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pakay\Desktop\"/>
    </mc:Choice>
  </mc:AlternateContent>
  <bookViews>
    <workbookView xWindow="0" yWindow="0" windowWidth="25200" windowHeight="11325"/>
  </bookViews>
  <sheets>
    <sheet name="01 01 14 TO 07 01 16" sheetId="1" r:id="rId1"/>
  </sheets>
  <calcPr calcId="0"/>
</workbook>
</file>

<file path=xl/calcChain.xml><?xml version="1.0" encoding="utf-8"?>
<calcChain xmlns="http://schemas.openxmlformats.org/spreadsheetml/2006/main">
  <c r="K2" i="1" l="1"/>
  <c r="P2" i="1"/>
  <c r="R2" i="1"/>
  <c r="BL2" i="1"/>
  <c r="BW2" i="1"/>
  <c r="CH2" i="1"/>
  <c r="CS2" i="1"/>
  <c r="K3" i="1"/>
  <c r="P3" i="1"/>
  <c r="R3" i="1"/>
  <c r="BL3" i="1"/>
  <c r="BW3" i="1"/>
  <c r="CH3" i="1"/>
  <c r="CS3" i="1"/>
  <c r="K4" i="1"/>
  <c r="P4" i="1"/>
  <c r="R4" i="1"/>
  <c r="BL4" i="1"/>
  <c r="BW4" i="1"/>
  <c r="CH4" i="1"/>
  <c r="CS4" i="1"/>
  <c r="K5" i="1"/>
  <c r="P5" i="1"/>
  <c r="R5" i="1"/>
  <c r="BL5" i="1"/>
  <c r="BW5" i="1"/>
  <c r="CH5" i="1"/>
  <c r="CS5" i="1"/>
  <c r="K6" i="1"/>
  <c r="P6" i="1"/>
  <c r="R6" i="1"/>
  <c r="BL6" i="1"/>
  <c r="BW6" i="1"/>
  <c r="CH6" i="1"/>
  <c r="CS6" i="1"/>
  <c r="K7" i="1"/>
  <c r="P7" i="1"/>
  <c r="R7" i="1"/>
  <c r="BL7" i="1"/>
  <c r="BW7" i="1"/>
  <c r="CH7" i="1"/>
  <c r="CS7" i="1"/>
  <c r="K8" i="1"/>
  <c r="P8" i="1"/>
  <c r="R8" i="1"/>
  <c r="BL8" i="1"/>
  <c r="BW8" i="1"/>
  <c r="CH8" i="1"/>
  <c r="CS8" i="1"/>
  <c r="K9" i="1"/>
  <c r="P9" i="1"/>
  <c r="R9" i="1"/>
  <c r="BL9" i="1"/>
  <c r="BW9" i="1"/>
  <c r="CH9" i="1"/>
  <c r="CS9" i="1"/>
  <c r="K10" i="1"/>
  <c r="P10" i="1"/>
  <c r="R10" i="1"/>
  <c r="BL10" i="1"/>
  <c r="BW10" i="1"/>
  <c r="CH10" i="1"/>
  <c r="CS10" i="1"/>
  <c r="K11" i="1"/>
  <c r="P11" i="1"/>
  <c r="R11" i="1"/>
  <c r="BL11" i="1"/>
  <c r="BW11" i="1"/>
  <c r="CH11" i="1"/>
  <c r="CS11" i="1"/>
  <c r="K12" i="1"/>
  <c r="P12" i="1"/>
  <c r="R12" i="1"/>
  <c r="BL12" i="1"/>
  <c r="BW12" i="1"/>
  <c r="CH12" i="1"/>
  <c r="CS12" i="1"/>
  <c r="K13" i="1"/>
  <c r="P13" i="1"/>
  <c r="R13" i="1"/>
  <c r="BL13" i="1"/>
  <c r="BW13" i="1"/>
  <c r="CH13" i="1"/>
  <c r="CS13" i="1"/>
  <c r="K14" i="1"/>
  <c r="P14" i="1"/>
  <c r="R14" i="1"/>
  <c r="BL14" i="1"/>
  <c r="BW14" i="1"/>
  <c r="CH14" i="1"/>
  <c r="CS14" i="1"/>
  <c r="K15" i="1"/>
  <c r="P15" i="1"/>
  <c r="R15" i="1"/>
  <c r="BL15" i="1"/>
  <c r="BW15" i="1"/>
  <c r="CH15" i="1"/>
  <c r="CS15" i="1"/>
  <c r="K16" i="1"/>
  <c r="P16" i="1"/>
  <c r="R16" i="1"/>
  <c r="BL16" i="1"/>
  <c r="BW16" i="1"/>
  <c r="CH16" i="1"/>
  <c r="CS16" i="1"/>
  <c r="K17" i="1"/>
  <c r="P17" i="1"/>
  <c r="R17" i="1"/>
  <c r="BL17" i="1"/>
  <c r="BW17" i="1"/>
  <c r="CH17" i="1"/>
  <c r="CS17" i="1"/>
  <c r="K18" i="1"/>
  <c r="P18" i="1"/>
  <c r="R18" i="1"/>
  <c r="BL18" i="1"/>
  <c r="BW18" i="1"/>
  <c r="CH18" i="1"/>
  <c r="CS18" i="1"/>
  <c r="K19" i="1"/>
  <c r="P19" i="1"/>
  <c r="R19" i="1"/>
  <c r="BL19" i="1"/>
  <c r="BW19" i="1"/>
  <c r="CH19" i="1"/>
  <c r="CS19" i="1"/>
  <c r="K20" i="1"/>
  <c r="P20" i="1"/>
  <c r="R20" i="1"/>
  <c r="BL20" i="1"/>
  <c r="BW20" i="1"/>
  <c r="CH20" i="1"/>
  <c r="CS20" i="1"/>
  <c r="K21" i="1"/>
  <c r="P21" i="1"/>
  <c r="R21" i="1"/>
  <c r="BL21" i="1"/>
  <c r="BW21" i="1"/>
  <c r="CH21" i="1"/>
  <c r="CS21" i="1"/>
  <c r="K22" i="1"/>
  <c r="P22" i="1"/>
  <c r="R22" i="1"/>
  <c r="BL22" i="1"/>
  <c r="BW22" i="1"/>
  <c r="CH22" i="1"/>
  <c r="CS22" i="1"/>
  <c r="K23" i="1"/>
  <c r="P23" i="1"/>
  <c r="R23" i="1"/>
  <c r="BL23" i="1"/>
  <c r="BW23" i="1"/>
  <c r="CH23" i="1"/>
  <c r="CS23" i="1"/>
  <c r="K24" i="1"/>
  <c r="P24" i="1"/>
  <c r="R24" i="1"/>
  <c r="BL24" i="1"/>
  <c r="BW24" i="1"/>
  <c r="CH24" i="1"/>
  <c r="CS24" i="1"/>
  <c r="K25" i="1"/>
  <c r="P25" i="1"/>
  <c r="R25" i="1"/>
  <c r="BL25" i="1"/>
  <c r="BW25" i="1"/>
  <c r="CH25" i="1"/>
  <c r="CS25" i="1"/>
  <c r="K26" i="1"/>
  <c r="P26" i="1"/>
  <c r="R26" i="1"/>
  <c r="BL26" i="1"/>
  <c r="BW26" i="1"/>
  <c r="CH26" i="1"/>
  <c r="CS26" i="1"/>
  <c r="K27" i="1"/>
  <c r="P27" i="1"/>
  <c r="R27" i="1"/>
  <c r="BL27" i="1"/>
  <c r="BW27" i="1"/>
  <c r="CH27" i="1"/>
  <c r="CS27" i="1"/>
  <c r="K28" i="1"/>
  <c r="P28" i="1"/>
  <c r="R28" i="1"/>
  <c r="BL28" i="1"/>
  <c r="BW28" i="1"/>
  <c r="CH28" i="1"/>
  <c r="CS28" i="1"/>
  <c r="K29" i="1"/>
  <c r="P29" i="1"/>
  <c r="R29" i="1"/>
  <c r="BL29" i="1"/>
  <c r="BW29" i="1"/>
  <c r="CH29" i="1"/>
  <c r="CS29" i="1"/>
  <c r="K30" i="1"/>
  <c r="P30" i="1"/>
  <c r="R30" i="1"/>
  <c r="BL30" i="1"/>
  <c r="BW30" i="1"/>
  <c r="CH30" i="1"/>
  <c r="CS30" i="1"/>
  <c r="K31" i="1"/>
  <c r="P31" i="1"/>
  <c r="R31" i="1"/>
  <c r="BL31" i="1"/>
  <c r="BW31" i="1"/>
  <c r="CH31" i="1"/>
  <c r="CS31" i="1"/>
  <c r="K32" i="1"/>
  <c r="P32" i="1"/>
  <c r="R32" i="1"/>
  <c r="BL32" i="1"/>
  <c r="BW32" i="1"/>
  <c r="CH32" i="1"/>
  <c r="CS32" i="1"/>
  <c r="K33" i="1"/>
  <c r="P33" i="1"/>
  <c r="R33" i="1"/>
  <c r="BL33" i="1"/>
  <c r="BW33" i="1"/>
  <c r="CH33" i="1"/>
  <c r="CS33" i="1"/>
  <c r="K34" i="1"/>
  <c r="P34" i="1"/>
  <c r="R34" i="1"/>
  <c r="BL34" i="1"/>
  <c r="BW34" i="1"/>
  <c r="CH34" i="1"/>
  <c r="CS34" i="1"/>
  <c r="K35" i="1"/>
  <c r="P35" i="1"/>
  <c r="R35" i="1"/>
  <c r="BL35" i="1"/>
  <c r="BW35" i="1"/>
  <c r="CH35" i="1"/>
  <c r="CS35" i="1"/>
  <c r="K36" i="1"/>
  <c r="P36" i="1"/>
  <c r="R36" i="1"/>
  <c r="BL36" i="1"/>
  <c r="BW36" i="1"/>
  <c r="CH36" i="1"/>
  <c r="CS36" i="1"/>
  <c r="K37" i="1"/>
  <c r="P37" i="1"/>
  <c r="R37" i="1"/>
  <c r="BL37" i="1"/>
  <c r="BW37" i="1"/>
  <c r="CH37" i="1"/>
  <c r="CS37" i="1"/>
  <c r="K38" i="1"/>
  <c r="P38" i="1"/>
  <c r="R38" i="1"/>
  <c r="BL38" i="1"/>
  <c r="BW38" i="1"/>
  <c r="CH38" i="1"/>
  <c r="CS38" i="1"/>
  <c r="K39" i="1"/>
  <c r="P39" i="1"/>
  <c r="R39" i="1"/>
  <c r="BL39" i="1"/>
  <c r="BW39" i="1"/>
  <c r="CH39" i="1"/>
  <c r="CS39" i="1"/>
  <c r="K40" i="1"/>
  <c r="P40" i="1"/>
  <c r="R40" i="1"/>
  <c r="BL40" i="1"/>
  <c r="BW40" i="1"/>
  <c r="CH40" i="1"/>
  <c r="CS40" i="1"/>
  <c r="K41" i="1"/>
  <c r="P41" i="1"/>
  <c r="R41" i="1"/>
  <c r="BL41" i="1"/>
  <c r="BW41" i="1"/>
  <c r="CH41" i="1"/>
  <c r="CS41" i="1"/>
  <c r="K42" i="1"/>
  <c r="P42" i="1"/>
  <c r="R42" i="1"/>
  <c r="BL42" i="1"/>
  <c r="BW42" i="1"/>
  <c r="CH42" i="1"/>
  <c r="CS42" i="1"/>
  <c r="K43" i="1"/>
  <c r="P43" i="1"/>
  <c r="R43" i="1"/>
  <c r="BL43" i="1"/>
  <c r="BW43" i="1"/>
  <c r="CH43" i="1"/>
  <c r="CS43" i="1"/>
  <c r="K44" i="1"/>
  <c r="P44" i="1"/>
  <c r="R44" i="1"/>
  <c r="BL44" i="1"/>
  <c r="BW44" i="1"/>
  <c r="CH44" i="1"/>
  <c r="CS44" i="1"/>
  <c r="K45" i="1"/>
  <c r="P45" i="1"/>
  <c r="R45" i="1"/>
  <c r="BL45" i="1"/>
  <c r="BW45" i="1"/>
  <c r="CH45" i="1"/>
  <c r="CS45" i="1"/>
  <c r="K46" i="1"/>
  <c r="P46" i="1"/>
  <c r="R46" i="1"/>
  <c r="BL46" i="1"/>
  <c r="BW46" i="1"/>
  <c r="CH46" i="1"/>
  <c r="CS46" i="1"/>
  <c r="K47" i="1"/>
  <c r="P47" i="1"/>
  <c r="R47" i="1"/>
  <c r="BL47" i="1"/>
  <c r="BW47" i="1"/>
  <c r="CH47" i="1"/>
  <c r="CS47" i="1"/>
  <c r="K48" i="1"/>
  <c r="P48" i="1"/>
  <c r="R48" i="1"/>
  <c r="BL48" i="1"/>
  <c r="BW48" i="1"/>
  <c r="CH48" i="1"/>
  <c r="CS48" i="1"/>
  <c r="K49" i="1"/>
  <c r="P49" i="1"/>
  <c r="R49" i="1"/>
  <c r="BL49" i="1"/>
  <c r="BW49" i="1"/>
  <c r="CH49" i="1"/>
  <c r="CS49" i="1"/>
  <c r="K50" i="1"/>
  <c r="P50" i="1"/>
  <c r="R50" i="1"/>
  <c r="BL50" i="1"/>
  <c r="BW50" i="1"/>
  <c r="CH50" i="1"/>
  <c r="CS50" i="1"/>
  <c r="K51" i="1"/>
  <c r="P51" i="1"/>
  <c r="R51" i="1"/>
  <c r="BL51" i="1"/>
  <c r="BW51" i="1"/>
  <c r="CH51" i="1"/>
  <c r="CS51" i="1"/>
  <c r="K52" i="1"/>
  <c r="P52" i="1"/>
  <c r="R52" i="1"/>
  <c r="BL52" i="1"/>
  <c r="BW52" i="1"/>
  <c r="CH52" i="1"/>
  <c r="CS52" i="1"/>
  <c r="K53" i="1"/>
  <c r="P53" i="1"/>
  <c r="R53" i="1"/>
  <c r="BL53" i="1"/>
  <c r="BW53" i="1"/>
  <c r="CH53" i="1"/>
  <c r="CS53" i="1"/>
  <c r="K54" i="1"/>
  <c r="P54" i="1"/>
  <c r="R54" i="1"/>
  <c r="BL54" i="1"/>
  <c r="BW54" i="1"/>
  <c r="CH54" i="1"/>
  <c r="CS54" i="1"/>
  <c r="K55" i="1"/>
  <c r="P55" i="1"/>
  <c r="R55" i="1"/>
  <c r="BL55" i="1"/>
  <c r="BW55" i="1"/>
  <c r="CH55" i="1"/>
  <c r="CS55" i="1"/>
  <c r="K56" i="1"/>
  <c r="P56" i="1"/>
  <c r="R56" i="1"/>
  <c r="BL56" i="1"/>
  <c r="BW56" i="1"/>
  <c r="CH56" i="1"/>
  <c r="CS56" i="1"/>
  <c r="K57" i="1"/>
  <c r="P57" i="1"/>
  <c r="R57" i="1"/>
  <c r="BL57" i="1"/>
  <c r="BW57" i="1"/>
  <c r="CH57" i="1"/>
  <c r="CS57" i="1"/>
  <c r="K58" i="1"/>
  <c r="P58" i="1"/>
  <c r="R58" i="1"/>
  <c r="BL58" i="1"/>
  <c r="BW58" i="1"/>
  <c r="CH58" i="1"/>
  <c r="CS58" i="1"/>
  <c r="K59" i="1"/>
  <c r="P59" i="1"/>
  <c r="R59" i="1"/>
  <c r="BL59" i="1"/>
  <c r="BW59" i="1"/>
  <c r="CH59" i="1"/>
  <c r="CS59" i="1"/>
  <c r="K60" i="1"/>
  <c r="P60" i="1"/>
  <c r="R60" i="1"/>
  <c r="BL60" i="1"/>
  <c r="BW60" i="1"/>
  <c r="CH60" i="1"/>
  <c r="CS60" i="1"/>
  <c r="K61" i="1"/>
  <c r="P61" i="1"/>
  <c r="R61" i="1"/>
  <c r="BL61" i="1"/>
  <c r="BW61" i="1"/>
  <c r="CH61" i="1"/>
  <c r="CS61" i="1"/>
  <c r="K62" i="1"/>
  <c r="P62" i="1"/>
  <c r="R62" i="1"/>
  <c r="BL62" i="1"/>
  <c r="BW62" i="1"/>
  <c r="CH62" i="1"/>
  <c r="CS62" i="1"/>
  <c r="K63" i="1"/>
  <c r="P63" i="1"/>
  <c r="R63" i="1"/>
  <c r="BL63" i="1"/>
  <c r="BW63" i="1"/>
  <c r="CH63" i="1"/>
  <c r="CS63" i="1"/>
  <c r="K64" i="1"/>
  <c r="P64" i="1"/>
  <c r="R64" i="1"/>
  <c r="BL64" i="1"/>
  <c r="BW64" i="1"/>
  <c r="CH64" i="1"/>
  <c r="CS64" i="1"/>
  <c r="K65" i="1"/>
  <c r="P65" i="1"/>
  <c r="R65" i="1"/>
  <c r="BL65" i="1"/>
  <c r="BW65" i="1"/>
  <c r="CH65" i="1"/>
  <c r="CS65" i="1"/>
  <c r="K66" i="1"/>
  <c r="P66" i="1"/>
  <c r="R66" i="1"/>
  <c r="BL66" i="1"/>
  <c r="BW66" i="1"/>
  <c r="CH66" i="1"/>
  <c r="CS66" i="1"/>
  <c r="K67" i="1"/>
  <c r="P67" i="1"/>
  <c r="R67" i="1"/>
  <c r="BL67" i="1"/>
  <c r="BW67" i="1"/>
  <c r="CH67" i="1"/>
  <c r="CS67" i="1"/>
  <c r="K68" i="1"/>
  <c r="P68" i="1"/>
  <c r="R68" i="1"/>
  <c r="BL68" i="1"/>
  <c r="BW68" i="1"/>
  <c r="CH68" i="1"/>
  <c r="CS68" i="1"/>
  <c r="K69" i="1"/>
  <c r="P69" i="1"/>
  <c r="R69" i="1"/>
  <c r="BL69" i="1"/>
  <c r="BW69" i="1"/>
  <c r="CH69" i="1"/>
  <c r="CS69" i="1"/>
  <c r="K70" i="1"/>
  <c r="P70" i="1"/>
  <c r="R70" i="1"/>
  <c r="BL70" i="1"/>
  <c r="BW70" i="1"/>
  <c r="CH70" i="1"/>
  <c r="CS70" i="1"/>
  <c r="K71" i="1"/>
  <c r="P71" i="1"/>
  <c r="R71" i="1"/>
  <c r="BL71" i="1"/>
  <c r="BW71" i="1"/>
  <c r="CH71" i="1"/>
  <c r="CS71" i="1"/>
  <c r="K72" i="1"/>
  <c r="P72" i="1"/>
  <c r="R72" i="1"/>
  <c r="BL72" i="1"/>
  <c r="BW72" i="1"/>
  <c r="CH72" i="1"/>
  <c r="CS72" i="1"/>
  <c r="K73" i="1"/>
  <c r="P73" i="1"/>
  <c r="R73" i="1"/>
  <c r="BL73" i="1"/>
  <c r="BW73" i="1"/>
  <c r="CH73" i="1"/>
  <c r="CS73" i="1"/>
  <c r="K74" i="1"/>
  <c r="P74" i="1"/>
  <c r="R74" i="1"/>
  <c r="BL74" i="1"/>
  <c r="BW74" i="1"/>
  <c r="CH74" i="1"/>
  <c r="CS74" i="1"/>
  <c r="K75" i="1"/>
  <c r="P75" i="1"/>
  <c r="R75" i="1"/>
  <c r="BL75" i="1"/>
  <c r="BW75" i="1"/>
  <c r="CH75" i="1"/>
  <c r="CS75" i="1"/>
  <c r="K76" i="1"/>
  <c r="P76" i="1"/>
  <c r="R76" i="1"/>
  <c r="BL76" i="1"/>
  <c r="BW76" i="1"/>
  <c r="CH76" i="1"/>
  <c r="CS76" i="1"/>
  <c r="K77" i="1"/>
  <c r="P77" i="1"/>
  <c r="R77" i="1"/>
  <c r="BL77" i="1"/>
  <c r="BW77" i="1"/>
  <c r="CH77" i="1"/>
  <c r="CS77" i="1"/>
  <c r="K78" i="1"/>
  <c r="P78" i="1"/>
  <c r="R78" i="1"/>
  <c r="BL78" i="1"/>
  <c r="BW78" i="1"/>
  <c r="CH78" i="1"/>
  <c r="CS78" i="1"/>
  <c r="K79" i="1"/>
  <c r="P79" i="1"/>
  <c r="R79" i="1"/>
  <c r="BL79" i="1"/>
  <c r="BW79" i="1"/>
  <c r="CH79" i="1"/>
  <c r="CS79" i="1"/>
  <c r="K80" i="1"/>
  <c r="P80" i="1"/>
  <c r="R80" i="1"/>
  <c r="BL80" i="1"/>
  <c r="BW80" i="1"/>
  <c r="CH80" i="1"/>
  <c r="CS80" i="1"/>
  <c r="K81" i="1"/>
  <c r="P81" i="1"/>
  <c r="R81" i="1"/>
  <c r="BL81" i="1"/>
  <c r="BW81" i="1"/>
  <c r="CH81" i="1"/>
  <c r="CS81" i="1"/>
  <c r="K82" i="1"/>
  <c r="P82" i="1"/>
  <c r="R82" i="1"/>
  <c r="BL82" i="1"/>
  <c r="BW82" i="1"/>
  <c r="CH82" i="1"/>
  <c r="CS82" i="1"/>
  <c r="K83" i="1"/>
  <c r="P83" i="1"/>
  <c r="R83" i="1"/>
  <c r="BL83" i="1"/>
  <c r="BW83" i="1"/>
  <c r="CH83" i="1"/>
  <c r="CS83" i="1"/>
  <c r="K84" i="1"/>
  <c r="P84" i="1"/>
  <c r="R84" i="1"/>
  <c r="BL84" i="1"/>
  <c r="BW84" i="1"/>
  <c r="CH84" i="1"/>
  <c r="CS84" i="1"/>
  <c r="K85" i="1"/>
  <c r="P85" i="1"/>
  <c r="R85" i="1"/>
  <c r="BL85" i="1"/>
  <c r="BW85" i="1"/>
  <c r="CH85" i="1"/>
  <c r="CS85" i="1"/>
  <c r="K86" i="1"/>
  <c r="P86" i="1"/>
  <c r="R86" i="1"/>
  <c r="BL86" i="1"/>
  <c r="BW86" i="1"/>
  <c r="CH86" i="1"/>
  <c r="CS86" i="1"/>
  <c r="K87" i="1"/>
  <c r="P87" i="1"/>
  <c r="R87" i="1"/>
  <c r="BL87" i="1"/>
  <c r="BW87" i="1"/>
  <c r="CH87" i="1"/>
  <c r="CS87" i="1"/>
  <c r="K88" i="1"/>
  <c r="P88" i="1"/>
  <c r="R88" i="1"/>
  <c r="BL88" i="1"/>
  <c r="BW88" i="1"/>
  <c r="CH88" i="1"/>
  <c r="CS88" i="1"/>
  <c r="K89" i="1"/>
  <c r="P89" i="1"/>
  <c r="R89" i="1"/>
  <c r="BL89" i="1"/>
  <c r="BW89" i="1"/>
  <c r="CH89" i="1"/>
  <c r="CS89" i="1"/>
  <c r="K90" i="1"/>
  <c r="P90" i="1"/>
  <c r="R90" i="1"/>
  <c r="BL90" i="1"/>
  <c r="BW90" i="1"/>
  <c r="CH90" i="1"/>
  <c r="CS90" i="1"/>
  <c r="K91" i="1"/>
  <c r="P91" i="1"/>
  <c r="R91" i="1"/>
  <c r="BL91" i="1"/>
  <c r="BW91" i="1"/>
  <c r="CH91" i="1"/>
  <c r="CS91" i="1"/>
  <c r="K92" i="1"/>
  <c r="P92" i="1"/>
  <c r="R92" i="1"/>
  <c r="BL92" i="1"/>
  <c r="BW92" i="1"/>
  <c r="CH92" i="1"/>
  <c r="CS92" i="1"/>
  <c r="K93" i="1"/>
  <c r="P93" i="1"/>
  <c r="R93" i="1"/>
  <c r="BL93" i="1"/>
  <c r="BW93" i="1"/>
  <c r="CH93" i="1"/>
  <c r="CS93" i="1"/>
  <c r="K94" i="1"/>
  <c r="P94" i="1"/>
  <c r="R94" i="1"/>
  <c r="BL94" i="1"/>
  <c r="BW94" i="1"/>
  <c r="CH94" i="1"/>
  <c r="CS94" i="1"/>
  <c r="K95" i="1"/>
  <c r="R95" i="1"/>
  <c r="BL95" i="1"/>
  <c r="BW95" i="1"/>
  <c r="CH95" i="1"/>
  <c r="CS95" i="1"/>
  <c r="K96" i="1"/>
  <c r="P96" i="1"/>
  <c r="R96" i="1"/>
  <c r="BL96" i="1"/>
  <c r="BW96" i="1"/>
  <c r="CH96" i="1"/>
  <c r="CS96" i="1"/>
  <c r="K97" i="1"/>
  <c r="P97" i="1"/>
  <c r="R97" i="1"/>
  <c r="BL97" i="1"/>
  <c r="BW97" i="1"/>
  <c r="CH97" i="1"/>
  <c r="CS97" i="1"/>
  <c r="K98" i="1"/>
  <c r="P98" i="1"/>
  <c r="R98" i="1"/>
  <c r="BL98" i="1"/>
  <c r="BW98" i="1"/>
  <c r="CH98" i="1"/>
  <c r="CS98" i="1"/>
  <c r="K99" i="1"/>
  <c r="P99" i="1"/>
  <c r="R99" i="1"/>
  <c r="BL99" i="1"/>
  <c r="BW99" i="1"/>
  <c r="CH99" i="1"/>
  <c r="CS99" i="1"/>
  <c r="K100" i="1"/>
  <c r="P100" i="1"/>
  <c r="R100" i="1"/>
  <c r="BL100" i="1"/>
  <c r="BW100" i="1"/>
  <c r="CH100" i="1"/>
  <c r="CS100" i="1"/>
  <c r="K101" i="1"/>
  <c r="P101" i="1"/>
  <c r="R101" i="1"/>
  <c r="BL101" i="1"/>
  <c r="BW101" i="1"/>
  <c r="CH101" i="1"/>
  <c r="CS101" i="1"/>
  <c r="K102" i="1"/>
  <c r="P102" i="1"/>
  <c r="R102" i="1"/>
  <c r="BL102" i="1"/>
  <c r="BW102" i="1"/>
  <c r="CH102" i="1"/>
  <c r="CS102" i="1"/>
  <c r="K103" i="1"/>
  <c r="P103" i="1"/>
  <c r="R103" i="1"/>
  <c r="BL103" i="1"/>
  <c r="BW103" i="1"/>
  <c r="CH103" i="1"/>
  <c r="CS103" i="1"/>
  <c r="K104" i="1"/>
  <c r="P104" i="1"/>
  <c r="R104" i="1"/>
  <c r="BL104" i="1"/>
  <c r="BW104" i="1"/>
  <c r="CH104" i="1"/>
  <c r="CS104" i="1"/>
  <c r="K105" i="1"/>
  <c r="P105" i="1"/>
  <c r="R105" i="1"/>
  <c r="BL105" i="1"/>
  <c r="BW105" i="1"/>
  <c r="CH105" i="1"/>
  <c r="CS105" i="1"/>
  <c r="K106" i="1"/>
  <c r="P106" i="1"/>
  <c r="R106" i="1"/>
  <c r="BL106" i="1"/>
  <c r="BW106" i="1"/>
  <c r="CH106" i="1"/>
  <c r="CS106" i="1"/>
  <c r="K107" i="1"/>
  <c r="P107" i="1"/>
  <c r="R107" i="1"/>
  <c r="BL107" i="1"/>
  <c r="BW107" i="1"/>
  <c r="CH107" i="1"/>
  <c r="CS107" i="1"/>
  <c r="K108" i="1"/>
  <c r="P108" i="1"/>
  <c r="R108" i="1"/>
  <c r="BL108" i="1"/>
  <c r="BW108" i="1"/>
  <c r="CH108" i="1"/>
  <c r="CS108" i="1"/>
  <c r="K109" i="1"/>
  <c r="P109" i="1"/>
  <c r="R109" i="1"/>
  <c r="BL109" i="1"/>
  <c r="BW109" i="1"/>
  <c r="CH109" i="1"/>
  <c r="CS109" i="1"/>
  <c r="K110" i="1"/>
  <c r="P110" i="1"/>
  <c r="R110" i="1"/>
  <c r="BL110" i="1"/>
  <c r="BW110" i="1"/>
  <c r="CH110" i="1"/>
  <c r="CS110" i="1"/>
  <c r="K111" i="1"/>
  <c r="P111" i="1"/>
  <c r="R111" i="1"/>
  <c r="BL111" i="1"/>
  <c r="BW111" i="1"/>
  <c r="CH111" i="1"/>
  <c r="CS111" i="1"/>
  <c r="K112" i="1"/>
  <c r="P112" i="1"/>
  <c r="R112" i="1"/>
  <c r="BL112" i="1"/>
  <c r="BW112" i="1"/>
  <c r="CH112" i="1"/>
  <c r="CS112" i="1"/>
  <c r="K113" i="1"/>
  <c r="P113" i="1"/>
  <c r="R113" i="1"/>
  <c r="BL113" i="1"/>
  <c r="BW113" i="1"/>
  <c r="CH113" i="1"/>
  <c r="CS113" i="1"/>
  <c r="K114" i="1"/>
  <c r="P114" i="1"/>
  <c r="R114" i="1"/>
  <c r="BL114" i="1"/>
  <c r="BW114" i="1"/>
  <c r="CH114" i="1"/>
  <c r="CS114" i="1"/>
  <c r="K115" i="1"/>
  <c r="P115" i="1"/>
  <c r="R115" i="1"/>
  <c r="BL115" i="1"/>
  <c r="BW115" i="1"/>
  <c r="CH115" i="1"/>
  <c r="CS115" i="1"/>
  <c r="K116" i="1"/>
  <c r="P116" i="1"/>
  <c r="R116" i="1"/>
  <c r="BL116" i="1"/>
  <c r="BW116" i="1"/>
  <c r="CH116" i="1"/>
  <c r="CS116" i="1"/>
  <c r="K117" i="1"/>
  <c r="P117" i="1"/>
  <c r="R117" i="1"/>
  <c r="AM117" i="1"/>
  <c r="BL117" i="1"/>
  <c r="BW117" i="1"/>
  <c r="CH117" i="1"/>
  <c r="CS117" i="1"/>
  <c r="K118" i="1"/>
  <c r="P118" i="1"/>
  <c r="R118" i="1"/>
  <c r="BL118" i="1"/>
  <c r="BW118" i="1"/>
  <c r="CH118" i="1"/>
  <c r="CS118" i="1"/>
  <c r="K119" i="1"/>
  <c r="P119" i="1"/>
  <c r="R119" i="1"/>
  <c r="BL119" i="1"/>
  <c r="BW119" i="1"/>
  <c r="CH119" i="1"/>
  <c r="CS119" i="1"/>
  <c r="K120" i="1"/>
  <c r="P120" i="1"/>
  <c r="R120" i="1"/>
  <c r="BL120" i="1"/>
  <c r="BW120" i="1"/>
  <c r="CH120" i="1"/>
  <c r="CS120" i="1"/>
  <c r="K121" i="1"/>
  <c r="P121" i="1"/>
  <c r="R121" i="1"/>
  <c r="BL121" i="1"/>
  <c r="BW121" i="1"/>
  <c r="CH121" i="1"/>
  <c r="CS121" i="1"/>
  <c r="K122" i="1"/>
  <c r="P122" i="1"/>
  <c r="R122" i="1"/>
  <c r="BL122" i="1"/>
  <c r="BW122" i="1"/>
  <c r="CH122" i="1"/>
  <c r="CS122" i="1"/>
  <c r="K123" i="1"/>
  <c r="P123" i="1"/>
  <c r="R123" i="1"/>
  <c r="BL123" i="1"/>
  <c r="BW123" i="1"/>
  <c r="CH123" i="1"/>
  <c r="CS123" i="1"/>
  <c r="K124" i="1"/>
  <c r="P124" i="1"/>
  <c r="R124" i="1"/>
  <c r="BL124" i="1"/>
  <c r="BW124" i="1"/>
  <c r="CH124" i="1"/>
  <c r="CS124" i="1"/>
  <c r="K125" i="1"/>
  <c r="P125" i="1"/>
  <c r="R125" i="1"/>
  <c r="BL125" i="1"/>
  <c r="BW125" i="1"/>
  <c r="CH125" i="1"/>
  <c r="CS125" i="1"/>
  <c r="K126" i="1"/>
  <c r="P126" i="1"/>
  <c r="R126" i="1"/>
  <c r="BL126" i="1"/>
  <c r="BW126" i="1"/>
  <c r="CH126" i="1"/>
  <c r="CS126" i="1"/>
  <c r="K127" i="1"/>
  <c r="P127" i="1"/>
  <c r="R127" i="1"/>
  <c r="BL127" i="1"/>
  <c r="BW127" i="1"/>
  <c r="CH127" i="1"/>
  <c r="CS127" i="1"/>
  <c r="K128" i="1"/>
  <c r="P128" i="1"/>
  <c r="R128" i="1"/>
  <c r="BL128" i="1"/>
  <c r="BW128" i="1"/>
  <c r="CH128" i="1"/>
  <c r="CS128" i="1"/>
  <c r="K129" i="1"/>
  <c r="P129" i="1"/>
  <c r="R129" i="1"/>
  <c r="BL129" i="1"/>
  <c r="BW129" i="1"/>
  <c r="CH129" i="1"/>
  <c r="CS129" i="1"/>
  <c r="K130" i="1"/>
  <c r="P130" i="1"/>
  <c r="R130" i="1"/>
  <c r="BL130" i="1"/>
  <c r="BW130" i="1"/>
  <c r="CH130" i="1"/>
  <c r="CS130" i="1"/>
  <c r="K131" i="1"/>
  <c r="P131" i="1"/>
  <c r="R131" i="1"/>
  <c r="BL131" i="1"/>
  <c r="BW131" i="1"/>
  <c r="CH131" i="1"/>
  <c r="CS131" i="1"/>
  <c r="K132" i="1"/>
  <c r="P132" i="1"/>
  <c r="R132" i="1"/>
  <c r="BL132" i="1"/>
  <c r="BW132" i="1"/>
  <c r="CH132" i="1"/>
  <c r="CS132" i="1"/>
  <c r="K133" i="1"/>
  <c r="P133" i="1"/>
  <c r="R133" i="1"/>
  <c r="BL133" i="1"/>
  <c r="BW133" i="1"/>
  <c r="CH133" i="1"/>
  <c r="CS133" i="1"/>
  <c r="K134" i="1"/>
  <c r="P134" i="1"/>
  <c r="R134" i="1"/>
  <c r="BL134" i="1"/>
  <c r="BW134" i="1"/>
  <c r="CH134" i="1"/>
  <c r="CS134" i="1"/>
  <c r="K135" i="1"/>
  <c r="P135" i="1"/>
  <c r="R135" i="1"/>
  <c r="BL135" i="1"/>
  <c r="BW135" i="1"/>
  <c r="CH135" i="1"/>
  <c r="CS135" i="1"/>
  <c r="K136" i="1"/>
  <c r="P136" i="1"/>
  <c r="R136" i="1"/>
  <c r="BL136" i="1"/>
  <c r="BW136" i="1"/>
  <c r="CH136" i="1"/>
  <c r="CS136" i="1"/>
  <c r="K137" i="1"/>
  <c r="P137" i="1"/>
  <c r="R137" i="1"/>
  <c r="BL137" i="1"/>
  <c r="BW137" i="1"/>
  <c r="CH137" i="1"/>
  <c r="CS137" i="1"/>
  <c r="K138" i="1"/>
  <c r="P138" i="1"/>
  <c r="R138" i="1"/>
  <c r="BL138" i="1"/>
  <c r="BW138" i="1"/>
  <c r="CH138" i="1"/>
  <c r="CS138" i="1"/>
  <c r="K139" i="1"/>
  <c r="P139" i="1"/>
  <c r="R139" i="1"/>
  <c r="BL139" i="1"/>
  <c r="BW139" i="1"/>
  <c r="CH139" i="1"/>
  <c r="CS139" i="1"/>
  <c r="K140" i="1"/>
  <c r="P140" i="1"/>
  <c r="R140" i="1"/>
  <c r="BL140" i="1"/>
  <c r="BW140" i="1"/>
  <c r="CH140" i="1"/>
  <c r="CS140" i="1"/>
  <c r="K141" i="1"/>
  <c r="P141" i="1"/>
  <c r="R141" i="1"/>
  <c r="BL141" i="1"/>
  <c r="BW141" i="1"/>
  <c r="CH141" i="1"/>
  <c r="CS141" i="1"/>
  <c r="K142" i="1"/>
  <c r="P142" i="1"/>
  <c r="R142" i="1"/>
  <c r="BL142" i="1"/>
  <c r="BW142" i="1"/>
  <c r="CH142" i="1"/>
  <c r="CS142" i="1"/>
  <c r="K143" i="1"/>
  <c r="P143" i="1"/>
  <c r="R143" i="1"/>
  <c r="BL143" i="1"/>
  <c r="BW143" i="1"/>
  <c r="CH143" i="1"/>
  <c r="CS143" i="1"/>
  <c r="K144" i="1"/>
  <c r="P144" i="1"/>
  <c r="R144" i="1"/>
  <c r="BL144" i="1"/>
  <c r="BW144" i="1"/>
  <c r="CH144" i="1"/>
  <c r="CS144" i="1"/>
  <c r="K145" i="1"/>
  <c r="P145" i="1"/>
  <c r="R145" i="1"/>
  <c r="BL145" i="1"/>
  <c r="BW145" i="1"/>
  <c r="CH145" i="1"/>
  <c r="CS145" i="1"/>
  <c r="K146" i="1"/>
  <c r="P146" i="1"/>
  <c r="R146" i="1"/>
  <c r="BL146" i="1"/>
  <c r="BW146" i="1"/>
  <c r="CH146" i="1"/>
  <c r="CS146" i="1"/>
  <c r="K147" i="1"/>
  <c r="P147" i="1"/>
  <c r="R147" i="1"/>
  <c r="BL147" i="1"/>
  <c r="BW147" i="1"/>
  <c r="CH147" i="1"/>
  <c r="CS147" i="1"/>
  <c r="K148" i="1"/>
  <c r="P148" i="1"/>
  <c r="R148" i="1"/>
  <c r="BL148" i="1"/>
  <c r="BW148" i="1"/>
  <c r="CH148" i="1"/>
  <c r="CS148" i="1"/>
  <c r="K149" i="1"/>
  <c r="P149" i="1"/>
  <c r="R149" i="1"/>
  <c r="BL149" i="1"/>
  <c r="BW149" i="1"/>
  <c r="CH149" i="1"/>
  <c r="CS149" i="1"/>
  <c r="K150" i="1"/>
  <c r="P150" i="1"/>
  <c r="R150" i="1"/>
  <c r="BL150" i="1"/>
  <c r="BW150" i="1"/>
  <c r="CH150" i="1"/>
  <c r="CS150" i="1"/>
  <c r="K151" i="1"/>
  <c r="P151" i="1"/>
  <c r="R151" i="1"/>
  <c r="BL151" i="1"/>
  <c r="BW151" i="1"/>
  <c r="CH151" i="1"/>
  <c r="CS151" i="1"/>
  <c r="K152" i="1"/>
  <c r="P152" i="1"/>
  <c r="R152" i="1"/>
  <c r="BL152" i="1"/>
  <c r="BW152" i="1"/>
  <c r="CH152" i="1"/>
  <c r="CS152" i="1"/>
  <c r="K153" i="1"/>
  <c r="P153" i="1"/>
  <c r="R153" i="1"/>
  <c r="BL153" i="1"/>
  <c r="BW153" i="1"/>
  <c r="CH153" i="1"/>
  <c r="CS153" i="1"/>
  <c r="K154" i="1"/>
  <c r="P154" i="1"/>
  <c r="R154" i="1"/>
  <c r="BL154" i="1"/>
  <c r="BW154" i="1"/>
  <c r="CH154" i="1"/>
  <c r="CS154" i="1"/>
  <c r="K155" i="1"/>
  <c r="P155" i="1"/>
  <c r="R155" i="1"/>
  <c r="BL155" i="1"/>
  <c r="BW155" i="1"/>
  <c r="CH155" i="1"/>
  <c r="CS155" i="1"/>
  <c r="K156" i="1"/>
  <c r="P156" i="1"/>
  <c r="R156" i="1"/>
  <c r="BL156" i="1"/>
  <c r="BW156" i="1"/>
  <c r="CH156" i="1"/>
  <c r="CS156" i="1"/>
  <c r="K157" i="1"/>
  <c r="P157" i="1"/>
  <c r="R157" i="1"/>
  <c r="BL157" i="1"/>
  <c r="BW157" i="1"/>
  <c r="CH157" i="1"/>
  <c r="CS157" i="1"/>
  <c r="K158" i="1"/>
  <c r="P158" i="1"/>
  <c r="R158" i="1"/>
  <c r="AM158" i="1"/>
  <c r="BL158" i="1"/>
  <c r="BW158" i="1"/>
  <c r="CH158" i="1"/>
  <c r="CS158" i="1"/>
  <c r="K159" i="1"/>
  <c r="P159" i="1"/>
  <c r="R159" i="1"/>
  <c r="BL159" i="1"/>
  <c r="BW159" i="1"/>
  <c r="CH159" i="1"/>
  <c r="CS159" i="1"/>
  <c r="K160" i="1"/>
  <c r="P160" i="1"/>
  <c r="R160" i="1"/>
  <c r="BL160" i="1"/>
  <c r="BW160" i="1"/>
  <c r="CH160" i="1"/>
  <c r="CS160" i="1"/>
  <c r="K161" i="1"/>
  <c r="P161" i="1"/>
  <c r="R161" i="1"/>
  <c r="BL161" i="1"/>
  <c r="BW161" i="1"/>
  <c r="CH161" i="1"/>
  <c r="CS161" i="1"/>
  <c r="K162" i="1"/>
  <c r="P162" i="1"/>
  <c r="R162" i="1"/>
  <c r="BL162" i="1"/>
  <c r="BW162" i="1"/>
  <c r="CH162" i="1"/>
  <c r="CS162" i="1"/>
  <c r="K163" i="1"/>
  <c r="P163" i="1"/>
  <c r="R163" i="1"/>
  <c r="BL163" i="1"/>
  <c r="BW163" i="1"/>
  <c r="CH163" i="1"/>
  <c r="CS163" i="1"/>
  <c r="K164" i="1"/>
  <c r="P164" i="1"/>
  <c r="R164" i="1"/>
  <c r="BL164" i="1"/>
  <c r="BW164" i="1"/>
  <c r="CH164" i="1"/>
  <c r="CS164" i="1"/>
  <c r="K165" i="1"/>
  <c r="P165" i="1"/>
  <c r="R165" i="1"/>
  <c r="BL165" i="1"/>
  <c r="BW165" i="1"/>
  <c r="CH165" i="1"/>
  <c r="CS165" i="1"/>
  <c r="K166" i="1"/>
  <c r="P166" i="1"/>
  <c r="R166" i="1"/>
  <c r="BL166" i="1"/>
  <c r="BW166" i="1"/>
  <c r="CH166" i="1"/>
  <c r="CS166" i="1"/>
  <c r="K167" i="1"/>
  <c r="P167" i="1"/>
  <c r="R167" i="1"/>
  <c r="BL167" i="1"/>
  <c r="BW167" i="1"/>
  <c r="CH167" i="1"/>
  <c r="CS167" i="1"/>
  <c r="K168" i="1"/>
  <c r="P168" i="1"/>
  <c r="R168" i="1"/>
  <c r="BL168" i="1"/>
  <c r="BW168" i="1"/>
  <c r="CH168" i="1"/>
  <c r="CS168" i="1"/>
  <c r="K169" i="1"/>
  <c r="P169" i="1"/>
  <c r="R169" i="1"/>
  <c r="BL169" i="1"/>
  <c r="BW169" i="1"/>
  <c r="CH169" i="1"/>
  <c r="CS169" i="1"/>
  <c r="K170" i="1"/>
  <c r="P170" i="1"/>
  <c r="R170" i="1"/>
  <c r="BL170" i="1"/>
  <c r="BW170" i="1"/>
  <c r="CH170" i="1"/>
  <c r="CS170" i="1"/>
  <c r="K171" i="1"/>
  <c r="P171" i="1"/>
  <c r="R171" i="1"/>
  <c r="BL171" i="1"/>
  <c r="BW171" i="1"/>
  <c r="CH171" i="1"/>
  <c r="CS171" i="1"/>
  <c r="K172" i="1"/>
  <c r="P172" i="1"/>
  <c r="R172" i="1"/>
  <c r="BL172" i="1"/>
  <c r="BW172" i="1"/>
  <c r="CH172" i="1"/>
  <c r="CS172" i="1"/>
  <c r="K173" i="1"/>
  <c r="P173" i="1"/>
  <c r="R173" i="1"/>
  <c r="BL173" i="1"/>
  <c r="BW173" i="1"/>
  <c r="CH173" i="1"/>
  <c r="CS173" i="1"/>
  <c r="K174" i="1"/>
  <c r="P174" i="1"/>
  <c r="R174" i="1"/>
  <c r="BL174" i="1"/>
  <c r="BW174" i="1"/>
  <c r="CH174" i="1"/>
  <c r="CS174" i="1"/>
  <c r="K175" i="1"/>
  <c r="P175" i="1"/>
  <c r="R175" i="1"/>
  <c r="BL175" i="1"/>
  <c r="BW175" i="1"/>
  <c r="CH175" i="1"/>
  <c r="CS175" i="1"/>
  <c r="K176" i="1"/>
  <c r="P176" i="1"/>
  <c r="R176" i="1"/>
  <c r="BL176" i="1"/>
  <c r="BW176" i="1"/>
  <c r="CH176" i="1"/>
  <c r="CS176" i="1"/>
  <c r="K177" i="1"/>
  <c r="P177" i="1"/>
  <c r="R177" i="1"/>
  <c r="BL177" i="1"/>
  <c r="BW177" i="1"/>
  <c r="CH177" i="1"/>
  <c r="CS177" i="1"/>
  <c r="K178" i="1"/>
  <c r="P178" i="1"/>
  <c r="R178" i="1"/>
  <c r="BL178" i="1"/>
  <c r="BQ178" i="1"/>
  <c r="BW178" i="1"/>
  <c r="CH178" i="1"/>
  <c r="CS178" i="1"/>
  <c r="K179" i="1"/>
  <c r="P179" i="1"/>
  <c r="R179" i="1"/>
  <c r="BL179" i="1"/>
  <c r="BW179" i="1"/>
  <c r="CH179" i="1"/>
  <c r="CS179" i="1"/>
  <c r="K180" i="1"/>
  <c r="P180" i="1"/>
  <c r="R180" i="1"/>
  <c r="BL180" i="1"/>
  <c r="BW180" i="1"/>
  <c r="CH180" i="1"/>
  <c r="CS180" i="1"/>
  <c r="K181" i="1"/>
  <c r="P181" i="1"/>
  <c r="R181" i="1"/>
  <c r="BL181" i="1"/>
  <c r="BW181" i="1"/>
  <c r="CH181" i="1"/>
  <c r="CS181" i="1"/>
  <c r="K182" i="1"/>
  <c r="P182" i="1"/>
  <c r="R182" i="1"/>
  <c r="BL182" i="1"/>
  <c r="BW182" i="1"/>
  <c r="CH182" i="1"/>
  <c r="CS182" i="1"/>
  <c r="K183" i="1"/>
  <c r="P183" i="1"/>
  <c r="R183" i="1"/>
  <c r="BL183" i="1"/>
  <c r="BW183" i="1"/>
  <c r="CH183" i="1"/>
  <c r="CS183" i="1"/>
  <c r="K184" i="1"/>
  <c r="P184" i="1"/>
  <c r="R184" i="1"/>
  <c r="BL184" i="1"/>
  <c r="BW184" i="1"/>
  <c r="CH184" i="1"/>
  <c r="CS184" i="1"/>
  <c r="K185" i="1"/>
  <c r="P185" i="1"/>
  <c r="R185" i="1"/>
  <c r="BL185" i="1"/>
  <c r="BW185" i="1"/>
  <c r="CH185" i="1"/>
  <c r="CS185" i="1"/>
  <c r="K186" i="1"/>
  <c r="P186" i="1"/>
  <c r="R186" i="1"/>
  <c r="BL186" i="1"/>
  <c r="BW186" i="1"/>
  <c r="CH186" i="1"/>
  <c r="CS186" i="1"/>
  <c r="K187" i="1"/>
  <c r="P187" i="1"/>
  <c r="R187" i="1"/>
  <c r="BL187" i="1"/>
  <c r="BW187" i="1"/>
  <c r="CH187" i="1"/>
  <c r="CS187" i="1"/>
  <c r="K188" i="1"/>
  <c r="P188" i="1"/>
  <c r="R188" i="1"/>
  <c r="BL188" i="1"/>
  <c r="BW188" i="1"/>
  <c r="CH188" i="1"/>
  <c r="CS188" i="1"/>
  <c r="K189" i="1"/>
  <c r="P189" i="1"/>
  <c r="R189" i="1"/>
  <c r="BL189" i="1"/>
  <c r="BW189" i="1"/>
  <c r="CH189" i="1"/>
  <c r="CS189" i="1"/>
  <c r="K190" i="1"/>
  <c r="P190" i="1"/>
  <c r="R190" i="1"/>
  <c r="BL190" i="1"/>
  <c r="BW190" i="1"/>
  <c r="CH190" i="1"/>
  <c r="CS190" i="1"/>
  <c r="K191" i="1"/>
  <c r="P191" i="1"/>
  <c r="R191" i="1"/>
  <c r="BL191" i="1"/>
  <c r="BW191" i="1"/>
  <c r="CH191" i="1"/>
  <c r="CS191" i="1"/>
  <c r="K192" i="1"/>
  <c r="P192" i="1"/>
  <c r="R192" i="1"/>
  <c r="BL192" i="1"/>
  <c r="BW192" i="1"/>
  <c r="CH192" i="1"/>
  <c r="CS192" i="1"/>
  <c r="K193" i="1"/>
  <c r="P193" i="1"/>
  <c r="R193" i="1"/>
  <c r="BL193" i="1"/>
  <c r="BW193" i="1"/>
  <c r="CH193" i="1"/>
  <c r="CS193" i="1"/>
  <c r="K194" i="1"/>
  <c r="P194" i="1"/>
  <c r="R194" i="1"/>
  <c r="BL194" i="1"/>
  <c r="BW194" i="1"/>
  <c r="CH194" i="1"/>
  <c r="CS194" i="1"/>
  <c r="K195" i="1"/>
  <c r="P195" i="1"/>
  <c r="R195" i="1"/>
  <c r="BL195" i="1"/>
  <c r="BW195" i="1"/>
  <c r="CH195" i="1"/>
  <c r="CS195" i="1"/>
  <c r="K196" i="1"/>
  <c r="P196" i="1"/>
  <c r="R196" i="1"/>
  <c r="BL196" i="1"/>
  <c r="BW196" i="1"/>
  <c r="CH196" i="1"/>
  <c r="CS196" i="1"/>
  <c r="K197" i="1"/>
  <c r="P197" i="1"/>
  <c r="R197" i="1"/>
  <c r="BL197" i="1"/>
  <c r="BW197" i="1"/>
  <c r="CH197" i="1"/>
  <c r="CS197" i="1"/>
  <c r="K198" i="1"/>
  <c r="P198" i="1"/>
  <c r="R198" i="1"/>
  <c r="BL198" i="1"/>
  <c r="BW198" i="1"/>
  <c r="CH198" i="1"/>
  <c r="CS198" i="1"/>
  <c r="K199" i="1"/>
  <c r="P199" i="1"/>
  <c r="R199" i="1"/>
  <c r="BL199" i="1"/>
  <c r="BW199" i="1"/>
  <c r="CH199" i="1"/>
  <c r="CS199" i="1"/>
  <c r="K200" i="1"/>
  <c r="P200" i="1"/>
  <c r="R200" i="1"/>
  <c r="BL200" i="1"/>
  <c r="BW200" i="1"/>
  <c r="CH200" i="1"/>
  <c r="CS200" i="1"/>
  <c r="K201" i="1"/>
  <c r="P201" i="1"/>
  <c r="R201" i="1"/>
  <c r="BL201" i="1"/>
  <c r="BW201" i="1"/>
  <c r="CH201" i="1"/>
  <c r="CS201" i="1"/>
  <c r="K202" i="1"/>
  <c r="P202" i="1"/>
  <c r="R202" i="1"/>
  <c r="BL202" i="1"/>
  <c r="BW202" i="1"/>
  <c r="CH202" i="1"/>
  <c r="CS202" i="1"/>
  <c r="K203" i="1"/>
  <c r="P203" i="1"/>
  <c r="R203" i="1"/>
  <c r="BL203" i="1"/>
  <c r="BW203" i="1"/>
  <c r="CH203" i="1"/>
  <c r="CS203" i="1"/>
  <c r="K204" i="1"/>
  <c r="P204" i="1"/>
  <c r="R204" i="1"/>
  <c r="BL204" i="1"/>
  <c r="BW204" i="1"/>
  <c r="CH204" i="1"/>
  <c r="CS204" i="1"/>
  <c r="K205" i="1"/>
  <c r="P205" i="1"/>
  <c r="R205" i="1"/>
  <c r="BL205" i="1"/>
  <c r="BW205" i="1"/>
  <c r="CH205" i="1"/>
  <c r="CS205" i="1"/>
  <c r="K206" i="1"/>
  <c r="P206" i="1"/>
  <c r="R206" i="1"/>
  <c r="BL206" i="1"/>
  <c r="BW206" i="1"/>
  <c r="CH206" i="1"/>
  <c r="CS206" i="1"/>
  <c r="K207" i="1"/>
  <c r="P207" i="1"/>
  <c r="R207" i="1"/>
  <c r="BL207" i="1"/>
  <c r="BW207" i="1"/>
  <c r="CH207" i="1"/>
  <c r="CS207" i="1"/>
  <c r="K208" i="1"/>
  <c r="P208" i="1"/>
  <c r="R208" i="1"/>
  <c r="BL208" i="1"/>
  <c r="BW208" i="1"/>
  <c r="CH208" i="1"/>
  <c r="CS208" i="1"/>
  <c r="K209" i="1"/>
  <c r="P209" i="1"/>
  <c r="R209" i="1"/>
  <c r="BL209" i="1"/>
  <c r="BW209" i="1"/>
  <c r="CH209" i="1"/>
  <c r="CS209" i="1"/>
  <c r="K210" i="1"/>
  <c r="P210" i="1"/>
  <c r="R210" i="1"/>
  <c r="BL210" i="1"/>
  <c r="BW210" i="1"/>
  <c r="CH210" i="1"/>
  <c r="CS210" i="1"/>
  <c r="K211" i="1"/>
  <c r="P211" i="1"/>
  <c r="R211" i="1"/>
  <c r="BL211" i="1"/>
  <c r="BW211" i="1"/>
  <c r="CH211" i="1"/>
  <c r="CS211" i="1"/>
  <c r="K212" i="1"/>
  <c r="P212" i="1"/>
  <c r="R212" i="1"/>
  <c r="BL212" i="1"/>
  <c r="BW212" i="1"/>
  <c r="CH212" i="1"/>
  <c r="CS212" i="1"/>
  <c r="K213" i="1"/>
  <c r="P213" i="1"/>
  <c r="R213" i="1"/>
  <c r="BL213" i="1"/>
  <c r="BW213" i="1"/>
  <c r="CH213" i="1"/>
  <c r="CS213" i="1"/>
  <c r="K214" i="1"/>
  <c r="P214" i="1"/>
  <c r="R214" i="1"/>
  <c r="BL214" i="1"/>
  <c r="BW214" i="1"/>
  <c r="CH214" i="1"/>
  <c r="CS214" i="1"/>
  <c r="K215" i="1"/>
  <c r="P215" i="1"/>
  <c r="R215" i="1"/>
  <c r="BL215" i="1"/>
  <c r="BW215" i="1"/>
  <c r="CH215" i="1"/>
  <c r="CS215" i="1"/>
  <c r="K216" i="1"/>
  <c r="P216" i="1"/>
  <c r="R216" i="1"/>
  <c r="BL216" i="1"/>
  <c r="BW216" i="1"/>
  <c r="CH216" i="1"/>
  <c r="CS216" i="1"/>
  <c r="K217" i="1"/>
  <c r="P217" i="1"/>
  <c r="R217" i="1"/>
  <c r="BL217" i="1"/>
  <c r="BW217" i="1"/>
  <c r="CH217" i="1"/>
  <c r="CS217" i="1"/>
  <c r="K218" i="1"/>
  <c r="P218" i="1"/>
  <c r="R218" i="1"/>
  <c r="BL218" i="1"/>
  <c r="BW218" i="1"/>
  <c r="CH218" i="1"/>
  <c r="CS218" i="1"/>
  <c r="K219" i="1"/>
  <c r="P219" i="1"/>
  <c r="R219" i="1"/>
  <c r="BL219" i="1"/>
  <c r="BW219" i="1"/>
  <c r="CH219" i="1"/>
  <c r="CS219" i="1"/>
  <c r="K220" i="1"/>
  <c r="P220" i="1"/>
  <c r="R220" i="1"/>
  <c r="BL220" i="1"/>
  <c r="BW220" i="1"/>
  <c r="CH220" i="1"/>
  <c r="CS220" i="1"/>
  <c r="K221" i="1"/>
  <c r="P221" i="1"/>
  <c r="R221" i="1"/>
  <c r="BL221" i="1"/>
  <c r="BW221" i="1"/>
  <c r="CH221" i="1"/>
  <c r="CS221" i="1"/>
  <c r="K222" i="1"/>
  <c r="P222" i="1"/>
  <c r="R222" i="1"/>
  <c r="BL222" i="1"/>
  <c r="BW222" i="1"/>
  <c r="CH222" i="1"/>
  <c r="CS222" i="1"/>
  <c r="K223" i="1"/>
  <c r="P223" i="1"/>
  <c r="R223" i="1"/>
  <c r="BL223" i="1"/>
  <c r="BW223" i="1"/>
  <c r="CH223" i="1"/>
  <c r="CS223" i="1"/>
  <c r="K224" i="1"/>
  <c r="P224" i="1"/>
  <c r="R224" i="1"/>
  <c r="BL224" i="1"/>
  <c r="BW224" i="1"/>
  <c r="CH224" i="1"/>
  <c r="CS224" i="1"/>
  <c r="K225" i="1"/>
  <c r="P225" i="1"/>
  <c r="R225" i="1"/>
  <c r="BL225" i="1"/>
  <c r="BW225" i="1"/>
  <c r="CH225" i="1"/>
  <c r="CS225" i="1"/>
  <c r="K226" i="1"/>
  <c r="P226" i="1"/>
  <c r="R226" i="1"/>
  <c r="BL226" i="1"/>
  <c r="BW226" i="1"/>
  <c r="CH226" i="1"/>
  <c r="CS226" i="1"/>
  <c r="K227" i="1"/>
  <c r="P227" i="1"/>
  <c r="R227" i="1"/>
  <c r="BL227" i="1"/>
  <c r="BW227" i="1"/>
  <c r="CH227" i="1"/>
  <c r="CS227" i="1"/>
  <c r="K228" i="1"/>
  <c r="P228" i="1"/>
  <c r="R228" i="1"/>
  <c r="BL228" i="1"/>
  <c r="BW228" i="1"/>
  <c r="CH228" i="1"/>
  <c r="CS228" i="1"/>
  <c r="K229" i="1"/>
  <c r="P229" i="1"/>
  <c r="R229" i="1"/>
  <c r="BL229" i="1"/>
  <c r="BW229" i="1"/>
  <c r="CH229" i="1"/>
  <c r="CS229" i="1"/>
  <c r="K230" i="1"/>
  <c r="P230" i="1"/>
  <c r="R230" i="1"/>
  <c r="BL230" i="1"/>
  <c r="BW230" i="1"/>
  <c r="CH230" i="1"/>
  <c r="CS230" i="1"/>
  <c r="K231" i="1"/>
  <c r="P231" i="1"/>
  <c r="R231" i="1"/>
  <c r="BL231" i="1"/>
  <c r="BW231" i="1"/>
  <c r="CH231" i="1"/>
  <c r="CS231" i="1"/>
  <c r="K232" i="1"/>
  <c r="P232" i="1"/>
  <c r="R232" i="1"/>
  <c r="BL232" i="1"/>
  <c r="BW232" i="1"/>
  <c r="CH232" i="1"/>
  <c r="CS232" i="1"/>
  <c r="K233" i="1"/>
  <c r="P233" i="1"/>
  <c r="R233" i="1"/>
  <c r="BL233" i="1"/>
  <c r="BW233" i="1"/>
  <c r="CH233" i="1"/>
  <c r="CS233" i="1"/>
  <c r="K234" i="1"/>
  <c r="P234" i="1"/>
  <c r="R234" i="1"/>
  <c r="BL234" i="1"/>
  <c r="BW234" i="1"/>
  <c r="CH234" i="1"/>
  <c r="CS234" i="1"/>
  <c r="K235" i="1"/>
  <c r="P235" i="1"/>
  <c r="R235" i="1"/>
  <c r="BL235" i="1"/>
  <c r="BW235" i="1"/>
  <c r="CH235" i="1"/>
  <c r="CS235" i="1"/>
  <c r="K236" i="1"/>
  <c r="P236" i="1"/>
  <c r="R236" i="1"/>
  <c r="BL236" i="1"/>
  <c r="BW236" i="1"/>
  <c r="CH236" i="1"/>
  <c r="CS236" i="1"/>
  <c r="K237" i="1"/>
  <c r="P237" i="1"/>
  <c r="R237" i="1"/>
  <c r="BL237" i="1"/>
  <c r="BW237" i="1"/>
  <c r="CH237" i="1"/>
  <c r="CS237" i="1"/>
  <c r="K238" i="1"/>
  <c r="P238" i="1"/>
  <c r="R238" i="1"/>
  <c r="BL238" i="1"/>
  <c r="BW238" i="1"/>
  <c r="CH238" i="1"/>
  <c r="CS238" i="1"/>
  <c r="K239" i="1"/>
  <c r="P239" i="1"/>
  <c r="R239" i="1"/>
  <c r="BL239" i="1"/>
  <c r="BW239" i="1"/>
  <c r="CH239" i="1"/>
  <c r="CS239" i="1"/>
  <c r="K240" i="1"/>
  <c r="P240" i="1"/>
  <c r="R240" i="1"/>
  <c r="BL240" i="1"/>
  <c r="BW240" i="1"/>
  <c r="CH240" i="1"/>
  <c r="CS240" i="1"/>
  <c r="K241" i="1"/>
  <c r="P241" i="1"/>
  <c r="R241" i="1"/>
  <c r="BL241" i="1"/>
  <c r="BW241" i="1"/>
  <c r="CH241" i="1"/>
  <c r="CS241" i="1"/>
  <c r="K242" i="1"/>
  <c r="P242" i="1"/>
  <c r="R242" i="1"/>
  <c r="BL242" i="1"/>
  <c r="BW242" i="1"/>
  <c r="CH242" i="1"/>
  <c r="CS242" i="1"/>
  <c r="K243" i="1"/>
  <c r="P243" i="1"/>
  <c r="R243" i="1"/>
  <c r="BL243" i="1"/>
  <c r="BW243" i="1"/>
  <c r="CH243" i="1"/>
  <c r="CS243" i="1"/>
  <c r="K244" i="1"/>
  <c r="P244" i="1"/>
  <c r="R244" i="1"/>
  <c r="BL244" i="1"/>
  <c r="BW244" i="1"/>
  <c r="CH244" i="1"/>
  <c r="CS244" i="1"/>
  <c r="K245" i="1"/>
  <c r="P245" i="1"/>
  <c r="R245" i="1"/>
  <c r="BL245" i="1"/>
  <c r="BW245" i="1"/>
  <c r="CH245" i="1"/>
  <c r="CS245" i="1"/>
  <c r="K246" i="1"/>
  <c r="P246" i="1"/>
  <c r="R246" i="1"/>
  <c r="BL246" i="1"/>
  <c r="BW246" i="1"/>
  <c r="CH246" i="1"/>
  <c r="CS246" i="1"/>
  <c r="K247" i="1"/>
  <c r="P247" i="1"/>
  <c r="R247" i="1"/>
  <c r="BL247" i="1"/>
  <c r="BW247" i="1"/>
  <c r="CH247" i="1"/>
  <c r="CS247" i="1"/>
  <c r="K248" i="1"/>
  <c r="P248" i="1"/>
  <c r="R248" i="1"/>
  <c r="BL248" i="1"/>
  <c r="BW248" i="1"/>
  <c r="CH248" i="1"/>
  <c r="CS248" i="1"/>
  <c r="K249" i="1"/>
  <c r="P249" i="1"/>
  <c r="R249" i="1"/>
  <c r="BL249" i="1"/>
  <c r="BW249" i="1"/>
  <c r="CH249" i="1"/>
  <c r="CS249" i="1"/>
  <c r="K250" i="1"/>
  <c r="P250" i="1"/>
  <c r="R250" i="1"/>
  <c r="BL250" i="1"/>
  <c r="BW250" i="1"/>
  <c r="CH250" i="1"/>
  <c r="CS250" i="1"/>
  <c r="K251" i="1"/>
  <c r="P251" i="1"/>
  <c r="R251" i="1"/>
  <c r="BL251" i="1"/>
  <c r="BW251" i="1"/>
  <c r="CH251" i="1"/>
  <c r="CS251" i="1"/>
  <c r="K252" i="1"/>
  <c r="P252" i="1"/>
  <c r="R252" i="1"/>
  <c r="BL252" i="1"/>
  <c r="BW252" i="1"/>
  <c r="CH252" i="1"/>
  <c r="CS252" i="1"/>
  <c r="K253" i="1"/>
  <c r="P253" i="1"/>
  <c r="R253" i="1"/>
  <c r="BL253" i="1"/>
  <c r="BW253" i="1"/>
  <c r="CH253" i="1"/>
  <c r="CS253" i="1"/>
  <c r="K254" i="1"/>
  <c r="P254" i="1"/>
  <c r="R254" i="1"/>
  <c r="BL254" i="1"/>
  <c r="BW254" i="1"/>
  <c r="CH254" i="1"/>
  <c r="CS254" i="1"/>
  <c r="K255" i="1"/>
  <c r="P255" i="1"/>
  <c r="R255" i="1"/>
  <c r="BL255" i="1"/>
  <c r="BW255" i="1"/>
  <c r="CH255" i="1"/>
  <c r="CS255" i="1"/>
  <c r="K256" i="1"/>
  <c r="P256" i="1"/>
  <c r="R256" i="1"/>
  <c r="BL256" i="1"/>
  <c r="BW256" i="1"/>
  <c r="CH256" i="1"/>
  <c r="CS256" i="1"/>
  <c r="K257" i="1"/>
  <c r="P257" i="1"/>
  <c r="R257" i="1"/>
  <c r="BL257" i="1"/>
  <c r="BW257" i="1"/>
  <c r="CH257" i="1"/>
  <c r="CS257" i="1"/>
  <c r="K258" i="1"/>
  <c r="P258" i="1"/>
  <c r="R258" i="1"/>
  <c r="BL258" i="1"/>
  <c r="BW258" i="1"/>
  <c r="CH258" i="1"/>
  <c r="CS258" i="1"/>
  <c r="K259" i="1"/>
  <c r="P259" i="1"/>
  <c r="R259" i="1"/>
  <c r="BL259" i="1"/>
  <c r="BW259" i="1"/>
  <c r="CH259" i="1"/>
  <c r="CS259" i="1"/>
  <c r="K260" i="1"/>
  <c r="P260" i="1"/>
  <c r="R260" i="1"/>
  <c r="BL260" i="1"/>
  <c r="BW260" i="1"/>
  <c r="CH260" i="1"/>
  <c r="CS260" i="1"/>
  <c r="K261" i="1"/>
  <c r="P261" i="1"/>
  <c r="R261" i="1"/>
  <c r="BL261" i="1"/>
  <c r="BW261" i="1"/>
  <c r="CH261" i="1"/>
  <c r="CS261" i="1"/>
  <c r="K262" i="1"/>
  <c r="P262" i="1"/>
  <c r="R262" i="1"/>
  <c r="BL262" i="1"/>
  <c r="BW262" i="1"/>
  <c r="CH262" i="1"/>
  <c r="CS262" i="1"/>
  <c r="K263" i="1"/>
  <c r="P263" i="1"/>
  <c r="R263" i="1"/>
  <c r="BL263" i="1"/>
  <c r="BW263" i="1"/>
  <c r="CH263" i="1"/>
  <c r="CS263" i="1"/>
  <c r="K264" i="1"/>
  <c r="P264" i="1"/>
  <c r="R264" i="1"/>
  <c r="BL264" i="1"/>
  <c r="BW264" i="1"/>
  <c r="CH264" i="1"/>
  <c r="CS264" i="1"/>
  <c r="K265" i="1"/>
  <c r="P265" i="1"/>
  <c r="R265" i="1"/>
  <c r="BL265" i="1"/>
  <c r="BW265" i="1"/>
  <c r="CH265" i="1"/>
  <c r="CS265" i="1"/>
  <c r="K266" i="1"/>
  <c r="P266" i="1"/>
  <c r="R266" i="1"/>
  <c r="BL266" i="1"/>
  <c r="BW266" i="1"/>
  <c r="CH266" i="1"/>
  <c r="CS266" i="1"/>
  <c r="K267" i="1"/>
  <c r="P267" i="1"/>
  <c r="R267" i="1"/>
  <c r="BL267" i="1"/>
  <c r="BW267" i="1"/>
  <c r="CH267" i="1"/>
  <c r="CS267" i="1"/>
  <c r="K268" i="1"/>
  <c r="P268" i="1"/>
  <c r="R268" i="1"/>
  <c r="BL268" i="1"/>
  <c r="BW268" i="1"/>
  <c r="CH268" i="1"/>
  <c r="CS268" i="1"/>
  <c r="K269" i="1"/>
  <c r="P269" i="1"/>
  <c r="R269" i="1"/>
  <c r="BL269" i="1"/>
  <c r="BW269" i="1"/>
  <c r="CH269" i="1"/>
  <c r="CS269" i="1"/>
  <c r="K270" i="1"/>
  <c r="P270" i="1"/>
  <c r="R270" i="1"/>
  <c r="BL270" i="1"/>
  <c r="BW270" i="1"/>
  <c r="CH270" i="1"/>
  <c r="CS270" i="1"/>
  <c r="K271" i="1"/>
  <c r="P271" i="1"/>
  <c r="R271" i="1"/>
  <c r="BL271" i="1"/>
  <c r="BW271" i="1"/>
  <c r="CH271" i="1"/>
  <c r="CS271" i="1"/>
  <c r="K272" i="1"/>
  <c r="P272" i="1"/>
  <c r="R272" i="1"/>
  <c r="BL272" i="1"/>
  <c r="BW272" i="1"/>
  <c r="CH272" i="1"/>
  <c r="CS272" i="1"/>
  <c r="K273" i="1"/>
  <c r="P273" i="1"/>
  <c r="R273" i="1"/>
  <c r="BL273" i="1"/>
  <c r="BW273" i="1"/>
  <c r="CH273" i="1"/>
  <c r="CS273" i="1"/>
  <c r="K274" i="1"/>
  <c r="P274" i="1"/>
  <c r="R274" i="1"/>
  <c r="BL274" i="1"/>
  <c r="BW274" i="1"/>
  <c r="CH274" i="1"/>
  <c r="CS274" i="1"/>
  <c r="K275" i="1"/>
  <c r="P275" i="1"/>
  <c r="R275" i="1"/>
  <c r="BL275" i="1"/>
  <c r="BW275" i="1"/>
  <c r="CH275" i="1"/>
  <c r="CS275" i="1"/>
  <c r="K276" i="1"/>
  <c r="P276" i="1"/>
  <c r="R276" i="1"/>
  <c r="BL276" i="1"/>
  <c r="BW276" i="1"/>
  <c r="CH276" i="1"/>
  <c r="CS276" i="1"/>
  <c r="K277" i="1"/>
  <c r="P277" i="1"/>
  <c r="R277" i="1"/>
  <c r="BL277" i="1"/>
  <c r="BW277" i="1"/>
  <c r="CH277" i="1"/>
  <c r="CS277" i="1"/>
  <c r="K278" i="1"/>
  <c r="P278" i="1"/>
  <c r="R278" i="1"/>
  <c r="BL278" i="1"/>
  <c r="BW278" i="1"/>
  <c r="CH278" i="1"/>
  <c r="CS278" i="1"/>
  <c r="K279" i="1"/>
  <c r="P279" i="1"/>
  <c r="R279" i="1"/>
  <c r="BL279" i="1"/>
  <c r="BW279" i="1"/>
  <c r="CH279" i="1"/>
  <c r="CS279" i="1"/>
  <c r="K280" i="1"/>
  <c r="P280" i="1"/>
  <c r="R280" i="1"/>
  <c r="BL280" i="1"/>
  <c r="BW280" i="1"/>
  <c r="CH280" i="1"/>
  <c r="CS280" i="1"/>
  <c r="K281" i="1"/>
  <c r="P281" i="1"/>
  <c r="R281" i="1"/>
  <c r="BL281" i="1"/>
  <c r="BW281" i="1"/>
  <c r="CH281" i="1"/>
  <c r="CS281" i="1"/>
  <c r="K282" i="1"/>
  <c r="P282" i="1"/>
  <c r="R282" i="1"/>
  <c r="BL282" i="1"/>
  <c r="BQ282" i="1"/>
  <c r="BW282" i="1"/>
  <c r="CH282" i="1"/>
  <c r="CS282" i="1"/>
  <c r="K283" i="1"/>
  <c r="P283" i="1"/>
  <c r="R283" i="1"/>
  <c r="BL283" i="1"/>
  <c r="BW283" i="1"/>
  <c r="CH283" i="1"/>
  <c r="CS283" i="1"/>
  <c r="K284" i="1"/>
  <c r="P284" i="1"/>
  <c r="R284" i="1"/>
  <c r="BL284" i="1"/>
  <c r="BW284" i="1"/>
  <c r="CH284" i="1"/>
  <c r="CS284" i="1"/>
  <c r="K285" i="1"/>
  <c r="P285" i="1"/>
  <c r="R285" i="1"/>
  <c r="BL285" i="1"/>
  <c r="BW285" i="1"/>
  <c r="CH285" i="1"/>
  <c r="CS285" i="1"/>
  <c r="K286" i="1"/>
  <c r="P286" i="1"/>
  <c r="R286" i="1"/>
  <c r="BL286" i="1"/>
  <c r="BW286" i="1"/>
  <c r="CH286" i="1"/>
  <c r="CS286" i="1"/>
  <c r="K287" i="1"/>
  <c r="P287" i="1"/>
  <c r="R287" i="1"/>
  <c r="BL287" i="1"/>
  <c r="BW287" i="1"/>
  <c r="CH287" i="1"/>
  <c r="CS287" i="1"/>
  <c r="K288" i="1"/>
  <c r="P288" i="1"/>
  <c r="R288" i="1"/>
  <c r="BL288" i="1"/>
  <c r="BW288" i="1"/>
  <c r="CH288" i="1"/>
  <c r="CS288" i="1"/>
  <c r="K289" i="1"/>
  <c r="P289" i="1"/>
  <c r="R289" i="1"/>
  <c r="BL289" i="1"/>
  <c r="BW289" i="1"/>
  <c r="CH289" i="1"/>
  <c r="CS289" i="1"/>
  <c r="K290" i="1"/>
  <c r="P290" i="1"/>
  <c r="R290" i="1"/>
  <c r="BL290" i="1"/>
  <c r="BW290" i="1"/>
  <c r="CH290" i="1"/>
  <c r="CS290" i="1"/>
  <c r="K291" i="1"/>
  <c r="P291" i="1"/>
  <c r="R291" i="1"/>
  <c r="BL291" i="1"/>
  <c r="BW291" i="1"/>
  <c r="CH291" i="1"/>
  <c r="CS291" i="1"/>
  <c r="K292" i="1"/>
  <c r="P292" i="1"/>
  <c r="R292" i="1"/>
  <c r="BL292" i="1"/>
  <c r="BW292" i="1"/>
  <c r="CH292" i="1"/>
  <c r="CS292" i="1"/>
  <c r="K293" i="1"/>
  <c r="P293" i="1"/>
  <c r="R293" i="1"/>
  <c r="BL293" i="1"/>
  <c r="BW293" i="1"/>
  <c r="CH293" i="1"/>
  <c r="CS293" i="1"/>
  <c r="K294" i="1"/>
  <c r="P294" i="1"/>
  <c r="R294" i="1"/>
  <c r="BL294" i="1"/>
  <c r="BW294" i="1"/>
  <c r="CH294" i="1"/>
  <c r="CS294" i="1"/>
  <c r="K295" i="1"/>
  <c r="P295" i="1"/>
  <c r="R295" i="1"/>
  <c r="BL295" i="1"/>
  <c r="BW295" i="1"/>
  <c r="CH295" i="1"/>
  <c r="CS295" i="1"/>
  <c r="K296" i="1"/>
  <c r="P296" i="1"/>
  <c r="R296" i="1"/>
  <c r="BL296" i="1"/>
  <c r="BW296" i="1"/>
  <c r="CH296" i="1"/>
  <c r="CS296" i="1"/>
  <c r="K297" i="1"/>
  <c r="P297" i="1"/>
  <c r="R297" i="1"/>
  <c r="BL297" i="1"/>
  <c r="BW297" i="1"/>
  <c r="CH297" i="1"/>
  <c r="CS297" i="1"/>
  <c r="K298" i="1"/>
  <c r="P298" i="1"/>
  <c r="R298" i="1"/>
  <c r="BL298" i="1"/>
  <c r="BW298" i="1"/>
  <c r="CH298" i="1"/>
  <c r="CS298" i="1"/>
  <c r="K299" i="1"/>
  <c r="P299" i="1"/>
  <c r="R299" i="1"/>
  <c r="BL299" i="1"/>
  <c r="BW299" i="1"/>
  <c r="CH299" i="1"/>
  <c r="CS299" i="1"/>
  <c r="K300" i="1"/>
  <c r="P300" i="1"/>
  <c r="R300" i="1"/>
  <c r="BL300" i="1"/>
  <c r="BW300" i="1"/>
  <c r="CH300" i="1"/>
  <c r="CS300" i="1"/>
  <c r="K301" i="1"/>
  <c r="P301" i="1"/>
  <c r="R301" i="1"/>
  <c r="BL301" i="1"/>
  <c r="BW301" i="1"/>
  <c r="CH301" i="1"/>
  <c r="CS301" i="1"/>
  <c r="K302" i="1"/>
  <c r="P302" i="1"/>
  <c r="R302" i="1"/>
  <c r="BL302" i="1"/>
  <c r="BW302" i="1"/>
  <c r="CH302" i="1"/>
  <c r="CS302" i="1"/>
  <c r="K303" i="1"/>
  <c r="P303" i="1"/>
  <c r="R303" i="1"/>
  <c r="BL303" i="1"/>
  <c r="BW303" i="1"/>
  <c r="CH303" i="1"/>
  <c r="CS303" i="1"/>
  <c r="K304" i="1"/>
  <c r="P304" i="1"/>
  <c r="R304" i="1"/>
  <c r="BL304" i="1"/>
  <c r="BW304" i="1"/>
  <c r="CH304" i="1"/>
  <c r="CS304" i="1"/>
  <c r="K305" i="1"/>
  <c r="P305" i="1"/>
  <c r="R305" i="1"/>
  <c r="AM305" i="1"/>
  <c r="BL305" i="1"/>
  <c r="BW305" i="1"/>
  <c r="CH305" i="1"/>
  <c r="CS305" i="1"/>
  <c r="K306" i="1"/>
  <c r="P306" i="1"/>
  <c r="R306" i="1"/>
  <c r="BL306" i="1"/>
  <c r="BW306" i="1"/>
  <c r="CH306" i="1"/>
  <c r="CS306" i="1"/>
  <c r="K307" i="1"/>
  <c r="P307" i="1"/>
  <c r="R307" i="1"/>
  <c r="BL307" i="1"/>
  <c r="BW307" i="1"/>
  <c r="CH307" i="1"/>
  <c r="CS307" i="1"/>
  <c r="K308" i="1"/>
  <c r="P308" i="1"/>
  <c r="R308" i="1"/>
  <c r="BL308" i="1"/>
  <c r="BW308" i="1"/>
  <c r="CH308" i="1"/>
  <c r="CS308" i="1"/>
  <c r="K309" i="1"/>
  <c r="P309" i="1"/>
  <c r="R309" i="1"/>
  <c r="BL309" i="1"/>
  <c r="BW309" i="1"/>
  <c r="CH309" i="1"/>
  <c r="CS309" i="1"/>
  <c r="K310" i="1"/>
  <c r="P310" i="1"/>
  <c r="R310" i="1"/>
  <c r="BL310" i="1"/>
  <c r="BW310" i="1"/>
  <c r="CH310" i="1"/>
  <c r="CS310" i="1"/>
  <c r="K311" i="1"/>
  <c r="P311" i="1"/>
  <c r="R311" i="1"/>
  <c r="BL311" i="1"/>
  <c r="BW311" i="1"/>
  <c r="CH311" i="1"/>
  <c r="CS311" i="1"/>
  <c r="K312" i="1"/>
  <c r="P312" i="1"/>
  <c r="R312" i="1"/>
  <c r="BL312" i="1"/>
  <c r="BW312" i="1"/>
  <c r="CH312" i="1"/>
  <c r="CS312" i="1"/>
  <c r="K313" i="1"/>
  <c r="P313" i="1"/>
  <c r="R313" i="1"/>
  <c r="BL313" i="1"/>
  <c r="BW313" i="1"/>
  <c r="CH313" i="1"/>
  <c r="CS313" i="1"/>
  <c r="K314" i="1"/>
  <c r="P314" i="1"/>
  <c r="R314" i="1"/>
  <c r="BL314" i="1"/>
  <c r="BW314" i="1"/>
  <c r="CH314" i="1"/>
  <c r="CS314" i="1"/>
  <c r="K315" i="1"/>
  <c r="P315" i="1"/>
  <c r="R315" i="1"/>
  <c r="BL315" i="1"/>
  <c r="BW315" i="1"/>
  <c r="CH315" i="1"/>
  <c r="CS315" i="1"/>
  <c r="K316" i="1"/>
  <c r="P316" i="1"/>
  <c r="R316" i="1"/>
  <c r="BL316" i="1"/>
  <c r="BW316" i="1"/>
  <c r="CH316" i="1"/>
  <c r="CS316" i="1"/>
  <c r="K317" i="1"/>
  <c r="P317" i="1"/>
  <c r="R317" i="1"/>
  <c r="BL317" i="1"/>
  <c r="BW317" i="1"/>
  <c r="CH317" i="1"/>
  <c r="CS317" i="1"/>
  <c r="K318" i="1"/>
  <c r="P318" i="1"/>
  <c r="R318" i="1"/>
  <c r="BL318" i="1"/>
  <c r="BW318" i="1"/>
  <c r="CH318" i="1"/>
  <c r="CS318" i="1"/>
  <c r="K319" i="1"/>
  <c r="P319" i="1"/>
  <c r="R319" i="1"/>
  <c r="BL319" i="1"/>
  <c r="BW319" i="1"/>
  <c r="CH319" i="1"/>
  <c r="CS319" i="1"/>
  <c r="K320" i="1"/>
  <c r="P320" i="1"/>
  <c r="R320" i="1"/>
  <c r="BL320" i="1"/>
  <c r="BW320" i="1"/>
  <c r="CH320" i="1"/>
  <c r="CS320" i="1"/>
  <c r="K321" i="1"/>
  <c r="P321" i="1"/>
  <c r="R321" i="1"/>
  <c r="BL321" i="1"/>
  <c r="BW321" i="1"/>
  <c r="CH321" i="1"/>
  <c r="CS321" i="1"/>
  <c r="K322" i="1"/>
  <c r="P322" i="1"/>
  <c r="R322" i="1"/>
  <c r="BL322" i="1"/>
  <c r="BW322" i="1"/>
  <c r="CH322" i="1"/>
  <c r="CS322" i="1"/>
  <c r="K323" i="1"/>
  <c r="P323" i="1"/>
  <c r="R323" i="1"/>
  <c r="BL323" i="1"/>
  <c r="BW323" i="1"/>
  <c r="CH323" i="1"/>
  <c r="CS323" i="1"/>
  <c r="K324" i="1"/>
  <c r="P324" i="1"/>
  <c r="R324" i="1"/>
  <c r="BL324" i="1"/>
  <c r="BW324" i="1"/>
  <c r="CH324" i="1"/>
  <c r="CS324" i="1"/>
  <c r="K325" i="1"/>
  <c r="P325" i="1"/>
  <c r="R325" i="1"/>
  <c r="BL325" i="1"/>
  <c r="BW325" i="1"/>
  <c r="CH325" i="1"/>
  <c r="CS325" i="1"/>
  <c r="K326" i="1"/>
  <c r="P326" i="1"/>
  <c r="R326" i="1"/>
  <c r="BL326" i="1"/>
  <c r="BW326" i="1"/>
  <c r="CH326" i="1"/>
  <c r="CS326" i="1"/>
  <c r="K327" i="1"/>
  <c r="P327" i="1"/>
  <c r="R327" i="1"/>
  <c r="BL327" i="1"/>
  <c r="BW327" i="1"/>
  <c r="CH327" i="1"/>
  <c r="CS327" i="1"/>
  <c r="K328" i="1"/>
  <c r="P328" i="1"/>
  <c r="R328" i="1"/>
  <c r="BL328" i="1"/>
  <c r="BW328" i="1"/>
  <c r="CH328" i="1"/>
  <c r="CS328" i="1"/>
  <c r="K329" i="1"/>
  <c r="P329" i="1"/>
  <c r="R329" i="1"/>
  <c r="BL329" i="1"/>
  <c r="BW329" i="1"/>
  <c r="CH329" i="1"/>
  <c r="CS329" i="1"/>
  <c r="K330" i="1"/>
  <c r="P330" i="1"/>
  <c r="R330" i="1"/>
  <c r="BL330" i="1"/>
  <c r="BW330" i="1"/>
  <c r="CH330" i="1"/>
  <c r="CS330" i="1"/>
  <c r="K331" i="1"/>
  <c r="P331" i="1"/>
  <c r="R331" i="1"/>
  <c r="BL331" i="1"/>
  <c r="BW331" i="1"/>
  <c r="CH331" i="1"/>
  <c r="CS331" i="1"/>
  <c r="K332" i="1"/>
  <c r="P332" i="1"/>
  <c r="R332" i="1"/>
  <c r="BL332" i="1"/>
  <c r="BW332" i="1"/>
  <c r="CH332" i="1"/>
  <c r="CS332" i="1"/>
  <c r="K333" i="1"/>
  <c r="P333" i="1"/>
  <c r="R333" i="1"/>
  <c r="BL333" i="1"/>
  <c r="BW333" i="1"/>
  <c r="CH333" i="1"/>
  <c r="CS333" i="1"/>
  <c r="K334" i="1"/>
  <c r="P334" i="1"/>
  <c r="R334" i="1"/>
  <c r="BL334" i="1"/>
  <c r="BW334" i="1"/>
  <c r="CH334" i="1"/>
  <c r="CS334" i="1"/>
  <c r="K335" i="1"/>
  <c r="P335" i="1"/>
  <c r="R335" i="1"/>
  <c r="BL335" i="1"/>
  <c r="BW335" i="1"/>
  <c r="CH335" i="1"/>
  <c r="CS335" i="1"/>
  <c r="K336" i="1"/>
  <c r="P336" i="1"/>
  <c r="R336" i="1"/>
  <c r="BL336" i="1"/>
  <c r="BW336" i="1"/>
  <c r="CH336" i="1"/>
  <c r="CS336" i="1"/>
  <c r="K337" i="1"/>
  <c r="P337" i="1"/>
  <c r="R337" i="1"/>
  <c r="BL337" i="1"/>
  <c r="BW337" i="1"/>
  <c r="CH337" i="1"/>
  <c r="CS337" i="1"/>
  <c r="K338" i="1"/>
  <c r="P338" i="1"/>
  <c r="R338" i="1"/>
  <c r="BL338" i="1"/>
  <c r="BW338" i="1"/>
  <c r="CH338" i="1"/>
  <c r="CS338" i="1"/>
  <c r="K339" i="1"/>
  <c r="P339" i="1"/>
  <c r="R339" i="1"/>
  <c r="BL339" i="1"/>
  <c r="BW339" i="1"/>
  <c r="CH339" i="1"/>
  <c r="CS339" i="1"/>
  <c r="K340" i="1"/>
  <c r="P340" i="1"/>
  <c r="R340" i="1"/>
  <c r="BL340" i="1"/>
  <c r="BW340" i="1"/>
  <c r="CH340" i="1"/>
  <c r="CS340" i="1"/>
  <c r="K341" i="1"/>
  <c r="P341" i="1"/>
  <c r="R341" i="1"/>
  <c r="BL341" i="1"/>
  <c r="BW341" i="1"/>
  <c r="CH341" i="1"/>
  <c r="CS341" i="1"/>
  <c r="K342" i="1"/>
  <c r="P342" i="1"/>
  <c r="R342" i="1"/>
  <c r="BL342" i="1"/>
  <c r="BW342" i="1"/>
  <c r="CH342" i="1"/>
  <c r="CS342" i="1"/>
  <c r="K343" i="1"/>
  <c r="P343" i="1"/>
  <c r="R343" i="1"/>
  <c r="BL343" i="1"/>
  <c r="BW343" i="1"/>
  <c r="CH343" i="1"/>
  <c r="CS343" i="1"/>
  <c r="K344" i="1"/>
  <c r="P344" i="1"/>
  <c r="R344" i="1"/>
  <c r="BL344" i="1"/>
  <c r="BW344" i="1"/>
  <c r="CH344" i="1"/>
  <c r="CS344" i="1"/>
  <c r="K345" i="1"/>
  <c r="P345" i="1"/>
  <c r="R345" i="1"/>
  <c r="BL345" i="1"/>
  <c r="BW345" i="1"/>
  <c r="CH345" i="1"/>
  <c r="CS345" i="1"/>
  <c r="K346" i="1"/>
  <c r="P346" i="1"/>
  <c r="R346" i="1"/>
  <c r="BL346" i="1"/>
  <c r="BW346" i="1"/>
  <c r="CH346" i="1"/>
  <c r="CS346" i="1"/>
  <c r="K347" i="1"/>
  <c r="P347" i="1"/>
  <c r="R347" i="1"/>
  <c r="BL347" i="1"/>
  <c r="BW347" i="1"/>
  <c r="CH347" i="1"/>
  <c r="CS347" i="1"/>
  <c r="K348" i="1"/>
  <c r="P348" i="1"/>
  <c r="R348" i="1"/>
  <c r="BL348" i="1"/>
  <c r="BW348" i="1"/>
  <c r="CH348" i="1"/>
  <c r="CS348" i="1"/>
  <c r="K349" i="1"/>
  <c r="P349" i="1"/>
  <c r="R349" i="1"/>
  <c r="BL349" i="1"/>
  <c r="BW349" i="1"/>
  <c r="CH349" i="1"/>
  <c r="CS349" i="1"/>
  <c r="K350" i="1"/>
  <c r="P350" i="1"/>
  <c r="R350" i="1"/>
  <c r="BL350" i="1"/>
  <c r="BW350" i="1"/>
  <c r="CH350" i="1"/>
  <c r="CS350" i="1"/>
  <c r="K351" i="1"/>
  <c r="P351" i="1"/>
  <c r="R351" i="1"/>
  <c r="BL351" i="1"/>
  <c r="BW351" i="1"/>
  <c r="CH351" i="1"/>
  <c r="CS351" i="1"/>
  <c r="K352" i="1"/>
  <c r="P352" i="1"/>
  <c r="R352" i="1"/>
  <c r="BL352" i="1"/>
  <c r="BW352" i="1"/>
  <c r="CH352" i="1"/>
  <c r="CS352" i="1"/>
  <c r="K353" i="1"/>
  <c r="P353" i="1"/>
  <c r="R353" i="1"/>
  <c r="BL353" i="1"/>
  <c r="BW353" i="1"/>
  <c r="CH353" i="1"/>
  <c r="CS353" i="1"/>
  <c r="K354" i="1"/>
  <c r="P354" i="1"/>
  <c r="R354" i="1"/>
  <c r="BL354" i="1"/>
  <c r="BW354" i="1"/>
  <c r="CH354" i="1"/>
  <c r="CS354" i="1"/>
  <c r="K355" i="1"/>
  <c r="P355" i="1"/>
  <c r="R355" i="1"/>
  <c r="BL355" i="1"/>
  <c r="BW355" i="1"/>
  <c r="CH355" i="1"/>
  <c r="CS355" i="1"/>
  <c r="K356" i="1"/>
  <c r="P356" i="1"/>
  <c r="R356" i="1"/>
  <c r="BL356" i="1"/>
  <c r="BW356" i="1"/>
  <c r="CH356" i="1"/>
  <c r="CS356" i="1"/>
  <c r="K357" i="1"/>
  <c r="P357" i="1"/>
  <c r="R357" i="1"/>
  <c r="BL357" i="1"/>
  <c r="BW357" i="1"/>
  <c r="CH357" i="1"/>
  <c r="CS357" i="1"/>
  <c r="K358" i="1"/>
  <c r="P358" i="1"/>
  <c r="R358" i="1"/>
  <c r="BL358" i="1"/>
  <c r="BW358" i="1"/>
  <c r="CH358" i="1"/>
  <c r="CS358" i="1"/>
  <c r="K359" i="1"/>
  <c r="P359" i="1"/>
  <c r="R359" i="1"/>
  <c r="BL359" i="1"/>
  <c r="BW359" i="1"/>
  <c r="CH359" i="1"/>
  <c r="CS359" i="1"/>
  <c r="K360" i="1"/>
  <c r="P360" i="1"/>
  <c r="R360" i="1"/>
  <c r="BL360" i="1"/>
  <c r="BW360" i="1"/>
  <c r="CH360" i="1"/>
  <c r="CS360" i="1"/>
  <c r="K361" i="1"/>
  <c r="P361" i="1"/>
  <c r="R361" i="1"/>
  <c r="BL361" i="1"/>
  <c r="BW361" i="1"/>
  <c r="CH361" i="1"/>
  <c r="CS361" i="1"/>
  <c r="K362" i="1"/>
  <c r="P362" i="1"/>
  <c r="R362" i="1"/>
  <c r="BL362" i="1"/>
  <c r="BW362" i="1"/>
  <c r="CH362" i="1"/>
  <c r="CS362" i="1"/>
  <c r="K363" i="1"/>
  <c r="P363" i="1"/>
  <c r="R363" i="1"/>
  <c r="BL363" i="1"/>
  <c r="BW363" i="1"/>
  <c r="CH363" i="1"/>
  <c r="CS363" i="1"/>
  <c r="K364" i="1"/>
  <c r="P364" i="1"/>
  <c r="R364" i="1"/>
  <c r="BL364" i="1"/>
  <c r="BW364" i="1"/>
  <c r="CH364" i="1"/>
  <c r="CS364" i="1"/>
  <c r="K365" i="1"/>
  <c r="P365" i="1"/>
  <c r="R365" i="1"/>
  <c r="BL365" i="1"/>
  <c r="BW365" i="1"/>
  <c r="CH365" i="1"/>
  <c r="CS365" i="1"/>
  <c r="K366" i="1"/>
  <c r="P366" i="1"/>
  <c r="R366" i="1"/>
  <c r="BL366" i="1"/>
  <c r="BW366" i="1"/>
  <c r="CH366" i="1"/>
  <c r="CS366" i="1"/>
  <c r="K367" i="1"/>
  <c r="P367" i="1"/>
  <c r="R367" i="1"/>
  <c r="BL367" i="1"/>
  <c r="BW367" i="1"/>
  <c r="CH367" i="1"/>
  <c r="CS367" i="1"/>
  <c r="K368" i="1"/>
  <c r="P368" i="1"/>
  <c r="R368" i="1"/>
  <c r="BL368" i="1"/>
  <c r="BW368" i="1"/>
  <c r="CH368" i="1"/>
  <c r="CS368" i="1"/>
  <c r="K369" i="1"/>
  <c r="P369" i="1"/>
  <c r="R369" i="1"/>
  <c r="BL369" i="1"/>
  <c r="BW369" i="1"/>
  <c r="CH369" i="1"/>
  <c r="CS369" i="1"/>
  <c r="K370" i="1"/>
  <c r="P370" i="1"/>
  <c r="R370" i="1"/>
  <c r="BL370" i="1"/>
  <c r="BW370" i="1"/>
  <c r="CH370" i="1"/>
  <c r="CS370" i="1"/>
  <c r="K371" i="1"/>
  <c r="P371" i="1"/>
  <c r="R371" i="1"/>
  <c r="BL371" i="1"/>
  <c r="BQ371" i="1"/>
  <c r="BW371" i="1"/>
  <c r="CH371" i="1"/>
  <c r="CS371" i="1"/>
  <c r="K372" i="1"/>
  <c r="P372" i="1"/>
  <c r="R372" i="1"/>
  <c r="BL372" i="1"/>
  <c r="BW372" i="1"/>
  <c r="CH372" i="1"/>
  <c r="CS372" i="1"/>
  <c r="K373" i="1"/>
  <c r="P373" i="1"/>
  <c r="R373" i="1"/>
  <c r="BL373" i="1"/>
  <c r="BW373" i="1"/>
  <c r="CH373" i="1"/>
  <c r="CS373" i="1"/>
  <c r="K374" i="1"/>
  <c r="P374" i="1"/>
  <c r="R374" i="1"/>
  <c r="BL374" i="1"/>
  <c r="BW374" i="1"/>
  <c r="CH374" i="1"/>
  <c r="CS374" i="1"/>
  <c r="K375" i="1"/>
  <c r="P375" i="1"/>
  <c r="R375" i="1"/>
  <c r="BL375" i="1"/>
  <c r="BW375" i="1"/>
  <c r="CH375" i="1"/>
  <c r="CS375" i="1"/>
  <c r="K376" i="1"/>
  <c r="P376" i="1"/>
  <c r="R376" i="1"/>
  <c r="BL376" i="1"/>
  <c r="BQ376" i="1"/>
  <c r="BW376" i="1"/>
  <c r="CH376" i="1"/>
  <c r="CS376" i="1"/>
  <c r="K377" i="1"/>
  <c r="P377" i="1"/>
  <c r="R377" i="1"/>
  <c r="BL377" i="1"/>
  <c r="BW377" i="1"/>
  <c r="CH377" i="1"/>
  <c r="CS377" i="1"/>
  <c r="K378" i="1"/>
  <c r="P378" i="1"/>
  <c r="R378" i="1"/>
  <c r="BL378" i="1"/>
  <c r="BW378" i="1"/>
  <c r="CH378" i="1"/>
  <c r="CS378" i="1"/>
  <c r="K379" i="1"/>
  <c r="P379" i="1"/>
  <c r="R379" i="1"/>
  <c r="BL379" i="1"/>
  <c r="BW379" i="1"/>
  <c r="CH379" i="1"/>
  <c r="CS379" i="1"/>
  <c r="K380" i="1"/>
  <c r="P380" i="1"/>
  <c r="R380" i="1"/>
  <c r="BL380" i="1"/>
  <c r="BW380" i="1"/>
  <c r="CH380" i="1"/>
  <c r="CS380" i="1"/>
  <c r="K381" i="1"/>
  <c r="P381" i="1"/>
  <c r="R381" i="1"/>
  <c r="BL381" i="1"/>
  <c r="BW381" i="1"/>
  <c r="CH381" i="1"/>
  <c r="CS381" i="1"/>
  <c r="K382" i="1"/>
  <c r="P382" i="1"/>
  <c r="R382" i="1"/>
  <c r="BL382" i="1"/>
  <c r="BW382" i="1"/>
  <c r="CH382" i="1"/>
  <c r="CS382" i="1"/>
  <c r="K383" i="1"/>
  <c r="P383" i="1"/>
  <c r="R383" i="1"/>
  <c r="BL383" i="1"/>
  <c r="BW383" i="1"/>
  <c r="CH383" i="1"/>
  <c r="CS383" i="1"/>
  <c r="K384" i="1"/>
  <c r="P384" i="1"/>
  <c r="R384" i="1"/>
  <c r="BL384" i="1"/>
  <c r="BW384" i="1"/>
  <c r="CH384" i="1"/>
  <c r="CS384" i="1"/>
  <c r="K385" i="1"/>
  <c r="P385" i="1"/>
  <c r="R385" i="1"/>
  <c r="BL385" i="1"/>
  <c r="BW385" i="1"/>
  <c r="CH385" i="1"/>
  <c r="CS385" i="1"/>
  <c r="K386" i="1"/>
  <c r="P386" i="1"/>
  <c r="R386" i="1"/>
  <c r="BL386" i="1"/>
  <c r="BW386" i="1"/>
  <c r="CH386" i="1"/>
  <c r="CS386" i="1"/>
  <c r="K387" i="1"/>
  <c r="P387" i="1"/>
  <c r="R387" i="1"/>
  <c r="BL387" i="1"/>
  <c r="BW387" i="1"/>
  <c r="CH387" i="1"/>
  <c r="CS387" i="1"/>
  <c r="K388" i="1"/>
  <c r="P388" i="1"/>
  <c r="R388" i="1"/>
  <c r="BL388" i="1"/>
  <c r="BW388" i="1"/>
  <c r="CH388" i="1"/>
  <c r="CS388" i="1"/>
  <c r="K389" i="1"/>
  <c r="P389" i="1"/>
  <c r="R389" i="1"/>
  <c r="BL389" i="1"/>
  <c r="BW389" i="1"/>
  <c r="CH389" i="1"/>
  <c r="CS389" i="1"/>
  <c r="K390" i="1"/>
  <c r="P390" i="1"/>
  <c r="R390" i="1"/>
  <c r="BL390" i="1"/>
  <c r="BW390" i="1"/>
  <c r="CH390" i="1"/>
  <c r="CS390" i="1"/>
  <c r="K391" i="1"/>
  <c r="P391" i="1"/>
  <c r="R391" i="1"/>
  <c r="BL391" i="1"/>
  <c r="BW391" i="1"/>
  <c r="CH391" i="1"/>
  <c r="CS391" i="1"/>
  <c r="K392" i="1"/>
  <c r="P392" i="1"/>
  <c r="R392" i="1"/>
  <c r="BL392" i="1"/>
  <c r="BW392" i="1"/>
  <c r="CH392" i="1"/>
  <c r="CS392" i="1"/>
  <c r="K393" i="1"/>
  <c r="P393" i="1"/>
  <c r="R393" i="1"/>
  <c r="BL393" i="1"/>
  <c r="BW393" i="1"/>
  <c r="CH393" i="1"/>
  <c r="CS393" i="1"/>
  <c r="K394" i="1"/>
  <c r="P394" i="1"/>
  <c r="R394" i="1"/>
  <c r="BL394" i="1"/>
  <c r="BW394" i="1"/>
  <c r="CH394" i="1"/>
  <c r="CS394" i="1"/>
  <c r="K395" i="1"/>
  <c r="P395" i="1"/>
  <c r="R395" i="1"/>
  <c r="BL395" i="1"/>
  <c r="BW395" i="1"/>
  <c r="CH395" i="1"/>
  <c r="CS395" i="1"/>
  <c r="K396" i="1"/>
  <c r="P396" i="1"/>
  <c r="R396" i="1"/>
  <c r="BL396" i="1"/>
  <c r="BW396" i="1"/>
  <c r="CH396" i="1"/>
  <c r="CS396" i="1"/>
  <c r="K397" i="1"/>
  <c r="P397" i="1"/>
  <c r="R397" i="1"/>
  <c r="BL397" i="1"/>
  <c r="BW397" i="1"/>
  <c r="CH397" i="1"/>
  <c r="CS397" i="1"/>
  <c r="K398" i="1"/>
  <c r="P398" i="1"/>
  <c r="R398" i="1"/>
  <c r="BL398" i="1"/>
  <c r="BW398" i="1"/>
  <c r="CH398" i="1"/>
  <c r="CS398" i="1"/>
  <c r="K399" i="1"/>
  <c r="P399" i="1"/>
  <c r="R399" i="1"/>
  <c r="BL399" i="1"/>
  <c r="BW399" i="1"/>
  <c r="CH399" i="1"/>
  <c r="CS399" i="1"/>
  <c r="K400" i="1"/>
  <c r="P400" i="1"/>
  <c r="R400" i="1"/>
  <c r="BL400" i="1"/>
  <c r="BW400" i="1"/>
  <c r="CH400" i="1"/>
  <c r="CS400" i="1"/>
  <c r="K401" i="1"/>
  <c r="P401" i="1"/>
  <c r="R401" i="1"/>
  <c r="BL401" i="1"/>
  <c r="BW401" i="1"/>
  <c r="CH401" i="1"/>
  <c r="CS401" i="1"/>
  <c r="K402" i="1"/>
  <c r="P402" i="1"/>
  <c r="R402" i="1"/>
  <c r="BL402" i="1"/>
  <c r="BW402" i="1"/>
  <c r="CH402" i="1"/>
  <c r="CS402" i="1"/>
  <c r="K403" i="1"/>
  <c r="P403" i="1"/>
  <c r="R403" i="1"/>
  <c r="BL403" i="1"/>
  <c r="BW403" i="1"/>
  <c r="CH403" i="1"/>
  <c r="CS403" i="1"/>
  <c r="K404" i="1"/>
  <c r="P404" i="1"/>
  <c r="R404" i="1"/>
  <c r="BL404" i="1"/>
  <c r="BW404" i="1"/>
  <c r="CH404" i="1"/>
  <c r="CS404" i="1"/>
  <c r="K405" i="1"/>
  <c r="P405" i="1"/>
  <c r="R405" i="1"/>
  <c r="BL405" i="1"/>
  <c r="BW405" i="1"/>
  <c r="CH405" i="1"/>
  <c r="CS405" i="1"/>
  <c r="K406" i="1"/>
  <c r="P406" i="1"/>
  <c r="R406" i="1"/>
  <c r="BL406" i="1"/>
  <c r="BW406" i="1"/>
  <c r="CH406" i="1"/>
  <c r="CS406" i="1"/>
  <c r="K407" i="1"/>
  <c r="P407" i="1"/>
  <c r="R407" i="1"/>
  <c r="BL407" i="1"/>
  <c r="BW407" i="1"/>
  <c r="CH407" i="1"/>
  <c r="CS407" i="1"/>
  <c r="K408" i="1"/>
  <c r="P408" i="1"/>
  <c r="R408" i="1"/>
  <c r="BL408" i="1"/>
  <c r="BW408" i="1"/>
  <c r="CH408" i="1"/>
  <c r="CS408" i="1"/>
  <c r="K409" i="1"/>
  <c r="P409" i="1"/>
  <c r="R409" i="1"/>
  <c r="BL409" i="1"/>
  <c r="BW409" i="1"/>
  <c r="CH409" i="1"/>
  <c r="CS409" i="1"/>
  <c r="K410" i="1"/>
  <c r="P410" i="1"/>
  <c r="R410" i="1"/>
  <c r="BL410" i="1"/>
  <c r="BW410" i="1"/>
  <c r="CH410" i="1"/>
  <c r="CS410" i="1"/>
  <c r="K411" i="1"/>
  <c r="P411" i="1"/>
  <c r="R411" i="1"/>
  <c r="BL411" i="1"/>
  <c r="BW411" i="1"/>
  <c r="CH411" i="1"/>
  <c r="CS411" i="1"/>
  <c r="K412" i="1"/>
  <c r="P412" i="1"/>
  <c r="R412" i="1"/>
  <c r="BL412" i="1"/>
  <c r="BW412" i="1"/>
  <c r="CH412" i="1"/>
  <c r="CS412" i="1"/>
  <c r="K413" i="1"/>
  <c r="P413" i="1"/>
  <c r="R413" i="1"/>
  <c r="BL413" i="1"/>
  <c r="BW413" i="1"/>
  <c r="CH413" i="1"/>
  <c r="CS413" i="1"/>
  <c r="K414" i="1"/>
  <c r="P414" i="1"/>
  <c r="R414" i="1"/>
  <c r="BL414" i="1"/>
  <c r="BW414" i="1"/>
  <c r="CH414" i="1"/>
  <c r="CS414" i="1"/>
  <c r="K415" i="1"/>
  <c r="P415" i="1"/>
  <c r="R415" i="1"/>
  <c r="BL415" i="1"/>
  <c r="BW415" i="1"/>
  <c r="CH415" i="1"/>
  <c r="CS415" i="1"/>
  <c r="K416" i="1"/>
  <c r="P416" i="1"/>
  <c r="R416" i="1"/>
  <c r="BL416" i="1"/>
  <c r="BW416" i="1"/>
  <c r="CH416" i="1"/>
  <c r="CS416" i="1"/>
  <c r="K417" i="1"/>
  <c r="P417" i="1"/>
  <c r="R417" i="1"/>
  <c r="BL417" i="1"/>
  <c r="BW417" i="1"/>
  <c r="CH417" i="1"/>
  <c r="CS417" i="1"/>
  <c r="K418" i="1"/>
  <c r="P418" i="1"/>
  <c r="R418" i="1"/>
  <c r="BL418" i="1"/>
  <c r="BW418" i="1"/>
  <c r="CH418" i="1"/>
  <c r="CS418" i="1"/>
  <c r="K419" i="1"/>
  <c r="P419" i="1"/>
  <c r="R419" i="1"/>
  <c r="BL419" i="1"/>
  <c r="BW419" i="1"/>
  <c r="CH419" i="1"/>
  <c r="CS419" i="1"/>
  <c r="K420" i="1"/>
  <c r="P420" i="1"/>
  <c r="R420" i="1"/>
  <c r="BL420" i="1"/>
  <c r="BW420" i="1"/>
  <c r="CH420" i="1"/>
  <c r="CS420" i="1"/>
  <c r="K421" i="1"/>
  <c r="P421" i="1"/>
  <c r="R421" i="1"/>
  <c r="BL421" i="1"/>
  <c r="BW421" i="1"/>
  <c r="CH421" i="1"/>
  <c r="CS421" i="1"/>
  <c r="K422" i="1"/>
  <c r="P422" i="1"/>
  <c r="R422" i="1"/>
  <c r="BL422" i="1"/>
  <c r="BW422" i="1"/>
  <c r="CH422" i="1"/>
  <c r="CS422" i="1"/>
  <c r="K423" i="1"/>
  <c r="P423" i="1"/>
  <c r="R423" i="1"/>
  <c r="BL423" i="1"/>
  <c r="BW423" i="1"/>
  <c r="CH423" i="1"/>
  <c r="CS423" i="1"/>
  <c r="K424" i="1"/>
  <c r="P424" i="1"/>
  <c r="R424" i="1"/>
  <c r="BL424" i="1"/>
  <c r="BW424" i="1"/>
  <c r="CH424" i="1"/>
  <c r="CS424" i="1"/>
  <c r="K425" i="1"/>
  <c r="P425" i="1"/>
  <c r="R425" i="1"/>
  <c r="BL425" i="1"/>
  <c r="BW425" i="1"/>
  <c r="CH425" i="1"/>
  <c r="CS425" i="1"/>
  <c r="K426" i="1"/>
  <c r="P426" i="1"/>
  <c r="R426" i="1"/>
  <c r="BL426" i="1"/>
  <c r="BW426" i="1"/>
  <c r="CH426" i="1"/>
  <c r="CS426" i="1"/>
  <c r="K427" i="1"/>
  <c r="P427" i="1"/>
  <c r="R427" i="1"/>
  <c r="BL427" i="1"/>
  <c r="BQ427" i="1"/>
  <c r="BW427" i="1"/>
  <c r="CH427" i="1"/>
  <c r="CS427" i="1"/>
  <c r="K428" i="1"/>
  <c r="P428" i="1"/>
  <c r="R428" i="1"/>
  <c r="BL428" i="1"/>
  <c r="BW428" i="1"/>
  <c r="CH428" i="1"/>
  <c r="CS428" i="1"/>
  <c r="K429" i="1"/>
  <c r="P429" i="1"/>
  <c r="R429" i="1"/>
  <c r="BL429" i="1"/>
  <c r="BW429" i="1"/>
  <c r="CH429" i="1"/>
  <c r="CS429" i="1"/>
  <c r="K430" i="1"/>
  <c r="P430" i="1"/>
  <c r="R430" i="1"/>
  <c r="BL430" i="1"/>
  <c r="BW430" i="1"/>
  <c r="CH430" i="1"/>
  <c r="CS430" i="1"/>
  <c r="K431" i="1"/>
  <c r="P431" i="1"/>
  <c r="R431" i="1"/>
  <c r="BL431" i="1"/>
  <c r="BW431" i="1"/>
  <c r="CH431" i="1"/>
  <c r="CS431" i="1"/>
  <c r="K432" i="1"/>
  <c r="P432" i="1"/>
  <c r="R432" i="1"/>
  <c r="BL432" i="1"/>
  <c r="BW432" i="1"/>
  <c r="CH432" i="1"/>
  <c r="CS432" i="1"/>
  <c r="K433" i="1"/>
  <c r="P433" i="1"/>
  <c r="R433" i="1"/>
  <c r="BL433" i="1"/>
  <c r="BW433" i="1"/>
  <c r="CH433" i="1"/>
  <c r="CS433" i="1"/>
  <c r="K434" i="1"/>
  <c r="P434" i="1"/>
  <c r="R434" i="1"/>
  <c r="BL434" i="1"/>
  <c r="BW434" i="1"/>
  <c r="CH434" i="1"/>
  <c r="CS434" i="1"/>
  <c r="K435" i="1"/>
  <c r="P435" i="1"/>
  <c r="R435" i="1"/>
  <c r="BL435" i="1"/>
  <c r="BW435" i="1"/>
  <c r="CH435" i="1"/>
  <c r="CS435" i="1"/>
  <c r="K436" i="1"/>
  <c r="P436" i="1"/>
  <c r="R436" i="1"/>
  <c r="BL436" i="1"/>
  <c r="BW436" i="1"/>
  <c r="CH436" i="1"/>
  <c r="CS436" i="1"/>
  <c r="K437" i="1"/>
  <c r="P437" i="1"/>
  <c r="R437" i="1"/>
  <c r="BL437" i="1"/>
  <c r="BW437" i="1"/>
  <c r="CH437" i="1"/>
  <c r="CS437" i="1"/>
  <c r="K438" i="1"/>
  <c r="P438" i="1"/>
  <c r="R438" i="1"/>
  <c r="BL438" i="1"/>
  <c r="BW438" i="1"/>
  <c r="CH438" i="1"/>
  <c r="CS438" i="1"/>
  <c r="K439" i="1"/>
  <c r="P439" i="1"/>
  <c r="R439" i="1"/>
  <c r="BL439" i="1"/>
  <c r="BW439" i="1"/>
  <c r="CH439" i="1"/>
  <c r="CS439" i="1"/>
  <c r="K440" i="1"/>
  <c r="P440" i="1"/>
  <c r="R440" i="1"/>
  <c r="BL440" i="1"/>
  <c r="BW440" i="1"/>
  <c r="CH440" i="1"/>
  <c r="CS440" i="1"/>
  <c r="K441" i="1"/>
  <c r="P441" i="1"/>
  <c r="R441" i="1"/>
  <c r="BL441" i="1"/>
  <c r="BW441" i="1"/>
  <c r="CH441" i="1"/>
  <c r="CS441" i="1"/>
  <c r="K442" i="1"/>
  <c r="P442" i="1"/>
  <c r="R442" i="1"/>
  <c r="BL442" i="1"/>
  <c r="BW442" i="1"/>
  <c r="CH442" i="1"/>
  <c r="CS442" i="1"/>
  <c r="K443" i="1"/>
  <c r="P443" i="1"/>
  <c r="R443" i="1"/>
  <c r="BL443" i="1"/>
  <c r="BW443" i="1"/>
  <c r="CH443" i="1"/>
  <c r="CS443" i="1"/>
  <c r="K444" i="1"/>
  <c r="P444" i="1"/>
  <c r="R444" i="1"/>
  <c r="BL444" i="1"/>
  <c r="BW444" i="1"/>
  <c r="CH444" i="1"/>
  <c r="CS444" i="1"/>
  <c r="K445" i="1"/>
  <c r="P445" i="1"/>
  <c r="R445" i="1"/>
  <c r="BL445" i="1"/>
  <c r="BW445" i="1"/>
  <c r="CH445" i="1"/>
  <c r="CS445" i="1"/>
  <c r="K446" i="1"/>
  <c r="P446" i="1"/>
  <c r="R446" i="1"/>
  <c r="BL446" i="1"/>
  <c r="BW446" i="1"/>
  <c r="CH446" i="1"/>
  <c r="CS446" i="1"/>
  <c r="K447" i="1"/>
  <c r="P447" i="1"/>
  <c r="R447" i="1"/>
  <c r="BL447" i="1"/>
  <c r="BW447" i="1"/>
  <c r="CH447" i="1"/>
  <c r="CS447" i="1"/>
  <c r="K448" i="1"/>
  <c r="P448" i="1"/>
  <c r="R448" i="1"/>
  <c r="BL448" i="1"/>
  <c r="BW448" i="1"/>
  <c r="CH448" i="1"/>
  <c r="CS448" i="1"/>
  <c r="K449" i="1"/>
  <c r="P449" i="1"/>
  <c r="R449" i="1"/>
  <c r="BL449" i="1"/>
  <c r="BW449" i="1"/>
  <c r="CH449" i="1"/>
  <c r="CS449" i="1"/>
  <c r="K450" i="1"/>
  <c r="P450" i="1"/>
  <c r="R450" i="1"/>
  <c r="BL450" i="1"/>
  <c r="BW450" i="1"/>
  <c r="CH450" i="1"/>
  <c r="CS450" i="1"/>
  <c r="K451" i="1"/>
  <c r="P451" i="1"/>
  <c r="R451" i="1"/>
  <c r="AM451" i="1"/>
  <c r="BL451" i="1"/>
  <c r="BW451" i="1"/>
  <c r="CH451" i="1"/>
  <c r="CS451" i="1"/>
  <c r="K452" i="1"/>
  <c r="P452" i="1"/>
  <c r="R452" i="1"/>
  <c r="BL452" i="1"/>
  <c r="BW452" i="1"/>
  <c r="CH452" i="1"/>
  <c r="CS452" i="1"/>
  <c r="K453" i="1"/>
  <c r="P453" i="1"/>
  <c r="R453" i="1"/>
  <c r="BL453" i="1"/>
  <c r="BQ453" i="1"/>
  <c r="BW453" i="1"/>
  <c r="CH453" i="1"/>
  <c r="CS453" i="1"/>
  <c r="K454" i="1"/>
  <c r="P454" i="1"/>
  <c r="R454" i="1"/>
  <c r="BL454" i="1"/>
  <c r="BW454" i="1"/>
  <c r="CH454" i="1"/>
  <c r="CS454" i="1"/>
  <c r="K455" i="1"/>
  <c r="P455" i="1"/>
  <c r="R455" i="1"/>
  <c r="BL455" i="1"/>
  <c r="BW455" i="1"/>
  <c r="CH455" i="1"/>
  <c r="CS455" i="1"/>
  <c r="K456" i="1"/>
  <c r="P456" i="1"/>
  <c r="R456" i="1"/>
  <c r="BL456" i="1"/>
  <c r="BW456" i="1"/>
  <c r="CH456" i="1"/>
  <c r="CS456" i="1"/>
  <c r="K457" i="1"/>
  <c r="P457" i="1"/>
  <c r="R457" i="1"/>
  <c r="BL457" i="1"/>
  <c r="BW457" i="1"/>
  <c r="CH457" i="1"/>
  <c r="CS457" i="1"/>
  <c r="K458" i="1"/>
  <c r="P458" i="1"/>
  <c r="R458" i="1"/>
  <c r="BL458" i="1"/>
  <c r="BW458" i="1"/>
  <c r="CH458" i="1"/>
  <c r="CS458" i="1"/>
  <c r="K459" i="1"/>
  <c r="P459" i="1"/>
  <c r="R459" i="1"/>
  <c r="BL459" i="1"/>
  <c r="BW459" i="1"/>
  <c r="CH459" i="1"/>
  <c r="CS459" i="1"/>
  <c r="K460" i="1"/>
  <c r="P460" i="1"/>
  <c r="R460" i="1"/>
  <c r="BL460" i="1"/>
  <c r="BW460" i="1"/>
  <c r="CH460" i="1"/>
  <c r="CS460" i="1"/>
  <c r="K461" i="1"/>
  <c r="P461" i="1"/>
  <c r="R461" i="1"/>
  <c r="BL461" i="1"/>
  <c r="BW461" i="1"/>
  <c r="CH461" i="1"/>
  <c r="CS461" i="1"/>
  <c r="K462" i="1"/>
  <c r="P462" i="1"/>
  <c r="R462" i="1"/>
  <c r="BL462" i="1"/>
  <c r="BW462" i="1"/>
  <c r="CH462" i="1"/>
  <c r="CS462" i="1"/>
  <c r="K463" i="1"/>
  <c r="P463" i="1"/>
  <c r="R463" i="1"/>
  <c r="BL463" i="1"/>
  <c r="BW463" i="1"/>
  <c r="CH463" i="1"/>
  <c r="CS463" i="1"/>
  <c r="K464" i="1"/>
  <c r="P464" i="1"/>
  <c r="R464" i="1"/>
  <c r="BL464" i="1"/>
  <c r="BW464" i="1"/>
  <c r="CH464" i="1"/>
  <c r="CS464" i="1"/>
  <c r="K465" i="1"/>
  <c r="P465" i="1"/>
  <c r="R465" i="1"/>
  <c r="BL465" i="1"/>
  <c r="BW465" i="1"/>
  <c r="CH465" i="1"/>
  <c r="CS465" i="1"/>
  <c r="K466" i="1"/>
  <c r="P466" i="1"/>
  <c r="R466" i="1"/>
  <c r="BL466" i="1"/>
  <c r="BW466" i="1"/>
  <c r="CH466" i="1"/>
  <c r="CS466" i="1"/>
  <c r="K467" i="1"/>
  <c r="P467" i="1"/>
  <c r="R467" i="1"/>
  <c r="BL467" i="1"/>
  <c r="BW467" i="1"/>
  <c r="CH467" i="1"/>
  <c r="CS467" i="1"/>
  <c r="K468" i="1"/>
  <c r="P468" i="1"/>
  <c r="R468" i="1"/>
  <c r="BL468" i="1"/>
  <c r="BW468" i="1"/>
  <c r="CH468" i="1"/>
  <c r="CS468" i="1"/>
  <c r="K469" i="1"/>
  <c r="P469" i="1"/>
  <c r="R469" i="1"/>
  <c r="BL469" i="1"/>
  <c r="BW469" i="1"/>
  <c r="CH469" i="1"/>
  <c r="CS469" i="1"/>
  <c r="K470" i="1"/>
  <c r="P470" i="1"/>
  <c r="R470" i="1"/>
  <c r="BL470" i="1"/>
  <c r="BW470" i="1"/>
  <c r="CH470" i="1"/>
  <c r="CS470" i="1"/>
  <c r="K471" i="1"/>
  <c r="P471" i="1"/>
  <c r="R471" i="1"/>
  <c r="BL471" i="1"/>
  <c r="BW471" i="1"/>
  <c r="CH471" i="1"/>
  <c r="CS471" i="1"/>
  <c r="K472" i="1"/>
  <c r="P472" i="1"/>
  <c r="R472" i="1"/>
  <c r="BL472" i="1"/>
  <c r="BW472" i="1"/>
  <c r="CH472" i="1"/>
  <c r="CS472" i="1"/>
  <c r="K473" i="1"/>
  <c r="P473" i="1"/>
  <c r="R473" i="1"/>
  <c r="BL473" i="1"/>
  <c r="BW473" i="1"/>
  <c r="CH473" i="1"/>
  <c r="CS473" i="1"/>
  <c r="K474" i="1"/>
  <c r="P474" i="1"/>
  <c r="R474" i="1"/>
  <c r="BL474" i="1"/>
  <c r="BW474" i="1"/>
  <c r="CH474" i="1"/>
  <c r="CS474" i="1"/>
  <c r="K475" i="1"/>
  <c r="P475" i="1"/>
  <c r="R475" i="1"/>
  <c r="BL475" i="1"/>
  <c r="BW475" i="1"/>
  <c r="CH475" i="1"/>
  <c r="CS475" i="1"/>
  <c r="K476" i="1"/>
  <c r="P476" i="1"/>
  <c r="R476" i="1"/>
  <c r="BL476" i="1"/>
  <c r="BW476" i="1"/>
  <c r="CH476" i="1"/>
  <c r="CS476" i="1"/>
  <c r="K477" i="1"/>
  <c r="P477" i="1"/>
  <c r="R477" i="1"/>
  <c r="BL477" i="1"/>
  <c r="BW477" i="1"/>
  <c r="CH477" i="1"/>
  <c r="CS477" i="1"/>
  <c r="K478" i="1"/>
  <c r="P478" i="1"/>
  <c r="R478" i="1"/>
  <c r="BL478" i="1"/>
  <c r="BW478" i="1"/>
  <c r="CH478" i="1"/>
  <c r="CS478" i="1"/>
  <c r="K479" i="1"/>
  <c r="P479" i="1"/>
  <c r="R479" i="1"/>
  <c r="BL479" i="1"/>
  <c r="BW479" i="1"/>
  <c r="CH479" i="1"/>
  <c r="CS479" i="1"/>
  <c r="K480" i="1"/>
  <c r="P480" i="1"/>
  <c r="R480" i="1"/>
  <c r="BL480" i="1"/>
  <c r="BW480" i="1"/>
  <c r="CH480" i="1"/>
  <c r="CS480" i="1"/>
  <c r="K481" i="1"/>
  <c r="P481" i="1"/>
  <c r="R481" i="1"/>
  <c r="BL481" i="1"/>
  <c r="BW481" i="1"/>
  <c r="CH481" i="1"/>
  <c r="CS481" i="1"/>
  <c r="K482" i="1"/>
  <c r="P482" i="1"/>
  <c r="R482" i="1"/>
  <c r="BL482" i="1"/>
  <c r="BW482" i="1"/>
  <c r="CH482" i="1"/>
  <c r="CS482" i="1"/>
  <c r="K483" i="1"/>
  <c r="P483" i="1"/>
  <c r="R483" i="1"/>
  <c r="BL483" i="1"/>
  <c r="BW483" i="1"/>
  <c r="CH483" i="1"/>
  <c r="CS483" i="1"/>
  <c r="K484" i="1"/>
  <c r="P484" i="1"/>
  <c r="R484" i="1"/>
  <c r="BL484" i="1"/>
  <c r="BQ484" i="1"/>
  <c r="BW484" i="1"/>
  <c r="CH484" i="1"/>
  <c r="CS484" i="1"/>
  <c r="K485" i="1"/>
  <c r="P485" i="1"/>
  <c r="R485" i="1"/>
  <c r="BL485" i="1"/>
  <c r="BW485" i="1"/>
  <c r="CH485" i="1"/>
  <c r="CS485" i="1"/>
  <c r="K486" i="1"/>
  <c r="P486" i="1"/>
  <c r="R486" i="1"/>
  <c r="BL486" i="1"/>
  <c r="BW486" i="1"/>
  <c r="CH486" i="1"/>
  <c r="CS486" i="1"/>
  <c r="K487" i="1"/>
  <c r="P487" i="1"/>
  <c r="R487" i="1"/>
  <c r="BL487" i="1"/>
  <c r="BW487" i="1"/>
  <c r="CH487" i="1"/>
  <c r="CS487" i="1"/>
  <c r="K488" i="1"/>
  <c r="P488" i="1"/>
  <c r="R488" i="1"/>
  <c r="BL488" i="1"/>
  <c r="BW488" i="1"/>
  <c r="CH488" i="1"/>
  <c r="CS488" i="1"/>
  <c r="K489" i="1"/>
  <c r="P489" i="1"/>
  <c r="R489" i="1"/>
  <c r="BL489" i="1"/>
  <c r="BW489" i="1"/>
  <c r="CH489" i="1"/>
  <c r="CS489" i="1"/>
  <c r="K490" i="1"/>
  <c r="P490" i="1"/>
  <c r="R490" i="1"/>
  <c r="BL490" i="1"/>
  <c r="BW490" i="1"/>
  <c r="CH490" i="1"/>
  <c r="CS490" i="1"/>
  <c r="K491" i="1"/>
  <c r="P491" i="1"/>
  <c r="R491" i="1"/>
  <c r="BL491" i="1"/>
  <c r="BW491" i="1"/>
  <c r="CH491" i="1"/>
  <c r="CS491" i="1"/>
  <c r="K492" i="1"/>
  <c r="P492" i="1"/>
  <c r="R492" i="1"/>
  <c r="BL492" i="1"/>
  <c r="BW492" i="1"/>
  <c r="CH492" i="1"/>
  <c r="CS492" i="1"/>
  <c r="K493" i="1"/>
  <c r="P493" i="1"/>
  <c r="R493" i="1"/>
  <c r="BL493" i="1"/>
  <c r="BW493" i="1"/>
  <c r="CH493" i="1"/>
  <c r="CS493" i="1"/>
  <c r="K494" i="1"/>
  <c r="P494" i="1"/>
  <c r="R494" i="1"/>
  <c r="BL494" i="1"/>
  <c r="BW494" i="1"/>
  <c r="CH494" i="1"/>
  <c r="CS494" i="1"/>
  <c r="K495" i="1"/>
  <c r="P495" i="1"/>
  <c r="R495" i="1"/>
  <c r="BL495" i="1"/>
  <c r="BW495" i="1"/>
  <c r="CH495" i="1"/>
  <c r="CS495" i="1"/>
  <c r="K496" i="1"/>
  <c r="P496" i="1"/>
  <c r="R496" i="1"/>
  <c r="BL496" i="1"/>
  <c r="BW496" i="1"/>
  <c r="CH496" i="1"/>
  <c r="CS496" i="1"/>
  <c r="K497" i="1"/>
  <c r="P497" i="1"/>
  <c r="R497" i="1"/>
  <c r="BL497" i="1"/>
  <c r="BW497" i="1"/>
  <c r="CH497" i="1"/>
  <c r="CS497" i="1"/>
  <c r="K498" i="1"/>
  <c r="P498" i="1"/>
  <c r="R498" i="1"/>
  <c r="BL498" i="1"/>
  <c r="BW498" i="1"/>
  <c r="CH498" i="1"/>
  <c r="CS498" i="1"/>
  <c r="K499" i="1"/>
  <c r="P499" i="1"/>
  <c r="R499" i="1"/>
  <c r="BL499" i="1"/>
  <c r="BW499" i="1"/>
  <c r="CH499" i="1"/>
  <c r="CS499" i="1"/>
  <c r="K500" i="1"/>
  <c r="P500" i="1"/>
  <c r="R500" i="1"/>
  <c r="BL500" i="1"/>
  <c r="BW500" i="1"/>
  <c r="CH500" i="1"/>
  <c r="CS500" i="1"/>
  <c r="K501" i="1"/>
  <c r="P501" i="1"/>
  <c r="R501" i="1"/>
  <c r="BL501" i="1"/>
  <c r="BW501" i="1"/>
  <c r="CH501" i="1"/>
  <c r="CS501" i="1"/>
  <c r="K502" i="1"/>
  <c r="P502" i="1"/>
  <c r="R502" i="1"/>
  <c r="BL502" i="1"/>
  <c r="BW502" i="1"/>
  <c r="CH502" i="1"/>
  <c r="CS502" i="1"/>
  <c r="K503" i="1"/>
  <c r="P503" i="1"/>
  <c r="R503" i="1"/>
  <c r="BL503" i="1"/>
  <c r="BW503" i="1"/>
  <c r="CH503" i="1"/>
  <c r="CS503" i="1"/>
  <c r="K504" i="1"/>
  <c r="P504" i="1"/>
  <c r="R504" i="1"/>
  <c r="BL504" i="1"/>
  <c r="BW504" i="1"/>
  <c r="CH504" i="1"/>
  <c r="CS504" i="1"/>
  <c r="K505" i="1"/>
  <c r="P505" i="1"/>
  <c r="R505" i="1"/>
  <c r="BL505" i="1"/>
  <c r="BW505" i="1"/>
  <c r="CH505" i="1"/>
  <c r="CS505" i="1"/>
  <c r="K506" i="1"/>
  <c r="P506" i="1"/>
  <c r="R506" i="1"/>
  <c r="BL506" i="1"/>
  <c r="BW506" i="1"/>
  <c r="CH506" i="1"/>
  <c r="CS506" i="1"/>
  <c r="K507" i="1"/>
  <c r="P507" i="1"/>
  <c r="R507" i="1"/>
  <c r="BL507" i="1"/>
  <c r="BW507" i="1"/>
  <c r="CH507" i="1"/>
  <c r="CS507" i="1"/>
  <c r="K508" i="1"/>
  <c r="P508" i="1"/>
  <c r="R508" i="1"/>
  <c r="BL508" i="1"/>
  <c r="BW508" i="1"/>
  <c r="CH508" i="1"/>
  <c r="CS508" i="1"/>
  <c r="K509" i="1"/>
  <c r="P509" i="1"/>
  <c r="R509" i="1"/>
  <c r="BL509" i="1"/>
  <c r="BW509" i="1"/>
  <c r="CH509" i="1"/>
  <c r="CS509" i="1"/>
  <c r="K510" i="1"/>
  <c r="P510" i="1"/>
  <c r="R510" i="1"/>
  <c r="BL510" i="1"/>
  <c r="BW510" i="1"/>
  <c r="CH510" i="1"/>
  <c r="CS510" i="1"/>
  <c r="K511" i="1"/>
  <c r="P511" i="1"/>
  <c r="R511" i="1"/>
  <c r="BL511" i="1"/>
  <c r="BW511" i="1"/>
  <c r="CH511" i="1"/>
  <c r="CS511" i="1"/>
  <c r="K512" i="1"/>
  <c r="P512" i="1"/>
  <c r="R512" i="1"/>
  <c r="BL512" i="1"/>
  <c r="BW512" i="1"/>
  <c r="CH512" i="1"/>
  <c r="CS512" i="1"/>
  <c r="K513" i="1"/>
  <c r="P513" i="1"/>
  <c r="R513" i="1"/>
  <c r="BL513" i="1"/>
  <c r="BW513" i="1"/>
  <c r="CH513" i="1"/>
  <c r="CS513" i="1"/>
  <c r="K514" i="1"/>
  <c r="P514" i="1"/>
  <c r="R514" i="1"/>
  <c r="BL514" i="1"/>
  <c r="BW514" i="1"/>
  <c r="CH514" i="1"/>
  <c r="CS514" i="1"/>
  <c r="K515" i="1"/>
  <c r="P515" i="1"/>
  <c r="R515" i="1"/>
  <c r="BL515" i="1"/>
  <c r="BW515" i="1"/>
  <c r="CH515" i="1"/>
  <c r="CS515" i="1"/>
  <c r="K516" i="1"/>
  <c r="P516" i="1"/>
  <c r="R516" i="1"/>
  <c r="BL516" i="1"/>
  <c r="BW516" i="1"/>
  <c r="CH516" i="1"/>
  <c r="CS516" i="1"/>
  <c r="K517" i="1"/>
  <c r="P517" i="1"/>
  <c r="R517" i="1"/>
  <c r="BL517" i="1"/>
  <c r="BW517" i="1"/>
  <c r="CH517" i="1"/>
  <c r="CS517" i="1"/>
  <c r="K518" i="1"/>
  <c r="P518" i="1"/>
  <c r="R518" i="1"/>
  <c r="BL518" i="1"/>
  <c r="BW518" i="1"/>
  <c r="CH518" i="1"/>
  <c r="CS518" i="1"/>
  <c r="K519" i="1"/>
  <c r="P519" i="1"/>
  <c r="R519" i="1"/>
  <c r="BL519" i="1"/>
  <c r="BW519" i="1"/>
  <c r="CH519" i="1"/>
  <c r="CS519" i="1"/>
  <c r="K520" i="1"/>
  <c r="P520" i="1"/>
  <c r="R520" i="1"/>
  <c r="BL520" i="1"/>
  <c r="BW520" i="1"/>
  <c r="CH520" i="1"/>
  <c r="CS520" i="1"/>
  <c r="K521" i="1"/>
  <c r="P521" i="1"/>
  <c r="R521" i="1"/>
  <c r="BL521" i="1"/>
  <c r="BW521" i="1"/>
  <c r="CH521" i="1"/>
  <c r="CS521" i="1"/>
  <c r="K522" i="1"/>
  <c r="P522" i="1"/>
  <c r="R522" i="1"/>
  <c r="BL522" i="1"/>
  <c r="BW522" i="1"/>
  <c r="CH522" i="1"/>
  <c r="CS522" i="1"/>
  <c r="K523" i="1"/>
  <c r="P523" i="1"/>
  <c r="R523" i="1"/>
  <c r="BL523" i="1"/>
  <c r="BW523" i="1"/>
  <c r="CH523" i="1"/>
  <c r="CS523" i="1"/>
  <c r="K524" i="1"/>
  <c r="P524" i="1"/>
  <c r="R524" i="1"/>
  <c r="BL524" i="1"/>
  <c r="BW524" i="1"/>
  <c r="CH524" i="1"/>
  <c r="CS524" i="1"/>
  <c r="K525" i="1"/>
  <c r="P525" i="1"/>
  <c r="R525" i="1"/>
  <c r="BL525" i="1"/>
  <c r="BW525" i="1"/>
  <c r="CH525" i="1"/>
  <c r="CS525" i="1"/>
  <c r="K526" i="1"/>
  <c r="P526" i="1"/>
  <c r="R526" i="1"/>
  <c r="BL526" i="1"/>
  <c r="BW526" i="1"/>
  <c r="CH526" i="1"/>
  <c r="CS526" i="1"/>
  <c r="K527" i="1"/>
  <c r="P527" i="1"/>
  <c r="R527" i="1"/>
  <c r="BL527" i="1"/>
  <c r="BW527" i="1"/>
  <c r="CH527" i="1"/>
  <c r="CS527" i="1"/>
  <c r="K528" i="1"/>
  <c r="P528" i="1"/>
  <c r="R528" i="1"/>
  <c r="BL528" i="1"/>
  <c r="BW528" i="1"/>
  <c r="CH528" i="1"/>
  <c r="CS528" i="1"/>
  <c r="K529" i="1"/>
  <c r="P529" i="1"/>
  <c r="R529" i="1"/>
  <c r="BL529" i="1"/>
  <c r="BW529" i="1"/>
  <c r="CH529" i="1"/>
  <c r="CS529" i="1"/>
  <c r="K530" i="1"/>
  <c r="P530" i="1"/>
  <c r="R530" i="1"/>
  <c r="BL530" i="1"/>
  <c r="BW530" i="1"/>
  <c r="CH530" i="1"/>
  <c r="CS530" i="1"/>
  <c r="K531" i="1"/>
  <c r="P531" i="1"/>
  <c r="R531" i="1"/>
  <c r="BL531" i="1"/>
  <c r="BW531" i="1"/>
  <c r="CH531" i="1"/>
  <c r="CS531" i="1"/>
  <c r="K532" i="1"/>
  <c r="P532" i="1"/>
  <c r="R532" i="1"/>
  <c r="BL532" i="1"/>
  <c r="BW532" i="1"/>
  <c r="CH532" i="1"/>
  <c r="CS532" i="1"/>
  <c r="K533" i="1"/>
  <c r="P533" i="1"/>
  <c r="R533" i="1"/>
  <c r="BL533" i="1"/>
  <c r="BW533" i="1"/>
  <c r="CH533" i="1"/>
  <c r="CS533" i="1"/>
  <c r="K534" i="1"/>
  <c r="P534" i="1"/>
  <c r="R534" i="1"/>
  <c r="BL534" i="1"/>
  <c r="BW534" i="1"/>
  <c r="CH534" i="1"/>
  <c r="CS534" i="1"/>
  <c r="K535" i="1"/>
  <c r="P535" i="1"/>
  <c r="R535" i="1"/>
  <c r="BL535" i="1"/>
  <c r="BW535" i="1"/>
  <c r="CH535" i="1"/>
  <c r="CS535" i="1"/>
  <c r="K536" i="1"/>
  <c r="P536" i="1"/>
  <c r="R536" i="1"/>
  <c r="BL536" i="1"/>
  <c r="BW536" i="1"/>
  <c r="CH536" i="1"/>
  <c r="CS536" i="1"/>
  <c r="K537" i="1"/>
  <c r="P537" i="1"/>
  <c r="R537" i="1"/>
  <c r="BL537" i="1"/>
  <c r="BW537" i="1"/>
  <c r="CH537" i="1"/>
  <c r="CS537" i="1"/>
  <c r="K538" i="1"/>
  <c r="P538" i="1"/>
  <c r="R538" i="1"/>
  <c r="BL538" i="1"/>
  <c r="BW538" i="1"/>
  <c r="CH538" i="1"/>
  <c r="CS538" i="1"/>
  <c r="K539" i="1"/>
  <c r="P539" i="1"/>
  <c r="R539" i="1"/>
  <c r="BL539" i="1"/>
  <c r="BW539" i="1"/>
  <c r="CH539" i="1"/>
  <c r="CS539" i="1"/>
  <c r="K540" i="1"/>
  <c r="P540" i="1"/>
  <c r="R540" i="1"/>
  <c r="BL540" i="1"/>
  <c r="BW540" i="1"/>
  <c r="CH540" i="1"/>
  <c r="CS540" i="1"/>
  <c r="K541" i="1"/>
  <c r="P541" i="1"/>
  <c r="R541" i="1"/>
  <c r="BL541" i="1"/>
  <c r="BW541" i="1"/>
  <c r="CH541" i="1"/>
  <c r="CS541" i="1"/>
  <c r="K542" i="1"/>
  <c r="P542" i="1"/>
  <c r="R542" i="1"/>
  <c r="BL542" i="1"/>
  <c r="BW542" i="1"/>
  <c r="CH542" i="1"/>
  <c r="CS542" i="1"/>
  <c r="K543" i="1"/>
  <c r="P543" i="1"/>
  <c r="R543" i="1"/>
  <c r="BL543" i="1"/>
  <c r="BW543" i="1"/>
  <c r="CH543" i="1"/>
  <c r="CS543" i="1"/>
  <c r="K544" i="1"/>
  <c r="P544" i="1"/>
  <c r="R544" i="1"/>
  <c r="BL544" i="1"/>
  <c r="BW544" i="1"/>
  <c r="CH544" i="1"/>
  <c r="CS544" i="1"/>
  <c r="K545" i="1"/>
  <c r="P545" i="1"/>
  <c r="R545" i="1"/>
  <c r="BL545" i="1"/>
  <c r="BW545" i="1"/>
  <c r="CH545" i="1"/>
  <c r="CS545" i="1"/>
  <c r="K546" i="1"/>
  <c r="P546" i="1"/>
  <c r="R546" i="1"/>
  <c r="BL546" i="1"/>
  <c r="BW546" i="1"/>
  <c r="CH546" i="1"/>
  <c r="CS546" i="1"/>
  <c r="K547" i="1"/>
  <c r="P547" i="1"/>
  <c r="R547" i="1"/>
  <c r="BL547" i="1"/>
  <c r="BW547" i="1"/>
  <c r="CH547" i="1"/>
  <c r="CS547" i="1"/>
  <c r="K548" i="1"/>
  <c r="P548" i="1"/>
  <c r="R548" i="1"/>
  <c r="BL548" i="1"/>
  <c r="BW548" i="1"/>
  <c r="CH548" i="1"/>
  <c r="CS548" i="1"/>
  <c r="K549" i="1"/>
  <c r="P549" i="1"/>
  <c r="R549" i="1"/>
  <c r="BL549" i="1"/>
  <c r="BW549" i="1"/>
  <c r="CH549" i="1"/>
  <c r="CS549" i="1"/>
  <c r="K550" i="1"/>
  <c r="P550" i="1"/>
  <c r="R550" i="1"/>
  <c r="BL550" i="1"/>
  <c r="BW550" i="1"/>
  <c r="CH550" i="1"/>
  <c r="CS550" i="1"/>
  <c r="K551" i="1"/>
  <c r="P551" i="1"/>
  <c r="R551" i="1"/>
  <c r="BL551" i="1"/>
  <c r="BW551" i="1"/>
  <c r="CH551" i="1"/>
  <c r="CS551" i="1"/>
  <c r="K552" i="1"/>
  <c r="P552" i="1"/>
  <c r="R552" i="1"/>
  <c r="BL552" i="1"/>
  <c r="BW552" i="1"/>
  <c r="CH552" i="1"/>
  <c r="CS552" i="1"/>
  <c r="K553" i="1"/>
  <c r="P553" i="1"/>
  <c r="R553" i="1"/>
  <c r="BL553" i="1"/>
  <c r="BW553" i="1"/>
  <c r="CH553" i="1"/>
  <c r="CS553" i="1"/>
  <c r="K554" i="1"/>
  <c r="P554" i="1"/>
  <c r="R554" i="1"/>
  <c r="BL554" i="1"/>
  <c r="BW554" i="1"/>
  <c r="CH554" i="1"/>
  <c r="CS554" i="1"/>
  <c r="K555" i="1"/>
  <c r="P555" i="1"/>
  <c r="R555" i="1"/>
  <c r="BL555" i="1"/>
  <c r="BW555" i="1"/>
  <c r="CH555" i="1"/>
  <c r="CS555" i="1"/>
  <c r="K556" i="1"/>
  <c r="P556" i="1"/>
  <c r="R556" i="1"/>
  <c r="BL556" i="1"/>
  <c r="BW556" i="1"/>
  <c r="CH556" i="1"/>
  <c r="CS556" i="1"/>
  <c r="K557" i="1"/>
  <c r="P557" i="1"/>
  <c r="R557" i="1"/>
  <c r="BL557" i="1"/>
  <c r="BW557" i="1"/>
  <c r="CH557" i="1"/>
  <c r="CS557" i="1"/>
  <c r="K558" i="1"/>
  <c r="P558" i="1"/>
  <c r="R558" i="1"/>
  <c r="BL558" i="1"/>
  <c r="BW558" i="1"/>
  <c r="CH558" i="1"/>
  <c r="CS558" i="1"/>
  <c r="K559" i="1"/>
  <c r="P559" i="1"/>
  <c r="R559" i="1"/>
  <c r="BL559" i="1"/>
  <c r="BW559" i="1"/>
  <c r="CH559" i="1"/>
  <c r="CS559" i="1"/>
  <c r="K560" i="1"/>
  <c r="P560" i="1"/>
  <c r="R560" i="1"/>
  <c r="BL560" i="1"/>
  <c r="BW560" i="1"/>
  <c r="CH560" i="1"/>
  <c r="CS560" i="1"/>
  <c r="K561" i="1"/>
  <c r="P561" i="1"/>
  <c r="R561" i="1"/>
  <c r="BL561" i="1"/>
  <c r="BW561" i="1"/>
  <c r="CH561" i="1"/>
  <c r="CS561" i="1"/>
  <c r="K562" i="1"/>
  <c r="P562" i="1"/>
  <c r="R562" i="1"/>
  <c r="BL562" i="1"/>
  <c r="BW562" i="1"/>
  <c r="CH562" i="1"/>
  <c r="CS562" i="1"/>
  <c r="K563" i="1"/>
  <c r="P563" i="1"/>
  <c r="R563" i="1"/>
  <c r="BL563" i="1"/>
  <c r="BW563" i="1"/>
  <c r="CH563" i="1"/>
  <c r="CS563" i="1"/>
  <c r="K564" i="1"/>
  <c r="P564" i="1"/>
  <c r="R564" i="1"/>
  <c r="BL564" i="1"/>
  <c r="BW564" i="1"/>
  <c r="CH564" i="1"/>
  <c r="CS564" i="1"/>
  <c r="K565" i="1"/>
  <c r="P565" i="1"/>
  <c r="R565" i="1"/>
  <c r="BL565" i="1"/>
  <c r="BW565" i="1"/>
  <c r="CH565" i="1"/>
  <c r="CS565" i="1"/>
  <c r="K566" i="1"/>
  <c r="P566" i="1"/>
  <c r="R566" i="1"/>
  <c r="BL566" i="1"/>
  <c r="BW566" i="1"/>
  <c r="CH566" i="1"/>
  <c r="CS566" i="1"/>
  <c r="K567" i="1"/>
  <c r="P567" i="1"/>
  <c r="R567" i="1"/>
  <c r="BL567" i="1"/>
  <c r="BW567" i="1"/>
  <c r="CH567" i="1"/>
  <c r="CS567" i="1"/>
  <c r="K568" i="1"/>
  <c r="P568" i="1"/>
  <c r="R568" i="1"/>
  <c r="BL568" i="1"/>
  <c r="BW568" i="1"/>
  <c r="CH568" i="1"/>
  <c r="CS568" i="1"/>
  <c r="K569" i="1"/>
  <c r="P569" i="1"/>
  <c r="R569" i="1"/>
  <c r="BL569" i="1"/>
  <c r="BW569" i="1"/>
  <c r="CH569" i="1"/>
  <c r="CS569" i="1"/>
  <c r="K570" i="1"/>
  <c r="P570" i="1"/>
  <c r="R570" i="1"/>
  <c r="BL570" i="1"/>
  <c r="BW570" i="1"/>
  <c r="CH570" i="1"/>
  <c r="CS570" i="1"/>
  <c r="K571" i="1"/>
  <c r="P571" i="1"/>
  <c r="R571" i="1"/>
  <c r="BL571" i="1"/>
  <c r="BW571" i="1"/>
  <c r="CH571" i="1"/>
  <c r="CS571" i="1"/>
  <c r="K572" i="1"/>
  <c r="P572" i="1"/>
  <c r="R572" i="1"/>
  <c r="BL572" i="1"/>
  <c r="BW572" i="1"/>
  <c r="CH572" i="1"/>
  <c r="CS572" i="1"/>
  <c r="K573" i="1"/>
  <c r="P573" i="1"/>
  <c r="R573" i="1"/>
  <c r="BL573" i="1"/>
  <c r="BW573" i="1"/>
  <c r="CH573" i="1"/>
  <c r="CS573" i="1"/>
  <c r="K574" i="1"/>
  <c r="P574" i="1"/>
  <c r="R574" i="1"/>
  <c r="BL574" i="1"/>
  <c r="BW574" i="1"/>
  <c r="CH574" i="1"/>
  <c r="CS574" i="1"/>
  <c r="K575" i="1"/>
  <c r="P575" i="1"/>
  <c r="R575" i="1"/>
  <c r="BL575" i="1"/>
  <c r="BW575" i="1"/>
  <c r="CH575" i="1"/>
  <c r="CS575" i="1"/>
  <c r="K576" i="1"/>
  <c r="P576" i="1"/>
  <c r="R576" i="1"/>
  <c r="BL576" i="1"/>
  <c r="BW576" i="1"/>
  <c r="CH576" i="1"/>
  <c r="CS576" i="1"/>
  <c r="K577" i="1"/>
  <c r="P577" i="1"/>
  <c r="R577" i="1"/>
  <c r="BL577" i="1"/>
  <c r="BW577" i="1"/>
  <c r="CH577" i="1"/>
  <c r="CS577" i="1"/>
  <c r="K578" i="1"/>
  <c r="P578" i="1"/>
  <c r="R578" i="1"/>
  <c r="BL578" i="1"/>
  <c r="BW578" i="1"/>
  <c r="CH578" i="1"/>
  <c r="CS578" i="1"/>
  <c r="K579" i="1"/>
  <c r="P579" i="1"/>
  <c r="R579" i="1"/>
  <c r="BL579" i="1"/>
  <c r="BW579" i="1"/>
  <c r="CH579" i="1"/>
  <c r="CS579" i="1"/>
  <c r="K580" i="1"/>
  <c r="P580" i="1"/>
  <c r="R580" i="1"/>
  <c r="BL580" i="1"/>
  <c r="BW580" i="1"/>
  <c r="CH580" i="1"/>
  <c r="CS580" i="1"/>
  <c r="K581" i="1"/>
  <c r="P581" i="1"/>
  <c r="R581" i="1"/>
  <c r="BL581" i="1"/>
  <c r="BW581" i="1"/>
  <c r="CH581" i="1"/>
  <c r="CS581" i="1"/>
  <c r="K582" i="1"/>
  <c r="P582" i="1"/>
  <c r="R582" i="1"/>
  <c r="BL582" i="1"/>
  <c r="BW582" i="1"/>
  <c r="CH582" i="1"/>
  <c r="CS582" i="1"/>
  <c r="K583" i="1"/>
  <c r="P583" i="1"/>
  <c r="R583" i="1"/>
  <c r="BL583" i="1"/>
  <c r="BW583" i="1"/>
  <c r="CH583" i="1"/>
  <c r="CS583" i="1"/>
  <c r="K584" i="1"/>
  <c r="P584" i="1"/>
  <c r="R584" i="1"/>
  <c r="BL584" i="1"/>
  <c r="BW584" i="1"/>
  <c r="CH584" i="1"/>
  <c r="CS584" i="1"/>
  <c r="K585" i="1"/>
  <c r="P585" i="1"/>
  <c r="R585" i="1"/>
  <c r="BL585" i="1"/>
  <c r="BW585" i="1"/>
  <c r="CH585" i="1"/>
  <c r="CS585" i="1"/>
  <c r="K586" i="1"/>
  <c r="P586" i="1"/>
  <c r="R586" i="1"/>
  <c r="BL586" i="1"/>
  <c r="BW586" i="1"/>
  <c r="CH586" i="1"/>
  <c r="CS586" i="1"/>
  <c r="K587" i="1"/>
  <c r="P587" i="1"/>
  <c r="R587" i="1"/>
  <c r="BL587" i="1"/>
  <c r="BW587" i="1"/>
  <c r="CH587" i="1"/>
  <c r="CS587" i="1"/>
  <c r="K588" i="1"/>
  <c r="P588" i="1"/>
  <c r="R588" i="1"/>
  <c r="BL588" i="1"/>
  <c r="BW588" i="1"/>
  <c r="CH588" i="1"/>
  <c r="CS588" i="1"/>
  <c r="K589" i="1"/>
  <c r="P589" i="1"/>
  <c r="R589" i="1"/>
  <c r="BL589" i="1"/>
  <c r="BW589" i="1"/>
  <c r="CH589" i="1"/>
  <c r="CS589" i="1"/>
  <c r="K590" i="1"/>
  <c r="P590" i="1"/>
  <c r="R590" i="1"/>
  <c r="BL590" i="1"/>
  <c r="BW590" i="1"/>
  <c r="CH590" i="1"/>
  <c r="CS590" i="1"/>
  <c r="K591" i="1"/>
  <c r="P591" i="1"/>
  <c r="R591" i="1"/>
  <c r="BL591" i="1"/>
  <c r="BQ591" i="1"/>
  <c r="BW591" i="1"/>
  <c r="CH591" i="1"/>
  <c r="CS591" i="1"/>
  <c r="K592" i="1"/>
  <c r="P592" i="1"/>
  <c r="R592" i="1"/>
  <c r="BL592" i="1"/>
  <c r="BW592" i="1"/>
  <c r="CH592" i="1"/>
  <c r="CS592" i="1"/>
  <c r="K593" i="1"/>
  <c r="P593" i="1"/>
  <c r="R593" i="1"/>
  <c r="BL593" i="1"/>
  <c r="BW593" i="1"/>
  <c r="CH593" i="1"/>
  <c r="CS593" i="1"/>
  <c r="K594" i="1"/>
  <c r="P594" i="1"/>
  <c r="R594" i="1"/>
  <c r="BL594" i="1"/>
  <c r="BW594" i="1"/>
  <c r="CH594" i="1"/>
  <c r="CS594" i="1"/>
  <c r="K595" i="1"/>
  <c r="P595" i="1"/>
  <c r="R595" i="1"/>
  <c r="BL595" i="1"/>
  <c r="BW595" i="1"/>
  <c r="CH595" i="1"/>
  <c r="CS595" i="1"/>
  <c r="K596" i="1"/>
  <c r="P596" i="1"/>
  <c r="R596" i="1"/>
  <c r="BL596" i="1"/>
  <c r="BW596" i="1"/>
  <c r="CH596" i="1"/>
  <c r="CS596" i="1"/>
  <c r="K597" i="1"/>
  <c r="P597" i="1"/>
  <c r="R597" i="1"/>
  <c r="BL597" i="1"/>
  <c r="BW597" i="1"/>
  <c r="CH597" i="1"/>
  <c r="CS597" i="1"/>
  <c r="K598" i="1"/>
  <c r="P598" i="1"/>
  <c r="R598" i="1"/>
  <c r="BL598" i="1"/>
  <c r="BW598" i="1"/>
  <c r="CH598" i="1"/>
  <c r="CS598" i="1"/>
  <c r="K599" i="1"/>
  <c r="P599" i="1"/>
  <c r="R599" i="1"/>
  <c r="BL599" i="1"/>
  <c r="BW599" i="1"/>
  <c r="CH599" i="1"/>
  <c r="CS599" i="1"/>
  <c r="K600" i="1"/>
  <c r="P600" i="1"/>
  <c r="R600" i="1"/>
  <c r="BL600" i="1"/>
  <c r="BW600" i="1"/>
  <c r="CH600" i="1"/>
  <c r="CS600" i="1"/>
  <c r="K601" i="1"/>
  <c r="P601" i="1"/>
  <c r="R601" i="1"/>
  <c r="BL601" i="1"/>
  <c r="BW601" i="1"/>
  <c r="CH601" i="1"/>
  <c r="CS601" i="1"/>
  <c r="K602" i="1"/>
  <c r="P602" i="1"/>
  <c r="R602" i="1"/>
  <c r="BL602" i="1"/>
  <c r="BW602" i="1"/>
  <c r="CH602" i="1"/>
  <c r="CS602" i="1"/>
  <c r="K603" i="1"/>
  <c r="P603" i="1"/>
  <c r="R603" i="1"/>
  <c r="BL603" i="1"/>
  <c r="BW603" i="1"/>
  <c r="CH603" i="1"/>
  <c r="CS603" i="1"/>
  <c r="K604" i="1"/>
  <c r="P604" i="1"/>
  <c r="R604" i="1"/>
  <c r="BL604" i="1"/>
  <c r="BW604" i="1"/>
  <c r="CH604" i="1"/>
  <c r="CS604" i="1"/>
  <c r="K605" i="1"/>
  <c r="P605" i="1"/>
  <c r="R605" i="1"/>
  <c r="BL605" i="1"/>
  <c r="BW605" i="1"/>
  <c r="CH605" i="1"/>
  <c r="CS605" i="1"/>
  <c r="K606" i="1"/>
  <c r="P606" i="1"/>
  <c r="R606" i="1"/>
  <c r="BL606" i="1"/>
  <c r="BW606" i="1"/>
  <c r="CH606" i="1"/>
  <c r="CS606" i="1"/>
  <c r="K607" i="1"/>
  <c r="P607" i="1"/>
  <c r="R607" i="1"/>
  <c r="BL607" i="1"/>
  <c r="BW607" i="1"/>
  <c r="CH607" i="1"/>
  <c r="CS607" i="1"/>
  <c r="K608" i="1"/>
  <c r="P608" i="1"/>
  <c r="R608" i="1"/>
  <c r="BL608" i="1"/>
  <c r="BW608" i="1"/>
  <c r="CH608" i="1"/>
  <c r="CS608" i="1"/>
  <c r="K609" i="1"/>
  <c r="P609" i="1"/>
  <c r="R609" i="1"/>
  <c r="BL609" i="1"/>
  <c r="BQ609" i="1"/>
  <c r="BW609" i="1"/>
  <c r="CB609" i="1"/>
  <c r="CH609" i="1"/>
  <c r="CS609" i="1"/>
  <c r="K610" i="1"/>
  <c r="P610" i="1"/>
  <c r="R610" i="1"/>
  <c r="BL610" i="1"/>
  <c r="BW610" i="1"/>
  <c r="CH610" i="1"/>
  <c r="CS610" i="1"/>
  <c r="K611" i="1"/>
  <c r="P611" i="1"/>
  <c r="R611" i="1"/>
  <c r="BL611" i="1"/>
  <c r="BW611" i="1"/>
  <c r="CH611" i="1"/>
  <c r="CS611" i="1"/>
  <c r="K612" i="1"/>
  <c r="P612" i="1"/>
  <c r="R612" i="1"/>
  <c r="BL612" i="1"/>
  <c r="BW612" i="1"/>
  <c r="CH612" i="1"/>
  <c r="CS612" i="1"/>
  <c r="K613" i="1"/>
  <c r="P613" i="1"/>
  <c r="R613" i="1"/>
  <c r="BL613" i="1"/>
  <c r="BW613" i="1"/>
  <c r="CH613" i="1"/>
  <c r="CS613" i="1"/>
  <c r="K614" i="1"/>
  <c r="P614" i="1"/>
  <c r="R614" i="1"/>
  <c r="BL614" i="1"/>
  <c r="BW614" i="1"/>
  <c r="CH614" i="1"/>
  <c r="CS614" i="1"/>
  <c r="K615" i="1"/>
  <c r="P615" i="1"/>
  <c r="R615" i="1"/>
  <c r="BL615" i="1"/>
  <c r="BW615" i="1"/>
  <c r="CH615" i="1"/>
  <c r="CS615" i="1"/>
  <c r="K616" i="1"/>
  <c r="P616" i="1"/>
  <c r="R616" i="1"/>
  <c r="BL616" i="1"/>
  <c r="BW616" i="1"/>
  <c r="CH616" i="1"/>
  <c r="CS616" i="1"/>
  <c r="K617" i="1"/>
  <c r="P617" i="1"/>
  <c r="R617" i="1"/>
  <c r="BL617" i="1"/>
  <c r="BW617" i="1"/>
  <c r="CH617" i="1"/>
  <c r="CS617" i="1"/>
  <c r="K618" i="1"/>
  <c r="P618" i="1"/>
  <c r="R618" i="1"/>
  <c r="BL618" i="1"/>
  <c r="BW618" i="1"/>
  <c r="CH618" i="1"/>
  <c r="CS618" i="1"/>
  <c r="K619" i="1"/>
  <c r="P619" i="1"/>
  <c r="R619" i="1"/>
  <c r="BL619" i="1"/>
  <c r="BW619" i="1"/>
  <c r="CH619" i="1"/>
  <c r="CS619" i="1"/>
  <c r="K620" i="1"/>
  <c r="P620" i="1"/>
  <c r="R620" i="1"/>
  <c r="BL620" i="1"/>
  <c r="BW620" i="1"/>
  <c r="CH620" i="1"/>
  <c r="CS620" i="1"/>
  <c r="K621" i="1"/>
  <c r="P621" i="1"/>
  <c r="R621" i="1"/>
  <c r="BL621" i="1"/>
  <c r="BW621" i="1"/>
  <c r="CH621" i="1"/>
  <c r="CS621" i="1"/>
  <c r="K622" i="1"/>
  <c r="P622" i="1"/>
  <c r="R622" i="1"/>
  <c r="BL622" i="1"/>
  <c r="BW622" i="1"/>
  <c r="CH622" i="1"/>
  <c r="CS622" i="1"/>
  <c r="K623" i="1"/>
  <c r="P623" i="1"/>
  <c r="R623" i="1"/>
  <c r="BL623" i="1"/>
  <c r="BW623" i="1"/>
  <c r="CH623" i="1"/>
  <c r="CS623" i="1"/>
  <c r="K624" i="1"/>
  <c r="P624" i="1"/>
  <c r="R624" i="1"/>
  <c r="BL624" i="1"/>
  <c r="BW624" i="1"/>
  <c r="CH624" i="1"/>
  <c r="CS624" i="1"/>
  <c r="K625" i="1"/>
  <c r="P625" i="1"/>
  <c r="R625" i="1"/>
  <c r="BL625" i="1"/>
  <c r="BW625" i="1"/>
  <c r="CH625" i="1"/>
  <c r="CS625" i="1"/>
  <c r="K626" i="1"/>
  <c r="P626" i="1"/>
  <c r="R626" i="1"/>
  <c r="BL626" i="1"/>
  <c r="BW626" i="1"/>
  <c r="CH626" i="1"/>
  <c r="CS626" i="1"/>
  <c r="K627" i="1"/>
  <c r="P627" i="1"/>
  <c r="R627" i="1"/>
  <c r="BL627" i="1"/>
  <c r="BW627" i="1"/>
  <c r="CH627" i="1"/>
  <c r="CS627" i="1"/>
  <c r="K628" i="1"/>
  <c r="P628" i="1"/>
  <c r="R628" i="1"/>
  <c r="BL628" i="1"/>
  <c r="BW628" i="1"/>
  <c r="CH628" i="1"/>
  <c r="CS628" i="1"/>
  <c r="K629" i="1"/>
  <c r="P629" i="1"/>
  <c r="R629" i="1"/>
  <c r="BL629" i="1"/>
  <c r="BW629" i="1"/>
  <c r="CH629" i="1"/>
  <c r="CS629" i="1"/>
  <c r="K630" i="1"/>
  <c r="P630" i="1"/>
  <c r="R630" i="1"/>
  <c r="BL630" i="1"/>
  <c r="BW630" i="1"/>
  <c r="CH630" i="1"/>
  <c r="CS630" i="1"/>
  <c r="K631" i="1"/>
  <c r="P631" i="1"/>
  <c r="R631" i="1"/>
  <c r="BL631" i="1"/>
  <c r="BW631" i="1"/>
  <c r="CH631" i="1"/>
  <c r="CS631" i="1"/>
  <c r="K632" i="1"/>
  <c r="P632" i="1"/>
  <c r="R632" i="1"/>
  <c r="BL632" i="1"/>
  <c r="BW632" i="1"/>
  <c r="CH632" i="1"/>
  <c r="CS632" i="1"/>
  <c r="K633" i="1"/>
  <c r="P633" i="1"/>
  <c r="R633" i="1"/>
  <c r="BL633" i="1"/>
  <c r="BW633" i="1"/>
  <c r="CH633" i="1"/>
  <c r="CS633" i="1"/>
  <c r="K634" i="1"/>
  <c r="P634" i="1"/>
  <c r="R634" i="1"/>
  <c r="BL634" i="1"/>
  <c r="BW634" i="1"/>
  <c r="CH634" i="1"/>
  <c r="CS634" i="1"/>
  <c r="K635" i="1"/>
  <c r="P635" i="1"/>
  <c r="R635" i="1"/>
  <c r="BL635" i="1"/>
  <c r="BW635" i="1"/>
  <c r="CH635" i="1"/>
  <c r="CS635" i="1"/>
  <c r="K636" i="1"/>
  <c r="P636" i="1"/>
  <c r="R636" i="1"/>
  <c r="BL636" i="1"/>
  <c r="BW636" i="1"/>
  <c r="CH636" i="1"/>
  <c r="CS636" i="1"/>
  <c r="K637" i="1"/>
  <c r="P637" i="1"/>
  <c r="R637" i="1"/>
  <c r="BL637" i="1"/>
  <c r="BW637" i="1"/>
  <c r="CH637" i="1"/>
  <c r="CS637" i="1"/>
  <c r="K638" i="1"/>
  <c r="P638" i="1"/>
  <c r="R638" i="1"/>
  <c r="BL638" i="1"/>
  <c r="BW638" i="1"/>
  <c r="CH638" i="1"/>
  <c r="CS638" i="1"/>
  <c r="K639" i="1"/>
  <c r="P639" i="1"/>
  <c r="R639" i="1"/>
  <c r="BL639" i="1"/>
  <c r="BW639" i="1"/>
  <c r="CH639" i="1"/>
  <c r="CS639" i="1"/>
  <c r="K640" i="1"/>
  <c r="P640" i="1"/>
  <c r="R640" i="1"/>
  <c r="BL640" i="1"/>
  <c r="BW640" i="1"/>
  <c r="CH640" i="1"/>
  <c r="CS640" i="1"/>
  <c r="K641" i="1"/>
  <c r="P641" i="1"/>
  <c r="R641" i="1"/>
  <c r="BL641" i="1"/>
  <c r="BW641" i="1"/>
  <c r="CH641" i="1"/>
  <c r="CS641" i="1"/>
  <c r="K642" i="1"/>
  <c r="P642" i="1"/>
  <c r="R642" i="1"/>
  <c r="BL642" i="1"/>
  <c r="BW642" i="1"/>
  <c r="CH642" i="1"/>
  <c r="CS642" i="1"/>
  <c r="K643" i="1"/>
  <c r="P643" i="1"/>
  <c r="R643" i="1"/>
  <c r="BL643" i="1"/>
  <c r="BW643" i="1"/>
  <c r="CH643" i="1"/>
  <c r="CS643" i="1"/>
  <c r="K644" i="1"/>
  <c r="P644" i="1"/>
  <c r="R644" i="1"/>
  <c r="BL644" i="1"/>
  <c r="BW644" i="1"/>
  <c r="CH644" i="1"/>
  <c r="CS644" i="1"/>
  <c r="K645" i="1"/>
  <c r="P645" i="1"/>
  <c r="R645" i="1"/>
  <c r="BL645" i="1"/>
  <c r="BW645" i="1"/>
  <c r="CH645" i="1"/>
  <c r="CS645" i="1"/>
  <c r="K646" i="1"/>
  <c r="P646" i="1"/>
  <c r="R646" i="1"/>
  <c r="BL646" i="1"/>
  <c r="BW646" i="1"/>
  <c r="CH646" i="1"/>
  <c r="CS646" i="1"/>
  <c r="K647" i="1"/>
  <c r="P647" i="1"/>
  <c r="R647" i="1"/>
  <c r="BL647" i="1"/>
  <c r="BW647" i="1"/>
  <c r="CH647" i="1"/>
  <c r="CS647" i="1"/>
  <c r="K648" i="1"/>
  <c r="P648" i="1"/>
  <c r="R648" i="1"/>
  <c r="BL648" i="1"/>
  <c r="BW648" i="1"/>
  <c r="CH648" i="1"/>
  <c r="CS648" i="1"/>
  <c r="K649" i="1"/>
  <c r="P649" i="1"/>
  <c r="R649" i="1"/>
  <c r="BL649" i="1"/>
  <c r="BW649" i="1"/>
  <c r="CH649" i="1"/>
  <c r="CS649" i="1"/>
  <c r="K650" i="1"/>
  <c r="P650" i="1"/>
  <c r="R650" i="1"/>
  <c r="BL650" i="1"/>
  <c r="BW650" i="1"/>
  <c r="CH650" i="1"/>
  <c r="CS650" i="1"/>
  <c r="K651" i="1"/>
  <c r="P651" i="1"/>
  <c r="R651" i="1"/>
  <c r="BL651" i="1"/>
  <c r="BW651" i="1"/>
  <c r="CH651" i="1"/>
  <c r="CS651" i="1"/>
  <c r="K652" i="1"/>
  <c r="P652" i="1"/>
  <c r="R652" i="1"/>
  <c r="BL652" i="1"/>
  <c r="BW652" i="1"/>
  <c r="CH652" i="1"/>
  <c r="CS652" i="1"/>
  <c r="K653" i="1"/>
  <c r="P653" i="1"/>
  <c r="R653" i="1"/>
  <c r="BL653" i="1"/>
  <c r="BW653" i="1"/>
  <c r="CH653" i="1"/>
  <c r="CS653" i="1"/>
  <c r="K654" i="1"/>
  <c r="P654" i="1"/>
  <c r="R654" i="1"/>
  <c r="BL654" i="1"/>
  <c r="BW654" i="1"/>
  <c r="CH654" i="1"/>
  <c r="CS654" i="1"/>
  <c r="K655" i="1"/>
  <c r="P655" i="1"/>
  <c r="R655" i="1"/>
  <c r="BL655" i="1"/>
  <c r="BW655" i="1"/>
  <c r="CH655" i="1"/>
  <c r="CS655" i="1"/>
  <c r="K656" i="1"/>
  <c r="P656" i="1"/>
  <c r="R656" i="1"/>
  <c r="BL656" i="1"/>
  <c r="BW656" i="1"/>
  <c r="CH656" i="1"/>
  <c r="CS656" i="1"/>
  <c r="K657" i="1"/>
  <c r="P657" i="1"/>
  <c r="R657" i="1"/>
  <c r="BL657" i="1"/>
  <c r="BW657" i="1"/>
  <c r="CH657" i="1"/>
  <c r="CS657" i="1"/>
  <c r="K658" i="1"/>
  <c r="P658" i="1"/>
  <c r="R658" i="1"/>
  <c r="BL658" i="1"/>
  <c r="BW658" i="1"/>
  <c r="CH658" i="1"/>
  <c r="CS658" i="1"/>
  <c r="K659" i="1"/>
  <c r="P659" i="1"/>
  <c r="R659" i="1"/>
  <c r="BL659" i="1"/>
  <c r="BW659" i="1"/>
  <c r="CH659" i="1"/>
  <c r="CS659" i="1"/>
  <c r="K660" i="1"/>
  <c r="P660" i="1"/>
  <c r="R660" i="1"/>
  <c r="BL660" i="1"/>
  <c r="BW660" i="1"/>
  <c r="CH660" i="1"/>
  <c r="CS660" i="1"/>
  <c r="K661" i="1"/>
  <c r="P661" i="1"/>
  <c r="R661" i="1"/>
  <c r="BL661" i="1"/>
  <c r="BW661" i="1"/>
  <c r="CH661" i="1"/>
  <c r="CS661" i="1"/>
  <c r="K662" i="1"/>
  <c r="P662" i="1"/>
  <c r="R662" i="1"/>
  <c r="BL662" i="1"/>
  <c r="BW662" i="1"/>
  <c r="CH662" i="1"/>
  <c r="CS662" i="1"/>
  <c r="K663" i="1"/>
  <c r="P663" i="1"/>
  <c r="R663" i="1"/>
  <c r="BL663" i="1"/>
  <c r="BW663" i="1"/>
  <c r="CH663" i="1"/>
  <c r="CS663" i="1"/>
  <c r="K664" i="1"/>
  <c r="P664" i="1"/>
  <c r="R664" i="1"/>
  <c r="BL664" i="1"/>
  <c r="BW664" i="1"/>
  <c r="CH664" i="1"/>
  <c r="CS664" i="1"/>
  <c r="K665" i="1"/>
  <c r="P665" i="1"/>
  <c r="R665" i="1"/>
  <c r="BL665" i="1"/>
  <c r="BW665" i="1"/>
  <c r="CH665" i="1"/>
  <c r="CS665" i="1"/>
  <c r="K666" i="1"/>
  <c r="P666" i="1"/>
  <c r="R666" i="1"/>
  <c r="BL666" i="1"/>
  <c r="BW666" i="1"/>
  <c r="CH666" i="1"/>
  <c r="CS666" i="1"/>
  <c r="K667" i="1"/>
  <c r="P667" i="1"/>
  <c r="R667" i="1"/>
  <c r="BL667" i="1"/>
  <c r="BW667" i="1"/>
  <c r="CH667" i="1"/>
  <c r="CS667" i="1"/>
  <c r="K668" i="1"/>
  <c r="P668" i="1"/>
  <c r="R668" i="1"/>
  <c r="BL668" i="1"/>
  <c r="BW668" i="1"/>
  <c r="CH668" i="1"/>
  <c r="CS668" i="1"/>
  <c r="K669" i="1"/>
  <c r="P669" i="1"/>
  <c r="R669" i="1"/>
  <c r="BL669" i="1"/>
  <c r="BW669" i="1"/>
  <c r="CH669" i="1"/>
  <c r="CS669" i="1"/>
  <c r="K670" i="1"/>
  <c r="P670" i="1"/>
  <c r="R670" i="1"/>
  <c r="BL670" i="1"/>
  <c r="BW670" i="1"/>
  <c r="CH670" i="1"/>
  <c r="CS670" i="1"/>
  <c r="K671" i="1"/>
  <c r="P671" i="1"/>
  <c r="R671" i="1"/>
  <c r="BL671" i="1"/>
  <c r="BW671" i="1"/>
  <c r="CH671" i="1"/>
  <c r="CS671" i="1"/>
  <c r="K672" i="1"/>
  <c r="P672" i="1"/>
  <c r="R672" i="1"/>
  <c r="BL672" i="1"/>
  <c r="BW672" i="1"/>
  <c r="CH672" i="1"/>
  <c r="CS672" i="1"/>
  <c r="K673" i="1"/>
  <c r="P673" i="1"/>
  <c r="R673" i="1"/>
  <c r="BL673" i="1"/>
  <c r="BW673" i="1"/>
  <c r="CH673" i="1"/>
  <c r="CS673" i="1"/>
  <c r="K674" i="1"/>
  <c r="P674" i="1"/>
  <c r="R674" i="1"/>
  <c r="BL674" i="1"/>
  <c r="BW674" i="1"/>
  <c r="CH674" i="1"/>
  <c r="CS674" i="1"/>
  <c r="K675" i="1"/>
  <c r="P675" i="1"/>
  <c r="R675" i="1"/>
  <c r="BL675" i="1"/>
  <c r="BW675" i="1"/>
  <c r="CH675" i="1"/>
  <c r="CS675" i="1"/>
  <c r="K676" i="1"/>
  <c r="P676" i="1"/>
  <c r="R676" i="1"/>
  <c r="BL676" i="1"/>
  <c r="BW676" i="1"/>
  <c r="CH676" i="1"/>
  <c r="CS676" i="1"/>
  <c r="K677" i="1"/>
  <c r="P677" i="1"/>
  <c r="R677" i="1"/>
  <c r="BL677" i="1"/>
  <c r="BW677" i="1"/>
  <c r="CH677" i="1"/>
  <c r="CS677" i="1"/>
  <c r="K678" i="1"/>
  <c r="P678" i="1"/>
  <c r="R678" i="1"/>
  <c r="BL678" i="1"/>
  <c r="BW678" i="1"/>
  <c r="CH678" i="1"/>
  <c r="CS678" i="1"/>
  <c r="K679" i="1"/>
  <c r="P679" i="1"/>
  <c r="R679" i="1"/>
  <c r="BL679" i="1"/>
  <c r="BW679" i="1"/>
  <c r="CH679" i="1"/>
  <c r="CS679" i="1"/>
  <c r="K680" i="1"/>
  <c r="P680" i="1"/>
  <c r="R680" i="1"/>
  <c r="BL680" i="1"/>
  <c r="BW680" i="1"/>
  <c r="CH680" i="1"/>
  <c r="CS680" i="1"/>
  <c r="K681" i="1"/>
  <c r="P681" i="1"/>
  <c r="R681" i="1"/>
  <c r="BL681" i="1"/>
  <c r="BW681" i="1"/>
  <c r="CH681" i="1"/>
  <c r="CS681" i="1"/>
  <c r="K682" i="1"/>
  <c r="P682" i="1"/>
  <c r="R682" i="1"/>
  <c r="BL682" i="1"/>
  <c r="BW682" i="1"/>
  <c r="CH682" i="1"/>
  <c r="CS682" i="1"/>
  <c r="K683" i="1"/>
  <c r="P683" i="1"/>
  <c r="R683" i="1"/>
  <c r="BL683" i="1"/>
  <c r="BW683" i="1"/>
  <c r="CH683" i="1"/>
  <c r="CS683" i="1"/>
  <c r="K684" i="1"/>
  <c r="P684" i="1"/>
  <c r="R684" i="1"/>
  <c r="BL684" i="1"/>
  <c r="BW684" i="1"/>
  <c r="CH684" i="1"/>
  <c r="CS684" i="1"/>
  <c r="K685" i="1"/>
  <c r="P685" i="1"/>
  <c r="R685" i="1"/>
  <c r="BL685" i="1"/>
  <c r="BW685" i="1"/>
  <c r="CH685" i="1"/>
  <c r="CS685" i="1"/>
  <c r="K686" i="1"/>
  <c r="P686" i="1"/>
  <c r="R686" i="1"/>
  <c r="BL686" i="1"/>
  <c r="BW686" i="1"/>
  <c r="CH686" i="1"/>
  <c r="CS686" i="1"/>
  <c r="K687" i="1"/>
  <c r="P687" i="1"/>
  <c r="R687" i="1"/>
  <c r="BL687" i="1"/>
  <c r="BW687" i="1"/>
  <c r="CH687" i="1"/>
  <c r="CS687" i="1"/>
  <c r="K688" i="1"/>
  <c r="P688" i="1"/>
  <c r="R688" i="1"/>
  <c r="BL688" i="1"/>
  <c r="BW688" i="1"/>
  <c r="CH688" i="1"/>
  <c r="CS688" i="1"/>
  <c r="K689" i="1"/>
  <c r="P689" i="1"/>
  <c r="R689" i="1"/>
  <c r="BL689" i="1"/>
  <c r="BW689" i="1"/>
  <c r="CH689" i="1"/>
  <c r="CS689" i="1"/>
  <c r="K690" i="1"/>
  <c r="P690" i="1"/>
  <c r="R690" i="1"/>
  <c r="BL690" i="1"/>
  <c r="BW690" i="1"/>
  <c r="CH690" i="1"/>
  <c r="CS690" i="1"/>
  <c r="K691" i="1"/>
  <c r="P691" i="1"/>
  <c r="R691" i="1"/>
  <c r="BL691" i="1"/>
  <c r="BW691" i="1"/>
  <c r="CH691" i="1"/>
  <c r="CS691" i="1"/>
  <c r="K692" i="1"/>
  <c r="P692" i="1"/>
  <c r="R692" i="1"/>
  <c r="BL692" i="1"/>
  <c r="BW692" i="1"/>
  <c r="CH692" i="1"/>
  <c r="CS692" i="1"/>
  <c r="K693" i="1"/>
  <c r="P693" i="1"/>
  <c r="R693" i="1"/>
  <c r="BL693" i="1"/>
  <c r="BW693" i="1"/>
  <c r="CH693" i="1"/>
  <c r="CS693" i="1"/>
  <c r="K694" i="1"/>
  <c r="P694" i="1"/>
  <c r="R694" i="1"/>
  <c r="BL694" i="1"/>
  <c r="BW694" i="1"/>
  <c r="CH694" i="1"/>
  <c r="CS694" i="1"/>
  <c r="K695" i="1"/>
  <c r="P695" i="1"/>
  <c r="R695" i="1"/>
  <c r="BL695" i="1"/>
  <c r="BW695" i="1"/>
  <c r="CH695" i="1"/>
  <c r="CS695" i="1"/>
  <c r="K696" i="1"/>
  <c r="P696" i="1"/>
  <c r="R696" i="1"/>
  <c r="BL696" i="1"/>
  <c r="BW696" i="1"/>
  <c r="CH696" i="1"/>
  <c r="CS696" i="1"/>
  <c r="K697" i="1"/>
  <c r="P697" i="1"/>
  <c r="R697" i="1"/>
  <c r="BL697" i="1"/>
  <c r="BW697" i="1"/>
  <c r="CH697" i="1"/>
  <c r="CS697" i="1"/>
  <c r="K698" i="1"/>
  <c r="P698" i="1"/>
  <c r="R698" i="1"/>
  <c r="BL698" i="1"/>
  <c r="BW698" i="1"/>
  <c r="CH698" i="1"/>
  <c r="CS698" i="1"/>
  <c r="K699" i="1"/>
  <c r="P699" i="1"/>
  <c r="R699" i="1"/>
  <c r="BL699" i="1"/>
  <c r="BW699" i="1"/>
  <c r="CH699" i="1"/>
  <c r="CS699" i="1"/>
  <c r="K700" i="1"/>
  <c r="P700" i="1"/>
  <c r="R700" i="1"/>
  <c r="BL700" i="1"/>
  <c r="BW700" i="1"/>
  <c r="CH700" i="1"/>
  <c r="CS700" i="1"/>
  <c r="K701" i="1"/>
  <c r="P701" i="1"/>
  <c r="R701" i="1"/>
  <c r="BL701" i="1"/>
  <c r="BW701" i="1"/>
  <c r="CH701" i="1"/>
  <c r="CS701" i="1"/>
  <c r="K702" i="1"/>
  <c r="P702" i="1"/>
  <c r="R702" i="1"/>
  <c r="BL702" i="1"/>
  <c r="BW702" i="1"/>
  <c r="CH702" i="1"/>
  <c r="CS702" i="1"/>
  <c r="K703" i="1"/>
  <c r="P703" i="1"/>
  <c r="R703" i="1"/>
  <c r="BL703" i="1"/>
  <c r="BW703" i="1"/>
  <c r="CH703" i="1"/>
  <c r="CS703" i="1"/>
  <c r="K704" i="1"/>
  <c r="P704" i="1"/>
  <c r="R704" i="1"/>
  <c r="BL704" i="1"/>
  <c r="BW704" i="1"/>
  <c r="CH704" i="1"/>
  <c r="CS704" i="1"/>
  <c r="K705" i="1"/>
  <c r="P705" i="1"/>
  <c r="R705" i="1"/>
  <c r="BL705" i="1"/>
  <c r="BW705" i="1"/>
  <c r="CH705" i="1"/>
  <c r="CS705" i="1"/>
  <c r="K706" i="1"/>
  <c r="P706" i="1"/>
  <c r="R706" i="1"/>
  <c r="BL706" i="1"/>
  <c r="BW706" i="1"/>
  <c r="CH706" i="1"/>
  <c r="CS706" i="1"/>
  <c r="K707" i="1"/>
  <c r="P707" i="1"/>
  <c r="R707" i="1"/>
  <c r="BL707" i="1"/>
  <c r="BW707" i="1"/>
  <c r="CH707" i="1"/>
  <c r="CS707" i="1"/>
  <c r="K708" i="1"/>
  <c r="P708" i="1"/>
  <c r="R708" i="1"/>
  <c r="AM708" i="1"/>
  <c r="BL708" i="1"/>
  <c r="BW708" i="1"/>
  <c r="CH708" i="1"/>
  <c r="CS708" i="1"/>
  <c r="K709" i="1"/>
  <c r="P709" i="1"/>
  <c r="R709" i="1"/>
  <c r="BL709" i="1"/>
  <c r="BW709" i="1"/>
  <c r="CH709" i="1"/>
  <c r="CS709" i="1"/>
  <c r="K710" i="1"/>
  <c r="P710" i="1"/>
  <c r="R710" i="1"/>
  <c r="BL710" i="1"/>
  <c r="BW710" i="1"/>
  <c r="CH710" i="1"/>
  <c r="CS710" i="1"/>
  <c r="K711" i="1"/>
  <c r="P711" i="1"/>
  <c r="R711" i="1"/>
  <c r="BL711" i="1"/>
  <c r="BW711" i="1"/>
  <c r="CH711" i="1"/>
  <c r="CS711" i="1"/>
  <c r="K712" i="1"/>
  <c r="P712" i="1"/>
  <c r="R712" i="1"/>
  <c r="BL712" i="1"/>
  <c r="BW712" i="1"/>
  <c r="CH712" i="1"/>
  <c r="CS712" i="1"/>
  <c r="K713" i="1"/>
  <c r="P713" i="1"/>
  <c r="R713" i="1"/>
  <c r="BL713" i="1"/>
  <c r="BW713" i="1"/>
  <c r="CH713" i="1"/>
  <c r="CS713" i="1"/>
  <c r="K714" i="1"/>
  <c r="P714" i="1"/>
  <c r="R714" i="1"/>
  <c r="BL714" i="1"/>
  <c r="BW714" i="1"/>
  <c r="CH714" i="1"/>
  <c r="CS714" i="1"/>
  <c r="K715" i="1"/>
  <c r="P715" i="1"/>
  <c r="R715" i="1"/>
  <c r="BL715" i="1"/>
  <c r="BW715" i="1"/>
  <c r="CH715" i="1"/>
  <c r="CS715" i="1"/>
  <c r="K716" i="1"/>
  <c r="P716" i="1"/>
  <c r="R716" i="1"/>
  <c r="BL716" i="1"/>
  <c r="BW716" i="1"/>
  <c r="CH716" i="1"/>
  <c r="CS716" i="1"/>
  <c r="K717" i="1"/>
  <c r="P717" i="1"/>
  <c r="R717" i="1"/>
  <c r="BL717" i="1"/>
  <c r="BW717" i="1"/>
  <c r="CH717" i="1"/>
  <c r="CS717" i="1"/>
  <c r="K718" i="1"/>
  <c r="P718" i="1"/>
  <c r="R718" i="1"/>
  <c r="BL718" i="1"/>
  <c r="BW718" i="1"/>
  <c r="CH718" i="1"/>
  <c r="CS718" i="1"/>
  <c r="K719" i="1"/>
  <c r="P719" i="1"/>
  <c r="R719" i="1"/>
  <c r="BL719" i="1"/>
  <c r="BW719" i="1"/>
  <c r="CH719" i="1"/>
  <c r="CS719" i="1"/>
  <c r="K720" i="1"/>
  <c r="P720" i="1"/>
  <c r="R720" i="1"/>
  <c r="BL720" i="1"/>
  <c r="BW720" i="1"/>
  <c r="CH720" i="1"/>
  <c r="CS720" i="1"/>
  <c r="K721" i="1"/>
  <c r="P721" i="1"/>
  <c r="R721" i="1"/>
  <c r="BL721" i="1"/>
  <c r="BW721" i="1"/>
  <c r="CH721" i="1"/>
  <c r="CS721" i="1"/>
  <c r="K722" i="1"/>
  <c r="P722" i="1"/>
  <c r="R722" i="1"/>
  <c r="BL722" i="1"/>
  <c r="BW722" i="1"/>
  <c r="CH722" i="1"/>
  <c r="CS722" i="1"/>
  <c r="K723" i="1"/>
  <c r="P723" i="1"/>
  <c r="R723" i="1"/>
  <c r="BL723" i="1"/>
  <c r="BW723" i="1"/>
  <c r="CH723" i="1"/>
  <c r="CS723" i="1"/>
  <c r="K724" i="1"/>
  <c r="P724" i="1"/>
  <c r="R724" i="1"/>
  <c r="BL724" i="1"/>
  <c r="BW724" i="1"/>
  <c r="CH724" i="1"/>
  <c r="CS724" i="1"/>
  <c r="K725" i="1"/>
  <c r="P725" i="1"/>
  <c r="R725" i="1"/>
  <c r="BL725" i="1"/>
  <c r="BW725" i="1"/>
  <c r="CH725" i="1"/>
  <c r="CS725" i="1"/>
  <c r="K726" i="1"/>
  <c r="P726" i="1"/>
  <c r="R726" i="1"/>
  <c r="BL726" i="1"/>
  <c r="BW726" i="1"/>
  <c r="CH726" i="1"/>
  <c r="CS726" i="1"/>
  <c r="K727" i="1"/>
  <c r="P727" i="1"/>
  <c r="R727" i="1"/>
  <c r="BL727" i="1"/>
  <c r="BW727" i="1"/>
  <c r="CH727" i="1"/>
  <c r="CS727" i="1"/>
  <c r="K728" i="1"/>
  <c r="P728" i="1"/>
  <c r="R728" i="1"/>
  <c r="BL728" i="1"/>
  <c r="BW728" i="1"/>
  <c r="CH728" i="1"/>
  <c r="CS728" i="1"/>
  <c r="K729" i="1"/>
  <c r="P729" i="1"/>
  <c r="R729" i="1"/>
  <c r="BL729" i="1"/>
  <c r="BW729" i="1"/>
  <c r="CH729" i="1"/>
  <c r="CS729" i="1"/>
  <c r="K730" i="1"/>
  <c r="P730" i="1"/>
  <c r="R730" i="1"/>
  <c r="BL730" i="1"/>
  <c r="BW730" i="1"/>
  <c r="CH730" i="1"/>
  <c r="CS730" i="1"/>
  <c r="K731" i="1"/>
  <c r="P731" i="1"/>
  <c r="R731" i="1"/>
  <c r="BL731" i="1"/>
  <c r="BW731" i="1"/>
  <c r="CH731" i="1"/>
  <c r="CS731" i="1"/>
  <c r="K732" i="1"/>
  <c r="P732" i="1"/>
  <c r="R732" i="1"/>
  <c r="BL732" i="1"/>
  <c r="BW732" i="1"/>
  <c r="CH732" i="1"/>
  <c r="CS732" i="1"/>
  <c r="K733" i="1"/>
  <c r="P733" i="1"/>
  <c r="R733" i="1"/>
  <c r="BL733" i="1"/>
  <c r="BW733" i="1"/>
  <c r="CH733" i="1"/>
  <c r="CS733" i="1"/>
  <c r="K734" i="1"/>
  <c r="P734" i="1"/>
  <c r="R734" i="1"/>
  <c r="BL734" i="1"/>
  <c r="BW734" i="1"/>
  <c r="CH734" i="1"/>
  <c r="CS734" i="1"/>
  <c r="K735" i="1"/>
  <c r="P735" i="1"/>
  <c r="R735" i="1"/>
  <c r="BL735" i="1"/>
  <c r="BW735" i="1"/>
  <c r="CH735" i="1"/>
  <c r="CS735" i="1"/>
  <c r="K736" i="1"/>
  <c r="P736" i="1"/>
  <c r="R736" i="1"/>
  <c r="BL736" i="1"/>
  <c r="BW736" i="1"/>
  <c r="CH736" i="1"/>
  <c r="CS736" i="1"/>
  <c r="K737" i="1"/>
  <c r="P737" i="1"/>
  <c r="R737" i="1"/>
  <c r="BL737" i="1"/>
  <c r="BW737" i="1"/>
  <c r="CH737" i="1"/>
  <c r="CS737" i="1"/>
  <c r="K738" i="1"/>
  <c r="P738" i="1"/>
  <c r="R738" i="1"/>
  <c r="BL738" i="1"/>
  <c r="BW738" i="1"/>
  <c r="CH738" i="1"/>
  <c r="CS738" i="1"/>
  <c r="K739" i="1"/>
  <c r="P739" i="1"/>
  <c r="R739" i="1"/>
  <c r="BL739" i="1"/>
  <c r="BW739" i="1"/>
  <c r="CH739" i="1"/>
  <c r="CS739" i="1"/>
  <c r="K740" i="1"/>
  <c r="P740" i="1"/>
  <c r="R740" i="1"/>
  <c r="BL740" i="1"/>
  <c r="BW740" i="1"/>
  <c r="CH740" i="1"/>
  <c r="CS740" i="1"/>
  <c r="K741" i="1"/>
  <c r="P741" i="1"/>
  <c r="R741" i="1"/>
  <c r="BL741" i="1"/>
  <c r="BW741" i="1"/>
  <c r="CH741" i="1"/>
  <c r="CS741" i="1"/>
  <c r="K742" i="1"/>
  <c r="P742" i="1"/>
  <c r="R742" i="1"/>
  <c r="AM742" i="1"/>
  <c r="BL742" i="1"/>
  <c r="BW742" i="1"/>
  <c r="CH742" i="1"/>
  <c r="CS742" i="1"/>
  <c r="K743" i="1"/>
  <c r="P743" i="1"/>
  <c r="R743" i="1"/>
  <c r="BL743" i="1"/>
  <c r="BW743" i="1"/>
  <c r="CH743" i="1"/>
  <c r="CS743" i="1"/>
  <c r="K744" i="1"/>
  <c r="P744" i="1"/>
  <c r="R744" i="1"/>
  <c r="BL744" i="1"/>
  <c r="BW744" i="1"/>
  <c r="CH744" i="1"/>
  <c r="CS744" i="1"/>
  <c r="K745" i="1"/>
  <c r="P745" i="1"/>
  <c r="R745" i="1"/>
  <c r="BL745" i="1"/>
  <c r="BW745" i="1"/>
  <c r="CH745" i="1"/>
  <c r="CS745" i="1"/>
  <c r="K746" i="1"/>
  <c r="P746" i="1"/>
  <c r="R746" i="1"/>
  <c r="BL746" i="1"/>
  <c r="BW746" i="1"/>
  <c r="CH746" i="1"/>
  <c r="CS746" i="1"/>
  <c r="K747" i="1"/>
  <c r="P747" i="1"/>
  <c r="R747" i="1"/>
  <c r="BL747" i="1"/>
  <c r="BW747" i="1"/>
  <c r="CH747" i="1"/>
  <c r="CS747" i="1"/>
  <c r="K748" i="1"/>
  <c r="P748" i="1"/>
  <c r="R748" i="1"/>
  <c r="BL748" i="1"/>
  <c r="BW748" i="1"/>
  <c r="CH748" i="1"/>
  <c r="CS748" i="1"/>
  <c r="K749" i="1"/>
  <c r="P749" i="1"/>
  <c r="R749" i="1"/>
  <c r="BL749" i="1"/>
  <c r="BW749" i="1"/>
  <c r="CH749" i="1"/>
  <c r="CS749" i="1"/>
  <c r="K750" i="1"/>
  <c r="P750" i="1"/>
  <c r="R750" i="1"/>
  <c r="BL750" i="1"/>
  <c r="BW750" i="1"/>
  <c r="CH750" i="1"/>
  <c r="CS750" i="1"/>
  <c r="K751" i="1"/>
  <c r="P751" i="1"/>
  <c r="R751" i="1"/>
  <c r="BL751" i="1"/>
  <c r="BW751" i="1"/>
  <c r="CH751" i="1"/>
  <c r="CS751" i="1"/>
  <c r="K752" i="1"/>
  <c r="P752" i="1"/>
  <c r="R752" i="1"/>
  <c r="BL752" i="1"/>
  <c r="BW752" i="1"/>
  <c r="CH752" i="1"/>
  <c r="CS752" i="1"/>
  <c r="K753" i="1"/>
  <c r="P753" i="1"/>
  <c r="R753" i="1"/>
  <c r="BL753" i="1"/>
  <c r="BW753" i="1"/>
  <c r="CH753" i="1"/>
  <c r="CS753" i="1"/>
  <c r="K754" i="1"/>
  <c r="P754" i="1"/>
  <c r="R754" i="1"/>
  <c r="BL754" i="1"/>
  <c r="BW754" i="1"/>
  <c r="CH754" i="1"/>
  <c r="CS754" i="1"/>
  <c r="K755" i="1"/>
  <c r="P755" i="1"/>
  <c r="R755" i="1"/>
  <c r="BL755" i="1"/>
  <c r="BW755" i="1"/>
  <c r="CH755" i="1"/>
  <c r="CS755" i="1"/>
  <c r="K756" i="1"/>
  <c r="P756" i="1"/>
  <c r="R756" i="1"/>
  <c r="BL756" i="1"/>
  <c r="BW756" i="1"/>
  <c r="CH756" i="1"/>
  <c r="CS756" i="1"/>
  <c r="K757" i="1"/>
  <c r="P757" i="1"/>
  <c r="R757" i="1"/>
  <c r="BL757" i="1"/>
  <c r="BW757" i="1"/>
  <c r="CH757" i="1"/>
  <c r="CS757" i="1"/>
  <c r="K758" i="1"/>
  <c r="P758" i="1"/>
  <c r="R758" i="1"/>
  <c r="BL758" i="1"/>
  <c r="BW758" i="1"/>
  <c r="CH758" i="1"/>
  <c r="CS758" i="1"/>
  <c r="K759" i="1"/>
  <c r="P759" i="1"/>
  <c r="R759" i="1"/>
  <c r="BL759" i="1"/>
  <c r="BW759" i="1"/>
  <c r="CH759" i="1"/>
  <c r="CS759" i="1"/>
  <c r="K760" i="1"/>
  <c r="P760" i="1"/>
  <c r="R760" i="1"/>
  <c r="BL760" i="1"/>
  <c r="BW760" i="1"/>
  <c r="CH760" i="1"/>
  <c r="CS760" i="1"/>
  <c r="K761" i="1"/>
  <c r="P761" i="1"/>
  <c r="R761" i="1"/>
  <c r="AM761" i="1"/>
  <c r="BL761" i="1"/>
  <c r="BW761" i="1"/>
  <c r="CH761" i="1"/>
  <c r="CS761" i="1"/>
  <c r="K762" i="1"/>
  <c r="P762" i="1"/>
  <c r="R762" i="1"/>
  <c r="BL762" i="1"/>
  <c r="BW762" i="1"/>
  <c r="CH762" i="1"/>
  <c r="CS762" i="1"/>
  <c r="K763" i="1"/>
  <c r="P763" i="1"/>
  <c r="R763" i="1"/>
  <c r="BL763" i="1"/>
  <c r="BW763" i="1"/>
  <c r="CH763" i="1"/>
  <c r="CS763" i="1"/>
  <c r="K764" i="1"/>
  <c r="P764" i="1"/>
  <c r="R764" i="1"/>
  <c r="BL764" i="1"/>
  <c r="BW764" i="1"/>
  <c r="CH764" i="1"/>
  <c r="CS764" i="1"/>
  <c r="K765" i="1"/>
  <c r="P765" i="1"/>
  <c r="R765" i="1"/>
  <c r="BL765" i="1"/>
  <c r="BW765" i="1"/>
  <c r="CH765" i="1"/>
  <c r="CS765" i="1"/>
  <c r="K766" i="1"/>
  <c r="P766" i="1"/>
  <c r="R766" i="1"/>
  <c r="BL766" i="1"/>
  <c r="BW766" i="1"/>
  <c r="CH766" i="1"/>
  <c r="CS766" i="1"/>
  <c r="K767" i="1"/>
  <c r="P767" i="1"/>
  <c r="R767" i="1"/>
  <c r="BL767" i="1"/>
  <c r="BW767" i="1"/>
  <c r="CH767" i="1"/>
  <c r="CS767" i="1"/>
  <c r="K768" i="1"/>
  <c r="P768" i="1"/>
  <c r="R768" i="1"/>
  <c r="BL768" i="1"/>
  <c r="BW768" i="1"/>
  <c r="CH768" i="1"/>
  <c r="CS768" i="1"/>
  <c r="K769" i="1"/>
  <c r="P769" i="1"/>
  <c r="R769" i="1"/>
  <c r="BL769" i="1"/>
  <c r="BW769" i="1"/>
  <c r="CH769" i="1"/>
  <c r="CS769" i="1"/>
  <c r="K770" i="1"/>
  <c r="P770" i="1"/>
  <c r="R770" i="1"/>
  <c r="BL770" i="1"/>
  <c r="BW770" i="1"/>
  <c r="CH770" i="1"/>
  <c r="CS770" i="1"/>
  <c r="K771" i="1"/>
  <c r="P771" i="1"/>
  <c r="R771" i="1"/>
  <c r="BL771" i="1"/>
  <c r="BW771" i="1"/>
  <c r="CH771" i="1"/>
  <c r="CS771" i="1"/>
  <c r="K772" i="1"/>
  <c r="P772" i="1"/>
  <c r="R772" i="1"/>
  <c r="BL772" i="1"/>
  <c r="BW772" i="1"/>
  <c r="CH772" i="1"/>
  <c r="CS772" i="1"/>
  <c r="K773" i="1"/>
  <c r="P773" i="1"/>
  <c r="R773" i="1"/>
  <c r="BL773" i="1"/>
  <c r="BW773" i="1"/>
  <c r="CH773" i="1"/>
  <c r="CS773" i="1"/>
  <c r="K774" i="1"/>
  <c r="P774" i="1"/>
  <c r="R774" i="1"/>
  <c r="BL774" i="1"/>
  <c r="BW774" i="1"/>
  <c r="CH774" i="1"/>
  <c r="CS774" i="1"/>
  <c r="K775" i="1"/>
  <c r="P775" i="1"/>
  <c r="R775" i="1"/>
  <c r="BL775" i="1"/>
  <c r="BW775" i="1"/>
  <c r="CH775" i="1"/>
  <c r="CS775" i="1"/>
  <c r="K776" i="1"/>
  <c r="P776" i="1"/>
  <c r="R776" i="1"/>
  <c r="BL776" i="1"/>
  <c r="BW776" i="1"/>
  <c r="CH776" i="1"/>
  <c r="CS776" i="1"/>
  <c r="K777" i="1"/>
  <c r="P777" i="1"/>
  <c r="R777" i="1"/>
  <c r="BL777" i="1"/>
  <c r="BW777" i="1"/>
  <c r="CH777" i="1"/>
  <c r="CS777" i="1"/>
  <c r="K778" i="1"/>
  <c r="P778" i="1"/>
  <c r="R778" i="1"/>
  <c r="BL778" i="1"/>
  <c r="BW778" i="1"/>
  <c r="CH778" i="1"/>
  <c r="CS778" i="1"/>
  <c r="K779" i="1"/>
  <c r="P779" i="1"/>
  <c r="R779" i="1"/>
  <c r="BL779" i="1"/>
  <c r="BW779" i="1"/>
  <c r="CH779" i="1"/>
  <c r="CS779" i="1"/>
  <c r="K780" i="1"/>
  <c r="P780" i="1"/>
  <c r="R780" i="1"/>
  <c r="BL780" i="1"/>
  <c r="BW780" i="1"/>
  <c r="CH780" i="1"/>
  <c r="CS780" i="1"/>
  <c r="K781" i="1"/>
  <c r="P781" i="1"/>
  <c r="R781" i="1"/>
  <c r="BL781" i="1"/>
  <c r="BW781" i="1"/>
  <c r="CH781" i="1"/>
  <c r="CS781" i="1"/>
  <c r="K782" i="1"/>
  <c r="P782" i="1"/>
  <c r="R782" i="1"/>
  <c r="BL782" i="1"/>
  <c r="BW782" i="1"/>
  <c r="CH782" i="1"/>
  <c r="CS782" i="1"/>
  <c r="K783" i="1"/>
  <c r="P783" i="1"/>
  <c r="R783" i="1"/>
  <c r="BL783" i="1"/>
  <c r="BW783" i="1"/>
  <c r="CH783" i="1"/>
  <c r="CS783" i="1"/>
  <c r="K784" i="1"/>
  <c r="P784" i="1"/>
  <c r="R784" i="1"/>
  <c r="BL784" i="1"/>
  <c r="BW784" i="1"/>
  <c r="CH784" i="1"/>
  <c r="CS784" i="1"/>
  <c r="K785" i="1"/>
  <c r="P785" i="1"/>
  <c r="R785" i="1"/>
  <c r="BL785" i="1"/>
  <c r="BW785" i="1"/>
  <c r="CH785" i="1"/>
  <c r="CS785" i="1"/>
  <c r="K786" i="1"/>
  <c r="P786" i="1"/>
  <c r="R786" i="1"/>
  <c r="BL786" i="1"/>
  <c r="BW786" i="1"/>
  <c r="CH786" i="1"/>
  <c r="CS786" i="1"/>
  <c r="K787" i="1"/>
  <c r="P787" i="1"/>
  <c r="R787" i="1"/>
  <c r="BL787" i="1"/>
  <c r="BW787" i="1"/>
  <c r="CH787" i="1"/>
  <c r="CS787" i="1"/>
  <c r="K788" i="1"/>
  <c r="P788" i="1"/>
  <c r="R788" i="1"/>
  <c r="BL788" i="1"/>
  <c r="BW788" i="1"/>
  <c r="CH788" i="1"/>
  <c r="CS788" i="1"/>
  <c r="K789" i="1"/>
  <c r="P789" i="1"/>
  <c r="R789" i="1"/>
  <c r="BL789" i="1"/>
  <c r="BW789" i="1"/>
  <c r="CH789" i="1"/>
  <c r="CS789" i="1"/>
  <c r="K790" i="1"/>
  <c r="P790" i="1"/>
  <c r="R790" i="1"/>
  <c r="BL790" i="1"/>
  <c r="BW790" i="1"/>
  <c r="CH790" i="1"/>
  <c r="CS790" i="1"/>
  <c r="K791" i="1"/>
  <c r="P791" i="1"/>
  <c r="R791" i="1"/>
  <c r="BL791" i="1"/>
  <c r="BW791" i="1"/>
  <c r="CH791" i="1"/>
  <c r="CS791" i="1"/>
  <c r="K792" i="1"/>
  <c r="P792" i="1"/>
  <c r="R792" i="1"/>
  <c r="BL792" i="1"/>
  <c r="BW792" i="1"/>
  <c r="CH792" i="1"/>
  <c r="CS792" i="1"/>
  <c r="K793" i="1"/>
  <c r="P793" i="1"/>
  <c r="R793" i="1"/>
  <c r="BL793" i="1"/>
  <c r="BW793" i="1"/>
  <c r="CH793" i="1"/>
  <c r="CS793" i="1"/>
  <c r="K794" i="1"/>
  <c r="P794" i="1"/>
  <c r="R794" i="1"/>
  <c r="BL794" i="1"/>
  <c r="BW794" i="1"/>
  <c r="CH794" i="1"/>
  <c r="CS794" i="1"/>
  <c r="K795" i="1"/>
  <c r="P795" i="1"/>
  <c r="R795" i="1"/>
  <c r="BL795" i="1"/>
  <c r="BW795" i="1"/>
  <c r="CH795" i="1"/>
  <c r="CS795" i="1"/>
  <c r="K796" i="1"/>
  <c r="P796" i="1"/>
  <c r="R796" i="1"/>
  <c r="BL796" i="1"/>
  <c r="BW796" i="1"/>
  <c r="CH796" i="1"/>
  <c r="CS796" i="1"/>
  <c r="K797" i="1"/>
  <c r="P797" i="1"/>
  <c r="R797" i="1"/>
  <c r="BL797" i="1"/>
  <c r="BW797" i="1"/>
  <c r="CH797" i="1"/>
  <c r="CS797" i="1"/>
  <c r="K798" i="1"/>
  <c r="P798" i="1"/>
  <c r="R798" i="1"/>
  <c r="BL798" i="1"/>
  <c r="BW798" i="1"/>
  <c r="CH798" i="1"/>
  <c r="CS798" i="1"/>
  <c r="K799" i="1"/>
  <c r="P799" i="1"/>
  <c r="R799" i="1"/>
  <c r="BL799" i="1"/>
  <c r="BW799" i="1"/>
  <c r="CH799" i="1"/>
  <c r="CS799" i="1"/>
  <c r="K800" i="1"/>
  <c r="P800" i="1"/>
  <c r="R800" i="1"/>
  <c r="BL800" i="1"/>
  <c r="BW800" i="1"/>
  <c r="CH800" i="1"/>
  <c r="CS800" i="1"/>
  <c r="K801" i="1"/>
  <c r="P801" i="1"/>
  <c r="R801" i="1"/>
  <c r="BL801" i="1"/>
  <c r="BW801" i="1"/>
  <c r="CH801" i="1"/>
  <c r="CS801" i="1"/>
  <c r="K802" i="1"/>
  <c r="P802" i="1"/>
  <c r="R802" i="1"/>
  <c r="BL802" i="1"/>
  <c r="BQ802" i="1"/>
  <c r="BW802" i="1"/>
  <c r="CH802" i="1"/>
  <c r="CS802" i="1"/>
  <c r="K803" i="1"/>
  <c r="P803" i="1"/>
  <c r="R803" i="1"/>
  <c r="BL803" i="1"/>
  <c r="BW803" i="1"/>
  <c r="CH803" i="1"/>
  <c r="CS803" i="1"/>
  <c r="K804" i="1"/>
  <c r="P804" i="1"/>
  <c r="R804" i="1"/>
  <c r="BL804" i="1"/>
  <c r="BW804" i="1"/>
  <c r="CH804" i="1"/>
  <c r="CS804" i="1"/>
  <c r="K805" i="1"/>
  <c r="P805" i="1"/>
  <c r="R805" i="1"/>
  <c r="BL805" i="1"/>
  <c r="BW805" i="1"/>
  <c r="CH805" i="1"/>
  <c r="CS805" i="1"/>
  <c r="K806" i="1"/>
  <c r="P806" i="1"/>
  <c r="R806" i="1"/>
  <c r="BL806" i="1"/>
  <c r="BW806" i="1"/>
  <c r="CH806" i="1"/>
  <c r="CS806" i="1"/>
  <c r="K807" i="1"/>
  <c r="P807" i="1"/>
  <c r="R807" i="1"/>
  <c r="BL807" i="1"/>
  <c r="BW807" i="1"/>
  <c r="CH807" i="1"/>
  <c r="CS807" i="1"/>
  <c r="K808" i="1"/>
  <c r="P808" i="1"/>
  <c r="R808" i="1"/>
  <c r="BL808" i="1"/>
  <c r="BW808" i="1"/>
  <c r="CH808" i="1"/>
  <c r="CS808" i="1"/>
  <c r="K809" i="1"/>
  <c r="P809" i="1"/>
  <c r="R809" i="1"/>
  <c r="BL809" i="1"/>
  <c r="BW809" i="1"/>
  <c r="CH809" i="1"/>
  <c r="CS809" i="1"/>
  <c r="K810" i="1"/>
  <c r="P810" i="1"/>
  <c r="R810" i="1"/>
  <c r="BL810" i="1"/>
  <c r="BW810" i="1"/>
  <c r="CH810" i="1"/>
  <c r="CS810" i="1"/>
  <c r="K811" i="1"/>
  <c r="P811" i="1"/>
  <c r="R811" i="1"/>
  <c r="BL811" i="1"/>
  <c r="BW811" i="1"/>
  <c r="CH811" i="1"/>
  <c r="CS811" i="1"/>
  <c r="K812" i="1"/>
  <c r="P812" i="1"/>
  <c r="R812" i="1"/>
  <c r="BL812" i="1"/>
  <c r="BW812" i="1"/>
  <c r="CH812" i="1"/>
  <c r="CS812" i="1"/>
  <c r="K813" i="1"/>
  <c r="P813" i="1"/>
  <c r="R813" i="1"/>
  <c r="BL813" i="1"/>
  <c r="BW813" i="1"/>
  <c r="CH813" i="1"/>
  <c r="CS813" i="1"/>
  <c r="K814" i="1"/>
  <c r="P814" i="1"/>
  <c r="R814" i="1"/>
  <c r="BL814" i="1"/>
  <c r="BW814" i="1"/>
  <c r="CH814" i="1"/>
  <c r="CS814" i="1"/>
  <c r="K815" i="1"/>
  <c r="P815" i="1"/>
  <c r="R815" i="1"/>
  <c r="BL815" i="1"/>
  <c r="BW815" i="1"/>
  <c r="CH815" i="1"/>
  <c r="CS815" i="1"/>
  <c r="K816" i="1"/>
  <c r="P816" i="1"/>
  <c r="R816" i="1"/>
  <c r="BL816" i="1"/>
  <c r="BW816" i="1"/>
  <c r="CH816" i="1"/>
  <c r="CS816" i="1"/>
  <c r="K817" i="1"/>
  <c r="P817" i="1"/>
  <c r="R817" i="1"/>
  <c r="BL817" i="1"/>
  <c r="BW817" i="1"/>
  <c r="CH817" i="1"/>
  <c r="CS817" i="1"/>
  <c r="K818" i="1"/>
  <c r="P818" i="1"/>
  <c r="R818" i="1"/>
  <c r="BL818" i="1"/>
  <c r="BW818" i="1"/>
  <c r="CH818" i="1"/>
  <c r="CS818" i="1"/>
  <c r="K819" i="1"/>
  <c r="P819" i="1"/>
  <c r="R819" i="1"/>
  <c r="BL819" i="1"/>
  <c r="BW819" i="1"/>
  <c r="CH819" i="1"/>
  <c r="CS819" i="1"/>
  <c r="K820" i="1"/>
  <c r="P820" i="1"/>
  <c r="R820" i="1"/>
  <c r="BL820" i="1"/>
  <c r="BW820" i="1"/>
  <c r="CH820" i="1"/>
  <c r="CS820" i="1"/>
  <c r="K821" i="1"/>
  <c r="P821" i="1"/>
  <c r="R821" i="1"/>
  <c r="BL821" i="1"/>
  <c r="BW821" i="1"/>
  <c r="CH821" i="1"/>
  <c r="CS821" i="1"/>
  <c r="K822" i="1"/>
  <c r="P822" i="1"/>
  <c r="R822" i="1"/>
  <c r="BL822" i="1"/>
  <c r="BW822" i="1"/>
  <c r="CH822" i="1"/>
  <c r="CS822" i="1"/>
  <c r="K823" i="1"/>
  <c r="P823" i="1"/>
  <c r="R823" i="1"/>
  <c r="BL823" i="1"/>
  <c r="BW823" i="1"/>
  <c r="CH823" i="1"/>
  <c r="CS823" i="1"/>
  <c r="K824" i="1"/>
  <c r="P824" i="1"/>
  <c r="R824" i="1"/>
  <c r="BL824" i="1"/>
  <c r="BW824" i="1"/>
  <c r="CH824" i="1"/>
  <c r="CS824" i="1"/>
  <c r="K825" i="1"/>
  <c r="P825" i="1"/>
  <c r="R825" i="1"/>
  <c r="BL825" i="1"/>
  <c r="BW825" i="1"/>
  <c r="CH825" i="1"/>
  <c r="CS825" i="1"/>
  <c r="K826" i="1"/>
  <c r="P826" i="1"/>
  <c r="R826" i="1"/>
  <c r="BL826" i="1"/>
  <c r="BW826" i="1"/>
  <c r="CH826" i="1"/>
  <c r="CS826" i="1"/>
  <c r="K827" i="1"/>
  <c r="P827" i="1"/>
  <c r="R827" i="1"/>
  <c r="BL827" i="1"/>
  <c r="BW827" i="1"/>
  <c r="CH827" i="1"/>
  <c r="CS827" i="1"/>
  <c r="K828" i="1"/>
  <c r="P828" i="1"/>
  <c r="R828" i="1"/>
  <c r="BL828" i="1"/>
  <c r="BW828" i="1"/>
  <c r="CH828" i="1"/>
  <c r="CS828" i="1"/>
  <c r="K829" i="1"/>
  <c r="P829" i="1"/>
  <c r="R829" i="1"/>
  <c r="BL829" i="1"/>
  <c r="BW829" i="1"/>
  <c r="CH829" i="1"/>
  <c r="CS829" i="1"/>
  <c r="K830" i="1"/>
  <c r="P830" i="1"/>
  <c r="R830" i="1"/>
  <c r="BL830" i="1"/>
  <c r="BW830" i="1"/>
  <c r="CH830" i="1"/>
  <c r="CS830" i="1"/>
  <c r="K831" i="1"/>
  <c r="P831" i="1"/>
  <c r="R831" i="1"/>
  <c r="BL831" i="1"/>
  <c r="BW831" i="1"/>
  <c r="CH831" i="1"/>
  <c r="CS831" i="1"/>
  <c r="K832" i="1"/>
  <c r="P832" i="1"/>
  <c r="R832" i="1"/>
  <c r="BL832" i="1"/>
  <c r="BW832" i="1"/>
  <c r="CH832" i="1"/>
  <c r="CS832" i="1"/>
  <c r="K833" i="1"/>
  <c r="P833" i="1"/>
  <c r="R833" i="1"/>
  <c r="BL833" i="1"/>
  <c r="BW833" i="1"/>
  <c r="CH833" i="1"/>
  <c r="CS833" i="1"/>
  <c r="K834" i="1"/>
  <c r="P834" i="1"/>
  <c r="R834" i="1"/>
  <c r="BL834" i="1"/>
  <c r="BW834" i="1"/>
  <c r="CH834" i="1"/>
  <c r="CS834" i="1"/>
  <c r="K835" i="1"/>
  <c r="P835" i="1"/>
  <c r="R835" i="1"/>
  <c r="BL835" i="1"/>
  <c r="BW835" i="1"/>
  <c r="CH835" i="1"/>
  <c r="CS835" i="1"/>
  <c r="K836" i="1"/>
  <c r="P836" i="1"/>
  <c r="R836" i="1"/>
  <c r="BL836" i="1"/>
  <c r="BW836" i="1"/>
  <c r="CH836" i="1"/>
  <c r="CS836" i="1"/>
  <c r="K837" i="1"/>
  <c r="P837" i="1"/>
  <c r="R837" i="1"/>
  <c r="BL837" i="1"/>
  <c r="BW837" i="1"/>
  <c r="CH837" i="1"/>
  <c r="CS837" i="1"/>
  <c r="K838" i="1"/>
  <c r="P838" i="1"/>
  <c r="R838" i="1"/>
  <c r="BL838" i="1"/>
  <c r="BW838" i="1"/>
  <c r="CH838" i="1"/>
  <c r="CS838" i="1"/>
  <c r="K839" i="1"/>
  <c r="P839" i="1"/>
  <c r="R839" i="1"/>
  <c r="BL839" i="1"/>
  <c r="BW839" i="1"/>
  <c r="CH839" i="1"/>
  <c r="CS839" i="1"/>
  <c r="K840" i="1"/>
  <c r="P840" i="1"/>
  <c r="R840" i="1"/>
  <c r="BL840" i="1"/>
  <c r="BW840" i="1"/>
  <c r="CH840" i="1"/>
  <c r="CS840" i="1"/>
  <c r="K841" i="1"/>
  <c r="P841" i="1"/>
  <c r="R841" i="1"/>
  <c r="BL841" i="1"/>
  <c r="BW841" i="1"/>
  <c r="CH841" i="1"/>
  <c r="CS841" i="1"/>
  <c r="K842" i="1"/>
  <c r="P842" i="1"/>
  <c r="R842" i="1"/>
  <c r="BL842" i="1"/>
  <c r="BW842" i="1"/>
  <c r="CH842" i="1"/>
  <c r="CS842" i="1"/>
  <c r="K843" i="1"/>
  <c r="P843" i="1"/>
  <c r="R843" i="1"/>
  <c r="BL843" i="1"/>
  <c r="BW843" i="1"/>
  <c r="CH843" i="1"/>
  <c r="CS843" i="1"/>
  <c r="K844" i="1"/>
  <c r="P844" i="1"/>
  <c r="R844" i="1"/>
  <c r="BL844" i="1"/>
  <c r="BW844" i="1"/>
  <c r="CH844" i="1"/>
  <c r="CS844" i="1"/>
  <c r="K845" i="1"/>
  <c r="P845" i="1"/>
  <c r="R845" i="1"/>
  <c r="BL845" i="1"/>
  <c r="BW845" i="1"/>
  <c r="CH845" i="1"/>
  <c r="CS845" i="1"/>
  <c r="K846" i="1"/>
  <c r="P846" i="1"/>
  <c r="R846" i="1"/>
  <c r="BL846" i="1"/>
  <c r="BW846" i="1"/>
  <c r="CH846" i="1"/>
  <c r="CS846" i="1"/>
  <c r="K847" i="1"/>
  <c r="P847" i="1"/>
  <c r="R847" i="1"/>
  <c r="BL847" i="1"/>
  <c r="BW847" i="1"/>
  <c r="CH847" i="1"/>
  <c r="CS847" i="1"/>
  <c r="K848" i="1"/>
  <c r="P848" i="1"/>
  <c r="R848" i="1"/>
  <c r="BL848" i="1"/>
  <c r="BW848" i="1"/>
  <c r="CH848" i="1"/>
  <c r="CS848" i="1"/>
  <c r="K849" i="1"/>
  <c r="P849" i="1"/>
  <c r="R849" i="1"/>
  <c r="BL849" i="1"/>
  <c r="BW849" i="1"/>
  <c r="CH849" i="1"/>
  <c r="CS849" i="1"/>
  <c r="K850" i="1"/>
  <c r="P850" i="1"/>
  <c r="R850" i="1"/>
  <c r="BL850" i="1"/>
  <c r="BW850" i="1"/>
  <c r="CH850" i="1"/>
  <c r="CS850" i="1"/>
  <c r="K851" i="1"/>
  <c r="P851" i="1"/>
  <c r="R851" i="1"/>
  <c r="BL851" i="1"/>
  <c r="BW851" i="1"/>
  <c r="CH851" i="1"/>
  <c r="CS851" i="1"/>
  <c r="K852" i="1"/>
  <c r="P852" i="1"/>
  <c r="R852" i="1"/>
  <c r="BL852" i="1"/>
  <c r="BW852" i="1"/>
  <c r="CH852" i="1"/>
  <c r="CS852" i="1"/>
  <c r="K853" i="1"/>
  <c r="P853" i="1"/>
  <c r="R853" i="1"/>
  <c r="AM853" i="1"/>
  <c r="BL853" i="1"/>
  <c r="BW853" i="1"/>
  <c r="CH853" i="1"/>
  <c r="CS853" i="1"/>
  <c r="K854" i="1"/>
  <c r="P854" i="1"/>
  <c r="R854" i="1"/>
  <c r="BL854" i="1"/>
  <c r="BW854" i="1"/>
  <c r="CH854" i="1"/>
  <c r="CS854" i="1"/>
  <c r="K855" i="1"/>
  <c r="P855" i="1"/>
  <c r="R855" i="1"/>
  <c r="BL855" i="1"/>
  <c r="BW855" i="1"/>
  <c r="CH855" i="1"/>
  <c r="CS855" i="1"/>
  <c r="K856" i="1"/>
  <c r="P856" i="1"/>
  <c r="R856" i="1"/>
  <c r="BL856" i="1"/>
  <c r="BW856" i="1"/>
  <c r="CH856" i="1"/>
  <c r="CS856" i="1"/>
  <c r="K857" i="1"/>
  <c r="P857" i="1"/>
  <c r="R857" i="1"/>
  <c r="BL857" i="1"/>
  <c r="BW857" i="1"/>
  <c r="CH857" i="1"/>
  <c r="CS857" i="1"/>
  <c r="K858" i="1"/>
  <c r="P858" i="1"/>
  <c r="R858" i="1"/>
  <c r="BL858" i="1"/>
  <c r="BW858" i="1"/>
  <c r="CH858" i="1"/>
  <c r="CS858" i="1"/>
  <c r="K859" i="1"/>
  <c r="P859" i="1"/>
  <c r="R859" i="1"/>
  <c r="BL859" i="1"/>
  <c r="BW859" i="1"/>
  <c r="CH859" i="1"/>
  <c r="CS859" i="1"/>
  <c r="K860" i="1"/>
  <c r="P860" i="1"/>
  <c r="R860" i="1"/>
  <c r="BL860" i="1"/>
  <c r="BW860" i="1"/>
  <c r="CH860" i="1"/>
  <c r="CS860" i="1"/>
  <c r="K861" i="1"/>
  <c r="P861" i="1"/>
  <c r="R861" i="1"/>
  <c r="BL861" i="1"/>
  <c r="BW861" i="1"/>
  <c r="CH861" i="1"/>
  <c r="CS861" i="1"/>
  <c r="K862" i="1"/>
  <c r="P862" i="1"/>
  <c r="R862" i="1"/>
  <c r="BL862" i="1"/>
  <c r="BW862" i="1"/>
  <c r="CH862" i="1"/>
  <c r="CS862" i="1"/>
  <c r="K863" i="1"/>
  <c r="P863" i="1"/>
  <c r="R863" i="1"/>
  <c r="BL863" i="1"/>
  <c r="BW863" i="1"/>
  <c r="CH863" i="1"/>
  <c r="CS863" i="1"/>
  <c r="K864" i="1"/>
  <c r="P864" i="1"/>
  <c r="R864" i="1"/>
  <c r="BL864" i="1"/>
  <c r="BW864" i="1"/>
  <c r="CH864" i="1"/>
  <c r="CS864" i="1"/>
  <c r="K865" i="1"/>
  <c r="P865" i="1"/>
  <c r="R865" i="1"/>
  <c r="BL865" i="1"/>
  <c r="BW865" i="1"/>
  <c r="CH865" i="1"/>
  <c r="CS865" i="1"/>
  <c r="K866" i="1"/>
  <c r="P866" i="1"/>
  <c r="R866" i="1"/>
  <c r="BL866" i="1"/>
  <c r="BW866" i="1"/>
  <c r="CH866" i="1"/>
  <c r="CS866" i="1"/>
  <c r="K867" i="1"/>
  <c r="P867" i="1"/>
  <c r="R867" i="1"/>
  <c r="BL867" i="1"/>
  <c r="BW867" i="1"/>
  <c r="CH867" i="1"/>
  <c r="CS867" i="1"/>
  <c r="K868" i="1"/>
  <c r="P868" i="1"/>
  <c r="R868" i="1"/>
  <c r="BL868" i="1"/>
  <c r="BW868" i="1"/>
  <c r="CH868" i="1"/>
  <c r="CS868" i="1"/>
  <c r="K869" i="1"/>
  <c r="P869" i="1"/>
  <c r="R869" i="1"/>
  <c r="BL869" i="1"/>
  <c r="BW869" i="1"/>
  <c r="CH869" i="1"/>
  <c r="CS869" i="1"/>
  <c r="K870" i="1"/>
  <c r="P870" i="1"/>
  <c r="R870" i="1"/>
  <c r="BL870" i="1"/>
  <c r="BW870" i="1"/>
  <c r="CH870" i="1"/>
  <c r="CS870" i="1"/>
  <c r="K871" i="1"/>
  <c r="P871" i="1"/>
  <c r="R871" i="1"/>
  <c r="BL871" i="1"/>
  <c r="BW871" i="1"/>
  <c r="CH871" i="1"/>
  <c r="CS871" i="1"/>
  <c r="K872" i="1"/>
  <c r="P872" i="1"/>
  <c r="R872" i="1"/>
  <c r="BL872" i="1"/>
  <c r="BW872" i="1"/>
  <c r="CH872" i="1"/>
  <c r="CS872" i="1"/>
  <c r="K873" i="1"/>
  <c r="P873" i="1"/>
  <c r="R873" i="1"/>
  <c r="BL873" i="1"/>
  <c r="BW873" i="1"/>
  <c r="CH873" i="1"/>
  <c r="CS873" i="1"/>
  <c r="K874" i="1"/>
  <c r="P874" i="1"/>
  <c r="R874" i="1"/>
  <c r="BL874" i="1"/>
  <c r="BW874" i="1"/>
  <c r="CH874" i="1"/>
  <c r="CS874" i="1"/>
  <c r="K875" i="1"/>
  <c r="P875" i="1"/>
  <c r="R875" i="1"/>
  <c r="BL875" i="1"/>
  <c r="BW875" i="1"/>
  <c r="CH875" i="1"/>
  <c r="CS875" i="1"/>
  <c r="K876" i="1"/>
  <c r="P876" i="1"/>
  <c r="R876" i="1"/>
  <c r="BL876" i="1"/>
  <c r="BW876" i="1"/>
  <c r="CH876" i="1"/>
  <c r="CS876" i="1"/>
  <c r="K877" i="1"/>
  <c r="P877" i="1"/>
  <c r="R877" i="1"/>
  <c r="BL877" i="1"/>
  <c r="BW877" i="1"/>
  <c r="CH877" i="1"/>
  <c r="CS877" i="1"/>
  <c r="K878" i="1"/>
  <c r="P878" i="1"/>
  <c r="R878" i="1"/>
  <c r="BL878" i="1"/>
  <c r="BW878" i="1"/>
  <c r="CH878" i="1"/>
  <c r="CS878" i="1"/>
  <c r="K879" i="1"/>
  <c r="P879" i="1"/>
  <c r="R879" i="1"/>
  <c r="BL879" i="1"/>
  <c r="BW879" i="1"/>
  <c r="CH879" i="1"/>
  <c r="CS879" i="1"/>
  <c r="K880" i="1"/>
  <c r="P880" i="1"/>
  <c r="R880" i="1"/>
  <c r="BL880" i="1"/>
  <c r="BW880" i="1"/>
  <c r="CH880" i="1"/>
  <c r="CS880" i="1"/>
  <c r="K881" i="1"/>
  <c r="P881" i="1"/>
  <c r="R881" i="1"/>
  <c r="BL881" i="1"/>
  <c r="BW881" i="1"/>
  <c r="CH881" i="1"/>
  <c r="CS881" i="1"/>
  <c r="K882" i="1"/>
  <c r="P882" i="1"/>
  <c r="R882" i="1"/>
  <c r="BL882" i="1"/>
  <c r="BW882" i="1"/>
  <c r="CH882" i="1"/>
  <c r="CS882" i="1"/>
  <c r="K883" i="1"/>
  <c r="P883" i="1"/>
  <c r="R883" i="1"/>
  <c r="BL883" i="1"/>
  <c r="BW883" i="1"/>
  <c r="CH883" i="1"/>
  <c r="CS883" i="1"/>
  <c r="K884" i="1"/>
  <c r="P884" i="1"/>
  <c r="R884" i="1"/>
  <c r="BL884" i="1"/>
  <c r="BW884" i="1"/>
  <c r="CH884" i="1"/>
  <c r="CS884" i="1"/>
  <c r="K885" i="1"/>
  <c r="P885" i="1"/>
  <c r="R885" i="1"/>
  <c r="BL885" i="1"/>
  <c r="BW885" i="1"/>
  <c r="CH885" i="1"/>
  <c r="CS885" i="1"/>
  <c r="K886" i="1"/>
  <c r="P886" i="1"/>
  <c r="R886" i="1"/>
  <c r="BL886" i="1"/>
  <c r="BW886" i="1"/>
  <c r="CH886" i="1"/>
  <c r="CS886" i="1"/>
  <c r="K887" i="1"/>
  <c r="P887" i="1"/>
  <c r="R887" i="1"/>
  <c r="BL887" i="1"/>
  <c r="BW887" i="1"/>
  <c r="CH887" i="1"/>
  <c r="CS887" i="1"/>
  <c r="K888" i="1"/>
  <c r="P888" i="1"/>
  <c r="R888" i="1"/>
  <c r="BL888" i="1"/>
  <c r="BW888" i="1"/>
  <c r="CH888" i="1"/>
  <c r="CS888" i="1"/>
  <c r="K889" i="1"/>
  <c r="P889" i="1"/>
  <c r="R889" i="1"/>
  <c r="BL889" i="1"/>
  <c r="BW889" i="1"/>
  <c r="CH889" i="1"/>
  <c r="CS889" i="1"/>
  <c r="K890" i="1"/>
  <c r="P890" i="1"/>
  <c r="R890" i="1"/>
  <c r="BL890" i="1"/>
  <c r="BW890" i="1"/>
  <c r="CH890" i="1"/>
  <c r="CS890" i="1"/>
  <c r="K891" i="1"/>
  <c r="P891" i="1"/>
  <c r="R891" i="1"/>
  <c r="BL891" i="1"/>
  <c r="BW891" i="1"/>
  <c r="CH891" i="1"/>
  <c r="CS891" i="1"/>
  <c r="K892" i="1"/>
  <c r="P892" i="1"/>
  <c r="R892" i="1"/>
  <c r="BL892" i="1"/>
  <c r="BW892" i="1"/>
  <c r="CH892" i="1"/>
  <c r="CS892" i="1"/>
  <c r="K893" i="1"/>
  <c r="P893" i="1"/>
  <c r="R893" i="1"/>
  <c r="BL893" i="1"/>
  <c r="BW893" i="1"/>
  <c r="CH893" i="1"/>
  <c r="CS893" i="1"/>
  <c r="K894" i="1"/>
  <c r="P894" i="1"/>
  <c r="R894" i="1"/>
  <c r="BL894" i="1"/>
  <c r="BW894" i="1"/>
  <c r="CH894" i="1"/>
  <c r="CS894" i="1"/>
  <c r="K895" i="1"/>
  <c r="P895" i="1"/>
  <c r="R895" i="1"/>
  <c r="BL895" i="1"/>
  <c r="BW895" i="1"/>
  <c r="CH895" i="1"/>
  <c r="CS895" i="1"/>
  <c r="K896" i="1"/>
  <c r="P896" i="1"/>
  <c r="R896" i="1"/>
  <c r="BL896" i="1"/>
  <c r="BW896" i="1"/>
  <c r="CH896" i="1"/>
  <c r="CS896" i="1"/>
  <c r="K897" i="1"/>
  <c r="P897" i="1"/>
  <c r="R897" i="1"/>
  <c r="BL897" i="1"/>
  <c r="BW897" i="1"/>
  <c r="CH897" i="1"/>
  <c r="CS897" i="1"/>
  <c r="K898" i="1"/>
  <c r="P898" i="1"/>
  <c r="R898" i="1"/>
  <c r="BL898" i="1"/>
  <c r="BW898" i="1"/>
  <c r="CH898" i="1"/>
  <c r="CS898" i="1"/>
  <c r="K899" i="1"/>
  <c r="P899" i="1"/>
  <c r="R899" i="1"/>
  <c r="BL899" i="1"/>
  <c r="BW899" i="1"/>
  <c r="CH899" i="1"/>
  <c r="CS899" i="1"/>
  <c r="K900" i="1"/>
  <c r="P900" i="1"/>
  <c r="R900" i="1"/>
  <c r="BL900" i="1"/>
  <c r="BW900" i="1"/>
  <c r="CH900" i="1"/>
  <c r="CS900" i="1"/>
  <c r="K901" i="1"/>
  <c r="P901" i="1"/>
  <c r="R901" i="1"/>
  <c r="BL901" i="1"/>
  <c r="BW901" i="1"/>
  <c r="CH901" i="1"/>
  <c r="CS901" i="1"/>
  <c r="K902" i="1"/>
  <c r="P902" i="1"/>
  <c r="R902" i="1"/>
  <c r="BL902" i="1"/>
  <c r="BW902" i="1"/>
  <c r="CH902" i="1"/>
  <c r="CS902" i="1"/>
  <c r="K903" i="1"/>
  <c r="P903" i="1"/>
  <c r="R903" i="1"/>
  <c r="BL903" i="1"/>
  <c r="BW903" i="1"/>
  <c r="CH903" i="1"/>
  <c r="CS903" i="1"/>
  <c r="K904" i="1"/>
  <c r="P904" i="1"/>
  <c r="R904" i="1"/>
  <c r="BL904" i="1"/>
  <c r="BW904" i="1"/>
  <c r="CH904" i="1"/>
  <c r="CS904" i="1"/>
  <c r="K905" i="1"/>
  <c r="P905" i="1"/>
  <c r="R905" i="1"/>
  <c r="BL905" i="1"/>
  <c r="BW905" i="1"/>
  <c r="CH905" i="1"/>
  <c r="CS905" i="1"/>
  <c r="K906" i="1"/>
  <c r="P906" i="1"/>
  <c r="R906" i="1"/>
  <c r="BL906" i="1"/>
  <c r="BW906" i="1"/>
  <c r="CH906" i="1"/>
  <c r="CS906" i="1"/>
  <c r="K907" i="1"/>
  <c r="P907" i="1"/>
  <c r="R907" i="1"/>
  <c r="BL907" i="1"/>
  <c r="BW907" i="1"/>
  <c r="CH907" i="1"/>
  <c r="CS907" i="1"/>
  <c r="K908" i="1"/>
  <c r="P908" i="1"/>
  <c r="R908" i="1"/>
  <c r="BL908" i="1"/>
  <c r="BW908" i="1"/>
  <c r="CH908" i="1"/>
  <c r="CS908" i="1"/>
  <c r="K909" i="1"/>
  <c r="P909" i="1"/>
  <c r="R909" i="1"/>
  <c r="BL909" i="1"/>
  <c r="BW909" i="1"/>
  <c r="CH909" i="1"/>
  <c r="CS909" i="1"/>
  <c r="K910" i="1"/>
  <c r="P910" i="1"/>
  <c r="R910" i="1"/>
  <c r="BL910" i="1"/>
  <c r="BW910" i="1"/>
  <c r="CH910" i="1"/>
  <c r="CS910" i="1"/>
  <c r="K911" i="1"/>
  <c r="P911" i="1"/>
  <c r="R911" i="1"/>
  <c r="BL911" i="1"/>
  <c r="BW911" i="1"/>
  <c r="CH911" i="1"/>
  <c r="CS911" i="1"/>
  <c r="K912" i="1"/>
  <c r="P912" i="1"/>
  <c r="R912" i="1"/>
  <c r="BL912" i="1"/>
  <c r="BW912" i="1"/>
  <c r="CH912" i="1"/>
  <c r="CS912" i="1"/>
  <c r="K913" i="1"/>
  <c r="P913" i="1"/>
  <c r="R913" i="1"/>
  <c r="BL913" i="1"/>
  <c r="BW913" i="1"/>
  <c r="CH913" i="1"/>
  <c r="CS913" i="1"/>
  <c r="K914" i="1"/>
  <c r="P914" i="1"/>
  <c r="R914" i="1"/>
  <c r="BL914" i="1"/>
  <c r="BW914" i="1"/>
  <c r="CH914" i="1"/>
  <c r="CS914" i="1"/>
  <c r="K915" i="1"/>
  <c r="P915" i="1"/>
  <c r="R915" i="1"/>
  <c r="BL915" i="1"/>
  <c r="BW915" i="1"/>
  <c r="CH915" i="1"/>
  <c r="CS915" i="1"/>
  <c r="K916" i="1"/>
  <c r="P916" i="1"/>
  <c r="R916" i="1"/>
  <c r="BL916" i="1"/>
  <c r="BW916" i="1"/>
  <c r="CH916" i="1"/>
  <c r="CS916" i="1"/>
  <c r="K917" i="1"/>
  <c r="P917" i="1"/>
  <c r="R917" i="1"/>
  <c r="BL917" i="1"/>
  <c r="BW917" i="1"/>
  <c r="CH917" i="1"/>
  <c r="CS917" i="1"/>
  <c r="K918" i="1"/>
  <c r="P918" i="1"/>
  <c r="R918" i="1"/>
  <c r="BL918" i="1"/>
  <c r="BW918" i="1"/>
  <c r="CH918" i="1"/>
  <c r="CS918" i="1"/>
  <c r="K919" i="1"/>
  <c r="P919" i="1"/>
  <c r="R919" i="1"/>
  <c r="BL919" i="1"/>
  <c r="BW919" i="1"/>
  <c r="CH919" i="1"/>
  <c r="CS919" i="1"/>
  <c r="K920" i="1"/>
  <c r="P920" i="1"/>
  <c r="R920" i="1"/>
  <c r="BL920" i="1"/>
  <c r="BW920" i="1"/>
  <c r="CH920" i="1"/>
  <c r="CS920" i="1"/>
  <c r="K921" i="1"/>
  <c r="P921" i="1"/>
  <c r="R921" i="1"/>
  <c r="BL921" i="1"/>
  <c r="BW921" i="1"/>
  <c r="CH921" i="1"/>
  <c r="CS921" i="1"/>
  <c r="K922" i="1"/>
  <c r="P922" i="1"/>
  <c r="R922" i="1"/>
  <c r="BL922" i="1"/>
  <c r="BW922" i="1"/>
  <c r="CH922" i="1"/>
  <c r="CS922" i="1"/>
  <c r="K923" i="1"/>
  <c r="P923" i="1"/>
  <c r="R923" i="1"/>
  <c r="BL923" i="1"/>
  <c r="BW923" i="1"/>
  <c r="CH923" i="1"/>
  <c r="CS923" i="1"/>
  <c r="K924" i="1"/>
  <c r="P924" i="1"/>
  <c r="R924" i="1"/>
  <c r="BL924" i="1"/>
  <c r="BW924" i="1"/>
  <c r="CH924" i="1"/>
  <c r="CS924" i="1"/>
  <c r="K925" i="1"/>
  <c r="P925" i="1"/>
  <c r="R925" i="1"/>
  <c r="BL925" i="1"/>
  <c r="BW925" i="1"/>
  <c r="CH925" i="1"/>
  <c r="CS925" i="1"/>
  <c r="K926" i="1"/>
  <c r="P926" i="1"/>
  <c r="R926" i="1"/>
  <c r="BL926" i="1"/>
  <c r="BW926" i="1"/>
  <c r="CH926" i="1"/>
  <c r="CS926" i="1"/>
  <c r="K927" i="1"/>
  <c r="P927" i="1"/>
  <c r="R927" i="1"/>
  <c r="BL927" i="1"/>
  <c r="BW927" i="1"/>
  <c r="CH927" i="1"/>
  <c r="CS927" i="1"/>
  <c r="K928" i="1"/>
  <c r="P928" i="1"/>
  <c r="R928" i="1"/>
  <c r="BL928" i="1"/>
  <c r="BW928" i="1"/>
  <c r="CH928" i="1"/>
  <c r="CS928" i="1"/>
  <c r="K929" i="1"/>
  <c r="P929" i="1"/>
  <c r="R929" i="1"/>
  <c r="BL929" i="1"/>
  <c r="BW929" i="1"/>
  <c r="CH929" i="1"/>
  <c r="CS929" i="1"/>
  <c r="K930" i="1"/>
  <c r="P930" i="1"/>
  <c r="R930" i="1"/>
  <c r="BL930" i="1"/>
  <c r="BW930" i="1"/>
  <c r="CH930" i="1"/>
  <c r="CS930" i="1"/>
  <c r="K931" i="1"/>
  <c r="P931" i="1"/>
  <c r="R931" i="1"/>
  <c r="BL931" i="1"/>
  <c r="BW931" i="1"/>
  <c r="CH931" i="1"/>
  <c r="CS931" i="1"/>
  <c r="K932" i="1"/>
  <c r="P932" i="1"/>
  <c r="R932" i="1"/>
  <c r="BL932" i="1"/>
  <c r="BW932" i="1"/>
  <c r="CH932" i="1"/>
  <c r="CS932" i="1"/>
  <c r="K933" i="1"/>
  <c r="P933" i="1"/>
  <c r="R933" i="1"/>
  <c r="BL933" i="1"/>
  <c r="BW933" i="1"/>
  <c r="CH933" i="1"/>
  <c r="CS933" i="1"/>
  <c r="K934" i="1"/>
  <c r="P934" i="1"/>
  <c r="R934" i="1"/>
  <c r="BL934" i="1"/>
  <c r="BW934" i="1"/>
  <c r="CH934" i="1"/>
  <c r="CS934" i="1"/>
  <c r="K935" i="1"/>
  <c r="P935" i="1"/>
  <c r="R935" i="1"/>
  <c r="BL935" i="1"/>
  <c r="BW935" i="1"/>
  <c r="CH935" i="1"/>
  <c r="CS935" i="1"/>
  <c r="K936" i="1"/>
  <c r="P936" i="1"/>
  <c r="R936" i="1"/>
  <c r="BL936" i="1"/>
  <c r="BW936" i="1"/>
  <c r="CH936" i="1"/>
  <c r="CS936" i="1"/>
  <c r="K937" i="1"/>
  <c r="P937" i="1"/>
  <c r="R937" i="1"/>
  <c r="BL937" i="1"/>
  <c r="BW937" i="1"/>
  <c r="CH937" i="1"/>
  <c r="CS937" i="1"/>
  <c r="K938" i="1"/>
  <c r="P938" i="1"/>
  <c r="R938" i="1"/>
  <c r="BL938" i="1"/>
  <c r="BW938" i="1"/>
  <c r="CH938" i="1"/>
  <c r="CS938" i="1"/>
  <c r="K939" i="1"/>
  <c r="P939" i="1"/>
  <c r="R939" i="1"/>
  <c r="BL939" i="1"/>
  <c r="BW939" i="1"/>
  <c r="CH939" i="1"/>
  <c r="CS939" i="1"/>
  <c r="K940" i="1"/>
  <c r="P940" i="1"/>
  <c r="R940" i="1"/>
  <c r="BL940" i="1"/>
  <c r="BW940" i="1"/>
  <c r="CH940" i="1"/>
  <c r="CS940" i="1"/>
  <c r="K941" i="1"/>
  <c r="P941" i="1"/>
  <c r="R941" i="1"/>
  <c r="BL941" i="1"/>
  <c r="BW941" i="1"/>
  <c r="CH941" i="1"/>
  <c r="CS941" i="1"/>
  <c r="K942" i="1"/>
  <c r="P942" i="1"/>
  <c r="R942" i="1"/>
  <c r="BL942" i="1"/>
  <c r="BW942" i="1"/>
  <c r="CH942" i="1"/>
  <c r="CS942" i="1"/>
  <c r="K943" i="1"/>
  <c r="P943" i="1"/>
  <c r="R943" i="1"/>
  <c r="BL943" i="1"/>
  <c r="BW943" i="1"/>
  <c r="CH943" i="1"/>
  <c r="CS943" i="1"/>
  <c r="K944" i="1"/>
  <c r="P944" i="1"/>
  <c r="R944" i="1"/>
  <c r="BL944" i="1"/>
  <c r="BW944" i="1"/>
  <c r="CH944" i="1"/>
  <c r="CS944" i="1"/>
  <c r="K945" i="1"/>
  <c r="P945" i="1"/>
  <c r="R945" i="1"/>
  <c r="BL945" i="1"/>
  <c r="BW945" i="1"/>
  <c r="CH945" i="1"/>
  <c r="CS945" i="1"/>
  <c r="K946" i="1"/>
  <c r="P946" i="1"/>
  <c r="R946" i="1"/>
  <c r="BL946" i="1"/>
  <c r="BW946" i="1"/>
  <c r="CH946" i="1"/>
  <c r="CS946" i="1"/>
  <c r="K947" i="1"/>
  <c r="P947" i="1"/>
  <c r="R947" i="1"/>
  <c r="BL947" i="1"/>
  <c r="BW947" i="1"/>
  <c r="CH947" i="1"/>
  <c r="CS947" i="1"/>
  <c r="K948" i="1"/>
  <c r="P948" i="1"/>
  <c r="R948" i="1"/>
  <c r="BL948" i="1"/>
  <c r="BW948" i="1"/>
  <c r="CH948" i="1"/>
  <c r="CS948" i="1"/>
  <c r="K949" i="1"/>
  <c r="P949" i="1"/>
  <c r="R949" i="1"/>
  <c r="BL949" i="1"/>
  <c r="BW949" i="1"/>
  <c r="CH949" i="1"/>
  <c r="CS949" i="1"/>
  <c r="K950" i="1"/>
  <c r="P950" i="1"/>
  <c r="R950" i="1"/>
  <c r="BL950" i="1"/>
  <c r="BW950" i="1"/>
  <c r="CH950" i="1"/>
  <c r="CS950" i="1"/>
  <c r="K951" i="1"/>
  <c r="P951" i="1"/>
  <c r="R951" i="1"/>
  <c r="BL951" i="1"/>
  <c r="BW951" i="1"/>
  <c r="CH951" i="1"/>
  <c r="CS951" i="1"/>
  <c r="K952" i="1"/>
  <c r="P952" i="1"/>
  <c r="R952" i="1"/>
  <c r="BL952" i="1"/>
  <c r="BW952" i="1"/>
  <c r="CH952" i="1"/>
  <c r="CS952" i="1"/>
  <c r="K953" i="1"/>
  <c r="P953" i="1"/>
  <c r="R953" i="1"/>
  <c r="BL953" i="1"/>
  <c r="BW953" i="1"/>
  <c r="CH953" i="1"/>
  <c r="CS953" i="1"/>
  <c r="K954" i="1"/>
  <c r="P954" i="1"/>
  <c r="R954" i="1"/>
  <c r="BL954" i="1"/>
  <c r="BW954" i="1"/>
  <c r="CH954" i="1"/>
  <c r="CS954" i="1"/>
  <c r="K955" i="1"/>
  <c r="P955" i="1"/>
  <c r="R955" i="1"/>
  <c r="BL955" i="1"/>
  <c r="BW955" i="1"/>
  <c r="CH955" i="1"/>
  <c r="CS955" i="1"/>
  <c r="K956" i="1"/>
  <c r="P956" i="1"/>
  <c r="R956" i="1"/>
  <c r="BL956" i="1"/>
  <c r="BW956" i="1"/>
  <c r="CH956" i="1"/>
  <c r="CS956" i="1"/>
  <c r="K957" i="1"/>
  <c r="P957" i="1"/>
  <c r="R957" i="1"/>
  <c r="BL957" i="1"/>
  <c r="BW957" i="1"/>
  <c r="CH957" i="1"/>
  <c r="CS957" i="1"/>
  <c r="K958" i="1"/>
  <c r="P958" i="1"/>
  <c r="R958" i="1"/>
  <c r="BL958" i="1"/>
  <c r="BW958" i="1"/>
  <c r="CH958" i="1"/>
  <c r="CS958" i="1"/>
  <c r="K959" i="1"/>
  <c r="P959" i="1"/>
  <c r="R959" i="1"/>
  <c r="BL959" i="1"/>
  <c r="BW959" i="1"/>
  <c r="CH959" i="1"/>
  <c r="CS959" i="1"/>
  <c r="K960" i="1"/>
  <c r="P960" i="1"/>
  <c r="R960" i="1"/>
  <c r="BL960" i="1"/>
  <c r="BW960" i="1"/>
  <c r="CH960" i="1"/>
  <c r="CS960" i="1"/>
  <c r="K961" i="1"/>
  <c r="P961" i="1"/>
  <c r="R961" i="1"/>
  <c r="BL961" i="1"/>
  <c r="BW961" i="1"/>
  <c r="CH961" i="1"/>
  <c r="CS961" i="1"/>
  <c r="K962" i="1"/>
  <c r="P962" i="1"/>
  <c r="R962" i="1"/>
  <c r="BL962" i="1"/>
  <c r="BW962" i="1"/>
  <c r="CH962" i="1"/>
  <c r="CS962" i="1"/>
  <c r="K963" i="1"/>
  <c r="P963" i="1"/>
  <c r="R963" i="1"/>
  <c r="BL963" i="1"/>
  <c r="BW963" i="1"/>
  <c r="CH963" i="1"/>
  <c r="CS963" i="1"/>
  <c r="K964" i="1"/>
  <c r="P964" i="1"/>
  <c r="R964" i="1"/>
  <c r="BL964" i="1"/>
  <c r="BW964" i="1"/>
  <c r="CH964" i="1"/>
  <c r="CS964" i="1"/>
  <c r="K965" i="1"/>
  <c r="P965" i="1"/>
  <c r="R965" i="1"/>
  <c r="BL965" i="1"/>
  <c r="BW965" i="1"/>
  <c r="CH965" i="1"/>
  <c r="CS965" i="1"/>
  <c r="K966" i="1"/>
  <c r="P966" i="1"/>
  <c r="R966" i="1"/>
  <c r="BL966" i="1"/>
  <c r="BW966" i="1"/>
  <c r="CH966" i="1"/>
  <c r="CS966" i="1"/>
  <c r="K967" i="1"/>
  <c r="P967" i="1"/>
  <c r="R967" i="1"/>
  <c r="BL967" i="1"/>
  <c r="BW967" i="1"/>
  <c r="CH967" i="1"/>
  <c r="CS967" i="1"/>
  <c r="K968" i="1"/>
  <c r="P968" i="1"/>
  <c r="R968" i="1"/>
  <c r="BL968" i="1"/>
  <c r="BW968" i="1"/>
  <c r="CH968" i="1"/>
  <c r="CS968" i="1"/>
  <c r="K969" i="1"/>
  <c r="P969" i="1"/>
  <c r="R969" i="1"/>
  <c r="BL969" i="1"/>
  <c r="BW969" i="1"/>
  <c r="CH969" i="1"/>
  <c r="CS969" i="1"/>
  <c r="K970" i="1"/>
  <c r="P970" i="1"/>
  <c r="R970" i="1"/>
  <c r="BL970" i="1"/>
  <c r="BW970" i="1"/>
  <c r="CH970" i="1"/>
  <c r="CS970" i="1"/>
  <c r="K971" i="1"/>
  <c r="P971" i="1"/>
  <c r="R971" i="1"/>
  <c r="BL971" i="1"/>
  <c r="BW971" i="1"/>
  <c r="CH971" i="1"/>
  <c r="CS971" i="1"/>
  <c r="K972" i="1"/>
  <c r="P972" i="1"/>
  <c r="R972" i="1"/>
  <c r="BL972" i="1"/>
  <c r="BW972" i="1"/>
  <c r="CH972" i="1"/>
  <c r="CS972" i="1"/>
  <c r="K973" i="1"/>
  <c r="P973" i="1"/>
  <c r="R973" i="1"/>
  <c r="BL973" i="1"/>
  <c r="BW973" i="1"/>
  <c r="CH973" i="1"/>
  <c r="CS973" i="1"/>
  <c r="K974" i="1"/>
  <c r="P974" i="1"/>
  <c r="R974" i="1"/>
  <c r="BL974" i="1"/>
  <c r="BW974" i="1"/>
  <c r="CH974" i="1"/>
  <c r="CS974" i="1"/>
  <c r="K975" i="1"/>
  <c r="P975" i="1"/>
  <c r="R975" i="1"/>
  <c r="BL975" i="1"/>
  <c r="BW975" i="1"/>
  <c r="CH975" i="1"/>
  <c r="CS975" i="1"/>
  <c r="K976" i="1"/>
  <c r="P976" i="1"/>
  <c r="R976" i="1"/>
  <c r="BL976" i="1"/>
  <c r="BW976" i="1"/>
  <c r="CH976" i="1"/>
  <c r="CS976" i="1"/>
  <c r="K977" i="1"/>
  <c r="P977" i="1"/>
  <c r="R977" i="1"/>
  <c r="BL977" i="1"/>
  <c r="BW977" i="1"/>
  <c r="CH977" i="1"/>
  <c r="CS977" i="1"/>
  <c r="K978" i="1"/>
  <c r="P978" i="1"/>
  <c r="R978" i="1"/>
  <c r="BL978" i="1"/>
  <c r="BW978" i="1"/>
  <c r="CH978" i="1"/>
  <c r="CS978" i="1"/>
  <c r="K979" i="1"/>
  <c r="P979" i="1"/>
  <c r="R979" i="1"/>
  <c r="BL979" i="1"/>
  <c r="BW979" i="1"/>
  <c r="CH979" i="1"/>
  <c r="CS979" i="1"/>
  <c r="K980" i="1"/>
  <c r="P980" i="1"/>
  <c r="R980" i="1"/>
  <c r="BL980" i="1"/>
  <c r="BW980" i="1"/>
  <c r="CH980" i="1"/>
  <c r="CS980" i="1"/>
  <c r="K981" i="1"/>
  <c r="P981" i="1"/>
  <c r="R981" i="1"/>
  <c r="BL981" i="1"/>
  <c r="BW981" i="1"/>
  <c r="CH981" i="1"/>
  <c r="CS981" i="1"/>
  <c r="K982" i="1"/>
  <c r="P982" i="1"/>
  <c r="R982" i="1"/>
  <c r="BL982" i="1"/>
  <c r="BW982" i="1"/>
  <c r="CH982" i="1"/>
  <c r="CS982" i="1"/>
  <c r="K983" i="1"/>
  <c r="P983" i="1"/>
  <c r="R983" i="1"/>
  <c r="BL983" i="1"/>
  <c r="BW983" i="1"/>
  <c r="CH983" i="1"/>
  <c r="CS983" i="1"/>
  <c r="K984" i="1"/>
  <c r="P984" i="1"/>
  <c r="R984" i="1"/>
  <c r="BL984" i="1"/>
  <c r="BW984" i="1"/>
  <c r="CH984" i="1"/>
  <c r="CS984" i="1"/>
  <c r="K985" i="1"/>
  <c r="P985" i="1"/>
  <c r="R985" i="1"/>
  <c r="BL985" i="1"/>
  <c r="BW985" i="1"/>
  <c r="CH985" i="1"/>
  <c r="CS985" i="1"/>
  <c r="K986" i="1"/>
  <c r="P986" i="1"/>
  <c r="R986" i="1"/>
  <c r="BL986" i="1"/>
  <c r="BW986" i="1"/>
  <c r="CH986" i="1"/>
  <c r="CS986" i="1"/>
  <c r="K987" i="1"/>
  <c r="P987" i="1"/>
  <c r="R987" i="1"/>
  <c r="BL987" i="1"/>
  <c r="BW987" i="1"/>
  <c r="CH987" i="1"/>
  <c r="CS987" i="1"/>
  <c r="K988" i="1"/>
  <c r="P988" i="1"/>
  <c r="R988" i="1"/>
  <c r="BL988" i="1"/>
  <c r="BW988" i="1"/>
  <c r="CH988" i="1"/>
  <c r="CS988" i="1"/>
  <c r="K989" i="1"/>
  <c r="P989" i="1"/>
  <c r="R989" i="1"/>
  <c r="BL989" i="1"/>
  <c r="BW989" i="1"/>
  <c r="CH989" i="1"/>
  <c r="CS989" i="1"/>
  <c r="K990" i="1"/>
  <c r="P990" i="1"/>
  <c r="R990" i="1"/>
  <c r="BL990" i="1"/>
  <c r="BW990" i="1"/>
  <c r="CH990" i="1"/>
  <c r="CS990" i="1"/>
  <c r="K991" i="1"/>
  <c r="P991" i="1"/>
  <c r="R991" i="1"/>
  <c r="BL991" i="1"/>
  <c r="BW991" i="1"/>
  <c r="CH991" i="1"/>
  <c r="CS991" i="1"/>
  <c r="K992" i="1"/>
  <c r="P992" i="1"/>
  <c r="R992" i="1"/>
  <c r="BL992" i="1"/>
  <c r="BW992" i="1"/>
  <c r="CH992" i="1"/>
  <c r="CS992" i="1"/>
  <c r="K993" i="1"/>
  <c r="P993" i="1"/>
  <c r="R993" i="1"/>
  <c r="BL993" i="1"/>
  <c r="BW993" i="1"/>
  <c r="CH993" i="1"/>
  <c r="CS993" i="1"/>
  <c r="K994" i="1"/>
  <c r="P994" i="1"/>
  <c r="R994" i="1"/>
  <c r="BL994" i="1"/>
  <c r="BW994" i="1"/>
  <c r="CH994" i="1"/>
  <c r="CS994" i="1"/>
  <c r="K995" i="1"/>
  <c r="P995" i="1"/>
  <c r="R995" i="1"/>
  <c r="BL995" i="1"/>
  <c r="BW995" i="1"/>
  <c r="CH995" i="1"/>
  <c r="CS995" i="1"/>
  <c r="K996" i="1"/>
  <c r="P996" i="1"/>
  <c r="R996" i="1"/>
  <c r="BL996" i="1"/>
  <c r="BW996" i="1"/>
  <c r="CH996" i="1"/>
  <c r="CS996" i="1"/>
  <c r="K997" i="1"/>
  <c r="P997" i="1"/>
  <c r="R997" i="1"/>
  <c r="BL997" i="1"/>
  <c r="BW997" i="1"/>
  <c r="CH997" i="1"/>
  <c r="CS997" i="1"/>
  <c r="K998" i="1"/>
  <c r="P998" i="1"/>
  <c r="R998" i="1"/>
  <c r="BL998" i="1"/>
  <c r="BW998" i="1"/>
  <c r="CH998" i="1"/>
  <c r="CS998" i="1"/>
  <c r="K999" i="1"/>
  <c r="P999" i="1"/>
  <c r="R999" i="1"/>
  <c r="BL999" i="1"/>
  <c r="BW999" i="1"/>
  <c r="CH999" i="1"/>
  <c r="CS999" i="1"/>
  <c r="K1000" i="1"/>
  <c r="P1000" i="1"/>
  <c r="R1000" i="1"/>
  <c r="BL1000" i="1"/>
  <c r="BW1000" i="1"/>
  <c r="CH1000" i="1"/>
  <c r="CS1000" i="1"/>
  <c r="K1001" i="1"/>
  <c r="P1001" i="1"/>
  <c r="R1001" i="1"/>
  <c r="BL1001" i="1"/>
  <c r="BW1001" i="1"/>
  <c r="CH1001" i="1"/>
  <c r="CS1001" i="1"/>
  <c r="K1002" i="1"/>
  <c r="P1002" i="1"/>
  <c r="R1002" i="1"/>
  <c r="BL1002" i="1"/>
  <c r="BW1002" i="1"/>
  <c r="CH1002" i="1"/>
  <c r="CS1002" i="1"/>
  <c r="K1003" i="1"/>
  <c r="P1003" i="1"/>
  <c r="R1003" i="1"/>
  <c r="BL1003" i="1"/>
  <c r="BW1003" i="1"/>
  <c r="CH1003" i="1"/>
  <c r="CS1003" i="1"/>
  <c r="K1004" i="1"/>
  <c r="P1004" i="1"/>
  <c r="R1004" i="1"/>
  <c r="BL1004" i="1"/>
  <c r="BW1004" i="1"/>
  <c r="CH1004" i="1"/>
  <c r="CS1004" i="1"/>
  <c r="K1005" i="1"/>
  <c r="P1005" i="1"/>
  <c r="R1005" i="1"/>
  <c r="BL1005" i="1"/>
  <c r="BW1005" i="1"/>
  <c r="CH1005" i="1"/>
  <c r="CS1005" i="1"/>
  <c r="K1006" i="1"/>
  <c r="P1006" i="1"/>
  <c r="R1006" i="1"/>
  <c r="BL1006" i="1"/>
  <c r="BW1006" i="1"/>
  <c r="CH1006" i="1"/>
  <c r="CS1006" i="1"/>
  <c r="K1007" i="1"/>
  <c r="P1007" i="1"/>
  <c r="R1007" i="1"/>
  <c r="BL1007" i="1"/>
  <c r="BW1007" i="1"/>
  <c r="CH1007" i="1"/>
  <c r="CS1007" i="1"/>
  <c r="K1008" i="1"/>
  <c r="P1008" i="1"/>
  <c r="R1008" i="1"/>
  <c r="BL1008" i="1"/>
  <c r="BW1008" i="1"/>
  <c r="CH1008" i="1"/>
  <c r="CS1008" i="1"/>
  <c r="K1009" i="1"/>
  <c r="P1009" i="1"/>
  <c r="R1009" i="1"/>
  <c r="BL1009" i="1"/>
  <c r="BW1009" i="1"/>
  <c r="CH1009" i="1"/>
  <c r="CS1009" i="1"/>
  <c r="K1010" i="1"/>
  <c r="P1010" i="1"/>
  <c r="R1010" i="1"/>
  <c r="BL1010" i="1"/>
  <c r="BW1010" i="1"/>
  <c r="CH1010" i="1"/>
  <c r="CS1010" i="1"/>
  <c r="K1011" i="1"/>
  <c r="P1011" i="1"/>
  <c r="R1011" i="1"/>
  <c r="BL1011" i="1"/>
  <c r="BW1011" i="1"/>
  <c r="CH1011" i="1"/>
  <c r="CS1011" i="1"/>
  <c r="K1012" i="1"/>
  <c r="P1012" i="1"/>
  <c r="R1012" i="1"/>
  <c r="BL1012" i="1"/>
  <c r="BW1012" i="1"/>
  <c r="CH1012" i="1"/>
  <c r="CS1012" i="1"/>
  <c r="K1013" i="1"/>
  <c r="P1013" i="1"/>
  <c r="R1013" i="1"/>
  <c r="BL1013" i="1"/>
  <c r="BW1013" i="1"/>
  <c r="CH1013" i="1"/>
  <c r="CS1013" i="1"/>
  <c r="K1014" i="1"/>
  <c r="P1014" i="1"/>
  <c r="R1014" i="1"/>
  <c r="BL1014" i="1"/>
  <c r="BW1014" i="1"/>
  <c r="CH1014" i="1"/>
  <c r="CS1014" i="1"/>
  <c r="K1015" i="1"/>
  <c r="P1015" i="1"/>
  <c r="R1015" i="1"/>
  <c r="BL1015" i="1"/>
  <c r="BW1015" i="1"/>
  <c r="CH1015" i="1"/>
  <c r="CS1015" i="1"/>
  <c r="K1016" i="1"/>
  <c r="P1016" i="1"/>
  <c r="R1016" i="1"/>
  <c r="BL1016" i="1"/>
  <c r="BW1016" i="1"/>
  <c r="CH1016" i="1"/>
  <c r="CS1016" i="1"/>
  <c r="K1017" i="1"/>
  <c r="P1017" i="1"/>
  <c r="R1017" i="1"/>
  <c r="BL1017" i="1"/>
  <c r="BW1017" i="1"/>
  <c r="CH1017" i="1"/>
  <c r="CS1017" i="1"/>
  <c r="K1018" i="1"/>
  <c r="P1018" i="1"/>
  <c r="R1018" i="1"/>
  <c r="BL1018" i="1"/>
  <c r="BW1018" i="1"/>
  <c r="CH1018" i="1"/>
  <c r="CS1018" i="1"/>
  <c r="K1019" i="1"/>
  <c r="P1019" i="1"/>
  <c r="R1019" i="1"/>
  <c r="BL1019" i="1"/>
  <c r="BW1019" i="1"/>
  <c r="CH1019" i="1"/>
  <c r="CS1019" i="1"/>
  <c r="K1020" i="1"/>
  <c r="P1020" i="1"/>
  <c r="R1020" i="1"/>
  <c r="BL1020" i="1"/>
  <c r="BW1020" i="1"/>
  <c r="CH1020" i="1"/>
  <c r="CS1020" i="1"/>
  <c r="K1021" i="1"/>
  <c r="P1021" i="1"/>
  <c r="R1021" i="1"/>
  <c r="BL1021" i="1"/>
  <c r="BW1021" i="1"/>
  <c r="CH1021" i="1"/>
  <c r="CS1021" i="1"/>
  <c r="K1022" i="1"/>
  <c r="P1022" i="1"/>
  <c r="R1022" i="1"/>
  <c r="BL1022" i="1"/>
  <c r="BW1022" i="1"/>
  <c r="CH1022" i="1"/>
  <c r="CS1022" i="1"/>
  <c r="K1023" i="1"/>
  <c r="P1023" i="1"/>
  <c r="R1023" i="1"/>
  <c r="BL1023" i="1"/>
  <c r="BW1023" i="1"/>
  <c r="CH1023" i="1"/>
  <c r="CS1023" i="1"/>
  <c r="K1024" i="1"/>
  <c r="P1024" i="1"/>
  <c r="R1024" i="1"/>
  <c r="BL1024" i="1"/>
  <c r="BW1024" i="1"/>
  <c r="CH1024" i="1"/>
  <c r="CS1024" i="1"/>
  <c r="K1025" i="1"/>
  <c r="P1025" i="1"/>
  <c r="R1025" i="1"/>
  <c r="BL1025" i="1"/>
  <c r="BW1025" i="1"/>
  <c r="CH1025" i="1"/>
  <c r="CS1025" i="1"/>
  <c r="K1026" i="1"/>
  <c r="P1026" i="1"/>
  <c r="R1026" i="1"/>
  <c r="BL1026" i="1"/>
  <c r="BW1026" i="1"/>
  <c r="CH1026" i="1"/>
  <c r="CS1026" i="1"/>
  <c r="K1027" i="1"/>
  <c r="P1027" i="1"/>
  <c r="R1027" i="1"/>
  <c r="BL1027" i="1"/>
  <c r="BW1027" i="1"/>
  <c r="CH1027" i="1"/>
  <c r="CS1027" i="1"/>
  <c r="K1028" i="1"/>
  <c r="P1028" i="1"/>
  <c r="R1028" i="1"/>
  <c r="BL1028" i="1"/>
  <c r="BQ1028" i="1"/>
  <c r="BW1028" i="1"/>
  <c r="CH1028" i="1"/>
  <c r="CS1028" i="1"/>
  <c r="K1029" i="1"/>
  <c r="P1029" i="1"/>
  <c r="R1029" i="1"/>
  <c r="BL1029" i="1"/>
  <c r="BW1029" i="1"/>
  <c r="CH1029" i="1"/>
  <c r="CS1029" i="1"/>
  <c r="K1030" i="1"/>
  <c r="P1030" i="1"/>
  <c r="R1030" i="1"/>
  <c r="BL1030" i="1"/>
  <c r="BW1030" i="1"/>
  <c r="CH1030" i="1"/>
  <c r="CS1030" i="1"/>
  <c r="K1031" i="1"/>
  <c r="P1031" i="1"/>
  <c r="R1031" i="1"/>
  <c r="BL1031" i="1"/>
  <c r="BW1031" i="1"/>
  <c r="CH1031" i="1"/>
  <c r="CS1031" i="1"/>
  <c r="K1032" i="1"/>
  <c r="P1032" i="1"/>
  <c r="R1032" i="1"/>
  <c r="BL1032" i="1"/>
  <c r="BW1032" i="1"/>
  <c r="CH1032" i="1"/>
  <c r="CS1032" i="1"/>
  <c r="K1033" i="1"/>
  <c r="P1033" i="1"/>
  <c r="R1033" i="1"/>
  <c r="BL1033" i="1"/>
  <c r="BW1033" i="1"/>
  <c r="CH1033" i="1"/>
  <c r="CS1033" i="1"/>
  <c r="K1034" i="1"/>
  <c r="P1034" i="1"/>
  <c r="R1034" i="1"/>
  <c r="BL1034" i="1"/>
  <c r="BW1034" i="1"/>
  <c r="CH1034" i="1"/>
  <c r="CS1034" i="1"/>
  <c r="K1035" i="1"/>
  <c r="P1035" i="1"/>
  <c r="R1035" i="1"/>
  <c r="BL1035" i="1"/>
  <c r="BW1035" i="1"/>
  <c r="CH1035" i="1"/>
  <c r="CS1035" i="1"/>
  <c r="K1036" i="1"/>
  <c r="P1036" i="1"/>
  <c r="R1036" i="1"/>
  <c r="BL1036" i="1"/>
  <c r="BW1036" i="1"/>
  <c r="CH1036" i="1"/>
  <c r="CS1036" i="1"/>
  <c r="K1037" i="1"/>
  <c r="P1037" i="1"/>
  <c r="R1037" i="1"/>
  <c r="BL1037" i="1"/>
  <c r="BW1037" i="1"/>
  <c r="CH1037" i="1"/>
  <c r="CS1037" i="1"/>
  <c r="K1038" i="1"/>
  <c r="P1038" i="1"/>
  <c r="R1038" i="1"/>
  <c r="BL1038" i="1"/>
  <c r="BW1038" i="1"/>
  <c r="CH1038" i="1"/>
  <c r="CS1038" i="1"/>
  <c r="K1039" i="1"/>
  <c r="P1039" i="1"/>
  <c r="R1039" i="1"/>
  <c r="BL1039" i="1"/>
  <c r="BW1039" i="1"/>
  <c r="CH1039" i="1"/>
  <c r="CS1039" i="1"/>
  <c r="K1040" i="1"/>
  <c r="P1040" i="1"/>
  <c r="R1040" i="1"/>
  <c r="BL1040" i="1"/>
  <c r="BW1040" i="1"/>
  <c r="CH1040" i="1"/>
  <c r="CS1040" i="1"/>
  <c r="K1041" i="1"/>
  <c r="P1041" i="1"/>
  <c r="R1041" i="1"/>
  <c r="BL1041" i="1"/>
  <c r="BW1041" i="1"/>
  <c r="CH1041" i="1"/>
  <c r="CS1041" i="1"/>
  <c r="K1042" i="1"/>
  <c r="P1042" i="1"/>
  <c r="R1042" i="1"/>
  <c r="BL1042" i="1"/>
  <c r="BW1042" i="1"/>
  <c r="CH1042" i="1"/>
  <c r="CS1042" i="1"/>
  <c r="K1043" i="1"/>
  <c r="P1043" i="1"/>
  <c r="R1043" i="1"/>
  <c r="BL1043" i="1"/>
  <c r="BW1043" i="1"/>
  <c r="CH1043" i="1"/>
  <c r="CS1043" i="1"/>
  <c r="K1044" i="1"/>
  <c r="P1044" i="1"/>
  <c r="R1044" i="1"/>
  <c r="BL1044" i="1"/>
  <c r="BW1044" i="1"/>
  <c r="CH1044" i="1"/>
  <c r="CS1044" i="1"/>
  <c r="K1045" i="1"/>
  <c r="P1045" i="1"/>
  <c r="R1045" i="1"/>
  <c r="BL1045" i="1"/>
  <c r="BW1045" i="1"/>
  <c r="CH1045" i="1"/>
  <c r="CS1045" i="1"/>
  <c r="K1046" i="1"/>
  <c r="P1046" i="1"/>
  <c r="R1046" i="1"/>
  <c r="BL1046" i="1"/>
  <c r="BW1046" i="1"/>
  <c r="CH1046" i="1"/>
  <c r="CS1046" i="1"/>
  <c r="K1047" i="1"/>
  <c r="P1047" i="1"/>
  <c r="R1047" i="1"/>
  <c r="BL1047" i="1"/>
  <c r="BW1047" i="1"/>
  <c r="CH1047" i="1"/>
  <c r="CS1047" i="1"/>
  <c r="K1048" i="1"/>
  <c r="P1048" i="1"/>
  <c r="R1048" i="1"/>
  <c r="BL1048" i="1"/>
  <c r="BW1048" i="1"/>
  <c r="CH1048" i="1"/>
  <c r="CS1048" i="1"/>
  <c r="K1049" i="1"/>
  <c r="P1049" i="1"/>
  <c r="R1049" i="1"/>
  <c r="BL1049" i="1"/>
  <c r="BW1049" i="1"/>
  <c r="CH1049" i="1"/>
  <c r="CS1049" i="1"/>
  <c r="K1050" i="1"/>
  <c r="P1050" i="1"/>
  <c r="R1050" i="1"/>
  <c r="BL1050" i="1"/>
  <c r="BW1050" i="1"/>
  <c r="CH1050" i="1"/>
  <c r="CS1050" i="1"/>
  <c r="K1051" i="1"/>
  <c r="P1051" i="1"/>
  <c r="R1051" i="1"/>
  <c r="BL1051" i="1"/>
  <c r="BW1051" i="1"/>
  <c r="CH1051" i="1"/>
  <c r="CS1051" i="1"/>
  <c r="K1052" i="1"/>
  <c r="P1052" i="1"/>
  <c r="R1052" i="1"/>
  <c r="BL1052" i="1"/>
  <c r="BW1052" i="1"/>
  <c r="CH1052" i="1"/>
  <c r="CS1052" i="1"/>
  <c r="K1053" i="1"/>
  <c r="P1053" i="1"/>
  <c r="R1053" i="1"/>
  <c r="BL1053" i="1"/>
  <c r="BW1053" i="1"/>
  <c r="CH1053" i="1"/>
  <c r="CS1053" i="1"/>
  <c r="K1054" i="1"/>
  <c r="P1054" i="1"/>
  <c r="R1054" i="1"/>
  <c r="BL1054" i="1"/>
  <c r="BW1054" i="1"/>
  <c r="CH1054" i="1"/>
  <c r="CS1054" i="1"/>
  <c r="K1055" i="1"/>
  <c r="P1055" i="1"/>
  <c r="R1055" i="1"/>
  <c r="BL1055" i="1"/>
  <c r="BW1055" i="1"/>
  <c r="CH1055" i="1"/>
  <c r="CS1055" i="1"/>
  <c r="K1056" i="1"/>
  <c r="P1056" i="1"/>
  <c r="R1056" i="1"/>
  <c r="BL1056" i="1"/>
  <c r="BW1056" i="1"/>
  <c r="CH1056" i="1"/>
  <c r="CS1056" i="1"/>
  <c r="K1057" i="1"/>
  <c r="P1057" i="1"/>
  <c r="R1057" i="1"/>
  <c r="BL1057" i="1"/>
  <c r="BW1057" i="1"/>
  <c r="CH1057" i="1"/>
  <c r="CS1057" i="1"/>
  <c r="K1058" i="1"/>
  <c r="P1058" i="1"/>
  <c r="R1058" i="1"/>
  <c r="BL1058" i="1"/>
  <c r="BW1058" i="1"/>
  <c r="CH1058" i="1"/>
  <c r="CS1058" i="1"/>
  <c r="K1059" i="1"/>
  <c r="P1059" i="1"/>
  <c r="R1059" i="1"/>
  <c r="BL1059" i="1"/>
  <c r="BW1059" i="1"/>
  <c r="CH1059" i="1"/>
  <c r="CS1059" i="1"/>
  <c r="K1060" i="1"/>
  <c r="P1060" i="1"/>
  <c r="R1060" i="1"/>
  <c r="BL1060" i="1"/>
  <c r="BW1060" i="1"/>
  <c r="CH1060" i="1"/>
  <c r="CS1060" i="1"/>
  <c r="K1061" i="1"/>
  <c r="P1061" i="1"/>
  <c r="R1061" i="1"/>
  <c r="BL1061" i="1"/>
  <c r="BW1061" i="1"/>
  <c r="CH1061" i="1"/>
  <c r="CS1061" i="1"/>
  <c r="K1062" i="1"/>
  <c r="P1062" i="1"/>
  <c r="R1062" i="1"/>
  <c r="BL1062" i="1"/>
  <c r="BW1062" i="1"/>
  <c r="CH1062" i="1"/>
  <c r="CS1062" i="1"/>
  <c r="K1063" i="1"/>
  <c r="P1063" i="1"/>
  <c r="R1063" i="1"/>
  <c r="BL1063" i="1"/>
  <c r="BW1063" i="1"/>
  <c r="CH1063" i="1"/>
  <c r="CS1063" i="1"/>
  <c r="K1064" i="1"/>
  <c r="P1064" i="1"/>
  <c r="R1064" i="1"/>
  <c r="BL1064" i="1"/>
  <c r="BW1064" i="1"/>
  <c r="CH1064" i="1"/>
  <c r="CS1064" i="1"/>
  <c r="K1065" i="1"/>
  <c r="P1065" i="1"/>
  <c r="R1065" i="1"/>
  <c r="BL1065" i="1"/>
  <c r="BW1065" i="1"/>
  <c r="CH1065" i="1"/>
  <c r="CS1065" i="1"/>
  <c r="K1066" i="1"/>
  <c r="P1066" i="1"/>
  <c r="R1066" i="1"/>
  <c r="BL1066" i="1"/>
  <c r="BW1066" i="1"/>
  <c r="CH1066" i="1"/>
  <c r="CS1066" i="1"/>
  <c r="K1067" i="1"/>
  <c r="P1067" i="1"/>
  <c r="R1067" i="1"/>
  <c r="BL1067" i="1"/>
  <c r="BW1067" i="1"/>
  <c r="CH1067" i="1"/>
  <c r="CS1067" i="1"/>
  <c r="K1068" i="1"/>
  <c r="P1068" i="1"/>
  <c r="R1068" i="1"/>
  <c r="BL1068" i="1"/>
  <c r="BW1068" i="1"/>
  <c r="CH1068" i="1"/>
  <c r="CS1068" i="1"/>
  <c r="K1069" i="1"/>
  <c r="P1069" i="1"/>
  <c r="R1069" i="1"/>
  <c r="BL1069" i="1"/>
  <c r="BW1069" i="1"/>
  <c r="CH1069" i="1"/>
  <c r="CS1069" i="1"/>
  <c r="K1070" i="1"/>
  <c r="P1070" i="1"/>
  <c r="R1070" i="1"/>
  <c r="BL1070" i="1"/>
  <c r="BW1070" i="1"/>
  <c r="CH1070" i="1"/>
  <c r="CS1070" i="1"/>
  <c r="K1071" i="1"/>
  <c r="P1071" i="1"/>
  <c r="R1071" i="1"/>
  <c r="BL1071" i="1"/>
  <c r="BW1071" i="1"/>
  <c r="CH1071" i="1"/>
  <c r="CS1071" i="1"/>
  <c r="K1072" i="1"/>
  <c r="P1072" i="1"/>
  <c r="R1072" i="1"/>
  <c r="BL1072" i="1"/>
  <c r="BW1072" i="1"/>
  <c r="CH1072" i="1"/>
  <c r="CS1072" i="1"/>
  <c r="K1073" i="1"/>
  <c r="P1073" i="1"/>
  <c r="R1073" i="1"/>
  <c r="BL1073" i="1"/>
  <c r="BW1073" i="1"/>
  <c r="CH1073" i="1"/>
  <c r="CS1073" i="1"/>
  <c r="K1074" i="1"/>
  <c r="P1074" i="1"/>
  <c r="R1074" i="1"/>
  <c r="BL1074" i="1"/>
  <c r="BW1074" i="1"/>
  <c r="CH1074" i="1"/>
  <c r="CS1074" i="1"/>
  <c r="K1075" i="1"/>
  <c r="P1075" i="1"/>
  <c r="R1075" i="1"/>
  <c r="BL1075" i="1"/>
  <c r="BW1075" i="1"/>
  <c r="CH1075" i="1"/>
  <c r="CS1075" i="1"/>
  <c r="K1076" i="1"/>
  <c r="P1076" i="1"/>
  <c r="R1076" i="1"/>
  <c r="BL1076" i="1"/>
  <c r="BW1076" i="1"/>
  <c r="CH1076" i="1"/>
  <c r="CS1076" i="1"/>
  <c r="K1077" i="1"/>
  <c r="P1077" i="1"/>
  <c r="R1077" i="1"/>
  <c r="BL1077" i="1"/>
  <c r="BW1077" i="1"/>
  <c r="CH1077" i="1"/>
  <c r="CS1077" i="1"/>
  <c r="K1078" i="1"/>
  <c r="P1078" i="1"/>
  <c r="R1078" i="1"/>
  <c r="BL1078" i="1"/>
  <c r="BW1078" i="1"/>
  <c r="CH1078" i="1"/>
  <c r="CS1078" i="1"/>
  <c r="K1079" i="1"/>
  <c r="P1079" i="1"/>
  <c r="R1079" i="1"/>
  <c r="BL1079" i="1"/>
  <c r="BW1079" i="1"/>
  <c r="CH1079" i="1"/>
  <c r="CS1079" i="1"/>
  <c r="K1080" i="1"/>
  <c r="P1080" i="1"/>
  <c r="R1080" i="1"/>
  <c r="BL1080" i="1"/>
  <c r="BW1080" i="1"/>
  <c r="CH1080" i="1"/>
  <c r="CS1080" i="1"/>
  <c r="K1081" i="1"/>
  <c r="P1081" i="1"/>
  <c r="R1081" i="1"/>
  <c r="BL1081" i="1"/>
  <c r="BW1081" i="1"/>
  <c r="CH1081" i="1"/>
  <c r="CS1081" i="1"/>
  <c r="K1082" i="1"/>
  <c r="P1082" i="1"/>
  <c r="R1082" i="1"/>
  <c r="BL1082" i="1"/>
  <c r="BW1082" i="1"/>
  <c r="CH1082" i="1"/>
  <c r="CS1082" i="1"/>
  <c r="K1083" i="1"/>
  <c r="P1083" i="1"/>
  <c r="R1083" i="1"/>
  <c r="BL1083" i="1"/>
  <c r="BW1083" i="1"/>
  <c r="CH1083" i="1"/>
  <c r="CS1083" i="1"/>
  <c r="K1084" i="1"/>
  <c r="P1084" i="1"/>
  <c r="R1084" i="1"/>
  <c r="BL1084" i="1"/>
  <c r="BW1084" i="1"/>
  <c r="CH1084" i="1"/>
  <c r="CS1084" i="1"/>
  <c r="K1085" i="1"/>
  <c r="P1085" i="1"/>
  <c r="R1085" i="1"/>
  <c r="BL1085" i="1"/>
  <c r="BW1085" i="1"/>
  <c r="CH1085" i="1"/>
  <c r="CS1085" i="1"/>
  <c r="K1086" i="1"/>
  <c r="P1086" i="1"/>
  <c r="R1086" i="1"/>
  <c r="BL1086" i="1"/>
  <c r="BW1086" i="1"/>
  <c r="CH1086" i="1"/>
  <c r="CS1086" i="1"/>
  <c r="K1087" i="1"/>
  <c r="P1087" i="1"/>
  <c r="R1087" i="1"/>
  <c r="BL1087" i="1"/>
  <c r="BW1087" i="1"/>
  <c r="CH1087" i="1"/>
  <c r="CS1087" i="1"/>
  <c r="K1088" i="1"/>
  <c r="P1088" i="1"/>
  <c r="R1088" i="1"/>
  <c r="BL1088" i="1"/>
  <c r="BW1088" i="1"/>
  <c r="CH1088" i="1"/>
  <c r="CS1088" i="1"/>
  <c r="K1089" i="1"/>
  <c r="P1089" i="1"/>
  <c r="R1089" i="1"/>
  <c r="BL1089" i="1"/>
  <c r="BW1089" i="1"/>
  <c r="CH1089" i="1"/>
  <c r="CS1089" i="1"/>
  <c r="K1090" i="1"/>
  <c r="P1090" i="1"/>
  <c r="R1090" i="1"/>
  <c r="BL1090" i="1"/>
  <c r="BW1090" i="1"/>
  <c r="CH1090" i="1"/>
  <c r="CS1090" i="1"/>
  <c r="K1091" i="1"/>
  <c r="P1091" i="1"/>
  <c r="R1091" i="1"/>
  <c r="BL1091" i="1"/>
  <c r="BW1091" i="1"/>
  <c r="CH1091" i="1"/>
  <c r="CS1091" i="1"/>
  <c r="K1092" i="1"/>
  <c r="P1092" i="1"/>
  <c r="R1092" i="1"/>
  <c r="BL1092" i="1"/>
  <c r="BW1092" i="1"/>
  <c r="CH1092" i="1"/>
  <c r="CS1092" i="1"/>
  <c r="K1093" i="1"/>
  <c r="P1093" i="1"/>
  <c r="R1093" i="1"/>
  <c r="BL1093" i="1"/>
  <c r="BW1093" i="1"/>
  <c r="CH1093" i="1"/>
  <c r="CS1093" i="1"/>
  <c r="K1094" i="1"/>
  <c r="P1094" i="1"/>
  <c r="R1094" i="1"/>
  <c r="BL1094" i="1"/>
  <c r="BW1094" i="1"/>
  <c r="CH1094" i="1"/>
  <c r="CS1094" i="1"/>
  <c r="K1095" i="1"/>
  <c r="P1095" i="1"/>
  <c r="R1095" i="1"/>
  <c r="BL1095" i="1"/>
  <c r="BW1095" i="1"/>
  <c r="CH1095" i="1"/>
  <c r="CS1095" i="1"/>
  <c r="K1096" i="1"/>
  <c r="P1096" i="1"/>
  <c r="R1096" i="1"/>
  <c r="BL1096" i="1"/>
  <c r="BW1096" i="1"/>
  <c r="CH1096" i="1"/>
  <c r="CS1096" i="1"/>
  <c r="K1097" i="1"/>
  <c r="P1097" i="1"/>
  <c r="R1097" i="1"/>
  <c r="BL1097" i="1"/>
  <c r="BW1097" i="1"/>
  <c r="CH1097" i="1"/>
  <c r="CS1097" i="1"/>
  <c r="K1098" i="1"/>
  <c r="P1098" i="1"/>
  <c r="R1098" i="1"/>
  <c r="BL1098" i="1"/>
  <c r="BW1098" i="1"/>
  <c r="CH1098" i="1"/>
  <c r="CS1098" i="1"/>
  <c r="K1099" i="1"/>
  <c r="P1099" i="1"/>
  <c r="R1099" i="1"/>
  <c r="BL1099" i="1"/>
  <c r="BW1099" i="1"/>
  <c r="CH1099" i="1"/>
  <c r="CS1099" i="1"/>
  <c r="K1100" i="1"/>
  <c r="P1100" i="1"/>
  <c r="R1100" i="1"/>
  <c r="BL1100" i="1"/>
  <c r="BW1100" i="1"/>
  <c r="CH1100" i="1"/>
  <c r="CS1100" i="1"/>
  <c r="K1101" i="1"/>
  <c r="P1101" i="1"/>
  <c r="R1101" i="1"/>
  <c r="BL1101" i="1"/>
  <c r="BW1101" i="1"/>
  <c r="CH1101" i="1"/>
  <c r="CS1101" i="1"/>
  <c r="K1102" i="1"/>
  <c r="P1102" i="1"/>
  <c r="R1102" i="1"/>
  <c r="BL1102" i="1"/>
  <c r="BW1102" i="1"/>
  <c r="CH1102" i="1"/>
  <c r="CS1102" i="1"/>
  <c r="K1103" i="1"/>
  <c r="P1103" i="1"/>
  <c r="R1103" i="1"/>
  <c r="BL1103" i="1"/>
  <c r="BW1103" i="1"/>
  <c r="CH1103" i="1"/>
  <c r="CS1103" i="1"/>
  <c r="K1104" i="1"/>
  <c r="P1104" i="1"/>
  <c r="R1104" i="1"/>
  <c r="BL1104" i="1"/>
  <c r="BW1104" i="1"/>
  <c r="CH1104" i="1"/>
  <c r="CS1104" i="1"/>
  <c r="K1105" i="1"/>
  <c r="P1105" i="1"/>
  <c r="R1105" i="1"/>
  <c r="BL1105" i="1"/>
  <c r="BW1105" i="1"/>
  <c r="CH1105" i="1"/>
  <c r="CS1105" i="1"/>
  <c r="K1106" i="1"/>
  <c r="P1106" i="1"/>
  <c r="R1106" i="1"/>
  <c r="BL1106" i="1"/>
  <c r="BW1106" i="1"/>
  <c r="CH1106" i="1"/>
  <c r="CS1106" i="1"/>
  <c r="K1107" i="1"/>
  <c r="P1107" i="1"/>
  <c r="R1107" i="1"/>
  <c r="BL1107" i="1"/>
  <c r="BW1107" i="1"/>
  <c r="CH1107" i="1"/>
  <c r="CS1107" i="1"/>
  <c r="K1108" i="1"/>
  <c r="P1108" i="1"/>
  <c r="R1108" i="1"/>
  <c r="BL1108" i="1"/>
  <c r="BW1108" i="1"/>
  <c r="CH1108" i="1"/>
  <c r="CS1108" i="1"/>
  <c r="K1109" i="1"/>
  <c r="P1109" i="1"/>
  <c r="R1109" i="1"/>
  <c r="BL1109" i="1"/>
  <c r="BW1109" i="1"/>
  <c r="CH1109" i="1"/>
  <c r="CS1109" i="1"/>
  <c r="K1110" i="1"/>
  <c r="P1110" i="1"/>
  <c r="R1110" i="1"/>
  <c r="BL1110" i="1"/>
  <c r="BW1110" i="1"/>
  <c r="CH1110" i="1"/>
  <c r="CS1110" i="1"/>
  <c r="K1111" i="1"/>
  <c r="P1111" i="1"/>
  <c r="R1111" i="1"/>
  <c r="BL1111" i="1"/>
  <c r="BW1111" i="1"/>
  <c r="CH1111" i="1"/>
  <c r="CS1111" i="1"/>
  <c r="K1112" i="1"/>
  <c r="P1112" i="1"/>
  <c r="R1112" i="1"/>
  <c r="BL1112" i="1"/>
  <c r="BW1112" i="1"/>
  <c r="CH1112" i="1"/>
  <c r="CS1112" i="1"/>
  <c r="K1113" i="1"/>
  <c r="P1113" i="1"/>
  <c r="R1113" i="1"/>
  <c r="BL1113" i="1"/>
  <c r="BW1113" i="1"/>
  <c r="CH1113" i="1"/>
  <c r="CS1113" i="1"/>
  <c r="K1114" i="1"/>
  <c r="P1114" i="1"/>
  <c r="R1114" i="1"/>
  <c r="BL1114" i="1"/>
  <c r="BW1114" i="1"/>
  <c r="CH1114" i="1"/>
  <c r="CS1114" i="1"/>
  <c r="K1115" i="1"/>
  <c r="P1115" i="1"/>
  <c r="R1115" i="1"/>
  <c r="BL1115" i="1"/>
  <c r="BW1115" i="1"/>
  <c r="CH1115" i="1"/>
  <c r="CS1115" i="1"/>
  <c r="K1116" i="1"/>
  <c r="P1116" i="1"/>
  <c r="R1116" i="1"/>
  <c r="BL1116" i="1"/>
  <c r="BW1116" i="1"/>
  <c r="CH1116" i="1"/>
  <c r="CS1116" i="1"/>
  <c r="K1117" i="1"/>
  <c r="P1117" i="1"/>
  <c r="R1117" i="1"/>
  <c r="BL1117" i="1"/>
  <c r="BW1117" i="1"/>
  <c r="CH1117" i="1"/>
  <c r="CS1117" i="1"/>
  <c r="K1118" i="1"/>
  <c r="P1118" i="1"/>
  <c r="R1118" i="1"/>
  <c r="BL1118" i="1"/>
  <c r="BW1118" i="1"/>
  <c r="CH1118" i="1"/>
  <c r="CS1118" i="1"/>
  <c r="K1119" i="1"/>
  <c r="P1119" i="1"/>
  <c r="R1119" i="1"/>
  <c r="BL1119" i="1"/>
  <c r="BW1119" i="1"/>
  <c r="CH1119" i="1"/>
  <c r="CS1119" i="1"/>
  <c r="K1120" i="1"/>
  <c r="P1120" i="1"/>
  <c r="R1120" i="1"/>
  <c r="BL1120" i="1"/>
  <c r="BW1120" i="1"/>
  <c r="CH1120" i="1"/>
  <c r="CS1120" i="1"/>
  <c r="K1121" i="1"/>
  <c r="P1121" i="1"/>
  <c r="R1121" i="1"/>
  <c r="BL1121" i="1"/>
  <c r="BW1121" i="1"/>
  <c r="CH1121" i="1"/>
  <c r="CS1121" i="1"/>
  <c r="K1122" i="1"/>
  <c r="P1122" i="1"/>
  <c r="R1122" i="1"/>
  <c r="AM1122" i="1"/>
  <c r="BL1122" i="1"/>
  <c r="BW1122" i="1"/>
  <c r="CH1122" i="1"/>
  <c r="CS1122" i="1"/>
  <c r="K1123" i="1"/>
  <c r="P1123" i="1"/>
  <c r="R1123" i="1"/>
  <c r="BL1123" i="1"/>
  <c r="BW1123" i="1"/>
  <c r="CH1123" i="1"/>
  <c r="CS1123" i="1"/>
  <c r="K1124" i="1"/>
  <c r="P1124" i="1"/>
  <c r="R1124" i="1"/>
  <c r="BL1124" i="1"/>
  <c r="BW1124" i="1"/>
  <c r="CH1124" i="1"/>
  <c r="CS1124" i="1"/>
  <c r="K1125" i="1"/>
  <c r="P1125" i="1"/>
  <c r="R1125" i="1"/>
  <c r="BL1125" i="1"/>
  <c r="BW1125" i="1"/>
  <c r="CH1125" i="1"/>
  <c r="CS1125" i="1"/>
  <c r="K1126" i="1"/>
  <c r="P1126" i="1"/>
  <c r="R1126" i="1"/>
  <c r="BL1126" i="1"/>
  <c r="BW1126" i="1"/>
  <c r="CH1126" i="1"/>
  <c r="CS1126" i="1"/>
  <c r="K1127" i="1"/>
  <c r="P1127" i="1"/>
  <c r="R1127" i="1"/>
  <c r="BL1127" i="1"/>
  <c r="BW1127" i="1"/>
  <c r="CH1127" i="1"/>
  <c r="CS1127" i="1"/>
  <c r="K1128" i="1"/>
  <c r="P1128" i="1"/>
  <c r="R1128" i="1"/>
  <c r="BL1128" i="1"/>
  <c r="BW1128" i="1"/>
  <c r="CH1128" i="1"/>
  <c r="CS1128" i="1"/>
  <c r="K1129" i="1"/>
  <c r="P1129" i="1"/>
  <c r="R1129" i="1"/>
  <c r="BL1129" i="1"/>
  <c r="BW1129" i="1"/>
  <c r="CH1129" i="1"/>
  <c r="CS1129" i="1"/>
  <c r="K1130" i="1"/>
  <c r="P1130" i="1"/>
  <c r="R1130" i="1"/>
  <c r="BL1130" i="1"/>
  <c r="BW1130" i="1"/>
  <c r="CH1130" i="1"/>
  <c r="CS1130" i="1"/>
  <c r="K1131" i="1"/>
  <c r="P1131" i="1"/>
  <c r="R1131" i="1"/>
  <c r="BL1131" i="1"/>
  <c r="BW1131" i="1"/>
  <c r="CH1131" i="1"/>
  <c r="CS1131" i="1"/>
  <c r="K1132" i="1"/>
  <c r="P1132" i="1"/>
  <c r="R1132" i="1"/>
  <c r="BL1132" i="1"/>
  <c r="BW1132" i="1"/>
  <c r="CH1132" i="1"/>
  <c r="CS1132" i="1"/>
  <c r="K1133" i="1"/>
  <c r="P1133" i="1"/>
  <c r="R1133" i="1"/>
  <c r="BL1133" i="1"/>
  <c r="BW1133" i="1"/>
  <c r="CH1133" i="1"/>
  <c r="CS1133" i="1"/>
  <c r="K1134" i="1"/>
  <c r="P1134" i="1"/>
  <c r="R1134" i="1"/>
  <c r="BL1134" i="1"/>
  <c r="BW1134" i="1"/>
  <c r="CH1134" i="1"/>
  <c r="CS1134" i="1"/>
  <c r="K1135" i="1"/>
  <c r="P1135" i="1"/>
  <c r="R1135" i="1"/>
  <c r="BL1135" i="1"/>
  <c r="BW1135" i="1"/>
  <c r="CH1135" i="1"/>
  <c r="CS1135" i="1"/>
  <c r="K1136" i="1"/>
  <c r="P1136" i="1"/>
  <c r="R1136" i="1"/>
  <c r="BL1136" i="1"/>
  <c r="BW1136" i="1"/>
  <c r="CH1136" i="1"/>
  <c r="CS1136" i="1"/>
  <c r="K1137" i="1"/>
  <c r="P1137" i="1"/>
  <c r="R1137" i="1"/>
  <c r="BL1137" i="1"/>
  <c r="BW1137" i="1"/>
  <c r="CH1137" i="1"/>
  <c r="CS1137" i="1"/>
  <c r="K1138" i="1"/>
  <c r="P1138" i="1"/>
  <c r="R1138" i="1"/>
  <c r="BL1138" i="1"/>
  <c r="BW1138" i="1"/>
  <c r="CH1138" i="1"/>
  <c r="CS1138" i="1"/>
  <c r="K1139" i="1"/>
  <c r="P1139" i="1"/>
  <c r="R1139" i="1"/>
  <c r="BL1139" i="1"/>
  <c r="BW1139" i="1"/>
  <c r="CH1139" i="1"/>
  <c r="CS1139" i="1"/>
  <c r="K1140" i="1"/>
  <c r="P1140" i="1"/>
  <c r="R1140" i="1"/>
  <c r="BL1140" i="1"/>
  <c r="BW1140" i="1"/>
  <c r="CH1140" i="1"/>
  <c r="CS1140" i="1"/>
  <c r="K1141" i="1"/>
  <c r="P1141" i="1"/>
  <c r="R1141" i="1"/>
  <c r="BL1141" i="1"/>
  <c r="BW1141" i="1"/>
  <c r="CH1141" i="1"/>
  <c r="CS1141" i="1"/>
  <c r="K1142" i="1"/>
  <c r="P1142" i="1"/>
  <c r="R1142" i="1"/>
  <c r="BL1142" i="1"/>
  <c r="BW1142" i="1"/>
  <c r="CH1142" i="1"/>
  <c r="CS1142" i="1"/>
  <c r="K1143" i="1"/>
  <c r="P1143" i="1"/>
  <c r="R1143" i="1"/>
  <c r="BL1143" i="1"/>
  <c r="BW1143" i="1"/>
  <c r="CH1143" i="1"/>
  <c r="CS1143" i="1"/>
  <c r="K1144" i="1"/>
  <c r="P1144" i="1"/>
  <c r="R1144" i="1"/>
  <c r="BL1144" i="1"/>
  <c r="BW1144" i="1"/>
  <c r="CH1144" i="1"/>
  <c r="CS1144" i="1"/>
  <c r="K1145" i="1"/>
  <c r="P1145" i="1"/>
  <c r="R1145" i="1"/>
  <c r="BL1145" i="1"/>
  <c r="BW1145" i="1"/>
  <c r="CH1145" i="1"/>
  <c r="CS1145" i="1"/>
  <c r="K1146" i="1"/>
  <c r="P1146" i="1"/>
  <c r="R1146" i="1"/>
  <c r="BL1146" i="1"/>
  <c r="BW1146" i="1"/>
  <c r="CH1146" i="1"/>
  <c r="CS1146" i="1"/>
  <c r="K1147" i="1"/>
  <c r="P1147" i="1"/>
  <c r="R1147" i="1"/>
  <c r="BL1147" i="1"/>
  <c r="BW1147" i="1"/>
  <c r="CH1147" i="1"/>
  <c r="CS1147" i="1"/>
  <c r="K1148" i="1"/>
  <c r="P1148" i="1"/>
  <c r="R1148" i="1"/>
  <c r="BL1148" i="1"/>
  <c r="BW1148" i="1"/>
  <c r="CH1148" i="1"/>
  <c r="CS1148" i="1"/>
  <c r="K1149" i="1"/>
  <c r="P1149" i="1"/>
  <c r="R1149" i="1"/>
  <c r="BL1149" i="1"/>
  <c r="BW1149" i="1"/>
  <c r="CH1149" i="1"/>
  <c r="CS1149" i="1"/>
  <c r="K1150" i="1"/>
  <c r="P1150" i="1"/>
  <c r="R1150" i="1"/>
  <c r="BL1150" i="1"/>
  <c r="BW1150" i="1"/>
  <c r="CH1150" i="1"/>
  <c r="CS1150" i="1"/>
  <c r="K1151" i="1"/>
  <c r="P1151" i="1"/>
  <c r="R1151" i="1"/>
  <c r="BL1151" i="1"/>
  <c r="BW1151" i="1"/>
  <c r="CH1151" i="1"/>
  <c r="CS1151" i="1"/>
  <c r="K1152" i="1"/>
  <c r="P1152" i="1"/>
  <c r="R1152" i="1"/>
  <c r="BL1152" i="1"/>
  <c r="BW1152" i="1"/>
  <c r="CH1152" i="1"/>
  <c r="CS1152" i="1"/>
  <c r="K1153" i="1"/>
  <c r="P1153" i="1"/>
  <c r="R1153" i="1"/>
  <c r="BL1153" i="1"/>
  <c r="BW1153" i="1"/>
  <c r="CH1153" i="1"/>
  <c r="CS1153" i="1"/>
  <c r="K1154" i="1"/>
  <c r="P1154" i="1"/>
  <c r="R1154" i="1"/>
  <c r="BL1154" i="1"/>
  <c r="BW1154" i="1"/>
  <c r="CH1154" i="1"/>
  <c r="CS1154" i="1"/>
  <c r="K1155" i="1"/>
  <c r="P1155" i="1"/>
  <c r="R1155" i="1"/>
  <c r="BL1155" i="1"/>
  <c r="BW1155" i="1"/>
  <c r="CH1155" i="1"/>
  <c r="CS1155" i="1"/>
  <c r="K1156" i="1"/>
  <c r="P1156" i="1"/>
  <c r="R1156" i="1"/>
  <c r="BL1156" i="1"/>
  <c r="BW1156" i="1"/>
  <c r="CH1156" i="1"/>
  <c r="CS1156" i="1"/>
  <c r="K1157" i="1"/>
  <c r="P1157" i="1"/>
  <c r="R1157" i="1"/>
  <c r="BL1157" i="1"/>
  <c r="BW1157" i="1"/>
  <c r="CH1157" i="1"/>
  <c r="CS1157" i="1"/>
  <c r="K1158" i="1"/>
  <c r="P1158" i="1"/>
  <c r="R1158" i="1"/>
  <c r="BL1158" i="1"/>
  <c r="BW1158" i="1"/>
  <c r="CH1158" i="1"/>
  <c r="CS1158" i="1"/>
  <c r="K1159" i="1"/>
  <c r="P1159" i="1"/>
  <c r="R1159" i="1"/>
  <c r="BL1159" i="1"/>
  <c r="BW1159" i="1"/>
  <c r="CH1159" i="1"/>
  <c r="CS1159" i="1"/>
  <c r="K1160" i="1"/>
  <c r="P1160" i="1"/>
  <c r="R1160" i="1"/>
  <c r="BL1160" i="1"/>
  <c r="BW1160" i="1"/>
  <c r="CH1160" i="1"/>
  <c r="CS1160" i="1"/>
  <c r="K1161" i="1"/>
  <c r="P1161" i="1"/>
  <c r="R1161" i="1"/>
  <c r="BL1161" i="1"/>
  <c r="BQ1161" i="1"/>
  <c r="BW1161" i="1"/>
  <c r="CH1161" i="1"/>
  <c r="CS1161" i="1"/>
  <c r="K1162" i="1"/>
  <c r="P1162" i="1"/>
  <c r="R1162" i="1"/>
  <c r="BL1162" i="1"/>
  <c r="BW1162" i="1"/>
  <c r="CH1162" i="1"/>
  <c r="CS1162" i="1"/>
  <c r="K1163" i="1"/>
  <c r="P1163" i="1"/>
  <c r="R1163" i="1"/>
  <c r="BL1163" i="1"/>
  <c r="BW1163" i="1"/>
  <c r="CH1163" i="1"/>
  <c r="CS1163" i="1"/>
  <c r="K1164" i="1"/>
  <c r="P1164" i="1"/>
  <c r="R1164" i="1"/>
  <c r="BL1164" i="1"/>
  <c r="BW1164" i="1"/>
  <c r="CH1164" i="1"/>
  <c r="CS1164" i="1"/>
  <c r="K1165" i="1"/>
  <c r="P1165" i="1"/>
  <c r="R1165" i="1"/>
  <c r="BL1165" i="1"/>
  <c r="BW1165" i="1"/>
  <c r="CH1165" i="1"/>
  <c r="CS1165" i="1"/>
  <c r="K1166" i="1"/>
  <c r="P1166" i="1"/>
  <c r="R1166" i="1"/>
  <c r="BL1166" i="1"/>
  <c r="BW1166" i="1"/>
  <c r="CH1166" i="1"/>
  <c r="CS1166" i="1"/>
  <c r="K1167" i="1"/>
  <c r="P1167" i="1"/>
  <c r="R1167" i="1"/>
  <c r="BL1167" i="1"/>
  <c r="BW1167" i="1"/>
  <c r="CH1167" i="1"/>
  <c r="CS1167" i="1"/>
  <c r="K1168" i="1"/>
  <c r="P1168" i="1"/>
  <c r="R1168" i="1"/>
  <c r="BL1168" i="1"/>
  <c r="BW1168" i="1"/>
  <c r="CH1168" i="1"/>
  <c r="CS1168" i="1"/>
  <c r="K1169" i="1"/>
  <c r="P1169" i="1"/>
  <c r="R1169" i="1"/>
  <c r="BL1169" i="1"/>
  <c r="BW1169" i="1"/>
  <c r="CH1169" i="1"/>
  <c r="CS1169" i="1"/>
  <c r="K1170" i="1"/>
  <c r="P1170" i="1"/>
  <c r="R1170" i="1"/>
  <c r="BL1170" i="1"/>
  <c r="BW1170" i="1"/>
  <c r="CH1170" i="1"/>
  <c r="CS1170" i="1"/>
  <c r="K1171" i="1"/>
  <c r="P1171" i="1"/>
  <c r="R1171" i="1"/>
  <c r="BL1171" i="1"/>
  <c r="BW1171" i="1"/>
  <c r="CH1171" i="1"/>
  <c r="CS1171" i="1"/>
  <c r="K1172" i="1"/>
  <c r="P1172" i="1"/>
  <c r="R1172" i="1"/>
  <c r="BL1172" i="1"/>
  <c r="BW1172" i="1"/>
  <c r="CH1172" i="1"/>
  <c r="CS1172" i="1"/>
  <c r="K1173" i="1"/>
  <c r="P1173" i="1"/>
  <c r="R1173" i="1"/>
  <c r="BL1173" i="1"/>
  <c r="BW1173" i="1"/>
  <c r="CH1173" i="1"/>
  <c r="CS1173" i="1"/>
  <c r="K1174" i="1"/>
  <c r="P1174" i="1"/>
  <c r="R1174" i="1"/>
  <c r="BL1174" i="1"/>
  <c r="BW1174" i="1"/>
  <c r="CH1174" i="1"/>
  <c r="CS1174" i="1"/>
  <c r="K1175" i="1"/>
  <c r="P1175" i="1"/>
  <c r="R1175" i="1"/>
  <c r="BL1175" i="1"/>
  <c r="BW1175" i="1"/>
  <c r="CH1175" i="1"/>
  <c r="CS1175" i="1"/>
  <c r="K1176" i="1"/>
  <c r="P1176" i="1"/>
  <c r="R1176" i="1"/>
  <c r="BL1176" i="1"/>
  <c r="BW1176" i="1"/>
  <c r="CH1176" i="1"/>
  <c r="CS1176" i="1"/>
  <c r="K1177" i="1"/>
  <c r="P1177" i="1"/>
  <c r="R1177" i="1"/>
  <c r="BL1177" i="1"/>
  <c r="BW1177" i="1"/>
  <c r="CH1177" i="1"/>
  <c r="CS1177" i="1"/>
  <c r="K1178" i="1"/>
  <c r="P1178" i="1"/>
  <c r="R1178" i="1"/>
  <c r="BL1178" i="1"/>
  <c r="BW1178" i="1"/>
  <c r="CH1178" i="1"/>
  <c r="CS1178" i="1"/>
  <c r="K1179" i="1"/>
  <c r="P1179" i="1"/>
  <c r="R1179" i="1"/>
  <c r="BL1179" i="1"/>
  <c r="BW1179" i="1"/>
  <c r="CH1179" i="1"/>
  <c r="CS1179" i="1"/>
  <c r="K1180" i="1"/>
  <c r="P1180" i="1"/>
  <c r="R1180" i="1"/>
  <c r="BL1180" i="1"/>
  <c r="BW1180" i="1"/>
  <c r="CH1180" i="1"/>
  <c r="CS1180" i="1"/>
  <c r="K1181" i="1"/>
  <c r="P1181" i="1"/>
  <c r="R1181" i="1"/>
  <c r="BL1181" i="1"/>
  <c r="BW1181" i="1"/>
  <c r="CH1181" i="1"/>
  <c r="CS1181" i="1"/>
  <c r="K1182" i="1"/>
  <c r="P1182" i="1"/>
  <c r="R1182" i="1"/>
  <c r="BL1182" i="1"/>
  <c r="BW1182" i="1"/>
  <c r="CH1182" i="1"/>
  <c r="CS1182" i="1"/>
  <c r="K1183" i="1"/>
  <c r="P1183" i="1"/>
  <c r="R1183" i="1"/>
  <c r="BL1183" i="1"/>
  <c r="BW1183" i="1"/>
  <c r="CH1183" i="1"/>
  <c r="CS1183" i="1"/>
  <c r="K1184" i="1"/>
  <c r="P1184" i="1"/>
  <c r="R1184" i="1"/>
  <c r="BL1184" i="1"/>
  <c r="BW1184" i="1"/>
  <c r="CH1184" i="1"/>
  <c r="CS1184" i="1"/>
  <c r="K1185" i="1"/>
  <c r="P1185" i="1"/>
  <c r="R1185" i="1"/>
  <c r="BL1185" i="1"/>
  <c r="BW1185" i="1"/>
  <c r="CH1185" i="1"/>
  <c r="CS1185" i="1"/>
  <c r="K1186" i="1"/>
  <c r="P1186" i="1"/>
  <c r="R1186" i="1"/>
  <c r="BL1186" i="1"/>
  <c r="BW1186" i="1"/>
  <c r="CH1186" i="1"/>
  <c r="CS1186" i="1"/>
  <c r="K1187" i="1"/>
  <c r="P1187" i="1"/>
  <c r="R1187" i="1"/>
  <c r="BL1187" i="1"/>
  <c r="BW1187" i="1"/>
  <c r="CH1187" i="1"/>
  <c r="CS1187" i="1"/>
  <c r="K1188" i="1"/>
  <c r="P1188" i="1"/>
  <c r="R1188" i="1"/>
  <c r="BL1188" i="1"/>
  <c r="BW1188" i="1"/>
  <c r="CH1188" i="1"/>
  <c r="CS1188" i="1"/>
  <c r="K1189" i="1"/>
  <c r="P1189" i="1"/>
  <c r="R1189" i="1"/>
  <c r="BL1189" i="1"/>
  <c r="BW1189" i="1"/>
  <c r="CH1189" i="1"/>
  <c r="CS1189" i="1"/>
  <c r="K1190" i="1"/>
  <c r="P1190" i="1"/>
  <c r="R1190" i="1"/>
  <c r="BL1190" i="1"/>
  <c r="BW1190" i="1"/>
  <c r="CH1190" i="1"/>
  <c r="CS1190" i="1"/>
  <c r="K1191" i="1"/>
  <c r="P1191" i="1"/>
  <c r="R1191" i="1"/>
  <c r="BL1191" i="1"/>
  <c r="BW1191" i="1"/>
  <c r="CH1191" i="1"/>
  <c r="CS1191" i="1"/>
  <c r="K1192" i="1"/>
  <c r="P1192" i="1"/>
  <c r="R1192" i="1"/>
  <c r="BL1192" i="1"/>
  <c r="BW1192" i="1"/>
  <c r="CH1192" i="1"/>
  <c r="CS1192" i="1"/>
  <c r="K1193" i="1"/>
  <c r="P1193" i="1"/>
  <c r="R1193" i="1"/>
  <c r="BL1193" i="1"/>
  <c r="BW1193" i="1"/>
  <c r="CH1193" i="1"/>
  <c r="CS1193" i="1"/>
  <c r="K1194" i="1"/>
  <c r="P1194" i="1"/>
  <c r="R1194" i="1"/>
  <c r="BL1194" i="1"/>
  <c r="BW1194" i="1"/>
  <c r="CH1194" i="1"/>
  <c r="CS1194" i="1"/>
  <c r="K1195" i="1"/>
  <c r="P1195" i="1"/>
  <c r="R1195" i="1"/>
  <c r="BL1195" i="1"/>
  <c r="BW1195" i="1"/>
  <c r="CH1195" i="1"/>
  <c r="CS1195" i="1"/>
  <c r="K1196" i="1"/>
  <c r="P1196" i="1"/>
  <c r="R1196" i="1"/>
  <c r="BL1196" i="1"/>
  <c r="BW1196" i="1"/>
  <c r="CH1196" i="1"/>
  <c r="CS1196" i="1"/>
  <c r="K1197" i="1"/>
  <c r="P1197" i="1"/>
  <c r="R1197" i="1"/>
  <c r="BL1197" i="1"/>
  <c r="BW1197" i="1"/>
  <c r="CH1197" i="1"/>
  <c r="CS1197" i="1"/>
  <c r="K1198" i="1"/>
  <c r="P1198" i="1"/>
  <c r="R1198" i="1"/>
  <c r="BL1198" i="1"/>
  <c r="BW1198" i="1"/>
  <c r="CH1198" i="1"/>
  <c r="CS1198" i="1"/>
  <c r="K1199" i="1"/>
  <c r="P1199" i="1"/>
  <c r="R1199" i="1"/>
  <c r="BL1199" i="1"/>
  <c r="BW1199" i="1"/>
  <c r="CH1199" i="1"/>
  <c r="CS1199" i="1"/>
  <c r="K1200" i="1"/>
  <c r="P1200" i="1"/>
  <c r="R1200" i="1"/>
  <c r="BL1200" i="1"/>
  <c r="BW1200" i="1"/>
  <c r="CH1200" i="1"/>
  <c r="CS1200" i="1"/>
  <c r="K1201" i="1"/>
  <c r="P1201" i="1"/>
  <c r="R1201" i="1"/>
  <c r="BL1201" i="1"/>
  <c r="BW1201" i="1"/>
  <c r="CH1201" i="1"/>
  <c r="CS1201" i="1"/>
  <c r="K1202" i="1"/>
  <c r="P1202" i="1"/>
  <c r="R1202" i="1"/>
  <c r="BL1202" i="1"/>
  <c r="BW1202" i="1"/>
  <c r="CH1202" i="1"/>
  <c r="CS1202" i="1"/>
  <c r="K1203" i="1"/>
  <c r="P1203" i="1"/>
  <c r="R1203" i="1"/>
  <c r="BL1203" i="1"/>
  <c r="BW1203" i="1"/>
  <c r="CH1203" i="1"/>
  <c r="CS1203" i="1"/>
  <c r="K1204" i="1"/>
  <c r="P1204" i="1"/>
  <c r="R1204" i="1"/>
  <c r="BL1204" i="1"/>
  <c r="BW1204" i="1"/>
  <c r="CH1204" i="1"/>
  <c r="CS1204" i="1"/>
  <c r="K1205" i="1"/>
  <c r="P1205" i="1"/>
  <c r="R1205" i="1"/>
  <c r="BL1205" i="1"/>
  <c r="BW1205" i="1"/>
  <c r="CH1205" i="1"/>
  <c r="CS1205" i="1"/>
  <c r="K1206" i="1"/>
  <c r="P1206" i="1"/>
  <c r="R1206" i="1"/>
  <c r="BL1206" i="1"/>
  <c r="BW1206" i="1"/>
  <c r="CH1206" i="1"/>
  <c r="CS1206" i="1"/>
  <c r="K1207" i="1"/>
  <c r="P1207" i="1"/>
  <c r="R1207" i="1"/>
  <c r="BL1207" i="1"/>
  <c r="BW1207" i="1"/>
  <c r="CH1207" i="1"/>
  <c r="CS1207" i="1"/>
  <c r="K1208" i="1"/>
  <c r="P1208" i="1"/>
  <c r="R1208" i="1"/>
  <c r="BL1208" i="1"/>
  <c r="BW1208" i="1"/>
  <c r="CH1208" i="1"/>
  <c r="CS1208" i="1"/>
  <c r="K1209" i="1"/>
  <c r="P1209" i="1"/>
  <c r="R1209" i="1"/>
  <c r="BL1209" i="1"/>
  <c r="BW1209" i="1"/>
  <c r="CH1209" i="1"/>
  <c r="CS1209" i="1"/>
  <c r="K1210" i="1"/>
  <c r="P1210" i="1"/>
  <c r="R1210" i="1"/>
  <c r="BL1210" i="1"/>
  <c r="BW1210" i="1"/>
  <c r="CH1210" i="1"/>
  <c r="CS1210" i="1"/>
  <c r="K1211" i="1"/>
  <c r="P1211" i="1"/>
  <c r="R1211" i="1"/>
  <c r="BL1211" i="1"/>
  <c r="BW1211" i="1"/>
  <c r="CH1211" i="1"/>
  <c r="CS1211" i="1"/>
  <c r="K1212" i="1"/>
  <c r="P1212" i="1"/>
  <c r="R1212" i="1"/>
  <c r="BL1212" i="1"/>
  <c r="BW1212" i="1"/>
  <c r="CH1212" i="1"/>
  <c r="CS1212" i="1"/>
  <c r="K1213" i="1"/>
  <c r="P1213" i="1"/>
  <c r="R1213" i="1"/>
  <c r="BL1213" i="1"/>
  <c r="BW1213" i="1"/>
  <c r="CH1213" i="1"/>
  <c r="CS1213" i="1"/>
  <c r="K1214" i="1"/>
  <c r="P1214" i="1"/>
  <c r="R1214" i="1"/>
  <c r="BL1214" i="1"/>
  <c r="BW1214" i="1"/>
  <c r="CH1214" i="1"/>
  <c r="CS1214" i="1"/>
  <c r="K1215" i="1"/>
  <c r="P1215" i="1"/>
  <c r="R1215" i="1"/>
  <c r="BL1215" i="1"/>
  <c r="BW1215" i="1"/>
  <c r="CH1215" i="1"/>
  <c r="CS1215" i="1"/>
  <c r="K1216" i="1"/>
  <c r="P1216" i="1"/>
  <c r="R1216" i="1"/>
  <c r="BL1216" i="1"/>
  <c r="BW1216" i="1"/>
  <c r="CH1216" i="1"/>
  <c r="CS1216" i="1"/>
  <c r="K1217" i="1"/>
  <c r="P1217" i="1"/>
  <c r="R1217" i="1"/>
  <c r="BL1217" i="1"/>
  <c r="BW1217" i="1"/>
  <c r="CH1217" i="1"/>
  <c r="CS1217" i="1"/>
  <c r="K1218" i="1"/>
  <c r="P1218" i="1"/>
  <c r="R1218" i="1"/>
  <c r="BL1218" i="1"/>
  <c r="BW1218" i="1"/>
  <c r="CH1218" i="1"/>
  <c r="CS1218" i="1"/>
  <c r="K1219" i="1"/>
  <c r="P1219" i="1"/>
  <c r="R1219" i="1"/>
  <c r="BL1219" i="1"/>
  <c r="BW1219" i="1"/>
  <c r="CH1219" i="1"/>
  <c r="CS1219" i="1"/>
  <c r="K1220" i="1"/>
  <c r="P1220" i="1"/>
  <c r="R1220" i="1"/>
  <c r="BL1220" i="1"/>
  <c r="BW1220" i="1"/>
  <c r="CH1220" i="1"/>
  <c r="CS1220" i="1"/>
  <c r="K1221" i="1"/>
  <c r="P1221" i="1"/>
  <c r="R1221" i="1"/>
  <c r="BL1221" i="1"/>
  <c r="BW1221" i="1"/>
  <c r="CH1221" i="1"/>
  <c r="CS1221" i="1"/>
  <c r="K1222" i="1"/>
  <c r="P1222" i="1"/>
  <c r="R1222" i="1"/>
  <c r="BL1222" i="1"/>
  <c r="BW1222" i="1"/>
  <c r="CH1222" i="1"/>
  <c r="CS1222" i="1"/>
  <c r="K1223" i="1"/>
  <c r="P1223" i="1"/>
  <c r="R1223" i="1"/>
  <c r="BL1223" i="1"/>
  <c r="BW1223" i="1"/>
  <c r="CH1223" i="1"/>
  <c r="CS1223" i="1"/>
  <c r="K1224" i="1"/>
  <c r="P1224" i="1"/>
  <c r="R1224" i="1"/>
  <c r="BL1224" i="1"/>
  <c r="BW1224" i="1"/>
  <c r="CH1224" i="1"/>
  <c r="CS1224" i="1"/>
  <c r="K1225" i="1"/>
  <c r="P1225" i="1"/>
  <c r="R1225" i="1"/>
  <c r="BL1225" i="1"/>
  <c r="BW1225" i="1"/>
  <c r="CH1225" i="1"/>
  <c r="CS1225" i="1"/>
  <c r="K1226" i="1"/>
  <c r="P1226" i="1"/>
  <c r="R1226" i="1"/>
  <c r="BL1226" i="1"/>
  <c r="BW1226" i="1"/>
  <c r="CH1226" i="1"/>
  <c r="CS1226" i="1"/>
  <c r="K1227" i="1"/>
  <c r="P1227" i="1"/>
  <c r="R1227" i="1"/>
  <c r="BL1227" i="1"/>
  <c r="BQ1227" i="1"/>
  <c r="BW1227" i="1"/>
  <c r="CH1227" i="1"/>
  <c r="CS1227" i="1"/>
  <c r="K1228" i="1"/>
  <c r="P1228" i="1"/>
  <c r="R1228" i="1"/>
  <c r="BL1228" i="1"/>
  <c r="BW1228" i="1"/>
  <c r="CH1228" i="1"/>
  <c r="CS1228" i="1"/>
  <c r="K1229" i="1"/>
  <c r="P1229" i="1"/>
  <c r="R1229" i="1"/>
  <c r="BL1229" i="1"/>
  <c r="BW1229" i="1"/>
  <c r="CH1229" i="1"/>
  <c r="CS1229" i="1"/>
  <c r="K1230" i="1"/>
  <c r="P1230" i="1"/>
  <c r="R1230" i="1"/>
  <c r="BL1230" i="1"/>
  <c r="BW1230" i="1"/>
  <c r="CH1230" i="1"/>
  <c r="CS1230" i="1"/>
  <c r="K1231" i="1"/>
  <c r="P1231" i="1"/>
  <c r="R1231" i="1"/>
  <c r="BL1231" i="1"/>
  <c r="BW1231" i="1"/>
  <c r="CH1231" i="1"/>
  <c r="CS1231" i="1"/>
  <c r="K1232" i="1"/>
  <c r="P1232" i="1"/>
  <c r="R1232" i="1"/>
  <c r="BL1232" i="1"/>
  <c r="BW1232" i="1"/>
  <c r="CH1232" i="1"/>
  <c r="CS1232" i="1"/>
  <c r="K1233" i="1"/>
  <c r="P1233" i="1"/>
  <c r="R1233" i="1"/>
  <c r="BL1233" i="1"/>
  <c r="BW1233" i="1"/>
  <c r="CH1233" i="1"/>
  <c r="CS1233" i="1"/>
  <c r="K1234" i="1"/>
  <c r="P1234" i="1"/>
  <c r="R1234" i="1"/>
  <c r="BL1234" i="1"/>
  <c r="BW1234" i="1"/>
  <c r="CH1234" i="1"/>
  <c r="CS1234" i="1"/>
  <c r="K1235" i="1"/>
  <c r="P1235" i="1"/>
  <c r="R1235" i="1"/>
  <c r="BL1235" i="1"/>
  <c r="BW1235" i="1"/>
  <c r="CH1235" i="1"/>
  <c r="CS1235" i="1"/>
  <c r="K1236" i="1"/>
  <c r="P1236" i="1"/>
  <c r="R1236" i="1"/>
  <c r="BL1236" i="1"/>
  <c r="BW1236" i="1"/>
  <c r="CH1236" i="1"/>
  <c r="CS1236" i="1"/>
  <c r="K1237" i="1"/>
  <c r="P1237" i="1"/>
  <c r="R1237" i="1"/>
  <c r="BL1237" i="1"/>
  <c r="BW1237" i="1"/>
  <c r="CH1237" i="1"/>
  <c r="CS1237" i="1"/>
  <c r="K1238" i="1"/>
  <c r="P1238" i="1"/>
  <c r="R1238" i="1"/>
  <c r="BL1238" i="1"/>
  <c r="BW1238" i="1"/>
  <c r="CH1238" i="1"/>
  <c r="CS1238" i="1"/>
  <c r="K1239" i="1"/>
  <c r="P1239" i="1"/>
  <c r="R1239" i="1"/>
  <c r="BL1239" i="1"/>
  <c r="BW1239" i="1"/>
  <c r="CH1239" i="1"/>
  <c r="CS1239" i="1"/>
  <c r="K1240" i="1"/>
  <c r="P1240" i="1"/>
  <c r="R1240" i="1"/>
  <c r="BL1240" i="1"/>
  <c r="BW1240" i="1"/>
  <c r="CH1240" i="1"/>
  <c r="CS1240" i="1"/>
  <c r="K1241" i="1"/>
  <c r="P1241" i="1"/>
  <c r="R1241" i="1"/>
  <c r="BL1241" i="1"/>
  <c r="BW1241" i="1"/>
  <c r="CH1241" i="1"/>
  <c r="CS1241" i="1"/>
  <c r="K1242" i="1"/>
  <c r="P1242" i="1"/>
  <c r="R1242" i="1"/>
  <c r="BL1242" i="1"/>
  <c r="BW1242" i="1"/>
  <c r="CH1242" i="1"/>
  <c r="CS1242" i="1"/>
  <c r="K1243" i="1"/>
  <c r="P1243" i="1"/>
  <c r="R1243" i="1"/>
  <c r="BL1243" i="1"/>
  <c r="BW1243" i="1"/>
  <c r="CH1243" i="1"/>
  <c r="CS1243" i="1"/>
  <c r="K1244" i="1"/>
  <c r="P1244" i="1"/>
  <c r="R1244" i="1"/>
  <c r="BL1244" i="1"/>
  <c r="BW1244" i="1"/>
  <c r="CH1244" i="1"/>
  <c r="CS1244" i="1"/>
  <c r="K1245" i="1"/>
  <c r="P1245" i="1"/>
  <c r="R1245" i="1"/>
  <c r="BL1245" i="1"/>
  <c r="BW1245" i="1"/>
  <c r="CH1245" i="1"/>
  <c r="CS1245" i="1"/>
  <c r="K1246" i="1"/>
  <c r="P1246" i="1"/>
  <c r="R1246" i="1"/>
  <c r="BL1246" i="1"/>
  <c r="BW1246" i="1"/>
  <c r="CH1246" i="1"/>
  <c r="CS1246" i="1"/>
  <c r="K1247" i="1"/>
  <c r="P1247" i="1"/>
  <c r="R1247" i="1"/>
  <c r="BL1247" i="1"/>
  <c r="BW1247" i="1"/>
  <c r="CH1247" i="1"/>
  <c r="CS1247" i="1"/>
  <c r="K1248" i="1"/>
  <c r="P1248" i="1"/>
  <c r="R1248" i="1"/>
  <c r="BL1248" i="1"/>
  <c r="BW1248" i="1"/>
  <c r="CH1248" i="1"/>
  <c r="CS1248" i="1"/>
  <c r="K1249" i="1"/>
  <c r="P1249" i="1"/>
  <c r="R1249" i="1"/>
  <c r="BL1249" i="1"/>
  <c r="BW1249" i="1"/>
  <c r="CH1249" i="1"/>
  <c r="CS1249" i="1"/>
  <c r="K1250" i="1"/>
  <c r="P1250" i="1"/>
  <c r="R1250" i="1"/>
  <c r="BL1250" i="1"/>
  <c r="BW1250" i="1"/>
  <c r="CH1250" i="1"/>
  <c r="CS1250" i="1"/>
  <c r="K1251" i="1"/>
  <c r="P1251" i="1"/>
  <c r="R1251" i="1"/>
  <c r="BL1251" i="1"/>
  <c r="BW1251" i="1"/>
  <c r="CH1251" i="1"/>
  <c r="CS1251" i="1"/>
  <c r="K1252" i="1"/>
  <c r="P1252" i="1"/>
  <c r="R1252" i="1"/>
  <c r="BL1252" i="1"/>
  <c r="BW1252" i="1"/>
  <c r="CH1252" i="1"/>
  <c r="CS1252" i="1"/>
  <c r="K1253" i="1"/>
  <c r="P1253" i="1"/>
  <c r="R1253" i="1"/>
  <c r="BL1253" i="1"/>
  <c r="BW1253" i="1"/>
  <c r="CH1253" i="1"/>
  <c r="CS1253" i="1"/>
  <c r="K1254" i="1"/>
  <c r="P1254" i="1"/>
  <c r="R1254" i="1"/>
  <c r="BL1254" i="1"/>
  <c r="BW1254" i="1"/>
  <c r="CH1254" i="1"/>
  <c r="CS1254" i="1"/>
  <c r="K1255" i="1"/>
  <c r="P1255" i="1"/>
  <c r="R1255" i="1"/>
  <c r="BL1255" i="1"/>
  <c r="BW1255" i="1"/>
  <c r="CH1255" i="1"/>
  <c r="CS1255" i="1"/>
  <c r="K1256" i="1"/>
  <c r="P1256" i="1"/>
  <c r="R1256" i="1"/>
  <c r="BL1256" i="1"/>
  <c r="BW1256" i="1"/>
  <c r="CH1256" i="1"/>
  <c r="CS1256" i="1"/>
  <c r="K1257" i="1"/>
  <c r="P1257" i="1"/>
  <c r="R1257" i="1"/>
  <c r="BL1257" i="1"/>
  <c r="BW1257" i="1"/>
  <c r="CH1257" i="1"/>
  <c r="CS1257" i="1"/>
  <c r="K1258" i="1"/>
  <c r="P1258" i="1"/>
  <c r="R1258" i="1"/>
  <c r="BL1258" i="1"/>
  <c r="BW1258" i="1"/>
  <c r="CH1258" i="1"/>
  <c r="CS1258" i="1"/>
  <c r="K1259" i="1"/>
  <c r="P1259" i="1"/>
  <c r="R1259" i="1"/>
  <c r="BL1259" i="1"/>
  <c r="BW1259" i="1"/>
  <c r="CH1259" i="1"/>
  <c r="CS1259" i="1"/>
  <c r="K1260" i="1"/>
  <c r="P1260" i="1"/>
  <c r="R1260" i="1"/>
  <c r="BL1260" i="1"/>
  <c r="BW1260" i="1"/>
  <c r="CH1260" i="1"/>
  <c r="CS1260" i="1"/>
  <c r="K1261" i="1"/>
  <c r="P1261" i="1"/>
  <c r="R1261" i="1"/>
  <c r="BL1261" i="1"/>
  <c r="BW1261" i="1"/>
  <c r="CH1261" i="1"/>
  <c r="CS1261" i="1"/>
  <c r="K1262" i="1"/>
  <c r="P1262" i="1"/>
  <c r="R1262" i="1"/>
  <c r="BL1262" i="1"/>
  <c r="BW1262" i="1"/>
  <c r="CH1262" i="1"/>
  <c r="CS1262" i="1"/>
  <c r="K1263" i="1"/>
  <c r="P1263" i="1"/>
  <c r="R1263" i="1"/>
  <c r="BL1263" i="1"/>
  <c r="BW1263" i="1"/>
  <c r="CH1263" i="1"/>
  <c r="CS1263" i="1"/>
  <c r="K1264" i="1"/>
  <c r="P1264" i="1"/>
  <c r="R1264" i="1"/>
  <c r="BL1264" i="1"/>
  <c r="BW1264" i="1"/>
  <c r="CH1264" i="1"/>
  <c r="CS1264" i="1"/>
  <c r="K1265" i="1"/>
  <c r="P1265" i="1"/>
  <c r="R1265" i="1"/>
  <c r="BL1265" i="1"/>
  <c r="BW1265" i="1"/>
  <c r="CH1265" i="1"/>
  <c r="CS1265" i="1"/>
  <c r="K1266" i="1"/>
  <c r="P1266" i="1"/>
  <c r="R1266" i="1"/>
  <c r="BL1266" i="1"/>
  <c r="BQ1266" i="1"/>
  <c r="BW1266" i="1"/>
  <c r="CH1266" i="1"/>
  <c r="CS1266" i="1"/>
  <c r="K1267" i="1"/>
  <c r="P1267" i="1"/>
  <c r="R1267" i="1"/>
  <c r="BL1267" i="1"/>
  <c r="BW1267" i="1"/>
  <c r="CH1267" i="1"/>
  <c r="CS1267" i="1"/>
  <c r="K1268" i="1"/>
  <c r="P1268" i="1"/>
  <c r="R1268" i="1"/>
  <c r="BL1268" i="1"/>
  <c r="BW1268" i="1"/>
  <c r="CH1268" i="1"/>
  <c r="CS1268" i="1"/>
  <c r="K1269" i="1"/>
  <c r="P1269" i="1"/>
  <c r="R1269" i="1"/>
  <c r="BL1269" i="1"/>
  <c r="BW1269" i="1"/>
  <c r="CH1269" i="1"/>
  <c r="CS1269" i="1"/>
  <c r="K1270" i="1"/>
  <c r="P1270" i="1"/>
  <c r="R1270" i="1"/>
  <c r="BL1270" i="1"/>
  <c r="BW1270" i="1"/>
  <c r="CH1270" i="1"/>
  <c r="CS1270" i="1"/>
  <c r="K1271" i="1"/>
  <c r="P1271" i="1"/>
  <c r="R1271" i="1"/>
  <c r="BL1271" i="1"/>
  <c r="BW1271" i="1"/>
  <c r="CH1271" i="1"/>
  <c r="CS1271" i="1"/>
  <c r="K1272" i="1"/>
  <c r="P1272" i="1"/>
  <c r="R1272" i="1"/>
  <c r="BL1272" i="1"/>
  <c r="BW1272" i="1"/>
  <c r="CH1272" i="1"/>
  <c r="CS1272" i="1"/>
  <c r="K1273" i="1"/>
  <c r="P1273" i="1"/>
  <c r="R1273" i="1"/>
  <c r="BL1273" i="1"/>
  <c r="BW1273" i="1"/>
  <c r="CH1273" i="1"/>
  <c r="CS1273" i="1"/>
  <c r="K1274" i="1"/>
  <c r="P1274" i="1"/>
  <c r="R1274" i="1"/>
  <c r="BL1274" i="1"/>
  <c r="BW1274" i="1"/>
  <c r="CH1274" i="1"/>
  <c r="CS1274" i="1"/>
  <c r="K1275" i="1"/>
  <c r="P1275" i="1"/>
  <c r="R1275" i="1"/>
  <c r="BL1275" i="1"/>
  <c r="BW1275" i="1"/>
  <c r="CH1275" i="1"/>
  <c r="CS1275" i="1"/>
  <c r="K1276" i="1"/>
  <c r="P1276" i="1"/>
  <c r="R1276" i="1"/>
  <c r="BL1276" i="1"/>
  <c r="BW1276" i="1"/>
  <c r="CH1276" i="1"/>
  <c r="CS1276" i="1"/>
  <c r="K1277" i="1"/>
  <c r="P1277" i="1"/>
  <c r="R1277" i="1"/>
  <c r="BL1277" i="1"/>
  <c r="BW1277" i="1"/>
  <c r="CH1277" i="1"/>
  <c r="CS1277" i="1"/>
  <c r="K1278" i="1"/>
  <c r="P1278" i="1"/>
  <c r="R1278" i="1"/>
  <c r="BL1278" i="1"/>
  <c r="BW1278" i="1"/>
  <c r="CH1278" i="1"/>
  <c r="CS1278" i="1"/>
  <c r="K1279" i="1"/>
  <c r="P1279" i="1"/>
  <c r="R1279" i="1"/>
  <c r="BL1279" i="1"/>
  <c r="BW1279" i="1"/>
  <c r="CH1279" i="1"/>
  <c r="CS1279" i="1"/>
  <c r="K1280" i="1"/>
  <c r="P1280" i="1"/>
  <c r="R1280" i="1"/>
  <c r="BL1280" i="1"/>
  <c r="BW1280" i="1"/>
  <c r="CH1280" i="1"/>
  <c r="CS1280" i="1"/>
  <c r="K1281" i="1"/>
  <c r="P1281" i="1"/>
  <c r="R1281" i="1"/>
  <c r="BL1281" i="1"/>
  <c r="BW1281" i="1"/>
  <c r="CH1281" i="1"/>
  <c r="CS1281" i="1"/>
  <c r="K1282" i="1"/>
  <c r="P1282" i="1"/>
  <c r="R1282" i="1"/>
  <c r="BL1282" i="1"/>
  <c r="BW1282" i="1"/>
  <c r="CH1282" i="1"/>
  <c r="CS1282" i="1"/>
  <c r="K1283" i="1"/>
  <c r="P1283" i="1"/>
  <c r="R1283" i="1"/>
  <c r="BL1283" i="1"/>
  <c r="BW1283" i="1"/>
  <c r="CH1283" i="1"/>
  <c r="CS1283" i="1"/>
  <c r="K1284" i="1"/>
  <c r="P1284" i="1"/>
  <c r="R1284" i="1"/>
  <c r="BL1284" i="1"/>
  <c r="BW1284" i="1"/>
  <c r="CH1284" i="1"/>
  <c r="CS1284" i="1"/>
  <c r="K1285" i="1"/>
  <c r="P1285" i="1"/>
  <c r="R1285" i="1"/>
  <c r="BL1285" i="1"/>
  <c r="BW1285" i="1"/>
  <c r="CH1285" i="1"/>
  <c r="CS1285" i="1"/>
  <c r="K1286" i="1"/>
  <c r="P1286" i="1"/>
  <c r="R1286" i="1"/>
  <c r="BL1286" i="1"/>
  <c r="BW1286" i="1"/>
  <c r="CH1286" i="1"/>
  <c r="CS1286" i="1"/>
  <c r="K1287" i="1"/>
  <c r="P1287" i="1"/>
  <c r="R1287" i="1"/>
  <c r="BL1287" i="1"/>
  <c r="BW1287" i="1"/>
  <c r="CH1287" i="1"/>
  <c r="CS1287" i="1"/>
  <c r="K1288" i="1"/>
  <c r="P1288" i="1"/>
  <c r="R1288" i="1"/>
  <c r="BL1288" i="1"/>
  <c r="BW1288" i="1"/>
  <c r="CH1288" i="1"/>
  <c r="CS1288" i="1"/>
  <c r="K1289" i="1"/>
  <c r="P1289" i="1"/>
  <c r="R1289" i="1"/>
  <c r="BL1289" i="1"/>
  <c r="BW1289" i="1"/>
  <c r="CH1289" i="1"/>
  <c r="CS1289" i="1"/>
  <c r="K1290" i="1"/>
  <c r="P1290" i="1"/>
  <c r="R1290" i="1"/>
  <c r="BL1290" i="1"/>
  <c r="BW1290" i="1"/>
  <c r="CH1290" i="1"/>
  <c r="CS1290" i="1"/>
  <c r="K1291" i="1"/>
  <c r="P1291" i="1"/>
  <c r="R1291" i="1"/>
  <c r="BL1291" i="1"/>
  <c r="BW1291" i="1"/>
  <c r="CH1291" i="1"/>
  <c r="CS1291" i="1"/>
  <c r="K1292" i="1"/>
  <c r="P1292" i="1"/>
  <c r="R1292" i="1"/>
  <c r="BL1292" i="1"/>
  <c r="BW1292" i="1"/>
  <c r="CH1292" i="1"/>
  <c r="CS1292" i="1"/>
  <c r="K1293" i="1"/>
  <c r="P1293" i="1"/>
  <c r="R1293" i="1"/>
  <c r="BL1293" i="1"/>
  <c r="BW1293" i="1"/>
  <c r="CH1293" i="1"/>
  <c r="CS1293" i="1"/>
  <c r="K1294" i="1"/>
  <c r="P1294" i="1"/>
  <c r="R1294" i="1"/>
  <c r="BL1294" i="1"/>
  <c r="BW1294" i="1"/>
  <c r="CH1294" i="1"/>
  <c r="CS1294" i="1"/>
  <c r="K1295" i="1"/>
  <c r="P1295" i="1"/>
  <c r="R1295" i="1"/>
  <c r="BL1295" i="1"/>
  <c r="BW1295" i="1"/>
  <c r="CH1295" i="1"/>
  <c r="CS1295" i="1"/>
  <c r="K1296" i="1"/>
  <c r="P1296" i="1"/>
  <c r="R1296" i="1"/>
  <c r="BL1296" i="1"/>
  <c r="BW1296" i="1"/>
  <c r="CH1296" i="1"/>
  <c r="CS1296" i="1"/>
  <c r="K1297" i="1"/>
  <c r="P1297" i="1"/>
  <c r="R1297" i="1"/>
  <c r="BL1297" i="1"/>
  <c r="BW1297" i="1"/>
  <c r="CH1297" i="1"/>
  <c r="CS1297" i="1"/>
  <c r="K1298" i="1"/>
  <c r="P1298" i="1"/>
  <c r="R1298" i="1"/>
  <c r="BL1298" i="1"/>
  <c r="BW1298" i="1"/>
  <c r="CH1298" i="1"/>
  <c r="CS1298" i="1"/>
  <c r="K1299" i="1"/>
  <c r="P1299" i="1"/>
  <c r="R1299" i="1"/>
  <c r="BL1299" i="1"/>
  <c r="BW1299" i="1"/>
  <c r="CH1299" i="1"/>
  <c r="CS1299" i="1"/>
  <c r="K1300" i="1"/>
  <c r="P1300" i="1"/>
  <c r="R1300" i="1"/>
  <c r="BL1300" i="1"/>
  <c r="BW1300" i="1"/>
  <c r="CH1300" i="1"/>
  <c r="CS1300" i="1"/>
  <c r="K1301" i="1"/>
  <c r="P1301" i="1"/>
  <c r="R1301" i="1"/>
  <c r="BL1301" i="1"/>
  <c r="BW1301" i="1"/>
  <c r="CH1301" i="1"/>
  <c r="CS1301" i="1"/>
  <c r="K1302" i="1"/>
  <c r="P1302" i="1"/>
  <c r="R1302" i="1"/>
  <c r="BL1302" i="1"/>
  <c r="BW1302" i="1"/>
  <c r="CH1302" i="1"/>
  <c r="CS1302" i="1"/>
  <c r="K1303" i="1"/>
  <c r="P1303" i="1"/>
  <c r="R1303" i="1"/>
  <c r="BL1303" i="1"/>
  <c r="BW1303" i="1"/>
  <c r="CH1303" i="1"/>
  <c r="CS1303" i="1"/>
  <c r="K1304" i="1"/>
  <c r="P1304" i="1"/>
  <c r="R1304" i="1"/>
  <c r="BL1304" i="1"/>
  <c r="BW1304" i="1"/>
  <c r="CH1304" i="1"/>
  <c r="CS1304" i="1"/>
  <c r="K1305" i="1"/>
  <c r="P1305" i="1"/>
  <c r="R1305" i="1"/>
  <c r="BL1305" i="1"/>
  <c r="BW1305" i="1"/>
  <c r="CH1305" i="1"/>
  <c r="CS1305" i="1"/>
  <c r="K1306" i="1"/>
  <c r="P1306" i="1"/>
  <c r="R1306" i="1"/>
  <c r="BL1306" i="1"/>
  <c r="BW1306" i="1"/>
  <c r="CH1306" i="1"/>
  <c r="CS1306" i="1"/>
  <c r="K1307" i="1"/>
  <c r="P1307" i="1"/>
  <c r="R1307" i="1"/>
  <c r="BL1307" i="1"/>
  <c r="BW1307" i="1"/>
  <c r="CH1307" i="1"/>
  <c r="CS1307" i="1"/>
  <c r="K1308" i="1"/>
  <c r="P1308" i="1"/>
  <c r="R1308" i="1"/>
  <c r="BL1308" i="1"/>
  <c r="BW1308" i="1"/>
  <c r="CH1308" i="1"/>
  <c r="CS1308" i="1"/>
  <c r="K1309" i="1"/>
  <c r="P1309" i="1"/>
  <c r="R1309" i="1"/>
  <c r="BL1309" i="1"/>
  <c r="BW1309" i="1"/>
  <c r="CH1309" i="1"/>
  <c r="CS1309" i="1"/>
  <c r="K1310" i="1"/>
  <c r="P1310" i="1"/>
  <c r="R1310" i="1"/>
  <c r="BL1310" i="1"/>
  <c r="BW1310" i="1"/>
  <c r="CH1310" i="1"/>
  <c r="CS1310" i="1"/>
  <c r="K1311" i="1"/>
  <c r="P1311" i="1"/>
  <c r="R1311" i="1"/>
  <c r="BL1311" i="1"/>
  <c r="BW1311" i="1"/>
  <c r="CH1311" i="1"/>
  <c r="CS1311" i="1"/>
  <c r="K1312" i="1"/>
  <c r="P1312" i="1"/>
  <c r="R1312" i="1"/>
  <c r="BL1312" i="1"/>
  <c r="BW1312" i="1"/>
  <c r="CH1312" i="1"/>
  <c r="CS1312" i="1"/>
  <c r="K1313" i="1"/>
  <c r="P1313" i="1"/>
  <c r="R1313" i="1"/>
  <c r="BL1313" i="1"/>
  <c r="BW1313" i="1"/>
  <c r="CH1313" i="1"/>
  <c r="CS1313" i="1"/>
  <c r="K1314" i="1"/>
  <c r="P1314" i="1"/>
  <c r="R1314" i="1"/>
  <c r="BL1314" i="1"/>
  <c r="BW1314" i="1"/>
  <c r="CH1314" i="1"/>
  <c r="CS1314" i="1"/>
  <c r="K1315" i="1"/>
  <c r="P1315" i="1"/>
  <c r="R1315" i="1"/>
  <c r="BL1315" i="1"/>
  <c r="BW1315" i="1"/>
  <c r="CH1315" i="1"/>
  <c r="CS1315" i="1"/>
  <c r="K1316" i="1"/>
  <c r="P1316" i="1"/>
  <c r="R1316" i="1"/>
  <c r="BL1316" i="1"/>
  <c r="BW1316" i="1"/>
  <c r="CH1316" i="1"/>
  <c r="CS1316" i="1"/>
  <c r="K1317" i="1"/>
  <c r="P1317" i="1"/>
  <c r="R1317" i="1"/>
  <c r="BL1317" i="1"/>
  <c r="BW1317" i="1"/>
  <c r="CH1317" i="1"/>
  <c r="CS1317" i="1"/>
  <c r="K1318" i="1"/>
  <c r="P1318" i="1"/>
  <c r="R1318" i="1"/>
  <c r="BL1318" i="1"/>
  <c r="BW1318" i="1"/>
  <c r="CH1318" i="1"/>
  <c r="CS1318" i="1"/>
  <c r="K1319" i="1"/>
  <c r="P1319" i="1"/>
  <c r="R1319" i="1"/>
  <c r="BL1319" i="1"/>
  <c r="BW1319" i="1"/>
  <c r="CH1319" i="1"/>
  <c r="CS1319" i="1"/>
  <c r="K1320" i="1"/>
  <c r="P1320" i="1"/>
  <c r="R1320" i="1"/>
  <c r="BL1320" i="1"/>
  <c r="BW1320" i="1"/>
  <c r="CH1320" i="1"/>
  <c r="CS1320" i="1"/>
  <c r="K1321" i="1"/>
  <c r="P1321" i="1"/>
  <c r="R1321" i="1"/>
  <c r="BL1321" i="1"/>
  <c r="BW1321" i="1"/>
  <c r="CH1321" i="1"/>
  <c r="CS1321" i="1"/>
  <c r="K1322" i="1"/>
  <c r="P1322" i="1"/>
  <c r="R1322" i="1"/>
  <c r="BL1322" i="1"/>
  <c r="BW1322" i="1"/>
  <c r="CH1322" i="1"/>
  <c r="CS1322" i="1"/>
  <c r="K1323" i="1"/>
  <c r="P1323" i="1"/>
  <c r="R1323" i="1"/>
  <c r="BL1323" i="1"/>
  <c r="BW1323" i="1"/>
  <c r="CH1323" i="1"/>
  <c r="CS1323" i="1"/>
  <c r="K1324" i="1"/>
  <c r="P1324" i="1"/>
  <c r="R1324" i="1"/>
  <c r="BL1324" i="1"/>
  <c r="BW1324" i="1"/>
  <c r="CH1324" i="1"/>
  <c r="CS1324" i="1"/>
  <c r="K1325" i="1"/>
  <c r="P1325" i="1"/>
  <c r="R1325" i="1"/>
  <c r="BL1325" i="1"/>
  <c r="BW1325" i="1"/>
  <c r="CH1325" i="1"/>
  <c r="CS1325" i="1"/>
  <c r="K1326" i="1"/>
  <c r="P1326" i="1"/>
  <c r="R1326" i="1"/>
  <c r="BL1326" i="1"/>
  <c r="BW1326" i="1"/>
  <c r="CH1326" i="1"/>
  <c r="CS1326" i="1"/>
  <c r="K1327" i="1"/>
  <c r="P1327" i="1"/>
  <c r="R1327" i="1"/>
  <c r="BL1327" i="1"/>
  <c r="BW1327" i="1"/>
  <c r="CH1327" i="1"/>
  <c r="CS1327" i="1"/>
  <c r="K1328" i="1"/>
  <c r="P1328" i="1"/>
  <c r="R1328" i="1"/>
  <c r="BL1328" i="1"/>
  <c r="BW1328" i="1"/>
  <c r="CH1328" i="1"/>
  <c r="CS1328" i="1"/>
  <c r="K1329" i="1"/>
  <c r="P1329" i="1"/>
  <c r="R1329" i="1"/>
  <c r="BL1329" i="1"/>
  <c r="BW1329" i="1"/>
  <c r="CH1329" i="1"/>
  <c r="CS1329" i="1"/>
  <c r="K1330" i="1"/>
  <c r="P1330" i="1"/>
  <c r="R1330" i="1"/>
  <c r="BL1330" i="1"/>
  <c r="BW1330" i="1"/>
  <c r="CH1330" i="1"/>
  <c r="CS1330" i="1"/>
  <c r="K1331" i="1"/>
  <c r="P1331" i="1"/>
  <c r="R1331" i="1"/>
  <c r="BL1331" i="1"/>
  <c r="BW1331" i="1"/>
  <c r="CH1331" i="1"/>
  <c r="CS1331" i="1"/>
  <c r="K1332" i="1"/>
  <c r="P1332" i="1"/>
  <c r="R1332" i="1"/>
  <c r="BL1332" i="1"/>
  <c r="BW1332" i="1"/>
  <c r="CH1332" i="1"/>
  <c r="CS1332" i="1"/>
  <c r="K1333" i="1"/>
  <c r="P1333" i="1"/>
  <c r="R1333" i="1"/>
  <c r="BL1333" i="1"/>
  <c r="BW1333" i="1"/>
  <c r="CH1333" i="1"/>
  <c r="CS1333" i="1"/>
  <c r="K1334" i="1"/>
  <c r="P1334" i="1"/>
  <c r="R1334" i="1"/>
  <c r="BL1334" i="1"/>
  <c r="BW1334" i="1"/>
  <c r="CH1334" i="1"/>
  <c r="CS1334" i="1"/>
  <c r="K1335" i="1"/>
  <c r="P1335" i="1"/>
  <c r="R1335" i="1"/>
  <c r="BL1335" i="1"/>
  <c r="BW1335" i="1"/>
  <c r="CH1335" i="1"/>
  <c r="CS1335" i="1"/>
  <c r="K1336" i="1"/>
  <c r="P1336" i="1"/>
  <c r="R1336" i="1"/>
  <c r="BL1336" i="1"/>
  <c r="BW1336" i="1"/>
  <c r="CH1336" i="1"/>
  <c r="CS1336" i="1"/>
  <c r="K1337" i="1"/>
  <c r="P1337" i="1"/>
  <c r="R1337" i="1"/>
  <c r="BL1337" i="1"/>
  <c r="BW1337" i="1"/>
  <c r="CH1337" i="1"/>
  <c r="CS1337" i="1"/>
  <c r="K1338" i="1"/>
  <c r="P1338" i="1"/>
  <c r="R1338" i="1"/>
  <c r="BL1338" i="1"/>
  <c r="BW1338" i="1"/>
  <c r="CH1338" i="1"/>
  <c r="CS1338" i="1"/>
  <c r="K1339" i="1"/>
  <c r="P1339" i="1"/>
  <c r="R1339" i="1"/>
  <c r="BL1339" i="1"/>
  <c r="BW1339" i="1"/>
  <c r="CH1339" i="1"/>
  <c r="CS1339" i="1"/>
  <c r="K1340" i="1"/>
  <c r="P1340" i="1"/>
  <c r="R1340" i="1"/>
  <c r="BL1340" i="1"/>
  <c r="BW1340" i="1"/>
  <c r="CH1340" i="1"/>
  <c r="CS1340" i="1"/>
  <c r="K1341" i="1"/>
  <c r="P1341" i="1"/>
  <c r="R1341" i="1"/>
  <c r="BL1341" i="1"/>
  <c r="BW1341" i="1"/>
  <c r="CH1341" i="1"/>
  <c r="CS1341" i="1"/>
  <c r="K1342" i="1"/>
  <c r="P1342" i="1"/>
  <c r="R1342" i="1"/>
  <c r="BL1342" i="1"/>
  <c r="BW1342" i="1"/>
  <c r="CH1342" i="1"/>
  <c r="CS1342" i="1"/>
  <c r="K1343" i="1"/>
  <c r="P1343" i="1"/>
  <c r="R1343" i="1"/>
  <c r="BL1343" i="1"/>
  <c r="BW1343" i="1"/>
  <c r="CH1343" i="1"/>
  <c r="CS1343" i="1"/>
  <c r="K1344" i="1"/>
  <c r="P1344" i="1"/>
  <c r="R1344" i="1"/>
  <c r="BL1344" i="1"/>
  <c r="BW1344" i="1"/>
  <c r="CH1344" i="1"/>
  <c r="CS1344" i="1"/>
  <c r="K1345" i="1"/>
  <c r="P1345" i="1"/>
  <c r="R1345" i="1"/>
  <c r="BL1345" i="1"/>
  <c r="BW1345" i="1"/>
  <c r="CH1345" i="1"/>
  <c r="CS1345" i="1"/>
  <c r="K1346" i="1"/>
  <c r="P1346" i="1"/>
  <c r="R1346" i="1"/>
  <c r="BL1346" i="1"/>
  <c r="BW1346" i="1"/>
  <c r="CH1346" i="1"/>
  <c r="CS1346" i="1"/>
  <c r="K1347" i="1"/>
  <c r="P1347" i="1"/>
  <c r="R1347" i="1"/>
  <c r="BL1347" i="1"/>
  <c r="BW1347" i="1"/>
  <c r="CH1347" i="1"/>
  <c r="CS1347" i="1"/>
  <c r="K1348" i="1"/>
  <c r="P1348" i="1"/>
  <c r="R1348" i="1"/>
  <c r="BL1348" i="1"/>
  <c r="BW1348" i="1"/>
  <c r="CH1348" i="1"/>
  <c r="CS1348" i="1"/>
  <c r="K1349" i="1"/>
  <c r="P1349" i="1"/>
  <c r="R1349" i="1"/>
  <c r="BL1349" i="1"/>
  <c r="BW1349" i="1"/>
  <c r="CH1349" i="1"/>
  <c r="CS1349" i="1"/>
  <c r="K1350" i="1"/>
  <c r="P1350" i="1"/>
  <c r="R1350" i="1"/>
  <c r="BL1350" i="1"/>
  <c r="BW1350" i="1"/>
  <c r="CH1350" i="1"/>
  <c r="CS1350" i="1"/>
  <c r="K1351" i="1"/>
  <c r="P1351" i="1"/>
  <c r="R1351" i="1"/>
  <c r="BL1351" i="1"/>
  <c r="BW1351" i="1"/>
  <c r="CH1351" i="1"/>
  <c r="CS1351" i="1"/>
  <c r="K1352" i="1"/>
  <c r="P1352" i="1"/>
  <c r="R1352" i="1"/>
  <c r="BL1352" i="1"/>
  <c r="BW1352" i="1"/>
  <c r="CH1352" i="1"/>
  <c r="CS1352" i="1"/>
  <c r="K1353" i="1"/>
  <c r="P1353" i="1"/>
  <c r="R1353" i="1"/>
  <c r="BL1353" i="1"/>
  <c r="BW1353" i="1"/>
  <c r="CH1353" i="1"/>
  <c r="CS1353" i="1"/>
  <c r="K1354" i="1"/>
  <c r="P1354" i="1"/>
  <c r="R1354" i="1"/>
  <c r="BL1354" i="1"/>
  <c r="BW1354" i="1"/>
  <c r="CH1354" i="1"/>
  <c r="CS1354" i="1"/>
  <c r="K1355" i="1"/>
  <c r="P1355" i="1"/>
  <c r="R1355" i="1"/>
  <c r="BL1355" i="1"/>
  <c r="BW1355" i="1"/>
  <c r="CH1355" i="1"/>
  <c r="CS1355" i="1"/>
  <c r="K1356" i="1"/>
  <c r="P1356" i="1"/>
  <c r="R1356" i="1"/>
  <c r="BL1356" i="1"/>
  <c r="BW1356" i="1"/>
  <c r="CH1356" i="1"/>
  <c r="CS1356" i="1"/>
  <c r="K1357" i="1"/>
  <c r="P1357" i="1"/>
  <c r="R1357" i="1"/>
  <c r="BL1357" i="1"/>
  <c r="BW1357" i="1"/>
  <c r="CH1357" i="1"/>
  <c r="CS1357" i="1"/>
  <c r="K1358" i="1"/>
  <c r="P1358" i="1"/>
  <c r="R1358" i="1"/>
  <c r="BL1358" i="1"/>
  <c r="BW1358" i="1"/>
  <c r="CH1358" i="1"/>
  <c r="CS1358" i="1"/>
  <c r="K1359" i="1"/>
  <c r="P1359" i="1"/>
  <c r="R1359" i="1"/>
  <c r="BL1359" i="1"/>
  <c r="BW1359" i="1"/>
  <c r="CH1359" i="1"/>
  <c r="CS1359" i="1"/>
  <c r="K1360" i="1"/>
  <c r="P1360" i="1"/>
  <c r="R1360" i="1"/>
  <c r="BL1360" i="1"/>
  <c r="BW1360" i="1"/>
  <c r="CH1360" i="1"/>
  <c r="CS1360" i="1"/>
  <c r="K1361" i="1"/>
  <c r="P1361" i="1"/>
  <c r="R1361" i="1"/>
  <c r="BL1361" i="1"/>
  <c r="BW1361" i="1"/>
  <c r="CH1361" i="1"/>
  <c r="CS1361" i="1"/>
  <c r="K1362" i="1"/>
  <c r="P1362" i="1"/>
  <c r="R1362" i="1"/>
  <c r="BL1362" i="1"/>
  <c r="BW1362" i="1"/>
  <c r="CH1362" i="1"/>
  <c r="CS1362" i="1"/>
  <c r="K1363" i="1"/>
  <c r="P1363" i="1"/>
  <c r="R1363" i="1"/>
  <c r="BL1363" i="1"/>
  <c r="BW1363" i="1"/>
  <c r="CH1363" i="1"/>
  <c r="CS1363" i="1"/>
  <c r="K1364" i="1"/>
  <c r="P1364" i="1"/>
  <c r="R1364" i="1"/>
  <c r="BL1364" i="1"/>
  <c r="BW1364" i="1"/>
  <c r="CH1364" i="1"/>
  <c r="CS1364" i="1"/>
  <c r="K1365" i="1"/>
  <c r="P1365" i="1"/>
  <c r="R1365" i="1"/>
  <c r="BL1365" i="1"/>
  <c r="BW1365" i="1"/>
  <c r="CH1365" i="1"/>
  <c r="CS1365" i="1"/>
  <c r="K1366" i="1"/>
  <c r="P1366" i="1"/>
  <c r="R1366" i="1"/>
  <c r="BL1366" i="1"/>
  <c r="BW1366" i="1"/>
  <c r="CH1366" i="1"/>
  <c r="CS1366" i="1"/>
  <c r="K1367" i="1"/>
  <c r="P1367" i="1"/>
  <c r="R1367" i="1"/>
  <c r="BL1367" i="1"/>
  <c r="BW1367" i="1"/>
  <c r="CH1367" i="1"/>
  <c r="CS1367" i="1"/>
  <c r="K1368" i="1"/>
  <c r="P1368" i="1"/>
  <c r="R1368" i="1"/>
  <c r="BL1368" i="1"/>
  <c r="BW1368" i="1"/>
  <c r="CH1368" i="1"/>
  <c r="CS1368" i="1"/>
  <c r="K1369" i="1"/>
  <c r="P1369" i="1"/>
  <c r="R1369" i="1"/>
  <c r="BL1369" i="1"/>
  <c r="BW1369" i="1"/>
  <c r="CH1369" i="1"/>
  <c r="CS1369" i="1"/>
  <c r="K1370" i="1"/>
  <c r="P1370" i="1"/>
  <c r="R1370" i="1"/>
  <c r="BL1370" i="1"/>
  <c r="BW1370" i="1"/>
  <c r="CH1370" i="1"/>
  <c r="CS1370" i="1"/>
  <c r="K1371" i="1"/>
  <c r="P1371" i="1"/>
  <c r="R1371" i="1"/>
  <c r="BL1371" i="1"/>
  <c r="BW1371" i="1"/>
  <c r="CH1371" i="1"/>
  <c r="CS1371" i="1"/>
  <c r="K1372" i="1"/>
  <c r="P1372" i="1"/>
  <c r="R1372" i="1"/>
  <c r="BL1372" i="1"/>
  <c r="BW1372" i="1"/>
  <c r="CH1372" i="1"/>
  <c r="CS1372" i="1"/>
  <c r="K1373" i="1"/>
  <c r="P1373" i="1"/>
  <c r="R1373" i="1"/>
  <c r="BL1373" i="1"/>
  <c r="BW1373" i="1"/>
  <c r="CH1373" i="1"/>
  <c r="CS1373" i="1"/>
  <c r="K1374" i="1"/>
  <c r="P1374" i="1"/>
  <c r="R1374" i="1"/>
  <c r="BL1374" i="1"/>
  <c r="BW1374" i="1"/>
  <c r="CH1374" i="1"/>
  <c r="CS1374" i="1"/>
  <c r="K1375" i="1"/>
  <c r="P1375" i="1"/>
  <c r="R1375" i="1"/>
  <c r="BL1375" i="1"/>
  <c r="BW1375" i="1"/>
  <c r="CH1375" i="1"/>
  <c r="CS1375" i="1"/>
  <c r="K1376" i="1"/>
  <c r="P1376" i="1"/>
  <c r="R1376" i="1"/>
  <c r="BL1376" i="1"/>
  <c r="BW1376" i="1"/>
  <c r="CH1376" i="1"/>
  <c r="CS1376" i="1"/>
  <c r="K1377" i="1"/>
  <c r="P1377" i="1"/>
  <c r="R1377" i="1"/>
  <c r="BL1377" i="1"/>
  <c r="BW1377" i="1"/>
  <c r="CH1377" i="1"/>
  <c r="CS1377" i="1"/>
  <c r="K1378" i="1"/>
  <c r="P1378" i="1"/>
  <c r="R1378" i="1"/>
  <c r="BL1378" i="1"/>
  <c r="BW1378" i="1"/>
  <c r="CH1378" i="1"/>
  <c r="CS1378" i="1"/>
  <c r="K1379" i="1"/>
  <c r="P1379" i="1"/>
  <c r="R1379" i="1"/>
  <c r="BL1379" i="1"/>
  <c r="BW1379" i="1"/>
  <c r="CH1379" i="1"/>
  <c r="CS1379" i="1"/>
  <c r="K1380" i="1"/>
  <c r="P1380" i="1"/>
  <c r="R1380" i="1"/>
  <c r="BL1380" i="1"/>
  <c r="BW1380" i="1"/>
  <c r="CH1380" i="1"/>
  <c r="CS1380" i="1"/>
  <c r="K1381" i="1"/>
  <c r="P1381" i="1"/>
  <c r="R1381" i="1"/>
  <c r="BL1381" i="1"/>
  <c r="BW1381" i="1"/>
  <c r="CH1381" i="1"/>
  <c r="CS1381" i="1"/>
  <c r="K1382" i="1"/>
  <c r="P1382" i="1"/>
  <c r="R1382" i="1"/>
  <c r="BL1382" i="1"/>
  <c r="BW1382" i="1"/>
  <c r="CH1382" i="1"/>
  <c r="CS1382" i="1"/>
  <c r="K1383" i="1"/>
  <c r="P1383" i="1"/>
  <c r="R1383" i="1"/>
  <c r="BL1383" i="1"/>
  <c r="BW1383" i="1"/>
  <c r="CH1383" i="1"/>
  <c r="CS1383" i="1"/>
  <c r="K1384" i="1"/>
  <c r="P1384" i="1"/>
  <c r="R1384" i="1"/>
  <c r="BL1384" i="1"/>
  <c r="BW1384" i="1"/>
  <c r="CH1384" i="1"/>
  <c r="CS1384" i="1"/>
  <c r="K1385" i="1"/>
  <c r="P1385" i="1"/>
  <c r="R1385" i="1"/>
  <c r="BL1385" i="1"/>
  <c r="BW1385" i="1"/>
  <c r="CH1385" i="1"/>
  <c r="CS1385" i="1"/>
  <c r="K1386" i="1"/>
  <c r="P1386" i="1"/>
  <c r="R1386" i="1"/>
  <c r="BL1386" i="1"/>
  <c r="BW1386" i="1"/>
  <c r="CH1386" i="1"/>
  <c r="CS1386" i="1"/>
  <c r="K1387" i="1"/>
  <c r="P1387" i="1"/>
  <c r="R1387" i="1"/>
  <c r="BL1387" i="1"/>
  <c r="BW1387" i="1"/>
  <c r="CH1387" i="1"/>
  <c r="CS1387" i="1"/>
  <c r="K1388" i="1"/>
  <c r="P1388" i="1"/>
  <c r="R1388" i="1"/>
  <c r="BL1388" i="1"/>
  <c r="BW1388" i="1"/>
  <c r="CH1388" i="1"/>
  <c r="CS1388" i="1"/>
  <c r="K1389" i="1"/>
  <c r="P1389" i="1"/>
  <c r="R1389" i="1"/>
  <c r="BL1389" i="1"/>
  <c r="BW1389" i="1"/>
  <c r="CH1389" i="1"/>
  <c r="CS1389" i="1"/>
  <c r="K1390" i="1"/>
  <c r="P1390" i="1"/>
  <c r="R1390" i="1"/>
  <c r="BL1390" i="1"/>
  <c r="BW1390" i="1"/>
  <c r="CH1390" i="1"/>
  <c r="CS1390" i="1"/>
  <c r="K1391" i="1"/>
  <c r="P1391" i="1"/>
  <c r="R1391" i="1"/>
  <c r="BL1391" i="1"/>
  <c r="BW1391" i="1"/>
  <c r="CH1391" i="1"/>
  <c r="CS1391" i="1"/>
  <c r="K1392" i="1"/>
  <c r="P1392" i="1"/>
  <c r="R1392" i="1"/>
  <c r="BL1392" i="1"/>
  <c r="BW1392" i="1"/>
  <c r="CH1392" i="1"/>
  <c r="CS1392" i="1"/>
  <c r="K1393" i="1"/>
  <c r="P1393" i="1"/>
  <c r="R1393" i="1"/>
  <c r="BL1393" i="1"/>
  <c r="BW1393" i="1"/>
  <c r="CH1393" i="1"/>
  <c r="CS1393" i="1"/>
  <c r="K1394" i="1"/>
  <c r="P1394" i="1"/>
  <c r="R1394" i="1"/>
  <c r="BL1394" i="1"/>
  <c r="BW1394" i="1"/>
  <c r="CH1394" i="1"/>
  <c r="CS1394" i="1"/>
  <c r="K1395" i="1"/>
  <c r="P1395" i="1"/>
  <c r="R1395" i="1"/>
  <c r="BL1395" i="1"/>
  <c r="BW1395" i="1"/>
  <c r="CH1395" i="1"/>
  <c r="CS1395" i="1"/>
  <c r="K1396" i="1"/>
  <c r="P1396" i="1"/>
  <c r="R1396" i="1"/>
  <c r="BL1396" i="1"/>
  <c r="BW1396" i="1"/>
  <c r="CH1396" i="1"/>
  <c r="CS1396" i="1"/>
  <c r="K1397" i="1"/>
  <c r="P1397" i="1"/>
  <c r="R1397" i="1"/>
  <c r="BL1397" i="1"/>
  <c r="BW1397" i="1"/>
  <c r="CH1397" i="1"/>
  <c r="CS1397" i="1"/>
  <c r="K1398" i="1"/>
  <c r="P1398" i="1"/>
  <c r="R1398" i="1"/>
  <c r="BL1398" i="1"/>
  <c r="BW1398" i="1"/>
  <c r="CH1398" i="1"/>
  <c r="CS1398" i="1"/>
  <c r="K1399" i="1"/>
  <c r="P1399" i="1"/>
  <c r="R1399" i="1"/>
  <c r="BL1399" i="1"/>
  <c r="BW1399" i="1"/>
  <c r="CH1399" i="1"/>
  <c r="CS1399" i="1"/>
  <c r="K1400" i="1"/>
  <c r="P1400" i="1"/>
  <c r="R1400" i="1"/>
  <c r="BL1400" i="1"/>
  <c r="BW1400" i="1"/>
  <c r="CH1400" i="1"/>
  <c r="CS1400" i="1"/>
  <c r="K1401" i="1"/>
  <c r="P1401" i="1"/>
  <c r="R1401" i="1"/>
  <c r="BL1401" i="1"/>
  <c r="BW1401" i="1"/>
  <c r="CH1401" i="1"/>
  <c r="CS1401" i="1"/>
  <c r="K1402" i="1"/>
  <c r="P1402" i="1"/>
  <c r="R1402" i="1"/>
  <c r="BL1402" i="1"/>
  <c r="BW1402" i="1"/>
  <c r="CH1402" i="1"/>
  <c r="CS1402" i="1"/>
  <c r="K1403" i="1"/>
  <c r="P1403" i="1"/>
  <c r="R1403" i="1"/>
  <c r="BL1403" i="1"/>
  <c r="BW1403" i="1"/>
  <c r="CH1403" i="1"/>
  <c r="CS1403" i="1"/>
  <c r="K1404" i="1"/>
  <c r="P1404" i="1"/>
  <c r="R1404" i="1"/>
  <c r="BL1404" i="1"/>
  <c r="BW1404" i="1"/>
  <c r="CH1404" i="1"/>
  <c r="CS1404" i="1"/>
  <c r="K1405" i="1"/>
  <c r="P1405" i="1"/>
  <c r="R1405" i="1"/>
  <c r="BL1405" i="1"/>
  <c r="BW1405" i="1"/>
  <c r="CH1405" i="1"/>
  <c r="CS1405" i="1"/>
  <c r="K1406" i="1"/>
  <c r="P1406" i="1"/>
  <c r="R1406" i="1"/>
  <c r="BL1406" i="1"/>
  <c r="BW1406" i="1"/>
  <c r="CH1406" i="1"/>
  <c r="CS1406" i="1"/>
  <c r="K1407" i="1"/>
  <c r="P1407" i="1"/>
  <c r="R1407" i="1"/>
  <c r="BL1407" i="1"/>
  <c r="BW1407" i="1"/>
  <c r="CH1407" i="1"/>
  <c r="CS1407" i="1"/>
  <c r="K1408" i="1"/>
  <c r="P1408" i="1"/>
  <c r="R1408" i="1"/>
  <c r="BL1408" i="1"/>
  <c r="BW1408" i="1"/>
  <c r="CH1408" i="1"/>
  <c r="CS1408" i="1"/>
  <c r="K1409" i="1"/>
  <c r="P1409" i="1"/>
  <c r="R1409" i="1"/>
  <c r="BL1409" i="1"/>
  <c r="BW1409" i="1"/>
  <c r="CH1409" i="1"/>
  <c r="CS1409" i="1"/>
  <c r="K1410" i="1"/>
  <c r="P1410" i="1"/>
  <c r="R1410" i="1"/>
  <c r="BL1410" i="1"/>
  <c r="BW1410" i="1"/>
  <c r="CH1410" i="1"/>
  <c r="CS1410" i="1"/>
  <c r="K1411" i="1"/>
  <c r="P1411" i="1"/>
  <c r="R1411" i="1"/>
  <c r="BL1411" i="1"/>
  <c r="BW1411" i="1"/>
  <c r="CH1411" i="1"/>
  <c r="CS1411" i="1"/>
  <c r="K1412" i="1"/>
  <c r="P1412" i="1"/>
  <c r="R1412" i="1"/>
  <c r="BL1412" i="1"/>
  <c r="BW1412" i="1"/>
  <c r="CH1412" i="1"/>
  <c r="CS1412" i="1"/>
  <c r="K1413" i="1"/>
  <c r="P1413" i="1"/>
  <c r="R1413" i="1"/>
  <c r="BL1413" i="1"/>
  <c r="BW1413" i="1"/>
  <c r="CH1413" i="1"/>
  <c r="CS1413" i="1"/>
  <c r="K1414" i="1"/>
  <c r="P1414" i="1"/>
  <c r="R1414" i="1"/>
  <c r="BL1414" i="1"/>
  <c r="BW1414" i="1"/>
  <c r="CH1414" i="1"/>
  <c r="CS1414" i="1"/>
  <c r="K1415" i="1"/>
  <c r="P1415" i="1"/>
  <c r="R1415" i="1"/>
  <c r="BL1415" i="1"/>
  <c r="BW1415" i="1"/>
  <c r="CH1415" i="1"/>
  <c r="CS1415" i="1"/>
  <c r="K1416" i="1"/>
  <c r="P1416" i="1"/>
  <c r="R1416" i="1"/>
  <c r="BL1416" i="1"/>
  <c r="BW1416" i="1"/>
  <c r="CH1416" i="1"/>
  <c r="CS1416" i="1"/>
  <c r="K1417" i="1"/>
  <c r="P1417" i="1"/>
  <c r="R1417" i="1"/>
  <c r="BL1417" i="1"/>
  <c r="BW1417" i="1"/>
  <c r="CH1417" i="1"/>
  <c r="CS1417" i="1"/>
  <c r="K1418" i="1"/>
  <c r="P1418" i="1"/>
  <c r="R1418" i="1"/>
  <c r="BL1418" i="1"/>
  <c r="BW1418" i="1"/>
  <c r="CH1418" i="1"/>
  <c r="CS1418" i="1"/>
  <c r="K1419" i="1"/>
  <c r="P1419" i="1"/>
  <c r="R1419" i="1"/>
  <c r="BL1419" i="1"/>
  <c r="BW1419" i="1"/>
  <c r="CH1419" i="1"/>
  <c r="CS1419" i="1"/>
  <c r="K1420" i="1"/>
  <c r="P1420" i="1"/>
  <c r="R1420" i="1"/>
  <c r="BL1420" i="1"/>
  <c r="BW1420" i="1"/>
  <c r="CH1420" i="1"/>
  <c r="CS1420" i="1"/>
  <c r="K1421" i="1"/>
  <c r="P1421" i="1"/>
  <c r="R1421" i="1"/>
  <c r="BL1421" i="1"/>
  <c r="BW1421" i="1"/>
  <c r="CH1421" i="1"/>
  <c r="CS1421" i="1"/>
  <c r="K1422" i="1"/>
  <c r="P1422" i="1"/>
  <c r="R1422" i="1"/>
  <c r="BL1422" i="1"/>
  <c r="BW1422" i="1"/>
  <c r="CH1422" i="1"/>
  <c r="CS1422" i="1"/>
  <c r="K1423" i="1"/>
  <c r="P1423" i="1"/>
  <c r="R1423" i="1"/>
  <c r="BL1423" i="1"/>
  <c r="BW1423" i="1"/>
  <c r="CH1423" i="1"/>
  <c r="CS1423" i="1"/>
  <c r="K1424" i="1"/>
  <c r="P1424" i="1"/>
  <c r="R1424" i="1"/>
  <c r="BL1424" i="1"/>
  <c r="BW1424" i="1"/>
  <c r="CH1424" i="1"/>
  <c r="CS1424" i="1"/>
  <c r="K1425" i="1"/>
  <c r="P1425" i="1"/>
  <c r="R1425" i="1"/>
  <c r="BL1425" i="1"/>
  <c r="BW1425" i="1"/>
  <c r="CH1425" i="1"/>
  <c r="CS1425" i="1"/>
  <c r="K1426" i="1"/>
  <c r="P1426" i="1"/>
  <c r="R1426" i="1"/>
  <c r="BL1426" i="1"/>
  <c r="BW1426" i="1"/>
  <c r="CH1426" i="1"/>
  <c r="CS1426" i="1"/>
  <c r="K1427" i="1"/>
  <c r="P1427" i="1"/>
  <c r="R1427" i="1"/>
  <c r="BL1427" i="1"/>
  <c r="BW1427" i="1"/>
  <c r="CH1427" i="1"/>
  <c r="CS1427" i="1"/>
  <c r="K1428" i="1"/>
  <c r="P1428" i="1"/>
  <c r="R1428" i="1"/>
  <c r="BL1428" i="1"/>
  <c r="BW1428" i="1"/>
  <c r="CH1428" i="1"/>
  <c r="CS1428" i="1"/>
  <c r="K1429" i="1"/>
  <c r="P1429" i="1"/>
  <c r="R1429" i="1"/>
  <c r="BL1429" i="1"/>
  <c r="BQ1429" i="1"/>
  <c r="BW1429" i="1"/>
  <c r="CH1429" i="1"/>
  <c r="CS1429" i="1"/>
  <c r="K1430" i="1"/>
  <c r="P1430" i="1"/>
  <c r="R1430" i="1"/>
  <c r="BL1430" i="1"/>
  <c r="BW1430" i="1"/>
  <c r="CH1430" i="1"/>
  <c r="CS1430" i="1"/>
  <c r="K1431" i="1"/>
  <c r="P1431" i="1"/>
  <c r="R1431" i="1"/>
  <c r="BL1431" i="1"/>
  <c r="BW1431" i="1"/>
  <c r="CH1431" i="1"/>
  <c r="CS1431" i="1"/>
  <c r="K1432" i="1"/>
  <c r="P1432" i="1"/>
  <c r="R1432" i="1"/>
  <c r="BL1432" i="1"/>
  <c r="BW1432" i="1"/>
  <c r="CH1432" i="1"/>
  <c r="CS1432" i="1"/>
  <c r="K1433" i="1"/>
  <c r="P1433" i="1"/>
  <c r="R1433" i="1"/>
  <c r="BL1433" i="1"/>
  <c r="BW1433" i="1"/>
  <c r="CH1433" i="1"/>
  <c r="CS1433" i="1"/>
  <c r="K1434" i="1"/>
  <c r="P1434" i="1"/>
  <c r="R1434" i="1"/>
  <c r="BL1434" i="1"/>
  <c r="BW1434" i="1"/>
  <c r="CH1434" i="1"/>
  <c r="CS1434" i="1"/>
  <c r="K1435" i="1"/>
  <c r="P1435" i="1"/>
  <c r="R1435" i="1"/>
  <c r="BL1435" i="1"/>
  <c r="BW1435" i="1"/>
  <c r="CH1435" i="1"/>
  <c r="CS1435" i="1"/>
  <c r="K1436" i="1"/>
  <c r="P1436" i="1"/>
  <c r="R1436" i="1"/>
  <c r="BL1436" i="1"/>
  <c r="BW1436" i="1"/>
  <c r="CH1436" i="1"/>
  <c r="CS1436" i="1"/>
  <c r="K1437" i="1"/>
  <c r="P1437" i="1"/>
  <c r="R1437" i="1"/>
  <c r="BL1437" i="1"/>
  <c r="BW1437" i="1"/>
  <c r="CH1437" i="1"/>
  <c r="CS1437" i="1"/>
  <c r="K1438" i="1"/>
  <c r="P1438" i="1"/>
  <c r="R1438" i="1"/>
  <c r="BL1438" i="1"/>
  <c r="BW1438" i="1"/>
  <c r="CH1438" i="1"/>
  <c r="CS1438" i="1"/>
  <c r="K1439" i="1"/>
  <c r="P1439" i="1"/>
  <c r="R1439" i="1"/>
  <c r="BL1439" i="1"/>
  <c r="BW1439" i="1"/>
  <c r="CH1439" i="1"/>
  <c r="CS1439" i="1"/>
  <c r="K1440" i="1"/>
  <c r="P1440" i="1"/>
  <c r="R1440" i="1"/>
  <c r="BL1440" i="1"/>
  <c r="BW1440" i="1"/>
  <c r="CH1440" i="1"/>
  <c r="CS1440" i="1"/>
  <c r="K1441" i="1"/>
  <c r="P1441" i="1"/>
  <c r="R1441" i="1"/>
  <c r="BL1441" i="1"/>
  <c r="BW1441" i="1"/>
  <c r="CH1441" i="1"/>
  <c r="CS1441" i="1"/>
  <c r="K1442" i="1"/>
  <c r="P1442" i="1"/>
  <c r="R1442" i="1"/>
  <c r="BL1442" i="1"/>
  <c r="BW1442" i="1"/>
  <c r="CH1442" i="1"/>
  <c r="CS1442" i="1"/>
  <c r="K1443" i="1"/>
  <c r="P1443" i="1"/>
  <c r="R1443" i="1"/>
  <c r="BL1443" i="1"/>
  <c r="BW1443" i="1"/>
  <c r="CH1443" i="1"/>
  <c r="CS1443" i="1"/>
  <c r="K1444" i="1"/>
  <c r="P1444" i="1"/>
  <c r="R1444" i="1"/>
  <c r="BL1444" i="1"/>
  <c r="BW1444" i="1"/>
  <c r="CH1444" i="1"/>
  <c r="CS1444" i="1"/>
  <c r="K1445" i="1"/>
  <c r="P1445" i="1"/>
  <c r="R1445" i="1"/>
  <c r="BL1445" i="1"/>
  <c r="BW1445" i="1"/>
  <c r="CH1445" i="1"/>
  <c r="CS1445" i="1"/>
  <c r="K1446" i="1"/>
  <c r="P1446" i="1"/>
  <c r="R1446" i="1"/>
  <c r="BL1446" i="1"/>
  <c r="BW1446" i="1"/>
  <c r="CH1446" i="1"/>
  <c r="CS1446" i="1"/>
  <c r="K1447" i="1"/>
  <c r="P1447" i="1"/>
  <c r="R1447" i="1"/>
  <c r="BL1447" i="1"/>
  <c r="BW1447" i="1"/>
  <c r="CH1447" i="1"/>
  <c r="CS1447" i="1"/>
  <c r="K1448" i="1"/>
  <c r="P1448" i="1"/>
  <c r="R1448" i="1"/>
  <c r="BL1448" i="1"/>
  <c r="BW1448" i="1"/>
  <c r="CH1448" i="1"/>
  <c r="CS1448" i="1"/>
  <c r="K1449" i="1"/>
  <c r="P1449" i="1"/>
  <c r="R1449" i="1"/>
  <c r="BL1449" i="1"/>
  <c r="BW1449" i="1"/>
  <c r="CH1449" i="1"/>
  <c r="CS1449" i="1"/>
  <c r="K1450" i="1"/>
  <c r="P1450" i="1"/>
  <c r="R1450" i="1"/>
  <c r="BL1450" i="1"/>
  <c r="BW1450" i="1"/>
  <c r="CH1450" i="1"/>
  <c r="CS1450" i="1"/>
  <c r="K1451" i="1"/>
  <c r="P1451" i="1"/>
  <c r="R1451" i="1"/>
  <c r="BL1451" i="1"/>
  <c r="BQ1451" i="1"/>
  <c r="BW1451" i="1"/>
  <c r="CH1451" i="1"/>
  <c r="CS1451" i="1"/>
  <c r="K1452" i="1"/>
  <c r="P1452" i="1"/>
  <c r="R1452" i="1"/>
  <c r="BL1452" i="1"/>
  <c r="BW1452" i="1"/>
  <c r="CH1452" i="1"/>
  <c r="CS1452" i="1"/>
  <c r="K1453" i="1"/>
  <c r="P1453" i="1"/>
  <c r="R1453" i="1"/>
  <c r="BL1453" i="1"/>
  <c r="BW1453" i="1"/>
  <c r="CH1453" i="1"/>
  <c r="CS1453" i="1"/>
  <c r="K1454" i="1"/>
  <c r="P1454" i="1"/>
  <c r="R1454" i="1"/>
  <c r="BL1454" i="1"/>
  <c r="BW1454" i="1"/>
  <c r="CH1454" i="1"/>
  <c r="CS1454" i="1"/>
  <c r="K1455" i="1"/>
  <c r="P1455" i="1"/>
  <c r="R1455" i="1"/>
  <c r="BL1455" i="1"/>
  <c r="BW1455" i="1"/>
  <c r="CH1455" i="1"/>
  <c r="CS1455" i="1"/>
  <c r="K1456" i="1"/>
  <c r="P1456" i="1"/>
  <c r="R1456" i="1"/>
  <c r="BL1456" i="1"/>
  <c r="BW1456" i="1"/>
  <c r="CH1456" i="1"/>
  <c r="CS1456" i="1"/>
  <c r="K1457" i="1"/>
  <c r="P1457" i="1"/>
  <c r="R1457" i="1"/>
  <c r="BL1457" i="1"/>
  <c r="BW1457" i="1"/>
  <c r="CH1457" i="1"/>
  <c r="CS1457" i="1"/>
  <c r="K1458" i="1"/>
  <c r="P1458" i="1"/>
  <c r="R1458" i="1"/>
  <c r="BL1458" i="1"/>
  <c r="BW1458" i="1"/>
  <c r="CH1458" i="1"/>
  <c r="CS1458" i="1"/>
  <c r="K1459" i="1"/>
  <c r="P1459" i="1"/>
  <c r="R1459" i="1"/>
  <c r="BL1459" i="1"/>
  <c r="BW1459" i="1"/>
  <c r="CH1459" i="1"/>
  <c r="CS1459" i="1"/>
  <c r="K1460" i="1"/>
  <c r="P1460" i="1"/>
  <c r="R1460" i="1"/>
  <c r="BL1460" i="1"/>
  <c r="BW1460" i="1"/>
  <c r="CH1460" i="1"/>
  <c r="CS1460" i="1"/>
  <c r="K1461" i="1"/>
  <c r="P1461" i="1"/>
  <c r="R1461" i="1"/>
  <c r="BL1461" i="1"/>
  <c r="BW1461" i="1"/>
  <c r="CH1461" i="1"/>
  <c r="CS1461" i="1"/>
  <c r="K1462" i="1"/>
  <c r="P1462" i="1"/>
  <c r="R1462" i="1"/>
  <c r="BL1462" i="1"/>
  <c r="BW1462" i="1"/>
  <c r="CH1462" i="1"/>
  <c r="CS1462" i="1"/>
  <c r="K1463" i="1"/>
  <c r="P1463" i="1"/>
  <c r="R1463" i="1"/>
  <c r="BL1463" i="1"/>
  <c r="BW1463" i="1"/>
  <c r="CH1463" i="1"/>
  <c r="CS1463" i="1"/>
  <c r="K1464" i="1"/>
  <c r="P1464" i="1"/>
  <c r="R1464" i="1"/>
  <c r="BL1464" i="1"/>
  <c r="BW1464" i="1"/>
  <c r="CH1464" i="1"/>
  <c r="CS1464" i="1"/>
  <c r="K1465" i="1"/>
  <c r="P1465" i="1"/>
  <c r="R1465" i="1"/>
  <c r="BL1465" i="1"/>
  <c r="BW1465" i="1"/>
  <c r="CH1465" i="1"/>
  <c r="CS1465" i="1"/>
  <c r="K1466" i="1"/>
  <c r="P1466" i="1"/>
  <c r="R1466" i="1"/>
  <c r="BL1466" i="1"/>
  <c r="BW1466" i="1"/>
  <c r="CH1466" i="1"/>
  <c r="CS1466" i="1"/>
  <c r="K1467" i="1"/>
  <c r="P1467" i="1"/>
  <c r="R1467" i="1"/>
  <c r="BL1467" i="1"/>
  <c r="BW1467" i="1"/>
  <c r="CH1467" i="1"/>
  <c r="CS1467" i="1"/>
  <c r="K1468" i="1"/>
  <c r="P1468" i="1"/>
  <c r="R1468" i="1"/>
  <c r="BL1468" i="1"/>
  <c r="BW1468" i="1"/>
  <c r="CH1468" i="1"/>
  <c r="CS1468" i="1"/>
  <c r="K1469" i="1"/>
  <c r="P1469" i="1"/>
  <c r="R1469" i="1"/>
  <c r="BL1469" i="1"/>
  <c r="BW1469" i="1"/>
  <c r="CH1469" i="1"/>
  <c r="CS1469" i="1"/>
  <c r="K1470" i="1"/>
  <c r="P1470" i="1"/>
  <c r="R1470" i="1"/>
  <c r="BL1470" i="1"/>
  <c r="BW1470" i="1"/>
  <c r="CH1470" i="1"/>
  <c r="CS1470" i="1"/>
  <c r="K1471" i="1"/>
  <c r="P1471" i="1"/>
  <c r="R1471" i="1"/>
  <c r="BL1471" i="1"/>
  <c r="BW1471" i="1"/>
  <c r="CH1471" i="1"/>
  <c r="CS1471" i="1"/>
  <c r="K1472" i="1"/>
  <c r="P1472" i="1"/>
  <c r="R1472" i="1"/>
  <c r="BL1472" i="1"/>
  <c r="BW1472" i="1"/>
  <c r="CH1472" i="1"/>
  <c r="CS1472" i="1"/>
  <c r="K1473" i="1"/>
  <c r="P1473" i="1"/>
  <c r="R1473" i="1"/>
  <c r="BL1473" i="1"/>
  <c r="BW1473" i="1"/>
  <c r="CH1473" i="1"/>
  <c r="CS1473" i="1"/>
  <c r="K1474" i="1"/>
  <c r="P1474" i="1"/>
  <c r="R1474" i="1"/>
  <c r="BL1474" i="1"/>
  <c r="BW1474" i="1"/>
  <c r="CH1474" i="1"/>
  <c r="CS1474" i="1"/>
  <c r="K1475" i="1"/>
  <c r="P1475" i="1"/>
  <c r="R1475" i="1"/>
  <c r="BL1475" i="1"/>
  <c r="BW1475" i="1"/>
  <c r="CH1475" i="1"/>
  <c r="CS1475" i="1"/>
  <c r="K1476" i="1"/>
  <c r="P1476" i="1"/>
  <c r="R1476" i="1"/>
  <c r="BL1476" i="1"/>
  <c r="BW1476" i="1"/>
  <c r="CH1476" i="1"/>
  <c r="CS1476" i="1"/>
  <c r="K1477" i="1"/>
  <c r="P1477" i="1"/>
  <c r="R1477" i="1"/>
  <c r="BL1477" i="1"/>
  <c r="BW1477" i="1"/>
  <c r="CH1477" i="1"/>
  <c r="CS1477" i="1"/>
  <c r="K1478" i="1"/>
  <c r="P1478" i="1"/>
  <c r="R1478" i="1"/>
  <c r="BL1478" i="1"/>
  <c r="BW1478" i="1"/>
  <c r="CH1478" i="1"/>
  <c r="CS1478" i="1"/>
  <c r="K1479" i="1"/>
  <c r="P1479" i="1"/>
  <c r="R1479" i="1"/>
  <c r="BL1479" i="1"/>
  <c r="BW1479" i="1"/>
  <c r="CH1479" i="1"/>
  <c r="CS1479" i="1"/>
  <c r="K1480" i="1"/>
  <c r="P1480" i="1"/>
  <c r="R1480" i="1"/>
  <c r="BL1480" i="1"/>
  <c r="BW1480" i="1"/>
  <c r="CH1480" i="1"/>
  <c r="CS1480" i="1"/>
  <c r="K1481" i="1"/>
  <c r="P1481" i="1"/>
  <c r="R1481" i="1"/>
  <c r="BL1481" i="1"/>
  <c r="BW1481" i="1"/>
  <c r="CH1481" i="1"/>
  <c r="CS1481" i="1"/>
  <c r="K1482" i="1"/>
  <c r="P1482" i="1"/>
  <c r="R1482" i="1"/>
  <c r="BL1482" i="1"/>
  <c r="BW1482" i="1"/>
  <c r="CH1482" i="1"/>
  <c r="CS1482" i="1"/>
  <c r="K1483" i="1"/>
  <c r="P1483" i="1"/>
  <c r="R1483" i="1"/>
  <c r="BL1483" i="1"/>
  <c r="BW1483" i="1"/>
  <c r="CH1483" i="1"/>
  <c r="CS1483" i="1"/>
  <c r="K1484" i="1"/>
  <c r="P1484" i="1"/>
  <c r="R1484" i="1"/>
  <c r="BL1484" i="1"/>
  <c r="BW1484" i="1"/>
  <c r="CH1484" i="1"/>
  <c r="CS1484" i="1"/>
  <c r="K1485" i="1"/>
  <c r="P1485" i="1"/>
  <c r="R1485" i="1"/>
  <c r="BL1485" i="1"/>
  <c r="BW1485" i="1"/>
  <c r="CH1485" i="1"/>
  <c r="CS1485" i="1"/>
  <c r="K1486" i="1"/>
  <c r="P1486" i="1"/>
  <c r="R1486" i="1"/>
  <c r="BL1486" i="1"/>
  <c r="BW1486" i="1"/>
  <c r="CH1486" i="1"/>
  <c r="CS1486" i="1"/>
  <c r="K1487" i="1"/>
  <c r="P1487" i="1"/>
  <c r="R1487" i="1"/>
  <c r="BL1487" i="1"/>
  <c r="BW1487" i="1"/>
  <c r="CH1487" i="1"/>
  <c r="CS1487" i="1"/>
  <c r="K1488" i="1"/>
  <c r="P1488" i="1"/>
  <c r="R1488" i="1"/>
  <c r="BL1488" i="1"/>
  <c r="BW1488" i="1"/>
  <c r="CH1488" i="1"/>
  <c r="CS1488" i="1"/>
  <c r="K1489" i="1"/>
  <c r="P1489" i="1"/>
  <c r="R1489" i="1"/>
  <c r="BL1489" i="1"/>
  <c r="BW1489" i="1"/>
  <c r="CH1489" i="1"/>
  <c r="CS1489" i="1"/>
  <c r="K1490" i="1"/>
  <c r="P1490" i="1"/>
  <c r="R1490" i="1"/>
  <c r="BL1490" i="1"/>
  <c r="BW1490" i="1"/>
  <c r="CH1490" i="1"/>
  <c r="CS1490" i="1"/>
  <c r="K1491" i="1"/>
  <c r="P1491" i="1"/>
  <c r="R1491" i="1"/>
  <c r="BL1491" i="1"/>
  <c r="BW1491" i="1"/>
  <c r="CH1491" i="1"/>
  <c r="CS1491" i="1"/>
  <c r="K1492" i="1"/>
  <c r="P1492" i="1"/>
  <c r="R1492" i="1"/>
  <c r="BL1492" i="1"/>
  <c r="BW1492" i="1"/>
  <c r="CH1492" i="1"/>
  <c r="CS1492" i="1"/>
  <c r="K1493" i="1"/>
  <c r="P1493" i="1"/>
  <c r="R1493" i="1"/>
  <c r="BL1493" i="1"/>
  <c r="BW1493" i="1"/>
  <c r="CH1493" i="1"/>
  <c r="CS1493" i="1"/>
  <c r="K1494" i="1"/>
  <c r="P1494" i="1"/>
  <c r="R1494" i="1"/>
  <c r="BL1494" i="1"/>
  <c r="BW1494" i="1"/>
  <c r="CH1494" i="1"/>
  <c r="CS1494" i="1"/>
  <c r="K1495" i="1"/>
  <c r="P1495" i="1"/>
  <c r="R1495" i="1"/>
  <c r="BL1495" i="1"/>
  <c r="BW1495" i="1"/>
  <c r="CH1495" i="1"/>
  <c r="CS1495" i="1"/>
  <c r="K1496" i="1"/>
  <c r="P1496" i="1"/>
  <c r="R1496" i="1"/>
  <c r="BL1496" i="1"/>
  <c r="BW1496" i="1"/>
  <c r="CH1496" i="1"/>
  <c r="CS1496" i="1"/>
  <c r="K1497" i="1"/>
  <c r="P1497" i="1"/>
  <c r="R1497" i="1"/>
  <c r="BL1497" i="1"/>
  <c r="BW1497" i="1"/>
  <c r="CH1497" i="1"/>
  <c r="CS1497" i="1"/>
  <c r="K1498" i="1"/>
  <c r="P1498" i="1"/>
  <c r="R1498" i="1"/>
  <c r="BL1498" i="1"/>
  <c r="BW1498" i="1"/>
  <c r="CH1498" i="1"/>
  <c r="CS1498" i="1"/>
  <c r="K1499" i="1"/>
  <c r="P1499" i="1"/>
  <c r="R1499" i="1"/>
  <c r="BL1499" i="1"/>
  <c r="BW1499" i="1"/>
  <c r="CH1499" i="1"/>
  <c r="CS1499" i="1"/>
  <c r="K1500" i="1"/>
  <c r="P1500" i="1"/>
  <c r="R1500" i="1"/>
  <c r="BL1500" i="1"/>
  <c r="BW1500" i="1"/>
  <c r="CH1500" i="1"/>
  <c r="CS1500" i="1"/>
  <c r="K1501" i="1"/>
  <c r="P1501" i="1"/>
  <c r="R1501" i="1"/>
  <c r="BL1501" i="1"/>
  <c r="BW1501" i="1"/>
  <c r="CH1501" i="1"/>
  <c r="CS1501" i="1"/>
  <c r="K1502" i="1"/>
  <c r="P1502" i="1"/>
  <c r="R1502" i="1"/>
  <c r="BL1502" i="1"/>
  <c r="BW1502" i="1"/>
  <c r="CH1502" i="1"/>
  <c r="CS1502" i="1"/>
  <c r="K1503" i="1"/>
  <c r="P1503" i="1"/>
  <c r="R1503" i="1"/>
  <c r="BL1503" i="1"/>
  <c r="BW1503" i="1"/>
  <c r="CH1503" i="1"/>
  <c r="CS1503" i="1"/>
  <c r="K1504" i="1"/>
  <c r="P1504" i="1"/>
  <c r="R1504" i="1"/>
  <c r="BL1504" i="1"/>
  <c r="BW1504" i="1"/>
  <c r="CH1504" i="1"/>
  <c r="CS1504" i="1"/>
  <c r="K1505" i="1"/>
  <c r="P1505" i="1"/>
  <c r="R1505" i="1"/>
  <c r="BL1505" i="1"/>
  <c r="BW1505" i="1"/>
  <c r="CH1505" i="1"/>
  <c r="CS1505" i="1"/>
  <c r="K1506" i="1"/>
  <c r="P1506" i="1"/>
  <c r="R1506" i="1"/>
  <c r="BL1506" i="1"/>
  <c r="BW1506" i="1"/>
  <c r="CH1506" i="1"/>
  <c r="CS1506" i="1"/>
  <c r="K1507" i="1"/>
  <c r="P1507" i="1"/>
  <c r="R1507" i="1"/>
  <c r="BL1507" i="1"/>
  <c r="BW1507" i="1"/>
  <c r="CH1507" i="1"/>
  <c r="CS1507" i="1"/>
  <c r="K1508" i="1"/>
  <c r="P1508" i="1"/>
  <c r="R1508" i="1"/>
  <c r="BL1508" i="1"/>
  <c r="BW1508" i="1"/>
  <c r="CH1508" i="1"/>
  <c r="CS1508" i="1"/>
  <c r="K1509" i="1"/>
  <c r="P1509" i="1"/>
  <c r="R1509" i="1"/>
  <c r="BL1509" i="1"/>
  <c r="BW1509" i="1"/>
  <c r="CH1509" i="1"/>
  <c r="CS1509" i="1"/>
  <c r="K1510" i="1"/>
  <c r="P1510" i="1"/>
  <c r="R1510" i="1"/>
  <c r="BL1510" i="1"/>
  <c r="BW1510" i="1"/>
  <c r="CH1510" i="1"/>
  <c r="CS1510" i="1"/>
  <c r="K1511" i="1"/>
  <c r="P1511" i="1"/>
  <c r="R1511" i="1"/>
  <c r="BL1511" i="1"/>
  <c r="BW1511" i="1"/>
  <c r="CH1511" i="1"/>
  <c r="CS1511" i="1"/>
  <c r="K1512" i="1"/>
  <c r="P1512" i="1"/>
  <c r="R1512" i="1"/>
  <c r="BL1512" i="1"/>
  <c r="BW1512" i="1"/>
  <c r="CH1512" i="1"/>
  <c r="CS1512" i="1"/>
  <c r="K1513" i="1"/>
  <c r="P1513" i="1"/>
  <c r="R1513" i="1"/>
  <c r="BL1513" i="1"/>
  <c r="BW1513" i="1"/>
  <c r="CH1513" i="1"/>
  <c r="CS1513" i="1"/>
  <c r="K1514" i="1"/>
  <c r="P1514" i="1"/>
  <c r="R1514" i="1"/>
  <c r="BL1514" i="1"/>
  <c r="BW1514" i="1"/>
  <c r="CH1514" i="1"/>
  <c r="CS1514" i="1"/>
  <c r="K1515" i="1"/>
  <c r="P1515" i="1"/>
  <c r="R1515" i="1"/>
  <c r="BL1515" i="1"/>
  <c r="BW1515" i="1"/>
  <c r="CH1515" i="1"/>
  <c r="CS1515" i="1"/>
  <c r="K1516" i="1"/>
  <c r="P1516" i="1"/>
  <c r="R1516" i="1"/>
  <c r="BL1516" i="1"/>
  <c r="BW1516" i="1"/>
  <c r="CH1516" i="1"/>
  <c r="CS1516" i="1"/>
  <c r="K1517" i="1"/>
  <c r="P1517" i="1"/>
  <c r="R1517" i="1"/>
  <c r="BL1517" i="1"/>
  <c r="BW1517" i="1"/>
  <c r="CH1517" i="1"/>
  <c r="CS1517" i="1"/>
  <c r="K1518" i="1"/>
  <c r="P1518" i="1"/>
  <c r="R1518" i="1"/>
  <c r="BL1518" i="1"/>
  <c r="BW1518" i="1"/>
  <c r="CH1518" i="1"/>
  <c r="CS1518" i="1"/>
  <c r="K1519" i="1"/>
  <c r="P1519" i="1"/>
  <c r="R1519" i="1"/>
  <c r="BL1519" i="1"/>
  <c r="BQ1519" i="1"/>
  <c r="BW1519" i="1"/>
  <c r="CH1519" i="1"/>
  <c r="CS1519" i="1"/>
  <c r="K1520" i="1"/>
  <c r="P1520" i="1"/>
  <c r="R1520" i="1"/>
  <c r="BL1520" i="1"/>
  <c r="BQ1520" i="1"/>
  <c r="BW1520" i="1"/>
  <c r="CH1520" i="1"/>
  <c r="CS1520" i="1"/>
  <c r="K1521" i="1"/>
  <c r="P1521" i="1"/>
  <c r="R1521" i="1"/>
  <c r="BL1521" i="1"/>
  <c r="BW1521" i="1"/>
  <c r="CH1521" i="1"/>
  <c r="CS1521" i="1"/>
  <c r="K1522" i="1"/>
  <c r="P1522" i="1"/>
  <c r="R1522" i="1"/>
  <c r="BL1522" i="1"/>
  <c r="BW1522" i="1"/>
  <c r="CH1522" i="1"/>
  <c r="CS1522" i="1"/>
  <c r="K1523" i="1"/>
  <c r="P1523" i="1"/>
  <c r="R1523" i="1"/>
  <c r="BL1523" i="1"/>
  <c r="BW1523" i="1"/>
  <c r="CH1523" i="1"/>
  <c r="CS1523" i="1"/>
  <c r="K1524" i="1"/>
  <c r="P1524" i="1"/>
  <c r="R1524" i="1"/>
  <c r="BL1524" i="1"/>
  <c r="BW1524" i="1"/>
  <c r="CH1524" i="1"/>
  <c r="CS1524" i="1"/>
  <c r="K1525" i="1"/>
  <c r="P1525" i="1"/>
  <c r="R1525" i="1"/>
  <c r="BL1525" i="1"/>
  <c r="BW1525" i="1"/>
  <c r="CH1525" i="1"/>
  <c r="CS1525" i="1"/>
  <c r="K1526" i="1"/>
  <c r="P1526" i="1"/>
  <c r="R1526" i="1"/>
  <c r="BL1526" i="1"/>
  <c r="BW1526" i="1"/>
  <c r="CH1526" i="1"/>
  <c r="CS1526" i="1"/>
  <c r="K1527" i="1"/>
  <c r="P1527" i="1"/>
  <c r="R1527" i="1"/>
  <c r="BL1527" i="1"/>
  <c r="BW1527" i="1"/>
  <c r="CH1527" i="1"/>
  <c r="CS1527" i="1"/>
  <c r="K1528" i="1"/>
  <c r="P1528" i="1"/>
  <c r="R1528" i="1"/>
  <c r="BL1528" i="1"/>
  <c r="BW1528" i="1"/>
  <c r="CH1528" i="1"/>
  <c r="CS1528" i="1"/>
  <c r="K1529" i="1"/>
  <c r="P1529" i="1"/>
  <c r="R1529" i="1"/>
  <c r="BL1529" i="1"/>
  <c r="BW1529" i="1"/>
  <c r="CH1529" i="1"/>
  <c r="CS1529" i="1"/>
  <c r="K1530" i="1"/>
  <c r="P1530" i="1"/>
  <c r="R1530" i="1"/>
  <c r="BL1530" i="1"/>
  <c r="BW1530" i="1"/>
  <c r="CH1530" i="1"/>
  <c r="CS1530" i="1"/>
  <c r="K1531" i="1"/>
  <c r="P1531" i="1"/>
  <c r="R1531" i="1"/>
  <c r="BL1531" i="1"/>
  <c r="BW1531" i="1"/>
  <c r="CH1531" i="1"/>
  <c r="CS1531" i="1"/>
  <c r="K1532" i="1"/>
  <c r="P1532" i="1"/>
  <c r="R1532" i="1"/>
  <c r="BL1532" i="1"/>
  <c r="BW1532" i="1"/>
  <c r="CH1532" i="1"/>
  <c r="CS1532" i="1"/>
  <c r="K1533" i="1"/>
  <c r="P1533" i="1"/>
  <c r="R1533" i="1"/>
  <c r="BL1533" i="1"/>
  <c r="BW1533" i="1"/>
  <c r="CH1533" i="1"/>
  <c r="CS1533" i="1"/>
  <c r="K1534" i="1"/>
  <c r="P1534" i="1"/>
  <c r="R1534" i="1"/>
  <c r="BL1534" i="1"/>
  <c r="BW1534" i="1"/>
  <c r="CH1534" i="1"/>
  <c r="CS1534" i="1"/>
  <c r="K1535" i="1"/>
  <c r="P1535" i="1"/>
  <c r="R1535" i="1"/>
  <c r="BL1535" i="1"/>
  <c r="BW1535" i="1"/>
  <c r="CH1535" i="1"/>
  <c r="CS1535" i="1"/>
  <c r="K1536" i="1"/>
  <c r="P1536" i="1"/>
  <c r="R1536" i="1"/>
  <c r="BL1536" i="1"/>
  <c r="BW1536" i="1"/>
  <c r="CH1536" i="1"/>
  <c r="CS1536" i="1"/>
  <c r="K1537" i="1"/>
  <c r="P1537" i="1"/>
  <c r="R1537" i="1"/>
  <c r="BL1537" i="1"/>
  <c r="BW1537" i="1"/>
  <c r="CH1537" i="1"/>
  <c r="CS1537" i="1"/>
  <c r="K1538" i="1"/>
  <c r="P1538" i="1"/>
  <c r="R1538" i="1"/>
  <c r="BL1538" i="1"/>
  <c r="BW1538" i="1"/>
  <c r="CH1538" i="1"/>
  <c r="CS1538" i="1"/>
  <c r="K1539" i="1"/>
  <c r="P1539" i="1"/>
  <c r="R1539" i="1"/>
  <c r="BL1539" i="1"/>
  <c r="BW1539" i="1"/>
  <c r="CH1539" i="1"/>
  <c r="CS1539" i="1"/>
  <c r="K1540" i="1"/>
  <c r="P1540" i="1"/>
  <c r="R1540" i="1"/>
  <c r="BL1540" i="1"/>
  <c r="BW1540" i="1"/>
  <c r="CH1540" i="1"/>
  <c r="CS1540" i="1"/>
  <c r="K1541" i="1"/>
  <c r="P1541" i="1"/>
  <c r="R1541" i="1"/>
  <c r="BL1541" i="1"/>
  <c r="BW1541" i="1"/>
  <c r="CH1541" i="1"/>
  <c r="CS1541" i="1"/>
  <c r="K1542" i="1"/>
  <c r="P1542" i="1"/>
  <c r="R1542" i="1"/>
  <c r="BL1542" i="1"/>
  <c r="BW1542" i="1"/>
  <c r="CH1542" i="1"/>
  <c r="CS1542" i="1"/>
  <c r="K1543" i="1"/>
  <c r="P1543" i="1"/>
  <c r="R1543" i="1"/>
  <c r="BL1543" i="1"/>
  <c r="BW1543" i="1"/>
  <c r="CH1543" i="1"/>
  <c r="CS1543" i="1"/>
  <c r="K1544" i="1"/>
  <c r="P1544" i="1"/>
  <c r="R1544" i="1"/>
  <c r="BL1544" i="1"/>
  <c r="BW1544" i="1"/>
  <c r="CH1544" i="1"/>
  <c r="CS1544" i="1"/>
  <c r="K1545" i="1"/>
  <c r="P1545" i="1"/>
  <c r="R1545" i="1"/>
  <c r="BL1545" i="1"/>
  <c r="BW1545" i="1"/>
  <c r="CH1545" i="1"/>
  <c r="CS1545" i="1"/>
  <c r="K1546" i="1"/>
  <c r="P1546" i="1"/>
  <c r="R1546" i="1"/>
  <c r="BL1546" i="1"/>
  <c r="BW1546" i="1"/>
  <c r="CH1546" i="1"/>
  <c r="CS1546" i="1"/>
  <c r="K1547" i="1"/>
  <c r="P1547" i="1"/>
  <c r="R1547" i="1"/>
  <c r="BL1547" i="1"/>
  <c r="BW1547" i="1"/>
  <c r="CH1547" i="1"/>
  <c r="CS1547" i="1"/>
  <c r="K1548" i="1"/>
  <c r="P1548" i="1"/>
  <c r="R1548" i="1"/>
  <c r="BL1548" i="1"/>
  <c r="BW1548" i="1"/>
  <c r="CH1548" i="1"/>
  <c r="CS1548" i="1"/>
  <c r="K1549" i="1"/>
  <c r="P1549" i="1"/>
  <c r="R1549" i="1"/>
  <c r="BL1549" i="1"/>
  <c r="BW1549" i="1"/>
  <c r="CH1549" i="1"/>
  <c r="CS1549" i="1"/>
  <c r="K1550" i="1"/>
  <c r="P1550" i="1"/>
  <c r="R1550" i="1"/>
  <c r="BL1550" i="1"/>
  <c r="BW1550" i="1"/>
  <c r="CH1550" i="1"/>
  <c r="CS1550" i="1"/>
  <c r="K1551" i="1"/>
  <c r="P1551" i="1"/>
  <c r="R1551" i="1"/>
  <c r="BL1551" i="1"/>
  <c r="BW1551" i="1"/>
  <c r="CH1551" i="1"/>
  <c r="CS1551" i="1"/>
  <c r="K1552" i="1"/>
  <c r="P1552" i="1"/>
  <c r="R1552" i="1"/>
  <c r="BL1552" i="1"/>
  <c r="BW1552" i="1"/>
  <c r="CH1552" i="1"/>
  <c r="CS1552" i="1"/>
  <c r="K1553" i="1"/>
  <c r="P1553" i="1"/>
  <c r="R1553" i="1"/>
  <c r="BL1553" i="1"/>
  <c r="BW1553" i="1"/>
  <c r="CH1553" i="1"/>
  <c r="CS1553" i="1"/>
  <c r="K1554" i="1"/>
  <c r="P1554" i="1"/>
  <c r="R1554" i="1"/>
  <c r="BL1554" i="1"/>
  <c r="BW1554" i="1"/>
  <c r="CH1554" i="1"/>
  <c r="CS1554" i="1"/>
  <c r="K1555" i="1"/>
  <c r="P1555" i="1"/>
  <c r="R1555" i="1"/>
  <c r="BL1555" i="1"/>
  <c r="BW1555" i="1"/>
  <c r="CH1555" i="1"/>
  <c r="CS1555" i="1"/>
  <c r="K1556" i="1"/>
  <c r="P1556" i="1"/>
  <c r="R1556" i="1"/>
  <c r="BL1556" i="1"/>
  <c r="BW1556" i="1"/>
  <c r="CH1556" i="1"/>
  <c r="CS1556" i="1"/>
  <c r="K1557" i="1"/>
  <c r="P1557" i="1"/>
  <c r="R1557" i="1"/>
  <c r="BL1557" i="1"/>
  <c r="BW1557" i="1"/>
  <c r="CH1557" i="1"/>
  <c r="CS1557" i="1"/>
  <c r="K1558" i="1"/>
  <c r="P1558" i="1"/>
  <c r="R1558" i="1"/>
  <c r="BL1558" i="1"/>
  <c r="BW1558" i="1"/>
  <c r="CH1558" i="1"/>
  <c r="CS1558" i="1"/>
  <c r="K1559" i="1"/>
  <c r="P1559" i="1"/>
  <c r="R1559" i="1"/>
  <c r="BL1559" i="1"/>
  <c r="BW1559" i="1"/>
  <c r="CH1559" i="1"/>
  <c r="CS1559" i="1"/>
  <c r="K1560" i="1"/>
  <c r="P1560" i="1"/>
  <c r="R1560" i="1"/>
  <c r="BL1560" i="1"/>
  <c r="BW1560" i="1"/>
  <c r="CH1560" i="1"/>
  <c r="CS1560" i="1"/>
  <c r="K1561" i="1"/>
  <c r="P1561" i="1"/>
  <c r="R1561" i="1"/>
  <c r="BL1561" i="1"/>
  <c r="BW1561" i="1"/>
  <c r="CH1561" i="1"/>
  <c r="CS1561" i="1"/>
  <c r="K1562" i="1"/>
  <c r="P1562" i="1"/>
  <c r="R1562" i="1"/>
  <c r="BL1562" i="1"/>
  <c r="BW1562" i="1"/>
  <c r="CH1562" i="1"/>
  <c r="CS1562" i="1"/>
  <c r="K1563" i="1"/>
  <c r="P1563" i="1"/>
  <c r="R1563" i="1"/>
  <c r="BL1563" i="1"/>
  <c r="BW1563" i="1"/>
  <c r="CH1563" i="1"/>
  <c r="CS1563" i="1"/>
  <c r="K1564" i="1"/>
  <c r="P1564" i="1"/>
  <c r="R1564" i="1"/>
  <c r="BL1564" i="1"/>
  <c r="BW1564" i="1"/>
  <c r="CH1564" i="1"/>
  <c r="CS1564" i="1"/>
  <c r="K1565" i="1"/>
  <c r="P1565" i="1"/>
  <c r="R1565" i="1"/>
  <c r="BL1565" i="1"/>
  <c r="BW1565" i="1"/>
  <c r="CH1565" i="1"/>
  <c r="CS1565" i="1"/>
  <c r="K1566" i="1"/>
  <c r="P1566" i="1"/>
  <c r="R1566" i="1"/>
  <c r="BL1566" i="1"/>
  <c r="BW1566" i="1"/>
  <c r="CH1566" i="1"/>
  <c r="CS1566" i="1"/>
  <c r="K1567" i="1"/>
  <c r="P1567" i="1"/>
  <c r="R1567" i="1"/>
  <c r="BL1567" i="1"/>
  <c r="BW1567" i="1"/>
  <c r="CH1567" i="1"/>
  <c r="CS1567" i="1"/>
  <c r="K1568" i="1"/>
  <c r="P1568" i="1"/>
  <c r="R1568" i="1"/>
  <c r="BL1568" i="1"/>
  <c r="BW1568" i="1"/>
  <c r="CH1568" i="1"/>
  <c r="CS1568" i="1"/>
  <c r="K1569" i="1"/>
  <c r="P1569" i="1"/>
  <c r="R1569" i="1"/>
  <c r="BL1569" i="1"/>
  <c r="BW1569" i="1"/>
  <c r="CH1569" i="1"/>
  <c r="CS1569" i="1"/>
  <c r="K1570" i="1"/>
  <c r="P1570" i="1"/>
  <c r="R1570" i="1"/>
  <c r="BL1570" i="1"/>
  <c r="BW1570" i="1"/>
  <c r="CH1570" i="1"/>
  <c r="CS1570" i="1"/>
  <c r="K1571" i="1"/>
  <c r="P1571" i="1"/>
  <c r="R1571" i="1"/>
  <c r="BL1571" i="1"/>
  <c r="BW1571" i="1"/>
  <c r="CH1571" i="1"/>
  <c r="CS1571" i="1"/>
  <c r="K1572" i="1"/>
  <c r="P1572" i="1"/>
  <c r="R1572" i="1"/>
  <c r="BL1572" i="1"/>
  <c r="BW1572" i="1"/>
  <c r="CH1572" i="1"/>
  <c r="CS1572" i="1"/>
  <c r="K1573" i="1"/>
  <c r="P1573" i="1"/>
  <c r="R1573" i="1"/>
  <c r="BL1573" i="1"/>
  <c r="BW1573" i="1"/>
  <c r="CH1573" i="1"/>
  <c r="CS1573" i="1"/>
  <c r="K1574" i="1"/>
  <c r="P1574" i="1"/>
  <c r="R1574" i="1"/>
  <c r="BL1574" i="1"/>
  <c r="BW1574" i="1"/>
  <c r="CH1574" i="1"/>
  <c r="CS1574" i="1"/>
  <c r="K1575" i="1"/>
  <c r="P1575" i="1"/>
  <c r="R1575" i="1"/>
  <c r="BL1575" i="1"/>
  <c r="BW1575" i="1"/>
  <c r="CH1575" i="1"/>
  <c r="CS1575" i="1"/>
  <c r="K1576" i="1"/>
  <c r="P1576" i="1"/>
  <c r="R1576" i="1"/>
  <c r="BL1576" i="1"/>
  <c r="BW1576" i="1"/>
  <c r="CH1576" i="1"/>
  <c r="CS1576" i="1"/>
  <c r="K1577" i="1"/>
  <c r="P1577" i="1"/>
  <c r="R1577" i="1"/>
  <c r="BL1577" i="1"/>
  <c r="BW1577" i="1"/>
  <c r="CH1577" i="1"/>
  <c r="CS1577" i="1"/>
  <c r="K1578" i="1"/>
  <c r="P1578" i="1"/>
  <c r="R1578" i="1"/>
  <c r="BL1578" i="1"/>
  <c r="BQ1578" i="1"/>
  <c r="BW1578" i="1"/>
  <c r="CH1578" i="1"/>
  <c r="CS1578" i="1"/>
  <c r="K1579" i="1"/>
  <c r="P1579" i="1"/>
  <c r="R1579" i="1"/>
  <c r="BL1579" i="1"/>
  <c r="BW1579" i="1"/>
  <c r="CH1579" i="1"/>
  <c r="CS1579" i="1"/>
  <c r="K1580" i="1"/>
  <c r="P1580" i="1"/>
  <c r="R1580" i="1"/>
  <c r="BL1580" i="1"/>
  <c r="BW1580" i="1"/>
  <c r="CH1580" i="1"/>
  <c r="CS1580" i="1"/>
  <c r="K1581" i="1"/>
  <c r="P1581" i="1"/>
  <c r="R1581" i="1"/>
  <c r="BL1581" i="1"/>
  <c r="BW1581" i="1"/>
  <c r="CH1581" i="1"/>
  <c r="CS1581" i="1"/>
  <c r="K1582" i="1"/>
  <c r="P1582" i="1"/>
  <c r="R1582" i="1"/>
  <c r="BL1582" i="1"/>
  <c r="BW1582" i="1"/>
  <c r="CH1582" i="1"/>
  <c r="CS1582" i="1"/>
  <c r="K1583" i="1"/>
  <c r="P1583" i="1"/>
  <c r="R1583" i="1"/>
  <c r="BL1583" i="1"/>
  <c r="BW1583" i="1"/>
  <c r="CH1583" i="1"/>
  <c r="CS1583" i="1"/>
  <c r="K1584" i="1"/>
  <c r="P1584" i="1"/>
  <c r="R1584" i="1"/>
  <c r="BL1584" i="1"/>
  <c r="BW1584" i="1"/>
  <c r="CH1584" i="1"/>
  <c r="CS1584" i="1"/>
  <c r="K1585" i="1"/>
  <c r="P1585" i="1"/>
  <c r="R1585" i="1"/>
  <c r="BL1585" i="1"/>
  <c r="BW1585" i="1"/>
  <c r="CH1585" i="1"/>
  <c r="CS1585" i="1"/>
  <c r="K1586" i="1"/>
  <c r="P1586" i="1"/>
  <c r="R1586" i="1"/>
  <c r="BL1586" i="1"/>
  <c r="BW1586" i="1"/>
  <c r="CH1586" i="1"/>
  <c r="CS1586" i="1"/>
  <c r="K1587" i="1"/>
  <c r="P1587" i="1"/>
  <c r="R1587" i="1"/>
  <c r="BL1587" i="1"/>
  <c r="BW1587" i="1"/>
  <c r="CH1587" i="1"/>
  <c r="CS1587" i="1"/>
  <c r="K1588" i="1"/>
  <c r="P1588" i="1"/>
  <c r="R1588" i="1"/>
  <c r="BL1588" i="1"/>
  <c r="BW1588" i="1"/>
  <c r="CH1588" i="1"/>
  <c r="CS1588" i="1"/>
  <c r="K1589" i="1"/>
  <c r="P1589" i="1"/>
  <c r="R1589" i="1"/>
  <c r="BL1589" i="1"/>
  <c r="BQ1589" i="1"/>
  <c r="BW1589" i="1"/>
  <c r="CH1589" i="1"/>
  <c r="CS1589" i="1"/>
  <c r="K1590" i="1"/>
  <c r="P1590" i="1"/>
  <c r="R1590" i="1"/>
  <c r="BL1590" i="1"/>
  <c r="BW1590" i="1"/>
  <c r="CH1590" i="1"/>
  <c r="CS1590" i="1"/>
  <c r="K1591" i="1"/>
  <c r="P1591" i="1"/>
  <c r="R1591" i="1"/>
  <c r="BL1591" i="1"/>
  <c r="BW1591" i="1"/>
  <c r="CH1591" i="1"/>
  <c r="CS1591" i="1"/>
  <c r="K1592" i="1"/>
  <c r="P1592" i="1"/>
  <c r="R1592" i="1"/>
  <c r="BL1592" i="1"/>
  <c r="BW1592" i="1"/>
  <c r="CH1592" i="1"/>
  <c r="CS1592" i="1"/>
  <c r="K1593" i="1"/>
  <c r="P1593" i="1"/>
  <c r="R1593" i="1"/>
  <c r="BL1593" i="1"/>
  <c r="BW1593" i="1"/>
  <c r="CH1593" i="1"/>
  <c r="CS1593" i="1"/>
  <c r="K1594" i="1"/>
  <c r="P1594" i="1"/>
  <c r="R1594" i="1"/>
  <c r="BL1594" i="1"/>
  <c r="BW1594" i="1"/>
  <c r="CH1594" i="1"/>
  <c r="CS1594" i="1"/>
  <c r="K1595" i="1"/>
  <c r="P1595" i="1"/>
  <c r="R1595" i="1"/>
  <c r="BL1595" i="1"/>
  <c r="BW1595" i="1"/>
  <c r="CH1595" i="1"/>
  <c r="CS1595" i="1"/>
  <c r="K1596" i="1"/>
  <c r="P1596" i="1"/>
  <c r="R1596" i="1"/>
  <c r="BL1596" i="1"/>
  <c r="BW1596" i="1"/>
  <c r="CH1596" i="1"/>
  <c r="CS1596" i="1"/>
  <c r="K1597" i="1"/>
  <c r="P1597" i="1"/>
  <c r="R1597" i="1"/>
  <c r="BL1597" i="1"/>
  <c r="BW1597" i="1"/>
  <c r="CH1597" i="1"/>
  <c r="CS1597" i="1"/>
  <c r="K1598" i="1"/>
  <c r="P1598" i="1"/>
  <c r="R1598" i="1"/>
  <c r="BL1598" i="1"/>
  <c r="BW1598" i="1"/>
  <c r="CH1598" i="1"/>
  <c r="CS1598" i="1"/>
  <c r="K1599" i="1"/>
  <c r="P1599" i="1"/>
  <c r="R1599" i="1"/>
  <c r="BL1599" i="1"/>
  <c r="BW1599" i="1"/>
  <c r="CH1599" i="1"/>
  <c r="CS1599" i="1"/>
  <c r="K1600" i="1"/>
  <c r="P1600" i="1"/>
  <c r="R1600" i="1"/>
  <c r="BL1600" i="1"/>
  <c r="BW1600" i="1"/>
  <c r="CH1600" i="1"/>
  <c r="CS1600" i="1"/>
  <c r="K1601" i="1"/>
  <c r="P1601" i="1"/>
  <c r="R1601" i="1"/>
  <c r="BL1601" i="1"/>
  <c r="BW1601" i="1"/>
  <c r="CH1601" i="1"/>
  <c r="CS1601" i="1"/>
  <c r="K1602" i="1"/>
  <c r="P1602" i="1"/>
  <c r="R1602" i="1"/>
  <c r="BL1602" i="1"/>
  <c r="BW1602" i="1"/>
  <c r="CH1602" i="1"/>
  <c r="CS1602" i="1"/>
  <c r="K1603" i="1"/>
  <c r="P1603" i="1"/>
  <c r="R1603" i="1"/>
  <c r="BL1603" i="1"/>
  <c r="BW1603" i="1"/>
  <c r="CH1603" i="1"/>
  <c r="CS1603" i="1"/>
  <c r="K1604" i="1"/>
  <c r="P1604" i="1"/>
  <c r="R1604" i="1"/>
  <c r="BL1604" i="1"/>
  <c r="BW1604" i="1"/>
  <c r="CH1604" i="1"/>
  <c r="CS1604" i="1"/>
  <c r="K1605" i="1"/>
  <c r="P1605" i="1"/>
  <c r="R1605" i="1"/>
  <c r="BL1605" i="1"/>
  <c r="BW1605" i="1"/>
  <c r="CH1605" i="1"/>
  <c r="CS1605" i="1"/>
  <c r="K1606" i="1"/>
  <c r="P1606" i="1"/>
  <c r="R1606" i="1"/>
  <c r="BL1606" i="1"/>
  <c r="BW1606" i="1"/>
  <c r="CH1606" i="1"/>
  <c r="CS1606" i="1"/>
  <c r="K1607" i="1"/>
  <c r="P1607" i="1"/>
  <c r="R1607" i="1"/>
  <c r="BL1607" i="1"/>
  <c r="BW1607" i="1"/>
  <c r="CH1607" i="1"/>
  <c r="CS1607" i="1"/>
  <c r="K1608" i="1"/>
  <c r="P1608" i="1"/>
  <c r="R1608" i="1"/>
  <c r="BL1608" i="1"/>
  <c r="BW1608" i="1"/>
  <c r="CH1608" i="1"/>
  <c r="CS1608" i="1"/>
  <c r="K1609" i="1"/>
  <c r="P1609" i="1"/>
  <c r="R1609" i="1"/>
  <c r="BL1609" i="1"/>
  <c r="BW1609" i="1"/>
  <c r="CH1609" i="1"/>
  <c r="CS1609" i="1"/>
  <c r="K1610" i="1"/>
  <c r="P1610" i="1"/>
  <c r="R1610" i="1"/>
  <c r="BL1610" i="1"/>
  <c r="BW1610" i="1"/>
  <c r="CH1610" i="1"/>
  <c r="CS1610" i="1"/>
  <c r="K1611" i="1"/>
  <c r="P1611" i="1"/>
  <c r="R1611" i="1"/>
  <c r="BL1611" i="1"/>
  <c r="BW1611" i="1"/>
  <c r="CH1611" i="1"/>
  <c r="CS1611" i="1"/>
  <c r="K1612" i="1"/>
  <c r="P1612" i="1"/>
  <c r="R1612" i="1"/>
  <c r="BL1612" i="1"/>
  <c r="BW1612" i="1"/>
  <c r="CH1612" i="1"/>
  <c r="CS1612" i="1"/>
  <c r="K1613" i="1"/>
  <c r="P1613" i="1"/>
  <c r="R1613" i="1"/>
  <c r="BL1613" i="1"/>
  <c r="BQ1613" i="1"/>
  <c r="BW1613" i="1"/>
  <c r="CH1613" i="1"/>
  <c r="CS1613" i="1"/>
  <c r="K1614" i="1"/>
  <c r="P1614" i="1"/>
  <c r="R1614" i="1"/>
  <c r="BL1614" i="1"/>
  <c r="BW1614" i="1"/>
  <c r="CH1614" i="1"/>
  <c r="CS1614" i="1"/>
  <c r="K1615" i="1"/>
  <c r="P1615" i="1"/>
  <c r="R1615" i="1"/>
  <c r="BL1615" i="1"/>
  <c r="BW1615" i="1"/>
  <c r="CH1615" i="1"/>
  <c r="CS1615" i="1"/>
  <c r="K1616" i="1"/>
  <c r="P1616" i="1"/>
  <c r="R1616" i="1"/>
  <c r="BL1616" i="1"/>
  <c r="BW1616" i="1"/>
  <c r="CH1616" i="1"/>
  <c r="CS1616" i="1"/>
  <c r="K1617" i="1"/>
  <c r="P1617" i="1"/>
  <c r="R1617" i="1"/>
  <c r="BL1617" i="1"/>
  <c r="BW1617" i="1"/>
  <c r="CH1617" i="1"/>
  <c r="CS1617" i="1"/>
  <c r="K1618" i="1"/>
  <c r="P1618" i="1"/>
  <c r="R1618" i="1"/>
  <c r="BL1618" i="1"/>
  <c r="BW1618" i="1"/>
  <c r="CH1618" i="1"/>
  <c r="CS1618" i="1"/>
  <c r="K1619" i="1"/>
  <c r="P1619" i="1"/>
  <c r="R1619" i="1"/>
  <c r="BL1619" i="1"/>
  <c r="BW1619" i="1"/>
  <c r="CH1619" i="1"/>
  <c r="CS1619" i="1"/>
  <c r="K1620" i="1"/>
  <c r="P1620" i="1"/>
  <c r="R1620" i="1"/>
  <c r="BL1620" i="1"/>
  <c r="BW1620" i="1"/>
  <c r="CH1620" i="1"/>
  <c r="CS1620" i="1"/>
  <c r="K1621" i="1"/>
  <c r="P1621" i="1"/>
  <c r="R1621" i="1"/>
  <c r="BL1621" i="1"/>
  <c r="BW1621" i="1"/>
  <c r="CH1621" i="1"/>
  <c r="CS1621" i="1"/>
  <c r="K1622" i="1"/>
  <c r="P1622" i="1"/>
  <c r="R1622" i="1"/>
  <c r="BL1622" i="1"/>
  <c r="BQ1622" i="1"/>
  <c r="BW1622" i="1"/>
  <c r="CH1622" i="1"/>
  <c r="CS1622" i="1"/>
  <c r="K1623" i="1"/>
  <c r="P1623" i="1"/>
  <c r="R1623" i="1"/>
  <c r="BL1623" i="1"/>
  <c r="BW1623" i="1"/>
  <c r="CH1623" i="1"/>
  <c r="CS1623" i="1"/>
  <c r="K1624" i="1"/>
  <c r="P1624" i="1"/>
  <c r="R1624" i="1"/>
  <c r="BL1624" i="1"/>
  <c r="BW1624" i="1"/>
  <c r="CH1624" i="1"/>
  <c r="CS1624" i="1"/>
  <c r="K1625" i="1"/>
  <c r="P1625" i="1"/>
  <c r="R1625" i="1"/>
  <c r="BL1625" i="1"/>
  <c r="BW1625" i="1"/>
  <c r="CH1625" i="1"/>
  <c r="CS1625" i="1"/>
  <c r="K1626" i="1"/>
  <c r="P1626" i="1"/>
  <c r="R1626" i="1"/>
  <c r="BL1626" i="1"/>
  <c r="BW1626" i="1"/>
  <c r="CH1626" i="1"/>
  <c r="CS1626" i="1"/>
  <c r="K1627" i="1"/>
  <c r="P1627" i="1"/>
  <c r="R1627" i="1"/>
  <c r="BL1627" i="1"/>
  <c r="BW1627" i="1"/>
  <c r="CH1627" i="1"/>
  <c r="CS1627" i="1"/>
  <c r="K1628" i="1"/>
  <c r="P1628" i="1"/>
  <c r="R1628" i="1"/>
  <c r="BL1628" i="1"/>
  <c r="BW1628" i="1"/>
  <c r="CH1628" i="1"/>
  <c r="CS1628" i="1"/>
  <c r="K1629" i="1"/>
  <c r="P1629" i="1"/>
  <c r="R1629" i="1"/>
  <c r="BL1629" i="1"/>
  <c r="BW1629" i="1"/>
  <c r="CH1629" i="1"/>
  <c r="CS1629" i="1"/>
  <c r="K1630" i="1"/>
  <c r="P1630" i="1"/>
  <c r="R1630" i="1"/>
  <c r="BL1630" i="1"/>
  <c r="BW1630" i="1"/>
  <c r="CH1630" i="1"/>
  <c r="CS1630" i="1"/>
  <c r="K1631" i="1"/>
  <c r="P1631" i="1"/>
  <c r="R1631" i="1"/>
  <c r="BL1631" i="1"/>
  <c r="BW1631" i="1"/>
  <c r="CH1631" i="1"/>
  <c r="CS1631" i="1"/>
  <c r="K1632" i="1"/>
  <c r="P1632" i="1"/>
  <c r="R1632" i="1"/>
  <c r="BL1632" i="1"/>
  <c r="BW1632" i="1"/>
  <c r="CH1632" i="1"/>
  <c r="CS1632" i="1"/>
  <c r="K1633" i="1"/>
  <c r="P1633" i="1"/>
  <c r="R1633" i="1"/>
  <c r="BL1633" i="1"/>
  <c r="BW1633" i="1"/>
  <c r="CH1633" i="1"/>
  <c r="CS1633" i="1"/>
  <c r="K1634" i="1"/>
  <c r="P1634" i="1"/>
  <c r="R1634" i="1"/>
  <c r="BL1634" i="1"/>
  <c r="BW1634" i="1"/>
  <c r="CH1634" i="1"/>
  <c r="CS1634" i="1"/>
  <c r="K1635" i="1"/>
  <c r="P1635" i="1"/>
  <c r="R1635" i="1"/>
  <c r="BL1635" i="1"/>
  <c r="BW1635" i="1"/>
  <c r="CH1635" i="1"/>
  <c r="CS1635" i="1"/>
  <c r="K1636" i="1"/>
  <c r="P1636" i="1"/>
  <c r="R1636" i="1"/>
  <c r="BL1636" i="1"/>
  <c r="BW1636" i="1"/>
  <c r="CH1636" i="1"/>
  <c r="CS1636" i="1"/>
  <c r="K1637" i="1"/>
  <c r="P1637" i="1"/>
  <c r="R1637" i="1"/>
  <c r="BL1637" i="1"/>
  <c r="BW1637" i="1"/>
  <c r="CH1637" i="1"/>
  <c r="CS1637" i="1"/>
  <c r="K1638" i="1"/>
  <c r="P1638" i="1"/>
  <c r="R1638" i="1"/>
  <c r="BL1638" i="1"/>
  <c r="BW1638" i="1"/>
  <c r="CH1638" i="1"/>
  <c r="CS1638" i="1"/>
  <c r="K1639" i="1"/>
  <c r="P1639" i="1"/>
  <c r="R1639" i="1"/>
  <c r="BL1639" i="1"/>
  <c r="BW1639" i="1"/>
  <c r="CH1639" i="1"/>
  <c r="CS1639" i="1"/>
  <c r="K1640" i="1"/>
  <c r="P1640" i="1"/>
  <c r="R1640" i="1"/>
  <c r="BL1640" i="1"/>
  <c r="BW1640" i="1"/>
  <c r="CH1640" i="1"/>
  <c r="CS1640" i="1"/>
  <c r="K1641" i="1"/>
  <c r="P1641" i="1"/>
  <c r="R1641" i="1"/>
  <c r="BL1641" i="1"/>
  <c r="BW1641" i="1"/>
  <c r="CH1641" i="1"/>
  <c r="CS1641" i="1"/>
  <c r="K1642" i="1"/>
  <c r="P1642" i="1"/>
  <c r="R1642" i="1"/>
  <c r="BL1642" i="1"/>
  <c r="BW1642" i="1"/>
  <c r="CH1642" i="1"/>
  <c r="CS1642" i="1"/>
  <c r="K1643" i="1"/>
  <c r="P1643" i="1"/>
  <c r="R1643" i="1"/>
  <c r="BL1643" i="1"/>
  <c r="BW1643" i="1"/>
  <c r="CH1643" i="1"/>
  <c r="CS1643" i="1"/>
  <c r="K1644" i="1"/>
  <c r="P1644" i="1"/>
  <c r="R1644" i="1"/>
  <c r="BL1644" i="1"/>
  <c r="BW1644" i="1"/>
  <c r="CH1644" i="1"/>
  <c r="CS1644" i="1"/>
  <c r="K1645" i="1"/>
  <c r="P1645" i="1"/>
  <c r="R1645" i="1"/>
  <c r="BL1645" i="1"/>
  <c r="BW1645" i="1"/>
  <c r="CH1645" i="1"/>
  <c r="CS1645" i="1"/>
  <c r="K1646" i="1"/>
  <c r="P1646" i="1"/>
  <c r="R1646" i="1"/>
  <c r="BL1646" i="1"/>
  <c r="BW1646" i="1"/>
  <c r="CH1646" i="1"/>
  <c r="CS1646" i="1"/>
  <c r="K1647" i="1"/>
  <c r="P1647" i="1"/>
  <c r="R1647" i="1"/>
  <c r="BL1647" i="1"/>
  <c r="BW1647" i="1"/>
  <c r="CH1647" i="1"/>
  <c r="CS1647" i="1"/>
  <c r="K1648" i="1"/>
  <c r="P1648" i="1"/>
  <c r="R1648" i="1"/>
  <c r="BL1648" i="1"/>
  <c r="BW1648" i="1"/>
  <c r="CH1648" i="1"/>
  <c r="CS1648" i="1"/>
  <c r="K1649" i="1"/>
  <c r="P1649" i="1"/>
  <c r="R1649" i="1"/>
  <c r="BL1649" i="1"/>
  <c r="BW1649" i="1"/>
  <c r="CH1649" i="1"/>
  <c r="CS1649" i="1"/>
  <c r="K1650" i="1"/>
  <c r="P1650" i="1"/>
  <c r="R1650" i="1"/>
  <c r="BL1650" i="1"/>
  <c r="BW1650" i="1"/>
  <c r="CH1650" i="1"/>
  <c r="CS1650" i="1"/>
  <c r="K1651" i="1"/>
  <c r="P1651" i="1"/>
  <c r="R1651" i="1"/>
  <c r="BL1651" i="1"/>
  <c r="BW1651" i="1"/>
  <c r="CH1651" i="1"/>
  <c r="CS1651" i="1"/>
  <c r="K1652" i="1"/>
  <c r="P1652" i="1"/>
  <c r="R1652" i="1"/>
  <c r="BL1652" i="1"/>
  <c r="BW1652" i="1"/>
  <c r="CH1652" i="1"/>
  <c r="CS1652" i="1"/>
  <c r="K1653" i="1"/>
  <c r="P1653" i="1"/>
  <c r="R1653" i="1"/>
  <c r="BL1653" i="1"/>
  <c r="BW1653" i="1"/>
  <c r="CH1653" i="1"/>
  <c r="CS1653" i="1"/>
  <c r="K1654" i="1"/>
  <c r="P1654" i="1"/>
  <c r="R1654" i="1"/>
  <c r="BL1654" i="1"/>
  <c r="BW1654" i="1"/>
  <c r="CH1654" i="1"/>
  <c r="CS1654" i="1"/>
  <c r="K1655" i="1"/>
  <c r="P1655" i="1"/>
  <c r="R1655" i="1"/>
  <c r="BL1655" i="1"/>
  <c r="BW1655" i="1"/>
  <c r="CH1655" i="1"/>
  <c r="CS1655" i="1"/>
  <c r="K1656" i="1"/>
  <c r="P1656" i="1"/>
  <c r="R1656" i="1"/>
  <c r="AM1656" i="1"/>
  <c r="BL1656" i="1"/>
  <c r="BW1656" i="1"/>
  <c r="CH1656" i="1"/>
  <c r="CS1656" i="1"/>
  <c r="K1657" i="1"/>
  <c r="P1657" i="1"/>
  <c r="R1657" i="1"/>
  <c r="BL1657" i="1"/>
  <c r="BW1657" i="1"/>
  <c r="CH1657" i="1"/>
  <c r="CS1657" i="1"/>
  <c r="K1658" i="1"/>
  <c r="P1658" i="1"/>
  <c r="R1658" i="1"/>
  <c r="BL1658" i="1"/>
  <c r="BW1658" i="1"/>
  <c r="CH1658" i="1"/>
  <c r="CS1658" i="1"/>
  <c r="K1659" i="1"/>
  <c r="P1659" i="1"/>
  <c r="R1659" i="1"/>
  <c r="BL1659" i="1"/>
  <c r="BW1659" i="1"/>
  <c r="CH1659" i="1"/>
  <c r="CS1659" i="1"/>
  <c r="K1660" i="1"/>
  <c r="P1660" i="1"/>
  <c r="R1660" i="1"/>
  <c r="BL1660" i="1"/>
  <c r="BW1660" i="1"/>
  <c r="CH1660" i="1"/>
  <c r="CS1660" i="1"/>
  <c r="K1661" i="1"/>
  <c r="P1661" i="1"/>
  <c r="R1661" i="1"/>
  <c r="BL1661" i="1"/>
  <c r="BW1661" i="1"/>
  <c r="CH1661" i="1"/>
  <c r="CS1661" i="1"/>
  <c r="K1662" i="1"/>
  <c r="P1662" i="1"/>
  <c r="R1662" i="1"/>
  <c r="BL1662" i="1"/>
  <c r="BW1662" i="1"/>
  <c r="CH1662" i="1"/>
  <c r="CS1662" i="1"/>
  <c r="K1663" i="1"/>
  <c r="P1663" i="1"/>
  <c r="R1663" i="1"/>
  <c r="BL1663" i="1"/>
  <c r="BW1663" i="1"/>
  <c r="CH1663" i="1"/>
  <c r="CS1663" i="1"/>
  <c r="K1664" i="1"/>
  <c r="P1664" i="1"/>
  <c r="R1664" i="1"/>
  <c r="BL1664" i="1"/>
  <c r="BW1664" i="1"/>
  <c r="CH1664" i="1"/>
  <c r="CS1664" i="1"/>
  <c r="K1665" i="1"/>
  <c r="P1665" i="1"/>
  <c r="R1665" i="1"/>
  <c r="BL1665" i="1"/>
  <c r="BW1665" i="1"/>
  <c r="CH1665" i="1"/>
  <c r="CS1665" i="1"/>
  <c r="K1666" i="1"/>
  <c r="P1666" i="1"/>
  <c r="R1666" i="1"/>
  <c r="BL1666" i="1"/>
  <c r="BW1666" i="1"/>
  <c r="CH1666" i="1"/>
  <c r="CS1666" i="1"/>
  <c r="K1667" i="1"/>
  <c r="P1667" i="1"/>
  <c r="R1667" i="1"/>
  <c r="BL1667" i="1"/>
  <c r="BQ1667" i="1"/>
  <c r="BW1667" i="1"/>
  <c r="CH1667" i="1"/>
  <c r="CS1667" i="1"/>
  <c r="K1668" i="1"/>
  <c r="P1668" i="1"/>
  <c r="R1668" i="1"/>
  <c r="BL1668" i="1"/>
  <c r="BW1668" i="1"/>
  <c r="CH1668" i="1"/>
  <c r="CS1668" i="1"/>
  <c r="K1669" i="1"/>
  <c r="P1669" i="1"/>
  <c r="R1669" i="1"/>
  <c r="BL1669" i="1"/>
  <c r="BW1669" i="1"/>
  <c r="CH1669" i="1"/>
  <c r="CS1669" i="1"/>
  <c r="K1670" i="1"/>
  <c r="P1670" i="1"/>
  <c r="R1670" i="1"/>
  <c r="BL1670" i="1"/>
  <c r="BW1670" i="1"/>
  <c r="CH1670" i="1"/>
  <c r="CS1670" i="1"/>
  <c r="K1671" i="1"/>
  <c r="P1671" i="1"/>
  <c r="R1671" i="1"/>
  <c r="BL1671" i="1"/>
  <c r="BW1671" i="1"/>
  <c r="CH1671" i="1"/>
  <c r="CS1671" i="1"/>
  <c r="K1672" i="1"/>
  <c r="P1672" i="1"/>
  <c r="R1672" i="1"/>
  <c r="BL1672" i="1"/>
  <c r="BW1672" i="1"/>
  <c r="CH1672" i="1"/>
  <c r="CS1672" i="1"/>
  <c r="K1673" i="1"/>
  <c r="P1673" i="1"/>
  <c r="R1673" i="1"/>
  <c r="BL1673" i="1"/>
  <c r="BW1673" i="1"/>
  <c r="CH1673" i="1"/>
  <c r="CS1673" i="1"/>
  <c r="K1674" i="1"/>
  <c r="P1674" i="1"/>
  <c r="R1674" i="1"/>
  <c r="BL1674" i="1"/>
  <c r="BW1674" i="1"/>
  <c r="CH1674" i="1"/>
  <c r="CS1674" i="1"/>
  <c r="K1675" i="1"/>
  <c r="P1675" i="1"/>
  <c r="R1675" i="1"/>
  <c r="BL1675" i="1"/>
  <c r="BW1675" i="1"/>
  <c r="CH1675" i="1"/>
  <c r="CS1675" i="1"/>
  <c r="K1676" i="1"/>
  <c r="P1676" i="1"/>
  <c r="R1676" i="1"/>
  <c r="BL1676" i="1"/>
  <c r="BW1676" i="1"/>
  <c r="CH1676" i="1"/>
  <c r="CS1676" i="1"/>
  <c r="K1677" i="1"/>
  <c r="P1677" i="1"/>
  <c r="R1677" i="1"/>
  <c r="BL1677" i="1"/>
  <c r="BW1677" i="1"/>
  <c r="CH1677" i="1"/>
  <c r="CS1677" i="1"/>
  <c r="K1678" i="1"/>
  <c r="P1678" i="1"/>
  <c r="R1678" i="1"/>
  <c r="BL1678" i="1"/>
  <c r="BW1678" i="1"/>
  <c r="CH1678" i="1"/>
  <c r="CS1678" i="1"/>
  <c r="K1679" i="1"/>
  <c r="P1679" i="1"/>
  <c r="R1679" i="1"/>
  <c r="BL1679" i="1"/>
  <c r="BW1679" i="1"/>
  <c r="CH1679" i="1"/>
  <c r="CS1679" i="1"/>
  <c r="K1680" i="1"/>
  <c r="P1680" i="1"/>
  <c r="R1680" i="1"/>
  <c r="BL1680" i="1"/>
  <c r="BW1680" i="1"/>
  <c r="CH1680" i="1"/>
  <c r="CS1680" i="1"/>
  <c r="K1681" i="1"/>
  <c r="P1681" i="1"/>
  <c r="R1681" i="1"/>
  <c r="BL1681" i="1"/>
  <c r="BW1681" i="1"/>
  <c r="CH1681" i="1"/>
  <c r="CS1681" i="1"/>
  <c r="K1682" i="1"/>
  <c r="P1682" i="1"/>
  <c r="R1682" i="1"/>
  <c r="BL1682" i="1"/>
  <c r="BW1682" i="1"/>
  <c r="CH1682" i="1"/>
  <c r="CS1682" i="1"/>
  <c r="K1683" i="1"/>
  <c r="P1683" i="1"/>
  <c r="R1683" i="1"/>
  <c r="BL1683" i="1"/>
  <c r="BW1683" i="1"/>
  <c r="CH1683" i="1"/>
  <c r="CS1683" i="1"/>
  <c r="K1684" i="1"/>
  <c r="P1684" i="1"/>
  <c r="R1684" i="1"/>
  <c r="BL1684" i="1"/>
  <c r="BW1684" i="1"/>
  <c r="CH1684" i="1"/>
  <c r="CS1684" i="1"/>
  <c r="K1685" i="1"/>
  <c r="P1685" i="1"/>
  <c r="R1685" i="1"/>
  <c r="BL1685" i="1"/>
  <c r="BW1685" i="1"/>
  <c r="CH1685" i="1"/>
  <c r="CS1685" i="1"/>
  <c r="K1686" i="1"/>
  <c r="P1686" i="1"/>
  <c r="R1686" i="1"/>
  <c r="BL1686" i="1"/>
  <c r="BW1686" i="1"/>
  <c r="CH1686" i="1"/>
  <c r="CS1686" i="1"/>
  <c r="K1687" i="1"/>
  <c r="P1687" i="1"/>
  <c r="R1687" i="1"/>
  <c r="BL1687" i="1"/>
  <c r="BW1687" i="1"/>
  <c r="CH1687" i="1"/>
  <c r="CS1687" i="1"/>
  <c r="K1688" i="1"/>
  <c r="P1688" i="1"/>
  <c r="R1688" i="1"/>
  <c r="BL1688" i="1"/>
  <c r="BW1688" i="1"/>
  <c r="CH1688" i="1"/>
  <c r="CS1688" i="1"/>
  <c r="K1689" i="1"/>
  <c r="P1689" i="1"/>
  <c r="R1689" i="1"/>
  <c r="BL1689" i="1"/>
  <c r="BW1689" i="1"/>
  <c r="CH1689" i="1"/>
  <c r="CS1689" i="1"/>
  <c r="K1690" i="1"/>
  <c r="P1690" i="1"/>
  <c r="R1690" i="1"/>
  <c r="BL1690" i="1"/>
  <c r="BW1690" i="1"/>
  <c r="CH1690" i="1"/>
  <c r="CS1690" i="1"/>
  <c r="K1691" i="1"/>
  <c r="P1691" i="1"/>
  <c r="R1691" i="1"/>
  <c r="BL1691" i="1"/>
  <c r="BW1691" i="1"/>
  <c r="CH1691" i="1"/>
  <c r="CS1691" i="1"/>
  <c r="K1692" i="1"/>
  <c r="P1692" i="1"/>
  <c r="R1692" i="1"/>
  <c r="BL1692" i="1"/>
  <c r="BW1692" i="1"/>
  <c r="CH1692" i="1"/>
  <c r="CS1692" i="1"/>
  <c r="K1693" i="1"/>
  <c r="P1693" i="1"/>
  <c r="R1693" i="1"/>
  <c r="BL1693" i="1"/>
  <c r="BW1693" i="1"/>
  <c r="CH1693" i="1"/>
  <c r="CS1693" i="1"/>
  <c r="K1694" i="1"/>
  <c r="P1694" i="1"/>
  <c r="R1694" i="1"/>
  <c r="BL1694" i="1"/>
  <c r="BW1694" i="1"/>
  <c r="CH1694" i="1"/>
  <c r="CS1694" i="1"/>
  <c r="K1695" i="1"/>
  <c r="P1695" i="1"/>
  <c r="R1695" i="1"/>
  <c r="BL1695" i="1"/>
  <c r="BW1695" i="1"/>
  <c r="CH1695" i="1"/>
  <c r="CS1695" i="1"/>
  <c r="K1696" i="1"/>
  <c r="P1696" i="1"/>
  <c r="R1696" i="1"/>
  <c r="BL1696" i="1"/>
  <c r="BW1696" i="1"/>
  <c r="CH1696" i="1"/>
  <c r="CS1696" i="1"/>
  <c r="K1697" i="1"/>
  <c r="P1697" i="1"/>
  <c r="R1697" i="1"/>
  <c r="BL1697" i="1"/>
  <c r="BW1697" i="1"/>
  <c r="CH1697" i="1"/>
  <c r="CS1697" i="1"/>
  <c r="K1698" i="1"/>
  <c r="P1698" i="1"/>
  <c r="R1698" i="1"/>
  <c r="BL1698" i="1"/>
  <c r="BW1698" i="1"/>
  <c r="CH1698" i="1"/>
  <c r="CS1698" i="1"/>
  <c r="K1699" i="1"/>
  <c r="P1699" i="1"/>
  <c r="R1699" i="1"/>
  <c r="BL1699" i="1"/>
  <c r="BW1699" i="1"/>
  <c r="CH1699" i="1"/>
  <c r="CS1699" i="1"/>
  <c r="K1700" i="1"/>
  <c r="P1700" i="1"/>
  <c r="R1700" i="1"/>
  <c r="BL1700" i="1"/>
  <c r="BW1700" i="1"/>
  <c r="CH1700" i="1"/>
  <c r="CS1700" i="1"/>
  <c r="K1701" i="1"/>
  <c r="P1701" i="1"/>
  <c r="R1701" i="1"/>
  <c r="BL1701" i="1"/>
  <c r="BW1701" i="1"/>
  <c r="CH1701" i="1"/>
  <c r="CS1701" i="1"/>
  <c r="K1702" i="1"/>
  <c r="P1702" i="1"/>
  <c r="R1702" i="1"/>
  <c r="BL1702" i="1"/>
  <c r="BW1702" i="1"/>
  <c r="CH1702" i="1"/>
  <c r="CS1702" i="1"/>
  <c r="K1703" i="1"/>
  <c r="P1703" i="1"/>
  <c r="R1703" i="1"/>
  <c r="BL1703" i="1"/>
  <c r="BW1703" i="1"/>
  <c r="CH1703" i="1"/>
  <c r="CS1703" i="1"/>
  <c r="K1704" i="1"/>
  <c r="P1704" i="1"/>
  <c r="R1704" i="1"/>
  <c r="BL1704" i="1"/>
  <c r="BW1704" i="1"/>
  <c r="CH1704" i="1"/>
  <c r="CS1704" i="1"/>
  <c r="K1705" i="1"/>
  <c r="P1705" i="1"/>
  <c r="R1705" i="1"/>
  <c r="BL1705" i="1"/>
  <c r="BW1705" i="1"/>
  <c r="CH1705" i="1"/>
  <c r="CS1705" i="1"/>
  <c r="K1706" i="1"/>
  <c r="P1706" i="1"/>
  <c r="R1706" i="1"/>
  <c r="BL1706" i="1"/>
  <c r="BW1706" i="1"/>
  <c r="CH1706" i="1"/>
  <c r="CS1706" i="1"/>
  <c r="K1707" i="1"/>
  <c r="P1707" i="1"/>
  <c r="R1707" i="1"/>
  <c r="BL1707" i="1"/>
  <c r="BW1707" i="1"/>
  <c r="CH1707" i="1"/>
  <c r="CS1707" i="1"/>
  <c r="K1708" i="1"/>
  <c r="P1708" i="1"/>
  <c r="R1708" i="1"/>
  <c r="BL1708" i="1"/>
  <c r="BW1708" i="1"/>
  <c r="CH1708" i="1"/>
  <c r="CS1708" i="1"/>
  <c r="K1709" i="1"/>
  <c r="P1709" i="1"/>
  <c r="R1709" i="1"/>
  <c r="BL1709" i="1"/>
  <c r="BW1709" i="1"/>
  <c r="CH1709" i="1"/>
  <c r="CS1709" i="1"/>
  <c r="K1710" i="1"/>
  <c r="P1710" i="1"/>
  <c r="R1710" i="1"/>
  <c r="BL1710" i="1"/>
  <c r="BW1710" i="1"/>
  <c r="CH1710" i="1"/>
  <c r="CS1710" i="1"/>
  <c r="K1711" i="1"/>
  <c r="P1711" i="1"/>
  <c r="R1711" i="1"/>
  <c r="BL1711" i="1"/>
  <c r="BW1711" i="1"/>
  <c r="CH1711" i="1"/>
  <c r="CS1711" i="1"/>
  <c r="K1712" i="1"/>
  <c r="P1712" i="1"/>
  <c r="R1712" i="1"/>
  <c r="BL1712" i="1"/>
  <c r="BW1712" i="1"/>
  <c r="CH1712" i="1"/>
  <c r="CS1712" i="1"/>
  <c r="K1713" i="1"/>
  <c r="P1713" i="1"/>
  <c r="R1713" i="1"/>
  <c r="BL1713" i="1"/>
  <c r="BW1713" i="1"/>
  <c r="CH1713" i="1"/>
  <c r="CS1713" i="1"/>
  <c r="K1714" i="1"/>
  <c r="P1714" i="1"/>
  <c r="R1714" i="1"/>
  <c r="BL1714" i="1"/>
  <c r="BW1714" i="1"/>
  <c r="CH1714" i="1"/>
  <c r="CS1714" i="1"/>
  <c r="K1715" i="1"/>
  <c r="P1715" i="1"/>
  <c r="R1715" i="1"/>
  <c r="BL1715" i="1"/>
  <c r="BW1715" i="1"/>
  <c r="CH1715" i="1"/>
  <c r="CS1715" i="1"/>
  <c r="K1716" i="1"/>
  <c r="P1716" i="1"/>
  <c r="R1716" i="1"/>
  <c r="BL1716" i="1"/>
  <c r="BW1716" i="1"/>
  <c r="CH1716" i="1"/>
  <c r="CS1716" i="1"/>
  <c r="K1717" i="1"/>
  <c r="P1717" i="1"/>
  <c r="R1717" i="1"/>
  <c r="BL1717" i="1"/>
  <c r="BW1717" i="1"/>
  <c r="CH1717" i="1"/>
  <c r="CS1717" i="1"/>
  <c r="K1718" i="1"/>
  <c r="P1718" i="1"/>
  <c r="R1718" i="1"/>
  <c r="BL1718" i="1"/>
  <c r="BW1718" i="1"/>
  <c r="CH1718" i="1"/>
  <c r="CS1718" i="1"/>
  <c r="K1719" i="1"/>
  <c r="P1719" i="1"/>
  <c r="R1719" i="1"/>
  <c r="BL1719" i="1"/>
  <c r="BW1719" i="1"/>
  <c r="CH1719" i="1"/>
  <c r="CS1719" i="1"/>
  <c r="K1720" i="1"/>
  <c r="P1720" i="1"/>
  <c r="R1720" i="1"/>
  <c r="BL1720" i="1"/>
  <c r="BW1720" i="1"/>
  <c r="CH1720" i="1"/>
  <c r="CS1720" i="1"/>
  <c r="K1721" i="1"/>
  <c r="P1721" i="1"/>
  <c r="R1721" i="1"/>
  <c r="BL1721" i="1"/>
  <c r="BW1721" i="1"/>
  <c r="CH1721" i="1"/>
  <c r="CS1721" i="1"/>
  <c r="K1722" i="1"/>
  <c r="P1722" i="1"/>
  <c r="R1722" i="1"/>
  <c r="BL1722" i="1"/>
  <c r="BW1722" i="1"/>
  <c r="CH1722" i="1"/>
  <c r="CS1722" i="1"/>
  <c r="K1723" i="1"/>
  <c r="P1723" i="1"/>
  <c r="R1723" i="1"/>
  <c r="BL1723" i="1"/>
  <c r="BW1723" i="1"/>
  <c r="CH1723" i="1"/>
  <c r="CS1723" i="1"/>
  <c r="K1724" i="1"/>
  <c r="P1724" i="1"/>
  <c r="R1724" i="1"/>
  <c r="BL1724" i="1"/>
  <c r="BW1724" i="1"/>
  <c r="CH1724" i="1"/>
  <c r="CS1724" i="1"/>
  <c r="K1725" i="1"/>
  <c r="P1725" i="1"/>
  <c r="R1725" i="1"/>
  <c r="BL1725" i="1"/>
  <c r="BW1725" i="1"/>
  <c r="CH1725" i="1"/>
  <c r="CS1725" i="1"/>
  <c r="K1726" i="1"/>
  <c r="P1726" i="1"/>
  <c r="R1726" i="1"/>
  <c r="BL1726" i="1"/>
  <c r="BW1726" i="1"/>
  <c r="CH1726" i="1"/>
  <c r="CS1726" i="1"/>
  <c r="K1727" i="1"/>
  <c r="P1727" i="1"/>
  <c r="R1727" i="1"/>
  <c r="BL1727" i="1"/>
  <c r="BW1727" i="1"/>
  <c r="CH1727" i="1"/>
  <c r="CS1727" i="1"/>
  <c r="K1728" i="1"/>
  <c r="P1728" i="1"/>
  <c r="R1728" i="1"/>
  <c r="BL1728" i="1"/>
  <c r="BW1728" i="1"/>
  <c r="CH1728" i="1"/>
  <c r="CS1728" i="1"/>
  <c r="K1729" i="1"/>
  <c r="P1729" i="1"/>
  <c r="R1729" i="1"/>
  <c r="BL1729" i="1"/>
  <c r="BW1729" i="1"/>
  <c r="CH1729" i="1"/>
  <c r="CS1729" i="1"/>
  <c r="K1730" i="1"/>
  <c r="P1730" i="1"/>
  <c r="R1730" i="1"/>
  <c r="BL1730" i="1"/>
  <c r="BW1730" i="1"/>
  <c r="CH1730" i="1"/>
  <c r="CS1730" i="1"/>
  <c r="K1731" i="1"/>
  <c r="P1731" i="1"/>
  <c r="R1731" i="1"/>
  <c r="BL1731" i="1"/>
  <c r="BW1731" i="1"/>
  <c r="CH1731" i="1"/>
  <c r="CS1731" i="1"/>
  <c r="K1732" i="1"/>
  <c r="P1732" i="1"/>
  <c r="R1732" i="1"/>
  <c r="BL1732" i="1"/>
  <c r="BW1732" i="1"/>
  <c r="CH1732" i="1"/>
  <c r="CS1732" i="1"/>
  <c r="K1733" i="1"/>
  <c r="P1733" i="1"/>
  <c r="R1733" i="1"/>
  <c r="BL1733" i="1"/>
  <c r="BW1733" i="1"/>
  <c r="CH1733" i="1"/>
  <c r="CS1733" i="1"/>
  <c r="K1734" i="1"/>
  <c r="P1734" i="1"/>
  <c r="R1734" i="1"/>
  <c r="BL1734" i="1"/>
  <c r="BW1734" i="1"/>
  <c r="CH1734" i="1"/>
  <c r="CS1734" i="1"/>
  <c r="K1735" i="1"/>
  <c r="P1735" i="1"/>
  <c r="R1735" i="1"/>
  <c r="BL1735" i="1"/>
  <c r="BW1735" i="1"/>
  <c r="CH1735" i="1"/>
  <c r="CS1735" i="1"/>
  <c r="K1736" i="1"/>
  <c r="P1736" i="1"/>
  <c r="R1736" i="1"/>
  <c r="BL1736" i="1"/>
  <c r="BW1736" i="1"/>
  <c r="CH1736" i="1"/>
  <c r="CS1736" i="1"/>
  <c r="K1737" i="1"/>
  <c r="P1737" i="1"/>
  <c r="R1737" i="1"/>
  <c r="BL1737" i="1"/>
  <c r="BW1737" i="1"/>
  <c r="CH1737" i="1"/>
  <c r="CS1737" i="1"/>
  <c r="K1738" i="1"/>
  <c r="P1738" i="1"/>
  <c r="R1738" i="1"/>
  <c r="BL1738" i="1"/>
  <c r="BW1738" i="1"/>
  <c r="CH1738" i="1"/>
  <c r="CS1738" i="1"/>
  <c r="K1739" i="1"/>
  <c r="P1739" i="1"/>
  <c r="R1739" i="1"/>
  <c r="BL1739" i="1"/>
  <c r="BW1739" i="1"/>
  <c r="CH1739" i="1"/>
  <c r="CS1739" i="1"/>
  <c r="K1740" i="1"/>
  <c r="P1740" i="1"/>
  <c r="R1740" i="1"/>
  <c r="BL1740" i="1"/>
  <c r="BW1740" i="1"/>
  <c r="CH1740" i="1"/>
  <c r="CS1740" i="1"/>
  <c r="K1741" i="1"/>
  <c r="P1741" i="1"/>
  <c r="R1741" i="1"/>
  <c r="BL1741" i="1"/>
  <c r="BW1741" i="1"/>
  <c r="CH1741" i="1"/>
  <c r="CS1741" i="1"/>
  <c r="K1742" i="1"/>
  <c r="P1742" i="1"/>
  <c r="R1742" i="1"/>
  <c r="BL1742" i="1"/>
  <c r="BW1742" i="1"/>
  <c r="CH1742" i="1"/>
  <c r="CS1742" i="1"/>
  <c r="K1743" i="1"/>
  <c r="P1743" i="1"/>
  <c r="R1743" i="1"/>
  <c r="BL1743" i="1"/>
  <c r="BW1743" i="1"/>
  <c r="CH1743" i="1"/>
  <c r="CS1743" i="1"/>
  <c r="K1744" i="1"/>
  <c r="P1744" i="1"/>
  <c r="R1744" i="1"/>
  <c r="BL1744" i="1"/>
  <c r="BW1744" i="1"/>
  <c r="CH1744" i="1"/>
  <c r="CS1744" i="1"/>
  <c r="K1745" i="1"/>
  <c r="P1745" i="1"/>
  <c r="R1745" i="1"/>
  <c r="BL1745" i="1"/>
  <c r="BW1745" i="1"/>
  <c r="CH1745" i="1"/>
  <c r="CS1745" i="1"/>
  <c r="K1746" i="1"/>
  <c r="P1746" i="1"/>
  <c r="R1746" i="1"/>
  <c r="BL1746" i="1"/>
  <c r="BW1746" i="1"/>
  <c r="CH1746" i="1"/>
  <c r="CS1746" i="1"/>
  <c r="K1747" i="1"/>
  <c r="P1747" i="1"/>
  <c r="R1747" i="1"/>
  <c r="BL1747" i="1"/>
  <c r="BW1747" i="1"/>
  <c r="CH1747" i="1"/>
  <c r="CS1747" i="1"/>
  <c r="K1748" i="1"/>
  <c r="P1748" i="1"/>
  <c r="R1748" i="1"/>
  <c r="BL1748" i="1"/>
  <c r="BW1748" i="1"/>
  <c r="CH1748" i="1"/>
  <c r="CS1748" i="1"/>
  <c r="K1749" i="1"/>
  <c r="P1749" i="1"/>
  <c r="R1749" i="1"/>
  <c r="BL1749" i="1"/>
  <c r="BW1749" i="1"/>
  <c r="CH1749" i="1"/>
  <c r="CS1749" i="1"/>
  <c r="K1750" i="1"/>
  <c r="P1750" i="1"/>
  <c r="R1750" i="1"/>
  <c r="BL1750" i="1"/>
  <c r="BW1750" i="1"/>
  <c r="CH1750" i="1"/>
  <c r="CS1750" i="1"/>
  <c r="K1751" i="1"/>
  <c r="P1751" i="1"/>
  <c r="R1751" i="1"/>
  <c r="BL1751" i="1"/>
  <c r="BQ1751" i="1"/>
  <c r="BW1751" i="1"/>
  <c r="CH1751" i="1"/>
  <c r="CS1751" i="1"/>
  <c r="K1752" i="1"/>
  <c r="P1752" i="1"/>
  <c r="R1752" i="1"/>
  <c r="BL1752" i="1"/>
  <c r="BW1752" i="1"/>
  <c r="CH1752" i="1"/>
  <c r="CS1752" i="1"/>
  <c r="K1753" i="1"/>
  <c r="P1753" i="1"/>
  <c r="R1753" i="1"/>
  <c r="BL1753" i="1"/>
  <c r="BW1753" i="1"/>
  <c r="CH1753" i="1"/>
  <c r="CS1753" i="1"/>
  <c r="K1754" i="1"/>
  <c r="P1754" i="1"/>
  <c r="R1754" i="1"/>
  <c r="BL1754" i="1"/>
  <c r="BW1754" i="1"/>
  <c r="CH1754" i="1"/>
  <c r="CS1754" i="1"/>
  <c r="K1755" i="1"/>
  <c r="P1755" i="1"/>
  <c r="R1755" i="1"/>
  <c r="BL1755" i="1"/>
  <c r="BW1755" i="1"/>
  <c r="CH1755" i="1"/>
  <c r="CS1755" i="1"/>
  <c r="K1756" i="1"/>
  <c r="P1756" i="1"/>
  <c r="R1756" i="1"/>
  <c r="BL1756" i="1"/>
  <c r="BW1756" i="1"/>
  <c r="CH1756" i="1"/>
  <c r="CS1756" i="1"/>
  <c r="K1757" i="1"/>
  <c r="P1757" i="1"/>
  <c r="R1757" i="1"/>
  <c r="BL1757" i="1"/>
  <c r="BW1757" i="1"/>
  <c r="CH1757" i="1"/>
  <c r="CS1757" i="1"/>
  <c r="K1758" i="1"/>
  <c r="P1758" i="1"/>
  <c r="R1758" i="1"/>
  <c r="BL1758" i="1"/>
  <c r="BW1758" i="1"/>
  <c r="CH1758" i="1"/>
  <c r="CS1758" i="1"/>
  <c r="K1759" i="1"/>
  <c r="P1759" i="1"/>
  <c r="R1759" i="1"/>
  <c r="BL1759" i="1"/>
  <c r="BW1759" i="1"/>
  <c r="CH1759" i="1"/>
  <c r="CS1759" i="1"/>
  <c r="K1760" i="1"/>
  <c r="P1760" i="1"/>
  <c r="R1760" i="1"/>
  <c r="BL1760" i="1"/>
  <c r="BW1760" i="1"/>
  <c r="CH1760" i="1"/>
  <c r="CS1760" i="1"/>
  <c r="K1761" i="1"/>
  <c r="P1761" i="1"/>
  <c r="R1761" i="1"/>
  <c r="BL1761" i="1"/>
  <c r="BW1761" i="1"/>
  <c r="CH1761" i="1"/>
  <c r="CS1761" i="1"/>
  <c r="K1762" i="1"/>
  <c r="P1762" i="1"/>
  <c r="R1762" i="1"/>
  <c r="BL1762" i="1"/>
  <c r="BW1762" i="1"/>
  <c r="CH1762" i="1"/>
  <c r="CS1762" i="1"/>
  <c r="K1763" i="1"/>
  <c r="P1763" i="1"/>
  <c r="R1763" i="1"/>
  <c r="BL1763" i="1"/>
  <c r="BW1763" i="1"/>
  <c r="CH1763" i="1"/>
  <c r="CS1763" i="1"/>
  <c r="K1764" i="1"/>
  <c r="P1764" i="1"/>
  <c r="R1764" i="1"/>
  <c r="BL1764" i="1"/>
  <c r="BW1764" i="1"/>
  <c r="CH1764" i="1"/>
  <c r="CS1764" i="1"/>
  <c r="K1765" i="1"/>
  <c r="P1765" i="1"/>
  <c r="R1765" i="1"/>
  <c r="BL1765" i="1"/>
  <c r="BW1765" i="1"/>
  <c r="CH1765" i="1"/>
  <c r="CS1765" i="1"/>
  <c r="K1766" i="1"/>
  <c r="P1766" i="1"/>
  <c r="R1766" i="1"/>
  <c r="BL1766" i="1"/>
  <c r="BW1766" i="1"/>
  <c r="CH1766" i="1"/>
  <c r="CS1766" i="1"/>
  <c r="K1767" i="1"/>
  <c r="P1767" i="1"/>
  <c r="R1767" i="1"/>
  <c r="BL1767" i="1"/>
  <c r="BW1767" i="1"/>
  <c r="CH1767" i="1"/>
  <c r="CS1767" i="1"/>
  <c r="K1768" i="1"/>
  <c r="P1768" i="1"/>
  <c r="R1768" i="1"/>
  <c r="BL1768" i="1"/>
  <c r="BW1768" i="1"/>
  <c r="CH1768" i="1"/>
  <c r="CS1768" i="1"/>
  <c r="K1769" i="1"/>
  <c r="P1769" i="1"/>
  <c r="R1769" i="1"/>
  <c r="BL1769" i="1"/>
  <c r="BW1769" i="1"/>
  <c r="CH1769" i="1"/>
  <c r="CS1769" i="1"/>
  <c r="K1770" i="1"/>
  <c r="P1770" i="1"/>
  <c r="R1770" i="1"/>
  <c r="BL1770" i="1"/>
  <c r="BW1770" i="1"/>
  <c r="CH1770" i="1"/>
  <c r="CS1770" i="1"/>
  <c r="K1771" i="1"/>
  <c r="P1771" i="1"/>
  <c r="R1771" i="1"/>
  <c r="BL1771" i="1"/>
  <c r="BW1771" i="1"/>
  <c r="CH1771" i="1"/>
  <c r="CS1771" i="1"/>
  <c r="K1772" i="1"/>
  <c r="P1772" i="1"/>
  <c r="R1772" i="1"/>
  <c r="BL1772" i="1"/>
  <c r="BW1772" i="1"/>
  <c r="CH1772" i="1"/>
  <c r="CS1772" i="1"/>
  <c r="K1773" i="1"/>
  <c r="P1773" i="1"/>
  <c r="R1773" i="1"/>
  <c r="BL1773" i="1"/>
  <c r="BW1773" i="1"/>
  <c r="CH1773" i="1"/>
  <c r="CS1773" i="1"/>
  <c r="K1774" i="1"/>
  <c r="P1774" i="1"/>
  <c r="R1774" i="1"/>
  <c r="BL1774" i="1"/>
  <c r="BW1774" i="1"/>
  <c r="CH1774" i="1"/>
  <c r="CS1774" i="1"/>
  <c r="K1775" i="1"/>
  <c r="P1775" i="1"/>
  <c r="R1775" i="1"/>
  <c r="BL1775" i="1"/>
  <c r="BW1775" i="1"/>
  <c r="CH1775" i="1"/>
  <c r="CS1775" i="1"/>
  <c r="K1776" i="1"/>
  <c r="P1776" i="1"/>
  <c r="R1776" i="1"/>
  <c r="BL1776" i="1"/>
  <c r="BW1776" i="1"/>
  <c r="CH1776" i="1"/>
  <c r="CS1776" i="1"/>
  <c r="K1777" i="1"/>
  <c r="P1777" i="1"/>
  <c r="R1777" i="1"/>
  <c r="BL1777" i="1"/>
  <c r="BW1777" i="1"/>
  <c r="CH1777" i="1"/>
  <c r="CS1777" i="1"/>
  <c r="K1778" i="1"/>
  <c r="P1778" i="1"/>
  <c r="R1778" i="1"/>
  <c r="BL1778" i="1"/>
  <c r="BW1778" i="1"/>
  <c r="CH1778" i="1"/>
  <c r="CS1778" i="1"/>
  <c r="K1779" i="1"/>
  <c r="P1779" i="1"/>
  <c r="R1779" i="1"/>
  <c r="BL1779" i="1"/>
  <c r="BW1779" i="1"/>
  <c r="CH1779" i="1"/>
  <c r="CS1779" i="1"/>
  <c r="K1780" i="1"/>
  <c r="P1780" i="1"/>
  <c r="R1780" i="1"/>
  <c r="BL1780" i="1"/>
  <c r="BW1780" i="1"/>
  <c r="CH1780" i="1"/>
  <c r="CS1780" i="1"/>
  <c r="K1781" i="1"/>
  <c r="P1781" i="1"/>
  <c r="R1781" i="1"/>
  <c r="BL1781" i="1"/>
  <c r="BW1781" i="1"/>
  <c r="CH1781" i="1"/>
  <c r="CS1781" i="1"/>
  <c r="K1782" i="1"/>
  <c r="P1782" i="1"/>
  <c r="R1782" i="1"/>
  <c r="BL1782" i="1"/>
  <c r="BW1782" i="1"/>
  <c r="CH1782" i="1"/>
  <c r="CS1782" i="1"/>
  <c r="K1783" i="1"/>
  <c r="P1783" i="1"/>
  <c r="R1783" i="1"/>
  <c r="BL1783" i="1"/>
  <c r="BW1783" i="1"/>
  <c r="CH1783" i="1"/>
  <c r="CS1783" i="1"/>
  <c r="K1784" i="1"/>
  <c r="P1784" i="1"/>
  <c r="R1784" i="1"/>
  <c r="BL1784" i="1"/>
  <c r="BW1784" i="1"/>
  <c r="CH1784" i="1"/>
  <c r="CS1784" i="1"/>
  <c r="K1785" i="1"/>
  <c r="P1785" i="1"/>
  <c r="R1785" i="1"/>
  <c r="BL1785" i="1"/>
  <c r="BW1785" i="1"/>
  <c r="CH1785" i="1"/>
  <c r="CS1785" i="1"/>
  <c r="K1786" i="1"/>
  <c r="P1786" i="1"/>
  <c r="R1786" i="1"/>
  <c r="BL1786" i="1"/>
  <c r="BW1786" i="1"/>
  <c r="CH1786" i="1"/>
  <c r="CS1786" i="1"/>
  <c r="K1787" i="1"/>
  <c r="P1787" i="1"/>
  <c r="R1787" i="1"/>
  <c r="BL1787" i="1"/>
  <c r="BW1787" i="1"/>
  <c r="CH1787" i="1"/>
  <c r="CS1787" i="1"/>
  <c r="K1788" i="1"/>
  <c r="P1788" i="1"/>
  <c r="R1788" i="1"/>
  <c r="BL1788" i="1"/>
  <c r="BW1788" i="1"/>
  <c r="CH1788" i="1"/>
  <c r="CS1788" i="1"/>
  <c r="K1789" i="1"/>
  <c r="P1789" i="1"/>
  <c r="R1789" i="1"/>
  <c r="BL1789" i="1"/>
  <c r="BW1789" i="1"/>
  <c r="CH1789" i="1"/>
  <c r="CS1789" i="1"/>
  <c r="K1790" i="1"/>
  <c r="P1790" i="1"/>
  <c r="R1790" i="1"/>
  <c r="BL1790" i="1"/>
  <c r="BW1790" i="1"/>
  <c r="CH1790" i="1"/>
  <c r="CS1790" i="1"/>
  <c r="K1791" i="1"/>
  <c r="P1791" i="1"/>
  <c r="R1791" i="1"/>
  <c r="BL1791" i="1"/>
  <c r="BW1791" i="1"/>
  <c r="CH1791" i="1"/>
  <c r="CS1791" i="1"/>
  <c r="K1792" i="1"/>
  <c r="P1792" i="1"/>
  <c r="R1792" i="1"/>
  <c r="BL1792" i="1"/>
  <c r="BW1792" i="1"/>
  <c r="CH1792" i="1"/>
  <c r="CS1792" i="1"/>
  <c r="K1793" i="1"/>
  <c r="P1793" i="1"/>
  <c r="R1793" i="1"/>
  <c r="BL1793" i="1"/>
  <c r="BW1793" i="1"/>
  <c r="CH1793" i="1"/>
  <c r="CS1793" i="1"/>
  <c r="K1794" i="1"/>
  <c r="P1794" i="1"/>
  <c r="R1794" i="1"/>
  <c r="BL1794" i="1"/>
  <c r="BW1794" i="1"/>
  <c r="CH1794" i="1"/>
  <c r="CS1794" i="1"/>
  <c r="K1795" i="1"/>
  <c r="P1795" i="1"/>
  <c r="R1795" i="1"/>
  <c r="BL1795" i="1"/>
  <c r="BW1795" i="1"/>
  <c r="CH1795" i="1"/>
  <c r="CS1795" i="1"/>
  <c r="K1796" i="1"/>
  <c r="P1796" i="1"/>
  <c r="R1796" i="1"/>
  <c r="BL1796" i="1"/>
  <c r="BQ1796" i="1"/>
  <c r="BW1796" i="1"/>
  <c r="CH1796" i="1"/>
  <c r="CS1796" i="1"/>
  <c r="K1797" i="1"/>
  <c r="P1797" i="1"/>
  <c r="R1797" i="1"/>
  <c r="BL1797" i="1"/>
  <c r="BW1797" i="1"/>
  <c r="CH1797" i="1"/>
  <c r="CS1797" i="1"/>
  <c r="K1798" i="1"/>
  <c r="P1798" i="1"/>
  <c r="R1798" i="1"/>
  <c r="BL1798" i="1"/>
  <c r="BW1798" i="1"/>
  <c r="CH1798" i="1"/>
  <c r="CS1798" i="1"/>
  <c r="K1799" i="1"/>
  <c r="P1799" i="1"/>
  <c r="R1799" i="1"/>
  <c r="BL1799" i="1"/>
  <c r="BW1799" i="1"/>
  <c r="CH1799" i="1"/>
  <c r="CS1799" i="1"/>
  <c r="K1800" i="1"/>
  <c r="P1800" i="1"/>
  <c r="R1800" i="1"/>
  <c r="BL1800" i="1"/>
  <c r="BW1800" i="1"/>
  <c r="CH1800" i="1"/>
  <c r="CS1800" i="1"/>
  <c r="K1801" i="1"/>
  <c r="P1801" i="1"/>
  <c r="R1801" i="1"/>
  <c r="BL1801" i="1"/>
  <c r="BW1801" i="1"/>
  <c r="CH1801" i="1"/>
  <c r="CS1801" i="1"/>
  <c r="K1802" i="1"/>
  <c r="P1802" i="1"/>
  <c r="R1802" i="1"/>
  <c r="BL1802" i="1"/>
  <c r="BW1802" i="1"/>
  <c r="CH1802" i="1"/>
  <c r="CS1802" i="1"/>
  <c r="K1803" i="1"/>
  <c r="P1803" i="1"/>
  <c r="R1803" i="1"/>
  <c r="BL1803" i="1"/>
  <c r="BW1803" i="1"/>
  <c r="CH1803" i="1"/>
  <c r="CS1803" i="1"/>
  <c r="K1804" i="1"/>
  <c r="P1804" i="1"/>
  <c r="R1804" i="1"/>
  <c r="BL1804" i="1"/>
  <c r="BW1804" i="1"/>
  <c r="CH1804" i="1"/>
  <c r="CS1804" i="1"/>
  <c r="K1805" i="1"/>
  <c r="P1805" i="1"/>
  <c r="R1805" i="1"/>
  <c r="BL1805" i="1"/>
  <c r="BW1805" i="1"/>
  <c r="CH1805" i="1"/>
  <c r="CS1805" i="1"/>
  <c r="K1806" i="1"/>
  <c r="P1806" i="1"/>
  <c r="R1806" i="1"/>
  <c r="BL1806" i="1"/>
  <c r="BW1806" i="1"/>
  <c r="CH1806" i="1"/>
  <c r="CS1806" i="1"/>
  <c r="K1807" i="1"/>
  <c r="P1807" i="1"/>
  <c r="R1807" i="1"/>
  <c r="BL1807" i="1"/>
  <c r="BW1807" i="1"/>
  <c r="CH1807" i="1"/>
  <c r="CS1807" i="1"/>
  <c r="K1808" i="1"/>
  <c r="P1808" i="1"/>
  <c r="R1808" i="1"/>
  <c r="BL1808" i="1"/>
  <c r="BW1808" i="1"/>
  <c r="CH1808" i="1"/>
  <c r="CS1808" i="1"/>
  <c r="K1809" i="1"/>
  <c r="P1809" i="1"/>
  <c r="R1809" i="1"/>
  <c r="BL1809" i="1"/>
  <c r="BW1809" i="1"/>
  <c r="CH1809" i="1"/>
  <c r="CS1809" i="1"/>
  <c r="K1810" i="1"/>
  <c r="P1810" i="1"/>
  <c r="R1810" i="1"/>
  <c r="BL1810" i="1"/>
  <c r="BW1810" i="1"/>
  <c r="CH1810" i="1"/>
  <c r="CS1810" i="1"/>
  <c r="K1811" i="1"/>
  <c r="P1811" i="1"/>
  <c r="R1811" i="1"/>
  <c r="BL1811" i="1"/>
  <c r="BW1811" i="1"/>
  <c r="CH1811" i="1"/>
  <c r="CS1811" i="1"/>
  <c r="K1812" i="1"/>
  <c r="P1812" i="1"/>
  <c r="R1812" i="1"/>
  <c r="BL1812" i="1"/>
  <c r="BW1812" i="1"/>
  <c r="CH1812" i="1"/>
  <c r="CS1812" i="1"/>
  <c r="K1813" i="1"/>
  <c r="P1813" i="1"/>
  <c r="R1813" i="1"/>
  <c r="BL1813" i="1"/>
  <c r="BW1813" i="1"/>
  <c r="CH1813" i="1"/>
  <c r="CS1813" i="1"/>
  <c r="K1814" i="1"/>
  <c r="P1814" i="1"/>
  <c r="R1814" i="1"/>
  <c r="BL1814" i="1"/>
  <c r="BW1814" i="1"/>
  <c r="CH1814" i="1"/>
  <c r="CS1814" i="1"/>
  <c r="K1815" i="1"/>
  <c r="P1815" i="1"/>
  <c r="R1815" i="1"/>
  <c r="BL1815" i="1"/>
  <c r="BW1815" i="1"/>
  <c r="CH1815" i="1"/>
  <c r="CS1815" i="1"/>
  <c r="K1816" i="1"/>
  <c r="P1816" i="1"/>
  <c r="R1816" i="1"/>
  <c r="BL1816" i="1"/>
  <c r="BW1816" i="1"/>
  <c r="CH1816" i="1"/>
  <c r="CS1816" i="1"/>
  <c r="K1817" i="1"/>
  <c r="P1817" i="1"/>
  <c r="R1817" i="1"/>
  <c r="BL1817" i="1"/>
  <c r="BW1817" i="1"/>
  <c r="CH1817" i="1"/>
  <c r="CS1817" i="1"/>
  <c r="K1818" i="1"/>
  <c r="P1818" i="1"/>
  <c r="R1818" i="1"/>
  <c r="BL1818" i="1"/>
  <c r="BW1818" i="1"/>
  <c r="CH1818" i="1"/>
  <c r="CS1818" i="1"/>
  <c r="K1819" i="1"/>
  <c r="P1819" i="1"/>
  <c r="R1819" i="1"/>
  <c r="BL1819" i="1"/>
  <c r="BW1819" i="1"/>
  <c r="CH1819" i="1"/>
  <c r="CS1819" i="1"/>
  <c r="K1820" i="1"/>
  <c r="P1820" i="1"/>
  <c r="R1820" i="1"/>
  <c r="BL1820" i="1"/>
  <c r="BW1820" i="1"/>
  <c r="CH1820" i="1"/>
  <c r="CS1820" i="1"/>
  <c r="K1821" i="1"/>
  <c r="P1821" i="1"/>
  <c r="R1821" i="1"/>
  <c r="BL1821" i="1"/>
  <c r="BW1821" i="1"/>
  <c r="CH1821" i="1"/>
  <c r="CS1821" i="1"/>
  <c r="K1822" i="1"/>
  <c r="P1822" i="1"/>
  <c r="R1822" i="1"/>
  <c r="BL1822" i="1"/>
  <c r="BW1822" i="1"/>
  <c r="CH1822" i="1"/>
  <c r="CS1822" i="1"/>
  <c r="K1823" i="1"/>
  <c r="P1823" i="1"/>
  <c r="R1823" i="1"/>
  <c r="BL1823" i="1"/>
  <c r="BW1823" i="1"/>
  <c r="CH1823" i="1"/>
  <c r="CS1823" i="1"/>
  <c r="K1824" i="1"/>
  <c r="P1824" i="1"/>
  <c r="R1824" i="1"/>
  <c r="BL1824" i="1"/>
  <c r="BW1824" i="1"/>
  <c r="CH1824" i="1"/>
  <c r="CS1824" i="1"/>
  <c r="K1825" i="1"/>
  <c r="P1825" i="1"/>
  <c r="R1825" i="1"/>
  <c r="BL1825" i="1"/>
  <c r="BW1825" i="1"/>
  <c r="CH1825" i="1"/>
  <c r="CS1825" i="1"/>
  <c r="K1826" i="1"/>
  <c r="P1826" i="1"/>
  <c r="R1826" i="1"/>
  <c r="BL1826" i="1"/>
  <c r="BW1826" i="1"/>
  <c r="CH1826" i="1"/>
  <c r="CS1826" i="1"/>
  <c r="K1827" i="1"/>
  <c r="P1827" i="1"/>
  <c r="R1827" i="1"/>
  <c r="BL1827" i="1"/>
  <c r="BW1827" i="1"/>
  <c r="CH1827" i="1"/>
  <c r="CS1827" i="1"/>
  <c r="K1828" i="1"/>
  <c r="P1828" i="1"/>
  <c r="R1828" i="1"/>
  <c r="BL1828" i="1"/>
  <c r="BW1828" i="1"/>
  <c r="CH1828" i="1"/>
  <c r="CS1828" i="1"/>
  <c r="K1829" i="1"/>
  <c r="P1829" i="1"/>
  <c r="R1829" i="1"/>
  <c r="BL1829" i="1"/>
  <c r="BW1829" i="1"/>
  <c r="CH1829" i="1"/>
  <c r="CS1829" i="1"/>
  <c r="K1830" i="1"/>
  <c r="P1830" i="1"/>
  <c r="R1830" i="1"/>
  <c r="BL1830" i="1"/>
  <c r="BW1830" i="1"/>
  <c r="CH1830" i="1"/>
  <c r="CS1830" i="1"/>
  <c r="K1831" i="1"/>
  <c r="P1831" i="1"/>
  <c r="R1831" i="1"/>
  <c r="BL1831" i="1"/>
  <c r="BW1831" i="1"/>
  <c r="CH1831" i="1"/>
  <c r="CS1831" i="1"/>
  <c r="K1832" i="1"/>
  <c r="P1832" i="1"/>
  <c r="R1832" i="1"/>
  <c r="BL1832" i="1"/>
  <c r="BW1832" i="1"/>
  <c r="CH1832" i="1"/>
  <c r="CS1832" i="1"/>
  <c r="K1833" i="1"/>
  <c r="P1833" i="1"/>
  <c r="R1833" i="1"/>
  <c r="BL1833" i="1"/>
  <c r="BW1833" i="1"/>
  <c r="CH1833" i="1"/>
  <c r="CS1833" i="1"/>
  <c r="K1834" i="1"/>
  <c r="P1834" i="1"/>
  <c r="R1834" i="1"/>
  <c r="BL1834" i="1"/>
  <c r="BW1834" i="1"/>
  <c r="CH1834" i="1"/>
  <c r="CS1834" i="1"/>
  <c r="K1835" i="1"/>
  <c r="P1835" i="1"/>
  <c r="R1835" i="1"/>
  <c r="BL1835" i="1"/>
  <c r="BW1835" i="1"/>
  <c r="CH1835" i="1"/>
  <c r="CS1835" i="1"/>
  <c r="K1836" i="1"/>
  <c r="P1836" i="1"/>
  <c r="R1836" i="1"/>
  <c r="BL1836" i="1"/>
  <c r="BW1836" i="1"/>
  <c r="CH1836" i="1"/>
  <c r="CS1836" i="1"/>
  <c r="K1837" i="1"/>
  <c r="P1837" i="1"/>
  <c r="R1837" i="1"/>
  <c r="BL1837" i="1"/>
  <c r="BW1837" i="1"/>
  <c r="CH1837" i="1"/>
  <c r="CS1837" i="1"/>
  <c r="K1838" i="1"/>
  <c r="P1838" i="1"/>
  <c r="R1838" i="1"/>
  <c r="BL1838" i="1"/>
  <c r="BW1838" i="1"/>
  <c r="CH1838" i="1"/>
  <c r="CS1838" i="1"/>
  <c r="K1839" i="1"/>
  <c r="P1839" i="1"/>
  <c r="R1839" i="1"/>
  <c r="BL1839" i="1"/>
  <c r="BW1839" i="1"/>
  <c r="CH1839" i="1"/>
  <c r="CS1839" i="1"/>
  <c r="K1840" i="1"/>
  <c r="P1840" i="1"/>
  <c r="R1840" i="1"/>
  <c r="BL1840" i="1"/>
  <c r="BW1840" i="1"/>
  <c r="CH1840" i="1"/>
  <c r="CS1840" i="1"/>
  <c r="K1841" i="1"/>
  <c r="P1841" i="1"/>
  <c r="R1841" i="1"/>
  <c r="BL1841" i="1"/>
  <c r="BW1841" i="1"/>
  <c r="CH1841" i="1"/>
  <c r="CS1841" i="1"/>
  <c r="K1842" i="1"/>
  <c r="P1842" i="1"/>
  <c r="R1842" i="1"/>
  <c r="BL1842" i="1"/>
  <c r="BW1842" i="1"/>
  <c r="CH1842" i="1"/>
  <c r="CS1842" i="1"/>
  <c r="K1843" i="1"/>
  <c r="P1843" i="1"/>
  <c r="R1843" i="1"/>
  <c r="BL1843" i="1"/>
  <c r="BW1843" i="1"/>
  <c r="CH1843" i="1"/>
  <c r="CS1843" i="1"/>
  <c r="K1844" i="1"/>
  <c r="P1844" i="1"/>
  <c r="R1844" i="1"/>
  <c r="BL1844" i="1"/>
  <c r="BW1844" i="1"/>
  <c r="CH1844" i="1"/>
  <c r="CS1844" i="1"/>
  <c r="K1845" i="1"/>
  <c r="P1845" i="1"/>
  <c r="R1845" i="1"/>
  <c r="BL1845" i="1"/>
  <c r="BW1845" i="1"/>
  <c r="CH1845" i="1"/>
  <c r="CS1845" i="1"/>
  <c r="K1846" i="1"/>
  <c r="P1846" i="1"/>
  <c r="R1846" i="1"/>
  <c r="BL1846" i="1"/>
  <c r="BW1846" i="1"/>
  <c r="CH1846" i="1"/>
  <c r="CS1846" i="1"/>
  <c r="K1847" i="1"/>
  <c r="P1847" i="1"/>
  <c r="R1847" i="1"/>
  <c r="BL1847" i="1"/>
  <c r="BW1847" i="1"/>
  <c r="CH1847" i="1"/>
  <c r="CS1847" i="1"/>
  <c r="K1848" i="1"/>
  <c r="P1848" i="1"/>
  <c r="R1848" i="1"/>
  <c r="BL1848" i="1"/>
  <c r="BW1848" i="1"/>
  <c r="CH1848" i="1"/>
  <c r="CS1848" i="1"/>
  <c r="K1849" i="1"/>
  <c r="P1849" i="1"/>
  <c r="R1849" i="1"/>
  <c r="BL1849" i="1"/>
  <c r="BW1849" i="1"/>
  <c r="CH1849" i="1"/>
  <c r="CS1849" i="1"/>
  <c r="K1850" i="1"/>
  <c r="P1850" i="1"/>
  <c r="R1850" i="1"/>
  <c r="BL1850" i="1"/>
  <c r="BW1850" i="1"/>
  <c r="CH1850" i="1"/>
  <c r="CS1850" i="1"/>
  <c r="K1851" i="1"/>
  <c r="P1851" i="1"/>
  <c r="R1851" i="1"/>
  <c r="BL1851" i="1"/>
  <c r="BW1851" i="1"/>
  <c r="CH1851" i="1"/>
  <c r="CS1851" i="1"/>
  <c r="K1852" i="1"/>
  <c r="P1852" i="1"/>
  <c r="R1852" i="1"/>
  <c r="BL1852" i="1"/>
  <c r="BW1852" i="1"/>
  <c r="CH1852" i="1"/>
  <c r="CS1852" i="1"/>
  <c r="K1853" i="1"/>
  <c r="P1853" i="1"/>
  <c r="R1853" i="1"/>
  <c r="BL1853" i="1"/>
  <c r="BW1853" i="1"/>
  <c r="CH1853" i="1"/>
  <c r="CS1853" i="1"/>
  <c r="K1854" i="1"/>
  <c r="P1854" i="1"/>
  <c r="R1854" i="1"/>
  <c r="BL1854" i="1"/>
  <c r="BW1854" i="1"/>
  <c r="CH1854" i="1"/>
  <c r="CS1854" i="1"/>
  <c r="K1855" i="1"/>
  <c r="P1855" i="1"/>
  <c r="R1855" i="1"/>
  <c r="BL1855" i="1"/>
  <c r="BW1855" i="1"/>
  <c r="CH1855" i="1"/>
  <c r="CS1855" i="1"/>
  <c r="K1856" i="1"/>
  <c r="P1856" i="1"/>
  <c r="R1856" i="1"/>
  <c r="BL1856" i="1"/>
  <c r="BW1856" i="1"/>
  <c r="CH1856" i="1"/>
  <c r="CS1856" i="1"/>
  <c r="K1857" i="1"/>
  <c r="P1857" i="1"/>
  <c r="R1857" i="1"/>
  <c r="BL1857" i="1"/>
  <c r="BW1857" i="1"/>
  <c r="CH1857" i="1"/>
  <c r="CS1857" i="1"/>
  <c r="K1858" i="1"/>
  <c r="P1858" i="1"/>
  <c r="R1858" i="1"/>
  <c r="BL1858" i="1"/>
  <c r="BW1858" i="1"/>
  <c r="CH1858" i="1"/>
  <c r="CS1858" i="1"/>
  <c r="K1859" i="1"/>
  <c r="P1859" i="1"/>
  <c r="R1859" i="1"/>
  <c r="BL1859" i="1"/>
  <c r="BW1859" i="1"/>
  <c r="CH1859" i="1"/>
  <c r="CS1859" i="1"/>
  <c r="K1860" i="1"/>
  <c r="P1860" i="1"/>
  <c r="R1860" i="1"/>
  <c r="BL1860" i="1"/>
  <c r="BW1860" i="1"/>
  <c r="CH1860" i="1"/>
  <c r="CS1860" i="1"/>
  <c r="K1861" i="1"/>
  <c r="P1861" i="1"/>
  <c r="R1861" i="1"/>
  <c r="BL1861" i="1"/>
  <c r="BW1861" i="1"/>
  <c r="CH1861" i="1"/>
  <c r="CS1861" i="1"/>
  <c r="K1862" i="1"/>
  <c r="P1862" i="1"/>
  <c r="R1862" i="1"/>
  <c r="BL1862" i="1"/>
  <c r="BW1862" i="1"/>
  <c r="CH1862" i="1"/>
  <c r="CS1862" i="1"/>
  <c r="K1863" i="1"/>
  <c r="P1863" i="1"/>
  <c r="R1863" i="1"/>
  <c r="BL1863" i="1"/>
  <c r="BW1863" i="1"/>
  <c r="CH1863" i="1"/>
  <c r="CS1863" i="1"/>
  <c r="K1864" i="1"/>
  <c r="P1864" i="1"/>
  <c r="R1864" i="1"/>
  <c r="BL1864" i="1"/>
  <c r="BW1864" i="1"/>
  <c r="CH1864" i="1"/>
  <c r="CS1864" i="1"/>
  <c r="K1865" i="1"/>
  <c r="P1865" i="1"/>
  <c r="R1865" i="1"/>
  <c r="BL1865" i="1"/>
  <c r="BW1865" i="1"/>
  <c r="CH1865" i="1"/>
  <c r="CS1865" i="1"/>
  <c r="K1866" i="1"/>
  <c r="P1866" i="1"/>
  <c r="R1866" i="1"/>
  <c r="BL1866" i="1"/>
  <c r="BW1866" i="1"/>
  <c r="CH1866" i="1"/>
  <c r="CS1866" i="1"/>
  <c r="K1867" i="1"/>
  <c r="P1867" i="1"/>
  <c r="R1867" i="1"/>
  <c r="BL1867" i="1"/>
  <c r="BW1867" i="1"/>
  <c r="CH1867" i="1"/>
  <c r="CS1867" i="1"/>
  <c r="K1868" i="1"/>
  <c r="P1868" i="1"/>
  <c r="R1868" i="1"/>
  <c r="BL1868" i="1"/>
  <c r="BW1868" i="1"/>
  <c r="CH1868" i="1"/>
  <c r="CS1868" i="1"/>
  <c r="K1869" i="1"/>
  <c r="P1869" i="1"/>
  <c r="R1869" i="1"/>
  <c r="BL1869" i="1"/>
  <c r="BW1869" i="1"/>
  <c r="CH1869" i="1"/>
  <c r="CS1869" i="1"/>
  <c r="K1870" i="1"/>
  <c r="P1870" i="1"/>
  <c r="R1870" i="1"/>
  <c r="BL1870" i="1"/>
  <c r="BW1870" i="1"/>
  <c r="CH1870" i="1"/>
  <c r="CS1870" i="1"/>
  <c r="K1871" i="1"/>
  <c r="P1871" i="1"/>
  <c r="R1871" i="1"/>
  <c r="BL1871" i="1"/>
  <c r="BW1871" i="1"/>
  <c r="CH1871" i="1"/>
  <c r="CS1871" i="1"/>
  <c r="K1872" i="1"/>
  <c r="P1872" i="1"/>
  <c r="R1872" i="1"/>
  <c r="BL1872" i="1"/>
  <c r="BW1872" i="1"/>
  <c r="CH1872" i="1"/>
  <c r="CS1872" i="1"/>
  <c r="K1873" i="1"/>
  <c r="P1873" i="1"/>
  <c r="R1873" i="1"/>
  <c r="BL1873" i="1"/>
  <c r="BW1873" i="1"/>
  <c r="CH1873" i="1"/>
  <c r="CS1873" i="1"/>
  <c r="K1874" i="1"/>
  <c r="P1874" i="1"/>
  <c r="R1874" i="1"/>
  <c r="BL1874" i="1"/>
  <c r="BW1874" i="1"/>
  <c r="CH1874" i="1"/>
  <c r="CS1874" i="1"/>
  <c r="K1875" i="1"/>
  <c r="P1875" i="1"/>
  <c r="R1875" i="1"/>
  <c r="BL1875" i="1"/>
  <c r="BW1875" i="1"/>
  <c r="CH1875" i="1"/>
  <c r="CS1875" i="1"/>
  <c r="K1876" i="1"/>
  <c r="P1876" i="1"/>
  <c r="R1876" i="1"/>
  <c r="BL1876" i="1"/>
  <c r="BW1876" i="1"/>
  <c r="CH1876" i="1"/>
  <c r="CS1876" i="1"/>
  <c r="K1877" i="1"/>
  <c r="P1877" i="1"/>
  <c r="R1877" i="1"/>
  <c r="BL1877" i="1"/>
  <c r="BW1877" i="1"/>
  <c r="CH1877" i="1"/>
  <c r="CS1877" i="1"/>
  <c r="K1878" i="1"/>
  <c r="P1878" i="1"/>
  <c r="R1878" i="1"/>
  <c r="BL1878" i="1"/>
  <c r="BW1878" i="1"/>
  <c r="CH1878" i="1"/>
  <c r="CS1878" i="1"/>
  <c r="K1879" i="1"/>
  <c r="P1879" i="1"/>
  <c r="R1879" i="1"/>
  <c r="BL1879" i="1"/>
  <c r="BW1879" i="1"/>
  <c r="CH1879" i="1"/>
  <c r="CS1879" i="1"/>
  <c r="K1880" i="1"/>
  <c r="P1880" i="1"/>
  <c r="R1880" i="1"/>
  <c r="BL1880" i="1"/>
  <c r="BW1880" i="1"/>
  <c r="CH1880" i="1"/>
  <c r="CS1880" i="1"/>
  <c r="K1881" i="1"/>
  <c r="P1881" i="1"/>
  <c r="R1881" i="1"/>
  <c r="BL1881" i="1"/>
  <c r="BW1881" i="1"/>
  <c r="CH1881" i="1"/>
  <c r="CS1881" i="1"/>
  <c r="K1882" i="1"/>
  <c r="P1882" i="1"/>
  <c r="R1882" i="1"/>
  <c r="BL1882" i="1"/>
  <c r="BW1882" i="1"/>
  <c r="CH1882" i="1"/>
  <c r="CS1882" i="1"/>
  <c r="K1883" i="1"/>
  <c r="P1883" i="1"/>
  <c r="R1883" i="1"/>
  <c r="BL1883" i="1"/>
  <c r="BW1883" i="1"/>
  <c r="CH1883" i="1"/>
  <c r="CS1883" i="1"/>
  <c r="K1884" i="1"/>
  <c r="P1884" i="1"/>
  <c r="R1884" i="1"/>
  <c r="BL1884" i="1"/>
  <c r="BW1884" i="1"/>
  <c r="CH1884" i="1"/>
  <c r="CS1884" i="1"/>
  <c r="K1885" i="1"/>
  <c r="P1885" i="1"/>
  <c r="R1885" i="1"/>
  <c r="BL1885" i="1"/>
  <c r="BW1885" i="1"/>
  <c r="CH1885" i="1"/>
  <c r="CS1885" i="1"/>
  <c r="K1886" i="1"/>
  <c r="P1886" i="1"/>
  <c r="R1886" i="1"/>
  <c r="BL1886" i="1"/>
  <c r="BW1886" i="1"/>
  <c r="CH1886" i="1"/>
  <c r="CS1886" i="1"/>
  <c r="K1887" i="1"/>
  <c r="P1887" i="1"/>
  <c r="R1887" i="1"/>
  <c r="BL1887" i="1"/>
  <c r="BW1887" i="1"/>
  <c r="CH1887" i="1"/>
  <c r="CS1887" i="1"/>
  <c r="K1888" i="1"/>
  <c r="P1888" i="1"/>
  <c r="R1888" i="1"/>
  <c r="BL1888" i="1"/>
  <c r="BW1888" i="1"/>
  <c r="CH1888" i="1"/>
  <c r="CS1888" i="1"/>
  <c r="K1889" i="1"/>
  <c r="P1889" i="1"/>
  <c r="R1889" i="1"/>
  <c r="BL1889" i="1"/>
  <c r="BW1889" i="1"/>
  <c r="CH1889" i="1"/>
  <c r="CS1889" i="1"/>
  <c r="K1890" i="1"/>
  <c r="P1890" i="1"/>
  <c r="R1890" i="1"/>
  <c r="BL1890" i="1"/>
  <c r="BW1890" i="1"/>
  <c r="CH1890" i="1"/>
  <c r="CS1890" i="1"/>
  <c r="K1891" i="1"/>
  <c r="P1891" i="1"/>
  <c r="R1891" i="1"/>
  <c r="BL1891" i="1"/>
  <c r="BW1891" i="1"/>
  <c r="CH1891" i="1"/>
  <c r="CS1891" i="1"/>
  <c r="K1892" i="1"/>
  <c r="P1892" i="1"/>
  <c r="R1892" i="1"/>
  <c r="BL1892" i="1"/>
  <c r="BW1892" i="1"/>
  <c r="CH1892" i="1"/>
  <c r="CS1892" i="1"/>
  <c r="K1893" i="1"/>
  <c r="P1893" i="1"/>
  <c r="R1893" i="1"/>
  <c r="BL1893" i="1"/>
  <c r="BW1893" i="1"/>
  <c r="CH1893" i="1"/>
  <c r="CS1893" i="1"/>
  <c r="K1894" i="1"/>
  <c r="P1894" i="1"/>
  <c r="R1894" i="1"/>
  <c r="BL1894" i="1"/>
  <c r="BW1894" i="1"/>
  <c r="CH1894" i="1"/>
  <c r="CS1894" i="1"/>
  <c r="K1895" i="1"/>
  <c r="P1895" i="1"/>
  <c r="R1895" i="1"/>
  <c r="BL1895" i="1"/>
  <c r="BW1895" i="1"/>
  <c r="CH1895" i="1"/>
  <c r="CS1895" i="1"/>
  <c r="K1896" i="1"/>
  <c r="P1896" i="1"/>
  <c r="R1896" i="1"/>
  <c r="BL1896" i="1"/>
  <c r="BW1896" i="1"/>
  <c r="CH1896" i="1"/>
  <c r="CS1896" i="1"/>
  <c r="K1897" i="1"/>
  <c r="P1897" i="1"/>
  <c r="R1897" i="1"/>
  <c r="BL1897" i="1"/>
  <c r="BW1897" i="1"/>
  <c r="CH1897" i="1"/>
  <c r="CS1897" i="1"/>
  <c r="K1898" i="1"/>
  <c r="P1898" i="1"/>
  <c r="R1898" i="1"/>
  <c r="BL1898" i="1"/>
  <c r="BW1898" i="1"/>
  <c r="CH1898" i="1"/>
  <c r="CS1898" i="1"/>
  <c r="K1899" i="1"/>
  <c r="P1899" i="1"/>
  <c r="R1899" i="1"/>
  <c r="BL1899" i="1"/>
  <c r="BW1899" i="1"/>
  <c r="CH1899" i="1"/>
  <c r="CS1899" i="1"/>
  <c r="K1900" i="1"/>
  <c r="P1900" i="1"/>
  <c r="R1900" i="1"/>
  <c r="BL1900" i="1"/>
  <c r="BW1900" i="1"/>
  <c r="CH1900" i="1"/>
  <c r="CS1900" i="1"/>
  <c r="K1901" i="1"/>
  <c r="P1901" i="1"/>
  <c r="R1901" i="1"/>
  <c r="BL1901" i="1"/>
  <c r="BW1901" i="1"/>
  <c r="CH1901" i="1"/>
  <c r="CS1901" i="1"/>
  <c r="K1902" i="1"/>
  <c r="P1902" i="1"/>
  <c r="R1902" i="1"/>
  <c r="BL1902" i="1"/>
  <c r="BW1902" i="1"/>
  <c r="CH1902" i="1"/>
  <c r="CS1902" i="1"/>
  <c r="K1903" i="1"/>
  <c r="P1903" i="1"/>
  <c r="R1903" i="1"/>
  <c r="BL1903" i="1"/>
  <c r="BW1903" i="1"/>
  <c r="CH1903" i="1"/>
  <c r="CS1903" i="1"/>
  <c r="K1904" i="1"/>
  <c r="P1904" i="1"/>
  <c r="R1904" i="1"/>
  <c r="BL1904" i="1"/>
  <c r="BW1904" i="1"/>
  <c r="CH1904" i="1"/>
  <c r="CS1904" i="1"/>
  <c r="K1905" i="1"/>
  <c r="P1905" i="1"/>
  <c r="R1905" i="1"/>
  <c r="BL1905" i="1"/>
  <c r="BW1905" i="1"/>
  <c r="CH1905" i="1"/>
  <c r="CS1905" i="1"/>
  <c r="K1906" i="1"/>
  <c r="P1906" i="1"/>
  <c r="R1906" i="1"/>
  <c r="BL1906" i="1"/>
  <c r="BW1906" i="1"/>
  <c r="CH1906" i="1"/>
  <c r="CS1906" i="1"/>
  <c r="K1907" i="1"/>
  <c r="P1907" i="1"/>
  <c r="R1907" i="1"/>
  <c r="BL1907" i="1"/>
  <c r="BW1907" i="1"/>
  <c r="CH1907" i="1"/>
  <c r="CS1907" i="1"/>
  <c r="K1908" i="1"/>
  <c r="P1908" i="1"/>
  <c r="R1908" i="1"/>
  <c r="AM1908" i="1"/>
  <c r="BL1908" i="1"/>
  <c r="BW1908" i="1"/>
  <c r="CH1908" i="1"/>
  <c r="CS1908" i="1"/>
  <c r="K1909" i="1"/>
  <c r="P1909" i="1"/>
  <c r="R1909" i="1"/>
  <c r="BL1909" i="1"/>
  <c r="BW1909" i="1"/>
  <c r="CH1909" i="1"/>
  <c r="CS1909" i="1"/>
  <c r="K1910" i="1"/>
  <c r="P1910" i="1"/>
  <c r="R1910" i="1"/>
  <c r="BL1910" i="1"/>
  <c r="BW1910" i="1"/>
  <c r="CH1910" i="1"/>
  <c r="CS1910" i="1"/>
  <c r="K1911" i="1"/>
  <c r="P1911" i="1"/>
  <c r="R1911" i="1"/>
  <c r="BL1911" i="1"/>
  <c r="BW1911" i="1"/>
  <c r="CH1911" i="1"/>
  <c r="CS1911" i="1"/>
  <c r="K1912" i="1"/>
  <c r="P1912" i="1"/>
  <c r="R1912" i="1"/>
  <c r="BL1912" i="1"/>
  <c r="BW1912" i="1"/>
  <c r="CH1912" i="1"/>
  <c r="CS1912" i="1"/>
  <c r="K1913" i="1"/>
  <c r="P1913" i="1"/>
  <c r="R1913" i="1"/>
  <c r="BL1913" i="1"/>
  <c r="BW1913" i="1"/>
  <c r="CH1913" i="1"/>
  <c r="CS1913" i="1"/>
  <c r="K1914" i="1"/>
  <c r="P1914" i="1"/>
  <c r="R1914" i="1"/>
  <c r="BL1914" i="1"/>
  <c r="BW1914" i="1"/>
  <c r="CH1914" i="1"/>
  <c r="CS1914" i="1"/>
  <c r="K1915" i="1"/>
  <c r="P1915" i="1"/>
  <c r="R1915" i="1"/>
  <c r="BL1915" i="1"/>
  <c r="BW1915" i="1"/>
  <c r="CH1915" i="1"/>
  <c r="CS1915" i="1"/>
  <c r="K1916" i="1"/>
  <c r="P1916" i="1"/>
  <c r="R1916" i="1"/>
  <c r="BL1916" i="1"/>
  <c r="BW1916" i="1"/>
  <c r="CH1916" i="1"/>
  <c r="CS1916" i="1"/>
  <c r="K1917" i="1"/>
  <c r="P1917" i="1"/>
  <c r="R1917" i="1"/>
  <c r="BL1917" i="1"/>
  <c r="BW1917" i="1"/>
  <c r="CH1917" i="1"/>
  <c r="CS1917" i="1"/>
  <c r="K1918" i="1"/>
  <c r="P1918" i="1"/>
  <c r="R1918" i="1"/>
  <c r="BL1918" i="1"/>
  <c r="BW1918" i="1"/>
  <c r="CH1918" i="1"/>
  <c r="CS1918" i="1"/>
  <c r="K1919" i="1"/>
  <c r="P1919" i="1"/>
  <c r="R1919" i="1"/>
  <c r="BL1919" i="1"/>
  <c r="BW1919" i="1"/>
  <c r="CH1919" i="1"/>
  <c r="CS1919" i="1"/>
  <c r="K1920" i="1"/>
  <c r="P1920" i="1"/>
  <c r="R1920" i="1"/>
  <c r="BL1920" i="1"/>
  <c r="BW1920" i="1"/>
  <c r="CH1920" i="1"/>
  <c r="CS1920" i="1"/>
  <c r="K1921" i="1"/>
  <c r="P1921" i="1"/>
  <c r="R1921" i="1"/>
  <c r="BL1921" i="1"/>
  <c r="BW1921" i="1"/>
  <c r="CH1921" i="1"/>
  <c r="CS1921" i="1"/>
  <c r="K1922" i="1"/>
  <c r="P1922" i="1"/>
  <c r="R1922" i="1"/>
  <c r="BL1922" i="1"/>
  <c r="BW1922" i="1"/>
  <c r="CH1922" i="1"/>
  <c r="CS1922" i="1"/>
  <c r="K1923" i="1"/>
  <c r="P1923" i="1"/>
  <c r="R1923" i="1"/>
  <c r="BL1923" i="1"/>
  <c r="BQ1923" i="1"/>
  <c r="BW1923" i="1"/>
  <c r="CH1923" i="1"/>
  <c r="CS1923" i="1"/>
  <c r="K1924" i="1"/>
  <c r="P1924" i="1"/>
  <c r="R1924" i="1"/>
  <c r="BL1924" i="1"/>
  <c r="BW1924" i="1"/>
  <c r="CH1924" i="1"/>
  <c r="CS1924" i="1"/>
  <c r="K1925" i="1"/>
  <c r="P1925" i="1"/>
  <c r="R1925" i="1"/>
  <c r="BL1925" i="1"/>
  <c r="BW1925" i="1"/>
  <c r="CH1925" i="1"/>
  <c r="CS1925" i="1"/>
  <c r="K1926" i="1"/>
  <c r="P1926" i="1"/>
  <c r="R1926" i="1"/>
  <c r="BL1926" i="1"/>
  <c r="BW1926" i="1"/>
  <c r="CH1926" i="1"/>
  <c r="CS1926" i="1"/>
  <c r="K1927" i="1"/>
  <c r="P1927" i="1"/>
  <c r="R1927" i="1"/>
  <c r="BL1927" i="1"/>
  <c r="BW1927" i="1"/>
  <c r="CH1927" i="1"/>
  <c r="CS1927" i="1"/>
  <c r="K1928" i="1"/>
  <c r="P1928" i="1"/>
  <c r="R1928" i="1"/>
  <c r="BL1928" i="1"/>
  <c r="BW1928" i="1"/>
  <c r="CH1928" i="1"/>
  <c r="CS1928" i="1"/>
  <c r="K1929" i="1"/>
  <c r="P1929" i="1"/>
  <c r="R1929" i="1"/>
  <c r="BL1929" i="1"/>
  <c r="BW1929" i="1"/>
  <c r="CH1929" i="1"/>
  <c r="CS1929" i="1"/>
  <c r="K1930" i="1"/>
  <c r="P1930" i="1"/>
  <c r="R1930" i="1"/>
  <c r="BL1930" i="1"/>
  <c r="BW1930" i="1"/>
  <c r="CH1930" i="1"/>
  <c r="CS1930" i="1"/>
  <c r="K1931" i="1"/>
  <c r="P1931" i="1"/>
  <c r="R1931" i="1"/>
  <c r="BL1931" i="1"/>
  <c r="BW1931" i="1"/>
  <c r="CH1931" i="1"/>
  <c r="CS1931" i="1"/>
  <c r="K1932" i="1"/>
  <c r="P1932" i="1"/>
  <c r="R1932" i="1"/>
  <c r="BL1932" i="1"/>
  <c r="BW1932" i="1"/>
  <c r="CH1932" i="1"/>
  <c r="CS1932" i="1"/>
  <c r="K1933" i="1"/>
  <c r="P1933" i="1"/>
  <c r="R1933" i="1"/>
  <c r="BL1933" i="1"/>
  <c r="BW1933" i="1"/>
  <c r="CH1933" i="1"/>
  <c r="CS1933" i="1"/>
  <c r="K1934" i="1"/>
  <c r="P1934" i="1"/>
  <c r="R1934" i="1"/>
  <c r="BL1934" i="1"/>
  <c r="BW1934" i="1"/>
  <c r="CH1934" i="1"/>
  <c r="CS1934" i="1"/>
  <c r="K1935" i="1"/>
  <c r="P1935" i="1"/>
  <c r="R1935" i="1"/>
  <c r="BL1935" i="1"/>
  <c r="BW1935" i="1"/>
  <c r="CH1935" i="1"/>
  <c r="CS1935" i="1"/>
  <c r="K1936" i="1"/>
  <c r="P1936" i="1"/>
  <c r="R1936" i="1"/>
  <c r="BL1936" i="1"/>
  <c r="BW1936" i="1"/>
  <c r="CH1936" i="1"/>
  <c r="CS1936" i="1"/>
  <c r="K1937" i="1"/>
  <c r="P1937" i="1"/>
  <c r="R1937" i="1"/>
  <c r="BL1937" i="1"/>
  <c r="BW1937" i="1"/>
  <c r="CH1937" i="1"/>
  <c r="CS1937" i="1"/>
  <c r="K1938" i="1"/>
  <c r="P1938" i="1"/>
  <c r="R1938" i="1"/>
  <c r="BL1938" i="1"/>
  <c r="BW1938" i="1"/>
  <c r="CH1938" i="1"/>
  <c r="CS1938" i="1"/>
  <c r="K1939" i="1"/>
  <c r="P1939" i="1"/>
  <c r="R1939" i="1"/>
  <c r="BL1939" i="1"/>
  <c r="BW1939" i="1"/>
  <c r="CH1939" i="1"/>
  <c r="CS1939" i="1"/>
  <c r="K1940" i="1"/>
  <c r="P1940" i="1"/>
  <c r="R1940" i="1"/>
  <c r="BL1940" i="1"/>
  <c r="BW1940" i="1"/>
  <c r="CH1940" i="1"/>
  <c r="CS1940" i="1"/>
  <c r="K1941" i="1"/>
  <c r="P1941" i="1"/>
  <c r="R1941" i="1"/>
  <c r="BL1941" i="1"/>
  <c r="BW1941" i="1"/>
  <c r="CH1941" i="1"/>
  <c r="CS1941" i="1"/>
  <c r="K1942" i="1"/>
  <c r="P1942" i="1"/>
  <c r="R1942" i="1"/>
  <c r="BL1942" i="1"/>
  <c r="BW1942" i="1"/>
  <c r="CH1942" i="1"/>
  <c r="CS1942" i="1"/>
  <c r="K1943" i="1"/>
  <c r="P1943" i="1"/>
  <c r="R1943" i="1"/>
  <c r="BL1943" i="1"/>
  <c r="BW1943" i="1"/>
  <c r="CH1943" i="1"/>
  <c r="CS1943" i="1"/>
  <c r="K1944" i="1"/>
  <c r="P1944" i="1"/>
  <c r="R1944" i="1"/>
  <c r="BL1944" i="1"/>
  <c r="BW1944" i="1"/>
  <c r="CH1944" i="1"/>
  <c r="CS1944" i="1"/>
  <c r="K1945" i="1"/>
  <c r="P1945" i="1"/>
  <c r="R1945" i="1"/>
  <c r="BL1945" i="1"/>
  <c r="BW1945" i="1"/>
  <c r="CH1945" i="1"/>
  <c r="CS1945" i="1"/>
  <c r="K1946" i="1"/>
  <c r="P1946" i="1"/>
  <c r="R1946" i="1"/>
  <c r="BL1946" i="1"/>
  <c r="BW1946" i="1"/>
  <c r="CH1946" i="1"/>
  <c r="CS1946" i="1"/>
  <c r="K1947" i="1"/>
  <c r="P1947" i="1"/>
  <c r="R1947" i="1"/>
  <c r="BL1947" i="1"/>
  <c r="BW1947" i="1"/>
  <c r="CH1947" i="1"/>
  <c r="CS1947" i="1"/>
  <c r="K1948" i="1"/>
  <c r="P1948" i="1"/>
  <c r="R1948" i="1"/>
  <c r="BL1948" i="1"/>
  <c r="BQ1948" i="1"/>
  <c r="BW1948" i="1"/>
  <c r="CH1948" i="1"/>
  <c r="CS1948" i="1"/>
  <c r="K1949" i="1"/>
  <c r="P1949" i="1"/>
  <c r="R1949" i="1"/>
  <c r="BL1949" i="1"/>
  <c r="BW1949" i="1"/>
  <c r="CH1949" i="1"/>
  <c r="CS1949" i="1"/>
  <c r="K1950" i="1"/>
  <c r="P1950" i="1"/>
  <c r="R1950" i="1"/>
  <c r="BL1950" i="1"/>
  <c r="BW1950" i="1"/>
  <c r="CH1950" i="1"/>
  <c r="CS1950" i="1"/>
  <c r="K1951" i="1"/>
  <c r="P1951" i="1"/>
  <c r="R1951" i="1"/>
  <c r="BL1951" i="1"/>
  <c r="BW1951" i="1"/>
  <c r="CH1951" i="1"/>
  <c r="CS1951" i="1"/>
  <c r="K1952" i="1"/>
  <c r="P1952" i="1"/>
  <c r="R1952" i="1"/>
  <c r="BL1952" i="1"/>
  <c r="BW1952" i="1"/>
  <c r="CH1952" i="1"/>
  <c r="CS1952" i="1"/>
  <c r="K1953" i="1"/>
  <c r="P1953" i="1"/>
  <c r="R1953" i="1"/>
  <c r="BL1953" i="1"/>
  <c r="BW1953" i="1"/>
  <c r="CH1953" i="1"/>
  <c r="CS1953" i="1"/>
  <c r="K1954" i="1"/>
  <c r="P1954" i="1"/>
  <c r="R1954" i="1"/>
  <c r="BL1954" i="1"/>
  <c r="BW1954" i="1"/>
  <c r="CH1954" i="1"/>
  <c r="CS1954" i="1"/>
  <c r="K1955" i="1"/>
  <c r="P1955" i="1"/>
  <c r="R1955" i="1"/>
  <c r="BL1955" i="1"/>
  <c r="BW1955" i="1"/>
  <c r="CH1955" i="1"/>
  <c r="CS1955" i="1"/>
  <c r="K1956" i="1"/>
  <c r="P1956" i="1"/>
  <c r="R1956" i="1"/>
  <c r="BL1956" i="1"/>
  <c r="BW1956" i="1"/>
  <c r="CH1956" i="1"/>
  <c r="CS1956" i="1"/>
  <c r="K1957" i="1"/>
  <c r="P1957" i="1"/>
  <c r="R1957" i="1"/>
  <c r="BL1957" i="1"/>
  <c r="BW1957" i="1"/>
  <c r="CH1957" i="1"/>
  <c r="CS1957" i="1"/>
  <c r="K1958" i="1"/>
  <c r="P1958" i="1"/>
  <c r="R1958" i="1"/>
  <c r="BL1958" i="1"/>
  <c r="BW1958" i="1"/>
  <c r="CH1958" i="1"/>
  <c r="CS1958" i="1"/>
  <c r="K1959" i="1"/>
  <c r="P1959" i="1"/>
  <c r="R1959" i="1"/>
  <c r="BL1959" i="1"/>
  <c r="BW1959" i="1"/>
  <c r="CH1959" i="1"/>
  <c r="CS1959" i="1"/>
  <c r="K1960" i="1"/>
  <c r="P1960" i="1"/>
  <c r="R1960" i="1"/>
  <c r="BL1960" i="1"/>
  <c r="BW1960" i="1"/>
  <c r="CH1960" i="1"/>
  <c r="CS1960" i="1"/>
  <c r="K1961" i="1"/>
  <c r="P1961" i="1"/>
  <c r="R1961" i="1"/>
  <c r="BL1961" i="1"/>
  <c r="BW1961" i="1"/>
  <c r="CH1961" i="1"/>
  <c r="CS1961" i="1"/>
  <c r="K1962" i="1"/>
  <c r="P1962" i="1"/>
  <c r="R1962" i="1"/>
  <c r="BL1962" i="1"/>
  <c r="BW1962" i="1"/>
  <c r="CH1962" i="1"/>
  <c r="CS1962" i="1"/>
  <c r="K1963" i="1"/>
  <c r="P1963" i="1"/>
  <c r="R1963" i="1"/>
  <c r="BL1963" i="1"/>
  <c r="BW1963" i="1"/>
  <c r="CH1963" i="1"/>
  <c r="CS1963" i="1"/>
  <c r="K1964" i="1"/>
  <c r="P1964" i="1"/>
  <c r="R1964" i="1"/>
  <c r="BL1964" i="1"/>
  <c r="BQ1964" i="1"/>
  <c r="BW1964" i="1"/>
  <c r="CH1964" i="1"/>
  <c r="CS1964" i="1"/>
  <c r="K1965" i="1"/>
  <c r="P1965" i="1"/>
  <c r="R1965" i="1"/>
  <c r="BL1965" i="1"/>
  <c r="BW1965" i="1"/>
  <c r="CH1965" i="1"/>
  <c r="CS1965" i="1"/>
  <c r="K1966" i="1"/>
  <c r="P1966" i="1"/>
  <c r="R1966" i="1"/>
  <c r="BL1966" i="1"/>
  <c r="BW1966" i="1"/>
  <c r="CH1966" i="1"/>
  <c r="CS1966" i="1"/>
  <c r="K1967" i="1"/>
  <c r="P1967" i="1"/>
  <c r="R1967" i="1"/>
  <c r="BL1967" i="1"/>
  <c r="BW1967" i="1"/>
  <c r="CH1967" i="1"/>
  <c r="CS1967" i="1"/>
  <c r="K1968" i="1"/>
  <c r="P1968" i="1"/>
  <c r="R1968" i="1"/>
  <c r="BL1968" i="1"/>
  <c r="BW1968" i="1"/>
  <c r="CH1968" i="1"/>
  <c r="CS1968" i="1"/>
  <c r="K1969" i="1"/>
  <c r="P1969" i="1"/>
  <c r="R1969" i="1"/>
  <c r="BL1969" i="1"/>
  <c r="BW1969" i="1"/>
  <c r="CH1969" i="1"/>
  <c r="CS1969" i="1"/>
  <c r="K1970" i="1"/>
  <c r="P1970" i="1"/>
  <c r="R1970" i="1"/>
  <c r="BL1970" i="1"/>
  <c r="BW1970" i="1"/>
  <c r="CH1970" i="1"/>
  <c r="CS1970" i="1"/>
  <c r="K1971" i="1"/>
  <c r="P1971" i="1"/>
  <c r="R1971" i="1"/>
  <c r="BL1971" i="1"/>
  <c r="BW1971" i="1"/>
  <c r="CH1971" i="1"/>
  <c r="CS1971" i="1"/>
  <c r="K1972" i="1"/>
  <c r="P1972" i="1"/>
  <c r="R1972" i="1"/>
  <c r="BL1972" i="1"/>
  <c r="BW1972" i="1"/>
  <c r="CH1972" i="1"/>
  <c r="CS1972" i="1"/>
  <c r="K1973" i="1"/>
  <c r="P1973" i="1"/>
  <c r="R1973" i="1"/>
  <c r="BL1973" i="1"/>
  <c r="BW1973" i="1"/>
  <c r="CH1973" i="1"/>
  <c r="CS1973" i="1"/>
  <c r="K1974" i="1"/>
  <c r="P1974" i="1"/>
  <c r="R1974" i="1"/>
  <c r="BL1974" i="1"/>
  <c r="BW1974" i="1"/>
  <c r="CH1974" i="1"/>
  <c r="CS1974" i="1"/>
  <c r="K1975" i="1"/>
  <c r="P1975" i="1"/>
  <c r="R1975" i="1"/>
  <c r="BL1975" i="1"/>
  <c r="BW1975" i="1"/>
  <c r="CH1975" i="1"/>
  <c r="CS1975" i="1"/>
  <c r="K1976" i="1"/>
  <c r="P1976" i="1"/>
  <c r="R1976" i="1"/>
  <c r="BL1976" i="1"/>
  <c r="BW1976" i="1"/>
  <c r="CH1976" i="1"/>
  <c r="CS1976" i="1"/>
  <c r="K1977" i="1"/>
  <c r="P1977" i="1"/>
  <c r="R1977" i="1"/>
  <c r="BL1977" i="1"/>
  <c r="BW1977" i="1"/>
  <c r="CH1977" i="1"/>
  <c r="CS1977" i="1"/>
  <c r="K1978" i="1"/>
  <c r="P1978" i="1"/>
  <c r="R1978" i="1"/>
  <c r="BL1978" i="1"/>
  <c r="BW1978" i="1"/>
  <c r="CH1978" i="1"/>
  <c r="CS1978" i="1"/>
  <c r="K1979" i="1"/>
  <c r="P1979" i="1"/>
  <c r="R1979" i="1"/>
  <c r="BL1979" i="1"/>
  <c r="BW1979" i="1"/>
  <c r="CH1979" i="1"/>
  <c r="CS1979" i="1"/>
  <c r="K1980" i="1"/>
  <c r="P1980" i="1"/>
  <c r="R1980" i="1"/>
  <c r="BL1980" i="1"/>
  <c r="BW1980" i="1"/>
  <c r="CH1980" i="1"/>
  <c r="CS1980" i="1"/>
  <c r="K1981" i="1"/>
  <c r="P1981" i="1"/>
  <c r="R1981" i="1"/>
  <c r="BL1981" i="1"/>
  <c r="BW1981" i="1"/>
  <c r="CH1981" i="1"/>
  <c r="CS1981" i="1"/>
  <c r="K1982" i="1"/>
  <c r="P1982" i="1"/>
  <c r="R1982" i="1"/>
  <c r="BL1982" i="1"/>
  <c r="BW1982" i="1"/>
  <c r="CH1982" i="1"/>
  <c r="CS1982" i="1"/>
  <c r="K1983" i="1"/>
  <c r="P1983" i="1"/>
  <c r="R1983" i="1"/>
  <c r="BL1983" i="1"/>
  <c r="BW1983" i="1"/>
  <c r="CH1983" i="1"/>
  <c r="CS1983" i="1"/>
  <c r="K1984" i="1"/>
  <c r="P1984" i="1"/>
  <c r="R1984" i="1"/>
  <c r="BL1984" i="1"/>
  <c r="BW1984" i="1"/>
  <c r="CH1984" i="1"/>
  <c r="CS1984" i="1"/>
  <c r="K1985" i="1"/>
  <c r="P1985" i="1"/>
  <c r="R1985" i="1"/>
  <c r="BL1985" i="1"/>
  <c r="BW1985" i="1"/>
  <c r="CH1985" i="1"/>
  <c r="CS1985" i="1"/>
  <c r="K1986" i="1"/>
  <c r="P1986" i="1"/>
  <c r="R1986" i="1"/>
  <c r="BL1986" i="1"/>
  <c r="BW1986" i="1"/>
  <c r="CH1986" i="1"/>
  <c r="CS1986" i="1"/>
  <c r="K1987" i="1"/>
  <c r="P1987" i="1"/>
  <c r="R1987" i="1"/>
  <c r="BL1987" i="1"/>
  <c r="BW1987" i="1"/>
  <c r="CH1987" i="1"/>
  <c r="CS1987" i="1"/>
  <c r="K1988" i="1"/>
  <c r="P1988" i="1"/>
  <c r="R1988" i="1"/>
  <c r="BL1988" i="1"/>
  <c r="BW1988" i="1"/>
  <c r="CH1988" i="1"/>
  <c r="CS1988" i="1"/>
  <c r="K1989" i="1"/>
  <c r="P1989" i="1"/>
  <c r="R1989" i="1"/>
  <c r="BL1989" i="1"/>
  <c r="BW1989" i="1"/>
  <c r="CH1989" i="1"/>
  <c r="CS1989" i="1"/>
  <c r="K1990" i="1"/>
  <c r="P1990" i="1"/>
  <c r="R1990" i="1"/>
  <c r="BL1990" i="1"/>
  <c r="BW1990" i="1"/>
  <c r="CH1990" i="1"/>
  <c r="CS1990" i="1"/>
  <c r="K1991" i="1"/>
  <c r="P1991" i="1"/>
  <c r="R1991" i="1"/>
  <c r="BL1991" i="1"/>
  <c r="BW1991" i="1"/>
  <c r="CH1991" i="1"/>
  <c r="CS1991" i="1"/>
  <c r="K1992" i="1"/>
  <c r="P1992" i="1"/>
  <c r="R1992" i="1"/>
  <c r="BL1992" i="1"/>
  <c r="BW1992" i="1"/>
  <c r="CH1992" i="1"/>
  <c r="CS1992" i="1"/>
  <c r="K1993" i="1"/>
  <c r="P1993" i="1"/>
  <c r="R1993" i="1"/>
  <c r="BL1993" i="1"/>
  <c r="BW1993" i="1"/>
  <c r="CH1993" i="1"/>
  <c r="CS1993" i="1"/>
  <c r="K1994" i="1"/>
  <c r="P1994" i="1"/>
  <c r="R1994" i="1"/>
  <c r="BL1994" i="1"/>
  <c r="BW1994" i="1"/>
  <c r="CH1994" i="1"/>
  <c r="CS1994" i="1"/>
  <c r="K1995" i="1"/>
  <c r="P1995" i="1"/>
  <c r="R1995" i="1"/>
  <c r="BL1995" i="1"/>
  <c r="BW1995" i="1"/>
  <c r="CH1995" i="1"/>
  <c r="CS1995" i="1"/>
  <c r="K1996" i="1"/>
  <c r="P1996" i="1"/>
  <c r="R1996" i="1"/>
  <c r="BL1996" i="1"/>
  <c r="BW1996" i="1"/>
  <c r="CH1996" i="1"/>
  <c r="CS1996" i="1"/>
  <c r="K1997" i="1"/>
  <c r="P1997" i="1"/>
  <c r="R1997" i="1"/>
  <c r="BL1997" i="1"/>
  <c r="BW1997" i="1"/>
  <c r="CH1997" i="1"/>
  <c r="CS1997" i="1"/>
  <c r="K1998" i="1"/>
  <c r="P1998" i="1"/>
  <c r="R1998" i="1"/>
  <c r="BL1998" i="1"/>
  <c r="BW1998" i="1"/>
  <c r="CH1998" i="1"/>
  <c r="CS1998" i="1"/>
  <c r="K1999" i="1"/>
  <c r="P1999" i="1"/>
  <c r="R1999" i="1"/>
  <c r="BL1999" i="1"/>
  <c r="BW1999" i="1"/>
  <c r="CH1999" i="1"/>
  <c r="CS1999" i="1"/>
  <c r="K2000" i="1"/>
  <c r="P2000" i="1"/>
  <c r="R2000" i="1"/>
  <c r="BL2000" i="1"/>
  <c r="BW2000" i="1"/>
  <c r="CH2000" i="1"/>
  <c r="CS2000" i="1"/>
  <c r="K2001" i="1"/>
  <c r="P2001" i="1"/>
  <c r="R2001" i="1"/>
  <c r="BL2001" i="1"/>
  <c r="BW2001" i="1"/>
  <c r="CH2001" i="1"/>
  <c r="CS2001" i="1"/>
  <c r="K2002" i="1"/>
  <c r="P2002" i="1"/>
  <c r="R2002" i="1"/>
  <c r="BL2002" i="1"/>
  <c r="BW2002" i="1"/>
  <c r="CH2002" i="1"/>
  <c r="CS2002" i="1"/>
  <c r="K2003" i="1"/>
  <c r="P2003" i="1"/>
  <c r="R2003" i="1"/>
  <c r="BL2003" i="1"/>
  <c r="BW2003" i="1"/>
  <c r="CH2003" i="1"/>
  <c r="CS2003" i="1"/>
  <c r="K2004" i="1"/>
  <c r="P2004" i="1"/>
  <c r="R2004" i="1"/>
  <c r="BL2004" i="1"/>
  <c r="BW2004" i="1"/>
  <c r="CH2004" i="1"/>
  <c r="CS2004" i="1"/>
  <c r="K2005" i="1"/>
  <c r="P2005" i="1"/>
  <c r="R2005" i="1"/>
  <c r="BL2005" i="1"/>
  <c r="BW2005" i="1"/>
  <c r="CH2005" i="1"/>
  <c r="CS2005" i="1"/>
  <c r="K2006" i="1"/>
  <c r="P2006" i="1"/>
  <c r="R2006" i="1"/>
  <c r="BL2006" i="1"/>
  <c r="BW2006" i="1"/>
  <c r="CH2006" i="1"/>
  <c r="CS2006" i="1"/>
  <c r="K2007" i="1"/>
  <c r="P2007" i="1"/>
  <c r="R2007" i="1"/>
  <c r="BL2007" i="1"/>
  <c r="BW2007" i="1"/>
  <c r="CH2007" i="1"/>
  <c r="CS2007" i="1"/>
  <c r="K2008" i="1"/>
  <c r="P2008" i="1"/>
  <c r="R2008" i="1"/>
  <c r="BL2008" i="1"/>
  <c r="BW2008" i="1"/>
  <c r="CH2008" i="1"/>
  <c r="CS2008" i="1"/>
  <c r="K2009" i="1"/>
  <c r="P2009" i="1"/>
  <c r="R2009" i="1"/>
  <c r="BL2009" i="1"/>
  <c r="BW2009" i="1"/>
  <c r="CH2009" i="1"/>
  <c r="CS2009" i="1"/>
  <c r="K2010" i="1"/>
  <c r="P2010" i="1"/>
  <c r="R2010" i="1"/>
  <c r="BL2010" i="1"/>
  <c r="BW2010" i="1"/>
  <c r="CH2010" i="1"/>
  <c r="CS2010" i="1"/>
  <c r="K2011" i="1"/>
  <c r="P2011" i="1"/>
  <c r="R2011" i="1"/>
  <c r="BL2011" i="1"/>
  <c r="BW2011" i="1"/>
  <c r="CH2011" i="1"/>
  <c r="CS2011" i="1"/>
  <c r="K2012" i="1"/>
  <c r="P2012" i="1"/>
  <c r="R2012" i="1"/>
  <c r="BL2012" i="1"/>
  <c r="BW2012" i="1"/>
  <c r="CH2012" i="1"/>
  <c r="CS2012" i="1"/>
  <c r="K2013" i="1"/>
  <c r="P2013" i="1"/>
  <c r="R2013" i="1"/>
  <c r="BL2013" i="1"/>
  <c r="BW2013" i="1"/>
  <c r="CH2013" i="1"/>
  <c r="CS2013" i="1"/>
  <c r="K2014" i="1"/>
  <c r="P2014" i="1"/>
  <c r="R2014" i="1"/>
  <c r="BL2014" i="1"/>
  <c r="BW2014" i="1"/>
  <c r="CH2014" i="1"/>
  <c r="CS2014" i="1"/>
  <c r="K2015" i="1"/>
  <c r="P2015" i="1"/>
  <c r="R2015" i="1"/>
  <c r="BL2015" i="1"/>
  <c r="BW2015" i="1"/>
  <c r="CH2015" i="1"/>
  <c r="CS2015" i="1"/>
  <c r="K2016" i="1"/>
  <c r="P2016" i="1"/>
  <c r="R2016" i="1"/>
  <c r="BL2016" i="1"/>
  <c r="BW2016" i="1"/>
  <c r="CH2016" i="1"/>
  <c r="CS2016" i="1"/>
  <c r="K2017" i="1"/>
  <c r="P2017" i="1"/>
  <c r="R2017" i="1"/>
  <c r="BL2017" i="1"/>
  <c r="BW2017" i="1"/>
  <c r="CH2017" i="1"/>
  <c r="CS2017" i="1"/>
  <c r="K2018" i="1"/>
  <c r="P2018" i="1"/>
  <c r="R2018" i="1"/>
  <c r="BL2018" i="1"/>
  <c r="BW2018" i="1"/>
  <c r="CH2018" i="1"/>
  <c r="CS2018" i="1"/>
  <c r="K2019" i="1"/>
  <c r="P2019" i="1"/>
  <c r="R2019" i="1"/>
  <c r="BL2019" i="1"/>
  <c r="BW2019" i="1"/>
  <c r="CH2019" i="1"/>
  <c r="CS2019" i="1"/>
  <c r="K2020" i="1"/>
  <c r="P2020" i="1"/>
  <c r="R2020" i="1"/>
  <c r="BL2020" i="1"/>
  <c r="BW2020" i="1"/>
  <c r="CH2020" i="1"/>
  <c r="CS2020" i="1"/>
  <c r="K2021" i="1"/>
  <c r="P2021" i="1"/>
  <c r="R2021" i="1"/>
  <c r="BL2021" i="1"/>
  <c r="BW2021" i="1"/>
  <c r="CH2021" i="1"/>
  <c r="CS2021" i="1"/>
  <c r="K2022" i="1"/>
  <c r="P2022" i="1"/>
  <c r="R2022" i="1"/>
  <c r="BL2022" i="1"/>
  <c r="BQ2022" i="1"/>
  <c r="BW2022" i="1"/>
  <c r="CH2022" i="1"/>
  <c r="CS2022" i="1"/>
  <c r="K2023" i="1"/>
  <c r="P2023" i="1"/>
  <c r="R2023" i="1"/>
  <c r="BL2023" i="1"/>
  <c r="BW2023" i="1"/>
  <c r="CH2023" i="1"/>
  <c r="CS2023" i="1"/>
  <c r="K2024" i="1"/>
  <c r="P2024" i="1"/>
  <c r="R2024" i="1"/>
  <c r="BL2024" i="1"/>
  <c r="BW2024" i="1"/>
  <c r="CH2024" i="1"/>
  <c r="CS2024" i="1"/>
  <c r="K2025" i="1"/>
  <c r="P2025" i="1"/>
  <c r="R2025" i="1"/>
  <c r="BL2025" i="1"/>
  <c r="BW2025" i="1"/>
  <c r="CH2025" i="1"/>
  <c r="CS2025" i="1"/>
  <c r="K2026" i="1"/>
  <c r="P2026" i="1"/>
  <c r="R2026" i="1"/>
  <c r="BL2026" i="1"/>
  <c r="BW2026" i="1"/>
  <c r="CH2026" i="1"/>
  <c r="CS2026" i="1"/>
  <c r="K2027" i="1"/>
  <c r="P2027" i="1"/>
  <c r="R2027" i="1"/>
  <c r="BL2027" i="1"/>
  <c r="BW2027" i="1"/>
  <c r="CH2027" i="1"/>
  <c r="CS2027" i="1"/>
  <c r="K2028" i="1"/>
  <c r="P2028" i="1"/>
  <c r="R2028" i="1"/>
  <c r="BL2028" i="1"/>
  <c r="BW2028" i="1"/>
  <c r="CH2028" i="1"/>
  <c r="CS2028" i="1"/>
  <c r="K2029" i="1"/>
  <c r="P2029" i="1"/>
  <c r="R2029" i="1"/>
  <c r="BL2029" i="1"/>
  <c r="BW2029" i="1"/>
  <c r="CH2029" i="1"/>
  <c r="CS2029" i="1"/>
  <c r="K2030" i="1"/>
  <c r="P2030" i="1"/>
  <c r="R2030" i="1"/>
  <c r="BL2030" i="1"/>
  <c r="BW2030" i="1"/>
  <c r="CH2030" i="1"/>
  <c r="CS2030" i="1"/>
  <c r="K2031" i="1"/>
  <c r="P2031" i="1"/>
  <c r="R2031" i="1"/>
  <c r="BL2031" i="1"/>
  <c r="BW2031" i="1"/>
  <c r="CH2031" i="1"/>
  <c r="CS2031" i="1"/>
  <c r="K2032" i="1"/>
  <c r="P2032" i="1"/>
  <c r="R2032" i="1"/>
  <c r="BL2032" i="1"/>
  <c r="BW2032" i="1"/>
  <c r="CH2032" i="1"/>
  <c r="CS2032" i="1"/>
  <c r="K2033" i="1"/>
  <c r="P2033" i="1"/>
  <c r="R2033" i="1"/>
  <c r="BL2033" i="1"/>
  <c r="BW2033" i="1"/>
  <c r="CH2033" i="1"/>
  <c r="CS2033" i="1"/>
  <c r="K2034" i="1"/>
  <c r="P2034" i="1"/>
  <c r="R2034" i="1"/>
  <c r="BL2034" i="1"/>
  <c r="BW2034" i="1"/>
  <c r="CH2034" i="1"/>
  <c r="CS2034" i="1"/>
  <c r="K2035" i="1"/>
  <c r="P2035" i="1"/>
  <c r="R2035" i="1"/>
  <c r="BL2035" i="1"/>
  <c r="BW2035" i="1"/>
  <c r="CH2035" i="1"/>
  <c r="CS2035" i="1"/>
  <c r="K2036" i="1"/>
  <c r="P2036" i="1"/>
  <c r="R2036" i="1"/>
  <c r="BL2036" i="1"/>
  <c r="BW2036" i="1"/>
  <c r="CH2036" i="1"/>
  <c r="CS2036" i="1"/>
  <c r="K2037" i="1"/>
  <c r="P2037" i="1"/>
  <c r="R2037" i="1"/>
  <c r="BL2037" i="1"/>
  <c r="BW2037" i="1"/>
  <c r="CH2037" i="1"/>
  <c r="CS2037" i="1"/>
  <c r="K2038" i="1"/>
  <c r="P2038" i="1"/>
  <c r="R2038" i="1"/>
  <c r="BL2038" i="1"/>
  <c r="BW2038" i="1"/>
  <c r="CH2038" i="1"/>
  <c r="CS2038" i="1"/>
  <c r="K2039" i="1"/>
  <c r="P2039" i="1"/>
  <c r="R2039" i="1"/>
  <c r="BL2039" i="1"/>
  <c r="BW2039" i="1"/>
  <c r="CH2039" i="1"/>
  <c r="CS2039" i="1"/>
  <c r="K2040" i="1"/>
  <c r="P2040" i="1"/>
  <c r="R2040" i="1"/>
  <c r="BL2040" i="1"/>
  <c r="BW2040" i="1"/>
  <c r="CH2040" i="1"/>
  <c r="CS2040" i="1"/>
  <c r="K2041" i="1"/>
  <c r="P2041" i="1"/>
  <c r="R2041" i="1"/>
  <c r="BL2041" i="1"/>
  <c r="BW2041" i="1"/>
  <c r="CH2041" i="1"/>
  <c r="CS2041" i="1"/>
  <c r="K2042" i="1"/>
  <c r="P2042" i="1"/>
  <c r="R2042" i="1"/>
  <c r="BL2042" i="1"/>
  <c r="BW2042" i="1"/>
  <c r="CH2042" i="1"/>
  <c r="CS2042" i="1"/>
  <c r="K2043" i="1"/>
  <c r="P2043" i="1"/>
  <c r="R2043" i="1"/>
  <c r="BL2043" i="1"/>
  <c r="BW2043" i="1"/>
  <c r="CH2043" i="1"/>
  <c r="CS2043" i="1"/>
  <c r="K2044" i="1"/>
  <c r="P2044" i="1"/>
  <c r="R2044" i="1"/>
  <c r="BL2044" i="1"/>
  <c r="BW2044" i="1"/>
  <c r="CH2044" i="1"/>
  <c r="CS2044" i="1"/>
  <c r="K2045" i="1"/>
  <c r="P2045" i="1"/>
  <c r="R2045" i="1"/>
  <c r="BL2045" i="1"/>
  <c r="BQ2045" i="1"/>
  <c r="BW2045" i="1"/>
  <c r="CH2045" i="1"/>
  <c r="CS2045" i="1"/>
  <c r="K2046" i="1"/>
  <c r="P2046" i="1"/>
  <c r="R2046" i="1"/>
  <c r="BL2046" i="1"/>
  <c r="BW2046" i="1"/>
  <c r="CH2046" i="1"/>
  <c r="CS2046" i="1"/>
  <c r="K2047" i="1"/>
  <c r="P2047" i="1"/>
  <c r="R2047" i="1"/>
  <c r="BL2047" i="1"/>
  <c r="BW2047" i="1"/>
  <c r="CH2047" i="1"/>
  <c r="CS2047" i="1"/>
  <c r="K2048" i="1"/>
  <c r="P2048" i="1"/>
  <c r="R2048" i="1"/>
  <c r="BL2048" i="1"/>
  <c r="BW2048" i="1"/>
  <c r="CH2048" i="1"/>
  <c r="CS2048" i="1"/>
  <c r="K2049" i="1"/>
  <c r="P2049" i="1"/>
  <c r="R2049" i="1"/>
  <c r="BL2049" i="1"/>
  <c r="BW2049" i="1"/>
  <c r="CH2049" i="1"/>
  <c r="CS2049" i="1"/>
  <c r="K2050" i="1"/>
  <c r="P2050" i="1"/>
  <c r="R2050" i="1"/>
  <c r="BL2050" i="1"/>
  <c r="BW2050" i="1"/>
  <c r="CH2050" i="1"/>
  <c r="CS2050" i="1"/>
  <c r="K2051" i="1"/>
  <c r="P2051" i="1"/>
  <c r="R2051" i="1"/>
  <c r="BL2051" i="1"/>
  <c r="BW2051" i="1"/>
  <c r="CH2051" i="1"/>
  <c r="CS2051" i="1"/>
  <c r="K2052" i="1"/>
  <c r="P2052" i="1"/>
  <c r="R2052" i="1"/>
  <c r="BL2052" i="1"/>
  <c r="BW2052" i="1"/>
  <c r="CH2052" i="1"/>
  <c r="CS2052" i="1"/>
  <c r="K2053" i="1"/>
  <c r="P2053" i="1"/>
  <c r="R2053" i="1"/>
  <c r="BL2053" i="1"/>
  <c r="BW2053" i="1"/>
  <c r="CH2053" i="1"/>
  <c r="CS2053" i="1"/>
  <c r="K2054" i="1"/>
  <c r="P2054" i="1"/>
  <c r="R2054" i="1"/>
  <c r="BL2054" i="1"/>
  <c r="BW2054" i="1"/>
  <c r="CH2054" i="1"/>
  <c r="CS2054" i="1"/>
  <c r="K2055" i="1"/>
  <c r="P2055" i="1"/>
  <c r="R2055" i="1"/>
  <c r="BL2055" i="1"/>
  <c r="BW2055" i="1"/>
  <c r="CH2055" i="1"/>
  <c r="CS2055" i="1"/>
  <c r="K2056" i="1"/>
  <c r="P2056" i="1"/>
  <c r="R2056" i="1"/>
  <c r="BL2056" i="1"/>
  <c r="BW2056" i="1"/>
  <c r="CH2056" i="1"/>
  <c r="CS2056" i="1"/>
  <c r="K2057" i="1"/>
  <c r="P2057" i="1"/>
  <c r="R2057" i="1"/>
  <c r="BL2057" i="1"/>
  <c r="BW2057" i="1"/>
  <c r="CH2057" i="1"/>
  <c r="CS2057" i="1"/>
  <c r="K2058" i="1"/>
  <c r="P2058" i="1"/>
  <c r="R2058" i="1"/>
  <c r="BL2058" i="1"/>
  <c r="BW2058" i="1"/>
  <c r="CH2058" i="1"/>
  <c r="CS2058" i="1"/>
  <c r="K2059" i="1"/>
  <c r="P2059" i="1"/>
  <c r="R2059" i="1"/>
  <c r="BL2059" i="1"/>
  <c r="BW2059" i="1"/>
  <c r="CH2059" i="1"/>
  <c r="CS2059" i="1"/>
  <c r="K2060" i="1"/>
  <c r="P2060" i="1"/>
  <c r="R2060" i="1"/>
  <c r="BL2060" i="1"/>
  <c r="BW2060" i="1"/>
  <c r="CH2060" i="1"/>
  <c r="CS2060" i="1"/>
  <c r="K2061" i="1"/>
  <c r="P2061" i="1"/>
  <c r="R2061" i="1"/>
  <c r="BL2061" i="1"/>
  <c r="BW2061" i="1"/>
  <c r="CH2061" i="1"/>
  <c r="CS2061" i="1"/>
  <c r="K2062" i="1"/>
  <c r="P2062" i="1"/>
  <c r="R2062" i="1"/>
  <c r="BL2062" i="1"/>
  <c r="BW2062" i="1"/>
  <c r="CH2062" i="1"/>
  <c r="CS2062" i="1"/>
  <c r="K2063" i="1"/>
  <c r="P2063" i="1"/>
  <c r="R2063" i="1"/>
  <c r="BL2063" i="1"/>
  <c r="BW2063" i="1"/>
  <c r="CH2063" i="1"/>
  <c r="CS2063" i="1"/>
  <c r="K2064" i="1"/>
  <c r="P2064" i="1"/>
  <c r="R2064" i="1"/>
  <c r="BL2064" i="1"/>
  <c r="BW2064" i="1"/>
  <c r="CH2064" i="1"/>
  <c r="CS2064" i="1"/>
  <c r="K2065" i="1"/>
  <c r="P2065" i="1"/>
  <c r="R2065" i="1"/>
  <c r="BL2065" i="1"/>
  <c r="BW2065" i="1"/>
  <c r="CH2065" i="1"/>
  <c r="CS2065" i="1"/>
  <c r="K2066" i="1"/>
  <c r="P2066" i="1"/>
  <c r="R2066" i="1"/>
  <c r="BL2066" i="1"/>
  <c r="BW2066" i="1"/>
  <c r="CH2066" i="1"/>
  <c r="CS2066" i="1"/>
  <c r="K2067" i="1"/>
  <c r="P2067" i="1"/>
  <c r="R2067" i="1"/>
  <c r="BL2067" i="1"/>
  <c r="BW2067" i="1"/>
  <c r="CH2067" i="1"/>
  <c r="CS2067" i="1"/>
  <c r="K2068" i="1"/>
  <c r="P2068" i="1"/>
  <c r="R2068" i="1"/>
  <c r="BL2068" i="1"/>
  <c r="BW2068" i="1"/>
  <c r="CH2068" i="1"/>
  <c r="CS2068" i="1"/>
  <c r="K2069" i="1"/>
  <c r="P2069" i="1"/>
  <c r="R2069" i="1"/>
  <c r="BL2069" i="1"/>
  <c r="BW2069" i="1"/>
  <c r="CH2069" i="1"/>
  <c r="CS2069" i="1"/>
  <c r="K2070" i="1"/>
  <c r="P2070" i="1"/>
  <c r="R2070" i="1"/>
  <c r="BL2070" i="1"/>
  <c r="BW2070" i="1"/>
  <c r="CH2070" i="1"/>
  <c r="CS2070" i="1"/>
  <c r="K2071" i="1"/>
  <c r="P2071" i="1"/>
  <c r="R2071" i="1"/>
  <c r="BL2071" i="1"/>
  <c r="BW2071" i="1"/>
  <c r="CH2071" i="1"/>
  <c r="CS2071" i="1"/>
  <c r="K2072" i="1"/>
  <c r="P2072" i="1"/>
  <c r="R2072" i="1"/>
  <c r="BL2072" i="1"/>
  <c r="BW2072" i="1"/>
  <c r="CH2072" i="1"/>
  <c r="CS2072" i="1"/>
  <c r="K2073" i="1"/>
  <c r="P2073" i="1"/>
  <c r="R2073" i="1"/>
  <c r="BL2073" i="1"/>
  <c r="BW2073" i="1"/>
  <c r="CH2073" i="1"/>
  <c r="CS2073" i="1"/>
  <c r="K2074" i="1"/>
  <c r="P2074" i="1"/>
  <c r="R2074" i="1"/>
  <c r="BL2074" i="1"/>
  <c r="BW2074" i="1"/>
  <c r="CH2074" i="1"/>
  <c r="CS2074" i="1"/>
  <c r="K2075" i="1"/>
  <c r="P2075" i="1"/>
  <c r="R2075" i="1"/>
  <c r="BL2075" i="1"/>
  <c r="BW2075" i="1"/>
  <c r="CH2075" i="1"/>
  <c r="CS2075" i="1"/>
  <c r="K2076" i="1"/>
  <c r="P2076" i="1"/>
  <c r="R2076" i="1"/>
  <c r="BL2076" i="1"/>
  <c r="BW2076" i="1"/>
  <c r="CH2076" i="1"/>
  <c r="CS2076" i="1"/>
  <c r="K2077" i="1"/>
  <c r="P2077" i="1"/>
  <c r="R2077" i="1"/>
  <c r="BL2077" i="1"/>
  <c r="BW2077" i="1"/>
  <c r="CH2077" i="1"/>
  <c r="CS2077" i="1"/>
  <c r="K2078" i="1"/>
  <c r="P2078" i="1"/>
  <c r="R2078" i="1"/>
  <c r="BL2078" i="1"/>
  <c r="BW2078" i="1"/>
  <c r="CH2078" i="1"/>
  <c r="CS2078" i="1"/>
  <c r="K2079" i="1"/>
  <c r="P2079" i="1"/>
  <c r="R2079" i="1"/>
  <c r="BL2079" i="1"/>
  <c r="BW2079" i="1"/>
  <c r="CH2079" i="1"/>
  <c r="CS2079" i="1"/>
  <c r="K2080" i="1"/>
  <c r="P2080" i="1"/>
  <c r="R2080" i="1"/>
  <c r="BL2080" i="1"/>
  <c r="BW2080" i="1"/>
  <c r="CH2080" i="1"/>
  <c r="CS2080" i="1"/>
  <c r="K2081" i="1"/>
  <c r="P2081" i="1"/>
  <c r="R2081" i="1"/>
  <c r="BL2081" i="1"/>
  <c r="BW2081" i="1"/>
  <c r="CH2081" i="1"/>
  <c r="CS2081" i="1"/>
  <c r="K2082" i="1"/>
  <c r="P2082" i="1"/>
  <c r="R2082" i="1"/>
  <c r="BL2082" i="1"/>
  <c r="BW2082" i="1"/>
  <c r="CH2082" i="1"/>
  <c r="CS2082" i="1"/>
  <c r="K2083" i="1"/>
  <c r="P2083" i="1"/>
  <c r="R2083" i="1"/>
  <c r="BL2083" i="1"/>
  <c r="BW2083" i="1"/>
  <c r="CH2083" i="1"/>
  <c r="CS2083" i="1"/>
  <c r="K2084" i="1"/>
  <c r="P2084" i="1"/>
  <c r="R2084" i="1"/>
  <c r="BL2084" i="1"/>
  <c r="BW2084" i="1"/>
  <c r="CH2084" i="1"/>
  <c r="CS2084" i="1"/>
  <c r="K2085" i="1"/>
  <c r="P2085" i="1"/>
  <c r="R2085" i="1"/>
  <c r="BL2085" i="1"/>
  <c r="BW2085" i="1"/>
  <c r="CH2085" i="1"/>
  <c r="CS2085" i="1"/>
  <c r="K2086" i="1"/>
  <c r="P2086" i="1"/>
  <c r="R2086" i="1"/>
  <c r="BL2086" i="1"/>
  <c r="BW2086" i="1"/>
  <c r="CH2086" i="1"/>
  <c r="CS2086" i="1"/>
  <c r="K2087" i="1"/>
  <c r="P2087" i="1"/>
  <c r="R2087" i="1"/>
  <c r="BL2087" i="1"/>
  <c r="BW2087" i="1"/>
  <c r="CH2087" i="1"/>
  <c r="CS2087" i="1"/>
  <c r="K2088" i="1"/>
  <c r="P2088" i="1"/>
  <c r="R2088" i="1"/>
  <c r="BL2088" i="1"/>
  <c r="BW2088" i="1"/>
  <c r="CH2088" i="1"/>
  <c r="CS2088" i="1"/>
  <c r="K2089" i="1"/>
  <c r="P2089" i="1"/>
  <c r="R2089" i="1"/>
  <c r="BL2089" i="1"/>
  <c r="BW2089" i="1"/>
  <c r="CH2089" i="1"/>
  <c r="CS2089" i="1"/>
  <c r="K2090" i="1"/>
  <c r="P2090" i="1"/>
  <c r="R2090" i="1"/>
  <c r="BL2090" i="1"/>
  <c r="BW2090" i="1"/>
  <c r="CH2090" i="1"/>
  <c r="CS2090" i="1"/>
  <c r="K2091" i="1"/>
  <c r="P2091" i="1"/>
  <c r="R2091" i="1"/>
  <c r="BL2091" i="1"/>
  <c r="BW2091" i="1"/>
  <c r="CH2091" i="1"/>
  <c r="CS2091" i="1"/>
  <c r="K2092" i="1"/>
  <c r="P2092" i="1"/>
  <c r="R2092" i="1"/>
  <c r="BL2092" i="1"/>
  <c r="BW2092" i="1"/>
  <c r="CH2092" i="1"/>
  <c r="CS2092" i="1"/>
  <c r="K2093" i="1"/>
  <c r="P2093" i="1"/>
  <c r="R2093" i="1"/>
  <c r="BL2093" i="1"/>
  <c r="BW2093" i="1"/>
  <c r="CH2093" i="1"/>
  <c r="CS2093" i="1"/>
  <c r="K2094" i="1"/>
  <c r="P2094" i="1"/>
  <c r="R2094" i="1"/>
  <c r="BL2094" i="1"/>
  <c r="BW2094" i="1"/>
  <c r="CH2094" i="1"/>
  <c r="CS2094" i="1"/>
  <c r="K2095" i="1"/>
  <c r="P2095" i="1"/>
  <c r="R2095" i="1"/>
  <c r="BL2095" i="1"/>
  <c r="BW2095" i="1"/>
  <c r="CH2095" i="1"/>
  <c r="CS2095" i="1"/>
  <c r="K2096" i="1"/>
  <c r="P2096" i="1"/>
  <c r="R2096" i="1"/>
  <c r="BL2096" i="1"/>
  <c r="BW2096" i="1"/>
  <c r="CH2096" i="1"/>
  <c r="CS2096" i="1"/>
  <c r="K2097" i="1"/>
  <c r="P2097" i="1"/>
  <c r="R2097" i="1"/>
  <c r="BL2097" i="1"/>
  <c r="BW2097" i="1"/>
  <c r="CH2097" i="1"/>
  <c r="CS2097" i="1"/>
  <c r="K2098" i="1"/>
  <c r="P2098" i="1"/>
  <c r="R2098" i="1"/>
  <c r="BL2098" i="1"/>
  <c r="BW2098" i="1"/>
  <c r="CH2098" i="1"/>
  <c r="CS2098" i="1"/>
  <c r="K2099" i="1"/>
  <c r="P2099" i="1"/>
  <c r="R2099" i="1"/>
  <c r="BL2099" i="1"/>
  <c r="BW2099" i="1"/>
  <c r="CH2099" i="1"/>
  <c r="CS2099" i="1"/>
  <c r="K2100" i="1"/>
  <c r="P2100" i="1"/>
  <c r="R2100" i="1"/>
  <c r="BL2100" i="1"/>
  <c r="BW2100" i="1"/>
  <c r="CH2100" i="1"/>
  <c r="CS2100" i="1"/>
  <c r="K2101" i="1"/>
  <c r="P2101" i="1"/>
  <c r="R2101" i="1"/>
  <c r="BL2101" i="1"/>
  <c r="BW2101" i="1"/>
  <c r="CH2101" i="1"/>
  <c r="CS2101" i="1"/>
  <c r="K2102" i="1"/>
  <c r="P2102" i="1"/>
  <c r="R2102" i="1"/>
  <c r="BL2102" i="1"/>
  <c r="BW2102" i="1"/>
  <c r="CH2102" i="1"/>
  <c r="CS2102" i="1"/>
  <c r="K2103" i="1"/>
  <c r="P2103" i="1"/>
  <c r="R2103" i="1"/>
  <c r="BL2103" i="1"/>
  <c r="BW2103" i="1"/>
  <c r="CH2103" i="1"/>
  <c r="CS2103" i="1"/>
  <c r="K2104" i="1"/>
  <c r="P2104" i="1"/>
  <c r="R2104" i="1"/>
  <c r="BL2104" i="1"/>
  <c r="BW2104" i="1"/>
  <c r="CH2104" i="1"/>
  <c r="CS2104" i="1"/>
  <c r="K2105" i="1"/>
  <c r="P2105" i="1"/>
  <c r="R2105" i="1"/>
  <c r="BL2105" i="1"/>
  <c r="BW2105" i="1"/>
  <c r="CH2105" i="1"/>
  <c r="CS2105" i="1"/>
  <c r="K2106" i="1"/>
  <c r="P2106" i="1"/>
  <c r="R2106" i="1"/>
  <c r="BL2106" i="1"/>
  <c r="BW2106" i="1"/>
  <c r="CH2106" i="1"/>
  <c r="CS2106" i="1"/>
  <c r="K2107" i="1"/>
  <c r="P2107" i="1"/>
  <c r="R2107" i="1"/>
  <c r="BL2107" i="1"/>
  <c r="BW2107" i="1"/>
  <c r="CH2107" i="1"/>
  <c r="CS2107" i="1"/>
  <c r="K2108" i="1"/>
  <c r="P2108" i="1"/>
  <c r="R2108" i="1"/>
  <c r="BL2108" i="1"/>
  <c r="BW2108" i="1"/>
  <c r="CH2108" i="1"/>
  <c r="CS2108" i="1"/>
  <c r="K2109" i="1"/>
  <c r="P2109" i="1"/>
  <c r="R2109" i="1"/>
  <c r="BL2109" i="1"/>
  <c r="BW2109" i="1"/>
  <c r="CH2109" i="1"/>
  <c r="CS2109" i="1"/>
  <c r="K2110" i="1"/>
  <c r="P2110" i="1"/>
  <c r="R2110" i="1"/>
  <c r="BL2110" i="1"/>
  <c r="BW2110" i="1"/>
  <c r="CH2110" i="1"/>
  <c r="CS2110" i="1"/>
  <c r="K2111" i="1"/>
  <c r="P2111" i="1"/>
  <c r="R2111" i="1"/>
  <c r="BL2111" i="1"/>
  <c r="BW2111" i="1"/>
  <c r="CH2111" i="1"/>
  <c r="CS2111" i="1"/>
  <c r="K2112" i="1"/>
  <c r="P2112" i="1"/>
  <c r="R2112" i="1"/>
  <c r="BL2112" i="1"/>
  <c r="BW2112" i="1"/>
  <c r="CH2112" i="1"/>
  <c r="CS2112" i="1"/>
  <c r="K2113" i="1"/>
  <c r="P2113" i="1"/>
  <c r="R2113" i="1"/>
  <c r="BL2113" i="1"/>
  <c r="BW2113" i="1"/>
  <c r="CH2113" i="1"/>
  <c r="CS2113" i="1"/>
  <c r="K2114" i="1"/>
  <c r="P2114" i="1"/>
  <c r="R2114" i="1"/>
  <c r="BL2114" i="1"/>
  <c r="BW2114" i="1"/>
  <c r="CH2114" i="1"/>
  <c r="CS2114" i="1"/>
  <c r="K2115" i="1"/>
  <c r="P2115" i="1"/>
  <c r="R2115" i="1"/>
  <c r="BL2115" i="1"/>
  <c r="BW2115" i="1"/>
  <c r="CH2115" i="1"/>
  <c r="CS2115" i="1"/>
  <c r="K2116" i="1"/>
  <c r="P2116" i="1"/>
  <c r="R2116" i="1"/>
  <c r="BL2116" i="1"/>
  <c r="BW2116" i="1"/>
  <c r="CH2116" i="1"/>
  <c r="CS2116" i="1"/>
  <c r="K2117" i="1"/>
  <c r="P2117" i="1"/>
  <c r="R2117" i="1"/>
  <c r="BL2117" i="1"/>
  <c r="BW2117" i="1"/>
  <c r="CH2117" i="1"/>
  <c r="CS2117" i="1"/>
  <c r="K2118" i="1"/>
  <c r="P2118" i="1"/>
  <c r="R2118" i="1"/>
  <c r="BL2118" i="1"/>
  <c r="BW2118" i="1"/>
  <c r="CH2118" i="1"/>
  <c r="CS2118" i="1"/>
  <c r="K2119" i="1"/>
  <c r="P2119" i="1"/>
  <c r="R2119" i="1"/>
  <c r="BL2119" i="1"/>
  <c r="BW2119" i="1"/>
  <c r="CH2119" i="1"/>
  <c r="CS2119" i="1"/>
  <c r="K2120" i="1"/>
  <c r="P2120" i="1"/>
  <c r="R2120" i="1"/>
  <c r="BL2120" i="1"/>
  <c r="BW2120" i="1"/>
  <c r="CH2120" i="1"/>
  <c r="CS2120" i="1"/>
  <c r="K2121" i="1"/>
  <c r="P2121" i="1"/>
  <c r="R2121" i="1"/>
  <c r="BL2121" i="1"/>
  <c r="BW2121" i="1"/>
  <c r="CH2121" i="1"/>
  <c r="CS2121" i="1"/>
  <c r="K2122" i="1"/>
  <c r="P2122" i="1"/>
  <c r="R2122" i="1"/>
  <c r="BL2122" i="1"/>
  <c r="BW2122" i="1"/>
  <c r="CH2122" i="1"/>
  <c r="CS2122" i="1"/>
  <c r="K2123" i="1"/>
  <c r="P2123" i="1"/>
  <c r="R2123" i="1"/>
  <c r="BL2123" i="1"/>
  <c r="BW2123" i="1"/>
  <c r="CH2123" i="1"/>
  <c r="CS2123" i="1"/>
  <c r="K2124" i="1"/>
  <c r="P2124" i="1"/>
  <c r="R2124" i="1"/>
  <c r="BL2124" i="1"/>
  <c r="BW2124" i="1"/>
  <c r="CH2124" i="1"/>
  <c r="CS2124" i="1"/>
  <c r="K2125" i="1"/>
  <c r="P2125" i="1"/>
  <c r="R2125" i="1"/>
  <c r="BL2125" i="1"/>
  <c r="BW2125" i="1"/>
  <c r="CH2125" i="1"/>
  <c r="CS2125" i="1"/>
  <c r="K2126" i="1"/>
  <c r="P2126" i="1"/>
  <c r="R2126" i="1"/>
  <c r="BL2126" i="1"/>
  <c r="BW2126" i="1"/>
  <c r="CH2126" i="1"/>
  <c r="CS2126" i="1"/>
  <c r="K2127" i="1"/>
  <c r="P2127" i="1"/>
  <c r="R2127" i="1"/>
  <c r="BL2127" i="1"/>
  <c r="BW2127" i="1"/>
  <c r="CH2127" i="1"/>
  <c r="CS2127" i="1"/>
  <c r="K2128" i="1"/>
  <c r="P2128" i="1"/>
  <c r="R2128" i="1"/>
  <c r="BL2128" i="1"/>
  <c r="BW2128" i="1"/>
  <c r="CH2128" i="1"/>
  <c r="CS2128" i="1"/>
  <c r="K2129" i="1"/>
  <c r="P2129" i="1"/>
  <c r="R2129" i="1"/>
  <c r="BL2129" i="1"/>
  <c r="BW2129" i="1"/>
  <c r="CH2129" i="1"/>
  <c r="CS2129" i="1"/>
  <c r="K2130" i="1"/>
  <c r="P2130" i="1"/>
  <c r="R2130" i="1"/>
  <c r="BL2130" i="1"/>
  <c r="BW2130" i="1"/>
  <c r="CH2130" i="1"/>
  <c r="CS2130" i="1"/>
  <c r="K2131" i="1"/>
  <c r="P2131" i="1"/>
  <c r="R2131" i="1"/>
  <c r="BL2131" i="1"/>
  <c r="BW2131" i="1"/>
  <c r="CH2131" i="1"/>
  <c r="CS2131" i="1"/>
  <c r="K2132" i="1"/>
  <c r="P2132" i="1"/>
  <c r="R2132" i="1"/>
  <c r="BL2132" i="1"/>
  <c r="BW2132" i="1"/>
  <c r="CH2132" i="1"/>
  <c r="CS2132" i="1"/>
  <c r="K2133" i="1"/>
  <c r="P2133" i="1"/>
  <c r="R2133" i="1"/>
  <c r="BL2133" i="1"/>
  <c r="BW2133" i="1"/>
  <c r="CH2133" i="1"/>
  <c r="CS2133" i="1"/>
  <c r="K2134" i="1"/>
  <c r="P2134" i="1"/>
  <c r="R2134" i="1"/>
  <c r="BL2134" i="1"/>
  <c r="BW2134" i="1"/>
  <c r="CH2134" i="1"/>
  <c r="CS2134" i="1"/>
  <c r="K2135" i="1"/>
  <c r="P2135" i="1"/>
  <c r="R2135" i="1"/>
  <c r="BL2135" i="1"/>
  <c r="BW2135" i="1"/>
  <c r="CH2135" i="1"/>
  <c r="CS2135" i="1"/>
  <c r="K2136" i="1"/>
  <c r="P2136" i="1"/>
  <c r="R2136" i="1"/>
  <c r="BL2136" i="1"/>
  <c r="BW2136" i="1"/>
  <c r="CH2136" i="1"/>
  <c r="CS2136" i="1"/>
  <c r="K2137" i="1"/>
  <c r="P2137" i="1"/>
  <c r="R2137" i="1"/>
  <c r="BL2137" i="1"/>
  <c r="BW2137" i="1"/>
  <c r="CH2137" i="1"/>
  <c r="CS2137" i="1"/>
  <c r="K2138" i="1"/>
  <c r="P2138" i="1"/>
  <c r="R2138" i="1"/>
  <c r="BL2138" i="1"/>
  <c r="BW2138" i="1"/>
  <c r="CH2138" i="1"/>
  <c r="CS2138" i="1"/>
  <c r="K2139" i="1"/>
  <c r="P2139" i="1"/>
  <c r="R2139" i="1"/>
  <c r="BL2139" i="1"/>
  <c r="BW2139" i="1"/>
  <c r="CH2139" i="1"/>
  <c r="CS2139" i="1"/>
  <c r="K2140" i="1"/>
  <c r="P2140" i="1"/>
  <c r="R2140" i="1"/>
  <c r="BL2140" i="1"/>
  <c r="BW2140" i="1"/>
  <c r="CH2140" i="1"/>
  <c r="CS2140" i="1"/>
  <c r="K2141" i="1"/>
  <c r="P2141" i="1"/>
  <c r="R2141" i="1"/>
  <c r="BL2141" i="1"/>
  <c r="BW2141" i="1"/>
  <c r="CH2141" i="1"/>
  <c r="CS2141" i="1"/>
  <c r="K2142" i="1"/>
  <c r="P2142" i="1"/>
  <c r="R2142" i="1"/>
  <c r="BL2142" i="1"/>
  <c r="BW2142" i="1"/>
  <c r="CH2142" i="1"/>
  <c r="CS2142" i="1"/>
  <c r="K2143" i="1"/>
  <c r="P2143" i="1"/>
  <c r="R2143" i="1"/>
  <c r="BL2143" i="1"/>
  <c r="BW2143" i="1"/>
  <c r="CH2143" i="1"/>
  <c r="CS2143" i="1"/>
  <c r="K2144" i="1"/>
  <c r="P2144" i="1"/>
  <c r="R2144" i="1"/>
  <c r="BL2144" i="1"/>
  <c r="BW2144" i="1"/>
  <c r="CH2144" i="1"/>
  <c r="CS2144" i="1"/>
  <c r="K2145" i="1"/>
  <c r="P2145" i="1"/>
  <c r="R2145" i="1"/>
  <c r="BL2145" i="1"/>
  <c r="BW2145" i="1"/>
  <c r="CH2145" i="1"/>
  <c r="CS2145" i="1"/>
  <c r="K2146" i="1"/>
  <c r="P2146" i="1"/>
  <c r="R2146" i="1"/>
  <c r="BL2146" i="1"/>
  <c r="BW2146" i="1"/>
  <c r="CH2146" i="1"/>
  <c r="CS2146" i="1"/>
  <c r="K2147" i="1"/>
  <c r="P2147" i="1"/>
  <c r="R2147" i="1"/>
  <c r="BL2147" i="1"/>
  <c r="BW2147" i="1"/>
  <c r="CH2147" i="1"/>
  <c r="CS2147" i="1"/>
  <c r="K2148" i="1"/>
  <c r="P2148" i="1"/>
  <c r="R2148" i="1"/>
  <c r="BL2148" i="1"/>
  <c r="BW2148" i="1"/>
  <c r="CH2148" i="1"/>
  <c r="CS2148" i="1"/>
  <c r="K2149" i="1"/>
  <c r="P2149" i="1"/>
  <c r="R2149" i="1"/>
  <c r="BL2149" i="1"/>
  <c r="BW2149" i="1"/>
  <c r="CH2149" i="1"/>
  <c r="CS2149" i="1"/>
  <c r="K2150" i="1"/>
  <c r="P2150" i="1"/>
  <c r="R2150" i="1"/>
  <c r="BL2150" i="1"/>
  <c r="BW2150" i="1"/>
  <c r="CH2150" i="1"/>
  <c r="CS2150" i="1"/>
  <c r="K2151" i="1"/>
  <c r="P2151" i="1"/>
  <c r="R2151" i="1"/>
  <c r="BL2151" i="1"/>
  <c r="BW2151" i="1"/>
  <c r="CH2151" i="1"/>
  <c r="CS2151" i="1"/>
  <c r="K2152" i="1"/>
  <c r="P2152" i="1"/>
  <c r="R2152" i="1"/>
  <c r="BL2152" i="1"/>
  <c r="BW2152" i="1"/>
  <c r="CH2152" i="1"/>
  <c r="CS2152" i="1"/>
  <c r="K2153" i="1"/>
  <c r="P2153" i="1"/>
  <c r="R2153" i="1"/>
  <c r="BL2153" i="1"/>
  <c r="BW2153" i="1"/>
  <c r="CH2153" i="1"/>
  <c r="CS2153" i="1"/>
  <c r="K2154" i="1"/>
  <c r="P2154" i="1"/>
  <c r="R2154" i="1"/>
  <c r="BL2154" i="1"/>
  <c r="BW2154" i="1"/>
  <c r="CH2154" i="1"/>
  <c r="CS2154" i="1"/>
  <c r="K2155" i="1"/>
  <c r="P2155" i="1"/>
  <c r="R2155" i="1"/>
  <c r="BL2155" i="1"/>
  <c r="BW2155" i="1"/>
  <c r="CH2155" i="1"/>
  <c r="CS2155" i="1"/>
  <c r="K2156" i="1"/>
  <c r="P2156" i="1"/>
  <c r="R2156" i="1"/>
  <c r="BL2156" i="1"/>
  <c r="BW2156" i="1"/>
  <c r="CH2156" i="1"/>
  <c r="CS2156" i="1"/>
  <c r="K2157" i="1"/>
  <c r="P2157" i="1"/>
  <c r="R2157" i="1"/>
  <c r="BL2157" i="1"/>
  <c r="BW2157" i="1"/>
  <c r="CH2157" i="1"/>
  <c r="CS2157" i="1"/>
  <c r="K2158" i="1"/>
  <c r="P2158" i="1"/>
  <c r="R2158" i="1"/>
  <c r="BL2158" i="1"/>
  <c r="BW2158" i="1"/>
  <c r="CH2158" i="1"/>
  <c r="CS2158" i="1"/>
  <c r="K2159" i="1"/>
  <c r="P2159" i="1"/>
  <c r="R2159" i="1"/>
  <c r="BL2159" i="1"/>
  <c r="BW2159" i="1"/>
  <c r="CH2159" i="1"/>
  <c r="CS2159" i="1"/>
  <c r="K2160" i="1"/>
  <c r="P2160" i="1"/>
  <c r="R2160" i="1"/>
  <c r="BL2160" i="1"/>
  <c r="BW2160" i="1"/>
  <c r="CH2160" i="1"/>
  <c r="CS2160" i="1"/>
  <c r="K2161" i="1"/>
  <c r="P2161" i="1"/>
  <c r="R2161" i="1"/>
  <c r="BL2161" i="1"/>
  <c r="BW2161" i="1"/>
  <c r="CH2161" i="1"/>
  <c r="CS2161" i="1"/>
  <c r="K2162" i="1"/>
  <c r="P2162" i="1"/>
  <c r="R2162" i="1"/>
  <c r="BL2162" i="1"/>
  <c r="BW2162" i="1"/>
  <c r="CH2162" i="1"/>
  <c r="CS2162" i="1"/>
  <c r="K2163" i="1"/>
  <c r="P2163" i="1"/>
  <c r="R2163" i="1"/>
  <c r="BL2163" i="1"/>
  <c r="BW2163" i="1"/>
  <c r="CH2163" i="1"/>
  <c r="CS2163" i="1"/>
  <c r="K2164" i="1"/>
  <c r="P2164" i="1"/>
  <c r="R2164" i="1"/>
  <c r="BL2164" i="1"/>
  <c r="BW2164" i="1"/>
  <c r="CH2164" i="1"/>
  <c r="CS2164" i="1"/>
  <c r="K2165" i="1"/>
  <c r="P2165" i="1"/>
  <c r="R2165" i="1"/>
  <c r="BL2165" i="1"/>
  <c r="BW2165" i="1"/>
  <c r="CH2165" i="1"/>
  <c r="CS2165" i="1"/>
  <c r="K2166" i="1"/>
  <c r="P2166" i="1"/>
  <c r="R2166" i="1"/>
  <c r="BL2166" i="1"/>
  <c r="BW2166" i="1"/>
  <c r="CH2166" i="1"/>
  <c r="CS2166" i="1"/>
  <c r="K2167" i="1"/>
  <c r="P2167" i="1"/>
  <c r="R2167" i="1"/>
  <c r="BL2167" i="1"/>
  <c r="BW2167" i="1"/>
  <c r="CH2167" i="1"/>
  <c r="CS2167" i="1"/>
  <c r="K2168" i="1"/>
  <c r="P2168" i="1"/>
  <c r="R2168" i="1"/>
  <c r="BL2168" i="1"/>
  <c r="BW2168" i="1"/>
  <c r="CH2168" i="1"/>
  <c r="CS2168" i="1"/>
  <c r="K2169" i="1"/>
  <c r="P2169" i="1"/>
  <c r="R2169" i="1"/>
  <c r="BL2169" i="1"/>
  <c r="BW2169" i="1"/>
  <c r="CH2169" i="1"/>
  <c r="CS2169" i="1"/>
  <c r="K2170" i="1"/>
  <c r="P2170" i="1"/>
  <c r="R2170" i="1"/>
  <c r="BL2170" i="1"/>
  <c r="BW2170" i="1"/>
  <c r="CH2170" i="1"/>
  <c r="CS2170" i="1"/>
  <c r="K2171" i="1"/>
  <c r="P2171" i="1"/>
  <c r="R2171" i="1"/>
  <c r="BL2171" i="1"/>
  <c r="BW2171" i="1"/>
  <c r="CH2171" i="1"/>
  <c r="CS2171" i="1"/>
  <c r="K2172" i="1"/>
  <c r="P2172" i="1"/>
  <c r="R2172" i="1"/>
  <c r="BL2172" i="1"/>
  <c r="BW2172" i="1"/>
  <c r="CH2172" i="1"/>
  <c r="CS2172" i="1"/>
  <c r="K2173" i="1"/>
  <c r="P2173" i="1"/>
  <c r="R2173" i="1"/>
  <c r="BL2173" i="1"/>
  <c r="BW2173" i="1"/>
  <c r="CH2173" i="1"/>
  <c r="CS2173" i="1"/>
  <c r="K2174" i="1"/>
  <c r="P2174" i="1"/>
  <c r="R2174" i="1"/>
  <c r="BL2174" i="1"/>
  <c r="BW2174" i="1"/>
  <c r="CH2174" i="1"/>
  <c r="CS2174" i="1"/>
  <c r="K2175" i="1"/>
  <c r="P2175" i="1"/>
  <c r="R2175" i="1"/>
  <c r="BL2175" i="1"/>
  <c r="BW2175" i="1"/>
  <c r="CH2175" i="1"/>
  <c r="CS2175" i="1"/>
  <c r="K2176" i="1"/>
  <c r="P2176" i="1"/>
  <c r="R2176" i="1"/>
  <c r="BL2176" i="1"/>
  <c r="BW2176" i="1"/>
  <c r="CH2176" i="1"/>
  <c r="CS2176" i="1"/>
  <c r="K2177" i="1"/>
  <c r="P2177" i="1"/>
  <c r="R2177" i="1"/>
  <c r="BL2177" i="1"/>
  <c r="BW2177" i="1"/>
  <c r="CH2177" i="1"/>
  <c r="CS2177" i="1"/>
  <c r="K2178" i="1"/>
  <c r="P2178" i="1"/>
  <c r="R2178" i="1"/>
  <c r="BL2178" i="1"/>
  <c r="BW2178" i="1"/>
  <c r="CH2178" i="1"/>
  <c r="CS2178" i="1"/>
  <c r="K2179" i="1"/>
  <c r="P2179" i="1"/>
  <c r="R2179" i="1"/>
  <c r="BL2179" i="1"/>
  <c r="BW2179" i="1"/>
  <c r="CH2179" i="1"/>
  <c r="CS2179" i="1"/>
  <c r="K2180" i="1"/>
  <c r="P2180" i="1"/>
  <c r="R2180" i="1"/>
  <c r="BL2180" i="1"/>
  <c r="BW2180" i="1"/>
  <c r="CH2180" i="1"/>
  <c r="CS2180" i="1"/>
  <c r="K2181" i="1"/>
  <c r="P2181" i="1"/>
  <c r="R2181" i="1"/>
  <c r="BL2181" i="1"/>
  <c r="BW2181" i="1"/>
  <c r="CH2181" i="1"/>
  <c r="CS2181" i="1"/>
  <c r="K2182" i="1"/>
  <c r="P2182" i="1"/>
  <c r="R2182" i="1"/>
  <c r="BL2182" i="1"/>
  <c r="BW2182" i="1"/>
  <c r="CH2182" i="1"/>
  <c r="CS2182" i="1"/>
  <c r="K2183" i="1"/>
  <c r="P2183" i="1"/>
  <c r="R2183" i="1"/>
  <c r="BL2183" i="1"/>
  <c r="BW2183" i="1"/>
  <c r="CH2183" i="1"/>
  <c r="CS2183" i="1"/>
  <c r="K2184" i="1"/>
  <c r="P2184" i="1"/>
  <c r="R2184" i="1"/>
  <c r="BL2184" i="1"/>
  <c r="BW2184" i="1"/>
  <c r="CH2184" i="1"/>
  <c r="CS2184" i="1"/>
  <c r="K2185" i="1"/>
  <c r="P2185" i="1"/>
  <c r="R2185" i="1"/>
  <c r="BL2185" i="1"/>
  <c r="BW2185" i="1"/>
  <c r="CH2185" i="1"/>
  <c r="CS2185" i="1"/>
  <c r="K2186" i="1"/>
  <c r="P2186" i="1"/>
  <c r="R2186" i="1"/>
  <c r="BL2186" i="1"/>
  <c r="BW2186" i="1"/>
  <c r="CH2186" i="1"/>
  <c r="CS2186" i="1"/>
  <c r="K2187" i="1"/>
  <c r="P2187" i="1"/>
  <c r="R2187" i="1"/>
  <c r="BL2187" i="1"/>
  <c r="BW2187" i="1"/>
  <c r="CH2187" i="1"/>
  <c r="CS2187" i="1"/>
  <c r="K2188" i="1"/>
  <c r="P2188" i="1"/>
  <c r="R2188" i="1"/>
  <c r="BL2188" i="1"/>
  <c r="BW2188" i="1"/>
  <c r="CH2188" i="1"/>
  <c r="CS2188" i="1"/>
  <c r="K2189" i="1"/>
  <c r="P2189" i="1"/>
  <c r="R2189" i="1"/>
  <c r="BL2189" i="1"/>
  <c r="BW2189" i="1"/>
  <c r="CH2189" i="1"/>
  <c r="CS2189" i="1"/>
  <c r="K2190" i="1"/>
  <c r="P2190" i="1"/>
  <c r="R2190" i="1"/>
  <c r="BL2190" i="1"/>
  <c r="BW2190" i="1"/>
  <c r="CH2190" i="1"/>
  <c r="CS2190" i="1"/>
  <c r="K2191" i="1"/>
  <c r="P2191" i="1"/>
  <c r="R2191" i="1"/>
  <c r="BL2191" i="1"/>
  <c r="BW2191" i="1"/>
  <c r="CH2191" i="1"/>
  <c r="CS2191" i="1"/>
  <c r="K2192" i="1"/>
  <c r="P2192" i="1"/>
  <c r="R2192" i="1"/>
  <c r="BL2192" i="1"/>
  <c r="BW2192" i="1"/>
  <c r="CH2192" i="1"/>
  <c r="CS2192" i="1"/>
  <c r="K2193" i="1"/>
  <c r="P2193" i="1"/>
  <c r="R2193" i="1"/>
  <c r="BL2193" i="1"/>
  <c r="BW2193" i="1"/>
  <c r="CH2193" i="1"/>
  <c r="CS2193" i="1"/>
  <c r="K2194" i="1"/>
  <c r="P2194" i="1"/>
  <c r="R2194" i="1"/>
  <c r="BL2194" i="1"/>
  <c r="BW2194" i="1"/>
  <c r="CH2194" i="1"/>
  <c r="CS2194" i="1"/>
  <c r="K2195" i="1"/>
  <c r="P2195" i="1"/>
  <c r="R2195" i="1"/>
  <c r="BL2195" i="1"/>
  <c r="BW2195" i="1"/>
  <c r="CH2195" i="1"/>
  <c r="CS2195" i="1"/>
  <c r="K2196" i="1"/>
  <c r="P2196" i="1"/>
  <c r="R2196" i="1"/>
  <c r="BL2196" i="1"/>
  <c r="BW2196" i="1"/>
  <c r="CH2196" i="1"/>
  <c r="CS2196" i="1"/>
  <c r="K2197" i="1"/>
  <c r="P2197" i="1"/>
  <c r="R2197" i="1"/>
  <c r="BL2197" i="1"/>
  <c r="BW2197" i="1"/>
  <c r="CH2197" i="1"/>
  <c r="CS2197" i="1"/>
  <c r="K2198" i="1"/>
  <c r="P2198" i="1"/>
  <c r="R2198" i="1"/>
  <c r="BL2198" i="1"/>
  <c r="BW2198" i="1"/>
  <c r="CH2198" i="1"/>
  <c r="CS2198" i="1"/>
  <c r="K2199" i="1"/>
  <c r="P2199" i="1"/>
  <c r="R2199" i="1"/>
  <c r="BL2199" i="1"/>
  <c r="BW2199" i="1"/>
  <c r="CH2199" i="1"/>
  <c r="CS2199" i="1"/>
  <c r="K2200" i="1"/>
  <c r="P2200" i="1"/>
  <c r="R2200" i="1"/>
  <c r="BL2200" i="1"/>
  <c r="BW2200" i="1"/>
  <c r="CH2200" i="1"/>
  <c r="CS2200" i="1"/>
  <c r="K2201" i="1"/>
  <c r="P2201" i="1"/>
  <c r="R2201" i="1"/>
  <c r="BL2201" i="1"/>
  <c r="BW2201" i="1"/>
  <c r="CH2201" i="1"/>
  <c r="CS2201" i="1"/>
  <c r="K2202" i="1"/>
  <c r="P2202" i="1"/>
  <c r="R2202" i="1"/>
  <c r="BL2202" i="1"/>
  <c r="BW2202" i="1"/>
  <c r="CH2202" i="1"/>
  <c r="CS2202" i="1"/>
  <c r="K2203" i="1"/>
  <c r="P2203" i="1"/>
  <c r="R2203" i="1"/>
  <c r="BL2203" i="1"/>
  <c r="BW2203" i="1"/>
  <c r="CH2203" i="1"/>
  <c r="CS2203" i="1"/>
  <c r="K2204" i="1"/>
  <c r="P2204" i="1"/>
  <c r="R2204" i="1"/>
  <c r="BL2204" i="1"/>
  <c r="BW2204" i="1"/>
  <c r="CH2204" i="1"/>
  <c r="CS2204" i="1"/>
  <c r="K2205" i="1"/>
  <c r="P2205" i="1"/>
  <c r="R2205" i="1"/>
  <c r="BL2205" i="1"/>
  <c r="BW2205" i="1"/>
  <c r="CH2205" i="1"/>
  <c r="CS2205" i="1"/>
  <c r="K2206" i="1"/>
  <c r="P2206" i="1"/>
  <c r="R2206" i="1"/>
  <c r="BL2206" i="1"/>
  <c r="BW2206" i="1"/>
  <c r="CH2206" i="1"/>
  <c r="CS2206" i="1"/>
  <c r="K2207" i="1"/>
  <c r="P2207" i="1"/>
  <c r="R2207" i="1"/>
  <c r="BL2207" i="1"/>
  <c r="BW2207" i="1"/>
  <c r="CH2207" i="1"/>
  <c r="CS2207" i="1"/>
  <c r="K2208" i="1"/>
  <c r="P2208" i="1"/>
  <c r="R2208" i="1"/>
  <c r="BL2208" i="1"/>
  <c r="BW2208" i="1"/>
  <c r="CH2208" i="1"/>
  <c r="CS2208" i="1"/>
  <c r="K2209" i="1"/>
  <c r="P2209" i="1"/>
  <c r="R2209" i="1"/>
  <c r="BL2209" i="1"/>
  <c r="BW2209" i="1"/>
  <c r="CH2209" i="1"/>
  <c r="CS2209" i="1"/>
  <c r="K2210" i="1"/>
  <c r="P2210" i="1"/>
  <c r="R2210" i="1"/>
  <c r="BL2210" i="1"/>
  <c r="BW2210" i="1"/>
  <c r="CH2210" i="1"/>
  <c r="CS2210" i="1"/>
  <c r="K2211" i="1"/>
  <c r="P2211" i="1"/>
  <c r="R2211" i="1"/>
  <c r="BL2211" i="1"/>
  <c r="BW2211" i="1"/>
  <c r="CH2211" i="1"/>
  <c r="CS2211" i="1"/>
  <c r="K2212" i="1"/>
  <c r="P2212" i="1"/>
  <c r="R2212" i="1"/>
  <c r="BL2212" i="1"/>
  <c r="BW2212" i="1"/>
  <c r="CH2212" i="1"/>
  <c r="CS2212" i="1"/>
  <c r="K2213" i="1"/>
  <c r="P2213" i="1"/>
  <c r="R2213" i="1"/>
  <c r="BL2213" i="1"/>
  <c r="BW2213" i="1"/>
  <c r="CH2213" i="1"/>
  <c r="CS2213" i="1"/>
  <c r="K2214" i="1"/>
  <c r="P2214" i="1"/>
  <c r="R2214" i="1"/>
  <c r="BL2214" i="1"/>
  <c r="BW2214" i="1"/>
  <c r="CH2214" i="1"/>
  <c r="CS2214" i="1"/>
  <c r="K2215" i="1"/>
  <c r="P2215" i="1"/>
  <c r="R2215" i="1"/>
  <c r="BL2215" i="1"/>
  <c r="BW2215" i="1"/>
  <c r="CH2215" i="1"/>
  <c r="CS2215" i="1"/>
  <c r="K2216" i="1"/>
  <c r="P2216" i="1"/>
  <c r="R2216" i="1"/>
  <c r="BL2216" i="1"/>
  <c r="BW2216" i="1"/>
  <c r="CH2216" i="1"/>
  <c r="CS2216" i="1"/>
  <c r="K2217" i="1"/>
  <c r="P2217" i="1"/>
  <c r="R2217" i="1"/>
  <c r="BL2217" i="1"/>
  <c r="BW2217" i="1"/>
  <c r="CH2217" i="1"/>
  <c r="CS2217" i="1"/>
  <c r="K2218" i="1"/>
  <c r="P2218" i="1"/>
  <c r="R2218" i="1"/>
  <c r="BL2218" i="1"/>
  <c r="BW2218" i="1"/>
  <c r="CH2218" i="1"/>
  <c r="CS2218" i="1"/>
  <c r="K2219" i="1"/>
  <c r="P2219" i="1"/>
  <c r="R2219" i="1"/>
  <c r="BL2219" i="1"/>
  <c r="BW2219" i="1"/>
  <c r="CH2219" i="1"/>
  <c r="CS2219" i="1"/>
  <c r="K2220" i="1"/>
  <c r="P2220" i="1"/>
  <c r="R2220" i="1"/>
  <c r="BL2220" i="1"/>
  <c r="BW2220" i="1"/>
  <c r="CH2220" i="1"/>
  <c r="CS2220" i="1"/>
  <c r="K2221" i="1"/>
  <c r="P2221" i="1"/>
  <c r="R2221" i="1"/>
  <c r="BL2221" i="1"/>
  <c r="BW2221" i="1"/>
  <c r="CH2221" i="1"/>
  <c r="CS2221" i="1"/>
  <c r="K2222" i="1"/>
  <c r="P2222" i="1"/>
  <c r="R2222" i="1"/>
  <c r="BL2222" i="1"/>
  <c r="BW2222" i="1"/>
  <c r="CH2222" i="1"/>
  <c r="CS2222" i="1"/>
  <c r="K2223" i="1"/>
  <c r="P2223" i="1"/>
  <c r="R2223" i="1"/>
  <c r="BL2223" i="1"/>
  <c r="BW2223" i="1"/>
  <c r="CH2223" i="1"/>
  <c r="CS2223" i="1"/>
  <c r="K2224" i="1"/>
  <c r="P2224" i="1"/>
  <c r="R2224" i="1"/>
  <c r="BL2224" i="1"/>
  <c r="BW2224" i="1"/>
  <c r="CH2224" i="1"/>
  <c r="CS2224" i="1"/>
  <c r="K2225" i="1"/>
  <c r="P2225" i="1"/>
  <c r="R2225" i="1"/>
  <c r="BL2225" i="1"/>
  <c r="BW2225" i="1"/>
  <c r="CH2225" i="1"/>
  <c r="CS2225" i="1"/>
  <c r="K2226" i="1"/>
  <c r="P2226" i="1"/>
  <c r="R2226" i="1"/>
  <c r="BL2226" i="1"/>
  <c r="BW2226" i="1"/>
  <c r="CH2226" i="1"/>
  <c r="CS2226" i="1"/>
  <c r="K2227" i="1"/>
  <c r="P2227" i="1"/>
  <c r="R2227" i="1"/>
  <c r="BL2227" i="1"/>
  <c r="BW2227" i="1"/>
  <c r="CH2227" i="1"/>
  <c r="CS2227" i="1"/>
  <c r="K2228" i="1"/>
  <c r="P2228" i="1"/>
  <c r="R2228" i="1"/>
  <c r="BL2228" i="1"/>
  <c r="BW2228" i="1"/>
  <c r="CH2228" i="1"/>
  <c r="CS2228" i="1"/>
  <c r="K2229" i="1"/>
  <c r="P2229" i="1"/>
  <c r="R2229" i="1"/>
  <c r="BL2229" i="1"/>
  <c r="BW2229" i="1"/>
  <c r="CH2229" i="1"/>
  <c r="CS2229" i="1"/>
  <c r="K2230" i="1"/>
  <c r="P2230" i="1"/>
  <c r="R2230" i="1"/>
  <c r="BL2230" i="1"/>
  <c r="BW2230" i="1"/>
  <c r="CH2230" i="1"/>
  <c r="CS2230" i="1"/>
  <c r="K2231" i="1"/>
  <c r="P2231" i="1"/>
  <c r="R2231" i="1"/>
  <c r="BL2231" i="1"/>
  <c r="BW2231" i="1"/>
  <c r="CH2231" i="1"/>
  <c r="CS2231" i="1"/>
  <c r="K2232" i="1"/>
  <c r="P2232" i="1"/>
  <c r="R2232" i="1"/>
  <c r="BL2232" i="1"/>
  <c r="BW2232" i="1"/>
  <c r="CH2232" i="1"/>
  <c r="CS2232" i="1"/>
  <c r="K2233" i="1"/>
  <c r="P2233" i="1"/>
  <c r="R2233" i="1"/>
  <c r="BL2233" i="1"/>
  <c r="BW2233" i="1"/>
  <c r="CH2233" i="1"/>
  <c r="CS2233" i="1"/>
  <c r="K2234" i="1"/>
  <c r="P2234" i="1"/>
  <c r="R2234" i="1"/>
  <c r="BL2234" i="1"/>
  <c r="BW2234" i="1"/>
  <c r="CH2234" i="1"/>
  <c r="CS2234" i="1"/>
  <c r="K2235" i="1"/>
  <c r="P2235" i="1"/>
  <c r="R2235" i="1"/>
  <c r="BL2235" i="1"/>
  <c r="BW2235" i="1"/>
  <c r="CH2235" i="1"/>
  <c r="CS2235" i="1"/>
  <c r="K2236" i="1"/>
  <c r="P2236" i="1"/>
  <c r="R2236" i="1"/>
  <c r="BL2236" i="1"/>
  <c r="BW2236" i="1"/>
  <c r="CH2236" i="1"/>
  <c r="CS2236" i="1"/>
  <c r="K2237" i="1"/>
  <c r="P2237" i="1"/>
  <c r="R2237" i="1"/>
  <c r="BL2237" i="1"/>
  <c r="BW2237" i="1"/>
  <c r="CH2237" i="1"/>
  <c r="CS2237" i="1"/>
  <c r="K2238" i="1"/>
  <c r="P2238" i="1"/>
  <c r="R2238" i="1"/>
  <c r="BL2238" i="1"/>
  <c r="BW2238" i="1"/>
  <c r="CH2238" i="1"/>
  <c r="CS2238" i="1"/>
  <c r="K2239" i="1"/>
  <c r="P2239" i="1"/>
  <c r="R2239" i="1"/>
  <c r="BL2239" i="1"/>
  <c r="BW2239" i="1"/>
  <c r="CH2239" i="1"/>
  <c r="CS2239" i="1"/>
  <c r="K2240" i="1"/>
  <c r="P2240" i="1"/>
  <c r="R2240" i="1"/>
  <c r="BL2240" i="1"/>
  <c r="BW2240" i="1"/>
  <c r="CH2240" i="1"/>
  <c r="CS2240" i="1"/>
  <c r="K2241" i="1"/>
  <c r="P2241" i="1"/>
  <c r="R2241" i="1"/>
  <c r="BL2241" i="1"/>
  <c r="BW2241" i="1"/>
  <c r="CH2241" i="1"/>
  <c r="CS2241" i="1"/>
  <c r="K2242" i="1"/>
  <c r="P2242" i="1"/>
  <c r="R2242" i="1"/>
  <c r="BL2242" i="1"/>
  <c r="BW2242" i="1"/>
  <c r="CH2242" i="1"/>
  <c r="CS2242" i="1"/>
  <c r="K2243" i="1"/>
  <c r="P2243" i="1"/>
  <c r="R2243" i="1"/>
  <c r="BL2243" i="1"/>
  <c r="BW2243" i="1"/>
  <c r="CH2243" i="1"/>
  <c r="CS2243" i="1"/>
  <c r="K2244" i="1"/>
  <c r="P2244" i="1"/>
  <c r="R2244" i="1"/>
  <c r="BL2244" i="1"/>
  <c r="BW2244" i="1"/>
  <c r="CH2244" i="1"/>
  <c r="CS2244" i="1"/>
  <c r="K2245" i="1"/>
  <c r="P2245" i="1"/>
  <c r="R2245" i="1"/>
  <c r="BL2245" i="1"/>
  <c r="BW2245" i="1"/>
  <c r="CH2245" i="1"/>
  <c r="CS2245" i="1"/>
  <c r="K2246" i="1"/>
  <c r="P2246" i="1"/>
  <c r="R2246" i="1"/>
  <c r="BL2246" i="1"/>
  <c r="BW2246" i="1"/>
  <c r="CH2246" i="1"/>
  <c r="CS2246" i="1"/>
  <c r="K2247" i="1"/>
  <c r="P2247" i="1"/>
  <c r="R2247" i="1"/>
  <c r="BL2247" i="1"/>
  <c r="BW2247" i="1"/>
  <c r="CH2247" i="1"/>
  <c r="CS2247" i="1"/>
  <c r="K2248" i="1"/>
  <c r="P2248" i="1"/>
  <c r="R2248" i="1"/>
  <c r="BL2248" i="1"/>
  <c r="BW2248" i="1"/>
  <c r="CH2248" i="1"/>
  <c r="CS2248" i="1"/>
  <c r="K2249" i="1"/>
  <c r="P2249" i="1"/>
  <c r="R2249" i="1"/>
  <c r="BL2249" i="1"/>
  <c r="BW2249" i="1"/>
  <c r="CH2249" i="1"/>
  <c r="CS2249" i="1"/>
  <c r="K2250" i="1"/>
  <c r="P2250" i="1"/>
  <c r="R2250" i="1"/>
  <c r="BL2250" i="1"/>
  <c r="BW2250" i="1"/>
  <c r="CH2250" i="1"/>
  <c r="CS2250" i="1"/>
  <c r="K2251" i="1"/>
  <c r="P2251" i="1"/>
  <c r="R2251" i="1"/>
  <c r="BL2251" i="1"/>
  <c r="BQ2251" i="1"/>
  <c r="BW2251" i="1"/>
  <c r="CH2251" i="1"/>
  <c r="CS2251" i="1"/>
  <c r="K2252" i="1"/>
  <c r="P2252" i="1"/>
  <c r="R2252" i="1"/>
  <c r="BL2252" i="1"/>
  <c r="BW2252" i="1"/>
  <c r="CH2252" i="1"/>
  <c r="CS2252" i="1"/>
  <c r="K2253" i="1"/>
  <c r="P2253" i="1"/>
  <c r="R2253" i="1"/>
  <c r="BL2253" i="1"/>
  <c r="BW2253" i="1"/>
  <c r="CH2253" i="1"/>
  <c r="CS2253" i="1"/>
  <c r="K2254" i="1"/>
  <c r="P2254" i="1"/>
  <c r="R2254" i="1"/>
  <c r="BL2254" i="1"/>
  <c r="BW2254" i="1"/>
  <c r="CH2254" i="1"/>
  <c r="CS2254" i="1"/>
  <c r="K2255" i="1"/>
  <c r="P2255" i="1"/>
  <c r="R2255" i="1"/>
  <c r="BL2255" i="1"/>
  <c r="BW2255" i="1"/>
  <c r="CH2255" i="1"/>
  <c r="CS2255" i="1"/>
  <c r="K2256" i="1"/>
  <c r="P2256" i="1"/>
  <c r="R2256" i="1"/>
  <c r="BL2256" i="1"/>
  <c r="BW2256" i="1"/>
  <c r="CH2256" i="1"/>
  <c r="CS2256" i="1"/>
  <c r="K2257" i="1"/>
  <c r="P2257" i="1"/>
  <c r="R2257" i="1"/>
  <c r="BL2257" i="1"/>
  <c r="BW2257" i="1"/>
  <c r="CH2257" i="1"/>
  <c r="CS2257" i="1"/>
  <c r="K2258" i="1"/>
  <c r="P2258" i="1"/>
  <c r="R2258" i="1"/>
  <c r="BL2258" i="1"/>
  <c r="BW2258" i="1"/>
  <c r="CH2258" i="1"/>
  <c r="CS2258" i="1"/>
  <c r="K2259" i="1"/>
  <c r="P2259" i="1"/>
  <c r="R2259" i="1"/>
  <c r="BL2259" i="1"/>
  <c r="BW2259" i="1"/>
  <c r="CH2259" i="1"/>
  <c r="CS2259" i="1"/>
  <c r="K2260" i="1"/>
  <c r="P2260" i="1"/>
  <c r="R2260" i="1"/>
  <c r="BL2260" i="1"/>
  <c r="BW2260" i="1"/>
  <c r="CH2260" i="1"/>
  <c r="CS2260" i="1"/>
  <c r="K2261" i="1"/>
  <c r="P2261" i="1"/>
  <c r="R2261" i="1"/>
  <c r="BL2261" i="1"/>
  <c r="BW2261" i="1"/>
  <c r="CH2261" i="1"/>
  <c r="CS2261" i="1"/>
  <c r="K2262" i="1"/>
  <c r="P2262" i="1"/>
  <c r="R2262" i="1"/>
  <c r="BL2262" i="1"/>
  <c r="BW2262" i="1"/>
  <c r="CH2262" i="1"/>
  <c r="CS2262" i="1"/>
  <c r="K2263" i="1"/>
  <c r="P2263" i="1"/>
  <c r="R2263" i="1"/>
  <c r="BL2263" i="1"/>
  <c r="BW2263" i="1"/>
  <c r="CH2263" i="1"/>
  <c r="CS2263" i="1"/>
  <c r="K2264" i="1"/>
  <c r="P2264" i="1"/>
  <c r="R2264" i="1"/>
  <c r="BL2264" i="1"/>
  <c r="BW2264" i="1"/>
  <c r="CH2264" i="1"/>
  <c r="CS2264" i="1"/>
  <c r="K2265" i="1"/>
  <c r="P2265" i="1"/>
  <c r="R2265" i="1"/>
  <c r="BL2265" i="1"/>
  <c r="BW2265" i="1"/>
  <c r="CH2265" i="1"/>
  <c r="CS2265" i="1"/>
  <c r="K2266" i="1"/>
  <c r="P2266" i="1"/>
  <c r="R2266" i="1"/>
  <c r="BL2266" i="1"/>
  <c r="BW2266" i="1"/>
  <c r="CH2266" i="1"/>
  <c r="CS2266" i="1"/>
  <c r="K2267" i="1"/>
  <c r="P2267" i="1"/>
  <c r="R2267" i="1"/>
  <c r="BL2267" i="1"/>
  <c r="BW2267" i="1"/>
  <c r="CH2267" i="1"/>
  <c r="CS2267" i="1"/>
  <c r="K2268" i="1"/>
  <c r="P2268" i="1"/>
  <c r="R2268" i="1"/>
  <c r="BL2268" i="1"/>
  <c r="BW2268" i="1"/>
  <c r="CH2268" i="1"/>
  <c r="CS2268" i="1"/>
  <c r="K2269" i="1"/>
  <c r="P2269" i="1"/>
  <c r="R2269" i="1"/>
  <c r="BL2269" i="1"/>
  <c r="BW2269" i="1"/>
  <c r="CH2269" i="1"/>
  <c r="CS2269" i="1"/>
  <c r="K2270" i="1"/>
  <c r="P2270" i="1"/>
  <c r="R2270" i="1"/>
  <c r="BL2270" i="1"/>
  <c r="BW2270" i="1"/>
  <c r="CH2270" i="1"/>
  <c r="CS2270" i="1"/>
  <c r="K2271" i="1"/>
  <c r="P2271" i="1"/>
  <c r="R2271" i="1"/>
  <c r="BL2271" i="1"/>
  <c r="BW2271" i="1"/>
  <c r="CH2271" i="1"/>
  <c r="CS2271" i="1"/>
  <c r="K2272" i="1"/>
  <c r="P2272" i="1"/>
  <c r="R2272" i="1"/>
  <c r="BL2272" i="1"/>
  <c r="BW2272" i="1"/>
  <c r="CH2272" i="1"/>
  <c r="CS2272" i="1"/>
  <c r="K2273" i="1"/>
  <c r="P2273" i="1"/>
  <c r="R2273" i="1"/>
  <c r="BL2273" i="1"/>
  <c r="BW2273" i="1"/>
  <c r="CH2273" i="1"/>
  <c r="CS2273" i="1"/>
  <c r="K2274" i="1"/>
  <c r="P2274" i="1"/>
  <c r="R2274" i="1"/>
  <c r="BL2274" i="1"/>
  <c r="BW2274" i="1"/>
  <c r="CH2274" i="1"/>
  <c r="CS2274" i="1"/>
  <c r="K2275" i="1"/>
  <c r="P2275" i="1"/>
  <c r="R2275" i="1"/>
  <c r="BL2275" i="1"/>
  <c r="BW2275" i="1"/>
  <c r="CH2275" i="1"/>
  <c r="CS2275" i="1"/>
  <c r="K2276" i="1"/>
  <c r="P2276" i="1"/>
  <c r="R2276" i="1"/>
  <c r="BL2276" i="1"/>
  <c r="BW2276" i="1"/>
  <c r="CH2276" i="1"/>
  <c r="CS2276" i="1"/>
  <c r="K2277" i="1"/>
  <c r="P2277" i="1"/>
  <c r="R2277" i="1"/>
  <c r="BL2277" i="1"/>
  <c r="BW2277" i="1"/>
  <c r="CH2277" i="1"/>
  <c r="CS2277" i="1"/>
  <c r="K2278" i="1"/>
  <c r="P2278" i="1"/>
  <c r="R2278" i="1"/>
  <c r="BL2278" i="1"/>
  <c r="BW2278" i="1"/>
  <c r="CH2278" i="1"/>
  <c r="CS2278" i="1"/>
  <c r="K2279" i="1"/>
  <c r="P2279" i="1"/>
  <c r="R2279" i="1"/>
  <c r="BL2279" i="1"/>
  <c r="BW2279" i="1"/>
  <c r="CH2279" i="1"/>
  <c r="CS2279" i="1"/>
  <c r="K2280" i="1"/>
  <c r="P2280" i="1"/>
  <c r="R2280" i="1"/>
  <c r="BL2280" i="1"/>
  <c r="BW2280" i="1"/>
  <c r="CH2280" i="1"/>
  <c r="CS2280" i="1"/>
  <c r="K2281" i="1"/>
  <c r="P2281" i="1"/>
  <c r="R2281" i="1"/>
  <c r="BL2281" i="1"/>
  <c r="BW2281" i="1"/>
  <c r="CH2281" i="1"/>
  <c r="CS2281" i="1"/>
  <c r="K2282" i="1"/>
  <c r="P2282" i="1"/>
  <c r="R2282" i="1"/>
  <c r="BL2282" i="1"/>
  <c r="BW2282" i="1"/>
  <c r="CH2282" i="1"/>
  <c r="CS2282" i="1"/>
  <c r="K2283" i="1"/>
  <c r="P2283" i="1"/>
  <c r="R2283" i="1"/>
  <c r="BL2283" i="1"/>
  <c r="BW2283" i="1"/>
  <c r="CH2283" i="1"/>
  <c r="CS2283" i="1"/>
  <c r="K2284" i="1"/>
  <c r="P2284" i="1"/>
  <c r="R2284" i="1"/>
  <c r="BL2284" i="1"/>
  <c r="BW2284" i="1"/>
  <c r="CH2284" i="1"/>
  <c r="CS2284" i="1"/>
  <c r="K2285" i="1"/>
  <c r="P2285" i="1"/>
  <c r="R2285" i="1"/>
  <c r="BL2285" i="1"/>
  <c r="BW2285" i="1"/>
  <c r="CH2285" i="1"/>
  <c r="CS2285" i="1"/>
  <c r="K2286" i="1"/>
  <c r="P2286" i="1"/>
  <c r="R2286" i="1"/>
  <c r="BL2286" i="1"/>
  <c r="BW2286" i="1"/>
  <c r="CH2286" i="1"/>
  <c r="CS2286" i="1"/>
  <c r="K2287" i="1"/>
  <c r="P2287" i="1"/>
  <c r="R2287" i="1"/>
  <c r="BL2287" i="1"/>
  <c r="BW2287" i="1"/>
  <c r="CH2287" i="1"/>
  <c r="CS2287" i="1"/>
  <c r="K2288" i="1"/>
  <c r="P2288" i="1"/>
  <c r="R2288" i="1"/>
  <c r="BL2288" i="1"/>
  <c r="BW2288" i="1"/>
  <c r="CH2288" i="1"/>
  <c r="CS2288" i="1"/>
  <c r="K2289" i="1"/>
  <c r="P2289" i="1"/>
  <c r="R2289" i="1"/>
  <c r="BL2289" i="1"/>
  <c r="BW2289" i="1"/>
  <c r="CH2289" i="1"/>
  <c r="CS2289" i="1"/>
  <c r="K2290" i="1"/>
  <c r="P2290" i="1"/>
  <c r="R2290" i="1"/>
  <c r="BL2290" i="1"/>
  <c r="BW2290" i="1"/>
  <c r="CH2290" i="1"/>
  <c r="CS2290" i="1"/>
  <c r="K2291" i="1"/>
  <c r="P2291" i="1"/>
  <c r="R2291" i="1"/>
  <c r="BL2291" i="1"/>
  <c r="BW2291" i="1"/>
  <c r="CH2291" i="1"/>
  <c r="CS2291" i="1"/>
  <c r="K2292" i="1"/>
  <c r="P2292" i="1"/>
  <c r="R2292" i="1"/>
  <c r="BL2292" i="1"/>
  <c r="BW2292" i="1"/>
  <c r="CH2292" i="1"/>
  <c r="CS2292" i="1"/>
  <c r="K2293" i="1"/>
  <c r="P2293" i="1"/>
  <c r="R2293" i="1"/>
  <c r="BL2293" i="1"/>
  <c r="BQ2293" i="1"/>
  <c r="BW2293" i="1"/>
  <c r="CH2293" i="1"/>
  <c r="CS2293" i="1"/>
  <c r="K2294" i="1"/>
  <c r="P2294" i="1"/>
  <c r="R2294" i="1"/>
  <c r="BL2294" i="1"/>
  <c r="BW2294" i="1"/>
  <c r="CH2294" i="1"/>
  <c r="CS2294" i="1"/>
  <c r="K2295" i="1"/>
  <c r="P2295" i="1"/>
  <c r="R2295" i="1"/>
  <c r="BL2295" i="1"/>
  <c r="BW2295" i="1"/>
  <c r="CH2295" i="1"/>
  <c r="CS2295" i="1"/>
  <c r="K2296" i="1"/>
  <c r="P2296" i="1"/>
  <c r="R2296" i="1"/>
  <c r="BL2296" i="1"/>
  <c r="BW2296" i="1"/>
  <c r="CH2296" i="1"/>
  <c r="CS2296" i="1"/>
  <c r="K2297" i="1"/>
  <c r="P2297" i="1"/>
  <c r="R2297" i="1"/>
  <c r="BL2297" i="1"/>
  <c r="BW2297" i="1"/>
  <c r="CH2297" i="1"/>
  <c r="CS2297" i="1"/>
  <c r="K2298" i="1"/>
  <c r="P2298" i="1"/>
  <c r="R2298" i="1"/>
  <c r="BL2298" i="1"/>
  <c r="BW2298" i="1"/>
  <c r="CH2298" i="1"/>
  <c r="CS2298" i="1"/>
  <c r="K2299" i="1"/>
  <c r="P2299" i="1"/>
  <c r="R2299" i="1"/>
  <c r="BL2299" i="1"/>
  <c r="BW2299" i="1"/>
  <c r="CH2299" i="1"/>
  <c r="CS2299" i="1"/>
  <c r="K2300" i="1"/>
  <c r="P2300" i="1"/>
  <c r="R2300" i="1"/>
  <c r="BL2300" i="1"/>
  <c r="BW2300" i="1"/>
  <c r="CH2300" i="1"/>
  <c r="CS2300" i="1"/>
  <c r="K2301" i="1"/>
  <c r="P2301" i="1"/>
  <c r="R2301" i="1"/>
  <c r="BL2301" i="1"/>
  <c r="BW2301" i="1"/>
  <c r="CH2301" i="1"/>
  <c r="CS2301" i="1"/>
  <c r="K2302" i="1"/>
  <c r="P2302" i="1"/>
  <c r="R2302" i="1"/>
  <c r="BL2302" i="1"/>
  <c r="BW2302" i="1"/>
  <c r="CH2302" i="1"/>
  <c r="CS2302" i="1"/>
  <c r="K2303" i="1"/>
  <c r="P2303" i="1"/>
  <c r="R2303" i="1"/>
  <c r="BL2303" i="1"/>
  <c r="BW2303" i="1"/>
  <c r="CH2303" i="1"/>
  <c r="CS2303" i="1"/>
  <c r="K2304" i="1"/>
  <c r="P2304" i="1"/>
  <c r="R2304" i="1"/>
  <c r="BL2304" i="1"/>
  <c r="BW2304" i="1"/>
  <c r="CH2304" i="1"/>
  <c r="CS2304" i="1"/>
  <c r="K2305" i="1"/>
  <c r="P2305" i="1"/>
  <c r="R2305" i="1"/>
  <c r="BL2305" i="1"/>
  <c r="BW2305" i="1"/>
  <c r="CH2305" i="1"/>
  <c r="CS2305" i="1"/>
  <c r="K2306" i="1"/>
  <c r="P2306" i="1"/>
  <c r="R2306" i="1"/>
  <c r="BL2306" i="1"/>
  <c r="BW2306" i="1"/>
  <c r="CH2306" i="1"/>
  <c r="CS2306" i="1"/>
  <c r="K2307" i="1"/>
  <c r="P2307" i="1"/>
  <c r="R2307" i="1"/>
  <c r="BL2307" i="1"/>
  <c r="BW2307" i="1"/>
  <c r="CH2307" i="1"/>
  <c r="CS2307" i="1"/>
  <c r="K2308" i="1"/>
  <c r="P2308" i="1"/>
  <c r="R2308" i="1"/>
  <c r="BL2308" i="1"/>
  <c r="BW2308" i="1"/>
  <c r="CH2308" i="1"/>
  <c r="CS2308" i="1"/>
  <c r="K2309" i="1"/>
  <c r="P2309" i="1"/>
  <c r="R2309" i="1"/>
  <c r="BL2309" i="1"/>
  <c r="BW2309" i="1"/>
  <c r="CH2309" i="1"/>
  <c r="CS2309" i="1"/>
  <c r="K2310" i="1"/>
  <c r="P2310" i="1"/>
  <c r="R2310" i="1"/>
  <c r="BL2310" i="1"/>
  <c r="BW2310" i="1"/>
  <c r="CH2310" i="1"/>
  <c r="CS2310" i="1"/>
  <c r="K2311" i="1"/>
  <c r="P2311" i="1"/>
  <c r="R2311" i="1"/>
  <c r="BL2311" i="1"/>
  <c r="BW2311" i="1"/>
  <c r="CH2311" i="1"/>
  <c r="CS2311" i="1"/>
  <c r="K2312" i="1"/>
  <c r="P2312" i="1"/>
  <c r="R2312" i="1"/>
  <c r="BL2312" i="1"/>
  <c r="BW2312" i="1"/>
  <c r="CH2312" i="1"/>
  <c r="CS2312" i="1"/>
  <c r="K2313" i="1"/>
  <c r="P2313" i="1"/>
  <c r="R2313" i="1"/>
  <c r="BL2313" i="1"/>
  <c r="BW2313" i="1"/>
  <c r="CH2313" i="1"/>
  <c r="CS2313" i="1"/>
  <c r="K2314" i="1"/>
  <c r="P2314" i="1"/>
  <c r="R2314" i="1"/>
  <c r="BL2314" i="1"/>
  <c r="BW2314" i="1"/>
  <c r="CH2314" i="1"/>
  <c r="CS2314" i="1"/>
  <c r="K2315" i="1"/>
  <c r="P2315" i="1"/>
  <c r="R2315" i="1"/>
  <c r="BL2315" i="1"/>
  <c r="BW2315" i="1"/>
  <c r="CH2315" i="1"/>
  <c r="CS2315" i="1"/>
  <c r="K2316" i="1"/>
  <c r="P2316" i="1"/>
  <c r="R2316" i="1"/>
  <c r="BL2316" i="1"/>
  <c r="BW2316" i="1"/>
  <c r="CH2316" i="1"/>
  <c r="CS2316" i="1"/>
  <c r="K2317" i="1"/>
  <c r="P2317" i="1"/>
  <c r="R2317" i="1"/>
  <c r="BL2317" i="1"/>
  <c r="BW2317" i="1"/>
  <c r="CH2317" i="1"/>
  <c r="CS2317" i="1"/>
  <c r="K2318" i="1"/>
  <c r="P2318" i="1"/>
  <c r="R2318" i="1"/>
  <c r="BL2318" i="1"/>
  <c r="BW2318" i="1"/>
  <c r="CH2318" i="1"/>
  <c r="CS2318" i="1"/>
  <c r="K2319" i="1"/>
  <c r="P2319" i="1"/>
  <c r="R2319" i="1"/>
  <c r="BL2319" i="1"/>
  <c r="BW2319" i="1"/>
  <c r="CH2319" i="1"/>
  <c r="CS2319" i="1"/>
  <c r="K2320" i="1"/>
  <c r="P2320" i="1"/>
  <c r="R2320" i="1"/>
  <c r="BL2320" i="1"/>
  <c r="BW2320" i="1"/>
  <c r="CH2320" i="1"/>
  <c r="CS2320" i="1"/>
  <c r="K2321" i="1"/>
  <c r="P2321" i="1"/>
  <c r="R2321" i="1"/>
  <c r="BL2321" i="1"/>
  <c r="BW2321" i="1"/>
  <c r="CH2321" i="1"/>
  <c r="CS2321" i="1"/>
  <c r="K2322" i="1"/>
  <c r="P2322" i="1"/>
  <c r="R2322" i="1"/>
  <c r="BL2322" i="1"/>
  <c r="BW2322" i="1"/>
  <c r="CH2322" i="1"/>
  <c r="CS2322" i="1"/>
  <c r="K2323" i="1"/>
  <c r="P2323" i="1"/>
  <c r="R2323" i="1"/>
  <c r="BL2323" i="1"/>
  <c r="BW2323" i="1"/>
  <c r="CH2323" i="1"/>
  <c r="CS2323" i="1"/>
  <c r="K2324" i="1"/>
  <c r="P2324" i="1"/>
  <c r="R2324" i="1"/>
  <c r="BL2324" i="1"/>
  <c r="BW2324" i="1"/>
  <c r="CH2324" i="1"/>
  <c r="CS2324" i="1"/>
  <c r="K2325" i="1"/>
  <c r="P2325" i="1"/>
  <c r="R2325" i="1"/>
  <c r="BL2325" i="1"/>
  <c r="BW2325" i="1"/>
  <c r="CH2325" i="1"/>
  <c r="CS2325" i="1"/>
  <c r="K2326" i="1"/>
  <c r="P2326" i="1"/>
  <c r="R2326" i="1"/>
  <c r="BL2326" i="1"/>
  <c r="BW2326" i="1"/>
  <c r="CH2326" i="1"/>
  <c r="CS2326" i="1"/>
  <c r="K2327" i="1"/>
  <c r="P2327" i="1"/>
  <c r="R2327" i="1"/>
  <c r="BL2327" i="1"/>
  <c r="BW2327" i="1"/>
  <c r="CH2327" i="1"/>
  <c r="CS2327" i="1"/>
  <c r="K2328" i="1"/>
  <c r="P2328" i="1"/>
  <c r="R2328" i="1"/>
  <c r="BL2328" i="1"/>
  <c r="BW2328" i="1"/>
  <c r="CH2328" i="1"/>
  <c r="CS2328" i="1"/>
  <c r="K2329" i="1"/>
  <c r="P2329" i="1"/>
  <c r="R2329" i="1"/>
  <c r="BL2329" i="1"/>
  <c r="BW2329" i="1"/>
  <c r="CH2329" i="1"/>
  <c r="CS2329" i="1"/>
  <c r="K2330" i="1"/>
  <c r="P2330" i="1"/>
  <c r="R2330" i="1"/>
  <c r="BL2330" i="1"/>
  <c r="BW2330" i="1"/>
  <c r="CH2330" i="1"/>
  <c r="CS2330" i="1"/>
  <c r="K2331" i="1"/>
  <c r="P2331" i="1"/>
  <c r="R2331" i="1"/>
  <c r="BL2331" i="1"/>
  <c r="BW2331" i="1"/>
  <c r="CH2331" i="1"/>
  <c r="CS2331" i="1"/>
  <c r="K2332" i="1"/>
  <c r="P2332" i="1"/>
  <c r="R2332" i="1"/>
  <c r="BL2332" i="1"/>
  <c r="BW2332" i="1"/>
  <c r="CH2332" i="1"/>
  <c r="CS2332" i="1"/>
  <c r="K2333" i="1"/>
  <c r="P2333" i="1"/>
  <c r="R2333" i="1"/>
  <c r="BL2333" i="1"/>
  <c r="BW2333" i="1"/>
  <c r="CH2333" i="1"/>
  <c r="CS2333" i="1"/>
  <c r="K2334" i="1"/>
  <c r="P2334" i="1"/>
  <c r="R2334" i="1"/>
  <c r="BL2334" i="1"/>
  <c r="BW2334" i="1"/>
  <c r="CH2334" i="1"/>
  <c r="CS2334" i="1"/>
  <c r="K2335" i="1"/>
  <c r="P2335" i="1"/>
  <c r="R2335" i="1"/>
  <c r="BL2335" i="1"/>
  <c r="BQ2335" i="1"/>
  <c r="BW2335" i="1"/>
  <c r="CH2335" i="1"/>
  <c r="CS2335" i="1"/>
  <c r="K2336" i="1"/>
  <c r="P2336" i="1"/>
  <c r="R2336" i="1"/>
  <c r="BL2336" i="1"/>
  <c r="BW2336" i="1"/>
  <c r="CH2336" i="1"/>
  <c r="CS2336" i="1"/>
  <c r="K2337" i="1"/>
  <c r="P2337" i="1"/>
  <c r="R2337" i="1"/>
  <c r="BL2337" i="1"/>
  <c r="BW2337" i="1"/>
  <c r="CH2337" i="1"/>
  <c r="CS2337" i="1"/>
  <c r="K2338" i="1"/>
  <c r="P2338" i="1"/>
  <c r="R2338" i="1"/>
  <c r="BL2338" i="1"/>
  <c r="BW2338" i="1"/>
  <c r="CH2338" i="1"/>
  <c r="CS2338" i="1"/>
  <c r="K2339" i="1"/>
  <c r="P2339" i="1"/>
  <c r="R2339" i="1"/>
  <c r="BL2339" i="1"/>
  <c r="BW2339" i="1"/>
  <c r="CH2339" i="1"/>
  <c r="CS2339" i="1"/>
  <c r="K2340" i="1"/>
  <c r="P2340" i="1"/>
  <c r="R2340" i="1"/>
  <c r="BL2340" i="1"/>
  <c r="BW2340" i="1"/>
  <c r="CH2340" i="1"/>
  <c r="CS2340" i="1"/>
  <c r="K2341" i="1"/>
  <c r="P2341" i="1"/>
  <c r="R2341" i="1"/>
  <c r="BL2341" i="1"/>
  <c r="BW2341" i="1"/>
  <c r="CH2341" i="1"/>
  <c r="CS2341" i="1"/>
  <c r="K2342" i="1"/>
  <c r="P2342" i="1"/>
  <c r="R2342" i="1"/>
  <c r="BL2342" i="1"/>
  <c r="BW2342" i="1"/>
  <c r="CH2342" i="1"/>
  <c r="CS2342" i="1"/>
  <c r="K2343" i="1"/>
  <c r="P2343" i="1"/>
  <c r="R2343" i="1"/>
  <c r="BL2343" i="1"/>
  <c r="BW2343" i="1"/>
  <c r="CH2343" i="1"/>
  <c r="CS2343" i="1"/>
  <c r="K2344" i="1"/>
  <c r="P2344" i="1"/>
  <c r="R2344" i="1"/>
  <c r="BL2344" i="1"/>
  <c r="BW2344" i="1"/>
  <c r="CH2344" i="1"/>
  <c r="CS2344" i="1"/>
  <c r="K2345" i="1"/>
  <c r="P2345" i="1"/>
  <c r="R2345" i="1"/>
  <c r="BL2345" i="1"/>
  <c r="BW2345" i="1"/>
  <c r="CH2345" i="1"/>
  <c r="CS2345" i="1"/>
  <c r="K2346" i="1"/>
  <c r="P2346" i="1"/>
  <c r="R2346" i="1"/>
  <c r="BL2346" i="1"/>
  <c r="BW2346" i="1"/>
  <c r="CH2346" i="1"/>
  <c r="CS2346" i="1"/>
  <c r="K2347" i="1"/>
  <c r="P2347" i="1"/>
  <c r="R2347" i="1"/>
  <c r="BL2347" i="1"/>
  <c r="BW2347" i="1"/>
  <c r="CH2347" i="1"/>
  <c r="CS2347" i="1"/>
  <c r="K2348" i="1"/>
  <c r="P2348" i="1"/>
  <c r="R2348" i="1"/>
  <c r="BL2348" i="1"/>
  <c r="BW2348" i="1"/>
  <c r="CH2348" i="1"/>
  <c r="CS2348" i="1"/>
  <c r="K2349" i="1"/>
  <c r="P2349" i="1"/>
  <c r="R2349" i="1"/>
  <c r="BL2349" i="1"/>
  <c r="BW2349" i="1"/>
  <c r="CH2349" i="1"/>
  <c r="CS2349" i="1"/>
  <c r="K2350" i="1"/>
  <c r="P2350" i="1"/>
  <c r="R2350" i="1"/>
  <c r="BL2350" i="1"/>
  <c r="BW2350" i="1"/>
  <c r="CH2350" i="1"/>
  <c r="CS2350" i="1"/>
  <c r="K2351" i="1"/>
  <c r="P2351" i="1"/>
  <c r="R2351" i="1"/>
  <c r="BL2351" i="1"/>
  <c r="BW2351" i="1"/>
  <c r="CH2351" i="1"/>
  <c r="CS2351" i="1"/>
  <c r="K2352" i="1"/>
  <c r="P2352" i="1"/>
  <c r="R2352" i="1"/>
  <c r="BL2352" i="1"/>
  <c r="BW2352" i="1"/>
  <c r="CH2352" i="1"/>
  <c r="CS2352" i="1"/>
  <c r="K2353" i="1"/>
  <c r="P2353" i="1"/>
  <c r="R2353" i="1"/>
  <c r="BL2353" i="1"/>
  <c r="BW2353" i="1"/>
  <c r="CH2353" i="1"/>
  <c r="CS2353" i="1"/>
  <c r="K2354" i="1"/>
  <c r="P2354" i="1"/>
  <c r="R2354" i="1"/>
  <c r="BL2354" i="1"/>
  <c r="BW2354" i="1"/>
  <c r="CH2354" i="1"/>
  <c r="CS2354" i="1"/>
  <c r="K2355" i="1"/>
  <c r="P2355" i="1"/>
  <c r="R2355" i="1"/>
  <c r="BL2355" i="1"/>
  <c r="BW2355" i="1"/>
  <c r="CH2355" i="1"/>
  <c r="CS2355" i="1"/>
  <c r="K2356" i="1"/>
  <c r="P2356" i="1"/>
  <c r="R2356" i="1"/>
  <c r="BL2356" i="1"/>
  <c r="BW2356" i="1"/>
  <c r="CH2356" i="1"/>
  <c r="CS2356" i="1"/>
  <c r="K2357" i="1"/>
  <c r="P2357" i="1"/>
  <c r="R2357" i="1"/>
  <c r="BL2357" i="1"/>
  <c r="BW2357" i="1"/>
  <c r="CH2357" i="1"/>
  <c r="CS2357" i="1"/>
  <c r="K2358" i="1"/>
  <c r="P2358" i="1"/>
  <c r="R2358" i="1"/>
  <c r="BL2358" i="1"/>
  <c r="BW2358" i="1"/>
  <c r="CH2358" i="1"/>
  <c r="CS2358" i="1"/>
  <c r="K2359" i="1"/>
  <c r="P2359" i="1"/>
  <c r="R2359" i="1"/>
  <c r="BL2359" i="1"/>
  <c r="BW2359" i="1"/>
  <c r="CH2359" i="1"/>
  <c r="CS2359" i="1"/>
  <c r="K2360" i="1"/>
  <c r="P2360" i="1"/>
  <c r="R2360" i="1"/>
  <c r="BL2360" i="1"/>
  <c r="BW2360" i="1"/>
  <c r="CH2360" i="1"/>
  <c r="CS2360" i="1"/>
  <c r="K2361" i="1"/>
  <c r="P2361" i="1"/>
  <c r="R2361" i="1"/>
  <c r="BL2361" i="1"/>
  <c r="BW2361" i="1"/>
  <c r="CH2361" i="1"/>
  <c r="CS2361" i="1"/>
  <c r="K2362" i="1"/>
  <c r="P2362" i="1"/>
  <c r="R2362" i="1"/>
  <c r="BL2362" i="1"/>
  <c r="BW2362" i="1"/>
  <c r="CH2362" i="1"/>
  <c r="CS2362" i="1"/>
  <c r="K2363" i="1"/>
  <c r="P2363" i="1"/>
  <c r="R2363" i="1"/>
  <c r="BL2363" i="1"/>
  <c r="BW2363" i="1"/>
  <c r="CH2363" i="1"/>
  <c r="CS2363" i="1"/>
  <c r="K2364" i="1"/>
  <c r="P2364" i="1"/>
  <c r="R2364" i="1"/>
  <c r="BL2364" i="1"/>
  <c r="BW2364" i="1"/>
  <c r="CH2364" i="1"/>
  <c r="CS2364" i="1"/>
  <c r="K2365" i="1"/>
  <c r="P2365" i="1"/>
  <c r="R2365" i="1"/>
  <c r="BL2365" i="1"/>
  <c r="BW2365" i="1"/>
  <c r="CH2365" i="1"/>
  <c r="CS2365" i="1"/>
  <c r="K2366" i="1"/>
  <c r="P2366" i="1"/>
  <c r="R2366" i="1"/>
  <c r="BL2366" i="1"/>
  <c r="BW2366" i="1"/>
  <c r="CH2366" i="1"/>
  <c r="CS2366" i="1"/>
  <c r="K2367" i="1"/>
  <c r="P2367" i="1"/>
  <c r="R2367" i="1"/>
  <c r="BL2367" i="1"/>
  <c r="BW2367" i="1"/>
  <c r="CH2367" i="1"/>
  <c r="CS2367" i="1"/>
  <c r="K2368" i="1"/>
  <c r="P2368" i="1"/>
  <c r="R2368" i="1"/>
  <c r="BL2368" i="1"/>
  <c r="BW2368" i="1"/>
  <c r="CH2368" i="1"/>
  <c r="CS2368" i="1"/>
  <c r="K2369" i="1"/>
  <c r="P2369" i="1"/>
  <c r="R2369" i="1"/>
  <c r="BL2369" i="1"/>
  <c r="BW2369" i="1"/>
  <c r="CH2369" i="1"/>
  <c r="CS2369" i="1"/>
  <c r="K2370" i="1"/>
  <c r="P2370" i="1"/>
  <c r="R2370" i="1"/>
  <c r="BL2370" i="1"/>
  <c r="BW2370" i="1"/>
  <c r="CH2370" i="1"/>
  <c r="CS2370" i="1"/>
  <c r="K2371" i="1"/>
  <c r="P2371" i="1"/>
  <c r="R2371" i="1"/>
  <c r="BL2371" i="1"/>
  <c r="BW2371" i="1"/>
  <c r="CH2371" i="1"/>
  <c r="CS2371" i="1"/>
  <c r="K2372" i="1"/>
  <c r="P2372" i="1"/>
  <c r="R2372" i="1"/>
  <c r="BL2372" i="1"/>
  <c r="BW2372" i="1"/>
  <c r="CH2372" i="1"/>
  <c r="CS2372" i="1"/>
  <c r="K2373" i="1"/>
  <c r="P2373" i="1"/>
  <c r="R2373" i="1"/>
  <c r="BL2373" i="1"/>
  <c r="BW2373" i="1"/>
  <c r="CH2373" i="1"/>
  <c r="CS2373" i="1"/>
  <c r="K2374" i="1"/>
  <c r="P2374" i="1"/>
  <c r="R2374" i="1"/>
  <c r="BL2374" i="1"/>
  <c r="BW2374" i="1"/>
  <c r="CH2374" i="1"/>
  <c r="CS2374" i="1"/>
  <c r="K2375" i="1"/>
  <c r="P2375" i="1"/>
  <c r="R2375" i="1"/>
  <c r="BL2375" i="1"/>
  <c r="BW2375" i="1"/>
  <c r="CH2375" i="1"/>
  <c r="CS2375" i="1"/>
  <c r="K2376" i="1"/>
  <c r="P2376" i="1"/>
  <c r="R2376" i="1"/>
  <c r="BL2376" i="1"/>
  <c r="BW2376" i="1"/>
  <c r="CH2376" i="1"/>
  <c r="CS2376" i="1"/>
  <c r="K2377" i="1"/>
  <c r="P2377" i="1"/>
  <c r="R2377" i="1"/>
  <c r="BL2377" i="1"/>
  <c r="BW2377" i="1"/>
  <c r="CH2377" i="1"/>
  <c r="CS2377" i="1"/>
  <c r="K2378" i="1"/>
  <c r="P2378" i="1"/>
  <c r="R2378" i="1"/>
  <c r="BL2378" i="1"/>
  <c r="BW2378" i="1"/>
  <c r="CH2378" i="1"/>
  <c r="CS2378" i="1"/>
  <c r="K2379" i="1"/>
  <c r="P2379" i="1"/>
  <c r="R2379" i="1"/>
  <c r="BL2379" i="1"/>
  <c r="BW2379" i="1"/>
  <c r="CH2379" i="1"/>
  <c r="CS2379" i="1"/>
  <c r="K2380" i="1"/>
  <c r="P2380" i="1"/>
  <c r="R2380" i="1"/>
  <c r="BL2380" i="1"/>
  <c r="BW2380" i="1"/>
  <c r="CH2380" i="1"/>
  <c r="CS2380" i="1"/>
  <c r="K2381" i="1"/>
  <c r="P2381" i="1"/>
  <c r="R2381" i="1"/>
  <c r="BL2381" i="1"/>
  <c r="BW2381" i="1"/>
  <c r="CH2381" i="1"/>
  <c r="CS2381" i="1"/>
  <c r="K2382" i="1"/>
  <c r="P2382" i="1"/>
  <c r="R2382" i="1"/>
  <c r="BL2382" i="1"/>
  <c r="BW2382" i="1"/>
  <c r="CH2382" i="1"/>
  <c r="CS2382" i="1"/>
  <c r="K2383" i="1"/>
  <c r="P2383" i="1"/>
  <c r="R2383" i="1"/>
  <c r="BL2383" i="1"/>
  <c r="BW2383" i="1"/>
  <c r="CH2383" i="1"/>
  <c r="CS2383" i="1"/>
  <c r="K2384" i="1"/>
  <c r="P2384" i="1"/>
  <c r="R2384" i="1"/>
  <c r="BL2384" i="1"/>
  <c r="BW2384" i="1"/>
  <c r="CH2384" i="1"/>
  <c r="CS2384" i="1"/>
  <c r="K2385" i="1"/>
  <c r="P2385" i="1"/>
  <c r="R2385" i="1"/>
  <c r="BL2385" i="1"/>
  <c r="BW2385" i="1"/>
  <c r="CH2385" i="1"/>
  <c r="CS2385" i="1"/>
  <c r="K2386" i="1"/>
  <c r="P2386" i="1"/>
  <c r="R2386" i="1"/>
  <c r="BL2386" i="1"/>
  <c r="BW2386" i="1"/>
  <c r="CH2386" i="1"/>
  <c r="CS2386" i="1"/>
  <c r="K2387" i="1"/>
  <c r="P2387" i="1"/>
  <c r="R2387" i="1"/>
  <c r="BL2387" i="1"/>
  <c r="BW2387" i="1"/>
  <c r="CH2387" i="1"/>
  <c r="CS2387" i="1"/>
  <c r="K2388" i="1"/>
  <c r="P2388" i="1"/>
  <c r="R2388" i="1"/>
  <c r="BL2388" i="1"/>
  <c r="BW2388" i="1"/>
  <c r="CH2388" i="1"/>
  <c r="CS2388" i="1"/>
  <c r="K2389" i="1"/>
  <c r="P2389" i="1"/>
  <c r="R2389" i="1"/>
  <c r="BL2389" i="1"/>
  <c r="BW2389" i="1"/>
  <c r="CH2389" i="1"/>
  <c r="CS2389" i="1"/>
  <c r="K2390" i="1"/>
  <c r="P2390" i="1"/>
  <c r="R2390" i="1"/>
  <c r="BL2390" i="1"/>
  <c r="BW2390" i="1"/>
  <c r="CH2390" i="1"/>
  <c r="CS2390" i="1"/>
  <c r="K2391" i="1"/>
  <c r="P2391" i="1"/>
  <c r="R2391" i="1"/>
  <c r="BL2391" i="1"/>
  <c r="BW2391" i="1"/>
  <c r="CH2391" i="1"/>
  <c r="CS2391" i="1"/>
  <c r="K2392" i="1"/>
  <c r="P2392" i="1"/>
  <c r="R2392" i="1"/>
  <c r="BL2392" i="1"/>
  <c r="BW2392" i="1"/>
  <c r="CH2392" i="1"/>
  <c r="CS2392" i="1"/>
  <c r="K2393" i="1"/>
  <c r="P2393" i="1"/>
  <c r="R2393" i="1"/>
  <c r="BL2393" i="1"/>
  <c r="BW2393" i="1"/>
  <c r="CH2393" i="1"/>
  <c r="CS2393" i="1"/>
  <c r="K2394" i="1"/>
  <c r="P2394" i="1"/>
  <c r="R2394" i="1"/>
  <c r="BL2394" i="1"/>
  <c r="BW2394" i="1"/>
  <c r="CH2394" i="1"/>
  <c r="CS2394" i="1"/>
  <c r="K2395" i="1"/>
  <c r="P2395" i="1"/>
  <c r="R2395" i="1"/>
  <c r="BL2395" i="1"/>
  <c r="BW2395" i="1"/>
  <c r="CH2395" i="1"/>
  <c r="CS2395" i="1"/>
  <c r="K2396" i="1"/>
  <c r="P2396" i="1"/>
  <c r="R2396" i="1"/>
  <c r="BL2396" i="1"/>
  <c r="BW2396" i="1"/>
  <c r="CH2396" i="1"/>
  <c r="CS2396" i="1"/>
  <c r="K2397" i="1"/>
  <c r="P2397" i="1"/>
  <c r="R2397" i="1"/>
  <c r="BL2397" i="1"/>
  <c r="BW2397" i="1"/>
  <c r="CH2397" i="1"/>
  <c r="CS2397" i="1"/>
  <c r="K2398" i="1"/>
  <c r="P2398" i="1"/>
  <c r="R2398" i="1"/>
  <c r="BL2398" i="1"/>
  <c r="BW2398" i="1"/>
  <c r="CH2398" i="1"/>
  <c r="CS2398" i="1"/>
  <c r="K2399" i="1"/>
  <c r="P2399" i="1"/>
  <c r="R2399" i="1"/>
  <c r="BL2399" i="1"/>
  <c r="BW2399" i="1"/>
  <c r="CH2399" i="1"/>
  <c r="CS2399" i="1"/>
  <c r="K2400" i="1"/>
  <c r="P2400" i="1"/>
  <c r="R2400" i="1"/>
  <c r="BL2400" i="1"/>
  <c r="BW2400" i="1"/>
  <c r="CH2400" i="1"/>
  <c r="CS2400" i="1"/>
  <c r="K2401" i="1"/>
  <c r="P2401" i="1"/>
  <c r="R2401" i="1"/>
  <c r="AM2401" i="1"/>
  <c r="BL2401" i="1"/>
  <c r="BW2401" i="1"/>
  <c r="CH2401" i="1"/>
  <c r="CS2401" i="1"/>
  <c r="K2402" i="1"/>
  <c r="P2402" i="1"/>
  <c r="R2402" i="1"/>
  <c r="AM2402" i="1"/>
  <c r="BL2402" i="1"/>
  <c r="BW2402" i="1"/>
  <c r="CH2402" i="1"/>
  <c r="CS2402" i="1"/>
  <c r="K2403" i="1"/>
  <c r="P2403" i="1"/>
  <c r="R2403" i="1"/>
  <c r="BL2403" i="1"/>
  <c r="BW2403" i="1"/>
  <c r="CH2403" i="1"/>
  <c r="CS2403" i="1"/>
  <c r="K2404" i="1"/>
  <c r="P2404" i="1"/>
  <c r="R2404" i="1"/>
  <c r="BL2404" i="1"/>
  <c r="BW2404" i="1"/>
  <c r="CH2404" i="1"/>
  <c r="CS2404" i="1"/>
  <c r="K2405" i="1"/>
  <c r="P2405" i="1"/>
  <c r="R2405" i="1"/>
  <c r="BL2405" i="1"/>
  <c r="BW2405" i="1"/>
  <c r="CH2405" i="1"/>
  <c r="CS2405" i="1"/>
  <c r="K2406" i="1"/>
  <c r="P2406" i="1"/>
  <c r="R2406" i="1"/>
  <c r="BL2406" i="1"/>
  <c r="BW2406" i="1"/>
  <c r="CH2406" i="1"/>
  <c r="CS2406" i="1"/>
  <c r="K2407" i="1"/>
  <c r="P2407" i="1"/>
  <c r="R2407" i="1"/>
  <c r="BL2407" i="1"/>
  <c r="BW2407" i="1"/>
  <c r="CH2407" i="1"/>
  <c r="CS2407" i="1"/>
  <c r="K2408" i="1"/>
  <c r="P2408" i="1"/>
  <c r="R2408" i="1"/>
  <c r="BL2408" i="1"/>
  <c r="BW2408" i="1"/>
  <c r="CH2408" i="1"/>
  <c r="CS2408" i="1"/>
  <c r="K2409" i="1"/>
  <c r="P2409" i="1"/>
  <c r="R2409" i="1"/>
  <c r="BL2409" i="1"/>
  <c r="BW2409" i="1"/>
  <c r="CH2409" i="1"/>
  <c r="CS2409" i="1"/>
  <c r="K2410" i="1"/>
  <c r="P2410" i="1"/>
  <c r="R2410" i="1"/>
  <c r="BL2410" i="1"/>
  <c r="BW2410" i="1"/>
  <c r="CH2410" i="1"/>
  <c r="CS2410" i="1"/>
  <c r="K2411" i="1"/>
  <c r="P2411" i="1"/>
  <c r="R2411" i="1"/>
  <c r="BL2411" i="1"/>
  <c r="BW2411" i="1"/>
  <c r="CH2411" i="1"/>
  <c r="CS2411" i="1"/>
  <c r="K2412" i="1"/>
  <c r="P2412" i="1"/>
  <c r="R2412" i="1"/>
  <c r="BL2412" i="1"/>
  <c r="BW2412" i="1"/>
  <c r="CH2412" i="1"/>
  <c r="CS2412" i="1"/>
  <c r="K2413" i="1"/>
  <c r="P2413" i="1"/>
  <c r="R2413" i="1"/>
  <c r="BL2413" i="1"/>
  <c r="BW2413" i="1"/>
  <c r="CH2413" i="1"/>
  <c r="CS2413" i="1"/>
  <c r="K2414" i="1"/>
  <c r="P2414" i="1"/>
  <c r="R2414" i="1"/>
  <c r="BL2414" i="1"/>
  <c r="BW2414" i="1"/>
  <c r="CH2414" i="1"/>
  <c r="CS2414" i="1"/>
  <c r="K2415" i="1"/>
  <c r="P2415" i="1"/>
  <c r="R2415" i="1"/>
  <c r="BL2415" i="1"/>
  <c r="BW2415" i="1"/>
  <c r="CH2415" i="1"/>
  <c r="CS2415" i="1"/>
  <c r="K2416" i="1"/>
  <c r="P2416" i="1"/>
  <c r="R2416" i="1"/>
  <c r="BL2416" i="1"/>
  <c r="BW2416" i="1"/>
  <c r="CH2416" i="1"/>
  <c r="CS2416" i="1"/>
  <c r="K2417" i="1"/>
  <c r="P2417" i="1"/>
  <c r="R2417" i="1"/>
  <c r="BL2417" i="1"/>
  <c r="BW2417" i="1"/>
  <c r="CH2417" i="1"/>
  <c r="CS2417" i="1"/>
  <c r="K2418" i="1"/>
  <c r="P2418" i="1"/>
  <c r="R2418" i="1"/>
  <c r="BL2418" i="1"/>
  <c r="BW2418" i="1"/>
  <c r="CH2418" i="1"/>
  <c r="CS2418" i="1"/>
  <c r="K2419" i="1"/>
  <c r="P2419" i="1"/>
  <c r="R2419" i="1"/>
  <c r="BL2419" i="1"/>
  <c r="BW2419" i="1"/>
  <c r="CH2419" i="1"/>
  <c r="CS2419" i="1"/>
  <c r="K2420" i="1"/>
  <c r="P2420" i="1"/>
  <c r="R2420" i="1"/>
  <c r="BL2420" i="1"/>
  <c r="BW2420" i="1"/>
  <c r="CH2420" i="1"/>
  <c r="CS2420" i="1"/>
  <c r="K2421" i="1"/>
  <c r="P2421" i="1"/>
  <c r="R2421" i="1"/>
  <c r="BL2421" i="1"/>
  <c r="BW2421" i="1"/>
  <c r="CH2421" i="1"/>
  <c r="CS2421" i="1"/>
  <c r="K2422" i="1"/>
  <c r="P2422" i="1"/>
  <c r="R2422" i="1"/>
  <c r="BL2422" i="1"/>
  <c r="BW2422" i="1"/>
  <c r="CH2422" i="1"/>
  <c r="CS2422" i="1"/>
  <c r="K2423" i="1"/>
  <c r="P2423" i="1"/>
  <c r="R2423" i="1"/>
  <c r="BL2423" i="1"/>
  <c r="BW2423" i="1"/>
  <c r="CH2423" i="1"/>
  <c r="CS2423" i="1"/>
  <c r="K2424" i="1"/>
  <c r="P2424" i="1"/>
  <c r="R2424" i="1"/>
  <c r="BL2424" i="1"/>
  <c r="BW2424" i="1"/>
  <c r="CH2424" i="1"/>
  <c r="CS2424" i="1"/>
  <c r="K2425" i="1"/>
  <c r="P2425" i="1"/>
  <c r="R2425" i="1"/>
  <c r="BL2425" i="1"/>
  <c r="BW2425" i="1"/>
  <c r="CH2425" i="1"/>
  <c r="CS2425" i="1"/>
  <c r="K2426" i="1"/>
  <c r="P2426" i="1"/>
  <c r="R2426" i="1"/>
  <c r="BL2426" i="1"/>
  <c r="BW2426" i="1"/>
  <c r="CH2426" i="1"/>
  <c r="CS2426" i="1"/>
  <c r="K2427" i="1"/>
  <c r="P2427" i="1"/>
  <c r="R2427" i="1"/>
  <c r="BL2427" i="1"/>
  <c r="BW2427" i="1"/>
  <c r="CH2427" i="1"/>
  <c r="CS2427" i="1"/>
  <c r="K2428" i="1"/>
  <c r="P2428" i="1"/>
  <c r="R2428" i="1"/>
  <c r="BL2428" i="1"/>
  <c r="BW2428" i="1"/>
  <c r="CH2428" i="1"/>
  <c r="CS2428" i="1"/>
  <c r="K2429" i="1"/>
  <c r="P2429" i="1"/>
  <c r="R2429" i="1"/>
  <c r="BL2429" i="1"/>
  <c r="BW2429" i="1"/>
  <c r="CH2429" i="1"/>
  <c r="CS2429" i="1"/>
  <c r="K2430" i="1"/>
  <c r="P2430" i="1"/>
  <c r="R2430" i="1"/>
  <c r="BL2430" i="1"/>
  <c r="BW2430" i="1"/>
  <c r="CH2430" i="1"/>
  <c r="CS2430" i="1"/>
  <c r="K2431" i="1"/>
  <c r="P2431" i="1"/>
  <c r="R2431" i="1"/>
  <c r="BL2431" i="1"/>
  <c r="BW2431" i="1"/>
  <c r="CH2431" i="1"/>
  <c r="CS2431" i="1"/>
  <c r="K2432" i="1"/>
  <c r="P2432" i="1"/>
  <c r="R2432" i="1"/>
  <c r="BL2432" i="1"/>
  <c r="BW2432" i="1"/>
  <c r="CH2432" i="1"/>
  <c r="CS2432" i="1"/>
  <c r="K2433" i="1"/>
  <c r="P2433" i="1"/>
  <c r="R2433" i="1"/>
  <c r="BL2433" i="1"/>
  <c r="BW2433" i="1"/>
  <c r="CH2433" i="1"/>
  <c r="CS2433" i="1"/>
  <c r="K2434" i="1"/>
  <c r="P2434" i="1"/>
  <c r="R2434" i="1"/>
  <c r="BL2434" i="1"/>
  <c r="BW2434" i="1"/>
  <c r="CH2434" i="1"/>
  <c r="CS2434" i="1"/>
  <c r="K2435" i="1"/>
  <c r="P2435" i="1"/>
  <c r="R2435" i="1"/>
  <c r="BL2435" i="1"/>
  <c r="BW2435" i="1"/>
  <c r="CH2435" i="1"/>
  <c r="CS2435" i="1"/>
  <c r="K2436" i="1"/>
  <c r="P2436" i="1"/>
  <c r="R2436" i="1"/>
  <c r="BL2436" i="1"/>
  <c r="BW2436" i="1"/>
  <c r="CH2436" i="1"/>
  <c r="CS2436" i="1"/>
  <c r="K2437" i="1"/>
  <c r="P2437" i="1"/>
  <c r="R2437" i="1"/>
  <c r="BL2437" i="1"/>
  <c r="BW2437" i="1"/>
  <c r="CH2437" i="1"/>
  <c r="CS2437" i="1"/>
  <c r="K2438" i="1"/>
  <c r="P2438" i="1"/>
  <c r="R2438" i="1"/>
  <c r="BL2438" i="1"/>
  <c r="BW2438" i="1"/>
  <c r="CH2438" i="1"/>
  <c r="CS2438" i="1"/>
  <c r="K2439" i="1"/>
  <c r="P2439" i="1"/>
  <c r="R2439" i="1"/>
  <c r="BL2439" i="1"/>
  <c r="BW2439" i="1"/>
  <c r="CH2439" i="1"/>
  <c r="CS2439" i="1"/>
  <c r="K2440" i="1"/>
  <c r="P2440" i="1"/>
  <c r="R2440" i="1"/>
  <c r="BL2440" i="1"/>
  <c r="BW2440" i="1"/>
  <c r="CH2440" i="1"/>
  <c r="CS2440" i="1"/>
  <c r="K2441" i="1"/>
  <c r="P2441" i="1"/>
  <c r="R2441" i="1"/>
  <c r="BL2441" i="1"/>
  <c r="BW2441" i="1"/>
  <c r="CH2441" i="1"/>
  <c r="CS2441" i="1"/>
  <c r="K2442" i="1"/>
  <c r="P2442" i="1"/>
  <c r="R2442" i="1"/>
  <c r="BL2442" i="1"/>
  <c r="BW2442" i="1"/>
  <c r="CH2442" i="1"/>
  <c r="CS2442" i="1"/>
  <c r="K2443" i="1"/>
  <c r="P2443" i="1"/>
  <c r="R2443" i="1"/>
  <c r="BL2443" i="1"/>
  <c r="BW2443" i="1"/>
  <c r="CH2443" i="1"/>
  <c r="CS2443" i="1"/>
  <c r="K2444" i="1"/>
  <c r="P2444" i="1"/>
  <c r="R2444" i="1"/>
  <c r="BL2444" i="1"/>
  <c r="BW2444" i="1"/>
  <c r="CH2444" i="1"/>
  <c r="CS2444" i="1"/>
  <c r="K2445" i="1"/>
  <c r="P2445" i="1"/>
  <c r="R2445" i="1"/>
  <c r="BL2445" i="1"/>
  <c r="BW2445" i="1"/>
  <c r="CH2445" i="1"/>
  <c r="CS2445" i="1"/>
  <c r="K2446" i="1"/>
  <c r="P2446" i="1"/>
  <c r="R2446" i="1"/>
  <c r="BL2446" i="1"/>
  <c r="BW2446" i="1"/>
  <c r="CH2446" i="1"/>
  <c r="CS2446" i="1"/>
  <c r="K2447" i="1"/>
  <c r="P2447" i="1"/>
  <c r="R2447" i="1"/>
  <c r="BL2447" i="1"/>
  <c r="BW2447" i="1"/>
  <c r="CH2447" i="1"/>
  <c r="CS2447" i="1"/>
  <c r="K2448" i="1"/>
  <c r="P2448" i="1"/>
  <c r="R2448" i="1"/>
  <c r="BL2448" i="1"/>
  <c r="BW2448" i="1"/>
  <c r="CH2448" i="1"/>
  <c r="CS2448" i="1"/>
  <c r="K2449" i="1"/>
  <c r="P2449" i="1"/>
  <c r="R2449" i="1"/>
  <c r="BL2449" i="1"/>
  <c r="BW2449" i="1"/>
  <c r="CH2449" i="1"/>
  <c r="CS2449" i="1"/>
  <c r="K2450" i="1"/>
  <c r="P2450" i="1"/>
  <c r="R2450" i="1"/>
  <c r="BL2450" i="1"/>
  <c r="BW2450" i="1"/>
  <c r="CH2450" i="1"/>
  <c r="CS2450" i="1"/>
  <c r="K2451" i="1"/>
  <c r="P2451" i="1"/>
  <c r="R2451" i="1"/>
  <c r="BL2451" i="1"/>
  <c r="BW2451" i="1"/>
  <c r="CH2451" i="1"/>
  <c r="CS2451" i="1"/>
  <c r="K2452" i="1"/>
  <c r="P2452" i="1"/>
  <c r="R2452" i="1"/>
  <c r="BL2452" i="1"/>
  <c r="BW2452" i="1"/>
  <c r="CH2452" i="1"/>
  <c r="CS2452" i="1"/>
  <c r="K2453" i="1"/>
  <c r="P2453" i="1"/>
  <c r="R2453" i="1"/>
  <c r="BL2453" i="1"/>
  <c r="BW2453" i="1"/>
  <c r="CH2453" i="1"/>
  <c r="CS2453" i="1"/>
  <c r="K2454" i="1"/>
  <c r="P2454" i="1"/>
  <c r="R2454" i="1"/>
  <c r="BL2454" i="1"/>
  <c r="BW2454" i="1"/>
  <c r="CH2454" i="1"/>
  <c r="CS2454" i="1"/>
  <c r="K2455" i="1"/>
  <c r="P2455" i="1"/>
  <c r="R2455" i="1"/>
  <c r="BL2455" i="1"/>
  <c r="BW2455" i="1"/>
  <c r="CH2455" i="1"/>
  <c r="CS2455" i="1"/>
  <c r="K2456" i="1"/>
  <c r="P2456" i="1"/>
  <c r="R2456" i="1"/>
  <c r="BL2456" i="1"/>
  <c r="BW2456" i="1"/>
  <c r="CH2456" i="1"/>
  <c r="CS2456" i="1"/>
  <c r="K2457" i="1"/>
  <c r="P2457" i="1"/>
  <c r="R2457" i="1"/>
  <c r="BL2457" i="1"/>
  <c r="BW2457" i="1"/>
  <c r="CH2457" i="1"/>
  <c r="CS2457" i="1"/>
  <c r="K2458" i="1"/>
  <c r="P2458" i="1"/>
  <c r="R2458" i="1"/>
  <c r="BL2458" i="1"/>
  <c r="BW2458" i="1"/>
  <c r="CH2458" i="1"/>
  <c r="CS2458" i="1"/>
  <c r="K2459" i="1"/>
  <c r="P2459" i="1"/>
  <c r="R2459" i="1"/>
  <c r="BL2459" i="1"/>
  <c r="BW2459" i="1"/>
  <c r="CH2459" i="1"/>
  <c r="CS2459" i="1"/>
  <c r="K2460" i="1"/>
  <c r="P2460" i="1"/>
  <c r="R2460" i="1"/>
  <c r="BL2460" i="1"/>
  <c r="BW2460" i="1"/>
  <c r="CH2460" i="1"/>
  <c r="CS2460" i="1"/>
  <c r="K2461" i="1"/>
  <c r="P2461" i="1"/>
  <c r="R2461" i="1"/>
  <c r="BL2461" i="1"/>
  <c r="BW2461" i="1"/>
  <c r="CH2461" i="1"/>
  <c r="CS2461" i="1"/>
  <c r="K2462" i="1"/>
  <c r="P2462" i="1"/>
  <c r="R2462" i="1"/>
  <c r="BL2462" i="1"/>
  <c r="BW2462" i="1"/>
  <c r="CH2462" i="1"/>
  <c r="CS2462" i="1"/>
  <c r="K2463" i="1"/>
  <c r="P2463" i="1"/>
  <c r="R2463" i="1"/>
  <c r="BL2463" i="1"/>
  <c r="BW2463" i="1"/>
  <c r="CH2463" i="1"/>
  <c r="CS2463" i="1"/>
  <c r="K2464" i="1"/>
  <c r="P2464" i="1"/>
  <c r="R2464" i="1"/>
  <c r="BL2464" i="1"/>
  <c r="BW2464" i="1"/>
  <c r="CH2464" i="1"/>
  <c r="CS2464" i="1"/>
  <c r="K2465" i="1"/>
  <c r="P2465" i="1"/>
  <c r="R2465" i="1"/>
  <c r="BL2465" i="1"/>
  <c r="BW2465" i="1"/>
  <c r="CH2465" i="1"/>
  <c r="CS2465" i="1"/>
  <c r="K2466" i="1"/>
  <c r="P2466" i="1"/>
  <c r="R2466" i="1"/>
  <c r="BL2466" i="1"/>
  <c r="BW2466" i="1"/>
  <c r="CH2466" i="1"/>
  <c r="CS2466" i="1"/>
  <c r="K2467" i="1"/>
  <c r="P2467" i="1"/>
  <c r="R2467" i="1"/>
  <c r="BL2467" i="1"/>
  <c r="BW2467" i="1"/>
  <c r="CH2467" i="1"/>
  <c r="CS2467" i="1"/>
  <c r="K2468" i="1"/>
  <c r="P2468" i="1"/>
  <c r="R2468" i="1"/>
  <c r="BL2468" i="1"/>
  <c r="BW2468" i="1"/>
  <c r="CH2468" i="1"/>
  <c r="CS2468" i="1"/>
  <c r="K2469" i="1"/>
  <c r="P2469" i="1"/>
  <c r="R2469" i="1"/>
  <c r="BL2469" i="1"/>
  <c r="BW2469" i="1"/>
  <c r="CH2469" i="1"/>
  <c r="CS2469" i="1"/>
  <c r="K2470" i="1"/>
  <c r="P2470" i="1"/>
  <c r="R2470" i="1"/>
  <c r="BL2470" i="1"/>
  <c r="BW2470" i="1"/>
  <c r="CH2470" i="1"/>
  <c r="CS2470" i="1"/>
  <c r="K2471" i="1"/>
  <c r="P2471" i="1"/>
  <c r="R2471" i="1"/>
  <c r="BL2471" i="1"/>
  <c r="BW2471" i="1"/>
  <c r="CH2471" i="1"/>
  <c r="CS2471" i="1"/>
  <c r="K2472" i="1"/>
  <c r="P2472" i="1"/>
  <c r="R2472" i="1"/>
  <c r="BL2472" i="1"/>
  <c r="BW2472" i="1"/>
  <c r="CH2472" i="1"/>
  <c r="CS2472" i="1"/>
  <c r="K2473" i="1"/>
  <c r="P2473" i="1"/>
  <c r="R2473" i="1"/>
  <c r="BL2473" i="1"/>
  <c r="BW2473" i="1"/>
  <c r="CH2473" i="1"/>
  <c r="CS2473" i="1"/>
  <c r="K2474" i="1"/>
  <c r="P2474" i="1"/>
  <c r="R2474" i="1"/>
  <c r="BL2474" i="1"/>
  <c r="BW2474" i="1"/>
  <c r="CH2474" i="1"/>
  <c r="CS2474" i="1"/>
  <c r="K2475" i="1"/>
  <c r="P2475" i="1"/>
  <c r="R2475" i="1"/>
  <c r="BL2475" i="1"/>
  <c r="BW2475" i="1"/>
  <c r="CH2475" i="1"/>
  <c r="CS2475" i="1"/>
  <c r="K2476" i="1"/>
  <c r="P2476" i="1"/>
  <c r="R2476" i="1"/>
  <c r="BL2476" i="1"/>
  <c r="BW2476" i="1"/>
  <c r="CH2476" i="1"/>
  <c r="CS2476" i="1"/>
  <c r="K2477" i="1"/>
  <c r="P2477" i="1"/>
  <c r="R2477" i="1"/>
  <c r="BL2477" i="1"/>
  <c r="BW2477" i="1"/>
  <c r="CH2477" i="1"/>
  <c r="CS2477" i="1"/>
  <c r="K2478" i="1"/>
  <c r="P2478" i="1"/>
  <c r="R2478" i="1"/>
  <c r="BL2478" i="1"/>
  <c r="BW2478" i="1"/>
  <c r="CH2478" i="1"/>
  <c r="CS2478" i="1"/>
  <c r="K2479" i="1"/>
  <c r="P2479" i="1"/>
  <c r="R2479" i="1"/>
  <c r="BL2479" i="1"/>
  <c r="BW2479" i="1"/>
  <c r="CH2479" i="1"/>
  <c r="CS2479" i="1"/>
  <c r="K2480" i="1"/>
  <c r="P2480" i="1"/>
  <c r="R2480" i="1"/>
  <c r="BL2480" i="1"/>
  <c r="BW2480" i="1"/>
  <c r="CH2480" i="1"/>
  <c r="CS2480" i="1"/>
  <c r="K2481" i="1"/>
  <c r="P2481" i="1"/>
  <c r="R2481" i="1"/>
  <c r="BL2481" i="1"/>
  <c r="BW2481" i="1"/>
  <c r="CH2481" i="1"/>
  <c r="CS2481" i="1"/>
  <c r="K2482" i="1"/>
  <c r="P2482" i="1"/>
  <c r="R2482" i="1"/>
  <c r="BL2482" i="1"/>
  <c r="BW2482" i="1"/>
  <c r="CH2482" i="1"/>
  <c r="CS2482" i="1"/>
  <c r="K2483" i="1"/>
  <c r="P2483" i="1"/>
  <c r="R2483" i="1"/>
  <c r="BL2483" i="1"/>
  <c r="BW2483" i="1"/>
  <c r="CH2483" i="1"/>
  <c r="CS2483" i="1"/>
  <c r="K2484" i="1"/>
  <c r="P2484" i="1"/>
  <c r="R2484" i="1"/>
  <c r="BL2484" i="1"/>
  <c r="BW2484" i="1"/>
  <c r="CH2484" i="1"/>
  <c r="CS2484" i="1"/>
  <c r="K2485" i="1"/>
  <c r="P2485" i="1"/>
  <c r="R2485" i="1"/>
  <c r="BL2485" i="1"/>
  <c r="BW2485" i="1"/>
  <c r="CH2485" i="1"/>
  <c r="CS2485" i="1"/>
  <c r="K2486" i="1"/>
  <c r="P2486" i="1"/>
  <c r="R2486" i="1"/>
  <c r="BL2486" i="1"/>
  <c r="BW2486" i="1"/>
  <c r="CH2486" i="1"/>
  <c r="CS2486" i="1"/>
  <c r="K2487" i="1"/>
  <c r="P2487" i="1"/>
  <c r="R2487" i="1"/>
  <c r="BL2487" i="1"/>
  <c r="BW2487" i="1"/>
  <c r="CH2487" i="1"/>
  <c r="CS2487" i="1"/>
  <c r="K2488" i="1"/>
  <c r="P2488" i="1"/>
  <c r="R2488" i="1"/>
  <c r="BL2488" i="1"/>
  <c r="BW2488" i="1"/>
  <c r="CH2488" i="1"/>
  <c r="CS2488" i="1"/>
  <c r="K2489" i="1"/>
  <c r="P2489" i="1"/>
  <c r="R2489" i="1"/>
  <c r="BL2489" i="1"/>
  <c r="BW2489" i="1"/>
  <c r="CH2489" i="1"/>
  <c r="CS2489" i="1"/>
  <c r="K2490" i="1"/>
  <c r="P2490" i="1"/>
  <c r="R2490" i="1"/>
  <c r="BL2490" i="1"/>
  <c r="BW2490" i="1"/>
  <c r="CH2490" i="1"/>
  <c r="CS2490" i="1"/>
  <c r="K2491" i="1"/>
  <c r="P2491" i="1"/>
  <c r="R2491" i="1"/>
  <c r="BL2491" i="1"/>
  <c r="BW2491" i="1"/>
  <c r="CH2491" i="1"/>
  <c r="CS2491" i="1"/>
  <c r="K2492" i="1"/>
  <c r="P2492" i="1"/>
  <c r="R2492" i="1"/>
  <c r="BL2492" i="1"/>
  <c r="BW2492" i="1"/>
  <c r="CH2492" i="1"/>
  <c r="CS2492" i="1"/>
  <c r="K2493" i="1"/>
  <c r="P2493" i="1"/>
  <c r="R2493" i="1"/>
  <c r="BL2493" i="1"/>
  <c r="BW2493" i="1"/>
  <c r="CH2493" i="1"/>
  <c r="CS2493" i="1"/>
  <c r="K2494" i="1"/>
  <c r="P2494" i="1"/>
  <c r="R2494" i="1"/>
  <c r="BL2494" i="1"/>
  <c r="BW2494" i="1"/>
  <c r="CH2494" i="1"/>
  <c r="CS2494" i="1"/>
  <c r="K2495" i="1"/>
  <c r="P2495" i="1"/>
  <c r="R2495" i="1"/>
  <c r="BL2495" i="1"/>
  <c r="BW2495" i="1"/>
  <c r="CH2495" i="1"/>
  <c r="CS2495" i="1"/>
  <c r="K2496" i="1"/>
  <c r="P2496" i="1"/>
  <c r="R2496" i="1"/>
  <c r="BL2496" i="1"/>
  <c r="BW2496" i="1"/>
  <c r="CH2496" i="1"/>
  <c r="CS2496" i="1"/>
  <c r="K2497" i="1"/>
  <c r="P2497" i="1"/>
  <c r="R2497" i="1"/>
  <c r="BL2497" i="1"/>
  <c r="BW2497" i="1"/>
  <c r="CH2497" i="1"/>
  <c r="CS2497" i="1"/>
  <c r="K2498" i="1"/>
  <c r="P2498" i="1"/>
  <c r="R2498" i="1"/>
  <c r="BL2498" i="1"/>
  <c r="BW2498" i="1"/>
  <c r="CH2498" i="1"/>
  <c r="CS2498" i="1"/>
  <c r="K2499" i="1"/>
  <c r="P2499" i="1"/>
  <c r="R2499" i="1"/>
  <c r="BL2499" i="1"/>
  <c r="BW2499" i="1"/>
  <c r="CH2499" i="1"/>
  <c r="CS2499" i="1"/>
  <c r="K2500" i="1"/>
  <c r="P2500" i="1"/>
  <c r="R2500" i="1"/>
  <c r="BL2500" i="1"/>
  <c r="BW2500" i="1"/>
  <c r="CH2500" i="1"/>
  <c r="CS2500" i="1"/>
  <c r="K2501" i="1"/>
  <c r="P2501" i="1"/>
  <c r="R2501" i="1"/>
  <c r="BL2501" i="1"/>
  <c r="BW2501" i="1"/>
  <c r="CH2501" i="1"/>
  <c r="CS2501" i="1"/>
  <c r="K2502" i="1"/>
  <c r="P2502" i="1"/>
  <c r="R2502" i="1"/>
  <c r="BL2502" i="1"/>
  <c r="BW2502" i="1"/>
  <c r="CH2502" i="1"/>
  <c r="CS2502" i="1"/>
  <c r="K2503" i="1"/>
  <c r="P2503" i="1"/>
  <c r="R2503" i="1"/>
  <c r="BL2503" i="1"/>
  <c r="BW2503" i="1"/>
  <c r="CH2503" i="1"/>
  <c r="CS2503" i="1"/>
  <c r="K2504" i="1"/>
  <c r="P2504" i="1"/>
  <c r="R2504" i="1"/>
  <c r="BL2504" i="1"/>
  <c r="BW2504" i="1"/>
  <c r="CH2504" i="1"/>
  <c r="CS2504" i="1"/>
  <c r="K2505" i="1"/>
  <c r="P2505" i="1"/>
  <c r="R2505" i="1"/>
  <c r="BL2505" i="1"/>
  <c r="BW2505" i="1"/>
  <c r="CH2505" i="1"/>
  <c r="CS2505" i="1"/>
  <c r="K2506" i="1"/>
  <c r="P2506" i="1"/>
  <c r="R2506" i="1"/>
  <c r="BL2506" i="1"/>
  <c r="BW2506" i="1"/>
  <c r="CH2506" i="1"/>
  <c r="CS2506" i="1"/>
  <c r="K2507" i="1"/>
  <c r="P2507" i="1"/>
  <c r="R2507" i="1"/>
  <c r="BL2507" i="1"/>
  <c r="BW2507" i="1"/>
  <c r="CH2507" i="1"/>
  <c r="CS2507" i="1"/>
  <c r="K2508" i="1"/>
  <c r="P2508" i="1"/>
  <c r="R2508" i="1"/>
  <c r="BL2508" i="1"/>
  <c r="BW2508" i="1"/>
  <c r="CH2508" i="1"/>
  <c r="CS2508" i="1"/>
  <c r="K2509" i="1"/>
  <c r="P2509" i="1"/>
  <c r="R2509" i="1"/>
  <c r="BL2509" i="1"/>
  <c r="BW2509" i="1"/>
  <c r="CH2509" i="1"/>
  <c r="CS2509" i="1"/>
  <c r="K2510" i="1"/>
  <c r="P2510" i="1"/>
  <c r="R2510" i="1"/>
  <c r="BL2510" i="1"/>
  <c r="BW2510" i="1"/>
  <c r="CH2510" i="1"/>
  <c r="CS2510" i="1"/>
  <c r="K2511" i="1"/>
  <c r="P2511" i="1"/>
  <c r="R2511" i="1"/>
  <c r="BL2511" i="1"/>
  <c r="BW2511" i="1"/>
  <c r="CH2511" i="1"/>
  <c r="CS2511" i="1"/>
  <c r="K2512" i="1"/>
  <c r="P2512" i="1"/>
  <c r="R2512" i="1"/>
  <c r="BL2512" i="1"/>
  <c r="BW2512" i="1"/>
  <c r="CH2512" i="1"/>
  <c r="CS2512" i="1"/>
  <c r="K2513" i="1"/>
  <c r="P2513" i="1"/>
  <c r="R2513" i="1"/>
  <c r="BL2513" i="1"/>
  <c r="BW2513" i="1"/>
  <c r="CH2513" i="1"/>
  <c r="CS2513" i="1"/>
  <c r="K2514" i="1"/>
  <c r="P2514" i="1"/>
  <c r="R2514" i="1"/>
  <c r="BL2514" i="1"/>
  <c r="BW2514" i="1"/>
  <c r="CH2514" i="1"/>
  <c r="CS2514" i="1"/>
  <c r="K2515" i="1"/>
  <c r="P2515" i="1"/>
  <c r="R2515" i="1"/>
  <c r="BL2515" i="1"/>
  <c r="BW2515" i="1"/>
  <c r="CH2515" i="1"/>
  <c r="CS2515" i="1"/>
  <c r="K2516" i="1"/>
  <c r="P2516" i="1"/>
  <c r="R2516" i="1"/>
  <c r="BL2516" i="1"/>
  <c r="BW2516" i="1"/>
  <c r="CH2516" i="1"/>
  <c r="CS2516" i="1"/>
  <c r="K2517" i="1"/>
  <c r="P2517" i="1"/>
  <c r="R2517" i="1"/>
  <c r="BL2517" i="1"/>
  <c r="BW2517" i="1"/>
  <c r="CH2517" i="1"/>
  <c r="CS2517" i="1"/>
  <c r="K2518" i="1"/>
  <c r="P2518" i="1"/>
  <c r="R2518" i="1"/>
  <c r="BL2518" i="1"/>
  <c r="BW2518" i="1"/>
  <c r="CH2518" i="1"/>
  <c r="CS2518" i="1"/>
  <c r="K2519" i="1"/>
  <c r="P2519" i="1"/>
  <c r="R2519" i="1"/>
  <c r="BL2519" i="1"/>
  <c r="BW2519" i="1"/>
  <c r="CH2519" i="1"/>
  <c r="CS2519" i="1"/>
  <c r="K2520" i="1"/>
  <c r="P2520" i="1"/>
  <c r="R2520" i="1"/>
  <c r="BL2520" i="1"/>
  <c r="BW2520" i="1"/>
  <c r="CH2520" i="1"/>
  <c r="CS2520" i="1"/>
  <c r="K2521" i="1"/>
  <c r="P2521" i="1"/>
  <c r="R2521" i="1"/>
  <c r="BL2521" i="1"/>
  <c r="BW2521" i="1"/>
  <c r="CH2521" i="1"/>
  <c r="CS2521" i="1"/>
  <c r="K2522" i="1"/>
  <c r="P2522" i="1"/>
  <c r="R2522" i="1"/>
  <c r="BL2522" i="1"/>
  <c r="BW2522" i="1"/>
  <c r="CH2522" i="1"/>
  <c r="CS2522" i="1"/>
  <c r="K2523" i="1"/>
  <c r="P2523" i="1"/>
  <c r="R2523" i="1"/>
  <c r="BL2523" i="1"/>
  <c r="BW2523" i="1"/>
  <c r="CH2523" i="1"/>
  <c r="CS2523" i="1"/>
  <c r="K2524" i="1"/>
  <c r="P2524" i="1"/>
  <c r="R2524" i="1"/>
  <c r="BL2524" i="1"/>
  <c r="BW2524" i="1"/>
  <c r="CH2524" i="1"/>
  <c r="CS2524" i="1"/>
  <c r="K2525" i="1"/>
  <c r="P2525" i="1"/>
  <c r="R2525" i="1"/>
  <c r="BL2525" i="1"/>
  <c r="BW2525" i="1"/>
  <c r="CH2525" i="1"/>
  <c r="CS2525" i="1"/>
  <c r="K2526" i="1"/>
  <c r="P2526" i="1"/>
  <c r="R2526" i="1"/>
  <c r="BL2526" i="1"/>
  <c r="BW2526" i="1"/>
  <c r="CH2526" i="1"/>
  <c r="CS2526" i="1"/>
  <c r="K2527" i="1"/>
  <c r="P2527" i="1"/>
  <c r="R2527" i="1"/>
  <c r="BL2527" i="1"/>
  <c r="BW2527" i="1"/>
  <c r="CH2527" i="1"/>
  <c r="CS2527" i="1"/>
  <c r="K2528" i="1"/>
  <c r="P2528" i="1"/>
  <c r="R2528" i="1"/>
  <c r="BL2528" i="1"/>
  <c r="BW2528" i="1"/>
  <c r="CH2528" i="1"/>
  <c r="CS2528" i="1"/>
  <c r="K2529" i="1"/>
  <c r="P2529" i="1"/>
  <c r="R2529" i="1"/>
  <c r="BL2529" i="1"/>
  <c r="BW2529" i="1"/>
  <c r="CH2529" i="1"/>
  <c r="CS2529" i="1"/>
  <c r="K2530" i="1"/>
  <c r="P2530" i="1"/>
  <c r="R2530" i="1"/>
  <c r="BL2530" i="1"/>
  <c r="BW2530" i="1"/>
  <c r="CH2530" i="1"/>
  <c r="CS2530" i="1"/>
  <c r="K2531" i="1"/>
  <c r="P2531" i="1"/>
  <c r="R2531" i="1"/>
  <c r="BL2531" i="1"/>
  <c r="BW2531" i="1"/>
  <c r="CH2531" i="1"/>
  <c r="CS2531" i="1"/>
  <c r="K2532" i="1"/>
  <c r="P2532" i="1"/>
  <c r="R2532" i="1"/>
  <c r="BL2532" i="1"/>
  <c r="BW2532" i="1"/>
  <c r="CH2532" i="1"/>
  <c r="CS2532" i="1"/>
  <c r="K2533" i="1"/>
  <c r="P2533" i="1"/>
  <c r="R2533" i="1"/>
  <c r="BL2533" i="1"/>
  <c r="BW2533" i="1"/>
  <c r="CH2533" i="1"/>
  <c r="CS2533" i="1"/>
  <c r="K2534" i="1"/>
  <c r="P2534" i="1"/>
  <c r="R2534" i="1"/>
  <c r="BL2534" i="1"/>
  <c r="BW2534" i="1"/>
  <c r="CH2534" i="1"/>
  <c r="CS2534" i="1"/>
  <c r="K2535" i="1"/>
  <c r="P2535" i="1"/>
  <c r="R2535" i="1"/>
  <c r="BL2535" i="1"/>
  <c r="BW2535" i="1"/>
  <c r="CH2535" i="1"/>
  <c r="CS2535" i="1"/>
  <c r="K2536" i="1"/>
  <c r="P2536" i="1"/>
  <c r="R2536" i="1"/>
  <c r="BL2536" i="1"/>
  <c r="BW2536" i="1"/>
  <c r="CH2536" i="1"/>
  <c r="CS2536" i="1"/>
  <c r="K2537" i="1"/>
  <c r="P2537" i="1"/>
  <c r="R2537" i="1"/>
  <c r="BL2537" i="1"/>
  <c r="BW2537" i="1"/>
  <c r="CH2537" i="1"/>
  <c r="CS2537" i="1"/>
  <c r="K2538" i="1"/>
  <c r="P2538" i="1"/>
  <c r="R2538" i="1"/>
  <c r="BL2538" i="1"/>
  <c r="BW2538" i="1"/>
  <c r="CH2538" i="1"/>
  <c r="CS2538" i="1"/>
  <c r="K2539" i="1"/>
  <c r="P2539" i="1"/>
  <c r="R2539" i="1"/>
  <c r="BL2539" i="1"/>
  <c r="BW2539" i="1"/>
  <c r="CH2539" i="1"/>
  <c r="CS2539" i="1"/>
  <c r="K2540" i="1"/>
  <c r="P2540" i="1"/>
  <c r="R2540" i="1"/>
  <c r="BL2540" i="1"/>
  <c r="BW2540" i="1"/>
  <c r="CH2540" i="1"/>
  <c r="CS2540" i="1"/>
  <c r="K2541" i="1"/>
  <c r="P2541" i="1"/>
  <c r="R2541" i="1"/>
  <c r="BL2541" i="1"/>
  <c r="BW2541" i="1"/>
  <c r="CH2541" i="1"/>
  <c r="CS2541" i="1"/>
  <c r="K2542" i="1"/>
  <c r="P2542" i="1"/>
  <c r="R2542" i="1"/>
  <c r="BL2542" i="1"/>
  <c r="BW2542" i="1"/>
  <c r="CH2542" i="1"/>
  <c r="CS2542" i="1"/>
  <c r="K2543" i="1"/>
  <c r="P2543" i="1"/>
  <c r="R2543" i="1"/>
  <c r="BL2543" i="1"/>
  <c r="BW2543" i="1"/>
  <c r="CH2543" i="1"/>
  <c r="CS2543" i="1"/>
  <c r="K2544" i="1"/>
  <c r="P2544" i="1"/>
  <c r="R2544" i="1"/>
  <c r="BL2544" i="1"/>
  <c r="BW2544" i="1"/>
  <c r="CH2544" i="1"/>
  <c r="CS2544" i="1"/>
  <c r="K2545" i="1"/>
  <c r="P2545" i="1"/>
  <c r="R2545" i="1"/>
  <c r="BL2545" i="1"/>
  <c r="BW2545" i="1"/>
  <c r="CH2545" i="1"/>
  <c r="CS2545" i="1"/>
  <c r="K2546" i="1"/>
  <c r="P2546" i="1"/>
  <c r="R2546" i="1"/>
  <c r="BL2546" i="1"/>
  <c r="BW2546" i="1"/>
  <c r="CH2546" i="1"/>
  <c r="CS2546" i="1"/>
  <c r="K2547" i="1"/>
  <c r="P2547" i="1"/>
  <c r="R2547" i="1"/>
  <c r="BL2547" i="1"/>
  <c r="BW2547" i="1"/>
  <c r="CH2547" i="1"/>
  <c r="CS2547" i="1"/>
  <c r="K2548" i="1"/>
  <c r="P2548" i="1"/>
  <c r="R2548" i="1"/>
  <c r="BL2548" i="1"/>
  <c r="BW2548" i="1"/>
  <c r="CH2548" i="1"/>
  <c r="CS2548" i="1"/>
  <c r="K2549" i="1"/>
  <c r="P2549" i="1"/>
  <c r="R2549" i="1"/>
  <c r="BL2549" i="1"/>
  <c r="BW2549" i="1"/>
  <c r="CH2549" i="1"/>
  <c r="CS2549" i="1"/>
  <c r="K2550" i="1"/>
  <c r="P2550" i="1"/>
  <c r="R2550" i="1"/>
  <c r="BL2550" i="1"/>
  <c r="BW2550" i="1"/>
  <c r="CH2550" i="1"/>
  <c r="CS2550" i="1"/>
  <c r="K2551" i="1"/>
  <c r="P2551" i="1"/>
  <c r="R2551" i="1"/>
  <c r="BL2551" i="1"/>
  <c r="BW2551" i="1"/>
  <c r="CH2551" i="1"/>
  <c r="CS2551" i="1"/>
  <c r="K2552" i="1"/>
  <c r="P2552" i="1"/>
  <c r="R2552" i="1"/>
  <c r="BL2552" i="1"/>
  <c r="BW2552" i="1"/>
  <c r="CH2552" i="1"/>
  <c r="CS2552" i="1"/>
  <c r="K2553" i="1"/>
  <c r="P2553" i="1"/>
  <c r="R2553" i="1"/>
  <c r="BL2553" i="1"/>
  <c r="BW2553" i="1"/>
  <c r="CH2553" i="1"/>
  <c r="CS2553" i="1"/>
  <c r="K2554" i="1"/>
  <c r="P2554" i="1"/>
  <c r="R2554" i="1"/>
  <c r="BL2554" i="1"/>
  <c r="BW2554" i="1"/>
  <c r="CH2554" i="1"/>
  <c r="CS2554" i="1"/>
  <c r="K2555" i="1"/>
  <c r="P2555" i="1"/>
  <c r="R2555" i="1"/>
  <c r="BL2555" i="1"/>
  <c r="BW2555" i="1"/>
  <c r="CH2555" i="1"/>
  <c r="CS2555" i="1"/>
  <c r="K2556" i="1"/>
  <c r="P2556" i="1"/>
  <c r="R2556" i="1"/>
  <c r="BL2556" i="1"/>
  <c r="BW2556" i="1"/>
  <c r="CH2556" i="1"/>
  <c r="CS2556" i="1"/>
  <c r="K2557" i="1"/>
  <c r="P2557" i="1"/>
  <c r="R2557" i="1"/>
  <c r="BL2557" i="1"/>
  <c r="BW2557" i="1"/>
  <c r="CH2557" i="1"/>
  <c r="CS2557" i="1"/>
  <c r="K2558" i="1"/>
  <c r="P2558" i="1"/>
  <c r="R2558" i="1"/>
  <c r="BL2558" i="1"/>
  <c r="BW2558" i="1"/>
  <c r="CH2558" i="1"/>
  <c r="CS2558" i="1"/>
  <c r="K2559" i="1"/>
  <c r="P2559" i="1"/>
  <c r="R2559" i="1"/>
  <c r="BL2559" i="1"/>
  <c r="BW2559" i="1"/>
  <c r="CH2559" i="1"/>
  <c r="CS2559" i="1"/>
  <c r="K2560" i="1"/>
  <c r="P2560" i="1"/>
  <c r="R2560" i="1"/>
  <c r="BL2560" i="1"/>
  <c r="BW2560" i="1"/>
  <c r="CH2560" i="1"/>
  <c r="CS2560" i="1"/>
  <c r="K2561" i="1"/>
  <c r="P2561" i="1"/>
  <c r="R2561" i="1"/>
  <c r="BL2561" i="1"/>
  <c r="BW2561" i="1"/>
  <c r="CH2561" i="1"/>
  <c r="CS2561" i="1"/>
  <c r="K2562" i="1"/>
  <c r="P2562" i="1"/>
  <c r="R2562" i="1"/>
  <c r="BL2562" i="1"/>
  <c r="BW2562" i="1"/>
  <c r="CH2562" i="1"/>
  <c r="CS2562" i="1"/>
  <c r="K2563" i="1"/>
  <c r="P2563" i="1"/>
  <c r="R2563" i="1"/>
  <c r="BL2563" i="1"/>
  <c r="BW2563" i="1"/>
  <c r="CH2563" i="1"/>
  <c r="CS2563" i="1"/>
  <c r="K2564" i="1"/>
  <c r="P2564" i="1"/>
  <c r="R2564" i="1"/>
  <c r="BL2564" i="1"/>
  <c r="BW2564" i="1"/>
  <c r="CH2564" i="1"/>
  <c r="CS2564" i="1"/>
  <c r="K2565" i="1"/>
  <c r="P2565" i="1"/>
  <c r="R2565" i="1"/>
  <c r="BL2565" i="1"/>
  <c r="BW2565" i="1"/>
  <c r="CH2565" i="1"/>
  <c r="CS2565" i="1"/>
  <c r="K2566" i="1"/>
  <c r="P2566" i="1"/>
  <c r="R2566" i="1"/>
  <c r="BL2566" i="1"/>
  <c r="BW2566" i="1"/>
  <c r="CH2566" i="1"/>
  <c r="CS2566" i="1"/>
  <c r="K2567" i="1"/>
  <c r="P2567" i="1"/>
  <c r="R2567" i="1"/>
  <c r="BL2567" i="1"/>
  <c r="BW2567" i="1"/>
  <c r="CH2567" i="1"/>
  <c r="CS2567" i="1"/>
  <c r="K2568" i="1"/>
  <c r="P2568" i="1"/>
  <c r="R2568" i="1"/>
  <c r="BL2568" i="1"/>
  <c r="BW2568" i="1"/>
  <c r="CH2568" i="1"/>
  <c r="CS2568" i="1"/>
  <c r="K2569" i="1"/>
  <c r="P2569" i="1"/>
  <c r="R2569" i="1"/>
  <c r="BL2569" i="1"/>
  <c r="BW2569" i="1"/>
  <c r="CH2569" i="1"/>
  <c r="CS2569" i="1"/>
  <c r="K2570" i="1"/>
  <c r="P2570" i="1"/>
  <c r="R2570" i="1"/>
  <c r="BL2570" i="1"/>
  <c r="BW2570" i="1"/>
  <c r="CH2570" i="1"/>
  <c r="CS2570" i="1"/>
  <c r="K2571" i="1"/>
  <c r="P2571" i="1"/>
  <c r="R2571" i="1"/>
  <c r="BL2571" i="1"/>
  <c r="BW2571" i="1"/>
  <c r="CH2571" i="1"/>
  <c r="CS2571" i="1"/>
  <c r="K2572" i="1"/>
  <c r="P2572" i="1"/>
  <c r="R2572" i="1"/>
  <c r="BL2572" i="1"/>
  <c r="BW2572" i="1"/>
  <c r="CH2572" i="1"/>
  <c r="CS2572" i="1"/>
  <c r="K2573" i="1"/>
  <c r="P2573" i="1"/>
  <c r="R2573" i="1"/>
  <c r="BL2573" i="1"/>
  <c r="BW2573" i="1"/>
  <c r="CH2573" i="1"/>
  <c r="CS2573" i="1"/>
  <c r="K2574" i="1"/>
  <c r="P2574" i="1"/>
  <c r="R2574" i="1"/>
  <c r="BL2574" i="1"/>
  <c r="BW2574" i="1"/>
  <c r="CH2574" i="1"/>
  <c r="CS2574" i="1"/>
  <c r="K2575" i="1"/>
  <c r="P2575" i="1"/>
  <c r="R2575" i="1"/>
  <c r="BL2575" i="1"/>
  <c r="BW2575" i="1"/>
  <c r="CH2575" i="1"/>
  <c r="CS2575" i="1"/>
  <c r="K2576" i="1"/>
  <c r="P2576" i="1"/>
  <c r="R2576" i="1"/>
  <c r="BL2576" i="1"/>
  <c r="BW2576" i="1"/>
  <c r="CH2576" i="1"/>
  <c r="CS2576" i="1"/>
  <c r="K2577" i="1"/>
  <c r="P2577" i="1"/>
  <c r="R2577" i="1"/>
  <c r="BL2577" i="1"/>
  <c r="BW2577" i="1"/>
  <c r="CH2577" i="1"/>
  <c r="CS2577" i="1"/>
  <c r="K2578" i="1"/>
  <c r="P2578" i="1"/>
  <c r="R2578" i="1"/>
  <c r="BL2578" i="1"/>
  <c r="BW2578" i="1"/>
  <c r="CH2578" i="1"/>
  <c r="CS2578" i="1"/>
  <c r="K2579" i="1"/>
  <c r="P2579" i="1"/>
  <c r="R2579" i="1"/>
  <c r="BL2579" i="1"/>
  <c r="BW2579" i="1"/>
  <c r="CH2579" i="1"/>
  <c r="CS2579" i="1"/>
  <c r="K2580" i="1"/>
  <c r="P2580" i="1"/>
  <c r="R2580" i="1"/>
  <c r="BL2580" i="1"/>
  <c r="BW2580" i="1"/>
  <c r="CH2580" i="1"/>
  <c r="CS2580" i="1"/>
  <c r="K2581" i="1"/>
  <c r="P2581" i="1"/>
  <c r="R2581" i="1"/>
  <c r="BL2581" i="1"/>
  <c r="BW2581" i="1"/>
  <c r="CH2581" i="1"/>
  <c r="CS2581" i="1"/>
  <c r="K2582" i="1"/>
  <c r="P2582" i="1"/>
  <c r="R2582" i="1"/>
  <c r="BL2582" i="1"/>
  <c r="BW2582" i="1"/>
  <c r="CH2582" i="1"/>
  <c r="CS2582" i="1"/>
  <c r="K2583" i="1"/>
  <c r="P2583" i="1"/>
  <c r="R2583" i="1"/>
  <c r="BL2583" i="1"/>
  <c r="BW2583" i="1"/>
  <c r="CH2583" i="1"/>
  <c r="CS2583" i="1"/>
  <c r="K2584" i="1"/>
  <c r="P2584" i="1"/>
  <c r="R2584" i="1"/>
  <c r="BL2584" i="1"/>
  <c r="BW2584" i="1"/>
  <c r="CH2584" i="1"/>
  <c r="CS2584" i="1"/>
  <c r="K2585" i="1"/>
  <c r="P2585" i="1"/>
  <c r="R2585" i="1"/>
  <c r="BL2585" i="1"/>
  <c r="BQ2585" i="1"/>
  <c r="BW2585" i="1"/>
  <c r="CH2585" i="1"/>
  <c r="CS2585" i="1"/>
  <c r="K2586" i="1"/>
  <c r="P2586" i="1"/>
  <c r="R2586" i="1"/>
  <c r="BL2586" i="1"/>
  <c r="BW2586" i="1"/>
  <c r="CH2586" i="1"/>
  <c r="CS2586" i="1"/>
  <c r="K2587" i="1"/>
  <c r="P2587" i="1"/>
  <c r="R2587" i="1"/>
  <c r="BL2587" i="1"/>
  <c r="BW2587" i="1"/>
  <c r="CH2587" i="1"/>
  <c r="CS2587" i="1"/>
  <c r="K2588" i="1"/>
  <c r="P2588" i="1"/>
  <c r="R2588" i="1"/>
  <c r="BL2588" i="1"/>
  <c r="BW2588" i="1"/>
  <c r="CH2588" i="1"/>
  <c r="CS2588" i="1"/>
  <c r="K2589" i="1"/>
  <c r="P2589" i="1"/>
  <c r="R2589" i="1"/>
  <c r="BL2589" i="1"/>
  <c r="BW2589" i="1"/>
  <c r="CH2589" i="1"/>
  <c r="CS2589" i="1"/>
  <c r="K2590" i="1"/>
  <c r="P2590" i="1"/>
  <c r="R2590" i="1"/>
  <c r="BL2590" i="1"/>
  <c r="BW2590" i="1"/>
  <c r="CH2590" i="1"/>
  <c r="CS2590" i="1"/>
  <c r="K2591" i="1"/>
  <c r="P2591" i="1"/>
  <c r="R2591" i="1"/>
  <c r="BL2591" i="1"/>
  <c r="BW2591" i="1"/>
  <c r="CH2591" i="1"/>
  <c r="CS2591" i="1"/>
  <c r="K2592" i="1"/>
  <c r="P2592" i="1"/>
  <c r="R2592" i="1"/>
  <c r="BL2592" i="1"/>
  <c r="BW2592" i="1"/>
  <c r="CH2592" i="1"/>
  <c r="CS2592" i="1"/>
  <c r="K2593" i="1"/>
  <c r="P2593" i="1"/>
  <c r="R2593" i="1"/>
  <c r="BL2593" i="1"/>
  <c r="BW2593" i="1"/>
  <c r="CH2593" i="1"/>
  <c r="CS2593" i="1"/>
  <c r="K2594" i="1"/>
  <c r="P2594" i="1"/>
  <c r="R2594" i="1"/>
  <c r="BL2594" i="1"/>
  <c r="BW2594" i="1"/>
  <c r="CH2594" i="1"/>
  <c r="CS2594" i="1"/>
  <c r="K2595" i="1"/>
  <c r="P2595" i="1"/>
  <c r="R2595" i="1"/>
  <c r="BL2595" i="1"/>
  <c r="BW2595" i="1"/>
  <c r="CH2595" i="1"/>
  <c r="CS2595" i="1"/>
  <c r="K2596" i="1"/>
  <c r="P2596" i="1"/>
  <c r="R2596" i="1"/>
  <c r="BL2596" i="1"/>
  <c r="BW2596" i="1"/>
  <c r="CH2596" i="1"/>
  <c r="CS2596" i="1"/>
  <c r="K2597" i="1"/>
  <c r="P2597" i="1"/>
  <c r="R2597" i="1"/>
  <c r="BL2597" i="1"/>
  <c r="BW2597" i="1"/>
  <c r="CH2597" i="1"/>
  <c r="CS2597" i="1"/>
  <c r="K2598" i="1"/>
  <c r="P2598" i="1"/>
  <c r="R2598" i="1"/>
  <c r="BL2598" i="1"/>
  <c r="BW2598" i="1"/>
  <c r="CH2598" i="1"/>
  <c r="CS2598" i="1"/>
  <c r="K2599" i="1"/>
  <c r="P2599" i="1"/>
  <c r="R2599" i="1"/>
  <c r="BL2599" i="1"/>
  <c r="BQ2599" i="1"/>
  <c r="BW2599" i="1"/>
  <c r="CH2599" i="1"/>
  <c r="CS2599" i="1"/>
  <c r="K2600" i="1"/>
  <c r="P2600" i="1"/>
  <c r="R2600" i="1"/>
  <c r="BL2600" i="1"/>
  <c r="BW2600" i="1"/>
  <c r="CH2600" i="1"/>
  <c r="CS2600" i="1"/>
  <c r="K2601" i="1"/>
  <c r="P2601" i="1"/>
  <c r="R2601" i="1"/>
  <c r="BL2601" i="1"/>
  <c r="BW2601" i="1"/>
  <c r="CH2601" i="1"/>
  <c r="CS2601" i="1"/>
  <c r="K2602" i="1"/>
  <c r="P2602" i="1"/>
  <c r="R2602" i="1"/>
  <c r="BL2602" i="1"/>
  <c r="BW2602" i="1"/>
  <c r="CH2602" i="1"/>
  <c r="CS2602" i="1"/>
  <c r="K2603" i="1"/>
  <c r="P2603" i="1"/>
  <c r="R2603" i="1"/>
  <c r="BL2603" i="1"/>
  <c r="BW2603" i="1"/>
  <c r="CH2603" i="1"/>
  <c r="CS2603" i="1"/>
  <c r="K2604" i="1"/>
  <c r="P2604" i="1"/>
  <c r="R2604" i="1"/>
  <c r="BL2604" i="1"/>
  <c r="BW2604" i="1"/>
  <c r="CH2604" i="1"/>
  <c r="CS2604" i="1"/>
  <c r="K2605" i="1"/>
  <c r="P2605" i="1"/>
  <c r="R2605" i="1"/>
  <c r="BL2605" i="1"/>
  <c r="BW2605" i="1"/>
  <c r="CH2605" i="1"/>
  <c r="CS2605" i="1"/>
  <c r="K2606" i="1"/>
  <c r="P2606" i="1"/>
  <c r="R2606" i="1"/>
  <c r="BL2606" i="1"/>
  <c r="BW2606" i="1"/>
  <c r="CH2606" i="1"/>
  <c r="CS2606" i="1"/>
  <c r="K2607" i="1"/>
  <c r="P2607" i="1"/>
  <c r="R2607" i="1"/>
  <c r="BL2607" i="1"/>
  <c r="BW2607" i="1"/>
  <c r="CH2607" i="1"/>
  <c r="CS2607" i="1"/>
  <c r="K2608" i="1"/>
  <c r="P2608" i="1"/>
  <c r="R2608" i="1"/>
  <c r="BL2608" i="1"/>
  <c r="BW2608" i="1"/>
  <c r="CH2608" i="1"/>
  <c r="CS2608" i="1"/>
  <c r="K2609" i="1"/>
  <c r="P2609" i="1"/>
  <c r="R2609" i="1"/>
  <c r="BL2609" i="1"/>
  <c r="BW2609" i="1"/>
  <c r="CH2609" i="1"/>
  <c r="CS2609" i="1"/>
  <c r="K2610" i="1"/>
  <c r="P2610" i="1"/>
  <c r="R2610" i="1"/>
  <c r="AM2610" i="1"/>
  <c r="BL2610" i="1"/>
  <c r="BW2610" i="1"/>
  <c r="CH2610" i="1"/>
  <c r="CS2610" i="1"/>
  <c r="K2611" i="1"/>
  <c r="P2611" i="1"/>
  <c r="R2611" i="1"/>
  <c r="BL2611" i="1"/>
  <c r="BW2611" i="1"/>
  <c r="CH2611" i="1"/>
  <c r="CS2611" i="1"/>
  <c r="K2612" i="1"/>
  <c r="P2612" i="1"/>
  <c r="R2612" i="1"/>
  <c r="BL2612" i="1"/>
  <c r="BW2612" i="1"/>
  <c r="CH2612" i="1"/>
  <c r="CS2612" i="1"/>
  <c r="K2613" i="1"/>
  <c r="P2613" i="1"/>
  <c r="R2613" i="1"/>
  <c r="BL2613" i="1"/>
  <c r="BW2613" i="1"/>
  <c r="CH2613" i="1"/>
  <c r="CS2613" i="1"/>
  <c r="K2614" i="1"/>
  <c r="P2614" i="1"/>
  <c r="R2614" i="1"/>
  <c r="BL2614" i="1"/>
  <c r="BW2614" i="1"/>
  <c r="CH2614" i="1"/>
  <c r="CS2614" i="1"/>
  <c r="K2615" i="1"/>
  <c r="P2615" i="1"/>
  <c r="R2615" i="1"/>
  <c r="BL2615" i="1"/>
  <c r="BW2615" i="1"/>
  <c r="CH2615" i="1"/>
  <c r="CS2615" i="1"/>
  <c r="K2616" i="1"/>
  <c r="P2616" i="1"/>
  <c r="R2616" i="1"/>
  <c r="BL2616" i="1"/>
  <c r="BW2616" i="1"/>
  <c r="CH2616" i="1"/>
  <c r="CS2616" i="1"/>
  <c r="K2617" i="1"/>
  <c r="P2617" i="1"/>
  <c r="R2617" i="1"/>
  <c r="BL2617" i="1"/>
  <c r="BW2617" i="1"/>
  <c r="CH2617" i="1"/>
  <c r="CS2617" i="1"/>
  <c r="K2618" i="1"/>
  <c r="P2618" i="1"/>
  <c r="R2618" i="1"/>
  <c r="BL2618" i="1"/>
  <c r="BW2618" i="1"/>
  <c r="CH2618" i="1"/>
  <c r="CS2618" i="1"/>
  <c r="K2619" i="1"/>
  <c r="P2619" i="1"/>
  <c r="R2619" i="1"/>
  <c r="BL2619" i="1"/>
  <c r="BW2619" i="1"/>
  <c r="CH2619" i="1"/>
  <c r="CS2619" i="1"/>
  <c r="K2620" i="1"/>
  <c r="P2620" i="1"/>
  <c r="R2620" i="1"/>
  <c r="BL2620" i="1"/>
  <c r="BW2620" i="1"/>
  <c r="CH2620" i="1"/>
  <c r="CS2620" i="1"/>
  <c r="K2621" i="1"/>
  <c r="P2621" i="1"/>
  <c r="R2621" i="1"/>
  <c r="BL2621" i="1"/>
  <c r="BW2621" i="1"/>
  <c r="CH2621" i="1"/>
  <c r="CS2621" i="1"/>
  <c r="K2622" i="1"/>
  <c r="P2622" i="1"/>
  <c r="R2622" i="1"/>
  <c r="BL2622" i="1"/>
  <c r="BW2622" i="1"/>
  <c r="CH2622" i="1"/>
  <c r="CS2622" i="1"/>
  <c r="K2623" i="1"/>
  <c r="P2623" i="1"/>
  <c r="R2623" i="1"/>
  <c r="BL2623" i="1"/>
  <c r="BW2623" i="1"/>
  <c r="CH2623" i="1"/>
  <c r="CS2623" i="1"/>
  <c r="K2624" i="1"/>
  <c r="P2624" i="1"/>
  <c r="R2624" i="1"/>
  <c r="BL2624" i="1"/>
  <c r="BW2624" i="1"/>
  <c r="CH2624" i="1"/>
  <c r="CS2624" i="1"/>
  <c r="K2625" i="1"/>
  <c r="P2625" i="1"/>
  <c r="R2625" i="1"/>
  <c r="BL2625" i="1"/>
  <c r="BW2625" i="1"/>
  <c r="CH2625" i="1"/>
  <c r="CS2625" i="1"/>
  <c r="K2626" i="1"/>
  <c r="P2626" i="1"/>
  <c r="R2626" i="1"/>
  <c r="BL2626" i="1"/>
  <c r="BW2626" i="1"/>
  <c r="CH2626" i="1"/>
  <c r="CS2626" i="1"/>
  <c r="K2627" i="1"/>
  <c r="P2627" i="1"/>
  <c r="R2627" i="1"/>
  <c r="BL2627" i="1"/>
  <c r="BW2627" i="1"/>
  <c r="CH2627" i="1"/>
  <c r="CS2627" i="1"/>
  <c r="K2628" i="1"/>
  <c r="P2628" i="1"/>
  <c r="R2628" i="1"/>
  <c r="BL2628" i="1"/>
  <c r="BW2628" i="1"/>
  <c r="CH2628" i="1"/>
  <c r="CS2628" i="1"/>
  <c r="K2629" i="1"/>
  <c r="P2629" i="1"/>
  <c r="R2629" i="1"/>
  <c r="BL2629" i="1"/>
  <c r="BW2629" i="1"/>
  <c r="CH2629" i="1"/>
  <c r="CS2629" i="1"/>
  <c r="K2630" i="1"/>
  <c r="P2630" i="1"/>
  <c r="R2630" i="1"/>
  <c r="BL2630" i="1"/>
  <c r="BW2630" i="1"/>
  <c r="CH2630" i="1"/>
  <c r="CS2630" i="1"/>
  <c r="K2631" i="1"/>
  <c r="P2631" i="1"/>
  <c r="R2631" i="1"/>
  <c r="BL2631" i="1"/>
  <c r="BW2631" i="1"/>
  <c r="CH2631" i="1"/>
  <c r="CS2631" i="1"/>
  <c r="K2632" i="1"/>
  <c r="P2632" i="1"/>
  <c r="R2632" i="1"/>
  <c r="BL2632" i="1"/>
  <c r="BW2632" i="1"/>
  <c r="CH2632" i="1"/>
  <c r="CS2632" i="1"/>
  <c r="K2633" i="1"/>
  <c r="P2633" i="1"/>
  <c r="R2633" i="1"/>
  <c r="AM2633" i="1"/>
  <c r="BL2633" i="1"/>
  <c r="BW2633" i="1"/>
  <c r="CH2633" i="1"/>
  <c r="CS2633" i="1"/>
  <c r="K2634" i="1"/>
  <c r="P2634" i="1"/>
  <c r="R2634" i="1"/>
  <c r="BL2634" i="1"/>
  <c r="BW2634" i="1"/>
  <c r="CH2634" i="1"/>
  <c r="CS2634" i="1"/>
  <c r="K2635" i="1"/>
  <c r="P2635" i="1"/>
  <c r="R2635" i="1"/>
  <c r="BL2635" i="1"/>
  <c r="BW2635" i="1"/>
  <c r="CH2635" i="1"/>
  <c r="CS2635" i="1"/>
  <c r="K2636" i="1"/>
  <c r="P2636" i="1"/>
  <c r="R2636" i="1"/>
  <c r="BL2636" i="1"/>
  <c r="BW2636" i="1"/>
  <c r="CH2636" i="1"/>
  <c r="CS2636" i="1"/>
  <c r="K2637" i="1"/>
  <c r="P2637" i="1"/>
  <c r="R2637" i="1"/>
  <c r="BL2637" i="1"/>
  <c r="BW2637" i="1"/>
  <c r="CH2637" i="1"/>
  <c r="CS2637" i="1"/>
  <c r="K2638" i="1"/>
  <c r="P2638" i="1"/>
  <c r="R2638" i="1"/>
  <c r="BL2638" i="1"/>
  <c r="BW2638" i="1"/>
  <c r="CH2638" i="1"/>
  <c r="CS2638" i="1"/>
  <c r="K2639" i="1"/>
  <c r="P2639" i="1"/>
  <c r="R2639" i="1"/>
  <c r="BL2639" i="1"/>
  <c r="BW2639" i="1"/>
  <c r="CH2639" i="1"/>
  <c r="CS2639" i="1"/>
  <c r="K2640" i="1"/>
  <c r="P2640" i="1"/>
  <c r="R2640" i="1"/>
  <c r="BL2640" i="1"/>
  <c r="BW2640" i="1"/>
  <c r="CH2640" i="1"/>
  <c r="CS2640" i="1"/>
  <c r="K2641" i="1"/>
  <c r="P2641" i="1"/>
  <c r="R2641" i="1"/>
  <c r="BL2641" i="1"/>
  <c r="BW2641" i="1"/>
  <c r="CH2641" i="1"/>
  <c r="CS2641" i="1"/>
  <c r="K2642" i="1"/>
  <c r="P2642" i="1"/>
  <c r="R2642" i="1"/>
  <c r="BL2642" i="1"/>
  <c r="BW2642" i="1"/>
  <c r="CH2642" i="1"/>
  <c r="CS2642" i="1"/>
  <c r="K2643" i="1"/>
  <c r="P2643" i="1"/>
  <c r="R2643" i="1"/>
  <c r="BL2643" i="1"/>
  <c r="BW2643" i="1"/>
  <c r="CH2643" i="1"/>
  <c r="CS2643" i="1"/>
  <c r="K2644" i="1"/>
  <c r="P2644" i="1"/>
  <c r="R2644" i="1"/>
  <c r="BL2644" i="1"/>
  <c r="BW2644" i="1"/>
  <c r="CH2644" i="1"/>
  <c r="CS2644" i="1"/>
  <c r="K2645" i="1"/>
  <c r="P2645" i="1"/>
  <c r="R2645" i="1"/>
  <c r="BL2645" i="1"/>
  <c r="BW2645" i="1"/>
  <c r="CH2645" i="1"/>
  <c r="CS2645" i="1"/>
  <c r="K2646" i="1"/>
  <c r="P2646" i="1"/>
  <c r="R2646" i="1"/>
  <c r="BL2646" i="1"/>
  <c r="BW2646" i="1"/>
  <c r="CH2646" i="1"/>
  <c r="CS2646" i="1"/>
  <c r="K2647" i="1"/>
  <c r="P2647" i="1"/>
  <c r="R2647" i="1"/>
  <c r="BL2647" i="1"/>
  <c r="BW2647" i="1"/>
  <c r="CH2647" i="1"/>
  <c r="CS2647" i="1"/>
  <c r="K2648" i="1"/>
  <c r="P2648" i="1"/>
  <c r="R2648" i="1"/>
  <c r="BL2648" i="1"/>
  <c r="BW2648" i="1"/>
  <c r="CH2648" i="1"/>
  <c r="CS2648" i="1"/>
  <c r="K2649" i="1"/>
  <c r="P2649" i="1"/>
  <c r="R2649" i="1"/>
  <c r="BL2649" i="1"/>
  <c r="BW2649" i="1"/>
  <c r="CH2649" i="1"/>
  <c r="CS2649" i="1"/>
  <c r="K2650" i="1"/>
  <c r="P2650" i="1"/>
  <c r="R2650" i="1"/>
  <c r="BL2650" i="1"/>
  <c r="BW2650" i="1"/>
  <c r="CH2650" i="1"/>
  <c r="CS2650" i="1"/>
  <c r="K2651" i="1"/>
  <c r="P2651" i="1"/>
  <c r="R2651" i="1"/>
  <c r="BL2651" i="1"/>
  <c r="BW2651" i="1"/>
  <c r="CH2651" i="1"/>
  <c r="CS2651" i="1"/>
  <c r="K2652" i="1"/>
  <c r="P2652" i="1"/>
  <c r="R2652" i="1"/>
  <c r="BL2652" i="1"/>
  <c r="BW2652" i="1"/>
  <c r="CH2652" i="1"/>
  <c r="CS2652" i="1"/>
  <c r="K2653" i="1"/>
  <c r="P2653" i="1"/>
  <c r="R2653" i="1"/>
  <c r="BL2653" i="1"/>
  <c r="BW2653" i="1"/>
  <c r="CH2653" i="1"/>
  <c r="CS2653" i="1"/>
  <c r="K2654" i="1"/>
  <c r="P2654" i="1"/>
  <c r="R2654" i="1"/>
  <c r="BL2654" i="1"/>
  <c r="BW2654" i="1"/>
  <c r="CH2654" i="1"/>
  <c r="CS2654" i="1"/>
  <c r="K2655" i="1"/>
  <c r="P2655" i="1"/>
  <c r="R2655" i="1"/>
  <c r="BL2655" i="1"/>
  <c r="BW2655" i="1"/>
  <c r="CH2655" i="1"/>
  <c r="CS2655" i="1"/>
  <c r="K2656" i="1"/>
  <c r="P2656" i="1"/>
  <c r="R2656" i="1"/>
  <c r="BL2656" i="1"/>
  <c r="BW2656" i="1"/>
  <c r="CH2656" i="1"/>
  <c r="CS2656" i="1"/>
  <c r="K2657" i="1"/>
  <c r="P2657" i="1"/>
  <c r="R2657" i="1"/>
  <c r="BL2657" i="1"/>
  <c r="BW2657" i="1"/>
  <c r="CH2657" i="1"/>
  <c r="CS2657" i="1"/>
  <c r="K2658" i="1"/>
  <c r="P2658" i="1"/>
  <c r="R2658" i="1"/>
  <c r="BL2658" i="1"/>
  <c r="BW2658" i="1"/>
  <c r="CH2658" i="1"/>
  <c r="CS2658" i="1"/>
  <c r="K2659" i="1"/>
  <c r="P2659" i="1"/>
  <c r="R2659" i="1"/>
  <c r="BL2659" i="1"/>
  <c r="BQ2659" i="1"/>
  <c r="BW2659" i="1"/>
  <c r="CH2659" i="1"/>
  <c r="CS2659" i="1"/>
  <c r="K2660" i="1"/>
  <c r="P2660" i="1"/>
  <c r="R2660" i="1"/>
  <c r="BL2660" i="1"/>
  <c r="BW2660" i="1"/>
  <c r="CH2660" i="1"/>
  <c r="CS2660" i="1"/>
  <c r="K2661" i="1"/>
  <c r="P2661" i="1"/>
  <c r="R2661" i="1"/>
  <c r="BL2661" i="1"/>
  <c r="BW2661" i="1"/>
  <c r="CH2661" i="1"/>
  <c r="CS2661" i="1"/>
  <c r="K2662" i="1"/>
  <c r="P2662" i="1"/>
  <c r="R2662" i="1"/>
  <c r="BL2662" i="1"/>
  <c r="BW2662" i="1"/>
  <c r="CH2662" i="1"/>
  <c r="CS2662" i="1"/>
  <c r="K2663" i="1"/>
  <c r="P2663" i="1"/>
  <c r="R2663" i="1"/>
  <c r="BL2663" i="1"/>
  <c r="BW2663" i="1"/>
  <c r="CH2663" i="1"/>
  <c r="CS2663" i="1"/>
  <c r="K2664" i="1"/>
  <c r="P2664" i="1"/>
  <c r="R2664" i="1"/>
  <c r="BL2664" i="1"/>
  <c r="BW2664" i="1"/>
  <c r="CH2664" i="1"/>
  <c r="CS2664" i="1"/>
  <c r="K2665" i="1"/>
  <c r="P2665" i="1"/>
  <c r="R2665" i="1"/>
  <c r="BL2665" i="1"/>
  <c r="BW2665" i="1"/>
  <c r="CH2665" i="1"/>
  <c r="CS2665" i="1"/>
  <c r="K2666" i="1"/>
  <c r="P2666" i="1"/>
  <c r="R2666" i="1"/>
  <c r="BL2666" i="1"/>
  <c r="BW2666" i="1"/>
  <c r="CH2666" i="1"/>
  <c r="CS2666" i="1"/>
  <c r="K2667" i="1"/>
  <c r="P2667" i="1"/>
  <c r="R2667" i="1"/>
  <c r="BL2667" i="1"/>
  <c r="BW2667" i="1"/>
  <c r="CH2667" i="1"/>
  <c r="CS2667" i="1"/>
  <c r="K2668" i="1"/>
  <c r="P2668" i="1"/>
  <c r="R2668" i="1"/>
  <c r="BL2668" i="1"/>
  <c r="BW2668" i="1"/>
  <c r="CH2668" i="1"/>
  <c r="CS2668" i="1"/>
  <c r="K2669" i="1"/>
  <c r="P2669" i="1"/>
  <c r="R2669" i="1"/>
  <c r="BL2669" i="1"/>
  <c r="BW2669" i="1"/>
  <c r="CH2669" i="1"/>
  <c r="CS2669" i="1"/>
  <c r="K2670" i="1"/>
  <c r="P2670" i="1"/>
  <c r="R2670" i="1"/>
  <c r="BL2670" i="1"/>
  <c r="BW2670" i="1"/>
  <c r="CH2670" i="1"/>
  <c r="CS2670" i="1"/>
  <c r="K2671" i="1"/>
  <c r="P2671" i="1"/>
  <c r="R2671" i="1"/>
  <c r="BL2671" i="1"/>
  <c r="BW2671" i="1"/>
  <c r="CH2671" i="1"/>
  <c r="CS2671" i="1"/>
  <c r="K2672" i="1"/>
  <c r="P2672" i="1"/>
  <c r="R2672" i="1"/>
  <c r="BL2672" i="1"/>
  <c r="BW2672" i="1"/>
  <c r="CH2672" i="1"/>
  <c r="CS2672" i="1"/>
  <c r="K2673" i="1"/>
  <c r="P2673" i="1"/>
  <c r="R2673" i="1"/>
  <c r="BL2673" i="1"/>
  <c r="BW2673" i="1"/>
  <c r="CH2673" i="1"/>
  <c r="CS2673" i="1"/>
  <c r="K2674" i="1"/>
  <c r="P2674" i="1"/>
  <c r="R2674" i="1"/>
  <c r="BL2674" i="1"/>
  <c r="BW2674" i="1"/>
  <c r="CH2674" i="1"/>
  <c r="CS2674" i="1"/>
  <c r="K2675" i="1"/>
  <c r="P2675" i="1"/>
  <c r="R2675" i="1"/>
  <c r="BL2675" i="1"/>
  <c r="BW2675" i="1"/>
  <c r="CH2675" i="1"/>
  <c r="CS2675" i="1"/>
  <c r="K2676" i="1"/>
  <c r="P2676" i="1"/>
  <c r="R2676" i="1"/>
  <c r="BL2676" i="1"/>
  <c r="BW2676" i="1"/>
  <c r="CH2676" i="1"/>
  <c r="CS2676" i="1"/>
  <c r="K2677" i="1"/>
  <c r="P2677" i="1"/>
  <c r="R2677" i="1"/>
  <c r="AM2677" i="1"/>
  <c r="BL2677" i="1"/>
  <c r="BW2677" i="1"/>
  <c r="CH2677" i="1"/>
  <c r="CS2677" i="1"/>
  <c r="K2678" i="1"/>
  <c r="P2678" i="1"/>
  <c r="R2678" i="1"/>
  <c r="BL2678" i="1"/>
  <c r="BW2678" i="1"/>
  <c r="CH2678" i="1"/>
  <c r="CS2678" i="1"/>
  <c r="K2679" i="1"/>
  <c r="P2679" i="1"/>
  <c r="R2679" i="1"/>
  <c r="BL2679" i="1"/>
  <c r="BW2679" i="1"/>
  <c r="CH2679" i="1"/>
  <c r="CS2679" i="1"/>
  <c r="K2680" i="1"/>
  <c r="P2680" i="1"/>
  <c r="R2680" i="1"/>
  <c r="BL2680" i="1"/>
  <c r="BW2680" i="1"/>
  <c r="CH2680" i="1"/>
  <c r="CS2680" i="1"/>
  <c r="K2681" i="1"/>
  <c r="P2681" i="1"/>
  <c r="R2681" i="1"/>
  <c r="BL2681" i="1"/>
  <c r="BW2681" i="1"/>
  <c r="CH2681" i="1"/>
  <c r="CS2681" i="1"/>
  <c r="K2682" i="1"/>
  <c r="P2682" i="1"/>
  <c r="R2682" i="1"/>
  <c r="BL2682" i="1"/>
  <c r="BW2682" i="1"/>
  <c r="CH2682" i="1"/>
  <c r="CS2682" i="1"/>
  <c r="K2683" i="1"/>
  <c r="P2683" i="1"/>
  <c r="R2683" i="1"/>
  <c r="BL2683" i="1"/>
  <c r="BW2683" i="1"/>
  <c r="CH2683" i="1"/>
  <c r="CS2683" i="1"/>
  <c r="K2684" i="1"/>
  <c r="P2684" i="1"/>
  <c r="R2684" i="1"/>
  <c r="BL2684" i="1"/>
  <c r="BW2684" i="1"/>
  <c r="CH2684" i="1"/>
  <c r="CS2684" i="1"/>
  <c r="K2685" i="1"/>
  <c r="P2685" i="1"/>
  <c r="R2685" i="1"/>
  <c r="BL2685" i="1"/>
  <c r="BW2685" i="1"/>
  <c r="CH2685" i="1"/>
  <c r="CS2685" i="1"/>
  <c r="K2686" i="1"/>
  <c r="P2686" i="1"/>
  <c r="R2686" i="1"/>
  <c r="BL2686" i="1"/>
  <c r="BW2686" i="1"/>
  <c r="CH2686" i="1"/>
  <c r="CS2686" i="1"/>
  <c r="K2687" i="1"/>
  <c r="P2687" i="1"/>
  <c r="R2687" i="1"/>
  <c r="BL2687" i="1"/>
  <c r="BW2687" i="1"/>
  <c r="CH2687" i="1"/>
  <c r="CS2687" i="1"/>
  <c r="K2688" i="1"/>
  <c r="P2688" i="1"/>
  <c r="R2688" i="1"/>
  <c r="BL2688" i="1"/>
  <c r="BW2688" i="1"/>
  <c r="CH2688" i="1"/>
  <c r="CS2688" i="1"/>
  <c r="K2689" i="1"/>
  <c r="P2689" i="1"/>
  <c r="R2689" i="1"/>
  <c r="BL2689" i="1"/>
  <c r="BW2689" i="1"/>
  <c r="CH2689" i="1"/>
  <c r="CS2689" i="1"/>
  <c r="K2690" i="1"/>
  <c r="P2690" i="1"/>
  <c r="R2690" i="1"/>
  <c r="BL2690" i="1"/>
  <c r="BW2690" i="1"/>
  <c r="CH2690" i="1"/>
  <c r="CS2690" i="1"/>
  <c r="K2691" i="1"/>
  <c r="P2691" i="1"/>
  <c r="R2691" i="1"/>
  <c r="BL2691" i="1"/>
  <c r="BW2691" i="1"/>
  <c r="CH2691" i="1"/>
  <c r="CS2691" i="1"/>
  <c r="K2692" i="1"/>
  <c r="P2692" i="1"/>
  <c r="R2692" i="1"/>
  <c r="BL2692" i="1"/>
  <c r="BW2692" i="1"/>
  <c r="CH2692" i="1"/>
  <c r="CS2692" i="1"/>
  <c r="K2693" i="1"/>
  <c r="P2693" i="1"/>
  <c r="R2693" i="1"/>
  <c r="BL2693" i="1"/>
  <c r="BW2693" i="1"/>
  <c r="CH2693" i="1"/>
  <c r="CS2693" i="1"/>
  <c r="K2694" i="1"/>
  <c r="P2694" i="1"/>
  <c r="R2694" i="1"/>
  <c r="BL2694" i="1"/>
  <c r="BW2694" i="1"/>
  <c r="CH2694" i="1"/>
  <c r="CS2694" i="1"/>
  <c r="K2695" i="1"/>
  <c r="P2695" i="1"/>
  <c r="R2695" i="1"/>
  <c r="BL2695" i="1"/>
  <c r="BW2695" i="1"/>
  <c r="CH2695" i="1"/>
  <c r="CS2695" i="1"/>
  <c r="K2696" i="1"/>
  <c r="P2696" i="1"/>
  <c r="R2696" i="1"/>
  <c r="BL2696" i="1"/>
  <c r="BW2696" i="1"/>
  <c r="CH2696" i="1"/>
  <c r="CS2696" i="1"/>
  <c r="K2697" i="1"/>
  <c r="P2697" i="1"/>
  <c r="R2697" i="1"/>
  <c r="BL2697" i="1"/>
  <c r="BW2697" i="1"/>
  <c r="CH2697" i="1"/>
  <c r="CS2697" i="1"/>
  <c r="K2698" i="1"/>
  <c r="P2698" i="1"/>
  <c r="R2698" i="1"/>
  <c r="BL2698" i="1"/>
  <c r="BW2698" i="1"/>
  <c r="CH2698" i="1"/>
  <c r="CS2698" i="1"/>
  <c r="K2699" i="1"/>
  <c r="P2699" i="1"/>
  <c r="R2699" i="1"/>
  <c r="BL2699" i="1"/>
  <c r="BW2699" i="1"/>
  <c r="CH2699" i="1"/>
  <c r="CS2699" i="1"/>
  <c r="K2700" i="1"/>
  <c r="P2700" i="1"/>
  <c r="R2700" i="1"/>
  <c r="BL2700" i="1"/>
  <c r="BW2700" i="1"/>
  <c r="CH2700" i="1"/>
  <c r="CS2700" i="1"/>
  <c r="K2701" i="1"/>
  <c r="P2701" i="1"/>
  <c r="R2701" i="1"/>
  <c r="BL2701" i="1"/>
  <c r="BW2701" i="1"/>
  <c r="CH2701" i="1"/>
  <c r="CS2701" i="1"/>
  <c r="K2702" i="1"/>
  <c r="P2702" i="1"/>
  <c r="R2702" i="1"/>
  <c r="BL2702" i="1"/>
  <c r="BW2702" i="1"/>
  <c r="CH2702" i="1"/>
  <c r="CS2702" i="1"/>
  <c r="K2703" i="1"/>
  <c r="P2703" i="1"/>
  <c r="R2703" i="1"/>
  <c r="BL2703" i="1"/>
  <c r="BW2703" i="1"/>
  <c r="CH2703" i="1"/>
  <c r="CS2703" i="1"/>
  <c r="K2704" i="1"/>
  <c r="P2704" i="1"/>
  <c r="R2704" i="1"/>
  <c r="BL2704" i="1"/>
  <c r="BW2704" i="1"/>
  <c r="CH2704" i="1"/>
  <c r="CS2704" i="1"/>
  <c r="K2705" i="1"/>
  <c r="P2705" i="1"/>
  <c r="R2705" i="1"/>
  <c r="BL2705" i="1"/>
  <c r="BW2705" i="1"/>
  <c r="CH2705" i="1"/>
  <c r="CS2705" i="1"/>
  <c r="K2706" i="1"/>
  <c r="P2706" i="1"/>
  <c r="R2706" i="1"/>
  <c r="BL2706" i="1"/>
  <c r="BW2706" i="1"/>
  <c r="CH2706" i="1"/>
  <c r="CS2706" i="1"/>
  <c r="K2707" i="1"/>
  <c r="P2707" i="1"/>
  <c r="R2707" i="1"/>
  <c r="BL2707" i="1"/>
  <c r="BW2707" i="1"/>
  <c r="CH2707" i="1"/>
  <c r="CS2707" i="1"/>
  <c r="K2708" i="1"/>
  <c r="P2708" i="1"/>
  <c r="R2708" i="1"/>
  <c r="BL2708" i="1"/>
  <c r="BW2708" i="1"/>
  <c r="CH2708" i="1"/>
  <c r="CS2708" i="1"/>
  <c r="K2709" i="1"/>
  <c r="P2709" i="1"/>
  <c r="R2709" i="1"/>
  <c r="BL2709" i="1"/>
  <c r="BW2709" i="1"/>
  <c r="CH2709" i="1"/>
  <c r="CS2709" i="1"/>
  <c r="K2710" i="1"/>
  <c r="P2710" i="1"/>
  <c r="R2710" i="1"/>
  <c r="BL2710" i="1"/>
  <c r="BW2710" i="1"/>
  <c r="CH2710" i="1"/>
  <c r="CS2710" i="1"/>
  <c r="K2711" i="1"/>
  <c r="P2711" i="1"/>
  <c r="R2711" i="1"/>
  <c r="BL2711" i="1"/>
  <c r="BW2711" i="1"/>
  <c r="CH2711" i="1"/>
  <c r="CS2711" i="1"/>
  <c r="K2712" i="1"/>
  <c r="P2712" i="1"/>
  <c r="R2712" i="1"/>
  <c r="BL2712" i="1"/>
  <c r="BW2712" i="1"/>
  <c r="CH2712" i="1"/>
  <c r="CS2712" i="1"/>
  <c r="K2713" i="1"/>
  <c r="P2713" i="1"/>
  <c r="R2713" i="1"/>
  <c r="BL2713" i="1"/>
  <c r="BW2713" i="1"/>
  <c r="CH2713" i="1"/>
  <c r="CS2713" i="1"/>
  <c r="K2714" i="1"/>
  <c r="P2714" i="1"/>
  <c r="R2714" i="1"/>
  <c r="BL2714" i="1"/>
  <c r="BW2714" i="1"/>
  <c r="CH2714" i="1"/>
  <c r="CS2714" i="1"/>
  <c r="K2715" i="1"/>
  <c r="P2715" i="1"/>
  <c r="R2715" i="1"/>
  <c r="BL2715" i="1"/>
  <c r="BW2715" i="1"/>
  <c r="CH2715" i="1"/>
  <c r="CS2715" i="1"/>
  <c r="K2716" i="1"/>
  <c r="P2716" i="1"/>
  <c r="R2716" i="1"/>
  <c r="BL2716" i="1"/>
  <c r="BW2716" i="1"/>
  <c r="CH2716" i="1"/>
  <c r="CS2716" i="1"/>
  <c r="K2717" i="1"/>
  <c r="P2717" i="1"/>
  <c r="R2717" i="1"/>
  <c r="BL2717" i="1"/>
  <c r="BW2717" i="1"/>
  <c r="CH2717" i="1"/>
  <c r="CS2717" i="1"/>
  <c r="K2718" i="1"/>
  <c r="P2718" i="1"/>
  <c r="R2718" i="1"/>
  <c r="BL2718" i="1"/>
  <c r="BW2718" i="1"/>
  <c r="CH2718" i="1"/>
  <c r="CS2718" i="1"/>
  <c r="K2719" i="1"/>
  <c r="P2719" i="1"/>
  <c r="R2719" i="1"/>
  <c r="BL2719" i="1"/>
  <c r="BW2719" i="1"/>
  <c r="CH2719" i="1"/>
  <c r="CS2719" i="1"/>
  <c r="K2720" i="1"/>
  <c r="P2720" i="1"/>
  <c r="R2720" i="1"/>
  <c r="BL2720" i="1"/>
  <c r="BW2720" i="1"/>
  <c r="CH2720" i="1"/>
  <c r="CS2720" i="1"/>
  <c r="K2721" i="1"/>
  <c r="P2721" i="1"/>
  <c r="R2721" i="1"/>
  <c r="BL2721" i="1"/>
  <c r="BW2721" i="1"/>
  <c r="CH2721" i="1"/>
  <c r="CS2721" i="1"/>
  <c r="K2722" i="1"/>
  <c r="P2722" i="1"/>
  <c r="R2722" i="1"/>
  <c r="BL2722" i="1"/>
  <c r="BW2722" i="1"/>
  <c r="CH2722" i="1"/>
  <c r="CS2722" i="1"/>
  <c r="K2723" i="1"/>
  <c r="P2723" i="1"/>
  <c r="R2723" i="1"/>
  <c r="BL2723" i="1"/>
  <c r="BW2723" i="1"/>
  <c r="CH2723" i="1"/>
  <c r="CS2723" i="1"/>
  <c r="K2724" i="1"/>
  <c r="P2724" i="1"/>
  <c r="R2724" i="1"/>
  <c r="BL2724" i="1"/>
  <c r="BW2724" i="1"/>
  <c r="CH2724" i="1"/>
  <c r="CS2724" i="1"/>
  <c r="K2725" i="1"/>
  <c r="P2725" i="1"/>
  <c r="R2725" i="1"/>
  <c r="BL2725" i="1"/>
  <c r="BW2725" i="1"/>
  <c r="CH2725" i="1"/>
  <c r="CS2725" i="1"/>
  <c r="K2726" i="1"/>
  <c r="P2726" i="1"/>
  <c r="R2726" i="1"/>
  <c r="BL2726" i="1"/>
  <c r="BW2726" i="1"/>
  <c r="CH2726" i="1"/>
  <c r="CS2726" i="1"/>
  <c r="K2727" i="1"/>
  <c r="P2727" i="1"/>
  <c r="R2727" i="1"/>
  <c r="BL2727" i="1"/>
  <c r="BW2727" i="1"/>
  <c r="CH2727" i="1"/>
  <c r="CS2727" i="1"/>
  <c r="K2728" i="1"/>
  <c r="P2728" i="1"/>
  <c r="R2728" i="1"/>
  <c r="BL2728" i="1"/>
  <c r="BW2728" i="1"/>
  <c r="CH2728" i="1"/>
  <c r="CS2728" i="1"/>
  <c r="K2729" i="1"/>
  <c r="P2729" i="1"/>
  <c r="R2729" i="1"/>
  <c r="BL2729" i="1"/>
  <c r="BW2729" i="1"/>
  <c r="CH2729" i="1"/>
  <c r="CS2729" i="1"/>
  <c r="K2730" i="1"/>
  <c r="P2730" i="1"/>
  <c r="R2730" i="1"/>
  <c r="BL2730" i="1"/>
  <c r="BW2730" i="1"/>
  <c r="CH2730" i="1"/>
  <c r="CS2730" i="1"/>
  <c r="K2731" i="1"/>
  <c r="P2731" i="1"/>
  <c r="R2731" i="1"/>
  <c r="BL2731" i="1"/>
  <c r="BW2731" i="1"/>
  <c r="CH2731" i="1"/>
  <c r="CS2731" i="1"/>
  <c r="K2732" i="1"/>
  <c r="P2732" i="1"/>
  <c r="R2732" i="1"/>
  <c r="BL2732" i="1"/>
  <c r="BW2732" i="1"/>
  <c r="CH2732" i="1"/>
  <c r="CS2732" i="1"/>
  <c r="K2733" i="1"/>
  <c r="P2733" i="1"/>
  <c r="R2733" i="1"/>
  <c r="BL2733" i="1"/>
  <c r="BW2733" i="1"/>
  <c r="CH2733" i="1"/>
  <c r="CS2733" i="1"/>
  <c r="K2734" i="1"/>
  <c r="P2734" i="1"/>
  <c r="R2734" i="1"/>
  <c r="BL2734" i="1"/>
  <c r="BW2734" i="1"/>
  <c r="CH2734" i="1"/>
  <c r="CS2734" i="1"/>
  <c r="K2735" i="1"/>
  <c r="P2735" i="1"/>
  <c r="R2735" i="1"/>
  <c r="BL2735" i="1"/>
  <c r="BW2735" i="1"/>
  <c r="CH2735" i="1"/>
  <c r="CS2735" i="1"/>
  <c r="K2736" i="1"/>
  <c r="P2736" i="1"/>
  <c r="R2736" i="1"/>
  <c r="BL2736" i="1"/>
  <c r="BW2736" i="1"/>
  <c r="CH2736" i="1"/>
  <c r="CS2736" i="1"/>
  <c r="K2737" i="1"/>
  <c r="P2737" i="1"/>
  <c r="R2737" i="1"/>
  <c r="BL2737" i="1"/>
  <c r="BW2737" i="1"/>
  <c r="CH2737" i="1"/>
  <c r="CS2737" i="1"/>
  <c r="K2738" i="1"/>
  <c r="P2738" i="1"/>
  <c r="R2738" i="1"/>
  <c r="BL2738" i="1"/>
  <c r="BW2738" i="1"/>
  <c r="CH2738" i="1"/>
  <c r="CS2738" i="1"/>
  <c r="K2739" i="1"/>
  <c r="P2739" i="1"/>
  <c r="R2739" i="1"/>
  <c r="BL2739" i="1"/>
  <c r="BW2739" i="1"/>
  <c r="CH2739" i="1"/>
  <c r="CS2739" i="1"/>
  <c r="K2740" i="1"/>
  <c r="P2740" i="1"/>
  <c r="R2740" i="1"/>
  <c r="BL2740" i="1"/>
  <c r="BW2740" i="1"/>
  <c r="CH2740" i="1"/>
  <c r="CS2740" i="1"/>
  <c r="K2741" i="1"/>
  <c r="P2741" i="1"/>
  <c r="R2741" i="1"/>
  <c r="BL2741" i="1"/>
  <c r="BW2741" i="1"/>
  <c r="CH2741" i="1"/>
  <c r="CS2741" i="1"/>
  <c r="K2742" i="1"/>
  <c r="P2742" i="1"/>
  <c r="R2742" i="1"/>
  <c r="BL2742" i="1"/>
  <c r="BW2742" i="1"/>
  <c r="CH2742" i="1"/>
  <c r="CS2742" i="1"/>
  <c r="K2743" i="1"/>
  <c r="P2743" i="1"/>
  <c r="R2743" i="1"/>
  <c r="BL2743" i="1"/>
  <c r="BW2743" i="1"/>
  <c r="CH2743" i="1"/>
  <c r="CS2743" i="1"/>
  <c r="K2744" i="1"/>
  <c r="P2744" i="1"/>
  <c r="R2744" i="1"/>
  <c r="BL2744" i="1"/>
  <c r="BW2744" i="1"/>
  <c r="CH2744" i="1"/>
  <c r="CS2744" i="1"/>
  <c r="K2745" i="1"/>
  <c r="P2745" i="1"/>
  <c r="R2745" i="1"/>
  <c r="BL2745" i="1"/>
  <c r="BW2745" i="1"/>
  <c r="CH2745" i="1"/>
  <c r="CS2745" i="1"/>
  <c r="K2746" i="1"/>
  <c r="P2746" i="1"/>
  <c r="R2746" i="1"/>
  <c r="BL2746" i="1"/>
  <c r="BW2746" i="1"/>
  <c r="CH2746" i="1"/>
  <c r="CS2746" i="1"/>
  <c r="K2747" i="1"/>
  <c r="P2747" i="1"/>
  <c r="R2747" i="1"/>
  <c r="BL2747" i="1"/>
  <c r="BW2747" i="1"/>
  <c r="CH2747" i="1"/>
  <c r="CS2747" i="1"/>
  <c r="K2748" i="1"/>
  <c r="P2748" i="1"/>
  <c r="R2748" i="1"/>
  <c r="BL2748" i="1"/>
  <c r="BW2748" i="1"/>
  <c r="CH2748" i="1"/>
  <c r="CS2748" i="1"/>
  <c r="K2749" i="1"/>
  <c r="P2749" i="1"/>
  <c r="R2749" i="1"/>
  <c r="BL2749" i="1"/>
  <c r="BW2749" i="1"/>
  <c r="CH2749" i="1"/>
  <c r="CS2749" i="1"/>
  <c r="K2750" i="1"/>
  <c r="P2750" i="1"/>
  <c r="R2750" i="1"/>
  <c r="BL2750" i="1"/>
  <c r="BW2750" i="1"/>
  <c r="CH2750" i="1"/>
  <c r="CS2750" i="1"/>
  <c r="K2751" i="1"/>
  <c r="P2751" i="1"/>
  <c r="R2751" i="1"/>
  <c r="BL2751" i="1"/>
  <c r="BW2751" i="1"/>
  <c r="CH2751" i="1"/>
  <c r="CS2751" i="1"/>
  <c r="K2752" i="1"/>
  <c r="P2752" i="1"/>
  <c r="R2752" i="1"/>
  <c r="BL2752" i="1"/>
  <c r="BQ2752" i="1"/>
  <c r="BW2752" i="1"/>
  <c r="CH2752" i="1"/>
  <c r="CS2752" i="1"/>
  <c r="K2753" i="1"/>
  <c r="P2753" i="1"/>
  <c r="R2753" i="1"/>
  <c r="BL2753" i="1"/>
  <c r="BW2753" i="1"/>
  <c r="CH2753" i="1"/>
  <c r="CS2753" i="1"/>
  <c r="K2754" i="1"/>
  <c r="P2754" i="1"/>
  <c r="R2754" i="1"/>
  <c r="BL2754" i="1"/>
  <c r="BW2754" i="1"/>
  <c r="CH2754" i="1"/>
  <c r="CS2754" i="1"/>
  <c r="K2755" i="1"/>
  <c r="P2755" i="1"/>
  <c r="R2755" i="1"/>
  <c r="BL2755" i="1"/>
  <c r="BW2755" i="1"/>
  <c r="CH2755" i="1"/>
  <c r="CS2755" i="1"/>
  <c r="K2756" i="1"/>
  <c r="P2756" i="1"/>
  <c r="R2756" i="1"/>
  <c r="BL2756" i="1"/>
  <c r="BW2756" i="1"/>
  <c r="CH2756" i="1"/>
  <c r="CS2756" i="1"/>
  <c r="K2757" i="1"/>
  <c r="P2757" i="1"/>
  <c r="R2757" i="1"/>
  <c r="BL2757" i="1"/>
  <c r="BW2757" i="1"/>
  <c r="CH2757" i="1"/>
  <c r="CS2757" i="1"/>
  <c r="K2758" i="1"/>
  <c r="P2758" i="1"/>
  <c r="R2758" i="1"/>
  <c r="BL2758" i="1"/>
  <c r="BW2758" i="1"/>
  <c r="CH2758" i="1"/>
  <c r="CS2758" i="1"/>
  <c r="K2759" i="1"/>
  <c r="P2759" i="1"/>
  <c r="R2759" i="1"/>
  <c r="BL2759" i="1"/>
  <c r="BW2759" i="1"/>
  <c r="CH2759" i="1"/>
  <c r="CS2759" i="1"/>
  <c r="K2760" i="1"/>
  <c r="P2760" i="1"/>
  <c r="R2760" i="1"/>
  <c r="BL2760" i="1"/>
  <c r="BW2760" i="1"/>
  <c r="CH2760" i="1"/>
  <c r="CS2760" i="1"/>
  <c r="K2761" i="1"/>
  <c r="P2761" i="1"/>
  <c r="R2761" i="1"/>
  <c r="BL2761" i="1"/>
  <c r="BQ2761" i="1"/>
  <c r="BW2761" i="1"/>
  <c r="CH2761" i="1"/>
  <c r="CS2761" i="1"/>
  <c r="K2762" i="1"/>
  <c r="P2762" i="1"/>
  <c r="R2762" i="1"/>
  <c r="BL2762" i="1"/>
  <c r="BW2762" i="1"/>
  <c r="CH2762" i="1"/>
  <c r="CS2762" i="1"/>
  <c r="K2763" i="1"/>
  <c r="P2763" i="1"/>
  <c r="R2763" i="1"/>
  <c r="BL2763" i="1"/>
  <c r="BW2763" i="1"/>
  <c r="CH2763" i="1"/>
  <c r="CS2763" i="1"/>
  <c r="K2764" i="1"/>
  <c r="P2764" i="1"/>
  <c r="R2764" i="1"/>
  <c r="BL2764" i="1"/>
  <c r="BW2764" i="1"/>
  <c r="CH2764" i="1"/>
  <c r="CS2764" i="1"/>
  <c r="K2765" i="1"/>
  <c r="P2765" i="1"/>
  <c r="R2765" i="1"/>
  <c r="BL2765" i="1"/>
  <c r="BQ2765" i="1"/>
  <c r="BW2765" i="1"/>
  <c r="CH2765" i="1"/>
  <c r="CS2765" i="1"/>
  <c r="K2766" i="1"/>
  <c r="P2766" i="1"/>
  <c r="R2766" i="1"/>
  <c r="BL2766" i="1"/>
  <c r="BW2766" i="1"/>
  <c r="CH2766" i="1"/>
  <c r="CS2766" i="1"/>
  <c r="K2767" i="1"/>
  <c r="P2767" i="1"/>
  <c r="R2767" i="1"/>
  <c r="BL2767" i="1"/>
  <c r="BW2767" i="1"/>
  <c r="CH2767" i="1"/>
  <c r="CS2767" i="1"/>
  <c r="K2768" i="1"/>
  <c r="P2768" i="1"/>
  <c r="R2768" i="1"/>
  <c r="BL2768" i="1"/>
  <c r="BW2768" i="1"/>
  <c r="CH2768" i="1"/>
  <c r="CS2768" i="1"/>
  <c r="K2769" i="1"/>
  <c r="P2769" i="1"/>
  <c r="R2769" i="1"/>
  <c r="BL2769" i="1"/>
  <c r="BW2769" i="1"/>
  <c r="CH2769" i="1"/>
  <c r="CS2769" i="1"/>
  <c r="K2770" i="1"/>
  <c r="P2770" i="1"/>
  <c r="R2770" i="1"/>
  <c r="BL2770" i="1"/>
  <c r="BW2770" i="1"/>
  <c r="CH2770" i="1"/>
  <c r="CS2770" i="1"/>
  <c r="K2771" i="1"/>
  <c r="P2771" i="1"/>
  <c r="R2771" i="1"/>
  <c r="BL2771" i="1"/>
  <c r="BW2771" i="1"/>
  <c r="CH2771" i="1"/>
  <c r="CS2771" i="1"/>
  <c r="K2772" i="1"/>
  <c r="P2772" i="1"/>
  <c r="R2772" i="1"/>
  <c r="BL2772" i="1"/>
  <c r="BW2772" i="1"/>
  <c r="CH2772" i="1"/>
  <c r="CS2772" i="1"/>
  <c r="K2773" i="1"/>
  <c r="P2773" i="1"/>
  <c r="R2773" i="1"/>
  <c r="BL2773" i="1"/>
  <c r="BW2773" i="1"/>
  <c r="CH2773" i="1"/>
  <c r="CS2773" i="1"/>
  <c r="K2774" i="1"/>
  <c r="P2774" i="1"/>
  <c r="R2774" i="1"/>
  <c r="BL2774" i="1"/>
  <c r="BW2774" i="1"/>
  <c r="CH2774" i="1"/>
  <c r="CS2774" i="1"/>
  <c r="K2775" i="1"/>
  <c r="P2775" i="1"/>
  <c r="R2775" i="1"/>
  <c r="BL2775" i="1"/>
  <c r="BW2775" i="1"/>
  <c r="CH2775" i="1"/>
  <c r="CS2775" i="1"/>
  <c r="K2776" i="1"/>
  <c r="P2776" i="1"/>
  <c r="R2776" i="1"/>
  <c r="BL2776" i="1"/>
  <c r="BW2776" i="1"/>
  <c r="CH2776" i="1"/>
  <c r="CS2776" i="1"/>
  <c r="K2777" i="1"/>
  <c r="P2777" i="1"/>
  <c r="R2777" i="1"/>
  <c r="BL2777" i="1"/>
  <c r="BW2777" i="1"/>
  <c r="CH2777" i="1"/>
  <c r="CS2777" i="1"/>
  <c r="K2778" i="1"/>
  <c r="P2778" i="1"/>
  <c r="R2778" i="1"/>
  <c r="BL2778" i="1"/>
  <c r="BW2778" i="1"/>
  <c r="CH2778" i="1"/>
  <c r="CS2778" i="1"/>
  <c r="K2779" i="1"/>
  <c r="P2779" i="1"/>
  <c r="R2779" i="1"/>
  <c r="BL2779" i="1"/>
  <c r="BW2779" i="1"/>
  <c r="CH2779" i="1"/>
  <c r="CS2779" i="1"/>
  <c r="K2780" i="1"/>
  <c r="P2780" i="1"/>
  <c r="R2780" i="1"/>
  <c r="BL2780" i="1"/>
  <c r="BW2780" i="1"/>
  <c r="CH2780" i="1"/>
  <c r="CS2780" i="1"/>
  <c r="K2781" i="1"/>
  <c r="P2781" i="1"/>
  <c r="R2781" i="1"/>
  <c r="BL2781" i="1"/>
  <c r="BW2781" i="1"/>
  <c r="CH2781" i="1"/>
  <c r="CS2781" i="1"/>
  <c r="K2782" i="1"/>
  <c r="P2782" i="1"/>
  <c r="R2782" i="1"/>
  <c r="BL2782" i="1"/>
  <c r="BW2782" i="1"/>
  <c r="CH2782" i="1"/>
  <c r="CS2782" i="1"/>
  <c r="K2783" i="1"/>
  <c r="P2783" i="1"/>
  <c r="R2783" i="1"/>
  <c r="BL2783" i="1"/>
  <c r="BW2783" i="1"/>
  <c r="CH2783" i="1"/>
  <c r="CS2783" i="1"/>
  <c r="K2784" i="1"/>
  <c r="P2784" i="1"/>
  <c r="R2784" i="1"/>
  <c r="BL2784" i="1"/>
  <c r="BW2784" i="1"/>
  <c r="CH2784" i="1"/>
  <c r="CS2784" i="1"/>
  <c r="K2785" i="1"/>
  <c r="P2785" i="1"/>
  <c r="R2785" i="1"/>
  <c r="BL2785" i="1"/>
  <c r="BW2785" i="1"/>
  <c r="CH2785" i="1"/>
  <c r="CS2785" i="1"/>
  <c r="K2786" i="1"/>
  <c r="P2786" i="1"/>
  <c r="R2786" i="1"/>
  <c r="BL2786" i="1"/>
  <c r="BW2786" i="1"/>
  <c r="CH2786" i="1"/>
  <c r="CS2786" i="1"/>
  <c r="K2787" i="1"/>
  <c r="P2787" i="1"/>
  <c r="R2787" i="1"/>
  <c r="BL2787" i="1"/>
  <c r="BW2787" i="1"/>
  <c r="CH2787" i="1"/>
  <c r="CS2787" i="1"/>
  <c r="K2788" i="1"/>
  <c r="P2788" i="1"/>
  <c r="R2788" i="1"/>
  <c r="BL2788" i="1"/>
  <c r="BW2788" i="1"/>
  <c r="CH2788" i="1"/>
  <c r="CS2788" i="1"/>
  <c r="K2789" i="1"/>
  <c r="P2789" i="1"/>
  <c r="R2789" i="1"/>
  <c r="BL2789" i="1"/>
  <c r="BW2789" i="1"/>
  <c r="CH2789" i="1"/>
  <c r="CS2789" i="1"/>
  <c r="K2790" i="1"/>
  <c r="P2790" i="1"/>
  <c r="R2790" i="1"/>
  <c r="BL2790" i="1"/>
  <c r="BW2790" i="1"/>
  <c r="CH2790" i="1"/>
  <c r="CS2790" i="1"/>
  <c r="K2791" i="1"/>
  <c r="P2791" i="1"/>
  <c r="R2791" i="1"/>
  <c r="BL2791" i="1"/>
  <c r="BW2791" i="1"/>
  <c r="CH2791" i="1"/>
  <c r="CS2791" i="1"/>
  <c r="K2792" i="1"/>
  <c r="P2792" i="1"/>
  <c r="R2792" i="1"/>
  <c r="BL2792" i="1"/>
  <c r="BW2792" i="1"/>
  <c r="CH2792" i="1"/>
  <c r="CS2792" i="1"/>
  <c r="K2793" i="1"/>
  <c r="P2793" i="1"/>
  <c r="R2793" i="1"/>
  <c r="BL2793" i="1"/>
  <c r="BW2793" i="1"/>
  <c r="CH2793" i="1"/>
  <c r="CS2793" i="1"/>
  <c r="K2794" i="1"/>
  <c r="P2794" i="1"/>
  <c r="R2794" i="1"/>
  <c r="BL2794" i="1"/>
  <c r="BW2794" i="1"/>
  <c r="CH2794" i="1"/>
  <c r="CS2794" i="1"/>
  <c r="K2795" i="1"/>
  <c r="P2795" i="1"/>
  <c r="R2795" i="1"/>
  <c r="BL2795" i="1"/>
  <c r="BW2795" i="1"/>
  <c r="CH2795" i="1"/>
  <c r="CS2795" i="1"/>
  <c r="K2796" i="1"/>
  <c r="P2796" i="1"/>
  <c r="R2796" i="1"/>
  <c r="BL2796" i="1"/>
  <c r="BW2796" i="1"/>
  <c r="CH2796" i="1"/>
  <c r="CS2796" i="1"/>
  <c r="K2797" i="1"/>
  <c r="P2797" i="1"/>
  <c r="R2797" i="1"/>
  <c r="BL2797" i="1"/>
  <c r="BW2797" i="1"/>
  <c r="CH2797" i="1"/>
  <c r="CS2797" i="1"/>
  <c r="K2798" i="1"/>
  <c r="P2798" i="1"/>
  <c r="R2798" i="1"/>
  <c r="BL2798" i="1"/>
  <c r="BW2798" i="1"/>
  <c r="CH2798" i="1"/>
  <c r="CS2798" i="1"/>
  <c r="K2799" i="1"/>
  <c r="P2799" i="1"/>
  <c r="R2799" i="1"/>
  <c r="BL2799" i="1"/>
  <c r="BW2799" i="1"/>
  <c r="CH2799" i="1"/>
  <c r="CS2799" i="1"/>
  <c r="K2800" i="1"/>
  <c r="P2800" i="1"/>
  <c r="R2800" i="1"/>
  <c r="BL2800" i="1"/>
  <c r="BW2800" i="1"/>
  <c r="CH2800" i="1"/>
  <c r="CS2800" i="1"/>
  <c r="K2801" i="1"/>
  <c r="P2801" i="1"/>
  <c r="R2801" i="1"/>
  <c r="BL2801" i="1"/>
  <c r="BW2801" i="1"/>
  <c r="CH2801" i="1"/>
  <c r="CS2801" i="1"/>
  <c r="K2802" i="1"/>
  <c r="P2802" i="1"/>
  <c r="R2802" i="1"/>
  <c r="BL2802" i="1"/>
  <c r="BW2802" i="1"/>
  <c r="CH2802" i="1"/>
  <c r="CS2802" i="1"/>
  <c r="K2803" i="1"/>
  <c r="P2803" i="1"/>
  <c r="R2803" i="1"/>
  <c r="BL2803" i="1"/>
  <c r="BW2803" i="1"/>
  <c r="CH2803" i="1"/>
  <c r="CS2803" i="1"/>
  <c r="K2804" i="1"/>
  <c r="P2804" i="1"/>
  <c r="R2804" i="1"/>
  <c r="BL2804" i="1"/>
  <c r="BW2804" i="1"/>
  <c r="CH2804" i="1"/>
  <c r="CS2804" i="1"/>
  <c r="K2805" i="1"/>
  <c r="P2805" i="1"/>
  <c r="R2805" i="1"/>
  <c r="BL2805" i="1"/>
  <c r="BW2805" i="1"/>
  <c r="CH2805" i="1"/>
  <c r="CS2805" i="1"/>
  <c r="K2806" i="1"/>
  <c r="P2806" i="1"/>
  <c r="R2806" i="1"/>
  <c r="BL2806" i="1"/>
  <c r="BW2806" i="1"/>
  <c r="CH2806" i="1"/>
  <c r="CS2806" i="1"/>
  <c r="K2807" i="1"/>
  <c r="P2807" i="1"/>
  <c r="R2807" i="1"/>
  <c r="BL2807" i="1"/>
  <c r="BW2807" i="1"/>
  <c r="CH2807" i="1"/>
  <c r="CS2807" i="1"/>
  <c r="K2808" i="1"/>
  <c r="P2808" i="1"/>
  <c r="R2808" i="1"/>
  <c r="BL2808" i="1"/>
  <c r="BW2808" i="1"/>
  <c r="CH2808" i="1"/>
  <c r="CS2808" i="1"/>
  <c r="K2809" i="1"/>
  <c r="P2809" i="1"/>
  <c r="R2809" i="1"/>
  <c r="BL2809" i="1"/>
  <c r="BW2809" i="1"/>
  <c r="CH2809" i="1"/>
  <c r="CS2809" i="1"/>
  <c r="K2810" i="1"/>
  <c r="P2810" i="1"/>
  <c r="R2810" i="1"/>
  <c r="BL2810" i="1"/>
  <c r="BW2810" i="1"/>
  <c r="CH2810" i="1"/>
  <c r="CS2810" i="1"/>
  <c r="K2811" i="1"/>
  <c r="P2811" i="1"/>
  <c r="R2811" i="1"/>
  <c r="BL2811" i="1"/>
  <c r="BW2811" i="1"/>
  <c r="CH2811" i="1"/>
  <c r="CS2811" i="1"/>
  <c r="K2812" i="1"/>
  <c r="P2812" i="1"/>
  <c r="R2812" i="1"/>
  <c r="BL2812" i="1"/>
  <c r="BW2812" i="1"/>
  <c r="CH2812" i="1"/>
  <c r="CS2812" i="1"/>
  <c r="K2813" i="1"/>
  <c r="P2813" i="1"/>
  <c r="R2813" i="1"/>
  <c r="BL2813" i="1"/>
  <c r="BW2813" i="1"/>
  <c r="CH2813" i="1"/>
  <c r="CS2813" i="1"/>
  <c r="K2814" i="1"/>
  <c r="P2814" i="1"/>
  <c r="R2814" i="1"/>
  <c r="BL2814" i="1"/>
  <c r="BW2814" i="1"/>
  <c r="CH2814" i="1"/>
  <c r="CS2814" i="1"/>
  <c r="K2815" i="1"/>
  <c r="P2815" i="1"/>
  <c r="R2815" i="1"/>
  <c r="BL2815" i="1"/>
  <c r="BW2815" i="1"/>
  <c r="CH2815" i="1"/>
  <c r="CS2815" i="1"/>
  <c r="K2816" i="1"/>
  <c r="P2816" i="1"/>
  <c r="R2816" i="1"/>
  <c r="BL2816" i="1"/>
  <c r="BW2816" i="1"/>
  <c r="CH2816" i="1"/>
  <c r="CS2816" i="1"/>
  <c r="K2817" i="1"/>
  <c r="P2817" i="1"/>
  <c r="R2817" i="1"/>
  <c r="BL2817" i="1"/>
  <c r="BW2817" i="1"/>
  <c r="CH2817" i="1"/>
  <c r="CS2817" i="1"/>
  <c r="K2818" i="1"/>
  <c r="P2818" i="1"/>
  <c r="R2818" i="1"/>
  <c r="BL2818" i="1"/>
  <c r="BW2818" i="1"/>
  <c r="CH2818" i="1"/>
  <c r="CS2818" i="1"/>
  <c r="K2819" i="1"/>
  <c r="P2819" i="1"/>
  <c r="R2819" i="1"/>
  <c r="BL2819" i="1"/>
  <c r="BW2819" i="1"/>
  <c r="CH2819" i="1"/>
  <c r="CS2819" i="1"/>
  <c r="K2820" i="1"/>
  <c r="P2820" i="1"/>
  <c r="R2820" i="1"/>
  <c r="BL2820" i="1"/>
  <c r="BW2820" i="1"/>
  <c r="CH2820" i="1"/>
  <c r="CS2820" i="1"/>
  <c r="K2821" i="1"/>
  <c r="P2821" i="1"/>
  <c r="R2821" i="1"/>
  <c r="BL2821" i="1"/>
  <c r="BW2821" i="1"/>
  <c r="CH2821" i="1"/>
  <c r="CS2821" i="1"/>
  <c r="K2822" i="1"/>
  <c r="P2822" i="1"/>
  <c r="R2822" i="1"/>
  <c r="BL2822" i="1"/>
  <c r="BW2822" i="1"/>
  <c r="CH2822" i="1"/>
  <c r="CS2822" i="1"/>
  <c r="K2823" i="1"/>
  <c r="P2823" i="1"/>
  <c r="R2823" i="1"/>
  <c r="BL2823" i="1"/>
  <c r="BW2823" i="1"/>
  <c r="CH2823" i="1"/>
  <c r="CS2823" i="1"/>
  <c r="K2824" i="1"/>
  <c r="P2824" i="1"/>
  <c r="R2824" i="1"/>
  <c r="BL2824" i="1"/>
  <c r="BW2824" i="1"/>
  <c r="CH2824" i="1"/>
  <c r="CS2824" i="1"/>
  <c r="K2825" i="1"/>
  <c r="P2825" i="1"/>
  <c r="R2825" i="1"/>
  <c r="BL2825" i="1"/>
  <c r="BW2825" i="1"/>
  <c r="CH2825" i="1"/>
  <c r="CS2825" i="1"/>
  <c r="K2826" i="1"/>
  <c r="P2826" i="1"/>
  <c r="R2826" i="1"/>
  <c r="BL2826" i="1"/>
  <c r="BW2826" i="1"/>
  <c r="CH2826" i="1"/>
  <c r="CS2826" i="1"/>
  <c r="K2827" i="1"/>
  <c r="P2827" i="1"/>
  <c r="R2827" i="1"/>
  <c r="BL2827" i="1"/>
  <c r="BQ2827" i="1"/>
  <c r="BW2827" i="1"/>
  <c r="CH2827" i="1"/>
  <c r="CS2827" i="1"/>
  <c r="K2828" i="1"/>
  <c r="P2828" i="1"/>
  <c r="R2828" i="1"/>
  <c r="BL2828" i="1"/>
  <c r="BW2828" i="1"/>
  <c r="CH2828" i="1"/>
  <c r="CS2828" i="1"/>
  <c r="K2829" i="1"/>
  <c r="P2829" i="1"/>
  <c r="R2829" i="1"/>
  <c r="BL2829" i="1"/>
  <c r="BW2829" i="1"/>
  <c r="CH2829" i="1"/>
  <c r="CS2829" i="1"/>
  <c r="K2830" i="1"/>
  <c r="P2830" i="1"/>
  <c r="R2830" i="1"/>
  <c r="BL2830" i="1"/>
  <c r="BW2830" i="1"/>
  <c r="CH2830" i="1"/>
  <c r="CS2830" i="1"/>
  <c r="K2831" i="1"/>
  <c r="P2831" i="1"/>
  <c r="R2831" i="1"/>
  <c r="BL2831" i="1"/>
  <c r="BW2831" i="1"/>
  <c r="CH2831" i="1"/>
  <c r="CS2831" i="1"/>
  <c r="K2832" i="1"/>
  <c r="P2832" i="1"/>
  <c r="R2832" i="1"/>
  <c r="BL2832" i="1"/>
  <c r="BW2832" i="1"/>
  <c r="CH2832" i="1"/>
  <c r="CS2832" i="1"/>
  <c r="K2833" i="1"/>
  <c r="P2833" i="1"/>
  <c r="R2833" i="1"/>
  <c r="BL2833" i="1"/>
  <c r="BW2833" i="1"/>
  <c r="CH2833" i="1"/>
  <c r="CS2833" i="1"/>
  <c r="K2834" i="1"/>
  <c r="P2834" i="1"/>
  <c r="R2834" i="1"/>
  <c r="BL2834" i="1"/>
  <c r="BW2834" i="1"/>
  <c r="CH2834" i="1"/>
  <c r="CS2834" i="1"/>
  <c r="K2835" i="1"/>
  <c r="P2835" i="1"/>
  <c r="R2835" i="1"/>
  <c r="BL2835" i="1"/>
  <c r="BW2835" i="1"/>
  <c r="CH2835" i="1"/>
  <c r="CS2835" i="1"/>
  <c r="K2836" i="1"/>
  <c r="P2836" i="1"/>
  <c r="R2836" i="1"/>
  <c r="BL2836" i="1"/>
  <c r="BW2836" i="1"/>
  <c r="CH2836" i="1"/>
  <c r="CS2836" i="1"/>
  <c r="K2837" i="1"/>
  <c r="P2837" i="1"/>
  <c r="R2837" i="1"/>
  <c r="BL2837" i="1"/>
  <c r="BQ2837" i="1"/>
  <c r="BW2837" i="1"/>
  <c r="CH2837" i="1"/>
  <c r="CS2837" i="1"/>
  <c r="K2838" i="1"/>
  <c r="P2838" i="1"/>
  <c r="R2838" i="1"/>
  <c r="BL2838" i="1"/>
  <c r="BW2838" i="1"/>
  <c r="CH2838" i="1"/>
  <c r="CS2838" i="1"/>
  <c r="K2839" i="1"/>
  <c r="P2839" i="1"/>
  <c r="R2839" i="1"/>
  <c r="BL2839" i="1"/>
  <c r="BW2839" i="1"/>
  <c r="CH2839" i="1"/>
  <c r="CS2839" i="1"/>
  <c r="K2840" i="1"/>
  <c r="P2840" i="1"/>
  <c r="R2840" i="1"/>
  <c r="BL2840" i="1"/>
  <c r="BW2840" i="1"/>
  <c r="CH2840" i="1"/>
  <c r="CS2840" i="1"/>
  <c r="K2841" i="1"/>
  <c r="P2841" i="1"/>
  <c r="R2841" i="1"/>
  <c r="BL2841" i="1"/>
  <c r="BW2841" i="1"/>
  <c r="CH2841" i="1"/>
  <c r="CS2841" i="1"/>
  <c r="K2842" i="1"/>
  <c r="P2842" i="1"/>
  <c r="R2842" i="1"/>
  <c r="BL2842" i="1"/>
  <c r="BW2842" i="1"/>
  <c r="CH2842" i="1"/>
  <c r="CS2842" i="1"/>
  <c r="K2843" i="1"/>
  <c r="P2843" i="1"/>
  <c r="R2843" i="1"/>
  <c r="BL2843" i="1"/>
  <c r="BW2843" i="1"/>
  <c r="CH2843" i="1"/>
  <c r="CS2843" i="1"/>
  <c r="K2844" i="1"/>
  <c r="P2844" i="1"/>
  <c r="R2844" i="1"/>
  <c r="BL2844" i="1"/>
  <c r="BW2844" i="1"/>
  <c r="CH2844" i="1"/>
  <c r="CS2844" i="1"/>
  <c r="K2845" i="1"/>
  <c r="P2845" i="1"/>
  <c r="R2845" i="1"/>
  <c r="BL2845" i="1"/>
  <c r="BW2845" i="1"/>
  <c r="CH2845" i="1"/>
  <c r="CS2845" i="1"/>
  <c r="K2846" i="1"/>
  <c r="P2846" i="1"/>
  <c r="R2846" i="1"/>
  <c r="BL2846" i="1"/>
  <c r="BW2846" i="1"/>
  <c r="CH2846" i="1"/>
  <c r="CS2846" i="1"/>
  <c r="K2847" i="1"/>
  <c r="P2847" i="1"/>
  <c r="R2847" i="1"/>
  <c r="BL2847" i="1"/>
  <c r="BW2847" i="1"/>
  <c r="CH2847" i="1"/>
  <c r="CS2847" i="1"/>
  <c r="K2848" i="1"/>
  <c r="P2848" i="1"/>
  <c r="R2848" i="1"/>
  <c r="BL2848" i="1"/>
  <c r="BW2848" i="1"/>
  <c r="CH2848" i="1"/>
  <c r="CS2848" i="1"/>
  <c r="K2849" i="1"/>
  <c r="P2849" i="1"/>
  <c r="R2849" i="1"/>
  <c r="BL2849" i="1"/>
  <c r="BW2849" i="1"/>
  <c r="CH2849" i="1"/>
  <c r="CS2849" i="1"/>
  <c r="K2850" i="1"/>
  <c r="P2850" i="1"/>
  <c r="R2850" i="1"/>
  <c r="BL2850" i="1"/>
  <c r="BW2850" i="1"/>
  <c r="CH2850" i="1"/>
  <c r="CS2850" i="1"/>
  <c r="K2851" i="1"/>
  <c r="P2851" i="1"/>
  <c r="R2851" i="1"/>
  <c r="BL2851" i="1"/>
  <c r="BW2851" i="1"/>
  <c r="CH2851" i="1"/>
  <c r="CS2851" i="1"/>
  <c r="K2852" i="1"/>
  <c r="P2852" i="1"/>
  <c r="R2852" i="1"/>
  <c r="BL2852" i="1"/>
  <c r="BW2852" i="1"/>
  <c r="CH2852" i="1"/>
  <c r="CS2852" i="1"/>
  <c r="K2853" i="1"/>
  <c r="P2853" i="1"/>
  <c r="R2853" i="1"/>
  <c r="BL2853" i="1"/>
  <c r="BW2853" i="1"/>
  <c r="CH2853" i="1"/>
  <c r="CS2853" i="1"/>
  <c r="K2854" i="1"/>
  <c r="P2854" i="1"/>
  <c r="R2854" i="1"/>
  <c r="BL2854" i="1"/>
  <c r="BW2854" i="1"/>
  <c r="CH2854" i="1"/>
  <c r="CS2854" i="1"/>
  <c r="K2855" i="1"/>
  <c r="P2855" i="1"/>
  <c r="R2855" i="1"/>
  <c r="BL2855" i="1"/>
  <c r="BW2855" i="1"/>
  <c r="CH2855" i="1"/>
  <c r="CS2855" i="1"/>
  <c r="K2856" i="1"/>
  <c r="P2856" i="1"/>
  <c r="R2856" i="1"/>
  <c r="BL2856" i="1"/>
  <c r="BW2856" i="1"/>
  <c r="CH2856" i="1"/>
  <c r="CS2856" i="1"/>
  <c r="K2857" i="1"/>
  <c r="P2857" i="1"/>
  <c r="R2857" i="1"/>
  <c r="BL2857" i="1"/>
  <c r="BW2857" i="1"/>
  <c r="CH2857" i="1"/>
  <c r="CS2857" i="1"/>
  <c r="K2858" i="1"/>
  <c r="P2858" i="1"/>
  <c r="R2858" i="1"/>
  <c r="BL2858" i="1"/>
  <c r="BW2858" i="1"/>
  <c r="CH2858" i="1"/>
  <c r="CS2858" i="1"/>
  <c r="K2859" i="1"/>
  <c r="P2859" i="1"/>
  <c r="R2859" i="1"/>
  <c r="BL2859" i="1"/>
  <c r="BW2859" i="1"/>
  <c r="CH2859" i="1"/>
  <c r="CS2859" i="1"/>
  <c r="K2860" i="1"/>
  <c r="P2860" i="1"/>
  <c r="R2860" i="1"/>
  <c r="BL2860" i="1"/>
  <c r="BW2860" i="1"/>
  <c r="CH2860" i="1"/>
  <c r="CS2860" i="1"/>
  <c r="K2861" i="1"/>
  <c r="P2861" i="1"/>
  <c r="R2861" i="1"/>
  <c r="BL2861" i="1"/>
  <c r="BW2861" i="1"/>
  <c r="CH2861" i="1"/>
  <c r="CS2861" i="1"/>
  <c r="K2862" i="1"/>
  <c r="P2862" i="1"/>
  <c r="R2862" i="1"/>
  <c r="BL2862" i="1"/>
  <c r="BW2862" i="1"/>
  <c r="CH2862" i="1"/>
  <c r="CS2862" i="1"/>
  <c r="K2863" i="1"/>
  <c r="P2863" i="1"/>
  <c r="R2863" i="1"/>
  <c r="BL2863" i="1"/>
  <c r="BW2863" i="1"/>
  <c r="CH2863" i="1"/>
  <c r="CS2863" i="1"/>
  <c r="K2864" i="1"/>
  <c r="P2864" i="1"/>
  <c r="R2864" i="1"/>
  <c r="BL2864" i="1"/>
  <c r="BW2864" i="1"/>
  <c r="CH2864" i="1"/>
  <c r="CS2864" i="1"/>
  <c r="K2865" i="1"/>
  <c r="P2865" i="1"/>
  <c r="R2865" i="1"/>
  <c r="BL2865" i="1"/>
  <c r="BW2865" i="1"/>
  <c r="CH2865" i="1"/>
  <c r="CS2865" i="1"/>
  <c r="K2866" i="1"/>
  <c r="P2866" i="1"/>
  <c r="R2866" i="1"/>
  <c r="BL2866" i="1"/>
  <c r="BW2866" i="1"/>
  <c r="CH2866" i="1"/>
  <c r="CS2866" i="1"/>
  <c r="K2867" i="1"/>
  <c r="P2867" i="1"/>
  <c r="R2867" i="1"/>
  <c r="BL2867" i="1"/>
  <c r="BW2867" i="1"/>
  <c r="CH2867" i="1"/>
  <c r="CS2867" i="1"/>
  <c r="K2868" i="1"/>
  <c r="P2868" i="1"/>
  <c r="R2868" i="1"/>
  <c r="BL2868" i="1"/>
  <c r="BW2868" i="1"/>
  <c r="CH2868" i="1"/>
  <c r="CS2868" i="1"/>
  <c r="K2869" i="1"/>
  <c r="P2869" i="1"/>
  <c r="R2869" i="1"/>
  <c r="BL2869" i="1"/>
  <c r="BW2869" i="1"/>
  <c r="CH2869" i="1"/>
  <c r="CS2869" i="1"/>
  <c r="K2870" i="1"/>
  <c r="P2870" i="1"/>
  <c r="R2870" i="1"/>
  <c r="BL2870" i="1"/>
  <c r="BW2870" i="1"/>
  <c r="CH2870" i="1"/>
  <c r="CS2870" i="1"/>
  <c r="K2871" i="1"/>
  <c r="P2871" i="1"/>
  <c r="R2871" i="1"/>
  <c r="BL2871" i="1"/>
  <c r="BW2871" i="1"/>
  <c r="CH2871" i="1"/>
  <c r="CS2871" i="1"/>
  <c r="K2872" i="1"/>
  <c r="P2872" i="1"/>
  <c r="R2872" i="1"/>
  <c r="BL2872" i="1"/>
  <c r="BW2872" i="1"/>
  <c r="CH2872" i="1"/>
  <c r="CS2872" i="1"/>
  <c r="K2873" i="1"/>
  <c r="P2873" i="1"/>
  <c r="R2873" i="1"/>
  <c r="BL2873" i="1"/>
  <c r="BW2873" i="1"/>
  <c r="CH2873" i="1"/>
  <c r="CS2873" i="1"/>
  <c r="K2874" i="1"/>
  <c r="P2874" i="1"/>
  <c r="R2874" i="1"/>
  <c r="BL2874" i="1"/>
  <c r="BW2874" i="1"/>
  <c r="CH2874" i="1"/>
  <c r="CS2874" i="1"/>
  <c r="K2875" i="1"/>
  <c r="P2875" i="1"/>
  <c r="R2875" i="1"/>
  <c r="BL2875" i="1"/>
  <c r="BW2875" i="1"/>
  <c r="CH2875" i="1"/>
  <c r="CS2875" i="1"/>
  <c r="K2876" i="1"/>
  <c r="P2876" i="1"/>
  <c r="R2876" i="1"/>
  <c r="BL2876" i="1"/>
  <c r="BW2876" i="1"/>
  <c r="CH2876" i="1"/>
  <c r="CS2876" i="1"/>
  <c r="K2877" i="1"/>
  <c r="P2877" i="1"/>
  <c r="R2877" i="1"/>
  <c r="BL2877" i="1"/>
  <c r="BW2877" i="1"/>
  <c r="CH2877" i="1"/>
  <c r="CS2877" i="1"/>
  <c r="K2878" i="1"/>
  <c r="P2878" i="1"/>
  <c r="R2878" i="1"/>
  <c r="BL2878" i="1"/>
  <c r="BW2878" i="1"/>
  <c r="CH2878" i="1"/>
  <c r="CS2878" i="1"/>
  <c r="K2879" i="1"/>
  <c r="P2879" i="1"/>
  <c r="R2879" i="1"/>
  <c r="BL2879" i="1"/>
  <c r="BQ2879" i="1"/>
  <c r="BW2879" i="1"/>
  <c r="CH2879" i="1"/>
  <c r="CS2879" i="1"/>
  <c r="K2880" i="1"/>
  <c r="P2880" i="1"/>
  <c r="R2880" i="1"/>
  <c r="BL2880" i="1"/>
  <c r="BW2880" i="1"/>
  <c r="CH2880" i="1"/>
  <c r="CS2880" i="1"/>
  <c r="K2881" i="1"/>
  <c r="P2881" i="1"/>
  <c r="R2881" i="1"/>
  <c r="BL2881" i="1"/>
  <c r="BW2881" i="1"/>
  <c r="CH2881" i="1"/>
  <c r="CS2881" i="1"/>
  <c r="K2882" i="1"/>
  <c r="P2882" i="1"/>
  <c r="R2882" i="1"/>
  <c r="BL2882" i="1"/>
  <c r="BW2882" i="1"/>
  <c r="CH2882" i="1"/>
  <c r="CS2882" i="1"/>
  <c r="K2883" i="1"/>
  <c r="P2883" i="1"/>
  <c r="R2883" i="1"/>
  <c r="BL2883" i="1"/>
  <c r="BW2883" i="1"/>
  <c r="CH2883" i="1"/>
  <c r="CS2883" i="1"/>
  <c r="K2884" i="1"/>
  <c r="P2884" i="1"/>
  <c r="R2884" i="1"/>
  <c r="BL2884" i="1"/>
  <c r="BW2884" i="1"/>
  <c r="CH2884" i="1"/>
  <c r="CS2884" i="1"/>
  <c r="K2885" i="1"/>
  <c r="P2885" i="1"/>
  <c r="R2885" i="1"/>
  <c r="BL2885" i="1"/>
  <c r="BW2885" i="1"/>
  <c r="CH2885" i="1"/>
  <c r="CS2885" i="1"/>
  <c r="K2886" i="1"/>
  <c r="P2886" i="1"/>
  <c r="R2886" i="1"/>
  <c r="BL2886" i="1"/>
  <c r="BW2886" i="1"/>
  <c r="CH2886" i="1"/>
  <c r="CS2886" i="1"/>
  <c r="K2887" i="1"/>
  <c r="P2887" i="1"/>
  <c r="R2887" i="1"/>
  <c r="BL2887" i="1"/>
  <c r="BW2887" i="1"/>
  <c r="CH2887" i="1"/>
  <c r="CS2887" i="1"/>
  <c r="K2888" i="1"/>
  <c r="P2888" i="1"/>
  <c r="R2888" i="1"/>
  <c r="BL2888" i="1"/>
  <c r="BW2888" i="1"/>
  <c r="CH2888" i="1"/>
  <c r="CS2888" i="1"/>
  <c r="K2889" i="1"/>
  <c r="P2889" i="1"/>
  <c r="R2889" i="1"/>
  <c r="BL2889" i="1"/>
  <c r="BW2889" i="1"/>
  <c r="CH2889" i="1"/>
  <c r="CS2889" i="1"/>
  <c r="K2890" i="1"/>
  <c r="P2890" i="1"/>
  <c r="R2890" i="1"/>
  <c r="BL2890" i="1"/>
  <c r="BW2890" i="1"/>
  <c r="CH2890" i="1"/>
  <c r="CS2890" i="1"/>
  <c r="K2891" i="1"/>
  <c r="P2891" i="1"/>
  <c r="R2891" i="1"/>
  <c r="BL2891" i="1"/>
  <c r="BW2891" i="1"/>
  <c r="CH2891" i="1"/>
  <c r="CS2891" i="1"/>
  <c r="K2892" i="1"/>
  <c r="P2892" i="1"/>
  <c r="R2892" i="1"/>
  <c r="BL2892" i="1"/>
  <c r="BW2892" i="1"/>
  <c r="CH2892" i="1"/>
  <c r="CS2892" i="1"/>
  <c r="K2893" i="1"/>
  <c r="P2893" i="1"/>
  <c r="R2893" i="1"/>
  <c r="BL2893" i="1"/>
  <c r="BW2893" i="1"/>
  <c r="CH2893" i="1"/>
  <c r="CS2893" i="1"/>
  <c r="K2894" i="1"/>
  <c r="P2894" i="1"/>
  <c r="R2894" i="1"/>
  <c r="BL2894" i="1"/>
  <c r="BW2894" i="1"/>
  <c r="CH2894" i="1"/>
  <c r="CS2894" i="1"/>
  <c r="K2895" i="1"/>
  <c r="P2895" i="1"/>
  <c r="R2895" i="1"/>
  <c r="BL2895" i="1"/>
  <c r="BW2895" i="1"/>
  <c r="CH2895" i="1"/>
  <c r="CS2895" i="1"/>
  <c r="K2896" i="1"/>
  <c r="P2896" i="1"/>
  <c r="R2896" i="1"/>
  <c r="BL2896" i="1"/>
  <c r="BW2896" i="1"/>
  <c r="CH2896" i="1"/>
  <c r="CS2896" i="1"/>
  <c r="K2897" i="1"/>
  <c r="P2897" i="1"/>
  <c r="R2897" i="1"/>
  <c r="BL2897" i="1"/>
  <c r="BW2897" i="1"/>
  <c r="CH2897" i="1"/>
  <c r="CS2897" i="1"/>
  <c r="K2898" i="1"/>
  <c r="P2898" i="1"/>
  <c r="R2898" i="1"/>
  <c r="BL2898" i="1"/>
  <c r="BW2898" i="1"/>
  <c r="CH2898" i="1"/>
  <c r="CS2898" i="1"/>
  <c r="K2899" i="1"/>
  <c r="P2899" i="1"/>
  <c r="R2899" i="1"/>
  <c r="BL2899" i="1"/>
  <c r="BW2899" i="1"/>
  <c r="CH2899" i="1"/>
  <c r="CS2899" i="1"/>
  <c r="K2900" i="1"/>
  <c r="P2900" i="1"/>
  <c r="R2900" i="1"/>
  <c r="BL2900" i="1"/>
  <c r="BW2900" i="1"/>
  <c r="CH2900" i="1"/>
  <c r="CS2900" i="1"/>
  <c r="K2901" i="1"/>
  <c r="P2901" i="1"/>
  <c r="R2901" i="1"/>
  <c r="BL2901" i="1"/>
  <c r="BQ2901" i="1"/>
  <c r="BW2901" i="1"/>
  <c r="CH2901" i="1"/>
  <c r="CS2901" i="1"/>
  <c r="K2902" i="1"/>
  <c r="P2902" i="1"/>
  <c r="R2902" i="1"/>
  <c r="BL2902" i="1"/>
  <c r="BW2902" i="1"/>
  <c r="CH2902" i="1"/>
  <c r="CS2902" i="1"/>
  <c r="K2903" i="1"/>
  <c r="P2903" i="1"/>
  <c r="R2903" i="1"/>
  <c r="BL2903" i="1"/>
  <c r="BW2903" i="1"/>
  <c r="CH2903" i="1"/>
  <c r="CS2903" i="1"/>
  <c r="K2904" i="1"/>
  <c r="P2904" i="1"/>
  <c r="R2904" i="1"/>
  <c r="BL2904" i="1"/>
  <c r="BW2904" i="1"/>
  <c r="CH2904" i="1"/>
  <c r="CS2904" i="1"/>
  <c r="K2905" i="1"/>
  <c r="P2905" i="1"/>
  <c r="R2905" i="1"/>
  <c r="BL2905" i="1"/>
  <c r="BW2905" i="1"/>
  <c r="CH2905" i="1"/>
  <c r="CS2905" i="1"/>
  <c r="K2906" i="1"/>
  <c r="P2906" i="1"/>
  <c r="R2906" i="1"/>
  <c r="BL2906" i="1"/>
  <c r="BW2906" i="1"/>
  <c r="CH2906" i="1"/>
  <c r="CS2906" i="1"/>
  <c r="K2907" i="1"/>
  <c r="P2907" i="1"/>
  <c r="R2907" i="1"/>
  <c r="BL2907" i="1"/>
  <c r="BW2907" i="1"/>
  <c r="CH2907" i="1"/>
  <c r="CS2907" i="1"/>
  <c r="K2908" i="1"/>
  <c r="P2908" i="1"/>
  <c r="R2908" i="1"/>
  <c r="BL2908" i="1"/>
  <c r="BW2908" i="1"/>
  <c r="CH2908" i="1"/>
  <c r="CS2908" i="1"/>
  <c r="K2909" i="1"/>
  <c r="P2909" i="1"/>
  <c r="R2909" i="1"/>
  <c r="BL2909" i="1"/>
  <c r="BW2909" i="1"/>
  <c r="CH2909" i="1"/>
  <c r="CS2909" i="1"/>
  <c r="K2910" i="1"/>
  <c r="P2910" i="1"/>
  <c r="R2910" i="1"/>
  <c r="BL2910" i="1"/>
  <c r="BW2910" i="1"/>
  <c r="CH2910" i="1"/>
  <c r="CS2910" i="1"/>
  <c r="K2911" i="1"/>
  <c r="P2911" i="1"/>
  <c r="R2911" i="1"/>
  <c r="BL2911" i="1"/>
  <c r="BW2911" i="1"/>
  <c r="CH2911" i="1"/>
  <c r="CS2911" i="1"/>
  <c r="K2912" i="1"/>
  <c r="P2912" i="1"/>
  <c r="R2912" i="1"/>
  <c r="BL2912" i="1"/>
  <c r="BW2912" i="1"/>
  <c r="CH2912" i="1"/>
  <c r="CS2912" i="1"/>
  <c r="K2913" i="1"/>
  <c r="P2913" i="1"/>
  <c r="R2913" i="1"/>
  <c r="BL2913" i="1"/>
  <c r="BW2913" i="1"/>
  <c r="CH2913" i="1"/>
  <c r="CS2913" i="1"/>
  <c r="K2914" i="1"/>
  <c r="P2914" i="1"/>
  <c r="R2914" i="1"/>
  <c r="BL2914" i="1"/>
  <c r="BW2914" i="1"/>
  <c r="CH2914" i="1"/>
  <c r="CS2914" i="1"/>
  <c r="K2915" i="1"/>
  <c r="P2915" i="1"/>
  <c r="R2915" i="1"/>
  <c r="BL2915" i="1"/>
  <c r="BW2915" i="1"/>
  <c r="CH2915" i="1"/>
  <c r="CS2915" i="1"/>
  <c r="K2916" i="1"/>
  <c r="P2916" i="1"/>
  <c r="R2916" i="1"/>
  <c r="BL2916" i="1"/>
  <c r="BW2916" i="1"/>
  <c r="CH2916" i="1"/>
  <c r="CS2916" i="1"/>
  <c r="K2917" i="1"/>
  <c r="P2917" i="1"/>
  <c r="R2917" i="1"/>
  <c r="BL2917" i="1"/>
  <c r="BW2917" i="1"/>
  <c r="CH2917" i="1"/>
  <c r="CS2917" i="1"/>
  <c r="K2918" i="1"/>
  <c r="P2918" i="1"/>
  <c r="R2918" i="1"/>
  <c r="BL2918" i="1"/>
  <c r="BW2918" i="1"/>
  <c r="CH2918" i="1"/>
  <c r="CS2918" i="1"/>
  <c r="K2919" i="1"/>
  <c r="P2919" i="1"/>
  <c r="R2919" i="1"/>
  <c r="BL2919" i="1"/>
  <c r="BW2919" i="1"/>
  <c r="CH2919" i="1"/>
  <c r="CS2919" i="1"/>
  <c r="K2920" i="1"/>
  <c r="P2920" i="1"/>
  <c r="R2920" i="1"/>
  <c r="BL2920" i="1"/>
  <c r="BW2920" i="1"/>
  <c r="CH2920" i="1"/>
  <c r="CS2920" i="1"/>
  <c r="K2921" i="1"/>
  <c r="P2921" i="1"/>
  <c r="R2921" i="1"/>
  <c r="BL2921" i="1"/>
  <c r="BW2921" i="1"/>
  <c r="CH2921" i="1"/>
  <c r="CS2921" i="1"/>
  <c r="K2922" i="1"/>
  <c r="P2922" i="1"/>
  <c r="R2922" i="1"/>
  <c r="BL2922" i="1"/>
  <c r="BW2922" i="1"/>
  <c r="CH2922" i="1"/>
  <c r="CS2922" i="1"/>
  <c r="K2923" i="1"/>
  <c r="P2923" i="1"/>
  <c r="R2923" i="1"/>
  <c r="BL2923" i="1"/>
  <c r="BW2923" i="1"/>
  <c r="CH2923" i="1"/>
  <c r="CS2923" i="1"/>
  <c r="K2924" i="1"/>
  <c r="P2924" i="1"/>
  <c r="R2924" i="1"/>
  <c r="BL2924" i="1"/>
  <c r="BW2924" i="1"/>
  <c r="CH2924" i="1"/>
  <c r="CS2924" i="1"/>
  <c r="K2925" i="1"/>
  <c r="P2925" i="1"/>
  <c r="R2925" i="1"/>
  <c r="BL2925" i="1"/>
  <c r="BW2925" i="1"/>
  <c r="CH2925" i="1"/>
  <c r="CS2925" i="1"/>
  <c r="K2926" i="1"/>
  <c r="P2926" i="1"/>
  <c r="R2926" i="1"/>
  <c r="BL2926" i="1"/>
  <c r="BW2926" i="1"/>
  <c r="CH2926" i="1"/>
  <c r="CS2926" i="1"/>
  <c r="K2927" i="1"/>
  <c r="P2927" i="1"/>
  <c r="R2927" i="1"/>
  <c r="BL2927" i="1"/>
  <c r="BW2927" i="1"/>
  <c r="CH2927" i="1"/>
  <c r="CS2927" i="1"/>
  <c r="K2928" i="1"/>
  <c r="P2928" i="1"/>
  <c r="R2928" i="1"/>
  <c r="BL2928" i="1"/>
  <c r="BW2928" i="1"/>
  <c r="CH2928" i="1"/>
  <c r="CS2928" i="1"/>
  <c r="K2929" i="1"/>
  <c r="P2929" i="1"/>
  <c r="R2929" i="1"/>
  <c r="BL2929" i="1"/>
  <c r="BW2929" i="1"/>
  <c r="CH2929" i="1"/>
  <c r="CS2929" i="1"/>
  <c r="K2930" i="1"/>
  <c r="P2930" i="1"/>
  <c r="R2930" i="1"/>
  <c r="BL2930" i="1"/>
  <c r="BW2930" i="1"/>
  <c r="CH2930" i="1"/>
  <c r="CS2930" i="1"/>
  <c r="K2931" i="1"/>
  <c r="P2931" i="1"/>
  <c r="R2931" i="1"/>
  <c r="BL2931" i="1"/>
  <c r="BW2931" i="1"/>
  <c r="CH2931" i="1"/>
  <c r="CS2931" i="1"/>
  <c r="K2932" i="1"/>
  <c r="P2932" i="1"/>
  <c r="R2932" i="1"/>
  <c r="BL2932" i="1"/>
  <c r="BW2932" i="1"/>
  <c r="CH2932" i="1"/>
  <c r="CS2932" i="1"/>
  <c r="K2933" i="1"/>
  <c r="P2933" i="1"/>
  <c r="R2933" i="1"/>
  <c r="BL2933" i="1"/>
  <c r="BW2933" i="1"/>
  <c r="CH2933" i="1"/>
  <c r="CS2933" i="1"/>
  <c r="K2934" i="1"/>
  <c r="P2934" i="1"/>
  <c r="R2934" i="1"/>
  <c r="BL2934" i="1"/>
  <c r="BW2934" i="1"/>
  <c r="CH2934" i="1"/>
  <c r="CS2934" i="1"/>
  <c r="K2935" i="1"/>
  <c r="P2935" i="1"/>
  <c r="R2935" i="1"/>
  <c r="BL2935" i="1"/>
  <c r="BW2935" i="1"/>
  <c r="CH2935" i="1"/>
  <c r="CS2935" i="1"/>
  <c r="K2936" i="1"/>
  <c r="P2936" i="1"/>
  <c r="R2936" i="1"/>
  <c r="BL2936" i="1"/>
  <c r="BW2936" i="1"/>
  <c r="CH2936" i="1"/>
  <c r="CS2936" i="1"/>
  <c r="K2937" i="1"/>
  <c r="P2937" i="1"/>
  <c r="R2937" i="1"/>
  <c r="BL2937" i="1"/>
  <c r="BW2937" i="1"/>
  <c r="CH2937" i="1"/>
  <c r="CS2937" i="1"/>
  <c r="K2938" i="1"/>
  <c r="P2938" i="1"/>
  <c r="R2938" i="1"/>
  <c r="BL2938" i="1"/>
  <c r="BW2938" i="1"/>
  <c r="CH2938" i="1"/>
  <c r="CS2938" i="1"/>
  <c r="K2939" i="1"/>
  <c r="P2939" i="1"/>
  <c r="R2939" i="1"/>
  <c r="BL2939" i="1"/>
  <c r="BW2939" i="1"/>
  <c r="CH2939" i="1"/>
  <c r="CS2939" i="1"/>
  <c r="K2940" i="1"/>
  <c r="P2940" i="1"/>
  <c r="R2940" i="1"/>
  <c r="BL2940" i="1"/>
  <c r="BW2940" i="1"/>
  <c r="CH2940" i="1"/>
  <c r="CS2940" i="1"/>
  <c r="K2941" i="1"/>
  <c r="P2941" i="1"/>
  <c r="R2941" i="1"/>
  <c r="BL2941" i="1"/>
  <c r="BW2941" i="1"/>
  <c r="CH2941" i="1"/>
  <c r="CS2941" i="1"/>
  <c r="K2942" i="1"/>
  <c r="P2942" i="1"/>
  <c r="R2942" i="1"/>
  <c r="BL2942" i="1"/>
  <c r="BW2942" i="1"/>
  <c r="CH2942" i="1"/>
  <c r="CS2942" i="1"/>
  <c r="K2943" i="1"/>
  <c r="P2943" i="1"/>
  <c r="R2943" i="1"/>
  <c r="BL2943" i="1"/>
  <c r="BW2943" i="1"/>
  <c r="CH2943" i="1"/>
  <c r="CS2943" i="1"/>
  <c r="K2944" i="1"/>
  <c r="P2944" i="1"/>
  <c r="R2944" i="1"/>
  <c r="BL2944" i="1"/>
  <c r="BW2944" i="1"/>
  <c r="CH2944" i="1"/>
  <c r="CS2944" i="1"/>
  <c r="K2945" i="1"/>
  <c r="P2945" i="1"/>
  <c r="R2945" i="1"/>
  <c r="BL2945" i="1"/>
  <c r="BW2945" i="1"/>
  <c r="CH2945" i="1"/>
  <c r="CS2945" i="1"/>
  <c r="K2946" i="1"/>
  <c r="P2946" i="1"/>
  <c r="R2946" i="1"/>
  <c r="BL2946" i="1"/>
  <c r="BW2946" i="1"/>
  <c r="CH2946" i="1"/>
  <c r="CS2946" i="1"/>
  <c r="K2947" i="1"/>
  <c r="P2947" i="1"/>
  <c r="R2947" i="1"/>
  <c r="BL2947" i="1"/>
  <c r="BW2947" i="1"/>
  <c r="CH2947" i="1"/>
  <c r="CS2947" i="1"/>
  <c r="K2948" i="1"/>
  <c r="P2948" i="1"/>
  <c r="R2948" i="1"/>
  <c r="BL2948" i="1"/>
  <c r="BW2948" i="1"/>
  <c r="CH2948" i="1"/>
  <c r="CS2948" i="1"/>
  <c r="K2949" i="1"/>
  <c r="P2949" i="1"/>
  <c r="R2949" i="1"/>
  <c r="BL2949" i="1"/>
  <c r="BW2949" i="1"/>
  <c r="CH2949" i="1"/>
  <c r="CS2949" i="1"/>
  <c r="K2950" i="1"/>
  <c r="P2950" i="1"/>
  <c r="R2950" i="1"/>
  <c r="BL2950" i="1"/>
  <c r="BW2950" i="1"/>
  <c r="CH2950" i="1"/>
  <c r="CS2950" i="1"/>
  <c r="K2951" i="1"/>
  <c r="P2951" i="1"/>
  <c r="R2951" i="1"/>
  <c r="BL2951" i="1"/>
  <c r="BW2951" i="1"/>
  <c r="CH2951" i="1"/>
  <c r="CS2951" i="1"/>
  <c r="K2952" i="1"/>
  <c r="P2952" i="1"/>
  <c r="R2952" i="1"/>
  <c r="BL2952" i="1"/>
  <c r="BW2952" i="1"/>
  <c r="CH2952" i="1"/>
  <c r="CS2952" i="1"/>
  <c r="K2953" i="1"/>
  <c r="P2953" i="1"/>
  <c r="R2953" i="1"/>
  <c r="BL2953" i="1"/>
  <c r="BW2953" i="1"/>
  <c r="CH2953" i="1"/>
  <c r="CS2953" i="1"/>
  <c r="K2954" i="1"/>
  <c r="P2954" i="1"/>
  <c r="R2954" i="1"/>
  <c r="BL2954" i="1"/>
  <c r="BW2954" i="1"/>
  <c r="CH2954" i="1"/>
  <c r="CS2954" i="1"/>
  <c r="K2955" i="1"/>
  <c r="P2955" i="1"/>
  <c r="R2955" i="1"/>
  <c r="BL2955" i="1"/>
  <c r="BW2955" i="1"/>
  <c r="CH2955" i="1"/>
  <c r="CS2955" i="1"/>
  <c r="K2956" i="1"/>
  <c r="P2956" i="1"/>
  <c r="R2956" i="1"/>
  <c r="BL2956" i="1"/>
  <c r="BW2956" i="1"/>
  <c r="CH2956" i="1"/>
  <c r="CS2956" i="1"/>
  <c r="K2957" i="1"/>
  <c r="P2957" i="1"/>
  <c r="R2957" i="1"/>
  <c r="BL2957" i="1"/>
  <c r="BW2957" i="1"/>
  <c r="CH2957" i="1"/>
  <c r="CS2957" i="1"/>
  <c r="K2958" i="1"/>
  <c r="P2958" i="1"/>
  <c r="R2958" i="1"/>
  <c r="BL2958" i="1"/>
  <c r="BW2958" i="1"/>
  <c r="CH2958" i="1"/>
  <c r="CS2958" i="1"/>
  <c r="K2959" i="1"/>
  <c r="P2959" i="1"/>
  <c r="R2959" i="1"/>
  <c r="BL2959" i="1"/>
  <c r="BW2959" i="1"/>
  <c r="CH2959" i="1"/>
  <c r="CS2959" i="1"/>
  <c r="K2960" i="1"/>
  <c r="P2960" i="1"/>
  <c r="R2960" i="1"/>
  <c r="BL2960" i="1"/>
  <c r="BW2960" i="1"/>
  <c r="CH2960" i="1"/>
  <c r="CS2960" i="1"/>
  <c r="K2961" i="1"/>
  <c r="P2961" i="1"/>
  <c r="R2961" i="1"/>
  <c r="BL2961" i="1"/>
  <c r="BW2961" i="1"/>
  <c r="CH2961" i="1"/>
  <c r="CS2961" i="1"/>
  <c r="K2962" i="1"/>
  <c r="P2962" i="1"/>
  <c r="R2962" i="1"/>
  <c r="BL2962" i="1"/>
  <c r="BW2962" i="1"/>
  <c r="CH2962" i="1"/>
  <c r="CS2962" i="1"/>
  <c r="K2963" i="1"/>
  <c r="P2963" i="1"/>
  <c r="R2963" i="1"/>
  <c r="BL2963" i="1"/>
  <c r="BW2963" i="1"/>
  <c r="CH2963" i="1"/>
  <c r="CS2963" i="1"/>
  <c r="K2964" i="1"/>
  <c r="P2964" i="1"/>
  <c r="R2964" i="1"/>
  <c r="BL2964" i="1"/>
  <c r="BW2964" i="1"/>
  <c r="CH2964" i="1"/>
  <c r="CS2964" i="1"/>
  <c r="K2965" i="1"/>
  <c r="P2965" i="1"/>
  <c r="R2965" i="1"/>
  <c r="BL2965" i="1"/>
  <c r="BW2965" i="1"/>
  <c r="CH2965" i="1"/>
  <c r="CS2965" i="1"/>
  <c r="K2966" i="1"/>
  <c r="P2966" i="1"/>
  <c r="R2966" i="1"/>
  <c r="BL2966" i="1"/>
  <c r="BW2966" i="1"/>
  <c r="CH2966" i="1"/>
  <c r="CS2966" i="1"/>
  <c r="K2967" i="1"/>
  <c r="P2967" i="1"/>
  <c r="R2967" i="1"/>
  <c r="BL2967" i="1"/>
  <c r="BW2967" i="1"/>
  <c r="CH2967" i="1"/>
  <c r="CS2967" i="1"/>
  <c r="K2968" i="1"/>
  <c r="P2968" i="1"/>
  <c r="R2968" i="1"/>
  <c r="BL2968" i="1"/>
  <c r="BW2968" i="1"/>
  <c r="CH2968" i="1"/>
  <c r="CS2968" i="1"/>
  <c r="K2969" i="1"/>
  <c r="P2969" i="1"/>
  <c r="R2969" i="1"/>
  <c r="BL2969" i="1"/>
  <c r="BW2969" i="1"/>
  <c r="CH2969" i="1"/>
  <c r="CS2969" i="1"/>
  <c r="K2970" i="1"/>
  <c r="P2970" i="1"/>
  <c r="R2970" i="1"/>
  <c r="BL2970" i="1"/>
  <c r="BW2970" i="1"/>
  <c r="CH2970" i="1"/>
  <c r="CS2970" i="1"/>
  <c r="K2971" i="1"/>
  <c r="P2971" i="1"/>
  <c r="R2971" i="1"/>
  <c r="BL2971" i="1"/>
  <c r="BW2971" i="1"/>
  <c r="CH2971" i="1"/>
  <c r="CS2971" i="1"/>
  <c r="K2972" i="1"/>
  <c r="P2972" i="1"/>
  <c r="R2972" i="1"/>
  <c r="BL2972" i="1"/>
  <c r="BW2972" i="1"/>
  <c r="CH2972" i="1"/>
  <c r="CS2972" i="1"/>
  <c r="K2973" i="1"/>
  <c r="P2973" i="1"/>
  <c r="R2973" i="1"/>
  <c r="BL2973" i="1"/>
  <c r="BW2973" i="1"/>
  <c r="CH2973" i="1"/>
  <c r="CS2973" i="1"/>
  <c r="K2974" i="1"/>
  <c r="P2974" i="1"/>
  <c r="R2974" i="1"/>
  <c r="BL2974" i="1"/>
  <c r="BW2974" i="1"/>
  <c r="CH2974" i="1"/>
  <c r="CS2974" i="1"/>
  <c r="K2975" i="1"/>
  <c r="P2975" i="1"/>
  <c r="R2975" i="1"/>
  <c r="BL2975" i="1"/>
  <c r="BW2975" i="1"/>
  <c r="CH2975" i="1"/>
  <c r="CS2975" i="1"/>
  <c r="K2976" i="1"/>
  <c r="P2976" i="1"/>
  <c r="R2976" i="1"/>
  <c r="BL2976" i="1"/>
  <c r="BW2976" i="1"/>
  <c r="CH2976" i="1"/>
  <c r="CS2976" i="1"/>
  <c r="K2977" i="1"/>
  <c r="P2977" i="1"/>
  <c r="R2977" i="1"/>
  <c r="BL2977" i="1"/>
  <c r="BW2977" i="1"/>
  <c r="CH2977" i="1"/>
  <c r="CS2977" i="1"/>
  <c r="K2978" i="1"/>
  <c r="P2978" i="1"/>
  <c r="R2978" i="1"/>
  <c r="BL2978" i="1"/>
  <c r="BW2978" i="1"/>
  <c r="CH2978" i="1"/>
  <c r="CS2978" i="1"/>
  <c r="K2979" i="1"/>
  <c r="P2979" i="1"/>
  <c r="R2979" i="1"/>
  <c r="BL2979" i="1"/>
  <c r="BW2979" i="1"/>
  <c r="CH2979" i="1"/>
  <c r="CS2979" i="1"/>
  <c r="K2980" i="1"/>
  <c r="P2980" i="1"/>
  <c r="R2980" i="1"/>
  <c r="BL2980" i="1"/>
  <c r="BW2980" i="1"/>
  <c r="CH2980" i="1"/>
  <c r="CS2980" i="1"/>
  <c r="K2981" i="1"/>
  <c r="P2981" i="1"/>
  <c r="R2981" i="1"/>
  <c r="BL2981" i="1"/>
  <c r="BW2981" i="1"/>
  <c r="CH2981" i="1"/>
  <c r="CS2981" i="1"/>
  <c r="K2982" i="1"/>
  <c r="P2982" i="1"/>
  <c r="R2982" i="1"/>
  <c r="BL2982" i="1"/>
  <c r="BW2982" i="1"/>
  <c r="CH2982" i="1"/>
  <c r="CS2982" i="1"/>
  <c r="K2983" i="1"/>
  <c r="P2983" i="1"/>
  <c r="R2983" i="1"/>
  <c r="BL2983" i="1"/>
  <c r="BW2983" i="1"/>
  <c r="CH2983" i="1"/>
  <c r="CS2983" i="1"/>
  <c r="K2984" i="1"/>
  <c r="P2984" i="1"/>
  <c r="R2984" i="1"/>
  <c r="BL2984" i="1"/>
  <c r="BW2984" i="1"/>
  <c r="CH2984" i="1"/>
  <c r="CS2984" i="1"/>
  <c r="K2985" i="1"/>
  <c r="P2985" i="1"/>
  <c r="R2985" i="1"/>
  <c r="BL2985" i="1"/>
  <c r="BW2985" i="1"/>
  <c r="CH2985" i="1"/>
  <c r="CS2985" i="1"/>
  <c r="K2986" i="1"/>
  <c r="P2986" i="1"/>
  <c r="R2986" i="1"/>
  <c r="BL2986" i="1"/>
  <c r="BW2986" i="1"/>
  <c r="CH2986" i="1"/>
  <c r="CS2986" i="1"/>
  <c r="K2987" i="1"/>
  <c r="P2987" i="1"/>
  <c r="R2987" i="1"/>
  <c r="BL2987" i="1"/>
  <c r="BW2987" i="1"/>
  <c r="CH2987" i="1"/>
  <c r="CS2987" i="1"/>
  <c r="K2988" i="1"/>
  <c r="P2988" i="1"/>
  <c r="R2988" i="1"/>
  <c r="BL2988" i="1"/>
  <c r="BW2988" i="1"/>
  <c r="CH2988" i="1"/>
  <c r="CS2988" i="1"/>
  <c r="K2989" i="1"/>
  <c r="P2989" i="1"/>
  <c r="R2989" i="1"/>
  <c r="BL2989" i="1"/>
  <c r="BW2989" i="1"/>
  <c r="CH2989" i="1"/>
  <c r="CS2989" i="1"/>
  <c r="K2990" i="1"/>
  <c r="P2990" i="1"/>
  <c r="R2990" i="1"/>
  <c r="BL2990" i="1"/>
  <c r="BW2990" i="1"/>
  <c r="CH2990" i="1"/>
  <c r="CS2990" i="1"/>
  <c r="K2991" i="1"/>
  <c r="P2991" i="1"/>
  <c r="R2991" i="1"/>
  <c r="BL2991" i="1"/>
  <c r="BW2991" i="1"/>
  <c r="CH2991" i="1"/>
  <c r="CS2991" i="1"/>
  <c r="K2992" i="1"/>
  <c r="P2992" i="1"/>
  <c r="R2992" i="1"/>
  <c r="BL2992" i="1"/>
  <c r="BW2992" i="1"/>
  <c r="CH2992" i="1"/>
  <c r="CS2992" i="1"/>
  <c r="K2993" i="1"/>
  <c r="P2993" i="1"/>
  <c r="R2993" i="1"/>
  <c r="BL2993" i="1"/>
  <c r="BW2993" i="1"/>
  <c r="CH2993" i="1"/>
  <c r="CS2993" i="1"/>
  <c r="K2994" i="1"/>
  <c r="P2994" i="1"/>
  <c r="R2994" i="1"/>
  <c r="BL2994" i="1"/>
  <c r="BW2994" i="1"/>
  <c r="CH2994" i="1"/>
  <c r="CS2994" i="1"/>
  <c r="K2995" i="1"/>
  <c r="P2995" i="1"/>
  <c r="R2995" i="1"/>
  <c r="BL2995" i="1"/>
  <c r="BW2995" i="1"/>
  <c r="CH2995" i="1"/>
  <c r="CS2995" i="1"/>
  <c r="K2996" i="1"/>
  <c r="P2996" i="1"/>
  <c r="R2996" i="1"/>
  <c r="BL2996" i="1"/>
  <c r="BW2996" i="1"/>
  <c r="CH2996" i="1"/>
  <c r="CS2996" i="1"/>
  <c r="K2997" i="1"/>
  <c r="P2997" i="1"/>
  <c r="R2997" i="1"/>
  <c r="BL2997" i="1"/>
  <c r="BW2997" i="1"/>
  <c r="CH2997" i="1"/>
  <c r="CS2997" i="1"/>
  <c r="K2998" i="1"/>
  <c r="P2998" i="1"/>
  <c r="R2998" i="1"/>
  <c r="BL2998" i="1"/>
  <c r="BW2998" i="1"/>
  <c r="CH2998" i="1"/>
  <c r="CS2998" i="1"/>
  <c r="K2999" i="1"/>
  <c r="P2999" i="1"/>
  <c r="R2999" i="1"/>
  <c r="BL2999" i="1"/>
  <c r="BW2999" i="1"/>
  <c r="CH2999" i="1"/>
  <c r="CS2999" i="1"/>
  <c r="K3000" i="1"/>
  <c r="P3000" i="1"/>
  <c r="R3000" i="1"/>
  <c r="BL3000" i="1"/>
  <c r="BW3000" i="1"/>
  <c r="CH3000" i="1"/>
  <c r="CS3000" i="1"/>
  <c r="K3001" i="1"/>
  <c r="P3001" i="1"/>
  <c r="R3001" i="1"/>
  <c r="BL3001" i="1"/>
  <c r="BW3001" i="1"/>
  <c r="CH3001" i="1"/>
  <c r="CS3001" i="1"/>
  <c r="K3002" i="1"/>
  <c r="P3002" i="1"/>
  <c r="R3002" i="1"/>
  <c r="BL3002" i="1"/>
  <c r="BW3002" i="1"/>
  <c r="CH3002" i="1"/>
  <c r="CS3002" i="1"/>
  <c r="K3003" i="1"/>
  <c r="P3003" i="1"/>
  <c r="R3003" i="1"/>
  <c r="BL3003" i="1"/>
  <c r="BW3003" i="1"/>
  <c r="CH3003" i="1"/>
  <c r="CS3003" i="1"/>
  <c r="K3004" i="1"/>
  <c r="P3004" i="1"/>
  <c r="R3004" i="1"/>
  <c r="BL3004" i="1"/>
  <c r="BW3004" i="1"/>
  <c r="CH3004" i="1"/>
  <c r="CS3004" i="1"/>
  <c r="K3005" i="1"/>
  <c r="P3005" i="1"/>
  <c r="R3005" i="1"/>
  <c r="BL3005" i="1"/>
  <c r="BW3005" i="1"/>
  <c r="CH3005" i="1"/>
  <c r="CS3005" i="1"/>
  <c r="K3006" i="1"/>
  <c r="P3006" i="1"/>
  <c r="R3006" i="1"/>
  <c r="BL3006" i="1"/>
  <c r="BW3006" i="1"/>
  <c r="CH3006" i="1"/>
  <c r="CS3006" i="1"/>
  <c r="K3007" i="1"/>
  <c r="P3007" i="1"/>
  <c r="R3007" i="1"/>
  <c r="BL3007" i="1"/>
  <c r="BW3007" i="1"/>
  <c r="CH3007" i="1"/>
  <c r="CS3007" i="1"/>
  <c r="K3008" i="1"/>
  <c r="P3008" i="1"/>
  <c r="R3008" i="1"/>
  <c r="BL3008" i="1"/>
  <c r="BW3008" i="1"/>
  <c r="CH3008" i="1"/>
  <c r="CS3008" i="1"/>
  <c r="K3009" i="1"/>
  <c r="P3009" i="1"/>
  <c r="R3009" i="1"/>
  <c r="BL3009" i="1"/>
  <c r="BW3009" i="1"/>
  <c r="CH3009" i="1"/>
  <c r="CS3009" i="1"/>
  <c r="K3010" i="1"/>
  <c r="P3010" i="1"/>
  <c r="R3010" i="1"/>
  <c r="BL3010" i="1"/>
  <c r="BW3010" i="1"/>
  <c r="CH3010" i="1"/>
  <c r="CS3010" i="1"/>
  <c r="K3011" i="1"/>
  <c r="P3011" i="1"/>
  <c r="R3011" i="1"/>
  <c r="BL3011" i="1"/>
  <c r="BW3011" i="1"/>
  <c r="CH3011" i="1"/>
  <c r="CS3011" i="1"/>
  <c r="K3012" i="1"/>
  <c r="P3012" i="1"/>
  <c r="R3012" i="1"/>
  <c r="BL3012" i="1"/>
  <c r="BW3012" i="1"/>
  <c r="CH3012" i="1"/>
  <c r="CS3012" i="1"/>
  <c r="K3013" i="1"/>
  <c r="P3013" i="1"/>
  <c r="R3013" i="1"/>
  <c r="BL3013" i="1"/>
  <c r="BW3013" i="1"/>
  <c r="CH3013" i="1"/>
  <c r="CS3013" i="1"/>
  <c r="K3014" i="1"/>
  <c r="P3014" i="1"/>
  <c r="R3014" i="1"/>
  <c r="BL3014" i="1"/>
  <c r="BW3014" i="1"/>
  <c r="CH3014" i="1"/>
  <c r="CS3014" i="1"/>
  <c r="K3015" i="1"/>
  <c r="P3015" i="1"/>
  <c r="R3015" i="1"/>
  <c r="BL3015" i="1"/>
  <c r="BW3015" i="1"/>
  <c r="CH3015" i="1"/>
  <c r="CS3015" i="1"/>
  <c r="K3016" i="1"/>
  <c r="P3016" i="1"/>
  <c r="R3016" i="1"/>
  <c r="BL3016" i="1"/>
  <c r="BW3016" i="1"/>
  <c r="CH3016" i="1"/>
  <c r="CS3016" i="1"/>
  <c r="K3017" i="1"/>
  <c r="P3017" i="1"/>
  <c r="R3017" i="1"/>
  <c r="BL3017" i="1"/>
  <c r="BW3017" i="1"/>
  <c r="CH3017" i="1"/>
  <c r="CS3017" i="1"/>
  <c r="K3018" i="1"/>
  <c r="P3018" i="1"/>
  <c r="R3018" i="1"/>
  <c r="BL3018" i="1"/>
  <c r="BW3018" i="1"/>
  <c r="CH3018" i="1"/>
  <c r="CS3018" i="1"/>
  <c r="K3019" i="1"/>
  <c r="P3019" i="1"/>
  <c r="R3019" i="1"/>
  <c r="BL3019" i="1"/>
  <c r="BW3019" i="1"/>
  <c r="CH3019" i="1"/>
  <c r="CS3019" i="1"/>
  <c r="K3020" i="1"/>
  <c r="P3020" i="1"/>
  <c r="R3020" i="1"/>
  <c r="BL3020" i="1"/>
  <c r="BW3020" i="1"/>
  <c r="CH3020" i="1"/>
  <c r="CS3020" i="1"/>
  <c r="K3021" i="1"/>
  <c r="P3021" i="1"/>
  <c r="R3021" i="1"/>
  <c r="BL3021" i="1"/>
  <c r="BW3021" i="1"/>
  <c r="CH3021" i="1"/>
  <c r="CS3021" i="1"/>
  <c r="K3022" i="1"/>
  <c r="P3022" i="1"/>
  <c r="R3022" i="1"/>
  <c r="BL3022" i="1"/>
  <c r="BW3022" i="1"/>
  <c r="CH3022" i="1"/>
  <c r="CS3022" i="1"/>
  <c r="K3023" i="1"/>
  <c r="P3023" i="1"/>
  <c r="R3023" i="1"/>
  <c r="BL3023" i="1"/>
  <c r="BW3023" i="1"/>
  <c r="CH3023" i="1"/>
  <c r="CS3023" i="1"/>
  <c r="K3024" i="1"/>
  <c r="P3024" i="1"/>
  <c r="R3024" i="1"/>
  <c r="BL3024" i="1"/>
  <c r="BW3024" i="1"/>
  <c r="CH3024" i="1"/>
  <c r="CS3024" i="1"/>
  <c r="K3025" i="1"/>
  <c r="P3025" i="1"/>
  <c r="R3025" i="1"/>
  <c r="BL3025" i="1"/>
  <c r="BW3025" i="1"/>
  <c r="CH3025" i="1"/>
  <c r="CS3025" i="1"/>
  <c r="K3026" i="1"/>
  <c r="P3026" i="1"/>
  <c r="R3026" i="1"/>
  <c r="BL3026" i="1"/>
  <c r="BW3026" i="1"/>
  <c r="CH3026" i="1"/>
  <c r="CS3026" i="1"/>
  <c r="K3027" i="1"/>
  <c r="P3027" i="1"/>
  <c r="R3027" i="1"/>
  <c r="BL3027" i="1"/>
  <c r="BW3027" i="1"/>
  <c r="CH3027" i="1"/>
  <c r="CS3027" i="1"/>
  <c r="K3028" i="1"/>
  <c r="P3028" i="1"/>
  <c r="R3028" i="1"/>
  <c r="BL3028" i="1"/>
  <c r="BW3028" i="1"/>
  <c r="CH3028" i="1"/>
  <c r="CS3028" i="1"/>
  <c r="K3029" i="1"/>
  <c r="P3029" i="1"/>
  <c r="R3029" i="1"/>
  <c r="BL3029" i="1"/>
  <c r="BW3029" i="1"/>
  <c r="CH3029" i="1"/>
  <c r="CS3029" i="1"/>
  <c r="K3030" i="1"/>
  <c r="P3030" i="1"/>
  <c r="R3030" i="1"/>
  <c r="BL3030" i="1"/>
  <c r="BW3030" i="1"/>
  <c r="CH3030" i="1"/>
  <c r="CS3030" i="1"/>
  <c r="K3031" i="1"/>
  <c r="P3031" i="1"/>
  <c r="R3031" i="1"/>
  <c r="BL3031" i="1"/>
  <c r="BW3031" i="1"/>
  <c r="CH3031" i="1"/>
  <c r="CS3031" i="1"/>
  <c r="K3032" i="1"/>
  <c r="P3032" i="1"/>
  <c r="R3032" i="1"/>
  <c r="BL3032" i="1"/>
  <c r="BW3032" i="1"/>
  <c r="CH3032" i="1"/>
  <c r="CS3032" i="1"/>
  <c r="K3033" i="1"/>
  <c r="P3033" i="1"/>
  <c r="R3033" i="1"/>
  <c r="BL3033" i="1"/>
  <c r="BW3033" i="1"/>
  <c r="CH3033" i="1"/>
  <c r="CS3033" i="1"/>
  <c r="K3034" i="1"/>
  <c r="P3034" i="1"/>
  <c r="R3034" i="1"/>
  <c r="BL3034" i="1"/>
  <c r="BW3034" i="1"/>
  <c r="CH3034" i="1"/>
  <c r="CS3034" i="1"/>
  <c r="K3035" i="1"/>
  <c r="P3035" i="1"/>
  <c r="R3035" i="1"/>
  <c r="BL3035" i="1"/>
  <c r="BW3035" i="1"/>
  <c r="CH3035" i="1"/>
  <c r="CS3035" i="1"/>
  <c r="K3036" i="1"/>
  <c r="P3036" i="1"/>
  <c r="R3036" i="1"/>
  <c r="BL3036" i="1"/>
  <c r="BW3036" i="1"/>
  <c r="CH3036" i="1"/>
  <c r="CS3036" i="1"/>
  <c r="K3037" i="1"/>
  <c r="P3037" i="1"/>
  <c r="R3037" i="1"/>
  <c r="BL3037" i="1"/>
  <c r="BW3037" i="1"/>
  <c r="CH3037" i="1"/>
  <c r="CS3037" i="1"/>
  <c r="K3038" i="1"/>
  <c r="P3038" i="1"/>
  <c r="R3038" i="1"/>
  <c r="BL3038" i="1"/>
  <c r="BW3038" i="1"/>
  <c r="CH3038" i="1"/>
  <c r="CS3038" i="1"/>
  <c r="K3039" i="1"/>
  <c r="P3039" i="1"/>
  <c r="R3039" i="1"/>
  <c r="BL3039" i="1"/>
  <c r="BW3039" i="1"/>
  <c r="CH3039" i="1"/>
  <c r="CS3039" i="1"/>
  <c r="K3040" i="1"/>
  <c r="P3040" i="1"/>
  <c r="R3040" i="1"/>
  <c r="BL3040" i="1"/>
  <c r="BW3040" i="1"/>
  <c r="CH3040" i="1"/>
  <c r="CS3040" i="1"/>
  <c r="K3041" i="1"/>
  <c r="P3041" i="1"/>
  <c r="R3041" i="1"/>
  <c r="BL3041" i="1"/>
  <c r="BW3041" i="1"/>
  <c r="CH3041" i="1"/>
  <c r="CS3041" i="1"/>
  <c r="K3042" i="1"/>
  <c r="P3042" i="1"/>
  <c r="R3042" i="1"/>
  <c r="BL3042" i="1"/>
  <c r="BW3042" i="1"/>
  <c r="CH3042" i="1"/>
  <c r="CS3042" i="1"/>
  <c r="K3043" i="1"/>
  <c r="P3043" i="1"/>
  <c r="R3043" i="1"/>
  <c r="BL3043" i="1"/>
  <c r="BW3043" i="1"/>
  <c r="CH3043" i="1"/>
  <c r="CS3043" i="1"/>
  <c r="K3044" i="1"/>
  <c r="P3044" i="1"/>
  <c r="R3044" i="1"/>
  <c r="BL3044" i="1"/>
  <c r="BW3044" i="1"/>
  <c r="CH3044" i="1"/>
  <c r="CS3044" i="1"/>
  <c r="K3045" i="1"/>
  <c r="P3045" i="1"/>
  <c r="R3045" i="1"/>
  <c r="BL3045" i="1"/>
  <c r="BW3045" i="1"/>
  <c r="CH3045" i="1"/>
  <c r="CS3045" i="1"/>
  <c r="K3046" i="1"/>
  <c r="P3046" i="1"/>
  <c r="R3046" i="1"/>
  <c r="BL3046" i="1"/>
  <c r="BW3046" i="1"/>
  <c r="CH3046" i="1"/>
  <c r="CS3046" i="1"/>
  <c r="K3047" i="1"/>
  <c r="P3047" i="1"/>
  <c r="R3047" i="1"/>
  <c r="BL3047" i="1"/>
  <c r="BW3047" i="1"/>
  <c r="CH3047" i="1"/>
  <c r="CS3047" i="1"/>
  <c r="K3048" i="1"/>
  <c r="P3048" i="1"/>
  <c r="R3048" i="1"/>
  <c r="BL3048" i="1"/>
  <c r="BW3048" i="1"/>
  <c r="CH3048" i="1"/>
  <c r="CS3048" i="1"/>
  <c r="K3049" i="1"/>
  <c r="P3049" i="1"/>
  <c r="R3049" i="1"/>
  <c r="BL3049" i="1"/>
  <c r="BW3049" i="1"/>
  <c r="CH3049" i="1"/>
  <c r="CS3049" i="1"/>
  <c r="K3050" i="1"/>
  <c r="P3050" i="1"/>
  <c r="R3050" i="1"/>
  <c r="BL3050" i="1"/>
  <c r="BW3050" i="1"/>
  <c r="CH3050" i="1"/>
  <c r="CS3050" i="1"/>
  <c r="K3051" i="1"/>
  <c r="P3051" i="1"/>
  <c r="R3051" i="1"/>
  <c r="BL3051" i="1"/>
  <c r="BW3051" i="1"/>
  <c r="CH3051" i="1"/>
  <c r="CS3051" i="1"/>
  <c r="K3052" i="1"/>
  <c r="P3052" i="1"/>
  <c r="R3052" i="1"/>
  <c r="BL3052" i="1"/>
  <c r="BW3052" i="1"/>
  <c r="CH3052" i="1"/>
  <c r="CS3052" i="1"/>
  <c r="K3053" i="1"/>
  <c r="P3053" i="1"/>
  <c r="R3053" i="1"/>
  <c r="BL3053" i="1"/>
  <c r="BW3053" i="1"/>
  <c r="CH3053" i="1"/>
  <c r="CS3053" i="1"/>
  <c r="K3054" i="1"/>
  <c r="P3054" i="1"/>
  <c r="R3054" i="1"/>
  <c r="BL3054" i="1"/>
  <c r="BW3054" i="1"/>
  <c r="CH3054" i="1"/>
  <c r="CS3054" i="1"/>
  <c r="K3055" i="1"/>
  <c r="P3055" i="1"/>
  <c r="R3055" i="1"/>
  <c r="BL3055" i="1"/>
  <c r="BW3055" i="1"/>
  <c r="CH3055" i="1"/>
  <c r="CS3055" i="1"/>
  <c r="K3056" i="1"/>
  <c r="P3056" i="1"/>
  <c r="R3056" i="1"/>
  <c r="BL3056" i="1"/>
  <c r="BW3056" i="1"/>
  <c r="CH3056" i="1"/>
  <c r="CS3056" i="1"/>
  <c r="K3057" i="1"/>
  <c r="P3057" i="1"/>
  <c r="R3057" i="1"/>
  <c r="BL3057" i="1"/>
  <c r="BW3057" i="1"/>
  <c r="CH3057" i="1"/>
  <c r="CS3057" i="1"/>
  <c r="K3058" i="1"/>
  <c r="P3058" i="1"/>
  <c r="R3058" i="1"/>
  <c r="BL3058" i="1"/>
  <c r="BW3058" i="1"/>
  <c r="CH3058" i="1"/>
  <c r="CS3058" i="1"/>
  <c r="K3059" i="1"/>
  <c r="P3059" i="1"/>
  <c r="R3059" i="1"/>
  <c r="BL3059" i="1"/>
  <c r="BW3059" i="1"/>
  <c r="CH3059" i="1"/>
  <c r="CS3059" i="1"/>
  <c r="K3060" i="1"/>
  <c r="P3060" i="1"/>
  <c r="R3060" i="1"/>
  <c r="BL3060" i="1"/>
  <c r="BW3060" i="1"/>
  <c r="CH3060" i="1"/>
  <c r="CS3060" i="1"/>
  <c r="K3061" i="1"/>
  <c r="P3061" i="1"/>
  <c r="R3061" i="1"/>
  <c r="BL3061" i="1"/>
  <c r="BW3061" i="1"/>
  <c r="CH3061" i="1"/>
  <c r="CS3061" i="1"/>
  <c r="K3062" i="1"/>
  <c r="P3062" i="1"/>
  <c r="R3062" i="1"/>
  <c r="BL3062" i="1"/>
  <c r="BW3062" i="1"/>
  <c r="CH3062" i="1"/>
  <c r="CS3062" i="1"/>
  <c r="K3063" i="1"/>
  <c r="P3063" i="1"/>
  <c r="R3063" i="1"/>
  <c r="BL3063" i="1"/>
  <c r="BW3063" i="1"/>
  <c r="CH3063" i="1"/>
  <c r="CS3063" i="1"/>
  <c r="K3064" i="1"/>
  <c r="P3064" i="1"/>
  <c r="R3064" i="1"/>
  <c r="BL3064" i="1"/>
  <c r="BW3064" i="1"/>
  <c r="CH3064" i="1"/>
  <c r="CS3064" i="1"/>
  <c r="K3065" i="1"/>
  <c r="P3065" i="1"/>
  <c r="R3065" i="1"/>
  <c r="BL3065" i="1"/>
  <c r="BW3065" i="1"/>
  <c r="CH3065" i="1"/>
  <c r="CS3065" i="1"/>
  <c r="K3066" i="1"/>
  <c r="P3066" i="1"/>
  <c r="R3066" i="1"/>
  <c r="BL3066" i="1"/>
  <c r="BW3066" i="1"/>
  <c r="CH3066" i="1"/>
  <c r="CS3066" i="1"/>
  <c r="K3067" i="1"/>
  <c r="P3067" i="1"/>
  <c r="R3067" i="1"/>
  <c r="BL3067" i="1"/>
  <c r="BW3067" i="1"/>
  <c r="CH3067" i="1"/>
  <c r="CS3067" i="1"/>
  <c r="K3068" i="1"/>
  <c r="P3068" i="1"/>
  <c r="R3068" i="1"/>
  <c r="BL3068" i="1"/>
  <c r="BW3068" i="1"/>
  <c r="CH3068" i="1"/>
  <c r="CS3068" i="1"/>
  <c r="K3069" i="1"/>
  <c r="P3069" i="1"/>
  <c r="R3069" i="1"/>
  <c r="BL3069" i="1"/>
  <c r="BW3069" i="1"/>
  <c r="CH3069" i="1"/>
  <c r="CS3069" i="1"/>
  <c r="K3070" i="1"/>
  <c r="P3070" i="1"/>
  <c r="R3070" i="1"/>
  <c r="BL3070" i="1"/>
  <c r="BW3070" i="1"/>
  <c r="CH3070" i="1"/>
  <c r="CS3070" i="1"/>
  <c r="K3071" i="1"/>
  <c r="P3071" i="1"/>
  <c r="R3071" i="1"/>
  <c r="BL3071" i="1"/>
  <c r="BW3071" i="1"/>
  <c r="CH3071" i="1"/>
  <c r="CS3071" i="1"/>
  <c r="K3072" i="1"/>
  <c r="P3072" i="1"/>
  <c r="R3072" i="1"/>
  <c r="BL3072" i="1"/>
  <c r="BW3072" i="1"/>
  <c r="CH3072" i="1"/>
  <c r="CS3072" i="1"/>
  <c r="K3073" i="1"/>
  <c r="P3073" i="1"/>
  <c r="R3073" i="1"/>
  <c r="BL3073" i="1"/>
  <c r="BW3073" i="1"/>
  <c r="CH3073" i="1"/>
  <c r="CS3073" i="1"/>
  <c r="K3074" i="1"/>
  <c r="P3074" i="1"/>
  <c r="R3074" i="1"/>
  <c r="BL3074" i="1"/>
  <c r="BW3074" i="1"/>
  <c r="CH3074" i="1"/>
  <c r="CS3074" i="1"/>
  <c r="K3075" i="1"/>
  <c r="P3075" i="1"/>
  <c r="R3075" i="1"/>
  <c r="BL3075" i="1"/>
  <c r="BW3075" i="1"/>
  <c r="CH3075" i="1"/>
  <c r="CS3075" i="1"/>
  <c r="K3076" i="1"/>
  <c r="P3076" i="1"/>
  <c r="R3076" i="1"/>
  <c r="BL3076" i="1"/>
  <c r="BW3076" i="1"/>
  <c r="CH3076" i="1"/>
  <c r="CS3076" i="1"/>
  <c r="K3077" i="1"/>
  <c r="P3077" i="1"/>
  <c r="R3077" i="1"/>
  <c r="BL3077" i="1"/>
  <c r="BW3077" i="1"/>
  <c r="CH3077" i="1"/>
  <c r="CS3077" i="1"/>
  <c r="K3078" i="1"/>
  <c r="P3078" i="1"/>
  <c r="R3078" i="1"/>
  <c r="BL3078" i="1"/>
  <c r="BW3078" i="1"/>
  <c r="CH3078" i="1"/>
  <c r="CS3078" i="1"/>
  <c r="K3079" i="1"/>
  <c r="P3079" i="1"/>
  <c r="R3079" i="1"/>
  <c r="BL3079" i="1"/>
  <c r="BW3079" i="1"/>
  <c r="CH3079" i="1"/>
  <c r="CS3079" i="1"/>
  <c r="K3080" i="1"/>
  <c r="P3080" i="1"/>
  <c r="R3080" i="1"/>
  <c r="BL3080" i="1"/>
  <c r="BW3080" i="1"/>
  <c r="CH3080" i="1"/>
  <c r="CS3080" i="1"/>
  <c r="K3081" i="1"/>
  <c r="P3081" i="1"/>
  <c r="R3081" i="1"/>
  <c r="BL3081" i="1"/>
  <c r="BW3081" i="1"/>
  <c r="CH3081" i="1"/>
  <c r="CS3081" i="1"/>
  <c r="K3082" i="1"/>
  <c r="P3082" i="1"/>
  <c r="R3082" i="1"/>
  <c r="BL3082" i="1"/>
  <c r="BW3082" i="1"/>
  <c r="CH3082" i="1"/>
  <c r="CS3082" i="1"/>
  <c r="K3083" i="1"/>
  <c r="P3083" i="1"/>
  <c r="R3083" i="1"/>
  <c r="BL3083" i="1"/>
  <c r="BW3083" i="1"/>
  <c r="CH3083" i="1"/>
  <c r="CS3083" i="1"/>
  <c r="K3084" i="1"/>
  <c r="P3084" i="1"/>
  <c r="R3084" i="1"/>
  <c r="BL3084" i="1"/>
  <c r="BW3084" i="1"/>
  <c r="CH3084" i="1"/>
  <c r="CS3084" i="1"/>
  <c r="K3085" i="1"/>
  <c r="P3085" i="1"/>
  <c r="R3085" i="1"/>
  <c r="BL3085" i="1"/>
  <c r="BW3085" i="1"/>
  <c r="CH3085" i="1"/>
  <c r="CS3085" i="1"/>
  <c r="K3086" i="1"/>
  <c r="P3086" i="1"/>
  <c r="R3086" i="1"/>
  <c r="BL3086" i="1"/>
  <c r="BW3086" i="1"/>
  <c r="CH3086" i="1"/>
  <c r="CS3086" i="1"/>
  <c r="K3087" i="1"/>
  <c r="P3087" i="1"/>
  <c r="R3087" i="1"/>
  <c r="BL3087" i="1"/>
  <c r="BW3087" i="1"/>
  <c r="CH3087" i="1"/>
  <c r="CS3087" i="1"/>
  <c r="K3088" i="1"/>
  <c r="P3088" i="1"/>
  <c r="R3088" i="1"/>
  <c r="BL3088" i="1"/>
  <c r="BW3088" i="1"/>
  <c r="CH3088" i="1"/>
  <c r="CS3088" i="1"/>
  <c r="K3089" i="1"/>
  <c r="P3089" i="1"/>
  <c r="R3089" i="1"/>
  <c r="BL3089" i="1"/>
  <c r="BW3089" i="1"/>
  <c r="CH3089" i="1"/>
  <c r="CS3089" i="1"/>
  <c r="K3090" i="1"/>
  <c r="P3090" i="1"/>
  <c r="R3090" i="1"/>
  <c r="BL3090" i="1"/>
  <c r="BW3090" i="1"/>
  <c r="CH3090" i="1"/>
  <c r="CS3090" i="1"/>
  <c r="K3091" i="1"/>
  <c r="P3091" i="1"/>
  <c r="R3091" i="1"/>
  <c r="BL3091" i="1"/>
  <c r="BW3091" i="1"/>
  <c r="CH3091" i="1"/>
  <c r="CS3091" i="1"/>
  <c r="K3092" i="1"/>
  <c r="P3092" i="1"/>
  <c r="R3092" i="1"/>
  <c r="BL3092" i="1"/>
  <c r="BW3092" i="1"/>
  <c r="CH3092" i="1"/>
  <c r="CS3092" i="1"/>
  <c r="K3093" i="1"/>
  <c r="P3093" i="1"/>
  <c r="R3093" i="1"/>
  <c r="BL3093" i="1"/>
  <c r="BW3093" i="1"/>
  <c r="CH3093" i="1"/>
  <c r="CS3093" i="1"/>
  <c r="K3094" i="1"/>
  <c r="P3094" i="1"/>
  <c r="R3094" i="1"/>
  <c r="BL3094" i="1"/>
  <c r="BW3094" i="1"/>
  <c r="CH3094" i="1"/>
  <c r="CS3094" i="1"/>
  <c r="K3095" i="1"/>
  <c r="P3095" i="1"/>
  <c r="R3095" i="1"/>
  <c r="BL3095" i="1"/>
  <c r="BW3095" i="1"/>
  <c r="CH3095" i="1"/>
  <c r="CS3095" i="1"/>
  <c r="K3096" i="1"/>
  <c r="P3096" i="1"/>
  <c r="R3096" i="1"/>
  <c r="BL3096" i="1"/>
  <c r="BW3096" i="1"/>
  <c r="CH3096" i="1"/>
  <c r="CS3096" i="1"/>
  <c r="K3097" i="1"/>
  <c r="P3097" i="1"/>
  <c r="R3097" i="1"/>
  <c r="BL3097" i="1"/>
  <c r="BW3097" i="1"/>
  <c r="CH3097" i="1"/>
  <c r="CS3097" i="1"/>
  <c r="K3098" i="1"/>
  <c r="P3098" i="1"/>
  <c r="R3098" i="1"/>
  <c r="BL3098" i="1"/>
  <c r="BW3098" i="1"/>
  <c r="CH3098" i="1"/>
  <c r="CS3098" i="1"/>
  <c r="K3099" i="1"/>
  <c r="P3099" i="1"/>
  <c r="R3099" i="1"/>
  <c r="BL3099" i="1"/>
  <c r="BW3099" i="1"/>
  <c r="CH3099" i="1"/>
  <c r="CS3099" i="1"/>
  <c r="K3100" i="1"/>
  <c r="P3100" i="1"/>
  <c r="R3100" i="1"/>
  <c r="BL3100" i="1"/>
  <c r="BW3100" i="1"/>
  <c r="CH3100" i="1"/>
  <c r="CS3100" i="1"/>
  <c r="K3101" i="1"/>
  <c r="P3101" i="1"/>
  <c r="R3101" i="1"/>
  <c r="BL3101" i="1"/>
  <c r="BW3101" i="1"/>
  <c r="CH3101" i="1"/>
  <c r="CS3101" i="1"/>
  <c r="K3102" i="1"/>
  <c r="P3102" i="1"/>
  <c r="R3102" i="1"/>
  <c r="BL3102" i="1"/>
  <c r="BW3102" i="1"/>
  <c r="CH3102" i="1"/>
  <c r="CS3102" i="1"/>
  <c r="K3103" i="1"/>
  <c r="P3103" i="1"/>
  <c r="R3103" i="1"/>
  <c r="BL3103" i="1"/>
  <c r="BW3103" i="1"/>
  <c r="CH3103" i="1"/>
  <c r="CS3103" i="1"/>
  <c r="K3104" i="1"/>
  <c r="P3104" i="1"/>
  <c r="R3104" i="1"/>
  <c r="BL3104" i="1"/>
  <c r="BW3104" i="1"/>
  <c r="CH3104" i="1"/>
  <c r="CS3104" i="1"/>
  <c r="K3105" i="1"/>
  <c r="P3105" i="1"/>
  <c r="R3105" i="1"/>
  <c r="BL3105" i="1"/>
  <c r="BW3105" i="1"/>
  <c r="CH3105" i="1"/>
  <c r="CS3105" i="1"/>
  <c r="K3106" i="1"/>
  <c r="P3106" i="1"/>
  <c r="R3106" i="1"/>
  <c r="BL3106" i="1"/>
  <c r="BW3106" i="1"/>
  <c r="CH3106" i="1"/>
  <c r="CS3106" i="1"/>
  <c r="K3107" i="1"/>
  <c r="P3107" i="1"/>
  <c r="R3107" i="1"/>
  <c r="BL3107" i="1"/>
  <c r="BW3107" i="1"/>
  <c r="CH3107" i="1"/>
  <c r="CS3107" i="1"/>
  <c r="K3108" i="1"/>
  <c r="P3108" i="1"/>
  <c r="R3108" i="1"/>
  <c r="BL3108" i="1"/>
  <c r="BW3108" i="1"/>
  <c r="CH3108" i="1"/>
  <c r="CS3108" i="1"/>
  <c r="K3109" i="1"/>
  <c r="P3109" i="1"/>
  <c r="R3109" i="1"/>
  <c r="BL3109" i="1"/>
  <c r="BW3109" i="1"/>
  <c r="CH3109" i="1"/>
  <c r="CS3109" i="1"/>
  <c r="K3110" i="1"/>
  <c r="P3110" i="1"/>
  <c r="R3110" i="1"/>
  <c r="BL3110" i="1"/>
  <c r="BQ3110" i="1"/>
  <c r="BW3110" i="1"/>
  <c r="CH3110" i="1"/>
  <c r="CS3110" i="1"/>
  <c r="K3111" i="1"/>
  <c r="P3111" i="1"/>
  <c r="R3111" i="1"/>
  <c r="BL3111" i="1"/>
  <c r="BW3111" i="1"/>
  <c r="CH3111" i="1"/>
  <c r="CS3111" i="1"/>
  <c r="K3112" i="1"/>
  <c r="P3112" i="1"/>
  <c r="R3112" i="1"/>
  <c r="BL3112" i="1"/>
  <c r="BW3112" i="1"/>
  <c r="CH3112" i="1"/>
  <c r="CS3112" i="1"/>
  <c r="K3113" i="1"/>
  <c r="P3113" i="1"/>
  <c r="R3113" i="1"/>
  <c r="BL3113" i="1"/>
  <c r="BW3113" i="1"/>
  <c r="CH3113" i="1"/>
  <c r="CS3113" i="1"/>
  <c r="K3114" i="1"/>
  <c r="P3114" i="1"/>
  <c r="R3114" i="1"/>
  <c r="BL3114" i="1"/>
  <c r="BW3114" i="1"/>
  <c r="CH3114" i="1"/>
  <c r="CS3114" i="1"/>
  <c r="K3115" i="1"/>
  <c r="P3115" i="1"/>
  <c r="R3115" i="1"/>
  <c r="BL3115" i="1"/>
  <c r="BW3115" i="1"/>
  <c r="CH3115" i="1"/>
  <c r="CS3115" i="1"/>
  <c r="K3116" i="1"/>
  <c r="P3116" i="1"/>
  <c r="R3116" i="1"/>
  <c r="BL3116" i="1"/>
  <c r="BW3116" i="1"/>
  <c r="CH3116" i="1"/>
  <c r="CS3116" i="1"/>
  <c r="K3117" i="1"/>
  <c r="P3117" i="1"/>
  <c r="R3117" i="1"/>
  <c r="BL3117" i="1"/>
  <c r="BW3117" i="1"/>
  <c r="CH3117" i="1"/>
  <c r="CS3117" i="1"/>
  <c r="K3118" i="1"/>
  <c r="P3118" i="1"/>
  <c r="R3118" i="1"/>
  <c r="BL3118" i="1"/>
  <c r="BW3118" i="1"/>
  <c r="CH3118" i="1"/>
  <c r="CS3118" i="1"/>
  <c r="K3119" i="1"/>
  <c r="P3119" i="1"/>
  <c r="R3119" i="1"/>
  <c r="BL3119" i="1"/>
  <c r="BW3119" i="1"/>
  <c r="CH3119" i="1"/>
  <c r="CS3119" i="1"/>
  <c r="K3120" i="1"/>
  <c r="P3120" i="1"/>
  <c r="R3120" i="1"/>
  <c r="BL3120" i="1"/>
  <c r="BW3120" i="1"/>
  <c r="CH3120" i="1"/>
  <c r="CS3120" i="1"/>
  <c r="K3121" i="1"/>
  <c r="P3121" i="1"/>
  <c r="R3121" i="1"/>
  <c r="BL3121" i="1"/>
  <c r="BW3121" i="1"/>
  <c r="CH3121" i="1"/>
  <c r="CS3121" i="1"/>
  <c r="K3122" i="1"/>
  <c r="P3122" i="1"/>
  <c r="R3122" i="1"/>
  <c r="BL3122" i="1"/>
  <c r="BW3122" i="1"/>
  <c r="CH3122" i="1"/>
  <c r="CS3122" i="1"/>
  <c r="K3123" i="1"/>
  <c r="P3123" i="1"/>
  <c r="R3123" i="1"/>
  <c r="BL3123" i="1"/>
  <c r="BW3123" i="1"/>
  <c r="CH3123" i="1"/>
  <c r="CS3123" i="1"/>
  <c r="K3124" i="1"/>
  <c r="P3124" i="1"/>
  <c r="R3124" i="1"/>
  <c r="BL3124" i="1"/>
  <c r="BW3124" i="1"/>
  <c r="CH3124" i="1"/>
  <c r="CS3124" i="1"/>
  <c r="K3125" i="1"/>
  <c r="P3125" i="1"/>
  <c r="R3125" i="1"/>
  <c r="BL3125" i="1"/>
  <c r="BW3125" i="1"/>
  <c r="CH3125" i="1"/>
  <c r="CS3125" i="1"/>
  <c r="K3126" i="1"/>
  <c r="P3126" i="1"/>
  <c r="R3126" i="1"/>
  <c r="BL3126" i="1"/>
  <c r="BW3126" i="1"/>
  <c r="CH3126" i="1"/>
  <c r="CS3126" i="1"/>
  <c r="K3127" i="1"/>
  <c r="P3127" i="1"/>
  <c r="R3127" i="1"/>
  <c r="BL3127" i="1"/>
  <c r="BW3127" i="1"/>
  <c r="CH3127" i="1"/>
  <c r="CS3127" i="1"/>
  <c r="K3128" i="1"/>
  <c r="P3128" i="1"/>
  <c r="R3128" i="1"/>
  <c r="BL3128" i="1"/>
  <c r="BW3128" i="1"/>
  <c r="CH3128" i="1"/>
  <c r="CS3128" i="1"/>
  <c r="K3129" i="1"/>
  <c r="P3129" i="1"/>
  <c r="R3129" i="1"/>
  <c r="BL3129" i="1"/>
  <c r="BW3129" i="1"/>
  <c r="CH3129" i="1"/>
  <c r="CS3129" i="1"/>
  <c r="K3130" i="1"/>
  <c r="P3130" i="1"/>
  <c r="R3130" i="1"/>
  <c r="BL3130" i="1"/>
  <c r="BW3130" i="1"/>
  <c r="CH3130" i="1"/>
  <c r="CS3130" i="1"/>
  <c r="K3131" i="1"/>
  <c r="P3131" i="1"/>
  <c r="R3131" i="1"/>
  <c r="BL3131" i="1"/>
  <c r="BW3131" i="1"/>
  <c r="CH3131" i="1"/>
  <c r="CS3131" i="1"/>
  <c r="K3132" i="1"/>
  <c r="P3132" i="1"/>
  <c r="R3132" i="1"/>
  <c r="BL3132" i="1"/>
  <c r="BW3132" i="1"/>
  <c r="CH3132" i="1"/>
  <c r="CS3132" i="1"/>
  <c r="K3133" i="1"/>
  <c r="P3133" i="1"/>
  <c r="R3133" i="1"/>
  <c r="BL3133" i="1"/>
  <c r="BW3133" i="1"/>
  <c r="CH3133" i="1"/>
  <c r="CS3133" i="1"/>
  <c r="K3134" i="1"/>
  <c r="P3134" i="1"/>
  <c r="R3134" i="1"/>
  <c r="BL3134" i="1"/>
  <c r="BW3134" i="1"/>
  <c r="CH3134" i="1"/>
  <c r="CS3134" i="1"/>
  <c r="K3135" i="1"/>
  <c r="P3135" i="1"/>
  <c r="R3135" i="1"/>
  <c r="BL3135" i="1"/>
  <c r="BW3135" i="1"/>
  <c r="CH3135" i="1"/>
  <c r="CS3135" i="1"/>
  <c r="K3136" i="1"/>
  <c r="P3136" i="1"/>
  <c r="R3136" i="1"/>
  <c r="BL3136" i="1"/>
  <c r="BW3136" i="1"/>
  <c r="CH3136" i="1"/>
  <c r="CS3136" i="1"/>
  <c r="K3137" i="1"/>
  <c r="P3137" i="1"/>
  <c r="R3137" i="1"/>
  <c r="BL3137" i="1"/>
  <c r="BW3137" i="1"/>
  <c r="CH3137" i="1"/>
  <c r="CS3137" i="1"/>
  <c r="K3138" i="1"/>
  <c r="P3138" i="1"/>
  <c r="R3138" i="1"/>
  <c r="BL3138" i="1"/>
  <c r="BW3138" i="1"/>
  <c r="CH3138" i="1"/>
  <c r="CS3138" i="1"/>
  <c r="K3139" i="1"/>
  <c r="P3139" i="1"/>
  <c r="R3139" i="1"/>
  <c r="BL3139" i="1"/>
  <c r="BW3139" i="1"/>
  <c r="CH3139" i="1"/>
  <c r="CS3139" i="1"/>
  <c r="K3140" i="1"/>
  <c r="P3140" i="1"/>
  <c r="R3140" i="1"/>
  <c r="BL3140" i="1"/>
  <c r="BW3140" i="1"/>
  <c r="CH3140" i="1"/>
  <c r="CS3140" i="1"/>
  <c r="K3141" i="1"/>
  <c r="P3141" i="1"/>
  <c r="R3141" i="1"/>
  <c r="BL3141" i="1"/>
  <c r="BW3141" i="1"/>
  <c r="CH3141" i="1"/>
  <c r="CS3141" i="1"/>
  <c r="K3142" i="1"/>
  <c r="P3142" i="1"/>
  <c r="R3142" i="1"/>
  <c r="BL3142" i="1"/>
  <c r="BW3142" i="1"/>
  <c r="CH3142" i="1"/>
  <c r="CS3142" i="1"/>
  <c r="K3143" i="1"/>
  <c r="P3143" i="1"/>
  <c r="R3143" i="1"/>
  <c r="BL3143" i="1"/>
  <c r="BW3143" i="1"/>
  <c r="CH3143" i="1"/>
  <c r="CS3143" i="1"/>
  <c r="K3144" i="1"/>
  <c r="P3144" i="1"/>
  <c r="R3144" i="1"/>
  <c r="BL3144" i="1"/>
  <c r="BW3144" i="1"/>
  <c r="CH3144" i="1"/>
  <c r="CS3144" i="1"/>
  <c r="K3145" i="1"/>
  <c r="P3145" i="1"/>
  <c r="R3145" i="1"/>
  <c r="BL3145" i="1"/>
  <c r="BW3145" i="1"/>
  <c r="CH3145" i="1"/>
  <c r="CS3145" i="1"/>
  <c r="K3146" i="1"/>
  <c r="P3146" i="1"/>
  <c r="R3146" i="1"/>
  <c r="BL3146" i="1"/>
  <c r="BW3146" i="1"/>
  <c r="CH3146" i="1"/>
  <c r="CS3146" i="1"/>
  <c r="K3147" i="1"/>
  <c r="P3147" i="1"/>
  <c r="R3147" i="1"/>
  <c r="BL3147" i="1"/>
  <c r="BW3147" i="1"/>
  <c r="CH3147" i="1"/>
  <c r="CS3147" i="1"/>
  <c r="K3148" i="1"/>
  <c r="P3148" i="1"/>
  <c r="R3148" i="1"/>
  <c r="BL3148" i="1"/>
  <c r="BW3148" i="1"/>
  <c r="CH3148" i="1"/>
  <c r="CS3148" i="1"/>
  <c r="K3149" i="1"/>
  <c r="P3149" i="1"/>
  <c r="R3149" i="1"/>
  <c r="BL3149" i="1"/>
  <c r="BW3149" i="1"/>
  <c r="CH3149" i="1"/>
  <c r="CS3149" i="1"/>
  <c r="K3150" i="1"/>
  <c r="P3150" i="1"/>
  <c r="R3150" i="1"/>
  <c r="BL3150" i="1"/>
  <c r="BW3150" i="1"/>
  <c r="CH3150" i="1"/>
  <c r="CS3150" i="1"/>
  <c r="K3151" i="1"/>
  <c r="P3151" i="1"/>
  <c r="R3151" i="1"/>
  <c r="BL3151" i="1"/>
  <c r="BW3151" i="1"/>
  <c r="CH3151" i="1"/>
  <c r="CS3151" i="1"/>
  <c r="K3152" i="1"/>
  <c r="P3152" i="1"/>
  <c r="R3152" i="1"/>
  <c r="BL3152" i="1"/>
  <c r="BW3152" i="1"/>
  <c r="CH3152" i="1"/>
  <c r="CS3152" i="1"/>
  <c r="K3153" i="1"/>
  <c r="P3153" i="1"/>
  <c r="R3153" i="1"/>
  <c r="BL3153" i="1"/>
  <c r="BW3153" i="1"/>
  <c r="CH3153" i="1"/>
  <c r="CS3153" i="1"/>
  <c r="K3154" i="1"/>
  <c r="P3154" i="1"/>
  <c r="R3154" i="1"/>
  <c r="BL3154" i="1"/>
  <c r="BW3154" i="1"/>
  <c r="CH3154" i="1"/>
  <c r="CS3154" i="1"/>
  <c r="K3155" i="1"/>
  <c r="P3155" i="1"/>
  <c r="R3155" i="1"/>
  <c r="BL3155" i="1"/>
  <c r="BW3155" i="1"/>
  <c r="CH3155" i="1"/>
  <c r="CS3155" i="1"/>
  <c r="K3156" i="1"/>
  <c r="P3156" i="1"/>
  <c r="R3156" i="1"/>
  <c r="BL3156" i="1"/>
  <c r="BW3156" i="1"/>
  <c r="CH3156" i="1"/>
  <c r="CS3156" i="1"/>
  <c r="K3157" i="1"/>
  <c r="P3157" i="1"/>
  <c r="R3157" i="1"/>
  <c r="BL3157" i="1"/>
  <c r="BW3157" i="1"/>
  <c r="CH3157" i="1"/>
  <c r="CS3157" i="1"/>
  <c r="K3158" i="1"/>
  <c r="P3158" i="1"/>
  <c r="R3158" i="1"/>
  <c r="BL3158" i="1"/>
  <c r="BW3158" i="1"/>
  <c r="CH3158" i="1"/>
  <c r="CS3158" i="1"/>
  <c r="K3159" i="1"/>
  <c r="P3159" i="1"/>
  <c r="R3159" i="1"/>
  <c r="BL3159" i="1"/>
  <c r="BW3159" i="1"/>
  <c r="CH3159" i="1"/>
  <c r="CS3159" i="1"/>
  <c r="K3160" i="1"/>
  <c r="P3160" i="1"/>
  <c r="R3160" i="1"/>
  <c r="BL3160" i="1"/>
  <c r="BW3160" i="1"/>
  <c r="CH3160" i="1"/>
  <c r="CS3160" i="1"/>
  <c r="K3161" i="1"/>
  <c r="P3161" i="1"/>
  <c r="R3161" i="1"/>
  <c r="BL3161" i="1"/>
  <c r="BW3161" i="1"/>
  <c r="CH3161" i="1"/>
  <c r="CS3161" i="1"/>
  <c r="K3162" i="1"/>
  <c r="P3162" i="1"/>
  <c r="R3162" i="1"/>
  <c r="BL3162" i="1"/>
  <c r="BW3162" i="1"/>
  <c r="CH3162" i="1"/>
  <c r="CS3162" i="1"/>
  <c r="K3163" i="1"/>
  <c r="P3163" i="1"/>
  <c r="R3163" i="1"/>
  <c r="BL3163" i="1"/>
  <c r="BW3163" i="1"/>
  <c r="CH3163" i="1"/>
  <c r="CS3163" i="1"/>
  <c r="K3164" i="1"/>
  <c r="P3164" i="1"/>
  <c r="R3164" i="1"/>
  <c r="BL3164" i="1"/>
  <c r="BW3164" i="1"/>
  <c r="CH3164" i="1"/>
  <c r="CS3164" i="1"/>
  <c r="K3165" i="1"/>
  <c r="P3165" i="1"/>
  <c r="R3165" i="1"/>
  <c r="BL3165" i="1"/>
  <c r="BW3165" i="1"/>
  <c r="CH3165" i="1"/>
  <c r="CS3165" i="1"/>
  <c r="K3166" i="1"/>
  <c r="P3166" i="1"/>
  <c r="R3166" i="1"/>
  <c r="BL3166" i="1"/>
  <c r="BW3166" i="1"/>
  <c r="CH3166" i="1"/>
  <c r="CS3166" i="1"/>
  <c r="K3167" i="1"/>
  <c r="P3167" i="1"/>
  <c r="R3167" i="1"/>
  <c r="BL3167" i="1"/>
  <c r="BW3167" i="1"/>
  <c r="CH3167" i="1"/>
  <c r="CS3167" i="1"/>
  <c r="K3168" i="1"/>
  <c r="P3168" i="1"/>
  <c r="R3168" i="1"/>
  <c r="BL3168" i="1"/>
  <c r="BW3168" i="1"/>
  <c r="CH3168" i="1"/>
  <c r="CS3168" i="1"/>
  <c r="K3169" i="1"/>
  <c r="P3169" i="1"/>
  <c r="R3169" i="1"/>
  <c r="BL3169" i="1"/>
  <c r="BW3169" i="1"/>
  <c r="CH3169" i="1"/>
  <c r="CS3169" i="1"/>
  <c r="K3170" i="1"/>
  <c r="P3170" i="1"/>
  <c r="R3170" i="1"/>
  <c r="BL3170" i="1"/>
  <c r="BW3170" i="1"/>
  <c r="CH3170" i="1"/>
  <c r="CS3170" i="1"/>
  <c r="K3171" i="1"/>
  <c r="P3171" i="1"/>
  <c r="R3171" i="1"/>
  <c r="BL3171" i="1"/>
  <c r="BW3171" i="1"/>
  <c r="CH3171" i="1"/>
  <c r="CS3171" i="1"/>
  <c r="K3172" i="1"/>
  <c r="P3172" i="1"/>
  <c r="R3172" i="1"/>
  <c r="BL3172" i="1"/>
  <c r="BW3172" i="1"/>
  <c r="CH3172" i="1"/>
  <c r="CS3172" i="1"/>
  <c r="K3173" i="1"/>
  <c r="P3173" i="1"/>
  <c r="R3173" i="1"/>
  <c r="BL3173" i="1"/>
  <c r="BW3173" i="1"/>
  <c r="CH3173" i="1"/>
  <c r="CS3173" i="1"/>
  <c r="K3174" i="1"/>
  <c r="P3174" i="1"/>
  <c r="R3174" i="1"/>
  <c r="BL3174" i="1"/>
  <c r="BW3174" i="1"/>
  <c r="CH3174" i="1"/>
  <c r="CS3174" i="1"/>
  <c r="K3175" i="1"/>
  <c r="P3175" i="1"/>
  <c r="R3175" i="1"/>
  <c r="BL3175" i="1"/>
  <c r="BW3175" i="1"/>
  <c r="CH3175" i="1"/>
  <c r="CS3175" i="1"/>
  <c r="K3176" i="1"/>
  <c r="P3176" i="1"/>
  <c r="R3176" i="1"/>
  <c r="BL3176" i="1"/>
  <c r="BW3176" i="1"/>
  <c r="CH3176" i="1"/>
  <c r="CS3176" i="1"/>
  <c r="K3177" i="1"/>
  <c r="P3177" i="1"/>
  <c r="R3177" i="1"/>
  <c r="BL3177" i="1"/>
  <c r="BW3177" i="1"/>
  <c r="CH3177" i="1"/>
  <c r="CS3177" i="1"/>
  <c r="K3178" i="1"/>
  <c r="P3178" i="1"/>
  <c r="R3178" i="1"/>
  <c r="BL3178" i="1"/>
  <c r="BW3178" i="1"/>
  <c r="CH3178" i="1"/>
  <c r="CS3178" i="1"/>
  <c r="K3179" i="1"/>
  <c r="P3179" i="1"/>
  <c r="R3179" i="1"/>
  <c r="BL3179" i="1"/>
  <c r="BW3179" i="1"/>
  <c r="CH3179" i="1"/>
  <c r="CS3179" i="1"/>
  <c r="K3180" i="1"/>
  <c r="P3180" i="1"/>
  <c r="R3180" i="1"/>
  <c r="BL3180" i="1"/>
  <c r="BW3180" i="1"/>
  <c r="CH3180" i="1"/>
  <c r="CS3180" i="1"/>
  <c r="K3181" i="1"/>
  <c r="P3181" i="1"/>
  <c r="R3181" i="1"/>
  <c r="BL3181" i="1"/>
  <c r="BW3181" i="1"/>
  <c r="CH3181" i="1"/>
  <c r="CS3181" i="1"/>
  <c r="K3182" i="1"/>
  <c r="P3182" i="1"/>
  <c r="R3182" i="1"/>
  <c r="BL3182" i="1"/>
  <c r="BW3182" i="1"/>
  <c r="CH3182" i="1"/>
  <c r="CS3182" i="1"/>
  <c r="K3183" i="1"/>
  <c r="P3183" i="1"/>
  <c r="R3183" i="1"/>
  <c r="BL3183" i="1"/>
  <c r="BW3183" i="1"/>
  <c r="CH3183" i="1"/>
  <c r="CS3183" i="1"/>
  <c r="K3184" i="1"/>
  <c r="P3184" i="1"/>
  <c r="R3184" i="1"/>
  <c r="BL3184" i="1"/>
  <c r="BW3184" i="1"/>
  <c r="CH3184" i="1"/>
  <c r="CS3184" i="1"/>
  <c r="K3185" i="1"/>
  <c r="P3185" i="1"/>
  <c r="R3185" i="1"/>
  <c r="BL3185" i="1"/>
  <c r="BW3185" i="1"/>
  <c r="CH3185" i="1"/>
  <c r="CS3185" i="1"/>
  <c r="K3186" i="1"/>
  <c r="P3186" i="1"/>
  <c r="R3186" i="1"/>
  <c r="BL3186" i="1"/>
  <c r="BW3186" i="1"/>
  <c r="CH3186" i="1"/>
  <c r="CS3186" i="1"/>
  <c r="K3187" i="1"/>
  <c r="P3187" i="1"/>
  <c r="R3187" i="1"/>
  <c r="BL3187" i="1"/>
  <c r="BW3187" i="1"/>
  <c r="CH3187" i="1"/>
  <c r="CS3187" i="1"/>
  <c r="K3188" i="1"/>
  <c r="P3188" i="1"/>
  <c r="R3188" i="1"/>
  <c r="BL3188" i="1"/>
  <c r="BW3188" i="1"/>
  <c r="CH3188" i="1"/>
  <c r="CS3188" i="1"/>
  <c r="K3189" i="1"/>
  <c r="P3189" i="1"/>
  <c r="R3189" i="1"/>
  <c r="BL3189" i="1"/>
  <c r="BW3189" i="1"/>
  <c r="CH3189" i="1"/>
  <c r="CS3189" i="1"/>
  <c r="K3190" i="1"/>
  <c r="P3190" i="1"/>
  <c r="R3190" i="1"/>
  <c r="BL3190" i="1"/>
  <c r="BW3190" i="1"/>
  <c r="CH3190" i="1"/>
  <c r="CS3190" i="1"/>
  <c r="K3191" i="1"/>
  <c r="P3191" i="1"/>
  <c r="R3191" i="1"/>
  <c r="BL3191" i="1"/>
  <c r="BW3191" i="1"/>
  <c r="CH3191" i="1"/>
  <c r="CS3191" i="1"/>
  <c r="K3192" i="1"/>
  <c r="P3192" i="1"/>
  <c r="R3192" i="1"/>
  <c r="BL3192" i="1"/>
  <c r="BW3192" i="1"/>
  <c r="CH3192" i="1"/>
  <c r="CS3192" i="1"/>
  <c r="K3193" i="1"/>
  <c r="P3193" i="1"/>
  <c r="R3193" i="1"/>
  <c r="BL3193" i="1"/>
  <c r="BW3193" i="1"/>
  <c r="CH3193" i="1"/>
  <c r="CS3193" i="1"/>
  <c r="K3194" i="1"/>
  <c r="P3194" i="1"/>
  <c r="R3194" i="1"/>
  <c r="BL3194" i="1"/>
  <c r="BW3194" i="1"/>
  <c r="CH3194" i="1"/>
  <c r="CS3194" i="1"/>
  <c r="K3195" i="1"/>
  <c r="P3195" i="1"/>
  <c r="R3195" i="1"/>
  <c r="BL3195" i="1"/>
  <c r="BW3195" i="1"/>
  <c r="CH3195" i="1"/>
  <c r="CS3195" i="1"/>
  <c r="K3196" i="1"/>
  <c r="P3196" i="1"/>
  <c r="R3196" i="1"/>
  <c r="BL3196" i="1"/>
  <c r="BW3196" i="1"/>
  <c r="CH3196" i="1"/>
  <c r="CS3196" i="1"/>
  <c r="K3197" i="1"/>
  <c r="P3197" i="1"/>
  <c r="R3197" i="1"/>
  <c r="BL3197" i="1"/>
  <c r="BW3197" i="1"/>
  <c r="CH3197" i="1"/>
  <c r="CS3197" i="1"/>
  <c r="K3198" i="1"/>
  <c r="P3198" i="1"/>
  <c r="R3198" i="1"/>
  <c r="BL3198" i="1"/>
  <c r="BW3198" i="1"/>
  <c r="CH3198" i="1"/>
  <c r="CS3198" i="1"/>
  <c r="K3199" i="1"/>
  <c r="P3199" i="1"/>
  <c r="R3199" i="1"/>
  <c r="BL3199" i="1"/>
  <c r="BW3199" i="1"/>
  <c r="CH3199" i="1"/>
  <c r="CS3199" i="1"/>
  <c r="K3200" i="1"/>
  <c r="P3200" i="1"/>
  <c r="R3200" i="1"/>
  <c r="BL3200" i="1"/>
  <c r="BW3200" i="1"/>
  <c r="CH3200" i="1"/>
  <c r="CS3200" i="1"/>
  <c r="K3201" i="1"/>
  <c r="P3201" i="1"/>
  <c r="R3201" i="1"/>
  <c r="BL3201" i="1"/>
  <c r="BW3201" i="1"/>
  <c r="CH3201" i="1"/>
  <c r="CS3201" i="1"/>
  <c r="K3202" i="1"/>
  <c r="P3202" i="1"/>
  <c r="R3202" i="1"/>
  <c r="BL3202" i="1"/>
  <c r="BW3202" i="1"/>
  <c r="CH3202" i="1"/>
  <c r="CS3202" i="1"/>
  <c r="K3203" i="1"/>
  <c r="P3203" i="1"/>
  <c r="R3203" i="1"/>
  <c r="BL3203" i="1"/>
  <c r="BW3203" i="1"/>
  <c r="CH3203" i="1"/>
  <c r="CS3203" i="1"/>
  <c r="K3204" i="1"/>
  <c r="P3204" i="1"/>
  <c r="R3204" i="1"/>
  <c r="BL3204" i="1"/>
  <c r="BW3204" i="1"/>
  <c r="CH3204" i="1"/>
  <c r="CS3204" i="1"/>
  <c r="K3205" i="1"/>
  <c r="P3205" i="1"/>
  <c r="R3205" i="1"/>
  <c r="BL3205" i="1"/>
  <c r="BW3205" i="1"/>
  <c r="CH3205" i="1"/>
  <c r="CS3205" i="1"/>
  <c r="K3206" i="1"/>
  <c r="P3206" i="1"/>
  <c r="R3206" i="1"/>
  <c r="BL3206" i="1"/>
  <c r="BW3206" i="1"/>
  <c r="CH3206" i="1"/>
  <c r="CS3206" i="1"/>
  <c r="K3207" i="1"/>
  <c r="P3207" i="1"/>
  <c r="R3207" i="1"/>
  <c r="BL3207" i="1"/>
  <c r="BW3207" i="1"/>
  <c r="CH3207" i="1"/>
  <c r="CS3207" i="1"/>
  <c r="K3208" i="1"/>
  <c r="P3208" i="1"/>
  <c r="R3208" i="1"/>
  <c r="BL3208" i="1"/>
  <c r="BW3208" i="1"/>
  <c r="CH3208" i="1"/>
  <c r="CS3208" i="1"/>
  <c r="K3209" i="1"/>
  <c r="P3209" i="1"/>
  <c r="R3209" i="1"/>
  <c r="BL3209" i="1"/>
  <c r="BW3209" i="1"/>
  <c r="CH3209" i="1"/>
  <c r="CS3209" i="1"/>
  <c r="K3210" i="1"/>
  <c r="P3210" i="1"/>
  <c r="R3210" i="1"/>
  <c r="BL3210" i="1"/>
  <c r="BW3210" i="1"/>
  <c r="CH3210" i="1"/>
  <c r="CS3210" i="1"/>
  <c r="K3211" i="1"/>
  <c r="P3211" i="1"/>
  <c r="R3211" i="1"/>
  <c r="BL3211" i="1"/>
  <c r="BW3211" i="1"/>
  <c r="CH3211" i="1"/>
  <c r="CS3211" i="1"/>
  <c r="K3212" i="1"/>
  <c r="P3212" i="1"/>
  <c r="R3212" i="1"/>
  <c r="BL3212" i="1"/>
  <c r="BW3212" i="1"/>
  <c r="CH3212" i="1"/>
  <c r="CS3212" i="1"/>
  <c r="K3213" i="1"/>
  <c r="P3213" i="1"/>
  <c r="R3213" i="1"/>
  <c r="BL3213" i="1"/>
  <c r="BW3213" i="1"/>
  <c r="CH3213" i="1"/>
  <c r="CS3213" i="1"/>
  <c r="K3214" i="1"/>
  <c r="P3214" i="1"/>
  <c r="R3214" i="1"/>
  <c r="BL3214" i="1"/>
  <c r="BW3214" i="1"/>
  <c r="CH3214" i="1"/>
  <c r="CS3214" i="1"/>
  <c r="K3215" i="1"/>
  <c r="P3215" i="1"/>
  <c r="R3215" i="1"/>
  <c r="BL3215" i="1"/>
  <c r="BW3215" i="1"/>
  <c r="CH3215" i="1"/>
  <c r="CS3215" i="1"/>
  <c r="K3216" i="1"/>
  <c r="P3216" i="1"/>
  <c r="R3216" i="1"/>
  <c r="BL3216" i="1"/>
  <c r="BW3216" i="1"/>
  <c r="CH3216" i="1"/>
  <c r="CS3216" i="1"/>
  <c r="K3217" i="1"/>
  <c r="P3217" i="1"/>
  <c r="R3217" i="1"/>
  <c r="BL3217" i="1"/>
  <c r="BW3217" i="1"/>
  <c r="CH3217" i="1"/>
  <c r="CS3217" i="1"/>
  <c r="K3218" i="1"/>
  <c r="P3218" i="1"/>
  <c r="R3218" i="1"/>
  <c r="BL3218" i="1"/>
  <c r="BW3218" i="1"/>
  <c r="CH3218" i="1"/>
  <c r="CS3218" i="1"/>
  <c r="K3219" i="1"/>
  <c r="P3219" i="1"/>
  <c r="R3219" i="1"/>
  <c r="BL3219" i="1"/>
  <c r="BW3219" i="1"/>
  <c r="CH3219" i="1"/>
  <c r="CS3219" i="1"/>
  <c r="K3220" i="1"/>
  <c r="P3220" i="1"/>
  <c r="R3220" i="1"/>
  <c r="BL3220" i="1"/>
  <c r="BW3220" i="1"/>
  <c r="CH3220" i="1"/>
  <c r="CS3220" i="1"/>
  <c r="K3221" i="1"/>
  <c r="P3221" i="1"/>
  <c r="R3221" i="1"/>
  <c r="BL3221" i="1"/>
  <c r="BW3221" i="1"/>
  <c r="CH3221" i="1"/>
  <c r="CS3221" i="1"/>
  <c r="K3222" i="1"/>
  <c r="P3222" i="1"/>
  <c r="R3222" i="1"/>
  <c r="BL3222" i="1"/>
  <c r="BW3222" i="1"/>
  <c r="CH3222" i="1"/>
  <c r="CS3222" i="1"/>
  <c r="K3223" i="1"/>
  <c r="P3223" i="1"/>
  <c r="R3223" i="1"/>
  <c r="BL3223" i="1"/>
  <c r="BW3223" i="1"/>
  <c r="CH3223" i="1"/>
  <c r="CS3223" i="1"/>
  <c r="K3224" i="1"/>
  <c r="P3224" i="1"/>
  <c r="R3224" i="1"/>
  <c r="BL3224" i="1"/>
  <c r="BW3224" i="1"/>
  <c r="CH3224" i="1"/>
  <c r="CS3224" i="1"/>
  <c r="K3225" i="1"/>
  <c r="P3225" i="1"/>
  <c r="R3225" i="1"/>
  <c r="BL3225" i="1"/>
  <c r="BW3225" i="1"/>
  <c r="CH3225" i="1"/>
  <c r="CS3225" i="1"/>
  <c r="K3226" i="1"/>
  <c r="P3226" i="1"/>
  <c r="R3226" i="1"/>
  <c r="BL3226" i="1"/>
  <c r="BW3226" i="1"/>
  <c r="CH3226" i="1"/>
  <c r="CS3226" i="1"/>
  <c r="K3227" i="1"/>
  <c r="P3227" i="1"/>
  <c r="R3227" i="1"/>
  <c r="BL3227" i="1"/>
  <c r="BW3227" i="1"/>
  <c r="CH3227" i="1"/>
  <c r="CS3227" i="1"/>
  <c r="K3228" i="1"/>
  <c r="P3228" i="1"/>
  <c r="R3228" i="1"/>
  <c r="BL3228" i="1"/>
  <c r="BW3228" i="1"/>
  <c r="CH3228" i="1"/>
  <c r="CS3228" i="1"/>
  <c r="K3229" i="1"/>
  <c r="P3229" i="1"/>
  <c r="R3229" i="1"/>
  <c r="BL3229" i="1"/>
  <c r="BW3229" i="1"/>
  <c r="CH3229" i="1"/>
  <c r="CS3229" i="1"/>
  <c r="K3230" i="1"/>
  <c r="P3230" i="1"/>
  <c r="R3230" i="1"/>
  <c r="BL3230" i="1"/>
  <c r="BW3230" i="1"/>
  <c r="CH3230" i="1"/>
  <c r="CS3230" i="1"/>
  <c r="K3231" i="1"/>
  <c r="P3231" i="1"/>
  <c r="R3231" i="1"/>
  <c r="BL3231" i="1"/>
  <c r="BW3231" i="1"/>
  <c r="CH3231" i="1"/>
  <c r="CS3231" i="1"/>
  <c r="K3232" i="1"/>
  <c r="P3232" i="1"/>
  <c r="R3232" i="1"/>
  <c r="BL3232" i="1"/>
  <c r="BW3232" i="1"/>
  <c r="CH3232" i="1"/>
  <c r="CS3232" i="1"/>
  <c r="K3233" i="1"/>
  <c r="P3233" i="1"/>
  <c r="R3233" i="1"/>
  <c r="BL3233" i="1"/>
  <c r="BW3233" i="1"/>
  <c r="CH3233" i="1"/>
  <c r="CS3233" i="1"/>
  <c r="K3234" i="1"/>
  <c r="P3234" i="1"/>
  <c r="R3234" i="1"/>
  <c r="BL3234" i="1"/>
  <c r="BW3234" i="1"/>
  <c r="CH3234" i="1"/>
  <c r="CS3234" i="1"/>
  <c r="K3235" i="1"/>
  <c r="P3235" i="1"/>
  <c r="R3235" i="1"/>
  <c r="BL3235" i="1"/>
  <c r="BW3235" i="1"/>
  <c r="CH3235" i="1"/>
  <c r="CS3235" i="1"/>
  <c r="K3236" i="1"/>
  <c r="P3236" i="1"/>
  <c r="R3236" i="1"/>
  <c r="BL3236" i="1"/>
  <c r="BW3236" i="1"/>
  <c r="CH3236" i="1"/>
  <c r="CS3236" i="1"/>
  <c r="K3237" i="1"/>
  <c r="P3237" i="1"/>
  <c r="R3237" i="1"/>
  <c r="BL3237" i="1"/>
  <c r="BW3237" i="1"/>
  <c r="CH3237" i="1"/>
  <c r="CS3237" i="1"/>
  <c r="K3238" i="1"/>
  <c r="P3238" i="1"/>
  <c r="R3238" i="1"/>
  <c r="BL3238" i="1"/>
  <c r="BW3238" i="1"/>
  <c r="CH3238" i="1"/>
  <c r="CS3238" i="1"/>
  <c r="K3239" i="1"/>
  <c r="P3239" i="1"/>
  <c r="R3239" i="1"/>
  <c r="BL3239" i="1"/>
  <c r="BW3239" i="1"/>
  <c r="CH3239" i="1"/>
  <c r="CS3239" i="1"/>
  <c r="K3240" i="1"/>
  <c r="P3240" i="1"/>
  <c r="R3240" i="1"/>
  <c r="BL3240" i="1"/>
  <c r="BW3240" i="1"/>
  <c r="CH3240" i="1"/>
  <c r="CS3240" i="1"/>
  <c r="K3241" i="1"/>
  <c r="P3241" i="1"/>
  <c r="R3241" i="1"/>
  <c r="BL3241" i="1"/>
  <c r="BW3241" i="1"/>
  <c r="CH3241" i="1"/>
  <c r="CS3241" i="1"/>
  <c r="K3242" i="1"/>
  <c r="P3242" i="1"/>
  <c r="R3242" i="1"/>
  <c r="BL3242" i="1"/>
  <c r="BW3242" i="1"/>
  <c r="CH3242" i="1"/>
  <c r="CS3242" i="1"/>
  <c r="K3243" i="1"/>
  <c r="P3243" i="1"/>
  <c r="R3243" i="1"/>
  <c r="BL3243" i="1"/>
  <c r="BW3243" i="1"/>
  <c r="CH3243" i="1"/>
  <c r="CS3243" i="1"/>
  <c r="K3244" i="1"/>
  <c r="P3244" i="1"/>
  <c r="R3244" i="1"/>
  <c r="BL3244" i="1"/>
  <c r="BW3244" i="1"/>
  <c r="CH3244" i="1"/>
  <c r="CS3244" i="1"/>
  <c r="K3245" i="1"/>
  <c r="P3245" i="1"/>
  <c r="R3245" i="1"/>
  <c r="BL3245" i="1"/>
  <c r="BW3245" i="1"/>
  <c r="CH3245" i="1"/>
  <c r="CS3245" i="1"/>
  <c r="K3246" i="1"/>
  <c r="P3246" i="1"/>
  <c r="R3246" i="1"/>
  <c r="BL3246" i="1"/>
  <c r="BW3246" i="1"/>
  <c r="CH3246" i="1"/>
  <c r="CS3246" i="1"/>
  <c r="K3247" i="1"/>
  <c r="P3247" i="1"/>
  <c r="R3247" i="1"/>
  <c r="BL3247" i="1"/>
  <c r="BW3247" i="1"/>
  <c r="CH3247" i="1"/>
  <c r="CS3247" i="1"/>
  <c r="K3248" i="1"/>
  <c r="P3248" i="1"/>
  <c r="R3248" i="1"/>
  <c r="BL3248" i="1"/>
  <c r="BW3248" i="1"/>
  <c r="CH3248" i="1"/>
  <c r="CS3248" i="1"/>
  <c r="K3249" i="1"/>
  <c r="P3249" i="1"/>
  <c r="R3249" i="1"/>
  <c r="BL3249" i="1"/>
  <c r="BW3249" i="1"/>
  <c r="CH3249" i="1"/>
  <c r="CS3249" i="1"/>
  <c r="K3250" i="1"/>
  <c r="P3250" i="1"/>
  <c r="R3250" i="1"/>
  <c r="BL3250" i="1"/>
  <c r="BW3250" i="1"/>
  <c r="CH3250" i="1"/>
  <c r="CS3250" i="1"/>
  <c r="K3251" i="1"/>
  <c r="P3251" i="1"/>
  <c r="R3251" i="1"/>
  <c r="BL3251" i="1"/>
  <c r="BW3251" i="1"/>
  <c r="CH3251" i="1"/>
  <c r="CS3251" i="1"/>
  <c r="K3252" i="1"/>
  <c r="P3252" i="1"/>
  <c r="R3252" i="1"/>
  <c r="BL3252" i="1"/>
  <c r="BW3252" i="1"/>
  <c r="CH3252" i="1"/>
  <c r="CS3252" i="1"/>
  <c r="K3253" i="1"/>
  <c r="P3253" i="1"/>
  <c r="R3253" i="1"/>
  <c r="BL3253" i="1"/>
  <c r="BW3253" i="1"/>
  <c r="CH3253" i="1"/>
  <c r="CS3253" i="1"/>
  <c r="K3254" i="1"/>
  <c r="P3254" i="1"/>
  <c r="R3254" i="1"/>
  <c r="BL3254" i="1"/>
  <c r="BW3254" i="1"/>
  <c r="CH3254" i="1"/>
  <c r="CS3254" i="1"/>
  <c r="K3255" i="1"/>
  <c r="P3255" i="1"/>
  <c r="R3255" i="1"/>
  <c r="BL3255" i="1"/>
  <c r="BW3255" i="1"/>
  <c r="CH3255" i="1"/>
  <c r="CS3255" i="1"/>
  <c r="K3256" i="1"/>
  <c r="P3256" i="1"/>
  <c r="R3256" i="1"/>
  <c r="BL3256" i="1"/>
  <c r="BW3256" i="1"/>
  <c r="CH3256" i="1"/>
  <c r="CS3256" i="1"/>
  <c r="K3257" i="1"/>
  <c r="P3257" i="1"/>
  <c r="R3257" i="1"/>
  <c r="BL3257" i="1"/>
  <c r="BW3257" i="1"/>
  <c r="CH3257" i="1"/>
  <c r="CS3257" i="1"/>
  <c r="K3258" i="1"/>
  <c r="P3258" i="1"/>
  <c r="R3258" i="1"/>
  <c r="BL3258" i="1"/>
  <c r="BW3258" i="1"/>
  <c r="CH3258" i="1"/>
  <c r="CS3258" i="1"/>
  <c r="K3259" i="1"/>
  <c r="P3259" i="1"/>
  <c r="R3259" i="1"/>
  <c r="BL3259" i="1"/>
  <c r="BW3259" i="1"/>
  <c r="CH3259" i="1"/>
  <c r="CS3259" i="1"/>
  <c r="K3260" i="1"/>
  <c r="P3260" i="1"/>
  <c r="R3260" i="1"/>
  <c r="BL3260" i="1"/>
  <c r="BW3260" i="1"/>
  <c r="CH3260" i="1"/>
  <c r="CS3260" i="1"/>
  <c r="K3261" i="1"/>
  <c r="P3261" i="1"/>
  <c r="R3261" i="1"/>
  <c r="BL3261" i="1"/>
  <c r="BW3261" i="1"/>
  <c r="CH3261" i="1"/>
  <c r="CS3261" i="1"/>
  <c r="K3262" i="1"/>
  <c r="P3262" i="1"/>
  <c r="R3262" i="1"/>
  <c r="BL3262" i="1"/>
  <c r="BW3262" i="1"/>
  <c r="CH3262" i="1"/>
  <c r="CS3262" i="1"/>
  <c r="K3263" i="1"/>
  <c r="P3263" i="1"/>
  <c r="R3263" i="1"/>
  <c r="BL3263" i="1"/>
  <c r="BW3263" i="1"/>
  <c r="CH3263" i="1"/>
  <c r="CS3263" i="1"/>
  <c r="K3264" i="1"/>
  <c r="P3264" i="1"/>
  <c r="R3264" i="1"/>
  <c r="BL3264" i="1"/>
  <c r="BW3264" i="1"/>
  <c r="CH3264" i="1"/>
  <c r="CS3264" i="1"/>
  <c r="K3265" i="1"/>
  <c r="P3265" i="1"/>
  <c r="R3265" i="1"/>
  <c r="BL3265" i="1"/>
  <c r="BW3265" i="1"/>
  <c r="CH3265" i="1"/>
  <c r="CS3265" i="1"/>
  <c r="K3266" i="1"/>
  <c r="P3266" i="1"/>
  <c r="R3266" i="1"/>
  <c r="BL3266" i="1"/>
  <c r="BW3266" i="1"/>
  <c r="CH3266" i="1"/>
  <c r="CS3266" i="1"/>
  <c r="K3267" i="1"/>
  <c r="P3267" i="1"/>
  <c r="R3267" i="1"/>
  <c r="BL3267" i="1"/>
  <c r="BW3267" i="1"/>
  <c r="CH3267" i="1"/>
  <c r="CS3267" i="1"/>
  <c r="K3268" i="1"/>
  <c r="P3268" i="1"/>
  <c r="R3268" i="1"/>
  <c r="BL3268" i="1"/>
  <c r="BW3268" i="1"/>
  <c r="CH3268" i="1"/>
  <c r="CS3268" i="1"/>
  <c r="K3269" i="1"/>
  <c r="P3269" i="1"/>
  <c r="R3269" i="1"/>
  <c r="BL3269" i="1"/>
  <c r="BW3269" i="1"/>
  <c r="CH3269" i="1"/>
  <c r="CS3269" i="1"/>
  <c r="K3270" i="1"/>
  <c r="P3270" i="1"/>
  <c r="R3270" i="1"/>
  <c r="BL3270" i="1"/>
  <c r="BW3270" i="1"/>
  <c r="CH3270" i="1"/>
  <c r="CS3270" i="1"/>
  <c r="K3271" i="1"/>
  <c r="P3271" i="1"/>
  <c r="R3271" i="1"/>
  <c r="BL3271" i="1"/>
  <c r="BW3271" i="1"/>
  <c r="CH3271" i="1"/>
  <c r="CS3271" i="1"/>
  <c r="K3272" i="1"/>
  <c r="P3272" i="1"/>
  <c r="R3272" i="1"/>
  <c r="BL3272" i="1"/>
  <c r="BW3272" i="1"/>
  <c r="CH3272" i="1"/>
  <c r="CS3272" i="1"/>
  <c r="K3273" i="1"/>
  <c r="P3273" i="1"/>
  <c r="R3273" i="1"/>
  <c r="BL3273" i="1"/>
  <c r="BW3273" i="1"/>
  <c r="CH3273" i="1"/>
  <c r="CS3273" i="1"/>
  <c r="K3274" i="1"/>
  <c r="P3274" i="1"/>
  <c r="R3274" i="1"/>
  <c r="BL3274" i="1"/>
  <c r="BW3274" i="1"/>
  <c r="CH3274" i="1"/>
  <c r="CS3274" i="1"/>
  <c r="K3275" i="1"/>
  <c r="P3275" i="1"/>
  <c r="R3275" i="1"/>
  <c r="BL3275" i="1"/>
  <c r="BW3275" i="1"/>
  <c r="CH3275" i="1"/>
  <c r="CS3275" i="1"/>
  <c r="K3276" i="1"/>
  <c r="P3276" i="1"/>
  <c r="R3276" i="1"/>
  <c r="BL3276" i="1"/>
  <c r="BW3276" i="1"/>
  <c r="CH3276" i="1"/>
  <c r="CS3276" i="1"/>
  <c r="K3277" i="1"/>
  <c r="P3277" i="1"/>
  <c r="R3277" i="1"/>
  <c r="BL3277" i="1"/>
  <c r="BW3277" i="1"/>
  <c r="CH3277" i="1"/>
  <c r="CS3277" i="1"/>
  <c r="K3278" i="1"/>
  <c r="P3278" i="1"/>
  <c r="R3278" i="1"/>
  <c r="BL3278" i="1"/>
  <c r="BW3278" i="1"/>
  <c r="CH3278" i="1"/>
  <c r="CS3278" i="1"/>
  <c r="K3279" i="1"/>
  <c r="P3279" i="1"/>
  <c r="R3279" i="1"/>
  <c r="BL3279" i="1"/>
  <c r="BW3279" i="1"/>
  <c r="CH3279" i="1"/>
  <c r="CS3279" i="1"/>
  <c r="K3280" i="1"/>
  <c r="P3280" i="1"/>
  <c r="R3280" i="1"/>
  <c r="BL3280" i="1"/>
  <c r="BW3280" i="1"/>
  <c r="CH3280" i="1"/>
  <c r="CS3280" i="1"/>
  <c r="K3281" i="1"/>
  <c r="P3281" i="1"/>
  <c r="R3281" i="1"/>
  <c r="BL3281" i="1"/>
  <c r="BW3281" i="1"/>
  <c r="CH3281" i="1"/>
  <c r="CS3281" i="1"/>
  <c r="K3282" i="1"/>
  <c r="P3282" i="1"/>
  <c r="R3282" i="1"/>
  <c r="BL3282" i="1"/>
  <c r="BW3282" i="1"/>
  <c r="CH3282" i="1"/>
  <c r="CS3282" i="1"/>
  <c r="K3283" i="1"/>
  <c r="P3283" i="1"/>
  <c r="R3283" i="1"/>
  <c r="BL3283" i="1"/>
  <c r="BW3283" i="1"/>
  <c r="CH3283" i="1"/>
  <c r="CS3283" i="1"/>
  <c r="K3284" i="1"/>
  <c r="P3284" i="1"/>
  <c r="R3284" i="1"/>
  <c r="AM3284" i="1"/>
  <c r="BL3284" i="1"/>
  <c r="BW3284" i="1"/>
  <c r="CH3284" i="1"/>
  <c r="CS3284" i="1"/>
  <c r="K3285" i="1"/>
  <c r="P3285" i="1"/>
  <c r="R3285" i="1"/>
  <c r="BL3285" i="1"/>
  <c r="BW3285" i="1"/>
  <c r="CH3285" i="1"/>
  <c r="CS3285" i="1"/>
  <c r="K3286" i="1"/>
  <c r="P3286" i="1"/>
  <c r="R3286" i="1"/>
  <c r="BL3286" i="1"/>
  <c r="BW3286" i="1"/>
  <c r="CH3286" i="1"/>
  <c r="CS3286" i="1"/>
  <c r="K3287" i="1"/>
  <c r="P3287" i="1"/>
  <c r="R3287" i="1"/>
  <c r="BL3287" i="1"/>
  <c r="BW3287" i="1"/>
  <c r="CH3287" i="1"/>
  <c r="CS3287" i="1"/>
  <c r="K3288" i="1"/>
  <c r="P3288" i="1"/>
  <c r="R3288" i="1"/>
  <c r="BL3288" i="1"/>
  <c r="BW3288" i="1"/>
  <c r="CH3288" i="1"/>
  <c r="CS3288" i="1"/>
  <c r="K3289" i="1"/>
  <c r="P3289" i="1"/>
  <c r="R3289" i="1"/>
  <c r="BL3289" i="1"/>
  <c r="BW3289" i="1"/>
  <c r="CH3289" i="1"/>
  <c r="CS3289" i="1"/>
  <c r="K3290" i="1"/>
  <c r="P3290" i="1"/>
  <c r="R3290" i="1"/>
  <c r="BL3290" i="1"/>
  <c r="BW3290" i="1"/>
  <c r="CH3290" i="1"/>
  <c r="CS3290" i="1"/>
  <c r="K3291" i="1"/>
  <c r="P3291" i="1"/>
  <c r="R3291" i="1"/>
  <c r="BL3291" i="1"/>
  <c r="BW3291" i="1"/>
  <c r="CH3291" i="1"/>
  <c r="CS3291" i="1"/>
  <c r="K3292" i="1"/>
  <c r="P3292" i="1"/>
  <c r="R3292" i="1"/>
  <c r="BL3292" i="1"/>
  <c r="BW3292" i="1"/>
  <c r="CH3292" i="1"/>
  <c r="CS3292" i="1"/>
  <c r="K3293" i="1"/>
  <c r="P3293" i="1"/>
  <c r="R3293" i="1"/>
  <c r="BL3293" i="1"/>
  <c r="BW3293" i="1"/>
  <c r="CH3293" i="1"/>
  <c r="CS3293" i="1"/>
  <c r="K3294" i="1"/>
  <c r="P3294" i="1"/>
  <c r="R3294" i="1"/>
  <c r="BL3294" i="1"/>
  <c r="BW3294" i="1"/>
  <c r="CH3294" i="1"/>
  <c r="CS3294" i="1"/>
  <c r="K3295" i="1"/>
  <c r="P3295" i="1"/>
  <c r="R3295" i="1"/>
  <c r="BL3295" i="1"/>
  <c r="BW3295" i="1"/>
  <c r="CH3295" i="1"/>
  <c r="CS3295" i="1"/>
  <c r="K3296" i="1"/>
  <c r="P3296" i="1"/>
  <c r="R3296" i="1"/>
  <c r="BL3296" i="1"/>
  <c r="BW3296" i="1"/>
  <c r="CH3296" i="1"/>
  <c r="CS3296" i="1"/>
  <c r="K3297" i="1"/>
  <c r="P3297" i="1"/>
  <c r="R3297" i="1"/>
  <c r="BL3297" i="1"/>
  <c r="BW3297" i="1"/>
  <c r="CH3297" i="1"/>
  <c r="CS3297" i="1"/>
  <c r="K3298" i="1"/>
  <c r="P3298" i="1"/>
  <c r="R3298" i="1"/>
  <c r="BL3298" i="1"/>
  <c r="BW3298" i="1"/>
  <c r="CH3298" i="1"/>
  <c r="CS3298" i="1"/>
  <c r="K3299" i="1"/>
  <c r="P3299" i="1"/>
  <c r="R3299" i="1"/>
  <c r="BL3299" i="1"/>
  <c r="BW3299" i="1"/>
  <c r="CH3299" i="1"/>
  <c r="CS3299" i="1"/>
  <c r="K3300" i="1"/>
  <c r="P3300" i="1"/>
  <c r="R3300" i="1"/>
  <c r="BL3300" i="1"/>
  <c r="BW3300" i="1"/>
  <c r="CH3300" i="1"/>
  <c r="CS3300" i="1"/>
  <c r="K3301" i="1"/>
  <c r="P3301" i="1"/>
  <c r="R3301" i="1"/>
  <c r="BL3301" i="1"/>
  <c r="BW3301" i="1"/>
  <c r="CH3301" i="1"/>
  <c r="CS3301" i="1"/>
  <c r="K3302" i="1"/>
  <c r="P3302" i="1"/>
  <c r="R3302" i="1"/>
  <c r="BL3302" i="1"/>
  <c r="BW3302" i="1"/>
  <c r="CH3302" i="1"/>
  <c r="CS3302" i="1"/>
  <c r="K3303" i="1"/>
  <c r="P3303" i="1"/>
  <c r="R3303" i="1"/>
  <c r="BL3303" i="1"/>
  <c r="BW3303" i="1"/>
  <c r="CH3303" i="1"/>
  <c r="CS3303" i="1"/>
  <c r="K3304" i="1"/>
  <c r="P3304" i="1"/>
  <c r="R3304" i="1"/>
  <c r="BL3304" i="1"/>
  <c r="BW3304" i="1"/>
  <c r="CH3304" i="1"/>
  <c r="CS3304" i="1"/>
  <c r="K3305" i="1"/>
  <c r="P3305" i="1"/>
  <c r="R3305" i="1"/>
  <c r="BL3305" i="1"/>
  <c r="BW3305" i="1"/>
  <c r="CH3305" i="1"/>
  <c r="CS3305" i="1"/>
  <c r="K3306" i="1"/>
  <c r="P3306" i="1"/>
  <c r="R3306" i="1"/>
  <c r="BL3306" i="1"/>
  <c r="BW3306" i="1"/>
  <c r="CH3306" i="1"/>
  <c r="CS3306" i="1"/>
  <c r="K3307" i="1"/>
  <c r="P3307" i="1"/>
  <c r="R3307" i="1"/>
  <c r="BL3307" i="1"/>
  <c r="BW3307" i="1"/>
  <c r="CH3307" i="1"/>
  <c r="CS3307" i="1"/>
  <c r="K3308" i="1"/>
  <c r="P3308" i="1"/>
  <c r="R3308" i="1"/>
  <c r="BL3308" i="1"/>
  <c r="BW3308" i="1"/>
  <c r="CH3308" i="1"/>
  <c r="CS3308" i="1"/>
  <c r="K3309" i="1"/>
  <c r="P3309" i="1"/>
  <c r="R3309" i="1"/>
  <c r="BL3309" i="1"/>
  <c r="BW3309" i="1"/>
  <c r="CH3309" i="1"/>
  <c r="CS3309" i="1"/>
  <c r="K3310" i="1"/>
  <c r="P3310" i="1"/>
  <c r="R3310" i="1"/>
  <c r="BL3310" i="1"/>
  <c r="BW3310" i="1"/>
  <c r="CH3310" i="1"/>
  <c r="CS3310" i="1"/>
  <c r="K3311" i="1"/>
  <c r="P3311" i="1"/>
  <c r="R3311" i="1"/>
  <c r="BL3311" i="1"/>
  <c r="BW3311" i="1"/>
  <c r="CH3311" i="1"/>
  <c r="CS3311" i="1"/>
  <c r="K3312" i="1"/>
  <c r="P3312" i="1"/>
  <c r="R3312" i="1"/>
  <c r="BL3312" i="1"/>
  <c r="BW3312" i="1"/>
  <c r="CH3312" i="1"/>
  <c r="CS3312" i="1"/>
  <c r="K3313" i="1"/>
  <c r="P3313" i="1"/>
  <c r="R3313" i="1"/>
  <c r="BL3313" i="1"/>
  <c r="BW3313" i="1"/>
  <c r="CH3313" i="1"/>
  <c r="CS3313" i="1"/>
  <c r="K3314" i="1"/>
  <c r="P3314" i="1"/>
  <c r="R3314" i="1"/>
  <c r="BL3314" i="1"/>
  <c r="BW3314" i="1"/>
  <c r="CH3314" i="1"/>
  <c r="CS3314" i="1"/>
  <c r="K3315" i="1"/>
  <c r="P3315" i="1"/>
  <c r="R3315" i="1"/>
  <c r="BL3315" i="1"/>
  <c r="BW3315" i="1"/>
  <c r="CH3315" i="1"/>
  <c r="CS3315" i="1"/>
  <c r="K3316" i="1"/>
  <c r="P3316" i="1"/>
  <c r="R3316" i="1"/>
  <c r="BL3316" i="1"/>
  <c r="BW3316" i="1"/>
  <c r="CH3316" i="1"/>
  <c r="CS3316" i="1"/>
  <c r="K3317" i="1"/>
  <c r="P3317" i="1"/>
  <c r="R3317" i="1"/>
  <c r="BL3317" i="1"/>
  <c r="BW3317" i="1"/>
  <c r="CH3317" i="1"/>
  <c r="CS3317" i="1"/>
  <c r="K3318" i="1"/>
  <c r="P3318" i="1"/>
  <c r="R3318" i="1"/>
  <c r="BL3318" i="1"/>
  <c r="BW3318" i="1"/>
  <c r="CH3318" i="1"/>
  <c r="CS3318" i="1"/>
  <c r="K3319" i="1"/>
  <c r="P3319" i="1"/>
  <c r="R3319" i="1"/>
  <c r="BL3319" i="1"/>
  <c r="BW3319" i="1"/>
  <c r="CH3319" i="1"/>
  <c r="CS3319" i="1"/>
  <c r="K3320" i="1"/>
  <c r="P3320" i="1"/>
  <c r="R3320" i="1"/>
  <c r="BL3320" i="1"/>
  <c r="BW3320" i="1"/>
  <c r="CH3320" i="1"/>
  <c r="CS3320" i="1"/>
  <c r="K3321" i="1"/>
  <c r="P3321" i="1"/>
  <c r="R3321" i="1"/>
  <c r="BL3321" i="1"/>
  <c r="BW3321" i="1"/>
  <c r="CH3321" i="1"/>
  <c r="CS3321" i="1"/>
  <c r="K3322" i="1"/>
  <c r="P3322" i="1"/>
  <c r="R3322" i="1"/>
  <c r="BL3322" i="1"/>
  <c r="BW3322" i="1"/>
  <c r="CH3322" i="1"/>
  <c r="CS3322" i="1"/>
  <c r="K3323" i="1"/>
  <c r="P3323" i="1"/>
  <c r="R3323" i="1"/>
  <c r="BL3323" i="1"/>
  <c r="BW3323" i="1"/>
  <c r="CH3323" i="1"/>
  <c r="CS3323" i="1"/>
  <c r="K3324" i="1"/>
  <c r="P3324" i="1"/>
  <c r="R3324" i="1"/>
  <c r="BL3324" i="1"/>
  <c r="BW3324" i="1"/>
  <c r="CH3324" i="1"/>
  <c r="CS3324" i="1"/>
  <c r="K3325" i="1"/>
  <c r="P3325" i="1"/>
  <c r="R3325" i="1"/>
  <c r="BL3325" i="1"/>
  <c r="BW3325" i="1"/>
  <c r="CH3325" i="1"/>
  <c r="CS3325" i="1"/>
  <c r="K3326" i="1"/>
  <c r="P3326" i="1"/>
  <c r="R3326" i="1"/>
  <c r="BL3326" i="1"/>
  <c r="BW3326" i="1"/>
  <c r="CH3326" i="1"/>
  <c r="CS3326" i="1"/>
  <c r="K3327" i="1"/>
  <c r="P3327" i="1"/>
  <c r="R3327" i="1"/>
  <c r="BL3327" i="1"/>
  <c r="BW3327" i="1"/>
  <c r="CH3327" i="1"/>
  <c r="CS3327" i="1"/>
  <c r="K3328" i="1"/>
  <c r="P3328" i="1"/>
  <c r="R3328" i="1"/>
  <c r="BL3328" i="1"/>
  <c r="BW3328" i="1"/>
  <c r="CH3328" i="1"/>
  <c r="CS3328" i="1"/>
  <c r="K3329" i="1"/>
  <c r="P3329" i="1"/>
  <c r="R3329" i="1"/>
  <c r="BL3329" i="1"/>
  <c r="BW3329" i="1"/>
  <c r="CH3329" i="1"/>
  <c r="CS3329" i="1"/>
  <c r="K3330" i="1"/>
  <c r="P3330" i="1"/>
  <c r="R3330" i="1"/>
  <c r="AM3330" i="1"/>
  <c r="BL3330" i="1"/>
  <c r="BW3330" i="1"/>
  <c r="CH3330" i="1"/>
  <c r="CS3330" i="1"/>
  <c r="K3331" i="1"/>
  <c r="P3331" i="1"/>
  <c r="R3331" i="1"/>
  <c r="BL3331" i="1"/>
  <c r="BW3331" i="1"/>
  <c r="CH3331" i="1"/>
  <c r="CS3331" i="1"/>
  <c r="K3332" i="1"/>
  <c r="P3332" i="1"/>
  <c r="R3332" i="1"/>
  <c r="BL3332" i="1"/>
  <c r="BW3332" i="1"/>
  <c r="CH3332" i="1"/>
  <c r="CS3332" i="1"/>
  <c r="K3333" i="1"/>
  <c r="P3333" i="1"/>
  <c r="R3333" i="1"/>
  <c r="BL3333" i="1"/>
  <c r="BW3333" i="1"/>
  <c r="CH3333" i="1"/>
  <c r="CS3333" i="1"/>
  <c r="K3334" i="1"/>
  <c r="P3334" i="1"/>
  <c r="R3334" i="1"/>
  <c r="BL3334" i="1"/>
  <c r="BW3334" i="1"/>
  <c r="CH3334" i="1"/>
  <c r="CS3334" i="1"/>
  <c r="K3335" i="1"/>
  <c r="P3335" i="1"/>
  <c r="R3335" i="1"/>
  <c r="BL3335" i="1"/>
  <c r="BW3335" i="1"/>
  <c r="CH3335" i="1"/>
  <c r="CS3335" i="1"/>
  <c r="K3336" i="1"/>
  <c r="P3336" i="1"/>
  <c r="R3336" i="1"/>
  <c r="BL3336" i="1"/>
  <c r="BW3336" i="1"/>
  <c r="CH3336" i="1"/>
  <c r="CS3336" i="1"/>
  <c r="K3337" i="1"/>
  <c r="P3337" i="1"/>
  <c r="R3337" i="1"/>
  <c r="BL3337" i="1"/>
  <c r="BW3337" i="1"/>
  <c r="CH3337" i="1"/>
  <c r="CS3337" i="1"/>
  <c r="K3338" i="1"/>
  <c r="P3338" i="1"/>
  <c r="R3338" i="1"/>
  <c r="BL3338" i="1"/>
  <c r="BW3338" i="1"/>
  <c r="CH3338" i="1"/>
  <c r="CS3338" i="1"/>
  <c r="K3339" i="1"/>
  <c r="P3339" i="1"/>
  <c r="R3339" i="1"/>
  <c r="BL3339" i="1"/>
  <c r="BW3339" i="1"/>
  <c r="CH3339" i="1"/>
  <c r="CS3339" i="1"/>
  <c r="K3340" i="1"/>
  <c r="P3340" i="1"/>
  <c r="R3340" i="1"/>
  <c r="BL3340" i="1"/>
  <c r="BW3340" i="1"/>
  <c r="CH3340" i="1"/>
  <c r="CS3340" i="1"/>
  <c r="K3341" i="1"/>
  <c r="P3341" i="1"/>
  <c r="R3341" i="1"/>
  <c r="BL3341" i="1"/>
  <c r="BW3341" i="1"/>
  <c r="CH3341" i="1"/>
  <c r="CS3341" i="1"/>
  <c r="K3342" i="1"/>
  <c r="P3342" i="1"/>
  <c r="R3342" i="1"/>
  <c r="BL3342" i="1"/>
  <c r="BW3342" i="1"/>
  <c r="CH3342" i="1"/>
  <c r="CS3342" i="1"/>
  <c r="K3343" i="1"/>
  <c r="P3343" i="1"/>
  <c r="R3343" i="1"/>
  <c r="BL3343" i="1"/>
  <c r="BW3343" i="1"/>
  <c r="CH3343" i="1"/>
  <c r="CS3343" i="1"/>
  <c r="K3344" i="1"/>
  <c r="P3344" i="1"/>
  <c r="R3344" i="1"/>
  <c r="BL3344" i="1"/>
  <c r="BW3344" i="1"/>
  <c r="CH3344" i="1"/>
  <c r="CS3344" i="1"/>
  <c r="K3345" i="1"/>
  <c r="P3345" i="1"/>
  <c r="R3345" i="1"/>
  <c r="BL3345" i="1"/>
  <c r="BW3345" i="1"/>
  <c r="CH3345" i="1"/>
  <c r="CS3345" i="1"/>
  <c r="K3346" i="1"/>
  <c r="P3346" i="1"/>
  <c r="R3346" i="1"/>
  <c r="BL3346" i="1"/>
  <c r="BW3346" i="1"/>
  <c r="CH3346" i="1"/>
  <c r="CS3346" i="1"/>
  <c r="K3347" i="1"/>
  <c r="P3347" i="1"/>
  <c r="R3347" i="1"/>
  <c r="BL3347" i="1"/>
  <c r="BW3347" i="1"/>
  <c r="CH3347" i="1"/>
  <c r="CS3347" i="1"/>
  <c r="K3348" i="1"/>
  <c r="P3348" i="1"/>
  <c r="R3348" i="1"/>
  <c r="BL3348" i="1"/>
  <c r="BW3348" i="1"/>
  <c r="CH3348" i="1"/>
  <c r="CS3348" i="1"/>
  <c r="K3349" i="1"/>
  <c r="P3349" i="1"/>
  <c r="R3349" i="1"/>
  <c r="BL3349" i="1"/>
  <c r="BW3349" i="1"/>
  <c r="CH3349" i="1"/>
  <c r="CS3349" i="1"/>
  <c r="K3350" i="1"/>
  <c r="P3350" i="1"/>
  <c r="R3350" i="1"/>
  <c r="BL3350" i="1"/>
  <c r="BW3350" i="1"/>
  <c r="CH3350" i="1"/>
  <c r="CS3350" i="1"/>
  <c r="K3351" i="1"/>
  <c r="P3351" i="1"/>
  <c r="R3351" i="1"/>
  <c r="BL3351" i="1"/>
  <c r="BW3351" i="1"/>
  <c r="CH3351" i="1"/>
  <c r="CS3351" i="1"/>
  <c r="K3352" i="1"/>
  <c r="P3352" i="1"/>
  <c r="R3352" i="1"/>
  <c r="BL3352" i="1"/>
  <c r="BW3352" i="1"/>
  <c r="CH3352" i="1"/>
  <c r="CS3352" i="1"/>
  <c r="K3353" i="1"/>
  <c r="P3353" i="1"/>
  <c r="R3353" i="1"/>
  <c r="BL3353" i="1"/>
  <c r="BW3353" i="1"/>
  <c r="CH3353" i="1"/>
  <c r="CS3353" i="1"/>
  <c r="K3354" i="1"/>
  <c r="P3354" i="1"/>
  <c r="R3354" i="1"/>
  <c r="BL3354" i="1"/>
  <c r="BW3354" i="1"/>
  <c r="CH3354" i="1"/>
  <c r="CS3354" i="1"/>
  <c r="K3355" i="1"/>
  <c r="P3355" i="1"/>
  <c r="R3355" i="1"/>
  <c r="BL3355" i="1"/>
  <c r="BW3355" i="1"/>
  <c r="CH3355" i="1"/>
  <c r="CS3355" i="1"/>
  <c r="K3356" i="1"/>
  <c r="P3356" i="1"/>
  <c r="R3356" i="1"/>
  <c r="BL3356" i="1"/>
  <c r="BW3356" i="1"/>
  <c r="CH3356" i="1"/>
  <c r="CS3356" i="1"/>
  <c r="K3357" i="1"/>
  <c r="P3357" i="1"/>
  <c r="R3357" i="1"/>
  <c r="BL3357" i="1"/>
  <c r="BW3357" i="1"/>
  <c r="CH3357" i="1"/>
  <c r="CS3357" i="1"/>
  <c r="K3358" i="1"/>
  <c r="P3358" i="1"/>
  <c r="R3358" i="1"/>
  <c r="BL3358" i="1"/>
  <c r="BW3358" i="1"/>
  <c r="CH3358" i="1"/>
  <c r="CS3358" i="1"/>
  <c r="K3359" i="1"/>
  <c r="P3359" i="1"/>
  <c r="R3359" i="1"/>
  <c r="BL3359" i="1"/>
  <c r="BW3359" i="1"/>
  <c r="CH3359" i="1"/>
  <c r="CS3359" i="1"/>
  <c r="K3360" i="1"/>
  <c r="P3360" i="1"/>
  <c r="R3360" i="1"/>
  <c r="BL3360" i="1"/>
  <c r="BW3360" i="1"/>
  <c r="CH3360" i="1"/>
  <c r="CS3360" i="1"/>
  <c r="K3361" i="1"/>
  <c r="P3361" i="1"/>
  <c r="R3361" i="1"/>
  <c r="BL3361" i="1"/>
  <c r="BW3361" i="1"/>
  <c r="CH3361" i="1"/>
  <c r="CS3361" i="1"/>
  <c r="K3362" i="1"/>
  <c r="P3362" i="1"/>
  <c r="R3362" i="1"/>
  <c r="BL3362" i="1"/>
  <c r="BW3362" i="1"/>
  <c r="CH3362" i="1"/>
  <c r="CS3362" i="1"/>
  <c r="K3363" i="1"/>
  <c r="P3363" i="1"/>
  <c r="R3363" i="1"/>
  <c r="BL3363" i="1"/>
  <c r="BW3363" i="1"/>
  <c r="CH3363" i="1"/>
  <c r="CS3363" i="1"/>
  <c r="K3364" i="1"/>
  <c r="P3364" i="1"/>
  <c r="R3364" i="1"/>
  <c r="BL3364" i="1"/>
  <c r="BW3364" i="1"/>
  <c r="CH3364" i="1"/>
  <c r="CS3364" i="1"/>
  <c r="K3365" i="1"/>
  <c r="P3365" i="1"/>
  <c r="R3365" i="1"/>
  <c r="BL3365" i="1"/>
  <c r="BW3365" i="1"/>
  <c r="CH3365" i="1"/>
  <c r="CS3365" i="1"/>
  <c r="K3366" i="1"/>
  <c r="P3366" i="1"/>
  <c r="R3366" i="1"/>
  <c r="BL3366" i="1"/>
  <c r="BW3366" i="1"/>
  <c r="CH3366" i="1"/>
  <c r="CS3366" i="1"/>
  <c r="K3367" i="1"/>
  <c r="P3367" i="1"/>
  <c r="R3367" i="1"/>
  <c r="BL3367" i="1"/>
  <c r="BW3367" i="1"/>
  <c r="CH3367" i="1"/>
  <c r="CS3367" i="1"/>
  <c r="K3368" i="1"/>
  <c r="P3368" i="1"/>
  <c r="R3368" i="1"/>
  <c r="BL3368" i="1"/>
  <c r="BW3368" i="1"/>
  <c r="CH3368" i="1"/>
  <c r="CS3368" i="1"/>
  <c r="K3369" i="1"/>
  <c r="P3369" i="1"/>
  <c r="R3369" i="1"/>
  <c r="BL3369" i="1"/>
  <c r="BW3369" i="1"/>
  <c r="CH3369" i="1"/>
  <c r="CS3369" i="1"/>
  <c r="K3370" i="1"/>
  <c r="P3370" i="1"/>
  <c r="R3370" i="1"/>
  <c r="BL3370" i="1"/>
  <c r="BW3370" i="1"/>
  <c r="CH3370" i="1"/>
  <c r="CS3370" i="1"/>
  <c r="K3371" i="1"/>
  <c r="P3371" i="1"/>
  <c r="R3371" i="1"/>
  <c r="BL3371" i="1"/>
  <c r="BW3371" i="1"/>
  <c r="CH3371" i="1"/>
  <c r="CS3371" i="1"/>
  <c r="K3372" i="1"/>
  <c r="P3372" i="1"/>
  <c r="R3372" i="1"/>
  <c r="BL3372" i="1"/>
  <c r="BW3372" i="1"/>
  <c r="CH3372" i="1"/>
  <c r="CS3372" i="1"/>
  <c r="K3373" i="1"/>
  <c r="P3373" i="1"/>
  <c r="R3373" i="1"/>
  <c r="BL3373" i="1"/>
  <c r="BW3373" i="1"/>
  <c r="CH3373" i="1"/>
  <c r="CS3373" i="1"/>
  <c r="K3374" i="1"/>
  <c r="P3374" i="1"/>
  <c r="R3374" i="1"/>
  <c r="BL3374" i="1"/>
  <c r="BW3374" i="1"/>
  <c r="CH3374" i="1"/>
  <c r="CS3374" i="1"/>
  <c r="K3375" i="1"/>
  <c r="P3375" i="1"/>
  <c r="R3375" i="1"/>
  <c r="BL3375" i="1"/>
  <c r="BW3375" i="1"/>
  <c r="CH3375" i="1"/>
  <c r="CS3375" i="1"/>
  <c r="K3376" i="1"/>
  <c r="P3376" i="1"/>
  <c r="R3376" i="1"/>
  <c r="BL3376" i="1"/>
  <c r="BW3376" i="1"/>
  <c r="CH3376" i="1"/>
  <c r="CS3376" i="1"/>
  <c r="K3377" i="1"/>
  <c r="P3377" i="1"/>
  <c r="R3377" i="1"/>
  <c r="BL3377" i="1"/>
  <c r="BW3377" i="1"/>
  <c r="CH3377" i="1"/>
  <c r="CS3377" i="1"/>
  <c r="K3378" i="1"/>
  <c r="P3378" i="1"/>
  <c r="R3378" i="1"/>
  <c r="BL3378" i="1"/>
  <c r="BW3378" i="1"/>
  <c r="CH3378" i="1"/>
  <c r="CS3378" i="1"/>
  <c r="K3379" i="1"/>
  <c r="P3379" i="1"/>
  <c r="R3379" i="1"/>
  <c r="BL3379" i="1"/>
  <c r="BW3379" i="1"/>
  <c r="CH3379" i="1"/>
  <c r="CS3379" i="1"/>
  <c r="K3380" i="1"/>
  <c r="P3380" i="1"/>
  <c r="R3380" i="1"/>
  <c r="BL3380" i="1"/>
  <c r="BW3380" i="1"/>
  <c r="CH3380" i="1"/>
  <c r="CS3380" i="1"/>
  <c r="K3381" i="1"/>
  <c r="P3381" i="1"/>
  <c r="R3381" i="1"/>
  <c r="BL3381" i="1"/>
  <c r="BW3381" i="1"/>
  <c r="CH3381" i="1"/>
  <c r="CS3381" i="1"/>
  <c r="K3382" i="1"/>
  <c r="P3382" i="1"/>
  <c r="R3382" i="1"/>
  <c r="BL3382" i="1"/>
  <c r="BW3382" i="1"/>
  <c r="CH3382" i="1"/>
  <c r="CS3382" i="1"/>
  <c r="K3383" i="1"/>
  <c r="P3383" i="1"/>
  <c r="R3383" i="1"/>
  <c r="BL3383" i="1"/>
  <c r="BW3383" i="1"/>
  <c r="CH3383" i="1"/>
  <c r="CS3383" i="1"/>
  <c r="K3384" i="1"/>
  <c r="P3384" i="1"/>
  <c r="R3384" i="1"/>
  <c r="BL3384" i="1"/>
  <c r="BW3384" i="1"/>
  <c r="CH3384" i="1"/>
  <c r="CS3384" i="1"/>
  <c r="K3385" i="1"/>
  <c r="P3385" i="1"/>
  <c r="R3385" i="1"/>
  <c r="BL3385" i="1"/>
  <c r="BW3385" i="1"/>
  <c r="CH3385" i="1"/>
  <c r="CS3385" i="1"/>
  <c r="K3386" i="1"/>
  <c r="P3386" i="1"/>
  <c r="R3386" i="1"/>
  <c r="BL3386" i="1"/>
  <c r="BW3386" i="1"/>
  <c r="CH3386" i="1"/>
  <c r="CS3386" i="1"/>
  <c r="K3387" i="1"/>
  <c r="P3387" i="1"/>
  <c r="R3387" i="1"/>
  <c r="BL3387" i="1"/>
  <c r="BW3387" i="1"/>
  <c r="CH3387" i="1"/>
  <c r="CS3387" i="1"/>
  <c r="K3388" i="1"/>
  <c r="P3388" i="1"/>
  <c r="R3388" i="1"/>
  <c r="BL3388" i="1"/>
  <c r="BW3388" i="1"/>
  <c r="CH3388" i="1"/>
  <c r="CS3388" i="1"/>
  <c r="K3389" i="1"/>
  <c r="P3389" i="1"/>
  <c r="R3389" i="1"/>
  <c r="BL3389" i="1"/>
  <c r="BW3389" i="1"/>
  <c r="CH3389" i="1"/>
  <c r="CS3389" i="1"/>
  <c r="K3390" i="1"/>
  <c r="P3390" i="1"/>
  <c r="R3390" i="1"/>
  <c r="BL3390" i="1"/>
  <c r="BW3390" i="1"/>
  <c r="CH3390" i="1"/>
  <c r="CS3390" i="1"/>
  <c r="K3391" i="1"/>
  <c r="P3391" i="1"/>
  <c r="R3391" i="1"/>
  <c r="BL3391" i="1"/>
  <c r="BW3391" i="1"/>
  <c r="CH3391" i="1"/>
  <c r="CS3391" i="1"/>
  <c r="K3392" i="1"/>
  <c r="P3392" i="1"/>
  <c r="R3392" i="1"/>
  <c r="BL3392" i="1"/>
  <c r="BW3392" i="1"/>
  <c r="CH3392" i="1"/>
  <c r="CS3392" i="1"/>
  <c r="K3393" i="1"/>
  <c r="P3393" i="1"/>
  <c r="R3393" i="1"/>
  <c r="BL3393" i="1"/>
  <c r="BW3393" i="1"/>
  <c r="CH3393" i="1"/>
  <c r="CS3393" i="1"/>
  <c r="K3394" i="1"/>
  <c r="P3394" i="1"/>
  <c r="R3394" i="1"/>
  <c r="BL3394" i="1"/>
  <c r="BW3394" i="1"/>
  <c r="CH3394" i="1"/>
  <c r="CS3394" i="1"/>
  <c r="K3395" i="1"/>
  <c r="P3395" i="1"/>
  <c r="R3395" i="1"/>
  <c r="BL3395" i="1"/>
  <c r="BW3395" i="1"/>
  <c r="CH3395" i="1"/>
  <c r="CS3395" i="1"/>
  <c r="K3396" i="1"/>
  <c r="P3396" i="1"/>
  <c r="R3396" i="1"/>
  <c r="BL3396" i="1"/>
  <c r="BW3396" i="1"/>
  <c r="CH3396" i="1"/>
  <c r="CS3396" i="1"/>
  <c r="K3397" i="1"/>
  <c r="P3397" i="1"/>
  <c r="R3397" i="1"/>
  <c r="BL3397" i="1"/>
  <c r="BW3397" i="1"/>
  <c r="CH3397" i="1"/>
  <c r="CS3397" i="1"/>
  <c r="K3398" i="1"/>
  <c r="P3398" i="1"/>
  <c r="R3398" i="1"/>
  <c r="BL3398" i="1"/>
  <c r="BW3398" i="1"/>
  <c r="CH3398" i="1"/>
  <c r="CS3398" i="1"/>
  <c r="K3399" i="1"/>
  <c r="P3399" i="1"/>
  <c r="R3399" i="1"/>
  <c r="BL3399" i="1"/>
  <c r="BW3399" i="1"/>
  <c r="CH3399" i="1"/>
  <c r="CS3399" i="1"/>
  <c r="K3400" i="1"/>
  <c r="P3400" i="1"/>
  <c r="R3400" i="1"/>
  <c r="BL3400" i="1"/>
  <c r="BW3400" i="1"/>
  <c r="CH3400" i="1"/>
  <c r="CS3400" i="1"/>
  <c r="K3401" i="1"/>
  <c r="P3401" i="1"/>
  <c r="R3401" i="1"/>
  <c r="BL3401" i="1"/>
  <c r="BW3401" i="1"/>
  <c r="CH3401" i="1"/>
  <c r="CS3401" i="1"/>
  <c r="K3402" i="1"/>
  <c r="P3402" i="1"/>
  <c r="R3402" i="1"/>
  <c r="AM3402" i="1"/>
  <c r="BL3402" i="1"/>
  <c r="BW3402" i="1"/>
  <c r="CH3402" i="1"/>
  <c r="CS3402" i="1"/>
  <c r="K3403" i="1"/>
  <c r="P3403" i="1"/>
  <c r="R3403" i="1"/>
  <c r="BL3403" i="1"/>
  <c r="BW3403" i="1"/>
  <c r="CH3403" i="1"/>
  <c r="CS3403" i="1"/>
  <c r="K3404" i="1"/>
  <c r="P3404" i="1"/>
  <c r="R3404" i="1"/>
  <c r="BL3404" i="1"/>
  <c r="BW3404" i="1"/>
  <c r="CH3404" i="1"/>
  <c r="CS3404" i="1"/>
  <c r="K3405" i="1"/>
  <c r="P3405" i="1"/>
  <c r="R3405" i="1"/>
  <c r="BL3405" i="1"/>
  <c r="BW3405" i="1"/>
  <c r="CH3405" i="1"/>
  <c r="CS3405" i="1"/>
  <c r="K3406" i="1"/>
  <c r="P3406" i="1"/>
  <c r="R3406" i="1"/>
  <c r="BL3406" i="1"/>
  <c r="BW3406" i="1"/>
  <c r="CH3406" i="1"/>
  <c r="CS3406" i="1"/>
  <c r="K3407" i="1"/>
  <c r="P3407" i="1"/>
  <c r="R3407" i="1"/>
  <c r="BL3407" i="1"/>
  <c r="BW3407" i="1"/>
  <c r="CH3407" i="1"/>
  <c r="CS3407" i="1"/>
  <c r="K3408" i="1"/>
  <c r="P3408" i="1"/>
  <c r="R3408" i="1"/>
  <c r="BL3408" i="1"/>
  <c r="BW3408" i="1"/>
  <c r="CH3408" i="1"/>
  <c r="CS3408" i="1"/>
  <c r="K3409" i="1"/>
  <c r="P3409" i="1"/>
  <c r="R3409" i="1"/>
  <c r="BL3409" i="1"/>
  <c r="BW3409" i="1"/>
  <c r="CH3409" i="1"/>
  <c r="CS3409" i="1"/>
  <c r="K3410" i="1"/>
  <c r="P3410" i="1"/>
  <c r="R3410" i="1"/>
  <c r="BL3410" i="1"/>
  <c r="BW3410" i="1"/>
  <c r="CH3410" i="1"/>
  <c r="CS3410" i="1"/>
  <c r="K3411" i="1"/>
  <c r="P3411" i="1"/>
  <c r="R3411" i="1"/>
  <c r="BL3411" i="1"/>
  <c r="BW3411" i="1"/>
  <c r="CH3411" i="1"/>
  <c r="CS3411" i="1"/>
  <c r="K3412" i="1"/>
  <c r="P3412" i="1"/>
  <c r="R3412" i="1"/>
  <c r="BL3412" i="1"/>
  <c r="BW3412" i="1"/>
  <c r="CH3412" i="1"/>
  <c r="CS3412" i="1"/>
  <c r="K3413" i="1"/>
  <c r="P3413" i="1"/>
  <c r="R3413" i="1"/>
  <c r="BL3413" i="1"/>
  <c r="BW3413" i="1"/>
  <c r="CH3413" i="1"/>
  <c r="CS3413" i="1"/>
  <c r="K3414" i="1"/>
  <c r="P3414" i="1"/>
  <c r="R3414" i="1"/>
  <c r="BL3414" i="1"/>
  <c r="BW3414" i="1"/>
  <c r="CH3414" i="1"/>
  <c r="CS3414" i="1"/>
  <c r="K3415" i="1"/>
  <c r="P3415" i="1"/>
  <c r="R3415" i="1"/>
  <c r="BL3415" i="1"/>
  <c r="BW3415" i="1"/>
  <c r="CH3415" i="1"/>
  <c r="CS3415" i="1"/>
  <c r="K3416" i="1"/>
  <c r="P3416" i="1"/>
  <c r="R3416" i="1"/>
  <c r="BL3416" i="1"/>
  <c r="BW3416" i="1"/>
  <c r="CH3416" i="1"/>
  <c r="CS3416" i="1"/>
  <c r="K3417" i="1"/>
  <c r="P3417" i="1"/>
  <c r="R3417" i="1"/>
  <c r="BL3417" i="1"/>
  <c r="BW3417" i="1"/>
  <c r="CH3417" i="1"/>
  <c r="CS3417" i="1"/>
  <c r="K3418" i="1"/>
  <c r="P3418" i="1"/>
  <c r="R3418" i="1"/>
  <c r="BL3418" i="1"/>
  <c r="BW3418" i="1"/>
  <c r="CH3418" i="1"/>
  <c r="CS3418" i="1"/>
  <c r="K3419" i="1"/>
  <c r="P3419" i="1"/>
  <c r="R3419" i="1"/>
  <c r="BL3419" i="1"/>
  <c r="BW3419" i="1"/>
  <c r="CH3419" i="1"/>
  <c r="CS3419" i="1"/>
  <c r="K3420" i="1"/>
  <c r="P3420" i="1"/>
  <c r="R3420" i="1"/>
  <c r="BL3420" i="1"/>
  <c r="BW3420" i="1"/>
  <c r="CH3420" i="1"/>
  <c r="CS3420" i="1"/>
  <c r="K3421" i="1"/>
  <c r="P3421" i="1"/>
  <c r="R3421" i="1"/>
  <c r="BL3421" i="1"/>
  <c r="BW3421" i="1"/>
  <c r="CH3421" i="1"/>
  <c r="CS3421" i="1"/>
  <c r="K3422" i="1"/>
  <c r="P3422" i="1"/>
  <c r="R3422" i="1"/>
  <c r="BL3422" i="1"/>
  <c r="BW3422" i="1"/>
  <c r="CH3422" i="1"/>
  <c r="CS3422" i="1"/>
  <c r="K3423" i="1"/>
  <c r="P3423" i="1"/>
  <c r="R3423" i="1"/>
  <c r="BL3423" i="1"/>
  <c r="BW3423" i="1"/>
  <c r="CH3423" i="1"/>
  <c r="CS3423" i="1"/>
  <c r="K3424" i="1"/>
  <c r="P3424" i="1"/>
  <c r="R3424" i="1"/>
  <c r="BL3424" i="1"/>
  <c r="BW3424" i="1"/>
  <c r="CH3424" i="1"/>
  <c r="CS3424" i="1"/>
  <c r="K3425" i="1"/>
  <c r="P3425" i="1"/>
  <c r="R3425" i="1"/>
  <c r="BL3425" i="1"/>
  <c r="BW3425" i="1"/>
  <c r="CH3425" i="1"/>
  <c r="CS3425" i="1"/>
  <c r="K3426" i="1"/>
  <c r="P3426" i="1"/>
  <c r="R3426" i="1"/>
  <c r="BL3426" i="1"/>
  <c r="BW3426" i="1"/>
  <c r="CH3426" i="1"/>
  <c r="CS3426" i="1"/>
  <c r="K3427" i="1"/>
  <c r="P3427" i="1"/>
  <c r="R3427" i="1"/>
  <c r="BL3427" i="1"/>
  <c r="BW3427" i="1"/>
  <c r="CH3427" i="1"/>
  <c r="CS3427" i="1"/>
  <c r="K3428" i="1"/>
  <c r="P3428" i="1"/>
  <c r="R3428" i="1"/>
  <c r="BL3428" i="1"/>
  <c r="BW3428" i="1"/>
  <c r="CH3428" i="1"/>
  <c r="CS3428" i="1"/>
  <c r="K3429" i="1"/>
  <c r="P3429" i="1"/>
  <c r="R3429" i="1"/>
  <c r="BL3429" i="1"/>
  <c r="BW3429" i="1"/>
  <c r="CH3429" i="1"/>
  <c r="CS3429" i="1"/>
  <c r="K3430" i="1"/>
  <c r="P3430" i="1"/>
  <c r="R3430" i="1"/>
  <c r="BL3430" i="1"/>
  <c r="BW3430" i="1"/>
  <c r="CH3430" i="1"/>
  <c r="CS3430" i="1"/>
  <c r="K3431" i="1"/>
  <c r="P3431" i="1"/>
  <c r="R3431" i="1"/>
  <c r="BL3431" i="1"/>
  <c r="BW3431" i="1"/>
  <c r="CH3431" i="1"/>
  <c r="CS3431" i="1"/>
  <c r="K3432" i="1"/>
  <c r="P3432" i="1"/>
  <c r="R3432" i="1"/>
  <c r="BL3432" i="1"/>
  <c r="BW3432" i="1"/>
  <c r="CH3432" i="1"/>
  <c r="CS3432" i="1"/>
  <c r="K3433" i="1"/>
  <c r="P3433" i="1"/>
  <c r="R3433" i="1"/>
  <c r="BL3433" i="1"/>
  <c r="BW3433" i="1"/>
  <c r="CH3433" i="1"/>
  <c r="CS3433" i="1"/>
  <c r="K3434" i="1"/>
  <c r="P3434" i="1"/>
  <c r="R3434" i="1"/>
  <c r="BL3434" i="1"/>
  <c r="BW3434" i="1"/>
  <c r="CH3434" i="1"/>
  <c r="CS3434" i="1"/>
  <c r="K3435" i="1"/>
  <c r="P3435" i="1"/>
  <c r="R3435" i="1"/>
  <c r="BL3435" i="1"/>
  <c r="BW3435" i="1"/>
  <c r="CH3435" i="1"/>
  <c r="CS3435" i="1"/>
  <c r="K3436" i="1"/>
  <c r="P3436" i="1"/>
  <c r="R3436" i="1"/>
  <c r="BL3436" i="1"/>
  <c r="BW3436" i="1"/>
  <c r="CH3436" i="1"/>
  <c r="CS3436" i="1"/>
  <c r="K3437" i="1"/>
  <c r="P3437" i="1"/>
  <c r="R3437" i="1"/>
  <c r="BL3437" i="1"/>
  <c r="BW3437" i="1"/>
  <c r="CH3437" i="1"/>
  <c r="CS3437" i="1"/>
  <c r="K3438" i="1"/>
  <c r="P3438" i="1"/>
  <c r="R3438" i="1"/>
  <c r="BL3438" i="1"/>
  <c r="BW3438" i="1"/>
  <c r="CH3438" i="1"/>
  <c r="CS3438" i="1"/>
  <c r="K3439" i="1"/>
  <c r="P3439" i="1"/>
  <c r="R3439" i="1"/>
  <c r="BL3439" i="1"/>
  <c r="BW3439" i="1"/>
  <c r="CH3439" i="1"/>
  <c r="CS3439" i="1"/>
  <c r="K3440" i="1"/>
  <c r="P3440" i="1"/>
  <c r="R3440" i="1"/>
  <c r="BL3440" i="1"/>
  <c r="BW3440" i="1"/>
  <c r="CH3440" i="1"/>
  <c r="CS3440" i="1"/>
  <c r="K3441" i="1"/>
  <c r="P3441" i="1"/>
  <c r="R3441" i="1"/>
  <c r="BL3441" i="1"/>
  <c r="BW3441" i="1"/>
  <c r="CH3441" i="1"/>
  <c r="CS3441" i="1"/>
  <c r="K3442" i="1"/>
  <c r="P3442" i="1"/>
  <c r="R3442" i="1"/>
  <c r="BL3442" i="1"/>
  <c r="BW3442" i="1"/>
  <c r="CH3442" i="1"/>
  <c r="CS3442" i="1"/>
  <c r="K3443" i="1"/>
  <c r="P3443" i="1"/>
  <c r="R3443" i="1"/>
  <c r="BL3443" i="1"/>
  <c r="BW3443" i="1"/>
  <c r="CH3443" i="1"/>
  <c r="CS3443" i="1"/>
  <c r="K3444" i="1"/>
  <c r="P3444" i="1"/>
  <c r="R3444" i="1"/>
  <c r="BL3444" i="1"/>
  <c r="BW3444" i="1"/>
  <c r="CH3444" i="1"/>
  <c r="CS3444" i="1"/>
  <c r="K3445" i="1"/>
  <c r="P3445" i="1"/>
  <c r="R3445" i="1"/>
  <c r="BL3445" i="1"/>
  <c r="BW3445" i="1"/>
  <c r="CH3445" i="1"/>
  <c r="CS3445" i="1"/>
  <c r="K3446" i="1"/>
  <c r="P3446" i="1"/>
  <c r="R3446" i="1"/>
  <c r="BL3446" i="1"/>
  <c r="BW3446" i="1"/>
  <c r="CH3446" i="1"/>
  <c r="CS3446" i="1"/>
  <c r="K3447" i="1"/>
  <c r="P3447" i="1"/>
  <c r="R3447" i="1"/>
  <c r="BL3447" i="1"/>
  <c r="BW3447" i="1"/>
  <c r="CH3447" i="1"/>
  <c r="CS3447" i="1"/>
  <c r="K3448" i="1"/>
  <c r="P3448" i="1"/>
  <c r="R3448" i="1"/>
  <c r="BL3448" i="1"/>
  <c r="BW3448" i="1"/>
  <c r="CH3448" i="1"/>
  <c r="CS3448" i="1"/>
  <c r="K3449" i="1"/>
  <c r="P3449" i="1"/>
  <c r="R3449" i="1"/>
  <c r="BL3449" i="1"/>
  <c r="BW3449" i="1"/>
  <c r="CH3449" i="1"/>
  <c r="CS3449" i="1"/>
  <c r="K3450" i="1"/>
  <c r="P3450" i="1"/>
  <c r="R3450" i="1"/>
  <c r="BL3450" i="1"/>
  <c r="BW3450" i="1"/>
  <c r="CH3450" i="1"/>
  <c r="CS3450" i="1"/>
  <c r="K3451" i="1"/>
  <c r="P3451" i="1"/>
  <c r="R3451" i="1"/>
  <c r="BL3451" i="1"/>
  <c r="BW3451" i="1"/>
  <c r="CH3451" i="1"/>
  <c r="CS3451" i="1"/>
  <c r="K3452" i="1"/>
  <c r="P3452" i="1"/>
  <c r="R3452" i="1"/>
  <c r="BL3452" i="1"/>
  <c r="BW3452" i="1"/>
  <c r="CH3452" i="1"/>
  <c r="CS3452" i="1"/>
  <c r="K3453" i="1"/>
  <c r="P3453" i="1"/>
  <c r="R3453" i="1"/>
  <c r="BL3453" i="1"/>
  <c r="BW3453" i="1"/>
  <c r="CH3453" i="1"/>
  <c r="CS3453" i="1"/>
  <c r="K3454" i="1"/>
  <c r="P3454" i="1"/>
  <c r="R3454" i="1"/>
  <c r="BL3454" i="1"/>
  <c r="BW3454" i="1"/>
  <c r="CH3454" i="1"/>
  <c r="CS3454" i="1"/>
  <c r="K3455" i="1"/>
  <c r="P3455" i="1"/>
  <c r="R3455" i="1"/>
  <c r="BL3455" i="1"/>
  <c r="BQ3455" i="1"/>
  <c r="BW3455" i="1"/>
  <c r="CH3455" i="1"/>
  <c r="CS3455" i="1"/>
  <c r="K3456" i="1"/>
  <c r="P3456" i="1"/>
  <c r="R3456" i="1"/>
  <c r="BL3456" i="1"/>
  <c r="BW3456" i="1"/>
  <c r="CH3456" i="1"/>
  <c r="CS3456" i="1"/>
  <c r="K3457" i="1"/>
  <c r="P3457" i="1"/>
  <c r="R3457" i="1"/>
  <c r="BL3457" i="1"/>
  <c r="BW3457" i="1"/>
  <c r="CH3457" i="1"/>
  <c r="CS3457" i="1"/>
  <c r="K3458" i="1"/>
  <c r="P3458" i="1"/>
  <c r="R3458" i="1"/>
  <c r="BL3458" i="1"/>
  <c r="BW3458" i="1"/>
  <c r="CH3458" i="1"/>
  <c r="CS3458" i="1"/>
  <c r="K3459" i="1"/>
  <c r="P3459" i="1"/>
  <c r="R3459" i="1"/>
  <c r="BL3459" i="1"/>
  <c r="BW3459" i="1"/>
  <c r="CH3459" i="1"/>
  <c r="CS3459" i="1"/>
  <c r="K3460" i="1"/>
  <c r="P3460" i="1"/>
  <c r="R3460" i="1"/>
  <c r="BL3460" i="1"/>
  <c r="BW3460" i="1"/>
  <c r="CH3460" i="1"/>
  <c r="CS3460" i="1"/>
  <c r="K3461" i="1"/>
  <c r="P3461" i="1"/>
  <c r="R3461" i="1"/>
  <c r="BL3461" i="1"/>
  <c r="BW3461" i="1"/>
  <c r="CH3461" i="1"/>
  <c r="CS3461" i="1"/>
  <c r="K3462" i="1"/>
  <c r="P3462" i="1"/>
  <c r="R3462" i="1"/>
  <c r="BL3462" i="1"/>
  <c r="BW3462" i="1"/>
  <c r="CH3462" i="1"/>
  <c r="CS3462" i="1"/>
  <c r="K3463" i="1"/>
  <c r="P3463" i="1"/>
  <c r="R3463" i="1"/>
  <c r="BL3463" i="1"/>
  <c r="BW3463" i="1"/>
  <c r="CH3463" i="1"/>
  <c r="CS3463" i="1"/>
  <c r="K3464" i="1"/>
  <c r="P3464" i="1"/>
  <c r="R3464" i="1"/>
  <c r="BL3464" i="1"/>
  <c r="BW3464" i="1"/>
  <c r="CH3464" i="1"/>
  <c r="CS3464" i="1"/>
  <c r="K3465" i="1"/>
  <c r="P3465" i="1"/>
  <c r="R3465" i="1"/>
  <c r="BL3465" i="1"/>
  <c r="BW3465" i="1"/>
  <c r="CH3465" i="1"/>
  <c r="CS3465" i="1"/>
  <c r="K3466" i="1"/>
  <c r="P3466" i="1"/>
  <c r="R3466" i="1"/>
  <c r="BL3466" i="1"/>
  <c r="BW3466" i="1"/>
  <c r="CH3466" i="1"/>
  <c r="CS3466" i="1"/>
  <c r="K3467" i="1"/>
  <c r="P3467" i="1"/>
  <c r="R3467" i="1"/>
  <c r="BL3467" i="1"/>
  <c r="BW3467" i="1"/>
  <c r="CH3467" i="1"/>
  <c r="CS3467" i="1"/>
  <c r="K3468" i="1"/>
  <c r="P3468" i="1"/>
  <c r="R3468" i="1"/>
  <c r="BL3468" i="1"/>
  <c r="BW3468" i="1"/>
  <c r="CH3468" i="1"/>
  <c r="CS3468" i="1"/>
  <c r="K3469" i="1"/>
  <c r="P3469" i="1"/>
  <c r="R3469" i="1"/>
  <c r="BL3469" i="1"/>
  <c r="BW3469" i="1"/>
  <c r="CH3469" i="1"/>
  <c r="CS3469" i="1"/>
  <c r="K3470" i="1"/>
  <c r="P3470" i="1"/>
  <c r="R3470" i="1"/>
  <c r="BL3470" i="1"/>
  <c r="BW3470" i="1"/>
  <c r="CH3470" i="1"/>
  <c r="CS3470" i="1"/>
  <c r="K3471" i="1"/>
  <c r="P3471" i="1"/>
  <c r="R3471" i="1"/>
  <c r="BL3471" i="1"/>
  <c r="BW3471" i="1"/>
  <c r="CH3471" i="1"/>
  <c r="CS3471" i="1"/>
  <c r="K3472" i="1"/>
  <c r="P3472" i="1"/>
  <c r="R3472" i="1"/>
  <c r="BL3472" i="1"/>
  <c r="BW3472" i="1"/>
  <c r="CH3472" i="1"/>
  <c r="CS3472" i="1"/>
  <c r="K3473" i="1"/>
  <c r="P3473" i="1"/>
  <c r="R3473" i="1"/>
  <c r="BL3473" i="1"/>
  <c r="BW3473" i="1"/>
  <c r="CH3473" i="1"/>
  <c r="CS3473" i="1"/>
  <c r="K3474" i="1"/>
  <c r="P3474" i="1"/>
  <c r="R3474" i="1"/>
  <c r="BL3474" i="1"/>
  <c r="BW3474" i="1"/>
  <c r="CH3474" i="1"/>
  <c r="CS3474" i="1"/>
  <c r="K3475" i="1"/>
  <c r="P3475" i="1"/>
  <c r="R3475" i="1"/>
  <c r="BL3475" i="1"/>
  <c r="BW3475" i="1"/>
  <c r="CH3475" i="1"/>
  <c r="CS3475" i="1"/>
  <c r="K3476" i="1"/>
  <c r="P3476" i="1"/>
  <c r="R3476" i="1"/>
  <c r="BL3476" i="1"/>
  <c r="BW3476" i="1"/>
  <c r="CH3476" i="1"/>
  <c r="CS3476" i="1"/>
  <c r="K3477" i="1"/>
  <c r="P3477" i="1"/>
  <c r="R3477" i="1"/>
  <c r="BL3477" i="1"/>
  <c r="BW3477" i="1"/>
  <c r="CH3477" i="1"/>
  <c r="CS3477" i="1"/>
  <c r="K3478" i="1"/>
  <c r="P3478" i="1"/>
  <c r="R3478" i="1"/>
  <c r="BL3478" i="1"/>
  <c r="BW3478" i="1"/>
  <c r="CH3478" i="1"/>
  <c r="CS3478" i="1"/>
  <c r="K3479" i="1"/>
  <c r="P3479" i="1"/>
  <c r="R3479" i="1"/>
  <c r="BL3479" i="1"/>
  <c r="BW3479" i="1"/>
  <c r="CH3479" i="1"/>
  <c r="CS3479" i="1"/>
  <c r="K3480" i="1"/>
  <c r="P3480" i="1"/>
  <c r="R3480" i="1"/>
  <c r="BL3480" i="1"/>
  <c r="BW3480" i="1"/>
  <c r="CH3480" i="1"/>
  <c r="CS3480" i="1"/>
  <c r="K3481" i="1"/>
  <c r="P3481" i="1"/>
  <c r="R3481" i="1"/>
  <c r="BL3481" i="1"/>
  <c r="BW3481" i="1"/>
  <c r="CH3481" i="1"/>
  <c r="CS3481" i="1"/>
  <c r="K3482" i="1"/>
  <c r="P3482" i="1"/>
  <c r="R3482" i="1"/>
  <c r="BL3482" i="1"/>
  <c r="BW3482" i="1"/>
  <c r="CH3482" i="1"/>
  <c r="CS3482" i="1"/>
  <c r="K3483" i="1"/>
  <c r="P3483" i="1"/>
  <c r="R3483" i="1"/>
  <c r="BL3483" i="1"/>
  <c r="BW3483" i="1"/>
  <c r="CH3483" i="1"/>
  <c r="CS3483" i="1"/>
  <c r="K3484" i="1"/>
  <c r="P3484" i="1"/>
  <c r="R3484" i="1"/>
  <c r="BL3484" i="1"/>
  <c r="BW3484" i="1"/>
  <c r="CH3484" i="1"/>
  <c r="CS3484" i="1"/>
  <c r="K3485" i="1"/>
  <c r="P3485" i="1"/>
  <c r="R3485" i="1"/>
  <c r="BL3485" i="1"/>
  <c r="BW3485" i="1"/>
  <c r="CH3485" i="1"/>
  <c r="CS3485" i="1"/>
  <c r="K3486" i="1"/>
  <c r="P3486" i="1"/>
  <c r="R3486" i="1"/>
  <c r="BL3486" i="1"/>
  <c r="BW3486" i="1"/>
  <c r="CH3486" i="1"/>
  <c r="CS3486" i="1"/>
  <c r="K3487" i="1"/>
  <c r="P3487" i="1"/>
  <c r="R3487" i="1"/>
  <c r="BL3487" i="1"/>
  <c r="BW3487" i="1"/>
  <c r="CH3487" i="1"/>
  <c r="CS3487" i="1"/>
  <c r="K3488" i="1"/>
  <c r="P3488" i="1"/>
  <c r="R3488" i="1"/>
  <c r="BL3488" i="1"/>
  <c r="BW3488" i="1"/>
  <c r="CH3488" i="1"/>
  <c r="CS3488" i="1"/>
  <c r="K3489" i="1"/>
  <c r="P3489" i="1"/>
  <c r="R3489" i="1"/>
  <c r="BL3489" i="1"/>
  <c r="BW3489" i="1"/>
  <c r="CH3489" i="1"/>
  <c r="CS3489" i="1"/>
  <c r="K3490" i="1"/>
  <c r="P3490" i="1"/>
  <c r="R3490" i="1"/>
  <c r="BL3490" i="1"/>
  <c r="BW3490" i="1"/>
  <c r="CH3490" i="1"/>
  <c r="CS3490" i="1"/>
  <c r="K3491" i="1"/>
  <c r="P3491" i="1"/>
  <c r="R3491" i="1"/>
  <c r="BL3491" i="1"/>
  <c r="BW3491" i="1"/>
  <c r="CH3491" i="1"/>
  <c r="CS3491" i="1"/>
  <c r="K3492" i="1"/>
  <c r="P3492" i="1"/>
  <c r="R3492" i="1"/>
  <c r="BL3492" i="1"/>
  <c r="BW3492" i="1"/>
  <c r="CH3492" i="1"/>
  <c r="CS3492" i="1"/>
  <c r="K3493" i="1"/>
  <c r="P3493" i="1"/>
  <c r="R3493" i="1"/>
  <c r="BL3493" i="1"/>
  <c r="BW3493" i="1"/>
  <c r="CH3493" i="1"/>
  <c r="CS3493" i="1"/>
  <c r="K3494" i="1"/>
  <c r="P3494" i="1"/>
  <c r="R3494" i="1"/>
  <c r="BL3494" i="1"/>
  <c r="BW3494" i="1"/>
  <c r="CH3494" i="1"/>
  <c r="CS3494" i="1"/>
  <c r="K3495" i="1"/>
  <c r="P3495" i="1"/>
  <c r="R3495" i="1"/>
  <c r="BL3495" i="1"/>
  <c r="BW3495" i="1"/>
  <c r="CH3495" i="1"/>
  <c r="CS3495" i="1"/>
  <c r="K3496" i="1"/>
  <c r="P3496" i="1"/>
  <c r="R3496" i="1"/>
  <c r="BL3496" i="1"/>
  <c r="BW3496" i="1"/>
  <c r="CH3496" i="1"/>
  <c r="CS3496" i="1"/>
  <c r="K3497" i="1"/>
  <c r="P3497" i="1"/>
  <c r="R3497" i="1"/>
  <c r="BL3497" i="1"/>
  <c r="BW3497" i="1"/>
  <c r="CH3497" i="1"/>
  <c r="CS3497" i="1"/>
  <c r="K3498" i="1"/>
  <c r="P3498" i="1"/>
  <c r="R3498" i="1"/>
  <c r="BL3498" i="1"/>
  <c r="BW3498" i="1"/>
  <c r="CH3498" i="1"/>
  <c r="CS3498" i="1"/>
  <c r="K3499" i="1"/>
  <c r="P3499" i="1"/>
  <c r="R3499" i="1"/>
  <c r="BL3499" i="1"/>
  <c r="BW3499" i="1"/>
  <c r="CH3499" i="1"/>
  <c r="CS3499" i="1"/>
  <c r="K3500" i="1"/>
  <c r="P3500" i="1"/>
  <c r="R3500" i="1"/>
  <c r="BL3500" i="1"/>
  <c r="BQ3500" i="1"/>
  <c r="BW3500" i="1"/>
  <c r="CH3500" i="1"/>
  <c r="CS3500" i="1"/>
  <c r="K3501" i="1"/>
  <c r="P3501" i="1"/>
  <c r="R3501" i="1"/>
  <c r="BL3501" i="1"/>
  <c r="BW3501" i="1"/>
  <c r="CH3501" i="1"/>
  <c r="CS3501" i="1"/>
  <c r="K3502" i="1"/>
  <c r="P3502" i="1"/>
  <c r="R3502" i="1"/>
  <c r="BL3502" i="1"/>
  <c r="BW3502" i="1"/>
  <c r="CH3502" i="1"/>
  <c r="CS3502" i="1"/>
  <c r="K3503" i="1"/>
  <c r="P3503" i="1"/>
  <c r="R3503" i="1"/>
  <c r="BL3503" i="1"/>
  <c r="BW3503" i="1"/>
  <c r="CH3503" i="1"/>
  <c r="CS3503" i="1"/>
  <c r="K3504" i="1"/>
  <c r="P3504" i="1"/>
  <c r="R3504" i="1"/>
  <c r="BL3504" i="1"/>
  <c r="BW3504" i="1"/>
  <c r="CH3504" i="1"/>
  <c r="CS3504" i="1"/>
  <c r="K3505" i="1"/>
  <c r="P3505" i="1"/>
  <c r="R3505" i="1"/>
  <c r="BL3505" i="1"/>
  <c r="BW3505" i="1"/>
  <c r="CH3505" i="1"/>
  <c r="CS3505" i="1"/>
  <c r="K3506" i="1"/>
  <c r="P3506" i="1"/>
  <c r="R3506" i="1"/>
  <c r="BL3506" i="1"/>
  <c r="BW3506" i="1"/>
  <c r="CH3506" i="1"/>
  <c r="CS3506" i="1"/>
  <c r="K3507" i="1"/>
  <c r="P3507" i="1"/>
  <c r="R3507" i="1"/>
  <c r="BL3507" i="1"/>
  <c r="BW3507" i="1"/>
  <c r="CH3507" i="1"/>
  <c r="CS3507" i="1"/>
  <c r="K3508" i="1"/>
  <c r="P3508" i="1"/>
  <c r="R3508" i="1"/>
  <c r="BL3508" i="1"/>
  <c r="BW3508" i="1"/>
  <c r="CH3508" i="1"/>
  <c r="CS3508" i="1"/>
  <c r="K3509" i="1"/>
  <c r="P3509" i="1"/>
  <c r="R3509" i="1"/>
  <c r="BL3509" i="1"/>
  <c r="BW3509" i="1"/>
  <c r="CH3509" i="1"/>
  <c r="CS3509" i="1"/>
  <c r="K3510" i="1"/>
  <c r="P3510" i="1"/>
  <c r="R3510" i="1"/>
  <c r="BL3510" i="1"/>
  <c r="BW3510" i="1"/>
  <c r="CH3510" i="1"/>
  <c r="CS3510" i="1"/>
  <c r="K3511" i="1"/>
  <c r="P3511" i="1"/>
  <c r="R3511" i="1"/>
  <c r="BL3511" i="1"/>
  <c r="BW3511" i="1"/>
  <c r="CH3511" i="1"/>
  <c r="CS3511" i="1"/>
  <c r="K3512" i="1"/>
  <c r="P3512" i="1"/>
  <c r="R3512" i="1"/>
  <c r="BL3512" i="1"/>
  <c r="BW3512" i="1"/>
  <c r="CH3512" i="1"/>
  <c r="CS3512" i="1"/>
  <c r="K3513" i="1"/>
  <c r="P3513" i="1"/>
  <c r="R3513" i="1"/>
  <c r="BL3513" i="1"/>
  <c r="BW3513" i="1"/>
  <c r="CH3513" i="1"/>
  <c r="CS3513" i="1"/>
  <c r="K3514" i="1"/>
  <c r="P3514" i="1"/>
  <c r="R3514" i="1"/>
  <c r="BL3514" i="1"/>
  <c r="BW3514" i="1"/>
  <c r="CH3514" i="1"/>
  <c r="CS3514" i="1"/>
  <c r="K3515" i="1"/>
  <c r="P3515" i="1"/>
  <c r="R3515" i="1"/>
  <c r="BL3515" i="1"/>
  <c r="BW3515" i="1"/>
  <c r="CH3515" i="1"/>
  <c r="CS3515" i="1"/>
  <c r="K3516" i="1"/>
  <c r="P3516" i="1"/>
  <c r="R3516" i="1"/>
  <c r="BL3516" i="1"/>
  <c r="BW3516" i="1"/>
  <c r="CH3516" i="1"/>
  <c r="CS3516" i="1"/>
  <c r="K3517" i="1"/>
  <c r="P3517" i="1"/>
  <c r="R3517" i="1"/>
  <c r="BL3517" i="1"/>
  <c r="BW3517" i="1"/>
  <c r="CH3517" i="1"/>
  <c r="CS3517" i="1"/>
  <c r="K3518" i="1"/>
  <c r="P3518" i="1"/>
  <c r="R3518" i="1"/>
  <c r="BL3518" i="1"/>
  <c r="BW3518" i="1"/>
  <c r="CH3518" i="1"/>
  <c r="CS3518" i="1"/>
  <c r="K3519" i="1"/>
  <c r="P3519" i="1"/>
  <c r="R3519" i="1"/>
  <c r="BL3519" i="1"/>
  <c r="BW3519" i="1"/>
  <c r="CH3519" i="1"/>
  <c r="CS3519" i="1"/>
  <c r="K3520" i="1"/>
  <c r="P3520" i="1"/>
  <c r="R3520" i="1"/>
  <c r="BL3520" i="1"/>
  <c r="BW3520" i="1"/>
  <c r="CH3520" i="1"/>
  <c r="CS3520" i="1"/>
  <c r="K3521" i="1"/>
  <c r="P3521" i="1"/>
  <c r="R3521" i="1"/>
  <c r="BL3521" i="1"/>
  <c r="BW3521" i="1"/>
  <c r="CH3521" i="1"/>
  <c r="CS3521" i="1"/>
  <c r="K3522" i="1"/>
  <c r="P3522" i="1"/>
  <c r="R3522" i="1"/>
  <c r="BL3522" i="1"/>
  <c r="BW3522" i="1"/>
  <c r="CH3522" i="1"/>
  <c r="CS3522" i="1"/>
  <c r="K3523" i="1"/>
  <c r="P3523" i="1"/>
  <c r="R3523" i="1"/>
  <c r="BL3523" i="1"/>
  <c r="BW3523" i="1"/>
  <c r="CH3523" i="1"/>
  <c r="CS3523" i="1"/>
  <c r="K3524" i="1"/>
  <c r="P3524" i="1"/>
  <c r="R3524" i="1"/>
  <c r="BL3524" i="1"/>
  <c r="BW3524" i="1"/>
  <c r="CH3524" i="1"/>
  <c r="CS3524" i="1"/>
  <c r="K3525" i="1"/>
  <c r="P3525" i="1"/>
  <c r="R3525" i="1"/>
  <c r="BL3525" i="1"/>
  <c r="BW3525" i="1"/>
  <c r="CH3525" i="1"/>
  <c r="CS3525" i="1"/>
  <c r="K3526" i="1"/>
  <c r="P3526" i="1"/>
  <c r="R3526" i="1"/>
  <c r="BL3526" i="1"/>
  <c r="BW3526" i="1"/>
  <c r="CH3526" i="1"/>
  <c r="CS3526" i="1"/>
  <c r="K3527" i="1"/>
  <c r="P3527" i="1"/>
  <c r="R3527" i="1"/>
  <c r="BL3527" i="1"/>
  <c r="BW3527" i="1"/>
  <c r="CH3527" i="1"/>
  <c r="CS3527" i="1"/>
  <c r="K3528" i="1"/>
  <c r="P3528" i="1"/>
  <c r="R3528" i="1"/>
  <c r="BL3528" i="1"/>
  <c r="BW3528" i="1"/>
  <c r="CH3528" i="1"/>
  <c r="CS3528" i="1"/>
  <c r="K3529" i="1"/>
  <c r="P3529" i="1"/>
  <c r="R3529" i="1"/>
  <c r="BL3529" i="1"/>
  <c r="BW3529" i="1"/>
  <c r="CH3529" i="1"/>
  <c r="CS3529" i="1"/>
  <c r="K3530" i="1"/>
  <c r="P3530" i="1"/>
  <c r="R3530" i="1"/>
  <c r="BL3530" i="1"/>
  <c r="BW3530" i="1"/>
  <c r="CH3530" i="1"/>
  <c r="CS3530" i="1"/>
  <c r="K3531" i="1"/>
  <c r="P3531" i="1"/>
  <c r="R3531" i="1"/>
  <c r="BL3531" i="1"/>
  <c r="BW3531" i="1"/>
  <c r="CH3531" i="1"/>
  <c r="CS3531" i="1"/>
  <c r="K3532" i="1"/>
  <c r="P3532" i="1"/>
  <c r="R3532" i="1"/>
  <c r="BL3532" i="1"/>
  <c r="BW3532" i="1"/>
  <c r="CH3532" i="1"/>
  <c r="CS3532" i="1"/>
  <c r="K3533" i="1"/>
  <c r="P3533" i="1"/>
  <c r="R3533" i="1"/>
  <c r="BL3533" i="1"/>
  <c r="BW3533" i="1"/>
  <c r="CH3533" i="1"/>
  <c r="CS3533" i="1"/>
  <c r="K3534" i="1"/>
  <c r="P3534" i="1"/>
  <c r="R3534" i="1"/>
  <c r="BL3534" i="1"/>
  <c r="BW3534" i="1"/>
  <c r="CH3534" i="1"/>
  <c r="CS3534" i="1"/>
  <c r="K3535" i="1"/>
  <c r="P3535" i="1"/>
  <c r="R3535" i="1"/>
  <c r="BL3535" i="1"/>
  <c r="BW3535" i="1"/>
  <c r="CH3535" i="1"/>
  <c r="CS3535" i="1"/>
  <c r="K3536" i="1"/>
  <c r="P3536" i="1"/>
  <c r="R3536" i="1"/>
  <c r="BL3536" i="1"/>
  <c r="BW3536" i="1"/>
  <c r="CH3536" i="1"/>
  <c r="CS3536" i="1"/>
  <c r="K3537" i="1"/>
  <c r="P3537" i="1"/>
  <c r="R3537" i="1"/>
  <c r="BL3537" i="1"/>
  <c r="BW3537" i="1"/>
  <c r="CH3537" i="1"/>
  <c r="CS3537" i="1"/>
  <c r="K3538" i="1"/>
  <c r="P3538" i="1"/>
  <c r="R3538" i="1"/>
  <c r="BL3538" i="1"/>
  <c r="BW3538" i="1"/>
  <c r="CH3538" i="1"/>
  <c r="CS3538" i="1"/>
  <c r="K3539" i="1"/>
  <c r="P3539" i="1"/>
  <c r="R3539" i="1"/>
  <c r="BL3539" i="1"/>
  <c r="BW3539" i="1"/>
  <c r="CH3539" i="1"/>
  <c r="CS3539" i="1"/>
  <c r="K3540" i="1"/>
  <c r="P3540" i="1"/>
  <c r="R3540" i="1"/>
  <c r="BL3540" i="1"/>
  <c r="BW3540" i="1"/>
  <c r="CH3540" i="1"/>
  <c r="CS3540" i="1"/>
  <c r="K3541" i="1"/>
  <c r="P3541" i="1"/>
  <c r="R3541" i="1"/>
  <c r="BL3541" i="1"/>
  <c r="BW3541" i="1"/>
  <c r="CH3541" i="1"/>
  <c r="CS3541" i="1"/>
  <c r="K3542" i="1"/>
  <c r="P3542" i="1"/>
  <c r="R3542" i="1"/>
  <c r="BL3542" i="1"/>
  <c r="BW3542" i="1"/>
  <c r="CH3542" i="1"/>
  <c r="CS3542" i="1"/>
  <c r="K3543" i="1"/>
  <c r="P3543" i="1"/>
  <c r="R3543" i="1"/>
  <c r="BL3543" i="1"/>
  <c r="BW3543" i="1"/>
  <c r="CH3543" i="1"/>
  <c r="CS3543" i="1"/>
  <c r="K3544" i="1"/>
  <c r="P3544" i="1"/>
  <c r="R3544" i="1"/>
  <c r="BL3544" i="1"/>
  <c r="BW3544" i="1"/>
  <c r="CH3544" i="1"/>
  <c r="CS3544" i="1"/>
  <c r="K3545" i="1"/>
  <c r="P3545" i="1"/>
  <c r="R3545" i="1"/>
  <c r="BL3545" i="1"/>
  <c r="BW3545" i="1"/>
  <c r="CH3545" i="1"/>
  <c r="CS3545" i="1"/>
  <c r="K3546" i="1"/>
  <c r="P3546" i="1"/>
  <c r="R3546" i="1"/>
  <c r="BL3546" i="1"/>
  <c r="BW3546" i="1"/>
  <c r="CH3546" i="1"/>
  <c r="CS3546" i="1"/>
  <c r="K3547" i="1"/>
  <c r="P3547" i="1"/>
  <c r="R3547" i="1"/>
  <c r="BL3547" i="1"/>
  <c r="BW3547" i="1"/>
  <c r="CH3547" i="1"/>
  <c r="CS3547" i="1"/>
  <c r="K3548" i="1"/>
  <c r="P3548" i="1"/>
  <c r="R3548" i="1"/>
  <c r="BL3548" i="1"/>
  <c r="BW3548" i="1"/>
  <c r="CH3548" i="1"/>
  <c r="CS3548" i="1"/>
  <c r="K3549" i="1"/>
  <c r="P3549" i="1"/>
  <c r="R3549" i="1"/>
  <c r="BL3549" i="1"/>
  <c r="BW3549" i="1"/>
  <c r="CH3549" i="1"/>
  <c r="CS3549" i="1"/>
  <c r="K3550" i="1"/>
  <c r="P3550" i="1"/>
  <c r="R3550" i="1"/>
  <c r="BL3550" i="1"/>
  <c r="BW3550" i="1"/>
  <c r="CH3550" i="1"/>
  <c r="CS3550" i="1"/>
  <c r="K3551" i="1"/>
  <c r="P3551" i="1"/>
  <c r="R3551" i="1"/>
  <c r="BL3551" i="1"/>
  <c r="BW3551" i="1"/>
  <c r="CH3551" i="1"/>
  <c r="CS3551" i="1"/>
  <c r="K3552" i="1"/>
  <c r="P3552" i="1"/>
  <c r="R3552" i="1"/>
  <c r="BL3552" i="1"/>
  <c r="BW3552" i="1"/>
  <c r="CH3552" i="1"/>
  <c r="CS3552" i="1"/>
  <c r="K3553" i="1"/>
  <c r="P3553" i="1"/>
  <c r="R3553" i="1"/>
  <c r="BL3553" i="1"/>
  <c r="BW3553" i="1"/>
  <c r="CH3553" i="1"/>
  <c r="CS3553" i="1"/>
  <c r="K3554" i="1"/>
  <c r="P3554" i="1"/>
  <c r="R3554" i="1"/>
  <c r="BL3554" i="1"/>
  <c r="BW3554" i="1"/>
  <c r="CH3554" i="1"/>
  <c r="CS3554" i="1"/>
  <c r="K3555" i="1"/>
  <c r="P3555" i="1"/>
  <c r="R3555" i="1"/>
  <c r="BL3555" i="1"/>
  <c r="BW3555" i="1"/>
  <c r="CH3555" i="1"/>
  <c r="CS3555" i="1"/>
  <c r="K3556" i="1"/>
  <c r="P3556" i="1"/>
  <c r="R3556" i="1"/>
  <c r="BL3556" i="1"/>
  <c r="BW3556" i="1"/>
  <c r="CH3556" i="1"/>
  <c r="CS3556" i="1"/>
  <c r="K3557" i="1"/>
  <c r="P3557" i="1"/>
  <c r="R3557" i="1"/>
  <c r="BL3557" i="1"/>
  <c r="BW3557" i="1"/>
  <c r="CH3557" i="1"/>
  <c r="CS3557" i="1"/>
  <c r="K3558" i="1"/>
  <c r="P3558" i="1"/>
  <c r="R3558" i="1"/>
  <c r="BL3558" i="1"/>
  <c r="BW3558" i="1"/>
  <c r="CH3558" i="1"/>
  <c r="CS3558" i="1"/>
  <c r="K3559" i="1"/>
  <c r="P3559" i="1"/>
  <c r="R3559" i="1"/>
  <c r="BL3559" i="1"/>
  <c r="BW3559" i="1"/>
  <c r="CH3559" i="1"/>
  <c r="CS3559" i="1"/>
  <c r="K3560" i="1"/>
  <c r="P3560" i="1"/>
  <c r="R3560" i="1"/>
  <c r="BL3560" i="1"/>
  <c r="BW3560" i="1"/>
  <c r="CH3560" i="1"/>
  <c r="CS3560" i="1"/>
  <c r="K3561" i="1"/>
  <c r="P3561" i="1"/>
  <c r="R3561" i="1"/>
  <c r="BL3561" i="1"/>
  <c r="BW3561" i="1"/>
  <c r="CH3561" i="1"/>
  <c r="CS3561" i="1"/>
  <c r="K3562" i="1"/>
  <c r="P3562" i="1"/>
  <c r="R3562" i="1"/>
  <c r="BL3562" i="1"/>
  <c r="BW3562" i="1"/>
  <c r="CH3562" i="1"/>
  <c r="CS3562" i="1"/>
  <c r="K3563" i="1"/>
  <c r="P3563" i="1"/>
  <c r="R3563" i="1"/>
  <c r="BL3563" i="1"/>
  <c r="BW3563" i="1"/>
  <c r="CH3563" i="1"/>
  <c r="CS3563" i="1"/>
  <c r="K3564" i="1"/>
  <c r="P3564" i="1"/>
  <c r="R3564" i="1"/>
  <c r="BL3564" i="1"/>
  <c r="BW3564" i="1"/>
  <c r="CH3564" i="1"/>
  <c r="CS3564" i="1"/>
  <c r="K3565" i="1"/>
  <c r="P3565" i="1"/>
  <c r="R3565" i="1"/>
  <c r="BL3565" i="1"/>
  <c r="BW3565" i="1"/>
  <c r="CH3565" i="1"/>
  <c r="CS3565" i="1"/>
  <c r="K3566" i="1"/>
  <c r="P3566" i="1"/>
  <c r="R3566" i="1"/>
  <c r="BL3566" i="1"/>
  <c r="BQ3566" i="1"/>
  <c r="BW3566" i="1"/>
  <c r="CH3566" i="1"/>
  <c r="CS3566" i="1"/>
  <c r="K3567" i="1"/>
  <c r="P3567" i="1"/>
  <c r="R3567" i="1"/>
  <c r="BL3567" i="1"/>
  <c r="BW3567" i="1"/>
  <c r="CH3567" i="1"/>
  <c r="CS3567" i="1"/>
  <c r="K3568" i="1"/>
  <c r="P3568" i="1"/>
  <c r="R3568" i="1"/>
  <c r="BL3568" i="1"/>
  <c r="BW3568" i="1"/>
  <c r="CH3568" i="1"/>
  <c r="CS3568" i="1"/>
  <c r="K3569" i="1"/>
  <c r="P3569" i="1"/>
  <c r="R3569" i="1"/>
  <c r="BL3569" i="1"/>
  <c r="BW3569" i="1"/>
  <c r="CH3569" i="1"/>
  <c r="CS3569" i="1"/>
  <c r="K3570" i="1"/>
  <c r="P3570" i="1"/>
  <c r="R3570" i="1"/>
  <c r="BL3570" i="1"/>
  <c r="BW3570" i="1"/>
  <c r="CH3570" i="1"/>
  <c r="CS3570" i="1"/>
  <c r="K3571" i="1"/>
  <c r="P3571" i="1"/>
  <c r="R3571" i="1"/>
  <c r="BL3571" i="1"/>
  <c r="BW3571" i="1"/>
  <c r="CH3571" i="1"/>
  <c r="CS3571" i="1"/>
  <c r="K3572" i="1"/>
  <c r="P3572" i="1"/>
  <c r="R3572" i="1"/>
  <c r="BL3572" i="1"/>
  <c r="BW3572" i="1"/>
  <c r="CH3572" i="1"/>
  <c r="CS3572" i="1"/>
  <c r="K3573" i="1"/>
  <c r="P3573" i="1"/>
  <c r="R3573" i="1"/>
  <c r="BL3573" i="1"/>
  <c r="BW3573" i="1"/>
  <c r="CH3573" i="1"/>
  <c r="CS3573" i="1"/>
  <c r="K3574" i="1"/>
  <c r="P3574" i="1"/>
  <c r="R3574" i="1"/>
  <c r="BL3574" i="1"/>
  <c r="BW3574" i="1"/>
  <c r="CH3574" i="1"/>
  <c r="CS3574" i="1"/>
  <c r="K3575" i="1"/>
  <c r="P3575" i="1"/>
  <c r="R3575" i="1"/>
  <c r="BL3575" i="1"/>
  <c r="BW3575" i="1"/>
  <c r="CH3575" i="1"/>
  <c r="CS3575" i="1"/>
  <c r="K3576" i="1"/>
  <c r="P3576" i="1"/>
  <c r="R3576" i="1"/>
  <c r="BL3576" i="1"/>
  <c r="BW3576" i="1"/>
  <c r="CH3576" i="1"/>
  <c r="CS3576" i="1"/>
  <c r="K3577" i="1"/>
  <c r="P3577" i="1"/>
  <c r="R3577" i="1"/>
  <c r="BL3577" i="1"/>
  <c r="BW3577" i="1"/>
  <c r="CH3577" i="1"/>
  <c r="CS3577" i="1"/>
  <c r="K3578" i="1"/>
  <c r="P3578" i="1"/>
  <c r="R3578" i="1"/>
  <c r="BL3578" i="1"/>
  <c r="BW3578" i="1"/>
  <c r="CH3578" i="1"/>
  <c r="CS3578" i="1"/>
  <c r="K3579" i="1"/>
  <c r="P3579" i="1"/>
  <c r="R3579" i="1"/>
  <c r="BL3579" i="1"/>
  <c r="BW3579" i="1"/>
  <c r="CH3579" i="1"/>
  <c r="CS3579" i="1"/>
  <c r="K3580" i="1"/>
  <c r="P3580" i="1"/>
  <c r="R3580" i="1"/>
  <c r="BL3580" i="1"/>
  <c r="BW3580" i="1"/>
  <c r="CH3580" i="1"/>
  <c r="CS3580" i="1"/>
  <c r="K3581" i="1"/>
  <c r="P3581" i="1"/>
  <c r="R3581" i="1"/>
  <c r="BL3581" i="1"/>
  <c r="BW3581" i="1"/>
  <c r="CH3581" i="1"/>
  <c r="CS3581" i="1"/>
  <c r="K3582" i="1"/>
  <c r="P3582" i="1"/>
  <c r="R3582" i="1"/>
  <c r="BL3582" i="1"/>
  <c r="BW3582" i="1"/>
  <c r="CH3582" i="1"/>
  <c r="CS3582" i="1"/>
  <c r="K3583" i="1"/>
  <c r="P3583" i="1"/>
  <c r="R3583" i="1"/>
  <c r="BL3583" i="1"/>
  <c r="BW3583" i="1"/>
  <c r="CH3583" i="1"/>
  <c r="CS3583" i="1"/>
  <c r="K3584" i="1"/>
  <c r="P3584" i="1"/>
  <c r="R3584" i="1"/>
  <c r="BL3584" i="1"/>
  <c r="BW3584" i="1"/>
  <c r="CH3584" i="1"/>
  <c r="CS3584" i="1"/>
  <c r="K3585" i="1"/>
  <c r="P3585" i="1"/>
  <c r="R3585" i="1"/>
  <c r="BL3585" i="1"/>
  <c r="BW3585" i="1"/>
  <c r="CH3585" i="1"/>
  <c r="CS3585" i="1"/>
  <c r="K3586" i="1"/>
  <c r="P3586" i="1"/>
  <c r="R3586" i="1"/>
  <c r="BL3586" i="1"/>
  <c r="BW3586" i="1"/>
  <c r="CH3586" i="1"/>
  <c r="CS3586" i="1"/>
  <c r="K3587" i="1"/>
  <c r="P3587" i="1"/>
  <c r="R3587" i="1"/>
  <c r="BL3587" i="1"/>
  <c r="BW3587" i="1"/>
  <c r="CH3587" i="1"/>
  <c r="CS3587" i="1"/>
  <c r="K3588" i="1"/>
  <c r="P3588" i="1"/>
  <c r="R3588" i="1"/>
  <c r="BL3588" i="1"/>
  <c r="BW3588" i="1"/>
  <c r="CH3588" i="1"/>
  <c r="CS3588" i="1"/>
  <c r="K3589" i="1"/>
  <c r="P3589" i="1"/>
  <c r="R3589" i="1"/>
  <c r="BL3589" i="1"/>
  <c r="BW3589" i="1"/>
  <c r="CH3589" i="1"/>
  <c r="CS3589" i="1"/>
  <c r="K3590" i="1"/>
  <c r="P3590" i="1"/>
  <c r="R3590" i="1"/>
  <c r="BL3590" i="1"/>
  <c r="BW3590" i="1"/>
  <c r="CH3590" i="1"/>
  <c r="CS3590" i="1"/>
  <c r="K3591" i="1"/>
  <c r="P3591" i="1"/>
  <c r="R3591" i="1"/>
  <c r="BL3591" i="1"/>
  <c r="BW3591" i="1"/>
  <c r="CH3591" i="1"/>
  <c r="CS3591" i="1"/>
  <c r="K3592" i="1"/>
  <c r="P3592" i="1"/>
  <c r="R3592" i="1"/>
  <c r="BL3592" i="1"/>
  <c r="BW3592" i="1"/>
  <c r="CH3592" i="1"/>
  <c r="CS3592" i="1"/>
  <c r="K3593" i="1"/>
  <c r="P3593" i="1"/>
  <c r="R3593" i="1"/>
  <c r="BL3593" i="1"/>
  <c r="BW3593" i="1"/>
  <c r="CH3593" i="1"/>
  <c r="CS3593" i="1"/>
  <c r="K3594" i="1"/>
  <c r="P3594" i="1"/>
  <c r="R3594" i="1"/>
  <c r="BL3594" i="1"/>
  <c r="BW3594" i="1"/>
  <c r="CH3594" i="1"/>
  <c r="CS3594" i="1"/>
  <c r="K3595" i="1"/>
  <c r="P3595" i="1"/>
  <c r="R3595" i="1"/>
  <c r="BL3595" i="1"/>
  <c r="BW3595" i="1"/>
  <c r="CH3595" i="1"/>
  <c r="CS3595" i="1"/>
  <c r="K3596" i="1"/>
  <c r="P3596" i="1"/>
  <c r="R3596" i="1"/>
  <c r="BL3596" i="1"/>
  <c r="BW3596" i="1"/>
  <c r="CH3596" i="1"/>
  <c r="CS3596" i="1"/>
  <c r="K3597" i="1"/>
  <c r="P3597" i="1"/>
  <c r="R3597" i="1"/>
  <c r="BL3597" i="1"/>
  <c r="BW3597" i="1"/>
  <c r="CH3597" i="1"/>
  <c r="CS3597" i="1"/>
  <c r="K3598" i="1"/>
  <c r="P3598" i="1"/>
  <c r="R3598" i="1"/>
  <c r="BL3598" i="1"/>
  <c r="BW3598" i="1"/>
  <c r="CH3598" i="1"/>
  <c r="CS3598" i="1"/>
  <c r="K3599" i="1"/>
  <c r="P3599" i="1"/>
  <c r="R3599" i="1"/>
  <c r="BL3599" i="1"/>
  <c r="BW3599" i="1"/>
  <c r="CH3599" i="1"/>
  <c r="CS3599" i="1"/>
  <c r="K3600" i="1"/>
  <c r="P3600" i="1"/>
  <c r="R3600" i="1"/>
  <c r="BL3600" i="1"/>
  <c r="BW3600" i="1"/>
  <c r="CH3600" i="1"/>
  <c r="CS3600" i="1"/>
  <c r="K3601" i="1"/>
  <c r="P3601" i="1"/>
  <c r="R3601" i="1"/>
  <c r="BL3601" i="1"/>
  <c r="BW3601" i="1"/>
  <c r="CH3601" i="1"/>
  <c r="CS3601" i="1"/>
  <c r="K3602" i="1"/>
  <c r="P3602" i="1"/>
  <c r="R3602" i="1"/>
  <c r="BL3602" i="1"/>
  <c r="BW3602" i="1"/>
  <c r="CH3602" i="1"/>
  <c r="CS3602" i="1"/>
  <c r="K3603" i="1"/>
  <c r="P3603" i="1"/>
  <c r="R3603" i="1"/>
  <c r="BL3603" i="1"/>
  <c r="BW3603" i="1"/>
  <c r="CH3603" i="1"/>
  <c r="CS3603" i="1"/>
  <c r="K3604" i="1"/>
  <c r="P3604" i="1"/>
  <c r="R3604" i="1"/>
  <c r="BL3604" i="1"/>
  <c r="BW3604" i="1"/>
  <c r="CH3604" i="1"/>
  <c r="CS3604" i="1"/>
  <c r="K3605" i="1"/>
  <c r="P3605" i="1"/>
  <c r="R3605" i="1"/>
  <c r="BL3605" i="1"/>
  <c r="BW3605" i="1"/>
  <c r="CH3605" i="1"/>
  <c r="CS3605" i="1"/>
  <c r="K3606" i="1"/>
  <c r="P3606" i="1"/>
  <c r="R3606" i="1"/>
  <c r="BL3606" i="1"/>
  <c r="BW3606" i="1"/>
  <c r="CH3606" i="1"/>
  <c r="CS3606" i="1"/>
  <c r="K3607" i="1"/>
  <c r="P3607" i="1"/>
  <c r="R3607" i="1"/>
  <c r="BL3607" i="1"/>
  <c r="BW3607" i="1"/>
  <c r="CH3607" i="1"/>
  <c r="CS3607" i="1"/>
  <c r="K3608" i="1"/>
  <c r="P3608" i="1"/>
  <c r="R3608" i="1"/>
  <c r="BL3608" i="1"/>
  <c r="BW3608" i="1"/>
  <c r="CH3608" i="1"/>
  <c r="CS3608" i="1"/>
  <c r="K3609" i="1"/>
  <c r="P3609" i="1"/>
  <c r="R3609" i="1"/>
  <c r="BL3609" i="1"/>
  <c r="BW3609" i="1"/>
  <c r="CH3609" i="1"/>
  <c r="CS3609" i="1"/>
  <c r="K3610" i="1"/>
  <c r="P3610" i="1"/>
  <c r="R3610" i="1"/>
  <c r="BL3610" i="1"/>
  <c r="BW3610" i="1"/>
  <c r="CH3610" i="1"/>
  <c r="CS3610" i="1"/>
  <c r="K3611" i="1"/>
  <c r="P3611" i="1"/>
  <c r="R3611" i="1"/>
  <c r="BL3611" i="1"/>
  <c r="BW3611" i="1"/>
  <c r="CH3611" i="1"/>
  <c r="CS3611" i="1"/>
  <c r="K3612" i="1"/>
  <c r="P3612" i="1"/>
  <c r="R3612" i="1"/>
  <c r="BL3612" i="1"/>
  <c r="BW3612" i="1"/>
  <c r="CH3612" i="1"/>
  <c r="CS3612" i="1"/>
  <c r="K3613" i="1"/>
  <c r="P3613" i="1"/>
  <c r="R3613" i="1"/>
  <c r="BL3613" i="1"/>
  <c r="BW3613" i="1"/>
  <c r="CH3613" i="1"/>
  <c r="CS3613" i="1"/>
  <c r="K3614" i="1"/>
  <c r="P3614" i="1"/>
  <c r="R3614" i="1"/>
  <c r="BL3614" i="1"/>
  <c r="BW3614" i="1"/>
  <c r="CH3614" i="1"/>
  <c r="CS3614" i="1"/>
  <c r="K3615" i="1"/>
  <c r="P3615" i="1"/>
  <c r="R3615" i="1"/>
  <c r="BL3615" i="1"/>
  <c r="BW3615" i="1"/>
  <c r="CH3615" i="1"/>
  <c r="CS3615" i="1"/>
  <c r="K3616" i="1"/>
  <c r="P3616" i="1"/>
  <c r="R3616" i="1"/>
  <c r="BL3616" i="1"/>
  <c r="BW3616" i="1"/>
  <c r="CH3616" i="1"/>
  <c r="CS3616" i="1"/>
  <c r="K3617" i="1"/>
  <c r="P3617" i="1"/>
  <c r="R3617" i="1"/>
  <c r="BL3617" i="1"/>
  <c r="BW3617" i="1"/>
  <c r="CH3617" i="1"/>
  <c r="CS3617" i="1"/>
  <c r="K3618" i="1"/>
  <c r="P3618" i="1"/>
  <c r="R3618" i="1"/>
  <c r="BL3618" i="1"/>
  <c r="BW3618" i="1"/>
  <c r="CH3618" i="1"/>
  <c r="CS3618" i="1"/>
  <c r="K3619" i="1"/>
  <c r="P3619" i="1"/>
  <c r="R3619" i="1"/>
  <c r="BL3619" i="1"/>
  <c r="BW3619" i="1"/>
  <c r="CH3619" i="1"/>
  <c r="CS3619" i="1"/>
  <c r="K3620" i="1"/>
  <c r="P3620" i="1"/>
  <c r="R3620" i="1"/>
  <c r="BL3620" i="1"/>
  <c r="BW3620" i="1"/>
  <c r="CH3620" i="1"/>
  <c r="CS3620" i="1"/>
  <c r="K3621" i="1"/>
  <c r="P3621" i="1"/>
  <c r="R3621" i="1"/>
  <c r="BL3621" i="1"/>
  <c r="BW3621" i="1"/>
  <c r="CH3621" i="1"/>
  <c r="CS3621" i="1"/>
  <c r="K3622" i="1"/>
  <c r="P3622" i="1"/>
  <c r="R3622" i="1"/>
  <c r="BL3622" i="1"/>
  <c r="BW3622" i="1"/>
  <c r="CH3622" i="1"/>
  <c r="CS3622" i="1"/>
  <c r="K3623" i="1"/>
  <c r="P3623" i="1"/>
  <c r="R3623" i="1"/>
  <c r="BL3623" i="1"/>
  <c r="BW3623" i="1"/>
  <c r="CH3623" i="1"/>
  <c r="CS3623" i="1"/>
  <c r="K3624" i="1"/>
  <c r="P3624" i="1"/>
  <c r="R3624" i="1"/>
  <c r="BL3624" i="1"/>
  <c r="BW3624" i="1"/>
  <c r="CH3624" i="1"/>
  <c r="CS3624" i="1"/>
  <c r="K3625" i="1"/>
  <c r="P3625" i="1"/>
  <c r="R3625" i="1"/>
  <c r="BL3625" i="1"/>
  <c r="BW3625" i="1"/>
  <c r="CH3625" i="1"/>
  <c r="CS3625" i="1"/>
  <c r="K3626" i="1"/>
  <c r="P3626" i="1"/>
  <c r="R3626" i="1"/>
  <c r="BL3626" i="1"/>
  <c r="BW3626" i="1"/>
  <c r="CH3626" i="1"/>
  <c r="CS3626" i="1"/>
  <c r="K3627" i="1"/>
  <c r="P3627" i="1"/>
  <c r="R3627" i="1"/>
  <c r="BL3627" i="1"/>
  <c r="BW3627" i="1"/>
  <c r="CH3627" i="1"/>
  <c r="CS3627" i="1"/>
  <c r="K3628" i="1"/>
  <c r="P3628" i="1"/>
  <c r="R3628" i="1"/>
  <c r="BL3628" i="1"/>
  <c r="BW3628" i="1"/>
  <c r="CH3628" i="1"/>
  <c r="CS3628" i="1"/>
  <c r="K3629" i="1"/>
  <c r="P3629" i="1"/>
  <c r="R3629" i="1"/>
  <c r="BL3629" i="1"/>
  <c r="BW3629" i="1"/>
  <c r="CH3629" i="1"/>
  <c r="CS3629" i="1"/>
  <c r="K3630" i="1"/>
  <c r="P3630" i="1"/>
  <c r="R3630" i="1"/>
  <c r="BL3630" i="1"/>
  <c r="BW3630" i="1"/>
  <c r="CH3630" i="1"/>
  <c r="CS3630" i="1"/>
  <c r="K3631" i="1"/>
  <c r="P3631" i="1"/>
  <c r="R3631" i="1"/>
  <c r="BL3631" i="1"/>
  <c r="BW3631" i="1"/>
  <c r="CH3631" i="1"/>
  <c r="CS3631" i="1"/>
  <c r="K3632" i="1"/>
  <c r="P3632" i="1"/>
  <c r="R3632" i="1"/>
  <c r="BL3632" i="1"/>
  <c r="BW3632" i="1"/>
  <c r="CH3632" i="1"/>
  <c r="CS3632" i="1"/>
  <c r="K3633" i="1"/>
  <c r="P3633" i="1"/>
  <c r="R3633" i="1"/>
  <c r="BL3633" i="1"/>
  <c r="BW3633" i="1"/>
  <c r="CH3633" i="1"/>
  <c r="CS3633" i="1"/>
  <c r="K3634" i="1"/>
  <c r="P3634" i="1"/>
  <c r="R3634" i="1"/>
  <c r="BL3634" i="1"/>
  <c r="BW3634" i="1"/>
  <c r="CH3634" i="1"/>
  <c r="CS3634" i="1"/>
  <c r="K3635" i="1"/>
  <c r="P3635" i="1"/>
  <c r="R3635" i="1"/>
  <c r="BL3635" i="1"/>
  <c r="BW3635" i="1"/>
  <c r="CH3635" i="1"/>
  <c r="CS3635" i="1"/>
  <c r="K3636" i="1"/>
  <c r="P3636" i="1"/>
  <c r="R3636" i="1"/>
  <c r="BL3636" i="1"/>
  <c r="BW3636" i="1"/>
  <c r="CH3636" i="1"/>
  <c r="CS3636" i="1"/>
  <c r="K3637" i="1"/>
  <c r="P3637" i="1"/>
  <c r="R3637" i="1"/>
  <c r="BL3637" i="1"/>
  <c r="BW3637" i="1"/>
  <c r="CH3637" i="1"/>
  <c r="CS3637" i="1"/>
  <c r="K3638" i="1"/>
  <c r="P3638" i="1"/>
  <c r="R3638" i="1"/>
  <c r="BL3638" i="1"/>
  <c r="BW3638" i="1"/>
  <c r="CH3638" i="1"/>
  <c r="CS3638" i="1"/>
  <c r="K3639" i="1"/>
  <c r="P3639" i="1"/>
  <c r="R3639" i="1"/>
  <c r="BL3639" i="1"/>
  <c r="BW3639" i="1"/>
  <c r="CH3639" i="1"/>
  <c r="CS3639" i="1"/>
  <c r="K3640" i="1"/>
  <c r="P3640" i="1"/>
  <c r="R3640" i="1"/>
  <c r="BL3640" i="1"/>
  <c r="BW3640" i="1"/>
  <c r="CH3640" i="1"/>
  <c r="CS3640" i="1"/>
  <c r="K3641" i="1"/>
  <c r="P3641" i="1"/>
  <c r="R3641" i="1"/>
  <c r="BL3641" i="1"/>
  <c r="BW3641" i="1"/>
  <c r="CH3641" i="1"/>
  <c r="CS3641" i="1"/>
  <c r="K3642" i="1"/>
  <c r="P3642" i="1"/>
  <c r="R3642" i="1"/>
  <c r="BL3642" i="1"/>
  <c r="BW3642" i="1"/>
  <c r="CH3642" i="1"/>
  <c r="CS3642" i="1"/>
  <c r="K3643" i="1"/>
  <c r="P3643" i="1"/>
  <c r="R3643" i="1"/>
  <c r="BL3643" i="1"/>
  <c r="BW3643" i="1"/>
  <c r="CH3643" i="1"/>
  <c r="CS3643" i="1"/>
  <c r="K3644" i="1"/>
  <c r="P3644" i="1"/>
  <c r="R3644" i="1"/>
  <c r="BL3644" i="1"/>
  <c r="BW3644" i="1"/>
  <c r="CH3644" i="1"/>
  <c r="CS3644" i="1"/>
  <c r="K3645" i="1"/>
  <c r="P3645" i="1"/>
  <c r="R3645" i="1"/>
  <c r="BL3645" i="1"/>
  <c r="BW3645" i="1"/>
  <c r="CH3645" i="1"/>
  <c r="CS3645" i="1"/>
  <c r="K3646" i="1"/>
  <c r="P3646" i="1"/>
  <c r="R3646" i="1"/>
  <c r="BL3646" i="1"/>
  <c r="BW3646" i="1"/>
  <c r="CH3646" i="1"/>
  <c r="CS3646" i="1"/>
  <c r="K3647" i="1"/>
  <c r="P3647" i="1"/>
  <c r="R3647" i="1"/>
  <c r="AM3647" i="1"/>
  <c r="BL3647" i="1"/>
  <c r="BW3647" i="1"/>
  <c r="CH3647" i="1"/>
  <c r="CS3647" i="1"/>
  <c r="K3648" i="1"/>
  <c r="P3648" i="1"/>
  <c r="R3648" i="1"/>
  <c r="BL3648" i="1"/>
  <c r="BW3648" i="1"/>
  <c r="CH3648" i="1"/>
  <c r="CS3648" i="1"/>
  <c r="K3649" i="1"/>
  <c r="P3649" i="1"/>
  <c r="R3649" i="1"/>
  <c r="BL3649" i="1"/>
  <c r="BW3649" i="1"/>
  <c r="CH3649" i="1"/>
  <c r="CS3649" i="1"/>
  <c r="K3650" i="1"/>
  <c r="P3650" i="1"/>
  <c r="R3650" i="1"/>
  <c r="BL3650" i="1"/>
  <c r="BW3650" i="1"/>
  <c r="CH3650" i="1"/>
  <c r="CS3650" i="1"/>
  <c r="K3651" i="1"/>
  <c r="P3651" i="1"/>
  <c r="R3651" i="1"/>
  <c r="BL3651" i="1"/>
  <c r="BW3651" i="1"/>
  <c r="CH3651" i="1"/>
  <c r="CS3651" i="1"/>
  <c r="K3652" i="1"/>
  <c r="P3652" i="1"/>
  <c r="R3652" i="1"/>
  <c r="BL3652" i="1"/>
  <c r="BW3652" i="1"/>
  <c r="CH3652" i="1"/>
  <c r="CS3652" i="1"/>
  <c r="K3653" i="1"/>
  <c r="P3653" i="1"/>
  <c r="R3653" i="1"/>
  <c r="BL3653" i="1"/>
  <c r="BW3653" i="1"/>
  <c r="CH3653" i="1"/>
  <c r="CS3653" i="1"/>
  <c r="K3654" i="1"/>
  <c r="P3654" i="1"/>
  <c r="R3654" i="1"/>
  <c r="BL3654" i="1"/>
  <c r="BW3654" i="1"/>
  <c r="CH3654" i="1"/>
  <c r="CS3654" i="1"/>
  <c r="K3655" i="1"/>
  <c r="P3655" i="1"/>
  <c r="R3655" i="1"/>
  <c r="BL3655" i="1"/>
  <c r="BW3655" i="1"/>
  <c r="CH3655" i="1"/>
  <c r="CS3655" i="1"/>
  <c r="K3656" i="1"/>
  <c r="P3656" i="1"/>
  <c r="R3656" i="1"/>
  <c r="BL3656" i="1"/>
  <c r="BW3656" i="1"/>
  <c r="CH3656" i="1"/>
  <c r="CS3656" i="1"/>
  <c r="K3657" i="1"/>
  <c r="P3657" i="1"/>
  <c r="R3657" i="1"/>
  <c r="BL3657" i="1"/>
  <c r="BW3657" i="1"/>
  <c r="CH3657" i="1"/>
  <c r="CS3657" i="1"/>
  <c r="K3658" i="1"/>
  <c r="P3658" i="1"/>
  <c r="R3658" i="1"/>
  <c r="BL3658" i="1"/>
  <c r="BW3658" i="1"/>
  <c r="CH3658" i="1"/>
  <c r="CS3658" i="1"/>
  <c r="K3659" i="1"/>
  <c r="P3659" i="1"/>
  <c r="R3659" i="1"/>
  <c r="BL3659" i="1"/>
  <c r="BW3659" i="1"/>
  <c r="CH3659" i="1"/>
  <c r="CS3659" i="1"/>
  <c r="K3660" i="1"/>
  <c r="P3660" i="1"/>
  <c r="R3660" i="1"/>
  <c r="BL3660" i="1"/>
  <c r="BW3660" i="1"/>
  <c r="CH3660" i="1"/>
  <c r="CS3660" i="1"/>
  <c r="K3661" i="1"/>
  <c r="P3661" i="1"/>
  <c r="R3661" i="1"/>
  <c r="BL3661" i="1"/>
  <c r="BW3661" i="1"/>
  <c r="CH3661" i="1"/>
  <c r="CS3661" i="1"/>
  <c r="K3662" i="1"/>
  <c r="P3662" i="1"/>
  <c r="R3662" i="1"/>
  <c r="BL3662" i="1"/>
  <c r="BW3662" i="1"/>
  <c r="CH3662" i="1"/>
  <c r="CS3662" i="1"/>
  <c r="K3663" i="1"/>
  <c r="P3663" i="1"/>
  <c r="R3663" i="1"/>
  <c r="BL3663" i="1"/>
  <c r="BW3663" i="1"/>
  <c r="CH3663" i="1"/>
  <c r="CS3663" i="1"/>
  <c r="K3664" i="1"/>
  <c r="P3664" i="1"/>
  <c r="R3664" i="1"/>
  <c r="BL3664" i="1"/>
  <c r="BW3664" i="1"/>
  <c r="CH3664" i="1"/>
  <c r="CS3664" i="1"/>
  <c r="K3665" i="1"/>
  <c r="P3665" i="1"/>
  <c r="R3665" i="1"/>
  <c r="BL3665" i="1"/>
  <c r="BW3665" i="1"/>
  <c r="CH3665" i="1"/>
  <c r="CS3665" i="1"/>
  <c r="K3666" i="1"/>
  <c r="P3666" i="1"/>
  <c r="R3666" i="1"/>
  <c r="BL3666" i="1"/>
  <c r="BW3666" i="1"/>
  <c r="CH3666" i="1"/>
  <c r="CS3666" i="1"/>
  <c r="K3667" i="1"/>
  <c r="P3667" i="1"/>
  <c r="R3667" i="1"/>
  <c r="BL3667" i="1"/>
  <c r="BW3667" i="1"/>
  <c r="CH3667" i="1"/>
  <c r="CS3667" i="1"/>
  <c r="K3668" i="1"/>
  <c r="P3668" i="1"/>
  <c r="R3668" i="1"/>
  <c r="BL3668" i="1"/>
  <c r="BW3668" i="1"/>
  <c r="CH3668" i="1"/>
  <c r="CS3668" i="1"/>
  <c r="K3669" i="1"/>
  <c r="P3669" i="1"/>
  <c r="R3669" i="1"/>
  <c r="BL3669" i="1"/>
  <c r="BW3669" i="1"/>
  <c r="CH3669" i="1"/>
  <c r="CS3669" i="1"/>
  <c r="K3670" i="1"/>
  <c r="P3670" i="1"/>
  <c r="R3670" i="1"/>
  <c r="BL3670" i="1"/>
  <c r="BW3670" i="1"/>
  <c r="CH3670" i="1"/>
  <c r="CS3670" i="1"/>
  <c r="K3671" i="1"/>
  <c r="P3671" i="1"/>
  <c r="R3671" i="1"/>
  <c r="BL3671" i="1"/>
  <c r="BW3671" i="1"/>
  <c r="CH3671" i="1"/>
  <c r="CS3671" i="1"/>
  <c r="K3672" i="1"/>
  <c r="P3672" i="1"/>
  <c r="R3672" i="1"/>
  <c r="BL3672" i="1"/>
  <c r="BW3672" i="1"/>
  <c r="CH3672" i="1"/>
  <c r="CS3672" i="1"/>
  <c r="K3673" i="1"/>
  <c r="P3673" i="1"/>
  <c r="R3673" i="1"/>
  <c r="BL3673" i="1"/>
  <c r="BW3673" i="1"/>
  <c r="CH3673" i="1"/>
  <c r="CS3673" i="1"/>
  <c r="K3674" i="1"/>
  <c r="P3674" i="1"/>
  <c r="R3674" i="1"/>
  <c r="BL3674" i="1"/>
  <c r="BW3674" i="1"/>
  <c r="CH3674" i="1"/>
  <c r="CS3674" i="1"/>
  <c r="K3675" i="1"/>
  <c r="P3675" i="1"/>
  <c r="R3675" i="1"/>
  <c r="BL3675" i="1"/>
  <c r="BW3675" i="1"/>
  <c r="CH3675" i="1"/>
  <c r="CS3675" i="1"/>
  <c r="K3676" i="1"/>
  <c r="P3676" i="1"/>
  <c r="R3676" i="1"/>
  <c r="BL3676" i="1"/>
  <c r="BW3676" i="1"/>
  <c r="CH3676" i="1"/>
  <c r="CS3676" i="1"/>
  <c r="K3677" i="1"/>
  <c r="P3677" i="1"/>
  <c r="R3677" i="1"/>
  <c r="BL3677" i="1"/>
  <c r="BW3677" i="1"/>
  <c r="CH3677" i="1"/>
  <c r="CS3677" i="1"/>
  <c r="K3678" i="1"/>
  <c r="P3678" i="1"/>
  <c r="R3678" i="1"/>
  <c r="BL3678" i="1"/>
  <c r="BW3678" i="1"/>
  <c r="CH3678" i="1"/>
  <c r="CS3678" i="1"/>
  <c r="K3679" i="1"/>
  <c r="P3679" i="1"/>
  <c r="R3679" i="1"/>
  <c r="BL3679" i="1"/>
  <c r="BW3679" i="1"/>
  <c r="CH3679" i="1"/>
  <c r="CS3679" i="1"/>
  <c r="K3680" i="1"/>
  <c r="P3680" i="1"/>
  <c r="R3680" i="1"/>
  <c r="BL3680" i="1"/>
  <c r="BW3680" i="1"/>
  <c r="CH3680" i="1"/>
  <c r="CS3680" i="1"/>
  <c r="K3681" i="1"/>
  <c r="P3681" i="1"/>
  <c r="R3681" i="1"/>
  <c r="BL3681" i="1"/>
  <c r="BQ3681" i="1"/>
  <c r="BW3681" i="1"/>
  <c r="CH3681" i="1"/>
  <c r="CS3681" i="1"/>
  <c r="K3682" i="1"/>
  <c r="P3682" i="1"/>
  <c r="R3682" i="1"/>
  <c r="BL3682" i="1"/>
  <c r="BW3682" i="1"/>
  <c r="CH3682" i="1"/>
  <c r="CS3682" i="1"/>
  <c r="K3683" i="1"/>
  <c r="P3683" i="1"/>
  <c r="R3683" i="1"/>
  <c r="BL3683" i="1"/>
  <c r="BW3683" i="1"/>
  <c r="CH3683" i="1"/>
  <c r="CS3683" i="1"/>
  <c r="K3684" i="1"/>
  <c r="P3684" i="1"/>
  <c r="R3684" i="1"/>
  <c r="BL3684" i="1"/>
  <c r="BW3684" i="1"/>
  <c r="CH3684" i="1"/>
  <c r="CS3684" i="1"/>
  <c r="K3685" i="1"/>
  <c r="P3685" i="1"/>
  <c r="R3685" i="1"/>
  <c r="BL3685" i="1"/>
  <c r="BW3685" i="1"/>
  <c r="CH3685" i="1"/>
  <c r="CS3685" i="1"/>
  <c r="K3686" i="1"/>
  <c r="P3686" i="1"/>
  <c r="R3686" i="1"/>
  <c r="BL3686" i="1"/>
  <c r="BW3686" i="1"/>
  <c r="CH3686" i="1"/>
  <c r="CS3686" i="1"/>
  <c r="K3687" i="1"/>
  <c r="P3687" i="1"/>
  <c r="R3687" i="1"/>
  <c r="BL3687" i="1"/>
  <c r="BW3687" i="1"/>
  <c r="CH3687" i="1"/>
  <c r="CS3687" i="1"/>
  <c r="K3688" i="1"/>
  <c r="P3688" i="1"/>
  <c r="R3688" i="1"/>
  <c r="BL3688" i="1"/>
  <c r="BW3688" i="1"/>
  <c r="CH3688" i="1"/>
  <c r="CS3688" i="1"/>
  <c r="K3689" i="1"/>
  <c r="P3689" i="1"/>
  <c r="R3689" i="1"/>
  <c r="BL3689" i="1"/>
  <c r="BW3689" i="1"/>
  <c r="CH3689" i="1"/>
  <c r="CS3689" i="1"/>
  <c r="K3690" i="1"/>
  <c r="P3690" i="1"/>
  <c r="R3690" i="1"/>
  <c r="BL3690" i="1"/>
  <c r="BW3690" i="1"/>
  <c r="CH3690" i="1"/>
  <c r="CS3690" i="1"/>
  <c r="K3691" i="1"/>
  <c r="P3691" i="1"/>
  <c r="R3691" i="1"/>
  <c r="BL3691" i="1"/>
  <c r="BW3691" i="1"/>
  <c r="CH3691" i="1"/>
  <c r="CS3691" i="1"/>
  <c r="K3692" i="1"/>
  <c r="P3692" i="1"/>
  <c r="R3692" i="1"/>
  <c r="BL3692" i="1"/>
  <c r="BW3692" i="1"/>
  <c r="CH3692" i="1"/>
  <c r="CS3692" i="1"/>
  <c r="K3693" i="1"/>
  <c r="P3693" i="1"/>
  <c r="R3693" i="1"/>
  <c r="BL3693" i="1"/>
  <c r="BW3693" i="1"/>
  <c r="CH3693" i="1"/>
  <c r="CS3693" i="1"/>
  <c r="K3694" i="1"/>
  <c r="P3694" i="1"/>
  <c r="R3694" i="1"/>
  <c r="BL3694" i="1"/>
  <c r="BW3694" i="1"/>
  <c r="CH3694" i="1"/>
  <c r="CS3694" i="1"/>
  <c r="K3695" i="1"/>
  <c r="P3695" i="1"/>
  <c r="R3695" i="1"/>
  <c r="BL3695" i="1"/>
  <c r="BW3695" i="1"/>
  <c r="CH3695" i="1"/>
  <c r="CS3695" i="1"/>
  <c r="K3696" i="1"/>
  <c r="P3696" i="1"/>
  <c r="R3696" i="1"/>
  <c r="BL3696" i="1"/>
  <c r="BW3696" i="1"/>
  <c r="CH3696" i="1"/>
  <c r="CS3696" i="1"/>
  <c r="K3697" i="1"/>
  <c r="P3697" i="1"/>
  <c r="R3697" i="1"/>
  <c r="BL3697" i="1"/>
  <c r="BW3697" i="1"/>
  <c r="CH3697" i="1"/>
  <c r="CS3697" i="1"/>
  <c r="K3698" i="1"/>
  <c r="P3698" i="1"/>
  <c r="R3698" i="1"/>
  <c r="BL3698" i="1"/>
  <c r="BW3698" i="1"/>
  <c r="CH3698" i="1"/>
  <c r="CS3698" i="1"/>
  <c r="K3699" i="1"/>
  <c r="P3699" i="1"/>
  <c r="R3699" i="1"/>
  <c r="BL3699" i="1"/>
  <c r="BW3699" i="1"/>
  <c r="CH3699" i="1"/>
  <c r="CS3699" i="1"/>
  <c r="K3700" i="1"/>
  <c r="P3700" i="1"/>
  <c r="R3700" i="1"/>
  <c r="BL3700" i="1"/>
  <c r="BW3700" i="1"/>
  <c r="CH3700" i="1"/>
  <c r="CS3700" i="1"/>
  <c r="K3701" i="1"/>
  <c r="P3701" i="1"/>
  <c r="R3701" i="1"/>
  <c r="BL3701" i="1"/>
  <c r="BW3701" i="1"/>
  <c r="CH3701" i="1"/>
  <c r="CS3701" i="1"/>
  <c r="K3702" i="1"/>
  <c r="P3702" i="1"/>
  <c r="R3702" i="1"/>
  <c r="BL3702" i="1"/>
  <c r="BW3702" i="1"/>
  <c r="CH3702" i="1"/>
  <c r="CS3702" i="1"/>
  <c r="K3703" i="1"/>
  <c r="P3703" i="1"/>
  <c r="R3703" i="1"/>
  <c r="BL3703" i="1"/>
  <c r="BW3703" i="1"/>
  <c r="CH3703" i="1"/>
  <c r="CS3703" i="1"/>
  <c r="K3704" i="1"/>
  <c r="P3704" i="1"/>
  <c r="R3704" i="1"/>
  <c r="BL3704" i="1"/>
  <c r="BW3704" i="1"/>
  <c r="CH3704" i="1"/>
  <c r="CS3704" i="1"/>
  <c r="K3705" i="1"/>
  <c r="P3705" i="1"/>
  <c r="R3705" i="1"/>
  <c r="BL3705" i="1"/>
  <c r="BW3705" i="1"/>
  <c r="CH3705" i="1"/>
  <c r="CS3705" i="1"/>
  <c r="K3706" i="1"/>
  <c r="P3706" i="1"/>
  <c r="R3706" i="1"/>
  <c r="BL3706" i="1"/>
  <c r="BW3706" i="1"/>
  <c r="CH3706" i="1"/>
  <c r="CS3706" i="1"/>
  <c r="K3707" i="1"/>
  <c r="P3707" i="1"/>
  <c r="R3707" i="1"/>
  <c r="BL3707" i="1"/>
  <c r="BW3707" i="1"/>
  <c r="CH3707" i="1"/>
  <c r="CS3707" i="1"/>
  <c r="K3708" i="1"/>
  <c r="P3708" i="1"/>
  <c r="R3708" i="1"/>
  <c r="BL3708" i="1"/>
  <c r="BW3708" i="1"/>
  <c r="CH3708" i="1"/>
  <c r="CS3708" i="1"/>
  <c r="K3709" i="1"/>
  <c r="P3709" i="1"/>
  <c r="R3709" i="1"/>
  <c r="BL3709" i="1"/>
  <c r="BW3709" i="1"/>
  <c r="CH3709" i="1"/>
  <c r="CS3709" i="1"/>
  <c r="K3710" i="1"/>
  <c r="P3710" i="1"/>
  <c r="R3710" i="1"/>
  <c r="BL3710" i="1"/>
  <c r="BW3710" i="1"/>
  <c r="CH3710" i="1"/>
  <c r="CS3710" i="1"/>
  <c r="K3711" i="1"/>
  <c r="P3711" i="1"/>
  <c r="R3711" i="1"/>
  <c r="BL3711" i="1"/>
  <c r="BW3711" i="1"/>
  <c r="CH3711" i="1"/>
  <c r="CS3711" i="1"/>
  <c r="K3712" i="1"/>
  <c r="P3712" i="1"/>
  <c r="R3712" i="1"/>
  <c r="BL3712" i="1"/>
  <c r="BW3712" i="1"/>
  <c r="CH3712" i="1"/>
  <c r="CS3712" i="1"/>
  <c r="K3713" i="1"/>
  <c r="P3713" i="1"/>
  <c r="R3713" i="1"/>
  <c r="BL3713" i="1"/>
  <c r="BW3713" i="1"/>
  <c r="CH3713" i="1"/>
  <c r="CS3713" i="1"/>
  <c r="K3714" i="1"/>
  <c r="P3714" i="1"/>
  <c r="R3714" i="1"/>
  <c r="BL3714" i="1"/>
  <c r="BW3714" i="1"/>
  <c r="CH3714" i="1"/>
  <c r="CS3714" i="1"/>
  <c r="K3715" i="1"/>
  <c r="P3715" i="1"/>
  <c r="R3715" i="1"/>
  <c r="BL3715" i="1"/>
  <c r="BW3715" i="1"/>
  <c r="CH3715" i="1"/>
  <c r="CS3715" i="1"/>
  <c r="K3716" i="1"/>
  <c r="P3716" i="1"/>
  <c r="R3716" i="1"/>
  <c r="BL3716" i="1"/>
  <c r="BW3716" i="1"/>
  <c r="CH3716" i="1"/>
  <c r="CS3716" i="1"/>
  <c r="K3717" i="1"/>
  <c r="P3717" i="1"/>
  <c r="R3717" i="1"/>
  <c r="BL3717" i="1"/>
  <c r="BW3717" i="1"/>
  <c r="CH3717" i="1"/>
  <c r="CS3717" i="1"/>
  <c r="K3718" i="1"/>
  <c r="P3718" i="1"/>
  <c r="R3718" i="1"/>
  <c r="BL3718" i="1"/>
  <c r="BW3718" i="1"/>
  <c r="CH3718" i="1"/>
  <c r="CS3718" i="1"/>
  <c r="K3719" i="1"/>
  <c r="P3719" i="1"/>
  <c r="R3719" i="1"/>
  <c r="BL3719" i="1"/>
  <c r="BW3719" i="1"/>
  <c r="CH3719" i="1"/>
  <c r="CS3719" i="1"/>
  <c r="K3720" i="1"/>
  <c r="P3720" i="1"/>
  <c r="R3720" i="1"/>
  <c r="BL3720" i="1"/>
  <c r="BW3720" i="1"/>
  <c r="CH3720" i="1"/>
  <c r="CS3720" i="1"/>
  <c r="K3721" i="1"/>
  <c r="P3721" i="1"/>
  <c r="R3721" i="1"/>
  <c r="BL3721" i="1"/>
  <c r="BW3721" i="1"/>
  <c r="CH3721" i="1"/>
  <c r="CS3721" i="1"/>
  <c r="K3722" i="1"/>
  <c r="P3722" i="1"/>
  <c r="R3722" i="1"/>
  <c r="BL3722" i="1"/>
  <c r="BW3722" i="1"/>
  <c r="CH3722" i="1"/>
  <c r="CS3722" i="1"/>
  <c r="K3723" i="1"/>
  <c r="P3723" i="1"/>
  <c r="R3723" i="1"/>
  <c r="BL3723" i="1"/>
  <c r="BW3723" i="1"/>
  <c r="CH3723" i="1"/>
  <c r="CS3723" i="1"/>
  <c r="K3724" i="1"/>
  <c r="P3724" i="1"/>
  <c r="R3724" i="1"/>
  <c r="BL3724" i="1"/>
  <c r="BW3724" i="1"/>
  <c r="CH3724" i="1"/>
  <c r="CS3724" i="1"/>
  <c r="K3725" i="1"/>
  <c r="P3725" i="1"/>
  <c r="R3725" i="1"/>
  <c r="BL3725" i="1"/>
  <c r="BW3725" i="1"/>
  <c r="CH3725" i="1"/>
  <c r="CS3725" i="1"/>
  <c r="K3726" i="1"/>
  <c r="P3726" i="1"/>
  <c r="R3726" i="1"/>
  <c r="BL3726" i="1"/>
  <c r="BW3726" i="1"/>
  <c r="CH3726" i="1"/>
  <c r="CS3726" i="1"/>
  <c r="K3727" i="1"/>
  <c r="P3727" i="1"/>
  <c r="R3727" i="1"/>
  <c r="BL3727" i="1"/>
  <c r="BW3727" i="1"/>
  <c r="CH3727" i="1"/>
  <c r="CS3727" i="1"/>
  <c r="K3728" i="1"/>
  <c r="P3728" i="1"/>
  <c r="R3728" i="1"/>
  <c r="BL3728" i="1"/>
  <c r="BW3728" i="1"/>
  <c r="CH3728" i="1"/>
  <c r="CS3728" i="1"/>
  <c r="K3729" i="1"/>
  <c r="P3729" i="1"/>
  <c r="R3729" i="1"/>
  <c r="BL3729" i="1"/>
  <c r="BW3729" i="1"/>
  <c r="CH3729" i="1"/>
  <c r="CS3729" i="1"/>
  <c r="K3730" i="1"/>
  <c r="P3730" i="1"/>
  <c r="R3730" i="1"/>
  <c r="BL3730" i="1"/>
  <c r="BW3730" i="1"/>
  <c r="CH3730" i="1"/>
  <c r="CS3730" i="1"/>
  <c r="K3731" i="1"/>
  <c r="P3731" i="1"/>
  <c r="R3731" i="1"/>
  <c r="BL3731" i="1"/>
  <c r="BW3731" i="1"/>
  <c r="CH3731" i="1"/>
  <c r="CS3731" i="1"/>
  <c r="K3732" i="1"/>
  <c r="P3732" i="1"/>
  <c r="R3732" i="1"/>
  <c r="BL3732" i="1"/>
  <c r="BW3732" i="1"/>
  <c r="CH3732" i="1"/>
  <c r="CS3732" i="1"/>
  <c r="K3733" i="1"/>
  <c r="P3733" i="1"/>
  <c r="R3733" i="1"/>
  <c r="BL3733" i="1"/>
  <c r="BW3733" i="1"/>
  <c r="CH3733" i="1"/>
  <c r="CS3733" i="1"/>
  <c r="K3734" i="1"/>
  <c r="P3734" i="1"/>
  <c r="R3734" i="1"/>
  <c r="BL3734" i="1"/>
  <c r="BW3734" i="1"/>
  <c r="CH3734" i="1"/>
  <c r="CS3734" i="1"/>
  <c r="K3735" i="1"/>
  <c r="P3735" i="1"/>
  <c r="R3735" i="1"/>
  <c r="BL3735" i="1"/>
  <c r="BW3735" i="1"/>
  <c r="CH3735" i="1"/>
  <c r="CS3735" i="1"/>
  <c r="K3736" i="1"/>
  <c r="P3736" i="1"/>
  <c r="R3736" i="1"/>
  <c r="BL3736" i="1"/>
  <c r="BW3736" i="1"/>
  <c r="CH3736" i="1"/>
  <c r="CS3736" i="1"/>
  <c r="K3737" i="1"/>
  <c r="P3737" i="1"/>
  <c r="R3737" i="1"/>
  <c r="BL3737" i="1"/>
  <c r="BW3737" i="1"/>
  <c r="CH3737" i="1"/>
  <c r="CS3737" i="1"/>
  <c r="K3738" i="1"/>
  <c r="P3738" i="1"/>
  <c r="R3738" i="1"/>
  <c r="BL3738" i="1"/>
  <c r="BW3738" i="1"/>
  <c r="CH3738" i="1"/>
  <c r="CS3738" i="1"/>
  <c r="K3739" i="1"/>
  <c r="P3739" i="1"/>
  <c r="R3739" i="1"/>
  <c r="BL3739" i="1"/>
  <c r="BW3739" i="1"/>
  <c r="CH3739" i="1"/>
  <c r="CS3739" i="1"/>
  <c r="K3740" i="1"/>
  <c r="P3740" i="1"/>
  <c r="R3740" i="1"/>
  <c r="BL3740" i="1"/>
  <c r="BW3740" i="1"/>
  <c r="CH3740" i="1"/>
  <c r="CS3740" i="1"/>
  <c r="K3741" i="1"/>
  <c r="P3741" i="1"/>
  <c r="R3741" i="1"/>
  <c r="BL3741" i="1"/>
  <c r="BW3741" i="1"/>
  <c r="CH3741" i="1"/>
  <c r="CS3741" i="1"/>
  <c r="K3742" i="1"/>
  <c r="P3742" i="1"/>
  <c r="R3742" i="1"/>
  <c r="BL3742" i="1"/>
  <c r="BW3742" i="1"/>
  <c r="CH3742" i="1"/>
  <c r="CS3742" i="1"/>
  <c r="K3743" i="1"/>
  <c r="P3743" i="1"/>
  <c r="R3743" i="1"/>
  <c r="BL3743" i="1"/>
  <c r="BW3743" i="1"/>
  <c r="CH3743" i="1"/>
  <c r="CS3743" i="1"/>
  <c r="K3744" i="1"/>
  <c r="P3744" i="1"/>
  <c r="R3744" i="1"/>
  <c r="BL3744" i="1"/>
  <c r="BW3744" i="1"/>
  <c r="CH3744" i="1"/>
  <c r="CS3744" i="1"/>
  <c r="K3745" i="1"/>
  <c r="P3745" i="1"/>
  <c r="R3745" i="1"/>
  <c r="BL3745" i="1"/>
  <c r="BW3745" i="1"/>
  <c r="CH3745" i="1"/>
  <c r="CS3745" i="1"/>
  <c r="K3746" i="1"/>
  <c r="P3746" i="1"/>
  <c r="R3746" i="1"/>
  <c r="BL3746" i="1"/>
  <c r="BW3746" i="1"/>
  <c r="CH3746" i="1"/>
  <c r="CS3746" i="1"/>
  <c r="K3747" i="1"/>
  <c r="P3747" i="1"/>
  <c r="R3747" i="1"/>
  <c r="BL3747" i="1"/>
  <c r="BW3747" i="1"/>
  <c r="CH3747" i="1"/>
  <c r="CS3747" i="1"/>
  <c r="K3748" i="1"/>
  <c r="P3748" i="1"/>
  <c r="R3748" i="1"/>
  <c r="BL3748" i="1"/>
  <c r="BW3748" i="1"/>
  <c r="CH3748" i="1"/>
  <c r="CS3748" i="1"/>
  <c r="K3749" i="1"/>
  <c r="P3749" i="1"/>
  <c r="R3749" i="1"/>
  <c r="BL3749" i="1"/>
  <c r="BW3749" i="1"/>
  <c r="CH3749" i="1"/>
  <c r="CS3749" i="1"/>
  <c r="K3750" i="1"/>
  <c r="P3750" i="1"/>
  <c r="R3750" i="1"/>
  <c r="BL3750" i="1"/>
  <c r="BW3750" i="1"/>
  <c r="CH3750" i="1"/>
  <c r="CS3750" i="1"/>
  <c r="K3751" i="1"/>
  <c r="P3751" i="1"/>
  <c r="R3751" i="1"/>
  <c r="BL3751" i="1"/>
  <c r="BW3751" i="1"/>
  <c r="CH3751" i="1"/>
  <c r="CS3751" i="1"/>
  <c r="K3752" i="1"/>
  <c r="P3752" i="1"/>
  <c r="R3752" i="1"/>
  <c r="BL3752" i="1"/>
  <c r="BW3752" i="1"/>
  <c r="CH3752" i="1"/>
  <c r="CS3752" i="1"/>
  <c r="K3753" i="1"/>
  <c r="P3753" i="1"/>
  <c r="R3753" i="1"/>
  <c r="BL3753" i="1"/>
  <c r="BW3753" i="1"/>
  <c r="CH3753" i="1"/>
  <c r="CS3753" i="1"/>
  <c r="K3754" i="1"/>
  <c r="P3754" i="1"/>
  <c r="R3754" i="1"/>
  <c r="BL3754" i="1"/>
  <c r="BW3754" i="1"/>
  <c r="CH3754" i="1"/>
  <c r="CS3754" i="1"/>
  <c r="K3755" i="1"/>
  <c r="P3755" i="1"/>
  <c r="R3755" i="1"/>
  <c r="BL3755" i="1"/>
  <c r="BW3755" i="1"/>
  <c r="CH3755" i="1"/>
  <c r="CS3755" i="1"/>
  <c r="K3756" i="1"/>
  <c r="P3756" i="1"/>
  <c r="R3756" i="1"/>
  <c r="BL3756" i="1"/>
  <c r="BW3756" i="1"/>
  <c r="CH3756" i="1"/>
  <c r="CS3756" i="1"/>
  <c r="K3757" i="1"/>
  <c r="P3757" i="1"/>
  <c r="R3757" i="1"/>
  <c r="BL3757" i="1"/>
  <c r="BW3757" i="1"/>
  <c r="CH3757" i="1"/>
  <c r="CS3757" i="1"/>
  <c r="K3758" i="1"/>
  <c r="P3758" i="1"/>
  <c r="R3758" i="1"/>
  <c r="BL3758" i="1"/>
  <c r="BW3758" i="1"/>
  <c r="CH3758" i="1"/>
  <c r="CS3758" i="1"/>
  <c r="K3759" i="1"/>
  <c r="P3759" i="1"/>
  <c r="R3759" i="1"/>
  <c r="BL3759" i="1"/>
  <c r="BW3759" i="1"/>
  <c r="CH3759" i="1"/>
  <c r="CS3759" i="1"/>
  <c r="K3760" i="1"/>
  <c r="P3760" i="1"/>
  <c r="R3760" i="1"/>
  <c r="BL3760" i="1"/>
  <c r="BW3760" i="1"/>
  <c r="CH3760" i="1"/>
  <c r="CS3760" i="1"/>
  <c r="K3761" i="1"/>
  <c r="P3761" i="1"/>
  <c r="R3761" i="1"/>
  <c r="BL3761" i="1"/>
  <c r="BW3761" i="1"/>
  <c r="CH3761" i="1"/>
  <c r="CS3761" i="1"/>
  <c r="K3762" i="1"/>
  <c r="P3762" i="1"/>
  <c r="R3762" i="1"/>
  <c r="BL3762" i="1"/>
  <c r="BW3762" i="1"/>
  <c r="CH3762" i="1"/>
  <c r="CS3762" i="1"/>
  <c r="K3763" i="1"/>
  <c r="P3763" i="1"/>
  <c r="R3763" i="1"/>
  <c r="BL3763" i="1"/>
  <c r="BW3763" i="1"/>
  <c r="CH3763" i="1"/>
  <c r="CS3763" i="1"/>
  <c r="K3764" i="1"/>
  <c r="P3764" i="1"/>
  <c r="R3764" i="1"/>
  <c r="BL3764" i="1"/>
  <c r="BW3764" i="1"/>
  <c r="CH3764" i="1"/>
  <c r="CS3764" i="1"/>
  <c r="K3765" i="1"/>
  <c r="P3765" i="1"/>
  <c r="R3765" i="1"/>
  <c r="BL3765" i="1"/>
  <c r="BW3765" i="1"/>
  <c r="CH3765" i="1"/>
  <c r="CS3765" i="1"/>
  <c r="K3766" i="1"/>
  <c r="P3766" i="1"/>
  <c r="R3766" i="1"/>
  <c r="BL3766" i="1"/>
  <c r="BW3766" i="1"/>
  <c r="CH3766" i="1"/>
  <c r="CS3766" i="1"/>
  <c r="K3767" i="1"/>
  <c r="P3767" i="1"/>
  <c r="R3767" i="1"/>
  <c r="BL3767" i="1"/>
  <c r="BW3767" i="1"/>
  <c r="CH3767" i="1"/>
  <c r="CS3767" i="1"/>
  <c r="K3768" i="1"/>
  <c r="P3768" i="1"/>
  <c r="R3768" i="1"/>
  <c r="BL3768" i="1"/>
  <c r="BW3768" i="1"/>
  <c r="CH3768" i="1"/>
  <c r="CS3768" i="1"/>
  <c r="K3769" i="1"/>
  <c r="P3769" i="1"/>
  <c r="R3769" i="1"/>
  <c r="BL3769" i="1"/>
  <c r="BW3769" i="1"/>
  <c r="CH3769" i="1"/>
  <c r="CS3769" i="1"/>
  <c r="K3770" i="1"/>
  <c r="P3770" i="1"/>
  <c r="R3770" i="1"/>
  <c r="BL3770" i="1"/>
  <c r="BW3770" i="1"/>
  <c r="CH3770" i="1"/>
  <c r="CS3770" i="1"/>
  <c r="K3771" i="1"/>
  <c r="P3771" i="1"/>
  <c r="R3771" i="1"/>
  <c r="BL3771" i="1"/>
  <c r="BW3771" i="1"/>
  <c r="CH3771" i="1"/>
  <c r="CS3771" i="1"/>
  <c r="K3772" i="1"/>
  <c r="P3772" i="1"/>
  <c r="R3772" i="1"/>
  <c r="BL3772" i="1"/>
  <c r="BW3772" i="1"/>
  <c r="CH3772" i="1"/>
  <c r="CS3772" i="1"/>
  <c r="K3773" i="1"/>
  <c r="P3773" i="1"/>
  <c r="R3773" i="1"/>
  <c r="BL3773" i="1"/>
  <c r="BW3773" i="1"/>
  <c r="CH3773" i="1"/>
  <c r="CS3773" i="1"/>
  <c r="K3774" i="1"/>
  <c r="P3774" i="1"/>
  <c r="R3774" i="1"/>
  <c r="BL3774" i="1"/>
  <c r="BW3774" i="1"/>
  <c r="CH3774" i="1"/>
  <c r="CS3774" i="1"/>
  <c r="K3775" i="1"/>
  <c r="P3775" i="1"/>
  <c r="R3775" i="1"/>
  <c r="AM3775" i="1"/>
  <c r="BL3775" i="1"/>
  <c r="BW3775" i="1"/>
  <c r="CH3775" i="1"/>
  <c r="CS3775" i="1"/>
  <c r="K3776" i="1"/>
  <c r="P3776" i="1"/>
  <c r="R3776" i="1"/>
  <c r="BL3776" i="1"/>
  <c r="BW3776" i="1"/>
  <c r="CH3776" i="1"/>
  <c r="CS3776" i="1"/>
  <c r="K3777" i="1"/>
  <c r="P3777" i="1"/>
  <c r="R3777" i="1"/>
  <c r="BL3777" i="1"/>
  <c r="BW3777" i="1"/>
  <c r="CH3777" i="1"/>
  <c r="CS3777" i="1"/>
  <c r="K3778" i="1"/>
  <c r="P3778" i="1"/>
  <c r="R3778" i="1"/>
  <c r="BL3778" i="1"/>
  <c r="BW3778" i="1"/>
  <c r="CH3778" i="1"/>
  <c r="CS3778" i="1"/>
  <c r="K3779" i="1"/>
  <c r="P3779" i="1"/>
  <c r="R3779" i="1"/>
  <c r="BL3779" i="1"/>
  <c r="BW3779" i="1"/>
  <c r="CH3779" i="1"/>
  <c r="CS3779" i="1"/>
  <c r="K3780" i="1"/>
  <c r="P3780" i="1"/>
  <c r="R3780" i="1"/>
  <c r="BL3780" i="1"/>
  <c r="BW3780" i="1"/>
  <c r="CH3780" i="1"/>
  <c r="CS3780" i="1"/>
  <c r="K3781" i="1"/>
  <c r="P3781" i="1"/>
  <c r="R3781" i="1"/>
  <c r="BL3781" i="1"/>
  <c r="BW3781" i="1"/>
  <c r="CH3781" i="1"/>
  <c r="CS3781" i="1"/>
  <c r="K3782" i="1"/>
  <c r="P3782" i="1"/>
  <c r="R3782" i="1"/>
  <c r="BL3782" i="1"/>
  <c r="BW3782" i="1"/>
  <c r="CH3782" i="1"/>
  <c r="CS3782" i="1"/>
  <c r="K3783" i="1"/>
  <c r="P3783" i="1"/>
  <c r="R3783" i="1"/>
  <c r="BL3783" i="1"/>
  <c r="BW3783" i="1"/>
  <c r="CH3783" i="1"/>
  <c r="CS3783" i="1"/>
  <c r="K3784" i="1"/>
  <c r="P3784" i="1"/>
  <c r="R3784" i="1"/>
  <c r="BL3784" i="1"/>
  <c r="BW3784" i="1"/>
  <c r="CH3784" i="1"/>
  <c r="CS3784" i="1"/>
  <c r="K3785" i="1"/>
  <c r="P3785" i="1"/>
  <c r="R3785" i="1"/>
  <c r="BL3785" i="1"/>
  <c r="BW3785" i="1"/>
  <c r="CH3785" i="1"/>
  <c r="CS3785" i="1"/>
  <c r="K3786" i="1"/>
  <c r="P3786" i="1"/>
  <c r="R3786" i="1"/>
  <c r="BL3786" i="1"/>
  <c r="BW3786" i="1"/>
  <c r="CH3786" i="1"/>
  <c r="CS3786" i="1"/>
  <c r="K3787" i="1"/>
  <c r="P3787" i="1"/>
  <c r="R3787" i="1"/>
  <c r="BL3787" i="1"/>
  <c r="BW3787" i="1"/>
  <c r="CH3787" i="1"/>
  <c r="CS3787" i="1"/>
  <c r="K3788" i="1"/>
  <c r="P3788" i="1"/>
  <c r="R3788" i="1"/>
  <c r="BL3788" i="1"/>
  <c r="BW3788" i="1"/>
  <c r="CH3788" i="1"/>
  <c r="CS3788" i="1"/>
  <c r="K3789" i="1"/>
  <c r="P3789" i="1"/>
  <c r="R3789" i="1"/>
  <c r="BL3789" i="1"/>
  <c r="BW3789" i="1"/>
  <c r="CH3789" i="1"/>
  <c r="CS3789" i="1"/>
  <c r="K3790" i="1"/>
  <c r="P3790" i="1"/>
  <c r="R3790" i="1"/>
  <c r="BL3790" i="1"/>
  <c r="BW3790" i="1"/>
  <c r="CH3790" i="1"/>
  <c r="CS3790" i="1"/>
  <c r="K3791" i="1"/>
  <c r="P3791" i="1"/>
  <c r="R3791" i="1"/>
  <c r="BL3791" i="1"/>
  <c r="BW3791" i="1"/>
  <c r="CH3791" i="1"/>
  <c r="CS3791" i="1"/>
  <c r="K3792" i="1"/>
  <c r="P3792" i="1"/>
  <c r="R3792" i="1"/>
  <c r="BL3792" i="1"/>
  <c r="BW3792" i="1"/>
  <c r="CH3792" i="1"/>
  <c r="CS3792" i="1"/>
  <c r="K3793" i="1"/>
  <c r="P3793" i="1"/>
  <c r="R3793" i="1"/>
  <c r="BL3793" i="1"/>
  <c r="BW3793" i="1"/>
  <c r="CH3793" i="1"/>
  <c r="CS3793" i="1"/>
  <c r="K3794" i="1"/>
  <c r="P3794" i="1"/>
  <c r="R3794" i="1"/>
  <c r="BL3794" i="1"/>
  <c r="BW3794" i="1"/>
  <c r="CH3794" i="1"/>
  <c r="CS3794" i="1"/>
  <c r="K3795" i="1"/>
  <c r="P3795" i="1"/>
  <c r="R3795" i="1"/>
  <c r="BL3795" i="1"/>
  <c r="BW3795" i="1"/>
  <c r="CH3795" i="1"/>
  <c r="CS3795" i="1"/>
  <c r="K3796" i="1"/>
  <c r="P3796" i="1"/>
  <c r="R3796" i="1"/>
  <c r="BL3796" i="1"/>
  <c r="BW3796" i="1"/>
  <c r="CH3796" i="1"/>
  <c r="CS3796" i="1"/>
  <c r="K3797" i="1"/>
  <c r="P3797" i="1"/>
  <c r="R3797" i="1"/>
  <c r="BL3797" i="1"/>
  <c r="BW3797" i="1"/>
  <c r="CH3797" i="1"/>
  <c r="CS3797" i="1"/>
  <c r="K3798" i="1"/>
  <c r="P3798" i="1"/>
  <c r="R3798" i="1"/>
  <c r="BL3798" i="1"/>
  <c r="BW3798" i="1"/>
  <c r="CH3798" i="1"/>
  <c r="CS3798" i="1"/>
  <c r="K3799" i="1"/>
  <c r="P3799" i="1"/>
  <c r="R3799" i="1"/>
  <c r="BL3799" i="1"/>
  <c r="BW3799" i="1"/>
  <c r="CH3799" i="1"/>
  <c r="CS3799" i="1"/>
  <c r="K3800" i="1"/>
  <c r="P3800" i="1"/>
  <c r="R3800" i="1"/>
  <c r="BL3800" i="1"/>
  <c r="BW3800" i="1"/>
  <c r="CH3800" i="1"/>
  <c r="CS3800" i="1"/>
  <c r="K3801" i="1"/>
  <c r="P3801" i="1"/>
  <c r="R3801" i="1"/>
  <c r="BL3801" i="1"/>
  <c r="BW3801" i="1"/>
  <c r="CH3801" i="1"/>
  <c r="CS3801" i="1"/>
  <c r="K3802" i="1"/>
  <c r="P3802" i="1"/>
  <c r="R3802" i="1"/>
  <c r="BL3802" i="1"/>
  <c r="BW3802" i="1"/>
  <c r="CH3802" i="1"/>
  <c r="CS3802" i="1"/>
  <c r="K3803" i="1"/>
  <c r="P3803" i="1"/>
  <c r="R3803" i="1"/>
  <c r="BL3803" i="1"/>
  <c r="BW3803" i="1"/>
  <c r="CH3803" i="1"/>
  <c r="CS3803" i="1"/>
  <c r="K3804" i="1"/>
  <c r="P3804" i="1"/>
  <c r="R3804" i="1"/>
  <c r="BL3804" i="1"/>
  <c r="BW3804" i="1"/>
  <c r="CH3804" i="1"/>
  <c r="CS3804" i="1"/>
  <c r="K3805" i="1"/>
  <c r="P3805" i="1"/>
  <c r="R3805" i="1"/>
  <c r="BL3805" i="1"/>
  <c r="BW3805" i="1"/>
  <c r="CH3805" i="1"/>
  <c r="CS3805" i="1"/>
  <c r="K3806" i="1"/>
  <c r="P3806" i="1"/>
  <c r="R3806" i="1"/>
  <c r="BL3806" i="1"/>
  <c r="BW3806" i="1"/>
  <c r="CH3806" i="1"/>
  <c r="CS3806" i="1"/>
  <c r="K3807" i="1"/>
  <c r="P3807" i="1"/>
  <c r="R3807" i="1"/>
  <c r="BL3807" i="1"/>
  <c r="BW3807" i="1"/>
  <c r="CH3807" i="1"/>
  <c r="CS3807" i="1"/>
  <c r="K3808" i="1"/>
  <c r="P3808" i="1"/>
  <c r="R3808" i="1"/>
  <c r="BL3808" i="1"/>
  <c r="BW3808" i="1"/>
  <c r="CH3808" i="1"/>
  <c r="CS3808" i="1"/>
  <c r="K3809" i="1"/>
  <c r="P3809" i="1"/>
  <c r="R3809" i="1"/>
  <c r="BL3809" i="1"/>
  <c r="BW3809" i="1"/>
  <c r="CH3809" i="1"/>
  <c r="CS3809" i="1"/>
  <c r="K3810" i="1"/>
  <c r="P3810" i="1"/>
  <c r="R3810" i="1"/>
  <c r="BL3810" i="1"/>
  <c r="BW3810" i="1"/>
  <c r="CH3810" i="1"/>
  <c r="CS3810" i="1"/>
  <c r="K3811" i="1"/>
  <c r="P3811" i="1"/>
  <c r="R3811" i="1"/>
  <c r="BL3811" i="1"/>
  <c r="BW3811" i="1"/>
  <c r="CH3811" i="1"/>
  <c r="CS3811" i="1"/>
  <c r="K3812" i="1"/>
  <c r="P3812" i="1"/>
  <c r="R3812" i="1"/>
  <c r="BL3812" i="1"/>
  <c r="BW3812" i="1"/>
  <c r="CH3812" i="1"/>
  <c r="CS3812" i="1"/>
  <c r="K3813" i="1"/>
  <c r="P3813" i="1"/>
  <c r="R3813" i="1"/>
  <c r="BL3813" i="1"/>
  <c r="BW3813" i="1"/>
  <c r="CH3813" i="1"/>
  <c r="CS3813" i="1"/>
  <c r="K3814" i="1"/>
  <c r="P3814" i="1"/>
  <c r="R3814" i="1"/>
  <c r="BL3814" i="1"/>
  <c r="BW3814" i="1"/>
  <c r="CH3814" i="1"/>
  <c r="CS3814" i="1"/>
  <c r="K3815" i="1"/>
  <c r="P3815" i="1"/>
  <c r="R3815" i="1"/>
  <c r="BL3815" i="1"/>
  <c r="BW3815" i="1"/>
  <c r="CH3815" i="1"/>
  <c r="CS3815" i="1"/>
  <c r="K3816" i="1"/>
  <c r="P3816" i="1"/>
  <c r="R3816" i="1"/>
  <c r="BL3816" i="1"/>
  <c r="BW3816" i="1"/>
  <c r="CH3816" i="1"/>
  <c r="CS3816" i="1"/>
  <c r="K3817" i="1"/>
  <c r="P3817" i="1"/>
  <c r="R3817" i="1"/>
  <c r="BL3817" i="1"/>
  <c r="BW3817" i="1"/>
  <c r="CH3817" i="1"/>
  <c r="CS3817" i="1"/>
  <c r="K3818" i="1"/>
  <c r="P3818" i="1"/>
  <c r="R3818" i="1"/>
  <c r="BL3818" i="1"/>
  <c r="BW3818" i="1"/>
  <c r="CH3818" i="1"/>
  <c r="CS3818" i="1"/>
  <c r="K3819" i="1"/>
  <c r="P3819" i="1"/>
  <c r="R3819" i="1"/>
  <c r="BL3819" i="1"/>
  <c r="BW3819" i="1"/>
  <c r="CH3819" i="1"/>
  <c r="CS3819" i="1"/>
  <c r="K3820" i="1"/>
  <c r="P3820" i="1"/>
  <c r="R3820" i="1"/>
  <c r="BL3820" i="1"/>
  <c r="BW3820" i="1"/>
  <c r="CH3820" i="1"/>
  <c r="CS3820" i="1"/>
  <c r="K3821" i="1"/>
  <c r="P3821" i="1"/>
  <c r="R3821" i="1"/>
  <c r="BL3821" i="1"/>
  <c r="BW3821" i="1"/>
  <c r="CH3821" i="1"/>
  <c r="CS3821" i="1"/>
  <c r="K3822" i="1"/>
  <c r="P3822" i="1"/>
  <c r="R3822" i="1"/>
  <c r="BL3822" i="1"/>
  <c r="BW3822" i="1"/>
  <c r="CH3822" i="1"/>
  <c r="CS3822" i="1"/>
  <c r="K3823" i="1"/>
  <c r="P3823" i="1"/>
  <c r="R3823" i="1"/>
  <c r="BL3823" i="1"/>
  <c r="BW3823" i="1"/>
  <c r="CH3823" i="1"/>
  <c r="CS3823" i="1"/>
  <c r="K3824" i="1"/>
  <c r="P3824" i="1"/>
  <c r="R3824" i="1"/>
  <c r="BL3824" i="1"/>
  <c r="BW3824" i="1"/>
  <c r="CH3824" i="1"/>
  <c r="CS3824" i="1"/>
  <c r="K3825" i="1"/>
  <c r="P3825" i="1"/>
  <c r="R3825" i="1"/>
  <c r="BL3825" i="1"/>
  <c r="BW3825" i="1"/>
  <c r="CH3825" i="1"/>
  <c r="CS3825" i="1"/>
  <c r="K3826" i="1"/>
  <c r="P3826" i="1"/>
  <c r="R3826" i="1"/>
  <c r="BL3826" i="1"/>
  <c r="BW3826" i="1"/>
  <c r="CH3826" i="1"/>
  <c r="CS3826" i="1"/>
  <c r="K3827" i="1"/>
  <c r="P3827" i="1"/>
  <c r="R3827" i="1"/>
  <c r="BL3827" i="1"/>
  <c r="BW3827" i="1"/>
  <c r="CH3827" i="1"/>
  <c r="CS3827" i="1"/>
  <c r="K3828" i="1"/>
  <c r="P3828" i="1"/>
  <c r="R3828" i="1"/>
  <c r="BL3828" i="1"/>
  <c r="BW3828" i="1"/>
  <c r="CH3828" i="1"/>
  <c r="CS3828" i="1"/>
  <c r="K3829" i="1"/>
  <c r="P3829" i="1"/>
  <c r="R3829" i="1"/>
  <c r="BL3829" i="1"/>
  <c r="BW3829" i="1"/>
  <c r="CH3829" i="1"/>
  <c r="CS3829" i="1"/>
  <c r="K3830" i="1"/>
  <c r="P3830" i="1"/>
  <c r="R3830" i="1"/>
  <c r="BL3830" i="1"/>
  <c r="BW3830" i="1"/>
  <c r="CH3830" i="1"/>
  <c r="CS3830" i="1"/>
  <c r="K3831" i="1"/>
  <c r="P3831" i="1"/>
  <c r="R3831" i="1"/>
  <c r="BL3831" i="1"/>
  <c r="BW3831" i="1"/>
  <c r="CH3831" i="1"/>
  <c r="CS3831" i="1"/>
  <c r="K3832" i="1"/>
  <c r="P3832" i="1"/>
  <c r="R3832" i="1"/>
  <c r="BL3832" i="1"/>
  <c r="BW3832" i="1"/>
  <c r="CH3832" i="1"/>
  <c r="CS3832" i="1"/>
  <c r="K3833" i="1"/>
  <c r="P3833" i="1"/>
  <c r="R3833" i="1"/>
  <c r="BL3833" i="1"/>
  <c r="BW3833" i="1"/>
  <c r="CH3833" i="1"/>
  <c r="CS3833" i="1"/>
  <c r="K3834" i="1"/>
  <c r="P3834" i="1"/>
  <c r="R3834" i="1"/>
  <c r="BL3834" i="1"/>
  <c r="BW3834" i="1"/>
  <c r="CH3834" i="1"/>
  <c r="CS3834" i="1"/>
  <c r="K3835" i="1"/>
  <c r="P3835" i="1"/>
  <c r="R3835" i="1"/>
  <c r="BL3835" i="1"/>
  <c r="BW3835" i="1"/>
  <c r="CH3835" i="1"/>
  <c r="CS3835" i="1"/>
  <c r="K3836" i="1"/>
  <c r="P3836" i="1"/>
  <c r="R3836" i="1"/>
  <c r="BL3836" i="1"/>
  <c r="BW3836" i="1"/>
  <c r="CH3836" i="1"/>
  <c r="CS3836" i="1"/>
  <c r="K3837" i="1"/>
  <c r="P3837" i="1"/>
  <c r="R3837" i="1"/>
  <c r="BL3837" i="1"/>
  <c r="BW3837" i="1"/>
  <c r="CH3837" i="1"/>
  <c r="CS3837" i="1"/>
  <c r="K3838" i="1"/>
  <c r="P3838" i="1"/>
  <c r="R3838" i="1"/>
  <c r="BL3838" i="1"/>
  <c r="BW3838" i="1"/>
  <c r="CH3838" i="1"/>
  <c r="CS3838" i="1"/>
  <c r="K3839" i="1"/>
  <c r="P3839" i="1"/>
  <c r="R3839" i="1"/>
  <c r="BL3839" i="1"/>
  <c r="BW3839" i="1"/>
  <c r="CH3839" i="1"/>
  <c r="CS3839" i="1"/>
  <c r="K3840" i="1"/>
  <c r="P3840" i="1"/>
  <c r="R3840" i="1"/>
  <c r="BL3840" i="1"/>
  <c r="BW3840" i="1"/>
  <c r="CH3840" i="1"/>
  <c r="CS3840" i="1"/>
  <c r="K3841" i="1"/>
  <c r="P3841" i="1"/>
  <c r="R3841" i="1"/>
  <c r="BL3841" i="1"/>
  <c r="BW3841" i="1"/>
  <c r="CH3841" i="1"/>
  <c r="CS3841" i="1"/>
  <c r="K3842" i="1"/>
  <c r="P3842" i="1"/>
  <c r="R3842" i="1"/>
  <c r="BL3842" i="1"/>
  <c r="BW3842" i="1"/>
  <c r="CH3842" i="1"/>
  <c r="CS3842" i="1"/>
  <c r="K3843" i="1"/>
  <c r="P3843" i="1"/>
  <c r="R3843" i="1"/>
  <c r="BL3843" i="1"/>
  <c r="BW3843" i="1"/>
  <c r="CH3843" i="1"/>
  <c r="CS3843" i="1"/>
  <c r="K3844" i="1"/>
  <c r="P3844" i="1"/>
  <c r="R3844" i="1"/>
  <c r="BL3844" i="1"/>
  <c r="BW3844" i="1"/>
  <c r="CH3844" i="1"/>
  <c r="CS3844" i="1"/>
  <c r="K3845" i="1"/>
  <c r="P3845" i="1"/>
  <c r="R3845" i="1"/>
  <c r="BL3845" i="1"/>
  <c r="BW3845" i="1"/>
  <c r="CH3845" i="1"/>
  <c r="CS3845" i="1"/>
  <c r="K3846" i="1"/>
  <c r="P3846" i="1"/>
  <c r="R3846" i="1"/>
  <c r="BL3846" i="1"/>
  <c r="BW3846" i="1"/>
  <c r="CH3846" i="1"/>
  <c r="CS3846" i="1"/>
  <c r="K3847" i="1"/>
  <c r="P3847" i="1"/>
  <c r="R3847" i="1"/>
  <c r="BL3847" i="1"/>
  <c r="BW3847" i="1"/>
  <c r="CH3847" i="1"/>
  <c r="CS3847" i="1"/>
  <c r="K3848" i="1"/>
  <c r="P3848" i="1"/>
  <c r="R3848" i="1"/>
  <c r="BL3848" i="1"/>
  <c r="BW3848" i="1"/>
  <c r="CH3848" i="1"/>
  <c r="CS3848" i="1"/>
  <c r="K3849" i="1"/>
  <c r="P3849" i="1"/>
  <c r="R3849" i="1"/>
  <c r="BL3849" i="1"/>
  <c r="BW3849" i="1"/>
  <c r="CH3849" i="1"/>
  <c r="CS3849" i="1"/>
  <c r="K3850" i="1"/>
  <c r="P3850" i="1"/>
  <c r="R3850" i="1"/>
  <c r="BL3850" i="1"/>
  <c r="BW3850" i="1"/>
  <c r="CH3850" i="1"/>
  <c r="CS3850" i="1"/>
  <c r="K3851" i="1"/>
  <c r="P3851" i="1"/>
  <c r="R3851" i="1"/>
  <c r="BL3851" i="1"/>
  <c r="BW3851" i="1"/>
  <c r="CH3851" i="1"/>
  <c r="CS3851" i="1"/>
  <c r="K3852" i="1"/>
  <c r="P3852" i="1"/>
  <c r="R3852" i="1"/>
  <c r="BL3852" i="1"/>
  <c r="BW3852" i="1"/>
  <c r="CH3852" i="1"/>
  <c r="CS3852" i="1"/>
  <c r="K3853" i="1"/>
  <c r="P3853" i="1"/>
  <c r="R3853" i="1"/>
  <c r="BL3853" i="1"/>
  <c r="BW3853" i="1"/>
  <c r="CH3853" i="1"/>
  <c r="CS3853" i="1"/>
  <c r="K3854" i="1"/>
  <c r="P3854" i="1"/>
  <c r="R3854" i="1"/>
  <c r="BL3854" i="1"/>
  <c r="BW3854" i="1"/>
  <c r="CH3854" i="1"/>
  <c r="CS3854" i="1"/>
  <c r="K3855" i="1"/>
  <c r="P3855" i="1"/>
  <c r="R3855" i="1"/>
  <c r="BL3855" i="1"/>
  <c r="BW3855" i="1"/>
  <c r="CH3855" i="1"/>
  <c r="CS3855" i="1"/>
  <c r="K3856" i="1"/>
  <c r="P3856" i="1"/>
  <c r="R3856" i="1"/>
  <c r="BL3856" i="1"/>
  <c r="BW3856" i="1"/>
  <c r="CH3856" i="1"/>
  <c r="CS3856" i="1"/>
  <c r="K3857" i="1"/>
  <c r="P3857" i="1"/>
  <c r="R3857" i="1"/>
  <c r="BL3857" i="1"/>
  <c r="BW3857" i="1"/>
  <c r="CH3857" i="1"/>
  <c r="CS3857" i="1"/>
  <c r="K3858" i="1"/>
  <c r="P3858" i="1"/>
  <c r="R3858" i="1"/>
  <c r="BL3858" i="1"/>
  <c r="BW3858" i="1"/>
  <c r="CH3858" i="1"/>
  <c r="CS3858" i="1"/>
  <c r="K3859" i="1"/>
  <c r="P3859" i="1"/>
  <c r="R3859" i="1"/>
  <c r="BL3859" i="1"/>
  <c r="BW3859" i="1"/>
  <c r="CH3859" i="1"/>
  <c r="CS3859" i="1"/>
  <c r="K3860" i="1"/>
  <c r="P3860" i="1"/>
  <c r="R3860" i="1"/>
  <c r="BL3860" i="1"/>
  <c r="BW3860" i="1"/>
  <c r="CH3860" i="1"/>
  <c r="CS3860" i="1"/>
  <c r="K3861" i="1"/>
  <c r="P3861" i="1"/>
  <c r="R3861" i="1"/>
  <c r="BL3861" i="1"/>
  <c r="BW3861" i="1"/>
  <c r="CH3861" i="1"/>
  <c r="CS3861" i="1"/>
  <c r="K3862" i="1"/>
  <c r="P3862" i="1"/>
  <c r="R3862" i="1"/>
  <c r="BL3862" i="1"/>
  <c r="BW3862" i="1"/>
  <c r="CH3862" i="1"/>
  <c r="CS3862" i="1"/>
  <c r="K3863" i="1"/>
  <c r="P3863" i="1"/>
  <c r="R3863" i="1"/>
  <c r="BL3863" i="1"/>
  <c r="BW3863" i="1"/>
  <c r="CH3863" i="1"/>
  <c r="CS3863" i="1"/>
  <c r="K3864" i="1"/>
  <c r="P3864" i="1"/>
  <c r="R3864" i="1"/>
  <c r="BL3864" i="1"/>
  <c r="BW3864" i="1"/>
  <c r="CH3864" i="1"/>
  <c r="CS3864" i="1"/>
  <c r="K3865" i="1"/>
  <c r="P3865" i="1"/>
  <c r="R3865" i="1"/>
  <c r="BL3865" i="1"/>
  <c r="BW3865" i="1"/>
  <c r="CH3865" i="1"/>
  <c r="CS3865" i="1"/>
  <c r="K3866" i="1"/>
  <c r="P3866" i="1"/>
  <c r="R3866" i="1"/>
  <c r="BL3866" i="1"/>
  <c r="BW3866" i="1"/>
  <c r="CH3866" i="1"/>
  <c r="CS3866" i="1"/>
  <c r="K3867" i="1"/>
  <c r="P3867" i="1"/>
  <c r="R3867" i="1"/>
  <c r="BL3867" i="1"/>
  <c r="BW3867" i="1"/>
  <c r="CH3867" i="1"/>
  <c r="CS3867" i="1"/>
  <c r="K3868" i="1"/>
  <c r="P3868" i="1"/>
  <c r="R3868" i="1"/>
  <c r="BL3868" i="1"/>
  <c r="BW3868" i="1"/>
  <c r="CH3868" i="1"/>
  <c r="CS3868" i="1"/>
  <c r="K3869" i="1"/>
  <c r="P3869" i="1"/>
  <c r="R3869" i="1"/>
  <c r="BL3869" i="1"/>
  <c r="BW3869" i="1"/>
  <c r="CH3869" i="1"/>
  <c r="CS3869" i="1"/>
  <c r="K3870" i="1"/>
  <c r="P3870" i="1"/>
  <c r="R3870" i="1"/>
  <c r="BL3870" i="1"/>
  <c r="BW3870" i="1"/>
  <c r="CH3870" i="1"/>
  <c r="CS3870" i="1"/>
  <c r="K3871" i="1"/>
  <c r="P3871" i="1"/>
  <c r="R3871" i="1"/>
  <c r="BL3871" i="1"/>
  <c r="BW3871" i="1"/>
  <c r="CH3871" i="1"/>
  <c r="CS3871" i="1"/>
  <c r="K3872" i="1"/>
  <c r="P3872" i="1"/>
  <c r="R3872" i="1"/>
  <c r="BL3872" i="1"/>
  <c r="BW3872" i="1"/>
  <c r="CH3872" i="1"/>
  <c r="CS3872" i="1"/>
  <c r="K3873" i="1"/>
  <c r="P3873" i="1"/>
  <c r="R3873" i="1"/>
  <c r="BL3873" i="1"/>
  <c r="BW3873" i="1"/>
  <c r="CH3873" i="1"/>
  <c r="CS3873" i="1"/>
  <c r="K3874" i="1"/>
  <c r="P3874" i="1"/>
  <c r="R3874" i="1"/>
  <c r="BL3874" i="1"/>
  <c r="BW3874" i="1"/>
  <c r="CH3874" i="1"/>
  <c r="CS3874" i="1"/>
  <c r="K3875" i="1"/>
  <c r="P3875" i="1"/>
  <c r="R3875" i="1"/>
  <c r="BL3875" i="1"/>
  <c r="BW3875" i="1"/>
  <c r="CH3875" i="1"/>
  <c r="CS3875" i="1"/>
  <c r="K3876" i="1"/>
  <c r="P3876" i="1"/>
  <c r="R3876" i="1"/>
  <c r="BL3876" i="1"/>
  <c r="BW3876" i="1"/>
  <c r="CH3876" i="1"/>
  <c r="CS3876" i="1"/>
  <c r="K3877" i="1"/>
  <c r="P3877" i="1"/>
  <c r="R3877" i="1"/>
  <c r="BL3877" i="1"/>
  <c r="BW3877" i="1"/>
  <c r="CH3877" i="1"/>
  <c r="CS3877" i="1"/>
  <c r="K3878" i="1"/>
  <c r="P3878" i="1"/>
  <c r="R3878" i="1"/>
  <c r="BL3878" i="1"/>
  <c r="BW3878" i="1"/>
  <c r="CH3878" i="1"/>
  <c r="CS3878" i="1"/>
  <c r="K3879" i="1"/>
  <c r="P3879" i="1"/>
  <c r="R3879" i="1"/>
  <c r="BL3879" i="1"/>
  <c r="BW3879" i="1"/>
  <c r="CH3879" i="1"/>
  <c r="CS3879" i="1"/>
  <c r="K3880" i="1"/>
  <c r="P3880" i="1"/>
  <c r="R3880" i="1"/>
  <c r="BL3880" i="1"/>
  <c r="BW3880" i="1"/>
  <c r="CH3880" i="1"/>
  <c r="CS3880" i="1"/>
  <c r="K3881" i="1"/>
  <c r="P3881" i="1"/>
  <c r="R3881" i="1"/>
  <c r="BL3881" i="1"/>
  <c r="BW3881" i="1"/>
  <c r="CH3881" i="1"/>
  <c r="CS3881" i="1"/>
  <c r="K3882" i="1"/>
  <c r="P3882" i="1"/>
  <c r="R3882" i="1"/>
  <c r="BL3882" i="1"/>
  <c r="BW3882" i="1"/>
  <c r="CH3882" i="1"/>
  <c r="CS3882" i="1"/>
  <c r="K3883" i="1"/>
  <c r="P3883" i="1"/>
  <c r="R3883" i="1"/>
  <c r="BL3883" i="1"/>
  <c r="BW3883" i="1"/>
  <c r="CH3883" i="1"/>
  <c r="CS3883" i="1"/>
  <c r="K3884" i="1"/>
  <c r="P3884" i="1"/>
  <c r="R3884" i="1"/>
  <c r="BL3884" i="1"/>
  <c r="BW3884" i="1"/>
  <c r="CH3884" i="1"/>
  <c r="CS3884" i="1"/>
  <c r="K3885" i="1"/>
  <c r="P3885" i="1"/>
  <c r="R3885" i="1"/>
  <c r="BL3885" i="1"/>
  <c r="BW3885" i="1"/>
  <c r="CH3885" i="1"/>
  <c r="CS3885" i="1"/>
  <c r="K3886" i="1"/>
  <c r="P3886" i="1"/>
  <c r="R3886" i="1"/>
  <c r="BL3886" i="1"/>
  <c r="BW3886" i="1"/>
  <c r="CH3886" i="1"/>
  <c r="CS3886" i="1"/>
  <c r="K3887" i="1"/>
  <c r="P3887" i="1"/>
  <c r="R3887" i="1"/>
  <c r="BL3887" i="1"/>
  <c r="BW3887" i="1"/>
  <c r="CH3887" i="1"/>
  <c r="CS3887" i="1"/>
  <c r="K3888" i="1"/>
  <c r="P3888" i="1"/>
  <c r="R3888" i="1"/>
  <c r="BL3888" i="1"/>
  <c r="BW3888" i="1"/>
  <c r="CH3888" i="1"/>
  <c r="CS3888" i="1"/>
  <c r="K3889" i="1"/>
  <c r="P3889" i="1"/>
  <c r="R3889" i="1"/>
  <c r="BL3889" i="1"/>
  <c r="BW3889" i="1"/>
  <c r="CH3889" i="1"/>
  <c r="CS3889" i="1"/>
  <c r="K3890" i="1"/>
  <c r="P3890" i="1"/>
  <c r="R3890" i="1"/>
  <c r="BL3890" i="1"/>
  <c r="BW3890" i="1"/>
  <c r="CH3890" i="1"/>
  <c r="CS3890" i="1"/>
  <c r="K3891" i="1"/>
  <c r="P3891" i="1"/>
  <c r="R3891" i="1"/>
  <c r="BL3891" i="1"/>
  <c r="BW3891" i="1"/>
  <c r="CH3891" i="1"/>
  <c r="CS3891" i="1"/>
  <c r="K3892" i="1"/>
  <c r="P3892" i="1"/>
  <c r="R3892" i="1"/>
  <c r="BL3892" i="1"/>
  <c r="BW3892" i="1"/>
  <c r="CH3892" i="1"/>
  <c r="CS3892" i="1"/>
  <c r="K3893" i="1"/>
  <c r="P3893" i="1"/>
  <c r="R3893" i="1"/>
  <c r="BL3893" i="1"/>
  <c r="BW3893" i="1"/>
  <c r="CH3893" i="1"/>
  <c r="CS3893" i="1"/>
  <c r="K3894" i="1"/>
  <c r="P3894" i="1"/>
  <c r="R3894" i="1"/>
  <c r="BL3894" i="1"/>
  <c r="BW3894" i="1"/>
  <c r="CH3894" i="1"/>
  <c r="CS3894" i="1"/>
  <c r="K3895" i="1"/>
  <c r="P3895" i="1"/>
  <c r="R3895" i="1"/>
  <c r="BL3895" i="1"/>
  <c r="BW3895" i="1"/>
  <c r="CH3895" i="1"/>
  <c r="CS3895" i="1"/>
  <c r="K3896" i="1"/>
  <c r="P3896" i="1"/>
  <c r="R3896" i="1"/>
  <c r="BL3896" i="1"/>
  <c r="BW3896" i="1"/>
  <c r="CH3896" i="1"/>
  <c r="CS3896" i="1"/>
  <c r="K3897" i="1"/>
  <c r="P3897" i="1"/>
  <c r="R3897" i="1"/>
  <c r="BL3897" i="1"/>
  <c r="BW3897" i="1"/>
  <c r="CH3897" i="1"/>
  <c r="CS3897" i="1"/>
  <c r="K3898" i="1"/>
  <c r="P3898" i="1"/>
  <c r="R3898" i="1"/>
  <c r="BL3898" i="1"/>
  <c r="BW3898" i="1"/>
  <c r="CH3898" i="1"/>
  <c r="CS3898" i="1"/>
  <c r="K3899" i="1"/>
  <c r="P3899" i="1"/>
  <c r="R3899" i="1"/>
  <c r="BL3899" i="1"/>
  <c r="BW3899" i="1"/>
  <c r="CH3899" i="1"/>
  <c r="CS3899" i="1"/>
  <c r="K3900" i="1"/>
  <c r="P3900" i="1"/>
  <c r="R3900" i="1"/>
  <c r="BL3900" i="1"/>
  <c r="BW3900" i="1"/>
  <c r="CH3900" i="1"/>
  <c r="CS3900" i="1"/>
  <c r="K3901" i="1"/>
  <c r="P3901" i="1"/>
  <c r="R3901" i="1"/>
  <c r="BL3901" i="1"/>
  <c r="BW3901" i="1"/>
  <c r="CH3901" i="1"/>
  <c r="CS3901" i="1"/>
  <c r="K3902" i="1"/>
  <c r="P3902" i="1"/>
  <c r="R3902" i="1"/>
  <c r="BL3902" i="1"/>
  <c r="BW3902" i="1"/>
  <c r="CH3902" i="1"/>
  <c r="CS3902" i="1"/>
  <c r="K3903" i="1"/>
  <c r="P3903" i="1"/>
  <c r="R3903" i="1"/>
  <c r="BL3903" i="1"/>
  <c r="BW3903" i="1"/>
  <c r="CH3903" i="1"/>
  <c r="CS3903" i="1"/>
  <c r="K3904" i="1"/>
  <c r="P3904" i="1"/>
  <c r="R3904" i="1"/>
  <c r="BL3904" i="1"/>
  <c r="BW3904" i="1"/>
  <c r="CH3904" i="1"/>
  <c r="CS3904" i="1"/>
  <c r="K3905" i="1"/>
  <c r="P3905" i="1"/>
  <c r="R3905" i="1"/>
  <c r="BL3905" i="1"/>
  <c r="BW3905" i="1"/>
  <c r="CH3905" i="1"/>
  <c r="CS3905" i="1"/>
  <c r="K3906" i="1"/>
  <c r="P3906" i="1"/>
  <c r="R3906" i="1"/>
  <c r="BL3906" i="1"/>
  <c r="BW3906" i="1"/>
  <c r="CH3906" i="1"/>
  <c r="CS3906" i="1"/>
  <c r="K3907" i="1"/>
  <c r="P3907" i="1"/>
  <c r="R3907" i="1"/>
  <c r="BL3907" i="1"/>
  <c r="BW3907" i="1"/>
  <c r="CH3907" i="1"/>
  <c r="CS3907" i="1"/>
  <c r="K3908" i="1"/>
  <c r="P3908" i="1"/>
  <c r="R3908" i="1"/>
  <c r="BL3908" i="1"/>
  <c r="BW3908" i="1"/>
  <c r="CH3908" i="1"/>
  <c r="CS3908" i="1"/>
  <c r="K3909" i="1"/>
  <c r="P3909" i="1"/>
  <c r="R3909" i="1"/>
  <c r="BL3909" i="1"/>
  <c r="BW3909" i="1"/>
  <c r="CH3909" i="1"/>
  <c r="CS3909" i="1"/>
  <c r="K3910" i="1"/>
  <c r="P3910" i="1"/>
  <c r="R3910" i="1"/>
  <c r="BL3910" i="1"/>
  <c r="BW3910" i="1"/>
  <c r="CH3910" i="1"/>
  <c r="CS3910" i="1"/>
  <c r="K3911" i="1"/>
  <c r="P3911" i="1"/>
  <c r="R3911" i="1"/>
  <c r="BL3911" i="1"/>
  <c r="BW3911" i="1"/>
  <c r="CH3911" i="1"/>
  <c r="CS3911" i="1"/>
  <c r="K3912" i="1"/>
  <c r="P3912" i="1"/>
  <c r="R3912" i="1"/>
  <c r="BL3912" i="1"/>
  <c r="BW3912" i="1"/>
  <c r="CH3912" i="1"/>
  <c r="CS3912" i="1"/>
  <c r="K3913" i="1"/>
  <c r="P3913" i="1"/>
  <c r="R3913" i="1"/>
  <c r="BL3913" i="1"/>
  <c r="BW3913" i="1"/>
  <c r="CH3913" i="1"/>
  <c r="CS3913" i="1"/>
  <c r="K3914" i="1"/>
  <c r="P3914" i="1"/>
  <c r="R3914" i="1"/>
  <c r="BL3914" i="1"/>
  <c r="BW3914" i="1"/>
  <c r="CH3914" i="1"/>
  <c r="CS3914" i="1"/>
  <c r="K3915" i="1"/>
  <c r="P3915" i="1"/>
  <c r="R3915" i="1"/>
  <c r="BL3915" i="1"/>
  <c r="BW3915" i="1"/>
  <c r="CH3915" i="1"/>
  <c r="CS3915" i="1"/>
  <c r="K3916" i="1"/>
  <c r="P3916" i="1"/>
  <c r="R3916" i="1"/>
  <c r="BL3916" i="1"/>
  <c r="BW3916" i="1"/>
  <c r="CH3916" i="1"/>
  <c r="CS3916" i="1"/>
  <c r="K3917" i="1"/>
  <c r="P3917" i="1"/>
  <c r="R3917" i="1"/>
  <c r="BL3917" i="1"/>
  <c r="BW3917" i="1"/>
  <c r="CH3917" i="1"/>
  <c r="CS3917" i="1"/>
  <c r="K3918" i="1"/>
  <c r="P3918" i="1"/>
  <c r="R3918" i="1"/>
  <c r="BL3918" i="1"/>
  <c r="BW3918" i="1"/>
  <c r="CH3918" i="1"/>
  <c r="CS3918" i="1"/>
  <c r="K3919" i="1"/>
  <c r="P3919" i="1"/>
  <c r="R3919" i="1"/>
  <c r="BL3919" i="1"/>
  <c r="BW3919" i="1"/>
  <c r="CH3919" i="1"/>
  <c r="CS3919" i="1"/>
  <c r="K3920" i="1"/>
  <c r="P3920" i="1"/>
  <c r="R3920" i="1"/>
  <c r="BL3920" i="1"/>
  <c r="BW3920" i="1"/>
  <c r="CH3920" i="1"/>
  <c r="CS3920" i="1"/>
  <c r="K3921" i="1"/>
  <c r="P3921" i="1"/>
  <c r="R3921" i="1"/>
  <c r="BL3921" i="1"/>
  <c r="BW3921" i="1"/>
  <c r="CH3921" i="1"/>
  <c r="CS3921" i="1"/>
  <c r="K3922" i="1"/>
  <c r="P3922" i="1"/>
  <c r="R3922" i="1"/>
  <c r="BL3922" i="1"/>
  <c r="BW3922" i="1"/>
  <c r="CH3922" i="1"/>
  <c r="CS3922" i="1"/>
  <c r="K3923" i="1"/>
  <c r="P3923" i="1"/>
  <c r="R3923" i="1"/>
  <c r="BL3923" i="1"/>
  <c r="BW3923" i="1"/>
  <c r="CH3923" i="1"/>
  <c r="CS3923" i="1"/>
  <c r="K3924" i="1"/>
  <c r="P3924" i="1"/>
  <c r="R3924" i="1"/>
  <c r="BL3924" i="1"/>
  <c r="BW3924" i="1"/>
  <c r="CH3924" i="1"/>
  <c r="CS3924" i="1"/>
  <c r="K3925" i="1"/>
  <c r="P3925" i="1"/>
  <c r="R3925" i="1"/>
  <c r="BL3925" i="1"/>
  <c r="BW3925" i="1"/>
  <c r="CH3925" i="1"/>
  <c r="CS3925" i="1"/>
  <c r="K3926" i="1"/>
  <c r="P3926" i="1"/>
  <c r="R3926" i="1"/>
  <c r="BL3926" i="1"/>
  <c r="BW3926" i="1"/>
  <c r="CH3926" i="1"/>
  <c r="CS3926" i="1"/>
  <c r="K3927" i="1"/>
  <c r="P3927" i="1"/>
  <c r="R3927" i="1"/>
  <c r="BL3927" i="1"/>
  <c r="BW3927" i="1"/>
  <c r="CH3927" i="1"/>
  <c r="CS3927" i="1"/>
  <c r="K3928" i="1"/>
  <c r="P3928" i="1"/>
  <c r="R3928" i="1"/>
  <c r="BL3928" i="1"/>
  <c r="BW3928" i="1"/>
  <c r="CH3928" i="1"/>
  <c r="CS3928" i="1"/>
  <c r="K3929" i="1"/>
  <c r="P3929" i="1"/>
  <c r="R3929" i="1"/>
  <c r="BL3929" i="1"/>
  <c r="BW3929" i="1"/>
  <c r="CH3929" i="1"/>
  <c r="CS3929" i="1"/>
  <c r="K3930" i="1"/>
  <c r="P3930" i="1"/>
  <c r="R3930" i="1"/>
  <c r="BL3930" i="1"/>
  <c r="BW3930" i="1"/>
  <c r="CH3930" i="1"/>
  <c r="CS3930" i="1"/>
  <c r="K3931" i="1"/>
  <c r="P3931" i="1"/>
  <c r="R3931" i="1"/>
  <c r="BL3931" i="1"/>
  <c r="BW3931" i="1"/>
  <c r="CH3931" i="1"/>
  <c r="CS3931" i="1"/>
  <c r="K3932" i="1"/>
  <c r="P3932" i="1"/>
  <c r="R3932" i="1"/>
  <c r="BL3932" i="1"/>
  <c r="BW3932" i="1"/>
  <c r="CH3932" i="1"/>
  <c r="CS3932" i="1"/>
  <c r="K3933" i="1"/>
  <c r="P3933" i="1"/>
  <c r="R3933" i="1"/>
  <c r="BL3933" i="1"/>
  <c r="BW3933" i="1"/>
  <c r="CH3933" i="1"/>
  <c r="CS3933" i="1"/>
  <c r="K3934" i="1"/>
  <c r="P3934" i="1"/>
  <c r="R3934" i="1"/>
  <c r="BL3934" i="1"/>
  <c r="BW3934" i="1"/>
  <c r="CH3934" i="1"/>
  <c r="CS3934" i="1"/>
  <c r="K3935" i="1"/>
  <c r="P3935" i="1"/>
  <c r="R3935" i="1"/>
  <c r="BL3935" i="1"/>
  <c r="BW3935" i="1"/>
  <c r="CH3935" i="1"/>
  <c r="CS3935" i="1"/>
  <c r="K3936" i="1"/>
  <c r="P3936" i="1"/>
  <c r="R3936" i="1"/>
  <c r="BL3936" i="1"/>
  <c r="BW3936" i="1"/>
  <c r="CH3936" i="1"/>
  <c r="CS3936" i="1"/>
  <c r="K3937" i="1"/>
  <c r="P3937" i="1"/>
  <c r="R3937" i="1"/>
  <c r="BL3937" i="1"/>
  <c r="BW3937" i="1"/>
  <c r="CH3937" i="1"/>
  <c r="CS3937" i="1"/>
  <c r="K3938" i="1"/>
  <c r="P3938" i="1"/>
  <c r="R3938" i="1"/>
  <c r="BL3938" i="1"/>
  <c r="BW3938" i="1"/>
  <c r="CH3938" i="1"/>
  <c r="CS3938" i="1"/>
  <c r="K3939" i="1"/>
  <c r="P3939" i="1"/>
  <c r="R3939" i="1"/>
  <c r="BL3939" i="1"/>
  <c r="BW3939" i="1"/>
  <c r="CH3939" i="1"/>
  <c r="CS3939" i="1"/>
  <c r="K3940" i="1"/>
  <c r="P3940" i="1"/>
  <c r="R3940" i="1"/>
  <c r="BL3940" i="1"/>
  <c r="BW3940" i="1"/>
  <c r="CH3940" i="1"/>
  <c r="CS3940" i="1"/>
  <c r="K3941" i="1"/>
  <c r="P3941" i="1"/>
  <c r="R3941" i="1"/>
  <c r="BL3941" i="1"/>
  <c r="BW3941" i="1"/>
  <c r="CH3941" i="1"/>
  <c r="CS3941" i="1"/>
  <c r="K3942" i="1"/>
  <c r="P3942" i="1"/>
  <c r="R3942" i="1"/>
  <c r="BL3942" i="1"/>
  <c r="BW3942" i="1"/>
  <c r="CH3942" i="1"/>
  <c r="CS3942" i="1"/>
  <c r="K3943" i="1"/>
  <c r="P3943" i="1"/>
  <c r="R3943" i="1"/>
  <c r="BL3943" i="1"/>
  <c r="BW3943" i="1"/>
  <c r="CH3943" i="1"/>
  <c r="CS3943" i="1"/>
  <c r="K3944" i="1"/>
  <c r="P3944" i="1"/>
  <c r="R3944" i="1"/>
  <c r="BL3944" i="1"/>
  <c r="BW3944" i="1"/>
  <c r="CH3944" i="1"/>
  <c r="CS3944" i="1"/>
  <c r="K3945" i="1"/>
  <c r="P3945" i="1"/>
  <c r="R3945" i="1"/>
  <c r="BL3945" i="1"/>
  <c r="BW3945" i="1"/>
  <c r="CH3945" i="1"/>
  <c r="CS3945" i="1"/>
  <c r="K3946" i="1"/>
  <c r="P3946" i="1"/>
  <c r="R3946" i="1"/>
  <c r="BL3946" i="1"/>
  <c r="BW3946" i="1"/>
  <c r="CH3946" i="1"/>
  <c r="CS3946" i="1"/>
  <c r="K3947" i="1"/>
  <c r="P3947" i="1"/>
  <c r="R3947" i="1"/>
  <c r="BL3947" i="1"/>
  <c r="BW3947" i="1"/>
  <c r="CH3947" i="1"/>
  <c r="CS3947" i="1"/>
  <c r="K3948" i="1"/>
  <c r="P3948" i="1"/>
  <c r="R3948" i="1"/>
  <c r="BL3948" i="1"/>
  <c r="BW3948" i="1"/>
  <c r="CH3948" i="1"/>
  <c r="CS3948" i="1"/>
  <c r="K3949" i="1"/>
  <c r="P3949" i="1"/>
  <c r="R3949" i="1"/>
  <c r="BL3949" i="1"/>
  <c r="BW3949" i="1"/>
  <c r="CH3949" i="1"/>
  <c r="CS3949" i="1"/>
  <c r="K3950" i="1"/>
  <c r="P3950" i="1"/>
  <c r="R3950" i="1"/>
  <c r="BL3950" i="1"/>
  <c r="BW3950" i="1"/>
  <c r="CH3950" i="1"/>
  <c r="CS3950" i="1"/>
  <c r="K3951" i="1"/>
  <c r="P3951" i="1"/>
  <c r="R3951" i="1"/>
  <c r="BL3951" i="1"/>
  <c r="BW3951" i="1"/>
  <c r="CH3951" i="1"/>
  <c r="CS3951" i="1"/>
  <c r="K3952" i="1"/>
  <c r="P3952" i="1"/>
  <c r="R3952" i="1"/>
  <c r="BL3952" i="1"/>
  <c r="BW3952" i="1"/>
  <c r="CH3952" i="1"/>
  <c r="CS3952" i="1"/>
  <c r="K3953" i="1"/>
  <c r="P3953" i="1"/>
  <c r="R3953" i="1"/>
  <c r="BL3953" i="1"/>
  <c r="BW3953" i="1"/>
  <c r="CH3953" i="1"/>
  <c r="CS3953" i="1"/>
  <c r="K3954" i="1"/>
  <c r="P3954" i="1"/>
  <c r="R3954" i="1"/>
  <c r="BL3954" i="1"/>
  <c r="BW3954" i="1"/>
  <c r="CH3954" i="1"/>
  <c r="CS3954" i="1"/>
  <c r="K3955" i="1"/>
  <c r="P3955" i="1"/>
  <c r="R3955" i="1"/>
  <c r="BL3955" i="1"/>
  <c r="BW3955" i="1"/>
  <c r="CH3955" i="1"/>
  <c r="CS3955" i="1"/>
  <c r="K3956" i="1"/>
  <c r="P3956" i="1"/>
  <c r="R3956" i="1"/>
  <c r="BL3956" i="1"/>
  <c r="BW3956" i="1"/>
  <c r="CH3956" i="1"/>
  <c r="CS3956" i="1"/>
  <c r="K3957" i="1"/>
  <c r="P3957" i="1"/>
  <c r="R3957" i="1"/>
  <c r="BL3957" i="1"/>
  <c r="BW3957" i="1"/>
  <c r="CH3957" i="1"/>
  <c r="CS3957" i="1"/>
  <c r="K3958" i="1"/>
  <c r="P3958" i="1"/>
  <c r="R3958" i="1"/>
  <c r="BL3958" i="1"/>
  <c r="BW3958" i="1"/>
  <c r="CH3958" i="1"/>
  <c r="CS3958" i="1"/>
  <c r="K3959" i="1"/>
  <c r="P3959" i="1"/>
  <c r="R3959" i="1"/>
  <c r="BL3959" i="1"/>
  <c r="BW3959" i="1"/>
  <c r="CH3959" i="1"/>
  <c r="CS3959" i="1"/>
  <c r="K3960" i="1"/>
  <c r="P3960" i="1"/>
  <c r="R3960" i="1"/>
  <c r="BL3960" i="1"/>
  <c r="BW3960" i="1"/>
  <c r="CH3960" i="1"/>
  <c r="CS3960" i="1"/>
  <c r="K3961" i="1"/>
  <c r="P3961" i="1"/>
  <c r="R3961" i="1"/>
  <c r="BL3961" i="1"/>
  <c r="BW3961" i="1"/>
  <c r="CH3961" i="1"/>
  <c r="CS3961" i="1"/>
  <c r="K3962" i="1"/>
  <c r="P3962" i="1"/>
  <c r="R3962" i="1"/>
  <c r="BL3962" i="1"/>
  <c r="BW3962" i="1"/>
  <c r="CH3962" i="1"/>
  <c r="CS3962" i="1"/>
  <c r="K3963" i="1"/>
  <c r="P3963" i="1"/>
  <c r="R3963" i="1"/>
  <c r="BL3963" i="1"/>
  <c r="BW3963" i="1"/>
  <c r="CH3963" i="1"/>
  <c r="CS3963" i="1"/>
  <c r="K3964" i="1"/>
  <c r="P3964" i="1"/>
  <c r="R3964" i="1"/>
  <c r="BL3964" i="1"/>
  <c r="BW3964" i="1"/>
  <c r="CH3964" i="1"/>
  <c r="CS3964" i="1"/>
  <c r="K3965" i="1"/>
  <c r="P3965" i="1"/>
  <c r="R3965" i="1"/>
  <c r="BL3965" i="1"/>
  <c r="BW3965" i="1"/>
  <c r="CH3965" i="1"/>
  <c r="CS3965" i="1"/>
  <c r="K3966" i="1"/>
  <c r="P3966" i="1"/>
  <c r="R3966" i="1"/>
  <c r="BL3966" i="1"/>
  <c r="BW3966" i="1"/>
  <c r="CH3966" i="1"/>
  <c r="CS3966" i="1"/>
  <c r="K3967" i="1"/>
  <c r="P3967" i="1"/>
  <c r="R3967" i="1"/>
  <c r="BL3967" i="1"/>
  <c r="BW3967" i="1"/>
  <c r="CH3967" i="1"/>
  <c r="CS3967" i="1"/>
  <c r="K3968" i="1"/>
  <c r="P3968" i="1"/>
  <c r="R3968" i="1"/>
  <c r="BL3968" i="1"/>
  <c r="BW3968" i="1"/>
  <c r="CH3968" i="1"/>
  <c r="CS3968" i="1"/>
  <c r="K3969" i="1"/>
  <c r="P3969" i="1"/>
  <c r="R3969" i="1"/>
  <c r="BL3969" i="1"/>
  <c r="BW3969" i="1"/>
  <c r="CH3969" i="1"/>
  <c r="CS3969" i="1"/>
  <c r="K3970" i="1"/>
  <c r="P3970" i="1"/>
  <c r="R3970" i="1"/>
  <c r="BL3970" i="1"/>
  <c r="BW3970" i="1"/>
  <c r="CH3970" i="1"/>
  <c r="CS3970" i="1"/>
  <c r="K3971" i="1"/>
  <c r="P3971" i="1"/>
  <c r="R3971" i="1"/>
  <c r="BL3971" i="1"/>
  <c r="BW3971" i="1"/>
  <c r="CH3971" i="1"/>
  <c r="CS3971" i="1"/>
  <c r="K3972" i="1"/>
  <c r="P3972" i="1"/>
  <c r="R3972" i="1"/>
  <c r="BL3972" i="1"/>
  <c r="BW3972" i="1"/>
  <c r="CH3972" i="1"/>
  <c r="CS3972" i="1"/>
  <c r="K3973" i="1"/>
  <c r="P3973" i="1"/>
  <c r="R3973" i="1"/>
  <c r="BL3973" i="1"/>
  <c r="BW3973" i="1"/>
  <c r="CH3973" i="1"/>
  <c r="CS3973" i="1"/>
  <c r="K3974" i="1"/>
  <c r="P3974" i="1"/>
  <c r="R3974" i="1"/>
  <c r="BL3974" i="1"/>
  <c r="BW3974" i="1"/>
  <c r="CH3974" i="1"/>
  <c r="CS3974" i="1"/>
  <c r="K3975" i="1"/>
  <c r="P3975" i="1"/>
  <c r="R3975" i="1"/>
  <c r="BL3975" i="1"/>
  <c r="BW3975" i="1"/>
  <c r="CH3975" i="1"/>
  <c r="CS3975" i="1"/>
  <c r="K3976" i="1"/>
  <c r="P3976" i="1"/>
  <c r="R3976" i="1"/>
  <c r="BL3976" i="1"/>
  <c r="BW3976" i="1"/>
  <c r="CH3976" i="1"/>
  <c r="CS3976" i="1"/>
  <c r="K3977" i="1"/>
  <c r="P3977" i="1"/>
  <c r="R3977" i="1"/>
  <c r="BL3977" i="1"/>
  <c r="BW3977" i="1"/>
  <c r="CH3977" i="1"/>
  <c r="CS3977" i="1"/>
  <c r="K3978" i="1"/>
  <c r="P3978" i="1"/>
  <c r="R3978" i="1"/>
  <c r="BL3978" i="1"/>
  <c r="BW3978" i="1"/>
  <c r="CH3978" i="1"/>
  <c r="CS3978" i="1"/>
  <c r="K3979" i="1"/>
  <c r="P3979" i="1"/>
  <c r="R3979" i="1"/>
  <c r="BL3979" i="1"/>
  <c r="BW3979" i="1"/>
  <c r="CH3979" i="1"/>
  <c r="CS3979" i="1"/>
  <c r="K3980" i="1"/>
  <c r="P3980" i="1"/>
  <c r="R3980" i="1"/>
  <c r="BL3980" i="1"/>
  <c r="BW3980" i="1"/>
  <c r="CH3980" i="1"/>
  <c r="CS3980" i="1"/>
  <c r="K3981" i="1"/>
  <c r="P3981" i="1"/>
  <c r="R3981" i="1"/>
  <c r="BL3981" i="1"/>
  <c r="BW3981" i="1"/>
  <c r="CH3981" i="1"/>
  <c r="CS3981" i="1"/>
  <c r="K3982" i="1"/>
  <c r="P3982" i="1"/>
  <c r="R3982" i="1"/>
  <c r="BL3982" i="1"/>
  <c r="BW3982" i="1"/>
  <c r="CH3982" i="1"/>
  <c r="CS3982" i="1"/>
  <c r="K3983" i="1"/>
  <c r="P3983" i="1"/>
  <c r="R3983" i="1"/>
  <c r="BL3983" i="1"/>
  <c r="BW3983" i="1"/>
  <c r="CH3983" i="1"/>
  <c r="CS3983" i="1"/>
  <c r="K3984" i="1"/>
  <c r="P3984" i="1"/>
  <c r="R3984" i="1"/>
  <c r="BL3984" i="1"/>
  <c r="BW3984" i="1"/>
  <c r="CH3984" i="1"/>
  <c r="CS3984" i="1"/>
  <c r="K3985" i="1"/>
  <c r="P3985" i="1"/>
  <c r="R3985" i="1"/>
  <c r="BL3985" i="1"/>
  <c r="BW3985" i="1"/>
  <c r="CH3985" i="1"/>
  <c r="CS3985" i="1"/>
  <c r="K3986" i="1"/>
  <c r="P3986" i="1"/>
  <c r="R3986" i="1"/>
  <c r="BL3986" i="1"/>
  <c r="BW3986" i="1"/>
  <c r="CH3986" i="1"/>
  <c r="CS3986" i="1"/>
  <c r="K3987" i="1"/>
  <c r="P3987" i="1"/>
  <c r="R3987" i="1"/>
  <c r="BL3987" i="1"/>
  <c r="BW3987" i="1"/>
  <c r="CH3987" i="1"/>
  <c r="CS3987" i="1"/>
  <c r="K3988" i="1"/>
  <c r="P3988" i="1"/>
  <c r="R3988" i="1"/>
  <c r="BL3988" i="1"/>
  <c r="BW3988" i="1"/>
  <c r="CH3988" i="1"/>
  <c r="CS3988" i="1"/>
  <c r="K3989" i="1"/>
  <c r="P3989" i="1"/>
  <c r="R3989" i="1"/>
  <c r="BL3989" i="1"/>
  <c r="BW3989" i="1"/>
  <c r="CH3989" i="1"/>
  <c r="CS3989" i="1"/>
  <c r="K3990" i="1"/>
  <c r="P3990" i="1"/>
  <c r="R3990" i="1"/>
  <c r="BL3990" i="1"/>
  <c r="BW3990" i="1"/>
  <c r="CH3990" i="1"/>
  <c r="CS3990" i="1"/>
  <c r="K3991" i="1"/>
  <c r="P3991" i="1"/>
  <c r="R3991" i="1"/>
  <c r="BL3991" i="1"/>
  <c r="BW3991" i="1"/>
  <c r="CH3991" i="1"/>
  <c r="CS3991" i="1"/>
  <c r="K3992" i="1"/>
  <c r="P3992" i="1"/>
  <c r="R3992" i="1"/>
  <c r="BL3992" i="1"/>
  <c r="BW3992" i="1"/>
  <c r="CH3992" i="1"/>
  <c r="CS3992" i="1"/>
  <c r="K3993" i="1"/>
  <c r="P3993" i="1"/>
  <c r="R3993" i="1"/>
  <c r="BL3993" i="1"/>
  <c r="BW3993" i="1"/>
  <c r="CH3993" i="1"/>
  <c r="CS3993" i="1"/>
  <c r="K3994" i="1"/>
  <c r="P3994" i="1"/>
  <c r="R3994" i="1"/>
  <c r="BL3994" i="1"/>
  <c r="BW3994" i="1"/>
  <c r="CH3994" i="1"/>
  <c r="CS3994" i="1"/>
  <c r="K3995" i="1"/>
  <c r="P3995" i="1"/>
  <c r="R3995" i="1"/>
  <c r="BL3995" i="1"/>
  <c r="BW3995" i="1"/>
  <c r="CH3995" i="1"/>
  <c r="CS3995" i="1"/>
  <c r="K3996" i="1"/>
  <c r="P3996" i="1"/>
  <c r="R3996" i="1"/>
  <c r="BL3996" i="1"/>
  <c r="BW3996" i="1"/>
  <c r="CH3996" i="1"/>
  <c r="CS3996" i="1"/>
  <c r="K3997" i="1"/>
  <c r="P3997" i="1"/>
  <c r="R3997" i="1"/>
  <c r="BL3997" i="1"/>
  <c r="BW3997" i="1"/>
  <c r="CH3997" i="1"/>
  <c r="CS3997" i="1"/>
  <c r="K3998" i="1"/>
  <c r="P3998" i="1"/>
  <c r="R3998" i="1"/>
  <c r="BL3998" i="1"/>
  <c r="BW3998" i="1"/>
  <c r="CH3998" i="1"/>
  <c r="CS3998" i="1"/>
  <c r="K3999" i="1"/>
  <c r="P3999" i="1"/>
  <c r="R3999" i="1"/>
  <c r="BL3999" i="1"/>
  <c r="BW3999" i="1"/>
  <c r="CH3999" i="1"/>
  <c r="CS3999" i="1"/>
  <c r="K4000" i="1"/>
  <c r="P4000" i="1"/>
  <c r="R4000" i="1"/>
  <c r="BL4000" i="1"/>
  <c r="BW4000" i="1"/>
  <c r="CH4000" i="1"/>
  <c r="CS4000" i="1"/>
  <c r="K4001" i="1"/>
  <c r="P4001" i="1"/>
  <c r="R4001" i="1"/>
  <c r="BL4001" i="1"/>
  <c r="BW4001" i="1"/>
  <c r="CH4001" i="1"/>
  <c r="CS4001" i="1"/>
  <c r="K4002" i="1"/>
  <c r="P4002" i="1"/>
  <c r="R4002" i="1"/>
  <c r="BL4002" i="1"/>
  <c r="BW4002" i="1"/>
  <c r="CH4002" i="1"/>
  <c r="CS4002" i="1"/>
  <c r="K4003" i="1"/>
  <c r="P4003" i="1"/>
  <c r="R4003" i="1"/>
  <c r="BL4003" i="1"/>
  <c r="BW4003" i="1"/>
  <c r="CH4003" i="1"/>
  <c r="CS4003" i="1"/>
  <c r="K4004" i="1"/>
  <c r="P4004" i="1"/>
  <c r="R4004" i="1"/>
  <c r="BL4004" i="1"/>
  <c r="BW4004" i="1"/>
  <c r="CH4004" i="1"/>
  <c r="CS4004" i="1"/>
  <c r="K4005" i="1"/>
  <c r="P4005" i="1"/>
  <c r="R4005" i="1"/>
  <c r="BL4005" i="1"/>
  <c r="BW4005" i="1"/>
  <c r="CH4005" i="1"/>
  <c r="CS4005" i="1"/>
  <c r="K4006" i="1"/>
  <c r="P4006" i="1"/>
  <c r="R4006" i="1"/>
  <c r="BL4006" i="1"/>
  <c r="BW4006" i="1"/>
  <c r="CH4006" i="1"/>
  <c r="CS4006" i="1"/>
  <c r="K4007" i="1"/>
  <c r="P4007" i="1"/>
  <c r="R4007" i="1"/>
  <c r="BL4007" i="1"/>
  <c r="BW4007" i="1"/>
  <c r="CH4007" i="1"/>
  <c r="CS4007" i="1"/>
  <c r="K4008" i="1"/>
  <c r="P4008" i="1"/>
  <c r="R4008" i="1"/>
  <c r="BL4008" i="1"/>
  <c r="BW4008" i="1"/>
  <c r="CH4008" i="1"/>
  <c r="CS4008" i="1"/>
  <c r="K4009" i="1"/>
  <c r="P4009" i="1"/>
  <c r="R4009" i="1"/>
  <c r="BL4009" i="1"/>
  <c r="BW4009" i="1"/>
  <c r="CH4009" i="1"/>
  <c r="CS4009" i="1"/>
  <c r="K4010" i="1"/>
  <c r="P4010" i="1"/>
  <c r="R4010" i="1"/>
  <c r="BL4010" i="1"/>
  <c r="BW4010" i="1"/>
  <c r="CH4010" i="1"/>
  <c r="CS4010" i="1"/>
  <c r="K4011" i="1"/>
  <c r="P4011" i="1"/>
  <c r="R4011" i="1"/>
  <c r="BL4011" i="1"/>
  <c r="BW4011" i="1"/>
  <c r="CH4011" i="1"/>
  <c r="CS4011" i="1"/>
  <c r="K4012" i="1"/>
  <c r="P4012" i="1"/>
  <c r="R4012" i="1"/>
  <c r="BL4012" i="1"/>
  <c r="BW4012" i="1"/>
  <c r="CH4012" i="1"/>
  <c r="CS4012" i="1"/>
  <c r="K4013" i="1"/>
  <c r="P4013" i="1"/>
  <c r="R4013" i="1"/>
  <c r="BL4013" i="1"/>
  <c r="BW4013" i="1"/>
  <c r="CH4013" i="1"/>
  <c r="CS4013" i="1"/>
  <c r="K4014" i="1"/>
  <c r="P4014" i="1"/>
  <c r="R4014" i="1"/>
  <c r="BL4014" i="1"/>
  <c r="BW4014" i="1"/>
  <c r="CH4014" i="1"/>
  <c r="CS4014" i="1"/>
  <c r="K4015" i="1"/>
  <c r="P4015" i="1"/>
  <c r="R4015" i="1"/>
  <c r="BL4015" i="1"/>
  <c r="BW4015" i="1"/>
  <c r="CH4015" i="1"/>
  <c r="CS4015" i="1"/>
  <c r="K4016" i="1"/>
  <c r="P4016" i="1"/>
  <c r="R4016" i="1"/>
  <c r="BL4016" i="1"/>
  <c r="BW4016" i="1"/>
  <c r="CH4016" i="1"/>
  <c r="CS4016" i="1"/>
  <c r="K4017" i="1"/>
  <c r="P4017" i="1"/>
  <c r="R4017" i="1"/>
  <c r="BL4017" i="1"/>
  <c r="BW4017" i="1"/>
  <c r="CH4017" i="1"/>
  <c r="CS4017" i="1"/>
  <c r="K4018" i="1"/>
  <c r="P4018" i="1"/>
  <c r="R4018" i="1"/>
  <c r="BL4018" i="1"/>
  <c r="BW4018" i="1"/>
  <c r="CH4018" i="1"/>
  <c r="CS4018" i="1"/>
  <c r="K4019" i="1"/>
  <c r="P4019" i="1"/>
  <c r="R4019" i="1"/>
  <c r="BL4019" i="1"/>
  <c r="BW4019" i="1"/>
  <c r="CH4019" i="1"/>
  <c r="CS4019" i="1"/>
  <c r="K4020" i="1"/>
  <c r="P4020" i="1"/>
  <c r="R4020" i="1"/>
  <c r="BL4020" i="1"/>
  <c r="BW4020" i="1"/>
  <c r="CH4020" i="1"/>
  <c r="CS4020" i="1"/>
  <c r="K4021" i="1"/>
  <c r="P4021" i="1"/>
  <c r="R4021" i="1"/>
  <c r="BL4021" i="1"/>
  <c r="BW4021" i="1"/>
  <c r="CH4021" i="1"/>
  <c r="CS4021" i="1"/>
  <c r="K4022" i="1"/>
  <c r="P4022" i="1"/>
  <c r="R4022" i="1"/>
  <c r="BL4022" i="1"/>
  <c r="BW4022" i="1"/>
  <c r="CH4022" i="1"/>
  <c r="CS4022" i="1"/>
  <c r="K4023" i="1"/>
  <c r="P4023" i="1"/>
  <c r="R4023" i="1"/>
  <c r="BL4023" i="1"/>
  <c r="BQ4023" i="1"/>
  <c r="BW4023" i="1"/>
  <c r="CH4023" i="1"/>
  <c r="CS4023" i="1"/>
  <c r="K4024" i="1"/>
  <c r="P4024" i="1"/>
  <c r="R4024" i="1"/>
  <c r="BL4024" i="1"/>
  <c r="BW4024" i="1"/>
  <c r="CH4024" i="1"/>
  <c r="CS4024" i="1"/>
  <c r="K4025" i="1"/>
  <c r="P4025" i="1"/>
  <c r="R4025" i="1"/>
  <c r="BL4025" i="1"/>
  <c r="BW4025" i="1"/>
  <c r="CH4025" i="1"/>
  <c r="CS4025" i="1"/>
  <c r="K4026" i="1"/>
  <c r="P4026" i="1"/>
  <c r="R4026" i="1"/>
  <c r="BL4026" i="1"/>
  <c r="BW4026" i="1"/>
  <c r="CH4026" i="1"/>
  <c r="CS4026" i="1"/>
  <c r="K4027" i="1"/>
  <c r="P4027" i="1"/>
  <c r="R4027" i="1"/>
  <c r="BL4027" i="1"/>
  <c r="BW4027" i="1"/>
  <c r="CH4027" i="1"/>
  <c r="CS4027" i="1"/>
  <c r="K4028" i="1"/>
  <c r="P4028" i="1"/>
  <c r="R4028" i="1"/>
  <c r="BL4028" i="1"/>
  <c r="BW4028" i="1"/>
  <c r="CH4028" i="1"/>
  <c r="CS4028" i="1"/>
  <c r="K4029" i="1"/>
  <c r="P4029" i="1"/>
  <c r="R4029" i="1"/>
  <c r="BL4029" i="1"/>
  <c r="BW4029" i="1"/>
  <c r="CH4029" i="1"/>
  <c r="CS4029" i="1"/>
  <c r="K4030" i="1"/>
  <c r="P4030" i="1"/>
  <c r="R4030" i="1"/>
  <c r="BL4030" i="1"/>
  <c r="BW4030" i="1"/>
  <c r="CH4030" i="1"/>
  <c r="CS4030" i="1"/>
  <c r="K4031" i="1"/>
  <c r="P4031" i="1"/>
  <c r="R4031" i="1"/>
  <c r="BL4031" i="1"/>
  <c r="BW4031" i="1"/>
  <c r="CH4031" i="1"/>
  <c r="CS4031" i="1"/>
  <c r="K4032" i="1"/>
  <c r="P4032" i="1"/>
  <c r="R4032" i="1"/>
  <c r="BL4032" i="1"/>
  <c r="BW4032" i="1"/>
  <c r="CH4032" i="1"/>
  <c r="CS4032" i="1"/>
  <c r="K4033" i="1"/>
  <c r="P4033" i="1"/>
  <c r="R4033" i="1"/>
  <c r="BL4033" i="1"/>
  <c r="BW4033" i="1"/>
  <c r="CH4033" i="1"/>
  <c r="CS4033" i="1"/>
  <c r="K4034" i="1"/>
  <c r="P4034" i="1"/>
  <c r="R4034" i="1"/>
  <c r="BL4034" i="1"/>
  <c r="BW4034" i="1"/>
  <c r="CH4034" i="1"/>
  <c r="CS4034" i="1"/>
  <c r="K4035" i="1"/>
  <c r="P4035" i="1"/>
  <c r="R4035" i="1"/>
  <c r="BL4035" i="1"/>
  <c r="BW4035" i="1"/>
  <c r="CH4035" i="1"/>
  <c r="CS4035" i="1"/>
  <c r="K4036" i="1"/>
  <c r="P4036" i="1"/>
  <c r="R4036" i="1"/>
  <c r="BL4036" i="1"/>
  <c r="BW4036" i="1"/>
  <c r="CH4036" i="1"/>
  <c r="CS4036" i="1"/>
  <c r="K4037" i="1"/>
  <c r="P4037" i="1"/>
  <c r="R4037" i="1"/>
  <c r="BL4037" i="1"/>
  <c r="BW4037" i="1"/>
  <c r="CH4037" i="1"/>
  <c r="CS4037" i="1"/>
  <c r="K4038" i="1"/>
  <c r="P4038" i="1"/>
  <c r="R4038" i="1"/>
  <c r="BL4038" i="1"/>
  <c r="BW4038" i="1"/>
  <c r="CH4038" i="1"/>
  <c r="CS4038" i="1"/>
  <c r="K4039" i="1"/>
  <c r="P4039" i="1"/>
  <c r="R4039" i="1"/>
  <c r="BL4039" i="1"/>
  <c r="BW4039" i="1"/>
  <c r="CH4039" i="1"/>
  <c r="CS4039" i="1"/>
  <c r="K4040" i="1"/>
  <c r="P4040" i="1"/>
  <c r="R4040" i="1"/>
  <c r="BL4040" i="1"/>
  <c r="BW4040" i="1"/>
  <c r="CH4040" i="1"/>
  <c r="CS4040" i="1"/>
  <c r="K4041" i="1"/>
  <c r="P4041" i="1"/>
  <c r="R4041" i="1"/>
  <c r="BL4041" i="1"/>
  <c r="BW4041" i="1"/>
  <c r="CH4041" i="1"/>
  <c r="CS4041" i="1"/>
  <c r="K4042" i="1"/>
  <c r="P4042" i="1"/>
  <c r="R4042" i="1"/>
  <c r="BL4042" i="1"/>
  <c r="BW4042" i="1"/>
  <c r="CH4042" i="1"/>
  <c r="CS4042" i="1"/>
  <c r="K4043" i="1"/>
  <c r="P4043" i="1"/>
  <c r="R4043" i="1"/>
  <c r="BL4043" i="1"/>
  <c r="BW4043" i="1"/>
  <c r="CH4043" i="1"/>
  <c r="CS4043" i="1"/>
  <c r="K4044" i="1"/>
  <c r="P4044" i="1"/>
  <c r="R4044" i="1"/>
  <c r="BL4044" i="1"/>
  <c r="BW4044" i="1"/>
  <c r="CH4044" i="1"/>
  <c r="CS4044" i="1"/>
  <c r="K4045" i="1"/>
  <c r="P4045" i="1"/>
  <c r="R4045" i="1"/>
  <c r="BL4045" i="1"/>
  <c r="BW4045" i="1"/>
  <c r="CH4045" i="1"/>
  <c r="CS4045" i="1"/>
  <c r="K4046" i="1"/>
  <c r="P4046" i="1"/>
  <c r="R4046" i="1"/>
  <c r="BL4046" i="1"/>
  <c r="BW4046" i="1"/>
  <c r="CH4046" i="1"/>
  <c r="CS4046" i="1"/>
  <c r="K4047" i="1"/>
  <c r="P4047" i="1"/>
  <c r="R4047" i="1"/>
  <c r="BL4047" i="1"/>
  <c r="BW4047" i="1"/>
  <c r="CH4047" i="1"/>
  <c r="CS4047" i="1"/>
  <c r="K4048" i="1"/>
  <c r="P4048" i="1"/>
  <c r="R4048" i="1"/>
  <c r="BL4048" i="1"/>
  <c r="BW4048" i="1"/>
  <c r="CH4048" i="1"/>
  <c r="CS4048" i="1"/>
  <c r="K4049" i="1"/>
  <c r="P4049" i="1"/>
  <c r="R4049" i="1"/>
  <c r="BL4049" i="1"/>
  <c r="BW4049" i="1"/>
  <c r="CH4049" i="1"/>
  <c r="CS4049" i="1"/>
  <c r="K4050" i="1"/>
  <c r="P4050" i="1"/>
  <c r="R4050" i="1"/>
  <c r="BL4050" i="1"/>
  <c r="BW4050" i="1"/>
  <c r="CH4050" i="1"/>
  <c r="CS4050" i="1"/>
  <c r="K4051" i="1"/>
  <c r="P4051" i="1"/>
  <c r="R4051" i="1"/>
  <c r="BL4051" i="1"/>
  <c r="BW4051" i="1"/>
  <c r="CH4051" i="1"/>
  <c r="CS4051" i="1"/>
  <c r="K4052" i="1"/>
  <c r="P4052" i="1"/>
  <c r="R4052" i="1"/>
  <c r="BL4052" i="1"/>
  <c r="BW4052" i="1"/>
  <c r="CH4052" i="1"/>
  <c r="CS4052" i="1"/>
  <c r="K4053" i="1"/>
  <c r="P4053" i="1"/>
  <c r="R4053" i="1"/>
  <c r="BL4053" i="1"/>
  <c r="BW4053" i="1"/>
  <c r="CH4053" i="1"/>
  <c r="CS4053" i="1"/>
  <c r="K4054" i="1"/>
  <c r="P4054" i="1"/>
  <c r="R4054" i="1"/>
  <c r="BL4054" i="1"/>
  <c r="BW4054" i="1"/>
  <c r="CH4054" i="1"/>
  <c r="CS4054" i="1"/>
  <c r="K4055" i="1"/>
  <c r="P4055" i="1"/>
  <c r="R4055" i="1"/>
  <c r="BL4055" i="1"/>
  <c r="BW4055" i="1"/>
  <c r="CH4055" i="1"/>
  <c r="CS4055" i="1"/>
  <c r="K4056" i="1"/>
  <c r="P4056" i="1"/>
  <c r="R4056" i="1"/>
  <c r="BL4056" i="1"/>
  <c r="BW4056" i="1"/>
  <c r="CH4056" i="1"/>
  <c r="CS4056" i="1"/>
  <c r="K4057" i="1"/>
  <c r="P4057" i="1"/>
  <c r="R4057" i="1"/>
  <c r="BL4057" i="1"/>
  <c r="BW4057" i="1"/>
  <c r="CH4057" i="1"/>
  <c r="CS4057" i="1"/>
  <c r="K4058" i="1"/>
  <c r="P4058" i="1"/>
  <c r="R4058" i="1"/>
  <c r="BL4058" i="1"/>
  <c r="BW4058" i="1"/>
  <c r="CH4058" i="1"/>
  <c r="CS4058" i="1"/>
  <c r="K4059" i="1"/>
  <c r="P4059" i="1"/>
  <c r="R4059" i="1"/>
  <c r="BL4059" i="1"/>
  <c r="BW4059" i="1"/>
  <c r="CH4059" i="1"/>
  <c r="CS4059" i="1"/>
  <c r="K4060" i="1"/>
  <c r="P4060" i="1"/>
  <c r="R4060" i="1"/>
  <c r="BL4060" i="1"/>
  <c r="BW4060" i="1"/>
  <c r="CH4060" i="1"/>
  <c r="CS4060" i="1"/>
  <c r="K4061" i="1"/>
  <c r="P4061" i="1"/>
  <c r="R4061" i="1"/>
  <c r="BL4061" i="1"/>
  <c r="BW4061" i="1"/>
  <c r="CH4061" i="1"/>
  <c r="CS4061" i="1"/>
  <c r="K4062" i="1"/>
  <c r="P4062" i="1"/>
  <c r="R4062" i="1"/>
  <c r="BL4062" i="1"/>
  <c r="BW4062" i="1"/>
  <c r="CH4062" i="1"/>
  <c r="CS4062" i="1"/>
  <c r="K4063" i="1"/>
  <c r="P4063" i="1"/>
  <c r="R4063" i="1"/>
  <c r="BL4063" i="1"/>
  <c r="BW4063" i="1"/>
  <c r="CH4063" i="1"/>
  <c r="CS4063" i="1"/>
  <c r="K4064" i="1"/>
  <c r="P4064" i="1"/>
  <c r="R4064" i="1"/>
  <c r="BL4064" i="1"/>
  <c r="BW4064" i="1"/>
  <c r="CH4064" i="1"/>
  <c r="CS4064" i="1"/>
  <c r="K4065" i="1"/>
  <c r="P4065" i="1"/>
  <c r="R4065" i="1"/>
  <c r="BL4065" i="1"/>
  <c r="BW4065" i="1"/>
  <c r="CH4065" i="1"/>
  <c r="CS4065" i="1"/>
  <c r="K4066" i="1"/>
  <c r="P4066" i="1"/>
  <c r="R4066" i="1"/>
  <c r="BL4066" i="1"/>
  <c r="BW4066" i="1"/>
  <c r="CH4066" i="1"/>
  <c r="CS4066" i="1"/>
  <c r="K4067" i="1"/>
  <c r="P4067" i="1"/>
  <c r="R4067" i="1"/>
  <c r="BL4067" i="1"/>
  <c r="BW4067" i="1"/>
  <c r="CH4067" i="1"/>
  <c r="CS4067" i="1"/>
  <c r="K4068" i="1"/>
  <c r="P4068" i="1"/>
  <c r="R4068" i="1"/>
  <c r="BL4068" i="1"/>
  <c r="BW4068" i="1"/>
  <c r="CH4068" i="1"/>
  <c r="CS4068" i="1"/>
  <c r="K4069" i="1"/>
  <c r="P4069" i="1"/>
  <c r="R4069" i="1"/>
  <c r="BL4069" i="1"/>
  <c r="BW4069" i="1"/>
  <c r="CH4069" i="1"/>
  <c r="CS4069" i="1"/>
  <c r="K4070" i="1"/>
  <c r="P4070" i="1"/>
  <c r="R4070" i="1"/>
  <c r="BL4070" i="1"/>
  <c r="BW4070" i="1"/>
  <c r="CH4070" i="1"/>
  <c r="CS4070" i="1"/>
  <c r="K4071" i="1"/>
  <c r="P4071" i="1"/>
  <c r="R4071" i="1"/>
  <c r="BL4071" i="1"/>
  <c r="BW4071" i="1"/>
  <c r="CH4071" i="1"/>
  <c r="CS4071" i="1"/>
  <c r="K4072" i="1"/>
  <c r="P4072" i="1"/>
  <c r="R4072" i="1"/>
  <c r="BL4072" i="1"/>
  <c r="BW4072" i="1"/>
  <c r="CH4072" i="1"/>
  <c r="CS4072" i="1"/>
  <c r="K4073" i="1"/>
  <c r="P4073" i="1"/>
  <c r="R4073" i="1"/>
  <c r="BL4073" i="1"/>
  <c r="BW4073" i="1"/>
  <c r="CH4073" i="1"/>
  <c r="CS4073" i="1"/>
  <c r="K4074" i="1"/>
  <c r="P4074" i="1"/>
  <c r="R4074" i="1"/>
  <c r="BL4074" i="1"/>
  <c r="BW4074" i="1"/>
  <c r="CH4074" i="1"/>
  <c r="CS4074" i="1"/>
  <c r="K4075" i="1"/>
  <c r="P4075" i="1"/>
  <c r="R4075" i="1"/>
  <c r="BL4075" i="1"/>
  <c r="BW4075" i="1"/>
  <c r="CH4075" i="1"/>
  <c r="CS4075" i="1"/>
  <c r="K4076" i="1"/>
  <c r="P4076" i="1"/>
  <c r="R4076" i="1"/>
  <c r="BL4076" i="1"/>
  <c r="BW4076" i="1"/>
  <c r="CH4076" i="1"/>
  <c r="CS4076" i="1"/>
  <c r="K4077" i="1"/>
  <c r="P4077" i="1"/>
  <c r="R4077" i="1"/>
  <c r="BL4077" i="1"/>
  <c r="BW4077" i="1"/>
  <c r="CH4077" i="1"/>
  <c r="CS4077" i="1"/>
  <c r="K4078" i="1"/>
  <c r="P4078" i="1"/>
  <c r="R4078" i="1"/>
  <c r="BL4078" i="1"/>
  <c r="BW4078" i="1"/>
  <c r="CH4078" i="1"/>
  <c r="CS4078" i="1"/>
  <c r="K4079" i="1"/>
  <c r="P4079" i="1"/>
  <c r="R4079" i="1"/>
  <c r="BL4079" i="1"/>
  <c r="BW4079" i="1"/>
  <c r="CH4079" i="1"/>
  <c r="CS4079" i="1"/>
  <c r="K4080" i="1"/>
  <c r="P4080" i="1"/>
  <c r="R4080" i="1"/>
  <c r="AM4080" i="1"/>
  <c r="BL4080" i="1"/>
  <c r="BW4080" i="1"/>
  <c r="CH4080" i="1"/>
  <c r="CS4080" i="1"/>
  <c r="K4081" i="1"/>
  <c r="P4081" i="1"/>
  <c r="R4081" i="1"/>
  <c r="BL4081" i="1"/>
  <c r="BW4081" i="1"/>
  <c r="CH4081" i="1"/>
  <c r="CS4081" i="1"/>
  <c r="K4082" i="1"/>
  <c r="P4082" i="1"/>
  <c r="R4082" i="1"/>
  <c r="BL4082" i="1"/>
  <c r="BW4082" i="1"/>
  <c r="CH4082" i="1"/>
  <c r="CS4082" i="1"/>
  <c r="K4083" i="1"/>
  <c r="P4083" i="1"/>
  <c r="R4083" i="1"/>
  <c r="BL4083" i="1"/>
  <c r="BW4083" i="1"/>
  <c r="CH4083" i="1"/>
  <c r="CS4083" i="1"/>
  <c r="K4084" i="1"/>
  <c r="P4084" i="1"/>
  <c r="R4084" i="1"/>
  <c r="BL4084" i="1"/>
  <c r="BW4084" i="1"/>
  <c r="CH4084" i="1"/>
  <c r="CS4084" i="1"/>
  <c r="K4085" i="1"/>
  <c r="P4085" i="1"/>
  <c r="R4085" i="1"/>
  <c r="BL4085" i="1"/>
  <c r="BW4085" i="1"/>
  <c r="CH4085" i="1"/>
  <c r="CS4085" i="1"/>
  <c r="K4086" i="1"/>
  <c r="P4086" i="1"/>
  <c r="R4086" i="1"/>
  <c r="BL4086" i="1"/>
  <c r="BW4086" i="1"/>
  <c r="CH4086" i="1"/>
  <c r="CS4086" i="1"/>
  <c r="K4087" i="1"/>
  <c r="P4087" i="1"/>
  <c r="R4087" i="1"/>
  <c r="BL4087" i="1"/>
  <c r="BW4087" i="1"/>
  <c r="CH4087" i="1"/>
  <c r="CS4087" i="1"/>
  <c r="K4088" i="1"/>
  <c r="P4088" i="1"/>
  <c r="R4088" i="1"/>
  <c r="BL4088" i="1"/>
  <c r="BW4088" i="1"/>
  <c r="CH4088" i="1"/>
  <c r="CS4088" i="1"/>
  <c r="K4089" i="1"/>
  <c r="P4089" i="1"/>
  <c r="R4089" i="1"/>
  <c r="BL4089" i="1"/>
  <c r="BW4089" i="1"/>
  <c r="CH4089" i="1"/>
  <c r="CS4089" i="1"/>
  <c r="K4090" i="1"/>
  <c r="P4090" i="1"/>
  <c r="R4090" i="1"/>
  <c r="BL4090" i="1"/>
  <c r="BW4090" i="1"/>
  <c r="CH4090" i="1"/>
  <c r="CS4090" i="1"/>
  <c r="K4091" i="1"/>
  <c r="P4091" i="1"/>
  <c r="R4091" i="1"/>
  <c r="BL4091" i="1"/>
  <c r="BW4091" i="1"/>
  <c r="CH4091" i="1"/>
  <c r="CS4091" i="1"/>
  <c r="K4092" i="1"/>
  <c r="P4092" i="1"/>
  <c r="R4092" i="1"/>
  <c r="BL4092" i="1"/>
  <c r="BW4092" i="1"/>
  <c r="CH4092" i="1"/>
  <c r="CS4092" i="1"/>
  <c r="K4093" i="1"/>
  <c r="P4093" i="1"/>
  <c r="R4093" i="1"/>
  <c r="BL4093" i="1"/>
  <c r="BW4093" i="1"/>
  <c r="CH4093" i="1"/>
  <c r="CS4093" i="1"/>
  <c r="K4094" i="1"/>
  <c r="P4094" i="1"/>
  <c r="R4094" i="1"/>
  <c r="BL4094" i="1"/>
  <c r="BW4094" i="1"/>
  <c r="CH4094" i="1"/>
  <c r="CS4094" i="1"/>
  <c r="K4095" i="1"/>
  <c r="P4095" i="1"/>
  <c r="R4095" i="1"/>
  <c r="BL4095" i="1"/>
  <c r="BW4095" i="1"/>
  <c r="CH4095" i="1"/>
  <c r="CS4095" i="1"/>
  <c r="K4096" i="1"/>
  <c r="P4096" i="1"/>
  <c r="R4096" i="1"/>
  <c r="BL4096" i="1"/>
  <c r="BW4096" i="1"/>
  <c r="CH4096" i="1"/>
  <c r="CS4096" i="1"/>
  <c r="K4097" i="1"/>
  <c r="P4097" i="1"/>
  <c r="R4097" i="1"/>
  <c r="BL4097" i="1"/>
  <c r="BW4097" i="1"/>
  <c r="CH4097" i="1"/>
  <c r="CS4097" i="1"/>
  <c r="K4098" i="1"/>
  <c r="P4098" i="1"/>
  <c r="R4098" i="1"/>
  <c r="BL4098" i="1"/>
  <c r="BW4098" i="1"/>
  <c r="CH4098" i="1"/>
  <c r="CS4098" i="1"/>
  <c r="K4099" i="1"/>
  <c r="P4099" i="1"/>
  <c r="R4099" i="1"/>
  <c r="BL4099" i="1"/>
  <c r="BW4099" i="1"/>
  <c r="CH4099" i="1"/>
  <c r="CS4099" i="1"/>
  <c r="K4100" i="1"/>
  <c r="P4100" i="1"/>
  <c r="R4100" i="1"/>
  <c r="BL4100" i="1"/>
  <c r="BW4100" i="1"/>
  <c r="CH4100" i="1"/>
  <c r="CS4100" i="1"/>
  <c r="K4101" i="1"/>
  <c r="P4101" i="1"/>
  <c r="R4101" i="1"/>
  <c r="BL4101" i="1"/>
  <c r="BW4101" i="1"/>
  <c r="CH4101" i="1"/>
  <c r="CS4101" i="1"/>
  <c r="K4102" i="1"/>
  <c r="P4102" i="1"/>
  <c r="R4102" i="1"/>
  <c r="BL4102" i="1"/>
  <c r="BW4102" i="1"/>
  <c r="CH4102" i="1"/>
  <c r="CS4102" i="1"/>
  <c r="K4103" i="1"/>
  <c r="P4103" i="1"/>
  <c r="R4103" i="1"/>
  <c r="BL4103" i="1"/>
  <c r="BW4103" i="1"/>
  <c r="CH4103" i="1"/>
  <c r="CS4103" i="1"/>
  <c r="K4104" i="1"/>
  <c r="P4104" i="1"/>
  <c r="R4104" i="1"/>
  <c r="BL4104" i="1"/>
  <c r="BW4104" i="1"/>
  <c r="CH4104" i="1"/>
  <c r="CS4104" i="1"/>
  <c r="K4105" i="1"/>
  <c r="P4105" i="1"/>
  <c r="R4105" i="1"/>
  <c r="BL4105" i="1"/>
  <c r="BW4105" i="1"/>
  <c r="CH4105" i="1"/>
  <c r="CS4105" i="1"/>
  <c r="K4106" i="1"/>
  <c r="P4106" i="1"/>
  <c r="R4106" i="1"/>
  <c r="BL4106" i="1"/>
  <c r="BW4106" i="1"/>
  <c r="CH4106" i="1"/>
  <c r="CS4106" i="1"/>
  <c r="K4107" i="1"/>
  <c r="P4107" i="1"/>
  <c r="R4107" i="1"/>
  <c r="BL4107" i="1"/>
  <c r="BW4107" i="1"/>
  <c r="CH4107" i="1"/>
  <c r="CS4107" i="1"/>
  <c r="K4108" i="1"/>
  <c r="P4108" i="1"/>
  <c r="R4108" i="1"/>
  <c r="BL4108" i="1"/>
  <c r="BW4108" i="1"/>
  <c r="CH4108" i="1"/>
  <c r="CS4108" i="1"/>
  <c r="K4109" i="1"/>
  <c r="P4109" i="1"/>
  <c r="R4109" i="1"/>
  <c r="BL4109" i="1"/>
  <c r="BW4109" i="1"/>
  <c r="CH4109" i="1"/>
  <c r="CS4109" i="1"/>
  <c r="K4110" i="1"/>
  <c r="P4110" i="1"/>
  <c r="R4110" i="1"/>
  <c r="BL4110" i="1"/>
  <c r="BW4110" i="1"/>
  <c r="CH4110" i="1"/>
  <c r="CS4110" i="1"/>
  <c r="K4111" i="1"/>
  <c r="P4111" i="1"/>
  <c r="R4111" i="1"/>
  <c r="BL4111" i="1"/>
  <c r="BW4111" i="1"/>
  <c r="CH4111" i="1"/>
  <c r="CS4111" i="1"/>
  <c r="K4112" i="1"/>
  <c r="P4112" i="1"/>
  <c r="R4112" i="1"/>
  <c r="BL4112" i="1"/>
  <c r="BW4112" i="1"/>
  <c r="CH4112" i="1"/>
  <c r="CS4112" i="1"/>
  <c r="K4113" i="1"/>
  <c r="P4113" i="1"/>
  <c r="R4113" i="1"/>
  <c r="BL4113" i="1"/>
  <c r="BW4113" i="1"/>
  <c r="CH4113" i="1"/>
  <c r="CS4113" i="1"/>
  <c r="K4114" i="1"/>
  <c r="P4114" i="1"/>
  <c r="R4114" i="1"/>
  <c r="BL4114" i="1"/>
  <c r="BW4114" i="1"/>
  <c r="CH4114" i="1"/>
  <c r="CS4114" i="1"/>
  <c r="K4115" i="1"/>
  <c r="P4115" i="1"/>
  <c r="R4115" i="1"/>
  <c r="BL4115" i="1"/>
  <c r="BW4115" i="1"/>
  <c r="CH4115" i="1"/>
  <c r="CS4115" i="1"/>
  <c r="K4116" i="1"/>
  <c r="P4116" i="1"/>
  <c r="R4116" i="1"/>
  <c r="BL4116" i="1"/>
  <c r="BW4116" i="1"/>
  <c r="CH4116" i="1"/>
  <c r="CS4116" i="1"/>
  <c r="K4117" i="1"/>
  <c r="P4117" i="1"/>
  <c r="R4117" i="1"/>
  <c r="BL4117" i="1"/>
  <c r="BW4117" i="1"/>
  <c r="CH4117" i="1"/>
  <c r="CS4117" i="1"/>
  <c r="K4118" i="1"/>
  <c r="P4118" i="1"/>
  <c r="R4118" i="1"/>
  <c r="BL4118" i="1"/>
  <c r="BW4118" i="1"/>
  <c r="CH4118" i="1"/>
  <c r="CS4118" i="1"/>
  <c r="K4119" i="1"/>
  <c r="P4119" i="1"/>
  <c r="R4119" i="1"/>
  <c r="BL4119" i="1"/>
  <c r="BW4119" i="1"/>
  <c r="CH4119" i="1"/>
  <c r="CS4119" i="1"/>
  <c r="K4120" i="1"/>
  <c r="P4120" i="1"/>
  <c r="R4120" i="1"/>
  <c r="BL4120" i="1"/>
  <c r="BW4120" i="1"/>
  <c r="CH4120" i="1"/>
  <c r="CS4120" i="1"/>
  <c r="K4121" i="1"/>
  <c r="P4121" i="1"/>
  <c r="R4121" i="1"/>
  <c r="BL4121" i="1"/>
  <c r="BW4121" i="1"/>
  <c r="CH4121" i="1"/>
  <c r="CS4121" i="1"/>
  <c r="K4122" i="1"/>
  <c r="P4122" i="1"/>
  <c r="R4122" i="1"/>
  <c r="BL4122" i="1"/>
  <c r="BW4122" i="1"/>
  <c r="CH4122" i="1"/>
  <c r="CS4122" i="1"/>
  <c r="K4123" i="1"/>
  <c r="P4123" i="1"/>
  <c r="R4123" i="1"/>
  <c r="BL4123" i="1"/>
  <c r="BW4123" i="1"/>
  <c r="CH4123" i="1"/>
  <c r="CS4123" i="1"/>
  <c r="K4124" i="1"/>
  <c r="P4124" i="1"/>
  <c r="R4124" i="1"/>
  <c r="BL4124" i="1"/>
  <c r="BW4124" i="1"/>
  <c r="CH4124" i="1"/>
  <c r="CS4124" i="1"/>
  <c r="K4125" i="1"/>
  <c r="P4125" i="1"/>
  <c r="R4125" i="1"/>
  <c r="BL4125" i="1"/>
  <c r="BW4125" i="1"/>
  <c r="CH4125" i="1"/>
  <c r="CS4125" i="1"/>
  <c r="K4126" i="1"/>
  <c r="P4126" i="1"/>
  <c r="R4126" i="1"/>
  <c r="BL4126" i="1"/>
  <c r="BW4126" i="1"/>
  <c r="CH4126" i="1"/>
  <c r="CS4126" i="1"/>
  <c r="K4127" i="1"/>
  <c r="P4127" i="1"/>
  <c r="R4127" i="1"/>
  <c r="BL4127" i="1"/>
  <c r="BW4127" i="1"/>
  <c r="CH4127" i="1"/>
  <c r="CS4127" i="1"/>
  <c r="K4128" i="1"/>
  <c r="P4128" i="1"/>
  <c r="R4128" i="1"/>
  <c r="BL4128" i="1"/>
  <c r="BW4128" i="1"/>
  <c r="CH4128" i="1"/>
  <c r="CS4128" i="1"/>
  <c r="K4129" i="1"/>
  <c r="P4129" i="1"/>
  <c r="R4129" i="1"/>
  <c r="BL4129" i="1"/>
  <c r="BW4129" i="1"/>
  <c r="CH4129" i="1"/>
  <c r="CS4129" i="1"/>
  <c r="K4130" i="1"/>
  <c r="P4130" i="1"/>
  <c r="R4130" i="1"/>
  <c r="BL4130" i="1"/>
  <c r="BW4130" i="1"/>
  <c r="CH4130" i="1"/>
  <c r="CS4130" i="1"/>
  <c r="K4131" i="1"/>
  <c r="P4131" i="1"/>
  <c r="R4131" i="1"/>
  <c r="BL4131" i="1"/>
  <c r="BW4131" i="1"/>
  <c r="CH4131" i="1"/>
  <c r="CS4131" i="1"/>
  <c r="K4132" i="1"/>
  <c r="P4132" i="1"/>
  <c r="R4132" i="1"/>
  <c r="BL4132" i="1"/>
  <c r="BW4132" i="1"/>
  <c r="CH4132" i="1"/>
  <c r="CS4132" i="1"/>
  <c r="K4133" i="1"/>
  <c r="P4133" i="1"/>
  <c r="R4133" i="1"/>
  <c r="BL4133" i="1"/>
  <c r="BW4133" i="1"/>
  <c r="CH4133" i="1"/>
  <c r="CS4133" i="1"/>
  <c r="K4134" i="1"/>
  <c r="P4134" i="1"/>
  <c r="R4134" i="1"/>
  <c r="BL4134" i="1"/>
  <c r="BW4134" i="1"/>
  <c r="CH4134" i="1"/>
  <c r="CS4134" i="1"/>
  <c r="K4135" i="1"/>
  <c r="P4135" i="1"/>
  <c r="R4135" i="1"/>
  <c r="BL4135" i="1"/>
  <c r="BW4135" i="1"/>
  <c r="CH4135" i="1"/>
  <c r="CS4135" i="1"/>
  <c r="K4136" i="1"/>
  <c r="P4136" i="1"/>
  <c r="R4136" i="1"/>
  <c r="BL4136" i="1"/>
  <c r="BW4136" i="1"/>
  <c r="CH4136" i="1"/>
  <c r="CS4136" i="1"/>
  <c r="K4137" i="1"/>
  <c r="P4137" i="1"/>
  <c r="R4137" i="1"/>
  <c r="BL4137" i="1"/>
  <c r="BW4137" i="1"/>
  <c r="CH4137" i="1"/>
  <c r="CS4137" i="1"/>
  <c r="K4138" i="1"/>
  <c r="P4138" i="1"/>
  <c r="R4138" i="1"/>
  <c r="BL4138" i="1"/>
  <c r="BW4138" i="1"/>
  <c r="CH4138" i="1"/>
  <c r="CS4138" i="1"/>
  <c r="K4139" i="1"/>
  <c r="P4139" i="1"/>
  <c r="R4139" i="1"/>
  <c r="BL4139" i="1"/>
  <c r="BW4139" i="1"/>
  <c r="CH4139" i="1"/>
  <c r="CS4139" i="1"/>
  <c r="K4140" i="1"/>
  <c r="P4140" i="1"/>
  <c r="R4140" i="1"/>
  <c r="BL4140" i="1"/>
  <c r="BW4140" i="1"/>
  <c r="CH4140" i="1"/>
  <c r="CS4140" i="1"/>
  <c r="K4141" i="1"/>
  <c r="P4141" i="1"/>
  <c r="R4141" i="1"/>
  <c r="BL4141" i="1"/>
  <c r="BW4141" i="1"/>
  <c r="CH4141" i="1"/>
  <c r="CS4141" i="1"/>
  <c r="K4142" i="1"/>
  <c r="P4142" i="1"/>
  <c r="R4142" i="1"/>
  <c r="BL4142" i="1"/>
  <c r="BW4142" i="1"/>
  <c r="CH4142" i="1"/>
  <c r="CS4142" i="1"/>
  <c r="K4143" i="1"/>
  <c r="P4143" i="1"/>
  <c r="R4143" i="1"/>
  <c r="BL4143" i="1"/>
  <c r="BW4143" i="1"/>
  <c r="CH4143" i="1"/>
  <c r="CS4143" i="1"/>
  <c r="K4144" i="1"/>
  <c r="P4144" i="1"/>
  <c r="R4144" i="1"/>
  <c r="BL4144" i="1"/>
  <c r="BW4144" i="1"/>
  <c r="CH4144" i="1"/>
  <c r="CS4144" i="1"/>
  <c r="K4145" i="1"/>
  <c r="P4145" i="1"/>
  <c r="R4145" i="1"/>
  <c r="BL4145" i="1"/>
  <c r="BW4145" i="1"/>
  <c r="CH4145" i="1"/>
  <c r="CS4145" i="1"/>
  <c r="K4146" i="1"/>
  <c r="P4146" i="1"/>
  <c r="R4146" i="1"/>
  <c r="BL4146" i="1"/>
  <c r="BW4146" i="1"/>
  <c r="CH4146" i="1"/>
  <c r="CS4146" i="1"/>
  <c r="K4147" i="1"/>
  <c r="P4147" i="1"/>
  <c r="R4147" i="1"/>
  <c r="BL4147" i="1"/>
  <c r="BW4147" i="1"/>
  <c r="CH4147" i="1"/>
  <c r="CS4147" i="1"/>
  <c r="K4148" i="1"/>
  <c r="P4148" i="1"/>
  <c r="R4148" i="1"/>
  <c r="BL4148" i="1"/>
  <c r="BW4148" i="1"/>
  <c r="CH4148" i="1"/>
  <c r="CS4148" i="1"/>
  <c r="K4149" i="1"/>
  <c r="P4149" i="1"/>
  <c r="R4149" i="1"/>
  <c r="BL4149" i="1"/>
  <c r="BW4149" i="1"/>
  <c r="CH4149" i="1"/>
  <c r="CS4149" i="1"/>
  <c r="K4150" i="1"/>
  <c r="P4150" i="1"/>
  <c r="R4150" i="1"/>
  <c r="BL4150" i="1"/>
  <c r="BW4150" i="1"/>
  <c r="CH4150" i="1"/>
  <c r="CS4150" i="1"/>
  <c r="K4151" i="1"/>
  <c r="P4151" i="1"/>
  <c r="R4151" i="1"/>
  <c r="BL4151" i="1"/>
  <c r="BW4151" i="1"/>
  <c r="CH4151" i="1"/>
  <c r="CS4151" i="1"/>
  <c r="K4152" i="1"/>
  <c r="P4152" i="1"/>
  <c r="R4152" i="1"/>
  <c r="BL4152" i="1"/>
  <c r="BW4152" i="1"/>
  <c r="CH4152" i="1"/>
  <c r="CS4152" i="1"/>
  <c r="K4153" i="1"/>
  <c r="P4153" i="1"/>
  <c r="R4153" i="1"/>
  <c r="BL4153" i="1"/>
  <c r="BW4153" i="1"/>
  <c r="CH4153" i="1"/>
  <c r="CS4153" i="1"/>
  <c r="K4154" i="1"/>
  <c r="P4154" i="1"/>
  <c r="R4154" i="1"/>
  <c r="BL4154" i="1"/>
  <c r="BW4154" i="1"/>
  <c r="CH4154" i="1"/>
  <c r="CS4154" i="1"/>
  <c r="K4155" i="1"/>
  <c r="P4155" i="1"/>
  <c r="R4155" i="1"/>
  <c r="BL4155" i="1"/>
  <c r="BW4155" i="1"/>
  <c r="CH4155" i="1"/>
  <c r="CS4155" i="1"/>
  <c r="K4156" i="1"/>
  <c r="P4156" i="1"/>
  <c r="R4156" i="1"/>
  <c r="BL4156" i="1"/>
  <c r="BW4156" i="1"/>
  <c r="CH4156" i="1"/>
  <c r="CS4156" i="1"/>
  <c r="K4157" i="1"/>
  <c r="P4157" i="1"/>
  <c r="R4157" i="1"/>
  <c r="BL4157" i="1"/>
  <c r="BW4157" i="1"/>
  <c r="CH4157" i="1"/>
  <c r="CS4157" i="1"/>
  <c r="K4158" i="1"/>
  <c r="P4158" i="1"/>
  <c r="R4158" i="1"/>
  <c r="BL4158" i="1"/>
  <c r="BW4158" i="1"/>
  <c r="CH4158" i="1"/>
  <c r="CS4158" i="1"/>
  <c r="K4159" i="1"/>
  <c r="P4159" i="1"/>
  <c r="R4159" i="1"/>
  <c r="BL4159" i="1"/>
  <c r="BW4159" i="1"/>
  <c r="CH4159" i="1"/>
  <c r="CS4159" i="1"/>
  <c r="K4160" i="1"/>
  <c r="P4160" i="1"/>
  <c r="R4160" i="1"/>
  <c r="BL4160" i="1"/>
  <c r="BW4160" i="1"/>
  <c r="CH4160" i="1"/>
  <c r="CS4160" i="1"/>
  <c r="K4161" i="1"/>
  <c r="P4161" i="1"/>
  <c r="R4161" i="1"/>
  <c r="BL4161" i="1"/>
  <c r="BW4161" i="1"/>
  <c r="CH4161" i="1"/>
  <c r="CS4161" i="1"/>
  <c r="K4162" i="1"/>
  <c r="P4162" i="1"/>
  <c r="R4162" i="1"/>
  <c r="BL4162" i="1"/>
  <c r="BQ4162" i="1"/>
  <c r="BW4162" i="1"/>
  <c r="CH4162" i="1"/>
  <c r="CS4162" i="1"/>
  <c r="K4163" i="1"/>
  <c r="P4163" i="1"/>
  <c r="R4163" i="1"/>
  <c r="BL4163" i="1"/>
  <c r="BW4163" i="1"/>
  <c r="CH4163" i="1"/>
  <c r="CS4163" i="1"/>
  <c r="K4164" i="1"/>
  <c r="P4164" i="1"/>
  <c r="R4164" i="1"/>
  <c r="BL4164" i="1"/>
  <c r="BW4164" i="1"/>
  <c r="CH4164" i="1"/>
  <c r="CS4164" i="1"/>
  <c r="K4165" i="1"/>
  <c r="P4165" i="1"/>
  <c r="R4165" i="1"/>
  <c r="BL4165" i="1"/>
  <c r="BW4165" i="1"/>
  <c r="CH4165" i="1"/>
  <c r="CS4165" i="1"/>
  <c r="K4166" i="1"/>
  <c r="P4166" i="1"/>
  <c r="R4166" i="1"/>
  <c r="BL4166" i="1"/>
  <c r="BW4166" i="1"/>
  <c r="CH4166" i="1"/>
  <c r="CS4166" i="1"/>
  <c r="K4167" i="1"/>
  <c r="P4167" i="1"/>
  <c r="R4167" i="1"/>
  <c r="BL4167" i="1"/>
  <c r="BW4167" i="1"/>
  <c r="CH4167" i="1"/>
  <c r="CS4167" i="1"/>
  <c r="K4168" i="1"/>
  <c r="P4168" i="1"/>
  <c r="R4168" i="1"/>
  <c r="BL4168" i="1"/>
  <c r="BW4168" i="1"/>
  <c r="CH4168" i="1"/>
  <c r="CS4168" i="1"/>
  <c r="K4169" i="1"/>
  <c r="P4169" i="1"/>
  <c r="R4169" i="1"/>
  <c r="BL4169" i="1"/>
  <c r="BW4169" i="1"/>
  <c r="CH4169" i="1"/>
  <c r="CS4169" i="1"/>
  <c r="K4170" i="1"/>
  <c r="P4170" i="1"/>
  <c r="R4170" i="1"/>
  <c r="BL4170" i="1"/>
  <c r="BW4170" i="1"/>
  <c r="CH4170" i="1"/>
  <c r="CS4170" i="1"/>
  <c r="K4171" i="1"/>
  <c r="P4171" i="1"/>
  <c r="R4171" i="1"/>
  <c r="BL4171" i="1"/>
  <c r="BW4171" i="1"/>
  <c r="CH4171" i="1"/>
  <c r="CS4171" i="1"/>
  <c r="K4172" i="1"/>
  <c r="P4172" i="1"/>
  <c r="R4172" i="1"/>
  <c r="BL4172" i="1"/>
  <c r="BW4172" i="1"/>
  <c r="CH4172" i="1"/>
  <c r="CS4172" i="1"/>
  <c r="K4173" i="1"/>
  <c r="P4173" i="1"/>
  <c r="R4173" i="1"/>
  <c r="BL4173" i="1"/>
  <c r="BW4173" i="1"/>
  <c r="CH4173" i="1"/>
  <c r="CS4173" i="1"/>
  <c r="K4174" i="1"/>
  <c r="P4174" i="1"/>
  <c r="R4174" i="1"/>
  <c r="BL4174" i="1"/>
  <c r="BW4174" i="1"/>
  <c r="CH4174" i="1"/>
  <c r="CS4174" i="1"/>
  <c r="K4175" i="1"/>
  <c r="P4175" i="1"/>
  <c r="R4175" i="1"/>
  <c r="BL4175" i="1"/>
  <c r="BQ4175" i="1"/>
  <c r="BW4175" i="1"/>
  <c r="CH4175" i="1"/>
  <c r="CS4175" i="1"/>
  <c r="K4176" i="1"/>
  <c r="P4176" i="1"/>
  <c r="R4176" i="1"/>
  <c r="BL4176" i="1"/>
  <c r="BW4176" i="1"/>
  <c r="CH4176" i="1"/>
  <c r="CS4176" i="1"/>
  <c r="K4177" i="1"/>
  <c r="P4177" i="1"/>
  <c r="R4177" i="1"/>
  <c r="BL4177" i="1"/>
  <c r="BW4177" i="1"/>
  <c r="CH4177" i="1"/>
  <c r="CS4177" i="1"/>
  <c r="K4178" i="1"/>
  <c r="P4178" i="1"/>
  <c r="R4178" i="1"/>
  <c r="BL4178" i="1"/>
  <c r="BW4178" i="1"/>
  <c r="CH4178" i="1"/>
  <c r="CS4178" i="1"/>
  <c r="K4179" i="1"/>
  <c r="P4179" i="1"/>
  <c r="R4179" i="1"/>
  <c r="BL4179" i="1"/>
  <c r="BW4179" i="1"/>
  <c r="CH4179" i="1"/>
  <c r="CS4179" i="1"/>
  <c r="K4180" i="1"/>
  <c r="P4180" i="1"/>
  <c r="R4180" i="1"/>
  <c r="BL4180" i="1"/>
  <c r="BW4180" i="1"/>
  <c r="CH4180" i="1"/>
  <c r="CS4180" i="1"/>
  <c r="K4181" i="1"/>
  <c r="P4181" i="1"/>
  <c r="R4181" i="1"/>
  <c r="BL4181" i="1"/>
  <c r="BW4181" i="1"/>
  <c r="CH4181" i="1"/>
  <c r="CS4181" i="1"/>
  <c r="K4182" i="1"/>
  <c r="P4182" i="1"/>
  <c r="R4182" i="1"/>
  <c r="BL4182" i="1"/>
  <c r="BW4182" i="1"/>
  <c r="CH4182" i="1"/>
  <c r="CS4182" i="1"/>
  <c r="K4183" i="1"/>
  <c r="P4183" i="1"/>
  <c r="R4183" i="1"/>
  <c r="BL4183" i="1"/>
  <c r="BW4183" i="1"/>
  <c r="CH4183" i="1"/>
  <c r="CS4183" i="1"/>
  <c r="K4184" i="1"/>
  <c r="P4184" i="1"/>
  <c r="R4184" i="1"/>
  <c r="BL4184" i="1"/>
  <c r="BW4184" i="1"/>
  <c r="CH4184" i="1"/>
  <c r="CS4184" i="1"/>
  <c r="K4185" i="1"/>
  <c r="P4185" i="1"/>
  <c r="R4185" i="1"/>
  <c r="BL4185" i="1"/>
  <c r="BW4185" i="1"/>
  <c r="CH4185" i="1"/>
  <c r="CS4185" i="1"/>
  <c r="K4186" i="1"/>
  <c r="P4186" i="1"/>
  <c r="R4186" i="1"/>
  <c r="BL4186" i="1"/>
  <c r="BW4186" i="1"/>
  <c r="CH4186" i="1"/>
  <c r="CS4186" i="1"/>
  <c r="K4187" i="1"/>
  <c r="P4187" i="1"/>
  <c r="R4187" i="1"/>
  <c r="BL4187" i="1"/>
  <c r="BW4187" i="1"/>
  <c r="CH4187" i="1"/>
  <c r="CS4187" i="1"/>
  <c r="K4188" i="1"/>
  <c r="P4188" i="1"/>
  <c r="R4188" i="1"/>
  <c r="BL4188" i="1"/>
  <c r="BW4188" i="1"/>
  <c r="CH4188" i="1"/>
  <c r="CS4188" i="1"/>
  <c r="K4189" i="1"/>
  <c r="P4189" i="1"/>
  <c r="R4189" i="1"/>
  <c r="BL4189" i="1"/>
  <c r="BW4189" i="1"/>
  <c r="CH4189" i="1"/>
  <c r="CS4189" i="1"/>
  <c r="K4190" i="1"/>
  <c r="P4190" i="1"/>
  <c r="R4190" i="1"/>
  <c r="BL4190" i="1"/>
  <c r="BW4190" i="1"/>
  <c r="CH4190" i="1"/>
  <c r="CS4190" i="1"/>
  <c r="K4191" i="1"/>
  <c r="P4191" i="1"/>
  <c r="R4191" i="1"/>
  <c r="BL4191" i="1"/>
  <c r="BW4191" i="1"/>
  <c r="CH4191" i="1"/>
  <c r="CS4191" i="1"/>
  <c r="K4192" i="1"/>
  <c r="P4192" i="1"/>
  <c r="R4192" i="1"/>
  <c r="BL4192" i="1"/>
  <c r="BW4192" i="1"/>
  <c r="CH4192" i="1"/>
  <c r="CS4192" i="1"/>
  <c r="K4193" i="1"/>
  <c r="P4193" i="1"/>
  <c r="R4193" i="1"/>
  <c r="BL4193" i="1"/>
  <c r="BQ4193" i="1"/>
  <c r="BW4193" i="1"/>
  <c r="CH4193" i="1"/>
  <c r="CS4193" i="1"/>
  <c r="K4194" i="1"/>
  <c r="P4194" i="1"/>
  <c r="R4194" i="1"/>
  <c r="BL4194" i="1"/>
  <c r="BW4194" i="1"/>
  <c r="CH4194" i="1"/>
  <c r="CS4194" i="1"/>
  <c r="K4195" i="1"/>
  <c r="P4195" i="1"/>
  <c r="R4195" i="1"/>
  <c r="BL4195" i="1"/>
  <c r="BW4195" i="1"/>
  <c r="CH4195" i="1"/>
  <c r="CS4195" i="1"/>
  <c r="K4196" i="1"/>
  <c r="P4196" i="1"/>
  <c r="R4196" i="1"/>
  <c r="BL4196" i="1"/>
  <c r="BW4196" i="1"/>
  <c r="CH4196" i="1"/>
  <c r="CS4196" i="1"/>
  <c r="K4197" i="1"/>
  <c r="P4197" i="1"/>
  <c r="R4197" i="1"/>
  <c r="BL4197" i="1"/>
  <c r="BW4197" i="1"/>
  <c r="CH4197" i="1"/>
  <c r="CS4197" i="1"/>
  <c r="K4198" i="1"/>
  <c r="P4198" i="1"/>
  <c r="R4198" i="1"/>
  <c r="BL4198" i="1"/>
  <c r="BW4198" i="1"/>
  <c r="CH4198" i="1"/>
  <c r="CS4198" i="1"/>
  <c r="K4199" i="1"/>
  <c r="P4199" i="1"/>
  <c r="R4199" i="1"/>
  <c r="BL4199" i="1"/>
  <c r="BW4199" i="1"/>
  <c r="CH4199" i="1"/>
  <c r="CS4199" i="1"/>
  <c r="K4200" i="1"/>
  <c r="P4200" i="1"/>
  <c r="R4200" i="1"/>
  <c r="BL4200" i="1"/>
  <c r="BW4200" i="1"/>
  <c r="CH4200" i="1"/>
  <c r="CS4200" i="1"/>
  <c r="K4201" i="1"/>
  <c r="P4201" i="1"/>
  <c r="R4201" i="1"/>
  <c r="BL4201" i="1"/>
  <c r="BW4201" i="1"/>
  <c r="CH4201" i="1"/>
  <c r="CS4201" i="1"/>
  <c r="K4202" i="1"/>
  <c r="P4202" i="1"/>
  <c r="R4202" i="1"/>
  <c r="BL4202" i="1"/>
  <c r="BW4202" i="1"/>
  <c r="CH4202" i="1"/>
  <c r="CS4202" i="1"/>
  <c r="K4203" i="1"/>
  <c r="P4203" i="1"/>
  <c r="R4203" i="1"/>
  <c r="BL4203" i="1"/>
  <c r="BW4203" i="1"/>
  <c r="CH4203" i="1"/>
  <c r="CS4203" i="1"/>
  <c r="K4204" i="1"/>
  <c r="P4204" i="1"/>
  <c r="R4204" i="1"/>
  <c r="BL4204" i="1"/>
  <c r="BW4204" i="1"/>
  <c r="CH4204" i="1"/>
  <c r="CS4204" i="1"/>
  <c r="K4205" i="1"/>
  <c r="P4205" i="1"/>
  <c r="R4205" i="1"/>
  <c r="BL4205" i="1"/>
  <c r="BW4205" i="1"/>
  <c r="CH4205" i="1"/>
  <c r="CS4205" i="1"/>
  <c r="K4206" i="1"/>
  <c r="P4206" i="1"/>
  <c r="R4206" i="1"/>
  <c r="BL4206" i="1"/>
  <c r="BW4206" i="1"/>
  <c r="CH4206" i="1"/>
  <c r="CS4206" i="1"/>
  <c r="K4207" i="1"/>
  <c r="P4207" i="1"/>
  <c r="R4207" i="1"/>
  <c r="BL4207" i="1"/>
  <c r="BW4207" i="1"/>
  <c r="CH4207" i="1"/>
  <c r="CS4207" i="1"/>
  <c r="K4208" i="1"/>
  <c r="P4208" i="1"/>
  <c r="R4208" i="1"/>
  <c r="BL4208" i="1"/>
  <c r="BW4208" i="1"/>
  <c r="CH4208" i="1"/>
  <c r="CS4208" i="1"/>
  <c r="K4209" i="1"/>
  <c r="P4209" i="1"/>
  <c r="R4209" i="1"/>
  <c r="BL4209" i="1"/>
  <c r="BW4209" i="1"/>
  <c r="CH4209" i="1"/>
  <c r="CS4209" i="1"/>
  <c r="K4210" i="1"/>
  <c r="P4210" i="1"/>
  <c r="R4210" i="1"/>
  <c r="BL4210" i="1"/>
  <c r="BW4210" i="1"/>
  <c r="CH4210" i="1"/>
  <c r="CS4210" i="1"/>
  <c r="K4211" i="1"/>
  <c r="P4211" i="1"/>
  <c r="R4211" i="1"/>
  <c r="BL4211" i="1"/>
  <c r="BW4211" i="1"/>
  <c r="CH4211" i="1"/>
  <c r="CS4211" i="1"/>
  <c r="K4212" i="1"/>
  <c r="P4212" i="1"/>
  <c r="R4212" i="1"/>
  <c r="BL4212" i="1"/>
  <c r="BW4212" i="1"/>
  <c r="CH4212" i="1"/>
  <c r="CS4212" i="1"/>
  <c r="K4213" i="1"/>
  <c r="P4213" i="1"/>
  <c r="R4213" i="1"/>
  <c r="BL4213" i="1"/>
  <c r="BW4213" i="1"/>
  <c r="CH4213" i="1"/>
  <c r="CS4213" i="1"/>
  <c r="K4214" i="1"/>
  <c r="P4214" i="1"/>
  <c r="R4214" i="1"/>
  <c r="BL4214" i="1"/>
  <c r="BW4214" i="1"/>
  <c r="CH4214" i="1"/>
  <c r="CS4214" i="1"/>
  <c r="K4215" i="1"/>
  <c r="P4215" i="1"/>
  <c r="R4215" i="1"/>
  <c r="BL4215" i="1"/>
  <c r="BW4215" i="1"/>
  <c r="CH4215" i="1"/>
  <c r="CS4215" i="1"/>
  <c r="K4216" i="1"/>
  <c r="P4216" i="1"/>
  <c r="R4216" i="1"/>
  <c r="BL4216" i="1"/>
  <c r="BW4216" i="1"/>
  <c r="CH4216" i="1"/>
  <c r="CS4216" i="1"/>
  <c r="K4217" i="1"/>
  <c r="P4217" i="1"/>
  <c r="R4217" i="1"/>
  <c r="BL4217" i="1"/>
  <c r="BW4217" i="1"/>
  <c r="CH4217" i="1"/>
  <c r="CS4217" i="1"/>
  <c r="K4218" i="1"/>
  <c r="P4218" i="1"/>
  <c r="R4218" i="1"/>
  <c r="BL4218" i="1"/>
  <c r="BW4218" i="1"/>
  <c r="CH4218" i="1"/>
  <c r="CS4218" i="1"/>
  <c r="K4219" i="1"/>
  <c r="P4219" i="1"/>
  <c r="R4219" i="1"/>
  <c r="BL4219" i="1"/>
  <c r="BW4219" i="1"/>
  <c r="CH4219" i="1"/>
  <c r="CS4219" i="1"/>
  <c r="K4220" i="1"/>
  <c r="P4220" i="1"/>
  <c r="R4220" i="1"/>
  <c r="BL4220" i="1"/>
  <c r="BW4220" i="1"/>
  <c r="CH4220" i="1"/>
  <c r="CS4220" i="1"/>
  <c r="K4221" i="1"/>
  <c r="P4221" i="1"/>
  <c r="R4221" i="1"/>
  <c r="BL4221" i="1"/>
  <c r="BW4221" i="1"/>
  <c r="CH4221" i="1"/>
  <c r="CS4221" i="1"/>
  <c r="K4222" i="1"/>
  <c r="P4222" i="1"/>
  <c r="R4222" i="1"/>
  <c r="BL4222" i="1"/>
  <c r="BW4222" i="1"/>
  <c r="CH4222" i="1"/>
  <c r="CS4222" i="1"/>
  <c r="K4223" i="1"/>
  <c r="P4223" i="1"/>
  <c r="R4223" i="1"/>
  <c r="BL4223" i="1"/>
  <c r="BW4223" i="1"/>
  <c r="CH4223" i="1"/>
  <c r="CS4223" i="1"/>
  <c r="K4224" i="1"/>
  <c r="P4224" i="1"/>
  <c r="R4224" i="1"/>
  <c r="BL4224" i="1"/>
  <c r="BW4224" i="1"/>
  <c r="CH4224" i="1"/>
  <c r="CS4224" i="1"/>
  <c r="K4225" i="1"/>
  <c r="P4225" i="1"/>
  <c r="R4225" i="1"/>
  <c r="BL4225" i="1"/>
  <c r="BW4225" i="1"/>
  <c r="CH4225" i="1"/>
  <c r="CS4225" i="1"/>
  <c r="K4226" i="1"/>
  <c r="P4226" i="1"/>
  <c r="R4226" i="1"/>
  <c r="BL4226" i="1"/>
  <c r="BW4226" i="1"/>
  <c r="CH4226" i="1"/>
  <c r="CS4226" i="1"/>
  <c r="K4227" i="1"/>
  <c r="P4227" i="1"/>
  <c r="R4227" i="1"/>
  <c r="BL4227" i="1"/>
  <c r="BW4227" i="1"/>
  <c r="CH4227" i="1"/>
  <c r="CS4227" i="1"/>
  <c r="K4228" i="1"/>
  <c r="P4228" i="1"/>
  <c r="R4228" i="1"/>
  <c r="BL4228" i="1"/>
  <c r="BW4228" i="1"/>
  <c r="CH4228" i="1"/>
  <c r="CS4228" i="1"/>
  <c r="K4229" i="1"/>
  <c r="P4229" i="1"/>
  <c r="R4229" i="1"/>
  <c r="BL4229" i="1"/>
  <c r="BW4229" i="1"/>
  <c r="CH4229" i="1"/>
  <c r="CS4229" i="1"/>
  <c r="K4230" i="1"/>
  <c r="P4230" i="1"/>
  <c r="R4230" i="1"/>
  <c r="BL4230" i="1"/>
  <c r="BW4230" i="1"/>
  <c r="CH4230" i="1"/>
  <c r="CS4230" i="1"/>
  <c r="K4231" i="1"/>
  <c r="P4231" i="1"/>
  <c r="R4231" i="1"/>
  <c r="BL4231" i="1"/>
  <c r="BW4231" i="1"/>
  <c r="CH4231" i="1"/>
  <c r="CS4231" i="1"/>
  <c r="K4232" i="1"/>
  <c r="P4232" i="1"/>
  <c r="R4232" i="1"/>
  <c r="BL4232" i="1"/>
  <c r="BW4232" i="1"/>
  <c r="CH4232" i="1"/>
  <c r="CS4232" i="1"/>
  <c r="K4233" i="1"/>
  <c r="P4233" i="1"/>
  <c r="R4233" i="1"/>
  <c r="BL4233" i="1"/>
  <c r="BW4233" i="1"/>
  <c r="CH4233" i="1"/>
  <c r="CS4233" i="1"/>
  <c r="K4234" i="1"/>
  <c r="P4234" i="1"/>
  <c r="R4234" i="1"/>
  <c r="BL4234" i="1"/>
  <c r="BW4234" i="1"/>
  <c r="CH4234" i="1"/>
  <c r="CS4234" i="1"/>
  <c r="K4235" i="1"/>
  <c r="P4235" i="1"/>
  <c r="R4235" i="1"/>
  <c r="BL4235" i="1"/>
  <c r="BW4235" i="1"/>
  <c r="CH4235" i="1"/>
  <c r="CS4235" i="1"/>
  <c r="K4236" i="1"/>
  <c r="P4236" i="1"/>
  <c r="R4236" i="1"/>
  <c r="BL4236" i="1"/>
  <c r="BW4236" i="1"/>
  <c r="CH4236" i="1"/>
  <c r="CS4236" i="1"/>
  <c r="K4237" i="1"/>
  <c r="P4237" i="1"/>
  <c r="R4237" i="1"/>
  <c r="BL4237" i="1"/>
  <c r="BW4237" i="1"/>
  <c r="CH4237" i="1"/>
  <c r="CS4237" i="1"/>
  <c r="K4238" i="1"/>
  <c r="P4238" i="1"/>
  <c r="R4238" i="1"/>
  <c r="BL4238" i="1"/>
  <c r="BW4238" i="1"/>
  <c r="CH4238" i="1"/>
  <c r="CS4238" i="1"/>
  <c r="K4239" i="1"/>
  <c r="P4239" i="1"/>
  <c r="R4239" i="1"/>
  <c r="BL4239" i="1"/>
  <c r="BW4239" i="1"/>
  <c r="CH4239" i="1"/>
  <c r="CS4239" i="1"/>
  <c r="K4240" i="1"/>
  <c r="P4240" i="1"/>
  <c r="R4240" i="1"/>
  <c r="BL4240" i="1"/>
  <c r="BW4240" i="1"/>
  <c r="CH4240" i="1"/>
  <c r="CS4240" i="1"/>
  <c r="K4241" i="1"/>
  <c r="P4241" i="1"/>
  <c r="R4241" i="1"/>
  <c r="BL4241" i="1"/>
  <c r="BW4241" i="1"/>
  <c r="CH4241" i="1"/>
  <c r="CS4241" i="1"/>
  <c r="K4242" i="1"/>
  <c r="P4242" i="1"/>
  <c r="R4242" i="1"/>
  <c r="BL4242" i="1"/>
  <c r="BW4242" i="1"/>
  <c r="CH4242" i="1"/>
  <c r="CS4242" i="1"/>
  <c r="K4243" i="1"/>
  <c r="P4243" i="1"/>
  <c r="R4243" i="1"/>
  <c r="BL4243" i="1"/>
  <c r="BW4243" i="1"/>
  <c r="CH4243" i="1"/>
  <c r="CS4243" i="1"/>
  <c r="K4244" i="1"/>
  <c r="P4244" i="1"/>
  <c r="R4244" i="1"/>
  <c r="BL4244" i="1"/>
  <c r="BW4244" i="1"/>
  <c r="CH4244" i="1"/>
  <c r="CS4244" i="1"/>
  <c r="K4245" i="1"/>
  <c r="P4245" i="1"/>
  <c r="R4245" i="1"/>
  <c r="BL4245" i="1"/>
  <c r="BW4245" i="1"/>
  <c r="CH4245" i="1"/>
  <c r="CS4245" i="1"/>
  <c r="K4246" i="1"/>
  <c r="P4246" i="1"/>
  <c r="R4246" i="1"/>
  <c r="BL4246" i="1"/>
  <c r="BW4246" i="1"/>
  <c r="CH4246" i="1"/>
  <c r="CS4246" i="1"/>
  <c r="K4247" i="1"/>
  <c r="P4247" i="1"/>
  <c r="R4247" i="1"/>
  <c r="BL4247" i="1"/>
  <c r="BW4247" i="1"/>
  <c r="CH4247" i="1"/>
  <c r="CS4247" i="1"/>
  <c r="K4248" i="1"/>
  <c r="P4248" i="1"/>
  <c r="R4248" i="1"/>
  <c r="BL4248" i="1"/>
  <c r="BW4248" i="1"/>
  <c r="CH4248" i="1"/>
  <c r="CS4248" i="1"/>
  <c r="K4249" i="1"/>
  <c r="P4249" i="1"/>
  <c r="R4249" i="1"/>
  <c r="BL4249" i="1"/>
  <c r="BW4249" i="1"/>
  <c r="CH4249" i="1"/>
  <c r="CS4249" i="1"/>
  <c r="K4250" i="1"/>
  <c r="P4250" i="1"/>
  <c r="R4250" i="1"/>
  <c r="BL4250" i="1"/>
  <c r="BW4250" i="1"/>
  <c r="CH4250" i="1"/>
  <c r="CS4250" i="1"/>
  <c r="K4251" i="1"/>
  <c r="P4251" i="1"/>
  <c r="R4251" i="1"/>
  <c r="BL4251" i="1"/>
  <c r="BW4251" i="1"/>
  <c r="CH4251" i="1"/>
  <c r="CS4251" i="1"/>
  <c r="K4252" i="1"/>
  <c r="P4252" i="1"/>
  <c r="R4252" i="1"/>
  <c r="BL4252" i="1"/>
  <c r="BW4252" i="1"/>
  <c r="CH4252" i="1"/>
  <c r="CS4252" i="1"/>
  <c r="K4253" i="1"/>
  <c r="P4253" i="1"/>
  <c r="R4253" i="1"/>
  <c r="BL4253" i="1"/>
  <c r="BW4253" i="1"/>
  <c r="CH4253" i="1"/>
  <c r="CS4253" i="1"/>
  <c r="K4254" i="1"/>
  <c r="P4254" i="1"/>
  <c r="R4254" i="1"/>
  <c r="BL4254" i="1"/>
  <c r="BW4254" i="1"/>
  <c r="CH4254" i="1"/>
  <c r="CS4254" i="1"/>
  <c r="K4255" i="1"/>
  <c r="P4255" i="1"/>
  <c r="R4255" i="1"/>
  <c r="BL4255" i="1"/>
  <c r="BW4255" i="1"/>
  <c r="CH4255" i="1"/>
  <c r="CS4255" i="1"/>
  <c r="K4256" i="1"/>
  <c r="P4256" i="1"/>
  <c r="R4256" i="1"/>
  <c r="BL4256" i="1"/>
  <c r="BW4256" i="1"/>
  <c r="CH4256" i="1"/>
  <c r="CS4256" i="1"/>
  <c r="K4257" i="1"/>
  <c r="P4257" i="1"/>
  <c r="R4257" i="1"/>
  <c r="BL4257" i="1"/>
  <c r="BW4257" i="1"/>
  <c r="CH4257" i="1"/>
  <c r="CS4257" i="1"/>
  <c r="K4258" i="1"/>
  <c r="P4258" i="1"/>
  <c r="R4258" i="1"/>
  <c r="BL4258" i="1"/>
  <c r="BW4258" i="1"/>
  <c r="CH4258" i="1"/>
  <c r="CS4258" i="1"/>
  <c r="K4259" i="1"/>
  <c r="P4259" i="1"/>
  <c r="R4259" i="1"/>
  <c r="BL4259" i="1"/>
  <c r="BW4259" i="1"/>
  <c r="CH4259" i="1"/>
  <c r="CS4259" i="1"/>
  <c r="K4260" i="1"/>
  <c r="P4260" i="1"/>
  <c r="R4260" i="1"/>
  <c r="BL4260" i="1"/>
  <c r="BW4260" i="1"/>
  <c r="CH4260" i="1"/>
  <c r="CS4260" i="1"/>
  <c r="K4261" i="1"/>
  <c r="P4261" i="1"/>
  <c r="R4261" i="1"/>
  <c r="BL4261" i="1"/>
  <c r="BW4261" i="1"/>
  <c r="CH4261" i="1"/>
  <c r="CS4261" i="1"/>
  <c r="K4262" i="1"/>
  <c r="P4262" i="1"/>
  <c r="R4262" i="1"/>
  <c r="BL4262" i="1"/>
  <c r="BW4262" i="1"/>
  <c r="CH4262" i="1"/>
  <c r="CS4262" i="1"/>
  <c r="K4263" i="1"/>
  <c r="P4263" i="1"/>
  <c r="R4263" i="1"/>
  <c r="BL4263" i="1"/>
  <c r="BW4263" i="1"/>
  <c r="CH4263" i="1"/>
  <c r="CS4263" i="1"/>
  <c r="K4264" i="1"/>
  <c r="P4264" i="1"/>
  <c r="R4264" i="1"/>
  <c r="BL4264" i="1"/>
  <c r="BW4264" i="1"/>
  <c r="CH4264" i="1"/>
  <c r="CS4264" i="1"/>
  <c r="K4265" i="1"/>
  <c r="P4265" i="1"/>
  <c r="R4265" i="1"/>
  <c r="BL4265" i="1"/>
  <c r="BW4265" i="1"/>
  <c r="CH4265" i="1"/>
  <c r="CS4265" i="1"/>
  <c r="K4266" i="1"/>
  <c r="P4266" i="1"/>
  <c r="R4266" i="1"/>
  <c r="BL4266" i="1"/>
  <c r="BW4266" i="1"/>
  <c r="CH4266" i="1"/>
  <c r="CS4266" i="1"/>
  <c r="K4267" i="1"/>
  <c r="P4267" i="1"/>
  <c r="R4267" i="1"/>
  <c r="BL4267" i="1"/>
  <c r="BW4267" i="1"/>
  <c r="CH4267" i="1"/>
  <c r="CS4267" i="1"/>
  <c r="K4268" i="1"/>
  <c r="P4268" i="1"/>
  <c r="R4268" i="1"/>
  <c r="BL4268" i="1"/>
  <c r="BW4268" i="1"/>
  <c r="CH4268" i="1"/>
  <c r="CS4268" i="1"/>
  <c r="K4269" i="1"/>
  <c r="P4269" i="1"/>
  <c r="R4269" i="1"/>
  <c r="BL4269" i="1"/>
  <c r="BW4269" i="1"/>
  <c r="CH4269" i="1"/>
  <c r="CS4269" i="1"/>
  <c r="K4270" i="1"/>
  <c r="P4270" i="1"/>
  <c r="R4270" i="1"/>
  <c r="BL4270" i="1"/>
  <c r="BW4270" i="1"/>
  <c r="CH4270" i="1"/>
  <c r="CS4270" i="1"/>
  <c r="K4271" i="1"/>
  <c r="P4271" i="1"/>
  <c r="R4271" i="1"/>
  <c r="BL4271" i="1"/>
  <c r="BW4271" i="1"/>
  <c r="CH4271" i="1"/>
  <c r="CS4271" i="1"/>
  <c r="K4272" i="1"/>
  <c r="P4272" i="1"/>
  <c r="R4272" i="1"/>
  <c r="BL4272" i="1"/>
  <c r="BW4272" i="1"/>
  <c r="CH4272" i="1"/>
  <c r="CS4272" i="1"/>
  <c r="K4273" i="1"/>
  <c r="P4273" i="1"/>
  <c r="R4273" i="1"/>
  <c r="BL4273" i="1"/>
  <c r="BW4273" i="1"/>
  <c r="CH4273" i="1"/>
  <c r="CS4273" i="1"/>
  <c r="K4274" i="1"/>
  <c r="P4274" i="1"/>
  <c r="R4274" i="1"/>
  <c r="BL4274" i="1"/>
  <c r="BW4274" i="1"/>
  <c r="CH4274" i="1"/>
  <c r="CS4274" i="1"/>
  <c r="K4275" i="1"/>
  <c r="P4275" i="1"/>
  <c r="R4275" i="1"/>
  <c r="BL4275" i="1"/>
  <c r="BW4275" i="1"/>
  <c r="CH4275" i="1"/>
  <c r="CS4275" i="1"/>
  <c r="K4276" i="1"/>
  <c r="P4276" i="1"/>
  <c r="R4276" i="1"/>
  <c r="BL4276" i="1"/>
  <c r="BW4276" i="1"/>
  <c r="CH4276" i="1"/>
  <c r="CS4276" i="1"/>
  <c r="K4277" i="1"/>
  <c r="P4277" i="1"/>
  <c r="R4277" i="1"/>
  <c r="BL4277" i="1"/>
  <c r="BW4277" i="1"/>
  <c r="CH4277" i="1"/>
  <c r="CS4277" i="1"/>
  <c r="K4278" i="1"/>
  <c r="P4278" i="1"/>
  <c r="R4278" i="1"/>
  <c r="BL4278" i="1"/>
  <c r="BQ4278" i="1"/>
  <c r="BW4278" i="1"/>
  <c r="CH4278" i="1"/>
  <c r="CS4278" i="1"/>
  <c r="K4279" i="1"/>
  <c r="P4279" i="1"/>
  <c r="R4279" i="1"/>
  <c r="BL4279" i="1"/>
  <c r="BW4279" i="1"/>
  <c r="CH4279" i="1"/>
  <c r="CS4279" i="1"/>
  <c r="K4280" i="1"/>
  <c r="P4280" i="1"/>
  <c r="R4280" i="1"/>
  <c r="BL4280" i="1"/>
  <c r="BW4280" i="1"/>
  <c r="CH4280" i="1"/>
  <c r="CS4280" i="1"/>
  <c r="K4281" i="1"/>
  <c r="P4281" i="1"/>
  <c r="R4281" i="1"/>
  <c r="BL4281" i="1"/>
  <c r="BW4281" i="1"/>
  <c r="CH4281" i="1"/>
  <c r="CS4281" i="1"/>
  <c r="K4282" i="1"/>
  <c r="P4282" i="1"/>
  <c r="R4282" i="1"/>
  <c r="BL4282" i="1"/>
  <c r="BW4282" i="1"/>
  <c r="CH4282" i="1"/>
  <c r="CS4282" i="1"/>
  <c r="K4283" i="1"/>
  <c r="P4283" i="1"/>
  <c r="R4283" i="1"/>
  <c r="BL4283" i="1"/>
  <c r="BW4283" i="1"/>
  <c r="CH4283" i="1"/>
  <c r="CS4283" i="1"/>
  <c r="K4284" i="1"/>
  <c r="P4284" i="1"/>
  <c r="R4284" i="1"/>
  <c r="BL4284" i="1"/>
  <c r="BW4284" i="1"/>
  <c r="CH4284" i="1"/>
  <c r="CS4284" i="1"/>
  <c r="K4285" i="1"/>
  <c r="P4285" i="1"/>
  <c r="R4285" i="1"/>
  <c r="BL4285" i="1"/>
  <c r="BW4285" i="1"/>
  <c r="CH4285" i="1"/>
  <c r="CS4285" i="1"/>
  <c r="K4286" i="1"/>
  <c r="P4286" i="1"/>
  <c r="R4286" i="1"/>
  <c r="BL4286" i="1"/>
  <c r="BW4286" i="1"/>
  <c r="CH4286" i="1"/>
  <c r="CS4286" i="1"/>
  <c r="K4287" i="1"/>
  <c r="P4287" i="1"/>
  <c r="R4287" i="1"/>
  <c r="BL4287" i="1"/>
  <c r="BW4287" i="1"/>
  <c r="CH4287" i="1"/>
  <c r="CS4287" i="1"/>
  <c r="K4288" i="1"/>
  <c r="P4288" i="1"/>
  <c r="R4288" i="1"/>
  <c r="BL4288" i="1"/>
  <c r="BW4288" i="1"/>
  <c r="CH4288" i="1"/>
  <c r="CS4288" i="1"/>
  <c r="K4289" i="1"/>
  <c r="P4289" i="1"/>
  <c r="R4289" i="1"/>
  <c r="BL4289" i="1"/>
  <c r="BW4289" i="1"/>
  <c r="CH4289" i="1"/>
  <c r="CS4289" i="1"/>
  <c r="K4290" i="1"/>
  <c r="P4290" i="1"/>
  <c r="R4290" i="1"/>
  <c r="BL4290" i="1"/>
  <c r="BW4290" i="1"/>
  <c r="CH4290" i="1"/>
  <c r="CS4290" i="1"/>
  <c r="K4291" i="1"/>
  <c r="P4291" i="1"/>
  <c r="R4291" i="1"/>
  <c r="BL4291" i="1"/>
  <c r="BW4291" i="1"/>
  <c r="CH4291" i="1"/>
  <c r="CS4291" i="1"/>
  <c r="K4292" i="1"/>
  <c r="P4292" i="1"/>
  <c r="R4292" i="1"/>
  <c r="BL4292" i="1"/>
  <c r="BW4292" i="1"/>
  <c r="CH4292" i="1"/>
  <c r="CS4292" i="1"/>
  <c r="K4293" i="1"/>
  <c r="P4293" i="1"/>
  <c r="R4293" i="1"/>
  <c r="BL4293" i="1"/>
  <c r="BW4293" i="1"/>
  <c r="CH4293" i="1"/>
  <c r="CS4293" i="1"/>
  <c r="K4294" i="1"/>
  <c r="P4294" i="1"/>
  <c r="R4294" i="1"/>
  <c r="BL4294" i="1"/>
  <c r="BW4294" i="1"/>
  <c r="CH4294" i="1"/>
  <c r="CS4294" i="1"/>
  <c r="K4295" i="1"/>
  <c r="P4295" i="1"/>
  <c r="R4295" i="1"/>
  <c r="BL4295" i="1"/>
  <c r="BW4295" i="1"/>
  <c r="CH4295" i="1"/>
  <c r="CS4295" i="1"/>
  <c r="K4296" i="1"/>
  <c r="P4296" i="1"/>
  <c r="R4296" i="1"/>
  <c r="BL4296" i="1"/>
  <c r="BW4296" i="1"/>
  <c r="CH4296" i="1"/>
  <c r="CS4296" i="1"/>
  <c r="K4297" i="1"/>
  <c r="P4297" i="1"/>
  <c r="R4297" i="1"/>
  <c r="BL4297" i="1"/>
  <c r="BW4297" i="1"/>
  <c r="CH4297" i="1"/>
  <c r="CS4297" i="1"/>
  <c r="K4298" i="1"/>
  <c r="P4298" i="1"/>
  <c r="R4298" i="1"/>
  <c r="BL4298" i="1"/>
  <c r="BW4298" i="1"/>
  <c r="CH4298" i="1"/>
  <c r="CS4298" i="1"/>
  <c r="K4299" i="1"/>
  <c r="P4299" i="1"/>
  <c r="R4299" i="1"/>
  <c r="BL4299" i="1"/>
  <c r="BW4299" i="1"/>
  <c r="CH4299" i="1"/>
  <c r="CS4299" i="1"/>
  <c r="K4300" i="1"/>
  <c r="P4300" i="1"/>
  <c r="R4300" i="1"/>
  <c r="BL4300" i="1"/>
  <c r="BW4300" i="1"/>
  <c r="CH4300" i="1"/>
  <c r="CS4300" i="1"/>
  <c r="K4301" i="1"/>
  <c r="P4301" i="1"/>
  <c r="R4301" i="1"/>
  <c r="BL4301" i="1"/>
  <c r="BW4301" i="1"/>
  <c r="CH4301" i="1"/>
  <c r="CS4301" i="1"/>
  <c r="K4302" i="1"/>
  <c r="P4302" i="1"/>
  <c r="R4302" i="1"/>
  <c r="BL4302" i="1"/>
  <c r="BW4302" i="1"/>
  <c r="CH4302" i="1"/>
  <c r="CS4302" i="1"/>
  <c r="K4303" i="1"/>
  <c r="P4303" i="1"/>
  <c r="R4303" i="1"/>
  <c r="BL4303" i="1"/>
  <c r="BW4303" i="1"/>
  <c r="CH4303" i="1"/>
  <c r="CS4303" i="1"/>
  <c r="K4304" i="1"/>
  <c r="P4304" i="1"/>
  <c r="R4304" i="1"/>
  <c r="BL4304" i="1"/>
  <c r="BW4304" i="1"/>
  <c r="CH4304" i="1"/>
  <c r="CS4304" i="1"/>
  <c r="K4305" i="1"/>
  <c r="P4305" i="1"/>
  <c r="R4305" i="1"/>
  <c r="BL4305" i="1"/>
  <c r="BW4305" i="1"/>
  <c r="CH4305" i="1"/>
  <c r="CS4305" i="1"/>
  <c r="K4306" i="1"/>
  <c r="P4306" i="1"/>
  <c r="R4306" i="1"/>
  <c r="BL4306" i="1"/>
  <c r="BW4306" i="1"/>
  <c r="CH4306" i="1"/>
  <c r="CS4306" i="1"/>
  <c r="K4307" i="1"/>
  <c r="P4307" i="1"/>
  <c r="R4307" i="1"/>
  <c r="BL4307" i="1"/>
  <c r="BQ4307" i="1"/>
  <c r="BW4307" i="1"/>
  <c r="CH4307" i="1"/>
  <c r="CS4307" i="1"/>
  <c r="K4308" i="1"/>
  <c r="P4308" i="1"/>
  <c r="R4308" i="1"/>
  <c r="BL4308" i="1"/>
  <c r="BW4308" i="1"/>
  <c r="CH4308" i="1"/>
  <c r="CS4308" i="1"/>
  <c r="K4309" i="1"/>
  <c r="P4309" i="1"/>
  <c r="R4309" i="1"/>
  <c r="BL4309" i="1"/>
  <c r="BW4309" i="1"/>
  <c r="CH4309" i="1"/>
  <c r="CS4309" i="1"/>
  <c r="K4310" i="1"/>
  <c r="P4310" i="1"/>
  <c r="R4310" i="1"/>
  <c r="BL4310" i="1"/>
  <c r="BW4310" i="1"/>
  <c r="CH4310" i="1"/>
  <c r="CS4310" i="1"/>
  <c r="K4311" i="1"/>
  <c r="P4311" i="1"/>
  <c r="R4311" i="1"/>
  <c r="BL4311" i="1"/>
  <c r="BW4311" i="1"/>
  <c r="CH4311" i="1"/>
  <c r="CS4311" i="1"/>
  <c r="K4312" i="1"/>
  <c r="P4312" i="1"/>
  <c r="R4312" i="1"/>
  <c r="BL4312" i="1"/>
  <c r="BW4312" i="1"/>
  <c r="CH4312" i="1"/>
  <c r="CS4312" i="1"/>
  <c r="K4313" i="1"/>
  <c r="P4313" i="1"/>
  <c r="R4313" i="1"/>
  <c r="BL4313" i="1"/>
  <c r="BW4313" i="1"/>
  <c r="CH4313" i="1"/>
  <c r="CS4313" i="1"/>
  <c r="K4314" i="1"/>
  <c r="P4314" i="1"/>
  <c r="R4314" i="1"/>
  <c r="BL4314" i="1"/>
  <c r="BW4314" i="1"/>
  <c r="CH4314" i="1"/>
  <c r="CS4314" i="1"/>
  <c r="K4315" i="1"/>
  <c r="P4315" i="1"/>
  <c r="R4315" i="1"/>
  <c r="BL4315" i="1"/>
  <c r="BW4315" i="1"/>
  <c r="CH4315" i="1"/>
  <c r="CS4315" i="1"/>
  <c r="K4316" i="1"/>
  <c r="P4316" i="1"/>
  <c r="R4316" i="1"/>
  <c r="BL4316" i="1"/>
  <c r="BW4316" i="1"/>
  <c r="CH4316" i="1"/>
  <c r="CS4316" i="1"/>
  <c r="K4317" i="1"/>
  <c r="P4317" i="1"/>
  <c r="R4317" i="1"/>
  <c r="BL4317" i="1"/>
  <c r="BW4317" i="1"/>
  <c r="CH4317" i="1"/>
  <c r="CS4317" i="1"/>
  <c r="K4318" i="1"/>
  <c r="P4318" i="1"/>
  <c r="R4318" i="1"/>
  <c r="BL4318" i="1"/>
  <c r="BW4318" i="1"/>
  <c r="CH4318" i="1"/>
  <c r="CS4318" i="1"/>
  <c r="K4319" i="1"/>
  <c r="P4319" i="1"/>
  <c r="R4319" i="1"/>
  <c r="BL4319" i="1"/>
  <c r="BW4319" i="1"/>
  <c r="CH4319" i="1"/>
  <c r="CS4319" i="1"/>
  <c r="K4320" i="1"/>
  <c r="P4320" i="1"/>
  <c r="R4320" i="1"/>
  <c r="BL4320" i="1"/>
  <c r="BW4320" i="1"/>
  <c r="CH4320" i="1"/>
  <c r="CS4320" i="1"/>
  <c r="K4321" i="1"/>
  <c r="P4321" i="1"/>
  <c r="R4321" i="1"/>
  <c r="BL4321" i="1"/>
  <c r="BW4321" i="1"/>
  <c r="CH4321" i="1"/>
  <c r="CS4321" i="1"/>
  <c r="K4322" i="1"/>
  <c r="P4322" i="1"/>
  <c r="R4322" i="1"/>
  <c r="BL4322" i="1"/>
  <c r="BW4322" i="1"/>
  <c r="CH4322" i="1"/>
  <c r="CS4322" i="1"/>
  <c r="K4323" i="1"/>
  <c r="P4323" i="1"/>
  <c r="R4323" i="1"/>
  <c r="BL4323" i="1"/>
  <c r="BW4323" i="1"/>
  <c r="CH4323" i="1"/>
  <c r="CS4323" i="1"/>
  <c r="K4324" i="1"/>
  <c r="P4324" i="1"/>
  <c r="R4324" i="1"/>
  <c r="BL4324" i="1"/>
  <c r="BW4324" i="1"/>
  <c r="CH4324" i="1"/>
  <c r="CS4324" i="1"/>
  <c r="K4325" i="1"/>
  <c r="P4325" i="1"/>
  <c r="R4325" i="1"/>
  <c r="BL4325" i="1"/>
  <c r="BW4325" i="1"/>
  <c r="CH4325" i="1"/>
  <c r="CS4325" i="1"/>
  <c r="K4326" i="1"/>
  <c r="P4326" i="1"/>
  <c r="R4326" i="1"/>
  <c r="BL4326" i="1"/>
  <c r="BW4326" i="1"/>
  <c r="CH4326" i="1"/>
  <c r="CS4326" i="1"/>
  <c r="K4327" i="1"/>
  <c r="P4327" i="1"/>
  <c r="R4327" i="1"/>
  <c r="BL4327" i="1"/>
  <c r="BW4327" i="1"/>
  <c r="CH4327" i="1"/>
  <c r="CS4327" i="1"/>
  <c r="K4328" i="1"/>
  <c r="P4328" i="1"/>
  <c r="R4328" i="1"/>
  <c r="BL4328" i="1"/>
  <c r="BW4328" i="1"/>
  <c r="CH4328" i="1"/>
  <c r="CS4328" i="1"/>
  <c r="K4329" i="1"/>
  <c r="P4329" i="1"/>
  <c r="R4329" i="1"/>
  <c r="BL4329" i="1"/>
  <c r="BW4329" i="1"/>
  <c r="CH4329" i="1"/>
  <c r="CS4329" i="1"/>
  <c r="K4330" i="1"/>
  <c r="P4330" i="1"/>
  <c r="R4330" i="1"/>
  <c r="BL4330" i="1"/>
  <c r="BW4330" i="1"/>
  <c r="CH4330" i="1"/>
  <c r="CS4330" i="1"/>
  <c r="K4331" i="1"/>
  <c r="P4331" i="1"/>
  <c r="R4331" i="1"/>
  <c r="BL4331" i="1"/>
  <c r="BW4331" i="1"/>
  <c r="CH4331" i="1"/>
  <c r="CS4331" i="1"/>
  <c r="K4332" i="1"/>
  <c r="P4332" i="1"/>
  <c r="R4332" i="1"/>
  <c r="BL4332" i="1"/>
  <c r="BW4332" i="1"/>
  <c r="CH4332" i="1"/>
  <c r="CS4332" i="1"/>
  <c r="K4333" i="1"/>
  <c r="P4333" i="1"/>
  <c r="R4333" i="1"/>
  <c r="BL4333" i="1"/>
  <c r="BW4333" i="1"/>
  <c r="CH4333" i="1"/>
  <c r="CS4333" i="1"/>
  <c r="K4334" i="1"/>
  <c r="P4334" i="1"/>
  <c r="R4334" i="1"/>
  <c r="BL4334" i="1"/>
  <c r="BW4334" i="1"/>
  <c r="CH4334" i="1"/>
  <c r="CS4334" i="1"/>
  <c r="K4335" i="1"/>
  <c r="P4335" i="1"/>
  <c r="R4335" i="1"/>
  <c r="BL4335" i="1"/>
  <c r="BW4335" i="1"/>
  <c r="CH4335" i="1"/>
  <c r="CS4335" i="1"/>
  <c r="K4336" i="1"/>
  <c r="P4336" i="1"/>
  <c r="R4336" i="1"/>
  <c r="BL4336" i="1"/>
  <c r="BW4336" i="1"/>
  <c r="CH4336" i="1"/>
  <c r="CS4336" i="1"/>
  <c r="K4337" i="1"/>
  <c r="P4337" i="1"/>
  <c r="R4337" i="1"/>
  <c r="BL4337" i="1"/>
  <c r="BW4337" i="1"/>
  <c r="CH4337" i="1"/>
  <c r="CS4337" i="1"/>
  <c r="K4338" i="1"/>
  <c r="P4338" i="1"/>
  <c r="R4338" i="1"/>
  <c r="BL4338" i="1"/>
  <c r="BQ4338" i="1"/>
  <c r="BW4338" i="1"/>
  <c r="CH4338" i="1"/>
  <c r="CS4338" i="1"/>
  <c r="K4339" i="1"/>
  <c r="P4339" i="1"/>
  <c r="R4339" i="1"/>
  <c r="BL4339" i="1"/>
  <c r="BW4339" i="1"/>
  <c r="CH4339" i="1"/>
  <c r="CS4339" i="1"/>
  <c r="K4340" i="1"/>
  <c r="P4340" i="1"/>
  <c r="R4340" i="1"/>
  <c r="BL4340" i="1"/>
  <c r="BW4340" i="1"/>
  <c r="CH4340" i="1"/>
  <c r="CS4340" i="1"/>
  <c r="K4341" i="1"/>
  <c r="P4341" i="1"/>
  <c r="R4341" i="1"/>
  <c r="BL4341" i="1"/>
  <c r="BW4341" i="1"/>
  <c r="CH4341" i="1"/>
  <c r="CS4341" i="1"/>
  <c r="K4342" i="1"/>
  <c r="P4342" i="1"/>
  <c r="R4342" i="1"/>
  <c r="BL4342" i="1"/>
  <c r="BW4342" i="1"/>
  <c r="CH4342" i="1"/>
  <c r="CS4342" i="1"/>
  <c r="K4343" i="1"/>
  <c r="P4343" i="1"/>
  <c r="R4343" i="1"/>
  <c r="BL4343" i="1"/>
  <c r="BW4343" i="1"/>
  <c r="CH4343" i="1"/>
  <c r="CS4343" i="1"/>
  <c r="K4344" i="1"/>
  <c r="P4344" i="1"/>
  <c r="R4344" i="1"/>
  <c r="BL4344" i="1"/>
  <c r="BW4344" i="1"/>
  <c r="CH4344" i="1"/>
  <c r="CS4344" i="1"/>
  <c r="K4345" i="1"/>
  <c r="P4345" i="1"/>
  <c r="R4345" i="1"/>
  <c r="BL4345" i="1"/>
  <c r="BW4345" i="1"/>
  <c r="CH4345" i="1"/>
  <c r="CS4345" i="1"/>
  <c r="K4346" i="1"/>
  <c r="P4346" i="1"/>
  <c r="R4346" i="1"/>
  <c r="BL4346" i="1"/>
  <c r="BW4346" i="1"/>
  <c r="CH4346" i="1"/>
  <c r="CS4346" i="1"/>
  <c r="K4347" i="1"/>
  <c r="P4347" i="1"/>
  <c r="R4347" i="1"/>
  <c r="BL4347" i="1"/>
  <c r="BW4347" i="1"/>
  <c r="CH4347" i="1"/>
  <c r="CS4347" i="1"/>
  <c r="K4348" i="1"/>
  <c r="P4348" i="1"/>
  <c r="R4348" i="1"/>
  <c r="BL4348" i="1"/>
  <c r="BW4348" i="1"/>
  <c r="CH4348" i="1"/>
  <c r="CS4348" i="1"/>
  <c r="K4349" i="1"/>
  <c r="P4349" i="1"/>
  <c r="R4349" i="1"/>
  <c r="BL4349" i="1"/>
  <c r="BW4349" i="1"/>
  <c r="CH4349" i="1"/>
  <c r="CS4349" i="1"/>
  <c r="K4350" i="1"/>
  <c r="P4350" i="1"/>
  <c r="R4350" i="1"/>
  <c r="BL4350" i="1"/>
  <c r="BW4350" i="1"/>
  <c r="CH4350" i="1"/>
  <c r="CS4350" i="1"/>
  <c r="K4351" i="1"/>
  <c r="P4351" i="1"/>
  <c r="R4351" i="1"/>
  <c r="BL4351" i="1"/>
  <c r="BW4351" i="1"/>
  <c r="CH4351" i="1"/>
  <c r="CS4351" i="1"/>
  <c r="K4352" i="1"/>
  <c r="P4352" i="1"/>
  <c r="R4352" i="1"/>
  <c r="BL4352" i="1"/>
  <c r="BW4352" i="1"/>
  <c r="CH4352" i="1"/>
  <c r="CS4352" i="1"/>
  <c r="K4353" i="1"/>
  <c r="P4353" i="1"/>
  <c r="R4353" i="1"/>
  <c r="BL4353" i="1"/>
  <c r="BQ4353" i="1"/>
  <c r="BW4353" i="1"/>
  <c r="CH4353" i="1"/>
  <c r="CS4353" i="1"/>
  <c r="K4354" i="1"/>
  <c r="P4354" i="1"/>
  <c r="R4354" i="1"/>
  <c r="BL4354" i="1"/>
  <c r="BW4354" i="1"/>
  <c r="CH4354" i="1"/>
  <c r="CS4354" i="1"/>
  <c r="K4355" i="1"/>
  <c r="P4355" i="1"/>
  <c r="R4355" i="1"/>
  <c r="BL4355" i="1"/>
  <c r="BW4355" i="1"/>
  <c r="CH4355" i="1"/>
  <c r="CS4355" i="1"/>
  <c r="K4356" i="1"/>
  <c r="P4356" i="1"/>
  <c r="R4356" i="1"/>
  <c r="BL4356" i="1"/>
  <c r="BW4356" i="1"/>
  <c r="CH4356" i="1"/>
  <c r="CS4356" i="1"/>
  <c r="K4357" i="1"/>
  <c r="P4357" i="1"/>
  <c r="R4357" i="1"/>
  <c r="BL4357" i="1"/>
  <c r="BW4357" i="1"/>
  <c r="CH4357" i="1"/>
  <c r="CS4357" i="1"/>
  <c r="K4358" i="1"/>
  <c r="P4358" i="1"/>
  <c r="R4358" i="1"/>
  <c r="BL4358" i="1"/>
  <c r="BW4358" i="1"/>
  <c r="CH4358" i="1"/>
  <c r="CS4358" i="1"/>
  <c r="K4359" i="1"/>
  <c r="P4359" i="1"/>
  <c r="R4359" i="1"/>
  <c r="BL4359" i="1"/>
  <c r="BW4359" i="1"/>
  <c r="CH4359" i="1"/>
  <c r="CS4359" i="1"/>
  <c r="K4360" i="1"/>
  <c r="P4360" i="1"/>
  <c r="R4360" i="1"/>
  <c r="BL4360" i="1"/>
  <c r="BW4360" i="1"/>
  <c r="CH4360" i="1"/>
  <c r="CS4360" i="1"/>
  <c r="K4361" i="1"/>
  <c r="P4361" i="1"/>
  <c r="R4361" i="1"/>
  <c r="BL4361" i="1"/>
  <c r="BW4361" i="1"/>
  <c r="CH4361" i="1"/>
  <c r="CS4361" i="1"/>
  <c r="K4362" i="1"/>
  <c r="P4362" i="1"/>
  <c r="R4362" i="1"/>
  <c r="BL4362" i="1"/>
  <c r="BW4362" i="1"/>
  <c r="CH4362" i="1"/>
  <c r="CS4362" i="1"/>
  <c r="K4363" i="1"/>
  <c r="P4363" i="1"/>
  <c r="R4363" i="1"/>
  <c r="BL4363" i="1"/>
  <c r="BW4363" i="1"/>
  <c r="CH4363" i="1"/>
  <c r="CS4363" i="1"/>
  <c r="K4364" i="1"/>
  <c r="P4364" i="1"/>
  <c r="R4364" i="1"/>
  <c r="BL4364" i="1"/>
  <c r="BW4364" i="1"/>
  <c r="CH4364" i="1"/>
  <c r="CS4364" i="1"/>
  <c r="K4365" i="1"/>
  <c r="P4365" i="1"/>
  <c r="R4365" i="1"/>
  <c r="BL4365" i="1"/>
  <c r="BW4365" i="1"/>
  <c r="CH4365" i="1"/>
  <c r="CS4365" i="1"/>
  <c r="K4366" i="1"/>
  <c r="P4366" i="1"/>
  <c r="R4366" i="1"/>
  <c r="BL4366" i="1"/>
  <c r="BW4366" i="1"/>
  <c r="CH4366" i="1"/>
  <c r="CS4366" i="1"/>
  <c r="K4367" i="1"/>
  <c r="P4367" i="1"/>
  <c r="R4367" i="1"/>
  <c r="BL4367" i="1"/>
  <c r="BW4367" i="1"/>
  <c r="CH4367" i="1"/>
  <c r="CS4367" i="1"/>
  <c r="K4368" i="1"/>
  <c r="P4368" i="1"/>
  <c r="R4368" i="1"/>
  <c r="BL4368" i="1"/>
  <c r="BW4368" i="1"/>
  <c r="CH4368" i="1"/>
  <c r="CS4368" i="1"/>
  <c r="K4369" i="1"/>
  <c r="P4369" i="1"/>
  <c r="R4369" i="1"/>
  <c r="BL4369" i="1"/>
  <c r="BW4369" i="1"/>
  <c r="CH4369" i="1"/>
  <c r="CS4369" i="1"/>
  <c r="K4370" i="1"/>
  <c r="P4370" i="1"/>
  <c r="R4370" i="1"/>
  <c r="BL4370" i="1"/>
  <c r="BW4370" i="1"/>
  <c r="CH4370" i="1"/>
  <c r="CS4370" i="1"/>
  <c r="K4371" i="1"/>
  <c r="P4371" i="1"/>
  <c r="R4371" i="1"/>
  <c r="BL4371" i="1"/>
  <c r="BW4371" i="1"/>
  <c r="CH4371" i="1"/>
  <c r="CS4371" i="1"/>
  <c r="K4372" i="1"/>
  <c r="P4372" i="1"/>
  <c r="R4372" i="1"/>
  <c r="BL4372" i="1"/>
  <c r="BW4372" i="1"/>
  <c r="CH4372" i="1"/>
  <c r="CS4372" i="1"/>
  <c r="K4373" i="1"/>
  <c r="P4373" i="1"/>
  <c r="R4373" i="1"/>
  <c r="BL4373" i="1"/>
  <c r="BW4373" i="1"/>
  <c r="CH4373" i="1"/>
  <c r="CS4373" i="1"/>
  <c r="K4374" i="1"/>
  <c r="P4374" i="1"/>
  <c r="R4374" i="1"/>
  <c r="BL4374" i="1"/>
  <c r="BW4374" i="1"/>
  <c r="CH4374" i="1"/>
  <c r="CS4374" i="1"/>
  <c r="K4375" i="1"/>
  <c r="P4375" i="1"/>
  <c r="R4375" i="1"/>
  <c r="BL4375" i="1"/>
  <c r="BW4375" i="1"/>
  <c r="CH4375" i="1"/>
  <c r="CS4375" i="1"/>
  <c r="K4376" i="1"/>
  <c r="P4376" i="1"/>
  <c r="R4376" i="1"/>
  <c r="BL4376" i="1"/>
  <c r="BW4376" i="1"/>
  <c r="CH4376" i="1"/>
  <c r="CS4376" i="1"/>
  <c r="K4377" i="1"/>
  <c r="P4377" i="1"/>
  <c r="R4377" i="1"/>
  <c r="BL4377" i="1"/>
  <c r="BW4377" i="1"/>
  <c r="CH4377" i="1"/>
  <c r="CS4377" i="1"/>
  <c r="K4378" i="1"/>
  <c r="P4378" i="1"/>
  <c r="R4378" i="1"/>
  <c r="BL4378" i="1"/>
  <c r="BW4378" i="1"/>
  <c r="CH4378" i="1"/>
  <c r="CS4378" i="1"/>
  <c r="K4379" i="1"/>
  <c r="P4379" i="1"/>
  <c r="R4379" i="1"/>
  <c r="BL4379" i="1"/>
  <c r="BW4379" i="1"/>
  <c r="CH4379" i="1"/>
  <c r="CS4379" i="1"/>
  <c r="K4380" i="1"/>
  <c r="P4380" i="1"/>
  <c r="R4380" i="1"/>
  <c r="BL4380" i="1"/>
  <c r="BW4380" i="1"/>
  <c r="CH4380" i="1"/>
  <c r="CS4380" i="1"/>
  <c r="K4381" i="1"/>
  <c r="P4381" i="1"/>
  <c r="R4381" i="1"/>
  <c r="BL4381" i="1"/>
  <c r="BW4381" i="1"/>
  <c r="CH4381" i="1"/>
  <c r="CS4381" i="1"/>
  <c r="K4382" i="1"/>
  <c r="P4382" i="1"/>
  <c r="R4382" i="1"/>
  <c r="BL4382" i="1"/>
  <c r="BW4382" i="1"/>
  <c r="CH4382" i="1"/>
  <c r="CS4382" i="1"/>
  <c r="K4383" i="1"/>
  <c r="P4383" i="1"/>
  <c r="R4383" i="1"/>
  <c r="BL4383" i="1"/>
  <c r="BW4383" i="1"/>
  <c r="CH4383" i="1"/>
  <c r="CS4383" i="1"/>
  <c r="K4384" i="1"/>
  <c r="P4384" i="1"/>
  <c r="R4384" i="1"/>
  <c r="BL4384" i="1"/>
  <c r="BW4384" i="1"/>
  <c r="CH4384" i="1"/>
  <c r="CS4384" i="1"/>
  <c r="K4385" i="1"/>
  <c r="P4385" i="1"/>
  <c r="R4385" i="1"/>
  <c r="BL4385" i="1"/>
  <c r="BW4385" i="1"/>
  <c r="CH4385" i="1"/>
  <c r="CS4385" i="1"/>
  <c r="K4386" i="1"/>
  <c r="P4386" i="1"/>
  <c r="R4386" i="1"/>
  <c r="BL4386" i="1"/>
  <c r="BW4386" i="1"/>
  <c r="CH4386" i="1"/>
  <c r="CS4386" i="1"/>
  <c r="K4387" i="1"/>
  <c r="P4387" i="1"/>
  <c r="R4387" i="1"/>
  <c r="BL4387" i="1"/>
  <c r="BW4387" i="1"/>
  <c r="CH4387" i="1"/>
  <c r="CS4387" i="1"/>
  <c r="K4388" i="1"/>
  <c r="P4388" i="1"/>
  <c r="R4388" i="1"/>
  <c r="BL4388" i="1"/>
  <c r="BW4388" i="1"/>
  <c r="CH4388" i="1"/>
  <c r="CS4388" i="1"/>
  <c r="K4389" i="1"/>
  <c r="P4389" i="1"/>
  <c r="R4389" i="1"/>
  <c r="BL4389" i="1"/>
  <c r="BW4389" i="1"/>
  <c r="CH4389" i="1"/>
  <c r="CS4389" i="1"/>
  <c r="K4390" i="1"/>
  <c r="P4390" i="1"/>
  <c r="R4390" i="1"/>
  <c r="BL4390" i="1"/>
  <c r="BW4390" i="1"/>
  <c r="CH4390" i="1"/>
  <c r="CS4390" i="1"/>
  <c r="K4391" i="1"/>
  <c r="P4391" i="1"/>
  <c r="R4391" i="1"/>
  <c r="BL4391" i="1"/>
  <c r="BW4391" i="1"/>
  <c r="CH4391" i="1"/>
  <c r="CS4391" i="1"/>
  <c r="K4392" i="1"/>
  <c r="P4392" i="1"/>
  <c r="R4392" i="1"/>
  <c r="BL4392" i="1"/>
  <c r="BW4392" i="1"/>
  <c r="CH4392" i="1"/>
  <c r="CS4392" i="1"/>
  <c r="K4393" i="1"/>
  <c r="P4393" i="1"/>
  <c r="R4393" i="1"/>
  <c r="BL4393" i="1"/>
  <c r="BW4393" i="1"/>
  <c r="CH4393" i="1"/>
  <c r="CS4393" i="1"/>
  <c r="K4394" i="1"/>
  <c r="P4394" i="1"/>
  <c r="R4394" i="1"/>
  <c r="BL4394" i="1"/>
  <c r="BW4394" i="1"/>
  <c r="CH4394" i="1"/>
  <c r="CS4394" i="1"/>
  <c r="K4395" i="1"/>
  <c r="P4395" i="1"/>
  <c r="R4395" i="1"/>
  <c r="BL4395" i="1"/>
  <c r="BW4395" i="1"/>
  <c r="CH4395" i="1"/>
  <c r="CS4395" i="1"/>
  <c r="K4396" i="1"/>
  <c r="P4396" i="1"/>
  <c r="R4396" i="1"/>
  <c r="BL4396" i="1"/>
  <c r="BW4396" i="1"/>
  <c r="CH4396" i="1"/>
  <c r="CS4396" i="1"/>
  <c r="K4397" i="1"/>
  <c r="P4397" i="1"/>
  <c r="R4397" i="1"/>
  <c r="BL4397" i="1"/>
  <c r="BW4397" i="1"/>
  <c r="CH4397" i="1"/>
  <c r="CS4397" i="1"/>
  <c r="K4398" i="1"/>
  <c r="P4398" i="1"/>
  <c r="R4398" i="1"/>
  <c r="BL4398" i="1"/>
  <c r="BW4398" i="1"/>
  <c r="CH4398" i="1"/>
  <c r="CS4398" i="1"/>
  <c r="K4399" i="1"/>
  <c r="P4399" i="1"/>
  <c r="R4399" i="1"/>
  <c r="BL4399" i="1"/>
  <c r="BW4399" i="1"/>
  <c r="CH4399" i="1"/>
  <c r="CS4399" i="1"/>
  <c r="K4400" i="1"/>
  <c r="P4400" i="1"/>
  <c r="R4400" i="1"/>
  <c r="BL4400" i="1"/>
  <c r="BW4400" i="1"/>
  <c r="CH4400" i="1"/>
  <c r="CS4400" i="1"/>
  <c r="K4401" i="1"/>
  <c r="P4401" i="1"/>
  <c r="R4401" i="1"/>
  <c r="BL4401" i="1"/>
  <c r="BW4401" i="1"/>
  <c r="CH4401" i="1"/>
  <c r="CS4401" i="1"/>
  <c r="K4402" i="1"/>
  <c r="P4402" i="1"/>
  <c r="R4402" i="1"/>
  <c r="BL4402" i="1"/>
  <c r="BW4402" i="1"/>
  <c r="CH4402" i="1"/>
  <c r="CS4402" i="1"/>
  <c r="K4403" i="1"/>
  <c r="P4403" i="1"/>
  <c r="R4403" i="1"/>
  <c r="BL4403" i="1"/>
  <c r="BW4403" i="1"/>
  <c r="CH4403" i="1"/>
  <c r="CS4403" i="1"/>
  <c r="K4404" i="1"/>
  <c r="P4404" i="1"/>
  <c r="R4404" i="1"/>
  <c r="BL4404" i="1"/>
  <c r="BW4404" i="1"/>
  <c r="CH4404" i="1"/>
  <c r="CS4404" i="1"/>
  <c r="K4405" i="1"/>
  <c r="P4405" i="1"/>
  <c r="R4405" i="1"/>
  <c r="BL4405" i="1"/>
  <c r="BW4405" i="1"/>
  <c r="CH4405" i="1"/>
  <c r="CS4405" i="1"/>
  <c r="K4406" i="1"/>
  <c r="P4406" i="1"/>
  <c r="R4406" i="1"/>
  <c r="BL4406" i="1"/>
  <c r="BW4406" i="1"/>
  <c r="CH4406" i="1"/>
  <c r="CS4406" i="1"/>
  <c r="K4407" i="1"/>
  <c r="P4407" i="1"/>
  <c r="R4407" i="1"/>
  <c r="BL4407" i="1"/>
  <c r="BW4407" i="1"/>
  <c r="CH4407" i="1"/>
  <c r="CS4407" i="1"/>
  <c r="K4408" i="1"/>
  <c r="P4408" i="1"/>
  <c r="R4408" i="1"/>
  <c r="BL4408" i="1"/>
  <c r="BW4408" i="1"/>
  <c r="CH4408" i="1"/>
  <c r="CS4408" i="1"/>
  <c r="K4409" i="1"/>
  <c r="P4409" i="1"/>
  <c r="R4409" i="1"/>
  <c r="BL4409" i="1"/>
  <c r="BW4409" i="1"/>
  <c r="CH4409" i="1"/>
  <c r="CS4409" i="1"/>
  <c r="K4410" i="1"/>
  <c r="P4410" i="1"/>
  <c r="R4410" i="1"/>
  <c r="BL4410" i="1"/>
  <c r="BW4410" i="1"/>
  <c r="CH4410" i="1"/>
  <c r="CS4410" i="1"/>
  <c r="K4411" i="1"/>
  <c r="P4411" i="1"/>
  <c r="R4411" i="1"/>
  <c r="BL4411" i="1"/>
  <c r="BW4411" i="1"/>
  <c r="CH4411" i="1"/>
  <c r="CS4411" i="1"/>
  <c r="K4412" i="1"/>
  <c r="P4412" i="1"/>
  <c r="R4412" i="1"/>
  <c r="BL4412" i="1"/>
  <c r="BW4412" i="1"/>
  <c r="CH4412" i="1"/>
  <c r="CS4412" i="1"/>
  <c r="K4413" i="1"/>
  <c r="P4413" i="1"/>
  <c r="R4413" i="1"/>
  <c r="BL4413" i="1"/>
  <c r="BW4413" i="1"/>
  <c r="CH4413" i="1"/>
  <c r="CS4413" i="1"/>
  <c r="K4414" i="1"/>
  <c r="P4414" i="1"/>
  <c r="R4414" i="1"/>
  <c r="BL4414" i="1"/>
  <c r="BW4414" i="1"/>
  <c r="CH4414" i="1"/>
  <c r="CS4414" i="1"/>
  <c r="K4415" i="1"/>
  <c r="P4415" i="1"/>
  <c r="R4415" i="1"/>
  <c r="BL4415" i="1"/>
  <c r="BQ4415" i="1"/>
  <c r="BW4415" i="1"/>
  <c r="CH4415" i="1"/>
  <c r="CS4415" i="1"/>
  <c r="K4416" i="1"/>
  <c r="P4416" i="1"/>
  <c r="R4416" i="1"/>
  <c r="BL4416" i="1"/>
  <c r="BW4416" i="1"/>
  <c r="CH4416" i="1"/>
  <c r="CS4416" i="1"/>
  <c r="K4417" i="1"/>
  <c r="P4417" i="1"/>
  <c r="R4417" i="1"/>
  <c r="BL4417" i="1"/>
  <c r="BW4417" i="1"/>
  <c r="CH4417" i="1"/>
  <c r="CS4417" i="1"/>
  <c r="K4418" i="1"/>
  <c r="P4418" i="1"/>
  <c r="R4418" i="1"/>
  <c r="BL4418" i="1"/>
  <c r="BW4418" i="1"/>
  <c r="CH4418" i="1"/>
  <c r="CS4418" i="1"/>
  <c r="K4419" i="1"/>
  <c r="P4419" i="1"/>
  <c r="R4419" i="1"/>
  <c r="BL4419" i="1"/>
  <c r="BW4419" i="1"/>
  <c r="CH4419" i="1"/>
  <c r="CS4419" i="1"/>
  <c r="K4420" i="1"/>
  <c r="P4420" i="1"/>
  <c r="R4420" i="1"/>
  <c r="BL4420" i="1"/>
  <c r="BW4420" i="1"/>
  <c r="CH4420" i="1"/>
  <c r="CS4420" i="1"/>
  <c r="K4421" i="1"/>
  <c r="P4421" i="1"/>
  <c r="R4421" i="1"/>
  <c r="BL4421" i="1"/>
  <c r="BW4421" i="1"/>
  <c r="CH4421" i="1"/>
  <c r="CS4421" i="1"/>
  <c r="K4422" i="1"/>
  <c r="P4422" i="1"/>
  <c r="R4422" i="1"/>
  <c r="BL4422" i="1"/>
  <c r="BW4422" i="1"/>
  <c r="CH4422" i="1"/>
  <c r="CS4422" i="1"/>
  <c r="K4423" i="1"/>
  <c r="P4423" i="1"/>
  <c r="R4423" i="1"/>
  <c r="BL4423" i="1"/>
  <c r="BW4423" i="1"/>
  <c r="CH4423" i="1"/>
  <c r="CS4423" i="1"/>
  <c r="K4424" i="1"/>
  <c r="P4424" i="1"/>
  <c r="R4424" i="1"/>
  <c r="BL4424" i="1"/>
  <c r="BW4424" i="1"/>
  <c r="CH4424" i="1"/>
  <c r="CS4424" i="1"/>
  <c r="K4425" i="1"/>
  <c r="P4425" i="1"/>
  <c r="R4425" i="1"/>
  <c r="BL4425" i="1"/>
  <c r="BW4425" i="1"/>
  <c r="CH4425" i="1"/>
  <c r="CS4425" i="1"/>
  <c r="K4426" i="1"/>
  <c r="P4426" i="1"/>
  <c r="R4426" i="1"/>
  <c r="BL4426" i="1"/>
  <c r="BW4426" i="1"/>
  <c r="CH4426" i="1"/>
  <c r="CS4426" i="1"/>
  <c r="K4427" i="1"/>
  <c r="P4427" i="1"/>
  <c r="R4427" i="1"/>
  <c r="BL4427" i="1"/>
  <c r="BW4427" i="1"/>
  <c r="CH4427" i="1"/>
  <c r="CS4427" i="1"/>
  <c r="K4428" i="1"/>
  <c r="P4428" i="1"/>
  <c r="R4428" i="1"/>
  <c r="BL4428" i="1"/>
  <c r="BW4428" i="1"/>
  <c r="CH4428" i="1"/>
  <c r="CS4428" i="1"/>
  <c r="K4429" i="1"/>
  <c r="P4429" i="1"/>
  <c r="R4429" i="1"/>
  <c r="BL4429" i="1"/>
  <c r="BW4429" i="1"/>
  <c r="CH4429" i="1"/>
  <c r="CS4429" i="1"/>
  <c r="K4430" i="1"/>
  <c r="P4430" i="1"/>
  <c r="R4430" i="1"/>
  <c r="BL4430" i="1"/>
  <c r="BW4430" i="1"/>
  <c r="CH4430" i="1"/>
  <c r="CS4430" i="1"/>
  <c r="K4431" i="1"/>
  <c r="P4431" i="1"/>
  <c r="R4431" i="1"/>
  <c r="BL4431" i="1"/>
  <c r="BW4431" i="1"/>
  <c r="CH4431" i="1"/>
  <c r="CS4431" i="1"/>
  <c r="K4432" i="1"/>
  <c r="P4432" i="1"/>
  <c r="R4432" i="1"/>
  <c r="BL4432" i="1"/>
  <c r="BW4432" i="1"/>
  <c r="CH4432" i="1"/>
  <c r="CS4432" i="1"/>
  <c r="K4433" i="1"/>
  <c r="P4433" i="1"/>
  <c r="R4433" i="1"/>
  <c r="BL4433" i="1"/>
  <c r="BW4433" i="1"/>
  <c r="CH4433" i="1"/>
  <c r="CS4433" i="1"/>
  <c r="K4434" i="1"/>
  <c r="P4434" i="1"/>
  <c r="R4434" i="1"/>
  <c r="BL4434" i="1"/>
  <c r="BW4434" i="1"/>
  <c r="CH4434" i="1"/>
  <c r="CS4434" i="1"/>
  <c r="K4435" i="1"/>
  <c r="P4435" i="1"/>
  <c r="R4435" i="1"/>
  <c r="BL4435" i="1"/>
  <c r="BW4435" i="1"/>
  <c r="CH4435" i="1"/>
  <c r="CS4435" i="1"/>
  <c r="K4436" i="1"/>
  <c r="P4436" i="1"/>
  <c r="R4436" i="1"/>
  <c r="BL4436" i="1"/>
  <c r="BW4436" i="1"/>
  <c r="CH4436" i="1"/>
  <c r="CS4436" i="1"/>
  <c r="K4437" i="1"/>
  <c r="P4437" i="1"/>
  <c r="R4437" i="1"/>
  <c r="BL4437" i="1"/>
  <c r="BW4437" i="1"/>
  <c r="CH4437" i="1"/>
  <c r="CS4437" i="1"/>
  <c r="K4438" i="1"/>
  <c r="P4438" i="1"/>
  <c r="R4438" i="1"/>
  <c r="BL4438" i="1"/>
  <c r="BW4438" i="1"/>
  <c r="CH4438" i="1"/>
  <c r="CS4438" i="1"/>
  <c r="K4439" i="1"/>
  <c r="P4439" i="1"/>
  <c r="R4439" i="1"/>
  <c r="BL4439" i="1"/>
  <c r="BW4439" i="1"/>
  <c r="CH4439" i="1"/>
  <c r="CS4439" i="1"/>
  <c r="K4440" i="1"/>
  <c r="P4440" i="1"/>
  <c r="R4440" i="1"/>
  <c r="BL4440" i="1"/>
  <c r="BW4440" i="1"/>
  <c r="CH4440" i="1"/>
  <c r="CS4440" i="1"/>
  <c r="K4441" i="1"/>
  <c r="P4441" i="1"/>
  <c r="R4441" i="1"/>
  <c r="BL4441" i="1"/>
  <c r="BW4441" i="1"/>
  <c r="CH4441" i="1"/>
  <c r="CS4441" i="1"/>
  <c r="K4442" i="1"/>
  <c r="P4442" i="1"/>
  <c r="R4442" i="1"/>
  <c r="BL4442" i="1"/>
  <c r="BW4442" i="1"/>
  <c r="CH4442" i="1"/>
  <c r="CS4442" i="1"/>
  <c r="K4443" i="1"/>
  <c r="P4443" i="1"/>
  <c r="R4443" i="1"/>
  <c r="BL4443" i="1"/>
  <c r="BW4443" i="1"/>
  <c r="CH4443" i="1"/>
  <c r="CS4443" i="1"/>
  <c r="K4444" i="1"/>
  <c r="P4444" i="1"/>
  <c r="R4444" i="1"/>
  <c r="BL4444" i="1"/>
  <c r="BW4444" i="1"/>
  <c r="CH4444" i="1"/>
  <c r="CS4444" i="1"/>
  <c r="K4445" i="1"/>
  <c r="P4445" i="1"/>
  <c r="R4445" i="1"/>
  <c r="BL4445" i="1"/>
  <c r="BW4445" i="1"/>
  <c r="CH4445" i="1"/>
  <c r="CS4445" i="1"/>
  <c r="K4446" i="1"/>
  <c r="P4446" i="1"/>
  <c r="R4446" i="1"/>
  <c r="BL4446" i="1"/>
  <c r="BW4446" i="1"/>
  <c r="CH4446" i="1"/>
  <c r="CS4446" i="1"/>
  <c r="K4447" i="1"/>
  <c r="P4447" i="1"/>
  <c r="R4447" i="1"/>
  <c r="BL4447" i="1"/>
  <c r="BW4447" i="1"/>
  <c r="CH4447" i="1"/>
  <c r="CS4447" i="1"/>
  <c r="K4448" i="1"/>
  <c r="P4448" i="1"/>
  <c r="R4448" i="1"/>
  <c r="BL4448" i="1"/>
  <c r="BW4448" i="1"/>
  <c r="CH4448" i="1"/>
  <c r="CS4448" i="1"/>
  <c r="K4449" i="1"/>
  <c r="P4449" i="1"/>
  <c r="R4449" i="1"/>
  <c r="BL4449" i="1"/>
  <c r="BW4449" i="1"/>
  <c r="CH4449" i="1"/>
  <c r="CS4449" i="1"/>
  <c r="K4450" i="1"/>
  <c r="P4450" i="1"/>
  <c r="R4450" i="1"/>
  <c r="BL4450" i="1"/>
  <c r="BW4450" i="1"/>
  <c r="CH4450" i="1"/>
  <c r="CS4450" i="1"/>
  <c r="K4451" i="1"/>
  <c r="P4451" i="1"/>
  <c r="R4451" i="1"/>
  <c r="BL4451" i="1"/>
  <c r="BW4451" i="1"/>
  <c r="CH4451" i="1"/>
  <c r="CS4451" i="1"/>
  <c r="K4452" i="1"/>
  <c r="P4452" i="1"/>
  <c r="R4452" i="1"/>
  <c r="BL4452" i="1"/>
  <c r="BW4452" i="1"/>
  <c r="CH4452" i="1"/>
  <c r="CS4452" i="1"/>
  <c r="K4453" i="1"/>
  <c r="P4453" i="1"/>
  <c r="R4453" i="1"/>
  <c r="BL4453" i="1"/>
  <c r="BW4453" i="1"/>
  <c r="CH4453" i="1"/>
  <c r="CS4453" i="1"/>
  <c r="K4454" i="1"/>
  <c r="P4454" i="1"/>
  <c r="R4454" i="1"/>
  <c r="BL4454" i="1"/>
  <c r="BW4454" i="1"/>
  <c r="CH4454" i="1"/>
  <c r="CS4454" i="1"/>
  <c r="K4455" i="1"/>
  <c r="P4455" i="1"/>
  <c r="R4455" i="1"/>
  <c r="BL4455" i="1"/>
  <c r="BW4455" i="1"/>
  <c r="CH4455" i="1"/>
  <c r="CS4455" i="1"/>
  <c r="K4456" i="1"/>
  <c r="P4456" i="1"/>
  <c r="R4456" i="1"/>
  <c r="BL4456" i="1"/>
  <c r="BW4456" i="1"/>
  <c r="CH4456" i="1"/>
  <c r="CS4456" i="1"/>
  <c r="K4457" i="1"/>
  <c r="P4457" i="1"/>
  <c r="R4457" i="1"/>
  <c r="BL4457" i="1"/>
  <c r="BW4457" i="1"/>
  <c r="CH4457" i="1"/>
  <c r="CS4457" i="1"/>
  <c r="K4458" i="1"/>
  <c r="P4458" i="1"/>
  <c r="R4458" i="1"/>
  <c r="BL4458" i="1"/>
  <c r="BW4458" i="1"/>
  <c r="CH4458" i="1"/>
  <c r="CS4458" i="1"/>
  <c r="K4459" i="1"/>
  <c r="P4459" i="1"/>
  <c r="R4459" i="1"/>
  <c r="BL4459" i="1"/>
  <c r="BW4459" i="1"/>
  <c r="CH4459" i="1"/>
  <c r="CS4459" i="1"/>
  <c r="K4460" i="1"/>
  <c r="P4460" i="1"/>
  <c r="R4460" i="1"/>
  <c r="BL4460" i="1"/>
  <c r="BW4460" i="1"/>
  <c r="CH4460" i="1"/>
  <c r="CS4460" i="1"/>
  <c r="K4461" i="1"/>
  <c r="P4461" i="1"/>
  <c r="R4461" i="1"/>
  <c r="BL4461" i="1"/>
  <c r="BW4461" i="1"/>
  <c r="CH4461" i="1"/>
  <c r="CS4461" i="1"/>
  <c r="K4462" i="1"/>
  <c r="P4462" i="1"/>
  <c r="R4462" i="1"/>
  <c r="BL4462" i="1"/>
  <c r="BW4462" i="1"/>
  <c r="CH4462" i="1"/>
  <c r="CS4462" i="1"/>
  <c r="K4463" i="1"/>
  <c r="P4463" i="1"/>
  <c r="R4463" i="1"/>
  <c r="BL4463" i="1"/>
  <c r="BW4463" i="1"/>
  <c r="CH4463" i="1"/>
  <c r="CS4463" i="1"/>
  <c r="K4464" i="1"/>
  <c r="P4464" i="1"/>
  <c r="R4464" i="1"/>
  <c r="BL4464" i="1"/>
  <c r="BW4464" i="1"/>
  <c r="CH4464" i="1"/>
  <c r="CS4464" i="1"/>
  <c r="K4465" i="1"/>
  <c r="P4465" i="1"/>
  <c r="R4465" i="1"/>
  <c r="BL4465" i="1"/>
  <c r="BW4465" i="1"/>
  <c r="CH4465" i="1"/>
  <c r="CS4465" i="1"/>
  <c r="K4466" i="1"/>
  <c r="P4466" i="1"/>
  <c r="R4466" i="1"/>
  <c r="BL4466" i="1"/>
  <c r="BW4466" i="1"/>
  <c r="CH4466" i="1"/>
  <c r="CS4466" i="1"/>
  <c r="K4467" i="1"/>
  <c r="P4467" i="1"/>
  <c r="R4467" i="1"/>
  <c r="BL4467" i="1"/>
  <c r="BW4467" i="1"/>
  <c r="CH4467" i="1"/>
  <c r="CS4467" i="1"/>
  <c r="K4468" i="1"/>
  <c r="P4468" i="1"/>
  <c r="R4468" i="1"/>
  <c r="BL4468" i="1"/>
  <c r="BW4468" i="1"/>
  <c r="CH4468" i="1"/>
  <c r="CS4468" i="1"/>
  <c r="K4469" i="1"/>
  <c r="P4469" i="1"/>
  <c r="R4469" i="1"/>
  <c r="BL4469" i="1"/>
  <c r="BW4469" i="1"/>
  <c r="CH4469" i="1"/>
  <c r="CS4469" i="1"/>
  <c r="K4470" i="1"/>
  <c r="P4470" i="1"/>
  <c r="R4470" i="1"/>
  <c r="BL4470" i="1"/>
  <c r="BW4470" i="1"/>
  <c r="CH4470" i="1"/>
  <c r="CS4470" i="1"/>
  <c r="K4471" i="1"/>
  <c r="P4471" i="1"/>
  <c r="R4471" i="1"/>
  <c r="BL4471" i="1"/>
  <c r="BW4471" i="1"/>
  <c r="CH4471" i="1"/>
  <c r="CS4471" i="1"/>
  <c r="K4472" i="1"/>
  <c r="P4472" i="1"/>
  <c r="R4472" i="1"/>
  <c r="BL4472" i="1"/>
  <c r="BW4472" i="1"/>
  <c r="CH4472" i="1"/>
  <c r="CS4472" i="1"/>
  <c r="K4473" i="1"/>
  <c r="P4473" i="1"/>
  <c r="R4473" i="1"/>
  <c r="BL4473" i="1"/>
  <c r="BW4473" i="1"/>
  <c r="CH4473" i="1"/>
  <c r="CS4473" i="1"/>
  <c r="K4474" i="1"/>
  <c r="P4474" i="1"/>
  <c r="R4474" i="1"/>
  <c r="BL4474" i="1"/>
  <c r="BW4474" i="1"/>
  <c r="CH4474" i="1"/>
  <c r="CS4474" i="1"/>
  <c r="K4475" i="1"/>
  <c r="P4475" i="1"/>
  <c r="R4475" i="1"/>
  <c r="BL4475" i="1"/>
  <c r="BW4475" i="1"/>
  <c r="CH4475" i="1"/>
  <c r="CS4475" i="1"/>
  <c r="K4476" i="1"/>
  <c r="P4476" i="1"/>
  <c r="R4476" i="1"/>
  <c r="BL4476" i="1"/>
  <c r="BW4476" i="1"/>
  <c r="CH4476" i="1"/>
  <c r="CS4476" i="1"/>
  <c r="K4477" i="1"/>
  <c r="P4477" i="1"/>
  <c r="R4477" i="1"/>
  <c r="BL4477" i="1"/>
  <c r="BW4477" i="1"/>
  <c r="CH4477" i="1"/>
  <c r="CS4477" i="1"/>
  <c r="K4478" i="1"/>
  <c r="P4478" i="1"/>
  <c r="R4478" i="1"/>
  <c r="BL4478" i="1"/>
  <c r="BW4478" i="1"/>
  <c r="CH4478" i="1"/>
  <c r="CS4478" i="1"/>
  <c r="K4479" i="1"/>
  <c r="P4479" i="1"/>
  <c r="R4479" i="1"/>
  <c r="BL4479" i="1"/>
  <c r="BW4479" i="1"/>
  <c r="CH4479" i="1"/>
  <c r="CS4479" i="1"/>
  <c r="K4480" i="1"/>
  <c r="P4480" i="1"/>
  <c r="R4480" i="1"/>
  <c r="BL4480" i="1"/>
  <c r="BW4480" i="1"/>
  <c r="CH4480" i="1"/>
  <c r="CS4480" i="1"/>
  <c r="K4481" i="1"/>
  <c r="P4481" i="1"/>
  <c r="R4481" i="1"/>
  <c r="BL4481" i="1"/>
  <c r="BW4481" i="1"/>
  <c r="CH4481" i="1"/>
  <c r="CS4481" i="1"/>
  <c r="K4482" i="1"/>
  <c r="P4482" i="1"/>
  <c r="R4482" i="1"/>
  <c r="BL4482" i="1"/>
  <c r="BW4482" i="1"/>
  <c r="CH4482" i="1"/>
  <c r="CS4482" i="1"/>
  <c r="K4483" i="1"/>
  <c r="P4483" i="1"/>
  <c r="R4483" i="1"/>
  <c r="BL4483" i="1"/>
  <c r="BW4483" i="1"/>
  <c r="CH4483" i="1"/>
  <c r="CS4483" i="1"/>
  <c r="K4484" i="1"/>
  <c r="P4484" i="1"/>
  <c r="R4484" i="1"/>
  <c r="BL4484" i="1"/>
  <c r="BW4484" i="1"/>
  <c r="CH4484" i="1"/>
  <c r="CS4484" i="1"/>
  <c r="K4485" i="1"/>
  <c r="P4485" i="1"/>
  <c r="R4485" i="1"/>
  <c r="BL4485" i="1"/>
  <c r="BW4485" i="1"/>
  <c r="CH4485" i="1"/>
  <c r="CS4485" i="1"/>
  <c r="K4486" i="1"/>
  <c r="P4486" i="1"/>
  <c r="R4486" i="1"/>
  <c r="BL4486" i="1"/>
  <c r="BW4486" i="1"/>
  <c r="CH4486" i="1"/>
  <c r="CS4486" i="1"/>
  <c r="K4487" i="1"/>
  <c r="P4487" i="1"/>
  <c r="R4487" i="1"/>
  <c r="BL4487" i="1"/>
  <c r="BW4487" i="1"/>
  <c r="CH4487" i="1"/>
  <c r="CS4487" i="1"/>
  <c r="K4488" i="1"/>
  <c r="P4488" i="1"/>
  <c r="R4488" i="1"/>
  <c r="BL4488" i="1"/>
  <c r="BW4488" i="1"/>
  <c r="CH4488" i="1"/>
  <c r="CS4488" i="1"/>
  <c r="K4489" i="1"/>
  <c r="P4489" i="1"/>
  <c r="R4489" i="1"/>
  <c r="BL4489" i="1"/>
  <c r="BW4489" i="1"/>
  <c r="CH4489" i="1"/>
  <c r="CS4489" i="1"/>
  <c r="K4490" i="1"/>
  <c r="P4490" i="1"/>
  <c r="R4490" i="1"/>
  <c r="BL4490" i="1"/>
  <c r="BW4490" i="1"/>
  <c r="CH4490" i="1"/>
  <c r="CS4490" i="1"/>
  <c r="K4491" i="1"/>
  <c r="P4491" i="1"/>
  <c r="R4491" i="1"/>
  <c r="BL4491" i="1"/>
  <c r="BW4491" i="1"/>
  <c r="CH4491" i="1"/>
  <c r="CS4491" i="1"/>
  <c r="K4492" i="1"/>
  <c r="P4492" i="1"/>
  <c r="R4492" i="1"/>
  <c r="BL4492" i="1"/>
  <c r="BW4492" i="1"/>
  <c r="CH4492" i="1"/>
  <c r="CS4492" i="1"/>
  <c r="K4493" i="1"/>
  <c r="P4493" i="1"/>
  <c r="R4493" i="1"/>
  <c r="BL4493" i="1"/>
  <c r="BW4493" i="1"/>
  <c r="CH4493" i="1"/>
  <c r="CS4493" i="1"/>
  <c r="K4494" i="1"/>
  <c r="P4494" i="1"/>
  <c r="R4494" i="1"/>
  <c r="BL4494" i="1"/>
  <c r="BW4494" i="1"/>
  <c r="CH4494" i="1"/>
  <c r="CS4494" i="1"/>
  <c r="K4495" i="1"/>
  <c r="P4495" i="1"/>
  <c r="R4495" i="1"/>
  <c r="BL4495" i="1"/>
  <c r="BW4495" i="1"/>
  <c r="CH4495" i="1"/>
  <c r="CS4495" i="1"/>
  <c r="K4496" i="1"/>
  <c r="P4496" i="1"/>
  <c r="R4496" i="1"/>
  <c r="BL4496" i="1"/>
  <c r="BW4496" i="1"/>
  <c r="CH4496" i="1"/>
  <c r="CS4496" i="1"/>
  <c r="K4497" i="1"/>
  <c r="P4497" i="1"/>
  <c r="R4497" i="1"/>
  <c r="BL4497" i="1"/>
  <c r="BW4497" i="1"/>
  <c r="CH4497" i="1"/>
  <c r="CS4497" i="1"/>
  <c r="K4498" i="1"/>
  <c r="P4498" i="1"/>
  <c r="R4498" i="1"/>
  <c r="BL4498" i="1"/>
  <c r="BW4498" i="1"/>
  <c r="CH4498" i="1"/>
  <c r="CS4498" i="1"/>
  <c r="K4499" i="1"/>
  <c r="P4499" i="1"/>
  <c r="R4499" i="1"/>
  <c r="BL4499" i="1"/>
  <c r="BW4499" i="1"/>
  <c r="CH4499" i="1"/>
  <c r="CS4499" i="1"/>
  <c r="K4500" i="1"/>
  <c r="P4500" i="1"/>
  <c r="R4500" i="1"/>
  <c r="BL4500" i="1"/>
  <c r="BW4500" i="1"/>
  <c r="CH4500" i="1"/>
  <c r="CS4500" i="1"/>
  <c r="K4501" i="1"/>
  <c r="P4501" i="1"/>
  <c r="R4501" i="1"/>
  <c r="BL4501" i="1"/>
  <c r="BW4501" i="1"/>
  <c r="CH4501" i="1"/>
  <c r="CS4501" i="1"/>
  <c r="K4502" i="1"/>
  <c r="P4502" i="1"/>
  <c r="R4502" i="1"/>
  <c r="BL4502" i="1"/>
  <c r="BW4502" i="1"/>
  <c r="CH4502" i="1"/>
  <c r="CS4502" i="1"/>
  <c r="K4503" i="1"/>
  <c r="P4503" i="1"/>
  <c r="R4503" i="1"/>
  <c r="BL4503" i="1"/>
  <c r="BW4503" i="1"/>
  <c r="CH4503" i="1"/>
  <c r="CS4503" i="1"/>
  <c r="K4504" i="1"/>
  <c r="P4504" i="1"/>
  <c r="R4504" i="1"/>
  <c r="BL4504" i="1"/>
  <c r="BW4504" i="1"/>
  <c r="CH4504" i="1"/>
  <c r="CS4504" i="1"/>
  <c r="K4505" i="1"/>
  <c r="P4505" i="1"/>
  <c r="R4505" i="1"/>
  <c r="BL4505" i="1"/>
  <c r="BW4505" i="1"/>
  <c r="CH4505" i="1"/>
  <c r="CS4505" i="1"/>
  <c r="K4506" i="1"/>
  <c r="P4506" i="1"/>
  <c r="R4506" i="1"/>
  <c r="BL4506" i="1"/>
  <c r="BW4506" i="1"/>
  <c r="CH4506" i="1"/>
  <c r="CS4506" i="1"/>
  <c r="K4507" i="1"/>
  <c r="P4507" i="1"/>
  <c r="R4507" i="1"/>
  <c r="BL4507" i="1"/>
  <c r="BW4507" i="1"/>
  <c r="CH4507" i="1"/>
  <c r="CS4507" i="1"/>
  <c r="K4508" i="1"/>
  <c r="P4508" i="1"/>
  <c r="R4508" i="1"/>
  <c r="BL4508" i="1"/>
  <c r="BW4508" i="1"/>
  <c r="CH4508" i="1"/>
  <c r="CS4508" i="1"/>
  <c r="K4509" i="1"/>
  <c r="P4509" i="1"/>
  <c r="R4509" i="1"/>
  <c r="BL4509" i="1"/>
  <c r="BW4509" i="1"/>
  <c r="CH4509" i="1"/>
  <c r="CS4509" i="1"/>
  <c r="K4510" i="1"/>
  <c r="P4510" i="1"/>
  <c r="R4510" i="1"/>
  <c r="BL4510" i="1"/>
  <c r="BW4510" i="1"/>
  <c r="CH4510" i="1"/>
  <c r="CS4510" i="1"/>
  <c r="K4511" i="1"/>
  <c r="P4511" i="1"/>
  <c r="R4511" i="1"/>
  <c r="BL4511" i="1"/>
  <c r="BW4511" i="1"/>
  <c r="CH4511" i="1"/>
  <c r="CS4511" i="1"/>
  <c r="K4512" i="1"/>
  <c r="P4512" i="1"/>
  <c r="R4512" i="1"/>
  <c r="BL4512" i="1"/>
  <c r="BW4512" i="1"/>
  <c r="CH4512" i="1"/>
  <c r="CS4512" i="1"/>
  <c r="K4513" i="1"/>
  <c r="P4513" i="1"/>
  <c r="R4513" i="1"/>
  <c r="BL4513" i="1"/>
  <c r="BW4513" i="1"/>
  <c r="CH4513" i="1"/>
  <c r="CS4513" i="1"/>
  <c r="K4514" i="1"/>
  <c r="P4514" i="1"/>
  <c r="R4514" i="1"/>
  <c r="BL4514" i="1"/>
  <c r="BW4514" i="1"/>
  <c r="CH4514" i="1"/>
  <c r="CS4514" i="1"/>
  <c r="K4515" i="1"/>
  <c r="P4515" i="1"/>
  <c r="R4515" i="1"/>
  <c r="BL4515" i="1"/>
  <c r="BW4515" i="1"/>
  <c r="CH4515" i="1"/>
  <c r="CS4515" i="1"/>
  <c r="K4516" i="1"/>
  <c r="P4516" i="1"/>
  <c r="R4516" i="1"/>
  <c r="BL4516" i="1"/>
  <c r="BW4516" i="1"/>
  <c r="CH4516" i="1"/>
  <c r="CS4516" i="1"/>
  <c r="K4517" i="1"/>
  <c r="P4517" i="1"/>
  <c r="R4517" i="1"/>
  <c r="BL4517" i="1"/>
  <c r="BW4517" i="1"/>
  <c r="CH4517" i="1"/>
  <c r="CS4517" i="1"/>
  <c r="K4518" i="1"/>
  <c r="P4518" i="1"/>
  <c r="R4518" i="1"/>
  <c r="BL4518" i="1"/>
  <c r="BW4518" i="1"/>
  <c r="CH4518" i="1"/>
  <c r="CS4518" i="1"/>
  <c r="K4519" i="1"/>
  <c r="P4519" i="1"/>
  <c r="R4519" i="1"/>
  <c r="BL4519" i="1"/>
  <c r="BW4519" i="1"/>
  <c r="CH4519" i="1"/>
  <c r="CS4519" i="1"/>
  <c r="K4520" i="1"/>
  <c r="P4520" i="1"/>
  <c r="R4520" i="1"/>
  <c r="BL4520" i="1"/>
  <c r="BW4520" i="1"/>
  <c r="CH4520" i="1"/>
  <c r="CS4520" i="1"/>
  <c r="K4521" i="1"/>
  <c r="P4521" i="1"/>
  <c r="R4521" i="1"/>
  <c r="BL4521" i="1"/>
  <c r="BQ4521" i="1"/>
  <c r="BW4521" i="1"/>
  <c r="CH4521" i="1"/>
  <c r="CS4521" i="1"/>
  <c r="K4522" i="1"/>
  <c r="P4522" i="1"/>
  <c r="R4522" i="1"/>
  <c r="BL4522" i="1"/>
  <c r="BW4522" i="1"/>
  <c r="CH4522" i="1"/>
  <c r="CS4522" i="1"/>
  <c r="K4523" i="1"/>
  <c r="P4523" i="1"/>
  <c r="R4523" i="1"/>
  <c r="BL4523" i="1"/>
  <c r="BW4523" i="1"/>
  <c r="CH4523" i="1"/>
  <c r="CS4523" i="1"/>
  <c r="K4524" i="1"/>
  <c r="P4524" i="1"/>
  <c r="R4524" i="1"/>
  <c r="BL4524" i="1"/>
  <c r="BW4524" i="1"/>
  <c r="CH4524" i="1"/>
  <c r="CS4524" i="1"/>
  <c r="K4525" i="1"/>
  <c r="P4525" i="1"/>
  <c r="R4525" i="1"/>
  <c r="BL4525" i="1"/>
  <c r="BW4525" i="1"/>
  <c r="CH4525" i="1"/>
  <c r="CS4525" i="1"/>
  <c r="K4526" i="1"/>
  <c r="P4526" i="1"/>
  <c r="R4526" i="1"/>
  <c r="BL4526" i="1"/>
  <c r="BW4526" i="1"/>
  <c r="CH4526" i="1"/>
  <c r="CS4526" i="1"/>
  <c r="K4527" i="1"/>
  <c r="P4527" i="1"/>
  <c r="R4527" i="1"/>
  <c r="BL4527" i="1"/>
  <c r="BW4527" i="1"/>
  <c r="CH4527" i="1"/>
  <c r="CS4527" i="1"/>
  <c r="K4528" i="1"/>
  <c r="P4528" i="1"/>
  <c r="R4528" i="1"/>
  <c r="BL4528" i="1"/>
  <c r="BW4528" i="1"/>
  <c r="CH4528" i="1"/>
  <c r="CS4528" i="1"/>
  <c r="K4529" i="1"/>
  <c r="P4529" i="1"/>
  <c r="R4529" i="1"/>
  <c r="BL4529" i="1"/>
  <c r="BW4529" i="1"/>
  <c r="CH4529" i="1"/>
  <c r="CS4529" i="1"/>
  <c r="K4530" i="1"/>
  <c r="P4530" i="1"/>
  <c r="R4530" i="1"/>
  <c r="BL4530" i="1"/>
  <c r="BW4530" i="1"/>
  <c r="CH4530" i="1"/>
  <c r="CS4530" i="1"/>
  <c r="K4531" i="1"/>
  <c r="P4531" i="1"/>
  <c r="R4531" i="1"/>
  <c r="BL4531" i="1"/>
  <c r="BW4531" i="1"/>
  <c r="CH4531" i="1"/>
  <c r="CS4531" i="1"/>
  <c r="K4532" i="1"/>
  <c r="P4532" i="1"/>
  <c r="R4532" i="1"/>
  <c r="BL4532" i="1"/>
  <c r="BW4532" i="1"/>
  <c r="CH4532" i="1"/>
  <c r="CS4532" i="1"/>
  <c r="K4533" i="1"/>
  <c r="P4533" i="1"/>
  <c r="R4533" i="1"/>
  <c r="BL4533" i="1"/>
  <c r="BW4533" i="1"/>
  <c r="CH4533" i="1"/>
  <c r="CS4533" i="1"/>
  <c r="K4534" i="1"/>
  <c r="P4534" i="1"/>
  <c r="R4534" i="1"/>
  <c r="BL4534" i="1"/>
  <c r="BW4534" i="1"/>
  <c r="CH4534" i="1"/>
  <c r="CS4534" i="1"/>
  <c r="K4535" i="1"/>
  <c r="P4535" i="1"/>
  <c r="R4535" i="1"/>
  <c r="BL4535" i="1"/>
  <c r="BW4535" i="1"/>
  <c r="CH4535" i="1"/>
  <c r="CS4535" i="1"/>
  <c r="K4536" i="1"/>
  <c r="P4536" i="1"/>
  <c r="R4536" i="1"/>
  <c r="BL4536" i="1"/>
  <c r="BW4536" i="1"/>
  <c r="CH4536" i="1"/>
  <c r="CS4536" i="1"/>
  <c r="K4537" i="1"/>
  <c r="P4537" i="1"/>
  <c r="R4537" i="1"/>
  <c r="BL4537" i="1"/>
  <c r="BW4537" i="1"/>
  <c r="CH4537" i="1"/>
  <c r="CS4537" i="1"/>
  <c r="K4538" i="1"/>
  <c r="P4538" i="1"/>
  <c r="R4538" i="1"/>
  <c r="BL4538" i="1"/>
  <c r="BW4538" i="1"/>
  <c r="CH4538" i="1"/>
  <c r="CS4538" i="1"/>
  <c r="K4539" i="1"/>
  <c r="P4539" i="1"/>
  <c r="R4539" i="1"/>
  <c r="BL4539" i="1"/>
  <c r="BW4539" i="1"/>
  <c r="CH4539" i="1"/>
  <c r="CS4539" i="1"/>
  <c r="K4540" i="1"/>
  <c r="P4540" i="1"/>
  <c r="R4540" i="1"/>
  <c r="BL4540" i="1"/>
  <c r="BW4540" i="1"/>
  <c r="CH4540" i="1"/>
  <c r="CS4540" i="1"/>
  <c r="K4541" i="1"/>
  <c r="P4541" i="1"/>
  <c r="R4541" i="1"/>
  <c r="BL4541" i="1"/>
  <c r="BW4541" i="1"/>
  <c r="CH4541" i="1"/>
  <c r="CS4541" i="1"/>
  <c r="K4542" i="1"/>
  <c r="P4542" i="1"/>
  <c r="R4542" i="1"/>
  <c r="BL4542" i="1"/>
  <c r="BW4542" i="1"/>
  <c r="CH4542" i="1"/>
  <c r="CS4542" i="1"/>
  <c r="K4543" i="1"/>
  <c r="P4543" i="1"/>
  <c r="R4543" i="1"/>
  <c r="BL4543" i="1"/>
  <c r="BW4543" i="1"/>
  <c r="CH4543" i="1"/>
  <c r="CS4543" i="1"/>
  <c r="K4544" i="1"/>
  <c r="P4544" i="1"/>
  <c r="R4544" i="1"/>
  <c r="BL4544" i="1"/>
  <c r="BW4544" i="1"/>
  <c r="CH4544" i="1"/>
  <c r="CS4544" i="1"/>
  <c r="K4545" i="1"/>
  <c r="P4545" i="1"/>
  <c r="R4545" i="1"/>
  <c r="BL4545" i="1"/>
  <c r="BW4545" i="1"/>
  <c r="CH4545" i="1"/>
  <c r="CS4545" i="1"/>
  <c r="K4546" i="1"/>
  <c r="P4546" i="1"/>
  <c r="R4546" i="1"/>
  <c r="BL4546" i="1"/>
  <c r="BW4546" i="1"/>
  <c r="CH4546" i="1"/>
  <c r="CS4546" i="1"/>
  <c r="K4547" i="1"/>
  <c r="P4547" i="1"/>
  <c r="R4547" i="1"/>
  <c r="BL4547" i="1"/>
  <c r="BW4547" i="1"/>
  <c r="CH4547" i="1"/>
  <c r="CS4547" i="1"/>
  <c r="K4548" i="1"/>
  <c r="P4548" i="1"/>
  <c r="R4548" i="1"/>
  <c r="BL4548" i="1"/>
  <c r="BW4548" i="1"/>
  <c r="CH4548" i="1"/>
  <c r="CS4548" i="1"/>
  <c r="K4549" i="1"/>
  <c r="P4549" i="1"/>
  <c r="R4549" i="1"/>
  <c r="BL4549" i="1"/>
  <c r="BW4549" i="1"/>
  <c r="CH4549" i="1"/>
  <c r="CS4549" i="1"/>
  <c r="K4550" i="1"/>
  <c r="P4550" i="1"/>
  <c r="R4550" i="1"/>
  <c r="BL4550" i="1"/>
  <c r="BW4550" i="1"/>
  <c r="CH4550" i="1"/>
  <c r="CS4550" i="1"/>
  <c r="K4551" i="1"/>
  <c r="P4551" i="1"/>
  <c r="R4551" i="1"/>
  <c r="BL4551" i="1"/>
  <c r="BW4551" i="1"/>
  <c r="CH4551" i="1"/>
  <c r="CS4551" i="1"/>
  <c r="K4552" i="1"/>
  <c r="P4552" i="1"/>
  <c r="R4552" i="1"/>
  <c r="BL4552" i="1"/>
  <c r="BW4552" i="1"/>
  <c r="CH4552" i="1"/>
  <c r="CS4552" i="1"/>
  <c r="K4553" i="1"/>
  <c r="P4553" i="1"/>
  <c r="R4553" i="1"/>
  <c r="BL4553" i="1"/>
  <c r="BW4553" i="1"/>
  <c r="CH4553" i="1"/>
  <c r="CS4553" i="1"/>
  <c r="K4554" i="1"/>
  <c r="P4554" i="1"/>
  <c r="R4554" i="1"/>
  <c r="BL4554" i="1"/>
  <c r="BW4554" i="1"/>
  <c r="CH4554" i="1"/>
  <c r="CS4554" i="1"/>
  <c r="K4555" i="1"/>
  <c r="P4555" i="1"/>
  <c r="R4555" i="1"/>
  <c r="BL4555" i="1"/>
  <c r="BW4555" i="1"/>
  <c r="CH4555" i="1"/>
  <c r="CS4555" i="1"/>
  <c r="K4556" i="1"/>
  <c r="P4556" i="1"/>
  <c r="R4556" i="1"/>
  <c r="BL4556" i="1"/>
  <c r="BW4556" i="1"/>
  <c r="CH4556" i="1"/>
  <c r="CS4556" i="1"/>
  <c r="K4557" i="1"/>
  <c r="P4557" i="1"/>
  <c r="R4557" i="1"/>
  <c r="BL4557" i="1"/>
  <c r="BW4557" i="1"/>
  <c r="CH4557" i="1"/>
  <c r="CS4557" i="1"/>
  <c r="K4558" i="1"/>
  <c r="P4558" i="1"/>
  <c r="R4558" i="1"/>
  <c r="BL4558" i="1"/>
  <c r="BW4558" i="1"/>
  <c r="CH4558" i="1"/>
  <c r="CS4558" i="1"/>
  <c r="K4559" i="1"/>
  <c r="P4559" i="1"/>
  <c r="R4559" i="1"/>
  <c r="BL4559" i="1"/>
  <c r="BW4559" i="1"/>
  <c r="CH4559" i="1"/>
  <c r="CS4559" i="1"/>
  <c r="K4560" i="1"/>
  <c r="P4560" i="1"/>
  <c r="R4560" i="1"/>
  <c r="BL4560" i="1"/>
  <c r="BW4560" i="1"/>
  <c r="CH4560" i="1"/>
  <c r="CS4560" i="1"/>
  <c r="K4561" i="1"/>
  <c r="P4561" i="1"/>
  <c r="R4561" i="1"/>
  <c r="BL4561" i="1"/>
  <c r="BW4561" i="1"/>
  <c r="CH4561" i="1"/>
  <c r="CS4561" i="1"/>
  <c r="K4562" i="1"/>
  <c r="P4562" i="1"/>
  <c r="R4562" i="1"/>
  <c r="BL4562" i="1"/>
  <c r="BW4562" i="1"/>
  <c r="CH4562" i="1"/>
  <c r="CS4562" i="1"/>
  <c r="K4563" i="1"/>
  <c r="P4563" i="1"/>
  <c r="R4563" i="1"/>
  <c r="BL4563" i="1"/>
  <c r="BW4563" i="1"/>
  <c r="CH4563" i="1"/>
  <c r="CS4563" i="1"/>
  <c r="K4564" i="1"/>
  <c r="P4564" i="1"/>
  <c r="R4564" i="1"/>
  <c r="BL4564" i="1"/>
  <c r="BW4564" i="1"/>
  <c r="CH4564" i="1"/>
  <c r="CS4564" i="1"/>
  <c r="K4565" i="1"/>
  <c r="P4565" i="1"/>
  <c r="R4565" i="1"/>
  <c r="BL4565" i="1"/>
  <c r="BW4565" i="1"/>
  <c r="CH4565" i="1"/>
  <c r="CS4565" i="1"/>
  <c r="K4566" i="1"/>
  <c r="P4566" i="1"/>
  <c r="R4566" i="1"/>
  <c r="BL4566" i="1"/>
  <c r="BW4566" i="1"/>
  <c r="CH4566" i="1"/>
  <c r="CS4566" i="1"/>
  <c r="K4567" i="1"/>
  <c r="P4567" i="1"/>
  <c r="R4567" i="1"/>
  <c r="BL4567" i="1"/>
  <c r="BW4567" i="1"/>
  <c r="CH4567" i="1"/>
  <c r="CS4567" i="1"/>
  <c r="K4568" i="1"/>
  <c r="P4568" i="1"/>
  <c r="R4568" i="1"/>
  <c r="BL4568" i="1"/>
  <c r="BW4568" i="1"/>
  <c r="CH4568" i="1"/>
  <c r="CS4568" i="1"/>
  <c r="K4569" i="1"/>
  <c r="P4569" i="1"/>
  <c r="R4569" i="1"/>
  <c r="BL4569" i="1"/>
  <c r="BW4569" i="1"/>
  <c r="CH4569" i="1"/>
  <c r="CS4569" i="1"/>
  <c r="K4570" i="1"/>
  <c r="P4570" i="1"/>
  <c r="R4570" i="1"/>
  <c r="BL4570" i="1"/>
  <c r="BW4570" i="1"/>
  <c r="CH4570" i="1"/>
  <c r="CS4570" i="1"/>
  <c r="K4571" i="1"/>
  <c r="P4571" i="1"/>
  <c r="R4571" i="1"/>
  <c r="BL4571" i="1"/>
  <c r="BW4571" i="1"/>
  <c r="CH4571" i="1"/>
  <c r="CS4571" i="1"/>
  <c r="K4572" i="1"/>
  <c r="P4572" i="1"/>
  <c r="R4572" i="1"/>
  <c r="BL4572" i="1"/>
  <c r="BW4572" i="1"/>
  <c r="CH4572" i="1"/>
  <c r="CS4572" i="1"/>
  <c r="K4573" i="1"/>
  <c r="P4573" i="1"/>
  <c r="R4573" i="1"/>
  <c r="BL4573" i="1"/>
  <c r="BW4573" i="1"/>
  <c r="CH4573" i="1"/>
  <c r="CS4573" i="1"/>
  <c r="K4574" i="1"/>
  <c r="P4574" i="1"/>
  <c r="R4574" i="1"/>
  <c r="BL4574" i="1"/>
  <c r="BW4574" i="1"/>
  <c r="CH4574" i="1"/>
  <c r="CS4574" i="1"/>
  <c r="K4575" i="1"/>
  <c r="P4575" i="1"/>
  <c r="R4575" i="1"/>
  <c r="BL4575" i="1"/>
  <c r="BW4575" i="1"/>
  <c r="CH4575" i="1"/>
  <c r="CS4575" i="1"/>
  <c r="K4576" i="1"/>
  <c r="P4576" i="1"/>
  <c r="R4576" i="1"/>
  <c r="BL4576" i="1"/>
  <c r="BW4576" i="1"/>
  <c r="CH4576" i="1"/>
  <c r="CS4576" i="1"/>
  <c r="K4577" i="1"/>
  <c r="P4577" i="1"/>
  <c r="R4577" i="1"/>
  <c r="BL4577" i="1"/>
  <c r="BW4577" i="1"/>
  <c r="CH4577" i="1"/>
  <c r="CS4577" i="1"/>
  <c r="K4578" i="1"/>
  <c r="P4578" i="1"/>
  <c r="R4578" i="1"/>
  <c r="BL4578" i="1"/>
  <c r="BW4578" i="1"/>
  <c r="CH4578" i="1"/>
  <c r="CS4578" i="1"/>
  <c r="K4579" i="1"/>
  <c r="P4579" i="1"/>
  <c r="R4579" i="1"/>
  <c r="BL4579" i="1"/>
  <c r="BW4579" i="1"/>
  <c r="CH4579" i="1"/>
  <c r="CS4579" i="1"/>
  <c r="K4580" i="1"/>
  <c r="P4580" i="1"/>
  <c r="R4580" i="1"/>
  <c r="BL4580" i="1"/>
  <c r="BW4580" i="1"/>
  <c r="CH4580" i="1"/>
  <c r="CS4580" i="1"/>
  <c r="K4581" i="1"/>
  <c r="P4581" i="1"/>
  <c r="R4581" i="1"/>
  <c r="BL4581" i="1"/>
  <c r="BW4581" i="1"/>
  <c r="CH4581" i="1"/>
  <c r="CS4581" i="1"/>
  <c r="K4582" i="1"/>
  <c r="P4582" i="1"/>
  <c r="R4582" i="1"/>
  <c r="BL4582" i="1"/>
  <c r="BW4582" i="1"/>
  <c r="CH4582" i="1"/>
  <c r="CS4582" i="1"/>
  <c r="K4583" i="1"/>
  <c r="P4583" i="1"/>
  <c r="R4583" i="1"/>
  <c r="BL4583" i="1"/>
  <c r="BW4583" i="1"/>
  <c r="CH4583" i="1"/>
  <c r="CS4583" i="1"/>
  <c r="K4584" i="1"/>
  <c r="P4584" i="1"/>
  <c r="R4584" i="1"/>
  <c r="BL4584" i="1"/>
  <c r="BW4584" i="1"/>
  <c r="CH4584" i="1"/>
  <c r="CS4584" i="1"/>
  <c r="K4585" i="1"/>
  <c r="P4585" i="1"/>
  <c r="R4585" i="1"/>
  <c r="BL4585" i="1"/>
  <c r="BW4585" i="1"/>
  <c r="CH4585" i="1"/>
  <c r="CS4585" i="1"/>
  <c r="K4586" i="1"/>
  <c r="P4586" i="1"/>
  <c r="R4586" i="1"/>
  <c r="BL4586" i="1"/>
  <c r="BW4586" i="1"/>
  <c r="CH4586" i="1"/>
  <c r="CS4586" i="1"/>
  <c r="K4587" i="1"/>
  <c r="P4587" i="1"/>
  <c r="R4587" i="1"/>
  <c r="BL4587" i="1"/>
  <c r="BW4587" i="1"/>
  <c r="CH4587" i="1"/>
  <c r="CS4587" i="1"/>
  <c r="K4588" i="1"/>
  <c r="P4588" i="1"/>
  <c r="R4588" i="1"/>
  <c r="BL4588" i="1"/>
  <c r="BW4588" i="1"/>
  <c r="CH4588" i="1"/>
  <c r="CS4588" i="1"/>
  <c r="K4589" i="1"/>
  <c r="P4589" i="1"/>
  <c r="R4589" i="1"/>
  <c r="BL4589" i="1"/>
  <c r="BW4589" i="1"/>
  <c r="CH4589" i="1"/>
  <c r="CS4589" i="1"/>
  <c r="K4590" i="1"/>
  <c r="P4590" i="1"/>
  <c r="R4590" i="1"/>
  <c r="BL4590" i="1"/>
  <c r="BW4590" i="1"/>
  <c r="CH4590" i="1"/>
  <c r="CS4590" i="1"/>
  <c r="K4591" i="1"/>
  <c r="P4591" i="1"/>
  <c r="R4591" i="1"/>
  <c r="BL4591" i="1"/>
  <c r="BW4591" i="1"/>
  <c r="CH4591" i="1"/>
  <c r="CS4591" i="1"/>
  <c r="K4592" i="1"/>
  <c r="P4592" i="1"/>
  <c r="R4592" i="1"/>
  <c r="BL4592" i="1"/>
  <c r="BW4592" i="1"/>
  <c r="CH4592" i="1"/>
  <c r="CS4592" i="1"/>
  <c r="K4593" i="1"/>
  <c r="P4593" i="1"/>
  <c r="R4593" i="1"/>
  <c r="BL4593" i="1"/>
  <c r="BW4593" i="1"/>
  <c r="CH4593" i="1"/>
  <c r="CS4593" i="1"/>
  <c r="K4594" i="1"/>
  <c r="P4594" i="1"/>
  <c r="R4594" i="1"/>
  <c r="BL4594" i="1"/>
  <c r="BW4594" i="1"/>
  <c r="CH4594" i="1"/>
  <c r="CS4594" i="1"/>
  <c r="K4595" i="1"/>
  <c r="P4595" i="1"/>
  <c r="R4595" i="1"/>
  <c r="BL4595" i="1"/>
  <c r="BW4595" i="1"/>
  <c r="CH4595" i="1"/>
  <c r="CS4595" i="1"/>
  <c r="K4596" i="1"/>
  <c r="P4596" i="1"/>
  <c r="R4596" i="1"/>
  <c r="BL4596" i="1"/>
  <c r="BW4596" i="1"/>
  <c r="CH4596" i="1"/>
  <c r="CS4596" i="1"/>
  <c r="K4597" i="1"/>
  <c r="P4597" i="1"/>
  <c r="R4597" i="1"/>
  <c r="BL4597" i="1"/>
  <c r="BW4597" i="1"/>
  <c r="CH4597" i="1"/>
  <c r="CS4597" i="1"/>
  <c r="K4598" i="1"/>
  <c r="P4598" i="1"/>
  <c r="R4598" i="1"/>
  <c r="BL4598" i="1"/>
  <c r="BW4598" i="1"/>
  <c r="CH4598" i="1"/>
  <c r="CS4598" i="1"/>
  <c r="K4599" i="1"/>
  <c r="P4599" i="1"/>
  <c r="R4599" i="1"/>
  <c r="BL4599" i="1"/>
  <c r="BW4599" i="1"/>
  <c r="CH4599" i="1"/>
  <c r="CS4599" i="1"/>
  <c r="K4600" i="1"/>
  <c r="P4600" i="1"/>
  <c r="R4600" i="1"/>
  <c r="BL4600" i="1"/>
  <c r="BW4600" i="1"/>
  <c r="CH4600" i="1"/>
  <c r="CS4600" i="1"/>
  <c r="K4601" i="1"/>
  <c r="P4601" i="1"/>
  <c r="R4601" i="1"/>
  <c r="BL4601" i="1"/>
  <c r="BW4601" i="1"/>
  <c r="CH4601" i="1"/>
  <c r="CS4601" i="1"/>
  <c r="K4602" i="1"/>
  <c r="P4602" i="1"/>
  <c r="R4602" i="1"/>
  <c r="BL4602" i="1"/>
  <c r="BW4602" i="1"/>
  <c r="CH4602" i="1"/>
  <c r="CS4602" i="1"/>
  <c r="K4603" i="1"/>
  <c r="P4603" i="1"/>
  <c r="R4603" i="1"/>
  <c r="BL4603" i="1"/>
  <c r="BW4603" i="1"/>
  <c r="CH4603" i="1"/>
  <c r="CS4603" i="1"/>
  <c r="K4604" i="1"/>
  <c r="P4604" i="1"/>
  <c r="R4604" i="1"/>
  <c r="BL4604" i="1"/>
  <c r="BW4604" i="1"/>
  <c r="CH4604" i="1"/>
  <c r="CS4604" i="1"/>
  <c r="K4605" i="1"/>
  <c r="P4605" i="1"/>
  <c r="R4605" i="1"/>
  <c r="BL4605" i="1"/>
  <c r="BW4605" i="1"/>
  <c r="CH4605" i="1"/>
  <c r="CS4605" i="1"/>
  <c r="K4606" i="1"/>
  <c r="P4606" i="1"/>
  <c r="R4606" i="1"/>
  <c r="BL4606" i="1"/>
  <c r="BW4606" i="1"/>
  <c r="CH4606" i="1"/>
  <c r="CS4606" i="1"/>
  <c r="K4607" i="1"/>
  <c r="P4607" i="1"/>
  <c r="R4607" i="1"/>
  <c r="BL4607" i="1"/>
  <c r="BW4607" i="1"/>
  <c r="CH4607" i="1"/>
  <c r="CS4607" i="1"/>
  <c r="K4608" i="1"/>
  <c r="P4608" i="1"/>
  <c r="R4608" i="1"/>
  <c r="BL4608" i="1"/>
  <c r="BW4608" i="1"/>
  <c r="CH4608" i="1"/>
  <c r="CS4608" i="1"/>
  <c r="K4609" i="1"/>
  <c r="P4609" i="1"/>
  <c r="R4609" i="1"/>
  <c r="AM4609" i="1"/>
  <c r="BL4609" i="1"/>
  <c r="BW4609" i="1"/>
  <c r="CH4609" i="1"/>
  <c r="CS4609" i="1"/>
  <c r="K4610" i="1"/>
  <c r="P4610" i="1"/>
  <c r="R4610" i="1"/>
  <c r="BL4610" i="1"/>
  <c r="BW4610" i="1"/>
  <c r="CH4610" i="1"/>
  <c r="CS4610" i="1"/>
  <c r="K4611" i="1"/>
  <c r="P4611" i="1"/>
  <c r="R4611" i="1"/>
  <c r="BL4611" i="1"/>
  <c r="BW4611" i="1"/>
  <c r="CH4611" i="1"/>
  <c r="CS4611" i="1"/>
  <c r="K4612" i="1"/>
  <c r="P4612" i="1"/>
  <c r="R4612" i="1"/>
  <c r="BL4612" i="1"/>
  <c r="BW4612" i="1"/>
  <c r="CH4612" i="1"/>
  <c r="CS4612" i="1"/>
  <c r="K4613" i="1"/>
  <c r="P4613" i="1"/>
  <c r="R4613" i="1"/>
  <c r="BL4613" i="1"/>
  <c r="BW4613" i="1"/>
  <c r="CH4613" i="1"/>
  <c r="CS4613" i="1"/>
  <c r="K4614" i="1"/>
  <c r="P4614" i="1"/>
  <c r="R4614" i="1"/>
  <c r="BL4614" i="1"/>
  <c r="BW4614" i="1"/>
  <c r="CH4614" i="1"/>
  <c r="CS4614" i="1"/>
  <c r="K4615" i="1"/>
  <c r="P4615" i="1"/>
  <c r="R4615" i="1"/>
  <c r="BL4615" i="1"/>
  <c r="BW4615" i="1"/>
  <c r="CH4615" i="1"/>
  <c r="CS4615" i="1"/>
  <c r="K4616" i="1"/>
  <c r="P4616" i="1"/>
  <c r="R4616" i="1"/>
  <c r="BL4616" i="1"/>
  <c r="BW4616" i="1"/>
  <c r="CH4616" i="1"/>
  <c r="CS4616" i="1"/>
  <c r="K4617" i="1"/>
  <c r="P4617" i="1"/>
  <c r="R4617" i="1"/>
  <c r="BL4617" i="1"/>
  <c r="BW4617" i="1"/>
  <c r="CH4617" i="1"/>
  <c r="CS4617" i="1"/>
  <c r="K4618" i="1"/>
  <c r="P4618" i="1"/>
  <c r="R4618" i="1"/>
  <c r="BL4618" i="1"/>
  <c r="BW4618" i="1"/>
  <c r="CH4618" i="1"/>
  <c r="CS4618" i="1"/>
  <c r="K4619" i="1"/>
  <c r="P4619" i="1"/>
  <c r="R4619" i="1"/>
  <c r="BL4619" i="1"/>
  <c r="BW4619" i="1"/>
  <c r="CH4619" i="1"/>
  <c r="CS4619" i="1"/>
  <c r="K4620" i="1"/>
  <c r="P4620" i="1"/>
  <c r="R4620" i="1"/>
  <c r="BL4620" i="1"/>
  <c r="BW4620" i="1"/>
  <c r="CH4620" i="1"/>
  <c r="CS4620" i="1"/>
  <c r="K4621" i="1"/>
  <c r="P4621" i="1"/>
  <c r="R4621" i="1"/>
  <c r="BL4621" i="1"/>
  <c r="BW4621" i="1"/>
  <c r="CH4621" i="1"/>
  <c r="CS4621" i="1"/>
  <c r="K4622" i="1"/>
  <c r="P4622" i="1"/>
  <c r="R4622" i="1"/>
  <c r="BL4622" i="1"/>
  <c r="BW4622" i="1"/>
  <c r="CH4622" i="1"/>
  <c r="CS4622" i="1"/>
  <c r="K4623" i="1"/>
  <c r="P4623" i="1"/>
  <c r="R4623" i="1"/>
  <c r="BL4623" i="1"/>
  <c r="BW4623" i="1"/>
  <c r="CH4623" i="1"/>
  <c r="CS4623" i="1"/>
  <c r="K4624" i="1"/>
  <c r="P4624" i="1"/>
  <c r="R4624" i="1"/>
  <c r="BL4624" i="1"/>
  <c r="BW4624" i="1"/>
  <c r="CH4624" i="1"/>
  <c r="CS4624" i="1"/>
  <c r="K4625" i="1"/>
  <c r="P4625" i="1"/>
  <c r="R4625" i="1"/>
  <c r="BL4625" i="1"/>
  <c r="BW4625" i="1"/>
  <c r="CH4625" i="1"/>
  <c r="CS4625" i="1"/>
  <c r="K4626" i="1"/>
  <c r="P4626" i="1"/>
  <c r="R4626" i="1"/>
  <c r="BL4626" i="1"/>
  <c r="BW4626" i="1"/>
  <c r="CH4626" i="1"/>
  <c r="CS4626" i="1"/>
  <c r="K4627" i="1"/>
  <c r="P4627" i="1"/>
  <c r="R4627" i="1"/>
  <c r="BL4627" i="1"/>
  <c r="BW4627" i="1"/>
  <c r="CH4627" i="1"/>
  <c r="CS4627" i="1"/>
  <c r="K4628" i="1"/>
  <c r="P4628" i="1"/>
  <c r="R4628" i="1"/>
  <c r="BL4628" i="1"/>
  <c r="BW4628" i="1"/>
  <c r="CH4628" i="1"/>
  <c r="CS4628" i="1"/>
  <c r="K4629" i="1"/>
  <c r="P4629" i="1"/>
  <c r="R4629" i="1"/>
  <c r="BL4629" i="1"/>
  <c r="BW4629" i="1"/>
  <c r="CH4629" i="1"/>
  <c r="CS4629" i="1"/>
  <c r="K4630" i="1"/>
  <c r="P4630" i="1"/>
  <c r="R4630" i="1"/>
  <c r="BL4630" i="1"/>
  <c r="BQ4630" i="1"/>
  <c r="BW4630" i="1"/>
  <c r="CH4630" i="1"/>
  <c r="CS4630" i="1"/>
  <c r="K4631" i="1"/>
  <c r="P4631" i="1"/>
  <c r="R4631" i="1"/>
  <c r="BL4631" i="1"/>
  <c r="BW4631" i="1"/>
  <c r="CH4631" i="1"/>
  <c r="CS4631" i="1"/>
  <c r="K4632" i="1"/>
  <c r="P4632" i="1"/>
  <c r="R4632" i="1"/>
  <c r="BL4632" i="1"/>
  <c r="BW4632" i="1"/>
  <c r="CH4632" i="1"/>
  <c r="CS4632" i="1"/>
  <c r="K4633" i="1"/>
  <c r="P4633" i="1"/>
  <c r="R4633" i="1"/>
  <c r="BL4633" i="1"/>
  <c r="BW4633" i="1"/>
  <c r="CH4633" i="1"/>
  <c r="CS4633" i="1"/>
  <c r="K4634" i="1"/>
  <c r="P4634" i="1"/>
  <c r="R4634" i="1"/>
  <c r="BL4634" i="1"/>
  <c r="BW4634" i="1"/>
  <c r="CH4634" i="1"/>
  <c r="CS4634" i="1"/>
  <c r="K4635" i="1"/>
  <c r="P4635" i="1"/>
  <c r="R4635" i="1"/>
  <c r="BL4635" i="1"/>
  <c r="BW4635" i="1"/>
  <c r="CH4635" i="1"/>
  <c r="CS4635" i="1"/>
  <c r="K4636" i="1"/>
  <c r="P4636" i="1"/>
  <c r="R4636" i="1"/>
  <c r="BL4636" i="1"/>
  <c r="BW4636" i="1"/>
  <c r="CH4636" i="1"/>
  <c r="CS4636" i="1"/>
  <c r="K4637" i="1"/>
  <c r="P4637" i="1"/>
  <c r="R4637" i="1"/>
  <c r="BL4637" i="1"/>
  <c r="BW4637" i="1"/>
  <c r="CH4637" i="1"/>
  <c r="CS4637" i="1"/>
  <c r="K4638" i="1"/>
  <c r="P4638" i="1"/>
  <c r="R4638" i="1"/>
  <c r="BL4638" i="1"/>
  <c r="BW4638" i="1"/>
  <c r="CH4638" i="1"/>
  <c r="CS4638" i="1"/>
  <c r="K4639" i="1"/>
  <c r="P4639" i="1"/>
  <c r="R4639" i="1"/>
  <c r="BL4639" i="1"/>
  <c r="BW4639" i="1"/>
  <c r="CH4639" i="1"/>
  <c r="CS4639" i="1"/>
  <c r="K4640" i="1"/>
  <c r="P4640" i="1"/>
  <c r="R4640" i="1"/>
  <c r="BL4640" i="1"/>
  <c r="BW4640" i="1"/>
  <c r="CH4640" i="1"/>
  <c r="CS4640" i="1"/>
  <c r="K4641" i="1"/>
  <c r="P4641" i="1"/>
  <c r="R4641" i="1"/>
  <c r="BL4641" i="1"/>
  <c r="BW4641" i="1"/>
  <c r="CH4641" i="1"/>
  <c r="CS4641" i="1"/>
  <c r="K4642" i="1"/>
  <c r="P4642" i="1"/>
  <c r="R4642" i="1"/>
  <c r="BL4642" i="1"/>
  <c r="BW4642" i="1"/>
  <c r="CH4642" i="1"/>
  <c r="CS4642" i="1"/>
  <c r="K4643" i="1"/>
  <c r="P4643" i="1"/>
  <c r="R4643" i="1"/>
  <c r="BL4643" i="1"/>
  <c r="BW4643" i="1"/>
  <c r="CH4643" i="1"/>
  <c r="CS4643" i="1"/>
  <c r="K4644" i="1"/>
  <c r="P4644" i="1"/>
  <c r="R4644" i="1"/>
  <c r="BL4644" i="1"/>
  <c r="BW4644" i="1"/>
  <c r="CH4644" i="1"/>
  <c r="CS4644" i="1"/>
  <c r="K4645" i="1"/>
  <c r="P4645" i="1"/>
  <c r="R4645" i="1"/>
  <c r="BL4645" i="1"/>
  <c r="BW4645" i="1"/>
  <c r="CH4645" i="1"/>
  <c r="CS4645" i="1"/>
  <c r="K4646" i="1"/>
  <c r="P4646" i="1"/>
  <c r="R4646" i="1"/>
  <c r="BL4646" i="1"/>
  <c r="BW4646" i="1"/>
  <c r="CH4646" i="1"/>
  <c r="CS4646" i="1"/>
  <c r="K4647" i="1"/>
  <c r="P4647" i="1"/>
  <c r="R4647" i="1"/>
  <c r="BL4647" i="1"/>
  <c r="BW4647" i="1"/>
  <c r="CH4647" i="1"/>
  <c r="CS4647" i="1"/>
  <c r="K4648" i="1"/>
  <c r="P4648" i="1"/>
  <c r="R4648" i="1"/>
  <c r="BL4648" i="1"/>
  <c r="BW4648" i="1"/>
  <c r="CH4648" i="1"/>
  <c r="CS4648" i="1"/>
  <c r="K4649" i="1"/>
  <c r="P4649" i="1"/>
  <c r="R4649" i="1"/>
  <c r="BL4649" i="1"/>
  <c r="BW4649" i="1"/>
  <c r="CH4649" i="1"/>
  <c r="CS4649" i="1"/>
  <c r="K4650" i="1"/>
  <c r="P4650" i="1"/>
  <c r="R4650" i="1"/>
  <c r="BL4650" i="1"/>
  <c r="BW4650" i="1"/>
  <c r="CH4650" i="1"/>
  <c r="CS4650" i="1"/>
  <c r="K4651" i="1"/>
  <c r="P4651" i="1"/>
  <c r="R4651" i="1"/>
  <c r="BL4651" i="1"/>
  <c r="BW4651" i="1"/>
  <c r="CH4651" i="1"/>
  <c r="CS4651" i="1"/>
  <c r="K4652" i="1"/>
  <c r="P4652" i="1"/>
  <c r="R4652" i="1"/>
  <c r="BL4652" i="1"/>
  <c r="BW4652" i="1"/>
  <c r="CH4652" i="1"/>
  <c r="CS4652" i="1"/>
  <c r="K4653" i="1"/>
  <c r="P4653" i="1"/>
  <c r="R4653" i="1"/>
  <c r="BL4653" i="1"/>
  <c r="BW4653" i="1"/>
  <c r="CH4653" i="1"/>
  <c r="CS4653" i="1"/>
  <c r="K4654" i="1"/>
  <c r="P4654" i="1"/>
  <c r="R4654" i="1"/>
  <c r="BL4654" i="1"/>
  <c r="BW4654" i="1"/>
  <c r="CH4654" i="1"/>
  <c r="CS4654" i="1"/>
  <c r="K4655" i="1"/>
  <c r="P4655" i="1"/>
  <c r="R4655" i="1"/>
  <c r="BL4655" i="1"/>
  <c r="BW4655" i="1"/>
  <c r="CH4655" i="1"/>
  <c r="CS4655" i="1"/>
  <c r="K4656" i="1"/>
  <c r="P4656" i="1"/>
  <c r="R4656" i="1"/>
  <c r="BL4656" i="1"/>
  <c r="BW4656" i="1"/>
  <c r="CH4656" i="1"/>
  <c r="CS4656" i="1"/>
  <c r="K4657" i="1"/>
  <c r="P4657" i="1"/>
  <c r="R4657" i="1"/>
  <c r="BL4657" i="1"/>
  <c r="BW4657" i="1"/>
  <c r="CH4657" i="1"/>
  <c r="CS4657" i="1"/>
  <c r="K4658" i="1"/>
  <c r="P4658" i="1"/>
  <c r="R4658" i="1"/>
  <c r="BL4658" i="1"/>
  <c r="BW4658" i="1"/>
  <c r="CH4658" i="1"/>
  <c r="CS4658" i="1"/>
  <c r="K4659" i="1"/>
  <c r="P4659" i="1"/>
  <c r="R4659" i="1"/>
  <c r="BL4659" i="1"/>
  <c r="BW4659" i="1"/>
  <c r="CH4659" i="1"/>
  <c r="CS4659" i="1"/>
  <c r="K4660" i="1"/>
  <c r="P4660" i="1"/>
  <c r="R4660" i="1"/>
  <c r="BL4660" i="1"/>
  <c r="BW4660" i="1"/>
  <c r="CH4660" i="1"/>
  <c r="CS4660" i="1"/>
  <c r="K4661" i="1"/>
  <c r="P4661" i="1"/>
  <c r="R4661" i="1"/>
  <c r="BL4661" i="1"/>
  <c r="BW4661" i="1"/>
  <c r="CH4661" i="1"/>
  <c r="CS4661" i="1"/>
  <c r="K4662" i="1"/>
  <c r="P4662" i="1"/>
  <c r="R4662" i="1"/>
  <c r="BL4662" i="1"/>
  <c r="BW4662" i="1"/>
  <c r="CH4662" i="1"/>
  <c r="CS4662" i="1"/>
  <c r="K4663" i="1"/>
  <c r="P4663" i="1"/>
  <c r="R4663" i="1"/>
  <c r="BL4663" i="1"/>
  <c r="BW4663" i="1"/>
  <c r="CH4663" i="1"/>
  <c r="CS4663" i="1"/>
  <c r="K4664" i="1"/>
  <c r="P4664" i="1"/>
  <c r="R4664" i="1"/>
  <c r="BL4664" i="1"/>
  <c r="BW4664" i="1"/>
  <c r="CH4664" i="1"/>
  <c r="CS4664" i="1"/>
  <c r="K4665" i="1"/>
  <c r="P4665" i="1"/>
  <c r="R4665" i="1"/>
  <c r="BL4665" i="1"/>
  <c r="BW4665" i="1"/>
  <c r="CH4665" i="1"/>
  <c r="CS4665" i="1"/>
  <c r="K4666" i="1"/>
  <c r="P4666" i="1"/>
  <c r="R4666" i="1"/>
  <c r="BL4666" i="1"/>
  <c r="BW4666" i="1"/>
  <c r="CH4666" i="1"/>
  <c r="CS4666" i="1"/>
  <c r="K4667" i="1"/>
  <c r="P4667" i="1"/>
  <c r="R4667" i="1"/>
  <c r="BL4667" i="1"/>
  <c r="BW4667" i="1"/>
  <c r="CH4667" i="1"/>
  <c r="CS4667" i="1"/>
  <c r="K4668" i="1"/>
  <c r="P4668" i="1"/>
  <c r="R4668" i="1"/>
  <c r="BL4668" i="1"/>
  <c r="BW4668" i="1"/>
  <c r="CH4668" i="1"/>
  <c r="CS4668" i="1"/>
  <c r="K4669" i="1"/>
  <c r="P4669" i="1"/>
  <c r="R4669" i="1"/>
  <c r="BL4669" i="1"/>
  <c r="BW4669" i="1"/>
  <c r="CH4669" i="1"/>
  <c r="CS4669" i="1"/>
  <c r="K4670" i="1"/>
  <c r="P4670" i="1"/>
  <c r="R4670" i="1"/>
  <c r="BL4670" i="1"/>
  <c r="BW4670" i="1"/>
  <c r="CH4670" i="1"/>
  <c r="CS4670" i="1"/>
  <c r="K4671" i="1"/>
  <c r="P4671" i="1"/>
  <c r="R4671" i="1"/>
  <c r="BL4671" i="1"/>
  <c r="BW4671" i="1"/>
  <c r="CH4671" i="1"/>
  <c r="CS4671" i="1"/>
  <c r="K4672" i="1"/>
  <c r="P4672" i="1"/>
  <c r="R4672" i="1"/>
  <c r="BL4672" i="1"/>
  <c r="BW4672" i="1"/>
  <c r="CH4672" i="1"/>
  <c r="CS4672" i="1"/>
  <c r="K4673" i="1"/>
  <c r="P4673" i="1"/>
  <c r="R4673" i="1"/>
  <c r="BL4673" i="1"/>
  <c r="BW4673" i="1"/>
  <c r="CH4673" i="1"/>
  <c r="CS4673" i="1"/>
  <c r="K4674" i="1"/>
  <c r="P4674" i="1"/>
  <c r="R4674" i="1"/>
  <c r="BL4674" i="1"/>
  <c r="BW4674" i="1"/>
  <c r="CH4674" i="1"/>
  <c r="CS4674" i="1"/>
  <c r="K4675" i="1"/>
  <c r="P4675" i="1"/>
  <c r="R4675" i="1"/>
  <c r="BL4675" i="1"/>
  <c r="BW4675" i="1"/>
  <c r="CH4675" i="1"/>
  <c r="CS4675" i="1"/>
  <c r="K4676" i="1"/>
  <c r="P4676" i="1"/>
  <c r="R4676" i="1"/>
  <c r="BL4676" i="1"/>
  <c r="BW4676" i="1"/>
  <c r="CH4676" i="1"/>
  <c r="CS4676" i="1"/>
  <c r="K4677" i="1"/>
  <c r="P4677" i="1"/>
  <c r="R4677" i="1"/>
  <c r="BL4677" i="1"/>
  <c r="BW4677" i="1"/>
  <c r="CH4677" i="1"/>
  <c r="CS4677" i="1"/>
  <c r="K4678" i="1"/>
  <c r="P4678" i="1"/>
  <c r="R4678" i="1"/>
  <c r="BL4678" i="1"/>
  <c r="BW4678" i="1"/>
  <c r="CH4678" i="1"/>
  <c r="CS4678" i="1"/>
  <c r="K4679" i="1"/>
  <c r="P4679" i="1"/>
  <c r="R4679" i="1"/>
  <c r="BL4679" i="1"/>
  <c r="BW4679" i="1"/>
  <c r="CH4679" i="1"/>
  <c r="CS4679" i="1"/>
  <c r="K4680" i="1"/>
  <c r="P4680" i="1"/>
  <c r="R4680" i="1"/>
  <c r="BL4680" i="1"/>
  <c r="BW4680" i="1"/>
  <c r="CH4680" i="1"/>
  <c r="CS4680" i="1"/>
  <c r="K4681" i="1"/>
  <c r="P4681" i="1"/>
  <c r="R4681" i="1"/>
  <c r="BL4681" i="1"/>
  <c r="BW4681" i="1"/>
  <c r="CH4681" i="1"/>
  <c r="CS4681" i="1"/>
  <c r="K4682" i="1"/>
  <c r="P4682" i="1"/>
  <c r="R4682" i="1"/>
  <c r="BL4682" i="1"/>
  <c r="BW4682" i="1"/>
  <c r="CH4682" i="1"/>
  <c r="CS4682" i="1"/>
  <c r="K4683" i="1"/>
  <c r="P4683" i="1"/>
  <c r="R4683" i="1"/>
  <c r="BL4683" i="1"/>
  <c r="BW4683" i="1"/>
  <c r="CH4683" i="1"/>
  <c r="CS4683" i="1"/>
  <c r="K4684" i="1"/>
  <c r="P4684" i="1"/>
  <c r="R4684" i="1"/>
  <c r="BL4684" i="1"/>
  <c r="BW4684" i="1"/>
  <c r="CH4684" i="1"/>
  <c r="CS4684" i="1"/>
  <c r="K4685" i="1"/>
  <c r="P4685" i="1"/>
  <c r="R4685" i="1"/>
  <c r="BL4685" i="1"/>
  <c r="BW4685" i="1"/>
  <c r="CH4685" i="1"/>
  <c r="CS4685" i="1"/>
  <c r="K4686" i="1"/>
  <c r="P4686" i="1"/>
  <c r="R4686" i="1"/>
  <c r="BL4686" i="1"/>
  <c r="BW4686" i="1"/>
  <c r="CH4686" i="1"/>
  <c r="CS4686" i="1"/>
  <c r="K4687" i="1"/>
  <c r="P4687" i="1"/>
  <c r="R4687" i="1"/>
  <c r="BL4687" i="1"/>
  <c r="BW4687" i="1"/>
  <c r="CH4687" i="1"/>
  <c r="CS4687" i="1"/>
  <c r="K4688" i="1"/>
  <c r="P4688" i="1"/>
  <c r="R4688" i="1"/>
  <c r="BL4688" i="1"/>
  <c r="BW4688" i="1"/>
  <c r="CH4688" i="1"/>
  <c r="CS4688" i="1"/>
  <c r="K4689" i="1"/>
  <c r="P4689" i="1"/>
  <c r="R4689" i="1"/>
  <c r="BL4689" i="1"/>
  <c r="BW4689" i="1"/>
  <c r="CH4689" i="1"/>
  <c r="CS4689" i="1"/>
  <c r="K4690" i="1"/>
  <c r="P4690" i="1"/>
  <c r="R4690" i="1"/>
  <c r="BL4690" i="1"/>
  <c r="BW4690" i="1"/>
  <c r="CH4690" i="1"/>
  <c r="CS4690" i="1"/>
  <c r="K4691" i="1"/>
  <c r="P4691" i="1"/>
  <c r="R4691" i="1"/>
  <c r="BL4691" i="1"/>
  <c r="BW4691" i="1"/>
  <c r="CH4691" i="1"/>
  <c r="CS4691" i="1"/>
  <c r="K4692" i="1"/>
  <c r="P4692" i="1"/>
  <c r="R4692" i="1"/>
  <c r="BL4692" i="1"/>
  <c r="BW4692" i="1"/>
  <c r="CH4692" i="1"/>
  <c r="CS4692" i="1"/>
  <c r="K4693" i="1"/>
  <c r="P4693" i="1"/>
  <c r="R4693" i="1"/>
  <c r="BL4693" i="1"/>
  <c r="BW4693" i="1"/>
  <c r="CH4693" i="1"/>
  <c r="CS4693" i="1"/>
  <c r="K4694" i="1"/>
  <c r="P4694" i="1"/>
  <c r="R4694" i="1"/>
  <c r="BL4694" i="1"/>
  <c r="BW4694" i="1"/>
  <c r="CH4694" i="1"/>
  <c r="CS4694" i="1"/>
  <c r="K4695" i="1"/>
  <c r="P4695" i="1"/>
  <c r="R4695" i="1"/>
  <c r="BL4695" i="1"/>
  <c r="BW4695" i="1"/>
  <c r="CH4695" i="1"/>
  <c r="CS4695" i="1"/>
  <c r="K4696" i="1"/>
  <c r="P4696" i="1"/>
  <c r="R4696" i="1"/>
  <c r="BL4696" i="1"/>
  <c r="BW4696" i="1"/>
  <c r="CH4696" i="1"/>
  <c r="CS4696" i="1"/>
  <c r="K4697" i="1"/>
  <c r="P4697" i="1"/>
  <c r="R4697" i="1"/>
  <c r="BL4697" i="1"/>
  <c r="BW4697" i="1"/>
  <c r="CH4697" i="1"/>
  <c r="CS4697" i="1"/>
  <c r="K4698" i="1"/>
  <c r="P4698" i="1"/>
  <c r="R4698" i="1"/>
  <c r="BL4698" i="1"/>
  <c r="BW4698" i="1"/>
  <c r="CH4698" i="1"/>
  <c r="CS4698" i="1"/>
  <c r="K4699" i="1"/>
  <c r="P4699" i="1"/>
  <c r="R4699" i="1"/>
  <c r="BL4699" i="1"/>
  <c r="BW4699" i="1"/>
  <c r="CH4699" i="1"/>
  <c r="CS4699" i="1"/>
  <c r="K4700" i="1"/>
  <c r="P4700" i="1"/>
  <c r="R4700" i="1"/>
  <c r="BL4700" i="1"/>
  <c r="BW4700" i="1"/>
  <c r="CH4700" i="1"/>
  <c r="CS4700" i="1"/>
  <c r="K4701" i="1"/>
  <c r="P4701" i="1"/>
  <c r="R4701" i="1"/>
  <c r="BL4701" i="1"/>
  <c r="BW4701" i="1"/>
  <c r="CH4701" i="1"/>
  <c r="CS4701" i="1"/>
  <c r="K4702" i="1"/>
  <c r="P4702" i="1"/>
  <c r="R4702" i="1"/>
  <c r="BL4702" i="1"/>
  <c r="BW4702" i="1"/>
  <c r="CH4702" i="1"/>
  <c r="CS4702" i="1"/>
  <c r="K4703" i="1"/>
  <c r="P4703" i="1"/>
  <c r="R4703" i="1"/>
  <c r="BL4703" i="1"/>
  <c r="BW4703" i="1"/>
  <c r="CH4703" i="1"/>
  <c r="CS4703" i="1"/>
  <c r="K4704" i="1"/>
  <c r="P4704" i="1"/>
  <c r="R4704" i="1"/>
  <c r="BL4704" i="1"/>
  <c r="BW4704" i="1"/>
  <c r="CH4704" i="1"/>
  <c r="CS4704" i="1"/>
  <c r="K4705" i="1"/>
  <c r="P4705" i="1"/>
  <c r="R4705" i="1"/>
  <c r="BL4705" i="1"/>
  <c r="BW4705" i="1"/>
  <c r="CH4705" i="1"/>
  <c r="CS4705" i="1"/>
  <c r="K4706" i="1"/>
  <c r="P4706" i="1"/>
  <c r="R4706" i="1"/>
  <c r="BL4706" i="1"/>
  <c r="BW4706" i="1"/>
  <c r="CH4706" i="1"/>
  <c r="CS4706" i="1"/>
  <c r="K4707" i="1"/>
  <c r="P4707" i="1"/>
  <c r="R4707" i="1"/>
  <c r="BL4707" i="1"/>
  <c r="BW4707" i="1"/>
  <c r="CH4707" i="1"/>
  <c r="CS4707" i="1"/>
  <c r="K4708" i="1"/>
  <c r="P4708" i="1"/>
  <c r="R4708" i="1"/>
  <c r="BL4708" i="1"/>
  <c r="BW4708" i="1"/>
  <c r="CH4708" i="1"/>
  <c r="CS4708" i="1"/>
  <c r="K4709" i="1"/>
  <c r="P4709" i="1"/>
  <c r="R4709" i="1"/>
  <c r="BL4709" i="1"/>
  <c r="BW4709" i="1"/>
  <c r="CH4709" i="1"/>
  <c r="CS4709" i="1"/>
  <c r="K4710" i="1"/>
  <c r="P4710" i="1"/>
  <c r="R4710" i="1"/>
  <c r="BL4710" i="1"/>
  <c r="BW4710" i="1"/>
  <c r="CH4710" i="1"/>
  <c r="CS4710" i="1"/>
  <c r="K4711" i="1"/>
  <c r="P4711" i="1"/>
  <c r="R4711" i="1"/>
  <c r="BL4711" i="1"/>
  <c r="BW4711" i="1"/>
  <c r="CH4711" i="1"/>
  <c r="CS4711" i="1"/>
  <c r="K4712" i="1"/>
  <c r="P4712" i="1"/>
  <c r="R4712" i="1"/>
  <c r="BL4712" i="1"/>
  <c r="BW4712" i="1"/>
  <c r="CH4712" i="1"/>
  <c r="CS4712" i="1"/>
  <c r="K4713" i="1"/>
  <c r="P4713" i="1"/>
  <c r="R4713" i="1"/>
  <c r="BL4713" i="1"/>
  <c r="BW4713" i="1"/>
  <c r="CH4713" i="1"/>
  <c r="CS4713" i="1"/>
  <c r="K4714" i="1"/>
  <c r="P4714" i="1"/>
  <c r="R4714" i="1"/>
  <c r="BL4714" i="1"/>
  <c r="BW4714" i="1"/>
  <c r="CH4714" i="1"/>
  <c r="CS4714" i="1"/>
  <c r="K4715" i="1"/>
  <c r="P4715" i="1"/>
  <c r="R4715" i="1"/>
  <c r="BL4715" i="1"/>
  <c r="BW4715" i="1"/>
  <c r="CH4715" i="1"/>
  <c r="CS4715" i="1"/>
  <c r="K4716" i="1"/>
  <c r="P4716" i="1"/>
  <c r="R4716" i="1"/>
  <c r="BL4716" i="1"/>
  <c r="BW4716" i="1"/>
  <c r="CH4716" i="1"/>
  <c r="CS4716" i="1"/>
  <c r="K4717" i="1"/>
  <c r="P4717" i="1"/>
  <c r="R4717" i="1"/>
  <c r="BL4717" i="1"/>
  <c r="BW4717" i="1"/>
  <c r="CH4717" i="1"/>
  <c r="CS4717" i="1"/>
  <c r="K4718" i="1"/>
  <c r="P4718" i="1"/>
  <c r="R4718" i="1"/>
  <c r="BL4718" i="1"/>
  <c r="BW4718" i="1"/>
  <c r="CH4718" i="1"/>
  <c r="CS4718" i="1"/>
  <c r="K4719" i="1"/>
  <c r="P4719" i="1"/>
  <c r="R4719" i="1"/>
  <c r="BL4719" i="1"/>
  <c r="BQ4719" i="1"/>
  <c r="BW4719" i="1"/>
  <c r="CH4719" i="1"/>
  <c r="CS4719" i="1"/>
  <c r="K4720" i="1"/>
  <c r="P4720" i="1"/>
  <c r="R4720" i="1"/>
  <c r="BL4720" i="1"/>
  <c r="BW4720" i="1"/>
  <c r="CH4720" i="1"/>
  <c r="CS4720" i="1"/>
  <c r="K4721" i="1"/>
  <c r="P4721" i="1"/>
  <c r="R4721" i="1"/>
  <c r="BL4721" i="1"/>
  <c r="BW4721" i="1"/>
  <c r="CH4721" i="1"/>
  <c r="CS4721" i="1"/>
  <c r="K4722" i="1"/>
  <c r="P4722" i="1"/>
  <c r="R4722" i="1"/>
  <c r="BL4722" i="1"/>
  <c r="BW4722" i="1"/>
  <c r="CH4722" i="1"/>
  <c r="CS4722" i="1"/>
  <c r="K4723" i="1"/>
  <c r="P4723" i="1"/>
  <c r="R4723" i="1"/>
  <c r="BL4723" i="1"/>
  <c r="BW4723" i="1"/>
  <c r="CH4723" i="1"/>
  <c r="CS4723" i="1"/>
  <c r="K4724" i="1"/>
  <c r="P4724" i="1"/>
  <c r="R4724" i="1"/>
  <c r="BL4724" i="1"/>
  <c r="BW4724" i="1"/>
  <c r="CH4724" i="1"/>
  <c r="CS4724" i="1"/>
  <c r="K4725" i="1"/>
  <c r="P4725" i="1"/>
  <c r="R4725" i="1"/>
  <c r="BL4725" i="1"/>
  <c r="BW4725" i="1"/>
  <c r="CH4725" i="1"/>
  <c r="CS4725" i="1"/>
  <c r="K4726" i="1"/>
  <c r="P4726" i="1"/>
  <c r="R4726" i="1"/>
  <c r="BL4726" i="1"/>
  <c r="BW4726" i="1"/>
  <c r="CH4726" i="1"/>
  <c r="CS4726" i="1"/>
  <c r="K4727" i="1"/>
  <c r="P4727" i="1"/>
  <c r="R4727" i="1"/>
  <c r="BL4727" i="1"/>
  <c r="BW4727" i="1"/>
  <c r="CH4727" i="1"/>
  <c r="CS4727" i="1"/>
  <c r="K4728" i="1"/>
  <c r="P4728" i="1"/>
  <c r="R4728" i="1"/>
  <c r="BL4728" i="1"/>
  <c r="BW4728" i="1"/>
  <c r="CH4728" i="1"/>
  <c r="CS4728" i="1"/>
  <c r="K4729" i="1"/>
  <c r="P4729" i="1"/>
  <c r="R4729" i="1"/>
  <c r="BL4729" i="1"/>
  <c r="BW4729" i="1"/>
  <c r="CH4729" i="1"/>
  <c r="CS4729" i="1"/>
  <c r="K4730" i="1"/>
  <c r="P4730" i="1"/>
  <c r="R4730" i="1"/>
  <c r="BL4730" i="1"/>
  <c r="BW4730" i="1"/>
  <c r="CH4730" i="1"/>
  <c r="CS4730" i="1"/>
  <c r="K4731" i="1"/>
  <c r="P4731" i="1"/>
  <c r="R4731" i="1"/>
  <c r="BL4731" i="1"/>
  <c r="BW4731" i="1"/>
  <c r="CH4731" i="1"/>
  <c r="CS4731" i="1"/>
  <c r="K4732" i="1"/>
  <c r="P4732" i="1"/>
  <c r="R4732" i="1"/>
  <c r="BL4732" i="1"/>
  <c r="BW4732" i="1"/>
  <c r="CH4732" i="1"/>
  <c r="CS4732" i="1"/>
  <c r="K4733" i="1"/>
  <c r="P4733" i="1"/>
  <c r="R4733" i="1"/>
  <c r="BL4733" i="1"/>
  <c r="BW4733" i="1"/>
  <c r="CH4733" i="1"/>
  <c r="CS4733" i="1"/>
  <c r="K4734" i="1"/>
  <c r="P4734" i="1"/>
  <c r="R4734" i="1"/>
  <c r="BL4734" i="1"/>
  <c r="BW4734" i="1"/>
  <c r="CH4734" i="1"/>
  <c r="CS4734" i="1"/>
  <c r="K4735" i="1"/>
  <c r="P4735" i="1"/>
  <c r="R4735" i="1"/>
  <c r="BL4735" i="1"/>
  <c r="BW4735" i="1"/>
  <c r="CH4735" i="1"/>
  <c r="CS4735" i="1"/>
  <c r="K4736" i="1"/>
  <c r="P4736" i="1"/>
  <c r="R4736" i="1"/>
  <c r="BL4736" i="1"/>
  <c r="BW4736" i="1"/>
  <c r="CH4736" i="1"/>
  <c r="CS4736" i="1"/>
  <c r="K4737" i="1"/>
  <c r="P4737" i="1"/>
  <c r="R4737" i="1"/>
  <c r="BL4737" i="1"/>
  <c r="BW4737" i="1"/>
  <c r="CH4737" i="1"/>
  <c r="CS4737" i="1"/>
  <c r="K4738" i="1"/>
  <c r="P4738" i="1"/>
  <c r="R4738" i="1"/>
  <c r="BL4738" i="1"/>
  <c r="BW4738" i="1"/>
  <c r="CH4738" i="1"/>
  <c r="CS4738" i="1"/>
  <c r="K4739" i="1"/>
  <c r="P4739" i="1"/>
  <c r="R4739" i="1"/>
  <c r="BL4739" i="1"/>
  <c r="BW4739" i="1"/>
  <c r="CH4739" i="1"/>
  <c r="CS4739" i="1"/>
  <c r="K4740" i="1"/>
  <c r="P4740" i="1"/>
  <c r="R4740" i="1"/>
  <c r="BL4740" i="1"/>
  <c r="BW4740" i="1"/>
  <c r="CH4740" i="1"/>
  <c r="CS4740" i="1"/>
  <c r="K4741" i="1"/>
  <c r="P4741" i="1"/>
  <c r="R4741" i="1"/>
  <c r="BL4741" i="1"/>
  <c r="BW4741" i="1"/>
  <c r="CH4741" i="1"/>
  <c r="CS4741" i="1"/>
  <c r="K4742" i="1"/>
  <c r="P4742" i="1"/>
  <c r="R4742" i="1"/>
  <c r="BL4742" i="1"/>
  <c r="BW4742" i="1"/>
  <c r="CH4742" i="1"/>
  <c r="CS4742" i="1"/>
  <c r="K4743" i="1"/>
  <c r="P4743" i="1"/>
  <c r="R4743" i="1"/>
  <c r="BL4743" i="1"/>
  <c r="BW4743" i="1"/>
  <c r="CH4743" i="1"/>
  <c r="CS4743" i="1"/>
  <c r="K4744" i="1"/>
  <c r="P4744" i="1"/>
  <c r="R4744" i="1"/>
  <c r="BL4744" i="1"/>
  <c r="BW4744" i="1"/>
  <c r="CH4744" i="1"/>
  <c r="CS4744" i="1"/>
  <c r="K4745" i="1"/>
  <c r="P4745" i="1"/>
  <c r="R4745" i="1"/>
  <c r="BL4745" i="1"/>
  <c r="BW4745" i="1"/>
  <c r="CH4745" i="1"/>
  <c r="CS4745" i="1"/>
  <c r="K4746" i="1"/>
  <c r="P4746" i="1"/>
  <c r="R4746" i="1"/>
  <c r="BL4746" i="1"/>
  <c r="BW4746" i="1"/>
  <c r="CH4746" i="1"/>
  <c r="CS4746" i="1"/>
  <c r="K4747" i="1"/>
  <c r="P4747" i="1"/>
  <c r="R4747" i="1"/>
  <c r="BL4747" i="1"/>
  <c r="BW4747" i="1"/>
  <c r="CH4747" i="1"/>
  <c r="CS4747" i="1"/>
  <c r="K4748" i="1"/>
  <c r="P4748" i="1"/>
  <c r="R4748" i="1"/>
  <c r="BL4748" i="1"/>
  <c r="BW4748" i="1"/>
  <c r="CH4748" i="1"/>
  <c r="CS4748" i="1"/>
  <c r="K4749" i="1"/>
  <c r="P4749" i="1"/>
  <c r="R4749" i="1"/>
  <c r="BL4749" i="1"/>
  <c r="BW4749" i="1"/>
  <c r="CH4749" i="1"/>
  <c r="CS4749" i="1"/>
  <c r="K4750" i="1"/>
  <c r="P4750" i="1"/>
  <c r="R4750" i="1"/>
  <c r="BL4750" i="1"/>
  <c r="BW4750" i="1"/>
  <c r="CH4750" i="1"/>
  <c r="CS4750" i="1"/>
  <c r="K4751" i="1"/>
  <c r="P4751" i="1"/>
  <c r="R4751" i="1"/>
  <c r="BL4751" i="1"/>
  <c r="BW4751" i="1"/>
  <c r="CH4751" i="1"/>
  <c r="CS4751" i="1"/>
  <c r="K4752" i="1"/>
  <c r="P4752" i="1"/>
  <c r="R4752" i="1"/>
  <c r="BL4752" i="1"/>
  <c r="BW4752" i="1"/>
  <c r="CH4752" i="1"/>
  <c r="CS4752" i="1"/>
  <c r="K4753" i="1"/>
  <c r="P4753" i="1"/>
  <c r="R4753" i="1"/>
  <c r="BL4753" i="1"/>
  <c r="BW4753" i="1"/>
  <c r="CH4753" i="1"/>
  <c r="CS4753" i="1"/>
  <c r="K4754" i="1"/>
  <c r="P4754" i="1"/>
  <c r="R4754" i="1"/>
  <c r="BL4754" i="1"/>
  <c r="BW4754" i="1"/>
  <c r="CH4754" i="1"/>
  <c r="CS4754" i="1"/>
  <c r="K4755" i="1"/>
  <c r="P4755" i="1"/>
  <c r="R4755" i="1"/>
  <c r="BL4755" i="1"/>
  <c r="BW4755" i="1"/>
  <c r="CH4755" i="1"/>
  <c r="CS4755" i="1"/>
  <c r="K4756" i="1"/>
  <c r="P4756" i="1"/>
  <c r="R4756" i="1"/>
  <c r="BL4756" i="1"/>
  <c r="BW4756" i="1"/>
  <c r="CH4756" i="1"/>
  <c r="CS4756" i="1"/>
  <c r="K4757" i="1"/>
  <c r="P4757" i="1"/>
  <c r="R4757" i="1"/>
  <c r="BL4757" i="1"/>
  <c r="BW4757" i="1"/>
  <c r="CH4757" i="1"/>
  <c r="CS4757" i="1"/>
  <c r="K4758" i="1"/>
  <c r="P4758" i="1"/>
  <c r="R4758" i="1"/>
  <c r="BL4758" i="1"/>
  <c r="BW4758" i="1"/>
  <c r="CH4758" i="1"/>
  <c r="CS4758" i="1"/>
  <c r="K4759" i="1"/>
  <c r="P4759" i="1"/>
  <c r="R4759" i="1"/>
  <c r="BL4759" i="1"/>
  <c r="BW4759" i="1"/>
  <c r="CH4759" i="1"/>
  <c r="CS4759" i="1"/>
  <c r="K4760" i="1"/>
  <c r="P4760" i="1"/>
  <c r="R4760" i="1"/>
  <c r="BL4760" i="1"/>
  <c r="BW4760" i="1"/>
  <c r="CH4760" i="1"/>
  <c r="CS4760" i="1"/>
  <c r="K4761" i="1"/>
  <c r="P4761" i="1"/>
  <c r="R4761" i="1"/>
  <c r="BL4761" i="1"/>
  <c r="BW4761" i="1"/>
  <c r="CH4761" i="1"/>
  <c r="CS4761" i="1"/>
  <c r="K4762" i="1"/>
  <c r="P4762" i="1"/>
  <c r="R4762" i="1"/>
  <c r="BL4762" i="1"/>
  <c r="BW4762" i="1"/>
  <c r="CH4762" i="1"/>
  <c r="CS4762" i="1"/>
  <c r="K4763" i="1"/>
  <c r="P4763" i="1"/>
  <c r="R4763" i="1"/>
  <c r="BL4763" i="1"/>
  <c r="BW4763" i="1"/>
  <c r="CH4763" i="1"/>
  <c r="CS4763" i="1"/>
  <c r="K4764" i="1"/>
  <c r="P4764" i="1"/>
  <c r="R4764" i="1"/>
  <c r="BL4764" i="1"/>
  <c r="BW4764" i="1"/>
  <c r="CH4764" i="1"/>
  <c r="CS4764" i="1"/>
  <c r="K4765" i="1"/>
  <c r="P4765" i="1"/>
  <c r="R4765" i="1"/>
  <c r="BL4765" i="1"/>
  <c r="BW4765" i="1"/>
  <c r="CH4765" i="1"/>
  <c r="CS4765" i="1"/>
  <c r="K4766" i="1"/>
  <c r="P4766" i="1"/>
  <c r="R4766" i="1"/>
  <c r="BL4766" i="1"/>
  <c r="BW4766" i="1"/>
  <c r="CH4766" i="1"/>
  <c r="CS4766" i="1"/>
  <c r="K4767" i="1"/>
  <c r="P4767" i="1"/>
  <c r="R4767" i="1"/>
  <c r="BL4767" i="1"/>
  <c r="BW4767" i="1"/>
  <c r="CH4767" i="1"/>
  <c r="CS4767" i="1"/>
  <c r="K4768" i="1"/>
  <c r="P4768" i="1"/>
  <c r="R4768" i="1"/>
  <c r="BL4768" i="1"/>
  <c r="BW4768" i="1"/>
  <c r="CH4768" i="1"/>
  <c r="CS4768" i="1"/>
  <c r="K4769" i="1"/>
  <c r="P4769" i="1"/>
  <c r="R4769" i="1"/>
  <c r="BL4769" i="1"/>
  <c r="BW4769" i="1"/>
  <c r="CH4769" i="1"/>
  <c r="CS4769" i="1"/>
  <c r="K4770" i="1"/>
  <c r="P4770" i="1"/>
  <c r="R4770" i="1"/>
  <c r="BL4770" i="1"/>
  <c r="BW4770" i="1"/>
  <c r="CH4770" i="1"/>
  <c r="CS4770" i="1"/>
  <c r="K4771" i="1"/>
  <c r="P4771" i="1"/>
  <c r="R4771" i="1"/>
  <c r="BL4771" i="1"/>
  <c r="BW4771" i="1"/>
  <c r="CH4771" i="1"/>
  <c r="CS4771" i="1"/>
  <c r="K4772" i="1"/>
  <c r="P4772" i="1"/>
  <c r="R4772" i="1"/>
  <c r="BL4772" i="1"/>
  <c r="BW4772" i="1"/>
  <c r="CH4772" i="1"/>
  <c r="CS4772" i="1"/>
  <c r="K4773" i="1"/>
  <c r="P4773" i="1"/>
  <c r="R4773" i="1"/>
  <c r="BL4773" i="1"/>
  <c r="BW4773" i="1"/>
  <c r="CH4773" i="1"/>
  <c r="CS4773" i="1"/>
  <c r="K4774" i="1"/>
  <c r="P4774" i="1"/>
  <c r="R4774" i="1"/>
  <c r="BL4774" i="1"/>
  <c r="BW4774" i="1"/>
  <c r="CH4774" i="1"/>
  <c r="CS4774" i="1"/>
  <c r="K4775" i="1"/>
  <c r="P4775" i="1"/>
  <c r="R4775" i="1"/>
  <c r="BL4775" i="1"/>
  <c r="BQ4775" i="1"/>
  <c r="BW4775" i="1"/>
  <c r="CH4775" i="1"/>
  <c r="CS4775" i="1"/>
  <c r="K4776" i="1"/>
  <c r="P4776" i="1"/>
  <c r="R4776" i="1"/>
  <c r="BL4776" i="1"/>
  <c r="BW4776" i="1"/>
  <c r="CH4776" i="1"/>
  <c r="CS4776" i="1"/>
  <c r="K4777" i="1"/>
  <c r="P4777" i="1"/>
  <c r="R4777" i="1"/>
  <c r="BL4777" i="1"/>
  <c r="BW4777" i="1"/>
  <c r="CH4777" i="1"/>
  <c r="CS4777" i="1"/>
  <c r="K4778" i="1"/>
  <c r="P4778" i="1"/>
  <c r="R4778" i="1"/>
  <c r="BL4778" i="1"/>
  <c r="BW4778" i="1"/>
  <c r="CH4778" i="1"/>
  <c r="CS4778" i="1"/>
  <c r="K4779" i="1"/>
  <c r="P4779" i="1"/>
  <c r="R4779" i="1"/>
  <c r="BL4779" i="1"/>
  <c r="BW4779" i="1"/>
  <c r="CH4779" i="1"/>
  <c r="CS4779" i="1"/>
  <c r="K4780" i="1"/>
  <c r="P4780" i="1"/>
  <c r="R4780" i="1"/>
  <c r="BL4780" i="1"/>
  <c r="BW4780" i="1"/>
  <c r="CH4780" i="1"/>
  <c r="CS4780" i="1"/>
  <c r="K4781" i="1"/>
  <c r="P4781" i="1"/>
  <c r="R4781" i="1"/>
  <c r="BL4781" i="1"/>
  <c r="BW4781" i="1"/>
  <c r="CH4781" i="1"/>
  <c r="CS4781" i="1"/>
  <c r="K4782" i="1"/>
  <c r="P4782" i="1"/>
  <c r="R4782" i="1"/>
  <c r="BL4782" i="1"/>
  <c r="BW4782" i="1"/>
  <c r="CH4782" i="1"/>
  <c r="CS4782" i="1"/>
  <c r="K4783" i="1"/>
  <c r="P4783" i="1"/>
  <c r="R4783" i="1"/>
  <c r="BL4783" i="1"/>
  <c r="BW4783" i="1"/>
  <c r="CH4783" i="1"/>
  <c r="CS4783" i="1"/>
  <c r="K4784" i="1"/>
  <c r="P4784" i="1"/>
  <c r="R4784" i="1"/>
  <c r="BL4784" i="1"/>
  <c r="BW4784" i="1"/>
  <c r="CH4784" i="1"/>
  <c r="CS4784" i="1"/>
  <c r="K4785" i="1"/>
  <c r="P4785" i="1"/>
  <c r="R4785" i="1"/>
  <c r="BL4785" i="1"/>
  <c r="BW4785" i="1"/>
  <c r="CH4785" i="1"/>
  <c r="CS4785" i="1"/>
  <c r="K4786" i="1"/>
  <c r="P4786" i="1"/>
  <c r="R4786" i="1"/>
  <c r="BL4786" i="1"/>
  <c r="BW4786" i="1"/>
  <c r="CH4786" i="1"/>
  <c r="CS4786" i="1"/>
  <c r="K4787" i="1"/>
  <c r="P4787" i="1"/>
  <c r="R4787" i="1"/>
  <c r="BL4787" i="1"/>
  <c r="BW4787" i="1"/>
  <c r="CH4787" i="1"/>
  <c r="CS4787" i="1"/>
  <c r="K4788" i="1"/>
  <c r="P4788" i="1"/>
  <c r="R4788" i="1"/>
  <c r="BL4788" i="1"/>
  <c r="BW4788" i="1"/>
  <c r="CH4788" i="1"/>
  <c r="CS4788" i="1"/>
  <c r="K4789" i="1"/>
  <c r="P4789" i="1"/>
  <c r="R4789" i="1"/>
  <c r="BL4789" i="1"/>
  <c r="BW4789" i="1"/>
  <c r="CH4789" i="1"/>
  <c r="CS4789" i="1"/>
  <c r="K4790" i="1"/>
  <c r="P4790" i="1"/>
  <c r="R4790" i="1"/>
  <c r="BL4790" i="1"/>
  <c r="BW4790" i="1"/>
  <c r="CH4790" i="1"/>
  <c r="CS4790" i="1"/>
  <c r="K4791" i="1"/>
  <c r="P4791" i="1"/>
  <c r="R4791" i="1"/>
  <c r="BL4791" i="1"/>
  <c r="BW4791" i="1"/>
  <c r="CH4791" i="1"/>
  <c r="CS4791" i="1"/>
  <c r="K4792" i="1"/>
  <c r="P4792" i="1"/>
  <c r="R4792" i="1"/>
  <c r="BL4792" i="1"/>
  <c r="BW4792" i="1"/>
  <c r="CH4792" i="1"/>
  <c r="CS4792" i="1"/>
  <c r="K4793" i="1"/>
  <c r="P4793" i="1"/>
  <c r="R4793" i="1"/>
  <c r="BL4793" i="1"/>
  <c r="BW4793" i="1"/>
  <c r="CH4793" i="1"/>
  <c r="CS4793" i="1"/>
  <c r="K4794" i="1"/>
  <c r="P4794" i="1"/>
  <c r="R4794" i="1"/>
  <c r="BL4794" i="1"/>
  <c r="BW4794" i="1"/>
  <c r="CH4794" i="1"/>
  <c r="CS4794" i="1"/>
  <c r="K4795" i="1"/>
  <c r="P4795" i="1"/>
  <c r="R4795" i="1"/>
  <c r="BL4795" i="1"/>
  <c r="BW4795" i="1"/>
  <c r="CH4795" i="1"/>
  <c r="CS4795" i="1"/>
  <c r="K4796" i="1"/>
  <c r="P4796" i="1"/>
  <c r="R4796" i="1"/>
  <c r="BL4796" i="1"/>
  <c r="BW4796" i="1"/>
  <c r="CH4796" i="1"/>
  <c r="CS4796" i="1"/>
  <c r="K4797" i="1"/>
  <c r="P4797" i="1"/>
  <c r="R4797" i="1"/>
  <c r="BL4797" i="1"/>
  <c r="BW4797" i="1"/>
  <c r="CH4797" i="1"/>
  <c r="CS4797" i="1"/>
  <c r="K4798" i="1"/>
  <c r="P4798" i="1"/>
  <c r="R4798" i="1"/>
  <c r="BL4798" i="1"/>
  <c r="BW4798" i="1"/>
  <c r="CH4798" i="1"/>
  <c r="CS4798" i="1"/>
  <c r="K4799" i="1"/>
  <c r="P4799" i="1"/>
  <c r="R4799" i="1"/>
  <c r="BL4799" i="1"/>
  <c r="BW4799" i="1"/>
  <c r="CH4799" i="1"/>
  <c r="CS4799" i="1"/>
  <c r="K4800" i="1"/>
  <c r="P4800" i="1"/>
  <c r="R4800" i="1"/>
  <c r="BL4800" i="1"/>
  <c r="BW4800" i="1"/>
  <c r="CH4800" i="1"/>
  <c r="CS4800" i="1"/>
  <c r="K4801" i="1"/>
  <c r="P4801" i="1"/>
  <c r="R4801" i="1"/>
  <c r="BL4801" i="1"/>
  <c r="BW4801" i="1"/>
  <c r="CH4801" i="1"/>
  <c r="CS4801" i="1"/>
  <c r="K4802" i="1"/>
  <c r="P4802" i="1"/>
  <c r="R4802" i="1"/>
  <c r="BL4802" i="1"/>
  <c r="BW4802" i="1"/>
  <c r="CH4802" i="1"/>
  <c r="CS4802" i="1"/>
  <c r="K4803" i="1"/>
  <c r="P4803" i="1"/>
  <c r="R4803" i="1"/>
  <c r="BL4803" i="1"/>
  <c r="BW4803" i="1"/>
  <c r="CH4803" i="1"/>
  <c r="CS4803" i="1"/>
  <c r="K4804" i="1"/>
  <c r="P4804" i="1"/>
  <c r="R4804" i="1"/>
  <c r="BL4804" i="1"/>
  <c r="BW4804" i="1"/>
  <c r="CH4804" i="1"/>
  <c r="CS4804" i="1"/>
  <c r="K4805" i="1"/>
  <c r="P4805" i="1"/>
  <c r="R4805" i="1"/>
  <c r="BL4805" i="1"/>
  <c r="BQ4805" i="1"/>
  <c r="BW4805" i="1"/>
  <c r="CH4805" i="1"/>
  <c r="CS4805" i="1"/>
  <c r="K4806" i="1"/>
  <c r="P4806" i="1"/>
  <c r="R4806" i="1"/>
  <c r="BL4806" i="1"/>
  <c r="BW4806" i="1"/>
  <c r="CH4806" i="1"/>
  <c r="CS4806" i="1"/>
  <c r="K4807" i="1"/>
  <c r="P4807" i="1"/>
  <c r="R4807" i="1"/>
  <c r="BL4807" i="1"/>
  <c r="BW4807" i="1"/>
  <c r="CH4807" i="1"/>
  <c r="CS4807" i="1"/>
  <c r="K4808" i="1"/>
  <c r="P4808" i="1"/>
  <c r="R4808" i="1"/>
  <c r="BL4808" i="1"/>
  <c r="BW4808" i="1"/>
  <c r="CH4808" i="1"/>
  <c r="CS4808" i="1"/>
  <c r="K4809" i="1"/>
  <c r="P4809" i="1"/>
  <c r="R4809" i="1"/>
  <c r="BL4809" i="1"/>
  <c r="BW4809" i="1"/>
  <c r="CH4809" i="1"/>
  <c r="CS4809" i="1"/>
  <c r="K4810" i="1"/>
  <c r="P4810" i="1"/>
  <c r="R4810" i="1"/>
  <c r="BL4810" i="1"/>
  <c r="BW4810" i="1"/>
  <c r="CH4810" i="1"/>
  <c r="CS4810" i="1"/>
  <c r="K4811" i="1"/>
  <c r="P4811" i="1"/>
  <c r="R4811" i="1"/>
  <c r="BL4811" i="1"/>
  <c r="BW4811" i="1"/>
  <c r="CH4811" i="1"/>
  <c r="CS4811" i="1"/>
  <c r="K4812" i="1"/>
  <c r="P4812" i="1"/>
  <c r="R4812" i="1"/>
  <c r="BL4812" i="1"/>
  <c r="BW4812" i="1"/>
  <c r="CH4812" i="1"/>
  <c r="CS4812" i="1"/>
  <c r="K4813" i="1"/>
  <c r="P4813" i="1"/>
  <c r="R4813" i="1"/>
  <c r="BL4813" i="1"/>
  <c r="BW4813" i="1"/>
  <c r="CH4813" i="1"/>
  <c r="CS4813" i="1"/>
  <c r="K4814" i="1"/>
  <c r="P4814" i="1"/>
  <c r="R4814" i="1"/>
  <c r="BL4814" i="1"/>
  <c r="BW4814" i="1"/>
  <c r="CH4814" i="1"/>
  <c r="CS4814" i="1"/>
  <c r="K4815" i="1"/>
  <c r="P4815" i="1"/>
  <c r="R4815" i="1"/>
  <c r="BL4815" i="1"/>
  <c r="BW4815" i="1"/>
  <c r="CH4815" i="1"/>
  <c r="CS4815" i="1"/>
  <c r="K4816" i="1"/>
  <c r="P4816" i="1"/>
  <c r="R4816" i="1"/>
  <c r="BL4816" i="1"/>
  <c r="BW4816" i="1"/>
  <c r="CH4816" i="1"/>
  <c r="CS4816" i="1"/>
  <c r="K4817" i="1"/>
  <c r="P4817" i="1"/>
  <c r="R4817" i="1"/>
  <c r="BL4817" i="1"/>
  <c r="BW4817" i="1"/>
  <c r="CH4817" i="1"/>
  <c r="CS4817" i="1"/>
  <c r="K4818" i="1"/>
  <c r="P4818" i="1"/>
  <c r="R4818" i="1"/>
  <c r="BL4818" i="1"/>
  <c r="BW4818" i="1"/>
  <c r="CH4818" i="1"/>
  <c r="CS4818" i="1"/>
  <c r="K4819" i="1"/>
  <c r="P4819" i="1"/>
  <c r="R4819" i="1"/>
  <c r="BL4819" i="1"/>
  <c r="BW4819" i="1"/>
  <c r="CH4819" i="1"/>
  <c r="CS4819" i="1"/>
  <c r="K4820" i="1"/>
  <c r="P4820" i="1"/>
  <c r="R4820" i="1"/>
  <c r="BL4820" i="1"/>
  <c r="BW4820" i="1"/>
  <c r="CH4820" i="1"/>
  <c r="CS4820" i="1"/>
  <c r="K4821" i="1"/>
  <c r="P4821" i="1"/>
  <c r="R4821" i="1"/>
  <c r="BL4821" i="1"/>
  <c r="BW4821" i="1"/>
  <c r="CH4821" i="1"/>
  <c r="CS4821" i="1"/>
  <c r="K4822" i="1"/>
  <c r="P4822" i="1"/>
  <c r="R4822" i="1"/>
  <c r="BL4822" i="1"/>
  <c r="BW4822" i="1"/>
  <c r="CH4822" i="1"/>
  <c r="CS4822" i="1"/>
  <c r="K4823" i="1"/>
  <c r="P4823" i="1"/>
  <c r="R4823" i="1"/>
  <c r="BL4823" i="1"/>
  <c r="BW4823" i="1"/>
  <c r="CH4823" i="1"/>
  <c r="CS4823" i="1"/>
  <c r="K4824" i="1"/>
  <c r="P4824" i="1"/>
  <c r="R4824" i="1"/>
  <c r="BL4824" i="1"/>
  <c r="BW4824" i="1"/>
  <c r="CH4824" i="1"/>
  <c r="CS4824" i="1"/>
  <c r="K4825" i="1"/>
  <c r="P4825" i="1"/>
  <c r="R4825" i="1"/>
  <c r="BL4825" i="1"/>
  <c r="BW4825" i="1"/>
  <c r="CH4825" i="1"/>
  <c r="CS4825" i="1"/>
  <c r="K4826" i="1"/>
  <c r="P4826" i="1"/>
  <c r="R4826" i="1"/>
  <c r="BL4826" i="1"/>
  <c r="BW4826" i="1"/>
  <c r="CH4826" i="1"/>
  <c r="CS4826" i="1"/>
  <c r="K4827" i="1"/>
  <c r="P4827" i="1"/>
  <c r="R4827" i="1"/>
  <c r="BL4827" i="1"/>
  <c r="BW4827" i="1"/>
  <c r="CH4827" i="1"/>
  <c r="CS4827" i="1"/>
  <c r="K4828" i="1"/>
  <c r="P4828" i="1"/>
  <c r="R4828" i="1"/>
  <c r="BL4828" i="1"/>
  <c r="BW4828" i="1"/>
  <c r="CH4828" i="1"/>
  <c r="CS4828" i="1"/>
  <c r="K4829" i="1"/>
  <c r="P4829" i="1"/>
  <c r="R4829" i="1"/>
  <c r="BL4829" i="1"/>
  <c r="BW4829" i="1"/>
  <c r="CH4829" i="1"/>
  <c r="CS4829" i="1"/>
  <c r="K4830" i="1"/>
  <c r="P4830" i="1"/>
  <c r="R4830" i="1"/>
  <c r="BL4830" i="1"/>
  <c r="BW4830" i="1"/>
  <c r="CH4830" i="1"/>
  <c r="CS4830" i="1"/>
  <c r="K4831" i="1"/>
  <c r="P4831" i="1"/>
  <c r="R4831" i="1"/>
  <c r="BL4831" i="1"/>
  <c r="BW4831" i="1"/>
  <c r="CH4831" i="1"/>
  <c r="CS4831" i="1"/>
  <c r="K4832" i="1"/>
  <c r="P4832" i="1"/>
  <c r="R4832" i="1"/>
  <c r="BL4832" i="1"/>
  <c r="BW4832" i="1"/>
  <c r="CH4832" i="1"/>
  <c r="CS4832" i="1"/>
  <c r="K4833" i="1"/>
  <c r="P4833" i="1"/>
  <c r="R4833" i="1"/>
  <c r="BL4833" i="1"/>
  <c r="BW4833" i="1"/>
  <c r="CH4833" i="1"/>
  <c r="CS4833" i="1"/>
  <c r="K4834" i="1"/>
  <c r="P4834" i="1"/>
  <c r="R4834" i="1"/>
  <c r="BL4834" i="1"/>
  <c r="BW4834" i="1"/>
  <c r="CH4834" i="1"/>
  <c r="CS4834" i="1"/>
  <c r="K4835" i="1"/>
  <c r="P4835" i="1"/>
  <c r="R4835" i="1"/>
  <c r="BL4835" i="1"/>
  <c r="BW4835" i="1"/>
  <c r="CH4835" i="1"/>
  <c r="CS4835" i="1"/>
  <c r="K4836" i="1"/>
  <c r="P4836" i="1"/>
  <c r="R4836" i="1"/>
  <c r="BL4836" i="1"/>
  <c r="BW4836" i="1"/>
  <c r="CH4836" i="1"/>
  <c r="CS4836" i="1"/>
  <c r="K4837" i="1"/>
  <c r="P4837" i="1"/>
  <c r="R4837" i="1"/>
  <c r="BL4837" i="1"/>
  <c r="BW4837" i="1"/>
  <c r="CH4837" i="1"/>
  <c r="CS4837" i="1"/>
  <c r="K4838" i="1"/>
  <c r="P4838" i="1"/>
  <c r="R4838" i="1"/>
  <c r="BL4838" i="1"/>
  <c r="BW4838" i="1"/>
  <c r="CH4838" i="1"/>
  <c r="CS4838" i="1"/>
  <c r="K4839" i="1"/>
  <c r="P4839" i="1"/>
  <c r="R4839" i="1"/>
  <c r="BL4839" i="1"/>
  <c r="BW4839" i="1"/>
  <c r="CH4839" i="1"/>
  <c r="CS4839" i="1"/>
  <c r="K4840" i="1"/>
  <c r="P4840" i="1"/>
  <c r="R4840" i="1"/>
  <c r="BL4840" i="1"/>
  <c r="BW4840" i="1"/>
  <c r="CH4840" i="1"/>
  <c r="CS4840" i="1"/>
  <c r="K4841" i="1"/>
  <c r="P4841" i="1"/>
  <c r="R4841" i="1"/>
  <c r="BL4841" i="1"/>
  <c r="BW4841" i="1"/>
  <c r="CH4841" i="1"/>
  <c r="CS4841" i="1"/>
  <c r="K4842" i="1"/>
  <c r="P4842" i="1"/>
  <c r="R4842" i="1"/>
  <c r="BL4842" i="1"/>
  <c r="BW4842" i="1"/>
  <c r="CH4842" i="1"/>
  <c r="CS4842" i="1"/>
  <c r="K4843" i="1"/>
  <c r="P4843" i="1"/>
  <c r="R4843" i="1"/>
  <c r="BL4843" i="1"/>
  <c r="BW4843" i="1"/>
  <c r="CH4843" i="1"/>
  <c r="CS4843" i="1"/>
  <c r="K4844" i="1"/>
  <c r="P4844" i="1"/>
  <c r="R4844" i="1"/>
  <c r="BL4844" i="1"/>
  <c r="BW4844" i="1"/>
  <c r="CH4844" i="1"/>
  <c r="CS4844" i="1"/>
  <c r="K4845" i="1"/>
  <c r="P4845" i="1"/>
  <c r="R4845" i="1"/>
  <c r="BL4845" i="1"/>
  <c r="BW4845" i="1"/>
  <c r="CH4845" i="1"/>
  <c r="CS4845" i="1"/>
  <c r="K4846" i="1"/>
  <c r="P4846" i="1"/>
  <c r="R4846" i="1"/>
  <c r="BL4846" i="1"/>
  <c r="BW4846" i="1"/>
  <c r="CH4846" i="1"/>
  <c r="CS4846" i="1"/>
  <c r="K4847" i="1"/>
  <c r="P4847" i="1"/>
  <c r="R4847" i="1"/>
  <c r="BL4847" i="1"/>
  <c r="BW4847" i="1"/>
  <c r="CH4847" i="1"/>
  <c r="CS4847" i="1"/>
  <c r="K4848" i="1"/>
  <c r="P4848" i="1"/>
  <c r="R4848" i="1"/>
  <c r="BL4848" i="1"/>
  <c r="BQ4848" i="1"/>
  <c r="BW4848" i="1"/>
  <c r="CH4848" i="1"/>
  <c r="CS4848" i="1"/>
  <c r="K4849" i="1"/>
  <c r="P4849" i="1"/>
  <c r="R4849" i="1"/>
  <c r="BL4849" i="1"/>
  <c r="BW4849" i="1"/>
  <c r="CH4849" i="1"/>
  <c r="CS4849" i="1"/>
  <c r="K4850" i="1"/>
  <c r="P4850" i="1"/>
  <c r="R4850" i="1"/>
  <c r="BL4850" i="1"/>
  <c r="BW4850" i="1"/>
  <c r="CH4850" i="1"/>
  <c r="CS4850" i="1"/>
  <c r="K4851" i="1"/>
  <c r="P4851" i="1"/>
  <c r="R4851" i="1"/>
  <c r="BL4851" i="1"/>
  <c r="BW4851" i="1"/>
  <c r="CH4851" i="1"/>
  <c r="CS4851" i="1"/>
  <c r="K4852" i="1"/>
  <c r="P4852" i="1"/>
  <c r="R4852" i="1"/>
  <c r="BL4852" i="1"/>
  <c r="BW4852" i="1"/>
  <c r="CH4852" i="1"/>
  <c r="CS4852" i="1"/>
  <c r="K4853" i="1"/>
  <c r="P4853" i="1"/>
  <c r="R4853" i="1"/>
  <c r="BL4853" i="1"/>
  <c r="BW4853" i="1"/>
  <c r="CH4853" i="1"/>
  <c r="CS4853" i="1"/>
  <c r="K4854" i="1"/>
  <c r="P4854" i="1"/>
  <c r="R4854" i="1"/>
  <c r="BL4854" i="1"/>
  <c r="BW4854" i="1"/>
  <c r="CH4854" i="1"/>
  <c r="CS4854" i="1"/>
  <c r="K4855" i="1"/>
  <c r="P4855" i="1"/>
  <c r="R4855" i="1"/>
  <c r="BL4855" i="1"/>
  <c r="BW4855" i="1"/>
  <c r="CH4855" i="1"/>
  <c r="CS4855" i="1"/>
  <c r="K4856" i="1"/>
  <c r="P4856" i="1"/>
  <c r="R4856" i="1"/>
  <c r="BL4856" i="1"/>
  <c r="BW4856" i="1"/>
  <c r="CH4856" i="1"/>
  <c r="CS4856" i="1"/>
  <c r="K4857" i="1"/>
  <c r="P4857" i="1"/>
  <c r="R4857" i="1"/>
  <c r="BL4857" i="1"/>
  <c r="BW4857" i="1"/>
  <c r="CH4857" i="1"/>
  <c r="CS4857" i="1"/>
  <c r="K4858" i="1"/>
  <c r="P4858" i="1"/>
  <c r="R4858" i="1"/>
  <c r="BL4858" i="1"/>
  <c r="BW4858" i="1"/>
  <c r="CH4858" i="1"/>
  <c r="CS4858" i="1"/>
  <c r="K4859" i="1"/>
  <c r="P4859" i="1"/>
  <c r="R4859" i="1"/>
  <c r="BL4859" i="1"/>
  <c r="BW4859" i="1"/>
  <c r="CH4859" i="1"/>
  <c r="CS4859" i="1"/>
  <c r="K4860" i="1"/>
  <c r="P4860" i="1"/>
  <c r="R4860" i="1"/>
  <c r="BL4860" i="1"/>
  <c r="BW4860" i="1"/>
  <c r="CH4860" i="1"/>
  <c r="CS4860" i="1"/>
  <c r="K4861" i="1"/>
  <c r="P4861" i="1"/>
  <c r="R4861" i="1"/>
  <c r="BL4861" i="1"/>
  <c r="BW4861" i="1"/>
  <c r="CH4861" i="1"/>
  <c r="CS4861" i="1"/>
  <c r="K4862" i="1"/>
  <c r="P4862" i="1"/>
  <c r="R4862" i="1"/>
  <c r="BL4862" i="1"/>
  <c r="BW4862" i="1"/>
  <c r="CH4862" i="1"/>
  <c r="CS4862" i="1"/>
  <c r="K4863" i="1"/>
  <c r="P4863" i="1"/>
  <c r="R4863" i="1"/>
  <c r="BL4863" i="1"/>
  <c r="BW4863" i="1"/>
  <c r="CH4863" i="1"/>
  <c r="CS4863" i="1"/>
  <c r="K4864" i="1"/>
  <c r="P4864" i="1"/>
  <c r="R4864" i="1"/>
  <c r="BL4864" i="1"/>
  <c r="BW4864" i="1"/>
  <c r="CH4864" i="1"/>
  <c r="CS4864" i="1"/>
  <c r="K4865" i="1"/>
  <c r="P4865" i="1"/>
  <c r="R4865" i="1"/>
  <c r="BL4865" i="1"/>
  <c r="BW4865" i="1"/>
  <c r="CH4865" i="1"/>
  <c r="CS4865" i="1"/>
  <c r="K4866" i="1"/>
  <c r="P4866" i="1"/>
  <c r="R4866" i="1"/>
  <c r="BL4866" i="1"/>
  <c r="BW4866" i="1"/>
  <c r="CH4866" i="1"/>
  <c r="CS4866" i="1"/>
  <c r="K4867" i="1"/>
  <c r="P4867" i="1"/>
  <c r="R4867" i="1"/>
  <c r="BL4867" i="1"/>
  <c r="BW4867" i="1"/>
  <c r="CH4867" i="1"/>
  <c r="CS4867" i="1"/>
  <c r="K4868" i="1"/>
  <c r="P4868" i="1"/>
  <c r="R4868" i="1"/>
  <c r="BL4868" i="1"/>
  <c r="BW4868" i="1"/>
  <c r="CH4868" i="1"/>
  <c r="CS4868" i="1"/>
  <c r="K4869" i="1"/>
  <c r="P4869" i="1"/>
  <c r="R4869" i="1"/>
  <c r="BL4869" i="1"/>
  <c r="BW4869" i="1"/>
  <c r="CH4869" i="1"/>
  <c r="CS4869" i="1"/>
  <c r="K4870" i="1"/>
  <c r="P4870" i="1"/>
  <c r="R4870" i="1"/>
  <c r="BL4870" i="1"/>
  <c r="BW4870" i="1"/>
  <c r="CH4870" i="1"/>
  <c r="CS4870" i="1"/>
  <c r="K4871" i="1"/>
  <c r="P4871" i="1"/>
  <c r="R4871" i="1"/>
  <c r="BL4871" i="1"/>
  <c r="BW4871" i="1"/>
  <c r="CH4871" i="1"/>
  <c r="CS4871" i="1"/>
  <c r="K4872" i="1"/>
  <c r="P4872" i="1"/>
  <c r="R4872" i="1"/>
  <c r="BL4872" i="1"/>
  <c r="BW4872" i="1"/>
  <c r="CH4872" i="1"/>
  <c r="CS4872" i="1"/>
  <c r="K4873" i="1"/>
  <c r="P4873" i="1"/>
  <c r="R4873" i="1"/>
  <c r="BL4873" i="1"/>
  <c r="BW4873" i="1"/>
  <c r="CH4873" i="1"/>
  <c r="CS4873" i="1"/>
  <c r="K4874" i="1"/>
  <c r="P4874" i="1"/>
  <c r="R4874" i="1"/>
  <c r="BL4874" i="1"/>
  <c r="BW4874" i="1"/>
  <c r="CH4874" i="1"/>
  <c r="CS4874" i="1"/>
  <c r="K4875" i="1"/>
  <c r="P4875" i="1"/>
  <c r="R4875" i="1"/>
  <c r="BL4875" i="1"/>
  <c r="BW4875" i="1"/>
  <c r="CH4875" i="1"/>
  <c r="CS4875" i="1"/>
  <c r="K4876" i="1"/>
  <c r="P4876" i="1"/>
  <c r="R4876" i="1"/>
  <c r="BL4876" i="1"/>
  <c r="BW4876" i="1"/>
  <c r="CH4876" i="1"/>
  <c r="CS4876" i="1"/>
  <c r="K4877" i="1"/>
  <c r="P4877" i="1"/>
  <c r="R4877" i="1"/>
  <c r="BL4877" i="1"/>
  <c r="BW4877" i="1"/>
  <c r="CH4877" i="1"/>
  <c r="CS4877" i="1"/>
  <c r="K4878" i="1"/>
  <c r="P4878" i="1"/>
  <c r="R4878" i="1"/>
  <c r="BL4878" i="1"/>
  <c r="BW4878" i="1"/>
  <c r="CH4878" i="1"/>
  <c r="CS4878" i="1"/>
  <c r="K4879" i="1"/>
  <c r="P4879" i="1"/>
  <c r="R4879" i="1"/>
  <c r="BL4879" i="1"/>
  <c r="BW4879" i="1"/>
  <c r="CH4879" i="1"/>
  <c r="CS4879" i="1"/>
  <c r="K4880" i="1"/>
  <c r="P4880" i="1"/>
  <c r="R4880" i="1"/>
  <c r="BL4880" i="1"/>
  <c r="BW4880" i="1"/>
  <c r="CH4880" i="1"/>
  <c r="CS4880" i="1"/>
  <c r="K4881" i="1"/>
  <c r="P4881" i="1"/>
  <c r="R4881" i="1"/>
  <c r="BL4881" i="1"/>
  <c r="BW4881" i="1"/>
  <c r="CH4881" i="1"/>
  <c r="CS4881" i="1"/>
  <c r="K4882" i="1"/>
  <c r="P4882" i="1"/>
  <c r="R4882" i="1"/>
  <c r="BL4882" i="1"/>
  <c r="BW4882" i="1"/>
  <c r="CH4882" i="1"/>
  <c r="CS4882" i="1"/>
  <c r="K4883" i="1"/>
  <c r="P4883" i="1"/>
  <c r="R4883" i="1"/>
  <c r="BL4883" i="1"/>
  <c r="BW4883" i="1"/>
  <c r="CH4883" i="1"/>
  <c r="CS4883" i="1"/>
  <c r="K4884" i="1"/>
  <c r="P4884" i="1"/>
  <c r="R4884" i="1"/>
  <c r="BL4884" i="1"/>
  <c r="BW4884" i="1"/>
  <c r="CH4884" i="1"/>
  <c r="CS4884" i="1"/>
  <c r="K4885" i="1"/>
  <c r="P4885" i="1"/>
  <c r="R4885" i="1"/>
  <c r="BL4885" i="1"/>
  <c r="BW4885" i="1"/>
  <c r="CH4885" i="1"/>
  <c r="CS4885" i="1"/>
  <c r="K4886" i="1"/>
  <c r="P4886" i="1"/>
  <c r="R4886" i="1"/>
  <c r="BL4886" i="1"/>
  <c r="BW4886" i="1"/>
  <c r="CH4886" i="1"/>
  <c r="CS4886" i="1"/>
  <c r="K4887" i="1"/>
  <c r="P4887" i="1"/>
  <c r="R4887" i="1"/>
  <c r="BL4887" i="1"/>
  <c r="BW4887" i="1"/>
  <c r="CH4887" i="1"/>
  <c r="CS4887" i="1"/>
  <c r="K4888" i="1"/>
  <c r="P4888" i="1"/>
  <c r="R4888" i="1"/>
  <c r="BL4888" i="1"/>
  <c r="BW4888" i="1"/>
  <c r="CH4888" i="1"/>
  <c r="CS4888" i="1"/>
  <c r="K4889" i="1"/>
  <c r="P4889" i="1"/>
  <c r="R4889" i="1"/>
  <c r="BL4889" i="1"/>
  <c r="BW4889" i="1"/>
  <c r="CH4889" i="1"/>
  <c r="CS4889" i="1"/>
  <c r="K4890" i="1"/>
  <c r="P4890" i="1"/>
  <c r="R4890" i="1"/>
  <c r="BL4890" i="1"/>
  <c r="BW4890" i="1"/>
  <c r="CH4890" i="1"/>
  <c r="CS4890" i="1"/>
  <c r="K4891" i="1"/>
  <c r="P4891" i="1"/>
  <c r="R4891" i="1"/>
  <c r="BL4891" i="1"/>
  <c r="BW4891" i="1"/>
  <c r="CH4891" i="1"/>
  <c r="CS4891" i="1"/>
  <c r="K4892" i="1"/>
  <c r="P4892" i="1"/>
  <c r="R4892" i="1"/>
  <c r="BL4892" i="1"/>
  <c r="BW4892" i="1"/>
  <c r="CH4892" i="1"/>
  <c r="CS4892" i="1"/>
  <c r="K4893" i="1"/>
  <c r="P4893" i="1"/>
  <c r="R4893" i="1"/>
  <c r="BL4893" i="1"/>
  <c r="BW4893" i="1"/>
  <c r="CH4893" i="1"/>
  <c r="CS4893" i="1"/>
  <c r="K4894" i="1"/>
  <c r="P4894" i="1"/>
  <c r="R4894" i="1"/>
  <c r="BL4894" i="1"/>
  <c r="BW4894" i="1"/>
  <c r="CH4894" i="1"/>
  <c r="CS4894" i="1"/>
  <c r="K4895" i="1"/>
  <c r="P4895" i="1"/>
  <c r="R4895" i="1"/>
  <c r="BL4895" i="1"/>
  <c r="BW4895" i="1"/>
  <c r="CH4895" i="1"/>
  <c r="CS4895" i="1"/>
  <c r="K4896" i="1"/>
  <c r="P4896" i="1"/>
  <c r="R4896" i="1"/>
  <c r="BL4896" i="1"/>
  <c r="BW4896" i="1"/>
  <c r="CH4896" i="1"/>
  <c r="CS4896" i="1"/>
  <c r="K4897" i="1"/>
  <c r="P4897" i="1"/>
  <c r="R4897" i="1"/>
  <c r="BL4897" i="1"/>
  <c r="BW4897" i="1"/>
  <c r="CH4897" i="1"/>
  <c r="CS4897" i="1"/>
  <c r="K4898" i="1"/>
  <c r="P4898" i="1"/>
  <c r="R4898" i="1"/>
  <c r="BL4898" i="1"/>
  <c r="BW4898" i="1"/>
  <c r="CH4898" i="1"/>
  <c r="CS4898" i="1"/>
  <c r="K4899" i="1"/>
  <c r="P4899" i="1"/>
  <c r="R4899" i="1"/>
  <c r="BL4899" i="1"/>
  <c r="BW4899" i="1"/>
  <c r="CH4899" i="1"/>
  <c r="CS4899" i="1"/>
  <c r="K4900" i="1"/>
  <c r="P4900" i="1"/>
  <c r="R4900" i="1"/>
  <c r="BL4900" i="1"/>
  <c r="BW4900" i="1"/>
  <c r="CH4900" i="1"/>
  <c r="CS4900" i="1"/>
  <c r="K4901" i="1"/>
  <c r="P4901" i="1"/>
  <c r="R4901" i="1"/>
  <c r="BL4901" i="1"/>
  <c r="BW4901" i="1"/>
  <c r="CH4901" i="1"/>
  <c r="CS4901" i="1"/>
  <c r="K4902" i="1"/>
  <c r="P4902" i="1"/>
  <c r="R4902" i="1"/>
  <c r="BL4902" i="1"/>
  <c r="BW4902" i="1"/>
  <c r="CH4902" i="1"/>
  <c r="CS4902" i="1"/>
  <c r="K4903" i="1"/>
  <c r="P4903" i="1"/>
  <c r="R4903" i="1"/>
  <c r="BL4903" i="1"/>
  <c r="BW4903" i="1"/>
  <c r="CH4903" i="1"/>
  <c r="CS4903" i="1"/>
  <c r="K4904" i="1"/>
  <c r="P4904" i="1"/>
  <c r="R4904" i="1"/>
  <c r="BL4904" i="1"/>
  <c r="BW4904" i="1"/>
  <c r="CH4904" i="1"/>
  <c r="CS4904" i="1"/>
  <c r="K4905" i="1"/>
  <c r="P4905" i="1"/>
  <c r="R4905" i="1"/>
  <c r="BL4905" i="1"/>
  <c r="BW4905" i="1"/>
  <c r="CH4905" i="1"/>
  <c r="CS4905" i="1"/>
  <c r="K4906" i="1"/>
  <c r="P4906" i="1"/>
  <c r="R4906" i="1"/>
  <c r="BL4906" i="1"/>
  <c r="BW4906" i="1"/>
  <c r="CH4906" i="1"/>
  <c r="CS4906" i="1"/>
  <c r="K4907" i="1"/>
  <c r="P4907" i="1"/>
  <c r="R4907" i="1"/>
  <c r="BL4907" i="1"/>
  <c r="BW4907" i="1"/>
  <c r="CH4907" i="1"/>
  <c r="CS4907" i="1"/>
  <c r="K4908" i="1"/>
  <c r="P4908" i="1"/>
  <c r="R4908" i="1"/>
  <c r="BL4908" i="1"/>
  <c r="BW4908" i="1"/>
  <c r="CH4908" i="1"/>
  <c r="CS4908" i="1"/>
  <c r="K4909" i="1"/>
  <c r="P4909" i="1"/>
  <c r="R4909" i="1"/>
  <c r="BL4909" i="1"/>
  <c r="BW4909" i="1"/>
  <c r="CH4909" i="1"/>
  <c r="CS4909" i="1"/>
  <c r="K4910" i="1"/>
  <c r="P4910" i="1"/>
  <c r="R4910" i="1"/>
  <c r="BL4910" i="1"/>
  <c r="BW4910" i="1"/>
  <c r="CH4910" i="1"/>
  <c r="CS4910" i="1"/>
  <c r="K4911" i="1"/>
  <c r="P4911" i="1"/>
  <c r="R4911" i="1"/>
  <c r="BL4911" i="1"/>
  <c r="BW4911" i="1"/>
  <c r="CH4911" i="1"/>
  <c r="CS4911" i="1"/>
  <c r="K4912" i="1"/>
  <c r="P4912" i="1"/>
  <c r="R4912" i="1"/>
  <c r="BL4912" i="1"/>
  <c r="BW4912" i="1"/>
  <c r="CH4912" i="1"/>
  <c r="CS4912" i="1"/>
  <c r="K4913" i="1"/>
  <c r="P4913" i="1"/>
  <c r="R4913" i="1"/>
  <c r="BL4913" i="1"/>
  <c r="BW4913" i="1"/>
  <c r="CH4913" i="1"/>
  <c r="CS4913" i="1"/>
  <c r="K4914" i="1"/>
  <c r="P4914" i="1"/>
  <c r="R4914" i="1"/>
  <c r="BL4914" i="1"/>
  <c r="BW4914" i="1"/>
  <c r="CH4914" i="1"/>
  <c r="CS4914" i="1"/>
  <c r="K4915" i="1"/>
  <c r="P4915" i="1"/>
  <c r="R4915" i="1"/>
  <c r="BL4915" i="1"/>
  <c r="BW4915" i="1"/>
  <c r="CH4915" i="1"/>
  <c r="CS4915" i="1"/>
  <c r="K4916" i="1"/>
  <c r="P4916" i="1"/>
  <c r="R4916" i="1"/>
  <c r="BL4916" i="1"/>
  <c r="BW4916" i="1"/>
  <c r="CH4916" i="1"/>
  <c r="CS4916" i="1"/>
  <c r="K4917" i="1"/>
  <c r="P4917" i="1"/>
  <c r="R4917" i="1"/>
  <c r="BL4917" i="1"/>
  <c r="BW4917" i="1"/>
  <c r="CH4917" i="1"/>
  <c r="CS4917" i="1"/>
  <c r="K4918" i="1"/>
  <c r="P4918" i="1"/>
  <c r="R4918" i="1"/>
  <c r="BL4918" i="1"/>
  <c r="BW4918" i="1"/>
  <c r="CH4918" i="1"/>
  <c r="CS4918" i="1"/>
  <c r="K4919" i="1"/>
  <c r="P4919" i="1"/>
  <c r="R4919" i="1"/>
  <c r="BL4919" i="1"/>
  <c r="BW4919" i="1"/>
  <c r="CH4919" i="1"/>
  <c r="CS4919" i="1"/>
  <c r="K4920" i="1"/>
  <c r="P4920" i="1"/>
  <c r="R4920" i="1"/>
  <c r="BL4920" i="1"/>
  <c r="BW4920" i="1"/>
  <c r="CH4920" i="1"/>
  <c r="CS4920" i="1"/>
  <c r="K4921" i="1"/>
  <c r="P4921" i="1"/>
  <c r="R4921" i="1"/>
  <c r="BL4921" i="1"/>
  <c r="BW4921" i="1"/>
  <c r="CH4921" i="1"/>
  <c r="CS4921" i="1"/>
  <c r="K4922" i="1"/>
  <c r="P4922" i="1"/>
  <c r="R4922" i="1"/>
  <c r="BL4922" i="1"/>
  <c r="BW4922" i="1"/>
  <c r="CH4922" i="1"/>
  <c r="CS4922" i="1"/>
  <c r="K4923" i="1"/>
  <c r="P4923" i="1"/>
  <c r="R4923" i="1"/>
  <c r="BL4923" i="1"/>
  <c r="BW4923" i="1"/>
  <c r="CH4923" i="1"/>
  <c r="CS4923" i="1"/>
  <c r="K4924" i="1"/>
  <c r="P4924" i="1"/>
  <c r="R4924" i="1"/>
  <c r="BL4924" i="1"/>
  <c r="BW4924" i="1"/>
  <c r="CH4924" i="1"/>
  <c r="CS4924" i="1"/>
  <c r="K4925" i="1"/>
  <c r="P4925" i="1"/>
  <c r="R4925" i="1"/>
  <c r="BL4925" i="1"/>
  <c r="BW4925" i="1"/>
  <c r="CH4925" i="1"/>
  <c r="CS4925" i="1"/>
  <c r="K4926" i="1"/>
  <c r="P4926" i="1"/>
  <c r="R4926" i="1"/>
  <c r="BL4926" i="1"/>
  <c r="BW4926" i="1"/>
  <c r="CH4926" i="1"/>
  <c r="CS4926" i="1"/>
  <c r="K4927" i="1"/>
  <c r="P4927" i="1"/>
  <c r="R4927" i="1"/>
  <c r="BL4927" i="1"/>
  <c r="BW4927" i="1"/>
  <c r="CH4927" i="1"/>
  <c r="CS4927" i="1"/>
  <c r="K4928" i="1"/>
  <c r="P4928" i="1"/>
  <c r="R4928" i="1"/>
  <c r="BL4928" i="1"/>
  <c r="BW4928" i="1"/>
  <c r="CH4928" i="1"/>
  <c r="CS4928" i="1"/>
  <c r="K4929" i="1"/>
  <c r="P4929" i="1"/>
  <c r="R4929" i="1"/>
  <c r="BL4929" i="1"/>
  <c r="BW4929" i="1"/>
  <c r="CH4929" i="1"/>
  <c r="CS4929" i="1"/>
  <c r="K4930" i="1"/>
  <c r="P4930" i="1"/>
  <c r="R4930" i="1"/>
  <c r="BL4930" i="1"/>
  <c r="BW4930" i="1"/>
  <c r="CH4930" i="1"/>
  <c r="CS4930" i="1"/>
  <c r="K4931" i="1"/>
  <c r="P4931" i="1"/>
  <c r="R4931" i="1"/>
  <c r="BL4931" i="1"/>
  <c r="BW4931" i="1"/>
  <c r="CH4931" i="1"/>
  <c r="CS4931" i="1"/>
  <c r="K4932" i="1"/>
  <c r="P4932" i="1"/>
  <c r="R4932" i="1"/>
  <c r="BL4932" i="1"/>
  <c r="BW4932" i="1"/>
  <c r="CH4932" i="1"/>
  <c r="CS4932" i="1"/>
  <c r="K4933" i="1"/>
  <c r="P4933" i="1"/>
  <c r="R4933" i="1"/>
  <c r="BL4933" i="1"/>
  <c r="BW4933" i="1"/>
  <c r="CH4933" i="1"/>
  <c r="CS4933" i="1"/>
  <c r="K4934" i="1"/>
  <c r="P4934" i="1"/>
  <c r="R4934" i="1"/>
  <c r="AM4934" i="1"/>
  <c r="BL4934" i="1"/>
  <c r="BW4934" i="1"/>
  <c r="CH4934" i="1"/>
  <c r="CS4934" i="1"/>
  <c r="K4935" i="1"/>
  <c r="P4935" i="1"/>
  <c r="R4935" i="1"/>
  <c r="BL4935" i="1"/>
  <c r="BW4935" i="1"/>
  <c r="CH4935" i="1"/>
  <c r="CS4935" i="1"/>
  <c r="K4936" i="1"/>
  <c r="P4936" i="1"/>
  <c r="R4936" i="1"/>
  <c r="BL4936" i="1"/>
  <c r="BW4936" i="1"/>
  <c r="CH4936" i="1"/>
  <c r="CS4936" i="1"/>
  <c r="K4937" i="1"/>
  <c r="P4937" i="1"/>
  <c r="R4937" i="1"/>
  <c r="BL4937" i="1"/>
  <c r="BW4937" i="1"/>
  <c r="CH4937" i="1"/>
  <c r="CS4937" i="1"/>
  <c r="K4938" i="1"/>
  <c r="P4938" i="1"/>
  <c r="R4938" i="1"/>
  <c r="BL4938" i="1"/>
  <c r="BW4938" i="1"/>
  <c r="CH4938" i="1"/>
  <c r="CS4938" i="1"/>
  <c r="K4939" i="1"/>
  <c r="P4939" i="1"/>
  <c r="R4939" i="1"/>
  <c r="BL4939" i="1"/>
  <c r="BW4939" i="1"/>
  <c r="CH4939" i="1"/>
  <c r="CS4939" i="1"/>
  <c r="K4940" i="1"/>
  <c r="P4940" i="1"/>
  <c r="R4940" i="1"/>
  <c r="BL4940" i="1"/>
  <c r="BQ4940" i="1"/>
  <c r="BW4940" i="1"/>
  <c r="CH4940" i="1"/>
  <c r="CS4940" i="1"/>
  <c r="K4941" i="1"/>
  <c r="P4941" i="1"/>
  <c r="R4941" i="1"/>
  <c r="BL4941" i="1"/>
  <c r="BW4941" i="1"/>
  <c r="CH4941" i="1"/>
  <c r="CS4941" i="1"/>
  <c r="K4942" i="1"/>
  <c r="P4942" i="1"/>
  <c r="R4942" i="1"/>
  <c r="BL4942" i="1"/>
  <c r="BW4942" i="1"/>
  <c r="CH4942" i="1"/>
  <c r="CS4942" i="1"/>
  <c r="K4943" i="1"/>
  <c r="P4943" i="1"/>
  <c r="R4943" i="1"/>
  <c r="BL4943" i="1"/>
  <c r="BW4943" i="1"/>
  <c r="CH4943" i="1"/>
  <c r="CS4943" i="1"/>
  <c r="K4944" i="1"/>
  <c r="P4944" i="1"/>
  <c r="R4944" i="1"/>
  <c r="BL4944" i="1"/>
  <c r="BW4944" i="1"/>
  <c r="CH4944" i="1"/>
  <c r="CS4944" i="1"/>
  <c r="K4945" i="1"/>
  <c r="P4945" i="1"/>
  <c r="R4945" i="1"/>
  <c r="BL4945" i="1"/>
  <c r="BW4945" i="1"/>
  <c r="CH4945" i="1"/>
  <c r="CS4945" i="1"/>
  <c r="K4946" i="1"/>
  <c r="P4946" i="1"/>
  <c r="R4946" i="1"/>
  <c r="BL4946" i="1"/>
  <c r="BW4946" i="1"/>
  <c r="CH4946" i="1"/>
  <c r="CS4946" i="1"/>
  <c r="K4947" i="1"/>
  <c r="P4947" i="1"/>
  <c r="R4947" i="1"/>
  <c r="BL4947" i="1"/>
  <c r="BW4947" i="1"/>
  <c r="CH4947" i="1"/>
  <c r="CS4947" i="1"/>
  <c r="K4948" i="1"/>
  <c r="P4948" i="1"/>
  <c r="R4948" i="1"/>
  <c r="BL4948" i="1"/>
  <c r="BW4948" i="1"/>
  <c r="CH4948" i="1"/>
  <c r="CS4948" i="1"/>
  <c r="K4949" i="1"/>
  <c r="P4949" i="1"/>
  <c r="R4949" i="1"/>
  <c r="BL4949" i="1"/>
  <c r="BW4949" i="1"/>
  <c r="CH4949" i="1"/>
  <c r="CS4949" i="1"/>
  <c r="K4950" i="1"/>
  <c r="P4950" i="1"/>
  <c r="R4950" i="1"/>
  <c r="BL4950" i="1"/>
  <c r="BW4950" i="1"/>
  <c r="CH4950" i="1"/>
  <c r="CS4950" i="1"/>
  <c r="K4951" i="1"/>
  <c r="P4951" i="1"/>
  <c r="R4951" i="1"/>
  <c r="BL4951" i="1"/>
  <c r="BW4951" i="1"/>
  <c r="CH4951" i="1"/>
  <c r="CS4951" i="1"/>
  <c r="K4952" i="1"/>
  <c r="P4952" i="1"/>
  <c r="R4952" i="1"/>
  <c r="BL4952" i="1"/>
  <c r="BW4952" i="1"/>
  <c r="CH4952" i="1"/>
  <c r="CS4952" i="1"/>
  <c r="K4953" i="1"/>
  <c r="P4953" i="1"/>
  <c r="R4953" i="1"/>
  <c r="BL4953" i="1"/>
  <c r="BW4953" i="1"/>
  <c r="CH4953" i="1"/>
  <c r="CS4953" i="1"/>
  <c r="K4954" i="1"/>
  <c r="P4954" i="1"/>
  <c r="R4954" i="1"/>
  <c r="BL4954" i="1"/>
  <c r="BW4954" i="1"/>
  <c r="CH4954" i="1"/>
  <c r="CS4954" i="1"/>
  <c r="K4955" i="1"/>
  <c r="P4955" i="1"/>
  <c r="R4955" i="1"/>
  <c r="BL4955" i="1"/>
  <c r="BW4955" i="1"/>
  <c r="CH4955" i="1"/>
  <c r="CS4955" i="1"/>
  <c r="K4956" i="1"/>
  <c r="P4956" i="1"/>
  <c r="R4956" i="1"/>
  <c r="BL4956" i="1"/>
  <c r="BW4956" i="1"/>
  <c r="CH4956" i="1"/>
  <c r="CS4956" i="1"/>
  <c r="K4957" i="1"/>
  <c r="P4957" i="1"/>
  <c r="R4957" i="1"/>
  <c r="BL4957" i="1"/>
  <c r="BW4957" i="1"/>
  <c r="CH4957" i="1"/>
  <c r="CS4957" i="1"/>
  <c r="K4958" i="1"/>
  <c r="P4958" i="1"/>
  <c r="R4958" i="1"/>
  <c r="BL4958" i="1"/>
  <c r="BW4958" i="1"/>
  <c r="CH4958" i="1"/>
  <c r="CS4958" i="1"/>
  <c r="K4959" i="1"/>
  <c r="P4959" i="1"/>
  <c r="R4959" i="1"/>
  <c r="BL4959" i="1"/>
  <c r="BW4959" i="1"/>
  <c r="CH4959" i="1"/>
  <c r="CS4959" i="1"/>
  <c r="K4960" i="1"/>
  <c r="P4960" i="1"/>
  <c r="R4960" i="1"/>
  <c r="BL4960" i="1"/>
  <c r="BW4960" i="1"/>
  <c r="CH4960" i="1"/>
  <c r="CS4960" i="1"/>
  <c r="K4961" i="1"/>
  <c r="P4961" i="1"/>
  <c r="R4961" i="1"/>
  <c r="BL4961" i="1"/>
  <c r="BW4961" i="1"/>
  <c r="CH4961" i="1"/>
  <c r="CS4961" i="1"/>
  <c r="K4962" i="1"/>
  <c r="P4962" i="1"/>
  <c r="R4962" i="1"/>
  <c r="BL4962" i="1"/>
  <c r="BW4962" i="1"/>
  <c r="CH4962" i="1"/>
  <c r="CS4962" i="1"/>
  <c r="K4963" i="1"/>
  <c r="P4963" i="1"/>
  <c r="R4963" i="1"/>
  <c r="BL4963" i="1"/>
  <c r="BW4963" i="1"/>
  <c r="CH4963" i="1"/>
  <c r="CS4963" i="1"/>
  <c r="K4964" i="1"/>
  <c r="P4964" i="1"/>
  <c r="R4964" i="1"/>
  <c r="BL4964" i="1"/>
  <c r="BW4964" i="1"/>
  <c r="CH4964" i="1"/>
  <c r="CS4964" i="1"/>
  <c r="K4965" i="1"/>
  <c r="P4965" i="1"/>
  <c r="R4965" i="1"/>
  <c r="BL4965" i="1"/>
  <c r="BW4965" i="1"/>
  <c r="CH4965" i="1"/>
  <c r="CS4965" i="1"/>
  <c r="K4966" i="1"/>
  <c r="P4966" i="1"/>
  <c r="R4966" i="1"/>
  <c r="BL4966" i="1"/>
  <c r="BW4966" i="1"/>
  <c r="CH4966" i="1"/>
  <c r="CS4966" i="1"/>
  <c r="K4967" i="1"/>
  <c r="P4967" i="1"/>
  <c r="R4967" i="1"/>
  <c r="BL4967" i="1"/>
  <c r="BW4967" i="1"/>
  <c r="CH4967" i="1"/>
  <c r="CS4967" i="1"/>
  <c r="K4968" i="1"/>
  <c r="P4968" i="1"/>
  <c r="R4968" i="1"/>
  <c r="BL4968" i="1"/>
  <c r="BW4968" i="1"/>
  <c r="CH4968" i="1"/>
  <c r="CS4968" i="1"/>
  <c r="K4969" i="1"/>
  <c r="P4969" i="1"/>
  <c r="R4969" i="1"/>
  <c r="BL4969" i="1"/>
  <c r="BW4969" i="1"/>
  <c r="CH4969" i="1"/>
  <c r="CS4969" i="1"/>
  <c r="K4970" i="1"/>
  <c r="P4970" i="1"/>
  <c r="R4970" i="1"/>
  <c r="BL4970" i="1"/>
  <c r="BW4970" i="1"/>
  <c r="CH4970" i="1"/>
  <c r="CS4970" i="1"/>
  <c r="K4971" i="1"/>
  <c r="P4971" i="1"/>
  <c r="R4971" i="1"/>
  <c r="BL4971" i="1"/>
  <c r="BW4971" i="1"/>
  <c r="CH4971" i="1"/>
  <c r="CS4971" i="1"/>
  <c r="K4972" i="1"/>
  <c r="P4972" i="1"/>
  <c r="R4972" i="1"/>
  <c r="BL4972" i="1"/>
  <c r="BW4972" i="1"/>
  <c r="CH4972" i="1"/>
  <c r="CS4972" i="1"/>
  <c r="K4973" i="1"/>
  <c r="P4973" i="1"/>
  <c r="R4973" i="1"/>
  <c r="BL4973" i="1"/>
  <c r="BW4973" i="1"/>
  <c r="CH4973" i="1"/>
  <c r="CS4973" i="1"/>
  <c r="K4974" i="1"/>
  <c r="P4974" i="1"/>
  <c r="R4974" i="1"/>
  <c r="BL4974" i="1"/>
  <c r="BW4974" i="1"/>
  <c r="CH4974" i="1"/>
  <c r="CS4974" i="1"/>
  <c r="K4975" i="1"/>
  <c r="P4975" i="1"/>
  <c r="R4975" i="1"/>
  <c r="BL4975" i="1"/>
  <c r="BW4975" i="1"/>
  <c r="CH4975" i="1"/>
  <c r="CS4975" i="1"/>
  <c r="K4976" i="1"/>
  <c r="P4976" i="1"/>
  <c r="R4976" i="1"/>
  <c r="BL4976" i="1"/>
  <c r="BW4976" i="1"/>
  <c r="CH4976" i="1"/>
  <c r="CS4976" i="1"/>
  <c r="K4977" i="1"/>
  <c r="P4977" i="1"/>
  <c r="R4977" i="1"/>
  <c r="BL4977" i="1"/>
  <c r="BW4977" i="1"/>
  <c r="CH4977" i="1"/>
  <c r="CS4977" i="1"/>
  <c r="K4978" i="1"/>
  <c r="P4978" i="1"/>
  <c r="R4978" i="1"/>
  <c r="BL4978" i="1"/>
  <c r="BW4978" i="1"/>
  <c r="CH4978" i="1"/>
  <c r="CS4978" i="1"/>
  <c r="K4979" i="1"/>
  <c r="P4979" i="1"/>
  <c r="R4979" i="1"/>
  <c r="BL4979" i="1"/>
  <c r="BW4979" i="1"/>
  <c r="CH4979" i="1"/>
  <c r="CS4979" i="1"/>
  <c r="K4980" i="1"/>
  <c r="P4980" i="1"/>
  <c r="R4980" i="1"/>
  <c r="BL4980" i="1"/>
  <c r="BW4980" i="1"/>
  <c r="CH4980" i="1"/>
  <c r="CS4980" i="1"/>
  <c r="K4981" i="1"/>
  <c r="P4981" i="1"/>
  <c r="R4981" i="1"/>
  <c r="BL4981" i="1"/>
  <c r="BW4981" i="1"/>
  <c r="CH4981" i="1"/>
  <c r="CS4981" i="1"/>
  <c r="K4982" i="1"/>
  <c r="P4982" i="1"/>
  <c r="R4982" i="1"/>
  <c r="BL4982" i="1"/>
  <c r="BW4982" i="1"/>
  <c r="CH4982" i="1"/>
  <c r="CS4982" i="1"/>
  <c r="K4983" i="1"/>
  <c r="P4983" i="1"/>
  <c r="R4983" i="1"/>
  <c r="BL4983" i="1"/>
  <c r="BW4983" i="1"/>
  <c r="CH4983" i="1"/>
  <c r="CS4983" i="1"/>
  <c r="K4984" i="1"/>
  <c r="P4984" i="1"/>
  <c r="R4984" i="1"/>
  <c r="BL4984" i="1"/>
  <c r="BW4984" i="1"/>
  <c r="CH4984" i="1"/>
  <c r="CS4984" i="1"/>
  <c r="K4985" i="1"/>
  <c r="P4985" i="1"/>
  <c r="R4985" i="1"/>
  <c r="BL4985" i="1"/>
  <c r="BW4985" i="1"/>
  <c r="CH4985" i="1"/>
  <c r="CS4985" i="1"/>
  <c r="K4986" i="1"/>
  <c r="P4986" i="1"/>
  <c r="R4986" i="1"/>
  <c r="BL4986" i="1"/>
  <c r="BW4986" i="1"/>
  <c r="CH4986" i="1"/>
  <c r="CS4986" i="1"/>
  <c r="K4987" i="1"/>
  <c r="P4987" i="1"/>
  <c r="R4987" i="1"/>
  <c r="BL4987" i="1"/>
  <c r="BW4987" i="1"/>
  <c r="CH4987" i="1"/>
  <c r="CS4987" i="1"/>
  <c r="K4988" i="1"/>
  <c r="P4988" i="1"/>
  <c r="R4988" i="1"/>
  <c r="BL4988" i="1"/>
  <c r="BW4988" i="1"/>
  <c r="CH4988" i="1"/>
  <c r="CS4988" i="1"/>
  <c r="K4989" i="1"/>
  <c r="P4989" i="1"/>
  <c r="R4989" i="1"/>
  <c r="BL4989" i="1"/>
  <c r="BW4989" i="1"/>
  <c r="CH4989" i="1"/>
  <c r="CS4989" i="1"/>
  <c r="K4990" i="1"/>
  <c r="P4990" i="1"/>
  <c r="R4990" i="1"/>
  <c r="BL4990" i="1"/>
  <c r="BW4990" i="1"/>
  <c r="CH4990" i="1"/>
  <c r="CS4990" i="1"/>
  <c r="K4991" i="1"/>
  <c r="P4991" i="1"/>
  <c r="R4991" i="1"/>
  <c r="BL4991" i="1"/>
  <c r="BW4991" i="1"/>
  <c r="CH4991" i="1"/>
  <c r="CS4991" i="1"/>
  <c r="K4992" i="1"/>
  <c r="P4992" i="1"/>
  <c r="R4992" i="1"/>
  <c r="BL4992" i="1"/>
  <c r="BW4992" i="1"/>
  <c r="CH4992" i="1"/>
  <c r="CS4992" i="1"/>
  <c r="K4993" i="1"/>
  <c r="P4993" i="1"/>
  <c r="R4993" i="1"/>
  <c r="BL4993" i="1"/>
  <c r="BW4993" i="1"/>
  <c r="CH4993" i="1"/>
  <c r="CS4993" i="1"/>
  <c r="K4994" i="1"/>
  <c r="P4994" i="1"/>
  <c r="R4994" i="1"/>
  <c r="BL4994" i="1"/>
  <c r="BW4994" i="1"/>
  <c r="CH4994" i="1"/>
  <c r="CS4994" i="1"/>
  <c r="K4995" i="1"/>
  <c r="P4995" i="1"/>
  <c r="R4995" i="1"/>
  <c r="BL4995" i="1"/>
  <c r="BW4995" i="1"/>
  <c r="CH4995" i="1"/>
  <c r="CS4995" i="1"/>
  <c r="K4996" i="1"/>
  <c r="P4996" i="1"/>
  <c r="R4996" i="1"/>
  <c r="BL4996" i="1"/>
  <c r="BW4996" i="1"/>
  <c r="CH4996" i="1"/>
  <c r="CS4996" i="1"/>
  <c r="K4997" i="1"/>
  <c r="P4997" i="1"/>
  <c r="R4997" i="1"/>
  <c r="BL4997" i="1"/>
  <c r="BW4997" i="1"/>
  <c r="CH4997" i="1"/>
  <c r="CS4997" i="1"/>
  <c r="K4998" i="1"/>
  <c r="P4998" i="1"/>
  <c r="R4998" i="1"/>
  <c r="BL4998" i="1"/>
  <c r="BW4998" i="1"/>
  <c r="CH4998" i="1"/>
  <c r="CS4998" i="1"/>
  <c r="K4999" i="1"/>
  <c r="P4999" i="1"/>
  <c r="R4999" i="1"/>
  <c r="BL4999" i="1"/>
  <c r="BW4999" i="1"/>
  <c r="CH4999" i="1"/>
  <c r="CS4999" i="1"/>
  <c r="K5000" i="1"/>
  <c r="P5000" i="1"/>
  <c r="R5000" i="1"/>
  <c r="BL5000" i="1"/>
  <c r="BW5000" i="1"/>
  <c r="CH5000" i="1"/>
  <c r="CS5000" i="1"/>
  <c r="K5001" i="1"/>
  <c r="P5001" i="1"/>
  <c r="R5001" i="1"/>
  <c r="BL5001" i="1"/>
  <c r="BW5001" i="1"/>
  <c r="CH5001" i="1"/>
  <c r="CS5001" i="1"/>
  <c r="K5002" i="1"/>
  <c r="P5002" i="1"/>
  <c r="R5002" i="1"/>
  <c r="BL5002" i="1"/>
  <c r="BW5002" i="1"/>
  <c r="CH5002" i="1"/>
  <c r="CS5002" i="1"/>
  <c r="K5003" i="1"/>
  <c r="P5003" i="1"/>
  <c r="R5003" i="1"/>
  <c r="BL5003" i="1"/>
  <c r="BW5003" i="1"/>
  <c r="CH5003" i="1"/>
  <c r="CS5003" i="1"/>
  <c r="K5004" i="1"/>
  <c r="P5004" i="1"/>
  <c r="R5004" i="1"/>
  <c r="BL5004" i="1"/>
  <c r="BW5004" i="1"/>
  <c r="CH5004" i="1"/>
  <c r="CS5004" i="1"/>
  <c r="K5005" i="1"/>
  <c r="P5005" i="1"/>
  <c r="R5005" i="1"/>
  <c r="BL5005" i="1"/>
  <c r="BW5005" i="1"/>
  <c r="CH5005" i="1"/>
  <c r="CS5005" i="1"/>
  <c r="K5006" i="1"/>
  <c r="P5006" i="1"/>
  <c r="R5006" i="1"/>
  <c r="BL5006" i="1"/>
  <c r="BW5006" i="1"/>
  <c r="CH5006" i="1"/>
  <c r="CS5006" i="1"/>
  <c r="K5007" i="1"/>
  <c r="P5007" i="1"/>
  <c r="R5007" i="1"/>
  <c r="BL5007" i="1"/>
  <c r="BW5007" i="1"/>
  <c r="CH5007" i="1"/>
  <c r="CS5007" i="1"/>
  <c r="K5008" i="1"/>
  <c r="P5008" i="1"/>
  <c r="R5008" i="1"/>
  <c r="BL5008" i="1"/>
  <c r="BW5008" i="1"/>
  <c r="CH5008" i="1"/>
  <c r="CS5008" i="1"/>
  <c r="K5009" i="1"/>
  <c r="P5009" i="1"/>
  <c r="R5009" i="1"/>
  <c r="BL5009" i="1"/>
  <c r="BW5009" i="1"/>
  <c r="CH5009" i="1"/>
  <c r="CS5009" i="1"/>
  <c r="K5010" i="1"/>
  <c r="P5010" i="1"/>
  <c r="R5010" i="1"/>
  <c r="BL5010" i="1"/>
  <c r="BW5010" i="1"/>
  <c r="CH5010" i="1"/>
  <c r="CS5010" i="1"/>
  <c r="K5011" i="1"/>
  <c r="P5011" i="1"/>
  <c r="R5011" i="1"/>
  <c r="BL5011" i="1"/>
  <c r="BW5011" i="1"/>
  <c r="CH5011" i="1"/>
  <c r="CS5011" i="1"/>
  <c r="K5012" i="1"/>
  <c r="P5012" i="1"/>
  <c r="R5012" i="1"/>
  <c r="BL5012" i="1"/>
  <c r="BW5012" i="1"/>
  <c r="CH5012" i="1"/>
  <c r="CS5012" i="1"/>
  <c r="K5013" i="1"/>
  <c r="P5013" i="1"/>
  <c r="R5013" i="1"/>
  <c r="BL5013" i="1"/>
  <c r="BW5013" i="1"/>
  <c r="CH5013" i="1"/>
  <c r="CS5013" i="1"/>
  <c r="K5014" i="1"/>
  <c r="P5014" i="1"/>
  <c r="R5014" i="1"/>
  <c r="BL5014" i="1"/>
  <c r="BW5014" i="1"/>
  <c r="CH5014" i="1"/>
  <c r="CS5014" i="1"/>
  <c r="K5015" i="1"/>
  <c r="P5015" i="1"/>
  <c r="R5015" i="1"/>
  <c r="BL5015" i="1"/>
  <c r="BW5015" i="1"/>
  <c r="CH5015" i="1"/>
  <c r="CS5015" i="1"/>
  <c r="K5016" i="1"/>
  <c r="P5016" i="1"/>
  <c r="R5016" i="1"/>
  <c r="BL5016" i="1"/>
  <c r="BW5016" i="1"/>
  <c r="CH5016" i="1"/>
  <c r="CS5016" i="1"/>
  <c r="K5017" i="1"/>
  <c r="P5017" i="1"/>
  <c r="R5017" i="1"/>
  <c r="BL5017" i="1"/>
  <c r="BW5017" i="1"/>
  <c r="CH5017" i="1"/>
  <c r="CS5017" i="1"/>
  <c r="K5018" i="1"/>
  <c r="P5018" i="1"/>
  <c r="R5018" i="1"/>
  <c r="BL5018" i="1"/>
  <c r="BW5018" i="1"/>
  <c r="CH5018" i="1"/>
  <c r="CS5018" i="1"/>
  <c r="K5019" i="1"/>
  <c r="P5019" i="1"/>
  <c r="R5019" i="1"/>
  <c r="BL5019" i="1"/>
  <c r="BW5019" i="1"/>
  <c r="CH5019" i="1"/>
  <c r="CS5019" i="1"/>
  <c r="K5020" i="1"/>
  <c r="P5020" i="1"/>
  <c r="R5020" i="1"/>
  <c r="BL5020" i="1"/>
  <c r="BW5020" i="1"/>
  <c r="CH5020" i="1"/>
  <c r="CS5020" i="1"/>
  <c r="K5021" i="1"/>
  <c r="P5021" i="1"/>
  <c r="R5021" i="1"/>
  <c r="BL5021" i="1"/>
  <c r="BW5021" i="1"/>
  <c r="CH5021" i="1"/>
  <c r="CS5021" i="1"/>
  <c r="K5022" i="1"/>
  <c r="P5022" i="1"/>
  <c r="R5022" i="1"/>
  <c r="BL5022" i="1"/>
  <c r="BW5022" i="1"/>
  <c r="CH5022" i="1"/>
  <c r="CS5022" i="1"/>
  <c r="K5023" i="1"/>
  <c r="P5023" i="1"/>
  <c r="R5023" i="1"/>
  <c r="BL5023" i="1"/>
  <c r="BW5023" i="1"/>
  <c r="CH5023" i="1"/>
  <c r="CS5023" i="1"/>
  <c r="K5024" i="1"/>
  <c r="P5024" i="1"/>
  <c r="R5024" i="1"/>
  <c r="BL5024" i="1"/>
  <c r="BW5024" i="1"/>
  <c r="CH5024" i="1"/>
  <c r="CS5024" i="1"/>
  <c r="K5025" i="1"/>
  <c r="P5025" i="1"/>
  <c r="R5025" i="1"/>
  <c r="BL5025" i="1"/>
  <c r="BW5025" i="1"/>
  <c r="CH5025" i="1"/>
  <c r="CS5025" i="1"/>
  <c r="K5026" i="1"/>
  <c r="P5026" i="1"/>
  <c r="R5026" i="1"/>
  <c r="BL5026" i="1"/>
  <c r="BW5026" i="1"/>
  <c r="CH5026" i="1"/>
  <c r="CS5026" i="1"/>
  <c r="K5027" i="1"/>
  <c r="P5027" i="1"/>
  <c r="R5027" i="1"/>
  <c r="BL5027" i="1"/>
  <c r="BW5027" i="1"/>
  <c r="CH5027" i="1"/>
  <c r="CS5027" i="1"/>
  <c r="K5028" i="1"/>
  <c r="P5028" i="1"/>
  <c r="R5028" i="1"/>
  <c r="BL5028" i="1"/>
  <c r="BW5028" i="1"/>
  <c r="CH5028" i="1"/>
  <c r="CS5028" i="1"/>
  <c r="K5029" i="1"/>
  <c r="P5029" i="1"/>
  <c r="R5029" i="1"/>
  <c r="BL5029" i="1"/>
  <c r="BW5029" i="1"/>
  <c r="CH5029" i="1"/>
  <c r="CS5029" i="1"/>
  <c r="K5030" i="1"/>
  <c r="P5030" i="1"/>
  <c r="R5030" i="1"/>
  <c r="BL5030" i="1"/>
  <c r="BW5030" i="1"/>
  <c r="CH5030" i="1"/>
  <c r="CS5030" i="1"/>
  <c r="K5031" i="1"/>
  <c r="P5031" i="1"/>
  <c r="R5031" i="1"/>
  <c r="BL5031" i="1"/>
  <c r="BW5031" i="1"/>
  <c r="CH5031" i="1"/>
  <c r="CS5031" i="1"/>
  <c r="K5032" i="1"/>
  <c r="P5032" i="1"/>
  <c r="R5032" i="1"/>
  <c r="BL5032" i="1"/>
  <c r="BW5032" i="1"/>
  <c r="CH5032" i="1"/>
  <c r="CS5032" i="1"/>
  <c r="K5033" i="1"/>
  <c r="P5033" i="1"/>
  <c r="R5033" i="1"/>
  <c r="BL5033" i="1"/>
  <c r="BW5033" i="1"/>
  <c r="CH5033" i="1"/>
  <c r="CS5033" i="1"/>
  <c r="K5034" i="1"/>
  <c r="P5034" i="1"/>
  <c r="R5034" i="1"/>
  <c r="BL5034" i="1"/>
  <c r="BW5034" i="1"/>
  <c r="CH5034" i="1"/>
  <c r="CS5034" i="1"/>
  <c r="K5035" i="1"/>
  <c r="P5035" i="1"/>
  <c r="R5035" i="1"/>
  <c r="BL5035" i="1"/>
  <c r="BW5035" i="1"/>
  <c r="CH5035" i="1"/>
  <c r="CS5035" i="1"/>
  <c r="K5036" i="1"/>
  <c r="P5036" i="1"/>
  <c r="R5036" i="1"/>
  <c r="BL5036" i="1"/>
  <c r="BW5036" i="1"/>
  <c r="CH5036" i="1"/>
  <c r="CS5036" i="1"/>
  <c r="K5037" i="1"/>
  <c r="P5037" i="1"/>
  <c r="R5037" i="1"/>
  <c r="BL5037" i="1"/>
  <c r="BW5037" i="1"/>
  <c r="CH5037" i="1"/>
  <c r="CS5037" i="1"/>
  <c r="K5038" i="1"/>
  <c r="P5038" i="1"/>
  <c r="R5038" i="1"/>
  <c r="BL5038" i="1"/>
  <c r="BW5038" i="1"/>
  <c r="CH5038" i="1"/>
  <c r="CS5038" i="1"/>
  <c r="K5039" i="1"/>
  <c r="P5039" i="1"/>
  <c r="R5039" i="1"/>
  <c r="BL5039" i="1"/>
  <c r="BW5039" i="1"/>
  <c r="CH5039" i="1"/>
  <c r="CS5039" i="1"/>
  <c r="K5040" i="1"/>
  <c r="P5040" i="1"/>
  <c r="R5040" i="1"/>
  <c r="BL5040" i="1"/>
  <c r="BW5040" i="1"/>
  <c r="CH5040" i="1"/>
  <c r="CS5040" i="1"/>
  <c r="K5041" i="1"/>
  <c r="P5041" i="1"/>
  <c r="R5041" i="1"/>
  <c r="BL5041" i="1"/>
  <c r="BW5041" i="1"/>
  <c r="CH5041" i="1"/>
  <c r="CS5041" i="1"/>
  <c r="K5042" i="1"/>
  <c r="P5042" i="1"/>
  <c r="R5042" i="1"/>
  <c r="BL5042" i="1"/>
  <c r="BW5042" i="1"/>
  <c r="CH5042" i="1"/>
  <c r="CS5042" i="1"/>
  <c r="K5043" i="1"/>
  <c r="P5043" i="1"/>
  <c r="R5043" i="1"/>
  <c r="BL5043" i="1"/>
  <c r="BW5043" i="1"/>
  <c r="CH5043" i="1"/>
  <c r="CS5043" i="1"/>
  <c r="K5044" i="1"/>
  <c r="P5044" i="1"/>
  <c r="R5044" i="1"/>
  <c r="BL5044" i="1"/>
  <c r="BW5044" i="1"/>
  <c r="CH5044" i="1"/>
  <c r="CS5044" i="1"/>
  <c r="K5045" i="1"/>
  <c r="P5045" i="1"/>
  <c r="R5045" i="1"/>
  <c r="BL5045" i="1"/>
  <c r="BW5045" i="1"/>
  <c r="CH5045" i="1"/>
  <c r="CS5045" i="1"/>
  <c r="K5046" i="1"/>
  <c r="P5046" i="1"/>
  <c r="R5046" i="1"/>
  <c r="BL5046" i="1"/>
  <c r="BW5046" i="1"/>
  <c r="CH5046" i="1"/>
  <c r="CS5046" i="1"/>
  <c r="K5047" i="1"/>
  <c r="P5047" i="1"/>
  <c r="R5047" i="1"/>
  <c r="BL5047" i="1"/>
  <c r="BW5047" i="1"/>
  <c r="CH5047" i="1"/>
  <c r="CS5047" i="1"/>
  <c r="K5048" i="1"/>
  <c r="P5048" i="1"/>
  <c r="R5048" i="1"/>
  <c r="BL5048" i="1"/>
  <c r="BW5048" i="1"/>
  <c r="CH5048" i="1"/>
  <c r="CS5048" i="1"/>
  <c r="K5049" i="1"/>
  <c r="P5049" i="1"/>
  <c r="R5049" i="1"/>
  <c r="BL5049" i="1"/>
  <c r="BW5049" i="1"/>
  <c r="CH5049" i="1"/>
  <c r="CS5049" i="1"/>
  <c r="K5050" i="1"/>
  <c r="P5050" i="1"/>
  <c r="R5050" i="1"/>
  <c r="BL5050" i="1"/>
  <c r="BW5050" i="1"/>
  <c r="CH5050" i="1"/>
  <c r="CS5050" i="1"/>
  <c r="K5051" i="1"/>
  <c r="P5051" i="1"/>
  <c r="R5051" i="1"/>
  <c r="BL5051" i="1"/>
  <c r="BW5051" i="1"/>
  <c r="CH5051" i="1"/>
  <c r="CS5051" i="1"/>
  <c r="K5052" i="1"/>
  <c r="P5052" i="1"/>
  <c r="R5052" i="1"/>
  <c r="BL5052" i="1"/>
  <c r="BW5052" i="1"/>
  <c r="CH5052" i="1"/>
  <c r="CS5052" i="1"/>
  <c r="K5053" i="1"/>
  <c r="P5053" i="1"/>
  <c r="R5053" i="1"/>
  <c r="BL5053" i="1"/>
  <c r="BW5053" i="1"/>
  <c r="CH5053" i="1"/>
  <c r="CS5053" i="1"/>
  <c r="K5054" i="1"/>
  <c r="P5054" i="1"/>
  <c r="R5054" i="1"/>
  <c r="BL5054" i="1"/>
  <c r="BW5054" i="1"/>
  <c r="CH5054" i="1"/>
  <c r="CS5054" i="1"/>
  <c r="K5055" i="1"/>
  <c r="P5055" i="1"/>
  <c r="R5055" i="1"/>
  <c r="BL5055" i="1"/>
  <c r="BW5055" i="1"/>
  <c r="CH5055" i="1"/>
  <c r="CS5055" i="1"/>
  <c r="K5056" i="1"/>
  <c r="P5056" i="1"/>
  <c r="R5056" i="1"/>
  <c r="BL5056" i="1"/>
  <c r="BW5056" i="1"/>
  <c r="CH5056" i="1"/>
  <c r="CS5056" i="1"/>
  <c r="K5057" i="1"/>
  <c r="P5057" i="1"/>
  <c r="R5057" i="1"/>
  <c r="BL5057" i="1"/>
  <c r="BW5057" i="1"/>
  <c r="CH5057" i="1"/>
  <c r="CS5057" i="1"/>
  <c r="K5058" i="1"/>
  <c r="P5058" i="1"/>
  <c r="R5058" i="1"/>
  <c r="BL5058" i="1"/>
  <c r="BW5058" i="1"/>
  <c r="CH5058" i="1"/>
  <c r="CS5058" i="1"/>
  <c r="K5059" i="1"/>
  <c r="P5059" i="1"/>
  <c r="R5059" i="1"/>
  <c r="BL5059" i="1"/>
  <c r="BW5059" i="1"/>
  <c r="CH5059" i="1"/>
  <c r="CS5059" i="1"/>
  <c r="K5060" i="1"/>
  <c r="P5060" i="1"/>
  <c r="R5060" i="1"/>
  <c r="BL5060" i="1"/>
  <c r="BW5060" i="1"/>
  <c r="CH5060" i="1"/>
  <c r="CS5060" i="1"/>
  <c r="K5061" i="1"/>
  <c r="P5061" i="1"/>
  <c r="R5061" i="1"/>
  <c r="BL5061" i="1"/>
  <c r="BW5061" i="1"/>
  <c r="CH5061" i="1"/>
  <c r="CS5061" i="1"/>
  <c r="K5062" i="1"/>
  <c r="P5062" i="1"/>
  <c r="R5062" i="1"/>
  <c r="BL5062" i="1"/>
  <c r="BW5062" i="1"/>
  <c r="CH5062" i="1"/>
  <c r="CS5062" i="1"/>
  <c r="K5063" i="1"/>
  <c r="P5063" i="1"/>
  <c r="R5063" i="1"/>
  <c r="BL5063" i="1"/>
  <c r="BW5063" i="1"/>
  <c r="CH5063" i="1"/>
  <c r="CS5063" i="1"/>
  <c r="K5064" i="1"/>
  <c r="P5064" i="1"/>
  <c r="R5064" i="1"/>
  <c r="BL5064" i="1"/>
  <c r="BW5064" i="1"/>
  <c r="CH5064" i="1"/>
  <c r="CS5064" i="1"/>
  <c r="K5065" i="1"/>
  <c r="P5065" i="1"/>
  <c r="R5065" i="1"/>
  <c r="BL5065" i="1"/>
  <c r="BW5065" i="1"/>
  <c r="CH5065" i="1"/>
  <c r="CS5065" i="1"/>
  <c r="K5066" i="1"/>
  <c r="P5066" i="1"/>
  <c r="R5066" i="1"/>
  <c r="BL5066" i="1"/>
  <c r="BW5066" i="1"/>
  <c r="CH5066" i="1"/>
  <c r="CS5066" i="1"/>
  <c r="K5067" i="1"/>
  <c r="P5067" i="1"/>
  <c r="R5067" i="1"/>
  <c r="BL5067" i="1"/>
  <c r="BW5067" i="1"/>
  <c r="CH5067" i="1"/>
  <c r="CS5067" i="1"/>
  <c r="K5068" i="1"/>
  <c r="P5068" i="1"/>
  <c r="R5068" i="1"/>
  <c r="BL5068" i="1"/>
  <c r="BW5068" i="1"/>
  <c r="CH5068" i="1"/>
  <c r="CS5068" i="1"/>
  <c r="K5069" i="1"/>
  <c r="P5069" i="1"/>
  <c r="R5069" i="1"/>
  <c r="BL5069" i="1"/>
  <c r="BW5069" i="1"/>
  <c r="CH5069" i="1"/>
  <c r="CS5069" i="1"/>
  <c r="K5070" i="1"/>
  <c r="P5070" i="1"/>
  <c r="R5070" i="1"/>
  <c r="BL5070" i="1"/>
  <c r="BW5070" i="1"/>
  <c r="CH5070" i="1"/>
  <c r="CS5070" i="1"/>
  <c r="K5071" i="1"/>
  <c r="P5071" i="1"/>
  <c r="R5071" i="1"/>
  <c r="BL5071" i="1"/>
  <c r="BW5071" i="1"/>
  <c r="CH5071" i="1"/>
  <c r="CS5071" i="1"/>
  <c r="K5072" i="1"/>
  <c r="P5072" i="1"/>
  <c r="R5072" i="1"/>
  <c r="BL5072" i="1"/>
  <c r="BW5072" i="1"/>
  <c r="CH5072" i="1"/>
  <c r="CS5072" i="1"/>
  <c r="K5073" i="1"/>
  <c r="P5073" i="1"/>
  <c r="R5073" i="1"/>
  <c r="BL5073" i="1"/>
  <c r="BW5073" i="1"/>
  <c r="CH5073" i="1"/>
  <c r="CS5073" i="1"/>
  <c r="K5074" i="1"/>
  <c r="P5074" i="1"/>
  <c r="R5074" i="1"/>
  <c r="BL5074" i="1"/>
  <c r="BW5074" i="1"/>
  <c r="CH5074" i="1"/>
  <c r="CS5074" i="1"/>
  <c r="K5075" i="1"/>
  <c r="P5075" i="1"/>
  <c r="R5075" i="1"/>
  <c r="BL5075" i="1"/>
  <c r="BW5075" i="1"/>
  <c r="CH5075" i="1"/>
  <c r="CS5075" i="1"/>
  <c r="K5076" i="1"/>
  <c r="P5076" i="1"/>
  <c r="R5076" i="1"/>
  <c r="BL5076" i="1"/>
  <c r="BW5076" i="1"/>
  <c r="CH5076" i="1"/>
  <c r="CS5076" i="1"/>
  <c r="K5077" i="1"/>
  <c r="P5077" i="1"/>
  <c r="R5077" i="1"/>
  <c r="BL5077" i="1"/>
  <c r="BW5077" i="1"/>
  <c r="CH5077" i="1"/>
  <c r="CS5077" i="1"/>
  <c r="K5078" i="1"/>
  <c r="P5078" i="1"/>
  <c r="R5078" i="1"/>
  <c r="BL5078" i="1"/>
  <c r="BW5078" i="1"/>
  <c r="CH5078" i="1"/>
  <c r="CS5078" i="1"/>
  <c r="K5079" i="1"/>
  <c r="P5079" i="1"/>
  <c r="R5079" i="1"/>
  <c r="BL5079" i="1"/>
  <c r="BW5079" i="1"/>
  <c r="CH5079" i="1"/>
  <c r="CS5079" i="1"/>
  <c r="K5080" i="1"/>
  <c r="P5080" i="1"/>
  <c r="R5080" i="1"/>
  <c r="BL5080" i="1"/>
  <c r="BW5080" i="1"/>
  <c r="CH5080" i="1"/>
  <c r="CS5080" i="1"/>
  <c r="K5081" i="1"/>
  <c r="P5081" i="1"/>
  <c r="R5081" i="1"/>
  <c r="BL5081" i="1"/>
  <c r="BW5081" i="1"/>
  <c r="CH5081" i="1"/>
  <c r="CS5081" i="1"/>
  <c r="K5082" i="1"/>
  <c r="P5082" i="1"/>
  <c r="R5082" i="1"/>
  <c r="BL5082" i="1"/>
  <c r="BW5082" i="1"/>
  <c r="CH5082" i="1"/>
  <c r="CS5082" i="1"/>
  <c r="K5083" i="1"/>
  <c r="P5083" i="1"/>
  <c r="R5083" i="1"/>
  <c r="BL5083" i="1"/>
  <c r="BW5083" i="1"/>
  <c r="CH5083" i="1"/>
  <c r="CS5083" i="1"/>
  <c r="K5084" i="1"/>
  <c r="P5084" i="1"/>
  <c r="R5084" i="1"/>
  <c r="BL5084" i="1"/>
  <c r="BW5084" i="1"/>
  <c r="CH5084" i="1"/>
  <c r="CS5084" i="1"/>
  <c r="K5085" i="1"/>
  <c r="P5085" i="1"/>
  <c r="R5085" i="1"/>
  <c r="BL5085" i="1"/>
  <c r="BW5085" i="1"/>
  <c r="CH5085" i="1"/>
  <c r="CS5085" i="1"/>
  <c r="K5086" i="1"/>
  <c r="P5086" i="1"/>
  <c r="R5086" i="1"/>
  <c r="BL5086" i="1"/>
  <c r="BW5086" i="1"/>
  <c r="CH5086" i="1"/>
  <c r="CS5086" i="1"/>
  <c r="K5087" i="1"/>
  <c r="P5087" i="1"/>
  <c r="R5087" i="1"/>
  <c r="BL5087" i="1"/>
  <c r="BW5087" i="1"/>
  <c r="CH5087" i="1"/>
  <c r="CS5087" i="1"/>
  <c r="K5088" i="1"/>
  <c r="P5088" i="1"/>
  <c r="R5088" i="1"/>
  <c r="BL5088" i="1"/>
  <c r="BW5088" i="1"/>
  <c r="CH5088" i="1"/>
  <c r="CS5088" i="1"/>
  <c r="K5089" i="1"/>
  <c r="P5089" i="1"/>
  <c r="R5089" i="1"/>
  <c r="BL5089" i="1"/>
  <c r="BW5089" i="1"/>
  <c r="CH5089" i="1"/>
  <c r="CS5089" i="1"/>
  <c r="K5090" i="1"/>
  <c r="P5090" i="1"/>
  <c r="R5090" i="1"/>
  <c r="BL5090" i="1"/>
  <c r="BW5090" i="1"/>
  <c r="CH5090" i="1"/>
  <c r="CS5090" i="1"/>
  <c r="K5091" i="1"/>
  <c r="P5091" i="1"/>
  <c r="R5091" i="1"/>
  <c r="BL5091" i="1"/>
  <c r="BW5091" i="1"/>
  <c r="CH5091" i="1"/>
  <c r="CS5091" i="1"/>
  <c r="K5092" i="1"/>
  <c r="P5092" i="1"/>
  <c r="R5092" i="1"/>
  <c r="BL5092" i="1"/>
  <c r="BW5092" i="1"/>
  <c r="CH5092" i="1"/>
  <c r="CS5092" i="1"/>
  <c r="K5093" i="1"/>
  <c r="P5093" i="1"/>
  <c r="R5093" i="1"/>
  <c r="BL5093" i="1"/>
  <c r="BW5093" i="1"/>
  <c r="CH5093" i="1"/>
  <c r="CS5093" i="1"/>
  <c r="K5094" i="1"/>
  <c r="P5094" i="1"/>
  <c r="R5094" i="1"/>
  <c r="BL5094" i="1"/>
  <c r="BW5094" i="1"/>
  <c r="CH5094" i="1"/>
  <c r="CS5094" i="1"/>
  <c r="K5095" i="1"/>
  <c r="P5095" i="1"/>
  <c r="R5095" i="1"/>
  <c r="BL5095" i="1"/>
  <c r="BW5095" i="1"/>
  <c r="CH5095" i="1"/>
  <c r="CS5095" i="1"/>
  <c r="K5096" i="1"/>
  <c r="P5096" i="1"/>
  <c r="R5096" i="1"/>
  <c r="BL5096" i="1"/>
  <c r="BW5096" i="1"/>
  <c r="CH5096" i="1"/>
  <c r="CS5096" i="1"/>
  <c r="K5097" i="1"/>
  <c r="P5097" i="1"/>
  <c r="R5097" i="1"/>
  <c r="BL5097" i="1"/>
  <c r="BW5097" i="1"/>
  <c r="CH5097" i="1"/>
  <c r="CS5097" i="1"/>
  <c r="K5098" i="1"/>
  <c r="P5098" i="1"/>
  <c r="R5098" i="1"/>
  <c r="BL5098" i="1"/>
  <c r="BW5098" i="1"/>
  <c r="CH5098" i="1"/>
  <c r="CS5098" i="1"/>
  <c r="K5099" i="1"/>
  <c r="P5099" i="1"/>
  <c r="R5099" i="1"/>
  <c r="BL5099" i="1"/>
  <c r="BW5099" i="1"/>
  <c r="CH5099" i="1"/>
  <c r="CS5099" i="1"/>
  <c r="K5100" i="1"/>
  <c r="P5100" i="1"/>
  <c r="R5100" i="1"/>
  <c r="BL5100" i="1"/>
  <c r="BW5100" i="1"/>
  <c r="CH5100" i="1"/>
  <c r="CS5100" i="1"/>
  <c r="K5101" i="1"/>
  <c r="P5101" i="1"/>
  <c r="R5101" i="1"/>
  <c r="BL5101" i="1"/>
  <c r="BW5101" i="1"/>
  <c r="CH5101" i="1"/>
  <c r="CS5101" i="1"/>
  <c r="K5102" i="1"/>
  <c r="P5102" i="1"/>
  <c r="R5102" i="1"/>
  <c r="BL5102" i="1"/>
  <c r="BW5102" i="1"/>
  <c r="CH5102" i="1"/>
  <c r="CS5102" i="1"/>
  <c r="K5103" i="1"/>
  <c r="P5103" i="1"/>
  <c r="R5103" i="1"/>
  <c r="BL5103" i="1"/>
  <c r="BW5103" i="1"/>
  <c r="CH5103" i="1"/>
  <c r="CS5103" i="1"/>
  <c r="K5104" i="1"/>
  <c r="P5104" i="1"/>
  <c r="R5104" i="1"/>
  <c r="BL5104" i="1"/>
  <c r="BW5104" i="1"/>
  <c r="CH5104" i="1"/>
  <c r="CS5104" i="1"/>
  <c r="K5105" i="1"/>
  <c r="P5105" i="1"/>
  <c r="R5105" i="1"/>
  <c r="BL5105" i="1"/>
  <c r="BW5105" i="1"/>
  <c r="CH5105" i="1"/>
  <c r="CS5105" i="1"/>
  <c r="K5106" i="1"/>
  <c r="P5106" i="1"/>
  <c r="R5106" i="1"/>
  <c r="BL5106" i="1"/>
  <c r="BW5106" i="1"/>
  <c r="CH5106" i="1"/>
  <c r="CS5106" i="1"/>
  <c r="K5107" i="1"/>
  <c r="P5107" i="1"/>
  <c r="R5107" i="1"/>
  <c r="BL5107" i="1"/>
  <c r="BW5107" i="1"/>
  <c r="CH5107" i="1"/>
  <c r="CS5107" i="1"/>
  <c r="K5108" i="1"/>
  <c r="P5108" i="1"/>
  <c r="R5108" i="1"/>
  <c r="BL5108" i="1"/>
  <c r="BW5108" i="1"/>
  <c r="CH5108" i="1"/>
  <c r="CS5108" i="1"/>
  <c r="K5109" i="1"/>
  <c r="P5109" i="1"/>
  <c r="R5109" i="1"/>
  <c r="BL5109" i="1"/>
  <c r="BW5109" i="1"/>
  <c r="CH5109" i="1"/>
  <c r="CS5109" i="1"/>
  <c r="K5110" i="1"/>
  <c r="P5110" i="1"/>
  <c r="R5110" i="1"/>
  <c r="BL5110" i="1"/>
  <c r="BW5110" i="1"/>
  <c r="CH5110" i="1"/>
  <c r="CS5110" i="1"/>
  <c r="K5111" i="1"/>
  <c r="P5111" i="1"/>
  <c r="R5111" i="1"/>
  <c r="BL5111" i="1"/>
  <c r="BW5111" i="1"/>
  <c r="CH5111" i="1"/>
  <c r="CS5111" i="1"/>
  <c r="K5112" i="1"/>
  <c r="P5112" i="1"/>
  <c r="R5112" i="1"/>
  <c r="BL5112" i="1"/>
  <c r="BW5112" i="1"/>
  <c r="CH5112" i="1"/>
  <c r="CS5112" i="1"/>
  <c r="K5113" i="1"/>
  <c r="P5113" i="1"/>
  <c r="R5113" i="1"/>
  <c r="BL5113" i="1"/>
  <c r="BW5113" i="1"/>
  <c r="CH5113" i="1"/>
  <c r="CS5113" i="1"/>
  <c r="K5114" i="1"/>
  <c r="P5114" i="1"/>
  <c r="R5114" i="1"/>
  <c r="BL5114" i="1"/>
  <c r="BW5114" i="1"/>
  <c r="CH5114" i="1"/>
  <c r="CS5114" i="1"/>
  <c r="K5115" i="1"/>
  <c r="P5115" i="1"/>
  <c r="R5115" i="1"/>
  <c r="BL5115" i="1"/>
  <c r="BW5115" i="1"/>
  <c r="CH5115" i="1"/>
  <c r="CS5115" i="1"/>
  <c r="K5116" i="1"/>
  <c r="P5116" i="1"/>
  <c r="R5116" i="1"/>
  <c r="BL5116" i="1"/>
  <c r="BW5116" i="1"/>
  <c r="CH5116" i="1"/>
  <c r="CS5116" i="1"/>
  <c r="K5117" i="1"/>
  <c r="P5117" i="1"/>
  <c r="R5117" i="1"/>
  <c r="BL5117" i="1"/>
  <c r="BW5117" i="1"/>
  <c r="CH5117" i="1"/>
  <c r="CS5117" i="1"/>
  <c r="K5118" i="1"/>
  <c r="P5118" i="1"/>
  <c r="R5118" i="1"/>
  <c r="BL5118" i="1"/>
  <c r="BW5118" i="1"/>
  <c r="CH5118" i="1"/>
  <c r="CS5118" i="1"/>
  <c r="K5119" i="1"/>
  <c r="P5119" i="1"/>
  <c r="R5119" i="1"/>
  <c r="BL5119" i="1"/>
  <c r="BW5119" i="1"/>
  <c r="CH5119" i="1"/>
  <c r="CS5119" i="1"/>
  <c r="K5120" i="1"/>
  <c r="P5120" i="1"/>
  <c r="R5120" i="1"/>
  <c r="BL5120" i="1"/>
  <c r="BW5120" i="1"/>
  <c r="CH5120" i="1"/>
  <c r="CS5120" i="1"/>
  <c r="K5121" i="1"/>
  <c r="P5121" i="1"/>
  <c r="R5121" i="1"/>
  <c r="BL5121" i="1"/>
  <c r="BW5121" i="1"/>
  <c r="CH5121" i="1"/>
  <c r="CS5121" i="1"/>
  <c r="K5122" i="1"/>
  <c r="P5122" i="1"/>
  <c r="R5122" i="1"/>
  <c r="BL5122" i="1"/>
  <c r="BW5122" i="1"/>
  <c r="CH5122" i="1"/>
  <c r="CS5122" i="1"/>
  <c r="K5123" i="1"/>
  <c r="P5123" i="1"/>
  <c r="R5123" i="1"/>
  <c r="BL5123" i="1"/>
  <c r="BW5123" i="1"/>
  <c r="CH5123" i="1"/>
  <c r="CS5123" i="1"/>
  <c r="K5124" i="1"/>
  <c r="P5124" i="1"/>
  <c r="R5124" i="1"/>
  <c r="BL5124" i="1"/>
  <c r="BW5124" i="1"/>
  <c r="CH5124" i="1"/>
  <c r="CS5124" i="1"/>
  <c r="K5125" i="1"/>
  <c r="P5125" i="1"/>
  <c r="R5125" i="1"/>
  <c r="BL5125" i="1"/>
  <c r="BW5125" i="1"/>
  <c r="CH5125" i="1"/>
  <c r="CS5125" i="1"/>
  <c r="K5126" i="1"/>
  <c r="P5126" i="1"/>
  <c r="R5126" i="1"/>
  <c r="BL5126" i="1"/>
  <c r="BW5126" i="1"/>
  <c r="CH5126" i="1"/>
  <c r="CS5126" i="1"/>
  <c r="K5127" i="1"/>
  <c r="P5127" i="1"/>
  <c r="R5127" i="1"/>
  <c r="BL5127" i="1"/>
  <c r="BW5127" i="1"/>
  <c r="CH5127" i="1"/>
  <c r="CS5127" i="1"/>
  <c r="K5128" i="1"/>
  <c r="P5128" i="1"/>
  <c r="R5128" i="1"/>
  <c r="BL5128" i="1"/>
  <c r="BW5128" i="1"/>
  <c r="CH5128" i="1"/>
  <c r="CS5128" i="1"/>
  <c r="K5129" i="1"/>
  <c r="P5129" i="1"/>
  <c r="R5129" i="1"/>
  <c r="BL5129" i="1"/>
  <c r="BW5129" i="1"/>
  <c r="CH5129" i="1"/>
  <c r="CS5129" i="1"/>
  <c r="K5130" i="1"/>
  <c r="P5130" i="1"/>
  <c r="R5130" i="1"/>
  <c r="BL5130" i="1"/>
  <c r="BW5130" i="1"/>
  <c r="CH5130" i="1"/>
  <c r="CS5130" i="1"/>
  <c r="K5131" i="1"/>
  <c r="P5131" i="1"/>
  <c r="R5131" i="1"/>
  <c r="BL5131" i="1"/>
  <c r="BW5131" i="1"/>
  <c r="CH5131" i="1"/>
  <c r="CS5131" i="1"/>
  <c r="K5132" i="1"/>
  <c r="P5132" i="1"/>
  <c r="R5132" i="1"/>
  <c r="BL5132" i="1"/>
  <c r="BW5132" i="1"/>
  <c r="CH5132" i="1"/>
  <c r="CS5132" i="1"/>
  <c r="K5133" i="1"/>
  <c r="P5133" i="1"/>
  <c r="R5133" i="1"/>
  <c r="BL5133" i="1"/>
  <c r="BW5133" i="1"/>
  <c r="CH5133" i="1"/>
  <c r="CS5133" i="1"/>
  <c r="K5134" i="1"/>
  <c r="P5134" i="1"/>
  <c r="R5134" i="1"/>
  <c r="BL5134" i="1"/>
  <c r="BW5134" i="1"/>
  <c r="CH5134" i="1"/>
  <c r="CS5134" i="1"/>
  <c r="K5135" i="1"/>
  <c r="P5135" i="1"/>
  <c r="R5135" i="1"/>
  <c r="BL5135" i="1"/>
  <c r="BW5135" i="1"/>
  <c r="CH5135" i="1"/>
  <c r="CS5135" i="1"/>
  <c r="K5136" i="1"/>
  <c r="P5136" i="1"/>
  <c r="R5136" i="1"/>
  <c r="BL5136" i="1"/>
  <c r="BW5136" i="1"/>
  <c r="CH5136" i="1"/>
  <c r="CS5136" i="1"/>
  <c r="K5137" i="1"/>
  <c r="P5137" i="1"/>
  <c r="R5137" i="1"/>
  <c r="BL5137" i="1"/>
  <c r="BW5137" i="1"/>
  <c r="CH5137" i="1"/>
  <c r="CS5137" i="1"/>
  <c r="K5138" i="1"/>
  <c r="P5138" i="1"/>
  <c r="R5138" i="1"/>
  <c r="BL5138" i="1"/>
  <c r="BW5138" i="1"/>
  <c r="CH5138" i="1"/>
  <c r="CS5138" i="1"/>
  <c r="K5139" i="1"/>
  <c r="P5139" i="1"/>
  <c r="R5139" i="1"/>
  <c r="BL5139" i="1"/>
  <c r="BW5139" i="1"/>
  <c r="CH5139" i="1"/>
  <c r="CS5139" i="1"/>
  <c r="K5140" i="1"/>
  <c r="P5140" i="1"/>
  <c r="R5140" i="1"/>
  <c r="BL5140" i="1"/>
  <c r="BW5140" i="1"/>
  <c r="CH5140" i="1"/>
  <c r="CS5140" i="1"/>
  <c r="K5141" i="1"/>
  <c r="P5141" i="1"/>
  <c r="R5141" i="1"/>
  <c r="BL5141" i="1"/>
  <c r="BW5141" i="1"/>
  <c r="CH5141" i="1"/>
  <c r="CS5141" i="1"/>
  <c r="K5142" i="1"/>
  <c r="P5142" i="1"/>
  <c r="R5142" i="1"/>
  <c r="BL5142" i="1"/>
  <c r="BW5142" i="1"/>
  <c r="CH5142" i="1"/>
  <c r="CS5142" i="1"/>
  <c r="K5143" i="1"/>
  <c r="P5143" i="1"/>
  <c r="R5143" i="1"/>
  <c r="BL5143" i="1"/>
  <c r="BW5143" i="1"/>
  <c r="CH5143" i="1"/>
  <c r="CS5143" i="1"/>
  <c r="K5144" i="1"/>
  <c r="P5144" i="1"/>
  <c r="R5144" i="1"/>
  <c r="BL5144" i="1"/>
  <c r="BW5144" i="1"/>
  <c r="CH5144" i="1"/>
  <c r="CS5144" i="1"/>
  <c r="K5145" i="1"/>
  <c r="P5145" i="1"/>
  <c r="R5145" i="1"/>
  <c r="BL5145" i="1"/>
  <c r="BW5145" i="1"/>
  <c r="CH5145" i="1"/>
  <c r="CS5145" i="1"/>
  <c r="K5146" i="1"/>
  <c r="P5146" i="1"/>
  <c r="R5146" i="1"/>
  <c r="BL5146" i="1"/>
  <c r="BW5146" i="1"/>
  <c r="CH5146" i="1"/>
  <c r="CS5146" i="1"/>
  <c r="K5147" i="1"/>
  <c r="P5147" i="1"/>
  <c r="R5147" i="1"/>
  <c r="BL5147" i="1"/>
  <c r="BW5147" i="1"/>
  <c r="CH5147" i="1"/>
  <c r="CS5147" i="1"/>
  <c r="K5148" i="1"/>
  <c r="P5148" i="1"/>
  <c r="R5148" i="1"/>
  <c r="BL5148" i="1"/>
  <c r="BW5148" i="1"/>
  <c r="CH5148" i="1"/>
  <c r="CS5148" i="1"/>
  <c r="K5149" i="1"/>
  <c r="P5149" i="1"/>
  <c r="R5149" i="1"/>
  <c r="BL5149" i="1"/>
  <c r="BW5149" i="1"/>
  <c r="CH5149" i="1"/>
  <c r="CS5149" i="1"/>
  <c r="K5150" i="1"/>
  <c r="P5150" i="1"/>
  <c r="R5150" i="1"/>
  <c r="BL5150" i="1"/>
  <c r="BW5150" i="1"/>
  <c r="CH5150" i="1"/>
  <c r="CS5150" i="1"/>
  <c r="K5151" i="1"/>
  <c r="P5151" i="1"/>
  <c r="R5151" i="1"/>
  <c r="BL5151" i="1"/>
  <c r="BW5151" i="1"/>
  <c r="CH5151" i="1"/>
  <c r="CS5151" i="1"/>
  <c r="K5152" i="1"/>
  <c r="P5152" i="1"/>
  <c r="R5152" i="1"/>
  <c r="BL5152" i="1"/>
  <c r="BW5152" i="1"/>
  <c r="CH5152" i="1"/>
  <c r="CS5152" i="1"/>
  <c r="K5153" i="1"/>
  <c r="P5153" i="1"/>
  <c r="R5153" i="1"/>
  <c r="BL5153" i="1"/>
  <c r="BW5153" i="1"/>
  <c r="CH5153" i="1"/>
  <c r="CS5153" i="1"/>
  <c r="K5154" i="1"/>
  <c r="P5154" i="1"/>
  <c r="R5154" i="1"/>
  <c r="BL5154" i="1"/>
  <c r="BW5154" i="1"/>
  <c r="CH5154" i="1"/>
  <c r="CS5154" i="1"/>
  <c r="K5155" i="1"/>
  <c r="P5155" i="1"/>
  <c r="R5155" i="1"/>
  <c r="BL5155" i="1"/>
  <c r="BW5155" i="1"/>
  <c r="CH5155" i="1"/>
  <c r="CS5155" i="1"/>
  <c r="K5156" i="1"/>
  <c r="P5156" i="1"/>
  <c r="R5156" i="1"/>
  <c r="BL5156" i="1"/>
  <c r="BW5156" i="1"/>
  <c r="CH5156" i="1"/>
  <c r="CS5156" i="1"/>
  <c r="K5157" i="1"/>
  <c r="P5157" i="1"/>
  <c r="R5157" i="1"/>
  <c r="BL5157" i="1"/>
  <c r="BW5157" i="1"/>
  <c r="CH5157" i="1"/>
  <c r="CS5157" i="1"/>
  <c r="K5158" i="1"/>
  <c r="P5158" i="1"/>
  <c r="R5158" i="1"/>
  <c r="BL5158" i="1"/>
  <c r="BW5158" i="1"/>
  <c r="CH5158" i="1"/>
  <c r="CS5158" i="1"/>
  <c r="K5159" i="1"/>
  <c r="P5159" i="1"/>
  <c r="R5159" i="1"/>
  <c r="BL5159" i="1"/>
  <c r="BW5159" i="1"/>
  <c r="CH5159" i="1"/>
  <c r="CS5159" i="1"/>
  <c r="K5160" i="1"/>
  <c r="P5160" i="1"/>
  <c r="R5160" i="1"/>
  <c r="BL5160" i="1"/>
  <c r="BW5160" i="1"/>
  <c r="CH5160" i="1"/>
  <c r="CS5160" i="1"/>
  <c r="K5161" i="1"/>
  <c r="P5161" i="1"/>
  <c r="R5161" i="1"/>
  <c r="BL5161" i="1"/>
  <c r="BW5161" i="1"/>
  <c r="CH5161" i="1"/>
  <c r="CS5161" i="1"/>
  <c r="K5162" i="1"/>
  <c r="P5162" i="1"/>
  <c r="R5162" i="1"/>
  <c r="BL5162" i="1"/>
  <c r="BW5162" i="1"/>
  <c r="CH5162" i="1"/>
  <c r="CS5162" i="1"/>
  <c r="K5163" i="1"/>
  <c r="P5163" i="1"/>
  <c r="R5163" i="1"/>
  <c r="BL5163" i="1"/>
  <c r="BW5163" i="1"/>
  <c r="CH5163" i="1"/>
  <c r="CS5163" i="1"/>
  <c r="K5164" i="1"/>
  <c r="P5164" i="1"/>
  <c r="R5164" i="1"/>
  <c r="BL5164" i="1"/>
  <c r="BW5164" i="1"/>
  <c r="CH5164" i="1"/>
  <c r="CS5164" i="1"/>
  <c r="K5165" i="1"/>
  <c r="P5165" i="1"/>
  <c r="R5165" i="1"/>
  <c r="BL5165" i="1"/>
  <c r="BW5165" i="1"/>
  <c r="CH5165" i="1"/>
  <c r="CS5165" i="1"/>
  <c r="K5166" i="1"/>
  <c r="P5166" i="1"/>
  <c r="R5166" i="1"/>
  <c r="BL5166" i="1"/>
  <c r="BW5166" i="1"/>
  <c r="CH5166" i="1"/>
  <c r="CS5166" i="1"/>
  <c r="K5167" i="1"/>
  <c r="P5167" i="1"/>
  <c r="R5167" i="1"/>
  <c r="BL5167" i="1"/>
  <c r="BW5167" i="1"/>
  <c r="CH5167" i="1"/>
  <c r="CS5167" i="1"/>
  <c r="K5168" i="1"/>
  <c r="P5168" i="1"/>
  <c r="R5168" i="1"/>
  <c r="BL5168" i="1"/>
  <c r="BW5168" i="1"/>
  <c r="CH5168" i="1"/>
  <c r="CS5168" i="1"/>
  <c r="K5169" i="1"/>
  <c r="P5169" i="1"/>
  <c r="R5169" i="1"/>
  <c r="BL5169" i="1"/>
  <c r="BW5169" i="1"/>
  <c r="CH5169" i="1"/>
  <c r="CS5169" i="1"/>
  <c r="K5170" i="1"/>
  <c r="P5170" i="1"/>
  <c r="R5170" i="1"/>
  <c r="BL5170" i="1"/>
  <c r="BW5170" i="1"/>
  <c r="CH5170" i="1"/>
  <c r="CS5170" i="1"/>
  <c r="K5171" i="1"/>
  <c r="P5171" i="1"/>
  <c r="R5171" i="1"/>
  <c r="BL5171" i="1"/>
  <c r="BW5171" i="1"/>
  <c r="CH5171" i="1"/>
  <c r="CS5171" i="1"/>
  <c r="K5172" i="1"/>
  <c r="P5172" i="1"/>
  <c r="R5172" i="1"/>
  <c r="BL5172" i="1"/>
  <c r="BW5172" i="1"/>
  <c r="CH5172" i="1"/>
  <c r="CS5172" i="1"/>
  <c r="K5173" i="1"/>
  <c r="P5173" i="1"/>
  <c r="R5173" i="1"/>
  <c r="BL5173" i="1"/>
  <c r="BW5173" i="1"/>
  <c r="CH5173" i="1"/>
  <c r="CS5173" i="1"/>
  <c r="K5174" i="1"/>
  <c r="P5174" i="1"/>
  <c r="R5174" i="1"/>
  <c r="BL5174" i="1"/>
  <c r="BW5174" i="1"/>
  <c r="CH5174" i="1"/>
  <c r="CS5174" i="1"/>
  <c r="K5175" i="1"/>
  <c r="P5175" i="1"/>
  <c r="R5175" i="1"/>
  <c r="BL5175" i="1"/>
  <c r="BW5175" i="1"/>
  <c r="CH5175" i="1"/>
  <c r="CS5175" i="1"/>
  <c r="K5176" i="1"/>
  <c r="P5176" i="1"/>
  <c r="R5176" i="1"/>
  <c r="BL5176" i="1"/>
  <c r="BW5176" i="1"/>
  <c r="CH5176" i="1"/>
  <c r="CS5176" i="1"/>
  <c r="K5177" i="1"/>
  <c r="P5177" i="1"/>
  <c r="R5177" i="1"/>
  <c r="BL5177" i="1"/>
  <c r="BW5177" i="1"/>
  <c r="CH5177" i="1"/>
  <c r="CS5177" i="1"/>
  <c r="K5178" i="1"/>
  <c r="P5178" i="1"/>
  <c r="R5178" i="1"/>
  <c r="BL5178" i="1"/>
  <c r="BW5178" i="1"/>
  <c r="CH5178" i="1"/>
  <c r="CS5178" i="1"/>
  <c r="K5179" i="1"/>
  <c r="P5179" i="1"/>
  <c r="R5179" i="1"/>
  <c r="BL5179" i="1"/>
  <c r="BW5179" i="1"/>
  <c r="CH5179" i="1"/>
  <c r="CS5179" i="1"/>
  <c r="K5180" i="1"/>
  <c r="P5180" i="1"/>
  <c r="R5180" i="1"/>
  <c r="BL5180" i="1"/>
  <c r="BW5180" i="1"/>
  <c r="CH5180" i="1"/>
  <c r="CS5180" i="1"/>
  <c r="K5181" i="1"/>
  <c r="P5181" i="1"/>
  <c r="R5181" i="1"/>
  <c r="BL5181" i="1"/>
  <c r="BW5181" i="1"/>
  <c r="CH5181" i="1"/>
  <c r="CS5181" i="1"/>
  <c r="K5182" i="1"/>
  <c r="P5182" i="1"/>
  <c r="R5182" i="1"/>
  <c r="BL5182" i="1"/>
  <c r="BW5182" i="1"/>
  <c r="CH5182" i="1"/>
  <c r="CS5182" i="1"/>
  <c r="K5183" i="1"/>
  <c r="P5183" i="1"/>
  <c r="R5183" i="1"/>
  <c r="BL5183" i="1"/>
  <c r="BW5183" i="1"/>
  <c r="CH5183" i="1"/>
  <c r="CS5183" i="1"/>
  <c r="K5184" i="1"/>
  <c r="P5184" i="1"/>
  <c r="R5184" i="1"/>
  <c r="BL5184" i="1"/>
  <c r="BW5184" i="1"/>
  <c r="CH5184" i="1"/>
  <c r="CS5184" i="1"/>
  <c r="K5185" i="1"/>
  <c r="P5185" i="1"/>
  <c r="R5185" i="1"/>
  <c r="BL5185" i="1"/>
  <c r="BW5185" i="1"/>
  <c r="CH5185" i="1"/>
  <c r="CS5185" i="1"/>
  <c r="K5186" i="1"/>
  <c r="P5186" i="1"/>
  <c r="R5186" i="1"/>
  <c r="BL5186" i="1"/>
  <c r="BW5186" i="1"/>
  <c r="CH5186" i="1"/>
  <c r="CS5186" i="1"/>
  <c r="K5187" i="1"/>
  <c r="P5187" i="1"/>
  <c r="R5187" i="1"/>
  <c r="BL5187" i="1"/>
  <c r="BW5187" i="1"/>
  <c r="CH5187" i="1"/>
  <c r="CS5187" i="1"/>
  <c r="K5188" i="1"/>
  <c r="P5188" i="1"/>
  <c r="R5188" i="1"/>
  <c r="BL5188" i="1"/>
  <c r="BW5188" i="1"/>
  <c r="CH5188" i="1"/>
  <c r="CS5188" i="1"/>
  <c r="K5189" i="1"/>
  <c r="P5189" i="1"/>
  <c r="R5189" i="1"/>
  <c r="BL5189" i="1"/>
  <c r="BW5189" i="1"/>
  <c r="CH5189" i="1"/>
  <c r="CS5189" i="1"/>
  <c r="K5190" i="1"/>
  <c r="P5190" i="1"/>
  <c r="R5190" i="1"/>
  <c r="BL5190" i="1"/>
  <c r="BW5190" i="1"/>
  <c r="CH5190" i="1"/>
  <c r="CS5190" i="1"/>
  <c r="K5191" i="1"/>
  <c r="P5191" i="1"/>
  <c r="R5191" i="1"/>
  <c r="BL5191" i="1"/>
  <c r="BW5191" i="1"/>
  <c r="CH5191" i="1"/>
  <c r="CS5191" i="1"/>
  <c r="K5192" i="1"/>
  <c r="P5192" i="1"/>
  <c r="R5192" i="1"/>
  <c r="BL5192" i="1"/>
  <c r="BW5192" i="1"/>
  <c r="CH5192" i="1"/>
  <c r="CS5192" i="1"/>
  <c r="K5193" i="1"/>
  <c r="P5193" i="1"/>
  <c r="R5193" i="1"/>
  <c r="BL5193" i="1"/>
  <c r="BW5193" i="1"/>
  <c r="CH5193" i="1"/>
  <c r="CS5193" i="1"/>
  <c r="K5194" i="1"/>
  <c r="P5194" i="1"/>
  <c r="R5194" i="1"/>
  <c r="BL5194" i="1"/>
  <c r="BW5194" i="1"/>
  <c r="CH5194" i="1"/>
  <c r="CS5194" i="1"/>
  <c r="K5195" i="1"/>
  <c r="P5195" i="1"/>
  <c r="R5195" i="1"/>
  <c r="BL5195" i="1"/>
  <c r="BW5195" i="1"/>
  <c r="CH5195" i="1"/>
  <c r="CS5195" i="1"/>
  <c r="K5196" i="1"/>
  <c r="P5196" i="1"/>
  <c r="R5196" i="1"/>
  <c r="BL5196" i="1"/>
  <c r="BW5196" i="1"/>
  <c r="CH5196" i="1"/>
  <c r="CS5196" i="1"/>
  <c r="K5197" i="1"/>
  <c r="P5197" i="1"/>
  <c r="R5197" i="1"/>
  <c r="BL5197" i="1"/>
  <c r="BW5197" i="1"/>
  <c r="CH5197" i="1"/>
  <c r="CS5197" i="1"/>
  <c r="K5198" i="1"/>
  <c r="P5198" i="1"/>
  <c r="R5198" i="1"/>
  <c r="BL5198" i="1"/>
  <c r="BW5198" i="1"/>
  <c r="CH5198" i="1"/>
  <c r="CS5198" i="1"/>
  <c r="K5199" i="1"/>
  <c r="P5199" i="1"/>
  <c r="R5199" i="1"/>
  <c r="BL5199" i="1"/>
  <c r="BW5199" i="1"/>
  <c r="CH5199" i="1"/>
  <c r="CS5199" i="1"/>
  <c r="K5200" i="1"/>
  <c r="P5200" i="1"/>
  <c r="R5200" i="1"/>
  <c r="BL5200" i="1"/>
  <c r="BW5200" i="1"/>
  <c r="CH5200" i="1"/>
  <c r="CS5200" i="1"/>
  <c r="K5201" i="1"/>
  <c r="P5201" i="1"/>
  <c r="R5201" i="1"/>
  <c r="BL5201" i="1"/>
  <c r="BW5201" i="1"/>
  <c r="CH5201" i="1"/>
  <c r="CS5201" i="1"/>
  <c r="K5202" i="1"/>
  <c r="P5202" i="1"/>
  <c r="R5202" i="1"/>
  <c r="BL5202" i="1"/>
  <c r="BW5202" i="1"/>
  <c r="CH5202" i="1"/>
  <c r="CS5202" i="1"/>
  <c r="K5203" i="1"/>
  <c r="P5203" i="1"/>
  <c r="R5203" i="1"/>
  <c r="BL5203" i="1"/>
  <c r="BW5203" i="1"/>
  <c r="CH5203" i="1"/>
  <c r="CS5203" i="1"/>
  <c r="K5204" i="1"/>
  <c r="P5204" i="1"/>
  <c r="R5204" i="1"/>
  <c r="BL5204" i="1"/>
  <c r="BW5204" i="1"/>
  <c r="CH5204" i="1"/>
  <c r="CS5204" i="1"/>
  <c r="K5205" i="1"/>
  <c r="P5205" i="1"/>
  <c r="R5205" i="1"/>
  <c r="BL5205" i="1"/>
  <c r="BW5205" i="1"/>
  <c r="CH5205" i="1"/>
  <c r="CS5205" i="1"/>
  <c r="K5206" i="1"/>
  <c r="P5206" i="1"/>
  <c r="R5206" i="1"/>
  <c r="BL5206" i="1"/>
  <c r="BW5206" i="1"/>
  <c r="CH5206" i="1"/>
  <c r="CS5206" i="1"/>
  <c r="K5207" i="1"/>
  <c r="P5207" i="1"/>
  <c r="R5207" i="1"/>
  <c r="BL5207" i="1"/>
  <c r="BW5207" i="1"/>
  <c r="CH5207" i="1"/>
  <c r="CS5207" i="1"/>
  <c r="K5208" i="1"/>
  <c r="P5208" i="1"/>
  <c r="R5208" i="1"/>
  <c r="BL5208" i="1"/>
  <c r="BW5208" i="1"/>
  <c r="CH5208" i="1"/>
  <c r="CS5208" i="1"/>
  <c r="K5209" i="1"/>
  <c r="P5209" i="1"/>
  <c r="R5209" i="1"/>
  <c r="BL5209" i="1"/>
  <c r="BW5209" i="1"/>
  <c r="CH5209" i="1"/>
  <c r="CS5209" i="1"/>
  <c r="K5210" i="1"/>
  <c r="P5210" i="1"/>
  <c r="R5210" i="1"/>
  <c r="BL5210" i="1"/>
  <c r="BW5210" i="1"/>
  <c r="CH5210" i="1"/>
  <c r="CS5210" i="1"/>
  <c r="K5211" i="1"/>
  <c r="P5211" i="1"/>
  <c r="R5211" i="1"/>
  <c r="BL5211" i="1"/>
  <c r="BW5211" i="1"/>
  <c r="CH5211" i="1"/>
  <c r="CS5211" i="1"/>
  <c r="K5212" i="1"/>
  <c r="P5212" i="1"/>
  <c r="R5212" i="1"/>
  <c r="BL5212" i="1"/>
  <c r="BW5212" i="1"/>
  <c r="CH5212" i="1"/>
  <c r="CS5212" i="1"/>
  <c r="K5213" i="1"/>
  <c r="P5213" i="1"/>
  <c r="R5213" i="1"/>
  <c r="BL5213" i="1"/>
  <c r="BW5213" i="1"/>
  <c r="CH5213" i="1"/>
  <c r="CS5213" i="1"/>
  <c r="K5214" i="1"/>
  <c r="P5214" i="1"/>
  <c r="R5214" i="1"/>
  <c r="BL5214" i="1"/>
  <c r="BW5214" i="1"/>
  <c r="CH5214" i="1"/>
  <c r="CS5214" i="1"/>
  <c r="K5215" i="1"/>
  <c r="P5215" i="1"/>
  <c r="R5215" i="1"/>
  <c r="BL5215" i="1"/>
  <c r="BW5215" i="1"/>
  <c r="CH5215" i="1"/>
  <c r="CS5215" i="1"/>
  <c r="K5216" i="1"/>
  <c r="P5216" i="1"/>
  <c r="R5216" i="1"/>
  <c r="BL5216" i="1"/>
  <c r="BW5216" i="1"/>
  <c r="CH5216" i="1"/>
  <c r="CS5216" i="1"/>
  <c r="K5217" i="1"/>
  <c r="P5217" i="1"/>
  <c r="R5217" i="1"/>
  <c r="BL5217" i="1"/>
  <c r="BW5217" i="1"/>
  <c r="CH5217" i="1"/>
  <c r="CS5217" i="1"/>
  <c r="K5218" i="1"/>
  <c r="P5218" i="1"/>
  <c r="R5218" i="1"/>
  <c r="BL5218" i="1"/>
  <c r="BW5218" i="1"/>
  <c r="CH5218" i="1"/>
  <c r="CS5218" i="1"/>
  <c r="K5219" i="1"/>
  <c r="P5219" i="1"/>
  <c r="R5219" i="1"/>
  <c r="BL5219" i="1"/>
  <c r="BW5219" i="1"/>
  <c r="CH5219" i="1"/>
  <c r="CS5219" i="1"/>
  <c r="K5220" i="1"/>
  <c r="P5220" i="1"/>
  <c r="R5220" i="1"/>
  <c r="BL5220" i="1"/>
  <c r="BW5220" i="1"/>
  <c r="CH5220" i="1"/>
  <c r="CS5220" i="1"/>
  <c r="K5221" i="1"/>
  <c r="P5221" i="1"/>
  <c r="R5221" i="1"/>
  <c r="BL5221" i="1"/>
  <c r="BW5221" i="1"/>
  <c r="CH5221" i="1"/>
  <c r="CS5221" i="1"/>
  <c r="K5222" i="1"/>
  <c r="P5222" i="1"/>
  <c r="R5222" i="1"/>
  <c r="BL5222" i="1"/>
  <c r="BW5222" i="1"/>
  <c r="CH5222" i="1"/>
  <c r="CS5222" i="1"/>
  <c r="K5223" i="1"/>
  <c r="P5223" i="1"/>
  <c r="R5223" i="1"/>
  <c r="BL5223" i="1"/>
  <c r="BW5223" i="1"/>
  <c r="CH5223" i="1"/>
  <c r="CS5223" i="1"/>
  <c r="K5224" i="1"/>
  <c r="P5224" i="1"/>
  <c r="R5224" i="1"/>
  <c r="BL5224" i="1"/>
  <c r="BW5224" i="1"/>
  <c r="CH5224" i="1"/>
  <c r="CS5224" i="1"/>
  <c r="K5225" i="1"/>
  <c r="P5225" i="1"/>
  <c r="R5225" i="1"/>
  <c r="BL5225" i="1"/>
  <c r="BW5225" i="1"/>
  <c r="CH5225" i="1"/>
  <c r="CS5225" i="1"/>
  <c r="K5226" i="1"/>
  <c r="P5226" i="1"/>
  <c r="R5226" i="1"/>
  <c r="BL5226" i="1"/>
  <c r="BW5226" i="1"/>
  <c r="CH5226" i="1"/>
  <c r="CS5226" i="1"/>
  <c r="K5227" i="1"/>
  <c r="P5227" i="1"/>
  <c r="R5227" i="1"/>
  <c r="BL5227" i="1"/>
  <c r="BW5227" i="1"/>
  <c r="CH5227" i="1"/>
  <c r="CS5227" i="1"/>
  <c r="K5228" i="1"/>
  <c r="P5228" i="1"/>
  <c r="R5228" i="1"/>
  <c r="BL5228" i="1"/>
  <c r="BW5228" i="1"/>
  <c r="CH5228" i="1"/>
  <c r="CS5228" i="1"/>
  <c r="K5229" i="1"/>
  <c r="P5229" i="1"/>
  <c r="R5229" i="1"/>
  <c r="BL5229" i="1"/>
  <c r="BW5229" i="1"/>
  <c r="CH5229" i="1"/>
  <c r="CS5229" i="1"/>
  <c r="K5230" i="1"/>
  <c r="P5230" i="1"/>
  <c r="R5230" i="1"/>
  <c r="BL5230" i="1"/>
  <c r="BW5230" i="1"/>
  <c r="CH5230" i="1"/>
  <c r="CS5230" i="1"/>
  <c r="K5231" i="1"/>
  <c r="P5231" i="1"/>
  <c r="R5231" i="1"/>
  <c r="BL5231" i="1"/>
  <c r="BW5231" i="1"/>
  <c r="CH5231" i="1"/>
  <c r="CS5231" i="1"/>
  <c r="K5232" i="1"/>
  <c r="P5232" i="1"/>
  <c r="R5232" i="1"/>
  <c r="AM5232" i="1"/>
  <c r="BL5232" i="1"/>
  <c r="BW5232" i="1"/>
  <c r="CH5232" i="1"/>
  <c r="CS5232" i="1"/>
  <c r="K5233" i="1"/>
  <c r="P5233" i="1"/>
  <c r="R5233" i="1"/>
  <c r="BL5233" i="1"/>
  <c r="BW5233" i="1"/>
  <c r="CH5233" i="1"/>
  <c r="CS5233" i="1"/>
  <c r="K5234" i="1"/>
  <c r="P5234" i="1"/>
  <c r="R5234" i="1"/>
  <c r="BL5234" i="1"/>
  <c r="BW5234" i="1"/>
  <c r="CH5234" i="1"/>
  <c r="CS5234" i="1"/>
  <c r="K5235" i="1"/>
  <c r="P5235" i="1"/>
  <c r="R5235" i="1"/>
  <c r="BL5235" i="1"/>
  <c r="BW5235" i="1"/>
  <c r="CH5235" i="1"/>
  <c r="CS5235" i="1"/>
  <c r="K5236" i="1"/>
  <c r="P5236" i="1"/>
  <c r="R5236" i="1"/>
  <c r="BL5236" i="1"/>
  <c r="BW5236" i="1"/>
  <c r="CH5236" i="1"/>
  <c r="CS5236" i="1"/>
  <c r="K5237" i="1"/>
  <c r="P5237" i="1"/>
  <c r="R5237" i="1"/>
  <c r="BL5237" i="1"/>
  <c r="BW5237" i="1"/>
  <c r="CH5237" i="1"/>
  <c r="CS5237" i="1"/>
  <c r="K5238" i="1"/>
  <c r="P5238" i="1"/>
  <c r="R5238" i="1"/>
  <c r="BL5238" i="1"/>
  <c r="BW5238" i="1"/>
  <c r="CH5238" i="1"/>
  <c r="CS5238" i="1"/>
  <c r="K5239" i="1"/>
  <c r="P5239" i="1"/>
  <c r="R5239" i="1"/>
  <c r="BL5239" i="1"/>
  <c r="BW5239" i="1"/>
  <c r="CH5239" i="1"/>
  <c r="CS5239" i="1"/>
  <c r="K5240" i="1"/>
  <c r="P5240" i="1"/>
  <c r="R5240" i="1"/>
  <c r="BL5240" i="1"/>
  <c r="BW5240" i="1"/>
  <c r="CH5240" i="1"/>
  <c r="CS5240" i="1"/>
  <c r="K5241" i="1"/>
  <c r="P5241" i="1"/>
  <c r="R5241" i="1"/>
  <c r="BL5241" i="1"/>
  <c r="BW5241" i="1"/>
  <c r="CH5241" i="1"/>
  <c r="CS5241" i="1"/>
  <c r="K5242" i="1"/>
  <c r="P5242" i="1"/>
  <c r="R5242" i="1"/>
  <c r="BL5242" i="1"/>
  <c r="BW5242" i="1"/>
  <c r="CH5242" i="1"/>
  <c r="CS5242" i="1"/>
  <c r="K5243" i="1"/>
  <c r="P5243" i="1"/>
  <c r="R5243" i="1"/>
  <c r="BL5243" i="1"/>
  <c r="BQ5243" i="1"/>
  <c r="BW5243" i="1"/>
  <c r="CH5243" i="1"/>
  <c r="CS5243" i="1"/>
  <c r="K5244" i="1"/>
  <c r="P5244" i="1"/>
  <c r="R5244" i="1"/>
  <c r="BL5244" i="1"/>
  <c r="BW5244" i="1"/>
  <c r="CH5244" i="1"/>
  <c r="CS5244" i="1"/>
  <c r="K5245" i="1"/>
  <c r="P5245" i="1"/>
  <c r="R5245" i="1"/>
  <c r="BL5245" i="1"/>
  <c r="BW5245" i="1"/>
  <c r="CH5245" i="1"/>
  <c r="CS5245" i="1"/>
  <c r="K5246" i="1"/>
  <c r="P5246" i="1"/>
  <c r="R5246" i="1"/>
  <c r="BL5246" i="1"/>
  <c r="BW5246" i="1"/>
  <c r="CH5246" i="1"/>
  <c r="CS5246" i="1"/>
  <c r="K5247" i="1"/>
  <c r="P5247" i="1"/>
  <c r="R5247" i="1"/>
  <c r="BL5247" i="1"/>
  <c r="BW5247" i="1"/>
  <c r="CH5247" i="1"/>
  <c r="CS5247" i="1"/>
  <c r="K5248" i="1"/>
  <c r="P5248" i="1"/>
  <c r="R5248" i="1"/>
  <c r="BL5248" i="1"/>
  <c r="BW5248" i="1"/>
  <c r="CH5248" i="1"/>
  <c r="CS5248" i="1"/>
  <c r="K5249" i="1"/>
  <c r="P5249" i="1"/>
  <c r="R5249" i="1"/>
  <c r="BL5249" i="1"/>
  <c r="BW5249" i="1"/>
  <c r="CH5249" i="1"/>
  <c r="CS5249" i="1"/>
  <c r="K5250" i="1"/>
  <c r="P5250" i="1"/>
  <c r="R5250" i="1"/>
  <c r="BL5250" i="1"/>
  <c r="BW5250" i="1"/>
  <c r="CH5250" i="1"/>
  <c r="CS5250" i="1"/>
  <c r="K5251" i="1"/>
  <c r="P5251" i="1"/>
  <c r="R5251" i="1"/>
  <c r="BL5251" i="1"/>
  <c r="BW5251" i="1"/>
  <c r="CH5251" i="1"/>
  <c r="CS5251" i="1"/>
  <c r="K5252" i="1"/>
  <c r="P5252" i="1"/>
  <c r="R5252" i="1"/>
  <c r="BL5252" i="1"/>
  <c r="BW5252" i="1"/>
  <c r="CH5252" i="1"/>
  <c r="CS5252" i="1"/>
  <c r="K5253" i="1"/>
  <c r="P5253" i="1"/>
  <c r="R5253" i="1"/>
  <c r="BL5253" i="1"/>
  <c r="BW5253" i="1"/>
  <c r="CH5253" i="1"/>
  <c r="CS5253" i="1"/>
  <c r="K5254" i="1"/>
  <c r="P5254" i="1"/>
  <c r="R5254" i="1"/>
  <c r="BL5254" i="1"/>
  <c r="BW5254" i="1"/>
  <c r="CH5254" i="1"/>
  <c r="CS5254" i="1"/>
  <c r="K5255" i="1"/>
  <c r="P5255" i="1"/>
  <c r="R5255" i="1"/>
  <c r="BL5255" i="1"/>
  <c r="BW5255" i="1"/>
  <c r="CH5255" i="1"/>
  <c r="CS5255" i="1"/>
  <c r="K5256" i="1"/>
  <c r="P5256" i="1"/>
  <c r="R5256" i="1"/>
  <c r="BL5256" i="1"/>
  <c r="BW5256" i="1"/>
  <c r="CH5256" i="1"/>
  <c r="CS5256" i="1"/>
  <c r="K5257" i="1"/>
  <c r="P5257" i="1"/>
  <c r="R5257" i="1"/>
  <c r="BL5257" i="1"/>
  <c r="BW5257" i="1"/>
  <c r="CH5257" i="1"/>
  <c r="CS5257" i="1"/>
  <c r="K5258" i="1"/>
  <c r="P5258" i="1"/>
  <c r="R5258" i="1"/>
  <c r="BL5258" i="1"/>
  <c r="BW5258" i="1"/>
  <c r="CH5258" i="1"/>
  <c r="CS5258" i="1"/>
  <c r="K5259" i="1"/>
  <c r="P5259" i="1"/>
  <c r="R5259" i="1"/>
  <c r="BL5259" i="1"/>
  <c r="BW5259" i="1"/>
  <c r="CH5259" i="1"/>
  <c r="CS5259" i="1"/>
  <c r="K5260" i="1"/>
  <c r="P5260" i="1"/>
  <c r="R5260" i="1"/>
  <c r="BL5260" i="1"/>
  <c r="BW5260" i="1"/>
  <c r="CH5260" i="1"/>
  <c r="CS5260" i="1"/>
  <c r="K5261" i="1"/>
  <c r="P5261" i="1"/>
  <c r="R5261" i="1"/>
  <c r="BL5261" i="1"/>
  <c r="BW5261" i="1"/>
  <c r="CH5261" i="1"/>
  <c r="CS5261" i="1"/>
  <c r="K5262" i="1"/>
  <c r="P5262" i="1"/>
  <c r="R5262" i="1"/>
  <c r="BL5262" i="1"/>
  <c r="BW5262" i="1"/>
  <c r="CH5262" i="1"/>
  <c r="CS5262" i="1"/>
  <c r="K5263" i="1"/>
  <c r="P5263" i="1"/>
  <c r="R5263" i="1"/>
  <c r="BL5263" i="1"/>
  <c r="BW5263" i="1"/>
  <c r="CH5263" i="1"/>
  <c r="CS5263" i="1"/>
  <c r="K5264" i="1"/>
  <c r="P5264" i="1"/>
  <c r="R5264" i="1"/>
  <c r="BL5264" i="1"/>
  <c r="BW5264" i="1"/>
  <c r="CH5264" i="1"/>
  <c r="CS5264" i="1"/>
  <c r="K5265" i="1"/>
  <c r="P5265" i="1"/>
  <c r="R5265" i="1"/>
  <c r="BL5265" i="1"/>
  <c r="BW5265" i="1"/>
  <c r="CH5265" i="1"/>
  <c r="CS5265" i="1"/>
  <c r="K5266" i="1"/>
  <c r="P5266" i="1"/>
  <c r="R5266" i="1"/>
  <c r="BL5266" i="1"/>
  <c r="BW5266" i="1"/>
  <c r="CH5266" i="1"/>
  <c r="CS5266" i="1"/>
  <c r="K5267" i="1"/>
  <c r="P5267" i="1"/>
  <c r="R5267" i="1"/>
  <c r="BL5267" i="1"/>
  <c r="BW5267" i="1"/>
  <c r="CH5267" i="1"/>
  <c r="CS5267" i="1"/>
  <c r="K5268" i="1"/>
  <c r="P5268" i="1"/>
  <c r="R5268" i="1"/>
  <c r="BL5268" i="1"/>
  <c r="BW5268" i="1"/>
  <c r="CH5268" i="1"/>
  <c r="CS5268" i="1"/>
  <c r="K5269" i="1"/>
  <c r="P5269" i="1"/>
  <c r="R5269" i="1"/>
  <c r="BL5269" i="1"/>
  <c r="BW5269" i="1"/>
  <c r="CH5269" i="1"/>
  <c r="CS5269" i="1"/>
  <c r="K5270" i="1"/>
  <c r="P5270" i="1"/>
  <c r="R5270" i="1"/>
  <c r="BL5270" i="1"/>
  <c r="BW5270" i="1"/>
  <c r="CH5270" i="1"/>
  <c r="CS5270" i="1"/>
  <c r="K5271" i="1"/>
  <c r="P5271" i="1"/>
  <c r="R5271" i="1"/>
  <c r="BL5271" i="1"/>
  <c r="BW5271" i="1"/>
  <c r="CH5271" i="1"/>
  <c r="CS5271" i="1"/>
  <c r="K5272" i="1"/>
  <c r="P5272" i="1"/>
  <c r="R5272" i="1"/>
  <c r="BL5272" i="1"/>
  <c r="BW5272" i="1"/>
  <c r="CH5272" i="1"/>
  <c r="CS5272" i="1"/>
  <c r="K5273" i="1"/>
  <c r="P5273" i="1"/>
  <c r="R5273" i="1"/>
  <c r="BL5273" i="1"/>
  <c r="BW5273" i="1"/>
  <c r="CH5273" i="1"/>
  <c r="CS5273" i="1"/>
  <c r="K5274" i="1"/>
  <c r="P5274" i="1"/>
  <c r="R5274" i="1"/>
  <c r="BL5274" i="1"/>
  <c r="BW5274" i="1"/>
  <c r="CH5274" i="1"/>
  <c r="CS5274" i="1"/>
  <c r="K5275" i="1"/>
  <c r="P5275" i="1"/>
  <c r="R5275" i="1"/>
  <c r="BL5275" i="1"/>
  <c r="BW5275" i="1"/>
  <c r="CH5275" i="1"/>
  <c r="CS5275" i="1"/>
  <c r="K5276" i="1"/>
  <c r="P5276" i="1"/>
  <c r="R5276" i="1"/>
  <c r="BL5276" i="1"/>
  <c r="BW5276" i="1"/>
  <c r="CH5276" i="1"/>
  <c r="CS5276" i="1"/>
  <c r="K5277" i="1"/>
  <c r="P5277" i="1"/>
  <c r="R5277" i="1"/>
  <c r="BL5277" i="1"/>
  <c r="BW5277" i="1"/>
  <c r="CH5277" i="1"/>
  <c r="CS5277" i="1"/>
  <c r="K5278" i="1"/>
  <c r="P5278" i="1"/>
  <c r="R5278" i="1"/>
  <c r="BL5278" i="1"/>
  <c r="BW5278" i="1"/>
  <c r="CH5278" i="1"/>
  <c r="CS5278" i="1"/>
  <c r="K5279" i="1"/>
  <c r="P5279" i="1"/>
  <c r="R5279" i="1"/>
  <c r="BL5279" i="1"/>
  <c r="BW5279" i="1"/>
  <c r="CH5279" i="1"/>
  <c r="CS5279" i="1"/>
  <c r="K5280" i="1"/>
  <c r="P5280" i="1"/>
  <c r="R5280" i="1"/>
  <c r="BL5280" i="1"/>
  <c r="BW5280" i="1"/>
  <c r="CH5280" i="1"/>
  <c r="CS5280" i="1"/>
  <c r="K5281" i="1"/>
  <c r="P5281" i="1"/>
  <c r="R5281" i="1"/>
  <c r="BL5281" i="1"/>
  <c r="BW5281" i="1"/>
  <c r="CH5281" i="1"/>
  <c r="CS5281" i="1"/>
  <c r="K5282" i="1"/>
  <c r="P5282" i="1"/>
  <c r="R5282" i="1"/>
  <c r="BL5282" i="1"/>
  <c r="BW5282" i="1"/>
  <c r="CH5282" i="1"/>
  <c r="CS5282" i="1"/>
  <c r="K5283" i="1"/>
  <c r="P5283" i="1"/>
  <c r="R5283" i="1"/>
  <c r="BL5283" i="1"/>
  <c r="BW5283" i="1"/>
  <c r="CH5283" i="1"/>
  <c r="CS5283" i="1"/>
  <c r="K5284" i="1"/>
  <c r="P5284" i="1"/>
  <c r="R5284" i="1"/>
  <c r="BL5284" i="1"/>
  <c r="BW5284" i="1"/>
  <c r="CH5284" i="1"/>
  <c r="CS5284" i="1"/>
  <c r="K5285" i="1"/>
  <c r="P5285" i="1"/>
  <c r="R5285" i="1"/>
  <c r="BL5285" i="1"/>
  <c r="BW5285" i="1"/>
  <c r="CH5285" i="1"/>
  <c r="CS5285" i="1"/>
  <c r="K5286" i="1"/>
  <c r="P5286" i="1"/>
  <c r="R5286" i="1"/>
  <c r="BL5286" i="1"/>
  <c r="BW5286" i="1"/>
  <c r="CH5286" i="1"/>
  <c r="CS5286" i="1"/>
  <c r="K5287" i="1"/>
  <c r="P5287" i="1"/>
  <c r="R5287" i="1"/>
  <c r="BL5287" i="1"/>
  <c r="BW5287" i="1"/>
  <c r="CH5287" i="1"/>
  <c r="CS5287" i="1"/>
  <c r="K5288" i="1"/>
  <c r="P5288" i="1"/>
  <c r="R5288" i="1"/>
  <c r="BL5288" i="1"/>
  <c r="BW5288" i="1"/>
  <c r="CH5288" i="1"/>
  <c r="CS5288" i="1"/>
  <c r="K5289" i="1"/>
  <c r="P5289" i="1"/>
  <c r="R5289" i="1"/>
  <c r="BL5289" i="1"/>
  <c r="BW5289" i="1"/>
  <c r="CH5289" i="1"/>
  <c r="CS5289" i="1"/>
  <c r="K5290" i="1"/>
  <c r="P5290" i="1"/>
  <c r="R5290" i="1"/>
  <c r="BL5290" i="1"/>
  <c r="BW5290" i="1"/>
  <c r="CH5290" i="1"/>
  <c r="CS5290" i="1"/>
  <c r="K5291" i="1"/>
  <c r="P5291" i="1"/>
  <c r="R5291" i="1"/>
  <c r="BL5291" i="1"/>
  <c r="BW5291" i="1"/>
  <c r="CH5291" i="1"/>
  <c r="CS5291" i="1"/>
  <c r="K5292" i="1"/>
  <c r="P5292" i="1"/>
  <c r="R5292" i="1"/>
  <c r="BL5292" i="1"/>
  <c r="BW5292" i="1"/>
  <c r="CH5292" i="1"/>
  <c r="CS5292" i="1"/>
  <c r="K5293" i="1"/>
  <c r="P5293" i="1"/>
  <c r="R5293" i="1"/>
  <c r="BL5293" i="1"/>
  <c r="BW5293" i="1"/>
  <c r="CH5293" i="1"/>
  <c r="CS5293" i="1"/>
  <c r="K5294" i="1"/>
  <c r="P5294" i="1"/>
  <c r="R5294" i="1"/>
  <c r="BL5294" i="1"/>
  <c r="BW5294" i="1"/>
  <c r="CH5294" i="1"/>
  <c r="CS5294" i="1"/>
  <c r="K5295" i="1"/>
  <c r="P5295" i="1"/>
  <c r="R5295" i="1"/>
  <c r="BL5295" i="1"/>
  <c r="BW5295" i="1"/>
  <c r="CH5295" i="1"/>
  <c r="CS5295" i="1"/>
  <c r="K5296" i="1"/>
  <c r="P5296" i="1"/>
  <c r="R5296" i="1"/>
  <c r="BL5296" i="1"/>
  <c r="BW5296" i="1"/>
  <c r="CH5296" i="1"/>
  <c r="CS5296" i="1"/>
  <c r="K5297" i="1"/>
  <c r="P5297" i="1"/>
  <c r="R5297" i="1"/>
  <c r="BL5297" i="1"/>
  <c r="BW5297" i="1"/>
  <c r="CH5297" i="1"/>
  <c r="CS5297" i="1"/>
  <c r="K5298" i="1"/>
  <c r="P5298" i="1"/>
  <c r="R5298" i="1"/>
  <c r="BL5298" i="1"/>
  <c r="BW5298" i="1"/>
  <c r="CH5298" i="1"/>
  <c r="CS5298" i="1"/>
  <c r="K5299" i="1"/>
  <c r="P5299" i="1"/>
  <c r="R5299" i="1"/>
  <c r="BL5299" i="1"/>
  <c r="BW5299" i="1"/>
  <c r="CH5299" i="1"/>
  <c r="CS5299" i="1"/>
  <c r="K5300" i="1"/>
  <c r="P5300" i="1"/>
  <c r="R5300" i="1"/>
  <c r="BL5300" i="1"/>
  <c r="BW5300" i="1"/>
  <c r="CH5300" i="1"/>
  <c r="CS5300" i="1"/>
  <c r="K5301" i="1"/>
  <c r="P5301" i="1"/>
  <c r="R5301" i="1"/>
  <c r="BL5301" i="1"/>
  <c r="BW5301" i="1"/>
  <c r="CH5301" i="1"/>
  <c r="CS5301" i="1"/>
  <c r="K5302" i="1"/>
  <c r="P5302" i="1"/>
  <c r="R5302" i="1"/>
  <c r="BL5302" i="1"/>
  <c r="BW5302" i="1"/>
  <c r="CH5302" i="1"/>
  <c r="CS5302" i="1"/>
  <c r="K5303" i="1"/>
  <c r="P5303" i="1"/>
  <c r="R5303" i="1"/>
  <c r="BL5303" i="1"/>
  <c r="BW5303" i="1"/>
  <c r="CH5303" i="1"/>
  <c r="CS5303" i="1"/>
  <c r="K5304" i="1"/>
  <c r="P5304" i="1"/>
  <c r="R5304" i="1"/>
  <c r="BL5304" i="1"/>
  <c r="BW5304" i="1"/>
  <c r="CH5304" i="1"/>
  <c r="CS5304" i="1"/>
  <c r="K5305" i="1"/>
  <c r="P5305" i="1"/>
  <c r="R5305" i="1"/>
  <c r="BL5305" i="1"/>
  <c r="BW5305" i="1"/>
  <c r="CH5305" i="1"/>
  <c r="CS5305" i="1"/>
  <c r="K5306" i="1"/>
  <c r="P5306" i="1"/>
  <c r="R5306" i="1"/>
  <c r="BL5306" i="1"/>
  <c r="BW5306" i="1"/>
  <c r="CH5306" i="1"/>
  <c r="CS5306" i="1"/>
  <c r="K5307" i="1"/>
  <c r="P5307" i="1"/>
  <c r="R5307" i="1"/>
  <c r="BL5307" i="1"/>
  <c r="BW5307" i="1"/>
  <c r="CH5307" i="1"/>
  <c r="CS5307" i="1"/>
  <c r="K5308" i="1"/>
  <c r="P5308" i="1"/>
  <c r="R5308" i="1"/>
  <c r="BL5308" i="1"/>
  <c r="BW5308" i="1"/>
  <c r="CH5308" i="1"/>
  <c r="CS5308" i="1"/>
  <c r="K5309" i="1"/>
  <c r="P5309" i="1"/>
  <c r="R5309" i="1"/>
  <c r="BL5309" i="1"/>
  <c r="BW5309" i="1"/>
  <c r="CH5309" i="1"/>
  <c r="CS5309" i="1"/>
  <c r="K5310" i="1"/>
  <c r="P5310" i="1"/>
  <c r="R5310" i="1"/>
  <c r="BL5310" i="1"/>
  <c r="BW5310" i="1"/>
  <c r="CH5310" i="1"/>
  <c r="CS5310" i="1"/>
  <c r="K5311" i="1"/>
  <c r="P5311" i="1"/>
  <c r="R5311" i="1"/>
  <c r="BL5311" i="1"/>
  <c r="BW5311" i="1"/>
  <c r="CH5311" i="1"/>
  <c r="CS5311" i="1"/>
  <c r="K5312" i="1"/>
  <c r="P5312" i="1"/>
  <c r="R5312" i="1"/>
  <c r="BL5312" i="1"/>
  <c r="BW5312" i="1"/>
  <c r="CH5312" i="1"/>
  <c r="CS5312" i="1"/>
  <c r="K5313" i="1"/>
  <c r="P5313" i="1"/>
  <c r="R5313" i="1"/>
  <c r="BL5313" i="1"/>
  <c r="BW5313" i="1"/>
  <c r="CH5313" i="1"/>
  <c r="CS5313" i="1"/>
  <c r="K5314" i="1"/>
  <c r="P5314" i="1"/>
  <c r="R5314" i="1"/>
  <c r="BL5314" i="1"/>
  <c r="BW5314" i="1"/>
  <c r="CH5314" i="1"/>
  <c r="CS5314" i="1"/>
  <c r="K5315" i="1"/>
  <c r="P5315" i="1"/>
  <c r="R5315" i="1"/>
  <c r="BL5315" i="1"/>
  <c r="BW5315" i="1"/>
  <c r="CH5315" i="1"/>
  <c r="CS5315" i="1"/>
  <c r="K5316" i="1"/>
  <c r="P5316" i="1"/>
  <c r="R5316" i="1"/>
  <c r="BL5316" i="1"/>
  <c r="BW5316" i="1"/>
  <c r="CH5316" i="1"/>
  <c r="CS5316" i="1"/>
  <c r="K5317" i="1"/>
  <c r="P5317" i="1"/>
  <c r="R5317" i="1"/>
  <c r="BL5317" i="1"/>
  <c r="BW5317" i="1"/>
  <c r="CH5317" i="1"/>
  <c r="CS5317" i="1"/>
  <c r="K5318" i="1"/>
  <c r="P5318" i="1"/>
  <c r="R5318" i="1"/>
  <c r="BL5318" i="1"/>
  <c r="BW5318" i="1"/>
  <c r="CH5318" i="1"/>
  <c r="CS5318" i="1"/>
  <c r="K5319" i="1"/>
  <c r="P5319" i="1"/>
  <c r="R5319" i="1"/>
  <c r="BL5319" i="1"/>
  <c r="BW5319" i="1"/>
  <c r="CH5319" i="1"/>
  <c r="CS5319" i="1"/>
  <c r="K5320" i="1"/>
  <c r="P5320" i="1"/>
  <c r="R5320" i="1"/>
  <c r="BL5320" i="1"/>
  <c r="BW5320" i="1"/>
  <c r="CH5320" i="1"/>
  <c r="CS5320" i="1"/>
  <c r="K5321" i="1"/>
  <c r="P5321" i="1"/>
  <c r="R5321" i="1"/>
  <c r="BL5321" i="1"/>
  <c r="BW5321" i="1"/>
  <c r="CH5321" i="1"/>
  <c r="CS5321" i="1"/>
  <c r="K5322" i="1"/>
  <c r="P5322" i="1"/>
  <c r="R5322" i="1"/>
  <c r="BL5322" i="1"/>
  <c r="BW5322" i="1"/>
  <c r="CH5322" i="1"/>
  <c r="CS5322" i="1"/>
  <c r="K5323" i="1"/>
  <c r="P5323" i="1"/>
  <c r="R5323" i="1"/>
  <c r="BL5323" i="1"/>
  <c r="BW5323" i="1"/>
  <c r="CH5323" i="1"/>
  <c r="CS5323" i="1"/>
  <c r="K5324" i="1"/>
  <c r="P5324" i="1"/>
  <c r="R5324" i="1"/>
  <c r="BL5324" i="1"/>
  <c r="BW5324" i="1"/>
  <c r="CH5324" i="1"/>
  <c r="CS5324" i="1"/>
  <c r="K5325" i="1"/>
  <c r="P5325" i="1"/>
  <c r="R5325" i="1"/>
  <c r="BL5325" i="1"/>
  <c r="BW5325" i="1"/>
  <c r="CH5325" i="1"/>
  <c r="CS5325" i="1"/>
  <c r="K5326" i="1"/>
  <c r="P5326" i="1"/>
  <c r="R5326" i="1"/>
  <c r="BL5326" i="1"/>
  <c r="BW5326" i="1"/>
  <c r="CH5326" i="1"/>
  <c r="CS5326" i="1"/>
  <c r="K5327" i="1"/>
  <c r="P5327" i="1"/>
  <c r="R5327" i="1"/>
  <c r="BL5327" i="1"/>
  <c r="BW5327" i="1"/>
  <c r="CH5327" i="1"/>
  <c r="CS5327" i="1"/>
  <c r="K5328" i="1"/>
  <c r="P5328" i="1"/>
  <c r="R5328" i="1"/>
  <c r="BL5328" i="1"/>
  <c r="BW5328" i="1"/>
  <c r="CH5328" i="1"/>
  <c r="CS5328" i="1"/>
  <c r="K5329" i="1"/>
  <c r="P5329" i="1"/>
  <c r="R5329" i="1"/>
  <c r="BL5329" i="1"/>
  <c r="BW5329" i="1"/>
  <c r="CH5329" i="1"/>
  <c r="CS5329" i="1"/>
  <c r="K5330" i="1"/>
  <c r="P5330" i="1"/>
  <c r="R5330" i="1"/>
  <c r="BL5330" i="1"/>
  <c r="BW5330" i="1"/>
  <c r="CH5330" i="1"/>
  <c r="CS5330" i="1"/>
  <c r="K5331" i="1"/>
  <c r="P5331" i="1"/>
  <c r="R5331" i="1"/>
  <c r="BL5331" i="1"/>
  <c r="BW5331" i="1"/>
  <c r="CH5331" i="1"/>
  <c r="CS5331" i="1"/>
  <c r="K5332" i="1"/>
  <c r="P5332" i="1"/>
  <c r="R5332" i="1"/>
  <c r="BL5332" i="1"/>
  <c r="BW5332" i="1"/>
  <c r="CH5332" i="1"/>
  <c r="CS5332" i="1"/>
  <c r="K5333" i="1"/>
  <c r="P5333" i="1"/>
  <c r="R5333" i="1"/>
  <c r="BL5333" i="1"/>
  <c r="BW5333" i="1"/>
  <c r="CH5333" i="1"/>
  <c r="CS5333" i="1"/>
  <c r="K5334" i="1"/>
  <c r="P5334" i="1"/>
  <c r="R5334" i="1"/>
  <c r="BL5334" i="1"/>
  <c r="BW5334" i="1"/>
  <c r="CH5334" i="1"/>
  <c r="CS5334" i="1"/>
  <c r="K5335" i="1"/>
  <c r="P5335" i="1"/>
  <c r="R5335" i="1"/>
  <c r="BL5335" i="1"/>
  <c r="BW5335" i="1"/>
  <c r="CH5335" i="1"/>
  <c r="CS5335" i="1"/>
  <c r="K5336" i="1"/>
  <c r="P5336" i="1"/>
  <c r="R5336" i="1"/>
  <c r="BL5336" i="1"/>
  <c r="BW5336" i="1"/>
  <c r="CH5336" i="1"/>
  <c r="CS5336" i="1"/>
  <c r="K5337" i="1"/>
  <c r="P5337" i="1"/>
  <c r="R5337" i="1"/>
  <c r="AM5337" i="1"/>
  <c r="BL5337" i="1"/>
  <c r="BW5337" i="1"/>
  <c r="CH5337" i="1"/>
  <c r="CS5337" i="1"/>
  <c r="K5338" i="1"/>
  <c r="P5338" i="1"/>
  <c r="R5338" i="1"/>
  <c r="BL5338" i="1"/>
  <c r="BW5338" i="1"/>
  <c r="CH5338" i="1"/>
  <c r="CS5338" i="1"/>
  <c r="K5339" i="1"/>
  <c r="P5339" i="1"/>
  <c r="R5339" i="1"/>
  <c r="BL5339" i="1"/>
  <c r="BW5339" i="1"/>
  <c r="CH5339" i="1"/>
  <c r="CS5339" i="1"/>
  <c r="K5340" i="1"/>
  <c r="P5340" i="1"/>
  <c r="R5340" i="1"/>
  <c r="BL5340" i="1"/>
  <c r="BW5340" i="1"/>
  <c r="CH5340" i="1"/>
  <c r="CS5340" i="1"/>
  <c r="K5341" i="1"/>
  <c r="P5341" i="1"/>
  <c r="R5341" i="1"/>
  <c r="BL5341" i="1"/>
  <c r="BW5341" i="1"/>
  <c r="CH5341" i="1"/>
  <c r="CS5341" i="1"/>
  <c r="K5342" i="1"/>
  <c r="P5342" i="1"/>
  <c r="R5342" i="1"/>
  <c r="BL5342" i="1"/>
  <c r="BW5342" i="1"/>
  <c r="CH5342" i="1"/>
  <c r="CS5342" i="1"/>
  <c r="K5343" i="1"/>
  <c r="P5343" i="1"/>
  <c r="R5343" i="1"/>
  <c r="BL5343" i="1"/>
  <c r="BW5343" i="1"/>
  <c r="CH5343" i="1"/>
  <c r="CS5343" i="1"/>
  <c r="K5344" i="1"/>
  <c r="P5344" i="1"/>
  <c r="R5344" i="1"/>
  <c r="BL5344" i="1"/>
  <c r="BW5344" i="1"/>
  <c r="CH5344" i="1"/>
  <c r="CS5344" i="1"/>
  <c r="K5345" i="1"/>
  <c r="P5345" i="1"/>
  <c r="R5345" i="1"/>
  <c r="BL5345" i="1"/>
  <c r="BW5345" i="1"/>
  <c r="CH5345" i="1"/>
  <c r="CS5345" i="1"/>
  <c r="K5346" i="1"/>
  <c r="P5346" i="1"/>
  <c r="R5346" i="1"/>
  <c r="BL5346" i="1"/>
  <c r="BW5346" i="1"/>
  <c r="CH5346" i="1"/>
  <c r="CS5346" i="1"/>
  <c r="K5347" i="1"/>
  <c r="P5347" i="1"/>
  <c r="R5347" i="1"/>
  <c r="BL5347" i="1"/>
  <c r="BW5347" i="1"/>
  <c r="CH5347" i="1"/>
  <c r="CS5347" i="1"/>
  <c r="K5348" i="1"/>
  <c r="P5348" i="1"/>
  <c r="R5348" i="1"/>
  <c r="BL5348" i="1"/>
  <c r="BW5348" i="1"/>
  <c r="CH5348" i="1"/>
  <c r="CS5348" i="1"/>
  <c r="K5349" i="1"/>
  <c r="P5349" i="1"/>
  <c r="R5349" i="1"/>
  <c r="BL5349" i="1"/>
  <c r="BW5349" i="1"/>
  <c r="CH5349" i="1"/>
  <c r="CS5349" i="1"/>
  <c r="K5350" i="1"/>
  <c r="P5350" i="1"/>
  <c r="R5350" i="1"/>
  <c r="BL5350" i="1"/>
  <c r="BW5350" i="1"/>
  <c r="CH5350" i="1"/>
  <c r="CS5350" i="1"/>
  <c r="K5351" i="1"/>
  <c r="P5351" i="1"/>
  <c r="R5351" i="1"/>
  <c r="BL5351" i="1"/>
  <c r="BW5351" i="1"/>
  <c r="CH5351" i="1"/>
  <c r="CS5351" i="1"/>
  <c r="K5352" i="1"/>
  <c r="P5352" i="1"/>
  <c r="R5352" i="1"/>
  <c r="BL5352" i="1"/>
  <c r="BW5352" i="1"/>
  <c r="CH5352" i="1"/>
  <c r="CS5352" i="1"/>
  <c r="K5353" i="1"/>
  <c r="P5353" i="1"/>
  <c r="R5353" i="1"/>
  <c r="BL5353" i="1"/>
  <c r="BW5353" i="1"/>
  <c r="CH5353" i="1"/>
  <c r="CS5353" i="1"/>
  <c r="K5354" i="1"/>
  <c r="P5354" i="1"/>
  <c r="R5354" i="1"/>
  <c r="BL5354" i="1"/>
  <c r="BW5354" i="1"/>
  <c r="CH5354" i="1"/>
  <c r="CS5354" i="1"/>
  <c r="K5355" i="1"/>
  <c r="P5355" i="1"/>
  <c r="R5355" i="1"/>
  <c r="BL5355" i="1"/>
  <c r="BW5355" i="1"/>
  <c r="CH5355" i="1"/>
  <c r="CS5355" i="1"/>
  <c r="K5356" i="1"/>
  <c r="P5356" i="1"/>
  <c r="R5356" i="1"/>
  <c r="BL5356" i="1"/>
  <c r="BW5356" i="1"/>
  <c r="CH5356" i="1"/>
  <c r="CS5356" i="1"/>
  <c r="K5357" i="1"/>
  <c r="P5357" i="1"/>
  <c r="R5357" i="1"/>
  <c r="BL5357" i="1"/>
  <c r="BW5357" i="1"/>
  <c r="CH5357" i="1"/>
  <c r="CS5357" i="1"/>
  <c r="K5358" i="1"/>
  <c r="P5358" i="1"/>
  <c r="R5358" i="1"/>
  <c r="BL5358" i="1"/>
  <c r="BW5358" i="1"/>
  <c r="CH5358" i="1"/>
  <c r="CS5358" i="1"/>
  <c r="K5359" i="1"/>
  <c r="P5359" i="1"/>
  <c r="R5359" i="1"/>
  <c r="BL5359" i="1"/>
  <c r="BW5359" i="1"/>
  <c r="CH5359" i="1"/>
  <c r="CS5359" i="1"/>
  <c r="K5360" i="1"/>
  <c r="P5360" i="1"/>
  <c r="R5360" i="1"/>
  <c r="BL5360" i="1"/>
  <c r="BW5360" i="1"/>
  <c r="CH5360" i="1"/>
  <c r="CS5360" i="1"/>
  <c r="K5361" i="1"/>
  <c r="P5361" i="1"/>
  <c r="R5361" i="1"/>
  <c r="BL5361" i="1"/>
  <c r="BW5361" i="1"/>
  <c r="CH5361" i="1"/>
  <c r="CS5361" i="1"/>
  <c r="K5362" i="1"/>
  <c r="P5362" i="1"/>
  <c r="R5362" i="1"/>
  <c r="BL5362" i="1"/>
  <c r="BW5362" i="1"/>
  <c r="CH5362" i="1"/>
  <c r="CS5362" i="1"/>
  <c r="K5363" i="1"/>
  <c r="P5363" i="1"/>
  <c r="R5363" i="1"/>
  <c r="BL5363" i="1"/>
  <c r="BW5363" i="1"/>
  <c r="CH5363" i="1"/>
  <c r="CS5363" i="1"/>
  <c r="K5364" i="1"/>
  <c r="P5364" i="1"/>
  <c r="R5364" i="1"/>
  <c r="BL5364" i="1"/>
  <c r="BW5364" i="1"/>
  <c r="CH5364" i="1"/>
  <c r="CS5364" i="1"/>
  <c r="K5365" i="1"/>
  <c r="P5365" i="1"/>
  <c r="R5365" i="1"/>
  <c r="BL5365" i="1"/>
  <c r="BW5365" i="1"/>
  <c r="CH5365" i="1"/>
  <c r="CS5365" i="1"/>
  <c r="K5366" i="1"/>
  <c r="P5366" i="1"/>
  <c r="R5366" i="1"/>
  <c r="BL5366" i="1"/>
  <c r="BW5366" i="1"/>
  <c r="CH5366" i="1"/>
  <c r="CS5366" i="1"/>
  <c r="K5367" i="1"/>
  <c r="P5367" i="1"/>
  <c r="R5367" i="1"/>
  <c r="BL5367" i="1"/>
  <c r="BW5367" i="1"/>
  <c r="CH5367" i="1"/>
  <c r="CS5367" i="1"/>
  <c r="K5368" i="1"/>
  <c r="P5368" i="1"/>
  <c r="R5368" i="1"/>
  <c r="BL5368" i="1"/>
  <c r="BW5368" i="1"/>
  <c r="CH5368" i="1"/>
  <c r="CS5368" i="1"/>
  <c r="K5369" i="1"/>
  <c r="P5369" i="1"/>
  <c r="R5369" i="1"/>
  <c r="BL5369" i="1"/>
  <c r="BW5369" i="1"/>
  <c r="CH5369" i="1"/>
  <c r="CS5369" i="1"/>
  <c r="K5370" i="1"/>
  <c r="P5370" i="1"/>
  <c r="R5370" i="1"/>
  <c r="BL5370" i="1"/>
  <c r="BW5370" i="1"/>
  <c r="CH5370" i="1"/>
  <c r="CS5370" i="1"/>
  <c r="K5371" i="1"/>
  <c r="P5371" i="1"/>
  <c r="R5371" i="1"/>
  <c r="BL5371" i="1"/>
  <c r="BW5371" i="1"/>
  <c r="CH5371" i="1"/>
  <c r="CS5371" i="1"/>
  <c r="K5372" i="1"/>
  <c r="P5372" i="1"/>
  <c r="R5372" i="1"/>
  <c r="BL5372" i="1"/>
  <c r="BW5372" i="1"/>
  <c r="CH5372" i="1"/>
  <c r="CS5372" i="1"/>
  <c r="K5373" i="1"/>
  <c r="P5373" i="1"/>
  <c r="R5373" i="1"/>
  <c r="BL5373" i="1"/>
  <c r="BW5373" i="1"/>
  <c r="CH5373" i="1"/>
  <c r="CS5373" i="1"/>
  <c r="K5374" i="1"/>
  <c r="P5374" i="1"/>
  <c r="R5374" i="1"/>
  <c r="BL5374" i="1"/>
  <c r="BW5374" i="1"/>
  <c r="CH5374" i="1"/>
  <c r="CS5374" i="1"/>
  <c r="K5375" i="1"/>
  <c r="P5375" i="1"/>
  <c r="R5375" i="1"/>
  <c r="BL5375" i="1"/>
  <c r="BW5375" i="1"/>
  <c r="CH5375" i="1"/>
  <c r="CS5375" i="1"/>
  <c r="K5376" i="1"/>
  <c r="P5376" i="1"/>
  <c r="R5376" i="1"/>
  <c r="BL5376" i="1"/>
  <c r="BW5376" i="1"/>
  <c r="CH5376" i="1"/>
  <c r="CS5376" i="1"/>
  <c r="K5377" i="1"/>
  <c r="P5377" i="1"/>
  <c r="R5377" i="1"/>
  <c r="BL5377" i="1"/>
  <c r="BW5377" i="1"/>
  <c r="CH5377" i="1"/>
  <c r="CS5377" i="1"/>
  <c r="K5378" i="1"/>
  <c r="P5378" i="1"/>
  <c r="R5378" i="1"/>
  <c r="BL5378" i="1"/>
  <c r="BW5378" i="1"/>
  <c r="CH5378" i="1"/>
  <c r="CS5378" i="1"/>
  <c r="K5379" i="1"/>
  <c r="P5379" i="1"/>
  <c r="R5379" i="1"/>
  <c r="BL5379" i="1"/>
  <c r="BW5379" i="1"/>
  <c r="CH5379" i="1"/>
  <c r="CS5379" i="1"/>
  <c r="K5380" i="1"/>
  <c r="P5380" i="1"/>
  <c r="R5380" i="1"/>
  <c r="BL5380" i="1"/>
  <c r="BW5380" i="1"/>
  <c r="CH5380" i="1"/>
  <c r="CS5380" i="1"/>
  <c r="K5381" i="1"/>
  <c r="P5381" i="1"/>
  <c r="R5381" i="1"/>
  <c r="BL5381" i="1"/>
  <c r="BW5381" i="1"/>
  <c r="CH5381" i="1"/>
  <c r="CS5381" i="1"/>
  <c r="K5382" i="1"/>
  <c r="P5382" i="1"/>
  <c r="R5382" i="1"/>
  <c r="BL5382" i="1"/>
  <c r="BW5382" i="1"/>
  <c r="CH5382" i="1"/>
  <c r="CS5382" i="1"/>
  <c r="K5383" i="1"/>
  <c r="P5383" i="1"/>
  <c r="R5383" i="1"/>
  <c r="BL5383" i="1"/>
  <c r="BW5383" i="1"/>
  <c r="CH5383" i="1"/>
  <c r="CS5383" i="1"/>
  <c r="K5384" i="1"/>
  <c r="P5384" i="1"/>
  <c r="R5384" i="1"/>
  <c r="BL5384" i="1"/>
  <c r="BW5384" i="1"/>
  <c r="CH5384" i="1"/>
  <c r="CS5384" i="1"/>
  <c r="K5385" i="1"/>
  <c r="P5385" i="1"/>
  <c r="R5385" i="1"/>
  <c r="BL5385" i="1"/>
  <c r="BW5385" i="1"/>
  <c r="CH5385" i="1"/>
  <c r="CS5385" i="1"/>
  <c r="K5386" i="1"/>
  <c r="P5386" i="1"/>
  <c r="R5386" i="1"/>
  <c r="BL5386" i="1"/>
  <c r="BW5386" i="1"/>
  <c r="CH5386" i="1"/>
  <c r="CS5386" i="1"/>
  <c r="K5387" i="1"/>
  <c r="P5387" i="1"/>
  <c r="R5387" i="1"/>
  <c r="BL5387" i="1"/>
  <c r="BW5387" i="1"/>
  <c r="CH5387" i="1"/>
  <c r="CS5387" i="1"/>
  <c r="K5388" i="1"/>
  <c r="P5388" i="1"/>
  <c r="R5388" i="1"/>
  <c r="BL5388" i="1"/>
  <c r="BW5388" i="1"/>
  <c r="CH5388" i="1"/>
  <c r="CS5388" i="1"/>
  <c r="K5389" i="1"/>
  <c r="P5389" i="1"/>
  <c r="R5389" i="1"/>
  <c r="BL5389" i="1"/>
  <c r="BW5389" i="1"/>
  <c r="CH5389" i="1"/>
  <c r="CS5389" i="1"/>
  <c r="K5390" i="1"/>
  <c r="P5390" i="1"/>
  <c r="R5390" i="1"/>
  <c r="BL5390" i="1"/>
  <c r="BW5390" i="1"/>
  <c r="CH5390" i="1"/>
  <c r="CS5390" i="1"/>
  <c r="K5391" i="1"/>
  <c r="P5391" i="1"/>
  <c r="R5391" i="1"/>
  <c r="BL5391" i="1"/>
  <c r="BW5391" i="1"/>
  <c r="CH5391" i="1"/>
  <c r="CS5391" i="1"/>
  <c r="K5392" i="1"/>
  <c r="P5392" i="1"/>
  <c r="R5392" i="1"/>
  <c r="BL5392" i="1"/>
  <c r="BW5392" i="1"/>
  <c r="CH5392" i="1"/>
  <c r="CS5392" i="1"/>
  <c r="K5393" i="1"/>
  <c r="P5393" i="1"/>
  <c r="R5393" i="1"/>
  <c r="BL5393" i="1"/>
  <c r="BW5393" i="1"/>
  <c r="CH5393" i="1"/>
  <c r="CS5393" i="1"/>
  <c r="K5394" i="1"/>
  <c r="P5394" i="1"/>
  <c r="R5394" i="1"/>
  <c r="BL5394" i="1"/>
  <c r="BW5394" i="1"/>
  <c r="CH5394" i="1"/>
  <c r="CS5394" i="1"/>
  <c r="K5395" i="1"/>
  <c r="P5395" i="1"/>
  <c r="R5395" i="1"/>
  <c r="BL5395" i="1"/>
  <c r="BW5395" i="1"/>
  <c r="CH5395" i="1"/>
  <c r="CS5395" i="1"/>
  <c r="K5396" i="1"/>
  <c r="P5396" i="1"/>
  <c r="R5396" i="1"/>
  <c r="BL5396" i="1"/>
  <c r="BW5396" i="1"/>
  <c r="CH5396" i="1"/>
  <c r="CS5396" i="1"/>
  <c r="K5397" i="1"/>
  <c r="P5397" i="1"/>
  <c r="R5397" i="1"/>
  <c r="BL5397" i="1"/>
  <c r="BW5397" i="1"/>
  <c r="CH5397" i="1"/>
  <c r="CS5397" i="1"/>
  <c r="K5398" i="1"/>
  <c r="P5398" i="1"/>
  <c r="R5398" i="1"/>
  <c r="BL5398" i="1"/>
  <c r="BW5398" i="1"/>
  <c r="CH5398" i="1"/>
  <c r="CS5398" i="1"/>
  <c r="K5399" i="1"/>
  <c r="P5399" i="1"/>
  <c r="R5399" i="1"/>
  <c r="BL5399" i="1"/>
  <c r="BW5399" i="1"/>
  <c r="CH5399" i="1"/>
  <c r="CS5399" i="1"/>
  <c r="K5400" i="1"/>
  <c r="P5400" i="1"/>
  <c r="R5400" i="1"/>
  <c r="AM5400" i="1"/>
  <c r="BL5400" i="1"/>
  <c r="BW5400" i="1"/>
  <c r="CH5400" i="1"/>
  <c r="CS5400" i="1"/>
  <c r="K5401" i="1"/>
  <c r="P5401" i="1"/>
  <c r="R5401" i="1"/>
  <c r="BL5401" i="1"/>
  <c r="BW5401" i="1"/>
  <c r="CH5401" i="1"/>
  <c r="CS5401" i="1"/>
  <c r="K5402" i="1"/>
  <c r="P5402" i="1"/>
  <c r="R5402" i="1"/>
  <c r="BL5402" i="1"/>
  <c r="BW5402" i="1"/>
  <c r="CH5402" i="1"/>
  <c r="CS5402" i="1"/>
  <c r="K5403" i="1"/>
  <c r="P5403" i="1"/>
  <c r="R5403" i="1"/>
  <c r="BL5403" i="1"/>
  <c r="BW5403" i="1"/>
  <c r="CH5403" i="1"/>
  <c r="CS5403" i="1"/>
  <c r="K5404" i="1"/>
  <c r="P5404" i="1"/>
  <c r="R5404" i="1"/>
  <c r="BL5404" i="1"/>
  <c r="BW5404" i="1"/>
  <c r="CH5404" i="1"/>
  <c r="CS5404" i="1"/>
  <c r="K5405" i="1"/>
  <c r="P5405" i="1"/>
  <c r="R5405" i="1"/>
  <c r="BL5405" i="1"/>
  <c r="BW5405" i="1"/>
  <c r="CH5405" i="1"/>
  <c r="CS5405" i="1"/>
  <c r="K5406" i="1"/>
  <c r="P5406" i="1"/>
  <c r="R5406" i="1"/>
  <c r="BL5406" i="1"/>
  <c r="BW5406" i="1"/>
  <c r="CH5406" i="1"/>
  <c r="CS5406" i="1"/>
  <c r="K5407" i="1"/>
  <c r="P5407" i="1"/>
  <c r="R5407" i="1"/>
  <c r="BL5407" i="1"/>
  <c r="BW5407" i="1"/>
  <c r="CH5407" i="1"/>
  <c r="CS5407" i="1"/>
  <c r="K5408" i="1"/>
  <c r="P5408" i="1"/>
  <c r="R5408" i="1"/>
  <c r="BL5408" i="1"/>
  <c r="BW5408" i="1"/>
  <c r="CH5408" i="1"/>
  <c r="CS5408" i="1"/>
  <c r="K5409" i="1"/>
  <c r="P5409" i="1"/>
  <c r="R5409" i="1"/>
  <c r="BL5409" i="1"/>
  <c r="BW5409" i="1"/>
  <c r="CH5409" i="1"/>
  <c r="CS5409" i="1"/>
  <c r="K5410" i="1"/>
  <c r="P5410" i="1"/>
  <c r="R5410" i="1"/>
  <c r="BL5410" i="1"/>
  <c r="BW5410" i="1"/>
  <c r="CH5410" i="1"/>
  <c r="CS5410" i="1"/>
  <c r="K5411" i="1"/>
  <c r="P5411" i="1"/>
  <c r="R5411" i="1"/>
  <c r="BL5411" i="1"/>
  <c r="BW5411" i="1"/>
  <c r="CH5411" i="1"/>
  <c r="CS5411" i="1"/>
  <c r="K5412" i="1"/>
  <c r="P5412" i="1"/>
  <c r="R5412" i="1"/>
  <c r="BL5412" i="1"/>
  <c r="BW5412" i="1"/>
  <c r="CH5412" i="1"/>
  <c r="CS5412" i="1"/>
  <c r="K5413" i="1"/>
  <c r="P5413" i="1"/>
  <c r="R5413" i="1"/>
  <c r="BL5413" i="1"/>
  <c r="BW5413" i="1"/>
  <c r="CH5413" i="1"/>
  <c r="CS5413" i="1"/>
  <c r="K5414" i="1"/>
  <c r="P5414" i="1"/>
  <c r="R5414" i="1"/>
  <c r="BL5414" i="1"/>
  <c r="BW5414" i="1"/>
  <c r="CH5414" i="1"/>
  <c r="CS5414" i="1"/>
  <c r="K5415" i="1"/>
  <c r="P5415" i="1"/>
  <c r="R5415" i="1"/>
  <c r="BL5415" i="1"/>
  <c r="BW5415" i="1"/>
  <c r="CH5415" i="1"/>
  <c r="CS5415" i="1"/>
  <c r="K5416" i="1"/>
  <c r="P5416" i="1"/>
  <c r="R5416" i="1"/>
  <c r="BL5416" i="1"/>
  <c r="BW5416" i="1"/>
  <c r="CH5416" i="1"/>
  <c r="CS5416" i="1"/>
  <c r="K5417" i="1"/>
  <c r="P5417" i="1"/>
  <c r="R5417" i="1"/>
  <c r="BL5417" i="1"/>
  <c r="BW5417" i="1"/>
  <c r="CH5417" i="1"/>
  <c r="CS5417" i="1"/>
  <c r="K5418" i="1"/>
  <c r="P5418" i="1"/>
  <c r="R5418" i="1"/>
  <c r="BL5418" i="1"/>
  <c r="BW5418" i="1"/>
  <c r="CH5418" i="1"/>
  <c r="CS5418" i="1"/>
  <c r="K5419" i="1"/>
  <c r="P5419" i="1"/>
  <c r="R5419" i="1"/>
  <c r="BL5419" i="1"/>
  <c r="BW5419" i="1"/>
  <c r="CH5419" i="1"/>
  <c r="CS5419" i="1"/>
  <c r="K5420" i="1"/>
  <c r="P5420" i="1"/>
  <c r="R5420" i="1"/>
  <c r="BL5420" i="1"/>
  <c r="BW5420" i="1"/>
  <c r="CH5420" i="1"/>
  <c r="CS5420" i="1"/>
  <c r="K5421" i="1"/>
  <c r="P5421" i="1"/>
  <c r="R5421" i="1"/>
  <c r="BL5421" i="1"/>
  <c r="BW5421" i="1"/>
  <c r="CH5421" i="1"/>
  <c r="CS5421" i="1"/>
  <c r="K5422" i="1"/>
  <c r="P5422" i="1"/>
  <c r="R5422" i="1"/>
  <c r="BL5422" i="1"/>
  <c r="BW5422" i="1"/>
  <c r="CH5422" i="1"/>
  <c r="CS5422" i="1"/>
  <c r="K5423" i="1"/>
  <c r="P5423" i="1"/>
  <c r="R5423" i="1"/>
  <c r="BL5423" i="1"/>
  <c r="BW5423" i="1"/>
  <c r="CH5423" i="1"/>
  <c r="CS5423" i="1"/>
  <c r="K5424" i="1"/>
  <c r="P5424" i="1"/>
  <c r="R5424" i="1"/>
  <c r="BL5424" i="1"/>
  <c r="BW5424" i="1"/>
  <c r="CH5424" i="1"/>
  <c r="CS5424" i="1"/>
  <c r="K5425" i="1"/>
  <c r="P5425" i="1"/>
  <c r="R5425" i="1"/>
  <c r="BL5425" i="1"/>
  <c r="BW5425" i="1"/>
  <c r="CH5425" i="1"/>
  <c r="CS5425" i="1"/>
  <c r="K5426" i="1"/>
  <c r="P5426" i="1"/>
  <c r="R5426" i="1"/>
  <c r="BL5426" i="1"/>
  <c r="BW5426" i="1"/>
  <c r="CH5426" i="1"/>
  <c r="CS5426" i="1"/>
  <c r="K5427" i="1"/>
  <c r="P5427" i="1"/>
  <c r="R5427" i="1"/>
  <c r="BL5427" i="1"/>
  <c r="BW5427" i="1"/>
  <c r="CH5427" i="1"/>
  <c r="CS5427" i="1"/>
  <c r="K5428" i="1"/>
  <c r="P5428" i="1"/>
  <c r="R5428" i="1"/>
  <c r="BL5428" i="1"/>
  <c r="BW5428" i="1"/>
  <c r="CH5428" i="1"/>
  <c r="CS5428" i="1"/>
  <c r="K5429" i="1"/>
  <c r="P5429" i="1"/>
  <c r="R5429" i="1"/>
  <c r="BL5429" i="1"/>
  <c r="BW5429" i="1"/>
  <c r="CH5429" i="1"/>
  <c r="CS5429" i="1"/>
  <c r="K5430" i="1"/>
  <c r="P5430" i="1"/>
  <c r="R5430" i="1"/>
  <c r="BL5430" i="1"/>
  <c r="BW5430" i="1"/>
  <c r="CH5430" i="1"/>
  <c r="CS5430" i="1"/>
  <c r="K5431" i="1"/>
  <c r="P5431" i="1"/>
  <c r="R5431" i="1"/>
  <c r="BL5431" i="1"/>
  <c r="BW5431" i="1"/>
  <c r="CH5431" i="1"/>
  <c r="CS5431" i="1"/>
  <c r="K5432" i="1"/>
  <c r="P5432" i="1"/>
  <c r="R5432" i="1"/>
  <c r="BL5432" i="1"/>
  <c r="BW5432" i="1"/>
  <c r="CH5432" i="1"/>
  <c r="CS5432" i="1"/>
  <c r="K5433" i="1"/>
  <c r="P5433" i="1"/>
  <c r="R5433" i="1"/>
  <c r="BL5433" i="1"/>
  <c r="BW5433" i="1"/>
  <c r="CH5433" i="1"/>
  <c r="CS5433" i="1"/>
  <c r="K5434" i="1"/>
  <c r="P5434" i="1"/>
  <c r="R5434" i="1"/>
  <c r="BL5434" i="1"/>
  <c r="BW5434" i="1"/>
  <c r="CH5434" i="1"/>
  <c r="CS5434" i="1"/>
  <c r="K5435" i="1"/>
  <c r="P5435" i="1"/>
  <c r="R5435" i="1"/>
  <c r="BL5435" i="1"/>
  <c r="BW5435" i="1"/>
  <c r="CH5435" i="1"/>
  <c r="CS5435" i="1"/>
  <c r="K5436" i="1"/>
  <c r="P5436" i="1"/>
  <c r="R5436" i="1"/>
  <c r="BL5436" i="1"/>
  <c r="BW5436" i="1"/>
  <c r="CH5436" i="1"/>
  <c r="CS5436" i="1"/>
  <c r="K5437" i="1"/>
  <c r="P5437" i="1"/>
  <c r="R5437" i="1"/>
  <c r="BL5437" i="1"/>
  <c r="BW5437" i="1"/>
  <c r="CH5437" i="1"/>
  <c r="CS5437" i="1"/>
  <c r="K5438" i="1"/>
  <c r="P5438" i="1"/>
  <c r="R5438" i="1"/>
  <c r="BL5438" i="1"/>
  <c r="BW5438" i="1"/>
  <c r="CH5438" i="1"/>
  <c r="CS5438" i="1"/>
  <c r="K5439" i="1"/>
  <c r="P5439" i="1"/>
  <c r="R5439" i="1"/>
  <c r="BL5439" i="1"/>
  <c r="BW5439" i="1"/>
  <c r="CH5439" i="1"/>
  <c r="CS5439" i="1"/>
  <c r="K5440" i="1"/>
  <c r="P5440" i="1"/>
  <c r="R5440" i="1"/>
  <c r="BL5440" i="1"/>
  <c r="BW5440" i="1"/>
  <c r="CH5440" i="1"/>
  <c r="CS5440" i="1"/>
  <c r="K5441" i="1"/>
  <c r="P5441" i="1"/>
  <c r="R5441" i="1"/>
  <c r="BL5441" i="1"/>
  <c r="BW5441" i="1"/>
  <c r="CH5441" i="1"/>
  <c r="CS5441" i="1"/>
  <c r="K5442" i="1"/>
  <c r="P5442" i="1"/>
  <c r="R5442" i="1"/>
  <c r="BL5442" i="1"/>
  <c r="BW5442" i="1"/>
  <c r="CH5442" i="1"/>
  <c r="CS5442" i="1"/>
  <c r="K5443" i="1"/>
  <c r="P5443" i="1"/>
  <c r="R5443" i="1"/>
  <c r="BL5443" i="1"/>
  <c r="BW5443" i="1"/>
  <c r="CH5443" i="1"/>
  <c r="CS5443" i="1"/>
  <c r="K5444" i="1"/>
  <c r="P5444" i="1"/>
  <c r="R5444" i="1"/>
  <c r="BL5444" i="1"/>
  <c r="BQ5444" i="1"/>
  <c r="BW5444" i="1"/>
  <c r="CH5444" i="1"/>
  <c r="CS5444" i="1"/>
  <c r="K5445" i="1"/>
  <c r="P5445" i="1"/>
  <c r="R5445" i="1"/>
  <c r="BL5445" i="1"/>
  <c r="BW5445" i="1"/>
  <c r="CH5445" i="1"/>
  <c r="CS5445" i="1"/>
  <c r="K5446" i="1"/>
  <c r="P5446" i="1"/>
  <c r="R5446" i="1"/>
  <c r="BL5446" i="1"/>
  <c r="BW5446" i="1"/>
  <c r="CH5446" i="1"/>
  <c r="CS5446" i="1"/>
  <c r="K5447" i="1"/>
  <c r="P5447" i="1"/>
  <c r="R5447" i="1"/>
  <c r="BL5447" i="1"/>
  <c r="BW5447" i="1"/>
  <c r="CH5447" i="1"/>
  <c r="CS5447" i="1"/>
  <c r="K5448" i="1"/>
  <c r="P5448" i="1"/>
  <c r="R5448" i="1"/>
  <c r="BL5448" i="1"/>
  <c r="BW5448" i="1"/>
  <c r="CH5448" i="1"/>
  <c r="CS5448" i="1"/>
  <c r="K5449" i="1"/>
  <c r="P5449" i="1"/>
  <c r="R5449" i="1"/>
  <c r="BL5449" i="1"/>
  <c r="BW5449" i="1"/>
  <c r="CH5449" i="1"/>
  <c r="CS5449" i="1"/>
  <c r="K5450" i="1"/>
  <c r="P5450" i="1"/>
  <c r="R5450" i="1"/>
  <c r="BL5450" i="1"/>
  <c r="BW5450" i="1"/>
  <c r="CH5450" i="1"/>
  <c r="CS5450" i="1"/>
  <c r="K5451" i="1"/>
  <c r="P5451" i="1"/>
  <c r="R5451" i="1"/>
  <c r="BL5451" i="1"/>
  <c r="BW5451" i="1"/>
  <c r="CH5451" i="1"/>
  <c r="CS5451" i="1"/>
  <c r="K5452" i="1"/>
  <c r="P5452" i="1"/>
  <c r="R5452" i="1"/>
  <c r="BL5452" i="1"/>
  <c r="BW5452" i="1"/>
  <c r="CH5452" i="1"/>
  <c r="CS5452" i="1"/>
  <c r="K5453" i="1"/>
  <c r="P5453" i="1"/>
  <c r="R5453" i="1"/>
  <c r="BL5453" i="1"/>
  <c r="BW5453" i="1"/>
  <c r="CH5453" i="1"/>
  <c r="CS5453" i="1"/>
  <c r="K5454" i="1"/>
  <c r="P5454" i="1"/>
  <c r="R5454" i="1"/>
  <c r="BL5454" i="1"/>
  <c r="BW5454" i="1"/>
  <c r="CH5454" i="1"/>
  <c r="CS5454" i="1"/>
  <c r="K5455" i="1"/>
  <c r="P5455" i="1"/>
  <c r="R5455" i="1"/>
  <c r="BL5455" i="1"/>
  <c r="BW5455" i="1"/>
  <c r="CH5455" i="1"/>
  <c r="CS5455" i="1"/>
  <c r="K5456" i="1"/>
  <c r="P5456" i="1"/>
  <c r="R5456" i="1"/>
  <c r="BL5456" i="1"/>
  <c r="BW5456" i="1"/>
  <c r="CH5456" i="1"/>
  <c r="CS5456" i="1"/>
  <c r="K5457" i="1"/>
  <c r="P5457" i="1"/>
  <c r="R5457" i="1"/>
  <c r="BL5457" i="1"/>
  <c r="BW5457" i="1"/>
  <c r="CH5457" i="1"/>
  <c r="CS5457" i="1"/>
  <c r="K5458" i="1"/>
  <c r="P5458" i="1"/>
  <c r="R5458" i="1"/>
  <c r="BL5458" i="1"/>
  <c r="BW5458" i="1"/>
  <c r="CH5458" i="1"/>
  <c r="CS5458" i="1"/>
  <c r="K5459" i="1"/>
  <c r="P5459" i="1"/>
  <c r="R5459" i="1"/>
  <c r="BL5459" i="1"/>
  <c r="BW5459" i="1"/>
  <c r="CH5459" i="1"/>
  <c r="CS5459" i="1"/>
  <c r="K5460" i="1"/>
  <c r="P5460" i="1"/>
  <c r="R5460" i="1"/>
  <c r="BL5460" i="1"/>
  <c r="BW5460" i="1"/>
  <c r="CH5460" i="1"/>
  <c r="CS5460" i="1"/>
  <c r="K5461" i="1"/>
  <c r="P5461" i="1"/>
  <c r="R5461" i="1"/>
  <c r="BL5461" i="1"/>
  <c r="BW5461" i="1"/>
  <c r="CH5461" i="1"/>
  <c r="CS5461" i="1"/>
  <c r="K5462" i="1"/>
  <c r="P5462" i="1"/>
  <c r="R5462" i="1"/>
  <c r="BL5462" i="1"/>
  <c r="BW5462" i="1"/>
  <c r="CH5462" i="1"/>
  <c r="CS5462" i="1"/>
  <c r="K5463" i="1"/>
  <c r="P5463" i="1"/>
  <c r="R5463" i="1"/>
  <c r="BL5463" i="1"/>
  <c r="BW5463" i="1"/>
  <c r="CH5463" i="1"/>
  <c r="CS5463" i="1"/>
  <c r="K5464" i="1"/>
  <c r="P5464" i="1"/>
  <c r="R5464" i="1"/>
  <c r="BL5464" i="1"/>
  <c r="BW5464" i="1"/>
  <c r="CH5464" i="1"/>
  <c r="CS5464" i="1"/>
  <c r="K5465" i="1"/>
  <c r="P5465" i="1"/>
  <c r="R5465" i="1"/>
  <c r="BL5465" i="1"/>
  <c r="BW5465" i="1"/>
  <c r="CH5465" i="1"/>
  <c r="CS5465" i="1"/>
  <c r="K5466" i="1"/>
  <c r="P5466" i="1"/>
  <c r="R5466" i="1"/>
  <c r="BL5466" i="1"/>
  <c r="BW5466" i="1"/>
  <c r="CH5466" i="1"/>
  <c r="CS5466" i="1"/>
  <c r="K5467" i="1"/>
  <c r="P5467" i="1"/>
  <c r="R5467" i="1"/>
  <c r="BL5467" i="1"/>
  <c r="BW5467" i="1"/>
  <c r="CH5467" i="1"/>
  <c r="CS5467" i="1"/>
  <c r="K5468" i="1"/>
  <c r="P5468" i="1"/>
  <c r="R5468" i="1"/>
  <c r="BL5468" i="1"/>
  <c r="BW5468" i="1"/>
  <c r="CH5468" i="1"/>
  <c r="CS5468" i="1"/>
  <c r="K5469" i="1"/>
  <c r="P5469" i="1"/>
  <c r="R5469" i="1"/>
  <c r="BL5469" i="1"/>
  <c r="BW5469" i="1"/>
  <c r="CH5469" i="1"/>
  <c r="CS5469" i="1"/>
  <c r="K5470" i="1"/>
  <c r="P5470" i="1"/>
  <c r="R5470" i="1"/>
  <c r="BL5470" i="1"/>
  <c r="BW5470" i="1"/>
  <c r="CH5470" i="1"/>
  <c r="CS5470" i="1"/>
  <c r="K5471" i="1"/>
  <c r="P5471" i="1"/>
  <c r="R5471" i="1"/>
  <c r="BL5471" i="1"/>
  <c r="BW5471" i="1"/>
  <c r="CH5471" i="1"/>
  <c r="CS5471" i="1"/>
  <c r="K5472" i="1"/>
  <c r="P5472" i="1"/>
  <c r="R5472" i="1"/>
  <c r="BL5472" i="1"/>
  <c r="BW5472" i="1"/>
  <c r="CH5472" i="1"/>
  <c r="CS5472" i="1"/>
  <c r="K5473" i="1"/>
  <c r="P5473" i="1"/>
  <c r="R5473" i="1"/>
  <c r="BL5473" i="1"/>
  <c r="BW5473" i="1"/>
  <c r="CH5473" i="1"/>
  <c r="CS5473" i="1"/>
  <c r="K5474" i="1"/>
  <c r="P5474" i="1"/>
  <c r="R5474" i="1"/>
  <c r="BL5474" i="1"/>
  <c r="BW5474" i="1"/>
  <c r="CH5474" i="1"/>
  <c r="CS5474" i="1"/>
  <c r="K5475" i="1"/>
  <c r="P5475" i="1"/>
  <c r="R5475" i="1"/>
  <c r="BL5475" i="1"/>
  <c r="BW5475" i="1"/>
  <c r="CH5475" i="1"/>
  <c r="CS5475" i="1"/>
  <c r="K5476" i="1"/>
  <c r="P5476" i="1"/>
  <c r="R5476" i="1"/>
  <c r="BL5476" i="1"/>
  <c r="BW5476" i="1"/>
  <c r="CH5476" i="1"/>
  <c r="CS5476" i="1"/>
  <c r="K5477" i="1"/>
  <c r="P5477" i="1"/>
  <c r="R5477" i="1"/>
  <c r="BL5477" i="1"/>
  <c r="BW5477" i="1"/>
  <c r="CH5477" i="1"/>
  <c r="CS5477" i="1"/>
  <c r="K5478" i="1"/>
  <c r="P5478" i="1"/>
  <c r="R5478" i="1"/>
  <c r="BL5478" i="1"/>
  <c r="BW5478" i="1"/>
  <c r="CH5478" i="1"/>
  <c r="CS5478" i="1"/>
  <c r="K5479" i="1"/>
  <c r="P5479" i="1"/>
  <c r="R5479" i="1"/>
  <c r="BL5479" i="1"/>
  <c r="BW5479" i="1"/>
  <c r="CH5479" i="1"/>
  <c r="CS5479" i="1"/>
  <c r="K5480" i="1"/>
  <c r="P5480" i="1"/>
  <c r="R5480" i="1"/>
  <c r="BL5480" i="1"/>
  <c r="BW5480" i="1"/>
  <c r="CH5480" i="1"/>
  <c r="CS5480" i="1"/>
  <c r="K5481" i="1"/>
  <c r="P5481" i="1"/>
  <c r="R5481" i="1"/>
  <c r="BL5481" i="1"/>
  <c r="BW5481" i="1"/>
  <c r="CH5481" i="1"/>
  <c r="CS5481" i="1"/>
  <c r="K5482" i="1"/>
  <c r="P5482" i="1"/>
  <c r="R5482" i="1"/>
  <c r="BL5482" i="1"/>
  <c r="BW5482" i="1"/>
  <c r="CH5482" i="1"/>
  <c r="CS5482" i="1"/>
  <c r="K5483" i="1"/>
  <c r="P5483" i="1"/>
  <c r="R5483" i="1"/>
  <c r="BL5483" i="1"/>
  <c r="BW5483" i="1"/>
  <c r="CH5483" i="1"/>
  <c r="CS5483" i="1"/>
  <c r="K5484" i="1"/>
  <c r="P5484" i="1"/>
  <c r="R5484" i="1"/>
  <c r="BL5484" i="1"/>
  <c r="BW5484" i="1"/>
  <c r="CH5484" i="1"/>
  <c r="CS5484" i="1"/>
  <c r="K5485" i="1"/>
  <c r="P5485" i="1"/>
  <c r="R5485" i="1"/>
  <c r="BL5485" i="1"/>
  <c r="BW5485" i="1"/>
  <c r="CH5485" i="1"/>
  <c r="CS5485" i="1"/>
  <c r="K5486" i="1"/>
  <c r="P5486" i="1"/>
  <c r="R5486" i="1"/>
  <c r="BL5486" i="1"/>
  <c r="BW5486" i="1"/>
  <c r="CH5486" i="1"/>
  <c r="CS5486" i="1"/>
  <c r="K5487" i="1"/>
  <c r="P5487" i="1"/>
  <c r="R5487" i="1"/>
  <c r="BL5487" i="1"/>
  <c r="BW5487" i="1"/>
  <c r="CH5487" i="1"/>
  <c r="CS5487" i="1"/>
  <c r="K5488" i="1"/>
  <c r="P5488" i="1"/>
  <c r="R5488" i="1"/>
  <c r="BL5488" i="1"/>
  <c r="BW5488" i="1"/>
  <c r="CH5488" i="1"/>
  <c r="CS5488" i="1"/>
  <c r="K5489" i="1"/>
  <c r="P5489" i="1"/>
  <c r="R5489" i="1"/>
  <c r="BL5489" i="1"/>
  <c r="BW5489" i="1"/>
  <c r="CH5489" i="1"/>
  <c r="CS5489" i="1"/>
  <c r="K5490" i="1"/>
  <c r="P5490" i="1"/>
  <c r="R5490" i="1"/>
  <c r="BL5490" i="1"/>
  <c r="BW5490" i="1"/>
  <c r="CH5490" i="1"/>
  <c r="CS5490" i="1"/>
  <c r="K5491" i="1"/>
  <c r="P5491" i="1"/>
  <c r="R5491" i="1"/>
  <c r="BL5491" i="1"/>
  <c r="BW5491" i="1"/>
  <c r="CH5491" i="1"/>
  <c r="CS5491" i="1"/>
  <c r="K5492" i="1"/>
  <c r="P5492" i="1"/>
  <c r="R5492" i="1"/>
  <c r="BL5492" i="1"/>
  <c r="BW5492" i="1"/>
  <c r="CH5492" i="1"/>
  <c r="CS5492" i="1"/>
  <c r="K5493" i="1"/>
  <c r="P5493" i="1"/>
  <c r="R5493" i="1"/>
  <c r="BL5493" i="1"/>
  <c r="BW5493" i="1"/>
  <c r="CH5493" i="1"/>
  <c r="CS5493" i="1"/>
  <c r="K5494" i="1"/>
  <c r="P5494" i="1"/>
  <c r="R5494" i="1"/>
  <c r="BL5494" i="1"/>
  <c r="BW5494" i="1"/>
  <c r="CH5494" i="1"/>
  <c r="CS5494" i="1"/>
  <c r="K5495" i="1"/>
  <c r="P5495" i="1"/>
  <c r="R5495" i="1"/>
  <c r="BL5495" i="1"/>
  <c r="BW5495" i="1"/>
  <c r="CH5495" i="1"/>
  <c r="CS5495" i="1"/>
  <c r="K5496" i="1"/>
  <c r="P5496" i="1"/>
  <c r="R5496" i="1"/>
  <c r="BL5496" i="1"/>
  <c r="BW5496" i="1"/>
  <c r="CH5496" i="1"/>
  <c r="CS5496" i="1"/>
  <c r="K5497" i="1"/>
  <c r="P5497" i="1"/>
  <c r="R5497" i="1"/>
  <c r="BL5497" i="1"/>
  <c r="BW5497" i="1"/>
  <c r="CH5497" i="1"/>
  <c r="CS5497" i="1"/>
  <c r="K5498" i="1"/>
  <c r="P5498" i="1"/>
  <c r="R5498" i="1"/>
  <c r="BL5498" i="1"/>
  <c r="BW5498" i="1"/>
  <c r="CH5498" i="1"/>
  <c r="CS5498" i="1"/>
  <c r="K5499" i="1"/>
  <c r="P5499" i="1"/>
  <c r="R5499" i="1"/>
  <c r="BL5499" i="1"/>
  <c r="BW5499" i="1"/>
  <c r="CH5499" i="1"/>
  <c r="CS5499" i="1"/>
  <c r="K5500" i="1"/>
  <c r="P5500" i="1"/>
  <c r="R5500" i="1"/>
  <c r="BL5500" i="1"/>
  <c r="BW5500" i="1"/>
  <c r="CH5500" i="1"/>
  <c r="CS5500" i="1"/>
  <c r="K5501" i="1"/>
  <c r="P5501" i="1"/>
  <c r="R5501" i="1"/>
  <c r="BL5501" i="1"/>
  <c r="BW5501" i="1"/>
  <c r="CH5501" i="1"/>
  <c r="CS5501" i="1"/>
  <c r="K5502" i="1"/>
  <c r="P5502" i="1"/>
  <c r="R5502" i="1"/>
  <c r="BL5502" i="1"/>
  <c r="BW5502" i="1"/>
  <c r="CH5502" i="1"/>
  <c r="CS5502" i="1"/>
  <c r="K5503" i="1"/>
  <c r="P5503" i="1"/>
  <c r="R5503" i="1"/>
  <c r="BL5503" i="1"/>
  <c r="BW5503" i="1"/>
  <c r="CH5503" i="1"/>
  <c r="CS5503" i="1"/>
  <c r="K5504" i="1"/>
  <c r="P5504" i="1"/>
  <c r="R5504" i="1"/>
  <c r="BL5504" i="1"/>
  <c r="BW5504" i="1"/>
  <c r="CH5504" i="1"/>
  <c r="CS5504" i="1"/>
  <c r="K5505" i="1"/>
  <c r="P5505" i="1"/>
  <c r="R5505" i="1"/>
  <c r="BL5505" i="1"/>
  <c r="BW5505" i="1"/>
  <c r="CH5505" i="1"/>
  <c r="CS5505" i="1"/>
  <c r="K5506" i="1"/>
  <c r="P5506" i="1"/>
  <c r="R5506" i="1"/>
  <c r="BL5506" i="1"/>
  <c r="BW5506" i="1"/>
  <c r="CH5506" i="1"/>
  <c r="CS5506" i="1"/>
  <c r="K5507" i="1"/>
  <c r="P5507" i="1"/>
  <c r="R5507" i="1"/>
  <c r="BL5507" i="1"/>
  <c r="BW5507" i="1"/>
  <c r="CH5507" i="1"/>
  <c r="CS5507" i="1"/>
  <c r="K5508" i="1"/>
  <c r="P5508" i="1"/>
  <c r="R5508" i="1"/>
  <c r="BL5508" i="1"/>
  <c r="BW5508" i="1"/>
  <c r="CH5508" i="1"/>
  <c r="CS5508" i="1"/>
  <c r="K5509" i="1"/>
  <c r="P5509" i="1"/>
  <c r="R5509" i="1"/>
  <c r="BL5509" i="1"/>
  <c r="BW5509" i="1"/>
  <c r="CH5509" i="1"/>
  <c r="CS5509" i="1"/>
  <c r="K5510" i="1"/>
  <c r="P5510" i="1"/>
  <c r="R5510" i="1"/>
  <c r="BL5510" i="1"/>
  <c r="BW5510" i="1"/>
  <c r="CH5510" i="1"/>
  <c r="CS5510" i="1"/>
  <c r="K5511" i="1"/>
  <c r="P5511" i="1"/>
  <c r="R5511" i="1"/>
  <c r="BL5511" i="1"/>
  <c r="BW5511" i="1"/>
  <c r="CH5511" i="1"/>
  <c r="CS5511" i="1"/>
  <c r="K5512" i="1"/>
  <c r="P5512" i="1"/>
  <c r="R5512" i="1"/>
  <c r="BL5512" i="1"/>
  <c r="BW5512" i="1"/>
  <c r="CH5512" i="1"/>
  <c r="CS5512" i="1"/>
  <c r="K5513" i="1"/>
  <c r="P5513" i="1"/>
  <c r="R5513" i="1"/>
  <c r="BL5513" i="1"/>
  <c r="BW5513" i="1"/>
  <c r="CH5513" i="1"/>
  <c r="CS5513" i="1"/>
  <c r="K5514" i="1"/>
  <c r="P5514" i="1"/>
  <c r="R5514" i="1"/>
  <c r="BL5514" i="1"/>
  <c r="BW5514" i="1"/>
  <c r="CH5514" i="1"/>
  <c r="CS5514" i="1"/>
  <c r="K5515" i="1"/>
  <c r="P5515" i="1"/>
  <c r="R5515" i="1"/>
  <c r="BL5515" i="1"/>
  <c r="BW5515" i="1"/>
  <c r="CH5515" i="1"/>
  <c r="CS5515" i="1"/>
  <c r="K5516" i="1"/>
  <c r="P5516" i="1"/>
  <c r="R5516" i="1"/>
  <c r="BL5516" i="1"/>
  <c r="BW5516" i="1"/>
  <c r="CH5516" i="1"/>
  <c r="CS5516" i="1"/>
  <c r="K5517" i="1"/>
  <c r="P5517" i="1"/>
  <c r="R5517" i="1"/>
  <c r="BL5517" i="1"/>
  <c r="BW5517" i="1"/>
  <c r="CH5517" i="1"/>
  <c r="CS5517" i="1"/>
  <c r="K5518" i="1"/>
  <c r="P5518" i="1"/>
  <c r="R5518" i="1"/>
  <c r="BL5518" i="1"/>
  <c r="BW5518" i="1"/>
  <c r="CH5518" i="1"/>
  <c r="CS5518" i="1"/>
  <c r="K5519" i="1"/>
  <c r="P5519" i="1"/>
  <c r="R5519" i="1"/>
  <c r="BL5519" i="1"/>
  <c r="BW5519" i="1"/>
  <c r="CH5519" i="1"/>
  <c r="CS5519" i="1"/>
  <c r="K5520" i="1"/>
  <c r="P5520" i="1"/>
  <c r="R5520" i="1"/>
  <c r="BL5520" i="1"/>
  <c r="BW5520" i="1"/>
  <c r="CH5520" i="1"/>
  <c r="CS5520" i="1"/>
  <c r="K5521" i="1"/>
  <c r="P5521" i="1"/>
  <c r="R5521" i="1"/>
  <c r="BL5521" i="1"/>
  <c r="BW5521" i="1"/>
  <c r="CH5521" i="1"/>
  <c r="CS5521" i="1"/>
  <c r="K5522" i="1"/>
  <c r="P5522" i="1"/>
  <c r="R5522" i="1"/>
  <c r="BL5522" i="1"/>
  <c r="BW5522" i="1"/>
  <c r="CH5522" i="1"/>
  <c r="CS5522" i="1"/>
  <c r="K5523" i="1"/>
  <c r="P5523" i="1"/>
  <c r="R5523" i="1"/>
  <c r="BL5523" i="1"/>
  <c r="BW5523" i="1"/>
  <c r="CH5523" i="1"/>
  <c r="CS5523" i="1"/>
  <c r="K5524" i="1"/>
  <c r="P5524" i="1"/>
  <c r="R5524" i="1"/>
  <c r="BL5524" i="1"/>
  <c r="BW5524" i="1"/>
  <c r="CH5524" i="1"/>
  <c r="CS5524" i="1"/>
  <c r="K5525" i="1"/>
  <c r="P5525" i="1"/>
  <c r="R5525" i="1"/>
  <c r="BL5525" i="1"/>
  <c r="BW5525" i="1"/>
  <c r="CH5525" i="1"/>
  <c r="CS5525" i="1"/>
  <c r="K5526" i="1"/>
  <c r="P5526" i="1"/>
  <c r="R5526" i="1"/>
  <c r="BL5526" i="1"/>
  <c r="BW5526" i="1"/>
  <c r="CH5526" i="1"/>
  <c r="CS5526" i="1"/>
  <c r="K5527" i="1"/>
  <c r="P5527" i="1"/>
  <c r="R5527" i="1"/>
  <c r="BL5527" i="1"/>
  <c r="BW5527" i="1"/>
  <c r="CH5527" i="1"/>
  <c r="CS5527" i="1"/>
  <c r="K5528" i="1"/>
  <c r="P5528" i="1"/>
  <c r="R5528" i="1"/>
  <c r="BL5528" i="1"/>
  <c r="BW5528" i="1"/>
  <c r="CH5528" i="1"/>
  <c r="CS5528" i="1"/>
  <c r="K5529" i="1"/>
  <c r="P5529" i="1"/>
  <c r="R5529" i="1"/>
  <c r="BL5529" i="1"/>
  <c r="BW5529" i="1"/>
  <c r="CH5529" i="1"/>
  <c r="CS5529" i="1"/>
  <c r="K5530" i="1"/>
  <c r="P5530" i="1"/>
  <c r="R5530" i="1"/>
  <c r="BL5530" i="1"/>
  <c r="BW5530" i="1"/>
  <c r="CH5530" i="1"/>
  <c r="CS5530" i="1"/>
  <c r="K5531" i="1"/>
  <c r="P5531" i="1"/>
  <c r="R5531" i="1"/>
  <c r="BL5531" i="1"/>
  <c r="BW5531" i="1"/>
  <c r="CH5531" i="1"/>
  <c r="CS5531" i="1"/>
  <c r="K5532" i="1"/>
  <c r="P5532" i="1"/>
  <c r="R5532" i="1"/>
  <c r="BL5532" i="1"/>
  <c r="BW5532" i="1"/>
  <c r="CH5532" i="1"/>
  <c r="CS5532" i="1"/>
  <c r="K5533" i="1"/>
  <c r="P5533" i="1"/>
  <c r="R5533" i="1"/>
  <c r="BL5533" i="1"/>
  <c r="BW5533" i="1"/>
  <c r="CH5533" i="1"/>
  <c r="CS5533" i="1"/>
  <c r="K5534" i="1"/>
  <c r="P5534" i="1"/>
  <c r="R5534" i="1"/>
  <c r="BL5534" i="1"/>
  <c r="BW5534" i="1"/>
  <c r="CH5534" i="1"/>
  <c r="CS5534" i="1"/>
  <c r="K5535" i="1"/>
  <c r="P5535" i="1"/>
  <c r="R5535" i="1"/>
  <c r="BL5535" i="1"/>
  <c r="BW5535" i="1"/>
  <c r="CH5535" i="1"/>
  <c r="CS5535" i="1"/>
  <c r="K5536" i="1"/>
  <c r="P5536" i="1"/>
  <c r="R5536" i="1"/>
  <c r="BL5536" i="1"/>
  <c r="BW5536" i="1"/>
  <c r="CH5536" i="1"/>
  <c r="CS5536" i="1"/>
  <c r="K5537" i="1"/>
  <c r="P5537" i="1"/>
  <c r="R5537" i="1"/>
  <c r="BL5537" i="1"/>
  <c r="BW5537" i="1"/>
  <c r="CH5537" i="1"/>
  <c r="CS5537" i="1"/>
  <c r="K5538" i="1"/>
  <c r="P5538" i="1"/>
  <c r="R5538" i="1"/>
  <c r="BL5538" i="1"/>
  <c r="BW5538" i="1"/>
  <c r="CH5538" i="1"/>
  <c r="CS5538" i="1"/>
  <c r="K5539" i="1"/>
  <c r="P5539" i="1"/>
  <c r="R5539" i="1"/>
  <c r="BL5539" i="1"/>
  <c r="BW5539" i="1"/>
  <c r="CH5539" i="1"/>
  <c r="CS5539" i="1"/>
  <c r="K5540" i="1"/>
  <c r="P5540" i="1"/>
  <c r="R5540" i="1"/>
  <c r="BL5540" i="1"/>
  <c r="BW5540" i="1"/>
  <c r="CH5540" i="1"/>
  <c r="CS5540" i="1"/>
  <c r="K5541" i="1"/>
  <c r="P5541" i="1"/>
  <c r="R5541" i="1"/>
  <c r="BL5541" i="1"/>
  <c r="BW5541" i="1"/>
  <c r="CH5541" i="1"/>
  <c r="CS5541" i="1"/>
  <c r="K5542" i="1"/>
  <c r="P5542" i="1"/>
  <c r="R5542" i="1"/>
  <c r="BL5542" i="1"/>
  <c r="BW5542" i="1"/>
  <c r="CH5542" i="1"/>
  <c r="CS5542" i="1"/>
  <c r="K5543" i="1"/>
  <c r="P5543" i="1"/>
  <c r="R5543" i="1"/>
  <c r="BL5543" i="1"/>
  <c r="BW5543" i="1"/>
  <c r="CH5543" i="1"/>
  <c r="CS5543" i="1"/>
  <c r="K5544" i="1"/>
  <c r="P5544" i="1"/>
  <c r="R5544" i="1"/>
  <c r="BL5544" i="1"/>
  <c r="BW5544" i="1"/>
  <c r="CH5544" i="1"/>
  <c r="CS5544" i="1"/>
  <c r="K5545" i="1"/>
  <c r="P5545" i="1"/>
  <c r="R5545" i="1"/>
  <c r="BL5545" i="1"/>
  <c r="BW5545" i="1"/>
  <c r="CH5545" i="1"/>
  <c r="CS5545" i="1"/>
  <c r="K5546" i="1"/>
  <c r="P5546" i="1"/>
  <c r="R5546" i="1"/>
  <c r="BL5546" i="1"/>
  <c r="BW5546" i="1"/>
  <c r="CH5546" i="1"/>
  <c r="CS5546" i="1"/>
  <c r="K5547" i="1"/>
  <c r="P5547" i="1"/>
  <c r="R5547" i="1"/>
  <c r="BL5547" i="1"/>
  <c r="BW5547" i="1"/>
  <c r="CH5547" i="1"/>
  <c r="CS5547" i="1"/>
  <c r="K5548" i="1"/>
  <c r="P5548" i="1"/>
  <c r="R5548" i="1"/>
  <c r="BL5548" i="1"/>
  <c r="BW5548" i="1"/>
  <c r="CH5548" i="1"/>
  <c r="CS5548" i="1"/>
  <c r="K5549" i="1"/>
  <c r="P5549" i="1"/>
  <c r="R5549" i="1"/>
  <c r="BL5549" i="1"/>
  <c r="BW5549" i="1"/>
  <c r="CH5549" i="1"/>
  <c r="CS5549" i="1"/>
  <c r="K5550" i="1"/>
  <c r="P5550" i="1"/>
  <c r="R5550" i="1"/>
  <c r="BL5550" i="1"/>
  <c r="BW5550" i="1"/>
  <c r="CH5550" i="1"/>
  <c r="CS5550" i="1"/>
  <c r="K5551" i="1"/>
  <c r="P5551" i="1"/>
  <c r="R5551" i="1"/>
  <c r="BL5551" i="1"/>
  <c r="BW5551" i="1"/>
  <c r="CH5551" i="1"/>
  <c r="CS5551" i="1"/>
  <c r="K5552" i="1"/>
  <c r="P5552" i="1"/>
  <c r="R5552" i="1"/>
  <c r="BL5552" i="1"/>
  <c r="BW5552" i="1"/>
  <c r="CH5552" i="1"/>
  <c r="CS5552" i="1"/>
  <c r="K5553" i="1"/>
  <c r="P5553" i="1"/>
  <c r="R5553" i="1"/>
  <c r="BL5553" i="1"/>
  <c r="BW5553" i="1"/>
  <c r="CH5553" i="1"/>
  <c r="CS5553" i="1"/>
  <c r="K5554" i="1"/>
  <c r="P5554" i="1"/>
  <c r="R5554" i="1"/>
  <c r="BL5554" i="1"/>
  <c r="BW5554" i="1"/>
  <c r="CH5554" i="1"/>
  <c r="CS5554" i="1"/>
  <c r="K5555" i="1"/>
  <c r="P5555" i="1"/>
  <c r="R5555" i="1"/>
  <c r="BL5555" i="1"/>
  <c r="BW5555" i="1"/>
  <c r="CH5555" i="1"/>
  <c r="CS5555" i="1"/>
  <c r="K5556" i="1"/>
  <c r="P5556" i="1"/>
  <c r="R5556" i="1"/>
  <c r="BL5556" i="1"/>
  <c r="BW5556" i="1"/>
  <c r="CH5556" i="1"/>
  <c r="CS5556" i="1"/>
  <c r="K5557" i="1"/>
  <c r="P5557" i="1"/>
  <c r="R5557" i="1"/>
  <c r="BL5557" i="1"/>
  <c r="BW5557" i="1"/>
  <c r="CH5557" i="1"/>
  <c r="CS5557" i="1"/>
  <c r="K5558" i="1"/>
  <c r="P5558" i="1"/>
  <c r="R5558" i="1"/>
  <c r="BL5558" i="1"/>
  <c r="BW5558" i="1"/>
  <c r="CH5558" i="1"/>
  <c r="CS5558" i="1"/>
  <c r="K5559" i="1"/>
  <c r="P5559" i="1"/>
  <c r="R5559" i="1"/>
  <c r="BL5559" i="1"/>
  <c r="BW5559" i="1"/>
  <c r="CH5559" i="1"/>
  <c r="CS5559" i="1"/>
  <c r="K5560" i="1"/>
  <c r="P5560" i="1"/>
  <c r="R5560" i="1"/>
  <c r="BL5560" i="1"/>
  <c r="BW5560" i="1"/>
  <c r="CH5560" i="1"/>
  <c r="CS5560" i="1"/>
  <c r="K5561" i="1"/>
  <c r="P5561" i="1"/>
  <c r="R5561" i="1"/>
  <c r="BL5561" i="1"/>
  <c r="BW5561" i="1"/>
  <c r="CH5561" i="1"/>
  <c r="CS5561" i="1"/>
  <c r="K5562" i="1"/>
  <c r="P5562" i="1"/>
  <c r="R5562" i="1"/>
  <c r="BL5562" i="1"/>
  <c r="BW5562" i="1"/>
  <c r="CH5562" i="1"/>
  <c r="CS5562" i="1"/>
  <c r="K5563" i="1"/>
  <c r="P5563" i="1"/>
  <c r="R5563" i="1"/>
  <c r="BL5563" i="1"/>
  <c r="BW5563" i="1"/>
  <c r="CH5563" i="1"/>
  <c r="CS5563" i="1"/>
  <c r="K5564" i="1"/>
  <c r="P5564" i="1"/>
  <c r="R5564" i="1"/>
  <c r="BL5564" i="1"/>
  <c r="BW5564" i="1"/>
  <c r="CH5564" i="1"/>
  <c r="CS5564" i="1"/>
  <c r="K5565" i="1"/>
  <c r="P5565" i="1"/>
  <c r="R5565" i="1"/>
  <c r="BL5565" i="1"/>
  <c r="BW5565" i="1"/>
  <c r="CH5565" i="1"/>
  <c r="CS5565" i="1"/>
  <c r="K5566" i="1"/>
  <c r="P5566" i="1"/>
  <c r="R5566" i="1"/>
  <c r="BL5566" i="1"/>
  <c r="BW5566" i="1"/>
  <c r="CH5566" i="1"/>
  <c r="CS5566" i="1"/>
  <c r="K5567" i="1"/>
  <c r="P5567" i="1"/>
  <c r="R5567" i="1"/>
  <c r="BL5567" i="1"/>
  <c r="BW5567" i="1"/>
  <c r="CH5567" i="1"/>
  <c r="CS5567" i="1"/>
  <c r="K5568" i="1"/>
  <c r="P5568" i="1"/>
  <c r="R5568" i="1"/>
  <c r="BL5568" i="1"/>
  <c r="BW5568" i="1"/>
  <c r="CH5568" i="1"/>
  <c r="CS5568" i="1"/>
  <c r="K5569" i="1"/>
  <c r="P5569" i="1"/>
  <c r="R5569" i="1"/>
  <c r="BL5569" i="1"/>
  <c r="BW5569" i="1"/>
  <c r="CH5569" i="1"/>
  <c r="CS5569" i="1"/>
  <c r="K5570" i="1"/>
  <c r="P5570" i="1"/>
  <c r="R5570" i="1"/>
  <c r="BL5570" i="1"/>
  <c r="BW5570" i="1"/>
  <c r="CH5570" i="1"/>
  <c r="CS5570" i="1"/>
  <c r="K5571" i="1"/>
  <c r="P5571" i="1"/>
  <c r="R5571" i="1"/>
  <c r="BL5571" i="1"/>
  <c r="BW5571" i="1"/>
  <c r="CH5571" i="1"/>
  <c r="CS5571" i="1"/>
  <c r="K5572" i="1"/>
  <c r="P5572" i="1"/>
  <c r="R5572" i="1"/>
  <c r="BL5572" i="1"/>
  <c r="BW5572" i="1"/>
  <c r="CH5572" i="1"/>
  <c r="CS5572" i="1"/>
  <c r="K5573" i="1"/>
  <c r="P5573" i="1"/>
  <c r="R5573" i="1"/>
  <c r="BL5573" i="1"/>
  <c r="BW5573" i="1"/>
  <c r="CH5573" i="1"/>
  <c r="CS5573" i="1"/>
  <c r="K5574" i="1"/>
  <c r="P5574" i="1"/>
  <c r="R5574" i="1"/>
  <c r="BL5574" i="1"/>
  <c r="BW5574" i="1"/>
  <c r="CH5574" i="1"/>
  <c r="CS5574" i="1"/>
  <c r="K5575" i="1"/>
  <c r="P5575" i="1"/>
  <c r="R5575" i="1"/>
  <c r="BL5575" i="1"/>
  <c r="BW5575" i="1"/>
  <c r="CH5575" i="1"/>
  <c r="CS5575" i="1"/>
  <c r="K5576" i="1"/>
  <c r="P5576" i="1"/>
  <c r="R5576" i="1"/>
  <c r="BL5576" i="1"/>
  <c r="BW5576" i="1"/>
  <c r="CH5576" i="1"/>
  <c r="CS5576" i="1"/>
  <c r="K5577" i="1"/>
  <c r="P5577" i="1"/>
  <c r="R5577" i="1"/>
  <c r="BL5577" i="1"/>
  <c r="BW5577" i="1"/>
  <c r="CH5577" i="1"/>
  <c r="CS5577" i="1"/>
  <c r="K5578" i="1"/>
  <c r="P5578" i="1"/>
  <c r="R5578" i="1"/>
  <c r="BL5578" i="1"/>
  <c r="BW5578" i="1"/>
  <c r="CH5578" i="1"/>
  <c r="CS5578" i="1"/>
  <c r="K5579" i="1"/>
  <c r="P5579" i="1"/>
  <c r="R5579" i="1"/>
  <c r="BL5579" i="1"/>
  <c r="BW5579" i="1"/>
  <c r="CH5579" i="1"/>
  <c r="CS5579" i="1"/>
  <c r="K5580" i="1"/>
  <c r="P5580" i="1"/>
  <c r="R5580" i="1"/>
  <c r="BL5580" i="1"/>
  <c r="BW5580" i="1"/>
  <c r="CH5580" i="1"/>
  <c r="CS5580" i="1"/>
  <c r="K5581" i="1"/>
  <c r="P5581" i="1"/>
  <c r="R5581" i="1"/>
  <c r="BL5581" i="1"/>
  <c r="BW5581" i="1"/>
  <c r="CH5581" i="1"/>
  <c r="CS5581" i="1"/>
  <c r="K5582" i="1"/>
  <c r="P5582" i="1"/>
  <c r="R5582" i="1"/>
  <c r="BL5582" i="1"/>
  <c r="BW5582" i="1"/>
  <c r="CH5582" i="1"/>
  <c r="CS5582" i="1"/>
  <c r="K5583" i="1"/>
  <c r="P5583" i="1"/>
  <c r="R5583" i="1"/>
  <c r="BL5583" i="1"/>
  <c r="BW5583" i="1"/>
  <c r="CH5583" i="1"/>
  <c r="CS5583" i="1"/>
  <c r="K5584" i="1"/>
  <c r="P5584" i="1"/>
  <c r="R5584" i="1"/>
  <c r="BL5584" i="1"/>
  <c r="BW5584" i="1"/>
  <c r="CH5584" i="1"/>
  <c r="CS5584" i="1"/>
  <c r="K5585" i="1"/>
  <c r="P5585" i="1"/>
  <c r="R5585" i="1"/>
  <c r="BL5585" i="1"/>
  <c r="BW5585" i="1"/>
  <c r="CH5585" i="1"/>
  <c r="CS5585" i="1"/>
  <c r="K5586" i="1"/>
  <c r="P5586" i="1"/>
  <c r="R5586" i="1"/>
  <c r="BL5586" i="1"/>
  <c r="BW5586" i="1"/>
  <c r="CH5586" i="1"/>
  <c r="CS5586" i="1"/>
  <c r="K5587" i="1"/>
  <c r="P5587" i="1"/>
  <c r="R5587" i="1"/>
  <c r="BL5587" i="1"/>
  <c r="BW5587" i="1"/>
  <c r="CH5587" i="1"/>
  <c r="CS5587" i="1"/>
  <c r="K5588" i="1"/>
  <c r="P5588" i="1"/>
  <c r="R5588" i="1"/>
  <c r="BL5588" i="1"/>
  <c r="BW5588" i="1"/>
  <c r="CH5588" i="1"/>
  <c r="CS5588" i="1"/>
  <c r="K5589" i="1"/>
  <c r="P5589" i="1"/>
  <c r="R5589" i="1"/>
  <c r="BL5589" i="1"/>
  <c r="BW5589" i="1"/>
  <c r="CH5589" i="1"/>
  <c r="CS5589" i="1"/>
  <c r="K5590" i="1"/>
  <c r="P5590" i="1"/>
  <c r="R5590" i="1"/>
  <c r="BL5590" i="1"/>
  <c r="BW5590" i="1"/>
  <c r="CH5590" i="1"/>
  <c r="CS5590" i="1"/>
  <c r="K5591" i="1"/>
  <c r="P5591" i="1"/>
  <c r="R5591" i="1"/>
  <c r="BL5591" i="1"/>
  <c r="BW5591" i="1"/>
  <c r="CH5591" i="1"/>
  <c r="CS5591" i="1"/>
  <c r="K5592" i="1"/>
  <c r="P5592" i="1"/>
  <c r="R5592" i="1"/>
  <c r="BL5592" i="1"/>
  <c r="BW5592" i="1"/>
  <c r="CH5592" i="1"/>
  <c r="CS5592" i="1"/>
  <c r="K5593" i="1"/>
  <c r="P5593" i="1"/>
  <c r="R5593" i="1"/>
  <c r="BL5593" i="1"/>
  <c r="BW5593" i="1"/>
  <c r="CH5593" i="1"/>
  <c r="CS5593" i="1"/>
  <c r="K5594" i="1"/>
  <c r="P5594" i="1"/>
  <c r="R5594" i="1"/>
  <c r="BL5594" i="1"/>
  <c r="BW5594" i="1"/>
  <c r="CH5594" i="1"/>
  <c r="CS5594" i="1"/>
  <c r="K5595" i="1"/>
  <c r="P5595" i="1"/>
  <c r="R5595" i="1"/>
  <c r="BL5595" i="1"/>
  <c r="BW5595" i="1"/>
  <c r="CH5595" i="1"/>
  <c r="CS5595" i="1"/>
  <c r="K5596" i="1"/>
  <c r="P5596" i="1"/>
  <c r="R5596" i="1"/>
  <c r="BL5596" i="1"/>
  <c r="BW5596" i="1"/>
  <c r="CH5596" i="1"/>
  <c r="CS5596" i="1"/>
  <c r="K5597" i="1"/>
  <c r="P5597" i="1"/>
  <c r="R5597" i="1"/>
  <c r="BL5597" i="1"/>
  <c r="BW5597" i="1"/>
  <c r="CH5597" i="1"/>
  <c r="CS5597" i="1"/>
  <c r="K5598" i="1"/>
  <c r="P5598" i="1"/>
  <c r="R5598" i="1"/>
  <c r="BL5598" i="1"/>
  <c r="BQ5598" i="1"/>
  <c r="BW5598" i="1"/>
  <c r="CH5598" i="1"/>
  <c r="CS5598" i="1"/>
  <c r="K5599" i="1"/>
  <c r="P5599" i="1"/>
  <c r="R5599" i="1"/>
  <c r="BL5599" i="1"/>
  <c r="BW5599" i="1"/>
  <c r="CH5599" i="1"/>
  <c r="CS5599" i="1"/>
  <c r="K5600" i="1"/>
  <c r="P5600" i="1"/>
  <c r="R5600" i="1"/>
  <c r="BL5600" i="1"/>
  <c r="BW5600" i="1"/>
  <c r="CH5600" i="1"/>
  <c r="CS5600" i="1"/>
  <c r="K5601" i="1"/>
  <c r="P5601" i="1"/>
  <c r="R5601" i="1"/>
  <c r="BL5601" i="1"/>
  <c r="BW5601" i="1"/>
  <c r="CH5601" i="1"/>
  <c r="CS5601" i="1"/>
  <c r="K5602" i="1"/>
  <c r="P5602" i="1"/>
  <c r="R5602" i="1"/>
  <c r="BL5602" i="1"/>
  <c r="BW5602" i="1"/>
  <c r="CH5602" i="1"/>
  <c r="CS5602" i="1"/>
  <c r="K5603" i="1"/>
  <c r="P5603" i="1"/>
  <c r="R5603" i="1"/>
  <c r="BL5603" i="1"/>
  <c r="BW5603" i="1"/>
  <c r="CH5603" i="1"/>
  <c r="CS5603" i="1"/>
  <c r="K5604" i="1"/>
  <c r="P5604" i="1"/>
  <c r="R5604" i="1"/>
  <c r="BL5604" i="1"/>
  <c r="BW5604" i="1"/>
  <c r="CH5604" i="1"/>
  <c r="CS5604" i="1"/>
  <c r="K5605" i="1"/>
  <c r="P5605" i="1"/>
  <c r="R5605" i="1"/>
  <c r="BL5605" i="1"/>
  <c r="BW5605" i="1"/>
  <c r="CH5605" i="1"/>
  <c r="CS5605" i="1"/>
  <c r="K5606" i="1"/>
  <c r="P5606" i="1"/>
  <c r="R5606" i="1"/>
  <c r="BL5606" i="1"/>
  <c r="BW5606" i="1"/>
  <c r="CH5606" i="1"/>
  <c r="CS5606" i="1"/>
  <c r="K5607" i="1"/>
  <c r="P5607" i="1"/>
  <c r="R5607" i="1"/>
  <c r="BL5607" i="1"/>
  <c r="BW5607" i="1"/>
  <c r="CH5607" i="1"/>
  <c r="CS5607" i="1"/>
  <c r="K5608" i="1"/>
  <c r="P5608" i="1"/>
  <c r="R5608" i="1"/>
  <c r="BL5608" i="1"/>
  <c r="BW5608" i="1"/>
  <c r="CH5608" i="1"/>
  <c r="CS5608" i="1"/>
  <c r="K5609" i="1"/>
  <c r="P5609" i="1"/>
  <c r="R5609" i="1"/>
  <c r="BL5609" i="1"/>
  <c r="BW5609" i="1"/>
  <c r="CH5609" i="1"/>
  <c r="CS5609" i="1"/>
  <c r="K5610" i="1"/>
  <c r="P5610" i="1"/>
  <c r="R5610" i="1"/>
  <c r="BL5610" i="1"/>
  <c r="BW5610" i="1"/>
  <c r="CH5610" i="1"/>
  <c r="CS5610" i="1"/>
  <c r="K5611" i="1"/>
  <c r="P5611" i="1"/>
  <c r="R5611" i="1"/>
  <c r="BL5611" i="1"/>
  <c r="BW5611" i="1"/>
  <c r="CH5611" i="1"/>
  <c r="CS5611" i="1"/>
  <c r="K5612" i="1"/>
  <c r="P5612" i="1"/>
  <c r="R5612" i="1"/>
  <c r="BL5612" i="1"/>
  <c r="BW5612" i="1"/>
  <c r="CH5612" i="1"/>
  <c r="CS5612" i="1"/>
  <c r="K5613" i="1"/>
  <c r="P5613" i="1"/>
  <c r="R5613" i="1"/>
  <c r="BL5613" i="1"/>
  <c r="BW5613" i="1"/>
  <c r="CH5613" i="1"/>
  <c r="CS5613" i="1"/>
  <c r="K5614" i="1"/>
  <c r="P5614" i="1"/>
  <c r="R5614" i="1"/>
  <c r="BL5614" i="1"/>
  <c r="BW5614" i="1"/>
  <c r="CH5614" i="1"/>
  <c r="CS5614" i="1"/>
  <c r="K5615" i="1"/>
  <c r="P5615" i="1"/>
  <c r="R5615" i="1"/>
  <c r="BL5615" i="1"/>
  <c r="BW5615" i="1"/>
  <c r="CH5615" i="1"/>
  <c r="CS5615" i="1"/>
  <c r="K5616" i="1"/>
  <c r="P5616" i="1"/>
  <c r="R5616" i="1"/>
  <c r="BL5616" i="1"/>
  <c r="BW5616" i="1"/>
  <c r="CH5616" i="1"/>
  <c r="CS5616" i="1"/>
  <c r="K5617" i="1"/>
  <c r="P5617" i="1"/>
  <c r="R5617" i="1"/>
  <c r="BL5617" i="1"/>
  <c r="BW5617" i="1"/>
  <c r="CH5617" i="1"/>
  <c r="CS5617" i="1"/>
  <c r="K5618" i="1"/>
  <c r="P5618" i="1"/>
  <c r="R5618" i="1"/>
  <c r="BL5618" i="1"/>
  <c r="BW5618" i="1"/>
  <c r="CH5618" i="1"/>
  <c r="CS5618" i="1"/>
  <c r="K5619" i="1"/>
  <c r="P5619" i="1"/>
  <c r="R5619" i="1"/>
  <c r="BL5619" i="1"/>
  <c r="BW5619" i="1"/>
  <c r="CH5619" i="1"/>
  <c r="CS5619" i="1"/>
  <c r="K5620" i="1"/>
  <c r="P5620" i="1"/>
  <c r="R5620" i="1"/>
  <c r="BL5620" i="1"/>
  <c r="BW5620" i="1"/>
  <c r="CH5620" i="1"/>
  <c r="CS5620" i="1"/>
  <c r="K5621" i="1"/>
  <c r="P5621" i="1"/>
  <c r="R5621" i="1"/>
  <c r="BL5621" i="1"/>
  <c r="BW5621" i="1"/>
  <c r="CH5621" i="1"/>
  <c r="CS5621" i="1"/>
  <c r="K5622" i="1"/>
  <c r="P5622" i="1"/>
  <c r="R5622" i="1"/>
  <c r="BL5622" i="1"/>
  <c r="BW5622" i="1"/>
  <c r="CH5622" i="1"/>
  <c r="CS5622" i="1"/>
  <c r="K5623" i="1"/>
  <c r="P5623" i="1"/>
  <c r="R5623" i="1"/>
  <c r="BL5623" i="1"/>
  <c r="BW5623" i="1"/>
  <c r="CH5623" i="1"/>
  <c r="CS5623" i="1"/>
  <c r="K5624" i="1"/>
  <c r="P5624" i="1"/>
  <c r="R5624" i="1"/>
  <c r="BL5624" i="1"/>
  <c r="BW5624" i="1"/>
  <c r="CH5624" i="1"/>
  <c r="CS5624" i="1"/>
  <c r="K5625" i="1"/>
  <c r="P5625" i="1"/>
  <c r="R5625" i="1"/>
  <c r="BL5625" i="1"/>
  <c r="BW5625" i="1"/>
  <c r="CH5625" i="1"/>
  <c r="CS5625" i="1"/>
  <c r="K5626" i="1"/>
  <c r="P5626" i="1"/>
  <c r="R5626" i="1"/>
  <c r="BL5626" i="1"/>
  <c r="BW5626" i="1"/>
  <c r="CH5626" i="1"/>
  <c r="CS5626" i="1"/>
  <c r="K5627" i="1"/>
  <c r="P5627" i="1"/>
  <c r="R5627" i="1"/>
  <c r="BL5627" i="1"/>
  <c r="BW5627" i="1"/>
  <c r="CH5627" i="1"/>
  <c r="CS5627" i="1"/>
  <c r="K5628" i="1"/>
  <c r="P5628" i="1"/>
  <c r="R5628" i="1"/>
  <c r="BL5628" i="1"/>
  <c r="BW5628" i="1"/>
  <c r="CH5628" i="1"/>
  <c r="CS5628" i="1"/>
  <c r="K5629" i="1"/>
  <c r="P5629" i="1"/>
  <c r="R5629" i="1"/>
  <c r="BL5629" i="1"/>
  <c r="BW5629" i="1"/>
  <c r="CH5629" i="1"/>
  <c r="CS5629" i="1"/>
  <c r="K5630" i="1"/>
  <c r="P5630" i="1"/>
  <c r="R5630" i="1"/>
  <c r="BL5630" i="1"/>
  <c r="BW5630" i="1"/>
  <c r="CH5630" i="1"/>
  <c r="CS5630" i="1"/>
  <c r="K5631" i="1"/>
  <c r="P5631" i="1"/>
  <c r="R5631" i="1"/>
  <c r="BL5631" i="1"/>
  <c r="BW5631" i="1"/>
  <c r="CH5631" i="1"/>
  <c r="CS5631" i="1"/>
  <c r="K5632" i="1"/>
  <c r="P5632" i="1"/>
  <c r="R5632" i="1"/>
  <c r="BL5632" i="1"/>
  <c r="BW5632" i="1"/>
  <c r="CH5632" i="1"/>
  <c r="CS5632" i="1"/>
  <c r="K5633" i="1"/>
  <c r="P5633" i="1"/>
  <c r="R5633" i="1"/>
  <c r="BL5633" i="1"/>
  <c r="BW5633" i="1"/>
  <c r="CH5633" i="1"/>
  <c r="CS5633" i="1"/>
  <c r="K5634" i="1"/>
  <c r="P5634" i="1"/>
  <c r="R5634" i="1"/>
  <c r="BL5634" i="1"/>
  <c r="BW5634" i="1"/>
  <c r="CH5634" i="1"/>
  <c r="CS5634" i="1"/>
  <c r="K5635" i="1"/>
  <c r="P5635" i="1"/>
  <c r="R5635" i="1"/>
  <c r="BL5635" i="1"/>
  <c r="BW5635" i="1"/>
  <c r="CH5635" i="1"/>
  <c r="CS5635" i="1"/>
  <c r="K5636" i="1"/>
  <c r="P5636" i="1"/>
  <c r="R5636" i="1"/>
  <c r="BL5636" i="1"/>
  <c r="BW5636" i="1"/>
  <c r="CH5636" i="1"/>
  <c r="CS5636" i="1"/>
  <c r="K5637" i="1"/>
  <c r="P5637" i="1"/>
  <c r="R5637" i="1"/>
  <c r="BL5637" i="1"/>
  <c r="BW5637" i="1"/>
  <c r="CH5637" i="1"/>
  <c r="CS5637" i="1"/>
  <c r="K5638" i="1"/>
  <c r="P5638" i="1"/>
  <c r="R5638" i="1"/>
  <c r="BL5638" i="1"/>
  <c r="BW5638" i="1"/>
  <c r="CH5638" i="1"/>
  <c r="CS5638" i="1"/>
  <c r="K5639" i="1"/>
  <c r="P5639" i="1"/>
  <c r="R5639" i="1"/>
  <c r="BL5639" i="1"/>
  <c r="BW5639" i="1"/>
  <c r="CH5639" i="1"/>
  <c r="CS5639" i="1"/>
  <c r="K5640" i="1"/>
  <c r="P5640" i="1"/>
  <c r="R5640" i="1"/>
  <c r="BL5640" i="1"/>
  <c r="BW5640" i="1"/>
  <c r="CH5640" i="1"/>
  <c r="CS5640" i="1"/>
  <c r="K5641" i="1"/>
  <c r="P5641" i="1"/>
  <c r="R5641" i="1"/>
  <c r="BL5641" i="1"/>
  <c r="BW5641" i="1"/>
  <c r="CH5641" i="1"/>
  <c r="CS5641" i="1"/>
  <c r="K5642" i="1"/>
  <c r="P5642" i="1"/>
  <c r="R5642" i="1"/>
  <c r="BL5642" i="1"/>
  <c r="BW5642" i="1"/>
  <c r="CH5642" i="1"/>
  <c r="CS5642" i="1"/>
  <c r="K5643" i="1"/>
  <c r="P5643" i="1"/>
  <c r="R5643" i="1"/>
  <c r="BL5643" i="1"/>
  <c r="BW5643" i="1"/>
  <c r="CH5643" i="1"/>
  <c r="CS5643" i="1"/>
  <c r="K5644" i="1"/>
  <c r="P5644" i="1"/>
  <c r="R5644" i="1"/>
  <c r="BL5644" i="1"/>
  <c r="BW5644" i="1"/>
  <c r="CH5644" i="1"/>
  <c r="CS5644" i="1"/>
  <c r="K5645" i="1"/>
  <c r="P5645" i="1"/>
  <c r="R5645" i="1"/>
  <c r="BL5645" i="1"/>
  <c r="BW5645" i="1"/>
  <c r="CH5645" i="1"/>
  <c r="CS5645" i="1"/>
  <c r="K5646" i="1"/>
  <c r="P5646" i="1"/>
  <c r="R5646" i="1"/>
  <c r="BL5646" i="1"/>
  <c r="BW5646" i="1"/>
  <c r="CH5646" i="1"/>
  <c r="CS5646" i="1"/>
  <c r="K5647" i="1"/>
  <c r="P5647" i="1"/>
  <c r="R5647" i="1"/>
  <c r="BL5647" i="1"/>
  <c r="BW5647" i="1"/>
  <c r="CH5647" i="1"/>
  <c r="CS5647" i="1"/>
  <c r="K5648" i="1"/>
  <c r="P5648" i="1"/>
  <c r="R5648" i="1"/>
  <c r="BL5648" i="1"/>
  <c r="BW5648" i="1"/>
  <c r="CH5648" i="1"/>
  <c r="CS5648" i="1"/>
  <c r="K5649" i="1"/>
  <c r="P5649" i="1"/>
  <c r="R5649" i="1"/>
  <c r="BL5649" i="1"/>
  <c r="BW5649" i="1"/>
  <c r="CH5649" i="1"/>
  <c r="CS5649" i="1"/>
  <c r="K5650" i="1"/>
  <c r="P5650" i="1"/>
  <c r="R5650" i="1"/>
  <c r="BL5650" i="1"/>
  <c r="BW5650" i="1"/>
  <c r="CH5650" i="1"/>
  <c r="CS5650" i="1"/>
  <c r="K5651" i="1"/>
  <c r="P5651" i="1"/>
  <c r="R5651" i="1"/>
  <c r="BL5651" i="1"/>
  <c r="BW5651" i="1"/>
  <c r="CH5651" i="1"/>
  <c r="CS5651" i="1"/>
  <c r="K5652" i="1"/>
  <c r="P5652" i="1"/>
  <c r="R5652" i="1"/>
  <c r="BL5652" i="1"/>
  <c r="BW5652" i="1"/>
  <c r="CH5652" i="1"/>
  <c r="CS5652" i="1"/>
  <c r="K5653" i="1"/>
  <c r="P5653" i="1"/>
  <c r="R5653" i="1"/>
  <c r="BL5653" i="1"/>
  <c r="BW5653" i="1"/>
  <c r="CH5653" i="1"/>
  <c r="CS5653" i="1"/>
  <c r="K5654" i="1"/>
  <c r="P5654" i="1"/>
  <c r="R5654" i="1"/>
  <c r="BL5654" i="1"/>
  <c r="BW5654" i="1"/>
  <c r="CH5654" i="1"/>
  <c r="CS5654" i="1"/>
  <c r="K5655" i="1"/>
  <c r="P5655" i="1"/>
  <c r="R5655" i="1"/>
  <c r="BL5655" i="1"/>
  <c r="BW5655" i="1"/>
  <c r="CH5655" i="1"/>
  <c r="CS5655" i="1"/>
  <c r="K5656" i="1"/>
  <c r="P5656" i="1"/>
  <c r="R5656" i="1"/>
  <c r="BL5656" i="1"/>
  <c r="BW5656" i="1"/>
  <c r="CH5656" i="1"/>
  <c r="CS5656" i="1"/>
  <c r="K5657" i="1"/>
  <c r="P5657" i="1"/>
  <c r="R5657" i="1"/>
  <c r="BL5657" i="1"/>
  <c r="BW5657" i="1"/>
  <c r="CH5657" i="1"/>
  <c r="CS5657" i="1"/>
  <c r="K5658" i="1"/>
  <c r="P5658" i="1"/>
  <c r="R5658" i="1"/>
  <c r="BL5658" i="1"/>
  <c r="BW5658" i="1"/>
  <c r="CH5658" i="1"/>
  <c r="CS5658" i="1"/>
  <c r="K5659" i="1"/>
  <c r="P5659" i="1"/>
  <c r="R5659" i="1"/>
  <c r="BL5659" i="1"/>
  <c r="BW5659" i="1"/>
  <c r="CH5659" i="1"/>
  <c r="CS5659" i="1"/>
  <c r="K5660" i="1"/>
  <c r="P5660" i="1"/>
  <c r="R5660" i="1"/>
  <c r="BL5660" i="1"/>
  <c r="BW5660" i="1"/>
  <c r="CH5660" i="1"/>
  <c r="CS5660" i="1"/>
  <c r="K5661" i="1"/>
  <c r="P5661" i="1"/>
  <c r="R5661" i="1"/>
  <c r="BL5661" i="1"/>
  <c r="BW5661" i="1"/>
  <c r="CH5661" i="1"/>
  <c r="CS5661" i="1"/>
  <c r="K5662" i="1"/>
  <c r="P5662" i="1"/>
  <c r="R5662" i="1"/>
  <c r="BL5662" i="1"/>
  <c r="BW5662" i="1"/>
  <c r="CH5662" i="1"/>
  <c r="CS5662" i="1"/>
  <c r="K5663" i="1"/>
  <c r="P5663" i="1"/>
  <c r="R5663" i="1"/>
  <c r="BL5663" i="1"/>
  <c r="BW5663" i="1"/>
  <c r="CH5663" i="1"/>
  <c r="CS5663" i="1"/>
  <c r="K5664" i="1"/>
  <c r="P5664" i="1"/>
  <c r="R5664" i="1"/>
  <c r="BL5664" i="1"/>
  <c r="BW5664" i="1"/>
  <c r="CH5664" i="1"/>
  <c r="CS5664" i="1"/>
  <c r="K5665" i="1"/>
  <c r="P5665" i="1"/>
  <c r="R5665" i="1"/>
  <c r="BL5665" i="1"/>
  <c r="BW5665" i="1"/>
  <c r="CH5665" i="1"/>
  <c r="CS5665" i="1"/>
  <c r="K5666" i="1"/>
  <c r="P5666" i="1"/>
  <c r="R5666" i="1"/>
  <c r="BL5666" i="1"/>
  <c r="BW5666" i="1"/>
  <c r="CH5666" i="1"/>
  <c r="CS5666" i="1"/>
  <c r="K5667" i="1"/>
  <c r="P5667" i="1"/>
  <c r="R5667" i="1"/>
  <c r="BL5667" i="1"/>
  <c r="BW5667" i="1"/>
  <c r="CH5667" i="1"/>
  <c r="CS5667" i="1"/>
  <c r="K5668" i="1"/>
  <c r="P5668" i="1"/>
  <c r="R5668" i="1"/>
  <c r="BL5668" i="1"/>
  <c r="BQ5668" i="1"/>
  <c r="BW5668" i="1"/>
  <c r="CB5668" i="1"/>
  <c r="CH5668" i="1"/>
  <c r="CS5668" i="1"/>
  <c r="K5669" i="1"/>
  <c r="P5669" i="1"/>
  <c r="R5669" i="1"/>
  <c r="BL5669" i="1"/>
  <c r="BW5669" i="1"/>
  <c r="CH5669" i="1"/>
  <c r="CS5669" i="1"/>
  <c r="K5670" i="1"/>
  <c r="P5670" i="1"/>
  <c r="R5670" i="1"/>
  <c r="BL5670" i="1"/>
  <c r="BW5670" i="1"/>
  <c r="CH5670" i="1"/>
  <c r="CS5670" i="1"/>
  <c r="K5671" i="1"/>
  <c r="P5671" i="1"/>
  <c r="R5671" i="1"/>
  <c r="BL5671" i="1"/>
  <c r="BW5671" i="1"/>
  <c r="CH5671" i="1"/>
  <c r="CS5671" i="1"/>
  <c r="K5672" i="1"/>
  <c r="P5672" i="1"/>
  <c r="R5672" i="1"/>
  <c r="BL5672" i="1"/>
  <c r="BW5672" i="1"/>
  <c r="CH5672" i="1"/>
  <c r="CS5672" i="1"/>
  <c r="K5673" i="1"/>
  <c r="P5673" i="1"/>
  <c r="R5673" i="1"/>
  <c r="BL5673" i="1"/>
  <c r="BW5673" i="1"/>
  <c r="CH5673" i="1"/>
  <c r="CS5673" i="1"/>
  <c r="K5674" i="1"/>
  <c r="P5674" i="1"/>
  <c r="R5674" i="1"/>
  <c r="BL5674" i="1"/>
  <c r="BW5674" i="1"/>
  <c r="CH5674" i="1"/>
  <c r="CS5674" i="1"/>
  <c r="K5675" i="1"/>
  <c r="P5675" i="1"/>
  <c r="R5675" i="1"/>
  <c r="BL5675" i="1"/>
  <c r="BW5675" i="1"/>
  <c r="CH5675" i="1"/>
  <c r="CS5675" i="1"/>
  <c r="K5676" i="1"/>
  <c r="P5676" i="1"/>
  <c r="R5676" i="1"/>
  <c r="BL5676" i="1"/>
  <c r="BW5676" i="1"/>
  <c r="CH5676" i="1"/>
  <c r="CS5676" i="1"/>
  <c r="K5677" i="1"/>
  <c r="P5677" i="1"/>
  <c r="R5677" i="1"/>
  <c r="BL5677" i="1"/>
  <c r="BW5677" i="1"/>
  <c r="CH5677" i="1"/>
  <c r="CS5677" i="1"/>
  <c r="K5678" i="1"/>
  <c r="P5678" i="1"/>
  <c r="R5678" i="1"/>
  <c r="BL5678" i="1"/>
  <c r="BW5678" i="1"/>
  <c r="CH5678" i="1"/>
  <c r="CS5678" i="1"/>
  <c r="K5679" i="1"/>
  <c r="P5679" i="1"/>
  <c r="R5679" i="1"/>
  <c r="BL5679" i="1"/>
  <c r="BW5679" i="1"/>
  <c r="CH5679" i="1"/>
  <c r="CS5679" i="1"/>
  <c r="K5680" i="1"/>
  <c r="P5680" i="1"/>
  <c r="R5680" i="1"/>
  <c r="BL5680" i="1"/>
  <c r="BW5680" i="1"/>
  <c r="CH5680" i="1"/>
  <c r="CS5680" i="1"/>
  <c r="K5681" i="1"/>
  <c r="P5681" i="1"/>
  <c r="R5681" i="1"/>
  <c r="BL5681" i="1"/>
  <c r="BW5681" i="1"/>
  <c r="CH5681" i="1"/>
  <c r="CS5681" i="1"/>
  <c r="K5682" i="1"/>
  <c r="P5682" i="1"/>
  <c r="R5682" i="1"/>
  <c r="BL5682" i="1"/>
  <c r="BW5682" i="1"/>
  <c r="CH5682" i="1"/>
  <c r="CS5682" i="1"/>
  <c r="K5683" i="1"/>
  <c r="P5683" i="1"/>
  <c r="R5683" i="1"/>
  <c r="BL5683" i="1"/>
  <c r="BW5683" i="1"/>
  <c r="CH5683" i="1"/>
  <c r="CS5683" i="1"/>
  <c r="K5684" i="1"/>
  <c r="P5684" i="1"/>
  <c r="R5684" i="1"/>
  <c r="BL5684" i="1"/>
  <c r="BW5684" i="1"/>
  <c r="CH5684" i="1"/>
  <c r="CS5684" i="1"/>
  <c r="K5685" i="1"/>
  <c r="P5685" i="1"/>
  <c r="R5685" i="1"/>
  <c r="BL5685" i="1"/>
  <c r="BW5685" i="1"/>
  <c r="CH5685" i="1"/>
  <c r="CS5685" i="1"/>
  <c r="K5686" i="1"/>
  <c r="P5686" i="1"/>
  <c r="R5686" i="1"/>
  <c r="BL5686" i="1"/>
  <c r="BW5686" i="1"/>
  <c r="CH5686" i="1"/>
  <c r="CS5686" i="1"/>
  <c r="K5687" i="1"/>
  <c r="P5687" i="1"/>
  <c r="R5687" i="1"/>
  <c r="BL5687" i="1"/>
  <c r="BW5687" i="1"/>
  <c r="CH5687" i="1"/>
  <c r="CS5687" i="1"/>
  <c r="K5688" i="1"/>
  <c r="P5688" i="1"/>
  <c r="R5688" i="1"/>
  <c r="BL5688" i="1"/>
  <c r="BW5688" i="1"/>
  <c r="CH5688" i="1"/>
  <c r="CS5688" i="1"/>
  <c r="K5689" i="1"/>
  <c r="P5689" i="1"/>
  <c r="R5689" i="1"/>
  <c r="BL5689" i="1"/>
  <c r="BW5689" i="1"/>
  <c r="CH5689" i="1"/>
  <c r="CS5689" i="1"/>
  <c r="K5690" i="1"/>
  <c r="P5690" i="1"/>
  <c r="R5690" i="1"/>
  <c r="BL5690" i="1"/>
  <c r="BW5690" i="1"/>
  <c r="CH5690" i="1"/>
  <c r="CS5690" i="1"/>
  <c r="K5691" i="1"/>
  <c r="P5691" i="1"/>
  <c r="R5691" i="1"/>
  <c r="BL5691" i="1"/>
  <c r="BW5691" i="1"/>
  <c r="CH5691" i="1"/>
  <c r="CS5691" i="1"/>
  <c r="K5692" i="1"/>
  <c r="P5692" i="1"/>
  <c r="R5692" i="1"/>
  <c r="BL5692" i="1"/>
  <c r="BW5692" i="1"/>
  <c r="CH5692" i="1"/>
  <c r="CS5692" i="1"/>
  <c r="K5693" i="1"/>
  <c r="P5693" i="1"/>
  <c r="R5693" i="1"/>
  <c r="BL5693" i="1"/>
  <c r="BW5693" i="1"/>
  <c r="CH5693" i="1"/>
  <c r="CS5693" i="1"/>
  <c r="K5694" i="1"/>
  <c r="P5694" i="1"/>
  <c r="R5694" i="1"/>
  <c r="BL5694" i="1"/>
  <c r="BW5694" i="1"/>
  <c r="CH5694" i="1"/>
  <c r="CS5694" i="1"/>
  <c r="K5695" i="1"/>
  <c r="P5695" i="1"/>
  <c r="R5695" i="1"/>
  <c r="BL5695" i="1"/>
  <c r="BW5695" i="1"/>
  <c r="CH5695" i="1"/>
  <c r="CS5695" i="1"/>
  <c r="K5696" i="1"/>
  <c r="P5696" i="1"/>
  <c r="R5696" i="1"/>
  <c r="BL5696" i="1"/>
  <c r="BW5696" i="1"/>
  <c r="CH5696" i="1"/>
  <c r="CS5696" i="1"/>
  <c r="K5697" i="1"/>
  <c r="P5697" i="1"/>
  <c r="R5697" i="1"/>
  <c r="BL5697" i="1"/>
  <c r="BW5697" i="1"/>
  <c r="CH5697" i="1"/>
  <c r="CS5697" i="1"/>
  <c r="K5698" i="1"/>
  <c r="P5698" i="1"/>
  <c r="R5698" i="1"/>
  <c r="BL5698" i="1"/>
  <c r="BW5698" i="1"/>
  <c r="CH5698" i="1"/>
  <c r="CS5698" i="1"/>
  <c r="K5699" i="1"/>
  <c r="P5699" i="1"/>
  <c r="R5699" i="1"/>
  <c r="BL5699" i="1"/>
  <c r="BW5699" i="1"/>
  <c r="CH5699" i="1"/>
  <c r="CS5699" i="1"/>
  <c r="K5700" i="1"/>
  <c r="P5700" i="1"/>
  <c r="R5700" i="1"/>
  <c r="BL5700" i="1"/>
  <c r="BW5700" i="1"/>
  <c r="CH5700" i="1"/>
  <c r="CS5700" i="1"/>
  <c r="K5701" i="1"/>
  <c r="P5701" i="1"/>
  <c r="R5701" i="1"/>
  <c r="BL5701" i="1"/>
  <c r="BW5701" i="1"/>
  <c r="CH5701" i="1"/>
  <c r="CS5701" i="1"/>
  <c r="K5702" i="1"/>
  <c r="P5702" i="1"/>
  <c r="R5702" i="1"/>
  <c r="BL5702" i="1"/>
  <c r="BW5702" i="1"/>
  <c r="CH5702" i="1"/>
  <c r="CS5702" i="1"/>
  <c r="K5703" i="1"/>
  <c r="P5703" i="1"/>
  <c r="R5703" i="1"/>
  <c r="BL5703" i="1"/>
  <c r="BW5703" i="1"/>
  <c r="CH5703" i="1"/>
  <c r="CS5703" i="1"/>
  <c r="K5704" i="1"/>
  <c r="P5704" i="1"/>
  <c r="R5704" i="1"/>
  <c r="BL5704" i="1"/>
  <c r="BW5704" i="1"/>
  <c r="CH5704" i="1"/>
  <c r="CS5704" i="1"/>
  <c r="K5705" i="1"/>
  <c r="P5705" i="1"/>
  <c r="R5705" i="1"/>
  <c r="BL5705" i="1"/>
  <c r="BW5705" i="1"/>
  <c r="CH5705" i="1"/>
  <c r="CS5705" i="1"/>
  <c r="K5706" i="1"/>
  <c r="P5706" i="1"/>
  <c r="R5706" i="1"/>
  <c r="BL5706" i="1"/>
  <c r="BW5706" i="1"/>
  <c r="CH5706" i="1"/>
  <c r="CS5706" i="1"/>
  <c r="K5707" i="1"/>
  <c r="P5707" i="1"/>
  <c r="R5707" i="1"/>
  <c r="BL5707" i="1"/>
  <c r="BW5707" i="1"/>
  <c r="CH5707" i="1"/>
  <c r="CS5707" i="1"/>
  <c r="K5708" i="1"/>
  <c r="P5708" i="1"/>
  <c r="R5708" i="1"/>
  <c r="BL5708" i="1"/>
  <c r="BW5708" i="1"/>
  <c r="CH5708" i="1"/>
  <c r="CS5708" i="1"/>
  <c r="K5709" i="1"/>
  <c r="P5709" i="1"/>
  <c r="R5709" i="1"/>
  <c r="BL5709" i="1"/>
  <c r="BW5709" i="1"/>
  <c r="CH5709" i="1"/>
  <c r="CS5709" i="1"/>
  <c r="K5710" i="1"/>
  <c r="P5710" i="1"/>
  <c r="R5710" i="1"/>
  <c r="BL5710" i="1"/>
  <c r="BW5710" i="1"/>
  <c r="CH5710" i="1"/>
  <c r="CS5710" i="1"/>
  <c r="K5711" i="1"/>
  <c r="P5711" i="1"/>
  <c r="R5711" i="1"/>
  <c r="BL5711" i="1"/>
  <c r="BW5711" i="1"/>
  <c r="CH5711" i="1"/>
  <c r="CS5711" i="1"/>
  <c r="K5712" i="1"/>
  <c r="P5712" i="1"/>
  <c r="R5712" i="1"/>
  <c r="BL5712" i="1"/>
  <c r="BW5712" i="1"/>
  <c r="CH5712" i="1"/>
  <c r="CS5712" i="1"/>
  <c r="K5713" i="1"/>
  <c r="P5713" i="1"/>
  <c r="R5713" i="1"/>
  <c r="AM5713" i="1"/>
  <c r="BL5713" i="1"/>
  <c r="BW5713" i="1"/>
  <c r="CH5713" i="1"/>
  <c r="CS5713" i="1"/>
  <c r="K5714" i="1"/>
  <c r="P5714" i="1"/>
  <c r="R5714" i="1"/>
  <c r="BL5714" i="1"/>
  <c r="BW5714" i="1"/>
  <c r="CH5714" i="1"/>
  <c r="CS5714" i="1"/>
  <c r="K5715" i="1"/>
  <c r="P5715" i="1"/>
  <c r="R5715" i="1"/>
  <c r="BL5715" i="1"/>
  <c r="BW5715" i="1"/>
  <c r="CH5715" i="1"/>
  <c r="CS5715" i="1"/>
  <c r="K5716" i="1"/>
  <c r="P5716" i="1"/>
  <c r="R5716" i="1"/>
  <c r="BL5716" i="1"/>
  <c r="BW5716" i="1"/>
  <c r="CH5716" i="1"/>
  <c r="CS5716" i="1"/>
  <c r="K5717" i="1"/>
  <c r="P5717" i="1"/>
  <c r="R5717" i="1"/>
  <c r="BL5717" i="1"/>
  <c r="BW5717" i="1"/>
  <c r="CH5717" i="1"/>
  <c r="CS5717" i="1"/>
  <c r="K5718" i="1"/>
  <c r="P5718" i="1"/>
  <c r="R5718" i="1"/>
  <c r="BL5718" i="1"/>
  <c r="BW5718" i="1"/>
  <c r="CH5718" i="1"/>
  <c r="CS5718" i="1"/>
  <c r="K5719" i="1"/>
  <c r="P5719" i="1"/>
  <c r="R5719" i="1"/>
  <c r="BL5719" i="1"/>
  <c r="BW5719" i="1"/>
  <c r="CH5719" i="1"/>
  <c r="CS5719" i="1"/>
  <c r="K5720" i="1"/>
  <c r="P5720" i="1"/>
  <c r="R5720" i="1"/>
  <c r="BL5720" i="1"/>
  <c r="BQ5720" i="1"/>
  <c r="BW5720" i="1"/>
  <c r="CH5720" i="1"/>
  <c r="CS5720" i="1"/>
  <c r="K5721" i="1"/>
  <c r="P5721" i="1"/>
  <c r="R5721" i="1"/>
  <c r="BL5721" i="1"/>
  <c r="BW5721" i="1"/>
  <c r="CH5721" i="1"/>
  <c r="CS5721" i="1"/>
  <c r="K5722" i="1"/>
  <c r="P5722" i="1"/>
  <c r="R5722" i="1"/>
  <c r="BL5722" i="1"/>
  <c r="BW5722" i="1"/>
  <c r="CH5722" i="1"/>
  <c r="CS5722" i="1"/>
  <c r="K5723" i="1"/>
  <c r="P5723" i="1"/>
  <c r="R5723" i="1"/>
  <c r="BL5723" i="1"/>
  <c r="BW5723" i="1"/>
  <c r="CH5723" i="1"/>
  <c r="CS5723" i="1"/>
  <c r="K5724" i="1"/>
  <c r="P5724" i="1"/>
  <c r="R5724" i="1"/>
  <c r="BL5724" i="1"/>
  <c r="BW5724" i="1"/>
  <c r="CH5724" i="1"/>
  <c r="CS5724" i="1"/>
  <c r="K5725" i="1"/>
  <c r="P5725" i="1"/>
  <c r="R5725" i="1"/>
  <c r="BL5725" i="1"/>
  <c r="BW5725" i="1"/>
  <c r="CH5725" i="1"/>
  <c r="CS5725" i="1"/>
  <c r="K5726" i="1"/>
  <c r="P5726" i="1"/>
  <c r="R5726" i="1"/>
  <c r="BL5726" i="1"/>
  <c r="BW5726" i="1"/>
  <c r="CH5726" i="1"/>
  <c r="CS5726" i="1"/>
  <c r="K5727" i="1"/>
  <c r="P5727" i="1"/>
  <c r="R5727" i="1"/>
  <c r="BL5727" i="1"/>
  <c r="BW5727" i="1"/>
  <c r="CH5727" i="1"/>
  <c r="CS5727" i="1"/>
  <c r="K5728" i="1"/>
  <c r="P5728" i="1"/>
  <c r="R5728" i="1"/>
  <c r="BL5728" i="1"/>
  <c r="BW5728" i="1"/>
  <c r="CH5728" i="1"/>
  <c r="CS5728" i="1"/>
  <c r="K5729" i="1"/>
  <c r="P5729" i="1"/>
  <c r="R5729" i="1"/>
  <c r="BL5729" i="1"/>
  <c r="BW5729" i="1"/>
  <c r="CH5729" i="1"/>
  <c r="CS5729" i="1"/>
  <c r="K5730" i="1"/>
  <c r="P5730" i="1"/>
  <c r="R5730" i="1"/>
  <c r="BL5730" i="1"/>
  <c r="BW5730" i="1"/>
  <c r="CH5730" i="1"/>
  <c r="CS5730" i="1"/>
  <c r="K5731" i="1"/>
  <c r="P5731" i="1"/>
  <c r="R5731" i="1"/>
  <c r="BL5731" i="1"/>
  <c r="BW5731" i="1"/>
  <c r="CH5731" i="1"/>
  <c r="CS5731" i="1"/>
  <c r="K5732" i="1"/>
  <c r="P5732" i="1"/>
  <c r="R5732" i="1"/>
  <c r="BL5732" i="1"/>
  <c r="BW5732" i="1"/>
  <c r="CH5732" i="1"/>
  <c r="CS5732" i="1"/>
  <c r="K5733" i="1"/>
  <c r="P5733" i="1"/>
  <c r="R5733" i="1"/>
  <c r="BL5733" i="1"/>
  <c r="BW5733" i="1"/>
  <c r="CH5733" i="1"/>
  <c r="CS5733" i="1"/>
  <c r="K5734" i="1"/>
  <c r="P5734" i="1"/>
  <c r="R5734" i="1"/>
  <c r="BL5734" i="1"/>
  <c r="BW5734" i="1"/>
  <c r="CH5734" i="1"/>
  <c r="CS5734" i="1"/>
  <c r="K5735" i="1"/>
  <c r="P5735" i="1"/>
  <c r="R5735" i="1"/>
  <c r="BL5735" i="1"/>
  <c r="BW5735" i="1"/>
  <c r="CH5735" i="1"/>
  <c r="CS5735" i="1"/>
  <c r="K5736" i="1"/>
  <c r="P5736" i="1"/>
  <c r="R5736" i="1"/>
  <c r="BL5736" i="1"/>
  <c r="BW5736" i="1"/>
  <c r="CH5736" i="1"/>
  <c r="CS5736" i="1"/>
  <c r="K5737" i="1"/>
  <c r="P5737" i="1"/>
  <c r="R5737" i="1"/>
  <c r="BL5737" i="1"/>
  <c r="BW5737" i="1"/>
  <c r="CH5737" i="1"/>
  <c r="CS5737" i="1"/>
  <c r="K5738" i="1"/>
  <c r="P5738" i="1"/>
  <c r="R5738" i="1"/>
  <c r="BL5738" i="1"/>
  <c r="BW5738" i="1"/>
  <c r="CH5738" i="1"/>
  <c r="CS5738" i="1"/>
  <c r="K5739" i="1"/>
  <c r="P5739" i="1"/>
  <c r="R5739" i="1"/>
  <c r="BL5739" i="1"/>
  <c r="BW5739" i="1"/>
  <c r="CH5739" i="1"/>
  <c r="CS5739" i="1"/>
  <c r="K5740" i="1"/>
  <c r="P5740" i="1"/>
  <c r="R5740" i="1"/>
  <c r="BL5740" i="1"/>
  <c r="BW5740" i="1"/>
  <c r="CH5740" i="1"/>
  <c r="CS5740" i="1"/>
  <c r="K5741" i="1"/>
  <c r="P5741" i="1"/>
  <c r="R5741" i="1"/>
  <c r="BL5741" i="1"/>
  <c r="BW5741" i="1"/>
  <c r="CH5741" i="1"/>
  <c r="CS5741" i="1"/>
  <c r="K5742" i="1"/>
  <c r="P5742" i="1"/>
  <c r="R5742" i="1"/>
  <c r="BL5742" i="1"/>
  <c r="BW5742" i="1"/>
  <c r="CH5742" i="1"/>
  <c r="CS5742" i="1"/>
  <c r="K5743" i="1"/>
  <c r="P5743" i="1"/>
  <c r="R5743" i="1"/>
  <c r="BL5743" i="1"/>
  <c r="BW5743" i="1"/>
  <c r="CH5743" i="1"/>
  <c r="CS5743" i="1"/>
  <c r="K5744" i="1"/>
  <c r="P5744" i="1"/>
  <c r="R5744" i="1"/>
  <c r="BL5744" i="1"/>
  <c r="BW5744" i="1"/>
  <c r="CH5744" i="1"/>
  <c r="CS5744" i="1"/>
  <c r="K5745" i="1"/>
  <c r="P5745" i="1"/>
  <c r="R5745" i="1"/>
  <c r="BL5745" i="1"/>
  <c r="BW5745" i="1"/>
  <c r="CH5745" i="1"/>
  <c r="CS5745" i="1"/>
  <c r="K5746" i="1"/>
  <c r="P5746" i="1"/>
  <c r="R5746" i="1"/>
  <c r="BL5746" i="1"/>
  <c r="BW5746" i="1"/>
  <c r="CH5746" i="1"/>
  <c r="CS5746" i="1"/>
  <c r="K5747" i="1"/>
  <c r="P5747" i="1"/>
  <c r="R5747" i="1"/>
  <c r="BL5747" i="1"/>
  <c r="BW5747" i="1"/>
  <c r="CH5747" i="1"/>
  <c r="CS5747" i="1"/>
  <c r="K5748" i="1"/>
  <c r="P5748" i="1"/>
  <c r="R5748" i="1"/>
  <c r="BL5748" i="1"/>
  <c r="BW5748" i="1"/>
  <c r="CH5748" i="1"/>
  <c r="CS5748" i="1"/>
  <c r="K5749" i="1"/>
  <c r="P5749" i="1"/>
  <c r="R5749" i="1"/>
  <c r="BL5749" i="1"/>
  <c r="BW5749" i="1"/>
  <c r="CH5749" i="1"/>
  <c r="CS5749" i="1"/>
  <c r="K5750" i="1"/>
  <c r="P5750" i="1"/>
  <c r="R5750" i="1"/>
  <c r="BL5750" i="1"/>
  <c r="BW5750" i="1"/>
  <c r="CH5750" i="1"/>
  <c r="CS5750" i="1"/>
  <c r="K5751" i="1"/>
  <c r="P5751" i="1"/>
  <c r="R5751" i="1"/>
  <c r="BL5751" i="1"/>
  <c r="BW5751" i="1"/>
  <c r="CH5751" i="1"/>
  <c r="CS5751" i="1"/>
  <c r="K5752" i="1"/>
  <c r="P5752" i="1"/>
  <c r="R5752" i="1"/>
  <c r="BL5752" i="1"/>
  <c r="BW5752" i="1"/>
  <c r="CH5752" i="1"/>
  <c r="CS5752" i="1"/>
  <c r="K5753" i="1"/>
  <c r="P5753" i="1"/>
  <c r="R5753" i="1"/>
  <c r="BL5753" i="1"/>
  <c r="BW5753" i="1"/>
  <c r="CH5753" i="1"/>
  <c r="CS5753" i="1"/>
  <c r="K5754" i="1"/>
  <c r="P5754" i="1"/>
  <c r="R5754" i="1"/>
  <c r="BL5754" i="1"/>
  <c r="BW5754" i="1"/>
  <c r="CH5754" i="1"/>
  <c r="CS5754" i="1"/>
  <c r="K5755" i="1"/>
  <c r="P5755" i="1"/>
  <c r="R5755" i="1"/>
  <c r="BL5755" i="1"/>
  <c r="BW5755" i="1"/>
  <c r="CH5755" i="1"/>
  <c r="CS5755" i="1"/>
  <c r="K5756" i="1"/>
  <c r="P5756" i="1"/>
  <c r="R5756" i="1"/>
  <c r="BL5756" i="1"/>
  <c r="BW5756" i="1"/>
  <c r="CH5756" i="1"/>
  <c r="CS5756" i="1"/>
  <c r="K5757" i="1"/>
  <c r="P5757" i="1"/>
  <c r="R5757" i="1"/>
  <c r="BL5757" i="1"/>
  <c r="BW5757" i="1"/>
  <c r="CH5757" i="1"/>
  <c r="CS5757" i="1"/>
  <c r="K5758" i="1"/>
  <c r="P5758" i="1"/>
  <c r="R5758" i="1"/>
  <c r="BL5758" i="1"/>
  <c r="BW5758" i="1"/>
  <c r="CH5758" i="1"/>
  <c r="CS5758" i="1"/>
  <c r="K5759" i="1"/>
  <c r="P5759" i="1"/>
  <c r="R5759" i="1"/>
  <c r="BL5759" i="1"/>
  <c r="BW5759" i="1"/>
  <c r="CH5759" i="1"/>
  <c r="CS5759" i="1"/>
  <c r="K5760" i="1"/>
  <c r="P5760" i="1"/>
  <c r="R5760" i="1"/>
  <c r="BL5760" i="1"/>
  <c r="BW5760" i="1"/>
  <c r="CH5760" i="1"/>
  <c r="CS5760" i="1"/>
  <c r="K5761" i="1"/>
  <c r="P5761" i="1"/>
  <c r="R5761" i="1"/>
  <c r="BL5761" i="1"/>
  <c r="BW5761" i="1"/>
  <c r="CH5761" i="1"/>
  <c r="CS5761" i="1"/>
  <c r="K5762" i="1"/>
  <c r="P5762" i="1"/>
  <c r="R5762" i="1"/>
  <c r="BL5762" i="1"/>
  <c r="BW5762" i="1"/>
  <c r="CH5762" i="1"/>
  <c r="CS5762" i="1"/>
  <c r="K5763" i="1"/>
  <c r="P5763" i="1"/>
  <c r="R5763" i="1"/>
  <c r="BL5763" i="1"/>
  <c r="BW5763" i="1"/>
  <c r="CH5763" i="1"/>
  <c r="CS5763" i="1"/>
  <c r="K5764" i="1"/>
  <c r="P5764" i="1"/>
  <c r="R5764" i="1"/>
  <c r="BL5764" i="1"/>
  <c r="BW5764" i="1"/>
  <c r="CH5764" i="1"/>
  <c r="CS5764" i="1"/>
  <c r="K5765" i="1"/>
  <c r="P5765" i="1"/>
  <c r="R5765" i="1"/>
  <c r="BL5765" i="1"/>
  <c r="BW5765" i="1"/>
  <c r="CH5765" i="1"/>
  <c r="CS5765" i="1"/>
  <c r="K5766" i="1"/>
  <c r="P5766" i="1"/>
  <c r="R5766" i="1"/>
  <c r="BL5766" i="1"/>
  <c r="BW5766" i="1"/>
  <c r="CH5766" i="1"/>
  <c r="CS5766" i="1"/>
  <c r="K5767" i="1"/>
  <c r="P5767" i="1"/>
  <c r="R5767" i="1"/>
  <c r="BL5767" i="1"/>
  <c r="BW5767" i="1"/>
  <c r="CH5767" i="1"/>
  <c r="CS5767" i="1"/>
  <c r="K5768" i="1"/>
  <c r="P5768" i="1"/>
  <c r="R5768" i="1"/>
  <c r="BL5768" i="1"/>
  <c r="BW5768" i="1"/>
  <c r="CH5768" i="1"/>
  <c r="CS5768" i="1"/>
  <c r="K5769" i="1"/>
  <c r="P5769" i="1"/>
  <c r="R5769" i="1"/>
  <c r="BL5769" i="1"/>
  <c r="BW5769" i="1"/>
  <c r="CH5769" i="1"/>
  <c r="CS5769" i="1"/>
  <c r="K5770" i="1"/>
  <c r="P5770" i="1"/>
  <c r="R5770" i="1"/>
  <c r="BL5770" i="1"/>
  <c r="BW5770" i="1"/>
  <c r="CH5770" i="1"/>
  <c r="CS5770" i="1"/>
  <c r="K5771" i="1"/>
  <c r="P5771" i="1"/>
  <c r="R5771" i="1"/>
  <c r="BL5771" i="1"/>
  <c r="BW5771" i="1"/>
  <c r="CH5771" i="1"/>
  <c r="CS5771" i="1"/>
  <c r="K5772" i="1"/>
  <c r="P5772" i="1"/>
  <c r="R5772" i="1"/>
  <c r="BL5772" i="1"/>
  <c r="BW5772" i="1"/>
  <c r="CH5772" i="1"/>
  <c r="CS5772" i="1"/>
  <c r="K5773" i="1"/>
  <c r="P5773" i="1"/>
  <c r="R5773" i="1"/>
  <c r="BL5773" i="1"/>
  <c r="BW5773" i="1"/>
  <c r="CH5773" i="1"/>
  <c r="CS5773" i="1"/>
  <c r="K5774" i="1"/>
  <c r="P5774" i="1"/>
  <c r="R5774" i="1"/>
  <c r="BL5774" i="1"/>
  <c r="BW5774" i="1"/>
  <c r="CH5774" i="1"/>
  <c r="CS5774" i="1"/>
  <c r="K5775" i="1"/>
  <c r="P5775" i="1"/>
  <c r="R5775" i="1"/>
  <c r="BL5775" i="1"/>
  <c r="BW5775" i="1"/>
  <c r="CH5775" i="1"/>
  <c r="CS5775" i="1"/>
  <c r="K5776" i="1"/>
  <c r="P5776" i="1"/>
  <c r="R5776" i="1"/>
  <c r="BL5776" i="1"/>
  <c r="BW5776" i="1"/>
  <c r="CH5776" i="1"/>
  <c r="CS5776" i="1"/>
  <c r="K5777" i="1"/>
  <c r="P5777" i="1"/>
  <c r="R5777" i="1"/>
  <c r="BL5777" i="1"/>
  <c r="BW5777" i="1"/>
  <c r="CH5777" i="1"/>
  <c r="CS5777" i="1"/>
  <c r="K5778" i="1"/>
  <c r="P5778" i="1"/>
  <c r="R5778" i="1"/>
  <c r="BL5778" i="1"/>
  <c r="BW5778" i="1"/>
  <c r="CH5778" i="1"/>
  <c r="CS5778" i="1"/>
  <c r="K5779" i="1"/>
  <c r="P5779" i="1"/>
  <c r="R5779" i="1"/>
  <c r="BL5779" i="1"/>
  <c r="BW5779" i="1"/>
  <c r="CH5779" i="1"/>
  <c r="CS5779" i="1"/>
  <c r="K5780" i="1"/>
  <c r="P5780" i="1"/>
  <c r="R5780" i="1"/>
  <c r="BL5780" i="1"/>
  <c r="BW5780" i="1"/>
  <c r="CH5780" i="1"/>
  <c r="CS5780" i="1"/>
  <c r="K5781" i="1"/>
  <c r="P5781" i="1"/>
  <c r="R5781" i="1"/>
  <c r="BL5781" i="1"/>
  <c r="BW5781" i="1"/>
  <c r="CH5781" i="1"/>
  <c r="CS5781" i="1"/>
  <c r="K5782" i="1"/>
  <c r="P5782" i="1"/>
  <c r="R5782" i="1"/>
  <c r="BL5782" i="1"/>
  <c r="BW5782" i="1"/>
  <c r="CH5782" i="1"/>
  <c r="CS5782" i="1"/>
  <c r="K5783" i="1"/>
  <c r="P5783" i="1"/>
  <c r="R5783" i="1"/>
  <c r="BL5783" i="1"/>
  <c r="BW5783" i="1"/>
  <c r="CH5783" i="1"/>
  <c r="CS5783" i="1"/>
  <c r="K5784" i="1"/>
  <c r="P5784" i="1"/>
  <c r="R5784" i="1"/>
  <c r="BL5784" i="1"/>
  <c r="BW5784" i="1"/>
  <c r="CH5784" i="1"/>
  <c r="CS5784" i="1"/>
  <c r="K5785" i="1"/>
  <c r="P5785" i="1"/>
  <c r="R5785" i="1"/>
  <c r="BL5785" i="1"/>
  <c r="BW5785" i="1"/>
  <c r="CH5785" i="1"/>
  <c r="CS5785" i="1"/>
  <c r="K5786" i="1"/>
  <c r="P5786" i="1"/>
  <c r="R5786" i="1"/>
  <c r="BL5786" i="1"/>
  <c r="BW5786" i="1"/>
  <c r="CH5786" i="1"/>
  <c r="CS5786" i="1"/>
  <c r="K5787" i="1"/>
  <c r="P5787" i="1"/>
  <c r="R5787" i="1"/>
  <c r="BL5787" i="1"/>
  <c r="BW5787" i="1"/>
  <c r="CH5787" i="1"/>
  <c r="CS5787" i="1"/>
  <c r="K5788" i="1"/>
  <c r="P5788" i="1"/>
  <c r="R5788" i="1"/>
  <c r="BL5788" i="1"/>
  <c r="BW5788" i="1"/>
  <c r="CH5788" i="1"/>
  <c r="CS5788" i="1"/>
  <c r="K5789" i="1"/>
  <c r="P5789" i="1"/>
  <c r="R5789" i="1"/>
  <c r="BL5789" i="1"/>
  <c r="BW5789" i="1"/>
  <c r="CH5789" i="1"/>
  <c r="CS5789" i="1"/>
  <c r="K5790" i="1"/>
  <c r="P5790" i="1"/>
  <c r="R5790" i="1"/>
  <c r="BL5790" i="1"/>
  <c r="BW5790" i="1"/>
  <c r="CH5790" i="1"/>
  <c r="CS5790" i="1"/>
  <c r="K5791" i="1"/>
  <c r="P5791" i="1"/>
  <c r="R5791" i="1"/>
  <c r="BL5791" i="1"/>
  <c r="BW5791" i="1"/>
  <c r="CH5791" i="1"/>
  <c r="CS5791" i="1"/>
  <c r="K5792" i="1"/>
  <c r="P5792" i="1"/>
  <c r="R5792" i="1"/>
  <c r="BL5792" i="1"/>
  <c r="BW5792" i="1"/>
  <c r="CH5792" i="1"/>
  <c r="CS5792" i="1"/>
  <c r="K5793" i="1"/>
  <c r="P5793" i="1"/>
  <c r="R5793" i="1"/>
  <c r="BL5793" i="1"/>
  <c r="BW5793" i="1"/>
  <c r="CH5793" i="1"/>
  <c r="CS5793" i="1"/>
  <c r="K5794" i="1"/>
  <c r="P5794" i="1"/>
  <c r="R5794" i="1"/>
  <c r="BL5794" i="1"/>
  <c r="BW5794" i="1"/>
  <c r="CH5794" i="1"/>
  <c r="CS5794" i="1"/>
  <c r="K5795" i="1"/>
  <c r="P5795" i="1"/>
  <c r="R5795" i="1"/>
  <c r="BL5795" i="1"/>
  <c r="BW5795" i="1"/>
  <c r="CH5795" i="1"/>
  <c r="CS5795" i="1"/>
  <c r="K5796" i="1"/>
  <c r="P5796" i="1"/>
  <c r="R5796" i="1"/>
  <c r="BL5796" i="1"/>
  <c r="BW5796" i="1"/>
  <c r="CH5796" i="1"/>
  <c r="CS5796" i="1"/>
  <c r="K5797" i="1"/>
  <c r="P5797" i="1"/>
  <c r="R5797" i="1"/>
  <c r="BL5797" i="1"/>
  <c r="BW5797" i="1"/>
  <c r="CH5797" i="1"/>
  <c r="CS5797" i="1"/>
  <c r="K5798" i="1"/>
  <c r="P5798" i="1"/>
  <c r="R5798" i="1"/>
  <c r="BL5798" i="1"/>
  <c r="BW5798" i="1"/>
  <c r="CH5798" i="1"/>
  <c r="CS5798" i="1"/>
  <c r="K5799" i="1"/>
  <c r="P5799" i="1"/>
  <c r="R5799" i="1"/>
  <c r="BL5799" i="1"/>
  <c r="BW5799" i="1"/>
  <c r="CH5799" i="1"/>
  <c r="CS5799" i="1"/>
  <c r="K5800" i="1"/>
  <c r="P5800" i="1"/>
  <c r="R5800" i="1"/>
  <c r="BL5800" i="1"/>
  <c r="BW5800" i="1"/>
  <c r="CH5800" i="1"/>
  <c r="CS5800" i="1"/>
  <c r="K5801" i="1"/>
  <c r="P5801" i="1"/>
  <c r="R5801" i="1"/>
  <c r="BL5801" i="1"/>
  <c r="BW5801" i="1"/>
  <c r="CH5801" i="1"/>
  <c r="CS5801" i="1"/>
  <c r="K5802" i="1"/>
  <c r="P5802" i="1"/>
  <c r="R5802" i="1"/>
  <c r="BL5802" i="1"/>
  <c r="BW5802" i="1"/>
  <c r="CH5802" i="1"/>
  <c r="CS5802" i="1"/>
  <c r="K5803" i="1"/>
  <c r="P5803" i="1"/>
  <c r="R5803" i="1"/>
  <c r="BL5803" i="1"/>
  <c r="BW5803" i="1"/>
  <c r="CH5803" i="1"/>
  <c r="CS5803" i="1"/>
  <c r="K5804" i="1"/>
  <c r="P5804" i="1"/>
  <c r="R5804" i="1"/>
  <c r="BL5804" i="1"/>
  <c r="BW5804" i="1"/>
  <c r="CH5804" i="1"/>
  <c r="CS5804" i="1"/>
  <c r="K5805" i="1"/>
  <c r="P5805" i="1"/>
  <c r="R5805" i="1"/>
  <c r="BL5805" i="1"/>
  <c r="BW5805" i="1"/>
  <c r="CH5805" i="1"/>
  <c r="CS5805" i="1"/>
  <c r="K5806" i="1"/>
  <c r="P5806" i="1"/>
  <c r="R5806" i="1"/>
  <c r="BL5806" i="1"/>
  <c r="BW5806" i="1"/>
  <c r="CH5806" i="1"/>
  <c r="CS5806" i="1"/>
  <c r="K5807" i="1"/>
  <c r="P5807" i="1"/>
  <c r="R5807" i="1"/>
  <c r="BL5807" i="1"/>
  <c r="BW5807" i="1"/>
  <c r="CH5807" i="1"/>
  <c r="CS5807" i="1"/>
  <c r="K5808" i="1"/>
  <c r="P5808" i="1"/>
  <c r="R5808" i="1"/>
  <c r="BL5808" i="1"/>
  <c r="BW5808" i="1"/>
  <c r="CH5808" i="1"/>
  <c r="CS5808" i="1"/>
  <c r="K5809" i="1"/>
  <c r="P5809" i="1"/>
  <c r="R5809" i="1"/>
  <c r="BL5809" i="1"/>
  <c r="BW5809" i="1"/>
  <c r="CH5809" i="1"/>
  <c r="CS5809" i="1"/>
  <c r="K5810" i="1"/>
  <c r="P5810" i="1"/>
  <c r="R5810" i="1"/>
  <c r="BL5810" i="1"/>
  <c r="BW5810" i="1"/>
  <c r="CH5810" i="1"/>
  <c r="CS5810" i="1"/>
  <c r="K5811" i="1"/>
  <c r="P5811" i="1"/>
  <c r="R5811" i="1"/>
  <c r="BL5811" i="1"/>
  <c r="BW5811" i="1"/>
  <c r="CH5811" i="1"/>
  <c r="CS5811" i="1"/>
  <c r="K5812" i="1"/>
  <c r="P5812" i="1"/>
  <c r="R5812" i="1"/>
  <c r="BL5812" i="1"/>
  <c r="BW5812" i="1"/>
  <c r="CH5812" i="1"/>
  <c r="CS5812" i="1"/>
  <c r="K5813" i="1"/>
  <c r="P5813" i="1"/>
  <c r="R5813" i="1"/>
  <c r="BL5813" i="1"/>
  <c r="BW5813" i="1"/>
  <c r="CH5813" i="1"/>
  <c r="CS5813" i="1"/>
  <c r="K5814" i="1"/>
  <c r="P5814" i="1"/>
  <c r="R5814" i="1"/>
  <c r="BL5814" i="1"/>
  <c r="BW5814" i="1"/>
  <c r="CH5814" i="1"/>
  <c r="CS5814" i="1"/>
  <c r="K5815" i="1"/>
  <c r="P5815" i="1"/>
  <c r="R5815" i="1"/>
  <c r="BL5815" i="1"/>
  <c r="BW5815" i="1"/>
  <c r="CH5815" i="1"/>
  <c r="CS5815" i="1"/>
  <c r="K5816" i="1"/>
  <c r="P5816" i="1"/>
  <c r="R5816" i="1"/>
  <c r="BL5816" i="1"/>
  <c r="BW5816" i="1"/>
  <c r="CH5816" i="1"/>
  <c r="CS5816" i="1"/>
  <c r="K5817" i="1"/>
  <c r="P5817" i="1"/>
  <c r="R5817" i="1"/>
  <c r="BL5817" i="1"/>
  <c r="BW5817" i="1"/>
  <c r="CH5817" i="1"/>
  <c r="CS5817" i="1"/>
  <c r="K5818" i="1"/>
  <c r="P5818" i="1"/>
  <c r="R5818" i="1"/>
  <c r="BL5818" i="1"/>
  <c r="BW5818" i="1"/>
  <c r="CH5818" i="1"/>
  <c r="CS5818" i="1"/>
  <c r="K5819" i="1"/>
  <c r="P5819" i="1"/>
  <c r="R5819" i="1"/>
  <c r="BL5819" i="1"/>
  <c r="BW5819" i="1"/>
  <c r="CH5819" i="1"/>
  <c r="CS5819" i="1"/>
  <c r="K5820" i="1"/>
  <c r="P5820" i="1"/>
  <c r="R5820" i="1"/>
  <c r="BL5820" i="1"/>
  <c r="BW5820" i="1"/>
  <c r="CH5820" i="1"/>
  <c r="CS5820" i="1"/>
  <c r="K5821" i="1"/>
  <c r="P5821" i="1"/>
  <c r="R5821" i="1"/>
  <c r="BL5821" i="1"/>
  <c r="BW5821" i="1"/>
  <c r="CH5821" i="1"/>
  <c r="CS5821" i="1"/>
  <c r="K5822" i="1"/>
  <c r="P5822" i="1"/>
  <c r="R5822" i="1"/>
  <c r="BL5822" i="1"/>
  <c r="BW5822" i="1"/>
  <c r="CH5822" i="1"/>
  <c r="CS5822" i="1"/>
  <c r="K5823" i="1"/>
  <c r="P5823" i="1"/>
  <c r="R5823" i="1"/>
  <c r="BL5823" i="1"/>
  <c r="BW5823" i="1"/>
  <c r="CH5823" i="1"/>
  <c r="CS5823" i="1"/>
  <c r="K5824" i="1"/>
  <c r="P5824" i="1"/>
  <c r="R5824" i="1"/>
  <c r="BL5824" i="1"/>
  <c r="BW5824" i="1"/>
  <c r="CH5824" i="1"/>
  <c r="CS5824" i="1"/>
  <c r="K5825" i="1"/>
  <c r="P5825" i="1"/>
  <c r="R5825" i="1"/>
  <c r="BL5825" i="1"/>
  <c r="BW5825" i="1"/>
  <c r="CH5825" i="1"/>
  <c r="CS5825" i="1"/>
  <c r="K5826" i="1"/>
  <c r="P5826" i="1"/>
  <c r="R5826" i="1"/>
  <c r="BL5826" i="1"/>
  <c r="BW5826" i="1"/>
  <c r="CH5826" i="1"/>
  <c r="CS5826" i="1"/>
  <c r="K5827" i="1"/>
  <c r="P5827" i="1"/>
  <c r="R5827" i="1"/>
  <c r="BL5827" i="1"/>
  <c r="BW5827" i="1"/>
  <c r="CH5827" i="1"/>
  <c r="CS5827" i="1"/>
  <c r="K5828" i="1"/>
  <c r="P5828" i="1"/>
  <c r="R5828" i="1"/>
  <c r="BL5828" i="1"/>
  <c r="BW5828" i="1"/>
  <c r="CH5828" i="1"/>
  <c r="CS5828" i="1"/>
  <c r="K5829" i="1"/>
  <c r="P5829" i="1"/>
  <c r="R5829" i="1"/>
  <c r="BL5829" i="1"/>
  <c r="BW5829" i="1"/>
  <c r="CH5829" i="1"/>
  <c r="CS5829" i="1"/>
  <c r="K5830" i="1"/>
  <c r="P5830" i="1"/>
  <c r="R5830" i="1"/>
  <c r="BL5830" i="1"/>
  <c r="BW5830" i="1"/>
  <c r="CH5830" i="1"/>
  <c r="CS5830" i="1"/>
  <c r="K5831" i="1"/>
  <c r="P5831" i="1"/>
  <c r="R5831" i="1"/>
  <c r="BL5831" i="1"/>
  <c r="BW5831" i="1"/>
  <c r="CH5831" i="1"/>
  <c r="CS5831" i="1"/>
  <c r="K5832" i="1"/>
  <c r="P5832" i="1"/>
  <c r="R5832" i="1"/>
  <c r="BL5832" i="1"/>
  <c r="BW5832" i="1"/>
  <c r="CH5832" i="1"/>
  <c r="CS5832" i="1"/>
  <c r="K5833" i="1"/>
  <c r="P5833" i="1"/>
  <c r="R5833" i="1"/>
  <c r="BL5833" i="1"/>
  <c r="BW5833" i="1"/>
  <c r="CH5833" i="1"/>
  <c r="CS5833" i="1"/>
  <c r="K5834" i="1"/>
  <c r="P5834" i="1"/>
  <c r="R5834" i="1"/>
  <c r="BL5834" i="1"/>
  <c r="BW5834" i="1"/>
  <c r="CH5834" i="1"/>
  <c r="CS5834" i="1"/>
  <c r="K5835" i="1"/>
  <c r="P5835" i="1"/>
  <c r="R5835" i="1"/>
  <c r="BL5835" i="1"/>
  <c r="BW5835" i="1"/>
  <c r="CH5835" i="1"/>
  <c r="CS5835" i="1"/>
  <c r="K5836" i="1"/>
  <c r="P5836" i="1"/>
  <c r="R5836" i="1"/>
  <c r="BL5836" i="1"/>
  <c r="BW5836" i="1"/>
  <c r="CH5836" i="1"/>
  <c r="CS5836" i="1"/>
  <c r="K5837" i="1"/>
  <c r="P5837" i="1"/>
  <c r="R5837" i="1"/>
  <c r="BL5837" i="1"/>
  <c r="BW5837" i="1"/>
  <c r="CH5837" i="1"/>
  <c r="CS5837" i="1"/>
  <c r="K5838" i="1"/>
  <c r="P5838" i="1"/>
  <c r="R5838" i="1"/>
  <c r="BL5838" i="1"/>
  <c r="BW5838" i="1"/>
  <c r="CH5838" i="1"/>
  <c r="CS5838" i="1"/>
  <c r="K5839" i="1"/>
  <c r="P5839" i="1"/>
  <c r="R5839" i="1"/>
  <c r="BL5839" i="1"/>
  <c r="BW5839" i="1"/>
  <c r="CH5839" i="1"/>
  <c r="CS5839" i="1"/>
  <c r="K5840" i="1"/>
  <c r="P5840" i="1"/>
  <c r="R5840" i="1"/>
  <c r="BL5840" i="1"/>
  <c r="BW5840" i="1"/>
  <c r="CH5840" i="1"/>
  <c r="CS5840" i="1"/>
  <c r="K5841" i="1"/>
  <c r="P5841" i="1"/>
  <c r="R5841" i="1"/>
  <c r="BL5841" i="1"/>
  <c r="BW5841" i="1"/>
  <c r="CH5841" i="1"/>
  <c r="CS5841" i="1"/>
  <c r="K5842" i="1"/>
  <c r="P5842" i="1"/>
  <c r="R5842" i="1"/>
  <c r="BL5842" i="1"/>
  <c r="BW5842" i="1"/>
  <c r="CH5842" i="1"/>
  <c r="CS5842" i="1"/>
  <c r="K5843" i="1"/>
  <c r="P5843" i="1"/>
  <c r="R5843" i="1"/>
  <c r="BL5843" i="1"/>
  <c r="BW5843" i="1"/>
  <c r="CH5843" i="1"/>
  <c r="CS5843" i="1"/>
  <c r="K5844" i="1"/>
  <c r="P5844" i="1"/>
  <c r="R5844" i="1"/>
  <c r="BL5844" i="1"/>
  <c r="BW5844" i="1"/>
  <c r="CH5844" i="1"/>
  <c r="CS5844" i="1"/>
  <c r="K5845" i="1"/>
  <c r="P5845" i="1"/>
  <c r="R5845" i="1"/>
  <c r="BL5845" i="1"/>
  <c r="BW5845" i="1"/>
  <c r="CH5845" i="1"/>
  <c r="CS5845" i="1"/>
  <c r="K5846" i="1"/>
  <c r="P5846" i="1"/>
  <c r="R5846" i="1"/>
  <c r="BL5846" i="1"/>
  <c r="BW5846" i="1"/>
  <c r="CH5846" i="1"/>
  <c r="CS5846" i="1"/>
  <c r="K5847" i="1"/>
  <c r="P5847" i="1"/>
  <c r="R5847" i="1"/>
  <c r="BL5847" i="1"/>
  <c r="BW5847" i="1"/>
  <c r="CH5847" i="1"/>
  <c r="CS5847" i="1"/>
  <c r="K5848" i="1"/>
  <c r="P5848" i="1"/>
  <c r="R5848" i="1"/>
  <c r="BL5848" i="1"/>
  <c r="BW5848" i="1"/>
  <c r="CH5848" i="1"/>
  <c r="CS5848" i="1"/>
  <c r="K5849" i="1"/>
  <c r="P5849" i="1"/>
  <c r="R5849" i="1"/>
  <c r="BL5849" i="1"/>
  <c r="BW5849" i="1"/>
  <c r="CH5849" i="1"/>
  <c r="CS5849" i="1"/>
  <c r="K5850" i="1"/>
  <c r="P5850" i="1"/>
  <c r="R5850" i="1"/>
  <c r="BL5850" i="1"/>
  <c r="BW5850" i="1"/>
  <c r="CH5850" i="1"/>
  <c r="CS5850" i="1"/>
  <c r="K5851" i="1"/>
  <c r="P5851" i="1"/>
  <c r="R5851" i="1"/>
  <c r="BL5851" i="1"/>
  <c r="BW5851" i="1"/>
  <c r="CH5851" i="1"/>
  <c r="CS5851" i="1"/>
  <c r="K5852" i="1"/>
  <c r="P5852" i="1"/>
  <c r="R5852" i="1"/>
  <c r="BL5852" i="1"/>
  <c r="BW5852" i="1"/>
  <c r="CH5852" i="1"/>
  <c r="CS5852" i="1"/>
  <c r="K5853" i="1"/>
  <c r="P5853" i="1"/>
  <c r="R5853" i="1"/>
  <c r="BL5853" i="1"/>
  <c r="BW5853" i="1"/>
  <c r="CH5853" i="1"/>
  <c r="CS5853" i="1"/>
  <c r="K5854" i="1"/>
  <c r="P5854" i="1"/>
  <c r="R5854" i="1"/>
  <c r="BL5854" i="1"/>
  <c r="BW5854" i="1"/>
  <c r="CH5854" i="1"/>
  <c r="CS5854" i="1"/>
  <c r="K5855" i="1"/>
  <c r="P5855" i="1"/>
  <c r="R5855" i="1"/>
  <c r="BL5855" i="1"/>
  <c r="BW5855" i="1"/>
  <c r="CH5855" i="1"/>
  <c r="CS5855" i="1"/>
  <c r="K5856" i="1"/>
  <c r="P5856" i="1"/>
  <c r="R5856" i="1"/>
  <c r="BL5856" i="1"/>
  <c r="BW5856" i="1"/>
  <c r="CH5856" i="1"/>
  <c r="CS5856" i="1"/>
  <c r="K5857" i="1"/>
  <c r="P5857" i="1"/>
  <c r="R5857" i="1"/>
  <c r="BL5857" i="1"/>
  <c r="BW5857" i="1"/>
  <c r="CH5857" i="1"/>
  <c r="CS5857" i="1"/>
  <c r="K5858" i="1"/>
  <c r="P5858" i="1"/>
  <c r="R5858" i="1"/>
  <c r="BL5858" i="1"/>
  <c r="BW5858" i="1"/>
  <c r="CH5858" i="1"/>
  <c r="CS5858" i="1"/>
  <c r="K5859" i="1"/>
  <c r="P5859" i="1"/>
  <c r="R5859" i="1"/>
  <c r="BL5859" i="1"/>
  <c r="BW5859" i="1"/>
  <c r="CH5859" i="1"/>
  <c r="CS5859" i="1"/>
  <c r="K5860" i="1"/>
  <c r="P5860" i="1"/>
  <c r="R5860" i="1"/>
  <c r="BL5860" i="1"/>
  <c r="BW5860" i="1"/>
  <c r="CH5860" i="1"/>
  <c r="CS5860" i="1"/>
  <c r="K5861" i="1"/>
  <c r="P5861" i="1"/>
  <c r="R5861" i="1"/>
  <c r="BL5861" i="1"/>
  <c r="BW5861" i="1"/>
  <c r="CH5861" i="1"/>
  <c r="CS5861" i="1"/>
  <c r="K5862" i="1"/>
  <c r="P5862" i="1"/>
  <c r="R5862" i="1"/>
  <c r="BL5862" i="1"/>
  <c r="BW5862" i="1"/>
  <c r="CH5862" i="1"/>
  <c r="CS5862" i="1"/>
  <c r="K5863" i="1"/>
  <c r="P5863" i="1"/>
  <c r="R5863" i="1"/>
  <c r="BL5863" i="1"/>
  <c r="BW5863" i="1"/>
  <c r="CH5863" i="1"/>
  <c r="CS5863" i="1"/>
  <c r="K5864" i="1"/>
  <c r="P5864" i="1"/>
  <c r="R5864" i="1"/>
  <c r="BL5864" i="1"/>
  <c r="BW5864" i="1"/>
  <c r="CH5864" i="1"/>
  <c r="CS5864" i="1"/>
  <c r="K5865" i="1"/>
  <c r="P5865" i="1"/>
  <c r="R5865" i="1"/>
  <c r="BL5865" i="1"/>
  <c r="BW5865" i="1"/>
  <c r="CH5865" i="1"/>
  <c r="CS5865" i="1"/>
  <c r="K5866" i="1"/>
  <c r="P5866" i="1"/>
  <c r="R5866" i="1"/>
  <c r="BL5866" i="1"/>
  <c r="BW5866" i="1"/>
  <c r="CH5866" i="1"/>
  <c r="CS5866" i="1"/>
  <c r="K5867" i="1"/>
  <c r="P5867" i="1"/>
  <c r="R5867" i="1"/>
  <c r="BL5867" i="1"/>
  <c r="BW5867" i="1"/>
  <c r="CH5867" i="1"/>
  <c r="CS5867" i="1"/>
  <c r="K5868" i="1"/>
  <c r="P5868" i="1"/>
  <c r="R5868" i="1"/>
  <c r="BL5868" i="1"/>
  <c r="BW5868" i="1"/>
  <c r="CH5868" i="1"/>
  <c r="CS5868" i="1"/>
  <c r="K5869" i="1"/>
  <c r="P5869" i="1"/>
  <c r="R5869" i="1"/>
  <c r="BL5869" i="1"/>
  <c r="BW5869" i="1"/>
  <c r="CH5869" i="1"/>
  <c r="CS5869" i="1"/>
  <c r="K5870" i="1"/>
  <c r="P5870" i="1"/>
  <c r="R5870" i="1"/>
  <c r="BL5870" i="1"/>
  <c r="BW5870" i="1"/>
  <c r="CH5870" i="1"/>
  <c r="CS5870" i="1"/>
  <c r="K5871" i="1"/>
  <c r="P5871" i="1"/>
  <c r="R5871" i="1"/>
  <c r="BL5871" i="1"/>
  <c r="BW5871" i="1"/>
  <c r="CH5871" i="1"/>
  <c r="CS5871" i="1"/>
  <c r="K5872" i="1"/>
  <c r="P5872" i="1"/>
  <c r="R5872" i="1"/>
  <c r="BL5872" i="1"/>
  <c r="BW5872" i="1"/>
  <c r="CH5872" i="1"/>
  <c r="CS5872" i="1"/>
  <c r="K5873" i="1"/>
  <c r="P5873" i="1"/>
  <c r="R5873" i="1"/>
  <c r="BL5873" i="1"/>
  <c r="BW5873" i="1"/>
  <c r="CH5873" i="1"/>
  <c r="CS5873" i="1"/>
  <c r="K5874" i="1"/>
  <c r="P5874" i="1"/>
  <c r="R5874" i="1"/>
  <c r="BL5874" i="1"/>
  <c r="BW5874" i="1"/>
  <c r="CH5874" i="1"/>
  <c r="CS5874" i="1"/>
  <c r="K5875" i="1"/>
  <c r="P5875" i="1"/>
  <c r="R5875" i="1"/>
  <c r="BL5875" i="1"/>
  <c r="BW5875" i="1"/>
  <c r="CH5875" i="1"/>
  <c r="CS5875" i="1"/>
  <c r="K5876" i="1"/>
  <c r="P5876" i="1"/>
  <c r="R5876" i="1"/>
  <c r="BL5876" i="1"/>
  <c r="BW5876" i="1"/>
  <c r="CH5876" i="1"/>
  <c r="CS5876" i="1"/>
  <c r="K5877" i="1"/>
  <c r="P5877" i="1"/>
  <c r="R5877" i="1"/>
  <c r="BL5877" i="1"/>
  <c r="BW5877" i="1"/>
  <c r="CH5877" i="1"/>
  <c r="CS5877" i="1"/>
  <c r="K5878" i="1"/>
  <c r="P5878" i="1"/>
  <c r="R5878" i="1"/>
  <c r="BL5878" i="1"/>
  <c r="BW5878" i="1"/>
  <c r="CH5878" i="1"/>
  <c r="CS5878" i="1"/>
  <c r="K5879" i="1"/>
  <c r="P5879" i="1"/>
  <c r="R5879" i="1"/>
  <c r="AM5879" i="1"/>
  <c r="BL5879" i="1"/>
  <c r="BW5879" i="1"/>
  <c r="CH5879" i="1"/>
  <c r="CS5879" i="1"/>
  <c r="K5880" i="1"/>
  <c r="P5880" i="1"/>
  <c r="R5880" i="1"/>
  <c r="BL5880" i="1"/>
  <c r="BW5880" i="1"/>
  <c r="CH5880" i="1"/>
  <c r="CS5880" i="1"/>
  <c r="K5881" i="1"/>
  <c r="P5881" i="1"/>
  <c r="R5881" i="1"/>
  <c r="BL5881" i="1"/>
  <c r="BW5881" i="1"/>
  <c r="CH5881" i="1"/>
  <c r="CS5881" i="1"/>
  <c r="K5882" i="1"/>
  <c r="P5882" i="1"/>
  <c r="R5882" i="1"/>
  <c r="BL5882" i="1"/>
  <c r="BW5882" i="1"/>
  <c r="CH5882" i="1"/>
  <c r="CS5882" i="1"/>
  <c r="K5883" i="1"/>
  <c r="P5883" i="1"/>
  <c r="R5883" i="1"/>
  <c r="BL5883" i="1"/>
  <c r="BW5883" i="1"/>
  <c r="CH5883" i="1"/>
  <c r="CS5883" i="1"/>
  <c r="K5884" i="1"/>
  <c r="P5884" i="1"/>
  <c r="R5884" i="1"/>
  <c r="BL5884" i="1"/>
  <c r="BW5884" i="1"/>
  <c r="CH5884" i="1"/>
  <c r="CS5884" i="1"/>
  <c r="K5885" i="1"/>
  <c r="P5885" i="1"/>
  <c r="R5885" i="1"/>
  <c r="BL5885" i="1"/>
  <c r="BW5885" i="1"/>
  <c r="CH5885" i="1"/>
  <c r="CS5885" i="1"/>
  <c r="K5886" i="1"/>
  <c r="P5886" i="1"/>
  <c r="R5886" i="1"/>
  <c r="BL5886" i="1"/>
  <c r="BW5886" i="1"/>
  <c r="CH5886" i="1"/>
  <c r="CS5886" i="1"/>
  <c r="K5887" i="1"/>
  <c r="P5887" i="1"/>
  <c r="R5887" i="1"/>
  <c r="BL5887" i="1"/>
  <c r="BW5887" i="1"/>
  <c r="CH5887" i="1"/>
  <c r="CS5887" i="1"/>
  <c r="K5888" i="1"/>
  <c r="P5888" i="1"/>
  <c r="R5888" i="1"/>
  <c r="BL5888" i="1"/>
  <c r="BW5888" i="1"/>
  <c r="CH5888" i="1"/>
  <c r="CS5888" i="1"/>
  <c r="K5889" i="1"/>
  <c r="P5889" i="1"/>
  <c r="R5889" i="1"/>
  <c r="BL5889" i="1"/>
  <c r="BW5889" i="1"/>
  <c r="CH5889" i="1"/>
  <c r="CS5889" i="1"/>
  <c r="K5890" i="1"/>
  <c r="P5890" i="1"/>
  <c r="R5890" i="1"/>
  <c r="BL5890" i="1"/>
  <c r="BW5890" i="1"/>
  <c r="CH5890" i="1"/>
  <c r="CS5890" i="1"/>
  <c r="K5891" i="1"/>
  <c r="P5891" i="1"/>
  <c r="R5891" i="1"/>
  <c r="BL5891" i="1"/>
  <c r="BW5891" i="1"/>
  <c r="CH5891" i="1"/>
  <c r="CS5891" i="1"/>
  <c r="K5892" i="1"/>
  <c r="P5892" i="1"/>
  <c r="R5892" i="1"/>
  <c r="BL5892" i="1"/>
  <c r="BW5892" i="1"/>
  <c r="CH5892" i="1"/>
  <c r="CS5892" i="1"/>
  <c r="K5893" i="1"/>
  <c r="P5893" i="1"/>
  <c r="R5893" i="1"/>
  <c r="BL5893" i="1"/>
  <c r="BW5893" i="1"/>
  <c r="CH5893" i="1"/>
  <c r="CS5893" i="1"/>
  <c r="K5894" i="1"/>
  <c r="P5894" i="1"/>
  <c r="R5894" i="1"/>
  <c r="BL5894" i="1"/>
  <c r="BW5894" i="1"/>
  <c r="CH5894" i="1"/>
  <c r="CS5894" i="1"/>
  <c r="K5895" i="1"/>
  <c r="P5895" i="1"/>
  <c r="R5895" i="1"/>
  <c r="BL5895" i="1"/>
  <c r="BW5895" i="1"/>
  <c r="CH5895" i="1"/>
  <c r="CS5895" i="1"/>
  <c r="K5896" i="1"/>
  <c r="P5896" i="1"/>
  <c r="R5896" i="1"/>
  <c r="BL5896" i="1"/>
  <c r="BW5896" i="1"/>
  <c r="CH5896" i="1"/>
  <c r="CS5896" i="1"/>
  <c r="K5897" i="1"/>
  <c r="P5897" i="1"/>
  <c r="R5897" i="1"/>
  <c r="BL5897" i="1"/>
  <c r="BW5897" i="1"/>
  <c r="CH5897" i="1"/>
  <c r="CS5897" i="1"/>
  <c r="K5898" i="1"/>
  <c r="P5898" i="1"/>
  <c r="R5898" i="1"/>
  <c r="BL5898" i="1"/>
  <c r="BW5898" i="1"/>
  <c r="CH5898" i="1"/>
  <c r="CS5898" i="1"/>
  <c r="K5899" i="1"/>
  <c r="P5899" i="1"/>
  <c r="R5899" i="1"/>
  <c r="BL5899" i="1"/>
  <c r="BW5899" i="1"/>
  <c r="CH5899" i="1"/>
  <c r="CS5899" i="1"/>
  <c r="K5900" i="1"/>
  <c r="P5900" i="1"/>
  <c r="R5900" i="1"/>
  <c r="BL5900" i="1"/>
  <c r="BW5900" i="1"/>
  <c r="CH5900" i="1"/>
  <c r="CS5900" i="1"/>
  <c r="K5901" i="1"/>
  <c r="P5901" i="1"/>
  <c r="R5901" i="1"/>
  <c r="BL5901" i="1"/>
  <c r="BW5901" i="1"/>
  <c r="CH5901" i="1"/>
  <c r="CS5901" i="1"/>
  <c r="K5902" i="1"/>
  <c r="P5902" i="1"/>
  <c r="R5902" i="1"/>
  <c r="BL5902" i="1"/>
  <c r="BW5902" i="1"/>
  <c r="CH5902" i="1"/>
  <c r="CS5902" i="1"/>
  <c r="K5903" i="1"/>
  <c r="P5903" i="1"/>
  <c r="R5903" i="1"/>
  <c r="BL5903" i="1"/>
  <c r="BW5903" i="1"/>
  <c r="CH5903" i="1"/>
  <c r="CS5903" i="1"/>
  <c r="K5904" i="1"/>
  <c r="P5904" i="1"/>
  <c r="R5904" i="1"/>
  <c r="BL5904" i="1"/>
  <c r="BW5904" i="1"/>
  <c r="CH5904" i="1"/>
  <c r="CS5904" i="1"/>
  <c r="K5905" i="1"/>
  <c r="P5905" i="1"/>
  <c r="R5905" i="1"/>
  <c r="BL5905" i="1"/>
  <c r="BW5905" i="1"/>
  <c r="CH5905" i="1"/>
  <c r="CS5905" i="1"/>
  <c r="K5906" i="1"/>
  <c r="P5906" i="1"/>
  <c r="R5906" i="1"/>
  <c r="BL5906" i="1"/>
  <c r="BW5906" i="1"/>
  <c r="CH5906" i="1"/>
  <c r="CS5906" i="1"/>
  <c r="K5907" i="1"/>
  <c r="P5907" i="1"/>
  <c r="R5907" i="1"/>
  <c r="BL5907" i="1"/>
  <c r="BW5907" i="1"/>
  <c r="CH5907" i="1"/>
  <c r="CS5907" i="1"/>
  <c r="K5908" i="1"/>
  <c r="P5908" i="1"/>
  <c r="R5908" i="1"/>
  <c r="BL5908" i="1"/>
  <c r="BW5908" i="1"/>
  <c r="CH5908" i="1"/>
  <c r="CS5908" i="1"/>
  <c r="K5909" i="1"/>
  <c r="P5909" i="1"/>
  <c r="R5909" i="1"/>
  <c r="BL5909" i="1"/>
  <c r="BW5909" i="1"/>
  <c r="CH5909" i="1"/>
  <c r="CS5909" i="1"/>
  <c r="K5910" i="1"/>
  <c r="P5910" i="1"/>
  <c r="R5910" i="1"/>
  <c r="BL5910" i="1"/>
  <c r="BW5910" i="1"/>
  <c r="CH5910" i="1"/>
  <c r="CS5910" i="1"/>
  <c r="K5911" i="1"/>
  <c r="P5911" i="1"/>
  <c r="R5911" i="1"/>
  <c r="BL5911" i="1"/>
  <c r="BW5911" i="1"/>
  <c r="CH5911" i="1"/>
  <c r="CS5911" i="1"/>
  <c r="K5912" i="1"/>
  <c r="P5912" i="1"/>
  <c r="R5912" i="1"/>
  <c r="BL5912" i="1"/>
  <c r="BW5912" i="1"/>
  <c r="CH5912" i="1"/>
  <c r="CS5912" i="1"/>
  <c r="K5913" i="1"/>
  <c r="P5913" i="1"/>
  <c r="R5913" i="1"/>
  <c r="BL5913" i="1"/>
  <c r="BW5913" i="1"/>
  <c r="CH5913" i="1"/>
  <c r="CS5913" i="1"/>
  <c r="K5914" i="1"/>
  <c r="P5914" i="1"/>
  <c r="R5914" i="1"/>
  <c r="BL5914" i="1"/>
  <c r="BW5914" i="1"/>
  <c r="CH5914" i="1"/>
  <c r="CS5914" i="1"/>
  <c r="K5915" i="1"/>
  <c r="P5915" i="1"/>
  <c r="R5915" i="1"/>
  <c r="BL5915" i="1"/>
  <c r="BW5915" i="1"/>
  <c r="CH5915" i="1"/>
  <c r="CS5915" i="1"/>
  <c r="K5916" i="1"/>
  <c r="P5916" i="1"/>
  <c r="R5916" i="1"/>
  <c r="BL5916" i="1"/>
  <c r="BW5916" i="1"/>
  <c r="CH5916" i="1"/>
  <c r="CS5916" i="1"/>
  <c r="K5917" i="1"/>
  <c r="P5917" i="1"/>
  <c r="R5917" i="1"/>
  <c r="BL5917" i="1"/>
  <c r="BW5917" i="1"/>
  <c r="CH5917" i="1"/>
  <c r="CS5917" i="1"/>
  <c r="K5918" i="1"/>
  <c r="P5918" i="1"/>
  <c r="R5918" i="1"/>
  <c r="BL5918" i="1"/>
  <c r="BW5918" i="1"/>
  <c r="CH5918" i="1"/>
  <c r="CS5918" i="1"/>
  <c r="K5919" i="1"/>
  <c r="P5919" i="1"/>
  <c r="R5919" i="1"/>
  <c r="BL5919" i="1"/>
  <c r="BW5919" i="1"/>
  <c r="CH5919" i="1"/>
  <c r="CS5919" i="1"/>
  <c r="K5920" i="1"/>
  <c r="P5920" i="1"/>
  <c r="R5920" i="1"/>
  <c r="BL5920" i="1"/>
  <c r="BW5920" i="1"/>
  <c r="CH5920" i="1"/>
  <c r="CS5920" i="1"/>
  <c r="K5921" i="1"/>
  <c r="P5921" i="1"/>
  <c r="R5921" i="1"/>
  <c r="BL5921" i="1"/>
  <c r="BW5921" i="1"/>
  <c r="CH5921" i="1"/>
  <c r="CS5921" i="1"/>
  <c r="K5922" i="1"/>
  <c r="P5922" i="1"/>
  <c r="R5922" i="1"/>
  <c r="BL5922" i="1"/>
  <c r="BW5922" i="1"/>
  <c r="CH5922" i="1"/>
  <c r="CS5922" i="1"/>
  <c r="K5923" i="1"/>
  <c r="P5923" i="1"/>
  <c r="R5923" i="1"/>
  <c r="BL5923" i="1"/>
  <c r="BW5923" i="1"/>
  <c r="CH5923" i="1"/>
  <c r="CS5923" i="1"/>
  <c r="K5924" i="1"/>
  <c r="P5924" i="1"/>
  <c r="R5924" i="1"/>
  <c r="BL5924" i="1"/>
  <c r="BW5924" i="1"/>
  <c r="CH5924" i="1"/>
  <c r="CS5924" i="1"/>
  <c r="K5925" i="1"/>
  <c r="P5925" i="1"/>
  <c r="R5925" i="1"/>
  <c r="BL5925" i="1"/>
  <c r="BW5925" i="1"/>
  <c r="CH5925" i="1"/>
  <c r="CS5925" i="1"/>
  <c r="K5926" i="1"/>
  <c r="P5926" i="1"/>
  <c r="R5926" i="1"/>
  <c r="BL5926" i="1"/>
  <c r="BW5926" i="1"/>
  <c r="CH5926" i="1"/>
  <c r="CS5926" i="1"/>
  <c r="K5927" i="1"/>
  <c r="P5927" i="1"/>
  <c r="R5927" i="1"/>
  <c r="BL5927" i="1"/>
  <c r="BW5927" i="1"/>
  <c r="CH5927" i="1"/>
  <c r="CS5927" i="1"/>
  <c r="K5928" i="1"/>
  <c r="P5928" i="1"/>
  <c r="R5928" i="1"/>
  <c r="BL5928" i="1"/>
  <c r="BW5928" i="1"/>
  <c r="CH5928" i="1"/>
  <c r="CS5928" i="1"/>
  <c r="K5929" i="1"/>
  <c r="P5929" i="1"/>
  <c r="R5929" i="1"/>
  <c r="BL5929" i="1"/>
  <c r="BW5929" i="1"/>
  <c r="CH5929" i="1"/>
  <c r="CS5929" i="1"/>
  <c r="K5930" i="1"/>
  <c r="P5930" i="1"/>
  <c r="R5930" i="1"/>
  <c r="BL5930" i="1"/>
  <c r="BW5930" i="1"/>
  <c r="CH5930" i="1"/>
  <c r="CS5930" i="1"/>
  <c r="K5931" i="1"/>
  <c r="P5931" i="1"/>
  <c r="R5931" i="1"/>
  <c r="BL5931" i="1"/>
  <c r="BW5931" i="1"/>
  <c r="CH5931" i="1"/>
  <c r="CS5931" i="1"/>
  <c r="K5932" i="1"/>
  <c r="P5932" i="1"/>
  <c r="R5932" i="1"/>
  <c r="BL5932" i="1"/>
  <c r="BW5932" i="1"/>
  <c r="CH5932" i="1"/>
  <c r="CS5932" i="1"/>
  <c r="K5933" i="1"/>
  <c r="P5933" i="1"/>
  <c r="R5933" i="1"/>
  <c r="BL5933" i="1"/>
  <c r="BW5933" i="1"/>
  <c r="CH5933" i="1"/>
  <c r="CS5933" i="1"/>
  <c r="K5934" i="1"/>
  <c r="P5934" i="1"/>
  <c r="R5934" i="1"/>
  <c r="BL5934" i="1"/>
  <c r="BW5934" i="1"/>
  <c r="CH5934" i="1"/>
  <c r="CS5934" i="1"/>
  <c r="K5935" i="1"/>
  <c r="P5935" i="1"/>
  <c r="R5935" i="1"/>
  <c r="BL5935" i="1"/>
  <c r="BW5935" i="1"/>
  <c r="CH5935" i="1"/>
  <c r="CS5935" i="1"/>
  <c r="K5936" i="1"/>
  <c r="P5936" i="1"/>
  <c r="R5936" i="1"/>
  <c r="BL5936" i="1"/>
  <c r="BW5936" i="1"/>
  <c r="CH5936" i="1"/>
  <c r="CS5936" i="1"/>
  <c r="K5937" i="1"/>
  <c r="P5937" i="1"/>
  <c r="R5937" i="1"/>
  <c r="BL5937" i="1"/>
  <c r="BW5937" i="1"/>
  <c r="CH5937" i="1"/>
  <c r="CS5937" i="1"/>
  <c r="K5938" i="1"/>
  <c r="P5938" i="1"/>
  <c r="R5938" i="1"/>
  <c r="BL5938" i="1"/>
  <c r="BW5938" i="1"/>
  <c r="CH5938" i="1"/>
  <c r="CS5938" i="1"/>
  <c r="K5939" i="1"/>
  <c r="P5939" i="1"/>
  <c r="R5939" i="1"/>
  <c r="BL5939" i="1"/>
  <c r="BW5939" i="1"/>
  <c r="CH5939" i="1"/>
  <c r="CS5939" i="1"/>
  <c r="K5940" i="1"/>
  <c r="P5940" i="1"/>
  <c r="R5940" i="1"/>
  <c r="BL5940" i="1"/>
  <c r="BW5940" i="1"/>
  <c r="CH5940" i="1"/>
  <c r="CS5940" i="1"/>
  <c r="K5941" i="1"/>
  <c r="P5941" i="1"/>
  <c r="R5941" i="1"/>
  <c r="BL5941" i="1"/>
  <c r="BW5941" i="1"/>
  <c r="CH5941" i="1"/>
  <c r="CS5941" i="1"/>
  <c r="K5942" i="1"/>
  <c r="P5942" i="1"/>
  <c r="R5942" i="1"/>
  <c r="BL5942" i="1"/>
  <c r="BW5942" i="1"/>
  <c r="CH5942" i="1"/>
  <c r="CS5942" i="1"/>
  <c r="K5943" i="1"/>
  <c r="P5943" i="1"/>
  <c r="R5943" i="1"/>
  <c r="BL5943" i="1"/>
  <c r="BW5943" i="1"/>
  <c r="CH5943" i="1"/>
  <c r="CS5943" i="1"/>
  <c r="K5944" i="1"/>
  <c r="P5944" i="1"/>
  <c r="R5944" i="1"/>
  <c r="BL5944" i="1"/>
  <c r="BW5944" i="1"/>
  <c r="CH5944" i="1"/>
  <c r="CS5944" i="1"/>
  <c r="K5945" i="1"/>
  <c r="P5945" i="1"/>
  <c r="R5945" i="1"/>
  <c r="BL5945" i="1"/>
  <c r="BW5945" i="1"/>
  <c r="CH5945" i="1"/>
  <c r="CS5945" i="1"/>
  <c r="K5946" i="1"/>
  <c r="P5946" i="1"/>
  <c r="R5946" i="1"/>
  <c r="BL5946" i="1"/>
  <c r="BW5946" i="1"/>
  <c r="CH5946" i="1"/>
  <c r="CS5946" i="1"/>
  <c r="K5947" i="1"/>
  <c r="P5947" i="1"/>
  <c r="R5947" i="1"/>
  <c r="BL5947" i="1"/>
  <c r="BW5947" i="1"/>
  <c r="CH5947" i="1"/>
  <c r="CS5947" i="1"/>
  <c r="K5948" i="1"/>
  <c r="P5948" i="1"/>
  <c r="R5948" i="1"/>
  <c r="BL5948" i="1"/>
  <c r="BW5948" i="1"/>
  <c r="CH5948" i="1"/>
  <c r="CS5948" i="1"/>
  <c r="K5949" i="1"/>
  <c r="P5949" i="1"/>
  <c r="R5949" i="1"/>
  <c r="BL5949" i="1"/>
  <c r="BW5949" i="1"/>
  <c r="CH5949" i="1"/>
  <c r="CS5949" i="1"/>
  <c r="K5950" i="1"/>
  <c r="P5950" i="1"/>
  <c r="R5950" i="1"/>
  <c r="BL5950" i="1"/>
  <c r="BW5950" i="1"/>
  <c r="CH5950" i="1"/>
  <c r="CS5950" i="1"/>
  <c r="K5951" i="1"/>
  <c r="P5951" i="1"/>
  <c r="R5951" i="1"/>
  <c r="BL5951" i="1"/>
  <c r="BW5951" i="1"/>
  <c r="CH5951" i="1"/>
  <c r="CS5951" i="1"/>
  <c r="K5952" i="1"/>
  <c r="P5952" i="1"/>
  <c r="R5952" i="1"/>
  <c r="BL5952" i="1"/>
  <c r="BW5952" i="1"/>
  <c r="CH5952" i="1"/>
  <c r="CS5952" i="1"/>
  <c r="K5953" i="1"/>
  <c r="P5953" i="1"/>
  <c r="R5953" i="1"/>
  <c r="BL5953" i="1"/>
  <c r="BW5953" i="1"/>
  <c r="CH5953" i="1"/>
  <c r="CS5953" i="1"/>
  <c r="K5954" i="1"/>
  <c r="P5954" i="1"/>
  <c r="R5954" i="1"/>
  <c r="BL5954" i="1"/>
  <c r="BW5954" i="1"/>
  <c r="CH5954" i="1"/>
  <c r="CS5954" i="1"/>
  <c r="K5955" i="1"/>
  <c r="P5955" i="1"/>
  <c r="R5955" i="1"/>
  <c r="BL5955" i="1"/>
  <c r="BW5955" i="1"/>
  <c r="CH5955" i="1"/>
  <c r="CS5955" i="1"/>
  <c r="K5956" i="1"/>
  <c r="P5956" i="1"/>
  <c r="R5956" i="1"/>
  <c r="BL5956" i="1"/>
  <c r="BW5956" i="1"/>
  <c r="CH5956" i="1"/>
  <c r="CS5956" i="1"/>
  <c r="K5957" i="1"/>
  <c r="P5957" i="1"/>
  <c r="R5957" i="1"/>
  <c r="BL5957" i="1"/>
  <c r="BW5957" i="1"/>
  <c r="CH5957" i="1"/>
  <c r="CS5957" i="1"/>
  <c r="K5958" i="1"/>
  <c r="P5958" i="1"/>
  <c r="R5958" i="1"/>
  <c r="BL5958" i="1"/>
  <c r="BW5958" i="1"/>
  <c r="CH5958" i="1"/>
  <c r="CS5958" i="1"/>
  <c r="K5959" i="1"/>
  <c r="P5959" i="1"/>
  <c r="R5959" i="1"/>
  <c r="BL5959" i="1"/>
  <c r="BW5959" i="1"/>
  <c r="CH5959" i="1"/>
  <c r="CS5959" i="1"/>
  <c r="K5960" i="1"/>
  <c r="P5960" i="1"/>
  <c r="R5960" i="1"/>
  <c r="BL5960" i="1"/>
  <c r="BW5960" i="1"/>
  <c r="CH5960" i="1"/>
  <c r="CS5960" i="1"/>
  <c r="K5961" i="1"/>
  <c r="P5961" i="1"/>
  <c r="R5961" i="1"/>
  <c r="BL5961" i="1"/>
  <c r="BW5961" i="1"/>
  <c r="CH5961" i="1"/>
  <c r="CS5961" i="1"/>
  <c r="K5962" i="1"/>
  <c r="P5962" i="1"/>
  <c r="R5962" i="1"/>
  <c r="BL5962" i="1"/>
  <c r="BW5962" i="1"/>
  <c r="CH5962" i="1"/>
  <c r="CS5962" i="1"/>
  <c r="K5963" i="1"/>
  <c r="P5963" i="1"/>
  <c r="R5963" i="1"/>
  <c r="BL5963" i="1"/>
  <c r="BW5963" i="1"/>
  <c r="CH5963" i="1"/>
  <c r="CS5963" i="1"/>
  <c r="K5964" i="1"/>
  <c r="P5964" i="1"/>
  <c r="R5964" i="1"/>
  <c r="BL5964" i="1"/>
  <c r="BW5964" i="1"/>
  <c r="CH5964" i="1"/>
  <c r="CS5964" i="1"/>
  <c r="K5965" i="1"/>
  <c r="P5965" i="1"/>
  <c r="R5965" i="1"/>
  <c r="BL5965" i="1"/>
  <c r="BW5965" i="1"/>
  <c r="CH5965" i="1"/>
  <c r="CS5965" i="1"/>
  <c r="K5966" i="1"/>
  <c r="P5966" i="1"/>
  <c r="R5966" i="1"/>
  <c r="BL5966" i="1"/>
  <c r="BW5966" i="1"/>
  <c r="CH5966" i="1"/>
  <c r="CS5966" i="1"/>
  <c r="K5967" i="1"/>
  <c r="P5967" i="1"/>
  <c r="R5967" i="1"/>
  <c r="BL5967" i="1"/>
  <c r="BW5967" i="1"/>
  <c r="CH5967" i="1"/>
  <c r="CS5967" i="1"/>
  <c r="K5968" i="1"/>
  <c r="P5968" i="1"/>
  <c r="R5968" i="1"/>
  <c r="BL5968" i="1"/>
  <c r="BW5968" i="1"/>
  <c r="CH5968" i="1"/>
  <c r="CS5968" i="1"/>
  <c r="K5969" i="1"/>
  <c r="P5969" i="1"/>
  <c r="R5969" i="1"/>
  <c r="BL5969" i="1"/>
  <c r="BW5969" i="1"/>
  <c r="CH5969" i="1"/>
  <c r="CS5969" i="1"/>
  <c r="K5970" i="1"/>
  <c r="P5970" i="1"/>
  <c r="R5970" i="1"/>
  <c r="BL5970" i="1"/>
  <c r="BW5970" i="1"/>
  <c r="CH5970" i="1"/>
  <c r="CS5970" i="1"/>
  <c r="K5971" i="1"/>
  <c r="P5971" i="1"/>
  <c r="R5971" i="1"/>
  <c r="BL5971" i="1"/>
  <c r="BW5971" i="1"/>
  <c r="CH5971" i="1"/>
  <c r="CS5971" i="1"/>
  <c r="K5972" i="1"/>
  <c r="P5972" i="1"/>
  <c r="R5972" i="1"/>
  <c r="BL5972" i="1"/>
  <c r="BW5972" i="1"/>
  <c r="CH5972" i="1"/>
  <c r="CS5972" i="1"/>
  <c r="K5973" i="1"/>
  <c r="P5973" i="1"/>
  <c r="R5973" i="1"/>
  <c r="BL5973" i="1"/>
  <c r="BW5973" i="1"/>
  <c r="CH5973" i="1"/>
  <c r="CS5973" i="1"/>
  <c r="K5974" i="1"/>
  <c r="P5974" i="1"/>
  <c r="R5974" i="1"/>
  <c r="BL5974" i="1"/>
  <c r="BW5974" i="1"/>
  <c r="CH5974" i="1"/>
  <c r="CS5974" i="1"/>
  <c r="K5975" i="1"/>
  <c r="P5975" i="1"/>
  <c r="R5975" i="1"/>
  <c r="BL5975" i="1"/>
  <c r="BW5975" i="1"/>
  <c r="CH5975" i="1"/>
  <c r="CS5975" i="1"/>
  <c r="K5976" i="1"/>
  <c r="P5976" i="1"/>
  <c r="R5976" i="1"/>
  <c r="BL5976" i="1"/>
  <c r="BW5976" i="1"/>
  <c r="CH5976" i="1"/>
  <c r="CS5976" i="1"/>
  <c r="K5977" i="1"/>
  <c r="P5977" i="1"/>
  <c r="R5977" i="1"/>
  <c r="BL5977" i="1"/>
  <c r="BW5977" i="1"/>
  <c r="CH5977" i="1"/>
  <c r="CS5977" i="1"/>
  <c r="K5978" i="1"/>
  <c r="P5978" i="1"/>
  <c r="R5978" i="1"/>
  <c r="BL5978" i="1"/>
  <c r="BW5978" i="1"/>
  <c r="CH5978" i="1"/>
  <c r="CS5978" i="1"/>
  <c r="K5979" i="1"/>
  <c r="P5979" i="1"/>
  <c r="R5979" i="1"/>
  <c r="BL5979" i="1"/>
  <c r="BW5979" i="1"/>
  <c r="CH5979" i="1"/>
  <c r="CS5979" i="1"/>
  <c r="K5980" i="1"/>
  <c r="P5980" i="1"/>
  <c r="R5980" i="1"/>
  <c r="BL5980" i="1"/>
  <c r="BW5980" i="1"/>
  <c r="CH5980" i="1"/>
  <c r="CS5980" i="1"/>
  <c r="K5981" i="1"/>
  <c r="P5981" i="1"/>
  <c r="R5981" i="1"/>
  <c r="BL5981" i="1"/>
  <c r="BW5981" i="1"/>
  <c r="CH5981" i="1"/>
  <c r="CS5981" i="1"/>
  <c r="K5982" i="1"/>
  <c r="P5982" i="1"/>
  <c r="R5982" i="1"/>
  <c r="BL5982" i="1"/>
  <c r="BW5982" i="1"/>
  <c r="CH5982" i="1"/>
  <c r="CS5982" i="1"/>
  <c r="K5983" i="1"/>
  <c r="P5983" i="1"/>
  <c r="R5983" i="1"/>
  <c r="BL5983" i="1"/>
  <c r="BW5983" i="1"/>
  <c r="CH5983" i="1"/>
  <c r="CS5983" i="1"/>
  <c r="K5984" i="1"/>
  <c r="P5984" i="1"/>
  <c r="R5984" i="1"/>
  <c r="BL5984" i="1"/>
  <c r="BW5984" i="1"/>
  <c r="CH5984" i="1"/>
  <c r="CS5984" i="1"/>
  <c r="K5985" i="1"/>
  <c r="P5985" i="1"/>
  <c r="R5985" i="1"/>
  <c r="BL5985" i="1"/>
  <c r="BW5985" i="1"/>
  <c r="CH5985" i="1"/>
  <c r="CS5985" i="1"/>
  <c r="K5986" i="1"/>
  <c r="P5986" i="1"/>
  <c r="R5986" i="1"/>
  <c r="BL5986" i="1"/>
  <c r="BW5986" i="1"/>
  <c r="CH5986" i="1"/>
  <c r="CS5986" i="1"/>
  <c r="K5987" i="1"/>
  <c r="P5987" i="1"/>
  <c r="R5987" i="1"/>
  <c r="BL5987" i="1"/>
  <c r="BW5987" i="1"/>
  <c r="CH5987" i="1"/>
  <c r="CS5987" i="1"/>
  <c r="K5988" i="1"/>
  <c r="P5988" i="1"/>
  <c r="R5988" i="1"/>
  <c r="BL5988" i="1"/>
  <c r="BW5988" i="1"/>
  <c r="CH5988" i="1"/>
  <c r="CS5988" i="1"/>
  <c r="K5989" i="1"/>
  <c r="P5989" i="1"/>
  <c r="R5989" i="1"/>
  <c r="BL5989" i="1"/>
  <c r="BW5989" i="1"/>
  <c r="CH5989" i="1"/>
  <c r="CS5989" i="1"/>
  <c r="K5990" i="1"/>
  <c r="P5990" i="1"/>
  <c r="R5990" i="1"/>
  <c r="BL5990" i="1"/>
  <c r="BW5990" i="1"/>
  <c r="CH5990" i="1"/>
  <c r="CS5990" i="1"/>
  <c r="K5991" i="1"/>
  <c r="P5991" i="1"/>
  <c r="R5991" i="1"/>
  <c r="BL5991" i="1"/>
  <c r="BW5991" i="1"/>
  <c r="CH5991" i="1"/>
  <c r="CS5991" i="1"/>
  <c r="K5992" i="1"/>
  <c r="P5992" i="1"/>
  <c r="R5992" i="1"/>
  <c r="BL5992" i="1"/>
  <c r="BW5992" i="1"/>
  <c r="CH5992" i="1"/>
  <c r="CS5992" i="1"/>
  <c r="K5993" i="1"/>
  <c r="P5993" i="1"/>
  <c r="R5993" i="1"/>
  <c r="BL5993" i="1"/>
  <c r="BW5993" i="1"/>
  <c r="CH5993" i="1"/>
  <c r="CS5993" i="1"/>
  <c r="K5994" i="1"/>
  <c r="P5994" i="1"/>
  <c r="R5994" i="1"/>
  <c r="BL5994" i="1"/>
  <c r="BW5994" i="1"/>
  <c r="CH5994" i="1"/>
  <c r="CS5994" i="1"/>
  <c r="K5995" i="1"/>
  <c r="P5995" i="1"/>
  <c r="R5995" i="1"/>
  <c r="BL5995" i="1"/>
  <c r="BW5995" i="1"/>
  <c r="CH5995" i="1"/>
  <c r="CS5995" i="1"/>
  <c r="K5996" i="1"/>
  <c r="P5996" i="1"/>
  <c r="R5996" i="1"/>
  <c r="BL5996" i="1"/>
  <c r="BW5996" i="1"/>
  <c r="CH5996" i="1"/>
  <c r="CS5996" i="1"/>
  <c r="K5997" i="1"/>
  <c r="P5997" i="1"/>
  <c r="R5997" i="1"/>
  <c r="BL5997" i="1"/>
  <c r="BW5997" i="1"/>
  <c r="CH5997" i="1"/>
  <c r="CS5997" i="1"/>
  <c r="K5998" i="1"/>
  <c r="P5998" i="1"/>
  <c r="R5998" i="1"/>
  <c r="BL5998" i="1"/>
  <c r="BW5998" i="1"/>
  <c r="CH5998" i="1"/>
  <c r="CS5998" i="1"/>
  <c r="K5999" i="1"/>
  <c r="P5999" i="1"/>
  <c r="R5999" i="1"/>
  <c r="BL5999" i="1"/>
  <c r="BW5999" i="1"/>
  <c r="CH5999" i="1"/>
  <c r="CS5999" i="1"/>
  <c r="K6000" i="1"/>
  <c r="P6000" i="1"/>
  <c r="R6000" i="1"/>
  <c r="BL6000" i="1"/>
  <c r="BW6000" i="1"/>
  <c r="CH6000" i="1"/>
  <c r="CS6000" i="1"/>
  <c r="K6001" i="1"/>
  <c r="P6001" i="1"/>
  <c r="R6001" i="1"/>
  <c r="BL6001" i="1"/>
  <c r="BW6001" i="1"/>
  <c r="CH6001" i="1"/>
  <c r="CS6001" i="1"/>
  <c r="K6002" i="1"/>
  <c r="P6002" i="1"/>
  <c r="R6002" i="1"/>
  <c r="BL6002" i="1"/>
  <c r="BW6002" i="1"/>
  <c r="CH6002" i="1"/>
  <c r="CS6002" i="1"/>
  <c r="K6003" i="1"/>
  <c r="P6003" i="1"/>
  <c r="R6003" i="1"/>
  <c r="BL6003" i="1"/>
  <c r="BW6003" i="1"/>
  <c r="CH6003" i="1"/>
  <c r="CS6003" i="1"/>
  <c r="K6004" i="1"/>
  <c r="P6004" i="1"/>
  <c r="R6004" i="1"/>
  <c r="BL6004" i="1"/>
  <c r="BW6004" i="1"/>
  <c r="CH6004" i="1"/>
  <c r="CS6004" i="1"/>
  <c r="K6005" i="1"/>
  <c r="P6005" i="1"/>
  <c r="R6005" i="1"/>
  <c r="BL6005" i="1"/>
  <c r="BW6005" i="1"/>
  <c r="CH6005" i="1"/>
  <c r="CS6005" i="1"/>
  <c r="K6006" i="1"/>
  <c r="P6006" i="1"/>
  <c r="R6006" i="1"/>
  <c r="BL6006" i="1"/>
  <c r="BW6006" i="1"/>
  <c r="CH6006" i="1"/>
  <c r="CS6006" i="1"/>
  <c r="K6007" i="1"/>
  <c r="P6007" i="1"/>
  <c r="R6007" i="1"/>
  <c r="BL6007" i="1"/>
  <c r="BW6007" i="1"/>
  <c r="CH6007" i="1"/>
  <c r="CS6007" i="1"/>
  <c r="K6008" i="1"/>
  <c r="P6008" i="1"/>
  <c r="R6008" i="1"/>
  <c r="BL6008" i="1"/>
  <c r="BW6008" i="1"/>
  <c r="CH6008" i="1"/>
  <c r="CS6008" i="1"/>
  <c r="K6009" i="1"/>
  <c r="P6009" i="1"/>
  <c r="R6009" i="1"/>
  <c r="BL6009" i="1"/>
  <c r="BW6009" i="1"/>
  <c r="CH6009" i="1"/>
  <c r="CS6009" i="1"/>
  <c r="K6010" i="1"/>
  <c r="P6010" i="1"/>
  <c r="R6010" i="1"/>
  <c r="BL6010" i="1"/>
  <c r="BW6010" i="1"/>
  <c r="CH6010" i="1"/>
  <c r="CS6010" i="1"/>
  <c r="K6011" i="1"/>
  <c r="P6011" i="1"/>
  <c r="R6011" i="1"/>
  <c r="BL6011" i="1"/>
  <c r="BW6011" i="1"/>
  <c r="CH6011" i="1"/>
  <c r="CS6011" i="1"/>
  <c r="K6012" i="1"/>
  <c r="P6012" i="1"/>
  <c r="R6012" i="1"/>
  <c r="BL6012" i="1"/>
  <c r="BW6012" i="1"/>
  <c r="CH6012" i="1"/>
  <c r="CS6012" i="1"/>
  <c r="K6013" i="1"/>
  <c r="P6013" i="1"/>
  <c r="R6013" i="1"/>
  <c r="BL6013" i="1"/>
  <c r="BW6013" i="1"/>
  <c r="CH6013" i="1"/>
  <c r="CS6013" i="1"/>
  <c r="K6014" i="1"/>
  <c r="P6014" i="1"/>
  <c r="R6014" i="1"/>
  <c r="BL6014" i="1"/>
  <c r="BW6014" i="1"/>
  <c r="CH6014" i="1"/>
  <c r="CS6014" i="1"/>
  <c r="K6015" i="1"/>
  <c r="P6015" i="1"/>
  <c r="R6015" i="1"/>
  <c r="BL6015" i="1"/>
  <c r="BW6015" i="1"/>
  <c r="CH6015" i="1"/>
  <c r="CS6015" i="1"/>
  <c r="K6016" i="1"/>
  <c r="P6016" i="1"/>
  <c r="R6016" i="1"/>
  <c r="BL6016" i="1"/>
  <c r="BW6016" i="1"/>
  <c r="CH6016" i="1"/>
  <c r="CS6016" i="1"/>
  <c r="K6017" i="1"/>
  <c r="P6017" i="1"/>
  <c r="R6017" i="1"/>
  <c r="BL6017" i="1"/>
  <c r="BW6017" i="1"/>
  <c r="CH6017" i="1"/>
  <c r="CS6017" i="1"/>
  <c r="K6018" i="1"/>
  <c r="P6018" i="1"/>
  <c r="R6018" i="1"/>
  <c r="BL6018" i="1"/>
  <c r="BW6018" i="1"/>
  <c r="CH6018" i="1"/>
  <c r="CS6018" i="1"/>
  <c r="K6019" i="1"/>
  <c r="P6019" i="1"/>
  <c r="R6019" i="1"/>
  <c r="BL6019" i="1"/>
  <c r="BW6019" i="1"/>
  <c r="CH6019" i="1"/>
  <c r="CS6019" i="1"/>
  <c r="K6020" i="1"/>
  <c r="P6020" i="1"/>
  <c r="R6020" i="1"/>
  <c r="BL6020" i="1"/>
  <c r="BW6020" i="1"/>
  <c r="CH6020" i="1"/>
  <c r="CS6020" i="1"/>
  <c r="K6021" i="1"/>
  <c r="P6021" i="1"/>
  <c r="R6021" i="1"/>
  <c r="BL6021" i="1"/>
  <c r="BW6021" i="1"/>
  <c r="CH6021" i="1"/>
  <c r="CS6021" i="1"/>
  <c r="K6022" i="1"/>
  <c r="P6022" i="1"/>
  <c r="R6022" i="1"/>
  <c r="BL6022" i="1"/>
  <c r="BW6022" i="1"/>
  <c r="CH6022" i="1"/>
  <c r="CS6022" i="1"/>
  <c r="K6023" i="1"/>
  <c r="P6023" i="1"/>
  <c r="R6023" i="1"/>
  <c r="BL6023" i="1"/>
  <c r="BW6023" i="1"/>
  <c r="CH6023" i="1"/>
  <c r="CS6023" i="1"/>
  <c r="K6024" i="1"/>
  <c r="P6024" i="1"/>
  <c r="R6024" i="1"/>
  <c r="BL6024" i="1"/>
  <c r="BW6024" i="1"/>
  <c r="CH6024" i="1"/>
  <c r="CS6024" i="1"/>
  <c r="K6025" i="1"/>
  <c r="P6025" i="1"/>
  <c r="R6025" i="1"/>
  <c r="BL6025" i="1"/>
  <c r="BW6025" i="1"/>
  <c r="CH6025" i="1"/>
  <c r="CS6025" i="1"/>
  <c r="K6026" i="1"/>
  <c r="P6026" i="1"/>
  <c r="R6026" i="1"/>
  <c r="BL6026" i="1"/>
  <c r="BW6026" i="1"/>
  <c r="CH6026" i="1"/>
  <c r="CS6026" i="1"/>
  <c r="K6027" i="1"/>
  <c r="P6027" i="1"/>
  <c r="R6027" i="1"/>
  <c r="BL6027" i="1"/>
  <c r="BW6027" i="1"/>
  <c r="CH6027" i="1"/>
  <c r="CS6027" i="1"/>
  <c r="K6028" i="1"/>
  <c r="P6028" i="1"/>
  <c r="R6028" i="1"/>
  <c r="BL6028" i="1"/>
  <c r="BW6028" i="1"/>
  <c r="CH6028" i="1"/>
  <c r="CS6028" i="1"/>
  <c r="K6029" i="1"/>
  <c r="P6029" i="1"/>
  <c r="R6029" i="1"/>
  <c r="BL6029" i="1"/>
  <c r="BW6029" i="1"/>
  <c r="CH6029" i="1"/>
  <c r="CS6029" i="1"/>
  <c r="K6030" i="1"/>
  <c r="P6030" i="1"/>
  <c r="R6030" i="1"/>
  <c r="BL6030" i="1"/>
  <c r="BW6030" i="1"/>
  <c r="CH6030" i="1"/>
  <c r="CS6030" i="1"/>
  <c r="K6031" i="1"/>
  <c r="P6031" i="1"/>
  <c r="R6031" i="1"/>
  <c r="BL6031" i="1"/>
  <c r="BW6031" i="1"/>
  <c r="CH6031" i="1"/>
  <c r="CS6031" i="1"/>
  <c r="K6032" i="1"/>
  <c r="P6032" i="1"/>
  <c r="R6032" i="1"/>
  <c r="BL6032" i="1"/>
  <c r="BW6032" i="1"/>
  <c r="CH6032" i="1"/>
  <c r="CS6032" i="1"/>
  <c r="K6033" i="1"/>
  <c r="P6033" i="1"/>
  <c r="R6033" i="1"/>
  <c r="BL6033" i="1"/>
  <c r="BW6033" i="1"/>
  <c r="CH6033" i="1"/>
  <c r="CS6033" i="1"/>
  <c r="K6034" i="1"/>
  <c r="P6034" i="1"/>
  <c r="R6034" i="1"/>
  <c r="BL6034" i="1"/>
  <c r="BW6034" i="1"/>
  <c r="CH6034" i="1"/>
  <c r="CS6034" i="1"/>
  <c r="K6035" i="1"/>
  <c r="P6035" i="1"/>
  <c r="R6035" i="1"/>
  <c r="BL6035" i="1"/>
  <c r="BW6035" i="1"/>
  <c r="CH6035" i="1"/>
  <c r="CS6035" i="1"/>
  <c r="K6036" i="1"/>
  <c r="P6036" i="1"/>
  <c r="R6036" i="1"/>
  <c r="BL6036" i="1"/>
  <c r="BW6036" i="1"/>
  <c r="CH6036" i="1"/>
  <c r="CS6036" i="1"/>
  <c r="K6037" i="1"/>
  <c r="P6037" i="1"/>
  <c r="R6037" i="1"/>
  <c r="BL6037" i="1"/>
  <c r="BW6037" i="1"/>
  <c r="CH6037" i="1"/>
  <c r="CS6037" i="1"/>
  <c r="K6038" i="1"/>
  <c r="P6038" i="1"/>
  <c r="R6038" i="1"/>
  <c r="BL6038" i="1"/>
  <c r="BW6038" i="1"/>
  <c r="CH6038" i="1"/>
  <c r="CS6038" i="1"/>
  <c r="K6039" i="1"/>
  <c r="P6039" i="1"/>
  <c r="R6039" i="1"/>
  <c r="BL6039" i="1"/>
  <c r="BW6039" i="1"/>
  <c r="CH6039" i="1"/>
  <c r="CS6039" i="1"/>
  <c r="K6040" i="1"/>
  <c r="P6040" i="1"/>
  <c r="R6040" i="1"/>
  <c r="BL6040" i="1"/>
  <c r="BW6040" i="1"/>
  <c r="CH6040" i="1"/>
  <c r="CS6040" i="1"/>
  <c r="K6041" i="1"/>
  <c r="P6041" i="1"/>
  <c r="R6041" i="1"/>
  <c r="BL6041" i="1"/>
  <c r="BW6041" i="1"/>
  <c r="CH6041" i="1"/>
  <c r="CS6041" i="1"/>
  <c r="K6042" i="1"/>
  <c r="P6042" i="1"/>
  <c r="R6042" i="1"/>
  <c r="BL6042" i="1"/>
  <c r="BW6042" i="1"/>
  <c r="CH6042" i="1"/>
  <c r="CS6042" i="1"/>
  <c r="K6043" i="1"/>
  <c r="P6043" i="1"/>
  <c r="R6043" i="1"/>
  <c r="BL6043" i="1"/>
  <c r="BW6043" i="1"/>
  <c r="CH6043" i="1"/>
  <c r="CS6043" i="1"/>
  <c r="K6044" i="1"/>
  <c r="P6044" i="1"/>
  <c r="R6044" i="1"/>
  <c r="BL6044" i="1"/>
  <c r="BW6044" i="1"/>
  <c r="CH6044" i="1"/>
  <c r="CS6044" i="1"/>
  <c r="K6045" i="1"/>
  <c r="P6045" i="1"/>
  <c r="R6045" i="1"/>
  <c r="BL6045" i="1"/>
  <c r="BW6045" i="1"/>
  <c r="CH6045" i="1"/>
  <c r="CS6045" i="1"/>
  <c r="K6046" i="1"/>
  <c r="P6046" i="1"/>
  <c r="R6046" i="1"/>
  <c r="BL6046" i="1"/>
  <c r="BW6046" i="1"/>
  <c r="CH6046" i="1"/>
  <c r="CS6046" i="1"/>
  <c r="K6047" i="1"/>
  <c r="P6047" i="1"/>
  <c r="R6047" i="1"/>
  <c r="BL6047" i="1"/>
  <c r="BW6047" i="1"/>
  <c r="CH6047" i="1"/>
  <c r="CS6047" i="1"/>
  <c r="K6048" i="1"/>
  <c r="P6048" i="1"/>
  <c r="R6048" i="1"/>
  <c r="BL6048" i="1"/>
  <c r="BW6048" i="1"/>
  <c r="CH6048" i="1"/>
  <c r="CS6048" i="1"/>
  <c r="K6049" i="1"/>
  <c r="P6049" i="1"/>
  <c r="R6049" i="1"/>
  <c r="BL6049" i="1"/>
  <c r="BW6049" i="1"/>
  <c r="CH6049" i="1"/>
  <c r="CS6049" i="1"/>
  <c r="K6050" i="1"/>
  <c r="P6050" i="1"/>
  <c r="R6050" i="1"/>
  <c r="BL6050" i="1"/>
  <c r="BW6050" i="1"/>
  <c r="CH6050" i="1"/>
  <c r="CS6050" i="1"/>
  <c r="K6051" i="1"/>
  <c r="P6051" i="1"/>
  <c r="R6051" i="1"/>
  <c r="BL6051" i="1"/>
  <c r="BW6051" i="1"/>
  <c r="CH6051" i="1"/>
  <c r="CS6051" i="1"/>
  <c r="K6052" i="1"/>
  <c r="P6052" i="1"/>
  <c r="R6052" i="1"/>
  <c r="BL6052" i="1"/>
  <c r="BW6052" i="1"/>
  <c r="CH6052" i="1"/>
  <c r="CS6052" i="1"/>
  <c r="K6053" i="1"/>
  <c r="P6053" i="1"/>
  <c r="R6053" i="1"/>
  <c r="BL6053" i="1"/>
  <c r="BW6053" i="1"/>
  <c r="CH6053" i="1"/>
  <c r="CS6053" i="1"/>
  <c r="K6054" i="1"/>
  <c r="P6054" i="1"/>
  <c r="R6054" i="1"/>
  <c r="BL6054" i="1"/>
  <c r="BW6054" i="1"/>
  <c r="CH6054" i="1"/>
  <c r="CS6054" i="1"/>
  <c r="K6055" i="1"/>
  <c r="P6055" i="1"/>
  <c r="R6055" i="1"/>
  <c r="BL6055" i="1"/>
  <c r="BW6055" i="1"/>
  <c r="CH6055" i="1"/>
  <c r="CS6055" i="1"/>
  <c r="K6056" i="1"/>
  <c r="P6056" i="1"/>
  <c r="R6056" i="1"/>
  <c r="BL6056" i="1"/>
  <c r="BW6056" i="1"/>
  <c r="CH6056" i="1"/>
  <c r="CS6056" i="1"/>
  <c r="K6057" i="1"/>
  <c r="P6057" i="1"/>
  <c r="R6057" i="1"/>
  <c r="BL6057" i="1"/>
  <c r="BW6057" i="1"/>
  <c r="CH6057" i="1"/>
  <c r="CS6057" i="1"/>
  <c r="K6058" i="1"/>
  <c r="P6058" i="1"/>
  <c r="R6058" i="1"/>
  <c r="BL6058" i="1"/>
  <c r="BW6058" i="1"/>
  <c r="CH6058" i="1"/>
  <c r="CS6058" i="1"/>
  <c r="K6059" i="1"/>
  <c r="P6059" i="1"/>
  <c r="R6059" i="1"/>
  <c r="BL6059" i="1"/>
  <c r="BW6059" i="1"/>
  <c r="CH6059" i="1"/>
  <c r="CS6059" i="1"/>
  <c r="K6060" i="1"/>
  <c r="P6060" i="1"/>
  <c r="R6060" i="1"/>
  <c r="BL6060" i="1"/>
  <c r="BW6060" i="1"/>
  <c r="CH6060" i="1"/>
  <c r="CS6060" i="1"/>
  <c r="K6061" i="1"/>
  <c r="P6061" i="1"/>
  <c r="R6061" i="1"/>
  <c r="BL6061" i="1"/>
  <c r="BW6061" i="1"/>
  <c r="CH6061" i="1"/>
  <c r="CS6061" i="1"/>
  <c r="K6062" i="1"/>
  <c r="P6062" i="1"/>
  <c r="R6062" i="1"/>
  <c r="BL6062" i="1"/>
  <c r="BW6062" i="1"/>
  <c r="CH6062" i="1"/>
  <c r="CS6062" i="1"/>
  <c r="K6063" i="1"/>
  <c r="P6063" i="1"/>
  <c r="R6063" i="1"/>
  <c r="BL6063" i="1"/>
  <c r="BW6063" i="1"/>
  <c r="CH6063" i="1"/>
  <c r="CS6063" i="1"/>
  <c r="K6064" i="1"/>
  <c r="P6064" i="1"/>
  <c r="R6064" i="1"/>
  <c r="BL6064" i="1"/>
  <c r="BW6064" i="1"/>
  <c r="CH6064" i="1"/>
  <c r="CS6064" i="1"/>
  <c r="K6065" i="1"/>
  <c r="P6065" i="1"/>
  <c r="R6065" i="1"/>
  <c r="BL6065" i="1"/>
  <c r="BW6065" i="1"/>
  <c r="CH6065" i="1"/>
  <c r="CS6065" i="1"/>
  <c r="K6066" i="1"/>
  <c r="P6066" i="1"/>
  <c r="R6066" i="1"/>
  <c r="BL6066" i="1"/>
  <c r="BW6066" i="1"/>
  <c r="CH6066" i="1"/>
  <c r="CS6066" i="1"/>
  <c r="K6067" i="1"/>
  <c r="P6067" i="1"/>
  <c r="R6067" i="1"/>
  <c r="BL6067" i="1"/>
  <c r="BW6067" i="1"/>
  <c r="CH6067" i="1"/>
  <c r="CS6067" i="1"/>
  <c r="K6068" i="1"/>
  <c r="P6068" i="1"/>
  <c r="R6068" i="1"/>
  <c r="BL6068" i="1"/>
  <c r="BW6068" i="1"/>
  <c r="CH6068" i="1"/>
  <c r="CS6068" i="1"/>
  <c r="K6069" i="1"/>
  <c r="P6069" i="1"/>
  <c r="R6069" i="1"/>
  <c r="BL6069" i="1"/>
  <c r="BW6069" i="1"/>
  <c r="CH6069" i="1"/>
  <c r="CS6069" i="1"/>
  <c r="K6070" i="1"/>
  <c r="P6070" i="1"/>
  <c r="R6070" i="1"/>
  <c r="BL6070" i="1"/>
  <c r="BW6070" i="1"/>
  <c r="CH6070" i="1"/>
  <c r="CS6070" i="1"/>
  <c r="K6071" i="1"/>
  <c r="P6071" i="1"/>
  <c r="R6071" i="1"/>
  <c r="BL6071" i="1"/>
  <c r="BW6071" i="1"/>
  <c r="CH6071" i="1"/>
  <c r="CS6071" i="1"/>
  <c r="K6072" i="1"/>
  <c r="P6072" i="1"/>
  <c r="R6072" i="1"/>
  <c r="BL6072" i="1"/>
  <c r="BW6072" i="1"/>
  <c r="CH6072" i="1"/>
  <c r="CS6072" i="1"/>
  <c r="K6073" i="1"/>
  <c r="P6073" i="1"/>
  <c r="R6073" i="1"/>
  <c r="BL6073" i="1"/>
  <c r="BW6073" i="1"/>
  <c r="CH6073" i="1"/>
  <c r="CS6073" i="1"/>
  <c r="K6074" i="1"/>
  <c r="P6074" i="1"/>
  <c r="R6074" i="1"/>
  <c r="BL6074" i="1"/>
  <c r="BW6074" i="1"/>
  <c r="CH6074" i="1"/>
  <c r="CS6074" i="1"/>
  <c r="K6075" i="1"/>
  <c r="P6075" i="1"/>
  <c r="R6075" i="1"/>
  <c r="BL6075" i="1"/>
  <c r="BW6075" i="1"/>
  <c r="CH6075" i="1"/>
  <c r="CS6075" i="1"/>
  <c r="K6076" i="1"/>
  <c r="P6076" i="1"/>
  <c r="R6076" i="1"/>
  <c r="BL6076" i="1"/>
  <c r="BW6076" i="1"/>
  <c r="CH6076" i="1"/>
  <c r="CS6076" i="1"/>
  <c r="K6077" i="1"/>
  <c r="P6077" i="1"/>
  <c r="R6077" i="1"/>
  <c r="BL6077" i="1"/>
  <c r="BW6077" i="1"/>
  <c r="CH6077" i="1"/>
  <c r="CS6077" i="1"/>
  <c r="K6078" i="1"/>
  <c r="P6078" i="1"/>
  <c r="R6078" i="1"/>
  <c r="BL6078" i="1"/>
  <c r="BW6078" i="1"/>
  <c r="CH6078" i="1"/>
  <c r="CS6078" i="1"/>
  <c r="K6079" i="1"/>
  <c r="P6079" i="1"/>
  <c r="R6079" i="1"/>
  <c r="BL6079" i="1"/>
  <c r="BW6079" i="1"/>
  <c r="CH6079" i="1"/>
  <c r="CS6079" i="1"/>
  <c r="K6080" i="1"/>
  <c r="P6080" i="1"/>
  <c r="R6080" i="1"/>
  <c r="BL6080" i="1"/>
  <c r="BW6080" i="1"/>
  <c r="CH6080" i="1"/>
  <c r="CS6080" i="1"/>
  <c r="K6081" i="1"/>
  <c r="P6081" i="1"/>
  <c r="R6081" i="1"/>
  <c r="BL6081" i="1"/>
  <c r="BW6081" i="1"/>
  <c r="CH6081" i="1"/>
  <c r="CS6081" i="1"/>
  <c r="K6082" i="1"/>
  <c r="P6082" i="1"/>
  <c r="R6082" i="1"/>
  <c r="BL6082" i="1"/>
  <c r="BW6082" i="1"/>
  <c r="CH6082" i="1"/>
  <c r="CS6082" i="1"/>
  <c r="K6083" i="1"/>
  <c r="P6083" i="1"/>
  <c r="R6083" i="1"/>
  <c r="BL6083" i="1"/>
  <c r="BW6083" i="1"/>
  <c r="CH6083" i="1"/>
  <c r="CS6083" i="1"/>
  <c r="K6084" i="1"/>
  <c r="P6084" i="1"/>
  <c r="R6084" i="1"/>
  <c r="BL6084" i="1"/>
  <c r="BW6084" i="1"/>
  <c r="CH6084" i="1"/>
  <c r="CS6084" i="1"/>
  <c r="K6085" i="1"/>
  <c r="P6085" i="1"/>
  <c r="R6085" i="1"/>
  <c r="BL6085" i="1"/>
  <c r="BW6085" i="1"/>
  <c r="CH6085" i="1"/>
  <c r="CS6085" i="1"/>
  <c r="K6086" i="1"/>
  <c r="P6086" i="1"/>
  <c r="R6086" i="1"/>
  <c r="BL6086" i="1"/>
  <c r="BW6086" i="1"/>
  <c r="CH6086" i="1"/>
  <c r="CS6086" i="1"/>
  <c r="K6087" i="1"/>
  <c r="P6087" i="1"/>
  <c r="R6087" i="1"/>
  <c r="BL6087" i="1"/>
  <c r="BW6087" i="1"/>
  <c r="CH6087" i="1"/>
  <c r="CS6087" i="1"/>
  <c r="K6088" i="1"/>
  <c r="P6088" i="1"/>
  <c r="R6088" i="1"/>
  <c r="BL6088" i="1"/>
  <c r="BW6088" i="1"/>
  <c r="CH6088" i="1"/>
  <c r="CS6088" i="1"/>
  <c r="K6089" i="1"/>
  <c r="P6089" i="1"/>
  <c r="R6089" i="1"/>
  <c r="BL6089" i="1"/>
  <c r="BW6089" i="1"/>
  <c r="CH6089" i="1"/>
  <c r="CS6089" i="1"/>
  <c r="K6090" i="1"/>
  <c r="P6090" i="1"/>
  <c r="R6090" i="1"/>
  <c r="BL6090" i="1"/>
  <c r="BW6090" i="1"/>
  <c r="CH6090" i="1"/>
  <c r="CS6090" i="1"/>
  <c r="K6091" i="1"/>
  <c r="P6091" i="1"/>
  <c r="R6091" i="1"/>
  <c r="BL6091" i="1"/>
  <c r="BW6091" i="1"/>
  <c r="CH6091" i="1"/>
  <c r="CS6091" i="1"/>
  <c r="K6092" i="1"/>
  <c r="P6092" i="1"/>
  <c r="R6092" i="1"/>
  <c r="BL6092" i="1"/>
  <c r="BW6092" i="1"/>
  <c r="CH6092" i="1"/>
  <c r="CS6092" i="1"/>
  <c r="K6093" i="1"/>
  <c r="P6093" i="1"/>
  <c r="R6093" i="1"/>
  <c r="BL6093" i="1"/>
  <c r="BW6093" i="1"/>
  <c r="CH6093" i="1"/>
  <c r="CS6093" i="1"/>
  <c r="K6094" i="1"/>
  <c r="P6094" i="1"/>
  <c r="R6094" i="1"/>
  <c r="BL6094" i="1"/>
  <c r="BW6094" i="1"/>
  <c r="CH6094" i="1"/>
  <c r="CS6094" i="1"/>
  <c r="K6095" i="1"/>
  <c r="P6095" i="1"/>
  <c r="R6095" i="1"/>
  <c r="BL6095" i="1"/>
  <c r="BW6095" i="1"/>
  <c r="CH6095" i="1"/>
  <c r="CS6095" i="1"/>
  <c r="K6096" i="1"/>
  <c r="P6096" i="1"/>
  <c r="R6096" i="1"/>
  <c r="BL6096" i="1"/>
  <c r="BW6096" i="1"/>
  <c r="CH6096" i="1"/>
  <c r="CS6096" i="1"/>
  <c r="K6097" i="1"/>
  <c r="P6097" i="1"/>
  <c r="R6097" i="1"/>
  <c r="BL6097" i="1"/>
  <c r="BW6097" i="1"/>
  <c r="CH6097" i="1"/>
  <c r="CS6097" i="1"/>
  <c r="K6098" i="1"/>
  <c r="P6098" i="1"/>
  <c r="R6098" i="1"/>
  <c r="BL6098" i="1"/>
  <c r="BW6098" i="1"/>
  <c r="CH6098" i="1"/>
  <c r="CS6098" i="1"/>
  <c r="K6099" i="1"/>
  <c r="P6099" i="1"/>
  <c r="R6099" i="1"/>
  <c r="BL6099" i="1"/>
  <c r="BW6099" i="1"/>
  <c r="CH6099" i="1"/>
  <c r="CS6099" i="1"/>
  <c r="K6100" i="1"/>
  <c r="P6100" i="1"/>
  <c r="R6100" i="1"/>
  <c r="BL6100" i="1"/>
  <c r="BW6100" i="1"/>
  <c r="CH6100" i="1"/>
  <c r="CS6100" i="1"/>
  <c r="K6101" i="1"/>
  <c r="P6101" i="1"/>
  <c r="R6101" i="1"/>
  <c r="BL6101" i="1"/>
  <c r="BW6101" i="1"/>
  <c r="CH6101" i="1"/>
  <c r="CS6101" i="1"/>
  <c r="K6102" i="1"/>
  <c r="P6102" i="1"/>
  <c r="R6102" i="1"/>
  <c r="BL6102" i="1"/>
  <c r="BW6102" i="1"/>
  <c r="CH6102" i="1"/>
  <c r="CS6102" i="1"/>
  <c r="K6103" i="1"/>
  <c r="P6103" i="1"/>
  <c r="R6103" i="1"/>
  <c r="BL6103" i="1"/>
  <c r="BW6103" i="1"/>
  <c r="CH6103" i="1"/>
  <c r="CS6103" i="1"/>
  <c r="K6104" i="1"/>
  <c r="P6104" i="1"/>
  <c r="R6104" i="1"/>
  <c r="BL6104" i="1"/>
  <c r="BW6104" i="1"/>
  <c r="CH6104" i="1"/>
  <c r="CS6104" i="1"/>
  <c r="K6105" i="1"/>
  <c r="P6105" i="1"/>
  <c r="R6105" i="1"/>
  <c r="BL6105" i="1"/>
  <c r="BW6105" i="1"/>
  <c r="CH6105" i="1"/>
  <c r="CS6105" i="1"/>
  <c r="K6106" i="1"/>
  <c r="P6106" i="1"/>
  <c r="R6106" i="1"/>
  <c r="BL6106" i="1"/>
  <c r="BW6106" i="1"/>
  <c r="CH6106" i="1"/>
  <c r="CS6106" i="1"/>
  <c r="K6107" i="1"/>
  <c r="P6107" i="1"/>
  <c r="R6107" i="1"/>
  <c r="BL6107" i="1"/>
  <c r="BW6107" i="1"/>
  <c r="CH6107" i="1"/>
  <c r="CS6107" i="1"/>
  <c r="K6108" i="1"/>
  <c r="P6108" i="1"/>
  <c r="R6108" i="1"/>
  <c r="BL6108" i="1"/>
  <c r="BW6108" i="1"/>
  <c r="CH6108" i="1"/>
  <c r="CS6108" i="1"/>
  <c r="K6109" i="1"/>
  <c r="P6109" i="1"/>
  <c r="R6109" i="1"/>
  <c r="BL6109" i="1"/>
  <c r="BW6109" i="1"/>
  <c r="CH6109" i="1"/>
  <c r="CS6109" i="1"/>
  <c r="K6110" i="1"/>
  <c r="P6110" i="1"/>
  <c r="R6110" i="1"/>
  <c r="BL6110" i="1"/>
  <c r="BW6110" i="1"/>
  <c r="CH6110" i="1"/>
  <c r="CS6110" i="1"/>
  <c r="K6111" i="1"/>
  <c r="P6111" i="1"/>
  <c r="R6111" i="1"/>
  <c r="BL6111" i="1"/>
  <c r="BW6111" i="1"/>
  <c r="CH6111" i="1"/>
  <c r="CS6111" i="1"/>
  <c r="K6112" i="1"/>
  <c r="P6112" i="1"/>
  <c r="R6112" i="1"/>
  <c r="BL6112" i="1"/>
  <c r="BW6112" i="1"/>
  <c r="CH6112" i="1"/>
  <c r="CS6112" i="1"/>
  <c r="K6113" i="1"/>
  <c r="P6113" i="1"/>
  <c r="R6113" i="1"/>
  <c r="BL6113" i="1"/>
  <c r="BW6113" i="1"/>
  <c r="CH6113" i="1"/>
  <c r="CS6113" i="1"/>
  <c r="K6114" i="1"/>
  <c r="P6114" i="1"/>
  <c r="R6114" i="1"/>
  <c r="BL6114" i="1"/>
  <c r="BW6114" i="1"/>
  <c r="CH6114" i="1"/>
  <c r="CS6114" i="1"/>
  <c r="K6115" i="1"/>
  <c r="P6115" i="1"/>
  <c r="R6115" i="1"/>
  <c r="BL6115" i="1"/>
  <c r="BW6115" i="1"/>
  <c r="CH6115" i="1"/>
  <c r="CS6115" i="1"/>
  <c r="K6116" i="1"/>
  <c r="P6116" i="1"/>
  <c r="R6116" i="1"/>
  <c r="BL6116" i="1"/>
  <c r="BW6116" i="1"/>
  <c r="CH6116" i="1"/>
  <c r="CS6116" i="1"/>
  <c r="K6117" i="1"/>
  <c r="P6117" i="1"/>
  <c r="R6117" i="1"/>
  <c r="BL6117" i="1"/>
  <c r="BW6117" i="1"/>
  <c r="CH6117" i="1"/>
  <c r="CS6117" i="1"/>
  <c r="K6118" i="1"/>
  <c r="P6118" i="1"/>
  <c r="R6118" i="1"/>
  <c r="BL6118" i="1"/>
  <c r="BW6118" i="1"/>
  <c r="CH6118" i="1"/>
  <c r="CS6118" i="1"/>
  <c r="K6119" i="1"/>
  <c r="P6119" i="1"/>
  <c r="R6119" i="1"/>
  <c r="BL6119" i="1"/>
  <c r="BW6119" i="1"/>
  <c r="CH6119" i="1"/>
  <c r="CS6119" i="1"/>
  <c r="K6120" i="1"/>
  <c r="P6120" i="1"/>
  <c r="R6120" i="1"/>
  <c r="BL6120" i="1"/>
  <c r="BW6120" i="1"/>
  <c r="CH6120" i="1"/>
  <c r="CS6120" i="1"/>
  <c r="K6121" i="1"/>
  <c r="P6121" i="1"/>
  <c r="R6121" i="1"/>
  <c r="BL6121" i="1"/>
  <c r="BW6121" i="1"/>
  <c r="CH6121" i="1"/>
  <c r="CS6121" i="1"/>
  <c r="K6122" i="1"/>
  <c r="P6122" i="1"/>
  <c r="R6122" i="1"/>
  <c r="BL6122" i="1"/>
  <c r="BW6122" i="1"/>
  <c r="CH6122" i="1"/>
  <c r="CS6122" i="1"/>
  <c r="K6123" i="1"/>
  <c r="P6123" i="1"/>
  <c r="R6123" i="1"/>
  <c r="BL6123" i="1"/>
  <c r="BW6123" i="1"/>
  <c r="CH6123" i="1"/>
  <c r="CS6123" i="1"/>
  <c r="K6124" i="1"/>
  <c r="P6124" i="1"/>
  <c r="R6124" i="1"/>
  <c r="BL6124" i="1"/>
  <c r="BW6124" i="1"/>
  <c r="CH6124" i="1"/>
  <c r="CS6124" i="1"/>
  <c r="K6125" i="1"/>
  <c r="P6125" i="1"/>
  <c r="R6125" i="1"/>
  <c r="BL6125" i="1"/>
  <c r="BW6125" i="1"/>
  <c r="CH6125" i="1"/>
  <c r="CS6125" i="1"/>
  <c r="K6126" i="1"/>
  <c r="P6126" i="1"/>
  <c r="R6126" i="1"/>
  <c r="BL6126" i="1"/>
  <c r="BW6126" i="1"/>
  <c r="CH6126" i="1"/>
  <c r="CS6126" i="1"/>
  <c r="K6127" i="1"/>
  <c r="P6127" i="1"/>
  <c r="R6127" i="1"/>
  <c r="BL6127" i="1"/>
  <c r="BW6127" i="1"/>
  <c r="CH6127" i="1"/>
  <c r="CS6127" i="1"/>
  <c r="K6128" i="1"/>
  <c r="P6128" i="1"/>
  <c r="R6128" i="1"/>
  <c r="BL6128" i="1"/>
  <c r="BW6128" i="1"/>
  <c r="CH6128" i="1"/>
  <c r="CS6128" i="1"/>
  <c r="K6129" i="1"/>
  <c r="P6129" i="1"/>
  <c r="R6129" i="1"/>
  <c r="BL6129" i="1"/>
  <c r="BW6129" i="1"/>
  <c r="CH6129" i="1"/>
  <c r="CS6129" i="1"/>
  <c r="K6130" i="1"/>
  <c r="P6130" i="1"/>
  <c r="R6130" i="1"/>
  <c r="BL6130" i="1"/>
  <c r="BW6130" i="1"/>
  <c r="CH6130" i="1"/>
  <c r="CS6130" i="1"/>
  <c r="K6131" i="1"/>
  <c r="P6131" i="1"/>
  <c r="R6131" i="1"/>
  <c r="BL6131" i="1"/>
  <c r="BW6131" i="1"/>
  <c r="CH6131" i="1"/>
  <c r="CS6131" i="1"/>
  <c r="K6132" i="1"/>
  <c r="P6132" i="1"/>
  <c r="R6132" i="1"/>
  <c r="BL6132" i="1"/>
  <c r="BW6132" i="1"/>
  <c r="CH6132" i="1"/>
  <c r="CS6132" i="1"/>
  <c r="K6133" i="1"/>
  <c r="P6133" i="1"/>
  <c r="R6133" i="1"/>
  <c r="BL6133" i="1"/>
  <c r="BW6133" i="1"/>
  <c r="CH6133" i="1"/>
  <c r="CS6133" i="1"/>
  <c r="K6134" i="1"/>
  <c r="P6134" i="1"/>
  <c r="R6134" i="1"/>
  <c r="BL6134" i="1"/>
  <c r="BW6134" i="1"/>
  <c r="CH6134" i="1"/>
  <c r="CS6134" i="1"/>
  <c r="K6135" i="1"/>
  <c r="P6135" i="1"/>
  <c r="R6135" i="1"/>
  <c r="BL6135" i="1"/>
  <c r="BW6135" i="1"/>
  <c r="CH6135" i="1"/>
  <c r="CS6135" i="1"/>
  <c r="K6136" i="1"/>
  <c r="P6136" i="1"/>
  <c r="R6136" i="1"/>
  <c r="BL6136" i="1"/>
  <c r="BW6136" i="1"/>
  <c r="CH6136" i="1"/>
  <c r="CS6136" i="1"/>
  <c r="K6137" i="1"/>
  <c r="P6137" i="1"/>
  <c r="R6137" i="1"/>
  <c r="BL6137" i="1"/>
  <c r="BW6137" i="1"/>
  <c r="CH6137" i="1"/>
  <c r="CS6137" i="1"/>
  <c r="K6138" i="1"/>
  <c r="P6138" i="1"/>
  <c r="R6138" i="1"/>
  <c r="BL6138" i="1"/>
  <c r="BW6138" i="1"/>
  <c r="CH6138" i="1"/>
  <c r="CS6138" i="1"/>
  <c r="K6139" i="1"/>
  <c r="P6139" i="1"/>
  <c r="R6139" i="1"/>
  <c r="BL6139" i="1"/>
  <c r="BW6139" i="1"/>
  <c r="CH6139" i="1"/>
  <c r="CS6139" i="1"/>
  <c r="K6140" i="1"/>
  <c r="P6140" i="1"/>
  <c r="R6140" i="1"/>
  <c r="BL6140" i="1"/>
  <c r="BW6140" i="1"/>
  <c r="CH6140" i="1"/>
  <c r="CS6140" i="1"/>
  <c r="K6141" i="1"/>
  <c r="P6141" i="1"/>
  <c r="R6141" i="1"/>
  <c r="BL6141" i="1"/>
  <c r="BW6141" i="1"/>
  <c r="CH6141" i="1"/>
  <c r="CS6141" i="1"/>
  <c r="K6142" i="1"/>
  <c r="P6142" i="1"/>
  <c r="R6142" i="1"/>
  <c r="BL6142" i="1"/>
  <c r="BW6142" i="1"/>
  <c r="CH6142" i="1"/>
  <c r="CS6142" i="1"/>
  <c r="K6143" i="1"/>
  <c r="P6143" i="1"/>
  <c r="R6143" i="1"/>
  <c r="BL6143" i="1"/>
  <c r="BW6143" i="1"/>
  <c r="CH6143" i="1"/>
  <c r="CS6143" i="1"/>
  <c r="K6144" i="1"/>
  <c r="P6144" i="1"/>
  <c r="R6144" i="1"/>
  <c r="BL6144" i="1"/>
  <c r="BW6144" i="1"/>
  <c r="CH6144" i="1"/>
  <c r="CS6144" i="1"/>
  <c r="K6145" i="1"/>
  <c r="P6145" i="1"/>
  <c r="R6145" i="1"/>
  <c r="BL6145" i="1"/>
  <c r="BW6145" i="1"/>
  <c r="CH6145" i="1"/>
  <c r="CS6145" i="1"/>
  <c r="K6146" i="1"/>
  <c r="P6146" i="1"/>
  <c r="R6146" i="1"/>
  <c r="BL6146" i="1"/>
  <c r="BW6146" i="1"/>
  <c r="CH6146" i="1"/>
  <c r="CS6146" i="1"/>
  <c r="K6147" i="1"/>
  <c r="P6147" i="1"/>
  <c r="R6147" i="1"/>
  <c r="BL6147" i="1"/>
  <c r="BW6147" i="1"/>
  <c r="CH6147" i="1"/>
  <c r="CS6147" i="1"/>
  <c r="K6148" i="1"/>
  <c r="P6148" i="1"/>
  <c r="R6148" i="1"/>
  <c r="BL6148" i="1"/>
  <c r="BW6148" i="1"/>
  <c r="CH6148" i="1"/>
  <c r="CS6148" i="1"/>
  <c r="K6149" i="1"/>
  <c r="P6149" i="1"/>
  <c r="R6149" i="1"/>
  <c r="BL6149" i="1"/>
  <c r="BW6149" i="1"/>
  <c r="CH6149" i="1"/>
  <c r="CS6149" i="1"/>
  <c r="K6150" i="1"/>
  <c r="P6150" i="1"/>
  <c r="R6150" i="1"/>
  <c r="BL6150" i="1"/>
  <c r="BW6150" i="1"/>
  <c r="CH6150" i="1"/>
  <c r="CS6150" i="1"/>
  <c r="K6151" i="1"/>
  <c r="P6151" i="1"/>
  <c r="R6151" i="1"/>
  <c r="BL6151" i="1"/>
  <c r="BW6151" i="1"/>
  <c r="CH6151" i="1"/>
  <c r="CS6151" i="1"/>
  <c r="K6152" i="1"/>
  <c r="P6152" i="1"/>
  <c r="R6152" i="1"/>
  <c r="BL6152" i="1"/>
  <c r="BW6152" i="1"/>
  <c r="CH6152" i="1"/>
  <c r="CS6152" i="1"/>
  <c r="K6153" i="1"/>
  <c r="P6153" i="1"/>
  <c r="R6153" i="1"/>
  <c r="BL6153" i="1"/>
  <c r="BW6153" i="1"/>
  <c r="CH6153" i="1"/>
  <c r="CS6153" i="1"/>
  <c r="K6154" i="1"/>
  <c r="P6154" i="1"/>
  <c r="R6154" i="1"/>
  <c r="BL6154" i="1"/>
  <c r="BW6154" i="1"/>
  <c r="CH6154" i="1"/>
  <c r="CS6154" i="1"/>
  <c r="K6155" i="1"/>
  <c r="P6155" i="1"/>
  <c r="R6155" i="1"/>
  <c r="BL6155" i="1"/>
  <c r="BW6155" i="1"/>
  <c r="CH6155" i="1"/>
  <c r="CS6155" i="1"/>
  <c r="K6156" i="1"/>
  <c r="P6156" i="1"/>
  <c r="R6156" i="1"/>
  <c r="BL6156" i="1"/>
  <c r="BW6156" i="1"/>
  <c r="CH6156" i="1"/>
  <c r="CS6156" i="1"/>
  <c r="K6157" i="1"/>
  <c r="P6157" i="1"/>
  <c r="R6157" i="1"/>
  <c r="BL6157" i="1"/>
  <c r="BW6157" i="1"/>
  <c r="CH6157" i="1"/>
  <c r="CS6157" i="1"/>
  <c r="K6158" i="1"/>
  <c r="P6158" i="1"/>
  <c r="R6158" i="1"/>
  <c r="BL6158" i="1"/>
  <c r="BW6158" i="1"/>
  <c r="CH6158" i="1"/>
  <c r="CS6158" i="1"/>
  <c r="K6159" i="1"/>
  <c r="P6159" i="1"/>
  <c r="R6159" i="1"/>
  <c r="BL6159" i="1"/>
  <c r="BW6159" i="1"/>
  <c r="CH6159" i="1"/>
  <c r="CS6159" i="1"/>
  <c r="K6160" i="1"/>
  <c r="P6160" i="1"/>
  <c r="R6160" i="1"/>
  <c r="BL6160" i="1"/>
  <c r="BW6160" i="1"/>
  <c r="CH6160" i="1"/>
  <c r="CS6160" i="1"/>
  <c r="K6161" i="1"/>
  <c r="P6161" i="1"/>
  <c r="R6161" i="1"/>
  <c r="BL6161" i="1"/>
  <c r="BW6161" i="1"/>
  <c r="CH6161" i="1"/>
  <c r="CS6161" i="1"/>
  <c r="K6162" i="1"/>
  <c r="P6162" i="1"/>
  <c r="R6162" i="1"/>
  <c r="BL6162" i="1"/>
  <c r="BW6162" i="1"/>
  <c r="CH6162" i="1"/>
  <c r="CS6162" i="1"/>
  <c r="K6163" i="1"/>
  <c r="P6163" i="1"/>
  <c r="R6163" i="1"/>
  <c r="BL6163" i="1"/>
  <c r="BW6163" i="1"/>
  <c r="CH6163" i="1"/>
  <c r="CS6163" i="1"/>
  <c r="K6164" i="1"/>
  <c r="P6164" i="1"/>
  <c r="R6164" i="1"/>
  <c r="BL6164" i="1"/>
  <c r="BW6164" i="1"/>
  <c r="CH6164" i="1"/>
  <c r="CS6164" i="1"/>
  <c r="K6165" i="1"/>
  <c r="P6165" i="1"/>
  <c r="R6165" i="1"/>
  <c r="BL6165" i="1"/>
  <c r="BW6165" i="1"/>
  <c r="CH6165" i="1"/>
  <c r="CS6165" i="1"/>
  <c r="K6166" i="1"/>
  <c r="P6166" i="1"/>
  <c r="R6166" i="1"/>
  <c r="BL6166" i="1"/>
  <c r="BW6166" i="1"/>
  <c r="CH6166" i="1"/>
  <c r="CS6166" i="1"/>
  <c r="K6167" i="1"/>
  <c r="P6167" i="1"/>
  <c r="R6167" i="1"/>
  <c r="BL6167" i="1"/>
  <c r="BW6167" i="1"/>
  <c r="CH6167" i="1"/>
  <c r="CS6167" i="1"/>
  <c r="K6168" i="1"/>
  <c r="P6168" i="1"/>
  <c r="R6168" i="1"/>
  <c r="BL6168" i="1"/>
  <c r="BW6168" i="1"/>
  <c r="CH6168" i="1"/>
  <c r="CS6168" i="1"/>
  <c r="K6169" i="1"/>
  <c r="P6169" i="1"/>
  <c r="R6169" i="1"/>
  <c r="BL6169" i="1"/>
  <c r="BW6169" i="1"/>
  <c r="CH6169" i="1"/>
  <c r="CS6169" i="1"/>
  <c r="K6170" i="1"/>
  <c r="P6170" i="1"/>
  <c r="R6170" i="1"/>
  <c r="BL6170" i="1"/>
  <c r="BW6170" i="1"/>
  <c r="CH6170" i="1"/>
  <c r="CS6170" i="1"/>
  <c r="K6171" i="1"/>
  <c r="P6171" i="1"/>
  <c r="R6171" i="1"/>
  <c r="BL6171" i="1"/>
  <c r="BW6171" i="1"/>
  <c r="CH6171" i="1"/>
  <c r="CS6171" i="1"/>
  <c r="K6172" i="1"/>
  <c r="P6172" i="1"/>
  <c r="R6172" i="1"/>
  <c r="BL6172" i="1"/>
  <c r="BW6172" i="1"/>
  <c r="CH6172" i="1"/>
  <c r="CS6172" i="1"/>
  <c r="K6173" i="1"/>
  <c r="P6173" i="1"/>
  <c r="R6173" i="1"/>
  <c r="BL6173" i="1"/>
  <c r="BW6173" i="1"/>
  <c r="CH6173" i="1"/>
  <c r="CS6173" i="1"/>
  <c r="K6174" i="1"/>
  <c r="P6174" i="1"/>
  <c r="R6174" i="1"/>
  <c r="BL6174" i="1"/>
  <c r="BW6174" i="1"/>
  <c r="CH6174" i="1"/>
  <c r="CS6174" i="1"/>
  <c r="K6175" i="1"/>
  <c r="P6175" i="1"/>
  <c r="R6175" i="1"/>
  <c r="BL6175" i="1"/>
  <c r="BW6175" i="1"/>
  <c r="CH6175" i="1"/>
  <c r="CS6175" i="1"/>
  <c r="K6176" i="1"/>
  <c r="P6176" i="1"/>
  <c r="R6176" i="1"/>
  <c r="BL6176" i="1"/>
  <c r="BW6176" i="1"/>
  <c r="CH6176" i="1"/>
  <c r="CS6176" i="1"/>
  <c r="K6177" i="1"/>
  <c r="P6177" i="1"/>
  <c r="R6177" i="1"/>
  <c r="BL6177" i="1"/>
  <c r="BW6177" i="1"/>
  <c r="CH6177" i="1"/>
  <c r="CS6177" i="1"/>
  <c r="K6178" i="1"/>
  <c r="P6178" i="1"/>
  <c r="R6178" i="1"/>
  <c r="BL6178" i="1"/>
  <c r="BW6178" i="1"/>
  <c r="CH6178" i="1"/>
  <c r="CS6178" i="1"/>
  <c r="K6179" i="1"/>
  <c r="P6179" i="1"/>
  <c r="R6179" i="1"/>
  <c r="BL6179" i="1"/>
  <c r="BW6179" i="1"/>
  <c r="CH6179" i="1"/>
  <c r="CS6179" i="1"/>
  <c r="K6180" i="1"/>
  <c r="P6180" i="1"/>
  <c r="R6180" i="1"/>
  <c r="BL6180" i="1"/>
  <c r="BW6180" i="1"/>
  <c r="CH6180" i="1"/>
  <c r="CS6180" i="1"/>
  <c r="K6181" i="1"/>
  <c r="P6181" i="1"/>
  <c r="R6181" i="1"/>
  <c r="BL6181" i="1"/>
  <c r="BW6181" i="1"/>
  <c r="CH6181" i="1"/>
  <c r="CS6181" i="1"/>
  <c r="K6182" i="1"/>
  <c r="P6182" i="1"/>
  <c r="R6182" i="1"/>
  <c r="BL6182" i="1"/>
  <c r="BW6182" i="1"/>
  <c r="CH6182" i="1"/>
  <c r="CS6182" i="1"/>
  <c r="K6183" i="1"/>
  <c r="P6183" i="1"/>
  <c r="R6183" i="1"/>
  <c r="BL6183" i="1"/>
  <c r="BW6183" i="1"/>
  <c r="CH6183" i="1"/>
  <c r="CS6183" i="1"/>
  <c r="K6184" i="1"/>
  <c r="P6184" i="1"/>
  <c r="R6184" i="1"/>
  <c r="BL6184" i="1"/>
  <c r="BW6184" i="1"/>
  <c r="CH6184" i="1"/>
  <c r="CS6184" i="1"/>
  <c r="K6185" i="1"/>
  <c r="P6185" i="1"/>
  <c r="R6185" i="1"/>
  <c r="BL6185" i="1"/>
  <c r="BW6185" i="1"/>
  <c r="CH6185" i="1"/>
  <c r="CS6185" i="1"/>
  <c r="K6186" i="1"/>
  <c r="P6186" i="1"/>
  <c r="R6186" i="1"/>
  <c r="BL6186" i="1"/>
  <c r="BW6186" i="1"/>
  <c r="CH6186" i="1"/>
  <c r="CS6186" i="1"/>
  <c r="K6187" i="1"/>
  <c r="P6187" i="1"/>
  <c r="R6187" i="1"/>
  <c r="BL6187" i="1"/>
  <c r="BW6187" i="1"/>
  <c r="CH6187" i="1"/>
  <c r="CS6187" i="1"/>
  <c r="K6188" i="1"/>
  <c r="P6188" i="1"/>
  <c r="R6188" i="1"/>
  <c r="BL6188" i="1"/>
  <c r="BW6188" i="1"/>
  <c r="CH6188" i="1"/>
  <c r="CS6188" i="1"/>
  <c r="K6189" i="1"/>
  <c r="P6189" i="1"/>
  <c r="R6189" i="1"/>
  <c r="BL6189" i="1"/>
  <c r="BW6189" i="1"/>
  <c r="CH6189" i="1"/>
  <c r="CS6189" i="1"/>
  <c r="K6190" i="1"/>
  <c r="P6190" i="1"/>
  <c r="R6190" i="1"/>
  <c r="BL6190" i="1"/>
  <c r="BW6190" i="1"/>
  <c r="CH6190" i="1"/>
  <c r="CS6190" i="1"/>
  <c r="K6191" i="1"/>
  <c r="P6191" i="1"/>
  <c r="R6191" i="1"/>
  <c r="BL6191" i="1"/>
  <c r="BW6191" i="1"/>
  <c r="CH6191" i="1"/>
  <c r="CS6191" i="1"/>
  <c r="K6192" i="1"/>
  <c r="P6192" i="1"/>
  <c r="R6192" i="1"/>
  <c r="BL6192" i="1"/>
  <c r="BW6192" i="1"/>
  <c r="CH6192" i="1"/>
  <c r="CS6192" i="1"/>
  <c r="K6193" i="1"/>
  <c r="P6193" i="1"/>
  <c r="R6193" i="1"/>
  <c r="BL6193" i="1"/>
  <c r="BW6193" i="1"/>
  <c r="CH6193" i="1"/>
  <c r="CS6193" i="1"/>
  <c r="K6194" i="1"/>
  <c r="P6194" i="1"/>
  <c r="R6194" i="1"/>
  <c r="BL6194" i="1"/>
  <c r="BW6194" i="1"/>
  <c r="CH6194" i="1"/>
  <c r="CS6194" i="1"/>
  <c r="K6195" i="1"/>
  <c r="P6195" i="1"/>
  <c r="R6195" i="1"/>
  <c r="BL6195" i="1"/>
  <c r="BW6195" i="1"/>
  <c r="CH6195" i="1"/>
  <c r="CS6195" i="1"/>
  <c r="K6196" i="1"/>
  <c r="P6196" i="1"/>
  <c r="R6196" i="1"/>
  <c r="BL6196" i="1"/>
  <c r="BW6196" i="1"/>
  <c r="CH6196" i="1"/>
  <c r="CS6196" i="1"/>
  <c r="K6197" i="1"/>
  <c r="P6197" i="1"/>
  <c r="R6197" i="1"/>
  <c r="BL6197" i="1"/>
  <c r="BW6197" i="1"/>
  <c r="CH6197" i="1"/>
  <c r="CS6197" i="1"/>
  <c r="K6198" i="1"/>
  <c r="P6198" i="1"/>
  <c r="R6198" i="1"/>
  <c r="BL6198" i="1"/>
  <c r="BW6198" i="1"/>
  <c r="CH6198" i="1"/>
  <c r="CS6198" i="1"/>
  <c r="K6199" i="1"/>
  <c r="P6199" i="1"/>
  <c r="R6199" i="1"/>
  <c r="BL6199" i="1"/>
  <c r="BW6199" i="1"/>
  <c r="CH6199" i="1"/>
  <c r="CS6199" i="1"/>
  <c r="K6200" i="1"/>
  <c r="P6200" i="1"/>
  <c r="R6200" i="1"/>
  <c r="BL6200" i="1"/>
  <c r="BW6200" i="1"/>
  <c r="CH6200" i="1"/>
  <c r="CS6200" i="1"/>
  <c r="K6201" i="1"/>
  <c r="P6201" i="1"/>
  <c r="R6201" i="1"/>
  <c r="BL6201" i="1"/>
  <c r="BW6201" i="1"/>
  <c r="CH6201" i="1"/>
  <c r="CS6201" i="1"/>
  <c r="K6202" i="1"/>
  <c r="P6202" i="1"/>
  <c r="R6202" i="1"/>
  <c r="BL6202" i="1"/>
  <c r="BW6202" i="1"/>
  <c r="CH6202" i="1"/>
  <c r="CS6202" i="1"/>
  <c r="K6203" i="1"/>
  <c r="P6203" i="1"/>
  <c r="R6203" i="1"/>
  <c r="BL6203" i="1"/>
  <c r="BW6203" i="1"/>
  <c r="CH6203" i="1"/>
  <c r="CS6203" i="1"/>
  <c r="K6204" i="1"/>
  <c r="P6204" i="1"/>
  <c r="R6204" i="1"/>
  <c r="BL6204" i="1"/>
  <c r="BW6204" i="1"/>
  <c r="CH6204" i="1"/>
  <c r="CS6204" i="1"/>
  <c r="K6205" i="1"/>
  <c r="P6205" i="1"/>
  <c r="R6205" i="1"/>
  <c r="BL6205" i="1"/>
  <c r="BW6205" i="1"/>
  <c r="CH6205" i="1"/>
  <c r="CS6205" i="1"/>
  <c r="K6206" i="1"/>
  <c r="P6206" i="1"/>
  <c r="R6206" i="1"/>
  <c r="BL6206" i="1"/>
  <c r="BW6206" i="1"/>
  <c r="CH6206" i="1"/>
  <c r="CS6206" i="1"/>
  <c r="K6207" i="1"/>
  <c r="P6207" i="1"/>
  <c r="R6207" i="1"/>
  <c r="BL6207" i="1"/>
  <c r="BW6207" i="1"/>
  <c r="CH6207" i="1"/>
  <c r="CS6207" i="1"/>
  <c r="K6208" i="1"/>
  <c r="P6208" i="1"/>
  <c r="R6208" i="1"/>
  <c r="BL6208" i="1"/>
  <c r="BW6208" i="1"/>
  <c r="CH6208" i="1"/>
  <c r="CS6208" i="1"/>
  <c r="K6209" i="1"/>
  <c r="P6209" i="1"/>
  <c r="R6209" i="1"/>
  <c r="BL6209" i="1"/>
  <c r="BW6209" i="1"/>
  <c r="CH6209" i="1"/>
  <c r="CS6209" i="1"/>
  <c r="K6210" i="1"/>
  <c r="P6210" i="1"/>
  <c r="R6210" i="1"/>
  <c r="BL6210" i="1"/>
  <c r="BW6210" i="1"/>
  <c r="CH6210" i="1"/>
  <c r="CS6210" i="1"/>
  <c r="K6211" i="1"/>
  <c r="P6211" i="1"/>
  <c r="R6211" i="1"/>
  <c r="BL6211" i="1"/>
  <c r="BW6211" i="1"/>
  <c r="CH6211" i="1"/>
  <c r="CS6211" i="1"/>
  <c r="K6212" i="1"/>
  <c r="P6212" i="1"/>
  <c r="R6212" i="1"/>
  <c r="BL6212" i="1"/>
  <c r="BW6212" i="1"/>
  <c r="CH6212" i="1"/>
  <c r="CS6212" i="1"/>
  <c r="K6213" i="1"/>
  <c r="P6213" i="1"/>
  <c r="R6213" i="1"/>
  <c r="BL6213" i="1"/>
  <c r="BW6213" i="1"/>
  <c r="CH6213" i="1"/>
  <c r="CS6213" i="1"/>
  <c r="K6214" i="1"/>
  <c r="P6214" i="1"/>
  <c r="R6214" i="1"/>
  <c r="BL6214" i="1"/>
  <c r="BW6214" i="1"/>
  <c r="CH6214" i="1"/>
  <c r="CS6214" i="1"/>
  <c r="K6215" i="1"/>
  <c r="P6215" i="1"/>
  <c r="R6215" i="1"/>
  <c r="BL6215" i="1"/>
  <c r="BW6215" i="1"/>
  <c r="CH6215" i="1"/>
  <c r="CS6215" i="1"/>
  <c r="K6216" i="1"/>
  <c r="P6216" i="1"/>
  <c r="R6216" i="1"/>
  <c r="BL6216" i="1"/>
  <c r="BW6216" i="1"/>
  <c r="CH6216" i="1"/>
  <c r="CS6216" i="1"/>
  <c r="K6217" i="1"/>
  <c r="P6217" i="1"/>
  <c r="R6217" i="1"/>
  <c r="BL6217" i="1"/>
  <c r="BW6217" i="1"/>
  <c r="CH6217" i="1"/>
  <c r="CS6217" i="1"/>
  <c r="K6218" i="1"/>
  <c r="P6218" i="1"/>
  <c r="R6218" i="1"/>
  <c r="BL6218" i="1"/>
  <c r="BW6218" i="1"/>
  <c r="CH6218" i="1"/>
  <c r="CS6218" i="1"/>
  <c r="K6219" i="1"/>
  <c r="P6219" i="1"/>
  <c r="R6219" i="1"/>
  <c r="BL6219" i="1"/>
  <c r="BW6219" i="1"/>
  <c r="CH6219" i="1"/>
  <c r="CS6219" i="1"/>
  <c r="K6220" i="1"/>
  <c r="P6220" i="1"/>
  <c r="R6220" i="1"/>
  <c r="BL6220" i="1"/>
  <c r="BW6220" i="1"/>
  <c r="CH6220" i="1"/>
  <c r="CS6220" i="1"/>
  <c r="K6221" i="1"/>
  <c r="P6221" i="1"/>
  <c r="R6221" i="1"/>
  <c r="BL6221" i="1"/>
  <c r="BW6221" i="1"/>
  <c r="CH6221" i="1"/>
  <c r="CS6221" i="1"/>
  <c r="K6222" i="1"/>
  <c r="P6222" i="1"/>
  <c r="R6222" i="1"/>
  <c r="BL6222" i="1"/>
  <c r="BW6222" i="1"/>
  <c r="CH6222" i="1"/>
  <c r="CS6222" i="1"/>
  <c r="K6223" i="1"/>
  <c r="P6223" i="1"/>
  <c r="R6223" i="1"/>
  <c r="BL6223" i="1"/>
  <c r="BW6223" i="1"/>
  <c r="CH6223" i="1"/>
  <c r="CS6223" i="1"/>
  <c r="K6224" i="1"/>
  <c r="P6224" i="1"/>
  <c r="R6224" i="1"/>
  <c r="BL6224" i="1"/>
  <c r="BW6224" i="1"/>
  <c r="CH6224" i="1"/>
  <c r="CS6224" i="1"/>
  <c r="K6225" i="1"/>
  <c r="P6225" i="1"/>
  <c r="R6225" i="1"/>
  <c r="BL6225" i="1"/>
  <c r="BW6225" i="1"/>
  <c r="CH6225" i="1"/>
  <c r="CS6225" i="1"/>
  <c r="K6226" i="1"/>
  <c r="P6226" i="1"/>
  <c r="R6226" i="1"/>
  <c r="BL6226" i="1"/>
  <c r="BW6226" i="1"/>
  <c r="CH6226" i="1"/>
  <c r="CS6226" i="1"/>
  <c r="K6227" i="1"/>
  <c r="P6227" i="1"/>
  <c r="R6227" i="1"/>
  <c r="BL6227" i="1"/>
  <c r="BW6227" i="1"/>
  <c r="CH6227" i="1"/>
  <c r="CS6227" i="1"/>
  <c r="K6228" i="1"/>
  <c r="P6228" i="1"/>
  <c r="R6228" i="1"/>
  <c r="BL6228" i="1"/>
  <c r="BW6228" i="1"/>
  <c r="CH6228" i="1"/>
  <c r="CS6228" i="1"/>
  <c r="K6229" i="1"/>
  <c r="P6229" i="1"/>
  <c r="R6229" i="1"/>
  <c r="BL6229" i="1"/>
  <c r="BW6229" i="1"/>
  <c r="CH6229" i="1"/>
  <c r="CS6229" i="1"/>
  <c r="K6230" i="1"/>
  <c r="P6230" i="1"/>
  <c r="R6230" i="1"/>
  <c r="BL6230" i="1"/>
  <c r="BW6230" i="1"/>
  <c r="CH6230" i="1"/>
  <c r="CS6230" i="1"/>
  <c r="K6231" i="1"/>
  <c r="P6231" i="1"/>
  <c r="R6231" i="1"/>
  <c r="BL6231" i="1"/>
  <c r="BW6231" i="1"/>
  <c r="CH6231" i="1"/>
  <c r="CS6231" i="1"/>
  <c r="K6232" i="1"/>
  <c r="P6232" i="1"/>
  <c r="R6232" i="1"/>
  <c r="BL6232" i="1"/>
  <c r="BW6232" i="1"/>
  <c r="CH6232" i="1"/>
  <c r="CS6232" i="1"/>
  <c r="K6233" i="1"/>
  <c r="P6233" i="1"/>
  <c r="R6233" i="1"/>
  <c r="BL6233" i="1"/>
  <c r="BW6233" i="1"/>
  <c r="CH6233" i="1"/>
  <c r="CS6233" i="1"/>
  <c r="K6234" i="1"/>
  <c r="P6234" i="1"/>
  <c r="R6234" i="1"/>
  <c r="BL6234" i="1"/>
  <c r="BW6234" i="1"/>
  <c r="CH6234" i="1"/>
  <c r="CS6234" i="1"/>
  <c r="K6235" i="1"/>
  <c r="P6235" i="1"/>
  <c r="R6235" i="1"/>
  <c r="BL6235" i="1"/>
  <c r="BW6235" i="1"/>
  <c r="CH6235" i="1"/>
  <c r="CS6235" i="1"/>
  <c r="K6236" i="1"/>
  <c r="P6236" i="1"/>
  <c r="R6236" i="1"/>
  <c r="BL6236" i="1"/>
  <c r="BW6236" i="1"/>
  <c r="CH6236" i="1"/>
  <c r="CS6236" i="1"/>
  <c r="K6237" i="1"/>
  <c r="P6237" i="1"/>
  <c r="R6237" i="1"/>
  <c r="BL6237" i="1"/>
  <c r="BW6237" i="1"/>
  <c r="CH6237" i="1"/>
  <c r="CS6237" i="1"/>
  <c r="K6238" i="1"/>
  <c r="P6238" i="1"/>
  <c r="R6238" i="1"/>
  <c r="BL6238" i="1"/>
  <c r="BW6238" i="1"/>
  <c r="CH6238" i="1"/>
  <c r="CS6238" i="1"/>
  <c r="K6239" i="1"/>
  <c r="P6239" i="1"/>
  <c r="R6239" i="1"/>
  <c r="BL6239" i="1"/>
  <c r="BW6239" i="1"/>
  <c r="CH6239" i="1"/>
  <c r="CS6239" i="1"/>
  <c r="K6240" i="1"/>
  <c r="P6240" i="1"/>
  <c r="R6240" i="1"/>
  <c r="BL6240" i="1"/>
  <c r="BW6240" i="1"/>
  <c r="CH6240" i="1"/>
  <c r="CS6240" i="1"/>
  <c r="K6241" i="1"/>
  <c r="P6241" i="1"/>
  <c r="R6241" i="1"/>
  <c r="BL6241" i="1"/>
  <c r="BW6241" i="1"/>
  <c r="CH6241" i="1"/>
  <c r="CS6241" i="1"/>
  <c r="K6242" i="1"/>
  <c r="P6242" i="1"/>
  <c r="R6242" i="1"/>
  <c r="BL6242" i="1"/>
  <c r="BW6242" i="1"/>
  <c r="CH6242" i="1"/>
  <c r="CS6242" i="1"/>
  <c r="K6243" i="1"/>
  <c r="P6243" i="1"/>
  <c r="R6243" i="1"/>
  <c r="BL6243" i="1"/>
  <c r="BW6243" i="1"/>
  <c r="CH6243" i="1"/>
  <c r="CS6243" i="1"/>
  <c r="K6244" i="1"/>
  <c r="P6244" i="1"/>
  <c r="R6244" i="1"/>
  <c r="BL6244" i="1"/>
  <c r="BW6244" i="1"/>
  <c r="CH6244" i="1"/>
  <c r="CS6244" i="1"/>
  <c r="K6245" i="1"/>
  <c r="P6245" i="1"/>
  <c r="R6245" i="1"/>
  <c r="BL6245" i="1"/>
  <c r="BW6245" i="1"/>
  <c r="CH6245" i="1"/>
  <c r="CS6245" i="1"/>
  <c r="K6246" i="1"/>
  <c r="P6246" i="1"/>
  <c r="R6246" i="1"/>
  <c r="BL6246" i="1"/>
  <c r="BW6246" i="1"/>
  <c r="CH6246" i="1"/>
  <c r="CS6246" i="1"/>
  <c r="K6247" i="1"/>
  <c r="P6247" i="1"/>
  <c r="R6247" i="1"/>
  <c r="BL6247" i="1"/>
  <c r="BW6247" i="1"/>
  <c r="CH6247" i="1"/>
  <c r="CS6247" i="1"/>
  <c r="K6248" i="1"/>
  <c r="P6248" i="1"/>
  <c r="R6248" i="1"/>
  <c r="BL6248" i="1"/>
  <c r="BW6248" i="1"/>
  <c r="CH6248" i="1"/>
  <c r="CS6248" i="1"/>
  <c r="K6249" i="1"/>
  <c r="P6249" i="1"/>
  <c r="R6249" i="1"/>
  <c r="BL6249" i="1"/>
  <c r="BW6249" i="1"/>
  <c r="CH6249" i="1"/>
  <c r="CS6249" i="1"/>
  <c r="K6250" i="1"/>
  <c r="P6250" i="1"/>
  <c r="R6250" i="1"/>
  <c r="BL6250" i="1"/>
  <c r="BW6250" i="1"/>
  <c r="CH6250" i="1"/>
  <c r="CS6250" i="1"/>
  <c r="K6251" i="1"/>
  <c r="P6251" i="1"/>
  <c r="R6251" i="1"/>
  <c r="BL6251" i="1"/>
  <c r="BW6251" i="1"/>
  <c r="CH6251" i="1"/>
  <c r="CS6251" i="1"/>
  <c r="K6252" i="1"/>
  <c r="P6252" i="1"/>
  <c r="R6252" i="1"/>
  <c r="BL6252" i="1"/>
  <c r="BW6252" i="1"/>
  <c r="CH6252" i="1"/>
  <c r="CS6252" i="1"/>
  <c r="K6253" i="1"/>
  <c r="P6253" i="1"/>
  <c r="R6253" i="1"/>
  <c r="BL6253" i="1"/>
  <c r="BW6253" i="1"/>
  <c r="CH6253" i="1"/>
  <c r="CS6253" i="1"/>
  <c r="K6254" i="1"/>
  <c r="P6254" i="1"/>
  <c r="R6254" i="1"/>
  <c r="BL6254" i="1"/>
  <c r="BW6254" i="1"/>
  <c r="CH6254" i="1"/>
  <c r="CS6254" i="1"/>
  <c r="K6255" i="1"/>
  <c r="P6255" i="1"/>
  <c r="R6255" i="1"/>
  <c r="BL6255" i="1"/>
  <c r="BW6255" i="1"/>
  <c r="CH6255" i="1"/>
  <c r="CS6255" i="1"/>
  <c r="K6256" i="1"/>
  <c r="P6256" i="1"/>
  <c r="R6256" i="1"/>
  <c r="BL6256" i="1"/>
  <c r="BW6256" i="1"/>
  <c r="CH6256" i="1"/>
  <c r="CS6256" i="1"/>
  <c r="K6257" i="1"/>
  <c r="P6257" i="1"/>
  <c r="R6257" i="1"/>
  <c r="BL6257" i="1"/>
  <c r="BW6257" i="1"/>
  <c r="CH6257" i="1"/>
  <c r="CS6257" i="1"/>
  <c r="K6258" i="1"/>
  <c r="P6258" i="1"/>
  <c r="R6258" i="1"/>
  <c r="BL6258" i="1"/>
  <c r="BW6258" i="1"/>
  <c r="CH6258" i="1"/>
  <c r="CS6258" i="1"/>
  <c r="K6259" i="1"/>
  <c r="P6259" i="1"/>
  <c r="R6259" i="1"/>
  <c r="BL6259" i="1"/>
  <c r="BW6259" i="1"/>
  <c r="CH6259" i="1"/>
  <c r="CS6259" i="1"/>
  <c r="K6260" i="1"/>
  <c r="P6260" i="1"/>
  <c r="R6260" i="1"/>
  <c r="BL6260" i="1"/>
  <c r="BW6260" i="1"/>
  <c r="CH6260" i="1"/>
  <c r="CS6260" i="1"/>
  <c r="K6261" i="1"/>
  <c r="P6261" i="1"/>
  <c r="R6261" i="1"/>
  <c r="BL6261" i="1"/>
  <c r="BW6261" i="1"/>
  <c r="CH6261" i="1"/>
  <c r="CS6261" i="1"/>
  <c r="K6262" i="1"/>
  <c r="P6262" i="1"/>
  <c r="R6262" i="1"/>
  <c r="BL6262" i="1"/>
  <c r="BW6262" i="1"/>
  <c r="CH6262" i="1"/>
  <c r="CS6262" i="1"/>
  <c r="K6263" i="1"/>
  <c r="P6263" i="1"/>
  <c r="R6263" i="1"/>
  <c r="BL6263" i="1"/>
  <c r="BW6263" i="1"/>
  <c r="CH6263" i="1"/>
  <c r="CS6263" i="1"/>
  <c r="K6264" i="1"/>
  <c r="P6264" i="1"/>
  <c r="R6264" i="1"/>
  <c r="BL6264" i="1"/>
  <c r="BW6264" i="1"/>
  <c r="CH6264" i="1"/>
  <c r="CS6264" i="1"/>
  <c r="K6265" i="1"/>
  <c r="P6265" i="1"/>
  <c r="R6265" i="1"/>
  <c r="BL6265" i="1"/>
  <c r="BW6265" i="1"/>
  <c r="CH6265" i="1"/>
  <c r="CS6265" i="1"/>
  <c r="K6266" i="1"/>
  <c r="P6266" i="1"/>
  <c r="R6266" i="1"/>
  <c r="BL6266" i="1"/>
  <c r="BW6266" i="1"/>
  <c r="CH6266" i="1"/>
  <c r="CS6266" i="1"/>
  <c r="K6267" i="1"/>
  <c r="P6267" i="1"/>
  <c r="R6267" i="1"/>
  <c r="BL6267" i="1"/>
  <c r="BW6267" i="1"/>
  <c r="CH6267" i="1"/>
  <c r="CS6267" i="1"/>
  <c r="K6268" i="1"/>
  <c r="P6268" i="1"/>
  <c r="R6268" i="1"/>
  <c r="BL6268" i="1"/>
  <c r="BW6268" i="1"/>
  <c r="CH6268" i="1"/>
  <c r="CS6268" i="1"/>
  <c r="K6269" i="1"/>
  <c r="P6269" i="1"/>
  <c r="R6269" i="1"/>
  <c r="BL6269" i="1"/>
  <c r="BW6269" i="1"/>
  <c r="CH6269" i="1"/>
  <c r="CS6269" i="1"/>
  <c r="K6270" i="1"/>
  <c r="P6270" i="1"/>
  <c r="R6270" i="1"/>
  <c r="BL6270" i="1"/>
  <c r="BW6270" i="1"/>
  <c r="CH6270" i="1"/>
  <c r="CS6270" i="1"/>
  <c r="K6271" i="1"/>
  <c r="P6271" i="1"/>
  <c r="R6271" i="1"/>
  <c r="BL6271" i="1"/>
  <c r="BW6271" i="1"/>
  <c r="CH6271" i="1"/>
  <c r="CS6271" i="1"/>
  <c r="K6272" i="1"/>
  <c r="P6272" i="1"/>
  <c r="R6272" i="1"/>
  <c r="BL6272" i="1"/>
  <c r="BW6272" i="1"/>
  <c r="CH6272" i="1"/>
  <c r="CS6272" i="1"/>
  <c r="K6273" i="1"/>
  <c r="P6273" i="1"/>
  <c r="R6273" i="1"/>
  <c r="BL6273" i="1"/>
  <c r="BW6273" i="1"/>
  <c r="CH6273" i="1"/>
  <c r="CS6273" i="1"/>
  <c r="K6274" i="1"/>
  <c r="P6274" i="1"/>
  <c r="R6274" i="1"/>
  <c r="BL6274" i="1"/>
  <c r="BW6274" i="1"/>
  <c r="CH6274" i="1"/>
  <c r="CS6274" i="1"/>
  <c r="K6275" i="1"/>
  <c r="P6275" i="1"/>
  <c r="R6275" i="1"/>
  <c r="BL6275" i="1"/>
  <c r="BW6275" i="1"/>
  <c r="CH6275" i="1"/>
  <c r="CS6275" i="1"/>
  <c r="K6276" i="1"/>
  <c r="P6276" i="1"/>
  <c r="R6276" i="1"/>
  <c r="BL6276" i="1"/>
  <c r="BW6276" i="1"/>
  <c r="CH6276" i="1"/>
  <c r="CS6276" i="1"/>
  <c r="K6277" i="1"/>
  <c r="P6277" i="1"/>
  <c r="R6277" i="1"/>
  <c r="BL6277" i="1"/>
  <c r="BW6277" i="1"/>
  <c r="CH6277" i="1"/>
  <c r="CS6277" i="1"/>
  <c r="K6278" i="1"/>
  <c r="P6278" i="1"/>
  <c r="R6278" i="1"/>
  <c r="BL6278" i="1"/>
  <c r="BW6278" i="1"/>
  <c r="CH6278" i="1"/>
  <c r="CS6278" i="1"/>
  <c r="K6279" i="1"/>
  <c r="P6279" i="1"/>
  <c r="R6279" i="1"/>
  <c r="BL6279" i="1"/>
  <c r="BW6279" i="1"/>
  <c r="CH6279" i="1"/>
  <c r="CS6279" i="1"/>
  <c r="K6280" i="1"/>
  <c r="P6280" i="1"/>
  <c r="R6280" i="1"/>
  <c r="BL6280" i="1"/>
  <c r="BW6280" i="1"/>
  <c r="CH6280" i="1"/>
  <c r="CS6280" i="1"/>
  <c r="K6281" i="1"/>
  <c r="P6281" i="1"/>
  <c r="R6281" i="1"/>
  <c r="BL6281" i="1"/>
  <c r="BW6281" i="1"/>
  <c r="CH6281" i="1"/>
  <c r="CS6281" i="1"/>
  <c r="K6282" i="1"/>
  <c r="P6282" i="1"/>
  <c r="R6282" i="1"/>
  <c r="BL6282" i="1"/>
  <c r="BW6282" i="1"/>
  <c r="CH6282" i="1"/>
  <c r="CS6282" i="1"/>
  <c r="K6283" i="1"/>
  <c r="P6283" i="1"/>
  <c r="R6283" i="1"/>
  <c r="BL6283" i="1"/>
  <c r="BW6283" i="1"/>
  <c r="CH6283" i="1"/>
  <c r="CS6283" i="1"/>
  <c r="K6284" i="1"/>
  <c r="P6284" i="1"/>
  <c r="R6284" i="1"/>
  <c r="BL6284" i="1"/>
  <c r="BW6284" i="1"/>
  <c r="CH6284" i="1"/>
  <c r="CS6284" i="1"/>
  <c r="K6285" i="1"/>
  <c r="P6285" i="1"/>
  <c r="R6285" i="1"/>
  <c r="BL6285" i="1"/>
  <c r="BW6285" i="1"/>
  <c r="CH6285" i="1"/>
  <c r="CS6285" i="1"/>
  <c r="K6286" i="1"/>
  <c r="P6286" i="1"/>
  <c r="R6286" i="1"/>
  <c r="BL6286" i="1"/>
  <c r="BW6286" i="1"/>
  <c r="CH6286" i="1"/>
  <c r="CS6286" i="1"/>
  <c r="K6287" i="1"/>
  <c r="P6287" i="1"/>
  <c r="R6287" i="1"/>
  <c r="BL6287" i="1"/>
  <c r="BW6287" i="1"/>
  <c r="CH6287" i="1"/>
  <c r="CS6287" i="1"/>
  <c r="K6288" i="1"/>
  <c r="P6288" i="1"/>
  <c r="R6288" i="1"/>
  <c r="BL6288" i="1"/>
  <c r="BW6288" i="1"/>
  <c r="CH6288" i="1"/>
  <c r="CS6288" i="1"/>
  <c r="K6289" i="1"/>
  <c r="P6289" i="1"/>
  <c r="R6289" i="1"/>
  <c r="BL6289" i="1"/>
  <c r="BW6289" i="1"/>
  <c r="CH6289" i="1"/>
  <c r="CS6289" i="1"/>
  <c r="K6290" i="1"/>
  <c r="P6290" i="1"/>
  <c r="R6290" i="1"/>
  <c r="BL6290" i="1"/>
  <c r="BW6290" i="1"/>
  <c r="CH6290" i="1"/>
  <c r="CS6290" i="1"/>
  <c r="K6291" i="1"/>
  <c r="P6291" i="1"/>
  <c r="R6291" i="1"/>
  <c r="BL6291" i="1"/>
  <c r="BW6291" i="1"/>
  <c r="CH6291" i="1"/>
  <c r="CS6291" i="1"/>
  <c r="K6292" i="1"/>
  <c r="P6292" i="1"/>
  <c r="R6292" i="1"/>
  <c r="BL6292" i="1"/>
  <c r="BW6292" i="1"/>
  <c r="CH6292" i="1"/>
  <c r="CS6292" i="1"/>
  <c r="K6293" i="1"/>
  <c r="P6293" i="1"/>
  <c r="R6293" i="1"/>
  <c r="BL6293" i="1"/>
  <c r="BW6293" i="1"/>
  <c r="CH6293" i="1"/>
  <c r="CS6293" i="1"/>
  <c r="K6294" i="1"/>
  <c r="P6294" i="1"/>
  <c r="R6294" i="1"/>
  <c r="BL6294" i="1"/>
  <c r="BW6294" i="1"/>
  <c r="CH6294" i="1"/>
  <c r="CS6294" i="1"/>
  <c r="K6295" i="1"/>
  <c r="P6295" i="1"/>
  <c r="R6295" i="1"/>
  <c r="BL6295" i="1"/>
  <c r="BW6295" i="1"/>
  <c r="CH6295" i="1"/>
  <c r="CS6295" i="1"/>
  <c r="K6296" i="1"/>
  <c r="P6296" i="1"/>
  <c r="R6296" i="1"/>
  <c r="BL6296" i="1"/>
  <c r="BW6296" i="1"/>
  <c r="CH6296" i="1"/>
  <c r="CS6296" i="1"/>
  <c r="K6297" i="1"/>
  <c r="P6297" i="1"/>
  <c r="R6297" i="1"/>
  <c r="BL6297" i="1"/>
  <c r="BW6297" i="1"/>
  <c r="CH6297" i="1"/>
  <c r="CS6297" i="1"/>
  <c r="K6298" i="1"/>
  <c r="P6298" i="1"/>
  <c r="R6298" i="1"/>
  <c r="BL6298" i="1"/>
  <c r="BW6298" i="1"/>
  <c r="CH6298" i="1"/>
  <c r="CS6298" i="1"/>
  <c r="K6299" i="1"/>
  <c r="P6299" i="1"/>
  <c r="R6299" i="1"/>
  <c r="BL6299" i="1"/>
  <c r="BW6299" i="1"/>
  <c r="CH6299" i="1"/>
  <c r="CS6299" i="1"/>
  <c r="K6300" i="1"/>
  <c r="P6300" i="1"/>
  <c r="R6300" i="1"/>
  <c r="BL6300" i="1"/>
  <c r="BW6300" i="1"/>
  <c r="CH6300" i="1"/>
  <c r="CS6300" i="1"/>
  <c r="K6301" i="1"/>
  <c r="P6301" i="1"/>
  <c r="R6301" i="1"/>
  <c r="BL6301" i="1"/>
  <c r="BW6301" i="1"/>
  <c r="CH6301" i="1"/>
  <c r="CS6301" i="1"/>
  <c r="K6302" i="1"/>
  <c r="P6302" i="1"/>
  <c r="R6302" i="1"/>
  <c r="BL6302" i="1"/>
  <c r="BW6302" i="1"/>
  <c r="CH6302" i="1"/>
  <c r="CS6302" i="1"/>
  <c r="K6303" i="1"/>
  <c r="P6303" i="1"/>
  <c r="R6303" i="1"/>
  <c r="BL6303" i="1"/>
  <c r="BW6303" i="1"/>
  <c r="CH6303" i="1"/>
  <c r="CS6303" i="1"/>
  <c r="K6304" i="1"/>
  <c r="P6304" i="1"/>
  <c r="R6304" i="1"/>
  <c r="BL6304" i="1"/>
  <c r="BW6304" i="1"/>
  <c r="CH6304" i="1"/>
  <c r="CS6304" i="1"/>
  <c r="K6305" i="1"/>
  <c r="P6305" i="1"/>
  <c r="R6305" i="1"/>
  <c r="BL6305" i="1"/>
  <c r="BW6305" i="1"/>
  <c r="CH6305" i="1"/>
  <c r="CS6305" i="1"/>
  <c r="K6306" i="1"/>
  <c r="P6306" i="1"/>
  <c r="R6306" i="1"/>
  <c r="BL6306" i="1"/>
  <c r="BW6306" i="1"/>
  <c r="CH6306" i="1"/>
  <c r="CS6306" i="1"/>
  <c r="K6307" i="1"/>
  <c r="P6307" i="1"/>
  <c r="R6307" i="1"/>
  <c r="BL6307" i="1"/>
  <c r="BW6307" i="1"/>
  <c r="CH6307" i="1"/>
  <c r="CS6307" i="1"/>
  <c r="K6308" i="1"/>
  <c r="P6308" i="1"/>
  <c r="R6308" i="1"/>
  <c r="BL6308" i="1"/>
  <c r="BW6308" i="1"/>
  <c r="CH6308" i="1"/>
  <c r="CS6308" i="1"/>
  <c r="K6309" i="1"/>
  <c r="P6309" i="1"/>
  <c r="R6309" i="1"/>
  <c r="BL6309" i="1"/>
  <c r="BW6309" i="1"/>
  <c r="CH6309" i="1"/>
  <c r="CS6309" i="1"/>
  <c r="K6310" i="1"/>
  <c r="P6310" i="1"/>
  <c r="R6310" i="1"/>
  <c r="BL6310" i="1"/>
  <c r="BW6310" i="1"/>
  <c r="CH6310" i="1"/>
  <c r="CS6310" i="1"/>
  <c r="K6311" i="1"/>
  <c r="P6311" i="1"/>
  <c r="R6311" i="1"/>
  <c r="BL6311" i="1"/>
  <c r="BW6311" i="1"/>
  <c r="CH6311" i="1"/>
  <c r="CS6311" i="1"/>
  <c r="K6312" i="1"/>
  <c r="P6312" i="1"/>
  <c r="R6312" i="1"/>
  <c r="BL6312" i="1"/>
  <c r="BW6312" i="1"/>
  <c r="CH6312" i="1"/>
  <c r="CS6312" i="1"/>
  <c r="K6313" i="1"/>
  <c r="P6313" i="1"/>
  <c r="R6313" i="1"/>
  <c r="BL6313" i="1"/>
  <c r="BW6313" i="1"/>
  <c r="CH6313" i="1"/>
  <c r="CS6313" i="1"/>
  <c r="K6314" i="1"/>
  <c r="P6314" i="1"/>
  <c r="R6314" i="1"/>
  <c r="BL6314" i="1"/>
  <c r="BW6314" i="1"/>
  <c r="CH6314" i="1"/>
  <c r="CS6314" i="1"/>
  <c r="K6315" i="1"/>
  <c r="P6315" i="1"/>
  <c r="R6315" i="1"/>
  <c r="BL6315" i="1"/>
  <c r="BW6315" i="1"/>
  <c r="CH6315" i="1"/>
  <c r="CS6315" i="1"/>
  <c r="K6316" i="1"/>
  <c r="P6316" i="1"/>
  <c r="R6316" i="1"/>
  <c r="BL6316" i="1"/>
  <c r="BW6316" i="1"/>
  <c r="CH6316" i="1"/>
  <c r="CS6316" i="1"/>
  <c r="K6317" i="1"/>
  <c r="P6317" i="1"/>
  <c r="R6317" i="1"/>
  <c r="BL6317" i="1"/>
  <c r="BW6317" i="1"/>
  <c r="CH6317" i="1"/>
  <c r="CS6317" i="1"/>
  <c r="K6318" i="1"/>
  <c r="P6318" i="1"/>
  <c r="R6318" i="1"/>
  <c r="BL6318" i="1"/>
  <c r="BW6318" i="1"/>
  <c r="CH6318" i="1"/>
  <c r="CS6318" i="1"/>
  <c r="K6319" i="1"/>
  <c r="P6319" i="1"/>
  <c r="R6319" i="1"/>
  <c r="BL6319" i="1"/>
  <c r="BW6319" i="1"/>
  <c r="CH6319" i="1"/>
  <c r="CS6319" i="1"/>
  <c r="K6320" i="1"/>
  <c r="P6320" i="1"/>
  <c r="R6320" i="1"/>
  <c r="BL6320" i="1"/>
  <c r="BW6320" i="1"/>
  <c r="CH6320" i="1"/>
  <c r="CS6320" i="1"/>
  <c r="K6321" i="1"/>
  <c r="P6321" i="1"/>
  <c r="R6321" i="1"/>
  <c r="BL6321" i="1"/>
  <c r="BW6321" i="1"/>
  <c r="CH6321" i="1"/>
  <c r="CS6321" i="1"/>
  <c r="K6322" i="1"/>
  <c r="P6322" i="1"/>
  <c r="R6322" i="1"/>
  <c r="BL6322" i="1"/>
  <c r="BW6322" i="1"/>
  <c r="CH6322" i="1"/>
  <c r="CS6322" i="1"/>
  <c r="K6323" i="1"/>
  <c r="P6323" i="1"/>
  <c r="R6323" i="1"/>
  <c r="BL6323" i="1"/>
  <c r="BW6323" i="1"/>
  <c r="CH6323" i="1"/>
  <c r="CS6323" i="1"/>
  <c r="K6324" i="1"/>
  <c r="P6324" i="1"/>
  <c r="R6324" i="1"/>
  <c r="BL6324" i="1"/>
  <c r="BW6324" i="1"/>
  <c r="CH6324" i="1"/>
  <c r="CS6324" i="1"/>
  <c r="K6325" i="1"/>
  <c r="P6325" i="1"/>
  <c r="R6325" i="1"/>
  <c r="BL6325" i="1"/>
  <c r="BW6325" i="1"/>
  <c r="CH6325" i="1"/>
  <c r="CS6325" i="1"/>
  <c r="K6326" i="1"/>
  <c r="P6326" i="1"/>
  <c r="R6326" i="1"/>
  <c r="BL6326" i="1"/>
  <c r="BW6326" i="1"/>
  <c r="CH6326" i="1"/>
  <c r="CS6326" i="1"/>
  <c r="K6327" i="1"/>
  <c r="P6327" i="1"/>
  <c r="R6327" i="1"/>
  <c r="BL6327" i="1"/>
  <c r="BW6327" i="1"/>
  <c r="CH6327" i="1"/>
  <c r="CS6327" i="1"/>
  <c r="K6328" i="1"/>
  <c r="P6328" i="1"/>
  <c r="R6328" i="1"/>
  <c r="BL6328" i="1"/>
  <c r="BW6328" i="1"/>
  <c r="CH6328" i="1"/>
  <c r="CS6328" i="1"/>
  <c r="K6329" i="1"/>
  <c r="P6329" i="1"/>
  <c r="R6329" i="1"/>
  <c r="BL6329" i="1"/>
  <c r="BW6329" i="1"/>
  <c r="CH6329" i="1"/>
  <c r="CS6329" i="1"/>
  <c r="K6330" i="1"/>
  <c r="P6330" i="1"/>
  <c r="R6330" i="1"/>
  <c r="BL6330" i="1"/>
  <c r="BW6330" i="1"/>
  <c r="CH6330" i="1"/>
  <c r="CS6330" i="1"/>
  <c r="K6331" i="1"/>
  <c r="P6331" i="1"/>
  <c r="R6331" i="1"/>
  <c r="BL6331" i="1"/>
  <c r="BW6331" i="1"/>
  <c r="CH6331" i="1"/>
  <c r="CS6331" i="1"/>
  <c r="K6332" i="1"/>
  <c r="P6332" i="1"/>
  <c r="R6332" i="1"/>
  <c r="BL6332" i="1"/>
  <c r="BW6332" i="1"/>
  <c r="CH6332" i="1"/>
  <c r="CS6332" i="1"/>
  <c r="K6333" i="1"/>
  <c r="P6333" i="1"/>
  <c r="R6333" i="1"/>
  <c r="BL6333" i="1"/>
  <c r="BW6333" i="1"/>
  <c r="CH6333" i="1"/>
  <c r="CS6333" i="1"/>
  <c r="K6334" i="1"/>
  <c r="P6334" i="1"/>
  <c r="R6334" i="1"/>
  <c r="BL6334" i="1"/>
  <c r="BW6334" i="1"/>
  <c r="CH6334" i="1"/>
  <c r="CS6334" i="1"/>
  <c r="K6335" i="1"/>
  <c r="P6335" i="1"/>
  <c r="R6335" i="1"/>
  <c r="BL6335" i="1"/>
  <c r="BW6335" i="1"/>
  <c r="CH6335" i="1"/>
  <c r="CS6335" i="1"/>
  <c r="K6336" i="1"/>
  <c r="P6336" i="1"/>
  <c r="R6336" i="1"/>
  <c r="BL6336" i="1"/>
  <c r="BW6336" i="1"/>
  <c r="CH6336" i="1"/>
  <c r="CS6336" i="1"/>
  <c r="K6337" i="1"/>
  <c r="P6337" i="1"/>
  <c r="R6337" i="1"/>
  <c r="BL6337" i="1"/>
  <c r="BW6337" i="1"/>
  <c r="CH6337" i="1"/>
  <c r="CS6337" i="1"/>
  <c r="K6338" i="1"/>
  <c r="P6338" i="1"/>
  <c r="R6338" i="1"/>
  <c r="BL6338" i="1"/>
  <c r="BW6338" i="1"/>
  <c r="CH6338" i="1"/>
  <c r="CS6338" i="1"/>
  <c r="K6339" i="1"/>
  <c r="P6339" i="1"/>
  <c r="R6339" i="1"/>
  <c r="BL6339" i="1"/>
  <c r="BW6339" i="1"/>
  <c r="CH6339" i="1"/>
  <c r="CS6339" i="1"/>
  <c r="K6340" i="1"/>
  <c r="P6340" i="1"/>
  <c r="R6340" i="1"/>
  <c r="BL6340" i="1"/>
  <c r="BW6340" i="1"/>
  <c r="CH6340" i="1"/>
  <c r="CS6340" i="1"/>
  <c r="K6341" i="1"/>
  <c r="P6341" i="1"/>
  <c r="R6341" i="1"/>
  <c r="BL6341" i="1"/>
  <c r="BW6341" i="1"/>
  <c r="CH6341" i="1"/>
  <c r="CS6341" i="1"/>
  <c r="K6342" i="1"/>
  <c r="P6342" i="1"/>
  <c r="R6342" i="1"/>
  <c r="BL6342" i="1"/>
  <c r="BW6342" i="1"/>
  <c r="CH6342" i="1"/>
  <c r="CS6342" i="1"/>
  <c r="K6343" i="1"/>
  <c r="P6343" i="1"/>
  <c r="R6343" i="1"/>
  <c r="BL6343" i="1"/>
  <c r="BW6343" i="1"/>
  <c r="CH6343" i="1"/>
  <c r="CS6343" i="1"/>
  <c r="K6344" i="1"/>
  <c r="P6344" i="1"/>
  <c r="R6344" i="1"/>
  <c r="BL6344" i="1"/>
  <c r="BW6344" i="1"/>
  <c r="CH6344" i="1"/>
  <c r="CS6344" i="1"/>
  <c r="K6345" i="1"/>
  <c r="P6345" i="1"/>
  <c r="R6345" i="1"/>
  <c r="BL6345" i="1"/>
  <c r="BW6345" i="1"/>
  <c r="CH6345" i="1"/>
  <c r="CS6345" i="1"/>
  <c r="K6346" i="1"/>
  <c r="P6346" i="1"/>
  <c r="R6346" i="1"/>
  <c r="BL6346" i="1"/>
  <c r="BW6346" i="1"/>
  <c r="CH6346" i="1"/>
  <c r="CS6346" i="1"/>
  <c r="K6347" i="1"/>
  <c r="P6347" i="1"/>
  <c r="R6347" i="1"/>
  <c r="BL6347" i="1"/>
  <c r="BW6347" i="1"/>
  <c r="CH6347" i="1"/>
  <c r="CS6347" i="1"/>
  <c r="K6348" i="1"/>
  <c r="P6348" i="1"/>
  <c r="R6348" i="1"/>
  <c r="BL6348" i="1"/>
  <c r="BW6348" i="1"/>
  <c r="CH6348" i="1"/>
  <c r="CS6348" i="1"/>
  <c r="K6349" i="1"/>
  <c r="P6349" i="1"/>
  <c r="R6349" i="1"/>
  <c r="BL6349" i="1"/>
  <c r="BW6349" i="1"/>
  <c r="CH6349" i="1"/>
  <c r="CS6349" i="1"/>
  <c r="K6350" i="1"/>
  <c r="P6350" i="1"/>
  <c r="R6350" i="1"/>
  <c r="BL6350" i="1"/>
  <c r="BW6350" i="1"/>
  <c r="CH6350" i="1"/>
  <c r="CS6350" i="1"/>
  <c r="K6351" i="1"/>
  <c r="P6351" i="1"/>
  <c r="R6351" i="1"/>
  <c r="BL6351" i="1"/>
  <c r="BW6351" i="1"/>
  <c r="CH6351" i="1"/>
  <c r="CS6351" i="1"/>
  <c r="K6352" i="1"/>
  <c r="P6352" i="1"/>
  <c r="R6352" i="1"/>
  <c r="BL6352" i="1"/>
  <c r="BW6352" i="1"/>
  <c r="CH6352" i="1"/>
  <c r="CS6352" i="1"/>
  <c r="K6353" i="1"/>
  <c r="P6353" i="1"/>
  <c r="R6353" i="1"/>
  <c r="BL6353" i="1"/>
  <c r="BW6353" i="1"/>
  <c r="CH6353" i="1"/>
  <c r="CS6353" i="1"/>
  <c r="K6354" i="1"/>
  <c r="P6354" i="1"/>
  <c r="R6354" i="1"/>
  <c r="BL6354" i="1"/>
  <c r="BW6354" i="1"/>
  <c r="CH6354" i="1"/>
  <c r="CS6354" i="1"/>
  <c r="K6355" i="1"/>
  <c r="P6355" i="1"/>
  <c r="R6355" i="1"/>
  <c r="BL6355" i="1"/>
  <c r="BW6355" i="1"/>
  <c r="CH6355" i="1"/>
  <c r="CS6355" i="1"/>
  <c r="K6356" i="1"/>
  <c r="P6356" i="1"/>
  <c r="R6356" i="1"/>
  <c r="BL6356" i="1"/>
  <c r="BW6356" i="1"/>
  <c r="CH6356" i="1"/>
  <c r="CS6356" i="1"/>
  <c r="K6357" i="1"/>
  <c r="P6357" i="1"/>
  <c r="R6357" i="1"/>
  <c r="BL6357" i="1"/>
  <c r="BW6357" i="1"/>
  <c r="CH6357" i="1"/>
  <c r="CS6357" i="1"/>
  <c r="K6358" i="1"/>
  <c r="P6358" i="1"/>
  <c r="R6358" i="1"/>
  <c r="BL6358" i="1"/>
  <c r="BW6358" i="1"/>
  <c r="CH6358" i="1"/>
  <c r="CS6358" i="1"/>
  <c r="K6359" i="1"/>
  <c r="P6359" i="1"/>
  <c r="R6359" i="1"/>
  <c r="BL6359" i="1"/>
  <c r="BW6359" i="1"/>
  <c r="CH6359" i="1"/>
  <c r="CS6359" i="1"/>
  <c r="K6360" i="1"/>
  <c r="P6360" i="1"/>
  <c r="R6360" i="1"/>
  <c r="BL6360" i="1"/>
  <c r="BW6360" i="1"/>
  <c r="CH6360" i="1"/>
  <c r="CS6360" i="1"/>
  <c r="K6361" i="1"/>
  <c r="P6361" i="1"/>
  <c r="R6361" i="1"/>
  <c r="BL6361" i="1"/>
  <c r="BW6361" i="1"/>
  <c r="CH6361" i="1"/>
  <c r="CS6361" i="1"/>
  <c r="K6362" i="1"/>
  <c r="P6362" i="1"/>
  <c r="R6362" i="1"/>
  <c r="BL6362" i="1"/>
  <c r="BW6362" i="1"/>
  <c r="CH6362" i="1"/>
  <c r="CS6362" i="1"/>
  <c r="K6363" i="1"/>
  <c r="P6363" i="1"/>
  <c r="R6363" i="1"/>
  <c r="BL6363" i="1"/>
  <c r="BW6363" i="1"/>
  <c r="CH6363" i="1"/>
  <c r="CS6363" i="1"/>
  <c r="K6364" i="1"/>
  <c r="P6364" i="1"/>
  <c r="R6364" i="1"/>
  <c r="BL6364" i="1"/>
  <c r="BW6364" i="1"/>
  <c r="CH6364" i="1"/>
  <c r="CS6364" i="1"/>
  <c r="K6365" i="1"/>
  <c r="P6365" i="1"/>
  <c r="R6365" i="1"/>
  <c r="BL6365" i="1"/>
  <c r="BW6365" i="1"/>
  <c r="CH6365" i="1"/>
  <c r="CS6365" i="1"/>
  <c r="K6366" i="1"/>
  <c r="P6366" i="1"/>
  <c r="R6366" i="1"/>
  <c r="BL6366" i="1"/>
  <c r="BW6366" i="1"/>
  <c r="CH6366" i="1"/>
  <c r="CS6366" i="1"/>
  <c r="K6367" i="1"/>
  <c r="P6367" i="1"/>
  <c r="R6367" i="1"/>
  <c r="BL6367" i="1"/>
  <c r="BW6367" i="1"/>
  <c r="CH6367" i="1"/>
  <c r="CS6367" i="1"/>
  <c r="K6368" i="1"/>
  <c r="P6368" i="1"/>
  <c r="R6368" i="1"/>
  <c r="BL6368" i="1"/>
  <c r="BW6368" i="1"/>
  <c r="CH6368" i="1"/>
  <c r="CS6368" i="1"/>
  <c r="K6369" i="1"/>
  <c r="P6369" i="1"/>
  <c r="R6369" i="1"/>
  <c r="BL6369" i="1"/>
  <c r="BW6369" i="1"/>
  <c r="CH6369" i="1"/>
  <c r="CS6369" i="1"/>
  <c r="K6370" i="1"/>
  <c r="P6370" i="1"/>
  <c r="R6370" i="1"/>
  <c r="BL6370" i="1"/>
  <c r="BW6370" i="1"/>
  <c r="CH6370" i="1"/>
  <c r="CS6370" i="1"/>
  <c r="K6371" i="1"/>
  <c r="P6371" i="1"/>
  <c r="R6371" i="1"/>
  <c r="BL6371" i="1"/>
  <c r="BW6371" i="1"/>
  <c r="CH6371" i="1"/>
  <c r="CS6371" i="1"/>
  <c r="K6372" i="1"/>
  <c r="P6372" i="1"/>
  <c r="R6372" i="1"/>
  <c r="BL6372" i="1"/>
  <c r="BW6372" i="1"/>
  <c r="CH6372" i="1"/>
  <c r="CS6372" i="1"/>
  <c r="K6373" i="1"/>
  <c r="P6373" i="1"/>
  <c r="R6373" i="1"/>
  <c r="BL6373" i="1"/>
  <c r="BW6373" i="1"/>
  <c r="CH6373" i="1"/>
  <c r="CS6373" i="1"/>
  <c r="K6374" i="1"/>
  <c r="P6374" i="1"/>
  <c r="R6374" i="1"/>
  <c r="BL6374" i="1"/>
  <c r="BW6374" i="1"/>
  <c r="CH6374" i="1"/>
  <c r="CS6374" i="1"/>
  <c r="K6375" i="1"/>
  <c r="P6375" i="1"/>
  <c r="R6375" i="1"/>
  <c r="BL6375" i="1"/>
  <c r="BW6375" i="1"/>
  <c r="CH6375" i="1"/>
  <c r="CS6375" i="1"/>
  <c r="K6376" i="1"/>
  <c r="P6376" i="1"/>
  <c r="R6376" i="1"/>
  <c r="BL6376" i="1"/>
  <c r="BW6376" i="1"/>
  <c r="CH6376" i="1"/>
  <c r="CS6376" i="1"/>
  <c r="K6377" i="1"/>
  <c r="P6377" i="1"/>
  <c r="R6377" i="1"/>
  <c r="BL6377" i="1"/>
  <c r="BW6377" i="1"/>
  <c r="CH6377" i="1"/>
  <c r="CS6377" i="1"/>
  <c r="K6378" i="1"/>
  <c r="P6378" i="1"/>
  <c r="R6378" i="1"/>
  <c r="BL6378" i="1"/>
  <c r="BW6378" i="1"/>
  <c r="CH6378" i="1"/>
  <c r="CS6378" i="1"/>
  <c r="K6379" i="1"/>
  <c r="P6379" i="1"/>
  <c r="R6379" i="1"/>
  <c r="BL6379" i="1"/>
  <c r="BW6379" i="1"/>
  <c r="CH6379" i="1"/>
  <c r="CS6379" i="1"/>
  <c r="K6380" i="1"/>
  <c r="P6380" i="1"/>
  <c r="R6380" i="1"/>
  <c r="BL6380" i="1"/>
  <c r="BW6380" i="1"/>
  <c r="CH6380" i="1"/>
  <c r="CS6380" i="1"/>
  <c r="K6381" i="1"/>
  <c r="P6381" i="1"/>
  <c r="R6381" i="1"/>
  <c r="BL6381" i="1"/>
  <c r="BW6381" i="1"/>
  <c r="CH6381" i="1"/>
  <c r="CS6381" i="1"/>
  <c r="K6382" i="1"/>
  <c r="P6382" i="1"/>
  <c r="R6382" i="1"/>
  <c r="BL6382" i="1"/>
  <c r="BW6382" i="1"/>
  <c r="CH6382" i="1"/>
  <c r="CS6382" i="1"/>
  <c r="K6383" i="1"/>
  <c r="P6383" i="1"/>
  <c r="R6383" i="1"/>
  <c r="BL6383" i="1"/>
  <c r="BW6383" i="1"/>
  <c r="CH6383" i="1"/>
  <c r="CS6383" i="1"/>
  <c r="K6384" i="1"/>
  <c r="P6384" i="1"/>
  <c r="R6384" i="1"/>
  <c r="BL6384" i="1"/>
  <c r="BW6384" i="1"/>
  <c r="CH6384" i="1"/>
  <c r="CS6384" i="1"/>
  <c r="K6385" i="1"/>
  <c r="P6385" i="1"/>
  <c r="R6385" i="1"/>
  <c r="BL6385" i="1"/>
  <c r="BQ6385" i="1"/>
  <c r="BW6385" i="1"/>
  <c r="CH6385" i="1"/>
  <c r="CS6385" i="1"/>
  <c r="K6386" i="1"/>
  <c r="P6386" i="1"/>
  <c r="R6386" i="1"/>
  <c r="BL6386" i="1"/>
  <c r="BW6386" i="1"/>
  <c r="CH6386" i="1"/>
  <c r="CS6386" i="1"/>
  <c r="K6387" i="1"/>
  <c r="P6387" i="1"/>
  <c r="R6387" i="1"/>
  <c r="BL6387" i="1"/>
  <c r="BW6387" i="1"/>
  <c r="CH6387" i="1"/>
  <c r="CS6387" i="1"/>
  <c r="K6388" i="1"/>
  <c r="P6388" i="1"/>
  <c r="R6388" i="1"/>
  <c r="BL6388" i="1"/>
  <c r="BW6388" i="1"/>
  <c r="CH6388" i="1"/>
  <c r="CS6388" i="1"/>
  <c r="K6389" i="1"/>
  <c r="P6389" i="1"/>
  <c r="R6389" i="1"/>
  <c r="BL6389" i="1"/>
  <c r="BW6389" i="1"/>
  <c r="CH6389" i="1"/>
  <c r="CS6389" i="1"/>
  <c r="K6390" i="1"/>
  <c r="P6390" i="1"/>
  <c r="R6390" i="1"/>
  <c r="BL6390" i="1"/>
  <c r="BW6390" i="1"/>
  <c r="CH6390" i="1"/>
  <c r="CS6390" i="1"/>
  <c r="K6391" i="1"/>
  <c r="P6391" i="1"/>
  <c r="R6391" i="1"/>
  <c r="BL6391" i="1"/>
  <c r="BW6391" i="1"/>
  <c r="CH6391" i="1"/>
  <c r="CS6391" i="1"/>
  <c r="K6392" i="1"/>
  <c r="P6392" i="1"/>
  <c r="R6392" i="1"/>
  <c r="BL6392" i="1"/>
  <c r="BW6392" i="1"/>
  <c r="CH6392" i="1"/>
  <c r="CS6392" i="1"/>
  <c r="K6393" i="1"/>
  <c r="P6393" i="1"/>
  <c r="R6393" i="1"/>
  <c r="BL6393" i="1"/>
  <c r="BW6393" i="1"/>
  <c r="CH6393" i="1"/>
  <c r="CS6393" i="1"/>
  <c r="K6394" i="1"/>
  <c r="P6394" i="1"/>
  <c r="R6394" i="1"/>
  <c r="BL6394" i="1"/>
  <c r="BW6394" i="1"/>
  <c r="CH6394" i="1"/>
  <c r="CS6394" i="1"/>
  <c r="K6395" i="1"/>
  <c r="P6395" i="1"/>
  <c r="R6395" i="1"/>
  <c r="BL6395" i="1"/>
  <c r="BW6395" i="1"/>
  <c r="CH6395" i="1"/>
  <c r="CS6395" i="1"/>
  <c r="K6396" i="1"/>
  <c r="P6396" i="1"/>
  <c r="R6396" i="1"/>
  <c r="BL6396" i="1"/>
  <c r="BW6396" i="1"/>
  <c r="CH6396" i="1"/>
  <c r="CS6396" i="1"/>
  <c r="K6397" i="1"/>
  <c r="P6397" i="1"/>
  <c r="R6397" i="1"/>
  <c r="BL6397" i="1"/>
  <c r="BW6397" i="1"/>
  <c r="CH6397" i="1"/>
  <c r="CS6397" i="1"/>
  <c r="K6398" i="1"/>
  <c r="P6398" i="1"/>
  <c r="R6398" i="1"/>
  <c r="BL6398" i="1"/>
  <c r="BW6398" i="1"/>
  <c r="CH6398" i="1"/>
  <c r="CS6398" i="1"/>
  <c r="K6399" i="1"/>
  <c r="P6399" i="1"/>
  <c r="R6399" i="1"/>
  <c r="BL6399" i="1"/>
  <c r="BW6399" i="1"/>
  <c r="CH6399" i="1"/>
  <c r="CS6399" i="1"/>
  <c r="K6400" i="1"/>
  <c r="P6400" i="1"/>
  <c r="R6400" i="1"/>
  <c r="BL6400" i="1"/>
  <c r="BW6400" i="1"/>
  <c r="CH6400" i="1"/>
  <c r="CS6400" i="1"/>
  <c r="K6401" i="1"/>
  <c r="P6401" i="1"/>
  <c r="R6401" i="1"/>
  <c r="BL6401" i="1"/>
  <c r="BW6401" i="1"/>
  <c r="CH6401" i="1"/>
  <c r="CS6401" i="1"/>
  <c r="K6402" i="1"/>
  <c r="P6402" i="1"/>
  <c r="R6402" i="1"/>
  <c r="BL6402" i="1"/>
  <c r="BW6402" i="1"/>
  <c r="CH6402" i="1"/>
  <c r="CS6402" i="1"/>
  <c r="K6403" i="1"/>
  <c r="P6403" i="1"/>
  <c r="R6403" i="1"/>
  <c r="BL6403" i="1"/>
  <c r="BW6403" i="1"/>
  <c r="CH6403" i="1"/>
  <c r="CS6403" i="1"/>
  <c r="K6404" i="1"/>
  <c r="P6404" i="1"/>
  <c r="R6404" i="1"/>
  <c r="BL6404" i="1"/>
  <c r="BW6404" i="1"/>
  <c r="CH6404" i="1"/>
  <c r="CS6404" i="1"/>
  <c r="K6405" i="1"/>
  <c r="P6405" i="1"/>
  <c r="R6405" i="1"/>
  <c r="BL6405" i="1"/>
  <c r="BW6405" i="1"/>
  <c r="CH6405" i="1"/>
  <c r="CS6405" i="1"/>
  <c r="K6406" i="1"/>
  <c r="P6406" i="1"/>
  <c r="R6406" i="1"/>
  <c r="BL6406" i="1"/>
  <c r="BW6406" i="1"/>
  <c r="CH6406" i="1"/>
  <c r="CS6406" i="1"/>
  <c r="K6407" i="1"/>
  <c r="P6407" i="1"/>
  <c r="R6407" i="1"/>
  <c r="BL6407" i="1"/>
  <c r="BW6407" i="1"/>
  <c r="CH6407" i="1"/>
  <c r="CS6407" i="1"/>
  <c r="K6408" i="1"/>
  <c r="P6408" i="1"/>
  <c r="R6408" i="1"/>
  <c r="BL6408" i="1"/>
  <c r="BW6408" i="1"/>
  <c r="CH6408" i="1"/>
  <c r="CS6408" i="1"/>
  <c r="K6409" i="1"/>
  <c r="P6409" i="1"/>
  <c r="R6409" i="1"/>
  <c r="BL6409" i="1"/>
  <c r="BW6409" i="1"/>
  <c r="CH6409" i="1"/>
  <c r="CS6409" i="1"/>
  <c r="K6410" i="1"/>
  <c r="P6410" i="1"/>
  <c r="R6410" i="1"/>
  <c r="BL6410" i="1"/>
  <c r="BW6410" i="1"/>
  <c r="CH6410" i="1"/>
  <c r="CS6410" i="1"/>
  <c r="K6411" i="1"/>
  <c r="P6411" i="1"/>
  <c r="R6411" i="1"/>
  <c r="BL6411" i="1"/>
  <c r="BW6411" i="1"/>
  <c r="CH6411" i="1"/>
  <c r="CS6411" i="1"/>
  <c r="K6412" i="1"/>
  <c r="P6412" i="1"/>
  <c r="R6412" i="1"/>
  <c r="BL6412" i="1"/>
  <c r="BW6412" i="1"/>
  <c r="CH6412" i="1"/>
  <c r="CS6412" i="1"/>
  <c r="K6413" i="1"/>
  <c r="P6413" i="1"/>
  <c r="R6413" i="1"/>
  <c r="BL6413" i="1"/>
  <c r="BW6413" i="1"/>
  <c r="CH6413" i="1"/>
  <c r="CS6413" i="1"/>
  <c r="K6414" i="1"/>
  <c r="P6414" i="1"/>
  <c r="R6414" i="1"/>
  <c r="BL6414" i="1"/>
  <c r="BW6414" i="1"/>
  <c r="CH6414" i="1"/>
  <c r="CS6414" i="1"/>
  <c r="K6415" i="1"/>
  <c r="P6415" i="1"/>
  <c r="R6415" i="1"/>
  <c r="BL6415" i="1"/>
  <c r="BW6415" i="1"/>
  <c r="CH6415" i="1"/>
  <c r="CS6415" i="1"/>
  <c r="K6416" i="1"/>
  <c r="P6416" i="1"/>
  <c r="R6416" i="1"/>
  <c r="BL6416" i="1"/>
  <c r="BW6416" i="1"/>
  <c r="CH6416" i="1"/>
  <c r="CS6416" i="1"/>
  <c r="K6417" i="1"/>
  <c r="P6417" i="1"/>
  <c r="R6417" i="1"/>
  <c r="BL6417" i="1"/>
  <c r="BW6417" i="1"/>
  <c r="CH6417" i="1"/>
  <c r="CS6417" i="1"/>
  <c r="K6418" i="1"/>
  <c r="P6418" i="1"/>
  <c r="R6418" i="1"/>
  <c r="BL6418" i="1"/>
  <c r="BW6418" i="1"/>
  <c r="CH6418" i="1"/>
  <c r="CS6418" i="1"/>
  <c r="K6419" i="1"/>
  <c r="P6419" i="1"/>
  <c r="R6419" i="1"/>
  <c r="BL6419" i="1"/>
  <c r="BW6419" i="1"/>
  <c r="CH6419" i="1"/>
  <c r="CS6419" i="1"/>
  <c r="K6420" i="1"/>
  <c r="P6420" i="1"/>
  <c r="R6420" i="1"/>
  <c r="BL6420" i="1"/>
  <c r="BW6420" i="1"/>
  <c r="CH6420" i="1"/>
  <c r="CS6420" i="1"/>
  <c r="K6421" i="1"/>
  <c r="P6421" i="1"/>
  <c r="R6421" i="1"/>
  <c r="BL6421" i="1"/>
  <c r="BW6421" i="1"/>
  <c r="CH6421" i="1"/>
  <c r="CS6421" i="1"/>
  <c r="K6422" i="1"/>
  <c r="P6422" i="1"/>
  <c r="R6422" i="1"/>
  <c r="BL6422" i="1"/>
  <c r="BW6422" i="1"/>
  <c r="CH6422" i="1"/>
  <c r="CS6422" i="1"/>
  <c r="K6423" i="1"/>
  <c r="P6423" i="1"/>
  <c r="R6423" i="1"/>
  <c r="BL6423" i="1"/>
  <c r="BW6423" i="1"/>
  <c r="CH6423" i="1"/>
  <c r="CS6423" i="1"/>
  <c r="K6424" i="1"/>
  <c r="P6424" i="1"/>
  <c r="R6424" i="1"/>
  <c r="BL6424" i="1"/>
  <c r="BW6424" i="1"/>
  <c r="CH6424" i="1"/>
  <c r="CS6424" i="1"/>
  <c r="K6425" i="1"/>
  <c r="P6425" i="1"/>
  <c r="R6425" i="1"/>
  <c r="BL6425" i="1"/>
  <c r="BW6425" i="1"/>
  <c r="CH6425" i="1"/>
  <c r="CS6425" i="1"/>
  <c r="K6426" i="1"/>
  <c r="P6426" i="1"/>
  <c r="R6426" i="1"/>
  <c r="BL6426" i="1"/>
  <c r="BW6426" i="1"/>
  <c r="CH6426" i="1"/>
  <c r="CS6426" i="1"/>
  <c r="K6427" i="1"/>
  <c r="P6427" i="1"/>
  <c r="R6427" i="1"/>
  <c r="BL6427" i="1"/>
  <c r="BW6427" i="1"/>
  <c r="CH6427" i="1"/>
  <c r="CS6427" i="1"/>
  <c r="K6428" i="1"/>
  <c r="P6428" i="1"/>
  <c r="R6428" i="1"/>
  <c r="BL6428" i="1"/>
  <c r="BW6428" i="1"/>
  <c r="CH6428" i="1"/>
  <c r="CS6428" i="1"/>
  <c r="K6429" i="1"/>
  <c r="P6429" i="1"/>
  <c r="R6429" i="1"/>
  <c r="BL6429" i="1"/>
  <c r="BW6429" i="1"/>
  <c r="CH6429" i="1"/>
  <c r="CS6429" i="1"/>
  <c r="K6430" i="1"/>
  <c r="P6430" i="1"/>
  <c r="R6430" i="1"/>
  <c r="BL6430" i="1"/>
  <c r="BW6430" i="1"/>
  <c r="CH6430" i="1"/>
  <c r="CS6430" i="1"/>
  <c r="K6431" i="1"/>
  <c r="P6431" i="1"/>
  <c r="R6431" i="1"/>
  <c r="BL6431" i="1"/>
  <c r="BW6431" i="1"/>
  <c r="CH6431" i="1"/>
  <c r="CS6431" i="1"/>
  <c r="K6432" i="1"/>
  <c r="P6432" i="1"/>
  <c r="R6432" i="1"/>
  <c r="BL6432" i="1"/>
  <c r="BW6432" i="1"/>
  <c r="CH6432" i="1"/>
  <c r="CS6432" i="1"/>
  <c r="K6433" i="1"/>
  <c r="P6433" i="1"/>
  <c r="R6433" i="1"/>
  <c r="BL6433" i="1"/>
  <c r="BW6433" i="1"/>
  <c r="CH6433" i="1"/>
  <c r="CS6433" i="1"/>
  <c r="K6434" i="1"/>
  <c r="P6434" i="1"/>
  <c r="R6434" i="1"/>
  <c r="BL6434" i="1"/>
  <c r="BW6434" i="1"/>
  <c r="CH6434" i="1"/>
  <c r="CS6434" i="1"/>
  <c r="K6435" i="1"/>
  <c r="P6435" i="1"/>
  <c r="R6435" i="1"/>
  <c r="BL6435" i="1"/>
  <c r="BW6435" i="1"/>
  <c r="CH6435" i="1"/>
  <c r="CS6435" i="1"/>
  <c r="K6436" i="1"/>
  <c r="P6436" i="1"/>
  <c r="R6436" i="1"/>
  <c r="BL6436" i="1"/>
  <c r="BW6436" i="1"/>
  <c r="CH6436" i="1"/>
  <c r="CS6436" i="1"/>
  <c r="K6437" i="1"/>
  <c r="P6437" i="1"/>
  <c r="R6437" i="1"/>
  <c r="BL6437" i="1"/>
  <c r="BW6437" i="1"/>
  <c r="CH6437" i="1"/>
  <c r="CS6437" i="1"/>
  <c r="K6438" i="1"/>
  <c r="P6438" i="1"/>
  <c r="R6438" i="1"/>
  <c r="BL6438" i="1"/>
  <c r="BW6438" i="1"/>
  <c r="CH6438" i="1"/>
  <c r="CS6438" i="1"/>
  <c r="K6439" i="1"/>
  <c r="P6439" i="1"/>
  <c r="R6439" i="1"/>
  <c r="BL6439" i="1"/>
  <c r="BW6439" i="1"/>
  <c r="CH6439" i="1"/>
  <c r="CS6439" i="1"/>
  <c r="K6440" i="1"/>
  <c r="P6440" i="1"/>
  <c r="R6440" i="1"/>
  <c r="BL6440" i="1"/>
  <c r="BW6440" i="1"/>
  <c r="CH6440" i="1"/>
  <c r="CS6440" i="1"/>
  <c r="K6441" i="1"/>
  <c r="P6441" i="1"/>
  <c r="R6441" i="1"/>
  <c r="BL6441" i="1"/>
  <c r="BW6441" i="1"/>
  <c r="CH6441" i="1"/>
  <c r="CS6441" i="1"/>
  <c r="K6442" i="1"/>
  <c r="P6442" i="1"/>
  <c r="R6442" i="1"/>
  <c r="BL6442" i="1"/>
  <c r="BW6442" i="1"/>
  <c r="CH6442" i="1"/>
  <c r="CS6442" i="1"/>
  <c r="K6443" i="1"/>
  <c r="P6443" i="1"/>
  <c r="R6443" i="1"/>
  <c r="BL6443" i="1"/>
  <c r="BW6443" i="1"/>
  <c r="CH6443" i="1"/>
  <c r="CS6443" i="1"/>
  <c r="K6444" i="1"/>
  <c r="P6444" i="1"/>
  <c r="R6444" i="1"/>
  <c r="BL6444" i="1"/>
  <c r="BW6444" i="1"/>
  <c r="CH6444" i="1"/>
  <c r="CS6444" i="1"/>
  <c r="K6445" i="1"/>
  <c r="P6445" i="1"/>
  <c r="R6445" i="1"/>
  <c r="BL6445" i="1"/>
  <c r="BW6445" i="1"/>
  <c r="CH6445" i="1"/>
  <c r="CS6445" i="1"/>
  <c r="K6446" i="1"/>
  <c r="P6446" i="1"/>
  <c r="R6446" i="1"/>
  <c r="BL6446" i="1"/>
  <c r="BW6446" i="1"/>
  <c r="CH6446" i="1"/>
  <c r="CS6446" i="1"/>
  <c r="K6447" i="1"/>
  <c r="P6447" i="1"/>
  <c r="R6447" i="1"/>
  <c r="BL6447" i="1"/>
  <c r="BW6447" i="1"/>
  <c r="CH6447" i="1"/>
  <c r="CS6447" i="1"/>
  <c r="K6448" i="1"/>
  <c r="P6448" i="1"/>
  <c r="R6448" i="1"/>
  <c r="BL6448" i="1"/>
  <c r="BW6448" i="1"/>
  <c r="CH6448" i="1"/>
  <c r="CS6448" i="1"/>
  <c r="K6449" i="1"/>
  <c r="P6449" i="1"/>
  <c r="R6449" i="1"/>
  <c r="BL6449" i="1"/>
  <c r="BW6449" i="1"/>
  <c r="CH6449" i="1"/>
  <c r="CS6449" i="1"/>
  <c r="K6450" i="1"/>
  <c r="P6450" i="1"/>
  <c r="R6450" i="1"/>
  <c r="BL6450" i="1"/>
  <c r="BW6450" i="1"/>
  <c r="CH6450" i="1"/>
  <c r="CS6450" i="1"/>
  <c r="K6451" i="1"/>
  <c r="P6451" i="1"/>
  <c r="R6451" i="1"/>
  <c r="BL6451" i="1"/>
  <c r="BW6451" i="1"/>
  <c r="CH6451" i="1"/>
  <c r="CS6451" i="1"/>
  <c r="K6452" i="1"/>
  <c r="P6452" i="1"/>
  <c r="R6452" i="1"/>
  <c r="BL6452" i="1"/>
  <c r="BW6452" i="1"/>
  <c r="CH6452" i="1"/>
  <c r="CS6452" i="1"/>
  <c r="K6453" i="1"/>
  <c r="P6453" i="1"/>
  <c r="R6453" i="1"/>
  <c r="BL6453" i="1"/>
  <c r="BW6453" i="1"/>
  <c r="CH6453" i="1"/>
  <c r="CS6453" i="1"/>
  <c r="K6454" i="1"/>
  <c r="P6454" i="1"/>
  <c r="R6454" i="1"/>
  <c r="BL6454" i="1"/>
  <c r="BW6454" i="1"/>
  <c r="CH6454" i="1"/>
  <c r="CS6454" i="1"/>
  <c r="K6455" i="1"/>
  <c r="P6455" i="1"/>
  <c r="R6455" i="1"/>
  <c r="BL6455" i="1"/>
  <c r="BW6455" i="1"/>
  <c r="CH6455" i="1"/>
  <c r="CS6455" i="1"/>
  <c r="K6456" i="1"/>
  <c r="P6456" i="1"/>
  <c r="R6456" i="1"/>
  <c r="BL6456" i="1"/>
  <c r="BW6456" i="1"/>
  <c r="CH6456" i="1"/>
  <c r="CS6456" i="1"/>
  <c r="K6457" i="1"/>
  <c r="P6457" i="1"/>
  <c r="R6457" i="1"/>
  <c r="BL6457" i="1"/>
  <c r="BW6457" i="1"/>
  <c r="CH6457" i="1"/>
  <c r="CS6457" i="1"/>
  <c r="K6458" i="1"/>
  <c r="P6458" i="1"/>
  <c r="R6458" i="1"/>
  <c r="BL6458" i="1"/>
  <c r="BW6458" i="1"/>
  <c r="CH6458" i="1"/>
  <c r="CS6458" i="1"/>
  <c r="K6459" i="1"/>
  <c r="P6459" i="1"/>
  <c r="R6459" i="1"/>
  <c r="AM6459" i="1"/>
  <c r="BL6459" i="1"/>
  <c r="BW6459" i="1"/>
  <c r="CH6459" i="1"/>
  <c r="CS6459" i="1"/>
  <c r="K6460" i="1"/>
  <c r="P6460" i="1"/>
  <c r="R6460" i="1"/>
  <c r="BL6460" i="1"/>
  <c r="BQ6460" i="1"/>
  <c r="BW6460" i="1"/>
  <c r="CH6460" i="1"/>
  <c r="CS6460" i="1"/>
  <c r="K6461" i="1"/>
  <c r="P6461" i="1"/>
  <c r="R6461" i="1"/>
  <c r="BL6461" i="1"/>
  <c r="BW6461" i="1"/>
  <c r="CH6461" i="1"/>
  <c r="CS6461" i="1"/>
  <c r="K6462" i="1"/>
  <c r="P6462" i="1"/>
  <c r="R6462" i="1"/>
  <c r="BL6462" i="1"/>
  <c r="BW6462" i="1"/>
  <c r="CH6462" i="1"/>
  <c r="CS6462" i="1"/>
  <c r="K6463" i="1"/>
  <c r="P6463" i="1"/>
  <c r="R6463" i="1"/>
  <c r="BL6463" i="1"/>
  <c r="BW6463" i="1"/>
  <c r="CH6463" i="1"/>
  <c r="CS6463" i="1"/>
  <c r="K6464" i="1"/>
  <c r="P6464" i="1"/>
  <c r="R6464" i="1"/>
  <c r="BL6464" i="1"/>
  <c r="BW6464" i="1"/>
  <c r="CH6464" i="1"/>
  <c r="CS6464" i="1"/>
  <c r="K6465" i="1"/>
  <c r="P6465" i="1"/>
  <c r="R6465" i="1"/>
  <c r="BL6465" i="1"/>
  <c r="BW6465" i="1"/>
  <c r="CH6465" i="1"/>
  <c r="CS6465" i="1"/>
  <c r="K6466" i="1"/>
  <c r="P6466" i="1"/>
  <c r="R6466" i="1"/>
  <c r="BL6466" i="1"/>
  <c r="BW6466" i="1"/>
  <c r="CH6466" i="1"/>
  <c r="CS6466" i="1"/>
  <c r="K6467" i="1"/>
  <c r="P6467" i="1"/>
  <c r="R6467" i="1"/>
  <c r="BL6467" i="1"/>
  <c r="BW6467" i="1"/>
  <c r="CH6467" i="1"/>
  <c r="CS6467" i="1"/>
  <c r="K6468" i="1"/>
  <c r="P6468" i="1"/>
  <c r="R6468" i="1"/>
  <c r="BL6468" i="1"/>
  <c r="BW6468" i="1"/>
  <c r="CH6468" i="1"/>
  <c r="CS6468" i="1"/>
  <c r="K6469" i="1"/>
  <c r="P6469" i="1"/>
  <c r="R6469" i="1"/>
  <c r="BL6469" i="1"/>
  <c r="BW6469" i="1"/>
  <c r="CH6469" i="1"/>
  <c r="CS6469" i="1"/>
  <c r="K6470" i="1"/>
  <c r="P6470" i="1"/>
  <c r="R6470" i="1"/>
  <c r="BL6470" i="1"/>
  <c r="BW6470" i="1"/>
  <c r="CH6470" i="1"/>
  <c r="CS6470" i="1"/>
  <c r="K6471" i="1"/>
  <c r="P6471" i="1"/>
  <c r="R6471" i="1"/>
  <c r="BL6471" i="1"/>
  <c r="BW6471" i="1"/>
  <c r="CH6471" i="1"/>
  <c r="CS6471" i="1"/>
  <c r="K6472" i="1"/>
  <c r="P6472" i="1"/>
  <c r="R6472" i="1"/>
  <c r="BL6472" i="1"/>
  <c r="BW6472" i="1"/>
  <c r="CH6472" i="1"/>
  <c r="CS6472" i="1"/>
  <c r="K6473" i="1"/>
  <c r="P6473" i="1"/>
  <c r="R6473" i="1"/>
  <c r="BL6473" i="1"/>
  <c r="BW6473" i="1"/>
  <c r="CH6473" i="1"/>
  <c r="CS6473" i="1"/>
  <c r="K6474" i="1"/>
  <c r="P6474" i="1"/>
  <c r="R6474" i="1"/>
  <c r="BL6474" i="1"/>
  <c r="BW6474" i="1"/>
  <c r="CH6474" i="1"/>
  <c r="CS6474" i="1"/>
  <c r="K6475" i="1"/>
  <c r="P6475" i="1"/>
  <c r="R6475" i="1"/>
  <c r="BL6475" i="1"/>
  <c r="BW6475" i="1"/>
  <c r="CH6475" i="1"/>
  <c r="CS6475" i="1"/>
  <c r="K6476" i="1"/>
  <c r="P6476" i="1"/>
  <c r="R6476" i="1"/>
  <c r="BL6476" i="1"/>
  <c r="BW6476" i="1"/>
  <c r="CH6476" i="1"/>
  <c r="CS6476" i="1"/>
  <c r="K6477" i="1"/>
  <c r="P6477" i="1"/>
  <c r="R6477" i="1"/>
  <c r="BL6477" i="1"/>
  <c r="BW6477" i="1"/>
  <c r="CH6477" i="1"/>
  <c r="CS6477" i="1"/>
  <c r="K6478" i="1"/>
  <c r="P6478" i="1"/>
  <c r="R6478" i="1"/>
  <c r="BL6478" i="1"/>
  <c r="BW6478" i="1"/>
  <c r="CH6478" i="1"/>
  <c r="CS6478" i="1"/>
  <c r="K6479" i="1"/>
  <c r="P6479" i="1"/>
  <c r="R6479" i="1"/>
  <c r="BL6479" i="1"/>
  <c r="BW6479" i="1"/>
  <c r="CH6479" i="1"/>
  <c r="CS6479" i="1"/>
  <c r="K6480" i="1"/>
  <c r="P6480" i="1"/>
  <c r="R6480" i="1"/>
  <c r="BL6480" i="1"/>
  <c r="BW6480" i="1"/>
  <c r="CH6480" i="1"/>
  <c r="CS6480" i="1"/>
  <c r="K6481" i="1"/>
  <c r="P6481" i="1"/>
  <c r="R6481" i="1"/>
  <c r="BL6481" i="1"/>
  <c r="BW6481" i="1"/>
  <c r="CH6481" i="1"/>
  <c r="CS6481" i="1"/>
  <c r="K6482" i="1"/>
  <c r="P6482" i="1"/>
  <c r="R6482" i="1"/>
  <c r="BL6482" i="1"/>
  <c r="BW6482" i="1"/>
  <c r="CH6482" i="1"/>
  <c r="CS6482" i="1"/>
  <c r="K6483" i="1"/>
  <c r="P6483" i="1"/>
  <c r="R6483" i="1"/>
  <c r="BL6483" i="1"/>
  <c r="BW6483" i="1"/>
  <c r="CH6483" i="1"/>
  <c r="CS6483" i="1"/>
  <c r="K6484" i="1"/>
  <c r="P6484" i="1"/>
  <c r="R6484" i="1"/>
  <c r="BL6484" i="1"/>
  <c r="BW6484" i="1"/>
  <c r="CH6484" i="1"/>
  <c r="CS6484" i="1"/>
  <c r="K6485" i="1"/>
  <c r="P6485" i="1"/>
  <c r="R6485" i="1"/>
  <c r="BL6485" i="1"/>
  <c r="BW6485" i="1"/>
  <c r="CH6485" i="1"/>
  <c r="CS6485" i="1"/>
  <c r="K6486" i="1"/>
  <c r="P6486" i="1"/>
  <c r="R6486" i="1"/>
  <c r="BL6486" i="1"/>
  <c r="BW6486" i="1"/>
  <c r="CH6486" i="1"/>
  <c r="CS6486" i="1"/>
  <c r="K6487" i="1"/>
  <c r="P6487" i="1"/>
  <c r="R6487" i="1"/>
  <c r="BL6487" i="1"/>
  <c r="BW6487" i="1"/>
  <c r="CH6487" i="1"/>
  <c r="CS6487" i="1"/>
  <c r="K6488" i="1"/>
  <c r="P6488" i="1"/>
  <c r="R6488" i="1"/>
  <c r="BL6488" i="1"/>
  <c r="BW6488" i="1"/>
  <c r="CH6488" i="1"/>
  <c r="CS6488" i="1"/>
  <c r="K6489" i="1"/>
  <c r="P6489" i="1"/>
  <c r="R6489" i="1"/>
  <c r="BL6489" i="1"/>
  <c r="BW6489" i="1"/>
  <c r="CH6489" i="1"/>
  <c r="CS6489" i="1"/>
  <c r="K6490" i="1"/>
  <c r="P6490" i="1"/>
  <c r="R6490" i="1"/>
  <c r="BL6490" i="1"/>
  <c r="BW6490" i="1"/>
  <c r="CH6490" i="1"/>
  <c r="CS6490" i="1"/>
  <c r="K6491" i="1"/>
  <c r="P6491" i="1"/>
  <c r="R6491" i="1"/>
  <c r="BL6491" i="1"/>
  <c r="BW6491" i="1"/>
  <c r="CH6491" i="1"/>
  <c r="CS6491" i="1"/>
  <c r="K6492" i="1"/>
  <c r="P6492" i="1"/>
  <c r="R6492" i="1"/>
  <c r="BL6492" i="1"/>
  <c r="BW6492" i="1"/>
  <c r="CH6492" i="1"/>
  <c r="CS6492" i="1"/>
  <c r="K6493" i="1"/>
  <c r="P6493" i="1"/>
  <c r="R6493" i="1"/>
  <c r="BL6493" i="1"/>
  <c r="BW6493" i="1"/>
  <c r="CH6493" i="1"/>
  <c r="CS6493" i="1"/>
  <c r="K6494" i="1"/>
  <c r="P6494" i="1"/>
  <c r="R6494" i="1"/>
  <c r="BL6494" i="1"/>
  <c r="BW6494" i="1"/>
  <c r="CH6494" i="1"/>
  <c r="CS6494" i="1"/>
  <c r="K6495" i="1"/>
  <c r="P6495" i="1"/>
  <c r="R6495" i="1"/>
  <c r="BL6495" i="1"/>
  <c r="BW6495" i="1"/>
  <c r="CH6495" i="1"/>
  <c r="CS6495" i="1"/>
  <c r="K6496" i="1"/>
  <c r="P6496" i="1"/>
  <c r="R6496" i="1"/>
  <c r="BL6496" i="1"/>
  <c r="BW6496" i="1"/>
  <c r="CH6496" i="1"/>
  <c r="CS6496" i="1"/>
  <c r="K6497" i="1"/>
  <c r="P6497" i="1"/>
  <c r="R6497" i="1"/>
  <c r="BL6497" i="1"/>
  <c r="BW6497" i="1"/>
  <c r="CH6497" i="1"/>
  <c r="CS6497" i="1"/>
  <c r="K6498" i="1"/>
  <c r="P6498" i="1"/>
  <c r="R6498" i="1"/>
  <c r="BL6498" i="1"/>
  <c r="BW6498" i="1"/>
  <c r="CH6498" i="1"/>
  <c r="CS6498" i="1"/>
  <c r="K6499" i="1"/>
  <c r="P6499" i="1"/>
  <c r="R6499" i="1"/>
  <c r="BL6499" i="1"/>
  <c r="BW6499" i="1"/>
  <c r="CH6499" i="1"/>
  <c r="CS6499" i="1"/>
  <c r="K6500" i="1"/>
  <c r="P6500" i="1"/>
  <c r="R6500" i="1"/>
  <c r="BL6500" i="1"/>
  <c r="BW6500" i="1"/>
  <c r="CH6500" i="1"/>
  <c r="CS6500" i="1"/>
  <c r="K6501" i="1"/>
  <c r="P6501" i="1"/>
  <c r="R6501" i="1"/>
  <c r="BL6501" i="1"/>
  <c r="BW6501" i="1"/>
  <c r="CH6501" i="1"/>
  <c r="CS6501" i="1"/>
  <c r="K6502" i="1"/>
  <c r="P6502" i="1"/>
  <c r="R6502" i="1"/>
  <c r="BL6502" i="1"/>
  <c r="BW6502" i="1"/>
  <c r="CH6502" i="1"/>
  <c r="CS6502" i="1"/>
  <c r="K6503" i="1"/>
  <c r="P6503" i="1"/>
  <c r="R6503" i="1"/>
  <c r="BL6503" i="1"/>
  <c r="BW6503" i="1"/>
  <c r="CH6503" i="1"/>
  <c r="CS6503" i="1"/>
  <c r="K6504" i="1"/>
  <c r="P6504" i="1"/>
  <c r="R6504" i="1"/>
  <c r="BL6504" i="1"/>
  <c r="BW6504" i="1"/>
  <c r="CH6504" i="1"/>
  <c r="CS6504" i="1"/>
  <c r="K6505" i="1"/>
  <c r="P6505" i="1"/>
  <c r="R6505" i="1"/>
  <c r="BL6505" i="1"/>
  <c r="BW6505" i="1"/>
  <c r="CH6505" i="1"/>
  <c r="CS6505" i="1"/>
  <c r="K6506" i="1"/>
  <c r="P6506" i="1"/>
  <c r="R6506" i="1"/>
  <c r="BL6506" i="1"/>
  <c r="BW6506" i="1"/>
  <c r="CH6506" i="1"/>
  <c r="CS6506" i="1"/>
  <c r="K6507" i="1"/>
  <c r="P6507" i="1"/>
  <c r="R6507" i="1"/>
  <c r="BL6507" i="1"/>
  <c r="BW6507" i="1"/>
  <c r="CH6507" i="1"/>
  <c r="CS6507" i="1"/>
  <c r="K6508" i="1"/>
  <c r="P6508" i="1"/>
  <c r="R6508" i="1"/>
  <c r="BL6508" i="1"/>
  <c r="BW6508" i="1"/>
  <c r="CH6508" i="1"/>
  <c r="CS6508" i="1"/>
  <c r="K6509" i="1"/>
  <c r="P6509" i="1"/>
  <c r="R6509" i="1"/>
  <c r="BL6509" i="1"/>
  <c r="BW6509" i="1"/>
  <c r="CH6509" i="1"/>
  <c r="CS6509" i="1"/>
  <c r="K6510" i="1"/>
  <c r="P6510" i="1"/>
  <c r="R6510" i="1"/>
  <c r="BL6510" i="1"/>
  <c r="BW6510" i="1"/>
  <c r="CH6510" i="1"/>
  <c r="CS6510" i="1"/>
  <c r="K6511" i="1"/>
  <c r="P6511" i="1"/>
  <c r="R6511" i="1"/>
  <c r="BL6511" i="1"/>
  <c r="BW6511" i="1"/>
  <c r="CH6511" i="1"/>
  <c r="CS6511" i="1"/>
  <c r="K6512" i="1"/>
  <c r="P6512" i="1"/>
  <c r="R6512" i="1"/>
  <c r="BL6512" i="1"/>
  <c r="BW6512" i="1"/>
  <c r="CH6512" i="1"/>
  <c r="CS6512" i="1"/>
  <c r="K6513" i="1"/>
  <c r="P6513" i="1"/>
  <c r="R6513" i="1"/>
  <c r="BL6513" i="1"/>
  <c r="BW6513" i="1"/>
  <c r="CH6513" i="1"/>
  <c r="CS6513" i="1"/>
  <c r="K6514" i="1"/>
  <c r="P6514" i="1"/>
  <c r="R6514" i="1"/>
  <c r="BL6514" i="1"/>
  <c r="BW6514" i="1"/>
  <c r="CH6514" i="1"/>
  <c r="CS6514" i="1"/>
  <c r="K6515" i="1"/>
  <c r="P6515" i="1"/>
  <c r="R6515" i="1"/>
  <c r="BL6515" i="1"/>
  <c r="BW6515" i="1"/>
  <c r="CH6515" i="1"/>
  <c r="CS6515" i="1"/>
  <c r="K6516" i="1"/>
  <c r="P6516" i="1"/>
  <c r="R6516" i="1"/>
  <c r="BL6516" i="1"/>
  <c r="BW6516" i="1"/>
  <c r="CH6516" i="1"/>
  <c r="CS6516" i="1"/>
  <c r="K6517" i="1"/>
  <c r="P6517" i="1"/>
  <c r="R6517" i="1"/>
  <c r="BL6517" i="1"/>
  <c r="BW6517" i="1"/>
  <c r="CH6517" i="1"/>
  <c r="CS6517" i="1"/>
  <c r="K6518" i="1"/>
  <c r="P6518" i="1"/>
  <c r="R6518" i="1"/>
  <c r="BL6518" i="1"/>
  <c r="BW6518" i="1"/>
  <c r="CH6518" i="1"/>
  <c r="CS6518" i="1"/>
  <c r="K6519" i="1"/>
  <c r="P6519" i="1"/>
  <c r="R6519" i="1"/>
  <c r="BL6519" i="1"/>
  <c r="BW6519" i="1"/>
  <c r="CH6519" i="1"/>
  <c r="CS6519" i="1"/>
  <c r="K6520" i="1"/>
  <c r="P6520" i="1"/>
  <c r="R6520" i="1"/>
  <c r="BL6520" i="1"/>
  <c r="BW6520" i="1"/>
  <c r="CH6520" i="1"/>
  <c r="CS6520" i="1"/>
  <c r="K6521" i="1"/>
  <c r="P6521" i="1"/>
  <c r="R6521" i="1"/>
  <c r="BL6521" i="1"/>
  <c r="BW6521" i="1"/>
  <c r="CH6521" i="1"/>
  <c r="CS6521" i="1"/>
  <c r="K6522" i="1"/>
  <c r="P6522" i="1"/>
  <c r="R6522" i="1"/>
  <c r="BL6522" i="1"/>
  <c r="BW6522" i="1"/>
  <c r="CH6522" i="1"/>
  <c r="CS6522" i="1"/>
  <c r="K6523" i="1"/>
  <c r="P6523" i="1"/>
  <c r="R6523" i="1"/>
  <c r="BL6523" i="1"/>
  <c r="BW6523" i="1"/>
  <c r="CH6523" i="1"/>
  <c r="CS6523" i="1"/>
  <c r="K6524" i="1"/>
  <c r="P6524" i="1"/>
  <c r="R6524" i="1"/>
  <c r="BL6524" i="1"/>
  <c r="BW6524" i="1"/>
  <c r="CH6524" i="1"/>
  <c r="CS6524" i="1"/>
  <c r="K6525" i="1"/>
  <c r="P6525" i="1"/>
  <c r="R6525" i="1"/>
  <c r="BL6525" i="1"/>
  <c r="BW6525" i="1"/>
  <c r="CH6525" i="1"/>
  <c r="CS6525" i="1"/>
  <c r="K6526" i="1"/>
  <c r="P6526" i="1"/>
  <c r="R6526" i="1"/>
  <c r="BL6526" i="1"/>
  <c r="BW6526" i="1"/>
  <c r="CH6526" i="1"/>
  <c r="CS6526" i="1"/>
  <c r="K6527" i="1"/>
  <c r="P6527" i="1"/>
  <c r="R6527" i="1"/>
  <c r="BL6527" i="1"/>
  <c r="BW6527" i="1"/>
  <c r="CH6527" i="1"/>
  <c r="CS6527" i="1"/>
  <c r="K6528" i="1"/>
  <c r="P6528" i="1"/>
  <c r="R6528" i="1"/>
  <c r="BL6528" i="1"/>
  <c r="BW6528" i="1"/>
  <c r="CH6528" i="1"/>
  <c r="CS6528" i="1"/>
  <c r="K6529" i="1"/>
  <c r="P6529" i="1"/>
  <c r="R6529" i="1"/>
  <c r="BL6529" i="1"/>
  <c r="BW6529" i="1"/>
  <c r="CH6529" i="1"/>
  <c r="CS6529" i="1"/>
  <c r="K6530" i="1"/>
  <c r="P6530" i="1"/>
  <c r="R6530" i="1"/>
  <c r="BL6530" i="1"/>
  <c r="BW6530" i="1"/>
  <c r="CH6530" i="1"/>
  <c r="CS6530" i="1"/>
  <c r="K6531" i="1"/>
  <c r="P6531" i="1"/>
  <c r="R6531" i="1"/>
  <c r="BL6531" i="1"/>
  <c r="BW6531" i="1"/>
  <c r="CH6531" i="1"/>
  <c r="CS6531" i="1"/>
  <c r="K6532" i="1"/>
  <c r="P6532" i="1"/>
  <c r="R6532" i="1"/>
  <c r="BL6532" i="1"/>
  <c r="BW6532" i="1"/>
  <c r="CH6532" i="1"/>
  <c r="CS6532" i="1"/>
  <c r="K6533" i="1"/>
  <c r="P6533" i="1"/>
  <c r="R6533" i="1"/>
  <c r="BL6533" i="1"/>
  <c r="BW6533" i="1"/>
  <c r="CH6533" i="1"/>
  <c r="CS6533" i="1"/>
  <c r="K6534" i="1"/>
  <c r="P6534" i="1"/>
  <c r="R6534" i="1"/>
  <c r="BL6534" i="1"/>
  <c r="BW6534" i="1"/>
  <c r="CH6534" i="1"/>
  <c r="CS6534" i="1"/>
  <c r="K6535" i="1"/>
  <c r="P6535" i="1"/>
  <c r="R6535" i="1"/>
  <c r="AM6535" i="1"/>
  <c r="BL6535" i="1"/>
  <c r="BW6535" i="1"/>
  <c r="CH6535" i="1"/>
  <c r="CS6535" i="1"/>
  <c r="K6536" i="1"/>
  <c r="P6536" i="1"/>
  <c r="R6536" i="1"/>
  <c r="BL6536" i="1"/>
  <c r="BW6536" i="1"/>
  <c r="CH6536" i="1"/>
  <c r="CS6536" i="1"/>
  <c r="K6537" i="1"/>
  <c r="P6537" i="1"/>
  <c r="R6537" i="1"/>
  <c r="BL6537" i="1"/>
  <c r="BW6537" i="1"/>
  <c r="CH6537" i="1"/>
  <c r="CS6537" i="1"/>
  <c r="K6538" i="1"/>
  <c r="P6538" i="1"/>
  <c r="R6538" i="1"/>
  <c r="BL6538" i="1"/>
  <c r="BW6538" i="1"/>
  <c r="CH6538" i="1"/>
  <c r="CS6538" i="1"/>
  <c r="K6539" i="1"/>
  <c r="P6539" i="1"/>
  <c r="R6539" i="1"/>
  <c r="BL6539" i="1"/>
  <c r="BW6539" i="1"/>
  <c r="CH6539" i="1"/>
  <c r="CS6539" i="1"/>
  <c r="K6540" i="1"/>
  <c r="P6540" i="1"/>
  <c r="R6540" i="1"/>
  <c r="BL6540" i="1"/>
  <c r="BW6540" i="1"/>
  <c r="CH6540" i="1"/>
  <c r="CS6540" i="1"/>
</calcChain>
</file>

<file path=xl/sharedStrings.xml><?xml version="1.0" encoding="utf-8"?>
<sst xmlns="http://schemas.openxmlformats.org/spreadsheetml/2006/main" count="185901" uniqueCount="39444">
  <si>
    <t>OWNER 1 FIRST NAME</t>
  </si>
  <si>
    <t>OWNER 1 LAST NAME</t>
  </si>
  <si>
    <t>OWNER 2 FIRST NAME</t>
  </si>
  <si>
    <t>OWNER 2 LAST NAME</t>
  </si>
  <si>
    <t>OWNER MAILING NAME</t>
  </si>
  <si>
    <t>OWNER STATUS</t>
  </si>
  <si>
    <t>DO NOT MAIL</t>
  </si>
  <si>
    <t>SITUS STREET ADDRESS</t>
  </si>
  <si>
    <t>SITUS CITY</t>
  </si>
  <si>
    <t>SITUS STATE</t>
  </si>
  <si>
    <t>SITUS ZIP CODE</t>
  </si>
  <si>
    <t>SITUS CARRIER ROUTE</t>
  </si>
  <si>
    <t>MAILING STREET ADDRESS</t>
  </si>
  <si>
    <t>MAIL CITY</t>
  </si>
  <si>
    <t>MAIL STATE</t>
  </si>
  <si>
    <t>MAIL ZIP/ZIP+4</t>
  </si>
  <si>
    <t>MAILING COUNTRY</t>
  </si>
  <si>
    <t>APN - FORMATTED</t>
  </si>
  <si>
    <t>SUBDIVISION</t>
  </si>
  <si>
    <t>RESIDENTIAL NEIGHBORHOOD</t>
  </si>
  <si>
    <t>LIVING AREA</t>
  </si>
  <si>
    <t>NUMBER OF BEDROOMS</t>
  </si>
  <si>
    <t>NUMBER OF BATHS</t>
  </si>
  <si>
    <t>YEAR BUILT</t>
  </si>
  <si>
    <t>YEAR BUILT (EFFECTIVE)</t>
  </si>
  <si>
    <t>STORIES NO.</t>
  </si>
  <si>
    <t>POOL</t>
  </si>
  <si>
    <t>FIREPLACE NUMBER</t>
  </si>
  <si>
    <t>PARKING TYPE</t>
  </si>
  <si>
    <t>PARKING SPACES</t>
  </si>
  <si>
    <t>GARAGE TYPE</t>
  </si>
  <si>
    <t>GARAGE AREA</t>
  </si>
  <si>
    <t>BASEMENT AREA</t>
  </si>
  <si>
    <t>AIR CONDITIONING</t>
  </si>
  <si>
    <t>EQUITY VALUE</t>
  </si>
  <si>
    <t>EQUITY PERCENTAGE</t>
  </si>
  <si>
    <t>ESTIMATED VALUE</t>
  </si>
  <si>
    <t>LAND USE</t>
  </si>
  <si>
    <t>ZONING</t>
  </si>
  <si>
    <t>LOT AREA</t>
  </si>
  <si>
    <t>LOT ACREAGE</t>
  </si>
  <si>
    <t>NO. RESIDENTIAL UNITS</t>
  </si>
  <si>
    <t>NO. COMMERCIAL UNITS</t>
  </si>
  <si>
    <t>NUMBER OF BUILDINGS</t>
  </si>
  <si>
    <t>ASSESSED TOTAL VALUE</t>
  </si>
  <si>
    <t>ASSESSED LAND VALUE</t>
  </si>
  <si>
    <t>ASSESSED IMPROVEMENT VALUE</t>
  </si>
  <si>
    <t>ASSESSED IMPROVEMENT PERCENTAGE</t>
  </si>
  <si>
    <t>DELINQUENT TAX YR</t>
  </si>
  <si>
    <t>PROPERTY TAX</t>
  </si>
  <si>
    <t>ELEMENTARY SCHOOL</t>
  </si>
  <si>
    <t>MIDDLE SCHOOL</t>
  </si>
  <si>
    <t>HIGH SCHOOL</t>
  </si>
  <si>
    <t>OT-RECORDING DATE</t>
  </si>
  <si>
    <t>OT-SALE PRICE</t>
  </si>
  <si>
    <t>OT-DEED TYPE</t>
  </si>
  <si>
    <t>LMS-RECORDING DATE</t>
  </si>
  <si>
    <t>LMS-SALE PRICE</t>
  </si>
  <si>
    <t>LMS-SELLER NAME</t>
  </si>
  <si>
    <t>LMS-PRICE PER SQFT</t>
  </si>
  <si>
    <t>OPEN 1ST MTG AMOUNT</t>
  </si>
  <si>
    <t>OPEN 1ST MTG REC DATE</t>
  </si>
  <si>
    <t>OPEN 1ST MTG TYPE</t>
  </si>
  <si>
    <t>OPEN 1ST MTG DOC #</t>
  </si>
  <si>
    <t>OPEN 1ST MTG ORIGINAL LENDER</t>
  </si>
  <si>
    <t>OPEN 1ST MTG LENDER ADDRESS</t>
  </si>
  <si>
    <t>OPEN 1ST MTG BORROWER 1</t>
  </si>
  <si>
    <t>OPEN 1ST MTG BORROWER 2</t>
  </si>
  <si>
    <t>OPEN 1ST MTG INT RATE</t>
  </si>
  <si>
    <t>OPEN 1ST MTG INT RATE TYPE</t>
  </si>
  <si>
    <t>OPEN 1ST MTG TERM</t>
  </si>
  <si>
    <t>OPEN 2ND MTG AMOUNT</t>
  </si>
  <si>
    <t>OPEN 2ND MTG REC DATE</t>
  </si>
  <si>
    <t>OPEN 2ND MTG TYPE</t>
  </si>
  <si>
    <t>OPEN 2ND MTG DOC #</t>
  </si>
  <si>
    <t>OPEN 2ND MTG ORIGINAL LENDER</t>
  </si>
  <si>
    <t>OPEN 2ND MTG LENDER ADDRESS</t>
  </si>
  <si>
    <t>OPEN 2ND MTG BORROWER 1</t>
  </si>
  <si>
    <t>OPEN 2ND MTG BORROWER 2</t>
  </si>
  <si>
    <t>OPEN 2ND MTG INT RATE</t>
  </si>
  <si>
    <t>OPEN 2ND MTG INT RATE TYPE</t>
  </si>
  <si>
    <t>OPEN 2ND MTG TERM</t>
  </si>
  <si>
    <t>OPEN 3RD MTG AMOUNT</t>
  </si>
  <si>
    <t>OPEN 3RD MTG REC DATE</t>
  </si>
  <si>
    <t>OPEN 3RD MTG TYPE</t>
  </si>
  <si>
    <t>OPEN 3RD MTG DOC #</t>
  </si>
  <si>
    <t>OPEN 3RD MTG ORIGINAL LENDER</t>
  </si>
  <si>
    <t>OPEN 3RD MTG LENDER ADDRESS</t>
  </si>
  <si>
    <t>OPEN 3RD MTG BORROWER 1</t>
  </si>
  <si>
    <t>OPEN 3RD MTG BORROWER 2</t>
  </si>
  <si>
    <t>OPEN 3RD MTG INT RATE</t>
  </si>
  <si>
    <t>OPEN 3RD MTG INT RATE TYPE</t>
  </si>
  <si>
    <t>OPEN 3RD MTG TERM</t>
  </si>
  <si>
    <t>OPEN 4TH MTG AMOUNT</t>
  </si>
  <si>
    <t>OPEN 4TH MTG REC DATE</t>
  </si>
  <si>
    <t>OPEN 4TH MTG TYPE</t>
  </si>
  <si>
    <t>OPEN 4TH MTG DOC #</t>
  </si>
  <si>
    <t>OPEN 4TH MTG ORIGINAL LENDER</t>
  </si>
  <si>
    <t>OPEN 4TH MTG LENDER ADDRESS</t>
  </si>
  <si>
    <t>OPEN 4TH MTG BORROWER 1</t>
  </si>
  <si>
    <t>OPEN 4TH MTG BORROWER 2</t>
  </si>
  <si>
    <t>OPEN 4TH MTG INT RATE</t>
  </si>
  <si>
    <t>OPEN 4TH MTG INT RATE TYPE</t>
  </si>
  <si>
    <t>OPEN 4TH MTG TERM</t>
  </si>
  <si>
    <t>RENEE</t>
  </si>
  <si>
    <t>DEHERRERA</t>
  </si>
  <si>
    <t>BRUCE</t>
  </si>
  <si>
    <t>RENEE &amp; BRUCE DEHERRERA</t>
  </si>
  <si>
    <t>O</t>
  </si>
  <si>
    <t xml:space="preserve">187 E CANYON WAY </t>
  </si>
  <si>
    <t>CHANDLER</t>
  </si>
  <si>
    <t>AZ</t>
  </si>
  <si>
    <t>R079</t>
  </si>
  <si>
    <t>USA</t>
  </si>
  <si>
    <t>RESERVE AT FULTON RANCH</t>
  </si>
  <si>
    <t>GARAGE</t>
  </si>
  <si>
    <t>REFRIGERATION</t>
  </si>
  <si>
    <t>SFR</t>
  </si>
  <si>
    <t>PAD</t>
  </si>
  <si>
    <t>FULTON ELEMENTARY SCHOOL</t>
  </si>
  <si>
    <t>SANTAN JUNIOR HIGH SCHOOL</t>
  </si>
  <si>
    <t>HAMILTON HIGH SCHOOL</t>
  </si>
  <si>
    <t>FULTON HOME SALES CORP</t>
  </si>
  <si>
    <t>VETERANS AFFAIRS</t>
  </si>
  <si>
    <t>WELLS FARGO BK NA</t>
  </si>
  <si>
    <t>DEHERRERA RENEE</t>
  </si>
  <si>
    <t>JESSE</t>
  </si>
  <si>
    <t>VELA</t>
  </si>
  <si>
    <t>SONDRA</t>
  </si>
  <si>
    <t>JESSE &amp; SONDRA VELA</t>
  </si>
  <si>
    <t xml:space="preserve">219 E HORSESHOE DR </t>
  </si>
  <si>
    <t>ON Q FIN'L INC</t>
  </si>
  <si>
    <t>SCOTTSDALE AZ 85251</t>
  </si>
  <si>
    <t>VELA JESSE M</t>
  </si>
  <si>
    <t>CONVENTIONAL</t>
  </si>
  <si>
    <t>NAVY FCU</t>
  </si>
  <si>
    <t>VIENNA VA 22180</t>
  </si>
  <si>
    <t>SONDRA K VELA</t>
  </si>
  <si>
    <t>JESSE M VELA</t>
  </si>
  <si>
    <t>U</t>
  </si>
  <si>
    <t>JOSEPH</t>
  </si>
  <si>
    <t>ANDERSON</t>
  </si>
  <si>
    <t>JOSEPH ANDERSON</t>
  </si>
  <si>
    <t xml:space="preserve">21239 W BERKELEY RD </t>
  </si>
  <si>
    <t>BUCKEYE</t>
  </si>
  <si>
    <t>R038</t>
  </si>
  <si>
    <t>SIENNA HILLS PARCEL 1 SOUTH</t>
  </si>
  <si>
    <t>TARTESSO ELEMENTARY SCHOOL</t>
  </si>
  <si>
    <t>TONOPAH VALLEY HIGH SCHOOL</t>
  </si>
  <si>
    <t>BEAZER HOMES SALES INC</t>
  </si>
  <si>
    <t>LHM FIN'L CORP</t>
  </si>
  <si>
    <t>ANDERSON JOSEPH M L</t>
  </si>
  <si>
    <t>SHAWN</t>
  </si>
  <si>
    <t>MCNEIL</t>
  </si>
  <si>
    <t>ANDREA</t>
  </si>
  <si>
    <t>SHAWN &amp; ANDREA MCNEIL</t>
  </si>
  <si>
    <t xml:space="preserve">21252 W EATON RD </t>
  </si>
  <si>
    <t>INTERFAMILY DEED</t>
  </si>
  <si>
    <t>RICHMOND AMERICAN HMS OF ARIZ</t>
  </si>
  <si>
    <t>ORION LNDG</t>
  </si>
  <si>
    <t>ORANGE CA 92868</t>
  </si>
  <si>
    <t>SHAWN MCNEIL</t>
  </si>
  <si>
    <t>ANDREA R MCNEIL</t>
  </si>
  <si>
    <t>RODRIGUEZ</t>
  </si>
  <si>
    <t>SOCORRO</t>
  </si>
  <si>
    <t>JOSEPH &amp; SOCORRO RODRIGUEZ</t>
  </si>
  <si>
    <t xml:space="preserve">5827 W WAYLAND DR </t>
  </si>
  <si>
    <t>LAVEEN</t>
  </si>
  <si>
    <t>R005</t>
  </si>
  <si>
    <t>RIVERWALK VILLAGES PHASE 3 LTS 166 THRU</t>
  </si>
  <si>
    <t>RIVERWALK ESTATES</t>
  </si>
  <si>
    <t>R-8</t>
  </si>
  <si>
    <t>TRAILSIDE POINT SCHOOL</t>
  </si>
  <si>
    <t>BETTY FAIRFAX HIGH SCHOOL</t>
  </si>
  <si>
    <t>ELLIOTT CONSTRUCTION INC</t>
  </si>
  <si>
    <t>IMORTGAGE</t>
  </si>
  <si>
    <t>RODRIGUEZ JOSEPH T &amp; SOCORRO</t>
  </si>
  <si>
    <t>DAVID</t>
  </si>
  <si>
    <t>LISNOCK</t>
  </si>
  <si>
    <t>LISA</t>
  </si>
  <si>
    <t>DAVID &amp; LISA LISNOCK</t>
  </si>
  <si>
    <t xml:space="preserve">4400 S JASMINE DR </t>
  </si>
  <si>
    <t>LISNOCK DAVID F</t>
  </si>
  <si>
    <t>TERRY</t>
  </si>
  <si>
    <t>STEVENS</t>
  </si>
  <si>
    <t>LANA</t>
  </si>
  <si>
    <t>TERRY &amp; LANA STEVENS</t>
  </si>
  <si>
    <t xml:space="preserve">19800 S 192ND WAY </t>
  </si>
  <si>
    <t>QUEEN CREEK</t>
  </si>
  <si>
    <t>R058</t>
  </si>
  <si>
    <t>EMPEROR ESTATES PHASE 4 WEST</t>
  </si>
  <si>
    <t>R-6</t>
  </si>
  <si>
    <t>DESERT MOUNTAIN ELEMENTARY SCHOOL</t>
  </si>
  <si>
    <t>NEWELL BARNEY JUNIOR HIGH SCHOOL</t>
  </si>
  <si>
    <t>QUEEN CREEK HIGH SCHOOL</t>
  </si>
  <si>
    <t>LENNAR ARIZONA INC</t>
  </si>
  <si>
    <t>UNIVERSAL AMERICAN MTG CO LLC</t>
  </si>
  <si>
    <t>STEVENS TERRY A &amp; LANA R</t>
  </si>
  <si>
    <t>ALTIER CU</t>
  </si>
  <si>
    <t>ROSEMARY</t>
  </si>
  <si>
    <t>SWEENEY</t>
  </si>
  <si>
    <t>ROSEMARY SWEENEY</t>
  </si>
  <si>
    <t xml:space="preserve">166 E BERNIE LN </t>
  </si>
  <si>
    <t>GILBERT</t>
  </si>
  <si>
    <t>R085</t>
  </si>
  <si>
    <t>GILBERT COMMONS ENCLAVE</t>
  </si>
  <si>
    <t>QUARTZ HILL ELEMENTARY SCHOOL</t>
  </si>
  <si>
    <t>SOUTH VALLEY JR. HIGH SCHOOL</t>
  </si>
  <si>
    <t>CAMPO VERDE HIGH SCHOOL</t>
  </si>
  <si>
    <t>MERITAGE HOMES OF ARIZONA INC</t>
  </si>
  <si>
    <t>SWEENEY ROSEMARY</t>
  </si>
  <si>
    <t>KENNETH</t>
  </si>
  <si>
    <t>DAVIS</t>
  </si>
  <si>
    <t>KENNETH DAVIS</t>
  </si>
  <si>
    <t xml:space="preserve">2143 N HERITAGE ST </t>
  </si>
  <si>
    <t>H065</t>
  </si>
  <si>
    <t>VERRADO PARCEL 3.408</t>
  </si>
  <si>
    <t>VERRADO HERITAGE ELEMENTARY SCHOOL</t>
  </si>
  <si>
    <t>VERRADO HIGH SCHOOL</t>
  </si>
  <si>
    <t>DAVIS KENNETH H</t>
  </si>
  <si>
    <t>JESSICA</t>
  </si>
  <si>
    <t>DETRO</t>
  </si>
  <si>
    <t>KYLE</t>
  </si>
  <si>
    <t>JESSICA &amp; KYLE DETRO</t>
  </si>
  <si>
    <t xml:space="preserve">5656 E ALDER AVE </t>
  </si>
  <si>
    <t>MESA</t>
  </si>
  <si>
    <t>C025</t>
  </si>
  <si>
    <t>MAIN STREET CASITAS VARIOUS LOTS REPLAT</t>
  </si>
  <si>
    <t>MAIN STREET CASITAS</t>
  </si>
  <si>
    <t>M-H</t>
  </si>
  <si>
    <t>MADISON ELEMENTARY SCHOOL</t>
  </si>
  <si>
    <t>FREMONT JUNIOR HIGH SCHOOL</t>
  </si>
  <si>
    <t>SKYLINE HIGH SCHOOL</t>
  </si>
  <si>
    <t>KB HOME SALES-PHOENIX INC</t>
  </si>
  <si>
    <t>HOME CMNTY MTG LLC</t>
  </si>
  <si>
    <t>DETRO JESSICA J &amp; KYLE</t>
  </si>
  <si>
    <t>GADDIS LIVING TRUST</t>
  </si>
  <si>
    <t>GADDIS</t>
  </si>
  <si>
    <t xml:space="preserve">21441 W TERRI LEE DR </t>
  </si>
  <si>
    <t>SIENNA HILLS PARCEL 3 SOUTH</t>
  </si>
  <si>
    <t>GENERAL WARRANTY DEED</t>
  </si>
  <si>
    <t>HOMEAMERICAN MTG CORP</t>
  </si>
  <si>
    <t>GADDIS TIMOTHY EUGENE</t>
  </si>
  <si>
    <t>EDWARD</t>
  </si>
  <si>
    <t>OMALLEY</t>
  </si>
  <si>
    <t>EDWARD OMALLEY</t>
  </si>
  <si>
    <t xml:space="preserve">20017 S 192ND PL </t>
  </si>
  <si>
    <t>QUITCLAIM</t>
  </si>
  <si>
    <t>FEDERAL SVGS BK</t>
  </si>
  <si>
    <t>CHICAGO IL 60607</t>
  </si>
  <si>
    <t>EDWARD A OMALLEY</t>
  </si>
  <si>
    <t>CHAD</t>
  </si>
  <si>
    <t>STEPHENS</t>
  </si>
  <si>
    <t>CHAD STEPHENS</t>
  </si>
  <si>
    <t xml:space="preserve">5650 E ALDER AVE </t>
  </si>
  <si>
    <t>ALLIANCE FIN'L RSRCS LLC</t>
  </si>
  <si>
    <t>STEPHENS CHAD A</t>
  </si>
  <si>
    <t>JEREMY</t>
  </si>
  <si>
    <t>GODINEZ</t>
  </si>
  <si>
    <t>MARIA</t>
  </si>
  <si>
    <t>JEREMY &amp; MARIA GODINEZ</t>
  </si>
  <si>
    <t xml:space="preserve">2160 N HERITAGE ST </t>
  </si>
  <si>
    <t>GODINEZ JEREMY &amp; MARIA</t>
  </si>
  <si>
    <t>DAVIDA</t>
  </si>
  <si>
    <t>MAZZETTI-CRAIN</t>
  </si>
  <si>
    <t>STEVEN</t>
  </si>
  <si>
    <t>CRAIN</t>
  </si>
  <si>
    <t>DAVIDA MAZZETTI-CRAIN &amp; STEVEN CRAIN</t>
  </si>
  <si>
    <t xml:space="preserve">2228 E HAZELTINE WAY </t>
  </si>
  <si>
    <t>R046</t>
  </si>
  <si>
    <t>ADORA TRAILS PARCEL 4</t>
  </si>
  <si>
    <t>MOUNTAINWOOD</t>
  </si>
  <si>
    <t>PATTERSON ELEMENTARY SCHOOL</t>
  </si>
  <si>
    <t>PAYNE JUNIOR HIGH SCHOOL</t>
  </si>
  <si>
    <t>BASHA HIGH SCHOOL</t>
  </si>
  <si>
    <t>TM HOMES OF ARIZONA INC</t>
  </si>
  <si>
    <t>MAZZETTI-CRAIN DAVIDA</t>
  </si>
  <si>
    <t>CRAIN STEVEN D</t>
  </si>
  <si>
    <t>N</t>
  </si>
  <si>
    <t>HARRIMAN</t>
  </si>
  <si>
    <t>CARLY</t>
  </si>
  <si>
    <t>N &amp; CARLY HARRIMAN</t>
  </si>
  <si>
    <t>A</t>
  </si>
  <si>
    <t xml:space="preserve">3717 E LODGEPOLE DR </t>
  </si>
  <si>
    <t>R050</t>
  </si>
  <si>
    <t xml:space="preserve">3789 E CHESTNUT LN </t>
  </si>
  <si>
    <t>BRIDGES EAST PARCEL 3-5</t>
  </si>
  <si>
    <t>BRIDGES AT GILBERT</t>
  </si>
  <si>
    <t>R-4</t>
  </si>
  <si>
    <t>POWER RANCH ELEMENTARY SCHOOL</t>
  </si>
  <si>
    <t>HIGLEY HIGH SCHOOL</t>
  </si>
  <si>
    <t>DEED</t>
  </si>
  <si>
    <t>SHEA HOMES ARIZONA LP</t>
  </si>
  <si>
    <t>GUSTAFSON DONALD L</t>
  </si>
  <si>
    <t>LOYD</t>
  </si>
  <si>
    <t>CHAMBERS</t>
  </si>
  <si>
    <t>TESALONICA</t>
  </si>
  <si>
    <t>LOYD &amp; TESALONICA CHAMBERS</t>
  </si>
  <si>
    <t xml:space="preserve">4245 S BOULDER ST </t>
  </si>
  <si>
    <t>R036</t>
  </si>
  <si>
    <t>VILLAGES AT VAL VISTA PHASE 2</t>
  </si>
  <si>
    <t>VILLAGES AT VAL VISTA</t>
  </si>
  <si>
    <t>WEINBERG ELEMENTARY SCHOOL</t>
  </si>
  <si>
    <t>PERRY HIGH SCHOOL</t>
  </si>
  <si>
    <t>CHAMBERS LOYD &amp; TESALONICA</t>
  </si>
  <si>
    <t>ROBERT</t>
  </si>
  <si>
    <t>LITTLEJOHN</t>
  </si>
  <si>
    <t>ROBERT LITTLEJOHN</t>
  </si>
  <si>
    <t xml:space="preserve">5428 S MARIPOSA DR </t>
  </si>
  <si>
    <t>BANK OF KANSAS CITY</t>
  </si>
  <si>
    <t>LITTLEJOHN ROBERT V</t>
  </si>
  <si>
    <t>BLAKE</t>
  </si>
  <si>
    <t>ANDREWS</t>
  </si>
  <si>
    <t>BLAKE &amp; LISA ANDREWS</t>
  </si>
  <si>
    <t xml:space="preserve">11742 W CARIBBEAN LN </t>
  </si>
  <si>
    <t>EL MIRAGE</t>
  </si>
  <si>
    <t>R011</t>
  </si>
  <si>
    <t>THOMPSON RANCH PHASE 4</t>
  </si>
  <si>
    <t>THOMPSON RANCH</t>
  </si>
  <si>
    <t>R</t>
  </si>
  <si>
    <t>THOMPSON RANCH ELEMENTARY SCHOOL</t>
  </si>
  <si>
    <t>VALLEY VISTA HIGH SCHOOL</t>
  </si>
  <si>
    <t>PENNYMAC LN SVCS LLC</t>
  </si>
  <si>
    <t>ANDREWS BLAKE M</t>
  </si>
  <si>
    <t>ANDREWS LISA I</t>
  </si>
  <si>
    <t>CHRISTOPHER</t>
  </si>
  <si>
    <t>CIACCIO</t>
  </si>
  <si>
    <t>ANN</t>
  </si>
  <si>
    <t>KELLY</t>
  </si>
  <si>
    <t>CHRISTOPHER CIACCIO &amp; ANN KELLY</t>
  </si>
  <si>
    <t xml:space="preserve">19783 S 192ND PL </t>
  </si>
  <si>
    <t>CIACCIO CHRISTOPHER L &amp; KELLY</t>
  </si>
  <si>
    <t>NATHEN</t>
  </si>
  <si>
    <t>NIGRO</t>
  </si>
  <si>
    <t>SABRINA</t>
  </si>
  <si>
    <t>NATHEN &amp; SABRINA NIGRO</t>
  </si>
  <si>
    <t xml:space="preserve">2065 E LINDRICK DR </t>
  </si>
  <si>
    <t>R054</t>
  </si>
  <si>
    <t>ADORA TRAILS PARCEL 2A</t>
  </si>
  <si>
    <t>NOVAK CHRISTOPHER</t>
  </si>
  <si>
    <t>FREEDOM MORTGAGE CORP</t>
  </si>
  <si>
    <t>NIGRO NATHEN A &amp; SABRINA S</t>
  </si>
  <si>
    <t>DESERT FIN'L FCU</t>
  </si>
  <si>
    <t>PHOENIX AZ 85062</t>
  </si>
  <si>
    <t>NATHEN A NIGRO</t>
  </si>
  <si>
    <t>SABRINA S NIGRO</t>
  </si>
  <si>
    <t>V</t>
  </si>
  <si>
    <t>KOLLE</t>
  </si>
  <si>
    <t>MARIE</t>
  </si>
  <si>
    <t>REGINA</t>
  </si>
  <si>
    <t>KOLLE &amp; REGINA MARIE</t>
  </si>
  <si>
    <t xml:space="preserve">1689 N 211TH DR </t>
  </si>
  <si>
    <t>KOLLE MICHAEL E</t>
  </si>
  <si>
    <t>TYLER</t>
  </si>
  <si>
    <t>SCHACHTER</t>
  </si>
  <si>
    <t>ALICIA</t>
  </si>
  <si>
    <t>TYLER &amp; ALICIA SCHACHTER</t>
  </si>
  <si>
    <t xml:space="preserve">154 E PRESCOTT DR </t>
  </si>
  <si>
    <t xml:space="preserve">1732 W LEWIS ST </t>
  </si>
  <si>
    <t>SAN DIEGO</t>
  </si>
  <si>
    <t>CA</t>
  </si>
  <si>
    <t>LOANDEPOT.COM LLC</t>
  </si>
  <si>
    <t>SCHACHTER TYLER S &amp; ALICIA N</t>
  </si>
  <si>
    <t>LAFLER</t>
  </si>
  <si>
    <t>LYNN</t>
  </si>
  <si>
    <t>SANDRA</t>
  </si>
  <si>
    <t>LAFLER &amp; SANDRA LYNN</t>
  </si>
  <si>
    <t xml:space="preserve">19958 S 192ND PL </t>
  </si>
  <si>
    <t>LAFLER ROBERT D JR &amp; SANDRA L</t>
  </si>
  <si>
    <t>CREDIT UNION WEST</t>
  </si>
  <si>
    <t>MICHAEL</t>
  </si>
  <si>
    <t>MILLER</t>
  </si>
  <si>
    <t>MICHAEL MILLER</t>
  </si>
  <si>
    <t xml:space="preserve">45926 N 37TH AVE </t>
  </si>
  <si>
    <t>NEW RIVER</t>
  </si>
  <si>
    <t>R080</t>
  </si>
  <si>
    <t>R-43</t>
  </si>
  <si>
    <t>NEW RIVER ELEMENTARY SCHOOL</t>
  </si>
  <si>
    <t>BOULDER CREEK HIGH SCHOOL</t>
  </si>
  <si>
    <t>MJ2 &amp; CO LLC</t>
  </si>
  <si>
    <t>ENDEAVOR AMERICA LOAN SVCS</t>
  </si>
  <si>
    <t>MELVILLE NY 11747</t>
  </si>
  <si>
    <t>MILLER MICHAEL A</t>
  </si>
  <si>
    <t>US BK</t>
  </si>
  <si>
    <t>CINCINNATI OH 45202</t>
  </si>
  <si>
    <t>DEBRA M BLUM</t>
  </si>
  <si>
    <t>DONOVAN AND JUDITH RHODES LIVING TRUST</t>
  </si>
  <si>
    <t xml:space="preserve">3048 E LONGHORN DR </t>
  </si>
  <si>
    <t>R109</t>
  </si>
  <si>
    <t xml:space="preserve">2134 W IAN DR </t>
  </si>
  <si>
    <t>PHOENIX</t>
  </si>
  <si>
    <t>HIGLEY MANOR PHASE 1 AND 2</t>
  </si>
  <si>
    <t>HIGLEY MANOR</t>
  </si>
  <si>
    <t>R-7</t>
  </si>
  <si>
    <t>SAN TAN ELEMENTARY SCHOOL</t>
  </si>
  <si>
    <t>RHODES DONOVAN &amp; JUDITH</t>
  </si>
  <si>
    <t>STIMSON</t>
  </si>
  <si>
    <t>MELANIE</t>
  </si>
  <si>
    <t>KENNETH &amp; MELANIE STIMSON</t>
  </si>
  <si>
    <t xml:space="preserve">6311 S FRESNO ST </t>
  </si>
  <si>
    <t>AUTUMN PARK</t>
  </si>
  <si>
    <t>OASIS AT AUTUMN PARK</t>
  </si>
  <si>
    <t>FREEDOM HM MTG CORP (FN)</t>
  </si>
  <si>
    <t>STIMSON KENNETH M &amp; MELANIE</t>
  </si>
  <si>
    <t>PHILIP</t>
  </si>
  <si>
    <t>MIZELL</t>
  </si>
  <si>
    <t>SHIMARA</t>
  </si>
  <si>
    <t>PHILIP &amp; SHIMARA MIZELL</t>
  </si>
  <si>
    <t xml:space="preserve">1998 E HAZELTINE WAY </t>
  </si>
  <si>
    <t>ADORA TRAILS PARCEL 3</t>
  </si>
  <si>
    <t>PHILIP A MIZELL</t>
  </si>
  <si>
    <t>SHIMARA C MIZELL</t>
  </si>
  <si>
    <t>BARRY</t>
  </si>
  <si>
    <t>BOBBITT</t>
  </si>
  <si>
    <t>DANETTE</t>
  </si>
  <si>
    <t>BARRY &amp; DANETTE BOBBITT</t>
  </si>
  <si>
    <t xml:space="preserve">4821 S GRANITE DR </t>
  </si>
  <si>
    <t>R086</t>
  </si>
  <si>
    <t>AVIAN MEADOWS</t>
  </si>
  <si>
    <t>RYAN ELEMENTARY SCHOOL</t>
  </si>
  <si>
    <t>ASHTON WOODS ARIZONA LLC</t>
  </si>
  <si>
    <t>BOBBITT BARRY C &amp; DANETTE M</t>
  </si>
  <si>
    <t>MEEK FAMILY LIVING TRUST</t>
  </si>
  <si>
    <t>MEEK</t>
  </si>
  <si>
    <t xml:space="preserve">1965 E HAZELTINE WAY </t>
  </si>
  <si>
    <t>LAKEVIEW LN SERVICING LLC</t>
  </si>
  <si>
    <t>CORAL GABLES FL 33146</t>
  </si>
  <si>
    <t>MEEK BRENT E</t>
  </si>
  <si>
    <t>MARCUS</t>
  </si>
  <si>
    <t>LEGGETT</t>
  </si>
  <si>
    <t>SHAMEKIA</t>
  </si>
  <si>
    <t>MARCUS &amp; SHAMEKIA LEGGETT</t>
  </si>
  <si>
    <t xml:space="preserve">372 E BELLERIVE PL </t>
  </si>
  <si>
    <t>LEGGETT MARCUS D &amp; SHAMEKIA P</t>
  </si>
  <si>
    <t>WALTER</t>
  </si>
  <si>
    <t>NOVAK</t>
  </si>
  <si>
    <t>BONITA</t>
  </si>
  <si>
    <t>WALTER &amp; BONITA NOVAK</t>
  </si>
  <si>
    <t xml:space="preserve">26849 W MARCO POLO RD </t>
  </si>
  <si>
    <t>H074</t>
  </si>
  <si>
    <t xml:space="preserve">61 COVE LN </t>
  </si>
  <si>
    <t>LAYTON</t>
  </si>
  <si>
    <t>UT</t>
  </si>
  <si>
    <t>SUN CITY FESTIVAL PARCEL O1 PHASE 2</t>
  </si>
  <si>
    <t>FESTIVAL FOOTHILLS ELEMENTARY SCHOOL</t>
  </si>
  <si>
    <t>WICKENBURG HIGH SCHOOL</t>
  </si>
  <si>
    <t>PULTE HOME CORP</t>
  </si>
  <si>
    <t>NOVAK WALTER E FAMILY TRUST</t>
  </si>
  <si>
    <t>NOVAK BONITA K FAMILY TRUST</t>
  </si>
  <si>
    <t>COOK</t>
  </si>
  <si>
    <t>KRAZEL</t>
  </si>
  <si>
    <t>COOK &amp; DAVID KRAZEL</t>
  </si>
  <si>
    <t xml:space="preserve">13762 W JESSE RED DR </t>
  </si>
  <si>
    <t>PEORIA</t>
  </si>
  <si>
    <t>H100</t>
  </si>
  <si>
    <t>VISTANCIA VILLAGE A PARCEL G2 VARIOUS LO</t>
  </si>
  <si>
    <t>LAKE PLEASANT ELEMENTARY SCHOOL</t>
  </si>
  <si>
    <t>LIBERTY HIGH SCHOOL</t>
  </si>
  <si>
    <t>QUIT CLAIM DEED</t>
  </si>
  <si>
    <t>GEHAN HOMES OF ARIZONA LLC</t>
  </si>
  <si>
    <t>FREEDOM HM MTG</t>
  </si>
  <si>
    <t>MOUNT LAUREL NJ 08054</t>
  </si>
  <si>
    <t>JEFFREY A COOK</t>
  </si>
  <si>
    <t>DAVID A COOK</t>
  </si>
  <si>
    <t>THOMAS</t>
  </si>
  <si>
    <t>THOMPSON</t>
  </si>
  <si>
    <t>LEIGHA</t>
  </si>
  <si>
    <t>THOMAS &amp; LEIGHA THOMPSON</t>
  </si>
  <si>
    <t xml:space="preserve">1041 S ANNIE LN </t>
  </si>
  <si>
    <t>R120</t>
  </si>
  <si>
    <t>COOLEY STATION NORTH PARCEL 2 LTS 572 TH</t>
  </si>
  <si>
    <t>COOLEY STATION NORTH</t>
  </si>
  <si>
    <t>GATEWAY POINTE ELEMENTARY SCHOOL</t>
  </si>
  <si>
    <t>WILLIAMS FIELD HIGH SCHOOL</t>
  </si>
  <si>
    <t>FULTON HOMES SALES CORP</t>
  </si>
  <si>
    <t>HOMEOWNERS FIN'L GRP USA LLC</t>
  </si>
  <si>
    <t>THOMPSON THOMAS D &amp; LEIGHA R</t>
  </si>
  <si>
    <t>MARSHALL FAMILY LIVING TRUST</t>
  </si>
  <si>
    <t>MARSHALL</t>
  </si>
  <si>
    <t xml:space="preserve">490 E TORREY PINES PL </t>
  </si>
  <si>
    <t>SPECIAL WARRANTY DEED</t>
  </si>
  <si>
    <t>MARSHALL KENNETH L &amp; BARBARA E</t>
  </si>
  <si>
    <t>LEWIS</t>
  </si>
  <si>
    <t>KOENIG</t>
  </si>
  <si>
    <t>MARY</t>
  </si>
  <si>
    <t>LEWIS &amp; MARY KOENIG</t>
  </si>
  <si>
    <t xml:space="preserve">361 E TORREY PINES PL </t>
  </si>
  <si>
    <t>LEWIS PHIL R &amp; MARY K</t>
  </si>
  <si>
    <t>KIM</t>
  </si>
  <si>
    <t>JENNIFER</t>
  </si>
  <si>
    <t>ROBERT &amp; JENNIFER KIM</t>
  </si>
  <si>
    <t xml:space="preserve">360 E TORREY PINES PL </t>
  </si>
  <si>
    <t>PACIFIC HM LNS</t>
  </si>
  <si>
    <t>KIM ROBERT &amp; JENNIFER</t>
  </si>
  <si>
    <t>GARY</t>
  </si>
  <si>
    <t>SHOMAN</t>
  </si>
  <si>
    <t>KAREN</t>
  </si>
  <si>
    <t>GARY &amp; KAREN SHOMAN</t>
  </si>
  <si>
    <t xml:space="preserve">4310 N 184TH DR </t>
  </si>
  <si>
    <t>GOODYEAR</t>
  </si>
  <si>
    <t>R041</t>
  </si>
  <si>
    <t>SEDELLA PARCEL 4C</t>
  </si>
  <si>
    <t>SEDELLA</t>
  </si>
  <si>
    <t>SCOTT L. LIBBY ELEMENTARY SCHOOL</t>
  </si>
  <si>
    <t>VERRADO MIDDLE SCHOOL</t>
  </si>
  <si>
    <t>SHOMAN GARY &amp; KAREN</t>
  </si>
  <si>
    <t>RAPPLEYEA</t>
  </si>
  <si>
    <t>MICHELE</t>
  </si>
  <si>
    <t>ROBERT &amp; MICHELE RAPPLEYEA</t>
  </si>
  <si>
    <t xml:space="preserve">3811 E POWELL PL </t>
  </si>
  <si>
    <t>RAPPLEYEA ROBERT J &amp; MICHELE L</t>
  </si>
  <si>
    <t>VINCENT</t>
  </si>
  <si>
    <t>SCARFO</t>
  </si>
  <si>
    <t>KATHLEEN</t>
  </si>
  <si>
    <t>VINCENT &amp; KATHLEEN SCARFO</t>
  </si>
  <si>
    <t xml:space="preserve">4132 E SIERRA MADRE AVE </t>
  </si>
  <si>
    <t>R062</t>
  </si>
  <si>
    <t>ELLIOT GROVES AT MORRISON RANCH PHASE 1</t>
  </si>
  <si>
    <t>BRIDLEWOOD AT MORRISON RANCH</t>
  </si>
  <si>
    <t>GREENFIELD ELEMENTARY SCHOOL</t>
  </si>
  <si>
    <t>GREENFIELD JUNIOR HIGH SCHOOL</t>
  </si>
  <si>
    <t>HIGHLAND HIGH SCHOOL</t>
  </si>
  <si>
    <t>SCARFO VINCENT P &amp; KATHLEEN M</t>
  </si>
  <si>
    <t>RICHIE</t>
  </si>
  <si>
    <t>DEBORAH</t>
  </si>
  <si>
    <t>RICHIE &amp; DEBORAH MARIE</t>
  </si>
  <si>
    <t xml:space="preserve">1046 S STORMENT LN </t>
  </si>
  <si>
    <t>RICHLE BENJAMIN ALAN</t>
  </si>
  <si>
    <t>DARRIC</t>
  </si>
  <si>
    <t>WRIGHT</t>
  </si>
  <si>
    <t>DARRIC WRIGHT</t>
  </si>
  <si>
    <t xml:space="preserve">4118 E AMBER LN </t>
  </si>
  <si>
    <t>SF-D</t>
  </si>
  <si>
    <t>PENNYMAC</t>
  </si>
  <si>
    <t>WESTLAKE VILLAGE CA 91361</t>
  </si>
  <si>
    <t>DARRIC D WRIGHT</t>
  </si>
  <si>
    <t>BRANDI L WRIGHT</t>
  </si>
  <si>
    <t>DIANA</t>
  </si>
  <si>
    <t>DOUYON</t>
  </si>
  <si>
    <t>DIANA DOUYON</t>
  </si>
  <si>
    <t xml:space="preserve">4434 N GOLF DR </t>
  </si>
  <si>
    <t>R025</t>
  </si>
  <si>
    <t>VERRADO PHASE 3 NORTH UNIT 3 PARCEL 5.50</t>
  </si>
  <si>
    <t>VERRADO ELEMENTARY SCHOOL</t>
  </si>
  <si>
    <t>NOVA FIN'L &amp; INV CORP</t>
  </si>
  <si>
    <t>TUCSON AZ 85711</t>
  </si>
  <si>
    <t>DOUYON GEORGES</t>
  </si>
  <si>
    <t>LANDINGS CU</t>
  </si>
  <si>
    <t>RAYMOND</t>
  </si>
  <si>
    <t>ABAIGAR</t>
  </si>
  <si>
    <t>RAYMOND &amp; MARIA ABAIGAR</t>
  </si>
  <si>
    <t xml:space="preserve">863 S ANNIE LN </t>
  </si>
  <si>
    <t>COOLEY STATION NORTH PARCEL 2 VARIOUS LO</t>
  </si>
  <si>
    <t>ABAIGAR RAYMOND T &amp; MARIA R P</t>
  </si>
  <si>
    <t>VERNET</t>
  </si>
  <si>
    <t>LYNETTE</t>
  </si>
  <si>
    <t>VERNET &amp; LYNETTE JOSEPH</t>
  </si>
  <si>
    <t xml:space="preserve">5012 S NEWTON TER </t>
  </si>
  <si>
    <t>R045</t>
  </si>
  <si>
    <t>EASTMARK DU-7 SOUTH PARCEL 7-20</t>
  </si>
  <si>
    <t>JACK BARNES ELEMENTARY SCHOOL</t>
  </si>
  <si>
    <t>QUEEN CREEK MIDDLE SCHOOL</t>
  </si>
  <si>
    <t>MARACAY 91 LLC</t>
  </si>
  <si>
    <t>JOSEPH VERNET A &amp; LYNETTE M</t>
  </si>
  <si>
    <t>MOORE TRUST</t>
  </si>
  <si>
    <t>MOORE</t>
  </si>
  <si>
    <t xml:space="preserve">7339 E PLATA AVE </t>
  </si>
  <si>
    <t>R090</t>
  </si>
  <si>
    <t>DESERT PLACE AT MORRISON RANCH PHASE 1</t>
  </si>
  <si>
    <t>THE ESTATES AT MORRISON RANCH</t>
  </si>
  <si>
    <t>BOULDER CREEK ELEMENTARY SCHOOL</t>
  </si>
  <si>
    <t>HIGHLAND JR HIGH SCHOOL</t>
  </si>
  <si>
    <t>DESERT RIDGE HIGH SCHOOL</t>
  </si>
  <si>
    <t>PULTE MTG LLC</t>
  </si>
  <si>
    <t>MOORE EDWARD D &amp; JOYCE B</t>
  </si>
  <si>
    <t>DUANE</t>
  </si>
  <si>
    <t>CARTER</t>
  </si>
  <si>
    <t>MALYNDA</t>
  </si>
  <si>
    <t>SIMO</t>
  </si>
  <si>
    <t>DUANE CARTER &amp; MALYNDA SIMO</t>
  </si>
  <si>
    <t xml:space="preserve">18481 W MONTECITO AVE </t>
  </si>
  <si>
    <t>CARTER DUANE M</t>
  </si>
  <si>
    <t>SIMO MALYNDA R</t>
  </si>
  <si>
    <t>US SENATE FCU</t>
  </si>
  <si>
    <t>SHONK</t>
  </si>
  <si>
    <t>JO</t>
  </si>
  <si>
    <t>SHONK &amp; MARY JO</t>
  </si>
  <si>
    <t xml:space="preserve">7445 E OSAGE AVE </t>
  </si>
  <si>
    <t>SHONK CLYDE JOSEPH &amp; MARY JO</t>
  </si>
  <si>
    <t>WILLIAM</t>
  </si>
  <si>
    <t>JOHNSTON</t>
  </si>
  <si>
    <t>WILLIAM JOHNSTON</t>
  </si>
  <si>
    <t xml:space="preserve">4551 S PINALENO DR </t>
  </si>
  <si>
    <t>TOLL BROTHERS AZ LP</t>
  </si>
  <si>
    <t>ACADEMY MTG CORP</t>
  </si>
  <si>
    <t>SANDY UT 84094</t>
  </si>
  <si>
    <t>JOHNSTON WILLIAM F JR</t>
  </si>
  <si>
    <t>STALLINGS</t>
  </si>
  <si>
    <t>WILLIAM STALLINGS</t>
  </si>
  <si>
    <t xml:space="preserve">3843 E GIDEON WAY </t>
  </si>
  <si>
    <t>COOLEY STATION NORTH PARCEL 1 VARIOUS LO</t>
  </si>
  <si>
    <t>STALLINGS WILLIAM B</t>
  </si>
  <si>
    <t>JARED</t>
  </si>
  <si>
    <t>JOHNSON</t>
  </si>
  <si>
    <t>YVONNE</t>
  </si>
  <si>
    <t>JARED &amp; YVONNE JOHNSON</t>
  </si>
  <si>
    <t xml:space="preserve">4386 N 185TH AVE </t>
  </si>
  <si>
    <t>RELIANCE FIRST CAP</t>
  </si>
  <si>
    <t>JARED E JOHNSON</t>
  </si>
  <si>
    <t>YVONNE JOHNSON</t>
  </si>
  <si>
    <t>ERIC</t>
  </si>
  <si>
    <t>BEHAN</t>
  </si>
  <si>
    <t>ERIC BEHAN</t>
  </si>
  <si>
    <t xml:space="preserve">4404 E GLACIER PL </t>
  </si>
  <si>
    <t>FINISTERRA REPLAT</t>
  </si>
  <si>
    <t>FINISTERRA</t>
  </si>
  <si>
    <t>R-18</t>
  </si>
  <si>
    <t>RYLAND HOMES OF ARIZONA INC</t>
  </si>
  <si>
    <t>RMC MTG</t>
  </si>
  <si>
    <t>BEHAN ERIC E</t>
  </si>
  <si>
    <t>ALFRED</t>
  </si>
  <si>
    <t>CARRIZOSA</t>
  </si>
  <si>
    <t>PAULINE</t>
  </si>
  <si>
    <t>ALFRED &amp; PAULINE CARRIZOSA</t>
  </si>
  <si>
    <t xml:space="preserve">10048 W JASMINE TRL </t>
  </si>
  <si>
    <t>R060</t>
  </si>
  <si>
    <t>TIERRA DEL RIO PARCEL 27 REPLAT</t>
  </si>
  <si>
    <t>VISTANCIA ELEMENTARY SCHOOL</t>
  </si>
  <si>
    <t>TAYLOR MORRISON HOME FUNDING</t>
  </si>
  <si>
    <t>CARRIZOSA ALFRED J &amp; PAULINE</t>
  </si>
  <si>
    <t>ALBERT AND CARRIE ANTARAN TRUST</t>
  </si>
  <si>
    <t xml:space="preserve">14918 W DREYFUS ST </t>
  </si>
  <si>
    <t>SURPRISE</t>
  </si>
  <si>
    <t>MARLEY PARK PCL 12 LOTS 12093 THRU 12192</t>
  </si>
  <si>
    <t>MARLEY PARK ELEMENTARY SCHOOL</t>
  </si>
  <si>
    <t>DYSART HIGH SCHOOL</t>
  </si>
  <si>
    <t>MATTAMY ARIZONA LLC</t>
  </si>
  <si>
    <t>MATTAMY HM FNDG</t>
  </si>
  <si>
    <t>ANTARAN ALBERT F &amp; CARRIE L</t>
  </si>
  <si>
    <t>TIMOTHY</t>
  </si>
  <si>
    <t>EVERSOLE</t>
  </si>
  <si>
    <t>MIRANDA</t>
  </si>
  <si>
    <t>TIMOTHY &amp; MIRANDA EVERSOLE</t>
  </si>
  <si>
    <t xml:space="preserve">4946 S EASTERN RUN </t>
  </si>
  <si>
    <t>EASTMARK DU-7 SOUTH PARCEL 7-3B</t>
  </si>
  <si>
    <t>WOODSIDE HMS SALES AZ LLC</t>
  </si>
  <si>
    <t>EVERSOLE TIMOTHY W &amp; MIRANDA</t>
  </si>
  <si>
    <t>NIBBELINK</t>
  </si>
  <si>
    <t>NIBBELINK &amp; JENNIFER LYNN</t>
  </si>
  <si>
    <t xml:space="preserve">5005 S SELENIUM LN </t>
  </si>
  <si>
    <t>EASTMARK DU-7 SOUTH PARCEL 7-19</t>
  </si>
  <si>
    <t>TAYLOR MORRISON HM FUNDING LLC</t>
  </si>
  <si>
    <t>MAITLAND FL 32751</t>
  </si>
  <si>
    <t>NIBBELINK DARREN &amp; JENNIFER L</t>
  </si>
  <si>
    <t>TRUWEST CU</t>
  </si>
  <si>
    <t>TEMPE AZ 85281</t>
  </si>
  <si>
    <t>DARREN NIBBELINK</t>
  </si>
  <si>
    <t>JENNIFER L NIBBELINK</t>
  </si>
  <si>
    <t>WALTON</t>
  </si>
  <si>
    <t>MORRIS</t>
  </si>
  <si>
    <t>NOVELETTE</t>
  </si>
  <si>
    <t>WALTON &amp; NOVELETTE MORRIS</t>
  </si>
  <si>
    <t xml:space="preserve">3762 W TERESA DR </t>
  </si>
  <si>
    <t>ARROYO NORTE UNIT 5 6 AND 7 REPLAT</t>
  </si>
  <si>
    <t>ARROYO NORTE</t>
  </si>
  <si>
    <t>GAVILAN PEAK SCHOOL</t>
  </si>
  <si>
    <t>SUN WEST MORTGAGE USA INC FN</t>
  </si>
  <si>
    <t>MORRIS WALTON L &amp; NOVELETTE M</t>
  </si>
  <si>
    <t>ALBERT</t>
  </si>
  <si>
    <t>CASADOS</t>
  </si>
  <si>
    <t>ROSE</t>
  </si>
  <si>
    <t>ALBERT &amp; ROSE CASADOS</t>
  </si>
  <si>
    <t xml:space="preserve">18404 W ROMA AVE </t>
  </si>
  <si>
    <t>CLEARPATH LNDG</t>
  </si>
  <si>
    <t>IRVINE CA 92618</t>
  </si>
  <si>
    <t>ALBERT L CASADOS</t>
  </si>
  <si>
    <t>ROSE CASADOS</t>
  </si>
  <si>
    <t>BERRY</t>
  </si>
  <si>
    <t>BRANDEE</t>
  </si>
  <si>
    <t>TIMOTHY &amp; BRANDEE BERRY</t>
  </si>
  <si>
    <t xml:space="preserve">3920 E STRAWBERRY DR </t>
  </si>
  <si>
    <t>R074</t>
  </si>
  <si>
    <t>BRIDGES NORTH</t>
  </si>
  <si>
    <t>CARDINAL FIN'L CO LP</t>
  </si>
  <si>
    <t>BERRY TIMOTHY G &amp; BRANDEE W</t>
  </si>
  <si>
    <t>LIBUIT</t>
  </si>
  <si>
    <t>MICHAEL LIBUIT</t>
  </si>
  <si>
    <t xml:space="preserve">20064 E DOMINGO RD </t>
  </si>
  <si>
    <t>R059</t>
  </si>
  <si>
    <t xml:space="preserve">20052 E DOMINGO RD </t>
  </si>
  <si>
    <t>VICTORIA PARCEL 11 AND 11A</t>
  </si>
  <si>
    <t>VICTORIA</t>
  </si>
  <si>
    <t>LIBUIT MICHAEL</t>
  </si>
  <si>
    <t>WINDI</t>
  </si>
  <si>
    <t>WINTERS</t>
  </si>
  <si>
    <t>JUSTIN</t>
  </si>
  <si>
    <t>WINDI &amp; JUSTIN WINTERS</t>
  </si>
  <si>
    <t xml:space="preserve">10733 E SANGER AVE </t>
  </si>
  <si>
    <t>EASTMARK DU-7 SOUTH PARCEL 7-4B</t>
  </si>
  <si>
    <t>KS STATEBANK</t>
  </si>
  <si>
    <t>WINTERS WINDI</t>
  </si>
  <si>
    <t>CHARLES</t>
  </si>
  <si>
    <t>PALMER</t>
  </si>
  <si>
    <t>LINDA</t>
  </si>
  <si>
    <t>CHARLES &amp; LINDA PALMER</t>
  </si>
  <si>
    <t xml:space="preserve">4125 E GRAND CANYON DR </t>
  </si>
  <si>
    <t>PASTORINO</t>
  </si>
  <si>
    <t>VAQUERO RANCH</t>
  </si>
  <si>
    <t>MARACAY VR LLC</t>
  </si>
  <si>
    <t>QUICKEN LNS INC</t>
  </si>
  <si>
    <t>PALMER CHARLES M &amp; LINDA</t>
  </si>
  <si>
    <t>FREDERICK</t>
  </si>
  <si>
    <t>MOSELEY</t>
  </si>
  <si>
    <t>HOLLY</t>
  </si>
  <si>
    <t>FREDERICK &amp; HOLLY MOSELEY</t>
  </si>
  <si>
    <t xml:space="preserve">10211 E STARION AVE </t>
  </si>
  <si>
    <t>MONEY SOURCE INC</t>
  </si>
  <si>
    <t>MOSELEY FREDERICK R IV &amp; HOLLY K</t>
  </si>
  <si>
    <t>LINDSEY FAMILY TRUST</t>
  </si>
  <si>
    <t>LINDSEY</t>
  </si>
  <si>
    <t xml:space="preserve">2827 E MUIRFIELD ST </t>
  </si>
  <si>
    <t>R125</t>
  </si>
  <si>
    <t>164TH AND CLOUD</t>
  </si>
  <si>
    <t>SF-15</t>
  </si>
  <si>
    <t>USAA FSB</t>
  </si>
  <si>
    <t>LINDSEY RONALD A</t>
  </si>
  <si>
    <t>BERLAN</t>
  </si>
  <si>
    <t>STEPHANIE</t>
  </si>
  <si>
    <t>BERLAN &amp; STEPHANIE LYNN</t>
  </si>
  <si>
    <t xml:space="preserve">18409 W MONTECITO AVE </t>
  </si>
  <si>
    <t>BERLAN JOHN C &amp; STEPHANIE L</t>
  </si>
  <si>
    <t>DAMON M CECIL JR FAMILY LIVING TRUST</t>
  </si>
  <si>
    <t>M DAMON</t>
  </si>
  <si>
    <t xml:space="preserve">964 E DUMBARTON AVE </t>
  </si>
  <si>
    <t>R001</t>
  </si>
  <si>
    <t xml:space="preserve">2275 W GAIL DR </t>
  </si>
  <si>
    <t>LAYTON LAKES PHASE 2 GILBERT PARCEL 15</t>
  </si>
  <si>
    <t>HALEY ELEMENTARY SCHOOL</t>
  </si>
  <si>
    <t>PLAZA HM MTG INC</t>
  </si>
  <si>
    <t>PHOENIX AZ 85016</t>
  </si>
  <si>
    <t>CECIL DAMON M</t>
  </si>
  <si>
    <t>ARIZONA BK</t>
  </si>
  <si>
    <t>CHANDLER AZ 85226-4980</t>
  </si>
  <si>
    <t>CECIL DAMON M JR FAMILY TRUST</t>
  </si>
  <si>
    <t>DOROTHEY</t>
  </si>
  <si>
    <t>WATSON</t>
  </si>
  <si>
    <t>DOROTHEY WATSON</t>
  </si>
  <si>
    <t xml:space="preserve">5060 S ADVANT TER </t>
  </si>
  <si>
    <t>EASTMARK DU-7 SOUTH PARCEL 7-3A</t>
  </si>
  <si>
    <t>STANDARD PACIFIC OF ARIZONA I</t>
  </si>
  <si>
    <t>360 MTG GROUP LLC</t>
  </si>
  <si>
    <t>AUSTIN TX 78726</t>
  </si>
  <si>
    <t>WATSON HENRY L &amp; DOROTHEY</t>
  </si>
  <si>
    <t>TROY</t>
  </si>
  <si>
    <t>TREVORROW</t>
  </si>
  <si>
    <t>TROY TREVORROW</t>
  </si>
  <si>
    <t xml:space="preserve">3145 E HALF HITCH PL </t>
  </si>
  <si>
    <t>C102</t>
  </si>
  <si>
    <t>RIDGEVIEW</t>
  </si>
  <si>
    <t>THE ESTATES AT RIDGEVIEW</t>
  </si>
  <si>
    <t>R-43AG</t>
  </si>
  <si>
    <t>MOUNTAIN TRAIL MIDDLE SCHOOL</t>
  </si>
  <si>
    <t>PINNACLE HIGH SCHOOL</t>
  </si>
  <si>
    <t>JG WENTWORTH HOME LENDING INC</t>
  </si>
  <si>
    <t>TREVORROW TROY</t>
  </si>
  <si>
    <t>JEFFERY</t>
  </si>
  <si>
    <t>BRUMMER</t>
  </si>
  <si>
    <t>PATRICIA</t>
  </si>
  <si>
    <t>JEFFERY &amp; PATRICIA BRUMMER</t>
  </si>
  <si>
    <t xml:space="preserve">3664 E GIDEON WAY </t>
  </si>
  <si>
    <t>BRUMMER JEFFERY E &amp; PATRICIA</t>
  </si>
  <si>
    <t>CARROLL FAMILY TRUST</t>
  </si>
  <si>
    <t>CARROLL FAMILY</t>
  </si>
  <si>
    <t xml:space="preserve">11140 E OCASO AVE </t>
  </si>
  <si>
    <t>R070</t>
  </si>
  <si>
    <t>SUNLAND SPRINGS VILLAGE UNIT 7 PHASE 2</t>
  </si>
  <si>
    <t>MERIDIAN ELEMENTARY SCHOOL</t>
  </si>
  <si>
    <t>DESERT RIDGE JR. HIGH SCHOOL</t>
  </si>
  <si>
    <t>SPRINGS SEVEN DEV INC</t>
  </si>
  <si>
    <t>CARROLL PHILLIP &amp; DONNA R</t>
  </si>
  <si>
    <t>PANICKER</t>
  </si>
  <si>
    <t>IULIIA</t>
  </si>
  <si>
    <t>KIOSIA</t>
  </si>
  <si>
    <t>PANICKER &amp; KIOSIA IULIIA</t>
  </si>
  <si>
    <t xml:space="preserve">255 E COCONINO DR </t>
  </si>
  <si>
    <t>PANICKER TISCHI B</t>
  </si>
  <si>
    <t>KIOSIA IULIIA</t>
  </si>
  <si>
    <t>GILLON</t>
  </si>
  <si>
    <t>HANSON</t>
  </si>
  <si>
    <t>HEIDY</t>
  </si>
  <si>
    <t>GILLON &amp; HEIDY HANSON</t>
  </si>
  <si>
    <t xml:space="preserve">124 E PRESCOTT DR </t>
  </si>
  <si>
    <t>HANSON GILLON D &amp; HEIDY H</t>
  </si>
  <si>
    <t>KRAJNAK</t>
  </si>
  <si>
    <t>GLORIA</t>
  </si>
  <si>
    <t>ROBERT &amp; GLORIA KRAJNAK</t>
  </si>
  <si>
    <t xml:space="preserve">21806 N 263RD DR </t>
  </si>
  <si>
    <t>H075</t>
  </si>
  <si>
    <t>SUN CITY FESTIVAL PARCEL L1</t>
  </si>
  <si>
    <t>UNITED MILITARY MORTGAGE LLC</t>
  </si>
  <si>
    <t>KRAJNAK ROBERT C &amp; GLORIA B</t>
  </si>
  <si>
    <t>RICARDO</t>
  </si>
  <si>
    <t>CASTILLO</t>
  </si>
  <si>
    <t>RICARDO CASTILLO</t>
  </si>
  <si>
    <t xml:space="preserve">5657 W SUNLAND AVE </t>
  </si>
  <si>
    <t>PASEO POINTE ELEMENTARY SCHOOL</t>
  </si>
  <si>
    <t>LAVEEN ELEMENTARY SCHOOL</t>
  </si>
  <si>
    <t>CLEARPATH LENDING</t>
  </si>
  <si>
    <t>CASTILLO RICARDO</t>
  </si>
  <si>
    <t>CESARO-FUENTES</t>
  </si>
  <si>
    <t>CESARO</t>
  </si>
  <si>
    <t>KAREN CESARO-FUENTES &amp; MICHAEL CESARO</t>
  </si>
  <si>
    <t xml:space="preserve">2135 N HERITAGE ST </t>
  </si>
  <si>
    <t xml:space="preserve">20538 W EDGEMONT AVE </t>
  </si>
  <si>
    <t>CESARO RICHARD</t>
  </si>
  <si>
    <t>SCOTT</t>
  </si>
  <si>
    <t>FRITSCHE</t>
  </si>
  <si>
    <t>JULIE</t>
  </si>
  <si>
    <t>SCOTT &amp; JULIE FRITSCHE</t>
  </si>
  <si>
    <t xml:space="preserve">1737 N 211TH DR </t>
  </si>
  <si>
    <t>PRIMARY RESID'L MTG INC</t>
  </si>
  <si>
    <t>FRITSCHE SCOTT</t>
  </si>
  <si>
    <t>IRIZARRY</t>
  </si>
  <si>
    <t>MARCUS IRIZARRY</t>
  </si>
  <si>
    <t xml:space="preserve">21142 W CORONADO RD </t>
  </si>
  <si>
    <t>IRIZARRY MARCUS A</t>
  </si>
  <si>
    <t>ANDRA</t>
  </si>
  <si>
    <t>CLARKE</t>
  </si>
  <si>
    <t>ANDRA CLARKE</t>
  </si>
  <si>
    <t xml:space="preserve">11726 W MAUI LN </t>
  </si>
  <si>
    <t>CLARKE ANDRA</t>
  </si>
  <si>
    <t>PEDRO</t>
  </si>
  <si>
    <t>GONZALEZ</t>
  </si>
  <si>
    <t>NEMESIA</t>
  </si>
  <si>
    <t>PEDRO &amp; NEMESIA GONZALEZ</t>
  </si>
  <si>
    <t xml:space="preserve">14925 W DREYFUS ST </t>
  </si>
  <si>
    <t xml:space="preserve">14295 W DREYFUS ST </t>
  </si>
  <si>
    <t>GONZALEZ PEDRO S &amp; NEMESIA</t>
  </si>
  <si>
    <t>HARRELL</t>
  </si>
  <si>
    <t>LISSANDRA</t>
  </si>
  <si>
    <t>MICHAEL &amp; LISSANDRA HARRELL</t>
  </si>
  <si>
    <t xml:space="preserve">1658 N 214TH LN </t>
  </si>
  <si>
    <t>RE-RECORDED DEED</t>
  </si>
  <si>
    <t>PACIFIC UNION FIN'L</t>
  </si>
  <si>
    <t>HARRELL MICHAEL A &amp; LISSANDRA M</t>
  </si>
  <si>
    <t>EDGETT</t>
  </si>
  <si>
    <t>MAE</t>
  </si>
  <si>
    <t>DAVLYN</t>
  </si>
  <si>
    <t>EDGETT &amp; DAVLYN MAE</t>
  </si>
  <si>
    <t xml:space="preserve">21262 W CORONADO RD </t>
  </si>
  <si>
    <t>EDGETT TYLER A</t>
  </si>
  <si>
    <t>EDGETT TYLER A &amp; DAVLYN M</t>
  </si>
  <si>
    <t>ELIZABETH</t>
  </si>
  <si>
    <t>BUTLER</t>
  </si>
  <si>
    <t>ELIZABETH BUTLER</t>
  </si>
  <si>
    <t xml:space="preserve">21246 W BERKELEY RD </t>
  </si>
  <si>
    <t>BUTLER ELIZABETH M</t>
  </si>
  <si>
    <t>RENE AND KATHY SCHARFE TRUST</t>
  </si>
  <si>
    <t xml:space="preserve">21232 W CORONADO RD </t>
  </si>
  <si>
    <t>SCHARFE RENE</t>
  </si>
  <si>
    <t>GONZALEZ FAMILY LIVING TRUST</t>
  </si>
  <si>
    <t xml:space="preserve">2464 E STACEY RD </t>
  </si>
  <si>
    <t>ADORA TRAILS PARCEL 6</t>
  </si>
  <si>
    <t>DETROIT MI 482261906</t>
  </si>
  <si>
    <t>GONZALEZ MICHAEL A &amp; JODI S</t>
  </si>
  <si>
    <t>RANDOLPH</t>
  </si>
  <si>
    <t>ROBERT &amp; LINDSEY RANDOLPH</t>
  </si>
  <si>
    <t xml:space="preserve">7557 E ONZA AVE </t>
  </si>
  <si>
    <t>RANDOLPH ROBERT D &amp; LINDSEY M</t>
  </si>
  <si>
    <t>DANGELO</t>
  </si>
  <si>
    <t>GRACIELA</t>
  </si>
  <si>
    <t>REYES-DANGELO</t>
  </si>
  <si>
    <t>ROBERT DANGELO &amp; GRACIELA REYES-DANGELO</t>
  </si>
  <si>
    <t xml:space="preserve">3969 E BLUE SPRUCE LN </t>
  </si>
  <si>
    <t>BRIDGES EAST PARCEL 3-3</t>
  </si>
  <si>
    <t>DANGELO ROBERT D</t>
  </si>
  <si>
    <t>REYES-DANGELO GRACIELA M</t>
  </si>
  <si>
    <t>ARIZONA HOME FORECLOSURE PREVE</t>
  </si>
  <si>
    <t>D ANGELO ROBERT D</t>
  </si>
  <si>
    <t>REYES D ANGELO GRACI M</t>
  </si>
  <si>
    <t>VERGIN</t>
  </si>
  <si>
    <t>VICTORIA VERGIN</t>
  </si>
  <si>
    <t xml:space="preserve">10655 E LINCOLN AVE </t>
  </si>
  <si>
    <t>EASTMARK DU-7 SOUTH PARCEL 7-1</t>
  </si>
  <si>
    <t>FOOTHILL RANCH CA 92610</t>
  </si>
  <si>
    <t>VICTORIA J VERGIN</t>
  </si>
  <si>
    <t>ADAM</t>
  </si>
  <si>
    <t>BARKER</t>
  </si>
  <si>
    <t>ERIKA</t>
  </si>
  <si>
    <t>ADAM &amp; ERIKA BARKER</t>
  </si>
  <si>
    <t xml:space="preserve">7402 E ONZA AVE </t>
  </si>
  <si>
    <t>BARKER ADAM R &amp; ERIKA D</t>
  </si>
  <si>
    <t>JENNETTE</t>
  </si>
  <si>
    <t>FANT</t>
  </si>
  <si>
    <t>JOHN</t>
  </si>
  <si>
    <t>JENNETTE &amp; JOHN FANT</t>
  </si>
  <si>
    <t xml:space="preserve">5501 S JOSHUA TREE LN </t>
  </si>
  <si>
    <t>FANT JOHN W &amp; JENNETTE</t>
  </si>
  <si>
    <t>FRANK-CAMPBELL FAM L &amp; TRUST</t>
  </si>
  <si>
    <t>FAM FRANK-CAMPBELL</t>
  </si>
  <si>
    <t xml:space="preserve">1165 E KINGBIRD DR </t>
  </si>
  <si>
    <t>R130</t>
  </si>
  <si>
    <t>COPPERLEAF</t>
  </si>
  <si>
    <t>HOMEBRIDGE FIN'L SVCS INC</t>
  </si>
  <si>
    <t>ISELIN NJ 08830</t>
  </si>
  <si>
    <t>FRANK FREDERICK J</t>
  </si>
  <si>
    <t>CAMPBELL SUSAN E</t>
  </si>
  <si>
    <t>KAMEN TRUST</t>
  </si>
  <si>
    <t>NANCY</t>
  </si>
  <si>
    <t>KAMEN</t>
  </si>
  <si>
    <t xml:space="preserve">10022 W SPUR DR </t>
  </si>
  <si>
    <t>HOWARD BK</t>
  </si>
  <si>
    <t>ELLICOTT CITY MD 21043</t>
  </si>
  <si>
    <t>KAMEN STEPHAN A &amp; NANCY L</t>
  </si>
  <si>
    <t>VICKIE</t>
  </si>
  <si>
    <t>WRIGHT &amp; VICKIE LYNN</t>
  </si>
  <si>
    <t xml:space="preserve">20123 E MAYA RD </t>
  </si>
  <si>
    <t>R-9</t>
  </si>
  <si>
    <t>WRIGHT KENNETH D JR &amp; VICKIE L</t>
  </si>
  <si>
    <t>HENDRIX</t>
  </si>
  <si>
    <t>CASSANDRA</t>
  </si>
  <si>
    <t>FREDERICK &amp; CASSANDRA HENDRIX</t>
  </si>
  <si>
    <t xml:space="preserve">10329 E CATALYST AVE </t>
  </si>
  <si>
    <t>HENDRIX FREDERICK &amp; CASSANDRA</t>
  </si>
  <si>
    <t>NOT AVAILABLE FROM THE COUNTY</t>
  </si>
  <si>
    <t xml:space="preserve">2965 E GLENHAVEN DR </t>
  </si>
  <si>
    <t>C021</t>
  </si>
  <si>
    <t>DESERT VISTAS</t>
  </si>
  <si>
    <t>KYRENE DE LA ESTRELLA ELEMENTARY SCHOOL</t>
  </si>
  <si>
    <t>KYRENE AKIMEL A-AL MIDDLE SCHOOL</t>
  </si>
  <si>
    <t>DESERT VISTA HIGH SCHOOL</t>
  </si>
  <si>
    <t>MCLINN MICHAEL L</t>
  </si>
  <si>
    <t>FULK</t>
  </si>
  <si>
    <t>SUSAN</t>
  </si>
  <si>
    <t>DAVID &amp; SUSAN FULK</t>
  </si>
  <si>
    <t xml:space="preserve">26769 W SIERRA PINTA DR </t>
  </si>
  <si>
    <t>NORTH AMERICAN SVGS BK FSB</t>
  </si>
  <si>
    <t>FULK DAVID L &amp; SUSAN T</t>
  </si>
  <si>
    <t>ANDREW</t>
  </si>
  <si>
    <t>FREITAG</t>
  </si>
  <si>
    <t>ANDREW &amp; LEIGHA FREITAG</t>
  </si>
  <si>
    <t xml:space="preserve">14859 W SURREY DR </t>
  </si>
  <si>
    <t>FREITAG ANDREW J &amp; LEIGHA B</t>
  </si>
  <si>
    <t>JACK</t>
  </si>
  <si>
    <t>HYDEN</t>
  </si>
  <si>
    <t>CAROL</t>
  </si>
  <si>
    <t>JACK &amp; CAROL HYDEN</t>
  </si>
  <si>
    <t xml:space="preserve">20083 E ESCALANTE RD </t>
  </si>
  <si>
    <t>NORTH AMERICAN FIN'L CORP</t>
  </si>
  <si>
    <t>HYDEN JACK P &amp; CAROL</t>
  </si>
  <si>
    <t>BERTRAM</t>
  </si>
  <si>
    <t>ROBERT BERTRAM</t>
  </si>
  <si>
    <t xml:space="preserve">3885 E RAKESTRAW LN </t>
  </si>
  <si>
    <t>BRIDGES EAST PARCEL 3-2</t>
  </si>
  <si>
    <t>MARACAY BRIDGES LLC</t>
  </si>
  <si>
    <t>AMERICAN PACIFIC MTG CORP</t>
  </si>
  <si>
    <t>BERTRAM ROBERT A</t>
  </si>
  <si>
    <t>ALAINA</t>
  </si>
  <si>
    <t>TUCKER</t>
  </si>
  <si>
    <t>ALAINA TUCKER</t>
  </si>
  <si>
    <t xml:space="preserve">7504 E ONZA AVE </t>
  </si>
  <si>
    <t>TUCKER ALAINA &amp; CHAD</t>
  </si>
  <si>
    <t>FRANK</t>
  </si>
  <si>
    <t>VARGAS</t>
  </si>
  <si>
    <t>FRANK &amp; SANDRA VARGAS</t>
  </si>
  <si>
    <t xml:space="preserve">5208 S SETON CT </t>
  </si>
  <si>
    <t>BRIDGES AT GILBERT PHASE 1 PARCEL 6</t>
  </si>
  <si>
    <t>FRANK G VARGAS</t>
  </si>
  <si>
    <t>SANDRA A VARGAS</t>
  </si>
  <si>
    <t>KEEFE</t>
  </si>
  <si>
    <t>KIMBERLY</t>
  </si>
  <si>
    <t>TIMOTHY &amp; KIMBERLY KEEFE</t>
  </si>
  <si>
    <t xml:space="preserve">10614 E SANGER AVE </t>
  </si>
  <si>
    <t>WOODSIDE TRAILS NORTH OF HORS</t>
  </si>
  <si>
    <t>KEEFE TIMOTHY &amp; KIMBERLY</t>
  </si>
  <si>
    <t>MUTH</t>
  </si>
  <si>
    <t>MICHELLE</t>
  </si>
  <si>
    <t>SCOTT &amp; MICHELLE MUTH</t>
  </si>
  <si>
    <t xml:space="preserve">4108 S MCMINN DR </t>
  </si>
  <si>
    <t>SF-8</t>
  </si>
  <si>
    <t>BROKER SOLUTIONS INC</t>
  </si>
  <si>
    <t>MUTH SCOTT &amp; MICHELLE</t>
  </si>
  <si>
    <t>SCOTT MUTH</t>
  </si>
  <si>
    <t>MICHELLE MUTH</t>
  </si>
  <si>
    <t>DEREK</t>
  </si>
  <si>
    <t>JUSTICE</t>
  </si>
  <si>
    <t>MELISSA</t>
  </si>
  <si>
    <t>DEREK &amp; MELISSA JUSTICE</t>
  </si>
  <si>
    <t xml:space="preserve">3879 E RAKESTRAW LN </t>
  </si>
  <si>
    <t>JUSTICE DEREK L &amp; MELISSA M</t>
  </si>
  <si>
    <t>NATASHA</t>
  </si>
  <si>
    <t>WADE</t>
  </si>
  <si>
    <t>LOUIS</t>
  </si>
  <si>
    <t>NATASHA &amp; LOUIS WADE</t>
  </si>
  <si>
    <t xml:space="preserve">7458 E PORTOBELLO AVE </t>
  </si>
  <si>
    <t>WADE NATASHA M &amp; LOUIS R</t>
  </si>
  <si>
    <t>JAMES</t>
  </si>
  <si>
    <t>MCCARTHY</t>
  </si>
  <si>
    <t>CECILIA</t>
  </si>
  <si>
    <t>OCHOA</t>
  </si>
  <si>
    <t>JAMES MCCARTHY &amp; CECILIA OCHOA</t>
  </si>
  <si>
    <t xml:space="preserve">2976 E SALTSAGE DR </t>
  </si>
  <si>
    <t>MCCARTHY JAMES J</t>
  </si>
  <si>
    <t>OCHOA CECILIA</t>
  </si>
  <si>
    <t>HANKS</t>
  </si>
  <si>
    <t>SHELLY</t>
  </si>
  <si>
    <t>SCOTT &amp; SHELLY HANKS</t>
  </si>
  <si>
    <t xml:space="preserve">7913 S LANCASTER ST </t>
  </si>
  <si>
    <t>HANKS SCOTT L &amp; SHELLY L</t>
  </si>
  <si>
    <t>DANIEL</t>
  </si>
  <si>
    <t>PHELAN</t>
  </si>
  <si>
    <t>RHONDA</t>
  </si>
  <si>
    <t>DANIEL &amp; RHONDA PHELAN</t>
  </si>
  <si>
    <t xml:space="preserve">10515 E HAWK AVE </t>
  </si>
  <si>
    <t>EASTMARK DU-7 SOUTH PARCEL 7-2</t>
  </si>
  <si>
    <t>PHELAN DANIEL L &amp; RHONDA L</t>
  </si>
  <si>
    <t>SCHWENNING</t>
  </si>
  <si>
    <t>BEVERLY</t>
  </si>
  <si>
    <t>TYLER &amp; BEVERLY SCHWENNING</t>
  </si>
  <si>
    <t xml:space="preserve">5138 S CENTRIC WAY </t>
  </si>
  <si>
    <t>SCHWENNING TYLER</t>
  </si>
  <si>
    <t>KRISTIN</t>
  </si>
  <si>
    <t>KURTENBACH</t>
  </si>
  <si>
    <t>KRISTIN KURTENBACH</t>
  </si>
  <si>
    <t xml:space="preserve">44044 N HUDSON TRL </t>
  </si>
  <si>
    <t>DENVER CO 80237</t>
  </si>
  <si>
    <t>KURTENBACH KRISTIN M</t>
  </si>
  <si>
    <t>CAREY</t>
  </si>
  <si>
    <t>NUSSBAUM</t>
  </si>
  <si>
    <t>CAREY NUSSBAUM</t>
  </si>
  <si>
    <t xml:space="preserve">2418 E LINDRICK DR </t>
  </si>
  <si>
    <t>ADORA TRAILS PARCEL 5</t>
  </si>
  <si>
    <t>NUSSBAUM CAREY P</t>
  </si>
  <si>
    <t>JP MORGAN CHASE BK NA</t>
  </si>
  <si>
    <t>THEODORE</t>
  </si>
  <si>
    <t>WONG</t>
  </si>
  <si>
    <t>THEODORE &amp; PATRICIA WONG</t>
  </si>
  <si>
    <t xml:space="preserve">10510 E HAWK AVE </t>
  </si>
  <si>
    <t>VIP MTG</t>
  </si>
  <si>
    <t>WONG THEODORE &amp; PATRICIA</t>
  </si>
  <si>
    <t>ADRIAN</t>
  </si>
  <si>
    <t>ANDRADE</t>
  </si>
  <si>
    <t>ADRIAN ANDRADE</t>
  </si>
  <si>
    <t xml:space="preserve">5527 S JOSHUA TREE LN </t>
  </si>
  <si>
    <t>LEND SMART MTG LLC</t>
  </si>
  <si>
    <t>ANDRADE ADRIAN</t>
  </si>
  <si>
    <t>CINALLI</t>
  </si>
  <si>
    <t>CHRISTINE</t>
  </si>
  <si>
    <t>CHRISTINE &amp; CHRISTINE LEE</t>
  </si>
  <si>
    <t xml:space="preserve">26883 N 100TH AVE </t>
  </si>
  <si>
    <t>CINALLI JAMES L II &amp; MARY C</t>
  </si>
  <si>
    <t>JP MORGAN CHASE BK</t>
  </si>
  <si>
    <t>COLUMBUS OH 43240</t>
  </si>
  <si>
    <t>JAMES L CINALLI</t>
  </si>
  <si>
    <t>MARY C CINALLI</t>
  </si>
  <si>
    <t>WESLAN</t>
  </si>
  <si>
    <t>HUNTER</t>
  </si>
  <si>
    <t>JACQUELINE</t>
  </si>
  <si>
    <t>WESLAN &amp; JACQUELINE HUNTER</t>
  </si>
  <si>
    <t xml:space="preserve">10713 E PIVITOL AVE </t>
  </si>
  <si>
    <t>HUNTER WESLAN C &amp; JACQUELINE P</t>
  </si>
  <si>
    <t>BATES</t>
  </si>
  <si>
    <t>MIA</t>
  </si>
  <si>
    <t>ANDREW &amp; MIA BATES</t>
  </si>
  <si>
    <t xml:space="preserve">7408 E PORTOBELLO AVE </t>
  </si>
  <si>
    <t>PULTE HM CORP</t>
  </si>
  <si>
    <t>BATES ANDREW L &amp; MIA J</t>
  </si>
  <si>
    <t>DOUGLAS</t>
  </si>
  <si>
    <t>FREDERICK &amp; LISA DOUGLAS</t>
  </si>
  <si>
    <t xml:space="preserve">23648 S 213TH CT </t>
  </si>
  <si>
    <t>R051</t>
  </si>
  <si>
    <t xml:space="preserve">PO BOX 12 </t>
  </si>
  <si>
    <t>PRESERVE AT HASTINGS FARMSPARCEL D PHASE</t>
  </si>
  <si>
    <t>VILLAS AT HASTING FARMS</t>
  </si>
  <si>
    <t>QUEEN CREEK ELEMENTARY SCHOOL</t>
  </si>
  <si>
    <t>DOUGLAS FREDERICK J &amp; LISA M</t>
  </si>
  <si>
    <t>WILKES</t>
  </si>
  <si>
    <t>EDWARD &amp; MARY WILKES</t>
  </si>
  <si>
    <t xml:space="preserve">10566 E KINETIC DR </t>
  </si>
  <si>
    <t>CALATLANTIC HMS OF ARIZONA IN</t>
  </si>
  <si>
    <t>CALATLANTIC MTG INC</t>
  </si>
  <si>
    <t>WILKES EDWARD W &amp; MARY M</t>
  </si>
  <si>
    <t>COOPER</t>
  </si>
  <si>
    <t>CARL</t>
  </si>
  <si>
    <t>MARY &amp; CARL COOPER</t>
  </si>
  <si>
    <t xml:space="preserve">3637 E BLUE SPRUCE LN </t>
  </si>
  <si>
    <t>BRIDGES EAST PARCEL 3-4</t>
  </si>
  <si>
    <t>COOPER MARY JEANNE</t>
  </si>
  <si>
    <t>EARL</t>
  </si>
  <si>
    <t>WILLIAMS</t>
  </si>
  <si>
    <t>TESSA</t>
  </si>
  <si>
    <t>EARL &amp; TESSA WILLIAMS</t>
  </si>
  <si>
    <t xml:space="preserve">18409 W SELLS DR </t>
  </si>
  <si>
    <t>WILLIAMS EARL C &amp; TESSA M</t>
  </si>
  <si>
    <t>EVANS</t>
  </si>
  <si>
    <t>JESSE &amp; LINDSEY EVANS</t>
  </si>
  <si>
    <t xml:space="preserve">10713 E HAWK AVE </t>
  </si>
  <si>
    <t>JESSE W EVANS</t>
  </si>
  <si>
    <t>LINDSEY D EVANS</t>
  </si>
  <si>
    <t>WHITE</t>
  </si>
  <si>
    <t>DAVID &amp; VICTORIA WHITE</t>
  </si>
  <si>
    <t xml:space="preserve">2431 E HAZELTINE WAY #45 </t>
  </si>
  <si>
    <t xml:space="preserve">2431 E HAZELTINE WAY </t>
  </si>
  <si>
    <t>WHITE DAVID F &amp; VICTORIA L</t>
  </si>
  <si>
    <t>RECARDOW</t>
  </si>
  <si>
    <t>PLATT</t>
  </si>
  <si>
    <t>RECARDOW PLATT</t>
  </si>
  <si>
    <t xml:space="preserve">4911 S QUIET WAY </t>
  </si>
  <si>
    <t>PLATT RECARDOW</t>
  </si>
  <si>
    <t>RICHARD</t>
  </si>
  <si>
    <t>MCMANUS</t>
  </si>
  <si>
    <t>TOMOKO</t>
  </si>
  <si>
    <t>SAITO</t>
  </si>
  <si>
    <t>RICHARD MCMANUS &amp; TOMOKO SAITO</t>
  </si>
  <si>
    <t xml:space="preserve">14861 W PERSHING ST </t>
  </si>
  <si>
    <t>MCMANUS RICHARD P</t>
  </si>
  <si>
    <t>SAITO TOMOKO</t>
  </si>
  <si>
    <t>MALCOLM</t>
  </si>
  <si>
    <t>HERRINGTON</t>
  </si>
  <si>
    <t>LORI</t>
  </si>
  <si>
    <t>MALCOLM &amp; LORI HERRINGTON</t>
  </si>
  <si>
    <t xml:space="preserve">3807 W LANHAM DR </t>
  </si>
  <si>
    <t>FT FIN'L INC</t>
  </si>
  <si>
    <t>HERRINGTON MALCOLM E &amp; LORI L</t>
  </si>
  <si>
    <t>DANNY</t>
  </si>
  <si>
    <t>WELLS</t>
  </si>
  <si>
    <t>SHEILA</t>
  </si>
  <si>
    <t>JOHNS</t>
  </si>
  <si>
    <t>DANNY WELLS &amp; SHEILA JOHNS</t>
  </si>
  <si>
    <t xml:space="preserve">3544 E TIFFANY WAY </t>
  </si>
  <si>
    <t>R124</t>
  </si>
  <si>
    <t>MARBELLA VINEYARDS PHASE 2A REPLAT</t>
  </si>
  <si>
    <t>MARBELLA VINEYARDS</t>
  </si>
  <si>
    <t>AUXIER ELEMENTARY SCHOOL</t>
  </si>
  <si>
    <t>CASTEEL HIGH SCHOOL</t>
  </si>
  <si>
    <t>PARAMOUNT EQUITY MTG</t>
  </si>
  <si>
    <t>ROSEVILLE CA 95661</t>
  </si>
  <si>
    <t>WELLS DANNY L</t>
  </si>
  <si>
    <t>JOHNS SHEILA J</t>
  </si>
  <si>
    <t>SCHMIDT</t>
  </si>
  <si>
    <t>TAMI</t>
  </si>
  <si>
    <t>MICHAEL &amp; TAMI SCHMIDT</t>
  </si>
  <si>
    <t xml:space="preserve">3638 E STRAWBERRY DR </t>
  </si>
  <si>
    <t>SCHMIDT MICHAEL D &amp; TAMI M</t>
  </si>
  <si>
    <t>JACKSON</t>
  </si>
  <si>
    <t>ROBERT &amp; GLORIA JACKSON</t>
  </si>
  <si>
    <t xml:space="preserve">10536 E DIFFRACTION AVE </t>
  </si>
  <si>
    <t>EASTMARK DU-7 SOUTH PARCEL 7-5</t>
  </si>
  <si>
    <t>JACKSON ROBERT E &amp; GLORIA</t>
  </si>
  <si>
    <t>JACKSON GLORIA &amp; ROBERT E</t>
  </si>
  <si>
    <t>FRENCH</t>
  </si>
  <si>
    <t>ALEXA</t>
  </si>
  <si>
    <t>ERIC &amp; ALEXA FRENCH</t>
  </si>
  <si>
    <t xml:space="preserve">10015 W JASMINE TRL </t>
  </si>
  <si>
    <t>FINANCE OF AMERICA MTG LLC</t>
  </si>
  <si>
    <t>FRENCH ERIC C &amp; ALEXA B</t>
  </si>
  <si>
    <t>ARIZONA CTRL CU</t>
  </si>
  <si>
    <t>PHOENIX AZ 85004</t>
  </si>
  <si>
    <t>ERIC C FRENCH</t>
  </si>
  <si>
    <t>ALEXA B FRENCH</t>
  </si>
  <si>
    <t>PAUL</t>
  </si>
  <si>
    <t>RAWLINGS</t>
  </si>
  <si>
    <t>HEIDI</t>
  </si>
  <si>
    <t>PAUL &amp; HEIDI RAWLINGS</t>
  </si>
  <si>
    <t xml:space="preserve">4982 S GIRARD ST </t>
  </si>
  <si>
    <t>BRIDGES AT GILBERT PHASE 1 PARCEL 2</t>
  </si>
  <si>
    <t>PAUL M RAWLINGS</t>
  </si>
  <si>
    <t>HEIDI A RAWLINGS</t>
  </si>
  <si>
    <t>EASTON</t>
  </si>
  <si>
    <t>AKERS</t>
  </si>
  <si>
    <t>NATALIE</t>
  </si>
  <si>
    <t>EASTON &amp; NATALIE AKERS</t>
  </si>
  <si>
    <t xml:space="preserve">845 E TEKOA AVE </t>
  </si>
  <si>
    <t>LAYTON LAKES PHASE 2 GILBERT PARCEL 14</t>
  </si>
  <si>
    <t>SF-6</t>
  </si>
  <si>
    <t>AKERS EASTON &amp; NATALIE</t>
  </si>
  <si>
    <t>BRENT</t>
  </si>
  <si>
    <t>PIATTI</t>
  </si>
  <si>
    <t>BRENT PIATTI</t>
  </si>
  <si>
    <t xml:space="preserve">10318 E TALAMEER AVE </t>
  </si>
  <si>
    <t>PIATTI BRENT M</t>
  </si>
  <si>
    <t>TIFFANY</t>
  </si>
  <si>
    <t>ROBERT &amp; TIFFANY CHANDLER</t>
  </si>
  <si>
    <t xml:space="preserve">10221 E TALAMEER AVE </t>
  </si>
  <si>
    <t>EASTMARK DU-7 SOUTH PARCEL 7-21</t>
  </si>
  <si>
    <t>VETERANS UNITED HM LNS</t>
  </si>
  <si>
    <t>CHANDLER ROBERT R</t>
  </si>
  <si>
    <t>PATRICK</t>
  </si>
  <si>
    <t>KNAGGS</t>
  </si>
  <si>
    <t>LESLEY</t>
  </si>
  <si>
    <t>PATRICK &amp; LESLEY KNAGGS</t>
  </si>
  <si>
    <t xml:space="preserve">4297 E YELLOWSTONE PL #10 </t>
  </si>
  <si>
    <t>BELL ST BK&amp;TR</t>
  </si>
  <si>
    <t>KNAGGS PATRICK &amp; LESLEY</t>
  </si>
  <si>
    <t>OMAR</t>
  </si>
  <si>
    <t>BELTRAN</t>
  </si>
  <si>
    <t>OMAR &amp; KELLY BELTRAN</t>
  </si>
  <si>
    <t xml:space="preserve">3909 E BLUE SPRUCE LN </t>
  </si>
  <si>
    <t>BELTRAN OMAR</t>
  </si>
  <si>
    <t>WHITE &amp; MICHELLE MARIE</t>
  </si>
  <si>
    <t xml:space="preserve">3946 E FICUS WAY </t>
  </si>
  <si>
    <t>FLAGSTAR BK FSB</t>
  </si>
  <si>
    <t>WHITE PATRICK C &amp; MICHELLE M</t>
  </si>
  <si>
    <t>SHOOK</t>
  </si>
  <si>
    <t>DEBBIE</t>
  </si>
  <si>
    <t>ROBERT &amp; DEBBIE SHOOK</t>
  </si>
  <si>
    <t xml:space="preserve">1179 E GOLDCREST ST </t>
  </si>
  <si>
    <t>SHOOK ROBERT L &amp; DEBBIE M</t>
  </si>
  <si>
    <t>NELSON</t>
  </si>
  <si>
    <t>MCDEVITT</t>
  </si>
  <si>
    <t>CLAUDIA</t>
  </si>
  <si>
    <t>NELSON &amp; CLAUDIA MCDEVITT</t>
  </si>
  <si>
    <t xml:space="preserve">6260 S FRESNO ST </t>
  </si>
  <si>
    <t>MCDEVITT NELSON J &amp; CLAUDIA</t>
  </si>
  <si>
    <t>BANK OF AMERICA</t>
  </si>
  <si>
    <t>CHARLOTTE NC 28255</t>
  </si>
  <si>
    <t>CLAUDIA MCDEVITT</t>
  </si>
  <si>
    <t>NELSON J MCDEVITT</t>
  </si>
  <si>
    <t>ANTHONY WAYNE AND DENICE ANN SCALARO TRUST</t>
  </si>
  <si>
    <t xml:space="preserve">6341 S FRESNO ST </t>
  </si>
  <si>
    <t>SCALARO ANTHONY W &amp; DENICE A</t>
  </si>
  <si>
    <t>THOMAS H QUALLS LIVING TRUST</t>
  </si>
  <si>
    <t>THOMAS QUALLS</t>
  </si>
  <si>
    <t xml:space="preserve">3634 E JUDE LN </t>
  </si>
  <si>
    <t>BRIDGES EAST PARCEL 3-6</t>
  </si>
  <si>
    <t>BANK OF ALBUQUERQUE</t>
  </si>
  <si>
    <t>QUALLS THOMAS H</t>
  </si>
  <si>
    <t>BANK OF AZ</t>
  </si>
  <si>
    <t>KELIN</t>
  </si>
  <si>
    <t>DEITCH</t>
  </si>
  <si>
    <t>KELIN DEITCH</t>
  </si>
  <si>
    <t xml:space="preserve">10246 E SABLE AVE </t>
  </si>
  <si>
    <t>DEITCH KELIN J</t>
  </si>
  <si>
    <t>CHESNUT</t>
  </si>
  <si>
    <t>SHERRIE</t>
  </si>
  <si>
    <t>RICHARD &amp; SHERRIE CHESNUT</t>
  </si>
  <si>
    <t xml:space="preserve">3794 E CHESTNUT LN </t>
  </si>
  <si>
    <t>BRIDGES EAST PARCEL 2-6</t>
  </si>
  <si>
    <t>WEEKLEY HOMES ARIZONA LLC</t>
  </si>
  <si>
    <t>CHESNUT RICHARD E &amp; SHERRIE A</t>
  </si>
  <si>
    <t>SHADWICK</t>
  </si>
  <si>
    <t>JOAN</t>
  </si>
  <si>
    <t>MICHAEL &amp; JOAN SHADWICK</t>
  </si>
  <si>
    <t xml:space="preserve">18260 W SEQUOIA DR </t>
  </si>
  <si>
    <t>R034</t>
  </si>
  <si>
    <t>ESTRELLA PARCEL 5.5 PHASE 1</t>
  </si>
  <si>
    <t>WESTAR ELEMENTARY SCHOOL</t>
  </si>
  <si>
    <t>ESTRELLA FOOTHILLS HIGH SCHOOL</t>
  </si>
  <si>
    <t>WEEKLEY HOMES ARIZONA</t>
  </si>
  <si>
    <t>MORTGAGE RESEARCH CENTER LLC</t>
  </si>
  <si>
    <t>SHADWICK MICHAEL W &amp; JOAN</t>
  </si>
  <si>
    <t>WOLFE</t>
  </si>
  <si>
    <t>BRENDA</t>
  </si>
  <si>
    <t>ROBERT &amp; BRENDA WOLFE</t>
  </si>
  <si>
    <t xml:space="preserve">5298 S FOREST AVE </t>
  </si>
  <si>
    <t>BRIDGES EAST PARCEL 3-1</t>
  </si>
  <si>
    <t>WOLFE ROBERT G &amp; BRENDA A</t>
  </si>
  <si>
    <t>BROSIUS</t>
  </si>
  <si>
    <t>ASTRID</t>
  </si>
  <si>
    <t>JAMES &amp; ASTRID BROSIUS</t>
  </si>
  <si>
    <t xml:space="preserve">14880 W SURREY DR </t>
  </si>
  <si>
    <t>BROSIUS JAMES A &amp; ASTRID L</t>
  </si>
  <si>
    <t>WARDEN</t>
  </si>
  <si>
    <t>ROBERT WARDEN</t>
  </si>
  <si>
    <t xml:space="preserve">4136 N 185TH DR </t>
  </si>
  <si>
    <t>SEDELLA PARCEL 4B</t>
  </si>
  <si>
    <t>WARDEN ROBERT L</t>
  </si>
  <si>
    <t>GLOMSKI FAMILY LIVING TRUST</t>
  </si>
  <si>
    <t>GLOMSKI</t>
  </si>
  <si>
    <t xml:space="preserve">10018 W REDBIRD RD </t>
  </si>
  <si>
    <t>GLOMSKI THOMAS &amp; GINA M</t>
  </si>
  <si>
    <t>GLOMSKI THOMAS II &amp; GINA M</t>
  </si>
  <si>
    <t>NICHOLAS</t>
  </si>
  <si>
    <t>ENGEBRETSON</t>
  </si>
  <si>
    <t>NICOLETTE</t>
  </si>
  <si>
    <t>NICHOLAS &amp; NICOLETTE ENGEBRETSON</t>
  </si>
  <si>
    <t xml:space="preserve">4866 S EASTERN RUN </t>
  </si>
  <si>
    <t>FAIRWAY INDEPENDENT MORTGAGE C</t>
  </si>
  <si>
    <t>ENGEBRETSON NICHOLAS FAABORG &amp; NICOLETTE</t>
  </si>
  <si>
    <t>DEBLOIS FAMILY TRUST</t>
  </si>
  <si>
    <t>DEBLOIS</t>
  </si>
  <si>
    <t xml:space="preserve">3872 E SAN CARLOS PL </t>
  </si>
  <si>
    <t>SCOTTSDALE AZ 85254</t>
  </si>
  <si>
    <t>DEBLOIS DAVID N &amp; SUSAN</t>
  </si>
  <si>
    <t>ARAYA</t>
  </si>
  <si>
    <t>STEVEN &amp; DEBORAH ARAYA</t>
  </si>
  <si>
    <t xml:space="preserve">3713 E AZALEA DR </t>
  </si>
  <si>
    <t>FAIRWAY INDEPENDENT MTG CORP</t>
  </si>
  <si>
    <t>ARAYA STEVEN A &amp; DEBORAH B</t>
  </si>
  <si>
    <t>SHARON</t>
  </si>
  <si>
    <t>WINEIGER</t>
  </si>
  <si>
    <t>SHARON WINEIGER</t>
  </si>
  <si>
    <t xml:space="preserve">3830 E JUDE LN </t>
  </si>
  <si>
    <t>SF-7</t>
  </si>
  <si>
    <t>WINEINGER SHARON</t>
  </si>
  <si>
    <t>BRANDON</t>
  </si>
  <si>
    <t>HIGGINS</t>
  </si>
  <si>
    <t>MEAGAN</t>
  </si>
  <si>
    <t>BRANDON &amp; MEAGAN HIGGINS</t>
  </si>
  <si>
    <t xml:space="preserve">715 W CLAREMONT ST </t>
  </si>
  <si>
    <t>C020</t>
  </si>
  <si>
    <t>CLAREMONT ESTATES</t>
  </si>
  <si>
    <t>R-10</t>
  </si>
  <si>
    <t>MARYLAND ELEMENTARY SCHOOL</t>
  </si>
  <si>
    <t>WASHINGTON HIGH SCHOOL</t>
  </si>
  <si>
    <t>PLHAZ SALES &amp; MARKETING LL</t>
  </si>
  <si>
    <t>EVERBANK</t>
  </si>
  <si>
    <t>HIGGINS BRANDON MICHAEL &amp; MEA</t>
  </si>
  <si>
    <t>CRAIG</t>
  </si>
  <si>
    <t>SUTTON</t>
  </si>
  <si>
    <t>CRAIG &amp; MELISSA SUTTON</t>
  </si>
  <si>
    <t xml:space="preserve">15515 N 47TH ST </t>
  </si>
  <si>
    <t>C036</t>
  </si>
  <si>
    <t>ALCANTARA VILLAS 2ND AMD</t>
  </si>
  <si>
    <t>ALCANTARA VILLAS</t>
  </si>
  <si>
    <t>M-L</t>
  </si>
  <si>
    <t>WHISPERING WIND ACADEMY</t>
  </si>
  <si>
    <t>SUNRISE MIDDLE SCHOOL</t>
  </si>
  <si>
    <t>PARADISE VALLEY HIGH SCHOOL</t>
  </si>
  <si>
    <t>METROPOLITAN HM MTG</t>
  </si>
  <si>
    <t>SUTTON CRAIG W &amp; MELISSA</t>
  </si>
  <si>
    <t>BARNHART</t>
  </si>
  <si>
    <t>LEILANI</t>
  </si>
  <si>
    <t>BARNHART &amp; LEILANI MARIE</t>
  </si>
  <si>
    <t xml:space="preserve">5683 S FAWN AVE </t>
  </si>
  <si>
    <t>STEARNS LNDG</t>
  </si>
  <si>
    <t>BARNHART JAMIE C &amp; LEILANI M</t>
  </si>
  <si>
    <t>HOMER</t>
  </si>
  <si>
    <t>DELARUE</t>
  </si>
  <si>
    <t>JAIMEE</t>
  </si>
  <si>
    <t>HOMER &amp; JAIMEE DELARUE</t>
  </si>
  <si>
    <t xml:space="preserve">7857 S SEQUOIA DR </t>
  </si>
  <si>
    <t>ADORA TRAILS PARCEL 2B</t>
  </si>
  <si>
    <t>DELARUE HOMER E &amp; JAIMEE M</t>
  </si>
  <si>
    <t>BOETTCHER</t>
  </si>
  <si>
    <t>TERESA</t>
  </si>
  <si>
    <t>CHAD &amp; TERESA BOETTCHER</t>
  </si>
  <si>
    <t xml:space="preserve">7505 E OSAGE AVE </t>
  </si>
  <si>
    <t>BOETTCHER CHAD &amp; TERESA</t>
  </si>
  <si>
    <t>VOSVICK</t>
  </si>
  <si>
    <t>DANA</t>
  </si>
  <si>
    <t>CHARLES &amp; DANA VOSVICK</t>
  </si>
  <si>
    <t xml:space="preserve">20034 E QUINTERO RD </t>
  </si>
  <si>
    <t>VOSVICK CHARLES W &amp; DANA L</t>
  </si>
  <si>
    <t>JASON</t>
  </si>
  <si>
    <t>GAD</t>
  </si>
  <si>
    <t>JASON GAD</t>
  </si>
  <si>
    <t xml:space="preserve">21387 E CALDWELLS WAY </t>
  </si>
  <si>
    <t>GAD JASON A</t>
  </si>
  <si>
    <t>BOBBY</t>
  </si>
  <si>
    <t>MASON</t>
  </si>
  <si>
    <t>BOBBY &amp; SHEILA MASON</t>
  </si>
  <si>
    <t xml:space="preserve">4263 E GRAND CANYON DR </t>
  </si>
  <si>
    <t>MASON BOBBY M &amp; SHEILA P</t>
  </si>
  <si>
    <t>VICTOR</t>
  </si>
  <si>
    <t>URREA</t>
  </si>
  <si>
    <t>VICTOR &amp; KAREN URREA</t>
  </si>
  <si>
    <t xml:space="preserve">3919 E FICUS WAY </t>
  </si>
  <si>
    <t>URREA VICTOR R &amp; KAREN S</t>
  </si>
  <si>
    <t>TERRENCE</t>
  </si>
  <si>
    <t>DOMINICK</t>
  </si>
  <si>
    <t>TANYA</t>
  </si>
  <si>
    <t>TERRENCE &amp; TANYA DOMINICK</t>
  </si>
  <si>
    <t xml:space="preserve">848 S AGNES LN </t>
  </si>
  <si>
    <t>DOMINICK TERRENCE Q SR &amp; TANYA</t>
  </si>
  <si>
    <t>STEWART</t>
  </si>
  <si>
    <t>TRACY</t>
  </si>
  <si>
    <t>RAYMOND &amp; TRACY STEWART</t>
  </si>
  <si>
    <t xml:space="preserve">10313 E RADIANT AVE </t>
  </si>
  <si>
    <t>EASTMARK DU-7 SOUTH PARCEL 7-18</t>
  </si>
  <si>
    <t>MR COOPER</t>
  </si>
  <si>
    <t>COPPELL TX 75019</t>
  </si>
  <si>
    <t>RAYMOND D STEWART</t>
  </si>
  <si>
    <t>TRACY A STEWART</t>
  </si>
  <si>
    <t>HALL</t>
  </si>
  <si>
    <t>JUSTIN HALL</t>
  </si>
  <si>
    <t xml:space="preserve">2430 E HAZELTINE WAY #34 </t>
  </si>
  <si>
    <t xml:space="preserve">2430 E HAZELTINE WAY </t>
  </si>
  <si>
    <t>HALL JUSTIN N</t>
  </si>
  <si>
    <t>KIRALY</t>
  </si>
  <si>
    <t>KATHELEEN</t>
  </si>
  <si>
    <t>KIRALY &amp; KATHELEEN ANN</t>
  </si>
  <si>
    <t xml:space="preserve">7554 W BAJADA RD </t>
  </si>
  <si>
    <t>R064</t>
  </si>
  <si>
    <t>ROCK SPRINGS 2 PHASE 2</t>
  </si>
  <si>
    <t>TERRAMAR SCHOOL</t>
  </si>
  <si>
    <t>SANDRA DAY O'CONNOR HIGH SCHOOL</t>
  </si>
  <si>
    <t>KIRALY JOHN C &amp; KATHELEEN A</t>
  </si>
  <si>
    <t>MITCHELL</t>
  </si>
  <si>
    <t>WILLIAM &amp; KIM MITCHELL</t>
  </si>
  <si>
    <t xml:space="preserve">4283 E GRAND CANYON DR </t>
  </si>
  <si>
    <t>MITCHELL WILLIAM L &amp; KIM E</t>
  </si>
  <si>
    <t>SHUMWAY BRIAN C &amp; MELISSA M</t>
  </si>
  <si>
    <t>LARRY</t>
  </si>
  <si>
    <t>SHIRLEY</t>
  </si>
  <si>
    <t>LARRY &amp; SHIRLEY WHITE</t>
  </si>
  <si>
    <t xml:space="preserve">31507 N 47TH TER </t>
  </si>
  <si>
    <t>CAVE CREEK</t>
  </si>
  <si>
    <t>H013</t>
  </si>
  <si>
    <t xml:space="preserve">4815 E CAREFREE HWY #108500 </t>
  </si>
  <si>
    <t>ENCLAVE AT LONE MOUNTAIN AMD</t>
  </si>
  <si>
    <t>LONE MOUNTAIN ELEMENTARY SCHOOL</t>
  </si>
  <si>
    <t>SONORAN TRAILS MIDDLE SCHOOL</t>
  </si>
  <si>
    <t>CACTUS SHADOWS HIGH SCHOOL</t>
  </si>
  <si>
    <t>D R HORTON INC</t>
  </si>
  <si>
    <t>WHITE LARRY &amp; SHIRLEY A</t>
  </si>
  <si>
    <t>GORDON</t>
  </si>
  <si>
    <t>KATIE</t>
  </si>
  <si>
    <t>JEREMY &amp; KATIE GORDON</t>
  </si>
  <si>
    <t xml:space="preserve">3729 E LESLIE DR </t>
  </si>
  <si>
    <t>GORDON JEREMY A &amp; KATIE L</t>
  </si>
  <si>
    <t>TUTTLE</t>
  </si>
  <si>
    <t>JASON &amp; MARY TUTTLE</t>
  </si>
  <si>
    <t xml:space="preserve">3892 E SAN CARLOS PL </t>
  </si>
  <si>
    <t>TUTTLE JASON R &amp; MARY D</t>
  </si>
  <si>
    <t>BRADY</t>
  </si>
  <si>
    <t>TRACIE</t>
  </si>
  <si>
    <t>CHRISTOPHER &amp; TRACIE BRADY</t>
  </si>
  <si>
    <t xml:space="preserve">1037 S NANCY LN </t>
  </si>
  <si>
    <t>WINTER JOHN S</t>
  </si>
  <si>
    <t>BRADY CHRISTOPHER L &amp; TRACIE M</t>
  </si>
  <si>
    <t>BRADLEY</t>
  </si>
  <si>
    <t>HUGHES</t>
  </si>
  <si>
    <t>ALLISON</t>
  </si>
  <si>
    <t>BRADLEY &amp; ALLISON HUGHES</t>
  </si>
  <si>
    <t xml:space="preserve">6221 S FRESNO ST </t>
  </si>
  <si>
    <t>HUGHES BRADLEY</t>
  </si>
  <si>
    <t>HUGHES BRADLEY &amp; ALLISON</t>
  </si>
  <si>
    <t>SULLIVAN</t>
  </si>
  <si>
    <t>FRANKIE</t>
  </si>
  <si>
    <t>MICHAEL &amp; FRANKIE SULLIVAN</t>
  </si>
  <si>
    <t xml:space="preserve">3893 E SAN CARLOS PL </t>
  </si>
  <si>
    <t>SULLIVAN MICHAEL P &amp; FRANKIE</t>
  </si>
  <si>
    <t>WOODS</t>
  </si>
  <si>
    <t>ILIANA</t>
  </si>
  <si>
    <t>JOHN &amp; ILIANA WOODS</t>
  </si>
  <si>
    <t xml:space="preserve">3870 E POWELL PL </t>
  </si>
  <si>
    <t>WOODS JOHN G &amp; ILIANA M</t>
  </si>
  <si>
    <t>MCLEAN</t>
  </si>
  <si>
    <t>ELEANOR</t>
  </si>
  <si>
    <t>MICHAEL &amp; ELEANOR MCLEAN</t>
  </si>
  <si>
    <t xml:space="preserve">3935 E BLUE SPRUCE LN </t>
  </si>
  <si>
    <t>MIAMI FL 331723139</t>
  </si>
  <si>
    <t>MCLEAN MICHAEL &amp; ELEANOR</t>
  </si>
  <si>
    <t>MATTHEW</t>
  </si>
  <si>
    <t>GRAHAM</t>
  </si>
  <si>
    <t>NAM-PHUONG</t>
  </si>
  <si>
    <t>MATTHEW &amp; NAM-PHUONG GRAHAM</t>
  </si>
  <si>
    <t xml:space="preserve">7408 E PAMPA AVE </t>
  </si>
  <si>
    <t>GRAHAM MATTHEW &amp; NAM-PHUONG V</t>
  </si>
  <si>
    <t>MURPHY</t>
  </si>
  <si>
    <t>AMBER</t>
  </si>
  <si>
    <t>JOHN &amp; AMBER MURPHY</t>
  </si>
  <si>
    <t xml:space="preserve">3743 W LANHAM DR </t>
  </si>
  <si>
    <t>MURPHY JOHN J</t>
  </si>
  <si>
    <t>SIMON</t>
  </si>
  <si>
    <t>CESAREO</t>
  </si>
  <si>
    <t>SIMON &amp; MELISSA CESAREO</t>
  </si>
  <si>
    <t xml:space="preserve">1236 W SPUR DR </t>
  </si>
  <si>
    <t>DYNAMITE MTN RANCH PCD/PHASE 2 SEC 31 PC</t>
  </si>
  <si>
    <t>RIDGE VIEW</t>
  </si>
  <si>
    <t>NORTERRA CANYON SCHOOL</t>
  </si>
  <si>
    <t>BARRY GOLDWATER HIGH SCHOOL</t>
  </si>
  <si>
    <t>CARRINGTON MORTGAGE SERVICES L</t>
  </si>
  <si>
    <t>CESAREO SIMON P &amp; MELISSA S</t>
  </si>
  <si>
    <t>ANTHONY</t>
  </si>
  <si>
    <t>HARPER</t>
  </si>
  <si>
    <t>L</t>
  </si>
  <si>
    <t>GLENNETTA</t>
  </si>
  <si>
    <t>ANTHONY &amp; GLENNETTA HARPER</t>
  </si>
  <si>
    <t xml:space="preserve">3911 E POWELL PL </t>
  </si>
  <si>
    <t>ANTHONY HARPER</t>
  </si>
  <si>
    <t>L M GLENNETTA</t>
  </si>
  <si>
    <t>CHORONZY</t>
  </si>
  <si>
    <t>JOCELYN</t>
  </si>
  <si>
    <t>DRANCHAK</t>
  </si>
  <si>
    <t>SCOTT CHORONZY &amp; JOCELYN DRANCHAK</t>
  </si>
  <si>
    <t xml:space="preserve">1022 S ANNIE LN </t>
  </si>
  <si>
    <t>CHORONZY SCOTT</t>
  </si>
  <si>
    <t>DRANCHAK JOCELYN</t>
  </si>
  <si>
    <t>ADJ</t>
  </si>
  <si>
    <t>HUTTERLY</t>
  </si>
  <si>
    <t>WILLIAM HUTTERLY</t>
  </si>
  <si>
    <t xml:space="preserve">4158 E MORRISON RANCH PKWY </t>
  </si>
  <si>
    <t>HUTTERLY WILLIAM U IV</t>
  </si>
  <si>
    <t>HOYT</t>
  </si>
  <si>
    <t>KIRSTEN</t>
  </si>
  <si>
    <t>CHARLES &amp; KIRSTEN HOYT</t>
  </si>
  <si>
    <t xml:space="preserve">6151 S FRESNO ST </t>
  </si>
  <si>
    <t>HOYT KIRSTEN E</t>
  </si>
  <si>
    <t>DALLAS</t>
  </si>
  <si>
    <t>DALLAS WILLIAMS</t>
  </si>
  <si>
    <t xml:space="preserve">4566 N GOLF DR </t>
  </si>
  <si>
    <t>FORTHRIGHT FUNDING CORP</t>
  </si>
  <si>
    <t>WILLIAMS DALLAS P &amp; CATHY H</t>
  </si>
  <si>
    <t>DEWEESE</t>
  </si>
  <si>
    <t>CATHERINE</t>
  </si>
  <si>
    <t>THOMAS &amp; CATHERINE DEWEESE</t>
  </si>
  <si>
    <t xml:space="preserve">402 E BELLERIVE PL </t>
  </si>
  <si>
    <t>DE WEESE THOMAS C</t>
  </si>
  <si>
    <t>LUKE</t>
  </si>
  <si>
    <t>HOLLOWAY</t>
  </si>
  <si>
    <t>KRISTAN</t>
  </si>
  <si>
    <t>LUKE &amp; KRISTAN HOLLOWAY</t>
  </si>
  <si>
    <t xml:space="preserve">3887 E STRAWBERRY DR </t>
  </si>
  <si>
    <t>HOLLOWAY LUKE A &amp; KRISTAN</t>
  </si>
  <si>
    <t>FRANCOIS</t>
  </si>
  <si>
    <t>ERICA</t>
  </si>
  <si>
    <t>PAUL &amp; ERICA FRANCOIS</t>
  </si>
  <si>
    <t xml:space="preserve">10246 E CATALYST AVE </t>
  </si>
  <si>
    <t>UNITED SVC FIN'L</t>
  </si>
  <si>
    <t>MURRAY UT 84121</t>
  </si>
  <si>
    <t>PAUL N FRANCOIS</t>
  </si>
  <si>
    <t>ERICA M FRANCOIS</t>
  </si>
  <si>
    <t>BRIAN</t>
  </si>
  <si>
    <t>STEELE</t>
  </si>
  <si>
    <t>BRIAN &amp; MARIA STEELE</t>
  </si>
  <si>
    <t xml:space="preserve">3909 E ELMWOOD ST </t>
  </si>
  <si>
    <t>C043</t>
  </si>
  <si>
    <t>TROVITA ESTATES PHASE 2</t>
  </si>
  <si>
    <t>TROVITA ESTATES</t>
  </si>
  <si>
    <t>R-15</t>
  </si>
  <si>
    <t>ENTZ ELEMENTARY SCHOOL</t>
  </si>
  <si>
    <t>POSTON JUNIOR HIGH SCHOOL</t>
  </si>
  <si>
    <t>MOUNTAIN VIEW HIGH SCHOOL</t>
  </si>
  <si>
    <t>STEELE BRIAN M &amp; MARIA E</t>
  </si>
  <si>
    <t>FEDERICO</t>
  </si>
  <si>
    <t>AMPIL</t>
  </si>
  <si>
    <t>FEDERICO &amp; LISA AMPIL</t>
  </si>
  <si>
    <t xml:space="preserve">4087 E MORRISON RANCH PKWY </t>
  </si>
  <si>
    <t>AMPIL FEDERICO G &amp; LISA M</t>
  </si>
  <si>
    <t>JOVANY</t>
  </si>
  <si>
    <t>MEDINA</t>
  </si>
  <si>
    <t>KARINA</t>
  </si>
  <si>
    <t>HIDALGO-MEDINA</t>
  </si>
  <si>
    <t>JOVANY MEDINA &amp; KARINA HIDALGO-MEDINA</t>
  </si>
  <si>
    <t xml:space="preserve">3811 E GIDEON WAY </t>
  </si>
  <si>
    <t>MEDINA JOVANY</t>
  </si>
  <si>
    <t>HIDALGO-MEDINA KARINA L</t>
  </si>
  <si>
    <t>SCHOTT</t>
  </si>
  <si>
    <t>LORENA</t>
  </si>
  <si>
    <t>ROBERT &amp; LORENA SCHOTT</t>
  </si>
  <si>
    <t xml:space="preserve">7892 S PEPPERTREE DR </t>
  </si>
  <si>
    <t>BUCHHOLZ ANDREW &amp; KARA</t>
  </si>
  <si>
    <t>PEOPLES HM EQUITY INC</t>
  </si>
  <si>
    <t>SCHOTT ROBERT L &amp; LORENA R</t>
  </si>
  <si>
    <t>TALBERT</t>
  </si>
  <si>
    <t>MARGARET</t>
  </si>
  <si>
    <t>SCOTT &amp; MARGARET TALBERT</t>
  </si>
  <si>
    <t xml:space="preserve">4148 E MORRISON RANCH PKWY </t>
  </si>
  <si>
    <t>TALBERT SCOTT K &amp; MARGARET A</t>
  </si>
  <si>
    <t>BROWN FAMILY TRUST</t>
  </si>
  <si>
    <t>BROWN</t>
  </si>
  <si>
    <t xml:space="preserve">4547 N ARBOR WAY </t>
  </si>
  <si>
    <t>MANN MTG LLC</t>
  </si>
  <si>
    <t>BROWN JOSEPH C &amp; VIOLA M</t>
  </si>
  <si>
    <t>DESIMONE</t>
  </si>
  <si>
    <t>BRIAN DESIMONE</t>
  </si>
  <si>
    <t xml:space="preserve">3059 E LONGHORN DR </t>
  </si>
  <si>
    <t>DAVIS JUSTIN</t>
  </si>
  <si>
    <t>DESIMONE BRIAN</t>
  </si>
  <si>
    <t>ALBRIGHT</t>
  </si>
  <si>
    <t>JULIE &amp; SCOTT ALBRIGHT</t>
  </si>
  <si>
    <t xml:space="preserve">847 S ANNIE LN </t>
  </si>
  <si>
    <t>ALBRIGHT JULIE &amp; SCOTT T</t>
  </si>
  <si>
    <t>COWAND</t>
  </si>
  <si>
    <t>EVE</t>
  </si>
  <si>
    <t>RICHARD &amp; EVE COWAND</t>
  </si>
  <si>
    <t xml:space="preserve">2993 E WYATT WAY </t>
  </si>
  <si>
    <t>R071</t>
  </si>
  <si>
    <t>COWAND RICHARD R &amp; EVE T</t>
  </si>
  <si>
    <t>JERMELL</t>
  </si>
  <si>
    <t>ALEXIS</t>
  </si>
  <si>
    <t>JERMELL &amp; ALEXIS CARTER</t>
  </si>
  <si>
    <t xml:space="preserve">3882 E SAN CARLOS PL </t>
  </si>
  <si>
    <t>SIOUX FALLS SD 57104</t>
  </si>
  <si>
    <t>CARTER JERMELL &amp; ALEXIS</t>
  </si>
  <si>
    <t>GARCIA</t>
  </si>
  <si>
    <t>OLGA</t>
  </si>
  <si>
    <t>GARCIA &amp; OLGA MARIE</t>
  </si>
  <si>
    <t xml:space="preserve">4057 E SIERRA MADRE AVE </t>
  </si>
  <si>
    <t>ALFREDO JR GARCIA</t>
  </si>
  <si>
    <t>OLGA M GARCIA</t>
  </si>
  <si>
    <t>FINK FAMILY TRUST</t>
  </si>
  <si>
    <t>FINK</t>
  </si>
  <si>
    <t xml:space="preserve">39005 N 11TH AVE </t>
  </si>
  <si>
    <t>H004</t>
  </si>
  <si>
    <t>DESERT MOUNTAIN SCHOOL</t>
  </si>
  <si>
    <t>AJF CUSTOM HOMES LLC</t>
  </si>
  <si>
    <t>KANSAS ST BK/MANHATTAN</t>
  </si>
  <si>
    <t>MANHATTAN KS 66502</t>
  </si>
  <si>
    <t>FINK CRAIG &amp; TERRI</t>
  </si>
  <si>
    <t>ANDY</t>
  </si>
  <si>
    <t>FERGUSON</t>
  </si>
  <si>
    <t>JOYCE</t>
  </si>
  <si>
    <t>ANDY &amp; JOYCE FERGUSON</t>
  </si>
  <si>
    <t xml:space="preserve">40903 N 1ST DR </t>
  </si>
  <si>
    <t>H012</t>
  </si>
  <si>
    <t>SURVEY MINOR LAND DIV</t>
  </si>
  <si>
    <t>DIAMANTE HOMES INC</t>
  </si>
  <si>
    <t>FERGUSON ANDY A &amp; JOYCE M</t>
  </si>
  <si>
    <t>HECTOR</t>
  </si>
  <si>
    <t>SAIZ</t>
  </si>
  <si>
    <t>HECTOR &amp; SHELLY SAIZ</t>
  </si>
  <si>
    <t xml:space="preserve">26351 W VISTA NORTH DR </t>
  </si>
  <si>
    <t>SAIZ HECTOR R &amp; SHELLY S</t>
  </si>
  <si>
    <t>ANNEMARIE</t>
  </si>
  <si>
    <t>TAYLOR</t>
  </si>
  <si>
    <t>ANNEMARIE &amp; ALFRED TAYLOR</t>
  </si>
  <si>
    <t xml:space="preserve">2199 E HAZELTINE WAY </t>
  </si>
  <si>
    <t>NORTH AMERICAN SVGS BK</t>
  </si>
  <si>
    <t>GRANDVIEW MO 64030</t>
  </si>
  <si>
    <t>ANNEMARIE A TAYLOR</t>
  </si>
  <si>
    <t>ALFRED R TAYLOR</t>
  </si>
  <si>
    <t>PEHOWIC</t>
  </si>
  <si>
    <t>SANDI</t>
  </si>
  <si>
    <t>JOHN &amp; SANDI PEHOWIC</t>
  </si>
  <si>
    <t xml:space="preserve">19904 S 192ND PL </t>
  </si>
  <si>
    <t>PEHOWIC JOHN F &amp; SANDI L</t>
  </si>
  <si>
    <t>LARSON</t>
  </si>
  <si>
    <t>WENDY</t>
  </si>
  <si>
    <t>LENZ</t>
  </si>
  <si>
    <t>ROBERT LARSON &amp; WENDY LENZ</t>
  </si>
  <si>
    <t xml:space="preserve">2556 S LOREN LN </t>
  </si>
  <si>
    <t>SCOTTSDALE AZ 85258</t>
  </si>
  <si>
    <t>LARSON ROBERT</t>
  </si>
  <si>
    <t>TY</t>
  </si>
  <si>
    <t>HOLLIDAY</t>
  </si>
  <si>
    <t>KIRBY</t>
  </si>
  <si>
    <t>TY &amp; KIRBY HOLLIDAY</t>
  </si>
  <si>
    <t xml:space="preserve">19819 S 192ND PL </t>
  </si>
  <si>
    <t>HOLLIDAY TY &amp; KIRBY</t>
  </si>
  <si>
    <t>MIDFIRST BANK</t>
  </si>
  <si>
    <t>VAR</t>
  </si>
  <si>
    <t>BACHALI FAMILY LIVING TRUST</t>
  </si>
  <si>
    <t>BACHALI</t>
  </si>
  <si>
    <t xml:space="preserve">1445 E FLAMINGO WAY </t>
  </si>
  <si>
    <t>VILLAGES AT VAL VISTA PHASE 3</t>
  </si>
  <si>
    <t>BACHALI SHAWN L &amp; MANDY G</t>
  </si>
  <si>
    <t>MIDFIRST BK</t>
  </si>
  <si>
    <t>OKLAHOMA CITY OK 73162</t>
  </si>
  <si>
    <t>HOLDER</t>
  </si>
  <si>
    <t>PRISMA</t>
  </si>
  <si>
    <t>MARCUS &amp; PRISMA HOLDER</t>
  </si>
  <si>
    <t xml:space="preserve">1064 S ANNIE LN </t>
  </si>
  <si>
    <t>COOLEY STATION NORTH PARCEL 3 AMD</t>
  </si>
  <si>
    <t>HOLDER MARCUS A &amp; PRISMA</t>
  </si>
  <si>
    <t>DARIN</t>
  </si>
  <si>
    <t>SCHWEITZER</t>
  </si>
  <si>
    <t>SARA</t>
  </si>
  <si>
    <t>DARIN &amp; SARA SCHWEITZER</t>
  </si>
  <si>
    <t xml:space="preserve">2212 N BEVERLY PL </t>
  </si>
  <si>
    <t>VERRADO PHASE 3 SOUTH PHASES A AND B</t>
  </si>
  <si>
    <t>SCHWEITZER DARIN C &amp; SARA</t>
  </si>
  <si>
    <t>ACKRIANNE</t>
  </si>
  <si>
    <t>MCDANIEL</t>
  </si>
  <si>
    <t>ACKRIANNE MCDANIEL</t>
  </si>
  <si>
    <t xml:space="preserve">1829 W MINTON ST </t>
  </si>
  <si>
    <t>C048</t>
  </si>
  <si>
    <t>COURTYARDS AT MADISON RANCH</t>
  </si>
  <si>
    <t>IGNACIO CONCHOS SCHOOL</t>
  </si>
  <si>
    <t>CESAR CHAVEZ HIGH SCHOOL</t>
  </si>
  <si>
    <t>DIVINITY HOMES INC</t>
  </si>
  <si>
    <t>MCDANIEL ACKRIANNE Y</t>
  </si>
  <si>
    <t>TONY</t>
  </si>
  <si>
    <t>LUCERO</t>
  </si>
  <si>
    <t>CINDY</t>
  </si>
  <si>
    <t>FLORES</t>
  </si>
  <si>
    <t>TONY LUCERO &amp; CINDY FLORES</t>
  </si>
  <si>
    <t xml:space="preserve">119 E CHELSEA LN </t>
  </si>
  <si>
    <t>LUCERO TONY MARQUEZ</t>
  </si>
  <si>
    <t>FLORES CINDY A</t>
  </si>
  <si>
    <t>GLENN</t>
  </si>
  <si>
    <t>BANKS</t>
  </si>
  <si>
    <t>STACEY</t>
  </si>
  <si>
    <t>GLENN &amp; STACEY BANKS</t>
  </si>
  <si>
    <t xml:space="preserve">19855 S 192ND PL </t>
  </si>
  <si>
    <t>BANKS GLENN LYNWOOD &amp; STACEY</t>
  </si>
  <si>
    <t>GLENN L BANKS</t>
  </si>
  <si>
    <t>STACEY M BANKS</t>
  </si>
  <si>
    <t>TRUST OF HENRY L SR AND MARJORIE BRUNSON</t>
  </si>
  <si>
    <t xml:space="preserve">19284 E REINS RD </t>
  </si>
  <si>
    <t>BRUNSON HENRY L &amp; MARJORIE</t>
  </si>
  <si>
    <t>BORNHOLDT</t>
  </si>
  <si>
    <t>ROBERT BORNHOLDT</t>
  </si>
  <si>
    <t xml:space="preserve">19802 S 192ND PL </t>
  </si>
  <si>
    <t>BORNHOLDT ROBERT M</t>
  </si>
  <si>
    <t>GREGA</t>
  </si>
  <si>
    <t>EDWARD GREGA</t>
  </si>
  <si>
    <t xml:space="preserve">2136 N HERITAGE ST </t>
  </si>
  <si>
    <t>GREGA EDWARD R</t>
  </si>
  <si>
    <t>ROUNDTREE</t>
  </si>
  <si>
    <t>ANGELA</t>
  </si>
  <si>
    <t>ROUNDTREE &amp; ANGELA MICHELLE</t>
  </si>
  <si>
    <t xml:space="preserve">2119 N HERITAGE ST </t>
  </si>
  <si>
    <t>SUN WEST MTG USA INC (FN)</t>
  </si>
  <si>
    <t>ROUNDTREE QUINCY W &amp; ANGELA M</t>
  </si>
  <si>
    <t>WILSON</t>
  </si>
  <si>
    <t>VIPAPORN</t>
  </si>
  <si>
    <t>WILLIAM &amp; VIPAPORN WILSON</t>
  </si>
  <si>
    <t xml:space="preserve">20821 W GLEN ST </t>
  </si>
  <si>
    <t>VERRADO PARCEL 4.505</t>
  </si>
  <si>
    <t>WILSON WILLIAM O &amp; VIPAPORN</t>
  </si>
  <si>
    <t>SHANKS</t>
  </si>
  <si>
    <t>KAY</t>
  </si>
  <si>
    <t>SHANKS &amp; TRACY KAY</t>
  </si>
  <si>
    <t xml:space="preserve">2236 E HAZELTINE WAY </t>
  </si>
  <si>
    <t>SOVEREIGN LNDG GROUP INC</t>
  </si>
  <si>
    <t>SHANKS MICHAEL J &amp; TRACY K</t>
  </si>
  <si>
    <t>DOHRN</t>
  </si>
  <si>
    <t>AMBER DOHRN</t>
  </si>
  <si>
    <t xml:space="preserve">2248 E STACEY RD </t>
  </si>
  <si>
    <t xml:space="preserve">7048 N 23RD DR </t>
  </si>
  <si>
    <t>CHANDLER EDWIN RAY</t>
  </si>
  <si>
    <t>BEAMAN AMBER E</t>
  </si>
  <si>
    <t>LOUISE</t>
  </si>
  <si>
    <t>HALL &amp; CHRISTINE LOUISE</t>
  </si>
  <si>
    <t xml:space="preserve">11730 W PORT AU PRINCE LN </t>
  </si>
  <si>
    <t>SUN WEST MORTGAGE COMPANY INC</t>
  </si>
  <si>
    <t>HALL JASON WILLIAM &amp; CHRISTINE LOUISE</t>
  </si>
  <si>
    <t>MORGAN</t>
  </si>
  <si>
    <t>BRIANA</t>
  </si>
  <si>
    <t>MUNOZ</t>
  </si>
  <si>
    <t>RICHARD MORGAN &amp; BRIANA MUNOZ</t>
  </si>
  <si>
    <t xml:space="preserve">2150 E STACEY RD </t>
  </si>
  <si>
    <t>MORGAN RICHARD D</t>
  </si>
  <si>
    <t>MUNOZ BRIANA J</t>
  </si>
  <si>
    <t>ALAN</t>
  </si>
  <si>
    <t>BARONE</t>
  </si>
  <si>
    <t>JULIA</t>
  </si>
  <si>
    <t>ALAN &amp; JULIA BARONE</t>
  </si>
  <si>
    <t xml:space="preserve">195 E BERNIE LN </t>
  </si>
  <si>
    <t>BARONE ALAN J JR &amp; JULIA</t>
  </si>
  <si>
    <t>WHEELER</t>
  </si>
  <si>
    <t>KRISTINE</t>
  </si>
  <si>
    <t>BRITTANY</t>
  </si>
  <si>
    <t>WHEELER &amp; BRITTANY KRISTINE</t>
  </si>
  <si>
    <t xml:space="preserve">3692 E FICUS WAY </t>
  </si>
  <si>
    <t>WHEELER NICHOLAS J &amp; BRITTANY</t>
  </si>
  <si>
    <t>PATCHANEE</t>
  </si>
  <si>
    <t>JAMES &amp; PATCHANEE EVANS</t>
  </si>
  <si>
    <t xml:space="preserve">5635 W PECAN RD </t>
  </si>
  <si>
    <t>EVANS JAMES JR &amp; PATCHANEE</t>
  </si>
  <si>
    <t>LEONARD</t>
  </si>
  <si>
    <t>RADEKA</t>
  </si>
  <si>
    <t>THELMA</t>
  </si>
  <si>
    <t>LEONARD &amp; THELMA RADEKA</t>
  </si>
  <si>
    <t xml:space="preserve">19271 E REINS RD </t>
  </si>
  <si>
    <t>RADEKA LEONARD E &amp; THELMA M</t>
  </si>
  <si>
    <t>NAVISSA</t>
  </si>
  <si>
    <t>KAISER</t>
  </si>
  <si>
    <t>NAVISSA KAISER</t>
  </si>
  <si>
    <t xml:space="preserve">5715 E ALDER AVE </t>
  </si>
  <si>
    <t>LINES AMI</t>
  </si>
  <si>
    <t>KAISER NAVISSA</t>
  </si>
  <si>
    <t>JOSE</t>
  </si>
  <si>
    <t>MONJARAS</t>
  </si>
  <si>
    <t>JOSE MONJARAS</t>
  </si>
  <si>
    <t xml:space="preserve">5644 E ALDER AVE </t>
  </si>
  <si>
    <t>INFO SOURCE CENTER INC</t>
  </si>
  <si>
    <t>ENVOY MTG LTD</t>
  </si>
  <si>
    <t>MONJARAS JOSE M</t>
  </si>
  <si>
    <t>STONER</t>
  </si>
  <si>
    <t>JACK STONER</t>
  </si>
  <si>
    <t xml:space="preserve">19940 S 192ND PL </t>
  </si>
  <si>
    <t xml:space="preserve">PO BOX 1655 </t>
  </si>
  <si>
    <t>STONER JACK A</t>
  </si>
  <si>
    <t>CLINT</t>
  </si>
  <si>
    <t>ROSS</t>
  </si>
  <si>
    <t>TARA</t>
  </si>
  <si>
    <t>CLINT &amp; TARA ROSS</t>
  </si>
  <si>
    <t xml:space="preserve">5637 E ALDER AVE </t>
  </si>
  <si>
    <t>KB HOMES SALES-PHOENIX INC</t>
  </si>
  <si>
    <t>ROSS CLINT C &amp; TARA M</t>
  </si>
  <si>
    <t>AARON</t>
  </si>
  <si>
    <t>CANEDO</t>
  </si>
  <si>
    <t>AARON &amp; LIZETTE CANEDO</t>
  </si>
  <si>
    <t xml:space="preserve">7898 S SORRELL LN </t>
  </si>
  <si>
    <t>LANGELIERS BRIAN N</t>
  </si>
  <si>
    <t>CANEDO AARON</t>
  </si>
  <si>
    <t>CANEDO LIZETTE</t>
  </si>
  <si>
    <t>SCHWARTZ</t>
  </si>
  <si>
    <t>PATRICIA SCHWARTZ</t>
  </si>
  <si>
    <t xml:space="preserve">21416 W TERRI LEE DR </t>
  </si>
  <si>
    <t>SCHWARTZ PATRICIA E</t>
  </si>
  <si>
    <t>WARGO</t>
  </si>
  <si>
    <t>DAVID WARGO</t>
  </si>
  <si>
    <t xml:space="preserve">6635 N 175TH AVE </t>
  </si>
  <si>
    <t>WADDELL</t>
  </si>
  <si>
    <t>R003</t>
  </si>
  <si>
    <t>MALIBU HOMES LLC</t>
  </si>
  <si>
    <t>FIRST CHOICE LN SVCS INC</t>
  </si>
  <si>
    <t>WARGO DAVID</t>
  </si>
  <si>
    <t>VALDENEGRO</t>
  </si>
  <si>
    <t>ALEXIS VALDENEGRO</t>
  </si>
  <si>
    <t xml:space="preserve">15895 N 75TH DR </t>
  </si>
  <si>
    <t>R026</t>
  </si>
  <si>
    <t>TIERRA BUENA LOTS 3B ATHRU 3D REPLAT</t>
  </si>
  <si>
    <t>TIERRA BUENA</t>
  </si>
  <si>
    <t>PASEO VERDE ELEMENTARY SCHOOL</t>
  </si>
  <si>
    <t>CENTENNIAL HIGH SCHOOL</t>
  </si>
  <si>
    <t>VALDENEGRO ALEXIS</t>
  </si>
  <si>
    <t>WILLIS</t>
  </si>
  <si>
    <t>EILEEN</t>
  </si>
  <si>
    <t>EILEEN &amp; EILEEN ALEXANDER</t>
  </si>
  <si>
    <t xml:space="preserve">9348 W SANDS DR </t>
  </si>
  <si>
    <t>MEADOWS PARCEL 4A</t>
  </si>
  <si>
    <t>THE MEADOWS AT CAMINO A LAGO</t>
  </si>
  <si>
    <t>MARSHALL RANCH ELEMENTARY SCHOOL</t>
  </si>
  <si>
    <t>QUICKEN LNS</t>
  </si>
  <si>
    <t>DETROIT MI 48226-1906</t>
  </si>
  <si>
    <t>JAMES A WILLIS</t>
  </si>
  <si>
    <t>JENNIFER E WILLIS</t>
  </si>
  <si>
    <t>ALAN SIMON</t>
  </si>
  <si>
    <t xml:space="preserve">2766 S HERITAGE DR </t>
  </si>
  <si>
    <t>R123</t>
  </si>
  <si>
    <t>ESTATES AT VELVENDO PHASE 1</t>
  </si>
  <si>
    <t>VELVENDO</t>
  </si>
  <si>
    <t>SPECTRUM ELEMENTARY SCHOOL</t>
  </si>
  <si>
    <t>SIMON ALAN R</t>
  </si>
  <si>
    <t>KING</t>
  </si>
  <si>
    <t>AMANDA</t>
  </si>
  <si>
    <t>GARY &amp; AMANDA KING</t>
  </si>
  <si>
    <t xml:space="preserve">7421 E PLATA AVE </t>
  </si>
  <si>
    <t>KING GARY R &amp; AMANDA L</t>
  </si>
  <si>
    <t>RAYNER</t>
  </si>
  <si>
    <t>KATRINA</t>
  </si>
  <si>
    <t>GUADERRAMA</t>
  </si>
  <si>
    <t>WILLIAM RAYNER &amp; KATRINA GUADERRAMA</t>
  </si>
  <si>
    <t xml:space="preserve">3441 E ORLEANS DR </t>
  </si>
  <si>
    <t>JOINT TENANCY DEED</t>
  </si>
  <si>
    <t>SHEA MTG</t>
  </si>
  <si>
    <t>RAYNER WILLIAM FREDERICK</t>
  </si>
  <si>
    <t>DON</t>
  </si>
  <si>
    <t>SANDERSON</t>
  </si>
  <si>
    <t>DON SANDERSON</t>
  </si>
  <si>
    <t xml:space="preserve">5104 S SALK LN </t>
  </si>
  <si>
    <t>JG WENTWORTH HM LNDG INC</t>
  </si>
  <si>
    <t>SANDERSON DON</t>
  </si>
  <si>
    <t>DEJESUS</t>
  </si>
  <si>
    <t>LATOYA</t>
  </si>
  <si>
    <t>ANTHONY &amp; LATOYA DEJESUS</t>
  </si>
  <si>
    <t xml:space="preserve">4139 N 185TH DR </t>
  </si>
  <si>
    <t>DEJESUS ANTHONY &amp; LATOYA</t>
  </si>
  <si>
    <t>LARRICK</t>
  </si>
  <si>
    <t>BARBARA</t>
  </si>
  <si>
    <t>ANDREW &amp; BARBARA LARRICK</t>
  </si>
  <si>
    <t xml:space="preserve">4122 E ZION PL </t>
  </si>
  <si>
    <t>FORTHRIGHT FNDG CORP</t>
  </si>
  <si>
    <t>LARRICK BARBARA A &amp; ANDREW C</t>
  </si>
  <si>
    <t>MARK</t>
  </si>
  <si>
    <t>LEBORGNE</t>
  </si>
  <si>
    <t>MARK &amp; MARY LEBORGNE</t>
  </si>
  <si>
    <t xml:space="preserve">30827 N 138TH AVE </t>
  </si>
  <si>
    <t>VISTANCIA VILLAGE A PARCEL G1</t>
  </si>
  <si>
    <t>LEBORGNE MARK A &amp; MARY</t>
  </si>
  <si>
    <t>LEFLORE GEORGE &amp; DONNA L TRUST</t>
  </si>
  <si>
    <t>DONNA</t>
  </si>
  <si>
    <t>&amp; DONNA LEFLOREGEORGE</t>
  </si>
  <si>
    <t xml:space="preserve">13715 W AMBERWING ST </t>
  </si>
  <si>
    <t>LEFLORE GEORGE C</t>
  </si>
  <si>
    <t>DANEK-LEFLORE DONNA</t>
  </si>
  <si>
    <t>SMALL</t>
  </si>
  <si>
    <t>SHELLIE</t>
  </si>
  <si>
    <t>SMALL &amp; SHELLIE MARIE</t>
  </si>
  <si>
    <t xml:space="preserve">13778 W JESSE RED DR </t>
  </si>
  <si>
    <t>BROOKHOLLOW MTG SVCS LTD LP</t>
  </si>
  <si>
    <t>HOUSTON TX 77027</t>
  </si>
  <si>
    <t>SMALL CRAIG R &amp; SHELLIE M</t>
  </si>
  <si>
    <t>CRAIG R SMALL</t>
  </si>
  <si>
    <t>SHELLIE M SMALL</t>
  </si>
  <si>
    <t>JOHNATHON</t>
  </si>
  <si>
    <t>EBERT</t>
  </si>
  <si>
    <t>JOHNATHON EBERT</t>
  </si>
  <si>
    <t xml:space="preserve">7451 E ONZA AVE </t>
  </si>
  <si>
    <t>EBERT JOHNATHON M</t>
  </si>
  <si>
    <t>JUAN</t>
  </si>
  <si>
    <t>VILLAFANA</t>
  </si>
  <si>
    <t>JUAN &amp; MARIA VILLAFANA</t>
  </si>
  <si>
    <t xml:space="preserve">2324 W RIVERSIDE ST </t>
  </si>
  <si>
    <t>WATERS AT OCOTILLO PARCELS 1 AND 4</t>
  </si>
  <si>
    <t>JACOBSON ELEMENTARY SCHOOL</t>
  </si>
  <si>
    <t>BOGLE JUNIOR HIGH SCHOOL</t>
  </si>
  <si>
    <t>VILLAFANA JUAN P &amp; MARIA L</t>
  </si>
  <si>
    <t>PICCOLI ANTHONY R &amp; PAULA R TR</t>
  </si>
  <si>
    <t>R &amp; PAULA PICCOLIANTHONY</t>
  </si>
  <si>
    <t xml:space="preserve">18477 W DEVONSHIRE AVE </t>
  </si>
  <si>
    <t>PICCOLI PAULA R &amp; ANTHONY R</t>
  </si>
  <si>
    <t>BONNIE</t>
  </si>
  <si>
    <t>STEVEN &amp; BONNIE JOHNSTON</t>
  </si>
  <si>
    <t xml:space="preserve">7862 S PENROSE DR </t>
  </si>
  <si>
    <t>JOHNSTON STEVEN F &amp; BONNIE C</t>
  </si>
  <si>
    <t>WHITEMAN</t>
  </si>
  <si>
    <t>MARLA</t>
  </si>
  <si>
    <t>WILLIAM &amp; MARLA WHITEMAN</t>
  </si>
  <si>
    <t xml:space="preserve">26906 W WAHALLA LN </t>
  </si>
  <si>
    <t>SUN CITY FESTIVAL PARCEL O1 PHASE 1</t>
  </si>
  <si>
    <t>WHITEMAN WILLIAM DAVID &amp; MARL</t>
  </si>
  <si>
    <t>ARTHUR</t>
  </si>
  <si>
    <t>AVILA</t>
  </si>
  <si>
    <t>CHARLENE</t>
  </si>
  <si>
    <t>ARTHUR &amp; CHARLENE AVILA</t>
  </si>
  <si>
    <t xml:space="preserve">6854 S ROCHESTER DR </t>
  </si>
  <si>
    <t>MOUNT  LAUREL NJ 08054</t>
  </si>
  <si>
    <t>ARTHUR A AVILA</t>
  </si>
  <si>
    <t>CHARLENE AVILA</t>
  </si>
  <si>
    <t>KATHERINE</t>
  </si>
  <si>
    <t>MAHANA</t>
  </si>
  <si>
    <t>BUCHAN</t>
  </si>
  <si>
    <t>KATHERINE MAHANA &amp; MATTHEW BUCHAN</t>
  </si>
  <si>
    <t xml:space="preserve">14905 W VALENTINE ST </t>
  </si>
  <si>
    <t>MAHANA KATHERINE J</t>
  </si>
  <si>
    <t>BUCHAN MATTHEW</t>
  </si>
  <si>
    <t>ST DENIS TRAVIS S &amp; GAUTHIER AMY</t>
  </si>
  <si>
    <t xml:space="preserve">3904 E CAROB DR </t>
  </si>
  <si>
    <t>JG WENTWORTH HM LNDG</t>
  </si>
  <si>
    <t>WOODBRIDGE VA 22192</t>
  </si>
  <si>
    <t>TRAVIS S ST DENIS</t>
  </si>
  <si>
    <t>AMY GAUTHIER</t>
  </si>
  <si>
    <t>RICE FAMILY LIVING TRUST</t>
  </si>
  <si>
    <t>RICE</t>
  </si>
  <si>
    <t xml:space="preserve">2470 E HAZELTINE WAY </t>
  </si>
  <si>
    <t>COSTA MESA CA 92626</t>
  </si>
  <si>
    <t>RICE MICHAEL P &amp; CHRISTINE L T</t>
  </si>
  <si>
    <t>WENRICK</t>
  </si>
  <si>
    <t>CHARITY</t>
  </si>
  <si>
    <t>WENRICK &amp; CHARITY LYNN</t>
  </si>
  <si>
    <t xml:space="preserve">5020 S CURIE WAY </t>
  </si>
  <si>
    <t>WENRICK DENNIS K JR &amp; CHARITY L</t>
  </si>
  <si>
    <t>BOYD</t>
  </si>
  <si>
    <t>DANIELLE</t>
  </si>
  <si>
    <t>AARON &amp; DANIELLE BOYD</t>
  </si>
  <si>
    <t xml:space="preserve">18371 W ROMA AVE </t>
  </si>
  <si>
    <t>BOYD AARON N &amp; DANIELLE A</t>
  </si>
  <si>
    <t xml:space="preserve">2146 E LINDRICK DR </t>
  </si>
  <si>
    <t xml:space="preserve">9000 E PIMA CENTER PKWY #350 </t>
  </si>
  <si>
    <t>SCOTTSDALE</t>
  </si>
  <si>
    <t>FLORES GABRIEL &amp; JENNIFER</t>
  </si>
  <si>
    <t>RONALD</t>
  </si>
  <si>
    <t>DUPUIS</t>
  </si>
  <si>
    <t>SARITA</t>
  </si>
  <si>
    <t>RONALD &amp; SARITA DUPUIS</t>
  </si>
  <si>
    <t xml:space="preserve">4858 S EASTERN RUN </t>
  </si>
  <si>
    <t>DUPUIS RONALD J &amp; SARITA</t>
  </si>
  <si>
    <t>SKINNER</t>
  </si>
  <si>
    <t>SCOTT SKINNER</t>
  </si>
  <si>
    <t xml:space="preserve">10238 E CATALYST AVE </t>
  </si>
  <si>
    <t>SKINNER SCOTT L A</t>
  </si>
  <si>
    <t>MOUNTAIN AMERICA FCU</t>
  </si>
  <si>
    <t>VILLA</t>
  </si>
  <si>
    <t>JAIME</t>
  </si>
  <si>
    <t>AMBER &amp; JAIME VILLA</t>
  </si>
  <si>
    <t xml:space="preserve">3707 W LANHAM DR </t>
  </si>
  <si>
    <t>AMBER R VILLA</t>
  </si>
  <si>
    <t>JAIME A VILLA</t>
  </si>
  <si>
    <t>DEAL</t>
  </si>
  <si>
    <t>PATRICK &amp; MELISSA DEAL</t>
  </si>
  <si>
    <t xml:space="preserve">3724 W LANHAM DR </t>
  </si>
  <si>
    <t>DEAL PATRICK G</t>
  </si>
  <si>
    <t>MONICA</t>
  </si>
  <si>
    <t>MONICA CHARLES</t>
  </si>
  <si>
    <t xml:space="preserve">27099 N 75TH DR </t>
  </si>
  <si>
    <t>CHARLES MONICA</t>
  </si>
  <si>
    <t>DALE</t>
  </si>
  <si>
    <t>RIVARD</t>
  </si>
  <si>
    <t>BRETTE</t>
  </si>
  <si>
    <t>DALE &amp; BRETTE RIVARD</t>
  </si>
  <si>
    <t xml:space="preserve">10427 E PIVITOL AVE </t>
  </si>
  <si>
    <t>STANDARD PAC MTG INC</t>
  </si>
  <si>
    <t>RIVARD BRETTE &amp; DALE</t>
  </si>
  <si>
    <t>CARLYNDA</t>
  </si>
  <si>
    <t>FINONA</t>
  </si>
  <si>
    <t>CARLYNDA FINONA</t>
  </si>
  <si>
    <t xml:space="preserve">252 E CRESCENT PL </t>
  </si>
  <si>
    <t>SOUTHSHORE VILLAGE</t>
  </si>
  <si>
    <t>DR HORTON INC</t>
  </si>
  <si>
    <t>FINONA CARLYNDA A M</t>
  </si>
  <si>
    <t>ACADEMY MTG</t>
  </si>
  <si>
    <t>CARLYNDA A FINONA</t>
  </si>
  <si>
    <t>GEORGE</t>
  </si>
  <si>
    <t>BURGOS</t>
  </si>
  <si>
    <t>GEORGE BURGOS</t>
  </si>
  <si>
    <t xml:space="preserve">1098 E BAJOR ST </t>
  </si>
  <si>
    <t>LAYTON LAKES PHASE 2 GILBERT PARCEL 12</t>
  </si>
  <si>
    <t>BURGOS GEORGE</t>
  </si>
  <si>
    <t>WALKER JACKIE B &amp; BARBARA L TR</t>
  </si>
  <si>
    <t>B &amp; BARBARA WALKERJACKIE</t>
  </si>
  <si>
    <t xml:space="preserve">27225 N 78TH LN </t>
  </si>
  <si>
    <t>WALKER JACKIE B &amp; BONNIE L</t>
  </si>
  <si>
    <t>RAHN</t>
  </si>
  <si>
    <t>KYLE &amp; JENNIFER RAHN</t>
  </si>
  <si>
    <t xml:space="preserve">7832 W FETLOCK TRL </t>
  </si>
  <si>
    <t>QUICKEN LOANS INC</t>
  </si>
  <si>
    <t>RAHN KYLE S &amp; JENNIFER L</t>
  </si>
  <si>
    <t>FITZMAURICE</t>
  </si>
  <si>
    <t>LAURA</t>
  </si>
  <si>
    <t>DAVID &amp; LAURA FITZMAURICE</t>
  </si>
  <si>
    <t xml:space="preserve">7850 W FETLOCK TRL </t>
  </si>
  <si>
    <t>PARAMOUNT RESID'L MTG GRP</t>
  </si>
  <si>
    <t>FITZMAURICE DAVID M &amp; LAURA L</t>
  </si>
  <si>
    <t>AMERICO</t>
  </si>
  <si>
    <t>LONGO</t>
  </si>
  <si>
    <t>CYNTHIA</t>
  </si>
  <si>
    <t>AMERICO &amp; CYNTHIA LONGO</t>
  </si>
  <si>
    <t xml:space="preserve">27105 N 78TH LN </t>
  </si>
  <si>
    <t>LONGO AMERICO &amp; CYNTHIA E</t>
  </si>
  <si>
    <t>RAMON</t>
  </si>
  <si>
    <t>YOUNG</t>
  </si>
  <si>
    <t>SHANNON</t>
  </si>
  <si>
    <t>RAMON &amp; SHANNON YOUNG</t>
  </si>
  <si>
    <t xml:space="preserve">7870 W WHITEHORN TRL </t>
  </si>
  <si>
    <t>YOUNG RAMON &amp; SHANNON</t>
  </si>
  <si>
    <t>BALL</t>
  </si>
  <si>
    <t>ROBERT &amp; LINDA BALL</t>
  </si>
  <si>
    <t xml:space="preserve">26254 N 107TH LN </t>
  </si>
  <si>
    <t>R053</t>
  </si>
  <si>
    <t>TIERRA DEL RIO PARCEL12</t>
  </si>
  <si>
    <t>BALL ROBERT M &amp; LINDA M</t>
  </si>
  <si>
    <t>BERG</t>
  </si>
  <si>
    <t>DAWN</t>
  </si>
  <si>
    <t>JOHN &amp; DAWN BERG</t>
  </si>
  <si>
    <t xml:space="preserve">10744 W LARIAT LN </t>
  </si>
  <si>
    <t>BERG JOHN J &amp; DAWN Y</t>
  </si>
  <si>
    <t>MORAN</t>
  </si>
  <si>
    <t>JOHN MORAN</t>
  </si>
  <si>
    <t xml:space="preserve">28031 N 100TH LN </t>
  </si>
  <si>
    <t>TIERRA DEL RIO PARCEL 23</t>
  </si>
  <si>
    <t>JOHN E MORAN</t>
  </si>
  <si>
    <t>KISTNER</t>
  </si>
  <si>
    <t>KERIN</t>
  </si>
  <si>
    <t>THEODORE &amp; KERIN KISTNER</t>
  </si>
  <si>
    <t xml:space="preserve">26877 N 99TH DR </t>
  </si>
  <si>
    <t>TIERRA DEL RIO PARCEL 28 REPLAT</t>
  </si>
  <si>
    <t>KISTNER JR THEODORE K</t>
  </si>
  <si>
    <t>KISTNER KERIN M</t>
  </si>
  <si>
    <t>PARDONCHE FAMILY TRUST</t>
  </si>
  <si>
    <t>PARDONCHE</t>
  </si>
  <si>
    <t xml:space="preserve">26911 N 99TH DR </t>
  </si>
  <si>
    <t>DITECH FIN'L LLC</t>
  </si>
  <si>
    <t>PARDONCHE WILLIAM M &amp; WENDY M</t>
  </si>
  <si>
    <t xml:space="preserve">6879 S CLAIBORNE AVE </t>
  </si>
  <si>
    <t>GADDIS DANIEL &amp; MARGARETE</t>
  </si>
  <si>
    <t>WELLS FARGO BK</t>
  </si>
  <si>
    <t>D D GADDIS II</t>
  </si>
  <si>
    <t>M P GADDIS</t>
  </si>
  <si>
    <t>KEVIN</t>
  </si>
  <si>
    <t>OCHS</t>
  </si>
  <si>
    <t>MAXINE</t>
  </si>
  <si>
    <t>KEVIN &amp; MAXINE OCHS</t>
  </si>
  <si>
    <t xml:space="preserve">10540 E VIVID AVE </t>
  </si>
  <si>
    <t>EASTMARK DU-7 SOUTH PARCEL 7-4A</t>
  </si>
  <si>
    <t>CMG FIN'L</t>
  </si>
  <si>
    <t>OCHS KEVIN &amp; MAXINE</t>
  </si>
  <si>
    <t>MELVIN</t>
  </si>
  <si>
    <t>KINNEBREW</t>
  </si>
  <si>
    <t>MELVIN &amp; SANDRA KINNEBREW</t>
  </si>
  <si>
    <t xml:space="preserve">10527 E DIFFRACTION AVE </t>
  </si>
  <si>
    <t>KINNEBREW MELVIN &amp; SANDRA S</t>
  </si>
  <si>
    <t>CAMERON</t>
  </si>
  <si>
    <t>MUSTAMANDI</t>
  </si>
  <si>
    <t>BAYNAZIER</t>
  </si>
  <si>
    <t>ANSARI</t>
  </si>
  <si>
    <t>CAMERON MUSTAMANDI &amp; BAYNAZIER ANSARI</t>
  </si>
  <si>
    <t xml:space="preserve">4933 S MOCCASIN TRL </t>
  </si>
  <si>
    <t>MUSTAMANDI CAMERON M</t>
  </si>
  <si>
    <t>ANSARI BAYNAZIER</t>
  </si>
  <si>
    <t>LUCIER</t>
  </si>
  <si>
    <t>MARYJANE</t>
  </si>
  <si>
    <t>KRISTINA</t>
  </si>
  <si>
    <t>LUCIER &amp; KRISTINA MARYJANE</t>
  </si>
  <si>
    <t xml:space="preserve">18366 W MONTECITO AVE </t>
  </si>
  <si>
    <t>LUCIER JOHN E &amp; KRISTINA M</t>
  </si>
  <si>
    <t>FELIX</t>
  </si>
  <si>
    <t>CATHALEEN</t>
  </si>
  <si>
    <t>JOHN &amp; CATHALEEN FELIX</t>
  </si>
  <si>
    <t xml:space="preserve">7466 E PLATA AVE </t>
  </si>
  <si>
    <t>FELIX JOHN J &amp; CATHALEEN J</t>
  </si>
  <si>
    <t>NEAU</t>
  </si>
  <si>
    <t>MICHAEL NEAU</t>
  </si>
  <si>
    <t xml:space="preserve">7438 E ONZA AVE </t>
  </si>
  <si>
    <t>LAKEVIEW LN SERVICING</t>
  </si>
  <si>
    <t>VIRGINIA BEACH VA 23452</t>
  </si>
  <si>
    <t>MICHAEL E NEAU JR</t>
  </si>
  <si>
    <t>F</t>
  </si>
  <si>
    <t>AMERICAN FINANCIAL NETWORK INC</t>
  </si>
  <si>
    <t>NEAU JR MICHAEL EDWARD</t>
  </si>
  <si>
    <t>LYNCH</t>
  </si>
  <si>
    <t>TIMOTHY &amp; LISA LYNCH</t>
  </si>
  <si>
    <t xml:space="preserve">18418 W SELLS DR </t>
  </si>
  <si>
    <t>LYNCH TIMOTHY &amp; LISA</t>
  </si>
  <si>
    <t>SCHIRO</t>
  </si>
  <si>
    <t>MASI</t>
  </si>
  <si>
    <t>JAMES SCHIRO &amp; JENNIFER MASI</t>
  </si>
  <si>
    <t xml:space="preserve">5012 S GIRARD ST </t>
  </si>
  <si>
    <t>GENEVA FIN'L</t>
  </si>
  <si>
    <t>CHANDLER AZ 85248</t>
  </si>
  <si>
    <t>JAMES T SCHIRO</t>
  </si>
  <si>
    <t>JENNIFER L MASI</t>
  </si>
  <si>
    <t>HEIR</t>
  </si>
  <si>
    <t>HEATHER</t>
  </si>
  <si>
    <t>SCOTT &amp; HEATHER HEIR</t>
  </si>
  <si>
    <t xml:space="preserve">3828 E STRAWBERRY DR </t>
  </si>
  <si>
    <t>HIER SCOTT &amp; HEATHER</t>
  </si>
  <si>
    <t>MONTGOMERY</t>
  </si>
  <si>
    <t>JEAN</t>
  </si>
  <si>
    <t>MONTGOMERY &amp; BARBARA JEAN</t>
  </si>
  <si>
    <t xml:space="preserve">3690 E BLUE SPRUCE LN </t>
  </si>
  <si>
    <t>STARBOARD FIN'L</t>
  </si>
  <si>
    <t>MONTGOMERY CARL A &amp; BARBARA J</t>
  </si>
  <si>
    <t>FRANK F AND LYNNE A FIORE REVOCABLE LIV TRUST</t>
  </si>
  <si>
    <t xml:space="preserve">20068 E CAMACHO RD </t>
  </si>
  <si>
    <t>FIORE FRANK F &amp; LYNNE A T T</t>
  </si>
  <si>
    <t>FINLT</t>
  </si>
  <si>
    <t>CHI</t>
  </si>
  <si>
    <t>NGUYEN</t>
  </si>
  <si>
    <t>TERRY FINLT &amp; CHI NGUYEN</t>
  </si>
  <si>
    <t xml:space="preserve">5129 S FLEMING LN </t>
  </si>
  <si>
    <t>FLAGSHIP FIN'L GRP LLC</t>
  </si>
  <si>
    <t>LEHI UT 84043</t>
  </si>
  <si>
    <t>FLINT TERRY A</t>
  </si>
  <si>
    <t>NGUYEN CHI T K</t>
  </si>
  <si>
    <t>TERRY A FLINT</t>
  </si>
  <si>
    <t>CHI T NGUYEN</t>
  </si>
  <si>
    <t>JOSHUA</t>
  </si>
  <si>
    <t>SIOBHAN</t>
  </si>
  <si>
    <t>JOSHUA &amp; SIOBHAN ROSS</t>
  </si>
  <si>
    <t xml:space="preserve">3719 E NARROWLEAF DR </t>
  </si>
  <si>
    <t>BBMC MTG</t>
  </si>
  <si>
    <t>ROSS JOSHUA M &amp; SIOBHAN</t>
  </si>
  <si>
    <t>ISKO FAMILY TRUST</t>
  </si>
  <si>
    <t>ISKO</t>
  </si>
  <si>
    <t xml:space="preserve">7347 E POSADA AVE </t>
  </si>
  <si>
    <t>MISKO JOSEPH W &amp; MARLENE L</t>
  </si>
  <si>
    <t>ABBOTT</t>
  </si>
  <si>
    <t>GARY &amp; LISA ABBOTT</t>
  </si>
  <si>
    <t xml:space="preserve">7546 E ONZA AVE </t>
  </si>
  <si>
    <t>ABBOTT GARY D &amp; LISA R</t>
  </si>
  <si>
    <t>JULIOUS</t>
  </si>
  <si>
    <t>DELROSARIO</t>
  </si>
  <si>
    <t>MIRIANA</t>
  </si>
  <si>
    <t>ZUMBO</t>
  </si>
  <si>
    <t>JULIOUS DELROSARIO &amp; MIRIANA ZUMBO</t>
  </si>
  <si>
    <t xml:space="preserve">14840 W SURREY DR </t>
  </si>
  <si>
    <t>PACIFIC LENDING LLC(PVT)</t>
  </si>
  <si>
    <t>ROSARIO JULIOUS F DEL</t>
  </si>
  <si>
    <t>ZUMBO MIRIANA TANIA</t>
  </si>
  <si>
    <t>MITCHELL FAMILY TRUST</t>
  </si>
  <si>
    <t xml:space="preserve">7420 E PORTOBELLO AVE </t>
  </si>
  <si>
    <t>HAYDEN</t>
  </si>
  <si>
    <t>MATTHEW &amp; JENNIFER HAYDEN</t>
  </si>
  <si>
    <t xml:space="preserve">27129 N 15TH LN </t>
  </si>
  <si>
    <t>DYNAMITE MTN RANCH PHASE 2 SECTION 31 PA</t>
  </si>
  <si>
    <t>HAYDEN MATTHEW A &amp; JENNIFER M</t>
  </si>
  <si>
    <t>WANAMAKER</t>
  </si>
  <si>
    <t>KYLE WANAMAKER</t>
  </si>
  <si>
    <t xml:space="preserve">1122 E HOLBROOK CT </t>
  </si>
  <si>
    <t>WANAMAKER KYLE</t>
  </si>
  <si>
    <t>MINESHKUMAR</t>
  </si>
  <si>
    <t>PATEL</t>
  </si>
  <si>
    <t>MINESHKUMAR &amp; JENNIFER PATEL</t>
  </si>
  <si>
    <t xml:space="preserve">1153 E BAJOR ST </t>
  </si>
  <si>
    <t>PATEL MINESHKUMAR N &amp; JENNIFE</t>
  </si>
  <si>
    <t>SANNER LIVING TRUST</t>
  </si>
  <si>
    <t>SANNER</t>
  </si>
  <si>
    <t xml:space="preserve">1086 E ABERDEEN DR </t>
  </si>
  <si>
    <t>LAYTON LAKES PHASE 2 GILBERT PARCEL 11</t>
  </si>
  <si>
    <t>SANNER JEREMY R</t>
  </si>
  <si>
    <t>ELLIOTT</t>
  </si>
  <si>
    <t>CRYSTAL</t>
  </si>
  <si>
    <t>ELLIOTT &amp; CRYSTAL JACKSON</t>
  </si>
  <si>
    <t xml:space="preserve">18254 W SEQUOIA DR </t>
  </si>
  <si>
    <t>JACKSON ELLIOTT W &amp; CRYSTAL L</t>
  </si>
  <si>
    <t>PECK</t>
  </si>
  <si>
    <t>GRACE</t>
  </si>
  <si>
    <t>ROBERT &amp; GRACE PECK</t>
  </si>
  <si>
    <t xml:space="preserve">10231 E CATALYST AVE </t>
  </si>
  <si>
    <t>PECK ROBERT N &amp; GRACE</t>
  </si>
  <si>
    <t>KUCHEK</t>
  </si>
  <si>
    <t>JILL</t>
  </si>
  <si>
    <t>DAVID &amp; JILL KUCHEK</t>
  </si>
  <si>
    <t xml:space="preserve">10740 W BRILES RD </t>
  </si>
  <si>
    <t>UNITED SEC FIN'L</t>
  </si>
  <si>
    <t>DAVID J KUCHEK</t>
  </si>
  <si>
    <t>JILL D KUCHEK</t>
  </si>
  <si>
    <t>DEBRA</t>
  </si>
  <si>
    <t>MILLER-WHITE</t>
  </si>
  <si>
    <t>ANDREW WHITE &amp; DEBRA MILLER-WHITE</t>
  </si>
  <si>
    <t xml:space="preserve">1166 E HOLBROOK ST </t>
  </si>
  <si>
    <t>SALT LAKE CITY UT 84116</t>
  </si>
  <si>
    <t>WHITE ANDREW</t>
  </si>
  <si>
    <t>MILLER-WHITE DEBRA</t>
  </si>
  <si>
    <t>8655 E VIA DE VENTURA # F-25 SCOTTSDALE AZ 85258-3300</t>
  </si>
  <si>
    <t>ANDREW WHITE</t>
  </si>
  <si>
    <t>DEBRA MILLER-WHITE</t>
  </si>
  <si>
    <t>ELCOCK</t>
  </si>
  <si>
    <t>RONALD &amp; LISA ELCOCK</t>
  </si>
  <si>
    <t xml:space="preserve">19770 E STRAWBERRY CT </t>
  </si>
  <si>
    <t>R004</t>
  </si>
  <si>
    <t>CIELO NOCHE</t>
  </si>
  <si>
    <t>K HOVNANIAN COMPANIES OF ARIZ</t>
  </si>
  <si>
    <t>ELCOCK RONALD &amp; LISA</t>
  </si>
  <si>
    <t>MARVIN</t>
  </si>
  <si>
    <t>BELINDA</t>
  </si>
  <si>
    <t>MARVIN &amp; BELINDA MILLER</t>
  </si>
  <si>
    <t xml:space="preserve">4991 S JOSHUA TREE CT </t>
  </si>
  <si>
    <t>MILLER MARVIN A &amp; BELINDA J</t>
  </si>
  <si>
    <t>GERARDO</t>
  </si>
  <si>
    <t>LIM</t>
  </si>
  <si>
    <t>RESURRECCION</t>
  </si>
  <si>
    <t>GERARDO &amp; RESURRECCION LIM</t>
  </si>
  <si>
    <t xml:space="preserve">2556 E TONTO DR </t>
  </si>
  <si>
    <t>R113</t>
  </si>
  <si>
    <t>FREEMAN FARMS PHASE 3 PCL 4 VARIOUS LTS</t>
  </si>
  <si>
    <t>FREEMAN FARMS</t>
  </si>
  <si>
    <t>CHANDLER TRADITIONAL ACADEMY - FREEDOM CAMPUS</t>
  </si>
  <si>
    <t>LIM GERARDO T &amp; RESURRECCION A</t>
  </si>
  <si>
    <t>CHORPENNING</t>
  </si>
  <si>
    <t>CORNELIA</t>
  </si>
  <si>
    <t>PATRICK &amp; CORNELIA CHORPENNING</t>
  </si>
  <si>
    <t xml:space="preserve">7481 W REMUDA DR </t>
  </si>
  <si>
    <t>R055</t>
  </si>
  <si>
    <t>TERRAMAR PARCEL 10B</t>
  </si>
  <si>
    <t>TERRAMAR</t>
  </si>
  <si>
    <t>MOUNTAIN RIDGE HIGH SCHOOL</t>
  </si>
  <si>
    <t>FIRST FED'L BK FSB</t>
  </si>
  <si>
    <t>CHORPENNING PATRICK F &amp; CORNELIA S</t>
  </si>
  <si>
    <t>CIMINO</t>
  </si>
  <si>
    <t>STEVEN &amp; DAWN CIMINO</t>
  </si>
  <si>
    <t xml:space="preserve">10777 W PRICKLY PEAR TRL </t>
  </si>
  <si>
    <t>TIERRA DEL RIO PARCEL 11</t>
  </si>
  <si>
    <t>CIMINO STEVEN R &amp; DAWN</t>
  </si>
  <si>
    <t>BAYLESS</t>
  </si>
  <si>
    <t>DANIEL &amp; JENNIFER BAYLESS</t>
  </si>
  <si>
    <t xml:space="preserve">26092 N 74TH DR </t>
  </si>
  <si>
    <t>ROYAL PACIFIC FNDG</t>
  </si>
  <si>
    <t>DANIEL J BAYLESS</t>
  </si>
  <si>
    <t>JENNIFER BAYLESS</t>
  </si>
  <si>
    <t>CHIU</t>
  </si>
  <si>
    <t>YEN</t>
  </si>
  <si>
    <t>LIBUIT &amp; YEN CHIU</t>
  </si>
  <si>
    <t xml:space="preserve">19758 E APRICOT CT </t>
  </si>
  <si>
    <t>LIBUIT ANDREW &amp; YEN CHIU</t>
  </si>
  <si>
    <t>NORRIS</t>
  </si>
  <si>
    <t>JOHN &amp; MARY NORRIS</t>
  </si>
  <si>
    <t xml:space="preserve">19786 E STRAWBERRY CT </t>
  </si>
  <si>
    <t>K HOVNANIAN AMERICAN MTG LLC</t>
  </si>
  <si>
    <t>NORRIS JOHN L &amp; MARY A</t>
  </si>
  <si>
    <t>CATES</t>
  </si>
  <si>
    <t>BRIAN CATES</t>
  </si>
  <si>
    <t xml:space="preserve">912 E TEKOA AVE </t>
  </si>
  <si>
    <t>CATES BRIAN ROBERT</t>
  </si>
  <si>
    <t>BARNES</t>
  </si>
  <si>
    <t>CRAIG &amp; JULIE BARNES</t>
  </si>
  <si>
    <t xml:space="preserve">20081 E QUINTERO RD </t>
  </si>
  <si>
    <t>BARNES CRAIG S &amp; JULIE A</t>
  </si>
  <si>
    <t>GONZALES</t>
  </si>
  <si>
    <t>TRICIA</t>
  </si>
  <si>
    <t>RICHARD &amp; TRICIA GONZALES</t>
  </si>
  <si>
    <t xml:space="preserve">3738 W TERESA DR </t>
  </si>
  <si>
    <t>GONZALES RICHARD D &amp; TRICIA A</t>
  </si>
  <si>
    <t>ENTSMINGER</t>
  </si>
  <si>
    <t>JUDITH</t>
  </si>
  <si>
    <t>JAMES &amp; JUDITH ENTSMINGER</t>
  </si>
  <si>
    <t xml:space="preserve">5013 S SELENIUM LN </t>
  </si>
  <si>
    <t>ENTSMINGER JAMES P &amp; JUDITH A</t>
  </si>
  <si>
    <t>MATT</t>
  </si>
  <si>
    <t>STEIB</t>
  </si>
  <si>
    <t>MATT &amp; AMANDA STEIB</t>
  </si>
  <si>
    <t xml:space="preserve">5500 S LUISENO BLVD </t>
  </si>
  <si>
    <t>STEIB MATTHEW M &amp; AMANDA</t>
  </si>
  <si>
    <t>KOWAL</t>
  </si>
  <si>
    <t>ALICE</t>
  </si>
  <si>
    <t>KOWAL &amp; NANCY ALICE</t>
  </si>
  <si>
    <t xml:space="preserve">7584 W BAJADA RD </t>
  </si>
  <si>
    <t>KOWAL RICHARD SAMUEL &amp; NANCY</t>
  </si>
  <si>
    <t>STAUDE</t>
  </si>
  <si>
    <t>COLLEEN</t>
  </si>
  <si>
    <t>KENNETH &amp; COLLEEN STAUDE</t>
  </si>
  <si>
    <t xml:space="preserve">10307 E STARION AVE </t>
  </si>
  <si>
    <t>STAUDE KENNETH R &amp; COLLEEN H</t>
  </si>
  <si>
    <t>NIELSEN</t>
  </si>
  <si>
    <t>JANET</t>
  </si>
  <si>
    <t>MICHAEL &amp; JANET NIELSEN</t>
  </si>
  <si>
    <t xml:space="preserve">710 W TOMBSTONE TRL </t>
  </si>
  <si>
    <t>PATRIOT HM MTG</t>
  </si>
  <si>
    <t>NIELSEN MICHAEL A &amp; JANET L</t>
  </si>
  <si>
    <t>TAMMY</t>
  </si>
  <si>
    <t>TAMMY HUGHES</t>
  </si>
  <si>
    <t xml:space="preserve">3744 W ABRAMS DR </t>
  </si>
  <si>
    <t>BEAZER HOME SALES INC</t>
  </si>
  <si>
    <t>SECURITY NAT'L MTG CO</t>
  </si>
  <si>
    <t>MURRAY UT 84123</t>
  </si>
  <si>
    <t>HUGHES TAMMY J</t>
  </si>
  <si>
    <t>LEVINGSTON</t>
  </si>
  <si>
    <t>ROBIN</t>
  </si>
  <si>
    <t>JASON &amp; ROBIN LEVINGSTON</t>
  </si>
  <si>
    <t xml:space="preserve">31755 N 132ND DR </t>
  </si>
  <si>
    <t>VISTANCIA NORTH PHASE 3 PARCEL F1 PHASE</t>
  </si>
  <si>
    <t>LEVINGSTON JASON T &amp; ROBIN L</t>
  </si>
  <si>
    <t>FLAGSTAR BK</t>
  </si>
  <si>
    <t>TROY MI 48098-2639</t>
  </si>
  <si>
    <t>JASON T LEVINGSTON</t>
  </si>
  <si>
    <t>ROBIN L LEVINGSTON</t>
  </si>
  <si>
    <t>WILLIAMSON</t>
  </si>
  <si>
    <t>WILLIAM WILLIAMSON</t>
  </si>
  <si>
    <t xml:space="preserve">3721 E AZALEA DR #50 </t>
  </si>
  <si>
    <t xml:space="preserve">3721 E AZALEA DR </t>
  </si>
  <si>
    <t>WILLIAMSON WILLIAM H</t>
  </si>
  <si>
    <t>ONDREJECH</t>
  </si>
  <si>
    <t>RAYMOND ONDREJECH</t>
  </si>
  <si>
    <t xml:space="preserve">26825 N 100TH AVE </t>
  </si>
  <si>
    <t>ONDREJECH RAYMOND A</t>
  </si>
  <si>
    <t>RAYMOND A ONDREJECH</t>
  </si>
  <si>
    <t>ROBERT &amp; REGINA YOUNG</t>
  </si>
  <si>
    <t xml:space="preserve">5224 S PONDEROSA DR </t>
  </si>
  <si>
    <t>BENEFICIARY DEED (BUYER ID = "BE")</t>
  </si>
  <si>
    <t>YOUNG ROBERT</t>
  </si>
  <si>
    <t>NICKOLAS</t>
  </si>
  <si>
    <t>ZAHARA</t>
  </si>
  <si>
    <t>PAMELA</t>
  </si>
  <si>
    <t>NICKOLAS &amp; PAMELA ZAHARA</t>
  </si>
  <si>
    <t xml:space="preserve">15504 N 47TH PL </t>
  </si>
  <si>
    <t>SALVATO MARK F</t>
  </si>
  <si>
    <t>ZAHARA NICKOLAS JR &amp; PAMELA L</t>
  </si>
  <si>
    <t>GRIFFITHS</t>
  </si>
  <si>
    <t>DALE &amp; PATRICIA GRIFFITHS</t>
  </si>
  <si>
    <t xml:space="preserve">20082 E QUINTERO RD </t>
  </si>
  <si>
    <t>GRIFFITHS DALE S &amp; PATRICIA M</t>
  </si>
  <si>
    <t>DELAMATER</t>
  </si>
  <si>
    <t>JOHN &amp; JACQUELINE DELAMATER</t>
  </si>
  <si>
    <t xml:space="preserve">5009 S PULSE TER </t>
  </si>
  <si>
    <t>DELAMATER JOHN T JR &amp; JACQUALINE D</t>
  </si>
  <si>
    <t>MENA</t>
  </si>
  <si>
    <t>TONYA</t>
  </si>
  <si>
    <t>FREDERICK &amp; TONYA MENA</t>
  </si>
  <si>
    <t xml:space="preserve">18487 W MONTECITO AVE </t>
  </si>
  <si>
    <t>MENA FREDERICK A &amp; TONYA R</t>
  </si>
  <si>
    <t>BREWER</t>
  </si>
  <si>
    <t>SHERIDAN</t>
  </si>
  <si>
    <t>JUPP</t>
  </si>
  <si>
    <t>ARTHUR BREWER &amp; SHERIDAN JUPP</t>
  </si>
  <si>
    <t xml:space="preserve">3702 E AZALEA DR </t>
  </si>
  <si>
    <t>WEEKLEY HOMES OF ARIZONA LLC</t>
  </si>
  <si>
    <t>BREWER ARTHUR L</t>
  </si>
  <si>
    <t>RAMEL</t>
  </si>
  <si>
    <t>ESTRADA</t>
  </si>
  <si>
    <t>FEMARIA</t>
  </si>
  <si>
    <t>RAMEL &amp; FEMARIA ESTRADA</t>
  </si>
  <si>
    <t xml:space="preserve">4967 S MOCCASIN TRL </t>
  </si>
  <si>
    <t>ESTRADA RAMEL &amp; FEMARIA</t>
  </si>
  <si>
    <t>LANCE</t>
  </si>
  <si>
    <t>REAMY</t>
  </si>
  <si>
    <t>LANCE REAMY</t>
  </si>
  <si>
    <t xml:space="preserve">17618 N 17TH LN </t>
  </si>
  <si>
    <t>C086</t>
  </si>
  <si>
    <t>CONSTITUTION RIDGE</t>
  </si>
  <si>
    <t>CONSTITUTION ELEMENTARY SCHOOL</t>
  </si>
  <si>
    <t>DEER VALLEY MIDDLE SCHOOL</t>
  </si>
  <si>
    <t>GARRETT WALKER HOMES</t>
  </si>
  <si>
    <t>GOLDWATER BK NA</t>
  </si>
  <si>
    <t>REAMY LANCE</t>
  </si>
  <si>
    <t>BRASCH</t>
  </si>
  <si>
    <t>ERIC &amp; DAWN BRASCH</t>
  </si>
  <si>
    <t xml:space="preserve">3881 E CASSIA LN </t>
  </si>
  <si>
    <t>BRASCH ERIC &amp; DAWN</t>
  </si>
  <si>
    <t>LEBLANC</t>
  </si>
  <si>
    <t>JEREMY &amp; KIMBERLY LEBLANC</t>
  </si>
  <si>
    <t xml:space="preserve">14832 W SURREY DR </t>
  </si>
  <si>
    <t>CALIBER HM LOANS INC</t>
  </si>
  <si>
    <t>LEBLANC JEREMY R</t>
  </si>
  <si>
    <t>BORUM</t>
  </si>
  <si>
    <t>LARRY &amp; BRITTANY BORUM</t>
  </si>
  <si>
    <t xml:space="preserve">10347 E STARION AVE </t>
  </si>
  <si>
    <t>BORUM LARRY &amp; BRITTANY</t>
  </si>
  <si>
    <t>JEFFREY</t>
  </si>
  <si>
    <t>KINDER</t>
  </si>
  <si>
    <t>JEFFREY &amp; CYNTHIA KINDER</t>
  </si>
  <si>
    <t xml:space="preserve">3943 E ALFALFA DR </t>
  </si>
  <si>
    <t>FIRST RATE HM MTG</t>
  </si>
  <si>
    <t>KINDER JEFFREY G &amp; CYNTHIA L</t>
  </si>
  <si>
    <t>KATE</t>
  </si>
  <si>
    <t>ANDERSON &amp; DEBRA KATE</t>
  </si>
  <si>
    <t xml:space="preserve">7538 E POSADA AVE </t>
  </si>
  <si>
    <t>NBKC BK</t>
  </si>
  <si>
    <t>ANDERSON PAUL &amp; DEBRA K</t>
  </si>
  <si>
    <t>CHRISTOPHER VILLA</t>
  </si>
  <si>
    <t xml:space="preserve">3722 W TERESA DR </t>
  </si>
  <si>
    <t>RICHMOND AMERICAN HMS OF ARIZONA</t>
  </si>
  <si>
    <t>VILLA CHRISTOPHER S</t>
  </si>
  <si>
    <t>PENNOCK</t>
  </si>
  <si>
    <t>LISA &amp; DOUGLAS PENNOCK</t>
  </si>
  <si>
    <t xml:space="preserve">26968 W MARCO POLO RD </t>
  </si>
  <si>
    <t>PENNOCK LISA M &amp; DOUGLAS R JR</t>
  </si>
  <si>
    <t>BOLLES</t>
  </si>
  <si>
    <t>KELLEY</t>
  </si>
  <si>
    <t>MEGAN</t>
  </si>
  <si>
    <t>BOLLES &amp; MEGAN KELLEY</t>
  </si>
  <si>
    <t xml:space="preserve">5428 S FOREST AVE </t>
  </si>
  <si>
    <t>PHOENIX AZ 85054</t>
  </si>
  <si>
    <t>BOLLES ANDREW J &amp; MEGAN A K</t>
  </si>
  <si>
    <t>ANDREW J BOLLES</t>
  </si>
  <si>
    <t>MEGAN A KELLEY</t>
  </si>
  <si>
    <t>ALFREDO</t>
  </si>
  <si>
    <t>GABRIEL</t>
  </si>
  <si>
    <t>ALFREDO &amp; KATHERINE GABRIEL</t>
  </si>
  <si>
    <t xml:space="preserve">5546 S LUISENO BLVD </t>
  </si>
  <si>
    <t>GABRIEL ALFREDO L &amp; KATHERINE</t>
  </si>
  <si>
    <t>VERNON</t>
  </si>
  <si>
    <t>DANIELS</t>
  </si>
  <si>
    <t>BRUTANIA</t>
  </si>
  <si>
    <t>CHANNIKA</t>
  </si>
  <si>
    <t>VERNON DANIELS &amp; BRUTANIA CHANNIKA</t>
  </si>
  <si>
    <t xml:space="preserve">1140 E ORIOLE DR </t>
  </si>
  <si>
    <t>DANIELS VERNON C JR &amp; CHANNIKA B</t>
  </si>
  <si>
    <t>KELLSO</t>
  </si>
  <si>
    <t>JACKSON &amp; SHANNON KELLSO</t>
  </si>
  <si>
    <t xml:space="preserve">20122 E CAMACHO RD </t>
  </si>
  <si>
    <t>KELLSO JACKSON &amp; SHANNON</t>
  </si>
  <si>
    <t>MADURA</t>
  </si>
  <si>
    <t>TAMI &amp; KENNETH MADURA</t>
  </si>
  <si>
    <t xml:space="preserve">26733 N 100TH AVE </t>
  </si>
  <si>
    <t>MADURA KENNETH D &amp; TAMI A</t>
  </si>
  <si>
    <t>HAWS</t>
  </si>
  <si>
    <t>AMOS</t>
  </si>
  <si>
    <t>JAMES HAWS &amp; TIMOTHY AMOS</t>
  </si>
  <si>
    <t xml:space="preserve">10535 E LINCOLN AVE </t>
  </si>
  <si>
    <t>HAWS JAMES</t>
  </si>
  <si>
    <t>NORMA</t>
  </si>
  <si>
    <t>GREEN</t>
  </si>
  <si>
    <t>IAN</t>
  </si>
  <si>
    <t>NORMA &amp; IAN GREEN</t>
  </si>
  <si>
    <t xml:space="preserve">10418 E STARION AVE </t>
  </si>
  <si>
    <t>GREEN DONNIE &amp; NORMA M</t>
  </si>
  <si>
    <t>ALEXANDER</t>
  </si>
  <si>
    <t>BLACK</t>
  </si>
  <si>
    <t>LAURIE</t>
  </si>
  <si>
    <t>ALEXANDER &amp; LAURIE BLACK</t>
  </si>
  <si>
    <t xml:space="preserve">7349 E PAMPA AVE </t>
  </si>
  <si>
    <t>BLACK ALEXANDER E &amp; LAURIE L</t>
  </si>
  <si>
    <t>FLEMING JACK &amp; MARY LIVING TRU</t>
  </si>
  <si>
    <t>FLEMINGJACK &amp; MARY FLEMINGJACK</t>
  </si>
  <si>
    <t xml:space="preserve">3417 E STRAWBERRY DR </t>
  </si>
  <si>
    <t>FLEMING JACK A SR &amp; MARY K</t>
  </si>
  <si>
    <t>SAXE</t>
  </si>
  <si>
    <t>HEATHER &amp; MICHAEL SAXE</t>
  </si>
  <si>
    <t xml:space="preserve">20095 E ESCALANTE RD </t>
  </si>
  <si>
    <t>HEATHER SAXE</t>
  </si>
  <si>
    <t>MICHAEL SAXE</t>
  </si>
  <si>
    <t>ROSS &amp; JANET CHRISTINE</t>
  </si>
  <si>
    <t xml:space="preserve">3709 E NARROWLEAF DR </t>
  </si>
  <si>
    <t>ROSS ROBERT W &amp; JANET C</t>
  </si>
  <si>
    <t>SPARKS</t>
  </si>
  <si>
    <t>RAYMOND &amp; BONNIE SPARKS</t>
  </si>
  <si>
    <t xml:space="preserve">2359 E LINDRICK DR </t>
  </si>
  <si>
    <t>SPARKS RAY &amp; BONNIE</t>
  </si>
  <si>
    <t>MATTSON LIVING TRUST</t>
  </si>
  <si>
    <t>MATTSON</t>
  </si>
  <si>
    <t xml:space="preserve">20079 E CAMACHO RD </t>
  </si>
  <si>
    <t>REAL EST MTG NETWORK</t>
  </si>
  <si>
    <t>MATTSON PAUL &amp; LINDA</t>
  </si>
  <si>
    <t>BRITTANY ROSS</t>
  </si>
  <si>
    <t xml:space="preserve">4090 S PEARL DR </t>
  </si>
  <si>
    <t>ROSS BRITTANY R</t>
  </si>
  <si>
    <t>DEVIN</t>
  </si>
  <si>
    <t>BRUNSON</t>
  </si>
  <si>
    <t>DEVIN BRUNSON</t>
  </si>
  <si>
    <t xml:space="preserve">43821 N ERICSON LN </t>
  </si>
  <si>
    <t>BRUNSON DEVIN A</t>
  </si>
  <si>
    <t>SANTOS</t>
  </si>
  <si>
    <t>IMELDA</t>
  </si>
  <si>
    <t>PAUL &amp; IMELDA SANTOS</t>
  </si>
  <si>
    <t xml:space="preserve">3664 E ALFALFA DR </t>
  </si>
  <si>
    <t>CHERRY CRK MTG CO INC</t>
  </si>
  <si>
    <t>GREENWOOD VILLAGE CO 80111</t>
  </si>
  <si>
    <t>SANTOS PAUL &amp; IMELDA</t>
  </si>
  <si>
    <t>PENTAGON FCU</t>
  </si>
  <si>
    <t>ALEXANDRIA VA 22314</t>
  </si>
  <si>
    <t>PAUL SANTOS</t>
  </si>
  <si>
    <t>IMELDA SANTOS</t>
  </si>
  <si>
    <t>TOTOLO-BANACH FAMILY LIV TRUST</t>
  </si>
  <si>
    <t>AURELIA</t>
  </si>
  <si>
    <t>TOTOLO-BANACH</t>
  </si>
  <si>
    <t xml:space="preserve">10732 E KINETIC DR </t>
  </si>
  <si>
    <t>TOTOLO ANTHONY</t>
  </si>
  <si>
    <t>BANACH AURELIA</t>
  </si>
  <si>
    <t>SHAUN</t>
  </si>
  <si>
    <t>LIESKE</t>
  </si>
  <si>
    <t>SHAUN &amp; JENNIFER LIESKE</t>
  </si>
  <si>
    <t xml:space="preserve">4979 S GIRARD ST </t>
  </si>
  <si>
    <t>PRIME LNDG</t>
  </si>
  <si>
    <t>LIESKE SHAUN D &amp; JENNIFER L</t>
  </si>
  <si>
    <t>GRASSEL</t>
  </si>
  <si>
    <t>MICHAEL &amp; KIMBERLY GRASSEL</t>
  </si>
  <si>
    <t xml:space="preserve">3902 E STRAWBERRY DR </t>
  </si>
  <si>
    <t>GRASSEL MICHAEL L &amp; KIMBERLY</t>
  </si>
  <si>
    <t>BARTNIK</t>
  </si>
  <si>
    <t>AARON &amp; KELLY BARTNIK</t>
  </si>
  <si>
    <t xml:space="preserve">4440 E ZION WAY </t>
  </si>
  <si>
    <t>BARTNIK AARON &amp; KELLY</t>
  </si>
  <si>
    <t>ABRAHAM</t>
  </si>
  <si>
    <t>ODISHO</t>
  </si>
  <si>
    <t>DUNIA</t>
  </si>
  <si>
    <t>YOUKHANNA</t>
  </si>
  <si>
    <t>ABRAHAM ODISHO &amp; DUNIA YOUKHANNA</t>
  </si>
  <si>
    <t xml:space="preserve">18464 W DEVONSHIRE AVE </t>
  </si>
  <si>
    <t>ODISHO ABRAHAM Z</t>
  </si>
  <si>
    <t>YOUKHANNA DUNIA</t>
  </si>
  <si>
    <t>WILLIE</t>
  </si>
  <si>
    <t>FAISON</t>
  </si>
  <si>
    <t>KARI</t>
  </si>
  <si>
    <t>WILLIE &amp; KARI FAISON</t>
  </si>
  <si>
    <t xml:space="preserve">3805 W TERESA DR </t>
  </si>
  <si>
    <t>FAISON WILLIE J</t>
  </si>
  <si>
    <t>SCIRONE</t>
  </si>
  <si>
    <t>SCIRONE &amp; HEATHER MARIE</t>
  </si>
  <si>
    <t xml:space="preserve">3377 E PLUM ST </t>
  </si>
  <si>
    <t>SCIRONE CHRISTOPHER J</t>
  </si>
  <si>
    <t>AIMIE</t>
  </si>
  <si>
    <t>MICHAEL &amp; AIMIE ROSS</t>
  </si>
  <si>
    <t xml:space="preserve">10543 E PIVITOL AVE </t>
  </si>
  <si>
    <t>ROSS MICHAEL &amp; AIMIE</t>
  </si>
  <si>
    <t>HERMINIO</t>
  </si>
  <si>
    <t>MARTINEZ</t>
  </si>
  <si>
    <t>MADELINE</t>
  </si>
  <si>
    <t>HERMINIO &amp; MADELINE MARTINEZ</t>
  </si>
  <si>
    <t xml:space="preserve">7454 E PERALTA AVE </t>
  </si>
  <si>
    <t>IMPAC MTG</t>
  </si>
  <si>
    <t>MARTINEZ HERMINIO &amp; MADELINE</t>
  </si>
  <si>
    <t>SPELLMAN</t>
  </si>
  <si>
    <t>VIVIAN</t>
  </si>
  <si>
    <t>SARAH</t>
  </si>
  <si>
    <t>VIVIAN &amp; VIVIAN FRANK</t>
  </si>
  <si>
    <t xml:space="preserve">843 E ABERDEEN DR </t>
  </si>
  <si>
    <t>SPELLMAN THAI F &amp; SARAH V</t>
  </si>
  <si>
    <t>THAI F SPELLMAN</t>
  </si>
  <si>
    <t>SARAH V SPELLMAN</t>
  </si>
  <si>
    <t>CONRAD</t>
  </si>
  <si>
    <t>LAWRENCE</t>
  </si>
  <si>
    <t>STEFANI</t>
  </si>
  <si>
    <t>LAWRENCE &amp; LAWRENCE STEFANI</t>
  </si>
  <si>
    <t xml:space="preserve">3856 E STRAWBERRY DR </t>
  </si>
  <si>
    <t>LAWRENCE CONRAD &amp; STEFANI</t>
  </si>
  <si>
    <t>ALLAN</t>
  </si>
  <si>
    <t>KRPATA</t>
  </si>
  <si>
    <t>JOANNE</t>
  </si>
  <si>
    <t>ALLAN &amp; JOANNE KRPATA</t>
  </si>
  <si>
    <t xml:space="preserve">17316 N 21ST PL </t>
  </si>
  <si>
    <t>C014</t>
  </si>
  <si>
    <t>DESERT WIND VILLAS</t>
  </si>
  <si>
    <t>ECHO MOUNTAIN PRIMARY SCHOOL</t>
  </si>
  <si>
    <t>VISTA VERDE MIDDLE SCHOOL</t>
  </si>
  <si>
    <t>NORTH CANYON HIGH SCHOOL</t>
  </si>
  <si>
    <t>KRPATA ALLAN &amp; JOANNE</t>
  </si>
  <si>
    <t>WLC LIVING TRUST</t>
  </si>
  <si>
    <t>WLC</t>
  </si>
  <si>
    <t xml:space="preserve">18476 W DEVONSHIRE AVE </t>
  </si>
  <si>
    <t>COPSEY WEBSTER L</t>
  </si>
  <si>
    <t>MARCO</t>
  </si>
  <si>
    <t>CORTEZ</t>
  </si>
  <si>
    <t>MARCO CORTEZ</t>
  </si>
  <si>
    <t xml:space="preserve">43864 N HUDSON TRL </t>
  </si>
  <si>
    <t>MARCO A CORTEZ</t>
  </si>
  <si>
    <t>POVENTUD</t>
  </si>
  <si>
    <t>CHRYSTINE</t>
  </si>
  <si>
    <t>ANTHONY &amp; CHRYSTINE POVENTUD</t>
  </si>
  <si>
    <t xml:space="preserve">3723 E CASSIA LN </t>
  </si>
  <si>
    <t>POVENTUD ANTHONY &amp; CHRYSTINE</t>
  </si>
  <si>
    <t>KUSZAJEWSKI</t>
  </si>
  <si>
    <t>MINDY</t>
  </si>
  <si>
    <t>TABOR</t>
  </si>
  <si>
    <t>WILLIAM KUSZAJEWSKI &amp; MINDY TABOR</t>
  </si>
  <si>
    <t xml:space="preserve">20130 E QUINTERO RD </t>
  </si>
  <si>
    <t>KUSZAJEWSKI WILLIAM JR OF TABO</t>
  </si>
  <si>
    <t>TABOR MINDY</t>
  </si>
  <si>
    <t>HRABAK</t>
  </si>
  <si>
    <t>KAYLA</t>
  </si>
  <si>
    <t>HRABAK &amp; KAYLA MARIE</t>
  </si>
  <si>
    <t xml:space="preserve">2122 E CAMPO BELLO DR </t>
  </si>
  <si>
    <t>TOLLESON FAM MTG LLC</t>
  </si>
  <si>
    <t>HRABAK JARED M &amp; KAYLA M</t>
  </si>
  <si>
    <t>HERBERT</t>
  </si>
  <si>
    <t>WATT</t>
  </si>
  <si>
    <t>ANNETTE</t>
  </si>
  <si>
    <t>HERBERT &amp; ANNETTE WATT</t>
  </si>
  <si>
    <t xml:space="preserve">7420 E ONZA AVE </t>
  </si>
  <si>
    <t>WATT HERBERT &amp; ANNETTE</t>
  </si>
  <si>
    <t>SERNA</t>
  </si>
  <si>
    <t>JOHN &amp; MELISSA SERNA</t>
  </si>
  <si>
    <t xml:space="preserve">19781 E WALNUT RD </t>
  </si>
  <si>
    <t>CARTUS HM LNS</t>
  </si>
  <si>
    <t>SERNA JOHN P &amp; MELISSA A</t>
  </si>
  <si>
    <t>ROY</t>
  </si>
  <si>
    <t>DITTLER</t>
  </si>
  <si>
    <t>CITLALI</t>
  </si>
  <si>
    <t>SAUCEDO</t>
  </si>
  <si>
    <t>ROY DITTLER &amp; CITLALI SAUCEDO</t>
  </si>
  <si>
    <t xml:space="preserve">2330 W HONEYSUCKLE LN </t>
  </si>
  <si>
    <t>DITTLER ROY F JR</t>
  </si>
  <si>
    <t>SAUCEDO CITLALI G</t>
  </si>
  <si>
    <t>PHILLIPS</t>
  </si>
  <si>
    <t>CHYRL</t>
  </si>
  <si>
    <t>PHILLIPS &amp; CHYRL LYNN</t>
  </si>
  <si>
    <t xml:space="preserve">26946 N 101ST LN </t>
  </si>
  <si>
    <t>PHILLIPS DAVID M &amp; CHYRL L</t>
  </si>
  <si>
    <t>ELICK</t>
  </si>
  <si>
    <t>KENYA</t>
  </si>
  <si>
    <t>MORRIS-JONES</t>
  </si>
  <si>
    <t>ELICK BRANDON &amp; KENYA MORRIS-JONES</t>
  </si>
  <si>
    <t xml:space="preserve">3538 E IRONSIDE LN </t>
  </si>
  <si>
    <t>ELICK B BRANDON</t>
  </si>
  <si>
    <t>KENYA MORRIS-JONES</t>
  </si>
  <si>
    <t>CAMPBELL</t>
  </si>
  <si>
    <t>DAVID &amp; JENNIFER CAMPBELL</t>
  </si>
  <si>
    <t xml:space="preserve">18408 W MONTECITO AVE </t>
  </si>
  <si>
    <t>CAMPBELL DAVID C &amp; JENNIFER E</t>
  </si>
  <si>
    <t>FUENMAYOR</t>
  </si>
  <si>
    <t>KATHY</t>
  </si>
  <si>
    <t>EDWARD &amp; KATHY FUENMAYOR</t>
  </si>
  <si>
    <t xml:space="preserve">26876 N 102ND LN </t>
  </si>
  <si>
    <t>FUENMAYOR KATHY J &amp; EDWARD</t>
  </si>
  <si>
    <t>JUNE</t>
  </si>
  <si>
    <t>MCENTIRE</t>
  </si>
  <si>
    <t>KHEVIN</t>
  </si>
  <si>
    <t>JUNE &amp; KHEVIN MCENTIRE</t>
  </si>
  <si>
    <t xml:space="preserve">10547 E LINCOLN AVE </t>
  </si>
  <si>
    <t xml:space="preserve">10597 E LINCOLN AVE </t>
  </si>
  <si>
    <t>MCENTIRE JUNE A &amp; KHEVIN R</t>
  </si>
  <si>
    <t>LISTER</t>
  </si>
  <si>
    <t>RITA</t>
  </si>
  <si>
    <t>JOHN &amp; RITA LISTER</t>
  </si>
  <si>
    <t xml:space="preserve">18520 W DEVONSHIRE AVE </t>
  </si>
  <si>
    <t>LISTER JOHN V &amp; RITA F</t>
  </si>
  <si>
    <t>EDELMAN</t>
  </si>
  <si>
    <t>JEFFREY EDELMAN</t>
  </si>
  <si>
    <t xml:space="preserve">9414 W VIA DEL SOL </t>
  </si>
  <si>
    <t xml:space="preserve">9414 W VIA DEL </t>
  </si>
  <si>
    <t>EDELMAN JEFFREY S &amp; ALISON B</t>
  </si>
  <si>
    <t>FT FINANCIAL INC</t>
  </si>
  <si>
    <t>EDELMAN JEFFREY SCOTT</t>
  </si>
  <si>
    <t>NAVA</t>
  </si>
  <si>
    <t>EMILY</t>
  </si>
  <si>
    <t>MICHAEL &amp; EMILY NAVA</t>
  </si>
  <si>
    <t xml:space="preserve">26845 N 14TH LN </t>
  </si>
  <si>
    <t>NOVA FINANCIAL &amp; INVESTMENT CO</t>
  </si>
  <si>
    <t>NAVA MICHAEL J &amp; EMILY E</t>
  </si>
  <si>
    <t>BAILEY-WAFFLARD</t>
  </si>
  <si>
    <t>KAMERON</t>
  </si>
  <si>
    <t>KEISER</t>
  </si>
  <si>
    <t>ELIZABETH BAILEY-WAFFLARD &amp; KAMERON KEISER</t>
  </si>
  <si>
    <t xml:space="preserve">31315 N 26TH GLN </t>
  </si>
  <si>
    <t>SONORAN COMMONS PHASE 1 REPLAT</t>
  </si>
  <si>
    <t>SONORAN FOOTHILLS SCHOOL</t>
  </si>
  <si>
    <t>BAILEY-WAFFLARD ELIZABETH R</t>
  </si>
  <si>
    <t>KEISER KAMERON</t>
  </si>
  <si>
    <t>LUTZ</t>
  </si>
  <si>
    <t>JOHN LUTZ</t>
  </si>
  <si>
    <t xml:space="preserve">10337 E RADIANT AVE </t>
  </si>
  <si>
    <t>PACIFIC HOME LOANS INC</t>
  </si>
  <si>
    <t>LUTZ JR JOHN F</t>
  </si>
  <si>
    <t>ANDRU</t>
  </si>
  <si>
    <t>KIMMEY</t>
  </si>
  <si>
    <t>ANDRU KIMMEY</t>
  </si>
  <si>
    <t xml:space="preserve">2968 E SALTSAGE DR </t>
  </si>
  <si>
    <t>KIMMEY ANDRU</t>
  </si>
  <si>
    <t>DELAP FAMILY TRUST</t>
  </si>
  <si>
    <t>DELAP</t>
  </si>
  <si>
    <t xml:space="preserve">20107 E ESCALANTE RD </t>
  </si>
  <si>
    <t>DELAP MICHAEL R &amp; LORRAINE</t>
  </si>
  <si>
    <t>ERNEST</t>
  </si>
  <si>
    <t>ERNEST &amp; TARA OCHOA</t>
  </si>
  <si>
    <t xml:space="preserve">10086 W REDBIRD RD </t>
  </si>
  <si>
    <t>PARAMOUNT RESID'L MTG</t>
  </si>
  <si>
    <t>CORONA CA 92879</t>
  </si>
  <si>
    <t>ERNEST D OCHOA</t>
  </si>
  <si>
    <t>TARA OCHOA</t>
  </si>
  <si>
    <t>MAHNKEN</t>
  </si>
  <si>
    <t>ANGELI</t>
  </si>
  <si>
    <t>MAHNKEN &amp; HEIDI ANGELI</t>
  </si>
  <si>
    <t xml:space="preserve">4473 E GRAND CANYON DR </t>
  </si>
  <si>
    <t>FIRST INTERNET BK/IN</t>
  </si>
  <si>
    <t>MAHNKEN ERRIN J &amp; HEIDI A</t>
  </si>
  <si>
    <t>PATRICIA &amp; CHARLES ANDERSON</t>
  </si>
  <si>
    <t xml:space="preserve">3831 E JUDE LN </t>
  </si>
  <si>
    <t>MORIA DEVELOPMENT INC</t>
  </si>
  <si>
    <t>ANDERSON PATRICIA &amp; CHARLES</t>
  </si>
  <si>
    <t>LORENZO</t>
  </si>
  <si>
    <t>COAXUM</t>
  </si>
  <si>
    <t>CORI</t>
  </si>
  <si>
    <t>LORENZO &amp; CORI COAXUM</t>
  </si>
  <si>
    <t xml:space="preserve">2460 E TOMAHAWK DR </t>
  </si>
  <si>
    <t>LORENZO D COAXUM</t>
  </si>
  <si>
    <t>CORI N COAXUM</t>
  </si>
  <si>
    <t>JONES</t>
  </si>
  <si>
    <t>ALEXANDRA</t>
  </si>
  <si>
    <t>BRIAN &amp; ALEXANDRA JONES</t>
  </si>
  <si>
    <t xml:space="preserve">10732 E PIVITOL AVE </t>
  </si>
  <si>
    <t>GEER SCOTT A &amp; SARA C</t>
  </si>
  <si>
    <t>JONES BRIAN F &amp; ALEXANDRA</t>
  </si>
  <si>
    <t>ARMANDO</t>
  </si>
  <si>
    <t>GUTIERREZ</t>
  </si>
  <si>
    <t>JOSEFINA</t>
  </si>
  <si>
    <t>ARMANDO &amp; JOSEFINA GUTIERREZ</t>
  </si>
  <si>
    <t xml:space="preserve">5291 S JOSHUA TREE LN </t>
  </si>
  <si>
    <t>GUTIERREZ ARMANDO P &amp; JOSEFIN</t>
  </si>
  <si>
    <t>DAYNE</t>
  </si>
  <si>
    <t>LAUER</t>
  </si>
  <si>
    <t>DAYNE &amp; KATIE LAUER</t>
  </si>
  <si>
    <t xml:space="preserve">4970 S MOCCASIN TRL </t>
  </si>
  <si>
    <t>LAUER DAYNE W &amp; KATIE M</t>
  </si>
  <si>
    <t>LOFTIN</t>
  </si>
  <si>
    <t>VANESSA</t>
  </si>
  <si>
    <t>BRANDON &amp; VANESSA LOFTIN</t>
  </si>
  <si>
    <t xml:space="preserve">9417 W VIA MONTOYA DR </t>
  </si>
  <si>
    <t>LOFTIN BRANDON &amp; VANESSA</t>
  </si>
  <si>
    <t>MATTHEW &amp; LAURA ANDERSON</t>
  </si>
  <si>
    <t xml:space="preserve">10341 E HAWK AVE </t>
  </si>
  <si>
    <t>AMERIFIRST FIN'L</t>
  </si>
  <si>
    <t>ANDERSON MATTHEW S &amp; LAURA L</t>
  </si>
  <si>
    <t>ARREOLA</t>
  </si>
  <si>
    <t>ERIN</t>
  </si>
  <si>
    <t>DANIEL &amp; ERIN ARREOLA</t>
  </si>
  <si>
    <t xml:space="preserve">2827 E CLOUD CT </t>
  </si>
  <si>
    <t>ARREOLA DANIEL &amp; ERIN</t>
  </si>
  <si>
    <t>WYCKLIFFE</t>
  </si>
  <si>
    <t>FURCRON</t>
  </si>
  <si>
    <t>BRIANNA</t>
  </si>
  <si>
    <t>WYCKLIFFE &amp; BRIANNA FURCRON</t>
  </si>
  <si>
    <t xml:space="preserve">18382 W SELLS DR </t>
  </si>
  <si>
    <t>FURCRON WYCKLIFFE R &amp; BRIANNA M</t>
  </si>
  <si>
    <t>JERRY</t>
  </si>
  <si>
    <t>PERKINS</t>
  </si>
  <si>
    <t>SHERI</t>
  </si>
  <si>
    <t>JERRY &amp; SHERI PERKINS</t>
  </si>
  <si>
    <t xml:space="preserve">26851 N 102ND LN </t>
  </si>
  <si>
    <t>PARKINS JERRY W &amp; SHERI A</t>
  </si>
  <si>
    <t>HOBGOOD</t>
  </si>
  <si>
    <t>RICHARD HOBGOOD</t>
  </si>
  <si>
    <t xml:space="preserve">18407 W ROMA AVE </t>
  </si>
  <si>
    <t>HOBGOOD RICHARD</t>
  </si>
  <si>
    <t>MAPEL</t>
  </si>
  <si>
    <t>CHRISTOPHER &amp; MINDY MAPEL</t>
  </si>
  <si>
    <t xml:space="preserve">20128 E ESCALANTE RD </t>
  </si>
  <si>
    <t>MAPEL CHRISTOPHER S &amp; MINDY</t>
  </si>
  <si>
    <t>SETH</t>
  </si>
  <si>
    <t>DENHOLM</t>
  </si>
  <si>
    <t>SETH THOMPSON &amp; KRISTINE DENHOLM</t>
  </si>
  <si>
    <t xml:space="preserve">37243 N 19TH AVE </t>
  </si>
  <si>
    <t>FRANCE &amp; SONS ENTS LLC</t>
  </si>
  <si>
    <t>CITYWIDE HMS LNS</t>
  </si>
  <si>
    <t>THOMPSON SETH</t>
  </si>
  <si>
    <t>SAM</t>
  </si>
  <si>
    <t>MASSEY</t>
  </si>
  <si>
    <t>SAM MASSEY</t>
  </si>
  <si>
    <t xml:space="preserve">1729 W ADAMANDA CT </t>
  </si>
  <si>
    <t>MORRIS JAMES T</t>
  </si>
  <si>
    <t>MASSEY SAM A</t>
  </si>
  <si>
    <t>OHORO</t>
  </si>
  <si>
    <t>PATRICK &amp; KELLY OHORO</t>
  </si>
  <si>
    <t xml:space="preserve">1068 S REBER AVE </t>
  </si>
  <si>
    <t>OHORO PATRICK &amp; KELLY</t>
  </si>
  <si>
    <t>BENNETT</t>
  </si>
  <si>
    <t>NICOLE</t>
  </si>
  <si>
    <t>ASHLEY</t>
  </si>
  <si>
    <t>JEFFERY BENNETT &amp; NICOLE ASHLEY</t>
  </si>
  <si>
    <t xml:space="preserve">18351 W SOUTHGATE AVE </t>
  </si>
  <si>
    <t>R009</t>
  </si>
  <si>
    <t>LAS BRISAS PHASE 2C.1</t>
  </si>
  <si>
    <t>LIBERTY ELEMENTARY SCHOOL</t>
  </si>
  <si>
    <t>BENNETT JEFFERY JERMAL &amp; ASHL</t>
  </si>
  <si>
    <t>BENNETT JEFFERY J &amp; ASHLEY N</t>
  </si>
  <si>
    <t>FERNANDO</t>
  </si>
  <si>
    <t>MONTIJO</t>
  </si>
  <si>
    <t>FERNANDO MONTIJO</t>
  </si>
  <si>
    <t xml:space="preserve">20813 W GLEN ST </t>
  </si>
  <si>
    <t>LOW VA RATES LLC</t>
  </si>
  <si>
    <t>LINDON UT 84042</t>
  </si>
  <si>
    <t>JEREMIAH</t>
  </si>
  <si>
    <t>HICKS</t>
  </si>
  <si>
    <t>JEREMIAH &amp; ERIN HICKS</t>
  </si>
  <si>
    <t xml:space="preserve">20528 W ALSAP RD </t>
  </si>
  <si>
    <t>AV HOMES OF ARIZONA LLC</t>
  </si>
  <si>
    <t>HICKS JEREMIAH &amp; ERIN</t>
  </si>
  <si>
    <t>PENHALLEGON</t>
  </si>
  <si>
    <t>NEIHEISEL</t>
  </si>
  <si>
    <t>IAN PENHALLEGON &amp; AMANDA NEIHEISEL</t>
  </si>
  <si>
    <t xml:space="preserve">20634 W NELSON PL </t>
  </si>
  <si>
    <t>PENHALLEGON IAN T</t>
  </si>
  <si>
    <t>NEIHEISEL AMANDA M</t>
  </si>
  <si>
    <t>BRANNIN</t>
  </si>
  <si>
    <t>JOSEPH &amp; PATRICIA BRANNIN</t>
  </si>
  <si>
    <t xml:space="preserve">20565 W NELSON PL </t>
  </si>
  <si>
    <t>BRANNIN JOSEPH P</t>
  </si>
  <si>
    <t>WALZ</t>
  </si>
  <si>
    <t>DENISE</t>
  </si>
  <si>
    <t>THOMAS &amp; DENISE WALZ</t>
  </si>
  <si>
    <t xml:space="preserve">11881 S 183RD DR </t>
  </si>
  <si>
    <t>ESTRELLA PARCEL 5.3</t>
  </si>
  <si>
    <t>WILLIAM RYAN HMS ARIZONA I</t>
  </si>
  <si>
    <t>BELL BK</t>
  </si>
  <si>
    <t>WALZ THOMAS W &amp; DENISE C</t>
  </si>
  <si>
    <t>FIKES-BOOTH</t>
  </si>
  <si>
    <t>DEBRA FIKES-BOOTH</t>
  </si>
  <si>
    <t xml:space="preserve">2616 E HICKORY ST </t>
  </si>
  <si>
    <t>ADORA TRAILS PARCEL 7</t>
  </si>
  <si>
    <t>FIKES-BOOTH DEBRA A</t>
  </si>
  <si>
    <t>LEGASPI</t>
  </si>
  <si>
    <t>ALMA</t>
  </si>
  <si>
    <t>JEAN &amp; ALMA LEGASPI</t>
  </si>
  <si>
    <t xml:space="preserve">2738 E GILLCREST RD </t>
  </si>
  <si>
    <t>JEAN LEGASPI</t>
  </si>
  <si>
    <t>ALMA P LEGASPI</t>
  </si>
  <si>
    <t>SIDNEY</t>
  </si>
  <si>
    <t>GARAY</t>
  </si>
  <si>
    <t>SIDNEY &amp; LISA GARAY</t>
  </si>
  <si>
    <t xml:space="preserve">18402 W SOUTHGATE AVE </t>
  </si>
  <si>
    <t>GARAY SIDNEY A &amp; LISA M</t>
  </si>
  <si>
    <t>PINKOWSKI</t>
  </si>
  <si>
    <t>BETHANY</t>
  </si>
  <si>
    <t>ANTHONY &amp; BETHANY PINKOWSKI</t>
  </si>
  <si>
    <t xml:space="preserve">2649 N BLACK ROCK RD </t>
  </si>
  <si>
    <t>R043</t>
  </si>
  <si>
    <t>VERRADO PHASE 3 SOUTH PHASE C</t>
  </si>
  <si>
    <t>PINKOWSKI ANTHONY D &amp; BETHANY</t>
  </si>
  <si>
    <t>STOKLOSA</t>
  </si>
  <si>
    <t>CYNTIA</t>
  </si>
  <si>
    <t>MICHAEL &amp; CYNTIA STOKLOSA</t>
  </si>
  <si>
    <t xml:space="preserve">11887 S 183RD DR </t>
  </si>
  <si>
    <t>STOKLOSA MICHAEL &amp; CYNTHIA</t>
  </si>
  <si>
    <t>GEOFFREY</t>
  </si>
  <si>
    <t>SCHOENFELD</t>
  </si>
  <si>
    <t>HAYLEY</t>
  </si>
  <si>
    <t>GEOFFREY &amp; HAYLEY SCHOENFELD</t>
  </si>
  <si>
    <t xml:space="preserve">2219 E CONTENTION MINE RD </t>
  </si>
  <si>
    <t>VILLAS AT GROVER PARK</t>
  </si>
  <si>
    <t>HANCOCK COMPANIES LLC</t>
  </si>
  <si>
    <t>GEOFFREY SCHOENFELD</t>
  </si>
  <si>
    <t>HAYLEY SCHOENFELD</t>
  </si>
  <si>
    <t>ROX-ANNA</t>
  </si>
  <si>
    <t>ROBERT &amp; ROX-ANNA MCLEAN</t>
  </si>
  <si>
    <t xml:space="preserve">22439 E DESERT SPOON DR </t>
  </si>
  <si>
    <t>CHURCH FARM PARCEL E1</t>
  </si>
  <si>
    <t>HARVEST</t>
  </si>
  <si>
    <t>WILLIAM LYON SOUTHWEST INC</t>
  </si>
  <si>
    <t>MCLEAN ROBERT J</t>
  </si>
  <si>
    <t>NELLY</t>
  </si>
  <si>
    <t>GONZALES &amp; NELLY MIRANDA</t>
  </si>
  <si>
    <t xml:space="preserve">18526 W JONES AVE </t>
  </si>
  <si>
    <t>GONZALES WILFREDO N &amp; NELLY M</t>
  </si>
  <si>
    <t>ODELL</t>
  </si>
  <si>
    <t>ODELL &amp; HOLLY KAY</t>
  </si>
  <si>
    <t xml:space="preserve">2749 E GILLCREST RD </t>
  </si>
  <si>
    <t>ODELL DANIEL S &amp; HOLLY K</t>
  </si>
  <si>
    <t>CHRISTINA</t>
  </si>
  <si>
    <t>LEANNE</t>
  </si>
  <si>
    <t>SPEARS</t>
  </si>
  <si>
    <t>CHRISTINA BLACK &amp; LEANNE SPEARS</t>
  </si>
  <si>
    <t xml:space="preserve">736 E HARWELL RD </t>
  </si>
  <si>
    <t>C062</t>
  </si>
  <si>
    <t>VILLAGES AT VERONA</t>
  </si>
  <si>
    <t>MAXINE O. BUSH ELEMENTARY SCHOOL</t>
  </si>
  <si>
    <t>SOUTH MOUNTAIN HIGH SCHOOL</t>
  </si>
  <si>
    <t>BLACK CHRISTINA</t>
  </si>
  <si>
    <t>SPEARS LEANNE</t>
  </si>
  <si>
    <t>DARYL</t>
  </si>
  <si>
    <t>BOES</t>
  </si>
  <si>
    <t>DARYL &amp; KATHLEEN BOES</t>
  </si>
  <si>
    <t xml:space="preserve">2087 N HERITAGE ST </t>
  </si>
  <si>
    <t>BOES DARYL D &amp; KATHLEEN</t>
  </si>
  <si>
    <t>MCQUARRIE</t>
  </si>
  <si>
    <t>JASON MCQUARRIE</t>
  </si>
  <si>
    <t xml:space="preserve">20889 W ELM WAY </t>
  </si>
  <si>
    <t>MCQUARRIE JASON</t>
  </si>
  <si>
    <t>JOSE GARCIA</t>
  </si>
  <si>
    <t xml:space="preserve">7941 W SIERRA VISTA DR </t>
  </si>
  <si>
    <t>GLENDALE</t>
  </si>
  <si>
    <t>C050</t>
  </si>
  <si>
    <t>MARYLAND HEIGHTS</t>
  </si>
  <si>
    <t>DISCOVERY SCHOOL</t>
  </si>
  <si>
    <t>INDEPENDENCE HIGH SCHOOL</t>
  </si>
  <si>
    <t>HILLSTONE HOMES LLC</t>
  </si>
  <si>
    <t>GARCIA JOSE L</t>
  </si>
  <si>
    <t>LORI NEAU</t>
  </si>
  <si>
    <t xml:space="preserve">11340 E PAMPA AVE </t>
  </si>
  <si>
    <t>SUNLAND SPRINGS VILLAGE UNIT 8</t>
  </si>
  <si>
    <t>SSV UNIT 8 DEV INC</t>
  </si>
  <si>
    <t>SUN AMERICAN MTG</t>
  </si>
  <si>
    <t>NEAU LORI L</t>
  </si>
  <si>
    <t>SEBASTIANO</t>
  </si>
  <si>
    <t>BONI</t>
  </si>
  <si>
    <t>ANTHONY &amp; BONI SEBASTIANO</t>
  </si>
  <si>
    <t xml:space="preserve">20646 W STONE HILL RD </t>
  </si>
  <si>
    <t>MONEY SOURCE</t>
  </si>
  <si>
    <t>ANTHONY M SEBASTIANO</t>
  </si>
  <si>
    <t>BONI S SEBASTIANO</t>
  </si>
  <si>
    <t>LOPEZ</t>
  </si>
  <si>
    <t>JOSE LOPEZ</t>
  </si>
  <si>
    <t xml:space="preserve">20492 W LEGEND TRL </t>
  </si>
  <si>
    <t>LOPEZ JOSE</t>
  </si>
  <si>
    <t>SANTANA</t>
  </si>
  <si>
    <t>YUN</t>
  </si>
  <si>
    <t>CHEN</t>
  </si>
  <si>
    <t>MICHAEL SANTANA &amp; YUN CHEN</t>
  </si>
  <si>
    <t xml:space="preserve">292 N WILSON DR </t>
  </si>
  <si>
    <t>C031</t>
  </si>
  <si>
    <t>FIRE ROCK RANCH</t>
  </si>
  <si>
    <t>CHANDLER TRADITIONAL ACADEMY - LIBERTY CAMPUS</t>
  </si>
  <si>
    <t>WILLIS JUNIOR HIGH SCHOOL</t>
  </si>
  <si>
    <t>SANTANA MICHAEL</t>
  </si>
  <si>
    <t>CHEN YUN</t>
  </si>
  <si>
    <t>BEBAK REVOCABLE TRUST</t>
  </si>
  <si>
    <t>BEBAK</t>
  </si>
  <si>
    <t xml:space="preserve">22479 E DESERT SPOON DR </t>
  </si>
  <si>
    <t>WILLIAM LYON MTG</t>
  </si>
  <si>
    <t>BEBAK-MILLER CHASE M</t>
  </si>
  <si>
    <t>BEBAK LAUREN M</t>
  </si>
  <si>
    <t>STEPHEN</t>
  </si>
  <si>
    <t>CAMPOS</t>
  </si>
  <si>
    <t>LUCIA</t>
  </si>
  <si>
    <t>STEPHEN CAMPOS &amp; KATHLEEN LUCIA</t>
  </si>
  <si>
    <t xml:space="preserve">20532 W CARLTON MNR </t>
  </si>
  <si>
    <t>CAMPOS STEPHEN P</t>
  </si>
  <si>
    <t>LUCIA KATHLEEN</t>
  </si>
  <si>
    <t>OLSEN</t>
  </si>
  <si>
    <t>OPENSHAW</t>
  </si>
  <si>
    <t>JEREMY OLSEN &amp; HOLLY OPENSHAW</t>
  </si>
  <si>
    <t xml:space="preserve">2760 E GILLCREST RD </t>
  </si>
  <si>
    <t>NOVA FIN'L &amp; INV</t>
  </si>
  <si>
    <t>JEREMY R OLSEN</t>
  </si>
  <si>
    <t>HOLLY M OPENSHAW</t>
  </si>
  <si>
    <t>KEEFE FAMILY TRUST</t>
  </si>
  <si>
    <t>CHERYL</t>
  </si>
  <si>
    <t xml:space="preserve">11359 E PAMPA AVE </t>
  </si>
  <si>
    <t>KEEFE WILLIAM E &amp; CHERYL M</t>
  </si>
  <si>
    <t>CALVIN</t>
  </si>
  <si>
    <t>BUCKLIN</t>
  </si>
  <si>
    <t>CALVIN &amp; JACQUELINE BUCKLIN</t>
  </si>
  <si>
    <t xml:space="preserve">20605 W NELSON PL </t>
  </si>
  <si>
    <t>BUCKLIN CALVIN W &amp; JACQUELINE F</t>
  </si>
  <si>
    <t>PITTSENBERGER</t>
  </si>
  <si>
    <t>BERNADETTE</t>
  </si>
  <si>
    <t>HEZE</t>
  </si>
  <si>
    <t>DAVID PITTSENBERGER &amp; BERNADETTE HEZE</t>
  </si>
  <si>
    <t xml:space="preserve">20656 W NELSON PL </t>
  </si>
  <si>
    <t>PITTSENBERGER DAVID S</t>
  </si>
  <si>
    <t>HEZE BERNADETTE M</t>
  </si>
  <si>
    <t>RADICH ANTHONY &amp; NORMA TRUST</t>
  </si>
  <si>
    <t>ANTHONY &amp; NORMA RADICH</t>
  </si>
  <si>
    <t xml:space="preserve">11412 E PAMPA AVE </t>
  </si>
  <si>
    <t>MESA AZ 85206</t>
  </si>
  <si>
    <t>RADICH ANTHONY D &amp; NORMA M</t>
  </si>
  <si>
    <t>TONI</t>
  </si>
  <si>
    <t>HOMA</t>
  </si>
  <si>
    <t>TONI &amp; SCOTT HOMA</t>
  </si>
  <si>
    <t xml:space="preserve">1172 E BINNER DR </t>
  </si>
  <si>
    <t>SANTA MARIA VILLAGE</t>
  </si>
  <si>
    <t>SANTA MARIA</t>
  </si>
  <si>
    <t>SANBORN ELEMENTARY SCHOOL</t>
  </si>
  <si>
    <t>CHANDLER HIGH SCHOOL</t>
  </si>
  <si>
    <t>HOMA TONI &amp; SCOTT</t>
  </si>
  <si>
    <t>VIRGIL</t>
  </si>
  <si>
    <t>FENTERS</t>
  </si>
  <si>
    <t>VIRGIL &amp; CHRISTINA FENTERS</t>
  </si>
  <si>
    <t xml:space="preserve">1252 E BROOKWOOD CT </t>
  </si>
  <si>
    <t>C023</t>
  </si>
  <si>
    <t>ROSEWOOD VILLAGE AT THE FOOTHILLS</t>
  </si>
  <si>
    <t>ROSEWOOD VILLAGE</t>
  </si>
  <si>
    <t>KYRENE DE LA SIERRA SCHOOL</t>
  </si>
  <si>
    <t>KYRENE ALTADENA MIDDLE SCHOOL</t>
  </si>
  <si>
    <t>ROSEWOOD-FOOTHILLS 1 LLC</t>
  </si>
  <si>
    <t>FENTERS VIRGIL &amp; CHRISTINA</t>
  </si>
  <si>
    <t>ARZABAL</t>
  </si>
  <si>
    <t>SANDRA &amp; MICHAEL ARZABAL</t>
  </si>
  <si>
    <t xml:space="preserve">11926 S 184TH AVE </t>
  </si>
  <si>
    <t>ARZABAL SANDRA T &amp; MICHAEL R</t>
  </si>
  <si>
    <t>STAR</t>
  </si>
  <si>
    <t>LOWE</t>
  </si>
  <si>
    <t>TINA</t>
  </si>
  <si>
    <t>BREWSTER</t>
  </si>
  <si>
    <t>STAR LOWE &amp; TINA BREWSTER</t>
  </si>
  <si>
    <t xml:space="preserve">7920 W MCLELLAN RD </t>
  </si>
  <si>
    <t>BAY EQUITY LLC</t>
  </si>
  <si>
    <t>LOWE STAR N</t>
  </si>
  <si>
    <t>BREWSTER TINA M</t>
  </si>
  <si>
    <t>NAGUNST</t>
  </si>
  <si>
    <t>AVA</t>
  </si>
  <si>
    <t>LOUISE &amp; LOUISE LOUIS</t>
  </si>
  <si>
    <t xml:space="preserve">2734 E HICKORY ST </t>
  </si>
  <si>
    <t>NAGUNST RONALD LOUIS &amp; AVA LO</t>
  </si>
  <si>
    <t>WEST JORDAN UT 84084</t>
  </si>
  <si>
    <t>RONALD L NAGUNST</t>
  </si>
  <si>
    <t>AVA L NAGUNST</t>
  </si>
  <si>
    <t>JEFF</t>
  </si>
  <si>
    <t>DARLA</t>
  </si>
  <si>
    <t>JEFF &amp; DARLA PHILLIPS</t>
  </si>
  <si>
    <t xml:space="preserve">4711 W GELDING DR </t>
  </si>
  <si>
    <t>SUNBURST MANOR</t>
  </si>
  <si>
    <t>SUNBURST ELEMENTARY SCHOOL</t>
  </si>
  <si>
    <t>DESERT FOOTHILLS JUNIOR HIGH SCHOOL</t>
  </si>
  <si>
    <t>GREENWAY HIGH SCHOOL</t>
  </si>
  <si>
    <t>PHILLIPS JEFF D &amp; DARLA D</t>
  </si>
  <si>
    <t>DANTE</t>
  </si>
  <si>
    <t>COLLINS</t>
  </si>
  <si>
    <t>DANTE COLLINS</t>
  </si>
  <si>
    <t xml:space="preserve">20462 W CARLTON MNR </t>
  </si>
  <si>
    <t>HOME PT FIN'L CORP</t>
  </si>
  <si>
    <t>COLLINS DANTE S</t>
  </si>
  <si>
    <t>NETTLES</t>
  </si>
  <si>
    <t>GEOFFREY NETTLES</t>
  </si>
  <si>
    <t xml:space="preserve">2042 N ACACIA WAY </t>
  </si>
  <si>
    <t>NETTLES GEOFFREY O</t>
  </si>
  <si>
    <t>LICON</t>
  </si>
  <si>
    <t>TROY &amp; CAROL LICON</t>
  </si>
  <si>
    <t xml:space="preserve">20547 W CARLTON MNR </t>
  </si>
  <si>
    <t>LICON TROY R &amp; CAROL A</t>
  </si>
  <si>
    <t>MUDIE</t>
  </si>
  <si>
    <t>SHAWN MUDIE</t>
  </si>
  <si>
    <t xml:space="preserve">15779 W ALMERIA RD </t>
  </si>
  <si>
    <t>PALM VALLEY PHASE 8 SOUTH PARCEL LOT LIN</t>
  </si>
  <si>
    <t>PALM VALLEY SOUTH</t>
  </si>
  <si>
    <t>MABEL PADGETT ELEMENTARY SCHOOL</t>
  </si>
  <si>
    <t>WESTERN SKY MIDDLE SCHOOL</t>
  </si>
  <si>
    <t>K HOVNANIAN OF PALM VALLEY LL</t>
  </si>
  <si>
    <t>MUDIE SHAWN</t>
  </si>
  <si>
    <t>MANUEL</t>
  </si>
  <si>
    <t>SALAS</t>
  </si>
  <si>
    <t>MANUEL &amp; GRACIELA SALAS</t>
  </si>
  <si>
    <t xml:space="preserve">7935 W SIERRA VISTA DR </t>
  </si>
  <si>
    <t>SALAS MANUEL F &amp; GRACIELA J</t>
  </si>
  <si>
    <t>FOSTER</t>
  </si>
  <si>
    <t>LEIGH</t>
  </si>
  <si>
    <t>FOSTER &amp; ALICIA LEIGH</t>
  </si>
  <si>
    <t xml:space="preserve">20629 W NELSON PL </t>
  </si>
  <si>
    <t>PAUL S FOSTER</t>
  </si>
  <si>
    <t>ALICIA L FOSTER</t>
  </si>
  <si>
    <t>AHLGRIM</t>
  </si>
  <si>
    <t>JAMES &amp; KIMBERLY AHLGRIM</t>
  </si>
  <si>
    <t xml:space="preserve">20425 W ROCK WREN RD </t>
  </si>
  <si>
    <t>H001</t>
  </si>
  <si>
    <t>RAINBOW VALLEY ELEMENTARY SCHOOL</t>
  </si>
  <si>
    <t>TNT HAHN DEVELOPERS LLC</t>
  </si>
  <si>
    <t>NEW DAY FIN'L</t>
  </si>
  <si>
    <t>FULTON MD 20759</t>
  </si>
  <si>
    <t>JAMES D AHLGRIM</t>
  </si>
  <si>
    <t>KIMBERLY A AHLGRIM</t>
  </si>
  <si>
    <t>WALES</t>
  </si>
  <si>
    <t>MARK &amp; SHEILA WALES</t>
  </si>
  <si>
    <t xml:space="preserve">6512 W SAGUARO PARK LN </t>
  </si>
  <si>
    <t>MOUNTAINVIEW RIDGE</t>
  </si>
  <si>
    <t>COPPER CREEK ELEMENTARY SCHOOL</t>
  </si>
  <si>
    <t>HILLCREST MIDDLE SCHOOL</t>
  </si>
  <si>
    <t>WALES MARK A SR &amp; SHEILA M</t>
  </si>
  <si>
    <t>BILL</t>
  </si>
  <si>
    <t>RHODES</t>
  </si>
  <si>
    <t>BILL RHODES</t>
  </si>
  <si>
    <t xml:space="preserve">1110 E BAJOR ST </t>
  </si>
  <si>
    <t>RHODES BILL</t>
  </si>
  <si>
    <t>DOLL</t>
  </si>
  <si>
    <t>GINA</t>
  </si>
  <si>
    <t>JOHN &amp; GINA DOLL</t>
  </si>
  <si>
    <t xml:space="preserve">21950 N 100TH AVE </t>
  </si>
  <si>
    <t>MEADOWS PARCEL 11</t>
  </si>
  <si>
    <t>THE MEADOWS</t>
  </si>
  <si>
    <t>K HOVNANIAN GRT WSTN HMS L</t>
  </si>
  <si>
    <t>FREEDOM MTG CORP</t>
  </si>
  <si>
    <t>DOLL JOHN R II &amp; GINA M</t>
  </si>
  <si>
    <t>RENE</t>
  </si>
  <si>
    <t>HERNANDEZ</t>
  </si>
  <si>
    <t>CARMEN</t>
  </si>
  <si>
    <t>RENE &amp; CARMEN HERNANDEZ</t>
  </si>
  <si>
    <t xml:space="preserve">9984 W VIA DEL SOL </t>
  </si>
  <si>
    <t>RENE HERNANDEZ</t>
  </si>
  <si>
    <t>CARMEN B HERNANDEZ</t>
  </si>
  <si>
    <t>LITTLEFIELD</t>
  </si>
  <si>
    <t>LOREE</t>
  </si>
  <si>
    <t>TIMOTHY &amp; LOREE LITTLEFIELD</t>
  </si>
  <si>
    <t xml:space="preserve">9768 W LOS GATOS DR </t>
  </si>
  <si>
    <t>LITTLEFIELD TIMOTHY S</t>
  </si>
  <si>
    <t>EUGENE</t>
  </si>
  <si>
    <t>HANLEI</t>
  </si>
  <si>
    <t>BRIAN EUGENE &amp; HANLEI HALL</t>
  </si>
  <si>
    <t xml:space="preserve">9780 W LOS GATOS DR </t>
  </si>
  <si>
    <t>K HOVNANIAN GREAT WSTN HMS LLC</t>
  </si>
  <si>
    <t>CERRITOS CA 90703</t>
  </si>
  <si>
    <t>HALL BRIAN E &amp; MELISSA M</t>
  </si>
  <si>
    <t>BALDONADO</t>
  </si>
  <si>
    <t>MILA</t>
  </si>
  <si>
    <t>ALFREDO &amp; MILA BALDONADO</t>
  </si>
  <si>
    <t xml:space="preserve">4860 S TWINLEAF DR </t>
  </si>
  <si>
    <t>BALDONADO ALFREDO L &amp; MILA P</t>
  </si>
  <si>
    <t>DONALD</t>
  </si>
  <si>
    <t>ROPEL</t>
  </si>
  <si>
    <t>JOANN</t>
  </si>
  <si>
    <t>DONALD &amp; JOANN ROPEL</t>
  </si>
  <si>
    <t xml:space="preserve">20966 W COLLEGE DR </t>
  </si>
  <si>
    <t>R040</t>
  </si>
  <si>
    <t>VERRADO VICTORY DISTRICT PHASE 1</t>
  </si>
  <si>
    <t>ROPEL DONALD A &amp; JOANN</t>
  </si>
  <si>
    <t>ALCOCER</t>
  </si>
  <si>
    <t>JERI</t>
  </si>
  <si>
    <t>ALCOCER &amp; JERI ANN</t>
  </si>
  <si>
    <t xml:space="preserve">2114 W RED FOX RD </t>
  </si>
  <si>
    <t>H024</t>
  </si>
  <si>
    <t>NORTERRA PARCEL 36-BH</t>
  </si>
  <si>
    <t>ALCOCER DAVID C &amp; JERI A</t>
  </si>
  <si>
    <t>PHILLIP</t>
  </si>
  <si>
    <t>CAROLYN</t>
  </si>
  <si>
    <t>PHILLIP &amp; CAROLYN TYLER</t>
  </si>
  <si>
    <t xml:space="preserve">2851 E CITRUS WAY </t>
  </si>
  <si>
    <t>R102</t>
  </si>
  <si>
    <t>LA ESQUINA</t>
  </si>
  <si>
    <t>MARACAY SENDERA PLACE</t>
  </si>
  <si>
    <t>AG</t>
  </si>
  <si>
    <t>TYLER PHILLIP &amp; CAROLYN</t>
  </si>
  <si>
    <t>MCCULLA</t>
  </si>
  <si>
    <t>GARY &amp; CYNTHIA MCCULLA</t>
  </si>
  <si>
    <t xml:space="preserve">9109 E INDIGO ST </t>
  </si>
  <si>
    <t>R069</t>
  </si>
  <si>
    <t>CORTE BELLA  AT MOUNTAIN BRIDGE</t>
  </si>
  <si>
    <t>ZAHARIS ELEMENTARY SCHOOL</t>
  </si>
  <si>
    <t>RED MOUNTAIN HIGH SCHOOL</t>
  </si>
  <si>
    <t>BLANDFORD HOMES LLC</t>
  </si>
  <si>
    <t>STRATEGIC MTG</t>
  </si>
  <si>
    <t>TEMPE AZ 85282</t>
  </si>
  <si>
    <t>MCCULLA GARY A &amp; CYNTHIA J</t>
  </si>
  <si>
    <t>STARK</t>
  </si>
  <si>
    <t>ALYCIA</t>
  </si>
  <si>
    <t>DANIEL &amp; ALYCIA STARK</t>
  </si>
  <si>
    <t xml:space="preserve">5777 S FAWN AVE </t>
  </si>
  <si>
    <t>MARBELLA VINEYARDS PHASE 2B</t>
  </si>
  <si>
    <t>STARK DANIEL Y &amp; ALYCIA R</t>
  </si>
  <si>
    <t>JAIR</t>
  </si>
  <si>
    <t>GONGORA</t>
  </si>
  <si>
    <t>JAIR &amp; LINDA GONGORA</t>
  </si>
  <si>
    <t xml:space="preserve">21448 E PECAN LN </t>
  </si>
  <si>
    <t>PRESERVE AT HASTINGS FARMS PARCEL D PHAS</t>
  </si>
  <si>
    <t>GONGORA JAIR &amp; LINDA</t>
  </si>
  <si>
    <t>KARCHER</t>
  </si>
  <si>
    <t>CAROLINE</t>
  </si>
  <si>
    <t>KENNETH &amp; CAROLINE KARCHER</t>
  </si>
  <si>
    <t xml:space="preserve">5242 S HASSETT </t>
  </si>
  <si>
    <t>R150</t>
  </si>
  <si>
    <t>BELLA VIA PARCEL 11A</t>
  </si>
  <si>
    <t>BELLA VIA</t>
  </si>
  <si>
    <t>KARCHER KENNETH</t>
  </si>
  <si>
    <t>KARCHER KENNETH M &amp; CAROLINE</t>
  </si>
  <si>
    <t>APONTE</t>
  </si>
  <si>
    <t>OMAYRA</t>
  </si>
  <si>
    <t>TORRES</t>
  </si>
  <si>
    <t>DAVID APONTE &amp; OMAYRA TORRES</t>
  </si>
  <si>
    <t xml:space="preserve">14596 W OREGON AVE </t>
  </si>
  <si>
    <t>LITCHFIELD PARK</t>
  </si>
  <si>
    <t>R010</t>
  </si>
  <si>
    <t>PALM VALLEY PHASE 9</t>
  </si>
  <si>
    <t>L. THOMAS HECK MIDDLE SCHOOL</t>
  </si>
  <si>
    <t>MILLENNIUM HIGH SCHOOL</t>
  </si>
  <si>
    <t>APONTE DAVID GALARZA</t>
  </si>
  <si>
    <t>TORRES OMAYARA E SEDA</t>
  </si>
  <si>
    <t>ARONSON</t>
  </si>
  <si>
    <t>LINDSAY</t>
  </si>
  <si>
    <t>MATTHEW &amp; LINDSAY ARONSON</t>
  </si>
  <si>
    <t xml:space="preserve">19243 E WALNUT RD </t>
  </si>
  <si>
    <t>R066</t>
  </si>
  <si>
    <t>QUAIL CREEK</t>
  </si>
  <si>
    <t>K HOVNANIAN OF QUAIL CREEK LL</t>
  </si>
  <si>
    <t>ARONSON MATTHEW B &amp; LINDSAY</t>
  </si>
  <si>
    <t>MATTHEW B ARONSON</t>
  </si>
  <si>
    <t>LINDSAY ARONSON</t>
  </si>
  <si>
    <t>PROCTOR</t>
  </si>
  <si>
    <t>DELLA</t>
  </si>
  <si>
    <t>BILL &amp; DELLA PROCTOR</t>
  </si>
  <si>
    <t xml:space="preserve">5132 S MCMINN DR </t>
  </si>
  <si>
    <t>PROCTOR BILL &amp; DELLA</t>
  </si>
  <si>
    <t>MARIS</t>
  </si>
  <si>
    <t>ADAMS</t>
  </si>
  <si>
    <t>CHONNA</t>
  </si>
  <si>
    <t>MARIS ADAMS &amp; CHONNA THOMPSON</t>
  </si>
  <si>
    <t xml:space="preserve">22097 N 97TH DR </t>
  </si>
  <si>
    <t>ADAMS MARIS</t>
  </si>
  <si>
    <t>THOMPSON CHONNA</t>
  </si>
  <si>
    <t>FAIRCHILD</t>
  </si>
  <si>
    <t>STEPHNIE</t>
  </si>
  <si>
    <t>WILLIAM &amp; STEPHNIE FAIRCHILD</t>
  </si>
  <si>
    <t xml:space="preserve">2143 E KESLER LN </t>
  </si>
  <si>
    <t>LA VALENCIANA</t>
  </si>
  <si>
    <t>KEMPTON CROSSING</t>
  </si>
  <si>
    <t>CHANDLER TRADITIONAL ACADEMY - HUMPHREY CAMPUS</t>
  </si>
  <si>
    <t>FAIRCHILD WILLIAM &amp; STEPHNIE</t>
  </si>
  <si>
    <t>RAY</t>
  </si>
  <si>
    <t>SHOBE</t>
  </si>
  <si>
    <t>RAY &amp; SARAH SHOBE</t>
  </si>
  <si>
    <t xml:space="preserve">10074 W LOS GATOS DR </t>
  </si>
  <si>
    <t>MEADOWS PARCEL 12A</t>
  </si>
  <si>
    <t>SHOBE RAY W III &amp; SARAH S</t>
  </si>
  <si>
    <t>MARK &amp; JENNIFER MITCHELL</t>
  </si>
  <si>
    <t xml:space="preserve">4224 E AMBER LN </t>
  </si>
  <si>
    <t>ELLIOT GROVES AT MORRISON RANCH PHASE 2</t>
  </si>
  <si>
    <t>MITCHELL MARK A &amp; JENNIFER R</t>
  </si>
  <si>
    <t>WEYMOUTH</t>
  </si>
  <si>
    <t>WEYMOUTH WILSON</t>
  </si>
  <si>
    <t xml:space="preserve">5351 S PARKWOOD </t>
  </si>
  <si>
    <t>BELLA VIA PARCEL 13</t>
  </si>
  <si>
    <t>WILSON WEYMOUTH</t>
  </si>
  <si>
    <t>SETH &amp; JILL WOLFE</t>
  </si>
  <si>
    <t xml:space="preserve">22200 E ARROYO VERDE CT </t>
  </si>
  <si>
    <t>OCOTILLO HEIGHTS PHASE 2</t>
  </si>
  <si>
    <t>WOLFE SETH M &amp; JILL I</t>
  </si>
  <si>
    <t>RTF LIVING TRUST</t>
  </si>
  <si>
    <t>RTF</t>
  </si>
  <si>
    <t xml:space="preserve">1737 W BONANZA DR </t>
  </si>
  <si>
    <t>NORTERRA PARCEL 31-44</t>
  </si>
  <si>
    <t>CACTUS CREST</t>
  </si>
  <si>
    <t>FREELAND DAN J &amp; ROSALIND T</t>
  </si>
  <si>
    <t>TODD</t>
  </si>
  <si>
    <t>NUTTALL</t>
  </si>
  <si>
    <t>LORD</t>
  </si>
  <si>
    <t>TODD NUTTALL &amp; STEPHANIE LORD</t>
  </si>
  <si>
    <t xml:space="preserve">5139 S ELLESMERE ST </t>
  </si>
  <si>
    <t>NUTTALL TODD R</t>
  </si>
  <si>
    <t>LORD STEPHANIE M</t>
  </si>
  <si>
    <t>JOY</t>
  </si>
  <si>
    <t>POLLARD-STOIBER</t>
  </si>
  <si>
    <t>GREGORY</t>
  </si>
  <si>
    <t>STOIBER</t>
  </si>
  <si>
    <t>JOY POLLARD-STOIBER &amp; GREGORY STOIBER</t>
  </si>
  <si>
    <t xml:space="preserve">10855 W BRONCO TRL </t>
  </si>
  <si>
    <t>R067</t>
  </si>
  <si>
    <t>TIERRA DEL RIO PARCEL 4A</t>
  </si>
  <si>
    <t>SAGUARO TRAILS</t>
  </si>
  <si>
    <t>ZUNI HILLS ELEMENTARY SCHOOL</t>
  </si>
  <si>
    <t>POLLARD-STOIBER JOY</t>
  </si>
  <si>
    <t>STOIBER GREGORY</t>
  </si>
  <si>
    <t>MILISA</t>
  </si>
  <si>
    <t>DALE &amp; MILISA HANSON</t>
  </si>
  <si>
    <t xml:space="preserve">5511 S WESLEY </t>
  </si>
  <si>
    <t>R153</t>
  </si>
  <si>
    <t>ENCORE AT EASTMARK PARCEL 9-1</t>
  </si>
  <si>
    <t>AVH EM LLC</t>
  </si>
  <si>
    <t>HANSON DALE &amp; MILISA</t>
  </si>
  <si>
    <t>MARK WILSON</t>
  </si>
  <si>
    <t xml:space="preserve">5264 N 147TH AVE </t>
  </si>
  <si>
    <t>WILSON MARK E</t>
  </si>
  <si>
    <t>SYLVIA</t>
  </si>
  <si>
    <t>CANNON</t>
  </si>
  <si>
    <t>JOHN WHITE &amp; SYLVIA CANNON</t>
  </si>
  <si>
    <t xml:space="preserve">9358 W ROBIN LN </t>
  </si>
  <si>
    <t>MEADOWS PARCEL 4B</t>
  </si>
  <si>
    <t>WHITE JOHN H</t>
  </si>
  <si>
    <t>CANNON SYLVIA</t>
  </si>
  <si>
    <t>CLARK</t>
  </si>
  <si>
    <t>JOHN &amp; PATRICIA CLARK</t>
  </si>
  <si>
    <t xml:space="preserve">12001 S 180TH DR </t>
  </si>
  <si>
    <t>ESTRELLA PARCEL 5.5 PHASE 2</t>
  </si>
  <si>
    <t>BOKF NA</t>
  </si>
  <si>
    <t>CLARK JOHN CLINTON &amp; PATRICIA LYNN</t>
  </si>
  <si>
    <t>KNOWLES</t>
  </si>
  <si>
    <t>PATRICK &amp; DANIELLE KNOWLES</t>
  </si>
  <si>
    <t xml:space="preserve">20602 W HILLCREST BLVD </t>
  </si>
  <si>
    <t>KNOWLES PATRICK &amp; DANIELLE E</t>
  </si>
  <si>
    <t>BENJAMIN</t>
  </si>
  <si>
    <t>LAPINSKI</t>
  </si>
  <si>
    <t>STEVIE</t>
  </si>
  <si>
    <t>BENJAMIN &amp; STEVIE LAPINSKI</t>
  </si>
  <si>
    <t xml:space="preserve">4311 N 185TH LN </t>
  </si>
  <si>
    <t>SEDELLA PARCEL 4A</t>
  </si>
  <si>
    <t>LAPINSKI BENJAMIN W &amp; STEVIE C</t>
  </si>
  <si>
    <t>LEE</t>
  </si>
  <si>
    <t>JOHN-CARBON</t>
  </si>
  <si>
    <t>LEE &amp; CAROLYN JOHN-CARBON</t>
  </si>
  <si>
    <t xml:space="preserve">823 E HORSESHOE PL </t>
  </si>
  <si>
    <t>R083</t>
  </si>
  <si>
    <t>OCOTILLO LANDING</t>
  </si>
  <si>
    <t>LEE ANDREW B &amp; CAROLYN J</t>
  </si>
  <si>
    <t>TREVER</t>
  </si>
  <si>
    <t>LANGE</t>
  </si>
  <si>
    <t>LANETTE</t>
  </si>
  <si>
    <t>TREVER &amp; LANETTE LANGE</t>
  </si>
  <si>
    <t xml:space="preserve">1164 E RELIANT ST </t>
  </si>
  <si>
    <t>LANGE TREVER &amp; LANETTE</t>
  </si>
  <si>
    <t>TREVER LANGE</t>
  </si>
  <si>
    <t>LANETTE LANGE</t>
  </si>
  <si>
    <t>ROLLAND</t>
  </si>
  <si>
    <t>LAHAIE</t>
  </si>
  <si>
    <t>CARRIE</t>
  </si>
  <si>
    <t>ROLLAND &amp; CARRIE LAHAIE</t>
  </si>
  <si>
    <t xml:space="preserve">10548 E PALLADIUM DR </t>
  </si>
  <si>
    <t>R151</t>
  </si>
  <si>
    <t>EASTMARK DEV UNIT 7 NORTH PARCELS 7-6 TH</t>
  </si>
  <si>
    <t>LA HAIE ROLLAND &amp; CARRIE</t>
  </si>
  <si>
    <t>TROY &amp; STACEY CASTILLO</t>
  </si>
  <si>
    <t xml:space="preserve">4366 N 186TH LN </t>
  </si>
  <si>
    <t>CASTILLO TROY &amp; STACEY L</t>
  </si>
  <si>
    <t>GROSKLOS</t>
  </si>
  <si>
    <t>STEVEN &amp; SHANNON GROSKLOS</t>
  </si>
  <si>
    <t xml:space="preserve">22285 E ARROYO VERDE </t>
  </si>
  <si>
    <t>DHI MTG CO LTD LP</t>
  </si>
  <si>
    <t>GROSKLOS STEVEN M &amp; SHANNON R</t>
  </si>
  <si>
    <t>HENRY</t>
  </si>
  <si>
    <t>KEY-HENRY</t>
  </si>
  <si>
    <t>DONALD HENRY &amp; WENDY KEY-HENRY</t>
  </si>
  <si>
    <t xml:space="preserve">2112 N HAWK PEAK </t>
  </si>
  <si>
    <t>R152</t>
  </si>
  <si>
    <t>MONTEREY AT MOUNTAIN BRIDGE</t>
  </si>
  <si>
    <t>MONTEREY</t>
  </si>
  <si>
    <t>HENRY DONALD C</t>
  </si>
  <si>
    <t>KEY-HENRY WENDY</t>
  </si>
  <si>
    <t>RADOSEVIC</t>
  </si>
  <si>
    <t>RACHEL</t>
  </si>
  <si>
    <t>ANDREW &amp; RACHEL RADOSEVIC</t>
  </si>
  <si>
    <t xml:space="preserve">5117 N 147TH AVE </t>
  </si>
  <si>
    <t>RADOSEVIC ANDREW T &amp; RACHEL M</t>
  </si>
  <si>
    <t>CARMINA</t>
  </si>
  <si>
    <t>BRIAN &amp; CARMINA WHITE</t>
  </si>
  <si>
    <t xml:space="preserve">19729 E STRAWBERRY CT </t>
  </si>
  <si>
    <t>WHITE BRIAN E &amp; CARMINA</t>
  </si>
  <si>
    <t>SACCO</t>
  </si>
  <si>
    <t>FRANKLIN</t>
  </si>
  <si>
    <t>GREGORY SACCO &amp; KRISTIN FRANKLIN</t>
  </si>
  <si>
    <t xml:space="preserve">2338 W DUANE LN </t>
  </si>
  <si>
    <t>R048</t>
  </si>
  <si>
    <t>COLLINS CREEK</t>
  </si>
  <si>
    <t>SACCO GREGORY J</t>
  </si>
  <si>
    <t>FRANKLIN KRISTIN L</t>
  </si>
  <si>
    <t>ORTIZ FAMILY TRUST</t>
  </si>
  <si>
    <t>ISABELLE</t>
  </si>
  <si>
    <t>ORTIZ FAMILY</t>
  </si>
  <si>
    <t xml:space="preserve">9914 W VILLA HERMOSA </t>
  </si>
  <si>
    <t>R063</t>
  </si>
  <si>
    <t>LIZARD TRAILS</t>
  </si>
  <si>
    <t>WOODSIDE ENCORE OF SUNSET RAN</t>
  </si>
  <si>
    <t>ORTIZ FRED P</t>
  </si>
  <si>
    <t>FRED P ORTIZ</t>
  </si>
  <si>
    <t>ISABELLE T ORTIZ</t>
  </si>
  <si>
    <t>QUARRACY</t>
  </si>
  <si>
    <t>SMITH</t>
  </si>
  <si>
    <t>QUARRACY SMITH</t>
  </si>
  <si>
    <t xml:space="preserve">14578 W MEDLOCK DR </t>
  </si>
  <si>
    <t>SMITH QUARRACY L</t>
  </si>
  <si>
    <t>CARSON</t>
  </si>
  <si>
    <t>GREGORY &amp; MICHELLE CARSON</t>
  </si>
  <si>
    <t xml:space="preserve">28133 N 21ST LN </t>
  </si>
  <si>
    <t>CARSON GREGORY L &amp; MICHELLE</t>
  </si>
  <si>
    <t>HOCKER</t>
  </si>
  <si>
    <t>STEVEN &amp; LORI HOCKER</t>
  </si>
  <si>
    <t xml:space="preserve">33111 N 25TH DR </t>
  </si>
  <si>
    <t>LA SOLANA</t>
  </si>
  <si>
    <t>M-M</t>
  </si>
  <si>
    <t>HOCKER STEVEN J &amp; LORI L</t>
  </si>
  <si>
    <t>MAES</t>
  </si>
  <si>
    <t>MAES &amp; CARRIE ANN</t>
  </si>
  <si>
    <t xml:space="preserve">1905 W GRAND CANYON DR </t>
  </si>
  <si>
    <t>VILLA DEL LAGO</t>
  </si>
  <si>
    <t>CHANDLER TRADITIONAL ACADEMY - INDEPENDENCE CAMPUS</t>
  </si>
  <si>
    <t>MAES MARK P &amp; CARRIE A</t>
  </si>
  <si>
    <t>MAES MARK PAUL &amp; CARRIE ANN</t>
  </si>
  <si>
    <t>MARTEL</t>
  </si>
  <si>
    <t>NGA</t>
  </si>
  <si>
    <t>CHARLES &amp; NGA MARTEL</t>
  </si>
  <si>
    <t xml:space="preserve">6740 W CHARTER OAK RD </t>
  </si>
  <si>
    <t>PEORIA VILLAGE</t>
  </si>
  <si>
    <t>OAKWOOD ELEMENTARY SCHOOL</t>
  </si>
  <si>
    <t>CACTUS HIGH SCHOOL</t>
  </si>
  <si>
    <t>GWR-PV83 LLC</t>
  </si>
  <si>
    <t>MARTEL CHARLES M &amp; NGA T</t>
  </si>
  <si>
    <t>ESKER</t>
  </si>
  <si>
    <t>TIMOTHY &amp; SUSAN ESKER</t>
  </si>
  <si>
    <t xml:space="preserve">22322 E ARROYO VERDE </t>
  </si>
  <si>
    <t>ESKER TIMOTHY J &amp; SUSAN N</t>
  </si>
  <si>
    <t>RONIN FAMILY TRUST</t>
  </si>
  <si>
    <t>RONIN</t>
  </si>
  <si>
    <t xml:space="preserve">9338 W CASHMAN DR </t>
  </si>
  <si>
    <t xml:space="preserve">7017 W PONTIAC DR </t>
  </si>
  <si>
    <t>WILSON KENT</t>
  </si>
  <si>
    <t>CARVALHO</t>
  </si>
  <si>
    <t>RAYMOND CARVALHO</t>
  </si>
  <si>
    <t xml:space="preserve">10837 W NOSEAN RD </t>
  </si>
  <si>
    <t>CARVALHO RAYMOND S</t>
  </si>
  <si>
    <t>CROWDER</t>
  </si>
  <si>
    <t>MARION</t>
  </si>
  <si>
    <t>HUNT-CROWDER</t>
  </si>
  <si>
    <t>DAVID CROWDER &amp; MARION HUNT-CROWDER</t>
  </si>
  <si>
    <t xml:space="preserve">2828 E BLACKHAWK CT </t>
  </si>
  <si>
    <t>MONTAVERDE</t>
  </si>
  <si>
    <t>CROWDER DAVID L</t>
  </si>
  <si>
    <t>HUNT-CROWDER MARION R</t>
  </si>
  <si>
    <t>MAYBERRY LIVING TRUST</t>
  </si>
  <si>
    <t>MAYBERRY</t>
  </si>
  <si>
    <t xml:space="preserve">5127 S ELLESMERE ST </t>
  </si>
  <si>
    <t>MAYBERRY JOSEPH &amp; NICOLE</t>
  </si>
  <si>
    <t>JOSEPH MAYBERRY</t>
  </si>
  <si>
    <t>NICOLE MAYBERRY</t>
  </si>
  <si>
    <t>ALLTOP</t>
  </si>
  <si>
    <t>KAI-MONJA</t>
  </si>
  <si>
    <t>DANNY &amp; KAI-MONJA ALLTOP</t>
  </si>
  <si>
    <t xml:space="preserve">19761 E STRAWBERRY CT </t>
  </si>
  <si>
    <t>ALLTOP DANNY KENNETH &amp; KAI-MO</t>
  </si>
  <si>
    <t>SPENCER</t>
  </si>
  <si>
    <t>KIMBERLI</t>
  </si>
  <si>
    <t>ROBERT &amp; KIMBERLI SPENCER</t>
  </si>
  <si>
    <t xml:space="preserve">3244 E STRAWBERRY DR </t>
  </si>
  <si>
    <t>BRIDGES AT GILBERT PHASE 1 PARCEL 1</t>
  </si>
  <si>
    <t>FIRST GUARANTY MTG</t>
  </si>
  <si>
    <t>SPENCER ROBERT &amp; KIMBERLI</t>
  </si>
  <si>
    <t>SPENCER ROBERT V &amp; KIMBERLI M</t>
  </si>
  <si>
    <t>LOREN</t>
  </si>
  <si>
    <t>REEVES</t>
  </si>
  <si>
    <t>MARYANN</t>
  </si>
  <si>
    <t>LOREN &amp; MARYANN REEVES</t>
  </si>
  <si>
    <t xml:space="preserve">2827 E SUNFLOWER DR </t>
  </si>
  <si>
    <t>REEVES LOREN W &amp; MARYANN</t>
  </si>
  <si>
    <t>VEACH</t>
  </si>
  <si>
    <t>ASIMO</t>
  </si>
  <si>
    <t>PANOUTSOPOULOU</t>
  </si>
  <si>
    <t>KENNETH VEACH &amp; PANOUTSOPOULOU ASIMO</t>
  </si>
  <si>
    <t xml:space="preserve">2827 E BELLFLOWER DR </t>
  </si>
  <si>
    <t>VEACH KENNETH R</t>
  </si>
  <si>
    <t>BALASA</t>
  </si>
  <si>
    <t>JUDY</t>
  </si>
  <si>
    <t>CARL &amp; JUDY BALASA</t>
  </si>
  <si>
    <t xml:space="preserve">10046 W VILLA HERMOSA </t>
  </si>
  <si>
    <t>CARL BALASA</t>
  </si>
  <si>
    <t>JUDY BALASA</t>
  </si>
  <si>
    <t>MORRIS FAMILY TRUST</t>
  </si>
  <si>
    <t xml:space="preserve">9942 W VIA DEL SOL </t>
  </si>
  <si>
    <t>MORRIS SCOTT A &amp; GELLA A</t>
  </si>
  <si>
    <t>MERRITT</t>
  </si>
  <si>
    <t>DONALD &amp; SANDRA MERRITT</t>
  </si>
  <si>
    <t xml:space="preserve">4733 N 209TH AVE </t>
  </si>
  <si>
    <t>MERRITT DONALD R</t>
  </si>
  <si>
    <t>MILLER FAMILY LIVING TRUST</t>
  </si>
  <si>
    <t xml:space="preserve">1809 W SATINWOOD DR </t>
  </si>
  <si>
    <t>C012</t>
  </si>
  <si>
    <t>FOOTHILLS CLUB WEST PARCEL 24</t>
  </si>
  <si>
    <t>MILLER WILLIAM A &amp; SARAH C</t>
  </si>
  <si>
    <t>BRADSHAW RICHARD DALE &amp; BETHANY L</t>
  </si>
  <si>
    <t xml:space="preserve">9453 W DONALD DR </t>
  </si>
  <si>
    <t>RICHARD D BRADSHAW</t>
  </si>
  <si>
    <t>BETHANY L BRADSHAW</t>
  </si>
  <si>
    <t>STURGEON TRUST</t>
  </si>
  <si>
    <t>STURGEON</t>
  </si>
  <si>
    <t xml:space="preserve">1635 N TROWBRIDGE </t>
  </si>
  <si>
    <t>SCOTTSDALE AZ 85260</t>
  </si>
  <si>
    <t>STURGEON JEREMY P</t>
  </si>
  <si>
    <t>PARKS JENNIFER L</t>
  </si>
  <si>
    <t>WARREN</t>
  </si>
  <si>
    <t>JODY</t>
  </si>
  <si>
    <t>CURRAN</t>
  </si>
  <si>
    <t>GREGORY WARREN &amp; JODY CURRAN</t>
  </si>
  <si>
    <t xml:space="preserve">11009 E TARRAGON AVE </t>
  </si>
  <si>
    <t>WARREN GREGORY A</t>
  </si>
  <si>
    <t>CURRAN JODY M</t>
  </si>
  <si>
    <t>MANRIQUEZ-SANCHEZ FAMILY TRUST</t>
  </si>
  <si>
    <t>MANRIQUEZ-SANCHEZ</t>
  </si>
  <si>
    <t xml:space="preserve">1714 W SATINWOOD DR </t>
  </si>
  <si>
    <t>SUBURBAN MTG INC</t>
  </si>
  <si>
    <t>SANCHEZ MOISES</t>
  </si>
  <si>
    <t>MANRIQUEZ-SANCHEZ MARIA</t>
  </si>
  <si>
    <t>ALFORD</t>
  </si>
  <si>
    <t>GARNER</t>
  </si>
  <si>
    <t>EDITH</t>
  </si>
  <si>
    <t>ALFORD GARNER &amp; EDITH FLORES</t>
  </si>
  <si>
    <t xml:space="preserve">10747 W ROWEL RD </t>
  </si>
  <si>
    <t>GARNER ALFORD L</t>
  </si>
  <si>
    <t>FLORES EDITH</t>
  </si>
  <si>
    <t>REMMERS</t>
  </si>
  <si>
    <t>TAMARA</t>
  </si>
  <si>
    <t>REMMERS &amp; TAMARA KAY</t>
  </si>
  <si>
    <t xml:space="preserve">2317 W CALEB RD </t>
  </si>
  <si>
    <t>REMMERS GREGORY W &amp; TAMARA K</t>
  </si>
  <si>
    <t>ARNIE</t>
  </si>
  <si>
    <t>LISS</t>
  </si>
  <si>
    <t>DARLENE</t>
  </si>
  <si>
    <t>ARNIE &amp; DARLENE LISS</t>
  </si>
  <si>
    <t xml:space="preserve">4116 S GREYTHORNE WAY </t>
  </si>
  <si>
    <t>LISS ARNIE &amp; DARLENE</t>
  </si>
  <si>
    <t>JAMES CRAIG POLVE LIVING TRUST</t>
  </si>
  <si>
    <t>JAMES POLVE</t>
  </si>
  <si>
    <t xml:space="preserve">1814 W COTTONWOOD LN </t>
  </si>
  <si>
    <t>POLVE JAMES C LIVING TRUST</t>
  </si>
  <si>
    <t>MISTY</t>
  </si>
  <si>
    <t>JEFFERY &amp; MISTY JONES</t>
  </si>
  <si>
    <t xml:space="preserve">259 E POWELL WAY </t>
  </si>
  <si>
    <t>JONES JEFFERY R</t>
  </si>
  <si>
    <t>ZAMBRANO</t>
  </si>
  <si>
    <t>JOHN &amp; ELIZABETH ZAMBRANO</t>
  </si>
  <si>
    <t xml:space="preserve">11030 E TARRAGON AVE </t>
  </si>
  <si>
    <t>JOHN C ZAMBRANO</t>
  </si>
  <si>
    <t>ELIZABETH M ZAMBRANO</t>
  </si>
  <si>
    <t>FARMERS BRANCH TX 75234</t>
  </si>
  <si>
    <t>SCHWARBERG</t>
  </si>
  <si>
    <t>LARRY SCHWARBERG</t>
  </si>
  <si>
    <t xml:space="preserve">1715 W SATINWOOD DR </t>
  </si>
  <si>
    <t>FT FIN'L</t>
  </si>
  <si>
    <t>LARRY R SCHWARBERG JR</t>
  </si>
  <si>
    <t>LUDERA FAMILY TRUST</t>
  </si>
  <si>
    <t>LUDERA</t>
  </si>
  <si>
    <t xml:space="preserve">2131 N STEELE </t>
  </si>
  <si>
    <t>NETWORK CAP FNDG CORP</t>
  </si>
  <si>
    <t>LUDERA BRIAN M &amp; KATHERINE J</t>
  </si>
  <si>
    <t>ASHLER FREDERICK L LIVING TRUS</t>
  </si>
  <si>
    <t>L ASHLERFREDERICK</t>
  </si>
  <si>
    <t xml:space="preserve">9387 W ROBIN LN </t>
  </si>
  <si>
    <t>SCOTTSDALE AZ 65251</t>
  </si>
  <si>
    <t>ASHLER FREDERICK L</t>
  </si>
  <si>
    <t>VASLE</t>
  </si>
  <si>
    <t>TZITZURA</t>
  </si>
  <si>
    <t>THERESA</t>
  </si>
  <si>
    <t>VASLE &amp; THERESA TZITZURA</t>
  </si>
  <si>
    <t xml:space="preserve">5128 N 148TH AVE </t>
  </si>
  <si>
    <t>TZITZURA VASLE T &amp; THERESA C</t>
  </si>
  <si>
    <t>MILTON</t>
  </si>
  <si>
    <t>RICHARD MILTON</t>
  </si>
  <si>
    <t xml:space="preserve">22550 E AVENIDA DEL VALLE </t>
  </si>
  <si>
    <t>CHURCH FARM PARCEL A1</t>
  </si>
  <si>
    <t>HOMESTEAD</t>
  </si>
  <si>
    <t>MILTON RICHARD L</t>
  </si>
  <si>
    <t>JEFFRY</t>
  </si>
  <si>
    <t>LINNELL</t>
  </si>
  <si>
    <t>DORATHY</t>
  </si>
  <si>
    <t>JEFFRY &amp; DORATHY LINNELL</t>
  </si>
  <si>
    <t xml:space="preserve">3143 W CAVEDALE DR </t>
  </si>
  <si>
    <t>R087</t>
  </si>
  <si>
    <t>ARIZONA HILLCREST 2</t>
  </si>
  <si>
    <t>STETSON HILLS SCHOOL</t>
  </si>
  <si>
    <t>WARRANTY DEED JOINT TENANT</t>
  </si>
  <si>
    <t>COURTLAND COMMUNITIES LLC</t>
  </si>
  <si>
    <t>LINNELL JEFFRY</t>
  </si>
  <si>
    <t>DEAN</t>
  </si>
  <si>
    <t>DOTY</t>
  </si>
  <si>
    <t>DEAN DOTY</t>
  </si>
  <si>
    <t xml:space="preserve">2931 W THORN TREE DR </t>
  </si>
  <si>
    <t>R088</t>
  </si>
  <si>
    <t>STONELEDGE AT NORTH CANYON</t>
  </si>
  <si>
    <t>DOTY DEAN</t>
  </si>
  <si>
    <t>BATIE</t>
  </si>
  <si>
    <t>NINA</t>
  </si>
  <si>
    <t>ANDRA &amp; NINA BATIE</t>
  </si>
  <si>
    <t xml:space="preserve">14566 W MEDLOCK DR </t>
  </si>
  <si>
    <t>BATIE ANDRA L &amp; NINA D</t>
  </si>
  <si>
    <t>CREDIT UNION WEST MTG</t>
  </si>
  <si>
    <t>GLENDALE AZ 85312</t>
  </si>
  <si>
    <t>ANDRA L BATIE</t>
  </si>
  <si>
    <t>NINA D BATIE</t>
  </si>
  <si>
    <t>BENSON</t>
  </si>
  <si>
    <t>JAYNE</t>
  </si>
  <si>
    <t>TIFFANI</t>
  </si>
  <si>
    <t>BENSON &amp; TIFFANI JAYNE</t>
  </si>
  <si>
    <t xml:space="preserve">9422 W DONALD DR </t>
  </si>
  <si>
    <t>BENSON BOBBYE GENE &amp; TIFFANI</t>
  </si>
  <si>
    <t>PORTER</t>
  </si>
  <si>
    <t>LATTICE</t>
  </si>
  <si>
    <t>ROBERT &amp; LATTICE PORTER</t>
  </si>
  <si>
    <t xml:space="preserve">14588 W ORANGE DR </t>
  </si>
  <si>
    <t>PORTER ROBERT D JR &amp; LATTICE G</t>
  </si>
  <si>
    <t>MISURACA</t>
  </si>
  <si>
    <t>JOHN MISURACA</t>
  </si>
  <si>
    <t xml:space="preserve">1812 W LACEWOOD PL </t>
  </si>
  <si>
    <t>MISURACA JOHN P</t>
  </si>
  <si>
    <t>SEE</t>
  </si>
  <si>
    <t>RONDALYN</t>
  </si>
  <si>
    <t>WILLIAM SEE &amp; RONDALYN CHESNUT</t>
  </si>
  <si>
    <t xml:space="preserve">21220 E VALLEJO ST </t>
  </si>
  <si>
    <t>JFLD LLC</t>
  </si>
  <si>
    <t>UNITED WHOLESALE MTG</t>
  </si>
  <si>
    <t>SEE WILLIAM</t>
  </si>
  <si>
    <t>CHESNUT RONDALYN</t>
  </si>
  <si>
    <t>KRIS</t>
  </si>
  <si>
    <t>KRIS ELLIOTT</t>
  </si>
  <si>
    <t xml:space="preserve">19624 E EMPEROR BLVD </t>
  </si>
  <si>
    <t>EMPEROR ESTATES PARCEL H</t>
  </si>
  <si>
    <t>AUSTIN TX 78750</t>
  </si>
  <si>
    <t>ELLIOTT KRIS M &amp; KELSEY</t>
  </si>
  <si>
    <t>ZEFERN</t>
  </si>
  <si>
    <t>DREDD</t>
  </si>
  <si>
    <t>ZEFERN DREDD</t>
  </si>
  <si>
    <t xml:space="preserve">7599 W BAJADA RD </t>
  </si>
  <si>
    <t>DREDD ZEFEM K</t>
  </si>
  <si>
    <t>MCBRIDE</t>
  </si>
  <si>
    <t>JOSHUA &amp; MEGAN MCBRIDE</t>
  </si>
  <si>
    <t xml:space="preserve">14551 W ORANGE DR </t>
  </si>
  <si>
    <t>MCBRIDE JOSHUA P &amp; MEGAN E</t>
  </si>
  <si>
    <t>DENNIS</t>
  </si>
  <si>
    <t>CHAMBERLAIN</t>
  </si>
  <si>
    <t>STEFFANI</t>
  </si>
  <si>
    <t>DENNIS CHAMBERLAIN &amp; DAWN STEFFANI</t>
  </si>
  <si>
    <t xml:space="preserve">19764 E WALNUT RD </t>
  </si>
  <si>
    <t>CHAMBERLAIN DENNIS L &amp; STEFFANI D</t>
  </si>
  <si>
    <t>SHARMAN</t>
  </si>
  <si>
    <t>EVANA</t>
  </si>
  <si>
    <t>JAMES &amp; EVANA SHARMAN</t>
  </si>
  <si>
    <t xml:space="preserve">10758 W WHITEHORN WAY </t>
  </si>
  <si>
    <t>SHARMAN JAMES M &amp; EVANA</t>
  </si>
  <si>
    <t>BERNIE</t>
  </si>
  <si>
    <t>ESCALANTE</t>
  </si>
  <si>
    <t>ADINA</t>
  </si>
  <si>
    <t>BERNIE &amp; ADINA ESCALANTE</t>
  </si>
  <si>
    <t xml:space="preserve">14583 W MEDLOCK DR </t>
  </si>
  <si>
    <t>BERNIE E ESCALANTE</t>
  </si>
  <si>
    <t>ADINA A ESCALANTE</t>
  </si>
  <si>
    <t>SAUNDERS REVOCABLE LIVING TRUST</t>
  </si>
  <si>
    <t>SAUNDERS</t>
  </si>
  <si>
    <t xml:space="preserve">2679 S VELVENDO DR </t>
  </si>
  <si>
    <t>ESTATES AT VELVENDO PHASE 2</t>
  </si>
  <si>
    <t>SAUNDERS WILLIAM DOUGLAS &amp; PA</t>
  </si>
  <si>
    <t>SPITZER</t>
  </si>
  <si>
    <t>MARLENE</t>
  </si>
  <si>
    <t>DAVID &amp; MARLENE SPITZER</t>
  </si>
  <si>
    <t xml:space="preserve">1735 W SATINWOOD DR </t>
  </si>
  <si>
    <t>SPITZER DAVID A &amp; MARLENE</t>
  </si>
  <si>
    <t>MARINI</t>
  </si>
  <si>
    <t>CHRISTOPHER &amp; TONI MARINI</t>
  </si>
  <si>
    <t xml:space="preserve">1627 N TROWBRIDGE </t>
  </si>
  <si>
    <t>LAND HM FIN'L SVCS</t>
  </si>
  <si>
    <t>MARINI CHRISTOPHER M &amp; TONI A</t>
  </si>
  <si>
    <t>RYAN</t>
  </si>
  <si>
    <t>HENRICKS</t>
  </si>
  <si>
    <t>RYAN &amp; JENNIFER HENRICKS</t>
  </si>
  <si>
    <t xml:space="preserve">19334 E WALNUT RD </t>
  </si>
  <si>
    <t>HENRICKS RYAN &amp; JENNIFER</t>
  </si>
  <si>
    <t>QUITANGON</t>
  </si>
  <si>
    <t>ERIC &amp; GINA QUITANGON</t>
  </si>
  <si>
    <t xml:space="preserve">14776 W PASADENA AVE </t>
  </si>
  <si>
    <t>QUITANGON ERIC C &amp; GINA L</t>
  </si>
  <si>
    <t>LOEWEN</t>
  </si>
  <si>
    <t>TROY &amp; JESSICA LOEWEN</t>
  </si>
  <si>
    <t xml:space="preserve">2920 W WESTLAND RD </t>
  </si>
  <si>
    <t>TROY LOEWEN</t>
  </si>
  <si>
    <t>JESSICA LOEWEN</t>
  </si>
  <si>
    <t>RIOS</t>
  </si>
  <si>
    <t>CHRISTOPHER &amp; NORMA RIOS</t>
  </si>
  <si>
    <t xml:space="preserve">14553 W MEDLOCK DR </t>
  </si>
  <si>
    <t>RIOS CHRISTOPHER G</t>
  </si>
  <si>
    <t>QUICK</t>
  </si>
  <si>
    <t>LAURIE QUICK</t>
  </si>
  <si>
    <t xml:space="preserve">26272 N 107TH LN </t>
  </si>
  <si>
    <t>QUICK LAURIE J</t>
  </si>
  <si>
    <t>SONIA</t>
  </si>
  <si>
    <t>ROBERT &amp; SONIA TAYLOR</t>
  </si>
  <si>
    <t xml:space="preserve">1723 W LACEWOOD PL </t>
  </si>
  <si>
    <t>PENNYMAC LOAN SERVICES LLC</t>
  </si>
  <si>
    <t>TAYLOR JR ROBERT</t>
  </si>
  <si>
    <t>TAYLOR SONIA</t>
  </si>
  <si>
    <t>MAURICE</t>
  </si>
  <si>
    <t>BRIGGS</t>
  </si>
  <si>
    <t>MAURICE &amp; BRENDA BRIGGS</t>
  </si>
  <si>
    <t xml:space="preserve">22724 E MUNOZ ST </t>
  </si>
  <si>
    <t>R068</t>
  </si>
  <si>
    <t>CHURCH FARM PARCEL B</t>
  </si>
  <si>
    <t>HARMONY</t>
  </si>
  <si>
    <t>BRIGGS MAURICE C &amp; BRENDA S</t>
  </si>
  <si>
    <t>PATRICE</t>
  </si>
  <si>
    <t>HALL &amp; MICHELLE PATRICE</t>
  </si>
  <si>
    <t xml:space="preserve">22334 E ARROYO VERDE </t>
  </si>
  <si>
    <t>HALL JUSTIN W &amp; MICHELLE P</t>
  </si>
  <si>
    <t>CONE</t>
  </si>
  <si>
    <t>FREDERICK CONE</t>
  </si>
  <si>
    <t xml:space="preserve">941 E VERMONT DR </t>
  </si>
  <si>
    <t>CONE FREDERICK L JR &amp; ADINA L</t>
  </si>
  <si>
    <t>CONE FREDERICK L JR</t>
  </si>
  <si>
    <t>WEST</t>
  </si>
  <si>
    <t>GLENNA</t>
  </si>
  <si>
    <t>WILLIAM &amp; GLENNA WEST</t>
  </si>
  <si>
    <t xml:space="preserve">10737 W ROWEL RD </t>
  </si>
  <si>
    <t xml:space="preserve">6049 CLYBOURN AVE </t>
  </si>
  <si>
    <t>NORTH HOLLYWOOD</t>
  </si>
  <si>
    <t>THE FEDERAL SAVINGS BANK</t>
  </si>
  <si>
    <t>WEST WILLIAM F &amp; GLENNA</t>
  </si>
  <si>
    <t>RELIFORD</t>
  </si>
  <si>
    <t>ALEJA</t>
  </si>
  <si>
    <t>WILLIE &amp; ALEJA RELIFORD</t>
  </si>
  <si>
    <t xml:space="preserve">14732 W MEDLOCK DR </t>
  </si>
  <si>
    <t>RELIFORD WILLIE F</t>
  </si>
  <si>
    <t>SNYDER</t>
  </si>
  <si>
    <t>ROBERT &amp; HOLLY SNYDER</t>
  </si>
  <si>
    <t xml:space="preserve">19303 E PINE VALLEY DR </t>
  </si>
  <si>
    <t>SYNDER ROBERT L</t>
  </si>
  <si>
    <t>SNYDER HOLLY J</t>
  </si>
  <si>
    <t>SNYDER ROBERT L &amp; HOLLY J</t>
  </si>
  <si>
    <t>HARDEN</t>
  </si>
  <si>
    <t>JACK &amp; KAREN HARDEN</t>
  </si>
  <si>
    <t xml:space="preserve">11045 E TARRAGON AVE </t>
  </si>
  <si>
    <t>HARDEN JACK W &amp; KAREN S</t>
  </si>
  <si>
    <t>OFARRELL FAMILY LIVING TRUST</t>
  </si>
  <si>
    <t>HELEN</t>
  </si>
  <si>
    <t>OFARRELL</t>
  </si>
  <si>
    <t xml:space="preserve">2616 W RABJOHN RD </t>
  </si>
  <si>
    <t>OFARRELL GARY A &amp; HELEN M</t>
  </si>
  <si>
    <t>PONTIAC MI 48341</t>
  </si>
  <si>
    <t>GARY OFARRELL</t>
  </si>
  <si>
    <t>HELEN OFARRELL</t>
  </si>
  <si>
    <t>COLEMAN</t>
  </si>
  <si>
    <t>TONY &amp; TAMMY COLEMAN</t>
  </si>
  <si>
    <t xml:space="preserve">9950 W VILLA HERMOSA </t>
  </si>
  <si>
    <t>COLEMAN TONY &amp; TAMMY</t>
  </si>
  <si>
    <t>ALGOSO</t>
  </si>
  <si>
    <t>PAUL &amp; DANA ALGOSO</t>
  </si>
  <si>
    <t xml:space="preserve">3651 E AQUARIUS PL </t>
  </si>
  <si>
    <t>R077</t>
  </si>
  <si>
    <t>JACARANDA PLACE REPLAT</t>
  </si>
  <si>
    <t>JACARANDA PLACE</t>
  </si>
  <si>
    <t>CARLSON ELEMENTARY SCHOOL</t>
  </si>
  <si>
    <t>ALGOSO PAUL R &amp; DANA G</t>
  </si>
  <si>
    <t>GEISZLER</t>
  </si>
  <si>
    <t>KRISTY</t>
  </si>
  <si>
    <t>KELLY &amp; KRISTY GEISZLER</t>
  </si>
  <si>
    <t xml:space="preserve">18614 W GLENROSA AVE </t>
  </si>
  <si>
    <t>GEISZLER KELLY J &amp; KRISTY L</t>
  </si>
  <si>
    <t>HUNT</t>
  </si>
  <si>
    <t>KATHRYN</t>
  </si>
  <si>
    <t>DOUGLAS &amp; KATHRYN HUNT</t>
  </si>
  <si>
    <t xml:space="preserve">1818 W COTTONWOOD LN </t>
  </si>
  <si>
    <t>HIGHTECHLENDING INC</t>
  </si>
  <si>
    <t>HUNT DOUGLAS M &amp; KATHRYN A</t>
  </si>
  <si>
    <t>REDNOUR</t>
  </si>
  <si>
    <t>LYN</t>
  </si>
  <si>
    <t>CHERI</t>
  </si>
  <si>
    <t>REDNOUR &amp; CHERI LYN</t>
  </si>
  <si>
    <t xml:space="preserve">853 E HORSESHOE PL </t>
  </si>
  <si>
    <t>REDNOUR CHERI L &amp; ROY S</t>
  </si>
  <si>
    <t>LUIS</t>
  </si>
  <si>
    <t>DIAZ</t>
  </si>
  <si>
    <t>LUIS &amp; SHIRLEY DIAZ</t>
  </si>
  <si>
    <t xml:space="preserve">22362 E VIA DEL VERDE </t>
  </si>
  <si>
    <t>DIAZ LUIS &amp; SHIRLEY</t>
  </si>
  <si>
    <t>MICU</t>
  </si>
  <si>
    <t>RONDA</t>
  </si>
  <si>
    <t>FRANKLIN &amp; RONDA MICU</t>
  </si>
  <si>
    <t xml:space="preserve">10753 W ROWEL RD </t>
  </si>
  <si>
    <t>GLOBAL EQUITY FINANCE INC</t>
  </si>
  <si>
    <t>MICU FRANKLIN &amp; RONDA</t>
  </si>
  <si>
    <t>RATHEL</t>
  </si>
  <si>
    <t>ROBINSON</t>
  </si>
  <si>
    <t>RATHEL ROBINSON</t>
  </si>
  <si>
    <t xml:space="preserve">5220 N 148TH AVE </t>
  </si>
  <si>
    <t>ROBINSON RATHEL C</t>
  </si>
  <si>
    <t>KAFER</t>
  </si>
  <si>
    <t>DREW</t>
  </si>
  <si>
    <t>CRYSTAL &amp; DREW KAFER</t>
  </si>
  <si>
    <t xml:space="preserve">5088 N 148TH AVE </t>
  </si>
  <si>
    <t>KAFER CRYSTAL &amp; DREW</t>
  </si>
  <si>
    <t>JULIETTE</t>
  </si>
  <si>
    <t>MAKIN</t>
  </si>
  <si>
    <t>TITUS</t>
  </si>
  <si>
    <t>JULIETTE &amp; TITUS MAKIN</t>
  </si>
  <si>
    <t xml:space="preserve">5134 N 146TH DR </t>
  </si>
  <si>
    <t>MAKIN JULIETTE</t>
  </si>
  <si>
    <t>COUSINS</t>
  </si>
  <si>
    <t>ERIC &amp; JULIA COUSINS</t>
  </si>
  <si>
    <t xml:space="preserve">5082 N 148TH AVE </t>
  </si>
  <si>
    <t>COUSINS ERIC D</t>
  </si>
  <si>
    <t>ROMINE JULIA D</t>
  </si>
  <si>
    <t>BELLOMO</t>
  </si>
  <si>
    <t>KELLY BELLOMO</t>
  </si>
  <si>
    <t xml:space="preserve">7591 W BAJADA RD </t>
  </si>
  <si>
    <t>BELLOMO KELLY</t>
  </si>
  <si>
    <t>CRAWFORD</t>
  </si>
  <si>
    <t>LORA</t>
  </si>
  <si>
    <t>KENNETH &amp; LORA CRAWFORD</t>
  </si>
  <si>
    <t xml:space="preserve">10040 E GRANDVIEW ST </t>
  </si>
  <si>
    <t>R002</t>
  </si>
  <si>
    <t>LA JARA ESTATES  REPLAT</t>
  </si>
  <si>
    <t>LA JARA ESTATES</t>
  </si>
  <si>
    <t>SMITH JUNIOR HIGH SCHOOL</t>
  </si>
  <si>
    <t>LA JARA FARMS LLC</t>
  </si>
  <si>
    <t>PHOENIX AZ 85020</t>
  </si>
  <si>
    <t>CRAWFORD KENNETH M &amp; LORA R</t>
  </si>
  <si>
    <t>DEBORAH L KINNAMAN</t>
  </si>
  <si>
    <t>1506 E BEACON DR GILBERT AZ 85234-2674</t>
  </si>
  <si>
    <t>MARIA G HERRERA</t>
  </si>
  <si>
    <t>JORDAN</t>
  </si>
  <si>
    <t>REBELE</t>
  </si>
  <si>
    <t>LOGAN</t>
  </si>
  <si>
    <t>BANKE</t>
  </si>
  <si>
    <t>JORDAN REBELE &amp; LOGAN BANKE</t>
  </si>
  <si>
    <t xml:space="preserve">32241 N 129TH LN </t>
  </si>
  <si>
    <t>VISTANCIA PARCEL F3 PHASE 1</t>
  </si>
  <si>
    <t>REBELE JORDAN A</t>
  </si>
  <si>
    <t>BANKE LOGAN A</t>
  </si>
  <si>
    <t>NEUKAM</t>
  </si>
  <si>
    <t>NEUKAM &amp; CATHERINE LYNN</t>
  </si>
  <si>
    <t xml:space="preserve">1813 W SATINWOOD DR </t>
  </si>
  <si>
    <t>NEUKAM JEFFERY A &amp; CATHERINE</t>
  </si>
  <si>
    <t>STREETER</t>
  </si>
  <si>
    <t>ERLINDA</t>
  </si>
  <si>
    <t>LARRY &amp; ERLINDA STREETER</t>
  </si>
  <si>
    <t xml:space="preserve">1811 W COTTONWOOD LN </t>
  </si>
  <si>
    <t>STREETER LARRY E &amp; ERLINDA R</t>
  </si>
  <si>
    <t>CRUZ</t>
  </si>
  <si>
    <t>DELA</t>
  </si>
  <si>
    <t>CRUZ DELA</t>
  </si>
  <si>
    <t xml:space="preserve">5123 N 147TH AVE </t>
  </si>
  <si>
    <t xml:space="preserve">5124 N 147TH AVE </t>
  </si>
  <si>
    <t>DE LA CRUZ ALYSEA E</t>
  </si>
  <si>
    <t>ARIAS</t>
  </si>
  <si>
    <t>GEORGE ARIAS</t>
  </si>
  <si>
    <t xml:space="preserve">3268 E CREOSOTE LN </t>
  </si>
  <si>
    <t>ARIAS GEORGE F</t>
  </si>
  <si>
    <t>GEORGE F ARIAS</t>
  </si>
  <si>
    <t>RANCHERO PROPERTIES LLC</t>
  </si>
  <si>
    <t xml:space="preserve">4712 N 206TH LN </t>
  </si>
  <si>
    <t xml:space="preserve">411 N 6TH ST </t>
  </si>
  <si>
    <t>EMERY</t>
  </si>
  <si>
    <t>SD</t>
  </si>
  <si>
    <t>NIEHUS BRIDGET C &amp; WAYNE D</t>
  </si>
  <si>
    <t>COSS</t>
  </si>
  <si>
    <t>JAMES &amp; COSS MARSHALL</t>
  </si>
  <si>
    <t xml:space="preserve">10745 W DESERT ELM LN </t>
  </si>
  <si>
    <t>MARSHALL JAMES M</t>
  </si>
  <si>
    <t>COSS SALLIE</t>
  </si>
  <si>
    <t>RONALD SMITH</t>
  </si>
  <si>
    <t xml:space="preserve">2538 W RABJOHN RD </t>
  </si>
  <si>
    <t>HOMESTREET BK</t>
  </si>
  <si>
    <t>SMITH RONALD L</t>
  </si>
  <si>
    <t>RANKIN FREDDIE V LIVING TRUST</t>
  </si>
  <si>
    <t>V RANKINFREDDIE</t>
  </si>
  <si>
    <t xml:space="preserve">2611 W ROYER RD </t>
  </si>
  <si>
    <t>ENGLEWOOD CO 80112</t>
  </si>
  <si>
    <t>RANKIN FREDDIE V</t>
  </si>
  <si>
    <t>WAYNE</t>
  </si>
  <si>
    <t>CRENSHAW</t>
  </si>
  <si>
    <t>WAYNE &amp; TERESA CRENSHAW</t>
  </si>
  <si>
    <t xml:space="preserve">2554 W GOLDEN PUMA TRL </t>
  </si>
  <si>
    <t>CRENSHAW WAYNE W &amp; TERESA L</t>
  </si>
  <si>
    <t>CHRISTIANSON</t>
  </si>
  <si>
    <t>JACQUILYN</t>
  </si>
  <si>
    <t>MATTHEW &amp; JACQUILYN CHRISTIANSON</t>
  </si>
  <si>
    <t xml:space="preserve">4412 N 186TH LN </t>
  </si>
  <si>
    <t>CHRISTIANSON MATTHEW &amp; JACQUILYN</t>
  </si>
  <si>
    <t>HOFMANN</t>
  </si>
  <si>
    <t>STEVEN &amp; CHARLENE HOFMANN</t>
  </si>
  <si>
    <t xml:space="preserve">18602 W GLENROSA AVE </t>
  </si>
  <si>
    <t>HOFMANN STEVEN R &amp; CHARLENE A</t>
  </si>
  <si>
    <t>DIANE</t>
  </si>
  <si>
    <t>JEFF &amp; DIANE NELSON</t>
  </si>
  <si>
    <t xml:space="preserve">25720 S VALENCIA AVE </t>
  </si>
  <si>
    <t>CHANDLER HEIGHTS CITRUS TR UNIT 3626</t>
  </si>
  <si>
    <t>SAN TAN HOMES LLC</t>
  </si>
  <si>
    <t>NELSON JEFF D</t>
  </si>
  <si>
    <t>TESTA FAMILY LIVING TRUST</t>
  </si>
  <si>
    <t>LESLEE</t>
  </si>
  <si>
    <t>TESTA</t>
  </si>
  <si>
    <t xml:space="preserve">10247 W VILLA HERMOSA </t>
  </si>
  <si>
    <t>SUNSET RANCH 2 PARCEL H</t>
  </si>
  <si>
    <t>TESTA JAMES B &amp; LESLEE J</t>
  </si>
  <si>
    <t>DESERT SCHOOLS FCU</t>
  </si>
  <si>
    <t>PAULA</t>
  </si>
  <si>
    <t>JASON &amp; PAULA WILLIAMS</t>
  </si>
  <si>
    <t xml:space="preserve">10211 W VILLA HERMOSA </t>
  </si>
  <si>
    <t>WILLIAMS JASON L &amp; PAULA M</t>
  </si>
  <si>
    <t>JASON L WILLIAMS</t>
  </si>
  <si>
    <t>PAULA M WILLIAMS</t>
  </si>
  <si>
    <t>FRED</t>
  </si>
  <si>
    <t>IRWIN</t>
  </si>
  <si>
    <t>INGEBORG</t>
  </si>
  <si>
    <t>FRED &amp; INGEBORG IRWIN</t>
  </si>
  <si>
    <t xml:space="preserve">9753 W LOS GATOS DR </t>
  </si>
  <si>
    <t>EVERETT FINANCIAL INC</t>
  </si>
  <si>
    <t>IRWIN FRED G &amp; INGEBORG K</t>
  </si>
  <si>
    <t>TROY &amp; MICHELE MORRIS</t>
  </si>
  <si>
    <t xml:space="preserve">10746 W ROWEL RD </t>
  </si>
  <si>
    <t>MORRIS TROY &amp; MICHELE M</t>
  </si>
  <si>
    <t>CHESTER</t>
  </si>
  <si>
    <t>YUMENA</t>
  </si>
  <si>
    <t>ANNE</t>
  </si>
  <si>
    <t>RHEA</t>
  </si>
  <si>
    <t>CHESTER YUMENA &amp; ANNE RHEA</t>
  </si>
  <si>
    <t xml:space="preserve">10756 W ROWEL RD </t>
  </si>
  <si>
    <t>YUMENA CHESTER P M &amp; RHEA A</t>
  </si>
  <si>
    <t>POLOKOFF</t>
  </si>
  <si>
    <t>JAMES POLOKOFF</t>
  </si>
  <si>
    <t xml:space="preserve">10906 E THORNTON AVE </t>
  </si>
  <si>
    <t>POLOKOFF JAMES L</t>
  </si>
  <si>
    <t>MOLINA</t>
  </si>
  <si>
    <t>LOUIS MOLINA</t>
  </si>
  <si>
    <t xml:space="preserve">5265 S DANTE </t>
  </si>
  <si>
    <t>MURRAY</t>
  </si>
  <si>
    <t>JOANNA</t>
  </si>
  <si>
    <t>DAVID &amp; JOANNA MURRAY</t>
  </si>
  <si>
    <t xml:space="preserve">5012 S SETON AVE </t>
  </si>
  <si>
    <t>MURRAY DAVID M &amp; JOANNA S</t>
  </si>
  <si>
    <t>ROBERTSON</t>
  </si>
  <si>
    <t>JEFFREY &amp; JACQUELINE ROBERTSON</t>
  </si>
  <si>
    <t xml:space="preserve">4994 S SAN JACINTO ST </t>
  </si>
  <si>
    <t>ROBERTSON JEFFREY D &amp; JACQUELINE S</t>
  </si>
  <si>
    <t>CHRISTOPHER &amp; ASHLEY BROWN</t>
  </si>
  <si>
    <t xml:space="preserve">20341 E SUNSET CT </t>
  </si>
  <si>
    <t>R008</t>
  </si>
  <si>
    <t>PECANS PHASE 4</t>
  </si>
  <si>
    <t>BLANDFORD HOMES</t>
  </si>
  <si>
    <t>BROWN CHRISTOPHER T &amp; ASHLEY N</t>
  </si>
  <si>
    <t>CHRISTOPHER T BROWN</t>
  </si>
  <si>
    <t>ASHLEY N BROWN</t>
  </si>
  <si>
    <t>KENNETH &amp; CATHERINE LEWIS</t>
  </si>
  <si>
    <t xml:space="preserve">18126 W DESERT SAGE DR </t>
  </si>
  <si>
    <t>LEWIS KENNETH R &amp; CATHERINE S</t>
  </si>
  <si>
    <t>STEVEY</t>
  </si>
  <si>
    <t>JEFFREY &amp; RAYMOND STEVEY</t>
  </si>
  <si>
    <t xml:space="preserve">2630 E SUNRISE PL </t>
  </si>
  <si>
    <t>BELMONT ESTATES</t>
  </si>
  <si>
    <t>STEVEY JEFFREY THOMAS</t>
  </si>
  <si>
    <t>RAYMOND AMY</t>
  </si>
  <si>
    <t>STEVEY JEFFREY T</t>
  </si>
  <si>
    <t>WATTS</t>
  </si>
  <si>
    <t>IDA</t>
  </si>
  <si>
    <t>RYAN &amp; IDA WATTS</t>
  </si>
  <si>
    <t xml:space="preserve">10921 E TOLUCA AVE </t>
  </si>
  <si>
    <t>ALL HM LNDG INC</t>
  </si>
  <si>
    <t>WATTS RYAN W &amp; IDA M</t>
  </si>
  <si>
    <t>TAN</t>
  </si>
  <si>
    <t>DANIEL &amp; PAMELA TAN</t>
  </si>
  <si>
    <t xml:space="preserve">10922 E THATCHER AVE </t>
  </si>
  <si>
    <t>DANIEL TAN</t>
  </si>
  <si>
    <t>PAMELA TAN</t>
  </si>
  <si>
    <t>GRASS</t>
  </si>
  <si>
    <t>TABITHA</t>
  </si>
  <si>
    <t>WILLIAM &amp; TABITHA GRASS</t>
  </si>
  <si>
    <t xml:space="preserve">10910 E THATCHER AVE </t>
  </si>
  <si>
    <t>GRASS WILLIAM D &amp; TABITHA J T</t>
  </si>
  <si>
    <t>TISI</t>
  </si>
  <si>
    <t>KYLE &amp; JESSICA TISI</t>
  </si>
  <si>
    <t xml:space="preserve">10918 E THORNTON AVE </t>
  </si>
  <si>
    <t>FIRSTBANK</t>
  </si>
  <si>
    <t>FRANKLIN TN 37067</t>
  </si>
  <si>
    <t>KYLE TISI</t>
  </si>
  <si>
    <t>JESSICA TISI</t>
  </si>
  <si>
    <t>DARRELL</t>
  </si>
  <si>
    <t>RESENDEZ</t>
  </si>
  <si>
    <t>LESLIE</t>
  </si>
  <si>
    <t>DARRELL &amp; LESLIE RESENDEZ</t>
  </si>
  <si>
    <t xml:space="preserve">10912 E THORNTON AVE </t>
  </si>
  <si>
    <t>BANK OF ENGLAND</t>
  </si>
  <si>
    <t>LITTLE ROCK AR 72207</t>
  </si>
  <si>
    <t>DARRELL S RESENDEZ</t>
  </si>
  <si>
    <t>LESLIE E RESENDEZ</t>
  </si>
  <si>
    <t>BAUTISTA</t>
  </si>
  <si>
    <t>JESSE &amp; JOCELYN BAUTISTA</t>
  </si>
  <si>
    <t xml:space="preserve">27189 N 75TH DR </t>
  </si>
  <si>
    <t>BAUTISTA JESSE &amp; JOCELYN</t>
  </si>
  <si>
    <t>DELTORO</t>
  </si>
  <si>
    <t>EDNA</t>
  </si>
  <si>
    <t>FRANKLIN &amp; EDNA DELTORO</t>
  </si>
  <si>
    <t xml:space="preserve">7622 W BAJADA RD </t>
  </si>
  <si>
    <t>DEL TORO FRANKLIN &amp; EDNA</t>
  </si>
  <si>
    <t>KALEB</t>
  </si>
  <si>
    <t>LOVE</t>
  </si>
  <si>
    <t>KALEB &amp; TRACY LOVE</t>
  </si>
  <si>
    <t xml:space="preserve">2534 W BRISA DR </t>
  </si>
  <si>
    <t>LOVE KALEB H &amp; TRACY T</t>
  </si>
  <si>
    <t>FARZIDEH</t>
  </si>
  <si>
    <t>WILLIAM &amp; FARZIDEH LEE</t>
  </si>
  <si>
    <t xml:space="preserve">2514 W BALAO DR </t>
  </si>
  <si>
    <t>LEE WILLIAM R &amp; FARZIDEH A</t>
  </si>
  <si>
    <t>ISAM</t>
  </si>
  <si>
    <t>YATIM</t>
  </si>
  <si>
    <t>CHER</t>
  </si>
  <si>
    <t>ISAM &amp; CHER YATIM</t>
  </si>
  <si>
    <t xml:space="preserve">27405 N 16TH AVE </t>
  </si>
  <si>
    <t>YATIM ISAM B &amp; CHER</t>
  </si>
  <si>
    <t>GERNER</t>
  </si>
  <si>
    <t>SHERRY</t>
  </si>
  <si>
    <t>JAMES &amp; SHERRY GERNER</t>
  </si>
  <si>
    <t xml:space="preserve">1559 W QUAIL TRACK DR </t>
  </si>
  <si>
    <t>GERNER JAMES P &amp; SHERRY L</t>
  </si>
  <si>
    <t>JENNIFER &amp; DAYNE CRAWFORD</t>
  </si>
  <si>
    <t xml:space="preserve">2716 S 199TH AVE </t>
  </si>
  <si>
    <t>IRONWOOD HOMES LLC</t>
  </si>
  <si>
    <t>KANSAS CITY MO 64114</t>
  </si>
  <si>
    <t>DAYNE M CRAWFORD</t>
  </si>
  <si>
    <t>JENNIFER E CRAWFORD</t>
  </si>
  <si>
    <t>HAMILTON</t>
  </si>
  <si>
    <t>MICHAEL &amp; BRENDA HAMILTON</t>
  </si>
  <si>
    <t xml:space="preserve">2349 N ATWOOD CIR </t>
  </si>
  <si>
    <t>ESTANCIA AT MOUNTAIN BRIDGE</t>
  </si>
  <si>
    <t>ESTANCIA</t>
  </si>
  <si>
    <t>R-35</t>
  </si>
  <si>
    <t>HAMILTON MICHAEL J &amp; BRENDA L</t>
  </si>
  <si>
    <t>CHARLES LOPEZ</t>
  </si>
  <si>
    <t xml:space="preserve">242 N CROSSCREEK DR </t>
  </si>
  <si>
    <t>LOPEZ CHARLES J</t>
  </si>
  <si>
    <t>FISKE</t>
  </si>
  <si>
    <t>SHEREE</t>
  </si>
  <si>
    <t>RICHARD &amp; SHEREE FISKE</t>
  </si>
  <si>
    <t xml:space="preserve">10835 E CALYPSO AVE </t>
  </si>
  <si>
    <t>C089</t>
  </si>
  <si>
    <t>SIGNAL BUTTE ESTATES</t>
  </si>
  <si>
    <t>COPPERSTONE</t>
  </si>
  <si>
    <t>BRINTON ELEMENTARY SCHOOL</t>
  </si>
  <si>
    <t>FISKE RICHARD &amp; SHEREE M</t>
  </si>
  <si>
    <t>CHRISTOPHER BENJAMIN</t>
  </si>
  <si>
    <t xml:space="preserve">10826 E CALYPSO AVE </t>
  </si>
  <si>
    <t>BENJAMIN CHRISTOPHER M</t>
  </si>
  <si>
    <t>LUPITA</t>
  </si>
  <si>
    <t>STRAUSS</t>
  </si>
  <si>
    <t>LUPITA &amp; JEFFREY STRAUSS</t>
  </si>
  <si>
    <t xml:space="preserve">20853 W ELM WAY </t>
  </si>
  <si>
    <t>STRAUSS LUPITA &amp; JEFFREY K</t>
  </si>
  <si>
    <t>BACON</t>
  </si>
  <si>
    <t>CHENAIE</t>
  </si>
  <si>
    <t>MATTHEW &amp; CHENAIE BACON</t>
  </si>
  <si>
    <t xml:space="preserve">2525 N SPRINGFIELD ST </t>
  </si>
  <si>
    <t>BACON MATTHEW B &amp; CHENAIE A</t>
  </si>
  <si>
    <t>COLLEY</t>
  </si>
  <si>
    <t>DAVID COLLEY</t>
  </si>
  <si>
    <t xml:space="preserve">8875 W HOLLYWOOD AVE </t>
  </si>
  <si>
    <t>C005</t>
  </si>
  <si>
    <t>GRAND MANOR LOTS 43 44 AND 51 52 AMD</t>
  </si>
  <si>
    <t>GRAND MANOR</t>
  </si>
  <si>
    <t>CHEYENNE ELEMENTARY SCHOOL</t>
  </si>
  <si>
    <t>PEORIA HIGH SCHOOL</t>
  </si>
  <si>
    <t>GARRETT WALKER HOMES LLC</t>
  </si>
  <si>
    <t>VELOCITY FIN'L LLC</t>
  </si>
  <si>
    <t>COLLEY DAVID</t>
  </si>
  <si>
    <t>ARTURO</t>
  </si>
  <si>
    <t>ARTURO MARTINEZ</t>
  </si>
  <si>
    <t xml:space="preserve">2827 E DETROIT ST </t>
  </si>
  <si>
    <t>MOVEMENT MTG LLC</t>
  </si>
  <si>
    <t>MARTINEZ ARTURO R JR</t>
  </si>
  <si>
    <t>COHEN</t>
  </si>
  <si>
    <t>JOSHUA &amp; AMANDA COHEN</t>
  </si>
  <si>
    <t xml:space="preserve">22483 E CREOSOTE DR </t>
  </si>
  <si>
    <t>COHEN JOSHUA M &amp; AMANDA</t>
  </si>
  <si>
    <t>HOPKINS</t>
  </si>
  <si>
    <t>JOHN &amp; PATRICIA HOPKINS</t>
  </si>
  <si>
    <t xml:space="preserve">22440 E VIA DEL VERDE </t>
  </si>
  <si>
    <t>HOPKINS JOHN W</t>
  </si>
  <si>
    <t>ZACHARY</t>
  </si>
  <si>
    <t>SHINAVAR</t>
  </si>
  <si>
    <t>LAUREN</t>
  </si>
  <si>
    <t>ZACHARY &amp; LAUREN SHINAVAR</t>
  </si>
  <si>
    <t xml:space="preserve">8609 E LOBO AVE </t>
  </si>
  <si>
    <t>MISSION HEIGHTS</t>
  </si>
  <si>
    <t>BRIGHTON COMPANIES LLC</t>
  </si>
  <si>
    <t>SHINAVAR ZACHARY &amp; LAUREN</t>
  </si>
  <si>
    <t>BEST</t>
  </si>
  <si>
    <t>JOSHUA BEST</t>
  </si>
  <si>
    <t xml:space="preserve">899 S SWALLOW LN </t>
  </si>
  <si>
    <t>R089</t>
  </si>
  <si>
    <t>COPPER RANCH PHASE 2B</t>
  </si>
  <si>
    <t>COPPER RANCH</t>
  </si>
  <si>
    <t>BEST JOSHUA W</t>
  </si>
  <si>
    <t>DONALD &amp; DIANA JACKSON</t>
  </si>
  <si>
    <t xml:space="preserve">11157 E PAMPA AVE </t>
  </si>
  <si>
    <t>ACCELERATE MTG LLC</t>
  </si>
  <si>
    <t>NEWARK DE 19713</t>
  </si>
  <si>
    <t>DONALD L JACKSON</t>
  </si>
  <si>
    <t>DIANA JACKSON</t>
  </si>
  <si>
    <t>KONRAD</t>
  </si>
  <si>
    <t>SJOBLOM</t>
  </si>
  <si>
    <t>KONRAD &amp; TAMI SJOBLOM</t>
  </si>
  <si>
    <t xml:space="preserve">10926 E CALYPSO AVE </t>
  </si>
  <si>
    <t>PHH MTG CORP</t>
  </si>
  <si>
    <t>SJOBLOM KONRAD B &amp; TAMI L</t>
  </si>
  <si>
    <t>REBEKAH</t>
  </si>
  <si>
    <t>ERICKSEN</t>
  </si>
  <si>
    <t>REBEKAH ERICKSEN</t>
  </si>
  <si>
    <t xml:space="preserve">744 E HARWELL RD </t>
  </si>
  <si>
    <t>BEVENS</t>
  </si>
  <si>
    <t>EUGENE BEVENS</t>
  </si>
  <si>
    <t xml:space="preserve">101 S MESQUITE ST </t>
  </si>
  <si>
    <t>WICKENBURG</t>
  </si>
  <si>
    <t>FISHER ADD</t>
  </si>
  <si>
    <t>FISHER</t>
  </si>
  <si>
    <t>HASSAYAMPA ELEMENTARY SCHOOL</t>
  </si>
  <si>
    <t>VULTURE PEAK SCHOOL</t>
  </si>
  <si>
    <t>AFFIDAVIT/AFFIDAVIT OF DEATH</t>
  </si>
  <si>
    <t>DOUGLASS KAREN</t>
  </si>
  <si>
    <t>BEVENS EUGENE</t>
  </si>
  <si>
    <t>SANDSTROM</t>
  </si>
  <si>
    <t>CHARLES SANDSTROM</t>
  </si>
  <si>
    <t xml:space="preserve">11141 E PAMPA AVE </t>
  </si>
  <si>
    <t>CORNERSTONE BK</t>
  </si>
  <si>
    <t>SANDSTROM CHARLES M</t>
  </si>
  <si>
    <t>KUZO FAMILY LIVING TRUST</t>
  </si>
  <si>
    <t>GINGER</t>
  </si>
  <si>
    <t>KUZO</t>
  </si>
  <si>
    <t xml:space="preserve">2750 E DETROIT ST </t>
  </si>
  <si>
    <t xml:space="preserve">2875 W RAY RD #6 </t>
  </si>
  <si>
    <t>NATIONSTAR MTG LLC</t>
  </si>
  <si>
    <t>DALLAS TX 75019</t>
  </si>
  <si>
    <t>KUZO PETER &amp; GINGER</t>
  </si>
  <si>
    <t>WRENCHES</t>
  </si>
  <si>
    <t>WRENCHES &amp; DIANE SPEARS</t>
  </si>
  <si>
    <t xml:space="preserve">7922 W SIERRA VISTA DR </t>
  </si>
  <si>
    <t>SPEARS WRENCHES &amp; DIANE</t>
  </si>
  <si>
    <t>MICHAEL &amp; STEPHANIE CLARK</t>
  </si>
  <si>
    <t xml:space="preserve">2659 E GILLCREST RD </t>
  </si>
  <si>
    <t>CLARK MICHAEL &amp; STEPHANIE</t>
  </si>
  <si>
    <t>BILLY</t>
  </si>
  <si>
    <t>BAILEY</t>
  </si>
  <si>
    <t>BILLY &amp; SHANNON BAILEY</t>
  </si>
  <si>
    <t xml:space="preserve">2718 E HICKORY ST </t>
  </si>
  <si>
    <t>BAILEY BILLY R &amp; SHANNON F</t>
  </si>
  <si>
    <t>SCHULTZ</t>
  </si>
  <si>
    <t>KYLE &amp; CHRISTINA SCHULTZ</t>
  </si>
  <si>
    <t xml:space="preserve">10865 E CRESCENT AVE </t>
  </si>
  <si>
    <t>SOVEREIGN LENDING GROUP INC</t>
  </si>
  <si>
    <t>SCHULTZ KYLE CERTIS &amp; CHRISTINA M</t>
  </si>
  <si>
    <t>KYLE C SCHULTZ</t>
  </si>
  <si>
    <t>CHRISTINA M SCHULTZ</t>
  </si>
  <si>
    <t>RUSSELL</t>
  </si>
  <si>
    <t>HOLMES</t>
  </si>
  <si>
    <t>RUSSELL HOLMES</t>
  </si>
  <si>
    <t xml:space="preserve">2721 N BLACK ROCK RD </t>
  </si>
  <si>
    <t>HOLMES RUSSELL</t>
  </si>
  <si>
    <t>SCOVILL</t>
  </si>
  <si>
    <t>GREGORY SCOVILL</t>
  </si>
  <si>
    <t xml:space="preserve">817 E CONSTANCE WAY </t>
  </si>
  <si>
    <t>SCOVILL GREGORY</t>
  </si>
  <si>
    <t>MCCORMACK</t>
  </si>
  <si>
    <t>JINGLES</t>
  </si>
  <si>
    <t>ROBERT &amp; JINGLES MCCORMACK</t>
  </si>
  <si>
    <t xml:space="preserve">10909 E CRESCENT AVE </t>
  </si>
  <si>
    <t>MCCORMACK ROBERT E &amp; JINGLES</t>
  </si>
  <si>
    <t>DOUGLAS &amp; GLORIA SCOTT</t>
  </si>
  <si>
    <t xml:space="preserve">2287 N ACACIA WAY </t>
  </si>
  <si>
    <t>SCOTT DOUGLAS C &amp; GLORIA J</t>
  </si>
  <si>
    <t>LEMAR</t>
  </si>
  <si>
    <t>MCCABE</t>
  </si>
  <si>
    <t>LEMAR MCCABE</t>
  </si>
  <si>
    <t xml:space="preserve">231 N SENATE ST </t>
  </si>
  <si>
    <t>MCCABE LEMAR</t>
  </si>
  <si>
    <t>THOMAS &amp; TAMMY CECILIA</t>
  </si>
  <si>
    <t xml:space="preserve">292 N CROSSCREEK DR </t>
  </si>
  <si>
    <t>THOMAS DAVID &amp; TAMMY C</t>
  </si>
  <si>
    <t>BOWERS</t>
  </si>
  <si>
    <t>KELLIE</t>
  </si>
  <si>
    <t>STEPHEN &amp; KELLIE BOWERS</t>
  </si>
  <si>
    <t xml:space="preserve">1059 S REBER AVE </t>
  </si>
  <si>
    <t>CHOU TEAM REALTY INC</t>
  </si>
  <si>
    <t>BOWERS STEPHEN CRAIG &amp; KELLIE</t>
  </si>
  <si>
    <t>GUILLEN</t>
  </si>
  <si>
    <t>DENISSE</t>
  </si>
  <si>
    <t>MANRIQUEZ-JAUREQUI</t>
  </si>
  <si>
    <t>DANIEL GUILLEN &amp; DENISSE MANRIQUEZ-JAUREQUI</t>
  </si>
  <si>
    <t xml:space="preserve">6536 N 79TH LN </t>
  </si>
  <si>
    <t>GUILLEN DANIEL G</t>
  </si>
  <si>
    <t>MANRIQUEZ-JAUREGUI DENISSE</t>
  </si>
  <si>
    <t>DEANITA</t>
  </si>
  <si>
    <t>HENDERSON</t>
  </si>
  <si>
    <t>DEANITA HENDERSON</t>
  </si>
  <si>
    <t xml:space="preserve">18409 W SOUTHGATE AVE </t>
  </si>
  <si>
    <t>HENDERSON DEANITA T</t>
  </si>
  <si>
    <t>ELLEN</t>
  </si>
  <si>
    <t>RONALD &amp; ELLEN WHITE</t>
  </si>
  <si>
    <t xml:space="preserve">20848 W ELM WAY </t>
  </si>
  <si>
    <t>WHITE RONALD &amp; ELLEN</t>
  </si>
  <si>
    <t>MONIQUE</t>
  </si>
  <si>
    <t>TALECK</t>
  </si>
  <si>
    <t>MONIQUE &amp; CHRISTOPHER TALECK</t>
  </si>
  <si>
    <t xml:space="preserve">824 E GARY LN </t>
  </si>
  <si>
    <t>TALECK MONIQUE &amp; CHRISTOPHER</t>
  </si>
  <si>
    <t>ANTHONY &amp; LESLIE CASTILLO</t>
  </si>
  <si>
    <t xml:space="preserve">2036 N ACACIA WAY </t>
  </si>
  <si>
    <t>CASTILLO ANTHONY &amp; LESLIE</t>
  </si>
  <si>
    <t>PATRICK FISHER</t>
  </si>
  <si>
    <t xml:space="preserve">20491 W NELSON PL </t>
  </si>
  <si>
    <t>FISHER PATRICK M</t>
  </si>
  <si>
    <t>PETERSEN</t>
  </si>
  <si>
    <t>GARY &amp; JENNIFER PETERSEN</t>
  </si>
  <si>
    <t xml:space="preserve">3430 E RIVERDALE ST </t>
  </si>
  <si>
    <t>R028</t>
  </si>
  <si>
    <t>LEHI CROSSING PHASE 6</t>
  </si>
  <si>
    <t>LC</t>
  </si>
  <si>
    <t>ISHIKAWA ELEMENTARY SCHOOL</t>
  </si>
  <si>
    <t>STAPLEY JUNIOR HIGH SCHOOL</t>
  </si>
  <si>
    <t>PETERSEN GARY</t>
  </si>
  <si>
    <t>LYLE</t>
  </si>
  <si>
    <t>NICHOLAS LYLE</t>
  </si>
  <si>
    <t xml:space="preserve">20474 W BRIARWOOD DR </t>
  </si>
  <si>
    <t>LYLE NICHOLAS R</t>
  </si>
  <si>
    <t>WESLEY</t>
  </si>
  <si>
    <t>NABULSI</t>
  </si>
  <si>
    <t>WESLEY &amp; LAUREN NABULSI</t>
  </si>
  <si>
    <t xml:space="preserve">18476 W JONES AVE </t>
  </si>
  <si>
    <t>NABULSI WESLEY M &amp; LAUREN N</t>
  </si>
  <si>
    <t>RUBEN</t>
  </si>
  <si>
    <t>GAITAN</t>
  </si>
  <si>
    <t>RUBEN GAITAN</t>
  </si>
  <si>
    <t xml:space="preserve">10906 E CALYPSO AVE </t>
  </si>
  <si>
    <t>GAITAN RUBEN R</t>
  </si>
  <si>
    <t>RICK</t>
  </si>
  <si>
    <t>LOIDA</t>
  </si>
  <si>
    <t>RICK &amp; LOIDA GONZALEZ</t>
  </si>
  <si>
    <t xml:space="preserve">825 E GARY LN </t>
  </si>
  <si>
    <t>GONZALEZ RICK A &amp; LOIDA D</t>
  </si>
  <si>
    <t>SHIHADY</t>
  </si>
  <si>
    <t>STEVEN &amp; KIMBERLY SHIHADY</t>
  </si>
  <si>
    <t xml:space="preserve">2253 N BEVERLY PL </t>
  </si>
  <si>
    <t>SHIHADY STEVEN &amp; KIMBERLY</t>
  </si>
  <si>
    <t>CAMPA</t>
  </si>
  <si>
    <t>CAMPA &amp; JENNIFER LYNN</t>
  </si>
  <si>
    <t xml:space="preserve">18357 W SOUTHGATE AVE </t>
  </si>
  <si>
    <t>CAMPA ERIK R &amp; JENNIFER L</t>
  </si>
  <si>
    <t>ALVARADO-RODRIGUEZ</t>
  </si>
  <si>
    <t>ROSEMARY ALVARADO-RODRIGUEZ</t>
  </si>
  <si>
    <t xml:space="preserve">245 N BEDFORD ST </t>
  </si>
  <si>
    <t>FEDERAL HOUSING ADMINISTRATION</t>
  </si>
  <si>
    <t>SOLOMON</t>
  </si>
  <si>
    <t>MENDEZ</t>
  </si>
  <si>
    <t>SOLOMON MENDEZ</t>
  </si>
  <si>
    <t xml:space="preserve">2688 E GILLCREST RD </t>
  </si>
  <si>
    <t>MENDEZ SOLOMON D</t>
  </si>
  <si>
    <t>ROXANA</t>
  </si>
  <si>
    <t>MICHAEL &amp; ROXANA FLORES</t>
  </si>
  <si>
    <t xml:space="preserve">3349 E RUSSELL ST </t>
  </si>
  <si>
    <t>FIRST GUARANTY MORTGAGE CORP</t>
  </si>
  <si>
    <t>FLORES JR MICHAEL S</t>
  </si>
  <si>
    <t>FLORES ROXANA S</t>
  </si>
  <si>
    <t>OSHANA</t>
  </si>
  <si>
    <t>CHRISTOPHER &amp; ELIZABETH OSHANA</t>
  </si>
  <si>
    <t xml:space="preserve">4044 S 185TH LN </t>
  </si>
  <si>
    <t>OSHANA CHRISTOPHER S &amp; ELIZABETH A</t>
  </si>
  <si>
    <t>JACQUELINE &amp; LUKE CAMPBELL</t>
  </si>
  <si>
    <t xml:space="preserve">828 E CONSTANCE WAY </t>
  </si>
  <si>
    <t>CAMPBELL JACQUELINE &amp; LUKE</t>
  </si>
  <si>
    <t>HARRISON</t>
  </si>
  <si>
    <t>HARRISON &amp; JULIE ANN</t>
  </si>
  <si>
    <t xml:space="preserve">7996 W CHAMA DR </t>
  </si>
  <si>
    <t>SUNRISE VISTA</t>
  </si>
  <si>
    <t>FRONTIER ELEMENTARY SCHOOL</t>
  </si>
  <si>
    <t>SUNRISE MOUNTAIN HIGH SCHOOL</t>
  </si>
  <si>
    <t>HARRISON JOSEPH K &amp; JULIE A</t>
  </si>
  <si>
    <t>TRAVIS</t>
  </si>
  <si>
    <t>ALISON</t>
  </si>
  <si>
    <t>MATTHEW &amp; ALISON TRAVIS</t>
  </si>
  <si>
    <t xml:space="preserve">12940 W ASHLER HILLS DR </t>
  </si>
  <si>
    <t>TRAVIS MATTHEW G &amp; ALISON M</t>
  </si>
  <si>
    <t>SUSAN WEST</t>
  </si>
  <si>
    <t xml:space="preserve">27785 N SILVERADO RANCH RD </t>
  </si>
  <si>
    <t>WEST SUSAN K</t>
  </si>
  <si>
    <t>CARLOS</t>
  </si>
  <si>
    <t>CARLOS ESTRADA</t>
  </si>
  <si>
    <t xml:space="preserve">22238 E VIA DEL VERDE </t>
  </si>
  <si>
    <t>ESTRADA CARLOS</t>
  </si>
  <si>
    <t>YUBETA SUNSHINE NUSKA &amp; KIMBERLY NICHOLE</t>
  </si>
  <si>
    <t xml:space="preserve">12047 S 186TH AVE </t>
  </si>
  <si>
    <t>ESTRELLA  PARCEL 5.1</t>
  </si>
  <si>
    <t>ESTRELLA MOUNTAIN ELEMENTARY SCHOOL</t>
  </si>
  <si>
    <t>YUBETA SUNSHINE N &amp; KIMBERLY</t>
  </si>
  <si>
    <t>NISSER</t>
  </si>
  <si>
    <t>JUDITH NISSER</t>
  </si>
  <si>
    <t xml:space="preserve">2608 W RABJOHN RD </t>
  </si>
  <si>
    <t>NISSER JUDITH</t>
  </si>
  <si>
    <t>WILKINSON</t>
  </si>
  <si>
    <t>ESTELA</t>
  </si>
  <si>
    <t>GLENN &amp; ESTELA WILKINSON</t>
  </si>
  <si>
    <t xml:space="preserve">22273 S 227TH WAY </t>
  </si>
  <si>
    <t>WILKINSON GLENN</t>
  </si>
  <si>
    <t>GERARD</t>
  </si>
  <si>
    <t>WILLINGHAM</t>
  </si>
  <si>
    <t>GERARD WILLINGHAM</t>
  </si>
  <si>
    <t xml:space="preserve">10431 W YUMA ST </t>
  </si>
  <si>
    <t>TOLLESON</t>
  </si>
  <si>
    <t>CABALLO CROSSING PHASE 1</t>
  </si>
  <si>
    <t>TRES RIOS ELEMENTARY SCHOOL</t>
  </si>
  <si>
    <t>LA JOYA COMMUNITY HIGH SCHOOL</t>
  </si>
  <si>
    <t>WILLINGHAM GERARD</t>
  </si>
  <si>
    <t>YOCH</t>
  </si>
  <si>
    <t>BRIAN YOCH</t>
  </si>
  <si>
    <t xml:space="preserve">7215 E PORTOBELLO AVE </t>
  </si>
  <si>
    <t>R103</t>
  </si>
  <si>
    <t>DESERT PLACE AT MORRISON RANCH PHASE 2</t>
  </si>
  <si>
    <t>YOCH BRIAN K</t>
  </si>
  <si>
    <t>CHRISTIANSEN</t>
  </si>
  <si>
    <t>MEMORY</t>
  </si>
  <si>
    <t>DONALD &amp; MEMORY CHRISTIANSEN</t>
  </si>
  <si>
    <t xml:space="preserve">7228 E PAMPA AVE </t>
  </si>
  <si>
    <t>CHRISTIANSEN DONALD R &amp; MEMOR</t>
  </si>
  <si>
    <t>JOSHUA &amp; KELLY COOK</t>
  </si>
  <si>
    <t xml:space="preserve">10411 W PAPAGO ST </t>
  </si>
  <si>
    <t>COOK JOSHUA B &amp; KELLY J</t>
  </si>
  <si>
    <t>KARL</t>
  </si>
  <si>
    <t>KRUEGER</t>
  </si>
  <si>
    <t>KARL KRUEGER</t>
  </si>
  <si>
    <t xml:space="preserve">7255 E PORTOBELLO AVE </t>
  </si>
  <si>
    <t>DEED OF DISTRIBUTION</t>
  </si>
  <si>
    <t>KRUEGER RAYMOND F</t>
  </si>
  <si>
    <t>BURKEYBILE</t>
  </si>
  <si>
    <t>MARK &amp; EDITH BURKEYBILE</t>
  </si>
  <si>
    <t xml:space="preserve">7251 E ONZA AVE </t>
  </si>
  <si>
    <t>BURKEYBILE MARK S &amp; EDITH H</t>
  </si>
  <si>
    <t>SMITH &amp; LISA MARIE</t>
  </si>
  <si>
    <t xml:space="preserve">9405 W OREGON AVE </t>
  </si>
  <si>
    <t>C082</t>
  </si>
  <si>
    <t>COPPER COVE PHASE 2 2ND AMD</t>
  </si>
  <si>
    <t>COPPER COVE</t>
  </si>
  <si>
    <t>SUNSET RIDGE ELEMENTARY SCHOOL</t>
  </si>
  <si>
    <t>COPPER CANYON HIGH SCHOOL</t>
  </si>
  <si>
    <t>SMITH PAUL A &amp; LISA M</t>
  </si>
  <si>
    <t>CEDANIA</t>
  </si>
  <si>
    <t>PAYNE</t>
  </si>
  <si>
    <t>CEDANIA &amp; MONICA PAYNE</t>
  </si>
  <si>
    <t xml:space="preserve">7241 E OSAGE AVE </t>
  </si>
  <si>
    <t>CEDANIA D PAYNE</t>
  </si>
  <si>
    <t>MONICA PAYNE</t>
  </si>
  <si>
    <t>STARK &amp; MARY LOUISE</t>
  </si>
  <si>
    <t xml:space="preserve">7207 E ONZA AVE </t>
  </si>
  <si>
    <t>STARK JOHN W &amp; MARY L</t>
  </si>
  <si>
    <t>GALOIS</t>
  </si>
  <si>
    <t>AREVALO</t>
  </si>
  <si>
    <t>MARITZA</t>
  </si>
  <si>
    <t>JUAREZ</t>
  </si>
  <si>
    <t>GALOIS AREVALO &amp; MARITZA JUAREZ</t>
  </si>
  <si>
    <t xml:space="preserve">20343 E HUMMINGBIRD CT </t>
  </si>
  <si>
    <t>FULTON HOMES AT QUEEN CREEK STATION PARC</t>
  </si>
  <si>
    <t>AREVALO GALOIS</t>
  </si>
  <si>
    <t>JUAREZ MARITZA E</t>
  </si>
  <si>
    <t>ALLEN</t>
  </si>
  <si>
    <t>LIVELY</t>
  </si>
  <si>
    <t>ALLEN LIVELY</t>
  </si>
  <si>
    <t xml:space="preserve">1165 N 164TH AVE </t>
  </si>
  <si>
    <t>LA VENTILLA PHASE 1 AMD</t>
  </si>
  <si>
    <t>DESERT THUNDER SCHOOL</t>
  </si>
  <si>
    <t>LIVELY ALLEN J</t>
  </si>
  <si>
    <t>GOLOB</t>
  </si>
  <si>
    <t>CHRISTOPHER &amp; CINDY GOLOB</t>
  </si>
  <si>
    <t xml:space="preserve">29958 N 132ND DR </t>
  </si>
  <si>
    <t>R057</t>
  </si>
  <si>
    <t>TRILOGY WEST PHASE 1 PARCEL C40</t>
  </si>
  <si>
    <t>VISTANCIA WEST MARKETING L</t>
  </si>
  <si>
    <t>GOLOB CHRISTOPHER J</t>
  </si>
  <si>
    <t>BURTON</t>
  </si>
  <si>
    <t>ALISHA</t>
  </si>
  <si>
    <t>ADRIAN &amp; ALISHA BURTON</t>
  </si>
  <si>
    <t xml:space="preserve">7209 E OSAGE AVE </t>
  </si>
  <si>
    <t>BURTON ADRIAN W JR &amp; ALISHA M</t>
  </si>
  <si>
    <t>ELAINE</t>
  </si>
  <si>
    <t>R093</t>
  </si>
  <si>
    <t>NATHAN</t>
  </si>
  <si>
    <t>LETICIA</t>
  </si>
  <si>
    <t>NATHAN &amp; LETICIA ANDERSON</t>
  </si>
  <si>
    <t xml:space="preserve">1742 W LACEWOOD PL </t>
  </si>
  <si>
    <t>ANDERSON NATHAN L &amp; LETICIA M</t>
  </si>
  <si>
    <t>MISTRETTA</t>
  </si>
  <si>
    <t>DAWN MISTRETTA</t>
  </si>
  <si>
    <t xml:space="preserve">7220 E OLLA AVE </t>
  </si>
  <si>
    <t>MISTRETTA DAWN M</t>
  </si>
  <si>
    <t>EMILLIANO</t>
  </si>
  <si>
    <t>HILUA</t>
  </si>
  <si>
    <t>EMILLIANO HILUA</t>
  </si>
  <si>
    <t xml:space="preserve">7256 E OLLA AVE </t>
  </si>
  <si>
    <t>HILUA EMILLIANO H</t>
  </si>
  <si>
    <t>EMMONS</t>
  </si>
  <si>
    <t>KRISTINA EMMONS</t>
  </si>
  <si>
    <t xml:space="preserve">7239 E OLLA AVE </t>
  </si>
  <si>
    <t>EMMONS KRISTINA A</t>
  </si>
  <si>
    <t>LUNNEN</t>
  </si>
  <si>
    <t>SUNNY</t>
  </si>
  <si>
    <t>GUNNOE-LUNNEN</t>
  </si>
  <si>
    <t>THOMAS LUNNEN &amp; SUNNY GUNNOE-LUNNEN</t>
  </si>
  <si>
    <t xml:space="preserve">7258 E OSAGE AVE </t>
  </si>
  <si>
    <t>LUNNEN THOMAS W</t>
  </si>
  <si>
    <t>GUNNOE-LUNNEN SUNNY</t>
  </si>
  <si>
    <t>SIKKILA</t>
  </si>
  <si>
    <t>DENNIS SIKKILA</t>
  </si>
  <si>
    <t xml:space="preserve">3780 E RAKESTRAW LN </t>
  </si>
  <si>
    <t xml:space="preserve">3683 E CASSIA LN </t>
  </si>
  <si>
    <t>BRIDGES EAST PARCEL 3-2 LOTS 35 AND 36 R</t>
  </si>
  <si>
    <t>GILBERTSON THOMAS &amp; LANA</t>
  </si>
  <si>
    <t>HOMEOWNERS FIN'L GRP USA</t>
  </si>
  <si>
    <t>KLEN</t>
  </si>
  <si>
    <t>TIMOTHY KLEN</t>
  </si>
  <si>
    <t xml:space="preserve">20733 E RAVEN DR </t>
  </si>
  <si>
    <t>KLEN TIMOTHY G</t>
  </si>
  <si>
    <t>MCCREEDY</t>
  </si>
  <si>
    <t>SAMANTHA</t>
  </si>
  <si>
    <t>MICHAEL &amp; SAMANTHA MCCREEDY</t>
  </si>
  <si>
    <t xml:space="preserve">10428 E NATAL AVE </t>
  </si>
  <si>
    <t>R149</t>
  </si>
  <si>
    <t>MULBERRY PARCEL 2</t>
  </si>
  <si>
    <t>R-4.5</t>
  </si>
  <si>
    <t>AUGUSTA RANCH ELEMENTARY SCHOOL</t>
  </si>
  <si>
    <t>MCCREEDY MICHAEL J &amp; SAMANTHA</t>
  </si>
  <si>
    <t>TEDERS</t>
  </si>
  <si>
    <t>SUSAN TEDERS</t>
  </si>
  <si>
    <t xml:space="preserve">10458 E NIDO AVE </t>
  </si>
  <si>
    <t>VICTOR J TEDERS</t>
  </si>
  <si>
    <t>SUSAN O TENDERS</t>
  </si>
  <si>
    <t>HAYES FAMILY LIVING TRUST</t>
  </si>
  <si>
    <t>HAYES</t>
  </si>
  <si>
    <t xml:space="preserve">10426 E MONTEREY AVE </t>
  </si>
  <si>
    <t>HAYES GARY G &amp; JANEEN H</t>
  </si>
  <si>
    <t>KELLY &amp; ALEXIS SPENCER</t>
  </si>
  <si>
    <t xml:space="preserve">10414 E MONTEREY AVE </t>
  </si>
  <si>
    <t>KELLY J SPENCER</t>
  </si>
  <si>
    <t>ALEXIS S SPENCER</t>
  </si>
  <si>
    <t>JERAS</t>
  </si>
  <si>
    <t>AMY</t>
  </si>
  <si>
    <t>MICHAEL &amp; AMY JERAS</t>
  </si>
  <si>
    <t xml:space="preserve">10416 E NOPAL AVE </t>
  </si>
  <si>
    <t>MULBERRY PARCEL 4</t>
  </si>
  <si>
    <t>JERAS MICHAEL E &amp; AMY L</t>
  </si>
  <si>
    <t>OAKS</t>
  </si>
  <si>
    <t>JEFFREY OAKS</t>
  </si>
  <si>
    <t xml:space="preserve">10432 E NOPAL AVE </t>
  </si>
  <si>
    <t>OAKS JEFFREY J</t>
  </si>
  <si>
    <t>KRAMER</t>
  </si>
  <si>
    <t>CHANDRA</t>
  </si>
  <si>
    <t>GARY &amp; CHANDRA KRAMER</t>
  </si>
  <si>
    <t xml:space="preserve">22146 E CAMACHO RD </t>
  </si>
  <si>
    <t>CHARLESTON ESTATES LOTS 1 THRU 176 REPLA</t>
  </si>
  <si>
    <t>ENCLAVE</t>
  </si>
  <si>
    <t>KRAMER GARY H &amp; CHANDRA</t>
  </si>
  <si>
    <t>GUY</t>
  </si>
  <si>
    <t>GUY &amp; SANDRA WRIGHT</t>
  </si>
  <si>
    <t xml:space="preserve">14781 W PASADENA AVE </t>
  </si>
  <si>
    <t>WRIGHT GUY T &amp; SANDRA K</t>
  </si>
  <si>
    <t>BRANDY</t>
  </si>
  <si>
    <t>KRISTIE</t>
  </si>
  <si>
    <t>TOW</t>
  </si>
  <si>
    <t>BRANDY WILLINGHAM &amp; KRISTIE TOW</t>
  </si>
  <si>
    <t xml:space="preserve">29540 N 23RD LN </t>
  </si>
  <si>
    <t>WILLINGHAM BRANDY M</t>
  </si>
  <si>
    <t>TOW KRISTIE A</t>
  </si>
  <si>
    <t>DIFRANCESCO</t>
  </si>
  <si>
    <t>LENHART-DIFRANCESCO</t>
  </si>
  <si>
    <t>DOUGLAS &amp; LENHART-DIFRANCESCO DIFRANCESCO</t>
  </si>
  <si>
    <t xml:space="preserve">4216 E MARLENE DR </t>
  </si>
  <si>
    <t>DIFRANCESCO DOUGLAS J</t>
  </si>
  <si>
    <t>LENHART-DIFRANCESC JULIE</t>
  </si>
  <si>
    <t>ZACH</t>
  </si>
  <si>
    <t>YENNIE</t>
  </si>
  <si>
    <t>AMANDA-LEIGH</t>
  </si>
  <si>
    <t>ZACH &amp; AMANDA-LEIGH YENNIE</t>
  </si>
  <si>
    <t xml:space="preserve">10555 E MESETO AVE </t>
  </si>
  <si>
    <t>MULBERRY PARCEL 1</t>
  </si>
  <si>
    <t>YENNIE ZACH C &amp; AMANDA-LEIGH</t>
  </si>
  <si>
    <t>STOTTS</t>
  </si>
  <si>
    <t>CLAUDIA &amp; PAUL STOTTS</t>
  </si>
  <si>
    <t xml:space="preserve">10543 E MESETO AVE </t>
  </si>
  <si>
    <t>STOTTS CLAUDIA &amp; PAUL W</t>
  </si>
  <si>
    <t>DEERE EMPS CU</t>
  </si>
  <si>
    <t>MOLINE IL 61266-0339</t>
  </si>
  <si>
    <t>PAUL W STOTTS</t>
  </si>
  <si>
    <t>CLAUDIA STOTTS</t>
  </si>
  <si>
    <t>MICHAU</t>
  </si>
  <si>
    <t>MONTERO</t>
  </si>
  <si>
    <t>WILLIAM MICHAU &amp; MARIA MONTERO</t>
  </si>
  <si>
    <t xml:space="preserve">14799 W PASADENA AVE </t>
  </si>
  <si>
    <t>MICHAU WILLIAM G</t>
  </si>
  <si>
    <t>MONTERO MARIA A</t>
  </si>
  <si>
    <t>ADMIRALS BK</t>
  </si>
  <si>
    <t>HIGHTOWER</t>
  </si>
  <si>
    <t>MELVIN &amp; KAREN HIGHTOWER</t>
  </si>
  <si>
    <t xml:space="preserve">14673 W ORANGE DR </t>
  </si>
  <si>
    <t>HIGHTOWER MELVIN E &amp; KAREN S</t>
  </si>
  <si>
    <t>J MELVIN HIGHTOWER</t>
  </si>
  <si>
    <t>KAREN S HIGHTOWER</t>
  </si>
  <si>
    <t>CLARENCE</t>
  </si>
  <si>
    <t>RUTH</t>
  </si>
  <si>
    <t>CLARENCE &amp; RUTH MASON</t>
  </si>
  <si>
    <t xml:space="preserve">18186 W DESERT SAGE DR </t>
  </si>
  <si>
    <t>MASON CLARENCE J &amp; RUTH J</t>
  </si>
  <si>
    <t>HUGGINS</t>
  </si>
  <si>
    <t>CHRISTOPHER &amp; RENEE HUGGINS</t>
  </si>
  <si>
    <t xml:space="preserve">14721 W MEDLOCK DR </t>
  </si>
  <si>
    <t>HUGGINS CHRISTOPHER M &amp; RENEE</t>
  </si>
  <si>
    <t>HUGGINS CHRISTOPHER M &amp; RENEE L</t>
  </si>
  <si>
    <t>LEMALUAI</t>
  </si>
  <si>
    <t>TAUILO</t>
  </si>
  <si>
    <t>HUI</t>
  </si>
  <si>
    <t>SON</t>
  </si>
  <si>
    <t>LEMALUAI TAUILO &amp; HUI SON</t>
  </si>
  <si>
    <t xml:space="preserve">3247 E COCONINO DR </t>
  </si>
  <si>
    <t>TAUILO LEMALUAI JR &amp; SON H</t>
  </si>
  <si>
    <t>DIERKS</t>
  </si>
  <si>
    <t>ROBERT &amp; MELISSA DIERKS</t>
  </si>
  <si>
    <t xml:space="preserve">29842 N 119TH AVE </t>
  </si>
  <si>
    <t>R044</t>
  </si>
  <si>
    <t>VISTANCIA VILLAGE A PARCEL A16</t>
  </si>
  <si>
    <t>DIERKS ROBERT &amp; MELISSA</t>
  </si>
  <si>
    <t>ALFRED &amp; ELIZABETH CRAWFORD</t>
  </si>
  <si>
    <t xml:space="preserve">14738 W MEDLOCK DR </t>
  </si>
  <si>
    <t xml:space="preserve">PO BOX 93 </t>
  </si>
  <si>
    <t>CRAWFORD ALFRED L &amp; ELIZABETH</t>
  </si>
  <si>
    <t>TAFEHALI</t>
  </si>
  <si>
    <t>HENLEY</t>
  </si>
  <si>
    <t>MIJOLAE</t>
  </si>
  <si>
    <t>TAFEHALI &amp; MIJOLAE HENLEY</t>
  </si>
  <si>
    <t xml:space="preserve">896 E CLOVEFIELD ST </t>
  </si>
  <si>
    <t>LAYTON LAKES PHASE 2 GILBERT PARCEL 13</t>
  </si>
  <si>
    <t>HENLEY TAFEHALI M &amp; MIJOLAE M</t>
  </si>
  <si>
    <t>TAFEHALI M HENLEY</t>
  </si>
  <si>
    <t>MIJOLAE M HENLEY</t>
  </si>
  <si>
    <t>BALFOUR</t>
  </si>
  <si>
    <t>PILAR</t>
  </si>
  <si>
    <t>DELPILAR</t>
  </si>
  <si>
    <t>BALFOUR PILAR &amp; MARIA DELDELPILAR</t>
  </si>
  <si>
    <t xml:space="preserve">3323 E LANTANA PL </t>
  </si>
  <si>
    <t>LAYTON LAKES PARCEL 24</t>
  </si>
  <si>
    <t>DISCOVERY COLLECTION</t>
  </si>
  <si>
    <t>BALFOUR SCOTT A &amp; MARIA D</t>
  </si>
  <si>
    <t>FRANCIS</t>
  </si>
  <si>
    <t>MASURA</t>
  </si>
  <si>
    <t>SITI</t>
  </si>
  <si>
    <t>FRANCIS &amp; SITI MASURA</t>
  </si>
  <si>
    <t xml:space="preserve">7672 W QUAIL TRACK DR </t>
  </si>
  <si>
    <t>FRANCIS BRIAN D &amp; SITI M</t>
  </si>
  <si>
    <t>BRIAN D FRANCIS</t>
  </si>
  <si>
    <t>SITI M FRANCIS</t>
  </si>
  <si>
    <t>TOTAAN</t>
  </si>
  <si>
    <t>MELINDA</t>
  </si>
  <si>
    <t>MANUEL &amp; MELINDA TOTAAN</t>
  </si>
  <si>
    <t xml:space="preserve">4652 S CENTRIC WAY </t>
  </si>
  <si>
    <t>TOTAAN MANUEL R</t>
  </si>
  <si>
    <t>BOZOVICH</t>
  </si>
  <si>
    <t>LINDA BOZOVICH</t>
  </si>
  <si>
    <t xml:space="preserve">894 E DUMBARTON AVE </t>
  </si>
  <si>
    <t xml:space="preserve">894 E BUMBARTON AVE </t>
  </si>
  <si>
    <t>BOZOVICH LINDA M</t>
  </si>
  <si>
    <t>CHANCE</t>
  </si>
  <si>
    <t>BRODERICK</t>
  </si>
  <si>
    <t>CHANCE &amp; SONDRA BRODERICK</t>
  </si>
  <si>
    <t xml:space="preserve">3312 E LANTANA PL </t>
  </si>
  <si>
    <t>BRODERICK CHANCE W &amp; SONDRA W</t>
  </si>
  <si>
    <t>TOWERS</t>
  </si>
  <si>
    <t>REBECCA</t>
  </si>
  <si>
    <t>JERRY TOWERS &amp; REBECCA JACKSON</t>
  </si>
  <si>
    <t xml:space="preserve">26061 N 106TH DR </t>
  </si>
  <si>
    <t>TIERRA DEL RIO PARCEL 10B REPLAT</t>
  </si>
  <si>
    <t>SIENNA RIDGE</t>
  </si>
  <si>
    <t>PARKRIDGE ELEMENTARY SCHOOL</t>
  </si>
  <si>
    <t>TOWERS JERRY T</t>
  </si>
  <si>
    <t>JACKSON REBECCA D</t>
  </si>
  <si>
    <t>BEEBE</t>
  </si>
  <si>
    <t>CONRAD &amp; LISA BEEBE</t>
  </si>
  <si>
    <t xml:space="preserve">5021 S SAN JACINTO ST </t>
  </si>
  <si>
    <t>BEEBE CONRAD D &amp; LISA M</t>
  </si>
  <si>
    <t>OLSON</t>
  </si>
  <si>
    <t>TIMOTHY OLSON</t>
  </si>
  <si>
    <t xml:space="preserve">10746 W PASO TRL </t>
  </si>
  <si>
    <t>OLSON TIMOTHY S</t>
  </si>
  <si>
    <t>DUNCAN</t>
  </si>
  <si>
    <t>JAIME DUNCAN</t>
  </si>
  <si>
    <t xml:space="preserve">3105 E CHERRYWOOD PL </t>
  </si>
  <si>
    <t>R098</t>
  </si>
  <si>
    <t>RESIDENCES AT BELMONTE</t>
  </si>
  <si>
    <t>THE RESIDENCES AT BELMONTE</t>
  </si>
  <si>
    <t>DUNCAN JAIME D</t>
  </si>
  <si>
    <t>RODRIGUES</t>
  </si>
  <si>
    <t>MARCELA</t>
  </si>
  <si>
    <t>JEREMY &amp; MARCELA RODRIGUES</t>
  </si>
  <si>
    <t xml:space="preserve">10737 E STEARN AVE </t>
  </si>
  <si>
    <t>RODRIGUES JEREMY M &amp; MARCELA</t>
  </si>
  <si>
    <t>ELLSWORTH</t>
  </si>
  <si>
    <t>WIGGINS</t>
  </si>
  <si>
    <t>SESIL</t>
  </si>
  <si>
    <t>ELLSWORTH &amp; SESIL WIGGINS</t>
  </si>
  <si>
    <t xml:space="preserve">12774 W CARAVEO PL </t>
  </si>
  <si>
    <t>VISTANCIA PARCEL F4 PHASE 1</t>
  </si>
  <si>
    <t>WIGGINS ELLSWORTH E &amp; SESIL M</t>
  </si>
  <si>
    <t>BOWLES</t>
  </si>
  <si>
    <t>JAMES &amp; LESLIE BOWLES</t>
  </si>
  <si>
    <t xml:space="preserve">2909 W TUMBLEWEED DR </t>
  </si>
  <si>
    <t>BOWLES JAMES T &amp; LESLIE H</t>
  </si>
  <si>
    <t>DARREN</t>
  </si>
  <si>
    <t>BEARUP</t>
  </si>
  <si>
    <t>DARREN &amp; ANGELA BEARUP</t>
  </si>
  <si>
    <t xml:space="preserve">30916 N 27TH AVE </t>
  </si>
  <si>
    <t>SONORAN COMMONS PHASE 2</t>
  </si>
  <si>
    <t>C-C</t>
  </si>
  <si>
    <t>BEARUP DARREN R &amp; ANGELA R</t>
  </si>
  <si>
    <t>FAIRBANKS</t>
  </si>
  <si>
    <t>IXCHEL</t>
  </si>
  <si>
    <t>STEVEN &amp; IXCHEL FAIRBANKS</t>
  </si>
  <si>
    <t xml:space="preserve">321 N 79TH PL </t>
  </si>
  <si>
    <t>C033</t>
  </si>
  <si>
    <t>VILLAS AT MONTANA VISTA</t>
  </si>
  <si>
    <t>SALK ELEMENTARY SCHOOL</t>
  </si>
  <si>
    <t>FAIRBANKS STEVEN N</t>
  </si>
  <si>
    <t>PONCE</t>
  </si>
  <si>
    <t>JOHN &amp; DANETTE PONCE</t>
  </si>
  <si>
    <t xml:space="preserve">18569 W MACKENZIE DR </t>
  </si>
  <si>
    <t>PONCE JOHN J &amp; DANETTE K</t>
  </si>
  <si>
    <t>LUISA</t>
  </si>
  <si>
    <t>ANA</t>
  </si>
  <si>
    <t>GUTIERREZ &amp; ANA LUISA</t>
  </si>
  <si>
    <t xml:space="preserve">18621 W ACACIA DR </t>
  </si>
  <si>
    <t>GUTIERREZ PHILLIP E &amp; ANN L</t>
  </si>
  <si>
    <t>KENT</t>
  </si>
  <si>
    <t>KENT &amp; ANGELA TAYLOR</t>
  </si>
  <si>
    <t xml:space="preserve">2538 W GOLDEN PUMA TRL </t>
  </si>
  <si>
    <t>KENT A TAYLOR</t>
  </si>
  <si>
    <t>ANGELA D TAYLOR</t>
  </si>
  <si>
    <t>TRENT</t>
  </si>
  <si>
    <t>TOOMS</t>
  </si>
  <si>
    <t>TRENT &amp; JILL TOOMS</t>
  </si>
  <si>
    <t xml:space="preserve">9970 W BLUE SKY DR </t>
  </si>
  <si>
    <t>TOOMS TRENT D &amp; JILL J</t>
  </si>
  <si>
    <t>FRANCES</t>
  </si>
  <si>
    <t>ROBERT &amp; FRANCES MARTINEZ</t>
  </si>
  <si>
    <t xml:space="preserve">3250 E WISTERIA PL </t>
  </si>
  <si>
    <t>MARTINEZ ROBERT A &amp; FRANCES C</t>
  </si>
  <si>
    <t>ADOLPH</t>
  </si>
  <si>
    <t>PENA</t>
  </si>
  <si>
    <t>ADOLPH &amp; PATRICIA PENA</t>
  </si>
  <si>
    <t xml:space="preserve">11121 E TRAVERTINE AVE </t>
  </si>
  <si>
    <t>ALLIED FIRST BK SB</t>
  </si>
  <si>
    <t>PENA ADOLPH A</t>
  </si>
  <si>
    <t>PENA PATRICIA A</t>
  </si>
  <si>
    <t>KNAPP</t>
  </si>
  <si>
    <t>VICKY</t>
  </si>
  <si>
    <t>KEVIN &amp; VICKY KNAPP</t>
  </si>
  <si>
    <t xml:space="preserve">21414 E PECAN LN </t>
  </si>
  <si>
    <t>NORTH AMERICAN SAVINGS BANK FS</t>
  </si>
  <si>
    <t>KNAPP KEVIN &amp; VICKY</t>
  </si>
  <si>
    <t>CUSHING</t>
  </si>
  <si>
    <t>EMERY &amp; MICHELLE CUSHING</t>
  </si>
  <si>
    <t xml:space="preserve">3070 E MAHOGANY PL </t>
  </si>
  <si>
    <t>EMERY TODD C &amp; KELLI M C</t>
  </si>
  <si>
    <t>GUSTAVO</t>
  </si>
  <si>
    <t>SUAREZ</t>
  </si>
  <si>
    <t>RAQUEL</t>
  </si>
  <si>
    <t>GUSTAVO &amp; RAQUEL SUAREZ</t>
  </si>
  <si>
    <t xml:space="preserve">3219 E MAHOGANY PL </t>
  </si>
  <si>
    <t>SUAREZ GUSTAVO N</t>
  </si>
  <si>
    <t>DOSS</t>
  </si>
  <si>
    <t>MALACAD</t>
  </si>
  <si>
    <t>DOSS &amp; MARY MALACAD</t>
  </si>
  <si>
    <t xml:space="preserve">14661 W ORANGE DR </t>
  </si>
  <si>
    <t>HOMEPLUS MTG</t>
  </si>
  <si>
    <t>SAN DIEGO CA 92108</t>
  </si>
  <si>
    <t>MARTIN R DOSS</t>
  </si>
  <si>
    <t>MARY G DOSS</t>
  </si>
  <si>
    <t>VANASSE</t>
  </si>
  <si>
    <t>JOHN VANASSE</t>
  </si>
  <si>
    <t xml:space="preserve">12786 W CARAVEO PL </t>
  </si>
  <si>
    <t>VANASSE JOHN J</t>
  </si>
  <si>
    <t>CLYMER</t>
  </si>
  <si>
    <t>DANISE</t>
  </si>
  <si>
    <t>KARRA</t>
  </si>
  <si>
    <t>THOMAS CLYMER &amp; DANISE KARRA</t>
  </si>
  <si>
    <t xml:space="preserve">10083 W LOS GATOS DR </t>
  </si>
  <si>
    <t>CLYMER THOMAS A &amp; KARRA D</t>
  </si>
  <si>
    <t>MICHAEL GONZALES</t>
  </si>
  <si>
    <t xml:space="preserve">23074 S 223RD PL </t>
  </si>
  <si>
    <t>GONZALES MICHAEL</t>
  </si>
  <si>
    <t>ANGELIQUE</t>
  </si>
  <si>
    <t>SIZEMORE</t>
  </si>
  <si>
    <t>LEATHAM</t>
  </si>
  <si>
    <t>ANGELIQUE SIZEMORE &amp; RONALD LEATHAM</t>
  </si>
  <si>
    <t xml:space="preserve">3012 E BEECHNUT PL </t>
  </si>
  <si>
    <t>SIZEMORE ANGELIQUE R</t>
  </si>
  <si>
    <t>LEATHAM RONALD A</t>
  </si>
  <si>
    <t>KLAASEN ROBERT &amp; CANDICE L TRU</t>
  </si>
  <si>
    <t>CANDICE</t>
  </si>
  <si>
    <t>CANDICE KLAASENROBERT</t>
  </si>
  <si>
    <t xml:space="preserve">7977 W CHAMA DR </t>
  </si>
  <si>
    <t>KLAASEN ROBERT F &amp; CANDICE S</t>
  </si>
  <si>
    <t>HEFNER</t>
  </si>
  <si>
    <t>HEATHER HEFNER</t>
  </si>
  <si>
    <t xml:space="preserve">18639 W MACKENZIE DR </t>
  </si>
  <si>
    <t>HEFNER HEATHER M &amp; MICHAEL T</t>
  </si>
  <si>
    <t>PETERSON</t>
  </si>
  <si>
    <t>EDGER</t>
  </si>
  <si>
    <t>TERESA PETERSON &amp; CHRISTOPHER EDGER</t>
  </si>
  <si>
    <t xml:space="preserve">20615 W MINNEZONA AVE </t>
  </si>
  <si>
    <t>PETERSON TERESA H</t>
  </si>
  <si>
    <t>EDGER CHRISTOPHER L &amp; JENNIFER</t>
  </si>
  <si>
    <t>TERESA H PETERSON</t>
  </si>
  <si>
    <t>CHRISTOPHER L EDGER</t>
  </si>
  <si>
    <t>AUSTIN</t>
  </si>
  <si>
    <t>HANNAH</t>
  </si>
  <si>
    <t>ANDREW &amp; HANNAH AUSTIN</t>
  </si>
  <si>
    <t xml:space="preserve">10360 W ALYSSA LN </t>
  </si>
  <si>
    <t>TIERRA DEL RIO PARCELS 20A  AND 21A</t>
  </si>
  <si>
    <t>AUSTIN ANDREW D &amp; HANNAH N</t>
  </si>
  <si>
    <t>JAMES &amp; CRYSTAL JOHNSON</t>
  </si>
  <si>
    <t xml:space="preserve">22811 S 221ST PL </t>
  </si>
  <si>
    <t>JOHNSON JAMES L &amp; CRYSTAL M</t>
  </si>
  <si>
    <t>WELLETTE</t>
  </si>
  <si>
    <t>BRUCE &amp; CHRISTINE WELLETTE</t>
  </si>
  <si>
    <t xml:space="preserve">229 E POWELL WAY </t>
  </si>
  <si>
    <t>SOVEREIGN LNDG</t>
  </si>
  <si>
    <t>BRUCE WELLETTE</t>
  </si>
  <si>
    <t>CHRISTINE WELLETTE</t>
  </si>
  <si>
    <t>LINN</t>
  </si>
  <si>
    <t>JENI</t>
  </si>
  <si>
    <t>LINN &amp; JENI LYN</t>
  </si>
  <si>
    <t xml:space="preserve">22179 E VIA DEL VERDE </t>
  </si>
  <si>
    <t>LINN DANIEL P &amp; JENI L</t>
  </si>
  <si>
    <t>SCHUCH FAMILY TRUST</t>
  </si>
  <si>
    <t>SCHUCH</t>
  </si>
  <si>
    <t xml:space="preserve">5343 S GRENOBLE </t>
  </si>
  <si>
    <t>JASON &amp; KARI WILLIAMS</t>
  </si>
  <si>
    <t xml:space="preserve">29707 N 118TH DR </t>
  </si>
  <si>
    <t>WILLIAMS JASON &amp; KARI</t>
  </si>
  <si>
    <t>MATTHEW &amp; RACHEL HICKS</t>
  </si>
  <si>
    <t xml:space="preserve">9741 W SANDS DR </t>
  </si>
  <si>
    <t>HICKS MATTHEW M &amp; RACHEL V</t>
  </si>
  <si>
    <t>CASERTA</t>
  </si>
  <si>
    <t>PATRICK &amp; TERESA CASERTA</t>
  </si>
  <si>
    <t xml:space="preserve">10257 W WHITE FEATHER LN </t>
  </si>
  <si>
    <t>TIERRA DEL RIO PARCEL 22</t>
  </si>
  <si>
    <t>CASERTA PATRICK J &amp; TERESA L</t>
  </si>
  <si>
    <t>SHARKEY</t>
  </si>
  <si>
    <t>KIMBERLEY</t>
  </si>
  <si>
    <t>JAMES &amp; KIMBERLEY SHARKEY</t>
  </si>
  <si>
    <t xml:space="preserve">29402 N 119TH LN </t>
  </si>
  <si>
    <t>R065</t>
  </si>
  <si>
    <t>VISTANCIA PARCEL A18</t>
  </si>
  <si>
    <t>JAMES T SHARKEY</t>
  </si>
  <si>
    <t>KIMBERLY A SHARKEY</t>
  </si>
  <si>
    <t>SHELLEY</t>
  </si>
  <si>
    <t>CLAUDINE</t>
  </si>
  <si>
    <t>BRIAN &amp; CLAUDINE SHELLEY</t>
  </si>
  <si>
    <t xml:space="preserve">11884 W LONE TREE TRL </t>
  </si>
  <si>
    <t>IRVINE CA 92612</t>
  </si>
  <si>
    <t>SHELLEY BRIAN &amp; CLAUDINE</t>
  </si>
  <si>
    <t>MAYO EMPS FCU</t>
  </si>
  <si>
    <t>ROCHESTER MN 55902</t>
  </si>
  <si>
    <t>CLAUDINE SHELLEY</t>
  </si>
  <si>
    <t>BRIAN SHELLEY</t>
  </si>
  <si>
    <t>KEESEE</t>
  </si>
  <si>
    <t>LEAH</t>
  </si>
  <si>
    <t>SUZANNE</t>
  </si>
  <si>
    <t>KEESEE &amp; SUZANNE LEAH</t>
  </si>
  <si>
    <t xml:space="preserve">4226 E MARLENE DR </t>
  </si>
  <si>
    <t>KEESEE BRANDON S &amp; SUZANNE L</t>
  </si>
  <si>
    <t>GOMEZ</t>
  </si>
  <si>
    <t>BROOKE-GOMEZ</t>
  </si>
  <si>
    <t>ALBERT GOMEZ &amp; JUDY BROOKE-GOMEZ</t>
  </si>
  <si>
    <t xml:space="preserve">2547 W RABJOHN RD </t>
  </si>
  <si>
    <t>GOMEZ ALBERT R</t>
  </si>
  <si>
    <t>BROOKE-GOMEZ JUDY W</t>
  </si>
  <si>
    <t>AUGUSTYN</t>
  </si>
  <si>
    <t>NOELLE</t>
  </si>
  <si>
    <t>LISA &amp; NOELLE AUGUSTYN</t>
  </si>
  <si>
    <t xml:space="preserve">12792 W CARAVEO PL </t>
  </si>
  <si>
    <t>AUGUSTYN LISA A &amp; NOELLE R</t>
  </si>
  <si>
    <t>NORTON</t>
  </si>
  <si>
    <t>JANIS</t>
  </si>
  <si>
    <t>ROBERT &amp; JANIS NORTON</t>
  </si>
  <si>
    <t xml:space="preserve">10193 W WHITE FEATHER LN </t>
  </si>
  <si>
    <t>NORTON ROBERT H &amp; JANIS L N</t>
  </si>
  <si>
    <t>RAREY</t>
  </si>
  <si>
    <t>AARON &amp; DAWN RAREY</t>
  </si>
  <si>
    <t xml:space="preserve">28764 N 121ST LN </t>
  </si>
  <si>
    <t>VISTANCIA PARCEL A21 AND A22</t>
  </si>
  <si>
    <t>NATIONAL BK/KS CTY</t>
  </si>
  <si>
    <t>RAREY AARON C &amp; DAWN M</t>
  </si>
  <si>
    <t>TERRANCE</t>
  </si>
  <si>
    <t>TRINIDAD</t>
  </si>
  <si>
    <t>TERRANCE &amp; KIMBERLY TRINIDAD</t>
  </si>
  <si>
    <t xml:space="preserve">22211 E VIA DEL ORO </t>
  </si>
  <si>
    <t>TRINIDAD TERRANCE N &amp; KIMBERLY A</t>
  </si>
  <si>
    <t>DEWEY</t>
  </si>
  <si>
    <t>DEWEY &amp; DEWEY LINDSEY</t>
  </si>
  <si>
    <t xml:space="preserve">19718 E PEARTREE LN </t>
  </si>
  <si>
    <t>DEWEY TERRY &amp; LINDSEY</t>
  </si>
  <si>
    <t>KOENIG &amp; BARBARA ANNE</t>
  </si>
  <si>
    <t xml:space="preserve">15437 S 183RD LN </t>
  </si>
  <si>
    <t>R035</t>
  </si>
  <si>
    <t>MONTECITO VILLAGE AT ESTRELLA MTN RANCH</t>
  </si>
  <si>
    <t>KOENIG HAROLD P &amp; BARBARA A</t>
  </si>
  <si>
    <t>BRET</t>
  </si>
  <si>
    <t>STOUDER</t>
  </si>
  <si>
    <t>BRET &amp; TANYA STOUDER</t>
  </si>
  <si>
    <t xml:space="preserve">19257 E PINE VALLEY DR </t>
  </si>
  <si>
    <t>ALVARADO ROBERT J</t>
  </si>
  <si>
    <t>STOUDER BRET D</t>
  </si>
  <si>
    <t>GRAAFF</t>
  </si>
  <si>
    <t>VANDE</t>
  </si>
  <si>
    <t>BRIEANN</t>
  </si>
  <si>
    <t>GRAAFF &amp; BRIEANN VANDE</t>
  </si>
  <si>
    <t xml:space="preserve">5357 S PARKWOOD </t>
  </si>
  <si>
    <t>VAN DE GRAAFF KARNAS G &amp; BRIE</t>
  </si>
  <si>
    <t>MAKIA</t>
  </si>
  <si>
    <t>MATTHEW &amp; MAKIA KING</t>
  </si>
  <si>
    <t xml:space="preserve">4888 S MCMINN DR </t>
  </si>
  <si>
    <t>KING MATTHEW D &amp; MAKIA R</t>
  </si>
  <si>
    <t>ALCOTT</t>
  </si>
  <si>
    <t>MICHAEL &amp; RENEE ALCOTT</t>
  </si>
  <si>
    <t xml:space="preserve">19905 E APRICOT LN </t>
  </si>
  <si>
    <t>ALCOTT MICHAEL &amp; RENEE</t>
  </si>
  <si>
    <t>TURNER</t>
  </si>
  <si>
    <t>BRIAN &amp; CATHERINE TURNER</t>
  </si>
  <si>
    <t xml:space="preserve">10636 E LUMIERE AVE </t>
  </si>
  <si>
    <t>TURNER BRIAN A &amp; CATHERINE</t>
  </si>
  <si>
    <t>MALFITANO</t>
  </si>
  <si>
    <t>MICHAEL &amp; EMILY MALFITANO</t>
  </si>
  <si>
    <t xml:space="preserve">21399 E PECAN LN </t>
  </si>
  <si>
    <t>MALFITANO MICHAEL A &amp; EMILY M</t>
  </si>
  <si>
    <t>CONDRAY</t>
  </si>
  <si>
    <t>ZEGLER</t>
  </si>
  <si>
    <t>JACQUELINE CONDRAY &amp; MICHAEL ZEGLER</t>
  </si>
  <si>
    <t xml:space="preserve">2327 W DUANE LN </t>
  </si>
  <si>
    <t>ZEGLER MICHAEL A &amp; KIMBERLY A</t>
  </si>
  <si>
    <t>CONDRAY JACQUELINE R</t>
  </si>
  <si>
    <t>LITTRELL</t>
  </si>
  <si>
    <t>LARRY &amp; SARA LITTRELL</t>
  </si>
  <si>
    <t xml:space="preserve">5209 N 145TH DR </t>
  </si>
  <si>
    <t>LITTRELL LARRY E</t>
  </si>
  <si>
    <t>SOLDO</t>
  </si>
  <si>
    <t>LIZETTE</t>
  </si>
  <si>
    <t>JOHN &amp; LIZETTE SOLDO</t>
  </si>
  <si>
    <t xml:space="preserve">3700 E AQUARIUS PL </t>
  </si>
  <si>
    <t>SOLDO JOHN G &amp; LIZETTE</t>
  </si>
  <si>
    <t>COLONNESE MICH A &amp; CAROL A TRU</t>
  </si>
  <si>
    <t>A &amp; CAROL COLONNESEMICH</t>
  </si>
  <si>
    <t xml:space="preserve">5266 S ABBEY </t>
  </si>
  <si>
    <t>COLONNESE MICHAEL A &amp; CAROL A</t>
  </si>
  <si>
    <t>NICHOLE</t>
  </si>
  <si>
    <t>KENNETH &amp; NICHOLE PETERSON</t>
  </si>
  <si>
    <t xml:space="preserve">5328 S PARKWOOD </t>
  </si>
  <si>
    <t>PETERSON KENNETH J &amp; NICHOLE</t>
  </si>
  <si>
    <t>PETERSON KENNETH J JR &amp; NICHOLE K</t>
  </si>
  <si>
    <t>STEPHEN &amp; PATRICIA HUNT</t>
  </si>
  <si>
    <t xml:space="preserve">10851 E THATCHER AVE </t>
  </si>
  <si>
    <t>HUNT STEPHEN W &amp; PATRICIA D</t>
  </si>
  <si>
    <t>MICHAEL CLARK</t>
  </si>
  <si>
    <t xml:space="preserve">22055 E MAYA RD </t>
  </si>
  <si>
    <t>PROVINCE</t>
  </si>
  <si>
    <t>HOMESTREET BANK</t>
  </si>
  <si>
    <t>CALRK MICHAEL JAMES</t>
  </si>
  <si>
    <t>HERNANDEZ FAMILY TRUST</t>
  </si>
  <si>
    <t>ARLENE</t>
  </si>
  <si>
    <t>WARREN-HERNANDEZ</t>
  </si>
  <si>
    <t xml:space="preserve">32372 N 129TH DR </t>
  </si>
  <si>
    <t>VISTANCIA PARCEL F3 PHASE 2</t>
  </si>
  <si>
    <t>DALLAS TX 75252</t>
  </si>
  <si>
    <t>JOSE M HERNANDEZ</t>
  </si>
  <si>
    <t>ARLENE E WARREN-HERNANDEZ</t>
  </si>
  <si>
    <t>MCLENDON</t>
  </si>
  <si>
    <t>DONALD &amp; REBECCA MCLENDON</t>
  </si>
  <si>
    <t xml:space="preserve">5151 S ELLESMERE ST </t>
  </si>
  <si>
    <t>MCLENDON DONALD T &amp; REBECCA J</t>
  </si>
  <si>
    <t>FOSTER &amp; KIMBERLY ANN</t>
  </si>
  <si>
    <t xml:space="preserve">20714 S 196TH PL </t>
  </si>
  <si>
    <t>FOSTER MICHAEL A &amp; KIMBERLY A</t>
  </si>
  <si>
    <t>BIRMINGHAM-WILLIAMS</t>
  </si>
  <si>
    <t>NATHAN WILLIAMS &amp; LAURA BIRMINGHAM-WILLIAMS</t>
  </si>
  <si>
    <t xml:space="preserve">1650 N RED CLF </t>
  </si>
  <si>
    <t>WILLIAMS NATHAN C</t>
  </si>
  <si>
    <t>BIRMINGHAM-WILLIAM LAURA M</t>
  </si>
  <si>
    <t>ENGLERT</t>
  </si>
  <si>
    <t>ROBERT &amp; NICOLE ENGLERT</t>
  </si>
  <si>
    <t xml:space="preserve">2218 E BROOKS FARM RD </t>
  </si>
  <si>
    <t>GREENFIELD FARMS</t>
  </si>
  <si>
    <t>VIP CUSTOM HOMES LLC</t>
  </si>
  <si>
    <t>ENGLERT ROBERT J &amp; NICOLE D</t>
  </si>
  <si>
    <t>MARINO</t>
  </si>
  <si>
    <t>CHARLES &amp; CHRISTINE MARINO</t>
  </si>
  <si>
    <t xml:space="preserve">6837 W CHARTER OAK RD </t>
  </si>
  <si>
    <t>INTERCAP LNDG</t>
  </si>
  <si>
    <t>MARINO CHARLES O &amp; CHRISTINE B</t>
  </si>
  <si>
    <t>LANE</t>
  </si>
  <si>
    <t>JOHNSON &amp; MELANIE LANE</t>
  </si>
  <si>
    <t xml:space="preserve">3332 E PENEDES DR </t>
  </si>
  <si>
    <t>JOHNSON BRADLEY J &amp; MELANIE L</t>
  </si>
  <si>
    <t>BRYANT</t>
  </si>
  <si>
    <t>BRYANT JONES</t>
  </si>
  <si>
    <t xml:space="preserve">14729 W READE AVE </t>
  </si>
  <si>
    <t>JONES BRYANT D</t>
  </si>
  <si>
    <t>BRYANT D JONES</t>
  </si>
  <si>
    <t>PETER</t>
  </si>
  <si>
    <t>PETER &amp; BEVERLY YOUNG</t>
  </si>
  <si>
    <t xml:space="preserve">2663 E DANIEL DR </t>
  </si>
  <si>
    <t>YOUNG PETER W &amp; BEVERLY E</t>
  </si>
  <si>
    <t>DUBOSE</t>
  </si>
  <si>
    <t>RENDER</t>
  </si>
  <si>
    <t>WILLIAM &amp; RENDER DUBOSE</t>
  </si>
  <si>
    <t xml:space="preserve">18124 W ACACIA DR </t>
  </si>
  <si>
    <t>DUBOSE WILLIAM &amp; RENDER R</t>
  </si>
  <si>
    <t>JOEL</t>
  </si>
  <si>
    <t>MARTIN</t>
  </si>
  <si>
    <t>JOEL MARTIN</t>
  </si>
  <si>
    <t xml:space="preserve">2914 W AMBER SUN DR </t>
  </si>
  <si>
    <t>JOEL B MARTIN</t>
  </si>
  <si>
    <t>NAYLOR</t>
  </si>
  <si>
    <t>DARCIE</t>
  </si>
  <si>
    <t>JEFFREY &amp; DARCIE NAYLOR</t>
  </si>
  <si>
    <t xml:space="preserve">21425 E CALDWELLS WAY </t>
  </si>
  <si>
    <t>NAYLOR JEFFREY &amp; DARCIE</t>
  </si>
  <si>
    <t>LAUX</t>
  </si>
  <si>
    <t>JANE</t>
  </si>
  <si>
    <t>JAMES &amp; JANE LAUX</t>
  </si>
  <si>
    <t xml:space="preserve">10116 E THATCHER AVE </t>
  </si>
  <si>
    <t>LAUX JAMES &amp; JANE</t>
  </si>
  <si>
    <t>CALLAHAN</t>
  </si>
  <si>
    <t>JASON &amp; CATHERINE CALLAHAN</t>
  </si>
  <si>
    <t xml:space="preserve">10507 E SHEFFIELD DR </t>
  </si>
  <si>
    <t>CALLAHAN JASON J</t>
  </si>
  <si>
    <t>BARNETT</t>
  </si>
  <si>
    <t>DAVID BARNETT</t>
  </si>
  <si>
    <t xml:space="preserve">4896 N GRANDVIEW DR </t>
  </si>
  <si>
    <t>CALIBER HOME LOANS INC</t>
  </si>
  <si>
    <t>BARNETT DAVID J</t>
  </si>
  <si>
    <t>VONADA</t>
  </si>
  <si>
    <t>KERRY</t>
  </si>
  <si>
    <t>JAMES &amp; KERRY VONADA</t>
  </si>
  <si>
    <t xml:space="preserve">11995 W SHIFTING SANDS DR </t>
  </si>
  <si>
    <t>VONADA JAMES &amp; KERRY</t>
  </si>
  <si>
    <t>ANGELO</t>
  </si>
  <si>
    <t>DEMETRES</t>
  </si>
  <si>
    <t>JULIANN</t>
  </si>
  <si>
    <t>ANGELO &amp; JULIANN DEMETRES</t>
  </si>
  <si>
    <t xml:space="preserve">14571 W MEDLOCK DR </t>
  </si>
  <si>
    <t>DEMETRES ANGELO &amp; JULIANN</t>
  </si>
  <si>
    <t>JULIANN DEMETRES</t>
  </si>
  <si>
    <t>SCHUMACHER</t>
  </si>
  <si>
    <t>JACLYN</t>
  </si>
  <si>
    <t>NICHOLAS &amp; JACLYN SCHUMACHER</t>
  </si>
  <si>
    <t xml:space="preserve">26046 N 106TH DR </t>
  </si>
  <si>
    <t>SCHUMACHER NICHOLAS P &amp; JACLY</t>
  </si>
  <si>
    <t>DONALD JAMES AND CHERYL JOHNSON BREILAND TR</t>
  </si>
  <si>
    <t xml:space="preserve">10155 E TUPELO AVE </t>
  </si>
  <si>
    <t>BREILAND DONALD J &amp; CHERYL J</t>
  </si>
  <si>
    <t>FOLMAR</t>
  </si>
  <si>
    <t>NATHAN FOLMAR</t>
  </si>
  <si>
    <t xml:space="preserve">4211 E RAWHIDE ST </t>
  </si>
  <si>
    <t>FOLMAR NATHAN LESLIE</t>
  </si>
  <si>
    <t>VALENTINA</t>
  </si>
  <si>
    <t>DARNA</t>
  </si>
  <si>
    <t>GEORGE DAVIS &amp; VALENTINA DARNA</t>
  </si>
  <si>
    <t xml:space="preserve">10850 W SWAYBACK PASS </t>
  </si>
  <si>
    <t>DAVIS GEORGE E &amp; DARNA V</t>
  </si>
  <si>
    <t>RICKEY</t>
  </si>
  <si>
    <t>RICKEY &amp; JACQUELINE WILLIAMS</t>
  </si>
  <si>
    <t xml:space="preserve">29824 N 119TH AVE </t>
  </si>
  <si>
    <t>STONEGATE MTG CORP</t>
  </si>
  <si>
    <t>WILLIAMS RICKEY V &amp; JACQUELINE</t>
  </si>
  <si>
    <t>MCCOOL</t>
  </si>
  <si>
    <t>LARRY &amp; PATRICIA MCCOOL</t>
  </si>
  <si>
    <t xml:space="preserve">10503 E SHEFFIELD DR </t>
  </si>
  <si>
    <t>MCCOOL LARRY L &amp; PATRICIA A</t>
  </si>
  <si>
    <t>PEARL</t>
  </si>
  <si>
    <t>RUBY</t>
  </si>
  <si>
    <t>MURRAY &amp; RUBY PEARL</t>
  </si>
  <si>
    <t xml:space="preserve">18197 W ACACIA DR </t>
  </si>
  <si>
    <t>MURRAY PAUL A &amp; RUBY P</t>
  </si>
  <si>
    <t>CHRIS</t>
  </si>
  <si>
    <t>MCDERMOTT</t>
  </si>
  <si>
    <t>CHRIS MCDERMOTT</t>
  </si>
  <si>
    <t xml:space="preserve">6826 W CHARTER OAK RD </t>
  </si>
  <si>
    <t>MCDERMOTT CHRIS</t>
  </si>
  <si>
    <t>GUSSIE</t>
  </si>
  <si>
    <t>GUSSIE WILLIAMS</t>
  </si>
  <si>
    <t xml:space="preserve">10852 W BRONCO TRL </t>
  </si>
  <si>
    <t>GUSSIE M WILLIAMS</t>
  </si>
  <si>
    <t>ROBERT STEWART</t>
  </si>
  <si>
    <t xml:space="preserve">3409 E PENEDES DR </t>
  </si>
  <si>
    <t>STEWART ROBERT J</t>
  </si>
  <si>
    <t>RONALD &amp; JANET TAYLOR</t>
  </si>
  <si>
    <t xml:space="preserve">10535 E SHEFFIELD DR </t>
  </si>
  <si>
    <t>TAYLOR RONALD D</t>
  </si>
  <si>
    <t>UNITED STATES SENATE FCU</t>
  </si>
  <si>
    <t>TAYLOR JR RONALD D</t>
  </si>
  <si>
    <t>TAYLOR JANET</t>
  </si>
  <si>
    <t>ADKISON</t>
  </si>
  <si>
    <t>TAMATHA</t>
  </si>
  <si>
    <t>RONALD &amp; TAMATHA ADKISON</t>
  </si>
  <si>
    <t xml:space="preserve">5099 S LEISURE CT </t>
  </si>
  <si>
    <t>ADKISON RONALD S &amp; TAMATHA</t>
  </si>
  <si>
    <t>DAVID &amp; MARIA WILLIAMS</t>
  </si>
  <si>
    <t xml:space="preserve">10155 E THEOREM DR </t>
  </si>
  <si>
    <t>EASTMARK DEV UNIT 7 NORTH PARCELS 7-13 T</t>
  </si>
  <si>
    <t>WILLIAMS JR DAVID</t>
  </si>
  <si>
    <t>WILLIAMS MARIA</t>
  </si>
  <si>
    <t>PEARCE</t>
  </si>
  <si>
    <t>HILDA</t>
  </si>
  <si>
    <t>SNOWDEN</t>
  </si>
  <si>
    <t>ALBERT PEARCE &amp; HILDA SNOWDEN</t>
  </si>
  <si>
    <t xml:space="preserve">10380 W ALYSSA LN </t>
  </si>
  <si>
    <t>PEARCE ALBERT E</t>
  </si>
  <si>
    <t>SNOWDEN HILDA Y</t>
  </si>
  <si>
    <t>CAMACHO</t>
  </si>
  <si>
    <t>ORALIA</t>
  </si>
  <si>
    <t>MARTIN &amp; ORALIA CAMACHO</t>
  </si>
  <si>
    <t xml:space="preserve">14735 W READE AVE </t>
  </si>
  <si>
    <t>CAMACHO MARTIN &amp; ORALIA</t>
  </si>
  <si>
    <t>DECONINCK</t>
  </si>
  <si>
    <t>JUNKO</t>
  </si>
  <si>
    <t>PETER &amp; JUNKO DECONINCK</t>
  </si>
  <si>
    <t xml:space="preserve">10542 E SIMONE AVE </t>
  </si>
  <si>
    <t>DE CONINCK PETER &amp; JUNKO</t>
  </si>
  <si>
    <t>CONINCK PETER DE &amp; JUNKO DE</t>
  </si>
  <si>
    <t>GILKES</t>
  </si>
  <si>
    <t>ISABELLA</t>
  </si>
  <si>
    <t>SIMON &amp; ISABELLA GILKES</t>
  </si>
  <si>
    <t xml:space="preserve">2888 E BELLFLOWER DR </t>
  </si>
  <si>
    <t>GILKES SIMON J &amp; ISABELLA E</t>
  </si>
  <si>
    <t>WOLFENDEN</t>
  </si>
  <si>
    <t>DINA</t>
  </si>
  <si>
    <t>JAMES &amp; DINA WOLFENDEN</t>
  </si>
  <si>
    <t xml:space="preserve">2605 W GOLDEN PUMA TRL </t>
  </si>
  <si>
    <t>WOLFENDEN JAMES D &amp; DINA M</t>
  </si>
  <si>
    <t>ZEIGLER</t>
  </si>
  <si>
    <t>OLIVIA</t>
  </si>
  <si>
    <t>DEREK &amp; OLIVIA ZEIGLER</t>
  </si>
  <si>
    <t xml:space="preserve">19676 E WALNUT RD </t>
  </si>
  <si>
    <t>ZEIGLER DEREK W &amp; OLIVIA J</t>
  </si>
  <si>
    <t>MCLAUGHLIN</t>
  </si>
  <si>
    <t>CASSIE</t>
  </si>
  <si>
    <t>CHAD &amp; CASSIE MCLAUGHLIN</t>
  </si>
  <si>
    <t xml:space="preserve">4406 N 186TH LN </t>
  </si>
  <si>
    <t>MCLAUGHLIN CHAD &amp; CASSIE</t>
  </si>
  <si>
    <t>YOST</t>
  </si>
  <si>
    <t>MURDOCK-YOST</t>
  </si>
  <si>
    <t>SCOTT YOST &amp; KAREN MURDOCK-YOST</t>
  </si>
  <si>
    <t xml:space="preserve">21226 E VALLEJO ST </t>
  </si>
  <si>
    <t>YOST SCOTT</t>
  </si>
  <si>
    <t>MURDOCK-YOST KAREN</t>
  </si>
  <si>
    <t>AMERICA FIRST FCU</t>
  </si>
  <si>
    <t>RIVERDALE UT 84405</t>
  </si>
  <si>
    <t>SCOTT YOST</t>
  </si>
  <si>
    <t>KAREN MURDOCK-YOST</t>
  </si>
  <si>
    <t>NOTTINGHAM</t>
  </si>
  <si>
    <t>TRAVIS NOTTINGHAM</t>
  </si>
  <si>
    <t xml:space="preserve">39622 N 10TH ST </t>
  </si>
  <si>
    <t>H008</t>
  </si>
  <si>
    <t>PREMIER EQUITY SOLUTIONS L</t>
  </si>
  <si>
    <t>PARKSIDE LNDG</t>
  </si>
  <si>
    <t>SAN FRANCISCO CA 94102</t>
  </si>
  <si>
    <t>BAKER</t>
  </si>
  <si>
    <t>MARTHA</t>
  </si>
  <si>
    <t>WILLIAM &amp; MARTHA BAKER</t>
  </si>
  <si>
    <t xml:space="preserve">13836 E YOLANTHA ST </t>
  </si>
  <si>
    <t>DESERT SUN ELEMENTARY SCHOOL</t>
  </si>
  <si>
    <t>BAKER WILLIAM D &amp; MARTHA E</t>
  </si>
  <si>
    <t>MICHAEL &amp; BEVERLY LAWRENCE</t>
  </si>
  <si>
    <t xml:space="preserve">23829 W MOHAVE ST </t>
  </si>
  <si>
    <t>R039</t>
  </si>
  <si>
    <t>WATSON ESTATES</t>
  </si>
  <si>
    <t>PUD</t>
  </si>
  <si>
    <t>INCA ELEMENTARY SCHOOL</t>
  </si>
  <si>
    <t>YOUNGKER HIGH SCHOOL</t>
  </si>
  <si>
    <t>LAWRENCE MICHAEL &amp; BEVERLY</t>
  </si>
  <si>
    <t>KNIFE</t>
  </si>
  <si>
    <t>MEGHAN</t>
  </si>
  <si>
    <t>TRAVIS &amp; MEGHAN KNIFE</t>
  </si>
  <si>
    <t xml:space="preserve">1679 E SARATOGA ST </t>
  </si>
  <si>
    <t>RANCHO CIMARRON</t>
  </si>
  <si>
    <t>FINLEY FARMS ELEMENTARY SCHOOL</t>
  </si>
  <si>
    <t>GILBERT HIGH SCHOOL</t>
  </si>
  <si>
    <t>OPENDOOR PHOENIX LLC</t>
  </si>
  <si>
    <t>KNIFE TRAVIS L</t>
  </si>
  <si>
    <t>JERIMY</t>
  </si>
  <si>
    <t>PICKREL</t>
  </si>
  <si>
    <t>ROBERTA</t>
  </si>
  <si>
    <t>JERIMY &amp; ROBERTA PICKREL</t>
  </si>
  <si>
    <t xml:space="preserve">16810 W BELLEVIEW ST </t>
  </si>
  <si>
    <t>GLEN RIVER AT CANYON TRAILS 3L</t>
  </si>
  <si>
    <t>GLEN RIVER AT CANYON TRAILS</t>
  </si>
  <si>
    <t>PICKREL JERIMY D &amp; ROBERTA A</t>
  </si>
  <si>
    <t>EDWIN</t>
  </si>
  <si>
    <t>WINKELBAUER</t>
  </si>
  <si>
    <t>EDWIN &amp; LINDA WINKELBAUER</t>
  </si>
  <si>
    <t xml:space="preserve">6960 S WINDSTREAM PL </t>
  </si>
  <si>
    <t>R073</t>
  </si>
  <si>
    <t>SPRINGFIELD BLOCK SIX</t>
  </si>
  <si>
    <t>HULL ELEMENTARY SCHOOL</t>
  </si>
  <si>
    <t>STEFFY HUGH D &amp; POLLY L TRUST</t>
  </si>
  <si>
    <t>CHANDLER AZ 85226</t>
  </si>
  <si>
    <t>WINKELBAUER EDWIN &amp; LINDA</t>
  </si>
  <si>
    <t>MCATEE</t>
  </si>
  <si>
    <t>KAYE</t>
  </si>
  <si>
    <t>JOHN MCATEE &amp; SUSAN KAYE</t>
  </si>
  <si>
    <t xml:space="preserve">16074 W JENAN DR </t>
  </si>
  <si>
    <t>H101</t>
  </si>
  <si>
    <t>GREER RANCH NORTH PHASE 2</t>
  </si>
  <si>
    <t>SONORAN HEIGHTS ELEMENTARY SCHOOL</t>
  </si>
  <si>
    <t>SHADOW RIDGE HIGH SCHOOL</t>
  </si>
  <si>
    <t>AZ-BC LP</t>
  </si>
  <si>
    <t>MCATEE JOHN</t>
  </si>
  <si>
    <t>KAYE SUSAN</t>
  </si>
  <si>
    <t>ONEAZ CU</t>
  </si>
  <si>
    <t>PHOENIX AZ 85027</t>
  </si>
  <si>
    <t>JOHN C MCATEE</t>
  </si>
  <si>
    <t>KAYE SUSAN MCATEE</t>
  </si>
  <si>
    <t>PRESTON</t>
  </si>
  <si>
    <t>YEAKLEY</t>
  </si>
  <si>
    <t>MARINA</t>
  </si>
  <si>
    <t>PRESTON &amp; MARINA YEAKLEY</t>
  </si>
  <si>
    <t xml:space="preserve">526 W MANOR ST </t>
  </si>
  <si>
    <t>C003</t>
  </si>
  <si>
    <t>DAVE BROWN UNIT 3 LOT 1-201</t>
  </si>
  <si>
    <t>HARTFORD STREET</t>
  </si>
  <si>
    <t>R-8.5</t>
  </si>
  <si>
    <t>ANDERSEN JUNIOR HIGH SCHOOL</t>
  </si>
  <si>
    <t>PATTYSON MARK &amp; LAUREL</t>
  </si>
  <si>
    <t>YEAKLEY PRESTON &amp; MARINA</t>
  </si>
  <si>
    <t>HOSKING</t>
  </si>
  <si>
    <t>ROBERT &amp; JANE HOSKING</t>
  </si>
  <si>
    <t xml:space="preserve">3492 E ELGIN ST </t>
  </si>
  <si>
    <t>R094</t>
  </si>
  <si>
    <t>HIGHLAND 5</t>
  </si>
  <si>
    <t>HIGHLAND</t>
  </si>
  <si>
    <t>CHAPARRAL ELEMENTARY SCHOOL</t>
  </si>
  <si>
    <t>CALLAHAN DAN L</t>
  </si>
  <si>
    <t>HOSKING ROBERT R</t>
  </si>
  <si>
    <t>TRILLO</t>
  </si>
  <si>
    <t>PHILLIP TRILLO</t>
  </si>
  <si>
    <t xml:space="preserve">3250 E FRANKLIN AVE </t>
  </si>
  <si>
    <t>LYONS GATE PHASE 5</t>
  </si>
  <si>
    <t>HIGLEY TRADITIONAL ACADEMY</t>
  </si>
  <si>
    <t>HOFFERTH AARON</t>
  </si>
  <si>
    <t>GO DIRECT LENDERS INC</t>
  </si>
  <si>
    <t>TRILLO PHILLIP JAMES</t>
  </si>
  <si>
    <t>ESPINOZA</t>
  </si>
  <si>
    <t>MARTHA ESPINOZA</t>
  </si>
  <si>
    <t xml:space="preserve">18579 W LUPINE AVE </t>
  </si>
  <si>
    <t>LAS BRISAS PHASE 1</t>
  </si>
  <si>
    <t>LAS BRISAS</t>
  </si>
  <si>
    <t>ESPINOZA MARTHA E</t>
  </si>
  <si>
    <t>CHRISTOPHER BOYD</t>
  </si>
  <si>
    <t xml:space="preserve">17340 N WOODROSE CT </t>
  </si>
  <si>
    <t>C053</t>
  </si>
  <si>
    <t>KINGSWOOD PARKE PARCEL 6</t>
  </si>
  <si>
    <t>KINGSWOOD ELEMENTARY SCHOOL</t>
  </si>
  <si>
    <t>WILLOW CANYON HIGH SCHOOL</t>
  </si>
  <si>
    <t>SZTABA TERESA</t>
  </si>
  <si>
    <t>BOYD CHRISTOPHER</t>
  </si>
  <si>
    <t>JENNINGS LONE L &amp; KIMBERLY J</t>
  </si>
  <si>
    <t xml:space="preserve">11163 W EDGEMONT AVE </t>
  </si>
  <si>
    <t>AVONDALE</t>
  </si>
  <si>
    <t>CRYSTAL GARDENS PHASE 2 PARCEL 6</t>
  </si>
  <si>
    <t>CRYSTAL GARDENS</t>
  </si>
  <si>
    <t>CANYON BREEZE ELEMENTARY SCHOOL</t>
  </si>
  <si>
    <t>WESTVIEW HIGH SCHOOL</t>
  </si>
  <si>
    <t>IRONCLAD AZ INVS INC</t>
  </si>
  <si>
    <t>CONNIE</t>
  </si>
  <si>
    <t>CINQUEPALMI</t>
  </si>
  <si>
    <t>CONNIE CINQUEPALMI</t>
  </si>
  <si>
    <t xml:space="preserve">6404 W BRILES RD </t>
  </si>
  <si>
    <t>EAGLE RIDGE</t>
  </si>
  <si>
    <t>LAS BRISAS ELEMENTARY SCHOOL</t>
  </si>
  <si>
    <t>RALISSE ANTONIA</t>
  </si>
  <si>
    <t>CINQUEPALMI CONNIE J</t>
  </si>
  <si>
    <t>SEVIG</t>
  </si>
  <si>
    <t>DALE &amp; SUSAN SEVIG</t>
  </si>
  <si>
    <t xml:space="preserve">4052 N 162ND AVE </t>
  </si>
  <si>
    <t>R022</t>
  </si>
  <si>
    <t>PEBBLECREEK PHASE 2 UNIT 36</t>
  </si>
  <si>
    <t>WEGEHAUPT TERI</t>
  </si>
  <si>
    <t>SEVIG DALE C &amp; SUSAN L</t>
  </si>
  <si>
    <t>CLOVER</t>
  </si>
  <si>
    <t>GEOFFREY &amp; ALLISON CLOVER</t>
  </si>
  <si>
    <t xml:space="preserve">3124 W MEADOW DR </t>
  </si>
  <si>
    <t>C001</t>
  </si>
  <si>
    <t>VILLA DEL SUDOESTE LOT 1-121</t>
  </si>
  <si>
    <t>VILLA DEL SUDOESTE</t>
  </si>
  <si>
    <t>SUNRISE ELEMENTARY SCHOOL</t>
  </si>
  <si>
    <t>DESERT SKY MIDDLE SCHOOL</t>
  </si>
  <si>
    <t>DEER VALLEY HIGH SCHOOL</t>
  </si>
  <si>
    <t>SANCHEZ MACARIO</t>
  </si>
  <si>
    <t>CLOVER GEOFFREY R</t>
  </si>
  <si>
    <t>MULHERIN</t>
  </si>
  <si>
    <t>PHILLIP &amp; JESSICA MULHERIN</t>
  </si>
  <si>
    <t xml:space="preserve">3705 S 105TH DR </t>
  </si>
  <si>
    <t>LIONS GATE</t>
  </si>
  <si>
    <t>COUNTRY PLACE ELEMENTARY SCHOOL</t>
  </si>
  <si>
    <t>MULHERIN PHILLIP &amp; JESSICA</t>
  </si>
  <si>
    <t>JESSICA MULHERIN</t>
  </si>
  <si>
    <t>PHILLIP MULHERIN</t>
  </si>
  <si>
    <t>DAVID WILLIAMS &amp; BRENDA RODRIGUEZ</t>
  </si>
  <si>
    <t xml:space="preserve">1430 S SOMERSET </t>
  </si>
  <si>
    <t>STONEGATE ESTATES</t>
  </si>
  <si>
    <t>WILSON ELEMENTARY SCHOOL</t>
  </si>
  <si>
    <t>TAYLOR JUNIOR HIGH SCHOOL</t>
  </si>
  <si>
    <t>MESA HIGH SCHOOL</t>
  </si>
  <si>
    <t>ZIEBELL COURTNEY L</t>
  </si>
  <si>
    <t>WILLIAMS DAVID L</t>
  </si>
  <si>
    <t>RODRIGUEZ BRENDA A</t>
  </si>
  <si>
    <t>MARK RODRIGUES</t>
  </si>
  <si>
    <t xml:space="preserve">17501 W ANDORA ST </t>
  </si>
  <si>
    <t>H200</t>
  </si>
  <si>
    <t>SARAH ANN RANCH UNIT 1</t>
  </si>
  <si>
    <t>MOUNTAINSIDE</t>
  </si>
  <si>
    <t>WESTERN PEAKS ELEMENTARY SCHOOL</t>
  </si>
  <si>
    <t>ALSUP ROCHELLE A</t>
  </si>
  <si>
    <t>RODRIGUES MARK R</t>
  </si>
  <si>
    <t>CHEESEMAN</t>
  </si>
  <si>
    <t>HOPE</t>
  </si>
  <si>
    <t>BRATTON</t>
  </si>
  <si>
    <t>KEVIN CHEESEMAN &amp; HOPE BRATTON</t>
  </si>
  <si>
    <t xml:space="preserve">4561 N LUNA RD W </t>
  </si>
  <si>
    <t>C004</t>
  </si>
  <si>
    <t>VILLAGE AT LITCHFIELD PARK PHASE 2</t>
  </si>
  <si>
    <t>VILLAGE AT LITCHFIELD PARK</t>
  </si>
  <si>
    <t>ROMERO PRIMITIVO D &amp; REBECCA</t>
  </si>
  <si>
    <t>CHEESEMAN KEVIN</t>
  </si>
  <si>
    <t>BRATTON HOPE</t>
  </si>
  <si>
    <t>BRAUN</t>
  </si>
  <si>
    <t>JASON BRAUN</t>
  </si>
  <si>
    <t xml:space="preserve">921 N LESUEUR </t>
  </si>
  <si>
    <t>C034</t>
  </si>
  <si>
    <t>ELLSWORTH HEIGHTS 2  LOTS 55-88</t>
  </si>
  <si>
    <t>ELLSWORTH HEIGHTS</t>
  </si>
  <si>
    <t>CARPORT</t>
  </si>
  <si>
    <t>EISENHOWER CENTER FOR INNOVATION</t>
  </si>
  <si>
    <t>KINO JUNIOR HIGH SCHOOL</t>
  </si>
  <si>
    <t>WESTWOOD HIGH SCHOOL</t>
  </si>
  <si>
    <t>FAFA LLC</t>
  </si>
  <si>
    <t>BRAUN JASON</t>
  </si>
  <si>
    <t>RAUL</t>
  </si>
  <si>
    <t>PINON</t>
  </si>
  <si>
    <t>RAUL &amp; DIANA PINON</t>
  </si>
  <si>
    <t xml:space="preserve">4627 W BUFFALO ST </t>
  </si>
  <si>
    <t>GLENVIEW ESTATES AMD LOT 1-149 224 TR A</t>
  </si>
  <si>
    <t>GLENVIEW ESTATES</t>
  </si>
  <si>
    <t>KYRENE DE LA PALOMA SCHOOL</t>
  </si>
  <si>
    <t>KYRENE DEL PUEBLO MIDDLE SCHOOL</t>
  </si>
  <si>
    <t>CORONA DEL SOL HIGH SCHOOL</t>
  </si>
  <si>
    <t>JARIWALA NILAY</t>
  </si>
  <si>
    <t>PINON RAUL &amp; DIANA M</t>
  </si>
  <si>
    <t>DOMINGUEZ</t>
  </si>
  <si>
    <t>ESTHER</t>
  </si>
  <si>
    <t>DOMINGUEZ &amp; MARIA ESTHER</t>
  </si>
  <si>
    <t xml:space="preserve">2220 W MALDONADO RD </t>
  </si>
  <si>
    <t>C046</t>
  </si>
  <si>
    <t>MOUNTAIN VISTA</t>
  </si>
  <si>
    <t>ED AND VERMA PASTOR ELEMENTARY SCHOOL</t>
  </si>
  <si>
    <t>DYALCOM LLC</t>
  </si>
  <si>
    <t>DOMINGUEZ ANTONIO &amp; MARIA E</t>
  </si>
  <si>
    <t>RAFAEL</t>
  </si>
  <si>
    <t>CANCINO</t>
  </si>
  <si>
    <t>RAFAEL CANCINO</t>
  </si>
  <si>
    <t xml:space="preserve">2323 W DARREL RD </t>
  </si>
  <si>
    <t>C054</t>
  </si>
  <si>
    <t>COPPER CREEK</t>
  </si>
  <si>
    <t>BERNARD BLACK ELEMENTARY SCHOOL</t>
  </si>
  <si>
    <t>HARDY CAROL A</t>
  </si>
  <si>
    <t>SUN AMERICAN MORTGAGE CO</t>
  </si>
  <si>
    <t>CANCINO RAFAEL</t>
  </si>
  <si>
    <t>HAROLD</t>
  </si>
  <si>
    <t>ARCHER</t>
  </si>
  <si>
    <t>HAROLD &amp; MICHELLE ARCHER</t>
  </si>
  <si>
    <t xml:space="preserve">3615 E FRIESS DR </t>
  </si>
  <si>
    <t>C019</t>
  </si>
  <si>
    <t>PARADISE VALLEY OASIS 3</t>
  </si>
  <si>
    <t>INDIAN BEND ELEMENTARY SCHOOL</t>
  </si>
  <si>
    <t>GREENWAY MIDDLE SCHOOL</t>
  </si>
  <si>
    <t>SHADOW MOUNTAIN HIGH SCHOOL</t>
  </si>
  <si>
    <t>121 PROPERTIES LLC</t>
  </si>
  <si>
    <t>ARCHER HAROLD</t>
  </si>
  <si>
    <t>HERROLD</t>
  </si>
  <si>
    <t>PEREZ</t>
  </si>
  <si>
    <t>HERROLD PEREZ</t>
  </si>
  <si>
    <t xml:space="preserve">5937 N 125TH AVE </t>
  </si>
  <si>
    <t>R007</t>
  </si>
  <si>
    <t>WIGWAM CREEK NORTH PHASE 2 CORRECTIVE</t>
  </si>
  <si>
    <t>BARBARA B. ROBEY ELEMENTARY SCHOOL</t>
  </si>
  <si>
    <t>LACUGNATO ROBERT R</t>
  </si>
  <si>
    <t>PEREZ HERROLD ANTHONY</t>
  </si>
  <si>
    <t>RUNNAR</t>
  </si>
  <si>
    <t>CRANE</t>
  </si>
  <si>
    <t>RUNNAR CRANE</t>
  </si>
  <si>
    <t xml:space="preserve">1848 E SAINT CHARLES AVE </t>
  </si>
  <si>
    <t>C068</t>
  </si>
  <si>
    <t>MOUNTAIN VIEW ESTATES UNIT 5</t>
  </si>
  <si>
    <t>CITRUS HILLS</t>
  </si>
  <si>
    <t>T.G. BARR SCHOOL</t>
  </si>
  <si>
    <t>TURNAROUND HOMES LLC</t>
  </si>
  <si>
    <t>PROSPECT MTG LLC</t>
  </si>
  <si>
    <t>CRANE RUNNER</t>
  </si>
  <si>
    <t>NIGEL</t>
  </si>
  <si>
    <t>BELL</t>
  </si>
  <si>
    <t>TARNESHA</t>
  </si>
  <si>
    <t>NIGEL &amp; TARNESHA BELL</t>
  </si>
  <si>
    <t xml:space="preserve">2674 S SETON AVE </t>
  </si>
  <si>
    <t>R092</t>
  </si>
  <si>
    <t>CHAPARRAL ESTATES PARCELS 1 2 3 &amp; 4</t>
  </si>
  <si>
    <t>CHAPARRAL ESTATES</t>
  </si>
  <si>
    <t>PRESCOTT CAROLYN M &amp; BRENT A</t>
  </si>
  <si>
    <t>BELL NIGEL M &amp; TARNESHA A</t>
  </si>
  <si>
    <t>NIGEL M BELL</t>
  </si>
  <si>
    <t>TARNESHA A BELL</t>
  </si>
  <si>
    <t>MCMAHAN</t>
  </si>
  <si>
    <t>CHRISSY</t>
  </si>
  <si>
    <t>AYRES-MCMAHAN</t>
  </si>
  <si>
    <t>THOMAS MCMAHAN &amp; CHRISSY AYRES-MCMAHAN</t>
  </si>
  <si>
    <t xml:space="preserve">6144 E MCLELLAN RD </t>
  </si>
  <si>
    <t xml:space="preserve">6144 E MCLLAN RD </t>
  </si>
  <si>
    <t>SONATA LOT 1-278 TR A</t>
  </si>
  <si>
    <t>MENDOZA ELEMENTARY SCHOOL</t>
  </si>
  <si>
    <t>SHEPHERD JUNIOR HIGH SCHOOL</t>
  </si>
  <si>
    <t>HEATH MONA F</t>
  </si>
  <si>
    <t>NEW DAY FINANCIAL LLC</t>
  </si>
  <si>
    <t>MCMAHAN JR THOMAS</t>
  </si>
  <si>
    <t>AYERS MCMAHAN CHRISSY</t>
  </si>
  <si>
    <t>MCDONALD</t>
  </si>
  <si>
    <t>DANITA</t>
  </si>
  <si>
    <t>JOSEPH &amp; DANITA MCDONALD</t>
  </si>
  <si>
    <t xml:space="preserve">22647 E DESERT SPOON DR </t>
  </si>
  <si>
    <t>FREEDOM MTG</t>
  </si>
  <si>
    <t>JOSEPH A MCDONALD</t>
  </si>
  <si>
    <t>DANITA A MCDONALD</t>
  </si>
  <si>
    <t>RUDOLFO</t>
  </si>
  <si>
    <t>YANEZ</t>
  </si>
  <si>
    <t>YANEZ SANDOVAL</t>
  </si>
  <si>
    <t xml:space="preserve">17561 W CARDINAL DR </t>
  </si>
  <si>
    <t>R021</t>
  </si>
  <si>
    <t>ESTRELLA MOUNTAIN RANCH PARCEL 43</t>
  </si>
  <si>
    <t>CARDINAL PROPERTY LLC</t>
  </si>
  <si>
    <t>RUDOLFO S YANEZ JR</t>
  </si>
  <si>
    <t>TRAVIS BRADLEY J LIVING TRUST</t>
  </si>
  <si>
    <t>J TRAVISBRADLEY</t>
  </si>
  <si>
    <t xml:space="preserve">4050 E HEARN RD </t>
  </si>
  <si>
    <t>PARADISE VALLEY OASIS NO 8</t>
  </si>
  <si>
    <t>BOND JOHN</t>
  </si>
  <si>
    <t>TRAVIS BRADLEY J</t>
  </si>
  <si>
    <t>PETE</t>
  </si>
  <si>
    <t>PETE CAMPOS</t>
  </si>
  <si>
    <t xml:space="preserve">2349 S LORENA </t>
  </si>
  <si>
    <t>CAMPOS PETE H</t>
  </si>
  <si>
    <t>THEPHAPHINE</t>
  </si>
  <si>
    <t>TIMOTHY THEPHAPHINE</t>
  </si>
  <si>
    <t xml:space="preserve">2670 W BENTRUP ST </t>
  </si>
  <si>
    <t>C018</t>
  </si>
  <si>
    <t>CARRIAGE LANE 6 LOT 1-113 TR A-C</t>
  </si>
  <si>
    <t>SUMMIT ACADEMY</t>
  </si>
  <si>
    <t>DOBSON HIGH SCHOOL</t>
  </si>
  <si>
    <t>JOHNSON CATHERINE A TRUST</t>
  </si>
  <si>
    <t>THEPHAPHINE TIMOTHY</t>
  </si>
  <si>
    <t>JAY</t>
  </si>
  <si>
    <t>GRESSETT</t>
  </si>
  <si>
    <t>AMIE</t>
  </si>
  <si>
    <t>JAY &amp; AMIE GRESSETT</t>
  </si>
  <si>
    <t xml:space="preserve">15657 W CORTEZ ST </t>
  </si>
  <si>
    <t>GREER RANCH NORTH PHASE 1</t>
  </si>
  <si>
    <t>GRESSETT JAY CHARLES</t>
  </si>
  <si>
    <t>GRESSETT JAY C</t>
  </si>
  <si>
    <t>SHARYN L SCHAFFTER TRUST &amp; MARGITA WILLIAM J</t>
  </si>
  <si>
    <t>SHARYN SCHAFFTER</t>
  </si>
  <si>
    <t xml:space="preserve">561 S FIR ST </t>
  </si>
  <si>
    <t>R019</t>
  </si>
  <si>
    <t>CARRINGTON PLACE LOT 1-163 TR A-C</t>
  </si>
  <si>
    <t>CARRINGTON PLACE</t>
  </si>
  <si>
    <t>MOUNTAIN POINTE HIGH SCHOOL</t>
  </si>
  <si>
    <t>SCHUH JEFFREY A</t>
  </si>
  <si>
    <t>MARGITA WILLIAM J</t>
  </si>
  <si>
    <t>SCHAFFTER SHARYN</t>
  </si>
  <si>
    <t>BORELLI</t>
  </si>
  <si>
    <t>THOMAS BORELLI</t>
  </si>
  <si>
    <t xml:space="preserve">8616 E LOBO AVE </t>
  </si>
  <si>
    <t>BORELLI THOMAS J</t>
  </si>
  <si>
    <t>EDRIC</t>
  </si>
  <si>
    <t>WYATT</t>
  </si>
  <si>
    <t>CRISTINA</t>
  </si>
  <si>
    <t>EDRIC WYATT &amp; CRISTINA MARION</t>
  </si>
  <si>
    <t xml:space="preserve">8624 E LOBO AVE </t>
  </si>
  <si>
    <t>WYATT EDRIC J</t>
  </si>
  <si>
    <t>SAWTELL</t>
  </si>
  <si>
    <t>THELDA</t>
  </si>
  <si>
    <t>ROY &amp; THELDA SAWTELL</t>
  </si>
  <si>
    <t xml:space="preserve">6832 E POSADA CIR </t>
  </si>
  <si>
    <t>DAHLIA POINTE</t>
  </si>
  <si>
    <t>R-2.5</t>
  </si>
  <si>
    <t>WATERSTONE MTG</t>
  </si>
  <si>
    <t>SAWTELL ROY G JR &amp; THELDA Y</t>
  </si>
  <si>
    <t>SHANON</t>
  </si>
  <si>
    <t>RUSK</t>
  </si>
  <si>
    <t>SHANON &amp; DENISE RUSK</t>
  </si>
  <si>
    <t xml:space="preserve">7419 S ROANOKE ST </t>
  </si>
  <si>
    <t>ADORA TRAILS PARCEL 11B</t>
  </si>
  <si>
    <t>RUSK SHANON &amp; DENISE</t>
  </si>
  <si>
    <t>HANCOCK</t>
  </si>
  <si>
    <t>ANN &amp; ANN PAUL</t>
  </si>
  <si>
    <t xml:space="preserve">15831 N 182ND LN </t>
  </si>
  <si>
    <t>SURPRISE FARMS PHASE 4 PARCEL 3</t>
  </si>
  <si>
    <t>CLASSICS</t>
  </si>
  <si>
    <t>TIZZANO ANGELA L &amp; DONALD J</t>
  </si>
  <si>
    <t>DOUGLAS P HANCOCK</t>
  </si>
  <si>
    <t>ELIZABETH A HANCOCK</t>
  </si>
  <si>
    <t>SCHLEIGH</t>
  </si>
  <si>
    <t>BRIAN &amp; SHARON SCHLEIGH</t>
  </si>
  <si>
    <t xml:space="preserve">7214 W WOOD ST </t>
  </si>
  <si>
    <t>R013</t>
  </si>
  <si>
    <t>SIENNA VISTA</t>
  </si>
  <si>
    <t>TUSCANO ELEMENTARY SCHOOL</t>
  </si>
  <si>
    <t>WESTERN VALLEY MIDDLE SCHOOL</t>
  </si>
  <si>
    <t>SIERRA LINDA HIGH SCHOOL</t>
  </si>
  <si>
    <t>SCHLEIGH BRIAN &amp; SHARON</t>
  </si>
  <si>
    <t>RICKY</t>
  </si>
  <si>
    <t>TIPTON</t>
  </si>
  <si>
    <t>APRIL</t>
  </si>
  <si>
    <t>RICKY &amp; APRIL TIPTON</t>
  </si>
  <si>
    <t xml:space="preserve">3644 W AMERIGO CT </t>
  </si>
  <si>
    <t>ANTHEM UNIT 41B</t>
  </si>
  <si>
    <t>D</t>
  </si>
  <si>
    <t>CANYON SPRINGS SCHOOL</t>
  </si>
  <si>
    <t>CHAFFIN DALE &amp; SHERRY</t>
  </si>
  <si>
    <t>ALLIANCE FINANCIAL RESOURCES L</t>
  </si>
  <si>
    <t>TIPTON RICKY R &amp; APRIL M</t>
  </si>
  <si>
    <t>GOLBACH MEGHAN L &amp; ERICA M TRU</t>
  </si>
  <si>
    <t>L &amp; ERICA GOLBACHMEGHAN</t>
  </si>
  <si>
    <t xml:space="preserve">1720 E DAVA DR </t>
  </si>
  <si>
    <t>TEMPE</t>
  </si>
  <si>
    <t>CONTINENTAL TEMPE UNIT 1 329-335 357-461</t>
  </si>
  <si>
    <t>DAVA-LAKESHORE</t>
  </si>
  <si>
    <t>KYRENE DEL NORTE SCHOOL</t>
  </si>
  <si>
    <t>KYRENE MIDDLE SCHOOL COLLEGE PREPARATORY ACADEMY</t>
  </si>
  <si>
    <t>MARCOS DE NIZA HIGH SCHOOL</t>
  </si>
  <si>
    <t>NELLIGAN LAURI</t>
  </si>
  <si>
    <t>GOLBACH MEGHAN LEIGH &amp; ERICA MARIE</t>
  </si>
  <si>
    <t>MEGHAN L GOLBACH</t>
  </si>
  <si>
    <t>ERICA M GOLBACH</t>
  </si>
  <si>
    <t>FERRELL</t>
  </si>
  <si>
    <t>STEPHEN FERRELL</t>
  </si>
  <si>
    <t xml:space="preserve">10645 E ENID AVE </t>
  </si>
  <si>
    <t>C049</t>
  </si>
  <si>
    <t>PARKWOOD RANCH PARCEL 6</t>
  </si>
  <si>
    <t>SONATA AT PARKWOOD RANCH EAST</t>
  </si>
  <si>
    <t>CESARANO THEODORE M</t>
  </si>
  <si>
    <t>FERRELL STEPHEN L</t>
  </si>
  <si>
    <t>COULSON</t>
  </si>
  <si>
    <t>ARTHUR &amp; SUSAN COULSON</t>
  </si>
  <si>
    <t xml:space="preserve">18063 W HICKCOX DR </t>
  </si>
  <si>
    <t>C090</t>
  </si>
  <si>
    <t>ARIZONA TRADITIONS 7</t>
  </si>
  <si>
    <t>SEXTON WILLIAM L &amp; NANCY D</t>
  </si>
  <si>
    <t>COULSON ARTHUR E &amp; SUSAN Y</t>
  </si>
  <si>
    <t>CASSANO</t>
  </si>
  <si>
    <t>YBARRA</t>
  </si>
  <si>
    <t>CASSANO &amp; DANIELLE YBARRA</t>
  </si>
  <si>
    <t xml:space="preserve">8608 E EDGEMONT AVE </t>
  </si>
  <si>
    <t>C009</t>
  </si>
  <si>
    <t>SCOTTSDALE ESTATES 11  LOTS 2103-2201</t>
  </si>
  <si>
    <t>SCOTTSDALE ESTATES ELEVEN</t>
  </si>
  <si>
    <t>HOHOKAM TRADITIONAL SCHOOL</t>
  </si>
  <si>
    <t>DESERT CANYON MIDDLE SCHOOL</t>
  </si>
  <si>
    <t>CORONADO HIGH SCHOOL</t>
  </si>
  <si>
    <t>HOWELL RONNIE G</t>
  </si>
  <si>
    <t>SAN ANTONIO TX 782880544</t>
  </si>
  <si>
    <t>CASSANO GIOVANNI A &amp; DANIELLE Y</t>
  </si>
  <si>
    <t>GIOVANNI A CASSANO</t>
  </si>
  <si>
    <t>DANIELLE Y CASSANO</t>
  </si>
  <si>
    <t>DONALD &amp; KATHY ADAMS</t>
  </si>
  <si>
    <t xml:space="preserve">16632 N 174TH LN </t>
  </si>
  <si>
    <t>R027</t>
  </si>
  <si>
    <t>SURPRISE FARMS PHASE 1B NORTH PARCEL 16</t>
  </si>
  <si>
    <t>SURPRISE FARMS NORTH</t>
  </si>
  <si>
    <t>CANYON RIDGE ELEMENTARY SCHOOL</t>
  </si>
  <si>
    <t>SPARKS DOUGLAS A</t>
  </si>
  <si>
    <t>ADAMS DONALD W</t>
  </si>
  <si>
    <t>STUMBO</t>
  </si>
  <si>
    <t>BRUCE &amp; KATIE STUMBO</t>
  </si>
  <si>
    <t xml:space="preserve">1115 E GRANDVIEW RD </t>
  </si>
  <si>
    <t>C085</t>
  </si>
  <si>
    <t>GREENTRAILS LOT 1-207 &amp; TR A-L</t>
  </si>
  <si>
    <t>GREENTRAILS</t>
  </si>
  <si>
    <t>PAD-MD</t>
  </si>
  <si>
    <t>AIRE LIBRE ELEMENTARY SCHOOL</t>
  </si>
  <si>
    <t>SNYDER DAVID M &amp; AMY L</t>
  </si>
  <si>
    <t>STUMBO BRUCE T &amp; KATIE R</t>
  </si>
  <si>
    <t>LAURI</t>
  </si>
  <si>
    <t>FOGARTY</t>
  </si>
  <si>
    <t>LAURI FOGARTY</t>
  </si>
  <si>
    <t xml:space="preserve">8606 E LAGUNA AZUL AVE </t>
  </si>
  <si>
    <t>SAN RAMON CA 94583</t>
  </si>
  <si>
    <t>LAURI A FOGARTY</t>
  </si>
  <si>
    <t>HATFIELD</t>
  </si>
  <si>
    <t>SELENA</t>
  </si>
  <si>
    <t>KUSUMOTO</t>
  </si>
  <si>
    <t>RICHARD HATFIELD &amp; SELENA KUSUMOTO</t>
  </si>
  <si>
    <t xml:space="preserve">12156 W OVERLIN LN </t>
  </si>
  <si>
    <t>R052</t>
  </si>
  <si>
    <t>DEL RIO RANCH UNIT 4</t>
  </si>
  <si>
    <t>ESTRELLA VISTA ELEMENTARY SCHOOL</t>
  </si>
  <si>
    <t>HATFIELD RICHARD R</t>
  </si>
  <si>
    <t>KUSUMOTO SELENA I</t>
  </si>
  <si>
    <t>MAKSEM</t>
  </si>
  <si>
    <t>KELLY MAKSEM</t>
  </si>
  <si>
    <t xml:space="preserve">1402 W GLENROSA AVE </t>
  </si>
  <si>
    <t>C015</t>
  </si>
  <si>
    <t>MELROSE MANOR  TR D  BLKS 3&amp;4</t>
  </si>
  <si>
    <t>MELROSE MANOR</t>
  </si>
  <si>
    <t>EVAPORATIVE</t>
  </si>
  <si>
    <t>CLARENDON SCHOOL</t>
  </si>
  <si>
    <t>PHOENIX CODING ACADEMY</t>
  </si>
  <si>
    <t>RITTMANN MARY</t>
  </si>
  <si>
    <t>MAKSEM KELLY A</t>
  </si>
  <si>
    <t>WENTZEL</t>
  </si>
  <si>
    <t>DANA WENTZEL</t>
  </si>
  <si>
    <t xml:space="preserve">781 E COLT RD </t>
  </si>
  <si>
    <t>CRYSTAL COVE BY PROVIDENCE HOMES</t>
  </si>
  <si>
    <t>CRYSTAL COVE</t>
  </si>
  <si>
    <t>ISLANDS ELEMENTARY SCHOOL</t>
  </si>
  <si>
    <t>MESQUITE JR HIGH SCHOOL</t>
  </si>
  <si>
    <t>MESQUITE HIGH SCHOOL</t>
  </si>
  <si>
    <t>STEWART HEATHER J</t>
  </si>
  <si>
    <t>WENTZEL DANA J</t>
  </si>
  <si>
    <t>FITZPATRICK</t>
  </si>
  <si>
    <t>WILLIAM &amp; DEBORAH FITZPATRICK</t>
  </si>
  <si>
    <t xml:space="preserve">2802 E ALTADENA AVE </t>
  </si>
  <si>
    <t>C069</t>
  </si>
  <si>
    <t>MELROSE PARADISE 7</t>
  </si>
  <si>
    <t>MELROSE PARADISE</t>
  </si>
  <si>
    <t>DESERT COVE ELEMENTARY SCHOOL</t>
  </si>
  <si>
    <t>SHEA MIDDLE SCHOOL</t>
  </si>
  <si>
    <t>BEARDSLEY CHRISTIANNE P</t>
  </si>
  <si>
    <t>FITZPATRICK WILLIAM E &amp; DEBORAH J</t>
  </si>
  <si>
    <t>DEMARKAS</t>
  </si>
  <si>
    <t>SAMELTON</t>
  </si>
  <si>
    <t>DEMARKAS SAMELTON</t>
  </si>
  <si>
    <t xml:space="preserve">17637 W MOLLY LN </t>
  </si>
  <si>
    <t>R076</t>
  </si>
  <si>
    <t>DESERT OASIS AT SURPRISE PARCEL L5-A</t>
  </si>
  <si>
    <t>DESERT OASIS</t>
  </si>
  <si>
    <t>DESERT OASIS ELEMENTARY SCHOOL</t>
  </si>
  <si>
    <t>VORIS ERIC &amp; SARAH</t>
  </si>
  <si>
    <t>CARDINAL FIN'L</t>
  </si>
  <si>
    <t>CHARLOTTE NC 28273</t>
  </si>
  <si>
    <t>DEMARKAS T SAMELTON</t>
  </si>
  <si>
    <t>GREGOREK</t>
  </si>
  <si>
    <t>JEANETTE</t>
  </si>
  <si>
    <t>THOMAS &amp; JEANETTE GREGOREK</t>
  </si>
  <si>
    <t xml:space="preserve">15185 W LARKSPUR DR </t>
  </si>
  <si>
    <t>MARLEY PARK PARCEL 8</t>
  </si>
  <si>
    <t>NORTHCUTT GEORGE F &amp; KATHRYN</t>
  </si>
  <si>
    <t>GREGOREK THOMAS W &amp; JEANETTE</t>
  </si>
  <si>
    <t>HANNER</t>
  </si>
  <si>
    <t>JAMES &amp; DEBRA HANNER</t>
  </si>
  <si>
    <t xml:space="preserve">17067 W NORTHAMPTON RD </t>
  </si>
  <si>
    <t>C058</t>
  </si>
  <si>
    <t>BELL WEST RANCH PARCEL 1B</t>
  </si>
  <si>
    <t>R-5</t>
  </si>
  <si>
    <t>CIMARRON SPRINGS ELEMENTARY SCHOOL</t>
  </si>
  <si>
    <t>OBRIEN DAVID M</t>
  </si>
  <si>
    <t>HANNER JAMES W &amp; DEBRA J</t>
  </si>
  <si>
    <t>SOUTHARD</t>
  </si>
  <si>
    <t>JAMES &amp; KELLY SOUTHARD</t>
  </si>
  <si>
    <t xml:space="preserve">22122 N HONCHO CT </t>
  </si>
  <si>
    <t>SUN CITY</t>
  </si>
  <si>
    <t>R006</t>
  </si>
  <si>
    <t>RIO SIERRA AMD</t>
  </si>
  <si>
    <t>RIO SIERRA</t>
  </si>
  <si>
    <t>SOUTHARD JAMES B &amp; KELLY R</t>
  </si>
  <si>
    <t>BRETT</t>
  </si>
  <si>
    <t>HORACK</t>
  </si>
  <si>
    <t>BRETT &amp; KIMBERLY HORACK</t>
  </si>
  <si>
    <t xml:space="preserve">6356 W VINEYARD RD </t>
  </si>
  <si>
    <t>DESERT MEADOWS ELEMENTARY SCHOOL</t>
  </si>
  <si>
    <t>RITTER DELIA</t>
  </si>
  <si>
    <t>NEW AMERICAN FNDG</t>
  </si>
  <si>
    <t>HORACK BRETT &amp; KIMBERLY</t>
  </si>
  <si>
    <t>MCCARVILLE</t>
  </si>
  <si>
    <t>PATRICK &amp; THERESA MCCARVILLE</t>
  </si>
  <si>
    <t xml:space="preserve">3102 E YUCCA ST </t>
  </si>
  <si>
    <t>C076</t>
  </si>
  <si>
    <t>MELROSE PARADISE 1</t>
  </si>
  <si>
    <t>COLE GARY L</t>
  </si>
  <si>
    <t>MCCARVILLE PATRICK &amp; THERESA</t>
  </si>
  <si>
    <t>JAMES AND LAURA KEARNS CO-GRANTOR TRUST</t>
  </si>
  <si>
    <t xml:space="preserve">2202 N PARK MEADOWS DR </t>
  </si>
  <si>
    <t>VERRADO PARCEL 3.409</t>
  </si>
  <si>
    <t>PYATKOV ROMAN</t>
  </si>
  <si>
    <t>KEARNS JAMES E &amp; LAURA L</t>
  </si>
  <si>
    <t>LECOMPTE</t>
  </si>
  <si>
    <t>LECOMPTE &amp; SANDRA LEE</t>
  </si>
  <si>
    <t xml:space="preserve">26620 S SHUMAKER DR </t>
  </si>
  <si>
    <t>SUN LAKES</t>
  </si>
  <si>
    <t>SUN LAKES 14  LOT 1-204</t>
  </si>
  <si>
    <t>CHENNY PROPERTIES LLC</t>
  </si>
  <si>
    <t>ALBERT G LECOMPTE</t>
  </si>
  <si>
    <t>SANDRA L LECOMPTE</t>
  </si>
  <si>
    <t>BRANNON</t>
  </si>
  <si>
    <t>BRANNON RUSSELL</t>
  </si>
  <si>
    <t xml:space="preserve">15856 W LAUREL LN </t>
  </si>
  <si>
    <t>RUSSELL BRANNON T</t>
  </si>
  <si>
    <t>JAMIE</t>
  </si>
  <si>
    <t>SCHUTT</t>
  </si>
  <si>
    <t>JAMIE &amp; TRACY SCHUTT</t>
  </si>
  <si>
    <t xml:space="preserve">701 N JOSHUA TREE LN </t>
  </si>
  <si>
    <t>EL DORADO AT THE HIGHLANDS</t>
  </si>
  <si>
    <t>HIGHLAND PARK ELEMENTARY SCHOOL</t>
  </si>
  <si>
    <t>VELOTTA LINDA D</t>
  </si>
  <si>
    <t>ARIZONA MTG SPECIALISTS INC</t>
  </si>
  <si>
    <t>SCHUTT JAMIE D &amp; TRACY C</t>
  </si>
  <si>
    <t>CHRISTOPHER &amp; CYNTHIA THOMAS</t>
  </si>
  <si>
    <t xml:space="preserve">8976 W TIERRA BUENA LN </t>
  </si>
  <si>
    <t>ARROWHEAD SHORES 1 LOT 1-14  23-215 TR A</t>
  </si>
  <si>
    <t>ARROWHEAD SHORES</t>
  </si>
  <si>
    <t>DESERT HARBOR ELEMENTARY SCHOOL</t>
  </si>
  <si>
    <t>JANS BRANDI N &amp; DUSTIN R</t>
  </si>
  <si>
    <t>THOMAS CHRISTOPHER M &amp; CYNTHIA L</t>
  </si>
  <si>
    <t>ROBBINS</t>
  </si>
  <si>
    <t>PEGGIE</t>
  </si>
  <si>
    <t>ROBBINS &amp; PEGGIE JO</t>
  </si>
  <si>
    <t xml:space="preserve">8240 E EDGEMONT AVE </t>
  </si>
  <si>
    <t>VILLAGE GROVE  8</t>
  </si>
  <si>
    <t>VILLAGE GROVE</t>
  </si>
  <si>
    <t>FS INVESTING LLC</t>
  </si>
  <si>
    <t>GREAT PLAINS NATIONAL BANK</t>
  </si>
  <si>
    <t>ROBBINS MARK ROBERT &amp; PEGGIE JO</t>
  </si>
  <si>
    <t>BARRIENTES</t>
  </si>
  <si>
    <t>MANUEL &amp; ERLINDA BARRIENTES</t>
  </si>
  <si>
    <t xml:space="preserve">3438 E BETSY LN </t>
  </si>
  <si>
    <t>R108</t>
  </si>
  <si>
    <t>HIGLEY PARK</t>
  </si>
  <si>
    <t>HENDERSON BRYCE</t>
  </si>
  <si>
    <t>BARRIENTES MANUEL</t>
  </si>
  <si>
    <t>TYMMOTHY</t>
  </si>
  <si>
    <t>TYMMOTHY &amp; JOANNA ROY</t>
  </si>
  <si>
    <t xml:space="preserve">15270 W WETHERSFIELD RD </t>
  </si>
  <si>
    <t>ROY TYMMOTHY L &amp; JOANNA G</t>
  </si>
  <si>
    <t>COCHRAN FAMILY TRUST</t>
  </si>
  <si>
    <t>COCHRAN</t>
  </si>
  <si>
    <t xml:space="preserve">637 S OAK ST </t>
  </si>
  <si>
    <t>PARCELS 11 12 &amp; 13 OF LAGO ESTANCIA</t>
  </si>
  <si>
    <t>LAGO ESTANCIA</t>
  </si>
  <si>
    <t>GILBERT ELEMENTARY SCHOOL</t>
  </si>
  <si>
    <t>PROKOPIUK ANNA K</t>
  </si>
  <si>
    <t>COCHRAN JAMES P &amp; ILONA N</t>
  </si>
  <si>
    <t>CHARLES &amp; TERESA SMITH</t>
  </si>
  <si>
    <t xml:space="preserve">9139 W GELDING DR </t>
  </si>
  <si>
    <t>C039</t>
  </si>
  <si>
    <t>WEST SHORE LOT 1-185 TR A</t>
  </si>
  <si>
    <t>WEST SHORE</t>
  </si>
  <si>
    <t>NEI GLOBAL RELOCATION CO</t>
  </si>
  <si>
    <t>SMITH CHARLES P &amp; TERESA L</t>
  </si>
  <si>
    <t>CROSBY</t>
  </si>
  <si>
    <t>CROSBY &amp; JENNIFER LYNN</t>
  </si>
  <si>
    <t xml:space="preserve">14985 W SHAW BUTTE DR </t>
  </si>
  <si>
    <t>RANCHO GABRIELA PHASE 2</t>
  </si>
  <si>
    <t>RANCHO GABRIELA ELEMENTARY SCHOOL</t>
  </si>
  <si>
    <t>LUCID DALE &amp; SHARON</t>
  </si>
  <si>
    <t>CASTLE &amp; COOKE MORTGAGE LLC</t>
  </si>
  <si>
    <t>CROSBY ROBERT JAMES &amp; JENNIFER LYNN</t>
  </si>
  <si>
    <t>UNISON AGREEMENT CORP</t>
  </si>
  <si>
    <t>SAN FRANCISCO CA 94108</t>
  </si>
  <si>
    <t>ROBERT J CROSBY</t>
  </si>
  <si>
    <t>JENNIFER L CROSBY</t>
  </si>
  <si>
    <t>ALFONSE</t>
  </si>
  <si>
    <t>RUNYAN</t>
  </si>
  <si>
    <t>ALFONSE RUNYAN</t>
  </si>
  <si>
    <t xml:space="preserve">8403 W EMILE ZOLA AVE </t>
  </si>
  <si>
    <t>PIVOTAL PEORIA CENTER LOT 1-297 TR A-D</t>
  </si>
  <si>
    <t>PIVOTAL PEORIA CENTER</t>
  </si>
  <si>
    <t>SKY VIEW ELEMENTARY SCHOOL</t>
  </si>
  <si>
    <t>FUENTES GABRIEL</t>
  </si>
  <si>
    <t>RUNYAN ALFONSE</t>
  </si>
  <si>
    <t>LAMISON</t>
  </si>
  <si>
    <t>BETTY</t>
  </si>
  <si>
    <t>LAMISON &amp; BETTY JEAN</t>
  </si>
  <si>
    <t xml:space="preserve">16650 E OXFORD DR </t>
  </si>
  <si>
    <t>FOUNTAIN HILLS</t>
  </si>
  <si>
    <t>R015</t>
  </si>
  <si>
    <t>FOUNTAIN HILLS AZ FP 213 TR A</t>
  </si>
  <si>
    <t>MCDOWELL MOUNTAIN ELEMENTARY SCHOOL</t>
  </si>
  <si>
    <t>FOUNTAIN HILLS MIDDLE SCHOOL</t>
  </si>
  <si>
    <t>FOUNTAIN HILLS HIGH SCHOOL</t>
  </si>
  <si>
    <t>BOOS DRY TRUST</t>
  </si>
  <si>
    <t>RONALD SR LAMISON</t>
  </si>
  <si>
    <t>BETTY J LAMISON</t>
  </si>
  <si>
    <t>L I BETHARDS FAMILY TRUST</t>
  </si>
  <si>
    <t>L BETHARDS</t>
  </si>
  <si>
    <t xml:space="preserve">2255 E BROWNING PL </t>
  </si>
  <si>
    <t>PECOS ALDEA UNIT 6</t>
  </si>
  <si>
    <t>PECOS ALDEA</t>
  </si>
  <si>
    <t>BOLOGNA ELEMENTARY SCHOOL</t>
  </si>
  <si>
    <t>CAUPP JEFFREY G</t>
  </si>
  <si>
    <t>BETHARDS L I FAMILY TRUST</t>
  </si>
  <si>
    <t>DANIEL &amp; KIMBERLY SCHULTZ</t>
  </si>
  <si>
    <t xml:space="preserve">724 N CENTRAL DR </t>
  </si>
  <si>
    <t>VILLA HACIENDA 2</t>
  </si>
  <si>
    <t>NORTH MEADOWS</t>
  </si>
  <si>
    <t>HARTFORD SYLVIA ENCINAS ELEMENTARY SCHOOL</t>
  </si>
  <si>
    <t>HONEA WILLIAM R &amp; NORISSA J</t>
  </si>
  <si>
    <t>SCHULTZ DANIEL &amp; KIMBERLY</t>
  </si>
  <si>
    <t>LEMONS</t>
  </si>
  <si>
    <t>ROBOT</t>
  </si>
  <si>
    <t>DANIELLE LEMONS &amp; CHRISTOPHER ROBOT</t>
  </si>
  <si>
    <t xml:space="preserve">3049 E REGINA ST </t>
  </si>
  <si>
    <t xml:space="preserve">1042 S BROWNS LN </t>
  </si>
  <si>
    <t>GALLATIN</t>
  </si>
  <si>
    <t>TN</t>
  </si>
  <si>
    <t>LEHI CROSSING PHASES 4-5</t>
  </si>
  <si>
    <t>WAGON TRAIL AT LEHI CROSSING</t>
  </si>
  <si>
    <t>LEMONS DANIELLE L</t>
  </si>
  <si>
    <t>ROBOT CHRISTOPHER A</t>
  </si>
  <si>
    <t>SILVA</t>
  </si>
  <si>
    <t>JOSHUA SILVA</t>
  </si>
  <si>
    <t xml:space="preserve">6755 S POPLAR ST </t>
  </si>
  <si>
    <t>TEMPE GARDENS 17  LOT 1815-1953</t>
  </si>
  <si>
    <t>TEMPE GARDENS</t>
  </si>
  <si>
    <t>HUGHES K GAYE</t>
  </si>
  <si>
    <t>SILVA JOSHUA A</t>
  </si>
  <si>
    <t>RORY</t>
  </si>
  <si>
    <t>WICKS</t>
  </si>
  <si>
    <t>RORY &amp; JEANETTE WICKS</t>
  </si>
  <si>
    <t xml:space="preserve">12138 N 150TH DR </t>
  </si>
  <si>
    <t>AMERICORP INC</t>
  </si>
  <si>
    <t>WICKS RORY &amp; JEANETTE</t>
  </si>
  <si>
    <t>KOPICKI</t>
  </si>
  <si>
    <t>ANDREW KOPICKI</t>
  </si>
  <si>
    <t xml:space="preserve">174 W HIGHLAND AVE </t>
  </si>
  <si>
    <t>C016</t>
  </si>
  <si>
    <t>DEL MONTE PARK</t>
  </si>
  <si>
    <t>LONGVIEW ELEMENTARY SCHOOL</t>
  </si>
  <si>
    <t>OSBORN MIDDLE SCHOOL</t>
  </si>
  <si>
    <t>CENTRAL HIGH SCHOOL</t>
  </si>
  <si>
    <t>MCCABE MICHAEL</t>
  </si>
  <si>
    <t>ISERVE RESID'L LNDG LLC</t>
  </si>
  <si>
    <t>KOPICKI ANDREW</t>
  </si>
  <si>
    <t>QUINONES</t>
  </si>
  <si>
    <t>JAMES QUINONES</t>
  </si>
  <si>
    <t xml:space="preserve">3853 W FALLEN LEAF LN </t>
  </si>
  <si>
    <t>PARCELS 7C AND 1 NORTH CANYON RANCH</t>
  </si>
  <si>
    <t>NORTH CANYON RANCH</t>
  </si>
  <si>
    <t>R-2</t>
  </si>
  <si>
    <t>DESERT SAGE ELEMENTARY SCHOOL</t>
  </si>
  <si>
    <t>BANK 34</t>
  </si>
  <si>
    <t>LAS CRUCES NM 88011</t>
  </si>
  <si>
    <t>JAMES J QUINONES</t>
  </si>
  <si>
    <t>ROBBIE</t>
  </si>
  <si>
    <t>SALMAN</t>
  </si>
  <si>
    <t>ROBBIE SALMAN</t>
  </si>
  <si>
    <t xml:space="preserve">19036 N 29TH PL </t>
  </si>
  <si>
    <t>C017</t>
  </si>
  <si>
    <t>SUNSET CANYON SCHOOL</t>
  </si>
  <si>
    <t>FALCON LAKES INVS LLC</t>
  </si>
  <si>
    <t>SALMAN ROBBIE</t>
  </si>
  <si>
    <t>GEORGULIS</t>
  </si>
  <si>
    <t>MICHAEL GEORGULIS</t>
  </si>
  <si>
    <t xml:space="preserve">19118 W CULVER ST </t>
  </si>
  <si>
    <t>FANNIE MAE</t>
  </si>
  <si>
    <t>GEORGULIS MICHAEL</t>
  </si>
  <si>
    <t>BACA</t>
  </si>
  <si>
    <t>KENNETH BACA</t>
  </si>
  <si>
    <t xml:space="preserve">904 W CAROLINE LN </t>
  </si>
  <si>
    <t>HIGHLAND HEIGHTS</t>
  </si>
  <si>
    <t>ANDERSEN ELEMENTARY SCHOOL</t>
  </si>
  <si>
    <t>CIONCI STEFANO J &amp; JULIE A</t>
  </si>
  <si>
    <t>BACA KENNETH G</t>
  </si>
  <si>
    <t>JOHN &amp; LINDA TAYLOR</t>
  </si>
  <si>
    <t xml:space="preserve">17828 W WINDROSE DR </t>
  </si>
  <si>
    <t>H201</t>
  </si>
  <si>
    <t>SARAH ANN RANCH UNIT 2</t>
  </si>
  <si>
    <t>TAYLOR JOHN J &amp; LINDA L</t>
  </si>
  <si>
    <t>SWANSON DUSTIN L FAMILY TRUST</t>
  </si>
  <si>
    <t>DUSTIN SWANSON</t>
  </si>
  <si>
    <t xml:space="preserve">7049 N 7TH AVE </t>
  </si>
  <si>
    <t>BARBADOS</t>
  </si>
  <si>
    <t>MADISON SIMIS ELEMENTARY SCHOOL</t>
  </si>
  <si>
    <t>MADISON MEADOWS MIDDLE SCHOOL</t>
  </si>
  <si>
    <t>ZELLER PAUL C &amp; ERIN K</t>
  </si>
  <si>
    <t>SAN ANTONIO TX 78288</t>
  </si>
  <si>
    <t>SWANSON DUSTIN L</t>
  </si>
  <si>
    <t>REIBLE</t>
  </si>
  <si>
    <t>CARLA</t>
  </si>
  <si>
    <t>BLAKE &amp; CARLA REIBLE</t>
  </si>
  <si>
    <t xml:space="preserve">15160 W MINNEZONA AVE </t>
  </si>
  <si>
    <t>R023</t>
  </si>
  <si>
    <t>PALM VALLEY PHASE 5 PARCELS 1-4</t>
  </si>
  <si>
    <t>TRIANDA TERRACE</t>
  </si>
  <si>
    <t>FINLAY JOSEPH B</t>
  </si>
  <si>
    <t>GUARANTEED RATE INC</t>
  </si>
  <si>
    <t>REIBLE BLAKE J &amp; CARLA L</t>
  </si>
  <si>
    <t>NEIL</t>
  </si>
  <si>
    <t>NEIL CAMPBELL</t>
  </si>
  <si>
    <t xml:space="preserve">15693 W ASHLAND AVE </t>
  </si>
  <si>
    <t>PALM VALLEY PHASE 8 NORTH PARCEL</t>
  </si>
  <si>
    <t>PALM VALLEY NORTH</t>
  </si>
  <si>
    <t>CAMPBELL NEIL</t>
  </si>
  <si>
    <t>CHRISTIAN</t>
  </si>
  <si>
    <t>DIEGEL</t>
  </si>
  <si>
    <t>CHRISTIAN &amp; BERNADETTE DIEGEL</t>
  </si>
  <si>
    <t xml:space="preserve">10668 E TOPAZ DR </t>
  </si>
  <si>
    <t>HERITAGE TERRACE 2 LT 1-85 TR A</t>
  </si>
  <si>
    <t>HERITAGE TERRACE</t>
  </si>
  <si>
    <t>LAGUNA ELEMENTARY SCHOOL</t>
  </si>
  <si>
    <t>MOUNTAINSIDE MIDDLE SCHOOL</t>
  </si>
  <si>
    <t>DESERT MOUNTAIN HIGH SCHOOL</t>
  </si>
  <si>
    <t>GARRIGAN FAMILY TRUST</t>
  </si>
  <si>
    <t>DIEGEL CHRISTIAN J &amp; BERNADETTE</t>
  </si>
  <si>
    <t>KNUDSON</t>
  </si>
  <si>
    <t>SHARON &amp; TODD KNUDSON</t>
  </si>
  <si>
    <t xml:space="preserve">4249 N 180TH LN </t>
  </si>
  <si>
    <t>SEDELLA PARCEL 1A</t>
  </si>
  <si>
    <t>KNUDSON SHARON L &amp; TODD N</t>
  </si>
  <si>
    <t>SAMUEL</t>
  </si>
  <si>
    <t>DIGGINS</t>
  </si>
  <si>
    <t>SAMUEL DIGGINS</t>
  </si>
  <si>
    <t xml:space="preserve">4512 W COLES RD </t>
  </si>
  <si>
    <t>R017</t>
  </si>
  <si>
    <t>CHEATHAM FARMS UNIT 5 AMD</t>
  </si>
  <si>
    <t>CHEATHAM ELEMENTARY SCHOOL</t>
  </si>
  <si>
    <t>MESA RUBEN M</t>
  </si>
  <si>
    <t>DIGGINS SAMUEL E</t>
  </si>
  <si>
    <t>SHEPHERD</t>
  </si>
  <si>
    <t>JOHN SHEPHERD</t>
  </si>
  <si>
    <t xml:space="preserve">1650 W MAPLEWOOD ST </t>
  </si>
  <si>
    <t>PECOS RANCH UNIT TWO REPLAT</t>
  </si>
  <si>
    <t>PECOS RANCH</t>
  </si>
  <si>
    <t>SCOTT BRUCE &amp; PAMELA M</t>
  </si>
  <si>
    <t>SHEPHERD JOHN</t>
  </si>
  <si>
    <t>SHAULAN</t>
  </si>
  <si>
    <t>MORGAN &amp; SHAULAN KAY</t>
  </si>
  <si>
    <t xml:space="preserve">18409 E RAVEN DR </t>
  </si>
  <si>
    <t>CORTINA PARCEL 4</t>
  </si>
  <si>
    <t>R-12</t>
  </si>
  <si>
    <t>CORTINA ELEMENTARY SCHOOL</t>
  </si>
  <si>
    <t>SCHUFFERT MICHAEL &amp; JENNIFER</t>
  </si>
  <si>
    <t>MORGAN MCKAY F &amp; SHAULAN K</t>
  </si>
  <si>
    <t>KARINE-ANNE</t>
  </si>
  <si>
    <t>MACHADO</t>
  </si>
  <si>
    <t>KARINE-ANNE MACHADO</t>
  </si>
  <si>
    <t xml:space="preserve">2338 E GELDING DR </t>
  </si>
  <si>
    <t>C064</t>
  </si>
  <si>
    <t>MONTIERRA AT SHADOW MOUNTAIN</t>
  </si>
  <si>
    <t>PAD-HD</t>
  </si>
  <si>
    <t>HIDDEN HILLS ELEMENTARY SCHOOL</t>
  </si>
  <si>
    <t>NICKS STALEY INVS LLC</t>
  </si>
  <si>
    <t>KARINE-ANNE M MACHADO</t>
  </si>
  <si>
    <t>DAVID &amp; JANICE PERKINS FAMILY TRUST</t>
  </si>
  <si>
    <t>DAVID &amp; JANICE PERKINS</t>
  </si>
  <si>
    <t xml:space="preserve">3546 N LOS ALAMOS </t>
  </si>
  <si>
    <t>PERKINS DAVID &amp; JANICE TRUST</t>
  </si>
  <si>
    <t>PRZYBYLSKI</t>
  </si>
  <si>
    <t>CHRISTOPHER &amp; SAMANTHA PRZYBYLSKI</t>
  </si>
  <si>
    <t xml:space="preserve">22616 E DESERT SPOON DR </t>
  </si>
  <si>
    <t>PRZYBYLSKI CHRISTOPHER L</t>
  </si>
  <si>
    <t>SALLEE</t>
  </si>
  <si>
    <t>DONALD &amp; PATRICIA SALLEE</t>
  </si>
  <si>
    <t xml:space="preserve">14417 W VENTURA ST </t>
  </si>
  <si>
    <t>R082</t>
  </si>
  <si>
    <t>ROYAL RANCH UNIT 1 PARCEL 1 REPLAT</t>
  </si>
  <si>
    <t>ASHTON RANCH ELEMENTARY SCHOOL</t>
  </si>
  <si>
    <t>MCCARTHY TIMOTHY A</t>
  </si>
  <si>
    <t>DONALD SALLEE</t>
  </si>
  <si>
    <t>PATRICIA SALLEE</t>
  </si>
  <si>
    <t>LEMAIRE</t>
  </si>
  <si>
    <t>JOHN &amp; CAROL LEMAIRE</t>
  </si>
  <si>
    <t xml:space="preserve">2730 E RUNAWAY BAY PL </t>
  </si>
  <si>
    <t>LEMAIRE JOHN P &amp; CAROL A</t>
  </si>
  <si>
    <t>VANDENHUEVEL</t>
  </si>
  <si>
    <t>VANDENHUEVEL &amp; JOHN JOSEPH</t>
  </si>
  <si>
    <t xml:space="preserve">2508 N 198TH AVE </t>
  </si>
  <si>
    <t>VALENCIA HEIGHTS MLD</t>
  </si>
  <si>
    <t>VALENCIA HEIGHTS</t>
  </si>
  <si>
    <t>GARY GERARD CONST INC</t>
  </si>
  <si>
    <t>IFREEDOM DIRECT CORP</t>
  </si>
  <si>
    <t>VANDENHUEVEL BIANCA L M &amp; JOH</t>
  </si>
  <si>
    <t>THOMPSON FAMILY LIVING TRUST</t>
  </si>
  <si>
    <t xml:space="preserve">2820 E DETROIT ST </t>
  </si>
  <si>
    <t>THOMPSON ENNIS G &amp; MARCIA L</t>
  </si>
  <si>
    <t>HUBLE</t>
  </si>
  <si>
    <t>PETER HUBLE</t>
  </si>
  <si>
    <t xml:space="preserve">28526 N 23RD LN </t>
  </si>
  <si>
    <t>CASINO AVENUE</t>
  </si>
  <si>
    <t>FIRESIDE AT NORTERRA</t>
  </si>
  <si>
    <t>USAA</t>
  </si>
  <si>
    <t>SAN ANTONIO TX 78288-0544</t>
  </si>
  <si>
    <t>PETER E HUBLE</t>
  </si>
  <si>
    <t>BRAXTON</t>
  </si>
  <si>
    <t>MORE</t>
  </si>
  <si>
    <t>KRISTEN</t>
  </si>
  <si>
    <t>BRAXTON &amp; KRISTEN MORE</t>
  </si>
  <si>
    <t xml:space="preserve">287 N SCOTT DR </t>
  </si>
  <si>
    <t>MORE BRAXTON M &amp; KRISTEN</t>
  </si>
  <si>
    <t>AMADEO</t>
  </si>
  <si>
    <t>LAYOS</t>
  </si>
  <si>
    <t>HONORA</t>
  </si>
  <si>
    <t>AMADEO &amp; HONORA LAYOS</t>
  </si>
  <si>
    <t xml:space="preserve">7342 S WILLOW DR </t>
  </si>
  <si>
    <t>KNOELL TEMPE 9 LOT 1-328 TR A</t>
  </si>
  <si>
    <t>KYRENE DE LOS NINOS COLLEGE BOUND DUAL LANGUAGE ACADEMY</t>
  </si>
  <si>
    <t>CLARK ELIZABETH IRENE TRUST</t>
  </si>
  <si>
    <t>LAYOS AMADEO D &amp; HONORA G</t>
  </si>
  <si>
    <t>ARVID</t>
  </si>
  <si>
    <t>ARVID &amp; KAY PETERSON</t>
  </si>
  <si>
    <t xml:space="preserve">18642 N CONQUISTADOR DR </t>
  </si>
  <si>
    <t>SUN CITY WEST</t>
  </si>
  <si>
    <t xml:space="preserve">13142 W CASTLEBAR DR </t>
  </si>
  <si>
    <t>SUN CITY WEST 12  LOT 1-532 &amp; TR A-F</t>
  </si>
  <si>
    <t>MCDARIS RONALD G</t>
  </si>
  <si>
    <t>WALLICK &amp; VOLK INC</t>
  </si>
  <si>
    <t>PETERSON ARVID O &amp; KAY A</t>
  </si>
  <si>
    <t>LARA</t>
  </si>
  <si>
    <t>DANIEL &amp; MARCELA LARA</t>
  </si>
  <si>
    <t xml:space="preserve">7178 S DODANE CT </t>
  </si>
  <si>
    <t>R107</t>
  </si>
  <si>
    <t>SEVILLE PARCEL 23</t>
  </si>
  <si>
    <t>SANTANA II</t>
  </si>
  <si>
    <t>RIGGS ELEMENTARY SCHOOL</t>
  </si>
  <si>
    <t>SLOWEY DENNIS J</t>
  </si>
  <si>
    <t>LARA DANIEL</t>
  </si>
  <si>
    <t>DUKE</t>
  </si>
  <si>
    <t>JAMIE &amp; CASSIE DUKE</t>
  </si>
  <si>
    <t xml:space="preserve">22237 E DESERT HILLS CT </t>
  </si>
  <si>
    <t>OCOTILLO HEIGHTS PHASE 1</t>
  </si>
  <si>
    <t>OCOTILLO HEIGHTS</t>
  </si>
  <si>
    <t>DUKE JAMIE A &amp; CASSIE A</t>
  </si>
  <si>
    <t>ECKERT</t>
  </si>
  <si>
    <t>JOHNSON &amp; LAURA ECKERT</t>
  </si>
  <si>
    <t xml:space="preserve">15610 W BALLAD DR </t>
  </si>
  <si>
    <t>SUN CITY WEST 48  LOT 1-159  TR A</t>
  </si>
  <si>
    <t>ELITZ CARL J &amp; S M TRUST</t>
  </si>
  <si>
    <t>JOHNSON MARK A &amp; LAURA E</t>
  </si>
  <si>
    <t>HILL</t>
  </si>
  <si>
    <t>CHRISTOPHER HILL</t>
  </si>
  <si>
    <t xml:space="preserve">23725 S 224TH PL </t>
  </si>
  <si>
    <t>R047</t>
  </si>
  <si>
    <t>LA SENTIERO</t>
  </si>
  <si>
    <t>FRANCES BRANDON-PICKETT ELEMENTARY SCHOOL</t>
  </si>
  <si>
    <t>HILL CHRISTOPHER DALE</t>
  </si>
  <si>
    <t>SHROYER LIVING TRUST</t>
  </si>
  <si>
    <t>SHROYER</t>
  </si>
  <si>
    <t xml:space="preserve">11622 N 95TH ST </t>
  </si>
  <si>
    <t>C070</t>
  </si>
  <si>
    <t xml:space="preserve">5238 E GELDING DR </t>
  </si>
  <si>
    <t>SCOTTSDALE VISTA NO 3 LOT 388-414</t>
  </si>
  <si>
    <t>SCOTTSDALE VISTA</t>
  </si>
  <si>
    <t>REDFIELD ELEMENTARY SCHOOL</t>
  </si>
  <si>
    <t>SCOTT SONIA M TRUSTEE T</t>
  </si>
  <si>
    <t>SHROYER BRAD &amp; KRISTEN</t>
  </si>
  <si>
    <t>HAWTHORNE FAMILY TRUST</t>
  </si>
  <si>
    <t>HAWTHORNE</t>
  </si>
  <si>
    <t xml:space="preserve">18578 E PINE BARRENS AVE </t>
  </si>
  <si>
    <t>R020</t>
  </si>
  <si>
    <t>SOSSAMAN ESTATES PARCEL G</t>
  </si>
  <si>
    <t>MOTOMATSU ALISON K</t>
  </si>
  <si>
    <t>HAWTHORNE GARRETT H</t>
  </si>
  <si>
    <t>MCGRATH</t>
  </si>
  <si>
    <t>ZELT</t>
  </si>
  <si>
    <t>MARK MCGRATH &amp; DENISE ZELT</t>
  </si>
  <si>
    <t xml:space="preserve">3662 W BARCELONA DR </t>
  </si>
  <si>
    <t>C006</t>
  </si>
  <si>
    <t>PARKSIDE ESTATES UNIT 2 LOT 1-73 TR A-C</t>
  </si>
  <si>
    <t>PARKSIDE ESTATES</t>
  </si>
  <si>
    <t>KYRENE DEL CIELO SCHOOL</t>
  </si>
  <si>
    <t>KYRENE APRENDE MIDDLE SCHOOL</t>
  </si>
  <si>
    <t>KOHRING FAMILY TRUST</t>
  </si>
  <si>
    <t>MCGRATH MARK T</t>
  </si>
  <si>
    <t>ZELT DENISE A</t>
  </si>
  <si>
    <t>FOLSE</t>
  </si>
  <si>
    <t>MELANIE FOLSE</t>
  </si>
  <si>
    <t xml:space="preserve">1170 W SILVER CREEK RD </t>
  </si>
  <si>
    <t>ARTEMINA</t>
  </si>
  <si>
    <t>CHIPMAN MONICA</t>
  </si>
  <si>
    <t>FOLSE MELANIE C</t>
  </si>
  <si>
    <t>BRINKLEY</t>
  </si>
  <si>
    <t>JAMES &amp; BONNIE BRINKLEY</t>
  </si>
  <si>
    <t xml:space="preserve">13252 W QUINTO DR </t>
  </si>
  <si>
    <t>CORTE BELLA COUNTRY CLUB AT LAS PALMAS U</t>
  </si>
  <si>
    <t>CORTE BELLA COUNTRY CLUB AT LAS PALMAS</t>
  </si>
  <si>
    <t>ECKER FAMILY TRUST</t>
  </si>
  <si>
    <t>SOUTHWEST DIRECT MTG LLC</t>
  </si>
  <si>
    <t>BRINKLEY JAMES A &amp; BONNIE L</t>
  </si>
  <si>
    <t>PEMBERTON</t>
  </si>
  <si>
    <t>TRISHA</t>
  </si>
  <si>
    <t>RONALD &amp; TRISHA PEMBERTON</t>
  </si>
  <si>
    <t xml:space="preserve">1360 N FAITH </t>
  </si>
  <si>
    <t>SAGUARO MOUNTAIN</t>
  </si>
  <si>
    <t>HELLNER RICHARD J</t>
  </si>
  <si>
    <t>PEMBERTON RONALD &amp; TRISHA</t>
  </si>
  <si>
    <t>JOHNNY</t>
  </si>
  <si>
    <t>JOHNNY &amp; RACHEL WILLIAMS</t>
  </si>
  <si>
    <t xml:space="preserve">3148 E BELLFLOWER CT </t>
  </si>
  <si>
    <t>ACACIA REPLAT</t>
  </si>
  <si>
    <t>ACACIA</t>
  </si>
  <si>
    <t>WILLIAMS JR JOHNNY N</t>
  </si>
  <si>
    <t>WILLIAMS RACHEL</t>
  </si>
  <si>
    <t>HINTON</t>
  </si>
  <si>
    <t>FLORA</t>
  </si>
  <si>
    <t>HINTON &amp; MARGARET FLORA</t>
  </si>
  <si>
    <t xml:space="preserve">6251 E BRAMBLE BERRY LN </t>
  </si>
  <si>
    <t>H037</t>
  </si>
  <si>
    <t>LONE MOUNTAIN</t>
  </si>
  <si>
    <t>EAST BRUNSWICK NJ 08816</t>
  </si>
  <si>
    <t>HINTON MICHAEL A &amp; MARGARET F</t>
  </si>
  <si>
    <t>TERRELL</t>
  </si>
  <si>
    <t>TERRELL &amp; JANE MARIE</t>
  </si>
  <si>
    <t xml:space="preserve">13236 W RINCON DR </t>
  </si>
  <si>
    <t>FULCHER LARRY M</t>
  </si>
  <si>
    <t>TERRELL MICHAEL R &amp; JANE M</t>
  </si>
  <si>
    <t>MEANS</t>
  </si>
  <si>
    <t>LEONARD &amp; JENNIFER MEANS</t>
  </si>
  <si>
    <t xml:space="preserve">17928 W ROYAL PALM RD </t>
  </si>
  <si>
    <t>WHITE TANK FOOTHILLS PARCEL 10 AMD</t>
  </si>
  <si>
    <t>WHITE TANK FOOTHILLS</t>
  </si>
  <si>
    <t>MOUNTAIN VIEW ELEMENTARY SCHOOL</t>
  </si>
  <si>
    <t>DEMARCO FAMILY LIVING TRUST</t>
  </si>
  <si>
    <t>MEANS LEONARD P &amp; JENNIFER L</t>
  </si>
  <si>
    <t>PABLO</t>
  </si>
  <si>
    <t>GRADILLAS</t>
  </si>
  <si>
    <t>PABLO &amp; KRISTINA GRADILLAS</t>
  </si>
  <si>
    <t xml:space="preserve">14410 N 135TH DR </t>
  </si>
  <si>
    <t xml:space="preserve">2896 GARFIELD PL S </t>
  </si>
  <si>
    <t>CAMBRIDGE</t>
  </si>
  <si>
    <t>MN</t>
  </si>
  <si>
    <t>LITCHFIELD MANOR PARCEL 9</t>
  </si>
  <si>
    <t>PARKVIEW ELEMENTARY SCHOOL</t>
  </si>
  <si>
    <t>GRADILLAS MARIO &amp; KRISTI</t>
  </si>
  <si>
    <t>GRADILLAS PABLO E &amp; KRISTINA K</t>
  </si>
  <si>
    <t>EPHRAIM</t>
  </si>
  <si>
    <t>GLADNEY</t>
  </si>
  <si>
    <t>EPHRAIM GLADNEY</t>
  </si>
  <si>
    <t xml:space="preserve">5921 S CAMBRIDGE ST </t>
  </si>
  <si>
    <t>R018</t>
  </si>
  <si>
    <t>VICTORIA MANOR</t>
  </si>
  <si>
    <t>THE MONEY SOURCE INC</t>
  </si>
  <si>
    <t>GLADNEY EPHRAIM L</t>
  </si>
  <si>
    <t>URQUIETA</t>
  </si>
  <si>
    <t>FREDRICKA</t>
  </si>
  <si>
    <t>ERNEST &amp; FREDRICKA URQUIETA</t>
  </si>
  <si>
    <t xml:space="preserve">19323 W COLTER ST </t>
  </si>
  <si>
    <t>JACKRABBIT ESTATES</t>
  </si>
  <si>
    <t>URQUIETA ERNEST M &amp; FREDRICKA L</t>
  </si>
  <si>
    <t>STEVE</t>
  </si>
  <si>
    <t>ELAINE BRAUN &amp; STEVE SNYDER</t>
  </si>
  <si>
    <t xml:space="preserve">5825 W ROYAL PALM RD </t>
  </si>
  <si>
    <t>C007</t>
  </si>
  <si>
    <t>HISTORIC THUNDERBIRD ESTATES</t>
  </si>
  <si>
    <t>R-17</t>
  </si>
  <si>
    <t>GLENDALE AMERICAN SCHOOL</t>
  </si>
  <si>
    <t>GLENDALE HIGH SCHOOL</t>
  </si>
  <si>
    <t>PAK NINA M TRUST</t>
  </si>
  <si>
    <t>BRAUN ELAINE</t>
  </si>
  <si>
    <t>SNYDER STEVE</t>
  </si>
  <si>
    <t>PURCELL</t>
  </si>
  <si>
    <t>ANN &amp; ANN ALLEN</t>
  </si>
  <si>
    <t xml:space="preserve">1812 W WINCHESTER WAY </t>
  </si>
  <si>
    <t>SILVERTON RANCH</t>
  </si>
  <si>
    <t>CONLEY ELEMENTARY SCHOOL</t>
  </si>
  <si>
    <t>WHITE PATRICIA</t>
  </si>
  <si>
    <t>PURCELL JEFFREY ALLEN</t>
  </si>
  <si>
    <t>JEFFREY A PURCELL</t>
  </si>
  <si>
    <t>CARRIE A PURCELL</t>
  </si>
  <si>
    <t>DAVID GARCIA</t>
  </si>
  <si>
    <t xml:space="preserve">1180 N 164TH AVE </t>
  </si>
  <si>
    <t>GARCIA DAVID O</t>
  </si>
  <si>
    <t>CHRISTOBAL</t>
  </si>
  <si>
    <t>VALLEZ</t>
  </si>
  <si>
    <t>CHRISTOBAL VALLEZ</t>
  </si>
  <si>
    <t xml:space="preserve">10341 W PAPAGO ST </t>
  </si>
  <si>
    <t>WILKENS</t>
  </si>
  <si>
    <t>APRIL &amp; DEREK WILKENS</t>
  </si>
  <si>
    <t xml:space="preserve">15763 W POINSETTIA DR </t>
  </si>
  <si>
    <t>SCHROFF ERIC</t>
  </si>
  <si>
    <t>WILKENS APRIL J &amp; DEREK A</t>
  </si>
  <si>
    <t>PRANTE MATTHEW C &amp; SUZETTE L TR</t>
  </si>
  <si>
    <t>MATTHEW &amp; SUZETTE PRANTE</t>
  </si>
  <si>
    <t xml:space="preserve">1611 E MADDOCK RD </t>
  </si>
  <si>
    <t>H010</t>
  </si>
  <si>
    <t>FAULS JOHN PETE &amp; BEATRICE E</t>
  </si>
  <si>
    <t>PRANTE MATTHEW C &amp; SUZETTE L</t>
  </si>
  <si>
    <t>BURK</t>
  </si>
  <si>
    <t>LILY</t>
  </si>
  <si>
    <t>EDWARD &amp; LILY BURK</t>
  </si>
  <si>
    <t xml:space="preserve">1425 N BALBOA </t>
  </si>
  <si>
    <t>HIGLEY HEIGHTS PHASE 1 AMD</t>
  </si>
  <si>
    <t>COPPER CREST</t>
  </si>
  <si>
    <t>BUSH ELEMENTARY SCHOOL</t>
  </si>
  <si>
    <t>BURK EDWARD L &amp; LILY L</t>
  </si>
  <si>
    <t>PAIGE</t>
  </si>
  <si>
    <t>IRENE</t>
  </si>
  <si>
    <t>MAHONEY-PAIGE</t>
  </si>
  <si>
    <t>GEORGE PAIGE &amp; IRENE MAHONEY-PAIGE</t>
  </si>
  <si>
    <t xml:space="preserve">3753 E LANTANA DR </t>
  </si>
  <si>
    <t>LAYTON LAKES PARCEL 17 AMD</t>
  </si>
  <si>
    <t>WOODSIDE COLLECTION</t>
  </si>
  <si>
    <t>PAIGE GEORGE W</t>
  </si>
  <si>
    <t>MAHONEY-PAIGE IRENE M</t>
  </si>
  <si>
    <t>MARSHA</t>
  </si>
  <si>
    <t>DONALD &amp; MARSHA CLARK</t>
  </si>
  <si>
    <t xml:space="preserve">29991 N 134TH DR </t>
  </si>
  <si>
    <t>TRILOGY WEST PHASE 1 PARCEL C42</t>
  </si>
  <si>
    <t>CLARK DONALD R</t>
  </si>
  <si>
    <t>ANTONIO</t>
  </si>
  <si>
    <t>ROLDAN</t>
  </si>
  <si>
    <t>ANTONIO &amp; JENNIFER ROLDAN</t>
  </si>
  <si>
    <t xml:space="preserve">7222 E PAMPA AVE </t>
  </si>
  <si>
    <t>ROLDAN ANTONIO L &amp; JENNIFER L</t>
  </si>
  <si>
    <t>SCHMELTZ</t>
  </si>
  <si>
    <t>JOHN SCHMELTZ</t>
  </si>
  <si>
    <t xml:space="preserve">5246 S LOCKE </t>
  </si>
  <si>
    <t>EASTMARK DU-3 SOUTH PARCEL 3-3</t>
  </si>
  <si>
    <t>RS-7</t>
  </si>
  <si>
    <t>SCHMELTZ JOHN F</t>
  </si>
  <si>
    <t>BRADDY</t>
  </si>
  <si>
    <t>WANDA</t>
  </si>
  <si>
    <t>JAMES &amp; WANDA BRADDY</t>
  </si>
  <si>
    <t xml:space="preserve">17678 E APPALOOSA CT </t>
  </si>
  <si>
    <t>DORADA ESTATES AMD</t>
  </si>
  <si>
    <t>VAQUERO ESTATES</t>
  </si>
  <si>
    <t>TBI MTG CO</t>
  </si>
  <si>
    <t>BRADDY JAMES C</t>
  </si>
  <si>
    <t>TIAA-CREF TR CO FSB</t>
  </si>
  <si>
    <t>LUCENTE LYNN &amp; CLIFFORD J</t>
  </si>
  <si>
    <t>CHRISTOPHER &amp; CHRISTINE HALL</t>
  </si>
  <si>
    <t xml:space="preserve">10502 E NEVILLE AVE </t>
  </si>
  <si>
    <t>HALL CHRISTOPHER S &amp; CHRISTIN</t>
  </si>
  <si>
    <t>SERGIO</t>
  </si>
  <si>
    <t>VELAZQUEZ</t>
  </si>
  <si>
    <t>SERGIO VELAZQUEZ</t>
  </si>
  <si>
    <t xml:space="preserve">7254 E OSAGE AVE </t>
  </si>
  <si>
    <t xml:space="preserve">16730 W SHERMAN ST </t>
  </si>
  <si>
    <t>SERGIO MORENO</t>
  </si>
  <si>
    <t>WYLIE</t>
  </si>
  <si>
    <t>YULON</t>
  </si>
  <si>
    <t>WYLIE &amp; YULON BEARUP</t>
  </si>
  <si>
    <t xml:space="preserve">2929 E APPALOOSA RD </t>
  </si>
  <si>
    <t>R112</t>
  </si>
  <si>
    <t>WARNER GROVES AT MORRISON RANCH</t>
  </si>
  <si>
    <t>BEARUP WYLIE K &amp; YULON C</t>
  </si>
  <si>
    <t>HENRY BATES</t>
  </si>
  <si>
    <t xml:space="preserve">9414 W GEORGIA AVE </t>
  </si>
  <si>
    <t>BATES HENRY</t>
  </si>
  <si>
    <t>DANICA</t>
  </si>
  <si>
    <t>AARON &amp; DANICA RODRIGUEZ</t>
  </si>
  <si>
    <t xml:space="preserve">1164 N 164TH AVE </t>
  </si>
  <si>
    <t>RODRIGUEZ AARON &amp; DANICA</t>
  </si>
  <si>
    <t>AKIN</t>
  </si>
  <si>
    <t>CATHERINE AKIN</t>
  </si>
  <si>
    <t xml:space="preserve">10514 E NEVILLE AVE </t>
  </si>
  <si>
    <t>AKIN CATHERINE M</t>
  </si>
  <si>
    <t>SCHICK</t>
  </si>
  <si>
    <t>DIANNA</t>
  </si>
  <si>
    <t>EDWARD &amp; DIANNA SCHICK</t>
  </si>
  <si>
    <t xml:space="preserve">3122 E VALENCIA DR </t>
  </si>
  <si>
    <t>C100</t>
  </si>
  <si>
    <t>CANTATA</t>
  </si>
  <si>
    <t>R-14</t>
  </si>
  <si>
    <t>CLOVES C. CAMPBELL SR. ELEMENTARY SCHOOL</t>
  </si>
  <si>
    <t>CORNERSTONE MTG GRP</t>
  </si>
  <si>
    <t>SCHICK EDWARD T &amp; DIANNA</t>
  </si>
  <si>
    <t>CURABA</t>
  </si>
  <si>
    <t>WALTER CURABA</t>
  </si>
  <si>
    <t xml:space="preserve">4520 W DAILEY ST </t>
  </si>
  <si>
    <t>HEARN MANOR</t>
  </si>
  <si>
    <t>HEARN HIDEAWAY</t>
  </si>
  <si>
    <t>CURABA WALTER</t>
  </si>
  <si>
    <t>RODOLFO</t>
  </si>
  <si>
    <t>PORRAS</t>
  </si>
  <si>
    <t>RODOLFO PORRAS</t>
  </si>
  <si>
    <t xml:space="preserve">10509 E NATAL AVE </t>
  </si>
  <si>
    <t>IRVING TX 75063</t>
  </si>
  <si>
    <t>PORRAS RODOLFO R</t>
  </si>
  <si>
    <t>PRATT</t>
  </si>
  <si>
    <t>CRAIG &amp; ANN PRATT</t>
  </si>
  <si>
    <t xml:space="preserve">3061 E INDIGO CT </t>
  </si>
  <si>
    <t>LAYTON LAKES PARCEL 27</t>
  </si>
  <si>
    <t>LANDMARK COLLECTION</t>
  </si>
  <si>
    <t>PRATT CRAIG S &amp; ANN P</t>
  </si>
  <si>
    <t>SAMUEL &amp; CYNTHIA JOHNSON</t>
  </si>
  <si>
    <t xml:space="preserve">8915 S 14TH WAY </t>
  </si>
  <si>
    <t>MONTANA VISTA 2</t>
  </si>
  <si>
    <t>JOHNSON SAMUEL A</t>
  </si>
  <si>
    <t>SAMUEL A JOHNSON</t>
  </si>
  <si>
    <t>CYNTHIA M JOHNSON</t>
  </si>
  <si>
    <t>SKALL FAMILY LIVING TRUST</t>
  </si>
  <si>
    <t>SKALL</t>
  </si>
  <si>
    <t xml:space="preserve">550 W LAS PALMARITAS DR </t>
  </si>
  <si>
    <t>C010</t>
  </si>
  <si>
    <t>MARGOLD</t>
  </si>
  <si>
    <t>RICHARD E. MILLER ELEMENTARY SCHOOL</t>
  </si>
  <si>
    <t>ROYAL PALM MIDDLE SCHOOL</t>
  </si>
  <si>
    <t>SUNNYSLOPE HIGH SCHOOL</t>
  </si>
  <si>
    <t>EDGE DEV LLC</t>
  </si>
  <si>
    <t>SKALL RUSSELL C &amp; TIFFANY</t>
  </si>
  <si>
    <t>DISCOVER BK</t>
  </si>
  <si>
    <t>NEW CASTLE DE 19720</t>
  </si>
  <si>
    <t>YANULIS</t>
  </si>
  <si>
    <t>RORY YANULIS</t>
  </si>
  <si>
    <t xml:space="preserve">10506 E NEVILLE AVE </t>
  </si>
  <si>
    <t>YANULIS RORY J</t>
  </si>
  <si>
    <t>CLAUDE</t>
  </si>
  <si>
    <t>EZZELL</t>
  </si>
  <si>
    <t>CLAUDE &amp; SUSAN EZZELL</t>
  </si>
  <si>
    <t xml:space="preserve">1496 W SEA FOG DR </t>
  </si>
  <si>
    <t>PARADISE COVE AT THE ISLANDS</t>
  </si>
  <si>
    <t>SHUMWAY ELEMENTARY SCHOOL</t>
  </si>
  <si>
    <t>EZZELL CLAUDE &amp; SUSAN L</t>
  </si>
  <si>
    <t>HOLLMANN</t>
  </si>
  <si>
    <t>DORRITA</t>
  </si>
  <si>
    <t>ALLAN &amp; DORRITA HOLLMANN</t>
  </si>
  <si>
    <t xml:space="preserve">6926 N 129TH DR </t>
  </si>
  <si>
    <t>C029</t>
  </si>
  <si>
    <t>SOLARE RANCH SUBDIVISION</t>
  </si>
  <si>
    <t>DISCOVERY AT SOLARE RANCH</t>
  </si>
  <si>
    <t>HOLLMANN ALLAN R &amp; DORRITA J</t>
  </si>
  <si>
    <t>BURKHART</t>
  </si>
  <si>
    <t>MATTHEW &amp; NICOLE BURKHART</t>
  </si>
  <si>
    <t xml:space="preserve">10608 E MENDOZA AVE </t>
  </si>
  <si>
    <t>BURKHART MATTHEW J &amp; NICOLE R</t>
  </si>
  <si>
    <t>LEACH</t>
  </si>
  <si>
    <t>PHILIP &amp; LESLIE LEACH</t>
  </si>
  <si>
    <t xml:space="preserve">7220 E ONZA AVE </t>
  </si>
  <si>
    <t>LEACH PHILIP M &amp; LESLIE R</t>
  </si>
  <si>
    <t>FAJEN</t>
  </si>
  <si>
    <t>ALEXANDER &amp; JESSICA FAJEN</t>
  </si>
  <si>
    <t xml:space="preserve">10457 E NEVILLE AVE </t>
  </si>
  <si>
    <t>FAJEN ALEXANDER &amp; JESSICA H</t>
  </si>
  <si>
    <t>GROSHKO</t>
  </si>
  <si>
    <t>MONIQUE &amp; JEFFREY GROSHKO</t>
  </si>
  <si>
    <t xml:space="preserve">13159 W LONE TREE TRL </t>
  </si>
  <si>
    <t>GROSHKO MONIQUE</t>
  </si>
  <si>
    <t>GROSHKO MONIQUE &amp; JEFFREY R</t>
  </si>
  <si>
    <t>SUDECK</t>
  </si>
  <si>
    <t>SUDECK &amp; JANE MARIE</t>
  </si>
  <si>
    <t xml:space="preserve">12552 W TYLER TRL </t>
  </si>
  <si>
    <t>BLACKSTONE AT VISTANCIA PARCELS A3 AND B</t>
  </si>
  <si>
    <t>SUDECK PALMER &amp; JANE M</t>
  </si>
  <si>
    <t>EAMONN</t>
  </si>
  <si>
    <t>UREY</t>
  </si>
  <si>
    <t>AUTAM</t>
  </si>
  <si>
    <t>EAMONN &amp; AUTAM UREY</t>
  </si>
  <si>
    <t xml:space="preserve">14420 S 13TH WAY </t>
  </si>
  <si>
    <t>FOOTHILLS PARCEL 9C  LOT 1-84  TR A-J</t>
  </si>
  <si>
    <t>THE HIGHLANDS</t>
  </si>
  <si>
    <t>KYRENE DE LOS CERRITOS LEADERSHIP ACADEMY</t>
  </si>
  <si>
    <t>CAPALBO JANET &amp; DENNIS V</t>
  </si>
  <si>
    <t>UREY EAMONN A &amp; AUTAM R</t>
  </si>
  <si>
    <t>DANIEL &amp; KIMBERLY MURPHY</t>
  </si>
  <si>
    <t xml:space="preserve">1601 E MONTOYA LN </t>
  </si>
  <si>
    <t>SCARLETT CANYON</t>
  </si>
  <si>
    <t>MCCLENDON PAUL W</t>
  </si>
  <si>
    <t>MURPHY DANIEL J &amp; KIMBERLY M</t>
  </si>
  <si>
    <t>LEKEISHA</t>
  </si>
  <si>
    <t>LOTT</t>
  </si>
  <si>
    <t>LEKEISHA LOTT</t>
  </si>
  <si>
    <t xml:space="preserve">10423 W YUMA ST </t>
  </si>
  <si>
    <t>LOTT LEKEISHA R</t>
  </si>
  <si>
    <t>NOEL</t>
  </si>
  <si>
    <t>LUMABAS</t>
  </si>
  <si>
    <t>NOEL &amp; DARLENE LUMABAS</t>
  </si>
  <si>
    <t xml:space="preserve">7249 E OSAGE AVE </t>
  </si>
  <si>
    <t>LUMABAS NOEL E &amp; DARLENE</t>
  </si>
  <si>
    <t>SAKALAS FAMILY TRUST</t>
  </si>
  <si>
    <t>JODI</t>
  </si>
  <si>
    <t>SAKALAS FAMILY</t>
  </si>
  <si>
    <t xml:space="preserve">2833 E APPALOOSA RD </t>
  </si>
  <si>
    <t>SAKALAS KEVIN</t>
  </si>
  <si>
    <t>KEVIN M SAKALAS</t>
  </si>
  <si>
    <t>JODI L SAKALAS</t>
  </si>
  <si>
    <t>SANCHEZ</t>
  </si>
  <si>
    <t>LOUIS &amp; ESTHER SANCHEZ</t>
  </si>
  <si>
    <t xml:space="preserve">7221 E OSAGE AVE </t>
  </si>
  <si>
    <t>SANCHEZ LOUIS &amp; ESTHER</t>
  </si>
  <si>
    <t>CHARRON</t>
  </si>
  <si>
    <t>KRYSTAL</t>
  </si>
  <si>
    <t>CHARLES &amp; KRYSTAL CHARRON</t>
  </si>
  <si>
    <t xml:space="preserve">10502 E MONTEREY AVE </t>
  </si>
  <si>
    <t>PEOPLES HOME EQUITY INC</t>
  </si>
  <si>
    <t>CHARRON CHARLES J &amp; KRYSTAL</t>
  </si>
  <si>
    <t>J</t>
  </si>
  <si>
    <t>HENDRICKS</t>
  </si>
  <si>
    <t>J HENDRICKS</t>
  </si>
  <si>
    <t xml:space="preserve">10505 E NATAL AVE </t>
  </si>
  <si>
    <t>HENDRICKS J E</t>
  </si>
  <si>
    <t>CHEVES</t>
  </si>
  <si>
    <t>LOU</t>
  </si>
  <si>
    <t>CHEVES &amp; MARY LOU</t>
  </si>
  <si>
    <t xml:space="preserve">2325 S BANNING ST </t>
  </si>
  <si>
    <t>R129</t>
  </si>
  <si>
    <t>HIGLEY POINTE</t>
  </si>
  <si>
    <t>CHEVES WILLIAM K &amp; MARY L</t>
  </si>
  <si>
    <t>AISHA</t>
  </si>
  <si>
    <t>BEN</t>
  </si>
  <si>
    <t>AISHA &amp; BEN BATES</t>
  </si>
  <si>
    <t xml:space="preserve">2138 E MYRTLE AVE </t>
  </si>
  <si>
    <t>MADISON HEIGHTS ELEMENTARY SCHOOL</t>
  </si>
  <si>
    <t>MADISON 1 MIDDLE SCHOOL</t>
  </si>
  <si>
    <t>CAMELBACK HIGH SCHOOL</t>
  </si>
  <si>
    <t>REEVES STACY T</t>
  </si>
  <si>
    <t>BATES BEN G</t>
  </si>
  <si>
    <t>BOSH</t>
  </si>
  <si>
    <t>BRIAN &amp; ANGELA BOSH</t>
  </si>
  <si>
    <t xml:space="preserve">18503 W MAUI LN </t>
  </si>
  <si>
    <t>SIERRA MONTANA PARCEL 3</t>
  </si>
  <si>
    <t>SUNSET HILLS ELEMENTARY SCHOOL</t>
  </si>
  <si>
    <t>ACOSTA SHARYN</t>
  </si>
  <si>
    <t>BOSH BRIAN C &amp; ANGELA M</t>
  </si>
  <si>
    <t>PIERCE</t>
  </si>
  <si>
    <t>LAURIE &amp; JESSE PIERCE</t>
  </si>
  <si>
    <t xml:space="preserve">4920 E COLONIAL DR </t>
  </si>
  <si>
    <t>SUN GROVES PARCEL 23</t>
  </si>
  <si>
    <t>NAVARRETE ELEMENTARY SCHOOL</t>
  </si>
  <si>
    <t>SCHMIDT SCOTT A &amp; TAMMY R</t>
  </si>
  <si>
    <t>PIERCE LAURIE A &amp; JESSE R JR</t>
  </si>
  <si>
    <t>OCONNOR FAMILY TRUST</t>
  </si>
  <si>
    <t>OCONNOR</t>
  </si>
  <si>
    <t xml:space="preserve">30059 N 133RD AVE </t>
  </si>
  <si>
    <t>OCONNOR RANDY A</t>
  </si>
  <si>
    <t>TRUJILLO</t>
  </si>
  <si>
    <t>ADOLPH &amp; PATRICIA TRUJILLO</t>
  </si>
  <si>
    <t xml:space="preserve">10632 E MESETO AVE </t>
  </si>
  <si>
    <t>TRUJILLO ADOLPH &amp; PATRICIA</t>
  </si>
  <si>
    <t>CORY</t>
  </si>
  <si>
    <t>CASEY</t>
  </si>
  <si>
    <t>MICA</t>
  </si>
  <si>
    <t>CORY &amp; MICA CASEY</t>
  </si>
  <si>
    <t xml:space="preserve">7259 E PORTOBELLO AVE </t>
  </si>
  <si>
    <t>CASEY CORY A &amp; MICA L</t>
  </si>
  <si>
    <t>HAGGERTY</t>
  </si>
  <si>
    <t>KADRI</t>
  </si>
  <si>
    <t>MICHAEL &amp; KADRI HAGGERTY</t>
  </si>
  <si>
    <t xml:space="preserve">5340 N 94TH LN </t>
  </si>
  <si>
    <t>HAGGERTY MICHAEL &amp; KADRI</t>
  </si>
  <si>
    <t>MATHENY</t>
  </si>
  <si>
    <t>NOBEL-MATHENY</t>
  </si>
  <si>
    <t>CHRISTOPHER &amp; NOBEL-MATHENY MATHENY</t>
  </si>
  <si>
    <t xml:space="preserve">5115 E HILLVIEW ST </t>
  </si>
  <si>
    <t>MATHENY CHRISTOPHER F</t>
  </si>
  <si>
    <t>NOBEL-MATHENY VICTORIA L</t>
  </si>
  <si>
    <t>SCHEUB</t>
  </si>
  <si>
    <t>THOMAS &amp; LEANNE SCHEUB</t>
  </si>
  <si>
    <t xml:space="preserve">5033 E MONTE CRISTO AVE </t>
  </si>
  <si>
    <t>PARADISE VALLEY MIRADA 4-A LOT 192-250</t>
  </si>
  <si>
    <t>PARADISE VALLEY MIRADA</t>
  </si>
  <si>
    <t>HORIZON HIGH SCHOOL</t>
  </si>
  <si>
    <t>US BANK NA 2006-2 TE</t>
  </si>
  <si>
    <t>SCHEUB THOMAS &amp; LEANNE</t>
  </si>
  <si>
    <t>MCWHORTER</t>
  </si>
  <si>
    <t>JASON &amp; ANGELA MCWHORTER</t>
  </si>
  <si>
    <t xml:space="preserve">21736 N 92ND AVE </t>
  </si>
  <si>
    <t>R031</t>
  </si>
  <si>
    <t>DOVE VALLEY RANCH PARCELS 2B &amp; 2C LOT 83</t>
  </si>
  <si>
    <t>DOVE VALLEY RANCH</t>
  </si>
  <si>
    <t>COYOTE HILLS ELEMENTARY SCHOOL</t>
  </si>
  <si>
    <t>SACKETT CHRISTOPHER J &amp; LEIG</t>
  </si>
  <si>
    <t>MCWHORTER JASON &amp; ANGELA</t>
  </si>
  <si>
    <t>ROBINSON &amp; HEATHER LYNN</t>
  </si>
  <si>
    <t xml:space="preserve">17576 W LILAC ST </t>
  </si>
  <si>
    <t>R033</t>
  </si>
  <si>
    <t>CANYON TRAILS UNIT 4 WEST PARCEL B3</t>
  </si>
  <si>
    <t>CANYON TRAILS WEST</t>
  </si>
  <si>
    <t>COPPER TRAILS SCHOOL</t>
  </si>
  <si>
    <t>CENTEX HOMES</t>
  </si>
  <si>
    <t>ROBINSON JOHN H &amp; HEATHER L</t>
  </si>
  <si>
    <t>PATTON</t>
  </si>
  <si>
    <t>PATTON &amp; JACK LOUIS</t>
  </si>
  <si>
    <t xml:space="preserve">16815 S 37TH PL </t>
  </si>
  <si>
    <t>C042</t>
  </si>
  <si>
    <t>WILTON COMMONS LOT 1-133 TR A-F</t>
  </si>
  <si>
    <t>WILTON COMMONS</t>
  </si>
  <si>
    <t>ANDREWS STEVEN L &amp; KAY H</t>
  </si>
  <si>
    <t>BNC NAT'L BK</t>
  </si>
  <si>
    <t>PATTON KELLIE A &amp; JACK L</t>
  </si>
  <si>
    <t>STEPHEN &amp; CLAUDIA ALLEN</t>
  </si>
  <si>
    <t xml:space="preserve">15359 N 79TH DR </t>
  </si>
  <si>
    <t>C022</t>
  </si>
  <si>
    <t>LEGACY ESTATES AMENDED</t>
  </si>
  <si>
    <t>LEGACY ESTATES</t>
  </si>
  <si>
    <t>JOY CHRISTINE</t>
  </si>
  <si>
    <t>FBC MTG LLC</t>
  </si>
  <si>
    <t>ALLEN STEPHEN M</t>
  </si>
  <si>
    <t>LANCE &amp; CINDY WELLS</t>
  </si>
  <si>
    <t xml:space="preserve">12088 W DESERT SUN LN </t>
  </si>
  <si>
    <t>COLDWATER RANCH UNIT 4</t>
  </si>
  <si>
    <t>SANTA ANA CA 92707-8788</t>
  </si>
  <si>
    <t>LANCE L WELLS</t>
  </si>
  <si>
    <t>CINDY R WELLS</t>
  </si>
  <si>
    <t>LILLIAN</t>
  </si>
  <si>
    <t>MCCORD</t>
  </si>
  <si>
    <t>LILLIAN MCCORD</t>
  </si>
  <si>
    <t xml:space="preserve">22244 N 48TH ST </t>
  </si>
  <si>
    <t>C099</t>
  </si>
  <si>
    <t>DESERT RIDGE PARCEL 4.17</t>
  </si>
  <si>
    <t>DESERT TRAILS ELEMENTARY SCHOOL</t>
  </si>
  <si>
    <t>EXPLORER MIDDLE SCHOOL</t>
  </si>
  <si>
    <t>STANLEY JEREMY L &amp; MINDY D</t>
  </si>
  <si>
    <t>MCCORD ANDREW J &amp; LILLIAN M</t>
  </si>
  <si>
    <t>WOJTOWICZ</t>
  </si>
  <si>
    <t>ALAN &amp; LESLIE WOJTOWICZ</t>
  </si>
  <si>
    <t xml:space="preserve">26803 N 43RD ST </t>
  </si>
  <si>
    <t>H017</t>
  </si>
  <si>
    <t>TATUM HIGHLANDS PARCEL 2 NORTH</t>
  </si>
  <si>
    <t>TATUM HIGHLANDS</t>
  </si>
  <si>
    <t>HORSESHOE TRAILS ELEMENTARY SCHOOL</t>
  </si>
  <si>
    <t>GLEASON LORI M</t>
  </si>
  <si>
    <t>WOJTOWICZ ALAN &amp; LESLIE</t>
  </si>
  <si>
    <t>MCGOWAN</t>
  </si>
  <si>
    <t>PAUL MCGOWAN</t>
  </si>
  <si>
    <t xml:space="preserve">10524 E MONTEREY AVE </t>
  </si>
  <si>
    <t>GUARDIAN MTG</t>
  </si>
  <si>
    <t>MCGOWAN PAUL E</t>
  </si>
  <si>
    <t>JACOBO</t>
  </si>
  <si>
    <t>LUPE</t>
  </si>
  <si>
    <t>MANUEL &amp; LUPE JACOBO</t>
  </si>
  <si>
    <t xml:space="preserve">3796 E LANTANA DR </t>
  </si>
  <si>
    <t>JACOBO MANUEL</t>
  </si>
  <si>
    <t>BRYCE</t>
  </si>
  <si>
    <t>DAVID &amp; KATHRYN BRYCE</t>
  </si>
  <si>
    <t xml:space="preserve">10240 E LOMITA AVE </t>
  </si>
  <si>
    <t>VILLAGES OF EASTRIDGE UNIT 9</t>
  </si>
  <si>
    <t>SPIKER LIVING TRUST</t>
  </si>
  <si>
    <t>BRYCE DAVID J &amp; KATHRYN</t>
  </si>
  <si>
    <t>POWELL</t>
  </si>
  <si>
    <t>ALAN POWELL</t>
  </si>
  <si>
    <t xml:space="preserve">3208 E CONSTANCE WAY </t>
  </si>
  <si>
    <t>VILLAGE AT SOUTH MOUNTAIN</t>
  </si>
  <si>
    <t>3824 GLASS LLC</t>
  </si>
  <si>
    <t>SUN W MTG USA CO INC</t>
  </si>
  <si>
    <t>POWELL ALAN</t>
  </si>
  <si>
    <t>STEVEN &amp; AMANDA KAISER</t>
  </si>
  <si>
    <t xml:space="preserve">1620 E RUNION DR </t>
  </si>
  <si>
    <t>SEXTON STEVEN O</t>
  </si>
  <si>
    <t>TUSTIN CA 92780</t>
  </si>
  <si>
    <t>KAISER STEVEN H &amp; AMANDA M</t>
  </si>
  <si>
    <t>MIDWEST REG'L BK</t>
  </si>
  <si>
    <t>FESTUS MO 63028-1269</t>
  </si>
  <si>
    <t>STEVEN H KAISER</t>
  </si>
  <si>
    <t>AMANDA M KAISER</t>
  </si>
  <si>
    <t>SHORT</t>
  </si>
  <si>
    <t>STEPHEN &amp; KATHLEEN SHORT</t>
  </si>
  <si>
    <t xml:space="preserve">1839 E HUBER ST </t>
  </si>
  <si>
    <t>EAST ORANGEWOOD ESTATES 4</t>
  </si>
  <si>
    <t>EAST ORANGEWOOD ESTATES</t>
  </si>
  <si>
    <t>MACARTHUR ELEMENTARY SCHOOL</t>
  </si>
  <si>
    <t>TURNER KATHARINA K C T T</t>
  </si>
  <si>
    <t>SHORT STEPHEN A &amp; KATHLEEN M</t>
  </si>
  <si>
    <t>ASHBELL</t>
  </si>
  <si>
    <t>PARK</t>
  </si>
  <si>
    <t>PUALANI</t>
  </si>
  <si>
    <t>ASHBELL &amp; PUALANI PARK</t>
  </si>
  <si>
    <t xml:space="preserve">1630 S FAITH </t>
  </si>
  <si>
    <t>SIERRA RANCH 3</t>
  </si>
  <si>
    <t>SIERRA RANCH</t>
  </si>
  <si>
    <t>STEBBINS DANIEL B &amp; MINDI S</t>
  </si>
  <si>
    <t>PARK ASHBELL &amp; PUALANI</t>
  </si>
  <si>
    <t>CICINELLI</t>
  </si>
  <si>
    <t>DEVIN CICINELLI</t>
  </si>
  <si>
    <t xml:space="preserve">14821 W GEORGIA DR </t>
  </si>
  <si>
    <t>R032</t>
  </si>
  <si>
    <t>MARLEY PARK PARCEL 11</t>
  </si>
  <si>
    <t>CICINELLI DEVIN M</t>
  </si>
  <si>
    <t>LONNY</t>
  </si>
  <si>
    <t>LAWSON</t>
  </si>
  <si>
    <t>LONNY &amp; DONNA LAWSON</t>
  </si>
  <si>
    <t xml:space="preserve">4707 E SIERRA SUNSET TRL </t>
  </si>
  <si>
    <t>H032</t>
  </si>
  <si>
    <t>ASHLER HILLS RANCH</t>
  </si>
  <si>
    <t>COELHO MYRON C</t>
  </si>
  <si>
    <t>LAWSON LONNY &amp; DONNA</t>
  </si>
  <si>
    <t>SQUIER</t>
  </si>
  <si>
    <t>MARCI</t>
  </si>
  <si>
    <t>JOSEPH &amp; MARCI SQUIER</t>
  </si>
  <si>
    <t xml:space="preserve">16735 W WATKINS ST </t>
  </si>
  <si>
    <t>H073</t>
  </si>
  <si>
    <t>CANYON TRAILS UNIT 4 SOUTH PARCEL E</t>
  </si>
  <si>
    <t>BRADY MICHAEL</t>
  </si>
  <si>
    <t>SQUIER JOSEPH &amp; MARCI</t>
  </si>
  <si>
    <t>GARVEN</t>
  </si>
  <si>
    <t>THOMAS GARVEN</t>
  </si>
  <si>
    <t xml:space="preserve">13940 W VIA TERCERO </t>
  </si>
  <si>
    <t>C038</t>
  </si>
  <si>
    <t>SUN CITY WEST UNIT 53</t>
  </si>
  <si>
    <t>JONES FLERNOY &amp; CAROL TRUST</t>
  </si>
  <si>
    <t>GARVEN THOMAS C</t>
  </si>
  <si>
    <t>WARD FAMILY TRUST</t>
  </si>
  <si>
    <t>WARD</t>
  </si>
  <si>
    <t xml:space="preserve">7647 E TAILFEATHER DR </t>
  </si>
  <si>
    <t>GRAYHAWK PARCEL 1D (B)</t>
  </si>
  <si>
    <t>GRAYHAWK ELEMENTARY SCHOOL</t>
  </si>
  <si>
    <t>LESSLER CRAIG S</t>
  </si>
  <si>
    <t>SHUMAN</t>
  </si>
  <si>
    <t>CANDACE</t>
  </si>
  <si>
    <t>CHAD &amp; CANDACE SHUMAN</t>
  </si>
  <si>
    <t xml:space="preserve">3685 E FLOWER ST </t>
  </si>
  <si>
    <t>SEVILLE PARCEL 2</t>
  </si>
  <si>
    <t>RENAISSANCE</t>
  </si>
  <si>
    <t>SMITH RICK &amp; CHERI</t>
  </si>
  <si>
    <t>SHUMAN CHAD T &amp; CANDACE L</t>
  </si>
  <si>
    <t>SHHUMAN CANDACE L</t>
  </si>
  <si>
    <t>MERCADO</t>
  </si>
  <si>
    <t>JOSE MERCADO</t>
  </si>
  <si>
    <t xml:space="preserve">3119 W WALTER WAY </t>
  </si>
  <si>
    <t>C063</t>
  </si>
  <si>
    <t>ADOBE HIGHLANDS</t>
  </si>
  <si>
    <t>BORDELON M G &amp; JOANNE E</t>
  </si>
  <si>
    <t>MERCADO JOSE</t>
  </si>
  <si>
    <t>STEPHENS JAKE &amp; KAREN F TRUST</t>
  </si>
  <si>
    <t>KAREN STEPHENSJAKE</t>
  </si>
  <si>
    <t xml:space="preserve">19532 W PIERSON ST </t>
  </si>
  <si>
    <t>MONTES DELSON D</t>
  </si>
  <si>
    <t>JACKSONVILLE FL 32202</t>
  </si>
  <si>
    <t>STEPHENS JACOB S &amp; KAREN E</t>
  </si>
  <si>
    <t>LEHTO</t>
  </si>
  <si>
    <t>CLAIRE</t>
  </si>
  <si>
    <t>CHRISTOPHER &amp; CLAIRE LEHTO</t>
  </si>
  <si>
    <t xml:space="preserve">3841 N TRAYTON ST </t>
  </si>
  <si>
    <t>VERRADO PARCEL 4.606</t>
  </si>
  <si>
    <t>OCONNOR BRIAN</t>
  </si>
  <si>
    <t>LEHTO CHRISTOPHER &amp; CLAIRE</t>
  </si>
  <si>
    <t>RUCKER FAMILY REVOCABLE TRUST</t>
  </si>
  <si>
    <t>RUCKER</t>
  </si>
  <si>
    <t xml:space="preserve">13745 N GOLDFIELD RD </t>
  </si>
  <si>
    <t>FORT MCDOWELL</t>
  </si>
  <si>
    <t>R024</t>
  </si>
  <si>
    <t>GOLDFIELD RANCH PHASE 1 SURVEY LOT 1-15</t>
  </si>
  <si>
    <t>GOLDFIELD RANCH</t>
  </si>
  <si>
    <t>R-190</t>
  </si>
  <si>
    <t>FOUR PEAKS ELEMENTARY SCHOOL</t>
  </si>
  <si>
    <t>SPLETTSTOESSER JOHN R &amp; SUZA</t>
  </si>
  <si>
    <t>RUCKER BRIAN R &amp; MICHELE</t>
  </si>
  <si>
    <t>GREG</t>
  </si>
  <si>
    <t>CHIARAVALLE</t>
  </si>
  <si>
    <t>GREG &amp; KRISTIN CHIARAVALLE</t>
  </si>
  <si>
    <t xml:space="preserve">37507 N 24TH PL </t>
  </si>
  <si>
    <t>H003</t>
  </si>
  <si>
    <t>CASPER RONALD K &amp; TAMARA J</t>
  </si>
  <si>
    <t>CHIARAVALLE GREG &amp; KRISTIN</t>
  </si>
  <si>
    <t>WALKER</t>
  </si>
  <si>
    <t>ANTHONY &amp; HOLLY WALKER</t>
  </si>
  <si>
    <t xml:space="preserve">1024 E MADDOCK RD </t>
  </si>
  <si>
    <t>NEW RIVER PARADISE</t>
  </si>
  <si>
    <t>NUTTER LIVING TRUST</t>
  </si>
  <si>
    <t>WALKER ANTHONY B &amp; HOLLY E</t>
  </si>
  <si>
    <t>GRANADO</t>
  </si>
  <si>
    <t>WYNN</t>
  </si>
  <si>
    <t>THOMAS &amp; WYNN GRANADO</t>
  </si>
  <si>
    <t xml:space="preserve">2254 E BARBARITA AVE </t>
  </si>
  <si>
    <t>BRISTOL SQUARE</t>
  </si>
  <si>
    <t>SONOMA RANCH ELEMENTARY SCHOOL</t>
  </si>
  <si>
    <t>SMITH C &amp; N A TRUST</t>
  </si>
  <si>
    <t>GRANADO THOMAS B</t>
  </si>
  <si>
    <t>KELLOGG</t>
  </si>
  <si>
    <t>JANICE</t>
  </si>
  <si>
    <t>WILLIAM &amp; JANICE KELLOGG</t>
  </si>
  <si>
    <t xml:space="preserve">1628 W LAUREL GREENS DR </t>
  </si>
  <si>
    <t>ANTHEM UNIT 28</t>
  </si>
  <si>
    <t>ANTHEM COUNTRY CLUB</t>
  </si>
  <si>
    <t>DIAMOND CANYON SCHOOL</t>
  </si>
  <si>
    <t>PEW SARA E TRUST</t>
  </si>
  <si>
    <t>AMERICAN FIN'L NETWORK</t>
  </si>
  <si>
    <t>KELLOGG WILLIAM F &amp; JANICE S</t>
  </si>
  <si>
    <t>ALOYSIUS PATRICK &amp; LINDA KAY DICKMAN TRUST</t>
  </si>
  <si>
    <t>ALOYSIUS PATRICK &amp; LINDA DICKMAN</t>
  </si>
  <si>
    <t xml:space="preserve">16610 E GREENBRIER LN </t>
  </si>
  <si>
    <t>FOUNTAIN HILLS AZ FP 403B</t>
  </si>
  <si>
    <t>KENISTON FAMILY TRUST</t>
  </si>
  <si>
    <t>DICKMAN FAMILY TRUST</t>
  </si>
  <si>
    <t>CAMP</t>
  </si>
  <si>
    <t>WILLIAMS-CAMP</t>
  </si>
  <si>
    <t>ROBERT CAMP &amp; DONNA WILLIAMS-CAMP</t>
  </si>
  <si>
    <t xml:space="preserve">13648 E SHAW BUTTE DR #20 </t>
  </si>
  <si>
    <t>R075</t>
  </si>
  <si>
    <t xml:space="preserve">13648 E SHAW BUTTE DR </t>
  </si>
  <si>
    <t>PARCEL 6A AT SCOTTSDALE MOUNTAIN</t>
  </si>
  <si>
    <t>SCOTTSDALE MOUNTAIN</t>
  </si>
  <si>
    <t>TH</t>
  </si>
  <si>
    <t>ANASAZI ELEMENTARY SCHOOL</t>
  </si>
  <si>
    <t>CUMMINGS BETH A</t>
  </si>
  <si>
    <t>ROBERT B CAMP</t>
  </si>
  <si>
    <t>DONNA WILLIAMS-CAMP</t>
  </si>
  <si>
    <t>BELLEW</t>
  </si>
  <si>
    <t>DONALD &amp; CARLA BELLEW</t>
  </si>
  <si>
    <t xml:space="preserve">1611 E REDFIELD RD #141 </t>
  </si>
  <si>
    <t>C074</t>
  </si>
  <si>
    <t xml:space="preserve">1611 E REDFIELD RD </t>
  </si>
  <si>
    <t>POINTE MOUNTAINSIDE GOLF COMMUNITY UNIT</t>
  </si>
  <si>
    <t>POINTE MOUNTAINSIDE GOLF COMMUNITY</t>
  </si>
  <si>
    <t>PETTERSSON STAFFAN &amp; ROSEMAR</t>
  </si>
  <si>
    <t>BELLEW DONALD M &amp; CARLA J</t>
  </si>
  <si>
    <t>CESAR</t>
  </si>
  <si>
    <t>CESAR &amp; JILL VARGAS</t>
  </si>
  <si>
    <t xml:space="preserve">7444 E MILAGRO AVE </t>
  </si>
  <si>
    <t>SUPERSTITION SPRINGS VILLAGE UNIT THREE</t>
  </si>
  <si>
    <t>SUPERSTITION SPRINGS VILLAGE</t>
  </si>
  <si>
    <t>SUPERSTITION SPRINGS ELEMENTARY SCHOOL</t>
  </si>
  <si>
    <t>COOK GREGORY L</t>
  </si>
  <si>
    <t>VARGAS CESAR</t>
  </si>
  <si>
    <t>MCCANN</t>
  </si>
  <si>
    <t>JENA</t>
  </si>
  <si>
    <t>JOHN &amp; JENA MCCANN</t>
  </si>
  <si>
    <t xml:space="preserve">7814 E DOWNING ST </t>
  </si>
  <si>
    <t>SUN VALLEY VIEW</t>
  </si>
  <si>
    <t>PARTIN JIMMY</t>
  </si>
  <si>
    <t>MCCANN JOHN J III &amp; JENA K</t>
  </si>
  <si>
    <t>JULIA KING</t>
  </si>
  <si>
    <t xml:space="preserve">13438 W SHADOW HILLS DR </t>
  </si>
  <si>
    <t xml:space="preserve">13438W W SHADOW HILLS DR </t>
  </si>
  <si>
    <t>SUN CITY WEST  3  LOT 1-728 &amp; TR A-D</t>
  </si>
  <si>
    <t>BLAIR ELLIS W</t>
  </si>
  <si>
    <t>JULIA M KING</t>
  </si>
  <si>
    <t>DORSO</t>
  </si>
  <si>
    <t>JOHN DORSO</t>
  </si>
  <si>
    <t xml:space="preserve">219 N 102ND PL </t>
  </si>
  <si>
    <t>HACIENDAS DEL ESTE</t>
  </si>
  <si>
    <t>SOUSA ELEMENTARY SCHOOL</t>
  </si>
  <si>
    <t>DEL ESTE LLC</t>
  </si>
  <si>
    <t>DORSO JOHN</t>
  </si>
  <si>
    <t>GOYETTE</t>
  </si>
  <si>
    <t>GREGORY &amp; NANAMI GOYETTE</t>
  </si>
  <si>
    <t xml:space="preserve">13131 W MARLETTE AVE </t>
  </si>
  <si>
    <t xml:space="preserve">13131W W MARLETTE AVE </t>
  </si>
  <si>
    <t>DREAMING SUMMIT UNIT 1 AMD</t>
  </si>
  <si>
    <t>DREAMING SUMMIT ELEMENTARY SCHOOL</t>
  </si>
  <si>
    <t>SIMANTOUB FERIDOUN</t>
  </si>
  <si>
    <t>GOYETTE GREGORY B</t>
  </si>
  <si>
    <t>GOYETTE NANAMI</t>
  </si>
  <si>
    <t>ARAGON</t>
  </si>
  <si>
    <t>JUAN MORAN &amp; CYNTHIA ARAGON</t>
  </si>
  <si>
    <t xml:space="preserve">1308 W OCOTILLO RD </t>
  </si>
  <si>
    <t>PARAMOUNT VISTA 2</t>
  </si>
  <si>
    <t>PARAMOUNT VISTA</t>
  </si>
  <si>
    <t>MALENFANT JOHN F</t>
  </si>
  <si>
    <t>MORAN JUAN M</t>
  </si>
  <si>
    <t>ARAGON CYNTHIA J</t>
  </si>
  <si>
    <t>DROBNY</t>
  </si>
  <si>
    <t>WILLIAM &amp; AMY DROBNY</t>
  </si>
  <si>
    <t xml:space="preserve">4890 E AUGUSTA AVE </t>
  </si>
  <si>
    <t>R099</t>
  </si>
  <si>
    <t>SUN GROVES PARCEL 9 &amp; 10</t>
  </si>
  <si>
    <t>KRAUSMAN TAYLOR &amp; AUBRIE</t>
  </si>
  <si>
    <t>DROBNY WILLIAM J &amp; AMY</t>
  </si>
  <si>
    <t>MATTHEW &amp; LISA PHILLIPS</t>
  </si>
  <si>
    <t xml:space="preserve">18184 N COCONINO DR </t>
  </si>
  <si>
    <t>C091</t>
  </si>
  <si>
    <t>ARIZONA TRADITIONS NORTH PARCEL 16</t>
  </si>
  <si>
    <t>TAYLOR BEN</t>
  </si>
  <si>
    <t>FINANCE OF AMERICA MORTGAGE LL</t>
  </si>
  <si>
    <t>PHILLIPS MATTHEW C &amp; LISA D</t>
  </si>
  <si>
    <t>GLADDEN</t>
  </si>
  <si>
    <t>MICHAEL &amp; BARBARA GLADDEN</t>
  </si>
  <si>
    <t xml:space="preserve">3231 W CASITAS DEL RIO DR </t>
  </si>
  <si>
    <t>LASALLE SCOTT C</t>
  </si>
  <si>
    <t>GLADDEN MICHAEL S</t>
  </si>
  <si>
    <t>RAINS</t>
  </si>
  <si>
    <t>SCOTT &amp; CAROL RAINS</t>
  </si>
  <si>
    <t xml:space="preserve">14025 N 161ST CT </t>
  </si>
  <si>
    <t>LEGACY PARC PARCEL H</t>
  </si>
  <si>
    <t>COUNTRYSIDE ELEMENTARY SCHOOL</t>
  </si>
  <si>
    <t>KEEFE JASON</t>
  </si>
  <si>
    <t>SCOTT C RAINS</t>
  </si>
  <si>
    <t>CAROL J RAINS</t>
  </si>
  <si>
    <t>JACOB</t>
  </si>
  <si>
    <t>HARTMAN</t>
  </si>
  <si>
    <t>JACOB &amp; ANDREA HARTMAN</t>
  </si>
  <si>
    <t xml:space="preserve">25708 W WILLIAMS CT </t>
  </si>
  <si>
    <t>WESTPARK PARCEL 17S</t>
  </si>
  <si>
    <t>WESTPARK ELEMENTARY SCHOOL</t>
  </si>
  <si>
    <t>WHITE CASEY R &amp; KRISTIN M</t>
  </si>
  <si>
    <t>HARTMAN JACOB &amp; NANDREA M</t>
  </si>
  <si>
    <t>CODY</t>
  </si>
  <si>
    <t>MYERS</t>
  </si>
  <si>
    <t>CODY MYERS</t>
  </si>
  <si>
    <t xml:space="preserve">16646 S 46TH PL </t>
  </si>
  <si>
    <t>C040</t>
  </si>
  <si>
    <t>FOOTHILLS PASEO</t>
  </si>
  <si>
    <t>KYRENE DEL MILENIO</t>
  </si>
  <si>
    <t>KASA ROBERT F</t>
  </si>
  <si>
    <t>MYERS CODY G</t>
  </si>
  <si>
    <t>FORBES</t>
  </si>
  <si>
    <t>MICHELE FORBES</t>
  </si>
  <si>
    <t xml:space="preserve">7225 S 58TH AVE </t>
  </si>
  <si>
    <t>COTTONFIELDS COMMUNITY REPLAT</t>
  </si>
  <si>
    <t>COTTONFIELDS</t>
  </si>
  <si>
    <t>ARFI FAKHRUDDIN</t>
  </si>
  <si>
    <t>FORBES MICHELE</t>
  </si>
  <si>
    <t>AGUILAR</t>
  </si>
  <si>
    <t>JAMES &amp; RENEE AGUILAR</t>
  </si>
  <si>
    <t xml:space="preserve">40907 N COURAGE TRL </t>
  </si>
  <si>
    <t>ANTHEM</t>
  </si>
  <si>
    <t>ANTHEM UNIT 18</t>
  </si>
  <si>
    <t>ANTHEM SCHOOL</t>
  </si>
  <si>
    <t>WESTLAKE SEAN</t>
  </si>
  <si>
    <t>AGUILAR JAMES</t>
  </si>
  <si>
    <t>MARES</t>
  </si>
  <si>
    <t>WILLIAM MARES</t>
  </si>
  <si>
    <t xml:space="preserve">141 S ELM ST </t>
  </si>
  <si>
    <t>CRESTVIEW UNIT 4 LOT 185-218</t>
  </si>
  <si>
    <t>CRESTVIEW</t>
  </si>
  <si>
    <t>MARES WILLIAM F</t>
  </si>
  <si>
    <t>CHARLES NEWTON REVOCABLE LIVING TRUST</t>
  </si>
  <si>
    <t>CHARLES NEWTON</t>
  </si>
  <si>
    <t xml:space="preserve">6402 E HEATHER DR </t>
  </si>
  <si>
    <t>SKYWAY VILLAGE 1 AMD</t>
  </si>
  <si>
    <t>SKYWAY VILLAGE</t>
  </si>
  <si>
    <t>RED MOUNTAIN RANCH ELEMENTARY SCHOOL</t>
  </si>
  <si>
    <t>LUNDBERG JANE M</t>
  </si>
  <si>
    <t>NEWTON CHARLES E</t>
  </si>
  <si>
    <t>TONY &amp; DEBRA GARCIA</t>
  </si>
  <si>
    <t xml:space="preserve">20899 W MAIDEN LN </t>
  </si>
  <si>
    <t>H064</t>
  </si>
  <si>
    <t>VERRADO PARCEL 3.308</t>
  </si>
  <si>
    <t>PINNACLE WEST HMS V-82 LLC</t>
  </si>
  <si>
    <t>GARCIA TONY &amp; DEBRA I</t>
  </si>
  <si>
    <t>ROSA</t>
  </si>
  <si>
    <t>DAVID &amp; ROSA JACKSON</t>
  </si>
  <si>
    <t xml:space="preserve">5616 N LYLE CT </t>
  </si>
  <si>
    <t>DREAMING SUMMIT UNIT 3B</t>
  </si>
  <si>
    <t>PROMENADE AT DREAMING SUMMIT</t>
  </si>
  <si>
    <t>NOLAND RICK</t>
  </si>
  <si>
    <t>JACKSON DAVID &amp; ROSA</t>
  </si>
  <si>
    <t>HARRICK</t>
  </si>
  <si>
    <t>TRACEY</t>
  </si>
  <si>
    <t>WILLIAM &amp; TRACEY HARRICK</t>
  </si>
  <si>
    <t xml:space="preserve">8120 W GARDENIA AVE </t>
  </si>
  <si>
    <t>C041</t>
  </si>
  <si>
    <t>WEST GLENN ESTATES</t>
  </si>
  <si>
    <t>SUNSET VISTA SCHOOL</t>
  </si>
  <si>
    <t>ARNOLD LIVING TRUST</t>
  </si>
  <si>
    <t>HARRICK WILLIAM F JR &amp; TRACEY L</t>
  </si>
  <si>
    <t>EDUARDO</t>
  </si>
  <si>
    <t>ESPINOSA</t>
  </si>
  <si>
    <t>EDUARDO ESPINOSA</t>
  </si>
  <si>
    <t xml:space="preserve">6832 N 77TH LN </t>
  </si>
  <si>
    <t>C011</t>
  </si>
  <si>
    <t>MEADOWS AT INDEPENDENCE 2</t>
  </si>
  <si>
    <t>PINE SUMMIT</t>
  </si>
  <si>
    <t>WISSEL ALAN E &amp; ALICE G</t>
  </si>
  <si>
    <t>ESPINOSA EDUARDO</t>
  </si>
  <si>
    <t>ACOSTA</t>
  </si>
  <si>
    <t>CESAR ACOSTA</t>
  </si>
  <si>
    <t xml:space="preserve">12810 W SELLS DR </t>
  </si>
  <si>
    <t>WIGWAM CREEK SOUTH PARCEL 12</t>
  </si>
  <si>
    <t>CORTE SIERRA ELEMENTARY SCHOOL</t>
  </si>
  <si>
    <t>WIGWAM CREEK MIDDLE SCHOOL</t>
  </si>
  <si>
    <t>AGUA FRIA HIGH SCHOOL</t>
  </si>
  <si>
    <t>OLSAND JACOB R</t>
  </si>
  <si>
    <t>CESAR A ACOSTA</t>
  </si>
  <si>
    <t>HINDERLITER</t>
  </si>
  <si>
    <t>DANIEL &amp; HOPE HINDERLITER</t>
  </si>
  <si>
    <t xml:space="preserve">16894 W HAMMOND ST </t>
  </si>
  <si>
    <t>CANYON TRAILS UNIT 4 SOUTH PARCEL D</t>
  </si>
  <si>
    <t>HINDERLITER ERIKA G</t>
  </si>
  <si>
    <t>HINDERLITER DANIEL L &amp; HOPE M</t>
  </si>
  <si>
    <t>BRANCH</t>
  </si>
  <si>
    <t>ROBERT &amp; KATHLEEN BRANCH</t>
  </si>
  <si>
    <t xml:space="preserve">2541 W WOBURN LN </t>
  </si>
  <si>
    <t>CAREFREE CROSSING PARCEL 1</t>
  </si>
  <si>
    <t>CAREFREE CROSSING</t>
  </si>
  <si>
    <t>LINCOLN JAMES E &amp; JEANNE</t>
  </si>
  <si>
    <t>BRANCH ROBERT &amp; KATHLEEN</t>
  </si>
  <si>
    <t>JEMAILLE</t>
  </si>
  <si>
    <t>CRANNY</t>
  </si>
  <si>
    <t>JEMAILLE CRANNY</t>
  </si>
  <si>
    <t xml:space="preserve">1702 E WESTCHESTER DR </t>
  </si>
  <si>
    <t xml:space="preserve">1708 E WESTCHESTER DR </t>
  </si>
  <si>
    <t>BRADLEY PLACE  3 LOT 601-628</t>
  </si>
  <si>
    <t>JUNIPER WATSON</t>
  </si>
  <si>
    <t>ROVER ELEMENTARY SCHOOL</t>
  </si>
  <si>
    <t>FEES COLLEGE PREPARATORY MIDDLE SCHOOL</t>
  </si>
  <si>
    <t>LEE MICHAEL</t>
  </si>
  <si>
    <t>COLUMBIA MO 65203</t>
  </si>
  <si>
    <t>SHEARER MARK J</t>
  </si>
  <si>
    <t>DOLINSEK JULIE A</t>
  </si>
  <si>
    <t>CHAD &amp; NICOLE WILKES</t>
  </si>
  <si>
    <t xml:space="preserve">7058 W KATHARINE WAY </t>
  </si>
  <si>
    <t>SONORAN MOUNTAIN RANCH PARCEL 4 PHASE 1</t>
  </si>
  <si>
    <t>SONORAN MOUNTAIN RANCH</t>
  </si>
  <si>
    <t>ZINNECKER GEOFFREY</t>
  </si>
  <si>
    <t>WILKES CHAD A &amp; NICOLE</t>
  </si>
  <si>
    <t>JOSHUA &amp; AMY FLORES</t>
  </si>
  <si>
    <t xml:space="preserve">6110 W WAGONER RD </t>
  </si>
  <si>
    <t>SUNSET VISTA  7 LOT 379-433</t>
  </si>
  <si>
    <t>HIGHLAND LAKES SCHOOL</t>
  </si>
  <si>
    <t>BABB JEFFERY B</t>
  </si>
  <si>
    <t>ACCESS CAP GROUP</t>
  </si>
  <si>
    <t>FLORES JOSHUA &amp; AMY</t>
  </si>
  <si>
    <t>DEVANNA</t>
  </si>
  <si>
    <t>RICKY CAMPBELL &amp; NANCY DEVANNA</t>
  </si>
  <si>
    <t xml:space="preserve">7032 E GARY ST </t>
  </si>
  <si>
    <t>STONEYBROOK THREE LOT 293-354 TR A</t>
  </si>
  <si>
    <t>STONEYBROOK</t>
  </si>
  <si>
    <t>FALCON HILL ELEMENTARY SCHOOL</t>
  </si>
  <si>
    <t>BOLLONG ALAN B I &amp; KAREN M</t>
  </si>
  <si>
    <t>CAMPBELL RICKY L</t>
  </si>
  <si>
    <t>DEVANNA NANCY E</t>
  </si>
  <si>
    <t>FRANCISCO</t>
  </si>
  <si>
    <t>ARELLANO</t>
  </si>
  <si>
    <t>MOLLY</t>
  </si>
  <si>
    <t>FRANCISCO &amp; MOLLY ARELLANO</t>
  </si>
  <si>
    <t xml:space="preserve">7151 W DISCOVERY DR </t>
  </si>
  <si>
    <t>CAMINO ESTATES</t>
  </si>
  <si>
    <t>DESERT GARDEN ELEMENTARY SCHOOL</t>
  </si>
  <si>
    <t>MAYNES JASON</t>
  </si>
  <si>
    <t>CASTLE &amp; COOKE MTG LLC</t>
  </si>
  <si>
    <t>ARELLANO FRANCISCO</t>
  </si>
  <si>
    <t>FLOYD</t>
  </si>
  <si>
    <t>FLOYD JOHNSON</t>
  </si>
  <si>
    <t xml:space="preserve">1426 E GARY WAY </t>
  </si>
  <si>
    <t>C096</t>
  </si>
  <si>
    <t>HIGHLINE VISTA ESTATES 2 AMENDED</t>
  </si>
  <si>
    <t>HIGHLINE VISTA ESTATES</t>
  </si>
  <si>
    <t>INGLEBRIGHT ROBERT J &amp; JUDY</t>
  </si>
  <si>
    <t>JOHNSON FLOYD L JR</t>
  </si>
  <si>
    <t>NATHANIEL</t>
  </si>
  <si>
    <t>NATHANIEL ADAMS &amp; MARIE KIM</t>
  </si>
  <si>
    <t xml:space="preserve">17470 W REDWOOD LN </t>
  </si>
  <si>
    <t>PROVINCE AT ESTRELLA MOUNTAIN RANCH PARC</t>
  </si>
  <si>
    <t>CANTAMIA AT ESTRELLA</t>
  </si>
  <si>
    <t>DEMZIK WILLIAM G &amp; KARYN S</t>
  </si>
  <si>
    <t>ADAMS NATHANIEL</t>
  </si>
  <si>
    <t>EDDIE</t>
  </si>
  <si>
    <t>ROGERS</t>
  </si>
  <si>
    <t>EDDIE &amp; MARIE ROGERS</t>
  </si>
  <si>
    <t xml:space="preserve">20617 W HAMILTON ST </t>
  </si>
  <si>
    <t>VERRADO PARCEL 4.809</t>
  </si>
  <si>
    <t>GONZALES JUANITA C</t>
  </si>
  <si>
    <t>PINNACLE CAP MTG CORP</t>
  </si>
  <si>
    <t>ROGERS EDDIE J &amp; MARIE A</t>
  </si>
  <si>
    <t>RICHARD &amp; SANDRA MENDEZ</t>
  </si>
  <si>
    <t xml:space="preserve">17253 W HAMMOND ST </t>
  </si>
  <si>
    <t>R014</t>
  </si>
  <si>
    <t>SIN LOMAS</t>
  </si>
  <si>
    <t>CENTERRA MIRAGE STEM ACADEMY</t>
  </si>
  <si>
    <t>MENDEZ RICHARD R &amp; SANDRA</t>
  </si>
  <si>
    <t>KENNETH &amp; CHARITY WALKER</t>
  </si>
  <si>
    <t xml:space="preserve">2162 N 132ND DR </t>
  </si>
  <si>
    <t>PALM VALLEY PHASE 1 PARCEL 18 UNIT 2</t>
  </si>
  <si>
    <t>THE ESTATES</t>
  </si>
  <si>
    <t>PALM VALLEY ELEMENTARY SCHOOL</t>
  </si>
  <si>
    <t>LAPP MICHAEL E</t>
  </si>
  <si>
    <t>WALKER KENNETH D</t>
  </si>
  <si>
    <t>ORTIZ</t>
  </si>
  <si>
    <t>NIKITA</t>
  </si>
  <si>
    <t>RAFAEL &amp; NIKITA ORTIZ</t>
  </si>
  <si>
    <t xml:space="preserve">3031 E FREMONT RD </t>
  </si>
  <si>
    <t>C072</t>
  </si>
  <si>
    <t>ENCANTO AT THE LEGACY</t>
  </si>
  <si>
    <t>GOKEN ANDREW P</t>
  </si>
  <si>
    <t>ORTIZ RAFAEL I &amp; NIKITA D</t>
  </si>
  <si>
    <t>GUTHRIE</t>
  </si>
  <si>
    <t>GERALDINE</t>
  </si>
  <si>
    <t>THOMAS &amp; GERALDINE GUTHRIE</t>
  </si>
  <si>
    <t xml:space="preserve">2085 N 132ND DR </t>
  </si>
  <si>
    <t>PALM VALLEY PHASE 1 PARCEL 18 UNIT 1</t>
  </si>
  <si>
    <t>FRICKE LIVING TRUST</t>
  </si>
  <si>
    <t>GUTHRIE THOMAS &amp; GERALDINE</t>
  </si>
  <si>
    <t>MCELROY</t>
  </si>
  <si>
    <t>JEREMY MCELROY</t>
  </si>
  <si>
    <t xml:space="preserve">11826 W ROBIN DR </t>
  </si>
  <si>
    <t>CROSSRIVER UNIT 2</t>
  </si>
  <si>
    <t>CROSSRIVER</t>
  </si>
  <si>
    <t>AZ PROPERTY INVESTORS LLC</t>
  </si>
  <si>
    <t>MCELROY JEREMY</t>
  </si>
  <si>
    <t>JORGE</t>
  </si>
  <si>
    <t>VALLE-HERNANDEZ</t>
  </si>
  <si>
    <t>JORGE VALLE-HERNANDEZ</t>
  </si>
  <si>
    <t xml:space="preserve">10228 E CAROL AVE </t>
  </si>
  <si>
    <t>PARKWOOD RANCH PARCEL 13</t>
  </si>
  <si>
    <t>SONATA AT PARKWOOD RANCH</t>
  </si>
  <si>
    <t>PETTET JEFFREY R &amp; SANDRA K</t>
  </si>
  <si>
    <t>VALLE-HERNANDEZ JORGE A</t>
  </si>
  <si>
    <t>MARRA</t>
  </si>
  <si>
    <t>JACKIE</t>
  </si>
  <si>
    <t>RONALD &amp; JACKIE MARRA</t>
  </si>
  <si>
    <t xml:space="preserve">12611 W FLAGSTONE DR </t>
  </si>
  <si>
    <t>GATHINGS TRUST</t>
  </si>
  <si>
    <t>RONALD MARRA</t>
  </si>
  <si>
    <t>JACKIE MARRA</t>
  </si>
  <si>
    <t>RICKY KING</t>
  </si>
  <si>
    <t xml:space="preserve">8243 E WINDSOR AVE </t>
  </si>
  <si>
    <t>GALLEGOS BILLY G &amp; MICHELLE</t>
  </si>
  <si>
    <t>KING RICKY E</t>
  </si>
  <si>
    <t>MERRILL</t>
  </si>
  <si>
    <t>HANGER</t>
  </si>
  <si>
    <t>MERRILL &amp; BETTY HANGER</t>
  </si>
  <si>
    <t xml:space="preserve">24807 W RED ROBIN DR </t>
  </si>
  <si>
    <t>WITTMANN</t>
  </si>
  <si>
    <t>PATTON PLACE ESTATES UNIT 4 AMD</t>
  </si>
  <si>
    <t>PATTON PLACE ESTATES</t>
  </si>
  <si>
    <t>NADABURG ELEMENTARY SCHOOL</t>
  </si>
  <si>
    <t>HILLER ANDREW J &amp; SUSAN M</t>
  </si>
  <si>
    <t>HANGER MERRILL L &amp; BETTY L</t>
  </si>
  <si>
    <t>HENEGAR-SMITH</t>
  </si>
  <si>
    <t>HAROLD SMITH &amp; TINA HENEGAR-SMITH</t>
  </si>
  <si>
    <t xml:space="preserve">1953 E SAN CARLOS PL </t>
  </si>
  <si>
    <t>CREEKWOOD RANCH</t>
  </si>
  <si>
    <t>SANTAN ELEMENTARY SCHOOL</t>
  </si>
  <si>
    <t>OPENDOOR HOMES PHOENIX LLC</t>
  </si>
  <si>
    <t>BRENTWOOD TN 37027</t>
  </si>
  <si>
    <t>SMITH HAROLD M</t>
  </si>
  <si>
    <t>HENEGAR-SMITH TINA</t>
  </si>
  <si>
    <t>HAROLD M SMITH</t>
  </si>
  <si>
    <t>TINE HENEGAR-SMITH</t>
  </si>
  <si>
    <t>DUBOIS</t>
  </si>
  <si>
    <t>DANIEL &amp; ANN DUBOIS</t>
  </si>
  <si>
    <t xml:space="preserve">13822 W VENTURA ST </t>
  </si>
  <si>
    <t>LITCHFIELD MANOR PARCELS 4 AND 5</t>
  </si>
  <si>
    <t>DUNGAN JAMIE K</t>
  </si>
  <si>
    <t>DUBOIS DANIEL D</t>
  </si>
  <si>
    <t>CORDEIRO</t>
  </si>
  <si>
    <t>JOSEPH CORDEIRO</t>
  </si>
  <si>
    <t xml:space="preserve">7642 W DAHLIA DR </t>
  </si>
  <si>
    <t>FOXWOOD UNIT 3 LOT 235-333</t>
  </si>
  <si>
    <t>FOXWOOD</t>
  </si>
  <si>
    <t>OASIS ELEMENTARY SCHOOL</t>
  </si>
  <si>
    <t>HOYT RICHARD A &amp; C J TRUST</t>
  </si>
  <si>
    <t>CORDEIRO JOSEPH</t>
  </si>
  <si>
    <t>BENDER FAMILY TRUST</t>
  </si>
  <si>
    <t>BENDER</t>
  </si>
  <si>
    <t xml:space="preserve">2104 W CHEYENNE DR </t>
  </si>
  <si>
    <t>TRAILS END ESTATES</t>
  </si>
  <si>
    <t>POMEROY ELEMENTARY SCHOOL</t>
  </si>
  <si>
    <t>BAGGS TIMOTHY J &amp; H M T</t>
  </si>
  <si>
    <t>BENDER AARON M</t>
  </si>
  <si>
    <t>WICKETTS</t>
  </si>
  <si>
    <t>BRIAN &amp; DIANA WICKETTS</t>
  </si>
  <si>
    <t xml:space="preserve">15227 S 180TH AVE </t>
  </si>
  <si>
    <t>MEDINA MARACAY HOMES</t>
  </si>
  <si>
    <t>CALEN LARRY</t>
  </si>
  <si>
    <t>WICKETTS BRIAN</t>
  </si>
  <si>
    <t>TUSSING</t>
  </si>
  <si>
    <t>RYAN TUSSING</t>
  </si>
  <si>
    <t xml:space="preserve">7014 E VERNON AVE </t>
  </si>
  <si>
    <t>C045</t>
  </si>
  <si>
    <t>OAK RIDGE 2</t>
  </si>
  <si>
    <t>OAK RIDGE</t>
  </si>
  <si>
    <t>TONALEA K-8 SCHOOL</t>
  </si>
  <si>
    <t>LI HOWARD C</t>
  </si>
  <si>
    <t>CALIBER HM LOANS</t>
  </si>
  <si>
    <t>RYAN F TUSSING</t>
  </si>
  <si>
    <t>MAXWELL</t>
  </si>
  <si>
    <t>SCHNEITER</t>
  </si>
  <si>
    <t>MAXWELL SCHNEITER</t>
  </si>
  <si>
    <t xml:space="preserve">2943 E BLOOMFIELD RD </t>
  </si>
  <si>
    <t>C080</t>
  </si>
  <si>
    <t>TOPAZ PARK</t>
  </si>
  <si>
    <t>LARKSPUR ELEMENTARY SCHOOL</t>
  </si>
  <si>
    <t>COLLINS JENA M &amp; JUSTIN D M</t>
  </si>
  <si>
    <t>SCHNEITER MAXWELL S</t>
  </si>
  <si>
    <t>GARLAND</t>
  </si>
  <si>
    <t>NATHALIE</t>
  </si>
  <si>
    <t>CARLOS GARLAND</t>
  </si>
  <si>
    <t xml:space="preserve">3448 E APPLEBY DR </t>
  </si>
  <si>
    <t>BRIDGES AT GILBERT PHASE 1 PARCEL 5 REPL</t>
  </si>
  <si>
    <t>SHEA HOMES LP</t>
  </si>
  <si>
    <t>GARLAND CARLOS</t>
  </si>
  <si>
    <t>BELT</t>
  </si>
  <si>
    <t>PATRICK &amp; KATIE BELT</t>
  </si>
  <si>
    <t xml:space="preserve">2451 W VIA DONA RD </t>
  </si>
  <si>
    <t>DYNAMITE MOUNTAIN RANCH SECTION A3</t>
  </si>
  <si>
    <t>CHESNIK JONATHAN</t>
  </si>
  <si>
    <t>BELT PATRICK &amp; KATIE</t>
  </si>
  <si>
    <t>COMBS</t>
  </si>
  <si>
    <t>JERRY COMBS</t>
  </si>
  <si>
    <t xml:space="preserve">21223 N 31ST AVE </t>
  </si>
  <si>
    <t>C065</t>
  </si>
  <si>
    <t>FOOTHILLS NORTH 2</t>
  </si>
  <si>
    <t>FOOTHILLS NORTH</t>
  </si>
  <si>
    <t>PASEO HILLS SCHOOL</t>
  </si>
  <si>
    <t>JASS INVESTMENTS LLC</t>
  </si>
  <si>
    <t>COMBS JERRY</t>
  </si>
  <si>
    <t>PICKARD</t>
  </si>
  <si>
    <t>GALE</t>
  </si>
  <si>
    <t>GALE EVERETT &amp; SHARON GALE</t>
  </si>
  <si>
    <t xml:space="preserve">4743 E ELENA AVE </t>
  </si>
  <si>
    <t>SUNLAND VILLAGE 7 LOT 1-182  187-497 &amp; T</t>
  </si>
  <si>
    <t>FRANKLIN AT BRIMHALL ELEMENTARY SCHOOL</t>
  </si>
  <si>
    <t>THOMAS E PICKARD</t>
  </si>
  <si>
    <t>SHARON G PICKARD</t>
  </si>
  <si>
    <t>MAIZ</t>
  </si>
  <si>
    <t>CALDERON</t>
  </si>
  <si>
    <t>SANTA</t>
  </si>
  <si>
    <t>MAIZ &amp; SANTA CALDERON</t>
  </si>
  <si>
    <t xml:space="preserve">8788 N 89TH DR </t>
  </si>
  <si>
    <t>PEORIA 53</t>
  </si>
  <si>
    <t>CROSSPOINTE</t>
  </si>
  <si>
    <t>COTTON BOLL ELEMENTARY SCHOOL</t>
  </si>
  <si>
    <t>RAYMOND S. KELLIS HIGH SCHOOL</t>
  </si>
  <si>
    <t>MAIZ FRANK B &amp; SANTA L I C</t>
  </si>
  <si>
    <t>CARLOS &amp; KAREN TAYLOR</t>
  </si>
  <si>
    <t xml:space="preserve">3090 N 148TH AVE </t>
  </si>
  <si>
    <t>PEBBLECREEK UNIT 15</t>
  </si>
  <si>
    <t>NEWTON ROBERT L</t>
  </si>
  <si>
    <t>CARLOS TAYLOR</t>
  </si>
  <si>
    <t>KAREN TAYLOR</t>
  </si>
  <si>
    <t>SEBOK</t>
  </si>
  <si>
    <t>SHANNA</t>
  </si>
  <si>
    <t>WILLIAM &amp; SHANNA SEBOK</t>
  </si>
  <si>
    <t xml:space="preserve">6907 W TRUMBULL RD </t>
  </si>
  <si>
    <t>WIRTS EVAN M &amp; JUDY A</t>
  </si>
  <si>
    <t>IMPAC MORTGAGE</t>
  </si>
  <si>
    <t>SEBOK WILLIAM J &amp; SHANNA R</t>
  </si>
  <si>
    <t>THOMSEN</t>
  </si>
  <si>
    <t>LATHAM</t>
  </si>
  <si>
    <t>MICHAEL THOMSEN &amp; MARGARET LATHAM</t>
  </si>
  <si>
    <t xml:space="preserve">2827 E CAPTAIN DREYFUS AVE </t>
  </si>
  <si>
    <t>C028</t>
  </si>
  <si>
    <t>PARADISE VALLEY HIGHLANDS 2</t>
  </si>
  <si>
    <t>PARADISE VALLEY HIGHLANDS</t>
  </si>
  <si>
    <t>LIN YI-CHENG</t>
  </si>
  <si>
    <t>THOMSEN MICHAEL</t>
  </si>
  <si>
    <t>LATHAM MARGARET</t>
  </si>
  <si>
    <t>FARRIS</t>
  </si>
  <si>
    <t>SAM FARRIS</t>
  </si>
  <si>
    <t xml:space="preserve">8601 E BERRIDGE LN </t>
  </si>
  <si>
    <t>PARK SCOTTSDALE 6</t>
  </si>
  <si>
    <t>PUEBLO ELEMENTARY SCHOOL</t>
  </si>
  <si>
    <t>MOHAVE MIDDLE SCHOOL</t>
  </si>
  <si>
    <t>SAGUARO HIGH SCHOOL</t>
  </si>
  <si>
    <t>ALLAIRE VALERIE A</t>
  </si>
  <si>
    <t>FARRIS SAM E JR</t>
  </si>
  <si>
    <t>MORENO</t>
  </si>
  <si>
    <t>JOSIE</t>
  </si>
  <si>
    <t>RODRIGUEZ DOMINGUEZ &amp; JOSIE RODRIGUEZ</t>
  </si>
  <si>
    <t xml:space="preserve">4802 W BERYL AVE </t>
  </si>
  <si>
    <t>C060</t>
  </si>
  <si>
    <t>ADVENTURE HOMES</t>
  </si>
  <si>
    <t>SUNSET ELEMENTARY SCHOOL</t>
  </si>
  <si>
    <t>CHOLLA MIDDLE SCHOOL</t>
  </si>
  <si>
    <t>APOLLO HIGH SCHOOL</t>
  </si>
  <si>
    <t>DAO KIM NGAN T</t>
  </si>
  <si>
    <t>LEND SMART MTG</t>
  </si>
  <si>
    <t>SHOREVIEW MN 55126</t>
  </si>
  <si>
    <t>VICTOR D MORENO</t>
  </si>
  <si>
    <t>JOSIE R MORENO</t>
  </si>
  <si>
    <t>OLOIER</t>
  </si>
  <si>
    <t>STEVEN OLOIER</t>
  </si>
  <si>
    <t xml:space="preserve">5808 N 13TH PL </t>
  </si>
  <si>
    <t>C066</t>
  </si>
  <si>
    <t>MCADAMS MANOR</t>
  </si>
  <si>
    <t>MADISON ROSE LANE SCHOOL</t>
  </si>
  <si>
    <t>CALANDRA KEVIN</t>
  </si>
  <si>
    <t>FRANKLIN AMERICAN MTG CO</t>
  </si>
  <si>
    <t>CONCORD CA 94520</t>
  </si>
  <si>
    <t>OLOIER STEVEN G</t>
  </si>
  <si>
    <t>JEREMIAH COLLINS</t>
  </si>
  <si>
    <t xml:space="preserve">18426 N 46TH DR </t>
  </si>
  <si>
    <t>C037</t>
  </si>
  <si>
    <t>BELLAIR UNIT 5 LOT 576-677 TR 64</t>
  </si>
  <si>
    <t>BELLAIR ELEMENTARY SCHOOL</t>
  </si>
  <si>
    <t>COCHRAN MARC &amp; TAMMY</t>
  </si>
  <si>
    <t>COLLINS JEREMIAH</t>
  </si>
  <si>
    <t>CANDELARIA</t>
  </si>
  <si>
    <t>LAWRENCE ARELLANO &amp; CANDELARIA ACOSTA</t>
  </si>
  <si>
    <t xml:space="preserve">2430 W GARY WAY </t>
  </si>
  <si>
    <t>SILVA MOUNTAIN UNIT 1</t>
  </si>
  <si>
    <t>SILVA MOUNTAIN</t>
  </si>
  <si>
    <t>SOUTHWEST ELEMENTARY SCHOOL</t>
  </si>
  <si>
    <t>ARELLANO LAWRENCE O</t>
  </si>
  <si>
    <t>ACOSTA CANDELARIA G</t>
  </si>
  <si>
    <t>ZITO</t>
  </si>
  <si>
    <t>GARY &amp; TINA ZITO</t>
  </si>
  <si>
    <t xml:space="preserve">18934 E CLOUD RD </t>
  </si>
  <si>
    <t>RANCHOS JARDINES UNIT 2C</t>
  </si>
  <si>
    <t>CYRUS GEORGE W</t>
  </si>
  <si>
    <t>ZITO GARY E</t>
  </si>
  <si>
    <t>GARY E ZITO</t>
  </si>
  <si>
    <t>TINA M ZITO</t>
  </si>
  <si>
    <t>RILEY</t>
  </si>
  <si>
    <t>MATTHEW &amp; CATHERINE RILEY</t>
  </si>
  <si>
    <t xml:space="preserve">8613 E CLARENDON AVE </t>
  </si>
  <si>
    <t>PARK SCOTTSDALE 15</t>
  </si>
  <si>
    <t>PARK SCOTTSDALE</t>
  </si>
  <si>
    <t>PIMA ELEMENTARY SCHOOL</t>
  </si>
  <si>
    <t>ELY HERBERT D &amp; JOANNE M</t>
  </si>
  <si>
    <t>RILEY MATTHEW T &amp; CATHERINE E</t>
  </si>
  <si>
    <t>ARIGULLIN</t>
  </si>
  <si>
    <t>PATRICIA ARIGULLIN</t>
  </si>
  <si>
    <t xml:space="preserve">8332 E INDIANOLA AVE </t>
  </si>
  <si>
    <t>SCOTTSDALE ESTATES 8 LOTS 888-1013</t>
  </si>
  <si>
    <t>NONE</t>
  </si>
  <si>
    <t>ROWAN CHARLOTTE LOUISE</t>
  </si>
  <si>
    <t>ARIGULLIN PATRICIA</t>
  </si>
  <si>
    <t>KNUTSON</t>
  </si>
  <si>
    <t>ROBERT &amp; DANIELLE KNUTSON</t>
  </si>
  <si>
    <t xml:space="preserve">1553 S MONTEREY ST </t>
  </si>
  <si>
    <t>DAVE BROWN COUNTRY ESTATES 3</t>
  </si>
  <si>
    <t>DAVE BROWN COUNTRY ESTATES</t>
  </si>
  <si>
    <t>SETTLERS POINT ELEMENTARY SCHOOL</t>
  </si>
  <si>
    <t>YOUNG FAMILY TRUST</t>
  </si>
  <si>
    <t>KNUTSON ROBERT D &amp; DANIELLE N</t>
  </si>
  <si>
    <t>WEDIN</t>
  </si>
  <si>
    <t>ALAN &amp; LINDA WEDIN</t>
  </si>
  <si>
    <t xml:space="preserve">4725 E BROWN RD #7 </t>
  </si>
  <si>
    <t>SUNDANCE VILLAS LOT 1-88 &amp; TR A-D</t>
  </si>
  <si>
    <t>SUNDANCE VILLAS</t>
  </si>
  <si>
    <t>O'CONNOR ELEMENTARY SCHOOL</t>
  </si>
  <si>
    <t>COWAN RONALD D</t>
  </si>
  <si>
    <t>WEDIN ALAN P &amp; LINDA L</t>
  </si>
  <si>
    <t>DELRIO</t>
  </si>
  <si>
    <t>PETER DELRIO</t>
  </si>
  <si>
    <t xml:space="preserve">1130 N GIBSON ST </t>
  </si>
  <si>
    <t>VISTA ALEGRE LOT 1-120 TR A</t>
  </si>
  <si>
    <t>VISTA ALEGRE</t>
  </si>
  <si>
    <t>HOUSTON ELEMENTARY SCHOOL</t>
  </si>
  <si>
    <t>LANE JEFFERY C</t>
  </si>
  <si>
    <t>DEL RIO PETER J</t>
  </si>
  <si>
    <t>INFANTE FAMILY LIVING TRUST</t>
  </si>
  <si>
    <t>INFANTE</t>
  </si>
  <si>
    <t xml:space="preserve">3472 S MOCCASIN TRL </t>
  </si>
  <si>
    <t>SAN TAN RANCH PARCEL 2</t>
  </si>
  <si>
    <t>MALIK NASEER A &amp; SALMA N</t>
  </si>
  <si>
    <t>FELIPE JR INFANTE</t>
  </si>
  <si>
    <t>MARGARET A INFANTE</t>
  </si>
  <si>
    <t>BEAVER</t>
  </si>
  <si>
    <t>MARK BEAVER</t>
  </si>
  <si>
    <t xml:space="preserve">7820 W PARADISE DR </t>
  </si>
  <si>
    <t>PEPPERMILL RUN LOT 1-145</t>
  </si>
  <si>
    <t>PEPPERMILL RUN</t>
  </si>
  <si>
    <t>PEORIA ELEMENTARY SCHOOL</t>
  </si>
  <si>
    <t>LAND TOMMY J</t>
  </si>
  <si>
    <t>AMBIE</t>
  </si>
  <si>
    <t>RUBEN &amp; AMBIE PEREZ</t>
  </si>
  <si>
    <t xml:space="preserve">4008 W CHARLOTTE DR </t>
  </si>
  <si>
    <t>NORTH CANYON RANCH UNIT 8</t>
  </si>
  <si>
    <t>CA SORENSON ENTS LLC</t>
  </si>
  <si>
    <t>RUBEN JR PEREZ</t>
  </si>
  <si>
    <t>AMBIE J PEREZ</t>
  </si>
  <si>
    <t>WELCH</t>
  </si>
  <si>
    <t>JEFFREY &amp; REBECCA WELCH</t>
  </si>
  <si>
    <t xml:space="preserve">1792 E ARABIAN DR </t>
  </si>
  <si>
    <t>LYMAN BRANDI C</t>
  </si>
  <si>
    <t>JEFFREY M WELCH</t>
  </si>
  <si>
    <t>REBECCA D WELCH</t>
  </si>
  <si>
    <t>AMES</t>
  </si>
  <si>
    <t>SCOTT AMES</t>
  </si>
  <si>
    <t xml:space="preserve">4615 W STONEMAN DR </t>
  </si>
  <si>
    <t>ANTHEM WEST UNIT 1</t>
  </si>
  <si>
    <t>ANTHEM WEST</t>
  </si>
  <si>
    <t>AMES SCOTT E</t>
  </si>
  <si>
    <t>BENTON</t>
  </si>
  <si>
    <t>JOANNE BENTON</t>
  </si>
  <si>
    <t xml:space="preserve">1312 N 24TH ST </t>
  </si>
  <si>
    <t>SENIOR VILLAGE 1</t>
  </si>
  <si>
    <t>HALE ELEMENTARY SCHOOL</t>
  </si>
  <si>
    <t>HARRIS BRIAN F</t>
  </si>
  <si>
    <t>JOANNE D BENTON</t>
  </si>
  <si>
    <t>IVAN</t>
  </si>
  <si>
    <t>TAPIA</t>
  </si>
  <si>
    <t>IVAN TAPIA</t>
  </si>
  <si>
    <t xml:space="preserve">12048 N 146TH AVE </t>
  </si>
  <si>
    <t>R084</t>
  </si>
  <si>
    <t>MOUNTAIN GATE PHASE 3 &amp; 4</t>
  </si>
  <si>
    <t>MACCARA SCOTT</t>
  </si>
  <si>
    <t>TAPIA IVAN</t>
  </si>
  <si>
    <t>RUSSO</t>
  </si>
  <si>
    <t>RICHARD RUSSO</t>
  </si>
  <si>
    <t xml:space="preserve">2232 W OSBORN RD </t>
  </si>
  <si>
    <t>C056</t>
  </si>
  <si>
    <t>WESTWOOD ESTATES PLAT 2</t>
  </si>
  <si>
    <t>WESTWOOD ESTATES</t>
  </si>
  <si>
    <t>MONTEBELLO SCHOOL</t>
  </si>
  <si>
    <t>PRIDE 2 PROPS &amp; INVS LLC</t>
  </si>
  <si>
    <t>RUSSO RICHARD</t>
  </si>
  <si>
    <t>TORRES ROMAN L</t>
  </si>
  <si>
    <t>DONALD &amp; CONNIE MCLAUGHLIN</t>
  </si>
  <si>
    <t xml:space="preserve">2604 E BOSTON ST #3 </t>
  </si>
  <si>
    <t>R115</t>
  </si>
  <si>
    <t xml:space="preserve">2604 E BOSTON ST </t>
  </si>
  <si>
    <t>VINCENZ PARCEL B</t>
  </si>
  <si>
    <t>THE COVE AT VINCENZ</t>
  </si>
  <si>
    <t>FIRST CMNTY MTG</t>
  </si>
  <si>
    <t>MCLAUGHLIN DONALD E &amp; CONNIE L</t>
  </si>
  <si>
    <t>LEHANE DAVID J TRUST</t>
  </si>
  <si>
    <t>J LEHANEDAVID</t>
  </si>
  <si>
    <t xml:space="preserve">14594 W JENAN DR </t>
  </si>
  <si>
    <t>KOTILA DEBRA J</t>
  </si>
  <si>
    <t>LEHANE DAVID J</t>
  </si>
  <si>
    <t>ROSSER</t>
  </si>
  <si>
    <t>JOSEPH &amp; MARSHA ROSSER</t>
  </si>
  <si>
    <t xml:space="preserve">3312 N APOLLO DR </t>
  </si>
  <si>
    <t>WOODGLEN UNIT 4 LOT 1-148</t>
  </si>
  <si>
    <t>WOODGLEN</t>
  </si>
  <si>
    <t>WILLIAMS DEBORAH</t>
  </si>
  <si>
    <t>ROSSER JOSEPH &amp; MARSHA</t>
  </si>
  <si>
    <t>HARRIS</t>
  </si>
  <si>
    <t>BRIDGET</t>
  </si>
  <si>
    <t>STEVEN &amp; BRIDGET HARRIS</t>
  </si>
  <si>
    <t xml:space="preserve">14303 W FAIRMOUNT AVE </t>
  </si>
  <si>
    <t>R016</t>
  </si>
  <si>
    <t>SUNRISE</t>
  </si>
  <si>
    <t>WIGWAM</t>
  </si>
  <si>
    <t>VACCARO DOMINIC J</t>
  </si>
  <si>
    <t>HARRIS STEVEN A &amp; BRIDGET</t>
  </si>
  <si>
    <t>HURT</t>
  </si>
  <si>
    <t>STEWART HURT</t>
  </si>
  <si>
    <t xml:space="preserve">926 E VERMONT AVE </t>
  </si>
  <si>
    <t>MILIDA MANOR</t>
  </si>
  <si>
    <t>SCHUFF FRANK S</t>
  </si>
  <si>
    <t>HURT STEWART G</t>
  </si>
  <si>
    <t>RANDALL</t>
  </si>
  <si>
    <t>CARNETT</t>
  </si>
  <si>
    <t>IVETTE</t>
  </si>
  <si>
    <t>RANDALL CARNETT &amp; IVETTE CRUZ</t>
  </si>
  <si>
    <t xml:space="preserve">4727 W PURDUE AVE </t>
  </si>
  <si>
    <t>MOUNTAIN VIEW MEADOWS TWO LOT 73-158</t>
  </si>
  <si>
    <t>ANDERSON ROBIN N &amp; B L TRUST</t>
  </si>
  <si>
    <t>CARNETT RANDALL P</t>
  </si>
  <si>
    <t>MACALPINE</t>
  </si>
  <si>
    <t>SCOTT &amp; TAMMY MACALPINE</t>
  </si>
  <si>
    <t xml:space="preserve">8325 W ALICE AVE </t>
  </si>
  <si>
    <t>PIONEER VILLAGE 3 LOT 1-158 TR A</t>
  </si>
  <si>
    <t>PIONEER VILLAGE WEST</t>
  </si>
  <si>
    <t>FARRIS ROBERT A</t>
  </si>
  <si>
    <t>SCOTT W MACALPINE</t>
  </si>
  <si>
    <t>TAMMY L MACALPINE</t>
  </si>
  <si>
    <t>JACQUES</t>
  </si>
  <si>
    <t>ASHLEE</t>
  </si>
  <si>
    <t>JEREMY &amp; ASHLEE JACQUES</t>
  </si>
  <si>
    <t xml:space="preserve">1712 N CHOLLA ST </t>
  </si>
  <si>
    <t>KNOELL EAST UNIT 7 LOT 201-457 TR A-B</t>
  </si>
  <si>
    <t>SOUTH KNOLL EAST</t>
  </si>
  <si>
    <t>GOYA JOHN S &amp; ANN B</t>
  </si>
  <si>
    <t>SUMMIT FNDG</t>
  </si>
  <si>
    <t>JACQUES JEREMY &amp; ASHLEE</t>
  </si>
  <si>
    <t>ROBERT &amp; MONIQUE STEELE</t>
  </si>
  <si>
    <t xml:space="preserve">16644 W HILTON AVE </t>
  </si>
  <si>
    <t>SARIVAL GARDENS</t>
  </si>
  <si>
    <t>DESERT EDGE HIGH SCHOOL</t>
  </si>
  <si>
    <t>BEYLE MICHAEL J</t>
  </si>
  <si>
    <t>STEELE ROBERT M</t>
  </si>
  <si>
    <t>WEGER</t>
  </si>
  <si>
    <t>LORNA</t>
  </si>
  <si>
    <t>SCOTT &amp; LORNA WEGER</t>
  </si>
  <si>
    <t xml:space="preserve">15813 W BERKELEY RD </t>
  </si>
  <si>
    <t>PALM VALLEY PHASE 8 SOUTH PARCEL</t>
  </si>
  <si>
    <t>GOLDSTEIN ADAM</t>
  </si>
  <si>
    <t>WEGER SCOTT A &amp; LORNA L</t>
  </si>
  <si>
    <t>HORTON</t>
  </si>
  <si>
    <t>JAMES HORTON</t>
  </si>
  <si>
    <t xml:space="preserve">2901 N DAKOTA ST </t>
  </si>
  <si>
    <t>DAVE BROWN UNIT 2 LOT 1-253</t>
  </si>
  <si>
    <t>AMBERWOOD NORTH</t>
  </si>
  <si>
    <t>SIRRINE ELEMENTARY SCHOOL</t>
  </si>
  <si>
    <t>IMB REAL ESTATE INVS LLC</t>
  </si>
  <si>
    <t>HORTON JAMES A</t>
  </si>
  <si>
    <t>EDWARD &amp; MARY CORTEZ</t>
  </si>
  <si>
    <t xml:space="preserve">10235 W LEVI DR </t>
  </si>
  <si>
    <t>FARMINGTON GLEN</t>
  </si>
  <si>
    <t>CORTEZ EDWARD &amp; MARY</t>
  </si>
  <si>
    <t>LITTLEY</t>
  </si>
  <si>
    <t>PAUL LITTLEY</t>
  </si>
  <si>
    <t xml:space="preserve">4249 E JUANITA AVE </t>
  </si>
  <si>
    <t>TOWNE MEADOWS AMD LOT 1-591 TR A</t>
  </si>
  <si>
    <t>TOWNE MEADOWS</t>
  </si>
  <si>
    <t>TOWNE MEADOWS ELEMENTARY SCHOOL</t>
  </si>
  <si>
    <t>SMITH CAROL</t>
  </si>
  <si>
    <t>LITTLEY PAUL</t>
  </si>
  <si>
    <t>COYE</t>
  </si>
  <si>
    <t>IAN COYE</t>
  </si>
  <si>
    <t xml:space="preserve">14241 W HEARN RD </t>
  </si>
  <si>
    <t>SIERRA VERDE PARCEL 2</t>
  </si>
  <si>
    <t>GRAY MICHELLE</t>
  </si>
  <si>
    <t>COYE IAN</t>
  </si>
  <si>
    <t>CERRILLO</t>
  </si>
  <si>
    <t>ROBERT &amp; MONICA CERRILLO</t>
  </si>
  <si>
    <t xml:space="preserve">16778 N 177TH AVE </t>
  </si>
  <si>
    <t>SURPRISE FARMS PHASE 3 PARCEL 6</t>
  </si>
  <si>
    <t>INAUGURALS</t>
  </si>
  <si>
    <t>REYES ALLAN K &amp; ALMA J</t>
  </si>
  <si>
    <t>CARRINGTON MTG SVCS</t>
  </si>
  <si>
    <t>ANAHEIM CA 92806</t>
  </si>
  <si>
    <t>ROBERT C CERRILLO</t>
  </si>
  <si>
    <t>MONICA L CERRILLO</t>
  </si>
  <si>
    <t>TOBY</t>
  </si>
  <si>
    <t>MARK &amp; TOBY MAXWELL</t>
  </si>
  <si>
    <t xml:space="preserve">13116 W ROWEL RD </t>
  </si>
  <si>
    <t>R061</t>
  </si>
  <si>
    <t>RANCHO CABRILLO PARCEL E REPLAT</t>
  </si>
  <si>
    <t>RANCHO CABRILLO</t>
  </si>
  <si>
    <t>K HOVNANIAN OF RANCHO CABRILL</t>
  </si>
  <si>
    <t>MAXWELL MARK S &amp; TOBY</t>
  </si>
  <si>
    <t>NORWOOD</t>
  </si>
  <si>
    <t>BENJAMIN NORWOOD</t>
  </si>
  <si>
    <t xml:space="preserve">15470 W MONTECITO AVE </t>
  </si>
  <si>
    <t>R042</t>
  </si>
  <si>
    <t>PALM VALLEY PHASE 5 PARCELS 8 &amp; 9</t>
  </si>
  <si>
    <t>CABADA CORNERS</t>
  </si>
  <si>
    <t>VINCENT DERRICK</t>
  </si>
  <si>
    <t>GENEVA FINANCIAL LLC</t>
  </si>
  <si>
    <t>NORWOOD BENJAMIN C</t>
  </si>
  <si>
    <t>RICKIE</t>
  </si>
  <si>
    <t>BRUMMETT</t>
  </si>
  <si>
    <t>RICKIE &amp; CHRISTINE BRUMMETT</t>
  </si>
  <si>
    <t xml:space="preserve">13028 S 46TH ST </t>
  </si>
  <si>
    <t>AHWATUKEE RTV 2 LT 6101-6235 TR A-H</t>
  </si>
  <si>
    <t>KYRENE DE LA COLINA SCHOOL</t>
  </si>
  <si>
    <t>KYRENE CENTENNIAL MIDDLE SCHOOL</t>
  </si>
  <si>
    <t>BRACKEN SARA E TRUSTEE T</t>
  </si>
  <si>
    <t>BRUMMETT RICKIE R</t>
  </si>
  <si>
    <t>BURMMETT CHRISTINE A</t>
  </si>
  <si>
    <t>GARDUNO</t>
  </si>
  <si>
    <t>GARDUNO &amp; HELEN MARIE</t>
  </si>
  <si>
    <t xml:space="preserve">15674 W CORONADO RD </t>
  </si>
  <si>
    <t>GARDUNO ALEJANDRO &amp; HELEN M</t>
  </si>
  <si>
    <t>RALPH</t>
  </si>
  <si>
    <t>JANSSEN</t>
  </si>
  <si>
    <t>RALPH &amp; JANET JANSSEN</t>
  </si>
  <si>
    <t xml:space="preserve">12902 W MEEKER BLVD </t>
  </si>
  <si>
    <t>SUN CITY WEST 18  LOT 1-233</t>
  </si>
  <si>
    <t>SULLIVAN JERRY C &amp; DENISE A</t>
  </si>
  <si>
    <t>JANSSEN RALPH &amp; JANET</t>
  </si>
  <si>
    <t>GAUCIN</t>
  </si>
  <si>
    <t>CHARLES GAUCIN</t>
  </si>
  <si>
    <t xml:space="preserve">1700 W ELM ST </t>
  </si>
  <si>
    <t>ELM ACRES</t>
  </si>
  <si>
    <t>HEDGES EDWARD W &amp; K L TRUST</t>
  </si>
  <si>
    <t>GAUCIN CHARLES</t>
  </si>
  <si>
    <t>GREGORY &amp; MICHELLE LEE</t>
  </si>
  <si>
    <t xml:space="preserve">16806 W MORELAND ST </t>
  </si>
  <si>
    <t>LEE GREGORY &amp; MICHELLE</t>
  </si>
  <si>
    <t>KELL</t>
  </si>
  <si>
    <t>RAY KELL</t>
  </si>
  <si>
    <t xml:space="preserve">6328 W CAMPO BELLO DR </t>
  </si>
  <si>
    <t>SUNSET VISTA  3 LOT 114-178</t>
  </si>
  <si>
    <t>GREENBRIER ELEMENTARY SCHOOL</t>
  </si>
  <si>
    <t>MARTINEZ JAIME W</t>
  </si>
  <si>
    <t>KELL RAY</t>
  </si>
  <si>
    <t>MELLAN</t>
  </si>
  <si>
    <t>CHRISTOPHER &amp; MONICA MELLAN</t>
  </si>
  <si>
    <t xml:space="preserve">15921 W CORTEZ ST </t>
  </si>
  <si>
    <t>MELLAN CHRISTOPHER J</t>
  </si>
  <si>
    <t>DONALD WILSON</t>
  </si>
  <si>
    <t xml:space="preserve">628 W GABLE AVE </t>
  </si>
  <si>
    <t>PACE EAST NO 2</t>
  </si>
  <si>
    <t>PACE EAST II</t>
  </si>
  <si>
    <t>REDBIRD ELEMENTARY SCHOOL</t>
  </si>
  <si>
    <t>RHODES JUNIOR HIGH SCHOOL</t>
  </si>
  <si>
    <t>FRANKLIN PRESTON &amp; ANGELA</t>
  </si>
  <si>
    <t>DONALD C WILSON</t>
  </si>
  <si>
    <t>LARRY &amp; RENEE ANDERSON</t>
  </si>
  <si>
    <t xml:space="preserve">9447 E OLLA AVE </t>
  </si>
  <si>
    <t>MESQUITE CANYON 1</t>
  </si>
  <si>
    <t>MESQUITE CANYON</t>
  </si>
  <si>
    <t>CANYON RIM ELEMENTARY SCHOOL</t>
  </si>
  <si>
    <t>CLEMENT RUSSELL E</t>
  </si>
  <si>
    <t>ANDERSON LARRY</t>
  </si>
  <si>
    <t>CAITLIN</t>
  </si>
  <si>
    <t>JULIAN</t>
  </si>
  <si>
    <t>CAITLIN &amp; JACK JULIAN</t>
  </si>
  <si>
    <t xml:space="preserve">7047 W EAGLE RIDGE LN </t>
  </si>
  <si>
    <t>SONORAN MOUNTAIN RANCH PARCEL 5</t>
  </si>
  <si>
    <t>LARSEN CO LLC</t>
  </si>
  <si>
    <t>TRUE N MTG</t>
  </si>
  <si>
    <t>JULIAN CAITLIN A &amp; JACK</t>
  </si>
  <si>
    <t>HOWARD</t>
  </si>
  <si>
    <t>HILLIKER</t>
  </si>
  <si>
    <t>HOWARD &amp; KIMBERLY HILLIKER</t>
  </si>
  <si>
    <t xml:space="preserve">43308 N 44TH AVE </t>
  </si>
  <si>
    <t>ANTHEM WEST UNIT 2</t>
  </si>
  <si>
    <t>LOTHES REBECCA</t>
  </si>
  <si>
    <t>PEOPLES MTG</t>
  </si>
  <si>
    <t>TEMPE AZ 85284</t>
  </si>
  <si>
    <t>HOWARD HILLIKER</t>
  </si>
  <si>
    <t>KIMBERLY HILLIKER</t>
  </si>
  <si>
    <t>MATTHEW AVILA</t>
  </si>
  <si>
    <t xml:space="preserve">17348 W STATLER ST </t>
  </si>
  <si>
    <t>SURPRISE FARMS PHASE 1B NORTH AND SOUTH</t>
  </si>
  <si>
    <t>LAWRENCE DIANE L</t>
  </si>
  <si>
    <t>AVILA MATTHEW P</t>
  </si>
  <si>
    <t>SEIBEL</t>
  </si>
  <si>
    <t>KEVIN SEIBEL</t>
  </si>
  <si>
    <t xml:space="preserve">24118 W LASSO LN </t>
  </si>
  <si>
    <t>ACACIA CROSSING</t>
  </si>
  <si>
    <t>PR</t>
  </si>
  <si>
    <t>SUNDANCE ELEMENTARY SCHOOL</t>
  </si>
  <si>
    <t>BROWN JEROLD &amp; VICKY</t>
  </si>
  <si>
    <t>SECURITY NAT'L MTG</t>
  </si>
  <si>
    <t>KEVIN L SEIBEL</t>
  </si>
  <si>
    <t>JENNIFER FOSTER</t>
  </si>
  <si>
    <t xml:space="preserve">17535 W EAST WIND AVE </t>
  </si>
  <si>
    <t>R012</t>
  </si>
  <si>
    <t>ESTRELLA MOUNTAIN RANCH PARCEL 196B</t>
  </si>
  <si>
    <t>GISLASON STEFAN</t>
  </si>
  <si>
    <t>FOSTER JENNIFER D</t>
  </si>
  <si>
    <t>ROGER</t>
  </si>
  <si>
    <t>PEGGY</t>
  </si>
  <si>
    <t>ROGER &amp; PEGGY BOWERS</t>
  </si>
  <si>
    <t xml:space="preserve">28213 N 253RD DR </t>
  </si>
  <si>
    <t>STICE ROBERT &amp; LUCY A</t>
  </si>
  <si>
    <t>BOWERS ROGER &amp; PEGGY</t>
  </si>
  <si>
    <t>EYE MICHAEL</t>
  </si>
  <si>
    <t xml:space="preserve">1515 E GALVIN ST </t>
  </si>
  <si>
    <t>H015</t>
  </si>
  <si>
    <t>LAMBERT LAUREN</t>
  </si>
  <si>
    <t>CABELL</t>
  </si>
  <si>
    <t>IREYS</t>
  </si>
  <si>
    <t>CABELL FRANCIS &amp; JESSE IREYS</t>
  </si>
  <si>
    <t xml:space="preserve">6146 E ARROYO RD </t>
  </si>
  <si>
    <t>H034</t>
  </si>
  <si>
    <t>R-89</t>
  </si>
  <si>
    <t>BLACK MOUNTAIN ELEMENTARY SCHOOL</t>
  </si>
  <si>
    <t>HANCHETT GREGORY L &amp; JANE M</t>
  </si>
  <si>
    <t>FRANCIS CABELL D</t>
  </si>
  <si>
    <t>IREYS JESSE</t>
  </si>
  <si>
    <t>YANC</t>
  </si>
  <si>
    <t>JUANITA</t>
  </si>
  <si>
    <t>DAVID &amp; JUANITA YANC</t>
  </si>
  <si>
    <t xml:space="preserve">19709 E CHESTNUT DR </t>
  </si>
  <si>
    <t>LEISCHNER SUSAN</t>
  </si>
  <si>
    <t>YANC DAVID &amp; JUANITA</t>
  </si>
  <si>
    <t>ANA CAREY</t>
  </si>
  <si>
    <t xml:space="preserve">3317 E BLUEJAY DR </t>
  </si>
  <si>
    <t>PASEO TRAIL PARCEL D</t>
  </si>
  <si>
    <t>PASEO TRAIL</t>
  </si>
  <si>
    <t>ELLIOTT WESTON K &amp; AMANDA M</t>
  </si>
  <si>
    <t>CAREY ANA M</t>
  </si>
  <si>
    <t>DOUGLAS &amp; DENISE JONES</t>
  </si>
  <si>
    <t xml:space="preserve">8129 W ROSS AVE </t>
  </si>
  <si>
    <t>FLETCHER HEIGHTS PHASE 1B</t>
  </si>
  <si>
    <t>FINCH DENNIS K</t>
  </si>
  <si>
    <t>JONES DOUGLAS A &amp; DENISE G</t>
  </si>
  <si>
    <t>AMENDED AND RESTATED BALDWIN FAMILY TRUST</t>
  </si>
  <si>
    <t xml:space="preserve">6832 S TUCANA LN </t>
  </si>
  <si>
    <t xml:space="preserve">2990 PILAR RIDGE DR </t>
  </si>
  <si>
    <t>BAY POINT</t>
  </si>
  <si>
    <t>COUNTRY SHADOWS</t>
  </si>
  <si>
    <t>BALDWIN DENISON L &amp; DIANE A</t>
  </si>
  <si>
    <t>MOUNTZ RICHARD L &amp; TATIANA A</t>
  </si>
  <si>
    <t>NORMAN</t>
  </si>
  <si>
    <t>NORMAN SMITH</t>
  </si>
  <si>
    <t xml:space="preserve">20317 E BRONCO DR </t>
  </si>
  <si>
    <t>WILL ROGERS EQUESTRIAN RANCH UNIT 1</t>
  </si>
  <si>
    <t>EQUESTRIAN RANCH</t>
  </si>
  <si>
    <t>ABNEY AUSTIN &amp; LINDSAY</t>
  </si>
  <si>
    <t>SMITH NORMAN R &amp; JACQUELYN J</t>
  </si>
  <si>
    <t>RICHELL</t>
  </si>
  <si>
    <t>CHRISTOPHER &amp; RICHELL COLEMAN</t>
  </si>
  <si>
    <t xml:space="preserve">12833 W MARLETTE AVE </t>
  </si>
  <si>
    <t>BETHANY ESTATES NORTH</t>
  </si>
  <si>
    <t>CHRISTOPHER COLEMAN</t>
  </si>
  <si>
    <t>RICHELL COLEMAN</t>
  </si>
  <si>
    <t>SEISINGER</t>
  </si>
  <si>
    <t>JUSTIN &amp; KRISTIN SEISINGER</t>
  </si>
  <si>
    <t xml:space="preserve">20541 S 196TH ST </t>
  </si>
  <si>
    <t>VILLAGIO</t>
  </si>
  <si>
    <t>SEISINGER JUSTIN &amp; KRISTIN</t>
  </si>
  <si>
    <t>DAN</t>
  </si>
  <si>
    <t>DAREN</t>
  </si>
  <si>
    <t>DAN &amp; DAREN LEE</t>
  </si>
  <si>
    <t xml:space="preserve">4992 E LA COSTA DR </t>
  </si>
  <si>
    <t>SUN GROVES PARCEL 12</t>
  </si>
  <si>
    <t>HERNANDEZ GLORIA M</t>
  </si>
  <si>
    <t>LEE DAN T &amp; KAREN L</t>
  </si>
  <si>
    <t>MCCLEAN</t>
  </si>
  <si>
    <t>LAUREL</t>
  </si>
  <si>
    <t>DAVID &amp; LAUREL MCCLEAN</t>
  </si>
  <si>
    <t xml:space="preserve">14079 S 40TH PL </t>
  </si>
  <si>
    <t>SILVERGATE VISTA LOT 1-115 TR A-D</t>
  </si>
  <si>
    <t>SILVERGATE VISTA</t>
  </si>
  <si>
    <t>KYRENE DE LA ESPERANZA SCHOOL</t>
  </si>
  <si>
    <t>DYSERT EARL E</t>
  </si>
  <si>
    <t>MCCLEAN DAVID R</t>
  </si>
  <si>
    <t>BRUNER</t>
  </si>
  <si>
    <t>MICHAEL &amp; MELANIE BRUNER</t>
  </si>
  <si>
    <t xml:space="preserve">3565 E ROCKY SLOPE DR </t>
  </si>
  <si>
    <t>MOUNTAIN PARK RANCH UNIT 24</t>
  </si>
  <si>
    <t>VAUGHAN COREY &amp; AMANDA</t>
  </si>
  <si>
    <t>BRUNER MICHAEL C &amp; MELANIE T</t>
  </si>
  <si>
    <t>JELESKI</t>
  </si>
  <si>
    <t>JAMES JELESKI</t>
  </si>
  <si>
    <t xml:space="preserve">2220 W MONTEREY AVE </t>
  </si>
  <si>
    <t>LAGUNA SHORES AMD LOT 1576-1829 &amp; TR T-Z</t>
  </si>
  <si>
    <t>WASHINGTON ELEMENTARY SCHOOL</t>
  </si>
  <si>
    <t>BARTZ CHARLES E</t>
  </si>
  <si>
    <t>JELESKI JAMES G</t>
  </si>
  <si>
    <t>RON AND SUZANNE WILSON REVOCABLE TRUST</t>
  </si>
  <si>
    <t xml:space="preserve">431 E CANYON WAY </t>
  </si>
  <si>
    <t>PINELAKE ESTATES</t>
  </si>
  <si>
    <t>CLARK TRUST</t>
  </si>
  <si>
    <t>WILSON RONNY C &amp; SUZANNE M</t>
  </si>
  <si>
    <t>ZASADA</t>
  </si>
  <si>
    <t>WYNONA</t>
  </si>
  <si>
    <t>HAWKINS</t>
  </si>
  <si>
    <t>EUGENE ZASADA &amp; WYNONA HAWKINS</t>
  </si>
  <si>
    <t xml:space="preserve">1010 S PRESIDIO DR </t>
  </si>
  <si>
    <t>WINDHAVEN UNIT 2 AMD LOT 1-71</t>
  </si>
  <si>
    <t>WINDHAVEN</t>
  </si>
  <si>
    <t>HERRGESELL CONCETTA T</t>
  </si>
  <si>
    <t>ZASADA EUGENE</t>
  </si>
  <si>
    <t>HAWKINS WYNONA</t>
  </si>
  <si>
    <t>GOODELL</t>
  </si>
  <si>
    <t>BRYTE</t>
  </si>
  <si>
    <t>RYAN &amp; BRYTE GOODELL</t>
  </si>
  <si>
    <t xml:space="preserve">5918 W LOUISE DR </t>
  </si>
  <si>
    <t>ARROWHEAD RANCH PARCEL 2</t>
  </si>
  <si>
    <t>THE OVERLOOK</t>
  </si>
  <si>
    <t>LEGEND SPRINGS ELEMENTARY SCHOOL</t>
  </si>
  <si>
    <t>TURMAN FAMILY TRUST</t>
  </si>
  <si>
    <t>RYAN GOODELL</t>
  </si>
  <si>
    <t>BRYTE GOODELL</t>
  </si>
  <si>
    <t>JAMES &amp; REBECCA HARTMAN</t>
  </si>
  <si>
    <t xml:space="preserve">3349 E POWELL WAY </t>
  </si>
  <si>
    <t>SEVILLE PARCEL 1</t>
  </si>
  <si>
    <t>TUSCANO</t>
  </si>
  <si>
    <t>GREGG MICHAEL V</t>
  </si>
  <si>
    <t>HARTMAN JAMES J</t>
  </si>
  <si>
    <t>REED</t>
  </si>
  <si>
    <t>CARL &amp; CAROLYN REED</t>
  </si>
  <si>
    <t xml:space="preserve">15778 W CIMARRON DR </t>
  </si>
  <si>
    <t>SUN CITY GRAND DESERT SAGE 2</t>
  </si>
  <si>
    <t>SUN CITY GRAND DESERT SAGE</t>
  </si>
  <si>
    <t>MICHAEL JAMES B</t>
  </si>
  <si>
    <t>REED CARL L</t>
  </si>
  <si>
    <t>DELATORRE</t>
  </si>
  <si>
    <t>LYNN LEE &amp; MICHELLE LYNN</t>
  </si>
  <si>
    <t xml:space="preserve">2325 W CRIMSON TER </t>
  </si>
  <si>
    <t>CAREFREE CROSSING PARCEL 3</t>
  </si>
  <si>
    <t>MIELKE JONATHAN</t>
  </si>
  <si>
    <t>DELATORRE PHILLIP LEE</t>
  </si>
  <si>
    <t>MICHELLE L DELATORRE</t>
  </si>
  <si>
    <t>PHILLIP L DELATORRE JR</t>
  </si>
  <si>
    <t>GROVER</t>
  </si>
  <si>
    <t>ROBERT &amp; DIANE GROVER</t>
  </si>
  <si>
    <t xml:space="preserve">21693 N 61ST AVE </t>
  </si>
  <si>
    <t>HAMILTON ARROWHEAD RANCH 3</t>
  </si>
  <si>
    <t>HOLMES ALAN</t>
  </si>
  <si>
    <t>GROVER ROBERT A</t>
  </si>
  <si>
    <t>EFREN</t>
  </si>
  <si>
    <t>RANGEL</t>
  </si>
  <si>
    <t>AUDREY</t>
  </si>
  <si>
    <t>EFREN &amp; AUDREY RANGEL</t>
  </si>
  <si>
    <t xml:space="preserve">19713 N 69TH AVE </t>
  </si>
  <si>
    <t>VISTAS AT ARROWHEAD RANCH LOT 1-191 TRAC</t>
  </si>
  <si>
    <t>VISTAS AT ARROWHEAD RANCH</t>
  </si>
  <si>
    <t>DORALWEST ENTS LLC</t>
  </si>
  <si>
    <t>EFREN RANGEL</t>
  </si>
  <si>
    <t>AUDREY RANGEL</t>
  </si>
  <si>
    <t>MARTHE</t>
  </si>
  <si>
    <t>VALENZUELA</t>
  </si>
  <si>
    <t>MARTHE VALENZUELA</t>
  </si>
  <si>
    <t xml:space="preserve">2426 E GLACIER PL </t>
  </si>
  <si>
    <t>ARIZONA COUNTRY</t>
  </si>
  <si>
    <t>GAGE ROBERT J</t>
  </si>
  <si>
    <t>VALENZUELA MARTHE O S</t>
  </si>
  <si>
    <t>DAYS</t>
  </si>
  <si>
    <t>RICHARD DAYS</t>
  </si>
  <si>
    <t xml:space="preserve">3106 W MELODY DR </t>
  </si>
  <si>
    <t>ESTATES AT SIERRA VISTA</t>
  </si>
  <si>
    <t>DAYS RICHARD W</t>
  </si>
  <si>
    <t>DENISON</t>
  </si>
  <si>
    <t>MICHAEL DENISON</t>
  </si>
  <si>
    <t xml:space="preserve">3733 E KIMBALL RD </t>
  </si>
  <si>
    <t>CORONADO RANCH PARCEL 6</t>
  </si>
  <si>
    <t>CORONADO ELEMENTARY SCHOOL</t>
  </si>
  <si>
    <t>WOODS BRET M &amp; ARIANE</t>
  </si>
  <si>
    <t>DENISON MICHAEL</t>
  </si>
  <si>
    <t>CHARLES J CORNING AND LEE S CORNING TRUST</t>
  </si>
  <si>
    <t xml:space="preserve">19517 E WALNUT RD </t>
  </si>
  <si>
    <t>CORNING CHARLES J &amp; LEE S</t>
  </si>
  <si>
    <t>DONLEVY</t>
  </si>
  <si>
    <t>KELLY &amp; ROBERT DONLEVY</t>
  </si>
  <si>
    <t xml:space="preserve">16449 W EL CORTEZ PL </t>
  </si>
  <si>
    <t>DESERT OASIS OF SURPRISE PARCEL B6</t>
  </si>
  <si>
    <t>VANWYK NICHOLAS</t>
  </si>
  <si>
    <t>JMAC LENDING</t>
  </si>
  <si>
    <t>DONLEVY KELLY M &amp; ROBERT K</t>
  </si>
  <si>
    <t>KOENEKE</t>
  </si>
  <si>
    <t>KELTY</t>
  </si>
  <si>
    <t>BRIAN KOENEKE &amp; ERICA KELTY</t>
  </si>
  <si>
    <t xml:space="preserve">2436 E DONATO DR </t>
  </si>
  <si>
    <t>FREEMAN FARMS PHASE 2 PARCEL 1</t>
  </si>
  <si>
    <t>WAGNER ERIC M &amp; MIYOUNG</t>
  </si>
  <si>
    <t>COLDWELL BANKER HM LNS</t>
  </si>
  <si>
    <t>KOENEKE BRIAN</t>
  </si>
  <si>
    <t>KELTY ERICA</t>
  </si>
  <si>
    <t>BOLING</t>
  </si>
  <si>
    <t>MITCHELL &amp; JODI BOLING</t>
  </si>
  <si>
    <t xml:space="preserve">18253 W EL CAMINITO DR </t>
  </si>
  <si>
    <t>WHITE TANK FOOTHILLS PARCEL 9</t>
  </si>
  <si>
    <t>POMPA ELIO J</t>
  </si>
  <si>
    <t>BOLING MITCHELL &amp; JODI</t>
  </si>
  <si>
    <t>ROGER NELSON</t>
  </si>
  <si>
    <t xml:space="preserve">882 N CONCORD AVE </t>
  </si>
  <si>
    <t>RANCH HOUSE AT SUPERSTITION RANCH</t>
  </si>
  <si>
    <t>SUPERSTITION RANCH</t>
  </si>
  <si>
    <t>REED THOMAS J</t>
  </si>
  <si>
    <t>NELSON ROGER H</t>
  </si>
  <si>
    <t>JOSEPH MOLINA</t>
  </si>
  <si>
    <t xml:space="preserve">18835 E CARDINAL WAY </t>
  </si>
  <si>
    <t xml:space="preserve">18921 E SUPERSTITION DR </t>
  </si>
  <si>
    <t>CORTINA PARCEL 8</t>
  </si>
  <si>
    <t>SMITH JOHN</t>
  </si>
  <si>
    <t>MOLINA JOSEPH O</t>
  </si>
  <si>
    <t>JENNIFER MENDEZ</t>
  </si>
  <si>
    <t xml:space="preserve">2829 N HERITAGE ST </t>
  </si>
  <si>
    <t>VERRADO PARCEL 3.203</t>
  </si>
  <si>
    <t>INGRAM FAMILY LIVING TRUST</t>
  </si>
  <si>
    <t>MENDEZ PETE A</t>
  </si>
  <si>
    <t>ROSENTHAL FAMILY LIVING TRUST</t>
  </si>
  <si>
    <t>ROSENTHAL</t>
  </si>
  <si>
    <t xml:space="preserve">5706 N 186TH DR </t>
  </si>
  <si>
    <t>SAVANNAH</t>
  </si>
  <si>
    <t>ROSENTHAL STEPHEN M &amp; PATRICIA D</t>
  </si>
  <si>
    <t>KEITH</t>
  </si>
  <si>
    <t>LANGLOIS</t>
  </si>
  <si>
    <t>KEITH &amp; ELAINE LANGLOIS</t>
  </si>
  <si>
    <t xml:space="preserve">2508 E ANIKA DR </t>
  </si>
  <si>
    <t>FREEMAN FARMS PHASE 3 PARCEL 3</t>
  </si>
  <si>
    <t>GUNLIKSON BRADLEY D</t>
  </si>
  <si>
    <t>LANGLOIS KEITH D &amp; ELAINE L</t>
  </si>
  <si>
    <t>HICKMAN</t>
  </si>
  <si>
    <t>MARCUS HICKMAN</t>
  </si>
  <si>
    <t xml:space="preserve">15844 W CYPRESS ST </t>
  </si>
  <si>
    <t>HICKMAN MARCUS</t>
  </si>
  <si>
    <t>ELLINGSON M J &amp; L S TRUST</t>
  </si>
  <si>
    <t>J &amp; S ELLINGSONM</t>
  </si>
  <si>
    <t xml:space="preserve">1754 E EVERGREEN ST </t>
  </si>
  <si>
    <t>MILLETT MANOR LOT 1-57</t>
  </si>
  <si>
    <t>COURY ESTATES</t>
  </si>
  <si>
    <t>MICHAEL T. HUGHES ELEMENTARY SCHOOL</t>
  </si>
  <si>
    <t>ELLINGSON J R SR &amp; B A TRUST</t>
  </si>
  <si>
    <t>ELLINGSON MATTHEW J &amp; LARA</t>
  </si>
  <si>
    <t>ARNOLDUSSEN</t>
  </si>
  <si>
    <t>BRUCE ARNOLDUSSEN</t>
  </si>
  <si>
    <t xml:space="preserve">33 E LAWRENCE RD </t>
  </si>
  <si>
    <t xml:space="preserve">5236 N 15TH DR </t>
  </si>
  <si>
    <t>LA MAR ESTATES 2</t>
  </si>
  <si>
    <t>LA MAR ESTATES</t>
  </si>
  <si>
    <t>WILKERSON JAMES TRUST</t>
  </si>
  <si>
    <t>ARNOLDUSSEN BRUCE M</t>
  </si>
  <si>
    <t>SCOTT ROGERS</t>
  </si>
  <si>
    <t xml:space="preserve">3551 E ARIS DR </t>
  </si>
  <si>
    <t>MARBELLA VINEYARDS PHASE 1</t>
  </si>
  <si>
    <t>PALMER TREVOR J &amp; ASHLEY N</t>
  </si>
  <si>
    <t>ROGERS SCOTT D</t>
  </si>
  <si>
    <t>JONATHON</t>
  </si>
  <si>
    <t>LASSAK</t>
  </si>
  <si>
    <t>CHANTELLE</t>
  </si>
  <si>
    <t>JONATHON &amp; CHANTELLE LASSAK</t>
  </si>
  <si>
    <t xml:space="preserve">5560 S WHITE DR </t>
  </si>
  <si>
    <t>SHADOW RIDGE</t>
  </si>
  <si>
    <t>BOTKIN JOHN C</t>
  </si>
  <si>
    <t>LASSAK JONATHON</t>
  </si>
  <si>
    <t>MIGUEL</t>
  </si>
  <si>
    <t>HURTADO</t>
  </si>
  <si>
    <t>BRYNA</t>
  </si>
  <si>
    <t>MIGUEL &amp; BRYNA HURTADO</t>
  </si>
  <si>
    <t xml:space="preserve">16196 N 180TH LN </t>
  </si>
  <si>
    <t>R029</t>
  </si>
  <si>
    <t xml:space="preserve">131 CMR 460 </t>
  </si>
  <si>
    <t>APO</t>
  </si>
  <si>
    <t>AE</t>
  </si>
  <si>
    <t>SURPRISE FARMS PHASE 3 PARCEL 5</t>
  </si>
  <si>
    <t>ARBOR RIDGE</t>
  </si>
  <si>
    <t>PECORA JOHN &amp; LISA</t>
  </si>
  <si>
    <t>HURTADO MIGUEL A &amp; BRYNA M</t>
  </si>
  <si>
    <t>CHARNHOLM</t>
  </si>
  <si>
    <t>KENDRA</t>
  </si>
  <si>
    <t>SCOTT &amp; KENDRA CHARNHOLM</t>
  </si>
  <si>
    <t xml:space="preserve">10848 E REGINALD AVE </t>
  </si>
  <si>
    <t>H060</t>
  </si>
  <si>
    <t>NOVA VISTA UNIT A</t>
  </si>
  <si>
    <t>HIGHLAND RIDGE</t>
  </si>
  <si>
    <t>AGUIRRE TRAVIS A</t>
  </si>
  <si>
    <t>CHARNHOLM SCOTT</t>
  </si>
  <si>
    <t>HEATHER NELSON</t>
  </si>
  <si>
    <t xml:space="preserve">1189 E BUFFALO ST </t>
  </si>
  <si>
    <t>C008</t>
  </si>
  <si>
    <t>SENATE ACRES</t>
  </si>
  <si>
    <t>PERRY JAMES &amp; LORI TRUST</t>
  </si>
  <si>
    <t>NELSON HEATHER</t>
  </si>
  <si>
    <t>QUINTON</t>
  </si>
  <si>
    <t>TILLMON</t>
  </si>
  <si>
    <t>CHEREATHA</t>
  </si>
  <si>
    <t>QUINTON &amp; CHEREATHA TILLMON</t>
  </si>
  <si>
    <t xml:space="preserve">2121 N 125TH AVE </t>
  </si>
  <si>
    <t>ALTA MIRA AT RANCHO SANTA FE</t>
  </si>
  <si>
    <t>RANCHO SANTA FE ELEMENTARY SCHOOL</t>
  </si>
  <si>
    <t>TMW CAPITAL INVS LLC</t>
  </si>
  <si>
    <t>GO DIRECT LENDERS</t>
  </si>
  <si>
    <t>ENCINO CA 91316</t>
  </si>
  <si>
    <t>QUINTON A TILLMON</t>
  </si>
  <si>
    <t>CHEREATHA TILLMON</t>
  </si>
  <si>
    <t>HOUNSELL</t>
  </si>
  <si>
    <t>SUE</t>
  </si>
  <si>
    <t>HOUNSELL &amp; LISA SUE</t>
  </si>
  <si>
    <t xml:space="preserve">18444 W TASHA DR </t>
  </si>
  <si>
    <t>SURPRISE FARMS PHASE 5</t>
  </si>
  <si>
    <t>HOUNSELL COLIN BRIAN &amp; LISA S</t>
  </si>
  <si>
    <t>SAWKA</t>
  </si>
  <si>
    <t>MALISSA</t>
  </si>
  <si>
    <t>MICHAEL &amp; MALISSA SAWKA</t>
  </si>
  <si>
    <t xml:space="preserve">3523 E COVINA ST </t>
  </si>
  <si>
    <t>THAYER PARK MANOR LOT 1-55 60-85 TR A-E</t>
  </si>
  <si>
    <t>THAYER PARK MANOR</t>
  </si>
  <si>
    <t>HIGHLAND ARTS ELEMENTARY SCHOOL</t>
  </si>
  <si>
    <t>ELMORE ROBERT J &amp; A TRUST</t>
  </si>
  <si>
    <t>SAWKA MICHAEL T</t>
  </si>
  <si>
    <t>THACKER</t>
  </si>
  <si>
    <t>AARON &amp; DAWN THACKER</t>
  </si>
  <si>
    <t xml:space="preserve">1286 W AMANDA LN </t>
  </si>
  <si>
    <t>SIERRA TEMPE UNIT 3</t>
  </si>
  <si>
    <t>SIERRA TEMPE</t>
  </si>
  <si>
    <t>KYRENE DE LAS MANITAS SCHOOL</t>
  </si>
  <si>
    <t>DUNCAN RANDY J</t>
  </si>
  <si>
    <t>THACKER AARON C &amp; DAWN S</t>
  </si>
  <si>
    <t>HIGGS</t>
  </si>
  <si>
    <t>DOUGLAS &amp; KAREN HIGGS</t>
  </si>
  <si>
    <t xml:space="preserve">6220 W ORAIBI DR </t>
  </si>
  <si>
    <t>HIGHLAND POINT</t>
  </si>
  <si>
    <t>THE HIGHLANDS AT ARROWHEAD RANCH</t>
  </si>
  <si>
    <t>BARNAT EDWARD W</t>
  </si>
  <si>
    <t>HIGGS DOUGLAS S</t>
  </si>
  <si>
    <t>HUME</t>
  </si>
  <si>
    <t>DANTHUY</t>
  </si>
  <si>
    <t>DAO</t>
  </si>
  <si>
    <t>DAVID HUME &amp; DANTHUY DAO</t>
  </si>
  <si>
    <t xml:space="preserve">6825 W ASTER DR </t>
  </si>
  <si>
    <t>THUNDERBIRD WEST</t>
  </si>
  <si>
    <t>NORTHERN TRUST CO</t>
  </si>
  <si>
    <t>HUME DAVID J</t>
  </si>
  <si>
    <t>DAO DANTHUY N</t>
  </si>
  <si>
    <t>LUCY</t>
  </si>
  <si>
    <t>WARNICK</t>
  </si>
  <si>
    <t>LUCY &amp; MICHAEL WARNICK</t>
  </si>
  <si>
    <t xml:space="preserve">4369 S SQUIRES LN </t>
  </si>
  <si>
    <t>EAGLE GLEN 2</t>
  </si>
  <si>
    <t>EAGLE GLEN II</t>
  </si>
  <si>
    <t>KING WILLIAM T</t>
  </si>
  <si>
    <t>WARNICK LUCY B</t>
  </si>
  <si>
    <t>LUCY B WARNICK</t>
  </si>
  <si>
    <t>MICHAEL P WARNICK SR</t>
  </si>
  <si>
    <t>BERNADINE</t>
  </si>
  <si>
    <t>HUETTL</t>
  </si>
  <si>
    <t>BERNADINE &amp; KENNETH HUETTL</t>
  </si>
  <si>
    <t xml:space="preserve">10066 E SAN SALVADOR DR </t>
  </si>
  <si>
    <t>C027</t>
  </si>
  <si>
    <t>CASA DEL CIELO AT SCOTTSDALE RANCH LT 1-</t>
  </si>
  <si>
    <t>CASA DEL CIELO AT SCOTTSDALE RANCH</t>
  </si>
  <si>
    <t>TEGIDIUS NICLAS &amp; NATALIE</t>
  </si>
  <si>
    <t>BERNADINE HUETTL</t>
  </si>
  <si>
    <t>KENNETH HUETTL</t>
  </si>
  <si>
    <t>JOSHUA HENDERSON</t>
  </si>
  <si>
    <t xml:space="preserve">12156 W BRILES RD </t>
  </si>
  <si>
    <t>COLDWATER RANCH UNIT 3</t>
  </si>
  <si>
    <t>VILLAGES AT COLDWATER RANCH</t>
  </si>
  <si>
    <t>HART</t>
  </si>
  <si>
    <t>NICHOLAS &amp; AMBER HART</t>
  </si>
  <si>
    <t xml:space="preserve">18213 W MACKENZIE DR </t>
  </si>
  <si>
    <t>HARDWICK JESSE H</t>
  </si>
  <si>
    <t>HART NICHOLAS &amp; AMBER</t>
  </si>
  <si>
    <t>NICHOLAS HART</t>
  </si>
  <si>
    <t>AMBER HART</t>
  </si>
  <si>
    <t>FULKERSON</t>
  </si>
  <si>
    <t>DURLINDA</t>
  </si>
  <si>
    <t>DANIEL &amp; DURLINDA FULKERSON</t>
  </si>
  <si>
    <t xml:space="preserve">15834 W LA PALOMA DR </t>
  </si>
  <si>
    <t>HENSLEY CLAUDE L LIVING TRUST</t>
  </si>
  <si>
    <t>FULKERSON DANIEL V &amp; DURLINDA</t>
  </si>
  <si>
    <t>AARON &amp; RAQUEL DEAN</t>
  </si>
  <si>
    <t xml:space="preserve">25686 N SANDSTONE WAY </t>
  </si>
  <si>
    <t>OD ARIZONA F LLC</t>
  </si>
  <si>
    <t>DEAN AARON S</t>
  </si>
  <si>
    <t>LOVGREN</t>
  </si>
  <si>
    <t>GARY &amp; ANGELA LOVGREN</t>
  </si>
  <si>
    <t xml:space="preserve">4305 E BRANDED RD </t>
  </si>
  <si>
    <t>R097</t>
  </si>
  <si>
    <t>POWER RANCH NEIGHBORHOOD 1</t>
  </si>
  <si>
    <t>MOUNTAIN VIEW</t>
  </si>
  <si>
    <t>AZSFO-I LLC</t>
  </si>
  <si>
    <t>GARY S LOVGREN</t>
  </si>
  <si>
    <t>ANGELA LOVGREN</t>
  </si>
  <si>
    <t>BRINING</t>
  </si>
  <si>
    <t>VICKI</t>
  </si>
  <si>
    <t>SAPP</t>
  </si>
  <si>
    <t>STEVEN BRINING &amp; VICKI SAPP</t>
  </si>
  <si>
    <t xml:space="preserve">13819 N 62ND ST </t>
  </si>
  <si>
    <t>LA PAZ AT DESERT SPRINGS UNIT  2 LOT 1-2</t>
  </si>
  <si>
    <t>LA PAZ AT DESERT SPRINGS</t>
  </si>
  <si>
    <t>DESERT SPRINGS PREPARATORY ELEMENTARY SCHOOL</t>
  </si>
  <si>
    <t>DESERT SHADOWS MIDDLE SCHOOL</t>
  </si>
  <si>
    <t>BARBOSA JOILO &amp; SYLVIA</t>
  </si>
  <si>
    <t>BRINING STEVEN</t>
  </si>
  <si>
    <t>SAPP VICKI L</t>
  </si>
  <si>
    <t>JESUS</t>
  </si>
  <si>
    <t>JESUS GOMEZ</t>
  </si>
  <si>
    <t xml:space="preserve">1423 N BENSON CT </t>
  </si>
  <si>
    <t>C047</t>
  </si>
  <si>
    <t>WOODS AT TIBURON UNIT 1 LOT 1-61 TR A B</t>
  </si>
  <si>
    <t>WOODS AT TIBURON</t>
  </si>
  <si>
    <t>CHANDLER TRADITIONAL ACADEMY - GOODMAN CAMPUS</t>
  </si>
  <si>
    <t>CAMERON HOLDINGS LLC</t>
  </si>
  <si>
    <t>GOMEZ JESUS F</t>
  </si>
  <si>
    <t>FIFE</t>
  </si>
  <si>
    <t>EMILY &amp; KENNETH FIFE</t>
  </si>
  <si>
    <t xml:space="preserve">3628 E DESERT WILLOW RD </t>
  </si>
  <si>
    <t>RIVERA ERNESTO H M T T</t>
  </si>
  <si>
    <t>FIFE EMILY &amp; KENNETH</t>
  </si>
  <si>
    <t>LESTER</t>
  </si>
  <si>
    <t>KILPATRICK</t>
  </si>
  <si>
    <t>LESTER &amp; TINA KILPATRICK</t>
  </si>
  <si>
    <t xml:space="preserve">4525 E PEAK VIEW RD </t>
  </si>
  <si>
    <t>H022</t>
  </si>
  <si>
    <t>TATUM RANCH PARCEL 43A</t>
  </si>
  <si>
    <t>DESERT WILLOW ELEMENTARY SCHOOL</t>
  </si>
  <si>
    <t>LARSON CLIFFORD R</t>
  </si>
  <si>
    <t>KILPATRICK JR LESTER</t>
  </si>
  <si>
    <t>KILPATRICK TINA</t>
  </si>
  <si>
    <t>SHIRL</t>
  </si>
  <si>
    <t>FOGGIE</t>
  </si>
  <si>
    <t>SHIRL &amp; VICTOR FOGGIE</t>
  </si>
  <si>
    <t xml:space="preserve">5204 W TROTTER TRL </t>
  </si>
  <si>
    <t>STETSON VALLEY PARCELS 2  3  4</t>
  </si>
  <si>
    <t>FOGGIE SHIRL J &amp; VICTOR M</t>
  </si>
  <si>
    <t>FOGGIE VICTOR MICHAEL &amp; SHIRL JOHNSON</t>
  </si>
  <si>
    <t>RIDDLE</t>
  </si>
  <si>
    <t>JOHN &amp; DIANE RIDDLE</t>
  </si>
  <si>
    <t xml:space="preserve">5417 W DOBBINS RD </t>
  </si>
  <si>
    <t>LAVEEN ESTATES UNIT 4</t>
  </si>
  <si>
    <t>LAVEEN ESTATES</t>
  </si>
  <si>
    <t>MILLER FAMILY TRUST</t>
  </si>
  <si>
    <t>LOMBARD IL 60148</t>
  </si>
  <si>
    <t>RIDDLE JOHN R &amp; DIANE M</t>
  </si>
  <si>
    <t>RIDL</t>
  </si>
  <si>
    <t>DAVID &amp; ELIZABETH RIDL</t>
  </si>
  <si>
    <t xml:space="preserve">3668 E MORRISON RANCH PKWY </t>
  </si>
  <si>
    <t xml:space="preserve">4050 E DEVON DR </t>
  </si>
  <si>
    <t>LAKEVIEW TRAILS NORTH AT MORRISON RANCH</t>
  </si>
  <si>
    <t>SHANNON JAMES F</t>
  </si>
  <si>
    <t>RIDL DAVID S &amp; ELIZABETH S</t>
  </si>
  <si>
    <t>KORNELUK</t>
  </si>
  <si>
    <t>SATCHELL</t>
  </si>
  <si>
    <t>KORNELUK &amp; BRITTANY SATCHELL</t>
  </si>
  <si>
    <t xml:space="preserve">5213 W PEDRO LN </t>
  </si>
  <si>
    <t>DOBBINS RANCH AMD</t>
  </si>
  <si>
    <t>DOBBINS RANCH</t>
  </si>
  <si>
    <t>ORTIZ BERTHA A</t>
  </si>
  <si>
    <t>KORNELUK CURTIS L &amp; BRITTANY S J S</t>
  </si>
  <si>
    <t>CURTIS</t>
  </si>
  <si>
    <t>GORSHE</t>
  </si>
  <si>
    <t>ADRIENNE</t>
  </si>
  <si>
    <t>CURTIS &amp; ADRIENNE GORSHE</t>
  </si>
  <si>
    <t xml:space="preserve">3469 E RIOPELLE AVE </t>
  </si>
  <si>
    <t>SEVILLE PARCEL 27</t>
  </si>
  <si>
    <t>DECESARE KERRY C &amp; HILLARIE</t>
  </si>
  <si>
    <t>GORSHE CURTIS &amp; ADRIENNE</t>
  </si>
  <si>
    <t>KENNEY</t>
  </si>
  <si>
    <t>LARRY &amp; LORNA KENNEY</t>
  </si>
  <si>
    <t xml:space="preserve">14137 W ROBERTSON DR </t>
  </si>
  <si>
    <t xml:space="preserve">514 AMERICAS WAY #4066 </t>
  </si>
  <si>
    <t>BOX ELDER</t>
  </si>
  <si>
    <t>SUN CITY WEST UNIT 52</t>
  </si>
  <si>
    <t>BASARABA SHIRLEY A</t>
  </si>
  <si>
    <t>KENNEY LARRY A &amp; LORNA</t>
  </si>
  <si>
    <t>CHRISTENSEN</t>
  </si>
  <si>
    <t>GARY &amp; SHEILA CHRISTENSEN</t>
  </si>
  <si>
    <t xml:space="preserve">31859 N 53RD ST </t>
  </si>
  <si>
    <t>H027</t>
  </si>
  <si>
    <t>52ND STREET &amp; LONE MOUNTAIN</t>
  </si>
  <si>
    <t>DESERT WIND</t>
  </si>
  <si>
    <t>NOLL DAVID S &amp; SHARON L</t>
  </si>
  <si>
    <t>CHRISTENSEN GARY J &amp; SHEILA E</t>
  </si>
  <si>
    <t>GARY J CHRISTENSEN</t>
  </si>
  <si>
    <t>SHEILA E CHRISTENSEN</t>
  </si>
  <si>
    <t>CARLSON</t>
  </si>
  <si>
    <t>KENNETH &amp; WANDA CARLSON</t>
  </si>
  <si>
    <t xml:space="preserve">9755 W KIMBERLY WAY </t>
  </si>
  <si>
    <t>MEADOWRIDGE UNIT ONE AT WESTBROOK VILLAG</t>
  </si>
  <si>
    <t>MEADOWRIDGE AT WESTBROOK VILLAGE</t>
  </si>
  <si>
    <t>APACHE ELEMENTARY SCHOOL</t>
  </si>
  <si>
    <t>EXCEPTIONAL HOMES LLC</t>
  </si>
  <si>
    <t>CARLSON KENNETH J &amp; WANDA B</t>
  </si>
  <si>
    <t>KENWYN</t>
  </si>
  <si>
    <t>KENWYN THOMAS</t>
  </si>
  <si>
    <t xml:space="preserve">1042 E SAN TAN DR </t>
  </si>
  <si>
    <t>R081</t>
  </si>
  <si>
    <t>NEELY COMMONS PHASE 1</t>
  </si>
  <si>
    <t>NEELY COMMONS</t>
  </si>
  <si>
    <t>MESQUITE ELEMENTARY SCHOOL</t>
  </si>
  <si>
    <t>HOEFERT JOHN E &amp; TINA L</t>
  </si>
  <si>
    <t>THOMAS KENWYN ANTHONY</t>
  </si>
  <si>
    <t>LISA PHILLIPS</t>
  </si>
  <si>
    <t xml:space="preserve">12129 W TETHER TRL </t>
  </si>
  <si>
    <t>BBMC MORTGAGE LLC</t>
  </si>
  <si>
    <t>PHILLIPS LISA H</t>
  </si>
  <si>
    <t>BAER</t>
  </si>
  <si>
    <t>MICHAEL BAER</t>
  </si>
  <si>
    <t xml:space="preserve">2317 E CONCORDA DR </t>
  </si>
  <si>
    <t>C077</t>
  </si>
  <si>
    <t>BROADWAY PALMS</t>
  </si>
  <si>
    <t>ROOSEVELT ELEMENTARY SCHOOL</t>
  </si>
  <si>
    <t>CARSON JUNIOR HIGH SCHOOL</t>
  </si>
  <si>
    <t>BAER SCOTT E</t>
  </si>
  <si>
    <t>WYNDHAM CAP MTG</t>
  </si>
  <si>
    <t>CHARLOTTE NC 28210</t>
  </si>
  <si>
    <t>MICHAEL D BAER</t>
  </si>
  <si>
    <t>JANSEN</t>
  </si>
  <si>
    <t>TERRI</t>
  </si>
  <si>
    <t>ROGER &amp; TERRI JANSEN</t>
  </si>
  <si>
    <t xml:space="preserve">3730 E MEADOWVIEW DR </t>
  </si>
  <si>
    <t>SEVILLE PARCEL 9</t>
  </si>
  <si>
    <t>SORRENTO</t>
  </si>
  <si>
    <t>JANSEN ROGER &amp; TERRI</t>
  </si>
  <si>
    <t>BONNER</t>
  </si>
  <si>
    <t>FAQUITTA</t>
  </si>
  <si>
    <t>LARRY &amp; FAQUITTA BONNER</t>
  </si>
  <si>
    <t xml:space="preserve">19061 N 90TH WAY </t>
  </si>
  <si>
    <t>CLIFFS AT IRONWOOD VILLAGE</t>
  </si>
  <si>
    <t>COPPER RIDGE SCHOOL</t>
  </si>
  <si>
    <t>CHAPARRAL HIGH SCHOOL</t>
  </si>
  <si>
    <t>TIMMONS CLEO B &amp; MARY L TRUST</t>
  </si>
  <si>
    <t>BONNER LARRY C</t>
  </si>
  <si>
    <t>DOME</t>
  </si>
  <si>
    <t>KRISTA</t>
  </si>
  <si>
    <t>CHRISTIAN &amp; KRISTA DOME</t>
  </si>
  <si>
    <t xml:space="preserve">18470 W MAUNA LOA LN </t>
  </si>
  <si>
    <t>SIERRA MONTANA PARCEL 4</t>
  </si>
  <si>
    <t>TESORO AT SIERRA MONTANA</t>
  </si>
  <si>
    <t>COTTEN JEFFREY A</t>
  </si>
  <si>
    <t>DOME CHRISTIAN J &amp; KRISTA L</t>
  </si>
  <si>
    <t>MOON</t>
  </si>
  <si>
    <t>RICKY &amp; PAMELA MOON</t>
  </si>
  <si>
    <t xml:space="preserve">6082 W AUDREY LN </t>
  </si>
  <si>
    <t>ARROWHEAD MEADOWS</t>
  </si>
  <si>
    <t>LEIGHTON-BOSTER LORRIE A &amp; K</t>
  </si>
  <si>
    <t>MOON RICKY D</t>
  </si>
  <si>
    <t>DANIEL SILVA</t>
  </si>
  <si>
    <t xml:space="preserve">17855 W WINDROSE DR </t>
  </si>
  <si>
    <t>DANIEL J SILVA</t>
  </si>
  <si>
    <t>REGGIE</t>
  </si>
  <si>
    <t>SIMMONS</t>
  </si>
  <si>
    <t>REGGIE SIMMONS</t>
  </si>
  <si>
    <t xml:space="preserve">3491 E TURNBERRY DR </t>
  </si>
  <si>
    <t>SKARPHOL THERESA A &amp; GALEN O</t>
  </si>
  <si>
    <t>SIMMONS REGGIE C</t>
  </si>
  <si>
    <t>COTTRELL</t>
  </si>
  <si>
    <t>PALMER &amp; JUDITH COTTRELL</t>
  </si>
  <si>
    <t xml:space="preserve">14303 W AGEAN CT </t>
  </si>
  <si>
    <t>SUN CITY WEST 35  LOT 1-411 TR A-G</t>
  </si>
  <si>
    <t>PRESTIN PAUL W &amp; JANET T</t>
  </si>
  <si>
    <t>COTTRELL PALMER JR &amp; JUDITH A</t>
  </si>
  <si>
    <t>PETERS</t>
  </si>
  <si>
    <t>DEANNA</t>
  </si>
  <si>
    <t>RYAN &amp; DEANNA PETERS</t>
  </si>
  <si>
    <t xml:space="preserve">4599 E BUCKBOARD CT </t>
  </si>
  <si>
    <t>R096</t>
  </si>
  <si>
    <t>POWER RANCH NEIGHBORHOOD 3</t>
  </si>
  <si>
    <t>THE OAKS</t>
  </si>
  <si>
    <t>MICKEY BENJAMIN &amp; STACY</t>
  </si>
  <si>
    <t>PETERS RYAN P &amp; DEANNA M</t>
  </si>
  <si>
    <t>CALDERON &amp; THERESA FLORES</t>
  </si>
  <si>
    <t xml:space="preserve">18489 W POST DR </t>
  </si>
  <si>
    <t>CALDERON DAVID A &amp; THERESA M FLORES</t>
  </si>
  <si>
    <t>BERTRAM &amp; BERTRAM WOLF</t>
  </si>
  <si>
    <t xml:space="preserve">15225 E GOLDEN EAGLE BLVD </t>
  </si>
  <si>
    <t>FOUNTAIN HILLS ARIZONA FINAL PLAT NO 516</t>
  </si>
  <si>
    <t>PRITCHARD TRUST</t>
  </si>
  <si>
    <t>CANYON STATE CU</t>
  </si>
  <si>
    <t>BERTRAM GREORV &amp; SANDRA</t>
  </si>
  <si>
    <t>BERTRAM TRUST</t>
  </si>
  <si>
    <t>SHAFFER</t>
  </si>
  <si>
    <t>DAVID &amp; DANIELLE SHAFFER</t>
  </si>
  <si>
    <t xml:space="preserve">4617 E THORN TREE DR </t>
  </si>
  <si>
    <t>H029</t>
  </si>
  <si>
    <t>A-M RANCH PARCEL F</t>
  </si>
  <si>
    <t>A-M RANCH</t>
  </si>
  <si>
    <t>BONNELL NORMA L</t>
  </si>
  <si>
    <t>SHAFFER DAVID &amp; DANIELLE</t>
  </si>
  <si>
    <t>RICHARDS</t>
  </si>
  <si>
    <t>JAY &amp; LESLIE RICHARDS</t>
  </si>
  <si>
    <t xml:space="preserve">18835 E FLINTLOCK DR </t>
  </si>
  <si>
    <t xml:space="preserve">PO BOX 9265 </t>
  </si>
  <si>
    <t>CHANDLER HEIGHTS</t>
  </si>
  <si>
    <t>CHANDLER HEIGHTS CITRUS TRACT 3127</t>
  </si>
  <si>
    <t>SCHAFER BARRY W</t>
  </si>
  <si>
    <t>RICHARDS JAY T</t>
  </si>
  <si>
    <t>SMILEY</t>
  </si>
  <si>
    <t>TROY &amp; MICHELLE SMILEY</t>
  </si>
  <si>
    <t xml:space="preserve">3724 N 195TH DR </t>
  </si>
  <si>
    <t>PASQUALETTI MOUNTAIN RANCH PHASE 1 AMD</t>
  </si>
  <si>
    <t>PASQUALETTI MOUNTAIN RANCH</t>
  </si>
  <si>
    <t>PERALA JOHN J</t>
  </si>
  <si>
    <t>SMILEY TROY D &amp; MICHELLE L</t>
  </si>
  <si>
    <t>BANK OF AMERICA NA</t>
  </si>
  <si>
    <t>SMILEY MICHELLE L &amp; TROY D</t>
  </si>
  <si>
    <t>WHETSEL</t>
  </si>
  <si>
    <t>DANIEL &amp; HEIDI WHETSEL</t>
  </si>
  <si>
    <t xml:space="preserve">22102 W RIPPLE RD </t>
  </si>
  <si>
    <t>PHOENIX SKYLINE WEST ONE</t>
  </si>
  <si>
    <t>R-R</t>
  </si>
  <si>
    <t>BLACK CHRISTOPHER</t>
  </si>
  <si>
    <t>WHETSEL DANIEL G</t>
  </si>
  <si>
    <t>SAUL</t>
  </si>
  <si>
    <t>AARON &amp; JENNIFER SAUL</t>
  </si>
  <si>
    <t xml:space="preserve">20607 W HOLT DR </t>
  </si>
  <si>
    <t>VERRADO PARCEL 4.609</t>
  </si>
  <si>
    <t>SAGUARO PEAKS INVS II LP</t>
  </si>
  <si>
    <t>FIRST CHOICE LN SVCS</t>
  </si>
  <si>
    <t>AARON SAUL</t>
  </si>
  <si>
    <t>JENNIFER SAUL</t>
  </si>
  <si>
    <t>DE LAE</t>
  </si>
  <si>
    <t>MARCO CRUZ</t>
  </si>
  <si>
    <t xml:space="preserve">8926 N 172ND DR </t>
  </si>
  <si>
    <t xml:space="preserve">12435 W ORANGE DR </t>
  </si>
  <si>
    <t>ROMOLA 38</t>
  </si>
  <si>
    <t>ROMOLA</t>
  </si>
  <si>
    <t>LUKE ELEMENTARY SCHOOL</t>
  </si>
  <si>
    <t>MADDOCK SIDNEY P</t>
  </si>
  <si>
    <t>BANC HM LNS</t>
  </si>
  <si>
    <t>DE LA CRUZ MARCO A &amp; MARIA C</t>
  </si>
  <si>
    <t>RANDY</t>
  </si>
  <si>
    <t>RANDY &amp; SUSAN COLLINS</t>
  </si>
  <si>
    <t xml:space="preserve">29415 N 164TH PL </t>
  </si>
  <si>
    <t>R173</t>
  </si>
  <si>
    <t>CARPENTER BEVERLY</t>
  </si>
  <si>
    <t>COLLINS RANDY L</t>
  </si>
  <si>
    <t>MOTT</t>
  </si>
  <si>
    <t>ADAM MOTT</t>
  </si>
  <si>
    <t xml:space="preserve">1418 W LAVITT LN </t>
  </si>
  <si>
    <t>LUCERO DAVE M</t>
  </si>
  <si>
    <t>MOTT ADAM L &amp; REBECCA S</t>
  </si>
  <si>
    <t>SKROBE</t>
  </si>
  <si>
    <t>DANIEL SKROBE</t>
  </si>
  <si>
    <t xml:space="preserve">9927 E HIDDEN GREEN DR </t>
  </si>
  <si>
    <t>R105</t>
  </si>
  <si>
    <t>HIGHLANDS AT TROON NORTH</t>
  </si>
  <si>
    <t>KEUL JANET M TRUSTEE T</t>
  </si>
  <si>
    <t>SKROBE DANIEL</t>
  </si>
  <si>
    <t>TERRILL</t>
  </si>
  <si>
    <t>JESENIA</t>
  </si>
  <si>
    <t>PIZARRO-TERRILL</t>
  </si>
  <si>
    <t>WILLIAM TERRILL &amp; JESENIA PIZARRO-TERRILL</t>
  </si>
  <si>
    <t xml:space="preserve">3943 E CREST LN </t>
  </si>
  <si>
    <t>C098</t>
  </si>
  <si>
    <t>VILLAGE 2 AT AVIANO</t>
  </si>
  <si>
    <t>AVIANO AT DESERT RIDGE</t>
  </si>
  <si>
    <t>WILDFIRE ELEMENTARY SCHOOL</t>
  </si>
  <si>
    <t>HUGHES PATRICK G</t>
  </si>
  <si>
    <t>TERRILL WILLIAM</t>
  </si>
  <si>
    <t>PIZARRO-TERRILL JESENIA</t>
  </si>
  <si>
    <t>CORONADO</t>
  </si>
  <si>
    <t>RUBEN &amp; ROSE CORONADO</t>
  </si>
  <si>
    <t xml:space="preserve">20819 E MEWES RD </t>
  </si>
  <si>
    <t>ORCHARD RANCHETTES 2 PHASE A</t>
  </si>
  <si>
    <t>ORCHARD RANCH</t>
  </si>
  <si>
    <t>MACINTOSH DUSTIN D</t>
  </si>
  <si>
    <t>CORONADO RUBEN C &amp; ROSE</t>
  </si>
  <si>
    <t>AERO FCU</t>
  </si>
  <si>
    <t>GLENDALE AZ 85308</t>
  </si>
  <si>
    <t>RUBEN C CORONADO</t>
  </si>
  <si>
    <t>ROSE CORONADO</t>
  </si>
  <si>
    <t>MATTHEW &amp; NICOLE COOPER</t>
  </si>
  <si>
    <t xml:space="preserve">9809 E SHARON DR #62 </t>
  </si>
  <si>
    <t xml:space="preserve">9809 E SHARON DR </t>
  </si>
  <si>
    <t>MADRID</t>
  </si>
  <si>
    <t>DAWSON JAMES &amp; LORENE TRUST</t>
  </si>
  <si>
    <t>COOPER MATTHEW C &amp; NICOLE C</t>
  </si>
  <si>
    <t>NUTTER</t>
  </si>
  <si>
    <t>SWAIN-NUTTER</t>
  </si>
  <si>
    <t>CHRISTOPHER NUTTER &amp; ALLISON SWAIN-NUTTER</t>
  </si>
  <si>
    <t xml:space="preserve">4061 E WRANGLER CT </t>
  </si>
  <si>
    <t>POWER RANCH NEIGHBORHOOD 2</t>
  </si>
  <si>
    <t>THE GROVES</t>
  </si>
  <si>
    <t>ORTIZ ESTEPHAN &amp; ASHLEY</t>
  </si>
  <si>
    <t>NUTTER CHRISTOPHER ALAN</t>
  </si>
  <si>
    <t>SWAIN NUTTER ALLISON MARIE</t>
  </si>
  <si>
    <t>STERN</t>
  </si>
  <si>
    <t>CINDY STERN</t>
  </si>
  <si>
    <t xml:space="preserve">1054 E SARAGOSA ST </t>
  </si>
  <si>
    <t>WILLIS RANCH UNIT 2</t>
  </si>
  <si>
    <t>WILLIS RANCH</t>
  </si>
  <si>
    <t>NIELSON ROGER H</t>
  </si>
  <si>
    <t>STERN CINDY L</t>
  </si>
  <si>
    <t>HEATHER &amp; JEFFREY DENNIS</t>
  </si>
  <si>
    <t xml:space="preserve">4101 E TOPEKA DR </t>
  </si>
  <si>
    <t>C044</t>
  </si>
  <si>
    <t>PARADISE VALLEY LANDINGS UNIT 1 LOT 1-12</t>
  </si>
  <si>
    <t>PARADISE VALLEY LANDINGS</t>
  </si>
  <si>
    <t>QUAIL RUN ELEMENTARY SCHOOL</t>
  </si>
  <si>
    <t>ENGLISH NANCY M</t>
  </si>
  <si>
    <t>DENNIS HEATHER D &amp; JEFFREY M</t>
  </si>
  <si>
    <t>RAMON &amp; SANDRA GUTIERREZ</t>
  </si>
  <si>
    <t xml:space="preserve">7815 W KIRBY ST </t>
  </si>
  <si>
    <t>HINDS CARL</t>
  </si>
  <si>
    <t>GUTIERREZ RAMON</t>
  </si>
  <si>
    <t>GUADALUPE</t>
  </si>
  <si>
    <t>NIETO</t>
  </si>
  <si>
    <t>GUADALUPE &amp; RACHEL NIETO</t>
  </si>
  <si>
    <t xml:space="preserve">8736 W ECHO LN </t>
  </si>
  <si>
    <t>SUMMERSETT VILLAGE</t>
  </si>
  <si>
    <t>FEDERAL HOME LOAN MTG CORP</t>
  </si>
  <si>
    <t>NIETO GUADALUPE A &amp; RACHEL M</t>
  </si>
  <si>
    <t>ARNOTT</t>
  </si>
  <si>
    <t>ROGER &amp; FRANCES ARNOTT</t>
  </si>
  <si>
    <t xml:space="preserve">1715 N 119TH DR </t>
  </si>
  <si>
    <t>PALM MEADOWS REPLAT</t>
  </si>
  <si>
    <t>PALM MEADOWS</t>
  </si>
  <si>
    <t>GAYMAN SARAH</t>
  </si>
  <si>
    <t>ROGER F ARNOTT</t>
  </si>
  <si>
    <t>FRANCES E ARNOTT</t>
  </si>
  <si>
    <t>CHRISTA</t>
  </si>
  <si>
    <t>CAAMANO</t>
  </si>
  <si>
    <t>CHRISTA &amp; MIGUEL CAAMANO</t>
  </si>
  <si>
    <t xml:space="preserve">10613 W RAYMOND ST </t>
  </si>
  <si>
    <t>CAAMANO CHRISTA &amp; MIGUEL</t>
  </si>
  <si>
    <t>FUENTES</t>
  </si>
  <si>
    <t>ALEXA FUENTES</t>
  </si>
  <si>
    <t xml:space="preserve">5434 W MARIETTA DR </t>
  </si>
  <si>
    <t>RIVER WALK VILLAGES PHASE 2B</t>
  </si>
  <si>
    <t>RIVER WALK VILLAGES</t>
  </si>
  <si>
    <t>MEYER CRAIG J</t>
  </si>
  <si>
    <t>FUENTES ALEXA</t>
  </si>
  <si>
    <t>SERDA</t>
  </si>
  <si>
    <t>KIERSTEN</t>
  </si>
  <si>
    <t>CHRISTOPHER &amp; KIERSTEN SERDA</t>
  </si>
  <si>
    <t xml:space="preserve">1122 W ISABELLA AVE </t>
  </si>
  <si>
    <t>DOBSON RANCH UNIT  5 LOT 1863-1972 TR R-</t>
  </si>
  <si>
    <t>CRISMON ELEMENTARY SCHOOL</t>
  </si>
  <si>
    <t>EIKENBERRY JANICE L &amp; ROGER</t>
  </si>
  <si>
    <t>SERDA CHRISTOPHER J</t>
  </si>
  <si>
    <t>THOMAS RICHARDS REVOCABLE TRUST</t>
  </si>
  <si>
    <t>THOMAS &amp; THOMAS RICHARDS</t>
  </si>
  <si>
    <t xml:space="preserve">3206 N 110TH AVE </t>
  </si>
  <si>
    <t>GARDEN LAKES ESTATES UNIT 3 LOT 1-52 TR</t>
  </si>
  <si>
    <t>GARDEN LAKES ESTATES</t>
  </si>
  <si>
    <t>GARDEN LAKES ELEMENTARY SCHOOL</t>
  </si>
  <si>
    <t>MUNOZ PEGGY R</t>
  </si>
  <si>
    <t>LHM FINANCIAL CORP</t>
  </si>
  <si>
    <t>RICHARDS THOMAS</t>
  </si>
  <si>
    <t>HARSHFIELD</t>
  </si>
  <si>
    <t>MARILYN</t>
  </si>
  <si>
    <t>POTTER</t>
  </si>
  <si>
    <t>ROBERT HARSHFIELD &amp; MARILYN POTTER</t>
  </si>
  <si>
    <t xml:space="preserve">9501 W OAKSTONE DR </t>
  </si>
  <si>
    <t xml:space="preserve">78376 LINCTON MTN RD </t>
  </si>
  <si>
    <t>WESTON</t>
  </si>
  <si>
    <t>OR</t>
  </si>
  <si>
    <t>SUN CITY 25</t>
  </si>
  <si>
    <t>HIGGINS KATHLEEN E</t>
  </si>
  <si>
    <t>ROBERT HARSHFIELD</t>
  </si>
  <si>
    <t>MARILYN K POTTER</t>
  </si>
  <si>
    <t>ARNOLD</t>
  </si>
  <si>
    <t>TYLER &amp; JESSICA ARNOLD</t>
  </si>
  <si>
    <t xml:space="preserve">1193 S REBECCA CT </t>
  </si>
  <si>
    <t>R114</t>
  </si>
  <si>
    <t>GREENFIELD LAKES PARCEL 4 UNIT 3</t>
  </si>
  <si>
    <t>VALDEZ DAVID Q</t>
  </si>
  <si>
    <t>ARNOLD TYLER G &amp; JESSICA L</t>
  </si>
  <si>
    <t>MONTOYA</t>
  </si>
  <si>
    <t>JOHN MONTOYA</t>
  </si>
  <si>
    <t xml:space="preserve">20933 N 85TH LN </t>
  </si>
  <si>
    <t>FLETCHER HEIGHTS PHASE 3B</t>
  </si>
  <si>
    <t>NADEALI HESHMAT D</t>
  </si>
  <si>
    <t>MONTOYA JOHN J</t>
  </si>
  <si>
    <t>BORG</t>
  </si>
  <si>
    <t>WILLIAM &amp; JULIE BORG</t>
  </si>
  <si>
    <t xml:space="preserve">16118 W CAMERON DR </t>
  </si>
  <si>
    <t>BORG WILLIAM J</t>
  </si>
  <si>
    <t>RANALLI REVOCABLE TRUST</t>
  </si>
  <si>
    <t>RANALLI</t>
  </si>
  <si>
    <t xml:space="preserve">16159 W VALE DR </t>
  </si>
  <si>
    <t>SOUTHWEST OPPORTUNITY RESA</t>
  </si>
  <si>
    <t>RANALLI GINO &amp; FRANCES M</t>
  </si>
  <si>
    <t>STARR</t>
  </si>
  <si>
    <t>NECIA</t>
  </si>
  <si>
    <t>JEFFREY &amp; NECIA STARR</t>
  </si>
  <si>
    <t xml:space="preserve">4498 E LOS ALAMOS ST </t>
  </si>
  <si>
    <t>GATEWAY VILLAGE</t>
  </si>
  <si>
    <t>GONZALEZ NATHON J</t>
  </si>
  <si>
    <t>STARR JEFFREY</t>
  </si>
  <si>
    <t>VANCLEAVE</t>
  </si>
  <si>
    <t>RONALD VANCLEAVE</t>
  </si>
  <si>
    <t xml:space="preserve">14637 W MAUI LN </t>
  </si>
  <si>
    <t xml:space="preserve">13347 W TARA LN </t>
  </si>
  <si>
    <t>ROYAL RANCH UNIT 2 PARCEL 6</t>
  </si>
  <si>
    <t>CLIFTON ROBERT C</t>
  </si>
  <si>
    <t>VANCLEAVE RONALD L II</t>
  </si>
  <si>
    <t>TEMPESTA</t>
  </si>
  <si>
    <t>ANTHONY &amp; ANDREA TEMPESTA</t>
  </si>
  <si>
    <t xml:space="preserve">9097 E LUDLOW DR </t>
  </si>
  <si>
    <t>SCOTTSDALE VISTA NORTH LOT 634-792</t>
  </si>
  <si>
    <t>SCOTTSDALE VISTA NORTH</t>
  </si>
  <si>
    <t>RICHARDSON RANDY &amp; LESLIE</t>
  </si>
  <si>
    <t>TEMPESTA ANTHONY &amp; ANDREA</t>
  </si>
  <si>
    <t>QUEENAN</t>
  </si>
  <si>
    <t>JOEL QUEENAN</t>
  </si>
  <si>
    <t xml:space="preserve">3146 S 185TH DR </t>
  </si>
  <si>
    <t>R037</t>
  </si>
  <si>
    <t>QUEENAN JOEL D</t>
  </si>
  <si>
    <t>LORIN</t>
  </si>
  <si>
    <t>LORIN BROWN</t>
  </si>
  <si>
    <t xml:space="preserve">706 N CLANCY </t>
  </si>
  <si>
    <t>R147</t>
  </si>
  <si>
    <t>MERIDIAN HILLS UNIT 2</t>
  </si>
  <si>
    <t>MERIDIAN HILLS</t>
  </si>
  <si>
    <t>MCCORMICK TIMOTHY P</t>
  </si>
  <si>
    <t>BROWN LORIN M</t>
  </si>
  <si>
    <t>DAVIS FAMILY LIVING TRUST</t>
  </si>
  <si>
    <t xml:space="preserve">4131 W BEVERLY RD </t>
  </si>
  <si>
    <t>ARTESA</t>
  </si>
  <si>
    <t>VISTA DEL SUR ACCELERATED ACADEMY</t>
  </si>
  <si>
    <t>DAVIS DAVID G &amp; JUDITH</t>
  </si>
  <si>
    <t>SLYE</t>
  </si>
  <si>
    <t>MELISSA SLYE</t>
  </si>
  <si>
    <t xml:space="preserve">12122 W VILLA CHULA CT </t>
  </si>
  <si>
    <t>RANCHO SILVERADO UNIT 1</t>
  </si>
  <si>
    <t>RANCHO SILVERADO</t>
  </si>
  <si>
    <t>MOORE RALPH R</t>
  </si>
  <si>
    <t>LUND MTG TEAM INC</t>
  </si>
  <si>
    <t>SLYE DANIEL &amp; MELISSA</t>
  </si>
  <si>
    <t>VAGLIO</t>
  </si>
  <si>
    <t>STEPHEN SULLIVAN &amp; LISA VAGLIO</t>
  </si>
  <si>
    <t xml:space="preserve">6836 S LAKESHORE DR </t>
  </si>
  <si>
    <t>TEMPE GARDENS 14  LOT 1446-1592</t>
  </si>
  <si>
    <t>ANDERSON MARCIA H T T</t>
  </si>
  <si>
    <t>SULLIVAN STEPHEN A</t>
  </si>
  <si>
    <t>VAGLIO LISA A</t>
  </si>
  <si>
    <t>EDELEN</t>
  </si>
  <si>
    <t>GREGORY EDELEN</t>
  </si>
  <si>
    <t xml:space="preserve">1679 E WHITTEN ST </t>
  </si>
  <si>
    <t>CHANDLER RANCH UNIT 1 LOT 1-122 TR A-O</t>
  </si>
  <si>
    <t>STERBENZ RUDOLPH J</t>
  </si>
  <si>
    <t>EDELEN GREGORY A</t>
  </si>
  <si>
    <t>PARKER</t>
  </si>
  <si>
    <t>JENNAH</t>
  </si>
  <si>
    <t>JEREMY &amp; JENNAH PARKER</t>
  </si>
  <si>
    <t xml:space="preserve">5960 W VENUS WAY </t>
  </si>
  <si>
    <t>SORRENTO     LOT 1-133 TR A</t>
  </si>
  <si>
    <t>SORENTO</t>
  </si>
  <si>
    <t>RODGERS NIKOLE &amp; SANFORD</t>
  </si>
  <si>
    <t>PARKER JEREMY J &amp; JENNAH</t>
  </si>
  <si>
    <t>KLINE</t>
  </si>
  <si>
    <t>NATHAN KLINE</t>
  </si>
  <si>
    <t xml:space="preserve">15465 W MERCER LN </t>
  </si>
  <si>
    <t>RANCHO GABRIELA PHASE 4A</t>
  </si>
  <si>
    <t>HAYES ALINETTE</t>
  </si>
  <si>
    <t>KLINE NATHAN</t>
  </si>
  <si>
    <t>HABBLETT</t>
  </si>
  <si>
    <t>JOHN &amp; MONIQUE HABBLETT</t>
  </si>
  <si>
    <t xml:space="preserve">181 S LONGMORE ST </t>
  </si>
  <si>
    <t>C013</t>
  </si>
  <si>
    <t>MISSION TIERRA REPLAT  LOT 1-102  TR A B</t>
  </si>
  <si>
    <t>MISSION TIERRA</t>
  </si>
  <si>
    <t>HAWKINS DAVID M</t>
  </si>
  <si>
    <t>HABBLETT JOHN &amp; MONIQUE</t>
  </si>
  <si>
    <t>JOHN HABBLETT</t>
  </si>
  <si>
    <t>MONIQUE HABBLETT</t>
  </si>
  <si>
    <t>EDGARDO</t>
  </si>
  <si>
    <t>VALDEZ</t>
  </si>
  <si>
    <t>EDGARDO VALDEZ</t>
  </si>
  <si>
    <t xml:space="preserve">9222 N 50TH DR </t>
  </si>
  <si>
    <t>MOUNTAIN VIEW MEADOWS FOUR LOT 270-399</t>
  </si>
  <si>
    <t>MOUNTAIN VIEW MEADOWS</t>
  </si>
  <si>
    <t>BENNETT WILLIAM W &amp; PAMELA J</t>
  </si>
  <si>
    <t>MARKETLINE MTG LLC</t>
  </si>
  <si>
    <t>VALDEZ EDGARDO</t>
  </si>
  <si>
    <t>MICHAEL &amp; AMY COOPER</t>
  </si>
  <si>
    <t xml:space="preserve">13221 W AVENIDA DEL REY </t>
  </si>
  <si>
    <t>RANCHO CABRILLO PARCEL F</t>
  </si>
  <si>
    <t>M &amp; RC II LLC</t>
  </si>
  <si>
    <t>COOPER MICHAEL D</t>
  </si>
  <si>
    <t>HERRERA</t>
  </si>
  <si>
    <t>FRANCISCA</t>
  </si>
  <si>
    <t>ROY &amp; FRANCISCA HERRERA</t>
  </si>
  <si>
    <t xml:space="preserve">3624 W MORELOS ST </t>
  </si>
  <si>
    <t>HEARTHSTONE UNIT 5 LT 556-729 TR I</t>
  </si>
  <si>
    <t>KYRENE TRADITIONAL ACADEMY - SURE??O CAMPUS</t>
  </si>
  <si>
    <t>SMITH DANIEL M</t>
  </si>
  <si>
    <t>HERRERA ROY S &amp; FRANCISCA</t>
  </si>
  <si>
    <t>CHRISTOPHER MITCHELL</t>
  </si>
  <si>
    <t xml:space="preserve">15912 W SIERRA ST </t>
  </si>
  <si>
    <t>MITCHELL CHRISTOPHER D</t>
  </si>
  <si>
    <t>DIXON</t>
  </si>
  <si>
    <t>THOMAS &amp; MARIA DIXON</t>
  </si>
  <si>
    <t xml:space="preserve">11403 W CRIMSON LN </t>
  </si>
  <si>
    <t>GARDEN LAKES PARCEL  9 LOT 1-144 TR A-F</t>
  </si>
  <si>
    <t>LAKEVIEW</t>
  </si>
  <si>
    <t>FARNDELL MICHAEL &amp; ANDREA</t>
  </si>
  <si>
    <t>DIXON THOMAS &amp; MARIA</t>
  </si>
  <si>
    <t>JORGENSEN</t>
  </si>
  <si>
    <t>KEVIN JORGENSEN</t>
  </si>
  <si>
    <t xml:space="preserve">1943 W MULBERRY DR </t>
  </si>
  <si>
    <t xml:space="preserve">2241 E VIRGINIA AVE B </t>
  </si>
  <si>
    <t>WESTWOOD ESTATES 1</t>
  </si>
  <si>
    <t>HEARD SCHOOL</t>
  </si>
  <si>
    <t>AZSFO-1 LLC</t>
  </si>
  <si>
    <t>JORGENSEN KEVIN</t>
  </si>
  <si>
    <t>OLIVER</t>
  </si>
  <si>
    <t>MACKENZIE</t>
  </si>
  <si>
    <t>AARON &amp; MACKENZIE OLIVER</t>
  </si>
  <si>
    <t xml:space="preserve">10943 W IVORY LN </t>
  </si>
  <si>
    <t>CASH JOSEPH A</t>
  </si>
  <si>
    <t>OLIVER AARON M</t>
  </si>
  <si>
    <t>SEYFERT</t>
  </si>
  <si>
    <t>KEVIN &amp; JENNIFER SEYFERT</t>
  </si>
  <si>
    <t xml:space="preserve">15339 N 155TH LN </t>
  </si>
  <si>
    <t>R030</t>
  </si>
  <si>
    <t>GREENWAY PARC AT SURPRISE 1</t>
  </si>
  <si>
    <t>GUNNELL GERALD L</t>
  </si>
  <si>
    <t>KEVIN L SEYFERT</t>
  </si>
  <si>
    <t>JENNIFER D SEYFERT</t>
  </si>
  <si>
    <t>ARVAYO</t>
  </si>
  <si>
    <t>KENNETH &amp; NORMA ARVAYO</t>
  </si>
  <si>
    <t xml:space="preserve">1116 S SABRINA </t>
  </si>
  <si>
    <t>PARKWOOD RANCH PARCEL 1</t>
  </si>
  <si>
    <t>BILLINGSLEY JUDITH A</t>
  </si>
  <si>
    <t>ARVAYO KENNETH A &amp; NORMA J</t>
  </si>
  <si>
    <t>MIKE</t>
  </si>
  <si>
    <t>SUBIA</t>
  </si>
  <si>
    <t>JUSTINA</t>
  </si>
  <si>
    <t>ASHIHI-SUBIA</t>
  </si>
  <si>
    <t>MIKE SUBIA &amp; JUSTINA ASHIHI-SUBIA</t>
  </si>
  <si>
    <t xml:space="preserve">10222 W LEVI DR </t>
  </si>
  <si>
    <t>SUBIA MIKE G</t>
  </si>
  <si>
    <t>ASHIHI-SUBIA JUSTINA</t>
  </si>
  <si>
    <t>ANGLEA</t>
  </si>
  <si>
    <t>HUDACHKO</t>
  </si>
  <si>
    <t>ANGLEA HUDACHKO</t>
  </si>
  <si>
    <t xml:space="preserve">11106 W DANA LN </t>
  </si>
  <si>
    <t>GARDEN LAKES PARCEL 5 LOT 1-42 TR A-C</t>
  </si>
  <si>
    <t>LOMA POINT</t>
  </si>
  <si>
    <t>WILLARD CHARLES B</t>
  </si>
  <si>
    <t>HUDACHKO ANGLEA</t>
  </si>
  <si>
    <t>ZIENTEK</t>
  </si>
  <si>
    <t>PATRICK ZIENTEK</t>
  </si>
  <si>
    <t xml:space="preserve">9217 W COOLBROOK AVE </t>
  </si>
  <si>
    <t>TRAVATA</t>
  </si>
  <si>
    <t>ZIENTEK PATRICK J</t>
  </si>
  <si>
    <t>HOEFFLER</t>
  </si>
  <si>
    <t>ANDREW &amp; JACQUELINE HOEFFLER</t>
  </si>
  <si>
    <t xml:space="preserve">10513 N 186TH AVE </t>
  </si>
  <si>
    <t>CORTESSA</t>
  </si>
  <si>
    <t>SUNSTREET MTG</t>
  </si>
  <si>
    <t>TUCSON AZ 85718</t>
  </si>
  <si>
    <t>ANDREW D HOEFFLER</t>
  </si>
  <si>
    <t>JACQUELINE F HOEFFLER</t>
  </si>
  <si>
    <t>MORALES</t>
  </si>
  <si>
    <t>ZORAIDA</t>
  </si>
  <si>
    <t>CORREA</t>
  </si>
  <si>
    <t>ALBERT MORALES &amp; ZORAIDA CORREA</t>
  </si>
  <si>
    <t xml:space="preserve">13130 W JACOBSON DR </t>
  </si>
  <si>
    <t>BENSEMA STEVEN R</t>
  </si>
  <si>
    <t>MORALES ALBERT</t>
  </si>
  <si>
    <t>CORREA ZORAIDA I</t>
  </si>
  <si>
    <t>HUTZEL</t>
  </si>
  <si>
    <t>LIVINGSTON</t>
  </si>
  <si>
    <t>ROBERT HUTZEL &amp; JULIE LIVINGSTON</t>
  </si>
  <si>
    <t xml:space="preserve">1807 PALMCROFT DR NW </t>
  </si>
  <si>
    <t>PALMCROFT  1 THRU 123</t>
  </si>
  <si>
    <t>PALMCROFT</t>
  </si>
  <si>
    <t>KENILWORTH SCHOOL</t>
  </si>
  <si>
    <t>LENZ MARIANNE M</t>
  </si>
  <si>
    <t>HUTZEL ROBERT L</t>
  </si>
  <si>
    <t>LIVINGSTON JULIE</t>
  </si>
  <si>
    <t>WALKLER</t>
  </si>
  <si>
    <t>ROY WALKLER</t>
  </si>
  <si>
    <t xml:space="preserve">48214 N BLACK CANYON HWY </t>
  </si>
  <si>
    <t>RHUDY FRANCES L TRUST</t>
  </si>
  <si>
    <t>ROY E WALKER</t>
  </si>
  <si>
    <t>KNEE</t>
  </si>
  <si>
    <t>MICHAEL &amp; LINDA KNEE</t>
  </si>
  <si>
    <t xml:space="preserve">27715 N 91ST DR </t>
  </si>
  <si>
    <t>CIBOLA VISTA PARCEL 5</t>
  </si>
  <si>
    <t>CIBOLA VISTA</t>
  </si>
  <si>
    <t>WEST WING SCHOOL</t>
  </si>
  <si>
    <t>DEAN JOSHUA S</t>
  </si>
  <si>
    <t>KNEE MICHAEL &amp; LINDA</t>
  </si>
  <si>
    <t>ROBERT WHITE</t>
  </si>
  <si>
    <t xml:space="preserve">7365 E MCLELLAN RD </t>
  </si>
  <si>
    <t>STONERIDGE EAST UNIT 1  LOT 1-83  TR A-C</t>
  </si>
  <si>
    <t>MARTIN DEBRA J</t>
  </si>
  <si>
    <t>WHITE ROBERT</t>
  </si>
  <si>
    <t>MEYER</t>
  </si>
  <si>
    <t>KARRIE</t>
  </si>
  <si>
    <t>MEYER &amp; KARRIE JEAN</t>
  </si>
  <si>
    <t xml:space="preserve">3461 S RIM RD </t>
  </si>
  <si>
    <t>R121</t>
  </si>
  <si>
    <t>POWER RANCH NEIGHBORHOOD 11A &amp; B</t>
  </si>
  <si>
    <t>THE TIMBERS</t>
  </si>
  <si>
    <t>CENTENNIAL ELEMENTARY SCHOOL</t>
  </si>
  <si>
    <t>CRAMER JAMES D &amp; ANDREA J</t>
  </si>
  <si>
    <t>COBALT MTG INC</t>
  </si>
  <si>
    <t>MEYER SHANE D &amp; KARRIE J</t>
  </si>
  <si>
    <t>CASPER</t>
  </si>
  <si>
    <t>CHRISTOPHER &amp; WENDY CASPER</t>
  </si>
  <si>
    <t xml:space="preserve">3213 N 41ST PL </t>
  </si>
  <si>
    <t>C051</t>
  </si>
  <si>
    <t>OLIVETTE ESTATES</t>
  </si>
  <si>
    <t>TAVAN ELEMENTARY SCHOOL</t>
  </si>
  <si>
    <t>INGLESIDE MIDDLE SCHOOL</t>
  </si>
  <si>
    <t>ARCADIA HIGH SCHOOL</t>
  </si>
  <si>
    <t>MEDITZ LEONA M</t>
  </si>
  <si>
    <t>CHRISTOPHER CASPER</t>
  </si>
  <si>
    <t>WENDY CASPER</t>
  </si>
  <si>
    <t>BARLOW</t>
  </si>
  <si>
    <t>CHRISTOPHER &amp; AMANDA BARLOW</t>
  </si>
  <si>
    <t xml:space="preserve">7421 W TONOPAH DR </t>
  </si>
  <si>
    <t>VALENCIA 3</t>
  </si>
  <si>
    <t>VALENCIA III</t>
  </si>
  <si>
    <t>SIERRA VERDE SCHOOL</t>
  </si>
  <si>
    <t>MATTIX CHRISTOPHER M</t>
  </si>
  <si>
    <t>BARLOW CHRISTOPHER &amp; AMANDA</t>
  </si>
  <si>
    <t>RATCLIFFE</t>
  </si>
  <si>
    <t>DAVID RATCLIFFE</t>
  </si>
  <si>
    <t xml:space="preserve">2911 E WINDMERE DR </t>
  </si>
  <si>
    <t>MIRAGE</t>
  </si>
  <si>
    <t>PORTER MARYANNE</t>
  </si>
  <si>
    <t>RATCLIFFE DAVID L</t>
  </si>
  <si>
    <t>RADLOFF</t>
  </si>
  <si>
    <t>JAMES &amp; LEAH RADLOFF</t>
  </si>
  <si>
    <t xml:space="preserve">20460 W HAMILTON ST </t>
  </si>
  <si>
    <t>VERRADO PARCEL 4.904</t>
  </si>
  <si>
    <t>VANDECAR TAD A &amp; SARAH J</t>
  </si>
  <si>
    <t>RADLOFF JAMES &amp; LEAH</t>
  </si>
  <si>
    <t>RABE</t>
  </si>
  <si>
    <t>SCOTT &amp; DAWN RABE</t>
  </si>
  <si>
    <t xml:space="preserve">12441 W GENTLE RAIN RD </t>
  </si>
  <si>
    <t>VISTANCIA PARCEL A28</t>
  </si>
  <si>
    <t>ACACIA GROVE</t>
  </si>
  <si>
    <t>RABE SCOTT W &amp; DAWN E</t>
  </si>
  <si>
    <t>WALLACE</t>
  </si>
  <si>
    <t>TAGART</t>
  </si>
  <si>
    <t>WALLACE &amp; YVONNE TAGART</t>
  </si>
  <si>
    <t xml:space="preserve">10009 N 48TH LN </t>
  </si>
  <si>
    <t>GREENBRIER UNIT 4</t>
  </si>
  <si>
    <t>GREENBRIAR</t>
  </si>
  <si>
    <t>VELAZQUEZ RAUL C</t>
  </si>
  <si>
    <t>TAGART WALLACE</t>
  </si>
  <si>
    <t>STATLER</t>
  </si>
  <si>
    <t>CASEY STATLER</t>
  </si>
  <si>
    <t xml:space="preserve">7419 E ROOSEVELT ST </t>
  </si>
  <si>
    <t>NEW PAPAGO PARKWAY 11  LOTS 588-607  614</t>
  </si>
  <si>
    <t>NEW PAPAGO PARKWAY</t>
  </si>
  <si>
    <t>YAVAPAI ELEMENTARY SCHOOL</t>
  </si>
  <si>
    <t>LYNDS ASHLEY</t>
  </si>
  <si>
    <t>STATLER CASEY</t>
  </si>
  <si>
    <t>CARIAGA</t>
  </si>
  <si>
    <t>KERI</t>
  </si>
  <si>
    <t>RAFAEL &amp; KERI CARIAGA</t>
  </si>
  <si>
    <t xml:space="preserve">19131 N 79TH DR </t>
  </si>
  <si>
    <t>CONTINENTAL AT ARROWHEAD RANCH</t>
  </si>
  <si>
    <t>ARROWHEAD ELEMENTARY SCHOOL</t>
  </si>
  <si>
    <t>PEGG CATHY J</t>
  </si>
  <si>
    <t>CARIAGA RAFAEL E &amp; KERI A</t>
  </si>
  <si>
    <t>JUDITH RHODES</t>
  </si>
  <si>
    <t xml:space="preserve">1326 E MCNAIR DR </t>
  </si>
  <si>
    <t>BAKER FAMILY TRUST</t>
  </si>
  <si>
    <t>RHODES JUDITH C</t>
  </si>
  <si>
    <t>HOGUE</t>
  </si>
  <si>
    <t>JAMES &amp; JACKIE HOGUE</t>
  </si>
  <si>
    <t xml:space="preserve">2227 N EVERGREEN ST </t>
  </si>
  <si>
    <t>MONTE VISTA PARK</t>
  </si>
  <si>
    <t>WHITTIER SCHOOL</t>
  </si>
  <si>
    <t>NORTH HIGH SCHOOL</t>
  </si>
  <si>
    <t>GRAVELINE RICHARD</t>
  </si>
  <si>
    <t>HOGUE JAMES &amp; JACKIE</t>
  </si>
  <si>
    <t>JENSEN</t>
  </si>
  <si>
    <t>MICHAEL &amp; DANA JENSEN</t>
  </si>
  <si>
    <t xml:space="preserve">4213 W MISTY WILLOW LN </t>
  </si>
  <si>
    <t>ADOBE HILLS LOT 1-260</t>
  </si>
  <si>
    <t>ADOBE HILLS</t>
  </si>
  <si>
    <t>BROWN CHRISTOPHER D</t>
  </si>
  <si>
    <t>MICHAEL L JENSEN</t>
  </si>
  <si>
    <t>DANA K JENSEN</t>
  </si>
  <si>
    <t>FOSEN FAMILY TRUST &amp; H DAVID HASTEY FAM TRUST</t>
  </si>
  <si>
    <t>FOSEN FAMILY</t>
  </si>
  <si>
    <t xml:space="preserve">19758 N LOS ALTOS WAY </t>
  </si>
  <si>
    <t>SUN CITY GRAND MODEL AREA LTS 27-44 62-7</t>
  </si>
  <si>
    <t>LAGO VISTA</t>
  </si>
  <si>
    <t>MERRILL JEFFREY R</t>
  </si>
  <si>
    <t>FOSEN FAMILY TRUST</t>
  </si>
  <si>
    <t>HASTEY H DAVID FAMILY TRUST</t>
  </si>
  <si>
    <t>FOSEN FAMILY TRUST|HASTEY H DAVID FAMILY TRUST</t>
  </si>
  <si>
    <t>LANDIS</t>
  </si>
  <si>
    <t>RONALD &amp; DONNA LANDIS</t>
  </si>
  <si>
    <t xml:space="preserve">3449 E CARLA VISTA DR </t>
  </si>
  <si>
    <t>R110</t>
  </si>
  <si>
    <t>LYONS GATE PHASE 9</t>
  </si>
  <si>
    <t>CARLA VISTA PROPERTY LLC</t>
  </si>
  <si>
    <t>LANDIS RONALD W</t>
  </si>
  <si>
    <t>ETHELL</t>
  </si>
  <si>
    <t>GARRETT</t>
  </si>
  <si>
    <t>ETHELL &amp; BRET GARRETT</t>
  </si>
  <si>
    <t xml:space="preserve">21825 W CASEY LN </t>
  </si>
  <si>
    <t>SUNDANCE PARCEL 45C</t>
  </si>
  <si>
    <t>FREEDOM ELEMENTARY SCHOOL</t>
  </si>
  <si>
    <t>ETHELL MELISSA M &amp; BRET G</t>
  </si>
  <si>
    <t>UNALE</t>
  </si>
  <si>
    <t>LAWRENCE UNALE</t>
  </si>
  <si>
    <t xml:space="preserve">6653 W CARIBE LN </t>
  </si>
  <si>
    <t>RANCHO MIRAGE ESTATES</t>
  </si>
  <si>
    <t>PIONEER ELEMENTARY SCHOOL</t>
  </si>
  <si>
    <t>THOMSON WARREN &amp; SHIRLEY</t>
  </si>
  <si>
    <t>UNALE LAWRENCE</t>
  </si>
  <si>
    <t>STEWART JOSHUA D &amp; TERRA A</t>
  </si>
  <si>
    <t xml:space="preserve">1321 W GILA LN </t>
  </si>
  <si>
    <t>BROOKS CROSSING 3 LOT 152-234 238-250 28</t>
  </si>
  <si>
    <t>BROOKS CROSSING</t>
  </si>
  <si>
    <t>HENDLEY MATTHEW D</t>
  </si>
  <si>
    <t>STEWART JOSHUA D</t>
  </si>
  <si>
    <t>INGRAM</t>
  </si>
  <si>
    <t>KENNETH INGRAM</t>
  </si>
  <si>
    <t xml:space="preserve">3907 W HARTFORD AVE </t>
  </si>
  <si>
    <t>C055</t>
  </si>
  <si>
    <t xml:space="preserve">3407 W HARTFORD AVE </t>
  </si>
  <si>
    <t>DESERT PINES UNIT 2 LOT 76-126</t>
  </si>
  <si>
    <t>DESERT PINES</t>
  </si>
  <si>
    <t>MIRAGE ELEMENTARY SCHOOL</t>
  </si>
  <si>
    <t>ROBBINS CHRIS</t>
  </si>
  <si>
    <t>INGRAM KENNETH M</t>
  </si>
  <si>
    <t>MASELLI</t>
  </si>
  <si>
    <t>TRAVIS MASELLI</t>
  </si>
  <si>
    <t xml:space="preserve">4343 E TYSON ST </t>
  </si>
  <si>
    <t>R117</t>
  </si>
  <si>
    <t>WILLOWS</t>
  </si>
  <si>
    <t>STRONG KELLIE R</t>
  </si>
  <si>
    <t>MASELLI TRAVIS L</t>
  </si>
  <si>
    <t>MILLER-CASTILLO</t>
  </si>
  <si>
    <t>MICHAEL CASTILLO &amp; SABRINA MILLER-CASTILLO</t>
  </si>
  <si>
    <t xml:space="preserve">44 S MATLOCK ST </t>
  </si>
  <si>
    <t>GOLDEN GROVE</t>
  </si>
  <si>
    <t>LOWELL ELEMENTARY SCHOOL</t>
  </si>
  <si>
    <t>SEEGER ERIC N</t>
  </si>
  <si>
    <t>CASTILLO MICHAEL C</t>
  </si>
  <si>
    <t>MILLER-CASTILLO SABRINA</t>
  </si>
  <si>
    <t>LENIO</t>
  </si>
  <si>
    <t>JOHN LENIO</t>
  </si>
  <si>
    <t xml:space="preserve">10928 E LINDNER AVE </t>
  </si>
  <si>
    <t>SUNLAND SPRINGS VILLAGE UNIT ONE PHASE 2</t>
  </si>
  <si>
    <t>OYLOE ROBERT E &amp; HELEN E</t>
  </si>
  <si>
    <t>LENIO JOHN J</t>
  </si>
  <si>
    <t>GULVIN</t>
  </si>
  <si>
    <t>CARA</t>
  </si>
  <si>
    <t>SETH &amp; CARA GULVIN</t>
  </si>
  <si>
    <t xml:space="preserve">7538 E EDGEMONT AVE </t>
  </si>
  <si>
    <t>CAVALIER VISTA 3A</t>
  </si>
  <si>
    <t>CORONADO HEIGHTS</t>
  </si>
  <si>
    <t>SIRLS SCOT C &amp; SUSAN K</t>
  </si>
  <si>
    <t>GULVIN SETH &amp; CARA</t>
  </si>
  <si>
    <t>SETH GULVIN</t>
  </si>
  <si>
    <t>CARA GULVIN</t>
  </si>
  <si>
    <t>JONATHAN</t>
  </si>
  <si>
    <t>KOHLER</t>
  </si>
  <si>
    <t>JONATHAN &amp; AMBER KOHLER</t>
  </si>
  <si>
    <t xml:space="preserve">18640 W COMET AVE </t>
  </si>
  <si>
    <t>KOHLER JONATHAN D</t>
  </si>
  <si>
    <t>CARISSA</t>
  </si>
  <si>
    <t>JACKSON &amp; CARISSA NOEL</t>
  </si>
  <si>
    <t xml:space="preserve">15826 W DESERT HILLS DR </t>
  </si>
  <si>
    <t>JACKSON NICHOLAS B &amp; CARISSA</t>
  </si>
  <si>
    <t>JACKSON NICHOLAS B &amp; CARISSA N</t>
  </si>
  <si>
    <t>WILLIAM &amp; ROSEMARY WILLIAMS</t>
  </si>
  <si>
    <t xml:space="preserve">15025 N 71ST AVE </t>
  </si>
  <si>
    <t>DEL WITT RANCHOS</t>
  </si>
  <si>
    <t>WINTROW DANIEL T &amp; MELISSA A</t>
  </si>
  <si>
    <t>WILLIAMS WILLIAM J &amp; ROSEMARY</t>
  </si>
  <si>
    <t>IRVIN</t>
  </si>
  <si>
    <t>IRVIN CARTER</t>
  </si>
  <si>
    <t xml:space="preserve">59 E PALOMINO DR </t>
  </si>
  <si>
    <t>VILLAGE AT GILBERT &amp; WARNER</t>
  </si>
  <si>
    <t>VILLAGE AT GILBERT WARNER</t>
  </si>
  <si>
    <t>SIMMS RAY E</t>
  </si>
  <si>
    <t>DITECH MTG CORP</t>
  </si>
  <si>
    <t>CARTER IRVIN W</t>
  </si>
  <si>
    <t>PALMA</t>
  </si>
  <si>
    <t>JENNIFER PALMA</t>
  </si>
  <si>
    <t xml:space="preserve">16030 W OCOTILLO LN </t>
  </si>
  <si>
    <t>MOUNTAIN VISTA RANCH PARCEL 18</t>
  </si>
  <si>
    <t>MCGUFFEY RALPH</t>
  </si>
  <si>
    <t>HOME POINT FINANCIAL CORPORATI</t>
  </si>
  <si>
    <t>PALMA JENNIFER</t>
  </si>
  <si>
    <t>KIMBERLY &amp; LEE SMITH</t>
  </si>
  <si>
    <t xml:space="preserve">1132 S SIERRA ST </t>
  </si>
  <si>
    <t>NEELY FARMS UNIT 3</t>
  </si>
  <si>
    <t>NEELY FARMS</t>
  </si>
  <si>
    <t>BONHAM JOHN G &amp; JENNIFER L</t>
  </si>
  <si>
    <t>SMITH KIMBERLY A &amp; LEE A</t>
  </si>
  <si>
    <t>TERRY &amp; TONYA THOMPSON</t>
  </si>
  <si>
    <t xml:space="preserve">15561 W LAUREL LN </t>
  </si>
  <si>
    <t>THOMPSON TERRY D &amp; TONYA M</t>
  </si>
  <si>
    <t>BURKETT</t>
  </si>
  <si>
    <t>COURTNEY</t>
  </si>
  <si>
    <t>GREGORY &amp; COURTNEY BURKETT</t>
  </si>
  <si>
    <t xml:space="preserve">3151 W BETTY ELYSE LN </t>
  </si>
  <si>
    <t>C032</t>
  </si>
  <si>
    <t>ESTRELLA NORTHWEST UNIT 2 LOT 133-285</t>
  </si>
  <si>
    <t>ESTRELLA NORTHWEST</t>
  </si>
  <si>
    <t>IRONWOOD ELEMENTARY SCHOOL</t>
  </si>
  <si>
    <t>BURKETT FAMILY TRUST</t>
  </si>
  <si>
    <t>BURKETT GREGORY &amp; COURTNEY</t>
  </si>
  <si>
    <t>WERKAU</t>
  </si>
  <si>
    <t>DANIEL &amp; ELLEN WERKAU</t>
  </si>
  <si>
    <t xml:space="preserve">5349 W WALTANN LN </t>
  </si>
  <si>
    <t>SUNBURST FARMS 21</t>
  </si>
  <si>
    <t>CANYON ELEMENTARY SCHOOL</t>
  </si>
  <si>
    <t>PIGG ROBERT S &amp; SHERRY L</t>
  </si>
  <si>
    <t>DANIEL A WERKAU</t>
  </si>
  <si>
    <t>ELLEN M WERKAU</t>
  </si>
  <si>
    <t>MOVSESIAN</t>
  </si>
  <si>
    <t>JEFFREY &amp; JESSICA MOVSESIAN</t>
  </si>
  <si>
    <t xml:space="preserve">15322 W WETHERSFIELD RD </t>
  </si>
  <si>
    <t xml:space="preserve">3614 COACHMANS RIDGE DR </t>
  </si>
  <si>
    <t>SAGINAW</t>
  </si>
  <si>
    <t>MI</t>
  </si>
  <si>
    <t>MARLEY PARK PARCEL 7</t>
  </si>
  <si>
    <t>GARLAND MELISSA</t>
  </si>
  <si>
    <t>MOVSESIAN JEFFREY &amp; JESSICA</t>
  </si>
  <si>
    <t>ZACCHAEUS</t>
  </si>
  <si>
    <t>HARDRICK</t>
  </si>
  <si>
    <t>ZACCHAEUS &amp; ANDREA HARDRICK</t>
  </si>
  <si>
    <t xml:space="preserve">18250 W MARCONI AVE </t>
  </si>
  <si>
    <t>GOODE KATHY J</t>
  </si>
  <si>
    <t>PLANET HM LNDG</t>
  </si>
  <si>
    <t>MERIDEN CT 06450</t>
  </si>
  <si>
    <t>ZACCHAEUS HARDRICK</t>
  </si>
  <si>
    <t>ANDREA HARDRICK</t>
  </si>
  <si>
    <t>IVERSON</t>
  </si>
  <si>
    <t>NICHOLAS IVERSON</t>
  </si>
  <si>
    <t xml:space="preserve">3864 S WINTER LN </t>
  </si>
  <si>
    <t>POWER RANCH NEIGHBORHOOD 9 PARCEL 1 AMD</t>
  </si>
  <si>
    <t>THE KNOLLS</t>
  </si>
  <si>
    <t>SUN JAMES</t>
  </si>
  <si>
    <t>IVERSON NICHOLAS R</t>
  </si>
  <si>
    <t>POWERS</t>
  </si>
  <si>
    <t>JAMIE POWERS</t>
  </si>
  <si>
    <t xml:space="preserve">4369 W WAHALLA LN </t>
  </si>
  <si>
    <t>OVERLAND TRAIL 6 LT 1-229 TR A-K</t>
  </si>
  <si>
    <t>OVERLAND TRAIL</t>
  </si>
  <si>
    <t>MOUNTAIN SHADOWS ELEMENTARY SCHOOL</t>
  </si>
  <si>
    <t>PAY OFF DEED</t>
  </si>
  <si>
    <t>DURAN KATHERINE JEAN TRUST</t>
  </si>
  <si>
    <t>POWERS JAMIE L</t>
  </si>
  <si>
    <t>BUSINESS DEV FIN</t>
  </si>
  <si>
    <t>JAMIE L POWERS</t>
  </si>
  <si>
    <t>MINNICK</t>
  </si>
  <si>
    <t>LACHANDRA</t>
  </si>
  <si>
    <t>ALFRED &amp; LACHANDRA MINNICK</t>
  </si>
  <si>
    <t xml:space="preserve">2304 N ALSAP RD </t>
  </si>
  <si>
    <t>VERRADO PARCEL 3.403</t>
  </si>
  <si>
    <t>WALES RONALD &amp; ERLINDA M</t>
  </si>
  <si>
    <t>MINNICK LACHANDRA &amp; ALFRED</t>
  </si>
  <si>
    <t>HIGHLEY</t>
  </si>
  <si>
    <t>JOSEPH &amp; JENNIFER HIGHLEY</t>
  </si>
  <si>
    <t xml:space="preserve">634 W AVIARY WAY </t>
  </si>
  <si>
    <t>NEELY RANCH</t>
  </si>
  <si>
    <t>OAK TREE ELEMENTARY SCHOOL</t>
  </si>
  <si>
    <t>TORRES MELVIN</t>
  </si>
  <si>
    <t>HIGHLEY JOSEPH</t>
  </si>
  <si>
    <t>HIGHLEY JOSEPH &amp; JENNIFER</t>
  </si>
  <si>
    <t>MICHAEL &amp; KERI ROSS</t>
  </si>
  <si>
    <t xml:space="preserve">1023 E ROCKWOOD DR </t>
  </si>
  <si>
    <t xml:space="preserve">3738 E WESCOTT DR </t>
  </si>
  <si>
    <t>DESERT BELL ESTATES 3 LOT 1-142</t>
  </si>
  <si>
    <t>DESERT BELL ESTATES NORTH</t>
  </si>
  <si>
    <t>EAGLE RIDGE ELEMENTARY SCHOOL</t>
  </si>
  <si>
    <t>HALLEY BRET H</t>
  </si>
  <si>
    <t>ROSS MICHAEL S &amp; KERI L</t>
  </si>
  <si>
    <t>JOSEPH &amp; TRINIDAD HUGHES</t>
  </si>
  <si>
    <t xml:space="preserve">1235 W KIVA AVE </t>
  </si>
  <si>
    <t>DOBSON RANCH UNIT 3</t>
  </si>
  <si>
    <t>FRANKLIN AT ALMA ELEMENTARY SCHOOL</t>
  </si>
  <si>
    <t>SCHRAMM HANS J &amp; ERICA H</t>
  </si>
  <si>
    <t>LAKEVIEW LOAN SERVICING LLC</t>
  </si>
  <si>
    <t>HUGHES JR JOSEPH J</t>
  </si>
  <si>
    <t>HUGHES TRINIDAD L</t>
  </si>
  <si>
    <t>MAREK</t>
  </si>
  <si>
    <t>CRABBS</t>
  </si>
  <si>
    <t>CORREN</t>
  </si>
  <si>
    <t>MAREK CRABBS &amp; CORREN MURPHY</t>
  </si>
  <si>
    <t xml:space="preserve">2545 E MEADOWBROOK AVE </t>
  </si>
  <si>
    <t>CAVALIER CAMPUS</t>
  </si>
  <si>
    <t>MADISON CAMELVIEW ELEMENTARY SCHOOL</t>
  </si>
  <si>
    <t>MADISON PARK MIDDLE SCHOOL</t>
  </si>
  <si>
    <t>TERRA NOVA EQUITY LLC</t>
  </si>
  <si>
    <t>CRABBS MAREK P</t>
  </si>
  <si>
    <t>MURPHY COREEN S</t>
  </si>
  <si>
    <t>NOLAN</t>
  </si>
  <si>
    <t>DAVID &amp; MARIA NOLAN</t>
  </si>
  <si>
    <t xml:space="preserve">34912 N 31ST AVE </t>
  </si>
  <si>
    <t>TRAMONTO PARCEL W-15 AMD</t>
  </si>
  <si>
    <t>SUNSET RIDGE SCHOOL</t>
  </si>
  <si>
    <t>KRICK MARISSA</t>
  </si>
  <si>
    <t>NOLAN DAVID S &amp; MARIA R</t>
  </si>
  <si>
    <t>POCOCK</t>
  </si>
  <si>
    <t>ROBERT POCOCK &amp; MEGAN VALENZUELA</t>
  </si>
  <si>
    <t xml:space="preserve">2436 W CROCUS DR </t>
  </si>
  <si>
    <t>THUNDERBIRD VALLEY 2 LOT 80-249 &amp; TR A</t>
  </si>
  <si>
    <t>THUNDERBIRD VALLEY</t>
  </si>
  <si>
    <t>JOHN JACOBS ELEMENTARY SCHOOL</t>
  </si>
  <si>
    <t>MOUNTAIN SKY JUNIOR HIGH SCHOOL</t>
  </si>
  <si>
    <t>THUNDERBIRD HIGH SCHOOL</t>
  </si>
  <si>
    <t>AZ VALUE HOMES LLC</t>
  </si>
  <si>
    <t>POCOCK ROBERT J</t>
  </si>
  <si>
    <t>VALENZUELA MEGAN C</t>
  </si>
  <si>
    <t>JAMES &amp; JENNIFER OLSON</t>
  </si>
  <si>
    <t xml:space="preserve">3141 S JOSHUA TREE LN </t>
  </si>
  <si>
    <t>PECOS MANOR</t>
  </si>
  <si>
    <t>YIN XING</t>
  </si>
  <si>
    <t>OLSON JAMES A &amp; JENNIFER E</t>
  </si>
  <si>
    <t>ERRINGTON</t>
  </si>
  <si>
    <t>BRIAN &amp; AMANDA ERRINGTON</t>
  </si>
  <si>
    <t xml:space="preserve">11247 E ROSCOE AVE </t>
  </si>
  <si>
    <t>STRATFORD ESTATES</t>
  </si>
  <si>
    <t>ROWLEY BRET &amp; HOLLIE</t>
  </si>
  <si>
    <t>ERRINGTON BRIAN &amp; AMANDA</t>
  </si>
  <si>
    <t>ELLISON</t>
  </si>
  <si>
    <t>LAWRENCE &amp; MONICA ELLISON</t>
  </si>
  <si>
    <t xml:space="preserve">1311 S JOSHUA TREE LN </t>
  </si>
  <si>
    <t>R116</t>
  </si>
  <si>
    <t>RAY RANCH 3</t>
  </si>
  <si>
    <t>RAY RANCH</t>
  </si>
  <si>
    <t>PAULINO GARY A</t>
  </si>
  <si>
    <t>SUN WEST MTG</t>
  </si>
  <si>
    <t>BUENA PARK CA 90620</t>
  </si>
  <si>
    <t>LAWRENCE E ELLISON</t>
  </si>
  <si>
    <t>MONICA E ELLISON</t>
  </si>
  <si>
    <t>LUCINDA</t>
  </si>
  <si>
    <t>JOHN &amp; LUCINDA SMITH</t>
  </si>
  <si>
    <t xml:space="preserve">10008 N 52ND DR </t>
  </si>
  <si>
    <t>GREENBRIER GROVES UNIT 1 LOT 1-85</t>
  </si>
  <si>
    <t>GREENBRIER GROVES</t>
  </si>
  <si>
    <t>HERITAGE ELEMENTARY SCHOOL</t>
  </si>
  <si>
    <t>IRONWOOD HIGH SCHOOL</t>
  </si>
  <si>
    <t>BEAUDRY LAURENCE</t>
  </si>
  <si>
    <t>SMITH JOHN R</t>
  </si>
  <si>
    <t>SAMATHA</t>
  </si>
  <si>
    <t>VICTOR DOMINGUEZ &amp; SAMATHA MENDEZ</t>
  </si>
  <si>
    <t xml:space="preserve">1013 E INDIANOLA AVE </t>
  </si>
  <si>
    <t>WEST IDLEWILDE</t>
  </si>
  <si>
    <t>REBAZA MARCO A</t>
  </si>
  <si>
    <t>DOMINGUEZ VICTOR</t>
  </si>
  <si>
    <t>MENDEZ SAMANTHA K</t>
  </si>
  <si>
    <t>GREGORY NELSON</t>
  </si>
  <si>
    <t xml:space="preserve">1725 N 125TH DR </t>
  </si>
  <si>
    <t>RANCHO SANTA FE PARCEL 19</t>
  </si>
  <si>
    <t>HAMPTON DAVID W &amp; PHYLLIS</t>
  </si>
  <si>
    <t>NELSON GREGORY J</t>
  </si>
  <si>
    <t>LAUF</t>
  </si>
  <si>
    <t>JAMES LAUF</t>
  </si>
  <si>
    <t xml:space="preserve">20207 N 32ND PL </t>
  </si>
  <si>
    <t>SPRINGFIELD PARK</t>
  </si>
  <si>
    <t>CASINO ROBIN</t>
  </si>
  <si>
    <t>LAUF JAMES J</t>
  </si>
  <si>
    <t>RAHIM</t>
  </si>
  <si>
    <t>RAHAMAN</t>
  </si>
  <si>
    <t>GLOCELYN</t>
  </si>
  <si>
    <t>RAHIM &amp; GLOCELYN RAHAMAN</t>
  </si>
  <si>
    <t xml:space="preserve">315 N WESLEY </t>
  </si>
  <si>
    <t>RAHAMAN RAHIM &amp; GLOCELYN</t>
  </si>
  <si>
    <t>LECLAIRE</t>
  </si>
  <si>
    <t>DAVID &amp; ERIN LECLAIRE</t>
  </si>
  <si>
    <t xml:space="preserve">18401 W CAROL AVE </t>
  </si>
  <si>
    <t>LEYVA ANDREW &amp; KAELA M</t>
  </si>
  <si>
    <t>LECLAIRE DAVID J &amp; ERIN</t>
  </si>
  <si>
    <t>HAGAN</t>
  </si>
  <si>
    <t>SUELLEN</t>
  </si>
  <si>
    <t>THOMAS &amp; SUELLEN HAGAN</t>
  </si>
  <si>
    <t xml:space="preserve">14246 W GELDING DR </t>
  </si>
  <si>
    <t>MESSERSMITH STACEY L</t>
  </si>
  <si>
    <t>HAGAN THOMAS JAMES &amp; SUELLEN R</t>
  </si>
  <si>
    <t>COMMODORE</t>
  </si>
  <si>
    <t>COMMODORE &amp; JOANN MOORE</t>
  </si>
  <si>
    <t xml:space="preserve">4210 W BEAUTIFUL LN </t>
  </si>
  <si>
    <t>MOORE COMMODORE &amp; JOANN</t>
  </si>
  <si>
    <t>SIMPSON</t>
  </si>
  <si>
    <t>GEORGE &amp; TANYA SIMPSON</t>
  </si>
  <si>
    <t xml:space="preserve">3234 E LARK CT </t>
  </si>
  <si>
    <t>WINDMILL RANCH</t>
  </si>
  <si>
    <t>COX CLARK H</t>
  </si>
  <si>
    <t>SIMPSON GEORGE D</t>
  </si>
  <si>
    <t>KRANICH</t>
  </si>
  <si>
    <t>CATRINA</t>
  </si>
  <si>
    <t>JAMES &amp; CATRINA KRANICH</t>
  </si>
  <si>
    <t xml:space="preserve">15041 W TURNEY AVE </t>
  </si>
  <si>
    <t>JENSSEN SONNIE M</t>
  </si>
  <si>
    <t>KRANICH JAMES &amp; CATRINA</t>
  </si>
  <si>
    <t>SHANE</t>
  </si>
  <si>
    <t>SOARDS</t>
  </si>
  <si>
    <t>MAUREEN</t>
  </si>
  <si>
    <t>SHANE &amp; MAUREEN SOARDS</t>
  </si>
  <si>
    <t xml:space="preserve">32308 N 224TH DR </t>
  </si>
  <si>
    <t xml:space="preserve">PO BOX 846 </t>
  </si>
  <si>
    <t>BLACK CANYON CITY</t>
  </si>
  <si>
    <t>ALTA WEST HOMES LLC</t>
  </si>
  <si>
    <t>SOARDS SHANE</t>
  </si>
  <si>
    <t>KRIDLER</t>
  </si>
  <si>
    <t>MICHAEL &amp; RENE KRIDLER</t>
  </si>
  <si>
    <t xml:space="preserve">31125 N 166TH DR </t>
  </si>
  <si>
    <t>R078</t>
  </si>
  <si>
    <t>STUTZMAN JOSHUA E</t>
  </si>
  <si>
    <t>KRIDLER MICHAEL &amp; RENE</t>
  </si>
  <si>
    <t>SCHAEFER</t>
  </si>
  <si>
    <t>KEVIN &amp; JESSICA SCHAEFER</t>
  </si>
  <si>
    <t xml:space="preserve">5719 E SKINNER DR </t>
  </si>
  <si>
    <t>REVISED ILLUDIUM Q-36 TRUST</t>
  </si>
  <si>
    <t>SCHAEFER KEVIN J &amp; JESSICA L</t>
  </si>
  <si>
    <t>DAVID &amp; RENEE SCOTT</t>
  </si>
  <si>
    <t xml:space="preserve">17435 W MARYLAND AVE </t>
  </si>
  <si>
    <t>GIBSON JERALD L TRUST</t>
  </si>
  <si>
    <t>DAVID B SCOTT</t>
  </si>
  <si>
    <t>RENEE A SCOTT</t>
  </si>
  <si>
    <t>GUNTER</t>
  </si>
  <si>
    <t>WAYNE &amp; SUSAN GUNTER</t>
  </si>
  <si>
    <t xml:space="preserve">10940 E ADOBE RD </t>
  </si>
  <si>
    <t>TOMPKINS CHRISTOPHER M</t>
  </si>
  <si>
    <t>GUNTER WAYNE E &amp; SUSAN E</t>
  </si>
  <si>
    <t>GLASSER FAMILY TRUST</t>
  </si>
  <si>
    <t>GLASSER</t>
  </si>
  <si>
    <t xml:space="preserve">11114 N 119TH WAY </t>
  </si>
  <si>
    <t>VIA LINDA ESTATES</t>
  </si>
  <si>
    <t>NESTIUK ASKOLD B &amp; PATRICIA</t>
  </si>
  <si>
    <t>GLASSER EUGENE A</t>
  </si>
  <si>
    <t>HANNON NANCI J</t>
  </si>
  <si>
    <t>KENNETH R AND MELISSA E WHARTON LIVING TRUST</t>
  </si>
  <si>
    <t xml:space="preserve">13192 W CREOSOTE DR </t>
  </si>
  <si>
    <t>VISTANCIA VILLAGE A PARCEL G10</t>
  </si>
  <si>
    <t>BUGG THOMAS</t>
  </si>
  <si>
    <t>K R WHARTON</t>
  </si>
  <si>
    <t>M E WHARTON</t>
  </si>
  <si>
    <t>BETTENCOURT</t>
  </si>
  <si>
    <t>FERNANDO BETTENCOURT</t>
  </si>
  <si>
    <t xml:space="preserve">8622 S 45TH GLN </t>
  </si>
  <si>
    <t>TIBBITS TYLER</t>
  </si>
  <si>
    <t>BETTENCOURT FERNANDO R</t>
  </si>
  <si>
    <t>NOTT</t>
  </si>
  <si>
    <t>MASON &amp; AMANDA NOTT</t>
  </si>
  <si>
    <t xml:space="preserve">5338 N 106TH DR </t>
  </si>
  <si>
    <t>CAMELBACK FARMS</t>
  </si>
  <si>
    <t>SONORAN SKY ELEMENTARY SCHOOL</t>
  </si>
  <si>
    <t>SHUMWAY CECILE C &amp; DARYL L</t>
  </si>
  <si>
    <t>NOTT MASON &amp; AMANDA</t>
  </si>
  <si>
    <t>MASON NOTT</t>
  </si>
  <si>
    <t>AMANDA NOTT</t>
  </si>
  <si>
    <t>BRIAN &amp; DEANNA SMITH</t>
  </si>
  <si>
    <t xml:space="preserve">1049 E EL FREDA RD </t>
  </si>
  <si>
    <t>BUENA VISTA RANCHOS</t>
  </si>
  <si>
    <t>C.I. WAGGONER SCHOOL</t>
  </si>
  <si>
    <t>DOHERTY MICHAEL</t>
  </si>
  <si>
    <t>AMERICAN FIN'L LNDG INC</t>
  </si>
  <si>
    <t>SMITH BRIAN S</t>
  </si>
  <si>
    <t>ABEL</t>
  </si>
  <si>
    <t>ABEL &amp; LUISA SAUCEDO</t>
  </si>
  <si>
    <t xml:space="preserve">948 E JULIAN DR </t>
  </si>
  <si>
    <t>SPECTRUM AT VAL VISTA PARCEL 19</t>
  </si>
  <si>
    <t>SILVERADO</t>
  </si>
  <si>
    <t>948 E JULIAN LLC</t>
  </si>
  <si>
    <t>SAUCEDO ABEL &amp; LUISA</t>
  </si>
  <si>
    <t>JOSHUA EMMONS</t>
  </si>
  <si>
    <t xml:space="preserve">4758 S GRENOBLE CIR </t>
  </si>
  <si>
    <t>H061</t>
  </si>
  <si>
    <t>MOUNTAIN HORIZONS UNIT 6</t>
  </si>
  <si>
    <t>MOUNTAIN HORIZONS</t>
  </si>
  <si>
    <t>PURVINE GREGORY A</t>
  </si>
  <si>
    <t>EMMONS JOSHUA</t>
  </si>
  <si>
    <t>CANARIO</t>
  </si>
  <si>
    <t>JAMES CANARIO</t>
  </si>
  <si>
    <t xml:space="preserve">12920 W KATHARINE WAY </t>
  </si>
  <si>
    <t>TRILOGY AT VISTANCIA PARCEL C5</t>
  </si>
  <si>
    <t>VOREIS JOHN A &amp; FRANCES T</t>
  </si>
  <si>
    <t>CANARIO JAMES M</t>
  </si>
  <si>
    <t>MERLIE</t>
  </si>
  <si>
    <t>MERLIE SULLIVAN &amp; JONATHAN HARRIS</t>
  </si>
  <si>
    <t xml:space="preserve">1096 E TONTO DR </t>
  </si>
  <si>
    <t>ALAMOSA ESTATES</t>
  </si>
  <si>
    <t>DELO ROBERT I</t>
  </si>
  <si>
    <t>SULLIVAN MERLIE C</t>
  </si>
  <si>
    <t>DESORT</t>
  </si>
  <si>
    <t>KI</t>
  </si>
  <si>
    <t>MICHAEL &amp; KI DESORT</t>
  </si>
  <si>
    <t xml:space="preserve">14056 E DESERT COVE AVE </t>
  </si>
  <si>
    <t>PALOMA PASEO</t>
  </si>
  <si>
    <t>FITZGIBBON WILLIAM T &amp; PATRI</t>
  </si>
  <si>
    <t>DESORT MICHAEL J &amp; KI C</t>
  </si>
  <si>
    <t>FURNISH</t>
  </si>
  <si>
    <t>ROBERT FURNISH</t>
  </si>
  <si>
    <t xml:space="preserve">41213 N PANTHER CREEK TRL </t>
  </si>
  <si>
    <t>ANTHEM UNIT 14</t>
  </si>
  <si>
    <t>PRICE DOUGLAS</t>
  </si>
  <si>
    <t>FURNISH ROBERT A</t>
  </si>
  <si>
    <t>FRAZIER</t>
  </si>
  <si>
    <t>JOSEPHINE</t>
  </si>
  <si>
    <t>ROBERT &amp; JOSEPHINE FRAZIER</t>
  </si>
  <si>
    <t xml:space="preserve">11534 E SHANLEY AVE </t>
  </si>
  <si>
    <t>KEIGHLEY PLACE</t>
  </si>
  <si>
    <t>PROVIDENCE HOMES INC</t>
  </si>
  <si>
    <t>FRAZIER ROBERT &amp; JOSEPHINE</t>
  </si>
  <si>
    <t>FRANK AND KIMBERLY ALLEN 2014 REVOCABLE TRUST</t>
  </si>
  <si>
    <t xml:space="preserve">7935 W MOLLY DR </t>
  </si>
  <si>
    <t>ROCK SPRINGS</t>
  </si>
  <si>
    <t>ALLEN FRANK L</t>
  </si>
  <si>
    <t>YEATS</t>
  </si>
  <si>
    <t>DONALD &amp; SANDRA YEATS</t>
  </si>
  <si>
    <t xml:space="preserve">4538 S TAMBOR </t>
  </si>
  <si>
    <t>GILA RIVER RANCHES UNIT 1</t>
  </si>
  <si>
    <t>GILA RIVER RANCHES</t>
  </si>
  <si>
    <t>SHORT MATTHEW H &amp; JULIANNE J</t>
  </si>
  <si>
    <t>YEATS DONALD A &amp; SANDRA C</t>
  </si>
  <si>
    <t>LEVESTER</t>
  </si>
  <si>
    <t>HOWZE</t>
  </si>
  <si>
    <t>DORIS</t>
  </si>
  <si>
    <t>LEVESTER &amp; DORIS HOWZE</t>
  </si>
  <si>
    <t xml:space="preserve">2864 E PRESTON ST </t>
  </si>
  <si>
    <t>LEHI CROSSING PHASES 1-3</t>
  </si>
  <si>
    <t>HOWZE LEVESTER &amp; DORIS</t>
  </si>
  <si>
    <t>HABICH</t>
  </si>
  <si>
    <t>ROYA</t>
  </si>
  <si>
    <t>PAUL &amp; ROYA HABICH</t>
  </si>
  <si>
    <t xml:space="preserve">11351 N 118TH WAY </t>
  </si>
  <si>
    <t>KOUNELIS DAVID J &amp; DANNI</t>
  </si>
  <si>
    <t>US BK NATIONAL ASSN</t>
  </si>
  <si>
    <t>HABICH PAUL M &amp; ROYA D</t>
  </si>
  <si>
    <t>ROTNER</t>
  </si>
  <si>
    <t>XISTA</t>
  </si>
  <si>
    <t>GARCILAZO</t>
  </si>
  <si>
    <t>ERIC ROTNER &amp; XISTA GARCILAZO</t>
  </si>
  <si>
    <t xml:space="preserve">1061 E FAWN CIR </t>
  </si>
  <si>
    <t>JEWEL ESTATES</t>
  </si>
  <si>
    <t>EDISON ELEMENTARY SCHOOL</t>
  </si>
  <si>
    <t>GOODMAN CODY</t>
  </si>
  <si>
    <t>ROTNER ERIC JORDAN</t>
  </si>
  <si>
    <t>GARCILAZO XISTA J</t>
  </si>
  <si>
    <t>SHELLABERGER</t>
  </si>
  <si>
    <t>HOWARD &amp; KATHLEEN SHELLABERGER</t>
  </si>
  <si>
    <t xml:space="preserve">4231 E NOLAN PL </t>
  </si>
  <si>
    <t>WHISPERING HEIGHTS</t>
  </si>
  <si>
    <t>FEY DAVID W &amp; CATHERINE A</t>
  </si>
  <si>
    <t>SHELLABERGER HOWARD W &amp; KATHL</t>
  </si>
  <si>
    <t>SUNBURY</t>
  </si>
  <si>
    <t>RIZA</t>
  </si>
  <si>
    <t>RICHARD &amp; RIZA SUNBURY</t>
  </si>
  <si>
    <t xml:space="preserve">2468 E PARKVIEW DR </t>
  </si>
  <si>
    <t>VINCENZ</t>
  </si>
  <si>
    <t>LEWIS STEVEN S</t>
  </si>
  <si>
    <t>SUNBURY RICHARD</t>
  </si>
  <si>
    <t>KOBYLANSKI</t>
  </si>
  <si>
    <t>PATRICK KOBYLANSKI</t>
  </si>
  <si>
    <t xml:space="preserve">16248 S 1ST ST </t>
  </si>
  <si>
    <t>PARCEL 13 AT FOOTHILLS CLUB WEST</t>
  </si>
  <si>
    <t>BAYAR EMEL &amp; AHMET</t>
  </si>
  <si>
    <t>KOBYLANSKI PATRICK</t>
  </si>
  <si>
    <t>MULLENEAUX</t>
  </si>
  <si>
    <t>JEFFREY &amp; AMANDA MULLENEAUX</t>
  </si>
  <si>
    <t xml:space="preserve">11952 W VILLA CHULA LN </t>
  </si>
  <si>
    <t>CROSSRIVER UNIT 7</t>
  </si>
  <si>
    <t>KEPLER DAWN &amp; WILLIAM</t>
  </si>
  <si>
    <t>MULLENEAUX JEFFREY L &amp; AMANDA</t>
  </si>
  <si>
    <t>EDELMAN FAMILY LIVING TRUST</t>
  </si>
  <si>
    <t xml:space="preserve">27280 N 174TH LN </t>
  </si>
  <si>
    <t>DESERT OASIS PARCEL L14C</t>
  </si>
  <si>
    <t>ROY G EDELMAN</t>
  </si>
  <si>
    <t>PATRICIA J EDELMAN</t>
  </si>
  <si>
    <t>BECKERINI</t>
  </si>
  <si>
    <t>SHARI</t>
  </si>
  <si>
    <t>MARK &amp; SHARI BECKERINI</t>
  </si>
  <si>
    <t xml:space="preserve">4612 E DOWNING ST </t>
  </si>
  <si>
    <t>VALENCIA GROVES</t>
  </si>
  <si>
    <t>LEAF RITA E</t>
  </si>
  <si>
    <t>GUILD MTG CO</t>
  </si>
  <si>
    <t>SAN DIEGO CA 92111</t>
  </si>
  <si>
    <t>BECKERINI MARK J &amp; SHARI L</t>
  </si>
  <si>
    <t>BANKERS INS</t>
  </si>
  <si>
    <t>ST PETERSBURG FL 33716</t>
  </si>
  <si>
    <t>MARK BECKERINI</t>
  </si>
  <si>
    <t>SHARI BECKERINI</t>
  </si>
  <si>
    <t>GOSSELIN</t>
  </si>
  <si>
    <t>JOSEPH &amp; GLORIA GOSSELIN</t>
  </si>
  <si>
    <t xml:space="preserve">3853 E HIDDENVIEW DR </t>
  </si>
  <si>
    <t>LAKEWOOD PARCEL  2 &amp; 27  LOT 1-70  TR A-</t>
  </si>
  <si>
    <t>DUMLER DANIEL J</t>
  </si>
  <si>
    <t>GOSSELIN JOSEPH A</t>
  </si>
  <si>
    <t>MONTEMAYOR</t>
  </si>
  <si>
    <t>STEPHEN &amp; DIANE MONTEMAYOR</t>
  </si>
  <si>
    <t xml:space="preserve">2456 E EDGEWOOD AVE </t>
  </si>
  <si>
    <t>SOUTHERN ESTATES 1</t>
  </si>
  <si>
    <t>SOUTHERN ESTATES</t>
  </si>
  <si>
    <t>ROBSON ELEMENTARY SCHOOL</t>
  </si>
  <si>
    <t>HOMES4DOUGH LLC</t>
  </si>
  <si>
    <t>MONTEMAYOR STEPHEN D &amp; DIANE</t>
  </si>
  <si>
    <t>HOLDBROOK</t>
  </si>
  <si>
    <t>MACARTHUR</t>
  </si>
  <si>
    <t>HOLDBROOK MACARTHUR</t>
  </si>
  <si>
    <t xml:space="preserve">6998 S WILSON DR </t>
  </si>
  <si>
    <t>SUN RIVER PARCEL C</t>
  </si>
  <si>
    <t>FAZIO LIVING TRUST</t>
  </si>
  <si>
    <t>MACARTHUR HOLDBROOK C</t>
  </si>
  <si>
    <t>DODGE</t>
  </si>
  <si>
    <t>CHRISTOPHER &amp; ILIANA DODGE</t>
  </si>
  <si>
    <t xml:space="preserve">4231 E SAHUARO DR </t>
  </si>
  <si>
    <t>ORINDA</t>
  </si>
  <si>
    <t>SEQUOYA ELEMENTARY SCHOOL</t>
  </si>
  <si>
    <t>COCOPAH MIDDLE SCHOOL</t>
  </si>
  <si>
    <t>JEURINK LYDA</t>
  </si>
  <si>
    <t>DODGE CHRISTOPHER &amp; ILIANA</t>
  </si>
  <si>
    <t>MELINA</t>
  </si>
  <si>
    <t>DAVID &amp; MELINA THOMPSON</t>
  </si>
  <si>
    <t xml:space="preserve">147 E JOSEPH WAY </t>
  </si>
  <si>
    <t>ALLEN RANCH PARCELS 1 2 3 &amp; 4</t>
  </si>
  <si>
    <t>ALLEN RANCH</t>
  </si>
  <si>
    <t>SIMS MICHAEL R &amp; WHITNEY A</t>
  </si>
  <si>
    <t>THOMPSON DAVID &amp; MELINA</t>
  </si>
  <si>
    <t>ANDREW &amp; HEATHER TUCKER</t>
  </si>
  <si>
    <t xml:space="preserve">3740 E SEXTON ST </t>
  </si>
  <si>
    <t>COOLEY STATION PHASE 2</t>
  </si>
  <si>
    <t>COOLEY STATION</t>
  </si>
  <si>
    <t>EASY INVESTMENTS LLC</t>
  </si>
  <si>
    <t>LEND SMART MORTGAGE LLC</t>
  </si>
  <si>
    <t>TUCKER ANDREW &amp; HEATHER</t>
  </si>
  <si>
    <t>ROBERT &amp; LINDSAY STARK</t>
  </si>
  <si>
    <t xml:space="preserve">29392 N 125TH DR </t>
  </si>
  <si>
    <t>VISTANCIA VILLAGE A PARCEL A32</t>
  </si>
  <si>
    <t>MONTERRA</t>
  </si>
  <si>
    <t>REYNOLDS LANCE &amp; AMY TRUST</t>
  </si>
  <si>
    <t>STARK ROBERT F &amp; LINDSAY M</t>
  </si>
  <si>
    <t>D AND N JEFFERY FAMILY TRUST</t>
  </si>
  <si>
    <t xml:space="preserve">28898 N 127TH AVE </t>
  </si>
  <si>
    <t>TRILOGY AT VISTANCIA PARCEL C13</t>
  </si>
  <si>
    <t>ARTINDALE JAMES</t>
  </si>
  <si>
    <t>JEFFERY DAVID G</t>
  </si>
  <si>
    <t>STRYKER-JEFFERY NORMA L</t>
  </si>
  <si>
    <t>KLINGMAN</t>
  </si>
  <si>
    <t>HAROLD &amp; DONNA KLINGMAN</t>
  </si>
  <si>
    <t xml:space="preserve">11814 E CAROL AVE </t>
  </si>
  <si>
    <t>PARCEL 5 AT STONEGATE LOT 1-86 TR A-I</t>
  </si>
  <si>
    <t>STONEGATE</t>
  </si>
  <si>
    <t>ROWLEY BARBARA E</t>
  </si>
  <si>
    <t>KLINGMAN HAROLD E &amp; DONNA K</t>
  </si>
  <si>
    <t>CHARLES &amp; NANCY WILSON</t>
  </si>
  <si>
    <t xml:space="preserve">20425 N 133RD WAY </t>
  </si>
  <si>
    <t>SUN CITY WEST  1K LOT  1-4</t>
  </si>
  <si>
    <t>LUKACS LASZLO A</t>
  </si>
  <si>
    <t>WILSON CHARLES E JR &amp; NANCY R</t>
  </si>
  <si>
    <t>TYLER &amp; LAUREN BRODERICK</t>
  </si>
  <si>
    <t xml:space="preserve">3636 E BRIDGEPORT PKWY </t>
  </si>
  <si>
    <t>COOLEY STATION PHASE 1</t>
  </si>
  <si>
    <t>CARNES ADAM &amp; SONJA</t>
  </si>
  <si>
    <t>TYLER S BRODERICK</t>
  </si>
  <si>
    <t>LAUREN E BRODERICK</t>
  </si>
  <si>
    <t>WAAGE</t>
  </si>
  <si>
    <t>MICHAEL &amp; SHIRLEY WAAGE</t>
  </si>
  <si>
    <t xml:space="preserve">6258 S MOCCASIN TRL </t>
  </si>
  <si>
    <t>SEVILLE PARCEL 3</t>
  </si>
  <si>
    <t>PORTALES</t>
  </si>
  <si>
    <t>ENGEL INVESTMENT GROUP LLC</t>
  </si>
  <si>
    <t>WAAGE MICHAEL</t>
  </si>
  <si>
    <t>BULEY CLAUDE &amp; MAUREEN TRUST</t>
  </si>
  <si>
    <t>BULEYCLAUDE &amp; MAUREEN BULEYCLAUDE</t>
  </si>
  <si>
    <t xml:space="preserve">6115 E JOAN DE ARC AVE </t>
  </si>
  <si>
    <t>C067</t>
  </si>
  <si>
    <t>SHEA NORTH ESTATES 3</t>
  </si>
  <si>
    <t>SHEA NORTH ESTATES</t>
  </si>
  <si>
    <t>R-24</t>
  </si>
  <si>
    <t>DESERT SHADOWS ELEMENTARY SCHOOL</t>
  </si>
  <si>
    <t>WARRICK AMANDA</t>
  </si>
  <si>
    <t>BULEY CLAUDE &amp; MAUREEN</t>
  </si>
  <si>
    <t>GALARZA</t>
  </si>
  <si>
    <t>GILBERT GALARZA</t>
  </si>
  <si>
    <t xml:space="preserve">1232 E COMMERCE AVE </t>
  </si>
  <si>
    <t>STONECREEK TWO LOT 232-382 TR E-G</t>
  </si>
  <si>
    <t>STONECREEK</t>
  </si>
  <si>
    <t>FULCHER FAMILY TRUST</t>
  </si>
  <si>
    <t>GALARZA GILBERT</t>
  </si>
  <si>
    <t>STANLEY</t>
  </si>
  <si>
    <t>SCOFIELD</t>
  </si>
  <si>
    <t>STANLEY &amp; CHRISTINE SCOFIELD</t>
  </si>
  <si>
    <t xml:space="preserve">7207 W LONE CACTUS DR </t>
  </si>
  <si>
    <t>SIERRA VERDE PARCEL Q</t>
  </si>
  <si>
    <t>SIERRA VERDE</t>
  </si>
  <si>
    <t>BROOKFIELD RELOCATION INC</t>
  </si>
  <si>
    <t>SCOFIELD STANLEY HANFORD</t>
  </si>
  <si>
    <t>ERNESTO</t>
  </si>
  <si>
    <t>ERNESTO GONZALES &amp; JO BAILEY</t>
  </si>
  <si>
    <t xml:space="preserve">149 N 110TH AVE </t>
  </si>
  <si>
    <t>ROOSEVELT PARK UNIT 1</t>
  </si>
  <si>
    <t>ROOSEVELT PARK</t>
  </si>
  <si>
    <t>LITTLETON ELEMENTARY SCHOOL</t>
  </si>
  <si>
    <t>GONZALES ERNESTO</t>
  </si>
  <si>
    <t>KERMIT</t>
  </si>
  <si>
    <t>KITCHEN</t>
  </si>
  <si>
    <t>KERMIT KITCHEN</t>
  </si>
  <si>
    <t xml:space="preserve">4407 E SPUR DR </t>
  </si>
  <si>
    <t>TATUM HIGHLANDS PARCEL 3A</t>
  </si>
  <si>
    <t>TREVORROW TROY A</t>
  </si>
  <si>
    <t>MAGNOLIA BANK</t>
  </si>
  <si>
    <t>KITCHEN III KERMIT CALVIN</t>
  </si>
  <si>
    <t>JOSEPH &amp; REBECCA DAVIS</t>
  </si>
  <si>
    <t xml:space="preserve">640 W SARAGOSA ST </t>
  </si>
  <si>
    <t>SAN MARCOS ESTATES LOT 1-214 TR A-E</t>
  </si>
  <si>
    <t>SAN MARCOS ESTATES</t>
  </si>
  <si>
    <t>SAN MARCOS ELEMENTARY SCHOOL</t>
  </si>
  <si>
    <t>HARBOTTLE JAMES M &amp; MADELINE</t>
  </si>
  <si>
    <t>DAVIS JOSEPH N &amp; REBECCA F</t>
  </si>
  <si>
    <t>CLEMENTE</t>
  </si>
  <si>
    <t>CLEMENTE GARCIA</t>
  </si>
  <si>
    <t xml:space="preserve">3630 E CHESTNUT LN </t>
  </si>
  <si>
    <t>BRIDGES AT GILBERT PHASE 1 PARCEL 4</t>
  </si>
  <si>
    <t>CLEMENTE F GARCIA</t>
  </si>
  <si>
    <t>CLIFFORD</t>
  </si>
  <si>
    <t>BIELESCH</t>
  </si>
  <si>
    <t>JANNINE</t>
  </si>
  <si>
    <t>CLIFFORD &amp; JANNINE BIELESCH</t>
  </si>
  <si>
    <t xml:space="preserve">332 W CAROB DR </t>
  </si>
  <si>
    <t>R056</t>
  </si>
  <si>
    <t>FOX CROSSING UNIT 7</t>
  </si>
  <si>
    <t>FOX CROSSING</t>
  </si>
  <si>
    <t>BASHA ELEMENTARY SCHOOL</t>
  </si>
  <si>
    <t>MEINEKE STANLEY B</t>
  </si>
  <si>
    <t>BIELESCH CLIFFORD M &amp; JANNINE B</t>
  </si>
  <si>
    <t>YSCO</t>
  </si>
  <si>
    <t>SERGIO &amp; LAUREN YSCO</t>
  </si>
  <si>
    <t xml:space="preserve">1557 E DOUGLAS AVE </t>
  </si>
  <si>
    <t>C030</t>
  </si>
  <si>
    <t>PARK VILLAGE UNIT 6  LOT 1-109  TR A-F</t>
  </si>
  <si>
    <t>PATTEN MICHAEL</t>
  </si>
  <si>
    <t>YSCO SERGIO A</t>
  </si>
  <si>
    <t>ROBERTSON FAMILY TRUST</t>
  </si>
  <si>
    <t>SHARAN</t>
  </si>
  <si>
    <t xml:space="preserve">7721 S 71ST AVE </t>
  </si>
  <si>
    <t>LAVEEN MEADOWS PARCEL 15</t>
  </si>
  <si>
    <t>MOYD TOYE</t>
  </si>
  <si>
    <t>ROBERTSON DICKY S &amp; SHARAN L</t>
  </si>
  <si>
    <t>ZACHARY WHITE</t>
  </si>
  <si>
    <t xml:space="preserve">1328 E MYRTLE AVE </t>
  </si>
  <si>
    <t>ESTATE LOS ARBOLES AMENDED</t>
  </si>
  <si>
    <t>ESTATE LOS ARBOLES</t>
  </si>
  <si>
    <t>WILKINS BRITTANY M &amp; THOMAS</t>
  </si>
  <si>
    <t>WHITE ZACHARY</t>
  </si>
  <si>
    <t>VICTOR &amp; GLORIA MERCADO</t>
  </si>
  <si>
    <t xml:space="preserve">2029 E ENCANTO ST </t>
  </si>
  <si>
    <t xml:space="preserve">PO BOX 2645 </t>
  </si>
  <si>
    <t>OVERGAARD</t>
  </si>
  <si>
    <t>TIERRA ESTE 3</t>
  </si>
  <si>
    <t>TIERRA ESTE</t>
  </si>
  <si>
    <t>FIELD ELEMENTARY SCHOOL</t>
  </si>
  <si>
    <t>HOME CHOICE INVS LLC</t>
  </si>
  <si>
    <t>MERCADO VICTOR &amp; GLORIA</t>
  </si>
  <si>
    <t>HAMMONS</t>
  </si>
  <si>
    <t>MICHAEL &amp; JULIA HAMMONS</t>
  </si>
  <si>
    <t xml:space="preserve">14401 N 60TH PL </t>
  </si>
  <si>
    <t>TURQUOISE ESTATES LOT 1-16</t>
  </si>
  <si>
    <t>TURQUOISE ESTATES</t>
  </si>
  <si>
    <t>COMER SHANNON M &amp; ERIC C</t>
  </si>
  <si>
    <t>PEOPLES BK</t>
  </si>
  <si>
    <t>HAMMONS MICHAEL P &amp; JULIA W</t>
  </si>
  <si>
    <t>WALDRON</t>
  </si>
  <si>
    <t>MICHAEL WALDRON</t>
  </si>
  <si>
    <t xml:space="preserve">1939 E KAREN DR </t>
  </si>
  <si>
    <t>LOOKOUT MOUNTAIN VIEWS UNIT 3 TR A&amp;B</t>
  </si>
  <si>
    <t>LOOKOUT MOUNTAIN VIEWS</t>
  </si>
  <si>
    <t>VAN RENSBURG CLIFFET J J</t>
  </si>
  <si>
    <t>WALDRON MICHAEL A</t>
  </si>
  <si>
    <t>MICHAEL A WALDRON</t>
  </si>
  <si>
    <t>GAYLE</t>
  </si>
  <si>
    <t>WALTON &amp; EMILY GAYLE</t>
  </si>
  <si>
    <t xml:space="preserve">317 E PAGE AVE </t>
  </si>
  <si>
    <t>STONEBRIDGE LAKES MANOR LOT 1-123 TR A-F</t>
  </si>
  <si>
    <t>STONEBRIDGE LAKES MANOR</t>
  </si>
  <si>
    <t>BURK ELEMENTARY SCHOOL</t>
  </si>
  <si>
    <t>YOUNG ANTHONY D</t>
  </si>
  <si>
    <t>WALTON THOMAS J</t>
  </si>
  <si>
    <t>ROBERT &amp; KRISTY LORD</t>
  </si>
  <si>
    <t xml:space="preserve">3936 W SALTER DR </t>
  </si>
  <si>
    <t>SUNSET TRAILS 4</t>
  </si>
  <si>
    <t>PARK MEADOWS ELEMENTARY SCHOOL</t>
  </si>
  <si>
    <t>ST32 LLC</t>
  </si>
  <si>
    <t>LORD ROBERT</t>
  </si>
  <si>
    <t>WINSICK</t>
  </si>
  <si>
    <t>NICHOLAS &amp; NICOLE WINSICK</t>
  </si>
  <si>
    <t xml:space="preserve">4601 E KARSTEN DR </t>
  </si>
  <si>
    <t>SUN GROVES PARCEL 6 &amp; 7</t>
  </si>
  <si>
    <t>DODSON JOY &amp; MEGAN</t>
  </si>
  <si>
    <t>WINSICK NICHOLAS &amp; NICOLE</t>
  </si>
  <si>
    <t>SCHREMPP</t>
  </si>
  <si>
    <t>JAMES SCHREMPP</t>
  </si>
  <si>
    <t xml:space="preserve">19018 E SEAGULL DR </t>
  </si>
  <si>
    <t>CORTINA PARCEL 13</t>
  </si>
  <si>
    <t>LEYVA RAUL &amp; MARIA</t>
  </si>
  <si>
    <t>JAMES A SCHREMPP</t>
  </si>
  <si>
    <t>THOMAS ALLEN</t>
  </si>
  <si>
    <t xml:space="preserve">4630 S ROBINS WAY </t>
  </si>
  <si>
    <t>MCQUEEN LAKES</t>
  </si>
  <si>
    <t>BOWEN CHRISTIAAN H &amp; JACQUEL</t>
  </si>
  <si>
    <t>ALL WSTRN MTG INC</t>
  </si>
  <si>
    <t>ALLEN THOMAS A</t>
  </si>
  <si>
    <t>MADONNA</t>
  </si>
  <si>
    <t>JOHN &amp; MADONNA MILLER</t>
  </si>
  <si>
    <t xml:space="preserve">25726 N 122ND AVE </t>
  </si>
  <si>
    <t>COLDWATER RANCH UNIT 1 &amp; 2</t>
  </si>
  <si>
    <t>JOHN D MILLER</t>
  </si>
  <si>
    <t>MADONNA B MILLER</t>
  </si>
  <si>
    <t>ABBATE</t>
  </si>
  <si>
    <t>CHELSEA</t>
  </si>
  <si>
    <t>JORDAN &amp; CHELSEA ABBATE</t>
  </si>
  <si>
    <t xml:space="preserve">1221 N DUSTIN LN </t>
  </si>
  <si>
    <t>RAY RANCH ESTATES PHASE 1</t>
  </si>
  <si>
    <t>YANG VICTOR S</t>
  </si>
  <si>
    <t>ABBATE JORDAN S &amp; CHELSEA K</t>
  </si>
  <si>
    <t>MONCRIEF</t>
  </si>
  <si>
    <t>WILLIAM &amp; KAREN MONCRIEF</t>
  </si>
  <si>
    <t xml:space="preserve">5964 W TOPEKA DR </t>
  </si>
  <si>
    <t>HIGHLANDS AT ARROWHEAD RANCH 3</t>
  </si>
  <si>
    <t>GRAHAM FAMILY TRUST</t>
  </si>
  <si>
    <t>MONCRIEF WILLIAM S &amp; KAREN E</t>
  </si>
  <si>
    <t>JAMES &amp; SANDRA DAVIS</t>
  </si>
  <si>
    <t xml:space="preserve">13125 W CLARENDON AVE </t>
  </si>
  <si>
    <t>DYSART RANCH</t>
  </si>
  <si>
    <t>DAVIS JAMES H &amp; SANDRA K</t>
  </si>
  <si>
    <t>ABRAHAMSON</t>
  </si>
  <si>
    <t>TERRY &amp; AMY ABRAHAMSON</t>
  </si>
  <si>
    <t xml:space="preserve">234 E BROOK HOLLOW DR </t>
  </si>
  <si>
    <t>C084</t>
  </si>
  <si>
    <t>LUNAR VISTA ESTATES</t>
  </si>
  <si>
    <t>LOOKOUT MOUNTAIN ELEMENTARY SCHOOL</t>
  </si>
  <si>
    <t>EBBEN NICHOLAS T</t>
  </si>
  <si>
    <t>FARGO ND 58106</t>
  </si>
  <si>
    <t>ABRAHAMSON TERRY A &amp; AMY M</t>
  </si>
  <si>
    <t>OWEN</t>
  </si>
  <si>
    <t>DISMUKE</t>
  </si>
  <si>
    <t>OWEN DISMUKE</t>
  </si>
  <si>
    <t xml:space="preserve">6048 N 16TH AVE </t>
  </si>
  <si>
    <t>C061</t>
  </si>
  <si>
    <t>HOFFMANTOWN</t>
  </si>
  <si>
    <t>CASH BRYAN J F T T</t>
  </si>
  <si>
    <t>CHEYENNE WY 82001</t>
  </si>
  <si>
    <t>DISMUKE OWEN</t>
  </si>
  <si>
    <t>ROLLEN FRANCES FAM L &amp; TRUST</t>
  </si>
  <si>
    <t>FAM ROLLENFRANCES</t>
  </si>
  <si>
    <t xml:space="preserve">36825 N TWILIGHT TRL </t>
  </si>
  <si>
    <t>CAREFREE</t>
  </si>
  <si>
    <t xml:space="preserve">2233 E BEHREND DR #109 </t>
  </si>
  <si>
    <t>VELVET SHADOWS 3</t>
  </si>
  <si>
    <t>VELVET SHADOWS</t>
  </si>
  <si>
    <t>DONALDSON BARBARA</t>
  </si>
  <si>
    <t>CERRITOS CA 907035401</t>
  </si>
  <si>
    <t>ROLLEN VINCENT J</t>
  </si>
  <si>
    <t>MILES</t>
  </si>
  <si>
    <t>EILEEN &amp; GREGORY MILES</t>
  </si>
  <si>
    <t xml:space="preserve">4286 E MELODY DR </t>
  </si>
  <si>
    <t>SUPERSTITION MEADOWS SUBDIVISION</t>
  </si>
  <si>
    <t>SUPERSTITION MEADOWS</t>
  </si>
  <si>
    <t>FLORES LIVING TRUST</t>
  </si>
  <si>
    <t>MILES GREGORY &amp; EILEEN</t>
  </si>
  <si>
    <t>AYAX</t>
  </si>
  <si>
    <t>STACY</t>
  </si>
  <si>
    <t>AYAX &amp; STACY MARTINEZ</t>
  </si>
  <si>
    <t xml:space="preserve">3821 S ACACIA CT </t>
  </si>
  <si>
    <t>WATERS EDGE AT OCOTILLO</t>
  </si>
  <si>
    <t>STROUD ERIK D</t>
  </si>
  <si>
    <t>MARTINEZ AYAX A</t>
  </si>
  <si>
    <t>BLONDE</t>
  </si>
  <si>
    <t>CELESTE</t>
  </si>
  <si>
    <t>MATTHEW &amp; CELESTE BLONDE</t>
  </si>
  <si>
    <t xml:space="preserve">1339 E HARRISON ST </t>
  </si>
  <si>
    <t>ASHLAND RANCH</t>
  </si>
  <si>
    <t>ASHLAND RANCH ELEMENTARY SCHOOL</t>
  </si>
  <si>
    <t>HASPER JOHN A TRUST</t>
  </si>
  <si>
    <t>BLONDE MATTHEW T &amp; CELESTE J</t>
  </si>
  <si>
    <t>DANIEL &amp; KIMBERLY LEE</t>
  </si>
  <si>
    <t xml:space="preserve">12031 N 53RD ST </t>
  </si>
  <si>
    <t>WOODLEAF 3 LOT 61-137</t>
  </si>
  <si>
    <t>WOODLEAF</t>
  </si>
  <si>
    <t>MASON H LAIRD FAMILY TRUST</t>
  </si>
  <si>
    <t>LEE DANIEL J &amp; KIMBERLY A</t>
  </si>
  <si>
    <t>VOLLMERT</t>
  </si>
  <si>
    <t>SCOTT &amp; JAMIE VOLLMERT</t>
  </si>
  <si>
    <t xml:space="preserve">12704 N 178TH LN </t>
  </si>
  <si>
    <t>VOLLMERT SCOTT R &amp; JAMIE C</t>
  </si>
  <si>
    <t>BARAHONA</t>
  </si>
  <si>
    <t>JOHN &amp; JODI BARAHONA</t>
  </si>
  <si>
    <t xml:space="preserve">15930 W PORT ROYALE LN </t>
  </si>
  <si>
    <t>LEGACY PARC PARCEL C</t>
  </si>
  <si>
    <t>EAGLE VISTA EQUITIES LLC</t>
  </si>
  <si>
    <t>BARAHONA JOHN E &amp; JODI B</t>
  </si>
  <si>
    <t>JOHN E BARAHONA</t>
  </si>
  <si>
    <t>JODI B BARAHONA</t>
  </si>
  <si>
    <t>LUGO</t>
  </si>
  <si>
    <t>VALERIE</t>
  </si>
  <si>
    <t>DANIEL &amp; VALERIE LUGO</t>
  </si>
  <si>
    <t xml:space="preserve">1259 E NIGHTINGALE LN </t>
  </si>
  <si>
    <t>VISTA DORADA</t>
  </si>
  <si>
    <t>RIGSBY DARREN W &amp; LISA D</t>
  </si>
  <si>
    <t>FRANKLIN AMERICAN MTG</t>
  </si>
  <si>
    <t>IRVING TX 75039</t>
  </si>
  <si>
    <t>DANIEL LUGO</t>
  </si>
  <si>
    <t>VALERIE LUGO</t>
  </si>
  <si>
    <t>CHRISTY</t>
  </si>
  <si>
    <t>ALFRED PEREZ &amp; ANN CHRISTY</t>
  </si>
  <si>
    <t xml:space="preserve">6312 S SKY LN </t>
  </si>
  <si>
    <t>SEVILLE PARCEL 4</t>
  </si>
  <si>
    <t>TREVISO</t>
  </si>
  <si>
    <t>KEHOE ERIK Z &amp; KRISTINE M</t>
  </si>
  <si>
    <t>PEREZ ALFRED &amp; CHRISTY A</t>
  </si>
  <si>
    <t>ARTHUR GRAHAM &amp; PATRICIA WILSON</t>
  </si>
  <si>
    <t xml:space="preserve">10179 W AVENIDA DEL REY </t>
  </si>
  <si>
    <t>FLORENZA</t>
  </si>
  <si>
    <t>GRAHAM ARTHUR</t>
  </si>
  <si>
    <t>WILSON PATRICIA</t>
  </si>
  <si>
    <t>CIOTTI</t>
  </si>
  <si>
    <t>ROBERT &amp; KATHRYN CIOTTI</t>
  </si>
  <si>
    <t xml:space="preserve">21791 S 223RD PL </t>
  </si>
  <si>
    <t>CHARLESTON ESTATES</t>
  </si>
  <si>
    <t>CIOTTI ROBERT &amp; KATHRYN L</t>
  </si>
  <si>
    <t>ROBERT CIOTTI</t>
  </si>
  <si>
    <t>KATHRYN L CIOTTI</t>
  </si>
  <si>
    <t>HAROLD ABRAHAM</t>
  </si>
  <si>
    <t xml:space="preserve">1332 E SHAMROCK ST </t>
  </si>
  <si>
    <t>OCCHIPINTI PHILIP D &amp; MARGAR</t>
  </si>
  <si>
    <t>ABRAHAM HAROLD A JR</t>
  </si>
  <si>
    <t>HAROLD A ABRAHAM JR</t>
  </si>
  <si>
    <t>GERDES</t>
  </si>
  <si>
    <t>ROBERT GERDES</t>
  </si>
  <si>
    <t xml:space="preserve">1760 E DUBOIS AVE </t>
  </si>
  <si>
    <t>EVANS RANCH</t>
  </si>
  <si>
    <t>GRIBBLE TRAVIS L &amp; HEATHER L</t>
  </si>
  <si>
    <t>GERDES ROBERT A</t>
  </si>
  <si>
    <t>ROBERT A GERDES</t>
  </si>
  <si>
    <t>LOCHNER</t>
  </si>
  <si>
    <t>TRELISHA</t>
  </si>
  <si>
    <t>ERIC &amp; TRELISHA LOCHNER</t>
  </si>
  <si>
    <t xml:space="preserve">17805 W CARMEN DR </t>
  </si>
  <si>
    <t>SURPRISE FARMS PHASE 2 PARCEL 4</t>
  </si>
  <si>
    <t>SYCAMORE CREEK</t>
  </si>
  <si>
    <t>PRUITT JIMMY &amp; CRYSTAL L</t>
  </si>
  <si>
    <t>NATIONS DIRECT MTG LLC</t>
  </si>
  <si>
    <t>LOCHNER ERIC &amp; TRELISHA</t>
  </si>
  <si>
    <t>JOSEFOWICZ</t>
  </si>
  <si>
    <t>JOSELINA</t>
  </si>
  <si>
    <t>MATTHEW &amp; JOSELINA JOSEFOWICZ</t>
  </si>
  <si>
    <t xml:space="preserve">18375 W PORT ROYALE LN </t>
  </si>
  <si>
    <t>FORQUER AARON D &amp; AMY P</t>
  </si>
  <si>
    <t>JOSEFOWICZ MATTHEW A &amp; JOSELINA R</t>
  </si>
  <si>
    <t>CHAPMAN</t>
  </si>
  <si>
    <t>RICARDA</t>
  </si>
  <si>
    <t>JOHN &amp; RICARDA CHAPMAN</t>
  </si>
  <si>
    <t xml:space="preserve">8801 W TIERRA BUENA LN </t>
  </si>
  <si>
    <t>R049</t>
  </si>
  <si>
    <t>ARROWHEAD SHORES 2 LOT 7-167 TR A B</t>
  </si>
  <si>
    <t>OBRIEN COREY M</t>
  </si>
  <si>
    <t>JOHN CHAPMAN</t>
  </si>
  <si>
    <t>RICARDA CHAPMAN</t>
  </si>
  <si>
    <t>GREENE ROBERT L &amp; CRYSTAL L TRUST</t>
  </si>
  <si>
    <t>ROBERT &amp; CRYSTAL GREENE</t>
  </si>
  <si>
    <t xml:space="preserve">6327 W CROCUS DR </t>
  </si>
  <si>
    <t>QUAIL THUNDERBIRD MEADOW PHASE 2 LOT 73-</t>
  </si>
  <si>
    <t>THUNDERBIRD QUAIL RUN</t>
  </si>
  <si>
    <t>RODERICK SCOTT B &amp; KATHY B</t>
  </si>
  <si>
    <t>GREENE ROBERT L &amp; CRYSTAL L</t>
  </si>
  <si>
    <t>KAUTZ</t>
  </si>
  <si>
    <t>CINDY &amp; DENNIS KAUTZ</t>
  </si>
  <si>
    <t xml:space="preserve">25521 N 54TH LN </t>
  </si>
  <si>
    <t>MONTFOORT GINA</t>
  </si>
  <si>
    <t>KAUTZ DENNIS W</t>
  </si>
  <si>
    <t>HORNSTROM</t>
  </si>
  <si>
    <t>JOSEPH HORNSTROM</t>
  </si>
  <si>
    <t xml:space="preserve">858 E EUCLID AVE </t>
  </si>
  <si>
    <t>LAYTON LAKES PARCEL 8</t>
  </si>
  <si>
    <t>THE VILLAGE</t>
  </si>
  <si>
    <t>MCINTOSH LYNNE R &amp; WILLIAM R</t>
  </si>
  <si>
    <t>HORNSTROM JOSEPH</t>
  </si>
  <si>
    <t>KEPPLEY FAMILY LIVING TRUST</t>
  </si>
  <si>
    <t>KEPPLEY</t>
  </si>
  <si>
    <t xml:space="preserve">2440 E FAIRVIEW ST </t>
  </si>
  <si>
    <t>RICHIE VICKI L</t>
  </si>
  <si>
    <t>KEPPLEY JOSHUA L &amp; KELLY J</t>
  </si>
  <si>
    <t>FREDRICKSEN</t>
  </si>
  <si>
    <t>DANIEL &amp; LINDA FREDRICKSEN</t>
  </si>
  <si>
    <t xml:space="preserve">8863 W BETTY ELYSE LN </t>
  </si>
  <si>
    <t>CALBRISA</t>
  </si>
  <si>
    <t>BERG JOHN J C</t>
  </si>
  <si>
    <t>FREDRICKSEN DANIEL LEE &amp; LINDA F</t>
  </si>
  <si>
    <t>EMMA</t>
  </si>
  <si>
    <t>GEORGE &amp; EMMA WESTON</t>
  </si>
  <si>
    <t xml:space="preserve">19622 W GRANT ST </t>
  </si>
  <si>
    <t>BLUE HORIZONS PARCEL 2</t>
  </si>
  <si>
    <t>WESTON GEORGE &amp; EMMA</t>
  </si>
  <si>
    <t>MARTELLA</t>
  </si>
  <si>
    <t>JOHN &amp; LESLIE MARTELLA</t>
  </si>
  <si>
    <t xml:space="preserve">3764 N BARRON </t>
  </si>
  <si>
    <t>HIGHLANDS AT LAS SENDAS</t>
  </si>
  <si>
    <t>LAS SENDAS ELEMENTARY SCHOOL</t>
  </si>
  <si>
    <t>MOKSVOLD KURT L</t>
  </si>
  <si>
    <t>MARTELLA JOHN &amp; LESLIE J</t>
  </si>
  <si>
    <t>MCCLINTOCK</t>
  </si>
  <si>
    <t>MICHELLE &amp; JOSEPH MCCLINTOCK</t>
  </si>
  <si>
    <t xml:space="preserve">22810 S 179TH ST </t>
  </si>
  <si>
    <t>SMITH GEORGE C &amp; LINDA A</t>
  </si>
  <si>
    <t>MCCLINTOCK MICHELLE &amp; JOSEPH</t>
  </si>
  <si>
    <t>HUDSON</t>
  </si>
  <si>
    <t>MICHAEL &amp; ALMA HUDSON</t>
  </si>
  <si>
    <t xml:space="preserve">2739 W SUNSET DR </t>
  </si>
  <si>
    <t>CEDOLA FAMILY TRUST</t>
  </si>
  <si>
    <t>HUDSON MICHAEL C &amp; ALMA A</t>
  </si>
  <si>
    <t>PRIDGEN</t>
  </si>
  <si>
    <t>JOSEPH &amp; JANET PRIDGEN</t>
  </si>
  <si>
    <t xml:space="preserve">28317 N 210TH AVE </t>
  </si>
  <si>
    <t>HEACOCK RICHARD W</t>
  </si>
  <si>
    <t>PRIDGEN JOSEPH M</t>
  </si>
  <si>
    <t>MIGA</t>
  </si>
  <si>
    <t>DANIEL &amp; RHONDA MIGA</t>
  </si>
  <si>
    <t xml:space="preserve">3941 E FLORIAN AVE </t>
  </si>
  <si>
    <t>BRADLEY COUNTRY ESTATES LOT 1-73 TR A</t>
  </si>
  <si>
    <t>BRADLEY COUNTRY ESTATES</t>
  </si>
  <si>
    <t>JOHNSON ELEMENTARY SCHOOL</t>
  </si>
  <si>
    <t>LARSEN RONALD &amp; SUZANNE TRUST</t>
  </si>
  <si>
    <t>MIGA DANIEL E &amp; RHONDA A</t>
  </si>
  <si>
    <t>VICENTE</t>
  </si>
  <si>
    <t>FIGUEROA-DIAZ</t>
  </si>
  <si>
    <t>YESENIA</t>
  </si>
  <si>
    <t>VICENTE &amp; YESENIA FIGUEROA-DIAZ</t>
  </si>
  <si>
    <t xml:space="preserve">8660 E SUTTON DR </t>
  </si>
  <si>
    <t>C087</t>
  </si>
  <si>
    <t>SUNDOWN MANOR</t>
  </si>
  <si>
    <t>SMITH-ZIMMERMAN FAMILY TRUST</t>
  </si>
  <si>
    <t>BELL BANK</t>
  </si>
  <si>
    <t>FIGUEROA DIAZ VICENTE &amp; YESENIA</t>
  </si>
  <si>
    <t>CHANDLER AZ 85286</t>
  </si>
  <si>
    <t>VICENTE FIGUEROA-DIAZ</t>
  </si>
  <si>
    <t>YESENIA FIGUEROA-DIAZ</t>
  </si>
  <si>
    <t>JACOBUSSE</t>
  </si>
  <si>
    <t>NOLITA</t>
  </si>
  <si>
    <t>SALTER</t>
  </si>
  <si>
    <t>NATHAN JACOBUSSE &amp; NOLITA SALTER</t>
  </si>
  <si>
    <t xml:space="preserve">4055 N RECKER RD #75 </t>
  </si>
  <si>
    <t>PARCEL 18 AT RED MOUNTAIN RANCH</t>
  </si>
  <si>
    <t>COUNTRY CLUB ESTATES</t>
  </si>
  <si>
    <t>WHITAKER BRUCE D &amp; C M TRUST</t>
  </si>
  <si>
    <t>JACOBUSSE NATHAN</t>
  </si>
  <si>
    <t>BEESON</t>
  </si>
  <si>
    <t>SCOTT &amp; ANNE BEESON</t>
  </si>
  <si>
    <t xml:space="preserve">26136 N 85TH DR </t>
  </si>
  <si>
    <t>WESTWING MOUNTAIN PARCEL 3</t>
  </si>
  <si>
    <t>WINSTON BRYON H &amp; YOUNG I</t>
  </si>
  <si>
    <t>AMERICAN NBRHD MTG ACCPTNC CO</t>
  </si>
  <si>
    <t>BEESON SCOTT R &amp; ANNE B</t>
  </si>
  <si>
    <t>READY</t>
  </si>
  <si>
    <t>THOMAS &amp; AMY READY</t>
  </si>
  <si>
    <t xml:space="preserve">41331 N CLUB POINTE DR </t>
  </si>
  <si>
    <t>ANTHEM UNIT 40</t>
  </si>
  <si>
    <t>MARKHAM CHARLES &amp; KRISTIN</t>
  </si>
  <si>
    <t>READY THOMAS J &amp; AMY S</t>
  </si>
  <si>
    <t>KILPATRICK PETER LEWIS TR</t>
  </si>
  <si>
    <t>PETER KILPATRICK</t>
  </si>
  <si>
    <t xml:space="preserve">10400 N 117TH PL </t>
  </si>
  <si>
    <t>MONTANA RANCH LOT 1-95 TR A-H</t>
  </si>
  <si>
    <t>MONTANA RANCH</t>
  </si>
  <si>
    <t>MAST SEC TRUST 2006-2</t>
  </si>
  <si>
    <t>KILPATRICK PETER L TRUST</t>
  </si>
  <si>
    <t>MICHAEL ADAMS</t>
  </si>
  <si>
    <t xml:space="preserve">21723 W HESS AVE </t>
  </si>
  <si>
    <t>SUNDANCE PARCEL 10</t>
  </si>
  <si>
    <t>SAGEWOOD AT SUNDANCE</t>
  </si>
  <si>
    <t>ADAMS MICHAEL A</t>
  </si>
  <si>
    <t>HARDY JONES</t>
  </si>
  <si>
    <t>THE RUTH AUDREY HARDY JONES LIVING TRUST</t>
  </si>
  <si>
    <t>JONES HARDY &amp; THE JONES</t>
  </si>
  <si>
    <t xml:space="preserve">9213 W POTTER DR </t>
  </si>
  <si>
    <t>DOVE VALLEY RANCH PARCEL 3C</t>
  </si>
  <si>
    <t>HARTSELL DOUGLAS S &amp; MARTHA</t>
  </si>
  <si>
    <t>JONES JOHN C</t>
  </si>
  <si>
    <t>HARDY-JONES RUTH A</t>
  </si>
  <si>
    <t>DEBUSK</t>
  </si>
  <si>
    <t>CHRISTINE &amp; JUSTIN DEBUSK</t>
  </si>
  <si>
    <t xml:space="preserve">9440 N 49TH AVE </t>
  </si>
  <si>
    <t>MOUNTAIN VIEW MEADOWS THREE LOT 159-269</t>
  </si>
  <si>
    <t>AZ QUALITY HOMES LLC</t>
  </si>
  <si>
    <t>DEBUSK CHRISTINE &amp; JUSTIN</t>
  </si>
  <si>
    <t>JAMES &amp; HEIDI MARSHALL</t>
  </si>
  <si>
    <t xml:space="preserve">16379 W CANTERBURY DR </t>
  </si>
  <si>
    <t>H202</t>
  </si>
  <si>
    <t>SYCAMORE FARMS PARCEL 13</t>
  </si>
  <si>
    <t>BRATHOVD GARY</t>
  </si>
  <si>
    <t>MARSHALL JAMES &amp; HEIDI</t>
  </si>
  <si>
    <t>THORNE</t>
  </si>
  <si>
    <t>MICHAEL THORNE</t>
  </si>
  <si>
    <t xml:space="preserve">12014 W CHASE LN </t>
  </si>
  <si>
    <t>DEL RIO RANCH UNIT 2</t>
  </si>
  <si>
    <t>TAGGART</t>
  </si>
  <si>
    <t>BOND</t>
  </si>
  <si>
    <t>ROBERT TAGGART &amp; CRYSTAL BOND</t>
  </si>
  <si>
    <t xml:space="preserve">517 W PRINCETON AVE </t>
  </si>
  <si>
    <t>SILVERHAWKE 3</t>
  </si>
  <si>
    <t>SILVERHAWKE</t>
  </si>
  <si>
    <t>STONE JENNIFER L</t>
  </si>
  <si>
    <t>TAGGART ROBERT M</t>
  </si>
  <si>
    <t>BOND CRYSTAL</t>
  </si>
  <si>
    <t>MAGDALENO</t>
  </si>
  <si>
    <t>ANDREW &amp; LORENA MAGDALENO</t>
  </si>
  <si>
    <t xml:space="preserve">128 N 119TH DR </t>
  </si>
  <si>
    <t>COLDWATER SPRINGS PARCEL 16</t>
  </si>
  <si>
    <t>COLLIER ELEMENTARY SCHOOL</t>
  </si>
  <si>
    <t>ODONNELL FAMILY TRUST</t>
  </si>
  <si>
    <t>MAGDALENO ANDREW A &amp; LORENA C</t>
  </si>
  <si>
    <t>DILLON</t>
  </si>
  <si>
    <t>MICHAEL DILLON</t>
  </si>
  <si>
    <t xml:space="preserve">9145 W COOLBROOK AVE </t>
  </si>
  <si>
    <t>DILLON MICHAEL W</t>
  </si>
  <si>
    <t>PALMER &amp; JUDITH ANN</t>
  </si>
  <si>
    <t xml:space="preserve">2569 W BISBEE WAY </t>
  </si>
  <si>
    <t>ANTHEM UNIT 43</t>
  </si>
  <si>
    <t>PALMER BRUCE H &amp; JUDITH ANN</t>
  </si>
  <si>
    <t>FREDERICK J HUGHES TRUST</t>
  </si>
  <si>
    <t>FREDERICK HUGHES</t>
  </si>
  <si>
    <t xml:space="preserve">1135 E FRYE RD </t>
  </si>
  <si>
    <t>MIRALAGO AT THE FOOTHILLS LOT 1-104 TR A</t>
  </si>
  <si>
    <t>MIRALAGO AT THE FOOTHILLS</t>
  </si>
  <si>
    <t>KANTHAK MICHAEL &amp; LAURA T</t>
  </si>
  <si>
    <t>HUGHES FREDERICK J TRUST</t>
  </si>
  <si>
    <t>ESCARCEGA</t>
  </si>
  <si>
    <t>RICHARD &amp; JODI ESCARCEGA</t>
  </si>
  <si>
    <t xml:space="preserve">7254 W NORTHVIEW AVE </t>
  </si>
  <si>
    <t>PARADISE VIEWS</t>
  </si>
  <si>
    <t>DESERT SPIRIT SCHOOL</t>
  </si>
  <si>
    <t>SEMMONS-SNODGRES HEATHER L</t>
  </si>
  <si>
    <t>ESCARCEGA RICHARD &amp; JODI</t>
  </si>
  <si>
    <t>BOALES</t>
  </si>
  <si>
    <t>JERRY BOALES</t>
  </si>
  <si>
    <t xml:space="preserve">9324 E MONTE AVE </t>
  </si>
  <si>
    <t>AUGUSTA RANCH PARCEL 2</t>
  </si>
  <si>
    <t>SMITH KEVIN L</t>
  </si>
  <si>
    <t>JERRY L BOALES JR</t>
  </si>
  <si>
    <t>DONALD &amp; GALE JEFFERY</t>
  </si>
  <si>
    <t xml:space="preserve">13159 W JUNIPERO DR </t>
  </si>
  <si>
    <t>CORTE BELLA COUNTRY CLUB AT LOS GATOS UN</t>
  </si>
  <si>
    <t>CORTE BELLA COUNTRY CLUB AT LOS GATOS</t>
  </si>
  <si>
    <t>MENIG A M</t>
  </si>
  <si>
    <t>JEFFERY DONALD &amp; GALE V</t>
  </si>
  <si>
    <t>KEVIN &amp; PEGGY POWELL</t>
  </si>
  <si>
    <t xml:space="preserve">18509 W TURQUOISE AVE </t>
  </si>
  <si>
    <t>POWELL KEVIN A &amp; PEGGY J</t>
  </si>
  <si>
    <t>MILLARD</t>
  </si>
  <si>
    <t>MILLARD &amp; MARY ANDERSON</t>
  </si>
  <si>
    <t xml:space="preserve">15841 W PICCADILLY RD </t>
  </si>
  <si>
    <t>PEBBLECREEK UNIT SIX</t>
  </si>
  <si>
    <t>STEVENS JACK A &amp; T J TRUST</t>
  </si>
  <si>
    <t>ANDERSON MARY K</t>
  </si>
  <si>
    <t>STONEY RICHARD &amp; CAROL TRUST</t>
  </si>
  <si>
    <t>STONEYRICHARD &amp; CAROL STONEYRICHARD</t>
  </si>
  <si>
    <t xml:space="preserve">27089 W YUKON DR </t>
  </si>
  <si>
    <t>H069</t>
  </si>
  <si>
    <t>SUN CITY FESTIVAL PARCEL G1 AND H1</t>
  </si>
  <si>
    <t>GOLDMAN STANLEY L &amp; SUSAN H</t>
  </si>
  <si>
    <t>WESTSTAR MTG</t>
  </si>
  <si>
    <t>STONEY RICHARD F &amp; CAROL J</t>
  </si>
  <si>
    <t>PAINTER</t>
  </si>
  <si>
    <t>SHANTI</t>
  </si>
  <si>
    <t>JOSHUA &amp; SHANTI PAINTER</t>
  </si>
  <si>
    <t xml:space="preserve">8229 W BEHREND DR </t>
  </si>
  <si>
    <t>FLETCHER HEIGHTS PARCEL 21</t>
  </si>
  <si>
    <t>KNIGHT KYLE C</t>
  </si>
  <si>
    <t>PAINTER JOSHUA T &amp; SHANTI M</t>
  </si>
  <si>
    <t>MAHL</t>
  </si>
  <si>
    <t>JOHN &amp; MICHELLE MAHL</t>
  </si>
  <si>
    <t xml:space="preserve">11531 W CRIMSON LN </t>
  </si>
  <si>
    <t>WYSE LINDA</t>
  </si>
  <si>
    <t>MAHL JOHN &amp; MICHELLE A</t>
  </si>
  <si>
    <t>JEFFREY JEANETTE</t>
  </si>
  <si>
    <t xml:space="preserve">1131 W SANTA CRUZ DR </t>
  </si>
  <si>
    <t>SOUTHERN PALMS UNIT 2</t>
  </si>
  <si>
    <t>SOUTHERN PALMS</t>
  </si>
  <si>
    <t>CARMINATI ELEMENTARY SCHOOL</t>
  </si>
  <si>
    <t>GILILLAND MIDDLE SCHOOL</t>
  </si>
  <si>
    <t>TEMPE HIGH SCHOOL</t>
  </si>
  <si>
    <t>PATIENT PROPERTIES LLC</t>
  </si>
  <si>
    <t>JEANETTE JEFFREY</t>
  </si>
  <si>
    <t>ALVIN</t>
  </si>
  <si>
    <t>CURCIO</t>
  </si>
  <si>
    <t>ALVIN &amp; RONALD CURCIO</t>
  </si>
  <si>
    <t xml:space="preserve">842 E WINDSOR DR </t>
  </si>
  <si>
    <t>LINDSAY RANCH UNIT 1</t>
  </si>
  <si>
    <t>LINDSAY RANCH</t>
  </si>
  <si>
    <t>EIRI DAVID</t>
  </si>
  <si>
    <t>CURCIO ALVIN</t>
  </si>
  <si>
    <t>CURCIO RONALD E</t>
  </si>
  <si>
    <t>SCICHILONE</t>
  </si>
  <si>
    <t>SCICHILONE &amp; CHRISTINA MARIE</t>
  </si>
  <si>
    <t xml:space="preserve">3448 E AZALEA DR </t>
  </si>
  <si>
    <t>SCICHILONE NICHOLAS ROCCO &amp; CHRISTINA MARIE</t>
  </si>
  <si>
    <t>KEVIN &amp; JAMIE WILLIAMS</t>
  </si>
  <si>
    <t xml:space="preserve">4104 E DECATUR ST </t>
  </si>
  <si>
    <t>GREENFIELD MANOR UNIT 2 LT 91-172 &amp; UNSU</t>
  </si>
  <si>
    <t>GREENFIELD MANOR</t>
  </si>
  <si>
    <t>MOORE KEVIN E</t>
  </si>
  <si>
    <t>WILLIAMS KEVIN</t>
  </si>
  <si>
    <t>CHRISTOPHER PAYNE</t>
  </si>
  <si>
    <t xml:space="preserve">1011 W FAIRMOUNT AVE </t>
  </si>
  <si>
    <t>NORTH PARK CENTRAL UNIT 2</t>
  </si>
  <si>
    <t>NORTH PARK CENTRAL</t>
  </si>
  <si>
    <t>MENDOZA LAURA</t>
  </si>
  <si>
    <t>BARRETT FIN'L GRP LLC</t>
  </si>
  <si>
    <t>PAYNE CHRISTOPHER A</t>
  </si>
  <si>
    <t>GUERRA</t>
  </si>
  <si>
    <t>ROBERT GUERRA</t>
  </si>
  <si>
    <t xml:space="preserve">15862 W FILLMORE ST </t>
  </si>
  <si>
    <t>TRAVIS PARK</t>
  </si>
  <si>
    <t>GUERRA ROBERT G</t>
  </si>
  <si>
    <t>DAMICO</t>
  </si>
  <si>
    <t>CAITLYN</t>
  </si>
  <si>
    <t>JAY &amp; CAITLYN DAMICO</t>
  </si>
  <si>
    <t xml:space="preserve">17570 W CHARTER OAK RD </t>
  </si>
  <si>
    <t>AZEP XXVII LLC</t>
  </si>
  <si>
    <t>DAMICO JAY MICHAEL</t>
  </si>
  <si>
    <t>DAMICO CAITLYN M</t>
  </si>
  <si>
    <t>CHRISTOPHER &amp; HANNAH HUGHES</t>
  </si>
  <si>
    <t xml:space="preserve">1117 W CARSON DR </t>
  </si>
  <si>
    <t>SOUTHERN PALMS UNIT 4</t>
  </si>
  <si>
    <t>BASELINE HARDY</t>
  </si>
  <si>
    <t>ARREDONDO ELEMENTARY SCHOOL</t>
  </si>
  <si>
    <t>ROBINSON ZITA</t>
  </si>
  <si>
    <t>CHRISTOPHER J HUGHES</t>
  </si>
  <si>
    <t>HANNAH R HUGHES</t>
  </si>
  <si>
    <t>JAROLD</t>
  </si>
  <si>
    <t>CHRISTIANE</t>
  </si>
  <si>
    <t>JAROLD &amp; CHRISTIANE JANSEN</t>
  </si>
  <si>
    <t xml:space="preserve">21154 E CAMINA PLATA </t>
  </si>
  <si>
    <t>VILLAGES AT QUEEN CREEK PARCEL 8</t>
  </si>
  <si>
    <t>PECK ROBERT A</t>
  </si>
  <si>
    <t>JANSEN JAROLD J</t>
  </si>
  <si>
    <t>DENTON</t>
  </si>
  <si>
    <t>DENTON YOUNG</t>
  </si>
  <si>
    <t xml:space="preserve">3942 E CHOLLA ST </t>
  </si>
  <si>
    <t>CAVALIER ESTATES 5</t>
  </si>
  <si>
    <t>CAVALIER ESTATES</t>
  </si>
  <si>
    <t>MERCURY MINE ELEMENTARY SCHOOL</t>
  </si>
  <si>
    <t>DOBSON REAL PROP MGMT LLC</t>
  </si>
  <si>
    <t>YOUNG DENTON</t>
  </si>
  <si>
    <t>MYCAL</t>
  </si>
  <si>
    <t>ANDERS</t>
  </si>
  <si>
    <t>MYCAL &amp; NICOLE ANDERS</t>
  </si>
  <si>
    <t xml:space="preserve">522 E PAPAGO DR </t>
  </si>
  <si>
    <t>PAPAGO MANOR SUBDIVISION</t>
  </si>
  <si>
    <t>PAPAGO MANOR</t>
  </si>
  <si>
    <t>KRO ENTS LLC</t>
  </si>
  <si>
    <t>FAIRWAY INDEPENDENT MTG</t>
  </si>
  <si>
    <t>CARROLLTON TX 75007</t>
  </si>
  <si>
    <t>MYCAL W ANDERS</t>
  </si>
  <si>
    <t>NICOLE C ANDERS</t>
  </si>
  <si>
    <t>HETHERINGTON</t>
  </si>
  <si>
    <t>MARIE HETHERINGTON</t>
  </si>
  <si>
    <t xml:space="preserve">2558 E HARMONY AVE </t>
  </si>
  <si>
    <t>C024</t>
  </si>
  <si>
    <t>KNOELL MESA UNIT 2</t>
  </si>
  <si>
    <t>KNOELL MESA</t>
  </si>
  <si>
    <t>PORTER ELEMENTARY SCHOOL</t>
  </si>
  <si>
    <t>RAY TREVOR E</t>
  </si>
  <si>
    <t>COLUMBUS OH 43240-2050</t>
  </si>
  <si>
    <t>MATHEW</t>
  </si>
  <si>
    <t>HOCHSTEIN</t>
  </si>
  <si>
    <t>MATHEW &amp; NICOLE HOCHSTEIN</t>
  </si>
  <si>
    <t xml:space="preserve">16183 W CRENSHAW ST </t>
  </si>
  <si>
    <t>GREER RANCH SOUTH PARCEL 21</t>
  </si>
  <si>
    <t>LIGHTFOOT JENNA L</t>
  </si>
  <si>
    <t>HOCHSTEIN MATHEW &amp; NICOLE</t>
  </si>
  <si>
    <t>RATHBURN</t>
  </si>
  <si>
    <t>STEVEN RATHBURN</t>
  </si>
  <si>
    <t xml:space="preserve">14879 W ASTER DR </t>
  </si>
  <si>
    <t>RANCHO GABRIELA PHASE 1</t>
  </si>
  <si>
    <t>KITER REED</t>
  </si>
  <si>
    <t>SUPREME LNDG</t>
  </si>
  <si>
    <t>RATHBURN STEVEN</t>
  </si>
  <si>
    <t>FOTHERINGHAM</t>
  </si>
  <si>
    <t>GEORGE &amp; SANDRA FOTHERINGHAM</t>
  </si>
  <si>
    <t xml:space="preserve">4846 S 245TH DR </t>
  </si>
  <si>
    <t>CRYSTAL VISTA</t>
  </si>
  <si>
    <t>STEVEN R. JASINSKI ELEMENTARY SCHOOL</t>
  </si>
  <si>
    <t>BUCKEYE UNION HIGH SCHOOL</t>
  </si>
  <si>
    <t>LGI HOMES-ARIZONA LLC</t>
  </si>
  <si>
    <t>FOTHERINGHAM GEORGE P &amp; SANDRA A</t>
  </si>
  <si>
    <t>VERN</t>
  </si>
  <si>
    <t>ABELLA</t>
  </si>
  <si>
    <t>KAOYENGNEN</t>
  </si>
  <si>
    <t>YANG</t>
  </si>
  <si>
    <t>VERN ABELLA &amp; KAOYENGNEN YANG</t>
  </si>
  <si>
    <t xml:space="preserve">1027 E SAN JUAN AVE </t>
  </si>
  <si>
    <t>TOWNHOUSE TERRACE 2</t>
  </si>
  <si>
    <t>TOWNHOUSE TERRACE</t>
  </si>
  <si>
    <t>JUSTUS DEV LLC</t>
  </si>
  <si>
    <t>ABELLA VERN J</t>
  </si>
  <si>
    <t>YANG KAOYENGNEN</t>
  </si>
  <si>
    <t>HINMAN</t>
  </si>
  <si>
    <t>ADAM HINMAN</t>
  </si>
  <si>
    <t xml:space="preserve">11860 W KINDERMAN DR </t>
  </si>
  <si>
    <t>GLENHURST</t>
  </si>
  <si>
    <t>DEEGAN DOUGLAS &amp; CORONETTE F</t>
  </si>
  <si>
    <t>HINMAN ADAM S</t>
  </si>
  <si>
    <t>MAYDA</t>
  </si>
  <si>
    <t>BRAVO-BANUELOS</t>
  </si>
  <si>
    <t>MAYDA BRAVO-BANUELOS</t>
  </si>
  <si>
    <t xml:space="preserve">19023 N 22ND DR </t>
  </si>
  <si>
    <t>GREEN MEADOWS NO 4</t>
  </si>
  <si>
    <t>GREEN MEADOWS</t>
  </si>
  <si>
    <t>VILLAGE MEADOWS ELEMENTARY SCHOOL</t>
  </si>
  <si>
    <t>BORODI NADIA</t>
  </si>
  <si>
    <t>MAYDA G BRAVO-BANUELOS</t>
  </si>
  <si>
    <t>OFSTHUN</t>
  </si>
  <si>
    <t>IRYNA</t>
  </si>
  <si>
    <t>GUY &amp; IRYNA OFSTHUN</t>
  </si>
  <si>
    <t xml:space="preserve">2552 W ALTA VISTA RD </t>
  </si>
  <si>
    <t>ANDERSON FARMS</t>
  </si>
  <si>
    <t>CRAWFORD MICHAEL &amp; ANA</t>
  </si>
  <si>
    <t>FARGO ND 58103</t>
  </si>
  <si>
    <t>GUY OFSTHUN</t>
  </si>
  <si>
    <t>IRYNA OFSTHUN</t>
  </si>
  <si>
    <t>CLYDE</t>
  </si>
  <si>
    <t>MCKENZIE</t>
  </si>
  <si>
    <t>CLYDE MCKENZIE</t>
  </si>
  <si>
    <t xml:space="preserve">11721 W HADLEY ST </t>
  </si>
  <si>
    <t>CAMPOS PATRICK</t>
  </si>
  <si>
    <t>NEW WEST LENDING INC</t>
  </si>
  <si>
    <t>MCKENZIE CLYDE W</t>
  </si>
  <si>
    <t>BROWN &amp; JANICE LEE</t>
  </si>
  <si>
    <t xml:space="preserve">18331 W TURQUOISE AVE </t>
  </si>
  <si>
    <t>BROWN JON DEAN &amp; JANICE LEE</t>
  </si>
  <si>
    <t>MATTHEW &amp; EMILY GLENN</t>
  </si>
  <si>
    <t xml:space="preserve">14521 W JENAN DR </t>
  </si>
  <si>
    <t>CASSAVANT CHRISTINE H</t>
  </si>
  <si>
    <t>MATTHEW J GLENN</t>
  </si>
  <si>
    <t>EMILY GLENN</t>
  </si>
  <si>
    <t>COVINGTON</t>
  </si>
  <si>
    <t>MARLAYNA</t>
  </si>
  <si>
    <t>JEFFREY &amp; MARLAYNA COVINGTON</t>
  </si>
  <si>
    <t xml:space="preserve">8529 E NEVILLE AVE </t>
  </si>
  <si>
    <t xml:space="preserve">83304 ARILA CT </t>
  </si>
  <si>
    <t>INDIO</t>
  </si>
  <si>
    <t>LESUEUR ESTATES UNIT 1</t>
  </si>
  <si>
    <t>PEARCE FAMILY INVS INC</t>
  </si>
  <si>
    <t>COVINGTON JEFFREY D &amp; MARLAYNA</t>
  </si>
  <si>
    <t>SKOUSEN</t>
  </si>
  <si>
    <t>MARJORY</t>
  </si>
  <si>
    <t>SKOUSEN &amp; MARJORY STEELE</t>
  </si>
  <si>
    <t xml:space="preserve">6447 E JULEP ST </t>
  </si>
  <si>
    <t>POMEROY ESTATES 2 LOT 1-59 TR A</t>
  </si>
  <si>
    <t>POMEROY ESTATES</t>
  </si>
  <si>
    <t>BAIR GROUP ACQUIRE LLC</t>
  </si>
  <si>
    <t>FIRST COLONY MTG</t>
  </si>
  <si>
    <t>SKOUSEN DARREN S &amp; MARJORY S</t>
  </si>
  <si>
    <t>GUSTAFSON</t>
  </si>
  <si>
    <t>ERIC GUSTAFSON &amp; JOSE GARCIA</t>
  </si>
  <si>
    <t xml:space="preserve">3910 E TREMAINE AVE </t>
  </si>
  <si>
    <t>ARVAYO JAMIE L &amp; ABRAHAM</t>
  </si>
  <si>
    <t>GUSTAFSON ERIC</t>
  </si>
  <si>
    <t>CAVANAUGH</t>
  </si>
  <si>
    <t>SHANNON &amp; MATTHEW CAVANAUGH</t>
  </si>
  <si>
    <t xml:space="preserve">6413 S 47TH DR </t>
  </si>
  <si>
    <t>ROGERS RANCH PARCEL 15</t>
  </si>
  <si>
    <t>PLANET HM LNDG LLC</t>
  </si>
  <si>
    <t>CAVANAUGH SHANNON L &amp; MATTHEW F</t>
  </si>
  <si>
    <t>FREDDIE</t>
  </si>
  <si>
    <t>COLON-VELEZ</t>
  </si>
  <si>
    <t>ADELA</t>
  </si>
  <si>
    <t>CHAVEZ-COLON</t>
  </si>
  <si>
    <t>FREDDIE COLON-VELEZ &amp; ADELA CHAVEZ-COLON</t>
  </si>
  <si>
    <t xml:space="preserve">29731 W AMELIA AVE </t>
  </si>
  <si>
    <t>TARTESSO UNIT 1 AMD</t>
  </si>
  <si>
    <t>WOLF SHAINA B</t>
  </si>
  <si>
    <t>COLON-VELEZ FREDDIE</t>
  </si>
  <si>
    <t>CHAVEZ-COLON ADELA</t>
  </si>
  <si>
    <t>LEROUE</t>
  </si>
  <si>
    <t>JUSTIN &amp; APRIL LEROUE</t>
  </si>
  <si>
    <t xml:space="preserve">1954 E SAN CARLOS PL </t>
  </si>
  <si>
    <t>SWANSON BRIAN J &amp; SHERRY L</t>
  </si>
  <si>
    <t>LEROUE JUSTIN &amp; APRIL</t>
  </si>
  <si>
    <t>GRISEL</t>
  </si>
  <si>
    <t>WASHINGTON</t>
  </si>
  <si>
    <t>GRISEL &amp; PETER WASHINGTON</t>
  </si>
  <si>
    <t xml:space="preserve">12887 N 93RD DR </t>
  </si>
  <si>
    <t>PLAZA DEL RIO PHASE 2</t>
  </si>
  <si>
    <t>PLAZA DEL RIO</t>
  </si>
  <si>
    <t>MARACAY THUNDERBIRD LLC</t>
  </si>
  <si>
    <t>WASHINGTON GRISEL C &amp; PETER A</t>
  </si>
  <si>
    <t>ELISA</t>
  </si>
  <si>
    <t>HOEFERER</t>
  </si>
  <si>
    <t>ELISA HOEFERER</t>
  </si>
  <si>
    <t xml:space="preserve">5142 W WESCOTT DR </t>
  </si>
  <si>
    <t>CHELSEA VILLAGE</t>
  </si>
  <si>
    <t>BRADEN H RANDY</t>
  </si>
  <si>
    <t>HOEFERER KARL JR &amp; ELISA</t>
  </si>
  <si>
    <t>STRAYER</t>
  </si>
  <si>
    <t>DANIEL STRAYER</t>
  </si>
  <si>
    <t xml:space="preserve">1954 E DUKE DR </t>
  </si>
  <si>
    <t>C057</t>
  </si>
  <si>
    <t>KNOELL TEMPE 5</t>
  </si>
  <si>
    <t>OPTIMIST PARK NORTHEAST</t>
  </si>
  <si>
    <t>FULLER ELEMENTARY SCHOOL</t>
  </si>
  <si>
    <t>IRVINE CAPITAL LLC</t>
  </si>
  <si>
    <t>BOFI FED'L BK</t>
  </si>
  <si>
    <t>STRAYER DANIEL MARCUS</t>
  </si>
  <si>
    <t>CHRISTENSON</t>
  </si>
  <si>
    <t>ANITA</t>
  </si>
  <si>
    <t>DENNIS &amp; ANITA CHRISTENSON</t>
  </si>
  <si>
    <t xml:space="preserve">13183 W TARA LN </t>
  </si>
  <si>
    <t>DAVE BROWN AT WEST POINT</t>
  </si>
  <si>
    <t>WEST POINT ELEMENTARY SCHOOL</t>
  </si>
  <si>
    <t>MUSTARD SEED VENTURES LLC</t>
  </si>
  <si>
    <t>DENNIS L CHRISTENSON</t>
  </si>
  <si>
    <t>ANITA L CHRISTENSON</t>
  </si>
  <si>
    <t>LYNCH &amp; CARLA RAY</t>
  </si>
  <si>
    <t xml:space="preserve">17755 W EVANS DR </t>
  </si>
  <si>
    <t>SIERRA MONTANA PARCEL 8</t>
  </si>
  <si>
    <t>COOPER KAREN M</t>
  </si>
  <si>
    <t>LYNCH MIKHAIL D II &amp; CARLA R</t>
  </si>
  <si>
    <t>ANTHONY &amp; SONIA DREW</t>
  </si>
  <si>
    <t xml:space="preserve">15878 W FILLMORE ST </t>
  </si>
  <si>
    <t>DREW ANTHONY M</t>
  </si>
  <si>
    <t>BOLES</t>
  </si>
  <si>
    <t>ROBERT BOLES</t>
  </si>
  <si>
    <t xml:space="preserve">8868 W PARADISE DR </t>
  </si>
  <si>
    <t>C026</t>
  </si>
  <si>
    <t>GRANITE RUN</t>
  </si>
  <si>
    <t>NIKOLAUS KAMERON C</t>
  </si>
  <si>
    <t>BOLES ROBERT D</t>
  </si>
  <si>
    <t>WILSON STEPHEN F LIVING TRUST</t>
  </si>
  <si>
    <t>F WILSONSTEPHEN</t>
  </si>
  <si>
    <t xml:space="preserve">19877 N CRIMSON RIDGE WAY </t>
  </si>
  <si>
    <t>SUN CITY GRAND-DESERT BREEZE</t>
  </si>
  <si>
    <t>GOMPERT FAMILY TRUST</t>
  </si>
  <si>
    <t>WILSON STEPHEN F</t>
  </si>
  <si>
    <t>MC GRUDER-JONES</t>
  </si>
  <si>
    <t>JOHN JONES &amp; BETTY GRUDER-JONES</t>
  </si>
  <si>
    <t xml:space="preserve">5802 W PURDUE CIR </t>
  </si>
  <si>
    <t>ROADRUNNER ESTATES WEST UNIT THREE TR A-</t>
  </si>
  <si>
    <t>ROADRUNNER ESTATES WEST</t>
  </si>
  <si>
    <t>HERRERA SAUL</t>
  </si>
  <si>
    <t>JOHN D JONES II</t>
  </si>
  <si>
    <t>BETTY J MC GRUDER-JONES</t>
  </si>
  <si>
    <t>RICHARD FUENTES</t>
  </si>
  <si>
    <t xml:space="preserve">1905 N 105TH ST </t>
  </si>
  <si>
    <t>BASA PROPERTIES LLC</t>
  </si>
  <si>
    <t>SUNSTREET MTG LLC</t>
  </si>
  <si>
    <t>FUENTES RICHARD</t>
  </si>
  <si>
    <t>LENDZION</t>
  </si>
  <si>
    <t>MICHAEL &amp; JESSICA LENDZION</t>
  </si>
  <si>
    <t xml:space="preserve">421 E SAN PEDRO AVE </t>
  </si>
  <si>
    <t>CIRCLE G MEADOWS AMD LOT 1-147 TR A</t>
  </si>
  <si>
    <t>MEADOWS</t>
  </si>
  <si>
    <t>HOYT JUSTIN T</t>
  </si>
  <si>
    <t>NATIONSCHOICE MTG</t>
  </si>
  <si>
    <t>LENDZION MICHAEL J &amp; JESSICA</t>
  </si>
  <si>
    <t>HORTEN</t>
  </si>
  <si>
    <t>KENNETH &amp; SHAWN HORTEN</t>
  </si>
  <si>
    <t xml:space="preserve">26431 N 67TH DR </t>
  </si>
  <si>
    <t>TERRAMAR PARCEL 5</t>
  </si>
  <si>
    <t>CRIST EUGENE J</t>
  </si>
  <si>
    <t>HORTEN KENNETH W &amp; SHAWN E</t>
  </si>
  <si>
    <t>SMALL BUSINESS ADMINISTRATION</t>
  </si>
  <si>
    <t>NEWTEK SMALL BUSN FIN</t>
  </si>
  <si>
    <t>VIRGINIA</t>
  </si>
  <si>
    <t>TONY &amp; VIRGINIA SANCHEZ</t>
  </si>
  <si>
    <t xml:space="preserve">3429 W GRENADINE RD </t>
  </si>
  <si>
    <t>BELLA CASA MANOR</t>
  </si>
  <si>
    <t>WILSON PARKER HMS OF BELLA CA</t>
  </si>
  <si>
    <t>SANCHEZ TONY</t>
  </si>
  <si>
    <t>TOMLIN</t>
  </si>
  <si>
    <t>MICHAEL &amp; MICHELLE TOMLIN</t>
  </si>
  <si>
    <t xml:space="preserve">5209 W MOUNTAIN VIEW RD </t>
  </si>
  <si>
    <t>PASEO PLACE REAMENDED</t>
  </si>
  <si>
    <t>CHRISTENSEN DENNIS M TRUST</t>
  </si>
  <si>
    <t>TOMLIN MICHAEL C &amp; MICHELLE L</t>
  </si>
  <si>
    <t>DOUGLAS WRIGHT</t>
  </si>
  <si>
    <t xml:space="preserve">444 W SCOTT AVE </t>
  </si>
  <si>
    <t>FRIEND BARBARA C</t>
  </si>
  <si>
    <t>WRIGHT DOUGLAS</t>
  </si>
  <si>
    <t>HARVEY</t>
  </si>
  <si>
    <t>JANICE &amp; ROBERT HARVEY</t>
  </si>
  <si>
    <t xml:space="preserve">1630 N ARROWHEAD DR </t>
  </si>
  <si>
    <t>DAHER MICHAEL D</t>
  </si>
  <si>
    <t>HARVEY JANICE E &amp; ROBERT J</t>
  </si>
  <si>
    <t>JANICE E HARVEY</t>
  </si>
  <si>
    <t>ROBERT J HARVEY</t>
  </si>
  <si>
    <t>BARTEL</t>
  </si>
  <si>
    <t>RYAN BARTEL</t>
  </si>
  <si>
    <t xml:space="preserve">4118 W MENADOTA DR </t>
  </si>
  <si>
    <t>MONTEROSA REPLAT</t>
  </si>
  <si>
    <t>MONTEROSA</t>
  </si>
  <si>
    <t>STUETZLE MICHELLE</t>
  </si>
  <si>
    <t>BARTEL RYAN T</t>
  </si>
  <si>
    <t>SCHMITZ</t>
  </si>
  <si>
    <t>RENATE</t>
  </si>
  <si>
    <t>LORIN &amp; RENATE SCHMITZ</t>
  </si>
  <si>
    <t xml:space="preserve">692 E SHANNON ST </t>
  </si>
  <si>
    <t>RAY MANOR AMD</t>
  </si>
  <si>
    <t>RAY MANOR</t>
  </si>
  <si>
    <t>GALVESTON ELEMENTARY SCHOOL</t>
  </si>
  <si>
    <t>KRATOCHVIL COLE T</t>
  </si>
  <si>
    <t>SCHMITZ LORIN &amp; RENATE</t>
  </si>
  <si>
    <t>CHRISTAL</t>
  </si>
  <si>
    <t>DAVIS-CARTER</t>
  </si>
  <si>
    <t>LARRY CARTER &amp; CHRISTAL DAVIS-CARTER</t>
  </si>
  <si>
    <t xml:space="preserve">7574 W WINDROSE DR </t>
  </si>
  <si>
    <t>FOXWOOD  4 LOT 334-409</t>
  </si>
  <si>
    <t>KERBY RICHARD W</t>
  </si>
  <si>
    <t>CARTER LARRY R</t>
  </si>
  <si>
    <t>DAVIS-CARTER CHRISTAL S</t>
  </si>
  <si>
    <t>BENJAMIN &amp; SANDRA CAMPBELL</t>
  </si>
  <si>
    <t xml:space="preserve">6615 W LARIAT LN </t>
  </si>
  <si>
    <t>MOORE SCOTT R</t>
  </si>
  <si>
    <t>CAMPBELL BENJAMIN</t>
  </si>
  <si>
    <t>AZZEDINE</t>
  </si>
  <si>
    <t>AZOUZ</t>
  </si>
  <si>
    <t>AZZEDINE &amp; HOLLY AZOUZ</t>
  </si>
  <si>
    <t xml:space="preserve">17580 W LARKSPUR DR </t>
  </si>
  <si>
    <t>FREITAG KRISTOPHER L</t>
  </si>
  <si>
    <t>AZOUZ AZZEDINE</t>
  </si>
  <si>
    <t>DENNIS TUCKER</t>
  </si>
  <si>
    <t xml:space="preserve">2757 W CHANUTE PASS </t>
  </si>
  <si>
    <t>BARCELONA</t>
  </si>
  <si>
    <t>TUCKER DENNIS J</t>
  </si>
  <si>
    <t>RYAN &amp; LATOYA ADAMS</t>
  </si>
  <si>
    <t xml:space="preserve">4405 W KEATING CIR </t>
  </si>
  <si>
    <t>BELLAIR PHASE ONE UNIT 1</t>
  </si>
  <si>
    <t>PELLINI STEVEN</t>
  </si>
  <si>
    <t>ADAMS RYAN W &amp; LATOYA S</t>
  </si>
  <si>
    <t>MOORE FAMILY TRUST</t>
  </si>
  <si>
    <t xml:space="preserve">15214 N 41ST ST </t>
  </si>
  <si>
    <t>C101</t>
  </si>
  <si>
    <t>PARADISE VALLEY OASIS NO 14 LOT 1-118 &amp;</t>
  </si>
  <si>
    <t>CAREFREE PROPERTIES LLC</t>
  </si>
  <si>
    <t>MOORE DON H</t>
  </si>
  <si>
    <t>NICHOLS</t>
  </si>
  <si>
    <t>LEAH &amp; LEAH PAUL</t>
  </si>
  <si>
    <t xml:space="preserve">40720 N HUDSON TRL </t>
  </si>
  <si>
    <t>ANTHEM UNIT 67</t>
  </si>
  <si>
    <t>SHLIMON ASHOR</t>
  </si>
  <si>
    <t>NICHOLS JOSEPH P &amp; JENNIFER L</t>
  </si>
  <si>
    <t>PRIVATE INDIVIDUAL</t>
  </si>
  <si>
    <t>PHOENIX AZ 85007</t>
  </si>
  <si>
    <t>JOSEPH P NICHOLS</t>
  </si>
  <si>
    <t>JENNIFER L NICHOLS</t>
  </si>
  <si>
    <t>MATTHEW GALE</t>
  </si>
  <si>
    <t xml:space="preserve">2427 N 104TH AVE </t>
  </si>
  <si>
    <t>RIO VISTA ELEMENTARY SCHOOL</t>
  </si>
  <si>
    <t>TRAN HUNG T &amp; DIANA T</t>
  </si>
  <si>
    <t>GALE MATTHEW D</t>
  </si>
  <si>
    <t>JANZER</t>
  </si>
  <si>
    <t>RICHARD JANZER</t>
  </si>
  <si>
    <t xml:space="preserve">18622 W WESTERN STAR BLVD </t>
  </si>
  <si>
    <t xml:space="preserve">18622 W WESTERN SKY BLVD </t>
  </si>
  <si>
    <t>SUNCHASE AT ESTRELLA PARCEL NOS 62-64</t>
  </si>
  <si>
    <t>SUNCHASE AT ESTRELLA</t>
  </si>
  <si>
    <t>DRABIAK WALTER &amp; JEANNE</t>
  </si>
  <si>
    <t>JANZER RICHARD P</t>
  </si>
  <si>
    <t>HUDDELSTON</t>
  </si>
  <si>
    <t>SHANE HUDDELSTON</t>
  </si>
  <si>
    <t xml:space="preserve">10083 S 183RD LN </t>
  </si>
  <si>
    <t>SUNCHASE AT ESTRELLA PARCEL NO 66</t>
  </si>
  <si>
    <t>ANDERSON PHILLIP S</t>
  </si>
  <si>
    <t>HUDDELSTON SHANE E</t>
  </si>
  <si>
    <t>ENCINAS</t>
  </si>
  <si>
    <t>ANTHONY ENCINAS</t>
  </si>
  <si>
    <t xml:space="preserve">31238 N 40TH PL </t>
  </si>
  <si>
    <t>TATUM RANCH PARCEL  9A</t>
  </si>
  <si>
    <t>STEITZ JEANNE</t>
  </si>
  <si>
    <t>STEFANIAK</t>
  </si>
  <si>
    <t>BERNARD</t>
  </si>
  <si>
    <t>YVONNE &amp; BERNARD STEFANIAK</t>
  </si>
  <si>
    <t xml:space="preserve">7815 N 183RD AVE </t>
  </si>
  <si>
    <t>ROMOLA 42  BLKS 4525-4539  4556-4571</t>
  </si>
  <si>
    <t>IANNELLI DOMENICK P &amp; MARY M</t>
  </si>
  <si>
    <t>STEFANIAK YVONNE C &amp; BERNARD</t>
  </si>
  <si>
    <t>STEPHEN &amp; STEPHANIE THOMAS</t>
  </si>
  <si>
    <t xml:space="preserve">6014 N 186TH AVE </t>
  </si>
  <si>
    <t>CLEARWATER FARMS ESTATES</t>
  </si>
  <si>
    <t>MILLER ERIC A</t>
  </si>
  <si>
    <t>THOMAS STEPHEN L</t>
  </si>
  <si>
    <t>STEPHEN L THOMAS</t>
  </si>
  <si>
    <t>STEPHANIE U THOMAS</t>
  </si>
  <si>
    <t>SEILHYMER</t>
  </si>
  <si>
    <t>CHARLES &amp; SHARON SEILHYMER</t>
  </si>
  <si>
    <t xml:space="preserve">2603 S 200TH LN </t>
  </si>
  <si>
    <t xml:space="preserve">25609 W GLOBE AVE </t>
  </si>
  <si>
    <t>CASTLE PROPERTY INVS LLLP</t>
  </si>
  <si>
    <t>NEW PENN FIN'L LLC</t>
  </si>
  <si>
    <t>PLYMOUTH MEETING PA 19462</t>
  </si>
  <si>
    <t>SEILHYMER CHARLES P &amp; SHARON</t>
  </si>
  <si>
    <t>COMERICA BK</t>
  </si>
  <si>
    <t>DALLAS TX 75201</t>
  </si>
  <si>
    <t>CHARLES P SHILHYMER</t>
  </si>
  <si>
    <t>SHARON SEILHYMER</t>
  </si>
  <si>
    <t>JULI</t>
  </si>
  <si>
    <t>DON &amp; JULI LAWRENCE</t>
  </si>
  <si>
    <t xml:space="preserve">22543 W LAURA ST </t>
  </si>
  <si>
    <t xml:space="preserve">PO BOX 863 </t>
  </si>
  <si>
    <t>BOYDEN NANCY</t>
  </si>
  <si>
    <t>DON A LAWRENCE</t>
  </si>
  <si>
    <t>JULI K LAWRENCE</t>
  </si>
  <si>
    <t>SHARON LEWIS &amp; BRANDY WILLIAMS</t>
  </si>
  <si>
    <t xml:space="preserve">8033 W VIA MONTOYA DR </t>
  </si>
  <si>
    <t>DEER VALLEY ESTATES</t>
  </si>
  <si>
    <t>WOODMAN RUSSELL A &amp; BARBARA</t>
  </si>
  <si>
    <t>LEWIS SHARON M G</t>
  </si>
  <si>
    <t>WILLIAMS BRANDY K</t>
  </si>
  <si>
    <t>DIGGS</t>
  </si>
  <si>
    <t>DANA &amp; JAIME DIGGS</t>
  </si>
  <si>
    <t xml:space="preserve">16519 N 87TH DR </t>
  </si>
  <si>
    <t>ARROWHEAD COVE</t>
  </si>
  <si>
    <t>ESCOBAR JOE M</t>
  </si>
  <si>
    <t>DIGGS DANA &amp; JAIME</t>
  </si>
  <si>
    <t>LENORA</t>
  </si>
  <si>
    <t>MICHAEL &amp; LENORA SCOTT</t>
  </si>
  <si>
    <t xml:space="preserve">3719 E JAGUAR AVE </t>
  </si>
  <si>
    <t xml:space="preserve">1326 W CLEAR SPRING DR </t>
  </si>
  <si>
    <t>SEVILLE PARCEL 25</t>
  </si>
  <si>
    <t>TALAVERA</t>
  </si>
  <si>
    <t>FLIS MARK D</t>
  </si>
  <si>
    <t>SCOTT MICHAEL G</t>
  </si>
  <si>
    <t>HOFFMAN</t>
  </si>
  <si>
    <t>SHEA</t>
  </si>
  <si>
    <t>NICHOLAS &amp; SHEA HOFFMAN</t>
  </si>
  <si>
    <t xml:space="preserve">24190 N 84TH ST </t>
  </si>
  <si>
    <t>PINNACLE PEAK ESTATES</t>
  </si>
  <si>
    <t>R-70</t>
  </si>
  <si>
    <t>PINNACLE PEAK ELEMENTARY SCHOOL</t>
  </si>
  <si>
    <t>JPB DEV CORP</t>
  </si>
  <si>
    <t>HOFFMAN NICHOLAS &amp; SHEA</t>
  </si>
  <si>
    <t>FUSSELL FAMILY TRUST</t>
  </si>
  <si>
    <t>WINNIE</t>
  </si>
  <si>
    <t>FUSSELL</t>
  </si>
  <si>
    <t xml:space="preserve">8102 W VIA DEL SOL </t>
  </si>
  <si>
    <t>FLETCHER HEIGHTS PHASE 2A AMD</t>
  </si>
  <si>
    <t>RODRIGUEZ ARMANDO &amp; T TRUST</t>
  </si>
  <si>
    <t>FUSSELL RONALD V &amp; WINNIE J</t>
  </si>
  <si>
    <t>KATHERINE &amp; JAMES DENISON</t>
  </si>
  <si>
    <t xml:space="preserve">3823 E EMELITA AVE </t>
  </si>
  <si>
    <t>STONEBRIDGE ESTATES LOT 1-104 TR A B</t>
  </si>
  <si>
    <t>STONEBRIDGE ESTATES</t>
  </si>
  <si>
    <t>BRENCHLEY DAVID &amp; REBECCA</t>
  </si>
  <si>
    <t>DENISON KATHERINE &amp; JAMES</t>
  </si>
  <si>
    <t>KURT</t>
  </si>
  <si>
    <t>KRAUSE</t>
  </si>
  <si>
    <t>KURT KRAUSE</t>
  </si>
  <si>
    <t xml:space="preserve">1252 N JACKSON ST </t>
  </si>
  <si>
    <t>EL DORADO LAKES GOLF COMMUNITY TRACT E</t>
  </si>
  <si>
    <t>PLAYA DEL REY ELEMENTARY SCHOOL</t>
  </si>
  <si>
    <t>DESAUTEL DEBRA</t>
  </si>
  <si>
    <t>KRAUSE KURT D</t>
  </si>
  <si>
    <t>SILVIA</t>
  </si>
  <si>
    <t>CORY &amp; SILVIA HANCOCK</t>
  </si>
  <si>
    <t xml:space="preserve">14306 W SHAW BUTTE DR </t>
  </si>
  <si>
    <t>SLP PROPERTY GROUP LLC</t>
  </si>
  <si>
    <t>RADIANT FIN'L GROUP LLC</t>
  </si>
  <si>
    <t>HANCOCK CORY S &amp; SILVIA K</t>
  </si>
  <si>
    <t>DOROTHY</t>
  </si>
  <si>
    <t>RICHARD &amp; DOROTHY HARRIS</t>
  </si>
  <si>
    <t xml:space="preserve">4238 N 162ND AVE </t>
  </si>
  <si>
    <t>PALM VALLEY PHASE 5 PARCELS 18 THRU 22</t>
  </si>
  <si>
    <t>KINGALI WAY</t>
  </si>
  <si>
    <t>DRAPER UT 84020</t>
  </si>
  <si>
    <t>HARRIS RICHARD W &amp; DOROTHY G</t>
  </si>
  <si>
    <t>BMO HARRIS BK NA</t>
  </si>
  <si>
    <t>CHICAGO IL 60690</t>
  </si>
  <si>
    <t>RICHARD W HARRIS</t>
  </si>
  <si>
    <t>DOROTHY G HARRIS</t>
  </si>
  <si>
    <t>JANUS</t>
  </si>
  <si>
    <t>AARON &amp; DIANA JANUS</t>
  </si>
  <si>
    <t xml:space="preserve">18635 E SUPERSTITION DR </t>
  </si>
  <si>
    <t>CORTINA PARCEL 1</t>
  </si>
  <si>
    <t>BAUER TERI E</t>
  </si>
  <si>
    <t>JANUS AARON J &amp; DIANA M</t>
  </si>
  <si>
    <t>TISCHER</t>
  </si>
  <si>
    <t>TODD &amp; MICHELLE TISCHER</t>
  </si>
  <si>
    <t xml:space="preserve">4069 E BRECKENRIDGE WAY </t>
  </si>
  <si>
    <t>SUPERSTITION HIGHLANDS</t>
  </si>
  <si>
    <t>MISTICO VINCENT J</t>
  </si>
  <si>
    <t>LENDERFI INC</t>
  </si>
  <si>
    <t>TISCHER TODD &amp; MICHELLE</t>
  </si>
  <si>
    <t>ARNAUD</t>
  </si>
  <si>
    <t>LONGEAU</t>
  </si>
  <si>
    <t>MELISA</t>
  </si>
  <si>
    <t>ARNAUD &amp; MELISA LONGEAU</t>
  </si>
  <si>
    <t xml:space="preserve">3908 W PIUTE AVE </t>
  </si>
  <si>
    <t>VISION HILL ESTATES</t>
  </si>
  <si>
    <t>VISION HILLS LLC</t>
  </si>
  <si>
    <t>LONGEAU ARNAUD J</t>
  </si>
  <si>
    <t>FORSHT</t>
  </si>
  <si>
    <t>RAE</t>
  </si>
  <si>
    <t>FORSHT &amp; DEANNA RAE</t>
  </si>
  <si>
    <t xml:space="preserve">19807 W MITCHELL CT </t>
  </si>
  <si>
    <t>PASQUALETTI MOUNTAIN RANCH PHASE 2 AND 3</t>
  </si>
  <si>
    <t>FORSHT DENNIS RAY &amp; DEANNA RA</t>
  </si>
  <si>
    <t>COMPASS BK</t>
  </si>
  <si>
    <t>FORSHT DENNIS R &amp; DEANNA R</t>
  </si>
  <si>
    <t>SCHELB</t>
  </si>
  <si>
    <t>ROBERT SCHELB</t>
  </si>
  <si>
    <t xml:space="preserve">19825 N 94TH LN </t>
  </si>
  <si>
    <t>MONTEREY GREENS AT WESTBROOK VILLAGE LOT</t>
  </si>
  <si>
    <t>MONTEREY GREENS AT WESTBROOK VILLAGE</t>
  </si>
  <si>
    <t>BURTON DOROTHY C</t>
  </si>
  <si>
    <t>SCHELB ROBERT J JR</t>
  </si>
  <si>
    <t>ROBERT J SCHELB JR</t>
  </si>
  <si>
    <t>NESS</t>
  </si>
  <si>
    <t>CONSUELO</t>
  </si>
  <si>
    <t>DELCONSUELO</t>
  </si>
  <si>
    <t>CONSUELO ALLAN &amp; MARIA DELDELCONSUELO</t>
  </si>
  <si>
    <t xml:space="preserve">13910 W TRAIL RIDGE DR </t>
  </si>
  <si>
    <t>NORDSTROM LIVING TRUST</t>
  </si>
  <si>
    <t>NESS ALLAN &amp; MARIA D</t>
  </si>
  <si>
    <t>ALLAN NESS</t>
  </si>
  <si>
    <t>DEL CONSUELO NESS</t>
  </si>
  <si>
    <t>VAUGHAN</t>
  </si>
  <si>
    <t>WILLIAM &amp; BARBARA VAUGHAN</t>
  </si>
  <si>
    <t xml:space="preserve">15323 W ROBERTSON DR </t>
  </si>
  <si>
    <t>SUN CITY WEST UNIT 58</t>
  </si>
  <si>
    <t>HOFFMANN SHIRLEY N T T</t>
  </si>
  <si>
    <t>GUARANTY TR CO</t>
  </si>
  <si>
    <t>VAUGHAN WILLIAM J &amp; BARBARA N</t>
  </si>
  <si>
    <t>BJORKLUND</t>
  </si>
  <si>
    <t>JAMES &amp; MICHELLE BJORKLUND</t>
  </si>
  <si>
    <t xml:space="preserve">14219 W HARVARD ST </t>
  </si>
  <si>
    <t>COTTAGES AT PALM VALLEY</t>
  </si>
  <si>
    <t>EASTIN DONNA J</t>
  </si>
  <si>
    <t>BJORKLUND JAMES S &amp; MICHELLE</t>
  </si>
  <si>
    <t>BARRON FAMILY TRUST</t>
  </si>
  <si>
    <t>BARRON</t>
  </si>
  <si>
    <t xml:space="preserve">12707 W ROVEY AVE </t>
  </si>
  <si>
    <t>BETHANY ESTATES SOUTH AMD</t>
  </si>
  <si>
    <t>BETHANY ESTATES SOUTH</t>
  </si>
  <si>
    <t>BARRON FRANK B III &amp; DANIELLE S</t>
  </si>
  <si>
    <t>RICHARDSON</t>
  </si>
  <si>
    <t>GEORGE &amp; TERESA RICHARDSON</t>
  </si>
  <si>
    <t xml:space="preserve">21539 E PUESTA DEL SOL </t>
  </si>
  <si>
    <t>VILLAGES AT QUEEN CREEK PARCEL 2</t>
  </si>
  <si>
    <t>WTD HOMES &amp; DESIGN LLC</t>
  </si>
  <si>
    <t>RICHARDSON GEORGE W</t>
  </si>
  <si>
    <t>MICKANEN</t>
  </si>
  <si>
    <t>DAVID &amp; ERIKA MICKANEN</t>
  </si>
  <si>
    <t xml:space="preserve">2105 S MARBLE ST </t>
  </si>
  <si>
    <t>R128</t>
  </si>
  <si>
    <t>LOUGHRAN M P &amp; M M TRUST</t>
  </si>
  <si>
    <t>MICKANEN DAVID E</t>
  </si>
  <si>
    <t>ROE</t>
  </si>
  <si>
    <t>CATHERMER-ROE</t>
  </si>
  <si>
    <t>JAMES ROE &amp; JULIE CATHERMER-ROE</t>
  </si>
  <si>
    <t xml:space="preserve">2615 E VALENCIA ST </t>
  </si>
  <si>
    <t>AGRITOPIA PHASE 1 REPLAT</t>
  </si>
  <si>
    <t>SMITH MARK D &amp; SHERI M</t>
  </si>
  <si>
    <t>ROE JAMES R</t>
  </si>
  <si>
    <t>CATHEMER-ROE JULIE M</t>
  </si>
  <si>
    <t xml:space="preserve">19167 E REINS RD </t>
  </si>
  <si>
    <t>SOSSAMAN ESTATES 3 PHASE A</t>
  </si>
  <si>
    <t>HEMANDEZ DAVID A</t>
  </si>
  <si>
    <t>SAAD</t>
  </si>
  <si>
    <t>JONI</t>
  </si>
  <si>
    <t>THOMAS &amp; JONI SAAD</t>
  </si>
  <si>
    <t xml:space="preserve">20288 N 52ND DR </t>
  </si>
  <si>
    <t>ARROWHEAD LAKES UNIT 8A</t>
  </si>
  <si>
    <t>ARROWHEAD LAKES</t>
  </si>
  <si>
    <t>LIPTON JACK</t>
  </si>
  <si>
    <t>SAAD THOMAS J</t>
  </si>
  <si>
    <t>HAAS</t>
  </si>
  <si>
    <t>JEFFREY HAAS &amp; SAMANTHA ANDERS</t>
  </si>
  <si>
    <t xml:space="preserve">22314 E CHERRYWOOD DR </t>
  </si>
  <si>
    <t>JEFFREY HAAS</t>
  </si>
  <si>
    <t>SAMANTHA ANDERS</t>
  </si>
  <si>
    <t>MELVA SAATHOFF LIVING TRUST &amp; SAATHOFF K R</t>
  </si>
  <si>
    <t>MELVA SAATHOFF</t>
  </si>
  <si>
    <t xml:space="preserve">3223 W REDBIRD RD </t>
  </si>
  <si>
    <t>ARIZONA HILLCREST</t>
  </si>
  <si>
    <t>LEEPER DAVE</t>
  </si>
  <si>
    <t>SAATHOFF KENNETH R &amp; MELVA</t>
  </si>
  <si>
    <t>MATHEWS-KING</t>
  </si>
  <si>
    <t>BRANDON KING &amp; HEATHER MATHEWS-KING</t>
  </si>
  <si>
    <t xml:space="preserve">14817 S 24TH ST </t>
  </si>
  <si>
    <t>DESERT BLUFFS AT MOUNTAIN PARK RANCH</t>
  </si>
  <si>
    <t>DESERT BLUFFS AT MOUNTAIN PARK RANCH EAST</t>
  </si>
  <si>
    <t>KYRENE MONTE VISTA SCHOOL</t>
  </si>
  <si>
    <t>NELSON MATTHEW E</t>
  </si>
  <si>
    <t>KING BRANDON S</t>
  </si>
  <si>
    <t>MATHEWS-KING HEATHER R</t>
  </si>
  <si>
    <t>BALDWIN</t>
  </si>
  <si>
    <t>JOSEPH &amp; SHEILA BALDWIN</t>
  </si>
  <si>
    <t xml:space="preserve">4137 E ASHURST DR </t>
  </si>
  <si>
    <t>PECOS WEST LOT 1-391 DRAINAGE WAY</t>
  </si>
  <si>
    <t>PECOS WEST</t>
  </si>
  <si>
    <t>TOBIN BRIAN L</t>
  </si>
  <si>
    <t>BALDWIN JOSEPH R &amp; SHEILA F</t>
  </si>
  <si>
    <t>DURGA</t>
  </si>
  <si>
    <t>MANDI</t>
  </si>
  <si>
    <t>TIMOTHY &amp; MANDI DURGA</t>
  </si>
  <si>
    <t xml:space="preserve">13204 N 177TH AVE </t>
  </si>
  <si>
    <t>ENCORE GROUP LLC</t>
  </si>
  <si>
    <t>DURGA TIMOTHY W JR &amp; MANDI J</t>
  </si>
  <si>
    <t>LEO</t>
  </si>
  <si>
    <t>GOSSON</t>
  </si>
  <si>
    <t>LEO GOSSON</t>
  </si>
  <si>
    <t xml:space="preserve">15206 E RUSTY NAIL CT </t>
  </si>
  <si>
    <t>FOUNTAIN HILLS AZ FP 506A</t>
  </si>
  <si>
    <t>BELL ERIC B</t>
  </si>
  <si>
    <t>AVERETT</t>
  </si>
  <si>
    <t>AVERETT ALLEN</t>
  </si>
  <si>
    <t xml:space="preserve">21701 S 222ND CT </t>
  </si>
  <si>
    <t>ALLEN AVERETT M</t>
  </si>
  <si>
    <t>FREDERIK</t>
  </si>
  <si>
    <t>PIORO</t>
  </si>
  <si>
    <t>FREDERIK &amp; DENISE PIORO</t>
  </si>
  <si>
    <t xml:space="preserve">4238 E LINDA LN </t>
  </si>
  <si>
    <t>HIGHLAND GROVES AT MORRISON RANCH</t>
  </si>
  <si>
    <t>KREDELL GREGORY &amp; PAMELA</t>
  </si>
  <si>
    <t>UNITED WHOLESALE MORTGAGE</t>
  </si>
  <si>
    <t>PIORO FREDERIK &amp; DENISE L</t>
  </si>
  <si>
    <t>ELTON</t>
  </si>
  <si>
    <t>MORRISON</t>
  </si>
  <si>
    <t>TISHA</t>
  </si>
  <si>
    <t>ELTON &amp; TISHA MORRISON</t>
  </si>
  <si>
    <t xml:space="preserve">2163 E CARLA VISTA PL </t>
  </si>
  <si>
    <t>MAMMOTH PARK</t>
  </si>
  <si>
    <t>MCNEIL ANDREW C</t>
  </si>
  <si>
    <t>MORRISON ELTON J &amp; TISHA B</t>
  </si>
  <si>
    <t>LANTAGNE</t>
  </si>
  <si>
    <t>ROBERT &amp; KAREN LANTAGNE</t>
  </si>
  <si>
    <t xml:space="preserve">1231 W ISLANDIA DR </t>
  </si>
  <si>
    <t>CATALINA BAY AT THE ISLANDS UNIT 4</t>
  </si>
  <si>
    <t>CATALINA BAY AT THE ISLANDS</t>
  </si>
  <si>
    <t>PHELPS FAMILY LIVING TRUST</t>
  </si>
  <si>
    <t>LANTAGNE ROBERT A &amp; KAREN M</t>
  </si>
  <si>
    <t>VELASCO</t>
  </si>
  <si>
    <t>KARLA</t>
  </si>
  <si>
    <t>ANDREW &amp; KARLA VELASCO</t>
  </si>
  <si>
    <t xml:space="preserve">1180 W GERONIMO PL </t>
  </si>
  <si>
    <t>BLAKEMAN RANCH UNIT 1</t>
  </si>
  <si>
    <t>BLAKEMAN RANCH</t>
  </si>
  <si>
    <t>ESCUSA CATALINA M</t>
  </si>
  <si>
    <t>VELASCO ANDREW S &amp; KARLA A</t>
  </si>
  <si>
    <t>KARLA A VELASCO</t>
  </si>
  <si>
    <t>ANDREW S VELASCO</t>
  </si>
  <si>
    <t>RENAY</t>
  </si>
  <si>
    <t>BRENT &amp; RENAY OLSON</t>
  </si>
  <si>
    <t xml:space="preserve">17816 W IVY LN </t>
  </si>
  <si>
    <t>BROWN TYLER E</t>
  </si>
  <si>
    <t>OLSON BRENT</t>
  </si>
  <si>
    <t>LUCAS</t>
  </si>
  <si>
    <t>DOUGLAS LUCAS &amp; BETHANY LINDSAY</t>
  </si>
  <si>
    <t xml:space="preserve">2258 E MALLARD CT </t>
  </si>
  <si>
    <t>TANGLEWOOD COVE AT VAL VISTA LAKES  LOT</t>
  </si>
  <si>
    <t>TANGLEWOOD COVE AT VALLEY VISTA LAKES</t>
  </si>
  <si>
    <t>VAL VISTA LAKES ELEMENTARY SCHOOL</t>
  </si>
  <si>
    <t>LILIKES FRED F</t>
  </si>
  <si>
    <t>BLU MTG</t>
  </si>
  <si>
    <t>LUCAS DOUGLAS J</t>
  </si>
  <si>
    <t>LINDSAY BETHANY</t>
  </si>
  <si>
    <t>PHILLIPS HANSON TRUST</t>
  </si>
  <si>
    <t>PHILLIPS HANSON</t>
  </si>
  <si>
    <t xml:space="preserve">15495 N 177TH DR </t>
  </si>
  <si>
    <t>ERSPAMER FAMILY TRUST</t>
  </si>
  <si>
    <t>FIRST DIRECT LENDING</t>
  </si>
  <si>
    <t>HANSON EDWARD G</t>
  </si>
  <si>
    <t>PHILLIPS JULIA B</t>
  </si>
  <si>
    <t>SCHLEDER</t>
  </si>
  <si>
    <t>ELISSA</t>
  </si>
  <si>
    <t>GABRIEL &amp; ELISSA SCHLEDER</t>
  </si>
  <si>
    <t xml:space="preserve">16084 W MERCER LN </t>
  </si>
  <si>
    <t>GREER RANCH SOUTH PARCEL 19</t>
  </si>
  <si>
    <t>ST AUBYN ANTHONY T</t>
  </si>
  <si>
    <t>SCHLEDER GABRIEL WILLIAM</t>
  </si>
  <si>
    <t>PENNY</t>
  </si>
  <si>
    <t>TINGLE</t>
  </si>
  <si>
    <t>GRECO</t>
  </si>
  <si>
    <t>PENNY TINGLE &amp; MICHAEL GRECO</t>
  </si>
  <si>
    <t xml:space="preserve">18518 W SAN MIGUEL AVE </t>
  </si>
  <si>
    <t>TERRANOVA SHIOW W</t>
  </si>
  <si>
    <t>TINGLE PENNY L</t>
  </si>
  <si>
    <t>GRECO MICHAEL E</t>
  </si>
  <si>
    <t>DEES</t>
  </si>
  <si>
    <t>WILLIAM DEES</t>
  </si>
  <si>
    <t xml:space="preserve">839 N ACACIA </t>
  </si>
  <si>
    <t>TIERRA ESTE PARK 1</t>
  </si>
  <si>
    <t>TIERRA ESTE PARK</t>
  </si>
  <si>
    <t>WILKINS PAMELA TRUST</t>
  </si>
  <si>
    <t>DEES WILLIAM WAYNE</t>
  </si>
  <si>
    <t>WILLIAM W DEES</t>
  </si>
  <si>
    <t>PAYNICH</t>
  </si>
  <si>
    <t>MICHAEL &amp; SANDRA PAYNICH</t>
  </si>
  <si>
    <t xml:space="preserve">402 N NEUMAN PL </t>
  </si>
  <si>
    <t>DOBSON PLACE PARCEL 2</t>
  </si>
  <si>
    <t>DOBSON PLACE</t>
  </si>
  <si>
    <t>PAYNICH BRYAN S</t>
  </si>
  <si>
    <t>PAYNICH MICHAEL V &amp; SANDRA A</t>
  </si>
  <si>
    <t>GATLIN</t>
  </si>
  <si>
    <t>VIRGINA</t>
  </si>
  <si>
    <t>REYNOLDS-GATLIN</t>
  </si>
  <si>
    <t>EDWARD GATLIN &amp; VIRGINA REYNOLDS-GATLIN</t>
  </si>
  <si>
    <t xml:space="preserve">7835 E WINDROSE DR </t>
  </si>
  <si>
    <t>C081</t>
  </si>
  <si>
    <t>BUENAVANTE 2 LOT 199-342 TR K</t>
  </si>
  <si>
    <t>BUENAVANTE</t>
  </si>
  <si>
    <t>SEDI MEHRDAD</t>
  </si>
  <si>
    <t>GATLIN EDWARD M</t>
  </si>
  <si>
    <t>REYNOLDS-GATLIN VIRGINIA L</t>
  </si>
  <si>
    <t>THORP</t>
  </si>
  <si>
    <t>WARD THORP</t>
  </si>
  <si>
    <t xml:space="preserve">2249 E GALILEO DR </t>
  </si>
  <si>
    <t>MOUNTAINWOOD PARCEL D</t>
  </si>
  <si>
    <t>THORP WARD A</t>
  </si>
  <si>
    <t>VALENCE</t>
  </si>
  <si>
    <t>JOHN &amp; EDNA VALENCE</t>
  </si>
  <si>
    <t xml:space="preserve">18184 W DEVONSHIRE AVE </t>
  </si>
  <si>
    <t>VALENCE JOHN A &amp; EDNA</t>
  </si>
  <si>
    <t>FREGOSO</t>
  </si>
  <si>
    <t>LUCAS &amp; GUADALUPE FREGOSO</t>
  </si>
  <si>
    <t xml:space="preserve">18255 W BANFF LN </t>
  </si>
  <si>
    <t>SIERRA MONTANA PARCEL 5</t>
  </si>
  <si>
    <t>R &amp; K IN GOD WE TRUST</t>
  </si>
  <si>
    <t>FREGOSO LUCAS &amp; GUADALUPE</t>
  </si>
  <si>
    <t>FROH</t>
  </si>
  <si>
    <t>LENA</t>
  </si>
  <si>
    <t>KEVIN &amp; LENA FROH</t>
  </si>
  <si>
    <t xml:space="preserve">15738 W WILSHIRE DR </t>
  </si>
  <si>
    <t>ON Q FIN'L</t>
  </si>
  <si>
    <t>KEVIN FROH</t>
  </si>
  <si>
    <t>LENA FROH</t>
  </si>
  <si>
    <t>ROOS</t>
  </si>
  <si>
    <t>SHARMEN</t>
  </si>
  <si>
    <t>PHILIP &amp; SHARMEN ROOS</t>
  </si>
  <si>
    <t xml:space="preserve">9095 E POINSETTIA DR </t>
  </si>
  <si>
    <t>TRAILSIDE AT MANZANITA RANCH LOT 1-130 T</t>
  </si>
  <si>
    <t>TRAILSIDE AT MANZANITA RANCH</t>
  </si>
  <si>
    <t>PHILLIPS M C &amp; L D TRUST</t>
  </si>
  <si>
    <t>ROOS PHILIP H</t>
  </si>
  <si>
    <t>KRAGER</t>
  </si>
  <si>
    <t>KEANE</t>
  </si>
  <si>
    <t>STEPHEN KRAGER &amp; JEANETTE KEANE</t>
  </si>
  <si>
    <t xml:space="preserve">14940 N 94TH PL </t>
  </si>
  <si>
    <t>MONTAGE 2</t>
  </si>
  <si>
    <t>MONTAGE</t>
  </si>
  <si>
    <t>FELTY TIMOTHY J &amp; KRISTIN L</t>
  </si>
  <si>
    <t>KRAGER STEPHEN M</t>
  </si>
  <si>
    <t>KEANE JEANETTE L</t>
  </si>
  <si>
    <t>NELSON ELLEN LIVING TRUST</t>
  </si>
  <si>
    <t>NELSONELLEN</t>
  </si>
  <si>
    <t xml:space="preserve">5352 W CINDY ST </t>
  </si>
  <si>
    <t xml:space="preserve">35875 S JOSHUA PL </t>
  </si>
  <si>
    <t>MONTE VISTA NO 37</t>
  </si>
  <si>
    <t>MONTE VISTA</t>
  </si>
  <si>
    <t>PITTMAN MARIA LIVING TRUST</t>
  </si>
  <si>
    <t>NELSON ERIC J</t>
  </si>
  <si>
    <t>MCDONALD SAMANTHA J</t>
  </si>
  <si>
    <t>LITMAN</t>
  </si>
  <si>
    <t>BRIAN &amp; DEBRA LITMAN</t>
  </si>
  <si>
    <t xml:space="preserve">14787 W ADELINE WAY </t>
  </si>
  <si>
    <t>LITMAN BRIAN G &amp; DEBRA A</t>
  </si>
  <si>
    <t>QUEDDENG</t>
  </si>
  <si>
    <t>ERIC QUEDDENG</t>
  </si>
  <si>
    <t xml:space="preserve">1437 W CHILTON AVE </t>
  </si>
  <si>
    <t>VILLAGES AT NORTH SHORE</t>
  </si>
  <si>
    <t>WARD BENJAMIN &amp; TJARDA</t>
  </si>
  <si>
    <t>QUEDDENG ERIC</t>
  </si>
  <si>
    <t>SOWINSKI FAMILY TRUST</t>
  </si>
  <si>
    <t>SOWINSKI</t>
  </si>
  <si>
    <t xml:space="preserve">7639 W DONALD DR </t>
  </si>
  <si>
    <t>FLETCHER HEIGHTS PHASE 2B-1 AND 2B-2</t>
  </si>
  <si>
    <t>STEELE FAMILY TRUST</t>
  </si>
  <si>
    <t>BRENTWOOD TN 37207</t>
  </si>
  <si>
    <t>SOWINSKI STEVEN</t>
  </si>
  <si>
    <t>STEVEN SOWINSKI</t>
  </si>
  <si>
    <t>MARIA ISTOMINA</t>
  </si>
  <si>
    <t>LARRY &amp; MARY FRAZIER</t>
  </si>
  <si>
    <t xml:space="preserve">1107 N BARKLEY </t>
  </si>
  <si>
    <t>ARDEN ESTS 1</t>
  </si>
  <si>
    <t>ARDEN ESTATES</t>
  </si>
  <si>
    <t>LEGRADY SHARON L</t>
  </si>
  <si>
    <t>FRAZIER LARRY W &amp; MARY</t>
  </si>
  <si>
    <t>OVERHOLT</t>
  </si>
  <si>
    <t>QUAM</t>
  </si>
  <si>
    <t>OVERHOLT &amp; DEBORAH QUAM</t>
  </si>
  <si>
    <t xml:space="preserve">5344 E CALLE DE BACA </t>
  </si>
  <si>
    <t>GOLDFARB MARK</t>
  </si>
  <si>
    <t>OVERHOLT JAMES H</t>
  </si>
  <si>
    <t>GARRET</t>
  </si>
  <si>
    <t>GRANATA</t>
  </si>
  <si>
    <t>ANNA</t>
  </si>
  <si>
    <t>GARRET &amp; ANNA GRANATA</t>
  </si>
  <si>
    <t xml:space="preserve">7829 W CHAMA DR </t>
  </si>
  <si>
    <t>SILVER CANYON RANCH UNIT 1</t>
  </si>
  <si>
    <t>VISTA MONTANA II</t>
  </si>
  <si>
    <t>GRANATA GARRET MICHAEL</t>
  </si>
  <si>
    <t>GRANATA ANNA T</t>
  </si>
  <si>
    <t>GRANATA GARRET M &amp; ANNA T</t>
  </si>
  <si>
    <t>JANESE</t>
  </si>
  <si>
    <t>VINCENT &amp; JANESE MCGRATH</t>
  </si>
  <si>
    <t xml:space="preserve">14167 W DESERT GLEN DR </t>
  </si>
  <si>
    <t>SUN CITY WEST 34  LOT 1-60 TR A-C</t>
  </si>
  <si>
    <t>YOUNG ROBERTA A</t>
  </si>
  <si>
    <t>MCGRATH VINCENT T &amp; JANESE R</t>
  </si>
  <si>
    <t>VINCENT T MCGRATH</t>
  </si>
  <si>
    <t>JANESE R MCGRATH</t>
  </si>
  <si>
    <t>JASON RICE</t>
  </si>
  <si>
    <t xml:space="preserve">4107 E HARRISON ST </t>
  </si>
  <si>
    <t>ASHLEY HEIGHTS</t>
  </si>
  <si>
    <t>KERIVAN ALLISON M TRUSTEE</t>
  </si>
  <si>
    <t>RICE JASON E</t>
  </si>
  <si>
    <t>BARTSCH</t>
  </si>
  <si>
    <t>THOMAS &amp; DIANE BARTSCH</t>
  </si>
  <si>
    <t xml:space="preserve">2720 E CATHEDRAL ROCK DR </t>
  </si>
  <si>
    <t>MOUNTAIN PARK RANCH PARCEL 37 PH B LT 1-</t>
  </si>
  <si>
    <t>EVANS MELISSA A LIVING TRUST</t>
  </si>
  <si>
    <t>MAJESTIC HM LNS</t>
  </si>
  <si>
    <t>BARTSCH THOMAS &amp; DIANE</t>
  </si>
  <si>
    <t>SABRENA</t>
  </si>
  <si>
    <t>SCHMELLA</t>
  </si>
  <si>
    <t>SKEET</t>
  </si>
  <si>
    <t>SABRENA &amp; SKEET SCHMELLA</t>
  </si>
  <si>
    <t xml:space="preserve">13704 N 151ST LN </t>
  </si>
  <si>
    <t>MARLEY PARK PARCEL 4</t>
  </si>
  <si>
    <t>SCHMELLA 3 LLC</t>
  </si>
  <si>
    <t>SCHMELLA SABRENA &amp; SKEET</t>
  </si>
  <si>
    <t>SIGIFREDO</t>
  </si>
  <si>
    <t>SEPULVEDA</t>
  </si>
  <si>
    <t>SIGIFREDO SEPULVEDA</t>
  </si>
  <si>
    <t xml:space="preserve">8735 N 182ND LN </t>
  </si>
  <si>
    <t>WHITE TANK FOOTHILLS PARCEL 6</t>
  </si>
  <si>
    <t>ALLEN BRYAN T</t>
  </si>
  <si>
    <t>SEPULVEDA SIGIFREDO</t>
  </si>
  <si>
    <t>ILYA</t>
  </si>
  <si>
    <t>JOHN &amp; ILYA BROWN</t>
  </si>
  <si>
    <t xml:space="preserve">14152 W MANDALAY LN </t>
  </si>
  <si>
    <t>SIERRA VERDE PARCEL 3</t>
  </si>
  <si>
    <t>COTTON SHAWN A &amp; MONIQUE</t>
  </si>
  <si>
    <t>BROWN JOHN K &amp; ILYA Y</t>
  </si>
  <si>
    <t>DION</t>
  </si>
  <si>
    <t>CHAVEZ</t>
  </si>
  <si>
    <t>JESCHKE</t>
  </si>
  <si>
    <t>DION CHAVEZ &amp; HEATHER JESCHKE</t>
  </si>
  <si>
    <t xml:space="preserve">15453 W VENTURA ST </t>
  </si>
  <si>
    <t>COTTON GIN</t>
  </si>
  <si>
    <t>SANALINA</t>
  </si>
  <si>
    <t>CLEMENT INVESTMENTS LLC</t>
  </si>
  <si>
    <t>SAN RAMON CA 94583-1382</t>
  </si>
  <si>
    <t>DION CHAVEZ</t>
  </si>
  <si>
    <t>HEATHER JESCHKE</t>
  </si>
  <si>
    <t>MARK &amp; CHRISTINA LANCE</t>
  </si>
  <si>
    <t xml:space="preserve">18208 E MEWS RD </t>
  </si>
  <si>
    <t>KEENAN FAMILY HOMES INC</t>
  </si>
  <si>
    <t>LANCE MARK &amp; CHRISTINA</t>
  </si>
  <si>
    <t>MARK LANCE</t>
  </si>
  <si>
    <t>CHRISTINA LANCE</t>
  </si>
  <si>
    <t>FENDENHEIM FAMILY TRUST</t>
  </si>
  <si>
    <t>FENDENHEIM FAMILY</t>
  </si>
  <si>
    <t xml:space="preserve">4557 E DOWNING ST </t>
  </si>
  <si>
    <t>STEIGLEMAN JEFFREY &amp; JILL</t>
  </si>
  <si>
    <t>FENDENHEIM JON</t>
  </si>
  <si>
    <t>RUMORE</t>
  </si>
  <si>
    <t>ANTHONY RUMORE</t>
  </si>
  <si>
    <t xml:space="preserve">30638 N 46TH ST </t>
  </si>
  <si>
    <t>H006</t>
  </si>
  <si>
    <t>DESERT FAIRWAYS AT TATUM RANCH</t>
  </si>
  <si>
    <t>WERTH MICHAEL &amp; JANE</t>
  </si>
  <si>
    <t>ROUNDPOINT MTG SVCNG</t>
  </si>
  <si>
    <t>CHARLOTTE NC 28217</t>
  </si>
  <si>
    <t>ANTHONY J RUMORE</t>
  </si>
  <si>
    <t>ARMSTRONG</t>
  </si>
  <si>
    <t>RICHARD &amp; CAROL ARMSTRONG</t>
  </si>
  <si>
    <t xml:space="preserve">7979 E PRINCESS DR #34 </t>
  </si>
  <si>
    <t>CROWN POINT 2</t>
  </si>
  <si>
    <t>CROWN POINT</t>
  </si>
  <si>
    <t>TURNER PHILLIP M</t>
  </si>
  <si>
    <t>ARMSTRONG RICHARD A &amp; CAROL A</t>
  </si>
  <si>
    <t>VAUGHN</t>
  </si>
  <si>
    <t>GARY &amp; BARBARA VAUGHN</t>
  </si>
  <si>
    <t xml:space="preserve">2336 E ROBIN LN </t>
  </si>
  <si>
    <t>MANOR AT FINLEY FARMS UNIT 2</t>
  </si>
  <si>
    <t>MANOR AT FINLEY FARMS</t>
  </si>
  <si>
    <t>GORKA MARY C TRUST</t>
  </si>
  <si>
    <t>FIRST INT'L BK&amp;TR</t>
  </si>
  <si>
    <t>VAUGHN GARY &amp; BARBARA A</t>
  </si>
  <si>
    <t>FOOR</t>
  </si>
  <si>
    <t>JOSEPH &amp; MICHELLE FOOR</t>
  </si>
  <si>
    <t xml:space="preserve">19617 E EMPEROR BLVD </t>
  </si>
  <si>
    <t>EMPEROR ESTATES PHASE 2</t>
  </si>
  <si>
    <t>GAD LLC</t>
  </si>
  <si>
    <t>PACIFIC UNION FINANCIAL LLC</t>
  </si>
  <si>
    <t>FOOR JOSEPH F &amp; MICHELLE A</t>
  </si>
  <si>
    <t>JOSEPH GERARD</t>
  </si>
  <si>
    <t xml:space="preserve">11249 E SYLVAN AVE </t>
  </si>
  <si>
    <t>MB FINANCIAL BANK NA</t>
  </si>
  <si>
    <t>GERARD JOSEPH M</t>
  </si>
  <si>
    <t>HADLEY</t>
  </si>
  <si>
    <t>AUSTIN-HADLEY</t>
  </si>
  <si>
    <t>SCOTT HADLEY &amp; CLAUDIA AUSTIN-HADLEY</t>
  </si>
  <si>
    <t xml:space="preserve">5427 N 82ND AVE </t>
  </si>
  <si>
    <t>EMERALD POINT AMD LOT 1-291 TR A-M P</t>
  </si>
  <si>
    <t>EMERALD POINT</t>
  </si>
  <si>
    <t>COYOTE RIDGE SCHOOL</t>
  </si>
  <si>
    <t>FRINK RONALD G &amp; SANDRA D</t>
  </si>
  <si>
    <t>HADLEY SCOTT A</t>
  </si>
  <si>
    <t>AUSTIN-HADLEY CLAUDIA E</t>
  </si>
  <si>
    <t>BRADLEY &amp; ROSEMARY SULLIVAN</t>
  </si>
  <si>
    <t xml:space="preserve">26907 N 45TH PL </t>
  </si>
  <si>
    <t>FRIEDI FAMILY TRUST</t>
  </si>
  <si>
    <t>CITRUS HEIGHTS CA 95610</t>
  </si>
  <si>
    <t>SULLIVAN BRADLEY R &amp; ROSEMARY</t>
  </si>
  <si>
    <t>BRADLEY R SULLIVAN</t>
  </si>
  <si>
    <t>ROSEMARY SULLIVAN</t>
  </si>
  <si>
    <t>MOSS FAMILY TRUST</t>
  </si>
  <si>
    <t>MOSS</t>
  </si>
  <si>
    <t xml:space="preserve">4408 E RIDGEWOOD LN </t>
  </si>
  <si>
    <t>SEVILLE PARCEL 11</t>
  </si>
  <si>
    <t>BELLAMONTE</t>
  </si>
  <si>
    <t>LEWIS ROY E</t>
  </si>
  <si>
    <t>MOSS RICHARD E &amp; SHARON L</t>
  </si>
  <si>
    <t>CREATE ESTATE LLC</t>
  </si>
  <si>
    <t>MILLER ZACHARY W &amp; CHRISTINE R</t>
  </si>
  <si>
    <t>STRONG</t>
  </si>
  <si>
    <t>FOWLER</t>
  </si>
  <si>
    <t>STRONG &amp; LINDA FOWLER</t>
  </si>
  <si>
    <t xml:space="preserve">34303 N 25TH DR </t>
  </si>
  <si>
    <t>AMBER HILLS</t>
  </si>
  <si>
    <t>STRONG WILLIAM C K</t>
  </si>
  <si>
    <t>STRONG TEDDY &amp; LINDA J F</t>
  </si>
  <si>
    <t>JAMES AND VALERIE BROWN LIVING TRUST</t>
  </si>
  <si>
    <t xml:space="preserve">18617 N 84TH DR </t>
  </si>
  <si>
    <t>TORREY PINES PHASE 1 AT WESTBROOK VILLAG</t>
  </si>
  <si>
    <t>TORREY PINES AT WESTBROOK VILLAGE</t>
  </si>
  <si>
    <t>KENT TRUST</t>
  </si>
  <si>
    <t>BROWN JAMES T JR &amp; VALERIE L</t>
  </si>
  <si>
    <t>BECKETT</t>
  </si>
  <si>
    <t>AGUIRRE</t>
  </si>
  <si>
    <t>BECKETT AGUIRRE</t>
  </si>
  <si>
    <t xml:space="preserve">8679 W MORTEN AVE </t>
  </si>
  <si>
    <t>C083</t>
  </si>
  <si>
    <t>ROVEY FARM ESTATES NORTH</t>
  </si>
  <si>
    <t>HAVIR SCOT A</t>
  </si>
  <si>
    <t>OWENS</t>
  </si>
  <si>
    <t>NORMAN &amp; SHERRY OWENS</t>
  </si>
  <si>
    <t xml:space="preserve">15375 W CORRINE DR </t>
  </si>
  <si>
    <t>MARLEY PARK PARCEL 6</t>
  </si>
  <si>
    <t>OWENS NORMAN E</t>
  </si>
  <si>
    <t>VANLIEW</t>
  </si>
  <si>
    <t>CHARLES VANLIEW &amp; REBECCA ALLISON</t>
  </si>
  <si>
    <t xml:space="preserve">5723 W COCHISE DR </t>
  </si>
  <si>
    <t>MARBRISA RANCH</t>
  </si>
  <si>
    <t>GRACA GLEN A &amp; ANDREA M</t>
  </si>
  <si>
    <t>VAN LIEW CHARLES P &amp; ALLISON</t>
  </si>
  <si>
    <t>DREGE</t>
  </si>
  <si>
    <t>JAMES DREGE</t>
  </si>
  <si>
    <t xml:space="preserve">17630 N SOMERSET DR </t>
  </si>
  <si>
    <t>C059</t>
  </si>
  <si>
    <t>SUN CITY GRAND-JASPER POINT</t>
  </si>
  <si>
    <t>ALTHOFF JOHN S &amp; TINA C TRUST</t>
  </si>
  <si>
    <t>DREGE JAMES L</t>
  </si>
  <si>
    <t>JIMENEZ</t>
  </si>
  <si>
    <t>JOSEPH &amp; HEIDI JIMENEZ</t>
  </si>
  <si>
    <t xml:space="preserve">3031 E MEGAN ST </t>
  </si>
  <si>
    <t>LYONS GATE PHASE 3 AND 4</t>
  </si>
  <si>
    <t>SOUTH PACIFIC FIN'L CORP</t>
  </si>
  <si>
    <t>JIMENEZ JOSEPH &amp; HEIDI</t>
  </si>
  <si>
    <t>HEILIGER</t>
  </si>
  <si>
    <t>GARY HEILIGER</t>
  </si>
  <si>
    <t xml:space="preserve">36342 N WILDFLOWER RD </t>
  </si>
  <si>
    <t>CAREFREE ROLLING HILLS 3</t>
  </si>
  <si>
    <t>CAREFREE ROLLING HILLS</t>
  </si>
  <si>
    <t>MASON RON</t>
  </si>
  <si>
    <t>WJ BRADLEY MTG CAP</t>
  </si>
  <si>
    <t>SANDY UT 84070</t>
  </si>
  <si>
    <t>HEILIGER GARY L</t>
  </si>
  <si>
    <t>HEILIGER LIVING TRUST (LT</t>
  </si>
  <si>
    <t>2590 PASEO DORADO LAKE HAVASU CITY AZ 86406-7761</t>
  </si>
  <si>
    <t>HEILIGER GARY L TRUST</t>
  </si>
  <si>
    <t>CONCENTINE</t>
  </si>
  <si>
    <t>WILLIAM &amp; RENEE CONCENTINE</t>
  </si>
  <si>
    <t xml:space="preserve">14272 W EDGEMONT AVE </t>
  </si>
  <si>
    <t>PALM VALLEY PHASE 2 PARCEL 2</t>
  </si>
  <si>
    <t>ELEGANCIA</t>
  </si>
  <si>
    <t>RODIECK SCOTT A</t>
  </si>
  <si>
    <t>CONCENTINE WILLIAM T</t>
  </si>
  <si>
    <t>BUCKLEY</t>
  </si>
  <si>
    <t>CHARLES &amp; BRENDA BUCKLEY</t>
  </si>
  <si>
    <t xml:space="preserve">2239 S BOCA </t>
  </si>
  <si>
    <t>FARIS DEBRA TRUST</t>
  </si>
  <si>
    <t>BUCKLEY CHARLES &amp; BRENDA</t>
  </si>
  <si>
    <t>CASSADY</t>
  </si>
  <si>
    <t>CASSANDRA CASSADY</t>
  </si>
  <si>
    <t xml:space="preserve">925 W JUNIPER AVE </t>
  </si>
  <si>
    <t>SONESTA ESTATES UNIT 2</t>
  </si>
  <si>
    <t>SONESTA ESTATES</t>
  </si>
  <si>
    <t>HAYES KENNETH &amp; MARIA A</t>
  </si>
  <si>
    <t>SCOTT JACK W</t>
  </si>
  <si>
    <t>CASSADY CASSANDRA B</t>
  </si>
  <si>
    <t>ZIPP</t>
  </si>
  <si>
    <t>SHERILYN</t>
  </si>
  <si>
    <t>ROBERT &amp; SHERILYN ZIPP</t>
  </si>
  <si>
    <t xml:space="preserve">18834 E FLINTLOCK DR </t>
  </si>
  <si>
    <t>NORDIN RONALD C</t>
  </si>
  <si>
    <t>ZIPP ROBERT R &amp; SHERILYN S R</t>
  </si>
  <si>
    <t>KIRAN</t>
  </si>
  <si>
    <t>MISHRA</t>
  </si>
  <si>
    <t>RICHARD GUTHRIE &amp; KIRAN MISHRA</t>
  </si>
  <si>
    <t xml:space="preserve">4833 N BARRANCO DR </t>
  </si>
  <si>
    <t>STOKER CHAD M</t>
  </si>
  <si>
    <t>GUTHRIE RICHARD V JR</t>
  </si>
  <si>
    <t>MISHRA KIRAN</t>
  </si>
  <si>
    <t>MADRIL</t>
  </si>
  <si>
    <t>ADRIAN &amp; AMY MADRIL</t>
  </si>
  <si>
    <t xml:space="preserve">16406 W PIMA ST </t>
  </si>
  <si>
    <t>VANDERBILT FARMS</t>
  </si>
  <si>
    <t>FRITSCH KATHRYN M</t>
  </si>
  <si>
    <t>MADRIL ADRIAN G &amp; AMY C</t>
  </si>
  <si>
    <t>ISAAC</t>
  </si>
  <si>
    <t>CHRISTMANN</t>
  </si>
  <si>
    <t>ISAAC SIMMONS &amp; KATHRYN CHRISTMANN</t>
  </si>
  <si>
    <t xml:space="preserve">15023 N 15TH AVE </t>
  </si>
  <si>
    <t>CORAL GABLES ESTATES UNIT 2 LOT 28-103 T</t>
  </si>
  <si>
    <t>CORAL GABLES ESTATES</t>
  </si>
  <si>
    <t>PAD-LD</t>
  </si>
  <si>
    <t>ROSE WAYNE L &amp; CECILIA R</t>
  </si>
  <si>
    <t>SIMMONS ISAAC P</t>
  </si>
  <si>
    <t>CHRISTMANN KATHRYN</t>
  </si>
  <si>
    <t>RACHEAL</t>
  </si>
  <si>
    <t>GILBERT LEE &amp; RACHEAL GILBERT</t>
  </si>
  <si>
    <t xml:space="preserve">15316 W BECKER LN </t>
  </si>
  <si>
    <t>NELSON LOREN R</t>
  </si>
  <si>
    <t>ORLANDO FL 32801</t>
  </si>
  <si>
    <t>GILBERT RONALD L JR &amp; RACHEAL</t>
  </si>
  <si>
    <t>RACHEAL GILBERT</t>
  </si>
  <si>
    <t>RONALD L GILBERT JR</t>
  </si>
  <si>
    <t>DOYLE</t>
  </si>
  <si>
    <t>HEBERT</t>
  </si>
  <si>
    <t>WOODARD</t>
  </si>
  <si>
    <t>DOYLE HEBERT &amp; YVONNE WOODARD</t>
  </si>
  <si>
    <t xml:space="preserve">877 W GROVE ST </t>
  </si>
  <si>
    <t xml:space="preserve">1105 E SUNNYSLOPE RD </t>
  </si>
  <si>
    <t>PETALUMA</t>
  </si>
  <si>
    <t>VILLAGE AT LITCHFIELD PARK PHASE 1 AMD</t>
  </si>
  <si>
    <t>KOLESNIKOV ALEXANDER &amp; ZINA</t>
  </si>
  <si>
    <t>HEBERT DOYLE</t>
  </si>
  <si>
    <t>WOODARD YVONNE</t>
  </si>
  <si>
    <t>TENNIE</t>
  </si>
  <si>
    <t>SAMUEL &amp; TENNIE HAYES</t>
  </si>
  <si>
    <t xml:space="preserve">3818 W BINGHAM DR </t>
  </si>
  <si>
    <t>ARROYO NORTE UNIT 4</t>
  </si>
  <si>
    <t>HAYES SAMUEL G &amp; TENNIE M</t>
  </si>
  <si>
    <t>PRICE</t>
  </si>
  <si>
    <t>DANNIEKA</t>
  </si>
  <si>
    <t>CLIFFORD &amp; DANNIEKA PRICE</t>
  </si>
  <si>
    <t xml:space="preserve">6115 S 31ST DR </t>
  </si>
  <si>
    <t>SOUTHERN VIEWS</t>
  </si>
  <si>
    <t>TURNER DAN &amp; SHEREEN</t>
  </si>
  <si>
    <t>PRICE CLIFFORD E &amp; DANNIEKA</t>
  </si>
  <si>
    <t>BILLINGTON</t>
  </si>
  <si>
    <t>JAMES &amp; VICKI BILLINGTON</t>
  </si>
  <si>
    <t xml:space="preserve">17502 W PINNACLE VISTA DR </t>
  </si>
  <si>
    <t>BILLINGTON JAMES L &amp; VICKI R</t>
  </si>
  <si>
    <t>ZISKA</t>
  </si>
  <si>
    <t>NICHOLAS ZISKA</t>
  </si>
  <si>
    <t xml:space="preserve">1609 E WALTANN LN </t>
  </si>
  <si>
    <t>RETREAT ON LOOKOUT MOUNTAIN  LOT 1-39 TR</t>
  </si>
  <si>
    <t>RETREAT ON LOOKOUT MOUNTAIN</t>
  </si>
  <si>
    <t>FISCHER BRUCE R &amp; ROBERTA</t>
  </si>
  <si>
    <t>ZISKA NICHOLAS P</t>
  </si>
  <si>
    <t>ZAFUTO</t>
  </si>
  <si>
    <t>JULIE ZAFUTO</t>
  </si>
  <si>
    <t xml:space="preserve">8937 N 13TH AVE </t>
  </si>
  <si>
    <t>SANDS CENTRAL</t>
  </si>
  <si>
    <t>BEMMAC LLC</t>
  </si>
  <si>
    <t>HOME PT FIN'L</t>
  </si>
  <si>
    <t>PARSIPPANY NJ 07054</t>
  </si>
  <si>
    <t>JULIE T ZAFUTO</t>
  </si>
  <si>
    <t>OSCAR</t>
  </si>
  <si>
    <t>OSCAR SUAREZ</t>
  </si>
  <si>
    <t xml:space="preserve">15843 N 6TH PL </t>
  </si>
  <si>
    <t>SANDAHL HOMES UNIT 4 LOT 274-329 TR A</t>
  </si>
  <si>
    <t>SANDAHL HOMES</t>
  </si>
  <si>
    <t>BALESTRIERI SALVATORE</t>
  </si>
  <si>
    <t>SUAREZ OSCAR O</t>
  </si>
  <si>
    <t>CASSARA</t>
  </si>
  <si>
    <t>CARLA &amp; JAMES CASSARA</t>
  </si>
  <si>
    <t xml:space="preserve">5080 E LONESOME TRL </t>
  </si>
  <si>
    <t>H026</t>
  </si>
  <si>
    <t>COLINA DEL NORTE</t>
  </si>
  <si>
    <t>WEAVER ROBERT</t>
  </si>
  <si>
    <t>CASSARA CARLA &amp; JAMES III</t>
  </si>
  <si>
    <t>MIX</t>
  </si>
  <si>
    <t>ALYSSA</t>
  </si>
  <si>
    <t>MIX &amp; ALYSSA MICHELLE</t>
  </si>
  <si>
    <t xml:space="preserve">1313 E PRINCETON AVE </t>
  </si>
  <si>
    <t>PARK VILLAGE UNIT 3-B AMD 1-33 40-118 13</t>
  </si>
  <si>
    <t>HARBAUGH STEVEN C &amp; MURS-ANN</t>
  </si>
  <si>
    <t>MIX TRAVIS A &amp; ALYSSA M</t>
  </si>
  <si>
    <t>ROBERTS</t>
  </si>
  <si>
    <t>BOBBY ROBERTS</t>
  </si>
  <si>
    <t xml:space="preserve">25934 N 165TH DR </t>
  </si>
  <si>
    <t>DESERT OASIS OF SURPRISE PARCEL B7</t>
  </si>
  <si>
    <t>BOYD BRIAN S</t>
  </si>
  <si>
    <t>BOBBY D ROBERTS JR</t>
  </si>
  <si>
    <t>KERRI</t>
  </si>
  <si>
    <t>RUNDLE</t>
  </si>
  <si>
    <t>KERRI &amp; DEREK RUNDLE</t>
  </si>
  <si>
    <t xml:space="preserve">17524 W LARKSPUR DR </t>
  </si>
  <si>
    <t>RUNDLE KERRI E &amp; DEREK M</t>
  </si>
  <si>
    <t>ROMERO</t>
  </si>
  <si>
    <t>CHASTYNE</t>
  </si>
  <si>
    <t>DAVID &amp; CHASTYNE ROMERO</t>
  </si>
  <si>
    <t xml:space="preserve">8204 W PONTIAC DR </t>
  </si>
  <si>
    <t>FLETCHER HEIGHTS PHASE 1C</t>
  </si>
  <si>
    <t>WAGNER JESSE D &amp; JULIE L</t>
  </si>
  <si>
    <t>ROMERO DAVID &amp; CHASTYNE</t>
  </si>
  <si>
    <t>ERNEST &amp; SARAH CALDERON</t>
  </si>
  <si>
    <t xml:space="preserve">3668 E FEATHER AVE </t>
  </si>
  <si>
    <t>CAROL RAE RANCH</t>
  </si>
  <si>
    <t>CAROL RAE RANCH ELEMENTARY SCHOOL</t>
  </si>
  <si>
    <t>RCD PROPERTIES LLC</t>
  </si>
  <si>
    <t>CALDERON ERNEST J &amp; SARAH A</t>
  </si>
  <si>
    <t>CAMILLA</t>
  </si>
  <si>
    <t>CHARLES &amp; CAMILLA CHAPMAN</t>
  </si>
  <si>
    <t xml:space="preserve">26010 S HOWARD DR </t>
  </si>
  <si>
    <t>SUN LAKES 16  LOT 1-209 TR A-D</t>
  </si>
  <si>
    <t>KOWADLO SHELDON N</t>
  </si>
  <si>
    <t>CHAPMAN CHARLES &amp; CAMILLA</t>
  </si>
  <si>
    <t>PIKE</t>
  </si>
  <si>
    <t>DAVID &amp; MELISSA PIKE</t>
  </si>
  <si>
    <t xml:space="preserve">18625 W WILLIAMS ST </t>
  </si>
  <si>
    <t>PIKE DAVID R &amp; MELISSA K</t>
  </si>
  <si>
    <t>MCCLURE</t>
  </si>
  <si>
    <t>KENT &amp; DOROTHY MCCLURE</t>
  </si>
  <si>
    <t xml:space="preserve">19511 E CALLE DE FLORES </t>
  </si>
  <si>
    <t>RANCHOS JARDINES UNIT 4</t>
  </si>
  <si>
    <t>HARDY JUSTIN D</t>
  </si>
  <si>
    <t>MCCLURE KENT &amp; DOROTHY</t>
  </si>
  <si>
    <t>PRISCILLA</t>
  </si>
  <si>
    <t>RICHARD &amp; PRISCILLA STOTTS</t>
  </si>
  <si>
    <t xml:space="preserve">17276 W MADISON ST </t>
  </si>
  <si>
    <t>CANYON TRAILS UNIT 4 WEST PARCEL C1</t>
  </si>
  <si>
    <t>GEILSER RALPH M FAMILY TRUST</t>
  </si>
  <si>
    <t>RICHARD STOTTS</t>
  </si>
  <si>
    <t>PRISCILLA STOTTS</t>
  </si>
  <si>
    <t>BANES</t>
  </si>
  <si>
    <t>STEPHEN BANES</t>
  </si>
  <si>
    <t xml:space="preserve">1806 W MENADOTA DR </t>
  </si>
  <si>
    <t>DESERT VALLEY ESTATES 4</t>
  </si>
  <si>
    <t>ESPERANZA ELEMENTARY SCHOOL</t>
  </si>
  <si>
    <t>COOPER BRAD A</t>
  </si>
  <si>
    <t>VERITAS FNDG</t>
  </si>
  <si>
    <t>NIDVALE UT 84047</t>
  </si>
  <si>
    <t>STEPHEN R BANES JR</t>
  </si>
  <si>
    <t>FISHER-TERRY</t>
  </si>
  <si>
    <t>ROBERT TERRY &amp; ROBIN FISHER-TERRY</t>
  </si>
  <si>
    <t xml:space="preserve">7415 W LOUISE DR </t>
  </si>
  <si>
    <t>HILLCREST RANCH PARCEL D</t>
  </si>
  <si>
    <t>ORCHID POINT II</t>
  </si>
  <si>
    <t>BRADLEY DANIEL A</t>
  </si>
  <si>
    <t>TERRY ROBERT M</t>
  </si>
  <si>
    <t>FISHER-TERRY ROBIN L</t>
  </si>
  <si>
    <t>HEFTY</t>
  </si>
  <si>
    <t>DAVID HEFTY</t>
  </si>
  <si>
    <t xml:space="preserve">4838 W KITTY HAWK </t>
  </si>
  <si>
    <t>TWELVE OAKS 4 LOT 601-844 TR A-E</t>
  </si>
  <si>
    <t>HALL CHRISTINA A &amp; JACE F</t>
  </si>
  <si>
    <t>HEFTY DAVID</t>
  </si>
  <si>
    <t>TEKO</t>
  </si>
  <si>
    <t>TEKO &amp; YESENIA ROBINSON</t>
  </si>
  <si>
    <t xml:space="preserve">17915 W MAUI LN </t>
  </si>
  <si>
    <t>SIERRA MONTANA PARCEL 1</t>
  </si>
  <si>
    <t>ROSS RUSSELL J &amp; KELLY C</t>
  </si>
  <si>
    <t>ROBINSON TEKO A &amp; YESENIA</t>
  </si>
  <si>
    <t>MICHAEL DIAZ</t>
  </si>
  <si>
    <t xml:space="preserve">8515 E KEATS AVE </t>
  </si>
  <si>
    <t>MARBELLA</t>
  </si>
  <si>
    <t>BWHR LLC</t>
  </si>
  <si>
    <t>DIAZ MICHAEL F</t>
  </si>
  <si>
    <t>BOEHM</t>
  </si>
  <si>
    <t>RENEE BOEHM</t>
  </si>
  <si>
    <t xml:space="preserve">1073 W SPARROW DR </t>
  </si>
  <si>
    <t>CLEMENTE RANCH PARCEL 18</t>
  </si>
  <si>
    <t>TARWATER ELEMENTARY SCHOOL</t>
  </si>
  <si>
    <t>GRIFFIN BRADFORD J &amp; BRADFOR</t>
  </si>
  <si>
    <t>BOEHM RENEE</t>
  </si>
  <si>
    <t>GRIGSBY</t>
  </si>
  <si>
    <t>ROSEMARIE</t>
  </si>
  <si>
    <t>BATTAGLIA</t>
  </si>
  <si>
    <t>WILLIAM GRIGSBY &amp; ROSEMARIE BATTAGLIA</t>
  </si>
  <si>
    <t xml:space="preserve">1918 E WILLIAMS DR </t>
  </si>
  <si>
    <t>MOUNTAIN COURT</t>
  </si>
  <si>
    <t>STOKER NANCY</t>
  </si>
  <si>
    <t>EVERGREEN MONEYSOURCE MTG CO</t>
  </si>
  <si>
    <t>GRIGSBY WILLIAM R</t>
  </si>
  <si>
    <t>BATTAGLIA ROSEMARIE A</t>
  </si>
  <si>
    <t>JOSUE</t>
  </si>
  <si>
    <t>CONTRERAS</t>
  </si>
  <si>
    <t>JOSUE CONTRERAS</t>
  </si>
  <si>
    <t xml:space="preserve">1814 N ARROWHEAD DR </t>
  </si>
  <si>
    <t>BROOKS CROSSING 1 LOT 1-54 TR A</t>
  </si>
  <si>
    <t>HAGGSTROM SHANE J</t>
  </si>
  <si>
    <t>CONTRERAS JOSUE DARIO</t>
  </si>
  <si>
    <t>JOHN &amp; MARGARET WELLS</t>
  </si>
  <si>
    <t xml:space="preserve">2022 E OXFORD DR </t>
  </si>
  <si>
    <t>KNOELL TEMPE 6</t>
  </si>
  <si>
    <t>BURKE BRIAN</t>
  </si>
  <si>
    <t>WELLS JOHN S &amp; MARGARET</t>
  </si>
  <si>
    <t>ANTOINETTE</t>
  </si>
  <si>
    <t>CESAR &amp; ANTOINETTE ACOSTA</t>
  </si>
  <si>
    <t xml:space="preserve">14341 W VERDE LN </t>
  </si>
  <si>
    <t>PALM VALLEY PHASE 3A UNIT 2</t>
  </si>
  <si>
    <t>DESERT BREEZE</t>
  </si>
  <si>
    <t>CROSNER TODD N</t>
  </si>
  <si>
    <t>RENEW LNDG INC</t>
  </si>
  <si>
    <t>EL DORADO HILLS CA 95762</t>
  </si>
  <si>
    <t>ACOSTA CESAR A &amp; ANTOINETTE</t>
  </si>
  <si>
    <t>FIRST CU</t>
  </si>
  <si>
    <t>CHANDLER AZ 85225</t>
  </si>
  <si>
    <t>ANTOINETTE ACOSTA</t>
  </si>
  <si>
    <t>LACARIA</t>
  </si>
  <si>
    <t>MARK &amp; JONI LACARIA</t>
  </si>
  <si>
    <t xml:space="preserve">13021 N 75TH LN </t>
  </si>
  <si>
    <t>RIDGEMERE LOT 1-154</t>
  </si>
  <si>
    <t>RIDGEMERE</t>
  </si>
  <si>
    <t>KINNAMAN D F &amp; E V TRUST</t>
  </si>
  <si>
    <t>LA CARIA MARK &amp; JONI</t>
  </si>
  <si>
    <t>LAUGHLIN</t>
  </si>
  <si>
    <t>STEPHEN &amp; PATRICIA LAUGHLIN</t>
  </si>
  <si>
    <t xml:space="preserve">7541 W WESCOTT DR </t>
  </si>
  <si>
    <t>LAKESIDE AT ARROWHEAD LOT 1-217 TR A-H J</t>
  </si>
  <si>
    <t>LAKESIDE AT ARROWHEAD</t>
  </si>
  <si>
    <t>LOAFMAN MARK H</t>
  </si>
  <si>
    <t>LAUGHLIN STEPHEN &amp; PATRICIA</t>
  </si>
  <si>
    <t>ZAMBUTO</t>
  </si>
  <si>
    <t>JOSEPH ZAMBUTO</t>
  </si>
  <si>
    <t xml:space="preserve">8109 W NICOLET AVE </t>
  </si>
  <si>
    <t>TTB INVESTMENTS LLP</t>
  </si>
  <si>
    <t>IRVINE CA 92606</t>
  </si>
  <si>
    <t>ZAMBUTO JOSEPH</t>
  </si>
  <si>
    <t>AMELIA</t>
  </si>
  <si>
    <t>TSUCHIYA</t>
  </si>
  <si>
    <t>SCOTT WILLIAMS &amp; AMELIA TSUCHIYA</t>
  </si>
  <si>
    <t xml:space="preserve">7878 W CHERYL DR </t>
  </si>
  <si>
    <t>SUNSET VIEW LOT 1-231 TR A</t>
  </si>
  <si>
    <t>SUNSET VIEW</t>
  </si>
  <si>
    <t>SANTA FE ELEMENTARY SCHOOL</t>
  </si>
  <si>
    <t>BETZOLD BENJAMIN M</t>
  </si>
  <si>
    <t>WILLIAMS SCOTT</t>
  </si>
  <si>
    <t>TSUCHIYA AMELIA</t>
  </si>
  <si>
    <t>FIELDS</t>
  </si>
  <si>
    <t>DAVID &amp; LISA FIELDS</t>
  </si>
  <si>
    <t xml:space="preserve">15226 N SAN DIEGO CIR </t>
  </si>
  <si>
    <t>FOUNTAIN HILLS AZ FP 508 REPL 1-88 A B</t>
  </si>
  <si>
    <t>NORTH HEIGHTS</t>
  </si>
  <si>
    <t>HOFFMAN TIMOTHY J &amp; ALISA C</t>
  </si>
  <si>
    <t>FIELDS DAVID &amp; LISA</t>
  </si>
  <si>
    <t>LICAUSI</t>
  </si>
  <si>
    <t>JOSEPH &amp; MELANIE LICAUSI</t>
  </si>
  <si>
    <t xml:space="preserve">23448 S 223RD PL </t>
  </si>
  <si>
    <t>VILLAGES AT QUEEN CREEK PARCEL 14</t>
  </si>
  <si>
    <t>NOTT XUAN M</t>
  </si>
  <si>
    <t>LICAUSI JOSEPH A &amp; MELANIE A</t>
  </si>
  <si>
    <t>KIDWELL</t>
  </si>
  <si>
    <t>THOMAS &amp; JEAN KIDWELL</t>
  </si>
  <si>
    <t xml:space="preserve">3014 S LOBO CYN </t>
  </si>
  <si>
    <t>MESQUITE CANYON UNIT 2</t>
  </si>
  <si>
    <t>JENSEN LIVING TRUST</t>
  </si>
  <si>
    <t>KIDWELL THOMAS L &amp; JEAN M</t>
  </si>
  <si>
    <t>OUELLETTE</t>
  </si>
  <si>
    <t>MARIAN</t>
  </si>
  <si>
    <t>BERNARD &amp; MARIAN OUELLETTE</t>
  </si>
  <si>
    <t xml:space="preserve">3054 W COUNTRY CLUB TER </t>
  </si>
  <si>
    <t>ADOBE MOUNTAIN ESTATES UNIT 2</t>
  </si>
  <si>
    <t>ADOBE MOUNTAIN ESTATES</t>
  </si>
  <si>
    <t>EASTMAN DAVID &amp; SUSAN</t>
  </si>
  <si>
    <t>BERNARD L OUELLETTE</t>
  </si>
  <si>
    <t>MARIAN K OUELLETTE</t>
  </si>
  <si>
    <t>TALAMANTES</t>
  </si>
  <si>
    <t>JAIME TALAMANTES</t>
  </si>
  <si>
    <t xml:space="preserve">11234 N 32ND PL </t>
  </si>
  <si>
    <t>BROADMOOR HILLS</t>
  </si>
  <si>
    <t>BROADMOOR HILLS WEST</t>
  </si>
  <si>
    <t>YEO CHRISTOPHER A &amp; KAREN T</t>
  </si>
  <si>
    <t>TALAMANTES JAIME</t>
  </si>
  <si>
    <t>WELDON</t>
  </si>
  <si>
    <t>LEE-BROWN</t>
  </si>
  <si>
    <t>WELDON BROWN &amp; KAREN LEE-BROWN</t>
  </si>
  <si>
    <t xml:space="preserve">17309 E EL PUEBLO BLVD </t>
  </si>
  <si>
    <t xml:space="preserve">PO BOX 17893 </t>
  </si>
  <si>
    <t>FOUNTAIN HILLS AZ FP 107 PAR A &amp; B</t>
  </si>
  <si>
    <t>HORVATH AKOS</t>
  </si>
  <si>
    <t>BROWN WELDON B</t>
  </si>
  <si>
    <t>LEE-BROWN KAREN L</t>
  </si>
  <si>
    <t>VALLEAU</t>
  </si>
  <si>
    <t>TAMMIE</t>
  </si>
  <si>
    <t>RAYMOND &amp; TAMMIE VALLEAU</t>
  </si>
  <si>
    <t xml:space="preserve">1689 S 218TH AVE </t>
  </si>
  <si>
    <t>SUNDANCE PARCEL 46A  46B</t>
  </si>
  <si>
    <t>OFFER PAD LLC</t>
  </si>
  <si>
    <t>RAYMOND L VALLEAU</t>
  </si>
  <si>
    <t>TAMMIE VALLEAU</t>
  </si>
  <si>
    <t>DALE &amp; CYNTHIA ANDERSON</t>
  </si>
  <si>
    <t xml:space="preserve">4945 W ONYX AVE </t>
  </si>
  <si>
    <t>GREENBRIER UNIT 5 LOT 291-371</t>
  </si>
  <si>
    <t>EMPIRE PROPERTIES INC</t>
  </si>
  <si>
    <t>DALE R ANDERSON</t>
  </si>
  <si>
    <t>CYNTHIA E ANDERSON</t>
  </si>
  <si>
    <t>RONNIE</t>
  </si>
  <si>
    <t>GANA</t>
  </si>
  <si>
    <t>RONNIE GANA</t>
  </si>
  <si>
    <t xml:space="preserve">7010 S 19TH LN </t>
  </si>
  <si>
    <t xml:space="preserve">7674 MUSTANG MDW </t>
  </si>
  <si>
    <t>SAN ANTONIO</t>
  </si>
  <si>
    <t>TX</t>
  </si>
  <si>
    <t>VENETO</t>
  </si>
  <si>
    <t>GANA RONNIE P JR</t>
  </si>
  <si>
    <t>TREVOR</t>
  </si>
  <si>
    <t>MCCLOSKEY</t>
  </si>
  <si>
    <t>TREVOR &amp; MARIA MCCLOSKEY</t>
  </si>
  <si>
    <t xml:space="preserve">4705 S COUNTRY CLUB WAY </t>
  </si>
  <si>
    <t>CONTINENTAL EAST 5</t>
  </si>
  <si>
    <t>COLE PARK</t>
  </si>
  <si>
    <t>MCCLINTOCK HIGH SCHOOL</t>
  </si>
  <si>
    <t>DEED OF TRUST</t>
  </si>
  <si>
    <t>MOLINA ROBERT</t>
  </si>
  <si>
    <t>MCCLOSKEY TREVOR</t>
  </si>
  <si>
    <t>MILER PORT &amp; MANGER-BRUMER MICHELLE</t>
  </si>
  <si>
    <t xml:space="preserve">14769 W SURREY DR </t>
  </si>
  <si>
    <t>MARLEY PARK LOTS 12032-12035 12042-12049</t>
  </si>
  <si>
    <t>STEINFELD DORIAN</t>
  </si>
  <si>
    <t>AMERIFIRST FINANCIAL INC</t>
  </si>
  <si>
    <t>MILER PORT &amp; MICHELLE</t>
  </si>
  <si>
    <t>GRAY</t>
  </si>
  <si>
    <t>LANCE &amp; SHARON GRAY</t>
  </si>
  <si>
    <t xml:space="preserve">25575 N 104TH DR </t>
  </si>
  <si>
    <t>TIERRA DEL RIO PARCEL 9</t>
  </si>
  <si>
    <t>GOMEZ ALEX L</t>
  </si>
  <si>
    <t>GRAY LANCE R &amp; SHARON S</t>
  </si>
  <si>
    <t>BETH</t>
  </si>
  <si>
    <t>DENNIS &amp; BETH RILEY</t>
  </si>
  <si>
    <t xml:space="preserve">3319 N 109TH AVE </t>
  </si>
  <si>
    <t>GARDEN LAKES PARCEL 17 LOT 1-111 TR A-H</t>
  </si>
  <si>
    <t>DAUNOY GERARD R</t>
  </si>
  <si>
    <t>RILEY DENNIS &amp; BETH</t>
  </si>
  <si>
    <t>MARLIN</t>
  </si>
  <si>
    <t>GEORGE ESTRADA &amp; MARLIN RODRIGUEZ</t>
  </si>
  <si>
    <t xml:space="preserve">4414 W ALTADENA AVE </t>
  </si>
  <si>
    <t xml:space="preserve">819 E WASHINGTON AVE </t>
  </si>
  <si>
    <t>REEDLEY</t>
  </si>
  <si>
    <t>CONTINENTAL NORTH 6</t>
  </si>
  <si>
    <t>CONTINENTAL NORTH</t>
  </si>
  <si>
    <t>ARROYO ELEMENTARY SCHOOL</t>
  </si>
  <si>
    <t>MOON VALLEY HIGH SCHOOL</t>
  </si>
  <si>
    <t>BRANDON HUNT REALTY SVCS P</t>
  </si>
  <si>
    <t>ESTRADA GEORGE</t>
  </si>
  <si>
    <t>RODRIGUEZ MARLIN S</t>
  </si>
  <si>
    <t>CHRISTOPHER &amp; HEATHER WALKER</t>
  </si>
  <si>
    <t xml:space="preserve">10409 W SUPERIOR AVE </t>
  </si>
  <si>
    <t>COUNTRY PLACE PARCELS 2 &amp; 3</t>
  </si>
  <si>
    <t>STEPHENS THOMAS</t>
  </si>
  <si>
    <t>RIGHT START MTG</t>
  </si>
  <si>
    <t>CHRISTOPHER D WALKER</t>
  </si>
  <si>
    <t>HEATHER WALKER</t>
  </si>
  <si>
    <t>ATER</t>
  </si>
  <si>
    <t>GARY &amp; LINDA ATER</t>
  </si>
  <si>
    <t xml:space="preserve">11458 E NIDO AVE </t>
  </si>
  <si>
    <t xml:space="preserve">2335 PINE TREE LN </t>
  </si>
  <si>
    <t>EVERGREEN</t>
  </si>
  <si>
    <t>CO</t>
  </si>
  <si>
    <t>SUNLAND SPRINGS VILLAGE UNIT 3</t>
  </si>
  <si>
    <t>OBYRNE AGNES K TRUST</t>
  </si>
  <si>
    <t>ATER GARY A &amp; LINDA J</t>
  </si>
  <si>
    <t>RONALD &amp; LINDA HENDERSON</t>
  </si>
  <si>
    <t xml:space="preserve">26634 S NEW TOWN DR </t>
  </si>
  <si>
    <t>SUN LAKES 15  LOT 1-206</t>
  </si>
  <si>
    <t>HUSSEY KAREN L LIVING TRUST</t>
  </si>
  <si>
    <t>BAYSHORE MORTGAGE FUNDING LLC</t>
  </si>
  <si>
    <t>HENDERSON RONALD D &amp; LINDA L</t>
  </si>
  <si>
    <t>KEMPER</t>
  </si>
  <si>
    <t>MICHAEL &amp; MICHELLE KEMPER</t>
  </si>
  <si>
    <t xml:space="preserve">14824 W VOLTAIRE ST </t>
  </si>
  <si>
    <t>KEMPER MICHAEL B &amp; MICHELLE J</t>
  </si>
  <si>
    <t>MICHAEL B KEMPER</t>
  </si>
  <si>
    <t>MICHELLE J KEMPER</t>
  </si>
  <si>
    <t>SPAETH</t>
  </si>
  <si>
    <t>CHRISTOPHER &amp; ADRIENNE SPAETH</t>
  </si>
  <si>
    <t xml:space="preserve">1038 W CHILTON AVE </t>
  </si>
  <si>
    <t>SUMMER MEADOWS PARCEL 3</t>
  </si>
  <si>
    <t>SUMMER MEADOWS</t>
  </si>
  <si>
    <t>GALVEZ RAFAEL &amp; ROSARIO</t>
  </si>
  <si>
    <t>SPAETH CHRISTOPHER C &amp; ADRIENNE S</t>
  </si>
  <si>
    <t>SHABAKER</t>
  </si>
  <si>
    <t>MARK SHABAKER</t>
  </si>
  <si>
    <t xml:space="preserve">5211 W PARADISE DR </t>
  </si>
  <si>
    <t>LA PALOMA</t>
  </si>
  <si>
    <t>DESERT PALMS ELEMENTARY SCHOOL</t>
  </si>
  <si>
    <t>5211 W PARADISE DRIVE LLC</t>
  </si>
  <si>
    <t>MARK W SHABAKER</t>
  </si>
  <si>
    <t>BEGAY</t>
  </si>
  <si>
    <t>KYLE BEGAY</t>
  </si>
  <si>
    <t xml:space="preserve">6508 W GROSS AVE </t>
  </si>
  <si>
    <t>ARIZONA MEADOWS 2 AT TERRALEA</t>
  </si>
  <si>
    <t>ARIZONA MEADOWS AT TERRALEA</t>
  </si>
  <si>
    <t>WESTERN VALLEY ELEMENTARY SCHOOL</t>
  </si>
  <si>
    <t>LYNAM ANDREW &amp; ROSEANNA</t>
  </si>
  <si>
    <t>BEGAY KYLE G</t>
  </si>
  <si>
    <t>MARIVIC</t>
  </si>
  <si>
    <t>DALE &amp; MARIVIC SNYDER</t>
  </si>
  <si>
    <t xml:space="preserve">213 E BRENTRUP DR </t>
  </si>
  <si>
    <t xml:space="preserve">PO BOX 907 </t>
  </si>
  <si>
    <t>TEMPE GARDENS 19  LOT 2042-2114</t>
  </si>
  <si>
    <t>TEMPE GARDENS NINETEEN</t>
  </si>
  <si>
    <t>WEBER JOHN A</t>
  </si>
  <si>
    <t>SNYDER DALE C</t>
  </si>
  <si>
    <t>JAMES &amp; CARISSA HARVEY</t>
  </si>
  <si>
    <t xml:space="preserve">13206 W ROVEY AVE </t>
  </si>
  <si>
    <t>SCK TRUST</t>
  </si>
  <si>
    <t>HARVEY JAMES &amp; CARISSA</t>
  </si>
  <si>
    <t>HAMBURG</t>
  </si>
  <si>
    <t>DANIEL &amp; MINDY HAMBURG</t>
  </si>
  <si>
    <t xml:space="preserve">8374 W MEADOW DR </t>
  </si>
  <si>
    <t>PARCEL 7 AT BELL PARK</t>
  </si>
  <si>
    <t>BELL PARK</t>
  </si>
  <si>
    <t>TPC STADIUM INVESTORS LLC</t>
  </si>
  <si>
    <t>HAMBURG DANIEL FRANCIS</t>
  </si>
  <si>
    <t>LEYVA</t>
  </si>
  <si>
    <t>ANGELICA</t>
  </si>
  <si>
    <t>DANIEL &amp; ANGELICA LEYVA</t>
  </si>
  <si>
    <t xml:space="preserve">18233 W ELM ST </t>
  </si>
  <si>
    <t>SURPRISE FARMS PHASE 3 PARCEL 1</t>
  </si>
  <si>
    <t>CARRINGTON</t>
  </si>
  <si>
    <t>CRAMER MICHAEL J</t>
  </si>
  <si>
    <t>LEYVA DANIEL L</t>
  </si>
  <si>
    <t>KANOKWAN</t>
  </si>
  <si>
    <t>DAVID &amp; KANOKWAN ACOSTA</t>
  </si>
  <si>
    <t xml:space="preserve">8466 E NARANJA AVE </t>
  </si>
  <si>
    <t>FULTON ROBERT</t>
  </si>
  <si>
    <t>ACOSTA DAVID J M &amp; KANOKWAN T</t>
  </si>
  <si>
    <t>LYCZYNSKI CHERYL L TRUST</t>
  </si>
  <si>
    <t>L LYCZYNSKICHERYL</t>
  </si>
  <si>
    <t xml:space="preserve">738 N PALO VERDE </t>
  </si>
  <si>
    <t>PRECISION ANGELS LLC</t>
  </si>
  <si>
    <t>CHERYL L LYCZYNSKI</t>
  </si>
  <si>
    <t>ALBENAGO</t>
  </si>
  <si>
    <t>ARSEO</t>
  </si>
  <si>
    <t>CARLENE</t>
  </si>
  <si>
    <t>ALBENAGO &amp; CARLENE ARSEO</t>
  </si>
  <si>
    <t xml:space="preserve">19945 W SHERMAN ST </t>
  </si>
  <si>
    <t>BLUE HORIZONS PARCEL 4</t>
  </si>
  <si>
    <t>ARSEO ALBENAGO &amp; CARLENE</t>
  </si>
  <si>
    <t>GERALD</t>
  </si>
  <si>
    <t>GERALD &amp; KATHERINE SCHOTT</t>
  </si>
  <si>
    <t xml:space="preserve">2710 N 109TH AVE </t>
  </si>
  <si>
    <t>MCKNIGHT WILLIAM &amp; JOAN</t>
  </si>
  <si>
    <t>SCHOTT GERALD D &amp; KATHERINE M</t>
  </si>
  <si>
    <t>JONATHON R MORENO AND MELISSA A GRULER TRUST</t>
  </si>
  <si>
    <t>JONATHON MORENO &amp; MELISSA GRULER</t>
  </si>
  <si>
    <t xml:space="preserve">3920 E SHAW BUTTE DR </t>
  </si>
  <si>
    <t>CAVALIER ESTATES 9</t>
  </si>
  <si>
    <t>PEBELSKE JONATHAN &amp; KRISTIN</t>
  </si>
  <si>
    <t>MORENO JONATHON R</t>
  </si>
  <si>
    <t>OGLESBY DAVID T &amp; H C K TRUST</t>
  </si>
  <si>
    <t>DAVID &amp; C OGLESBY</t>
  </si>
  <si>
    <t xml:space="preserve">20285 N 108TH LN </t>
  </si>
  <si>
    <t>LAKESIDE UNIT 2 AT VENTANA LAKES</t>
  </si>
  <si>
    <t>LAKESIDE AT VENTANA LAKES</t>
  </si>
  <si>
    <t>STEVE DENISE M LIVING TRUST</t>
  </si>
  <si>
    <t>OGLESBY DAVID T</t>
  </si>
  <si>
    <t>HEIDEMANN-OGLESBY CHERRIE K</t>
  </si>
  <si>
    <t>MARCELINO</t>
  </si>
  <si>
    <t>LEVARIO</t>
  </si>
  <si>
    <t>MARCELINO &amp; SYLVIA LEVARIO</t>
  </si>
  <si>
    <t xml:space="preserve">10759 W MADISON ST </t>
  </si>
  <si>
    <t>CONNELL WILLIAM T</t>
  </si>
  <si>
    <t>LEVARIO MARCELINO V &amp; SYLVIA</t>
  </si>
  <si>
    <t>RIGOBERTO</t>
  </si>
  <si>
    <t>RAMIREZ</t>
  </si>
  <si>
    <t>RIGOBERTO RAMIREZ</t>
  </si>
  <si>
    <t xml:space="preserve">21220 E CREEKSIDE DR </t>
  </si>
  <si>
    <t>HASTINGS FARMS PARCEL C</t>
  </si>
  <si>
    <t>RAMIREZ RIGOBERTO</t>
  </si>
  <si>
    <t>PELL</t>
  </si>
  <si>
    <t>KAREY</t>
  </si>
  <si>
    <t>LARRY PELL &amp; KAREY KNAPP</t>
  </si>
  <si>
    <t xml:space="preserve">18013 N 42ND PL </t>
  </si>
  <si>
    <t>VILLA RITA 2</t>
  </si>
  <si>
    <t>VILLA RITA</t>
  </si>
  <si>
    <t>SPS CONSTRUCTION LLC</t>
  </si>
  <si>
    <t>PELL LARRY A</t>
  </si>
  <si>
    <t>KNAPP KAREY</t>
  </si>
  <si>
    <t>FARMER</t>
  </si>
  <si>
    <t>RAY FARMER</t>
  </si>
  <si>
    <t xml:space="preserve">16425 S 16TH LN </t>
  </si>
  <si>
    <t>PARCEL 26 AT FOOTHILLS CLUB WEST</t>
  </si>
  <si>
    <t>GILLY DANIEL L</t>
  </si>
  <si>
    <t>FARMER RAY</t>
  </si>
  <si>
    <t>HANNA</t>
  </si>
  <si>
    <t>MICHAEL &amp; HANNA MCCABE</t>
  </si>
  <si>
    <t xml:space="preserve">19844 E VIA DE ARBOLES </t>
  </si>
  <si>
    <t>CREEK VIEW RANCHES</t>
  </si>
  <si>
    <t>CREEKVIEW RANCHES</t>
  </si>
  <si>
    <t>JUSTUS ANTHONY</t>
  </si>
  <si>
    <t>MICHAEL MCCABE</t>
  </si>
  <si>
    <t>HANNA MCCABE</t>
  </si>
  <si>
    <t>ERICK</t>
  </si>
  <si>
    <t>WEIGOLD</t>
  </si>
  <si>
    <t>ERICK WEIGOLD &amp; TRACY BAKER</t>
  </si>
  <si>
    <t xml:space="preserve">10524 W RAYMOND ST </t>
  </si>
  <si>
    <t>WEIGOLD ERICK</t>
  </si>
  <si>
    <t>BAKER TRACY</t>
  </si>
  <si>
    <t>ROWE</t>
  </si>
  <si>
    <t>DAVID &amp; ROBBIE ROWE</t>
  </si>
  <si>
    <t xml:space="preserve">23839 W CHIPMAN RD </t>
  </si>
  <si>
    <t>SONORAN VISTA UNIT 2</t>
  </si>
  <si>
    <t>SONORAN VISTA</t>
  </si>
  <si>
    <t>MARIONNEAUX ELEMENTARY SCHOOL</t>
  </si>
  <si>
    <t>DAVID M ROWE</t>
  </si>
  <si>
    <t>ROBBIE L ROWE</t>
  </si>
  <si>
    <t>KENDAL</t>
  </si>
  <si>
    <t>HAYNES</t>
  </si>
  <si>
    <t>BRIDGETTE</t>
  </si>
  <si>
    <t>KENDAL &amp; BRIDGETTE HAYNES</t>
  </si>
  <si>
    <t xml:space="preserve">20901 W MAIDEN LN </t>
  </si>
  <si>
    <t>HAYNES KENDAL &amp; BRIDGETTE R</t>
  </si>
  <si>
    <t>GORT</t>
  </si>
  <si>
    <t>DARYL &amp; DEANNA GORT</t>
  </si>
  <si>
    <t xml:space="preserve">3384 E WASHINGTON AVE </t>
  </si>
  <si>
    <t>HIGLEY GROVES</t>
  </si>
  <si>
    <t>MOON DANIEL A</t>
  </si>
  <si>
    <t>DARYL GORT</t>
  </si>
  <si>
    <t>DEANNA GORT</t>
  </si>
  <si>
    <t>MUNSTERMAN</t>
  </si>
  <si>
    <t>JACOB &amp; LAURA MUNSTERMAN</t>
  </si>
  <si>
    <t xml:space="preserve">1620 E BROADMOR DR </t>
  </si>
  <si>
    <t>HUGHES ACRES  8</t>
  </si>
  <si>
    <t>MEYER PARK</t>
  </si>
  <si>
    <t>HUDSON ELEMENTARY SCHOOL</t>
  </si>
  <si>
    <t>CONNOLLY MIDDLE SCHOOL</t>
  </si>
  <si>
    <t>MM HOLINKA PROPERTIES LLC</t>
  </si>
  <si>
    <t>MUNSTERMAN JACOB L</t>
  </si>
  <si>
    <t>CASTANEDA</t>
  </si>
  <si>
    <t>SAMUEL &amp; KATRINA CASTANEDA</t>
  </si>
  <si>
    <t xml:space="preserve">7206 W WOOD ST </t>
  </si>
  <si>
    <t>CASTANEDA SAMUEL &amp; KATRINA A</t>
  </si>
  <si>
    <t>MCREVY</t>
  </si>
  <si>
    <t>MONA</t>
  </si>
  <si>
    <t>MARION &amp; MONA MCREVY</t>
  </si>
  <si>
    <t xml:space="preserve">15742 W LAUREL LN </t>
  </si>
  <si>
    <t>MCREVY MARION K &amp; MONA A</t>
  </si>
  <si>
    <t>AH</t>
  </si>
  <si>
    <t>ANOALO</t>
  </si>
  <si>
    <t>YOUNG &amp; ANOALO AH</t>
  </si>
  <si>
    <t xml:space="preserve">10955 W COOLIDGE ST </t>
  </si>
  <si>
    <t>H090</t>
  </si>
  <si>
    <t>CAMELBACK RANCH UNIT 3 AMD</t>
  </si>
  <si>
    <t>CAMELBACK RANCH</t>
  </si>
  <si>
    <t>COPPER KING ELEMENTARY SCHOOL</t>
  </si>
  <si>
    <t>DIMAGGIO JONATHAN P</t>
  </si>
  <si>
    <t>YOUNG ALLEN A &amp; ANOALO A</t>
  </si>
  <si>
    <t>JEFFREY KING</t>
  </si>
  <si>
    <t xml:space="preserve">8708 E ARLINGTON RD </t>
  </si>
  <si>
    <t>C002</t>
  </si>
  <si>
    <t>PARK SCOTTSDALE 3  LOTS 551-620</t>
  </si>
  <si>
    <t>NAVAJO ELEMENTARY SCHOOL</t>
  </si>
  <si>
    <t>MOORE NATHAN W</t>
  </si>
  <si>
    <t>KING JEFFREY AMOS</t>
  </si>
  <si>
    <t>ADRIANO</t>
  </si>
  <si>
    <t>DACOSTA</t>
  </si>
  <si>
    <t>ADRIANO &amp; CARRIE DACOSTA</t>
  </si>
  <si>
    <t xml:space="preserve">17766 W CARIBBEAN LN </t>
  </si>
  <si>
    <t>SIERRA MONTANA PARCEL 21</t>
  </si>
  <si>
    <t>BELLA SONIA AT SIERRA MONTANA</t>
  </si>
  <si>
    <t>HALL NEAL A &amp; JENNIFER A</t>
  </si>
  <si>
    <t>DA COSTA ADRIANO R &amp; CARRIE</t>
  </si>
  <si>
    <t>ALFREDO LOPEZ</t>
  </si>
  <si>
    <t xml:space="preserve">835 S SOMERSET CIR </t>
  </si>
  <si>
    <t>ARIZONA VALENCIA CORR</t>
  </si>
  <si>
    <t>AZAMY ZUBAIR &amp; MARY</t>
  </si>
  <si>
    <t>LOPEZ ALFREDO</t>
  </si>
  <si>
    <t>STEPHEN ALLEN</t>
  </si>
  <si>
    <t xml:space="preserve">16002 W MADISON ST </t>
  </si>
  <si>
    <t>WILDFLOWER RANCH UNIT 4</t>
  </si>
  <si>
    <t>WILDFLOWER SCHOOL</t>
  </si>
  <si>
    <t>HUGHES JASON O</t>
  </si>
  <si>
    <t>STEPHEN W ALLEN</t>
  </si>
  <si>
    <t>ALTHERR</t>
  </si>
  <si>
    <t>LAUSMAN</t>
  </si>
  <si>
    <t>ALTHERR &amp; TARA LAUSMAN</t>
  </si>
  <si>
    <t xml:space="preserve">15759 W LAUREL LN </t>
  </si>
  <si>
    <t>ALTHERR ALAN H</t>
  </si>
  <si>
    <t>MILLIRON FAMILY LIVING TRUST</t>
  </si>
  <si>
    <t>SHARRON</t>
  </si>
  <si>
    <t>MILLIRON</t>
  </si>
  <si>
    <t xml:space="preserve">25239 S BOXWOOD DR </t>
  </si>
  <si>
    <t>SUN LAKES 20  LOT 1-173 TR A-G K L PVT D</t>
  </si>
  <si>
    <t>POWERS LEE A &amp; PATSY M</t>
  </si>
  <si>
    <t>MILLIRON DONALD I &amp; SHARRON A</t>
  </si>
  <si>
    <t>CECIL</t>
  </si>
  <si>
    <t>CECIL JACKSON</t>
  </si>
  <si>
    <t xml:space="preserve">1819 E FAWN DR </t>
  </si>
  <si>
    <t>C071</t>
  </si>
  <si>
    <t>LAS COLINAS</t>
  </si>
  <si>
    <t>DELBRIDGE CHRISTOPHER J</t>
  </si>
  <si>
    <t>JACKSON CECIL R</t>
  </si>
  <si>
    <t>SANDOZ</t>
  </si>
  <si>
    <t>YVONNE SANDOZ</t>
  </si>
  <si>
    <t xml:space="preserve">3922 E TARO LN </t>
  </si>
  <si>
    <t>TROVARE UNIT 2</t>
  </si>
  <si>
    <t>TROVARE</t>
  </si>
  <si>
    <t>MURRY THOMAS &amp; M TRUST</t>
  </si>
  <si>
    <t>YVONNE M SANDOZ</t>
  </si>
  <si>
    <t>GALBRAITH</t>
  </si>
  <si>
    <t>TOBY &amp; SUSAN GALBRAITH</t>
  </si>
  <si>
    <t xml:space="preserve">8210 S 22ND LN </t>
  </si>
  <si>
    <t>SILVA MOUNTAIN UNIT 2</t>
  </si>
  <si>
    <t>BEAMESDERFER JARED</t>
  </si>
  <si>
    <t>GALBRAITH TOBY &amp; SUSAN</t>
  </si>
  <si>
    <t>BOLERJACK</t>
  </si>
  <si>
    <t>MICHAEL BOLERJACK</t>
  </si>
  <si>
    <t xml:space="preserve">6931 E PINCHOT AVE </t>
  </si>
  <si>
    <t xml:space="preserve">PO BOX 1417 </t>
  </si>
  <si>
    <t>WESTERN VILLA</t>
  </si>
  <si>
    <t>MAP INVESTMENTS LLC</t>
  </si>
  <si>
    <t>BOLERJACK MICHAEL</t>
  </si>
  <si>
    <t>SIMS</t>
  </si>
  <si>
    <t>GARRETT &amp; TONYA SIMS</t>
  </si>
  <si>
    <t xml:space="preserve">7239 N 46TH AVE </t>
  </si>
  <si>
    <t>PALM LANE VILLAGE</t>
  </si>
  <si>
    <t>MELVIN E. SINE SCHOOL</t>
  </si>
  <si>
    <t>MCBEE BYRON G</t>
  </si>
  <si>
    <t>SIMS GARRETT D</t>
  </si>
  <si>
    <t>FERNANDEZ</t>
  </si>
  <si>
    <t>MICHAEL FERNANDEZ</t>
  </si>
  <si>
    <t xml:space="preserve">21874 W CASEY LN </t>
  </si>
  <si>
    <t>FERNANDEZ MICHAEL ADAM</t>
  </si>
  <si>
    <t>ARAM</t>
  </si>
  <si>
    <t>DANIELIAN</t>
  </si>
  <si>
    <t>ARAM DANIELIAN</t>
  </si>
  <si>
    <t xml:space="preserve">15963 W YAVAPAI ST </t>
  </si>
  <si>
    <t>H070</t>
  </si>
  <si>
    <t>PUEBLO VERDE</t>
  </si>
  <si>
    <t>DESERT STAR SCHOOL</t>
  </si>
  <si>
    <t>PLUES DAMIAN J &amp; LAURA F</t>
  </si>
  <si>
    <t>DANIELIAN ARAM</t>
  </si>
  <si>
    <t>KOWALKOWSKI</t>
  </si>
  <si>
    <t>HARRIETTE</t>
  </si>
  <si>
    <t>MARIE &amp; MARIE PAUL</t>
  </si>
  <si>
    <t xml:space="preserve">13154 W NOGALES DR </t>
  </si>
  <si>
    <t>GUPTILL TERRY R</t>
  </si>
  <si>
    <t>LHM FIN'L</t>
  </si>
  <si>
    <t>JOSEPH P KOWALKOWSKI</t>
  </si>
  <si>
    <t>HARRIETTE M KOWALKOWSKI</t>
  </si>
  <si>
    <t>POOLER</t>
  </si>
  <si>
    <t>TODD &amp; CYNTHIA POOLER</t>
  </si>
  <si>
    <t xml:space="preserve">15329 W OLD OAK LN </t>
  </si>
  <si>
    <t>MARLEY PARK PARCEL 2</t>
  </si>
  <si>
    <t>ARAGON MICHAEL</t>
  </si>
  <si>
    <t>POOLER TODD A &amp; CYNTHIA M</t>
  </si>
  <si>
    <t>TISCARENO</t>
  </si>
  <si>
    <t>SAUL TISCARENO</t>
  </si>
  <si>
    <t xml:space="preserve">321 W RIVIERA DR </t>
  </si>
  <si>
    <t>KNOELL TEMPE 3</t>
  </si>
  <si>
    <t>GREGG EDWIN F</t>
  </si>
  <si>
    <t>TISCARENO SAUL</t>
  </si>
  <si>
    <t>LINH</t>
  </si>
  <si>
    <t>PHAM</t>
  </si>
  <si>
    <t>LINH PHAM</t>
  </si>
  <si>
    <t xml:space="preserve">806 S 118TH LN </t>
  </si>
  <si>
    <t>LSLS LLC</t>
  </si>
  <si>
    <t>PHAM LINH Q</t>
  </si>
  <si>
    <t>BRAINARD</t>
  </si>
  <si>
    <t>PETER BRAINARD &amp; JULIE LARSON</t>
  </si>
  <si>
    <t xml:space="preserve">4411 E MOSSMAN RD </t>
  </si>
  <si>
    <t>DESERT RIDGE PARCEL 7.6</t>
  </si>
  <si>
    <t>SIWEK DAVID J</t>
  </si>
  <si>
    <t>AMERICAN FINANCIAL LENDING INC</t>
  </si>
  <si>
    <t>BRAINARD PETER M</t>
  </si>
  <si>
    <t>LARSON JULIE A</t>
  </si>
  <si>
    <t>JOHN BROWN</t>
  </si>
  <si>
    <t xml:space="preserve">3254 N 126TH DR </t>
  </si>
  <si>
    <t>CORTE SIERRA UNIT 1</t>
  </si>
  <si>
    <t>CORTE SIERRA</t>
  </si>
  <si>
    <t>VETERANS ADMN</t>
  </si>
  <si>
    <t>BROWN JOHN W</t>
  </si>
  <si>
    <t>YETT</t>
  </si>
  <si>
    <t>KIM YETT</t>
  </si>
  <si>
    <t xml:space="preserve">16729 W MONROE ST </t>
  </si>
  <si>
    <t>CANYON TRAILS UNIT 3 PARCEL B/C</t>
  </si>
  <si>
    <t>TERRY ARTHUR</t>
  </si>
  <si>
    <t xml:space="preserve">4153 W QUESTA DR </t>
  </si>
  <si>
    <t>ADOBE HILLS UNIT TWO LOT 1-139</t>
  </si>
  <si>
    <t>DICKERSON RUTH</t>
  </si>
  <si>
    <t>ARTHUR TERRY R</t>
  </si>
  <si>
    <t>DAILY</t>
  </si>
  <si>
    <t>LUCRETIA</t>
  </si>
  <si>
    <t>DENNIS &amp; LUCRETIA DAILY</t>
  </si>
  <si>
    <t xml:space="preserve">13402 E CHICAGO ST </t>
  </si>
  <si>
    <t>COUNTRY PLACE AT CHANDLER</t>
  </si>
  <si>
    <t>MINAHAN ERIC D</t>
  </si>
  <si>
    <t>LAS VEGAS NV 89144</t>
  </si>
  <si>
    <t>DENNIS J DAILY</t>
  </si>
  <si>
    <t>LUCRETIA A DAILY</t>
  </si>
  <si>
    <t>CEBALLOS</t>
  </si>
  <si>
    <t>ANGELA &amp; CHRISTOPHER CEBALLOS</t>
  </si>
  <si>
    <t xml:space="preserve">12815 N 93RD DR </t>
  </si>
  <si>
    <t>CEBALLOS ANGELA F &amp; CHRIS R</t>
  </si>
  <si>
    <t>WILLIAM YOUNG</t>
  </si>
  <si>
    <t xml:space="preserve">3928 W SAINT JOHN RD </t>
  </si>
  <si>
    <t>DESERT PINES UNIT 3 LOT 127-287</t>
  </si>
  <si>
    <t>BELLMANN KALLE R</t>
  </si>
  <si>
    <t>YOUNG WILLIAM R</t>
  </si>
  <si>
    <t>LESLYE</t>
  </si>
  <si>
    <t>CHRISTOPHER &amp; LESLYE BROWN</t>
  </si>
  <si>
    <t xml:space="preserve">11633 W HADLEY ST </t>
  </si>
  <si>
    <t>SHEFFIELD JOSEPH</t>
  </si>
  <si>
    <t>BROWN CHRISTOPHER M &amp; LESLYE B</t>
  </si>
  <si>
    <t>ANGEL</t>
  </si>
  <si>
    <t>TEJADA</t>
  </si>
  <si>
    <t>ANGEL &amp; LISA TEJADA</t>
  </si>
  <si>
    <t xml:space="preserve">7748 W NORTHVIEW AVE </t>
  </si>
  <si>
    <t>ORANGEWOOD ESTATES</t>
  </si>
  <si>
    <t>SHOWTIME INV GROUP LLC</t>
  </si>
  <si>
    <t>ANGEL TEJADA</t>
  </si>
  <si>
    <t>LISA TEJADA</t>
  </si>
  <si>
    <t>SLAUGHTER</t>
  </si>
  <si>
    <t>ERIC &amp; LORI SLAUGHTER</t>
  </si>
  <si>
    <t xml:space="preserve">18582 W WILLIAMS ST </t>
  </si>
  <si>
    <t>SLAUGHTER ERIC &amp; LORI</t>
  </si>
  <si>
    <t>ALEJANDRO</t>
  </si>
  <si>
    <t>CALDERA</t>
  </si>
  <si>
    <t>ADRIANA</t>
  </si>
  <si>
    <t>ALEJANDRO &amp; ADRIANA CALDERA</t>
  </si>
  <si>
    <t xml:space="preserve">1367 S 222ND DR </t>
  </si>
  <si>
    <t>SUNDANCE PARCEL 42</t>
  </si>
  <si>
    <t>AZBEN LTD LLC</t>
  </si>
  <si>
    <t>ALEJANDRO CALDERA</t>
  </si>
  <si>
    <t>ADRIANA CALDERA</t>
  </si>
  <si>
    <t>ORLANDO</t>
  </si>
  <si>
    <t>SOLORIO</t>
  </si>
  <si>
    <t>ORLANDO SOLORIO</t>
  </si>
  <si>
    <t xml:space="preserve">9327 W BONITOS RD </t>
  </si>
  <si>
    <t>SHEELY FARMS PARCELS 8 &amp; 9</t>
  </si>
  <si>
    <t>SPRING HAVEN AT SHEELY FARMS</t>
  </si>
  <si>
    <t>SHEELY FARMS ELEMENTARY SCHOOL</t>
  </si>
  <si>
    <t>TOLLESON UNION HIGH SCHOOL</t>
  </si>
  <si>
    <t>MASTEN CHARLES W</t>
  </si>
  <si>
    <t>OAKTREE FNDG CORP</t>
  </si>
  <si>
    <t>SOLORIO ORLANDO</t>
  </si>
  <si>
    <t>ALEJANDRO CRUZ</t>
  </si>
  <si>
    <t xml:space="preserve">10751 W BERMUDA DR </t>
  </si>
  <si>
    <t>GARDEN LAKES PARCEL 28</t>
  </si>
  <si>
    <t>KEY WEST II</t>
  </si>
  <si>
    <t>BARTZ BRIAN K</t>
  </si>
  <si>
    <t>CRUZ ALEJANDRO</t>
  </si>
  <si>
    <t>BARTLETT</t>
  </si>
  <si>
    <t>FAIN</t>
  </si>
  <si>
    <t>BARTLETT &amp; REBECCA FAIN</t>
  </si>
  <si>
    <t xml:space="preserve">29779 N 121ST AVE </t>
  </si>
  <si>
    <t>VISTANCIA VILLAGE A PARCEL A14</t>
  </si>
  <si>
    <t>EAGLE CANYON</t>
  </si>
  <si>
    <t>LAKAMP DAVID J</t>
  </si>
  <si>
    <t>BARTLETT D FAIN</t>
  </si>
  <si>
    <t>REBECCA M FAIN</t>
  </si>
  <si>
    <t>GRYDER</t>
  </si>
  <si>
    <t>ROBERT GRYDER</t>
  </si>
  <si>
    <t xml:space="preserve">15201 S FOXTAIL LN </t>
  </si>
  <si>
    <t>MOUNTAIN PARK RANCH UNIT 35G-1</t>
  </si>
  <si>
    <t>MIGROUP</t>
  </si>
  <si>
    <t>GRYDER ROBERT</t>
  </si>
  <si>
    <t>SMITH FAMILY TRUST</t>
  </si>
  <si>
    <t xml:space="preserve">4409 E JANICE WAY </t>
  </si>
  <si>
    <t>HOMESTEAD 6 ESTATES</t>
  </si>
  <si>
    <t>HOMESTEAD ESTATES</t>
  </si>
  <si>
    <t>KEMBERLING NATHANIEL</t>
  </si>
  <si>
    <t>RIK</t>
  </si>
  <si>
    <t>STAFFORD</t>
  </si>
  <si>
    <t>RIK STAFFORD</t>
  </si>
  <si>
    <t xml:space="preserve">1307 E MINERAL RD </t>
  </si>
  <si>
    <t>LAM DENISE C</t>
  </si>
  <si>
    <t>STAFFORD RIK</t>
  </si>
  <si>
    <t>DELAPENA</t>
  </si>
  <si>
    <t>ERIC &amp; CHRISTINA DELAPENA</t>
  </si>
  <si>
    <t xml:space="preserve">3456 E CARLA VISTA DR </t>
  </si>
  <si>
    <t>FRANK ROBERT J</t>
  </si>
  <si>
    <t>DELAPENA ERIC &amp; CHRISTINA</t>
  </si>
  <si>
    <t>HILARY</t>
  </si>
  <si>
    <t>JEREMY &amp; HILARY WILSON</t>
  </si>
  <si>
    <t xml:space="preserve">3747 E DAHLIA DR </t>
  </si>
  <si>
    <t>PARADISE VALLEY VILLAGE UNIT THREE LOT 1</t>
  </si>
  <si>
    <t>PARADISE VALLEY VILLAGE WEST</t>
  </si>
  <si>
    <t>GREATER PHOENIX R OF E ALLIAN</t>
  </si>
  <si>
    <t>CARRINGTON MTG SVCS LLC</t>
  </si>
  <si>
    <t>WILSON JEREMY &amp; HILARY</t>
  </si>
  <si>
    <t>PRAPAKORN</t>
  </si>
  <si>
    <t>THONGPRICHA</t>
  </si>
  <si>
    <t>MARVIN LARSON &amp; PRAPAKORN THONGPRICHA</t>
  </si>
  <si>
    <t xml:space="preserve">17525 W ASTER DR </t>
  </si>
  <si>
    <t>ROWE PRISCILLA E</t>
  </si>
  <si>
    <t>MARVIN R LARSON</t>
  </si>
  <si>
    <t>PRAPAKORN THONGPRICHA</t>
  </si>
  <si>
    <t>MERKEL</t>
  </si>
  <si>
    <t>WESLEY &amp; DONNA MERKEL</t>
  </si>
  <si>
    <t xml:space="preserve">25960 W PONTIAC DR </t>
  </si>
  <si>
    <t>H071</t>
  </si>
  <si>
    <t>FESTIVAL FOOTHILLS PHASE 1</t>
  </si>
  <si>
    <t>WEBB FAMILY TRUST</t>
  </si>
  <si>
    <t>MERKEL WESLEY &amp; DONNA</t>
  </si>
  <si>
    <t>TIMOTHY FOWLER</t>
  </si>
  <si>
    <t xml:space="preserve">43707 N 48TH LN </t>
  </si>
  <si>
    <t>ANTHEM UNIT 81B</t>
  </si>
  <si>
    <t>COLLINS JOHN</t>
  </si>
  <si>
    <t>FOWLER TIMOTHY</t>
  </si>
  <si>
    <t>FABEY</t>
  </si>
  <si>
    <t>JOSEPH &amp; BARBARA FABEY</t>
  </si>
  <si>
    <t xml:space="preserve">2029 E LODGE DR </t>
  </si>
  <si>
    <t>CAMELOT VILLAGE 5 AMD LOT 1-68</t>
  </si>
  <si>
    <t>CAMELOT VILLAGE</t>
  </si>
  <si>
    <t>FAZIO GENE S</t>
  </si>
  <si>
    <t>FABEY JOSEPH P &amp; BARBARA M</t>
  </si>
  <si>
    <t>SALING</t>
  </si>
  <si>
    <t>DE</t>
  </si>
  <si>
    <t>DESALING &amp; DE ENCISO</t>
  </si>
  <si>
    <t xml:space="preserve">10456 E PENSTAMIN DR </t>
  </si>
  <si>
    <t>MCDOWELL MOUNTAIN RANCH PARCEL N N</t>
  </si>
  <si>
    <t>DESERT CANYON ELEMENTARY SCHOOL</t>
  </si>
  <si>
    <t>CHURCHEY MARK W</t>
  </si>
  <si>
    <t>SALING RICHARD B</t>
  </si>
  <si>
    <t>DE SALING ADRIANA E</t>
  </si>
  <si>
    <t>WENDELL</t>
  </si>
  <si>
    <t>WENDELL &amp; CONNIE CLARKE</t>
  </si>
  <si>
    <t xml:space="preserve">48 N CHOLLA ST </t>
  </si>
  <si>
    <t>RIDGEWOOD BY SHEA HOMES</t>
  </si>
  <si>
    <t>RIDGEWOOD BY SHEA</t>
  </si>
  <si>
    <t>DINET JOYCE LIVING TRUST</t>
  </si>
  <si>
    <t>CLARKE WENDELL J</t>
  </si>
  <si>
    <t>BROWN JOINT REVOCABLE TRUST</t>
  </si>
  <si>
    <t>JOINT BROWN</t>
  </si>
  <si>
    <t xml:space="preserve">30646 N 45TH PL </t>
  </si>
  <si>
    <t>TURANCIOL 1997 TRUST</t>
  </si>
  <si>
    <t>BROWN LLEWELLYN D &amp; INEZ</t>
  </si>
  <si>
    <t>ECKLEY</t>
  </si>
  <si>
    <t>BRIAN &amp; AMY ECKLEY</t>
  </si>
  <si>
    <t xml:space="preserve">3235 N BOULDER CYN </t>
  </si>
  <si>
    <t>DESERT VISTAS UNIT 1 AT LAS SENDAS AMD</t>
  </si>
  <si>
    <t>GRANITE RIDGE</t>
  </si>
  <si>
    <t>BAKER BRANT D</t>
  </si>
  <si>
    <t>ECKLEY BRIAN J</t>
  </si>
  <si>
    <t>ECKLEY BRYAN J &amp; AMY F</t>
  </si>
  <si>
    <t>HARRY</t>
  </si>
  <si>
    <t>LEIFERMAN</t>
  </si>
  <si>
    <t>HARRY LEIFERMAN &amp; SHELLY HORTON</t>
  </si>
  <si>
    <t xml:space="preserve">27483 N MAKENA PL </t>
  </si>
  <si>
    <t>TRILOGY AT VISTANCIA PARCEL C28</t>
  </si>
  <si>
    <t>COBIE NANCY M</t>
  </si>
  <si>
    <t>LEIFERMAN HARRY L</t>
  </si>
  <si>
    <t>HORTON SHELLY A</t>
  </si>
  <si>
    <t>REINA</t>
  </si>
  <si>
    <t>MICHAEL &amp; REINA SANCHEZ</t>
  </si>
  <si>
    <t xml:space="preserve">10207 N 45TH AVE </t>
  </si>
  <si>
    <t>WESTMINSTER VILLAGE AMD</t>
  </si>
  <si>
    <t>WESTMINSTER VILLAGE</t>
  </si>
  <si>
    <t>BUISKER CLARK</t>
  </si>
  <si>
    <t>MICHAEL O SANCHEZ</t>
  </si>
  <si>
    <t>REINA SANCHEZ</t>
  </si>
  <si>
    <t>HAYWORTH</t>
  </si>
  <si>
    <t>HEWITT</t>
  </si>
  <si>
    <t>LORI HAYWORTH &amp; ALLEN HEWITT</t>
  </si>
  <si>
    <t xml:space="preserve">18195 W SELLS DR </t>
  </si>
  <si>
    <t>SEDELLA PARCEL1D</t>
  </si>
  <si>
    <t>HAYWORTH LORI A</t>
  </si>
  <si>
    <t>HEWITT ALLEN W</t>
  </si>
  <si>
    <t>CHRISTOPHER AND MELISSA BROWN FAMILY TRUST</t>
  </si>
  <si>
    <t xml:space="preserve">3587 E ALFALFA DR </t>
  </si>
  <si>
    <t>BRIDGES AT GILBERT PHASE 1 PARCEL 3</t>
  </si>
  <si>
    <t>BROWN CHRISTOPHER WAYNE &amp; MEL</t>
  </si>
  <si>
    <t>BLUE HAZE TRUST</t>
  </si>
  <si>
    <t>HAZE BLUE</t>
  </si>
  <si>
    <t xml:space="preserve">6545 W CHESTER RD </t>
  </si>
  <si>
    <t>CHAMINADE</t>
  </si>
  <si>
    <t>ZIESEMER KENNETH P</t>
  </si>
  <si>
    <t>HAYES MARK A</t>
  </si>
  <si>
    <t>WEAVER</t>
  </si>
  <si>
    <t>DANIEL STEWART &amp; DEBORAH WEAVER</t>
  </si>
  <si>
    <t xml:space="preserve">15686 W CAMPBELL AVE </t>
  </si>
  <si>
    <t xml:space="preserve">13426 W KEIM DR </t>
  </si>
  <si>
    <t>PALM VALLEY PHASE 5 PARCELS 10-14</t>
  </si>
  <si>
    <t>PALMETTO PASSAGE</t>
  </si>
  <si>
    <t>KNEIP MICHAEL W &amp; RUPA</t>
  </si>
  <si>
    <t>STEWART DANIEL F</t>
  </si>
  <si>
    <t>WEAVER DEBORAH L</t>
  </si>
  <si>
    <t>YANCEY</t>
  </si>
  <si>
    <t>GAITHER</t>
  </si>
  <si>
    <t>YANCEY &amp; TERESA GAITHER</t>
  </si>
  <si>
    <t xml:space="preserve">3083 S COTTONWOOD CT </t>
  </si>
  <si>
    <t>MARKWOOD NORTH</t>
  </si>
  <si>
    <t>SIENNA</t>
  </si>
  <si>
    <t>TREBLE ASHLEY J</t>
  </si>
  <si>
    <t>GAITHER YANCEY</t>
  </si>
  <si>
    <t>RIVERA</t>
  </si>
  <si>
    <t>JASON &amp; JILL RIVERA</t>
  </si>
  <si>
    <t xml:space="preserve">3658 E KAIBAB PL </t>
  </si>
  <si>
    <t>OLD STONE RANCH PHASE 2</t>
  </si>
  <si>
    <t>OLD STONE RANCH</t>
  </si>
  <si>
    <t>FOSTER MELISSA &amp; CHRISTOPHER</t>
  </si>
  <si>
    <t>RIVERA JASON A &amp; JILL V</t>
  </si>
  <si>
    <t>TONY GONZALEZ</t>
  </si>
  <si>
    <t xml:space="preserve">15833 W BERKELEY RD </t>
  </si>
  <si>
    <t>GONZALEZ TONY</t>
  </si>
  <si>
    <t>RANDY &amp; JANET NELSON</t>
  </si>
  <si>
    <t xml:space="preserve">3390 W THOREAU LN </t>
  </si>
  <si>
    <t>ANTHEM UNIT 12 REPLAT</t>
  </si>
  <si>
    <t>ROSS JUSTIN &amp; ANDI</t>
  </si>
  <si>
    <t>FIRST HM BK</t>
  </si>
  <si>
    <t>SEMINOLE FL 33772</t>
  </si>
  <si>
    <t>RANDY D NELSON</t>
  </si>
  <si>
    <t>JANET L NELSON</t>
  </si>
  <si>
    <t>DARRELL COLEMAN &amp; MICHELLE SULLIVAN</t>
  </si>
  <si>
    <t xml:space="preserve">4720 N 93RD DR </t>
  </si>
  <si>
    <t>TERRACITA</t>
  </si>
  <si>
    <t>HALEY BRYAN</t>
  </si>
  <si>
    <t>COLEMAN DARRELL</t>
  </si>
  <si>
    <t>SULLIVAN MICHELLE</t>
  </si>
  <si>
    <t>DAVIN</t>
  </si>
  <si>
    <t>JADER</t>
  </si>
  <si>
    <t>DAVIN &amp; ANDREA JADER</t>
  </si>
  <si>
    <t xml:space="preserve">3063 E CORNELL AVE </t>
  </si>
  <si>
    <t>TONE RANCH ESTATES</t>
  </si>
  <si>
    <t>CHRISTENSEN MARK E</t>
  </si>
  <si>
    <t>JADER DAVIN A &amp; ANDREA A</t>
  </si>
  <si>
    <t>LONNIE</t>
  </si>
  <si>
    <t>BENAVIDES</t>
  </si>
  <si>
    <t>LONNIE &amp; MELISSA BENAVIDES</t>
  </si>
  <si>
    <t xml:space="preserve">14645 S 25TH PL </t>
  </si>
  <si>
    <t>CRYSTAL CANYON</t>
  </si>
  <si>
    <t>SMK FAMILY TRUST</t>
  </si>
  <si>
    <t>BENAVIDES LONNIE D</t>
  </si>
  <si>
    <t>CALIX</t>
  </si>
  <si>
    <t>JANNET</t>
  </si>
  <si>
    <t>ANGEL &amp; JANNET CALIX</t>
  </si>
  <si>
    <t xml:space="preserve">3961 E WEATHER VANE RD </t>
  </si>
  <si>
    <t>VANDALE SEAN</t>
  </si>
  <si>
    <t>CALIX ANGEL A</t>
  </si>
  <si>
    <t>DEASON</t>
  </si>
  <si>
    <t>WILLIAM &amp; CINDY DEASON</t>
  </si>
  <si>
    <t xml:space="preserve">26043 N 44TH AVE </t>
  </si>
  <si>
    <t>STETSON HILLS PARCELS 8B &amp; 8C</t>
  </si>
  <si>
    <t>REECE DAVID T</t>
  </si>
  <si>
    <t>DEASON WILLIAM &amp; CINDY</t>
  </si>
  <si>
    <t>LEONA</t>
  </si>
  <si>
    <t>BETTERS</t>
  </si>
  <si>
    <t>LEONA BETTERS</t>
  </si>
  <si>
    <t xml:space="preserve">640 E CALAVAR RD </t>
  </si>
  <si>
    <t>HILLCREST SIX</t>
  </si>
  <si>
    <t>HILLCREST</t>
  </si>
  <si>
    <t>AL VINSON LLC</t>
  </si>
  <si>
    <t>BETTERS LEONA</t>
  </si>
  <si>
    <t>WOOSTER</t>
  </si>
  <si>
    <t>WOOSTER &amp; CYNTHIA JO</t>
  </si>
  <si>
    <t xml:space="preserve">8412 W LOUISE CT </t>
  </si>
  <si>
    <t>HUNTER FIELD ESTATES</t>
  </si>
  <si>
    <t>WOOSTER JACK L &amp; CYNTHIA J</t>
  </si>
  <si>
    <t>LIGON</t>
  </si>
  <si>
    <t>ROBERT &amp; JULIE LIGON</t>
  </si>
  <si>
    <t xml:space="preserve">7915 W ROSS AVE </t>
  </si>
  <si>
    <t>FLETCHER HEIGHTS PHASE 1A</t>
  </si>
  <si>
    <t>NAHORNIAK MICHAEL</t>
  </si>
  <si>
    <t>WINTRUST MTG</t>
  </si>
  <si>
    <t>LIGON ROBERT E</t>
  </si>
  <si>
    <t>WENZ</t>
  </si>
  <si>
    <t>DEBORAH WENZ</t>
  </si>
  <si>
    <t xml:space="preserve">11529 W LAURELWOOD LN </t>
  </si>
  <si>
    <t xml:space="preserve">21611 N 142ND DR </t>
  </si>
  <si>
    <t>GARDEN LAKES UNIT 21 LOT 1-155 TR A-G</t>
  </si>
  <si>
    <t>HORIZONS WEST</t>
  </si>
  <si>
    <t>YANAI YARON</t>
  </si>
  <si>
    <t>BACCUS GEORGE &amp; CHRISTINE</t>
  </si>
  <si>
    <t>KNIGHT</t>
  </si>
  <si>
    <t>BRADLEY &amp; ELIZABETH KNIGHT</t>
  </si>
  <si>
    <t xml:space="preserve">1084 W BRECKENRIDGE AVE </t>
  </si>
  <si>
    <t>CAYMAN SQUARE UNIT 1</t>
  </si>
  <si>
    <t>CAYMAN SQUARE</t>
  </si>
  <si>
    <t>MCGINN BRIAN W &amp; STEFANIE K</t>
  </si>
  <si>
    <t>KNIGHT BRADLEY &amp; ELIZABETH</t>
  </si>
  <si>
    <t>MORAST JEANNE LIVING TRUST</t>
  </si>
  <si>
    <t>MORASTJEANNE</t>
  </si>
  <si>
    <t xml:space="preserve">1638 E BERETTA PL </t>
  </si>
  <si>
    <t>CANYON OAKS ESTATES</t>
  </si>
  <si>
    <t>ALTON MARY S</t>
  </si>
  <si>
    <t>CENTURY 21 MTG</t>
  </si>
  <si>
    <t>MORAST BRUCE</t>
  </si>
  <si>
    <t>LABBE</t>
  </si>
  <si>
    <t>AMNUAY</t>
  </si>
  <si>
    <t>JUNTAPON</t>
  </si>
  <si>
    <t>ALAN &amp; AMNUAY LABBE</t>
  </si>
  <si>
    <t xml:space="preserve">4508 W BEHREND DR </t>
  </si>
  <si>
    <t>REZZONICO RUDOLPH P</t>
  </si>
  <si>
    <t>ALAN K LABBE</t>
  </si>
  <si>
    <t>AMNUAY JUNTAPON</t>
  </si>
  <si>
    <t>JOSEPH KING &amp; CRUZ ACOSTA</t>
  </si>
  <si>
    <t xml:space="preserve">2961 S ARROYO DR </t>
  </si>
  <si>
    <t>CLEMENTE RANCH PARCEL 8B</t>
  </si>
  <si>
    <t>URIBE JUAN C</t>
  </si>
  <si>
    <t>KING JOSEPH Z</t>
  </si>
  <si>
    <t>ACOSTA CRUZ C</t>
  </si>
  <si>
    <t>JOSEPH Z KING</t>
  </si>
  <si>
    <t>CRUZ C ACOSTA</t>
  </si>
  <si>
    <t>DELIVAN</t>
  </si>
  <si>
    <t>HARDERS</t>
  </si>
  <si>
    <t>DELIVAN HARDERS</t>
  </si>
  <si>
    <t xml:space="preserve">5054 E DOWNING ST </t>
  </si>
  <si>
    <t>STONEYBROOK LT 1-220 253-269 TR A</t>
  </si>
  <si>
    <t>WELLS CRYSTAL</t>
  </si>
  <si>
    <t>HARDERS DELIVAN S</t>
  </si>
  <si>
    <t>BRITNER</t>
  </si>
  <si>
    <t>JACOB BRITNER</t>
  </si>
  <si>
    <t xml:space="preserve">364 ANCORA DR S </t>
  </si>
  <si>
    <t>LITCHFIELD PARK SUB 16</t>
  </si>
  <si>
    <t>LITCHFIELD ELEMENTARY SCHOOL</t>
  </si>
  <si>
    <t>MULLENBACH OLLIE J</t>
  </si>
  <si>
    <t>BRITNER JACOB A</t>
  </si>
  <si>
    <t>MALDONADO GIL P &amp; MARY K TRUST</t>
  </si>
  <si>
    <t>P &amp; MARY MALDONADOGIL</t>
  </si>
  <si>
    <t xml:space="preserve">11037 E DOVER ST </t>
  </si>
  <si>
    <t>ADOBE ESTATES</t>
  </si>
  <si>
    <t>SWEADOR M J &amp; J A TRUST</t>
  </si>
  <si>
    <t>TROY MI 48083</t>
  </si>
  <si>
    <t>GIL P MALDONADO</t>
  </si>
  <si>
    <t>MARY MALDONADO</t>
  </si>
  <si>
    <t>BRENT DAVIS</t>
  </si>
  <si>
    <t xml:space="preserve">3435 E ADOBE ST </t>
  </si>
  <si>
    <t>C035</t>
  </si>
  <si>
    <t>GROVES UNIT 5 LOT 244-295 TRACT A</t>
  </si>
  <si>
    <t>COX RICHARD &amp; ALVIE L</t>
  </si>
  <si>
    <t>DAVIS BRENT</t>
  </si>
  <si>
    <t>TADLOCK</t>
  </si>
  <si>
    <t>STANLEY TADLOCK</t>
  </si>
  <si>
    <t xml:space="preserve">10218 S 44TH LN </t>
  </si>
  <si>
    <t>ALEXANDER LARRY</t>
  </si>
  <si>
    <t>WALTERS</t>
  </si>
  <si>
    <t>ROBYN</t>
  </si>
  <si>
    <t>CHARLES &amp; ROBYN WALTERS</t>
  </si>
  <si>
    <t xml:space="preserve">2043 S RED ROCK CT </t>
  </si>
  <si>
    <t>DAVIS RICHARD A</t>
  </si>
  <si>
    <t>WALTERS CHARLES M</t>
  </si>
  <si>
    <t>MASTERS</t>
  </si>
  <si>
    <t>JOHN MASTERS</t>
  </si>
  <si>
    <t xml:space="preserve">1842 E TULANE DR </t>
  </si>
  <si>
    <t>TEMPE ROYAL PALMS 11</t>
  </si>
  <si>
    <t>OPTIMIST PARK NORTHWEST</t>
  </si>
  <si>
    <t>LUBIS RISMADJAJA &amp; INDRAJATI</t>
  </si>
  <si>
    <t>MASTERS JOHN W</t>
  </si>
  <si>
    <t>NORMAN &amp; DEBRA JOHNSON</t>
  </si>
  <si>
    <t xml:space="preserve">4454 E DECATUR ST </t>
  </si>
  <si>
    <t>MALKOU DAVID &amp; TIFFANY M</t>
  </si>
  <si>
    <t>JOHNSON NORMAN &amp; DEBRA</t>
  </si>
  <si>
    <t>REABOLD</t>
  </si>
  <si>
    <t>MARK &amp; KARLA REABOLD</t>
  </si>
  <si>
    <t xml:space="preserve">4074 E HARRISON ST </t>
  </si>
  <si>
    <t>WOOD TERRY &amp; LAURINE</t>
  </si>
  <si>
    <t>REABOLD MARK</t>
  </si>
  <si>
    <t>LIND</t>
  </si>
  <si>
    <t>JOHN LIND</t>
  </si>
  <si>
    <t xml:space="preserve">3354 E PINOT NOIR AVE </t>
  </si>
  <si>
    <t>TENEYCK JOHN E</t>
  </si>
  <si>
    <t>LIND JOHN P</t>
  </si>
  <si>
    <t>TROUSDALE</t>
  </si>
  <si>
    <t>RIGGIO</t>
  </si>
  <si>
    <t>MICHAEL TROUSDALE &amp; HEATHER RIGGIO</t>
  </si>
  <si>
    <t xml:space="preserve">1865 E MINERAL RD </t>
  </si>
  <si>
    <t>SONOMA RANCH</t>
  </si>
  <si>
    <t>CLEGG JAMES A &amp; SHAWNA L</t>
  </si>
  <si>
    <t>TROUSDALE MICHAEL C</t>
  </si>
  <si>
    <t>RIGGIO HEATHER</t>
  </si>
  <si>
    <t>LONGTIN</t>
  </si>
  <si>
    <t>CANDACE &amp; BRETT LONGTIN</t>
  </si>
  <si>
    <t xml:space="preserve">272 W ROSEMARY DR </t>
  </si>
  <si>
    <t>VILLAGE AT DOBSON CROSSING</t>
  </si>
  <si>
    <t>AMERICAN INTL RELOCATION</t>
  </si>
  <si>
    <t>LONGTIN BRETT D &amp; CANDACE R</t>
  </si>
  <si>
    <t>GODY</t>
  </si>
  <si>
    <t>JOSHUA GODY</t>
  </si>
  <si>
    <t xml:space="preserve">9176 W HARMONY LN </t>
  </si>
  <si>
    <t>PEORIA MOUNTAIN VISTAS</t>
  </si>
  <si>
    <t>DORNAN WENDY S</t>
  </si>
  <si>
    <t>GODY JOSHUA P</t>
  </si>
  <si>
    <t>JOSHUA P GODY</t>
  </si>
  <si>
    <t>HARDLE</t>
  </si>
  <si>
    <t>RICHARD &amp; MELANIE HARDLE</t>
  </si>
  <si>
    <t xml:space="preserve">5427 E CALYPSO CIR </t>
  </si>
  <si>
    <t>LEMON TREE TERRACE UNIT 1</t>
  </si>
  <si>
    <t>LEMON TREE TERRACE</t>
  </si>
  <si>
    <t>U SHOULD BUY THIS LLC</t>
  </si>
  <si>
    <t>HARDLE RICHARD L &amp; MELANIE L</t>
  </si>
  <si>
    <t>OSBORNE</t>
  </si>
  <si>
    <t>BRANDON &amp; SARA OSBORNE</t>
  </si>
  <si>
    <t xml:space="preserve">4138 E CHOLLA CANYON DR </t>
  </si>
  <si>
    <t>MOUNTAIN PARK RANCH 11 PARCEL 1 LOT 1-13</t>
  </si>
  <si>
    <t>MAHAFFEY KENNETH G &amp; TAMARA</t>
  </si>
  <si>
    <t>OSBORNE BRANDON J &amp; SARA B</t>
  </si>
  <si>
    <t>HOWARD &amp; KATHLEEN NICHOLAS</t>
  </si>
  <si>
    <t xml:space="preserve">18439 W PORT AU PRINCE LN </t>
  </si>
  <si>
    <t>TARPLEY LARRY S &amp; GLORIA J</t>
  </si>
  <si>
    <t>NICHOLAS HOWARD &amp; KATHLEEN</t>
  </si>
  <si>
    <t>HOWARD NICHOLAS</t>
  </si>
  <si>
    <t>KATHLEEN NICHOLAS</t>
  </si>
  <si>
    <t>BRANDICE</t>
  </si>
  <si>
    <t>BEANE</t>
  </si>
  <si>
    <t>BRANDICE BEANE</t>
  </si>
  <si>
    <t xml:space="preserve">9026 W PINNACLE VISTA DR </t>
  </si>
  <si>
    <t>WESTWING MOUNTAIN PHASE 2 PARCEL 22</t>
  </si>
  <si>
    <t>WU INVESTMENTS LLC</t>
  </si>
  <si>
    <t>BRANDICE M BEANE</t>
  </si>
  <si>
    <t>SEAN</t>
  </si>
  <si>
    <t>KERR</t>
  </si>
  <si>
    <t>SEAN &amp; KIMBERLY KERR</t>
  </si>
  <si>
    <t xml:space="preserve">18263 W RUTH AVE </t>
  </si>
  <si>
    <t>WEBER EDWARD &amp; MICHELLE</t>
  </si>
  <si>
    <t>KERR SEAN K &amp; KIMBERLY</t>
  </si>
  <si>
    <t>SEAN K KERR</t>
  </si>
  <si>
    <t>KIMBERLY KERR</t>
  </si>
  <si>
    <t>CONNI</t>
  </si>
  <si>
    <t>BELLINGER</t>
  </si>
  <si>
    <t>CONNI BELLINGER</t>
  </si>
  <si>
    <t xml:space="preserve">14215 W ALEPPO DR </t>
  </si>
  <si>
    <t>SUN CITY WEST 22</t>
  </si>
  <si>
    <t>JAMES MARGARET</t>
  </si>
  <si>
    <t>BELLINGER JOHN R</t>
  </si>
  <si>
    <t>BUCHANAN</t>
  </si>
  <si>
    <t>ROBERT &amp; LETICIA BUCHANAN</t>
  </si>
  <si>
    <t xml:space="preserve">3534 E DERRINGER WAY </t>
  </si>
  <si>
    <t>SAN TAN RANCH PARCEL 3</t>
  </si>
  <si>
    <t>ANGLIN DEREK W</t>
  </si>
  <si>
    <t>ROBERT H BUCHANAN</t>
  </si>
  <si>
    <t>LETICIA R BUCHANAN</t>
  </si>
  <si>
    <t>STOUT</t>
  </si>
  <si>
    <t>JAMES STOUT</t>
  </si>
  <si>
    <t xml:space="preserve">12214 W MARICOPA ST </t>
  </si>
  <si>
    <t>COLDWATER SPRINGS PARCEL 15</t>
  </si>
  <si>
    <t>QUINCE MARK L</t>
  </si>
  <si>
    <t>FIRST MTG HM LNDG LLC</t>
  </si>
  <si>
    <t>STOUT JAMES</t>
  </si>
  <si>
    <t>KALOOSTIAN</t>
  </si>
  <si>
    <t>ASHIAN</t>
  </si>
  <si>
    <t>DAMITA</t>
  </si>
  <si>
    <t>KALOOSTIAN &amp; DAMITA ASHIAN</t>
  </si>
  <si>
    <t xml:space="preserve">2210 W HEDGEHOG PL </t>
  </si>
  <si>
    <t>VALLEY VISTA PARCEL B</t>
  </si>
  <si>
    <t>VALLEY VISTA</t>
  </si>
  <si>
    <t>ILKO CHRISTA M LIVING TRUST</t>
  </si>
  <si>
    <t>US BANK NA</t>
  </si>
  <si>
    <t>KALOOSTIAN RODRICK PAUL &amp; DAMITA ASHIAN</t>
  </si>
  <si>
    <t>FLY</t>
  </si>
  <si>
    <t>RICHARD &amp; ALICIA FLY</t>
  </si>
  <si>
    <t xml:space="preserve">4734 E REDFIELD RD #167 </t>
  </si>
  <si>
    <t xml:space="preserve">4734 E REDFIELD RD </t>
  </si>
  <si>
    <t>HUNTERS VILLAGE UNIT 2 LOT 164-176</t>
  </si>
  <si>
    <t>HUNTERS VILLAGE</t>
  </si>
  <si>
    <t>FISHER EDWIN LOUIS T T</t>
  </si>
  <si>
    <t>RICHARD FLY</t>
  </si>
  <si>
    <t>ALICIA FLY</t>
  </si>
  <si>
    <t>MICHAEL &amp; TAMMY LEWIS</t>
  </si>
  <si>
    <t xml:space="preserve">3307 E PHELPS ST </t>
  </si>
  <si>
    <t>CHANDLER GINNING</t>
  </si>
  <si>
    <t>PIVONKA LIVING TRUST</t>
  </si>
  <si>
    <t>LEWIS MICHAEL &amp; TAMMY</t>
  </si>
  <si>
    <t>JASON EVANS</t>
  </si>
  <si>
    <t xml:space="preserve">8108 S 32ND GLN </t>
  </si>
  <si>
    <t>ESTATES OF SIERRA VISTA LLC</t>
  </si>
  <si>
    <t>MB FIN'L BK NA</t>
  </si>
  <si>
    <t>EVANS JASON S</t>
  </si>
  <si>
    <t>BERNIS</t>
  </si>
  <si>
    <t>ROBERT &amp; BERNIS STARR</t>
  </si>
  <si>
    <t xml:space="preserve">4165 E STRAWBERRY DR </t>
  </si>
  <si>
    <t>R072</t>
  </si>
  <si>
    <t>MEADOWBROOK VILLAGE AT POWER RANCH 2</t>
  </si>
  <si>
    <t>MEADOWBROOK VILLAGE</t>
  </si>
  <si>
    <t>STARR EUGENE J</t>
  </si>
  <si>
    <t>STARR ROBERT E &amp; BERNIS J</t>
  </si>
  <si>
    <t>JACOB C ALLEN AND KELLY S CHAVEZ ALLEN REV TR</t>
  </si>
  <si>
    <t xml:space="preserve">4037 E THISTLE LANDING DR </t>
  </si>
  <si>
    <t>HIGHLANDS AT MOUNTAIN PARK RANCH LT 1-79</t>
  </si>
  <si>
    <t>HIGHLANDS MOUNTAIN PARK RANCH</t>
  </si>
  <si>
    <t>DAMBROWSKI MICHAEL</t>
  </si>
  <si>
    <t>ALLEN JACOB C</t>
  </si>
  <si>
    <t>SEAMANS</t>
  </si>
  <si>
    <t>MELODY</t>
  </si>
  <si>
    <t>ADRIENNA</t>
  </si>
  <si>
    <t>SEAMANS &amp; ADRIENNA MELODY</t>
  </si>
  <si>
    <t xml:space="preserve">1001 N QUAIL LN </t>
  </si>
  <si>
    <t>KENNEY ROBERT A &amp; D M TRUST</t>
  </si>
  <si>
    <t>ASSET MUTUAL MTG INC</t>
  </si>
  <si>
    <t>SEAMANS STEVEN L &amp; ADRIENNA M</t>
  </si>
  <si>
    <t>STEVEN L SEAMANS</t>
  </si>
  <si>
    <t>ADRIENNA M SEAMANS</t>
  </si>
  <si>
    <t>KNEBELSBERGER</t>
  </si>
  <si>
    <t>ANDREW &amp; MELISSA KNEBELSBERGER</t>
  </si>
  <si>
    <t xml:space="preserve">3916 E TAURUS PL </t>
  </si>
  <si>
    <t>US BANK NA 2006-3 TE</t>
  </si>
  <si>
    <t>KNEBELSBERGER ANDREW &amp; MELISS</t>
  </si>
  <si>
    <t>RODNEY</t>
  </si>
  <si>
    <t>JAYNES</t>
  </si>
  <si>
    <t>RODNEY &amp; MARY JAYNES</t>
  </si>
  <si>
    <t xml:space="preserve">10410 E CHESTNUT DR </t>
  </si>
  <si>
    <t>SUN LAKES 21  LOT 1-407 TR A-D</t>
  </si>
  <si>
    <t>HAY DARLENE A</t>
  </si>
  <si>
    <t>JAYNES RODNEY C &amp; MARY F</t>
  </si>
  <si>
    <t>FARRELL</t>
  </si>
  <si>
    <t>MICHAEL &amp; DEBORAH FARRELL</t>
  </si>
  <si>
    <t xml:space="preserve">1111 E BRUCE AVE </t>
  </si>
  <si>
    <t>WEST SHORE AT WIND DRIFT</t>
  </si>
  <si>
    <t>SERRANO ARNOLD</t>
  </si>
  <si>
    <t>AZ LNDG EXPERTS LLC</t>
  </si>
  <si>
    <t>FARRELL MICHAEL J &amp; DEBORAH M</t>
  </si>
  <si>
    <t>GRINER</t>
  </si>
  <si>
    <t>KEITH GRINER</t>
  </si>
  <si>
    <t xml:space="preserve">1251 N FIREHOUSE CT </t>
  </si>
  <si>
    <t>AUTUMN LANE</t>
  </si>
  <si>
    <t>RIFFELL SARAH</t>
  </si>
  <si>
    <t>GRINER KEITH</t>
  </si>
  <si>
    <t>BORROMEO</t>
  </si>
  <si>
    <t>EDUARDO BORROMEO</t>
  </si>
  <si>
    <t xml:space="preserve">3452 N 47TH ST </t>
  </si>
  <si>
    <t>HACIENDA DEL CAMPO AMD</t>
  </si>
  <si>
    <t>HACIENDA DEL CAMPO</t>
  </si>
  <si>
    <t>GARNIN JOHN C &amp; RACHEL A</t>
  </si>
  <si>
    <t>BORROMEO EDUARDO</t>
  </si>
  <si>
    <t>VALENTIN</t>
  </si>
  <si>
    <t>BUSTOS</t>
  </si>
  <si>
    <t>BIANCA</t>
  </si>
  <si>
    <t>VALENTIN BUSTOS &amp; BIANCA MIRANDA</t>
  </si>
  <si>
    <t xml:space="preserve">7928 W HILTON AVE </t>
  </si>
  <si>
    <t>SUNDANCE RANCH</t>
  </si>
  <si>
    <t>SUN CANYON ELEMENTARY SCHOOL</t>
  </si>
  <si>
    <t>SANTA MARIA MIDDLE SCHOOL</t>
  </si>
  <si>
    <t>AMABILE ERIK A</t>
  </si>
  <si>
    <t>BUSTOS VALENTIN</t>
  </si>
  <si>
    <t>MIRANDA BIANCA</t>
  </si>
  <si>
    <t>SWEETIN</t>
  </si>
  <si>
    <t>JOSHUA SWEETIN</t>
  </si>
  <si>
    <t xml:space="preserve">3766 E ZACHARY DR </t>
  </si>
  <si>
    <t>DESERT RIDGE SUPERBLOCK 11 PARCEL 3</t>
  </si>
  <si>
    <t>AMBER CREST</t>
  </si>
  <si>
    <t>FIRESIDE ELEMENTARY SCHOOL</t>
  </si>
  <si>
    <t>WILLIAMS RONALD J</t>
  </si>
  <si>
    <t>SWEETIN JOSHUA W</t>
  </si>
  <si>
    <t>JEFFREY LOVE</t>
  </si>
  <si>
    <t xml:space="preserve">8526 E CHAPARRAL RD </t>
  </si>
  <si>
    <t xml:space="preserve">PO BOX 5962 </t>
  </si>
  <si>
    <t>PARK SCOTTSDALE 2</t>
  </si>
  <si>
    <t>OCONNOR ALISHA</t>
  </si>
  <si>
    <t>LOVE JEFFREY P</t>
  </si>
  <si>
    <t>RICHARD HARRISON</t>
  </si>
  <si>
    <t xml:space="preserve">3725 N 128TH AVE </t>
  </si>
  <si>
    <t>SAGE CREEK</t>
  </si>
  <si>
    <t>TRAVIS WILLIAM A</t>
  </si>
  <si>
    <t>DETROIT MI 48226</t>
  </si>
  <si>
    <t>HARRISON RICHARD</t>
  </si>
  <si>
    <t>UGASTE MICHELLE</t>
  </si>
  <si>
    <t>M</t>
  </si>
  <si>
    <t>MORTENSE</t>
  </si>
  <si>
    <t>M &amp; MORTENSE BRUCE</t>
  </si>
  <si>
    <t xml:space="preserve">5750 S DRAGOON DR </t>
  </si>
  <si>
    <t>MESQUITE GROVE ESTATES</t>
  </si>
  <si>
    <t>BIENIEWICZ STEVEN J</t>
  </si>
  <si>
    <t>MORTENSEN MAX B &amp; VICTORIA</t>
  </si>
  <si>
    <t>HOOKER</t>
  </si>
  <si>
    <t>MUELLER-HOOKER</t>
  </si>
  <si>
    <t>JERRY HOOKER &amp; TAMARA MUELLER-HOOKER</t>
  </si>
  <si>
    <t xml:space="preserve">22514 N MIRAGE LN </t>
  </si>
  <si>
    <t>ALLEN PATRICIA N</t>
  </si>
  <si>
    <t>HOOKER JERRY W</t>
  </si>
  <si>
    <t>MUELLER-HOOKER TAMARA L</t>
  </si>
  <si>
    <t>RYAN &amp; JESSICA MORRIS</t>
  </si>
  <si>
    <t xml:space="preserve">22280 E VIA DE OLIVOS CT </t>
  </si>
  <si>
    <t>MORRIS RYAN A &amp; JESSICA A</t>
  </si>
  <si>
    <t>RUSSELL &amp; LISA BROWN</t>
  </si>
  <si>
    <t xml:space="preserve">10261 E CABALLERO ST </t>
  </si>
  <si>
    <t>SAGEWOOD</t>
  </si>
  <si>
    <t>GELBRICH RYAN &amp; JENNIFER L</t>
  </si>
  <si>
    <t>BROWN RUSSELL R &amp; LISA E</t>
  </si>
  <si>
    <t>ANTONIO &amp; EILEEN AGUILAR</t>
  </si>
  <si>
    <t xml:space="preserve">8908 W MAUI LN </t>
  </si>
  <si>
    <t>HARBOR SHORES LOT 1-52 TR A</t>
  </si>
  <si>
    <t>HARBOR SHORES</t>
  </si>
  <si>
    <t>MAYA ARTURO</t>
  </si>
  <si>
    <t>AGUILAR ANTONIO &amp; EILEEN</t>
  </si>
  <si>
    <t>REGINALD</t>
  </si>
  <si>
    <t>BRISTER</t>
  </si>
  <si>
    <t>LEASA</t>
  </si>
  <si>
    <t>HARBORD</t>
  </si>
  <si>
    <t>REGINALD BRISTER &amp; LEASA HARBORD</t>
  </si>
  <si>
    <t xml:space="preserve">7664 W MARY JANE LN </t>
  </si>
  <si>
    <t>PASEO VERDE ESTATES</t>
  </si>
  <si>
    <t>MOENICH DONALD C &amp; ELIZABETH</t>
  </si>
  <si>
    <t>BRISTER REGINALD A</t>
  </si>
  <si>
    <t>HARBORD LEASA R</t>
  </si>
  <si>
    <t>TERRYE</t>
  </si>
  <si>
    <t>DALE &amp; TERRYE BAKER</t>
  </si>
  <si>
    <t xml:space="preserve">1458 S HERITAGE DR </t>
  </si>
  <si>
    <t>LINDSAY RANCH UNIT 4</t>
  </si>
  <si>
    <t>SHARLEY THOMAS C &amp; JULIET K</t>
  </si>
  <si>
    <t>DALLAS TX 75254</t>
  </si>
  <si>
    <t>BAKER DALE &amp; TERRYE</t>
  </si>
  <si>
    <t>RYAN &amp; ALEXANDRA YOUNG</t>
  </si>
  <si>
    <t xml:space="preserve">4052 N FOUNDER CIR </t>
  </si>
  <si>
    <t>VERRADO PARCEL 4.608</t>
  </si>
  <si>
    <t>WHEELHOUSE PROPERTIES INC</t>
  </si>
  <si>
    <t>YOUNG RYAN E</t>
  </si>
  <si>
    <t>JOSEPH &amp; EMILY MARTIN</t>
  </si>
  <si>
    <t xml:space="preserve">43910 N 24TH ST </t>
  </si>
  <si>
    <t>H009</t>
  </si>
  <si>
    <t>ENGERS ERIC J &amp; NONA G</t>
  </si>
  <si>
    <t>JOSEPH J MARTIN</t>
  </si>
  <si>
    <t>EMILY MARTIN</t>
  </si>
  <si>
    <t>KOCH</t>
  </si>
  <si>
    <t>RACHAEL</t>
  </si>
  <si>
    <t>JARED &amp; RACHAEL KOCH</t>
  </si>
  <si>
    <t xml:space="preserve">3531 S 159TH ST </t>
  </si>
  <si>
    <t>SCOTT FAMILY LIVING TRUST</t>
  </si>
  <si>
    <t>MINNEAPOLIS MN 55416</t>
  </si>
  <si>
    <t>KOCH JARED A &amp; RACHAEL</t>
  </si>
  <si>
    <t>JARED A KOCH</t>
  </si>
  <si>
    <t>RACHAEL KOCH</t>
  </si>
  <si>
    <t>GARZA</t>
  </si>
  <si>
    <t>KNOP-GARZA</t>
  </si>
  <si>
    <t>GARZA BERNAL &amp; KATRINA KNOP-GARZA</t>
  </si>
  <si>
    <t xml:space="preserve">14873 W COLUMBINE DR </t>
  </si>
  <si>
    <t>PELKEY KERRY</t>
  </si>
  <si>
    <t>JOSE B GARZA</t>
  </si>
  <si>
    <t>KATRINA L KNOP-GARZA</t>
  </si>
  <si>
    <t>GAZZA</t>
  </si>
  <si>
    <t>CHAI</t>
  </si>
  <si>
    <t>NANMEI</t>
  </si>
  <si>
    <t>GAZZA &amp; NANMEI CHAI</t>
  </si>
  <si>
    <t xml:space="preserve">12015 S 44TH ST </t>
  </si>
  <si>
    <t>CENTER COURT AT AHWATUKEE</t>
  </si>
  <si>
    <t>KYRENE DE LAS LOMAS SCHOOL</t>
  </si>
  <si>
    <t>DIGNAN DAVID P</t>
  </si>
  <si>
    <t>GAZZA ALLAN J &amp; NANMEI C</t>
  </si>
  <si>
    <t>JUSTIN ROSS &amp; JULIE BELL</t>
  </si>
  <si>
    <t xml:space="preserve">2912 W OWENS WAY </t>
  </si>
  <si>
    <t>ANTHEM UNIT 17</t>
  </si>
  <si>
    <t>FOLAD SATE N</t>
  </si>
  <si>
    <t>ROSS JUSTIN</t>
  </si>
  <si>
    <t>GOSSETT</t>
  </si>
  <si>
    <t>MAGDALENA</t>
  </si>
  <si>
    <t>RUSSELL &amp; MAGDALENA GOSSETT</t>
  </si>
  <si>
    <t xml:space="preserve">733 W MESQUITE LN </t>
  </si>
  <si>
    <t>BUY RITE HOMES LLC</t>
  </si>
  <si>
    <t>GOSSETT RUSSELL</t>
  </si>
  <si>
    <t>BAUMAN</t>
  </si>
  <si>
    <t>STEVEN BAUMAN</t>
  </si>
  <si>
    <t xml:space="preserve">19611 N 40TH LN </t>
  </si>
  <si>
    <t>YORKSHIRE ESTATES</t>
  </si>
  <si>
    <t>KAIMAN DAVID &amp; SHANNON TRUST</t>
  </si>
  <si>
    <t>BAUMAN STEVEN A</t>
  </si>
  <si>
    <t>RICHARD BINGAMAN FAMILY TRUST</t>
  </si>
  <si>
    <t>RICHARD BINGAMAN</t>
  </si>
  <si>
    <t xml:space="preserve">2536 E TURNEY AVE </t>
  </si>
  <si>
    <t>HOFFMAN TERRACE</t>
  </si>
  <si>
    <t>KRAFT DENISE</t>
  </si>
  <si>
    <t>MOORPARK CA 93021</t>
  </si>
  <si>
    <t>BINGAMAN RICHARD</t>
  </si>
  <si>
    <t>BINGAMAN RICHARD FAMILY TRUST</t>
  </si>
  <si>
    <t>CARL ANDERSON</t>
  </si>
  <si>
    <t xml:space="preserve">3429 E DECATUR ST </t>
  </si>
  <si>
    <t xml:space="preserve">2434 E MELROSE ST </t>
  </si>
  <si>
    <t>HIDDEN GROVES</t>
  </si>
  <si>
    <t>BOTTA SANDRA</t>
  </si>
  <si>
    <t>ANDERSON CARL THOMAS</t>
  </si>
  <si>
    <t>MARR</t>
  </si>
  <si>
    <t>DENNIS MARR &amp; ALAN WILSON</t>
  </si>
  <si>
    <t xml:space="preserve">16147 E RED MOUNTAIN TRL </t>
  </si>
  <si>
    <t>FOUNTAIN HILLS AZ F P PLAT NO 415</t>
  </si>
  <si>
    <t>FOUNTAIN HILLS ARIZONA</t>
  </si>
  <si>
    <t>BASORE FAMILY TRUST</t>
  </si>
  <si>
    <t>MARR DENNIS H</t>
  </si>
  <si>
    <t>WILSON ALAN S</t>
  </si>
  <si>
    <t>ABRAHAM MILLER</t>
  </si>
  <si>
    <t xml:space="preserve">1911 E LEXINGTON AVE </t>
  </si>
  <si>
    <t>CIRCLE G RANCHES 7 LOT 1-81 TR A</t>
  </si>
  <si>
    <t>CIRCLE G RANCHES</t>
  </si>
  <si>
    <t>LINDAHL SPENCER J</t>
  </si>
  <si>
    <t>MILLER ABRAHAM M</t>
  </si>
  <si>
    <t>CHRISTOPHER &amp; JODI PALMER</t>
  </si>
  <si>
    <t xml:space="preserve">40133 N NOBLE HAWK CT </t>
  </si>
  <si>
    <t>ANTHEM UNIT 91</t>
  </si>
  <si>
    <t>MCLAUGHLIN DEAN</t>
  </si>
  <si>
    <t>PALMER CHRISTOPHER &amp; JODI</t>
  </si>
  <si>
    <t>WHITCOMB FAMILY TRUST</t>
  </si>
  <si>
    <t>WHITCOMB</t>
  </si>
  <si>
    <t xml:space="preserve">3123 E MARSHALL AVE </t>
  </si>
  <si>
    <t>BILTMORE SHORES REPLAT LT 1-38 TR A-C</t>
  </si>
  <si>
    <t>BILTMORE SHORES</t>
  </si>
  <si>
    <t>WILLIAMS BEN F JR TRUST</t>
  </si>
  <si>
    <t>WHITCOMB RICHARD D &amp; DEBRA J</t>
  </si>
  <si>
    <t>GORR</t>
  </si>
  <si>
    <t>TRACY &amp; KENNETH GORR</t>
  </si>
  <si>
    <t xml:space="preserve">6819 W DARREL RD </t>
  </si>
  <si>
    <t>LAVEEN FARMS PHASE  1</t>
  </si>
  <si>
    <t>REAM SARAH M</t>
  </si>
  <si>
    <t>GORR TRACY L &amp; KENNETH B</t>
  </si>
  <si>
    <t>HAMMOND</t>
  </si>
  <si>
    <t>WILLIAM &amp; LORI HAMMOND</t>
  </si>
  <si>
    <t xml:space="preserve">2513 N WINTHROP </t>
  </si>
  <si>
    <t>R148</t>
  </si>
  <si>
    <t>HERMOSA VISTA ESTATES LOT 1-87 TR A</t>
  </si>
  <si>
    <t>HERMOSA VISTA ESTATES</t>
  </si>
  <si>
    <t>HERMOSA VISTA ELEMENTARY SCHOOL</t>
  </si>
  <si>
    <t>GREER NANCY J</t>
  </si>
  <si>
    <t>HAMMOND WILLIAM G &amp; LORI D</t>
  </si>
  <si>
    <t>OTTERMAN</t>
  </si>
  <si>
    <t>JESSICA &amp; JOSHUA OTTERMAN</t>
  </si>
  <si>
    <t xml:space="preserve">13723 W RANCHO DR </t>
  </si>
  <si>
    <t>DREAMING SUMMIT UNIT 2B</t>
  </si>
  <si>
    <t>NICHOLSON ZACHARY</t>
  </si>
  <si>
    <t>OTTERMAN JESSICA &amp; JOSHUA</t>
  </si>
  <si>
    <t>STIRNES</t>
  </si>
  <si>
    <t>HARRIS-STIRNES</t>
  </si>
  <si>
    <t>ROBERT STIRNES &amp; CAROL HARRIS-STIRNES</t>
  </si>
  <si>
    <t xml:space="preserve">11025 N 53RD DR </t>
  </si>
  <si>
    <t>GREENBRIER UNIT 7 LOT 469-675</t>
  </si>
  <si>
    <t>GREENBRIER</t>
  </si>
  <si>
    <t>JEFFREY A WELSHEIMER PC</t>
  </si>
  <si>
    <t>STIRNES ROBERT J</t>
  </si>
  <si>
    <t>HARRIS STIRNES CAROL</t>
  </si>
  <si>
    <t>BISON</t>
  </si>
  <si>
    <t>JUDY BISON</t>
  </si>
  <si>
    <t xml:space="preserve">2704 S 365TH AVE </t>
  </si>
  <si>
    <t>TONOPAH</t>
  </si>
  <si>
    <t>RUTH FISHER ELEMENTARY SCHOOL</t>
  </si>
  <si>
    <t>MAGNATA FUNDING GROUP LLC</t>
  </si>
  <si>
    <t>JUDY C BISON</t>
  </si>
  <si>
    <t>MATTHEW BISON</t>
  </si>
  <si>
    <t>LOZA</t>
  </si>
  <si>
    <t>MANDI JOHNSON &amp; PETER LOZA</t>
  </si>
  <si>
    <t xml:space="preserve">2906 E SALTSAGE DR </t>
  </si>
  <si>
    <t>CANYON SPRINGS  LOT 1-51 TR A</t>
  </si>
  <si>
    <t>CANYON SPRINGS</t>
  </si>
  <si>
    <t>KONASKY LLC</t>
  </si>
  <si>
    <t>MANDI A DE LOZA</t>
  </si>
  <si>
    <t>PETER R DE LOZA</t>
  </si>
  <si>
    <t>CERNA</t>
  </si>
  <si>
    <t>ARIANA</t>
  </si>
  <si>
    <t>DANIEL &amp; ARIANA CERNA</t>
  </si>
  <si>
    <t xml:space="preserve">3444 W THOREAU LN </t>
  </si>
  <si>
    <t>COTTINGHAM SHAUN &amp; DANA</t>
  </si>
  <si>
    <t>CERNA DANIEL E &amp; ARIANA R</t>
  </si>
  <si>
    <t>CONNOR</t>
  </si>
  <si>
    <t>STONE</t>
  </si>
  <si>
    <t>LISSETTE</t>
  </si>
  <si>
    <t>CONNOR &amp; LISSETTE STONE</t>
  </si>
  <si>
    <t xml:space="preserve">22379 E VIA DE OLIVOS </t>
  </si>
  <si>
    <t>STONE CONNOR F &amp; LISSETTE A</t>
  </si>
  <si>
    <t>KONCHALSKI</t>
  </si>
  <si>
    <t>STEFANY</t>
  </si>
  <si>
    <t>YOWORSKY</t>
  </si>
  <si>
    <t>CHRISTOPHER KONCHALSKI &amp; STEFANY YOWORSKY</t>
  </si>
  <si>
    <t xml:space="preserve">13219 W COPPERLEAF LN </t>
  </si>
  <si>
    <t>KONCHALSKI CHRISTOPHER</t>
  </si>
  <si>
    <t>YOWORSKY STEFANY</t>
  </si>
  <si>
    <t>RODNEY GALARZA</t>
  </si>
  <si>
    <t xml:space="preserve">9233 S 51ST ST </t>
  </si>
  <si>
    <t>POINTE SOUTH MOUNTAIN UNIT 9 LOT 1889-19</t>
  </si>
  <si>
    <t>SLOYAN FAMILY TRUST</t>
  </si>
  <si>
    <t>GALARZA RODNEY</t>
  </si>
  <si>
    <t>GIOVANNY</t>
  </si>
  <si>
    <t>BUITRON</t>
  </si>
  <si>
    <t>GIOVANNY BUITRON</t>
  </si>
  <si>
    <t xml:space="preserve">13272 W FLOWER ST </t>
  </si>
  <si>
    <t>BOYLES ERIC T</t>
  </si>
  <si>
    <t>BUITRON GIOVANNY</t>
  </si>
  <si>
    <t>FLOOD</t>
  </si>
  <si>
    <t>DARIN &amp; KIMBERLY FLOOD</t>
  </si>
  <si>
    <t xml:space="preserve">4203 S BEDFORD DR </t>
  </si>
  <si>
    <t>GENEVA ESTATES</t>
  </si>
  <si>
    <t>BADIO JEAN-LUC &amp; MAGALI</t>
  </si>
  <si>
    <t>FLOOD DARIN &amp; KIMBERLY</t>
  </si>
  <si>
    <t>DUSTIN</t>
  </si>
  <si>
    <t>GUMP</t>
  </si>
  <si>
    <t>DUSTIN &amp; SARAH GUMP</t>
  </si>
  <si>
    <t xml:space="preserve">16820 S 27TH LN </t>
  </si>
  <si>
    <t>FOOTHILLS RESERVE PARCEL D</t>
  </si>
  <si>
    <t>FOOTHILLS RESERVE</t>
  </si>
  <si>
    <t>TATA JAMSHID J</t>
  </si>
  <si>
    <t>GUMP DUSTIN</t>
  </si>
  <si>
    <t>SPERKOSKI</t>
  </si>
  <si>
    <t>MICHAEL &amp; JENNIFER SPERKOSKI</t>
  </si>
  <si>
    <t xml:space="preserve">8021 W DONALD DR </t>
  </si>
  <si>
    <t>SWAFFARD CHAD &amp; LORAINE</t>
  </si>
  <si>
    <t>SPERKOSKI MICHAEL &amp; JENNIFER</t>
  </si>
  <si>
    <t>CRAMER</t>
  </si>
  <si>
    <t>ERIC &amp; JUSTINA CRAMER</t>
  </si>
  <si>
    <t xml:space="preserve">7516 N 46TH DR </t>
  </si>
  <si>
    <t>GOLDEN PALMS ESTATES 4</t>
  </si>
  <si>
    <t>GOLDEN PALMS ESTATES</t>
  </si>
  <si>
    <t>CPLC HOUSING PARTNERS LLC</t>
  </si>
  <si>
    <t>CRAMER ERIC &amp; JUSTINA</t>
  </si>
  <si>
    <t>WORSWICK</t>
  </si>
  <si>
    <t>JONATHAN &amp; KIMBERLY WORSWICK</t>
  </si>
  <si>
    <t xml:space="preserve">2321 E AZALEA DR </t>
  </si>
  <si>
    <t>KOOISTRA GREGORY R</t>
  </si>
  <si>
    <t>WORSWICK JONATHAN T</t>
  </si>
  <si>
    <t>SANTIAGO</t>
  </si>
  <si>
    <t>CASTROPEREZ</t>
  </si>
  <si>
    <t>SANTIAGO CASTROPEREZ &amp; ADELA CHAVEZ</t>
  </si>
  <si>
    <t xml:space="preserve">715 VAL VERDE CIR E </t>
  </si>
  <si>
    <t>LITCHFIELD PARK SUB 12 UNIT 1</t>
  </si>
  <si>
    <t>CORGAN LIVING TRUST</t>
  </si>
  <si>
    <t>360 MORTGAGE GROUP LLC</t>
  </si>
  <si>
    <t>CASTROPEREZ SANTIAGO RENE</t>
  </si>
  <si>
    <t>CHAVEZ ADELA LERMA</t>
  </si>
  <si>
    <t>AZ COODEY FAMILY TRUST</t>
  </si>
  <si>
    <t>AZCOODEY</t>
  </si>
  <si>
    <t xml:space="preserve">1101 E PARADISE LN </t>
  </si>
  <si>
    <t>NORTH SLOPE LOT 1-120</t>
  </si>
  <si>
    <t>NORTH SLOPE</t>
  </si>
  <si>
    <t>COODEY JOEL C &amp; ROSEANNE R</t>
  </si>
  <si>
    <t>BOSGRA</t>
  </si>
  <si>
    <t>BABOS</t>
  </si>
  <si>
    <t>JENNIFER BOSGRA &amp; RONALD BABOS</t>
  </si>
  <si>
    <t xml:space="preserve">10422 W LOUISE DR </t>
  </si>
  <si>
    <t>CASA DEL REY AT CAMINO A LAGO</t>
  </si>
  <si>
    <t>CASA DEL REY AT CAMINO LAGO</t>
  </si>
  <si>
    <t>BOSGRA JENNIFER</t>
  </si>
  <si>
    <t>BABOS RONALD</t>
  </si>
  <si>
    <t>TED</t>
  </si>
  <si>
    <t>CLAIBOURNE</t>
  </si>
  <si>
    <t>TED &amp; TRACY CLAIBOURNE</t>
  </si>
  <si>
    <t xml:space="preserve">21217 N 67TH DR </t>
  </si>
  <si>
    <t>VANDERVORT MICHAEL W &amp; CYNTH</t>
  </si>
  <si>
    <t>CLAIBOURNE TED W &amp; TRACY A</t>
  </si>
  <si>
    <t>SHARP</t>
  </si>
  <si>
    <t>WAYNE &amp; CAROLYN SHARP</t>
  </si>
  <si>
    <t xml:space="preserve">1161 W BRECKENRIDGE AVE </t>
  </si>
  <si>
    <t>GARCIA C E &amp; Q P D TRUST</t>
  </si>
  <si>
    <t>SHARP WAYNE A &amp; CAROLYN</t>
  </si>
  <si>
    <t>SCHNIERLE</t>
  </si>
  <si>
    <t>DAVID SCHNIERLE</t>
  </si>
  <si>
    <t xml:space="preserve">6910 W REMUDA DR </t>
  </si>
  <si>
    <t>TERRAMAR PARCEL 3</t>
  </si>
  <si>
    <t>SCHNIERLE JOHN W &amp; LYNN M</t>
  </si>
  <si>
    <t>SCHNIERLE DAVID B</t>
  </si>
  <si>
    <t>MUNDT</t>
  </si>
  <si>
    <t>WALTER &amp; LISA MUNDT</t>
  </si>
  <si>
    <t xml:space="preserve">7292 W WHISPERING WIND DR </t>
  </si>
  <si>
    <t>ESTATES AT HAPPY VALLEY</t>
  </si>
  <si>
    <t>MUNDT WALTER A &amp; LISA A</t>
  </si>
  <si>
    <t>CASTALDO</t>
  </si>
  <si>
    <t>ANTHONY CASTALDO</t>
  </si>
  <si>
    <t xml:space="preserve">2739 E CONCHO AVE </t>
  </si>
  <si>
    <t>LINDSAY CROSSING</t>
  </si>
  <si>
    <t>HOOLEY SCOTT</t>
  </si>
  <si>
    <t>CASTALDO ANTHONY</t>
  </si>
  <si>
    <t>FRASER</t>
  </si>
  <si>
    <t>BRUCE &amp; MELISSA FRASER</t>
  </si>
  <si>
    <t xml:space="preserve">20420 E FIRESTONE DR </t>
  </si>
  <si>
    <t>CARRASCO FILIBERTO</t>
  </si>
  <si>
    <t>FRASER BRUCE &amp; MELISSA</t>
  </si>
  <si>
    <t>MARK &amp; DEBORAH FRASER</t>
  </si>
  <si>
    <t xml:space="preserve">5336 E FLOWER AVE </t>
  </si>
  <si>
    <t>ARIZONA VALENCIA 2</t>
  </si>
  <si>
    <t>JOHNSON DARYL W &amp; LINDA L</t>
  </si>
  <si>
    <t>FRASER MARK D &amp; DEBORAH A</t>
  </si>
  <si>
    <t>WAYNE JACKSON</t>
  </si>
  <si>
    <t xml:space="preserve">10116 W MARGUERITE AVE </t>
  </si>
  <si>
    <t>WAYNE L JACKSON</t>
  </si>
  <si>
    <t>DENVER</t>
  </si>
  <si>
    <t>PITTMAN</t>
  </si>
  <si>
    <t>DENVER &amp; PATRICIA PITTMAN</t>
  </si>
  <si>
    <t xml:space="preserve">4813 W CAVALRY RD </t>
  </si>
  <si>
    <t>DALESSIO FAMILY TRUST</t>
  </si>
  <si>
    <t>PITTMAN DENVER L &amp; PATRICIA K</t>
  </si>
  <si>
    <t>JACKSON FAMILY LIVING TRUST</t>
  </si>
  <si>
    <t xml:space="preserve">14824 E MORNING VISTA LN </t>
  </si>
  <si>
    <t>R126</t>
  </si>
  <si>
    <t xml:space="preserve">14284 E MORNING VISTA LN </t>
  </si>
  <si>
    <t>JACKSON DAVID C &amp; LEE A</t>
  </si>
  <si>
    <t>EDWARD &amp; TERESA GONZALEZ</t>
  </si>
  <si>
    <t xml:space="preserve">18244 E SUNNYDALE DR </t>
  </si>
  <si>
    <t>DELGADO R L &amp; J M TRUST</t>
  </si>
  <si>
    <t>ARMED FORCES BK</t>
  </si>
  <si>
    <t>GONZALEZ EDWARD J &amp; TERESA A</t>
  </si>
  <si>
    <t>GIANPAUL</t>
  </si>
  <si>
    <t>DALOTTO</t>
  </si>
  <si>
    <t>TOPPING</t>
  </si>
  <si>
    <t>GIANPAUL DALOTTO &amp; ALLISON TOPPING</t>
  </si>
  <si>
    <t xml:space="preserve">2844 E PERSHING AVE </t>
  </si>
  <si>
    <t>CLEARVIEW 7A</t>
  </si>
  <si>
    <t>WHITE KAREN R</t>
  </si>
  <si>
    <t>DALOTTO GIANPAUL M &amp; ALLISON</t>
  </si>
  <si>
    <t>TOPPING ALLISON R</t>
  </si>
  <si>
    <t>WILLIAM WARREN</t>
  </si>
  <si>
    <t xml:space="preserve">17506 W ACAPULCO LN </t>
  </si>
  <si>
    <t>SIERRA MONTANA PARCEL 19</t>
  </si>
  <si>
    <t>DIAMANTE AT SIERRA MONTANA</t>
  </si>
  <si>
    <t>LESKO JOSEPH J &amp; AGNETA I</t>
  </si>
  <si>
    <t>WARREN WILLIAM L JR</t>
  </si>
  <si>
    <t>JOSHUA ANDERSON</t>
  </si>
  <si>
    <t xml:space="preserve">1657 E ELGIN ST </t>
  </si>
  <si>
    <t>VILLAGE AT SPECTRUM PARCEL 4</t>
  </si>
  <si>
    <t>VILLAGE AT SPECTRUM</t>
  </si>
  <si>
    <t>GISH JUSTIN M</t>
  </si>
  <si>
    <t>ANDERSON JOSHUA J</t>
  </si>
  <si>
    <t>INTERDONATO</t>
  </si>
  <si>
    <t>JAMES &amp; CYNTHIA INTERDONATO</t>
  </si>
  <si>
    <t xml:space="preserve">5029 E ANDORA DR </t>
  </si>
  <si>
    <t>SUNBURST FARMS EAST  7</t>
  </si>
  <si>
    <t>SUNBURST FARMS EAST</t>
  </si>
  <si>
    <t>TRISTAR HOMES LLC</t>
  </si>
  <si>
    <t>INTERDONATO JAMES T</t>
  </si>
  <si>
    <t>WILLIAM HILL</t>
  </si>
  <si>
    <t xml:space="preserve">11580 N 162ND LN </t>
  </si>
  <si>
    <t>HILL WILLIAM R JR</t>
  </si>
  <si>
    <t>LEWIS PATRICK &amp; CARRIE TRUST</t>
  </si>
  <si>
    <t>LEWISPATRICK &amp; CARRIE LEWISPATRICK</t>
  </si>
  <si>
    <t xml:space="preserve">3943 E JUANITA AVE </t>
  </si>
  <si>
    <t>DMD RENTALS LLC</t>
  </si>
  <si>
    <t>CHURCHILL MTG CORP</t>
  </si>
  <si>
    <t>LEWIS PATRICK T</t>
  </si>
  <si>
    <t>RUSNELL</t>
  </si>
  <si>
    <t>MICHAEL &amp; DAWN RUSNELL</t>
  </si>
  <si>
    <t xml:space="preserve">707 W ALAMO DR </t>
  </si>
  <si>
    <t>WOMACK EAST UNIT 1 LOT 1-73</t>
  </si>
  <si>
    <t>WOMACK EAST</t>
  </si>
  <si>
    <t>CRACRAFT BRIAN</t>
  </si>
  <si>
    <t>RUSNELL MICHAEL &amp; DAWN</t>
  </si>
  <si>
    <t>ZITZKA</t>
  </si>
  <si>
    <t>ZITZKA &amp; KAYLA JO</t>
  </si>
  <si>
    <t xml:space="preserve">3501 S FALCON DR </t>
  </si>
  <si>
    <t>POWER RANCH NEIGHBORHOOD 9 PARCEL 2  VAR</t>
  </si>
  <si>
    <t>SANDOVAL ROBERT A</t>
  </si>
  <si>
    <t>FIRST CA MTG CO</t>
  </si>
  <si>
    <t>ZITZKA JEREMY R &amp; KAYLA J</t>
  </si>
  <si>
    <t>DAVID MCCORMACK &amp; NICOLE COURTNEY</t>
  </si>
  <si>
    <t xml:space="preserve">5206 S GIRARD ST </t>
  </si>
  <si>
    <t>MCCORMACK DAVID P &amp; COURTNEY N</t>
  </si>
  <si>
    <t>PLOTT</t>
  </si>
  <si>
    <t>DELL</t>
  </si>
  <si>
    <t>JONATHAN PLOTT &amp; MARTHA DELL</t>
  </si>
  <si>
    <t xml:space="preserve">10641 W ALVARADO RD </t>
  </si>
  <si>
    <t>SCHUH GARY R</t>
  </si>
  <si>
    <t>COMMUNITY FIRST NAT'L BK</t>
  </si>
  <si>
    <t>PLOTT JONATHAN D</t>
  </si>
  <si>
    <t>DELL MARTHA C</t>
  </si>
  <si>
    <t>JERRY &amp; ERIKA PAYNE</t>
  </si>
  <si>
    <t xml:space="preserve">15670 W SIERRA ST </t>
  </si>
  <si>
    <t>PAYNE JERRY PARKER &amp; ERIKA</t>
  </si>
  <si>
    <t>VERNELL</t>
  </si>
  <si>
    <t>KEAMS</t>
  </si>
  <si>
    <t>VERNELL KEAMS</t>
  </si>
  <si>
    <t xml:space="preserve">7580 W DARREL RD </t>
  </si>
  <si>
    <t>LAVEEN FARMS UNIT 4</t>
  </si>
  <si>
    <t>KEARNS VERNELL</t>
  </si>
  <si>
    <t>RYAN &amp; PATRICIA CHAPMAN</t>
  </si>
  <si>
    <t xml:space="preserve">1170 S BOULDER ST A </t>
  </si>
  <si>
    <t>WESTERN SKIES ESTATES UNIT 4 AMD</t>
  </si>
  <si>
    <t>WESTERN SKIES ESTATES</t>
  </si>
  <si>
    <t>HARRIS JOHN T</t>
  </si>
  <si>
    <t>CHAPMAN RYAN J &amp; PATRICIA</t>
  </si>
  <si>
    <t>LANDEROS</t>
  </si>
  <si>
    <t>JAMES LANDEROS</t>
  </si>
  <si>
    <t xml:space="preserve">29052 N 69TH AVE </t>
  </si>
  <si>
    <t>SONORAN MOUNTAIN RANCH PARCEL 9A PHASE 2</t>
  </si>
  <si>
    <t>GREENE JEFFERY C &amp; KRISHAWN</t>
  </si>
  <si>
    <t>PRIMARY RESID'L MTG</t>
  </si>
  <si>
    <t>MESHAWN</t>
  </si>
  <si>
    <t>GUEVARA</t>
  </si>
  <si>
    <t>MESHAWN GUEVARA</t>
  </si>
  <si>
    <t xml:space="preserve">6003 N 124TH DR </t>
  </si>
  <si>
    <t>SUMMIT ACQUISITIONS LLC</t>
  </si>
  <si>
    <t>GUEVARA MESHAWN M</t>
  </si>
  <si>
    <t>RONNY</t>
  </si>
  <si>
    <t>RONNY SMITH</t>
  </si>
  <si>
    <t xml:space="preserve">749 W GARY DR </t>
  </si>
  <si>
    <t>COLLEGE PARK  6</t>
  </si>
  <si>
    <t>COLLEGE PARK</t>
  </si>
  <si>
    <t>HARTSELL LAURA K</t>
  </si>
  <si>
    <t>SMITH RONNY J</t>
  </si>
  <si>
    <t>TODD MILLER</t>
  </si>
  <si>
    <t xml:space="preserve">17331 W SAGUARO LN L </t>
  </si>
  <si>
    <t xml:space="preserve">17331 W SAGUARO LN </t>
  </si>
  <si>
    <t>SURPRISE FARMS PHASE 1B SOUTH PARCEL 11</t>
  </si>
  <si>
    <t>SURPRISE FARMS SOUTH</t>
  </si>
  <si>
    <t>GARRETT ANDREW J &amp; SIENNA D</t>
  </si>
  <si>
    <t>MILLER TODD</t>
  </si>
  <si>
    <t>ALBERT BATES</t>
  </si>
  <si>
    <t xml:space="preserve">12835 W MULBERRY DR </t>
  </si>
  <si>
    <t>AMERICAN RESIDL INCOME FU</t>
  </si>
  <si>
    <t>BATES ALBERT III &amp; RACHELLE B</t>
  </si>
  <si>
    <t>VANCE</t>
  </si>
  <si>
    <t>GOODEN</t>
  </si>
  <si>
    <t>KEYS</t>
  </si>
  <si>
    <t>VANCE GOODEN &amp; WILLIAM KEYS</t>
  </si>
  <si>
    <t xml:space="preserve">17118 E LA PASADA DR </t>
  </si>
  <si>
    <t>FOUNTAIN HILLS AZ FP 101 TR A</t>
  </si>
  <si>
    <t>MANGUS MICHELE</t>
  </si>
  <si>
    <t>BLUE BRICK FIN'L</t>
  </si>
  <si>
    <t>MESA AZ 85215</t>
  </si>
  <si>
    <t>VANCE W GOODEN</t>
  </si>
  <si>
    <t>WILLIAM A KEYS</t>
  </si>
  <si>
    <t>WIECHMANN</t>
  </si>
  <si>
    <t>JASON WIECHMANN</t>
  </si>
  <si>
    <t xml:space="preserve">9018 W ALEX AVE </t>
  </si>
  <si>
    <t>DEER VILLAGE UNIT 1</t>
  </si>
  <si>
    <t>DEER VILLAGE</t>
  </si>
  <si>
    <t>LINK FORREST G</t>
  </si>
  <si>
    <t>WIECHMANN JASON L</t>
  </si>
  <si>
    <t>SHANNAN</t>
  </si>
  <si>
    <t>PAHE</t>
  </si>
  <si>
    <t>SHANNAN PAHE</t>
  </si>
  <si>
    <t xml:space="preserve">4109 W ALICIA DR </t>
  </si>
  <si>
    <t>SHANNAN L PAHE</t>
  </si>
  <si>
    <t>HUTTER</t>
  </si>
  <si>
    <t>DAVID &amp; KIMBERLY HUTTER</t>
  </si>
  <si>
    <t xml:space="preserve">8958 E HOBART ST </t>
  </si>
  <si>
    <t>SIERRA HEIGHTS</t>
  </si>
  <si>
    <t>TEMPLETON TED L</t>
  </si>
  <si>
    <t>HUTTER DAVID W &amp; KIMBERLY A</t>
  </si>
  <si>
    <t>KAREIN</t>
  </si>
  <si>
    <t>KAREIN ROBERTSON</t>
  </si>
  <si>
    <t xml:space="preserve">8809 N 105TH AVE </t>
  </si>
  <si>
    <t>COUNTRY MEADOWS UNIT 2 LOT 263-418 &amp; TR</t>
  </si>
  <si>
    <t>COUNTRY MEADOWS ELEMENTARY SCHOOL</t>
  </si>
  <si>
    <t>EEE INVESTMENT GROUP LLC</t>
  </si>
  <si>
    <t>HOLLADAY</t>
  </si>
  <si>
    <t>KENT &amp; SHARON HOLLADAY</t>
  </si>
  <si>
    <t xml:space="preserve">24607 S RIBBONWOOD DR </t>
  </si>
  <si>
    <t>SUN LAKES 28A</t>
  </si>
  <si>
    <t>IRONWOOD COUNTRY CLUB</t>
  </si>
  <si>
    <t>HANNO GABRIELLE M T T</t>
  </si>
  <si>
    <t>FISHERS IN 46037</t>
  </si>
  <si>
    <t>KENT L HOLLADAY</t>
  </si>
  <si>
    <t>SHARON HOLLADAY</t>
  </si>
  <si>
    <t>DEWERTH</t>
  </si>
  <si>
    <t>FREDERICK &amp; JESSICA DEWERTH</t>
  </si>
  <si>
    <t xml:space="preserve">15719 W LAUREL LN </t>
  </si>
  <si>
    <t>DEWERTH FREDERICK W</t>
  </si>
  <si>
    <t>MARY &amp; JACK EVANS</t>
  </si>
  <si>
    <t xml:space="preserve">3314 N HOGAN DR </t>
  </si>
  <si>
    <t>PEBBLECREEK UNIT TWO  LOT 1-217  TR A-M</t>
  </si>
  <si>
    <t>BANK OF NEW YORK MELLON</t>
  </si>
  <si>
    <t>EVANS MARY A &amp; JACK W</t>
  </si>
  <si>
    <t>BRENDAN</t>
  </si>
  <si>
    <t>DRAKE</t>
  </si>
  <si>
    <t>BRENDAN DRAKE</t>
  </si>
  <si>
    <t xml:space="preserve">1909 E JULIE DR </t>
  </si>
  <si>
    <t>CONTINENTAL EAST 6</t>
  </si>
  <si>
    <t>OPTIMIST PARK SOUTHWEST</t>
  </si>
  <si>
    <t>HORTON RONALD H</t>
  </si>
  <si>
    <t>DRAKE BRENDAN</t>
  </si>
  <si>
    <t>RIPPBERGER</t>
  </si>
  <si>
    <t>RICK RIPPBERGER</t>
  </si>
  <si>
    <t xml:space="preserve">19216 N 39TH PL </t>
  </si>
  <si>
    <t xml:space="preserve">19216 N 3RD PL </t>
  </si>
  <si>
    <t>MR CAPITAL LLC</t>
  </si>
  <si>
    <t>RIPPBERGER RICK A</t>
  </si>
  <si>
    <t>BRIAN BLACK</t>
  </si>
  <si>
    <t xml:space="preserve">6234 S COUNTRY CLUB WAY </t>
  </si>
  <si>
    <t>RODRIGUEZ THOMAS S &amp; DOLORES</t>
  </si>
  <si>
    <t>BLACK BRIAN</t>
  </si>
  <si>
    <t>JASON &amp; MICHELLE OVERHOLT</t>
  </si>
  <si>
    <t xml:space="preserve">10705 E EL MORO AVE </t>
  </si>
  <si>
    <t>PARKWOOD RANCH PARCEL 7</t>
  </si>
  <si>
    <t>OVERHOLT JASON</t>
  </si>
  <si>
    <t>ALLIE</t>
  </si>
  <si>
    <t>EDWARD &amp; ALLIE BAKER</t>
  </si>
  <si>
    <t xml:space="preserve">16094 N 138TH LN </t>
  </si>
  <si>
    <t>U S HOME AT WEST POINT TOWNE CENTER</t>
  </si>
  <si>
    <t>HOME AT WEST POINT TOWNE CENTER</t>
  </si>
  <si>
    <t>16094 N 138TH LN LLC</t>
  </si>
  <si>
    <t>MUTUAL/OMAHA MTG LLC</t>
  </si>
  <si>
    <t>EDWARD BAKER</t>
  </si>
  <si>
    <t>ALLIE BAKER</t>
  </si>
  <si>
    <t>FERREIRA</t>
  </si>
  <si>
    <t>ANGEL &amp; JEANETTE FERREIRA</t>
  </si>
  <si>
    <t xml:space="preserve">15128 N 134TH LN </t>
  </si>
  <si>
    <t>ROSEVIEW UNIT 8</t>
  </si>
  <si>
    <t>FREIERMUTH ROGER A</t>
  </si>
  <si>
    <t>FERREIRA ANGEL &amp; JEANETTE</t>
  </si>
  <si>
    <t>ADKINS</t>
  </si>
  <si>
    <t>STEVEN ADKINS</t>
  </si>
  <si>
    <t xml:space="preserve">1227 E 3RD ST </t>
  </si>
  <si>
    <t>SHERWOOD MESA AMD  LOTS 36-76</t>
  </si>
  <si>
    <t>SHERWOOD MESA</t>
  </si>
  <si>
    <t>WALLER RYAN</t>
  </si>
  <si>
    <t>STEVEN D ADKINS</t>
  </si>
  <si>
    <t>DERRICK</t>
  </si>
  <si>
    <t>PFANNENSTIEL</t>
  </si>
  <si>
    <t>DERRICK &amp; AMY PFANNENSTIEL</t>
  </si>
  <si>
    <t xml:space="preserve">7364 W LOUISE DR </t>
  </si>
  <si>
    <t>RIZZO RICHARD &amp; PHYLLIS L</t>
  </si>
  <si>
    <t>PFANNENSTIEL DERRICK A &amp; AMY</t>
  </si>
  <si>
    <t>ANTONUCCI</t>
  </si>
  <si>
    <t>ROBERT &amp; MARIVIC ANTONUCCI</t>
  </si>
  <si>
    <t xml:space="preserve">4039 W CAMINO DEL RIO </t>
  </si>
  <si>
    <t>MOUNTAINVIEW AT NORTH CANYON LOT 1-159 T</t>
  </si>
  <si>
    <t>MOUNTAINVIEW AT NORTH CANYON</t>
  </si>
  <si>
    <t>WIEBENS MARK D</t>
  </si>
  <si>
    <t>ANTONUCCI ROBERT &amp; MARIVIC</t>
  </si>
  <si>
    <t>ESMUNDO</t>
  </si>
  <si>
    <t>GAMEZVILLA</t>
  </si>
  <si>
    <t>MARICRUZ</t>
  </si>
  <si>
    <t>ESMUNDO &amp; MARICRUZ GAMEZVILLA</t>
  </si>
  <si>
    <t xml:space="preserve">1609 W KERRY LN </t>
  </si>
  <si>
    <t>DESERT VALLEY ESTATES 5</t>
  </si>
  <si>
    <t>ESMUNDO GAMEZVILLA</t>
  </si>
  <si>
    <t>MARICRUZ O GAMEZVILLA</t>
  </si>
  <si>
    <t>LARSON FAMILY TRUST</t>
  </si>
  <si>
    <t xml:space="preserve">10645 E HERCULES DR </t>
  </si>
  <si>
    <t>SUN LAKES 27B</t>
  </si>
  <si>
    <t>WERCKMANN CHARLENE</t>
  </si>
  <si>
    <t>LARSON ORENE L &amp; CINDY</t>
  </si>
  <si>
    <t>OSVALDO</t>
  </si>
  <si>
    <t>OSVALDO ESPINOZA</t>
  </si>
  <si>
    <t xml:space="preserve">1012 W TULANE DR </t>
  </si>
  <si>
    <t>WOOD PARK VILLAGE LOT 1-314 &amp; TR A-C</t>
  </si>
  <si>
    <t>WOOD PARK</t>
  </si>
  <si>
    <t>WOOD ELEMENTARY SCHOOL</t>
  </si>
  <si>
    <t>ESPINOZA OSVALDO</t>
  </si>
  <si>
    <t>FUSCO</t>
  </si>
  <si>
    <t>JAMES &amp; SABRINA FUSCO</t>
  </si>
  <si>
    <t xml:space="preserve">4517 S ALDER DR </t>
  </si>
  <si>
    <t>C078</t>
  </si>
  <si>
    <t>TEMPE GARDENS  7  LOT  681-691 694-738</t>
  </si>
  <si>
    <t>KAHLE BRANDON &amp; SYDNI B</t>
  </si>
  <si>
    <t>FUSCO JAMES &amp; SABRINA</t>
  </si>
  <si>
    <t>HAGERMAN</t>
  </si>
  <si>
    <t>HAGERMAN &amp; CANDACE ANN</t>
  </si>
  <si>
    <t xml:space="preserve">4208 W MARIPOSA GRANDE </t>
  </si>
  <si>
    <t>BAHNERTH MICHAEL A &amp; STEVANI</t>
  </si>
  <si>
    <t>HAGERMAN CHRISTOPHER LAWREN</t>
  </si>
  <si>
    <t>BRYAN</t>
  </si>
  <si>
    <t>GROOMS</t>
  </si>
  <si>
    <t>BRYAN GROOMS</t>
  </si>
  <si>
    <t xml:space="preserve">18319 W SAGUARO LN </t>
  </si>
  <si>
    <t>GROOMS BRYAN</t>
  </si>
  <si>
    <t>EPIFANIO</t>
  </si>
  <si>
    <t>EPIFANIO VARGAS</t>
  </si>
  <si>
    <t xml:space="preserve">10125 W MARGUERITE AVE </t>
  </si>
  <si>
    <t>VARGAS EPIFANO JR</t>
  </si>
  <si>
    <t>BODNAR</t>
  </si>
  <si>
    <t>ROSE ALLEN &amp; COLLEEN ROSE</t>
  </si>
  <si>
    <t xml:space="preserve">908 S POWER RD #2434 </t>
  </si>
  <si>
    <t xml:space="preserve">2434 LEISURE WORLD </t>
  </si>
  <si>
    <t>LEISURE WORLD-VERDE DEL NORTE LOT 2408-2</t>
  </si>
  <si>
    <t>LEISURE WORLDVERDE DEL NORTE</t>
  </si>
  <si>
    <t>BABICHUCK GEORGE E</t>
  </si>
  <si>
    <t>BODNAR STEVEN A &amp; COLLEEN R</t>
  </si>
  <si>
    <t>CARLETON</t>
  </si>
  <si>
    <t>JESSICA &amp; SEAN CARLETON</t>
  </si>
  <si>
    <t xml:space="preserve">15259 W WETHERSFIELD RD </t>
  </si>
  <si>
    <t>CARLETON JESSICA</t>
  </si>
  <si>
    <t>BAMPER</t>
  </si>
  <si>
    <t>NICHOLAS BAMPER</t>
  </si>
  <si>
    <t xml:space="preserve">649 S BALBOA </t>
  </si>
  <si>
    <t>SOMNER PLACE UNIT 1</t>
  </si>
  <si>
    <t>SOMNER PLACE</t>
  </si>
  <si>
    <t>SPIAK JOHN D</t>
  </si>
  <si>
    <t>NICHOLAS HAMPER</t>
  </si>
  <si>
    <t>MCCARTY</t>
  </si>
  <si>
    <t>LUANN</t>
  </si>
  <si>
    <t>JAMES &amp; LUANN MCCARTY</t>
  </si>
  <si>
    <t xml:space="preserve">25825 S FOXGLENN DR </t>
  </si>
  <si>
    <t>BISCHOF FREDERICK L</t>
  </si>
  <si>
    <t>MCCARTY JAMES C &amp; LUANN</t>
  </si>
  <si>
    <t>MCCLAIN</t>
  </si>
  <si>
    <t>RYAN &amp; KAYLA MCCLAIN</t>
  </si>
  <si>
    <t xml:space="preserve">17104 N MELISSA LN </t>
  </si>
  <si>
    <t>CONTINENTAL AT KINGSWOOD AMENDED</t>
  </si>
  <si>
    <t>CONTINENTAL AT KINGSWOOD</t>
  </si>
  <si>
    <t>FERGUSON GENE H &amp; PAULA</t>
  </si>
  <si>
    <t>LOAN SIMPLE INC</t>
  </si>
  <si>
    <t>MCCLAIN RYAN &amp; KAYLA</t>
  </si>
  <si>
    <t>PATCH</t>
  </si>
  <si>
    <t>ROBERT PATCH</t>
  </si>
  <si>
    <t xml:space="preserve">2327 W PEAK VIEW RD </t>
  </si>
  <si>
    <t>NORTH GATEWAY PCD FUNCTIONAL UNIT 1 PARC</t>
  </si>
  <si>
    <t>CERNY TRUST</t>
  </si>
  <si>
    <t>PATCH ROBERT</t>
  </si>
  <si>
    <t>NELSON &amp; REBECCA RIVERA</t>
  </si>
  <si>
    <t xml:space="preserve">15728 W TAYLOR ST </t>
  </si>
  <si>
    <t>RIVERA NELSON</t>
  </si>
  <si>
    <t>DOMINIC</t>
  </si>
  <si>
    <t>LORINA</t>
  </si>
  <si>
    <t>DOMINIC &amp; LORINA MARSHALL</t>
  </si>
  <si>
    <t xml:space="preserve">13047 W HIGHLAND AVE </t>
  </si>
  <si>
    <t>WIGWAM CREEK SOUTH PARCEL 2B</t>
  </si>
  <si>
    <t>RAMIREZ DAYSI &amp; EDWARD</t>
  </si>
  <si>
    <t>DOMINIC B MARSHALL</t>
  </si>
  <si>
    <t>LORINA M MARSHALL</t>
  </si>
  <si>
    <t>GLUSZK</t>
  </si>
  <si>
    <t>THOMAS GLUSZK</t>
  </si>
  <si>
    <t xml:space="preserve">1305 W MONROE ST </t>
  </si>
  <si>
    <t xml:space="preserve">306 E WELDON AVE </t>
  </si>
  <si>
    <t>WOODLAND PLACE</t>
  </si>
  <si>
    <t>DUNBAR SCHOOL</t>
  </si>
  <si>
    <t>BAKKE DAVID A</t>
  </si>
  <si>
    <t>GLUSZK THOMAS J S</t>
  </si>
  <si>
    <t>DONOVAN</t>
  </si>
  <si>
    <t>LANCE DONOVAN</t>
  </si>
  <si>
    <t xml:space="preserve">7543 W DARREL RD </t>
  </si>
  <si>
    <t>LANCE M DONOVAN</t>
  </si>
  <si>
    <t>KRISTI</t>
  </si>
  <si>
    <t>BECKMAN</t>
  </si>
  <si>
    <t>KRISTI BECKMAN</t>
  </si>
  <si>
    <t xml:space="preserve">1108 W GLENMERE DR </t>
  </si>
  <si>
    <t>FAIRFAX PARK  LOT 1-151  TR A</t>
  </si>
  <si>
    <t>FAIRFAX PARK</t>
  </si>
  <si>
    <t>GELLMAN ROBERT C &amp; K J TRUST</t>
  </si>
  <si>
    <t>BECKMAN KRISTI</t>
  </si>
  <si>
    <t>KRISTI M BECKMAN</t>
  </si>
  <si>
    <t>PEVLER</t>
  </si>
  <si>
    <t>LEGRAND</t>
  </si>
  <si>
    <t>CHRISTOPHER PEVLER &amp; CHERYL LEGRAND</t>
  </si>
  <si>
    <t xml:space="preserve">850 N 85TH ST </t>
  </si>
  <si>
    <t>TRAILS AT SCOTTSDALE 2 LOT 173-289 &amp; TR</t>
  </si>
  <si>
    <t>TRAILS AT SCOTTSDALE</t>
  </si>
  <si>
    <t>SKILLMAN STEVEN L</t>
  </si>
  <si>
    <t>PEVLER CHRISTOPHER L</t>
  </si>
  <si>
    <t>DARRELL &amp; KELLY DAVIS</t>
  </si>
  <si>
    <t xml:space="preserve">1119 E POTTER DR </t>
  </si>
  <si>
    <t>ARROYO ROJO</t>
  </si>
  <si>
    <t>ARIZONA HOME FORECLOSURES LLC</t>
  </si>
  <si>
    <t>DAVIS DARRELL BRYCE &amp; KELLY M</t>
  </si>
  <si>
    <t>BERGER</t>
  </si>
  <si>
    <t>SHYLA</t>
  </si>
  <si>
    <t>BERGER &amp; SHYLA RHEA</t>
  </si>
  <si>
    <t xml:space="preserve">20700 W WHITE ROCK RD </t>
  </si>
  <si>
    <t>VERRADO PARCEL 4.806</t>
  </si>
  <si>
    <t>ESPIRITU ROLANDO T</t>
  </si>
  <si>
    <t>BERGER CLIFTON R &amp; SHYLA R</t>
  </si>
  <si>
    <t>VIVIAN CHARITY</t>
  </si>
  <si>
    <t xml:space="preserve">2091 E RUNAWAY BAY PL </t>
  </si>
  <si>
    <t>COOPER COMMONS 2 PARCEL 2</t>
  </si>
  <si>
    <t>PROSISE JAROD E</t>
  </si>
  <si>
    <t>PEOPLES BANK</t>
  </si>
  <si>
    <t>CHARITY VIVIAN V</t>
  </si>
  <si>
    <t>MOSER</t>
  </si>
  <si>
    <t>DANNY &amp; DIANE MOSER</t>
  </si>
  <si>
    <t xml:space="preserve">18576 W KENDALL ST </t>
  </si>
  <si>
    <t>MOSER DANNY G &amp; DIANE E</t>
  </si>
  <si>
    <t>BUTIKOFER</t>
  </si>
  <si>
    <t>ROBERT BUTIKOFER</t>
  </si>
  <si>
    <t xml:space="preserve">8694 N 95TH AVE </t>
  </si>
  <si>
    <t>ERIN GROVES</t>
  </si>
  <si>
    <t>SUN VALLEY ELEMENTARY SCHOOL</t>
  </si>
  <si>
    <t>NICHOLSON ROBERT L C T T</t>
  </si>
  <si>
    <t>FERRAL</t>
  </si>
  <si>
    <t>JOSEPH FERRAL</t>
  </si>
  <si>
    <t xml:space="preserve">10914 W BERMUDA DR </t>
  </si>
  <si>
    <t>HAMILTON GARDEN LAKES LOT 1-116 TR A-C</t>
  </si>
  <si>
    <t>HAMILTON GARDEN LAKES</t>
  </si>
  <si>
    <t>LESLIE JOE A</t>
  </si>
  <si>
    <t>FERRAL JOSEPH</t>
  </si>
  <si>
    <t>FOX</t>
  </si>
  <si>
    <t>FOX &amp; ANDREA KIM</t>
  </si>
  <si>
    <t xml:space="preserve">8862 S GRANDVIEW DR </t>
  </si>
  <si>
    <t>WARNER RANCH MANOR 2  LOT 91-152 TR A-F</t>
  </si>
  <si>
    <t>WARNER RANCH MANOR</t>
  </si>
  <si>
    <t>KYRENE DE LA MARIPOSA ELEMENTARY SCHOOL</t>
  </si>
  <si>
    <t>HUNSINGER FAMILY LP</t>
  </si>
  <si>
    <t>PINNACLE CAP MTG</t>
  </si>
  <si>
    <t>FOX KYLE J</t>
  </si>
  <si>
    <t>ESSEX</t>
  </si>
  <si>
    <t>SHELDEE</t>
  </si>
  <si>
    <t>ALLEN &amp; SHELDEE ESSEX</t>
  </si>
  <si>
    <t xml:space="preserve">7327 E CLOVIS AVE </t>
  </si>
  <si>
    <t>GOLDEN HILLS MANOR LOT 1-67</t>
  </si>
  <si>
    <t>GOLDEN HILLS MANOR</t>
  </si>
  <si>
    <t>JEFFERSON ELEMENTARY SCHOOL</t>
  </si>
  <si>
    <t>VESELY GREGORY J</t>
  </si>
  <si>
    <t>GUILD MTG</t>
  </si>
  <si>
    <t>ALLEN P ESSEX</t>
  </si>
  <si>
    <t>SHELDEE A ESSEX</t>
  </si>
  <si>
    <t>ANTELO</t>
  </si>
  <si>
    <t>ALAN &amp; ELIZABETH ANTELO</t>
  </si>
  <si>
    <t xml:space="preserve">22324 E VALLEJO ST </t>
  </si>
  <si>
    <t>SOUTH CREEK RANCH</t>
  </si>
  <si>
    <t>PARKIN MICHAEL J &amp; SONIA B</t>
  </si>
  <si>
    <t>ANTELO ALAN C &amp; ELIZABETH A</t>
  </si>
  <si>
    <t>GRIJALVA</t>
  </si>
  <si>
    <t>JOSE &amp; ERICA GRIJALVA</t>
  </si>
  <si>
    <t xml:space="preserve">15749 W DESERT HILLS DR </t>
  </si>
  <si>
    <t>GRIJALVA JOSE M</t>
  </si>
  <si>
    <t>FRATIELLO</t>
  </si>
  <si>
    <t>JOSEPH &amp; SHARON FRATIELLO</t>
  </si>
  <si>
    <t xml:space="preserve">26625 S SEDONA DR </t>
  </si>
  <si>
    <t>JJBL PROPERTIES LLC</t>
  </si>
  <si>
    <t>FRATIELLO JOSEPH E</t>
  </si>
  <si>
    <t>WERMAGER</t>
  </si>
  <si>
    <t>ADAM WERMAGER</t>
  </si>
  <si>
    <t xml:space="preserve">2127 E SESAME ST </t>
  </si>
  <si>
    <t>C075</t>
  </si>
  <si>
    <t>KNOELL TEMPE 8 LOT 1422-1610</t>
  </si>
  <si>
    <t>OPTIMIST PARK SOUTHEAST</t>
  </si>
  <si>
    <t>LEWIS MICHAEL</t>
  </si>
  <si>
    <t>WERMAGER ADAM R</t>
  </si>
  <si>
    <t>KELLER</t>
  </si>
  <si>
    <t>WILDER</t>
  </si>
  <si>
    <t>PETER KELLER &amp; STEPHANIE WILDER</t>
  </si>
  <si>
    <t xml:space="preserve">14854 N 36TH DR </t>
  </si>
  <si>
    <t>DEERVIEW UNIT 12</t>
  </si>
  <si>
    <t>DEERVIEW</t>
  </si>
  <si>
    <t>STAROSTKA LAUREN</t>
  </si>
  <si>
    <t>KELLER PETER</t>
  </si>
  <si>
    <t>WILDER STEPHANIE A</t>
  </si>
  <si>
    <t>EVELYN</t>
  </si>
  <si>
    <t>EVELYN PETERSEN</t>
  </si>
  <si>
    <t xml:space="preserve">12918 W PALM LN </t>
  </si>
  <si>
    <t>RANCHO SANTA FE PARCELS 16 17 &amp; 18</t>
  </si>
  <si>
    <t>PETERSEN EVELYN D</t>
  </si>
  <si>
    <t>HAUER</t>
  </si>
  <si>
    <t>ADAM HAUER</t>
  </si>
  <si>
    <t xml:space="preserve">3889 E TIMBERLINE RD </t>
  </si>
  <si>
    <t>FAST LANE CAR WASH LLC</t>
  </si>
  <si>
    <t>HAUER ADAM M</t>
  </si>
  <si>
    <t>SHAFER</t>
  </si>
  <si>
    <t>GLENN SHAFER</t>
  </si>
  <si>
    <t xml:space="preserve">336 E MITCHELL DR </t>
  </si>
  <si>
    <t>OSBORN</t>
  </si>
  <si>
    <t>PALMER 2015 TRUST</t>
  </si>
  <si>
    <t>SIERRA PAC MTG SVCS INC FN</t>
  </si>
  <si>
    <t>SHAFER GLENN</t>
  </si>
  <si>
    <t>KAREL</t>
  </si>
  <si>
    <t>HERBERT &amp; HERBERT KAREL</t>
  </si>
  <si>
    <t xml:space="preserve">8821 W ROYAL PALM RD </t>
  </si>
  <si>
    <t>WINTER DARRELL</t>
  </si>
  <si>
    <t>DALLAS TX 75234</t>
  </si>
  <si>
    <t>MICHAEL HERBERT</t>
  </si>
  <si>
    <t>KAREL HERBERT</t>
  </si>
  <si>
    <t>DAREN PETERSON</t>
  </si>
  <si>
    <t xml:space="preserve">263 W BEHREND DR </t>
  </si>
  <si>
    <t>DESERT VALLEY   LOT 1-132  TR A</t>
  </si>
  <si>
    <t>DESERT VALLEY</t>
  </si>
  <si>
    <t>CACTUS VIEW ELEMENTARY SCHOOL</t>
  </si>
  <si>
    <t>WATERMAN JADE</t>
  </si>
  <si>
    <t>PETERSON DAREN M</t>
  </si>
  <si>
    <t>C</t>
  </si>
  <si>
    <t>DUMAS</t>
  </si>
  <si>
    <t>C DUMAS</t>
  </si>
  <si>
    <t xml:space="preserve">15270 W ROMA AVE </t>
  </si>
  <si>
    <t>PALM VALLEY PHASE 5 PARCEL 7</t>
  </si>
  <si>
    <t>MAZARI COVE</t>
  </si>
  <si>
    <t>PADILLA ROSALIND</t>
  </si>
  <si>
    <t>DUMAS C TYRONE</t>
  </si>
  <si>
    <t>REYNOLDS</t>
  </si>
  <si>
    <t>RYAN &amp; RACHEAL REYNOLDS</t>
  </si>
  <si>
    <t xml:space="preserve">17156 W POST DR </t>
  </si>
  <si>
    <t>SURPRISE FARMS PHASE 1B NORTH PARCEL 15</t>
  </si>
  <si>
    <t>WOROSZ STEPHEN J</t>
  </si>
  <si>
    <t>REYNOLDS RYAN &amp; RACHEAL</t>
  </si>
  <si>
    <t>BULLOCK</t>
  </si>
  <si>
    <t>HAYDEE</t>
  </si>
  <si>
    <t>JOHN &amp; HAYDEE BULLOCK</t>
  </si>
  <si>
    <t xml:space="preserve">1713 N 114TH AVE </t>
  </si>
  <si>
    <t>DONATELA 1</t>
  </si>
  <si>
    <t>DONATELA EAST</t>
  </si>
  <si>
    <t>HANGSLEBEN MELISSA</t>
  </si>
  <si>
    <t>JOHN E BULLOCK</t>
  </si>
  <si>
    <t>HAYDEE BULLOCK</t>
  </si>
  <si>
    <t>PIGOTT</t>
  </si>
  <si>
    <t>LISA PIGOTT</t>
  </si>
  <si>
    <t xml:space="preserve">21935 E CAMACHO RD </t>
  </si>
  <si>
    <t>CRISMON HEIGHTS</t>
  </si>
  <si>
    <t>PIGOTT LISA A</t>
  </si>
  <si>
    <t>LISA A PIGOTT</t>
  </si>
  <si>
    <t>JENKINS</t>
  </si>
  <si>
    <t>JENKINS &amp; DAWN MARIE</t>
  </si>
  <si>
    <t xml:space="preserve">9602 W AVENIDA DEL SOL </t>
  </si>
  <si>
    <t>SUNRISE  5 PHASE 1 LOT 1-22</t>
  </si>
  <si>
    <t>SUNRISE NORTH</t>
  </si>
  <si>
    <t>GROSS GLENN H</t>
  </si>
  <si>
    <t>JENKINS CHARLES FREDERICK</t>
  </si>
  <si>
    <t>DONALD &amp; LISA ELLISON</t>
  </si>
  <si>
    <t xml:space="preserve">15236 S 16TH AVE </t>
  </si>
  <si>
    <t>FOOTHILLS CLUB WEST PARCEL 16C</t>
  </si>
  <si>
    <t>VISTA CANYON</t>
  </si>
  <si>
    <t>MOYNAHAN DENNIS</t>
  </si>
  <si>
    <t>ELLISON DONALD B &amp; LISA M</t>
  </si>
  <si>
    <t>ECKBERG</t>
  </si>
  <si>
    <t>CHARLES ECKBERG</t>
  </si>
  <si>
    <t xml:space="preserve">22931 N 120TH LN </t>
  </si>
  <si>
    <t>ANDERSON KURT A &amp; TONI S</t>
  </si>
  <si>
    <t>ECKBERG CHARLES R</t>
  </si>
  <si>
    <t>ABANILLA</t>
  </si>
  <si>
    <t>LORENZO &amp; LYNN ABANILLA</t>
  </si>
  <si>
    <t xml:space="preserve">19906 W GRANT ST </t>
  </si>
  <si>
    <t>ROSEMONT IL 60018</t>
  </si>
  <si>
    <t>LORENZO ABANILLA</t>
  </si>
  <si>
    <t>LYNN ABANILLA</t>
  </si>
  <si>
    <t>GIBSON</t>
  </si>
  <si>
    <t>MICHAEL GIBSON</t>
  </si>
  <si>
    <t xml:space="preserve">16656 S 18TH WAY </t>
  </si>
  <si>
    <t>FOOTHILLS PARCEL 5A LOT 1-72 TR A-F</t>
  </si>
  <si>
    <t>THE PINNACLE</t>
  </si>
  <si>
    <t>WEBBER DENNIS &amp; SHARON TRUST</t>
  </si>
  <si>
    <t>GIBSON MICHAEL</t>
  </si>
  <si>
    <t>MATTHEWS</t>
  </si>
  <si>
    <t>MARTINI</t>
  </si>
  <si>
    <t>JANETTE</t>
  </si>
  <si>
    <t>MATTHEWS &amp; JANETTE MARTINI</t>
  </si>
  <si>
    <t xml:space="preserve">4551 W ORAIBI DR </t>
  </si>
  <si>
    <t>OVERLAND TRAIL 5</t>
  </si>
  <si>
    <t>ROCK ISLAND PROPERTIES LLC</t>
  </si>
  <si>
    <t>MATTHEWS LYNN M &amp; JANETTE M</t>
  </si>
  <si>
    <t>ASTOR</t>
  </si>
  <si>
    <t>BRUHIER</t>
  </si>
  <si>
    <t>CARMELITA</t>
  </si>
  <si>
    <t>ASTOR &amp; CARMELITA BRUHIER</t>
  </si>
  <si>
    <t xml:space="preserve">18170 W DESERT VIEW LN </t>
  </si>
  <si>
    <t>ESTRELLA MOUNTAIN RANCH PARCEL 96B</t>
  </si>
  <si>
    <t>UNGUREANU CAMELIA</t>
  </si>
  <si>
    <t>BRUHIER ASTOR L &amp; CARMELITA A</t>
  </si>
  <si>
    <t>CROSS</t>
  </si>
  <si>
    <t>THOMAS &amp; KRISTINE CROSS</t>
  </si>
  <si>
    <t xml:space="preserve">6971 W EL CORTEZ PL </t>
  </si>
  <si>
    <t>TERRAMAR PARCEL 7B</t>
  </si>
  <si>
    <t>PINE NUT HOSPITALITIES LLC</t>
  </si>
  <si>
    <t>CROSS THOMAS R &amp; KRISTINE A</t>
  </si>
  <si>
    <t>ENGQUIST</t>
  </si>
  <si>
    <t>CYNDI</t>
  </si>
  <si>
    <t>MATTHEW &amp; CYNDI ENGQUIST</t>
  </si>
  <si>
    <t xml:space="preserve">4029 E DES MOINES ST </t>
  </si>
  <si>
    <t>GREENFIELD MANOR UNIT 3 LT 173-272</t>
  </si>
  <si>
    <t>PIERCE PRESTON R &amp; JULIE</t>
  </si>
  <si>
    <t>ENGQUIST MATTHEW &amp; CYNDI</t>
  </si>
  <si>
    <t>JIMMY</t>
  </si>
  <si>
    <t>JIMMY STEVENS</t>
  </si>
  <si>
    <t xml:space="preserve">2234 W PINCHOT AVE </t>
  </si>
  <si>
    <t>WESTWOOD VILLAGE</t>
  </si>
  <si>
    <t>MARTIN &amp; MARTIN PLLC</t>
  </si>
  <si>
    <t>STEVENS JIMMY</t>
  </si>
  <si>
    <t>GAYDOS</t>
  </si>
  <si>
    <t>MARIEFE</t>
  </si>
  <si>
    <t>MARK &amp; MARIEFE GAYDOS</t>
  </si>
  <si>
    <t xml:space="preserve">12817 W CORRINE DR </t>
  </si>
  <si>
    <t>DYSART &amp; CACTUS PARCEL 3</t>
  </si>
  <si>
    <t>CACTUS PARK</t>
  </si>
  <si>
    <t>DYSART ELEMENTARY SCHOOL</t>
  </si>
  <si>
    <t>GIARICH LIVING TRUST</t>
  </si>
  <si>
    <t>MARK J GAYDOS</t>
  </si>
  <si>
    <t>MARIEFE G GAYDOS</t>
  </si>
  <si>
    <t>STREET</t>
  </si>
  <si>
    <t>JENNIE</t>
  </si>
  <si>
    <t>MICHAEL &amp; JENNIE STREET</t>
  </si>
  <si>
    <t xml:space="preserve">616 E CARTER DR </t>
  </si>
  <si>
    <t>TEMPE GARDENS 10  LOT 1006-1093</t>
  </si>
  <si>
    <t>STREET CHARLES &amp; CONNIE</t>
  </si>
  <si>
    <t>STREET MICHAEL &amp; JENNIE</t>
  </si>
  <si>
    <t>CLIFTON</t>
  </si>
  <si>
    <t>SHOCKLEY</t>
  </si>
  <si>
    <t>CLIFTON &amp; ANGELA SHOCKLEY</t>
  </si>
  <si>
    <t xml:space="preserve">2918 E ESTRELLA CT </t>
  </si>
  <si>
    <t>RANCHO CORONA</t>
  </si>
  <si>
    <t>CIZEK ROBERT</t>
  </si>
  <si>
    <t>SHOCKLEY CLIFTON F &amp; ANGELA L</t>
  </si>
  <si>
    <t>ROBERT &amp; JULIE CHAVEZ</t>
  </si>
  <si>
    <t xml:space="preserve">3537 E MODOC CT </t>
  </si>
  <si>
    <t>AHWATUKEE E 3 PHASE 1   LOT 4515-4564 TR</t>
  </si>
  <si>
    <t>BUSTOZ RAYMOND &amp; HELEN L T</t>
  </si>
  <si>
    <t>CHAVEZ ROBERT A &amp; JULIE A</t>
  </si>
  <si>
    <t>MICHAEL JONES &amp; ANN GARCIA</t>
  </si>
  <si>
    <t xml:space="preserve">7520 E PRINCETON AVE </t>
  </si>
  <si>
    <t>CAVALIER VISTA 4A</t>
  </si>
  <si>
    <t>HALL CHARLES D</t>
  </si>
  <si>
    <t>JONES MICHAEL I</t>
  </si>
  <si>
    <t>GARCIA ANN C</t>
  </si>
  <si>
    <t>UBALDO</t>
  </si>
  <si>
    <t>OZAETA</t>
  </si>
  <si>
    <t>UBALDO OZAETA</t>
  </si>
  <si>
    <t xml:space="preserve">2202 W EMERALD CIR </t>
  </si>
  <si>
    <t>PACE EAST</t>
  </si>
  <si>
    <t>GROFF PHILLIP D &amp; B F TRUST</t>
  </si>
  <si>
    <t>OZAETA UBALDO</t>
  </si>
  <si>
    <t>TAFFY</t>
  </si>
  <si>
    <t>ANDRADA</t>
  </si>
  <si>
    <t>TAFFY &amp; DEAN ANDRADA</t>
  </si>
  <si>
    <t xml:space="preserve">2931 S PENNINGTON </t>
  </si>
  <si>
    <t>PARKVIEW LOT 1-166 &amp; TR A</t>
  </si>
  <si>
    <t>PARKVIEW</t>
  </si>
  <si>
    <t>MADRID ERLINDA</t>
  </si>
  <si>
    <t>ANDRADA TAFFY &amp; DEAN JR</t>
  </si>
  <si>
    <t>BIGLER</t>
  </si>
  <si>
    <t>REDA</t>
  </si>
  <si>
    <t>RIDDLE-BIGLER</t>
  </si>
  <si>
    <t>CHARLES BIGLER &amp; REDA RIDDLE-BIGLER</t>
  </si>
  <si>
    <t xml:space="preserve">19406 N 36TH DR </t>
  </si>
  <si>
    <t>PARADISE GATES</t>
  </si>
  <si>
    <t>BOWERS TRENT &amp; RHONDA TRUST</t>
  </si>
  <si>
    <t>BIGLER CHARLES R &amp; REDA L R</t>
  </si>
  <si>
    <t>WALKER-HILL</t>
  </si>
  <si>
    <t>EMMA WALKER-HILL</t>
  </si>
  <si>
    <t xml:space="preserve">3137 E LA COSTA CT </t>
  </si>
  <si>
    <t>WALKER-HILL EMMA L</t>
  </si>
  <si>
    <t>ROSAURO FAMILY REVOCABLE TRUST</t>
  </si>
  <si>
    <t>ROSAURO</t>
  </si>
  <si>
    <t xml:space="preserve">282 N BRETT ST </t>
  </si>
  <si>
    <t>VAL VISTA MEADOWS</t>
  </si>
  <si>
    <t>BEJARANO CAROLYN C</t>
  </si>
  <si>
    <t>ROSAURO CARLO T &amp; CANDACE M</t>
  </si>
  <si>
    <t>DINTELMAN</t>
  </si>
  <si>
    <t>JEFFREY &amp; MICHELLE DINTELMAN</t>
  </si>
  <si>
    <t xml:space="preserve">9327 S STANLEY PL </t>
  </si>
  <si>
    <t>CORONA RANCH LOT 1-43  TR A-C</t>
  </si>
  <si>
    <t>CORONA RANCH</t>
  </si>
  <si>
    <t>HASTERT JUDITH A</t>
  </si>
  <si>
    <t>DINTELMAN JEFFREY A &amp; MICHELL</t>
  </si>
  <si>
    <t>COLT</t>
  </si>
  <si>
    <t>WEDDELL</t>
  </si>
  <si>
    <t>ASHTON</t>
  </si>
  <si>
    <t>COLT &amp; ASHTON WEDDELL</t>
  </si>
  <si>
    <t xml:space="preserve">11562 E SEGURA AVE </t>
  </si>
  <si>
    <t>GILA RIVER RANCHES UNIT 2</t>
  </si>
  <si>
    <t>PINON JULIE A &amp; ALBERT</t>
  </si>
  <si>
    <t>WEDDELL COLT S &amp; ASHTON D</t>
  </si>
  <si>
    <t>MORLEY</t>
  </si>
  <si>
    <t>RYAN MORLEY &amp; MICHELLE STEWART</t>
  </si>
  <si>
    <t xml:space="preserve">3646 E CHESTNUT LN </t>
  </si>
  <si>
    <t>MORLEY RYAN S</t>
  </si>
  <si>
    <t>STEWART MICHELLE L</t>
  </si>
  <si>
    <t>VANDERWOUDE</t>
  </si>
  <si>
    <t>GIROUX</t>
  </si>
  <si>
    <t>RICHARD VANDERWOUDE &amp; JILL GIROUX</t>
  </si>
  <si>
    <t xml:space="preserve">3541 N 34TH ST </t>
  </si>
  <si>
    <t>R157</t>
  </si>
  <si>
    <t>VANDERWOUDE RICHARD S</t>
  </si>
  <si>
    <t>GIROUX JILL M</t>
  </si>
  <si>
    <t>SCHLING</t>
  </si>
  <si>
    <t>JASON SCHLING</t>
  </si>
  <si>
    <t xml:space="preserve">14638 N 7TH PL </t>
  </si>
  <si>
    <t>MOON VALLEY VISTA LOT 1-142 TRA-E</t>
  </si>
  <si>
    <t>MOON VALLEY VISTA</t>
  </si>
  <si>
    <t>CORATO LIVING TRUST</t>
  </si>
  <si>
    <t>JASON P SCHLING</t>
  </si>
  <si>
    <t>PETHTEL</t>
  </si>
  <si>
    <t>ANTHONY &amp; BERNADETTE PETHTEL</t>
  </si>
  <si>
    <t xml:space="preserve">16622 S 37TH WAY </t>
  </si>
  <si>
    <t>HAMILTON HOMES AT LAKEWOOD LOT 1-65 66-2</t>
  </si>
  <si>
    <t>HAMILTON HOMES AT LAKEWOOD</t>
  </si>
  <si>
    <t>WIENEKE STEVEN J</t>
  </si>
  <si>
    <t>PETHTEL ANTHONY</t>
  </si>
  <si>
    <t>SHEARD</t>
  </si>
  <si>
    <t>JAMES SHEARD &amp; JACOB MARSHALL</t>
  </si>
  <si>
    <t xml:space="preserve">4252 E TORREY PINES LN </t>
  </si>
  <si>
    <t>SUN GROVES PARCEL 2</t>
  </si>
  <si>
    <t>JOHNSTON JOHN A</t>
  </si>
  <si>
    <t>SHEARD JAMES M</t>
  </si>
  <si>
    <t>MARSHALL JACOB R</t>
  </si>
  <si>
    <t>CAMILLE</t>
  </si>
  <si>
    <t>ROBERT &amp; CAMILLE DAVIS</t>
  </si>
  <si>
    <t xml:space="preserve">14257 N CANTERBURY DR </t>
  </si>
  <si>
    <t>MOON VALLEY 2</t>
  </si>
  <si>
    <t>HUTCHINSON SARA E</t>
  </si>
  <si>
    <t>DAVIS ROBERT T &amp; CAMILLE</t>
  </si>
  <si>
    <t>BRANDON &amp; NANCY STEPHENS</t>
  </si>
  <si>
    <t xml:space="preserve">15039 W ELM ST </t>
  </si>
  <si>
    <t>PALM VALLEY PHASE 5 PARCEL 5</t>
  </si>
  <si>
    <t>HESPER KNOLL</t>
  </si>
  <si>
    <t>MILLER ROBERT A &amp; CHRISTINE</t>
  </si>
  <si>
    <t>SKYLINE FIN'L</t>
  </si>
  <si>
    <t>STEPHENS BRANDON M &amp; NANCY M</t>
  </si>
  <si>
    <t>PETROSKI</t>
  </si>
  <si>
    <t>JOSEPH &amp; CHRISTINA PETROSKI</t>
  </si>
  <si>
    <t xml:space="preserve">17339 E EL PUEBLO BLVD </t>
  </si>
  <si>
    <t>EDWARDS LYLE G</t>
  </si>
  <si>
    <t>PETROSKI JOSEPH S</t>
  </si>
  <si>
    <t>KERSTETTER</t>
  </si>
  <si>
    <t>GIMINEZ</t>
  </si>
  <si>
    <t>KERSTETTER &amp; LISA GIMINEZ</t>
  </si>
  <si>
    <t xml:space="preserve">3016 E MAPLEWOOD ST </t>
  </si>
  <si>
    <t>STRATLAND ESTATES</t>
  </si>
  <si>
    <t>SHAFFER WESLEY G</t>
  </si>
  <si>
    <t>KERSTETTER KENNETH W</t>
  </si>
  <si>
    <t>GIMINEZ-KERSTETTER LISA L</t>
  </si>
  <si>
    <t>BRENDON</t>
  </si>
  <si>
    <t>FRANZ</t>
  </si>
  <si>
    <t>KARA</t>
  </si>
  <si>
    <t>BRENDON &amp; KARA FRANZ</t>
  </si>
  <si>
    <t xml:space="preserve">3611 E VERDIN RD </t>
  </si>
  <si>
    <t>MOUNTAIN PARK RANCH UNIT 21-C 201-285 TR</t>
  </si>
  <si>
    <t>REILEY GLEN</t>
  </si>
  <si>
    <t>FRANZ BRENDON &amp; KARA L</t>
  </si>
  <si>
    <t>ROY GOMEZ</t>
  </si>
  <si>
    <t xml:space="preserve">5705 W GAMBIT TRL </t>
  </si>
  <si>
    <t>H021</t>
  </si>
  <si>
    <t>STETSON VALLEY PARCELS 30  31  32  33</t>
  </si>
  <si>
    <t>WELLS DEBORAH A</t>
  </si>
  <si>
    <t>GOMEZ ROY</t>
  </si>
  <si>
    <t>STASIK</t>
  </si>
  <si>
    <t>TREVOR &amp; CHRISTINA STASIK</t>
  </si>
  <si>
    <t xml:space="preserve">561 E GLENCOVE ST </t>
  </si>
  <si>
    <t>HOHOKAM FOOTHILLS LOT 662-754</t>
  </si>
  <si>
    <t>HOHOKAM</t>
  </si>
  <si>
    <t>KERR ELEMENTARY SCHOOL</t>
  </si>
  <si>
    <t>NEW PHILLIP W &amp; DANELLE</t>
  </si>
  <si>
    <t>STASIK TREVOR &amp; CHRISTINA</t>
  </si>
  <si>
    <t>BRIAN LOVE</t>
  </si>
  <si>
    <t xml:space="preserve">3846 E ISABELLA AVE </t>
  </si>
  <si>
    <t>BRIGATA</t>
  </si>
  <si>
    <t>CHRISTOPHER ROBERT &amp; JANET</t>
  </si>
  <si>
    <t>LOVE BRIAN E</t>
  </si>
  <si>
    <t>TSAI</t>
  </si>
  <si>
    <t>GEORGE TSAI</t>
  </si>
  <si>
    <t xml:space="preserve">3715 W PARADISE LN </t>
  </si>
  <si>
    <t>MONTE CRISTO ESTATES LOT 1-9</t>
  </si>
  <si>
    <t>MONTE CRISTO ESTATES</t>
  </si>
  <si>
    <t>PIERCE DAVID &amp; LAURIE</t>
  </si>
  <si>
    <t>TSAI GEORGE W H</t>
  </si>
  <si>
    <t>MONTE</t>
  </si>
  <si>
    <t>DUNLAP</t>
  </si>
  <si>
    <t>MONTE &amp; BARBARA DUNLAP</t>
  </si>
  <si>
    <t xml:space="preserve">14918 W GENTLE BREEZE WAY </t>
  </si>
  <si>
    <t xml:space="preserve">16118 CUTTYSARK ST </t>
  </si>
  <si>
    <t>CORPUS CHRISTI</t>
  </si>
  <si>
    <t>SUN CITY GRAND DESERT TRAILS 2</t>
  </si>
  <si>
    <t>SUN CITY GRAND DESERT TRAILS</t>
  </si>
  <si>
    <t>BLACK DENNIS W &amp; DONNA L</t>
  </si>
  <si>
    <t>DUNLAP MONTE &amp; BARBARA</t>
  </si>
  <si>
    <t>TRAYLOR</t>
  </si>
  <si>
    <t>DANIELLE TRAYLOR</t>
  </si>
  <si>
    <t xml:space="preserve">13226 W PECK DR </t>
  </si>
  <si>
    <t>BLAKEMAN CHANI A J</t>
  </si>
  <si>
    <t>TRAYLOR DANIELLE GAZETTE</t>
  </si>
  <si>
    <t>CUEVAS</t>
  </si>
  <si>
    <t>SHERYL</t>
  </si>
  <si>
    <t>DAVID &amp; SHERYL CUEVAS</t>
  </si>
  <si>
    <t xml:space="preserve">11327 E PRATT AVE </t>
  </si>
  <si>
    <t>MERIDIAN POINTE UNIT 4</t>
  </si>
  <si>
    <t>MERIDIAN POINTE</t>
  </si>
  <si>
    <t>SCHAUB DONNA L</t>
  </si>
  <si>
    <t>CUEVAS DAVID &amp; SHERYL</t>
  </si>
  <si>
    <t>MATTER</t>
  </si>
  <si>
    <t>FRANK MATTER</t>
  </si>
  <si>
    <t xml:space="preserve">747 E LINDA LN </t>
  </si>
  <si>
    <t>WELLNITZ WILLIAM P</t>
  </si>
  <si>
    <t>MATTER FRANK</t>
  </si>
  <si>
    <t>HOPPER</t>
  </si>
  <si>
    <t>MARIKA</t>
  </si>
  <si>
    <t>GARY &amp; MARIKA HOPPER</t>
  </si>
  <si>
    <t xml:space="preserve">3363 E SAN REMO AVE </t>
  </si>
  <si>
    <t>R095</t>
  </si>
  <si>
    <t>DURANGO 2</t>
  </si>
  <si>
    <t>NEWMAN JOHN D</t>
  </si>
  <si>
    <t>HOPPER GARY &amp; MARIKA</t>
  </si>
  <si>
    <t>RICHTER</t>
  </si>
  <si>
    <t>KENNETH &amp; SUSAN RICHTER</t>
  </si>
  <si>
    <t xml:space="preserve">1802 N 59TH CIR </t>
  </si>
  <si>
    <t>SILVERADO 3</t>
  </si>
  <si>
    <t>VOSSLER MICHAEL G &amp; JOCELYN</t>
  </si>
  <si>
    <t>KENNETH J RICHTER</t>
  </si>
  <si>
    <t>SUSAN C RICHTER</t>
  </si>
  <si>
    <t>ULBRICH</t>
  </si>
  <si>
    <t>NATHAN &amp; CHRISTINE ULBRICH</t>
  </si>
  <si>
    <t xml:space="preserve">983 E DAVA DR </t>
  </si>
  <si>
    <t>GALLERIA 2 LOT 101-180 TR K-M</t>
  </si>
  <si>
    <t>GALLERIA</t>
  </si>
  <si>
    <t>JENKINS RICHARD A</t>
  </si>
  <si>
    <t>ULBRICH NATHAN H &amp; CHRISTINE</t>
  </si>
  <si>
    <t>RUSTY</t>
  </si>
  <si>
    <t>GONZALES &amp; RUSTY JEAN</t>
  </si>
  <si>
    <t xml:space="preserve">5890 W ORCHID LN </t>
  </si>
  <si>
    <t>WARNER RANCH PHASE 3 LOT 1-265 TR A-G</t>
  </si>
  <si>
    <t>COTTLE JAMIE B</t>
  </si>
  <si>
    <t>GONZALES WILLIAM S &amp; RUSTY J</t>
  </si>
  <si>
    <t>CELIA</t>
  </si>
  <si>
    <t>PHILLIP &amp; CELIA SANCHEZ</t>
  </si>
  <si>
    <t xml:space="preserve">19347 W COLTER ST </t>
  </si>
  <si>
    <t>PHILLIP SANCHEZ</t>
  </si>
  <si>
    <t>CELIA SANCHEZ</t>
  </si>
  <si>
    <t>KIMBALL</t>
  </si>
  <si>
    <t>LOTTIE</t>
  </si>
  <si>
    <t>BRUCE &amp; LOTTIE KIMBALL</t>
  </si>
  <si>
    <t xml:space="preserve">3665 S HARLAN </t>
  </si>
  <si>
    <t>NOVA VISTA UNIT D</t>
  </si>
  <si>
    <t>LALIBERTE JAMES W</t>
  </si>
  <si>
    <t>BRUCE W KIMBALL</t>
  </si>
  <si>
    <t>LOTTIE J KIMBALL</t>
  </si>
  <si>
    <t>CLAUDIA HARRIS</t>
  </si>
  <si>
    <t xml:space="preserve">11967 W OVERLIN LN </t>
  </si>
  <si>
    <t>HARRIS CLAUDIA</t>
  </si>
  <si>
    <t>LEMBEZEDER</t>
  </si>
  <si>
    <t>MICHAEL LEMBEZEDER</t>
  </si>
  <si>
    <t xml:space="preserve">1427 E CORONADO RD </t>
  </si>
  <si>
    <t>MCDOWELL PARK</t>
  </si>
  <si>
    <t>SAKATA BRENT M</t>
  </si>
  <si>
    <t>MESA AZ 85204</t>
  </si>
  <si>
    <t>LEMBEZEDER MICHAEL JAMES</t>
  </si>
  <si>
    <t>MICHAEL J LEMBEZEDER</t>
  </si>
  <si>
    <t>HAY</t>
  </si>
  <si>
    <t>SCOTT &amp; MELISSA HAY</t>
  </si>
  <si>
    <t xml:space="preserve">4324 W HAPPY TRL </t>
  </si>
  <si>
    <t>DOBBINS POINT</t>
  </si>
  <si>
    <t>THOMPSON FARON G</t>
  </si>
  <si>
    <t>HAY SCOTT</t>
  </si>
  <si>
    <t>THAD</t>
  </si>
  <si>
    <t>FURMAN</t>
  </si>
  <si>
    <t>THAD &amp; PAMELA FURMAN</t>
  </si>
  <si>
    <t xml:space="preserve">10258 S HOPI LN </t>
  </si>
  <si>
    <t>ESTRELLA PARCEL 51</t>
  </si>
  <si>
    <t>FURMAN THAD C</t>
  </si>
  <si>
    <t>LARRY HOLMES</t>
  </si>
  <si>
    <t xml:space="preserve">15334 W VIA MANANA </t>
  </si>
  <si>
    <t>SUN CITY WEST UNIT 58A</t>
  </si>
  <si>
    <t>BONAR LOUIS C TRUST</t>
  </si>
  <si>
    <t>MONSTER HOME LOANS</t>
  </si>
  <si>
    <t>25391 COMMERCENTRE DR # 200 LAKE FOREST CA 92630-8880</t>
  </si>
  <si>
    <t>DAVY</t>
  </si>
  <si>
    <t>JAMES &amp; MELINDA DAVY</t>
  </si>
  <si>
    <t xml:space="preserve">15822 N 16TH ST </t>
  </si>
  <si>
    <t>MOUNTAIN VISTA UNIT 7 LOT 1-125 TR A-C</t>
  </si>
  <si>
    <t>SULLIVAN WILLIAM P</t>
  </si>
  <si>
    <t>DAVY JAMES &amp; MELINDA K</t>
  </si>
  <si>
    <t>ANSELMO</t>
  </si>
  <si>
    <t>ROBERT ANSELMO</t>
  </si>
  <si>
    <t xml:space="preserve">22619 N 119TH DR </t>
  </si>
  <si>
    <t>CROSSRIVER UNIT 8</t>
  </si>
  <si>
    <t>BEEDLE MARY C</t>
  </si>
  <si>
    <t>ANSELMO ROBERT P</t>
  </si>
  <si>
    <t>DERRELL</t>
  </si>
  <si>
    <t>LANG</t>
  </si>
  <si>
    <t>DERRELL &amp; PAMELA LANG</t>
  </si>
  <si>
    <t xml:space="preserve">21959 E DESERT HILLS DR </t>
  </si>
  <si>
    <t>ASH CREEK ESTATES</t>
  </si>
  <si>
    <t>LANG DERRELL F &amp; PAMELA D</t>
  </si>
  <si>
    <t>GOODMAN</t>
  </si>
  <si>
    <t>MICHAEL &amp; KIMBERLY GOODMAN</t>
  </si>
  <si>
    <t xml:space="preserve">1683 W STANFORD AVE </t>
  </si>
  <si>
    <t xml:space="preserve">1638 W STANFORD AVE </t>
  </si>
  <si>
    <t>EL DORADO LAKES GOLF COMMUNITY TRACT A</t>
  </si>
  <si>
    <t>WATSON ROBERT W</t>
  </si>
  <si>
    <t>GOODMAN MICHAEL</t>
  </si>
  <si>
    <t>WAYMON</t>
  </si>
  <si>
    <t>WAYMON &amp; VANESSA MILLER</t>
  </si>
  <si>
    <t xml:space="preserve">9813 S REIDAR RD </t>
  </si>
  <si>
    <t>SAFI SHAZIA</t>
  </si>
  <si>
    <t>MILLER WAYMON</t>
  </si>
  <si>
    <t>DARNELL</t>
  </si>
  <si>
    <t>WILLIAM &amp; DONNA DARNELL</t>
  </si>
  <si>
    <t xml:space="preserve">2431 E MERCER LN </t>
  </si>
  <si>
    <t>SHEA HEIGHTS</t>
  </si>
  <si>
    <t>FONCANNON RONALD W</t>
  </si>
  <si>
    <t>DARNELL WILLIAM C &amp; DONNA K</t>
  </si>
  <si>
    <t>GUNN</t>
  </si>
  <si>
    <t>PARNEETA</t>
  </si>
  <si>
    <t>SHAWN &amp; PARNEETA GUNN</t>
  </si>
  <si>
    <t xml:space="preserve">4109 W LYDIA LN </t>
  </si>
  <si>
    <t>VINEYARD COMMONS</t>
  </si>
  <si>
    <t>M. C. CASH ELEMENTARY SCHOOL</t>
  </si>
  <si>
    <t>ZUFELT DAVID &amp; DANIELLE</t>
  </si>
  <si>
    <t>GUNN SHAWN W &amp; PARNEETA</t>
  </si>
  <si>
    <t>BURKLOW</t>
  </si>
  <si>
    <t>WILLIAM &amp; BRENDA BURKLOW</t>
  </si>
  <si>
    <t xml:space="preserve">21977 E MAYA RD </t>
  </si>
  <si>
    <t>BURKLOW WILLIAM G</t>
  </si>
  <si>
    <t>BURKLOW WILLIAM G &amp; BRENDA L</t>
  </si>
  <si>
    <t>GANTNER</t>
  </si>
  <si>
    <t>TERRY &amp; DEBORAH GANTNER</t>
  </si>
  <si>
    <t xml:space="preserve">12256 W PRICKLY PEAR TRL </t>
  </si>
  <si>
    <t>GANTNER DEBORAH L &amp; TERRY</t>
  </si>
  <si>
    <t>BOWE</t>
  </si>
  <si>
    <t>MICHAEL &amp; CHERYL BOWE</t>
  </si>
  <si>
    <t xml:space="preserve">2905 S SOUTHWIND DR </t>
  </si>
  <si>
    <t>SPECTRUM AT VAL VISTA PARCEL 18</t>
  </si>
  <si>
    <t>BEL AIRE ESTATES</t>
  </si>
  <si>
    <t>BOUNTIFUL TRUST</t>
  </si>
  <si>
    <t>BOWE MICHAEL A</t>
  </si>
  <si>
    <t>SEAN &amp; MICHELLE BROWN</t>
  </si>
  <si>
    <t xml:space="preserve">1420 E REDMON DR </t>
  </si>
  <si>
    <t>BRADLEY PLACE  2 LOT 300-474 TR A</t>
  </si>
  <si>
    <t>BRADLEY PLACE</t>
  </si>
  <si>
    <t>WILLEY BRANDON M</t>
  </si>
  <si>
    <t>BROWN SEAN P &amp; MICHELLE W</t>
  </si>
  <si>
    <t>MOORE &amp; AMANDA PATRICIA</t>
  </si>
  <si>
    <t xml:space="preserve">14162 W WOODBRIDGE AVE </t>
  </si>
  <si>
    <t>SCOTT DANNY L</t>
  </si>
  <si>
    <t>MOORE JAMES R &amp; AMANDA P</t>
  </si>
  <si>
    <t>TAHTINEN</t>
  </si>
  <si>
    <t>RONALD TAHTINEN</t>
  </si>
  <si>
    <t xml:space="preserve">25213 N 51ST DR </t>
  </si>
  <si>
    <t>WESTRICH JUSTIN A &amp; ALISON A</t>
  </si>
  <si>
    <t>TAHTINEN RONALD</t>
  </si>
  <si>
    <t>NEVES</t>
  </si>
  <si>
    <t>MARIA &amp; MARIA JASON</t>
  </si>
  <si>
    <t xml:space="preserve">7039 N VIA DE AMIGOS </t>
  </si>
  <si>
    <t>PASEO VILLAGE AMD</t>
  </si>
  <si>
    <t>KIVA ELEMENTARY SCHOOL</t>
  </si>
  <si>
    <t>WALDMANN CARL J</t>
  </si>
  <si>
    <t>NEVES JASON &amp; GINA M</t>
  </si>
  <si>
    <t>JASON NEVES</t>
  </si>
  <si>
    <t>GINA M NEVES</t>
  </si>
  <si>
    <t>BINGHAM</t>
  </si>
  <si>
    <t>WILLIAM BINGHAM</t>
  </si>
  <si>
    <t xml:space="preserve">18351 N 59TH DR </t>
  </si>
  <si>
    <t>ACACIA COVE</t>
  </si>
  <si>
    <t>HERSCOVICI MIRIAM T T</t>
  </si>
  <si>
    <t>BINGHAM WILLIAM D</t>
  </si>
  <si>
    <t>MATHIEU FAMILY LIVING TRUST</t>
  </si>
  <si>
    <t>MATHIEU</t>
  </si>
  <si>
    <t xml:space="preserve">18518 W MARSHALL AVE </t>
  </si>
  <si>
    <t>GARCIA CHRISTOPHER</t>
  </si>
  <si>
    <t>PREMIA RELOCATION MTG</t>
  </si>
  <si>
    <t>TROY MI 480982620</t>
  </si>
  <si>
    <t>MATHIEU LEONARD &amp; DARLENE</t>
  </si>
  <si>
    <t>SONNENBERG</t>
  </si>
  <si>
    <t>NORMAN &amp; MARILYN SONNENBERG</t>
  </si>
  <si>
    <t xml:space="preserve">12519 W BAJADA RD </t>
  </si>
  <si>
    <t>TRILOGY AT VISTANCIA PARCEL C33</t>
  </si>
  <si>
    <t>CHEUNG CHI</t>
  </si>
  <si>
    <t>SONNENBERG NORMAN &amp; MARILYN E</t>
  </si>
  <si>
    <t>FAST DARREN S &amp; MEREDITH L</t>
  </si>
  <si>
    <t xml:space="preserve">702 W SPUR AVE </t>
  </si>
  <si>
    <t>MADERA PARC AMD LOT 1-447 TR A-J AA</t>
  </si>
  <si>
    <t>MADERA PARC</t>
  </si>
  <si>
    <t>LINDE CLARK</t>
  </si>
  <si>
    <t>FAST DARREN S</t>
  </si>
  <si>
    <t>TRUTTMAN</t>
  </si>
  <si>
    <t>LILA</t>
  </si>
  <si>
    <t>TRUTTMAN &amp; LILA JEAN</t>
  </si>
  <si>
    <t xml:space="preserve">17341 W KING CANYON DR </t>
  </si>
  <si>
    <t>SUN CITY GRAND ESPERANZA</t>
  </si>
  <si>
    <t>CONWAY EDWARD J &amp; THERESA D</t>
  </si>
  <si>
    <t>TRUTTMAN JOHN R &amp; LILA J</t>
  </si>
  <si>
    <t>BENGSTON</t>
  </si>
  <si>
    <t>JON</t>
  </si>
  <si>
    <t>CHRISTIAN &amp; JON BENGSTON</t>
  </si>
  <si>
    <t xml:space="preserve">29652 W AMELIA AVE </t>
  </si>
  <si>
    <t>PARK ROBERT D &amp; DONNA R</t>
  </si>
  <si>
    <t>BENGSTON CHRISTIAN &amp; JON</t>
  </si>
  <si>
    <t>SHARONDA</t>
  </si>
  <si>
    <t>TEVIN</t>
  </si>
  <si>
    <t>SHARONDA &amp; TEVIN WALKER</t>
  </si>
  <si>
    <t xml:space="preserve">13539 W KEIM DR </t>
  </si>
  <si>
    <t>DREAMING SUMMIT UNIT 2A</t>
  </si>
  <si>
    <t>BABA BOB</t>
  </si>
  <si>
    <t>WALKER SHARONDA &amp; TEVIN</t>
  </si>
  <si>
    <t>BOBBIE</t>
  </si>
  <si>
    <t>STEVEN &amp; BOBBIE RICHARD</t>
  </si>
  <si>
    <t xml:space="preserve">3297 E BLUEJAY DR </t>
  </si>
  <si>
    <t>TU KHAI</t>
  </si>
  <si>
    <t>NETWORK CAP FNDG</t>
  </si>
  <si>
    <t>STEVEN RICHARD</t>
  </si>
  <si>
    <t>BOBBIE RICHARD</t>
  </si>
  <si>
    <t>JOE</t>
  </si>
  <si>
    <t>REANA</t>
  </si>
  <si>
    <t>JOE &amp; REANA CONTRERAS</t>
  </si>
  <si>
    <t xml:space="preserve">20224 E MAYA RD </t>
  </si>
  <si>
    <t>VICTORIA PAD PARCEL 10</t>
  </si>
  <si>
    <t>CONTRERAS JOE L C &amp; REANA</t>
  </si>
  <si>
    <t>BUSH</t>
  </si>
  <si>
    <t>CURTIS &amp; MARIA BUSH</t>
  </si>
  <si>
    <t xml:space="preserve">16166 W MONTEROSA ST </t>
  </si>
  <si>
    <t>BUSH CURTIS L &amp; MARIA M</t>
  </si>
  <si>
    <t>GERHART</t>
  </si>
  <si>
    <t>SUZETTE</t>
  </si>
  <si>
    <t>STEPHEN &amp; SUZETTE GERHART</t>
  </si>
  <si>
    <t xml:space="preserve">13768 W EARLL DR </t>
  </si>
  <si>
    <t>FULTON ESTATES</t>
  </si>
  <si>
    <t>BURSKI IRENEUSZ S</t>
  </si>
  <si>
    <t>GERHART STEPHEN C &amp; SUZETTE E</t>
  </si>
  <si>
    <t>YOLAND</t>
  </si>
  <si>
    <t>TONY &amp; YOLAND BROWN</t>
  </si>
  <si>
    <t xml:space="preserve">4019 W SALTER DR </t>
  </si>
  <si>
    <t>OTHMAN ENT LLC</t>
  </si>
  <si>
    <t>BROWN TONY M &amp; YOLANDA L</t>
  </si>
  <si>
    <t>LUIS &amp; KRYSTAL SAUCEDO</t>
  </si>
  <si>
    <t xml:space="preserve">4021 W TONOPAH DR </t>
  </si>
  <si>
    <t>ARROYO SPRINGS PARCEL B</t>
  </si>
  <si>
    <t>ARROYO SPRINGS</t>
  </si>
  <si>
    <t>POWER RANCH REALTY LLC</t>
  </si>
  <si>
    <t>SAUCEDO LUIS</t>
  </si>
  <si>
    <t>SMIGIEL</t>
  </si>
  <si>
    <t>GAIL</t>
  </si>
  <si>
    <t>GORDON &amp; GAIL SMIGIEL</t>
  </si>
  <si>
    <t xml:space="preserve">10014 N 48TH DR </t>
  </si>
  <si>
    <t>SMIGIEL GORDON &amp; GAIL</t>
  </si>
  <si>
    <t>GROBMEIER</t>
  </si>
  <si>
    <t>ALAN GROBMEIER</t>
  </si>
  <si>
    <t xml:space="preserve">1731 W CATHEDRAL ROCK DR </t>
  </si>
  <si>
    <t>PARCEL 16C UNIT 2 AT FOOTHILLS CLUB WEST</t>
  </si>
  <si>
    <t>BROWN CORNEILUS F</t>
  </si>
  <si>
    <t>GROBMEIER ALAN</t>
  </si>
  <si>
    <t>BROWN LIVING TRUST</t>
  </si>
  <si>
    <t xml:space="preserve">8498 W QUAIL TRACK DR </t>
  </si>
  <si>
    <t>WEST WING MOUNTAIN PARCEL 11</t>
  </si>
  <si>
    <t>MATTHEWS MICHAEL R</t>
  </si>
  <si>
    <t>BROWN RANDY L &amp; RENEE D</t>
  </si>
  <si>
    <t>MENDIOLA</t>
  </si>
  <si>
    <t>CORRINA</t>
  </si>
  <si>
    <t>CARLOS &amp; CORRINA MENDIOLA</t>
  </si>
  <si>
    <t xml:space="preserve">18046 W YOUNG ST </t>
  </si>
  <si>
    <t>SURPRISE FARMS PHASE 3 PARCEL 4</t>
  </si>
  <si>
    <t>MESQUITE TRAILS</t>
  </si>
  <si>
    <t>SURPRISE PHASE 3 PARCEL 4</t>
  </si>
  <si>
    <t>MENDIOLA CARLOS &amp; CORRINA O</t>
  </si>
  <si>
    <t>ZACHER</t>
  </si>
  <si>
    <t>STACI</t>
  </si>
  <si>
    <t>MARK &amp; STACI ZACHER</t>
  </si>
  <si>
    <t xml:space="preserve">3412 N BRINDLEY AVE </t>
  </si>
  <si>
    <t>LITCHFIELD FARMS 2</t>
  </si>
  <si>
    <t>LITCHFIELD FARMS</t>
  </si>
  <si>
    <t>HORAN MICHAEL C</t>
  </si>
  <si>
    <t>ZACHER MARK A</t>
  </si>
  <si>
    <t>COTE</t>
  </si>
  <si>
    <t>EUGENE RILEY &amp; TERESA COTE</t>
  </si>
  <si>
    <t xml:space="preserve">43245 N 14TH ST </t>
  </si>
  <si>
    <t>KELLEY MICHAEL J &amp; DAWN</t>
  </si>
  <si>
    <t>RILEY EUGENE R</t>
  </si>
  <si>
    <t>RICHARD AND KATHLEEN CLARK FAM TRUST &amp; GRAY R B</t>
  </si>
  <si>
    <t xml:space="preserve">16962 W DESERT ROSE LN </t>
  </si>
  <si>
    <t>SUN CITY GRAND SAGUARO</t>
  </si>
  <si>
    <t>GRAY LINDA L</t>
  </si>
  <si>
    <t>BLUE BRICK FIN'L LLC</t>
  </si>
  <si>
    <t>BARNHILL THOMAS K &amp; JULIE P</t>
  </si>
  <si>
    <t>MCLOUGHLIN</t>
  </si>
  <si>
    <t>PAUL MCLOUGHLIN</t>
  </si>
  <si>
    <t xml:space="preserve">3826 W JENNY LIN RD </t>
  </si>
  <si>
    <t>BUREAU/LAND MANAGEMENT</t>
  </si>
  <si>
    <t>SECURITY NATIONAL MORTGAGE CO</t>
  </si>
  <si>
    <t>MCLOUGHLIN PAUL ONEIL</t>
  </si>
  <si>
    <t>STANLEY MCBRIDE</t>
  </si>
  <si>
    <t xml:space="preserve">31655 N 65TH ST </t>
  </si>
  <si>
    <t>PSENAK MARK</t>
  </si>
  <si>
    <t>JPMORGAN CHASE BANK NA</t>
  </si>
  <si>
    <t>MCBRIDE STANLEY</t>
  </si>
  <si>
    <t>LYNNETTE</t>
  </si>
  <si>
    <t>KOUNKEL</t>
  </si>
  <si>
    <t>LYNNETTE &amp; MICHAEL KOUNKEL</t>
  </si>
  <si>
    <t xml:space="preserve">4042 E FOX ST </t>
  </si>
  <si>
    <t>MAHOGANY</t>
  </si>
  <si>
    <t>WOOTTON WENDY</t>
  </si>
  <si>
    <t>KOUNKEL MICHAEL K &amp; LYNNETTE</t>
  </si>
  <si>
    <t>MARK &amp; TAMARA WILSON</t>
  </si>
  <si>
    <t xml:space="preserve">7292 W MARIPOSA GRANDE LN </t>
  </si>
  <si>
    <t>WYNDHAM VILLAGE</t>
  </si>
  <si>
    <t>BURNS HARRY G</t>
  </si>
  <si>
    <t>WILSON MARK</t>
  </si>
  <si>
    <t>SKORUPA</t>
  </si>
  <si>
    <t>JOHN &amp; BARBARA SKORUPA</t>
  </si>
  <si>
    <t xml:space="preserve">10652 E SOVANA CT </t>
  </si>
  <si>
    <t>SKORUPA JOHN A</t>
  </si>
  <si>
    <t>BLAIR</t>
  </si>
  <si>
    <t>PYLE</t>
  </si>
  <si>
    <t>BLAIR &amp; MAUREEN PYLE</t>
  </si>
  <si>
    <t xml:space="preserve">7411 E VISAO DR </t>
  </si>
  <si>
    <t>PARCEL B AT BELLASERA</t>
  </si>
  <si>
    <t>BELLASERA</t>
  </si>
  <si>
    <t>BRABECK MICHAEL &amp; PAULINE</t>
  </si>
  <si>
    <t>PYLE BLAIR W &amp; MAUREEN C</t>
  </si>
  <si>
    <t>MARK &amp; JENNIFER WATTS</t>
  </si>
  <si>
    <t xml:space="preserve">36038 N 58TH ST </t>
  </si>
  <si>
    <t>CAREFREE SENTINEL ROCK ESTATES UNIT 2 12</t>
  </si>
  <si>
    <t>CAREFREE SENTINEL ROCK ESTATES</t>
  </si>
  <si>
    <t>COADY ROBERT M &amp; SUSAN A</t>
  </si>
  <si>
    <t>WATTS MARK A &amp; JENNIFER G</t>
  </si>
  <si>
    <t>DEBETTINGNIES</t>
  </si>
  <si>
    <t>STEVEN DEBETTINGNIES</t>
  </si>
  <si>
    <t xml:space="preserve">7251 N CLEARWATER PKWY </t>
  </si>
  <si>
    <t>PARADISE VALLEY</t>
  </si>
  <si>
    <t>CLEARWATER HILLS PRVT ROADS &amp; TR A</t>
  </si>
  <si>
    <t>CLEARWATER HILLS</t>
  </si>
  <si>
    <t>LENHARDT DAVID K FAMILY TRUST</t>
  </si>
  <si>
    <t>DEBETTINGNIES STEVEN</t>
  </si>
  <si>
    <t>FIGURE LNDG LLC</t>
  </si>
  <si>
    <t>STEVEN DEBETTIGNIES</t>
  </si>
  <si>
    <t>CASSIE THOMAS</t>
  </si>
  <si>
    <t xml:space="preserve">1739 S ABILENE DR </t>
  </si>
  <si>
    <t>WESTBANK</t>
  </si>
  <si>
    <t>YUEN JAMIE TRUST</t>
  </si>
  <si>
    <t>THOMAS CASSLE</t>
  </si>
  <si>
    <t>GENTRY</t>
  </si>
  <si>
    <t>FORDE</t>
  </si>
  <si>
    <t>GENTRY &amp; ASHLEY FORDE</t>
  </si>
  <si>
    <t xml:space="preserve">22823 W ASHLEIGH MARIE DR </t>
  </si>
  <si>
    <t>SUNDANCE PARCEL 38</t>
  </si>
  <si>
    <t>SUNDANCE ESTATES</t>
  </si>
  <si>
    <t>CABRERA DOMINIC A</t>
  </si>
  <si>
    <t>FORDE GENTRY T</t>
  </si>
  <si>
    <t>IVEY</t>
  </si>
  <si>
    <t>DARLEEN</t>
  </si>
  <si>
    <t>IVEY &amp; DARLEEN DEAL</t>
  </si>
  <si>
    <t xml:space="preserve">18609 W WESTERN STAR BLVD </t>
  </si>
  <si>
    <t>MUSCARELLA BRION D</t>
  </si>
  <si>
    <t>DEAL IVEY N</t>
  </si>
  <si>
    <t>REAS</t>
  </si>
  <si>
    <t>JAMES REAS</t>
  </si>
  <si>
    <t xml:space="preserve">17821 W DREYFUS ST </t>
  </si>
  <si>
    <t>KNF INVESTMENTS LLP</t>
  </si>
  <si>
    <t>REAS JAMES N</t>
  </si>
  <si>
    <t>BASS</t>
  </si>
  <si>
    <t>GWENDOLYN</t>
  </si>
  <si>
    <t>THOMAS &amp; GWENDOLYN BASS</t>
  </si>
  <si>
    <t xml:space="preserve">3551 E CONSTITUTION DR </t>
  </si>
  <si>
    <t>DRAPER JOHN T</t>
  </si>
  <si>
    <t>BASS THOMAS E</t>
  </si>
  <si>
    <t>TATE</t>
  </si>
  <si>
    <t>LOYD &amp; JULIE TATE</t>
  </si>
  <si>
    <t xml:space="preserve">1826 E CASCADE DR </t>
  </si>
  <si>
    <t>CRYSTAL SHORES AMD LOT 1-82 TR A-I</t>
  </si>
  <si>
    <t>CRYSTAL SHORES</t>
  </si>
  <si>
    <t>RICHAUD HERVE F</t>
  </si>
  <si>
    <t>TATE LOYD</t>
  </si>
  <si>
    <t>LEA</t>
  </si>
  <si>
    <t>MICHAEL &amp; LEA CHANDLER</t>
  </si>
  <si>
    <t xml:space="preserve">19519 N 73RD LN </t>
  </si>
  <si>
    <t>ARROWHEAD BY THE LAKES LOT 1-203</t>
  </si>
  <si>
    <t>ARROWHEAD BY THE LAKES</t>
  </si>
  <si>
    <t>FROMMERT ALLAN</t>
  </si>
  <si>
    <t>CHANDLER MICHAEL &amp; LEA</t>
  </si>
  <si>
    <t>ROBERT &amp; LILA GEORGE</t>
  </si>
  <si>
    <t xml:space="preserve">3447 W WEBSTER CT </t>
  </si>
  <si>
    <t>ANTHEM UNIT 6</t>
  </si>
  <si>
    <t>MICHALSKI DAWN</t>
  </si>
  <si>
    <t>ROBERT GEORGE</t>
  </si>
  <si>
    <t>LILA GEORGE</t>
  </si>
  <si>
    <t>GROBELS</t>
  </si>
  <si>
    <t>CHAD &amp; HOLLY GROBELS</t>
  </si>
  <si>
    <t xml:space="preserve">1079 E HOPKINS RD </t>
  </si>
  <si>
    <t>CURTIS ALAN A &amp; CHRISTINE C</t>
  </si>
  <si>
    <t>GROBELS CHAD E &amp; HOLLY</t>
  </si>
  <si>
    <t>EASON</t>
  </si>
  <si>
    <t>WAYNE WILLIAMSON &amp; MARIE EASON</t>
  </si>
  <si>
    <t xml:space="preserve">6725 S JACQUELINE WAY </t>
  </si>
  <si>
    <t>SEVILLE PARCEL 30</t>
  </si>
  <si>
    <t>SIENA</t>
  </si>
  <si>
    <t>LINDNER JAMES R</t>
  </si>
  <si>
    <t>WILLIAMSON WAYNE A</t>
  </si>
  <si>
    <t>EASON MARIE A</t>
  </si>
  <si>
    <t>MICHAEL &amp; ROBIN FLORES</t>
  </si>
  <si>
    <t xml:space="preserve">6427 S GLORY CT </t>
  </si>
  <si>
    <t>SEVILLE PARCEL 10A</t>
  </si>
  <si>
    <t>VALENCIA</t>
  </si>
  <si>
    <t>GRANT CANDACE L</t>
  </si>
  <si>
    <t>FLORES MICHAEL S</t>
  </si>
  <si>
    <t>SIGNATURE FCU</t>
  </si>
  <si>
    <t>ALEXANDRIA VA 22313-0148</t>
  </si>
  <si>
    <t>MICHAEL S FLORES</t>
  </si>
  <si>
    <t>ROBIN A FLORES</t>
  </si>
  <si>
    <t>AVIS</t>
  </si>
  <si>
    <t>SADRE</t>
  </si>
  <si>
    <t>HASSAN</t>
  </si>
  <si>
    <t>AVIS &amp; HASSAN SADRE</t>
  </si>
  <si>
    <t xml:space="preserve">49 W TAM OSHANTER DR </t>
  </si>
  <si>
    <t>MOON VALLEY  LOTS 1-128  146-339  TR A-E</t>
  </si>
  <si>
    <t>JENKINS KARL WILLIAM TRUST</t>
  </si>
  <si>
    <t>SAN RAMON CA 945831382</t>
  </si>
  <si>
    <t>SADRE AVIS M</t>
  </si>
  <si>
    <t>AVIS M SADRE</t>
  </si>
  <si>
    <t>HASSAN SADRE</t>
  </si>
  <si>
    <t>LAIRD</t>
  </si>
  <si>
    <t>BILLIE</t>
  </si>
  <si>
    <t>KENNETH &amp; BILLIE LAIRD</t>
  </si>
  <si>
    <t xml:space="preserve">14281 W HARVARD ST </t>
  </si>
  <si>
    <t>DEGROOT SHANNON</t>
  </si>
  <si>
    <t>LAIRD KENNETH &amp; BILLIE</t>
  </si>
  <si>
    <t>EMERSON</t>
  </si>
  <si>
    <t>SCOTT &amp; TIFFANY EMERSON</t>
  </si>
  <si>
    <t xml:space="preserve">18201 W CAMPBELL AVE </t>
  </si>
  <si>
    <t>SCOTT EMERSON</t>
  </si>
  <si>
    <t>TIFFANY EMERSON</t>
  </si>
  <si>
    <t>RODRIGO</t>
  </si>
  <si>
    <t>RODRIGO VARGAS &amp; TIFFANY LOPEZ</t>
  </si>
  <si>
    <t xml:space="preserve">16772 W DURANGO ST </t>
  </si>
  <si>
    <t>CANYON TRAIL UNIT 4 SOUTH PARCEL F</t>
  </si>
  <si>
    <t>ARCADIA</t>
  </si>
  <si>
    <t>BEJAR JENNIFER N</t>
  </si>
  <si>
    <t>VARGAS RODRIGO D</t>
  </si>
  <si>
    <t>LOPEZ TIFFANY D</t>
  </si>
  <si>
    <t>BRILES</t>
  </si>
  <si>
    <t>JOSHUA &amp; ERICA BRILES</t>
  </si>
  <si>
    <t xml:space="preserve">1729 E TYSON ST </t>
  </si>
  <si>
    <t>GILBERT RANCH UNIT 2</t>
  </si>
  <si>
    <t>ORLANDI CLIFTON</t>
  </si>
  <si>
    <t>BRILES JOSHUA D &amp; ERICA D</t>
  </si>
  <si>
    <t>ROY &amp; TAMMY SANCHEZ</t>
  </si>
  <si>
    <t xml:space="preserve">2238 E JAEGER ST </t>
  </si>
  <si>
    <t>COUNTRY PARK UNIT 2 LOT 51-93</t>
  </si>
  <si>
    <t>COUNTRY PARK</t>
  </si>
  <si>
    <t>EPPS SCOTT D &amp; ANDREA D</t>
  </si>
  <si>
    <t>SANCHEZ ROY DANIEL &amp; TAMMY</t>
  </si>
  <si>
    <t>YANCY</t>
  </si>
  <si>
    <t>YANCY &amp; NICOLE BROWN</t>
  </si>
  <si>
    <t xml:space="preserve">1827 E CITATION LN </t>
  </si>
  <si>
    <t>TEMPE ROYAL PALMS 18 AMD LOT 446-826</t>
  </si>
  <si>
    <t>SIEGEL KIPP &amp; JANINE</t>
  </si>
  <si>
    <t>BROWN YANCY &amp; NICOLE</t>
  </si>
  <si>
    <t>LIVIO</t>
  </si>
  <si>
    <t>LEONARDI</t>
  </si>
  <si>
    <t>LIVIO &amp; NICOLE LEONARDI</t>
  </si>
  <si>
    <t xml:space="preserve">1637 E CARMEN ST </t>
  </si>
  <si>
    <t>CAMPBELL ELIZABETH S</t>
  </si>
  <si>
    <t>LEONARDI LIVIO C &amp; NICOLE K</t>
  </si>
  <si>
    <t>AROS</t>
  </si>
  <si>
    <t>DOROTHEA</t>
  </si>
  <si>
    <t>DAVID &amp; DOROTHEA AROS</t>
  </si>
  <si>
    <t xml:space="preserve">13381 N 175TH DR </t>
  </si>
  <si>
    <t>LARSEN TIMOTHY</t>
  </si>
  <si>
    <t>AROS DAVID V &amp; DOROTHEA M</t>
  </si>
  <si>
    <t>SANDOVAL</t>
  </si>
  <si>
    <t>MICHAEL &amp; DIANA SANDOVAL</t>
  </si>
  <si>
    <t xml:space="preserve">815 E HARWELL RD #29 </t>
  </si>
  <si>
    <t xml:space="preserve">815 E HARWELL RD </t>
  </si>
  <si>
    <t>PORTER ACRES</t>
  </si>
  <si>
    <t>TAYLOR TODD K &amp; CATHERINE</t>
  </si>
  <si>
    <t>MICHAEL A SANDOVAL</t>
  </si>
  <si>
    <t>DIANA L SANDOVAL</t>
  </si>
  <si>
    <t>DARRELL &amp; CAROL LOTT</t>
  </si>
  <si>
    <t xml:space="preserve">2439 E KAEL CIR </t>
  </si>
  <si>
    <t>CITRUS HIGHLANDS UNIT 2 LOT 27-65</t>
  </si>
  <si>
    <t>CITRUS HIGHLANDS</t>
  </si>
  <si>
    <t>BROWN 40 MESA LLC</t>
  </si>
  <si>
    <t>LOTT DARRELL R &amp; CAROL S</t>
  </si>
  <si>
    <t>RETSINAS</t>
  </si>
  <si>
    <t>RETSINAS &amp; LAUREN LEE</t>
  </si>
  <si>
    <t xml:space="preserve">3906 N EVERGREEN ST </t>
  </si>
  <si>
    <t>VERRADO PARCEL 4.605</t>
  </si>
  <si>
    <t>GIANOPLUS STEPHEN K</t>
  </si>
  <si>
    <t>RETSINAS PETER</t>
  </si>
  <si>
    <t>SAVANNA</t>
  </si>
  <si>
    <t>ERNEST &amp; SAVANNA WATSON</t>
  </si>
  <si>
    <t xml:space="preserve">10215 N 54TH LN </t>
  </si>
  <si>
    <t>OAKDALE</t>
  </si>
  <si>
    <t>KLUTTZ BONNIE G</t>
  </si>
  <si>
    <t>WATSON ERNEST L</t>
  </si>
  <si>
    <t>BRETT &amp; KRISTEN STEWART</t>
  </si>
  <si>
    <t xml:space="preserve">1631 W GAMBIT TRL </t>
  </si>
  <si>
    <t>DYNAMITE MOUNTAIN RANCH PCD PHASE  2 PAR</t>
  </si>
  <si>
    <t>PINNACLE HEIGHTS</t>
  </si>
  <si>
    <t>STEWART BRETT E &amp; KRISTEN E</t>
  </si>
  <si>
    <t>GRIEGO DAVID A &amp; MELISSA K</t>
  </si>
  <si>
    <t>BRAD</t>
  </si>
  <si>
    <t>SCHIRMERS</t>
  </si>
  <si>
    <t>BRAD &amp; ANGELA SCHIRMERS</t>
  </si>
  <si>
    <t xml:space="preserve">40813 N MAJESTY CT </t>
  </si>
  <si>
    <t>PATEL ROHIT &amp; JASU</t>
  </si>
  <si>
    <t>SCHIRMERS BRAD E &amp; ANGELA L</t>
  </si>
  <si>
    <t>HIPOLITO</t>
  </si>
  <si>
    <t>CHRISTOPHER &amp; CRYSTAL HIPOLITO</t>
  </si>
  <si>
    <t xml:space="preserve">6753 S GOLDFINCH DR </t>
  </si>
  <si>
    <t>SEVILLE PARCEL 28</t>
  </si>
  <si>
    <t>TALAVERA II</t>
  </si>
  <si>
    <t>DERDICH PAUL J</t>
  </si>
  <si>
    <t>HIPOLITO CHRISTOPHER B &amp; CRYS</t>
  </si>
  <si>
    <t>MICKEY</t>
  </si>
  <si>
    <t>MARRONE</t>
  </si>
  <si>
    <t>MICKEY &amp; KRISTY MARRONE</t>
  </si>
  <si>
    <t xml:space="preserve">12450 S 177TH LN </t>
  </si>
  <si>
    <t>ESTRELLA MOUNTAIN RANCH PARCEL 91</t>
  </si>
  <si>
    <t>WILSON TERRY</t>
  </si>
  <si>
    <t>MARRONE MICKEY M &amp; KRISTY L</t>
  </si>
  <si>
    <t>BARRICKLOW</t>
  </si>
  <si>
    <t>SHAWN &amp; MARTHA BARRICKLOW</t>
  </si>
  <si>
    <t xml:space="preserve">24717 S 210TH PL </t>
  </si>
  <si>
    <t>LAMPENFELD MARK E &amp; MARTHA R</t>
  </si>
  <si>
    <t>BARRICKLOW SHAWN D &amp; MARTHA M</t>
  </si>
  <si>
    <t>PEARSON</t>
  </si>
  <si>
    <t>NIKKI</t>
  </si>
  <si>
    <t>ROBERT &amp; NIKKI PEARSON</t>
  </si>
  <si>
    <t xml:space="preserve">18334 W MARSHALL AVE </t>
  </si>
  <si>
    <t>PAGE WAYNE L</t>
  </si>
  <si>
    <t>PEARSON ROBERT J</t>
  </si>
  <si>
    <t>JASMINE</t>
  </si>
  <si>
    <t>JASMINE SIMS</t>
  </si>
  <si>
    <t xml:space="preserve">2746 S 160TH AVE </t>
  </si>
  <si>
    <t>SARIVAL VILLAGE PARCEL 5</t>
  </si>
  <si>
    <t>ROBINSON FELICIA A &amp; JOSEPH</t>
  </si>
  <si>
    <t>SIMS JASMINE T</t>
  </si>
  <si>
    <t>SPIGELMIRE</t>
  </si>
  <si>
    <t>THOMAS SPIGELMIRE</t>
  </si>
  <si>
    <t xml:space="preserve">16311 W CENTRAL ST </t>
  </si>
  <si>
    <t>NORTHWEST RANCH UNIT 2 PHASE B</t>
  </si>
  <si>
    <t>VANGURY DONNA M TRUSTEE T</t>
  </si>
  <si>
    <t>SPIGELMIRE THOMAS G</t>
  </si>
  <si>
    <t>TAMI HOWARD</t>
  </si>
  <si>
    <t xml:space="preserve">2641 S ATHENA </t>
  </si>
  <si>
    <t>SUPERSTITION SPRINGS VILLAGE UNIT SIX</t>
  </si>
  <si>
    <t>STEWART GARY F &amp; DOROTHY J</t>
  </si>
  <si>
    <t>HOWARD TAMI</t>
  </si>
  <si>
    <t>GRIMALDI</t>
  </si>
  <si>
    <t>JOHN &amp; JENNIFER GRIMALDI</t>
  </si>
  <si>
    <t xml:space="preserve">14957 W CAMERON DR </t>
  </si>
  <si>
    <t>DUBY DELPHI J</t>
  </si>
  <si>
    <t>GRIMALDI JOHN &amp; JENNIFER L</t>
  </si>
  <si>
    <t>MASSMUTUAL FCU</t>
  </si>
  <si>
    <t>SPRINGFIELD MA 01111</t>
  </si>
  <si>
    <t>JOHN GRIMALDI</t>
  </si>
  <si>
    <t>JENNIFER L GRIMALDI</t>
  </si>
  <si>
    <t>TAMERA</t>
  </si>
  <si>
    <t>ROBERT &amp; TAMERA ROWE</t>
  </si>
  <si>
    <t xml:space="preserve">4304 E WILDHORSE DR </t>
  </si>
  <si>
    <t>DEUTSCH MAUREEN</t>
  </si>
  <si>
    <t>ROWE ROBERT M &amp; TAMERA L</t>
  </si>
  <si>
    <t>SCOTTY</t>
  </si>
  <si>
    <t>SCOTTY &amp; JULIE BLACK</t>
  </si>
  <si>
    <t xml:space="preserve">15611 W OCOTILLO LN </t>
  </si>
  <si>
    <t>MOUNTAIN VISTA RANCH PARCEL 4</t>
  </si>
  <si>
    <t>VIA DEL SOL SUN CITY LLC</t>
  </si>
  <si>
    <t>LOANPAL</t>
  </si>
  <si>
    <t>SCOTTY L BLACK</t>
  </si>
  <si>
    <t>JULIE BLACK</t>
  </si>
  <si>
    <t>BLACK SCOTTY L|BLACK F TRUST TIAL JULIE</t>
  </si>
  <si>
    <t>KATHARINE</t>
  </si>
  <si>
    <t>BLAUM</t>
  </si>
  <si>
    <t>KATHARINE BLAUM</t>
  </si>
  <si>
    <t xml:space="preserve">2641 E BROOKS ST </t>
  </si>
  <si>
    <t>GREENFIELD LAKES PARCEL 4 UNIT 1</t>
  </si>
  <si>
    <t>BROOKS PROPERTY RENTALS LLC</t>
  </si>
  <si>
    <t>BLAUM KATHARINE</t>
  </si>
  <si>
    <t>KISE FAMILY LIVING TRUST</t>
  </si>
  <si>
    <t>KISE</t>
  </si>
  <si>
    <t xml:space="preserve">9802 W LINDGREN AVE </t>
  </si>
  <si>
    <t>SUN CITY 55  LOT 1-322 &amp; TR A</t>
  </si>
  <si>
    <t>PLUINKETT MARGUERITA E</t>
  </si>
  <si>
    <t>KISE PRESTON D &amp; BETSY JANE</t>
  </si>
  <si>
    <t>GAUNT</t>
  </si>
  <si>
    <t>ROBERT &amp; KIMBERLY GAUNT</t>
  </si>
  <si>
    <t xml:space="preserve">176 S 224TH DR </t>
  </si>
  <si>
    <t>SUNDANCE PARCEL 26</t>
  </si>
  <si>
    <t>GAUNT ROBERT L &amp; KIMBERLY D</t>
  </si>
  <si>
    <t>CASWELL</t>
  </si>
  <si>
    <t>KENNETH &amp; BRENDA CASWELL</t>
  </si>
  <si>
    <t xml:space="preserve">3307 E MALDONADO DR </t>
  </si>
  <si>
    <t>RAVENSWOOD PATIO HOMES</t>
  </si>
  <si>
    <t>WARD ANEDA L</t>
  </si>
  <si>
    <t>KENNETH W CASWELL</t>
  </si>
  <si>
    <t>BRENDA M CASWELL</t>
  </si>
  <si>
    <t>SHELDON</t>
  </si>
  <si>
    <t>STOKES</t>
  </si>
  <si>
    <t>SHELDON &amp; ANNA STOKES</t>
  </si>
  <si>
    <t xml:space="preserve">11109 W SIENO PL </t>
  </si>
  <si>
    <t>GARDEN LAKE ESTATES UNIT 2 LOT 1-51 TR A</t>
  </si>
  <si>
    <t>GARDEN LAKE ESTATES</t>
  </si>
  <si>
    <t>FREDERICK TRICIA</t>
  </si>
  <si>
    <t>VANTAGE W CU</t>
  </si>
  <si>
    <t>STOKES SHELDON L &amp; ANNA K</t>
  </si>
  <si>
    <t>RICK &amp; LINDA VAUGHN</t>
  </si>
  <si>
    <t xml:space="preserve">3572 N 149TH AVE </t>
  </si>
  <si>
    <t>PEBBLECREEK UNIT 14</t>
  </si>
  <si>
    <t>DITOMMASO DOROTHY J TRUST</t>
  </si>
  <si>
    <t>VAUGHN RICK D &amp; LINDA M</t>
  </si>
  <si>
    <t>CARRIZOZA</t>
  </si>
  <si>
    <t>JOSE CARRIZOZA</t>
  </si>
  <si>
    <t xml:space="preserve">2849 N 104TH AVE </t>
  </si>
  <si>
    <t>LOS ARBOLITOS RANCH AMD</t>
  </si>
  <si>
    <t>LOS ARBOLITOS RANCH</t>
  </si>
  <si>
    <t>DABISH DAVID</t>
  </si>
  <si>
    <t>CARRIZOZA JOSE</t>
  </si>
  <si>
    <t>LEONARDO</t>
  </si>
  <si>
    <t>ROSEANN</t>
  </si>
  <si>
    <t>LEONARDO &amp; ROSEANN GRECO</t>
  </si>
  <si>
    <t xml:space="preserve">18362 W MARCONI AVE </t>
  </si>
  <si>
    <t>GRECO LEONARDO D &amp; ROSEANN</t>
  </si>
  <si>
    <t>FRIDELLE</t>
  </si>
  <si>
    <t>MICHAEL FRIDELLE</t>
  </si>
  <si>
    <t xml:space="preserve">3521 W JESSICA LN </t>
  </si>
  <si>
    <t>PARCEL 3B AT NORTH CANYON RANCH</t>
  </si>
  <si>
    <t>NORD MATTHEW &amp; ANDREA M</t>
  </si>
  <si>
    <t>FRIDELLE MICHAEL T</t>
  </si>
  <si>
    <t>LANKFORD</t>
  </si>
  <si>
    <t>CRAIG LANKFORD</t>
  </si>
  <si>
    <t xml:space="preserve">10052 E CALYPSO CIR </t>
  </si>
  <si>
    <t>PARKWOOD RANCH PARCEL 16</t>
  </si>
  <si>
    <t>DIETZ-CRANE AT PARKWOOD RANCH NORTH</t>
  </si>
  <si>
    <t>JENKINS SHANE</t>
  </si>
  <si>
    <t>LANKFORD CRAIG</t>
  </si>
  <si>
    <t>DOMPIER</t>
  </si>
  <si>
    <t>RICHARD DOMPIER</t>
  </si>
  <si>
    <t xml:space="preserve">1339 E WEATHERBY WAY </t>
  </si>
  <si>
    <t>SEISINGER JUSTIN B &amp; KRISTIN</t>
  </si>
  <si>
    <t>MESA AZ 85203</t>
  </si>
  <si>
    <t>DOMPIER RICHARD</t>
  </si>
  <si>
    <t>TERI</t>
  </si>
  <si>
    <t>TERI &amp; ROGER NICHOLS</t>
  </si>
  <si>
    <t xml:space="preserve">3623 S ADELLE CIR </t>
  </si>
  <si>
    <t>MOUNTAIN RANCH UNIT 2</t>
  </si>
  <si>
    <t>MOUNTAIN RANCH</t>
  </si>
  <si>
    <t>PUGGIE DAVID</t>
  </si>
  <si>
    <t>FIRST CHOICE LOAN SERVICES INC</t>
  </si>
  <si>
    <t>NICHOLS TERI C &amp; ROGER W</t>
  </si>
  <si>
    <t>CHEW</t>
  </si>
  <si>
    <t>SHANE &amp; JAMIE CHEW</t>
  </si>
  <si>
    <t xml:space="preserve">29762 W AMELIA AVE </t>
  </si>
  <si>
    <t>WRIGHT HENSLEY LLC</t>
  </si>
  <si>
    <t>CHEW SHANE W &amp; JAMIE A</t>
  </si>
  <si>
    <t>DIANE SANTOS</t>
  </si>
  <si>
    <t xml:space="preserve">13080 N 91ST LN </t>
  </si>
  <si>
    <t>PLAZA DEL RIO PHASE 3</t>
  </si>
  <si>
    <t>SANTOS DIANE E</t>
  </si>
  <si>
    <t>FINLEY</t>
  </si>
  <si>
    <t>DAVID FINLEY</t>
  </si>
  <si>
    <t xml:space="preserve">36212 N 10TH ST </t>
  </si>
  <si>
    <t>BENNETT-LARSON FAMILY TRUST</t>
  </si>
  <si>
    <t>DAVID M FINLEY</t>
  </si>
  <si>
    <t>TAMALA</t>
  </si>
  <si>
    <t>TAMALA WILLIAMS</t>
  </si>
  <si>
    <t xml:space="preserve">10818 W MONROE ST </t>
  </si>
  <si>
    <t>WILLIAMS TAMALA C</t>
  </si>
  <si>
    <t>SHARNETTE</t>
  </si>
  <si>
    <t>REGGIE &amp; SHARNETTE WASHINGTON</t>
  </si>
  <si>
    <t xml:space="preserve">7708 S 23RD LN </t>
  </si>
  <si>
    <t>WASHINGTON REGGIE A &amp; SHARNETTE M</t>
  </si>
  <si>
    <t>PATRICK &amp; ANA PEREZ</t>
  </si>
  <si>
    <t xml:space="preserve">3039 E ESCUDA RD </t>
  </si>
  <si>
    <t>WHITTIER PARK</t>
  </si>
  <si>
    <t>HORNBECK JUSTIN R</t>
  </si>
  <si>
    <t>PEREZ PATRICK H &amp; ANA C</t>
  </si>
  <si>
    <t>BERNHARDT</t>
  </si>
  <si>
    <t>WILLIAM BERNHARDT</t>
  </si>
  <si>
    <t xml:space="preserve">1425 W CRANE DR </t>
  </si>
  <si>
    <t>CLEMENTE RANCH PARCEL 9A</t>
  </si>
  <si>
    <t>REYNOLDS MATTHEW E</t>
  </si>
  <si>
    <t>BERNHARDT WILLIAM J</t>
  </si>
  <si>
    <t>DOUGLAS &amp; MARY WRIGHT</t>
  </si>
  <si>
    <t xml:space="preserve">3464 S BLUEJAY DR </t>
  </si>
  <si>
    <t xml:space="preserve">1492 S COLT DR </t>
  </si>
  <si>
    <t>LEMONS MGMNT LLC</t>
  </si>
  <si>
    <t>WRIGHT DOUGLAS &amp; MARY</t>
  </si>
  <si>
    <t>SPRING EQ LLC</t>
  </si>
  <si>
    <t>PHILADELPHIA PA 19104</t>
  </si>
  <si>
    <t>MARY WRIGHT</t>
  </si>
  <si>
    <t>ESSARY</t>
  </si>
  <si>
    <t>KEALY</t>
  </si>
  <si>
    <t>JUSTIN ESSARY &amp; KRISTEN KEALY</t>
  </si>
  <si>
    <t xml:space="preserve">1224 E BOSTON ST </t>
  </si>
  <si>
    <t>SPRINGS UNIT 2 AMD LOT 30-213 217-276 27</t>
  </si>
  <si>
    <t>THE SPRINGS</t>
  </si>
  <si>
    <t>STANTON STEPHEN M</t>
  </si>
  <si>
    <t>ESSARY JUSTIN A</t>
  </si>
  <si>
    <t>KEALY KRISTEN R</t>
  </si>
  <si>
    <t>STATE OF AZ</t>
  </si>
  <si>
    <t>CLINTON</t>
  </si>
  <si>
    <t>BITTLE</t>
  </si>
  <si>
    <t>CLINTON &amp; KARRIE BITTLE</t>
  </si>
  <si>
    <t xml:space="preserve">2284 E LA COSTA PL </t>
  </si>
  <si>
    <t>COOPER COMMONS PARCEL 3</t>
  </si>
  <si>
    <t>DICHTENBERG CAROL L</t>
  </si>
  <si>
    <t>GILBERT AZ 85297</t>
  </si>
  <si>
    <t>CLINTON K BITTLE</t>
  </si>
  <si>
    <t>KARRIE L BITTLE</t>
  </si>
  <si>
    <t>PAGELS</t>
  </si>
  <si>
    <t>RICHARD &amp; DEBRA PAGELS</t>
  </si>
  <si>
    <t xml:space="preserve">11409 E RAMBLEWOOD AVE </t>
  </si>
  <si>
    <t>MOUNTAIN RANCH UNIT 3</t>
  </si>
  <si>
    <t>ESELGROTH PISAMAI S</t>
  </si>
  <si>
    <t>PAGELS RICHARD A &amp; DEBRA A</t>
  </si>
  <si>
    <t>MENDY</t>
  </si>
  <si>
    <t>THORPE</t>
  </si>
  <si>
    <t>MENDY THORPE</t>
  </si>
  <si>
    <t xml:space="preserve">728 E SHEFFIELD AVE </t>
  </si>
  <si>
    <t>SETTLER'S MEADOW</t>
  </si>
  <si>
    <t>PHILLIPS ESTATE TRUST</t>
  </si>
  <si>
    <t>HALL BRANDON W &amp; MENDY R</t>
  </si>
  <si>
    <t>AVILES</t>
  </si>
  <si>
    <t>AVILES &amp; SHELLY RAE</t>
  </si>
  <si>
    <t xml:space="preserve">11403 N 77TH DR </t>
  </si>
  <si>
    <t>SOMERSET LOT 1-206</t>
  </si>
  <si>
    <t>SOMERSET</t>
  </si>
  <si>
    <t>MCCRITE FAMILY TRUST</t>
  </si>
  <si>
    <t>AVILES LUIS A &amp; SHELLY R</t>
  </si>
  <si>
    <t>PERCEL</t>
  </si>
  <si>
    <t>CRUDUP</t>
  </si>
  <si>
    <t>PERCEL &amp; LEANNE CRUDUP</t>
  </si>
  <si>
    <t xml:space="preserve">5509 N RATTLER WAY </t>
  </si>
  <si>
    <t>WIGWAM CREEK NORTH PHASE 1</t>
  </si>
  <si>
    <t>STEPHENS BRANDON M</t>
  </si>
  <si>
    <t>CRUDUP PERCEL P</t>
  </si>
  <si>
    <t>TAWNA</t>
  </si>
  <si>
    <t>WELLARD-TURNER</t>
  </si>
  <si>
    <t>BRYAN TURNER &amp; TAWNA WELLARD-TURNER</t>
  </si>
  <si>
    <t xml:space="preserve">22024 N HONCHO CT </t>
  </si>
  <si>
    <t>TURNER BRYAN RAY</t>
  </si>
  <si>
    <t>WELLARD-TURNER TAWNA M</t>
  </si>
  <si>
    <t>SWICK</t>
  </si>
  <si>
    <t>AGLAN</t>
  </si>
  <si>
    <t>ANDREW SWICK &amp; MONA AGLAN</t>
  </si>
  <si>
    <t xml:space="preserve">1776 E HORSESHOE CT </t>
  </si>
  <si>
    <t>SONORAN VISTA VARIOUS LOTS &amp; TRACT F REP</t>
  </si>
  <si>
    <t>GIBSON TIMOTHY J &amp; SUSAN G</t>
  </si>
  <si>
    <t>SWICK ANDREW LAWRENCE</t>
  </si>
  <si>
    <t>AGLAN MONA I</t>
  </si>
  <si>
    <t>STOKER</t>
  </si>
  <si>
    <t>ANDREW STOKER</t>
  </si>
  <si>
    <t xml:space="preserve">23624 W HUNTINGTON DR </t>
  </si>
  <si>
    <t>H072</t>
  </si>
  <si>
    <t>RIATA WEST UNIT 2</t>
  </si>
  <si>
    <t>RIATA WEST</t>
  </si>
  <si>
    <t>HARO RAMON A &amp; ANA L</t>
  </si>
  <si>
    <t>STOKER ANDREW T</t>
  </si>
  <si>
    <t>KASSAB</t>
  </si>
  <si>
    <t>SALLY</t>
  </si>
  <si>
    <t>JASON &amp; SALLY KASSAB</t>
  </si>
  <si>
    <t xml:space="preserve">3808 W ASHTON DR </t>
  </si>
  <si>
    <t>ANTHEM UNIT 59</t>
  </si>
  <si>
    <t>BREMER PETER G</t>
  </si>
  <si>
    <t>KASSAB JASON &amp; SALLY</t>
  </si>
  <si>
    <t>STOCKS</t>
  </si>
  <si>
    <t>JOE &amp; KAREN STOCKS</t>
  </si>
  <si>
    <t xml:space="preserve">13250 N 78TH ST </t>
  </si>
  <si>
    <t>PARADISE VALLEY RANCHOS</t>
  </si>
  <si>
    <t>WIMER JOHN J</t>
  </si>
  <si>
    <t>STOCKS JOE R</t>
  </si>
  <si>
    <t>REBECA</t>
  </si>
  <si>
    <t>PAUL &amp; REBECA FLORES</t>
  </si>
  <si>
    <t xml:space="preserve">3522 E ALTADENA AVE </t>
  </si>
  <si>
    <t>CACTUS PARK 2</t>
  </si>
  <si>
    <t>ESTEP MEGAN</t>
  </si>
  <si>
    <t>FLORES PAUL &amp; REBECA</t>
  </si>
  <si>
    <t>OTONIEL</t>
  </si>
  <si>
    <t>AGUERO</t>
  </si>
  <si>
    <t>GLORIELA</t>
  </si>
  <si>
    <t>OTONIEL &amp; GLORIELA AGUERO</t>
  </si>
  <si>
    <t xml:space="preserve">12512 W CAMPBELL AVE </t>
  </si>
  <si>
    <t>WIGWAM CREEK SOUTH PARCELS 8 &amp; 9</t>
  </si>
  <si>
    <t>R &amp; V VENTURES LLP</t>
  </si>
  <si>
    <t>AGUERO OTONIEL D &amp; GLORIELA</t>
  </si>
  <si>
    <t>BALBINO</t>
  </si>
  <si>
    <t>BALBINO &amp; LINDA LOPEZ</t>
  </si>
  <si>
    <t xml:space="preserve">9332 W BENNET PLZ </t>
  </si>
  <si>
    <t>ROSENSTOCK TERRY</t>
  </si>
  <si>
    <t>LOPEZ BALBINO &amp; LINDA</t>
  </si>
  <si>
    <t>PACHECO</t>
  </si>
  <si>
    <t>ERNEST &amp; CHRISTINA PACHECO</t>
  </si>
  <si>
    <t xml:space="preserve">9323 W JONES AVE </t>
  </si>
  <si>
    <t>TIVOLI</t>
  </si>
  <si>
    <t>UNION ELEMENTARY SCHOOL</t>
  </si>
  <si>
    <t>HURLEY RANCH ELEMENTARY SCHOOL</t>
  </si>
  <si>
    <t>PACHECO ERNEST N &amp; CHRISTINA M</t>
  </si>
  <si>
    <t>DOUGLAS FISHER</t>
  </si>
  <si>
    <t xml:space="preserve">8412 E ROSEWOOD LN </t>
  </si>
  <si>
    <t>SCOTTSDALE ESTATES 14  LOTS 1687-1844</t>
  </si>
  <si>
    <t>SCOTTSDALE ESTATES FOURTEEN</t>
  </si>
  <si>
    <t>JACO MARTIN D</t>
  </si>
  <si>
    <t>FISHER DOUGLAS S</t>
  </si>
  <si>
    <t>RONALD &amp; MARSHA SMITH</t>
  </si>
  <si>
    <t xml:space="preserve">3626 W CHARLESTON AVE </t>
  </si>
  <si>
    <t>KNOELL NORTH 10</t>
  </si>
  <si>
    <t>KNOELL NORTH</t>
  </si>
  <si>
    <t>CHAVEZ ROBERTO &amp; JENNIFER J</t>
  </si>
  <si>
    <t>SMITH RONALD R &amp; MARSHA S</t>
  </si>
  <si>
    <t>LEAF</t>
  </si>
  <si>
    <t>FOSTER LEAF</t>
  </si>
  <si>
    <t xml:space="preserve">2541 W KNOX RD </t>
  </si>
  <si>
    <t>MISSION PARK RANCH UNIT 2</t>
  </si>
  <si>
    <t>MISSION PARK RANCH</t>
  </si>
  <si>
    <t>MACKINNEY PAUL M</t>
  </si>
  <si>
    <t>LEAF FOSTER</t>
  </si>
  <si>
    <t>HAWKS</t>
  </si>
  <si>
    <t>THOMAS &amp; YVONNE HAWKS</t>
  </si>
  <si>
    <t xml:space="preserve">17214 W GIBSON LN </t>
  </si>
  <si>
    <t>HAWKS THOMAS C</t>
  </si>
  <si>
    <t>BLACKERT</t>
  </si>
  <si>
    <t>WILLIAM &amp; TERRI BLACKERT</t>
  </si>
  <si>
    <t xml:space="preserve">10496 W COTTONTAIL LN </t>
  </si>
  <si>
    <t>ROWAN THOMAS R &amp; AMBER N</t>
  </si>
  <si>
    <t>BLACKERT WILLIAM A &amp; TERRI L</t>
  </si>
  <si>
    <t>LAPIANA</t>
  </si>
  <si>
    <t>ANTHONY &amp; GALE LAPIANA</t>
  </si>
  <si>
    <t xml:space="preserve">17745 W RED BIRD RD </t>
  </si>
  <si>
    <t>DESERT OASIS AT SURPRISE PARCEL L5-B</t>
  </si>
  <si>
    <t>MYERS CHAD E</t>
  </si>
  <si>
    <t>LAPIANA ANTHONY C</t>
  </si>
  <si>
    <t>ESTRELLA</t>
  </si>
  <si>
    <t>JESUSA</t>
  </si>
  <si>
    <t>ROSS &amp; JESUSA ESTRELLA</t>
  </si>
  <si>
    <t xml:space="preserve">15249 W HEARN RD </t>
  </si>
  <si>
    <t>COUNTRYSIDE UNIT 4</t>
  </si>
  <si>
    <t>CHRISTOPHERSON PATRICK</t>
  </si>
  <si>
    <t>ESTRELLA ROSS A &amp; JESUSA S</t>
  </si>
  <si>
    <t>GOULD</t>
  </si>
  <si>
    <t>GOULD &amp; AUDREY RENEE</t>
  </si>
  <si>
    <t xml:space="preserve">3933 W ERICSON DR </t>
  </si>
  <si>
    <t>ANTHEM UNIT 57</t>
  </si>
  <si>
    <t>LORENC PIOTR K &amp; JACQUELINE</t>
  </si>
  <si>
    <t>GOULD AARON D &amp; AUDREY R</t>
  </si>
  <si>
    <t>EDWARDS</t>
  </si>
  <si>
    <t>CHRISTINA EDWARDS</t>
  </si>
  <si>
    <t xml:space="preserve">1603 W TEMPLE ST </t>
  </si>
  <si>
    <t>KNOELL EAST UNIT 6 LOT 1-200 TR A</t>
  </si>
  <si>
    <t>PRIGGE DIEDRICH</t>
  </si>
  <si>
    <t>EDWARDS CHRISTINA A</t>
  </si>
  <si>
    <t>MEAD</t>
  </si>
  <si>
    <t>BRANDON MEAD</t>
  </si>
  <si>
    <t xml:space="preserve">8127 W MARCO POLO RD </t>
  </si>
  <si>
    <t>SEARS TODD J</t>
  </si>
  <si>
    <t>MEAD BRANDON A</t>
  </si>
  <si>
    <t>HAND</t>
  </si>
  <si>
    <t>JEFFREY &amp; LEE HAND</t>
  </si>
  <si>
    <t xml:space="preserve">4234 E MEGAN CT </t>
  </si>
  <si>
    <t>SHARP SUBRINA &amp; RANDV</t>
  </si>
  <si>
    <t>HAND JEFFREY &amp; LEE</t>
  </si>
  <si>
    <t>AHERN</t>
  </si>
  <si>
    <t>FAYE</t>
  </si>
  <si>
    <t>AHERN &amp; TONYA FAYE</t>
  </si>
  <si>
    <t xml:space="preserve">7638 W CINNABAR AVE </t>
  </si>
  <si>
    <t>WESTFIELD GARDENS  TR C-E</t>
  </si>
  <si>
    <t>WESTFIELD GARDENS</t>
  </si>
  <si>
    <t>GOURLEY VICKI</t>
  </si>
  <si>
    <t>PATRICK M AHERN</t>
  </si>
  <si>
    <t>TONYA F AHERN</t>
  </si>
  <si>
    <t>ALEX</t>
  </si>
  <si>
    <t>ALEX RODRIGUEZ</t>
  </si>
  <si>
    <t xml:space="preserve">4234 E SALTSAGE DR </t>
  </si>
  <si>
    <t>KASSAMANI HOLDINGS I LLC</t>
  </si>
  <si>
    <t>RODRIGUEZ ALEX</t>
  </si>
  <si>
    <t>LANIER</t>
  </si>
  <si>
    <t>LAWRENCE &amp; BARBARA LANIER</t>
  </si>
  <si>
    <t xml:space="preserve">17415 N 41ST DR </t>
  </si>
  <si>
    <t>DESERT PINES UNIT 5 LOT 411-499</t>
  </si>
  <si>
    <t>HALLIGAN BRENDA A</t>
  </si>
  <si>
    <t>FRANKLIN AMERICAN MORTGAGE CO</t>
  </si>
  <si>
    <t>LANIER JR LAWRENCE N</t>
  </si>
  <si>
    <t>LANIER BARBARA A</t>
  </si>
  <si>
    <t>BORQUEZ</t>
  </si>
  <si>
    <t>GIOVANNA</t>
  </si>
  <si>
    <t>STEVEN &amp; GIOVANNA BORQUEZ</t>
  </si>
  <si>
    <t xml:space="preserve">143 S 108TH AVE </t>
  </si>
  <si>
    <t>WITTER GEOFFREY L</t>
  </si>
  <si>
    <t>BORQUEZ STEVEN A &amp; GIOVANNA A</t>
  </si>
  <si>
    <t>BJERSTEDT</t>
  </si>
  <si>
    <t>SUMMERS</t>
  </si>
  <si>
    <t>WILLIAM BJERSTEDT &amp; LINDA SUMMERS</t>
  </si>
  <si>
    <t xml:space="preserve">26406 S BEECH CREEK DR </t>
  </si>
  <si>
    <t xml:space="preserve">7795 MOHAWK RD </t>
  </si>
  <si>
    <t>COLORADO SPRINGS</t>
  </si>
  <si>
    <t>SUN LAKES 17  LOT 1-275 TR A-D</t>
  </si>
  <si>
    <t>BELL ADELINE K</t>
  </si>
  <si>
    <t>BIERSTEDT WILLIAM R</t>
  </si>
  <si>
    <t>MARX</t>
  </si>
  <si>
    <t>BENJAMIN MARX</t>
  </si>
  <si>
    <t xml:space="preserve">10647 E FLORIAN AVE </t>
  </si>
  <si>
    <t>PARKWOOD RANCH PARCEL 3</t>
  </si>
  <si>
    <t>HACIENDA AT PARKWOOD RANCH</t>
  </si>
  <si>
    <t>GALM CHRISTOPHER</t>
  </si>
  <si>
    <t>MARX BENJAMIN R</t>
  </si>
  <si>
    <t>RAYFIELD</t>
  </si>
  <si>
    <t>TERESA &amp; MATTHEW RAYFIELD</t>
  </si>
  <si>
    <t xml:space="preserve">3812 S 186TH LN </t>
  </si>
  <si>
    <t>LAS BRISAS PHASE 2A REPLAT TRACTS BB &amp; D</t>
  </si>
  <si>
    <t>RAYFIELD TERESA A II &amp; MATTHEW J</t>
  </si>
  <si>
    <t>DOLAN</t>
  </si>
  <si>
    <t>MAGDA</t>
  </si>
  <si>
    <t>TIMOTHY &amp; MAGDA DOLAN</t>
  </si>
  <si>
    <t xml:space="preserve">17732 N JAVELINA DR </t>
  </si>
  <si>
    <t>ARIZONA TRADITIONS PARCEL 14</t>
  </si>
  <si>
    <t>WILSON MURRAY W &amp; BRIDGET J</t>
  </si>
  <si>
    <t>DOLAN TIMOTHY W &amp; MAGDA</t>
  </si>
  <si>
    <t>BUENTELLO</t>
  </si>
  <si>
    <t>CHRISTOPHER BUENTELLO</t>
  </si>
  <si>
    <t xml:space="preserve">16542 W JACKSON ST </t>
  </si>
  <si>
    <t>CANYON TRAILS UNIT 3 PARCEL F</t>
  </si>
  <si>
    <t>SABO ERICK</t>
  </si>
  <si>
    <t>BUENTELLO CHRISTOPHER M</t>
  </si>
  <si>
    <t>KEVIN ADKINS</t>
  </si>
  <si>
    <t xml:space="preserve">3726 N 292ND LN </t>
  </si>
  <si>
    <t>BOTTING RUSSELL</t>
  </si>
  <si>
    <t>NATHELLE</t>
  </si>
  <si>
    <t>ADAM &amp; NATHELLE YOUNG</t>
  </si>
  <si>
    <t xml:space="preserve">14900 W VOLTAIRE ST </t>
  </si>
  <si>
    <t>MARLEY PARK PARCEL 9</t>
  </si>
  <si>
    <t>SCOTT HOMES II LLC</t>
  </si>
  <si>
    <t>YOUNG ADAM N &amp; NATHELLE</t>
  </si>
  <si>
    <t>QUEVEDO</t>
  </si>
  <si>
    <t>LOUIS QUEVEDO</t>
  </si>
  <si>
    <t xml:space="preserve">16310 W IRONWOOD ST </t>
  </si>
  <si>
    <t>NORTHWEST RANCH UNIT 2 PHASE C</t>
  </si>
  <si>
    <t>ENDRIS JEFFREY</t>
  </si>
  <si>
    <t>QUEVEDO LOUIS G</t>
  </si>
  <si>
    <t>HASZ</t>
  </si>
  <si>
    <t>LEE &amp; LINDA HASZ</t>
  </si>
  <si>
    <t xml:space="preserve">17924 W GLENHAVEN DR </t>
  </si>
  <si>
    <t>WOODBRIDGE WA 22192</t>
  </si>
  <si>
    <t>LEE A HASZ</t>
  </si>
  <si>
    <t>LINDA A HASZ</t>
  </si>
  <si>
    <t>TRACI</t>
  </si>
  <si>
    <t>STEPHEN &amp; TRACI JOHNSON</t>
  </si>
  <si>
    <t xml:space="preserve">12125 W JESSIE LN </t>
  </si>
  <si>
    <t>HEYLAND JONATHAN J</t>
  </si>
  <si>
    <t>JOHNSON STEPHEN &amp; TRACI</t>
  </si>
  <si>
    <t>SCHILLERSTROM</t>
  </si>
  <si>
    <t>MARK &amp; TAMERA SCHILLERSTROM</t>
  </si>
  <si>
    <t xml:space="preserve">8691 N 89TH DR </t>
  </si>
  <si>
    <t>SCHILLERSTROM JR MARK DEE</t>
  </si>
  <si>
    <t>SCHILLERSTROM TAMERA MARIE</t>
  </si>
  <si>
    <t>CONSTABLE</t>
  </si>
  <si>
    <t>CHAD CONSTABLE</t>
  </si>
  <si>
    <t xml:space="preserve">16071 W PIMA ST </t>
  </si>
  <si>
    <t>SAMANIEGO JEFFREY &amp; DUSTINE</t>
  </si>
  <si>
    <t>CONSTABLE CHAD A</t>
  </si>
  <si>
    <t>SAVOREN MARY G TRUST</t>
  </si>
  <si>
    <t>G SAVORENMARY</t>
  </si>
  <si>
    <t xml:space="preserve">14203 W ALEPPO DR </t>
  </si>
  <si>
    <t>PETERS CLIFFORD L</t>
  </si>
  <si>
    <t>MARY G SAVOREN</t>
  </si>
  <si>
    <t>LYNNANN</t>
  </si>
  <si>
    <t>LETCHWORTH</t>
  </si>
  <si>
    <t>LYNNANN &amp; CHAD LETCHWORTH</t>
  </si>
  <si>
    <t xml:space="preserve">13403 N 53RD AVE </t>
  </si>
  <si>
    <t>HICKORY SHADOWS 2 LOT 1-133 TR A</t>
  </si>
  <si>
    <t>HICKORY SHADOWS</t>
  </si>
  <si>
    <t>WARD SANDRA</t>
  </si>
  <si>
    <t>LETCHWORTH LYNNANN</t>
  </si>
  <si>
    <t>NEELY</t>
  </si>
  <si>
    <t>ERICK &amp; SABRINA NEELY</t>
  </si>
  <si>
    <t xml:space="preserve">15070 N 172ND LN </t>
  </si>
  <si>
    <t>SIERRA MONTANA PARCEL 18</t>
  </si>
  <si>
    <t>LEEPER DAVID</t>
  </si>
  <si>
    <t>ERICK NEELY</t>
  </si>
  <si>
    <t>SABRINA NEELY</t>
  </si>
  <si>
    <t>KURTZ REVOCABLE LIVING TRUST</t>
  </si>
  <si>
    <t>KURTZ</t>
  </si>
  <si>
    <t xml:space="preserve">3428 E MELODY DR </t>
  </si>
  <si>
    <t>CORTLAND POINT SUBDIVISION LOT 1-45 TR A</t>
  </si>
  <si>
    <t>CORTLAND POINT</t>
  </si>
  <si>
    <t>HELTON RYAN D</t>
  </si>
  <si>
    <t>KURTZ ROGER L &amp; JUDITH C</t>
  </si>
  <si>
    <t>BASIAGO</t>
  </si>
  <si>
    <t>THOMAS &amp; BETTY BASIAGO</t>
  </si>
  <si>
    <t xml:space="preserve">6303 E PEARL ST </t>
  </si>
  <si>
    <t>RIDGEVIEW UNIT 3-C</t>
  </si>
  <si>
    <t>BRETALL FAMILY TRUST</t>
  </si>
  <si>
    <t>BASIAGO THOMAS E &amp; BETTY J</t>
  </si>
  <si>
    <t>CHARLES FOSTER</t>
  </si>
  <si>
    <t xml:space="preserve">15642 W BERKELEY RD </t>
  </si>
  <si>
    <t>FOSTER CHARLES W II</t>
  </si>
  <si>
    <t>FOSTER TRICIA L</t>
  </si>
  <si>
    <t>JOLLS</t>
  </si>
  <si>
    <t>CLAUDE &amp; JO JOLLS</t>
  </si>
  <si>
    <t xml:space="preserve">16035 W TONTO ST </t>
  </si>
  <si>
    <t>WILDFLOWER RANCH UNIT 1</t>
  </si>
  <si>
    <t>BOYD JAMES S</t>
  </si>
  <si>
    <t>CBC NAT'L BK MTG</t>
  </si>
  <si>
    <t>ALPHARETTA GA 30022</t>
  </si>
  <si>
    <t>CLAUDE M JOLLS</t>
  </si>
  <si>
    <t>JO E JOLLS</t>
  </si>
  <si>
    <t>DAUGHERTY FAMILY LIVING TRUST</t>
  </si>
  <si>
    <t>DAUGHERTY</t>
  </si>
  <si>
    <t xml:space="preserve">3459 S BANDIT RD </t>
  </si>
  <si>
    <t>MALICDEM LYNEAL P &amp; MARLENA</t>
  </si>
  <si>
    <t>PARAMOUNT EQUITY MORTGAGE LLC</t>
  </si>
  <si>
    <t>DAUGHERTY TERRAL EDWARD &amp; DEBORAH K</t>
  </si>
  <si>
    <t>GONZALO</t>
  </si>
  <si>
    <t>CASILLAS</t>
  </si>
  <si>
    <t>GONZALO CASILLAS</t>
  </si>
  <si>
    <t xml:space="preserve">17427 W MONROE ST </t>
  </si>
  <si>
    <t>CANYON TRAILS UNIT 4 WEST PARCEL A2</t>
  </si>
  <si>
    <t>SAUCEDA RAQUEL</t>
  </si>
  <si>
    <t>CASILLAS GONZALO</t>
  </si>
  <si>
    <t>FUCHS FAMILY LIVING TRUST</t>
  </si>
  <si>
    <t>FUCHS</t>
  </si>
  <si>
    <t xml:space="preserve">3050 E ROLAND ST </t>
  </si>
  <si>
    <t>SANTA ANA CA 92707</t>
  </si>
  <si>
    <t>FUCHS DEREK J</t>
  </si>
  <si>
    <t>BEAUPRE</t>
  </si>
  <si>
    <t>JENNIFER BEAUPRE</t>
  </si>
  <si>
    <t xml:space="preserve">19742 W MORNING GLORY ST </t>
  </si>
  <si>
    <t>BLUE HORIZONS PARCEL 1</t>
  </si>
  <si>
    <t>TEVERE KORI A</t>
  </si>
  <si>
    <t>BEAUPRE JENNIFER</t>
  </si>
  <si>
    <t>BENEDICTO</t>
  </si>
  <si>
    <t>BOBADILLA</t>
  </si>
  <si>
    <t>BENEDICTO BOBADILLA</t>
  </si>
  <si>
    <t xml:space="preserve">11828 S 175TH LN </t>
  </si>
  <si>
    <t>ESTRELLA MOUNTAIN RANCH PARCEL 26</t>
  </si>
  <si>
    <t>SPAHR JIM</t>
  </si>
  <si>
    <t>BENEDICTO N BOBADILLA</t>
  </si>
  <si>
    <t>STEFAN</t>
  </si>
  <si>
    <t>SCHMITT</t>
  </si>
  <si>
    <t>KARYN</t>
  </si>
  <si>
    <t>STEFAN &amp; KARYN SCHMITT</t>
  </si>
  <si>
    <t xml:space="preserve">2485 E ORCHID LN </t>
  </si>
  <si>
    <t>GREENFIELD LAKES PARCEL 5 UNIT 2</t>
  </si>
  <si>
    <t>DREGER GARTH A &amp; KIMBERLY D</t>
  </si>
  <si>
    <t>SCHMITT STEFAN &amp; KARYN A</t>
  </si>
  <si>
    <t>PERFECTO</t>
  </si>
  <si>
    <t>SAENZ</t>
  </si>
  <si>
    <t>PERFECTO SAENZ</t>
  </si>
  <si>
    <t xml:space="preserve">2539 E VISTA DR </t>
  </si>
  <si>
    <t>PARADISE PLAZA</t>
  </si>
  <si>
    <t>PALOMINO PRIMARY SCHOOL</t>
  </si>
  <si>
    <t>QUINN LINDA</t>
  </si>
  <si>
    <t>SAENZ PERFECTO E</t>
  </si>
  <si>
    <t>PERFECTO E SAENZ</t>
  </si>
  <si>
    <t>KIRK</t>
  </si>
  <si>
    <t>HUFFER</t>
  </si>
  <si>
    <t>KIRK &amp; CINDY HUFFER</t>
  </si>
  <si>
    <t xml:space="preserve">14622 N 44TH PL </t>
  </si>
  <si>
    <t>COVEY UNIT 7 LOT 329-363</t>
  </si>
  <si>
    <t>COVEY WEST</t>
  </si>
  <si>
    <t>SHIVELY AMANDA J</t>
  </si>
  <si>
    <t>HUFFER KIRK &amp; CINDY</t>
  </si>
  <si>
    <t>ASHLOCK</t>
  </si>
  <si>
    <t>KORINNE</t>
  </si>
  <si>
    <t>JEREMY &amp; KORINNE ASHLOCK</t>
  </si>
  <si>
    <t xml:space="preserve">14148 W AMELIA AVE </t>
  </si>
  <si>
    <t xml:space="preserve">13601 W ALVARADO DR </t>
  </si>
  <si>
    <t>BOWER JENNIFER &amp; JOSEPH</t>
  </si>
  <si>
    <t>ASHLOCK JEREMY &amp; KORINNE</t>
  </si>
  <si>
    <t>JENNINGS</t>
  </si>
  <si>
    <t>DAVID JENNINGS</t>
  </si>
  <si>
    <t xml:space="preserve">17461 W MEADOW LN </t>
  </si>
  <si>
    <t>SIERRA MONTANA PARCEL 11</t>
  </si>
  <si>
    <t>ZAVALA FELIPE</t>
  </si>
  <si>
    <t>JENNINGS DAVID</t>
  </si>
  <si>
    <t>LONGYEAR</t>
  </si>
  <si>
    <t>FIORI-LONGYEAR</t>
  </si>
  <si>
    <t>MICHAEL LONGYEAR &amp; ADRIENNE FIORI-LONGYEAR</t>
  </si>
  <si>
    <t xml:space="preserve">2418 E SYLVIA ST </t>
  </si>
  <si>
    <t>CACTUS GARDENS 5</t>
  </si>
  <si>
    <t>CACTUS GARDENS</t>
  </si>
  <si>
    <t>HOFFMANN KURT</t>
  </si>
  <si>
    <t>LONGYEAR MICHAEL</t>
  </si>
  <si>
    <t>FIORI LONGYEAR ADRIENNA M</t>
  </si>
  <si>
    <t>ROBERT MASON</t>
  </si>
  <si>
    <t xml:space="preserve">15372 W TASHA DR </t>
  </si>
  <si>
    <t>ORCHARDS PARCEL 1</t>
  </si>
  <si>
    <t>PADILLA CARLOS A</t>
  </si>
  <si>
    <t>MASON ROBERT L JR</t>
  </si>
  <si>
    <t>HOOVER</t>
  </si>
  <si>
    <t>JASON &amp; BRITTANY HOOVER</t>
  </si>
  <si>
    <t xml:space="preserve">12761 W PASARO DR </t>
  </si>
  <si>
    <t>VISTANCIA VILLAGE A PARCEL A7</t>
  </si>
  <si>
    <t>STONE RIDGE</t>
  </si>
  <si>
    <t>BELINA MICHELLE L</t>
  </si>
  <si>
    <t>HOOVER JASON M</t>
  </si>
  <si>
    <t>EBRIGHT</t>
  </si>
  <si>
    <t>NORINE</t>
  </si>
  <si>
    <t>EDWARD &amp; NORINE EBRIGHT</t>
  </si>
  <si>
    <t xml:space="preserve">3835 W WHITTEN ST </t>
  </si>
  <si>
    <t>HEARTHSTONE UNIT 4 LT 431-555 TR A-H</t>
  </si>
  <si>
    <t>SCHEPPE JODI L</t>
  </si>
  <si>
    <t>AMERISAVE MTG</t>
  </si>
  <si>
    <t>ATLANTA GA 30305</t>
  </si>
  <si>
    <t>EDWARD EBRIGHT</t>
  </si>
  <si>
    <t>NORINE EBRIGHT</t>
  </si>
  <si>
    <t>REMILY</t>
  </si>
  <si>
    <t>ELVIRA</t>
  </si>
  <si>
    <t>LONNIE &amp; ELVIRA REMILY</t>
  </si>
  <si>
    <t xml:space="preserve">17273 W MORNING GLORY ST </t>
  </si>
  <si>
    <t>TISDALL BRIAN C</t>
  </si>
  <si>
    <t>REMILY LONNIE &amp; ELVIRA</t>
  </si>
  <si>
    <t>SWEEN</t>
  </si>
  <si>
    <t>DENNIS &amp; GINA SWEEN</t>
  </si>
  <si>
    <t xml:space="preserve">11522 W CYPRUS DR </t>
  </si>
  <si>
    <t>GARDEN LAKES PARCEL 22</t>
  </si>
  <si>
    <t>BUCKNER KIMBERLY S</t>
  </si>
  <si>
    <t>SWEEN DENNIS JR &amp; GINA</t>
  </si>
  <si>
    <t>PATTY</t>
  </si>
  <si>
    <t>PAUL &amp; PATTY BRADY</t>
  </si>
  <si>
    <t xml:space="preserve">5511 W CROCUS DR </t>
  </si>
  <si>
    <t>ROYAL ESTATES WEST 3 LOT 51-122</t>
  </si>
  <si>
    <t>KACHINA ELEMENTARY SCHOOL</t>
  </si>
  <si>
    <t>NORTH PEAK LLC</t>
  </si>
  <si>
    <t>BRADY PAUL E &amp; PATTY</t>
  </si>
  <si>
    <t>AMANCIO</t>
  </si>
  <si>
    <t>CLIFFORD &amp; MARIA AMANCIO</t>
  </si>
  <si>
    <t xml:space="preserve">4726 W FAWN DR </t>
  </si>
  <si>
    <t>CHEATHAM FARMS UNIT 1 AMD</t>
  </si>
  <si>
    <t>BUSSE TIMOTHY</t>
  </si>
  <si>
    <t>CLIFFORD N AMANCIO</t>
  </si>
  <si>
    <t>COLLIER</t>
  </si>
  <si>
    <t>NANCY &amp; KENNETH COLLIER</t>
  </si>
  <si>
    <t xml:space="preserve">16846 W SAGUARO LN </t>
  </si>
  <si>
    <t>SURPRISE FARMS PHASE 1-A SOUTH PARCEL 7</t>
  </si>
  <si>
    <t>SHARPE SCOTT J</t>
  </si>
  <si>
    <t>COLLIER NANCY E &amp; KENNETH</t>
  </si>
  <si>
    <t>EARNEST</t>
  </si>
  <si>
    <t>GRANT</t>
  </si>
  <si>
    <t>EARNEST WHITE &amp; WHITE GRANT</t>
  </si>
  <si>
    <t xml:space="preserve">6734 S 76TH DR </t>
  </si>
  <si>
    <t>EARNEST D WHITE JR</t>
  </si>
  <si>
    <t>APRIL T GRANT-WHITE</t>
  </si>
  <si>
    <t>DUNIVAN</t>
  </si>
  <si>
    <t>THE KENNETH NORMAN DUNIVAN RESIDENCE TRU</t>
  </si>
  <si>
    <t>TRACY DUNIVAN &amp; THE TRU</t>
  </si>
  <si>
    <t xml:space="preserve">1026 W RIO SALADO PKWY </t>
  </si>
  <si>
    <t>EMERSON ELEMENTARY SCHOOL</t>
  </si>
  <si>
    <t>WAITE CHANDLER B</t>
  </si>
  <si>
    <t>DUNIVAN KENNETH</t>
  </si>
  <si>
    <t>SEVILLE T A FAMILY TRUST</t>
  </si>
  <si>
    <t>A SEVILLET</t>
  </si>
  <si>
    <t xml:space="preserve">19939 W HIGHLAND AVE </t>
  </si>
  <si>
    <t>MURRAY JAMES T</t>
  </si>
  <si>
    <t>TRAVIS A SEVILLE</t>
  </si>
  <si>
    <t>SALEEM</t>
  </si>
  <si>
    <t>ABDULLAH</t>
  </si>
  <si>
    <t>MINDEE</t>
  </si>
  <si>
    <t>SALEEM &amp; MINDEE ABDULLAH</t>
  </si>
  <si>
    <t xml:space="preserve">45108 N 19TH PL </t>
  </si>
  <si>
    <t>ABDULLAH SALEEM M &amp; MINDEE L</t>
  </si>
  <si>
    <t>BRILES &amp; DEBORAH KAY</t>
  </si>
  <si>
    <t xml:space="preserve">35015 N 3RD AVE </t>
  </si>
  <si>
    <t>H020</t>
  </si>
  <si>
    <t xml:space="preserve">2015 E BUTLER AVE </t>
  </si>
  <si>
    <t>KINGMAN</t>
  </si>
  <si>
    <t>BRILES DANIEL &amp; JOLYNN</t>
  </si>
  <si>
    <t>BRILES DANNY L &amp; DEBORAH K</t>
  </si>
  <si>
    <t>PASCALE</t>
  </si>
  <si>
    <t>KATHLEEN PASCALE</t>
  </si>
  <si>
    <t xml:space="preserve">305 W ORIOLE WAY </t>
  </si>
  <si>
    <t>CARINO ESTATES PARCEL 3</t>
  </si>
  <si>
    <t>CARINO ESTATES</t>
  </si>
  <si>
    <t>HANCOCK ELEMENTARY SCHOOL</t>
  </si>
  <si>
    <t>KWEDER DAVID B</t>
  </si>
  <si>
    <t>WIRTHGEN DOUGLAS R &amp; KATHLEEN</t>
  </si>
  <si>
    <t>WIRTHGEN DOUGLAS R &amp; KATHLEEN R</t>
  </si>
  <si>
    <t>GERADS</t>
  </si>
  <si>
    <t>GERADS &amp; JANET LYNN</t>
  </si>
  <si>
    <t xml:space="preserve">8045 W ROCK SPRINGS DR </t>
  </si>
  <si>
    <t>GERADS DAVID W &amp; JANET L</t>
  </si>
  <si>
    <t>MATTHEW &amp; SAVANNAH ROGERS</t>
  </si>
  <si>
    <t xml:space="preserve">20343 N 83RD DR </t>
  </si>
  <si>
    <t>FLETCHER HEIGHTS PHASE 3A</t>
  </si>
  <si>
    <t>RUDE STEVEN D</t>
  </si>
  <si>
    <t>ROGERS MATTHEW A &amp; SAVANNAH A</t>
  </si>
  <si>
    <t>COSTELL</t>
  </si>
  <si>
    <t>LARRY &amp; LINDA COSTELL</t>
  </si>
  <si>
    <t xml:space="preserve">25971 W POTTER DR </t>
  </si>
  <si>
    <t>GREEN NEIL R &amp; EMILY R</t>
  </si>
  <si>
    <t>COSTELL LARRY &amp; LINDA P</t>
  </si>
  <si>
    <t>REYNOLD</t>
  </si>
  <si>
    <t>KRAFT</t>
  </si>
  <si>
    <t>REYNOLD &amp; CAROL KRAFT</t>
  </si>
  <si>
    <t xml:space="preserve">634 E TAM OSHANTER DR </t>
  </si>
  <si>
    <t>HILLCREST SEVEN LOT 173-200</t>
  </si>
  <si>
    <t>WANTULOK JOHN C</t>
  </si>
  <si>
    <t>KRAFT REYNOLD E &amp; CAROL A</t>
  </si>
  <si>
    <t>EVANS &amp; DONNA HART</t>
  </si>
  <si>
    <t xml:space="preserve">825 E ENCINAS AVE </t>
  </si>
  <si>
    <t>CIRCLE G MEADOWS 3 LOT 1-143 TR A-F</t>
  </si>
  <si>
    <t>MEADOWS EAST</t>
  </si>
  <si>
    <t>DEJEU JOHN C</t>
  </si>
  <si>
    <t>EVANS MATHEW J &amp; DONNA H</t>
  </si>
  <si>
    <t>LLOYD</t>
  </si>
  <si>
    <t>VERONICA</t>
  </si>
  <si>
    <t>LLOYD &amp; VERONICA BROWN</t>
  </si>
  <si>
    <t xml:space="preserve">620 W YELLOWSTONE WAY </t>
  </si>
  <si>
    <t>FULTON RANCH PARCEL 1</t>
  </si>
  <si>
    <t>WALBERG LIVING TRUST</t>
  </si>
  <si>
    <t>BROWN LLOYD P</t>
  </si>
  <si>
    <t>ROBERT BROWN</t>
  </si>
  <si>
    <t xml:space="preserve">1808 E CATAMARAN DR </t>
  </si>
  <si>
    <t>HOLLIS DAVID M &amp; CAROL S</t>
  </si>
  <si>
    <t>BROWN ROBERT J</t>
  </si>
  <si>
    <t>RICHARD DILLON</t>
  </si>
  <si>
    <t xml:space="preserve">13506 W WAGON WHEEL DR </t>
  </si>
  <si>
    <t>SUN CITY WEST UNIT 51</t>
  </si>
  <si>
    <t>HANNAH ROBERT J &amp; J G TRUST</t>
  </si>
  <si>
    <t>SIERRA PACIFIC MTG</t>
  </si>
  <si>
    <t>FOLSOM CA 95630</t>
  </si>
  <si>
    <t>STEPHEN &amp; JOANNE ELLSWORTH</t>
  </si>
  <si>
    <t xml:space="preserve">6323 W WAGONER RD </t>
  </si>
  <si>
    <t>ARROWHEAD VALLEY 2        LOT 71-134 &amp;TR</t>
  </si>
  <si>
    <t>ARROWHEAD VALLEY</t>
  </si>
  <si>
    <t>VALENZUELA RAFAEL &amp; LAURA</t>
  </si>
  <si>
    <t>ELLSWORTH STEPHEN R &amp; JOANNE</t>
  </si>
  <si>
    <t>KENNETH &amp; JULIE MOORE</t>
  </si>
  <si>
    <t xml:space="preserve">8002 E CONQUISTADORES DR </t>
  </si>
  <si>
    <t>PINNACLE PEAK ESTATES UNIT TWO</t>
  </si>
  <si>
    <t>WASHINGTON FEDERAL SAVINGS</t>
  </si>
  <si>
    <t>MOORE KENNETH J</t>
  </si>
  <si>
    <t>STEVEN WHITE</t>
  </si>
  <si>
    <t xml:space="preserve">16005 S 12TH PL </t>
  </si>
  <si>
    <t>FOOTHILLS PARCEL 03B</t>
  </si>
  <si>
    <t>THE RESERVE</t>
  </si>
  <si>
    <t>SPENCER SANDRA</t>
  </si>
  <si>
    <t>WHITE STEVEN</t>
  </si>
  <si>
    <t>FLESHMAN</t>
  </si>
  <si>
    <t>ALEX &amp; STEPHANIE FLESHMAN</t>
  </si>
  <si>
    <t xml:space="preserve">2107 W COHEN TRL </t>
  </si>
  <si>
    <t>ANTHEM UNIT 37</t>
  </si>
  <si>
    <t>STURGES SCOTT L &amp; L N</t>
  </si>
  <si>
    <t>FLESHMAN ALEX J &amp; STEPHANIE A</t>
  </si>
  <si>
    <t>FONES</t>
  </si>
  <si>
    <t>AARON &amp; COURTNEY FONES</t>
  </si>
  <si>
    <t xml:space="preserve">31350 N 138TH AVE </t>
  </si>
  <si>
    <t>VISTANCIA VILLAGE A PARCEL G2</t>
  </si>
  <si>
    <t>GEHAN HOMES</t>
  </si>
  <si>
    <t>GLOBAL EQUITY FIN INC</t>
  </si>
  <si>
    <t>SAN DIEGO CA 92117</t>
  </si>
  <si>
    <t>FONES AARON</t>
  </si>
  <si>
    <t>MOUNTAIN AMERICA CU</t>
  </si>
  <si>
    <t>CRAIG HARRIS</t>
  </si>
  <si>
    <t xml:space="preserve">1940 W CHIMNEY ROCK RD </t>
  </si>
  <si>
    <t>DYNAMITE MOUNTAIN RANCH PHASE 2 PARCELS</t>
  </si>
  <si>
    <t>WULBRECHT GREGG &amp; LISA</t>
  </si>
  <si>
    <t>HARRIS CRAIG</t>
  </si>
  <si>
    <t>RAMOS</t>
  </si>
  <si>
    <t>RAMOS &amp; CRYSTAL LEE</t>
  </si>
  <si>
    <t xml:space="preserve">5551 W BLOOMFIELD RD </t>
  </si>
  <si>
    <t>MISSION GROVES 2 AT MARSHALL RANCH LT 1-</t>
  </si>
  <si>
    <t>MISSION GROVES AT MARSHALL RANCH</t>
  </si>
  <si>
    <t>LILO FAEDA</t>
  </si>
  <si>
    <t>RAMOS ARCIE V &amp; CRYSTAL L</t>
  </si>
  <si>
    <t>PUCKHABER</t>
  </si>
  <si>
    <t>DAVID &amp; DEBBIE PUCKHABER</t>
  </si>
  <si>
    <t xml:space="preserve">1313 E GWEN ST </t>
  </si>
  <si>
    <t>DOBBINS CREEK</t>
  </si>
  <si>
    <t>GARCIA LUIS</t>
  </si>
  <si>
    <t>PUCKHABER DAVID &amp; DEBBIE</t>
  </si>
  <si>
    <t>RINGLE</t>
  </si>
  <si>
    <t>RYAN RINGLE</t>
  </si>
  <si>
    <t xml:space="preserve">2297 E BALSAM DR </t>
  </si>
  <si>
    <t>WINTERS JOHN D</t>
  </si>
  <si>
    <t>RINGLE RYAN &amp; JULIE</t>
  </si>
  <si>
    <t>VONDOURIS</t>
  </si>
  <si>
    <t>TYLER BROWN &amp; JAMIE VONDOURIS</t>
  </si>
  <si>
    <t xml:space="preserve">12855 W CLAREMONT ST </t>
  </si>
  <si>
    <t>BROWN TYLER J</t>
  </si>
  <si>
    <t>VONDOURIS JAMIE L</t>
  </si>
  <si>
    <t>DICKERSON</t>
  </si>
  <si>
    <t>JAMES DICKERSON</t>
  </si>
  <si>
    <t xml:space="preserve">2751 N AUGUSTINE </t>
  </si>
  <si>
    <t>TRAILRIDGE AT LAS SENDAS</t>
  </si>
  <si>
    <t>ERWIN VERNIE L</t>
  </si>
  <si>
    <t>DICKERSON JAMES</t>
  </si>
  <si>
    <t>VINCENT FLORES</t>
  </si>
  <si>
    <t xml:space="preserve">14404 N 15TH PL </t>
  </si>
  <si>
    <t>POINTE MOUNTAINSIDE GOLF COMM UNIT ONE-A</t>
  </si>
  <si>
    <t>ARIZONA HM FORECLOSURES LL</t>
  </si>
  <si>
    <t>FLORES VINCENT M</t>
  </si>
  <si>
    <t>BILLI</t>
  </si>
  <si>
    <t>HOCKING</t>
  </si>
  <si>
    <t>BILLI HOCKING</t>
  </si>
  <si>
    <t xml:space="preserve">3741 W BARCELONA DR </t>
  </si>
  <si>
    <t>PARKSIDE PLACE  LOT 1-53 TR A-C</t>
  </si>
  <si>
    <t>PARKSIDE PLACE</t>
  </si>
  <si>
    <t>FUSION REALTY LLC</t>
  </si>
  <si>
    <t>HOCKING JAMES &amp; BILLI</t>
  </si>
  <si>
    <t>JACKIE &amp; HEATHER HICKMAN</t>
  </si>
  <si>
    <t xml:space="preserve">1959 E ENROSE ST </t>
  </si>
  <si>
    <t>COURY ESTATES UNIT 5 LOT 108-155</t>
  </si>
  <si>
    <t>MCKINNEY SELENE L</t>
  </si>
  <si>
    <t>HICKMAN JACKIE &amp; HEATHER</t>
  </si>
  <si>
    <t>RUSH</t>
  </si>
  <si>
    <t>MICHAEL &amp; MICHELLE RUSH</t>
  </si>
  <si>
    <t xml:space="preserve">20302 E BRONCO DR </t>
  </si>
  <si>
    <t>HOWATT RODDY</t>
  </si>
  <si>
    <t>BREA CA 92821</t>
  </si>
  <si>
    <t>MICHAEL RUSH</t>
  </si>
  <si>
    <t>MICHELLE RUSH</t>
  </si>
  <si>
    <t>GLASSCOCK</t>
  </si>
  <si>
    <t>VINCENT &amp; CYNTHIA GLASSCOCK</t>
  </si>
  <si>
    <t xml:space="preserve">3066 N BEVERLY PL </t>
  </si>
  <si>
    <t>VERRADO PARCEL 4.903</t>
  </si>
  <si>
    <t>LAVINETA IGNACIO</t>
  </si>
  <si>
    <t>VINCENT S GLASSCOCK</t>
  </si>
  <si>
    <t>CYNTHIA M GLASSCOCK</t>
  </si>
  <si>
    <t>PRIMAK FAMILY LIVING TRUST</t>
  </si>
  <si>
    <t>PRIMAK</t>
  </si>
  <si>
    <t xml:space="preserve">4145 N 181ST LN </t>
  </si>
  <si>
    <t>PRIMAK JOHN &amp; LINDA</t>
  </si>
  <si>
    <t>ROXAN</t>
  </si>
  <si>
    <t>ROXAN JOHNSON &amp; ROY VAUGHAN</t>
  </si>
  <si>
    <t xml:space="preserve">5620 E LITTLE WELLS PASS </t>
  </si>
  <si>
    <t>H036</t>
  </si>
  <si>
    <t>JOHNSON ROXAN J</t>
  </si>
  <si>
    <t>VAUGHAN ROY C</t>
  </si>
  <si>
    <t>BODAMER</t>
  </si>
  <si>
    <t>BODAMER &amp; LORI ANN</t>
  </si>
  <si>
    <t xml:space="preserve">18988 E OLD BEAU TRL </t>
  </si>
  <si>
    <t>DEAN A BODAMER</t>
  </si>
  <si>
    <t>LORI A BODAMER</t>
  </si>
  <si>
    <t>LAKOVICH</t>
  </si>
  <si>
    <t>JOHN &amp; MELANIE LAKOVICH</t>
  </si>
  <si>
    <t xml:space="preserve">5220 W CINNABAR AVE </t>
  </si>
  <si>
    <t>HEWITT JEFF &amp; VICKI R</t>
  </si>
  <si>
    <t>LAKOVICH JOHN &amp; MELANIE</t>
  </si>
  <si>
    <t>JOHN LAKOVICH</t>
  </si>
  <si>
    <t>MELANIE A LAKOVICH</t>
  </si>
  <si>
    <t>JEREMIAH REED</t>
  </si>
  <si>
    <t xml:space="preserve">11923 N 143RD AVE </t>
  </si>
  <si>
    <t>POPESCU LAWRENCE L</t>
  </si>
  <si>
    <t>REED JEREMIAH J</t>
  </si>
  <si>
    <t>SNYDER REVOCABLE TRUST</t>
  </si>
  <si>
    <t xml:space="preserve">4639 E MAZATZAL DR </t>
  </si>
  <si>
    <t>BOWMAN NATHAN S</t>
  </si>
  <si>
    <t>SNYDER FLOYD KENNETH</t>
  </si>
  <si>
    <t>VIGNETTES</t>
  </si>
  <si>
    <t>ANGELIKA</t>
  </si>
  <si>
    <t>CHARLES &amp; ANGELIKA VIGNETTES</t>
  </si>
  <si>
    <t xml:space="preserve">3912 N KASHMIR </t>
  </si>
  <si>
    <t>RED MOUNTAIN ESTATES LOT 1-8 9-149 TR A-</t>
  </si>
  <si>
    <t>RED MOUNTAIN ESTATES</t>
  </si>
  <si>
    <t>BORROWDALE EARNEST &amp; S TRUST</t>
  </si>
  <si>
    <t>VIGNETTES CHARLES R &amp; ANGELIK</t>
  </si>
  <si>
    <t>NYBERG</t>
  </si>
  <si>
    <t>LAYNE</t>
  </si>
  <si>
    <t>MICHAEL &amp; LAYNE NYBERG</t>
  </si>
  <si>
    <t xml:space="preserve">2654 N ROBIN LN </t>
  </si>
  <si>
    <t>RANCHO DE ARBOLEDA UNIT TWO LOT 1-69</t>
  </si>
  <si>
    <t>REBESKE CARLTON S</t>
  </si>
  <si>
    <t>MICHAEL J NYBERG</t>
  </si>
  <si>
    <t>LAYNE C NYBERG</t>
  </si>
  <si>
    <t>FARANSIS</t>
  </si>
  <si>
    <t>GOPRIL</t>
  </si>
  <si>
    <t>FARANSIS GOPRIL</t>
  </si>
  <si>
    <t xml:space="preserve">16026 S 32ND PL </t>
  </si>
  <si>
    <t>RESERVE LOT 1-97 TR A-C</t>
  </si>
  <si>
    <t>MADDEN RICHARD &amp; ANNE</t>
  </si>
  <si>
    <t>GOPRIL FARANSIS A</t>
  </si>
  <si>
    <t>ERIK</t>
  </si>
  <si>
    <t>ERIK &amp; ALEXANDRA LARSON</t>
  </si>
  <si>
    <t xml:space="preserve">2183 W MYRTLE DR </t>
  </si>
  <si>
    <t>CYPRESS POINT</t>
  </si>
  <si>
    <t>BROWN LESLIE G &amp; MARIE T</t>
  </si>
  <si>
    <t>BRIDGEVIEW BK GRP</t>
  </si>
  <si>
    <t>LARSON ERIK &amp; ALEXANDRA</t>
  </si>
  <si>
    <t>VANDERPOOL</t>
  </si>
  <si>
    <t>RYAN VANDERPOOL</t>
  </si>
  <si>
    <t xml:space="preserve">1401 W WAGONER RD </t>
  </si>
  <si>
    <t>CYPRESS  LOT 1-208 TR A B</t>
  </si>
  <si>
    <t>CYPRESS</t>
  </si>
  <si>
    <t>GRAY JOSEPH &amp; PATTY R</t>
  </si>
  <si>
    <t>VANDERPOOL RYAN J</t>
  </si>
  <si>
    <t>KISTLER</t>
  </si>
  <si>
    <t>STEVEN KISTLER</t>
  </si>
  <si>
    <t xml:space="preserve">5506 W YEARLING RD </t>
  </si>
  <si>
    <t>STETSON VALLEY PARCELS 5 13 14</t>
  </si>
  <si>
    <t>MORRIS MILES D &amp; MARY T</t>
  </si>
  <si>
    <t>KISTLER STEVEN</t>
  </si>
  <si>
    <t>GREENE</t>
  </si>
  <si>
    <t>JEREMY &amp; ANGELA GREENE</t>
  </si>
  <si>
    <t xml:space="preserve">2074 E HONEYSUCKLE PL </t>
  </si>
  <si>
    <t>NYGARD EMIL A</t>
  </si>
  <si>
    <t>GREENE JEREMY</t>
  </si>
  <si>
    <t>BROWN &amp; CHERYL LYNN</t>
  </si>
  <si>
    <t xml:space="preserve">1446 S CORRINE DR </t>
  </si>
  <si>
    <t>LINDSAY MEADOWS</t>
  </si>
  <si>
    <t>SAGE BEN C &amp; MARY A</t>
  </si>
  <si>
    <t>BROWN MICHAEL P &amp; CHERYL L</t>
  </si>
  <si>
    <t>MENDOZA</t>
  </si>
  <si>
    <t>MICHAEL &amp; NANCY MENDOZA</t>
  </si>
  <si>
    <t xml:space="preserve">6028 N 80TH WAY </t>
  </si>
  <si>
    <t xml:space="preserve">4727 HASE ST </t>
  </si>
  <si>
    <t>EL PASO</t>
  </si>
  <si>
    <t>LA CASA RICA 3 LOT 39-61</t>
  </si>
  <si>
    <t>LA CASA RICA</t>
  </si>
  <si>
    <t>HANSEN CHESTER DAHL &amp; SUZANN</t>
  </si>
  <si>
    <t>MICHAEL A MENDOZA</t>
  </si>
  <si>
    <t>NANCY L MENDOZA</t>
  </si>
  <si>
    <t>BRANDON &amp; JAYME LOPEZ</t>
  </si>
  <si>
    <t xml:space="preserve">2667 E DENNISPORT AVE </t>
  </si>
  <si>
    <t>JONOVICH NICOLE L &amp; JACOBE</t>
  </si>
  <si>
    <t>LOPEZ BRANDON</t>
  </si>
  <si>
    <t>UNDERWOOD</t>
  </si>
  <si>
    <t>CHRISTOPHER &amp; REGINA UNDERWOOD</t>
  </si>
  <si>
    <t xml:space="preserve">8140 E DEL PLATINO DR </t>
  </si>
  <si>
    <t>HERITAGE TERRACE LOT 1-105</t>
  </si>
  <si>
    <t>COCHISE ELEMENTARY SCHOOL</t>
  </si>
  <si>
    <t>RAMIREZ JOSE</t>
  </si>
  <si>
    <t>UNDERWOOD CHRISTOPHER</t>
  </si>
  <si>
    <t>DONALD &amp; AMY WILSON</t>
  </si>
  <si>
    <t xml:space="preserve">3823 S WAYNE DR </t>
  </si>
  <si>
    <t>REDWOOD ESTATES</t>
  </si>
  <si>
    <t>METZGER BRIAN A</t>
  </si>
  <si>
    <t>WILSON DONALD C</t>
  </si>
  <si>
    <t>SCHAFFER FAMILY TRUST</t>
  </si>
  <si>
    <t>SCHAFFER</t>
  </si>
  <si>
    <t xml:space="preserve">3921 E WEATHER VANE RD </t>
  </si>
  <si>
    <t>JONES ALISON</t>
  </si>
  <si>
    <t>CORBETT</t>
  </si>
  <si>
    <t>EDWARD &amp; STEPHANIE CORBETT</t>
  </si>
  <si>
    <t xml:space="preserve">4372 E HEARN RD </t>
  </si>
  <si>
    <t>SHADOWRIDGE 4 LOT 107-245</t>
  </si>
  <si>
    <t>SHADOWRIDGE</t>
  </si>
  <si>
    <t>CHOLEWINSKI FAMILY TRUST</t>
  </si>
  <si>
    <t>EVERGREEN MONEYSOURCE MTG</t>
  </si>
  <si>
    <t>BELLEVUE WI 98006</t>
  </si>
  <si>
    <t>EDWARD CORBETT</t>
  </si>
  <si>
    <t>STEPHANIE L CORBETT</t>
  </si>
  <si>
    <t>ESTANISLADO</t>
  </si>
  <si>
    <t>ESTANISLADO &amp; MARY PENA</t>
  </si>
  <si>
    <t xml:space="preserve">17835 W BLOOMFIELD RD </t>
  </si>
  <si>
    <t>MARKLEY RAY C &amp; CARLA L</t>
  </si>
  <si>
    <t>PENA ESTANISLADO J &amp; MARY</t>
  </si>
  <si>
    <t>ESTANISLADO J PENA</t>
  </si>
  <si>
    <t>MARY PENA</t>
  </si>
  <si>
    <t>GERSHOM</t>
  </si>
  <si>
    <t>LATICE</t>
  </si>
  <si>
    <t>GERSHOM &amp; LATICE WILLIAMS</t>
  </si>
  <si>
    <t xml:space="preserve">4874 E PALM BEACH DR </t>
  </si>
  <si>
    <t>SUN GROVES PARCEL 19 20 AND 22</t>
  </si>
  <si>
    <t>BROOKS KRISTI</t>
  </si>
  <si>
    <t>WILLIAMS GERSHOM B &amp; LATICE N</t>
  </si>
  <si>
    <t>MANDA</t>
  </si>
  <si>
    <t>DENNIS &amp; MANDA JOHNSON</t>
  </si>
  <si>
    <t xml:space="preserve">4130 E WOODSIDE WAY </t>
  </si>
  <si>
    <t>POWER RANCH NEIGHBORHOOD 11 PARCEL D</t>
  </si>
  <si>
    <t>THE WILLOWS</t>
  </si>
  <si>
    <t>BEEDE JEFF &amp; JAIME</t>
  </si>
  <si>
    <t>JOHNSON DENNIS &amp; MANDA</t>
  </si>
  <si>
    <t>CARL &amp; KATE BENSON</t>
  </si>
  <si>
    <t xml:space="preserve">1440 E GROVE AVE </t>
  </si>
  <si>
    <t>EMERALD ACRES</t>
  </si>
  <si>
    <t>KELLER ELEMENTARY SCHOOL</t>
  </si>
  <si>
    <t>KUBAN FAMILY TRUST</t>
  </si>
  <si>
    <t>VILLAGE CAP &amp; INVS LLC</t>
  </si>
  <si>
    <t>BENSON CARL L &amp; KATE C</t>
  </si>
  <si>
    <t>EPPS</t>
  </si>
  <si>
    <t>MICHAEL EPPS</t>
  </si>
  <si>
    <t xml:space="preserve">6424 E MENLO ST </t>
  </si>
  <si>
    <t xml:space="preserve">2855 N 64TH ST </t>
  </si>
  <si>
    <t>VILLA ROYALE 3 UNIT 2</t>
  </si>
  <si>
    <t>VILLA ROYALE</t>
  </si>
  <si>
    <t>SAWYER THOMAS F &amp; AMBER</t>
  </si>
  <si>
    <t>EPPS MICHAEL J</t>
  </si>
  <si>
    <t>BURDETTE</t>
  </si>
  <si>
    <t>BRANDON BURDETTE</t>
  </si>
  <si>
    <t xml:space="preserve">4043 N OLYMPIC CIR </t>
  </si>
  <si>
    <t>WEST HILLS LOT 1-70 TR A-D</t>
  </si>
  <si>
    <t>WEST HILLS</t>
  </si>
  <si>
    <t>NAYLOR TINA L &amp; CARLYLE D</t>
  </si>
  <si>
    <t>BURDETTE BRANDON J</t>
  </si>
  <si>
    <t>GRIFFIN</t>
  </si>
  <si>
    <t>CHARLES &amp; AMANDA GRIFFIN</t>
  </si>
  <si>
    <t xml:space="preserve">12215 W PRICKLY PEAR TRL </t>
  </si>
  <si>
    <t>GRIFFIN CHARLES K &amp; AMANDA K</t>
  </si>
  <si>
    <t>GRADY</t>
  </si>
  <si>
    <t>VALERIE &amp; TIMOTHY GRADY</t>
  </si>
  <si>
    <t xml:space="preserve">2727 W COTTONWOOD LN </t>
  </si>
  <si>
    <t>DAMRON KODY V &amp; REBECCA T</t>
  </si>
  <si>
    <t>GRADY VALERIE &amp; TIMOTHY</t>
  </si>
  <si>
    <t>CHANDA</t>
  </si>
  <si>
    <t>JOSEPH &amp; CHANDA CAMPOS</t>
  </si>
  <si>
    <t xml:space="preserve">3321 E COLTER ST </t>
  </si>
  <si>
    <t>BILTMORE HEIGHTS 4</t>
  </si>
  <si>
    <t>BILTMORE HEIGHTS</t>
  </si>
  <si>
    <t>BILTMORE PREPARATORY ACADEMY</t>
  </si>
  <si>
    <t>SCHULZ ROSE A</t>
  </si>
  <si>
    <t>CAMPOS JOSEPH E &amp; CHANDA M</t>
  </si>
  <si>
    <t>TODD &amp; KRISTIN SHEPHERD</t>
  </si>
  <si>
    <t xml:space="preserve">8097 W WHITEHORN TRL </t>
  </si>
  <si>
    <t>SHEPHERD TODD D &amp; KRISTIN S</t>
  </si>
  <si>
    <t>LONGWELL</t>
  </si>
  <si>
    <t>CORMIER</t>
  </si>
  <si>
    <t>EDWIN LONGWELL &amp; AMY CORMIER</t>
  </si>
  <si>
    <t xml:space="preserve">706 E BALBOA DR </t>
  </si>
  <si>
    <t>BRENTWOOD MANOR 4</t>
  </si>
  <si>
    <t>BRENTWOOD MANOR</t>
  </si>
  <si>
    <t>BROADMOR ELEMENTARY SCHOOL</t>
  </si>
  <si>
    <t>RWB-DLB TRUST</t>
  </si>
  <si>
    <t>LONGWELL EDWIN J</t>
  </si>
  <si>
    <t>CORMIER AMY L</t>
  </si>
  <si>
    <t>POULIN</t>
  </si>
  <si>
    <t>MICHAEL PETERS &amp; DONNA POULIN</t>
  </si>
  <si>
    <t xml:space="preserve">5418 W MICHELLE DR </t>
  </si>
  <si>
    <t>UNION HILLS 2</t>
  </si>
  <si>
    <t>MIRAMONTE</t>
  </si>
  <si>
    <t>TGB HOLDINGS LLC</t>
  </si>
  <si>
    <t>PETERS MICHAEL</t>
  </si>
  <si>
    <t>POULIN DONNA</t>
  </si>
  <si>
    <t>FALLER</t>
  </si>
  <si>
    <t>MICHAEL &amp; JENNIFER FALLER</t>
  </si>
  <si>
    <t xml:space="preserve">6515 W GAMBIT TRL </t>
  </si>
  <si>
    <t>PRESERVE AT BOULDER MOUNTAIN</t>
  </si>
  <si>
    <t>PHILLIPS TRUST</t>
  </si>
  <si>
    <t>FALLER MICHAEL &amp; JENNIFER</t>
  </si>
  <si>
    <t>SAGREDO</t>
  </si>
  <si>
    <t>TRACY &amp; DAVID SAGREDO</t>
  </si>
  <si>
    <t xml:space="preserve">10833 E QUARTET AVE </t>
  </si>
  <si>
    <t>NOVA VISTA UNIT B</t>
  </si>
  <si>
    <t>SAGREDO TRACY &amp; DAVID</t>
  </si>
  <si>
    <t>JONATHAN &amp; CHERYL MORGAN</t>
  </si>
  <si>
    <t xml:space="preserve">2489 E SEQUOIA DR </t>
  </si>
  <si>
    <t>MARKWOOD SOUTH PARCEL 8</t>
  </si>
  <si>
    <t>BHATTI MEENU</t>
  </si>
  <si>
    <t>MORGAN JONATHAN G &amp; CHERYL</t>
  </si>
  <si>
    <t>JOHNNY &amp; PATRICIA WILLIAMSON</t>
  </si>
  <si>
    <t xml:space="preserve">15710 W WILSHIRE DR </t>
  </si>
  <si>
    <t>WILLIAMSON JOHNNY R &amp; PATRICIA</t>
  </si>
  <si>
    <t>BRIAN &amp; LYN RICHARDSON</t>
  </si>
  <si>
    <t xml:space="preserve">18454 W CARIBBEAN LN </t>
  </si>
  <si>
    <t>KROMBEIN FAMILY LIVING TRUST</t>
  </si>
  <si>
    <t>RICHARDSON BRIAN R &amp; LYN</t>
  </si>
  <si>
    <t>ZIMMERMAN</t>
  </si>
  <si>
    <t>CHAD &amp; ELIZABETH ZIMMERMAN</t>
  </si>
  <si>
    <t xml:space="preserve">2444 E CIELO GRANDE AVE </t>
  </si>
  <si>
    <t>CRESCENT BUTTE</t>
  </si>
  <si>
    <t>ROETHLER TONY R</t>
  </si>
  <si>
    <t>ZIMMERMAN CHAD E &amp; ELIZABETH</t>
  </si>
  <si>
    <t>LEFLER</t>
  </si>
  <si>
    <t>DORA</t>
  </si>
  <si>
    <t>CHRISTOPHER &amp; DORA LEFLER</t>
  </si>
  <si>
    <t xml:space="preserve">19571 E APRICOT LN </t>
  </si>
  <si>
    <t>LEFLER CHRISTOPHER &amp; DORA</t>
  </si>
  <si>
    <t>IGNACIO</t>
  </si>
  <si>
    <t>GERALDINE &amp; IGNACIO MENDIOLA</t>
  </si>
  <si>
    <t xml:space="preserve">998 E BETSY LN </t>
  </si>
  <si>
    <t>PILE KATHLEEN &amp; MERLO</t>
  </si>
  <si>
    <t>MENDIOLA IGNACIO A JR &amp; GERALDINE</t>
  </si>
  <si>
    <t>MELVIN &amp; SHERRY SMITH</t>
  </si>
  <si>
    <t xml:space="preserve">5530 W WINSTON DR </t>
  </si>
  <si>
    <t>PASEO POINTE REPLAT</t>
  </si>
  <si>
    <t>PASEO POINTE</t>
  </si>
  <si>
    <t>SMITH MELVIN</t>
  </si>
  <si>
    <t>MAULDIN</t>
  </si>
  <si>
    <t>JOHN &amp; MARIA MAULDIN</t>
  </si>
  <si>
    <t xml:space="preserve">1913 W ASPEN AVE </t>
  </si>
  <si>
    <t>EL DORADO LAKES GOLF COMMUNITY TRACT J</t>
  </si>
  <si>
    <t>HAWN SHELLE B</t>
  </si>
  <si>
    <t>JOHN J MAULDIN</t>
  </si>
  <si>
    <t>MARIA A MAULDIN</t>
  </si>
  <si>
    <t>GRAYSON</t>
  </si>
  <si>
    <t>THOMAS &amp; DEBRA GRAYSON</t>
  </si>
  <si>
    <t xml:space="preserve">3911 E MOUNTAIN VISTA DR </t>
  </si>
  <si>
    <t>LAKEWOOD PARCEL  6 LT 1-127 TR A-D</t>
  </si>
  <si>
    <t>GRAYSON SCOTT C</t>
  </si>
  <si>
    <t>GRAYSON THOMAS &amp; DEBRA</t>
  </si>
  <si>
    <t>DEWAYNE</t>
  </si>
  <si>
    <t>WHINERY</t>
  </si>
  <si>
    <t>DEWAYNE &amp; NATALIE WHINERY</t>
  </si>
  <si>
    <t xml:space="preserve">22332 E VIA DE OLIVOS </t>
  </si>
  <si>
    <t>WHINERY DEWAYNE &amp; NATALIE</t>
  </si>
  <si>
    <t>DEWAYNE WHINERY</t>
  </si>
  <si>
    <t>NATALIE WHINERY</t>
  </si>
  <si>
    <t>BRYANT &amp; THERESA LYNETTE</t>
  </si>
  <si>
    <t xml:space="preserve">495 S PEPPERTREE DR </t>
  </si>
  <si>
    <t>FINLEY FARMS SOUTH PARCEL 11</t>
  </si>
  <si>
    <t>FINLEY FARMS SOUTH</t>
  </si>
  <si>
    <t>BRYANT SEAN W &amp; THERESA L</t>
  </si>
  <si>
    <t>CARMELO</t>
  </si>
  <si>
    <t>CARMELO &amp; ALMA PEREZ</t>
  </si>
  <si>
    <t xml:space="preserve">3012 W IRONWOOD CIR </t>
  </si>
  <si>
    <t>KAIRA VIVEK &amp; RUCHI G</t>
  </si>
  <si>
    <t>THEMORTGAGEADVANTAGE.COM PLLC</t>
  </si>
  <si>
    <t>PEREZ CARMELO C &amp; ALMA</t>
  </si>
  <si>
    <t>JOEL VAUGHN</t>
  </si>
  <si>
    <t xml:space="preserve">2642 E CANYON CREEK DR </t>
  </si>
  <si>
    <t>MILBERT JOSEPH M</t>
  </si>
  <si>
    <t>VAUGHN JOEL</t>
  </si>
  <si>
    <t>JOEL D VAUGHN</t>
  </si>
  <si>
    <t>CASIAS</t>
  </si>
  <si>
    <t>MARTIN &amp; MICHELLE CASIAS</t>
  </si>
  <si>
    <t xml:space="preserve">17777 W MAYA WAY </t>
  </si>
  <si>
    <t>CASIAS MARTIN P</t>
  </si>
  <si>
    <t>CORDOVA MICHELLE E</t>
  </si>
  <si>
    <t>NOE</t>
  </si>
  <si>
    <t>TODD &amp; BRITTANY NOE</t>
  </si>
  <si>
    <t xml:space="preserve">6229 E BRAMBLE BERRY LN </t>
  </si>
  <si>
    <t>TODD NOE</t>
  </si>
  <si>
    <t>BRITTANY NOE</t>
  </si>
  <si>
    <t>CASTRO</t>
  </si>
  <si>
    <t>FRANCISCO CASTRO</t>
  </si>
  <si>
    <t xml:space="preserve">17739 W WOOD DR </t>
  </si>
  <si>
    <t>CARRION FRANK R</t>
  </si>
  <si>
    <t>CASTRO FRANCISCO</t>
  </si>
  <si>
    <t>MILICH</t>
  </si>
  <si>
    <t>MICHAEL &amp; THERESA MILICH</t>
  </si>
  <si>
    <t xml:space="preserve">20009 N 94TH DR </t>
  </si>
  <si>
    <t>HIGHLAND HILLS AT WESTBROOK VILLAGE</t>
  </si>
  <si>
    <t>SCHMIDT GLENN A</t>
  </si>
  <si>
    <t>MILICH MICHAEL A &amp; THERESA</t>
  </si>
  <si>
    <t>ERDBACHER</t>
  </si>
  <si>
    <t>MICHAEL &amp; ANDREA ERDBACHER</t>
  </si>
  <si>
    <t xml:space="preserve">9017 S 55TH DR </t>
  </si>
  <si>
    <t>ERDBACHER MICHAEL S</t>
  </si>
  <si>
    <t>MCDANIELS</t>
  </si>
  <si>
    <t>LAWRENCE MCDANIELS &amp; PATRICIA WATTS</t>
  </si>
  <si>
    <t xml:space="preserve">3144 E LYNX WAY </t>
  </si>
  <si>
    <t>SHAMROCK ESTATES PHASE 1</t>
  </si>
  <si>
    <t>NELSON HELEN</t>
  </si>
  <si>
    <t>MCDANIELS LAWRENCE</t>
  </si>
  <si>
    <t>WATTS PATRICIA</t>
  </si>
  <si>
    <t>HUG</t>
  </si>
  <si>
    <t>MICHAEL &amp; DORIS HUG</t>
  </si>
  <si>
    <t xml:space="preserve">16257 W ARROYO VISTA LN </t>
  </si>
  <si>
    <t>SUN CITY GRAND-BLUE SKY</t>
  </si>
  <si>
    <t>SUN CITY GRAND BLUE SKY</t>
  </si>
  <si>
    <t>HERONEMUS R C &amp; L A TRUST</t>
  </si>
  <si>
    <t>MICHAEL J HUG</t>
  </si>
  <si>
    <t>DORIS M HUG</t>
  </si>
  <si>
    <t>CISNEROS</t>
  </si>
  <si>
    <t>CHANTEL</t>
  </si>
  <si>
    <t>LIENTZ</t>
  </si>
  <si>
    <t>JESUS CISNEROS &amp; CHANTEL LIENTZ</t>
  </si>
  <si>
    <t xml:space="preserve">644 W HORSESHOE AVE </t>
  </si>
  <si>
    <t>WESTMANN HADRAN</t>
  </si>
  <si>
    <t>CARDINAL FINANCIAL COMPANY LP</t>
  </si>
  <si>
    <t>CISNEROS JESUS</t>
  </si>
  <si>
    <t>LIENTZ CHANTEL</t>
  </si>
  <si>
    <t>LOCKNER</t>
  </si>
  <si>
    <t>LOCKNER &amp; TARA JO</t>
  </si>
  <si>
    <t xml:space="preserve">321 E WAGON WHEEL DR </t>
  </si>
  <si>
    <t>PALM GROVE EAST</t>
  </si>
  <si>
    <t>AEI ARIZONA LLC</t>
  </si>
  <si>
    <t>LOCKNER RYAN GRANT</t>
  </si>
  <si>
    <t>HEIN</t>
  </si>
  <si>
    <t>TANYA HEIN</t>
  </si>
  <si>
    <t xml:space="preserve">11553 E SEBRING AVE </t>
  </si>
  <si>
    <t>ALTAIR GLOBAL SERVICES LLC</t>
  </si>
  <si>
    <t>HEIN TANYA L</t>
  </si>
  <si>
    <t>NICHOLAS &amp; JORDAN GREGORY</t>
  </si>
  <si>
    <t xml:space="preserve">4151 E MARSHALL AVE </t>
  </si>
  <si>
    <t>JOHNSON ADAM A &amp; SABRINA R</t>
  </si>
  <si>
    <t>GREGORY NICHOLAS P &amp; JORDAN G</t>
  </si>
  <si>
    <t>FALKENBERG</t>
  </si>
  <si>
    <t>JAMES FALKENBERG</t>
  </si>
  <si>
    <t xml:space="preserve">18004 W YOUNG ST </t>
  </si>
  <si>
    <t>SURPRISE PHASE 3 PARCEL 4 LLC</t>
  </si>
  <si>
    <t>FALKENBERG JAMES</t>
  </si>
  <si>
    <t>GRABHAM</t>
  </si>
  <si>
    <t>JASON &amp; DANA GRABHAM</t>
  </si>
  <si>
    <t xml:space="preserve">5434 E BARWICK DR </t>
  </si>
  <si>
    <t>H023</t>
  </si>
  <si>
    <t>TOLL BROTHERS</t>
  </si>
  <si>
    <t>GRABHAM JASON W</t>
  </si>
  <si>
    <t>CHAPMAN LIVING TRUST</t>
  </si>
  <si>
    <t xml:space="preserve">7148 W VILLA HERMOSA </t>
  </si>
  <si>
    <t>PATRICK RANCH</t>
  </si>
  <si>
    <t>SHUM TRUST</t>
  </si>
  <si>
    <t>CHAPMAN CRAIG E &amp; KAREN B</t>
  </si>
  <si>
    <t>PHILLIP &amp; ERIN KNIGHT</t>
  </si>
  <si>
    <t xml:space="preserve">7440 W VIA MONTOYA DR </t>
  </si>
  <si>
    <t>HILLCREST RANCH PARCEL E</t>
  </si>
  <si>
    <t>SEASONS II</t>
  </si>
  <si>
    <t>DEMETRES JULIANN M &amp; ANGELO</t>
  </si>
  <si>
    <t>ENVOY MTG LP</t>
  </si>
  <si>
    <t>KNIGHT PHILLIP H &amp; ERIN</t>
  </si>
  <si>
    <t>COLINDRES</t>
  </si>
  <si>
    <t>ESTHER &amp; CARLOS COLINDRES</t>
  </si>
  <si>
    <t xml:space="preserve">1815 E LOCUST PL </t>
  </si>
  <si>
    <t>COOPER GREENS</t>
  </si>
  <si>
    <t>KEARNEY WILLIAM S &amp; REBECCA</t>
  </si>
  <si>
    <t>COLINDRES CARLOS G &amp; ESTHER L</t>
  </si>
  <si>
    <t>FRANK &amp; CARMEN GONZALES</t>
  </si>
  <si>
    <t xml:space="preserve">15171 W WINDROSE DR </t>
  </si>
  <si>
    <t>MARLEY PARK PARCEL 5</t>
  </si>
  <si>
    <t>GONZALES FRANK J &amp; CARMEN</t>
  </si>
  <si>
    <t>BENNINGHOFF</t>
  </si>
  <si>
    <t>LARISSA</t>
  </si>
  <si>
    <t>CHAD &amp; LARISSA BENNINGHOFF</t>
  </si>
  <si>
    <t xml:space="preserve">18433 W SUMMERHAVEN DR </t>
  </si>
  <si>
    <t>ESTRELLA MOUNTAIN RANCH PARCEL 99</t>
  </si>
  <si>
    <t>NEXSEN MARK &amp; EILEEN P</t>
  </si>
  <si>
    <t>BENNINGHOFF CHAD &amp; LARISSA C</t>
  </si>
  <si>
    <t>BRUCE &amp; ANDREA WILLINGHAM</t>
  </si>
  <si>
    <t xml:space="preserve">23849 N 163RD DR </t>
  </si>
  <si>
    <t>ASANTE PHASE 1 UNIT 1</t>
  </si>
  <si>
    <t>ASANTE</t>
  </si>
  <si>
    <t>WILLINGHAM BRUCE W &amp; ANDREA S</t>
  </si>
  <si>
    <t>ADAM KING</t>
  </si>
  <si>
    <t xml:space="preserve">25918 S 193RD PL </t>
  </si>
  <si>
    <t>LONG GEORGE P</t>
  </si>
  <si>
    <t>KING ADAM T</t>
  </si>
  <si>
    <t>WINTER JB TRUST</t>
  </si>
  <si>
    <t>WINTERJB</t>
  </si>
  <si>
    <t xml:space="preserve">28634 N 46TH WAY </t>
  </si>
  <si>
    <t>MENDENHALL BRENT</t>
  </si>
  <si>
    <t>WINTER JOSEPH B</t>
  </si>
  <si>
    <t>VASQUEZ TRUST</t>
  </si>
  <si>
    <t>VASQUEZ</t>
  </si>
  <si>
    <t xml:space="preserve">2076 E BROWNING PL </t>
  </si>
  <si>
    <t>RIO DEL VERDE</t>
  </si>
  <si>
    <t>REDNOUR R S &amp; CHERI L</t>
  </si>
  <si>
    <t>VASQUEZ MIGUEL &amp; VIRGINIA L</t>
  </si>
  <si>
    <t>NOBLITT NEIL W &amp; NATALIE TRUST</t>
  </si>
  <si>
    <t>NOBLITTNEIL &amp; NATALIE</t>
  </si>
  <si>
    <t xml:space="preserve">9546 W BLUE SKY DR </t>
  </si>
  <si>
    <t>PLEASANT VALLEY UNIT 2</t>
  </si>
  <si>
    <t>PLEASANT VALLEY</t>
  </si>
  <si>
    <t>SIBLEY GARY W</t>
  </si>
  <si>
    <t>NOBLITT NEIL W &amp; NATALIE</t>
  </si>
  <si>
    <t>NEIL W NOBLITT</t>
  </si>
  <si>
    <t>NATALIE NOBLITT</t>
  </si>
  <si>
    <t>JAMES &amp; LINDA VAUGHAN</t>
  </si>
  <si>
    <t xml:space="preserve">8702 E SAN VICENTE DR </t>
  </si>
  <si>
    <t>COUNTRY HORIZONS LOT 1-67 TR A-B</t>
  </si>
  <si>
    <t>COUNTRY HORIZONS</t>
  </si>
  <si>
    <t>WHITE JACK &amp; SUSAN E</t>
  </si>
  <si>
    <t>VAUGHAN JAMES R &amp; LINDA A</t>
  </si>
  <si>
    <t>DONALD HARRIS</t>
  </si>
  <si>
    <t xml:space="preserve">7602 N CENTRAL AVE #1 </t>
  </si>
  <si>
    <t xml:space="preserve">7602 N CENTRAL AVE </t>
  </si>
  <si>
    <t>MADISON MEADOWS LOT 1-59</t>
  </si>
  <si>
    <t>MADISON MEADOWS</t>
  </si>
  <si>
    <t>BURNETT DEBRA</t>
  </si>
  <si>
    <t>JONATHAN HARRIS(PVT)</t>
  </si>
  <si>
    <t>SIERRA VISTA AZ 856361900</t>
  </si>
  <si>
    <t>HARRIS DONALD W</t>
  </si>
  <si>
    <t>DONALD W HARRIS REVOCABLE LIVING TRUST</t>
  </si>
  <si>
    <t>HARRIS DONALD</t>
  </si>
  <si>
    <t>GRAVES</t>
  </si>
  <si>
    <t>KRASHAWNDA</t>
  </si>
  <si>
    <t>JESSE GRAVES &amp; KRASHAWNDA SIMPSON</t>
  </si>
  <si>
    <t xml:space="preserve">22825 N 54TH ST </t>
  </si>
  <si>
    <t>C097</t>
  </si>
  <si>
    <t>DESERT RIDGE LOT 30</t>
  </si>
  <si>
    <t>LEROUX SPRINGS</t>
  </si>
  <si>
    <t>HANSON JAMES L</t>
  </si>
  <si>
    <t>GRAVES JESSE P JR</t>
  </si>
  <si>
    <t>SIMPSON KRASHAWNDA L</t>
  </si>
  <si>
    <t>RAINGE</t>
  </si>
  <si>
    <t>STEVEN &amp; EMILY RAINGE</t>
  </si>
  <si>
    <t xml:space="preserve">2040 E WELDON AVE </t>
  </si>
  <si>
    <t>LOMA LINDA PARK</t>
  </si>
  <si>
    <t>LOMA LINDA ELEMENTARY SCHOOL</t>
  </si>
  <si>
    <t>MFM ARIZONA LLC</t>
  </si>
  <si>
    <t>RAINGE STEVEN LEON</t>
  </si>
  <si>
    <t>LENO</t>
  </si>
  <si>
    <t>LENO BEGAY</t>
  </si>
  <si>
    <t xml:space="preserve">8531 E NORTHLAND DR </t>
  </si>
  <si>
    <t>SCOTTSDALE ESTATES 15  LOTS 1926-1965 &amp;</t>
  </si>
  <si>
    <t>SCOTTSDALE ESTATES FIFTEEN</t>
  </si>
  <si>
    <t>HEYES BROCK &amp; FIONA</t>
  </si>
  <si>
    <t>BEGAY LENO T</t>
  </si>
  <si>
    <t>PAZ</t>
  </si>
  <si>
    <t>DANIEL PAZ</t>
  </si>
  <si>
    <t xml:space="preserve">7583 W CLAREMONT ST </t>
  </si>
  <si>
    <t>COBBLEFIELD</t>
  </si>
  <si>
    <t>MARTINEZ FAMILY TRUST</t>
  </si>
  <si>
    <t>PAZ DANIEL A G</t>
  </si>
  <si>
    <t>JAN</t>
  </si>
  <si>
    <t>TERRY &amp; JAN HOPPER</t>
  </si>
  <si>
    <t xml:space="preserve">15784 W VERDE LN </t>
  </si>
  <si>
    <t>PEBBLECREEK PHASE 2 UNIT 27</t>
  </si>
  <si>
    <t>DEMARAH LIVING TRUST</t>
  </si>
  <si>
    <t>HOPPER FAMILY TRUST</t>
  </si>
  <si>
    <t>SONCINI</t>
  </si>
  <si>
    <t>KALBA-SONCINI</t>
  </si>
  <si>
    <t>ROBERT SONCINI &amp; HEATHER KALBA-SONCINI</t>
  </si>
  <si>
    <t xml:space="preserve">2049 S PONDEROSA DR </t>
  </si>
  <si>
    <t>SHARBONO BRYAN A</t>
  </si>
  <si>
    <t>SONCINI ROBERT</t>
  </si>
  <si>
    <t>KALBA-SONCINI HEATHER N</t>
  </si>
  <si>
    <t>MICHAEL AND JUDITH REGH FAMILY TRUST</t>
  </si>
  <si>
    <t xml:space="preserve">10845 W QUAIL AVE </t>
  </si>
  <si>
    <t>ROSE GARDEN ACRES</t>
  </si>
  <si>
    <t>GLEASON BRIAN P</t>
  </si>
  <si>
    <t>REGH MICHAEL J &amp; JUDITH M</t>
  </si>
  <si>
    <t>ECHANOVE</t>
  </si>
  <si>
    <t>PETER ECHANOVE &amp; LYNN ALLISON</t>
  </si>
  <si>
    <t xml:space="preserve">1665 S FLINT CIR </t>
  </si>
  <si>
    <t>PONDEROSA MESA UNIT 3</t>
  </si>
  <si>
    <t>PARK PLACE</t>
  </si>
  <si>
    <t>HARTGRAVES JIM &amp; LAURIE</t>
  </si>
  <si>
    <t>ECHANOVE PETER J &amp; ALLISON L</t>
  </si>
  <si>
    <t>MEYERS</t>
  </si>
  <si>
    <t>JOHN &amp; TRACI MEYERS</t>
  </si>
  <si>
    <t xml:space="preserve">22581 S GOLD CANYON CT </t>
  </si>
  <si>
    <t>VILLAGES AT QUEEN CREEK PARCEL 5</t>
  </si>
  <si>
    <t>JENSEN VALERIE</t>
  </si>
  <si>
    <t>JOHN R MEYERS</t>
  </si>
  <si>
    <t>TRACI N MEYERS</t>
  </si>
  <si>
    <t>TIMOTHY SUTTON</t>
  </si>
  <si>
    <t xml:space="preserve">13589 W HOLLY ST </t>
  </si>
  <si>
    <t>PALM VALLEY PHASE 1 PARCEL 17A AMD</t>
  </si>
  <si>
    <t>PALMILLA</t>
  </si>
  <si>
    <t>RSB INVESTMENTS LLC</t>
  </si>
  <si>
    <t>SUTTON TIMOTHY LEE</t>
  </si>
  <si>
    <t>LAVIN-SUTTON KAREN M</t>
  </si>
  <si>
    <t>TIMOTHY L SUTTON</t>
  </si>
  <si>
    <t>KAREN M LAVIN-SUTTON</t>
  </si>
  <si>
    <t>TOWNES FAMILY LIVING TRUST</t>
  </si>
  <si>
    <t>TOWNES</t>
  </si>
  <si>
    <t xml:space="preserve">1440 W FLINTLOCK WAY </t>
  </si>
  <si>
    <t>MESSINA</t>
  </si>
  <si>
    <t>COTTLE SHERRY</t>
  </si>
  <si>
    <t>TOWNES GREGORY D &amp; CATHERINE E</t>
  </si>
  <si>
    <t>WICKWIRE</t>
  </si>
  <si>
    <t>WENDY WICKWIRE</t>
  </si>
  <si>
    <t xml:space="preserve">1236 E WINTER DR </t>
  </si>
  <si>
    <t>SUNSET BOWL</t>
  </si>
  <si>
    <t>FRASER LYNN A</t>
  </si>
  <si>
    <t>WICKWIRE WENDY S</t>
  </si>
  <si>
    <t>DAVID STANLEY</t>
  </si>
  <si>
    <t xml:space="preserve">1506 E OREGON AVE </t>
  </si>
  <si>
    <t>SARKO SUB</t>
  </si>
  <si>
    <t>SARKO</t>
  </si>
  <si>
    <t>BISHOP MELISSA K</t>
  </si>
  <si>
    <t>STANLEY DAVID</t>
  </si>
  <si>
    <t>CHRISTOPHER TORRES</t>
  </si>
  <si>
    <t xml:space="preserve">4429 E MITCHELL DR </t>
  </si>
  <si>
    <t>CHESTLEY MANOR</t>
  </si>
  <si>
    <t>DWELL HOUSE LLC</t>
  </si>
  <si>
    <t>TORRES CHRISTOPHER</t>
  </si>
  <si>
    <t>FORD</t>
  </si>
  <si>
    <t>ACETO</t>
  </si>
  <si>
    <t>FORD &amp; KRISTI ACETO</t>
  </si>
  <si>
    <t xml:space="preserve">18147 W IVY LN </t>
  </si>
  <si>
    <t>SURPRISE FARMS PHASE 4 PARCEL 4</t>
  </si>
  <si>
    <t>HERITAGE</t>
  </si>
  <si>
    <t>GILBERT JEFFREY L</t>
  </si>
  <si>
    <t>FORD ROBERT L &amp; KRISTI ACETO</t>
  </si>
  <si>
    <t>SERIANNE</t>
  </si>
  <si>
    <t>DAVID SERIANNE</t>
  </si>
  <si>
    <t xml:space="preserve">16957 W BRADFORD WAY </t>
  </si>
  <si>
    <t>BELL WEST RANCH PARCEL 3</t>
  </si>
  <si>
    <t>JOHNSON JERALD E &amp; PEGGY C</t>
  </si>
  <si>
    <t>SERIANNE DAVID W</t>
  </si>
  <si>
    <t>JOAQUIN</t>
  </si>
  <si>
    <t>LUCIO</t>
  </si>
  <si>
    <t>JOAQUIN LUCIO</t>
  </si>
  <si>
    <t xml:space="preserve">7120 W SOUTHGATE AVE </t>
  </si>
  <si>
    <t xml:space="preserve">12727 W GLENDALE AVE #132 </t>
  </si>
  <si>
    <t>LUCIO JOAQUIN STEVEN &amp; RAQUEL</t>
  </si>
  <si>
    <t>WINTON</t>
  </si>
  <si>
    <t>WINTON &amp; MONICA JONES</t>
  </si>
  <si>
    <t xml:space="preserve">2863 S WILDROSE </t>
  </si>
  <si>
    <t>SANTA RITA RANCH UNIT 2</t>
  </si>
  <si>
    <t>FRANKLIN CHRISTIAN D &amp; ELISE</t>
  </si>
  <si>
    <t>JONES WINTON D &amp; MONICA Y</t>
  </si>
  <si>
    <t>KADDATZ</t>
  </si>
  <si>
    <t>MICHAEL &amp; CHRISTINE KADDATZ</t>
  </si>
  <si>
    <t xml:space="preserve">4325 E DRY CREEK RD </t>
  </si>
  <si>
    <t>MOUNTAIN PARK RANCH UNIT 12 PARC 1 LT 22</t>
  </si>
  <si>
    <t>THOMPSON LANCE L</t>
  </si>
  <si>
    <t>KADDATZ MICHAEL L</t>
  </si>
  <si>
    <t>MULDER</t>
  </si>
  <si>
    <t>JERRY &amp; SALLY MULDER</t>
  </si>
  <si>
    <t xml:space="preserve">11820 S PAIUTE ST </t>
  </si>
  <si>
    <t>AHWATUKEE RS 2</t>
  </si>
  <si>
    <t>JENSON LAWRENCE E &amp; JEWELYN</t>
  </si>
  <si>
    <t>MULDER JERRY L &amp; SALLY J</t>
  </si>
  <si>
    <t>BRANDEE TURNER</t>
  </si>
  <si>
    <t xml:space="preserve">1839 S HENKEL CIR </t>
  </si>
  <si>
    <t>PONDEROSA MESA UNIT FIVE LOT 285-365 TR</t>
  </si>
  <si>
    <t>WALTRIP STEVEN H</t>
  </si>
  <si>
    <t>TURNER BRANDEE</t>
  </si>
  <si>
    <t>PAGE HIAESHUTTER INCOME ONLY TRUST</t>
  </si>
  <si>
    <t>HIAESHUTTER PAGE</t>
  </si>
  <si>
    <t xml:space="preserve">14689 W WHITTON AVE </t>
  </si>
  <si>
    <t>PEBBLECREEK UNIT TWENTY</t>
  </si>
  <si>
    <t>SLAUGHTER MICHAEL &amp; BARBARA</t>
  </si>
  <si>
    <t>PAGE GARY L</t>
  </si>
  <si>
    <t>BAYRAKTAROGLU</t>
  </si>
  <si>
    <t>TZU-TING</t>
  </si>
  <si>
    <t>SUN</t>
  </si>
  <si>
    <t>ADRIAN BAYRAKTAROGLU &amp; TZU-TING SUN</t>
  </si>
  <si>
    <t xml:space="preserve">2682 S SANTA ANNA ST </t>
  </si>
  <si>
    <t>CLEMENTE RANCH PARCEL 5A</t>
  </si>
  <si>
    <t>BROWN KENNETH</t>
  </si>
  <si>
    <t>BAYRAKTAROGLU ADRIAN KEMAL</t>
  </si>
  <si>
    <t>SUN TZU-TING</t>
  </si>
  <si>
    <t>ELOYED</t>
  </si>
  <si>
    <t>GRIEGO</t>
  </si>
  <si>
    <t>ELOYED GRIEGO</t>
  </si>
  <si>
    <t xml:space="preserve">15306 W WINDSOR AVE </t>
  </si>
  <si>
    <t>GOODYEAR PLANNED REGIONAL CENTER PARCEL</t>
  </si>
  <si>
    <t>ENCLAVE AT RIO PASEO</t>
  </si>
  <si>
    <t>SAXENA SEEMANT</t>
  </si>
  <si>
    <t>CAPWEST MTG</t>
  </si>
  <si>
    <t>GRIEGO ELOYED F</t>
  </si>
  <si>
    <t>REEDY</t>
  </si>
  <si>
    <t>BARFIELD</t>
  </si>
  <si>
    <t>REEDY &amp; CONNIE BARFIELD</t>
  </si>
  <si>
    <t xml:space="preserve">16270 W CAMERON DR </t>
  </si>
  <si>
    <t>BARFIELD REEDY</t>
  </si>
  <si>
    <t>BARFIELD III REEDY</t>
  </si>
  <si>
    <t>BARFIELD CONNIE J</t>
  </si>
  <si>
    <t>HEINZ</t>
  </si>
  <si>
    <t>DALE &amp; KIMBERLY HEINZ</t>
  </si>
  <si>
    <t xml:space="preserve">1421 S 167TH DR </t>
  </si>
  <si>
    <t>CANYON TRAILS UNIT 4 SOUTH PARCEL A</t>
  </si>
  <si>
    <t>PETERS RYAN &amp; DEANNA M</t>
  </si>
  <si>
    <t>HEINZ DALE S &amp; KIMBERLY D</t>
  </si>
  <si>
    <t>HEINZ DALE &amp; KIMBERLY</t>
  </si>
  <si>
    <t>FRAN</t>
  </si>
  <si>
    <t>BRUNO</t>
  </si>
  <si>
    <t>FRAN &amp; FRANK BRUNO</t>
  </si>
  <si>
    <t xml:space="preserve">3245 N 126TH DR </t>
  </si>
  <si>
    <t>STICH PERRY</t>
  </si>
  <si>
    <t>FRANK BRUNO</t>
  </si>
  <si>
    <t>FRAN BRUNO</t>
  </si>
  <si>
    <t>VANKIRK</t>
  </si>
  <si>
    <t>JOELLEN</t>
  </si>
  <si>
    <t>VANKIRK &amp; JOELLEN HANCOCK</t>
  </si>
  <si>
    <t xml:space="preserve">2505 N EVERGREEN ST </t>
  </si>
  <si>
    <t>MARSHALL PLACE</t>
  </si>
  <si>
    <t>BLUE NICOLAS TRUSTEE T</t>
  </si>
  <si>
    <t>VAN KIRK CHRISTOPHER A &amp; JOEL</t>
  </si>
  <si>
    <t>RICHARD SHARP</t>
  </si>
  <si>
    <t xml:space="preserve">6642 W FREMONT RD </t>
  </si>
  <si>
    <t>RANCHO GRANDE TRES</t>
  </si>
  <si>
    <t>RANCHO GRANDE</t>
  </si>
  <si>
    <t>DE CARRILLO ROSAELIA G</t>
  </si>
  <si>
    <t>SHARP RICHARD ALLEN</t>
  </si>
  <si>
    <t>JESUS &amp; JOANN FLORES</t>
  </si>
  <si>
    <t xml:space="preserve">10433 W FLOWER ST </t>
  </si>
  <si>
    <t>GLENARM FARMS UNIT 3</t>
  </si>
  <si>
    <t>GLENARM FARMS</t>
  </si>
  <si>
    <t>FLORES JOSE L &amp; MARIA S</t>
  </si>
  <si>
    <t>FLORES JESUS &amp; JOANN</t>
  </si>
  <si>
    <t>BJORNSTAD</t>
  </si>
  <si>
    <t>HA</t>
  </si>
  <si>
    <t>CURTIS &amp; HA BJORNSTAD</t>
  </si>
  <si>
    <t xml:space="preserve">748 S ESMERALDA </t>
  </si>
  <si>
    <t>PARKWOOD RANCH PARCEL 10</t>
  </si>
  <si>
    <t>DIETZ-CRANE AT PARKWOOD RANCH</t>
  </si>
  <si>
    <t>BEDOE JONATHAN R</t>
  </si>
  <si>
    <t>BJORNSTAD CURTIS S &amp; HA</t>
  </si>
  <si>
    <t>MUCERINO</t>
  </si>
  <si>
    <t>KATHLEEN MUCERINO</t>
  </si>
  <si>
    <t xml:space="preserve">9176 W DAVIS RD </t>
  </si>
  <si>
    <t>BOARDWALK</t>
  </si>
  <si>
    <t>NORTHSIDE INVS OF SPOKANE LLC</t>
  </si>
  <si>
    <t>MUCERINO KATHLEEN</t>
  </si>
  <si>
    <t>TIMM</t>
  </si>
  <si>
    <t>JOHN &amp; SUSAN TIMM</t>
  </si>
  <si>
    <t xml:space="preserve">2401 N 39TH ST </t>
  </si>
  <si>
    <t xml:space="preserve">23221 N 39TH TER </t>
  </si>
  <si>
    <t>NORTH EAST VILLAGE 3</t>
  </si>
  <si>
    <t>NORTH EAST VILLAGE</t>
  </si>
  <si>
    <t>PAPAGO SCHOOL</t>
  </si>
  <si>
    <t>LCR PROPERTIES LLC</t>
  </si>
  <si>
    <t>MENDOZA GABRIELA</t>
  </si>
  <si>
    <t>ALTON</t>
  </si>
  <si>
    <t>CHAPKO</t>
  </si>
  <si>
    <t>ALTON &amp; TRACIE CHAPKO</t>
  </si>
  <si>
    <t xml:space="preserve">5607 W AVALON CT </t>
  </si>
  <si>
    <t>PINERIDGE AMD LOT 1-102 PARCEL A-F</t>
  </si>
  <si>
    <t>PINERIDGE</t>
  </si>
  <si>
    <t>KYRENE DE LA MIRADA SCHOOL</t>
  </si>
  <si>
    <t>CAPRIA CLIFFORD N &amp; DEBORAH</t>
  </si>
  <si>
    <t>CHAPKO ALTON S &amp; TRACIE</t>
  </si>
  <si>
    <t>CLEATUS</t>
  </si>
  <si>
    <t>PEAKE</t>
  </si>
  <si>
    <t>CLEATUS PEAKE</t>
  </si>
  <si>
    <t xml:space="preserve">13543 W KEIM DR </t>
  </si>
  <si>
    <t xml:space="preserve">1100 RENAISSANCE TRL </t>
  </si>
  <si>
    <t>ROUND ROCK</t>
  </si>
  <si>
    <t>DEITZ JOHN P &amp; DINA</t>
  </si>
  <si>
    <t>MOTIVE LNDG</t>
  </si>
  <si>
    <t>PEAKE CLEATUS</t>
  </si>
  <si>
    <t>JEANENE</t>
  </si>
  <si>
    <t>WILLIAM &amp; JEANENE SHEPHERD</t>
  </si>
  <si>
    <t xml:space="preserve">16948 W STATLER ST </t>
  </si>
  <si>
    <t>SURPRISE FARMS PHASE 1-A NORTH PARCEL 3</t>
  </si>
  <si>
    <t>BROWN DEVONA C TRUST</t>
  </si>
  <si>
    <t>SHEPHERD WILLIAM S JR &amp; JEANENE L</t>
  </si>
  <si>
    <t>WATERS</t>
  </si>
  <si>
    <t>TINA WATERS</t>
  </si>
  <si>
    <t xml:space="preserve">9161 W DREYFUS DR </t>
  </si>
  <si>
    <t>TINA L WATERS</t>
  </si>
  <si>
    <t>DONALD &amp; MARSHA EVANS</t>
  </si>
  <si>
    <t xml:space="preserve">10842 E LINDNER AVE </t>
  </si>
  <si>
    <t>CLARK PHILIP N &amp; M A TRUST</t>
  </si>
  <si>
    <t>EVANS DONALD W &amp; MARSHA M</t>
  </si>
  <si>
    <t>ROBERT &amp; EMILY WILLIAMS</t>
  </si>
  <si>
    <t xml:space="preserve">9263 S 185TH AVE #31 </t>
  </si>
  <si>
    <t xml:space="preserve">9263 S 185TH AVE </t>
  </si>
  <si>
    <t>ESTRELLA MOUNTAIN RANCH PARCEL 70</t>
  </si>
  <si>
    <t>JKD BUILDING GROUP LLC</t>
  </si>
  <si>
    <t>WILLIAMS ROBERT E &amp; EMILY M</t>
  </si>
  <si>
    <t>ALLISON JUNE</t>
  </si>
  <si>
    <t xml:space="preserve">1300 W ESTRELLA DR </t>
  </si>
  <si>
    <t xml:space="preserve">1900 W CHANDLER BLVD B-331 </t>
  </si>
  <si>
    <t>BROOKS CROSSING 4 LOT 251-269</t>
  </si>
  <si>
    <t>JUNE ALLISON</t>
  </si>
  <si>
    <t>BUNTON</t>
  </si>
  <si>
    <t>DARRELL BUNTON</t>
  </si>
  <si>
    <t xml:space="preserve">1431 E SOUTH FORK DR </t>
  </si>
  <si>
    <t>PARCEL 2D AT THE FOOTHILLS</t>
  </si>
  <si>
    <t>BEVANS LAGINA M</t>
  </si>
  <si>
    <t>BUNTON DARRELL A</t>
  </si>
  <si>
    <t>SABINE</t>
  </si>
  <si>
    <t>JAMES &amp; SABINE SHARP</t>
  </si>
  <si>
    <t xml:space="preserve">18636 W CINNABAR AVE </t>
  </si>
  <si>
    <t>SHARP JAMES ANTHONY</t>
  </si>
  <si>
    <t>MANION</t>
  </si>
  <si>
    <t>HARRIS &amp; REGINA MANION</t>
  </si>
  <si>
    <t xml:space="preserve">312 W PALM LN </t>
  </si>
  <si>
    <t>BROADMOOR</t>
  </si>
  <si>
    <t>COHEN BENJAMIN A</t>
  </si>
  <si>
    <t>HARRIS BRADLEY K &amp; REGINA M</t>
  </si>
  <si>
    <t>REGELBRUGGE</t>
  </si>
  <si>
    <t>VICTORIA REGELBRUGGE</t>
  </si>
  <si>
    <t xml:space="preserve">42908 N RALEIGH CT </t>
  </si>
  <si>
    <t>ANTHEM COVENTRY HOMES UNIT 20A</t>
  </si>
  <si>
    <t>ANTHEM COVENTRY HOMES</t>
  </si>
  <si>
    <t>MEHROTRA SANJAY &amp; DAVINDER</t>
  </si>
  <si>
    <t>REGELBRUGGE VICTORIA K</t>
  </si>
  <si>
    <t>ZIEGERT</t>
  </si>
  <si>
    <t>PATRICK ZIEGERT</t>
  </si>
  <si>
    <t xml:space="preserve">17235 E EL PUEBLO BLVD </t>
  </si>
  <si>
    <t>FILIPPIN W E &amp; L R TRUST</t>
  </si>
  <si>
    <t>PATRICK M ZIEGERT</t>
  </si>
  <si>
    <t>HARPER &amp; MELISSA MARSHALL</t>
  </si>
  <si>
    <t xml:space="preserve">4827 W SUNNYSIDE AVE </t>
  </si>
  <si>
    <t>CONTINENTAL NORTH 8 LOT 459-749</t>
  </si>
  <si>
    <t>FRANK RUSSO LLC</t>
  </si>
  <si>
    <t>HARPER BENJAMIN H</t>
  </si>
  <si>
    <t>ATENCIO</t>
  </si>
  <si>
    <t>RICHARD ATENCIO</t>
  </si>
  <si>
    <t xml:space="preserve">6911 E LAKEVIEW AVE </t>
  </si>
  <si>
    <t xml:space="preserve">2642 W MENDOZA CIR </t>
  </si>
  <si>
    <t>SUPERSTITION SPRINGS PARCEL 27</t>
  </si>
  <si>
    <t>HERITAGE HOLDINGS LLC</t>
  </si>
  <si>
    <t>CALEY</t>
  </si>
  <si>
    <t>MICHAEL CALEY</t>
  </si>
  <si>
    <t xml:space="preserve">509 E LA JOLLA DR </t>
  </si>
  <si>
    <t>C093</t>
  </si>
  <si>
    <t>NU-VISTA 8</t>
  </si>
  <si>
    <t>CONCHA JUAN C</t>
  </si>
  <si>
    <t>CALEY MICHAEL K</t>
  </si>
  <si>
    <t>NEDRA</t>
  </si>
  <si>
    <t>JUAN &amp; NEDRA MUNOZ</t>
  </si>
  <si>
    <t xml:space="preserve">6309 N 131ST DR </t>
  </si>
  <si>
    <t>PAGE JAMES W &amp; LINDA P</t>
  </si>
  <si>
    <t>SHERMAN OAKS CA 91403</t>
  </si>
  <si>
    <t>MUNOZ JUAN &amp; NEDRA</t>
  </si>
  <si>
    <t>HOME LN INV BK FSB</t>
  </si>
  <si>
    <t>WARWICK RI 02886-1765</t>
  </si>
  <si>
    <t>NEDRA MUNOZ</t>
  </si>
  <si>
    <t>JUAN MUNOZ</t>
  </si>
  <si>
    <t>OHRT</t>
  </si>
  <si>
    <t>JASON &amp; JANET OHRT</t>
  </si>
  <si>
    <t xml:space="preserve">4324 E PALO BREA LN </t>
  </si>
  <si>
    <t>PARCEL 14 AT TATUM RANCH</t>
  </si>
  <si>
    <t>DANIEL TIM &amp; NANCY</t>
  </si>
  <si>
    <t>OHRT JASON W &amp; JANET A</t>
  </si>
  <si>
    <t>READ</t>
  </si>
  <si>
    <t>KATHERINE &amp; RYAN READ</t>
  </si>
  <si>
    <t xml:space="preserve">15603 N 173RD LN </t>
  </si>
  <si>
    <t>WANCA TEODOR &amp; IRENA</t>
  </si>
  <si>
    <t>READ KATHERINE &amp; RYAN</t>
  </si>
  <si>
    <t>DICKY</t>
  </si>
  <si>
    <t>LAKSONO</t>
  </si>
  <si>
    <t>DICKY LAKSONO</t>
  </si>
  <si>
    <t xml:space="preserve">17760 W GELDING DR </t>
  </si>
  <si>
    <t>PETRINI PATRICK</t>
  </si>
  <si>
    <t>LAKSONO DICKY</t>
  </si>
  <si>
    <t>DAVID WALKER</t>
  </si>
  <si>
    <t xml:space="preserve">312 W MARIPOSA ST #13 </t>
  </si>
  <si>
    <t xml:space="preserve">312 W MARIPOSA ST </t>
  </si>
  <si>
    <t>PIERSON PLACE AMD</t>
  </si>
  <si>
    <t>P-1</t>
  </si>
  <si>
    <t>BABY GIRL LLC</t>
  </si>
  <si>
    <t>WALKER DAVID N JR</t>
  </si>
  <si>
    <t>ROSIE</t>
  </si>
  <si>
    <t>BILLY &amp; ROSIE PEMBERTON</t>
  </si>
  <si>
    <t xml:space="preserve">15617 W MONTECITO AVE </t>
  </si>
  <si>
    <t>PALM VALLEY PHASE 5 PARCELS 15 &amp; 16</t>
  </si>
  <si>
    <t>CALAPPA PLACE</t>
  </si>
  <si>
    <t>DANG LAM N</t>
  </si>
  <si>
    <t>TYSONS CORNER VA 22182</t>
  </si>
  <si>
    <t>BILLY D PEMBERTON</t>
  </si>
  <si>
    <t>ROSIE PEMBERTON</t>
  </si>
  <si>
    <t>DEVON</t>
  </si>
  <si>
    <t>TRAVIS &amp; DEVON WASHINGTON</t>
  </si>
  <si>
    <t xml:space="preserve">9318 E FOX ST </t>
  </si>
  <si>
    <t>CRYSTAL MANOR</t>
  </si>
  <si>
    <t>GOODFELLOW PEGGY J &amp; PHILLIP</t>
  </si>
  <si>
    <t>CARROLLION TX 75007</t>
  </si>
  <si>
    <t>TRAVIS WASHINGION</t>
  </si>
  <si>
    <t>DEVON WASHINGTON</t>
  </si>
  <si>
    <t>SCOTT &amp; KRISTINA JAMES</t>
  </si>
  <si>
    <t xml:space="preserve">8886 W HOLLYWOOD AVE </t>
  </si>
  <si>
    <t>JAMES SCOTT A &amp; KRISTINA M</t>
  </si>
  <si>
    <t>YONG</t>
  </si>
  <si>
    <t>JAMES &amp; YONG JOHNSON</t>
  </si>
  <si>
    <t xml:space="preserve">14761 W ASHCROFT DR </t>
  </si>
  <si>
    <t>FOOTHILLS AT RIO PASEO</t>
  </si>
  <si>
    <t>JOHNSON CHARLES A</t>
  </si>
  <si>
    <t>JOHNSON JAMES E &amp; YONG S</t>
  </si>
  <si>
    <t>SHAUNA</t>
  </si>
  <si>
    <t>SHAUNA ADKINS</t>
  </si>
  <si>
    <t xml:space="preserve">1107 W TURNEY AVE </t>
  </si>
  <si>
    <t xml:space="preserve">PO BOX 36522 </t>
  </si>
  <si>
    <t>KEANE DEVIN</t>
  </si>
  <si>
    <t>ADKINS SHAUNA</t>
  </si>
  <si>
    <t>STORER</t>
  </si>
  <si>
    <t>JESSE &amp; SARAH STORER</t>
  </si>
  <si>
    <t xml:space="preserve">17855 W WATSON LN </t>
  </si>
  <si>
    <t>SMITH CHARLENE &amp; JASON</t>
  </si>
  <si>
    <t>STORER JESSE G &amp; SARAH B</t>
  </si>
  <si>
    <t>NIELSON</t>
  </si>
  <si>
    <t>KRAUSER</t>
  </si>
  <si>
    <t>CRAIG NIELSON &amp; KARA KRAUSER</t>
  </si>
  <si>
    <t xml:space="preserve">1020 N SWALLOW LN </t>
  </si>
  <si>
    <t>ELMES GARY &amp; SONIA</t>
  </si>
  <si>
    <t>NIELSON CRAIG L</t>
  </si>
  <si>
    <t>KRAUSER KARA A</t>
  </si>
  <si>
    <t>WALLETS</t>
  </si>
  <si>
    <t>LYNDA</t>
  </si>
  <si>
    <t>WILLIAM &amp; LYNDA WALLETS</t>
  </si>
  <si>
    <t xml:space="preserve">12752 W JUNIPERO DR </t>
  </si>
  <si>
    <t>EL CAMINO AT CORTE BELLA COUNTRY CLUB UN</t>
  </si>
  <si>
    <t>EL CAMINO AT CORTE BELLA COUNTRY CLUB</t>
  </si>
  <si>
    <t>POFFENROTH LARRY R &amp; ELAINE</t>
  </si>
  <si>
    <t>WALLETS WILLIAM D &amp; LYNDA J</t>
  </si>
  <si>
    <t>PINAIRE</t>
  </si>
  <si>
    <t>DAN PINAIRE &amp; DAVID MCDONALD</t>
  </si>
  <si>
    <t xml:space="preserve">9438 E ELMWOOD CIR </t>
  </si>
  <si>
    <t>OASIS VERDE LT 1-127 TR A</t>
  </si>
  <si>
    <t>TAFT ELEMENTARY SCHOOL</t>
  </si>
  <si>
    <t>PINAIRE JANET L</t>
  </si>
  <si>
    <t>MCDONALD JR DAVID L</t>
  </si>
  <si>
    <t>SHADDEN</t>
  </si>
  <si>
    <t>DONNA &amp; KEITH SHADDEN</t>
  </si>
  <si>
    <t xml:space="preserve">18600 W PIONEER ST </t>
  </si>
  <si>
    <t>SHADDEN DONNA M &amp; KEITH</t>
  </si>
  <si>
    <t>JAMES &amp; JESSICA NELSON</t>
  </si>
  <si>
    <t xml:space="preserve">3630 E FRIESS DR </t>
  </si>
  <si>
    <t>CYRUS REALTY LLC</t>
  </si>
  <si>
    <t>FBC MORTGAGE LLC</t>
  </si>
  <si>
    <t>NELSON JAMES A &amp; JESSICA D</t>
  </si>
  <si>
    <t>HESCH</t>
  </si>
  <si>
    <t>JOHN &amp; SHELLY HESCH</t>
  </si>
  <si>
    <t xml:space="preserve">4115 E ANDERSON DR </t>
  </si>
  <si>
    <t>LANE AT BEL ESPRIT</t>
  </si>
  <si>
    <t>BEL ESPRIT</t>
  </si>
  <si>
    <t>OKEEFE JAMES P</t>
  </si>
  <si>
    <t>HESCH JOHN A &amp; SHELLY</t>
  </si>
  <si>
    <t>TAMMI</t>
  </si>
  <si>
    <t>BARRY &amp; TAMMI HAYNES</t>
  </si>
  <si>
    <t xml:space="preserve">11428 E QUICKSILVER AVE </t>
  </si>
  <si>
    <t>DAVIS FAMILY HOLDINGS LLC</t>
  </si>
  <si>
    <t>HAYNES BARRY S</t>
  </si>
  <si>
    <t>MERINO</t>
  </si>
  <si>
    <t>OCHOA &amp; MERINO JIMENEZ</t>
  </si>
  <si>
    <t xml:space="preserve">8149 W GLENN DR </t>
  </si>
  <si>
    <t>GLEN EDEN</t>
  </si>
  <si>
    <t>OAK STREET PROPERTIES LLC</t>
  </si>
  <si>
    <t>OCHOA RENE</t>
  </si>
  <si>
    <t>MERINO CLAUDIA J</t>
  </si>
  <si>
    <t>ADAM SMITH</t>
  </si>
  <si>
    <t xml:space="preserve">1037 E CLARENDON AVE </t>
  </si>
  <si>
    <t>EABS LLC</t>
  </si>
  <si>
    <t>SMITH ADAM C</t>
  </si>
  <si>
    <t>CORNISH</t>
  </si>
  <si>
    <t>DAVID &amp; CARRIE CORNISH</t>
  </si>
  <si>
    <t xml:space="preserve">16238 W WASHINGTON ST </t>
  </si>
  <si>
    <t>WILDFLOWER RANCH UNIT 5</t>
  </si>
  <si>
    <t>ALEXMICH INC</t>
  </si>
  <si>
    <t>CORNISH DAVID &amp; CARRIE</t>
  </si>
  <si>
    <t>FONG</t>
  </si>
  <si>
    <t>GORDON FONG</t>
  </si>
  <si>
    <t xml:space="preserve">6457 E JULEP ST </t>
  </si>
  <si>
    <t>LI HOWARD</t>
  </si>
  <si>
    <t>SFMC LP</t>
  </si>
  <si>
    <t>FONG GORDON</t>
  </si>
  <si>
    <t>DUNKLEBERGER</t>
  </si>
  <si>
    <t>JAMES DUNKLEBERGER &amp; BRENDA HERNANDEZ</t>
  </si>
  <si>
    <t xml:space="preserve">2257 E FAIRVIEW CIR </t>
  </si>
  <si>
    <t>SUMMER PLACE PHASE 2 AMD LOT 93-309</t>
  </si>
  <si>
    <t>SUMMER PLACE VILLAGE</t>
  </si>
  <si>
    <t>RODRIGUEZ RUBEN R</t>
  </si>
  <si>
    <t>SECURITYNATIONAL MTG CO</t>
  </si>
  <si>
    <t>JAMES DUNKLEBERGER</t>
  </si>
  <si>
    <t>BRENDA HERNANDEZ</t>
  </si>
  <si>
    <t>HEADLEY</t>
  </si>
  <si>
    <t>TANJA</t>
  </si>
  <si>
    <t>RYAN &amp; TANJA HEADLEY</t>
  </si>
  <si>
    <t xml:space="preserve">3648 E CALEB WAY </t>
  </si>
  <si>
    <t>BENSON MIKE &amp; PAM</t>
  </si>
  <si>
    <t>RYAN HEADLEY</t>
  </si>
  <si>
    <t>TANJA HEADLEY</t>
  </si>
  <si>
    <t>ROSHETKO</t>
  </si>
  <si>
    <t>STRACY</t>
  </si>
  <si>
    <t>LAWRENCE &amp; STRACY ROSHETKO</t>
  </si>
  <si>
    <t xml:space="preserve">2650 N 118TH LN </t>
  </si>
  <si>
    <t>GARDEN PARK</t>
  </si>
  <si>
    <t>STEELE EDDIE D &amp; LAURA S</t>
  </si>
  <si>
    <t>ROSHETKO LAWRENCE M &amp; STRACY</t>
  </si>
  <si>
    <t>JOSEPH DANIELS</t>
  </si>
  <si>
    <t xml:space="preserve">4007 E IRONHORSE RD </t>
  </si>
  <si>
    <t>DANIELSON CHARLES W</t>
  </si>
  <si>
    <t>DANIELS JOSEPH S</t>
  </si>
  <si>
    <t>GRAF</t>
  </si>
  <si>
    <t>CHAD GRAF</t>
  </si>
  <si>
    <t xml:space="preserve">5613 S HAZELTON LN </t>
  </si>
  <si>
    <t>BURKETT CLARENCE C TRUST</t>
  </si>
  <si>
    <t>GRAF CHAD T</t>
  </si>
  <si>
    <t>WENDELL BROWN</t>
  </si>
  <si>
    <t xml:space="preserve">1214 E VILLA RITA DR </t>
  </si>
  <si>
    <t>WINDS OF NORTH CANYON UNIT 2 LOT 163-227</t>
  </si>
  <si>
    <t>WINDS OF NORTH CANYON</t>
  </si>
  <si>
    <t>BERNACKI SHIRA</t>
  </si>
  <si>
    <t>BROWN WENDELL S</t>
  </si>
  <si>
    <t>JIM</t>
  </si>
  <si>
    <t>WARBRITTON</t>
  </si>
  <si>
    <t>JIM WARBRITTON</t>
  </si>
  <si>
    <t xml:space="preserve">612 N 156TH LN </t>
  </si>
  <si>
    <t>VILLAGE CAPITAL &amp; INVESTMENT L</t>
  </si>
  <si>
    <t>WARBRITTON JIM A</t>
  </si>
  <si>
    <t>DAMIEN</t>
  </si>
  <si>
    <t>GINTER</t>
  </si>
  <si>
    <t>DAMIEN &amp; PAMELA GINTER</t>
  </si>
  <si>
    <t xml:space="preserve">2057 N 132ND DR </t>
  </si>
  <si>
    <t>AZ LENDING LLC</t>
  </si>
  <si>
    <t>GINTER DANIEN G &amp; PAMELA A</t>
  </si>
  <si>
    <t>LAMPP</t>
  </si>
  <si>
    <t>ANNA &amp; DONALD LAMPP</t>
  </si>
  <si>
    <t xml:space="preserve">8130 S 71ST AVE </t>
  </si>
  <si>
    <t>LAVEEN MEADOWS PARCEL 4</t>
  </si>
  <si>
    <t>PARKE AT LAVEEN MEADOWS</t>
  </si>
  <si>
    <t>LAMPP ANNA T</t>
  </si>
  <si>
    <t>BECKHAM</t>
  </si>
  <si>
    <t>HEATHER BECKHAM &amp; CASEY GRANT</t>
  </si>
  <si>
    <t xml:space="preserve">1136 E BAYLOR LN </t>
  </si>
  <si>
    <t>LINDSAY RANCH UNIT 2</t>
  </si>
  <si>
    <t>YES</t>
  </si>
  <si>
    <t>JAEGER BRIAN L</t>
  </si>
  <si>
    <t>BECKHAM HEATHER</t>
  </si>
  <si>
    <t>GRANT CASEY N</t>
  </si>
  <si>
    <t>SCHOENEMANN</t>
  </si>
  <si>
    <t>JOSEPH &amp; LINDSEY SCHOENEMANN</t>
  </si>
  <si>
    <t xml:space="preserve">3344 E SAN REMO AVE </t>
  </si>
  <si>
    <t>COOK CHARLES W</t>
  </si>
  <si>
    <t>SCHOENEMANN JOSEPH M</t>
  </si>
  <si>
    <t>BUSINESS DEVELOPMENT FINANCE C</t>
  </si>
  <si>
    <t>SCHOENEMANN JOSEPH M &amp; LINDSEY S</t>
  </si>
  <si>
    <t>NAVE</t>
  </si>
  <si>
    <t>GREGORY &amp; BARBARA NAVE</t>
  </si>
  <si>
    <t xml:space="preserve">12422 W WINDSOR AVE </t>
  </si>
  <si>
    <t>VISTAS AT RANCHO SANTA FE</t>
  </si>
  <si>
    <t>WILKINSON JERRY &amp; BECKY</t>
  </si>
  <si>
    <t>GREGORY C NAVE</t>
  </si>
  <si>
    <t>BARBARA L NAVE</t>
  </si>
  <si>
    <t>SLADE</t>
  </si>
  <si>
    <t>PHILIP SLADE</t>
  </si>
  <si>
    <t xml:space="preserve">8880 W CAMERON DR </t>
  </si>
  <si>
    <t>JOSEPH &amp; JANE RAMIREZ</t>
  </si>
  <si>
    <t xml:space="preserve">18439 N 16TH WAY </t>
  </si>
  <si>
    <t>COVE AT NORTH CANYON LOT 1-162 TR A-O</t>
  </si>
  <si>
    <t>COVE AT NORTH CANYON</t>
  </si>
  <si>
    <t>OUIMETTE BRENDON &amp; DEBORAH</t>
  </si>
  <si>
    <t>RAMIREZ JOSEPH F &amp; JANE J</t>
  </si>
  <si>
    <t>BOTTE</t>
  </si>
  <si>
    <t>RAYMOND BOTTE</t>
  </si>
  <si>
    <t xml:space="preserve">3010 E KERRY LN </t>
  </si>
  <si>
    <t>PARQUE VILLAGE NORTH</t>
  </si>
  <si>
    <t>TOMCZAK NANCY</t>
  </si>
  <si>
    <t>BOTTE RAYMOND R</t>
  </si>
  <si>
    <t>TADEVICH</t>
  </si>
  <si>
    <t>RANDY TADEVICH</t>
  </si>
  <si>
    <t xml:space="preserve">7815 S 41ST DR </t>
  </si>
  <si>
    <t>TADEVICH RANDY E</t>
  </si>
  <si>
    <t>ORTEGA</t>
  </si>
  <si>
    <t>ANN &amp; ANN DRUE</t>
  </si>
  <si>
    <t xml:space="preserve">2950 S 94TH ST </t>
  </si>
  <si>
    <t>DONNELLY ROBIN S LIVING TRUST</t>
  </si>
  <si>
    <t>CHRISTOPHER D ORTEGA</t>
  </si>
  <si>
    <t>TAMARA A ORTEGA</t>
  </si>
  <si>
    <t>RUIZ</t>
  </si>
  <si>
    <t>DANNY &amp; JOANNE RUIZ</t>
  </si>
  <si>
    <t xml:space="preserve">8756 E SOLANO DR </t>
  </si>
  <si>
    <t>PARK SCOTTSDALE 4</t>
  </si>
  <si>
    <t>LATINO CORY J SR TRUST</t>
  </si>
  <si>
    <t>RUIZ DANNY</t>
  </si>
  <si>
    <t>RUIZ DANNY &amp; JOANNE</t>
  </si>
  <si>
    <t>BELYNDA</t>
  </si>
  <si>
    <t>PHILIP &amp; BELYNDA AVILA</t>
  </si>
  <si>
    <t xml:space="preserve">2902 E WINDROSE DR </t>
  </si>
  <si>
    <t>PARADISE VALLEY WEST 3</t>
  </si>
  <si>
    <t>PARADISE VALLEY WEST</t>
  </si>
  <si>
    <t>RIEDEL PATRICK J</t>
  </si>
  <si>
    <t>AVILA PHILIP R</t>
  </si>
  <si>
    <t>FLETCHER</t>
  </si>
  <si>
    <t>BRIAN &amp; DEANNA FLETCHER</t>
  </si>
  <si>
    <t xml:space="preserve">17535 W DESERT SAGE DR </t>
  </si>
  <si>
    <t>ESTRELLA MOUNTAIN RANCH PARCEL 195</t>
  </si>
  <si>
    <t>MACON GARY T &amp; CARRIE</t>
  </si>
  <si>
    <t>FLETCHER BRIAN &amp; DEANNA</t>
  </si>
  <si>
    <t>REINECKE</t>
  </si>
  <si>
    <t>RICHARD REINECKE &amp; MARIA VARGAS</t>
  </si>
  <si>
    <t xml:space="preserve">13426 W FARGO DR </t>
  </si>
  <si>
    <t>FARRAR MARY E</t>
  </si>
  <si>
    <t>REINECKE RICHARD B</t>
  </si>
  <si>
    <t>VARGAS MARIA T C</t>
  </si>
  <si>
    <t>WARNE CRAIG &amp; CHERYL TRUST</t>
  </si>
  <si>
    <t>WARNECRAIG &amp; CHERYL WARNECRAIG</t>
  </si>
  <si>
    <t xml:space="preserve">4244 E ENCINAS AVE </t>
  </si>
  <si>
    <t>THOMPSON CINDA</t>
  </si>
  <si>
    <t>WARNE CRAIG &amp; CHERYL</t>
  </si>
  <si>
    <t>JAMAL</t>
  </si>
  <si>
    <t>JAMAL JOHNSON</t>
  </si>
  <si>
    <t xml:space="preserve">658 W PANTERA AVE </t>
  </si>
  <si>
    <t>DAVE BROWN UNIT 1 LOT 1-177 &amp; TR A</t>
  </si>
  <si>
    <t>REGINATO FAMILY TRUST</t>
  </si>
  <si>
    <t>MICHOLS</t>
  </si>
  <si>
    <t>MICHOLS &amp; JENNIFER DENISE</t>
  </si>
  <si>
    <t xml:space="preserve">24789 W VISTA NORTE ST </t>
  </si>
  <si>
    <t>RANCHO VISTA</t>
  </si>
  <si>
    <t>MICHOLS DANIEL J &amp; JENNIFER D</t>
  </si>
  <si>
    <t>RON</t>
  </si>
  <si>
    <t>KACHIAN</t>
  </si>
  <si>
    <t>RON KACHIAN</t>
  </si>
  <si>
    <t xml:space="preserve">8509 E MALCOMB DR </t>
  </si>
  <si>
    <t>PARK SCOTTSDALE 7</t>
  </si>
  <si>
    <t>STEEN CORA A</t>
  </si>
  <si>
    <t>KACHIAN ROBERT</t>
  </si>
  <si>
    <t>KRISTYN</t>
  </si>
  <si>
    <t>SATTERFIELD</t>
  </si>
  <si>
    <t>KRISTYN SATTERFIELD</t>
  </si>
  <si>
    <t xml:space="preserve">246 N CONCORD ST </t>
  </si>
  <si>
    <t>LOWE ESTATES LOT 1-289 TR A-D</t>
  </si>
  <si>
    <t>LIBERTY SQUARE</t>
  </si>
  <si>
    <t>NAPUTANO ANTHONY J</t>
  </si>
  <si>
    <t>SATTERFIELD KRISTYN M</t>
  </si>
  <si>
    <t>JENIFER</t>
  </si>
  <si>
    <t>MELLER</t>
  </si>
  <si>
    <t>JENIFER MELLER</t>
  </si>
  <si>
    <t xml:space="preserve">94 E SMOKE TREE RD </t>
  </si>
  <si>
    <t>COUNTRY LANE</t>
  </si>
  <si>
    <t>MITCHELL JANICE M</t>
  </si>
  <si>
    <t>JENIFER D MELLER</t>
  </si>
  <si>
    <t>FITZGERALD</t>
  </si>
  <si>
    <t>PATRICK FITZGERALD</t>
  </si>
  <si>
    <t xml:space="preserve">1214 W SAND HILLS CT </t>
  </si>
  <si>
    <t>ISLANDS PATIO HOMES B AMD LOT 95-192 TR</t>
  </si>
  <si>
    <t>ISLANDS PATIO HOMES</t>
  </si>
  <si>
    <t>MCMARDON HOME MGMT LLC</t>
  </si>
  <si>
    <t>FITZGERALD PATRICK M</t>
  </si>
  <si>
    <t>RUBEN HERRERA &amp; DIANA GUEVARA</t>
  </si>
  <si>
    <t xml:space="preserve">551 N FRESNO ST </t>
  </si>
  <si>
    <t>SAN TAN VISTA AMD</t>
  </si>
  <si>
    <t>SAN TAN VISTA</t>
  </si>
  <si>
    <t>ARAGON INVESTMENTS LLC</t>
  </si>
  <si>
    <t>RUBEN HERRERA</t>
  </si>
  <si>
    <t>DIANA R GUEVARA</t>
  </si>
  <si>
    <t>KAELY</t>
  </si>
  <si>
    <t>ZACHARY &amp; KAELY GRAHAM</t>
  </si>
  <si>
    <t xml:space="preserve">1941 E MEADOWBROOK AVE </t>
  </si>
  <si>
    <t>HIGHLAND ESTATES</t>
  </si>
  <si>
    <t>STEPHENS TAYLOR M &amp; KRISTAN</t>
  </si>
  <si>
    <t>GRAHAM ZACHARY W &amp; KAELY E</t>
  </si>
  <si>
    <t>JONATHAN &amp; JENNIFER BRANNON</t>
  </si>
  <si>
    <t xml:space="preserve">17547 W VENTURA ST </t>
  </si>
  <si>
    <t>SIERRA MONTANA PARCEL 10</t>
  </si>
  <si>
    <t>BOERSMA FRANS &amp; SHARON</t>
  </si>
  <si>
    <t>BRANNON JONATHAN E &amp; JENNIFER M</t>
  </si>
  <si>
    <t>CAPORRIMO</t>
  </si>
  <si>
    <t>NICHOLAS &amp; DANIELLE CAPORRIMO</t>
  </si>
  <si>
    <t xml:space="preserve">18538 W TURQUOISE AVE </t>
  </si>
  <si>
    <t>CAPORRIMO NICHOLAS A</t>
  </si>
  <si>
    <t>JOHN &amp; KELLY GRAY</t>
  </si>
  <si>
    <t xml:space="preserve">14559 W HILLSIDE ST </t>
  </si>
  <si>
    <t>PALM VALLEY PHASE 3B</t>
  </si>
  <si>
    <t>DESERT VISTA</t>
  </si>
  <si>
    <t>DODDE PAUL A</t>
  </si>
  <si>
    <t>GRAY JOHN P</t>
  </si>
  <si>
    <t>MICHAEL BRADLEY</t>
  </si>
  <si>
    <t xml:space="preserve">6911 W LAWRENCE LN </t>
  </si>
  <si>
    <t>WESTPARK MANOR</t>
  </si>
  <si>
    <t>GOLDEN RIDGE</t>
  </si>
  <si>
    <t>ALDRETE ROBERT &amp; KAYLEEN</t>
  </si>
  <si>
    <t>BRADLEY MICHAEL</t>
  </si>
  <si>
    <t>LAWTON</t>
  </si>
  <si>
    <t>CIARA</t>
  </si>
  <si>
    <t>HERBERT &amp; CIARA LAWTON</t>
  </si>
  <si>
    <t xml:space="preserve">4348 S RIM CT </t>
  </si>
  <si>
    <t>RODRIGUEZ JAVIER</t>
  </si>
  <si>
    <t>LAWTON HERBERT W &amp; CIARA M</t>
  </si>
  <si>
    <t>RADY</t>
  </si>
  <si>
    <t>JAMES &amp; KATHY RADY</t>
  </si>
  <si>
    <t xml:space="preserve">319 W SANTA CRUZ DR </t>
  </si>
  <si>
    <t>NELSEN MICHAEL</t>
  </si>
  <si>
    <t>RADY JAMES</t>
  </si>
  <si>
    <t>ALVIRA</t>
  </si>
  <si>
    <t>STEVEN ALVIRA</t>
  </si>
  <si>
    <t xml:space="preserve">4115 E SEQUOIA TRL </t>
  </si>
  <si>
    <t>AHWATUKEE FS  3 LOT 1590-1716 &amp; TR A-D</t>
  </si>
  <si>
    <t>MK WINN FAMILY LIVING TRUST</t>
  </si>
  <si>
    <t>TRACY KEYS</t>
  </si>
  <si>
    <t xml:space="preserve">1182 W ORCHID LN </t>
  </si>
  <si>
    <t>CELEBRATION BY SHEA HOMES LOT 1-133 TR A</t>
  </si>
  <si>
    <t>FESTIVAL-CELEBRATION</t>
  </si>
  <si>
    <t>MUNOZ JENNIFER L</t>
  </si>
  <si>
    <t>KEYS TRACY E</t>
  </si>
  <si>
    <t>KREISHER</t>
  </si>
  <si>
    <t>GERLADINE</t>
  </si>
  <si>
    <t>ADAM &amp; GERLADINE KREISHER</t>
  </si>
  <si>
    <t xml:space="preserve">17343 W BUCHANAN ST </t>
  </si>
  <si>
    <t>CANYON TRAILS  UNIT 4 WEST  PARCEL B2</t>
  </si>
  <si>
    <t>MALISZEWSKI KYLE J &amp; MARIANA</t>
  </si>
  <si>
    <t>KREISHER ADAM K &amp; GERALDINE</t>
  </si>
  <si>
    <t>CURTIS &amp; MARY REED</t>
  </si>
  <si>
    <t xml:space="preserve">107 W SHAMROCK ST </t>
  </si>
  <si>
    <t>RANCHO DEL VERDE UNIT 2</t>
  </si>
  <si>
    <t>RANCHO DEL VERDE</t>
  </si>
  <si>
    <t>ESTHER HAINES LLC</t>
  </si>
  <si>
    <t>REED CURTIS M</t>
  </si>
  <si>
    <t>DULAC</t>
  </si>
  <si>
    <t>RICHARD &amp; NORMA DULAC</t>
  </si>
  <si>
    <t xml:space="preserve">4423 S 181ST AVE </t>
  </si>
  <si>
    <t>DE LOS SANTOS SUSAN R</t>
  </si>
  <si>
    <t>DULAC RICHARD G</t>
  </si>
  <si>
    <t>BROUSSARD</t>
  </si>
  <si>
    <t>BO</t>
  </si>
  <si>
    <t>SEAN BROUSSARD &amp; BO PARK</t>
  </si>
  <si>
    <t xml:space="preserve">17461 W ELIZABETH AVE </t>
  </si>
  <si>
    <t>COTTONFLOWER UNIT 4</t>
  </si>
  <si>
    <t>COTTONFLOWER</t>
  </si>
  <si>
    <t>WILTEY JEFFREY B</t>
  </si>
  <si>
    <t>BROUSSARD SEAN</t>
  </si>
  <si>
    <t>PARK BO R</t>
  </si>
  <si>
    <t>BLESSING</t>
  </si>
  <si>
    <t>FAY</t>
  </si>
  <si>
    <t>LAWRENCE &amp; FAY BLESSING</t>
  </si>
  <si>
    <t xml:space="preserve">25728 W TWILIGHT LN </t>
  </si>
  <si>
    <t>SUNSET POINT</t>
  </si>
  <si>
    <t>BALES ELEMENTARY SCHOOL</t>
  </si>
  <si>
    <t>NUNEZ JULIAN L</t>
  </si>
  <si>
    <t>MAGNOLIA BK</t>
  </si>
  <si>
    <t>CAMPBELLSVILLE KY 42718</t>
  </si>
  <si>
    <t>RODGER B LAWRENCE</t>
  </si>
  <si>
    <t>FAY B LAWRENCE</t>
  </si>
  <si>
    <t>MICHAEL &amp; JIM MATTSON</t>
  </si>
  <si>
    <t xml:space="preserve">2925 W VALLEY VIEW TRL </t>
  </si>
  <si>
    <t>H007</t>
  </si>
  <si>
    <t>DESERT HILLS</t>
  </si>
  <si>
    <t>CARABALLO FAMILY TRUST</t>
  </si>
  <si>
    <t>MATTSON MICHAEL K &amp; JIM</t>
  </si>
  <si>
    <t>FAER AND BRENNAN FAMILY REVOCABLE LIVING TR</t>
  </si>
  <si>
    <t>FAER &amp; BRENNAN</t>
  </si>
  <si>
    <t xml:space="preserve">7287 E SAND HILLS RD </t>
  </si>
  <si>
    <t>LOS PORTONES 1</t>
  </si>
  <si>
    <t>LOS PORTONES</t>
  </si>
  <si>
    <t>ACHTZEHN JANET L FAMILY TRUST</t>
  </si>
  <si>
    <t>FAER ALFRED</t>
  </si>
  <si>
    <t>BRENNAN FRAN</t>
  </si>
  <si>
    <t>ROBERGE</t>
  </si>
  <si>
    <t>KEITH &amp; JENNIFER ROBERGE</t>
  </si>
  <si>
    <t xml:space="preserve">10016 W SUGAR SAND LN </t>
  </si>
  <si>
    <t>SUNSET RANCH AMD</t>
  </si>
  <si>
    <t>ENCORE AT SUNSET RANCH</t>
  </si>
  <si>
    <t>BURTON SAMUEL D &amp; HEATHER C</t>
  </si>
  <si>
    <t>ROBERGE KEITH R &amp; JENNIFER R</t>
  </si>
  <si>
    <t>COLLA FAMILY TRUST</t>
  </si>
  <si>
    <t>COLLA</t>
  </si>
  <si>
    <t xml:space="preserve">18003 W ALICE AVE </t>
  </si>
  <si>
    <t>WHITE TANK FOOTHILLS PARCEL 3</t>
  </si>
  <si>
    <t>COLLA STEVEN R &amp; MELANIE</t>
  </si>
  <si>
    <t>PLEASANTS</t>
  </si>
  <si>
    <t>CATHLEEN</t>
  </si>
  <si>
    <t>STEVEN &amp; CATHLEEN PLEASANTS</t>
  </si>
  <si>
    <t xml:space="preserve">8619 N 192ND AVE </t>
  </si>
  <si>
    <t>SONORAN RIDGE ESTATES UNIT 2</t>
  </si>
  <si>
    <t>SONORAN RIDGE ESTATES</t>
  </si>
  <si>
    <t>FEHRENBACHER JON S</t>
  </si>
  <si>
    <t>PLEASANTS STEVEN D &amp; CATHLEEN</t>
  </si>
  <si>
    <t>PAWLOSKI</t>
  </si>
  <si>
    <t>KIMBERLY PAWLOSKI</t>
  </si>
  <si>
    <t xml:space="preserve">3284 E PATRICK ST </t>
  </si>
  <si>
    <t>HUD-HOUSING OF URBAN DEV</t>
  </si>
  <si>
    <t>PAWLOSKI KIMBERLY A</t>
  </si>
  <si>
    <t>FAGAN-CLARK</t>
  </si>
  <si>
    <t>BRIAN CLARK &amp; ALYSSA FAGAN-CLARK</t>
  </si>
  <si>
    <t xml:space="preserve">20710 N 74TH LN </t>
  </si>
  <si>
    <t>SIENNA 2</t>
  </si>
  <si>
    <t>SIENNA II</t>
  </si>
  <si>
    <t>WINSCHEL KEVIN L &amp; ERIN H</t>
  </si>
  <si>
    <t>CLARK BRIAN</t>
  </si>
  <si>
    <t>FAGAN-CLARK ALYSSA</t>
  </si>
  <si>
    <t>LYSETTE</t>
  </si>
  <si>
    <t>LYSETTE &amp; KENNETH LOPEZ</t>
  </si>
  <si>
    <t xml:space="preserve">1715 E SALTSAGE DR </t>
  </si>
  <si>
    <t>PALMIA AT THE FOOTHILLS  LOT 1-90 TR A-H</t>
  </si>
  <si>
    <t>PALMIA AT THE FOOTHILLS</t>
  </si>
  <si>
    <t>LOPEZ LYSETTE M &amp; KENNETH R</t>
  </si>
  <si>
    <t>LOPEZ LYSETTE MARIE &amp; KENNETH R</t>
  </si>
  <si>
    <t>WELLMAN</t>
  </si>
  <si>
    <t>JERRY &amp; BARBARA WELLMAN</t>
  </si>
  <si>
    <t xml:space="preserve">20550 W CANYON DR </t>
  </si>
  <si>
    <t xml:space="preserve">23640 N 66TH LN </t>
  </si>
  <si>
    <t>VERRADO PARCEL 4.902</t>
  </si>
  <si>
    <t>T A TRUST</t>
  </si>
  <si>
    <t>WELLMAN JERRY L &amp; BARBARA C</t>
  </si>
  <si>
    <t>COTHRAN</t>
  </si>
  <si>
    <t>BRIAN &amp; MARY COTHRAN</t>
  </si>
  <si>
    <t xml:space="preserve">3510 E RED OAK LN </t>
  </si>
  <si>
    <t>SAN TAN RANCH PARCEL 11</t>
  </si>
  <si>
    <t>SHORTS LARRY M &amp; NIKOLA D</t>
  </si>
  <si>
    <t>COTHRAN BRIAN A &amp; MARY A E</t>
  </si>
  <si>
    <t>HENRICKSON</t>
  </si>
  <si>
    <t>RONALD &amp; LINDA HENRICKSON</t>
  </si>
  <si>
    <t xml:space="preserve">1510 N BERNARD CIR </t>
  </si>
  <si>
    <t>SIERRA ESTATES</t>
  </si>
  <si>
    <t>CARDINALLO FAMILY TRUST</t>
  </si>
  <si>
    <t>RONALD R HENRICKSON</t>
  </si>
  <si>
    <t>LINDA HENRICKSON</t>
  </si>
  <si>
    <t>ISOM</t>
  </si>
  <si>
    <t>MATTHEW &amp; HEATHER ISOM</t>
  </si>
  <si>
    <t xml:space="preserve">4914 E INDIAN WELLS DR </t>
  </si>
  <si>
    <t>MOON CHRISTOPHER E &amp; MORGANA</t>
  </si>
  <si>
    <t>ISOM MATTHEW A</t>
  </si>
  <si>
    <t>DANIEL PROPERTIES LLC</t>
  </si>
  <si>
    <t xml:space="preserve">2503 E WINDSONG DR </t>
  </si>
  <si>
    <t xml:space="preserve">14632 S 20TH ST </t>
  </si>
  <si>
    <t>FOOTHILLS MOUNTAIN RANCH PARCEL 3</t>
  </si>
  <si>
    <t>FOOTHILLS MOUNTAIN RANCH</t>
  </si>
  <si>
    <t>SANTOYO ALEJANDRO</t>
  </si>
  <si>
    <t>SANDERS</t>
  </si>
  <si>
    <t>DENNIS &amp; HOLLY SANDERS</t>
  </si>
  <si>
    <t xml:space="preserve">1252 E IBIS CT </t>
  </si>
  <si>
    <t>ESTATES AT THE SPECTRUM</t>
  </si>
  <si>
    <t>RATLIFF ARCH &amp; DARA L</t>
  </si>
  <si>
    <t>TEMPE AZ 85283</t>
  </si>
  <si>
    <t>SANDERS DENNIS B &amp; HOLLY L</t>
  </si>
  <si>
    <t>DENNIS B SANDERS</t>
  </si>
  <si>
    <t>HOLLY L SANDERS</t>
  </si>
  <si>
    <t>HEATON</t>
  </si>
  <si>
    <t>JEANNE</t>
  </si>
  <si>
    <t>CRAIG &amp; JEANNE HEATON</t>
  </si>
  <si>
    <t xml:space="preserve">7562 E TASMAN CIR </t>
  </si>
  <si>
    <t>PINNACLE POINT AT LAS SENDAS</t>
  </si>
  <si>
    <t>NOWICKI DENNIS &amp; JANICE TRUST</t>
  </si>
  <si>
    <t>HEATON CRAIG S &amp; JEANNE K</t>
  </si>
  <si>
    <t>EARL &amp; LAURA FISHER</t>
  </si>
  <si>
    <t xml:space="preserve">38505 N VISTA HILLS CT </t>
  </si>
  <si>
    <t>ANTHEM UNIT 75B</t>
  </si>
  <si>
    <t>GRSW STEWART RE TRUST</t>
  </si>
  <si>
    <t>INTERCONTINENTAL CAP</t>
  </si>
  <si>
    <t>EARL FISHER</t>
  </si>
  <si>
    <t>LAURA FISHER</t>
  </si>
  <si>
    <t>NEAL</t>
  </si>
  <si>
    <t>KIRKBRIDE</t>
  </si>
  <si>
    <t>NEAL &amp; TERRY KIRKBRIDE</t>
  </si>
  <si>
    <t xml:space="preserve">9524 E MESETO AVE </t>
  </si>
  <si>
    <t>AUGUSTA RANCH PARCEL 5</t>
  </si>
  <si>
    <t>DAVIS BRIAN S</t>
  </si>
  <si>
    <t>KIRKBRIDE NEAL M II &amp; TERRY L</t>
  </si>
  <si>
    <t>CHARLES NATHANEIL AND JANICE ANN DAVIS TRUST</t>
  </si>
  <si>
    <t xml:space="preserve">19812 N 95TH AVE </t>
  </si>
  <si>
    <t>DODGE BARBARA D</t>
  </si>
  <si>
    <t>DAVIS CHARLES N &amp; JANICE A TRUST</t>
  </si>
  <si>
    <t>WEID</t>
  </si>
  <si>
    <t>WEID &amp; STEPHANIE LYNN</t>
  </si>
  <si>
    <t xml:space="preserve">4 E MYRNA LN </t>
  </si>
  <si>
    <t>WARNER RANCH CROSSING   LOT 1-167 TRACT</t>
  </si>
  <si>
    <t>LEVIN DAVID H</t>
  </si>
  <si>
    <t>WEID TIMOTHY J &amp; STEPHANIE L</t>
  </si>
  <si>
    <t>REEHER</t>
  </si>
  <si>
    <t>JOHN &amp; JENNIFER REEHER</t>
  </si>
  <si>
    <t xml:space="preserve">19899 E MAYBERRY RD </t>
  </si>
  <si>
    <t>EMPEROR ESTATES PHASE 3</t>
  </si>
  <si>
    <t>RODRIGUEZ KIM</t>
  </si>
  <si>
    <t>REEHER JOHN M</t>
  </si>
  <si>
    <t>JOHN M REEHER</t>
  </si>
  <si>
    <t>JENNIFER L REEHER</t>
  </si>
  <si>
    <t>JASON &amp; SARAH NICHOLS</t>
  </si>
  <si>
    <t xml:space="preserve">3115 E CARDINAL CT </t>
  </si>
  <si>
    <t>PASEO TRAIL PARCELS A B AND C</t>
  </si>
  <si>
    <t>PASEO TRAIL NORTH</t>
  </si>
  <si>
    <t>MCGINN HEATHER</t>
  </si>
  <si>
    <t>NICHOLS JASON M &amp; SARAH E</t>
  </si>
  <si>
    <t>JOSEPH SPENCER</t>
  </si>
  <si>
    <t xml:space="preserve">5737 W IRMA LN </t>
  </si>
  <si>
    <t>C079</t>
  </si>
  <si>
    <t>FULTON HOMES AT ARROWHEAD RANCH UNIT ONE</t>
  </si>
  <si>
    <t>MOHAWK</t>
  </si>
  <si>
    <t>MADRID ROSE</t>
  </si>
  <si>
    <t>SPENCER JOSEPH</t>
  </si>
  <si>
    <t>LAMPE</t>
  </si>
  <si>
    <t>JOEL LAMPE</t>
  </si>
  <si>
    <t xml:space="preserve">20532 W SUMMIT PL </t>
  </si>
  <si>
    <t>GOSS MICHAEL &amp; JACQUELINE</t>
  </si>
  <si>
    <t>LAMPE JOEL EDWARD</t>
  </si>
  <si>
    <t>FARRAR</t>
  </si>
  <si>
    <t>THOMAS &amp; DEBORAH FARRAR</t>
  </si>
  <si>
    <t xml:space="preserve">5533 W BETH DR </t>
  </si>
  <si>
    <t>FARRAR THOMAS E JR &amp; DEBORAH A</t>
  </si>
  <si>
    <t>ESKRIDGE</t>
  </si>
  <si>
    <t>CHLOE</t>
  </si>
  <si>
    <t>TRISHA &amp; CHLOE ESKRIDGE</t>
  </si>
  <si>
    <t xml:space="preserve">4314 W ARDMORE RD </t>
  </si>
  <si>
    <t>SALDIBAR ANTHONY</t>
  </si>
  <si>
    <t>ESKRIDGE TRISHA</t>
  </si>
  <si>
    <t>JEWKES</t>
  </si>
  <si>
    <t>TYLER &amp; HEIDI JEWKES</t>
  </si>
  <si>
    <t xml:space="preserve">2904 S HANSEN DR </t>
  </si>
  <si>
    <t>JEWKES TYLER W &amp; HEIDI</t>
  </si>
  <si>
    <t>BURCHFIELD</t>
  </si>
  <si>
    <t>JEFF &amp; LYNN BURCHFIELD</t>
  </si>
  <si>
    <t xml:space="preserve">21002 S 213TH ST </t>
  </si>
  <si>
    <t>LANGLEY GATEWAY ESTATES 2</t>
  </si>
  <si>
    <t>LANGLEY GATEWAY ESTATES</t>
  </si>
  <si>
    <t>KOCISZEWSKI BARBARA J &amp; BRIA</t>
  </si>
  <si>
    <t>BURCHFIELD JEFF &amp; LYNN</t>
  </si>
  <si>
    <t>SAM &amp; TRICIA ZIMMERMAN</t>
  </si>
  <si>
    <t xml:space="preserve">4311 E CULLUMBER ST </t>
  </si>
  <si>
    <t>FROST SHANE R &amp; LAUREN D</t>
  </si>
  <si>
    <t>ZIMMERMAN SAM &amp; TRICIA</t>
  </si>
  <si>
    <t>BAUGH</t>
  </si>
  <si>
    <t>ARCENEAUX</t>
  </si>
  <si>
    <t>DANIEL BAUGH &amp; DAVID ARCENEAUX</t>
  </si>
  <si>
    <t xml:space="preserve">28 E WINGED FOOT RD </t>
  </si>
  <si>
    <t>SOUTH LATITUDE CAP LLLP</t>
  </si>
  <si>
    <t>BAUGH DANIEL W</t>
  </si>
  <si>
    <t>ARCENEAUX DAVID J</t>
  </si>
  <si>
    <t>EGGLESTON</t>
  </si>
  <si>
    <t>VERLA</t>
  </si>
  <si>
    <t>DAVID &amp; VERLA EGGLESTON</t>
  </si>
  <si>
    <t xml:space="preserve">7798 N 88TH LN </t>
  </si>
  <si>
    <t xml:space="preserve">16140 N ARROWHEAD FOUNTAINS CTR DR </t>
  </si>
  <si>
    <t>VAN NGUYEN NGUYEN DAVID</t>
  </si>
  <si>
    <t>SANTA ANA CA 927078788</t>
  </si>
  <si>
    <t>EGGLESTON DAVID S</t>
  </si>
  <si>
    <t>BAYCI</t>
  </si>
  <si>
    <t>AJA</t>
  </si>
  <si>
    <t>CHRISTOPHER &amp; AJA BAYCI</t>
  </si>
  <si>
    <t xml:space="preserve">19635 W LOWER BUCKEYE RD </t>
  </si>
  <si>
    <t>WHITE TANK CITRUS TR PLAT A</t>
  </si>
  <si>
    <t>CLEARWATER JEFFREY D</t>
  </si>
  <si>
    <t>BAYCI CHRISTOPHER M</t>
  </si>
  <si>
    <t>WAWRZYNIAK</t>
  </si>
  <si>
    <t>DOUGLAS &amp; NANCY WAWRZYNIAK</t>
  </si>
  <si>
    <t xml:space="preserve">3397 N ACACIA WAY </t>
  </si>
  <si>
    <t>VERRADO PARCEL 4.901</t>
  </si>
  <si>
    <t>KS ST BK</t>
  </si>
  <si>
    <t>DOUGLAS WAWRZYNIAK</t>
  </si>
  <si>
    <t>NANCY L WAWRZYNIAK</t>
  </si>
  <si>
    <t>JAMES &amp; KATHERINE SNYDER</t>
  </si>
  <si>
    <t xml:space="preserve">2910 E CANNON DR </t>
  </si>
  <si>
    <t>PARADISE VALLEY PALMS UNIT 4</t>
  </si>
  <si>
    <t>PARADISE VALLEY PALMS WEST</t>
  </si>
  <si>
    <t>YEWCHIN &amp; LARR LIVING TRUST</t>
  </si>
  <si>
    <t>SNYDER JAMES &amp; KATHERINE</t>
  </si>
  <si>
    <t>SANDBERG</t>
  </si>
  <si>
    <t>PETER SANDBERG</t>
  </si>
  <si>
    <t xml:space="preserve">20415 N 51ST DR </t>
  </si>
  <si>
    <t>ARROWHEAD LAKES UNIT 8B</t>
  </si>
  <si>
    <t>CORBAN GREGORY C &amp; SHERRY A</t>
  </si>
  <si>
    <t>OVERLAND PARK KS 66211</t>
  </si>
  <si>
    <t>SANDBERG PETER R</t>
  </si>
  <si>
    <t>ALASKA AIR GROUP CU</t>
  </si>
  <si>
    <t>SANDBERG PETER</t>
  </si>
  <si>
    <t>ALASKA AIRLINES/HORIZON A</t>
  </si>
  <si>
    <t>SEATAC WA 98188</t>
  </si>
  <si>
    <t>PETER R SANDBERG</t>
  </si>
  <si>
    <t>THAGGARD</t>
  </si>
  <si>
    <t>DARRE</t>
  </si>
  <si>
    <t>DON &amp; DARRE THAGGARD</t>
  </si>
  <si>
    <t xml:space="preserve">1838 E CORNELL DR </t>
  </si>
  <si>
    <t>ROBINSON KEVIN J</t>
  </si>
  <si>
    <t>THAGGARD DON T &amp; DARRE J</t>
  </si>
  <si>
    <t>TED &amp; CHERYL MILLER</t>
  </si>
  <si>
    <t xml:space="preserve">18949 E CHANDLER HEIGHTS RD </t>
  </si>
  <si>
    <t>RANCHOS JARDINES 2-B</t>
  </si>
  <si>
    <t>KUMPE CECIL &amp; DENISE TRUST</t>
  </si>
  <si>
    <t>MILLER TED G &amp; CHERYL A</t>
  </si>
  <si>
    <t>GERONIMO</t>
  </si>
  <si>
    <t>CAMPANILE</t>
  </si>
  <si>
    <t>GERONIMO CAMPANILE</t>
  </si>
  <si>
    <t xml:space="preserve">20967 W COURT ST </t>
  </si>
  <si>
    <t>VERRADO PARCEL 4.602</t>
  </si>
  <si>
    <t>EZ HOMES INC</t>
  </si>
  <si>
    <t>CAMPANLLE GERONIMO T</t>
  </si>
  <si>
    <t>BRELO</t>
  </si>
  <si>
    <t>BRITTA</t>
  </si>
  <si>
    <t>BRELO &amp; BRITTA LEE</t>
  </si>
  <si>
    <t xml:space="preserve">9424 N BROKEN BOW </t>
  </si>
  <si>
    <t>EAGLE MOUNTAIN PARCEL 6</t>
  </si>
  <si>
    <t>MEADOWS DAWN L</t>
  </si>
  <si>
    <t>GREAT PLAINS NAT'L BK</t>
  </si>
  <si>
    <t>BRELO WILLIAM G</t>
  </si>
  <si>
    <t>CERVANTES</t>
  </si>
  <si>
    <t>GEORGE &amp; MICHELLE CERVANTES</t>
  </si>
  <si>
    <t xml:space="preserve">28432 N 65TH LN </t>
  </si>
  <si>
    <t>PRESERVE AT BOULDER MOUNTAIN NORTH AMD</t>
  </si>
  <si>
    <t>PRESERVE AT BOULDER MOUNTAIN NORTH</t>
  </si>
  <si>
    <t>SWARTZ BARRY D &amp; HOLLY R</t>
  </si>
  <si>
    <t>CERVANTES GEORGE &amp; MICHELLE R</t>
  </si>
  <si>
    <t>WICK FAMILY LIVING TRUST</t>
  </si>
  <si>
    <t>WICK</t>
  </si>
  <si>
    <t xml:space="preserve">2046 E AVENIDA DEL SOL </t>
  </si>
  <si>
    <t xml:space="preserve">2046 E AVENTIDA DEL SOL </t>
  </si>
  <si>
    <t>MOUNTAINGATE NORTH</t>
  </si>
  <si>
    <t>TENNEY FAMILY LIVING TRUST</t>
  </si>
  <si>
    <t>WICK JASON</t>
  </si>
  <si>
    <t>MIKO NATALIE</t>
  </si>
  <si>
    <t>PITTS</t>
  </si>
  <si>
    <t>ANNIE</t>
  </si>
  <si>
    <t>JON &amp; ANNIE PITTS</t>
  </si>
  <si>
    <t xml:space="preserve">15651 W MONTECITO AVE </t>
  </si>
  <si>
    <t xml:space="preserve">880 ORLANDO CIR </t>
  </si>
  <si>
    <t>SUMTER</t>
  </si>
  <si>
    <t>SC</t>
  </si>
  <si>
    <t>MACHOLL CHRISTOPHER E</t>
  </si>
  <si>
    <t>PITTS JON A &amp; ANNIE K</t>
  </si>
  <si>
    <t>GUILLERMO</t>
  </si>
  <si>
    <t>ULLOA</t>
  </si>
  <si>
    <t>BESSY</t>
  </si>
  <si>
    <t>GUILLERMO &amp; BESSY ULLOA</t>
  </si>
  <si>
    <t xml:space="preserve">25822 N 122ND LN </t>
  </si>
  <si>
    <t>PLANO TX 75024</t>
  </si>
  <si>
    <t>ULLOA GUILLERMO A</t>
  </si>
  <si>
    <t>TAU</t>
  </si>
  <si>
    <t>RANDALL &amp; BETHANY TAU</t>
  </si>
  <si>
    <t xml:space="preserve">430 E JOSEPH WAY </t>
  </si>
  <si>
    <t>VINTAGE RANCH</t>
  </si>
  <si>
    <t>WARDLE JAMES M &amp; LORI N</t>
  </si>
  <si>
    <t>TAU RANDALL &amp; BETHANY</t>
  </si>
  <si>
    <t>BURKE</t>
  </si>
  <si>
    <t>DELONA</t>
  </si>
  <si>
    <t>WILLIAM &amp; DELONA BURKE</t>
  </si>
  <si>
    <t xml:space="preserve">859 W COOLEY DR </t>
  </si>
  <si>
    <t>KAUFMAN AND BROAD AT COOPER RANCH</t>
  </si>
  <si>
    <t>KIRLEY BARBARA E</t>
  </si>
  <si>
    <t>BURKE WILLIAM &amp; DELONA</t>
  </si>
  <si>
    <t>MAHAFFEY</t>
  </si>
  <si>
    <t>CLARK MAHAFFEY</t>
  </si>
  <si>
    <t xml:space="preserve">1559 E AZALEA DR </t>
  </si>
  <si>
    <t>HADDEN SCOT</t>
  </si>
  <si>
    <t>APRIL MAHAFFEY</t>
  </si>
  <si>
    <t>GALLARDO</t>
  </si>
  <si>
    <t>THOMAS &amp; JULIE GALLARDO</t>
  </si>
  <si>
    <t xml:space="preserve">1867 N 142ND AVE </t>
  </si>
  <si>
    <t>CAMELOT AT PALM VALLEY</t>
  </si>
  <si>
    <t>SOTO JORGE L &amp; JOEL</t>
  </si>
  <si>
    <t>GALLARDO THOMAS &amp; JULIE</t>
  </si>
  <si>
    <t>BANUELOS</t>
  </si>
  <si>
    <t>PENA DELA &amp; VERONICA BANUELOS</t>
  </si>
  <si>
    <t xml:space="preserve">3035 E WARBLER RD </t>
  </si>
  <si>
    <t>STRATLAND SHADOWS</t>
  </si>
  <si>
    <t>LI JAMES</t>
  </si>
  <si>
    <t>DE LA PENA JESSIE</t>
  </si>
  <si>
    <t>BANUELOS VERONICA</t>
  </si>
  <si>
    <t>PAPINEAU</t>
  </si>
  <si>
    <t>JOSEPH PAPINEAU</t>
  </si>
  <si>
    <t xml:space="preserve">6025 E HANNIBAL ST </t>
  </si>
  <si>
    <t>GOLDEN WEST 2 LOT 1-147</t>
  </si>
  <si>
    <t>GOLDEN WEST</t>
  </si>
  <si>
    <t>CRAIG GEORGE &amp; DONNA</t>
  </si>
  <si>
    <t>PAPINEAU JOSEPH D</t>
  </si>
  <si>
    <t>MID AMERICA MTG</t>
  </si>
  <si>
    <t>FLINT MI 48501</t>
  </si>
  <si>
    <t>JOSEPH D PAPINEAU</t>
  </si>
  <si>
    <t>SOPHIA</t>
  </si>
  <si>
    <t>RITO</t>
  </si>
  <si>
    <t>SOPHIA &amp; RITO TORRES</t>
  </si>
  <si>
    <t xml:space="preserve">2917 W MALDONADO RD </t>
  </si>
  <si>
    <t>LAVEEN VILLAGE AMD</t>
  </si>
  <si>
    <t>LAVEEN VILLAGE</t>
  </si>
  <si>
    <t>NGUYEN PHI</t>
  </si>
  <si>
    <t>TORRES RITO N &amp; SOPHIA J</t>
  </si>
  <si>
    <t>MONTEMORRA</t>
  </si>
  <si>
    <t>HARRY MONTEMORRA</t>
  </si>
  <si>
    <t xml:space="preserve">8560 E WATERFORD CIR </t>
  </si>
  <si>
    <t xml:space="preserve">PO BOX 249 </t>
  </si>
  <si>
    <t>QUEENS PARK LOT 1-49 &amp; TR A</t>
  </si>
  <si>
    <t>QUEENS PARK</t>
  </si>
  <si>
    <t>PACHECO INVS OF ARIZONA LLC</t>
  </si>
  <si>
    <t>MONTEMORRA HARRY R</t>
  </si>
  <si>
    <t>JOHN &amp; GINGER CARLSON</t>
  </si>
  <si>
    <t xml:space="preserve">700 N ASPEN DR </t>
  </si>
  <si>
    <t>PLACE AT GILA SPRINGS  LOT 1-58  TR A-E</t>
  </si>
  <si>
    <t>PLACE AT GILA SPRINGS</t>
  </si>
  <si>
    <t>BACON MICHAEL P &amp; JANET C</t>
  </si>
  <si>
    <t>JOHN D CARLSON</t>
  </si>
  <si>
    <t>GINGER A CARLSON</t>
  </si>
  <si>
    <t>KANE</t>
  </si>
  <si>
    <t>LUZ</t>
  </si>
  <si>
    <t>MARIANNE</t>
  </si>
  <si>
    <t>KANE &amp; MARIANNE LUZ</t>
  </si>
  <si>
    <t xml:space="preserve">12880 W PINNACLE VISTA DR </t>
  </si>
  <si>
    <t>PARSONS NORMAN &amp; LYNNE</t>
  </si>
  <si>
    <t>KANE CHRISTOPHER M &amp; MARIANNE LUZ</t>
  </si>
  <si>
    <t>WISHON</t>
  </si>
  <si>
    <t>GEORGE WISHON</t>
  </si>
  <si>
    <t xml:space="preserve">7554 W REDBIRD RD </t>
  </si>
  <si>
    <t>ROCK SPRINGS 2 PHASE 1</t>
  </si>
  <si>
    <t>WISHON GEORGE ALLEN</t>
  </si>
  <si>
    <t>WISHON GEORGE A</t>
  </si>
  <si>
    <t>HICKEY</t>
  </si>
  <si>
    <t>MICHAEL BENTON &amp; SHANNON HICKEY</t>
  </si>
  <si>
    <t xml:space="preserve">4501 W GUMINA AVE </t>
  </si>
  <si>
    <t>SIESTA VALLEY ESTATES</t>
  </si>
  <si>
    <t>HICKEY BARBARA J</t>
  </si>
  <si>
    <t>BENTON MICHAEL</t>
  </si>
  <si>
    <t>HICKEY SHANNON R</t>
  </si>
  <si>
    <t>STRAIGHT</t>
  </si>
  <si>
    <t>MISTI</t>
  </si>
  <si>
    <t>RICHARD &amp; MISTI STRAIGHT</t>
  </si>
  <si>
    <t xml:space="preserve">4204 W SHANNON ST </t>
  </si>
  <si>
    <t>PARK PROMENADE PARCEL 5</t>
  </si>
  <si>
    <t>PARK PROMENADE</t>
  </si>
  <si>
    <t>KYRENE DE LAS BRISAS SCHOOL</t>
  </si>
  <si>
    <t>BENZER TODD &amp; SUSAN</t>
  </si>
  <si>
    <t>STRAIGHT RICHARD L &amp; MISTI S</t>
  </si>
  <si>
    <t>SOMMER</t>
  </si>
  <si>
    <t>ROGER &amp; SOMMER JACKSON</t>
  </si>
  <si>
    <t xml:space="preserve">19960 E ALAMOSA DR </t>
  </si>
  <si>
    <t>LA JARA FARMS</t>
  </si>
  <si>
    <t>JACKSON ROGER</t>
  </si>
  <si>
    <t>ROGER JACKSON</t>
  </si>
  <si>
    <t>SOMMER JOHNSON</t>
  </si>
  <si>
    <t>CAMPING</t>
  </si>
  <si>
    <t>WALTER &amp; JUDITH CAMPING</t>
  </si>
  <si>
    <t xml:space="preserve">20114 N 92ND AVE </t>
  </si>
  <si>
    <t>FITZGERALD FAMILY TRUST</t>
  </si>
  <si>
    <t>WALTER L CAMPING</t>
  </si>
  <si>
    <t>JUDITH L CAMPING</t>
  </si>
  <si>
    <t>ARTI</t>
  </si>
  <si>
    <t>JAIN</t>
  </si>
  <si>
    <t>ARTI JAIN</t>
  </si>
  <si>
    <t xml:space="preserve">1745 E HOPE ST </t>
  </si>
  <si>
    <t xml:space="preserve">1745 E HOST ST </t>
  </si>
  <si>
    <t>CANDLELIGHT ESTATES</t>
  </si>
  <si>
    <t>BACKUS KENT R &amp; JUDY A TRUST</t>
  </si>
  <si>
    <t>BANKHEAD ADAM</t>
  </si>
  <si>
    <t>JAIN ARTI</t>
  </si>
  <si>
    <t>COPP</t>
  </si>
  <si>
    <t>DONALD COPP</t>
  </si>
  <si>
    <t xml:space="preserve">2802 E VISTA DR </t>
  </si>
  <si>
    <t>C088</t>
  </si>
  <si>
    <t>CIMARRON RIDGE UNIT 3 LOT 60-99</t>
  </si>
  <si>
    <t>CIMARRON RIDGE</t>
  </si>
  <si>
    <t>SMITH VICTORIA H &amp; JASON T</t>
  </si>
  <si>
    <t>COPP DONALD</t>
  </si>
  <si>
    <t>KY</t>
  </si>
  <si>
    <t>KY &amp; DEBORAH CHRISTIANSEN</t>
  </si>
  <si>
    <t xml:space="preserve">10365 E JAN AVE </t>
  </si>
  <si>
    <t>CRISMON CREEK UNIT 2</t>
  </si>
  <si>
    <t>CRISMON CREEK</t>
  </si>
  <si>
    <t>IZZO MEGAN K</t>
  </si>
  <si>
    <t>JAMES B NUTTER &amp; CO</t>
  </si>
  <si>
    <t>CHRISTIANSEN KY M &amp; DEBORAH A</t>
  </si>
  <si>
    <t>LAMOREAUX</t>
  </si>
  <si>
    <t>TERRY &amp; MELISSA LAMOREAUX</t>
  </si>
  <si>
    <t xml:space="preserve">7179 W RUE DE LAMOUR </t>
  </si>
  <si>
    <t>TIERRA NORTE</t>
  </si>
  <si>
    <t>TIERRA NORTE APARTMENTS</t>
  </si>
  <si>
    <t>ESTABROOK FAMILY TRUST</t>
  </si>
  <si>
    <t>TERRY L LAMOREAUX</t>
  </si>
  <si>
    <t>MELISSA LAMOREAUX</t>
  </si>
  <si>
    <t>KYLE &amp; CRYSTAL HENDERSON</t>
  </si>
  <si>
    <t xml:space="preserve">12538 W MINER TRL </t>
  </si>
  <si>
    <t>MARTIN WILLIAM A</t>
  </si>
  <si>
    <t>HENDERSON KYLE &amp; CRYSTAL</t>
  </si>
  <si>
    <t>LISHKO</t>
  </si>
  <si>
    <t>MARK &amp; BARBARA LISHKO</t>
  </si>
  <si>
    <t xml:space="preserve">7622 S OAK ST </t>
  </si>
  <si>
    <t>HAMILTON HOMES TEMPE LOT 1-82 TR A-D</t>
  </si>
  <si>
    <t>HAMILTON HOMES TEMPE</t>
  </si>
  <si>
    <t>SPRINGSTON KENNETH R</t>
  </si>
  <si>
    <t>ARIZONA BK&amp;TR</t>
  </si>
  <si>
    <t>LISHKO MARK S &amp; BARBARA T</t>
  </si>
  <si>
    <t>PAONE</t>
  </si>
  <si>
    <t>JONES &amp; MICHELLE PAONE</t>
  </si>
  <si>
    <t xml:space="preserve">12713 W LONE TREE TRL </t>
  </si>
  <si>
    <t>VISTANCIA VILLAGE A PARCEL A36</t>
  </si>
  <si>
    <t>SANDSTONE PASS</t>
  </si>
  <si>
    <t>POSEY CHARLES A</t>
  </si>
  <si>
    <t>JONES MARK E &amp; MICHELLE N P</t>
  </si>
  <si>
    <t>CORRELL</t>
  </si>
  <si>
    <t>JON &amp; ELISA CORRELL</t>
  </si>
  <si>
    <t xml:space="preserve">21275 E RUSSET RD </t>
  </si>
  <si>
    <t>NAUVOO STATION</t>
  </si>
  <si>
    <t>NAUVOO STATION LLC</t>
  </si>
  <si>
    <t>CORRELL JON M &amp; ELISA M</t>
  </si>
  <si>
    <t>NICHOLS DANNY ROBERT &amp; USA</t>
  </si>
  <si>
    <t xml:space="preserve">5528 W MINE TRL </t>
  </si>
  <si>
    <t>OVERVIG BRIAN J</t>
  </si>
  <si>
    <t>NICHOLS DANNY R &amp; USA</t>
  </si>
  <si>
    <t>COREY</t>
  </si>
  <si>
    <t>COREY PETERSON</t>
  </si>
  <si>
    <t xml:space="preserve">5402 E SANDRA TER </t>
  </si>
  <si>
    <t>CONTINENTAL FOOTHILLS LOT 1-143</t>
  </si>
  <si>
    <t>CONTINENTAL FOOTHILLS</t>
  </si>
  <si>
    <t>NORTH RANCH ELEMENTARY SCHOOL</t>
  </si>
  <si>
    <t>HEBERT SANDRA</t>
  </si>
  <si>
    <t>PETERSON COREY J</t>
  </si>
  <si>
    <t>KLEIN</t>
  </si>
  <si>
    <t>DANIEL KLEIN</t>
  </si>
  <si>
    <t xml:space="preserve">2428 S LENNOX </t>
  </si>
  <si>
    <t>SUPERSTITION POINT</t>
  </si>
  <si>
    <t>EILTS JAMES</t>
  </si>
  <si>
    <t>DANIEL J KLEIN</t>
  </si>
  <si>
    <t>HURBAN</t>
  </si>
  <si>
    <t>YAN</t>
  </si>
  <si>
    <t>JOHN HURBAN &amp; YAN CHEN</t>
  </si>
  <si>
    <t xml:space="preserve">2613 E AMBER RIDGE WAY </t>
  </si>
  <si>
    <t>MOUNTAIN PARK RANCH UNIT 39 LOT 1-135 TR</t>
  </si>
  <si>
    <t>FRY DAVID L</t>
  </si>
  <si>
    <t>HURBAN JOHN R</t>
  </si>
  <si>
    <t>CHEN YAN</t>
  </si>
  <si>
    <t>LYDIA</t>
  </si>
  <si>
    <t>VERNON &amp; LYDIA SMITH</t>
  </si>
  <si>
    <t xml:space="preserve">5501 E ELLIS ST </t>
  </si>
  <si>
    <t>SILVERADO 2 LOT 121-241 TR A B D</t>
  </si>
  <si>
    <t>SILVERADO II AT ALTA MESA</t>
  </si>
  <si>
    <t>ATTEBERRY DAVID</t>
  </si>
  <si>
    <t>SMITH VERNON P &amp; LYDIA M</t>
  </si>
  <si>
    <t>TOMSA</t>
  </si>
  <si>
    <t>WILLIAM &amp; GLORIA TOMSA</t>
  </si>
  <si>
    <t xml:space="preserve">15247 W REDFIELD RD </t>
  </si>
  <si>
    <t>FEHR BILL &amp; DONNA</t>
  </si>
  <si>
    <t>TOMSA WILLIAM J &amp; GLORIA L</t>
  </si>
  <si>
    <t>SEAN &amp; AMANDA STEVENS</t>
  </si>
  <si>
    <t xml:space="preserve">4873 W KESLER LN </t>
  </si>
  <si>
    <t>PARK AT TWELVE OAKS UNIT ONE AMD LT1-145</t>
  </si>
  <si>
    <t>PARK AT TWELVE OAKS</t>
  </si>
  <si>
    <t>LEGLER MICHAEL K</t>
  </si>
  <si>
    <t>STEVENS SEAN M</t>
  </si>
  <si>
    <t>SMOOT</t>
  </si>
  <si>
    <t>DONALD &amp; DIANE SMOOT</t>
  </si>
  <si>
    <t xml:space="preserve">11128 E SOMBRA AVE </t>
  </si>
  <si>
    <t>MOUNTAIN HORIZONS UNIT 8</t>
  </si>
  <si>
    <t>OROZCO BALTAZAR</t>
  </si>
  <si>
    <t>SMOOT DONALD E</t>
  </si>
  <si>
    <t>TILLMAN</t>
  </si>
  <si>
    <t>KANDI</t>
  </si>
  <si>
    <t>KEVIN &amp; KANDI TILLMAN</t>
  </si>
  <si>
    <t xml:space="preserve">20832 W WERNER PL </t>
  </si>
  <si>
    <t>LUCE ROBERT</t>
  </si>
  <si>
    <t>TILLMAN KEVIN</t>
  </si>
  <si>
    <t>DAVID RICHARDSON</t>
  </si>
  <si>
    <t xml:space="preserve">3546 E SANTA FE LN </t>
  </si>
  <si>
    <t>SAN TAN RANCH PARCEL 9</t>
  </si>
  <si>
    <t>WECK CALVIN R</t>
  </si>
  <si>
    <t>RICHARDSON DAVID &amp; STEPHANIE A</t>
  </si>
  <si>
    <t>DAVID AGUILAR &amp; LORENA RODRIGUEZ</t>
  </si>
  <si>
    <t xml:space="preserve">15968 W CYPRESS ST </t>
  </si>
  <si>
    <t>AGUILAR DAVID A</t>
  </si>
  <si>
    <t>RODRIGUEZ LORENA</t>
  </si>
  <si>
    <t>KAUTH</t>
  </si>
  <si>
    <t>LOURDES</t>
  </si>
  <si>
    <t>RICHARD &amp; LOURDES KAUTH</t>
  </si>
  <si>
    <t xml:space="preserve">17804 W WINDROSE DR </t>
  </si>
  <si>
    <t>KAUTH RICHARD &amp; LOURDES</t>
  </si>
  <si>
    <t>JOSE &amp; AMY PEREZ</t>
  </si>
  <si>
    <t xml:space="preserve">19873 E THORNTON RD </t>
  </si>
  <si>
    <t>SHARROW TRUST</t>
  </si>
  <si>
    <t>PEREZ JOSE J</t>
  </si>
  <si>
    <t>ILLIES LIVING TRUST</t>
  </si>
  <si>
    <t>ILLIES</t>
  </si>
  <si>
    <t xml:space="preserve">17821 W SUMMIT DR </t>
  </si>
  <si>
    <t>ESTRELLA PARCEL 34</t>
  </si>
  <si>
    <t>RICHARDS JAMES</t>
  </si>
  <si>
    <t>ILLIES DOUGLAS C &amp; LINDA J</t>
  </si>
  <si>
    <t>KELLI</t>
  </si>
  <si>
    <t>KELLI &amp; DONALD CURTIS</t>
  </si>
  <si>
    <t xml:space="preserve">1411 E BLUE WASH RD </t>
  </si>
  <si>
    <t>TUTTLE DAVID P &amp; MARY A</t>
  </si>
  <si>
    <t>CURTIS KELLI S &amp; DONALD R JR</t>
  </si>
  <si>
    <t>CURTIS KELLI S</t>
  </si>
  <si>
    <t>CURTIS JR DONALD R</t>
  </si>
  <si>
    <t>MARIO</t>
  </si>
  <si>
    <t>MARIO &amp; RITA LOPEZ</t>
  </si>
  <si>
    <t xml:space="preserve">2415 S 199TH AVE </t>
  </si>
  <si>
    <t>KEENE DENVER S</t>
  </si>
  <si>
    <t>LOPEZ MARIO &amp; RITA</t>
  </si>
  <si>
    <t>TIMOTHY MCNEIL &amp; DANA MATTHEWS</t>
  </si>
  <si>
    <t xml:space="preserve">9188 W HAPPY VALLEY RD </t>
  </si>
  <si>
    <t>COFFEY FAMILY LIVING TRUST</t>
  </si>
  <si>
    <t>MCNEIL TIMOTHY P</t>
  </si>
  <si>
    <t>MATTHEWS DANA M</t>
  </si>
  <si>
    <t>ELLIS</t>
  </si>
  <si>
    <t>WHITEHEAD</t>
  </si>
  <si>
    <t>HYE</t>
  </si>
  <si>
    <t>ELLIS &amp; HYE WHITEHEAD</t>
  </si>
  <si>
    <t xml:space="preserve">27550 N 86TH LN </t>
  </si>
  <si>
    <t>WESTWING MOUNTAIN PARCEL 14 AMD</t>
  </si>
  <si>
    <t>JOHNSON JOSEPH L</t>
  </si>
  <si>
    <t>WHITEHEAD ELLIS H &amp; HYE K</t>
  </si>
  <si>
    <t>HEDGER</t>
  </si>
  <si>
    <t>CHILEN</t>
  </si>
  <si>
    <t>JAMES HEDGER &amp; KRISTEN CHILEN</t>
  </si>
  <si>
    <t xml:space="preserve">992 N WREN DR </t>
  </si>
  <si>
    <t>GROVES AT SUPERSTITION RANCH REPLAT</t>
  </si>
  <si>
    <t>GROVES AT SUPERSTITION RANCH</t>
  </si>
  <si>
    <t>BURKINSHAW GAIL A &amp; LENNA R</t>
  </si>
  <si>
    <t>HEDGER JAMES J</t>
  </si>
  <si>
    <t>CHILEN KRISTEN N</t>
  </si>
  <si>
    <t>REESE</t>
  </si>
  <si>
    <t>JAMES &amp; JENNIFER REESE</t>
  </si>
  <si>
    <t xml:space="preserve">4061 E HOPE ST </t>
  </si>
  <si>
    <t>ESTATES GROVES UNIT 2 LOT 57-137</t>
  </si>
  <si>
    <t>THE ESTATE GROVES</t>
  </si>
  <si>
    <t>STEEL FAMILY TRUST</t>
  </si>
  <si>
    <t>REESE JAMES &amp; JENNIFER</t>
  </si>
  <si>
    <t>SCRUGGS</t>
  </si>
  <si>
    <t>LAWRENCE &amp; ELAINE SCRUGGS</t>
  </si>
  <si>
    <t xml:space="preserve">21656 N 58TH DR </t>
  </si>
  <si>
    <t>ARROWHEAD LAKES 1 REPLAT LT 1-204 A-H J-</t>
  </si>
  <si>
    <t>NOOROLLAH TRUST</t>
  </si>
  <si>
    <t>SCRUGGS LAWRENCE A &amp; ELAINE M</t>
  </si>
  <si>
    <t>KRISTOPHER</t>
  </si>
  <si>
    <t>LEHNEN</t>
  </si>
  <si>
    <t>TAWNYA</t>
  </si>
  <si>
    <t>KRISTOPHER &amp; TAWNYA LEHNEN</t>
  </si>
  <si>
    <t xml:space="preserve">28717 N 139TH PL </t>
  </si>
  <si>
    <t>GLEASON JUDITH L</t>
  </si>
  <si>
    <t>LEHNEN KRISTOPHER J &amp; TAWNYA K</t>
  </si>
  <si>
    <t>DREHER</t>
  </si>
  <si>
    <t>DREHER &amp; RONDA MARIE</t>
  </si>
  <si>
    <t xml:space="preserve">7420 W PALO BREA LN </t>
  </si>
  <si>
    <t>SONORAN MOUNTAIN RANCH PARCEL 15</t>
  </si>
  <si>
    <t>FARCAS ALEX &amp; MELANIE E</t>
  </si>
  <si>
    <t>DREHER MICHAEL G &amp; RONDA M</t>
  </si>
  <si>
    <t>LOVELACE</t>
  </si>
  <si>
    <t>PETER &amp; MELISSA LOVELACE</t>
  </si>
  <si>
    <t xml:space="preserve">5212 S 22ND WAY </t>
  </si>
  <si>
    <t>C092</t>
  </si>
  <si>
    <t>COPPER LEAF DEVELOPMENT UNIT 2</t>
  </si>
  <si>
    <t>COPPER LEAF DEVELOPMENT CONDOMINIUMS</t>
  </si>
  <si>
    <t>ROLLINS TIMOTHY A</t>
  </si>
  <si>
    <t>LOVELACE PETER E &amp; MELISSA</t>
  </si>
  <si>
    <t>MACY</t>
  </si>
  <si>
    <t>JEREMIAH &amp; MACY THOMPSON</t>
  </si>
  <si>
    <t xml:space="preserve">9235 W SALTER DR </t>
  </si>
  <si>
    <t>DOVE VALLEY RANCH PARCEL 2D</t>
  </si>
  <si>
    <t>HUNT JEFFREY T &amp; L J TRUST</t>
  </si>
  <si>
    <t>JEREMIAH THOMPSON</t>
  </si>
  <si>
    <t>MACY L THOMPSON</t>
  </si>
  <si>
    <t>NOBLE</t>
  </si>
  <si>
    <t>KENNETH &amp; ELIZABETH NOBLE</t>
  </si>
  <si>
    <t xml:space="preserve">11004 W WIKIEUP LN </t>
  </si>
  <si>
    <t>SOUTHBAY AT VENTANA LAKES UNIT 2</t>
  </si>
  <si>
    <t>SOUTHBAY AT VENTANA LAKES</t>
  </si>
  <si>
    <t>LUTZ FAMILY TRUST</t>
  </si>
  <si>
    <t>NOBLE KENNETH W &amp; ELIZABETH A</t>
  </si>
  <si>
    <t>RYAN FOWLER</t>
  </si>
  <si>
    <t xml:space="preserve">18322 W MARCONI AVE </t>
  </si>
  <si>
    <t>FOWLER RYAN C</t>
  </si>
  <si>
    <t>CEYNAR</t>
  </si>
  <si>
    <t>RICHARD &amp; KAY CEYNAR</t>
  </si>
  <si>
    <t xml:space="preserve">21184 E CAMINA PLATA </t>
  </si>
  <si>
    <t>RICHARD H CEYNAR</t>
  </si>
  <si>
    <t>KAY E CEYNAR</t>
  </si>
  <si>
    <t>TIMOTHY A DAVIS LIV TR &amp; GLORIA BEHRINGER TR</t>
  </si>
  <si>
    <t>TIMOTHY LIV</t>
  </si>
  <si>
    <t xml:space="preserve">908 S POWER RD #1396 </t>
  </si>
  <si>
    <t xml:space="preserve">1222 144TH ST SE </t>
  </si>
  <si>
    <t>MILL CREEK</t>
  </si>
  <si>
    <t>WA</t>
  </si>
  <si>
    <t>LEISURE WORLD PLAT 12 LOT 1100-1404 &amp; TR</t>
  </si>
  <si>
    <t>CHRISTIANSEN MATTHEW G</t>
  </si>
  <si>
    <t>DAVIS TIMOTHY A &amp; GLORIA J</t>
  </si>
  <si>
    <t>JOHN &amp; MARY LEE</t>
  </si>
  <si>
    <t xml:space="preserve">14818 N BOLIVAR DR </t>
  </si>
  <si>
    <t>SUN CITY 25A</t>
  </si>
  <si>
    <t>BIERZGALSKI MARTHA M</t>
  </si>
  <si>
    <t>LEE JOHN M &amp; MARY C</t>
  </si>
  <si>
    <t>CARL &amp; JENNIFER PARKER</t>
  </si>
  <si>
    <t xml:space="preserve">21139 E VIA DEL RANCHO </t>
  </si>
  <si>
    <t>VILLAGES AT QUEEN CREEK PARCEL 6A</t>
  </si>
  <si>
    <t>PARKER BRIAN</t>
  </si>
  <si>
    <t>PARKER CARL J &amp; JENNIFER C</t>
  </si>
  <si>
    <t>TIANEN</t>
  </si>
  <si>
    <t>DONALD &amp; RACHEL TIANEN</t>
  </si>
  <si>
    <t xml:space="preserve">6330 S TOURNAMENT LN </t>
  </si>
  <si>
    <t>SUNBIRD  3A LOT 1-67 TR A-C</t>
  </si>
  <si>
    <t>THOMPSON DOUGLAS W</t>
  </si>
  <si>
    <t>TIANEN DONALD</t>
  </si>
  <si>
    <t>PATITSAS</t>
  </si>
  <si>
    <t>BRYAN PATITSAS</t>
  </si>
  <si>
    <t xml:space="preserve">595 W LA DONNA DR </t>
  </si>
  <si>
    <t>PEPPERWOOD UNIT 7 LOT 389-492 TR A-E</t>
  </si>
  <si>
    <t>PEPPERWOOD</t>
  </si>
  <si>
    <t>SCHICK GUSTAV S &amp; ANTHEA E</t>
  </si>
  <si>
    <t>PATITSAS BRYAN</t>
  </si>
  <si>
    <t>ELKS</t>
  </si>
  <si>
    <t>HAROLD &amp; JANET ELKS</t>
  </si>
  <si>
    <t xml:space="preserve">16056 W POINSETTIA DR </t>
  </si>
  <si>
    <t>HAROLD H ELKS</t>
  </si>
  <si>
    <t>JANET T ELKS</t>
  </si>
  <si>
    <t>GILLHAMER</t>
  </si>
  <si>
    <t>HOWARD &amp; SELENA GILLHAMER</t>
  </si>
  <si>
    <t xml:space="preserve">17383 W COYOTE TRAIL DR </t>
  </si>
  <si>
    <t>ZAZAI HOLDING INC</t>
  </si>
  <si>
    <t>GILLHAMER HOWARD</t>
  </si>
  <si>
    <t>OLIVAS</t>
  </si>
  <si>
    <t>SAMUEL OLIVAS</t>
  </si>
  <si>
    <t xml:space="preserve">2346 W BRANHAM LN </t>
  </si>
  <si>
    <t>GONZALES FRANCES V</t>
  </si>
  <si>
    <t>OLIVAS SAMUEL A</t>
  </si>
  <si>
    <t>MARK KERR</t>
  </si>
  <si>
    <t xml:space="preserve">18436 W SHASTA ST </t>
  </si>
  <si>
    <t>ESTRELLA MOUNTAIN RANCH PARCEL 98</t>
  </si>
  <si>
    <t>SISK JULIE</t>
  </si>
  <si>
    <t>KERR MARK E</t>
  </si>
  <si>
    <t>JUSTINO</t>
  </si>
  <si>
    <t>AGRINSONI</t>
  </si>
  <si>
    <t>JUSTINO AGRINSONI</t>
  </si>
  <si>
    <t xml:space="preserve">16622 N 20TH ST </t>
  </si>
  <si>
    <t>PARADISE PARKE</t>
  </si>
  <si>
    <t>OK 2014 LLC</t>
  </si>
  <si>
    <t>AGRINSONI JUSTINO M</t>
  </si>
  <si>
    <t>ESPARZA</t>
  </si>
  <si>
    <t>ROBERT &amp; JUANITA ESPARZA</t>
  </si>
  <si>
    <t xml:space="preserve">11602 W JEFFERSON ST </t>
  </si>
  <si>
    <t>COLDWATER SPRINGS PARCEL 29</t>
  </si>
  <si>
    <t>ARP PHOENIX FUND I LP</t>
  </si>
  <si>
    <t>ROBERT ESPARZA</t>
  </si>
  <si>
    <t>JUANITA ESPARZA</t>
  </si>
  <si>
    <t>HEISS FAMILY TRUST</t>
  </si>
  <si>
    <t>HEISS</t>
  </si>
  <si>
    <t xml:space="preserve">18336 W SAGUARO LN </t>
  </si>
  <si>
    <t>HEISS CRAIG T &amp; JANET M</t>
  </si>
  <si>
    <t>KRUGER</t>
  </si>
  <si>
    <t>MATTHEW &amp; MARTHA KRUGER</t>
  </si>
  <si>
    <t xml:space="preserve">24828 W WEDGEWOOD AVE </t>
  </si>
  <si>
    <t>KRUGER MATTHEW</t>
  </si>
  <si>
    <t>FAGA MARTHA</t>
  </si>
  <si>
    <t>DEPAUW</t>
  </si>
  <si>
    <t>BEATRICE</t>
  </si>
  <si>
    <t>ANTHONY &amp; BEATRICE DEPAUW</t>
  </si>
  <si>
    <t xml:space="preserve">4101 W WILLOW AVE </t>
  </si>
  <si>
    <t>WESTCLIFF PARK 4  LOT 223-271</t>
  </si>
  <si>
    <t>WESTCLIFF PARK</t>
  </si>
  <si>
    <t>ARENZ JOHN &amp; LAURA</t>
  </si>
  <si>
    <t>DEPAUW ANTHONY J &amp; BEATRICE D</t>
  </si>
  <si>
    <t>DE COSTE FAMILY TRUST</t>
  </si>
  <si>
    <t>DECOSTE</t>
  </si>
  <si>
    <t xml:space="preserve">2594 N 162ND LN </t>
  </si>
  <si>
    <t>PEBBLECREEK PHASE 2 UNIT 31</t>
  </si>
  <si>
    <t>BROWN DAVID J &amp; J P TRUST</t>
  </si>
  <si>
    <t>DONALD L DE COSTE JR</t>
  </si>
  <si>
    <t>RYAN CARTER</t>
  </si>
  <si>
    <t xml:space="preserve">3505 S SENECA WAY </t>
  </si>
  <si>
    <t>WEEMS JOHN</t>
  </si>
  <si>
    <t>WESLEND FIN'L</t>
  </si>
  <si>
    <t>RYAN W CARTER</t>
  </si>
  <si>
    <t>BARTHEL</t>
  </si>
  <si>
    <t>WEGLER-BARTHEL</t>
  </si>
  <si>
    <t>KEVIN BARTHEL &amp; STEPHANIE WEGLER-BARTHEL</t>
  </si>
  <si>
    <t xml:space="preserve">9014 W RUTH AVE </t>
  </si>
  <si>
    <t>BARTHEL KEVIN R</t>
  </si>
  <si>
    <t>WEGLER-BARTHEL STEPHANIE K</t>
  </si>
  <si>
    <t>BOGER</t>
  </si>
  <si>
    <t>DAVID &amp; VALERIE BOGER</t>
  </si>
  <si>
    <t xml:space="preserve">10631 W JONES AVE </t>
  </si>
  <si>
    <t>BOGER DAVID &amp; VALERIE</t>
  </si>
  <si>
    <t>RUDY</t>
  </si>
  <si>
    <t>RUDY LOPEZ</t>
  </si>
  <si>
    <t xml:space="preserve">8766 W OCOTILLO RD </t>
  </si>
  <si>
    <t xml:space="preserve">87966 W OCOTILLO RD </t>
  </si>
  <si>
    <t>WEST PLAZA 31 &amp; 32 AMD LOT 1-608 TR A-C</t>
  </si>
  <si>
    <t>DESERT MIRAGE ELEMENTARY SCHOOL</t>
  </si>
  <si>
    <t>ROGERS MICHAEL</t>
  </si>
  <si>
    <t>LOPEZ RUDY</t>
  </si>
  <si>
    <t>JUSTIN &amp; RACHEL COOPER</t>
  </si>
  <si>
    <t xml:space="preserve">7665 E CONTESSA ST </t>
  </si>
  <si>
    <t>ADOBE HILLS OF MESA</t>
  </si>
  <si>
    <t>SINGH JASKARAN</t>
  </si>
  <si>
    <t>COOPER JUSTIN S</t>
  </si>
  <si>
    <t>MARIBETH</t>
  </si>
  <si>
    <t>ROBERT &amp; MARIBETH MCGOWAN</t>
  </si>
  <si>
    <t xml:space="preserve">6811 S 45TH AVE </t>
  </si>
  <si>
    <t>ROGERS RANCH UNIT 3</t>
  </si>
  <si>
    <t>HOWELL SUZANNE</t>
  </si>
  <si>
    <t>MCGOWAN ROBERT S</t>
  </si>
  <si>
    <t>VOORDE</t>
  </si>
  <si>
    <t>VOORDE &amp; CLAUDIA VANDE</t>
  </si>
  <si>
    <t xml:space="preserve">23653 S 213TH ST </t>
  </si>
  <si>
    <t>STEARNS LNDG INC</t>
  </si>
  <si>
    <t>VANDE VOORDE DARREN</t>
  </si>
  <si>
    <t>DYER</t>
  </si>
  <si>
    <t>RANDY DYER</t>
  </si>
  <si>
    <t xml:space="preserve">9510 E OSAGE AVE </t>
  </si>
  <si>
    <t>MALDONADO ANA M</t>
  </si>
  <si>
    <t>DYER RANDY F</t>
  </si>
  <si>
    <t>GIL</t>
  </si>
  <si>
    <t>ROMAN</t>
  </si>
  <si>
    <t>ELVIA</t>
  </si>
  <si>
    <t>GIL &amp; ELVIA ROMAN</t>
  </si>
  <si>
    <t xml:space="preserve">16822 W PORTLAND ST </t>
  </si>
  <si>
    <t>ROMAN GIL &amp; ELVIA</t>
  </si>
  <si>
    <t>BUSCHEL</t>
  </si>
  <si>
    <t>JAMIE BUSCHEL</t>
  </si>
  <si>
    <t xml:space="preserve">338 N 103RD ST </t>
  </si>
  <si>
    <t xml:space="preserve">PO BOX 7887 </t>
  </si>
  <si>
    <t>SUPERSTITION VIEW ESTATES</t>
  </si>
  <si>
    <t>SNOOP HEATHER</t>
  </si>
  <si>
    <t>JAMIE J BUSCHEL</t>
  </si>
  <si>
    <t>GWENDOLYN HALL</t>
  </si>
  <si>
    <t xml:space="preserve">14974 W SHAW BUTTE DR </t>
  </si>
  <si>
    <t>WYATT DARRYL L &amp; BELINDA</t>
  </si>
  <si>
    <t>HALL GWENDOLYN F</t>
  </si>
  <si>
    <t>CHRIS &amp; BARBARA ORTIZ</t>
  </si>
  <si>
    <t xml:space="preserve">16160 W PAPAGO ST </t>
  </si>
  <si>
    <t xml:space="preserve">PO BOX 2109 </t>
  </si>
  <si>
    <t>GLENMONT ESTATES</t>
  </si>
  <si>
    <t>EVANICKI BRETT J</t>
  </si>
  <si>
    <t>ORTIZ CHRIS &amp; BARBARA</t>
  </si>
  <si>
    <t>ALBERT MORENO</t>
  </si>
  <si>
    <t xml:space="preserve">1212 E BRUCE AVE </t>
  </si>
  <si>
    <t>LAKEVIEW TERRACE AT WIND DRIFT</t>
  </si>
  <si>
    <t>RODRIGUEZ W A &amp; Y W TRUST</t>
  </si>
  <si>
    <t>MORENO ALBERT F</t>
  </si>
  <si>
    <t>VOELKEL</t>
  </si>
  <si>
    <t>CHARLES &amp; SHERRY VOELKEL</t>
  </si>
  <si>
    <t xml:space="preserve">1520 E CYPRESS ST </t>
  </si>
  <si>
    <t>CYPRESS PLACE LOT 1-19</t>
  </si>
  <si>
    <t>CYPRESS PLACE</t>
  </si>
  <si>
    <t>COHEN LINDA J</t>
  </si>
  <si>
    <t>VOELKEL CHARLES</t>
  </si>
  <si>
    <t>THOMPSON MARJORIE D LIVING TRU</t>
  </si>
  <si>
    <t>D THOMPSONMARJORIE</t>
  </si>
  <si>
    <t xml:space="preserve">9322 W DREYFUS DR </t>
  </si>
  <si>
    <t>THOMPSON MARJORIE D</t>
  </si>
  <si>
    <t>COOKS</t>
  </si>
  <si>
    <t>JACKIE &amp; NATALIE COOKS</t>
  </si>
  <si>
    <t xml:space="preserve">3030 W LYNNE LN </t>
  </si>
  <si>
    <t>LAVEEN VILLAGE 3</t>
  </si>
  <si>
    <t>COOKS JACKIE J &amp; NATALIE N</t>
  </si>
  <si>
    <t>JULIAN &amp; STEPHANIE CASTILLO</t>
  </si>
  <si>
    <t xml:space="preserve">9837 S 45TH PL </t>
  </si>
  <si>
    <t>CAMBRIDGE HEIGHTS UNIT 3 LOT 1-54 TR A</t>
  </si>
  <si>
    <t>CAMBRIDGE HEIGHTS</t>
  </si>
  <si>
    <t>JOHNSON GREGORY</t>
  </si>
  <si>
    <t>CASTILLO JULIAN</t>
  </si>
  <si>
    <t>WENTE</t>
  </si>
  <si>
    <t>CHERYL WENTE</t>
  </si>
  <si>
    <t xml:space="preserve">4370 E SANDIA ST </t>
  </si>
  <si>
    <t>AHWATUKEE FTV 1 5801-5840 TR S</t>
  </si>
  <si>
    <t>KING JAMES P</t>
  </si>
  <si>
    <t>WENTE CHERYL L</t>
  </si>
  <si>
    <t>MARONEY</t>
  </si>
  <si>
    <t>PAUL &amp; JUNE MARONEY</t>
  </si>
  <si>
    <t xml:space="preserve">12622 W EVENINGSIDE DR </t>
  </si>
  <si>
    <t>SUN CITY WEST 19  LOT 1-419 TR A-D</t>
  </si>
  <si>
    <t>IRONS TRUST</t>
  </si>
  <si>
    <t>PAUL J MARONEY</t>
  </si>
  <si>
    <t>JUNE C MARONEY</t>
  </si>
  <si>
    <t>LEEDS</t>
  </si>
  <si>
    <t>TAYLOR &amp; KATHERINE LEEDS</t>
  </si>
  <si>
    <t xml:space="preserve">321 E ASPEN WAY </t>
  </si>
  <si>
    <t>BRECKENRIDGE MANOR  LOT 1-57 TR A B</t>
  </si>
  <si>
    <t>BRECKENRIDGE MANOR</t>
  </si>
  <si>
    <t>WATSON CHRISTOPHER J &amp; JIHAE</t>
  </si>
  <si>
    <t>LEEDS TAYLOR L &amp; KATHERINE E</t>
  </si>
  <si>
    <t>GLEN</t>
  </si>
  <si>
    <t>MUSSER</t>
  </si>
  <si>
    <t>DOLORES</t>
  </si>
  <si>
    <t>GLEN &amp; DOLORES MUSSER</t>
  </si>
  <si>
    <t xml:space="preserve">1215 W COLTER ST </t>
  </si>
  <si>
    <t>CHRIS GILGIANS CAMELBACK VILLAGE UNIT 3</t>
  </si>
  <si>
    <t>CAMELBACK VILLAGE</t>
  </si>
  <si>
    <t>SOLANO SCHOOL</t>
  </si>
  <si>
    <t>J &amp; G STRATEGIC INVS LLC</t>
  </si>
  <si>
    <t>MUSSER GLEN &amp; DOLORES</t>
  </si>
  <si>
    <t>GLEN MUSSER</t>
  </si>
  <si>
    <t>DOLORES MUSSER</t>
  </si>
  <si>
    <t>GILL</t>
  </si>
  <si>
    <t>JOSEPH &amp; PENNY GILL</t>
  </si>
  <si>
    <t xml:space="preserve">15170 W CORRINE DR </t>
  </si>
  <si>
    <t>GILL JOSEPH R</t>
  </si>
  <si>
    <t>DANIEL BARRON</t>
  </si>
  <si>
    <t xml:space="preserve">12017 W CALLE HERMOSA LN </t>
  </si>
  <si>
    <t>BARRON DANIEL M</t>
  </si>
  <si>
    <t>DROZD</t>
  </si>
  <si>
    <t>AURILEE</t>
  </si>
  <si>
    <t>WILLIAM &amp; AURILEE DROZD</t>
  </si>
  <si>
    <t xml:space="preserve">24428 S BOXWOOD DR </t>
  </si>
  <si>
    <t>SUN LAKES 27  LOT 1-265 TR A-H &amp; PRIVATE</t>
  </si>
  <si>
    <t>TAILLEFER LARRY G</t>
  </si>
  <si>
    <t>DROZD WILLIAM J</t>
  </si>
  <si>
    <t>ENNIS</t>
  </si>
  <si>
    <t>ENNIS &amp; TRACI JO</t>
  </si>
  <si>
    <t xml:space="preserve">549 N 158TH DR </t>
  </si>
  <si>
    <t>ENNIS HAROLD G</t>
  </si>
  <si>
    <t>HAYWARD</t>
  </si>
  <si>
    <t>BLANCA</t>
  </si>
  <si>
    <t>HAYWARD &amp; BLANCA WHITE</t>
  </si>
  <si>
    <t xml:space="preserve">3292 E BOSTON ST </t>
  </si>
  <si>
    <t>PRITCHETT ERIC W &amp; SHANNON</t>
  </si>
  <si>
    <t>WHITE HAYWARD</t>
  </si>
  <si>
    <t>REX</t>
  </si>
  <si>
    <t>MADDEN</t>
  </si>
  <si>
    <t>COMER</t>
  </si>
  <si>
    <t>REX MADDEN &amp; DAWN COMER</t>
  </si>
  <si>
    <t xml:space="preserve">19104 E VIA DEL VERDE </t>
  </si>
  <si>
    <t>RANCHOS JARDINES 1</t>
  </si>
  <si>
    <t>HOLLIBAUGH LEE &amp; JACKLYN</t>
  </si>
  <si>
    <t>MADDEN REX</t>
  </si>
  <si>
    <t>COMER DAWN M</t>
  </si>
  <si>
    <t>BRUCE &amp; MICHELLE READ</t>
  </si>
  <si>
    <t xml:space="preserve">13784 W COUNTRY GABLES DR </t>
  </si>
  <si>
    <t>LITCHFIELD MANOR PARCELS 1 2 AND 3</t>
  </si>
  <si>
    <t>ALB ENTS LLLP</t>
  </si>
  <si>
    <t>READ BRUCE R &amp; MICHELLE A</t>
  </si>
  <si>
    <t>ARMANDO RUIZ</t>
  </si>
  <si>
    <t xml:space="preserve">1540 E SAN MIGUEL AVE </t>
  </si>
  <si>
    <t>NIXON SQUARE 2</t>
  </si>
  <si>
    <t>NIXON SQUARE</t>
  </si>
  <si>
    <t>GILLROY-GILL KELLEY A</t>
  </si>
  <si>
    <t>RUIZ ARMANDO</t>
  </si>
  <si>
    <t>DEREK &amp; EMILY FRASER</t>
  </si>
  <si>
    <t xml:space="preserve">1625 S 174TH LN </t>
  </si>
  <si>
    <t>COTTONFLOWER UNIT 3</t>
  </si>
  <si>
    <t>ANASTASOFF SHERRON D</t>
  </si>
  <si>
    <t>FRASER DEREK D</t>
  </si>
  <si>
    <t>DAVID MOORE</t>
  </si>
  <si>
    <t xml:space="preserve">181 W JASPER DR </t>
  </si>
  <si>
    <t>DAVE BROWN MILLETT RANCH</t>
  </si>
  <si>
    <t>KINGSLEY CHAD D</t>
  </si>
  <si>
    <t>MOORE DAVID</t>
  </si>
  <si>
    <t>PARDIEU</t>
  </si>
  <si>
    <t>PARDIEU &amp; KIMBERLY MARIE</t>
  </si>
  <si>
    <t xml:space="preserve">8960 W RUTH AVE </t>
  </si>
  <si>
    <t>PARDIEU FRANCISCO &amp; KIMBERLY</t>
  </si>
  <si>
    <t>WILLIAM &amp; SUZANNE BROWN</t>
  </si>
  <si>
    <t xml:space="preserve">7302 E HALIFAX ST </t>
  </si>
  <si>
    <t>MEADOW VIEW ESTATES LOT 1-145 TR A</t>
  </si>
  <si>
    <t>MEADOW VIEW ESTATES</t>
  </si>
  <si>
    <t>EEL HOLDINGS LLC</t>
  </si>
  <si>
    <t>WILLIAM BROWN</t>
  </si>
  <si>
    <t>BATO</t>
  </si>
  <si>
    <t>CHRISTOPHER &amp; ANDREA BATO</t>
  </si>
  <si>
    <t xml:space="preserve">5003 W ORAIBI DR </t>
  </si>
  <si>
    <t>CRYSTAL CREEK</t>
  </si>
  <si>
    <t>STINER KYLE J</t>
  </si>
  <si>
    <t>CHRISTOPHER P BATO</t>
  </si>
  <si>
    <t>ANDREA BATO</t>
  </si>
  <si>
    <t>MEALY</t>
  </si>
  <si>
    <t>KELLY MEALY</t>
  </si>
  <si>
    <t xml:space="preserve">8011 W HESS AVE </t>
  </si>
  <si>
    <t>AYALA GERARDO</t>
  </si>
  <si>
    <t>KELLY G MEALY</t>
  </si>
  <si>
    <t>JUDY MEALY</t>
  </si>
  <si>
    <t>DOWNTON</t>
  </si>
  <si>
    <t>GILBERT DOWNTON</t>
  </si>
  <si>
    <t xml:space="preserve">4430 S WILLOW DR </t>
  </si>
  <si>
    <t>PELINSKY GREGORY M</t>
  </si>
  <si>
    <t>DOWNTON GILBERT G III</t>
  </si>
  <si>
    <t>ROMINA</t>
  </si>
  <si>
    <t>FESLER</t>
  </si>
  <si>
    <t>ROMINA &amp; JOHN FESLER</t>
  </si>
  <si>
    <t xml:space="preserve">12210 W BUCHANAN ST </t>
  </si>
  <si>
    <t>COLDWATER SPRINGS PARCEL 13</t>
  </si>
  <si>
    <t>WALKER-STEPHENSON VICTORIA</t>
  </si>
  <si>
    <t>FELSER JOHN</t>
  </si>
  <si>
    <t>ARNONE</t>
  </si>
  <si>
    <t>BROOKE</t>
  </si>
  <si>
    <t>CHARLES &amp; BROOKE ARNONE</t>
  </si>
  <si>
    <t xml:space="preserve">1932 E LA JOLLA DR </t>
  </si>
  <si>
    <t>TEMPE ROYAL PALMS  6</t>
  </si>
  <si>
    <t>CURRY ELEMENTARY SCHOOL</t>
  </si>
  <si>
    <t>KRELL MARY C TRUST</t>
  </si>
  <si>
    <t>ARNONE CHARLES &amp; BROOKE</t>
  </si>
  <si>
    <t>ARNONE BROOKE D &amp; CHARLES</t>
  </si>
  <si>
    <t>CIANI</t>
  </si>
  <si>
    <t>DAVID &amp; NORMA CIANI</t>
  </si>
  <si>
    <t xml:space="preserve">2607 E HELENA DR </t>
  </si>
  <si>
    <t>VISION QUEST 1</t>
  </si>
  <si>
    <t>VISION QUEST</t>
  </si>
  <si>
    <t>CAMPO BELLO ELEMENTARY SCHOOL</t>
  </si>
  <si>
    <t>SHAPCOTT JUSTIN &amp; ALISHA</t>
  </si>
  <si>
    <t>CIANI DAVID N &amp; NORMA</t>
  </si>
  <si>
    <t>MICHAEL &amp; BONNIE DOMINGUEZ</t>
  </si>
  <si>
    <t xml:space="preserve">6034 W CAROL ANN WAY </t>
  </si>
  <si>
    <t>DEERVIEW UNIT 21</t>
  </si>
  <si>
    <t>FOOTHILLS ELEMENTARY SCHOOL</t>
  </si>
  <si>
    <t>HANSEN JASON &amp; TAWNYA A</t>
  </si>
  <si>
    <t>MICHAEL R DOMINGUEZ</t>
  </si>
  <si>
    <t>BONNIE R DOMINGUEZ</t>
  </si>
  <si>
    <t>MCCALLUM</t>
  </si>
  <si>
    <t>JAMES &amp; ROSE MCCALLUM</t>
  </si>
  <si>
    <t xml:space="preserve">17598 W BLOOMFIELD RD </t>
  </si>
  <si>
    <t>FARROW LEE</t>
  </si>
  <si>
    <t>MCCALLUM JAMES E &amp; ROSE</t>
  </si>
  <si>
    <t>BISHOP FAMILY TRUST</t>
  </si>
  <si>
    <t>BISHOP FAMILY</t>
  </si>
  <si>
    <t xml:space="preserve">18449 N 30TH PL </t>
  </si>
  <si>
    <t>C103</t>
  </si>
  <si>
    <t>PARADISE VALLEY TERRACE</t>
  </si>
  <si>
    <t>PARADISE VALLEY TERRACE SOUTH</t>
  </si>
  <si>
    <t>BISHOP EDWARD J</t>
  </si>
  <si>
    <t>BISHOP TIMOTHY E</t>
  </si>
  <si>
    <t>ROBERSON</t>
  </si>
  <si>
    <t>TERRELL &amp; NATALIE ROBERSON</t>
  </si>
  <si>
    <t xml:space="preserve">11515 W CLOVER WAY </t>
  </si>
  <si>
    <t>KAUFMAN FAMILY TRUST</t>
  </si>
  <si>
    <t>ROBERSON TERRELL &amp; NATALIE A</t>
  </si>
  <si>
    <t>BEAGIN</t>
  </si>
  <si>
    <t>MARYLEE</t>
  </si>
  <si>
    <t>BEAGIN &amp; MARYLEE ALICE</t>
  </si>
  <si>
    <t xml:space="preserve">10561 E BAYWOOD AVE </t>
  </si>
  <si>
    <t>SIGNAL BUTTE RANCH UNIT 3</t>
  </si>
  <si>
    <t>SIGNAL BUTTE RANCH</t>
  </si>
  <si>
    <t>PERRY KENNETH A &amp; MELISA A</t>
  </si>
  <si>
    <t>BEAGIN SEAN &amp; MARYLEE ALICE</t>
  </si>
  <si>
    <t>BROOKS</t>
  </si>
  <si>
    <t>DAVID &amp; MARY BROOKS</t>
  </si>
  <si>
    <t xml:space="preserve">6360 W VILLA RITA DR </t>
  </si>
  <si>
    <t>SUNSET VISTA  6  LOT 319-378  TR A B</t>
  </si>
  <si>
    <t>FLAGLER DEBRA L</t>
  </si>
  <si>
    <t>BROOKS DAVID S &amp; MARY P</t>
  </si>
  <si>
    <t>SEGOBIA</t>
  </si>
  <si>
    <t>ROBERT SEGOBIA</t>
  </si>
  <si>
    <t xml:space="preserve">16765 W MOHAVE ST </t>
  </si>
  <si>
    <t>ANIOLCZYK JANINA &amp; ZBIGNIEW</t>
  </si>
  <si>
    <t>EMETERIO</t>
  </si>
  <si>
    <t>EMETERIO VALDEZ &amp; PAUL SANTIAGO</t>
  </si>
  <si>
    <t xml:space="preserve">368 S 172ND DR </t>
  </si>
  <si>
    <t>CANYON TRAILS UNIT 4 WEST PARCEL C2</t>
  </si>
  <si>
    <t>SMITH BETTY A</t>
  </si>
  <si>
    <t>VALDEZ EMETERIO</t>
  </si>
  <si>
    <t>TCF NAT'L BK</t>
  </si>
  <si>
    <t>SIOUX FALLS SD 57106</t>
  </si>
  <si>
    <t>RACHELLE SANTIAGO</t>
  </si>
  <si>
    <t>PAUL SANTIAGO</t>
  </si>
  <si>
    <t>YVETTE</t>
  </si>
  <si>
    <t>ABEL &amp; YVETTE RIVERA</t>
  </si>
  <si>
    <t xml:space="preserve">2519 W BURGESS LN </t>
  </si>
  <si>
    <t>MOUNTAIN WEST ESTATES</t>
  </si>
  <si>
    <t>BOLANOS BENJAMIN</t>
  </si>
  <si>
    <t>RIVERA ABEL &amp; YVETTE M</t>
  </si>
  <si>
    <t>MAHER</t>
  </si>
  <si>
    <t>SEAN &amp; HEIDI MAHER</t>
  </si>
  <si>
    <t xml:space="preserve">17577 W BANFF LN </t>
  </si>
  <si>
    <t>SIERRA MONTANA PARCEL 12</t>
  </si>
  <si>
    <t>CHAN VINCENT W</t>
  </si>
  <si>
    <t>SEAN MAHER</t>
  </si>
  <si>
    <t>HEIDI E MAHER</t>
  </si>
  <si>
    <t>JESUS VALDEZ</t>
  </si>
  <si>
    <t xml:space="preserve">15664 W BERKELEY RD </t>
  </si>
  <si>
    <t>VALDEZ JESUS G</t>
  </si>
  <si>
    <t>COLBURN</t>
  </si>
  <si>
    <t>RIVERS</t>
  </si>
  <si>
    <t>IEMAIMA</t>
  </si>
  <si>
    <t>COLBURN &amp; IEMAIMA RIVERS</t>
  </si>
  <si>
    <t xml:space="preserve">2910 E LA COSTA DR </t>
  </si>
  <si>
    <t>COOPER COMMONS 3 PARCEL 9</t>
  </si>
  <si>
    <t>CASTILLO ROBERT O Y T T</t>
  </si>
  <si>
    <t>RIVERS COLBURN E &amp; IEMAIMA C</t>
  </si>
  <si>
    <t>MICHELLE &amp; RICHARD PETERSEN</t>
  </si>
  <si>
    <t xml:space="preserve">16413 W REMUDA DR </t>
  </si>
  <si>
    <t>MCINTIRE RYAN</t>
  </si>
  <si>
    <t>MICHELLE PETERSEN</t>
  </si>
  <si>
    <t>RICHARD PETERSEN</t>
  </si>
  <si>
    <t>MAHAN-HOLLIDAY</t>
  </si>
  <si>
    <t>DEREK HOLLIDAY &amp; JESSICA MAHAN-HOLLIDAY</t>
  </si>
  <si>
    <t xml:space="preserve">12972 N 94TH AVE </t>
  </si>
  <si>
    <t>HOLLIDAY DEREK D &amp; JESSICA L</t>
  </si>
  <si>
    <t>MAHAN-HOLLIDAY JESSICA L</t>
  </si>
  <si>
    <t>HOLLIDAY DEREK D</t>
  </si>
  <si>
    <t>OAKLIEF RANDY &amp; PATRICIA TRUST</t>
  </si>
  <si>
    <t>OAKLIEFRANDY &amp; PATRICIA OAKLIEFRANDY</t>
  </si>
  <si>
    <t xml:space="preserve">750 N EMERSON </t>
  </si>
  <si>
    <t>MESA WESTWOOD HEIGHTS</t>
  </si>
  <si>
    <t>COOK MICHAEL R &amp; A E TRUST</t>
  </si>
  <si>
    <t>OAKLIEF RANDY M</t>
  </si>
  <si>
    <t>LIMA</t>
  </si>
  <si>
    <t>DAVID LIMA</t>
  </si>
  <si>
    <t xml:space="preserve">13015 W SEVILLE DR </t>
  </si>
  <si>
    <t>STINE PAUL W</t>
  </si>
  <si>
    <t>MESA CA 92626</t>
  </si>
  <si>
    <t>DAVID J LIMA</t>
  </si>
  <si>
    <t>DUNSBERGEN</t>
  </si>
  <si>
    <t>LEI-LANI</t>
  </si>
  <si>
    <t>GLEN DUNSBERGEN &amp; LEI-LANI PARKER</t>
  </si>
  <si>
    <t xml:space="preserve">4410 W POWELL DR </t>
  </si>
  <si>
    <t>SZAREK GARY T</t>
  </si>
  <si>
    <t>DUNSBERGEN GLEN M</t>
  </si>
  <si>
    <t>PARKER LEI-LANI</t>
  </si>
  <si>
    <t>MCMURDY</t>
  </si>
  <si>
    <t>JEANNINE</t>
  </si>
  <si>
    <t>JOSEPH MCMURDY &amp; JEANNINE ROMERO</t>
  </si>
  <si>
    <t xml:space="preserve">10582 W CRIMSON LN </t>
  </si>
  <si>
    <t>WESTWIND UNIT 1</t>
  </si>
  <si>
    <t>WESTWIND</t>
  </si>
  <si>
    <t>QUITUGUA MARK A</t>
  </si>
  <si>
    <t>MCMURDY JOSEPH</t>
  </si>
  <si>
    <t>ROMERO JEANNINE M</t>
  </si>
  <si>
    <t>CHARLES &amp; CHRISTINA MILLER</t>
  </si>
  <si>
    <t xml:space="preserve">8431 W SHAW BUTTE DR </t>
  </si>
  <si>
    <t>BRIDLEWOOD</t>
  </si>
  <si>
    <t>CARTWRIGHT ROBERT C</t>
  </si>
  <si>
    <t>MILLER CHARLES &amp; CHRISTINA</t>
  </si>
  <si>
    <t>GIRON</t>
  </si>
  <si>
    <t>JOSE &amp; JENNIE GIRON</t>
  </si>
  <si>
    <t xml:space="preserve">1908 N 45TH ST </t>
  </si>
  <si>
    <t>GRIFFITH PARK</t>
  </si>
  <si>
    <t>GRIFFITH ELEMENTARY SCHOOL</t>
  </si>
  <si>
    <t>MADRIGAL AURORA</t>
  </si>
  <si>
    <t>GIRON JOSE ANDRES &amp; JENNIE A</t>
  </si>
  <si>
    <t>SHARRON DAVIS</t>
  </si>
  <si>
    <t xml:space="preserve">18552 W EVA ST </t>
  </si>
  <si>
    <t>FELKINS ALEXANDRA G</t>
  </si>
  <si>
    <t>DAVIS SHANNON J</t>
  </si>
  <si>
    <t>EBERHARD</t>
  </si>
  <si>
    <t>HAZEL</t>
  </si>
  <si>
    <t>FRANK EBERHARD &amp; JANE HAZEL</t>
  </si>
  <si>
    <t xml:space="preserve">12221 W CHASE LN </t>
  </si>
  <si>
    <t>EBERHARD FRANK L &amp; HAZEL J</t>
  </si>
  <si>
    <t>FALCON</t>
  </si>
  <si>
    <t>ALEXI</t>
  </si>
  <si>
    <t>MONICA &amp; ALEXI FALCON</t>
  </si>
  <si>
    <t xml:space="preserve">16169 W CAMERON DR </t>
  </si>
  <si>
    <t>FALCON MONICA C</t>
  </si>
  <si>
    <t>SANTANA ALEXIS O F</t>
  </si>
  <si>
    <t>REED &amp; CONNIE ROSE</t>
  </si>
  <si>
    <t xml:space="preserve">12925 N 93RD DR </t>
  </si>
  <si>
    <t>TROP ROBERT G &amp; KAREN M TRUST</t>
  </si>
  <si>
    <t>REED WILLIAM L &amp; CONNIE R</t>
  </si>
  <si>
    <t>CASTEEL</t>
  </si>
  <si>
    <t>BRYAN CASTEEL</t>
  </si>
  <si>
    <t xml:space="preserve">2430 W GELDING DR </t>
  </si>
  <si>
    <t>ADKINS GWENDOLYN L</t>
  </si>
  <si>
    <t>CASTEEL BRYAN L</t>
  </si>
  <si>
    <t>ROGELIO</t>
  </si>
  <si>
    <t>IVY</t>
  </si>
  <si>
    <t>ROGELIO &amp; IVY ACOSTA</t>
  </si>
  <si>
    <t xml:space="preserve">15836 W MELVIN ST </t>
  </si>
  <si>
    <t>ROGELIO ACOSTA</t>
  </si>
  <si>
    <t>IVY M ACOSTA</t>
  </si>
  <si>
    <t>COFFMAN</t>
  </si>
  <si>
    <t>TIMOTHY &amp; TERESA COFFMAN</t>
  </si>
  <si>
    <t xml:space="preserve">6219 S BANNING ST </t>
  </si>
  <si>
    <t>ROGERS JASON W &amp; LYNN R TRUST</t>
  </si>
  <si>
    <t>TIMOTHY K COFFMAN</t>
  </si>
  <si>
    <t>TERESA COFFMAN</t>
  </si>
  <si>
    <t>LOWEY</t>
  </si>
  <si>
    <t>LOWEY &amp; VANESSA ALEXANDER</t>
  </si>
  <si>
    <t xml:space="preserve">8011 S 23RD DR </t>
  </si>
  <si>
    <t>ALEXANDER LOWEY J &amp; VANESSA A</t>
  </si>
  <si>
    <t>FARLEY</t>
  </si>
  <si>
    <t>MALIE</t>
  </si>
  <si>
    <t>RICHARD &amp; MALIE FARLEY</t>
  </si>
  <si>
    <t xml:space="preserve">881 W HORSESHOE AVE </t>
  </si>
  <si>
    <t>DAVE BROWN UNIT 5</t>
  </si>
  <si>
    <t>BROOKS LESLIE R</t>
  </si>
  <si>
    <t>FARLEY RICHARD</t>
  </si>
  <si>
    <t>WOOD</t>
  </si>
  <si>
    <t>CHARMAGNE</t>
  </si>
  <si>
    <t>PATRICK &amp; CHARMAGNE WOOD</t>
  </si>
  <si>
    <t xml:space="preserve">9504 E KIVA AVE </t>
  </si>
  <si>
    <t>AUGUSTA RANCH PARCEL 3</t>
  </si>
  <si>
    <t>BAUERNFEIND LAURA</t>
  </si>
  <si>
    <t>WOOD PATRICK M &amp; CHARMAGNE B</t>
  </si>
  <si>
    <t>BRIAN &amp; HOLLY SCHULTZ</t>
  </si>
  <si>
    <t xml:space="preserve">14234 N 142ND LN </t>
  </si>
  <si>
    <t>CREGGER WILLIAM D &amp; DEBRA R</t>
  </si>
  <si>
    <t>SCHULTZ BRIAN &amp; HOLLY</t>
  </si>
  <si>
    <t>COVARRUBIAS</t>
  </si>
  <si>
    <t>DAVID COVARRUBIAS</t>
  </si>
  <si>
    <t xml:space="preserve">1609 W VERNON AVE </t>
  </si>
  <si>
    <t xml:space="preserve">52 SANCHEZ ST #1 </t>
  </si>
  <si>
    <t>SAN FRANCISCO</t>
  </si>
  <si>
    <t>DEL NORTE PLACE</t>
  </si>
  <si>
    <t>ATEN JAMES C &amp; LUZ M</t>
  </si>
  <si>
    <t>COVARRUBIAS DAVID J</t>
  </si>
  <si>
    <t>DOMINGO</t>
  </si>
  <si>
    <t>DOMINGO SANTOS</t>
  </si>
  <si>
    <t xml:space="preserve">8509 W RUTH AVE </t>
  </si>
  <si>
    <t>WESTGREEN ESTATES 7  LOT 1-80</t>
  </si>
  <si>
    <t>WESTGREEN ESTATES</t>
  </si>
  <si>
    <t>WOOLIVER RONALD J</t>
  </si>
  <si>
    <t>SANTOS JR DOMINGO</t>
  </si>
  <si>
    <t>DOMINGO SANTOS JR</t>
  </si>
  <si>
    <t>HARCROW</t>
  </si>
  <si>
    <t>TREVOR &amp; IULIIA HARCROW</t>
  </si>
  <si>
    <t xml:space="preserve">721 S MONTEREY ST </t>
  </si>
  <si>
    <t>WHISPER GLEN AMD LOT 80-130  TR A-C</t>
  </si>
  <si>
    <t>WHISPER GLEN</t>
  </si>
  <si>
    <t>LASER ENTS LLC</t>
  </si>
  <si>
    <t>HARCROW TREVOR G &amp; IULIIA</t>
  </si>
  <si>
    <t>SWEET</t>
  </si>
  <si>
    <t>J SWEET</t>
  </si>
  <si>
    <t xml:space="preserve">2855 E DARTMOUTH ST </t>
  </si>
  <si>
    <t>ALAMOS EAST 5 LOT 311-357</t>
  </si>
  <si>
    <t>ALAMOS EAST</t>
  </si>
  <si>
    <t>LIKENS PAMELA E</t>
  </si>
  <si>
    <t>SWEET J DAREN</t>
  </si>
  <si>
    <t>BRENT LEE</t>
  </si>
  <si>
    <t xml:space="preserve">237 E MCNAIR DR </t>
  </si>
  <si>
    <t>SAINZ JOHN R &amp; VIRGINIA E</t>
  </si>
  <si>
    <t>LEE BRENT</t>
  </si>
  <si>
    <t>JARDINE</t>
  </si>
  <si>
    <t>MATHENA</t>
  </si>
  <si>
    <t>JARDINE &amp; JONES MATHENA</t>
  </si>
  <si>
    <t xml:space="preserve">1526 E BEVERLY RD </t>
  </si>
  <si>
    <t>MACDONALD CHRISTINE</t>
  </si>
  <si>
    <t>JARDINE BRANDON</t>
  </si>
  <si>
    <t>BRANDON &amp; EMILY BROWN</t>
  </si>
  <si>
    <t xml:space="preserve">13854 N 40TH AVE </t>
  </si>
  <si>
    <t xml:space="preserve">5815 N MILTON ST </t>
  </si>
  <si>
    <t>SPOKANE</t>
  </si>
  <si>
    <t>NEWCASTLE ESTATES</t>
  </si>
  <si>
    <t>NEWCASTLE ESTATES NORTH</t>
  </si>
  <si>
    <t>ARANTZAZU LLC</t>
  </si>
  <si>
    <t>BRANDON A BROWN</t>
  </si>
  <si>
    <t>EMILY J BROWN</t>
  </si>
  <si>
    <t>TOMLINSON</t>
  </si>
  <si>
    <t>KRISTOPHER &amp; LILLIAN TOMLINSON</t>
  </si>
  <si>
    <t xml:space="preserve">4503 W MERCURY WAY </t>
  </si>
  <si>
    <t>RJ PROPERTIES LLC</t>
  </si>
  <si>
    <t>TOMLINSON KRISTOPHER &amp; LILLIAN A</t>
  </si>
  <si>
    <t>FRITZ</t>
  </si>
  <si>
    <t>MICHAEL &amp; MADONNA FRITZ</t>
  </si>
  <si>
    <t xml:space="preserve">18415 N 5TH AVE </t>
  </si>
  <si>
    <t>ARROYO CROSSING</t>
  </si>
  <si>
    <t>CUSHARD MICHAEL C</t>
  </si>
  <si>
    <t>FRITZ MICHAEL</t>
  </si>
  <si>
    <t>HEAVRIN</t>
  </si>
  <si>
    <t>ROBERT &amp; SANDRA HEAVRIN</t>
  </si>
  <si>
    <t xml:space="preserve">12319 W SONNET DR </t>
  </si>
  <si>
    <t>SUN CITY WEST 16</t>
  </si>
  <si>
    <t>PAPROCKI DANIEL T</t>
  </si>
  <si>
    <t>ROBERT L HEAVRIN</t>
  </si>
  <si>
    <t>SANDRA S HEAVRIN</t>
  </si>
  <si>
    <t>ANN-KATHERIN</t>
  </si>
  <si>
    <t>IAN &amp; ANN-KATHERIN BURKE</t>
  </si>
  <si>
    <t xml:space="preserve">12702 W SHERIDAN ST </t>
  </si>
  <si>
    <t>TIERRA 2 AT RANCHO SANTA FE</t>
  </si>
  <si>
    <t>TIERRA AT RANCHO SANTA FE WEST</t>
  </si>
  <si>
    <t>VAGNINO A T &amp; M A TRUST</t>
  </si>
  <si>
    <t>BURKE IAN</t>
  </si>
  <si>
    <t>MORTON</t>
  </si>
  <si>
    <t>MICHAEL &amp; JULIE MORTON</t>
  </si>
  <si>
    <t xml:space="preserve">862 E BAYLOR LN </t>
  </si>
  <si>
    <t>PORTELLI LLC</t>
  </si>
  <si>
    <t>MORTON MICHAEL P &amp; JULIE B</t>
  </si>
  <si>
    <t>ELLERBY</t>
  </si>
  <si>
    <t>EMMANUELLA</t>
  </si>
  <si>
    <t>NIBIGIRA</t>
  </si>
  <si>
    <t>SIDNEY ELLERBY &amp; EMMANUELLA NIBIGIRA</t>
  </si>
  <si>
    <t xml:space="preserve">2122 E PALOMINO DR </t>
  </si>
  <si>
    <t xml:space="preserve">2173 E NATHAN WAY </t>
  </si>
  <si>
    <t>FINLEY FARMS SOUTH PARCEL 17</t>
  </si>
  <si>
    <t>MIRANDA JAIME &amp; GRACIELA</t>
  </si>
  <si>
    <t>ELLERBY SIDNEY</t>
  </si>
  <si>
    <t>NIBIGIRA EMMANUELLA</t>
  </si>
  <si>
    <t>RAMIL</t>
  </si>
  <si>
    <t>RAMIL &amp; JOSEPHINE AGUILAR</t>
  </si>
  <si>
    <t xml:space="preserve">16787 W ADAMS ST </t>
  </si>
  <si>
    <t>AGUILAR RAMIL D</t>
  </si>
  <si>
    <t>NACE</t>
  </si>
  <si>
    <t>SANDRA &amp; RAY NACE</t>
  </si>
  <si>
    <t xml:space="preserve">1502 W 2ND ST </t>
  </si>
  <si>
    <t>MESA VERDE 1</t>
  </si>
  <si>
    <t>MESA VERDE</t>
  </si>
  <si>
    <t>WEBSTER ELEMENTARY SCHOOL</t>
  </si>
  <si>
    <t>GREEN STEVEN</t>
  </si>
  <si>
    <t>NACE SANDRA &amp; RAY</t>
  </si>
  <si>
    <t>BUCKMASTER</t>
  </si>
  <si>
    <t>KIMBERLY &amp; DOYLE BUCKMASTER</t>
  </si>
  <si>
    <t xml:space="preserve">4816 E KATHLEEN RD </t>
  </si>
  <si>
    <t xml:space="preserve">555 PINEWOOD CT </t>
  </si>
  <si>
    <t>LOS BANOS</t>
  </si>
  <si>
    <t>ROADRUNNER ESTATES EAST UNIT FIVE LOT 34</t>
  </si>
  <si>
    <t>ROADRUNNER ESTATES EAST</t>
  </si>
  <si>
    <t>WRENN LESLIE C</t>
  </si>
  <si>
    <t>BUCKMASTER DOYLE</t>
  </si>
  <si>
    <t>LLOYD &amp; SHARON COLEMAN</t>
  </si>
  <si>
    <t xml:space="preserve">670 E MANOR DR </t>
  </si>
  <si>
    <t>STONEGATE CROSSING UNIT 2 LT 130-219 TR</t>
  </si>
  <si>
    <t>SHARP BO LIVING TRUST</t>
  </si>
  <si>
    <t>COLEMAN LLOYD &amp; SHARON</t>
  </si>
  <si>
    <t>BARRAGAN</t>
  </si>
  <si>
    <t>ERNEST &amp; GRACIELA BARRAGAN</t>
  </si>
  <si>
    <t xml:space="preserve">2837 N 103RD AVE </t>
  </si>
  <si>
    <t>BRODERICK JOSEPH B &amp; ABIGAIL</t>
  </si>
  <si>
    <t>BARRAGAN ERNEST &amp; GRACIELA</t>
  </si>
  <si>
    <t>SHAWNTELL</t>
  </si>
  <si>
    <t>SHAWNTELL MILLER</t>
  </si>
  <si>
    <t xml:space="preserve">18067 W TURQUOISE AVE #1535 </t>
  </si>
  <si>
    <t xml:space="preserve">18067 W TURQUOISE AVE </t>
  </si>
  <si>
    <t>LEWIS ROGER L &amp; SUSAN R</t>
  </si>
  <si>
    <t>ANGIE</t>
  </si>
  <si>
    <t>JASON &amp; ANGIE GREEN</t>
  </si>
  <si>
    <t xml:space="preserve">16208 W CORTEZ ST </t>
  </si>
  <si>
    <t>GREEN JASON W</t>
  </si>
  <si>
    <t>OGREN</t>
  </si>
  <si>
    <t>TIMOTHY &amp; KATHLEEN OGREN</t>
  </si>
  <si>
    <t xml:space="preserve">2905 E SIESTA LN </t>
  </si>
  <si>
    <t>ALLEN KEATON &amp; SHARON TRUST</t>
  </si>
  <si>
    <t>OGREN TIMOTHY L</t>
  </si>
  <si>
    <t>MCCOY</t>
  </si>
  <si>
    <t>NATHAN &amp; SHARON MCCOY</t>
  </si>
  <si>
    <t xml:space="preserve">7119 N 173RD AVE </t>
  </si>
  <si>
    <t xml:space="preserve">7119 N 173RD AVE #4753 </t>
  </si>
  <si>
    <t>ROMOLA 43  BLKS 4652-4667  4684-4699</t>
  </si>
  <si>
    <t>HALL FAMILY TRUST</t>
  </si>
  <si>
    <t>MCCOY NATHAN A &amp; SHARON W</t>
  </si>
  <si>
    <t>FETTE</t>
  </si>
  <si>
    <t>DIXIE</t>
  </si>
  <si>
    <t>WILLIAM &amp; DIXIE FETTE</t>
  </si>
  <si>
    <t xml:space="preserve">607 S 233RD DR </t>
  </si>
  <si>
    <t>SUNDANCE PARCEL 12</t>
  </si>
  <si>
    <t>ELLS NEIL E</t>
  </si>
  <si>
    <t>WILLIAM D FETTE</t>
  </si>
  <si>
    <t>DIXIE K FETTE</t>
  </si>
  <si>
    <t>JOSHUA HAYES</t>
  </si>
  <si>
    <t xml:space="preserve">1213 E DRAKE DR </t>
  </si>
  <si>
    <t>GALLERIA  LOT 1-100 TR A-H J</t>
  </si>
  <si>
    <t>BOSSEN MICHAEL</t>
  </si>
  <si>
    <t>HAYES JOSHUA T</t>
  </si>
  <si>
    <t>POWER</t>
  </si>
  <si>
    <t>BRYAN &amp; DIANE POWER</t>
  </si>
  <si>
    <t xml:space="preserve">1042 N BARKLEY </t>
  </si>
  <si>
    <t>MURRAY STEVEN M &amp; JENNA M</t>
  </si>
  <si>
    <t>POWER BRYAN S &amp; DIANE E</t>
  </si>
  <si>
    <t>CLEMENTS</t>
  </si>
  <si>
    <t>ADAM &amp; FRANCISCA CLEMENTS</t>
  </si>
  <si>
    <t xml:space="preserve">3361 W GENOA WAY </t>
  </si>
  <si>
    <t>D'ARCY RANCH UNIT 2</t>
  </si>
  <si>
    <t>D'ARCY RANCH</t>
  </si>
  <si>
    <t>HOLLADAY KENT &amp; SHARON TRUST</t>
  </si>
  <si>
    <t>CLEMENTS ADAM &amp; FRANCISCA</t>
  </si>
  <si>
    <t>HARRINGTON</t>
  </si>
  <si>
    <t>SUSANA</t>
  </si>
  <si>
    <t>MARK &amp; SUSANA HARRINGTON</t>
  </si>
  <si>
    <t xml:space="preserve">454 N FALCON DR </t>
  </si>
  <si>
    <t>HIGHLAND RANCH PHASE 2 AMD</t>
  </si>
  <si>
    <t>HIGHLAND RANCH</t>
  </si>
  <si>
    <t>WHITE ROBIN</t>
  </si>
  <si>
    <t>HARRINGTON MARK &amp; SUSANA</t>
  </si>
  <si>
    <t>WINSTON</t>
  </si>
  <si>
    <t>BOYCE</t>
  </si>
  <si>
    <t>WINSTON &amp; PATRICIA BOYCE</t>
  </si>
  <si>
    <t xml:space="preserve">18387 W PARADISE LN </t>
  </si>
  <si>
    <t>NATIONAL BANK OF KANSAS CITY</t>
  </si>
  <si>
    <t>BOYCE WINSTON &amp; PATRICIA</t>
  </si>
  <si>
    <t>AISPURO</t>
  </si>
  <si>
    <t>BRIDGET AISPURO</t>
  </si>
  <si>
    <t xml:space="preserve">13751 W EARLL DR </t>
  </si>
  <si>
    <t>COLLINS CYNTHIA</t>
  </si>
  <si>
    <t>AISPURO RAYMUNDO</t>
  </si>
  <si>
    <t>MICAH</t>
  </si>
  <si>
    <t>NOFEN</t>
  </si>
  <si>
    <t>MICAH &amp; ELIZABETH NOFEN</t>
  </si>
  <si>
    <t xml:space="preserve">2310 E WINSTON DR </t>
  </si>
  <si>
    <t>MANDALAY AT SOUTH MOUNTAIN PHASE 2</t>
  </si>
  <si>
    <t>MANDALAY AT SOUTH MOUNTAIN</t>
  </si>
  <si>
    <t>STORRS ALEA M</t>
  </si>
  <si>
    <t>NOFEN MICAH J &amp; ELIZABETH M</t>
  </si>
  <si>
    <t>GAGLIANO</t>
  </si>
  <si>
    <t>RONALD &amp; LYNN GAGLIANO</t>
  </si>
  <si>
    <t xml:space="preserve">1265 E TIERRA BUENA LN </t>
  </si>
  <si>
    <t>MOON VALLEY CANYON LOT 1-119 TR A-I</t>
  </si>
  <si>
    <t>MOON VALLEY CANYON</t>
  </si>
  <si>
    <t>AUNE MARK D</t>
  </si>
  <si>
    <t>GAGLIANO RONALD A</t>
  </si>
  <si>
    <t>BYRON</t>
  </si>
  <si>
    <t>TOLSON</t>
  </si>
  <si>
    <t>BYRON TOLSON</t>
  </si>
  <si>
    <t xml:space="preserve">10036 E KAREN DR </t>
  </si>
  <si>
    <t>PARCEL N SCOTTSDALE HORIZON</t>
  </si>
  <si>
    <t>SCOTTSDALE HORIZON</t>
  </si>
  <si>
    <t>HYLTON JONAS C &amp; K A TRUST</t>
  </si>
  <si>
    <t>TOLSON BYRON D</t>
  </si>
  <si>
    <t>TOWNSEND</t>
  </si>
  <si>
    <t>MARGARETT</t>
  </si>
  <si>
    <t>LAWRENCE &amp; MARGARETT TOWNSEND</t>
  </si>
  <si>
    <t xml:space="preserve">6356 W MELINDA LN </t>
  </si>
  <si>
    <t>HAMILTON ARROWHEAD RANCH 4 LOT 1-106 TR</t>
  </si>
  <si>
    <t>DARLING JONATHAN K</t>
  </si>
  <si>
    <t>TOWNSEND LAWRENCE F &amp; MARGARE</t>
  </si>
  <si>
    <t>REECE</t>
  </si>
  <si>
    <t>AARON &amp; RHONDA REECE</t>
  </si>
  <si>
    <t xml:space="preserve">8060 W BELMONT AVE </t>
  </si>
  <si>
    <t xml:space="preserve">2599 E HAZELTINE WAY </t>
  </si>
  <si>
    <t>TOPAZ</t>
  </si>
  <si>
    <t>NORTH JEFFREY L</t>
  </si>
  <si>
    <t>AARON REECE</t>
  </si>
  <si>
    <t>RHONDA REECE</t>
  </si>
  <si>
    <t>KLEINMAN JEFFREY A &amp; ROSLYN TR</t>
  </si>
  <si>
    <t>ROSLYN</t>
  </si>
  <si>
    <t>KLEINMANJEFFREY &amp; ROSLYN</t>
  </si>
  <si>
    <t xml:space="preserve">33202 N 46TH WAY </t>
  </si>
  <si>
    <t>DOVE VALLEY RANCH PARCEL H</t>
  </si>
  <si>
    <t>MYSTIC RIDGE JASMINE TRAILS</t>
  </si>
  <si>
    <t>STEWART JASON W</t>
  </si>
  <si>
    <t>KLEINMAN JEFFREY A &amp; ROSLYN M</t>
  </si>
  <si>
    <t>BROADSTONE</t>
  </si>
  <si>
    <t>BROADSTONE &amp; PAULA JEAN</t>
  </si>
  <si>
    <t xml:space="preserve">9655 E LOBO AVE </t>
  </si>
  <si>
    <t>AUGUSTA RANCH PARCEL 13</t>
  </si>
  <si>
    <t>PFEIFFER RICHARD W</t>
  </si>
  <si>
    <t>LARRY BROADSTONE</t>
  </si>
  <si>
    <t>PAULA J BROADSTONE</t>
  </si>
  <si>
    <t>WAKEFIELD</t>
  </si>
  <si>
    <t>STACIE</t>
  </si>
  <si>
    <t>JEFF &amp; STACIE WAKEFIELD</t>
  </si>
  <si>
    <t xml:space="preserve">1124 E JOSEPH WAY </t>
  </si>
  <si>
    <t>ROGERS KRISTI R</t>
  </si>
  <si>
    <t>WAKEFIELD JEFF A &amp; STACIE R</t>
  </si>
  <si>
    <t>DAVID &amp; KRISTIE BAKER</t>
  </si>
  <si>
    <t xml:space="preserve">15851 W CORTEZ ST </t>
  </si>
  <si>
    <t>BOLTON RHONDA M</t>
  </si>
  <si>
    <t>DAVID J BAKER</t>
  </si>
  <si>
    <t>KRISTIE L BAKER</t>
  </si>
  <si>
    <t>BAYAN</t>
  </si>
  <si>
    <t>DERRICK &amp; AMANDA BAYAN</t>
  </si>
  <si>
    <t xml:space="preserve">35410 N 27TH DR </t>
  </si>
  <si>
    <t>TRAMONTO PARCEL E-17</t>
  </si>
  <si>
    <t>PALMER-JONES RENEE</t>
  </si>
  <si>
    <t>BAYAN DERRICK &amp; AMANDA</t>
  </si>
  <si>
    <t>MCKIMMONS</t>
  </si>
  <si>
    <t>STEVEN &amp; RENEE MCKIMMONS</t>
  </si>
  <si>
    <t xml:space="preserve">4925 W SIESTA WAY </t>
  </si>
  <si>
    <t>CHEATHAM FARMS SOUTH</t>
  </si>
  <si>
    <t>BARTON VANESSA M</t>
  </si>
  <si>
    <t>LAS VEGAS NV 89113</t>
  </si>
  <si>
    <t>MCKIMMONS STEVEN &amp; RENEE</t>
  </si>
  <si>
    <t>STEVEN MCKIMMONS</t>
  </si>
  <si>
    <t>RENEE MCKIMMONS</t>
  </si>
  <si>
    <t>PATTERSON</t>
  </si>
  <si>
    <t>KENNETH PATTERSON</t>
  </si>
  <si>
    <t xml:space="preserve">22519 E PECAN CT </t>
  </si>
  <si>
    <t>PATTERSON KENNETH W</t>
  </si>
  <si>
    <t>UZETA</t>
  </si>
  <si>
    <t>FRANCESCA</t>
  </si>
  <si>
    <t>ANTHONY &amp; FRANCESCA UZETA</t>
  </si>
  <si>
    <t xml:space="preserve">11922 W PASO CT </t>
  </si>
  <si>
    <t>ANTHONY UZETA</t>
  </si>
  <si>
    <t>FRANCESCA UZETA</t>
  </si>
  <si>
    <t>ADAM &amp; HANNAH BOLES</t>
  </si>
  <si>
    <t xml:space="preserve">4458 E CLOUDBURST CT </t>
  </si>
  <si>
    <t>POWER RANCH NEIGHBORHOOD 5</t>
  </si>
  <si>
    <t>THE ORCHARD</t>
  </si>
  <si>
    <t>HARTLAND NANCY A</t>
  </si>
  <si>
    <t>BOLES ADAM R &amp; HANNAH M</t>
  </si>
  <si>
    <t>KUCH</t>
  </si>
  <si>
    <t>AIDA</t>
  </si>
  <si>
    <t>EDWARD &amp; AIDA KUCH</t>
  </si>
  <si>
    <t xml:space="preserve">3028 E JUANITA CT </t>
  </si>
  <si>
    <t>ROMPALO CHRISTOPHER &amp; AMY</t>
  </si>
  <si>
    <t>KUCH EDWARD V &amp; AIDA L</t>
  </si>
  <si>
    <t>MCREYNOLDS</t>
  </si>
  <si>
    <t>WILLIAM &amp; BARBARA MCREYNOLDS</t>
  </si>
  <si>
    <t xml:space="preserve">16822 W HALIFAX ST </t>
  </si>
  <si>
    <t>BELL WEST RANCH PARCEL 1A</t>
  </si>
  <si>
    <t>BUSHEE LOUIS D</t>
  </si>
  <si>
    <t>MCREYNOLDS WILLIAM</t>
  </si>
  <si>
    <t>SCHROEDER</t>
  </si>
  <si>
    <t>CHRISTOPHER &amp; CYNTHIA SCHROEDER</t>
  </si>
  <si>
    <t xml:space="preserve">2558 S EL DORADO </t>
  </si>
  <si>
    <t>SANTILLANA IGNACIO M</t>
  </si>
  <si>
    <t>SCHROEDER CHRISTOPHER J &amp; CYNTHIA</t>
  </si>
  <si>
    <t>JOHN &amp; SARA WOOD</t>
  </si>
  <si>
    <t xml:space="preserve">10342 E TIERRA BUENA LN </t>
  </si>
  <si>
    <t xml:space="preserve">1834 POINTE WOODWORTH DR NE </t>
  </si>
  <si>
    <t>TACOMA</t>
  </si>
  <si>
    <t>MCDOWELL MOUNTAIN RANCH PARCEL N</t>
  </si>
  <si>
    <t>GORMAN BRIAN</t>
  </si>
  <si>
    <t>WOOD JOHN &amp; SARA</t>
  </si>
  <si>
    <t>PREYER-BONTON</t>
  </si>
  <si>
    <t>JENNIFER PREYER-BONTON</t>
  </si>
  <si>
    <t xml:space="preserve">18267 W CAMPBELL AVE </t>
  </si>
  <si>
    <t>PREYER-BONTON JENNIFER</t>
  </si>
  <si>
    <t>SO</t>
  </si>
  <si>
    <t>RYAN &amp; ASHLEY SO</t>
  </si>
  <si>
    <t xml:space="preserve">2408 W EAGLE FEATHER RD </t>
  </si>
  <si>
    <t>SATHER BOB</t>
  </si>
  <si>
    <t>SO RYAN Y &amp; ASHLEY E</t>
  </si>
  <si>
    <t>ZINETA</t>
  </si>
  <si>
    <t>SIPILOVIC</t>
  </si>
  <si>
    <t>ZINETA SIPILOVIC</t>
  </si>
  <si>
    <t xml:space="preserve">37809 N 10TH ST </t>
  </si>
  <si>
    <t>BASCOM HILLS</t>
  </si>
  <si>
    <t>GROTE JAMES &amp; MARY A</t>
  </si>
  <si>
    <t>SIPILOVIC ZINETA</t>
  </si>
  <si>
    <t>DURAN</t>
  </si>
  <si>
    <t>RAFAEL &amp; ANNA DURAN</t>
  </si>
  <si>
    <t xml:space="preserve">4129 W SAINT CHARLES AVE </t>
  </si>
  <si>
    <t>RODRIGUEZ VICTOR &amp; LUZ D</t>
  </si>
  <si>
    <t>DURAN RAFAEL</t>
  </si>
  <si>
    <t>FORT MILL SC 29715</t>
  </si>
  <si>
    <t>RAFAEL DURAN</t>
  </si>
  <si>
    <t>ZAARON</t>
  </si>
  <si>
    <t>ZAARON WILLIAMS</t>
  </si>
  <si>
    <t xml:space="preserve">526 E GRANDVIEW ST </t>
  </si>
  <si>
    <t>PICCO JOSEPH S &amp; CYNTHIA A</t>
  </si>
  <si>
    <t>WILLIAMS ZAARON E</t>
  </si>
  <si>
    <t>COTTLE TRUST</t>
  </si>
  <si>
    <t>COTTLE</t>
  </si>
  <si>
    <t xml:space="preserve">5232 E WAGONER RD </t>
  </si>
  <si>
    <t>TRIPLE CROWN 2</t>
  </si>
  <si>
    <t>TRIPLE CROWN</t>
  </si>
  <si>
    <t>COPPER CANYON ELEMENTARY SCHOOL</t>
  </si>
  <si>
    <t>RUSSELL LARRY</t>
  </si>
  <si>
    <t>THORIN</t>
  </si>
  <si>
    <t>ROSEBUD</t>
  </si>
  <si>
    <t>THORIN &amp; ROSEBUD OLSON</t>
  </si>
  <si>
    <t xml:space="preserve">22368 S 215TH ST </t>
  </si>
  <si>
    <t>WTD HOMES &amp; DESIGNS LLC</t>
  </si>
  <si>
    <t>OLSON THORIN L &amp; ROSEBUD</t>
  </si>
  <si>
    <t>BODI</t>
  </si>
  <si>
    <t>JAYNA</t>
  </si>
  <si>
    <t>MICHELYNROSE</t>
  </si>
  <si>
    <t>BODI &amp; MICHELYNROSE JAYNA</t>
  </si>
  <si>
    <t xml:space="preserve">911 W SANDRA TER </t>
  </si>
  <si>
    <t>MOONLIGHT COVE 3</t>
  </si>
  <si>
    <t>MOONLIGHT COVE</t>
  </si>
  <si>
    <t>GIVENS ERIC W &amp; NICOLE</t>
  </si>
  <si>
    <t>BODI MICHAEL H &amp; MICHELYNROSE J</t>
  </si>
  <si>
    <t>WHEELINGTON</t>
  </si>
  <si>
    <t>SPENCER WHEELINGTON</t>
  </si>
  <si>
    <t xml:space="preserve">15078 W LA REATA AVE </t>
  </si>
  <si>
    <t>WHEELINGTON SPENCER L II</t>
  </si>
  <si>
    <t>HOSSACK LIVING TRUST</t>
  </si>
  <si>
    <t>HOSSACK</t>
  </si>
  <si>
    <t xml:space="preserve">6044 E KINGS AVE </t>
  </si>
  <si>
    <t>NORTH RANCH UNIT 5 AMD LOT 374 375</t>
  </si>
  <si>
    <t>NORTH RANCH</t>
  </si>
  <si>
    <t>UPTON MARK N</t>
  </si>
  <si>
    <t>HOSSACK CHAD ROBERT</t>
  </si>
  <si>
    <t>JANA</t>
  </si>
  <si>
    <t>MIKKELSEN</t>
  </si>
  <si>
    <t>JANA MIKKELSEN</t>
  </si>
  <si>
    <t xml:space="preserve">16137 W MONTEROSA ST </t>
  </si>
  <si>
    <t>MIKKELSEN JANA LYN</t>
  </si>
  <si>
    <t>NOKER</t>
  </si>
  <si>
    <t>KELEOFA</t>
  </si>
  <si>
    <t>NICHOLAS &amp; KELEOFA NOKER</t>
  </si>
  <si>
    <t xml:space="preserve">18279 W SUNNYSLOPE LN </t>
  </si>
  <si>
    <t>SKYARA MICHELLE A</t>
  </si>
  <si>
    <t>NOKER NICHOLAS &amp; KELEOFA</t>
  </si>
  <si>
    <t>MICHAEL &amp; BRIDGET WOOD</t>
  </si>
  <si>
    <t xml:space="preserve">1688 W YOSEMITE PL </t>
  </si>
  <si>
    <t>BALBOA POINT AT OCOTILLO</t>
  </si>
  <si>
    <t>BALBOA POINT</t>
  </si>
  <si>
    <t>COOK ALAN D</t>
  </si>
  <si>
    <t>WOOD MICHAEL B &amp; BRIDGET M</t>
  </si>
  <si>
    <t>KARLY</t>
  </si>
  <si>
    <t>ROWE &amp; KARLY MARIE</t>
  </si>
  <si>
    <t xml:space="preserve">6016 E JOAN DE ARC AVE </t>
  </si>
  <si>
    <t>SHEA NORTH ESTATES NO 4</t>
  </si>
  <si>
    <t>FRANKE DAVID P &amp; STEPHANIE M</t>
  </si>
  <si>
    <t>ROWE BRYAN WORTHINGTON &amp; KARL</t>
  </si>
  <si>
    <t>MITCHELL L AND KELLY L BRADFORD TRUST</t>
  </si>
  <si>
    <t xml:space="preserve">201 S GALAXY DR </t>
  </si>
  <si>
    <t>STELLAR CITY AIR PARK</t>
  </si>
  <si>
    <t>CLARK NORMAN L &amp; PATRICIA L</t>
  </si>
  <si>
    <t>BRADFORD MITCHELL L &amp; KELLY L</t>
  </si>
  <si>
    <t>BRADFORD M L &amp; K L TRUST</t>
  </si>
  <si>
    <t>LAVIMODIERE</t>
  </si>
  <si>
    <t>DAVID &amp; LINDA LAVIMODIERE</t>
  </si>
  <si>
    <t xml:space="preserve">15436 W REDFIELD RD </t>
  </si>
  <si>
    <t>MCDUFFEE FAMILY LIVING TRUST</t>
  </si>
  <si>
    <t>LAVIMODIERE DAVID P &amp; LINDA J</t>
  </si>
  <si>
    <t>SWAFFORD</t>
  </si>
  <si>
    <t>POLLYANNE</t>
  </si>
  <si>
    <t>QUIAMBAO</t>
  </si>
  <si>
    <t>ANTHONY SWAFFORD &amp; POLLYANNE QUIAMBAO</t>
  </si>
  <si>
    <t xml:space="preserve">5051 E ROBIN LN </t>
  </si>
  <si>
    <t>DESERT RIDGE LOT 24</t>
  </si>
  <si>
    <t>GLEN EAGLE</t>
  </si>
  <si>
    <t>RUCKET GILBERT &amp; B A TRUST</t>
  </si>
  <si>
    <t>NEW PENN FINANCIAL LLC</t>
  </si>
  <si>
    <t>SWAFFORD ANTHONY M</t>
  </si>
  <si>
    <t>QUIAMBAO POLLYANNE R</t>
  </si>
  <si>
    <t>BOE</t>
  </si>
  <si>
    <t>DESIREE</t>
  </si>
  <si>
    <t>NICHOLAS &amp; DESIREE BOE</t>
  </si>
  <si>
    <t xml:space="preserve">5808 W ROWEL RD </t>
  </si>
  <si>
    <t>STETSON VALLEY PARCELS 15-16</t>
  </si>
  <si>
    <t>VISION AT STETSON VALLEY</t>
  </si>
  <si>
    <t>GREGER THOMAS</t>
  </si>
  <si>
    <t>BOE NICHOLAS OLAV</t>
  </si>
  <si>
    <t>GILLIS</t>
  </si>
  <si>
    <t>JOHN &amp; STACY GILLIS</t>
  </si>
  <si>
    <t xml:space="preserve">16656 S 37TH WAY </t>
  </si>
  <si>
    <t xml:space="preserve">PO BOX 93326 </t>
  </si>
  <si>
    <t>ALICE BLUE GOWN DELIGHT II</t>
  </si>
  <si>
    <t>GILLIS JOHN E</t>
  </si>
  <si>
    <t>REISENAUER</t>
  </si>
  <si>
    <t>SHAUN REISENAUER</t>
  </si>
  <si>
    <t xml:space="preserve">17574 W STATLER DR </t>
  </si>
  <si>
    <t>SURPRISE FARMS PHASE 2 PARCEL 1</t>
  </si>
  <si>
    <t>SIGNATURES</t>
  </si>
  <si>
    <t>ROBEY FAMILY TRUST</t>
  </si>
  <si>
    <t>REISENAUER SHAUN</t>
  </si>
  <si>
    <t>KOLB REVOCABLE LIVING TRUST</t>
  </si>
  <si>
    <t>KOLB</t>
  </si>
  <si>
    <t xml:space="preserve">15429 E PALOMINO BLVD </t>
  </si>
  <si>
    <t>FOUNTAIN HILLS F P 604-B AMD TR A &amp; B</t>
  </si>
  <si>
    <t>PERKINS KRISTINA R</t>
  </si>
  <si>
    <t>KOLB GARRETT K &amp; VALERIE R</t>
  </si>
  <si>
    <t>MCGRAW</t>
  </si>
  <si>
    <t>BRANDON MENA &amp; AMANDA MCGRAW</t>
  </si>
  <si>
    <t xml:space="preserve">1073 E WATSON DR </t>
  </si>
  <si>
    <t>TEMPE ROYAL PALMS 12</t>
  </si>
  <si>
    <t>SCUDDER PARK WEST</t>
  </si>
  <si>
    <t>MENA BRANDON E</t>
  </si>
  <si>
    <t>MCGRAW AMANDA K</t>
  </si>
  <si>
    <t>ORIANA</t>
  </si>
  <si>
    <t>ORIANA MORRISON</t>
  </si>
  <si>
    <t xml:space="preserve">15120 N 100TH WAY </t>
  </si>
  <si>
    <t>MIRADA AT SCOTTSDALE HORIZON</t>
  </si>
  <si>
    <t>MATURO JOSEPH</t>
  </si>
  <si>
    <t>MORRISON ORIANA E</t>
  </si>
  <si>
    <t>COX</t>
  </si>
  <si>
    <t>TERRA</t>
  </si>
  <si>
    <t>JAMES &amp; TERRA COX</t>
  </si>
  <si>
    <t xml:space="preserve">18807 W AMELIA AVE </t>
  </si>
  <si>
    <t>LEDWIDGE JOSEPH A &amp; SHARON G</t>
  </si>
  <si>
    <t>COX JAMES A &amp; TERRA</t>
  </si>
  <si>
    <t>KEVIN &amp; CHERYL BURTON</t>
  </si>
  <si>
    <t xml:space="preserve">18418 W MARCONI AVE </t>
  </si>
  <si>
    <t>SURPRISE FARMS PHASE 4 PARCEL 1</t>
  </si>
  <si>
    <t>STERLING</t>
  </si>
  <si>
    <t>HOVEN NANCY K S P TRUST</t>
  </si>
  <si>
    <t>BURTON KEVIN D &amp; CHERYL R</t>
  </si>
  <si>
    <t>BRENNER</t>
  </si>
  <si>
    <t>JOHN &amp; ELIZABETH BRENNER</t>
  </si>
  <si>
    <t xml:space="preserve">4129 E SHANNON ST </t>
  </si>
  <si>
    <t>SANDLER SCOTT</t>
  </si>
  <si>
    <t>BRENNER JOHN A &amp; ELIZABETH</t>
  </si>
  <si>
    <t>DWIGHT</t>
  </si>
  <si>
    <t>PARRISH</t>
  </si>
  <si>
    <t>DWIGHT &amp; JENNIFER PARRISH</t>
  </si>
  <si>
    <t xml:space="preserve">16741 W TETHER TRL </t>
  </si>
  <si>
    <t>DESERT OASIS PARCEL OF SURPRISE B5</t>
  </si>
  <si>
    <t>SHAVERS LAKISHA</t>
  </si>
  <si>
    <t>PARRISH DWIGHT D JR &amp; JENNIFER L</t>
  </si>
  <si>
    <t>ALANIZ</t>
  </si>
  <si>
    <t>SANTOS-PIZA</t>
  </si>
  <si>
    <t>FRANCISCA ALANIZ &amp; MELVIN SANTOS-PIZA</t>
  </si>
  <si>
    <t xml:space="preserve">7948 W REDBIRD RD </t>
  </si>
  <si>
    <t>ALANIZ FRANCISCA JACQUELINE</t>
  </si>
  <si>
    <t>SANTOS-PIZA MELVIN E</t>
  </si>
  <si>
    <t>QUIGLEY</t>
  </si>
  <si>
    <t>VIRGINIA &amp; ISAAC QUIGLEY</t>
  </si>
  <si>
    <t xml:space="preserve">5316 W DAHLIA DR </t>
  </si>
  <si>
    <t>THUNDERBIRD PALMS 1 LOT 1-315</t>
  </si>
  <si>
    <t>SANTANA ALEJANDRO</t>
  </si>
  <si>
    <t>OKLAHOMA CITY OK 73132</t>
  </si>
  <si>
    <t>VIRGINIA QUIGLEY</t>
  </si>
  <si>
    <t>ISSAC QUIGLEY</t>
  </si>
  <si>
    <t>SANDOLO</t>
  </si>
  <si>
    <t>MICHAEL SANDOLO</t>
  </si>
  <si>
    <t xml:space="preserve">4592 S STAR CANYON DR </t>
  </si>
  <si>
    <t>EDISON DEREK S</t>
  </si>
  <si>
    <t>SANDOLO MICHAEL A</t>
  </si>
  <si>
    <t>GIROT</t>
  </si>
  <si>
    <t>TODD &amp; BRANDY GIROT</t>
  </si>
  <si>
    <t xml:space="preserve">502 W SUMMIT PL </t>
  </si>
  <si>
    <t>NEW HORIZONS LOT 1-212 TR A</t>
  </si>
  <si>
    <t>NEW HORIZONS</t>
  </si>
  <si>
    <t>HIGHER RETURN LLC</t>
  </si>
  <si>
    <t>TODD E GIROT</t>
  </si>
  <si>
    <t>BRANDY GIROT</t>
  </si>
  <si>
    <t>WAYMIRE</t>
  </si>
  <si>
    <t>DON WAYMIRE</t>
  </si>
  <si>
    <t xml:space="preserve">3228 N RICARDO CIR </t>
  </si>
  <si>
    <t>RIDGEVIEW UNIT 1 AMD</t>
  </si>
  <si>
    <t>GHKH INVESTMENTS LLC</t>
  </si>
  <si>
    <t>WAYMIRE DON</t>
  </si>
  <si>
    <t>CLOYD</t>
  </si>
  <si>
    <t>JOHN &amp; SANDRA CLOYD</t>
  </si>
  <si>
    <t xml:space="preserve">6418 W PERSHING AVE </t>
  </si>
  <si>
    <t>THUNDERBIRD ACRES 2</t>
  </si>
  <si>
    <t>THUNDERBIRD ACRES</t>
  </si>
  <si>
    <t>DESERT VALLEY ELEMENTARY SCHOOL</t>
  </si>
  <si>
    <t>VANDEVER MARY</t>
  </si>
  <si>
    <t>CLOYD JOHN &amp; SANDRA</t>
  </si>
  <si>
    <t>BALDEL</t>
  </si>
  <si>
    <t>QUACKENBUSH</t>
  </si>
  <si>
    <t>VICTOR BALDEL &amp; NICOLE QUACKENBUSH</t>
  </si>
  <si>
    <t xml:space="preserve">26028 N 66TH DR </t>
  </si>
  <si>
    <t>BATES BARBARA</t>
  </si>
  <si>
    <t>BALDEL VICTOR J</t>
  </si>
  <si>
    <t>QUACKENBUSH NICOLE L</t>
  </si>
  <si>
    <t>PRATHER</t>
  </si>
  <si>
    <t>WILLIAM &amp; NANCY PRATHER</t>
  </si>
  <si>
    <t xml:space="preserve">6952 W PASO TRL </t>
  </si>
  <si>
    <t>BOYINGTON M &amp; C LIVING TRUST</t>
  </si>
  <si>
    <t>PRATHER WILLIAM L &amp; NANCY L</t>
  </si>
  <si>
    <t>PATINO</t>
  </si>
  <si>
    <t>MANUEL PATINO</t>
  </si>
  <si>
    <t xml:space="preserve">7614 E SHERIDAN ST </t>
  </si>
  <si>
    <t>EL DORADO PARK ESTATES LOT 1-15</t>
  </si>
  <si>
    <t>EL DORADO PARK ESTATES</t>
  </si>
  <si>
    <t>MISHKO PHILLIP</t>
  </si>
  <si>
    <t>PATINO MANUEL RICHARD</t>
  </si>
  <si>
    <t>PIERSON</t>
  </si>
  <si>
    <t>AARON &amp; DANIELLE PIERSON</t>
  </si>
  <si>
    <t xml:space="preserve">1224 E DERRINGER WAY </t>
  </si>
  <si>
    <t>MARACAY AT PECOS UNIT 1</t>
  </si>
  <si>
    <t>CROSSCREEK</t>
  </si>
  <si>
    <t>CARMER ROBERT</t>
  </si>
  <si>
    <t>PIERSON AARON E</t>
  </si>
  <si>
    <t>BOST</t>
  </si>
  <si>
    <t>ELLAN</t>
  </si>
  <si>
    <t>SASHA</t>
  </si>
  <si>
    <t>ELLAN &amp; ELLAN LEE</t>
  </si>
  <si>
    <t xml:space="preserve">18427 W POST DR </t>
  </si>
  <si>
    <t>GOODMAN FAMILY TRUST</t>
  </si>
  <si>
    <t>BOST KENNETH R &amp; SASHA L E</t>
  </si>
  <si>
    <t>SANTISTEVAN</t>
  </si>
  <si>
    <t>JOHN SANTISTEVAN</t>
  </si>
  <si>
    <t xml:space="preserve">1707 N ACACIA </t>
  </si>
  <si>
    <t>HY-DEN PLACE UNIT 3 LOT 95-98 100-103 10</t>
  </si>
  <si>
    <t>HY DEN PLACE</t>
  </si>
  <si>
    <t>SISCHO BRIAN E &amp; SARAH E</t>
  </si>
  <si>
    <t>JOHN P SANTISTEVAN</t>
  </si>
  <si>
    <t>ZIER</t>
  </si>
  <si>
    <t>MICHAEL &amp; MONICA ZIER</t>
  </si>
  <si>
    <t xml:space="preserve">730 W LEWIS AVE </t>
  </si>
  <si>
    <t>ENCANTO VISTA</t>
  </si>
  <si>
    <t>PHOENIX FINANCING LLC</t>
  </si>
  <si>
    <t>MICHAEL C ZIER</t>
  </si>
  <si>
    <t>MONICA M ZIER</t>
  </si>
  <si>
    <t>HUERTA FAMILY LIVING TRUST</t>
  </si>
  <si>
    <t>HUERTA</t>
  </si>
  <si>
    <t xml:space="preserve">7431 E ORION CIR </t>
  </si>
  <si>
    <t>DESERT VISTAS UNIT 3 AT LAS SENDAS</t>
  </si>
  <si>
    <t>THE TERRACES</t>
  </si>
  <si>
    <t>BARNA PAUL &amp; KIM</t>
  </si>
  <si>
    <t>CORTRIGHT</t>
  </si>
  <si>
    <t>MICHAEL &amp; SHARON CORTRIGHT</t>
  </si>
  <si>
    <t xml:space="preserve">14421 N 14TH PL </t>
  </si>
  <si>
    <t>LEGACY AT THE POINTE  LOT 1-67 TR A-N</t>
  </si>
  <si>
    <t>LEGACY AT THE POINTE</t>
  </si>
  <si>
    <t>FOLEY COREY &amp; JANESSA</t>
  </si>
  <si>
    <t>CORTRIGHT MICHAEL C &amp; SHARON L</t>
  </si>
  <si>
    <t>BISHOP</t>
  </si>
  <si>
    <t>SHAUN &amp; ALICIA BISHOP</t>
  </si>
  <si>
    <t xml:space="preserve">20850 E MISTY LN </t>
  </si>
  <si>
    <t>HASTINGS FARMS PARCEL J</t>
  </si>
  <si>
    <t>THE ESTATES AT HASTINGS FARMS</t>
  </si>
  <si>
    <t>BLACK RICHARD F &amp; DEBORAH J</t>
  </si>
  <si>
    <t>BISHOP SHAUN &amp; ALICIA</t>
  </si>
  <si>
    <t>RIVINGTON</t>
  </si>
  <si>
    <t>MARK &amp; SHANNON RIVINGTON</t>
  </si>
  <si>
    <t xml:space="preserve">18695 E BRAEBURN LN </t>
  </si>
  <si>
    <t>SOSSAMAN ESTATES PARCEL I</t>
  </si>
  <si>
    <t>MOLAND POLLY A</t>
  </si>
  <si>
    <t>RIVINGTON MARK &amp; SHANNON</t>
  </si>
  <si>
    <t>HREN</t>
  </si>
  <si>
    <t>DOUGLAS HREN</t>
  </si>
  <si>
    <t xml:space="preserve">14514 W HURON DR </t>
  </si>
  <si>
    <t>SUN CITY WEST 44  LOT 1-340 TR A-E</t>
  </si>
  <si>
    <t>NORGON JAMES E &amp; PATRICIA A</t>
  </si>
  <si>
    <t>HREN DOUGLAS J</t>
  </si>
  <si>
    <t>LACEY</t>
  </si>
  <si>
    <t>DANIEL JOHNSON &amp; JEAN LACEY</t>
  </si>
  <si>
    <t xml:space="preserve">613 W SERENO DR </t>
  </si>
  <si>
    <t>MARTINQUE LOT 1-87  TR A-E</t>
  </si>
  <si>
    <t>MARTINQUE</t>
  </si>
  <si>
    <t>WU JIE B</t>
  </si>
  <si>
    <t>JOHNSON DANIEL W &amp; LACEY J</t>
  </si>
  <si>
    <t>LAWLISS REVOCABLE TRUST</t>
  </si>
  <si>
    <t>LAWLISS</t>
  </si>
  <si>
    <t xml:space="preserve">16572 N 90TH AVE </t>
  </si>
  <si>
    <t>BERNHARDT RITA</t>
  </si>
  <si>
    <t>LAWLISS DENNIS &amp; BARBARA</t>
  </si>
  <si>
    <t>DAVID &amp; JULIE KELLY</t>
  </si>
  <si>
    <t xml:space="preserve">1521 E APPALOOSA CT </t>
  </si>
  <si>
    <t>SILVERSTONE RANCH</t>
  </si>
  <si>
    <t>METZGER TRACY</t>
  </si>
  <si>
    <t>KELLY DAVID &amp; JULIE</t>
  </si>
  <si>
    <t>YALE</t>
  </si>
  <si>
    <t>SIMONTON</t>
  </si>
  <si>
    <t>YALE &amp; JAMIE SIMONTON</t>
  </si>
  <si>
    <t xml:space="preserve">18029 W CHERYL DR </t>
  </si>
  <si>
    <t>LAUREATE</t>
  </si>
  <si>
    <t>MCMICKELL MARSHALL W &amp; JENNI</t>
  </si>
  <si>
    <t>YALE M SIMONTON</t>
  </si>
  <si>
    <t>JAMIE SIMONTON</t>
  </si>
  <si>
    <t>JERRY &amp; DEBORAH GRAY</t>
  </si>
  <si>
    <t xml:space="preserve">1891 S SADDLE ST </t>
  </si>
  <si>
    <t>MCKANE FAMILY TRUST</t>
  </si>
  <si>
    <t>GRAY JERRY &amp; DEBORAH</t>
  </si>
  <si>
    <t>BRASSFIELD</t>
  </si>
  <si>
    <t>RICKY &amp; ELIZABETH BRASSFIELD</t>
  </si>
  <si>
    <t xml:space="preserve">2736 E KAEL ST </t>
  </si>
  <si>
    <t>RANCHO DE ARBOLEDA LOT 1-129 TR A</t>
  </si>
  <si>
    <t>RANCHO DE ARBOLEDA</t>
  </si>
  <si>
    <t>STANN KEVIN M &amp; ANA L</t>
  </si>
  <si>
    <t>BRASSFIELD RICKY &amp; ELIZABETH</t>
  </si>
  <si>
    <t>HENDERSON &amp; DANETTE LEE</t>
  </si>
  <si>
    <t xml:space="preserve">3505 E MCDOWELL RD </t>
  </si>
  <si>
    <t>KRIEBEL JAMES D</t>
  </si>
  <si>
    <t>HENDERSON TORG B</t>
  </si>
  <si>
    <t>JEVONNA</t>
  </si>
  <si>
    <t>JASON &amp; JEVONNA JOHNSON</t>
  </si>
  <si>
    <t xml:space="preserve">5023 E JUSTICA ST </t>
  </si>
  <si>
    <t>TATUM RANCH PARCEL 26</t>
  </si>
  <si>
    <t>BRETTELL TAMMY L &amp; WILLIAM D</t>
  </si>
  <si>
    <t>JOHNSON JASON &amp; JEVONNA</t>
  </si>
  <si>
    <t>THEODORE &amp; MARK DAVIS</t>
  </si>
  <si>
    <t xml:space="preserve">3611 N LACONIA DR </t>
  </si>
  <si>
    <t>MERRICK BRIAN H &amp; C M TRUST</t>
  </si>
  <si>
    <t>DAVIS THEODORE D &amp; MARY K</t>
  </si>
  <si>
    <t>JAMES &amp; JOANN WEAVER</t>
  </si>
  <si>
    <t xml:space="preserve">1016 E DESERT HILLS ESTATE DR </t>
  </si>
  <si>
    <t>BRENNAN KEVIN J</t>
  </si>
  <si>
    <t>WEAVER JAMES &amp; JOANN</t>
  </si>
  <si>
    <t>OLIVARES</t>
  </si>
  <si>
    <t>JULIAN &amp; NICOLE OLIVARES</t>
  </si>
  <si>
    <t xml:space="preserve">3270 E ARIANNA CT </t>
  </si>
  <si>
    <t>KLASEEN MICHAEL W</t>
  </si>
  <si>
    <t>OLIVARES JR JULIAN</t>
  </si>
  <si>
    <t>OLIVARES NICOLE A</t>
  </si>
  <si>
    <t>FRANZEN</t>
  </si>
  <si>
    <t>STEVEN FRANZEN</t>
  </si>
  <si>
    <t xml:space="preserve">44728 N 22ND ST </t>
  </si>
  <si>
    <t>HUSGEN JAMES P</t>
  </si>
  <si>
    <t>FRANZEN STEVEN T</t>
  </si>
  <si>
    <t>RONNIE &amp; SALLY ELLIS</t>
  </si>
  <si>
    <t xml:space="preserve">1342 W COVE DR </t>
  </si>
  <si>
    <t>HARBOR POINT LOT 1-78 LAKE EASMT</t>
  </si>
  <si>
    <t>HARBOR POINT</t>
  </si>
  <si>
    <t>ECUCC LLC</t>
  </si>
  <si>
    <t>ELLIS RON</t>
  </si>
  <si>
    <t>MELVIN &amp; BEVERLY JOHNSON</t>
  </si>
  <si>
    <t xml:space="preserve">1724 E MALLORY ST </t>
  </si>
  <si>
    <t>FOREST KNOLL LT 1-81 TR A</t>
  </si>
  <si>
    <t>FOREST KNOLL</t>
  </si>
  <si>
    <t>GUERRERO FERNANDO</t>
  </si>
  <si>
    <t>JOHNSON MELVIN L</t>
  </si>
  <si>
    <t>MATTHEW &amp; EMILY BUCHANAN</t>
  </si>
  <si>
    <t xml:space="preserve">2135 E FREEPORT LN </t>
  </si>
  <si>
    <t>REGATTA AT VAL VISTA LAKES AMD LOT 1-108</t>
  </si>
  <si>
    <t>REGATTA AT VAL VISTA LAKES</t>
  </si>
  <si>
    <t>HANCOCK DESIREE</t>
  </si>
  <si>
    <t>BUCHANAN MATTHEW &amp; EMILY A</t>
  </si>
  <si>
    <t>NASO</t>
  </si>
  <si>
    <t>THOMAS &amp; JODI NASO</t>
  </si>
  <si>
    <t xml:space="preserve">6310 E DOVE VALLEY RD </t>
  </si>
  <si>
    <t>OHEARN ROBERT</t>
  </si>
  <si>
    <t>NASO THOMAS &amp; JODI L</t>
  </si>
  <si>
    <t>AARON PENNY</t>
  </si>
  <si>
    <t xml:space="preserve">12226 W CHASE LN </t>
  </si>
  <si>
    <t>PENNY AARON L</t>
  </si>
  <si>
    <t>MICKI</t>
  </si>
  <si>
    <t>LAPLANTE</t>
  </si>
  <si>
    <t>MICKI &amp; ROBERT LAPLANTE</t>
  </si>
  <si>
    <t xml:space="preserve">4221 S ADELLE </t>
  </si>
  <si>
    <t>MILLER MATTHEW</t>
  </si>
  <si>
    <t>LAPLANTE MICKI D &amp; ROBERT G</t>
  </si>
  <si>
    <t>WHITMER</t>
  </si>
  <si>
    <t>WADE &amp; LAURA WHITMER</t>
  </si>
  <si>
    <t xml:space="preserve">6502 W PORT ROYALE LN </t>
  </si>
  <si>
    <t>DAYBREAK UNIT 4 LOT 100-189</t>
  </si>
  <si>
    <t>DAYBREAK</t>
  </si>
  <si>
    <t>TAMURA FUSAKO</t>
  </si>
  <si>
    <t>WADE WHITMER</t>
  </si>
  <si>
    <t>LAURA WHITMER</t>
  </si>
  <si>
    <t>LIEN</t>
  </si>
  <si>
    <t>JOHN &amp; LIEN ANDERSON</t>
  </si>
  <si>
    <t xml:space="preserve">7517 W CARTER RD </t>
  </si>
  <si>
    <t>ANDERSON JOHN L &amp; LIEN P</t>
  </si>
  <si>
    <t>ROJO</t>
  </si>
  <si>
    <t>EDWARD ROJO</t>
  </si>
  <si>
    <t xml:space="preserve">11214 W BERMUDA DR </t>
  </si>
  <si>
    <t>GARDEN LAKES PARCEL 26 &amp; 31</t>
  </si>
  <si>
    <t>LOMA POINT III</t>
  </si>
  <si>
    <t>BORRERO ALEXANDER</t>
  </si>
  <si>
    <t>ROJO EDWARD D</t>
  </si>
  <si>
    <t>PAMELA JONES</t>
  </si>
  <si>
    <t xml:space="preserve">2426 E WINSTON DR </t>
  </si>
  <si>
    <t>HIGHLAND TERRACE</t>
  </si>
  <si>
    <t>STAGNER PROPERTY TRUST</t>
  </si>
  <si>
    <t>JONES PAMELA</t>
  </si>
  <si>
    <t>DOUGLAS MOSS</t>
  </si>
  <si>
    <t xml:space="preserve">4155 N 153RD DR </t>
  </si>
  <si>
    <t>MACHADO ROBERT</t>
  </si>
  <si>
    <t>MOSS DOUGLAS E &amp; JOAN M</t>
  </si>
  <si>
    <t>SEALS</t>
  </si>
  <si>
    <t>ANDREW &amp; SAMANTHA SEALS</t>
  </si>
  <si>
    <t xml:space="preserve">12830 W MILTON DR </t>
  </si>
  <si>
    <t>VISTANCIA VILLAGE A PARCEL A37</t>
  </si>
  <si>
    <t>STONECHASE</t>
  </si>
  <si>
    <t>MORRISON STEVEN R &amp; DARAWAN</t>
  </si>
  <si>
    <t>SEALS ANDREW J &amp; SAMANTHA J</t>
  </si>
  <si>
    <t>JESS</t>
  </si>
  <si>
    <t>JESS &amp; ALLISON LEE</t>
  </si>
  <si>
    <t xml:space="preserve">1354 E LOCUST DR </t>
  </si>
  <si>
    <t>LANTANA RANCH</t>
  </si>
  <si>
    <t>ADCOHA LLC</t>
  </si>
  <si>
    <t>TROY MI 48098</t>
  </si>
  <si>
    <t>LEE JESS M &amp; ALLISON M</t>
  </si>
  <si>
    <t>JESS M LEE</t>
  </si>
  <si>
    <t>ALLISON M LEE</t>
  </si>
  <si>
    <t>WALLER</t>
  </si>
  <si>
    <t>ROGER &amp; MARY WALLER</t>
  </si>
  <si>
    <t xml:space="preserve">18043 W CAMINO REAL DR </t>
  </si>
  <si>
    <t>ARIZONA TRADITIONS NORTH PARCEL 15</t>
  </si>
  <si>
    <t>COOK SHARON</t>
  </si>
  <si>
    <t>WALLER ROGER J &amp; MARY</t>
  </si>
  <si>
    <t>BOCK</t>
  </si>
  <si>
    <t>RICHARD &amp; RHONDA BOCK</t>
  </si>
  <si>
    <t xml:space="preserve">24665 S DESERT TRAIL DR </t>
  </si>
  <si>
    <t>SUN LAKES UNIT FORTY-TWO</t>
  </si>
  <si>
    <t>ISLEY ARTHUR M &amp; BEVERLY A</t>
  </si>
  <si>
    <t>BOCK RICK &amp; RHONDA</t>
  </si>
  <si>
    <t>MARIA HERRERA</t>
  </si>
  <si>
    <t xml:space="preserve">13603 W HOLLY ST </t>
  </si>
  <si>
    <t>LEE HELEN J</t>
  </si>
  <si>
    <t>HERRERA MARIA A</t>
  </si>
  <si>
    <t>FAGAN</t>
  </si>
  <si>
    <t>RONALEE</t>
  </si>
  <si>
    <t>GARY &amp; RONALEE FAGAN</t>
  </si>
  <si>
    <t xml:space="preserve">16422 N 111TH AVE </t>
  </si>
  <si>
    <t>SUN CITY 35</t>
  </si>
  <si>
    <t>SCHUBERT JOANN B LIVING TRUST</t>
  </si>
  <si>
    <t>FAGAN GARY L &amp; RONALEE J</t>
  </si>
  <si>
    <t>CARMACK</t>
  </si>
  <si>
    <t>ONAK</t>
  </si>
  <si>
    <t>CHRISTOPHER CARMACK &amp; JESSICA ONAK</t>
  </si>
  <si>
    <t xml:space="preserve">18146 W CARDINAL DR </t>
  </si>
  <si>
    <t>SUNCHASE AT ESTRELLA PARCEL 52 AMD</t>
  </si>
  <si>
    <t>CARMACK RYAN CHRISTOPHER</t>
  </si>
  <si>
    <t>ONAK JESSICA K</t>
  </si>
  <si>
    <t>SYMMONDS</t>
  </si>
  <si>
    <t>MARGO</t>
  </si>
  <si>
    <t>SYMMONDS &amp; YVONNE MARGO</t>
  </si>
  <si>
    <t xml:space="preserve">10343 W HAMMOND LN </t>
  </si>
  <si>
    <t>COUNTRY PLACE PHASE 4 PARCELS 11 12 AMD</t>
  </si>
  <si>
    <t>SYMMONDS LARRY J &amp; YVONNE</t>
  </si>
  <si>
    <t>SUSANNA</t>
  </si>
  <si>
    <t>ALVIN &amp; SUSANNA MARTINEZ</t>
  </si>
  <si>
    <t xml:space="preserve">5732 W HIDALGO AVE </t>
  </si>
  <si>
    <t>MARTINEZ SUSANNA L &amp; ALVIN R</t>
  </si>
  <si>
    <t>OBORNY</t>
  </si>
  <si>
    <t>TRAVIS OBORNY</t>
  </si>
  <si>
    <t xml:space="preserve">18647 W CAROL AVE </t>
  </si>
  <si>
    <t>OBORNY TRAVIS JOHN</t>
  </si>
  <si>
    <t>SAAVEDRA</t>
  </si>
  <si>
    <t>RODRIQUEZ</t>
  </si>
  <si>
    <t>DANIEL SAAVEDRA &amp; LAURA RODRIQUEZ</t>
  </si>
  <si>
    <t xml:space="preserve">1251 E BRENTRUP DR </t>
  </si>
  <si>
    <t>LKL EQUITIES LLC</t>
  </si>
  <si>
    <t>SAAVEDRA DANIEL</t>
  </si>
  <si>
    <t>MCKIBBEN</t>
  </si>
  <si>
    <t>ROBERT &amp; LORI MCKIBBEN</t>
  </si>
  <si>
    <t xml:space="preserve">29070 N 125TH DR </t>
  </si>
  <si>
    <t>MCKIBBEN ROBERT M &amp; LORI A</t>
  </si>
  <si>
    <t>DISIEN</t>
  </si>
  <si>
    <t>STEVEN &amp; HEATHER DISIEN</t>
  </si>
  <si>
    <t xml:space="preserve">765 E KYLE DR </t>
  </si>
  <si>
    <t>KELLEY KATHY F</t>
  </si>
  <si>
    <t>DISIEN STEVEN M &amp; HEATHER L</t>
  </si>
  <si>
    <t>EUBANK</t>
  </si>
  <si>
    <t>BRYAN &amp; MARGO EUBANK</t>
  </si>
  <si>
    <t xml:space="preserve">17885 W BADGER WAY </t>
  </si>
  <si>
    <t>CORONADO VILLAGE AT ESTRELLA MOUNTAIN RANCH</t>
  </si>
  <si>
    <t>EUBANK BRYAN D &amp; MARGO R</t>
  </si>
  <si>
    <t>DAVID &amp; TRACY JONES</t>
  </si>
  <si>
    <t xml:space="preserve">14456 W MERRELL ST </t>
  </si>
  <si>
    <t>MURGA RICARDO</t>
  </si>
  <si>
    <t>JONES DAVID W &amp; TRACY M</t>
  </si>
  <si>
    <t>STANLEY KING</t>
  </si>
  <si>
    <t xml:space="preserve">11645 N 156TH LN </t>
  </si>
  <si>
    <t>STANLEY W KING</t>
  </si>
  <si>
    <t>RUSSELL CAMERON</t>
  </si>
  <si>
    <t xml:space="preserve">7533 W JULIE DR </t>
  </si>
  <si>
    <t>ARROWHEAD RANCH 12  AMD LT 1-170 TR A-C</t>
  </si>
  <si>
    <t>BP &amp; TRUCKEY PROPS LLC</t>
  </si>
  <si>
    <t>CAMERON RUSSELL B</t>
  </si>
  <si>
    <t>SCHADOWSKY</t>
  </si>
  <si>
    <t>CHARLES SCHADOWSKY</t>
  </si>
  <si>
    <t xml:space="preserve">1402 E KRISTAL WAY </t>
  </si>
  <si>
    <t>COUNTRY HILLS 2 LOT 201-362 TR A</t>
  </si>
  <si>
    <t>COUNTRY HILLS</t>
  </si>
  <si>
    <t>ADAMS KEVIN P</t>
  </si>
  <si>
    <t>SCHADOWSKY CHARLES W</t>
  </si>
  <si>
    <t>RUGENSTEIN</t>
  </si>
  <si>
    <t>RUGENSTEIN &amp; SHANNON LEA</t>
  </si>
  <si>
    <t xml:space="preserve">1450 S PHEASANT DR </t>
  </si>
  <si>
    <t xml:space="preserve">10046 SAPPHIRE BERRY LN </t>
  </si>
  <si>
    <t>FISHERS</t>
  </si>
  <si>
    <t>IN</t>
  </si>
  <si>
    <t>GARDENS PARCEL 4</t>
  </si>
  <si>
    <t>GARDENS</t>
  </si>
  <si>
    <t>OAKS MCKAYLA M</t>
  </si>
  <si>
    <t>RUGENSTEIN ABRAM L &amp; SHANNON L</t>
  </si>
  <si>
    <t>ZERBER</t>
  </si>
  <si>
    <t>DALE ZERBER</t>
  </si>
  <si>
    <t xml:space="preserve">17434 W DESERT LN </t>
  </si>
  <si>
    <t>HUGILL ALBERT D &amp; DEBRA M</t>
  </si>
  <si>
    <t>ZERBER DALE R JR</t>
  </si>
  <si>
    <t>LANDRY</t>
  </si>
  <si>
    <t>DOMINIC LANDRY</t>
  </si>
  <si>
    <t xml:space="preserve">728 E POTTER DR </t>
  </si>
  <si>
    <t>BOURQUE GERARD W &amp; DAWN Y</t>
  </si>
  <si>
    <t>DOMINIC P LANDRY</t>
  </si>
  <si>
    <t>JAMES RAYMOND</t>
  </si>
  <si>
    <t xml:space="preserve">17805 W ADDIE LN </t>
  </si>
  <si>
    <t>ARIZONA TRADITIONS NORTH PARCEL 13</t>
  </si>
  <si>
    <t>MILLER JEFFREY T &amp; JANICE A</t>
  </si>
  <si>
    <t>RAYMOND JAMES</t>
  </si>
  <si>
    <t>WILCOX</t>
  </si>
  <si>
    <t>CHAD &amp; HILDA WILCOX</t>
  </si>
  <si>
    <t xml:space="preserve">3427 W VIA MONTOYA DR </t>
  </si>
  <si>
    <t>TERRACINA</t>
  </si>
  <si>
    <t>MCMANUS KEITH E</t>
  </si>
  <si>
    <t>WILCOX CHAD J</t>
  </si>
  <si>
    <t>MICHAEL &amp; BRITTANY MCCOY</t>
  </si>
  <si>
    <t xml:space="preserve">11433 E FLORIAN AVE </t>
  </si>
  <si>
    <t>SILVERWOOD AMD</t>
  </si>
  <si>
    <t>SILVERWOOD</t>
  </si>
  <si>
    <t>COLE SCOTT</t>
  </si>
  <si>
    <t>MCCOY MICHAEL &amp; BRITTANY</t>
  </si>
  <si>
    <t>BLACKWOOD</t>
  </si>
  <si>
    <t>PAUL &amp; THERESA BLACKWOOD</t>
  </si>
  <si>
    <t xml:space="preserve">8204 E PERALTA AVE </t>
  </si>
  <si>
    <t>BOULDER CREEK UNIT 4</t>
  </si>
  <si>
    <t>THERIAULT KENNETH W</t>
  </si>
  <si>
    <t>WEI MTG</t>
  </si>
  <si>
    <t>MCLEAN VA 22102</t>
  </si>
  <si>
    <t>PAUL BLACKWOOD</t>
  </si>
  <si>
    <t>THERESA L BLACKWOOD</t>
  </si>
  <si>
    <t>BRITTNEY</t>
  </si>
  <si>
    <t>BLAIR &amp; BRITTNEY MASON</t>
  </si>
  <si>
    <t xml:space="preserve">3504 N LOS ALAMOS </t>
  </si>
  <si>
    <t>MASON BLAIR S &amp; BRITTNEY D</t>
  </si>
  <si>
    <t>MULLEN</t>
  </si>
  <si>
    <t>BRANDON MULLEN</t>
  </si>
  <si>
    <t xml:space="preserve">10226 W DALEY LN </t>
  </si>
  <si>
    <t>IRONWOOD PHASE 1A</t>
  </si>
  <si>
    <t>IRONWOOD ESTATES</t>
  </si>
  <si>
    <t>GOODMAN HARLEY D</t>
  </si>
  <si>
    <t>MULLEN BRANDON T</t>
  </si>
  <si>
    <t>URIAS</t>
  </si>
  <si>
    <t>ROBERT &amp; DEANNA URIAS</t>
  </si>
  <si>
    <t xml:space="preserve">12734 W WINDSOR AVE </t>
  </si>
  <si>
    <t>RANCHO SANTA FE PARCELS 12 13 14 &amp; 15</t>
  </si>
  <si>
    <t>PARKER STEVEN R</t>
  </si>
  <si>
    <t>ROBERT JR URIAS</t>
  </si>
  <si>
    <t>DEANNA M URIAS</t>
  </si>
  <si>
    <t>ALBERT LEA MN 56007</t>
  </si>
  <si>
    <t>URIAS ROBERT JR &amp; DEANNA M</t>
  </si>
  <si>
    <t>HARKNESS</t>
  </si>
  <si>
    <t>DANIEL &amp; LOUISE HARKNESS</t>
  </si>
  <si>
    <t xml:space="preserve">4673 S GRIFFITH WAY </t>
  </si>
  <si>
    <t>CORONADO RANCH PARCEL 2</t>
  </si>
  <si>
    <t>MAVERICKS 223 LLC</t>
  </si>
  <si>
    <t>HARKNESS DANIEL B &amp; LOUISE C</t>
  </si>
  <si>
    <t>MAURO</t>
  </si>
  <si>
    <t>MAURO &amp; DANA FLORES</t>
  </si>
  <si>
    <t xml:space="preserve">6210 N 124TH DR </t>
  </si>
  <si>
    <t>HUGHES EUGENE L &amp; BEVERLY J</t>
  </si>
  <si>
    <t>FLORES MAURO &amp; DANA S</t>
  </si>
  <si>
    <t>LABONTE</t>
  </si>
  <si>
    <t>MELISSA LABONTE</t>
  </si>
  <si>
    <t xml:space="preserve">320 S LAVEEN DR </t>
  </si>
  <si>
    <t>FOSSETT ANTHONY</t>
  </si>
  <si>
    <t>LA BONTE MELISSA S</t>
  </si>
  <si>
    <t>JOHN CARLSON</t>
  </si>
  <si>
    <t xml:space="preserve">802 W EARLL DR </t>
  </si>
  <si>
    <t>CAMPUS MANOR</t>
  </si>
  <si>
    <t>LINGENFELTER JOHN R &amp; IRENE</t>
  </si>
  <si>
    <t>CARLSON JOHN L</t>
  </si>
  <si>
    <t>BABA</t>
  </si>
  <si>
    <t>KENNETH &amp; PAMELA BABA</t>
  </si>
  <si>
    <t xml:space="preserve">11406 W CRIMSON LN </t>
  </si>
  <si>
    <t>EWELL ENTS INC</t>
  </si>
  <si>
    <t>BABA KENNETH D</t>
  </si>
  <si>
    <t>CHRISTOPHER &amp; KARA SIMMONS</t>
  </si>
  <si>
    <t xml:space="preserve">207 N COUNTRY CLUB WAY </t>
  </si>
  <si>
    <t>PEPPERWOOD/CHANDLER UNIT 1 LOT 1-111 TR</t>
  </si>
  <si>
    <t>WILHELM WESTLEY</t>
  </si>
  <si>
    <t>SIMMONS CHRISTOPHER &amp; KARA</t>
  </si>
  <si>
    <t>GULLISH</t>
  </si>
  <si>
    <t>LYNDSEY</t>
  </si>
  <si>
    <t>CASEY &amp; LYNDSEY GULLISH</t>
  </si>
  <si>
    <t xml:space="preserve">4213 E LEWIS AVE </t>
  </si>
  <si>
    <t>RANCHO VENTURA TR 5</t>
  </si>
  <si>
    <t>BEEBOUT ANTHONY</t>
  </si>
  <si>
    <t>SAN DIEGO CA 92128</t>
  </si>
  <si>
    <t>GULLISH CASEY E &amp; LYNDSEY</t>
  </si>
  <si>
    <t>DARYL LEWIS</t>
  </si>
  <si>
    <t xml:space="preserve">6121 S 46TH AVE </t>
  </si>
  <si>
    <t>ROGERS RANCH UNIT 2</t>
  </si>
  <si>
    <t>HERMAN LIVING TRUST</t>
  </si>
  <si>
    <t>LEWIS DARYL E</t>
  </si>
  <si>
    <t>KIRK DAVIS</t>
  </si>
  <si>
    <t xml:space="preserve">17624 W LILAC ST </t>
  </si>
  <si>
    <t>TOMCO PHILIP</t>
  </si>
  <si>
    <t>DAVIS KIRK</t>
  </si>
  <si>
    <t>PHILLIP NAVA</t>
  </si>
  <si>
    <t xml:space="preserve">831 W KNOWLES CIR </t>
  </si>
  <si>
    <t>WOODGLEN UNIT 3 LOT 249-391</t>
  </si>
  <si>
    <t>MARTIN ANDREW W &amp; CORNELIA M</t>
  </si>
  <si>
    <t>NAVA PHILLIP</t>
  </si>
  <si>
    <t>DEBROY</t>
  </si>
  <si>
    <t>MICHAEL DEBROY</t>
  </si>
  <si>
    <t xml:space="preserve">1419 E JASPER DR </t>
  </si>
  <si>
    <t>STRAWBERRY POINT 3 LOT 201-302 TRACT A</t>
  </si>
  <si>
    <t>STRAWBERRY POINT</t>
  </si>
  <si>
    <t>JENSEN BLAKE</t>
  </si>
  <si>
    <t>DEBROY MICHAEL</t>
  </si>
  <si>
    <t>CHERYL &amp; HERBERT ROBERGE</t>
  </si>
  <si>
    <t xml:space="preserve">3920 E ANDORRA DR </t>
  </si>
  <si>
    <t>PARADISE VALLEY OASIS 6 LOTS 827-1252</t>
  </si>
  <si>
    <t>SOUTHERN EAST</t>
  </si>
  <si>
    <t>ADAMEAK KATHRYN</t>
  </si>
  <si>
    <t>ROBERGE CHERYL &amp; HERBERT</t>
  </si>
  <si>
    <t>DEASIS</t>
  </si>
  <si>
    <t>BITANCOR</t>
  </si>
  <si>
    <t>DEASIS &amp; CHRISTINA BITANCOR</t>
  </si>
  <si>
    <t xml:space="preserve">12601 W COLTER ST </t>
  </si>
  <si>
    <t>CUBILLO ANTHONY D</t>
  </si>
  <si>
    <t>DE ASIS PETER S &amp; CHRISTINA B</t>
  </si>
  <si>
    <t>ADIX LIVING TRUST</t>
  </si>
  <si>
    <t>ADIX</t>
  </si>
  <si>
    <t xml:space="preserve">1519 E DESERT LN </t>
  </si>
  <si>
    <t>PLAZA DEL SOL ESTATES</t>
  </si>
  <si>
    <t>NELSON JEFFREY</t>
  </si>
  <si>
    <t>ADICKES STEVEN D &amp; KERI R</t>
  </si>
  <si>
    <t>PIRIE</t>
  </si>
  <si>
    <t>MICHAEL PIRIE</t>
  </si>
  <si>
    <t xml:space="preserve">21607 E CALLE DE FLORES </t>
  </si>
  <si>
    <t>VILLAGES AT QUEEN CREEK PARCEL 12</t>
  </si>
  <si>
    <t>DE MICCO DANIEL D</t>
  </si>
  <si>
    <t>PIRIE MICHAEL</t>
  </si>
  <si>
    <t>VIE</t>
  </si>
  <si>
    <t>VIE &amp; VIE HANNA</t>
  </si>
  <si>
    <t xml:space="preserve">12650 N 34TH PL </t>
  </si>
  <si>
    <t>MELROSE PARK PARADISE</t>
  </si>
  <si>
    <t>MCDONOUGH CATHERINE M</t>
  </si>
  <si>
    <t>VIE JONATHAN &amp; HANNA</t>
  </si>
  <si>
    <t>ROMO</t>
  </si>
  <si>
    <t>JOSE ROMO</t>
  </si>
  <si>
    <t xml:space="preserve">11328 N 153RD DR </t>
  </si>
  <si>
    <t>MARINO LAUREE J P</t>
  </si>
  <si>
    <t>ROMO JOSE</t>
  </si>
  <si>
    <t>FECHTEL</t>
  </si>
  <si>
    <t>MARK FECHTEL</t>
  </si>
  <si>
    <t xml:space="preserve">16992 W IPSWITCH WAY </t>
  </si>
  <si>
    <t>CHRISTENSEN RICHARD W &amp; HEAT</t>
  </si>
  <si>
    <t>FECHTEL MARK EDWARD</t>
  </si>
  <si>
    <t>ROBINSON &amp; KATHERINE DENISE</t>
  </si>
  <si>
    <t xml:space="preserve">21921 N 120TH AVE </t>
  </si>
  <si>
    <t>ROBINSON PAUL MARTIN &amp; KATHER</t>
  </si>
  <si>
    <t>ARON</t>
  </si>
  <si>
    <t>LINDE</t>
  </si>
  <si>
    <t>ARON LINDE</t>
  </si>
  <si>
    <t xml:space="preserve">18613 W BERYL AVE </t>
  </si>
  <si>
    <t>LINDE ARON</t>
  </si>
  <si>
    <t>DORANTES</t>
  </si>
  <si>
    <t>FRANCISCO &amp; GUADALUPE DORANTES</t>
  </si>
  <si>
    <t xml:space="preserve">16217 W DAVIS RD </t>
  </si>
  <si>
    <t>MOUNTAIN VISTA RANCH PARCEL 15</t>
  </si>
  <si>
    <t>RICE DAVID A</t>
  </si>
  <si>
    <t>DORANTES FRANCISCO &amp; GUADALUPE</t>
  </si>
  <si>
    <t>BAYLES</t>
  </si>
  <si>
    <t>AARON &amp; SARA BAYLES</t>
  </si>
  <si>
    <t xml:space="preserve">1031 E VERMONT AVE </t>
  </si>
  <si>
    <t>TOWN HOUSE MANOR</t>
  </si>
  <si>
    <t>SMITH GREGORY D</t>
  </si>
  <si>
    <t>BAYLES AARON KENT</t>
  </si>
  <si>
    <t>MARVIN &amp; CHRISTINA BERGER</t>
  </si>
  <si>
    <t xml:space="preserve">9987 E FANFOL DR </t>
  </si>
  <si>
    <t>MISSION MONTEREY UNIT 2 LOT 46-112 TR E-</t>
  </si>
  <si>
    <t>MISSION MONTEREY</t>
  </si>
  <si>
    <t>PLUNKETT KEVIN M</t>
  </si>
  <si>
    <t>BERGER MARVIN &amp; CHRISTINA</t>
  </si>
  <si>
    <t>MARVIN BERGER</t>
  </si>
  <si>
    <t>CHRISTINA BERGER</t>
  </si>
  <si>
    <t>HEINRICH</t>
  </si>
  <si>
    <t>MICHAEL &amp; LINDSAY HEINRICH</t>
  </si>
  <si>
    <t xml:space="preserve">4740 E AMBERWOOD DR </t>
  </si>
  <si>
    <t>FOOTHILLS GATEWAY 3</t>
  </si>
  <si>
    <t>FOOTHILLS GATEWAY</t>
  </si>
  <si>
    <t>MOSCA JOSEPH O</t>
  </si>
  <si>
    <t>HEINRICH MICHAEL K &amp; LINDSAY L</t>
  </si>
  <si>
    <t>LORRAINE</t>
  </si>
  <si>
    <t>BAKER &amp; WANDA LORRAINE</t>
  </si>
  <si>
    <t xml:space="preserve">23323 N 121ST DR </t>
  </si>
  <si>
    <t xml:space="preserve">16032 N VERDE ST </t>
  </si>
  <si>
    <t>SIMS ACQUISITION CO SAC</t>
  </si>
  <si>
    <t>BAKER JOHN JOSEPH &amp; WANDA LORRAINE</t>
  </si>
  <si>
    <t>MANN</t>
  </si>
  <si>
    <t>LANE MANN &amp; LINDSAY GOMEZ</t>
  </si>
  <si>
    <t xml:space="preserve">923 E AIRE LIBRE AVE </t>
  </si>
  <si>
    <t>BROWN ROBERT H JR</t>
  </si>
  <si>
    <t>MANN LANE</t>
  </si>
  <si>
    <t>GOMEZ LINDSAY R</t>
  </si>
  <si>
    <t>CHRISTOPHER ZIMMERMAN</t>
  </si>
  <si>
    <t xml:space="preserve">5013 W CHRISTY DR </t>
  </si>
  <si>
    <t>GREENBRIER UNIT 3</t>
  </si>
  <si>
    <t>KLES PROPERTIES LLC</t>
  </si>
  <si>
    <t>ZIMMERMAN CHRISTOPHER</t>
  </si>
  <si>
    <t>FRALEY</t>
  </si>
  <si>
    <t>JOHN &amp; JULIE FRALEY</t>
  </si>
  <si>
    <t xml:space="preserve">4413 W ESCUDA DR </t>
  </si>
  <si>
    <t>EMPIRE RESIDL OPPORTUNITY</t>
  </si>
  <si>
    <t>FRALEY JOHN M &amp; JULIE R</t>
  </si>
  <si>
    <t>BECKER</t>
  </si>
  <si>
    <t>CORY BECKER</t>
  </si>
  <si>
    <t xml:space="preserve">17736 W PARADISE LN </t>
  </si>
  <si>
    <t>SURPRISE FARMS PHASE 2 PARCEL 5</t>
  </si>
  <si>
    <t>DISCOVERY</t>
  </si>
  <si>
    <t>GORILLA CAP OF MARICOPA CN 40</t>
  </si>
  <si>
    <t>BECKER CORY J</t>
  </si>
  <si>
    <t>SONCRANT</t>
  </si>
  <si>
    <t>TRUDY</t>
  </si>
  <si>
    <t>MARIE &amp; MARIE THOMAS</t>
  </si>
  <si>
    <t xml:space="preserve">8998 W RUTH AVE </t>
  </si>
  <si>
    <t>SONCRANT EDWARD THOMAS &amp; TRUDY MARIE</t>
  </si>
  <si>
    <t>JOHN WELLS</t>
  </si>
  <si>
    <t xml:space="preserve">297 W LIBERTY LN </t>
  </si>
  <si>
    <t>DAVE BROWN LAMOREAUX FARMS</t>
  </si>
  <si>
    <t>SCHWALLIER KEVIN C</t>
  </si>
  <si>
    <t>WELLS JOHN</t>
  </si>
  <si>
    <t>SZUCH</t>
  </si>
  <si>
    <t>TREVOR &amp; TIFFANY SZUCH</t>
  </si>
  <si>
    <t xml:space="preserve">14829 W BLOOMFIELD RD </t>
  </si>
  <si>
    <t>MURPHY PATRICK J</t>
  </si>
  <si>
    <t>HOMETOWN LNDRS</t>
  </si>
  <si>
    <t>HUNTSVILLE AL 35806</t>
  </si>
  <si>
    <t>TREVOR M SZUCH</t>
  </si>
  <si>
    <t>TIFFANY L SZUCH</t>
  </si>
  <si>
    <t>DAVIS RICHARD A SR LIVING TRUS</t>
  </si>
  <si>
    <t>A DAVISRICHARD</t>
  </si>
  <si>
    <t xml:space="preserve">10902 W SOUTHERN AVE #1 </t>
  </si>
  <si>
    <t xml:space="preserve">10902 W SOUTHERN AVE </t>
  </si>
  <si>
    <t>ESTRELLA COUNTRY ESTATES</t>
  </si>
  <si>
    <t>DILLMORE THOMAS P &amp; LINDA C</t>
  </si>
  <si>
    <t>DAVIS RICHARD A SR &amp; FRANCES R</t>
  </si>
  <si>
    <t>NIKOLAS</t>
  </si>
  <si>
    <t>RASHETA</t>
  </si>
  <si>
    <t>ANISSA</t>
  </si>
  <si>
    <t>NIKOLAS &amp; ANISSA RASHETA</t>
  </si>
  <si>
    <t xml:space="preserve">764 N YORK CIR </t>
  </si>
  <si>
    <t>LINDSAY PARK NORTH LOT 1-121 PARCEL 1 &amp;</t>
  </si>
  <si>
    <t>LINDSAY PARK NORTH</t>
  </si>
  <si>
    <t>STIMSON TIFANY</t>
  </si>
  <si>
    <t>RASHETA NIKOLAS T &amp; ANISSA R</t>
  </si>
  <si>
    <t>VINCENT &amp; CHRISTINE ABELLA</t>
  </si>
  <si>
    <t xml:space="preserve">43 N VALENCIA PL </t>
  </si>
  <si>
    <t>R100</t>
  </si>
  <si>
    <t>BRENNA PARK</t>
  </si>
  <si>
    <t>SGUARDO BROOKE C</t>
  </si>
  <si>
    <t>ABELLA VINCENT O</t>
  </si>
  <si>
    <t>TRICHE</t>
  </si>
  <si>
    <t>WILLIAM &amp; ANNA TRICHE</t>
  </si>
  <si>
    <t xml:space="preserve">43 W SHAMROCK ST </t>
  </si>
  <si>
    <t>KURELA RAYMOND A &amp; SUSAN</t>
  </si>
  <si>
    <t>TRICHE WILLIAM P &amp; ANNA</t>
  </si>
  <si>
    <t>ERIC &amp; SHANNON WILCOX</t>
  </si>
  <si>
    <t xml:space="preserve">3535 E TERRACE AVE </t>
  </si>
  <si>
    <t>CAMERON RANCH</t>
  </si>
  <si>
    <t>AGHAREZA MINA</t>
  </si>
  <si>
    <t>WILCOX ERIC</t>
  </si>
  <si>
    <t>ZIEGLER</t>
  </si>
  <si>
    <t>ERIC &amp; ANNA ZIEGLER</t>
  </si>
  <si>
    <t xml:space="preserve">18160 N 63RD DR </t>
  </si>
  <si>
    <t>REINISCH KLAUS</t>
  </si>
  <si>
    <t>ZIEGLER ERIC D &amp; ANNA L</t>
  </si>
  <si>
    <t>ADAM RADLOFF</t>
  </si>
  <si>
    <t xml:space="preserve">2372 E SPRINGFIELD PL </t>
  </si>
  <si>
    <t>PECOS ALDEA UNIT 3</t>
  </si>
  <si>
    <t>DELISI PHILIP JR FAMILY TRUST</t>
  </si>
  <si>
    <t>RADLOFF ADAM</t>
  </si>
  <si>
    <t>RUSHLO</t>
  </si>
  <si>
    <t>ROBIN &amp; KATHY RUSHLO</t>
  </si>
  <si>
    <t xml:space="preserve">4420 W PLEASANT LN </t>
  </si>
  <si>
    <t>ANDERSON DOUGLAS R</t>
  </si>
  <si>
    <t>RUSHLO ROBIN T &amp; KATHY B</t>
  </si>
  <si>
    <t>PETERESA LLC</t>
  </si>
  <si>
    <t>6729 N 57TH DR GLENDALE AZ 85301-3216</t>
  </si>
  <si>
    <t>ROBIN T RUSHLO</t>
  </si>
  <si>
    <t>KATHY B RUSHLO</t>
  </si>
  <si>
    <t>EVELNG</t>
  </si>
  <si>
    <t>THOMAS &amp; EVELNG JORDAN</t>
  </si>
  <si>
    <t xml:space="preserve">28911 N 248TH LN </t>
  </si>
  <si>
    <t>TIEGEN JOHN</t>
  </si>
  <si>
    <t>JORDAN THOMAS R</t>
  </si>
  <si>
    <t>FLANIGAN</t>
  </si>
  <si>
    <t>CONSTANCE</t>
  </si>
  <si>
    <t>JAMES &amp; CONSTANCE FLANIGAN</t>
  </si>
  <si>
    <t xml:space="preserve">9510 W HIDDEN VALLEY CIR </t>
  </si>
  <si>
    <t>SUN CITY 31</t>
  </si>
  <si>
    <t>SMITH ROBERT T &amp; CYNTHIA M</t>
  </si>
  <si>
    <t>FLANIGAN JAMES F &amp; CONSTANCE</t>
  </si>
  <si>
    <t>VIRGILIO</t>
  </si>
  <si>
    <t>SAROMO</t>
  </si>
  <si>
    <t>VILMA</t>
  </si>
  <si>
    <t>VIRGILIO &amp; VILMA SAROMO</t>
  </si>
  <si>
    <t xml:space="preserve">10917 W COTTONWOOD LN </t>
  </si>
  <si>
    <t>JORDAN OTRIS</t>
  </si>
  <si>
    <t>SAROMO VIRGILIO &amp; VILMA P</t>
  </si>
  <si>
    <t>MONTY</t>
  </si>
  <si>
    <t>YEO</t>
  </si>
  <si>
    <t>MONTY &amp; JENNIFER YEO</t>
  </si>
  <si>
    <t xml:space="preserve">24447 N 35TH DR </t>
  </si>
  <si>
    <t>PARCEL 3A AT NORTH CANYON RANCH</t>
  </si>
  <si>
    <t>KREBS DAVID M</t>
  </si>
  <si>
    <t>ACADEMY MORTGAGE CORP</t>
  </si>
  <si>
    <t>YEO MONTY &amp; JENNIFER</t>
  </si>
  <si>
    <t>PAVAN</t>
  </si>
  <si>
    <t>CHRISTOPHER PAVAN</t>
  </si>
  <si>
    <t xml:space="preserve">2707 N 20TH AVE </t>
  </si>
  <si>
    <t>ENCANTO ESTATES</t>
  </si>
  <si>
    <t>GLEASON WENDY</t>
  </si>
  <si>
    <t>PAYAN CHRISTOPHER</t>
  </si>
  <si>
    <t>SYNTHIA</t>
  </si>
  <si>
    <t>ROBERT &amp; SYNTHIA LANE</t>
  </si>
  <si>
    <t xml:space="preserve">11933 W CYPRESS ST </t>
  </si>
  <si>
    <t>DONATELA 2 AMD</t>
  </si>
  <si>
    <t>DONATELA</t>
  </si>
  <si>
    <t>LANE ROBERT &amp; SYNTHIA</t>
  </si>
  <si>
    <t>BUBON</t>
  </si>
  <si>
    <t>CHRISTIAN BUBON</t>
  </si>
  <si>
    <t xml:space="preserve">6606 N 418TH AVE </t>
  </si>
  <si>
    <t>WEST PHOENIX ESTATES  6</t>
  </si>
  <si>
    <t>WEST PHOENIX ESTATES</t>
  </si>
  <si>
    <t>PLEASANT VALLEY INV LLC</t>
  </si>
  <si>
    <t>BUBON CHRISTIAN A</t>
  </si>
  <si>
    <t>NARCIA</t>
  </si>
  <si>
    <t>BRENDAN &amp; REBECCA NARCIA</t>
  </si>
  <si>
    <t xml:space="preserve">5336 W BERYL AVE </t>
  </si>
  <si>
    <t>STACU GHIORGHE</t>
  </si>
  <si>
    <t>NARCIA BRENDAN</t>
  </si>
  <si>
    <t>HARRIS PROPERTY HOLDINGS LLC</t>
  </si>
  <si>
    <t xml:space="preserve">3702 E SHAW BUTTE DR </t>
  </si>
  <si>
    <t xml:space="preserve">4242 E CACTUS RD #324 </t>
  </si>
  <si>
    <t>STAR OF PARADISE</t>
  </si>
  <si>
    <t>SEVEN STONES INVS LLC</t>
  </si>
  <si>
    <t>HARRIS CODY M</t>
  </si>
  <si>
    <t>MOE</t>
  </si>
  <si>
    <t>KEVIN MOE &amp; MARIE ASHLEY</t>
  </si>
  <si>
    <t xml:space="preserve">14212 W CALAVAR RD </t>
  </si>
  <si>
    <t>SIERRA VERDE PARCEL 1</t>
  </si>
  <si>
    <t>MOE KEVIN D &amp; ASHLEY M</t>
  </si>
  <si>
    <t>HAINES</t>
  </si>
  <si>
    <t>JOHN &amp; JEANNE HAINES</t>
  </si>
  <si>
    <t xml:space="preserve">1753 E DIAMOND AVE </t>
  </si>
  <si>
    <t>CARSTENS MANOR</t>
  </si>
  <si>
    <t>FRANKLIN EAST ELEMENTARY SCHOOL</t>
  </si>
  <si>
    <t>MASON DAVID J</t>
  </si>
  <si>
    <t>HAINES SR JOHN R</t>
  </si>
  <si>
    <t>HAINES JEANNE M</t>
  </si>
  <si>
    <t>BURTON FAMILY TRUST</t>
  </si>
  <si>
    <t>KRISTAL</t>
  </si>
  <si>
    <t xml:space="preserve">2210 S LONGWOOD </t>
  </si>
  <si>
    <t>BRAKEMAN BRENDA L</t>
  </si>
  <si>
    <t>BURTON MATTHEW Y</t>
  </si>
  <si>
    <t>AVITIA</t>
  </si>
  <si>
    <t>AVITIA &amp; ANGELA CHRISTINE</t>
  </si>
  <si>
    <t xml:space="preserve">5201 E KAREN DR </t>
  </si>
  <si>
    <t>COVEY LOT 1-180</t>
  </si>
  <si>
    <t>COVEY</t>
  </si>
  <si>
    <t>AVITIA ARTHUR II &amp; ANGELA C</t>
  </si>
  <si>
    <t>TIMOTHY &amp; HELEN OLSON</t>
  </si>
  <si>
    <t xml:space="preserve">17202 W GAMBIT TRL </t>
  </si>
  <si>
    <t>DESERT OASIS PARCEL L11</t>
  </si>
  <si>
    <t>MANGO WALID</t>
  </si>
  <si>
    <t>OLSON TIMOTHY W &amp; HELEN C</t>
  </si>
  <si>
    <t>TYRRELL</t>
  </si>
  <si>
    <t>JOSEPH &amp; KELLY TYRRELL</t>
  </si>
  <si>
    <t xml:space="preserve">17410 W BUCKHORN TRL </t>
  </si>
  <si>
    <t>DESERT OASIS PARCEL 14B</t>
  </si>
  <si>
    <t>EDWARDS SHANE A</t>
  </si>
  <si>
    <t>TYRRELL JOSEPH</t>
  </si>
  <si>
    <t>KRONEMEYER</t>
  </si>
  <si>
    <t>KEVIN KRONEMEYER &amp; CHRISTINA COX</t>
  </si>
  <si>
    <t xml:space="preserve">1933 E AUBURN DR </t>
  </si>
  <si>
    <t>VERVILLE KATHLEEN G</t>
  </si>
  <si>
    <t>KRONEMEYER KEVIN</t>
  </si>
  <si>
    <t>COX CHRISTINA</t>
  </si>
  <si>
    <t>CUMMINS</t>
  </si>
  <si>
    <t>BANDIN</t>
  </si>
  <si>
    <t>STEFANIE</t>
  </si>
  <si>
    <t>CUMMINS &amp; STEFANIE BANDIN</t>
  </si>
  <si>
    <t xml:space="preserve">18007 W PORT AU PRINCE LN </t>
  </si>
  <si>
    <t>ROCKING A PROPERTIES LLC</t>
  </si>
  <si>
    <t>CUMMINS SHANE M &amp; STEFANIE B</t>
  </si>
  <si>
    <t>BOLTON</t>
  </si>
  <si>
    <t>DANIEL BOLTON</t>
  </si>
  <si>
    <t xml:space="preserve">7252 E GRANADA RD </t>
  </si>
  <si>
    <t>SCOTTSDALE ESTATES AMD</t>
  </si>
  <si>
    <t>SCOTTSDALE ESTATES</t>
  </si>
  <si>
    <t>ENNS NADYA E</t>
  </si>
  <si>
    <t>BOLTON DANIEL W</t>
  </si>
  <si>
    <t>KELVIN</t>
  </si>
  <si>
    <t>PORTIS</t>
  </si>
  <si>
    <t>YOSHIKO</t>
  </si>
  <si>
    <t>KELVIN &amp; YOSHIKO PORTIS</t>
  </si>
  <si>
    <t xml:space="preserve">18640 W PIONEER ST </t>
  </si>
  <si>
    <t>KELVIN PORTIS</t>
  </si>
  <si>
    <t>YOSHIKO S PORTIS</t>
  </si>
  <si>
    <t>SINGLETON</t>
  </si>
  <si>
    <t>KEEGAN</t>
  </si>
  <si>
    <t>SINGLETON &amp; JESSICA KEEGAN</t>
  </si>
  <si>
    <t xml:space="preserve">24740 W WEDGEWOOD AVE </t>
  </si>
  <si>
    <t>SINGLETON DANIEL KEITH</t>
  </si>
  <si>
    <t>FRANK &amp; SARAH GOMEZ</t>
  </si>
  <si>
    <t xml:space="preserve">7259 E GLENCOVE ST </t>
  </si>
  <si>
    <t>REDFEARN BOBBY L</t>
  </si>
  <si>
    <t>GOMEZ FRANK E &amp; SARAH C</t>
  </si>
  <si>
    <t>WEBBER</t>
  </si>
  <si>
    <t>ADAM &amp; TRICIA WEBBER</t>
  </si>
  <si>
    <t xml:space="preserve">3453 E AZALEA DR </t>
  </si>
  <si>
    <t>ADAM J WEBBER</t>
  </si>
  <si>
    <t>TRICIA M WEBBER</t>
  </si>
  <si>
    <t>SALCIDO</t>
  </si>
  <si>
    <t>NICOLASA</t>
  </si>
  <si>
    <t>MARK &amp; NICOLASA SALCIDO</t>
  </si>
  <si>
    <t xml:space="preserve">10905 W LOCUST LN </t>
  </si>
  <si>
    <t>SANCTUARY AT AVONDALE PARCELS 1 &amp; 3</t>
  </si>
  <si>
    <t>SANCTUARY</t>
  </si>
  <si>
    <t>QUENTIN ELEMENTARY SCHOOL</t>
  </si>
  <si>
    <t>JANEZIC GREGORY M</t>
  </si>
  <si>
    <t>MARK A SALCIDO &amp; MARK A&amp;SALCIDO</t>
  </si>
  <si>
    <t>SALAZAR</t>
  </si>
  <si>
    <t>MARGARET SALAZAR</t>
  </si>
  <si>
    <t xml:space="preserve">15285 W ROANOKE AVE </t>
  </si>
  <si>
    <t>MILLS SHARON K</t>
  </si>
  <si>
    <t>SALAZAR MARGARET</t>
  </si>
  <si>
    <t>VOS</t>
  </si>
  <si>
    <t>THOMAS VOS</t>
  </si>
  <si>
    <t xml:space="preserve">6611 W CARIBBEAN LN </t>
  </si>
  <si>
    <t>STOKES KIRK A &amp; PAMELA M</t>
  </si>
  <si>
    <t>VOS THOMAS J</t>
  </si>
  <si>
    <t>JARIAN</t>
  </si>
  <si>
    <t>DRANE</t>
  </si>
  <si>
    <t>GERMAINE</t>
  </si>
  <si>
    <t>GUZMAN</t>
  </si>
  <si>
    <t>JARIAN DRANE &amp; GERMAINE GUZMAN</t>
  </si>
  <si>
    <t xml:space="preserve">4035 E ANDERSON DR </t>
  </si>
  <si>
    <t>TOPCIK DEBORAH</t>
  </si>
  <si>
    <t>DRANE JARIAN D</t>
  </si>
  <si>
    <t>JEMIAH</t>
  </si>
  <si>
    <t>JEMIAH &amp; DAWN MARTIN</t>
  </si>
  <si>
    <t xml:space="preserve">11463 E RAMBLEWOOD AVE </t>
  </si>
  <si>
    <t>MOUNTAIN RANCH UNIT 4</t>
  </si>
  <si>
    <t>CARTUS FINANCIAL CORP</t>
  </si>
  <si>
    <t>MARTIN JEMIAH R &amp; DAWN P</t>
  </si>
  <si>
    <t>BEAU</t>
  </si>
  <si>
    <t>ECHO</t>
  </si>
  <si>
    <t>BEAU &amp; ECHO BOYD</t>
  </si>
  <si>
    <t xml:space="preserve">9319 E FAIRBROOK ST </t>
  </si>
  <si>
    <t>VALENCIA MAGAN &amp; DAMION</t>
  </si>
  <si>
    <t>BOYD BEAU &amp; ECHO</t>
  </si>
  <si>
    <t>SUNNY &amp; KEVIN JOHNSON</t>
  </si>
  <si>
    <t xml:space="preserve">24411 S LAKESTAR DR </t>
  </si>
  <si>
    <t>SUN LAKES UNIT 38</t>
  </si>
  <si>
    <t>CORABI JEANETTE L TRUSTEE</t>
  </si>
  <si>
    <t>JOHNSON SUNNY E &amp; KEVIN D</t>
  </si>
  <si>
    <t>HIGHT</t>
  </si>
  <si>
    <t>GARY &amp; JOSEPH HIGHT</t>
  </si>
  <si>
    <t xml:space="preserve">5607 N CASTANO DR </t>
  </si>
  <si>
    <t xml:space="preserve">4231 N DANIA CT </t>
  </si>
  <si>
    <t>MAYES STEPHANIE</t>
  </si>
  <si>
    <t>HIGHT GARY</t>
  </si>
  <si>
    <t>HIGHT JOSEPH</t>
  </si>
  <si>
    <t>BEACH</t>
  </si>
  <si>
    <t>STEPHEN &amp; CHRISTY BEACH</t>
  </si>
  <si>
    <t xml:space="preserve">11334 W LAWRENCE LN </t>
  </si>
  <si>
    <t>BARCLAYS SUNCLIFF REPLAT LOT  1-218  TR</t>
  </si>
  <si>
    <t>BARCLAYS SUNCLIFF</t>
  </si>
  <si>
    <t>BEACH NICHOLAS R</t>
  </si>
  <si>
    <t>STEPHEN BEACH</t>
  </si>
  <si>
    <t>CHRISTY BEACH</t>
  </si>
  <si>
    <t>ASHER</t>
  </si>
  <si>
    <t>BARBARA ASHER</t>
  </si>
  <si>
    <t xml:space="preserve">460 W HARRISON ST </t>
  </si>
  <si>
    <t>HARTFORD ESTATES 1</t>
  </si>
  <si>
    <t>HARTFORD ESTATES</t>
  </si>
  <si>
    <t>OSTERMEIER JESSICA R</t>
  </si>
  <si>
    <t>ASHER BARBARA</t>
  </si>
  <si>
    <t>CABELLO</t>
  </si>
  <si>
    <t>FERNANDO &amp; PAMELA CABELLO</t>
  </si>
  <si>
    <t xml:space="preserve">2310 S WALNUT DR </t>
  </si>
  <si>
    <t>CLEMENTE RANCH PARCEL 15</t>
  </si>
  <si>
    <t>OTT DENISE</t>
  </si>
  <si>
    <t>CABELLO FERNANDO</t>
  </si>
  <si>
    <t>WILLIAM &amp; JENNIFER FERGUSON</t>
  </si>
  <si>
    <t xml:space="preserve">2529 W MARK LN </t>
  </si>
  <si>
    <t>DYNAMITE MOUNTAIN RANCH PARCEL 25-77B</t>
  </si>
  <si>
    <t>MONTANA TIERRA</t>
  </si>
  <si>
    <t>BJD PROPERTIES LLC</t>
  </si>
  <si>
    <t>FERGUSON WILLIAM G &amp; JENNIFER M</t>
  </si>
  <si>
    <t>OTOOLE</t>
  </si>
  <si>
    <t>JOSEPH &amp; HEATHER OTOOLE</t>
  </si>
  <si>
    <t xml:space="preserve">1142 E LAWRENCE RD </t>
  </si>
  <si>
    <t>BEVERLY MANOR ESTATES</t>
  </si>
  <si>
    <t>BANKERS TR CO</t>
  </si>
  <si>
    <t>OTOOLE JOSEPH P &amp; HEATHER K</t>
  </si>
  <si>
    <t>RAFAEL LOPEZ</t>
  </si>
  <si>
    <t xml:space="preserve">12557 W WOODLAND AVE </t>
  </si>
  <si>
    <t>COLDWATER SPRINGS PARCEL 2 UNIT 1</t>
  </si>
  <si>
    <t>RAFAEL LOPEZ JR</t>
  </si>
  <si>
    <t>HARRIGAN</t>
  </si>
  <si>
    <t>RONALD LOGAN &amp; KRISTEN HARRIGAN</t>
  </si>
  <si>
    <t xml:space="preserve">2216 N 77TH PL </t>
  </si>
  <si>
    <t>SAVONA</t>
  </si>
  <si>
    <t>ARNOLD JENELL TRUSTEE</t>
  </si>
  <si>
    <t>LOGAN RONALD</t>
  </si>
  <si>
    <t>HARRIGAN KRISTEN</t>
  </si>
  <si>
    <t>RONALD LOGAN</t>
  </si>
  <si>
    <t>KRISTEN HARRIGAN</t>
  </si>
  <si>
    <t>KAUFMANN</t>
  </si>
  <si>
    <t>LORIE</t>
  </si>
  <si>
    <t>MARK &amp; LORIE KAUFMANN</t>
  </si>
  <si>
    <t xml:space="preserve">22807 W ASHLEIGH MARIE DR </t>
  </si>
  <si>
    <t>LAND ROBERT L</t>
  </si>
  <si>
    <t>KAUFMANN MARK A</t>
  </si>
  <si>
    <t>HALL &amp; KIMBERLY DIANE</t>
  </si>
  <si>
    <t xml:space="preserve">2201 N 202ND AVE </t>
  </si>
  <si>
    <t>VALENCIA VILLAGE</t>
  </si>
  <si>
    <t>TORGERSON MICHAEL W</t>
  </si>
  <si>
    <t>HALL JEFFERY L &amp; KIMBERLY D</t>
  </si>
  <si>
    <t>PROVIDENCE RI 02903</t>
  </si>
  <si>
    <t>WAGNER</t>
  </si>
  <si>
    <t>SHAWN WAGNER</t>
  </si>
  <si>
    <t xml:space="preserve">23337 W MAGNOLIA ST </t>
  </si>
  <si>
    <t>PHOENIX SKYLINE WEST THREE</t>
  </si>
  <si>
    <t>HEDRICK DAVID L</t>
  </si>
  <si>
    <t>WAGNER SHAWN</t>
  </si>
  <si>
    <t>IGNATO</t>
  </si>
  <si>
    <t>SHANE IGNATO</t>
  </si>
  <si>
    <t xml:space="preserve">38013 N 16TH ST </t>
  </si>
  <si>
    <t>GODOT ORION</t>
  </si>
  <si>
    <t>IGNATO SHANE H</t>
  </si>
  <si>
    <t>HELMS</t>
  </si>
  <si>
    <t>JACOB &amp; VALERIE HELMS</t>
  </si>
  <si>
    <t xml:space="preserve">44307 N 10TH ST </t>
  </si>
  <si>
    <t>DANIELS SUSAN P</t>
  </si>
  <si>
    <t>EVOLVE BK&amp;TR</t>
  </si>
  <si>
    <t>HELMS JACOB A &amp; VALERIE A</t>
  </si>
  <si>
    <t>DISHONG</t>
  </si>
  <si>
    <t>JAMES DISHONG</t>
  </si>
  <si>
    <t xml:space="preserve">7940 W FETLOCK TRL </t>
  </si>
  <si>
    <t>DISHONG JAMES DEAN</t>
  </si>
  <si>
    <t>DURHAM FAMILY TRUST</t>
  </si>
  <si>
    <t>DURHAM</t>
  </si>
  <si>
    <t xml:space="preserve">3330 E HARMONY AVE </t>
  </si>
  <si>
    <t>MARLBOROUGH AT DANA RANCH LOT 1-174</t>
  </si>
  <si>
    <t>MARLBOROUGH AT DANA RANCH</t>
  </si>
  <si>
    <t>MACE THOMAS A &amp; JENNIE E</t>
  </si>
  <si>
    <t>CONNIE J DURHAM</t>
  </si>
  <si>
    <t>FRANKLIN C DURHAM JR</t>
  </si>
  <si>
    <t>RYAN SIMON</t>
  </si>
  <si>
    <t xml:space="preserve">10857 E STARKEY AVE </t>
  </si>
  <si>
    <t>H059</t>
  </si>
  <si>
    <t>MOUNTAIN HORIZONS UNIT 3</t>
  </si>
  <si>
    <t>ANDERSON BROOKE M</t>
  </si>
  <si>
    <t>NEUFELD</t>
  </si>
  <si>
    <t>GARY &amp; JEANETTE NEUFELD</t>
  </si>
  <si>
    <t xml:space="preserve">16370 W WINDCREST DR </t>
  </si>
  <si>
    <t>GOLDBERG FAMILY TRUST</t>
  </si>
  <si>
    <t>NEUFELD GARY G</t>
  </si>
  <si>
    <t>REACHMACK</t>
  </si>
  <si>
    <t>FRANCIS REACHMACK</t>
  </si>
  <si>
    <t xml:space="preserve">4538 W ORCHID LN #305 </t>
  </si>
  <si>
    <t xml:space="preserve">4538 W ORCHID LN </t>
  </si>
  <si>
    <t>SANDS OASIS 6</t>
  </si>
  <si>
    <t>HORIZON SCHOOL</t>
  </si>
  <si>
    <t>TERRIGINO JONATHAN</t>
  </si>
  <si>
    <t>REACHMACK FRANCIS I</t>
  </si>
  <si>
    <t>BOYLE</t>
  </si>
  <si>
    <t>JEX</t>
  </si>
  <si>
    <t>BOYLE &amp; EMILY JEX</t>
  </si>
  <si>
    <t xml:space="preserve">2944 E NANCE ST </t>
  </si>
  <si>
    <t>VISTA MESA   LOT   1-169 TRACT A&amp;B</t>
  </si>
  <si>
    <t>VISTA MESA</t>
  </si>
  <si>
    <t>WALKER ROBERT B &amp; JONI N</t>
  </si>
  <si>
    <t>BOYLE ROBERT S &amp; EMILY J</t>
  </si>
  <si>
    <t>TERRY PORTER</t>
  </si>
  <si>
    <t xml:space="preserve">13733 W GUNSIGHT DR </t>
  </si>
  <si>
    <t>RENEAU FAMILY TRUST</t>
  </si>
  <si>
    <t>PORTER TERRY</t>
  </si>
  <si>
    <t>HUTCHINSON CLAIRE</t>
  </si>
  <si>
    <t>PALUGA</t>
  </si>
  <si>
    <t>STEPHEN &amp; TIFFANY PALUGA</t>
  </si>
  <si>
    <t xml:space="preserve">7935 E VIA DE BELLEZA </t>
  </si>
  <si>
    <t>VILLA LA PLAYA</t>
  </si>
  <si>
    <t>HERSH FAMILY TRUST</t>
  </si>
  <si>
    <t>PALUGA STEPHEN</t>
  </si>
  <si>
    <t>TIMOTHY &amp; STEPHANIE WEST</t>
  </si>
  <si>
    <t xml:space="preserve">5265 E HALIFAX ST </t>
  </si>
  <si>
    <t>ALTA MESA  8  LOT 361-454 TR A-D</t>
  </si>
  <si>
    <t>FAIRWAY GROVES AT ALTA MESA</t>
  </si>
  <si>
    <t>ODELL RICHARD E</t>
  </si>
  <si>
    <t>WEST TIMOTHY R &amp; STEPHANIE K</t>
  </si>
  <si>
    <t>ALBERTO</t>
  </si>
  <si>
    <t>HOLGUIN</t>
  </si>
  <si>
    <t>ALBERTO &amp; KRISTINE HOLGUIN</t>
  </si>
  <si>
    <t xml:space="preserve">20622 W DANIEL PL </t>
  </si>
  <si>
    <t>VERRADO PARCEL 4.614</t>
  </si>
  <si>
    <t>HOLGUIN ALBERTO &amp; KRISTINE</t>
  </si>
  <si>
    <t>CROTEAU</t>
  </si>
  <si>
    <t>MAURICE &amp; JENNIFER CROTEAU</t>
  </si>
  <si>
    <t xml:space="preserve">4524 W JUDSON DR </t>
  </si>
  <si>
    <t>QUARANTO PATRICK &amp; LEANNE</t>
  </si>
  <si>
    <t>CROTEAU MAURICE E &amp; JENNIFER</t>
  </si>
  <si>
    <t>BRANDON &amp; CARMEN ADAMS</t>
  </si>
  <si>
    <t xml:space="preserve">26025 W SIERRA PINTA DR </t>
  </si>
  <si>
    <t>CARLSON HOWARD C &amp; KARIN E</t>
  </si>
  <si>
    <t>ADAMS BRANDON &amp; CARMEN</t>
  </si>
  <si>
    <t>GOODALE</t>
  </si>
  <si>
    <t>R &amp; LYNN GOODALE</t>
  </si>
  <si>
    <t xml:space="preserve">23984 S 208TH WAY </t>
  </si>
  <si>
    <t>GOODALE R AUSTIN &amp; LYNN M</t>
  </si>
  <si>
    <t>EWING</t>
  </si>
  <si>
    <t>EWING &amp; APRIL JEAN</t>
  </si>
  <si>
    <t xml:space="preserve">4762 S ANTONIO CIR </t>
  </si>
  <si>
    <t>DE COURVAL ANITA L</t>
  </si>
  <si>
    <t>EWING PRESTON</t>
  </si>
  <si>
    <t>JUANA</t>
  </si>
  <si>
    <t>DAVID &amp; JUANA ALEXANDER</t>
  </si>
  <si>
    <t xml:space="preserve">5556 N 84TH LN </t>
  </si>
  <si>
    <t>MISSOURI RANCH</t>
  </si>
  <si>
    <t>STUTZ TOM</t>
  </si>
  <si>
    <t>ALEXANDER DAVID &amp; JUANA</t>
  </si>
  <si>
    <t>SCHUSTER</t>
  </si>
  <si>
    <t>MICHAEL SCHUSTER</t>
  </si>
  <si>
    <t xml:space="preserve">6613 W CAVEDALE DR #77 </t>
  </si>
  <si>
    <t xml:space="preserve">6613 W CAVEDALE DR </t>
  </si>
  <si>
    <t>EAGLE HIGHLANDS NORTH</t>
  </si>
  <si>
    <t>MONTUORI ANNA</t>
  </si>
  <si>
    <t>SCHUSTER MICHAEL</t>
  </si>
  <si>
    <t>FLOWERS</t>
  </si>
  <si>
    <t>ASHLEY &amp; TRAVIS FLOWERS</t>
  </si>
  <si>
    <t xml:space="preserve">33006 N 61ST ST </t>
  </si>
  <si>
    <t>H016</t>
  </si>
  <si>
    <t>LA BUENA VIDA ESTATES</t>
  </si>
  <si>
    <t>SNUFFER BRANDON W &amp; BRANDON</t>
  </si>
  <si>
    <t>FLOWERS ASHLEY &amp; TRAVIS</t>
  </si>
  <si>
    <t>JULIO</t>
  </si>
  <si>
    <t>GAMEZ</t>
  </si>
  <si>
    <t>JULIO GAMEZ</t>
  </si>
  <si>
    <t xml:space="preserve">7909 W BRIDEN LN </t>
  </si>
  <si>
    <t>SILVER CREST AT TREASURE CANYON REPLAT</t>
  </si>
  <si>
    <t>SILVER CREST AT TREASURE CANYON</t>
  </si>
  <si>
    <t>POPP RAYMOND A &amp; YUNUE</t>
  </si>
  <si>
    <t>GAMEZ JULIO</t>
  </si>
  <si>
    <t>EMERY SMITH</t>
  </si>
  <si>
    <t xml:space="preserve">2557 E IRONSIDE CT </t>
  </si>
  <si>
    <t>FREEMAN FARMS PHASE 3 PARCEL 4</t>
  </si>
  <si>
    <t>SMITH EMERY N</t>
  </si>
  <si>
    <t>CHARLES &amp; DIANE PARKER</t>
  </si>
  <si>
    <t xml:space="preserve">6886 W EL CORTEZ PL </t>
  </si>
  <si>
    <t>TERRAMAR PARCEL 2B</t>
  </si>
  <si>
    <t>LYONS FAMILY LIVING TRUST</t>
  </si>
  <si>
    <t>PARKER CHARLES V</t>
  </si>
  <si>
    <t>BLAINE</t>
  </si>
  <si>
    <t>LOW</t>
  </si>
  <si>
    <t>DELFINA</t>
  </si>
  <si>
    <t>BLAINE &amp; DELFINA LOW</t>
  </si>
  <si>
    <t xml:space="preserve">8708 N 182ND LN </t>
  </si>
  <si>
    <t>YOUNG JONATHAN L</t>
  </si>
  <si>
    <t>LOW BLAINE L &amp; DELFINA</t>
  </si>
  <si>
    <t>LINDA BAILEY</t>
  </si>
  <si>
    <t xml:space="preserve">1439 E GARY ST </t>
  </si>
  <si>
    <t>OAKWOOD ESTATES LOT 1-32 &amp; TR A</t>
  </si>
  <si>
    <t>OAKWOOD ESTATES</t>
  </si>
  <si>
    <t>BUKER BRUCE E</t>
  </si>
  <si>
    <t>BAILEY LINDA K</t>
  </si>
  <si>
    <t>PELKE</t>
  </si>
  <si>
    <t>BRANDON &amp; TONYA PELKE</t>
  </si>
  <si>
    <t xml:space="preserve">6702 W PERSHING AVE </t>
  </si>
  <si>
    <t>THUNDERBIRD ACRES 3</t>
  </si>
  <si>
    <t>TURNER JAMES P</t>
  </si>
  <si>
    <t>PELKE BRANDON &amp; TONYA</t>
  </si>
  <si>
    <t>MARQUIS</t>
  </si>
  <si>
    <t>JEFF &amp; STEPHANIE MARQUIS</t>
  </si>
  <si>
    <t xml:space="preserve">5050 W PARSONS RD </t>
  </si>
  <si>
    <t>STETSON VALLEY PARCELS 7 8 9 10</t>
  </si>
  <si>
    <t>STINER ROBERT D</t>
  </si>
  <si>
    <t>MARQUIS JEFF &amp; STEPHANIE</t>
  </si>
  <si>
    <t>PADDOCK</t>
  </si>
  <si>
    <t>JOSEPH PADDOCK</t>
  </si>
  <si>
    <t xml:space="preserve">1443 E BRIARWOOD TER </t>
  </si>
  <si>
    <t>AUGUSTA AT THE FOOTHILLS</t>
  </si>
  <si>
    <t>LODES WILLIAM C &amp; AMY B</t>
  </si>
  <si>
    <t>PADDOCK JOSEPH</t>
  </si>
  <si>
    <t>RHEDA</t>
  </si>
  <si>
    <t>RHEDA WATTS</t>
  </si>
  <si>
    <t xml:space="preserve">7916 W LOUISE DR </t>
  </si>
  <si>
    <t xml:space="preserve">582 EXECUTIVE BLVD </t>
  </si>
  <si>
    <t>DELAWARE</t>
  </si>
  <si>
    <t>OH</t>
  </si>
  <si>
    <t>KRAMER AARON</t>
  </si>
  <si>
    <t>SIKES CLAYTON L &amp; KELLY J</t>
  </si>
  <si>
    <t>CANATELLA</t>
  </si>
  <si>
    <t>BECKY</t>
  </si>
  <si>
    <t>RAYMOND &amp; BECKY CANATELLA</t>
  </si>
  <si>
    <t xml:space="preserve">4721 W GERONIMO ST </t>
  </si>
  <si>
    <t>EGIZIANO FAMILY LIVING TRUST</t>
  </si>
  <si>
    <t>CANATELLA RAYMOND S</t>
  </si>
  <si>
    <t>THOMAS &amp; BETH OLIVER</t>
  </si>
  <si>
    <t xml:space="preserve">1102 N MCKEMY AVE </t>
  </si>
  <si>
    <t>KENNEDY ROXANNE R</t>
  </si>
  <si>
    <t>OLIVER BETH A &amp; THOMAS</t>
  </si>
  <si>
    <t>FERGUSON &amp; PATRICIA LEIGH</t>
  </si>
  <si>
    <t xml:space="preserve">6546 E HANNIBAL ST </t>
  </si>
  <si>
    <t>SUHUARO HILLS ESTATES 2</t>
  </si>
  <si>
    <t>SUHUARO HILLS ESTATES</t>
  </si>
  <si>
    <t>CASNER SAUNDRA S</t>
  </si>
  <si>
    <t>FERGUSON JON C</t>
  </si>
  <si>
    <t>CHRISTOPHER &amp; ELIZABETH MESA</t>
  </si>
  <si>
    <t xml:space="preserve">12733 W CLAREMONT ST </t>
  </si>
  <si>
    <t>MESA CHRISTOPHER M</t>
  </si>
  <si>
    <t>GUY HAMILTON</t>
  </si>
  <si>
    <t xml:space="preserve">542 W CANARY WAY </t>
  </si>
  <si>
    <t>CARINO ESTATES PARCEL 4 &amp; 5</t>
  </si>
  <si>
    <t>LEVER-NOGA BARBARA A</t>
  </si>
  <si>
    <t>HAMILTON GUY W</t>
  </si>
  <si>
    <t>VAN</t>
  </si>
  <si>
    <t>VAN &amp; SHERYL WILLIAMS</t>
  </si>
  <si>
    <t xml:space="preserve">26239 N 68TH LN </t>
  </si>
  <si>
    <t>TERRAMAR PARCEL 6</t>
  </si>
  <si>
    <t>ARIANA HOMES LLC</t>
  </si>
  <si>
    <t>WILLIAMS VAN W &amp; SHERYL R</t>
  </si>
  <si>
    <t>GEOFFREY &amp; EDITH WARD</t>
  </si>
  <si>
    <t xml:space="preserve">10222 E BLANCHE DR </t>
  </si>
  <si>
    <t>HOFFMAN PROPERTY</t>
  </si>
  <si>
    <t>DEMAREE MARTHA A</t>
  </si>
  <si>
    <t>WARD GEOFFREY R &amp; EDITH</t>
  </si>
  <si>
    <t>WINGET</t>
  </si>
  <si>
    <t>GRACE &amp; ERIN WINGET</t>
  </si>
  <si>
    <t xml:space="preserve">18873 E ARROWHEAD TRL </t>
  </si>
  <si>
    <t>CORTINA PARCEL 9</t>
  </si>
  <si>
    <t>MICHAEL STEVEN</t>
  </si>
  <si>
    <t>WINGET GRACE J</t>
  </si>
  <si>
    <t>WEBSTER</t>
  </si>
  <si>
    <t>WEBSTER &amp; PAMELA ANNE</t>
  </si>
  <si>
    <t xml:space="preserve">4716 S ROMANO </t>
  </si>
  <si>
    <t>MOUNTAIN HORIZONS UNIT 5</t>
  </si>
  <si>
    <t>NEWBY KYLER &amp; JANELLE</t>
  </si>
  <si>
    <t>WEBSTER SAMUEL P &amp; PAMELA A</t>
  </si>
  <si>
    <t>GAUGHAN THOMAS &amp; TIFFANY TRUST</t>
  </si>
  <si>
    <t>THOMAS &amp; TIFFANY GAUGHAN</t>
  </si>
  <si>
    <t xml:space="preserve">324 E SAGEBRUSH ST </t>
  </si>
  <si>
    <t>SETTLER'S POINT PARCEL C  LOT 1-203 TR A</t>
  </si>
  <si>
    <t>SETTLER'S POINT</t>
  </si>
  <si>
    <t>DEFRANCISCO CHARLES J &amp; MARG</t>
  </si>
  <si>
    <t>GAUGHAN THOMAS M &amp; TIFFANY M</t>
  </si>
  <si>
    <t>COLELLO</t>
  </si>
  <si>
    <t>MARTIN &amp; MONICA COLELLO</t>
  </si>
  <si>
    <t xml:space="preserve">1360 N DESOTO ST </t>
  </si>
  <si>
    <t>MISSION PARK RANCH-UNIT 1 AMD</t>
  </si>
  <si>
    <t>FEST PAUL D</t>
  </si>
  <si>
    <t>COLELLO MARTIN &amp; MONICA L</t>
  </si>
  <si>
    <t>DEVIN AND JILL ALEXANDER REV LIV TRUST</t>
  </si>
  <si>
    <t xml:space="preserve">3531 E WEATHER VANE RD </t>
  </si>
  <si>
    <t>HARIA RAHUL &amp; TASNIM G</t>
  </si>
  <si>
    <t>ALEXANDER DEVIN K &amp; JILL</t>
  </si>
  <si>
    <t>JEREMEY</t>
  </si>
  <si>
    <t>CHAPIN</t>
  </si>
  <si>
    <t>JEREMEY CHAPIN</t>
  </si>
  <si>
    <t xml:space="preserve">19582 W GRANT ST </t>
  </si>
  <si>
    <t>CHAPIN JEREMEY</t>
  </si>
  <si>
    <t>ZEPEDA</t>
  </si>
  <si>
    <t>ARNOLD ZEPEDA</t>
  </si>
  <si>
    <t xml:space="preserve">15967 W BONITOS DR </t>
  </si>
  <si>
    <t xml:space="preserve">PO BOX 763 </t>
  </si>
  <si>
    <t>ZEPEDA ARNOLD</t>
  </si>
  <si>
    <t>WASHINGTON DC 20013-8920</t>
  </si>
  <si>
    <t>BELEN ZEPEDA</t>
  </si>
  <si>
    <t>OLDENBURG</t>
  </si>
  <si>
    <t>HEIKENS</t>
  </si>
  <si>
    <t>ROBERT OLDENBURG &amp; VICTORIA HEIKENS</t>
  </si>
  <si>
    <t xml:space="preserve">13032 W ESTERO LN </t>
  </si>
  <si>
    <t>REECE SHAWN C</t>
  </si>
  <si>
    <t>OLDENBURG ROBERT E</t>
  </si>
  <si>
    <t>HEIKENS VICTORIA G</t>
  </si>
  <si>
    <t>ALEXANDRIA</t>
  </si>
  <si>
    <t>JOSEPH &amp; ALEXANDRIA BUSH</t>
  </si>
  <si>
    <t xml:space="preserve">16182 W MONTEROSA ST </t>
  </si>
  <si>
    <t>BUSH JOSEPH J</t>
  </si>
  <si>
    <t>BUSH JOSEPH J &amp; ALEXANDRIA C</t>
  </si>
  <si>
    <t>CRIMMINS</t>
  </si>
  <si>
    <t>EMILEE</t>
  </si>
  <si>
    <t>CRIMMINS &amp; EMILEE ANN</t>
  </si>
  <si>
    <t xml:space="preserve">5452 E CRESCENT AVE </t>
  </si>
  <si>
    <t>REBER LYNN M &amp; BRENDA J</t>
  </si>
  <si>
    <t>CRIMMINS TODD D JR &amp; EMILEE A</t>
  </si>
  <si>
    <t>ROCHELLE</t>
  </si>
  <si>
    <t>TRENDA</t>
  </si>
  <si>
    <t>KERRY JAMES &amp; ROCHELLE TRENDA</t>
  </si>
  <si>
    <t xml:space="preserve">1371 S CENTRAL DR </t>
  </si>
  <si>
    <t>CARRIZAL-X</t>
  </si>
  <si>
    <t>CARRIZAL</t>
  </si>
  <si>
    <t>BOYD TERRY A &amp; DIANE L</t>
  </si>
  <si>
    <t>JAMES KERRY A &amp; TRENDA R</t>
  </si>
  <si>
    <t>BEVERIDGE</t>
  </si>
  <si>
    <t>BRIANA &amp; JESSE BEVERIDGE</t>
  </si>
  <si>
    <t xml:space="preserve">14225 N CANTERBURY DR </t>
  </si>
  <si>
    <t>DRUMMOND KYLE T</t>
  </si>
  <si>
    <t>BEVERIDGE JESSE &amp; BRIANA</t>
  </si>
  <si>
    <t>BRIAN YOUNG</t>
  </si>
  <si>
    <t xml:space="preserve">3811 S ATHERTON BLVD </t>
  </si>
  <si>
    <t>SAN TAN RANCH PARCEL 10</t>
  </si>
  <si>
    <t>FISHBACK CHARLES E</t>
  </si>
  <si>
    <t>YOUNG BRIAN C</t>
  </si>
  <si>
    <t>BARTON</t>
  </si>
  <si>
    <t>BOMA</t>
  </si>
  <si>
    <t>CHRISTIE</t>
  </si>
  <si>
    <t>BARTON &amp; CHRISTIE BOMA</t>
  </si>
  <si>
    <t xml:space="preserve">20604 W WALTON DR </t>
  </si>
  <si>
    <t>TRUE INVESTMENTS LLC</t>
  </si>
  <si>
    <t>OAK STAR BK</t>
  </si>
  <si>
    <t>BOMA BARTON J &amp; CHRISTIE A</t>
  </si>
  <si>
    <t>SANDELS</t>
  </si>
  <si>
    <t>JOHN &amp; VICTORIA SANDELS</t>
  </si>
  <si>
    <t xml:space="preserve">3275 W FULLER DR </t>
  </si>
  <si>
    <t>ANTHEM UNIT 10 AMD</t>
  </si>
  <si>
    <t>PENCE DAVID L</t>
  </si>
  <si>
    <t>JOHN K SANDELS</t>
  </si>
  <si>
    <t>VICTORIA G SANDELS</t>
  </si>
  <si>
    <t>HATCH FAMILY LIVING TRUST</t>
  </si>
  <si>
    <t>HATCH</t>
  </si>
  <si>
    <t xml:space="preserve">4840 E PASEO WAY </t>
  </si>
  <si>
    <t>MCCALL MICHELE L</t>
  </si>
  <si>
    <t>HATCH GARY</t>
  </si>
  <si>
    <t>MARK &amp; CARLA SCHAEFER</t>
  </si>
  <si>
    <t xml:space="preserve">5231 E PATRICK LN </t>
  </si>
  <si>
    <t>DESERT RIDGE LOT 33</t>
  </si>
  <si>
    <t>CALI JENNIFER A</t>
  </si>
  <si>
    <t>SCHAEFER MARK A</t>
  </si>
  <si>
    <t>PHILIP &amp; ANDREA GARCIA</t>
  </si>
  <si>
    <t xml:space="preserve">3872 E COMSTOCK DR </t>
  </si>
  <si>
    <t>ERBE SHEILA A</t>
  </si>
  <si>
    <t>GARCIA PHILIP A</t>
  </si>
  <si>
    <t>ERIC CHAMBERS</t>
  </si>
  <si>
    <t xml:space="preserve">15418 W WINDROSE DR </t>
  </si>
  <si>
    <t>MANDEL TAMMY R</t>
  </si>
  <si>
    <t>CHAMBERS ERIC</t>
  </si>
  <si>
    <t>ETTESVOLD</t>
  </si>
  <si>
    <t>JEREMY ETTESVOLD</t>
  </si>
  <si>
    <t xml:space="preserve">2343 E CHOLLA ST </t>
  </si>
  <si>
    <t>DESERT VISTA UNIT 6</t>
  </si>
  <si>
    <t>BAIRD J BRUCE</t>
  </si>
  <si>
    <t>ETTESVOLD JEREMY</t>
  </si>
  <si>
    <t>CUNNINGHAM</t>
  </si>
  <si>
    <t>JOSHUA CUNNINGHAM</t>
  </si>
  <si>
    <t xml:space="preserve">1407 E INDIGO ST </t>
  </si>
  <si>
    <t>ALEWELT JENNIFER A</t>
  </si>
  <si>
    <t>CUNNINGHAM JOSHUA M</t>
  </si>
  <si>
    <t>STURROCK</t>
  </si>
  <si>
    <t>DAVID STURROCK</t>
  </si>
  <si>
    <t xml:space="preserve">11842 W JESSIE LN </t>
  </si>
  <si>
    <t>CROSSRIVER UNIT 4</t>
  </si>
  <si>
    <t>DITTY MATTHEW P</t>
  </si>
  <si>
    <t>STURROCK DAVID J</t>
  </si>
  <si>
    <t>ANTHONY &amp; CHERYL HOOVER</t>
  </si>
  <si>
    <t xml:space="preserve">13606 W CATALINA DR </t>
  </si>
  <si>
    <t>SILVA AISLING</t>
  </si>
  <si>
    <t>ANTHONY Y HOOVER</t>
  </si>
  <si>
    <t>CHERYL L HOOVER</t>
  </si>
  <si>
    <t>BISACCHI</t>
  </si>
  <si>
    <t>TODD &amp; NICOLE BISACCHI</t>
  </si>
  <si>
    <t xml:space="preserve">18542 W BERYL CT </t>
  </si>
  <si>
    <t>BARKER SCOTT E &amp; CATALINA</t>
  </si>
  <si>
    <t>BISACCHI TODD D &amp; NICOLE R</t>
  </si>
  <si>
    <t>TODD D BISACCHI</t>
  </si>
  <si>
    <t>NICOLE R BISACCHI</t>
  </si>
  <si>
    <t>PADILLA</t>
  </si>
  <si>
    <t>RUBEN &amp; JESSICA PADILLA</t>
  </si>
  <si>
    <t xml:space="preserve">3125 E WINGED FOOT DR </t>
  </si>
  <si>
    <t>SPRINGFIELD LAKES BLOCK 1B</t>
  </si>
  <si>
    <t>SPRINGFIELD LAKES</t>
  </si>
  <si>
    <t>DUNCAN CHRISTOPHER</t>
  </si>
  <si>
    <t>PADILLA RUBEN</t>
  </si>
  <si>
    <t>SHIRA</t>
  </si>
  <si>
    <t>TIMOTHY &amp; MELISSA SHIRA</t>
  </si>
  <si>
    <t xml:space="preserve">18525 E OAK HILL LN </t>
  </si>
  <si>
    <t>REESE KENNETH D</t>
  </si>
  <si>
    <t>SHIRA TIMOTHY &amp; MELISSA</t>
  </si>
  <si>
    <t>THYNNE</t>
  </si>
  <si>
    <t>JOANNIE</t>
  </si>
  <si>
    <t>JEFFREY &amp; JOANNIE THYNNE</t>
  </si>
  <si>
    <t xml:space="preserve">1226 W BRILES RD </t>
  </si>
  <si>
    <t>ANDERSON DENISE A</t>
  </si>
  <si>
    <t>THYNNE JEFFREY W</t>
  </si>
  <si>
    <t>KREJCI</t>
  </si>
  <si>
    <t>LOUIS &amp; DONNA KREJCI</t>
  </si>
  <si>
    <t xml:space="preserve">18065 W TURNEY AVE </t>
  </si>
  <si>
    <t>SEDELLA PARCEL 1C</t>
  </si>
  <si>
    <t>KREJCI LOUIS J JR &amp; DONNA</t>
  </si>
  <si>
    <t>PELLEGRINI-LANGE</t>
  </si>
  <si>
    <t>ROGER LANGE &amp; DONNA PELLEGRINI-LANGE</t>
  </si>
  <si>
    <t xml:space="preserve">41012 N IRON HORSE WAY </t>
  </si>
  <si>
    <t>ANTHEM UNIT 15</t>
  </si>
  <si>
    <t>STAVRO ANDREW</t>
  </si>
  <si>
    <t>LANGE ROGER R</t>
  </si>
  <si>
    <t>PELLEGRINI-LANGE DONNA L</t>
  </si>
  <si>
    <t>PEREIRA</t>
  </si>
  <si>
    <t>DAVID &amp; SALLY PEREIRA</t>
  </si>
  <si>
    <t xml:space="preserve">2936 N HERITAGE ST </t>
  </si>
  <si>
    <t>JONES WILLIAM R</t>
  </si>
  <si>
    <t>PEREIRA DAVID R &amp; SALLY L</t>
  </si>
  <si>
    <t>HUSKY</t>
  </si>
  <si>
    <t>BRANDEN</t>
  </si>
  <si>
    <t>DEBORAH &amp; BRANDEN HUSKY</t>
  </si>
  <si>
    <t xml:space="preserve">20358 W SPRINGFIELD ST </t>
  </si>
  <si>
    <t>VERRADO PARCEL 4.611</t>
  </si>
  <si>
    <t>CHARLEMAGNE VALERIE</t>
  </si>
  <si>
    <t>GSF MTG CORP</t>
  </si>
  <si>
    <t>HUSKY BRANDEN &amp; DEBORAH</t>
  </si>
  <si>
    <t>LUCHSINGER</t>
  </si>
  <si>
    <t>SCOTT &amp; CHERYL LUCHSINGER</t>
  </si>
  <si>
    <t xml:space="preserve">3928 E POWELL CT </t>
  </si>
  <si>
    <t>DOWNEY 2006-AR1</t>
  </si>
  <si>
    <t>LUCHSINGER SCOTT &amp; CHERYL</t>
  </si>
  <si>
    <t>GAUTHIER</t>
  </si>
  <si>
    <t>F THOMAS</t>
  </si>
  <si>
    <t xml:space="preserve">218 W GREENTREE DR </t>
  </si>
  <si>
    <t>DUSKFIRE UNIT 2 LOT 1-93</t>
  </si>
  <si>
    <t>DUSKFIRE</t>
  </si>
  <si>
    <t>JOHNSON C B &amp; E A TRUST</t>
  </si>
  <si>
    <t>GAUTHIER THOMAS F &amp; MAUREEN C</t>
  </si>
  <si>
    <t>THOMAS F GAUTHIER</t>
  </si>
  <si>
    <t>KREVOR</t>
  </si>
  <si>
    <t>ALEX KREVOR</t>
  </si>
  <si>
    <t xml:space="preserve">2910 E NANCE ST </t>
  </si>
  <si>
    <t>KOHRS ROBERT H &amp; LINDA C</t>
  </si>
  <si>
    <t>KREVOR ALEX E</t>
  </si>
  <si>
    <t>RUSCITO</t>
  </si>
  <si>
    <t>LONNIE &amp; JULIE RUSCITO</t>
  </si>
  <si>
    <t xml:space="preserve">939 W BARCELONA DR </t>
  </si>
  <si>
    <t>SEAPORT VILLAGE LOT 1-25</t>
  </si>
  <si>
    <t>SEAPORT VILLAGE</t>
  </si>
  <si>
    <t>SANDERS DOROTHY E</t>
  </si>
  <si>
    <t>RUSCITO LONNIE SR &amp; JULIE</t>
  </si>
  <si>
    <t>SAMPLE</t>
  </si>
  <si>
    <t>GEORGE &amp; KIMBERLY SAMPLE</t>
  </si>
  <si>
    <t xml:space="preserve">1550 W IRONWOOD DR </t>
  </si>
  <si>
    <t>LAKEPOINT AT ANDERSEN SPRINGS LT 1-157 A</t>
  </si>
  <si>
    <t>LAKEPOINT AT ANDERSEN SPRINGS</t>
  </si>
  <si>
    <t>USHER ANA M TRUST</t>
  </si>
  <si>
    <t>SAMPLE GEORGE H</t>
  </si>
  <si>
    <t>BRIAN MASTERS</t>
  </si>
  <si>
    <t xml:space="preserve">3348 E GLENHAVEN DR </t>
  </si>
  <si>
    <t>LAKEWOOD PARCEL 18 LOT 1-134 TR A-E</t>
  </si>
  <si>
    <t>SABERCAT INVESTMENTS LLC</t>
  </si>
  <si>
    <t>MASTERS BRIAN E</t>
  </si>
  <si>
    <t>PECKENS</t>
  </si>
  <si>
    <t>JOHN PECKENS</t>
  </si>
  <si>
    <t xml:space="preserve">1935 E RANCH RD </t>
  </si>
  <si>
    <t>ALTA MIRA 3 LOT 260-362</t>
  </si>
  <si>
    <t>ALTA MIRA</t>
  </si>
  <si>
    <t>COFFEY LARRY</t>
  </si>
  <si>
    <t>PECKENS JOHN W &amp; JAMIE C</t>
  </si>
  <si>
    <t>MIDWEST REGIONAL BANK</t>
  </si>
  <si>
    <t>PECKENS JOHN W</t>
  </si>
  <si>
    <t>RITA YBARRA</t>
  </si>
  <si>
    <t xml:space="preserve">14978 W WINDSOR AVE </t>
  </si>
  <si>
    <t>MOON EDWIN K</t>
  </si>
  <si>
    <t>YBARRA RITA</t>
  </si>
  <si>
    <t>PETTIT</t>
  </si>
  <si>
    <t>ERIC &amp; TIFFANY PETTIT</t>
  </si>
  <si>
    <t xml:space="preserve">5227 W CINNABAR AVE </t>
  </si>
  <si>
    <t>YOUNGER FAMILY TRUST</t>
  </si>
  <si>
    <t>PETTIT ERIC M JR &amp; TIFFANY M</t>
  </si>
  <si>
    <t>ERIC M PETTIT</t>
  </si>
  <si>
    <t>TIFFANY M PETTIT</t>
  </si>
  <si>
    <t>GRANT &amp; PATRICIA WRIGHT</t>
  </si>
  <si>
    <t xml:space="preserve">4519 E DALE LN </t>
  </si>
  <si>
    <t>BARTLETT WILLIAM &amp; JANET</t>
  </si>
  <si>
    <t>AXIA FIN'L</t>
  </si>
  <si>
    <t>BELLEVUE WA 98004</t>
  </si>
  <si>
    <t>GRANT D WRIGHT</t>
  </si>
  <si>
    <t>PATRICIA G WRIGHT</t>
  </si>
  <si>
    <t>SKIP</t>
  </si>
  <si>
    <t>SKIP GOSSELIN</t>
  </si>
  <si>
    <t xml:space="preserve">11236 E CAROL AVE </t>
  </si>
  <si>
    <t>PARCEL 1 AT STONEGATE</t>
  </si>
  <si>
    <t>11236 E CAROL AVE LLC</t>
  </si>
  <si>
    <t>GOSSELIN SKIP R</t>
  </si>
  <si>
    <t>DOHERTY FAMILY TRUST &amp; MCWILLIAMS WAYNE &amp; CLAIRE</t>
  </si>
  <si>
    <t>DOHERTY</t>
  </si>
  <si>
    <t xml:space="preserve">947 E CARVER RD </t>
  </si>
  <si>
    <t>TURLEY THOMAS E &amp; MARIA R</t>
  </si>
  <si>
    <t>MCWILLIAMS WAYNE T &amp; CLAIRE T</t>
  </si>
  <si>
    <t>KESSLER</t>
  </si>
  <si>
    <t>MAIA</t>
  </si>
  <si>
    <t>KESSLER &amp; ALICIA MAIA</t>
  </si>
  <si>
    <t xml:space="preserve">21185 E ORCHARD LN </t>
  </si>
  <si>
    <t>ORCHARD RANCHETTES PHASE 2</t>
  </si>
  <si>
    <t>NIPP MARK A &amp; TERESA R</t>
  </si>
  <si>
    <t>CHICAGO IL 60613</t>
  </si>
  <si>
    <t>KESSLER SCOTT &amp; ALICIA</t>
  </si>
  <si>
    <t>FRANCO</t>
  </si>
  <si>
    <t>ANTONETTI</t>
  </si>
  <si>
    <t>MAGGIE</t>
  </si>
  <si>
    <t>FRANCO &amp; MAGGIE ANTONETTI</t>
  </si>
  <si>
    <t xml:space="preserve">9684 W RUNNING DEER TRL </t>
  </si>
  <si>
    <t>GORDON &amp; TINA NEW INVS LLC</t>
  </si>
  <si>
    <t>ANTONETTI FRANCO JR &amp; MAGGIE</t>
  </si>
  <si>
    <t>VELARIDES</t>
  </si>
  <si>
    <t>PAUL VELARIDES</t>
  </si>
  <si>
    <t xml:space="preserve">6315 E WILSHIRE DR </t>
  </si>
  <si>
    <t>PAPAGO BUTTES AMD</t>
  </si>
  <si>
    <t>PAPAGO BUTTES</t>
  </si>
  <si>
    <t>ROBINSON TRUST</t>
  </si>
  <si>
    <t>VELARIDES PAUL</t>
  </si>
  <si>
    <t>ANTHONY &amp; ERICA SIMMONS</t>
  </si>
  <si>
    <t xml:space="preserve">1841 W DUSTY WREN DR </t>
  </si>
  <si>
    <t>SONORAN FOOTHILLS PARCEL 19</t>
  </si>
  <si>
    <t>HUNSAKER ERIC C &amp; CYNTHIA L</t>
  </si>
  <si>
    <t>SIMMONS ANTHONY &amp; ERICA</t>
  </si>
  <si>
    <t>HECHT</t>
  </si>
  <si>
    <t>SCOTT TURNER &amp; SANDRA HECHT</t>
  </si>
  <si>
    <t xml:space="preserve">21877 N 79TH PL </t>
  </si>
  <si>
    <t>SONORAN HILLS PARCEL I</t>
  </si>
  <si>
    <t>SONORAN HILLS</t>
  </si>
  <si>
    <t>CALAMAIO LIBERTO L</t>
  </si>
  <si>
    <t>TURNER SCOTT M</t>
  </si>
  <si>
    <t>HECHT SANDRA S</t>
  </si>
  <si>
    <t>MILLS</t>
  </si>
  <si>
    <t>KYOUNGHEE</t>
  </si>
  <si>
    <t>MILLS &amp; KYOUNGHEE LEE</t>
  </si>
  <si>
    <t xml:space="preserve">2522 N RILEY RD </t>
  </si>
  <si>
    <t>VERRADO PARCEL 3.205</t>
  </si>
  <si>
    <t>BENNETT NICHOLAS &amp; PAIGE</t>
  </si>
  <si>
    <t>MILLS FRED K III &amp; KYOUNGHEE L</t>
  </si>
  <si>
    <t>MEREDITH</t>
  </si>
  <si>
    <t>TRAVIS &amp; MEREDITH ADAMS</t>
  </si>
  <si>
    <t xml:space="preserve">746 E ROSE MARIE LN </t>
  </si>
  <si>
    <t>ARIZONA CAROUSEL</t>
  </si>
  <si>
    <t>SCHAFER KENNETH</t>
  </si>
  <si>
    <t>ADAMS TRAVIS H</t>
  </si>
  <si>
    <t>BLADE</t>
  </si>
  <si>
    <t>HATICE</t>
  </si>
  <si>
    <t>RONALD &amp; HATICE BLADE</t>
  </si>
  <si>
    <t xml:space="preserve">10621 W SANDS DR </t>
  </si>
  <si>
    <t>ALTA VISTA ESTATES UNIT 1</t>
  </si>
  <si>
    <t>ALTA VISTA ESTATES</t>
  </si>
  <si>
    <t>MESCHBERGER JOHN A &amp; PENNIE</t>
  </si>
  <si>
    <t>BLADE RONALD &amp; HATICE</t>
  </si>
  <si>
    <t>PATZI</t>
  </si>
  <si>
    <t>PAOLA</t>
  </si>
  <si>
    <t>EDWARDS &amp; PAOLA PATZI</t>
  </si>
  <si>
    <t xml:space="preserve">10617 W ODEUM LN </t>
  </si>
  <si>
    <t>MERILAGE HOMES OF ARIZONA INC</t>
  </si>
  <si>
    <t>EDWARDS PAUL J &amp; PAOLA P</t>
  </si>
  <si>
    <t>HOOPES</t>
  </si>
  <si>
    <t>CURTIS &amp; TRACY HOOPES</t>
  </si>
  <si>
    <t xml:space="preserve">3910 S BRICE </t>
  </si>
  <si>
    <t>LOVERIDGE LINDA K</t>
  </si>
  <si>
    <t>HOOPES CURTIS J &amp; TRACY K</t>
  </si>
  <si>
    <t>MAURICE &amp; KATIE JOHNSON</t>
  </si>
  <si>
    <t xml:space="preserve">7239 W KIMBERLY WAY </t>
  </si>
  <si>
    <t>ARROWHEAD RANCH  8 AMD LT 1-181 TR A</t>
  </si>
  <si>
    <t>HAZEN THOMAS G &amp; CHERI A</t>
  </si>
  <si>
    <t>JOHNSON MAURICE &amp; KATIE</t>
  </si>
  <si>
    <t>BRYAN &amp; JESSICA SMITH</t>
  </si>
  <si>
    <t xml:space="preserve">21184 N 90TH LN </t>
  </si>
  <si>
    <t>DEER VILLAGE UNIT 3</t>
  </si>
  <si>
    <t>ZEMORA EMANOIL</t>
  </si>
  <si>
    <t>SMITH BRYAN</t>
  </si>
  <si>
    <t>REGGIE &amp; BROOKE CHRISTIANSON</t>
  </si>
  <si>
    <t xml:space="preserve">13449 W CORONADO RD </t>
  </si>
  <si>
    <t>PALM VALLEY PHASE 1 PARCEL 12</t>
  </si>
  <si>
    <t>PALOMA</t>
  </si>
  <si>
    <t>BLACK ROBERT E &amp; LORRIE L</t>
  </si>
  <si>
    <t>CHRISTIANSON REGGIE A</t>
  </si>
  <si>
    <t>BUTTRUM</t>
  </si>
  <si>
    <t>ROBERT &amp; MICHELLE BUTTRUM</t>
  </si>
  <si>
    <t xml:space="preserve">196 S 194TH LN </t>
  </si>
  <si>
    <t>H068</t>
  </si>
  <si>
    <t>VISTA DE MONTANA PHASE 1B</t>
  </si>
  <si>
    <t>VISTA DE MONTANA</t>
  </si>
  <si>
    <t>CLAVEL DONALD L</t>
  </si>
  <si>
    <t>BUTTRUM ROBERT O</t>
  </si>
  <si>
    <t>OUTAR</t>
  </si>
  <si>
    <t>SEAN &amp; ANGELA OUTAR</t>
  </si>
  <si>
    <t xml:space="preserve">104 S 110TH AVE </t>
  </si>
  <si>
    <t>GRANT DEREK A &amp; TARA L</t>
  </si>
  <si>
    <t>OUTAR SEAN A &amp; ANGELA H</t>
  </si>
  <si>
    <t>TABORA</t>
  </si>
  <si>
    <t>SHENATE</t>
  </si>
  <si>
    <t>JUAN &amp; SHENATE TABORA</t>
  </si>
  <si>
    <t xml:space="preserve">4428 E MONTECITO AVE </t>
  </si>
  <si>
    <t>CAVALIER PALMS 1-41</t>
  </si>
  <si>
    <t>CAVALIER PALMS</t>
  </si>
  <si>
    <t>HOPI ELEMENTARY SCHOOL</t>
  </si>
  <si>
    <t>ANDERSON ROBIN A TRUST</t>
  </si>
  <si>
    <t>JUAN C TABORA</t>
  </si>
  <si>
    <t>SHENATE TABORA</t>
  </si>
  <si>
    <t>BIASCO</t>
  </si>
  <si>
    <t>JOHN &amp; LINDA BIASCO</t>
  </si>
  <si>
    <t xml:space="preserve">1402 E DRAKE DR </t>
  </si>
  <si>
    <t>STITES DOUGLAS W L T T</t>
  </si>
  <si>
    <t>ROSEVILLE CA 95667</t>
  </si>
  <si>
    <t>JOHN BIASCO</t>
  </si>
  <si>
    <t>LINDA BIASCO</t>
  </si>
  <si>
    <t>COLQUETTE</t>
  </si>
  <si>
    <t>LARRY COLQUETTE</t>
  </si>
  <si>
    <t xml:space="preserve">6436 E PEBBLE DR </t>
  </si>
  <si>
    <t>SUCATO CRISTYN</t>
  </si>
  <si>
    <t>COLQUETTE LARRY</t>
  </si>
  <si>
    <t>MAHONEY</t>
  </si>
  <si>
    <t>KURT &amp; ALEXANDRIA MAHONEY</t>
  </si>
  <si>
    <t xml:space="preserve">1043 E VERMONT AVE </t>
  </si>
  <si>
    <t>HANGEE CAROL</t>
  </si>
  <si>
    <t>MAHONEY KURT J &amp; ALEXANDRIA I</t>
  </si>
  <si>
    <t>GROCE</t>
  </si>
  <si>
    <t>GARY &amp; SHARON GROCE</t>
  </si>
  <si>
    <t xml:space="preserve">1084 S OLYMPIC DR </t>
  </si>
  <si>
    <t>COPPER RANCH AMD</t>
  </si>
  <si>
    <t>ROSENTHAL JOSHUA</t>
  </si>
  <si>
    <t>GROCE GARY L</t>
  </si>
  <si>
    <t>ABDIEL</t>
  </si>
  <si>
    <t>VILLALOBOS</t>
  </si>
  <si>
    <t>ABDIEL VILLALOBOS</t>
  </si>
  <si>
    <t xml:space="preserve">3033 W PLEASANT LN </t>
  </si>
  <si>
    <t xml:space="preserve">401 W WASHINGTON ST #20 </t>
  </si>
  <si>
    <t>360 MTG</t>
  </si>
  <si>
    <t>ABDIEL E VILLALOBOS</t>
  </si>
  <si>
    <t>JOHN BRADLEY</t>
  </si>
  <si>
    <t xml:space="preserve">4827 W COMMONWEALTH PL </t>
  </si>
  <si>
    <t>TWELVE OAKS   LOT 1-160 TRACT A-H</t>
  </si>
  <si>
    <t>HANSEN NICKOLAS A &amp; LINDSAY</t>
  </si>
  <si>
    <t>BRADLEY JOHN A</t>
  </si>
  <si>
    <t>BRYCE PACHECO</t>
  </si>
  <si>
    <t xml:space="preserve">14598 W MANDALAY LN </t>
  </si>
  <si>
    <t>ROYAL RANCH UNIT 2 PARCEL 5</t>
  </si>
  <si>
    <t>WILSON MICHAEL &amp; MARIE-CLAIR</t>
  </si>
  <si>
    <t>SANTA ANA CA 92705</t>
  </si>
  <si>
    <t>BRYCE T PACHECO</t>
  </si>
  <si>
    <t>MCCULLY FAMILY TRUST</t>
  </si>
  <si>
    <t>MCCULLY</t>
  </si>
  <si>
    <t xml:space="preserve">2525 E NORTH LN </t>
  </si>
  <si>
    <t>GREENRIDGE 3</t>
  </si>
  <si>
    <t>GREENRIDGE</t>
  </si>
  <si>
    <t>BURNS FAMILY TRUST</t>
  </si>
  <si>
    <t>MCCULLY KEVIN S &amp; MARY M</t>
  </si>
  <si>
    <t>REED-DAVIS</t>
  </si>
  <si>
    <t>WILLIAM DAVIS &amp; KIMBERLY REED-DAVIS</t>
  </si>
  <si>
    <t xml:space="preserve">6057 E HERMOSA VISTA DR </t>
  </si>
  <si>
    <t>HERMOSA VISTA NORTH</t>
  </si>
  <si>
    <t>MORGAN ROSE M LIVING TRUST</t>
  </si>
  <si>
    <t>DAVIS WILLIAM A</t>
  </si>
  <si>
    <t>REED-DAVIS KIMBERLY A</t>
  </si>
  <si>
    <t>MCKINNEY</t>
  </si>
  <si>
    <t>JASON &amp; LORIE MCKINNEY</t>
  </si>
  <si>
    <t xml:space="preserve">923 E MANHATTON DR </t>
  </si>
  <si>
    <t>CYPRUS EAST 2</t>
  </si>
  <si>
    <t>HAWKEYE INV PROPS LLC</t>
  </si>
  <si>
    <t>MCKINNEY JASON T &amp; LORIE R</t>
  </si>
  <si>
    <t>JOHN &amp; JACKIE ROBERTS</t>
  </si>
  <si>
    <t xml:space="preserve">14776 N 152ND DR </t>
  </si>
  <si>
    <t>COUNTRYSIDE UNIT 2</t>
  </si>
  <si>
    <t>SAUEY CARL &amp; EMILY</t>
  </si>
  <si>
    <t>JOHN L ROBERTS</t>
  </si>
  <si>
    <t>JACKIE M ROBERTS</t>
  </si>
  <si>
    <t>CONCEPCION</t>
  </si>
  <si>
    <t>MICHAEL &amp; CONCEPCION WARD</t>
  </si>
  <si>
    <t xml:space="preserve">25800 W WATKINS ST </t>
  </si>
  <si>
    <t>WESTPARK PARCEL 4S</t>
  </si>
  <si>
    <t>TALLEY JOHN</t>
  </si>
  <si>
    <t>WARD MICHAEL</t>
  </si>
  <si>
    <t>PETER &amp; LINDA KING</t>
  </si>
  <si>
    <t xml:space="preserve">18426 N 46TH WAY </t>
  </si>
  <si>
    <t>TATUM MANOR  LOT 1-109  TR A-F</t>
  </si>
  <si>
    <t>TATUM MANOR</t>
  </si>
  <si>
    <t>BLOMBERG JASON &amp; ERIN C</t>
  </si>
  <si>
    <t>KING LINDA &amp; PETER</t>
  </si>
  <si>
    <t>BECKLEY</t>
  </si>
  <si>
    <t>THOMAS &amp; PATRICIA BECKLEY</t>
  </si>
  <si>
    <t xml:space="preserve">6031 W BEVERLY LN </t>
  </si>
  <si>
    <t>BRANDYWYNE 7 LOT 467-568</t>
  </si>
  <si>
    <t>BRANDYWYNE</t>
  </si>
  <si>
    <t>HD PROPERTY LLC</t>
  </si>
  <si>
    <t>BECKLEY THOMAS &amp; PATRICIA</t>
  </si>
  <si>
    <t>PATRICIA BECKLEY</t>
  </si>
  <si>
    <t>THOMAS BECKLEY III</t>
  </si>
  <si>
    <t>ALISA</t>
  </si>
  <si>
    <t>VIEIRA</t>
  </si>
  <si>
    <t>BRANDON WOOD &amp; ALISA VIEIRA</t>
  </si>
  <si>
    <t xml:space="preserve">2501 S 119TH DR </t>
  </si>
  <si>
    <t>DEL RIO RANCH UNIT 3</t>
  </si>
  <si>
    <t>WOOD BRANDON L</t>
  </si>
  <si>
    <t>VIEIRA ALISA M</t>
  </si>
  <si>
    <t>DANIEL EVANS</t>
  </si>
  <si>
    <t xml:space="preserve">755 E HACKAMORE ST </t>
  </si>
  <si>
    <t>HOHOKAM TRAILS UNIT 2 LOT 35-124 TR A</t>
  </si>
  <si>
    <t>HOHOKAM TRAILS</t>
  </si>
  <si>
    <t>MARINA INVESTMENTS LLC</t>
  </si>
  <si>
    <t>EVANS DANIEL S</t>
  </si>
  <si>
    <t>HEMME</t>
  </si>
  <si>
    <t>DOUGLAS &amp; MARGARET HEMME</t>
  </si>
  <si>
    <t xml:space="preserve">15546 W CORTEZ ST </t>
  </si>
  <si>
    <t>HEMME DOUGLAS D &amp; MARGARET F</t>
  </si>
  <si>
    <t>GABRIEL &amp; AMBER SLYE</t>
  </si>
  <si>
    <t xml:space="preserve">1836 W STRAIGHT ARROW LN </t>
  </si>
  <si>
    <t>DYNAMITE MOUNTAIN RANCH PHASE 2 PARCEL K</t>
  </si>
  <si>
    <t>FIRESIDE AT NORTERRA SKYLINE</t>
  </si>
  <si>
    <t>SLYE GABRIEL C &amp; AMBER L</t>
  </si>
  <si>
    <t>TONY &amp; ALICIA ALEXANDER</t>
  </si>
  <si>
    <t xml:space="preserve">16228 N 162ND LN </t>
  </si>
  <si>
    <t>WUNDERLICH VORN</t>
  </si>
  <si>
    <t>ALEXANDER TONY</t>
  </si>
  <si>
    <t>SMELL</t>
  </si>
  <si>
    <t>STEVEN &amp; MICHELLE SMELL</t>
  </si>
  <si>
    <t xml:space="preserve">836 W WHITTON AVE </t>
  </si>
  <si>
    <t>NORTH PARK CENTRAL UNIT 1</t>
  </si>
  <si>
    <t>MEYERS ILENE</t>
  </si>
  <si>
    <t>SMELL STEVEN</t>
  </si>
  <si>
    <t>ELLIOTT-SMELL MICHELLE</t>
  </si>
  <si>
    <t>GANCARZ</t>
  </si>
  <si>
    <t>NATHANIEL GANCARZ</t>
  </si>
  <si>
    <t xml:space="preserve">25949 N 163RD DR </t>
  </si>
  <si>
    <t>WILLIS JASON</t>
  </si>
  <si>
    <t>USAA FED'L SVGS BK</t>
  </si>
  <si>
    <t>JORDAN GARCIA</t>
  </si>
  <si>
    <t>KEVIN &amp; ANGELICA RAMOS</t>
  </si>
  <si>
    <t xml:space="preserve">1547 E BEACON DR </t>
  </si>
  <si>
    <t>LA JOLLA VILLAGE LOT 1-86 TR A-E &amp; G</t>
  </si>
  <si>
    <t>LA JOLLA VILLAGE</t>
  </si>
  <si>
    <t>MUTH SCOTT</t>
  </si>
  <si>
    <t>RAMOS KEVIN D &amp; ANGELICA S</t>
  </si>
  <si>
    <t>THOMAS DOYLE</t>
  </si>
  <si>
    <t xml:space="preserve">1318 W PALMAIRE AVE </t>
  </si>
  <si>
    <t>STARLITE VISTA</t>
  </si>
  <si>
    <t>ORANGEWOOD ELEMENTARY SCHOOL</t>
  </si>
  <si>
    <t>SCHICK JASON</t>
  </si>
  <si>
    <t>DOYLE THOMAS P</t>
  </si>
  <si>
    <t>ALEXANDRIA VT 22313</t>
  </si>
  <si>
    <t>THOMAS P DOYLE</t>
  </si>
  <si>
    <t>BERT</t>
  </si>
  <si>
    <t>SHERY</t>
  </si>
  <si>
    <t>PAUL &amp; PAUL SHERY</t>
  </si>
  <si>
    <t xml:space="preserve">10401 E FLINTLOCK DR </t>
  </si>
  <si>
    <t>DOTY CRAIG TRUSTEE</t>
  </si>
  <si>
    <t>PAUL BERT H &amp; SHERY</t>
  </si>
  <si>
    <t>MARK &amp; JODI MYERS</t>
  </si>
  <si>
    <t xml:space="preserve">16861 W PIERCE ST </t>
  </si>
  <si>
    <t>CANYON TRAILS PHASE 1</t>
  </si>
  <si>
    <t>TALBY DAVID</t>
  </si>
  <si>
    <t>MYERS MARK D &amp; JODI A</t>
  </si>
  <si>
    <t>MARK &amp; BETHANY JENKINS</t>
  </si>
  <si>
    <t xml:space="preserve">8129 W WOOD DR </t>
  </si>
  <si>
    <t>BRISTOL MANOR 1 1-17 38-94 115 117-118 1</t>
  </si>
  <si>
    <t>BRISTOL MANOR</t>
  </si>
  <si>
    <t>HICKS RONALD J</t>
  </si>
  <si>
    <t>METROPOLITAN HOME MORTGAGE INC</t>
  </si>
  <si>
    <t>JENKINS MARK &amp; BETHANY</t>
  </si>
  <si>
    <t>KANSAS KEVIN J &amp; LILIAN L</t>
  </si>
  <si>
    <t xml:space="preserve">1621 W LACEWOOD PL </t>
  </si>
  <si>
    <t>FOOTHILLS CLUB WEST PARCELS 20 AND 25 AM</t>
  </si>
  <si>
    <t>FOOTHILLS CLUB WEST</t>
  </si>
  <si>
    <t>KREDIT JARED J &amp; NATALIE L</t>
  </si>
  <si>
    <t>CASURA</t>
  </si>
  <si>
    <t>NICHOLAS CASURA</t>
  </si>
  <si>
    <t xml:space="preserve">4038 E HOLMES AVE </t>
  </si>
  <si>
    <t>GREENFIELD PLACE LOT 1-120 TR A</t>
  </si>
  <si>
    <t>GREENFIELD PLACE</t>
  </si>
  <si>
    <t>YATES TERESA L</t>
  </si>
  <si>
    <t>CASURA NICHOLAS L</t>
  </si>
  <si>
    <t>BOXILL</t>
  </si>
  <si>
    <t>LASHANDA</t>
  </si>
  <si>
    <t>JONATHAN &amp; LASHANDA BOXILL</t>
  </si>
  <si>
    <t xml:space="preserve">16022 S 44TH PL </t>
  </si>
  <si>
    <t>PECOS NORTH LOT 1-168 TR A-D</t>
  </si>
  <si>
    <t>PECOS NORTH</t>
  </si>
  <si>
    <t>RMLJ HOLDINGS 1 LLC</t>
  </si>
  <si>
    <t>JONATHAN BOXILL</t>
  </si>
  <si>
    <t>LASHANDA BOXILL</t>
  </si>
  <si>
    <t>ARMON</t>
  </si>
  <si>
    <t>ARMON &amp; LOURDES WALKER</t>
  </si>
  <si>
    <t xml:space="preserve">2025 W DIXON ST </t>
  </si>
  <si>
    <t>VILLAGE PARK 1</t>
  </si>
  <si>
    <t>VILLAGE PARK</t>
  </si>
  <si>
    <t>UNIVERSAL INVS GROUP LLC</t>
  </si>
  <si>
    <t>WALKER ARMON &amp; LOURDES</t>
  </si>
  <si>
    <t>DUNN</t>
  </si>
  <si>
    <t>CHARLES &amp; KIMBERLEY DUNN</t>
  </si>
  <si>
    <t xml:space="preserve">7317 N 21ST DR </t>
  </si>
  <si>
    <t>NEW CASTLE HOMES 2A</t>
  </si>
  <si>
    <t>NEW CASTLE HOMES</t>
  </si>
  <si>
    <t>NIMS THOMAS P</t>
  </si>
  <si>
    <t>DUNN CHARLES NICHOLAS</t>
  </si>
  <si>
    <t>STUART</t>
  </si>
  <si>
    <t>DONALD &amp; MARY STUART</t>
  </si>
  <si>
    <t xml:space="preserve">3433 W PASEO WAY </t>
  </si>
  <si>
    <t xml:space="preserve">2920 N EVERGREEN ST </t>
  </si>
  <si>
    <t>DOBBINS PLACE</t>
  </si>
  <si>
    <t>MCKUNE ALLEN B</t>
  </si>
  <si>
    <t>STUART DONALD</t>
  </si>
  <si>
    <t>ASHENBRENNER</t>
  </si>
  <si>
    <t>VICKIE ASHENBRENNER &amp; RANDALL MILLER</t>
  </si>
  <si>
    <t xml:space="preserve">10242 W TUMBLEWOOD DR </t>
  </si>
  <si>
    <t>SUN CITY 30</t>
  </si>
  <si>
    <t>LOYD NEIL G</t>
  </si>
  <si>
    <t>ASHENBRENNER VICKIE L</t>
  </si>
  <si>
    <t>MILLER RANDALL C</t>
  </si>
  <si>
    <t>NOYES</t>
  </si>
  <si>
    <t>GORDON NOYES</t>
  </si>
  <si>
    <t xml:space="preserve">3037 S MANDY </t>
  </si>
  <si>
    <t>ARIZONA SKYLINE</t>
  </si>
  <si>
    <t>MCDONNELL JOSHUA A</t>
  </si>
  <si>
    <t>NOYES GORDON A</t>
  </si>
  <si>
    <t>GODOY</t>
  </si>
  <si>
    <t>MAYRA</t>
  </si>
  <si>
    <t>ARTURO &amp; MAYRA GODOY</t>
  </si>
  <si>
    <t xml:space="preserve">21831 W CASEY LN </t>
  </si>
  <si>
    <t>GODOY ARTURO &amp; MAYRA</t>
  </si>
  <si>
    <t>ROBERT &amp; SUZANNE LOZA</t>
  </si>
  <si>
    <t xml:space="preserve">1226 W MEADOWBROOK AVE </t>
  </si>
  <si>
    <t>PARK VIEW HOMES  PLAT 2 LOTS 88-273</t>
  </si>
  <si>
    <t>PARK VIEW HOMES</t>
  </si>
  <si>
    <t>JARMEN REALTY INVS LLC</t>
  </si>
  <si>
    <t>LOZA ROBERT JR &amp; SUZANNE</t>
  </si>
  <si>
    <t>NOELLE ANDRADE</t>
  </si>
  <si>
    <t xml:space="preserve">317 E BELMONT AVE </t>
  </si>
  <si>
    <t>PALM HEIGHTS 2</t>
  </si>
  <si>
    <t>PALM HEIGHTS</t>
  </si>
  <si>
    <t>GILLIGAN LISA M</t>
  </si>
  <si>
    <t>LOCKRIDGE TOMMY E</t>
  </si>
  <si>
    <t>PRICE-LOCKRIDGE MARIE E</t>
  </si>
  <si>
    <t>BYARS</t>
  </si>
  <si>
    <t>DONALD &amp; MONICA BYARS</t>
  </si>
  <si>
    <t xml:space="preserve">3464 N 153RD LN </t>
  </si>
  <si>
    <t>PEBBLECREEK UNIT ONE  LOT 1-57  TR A-D</t>
  </si>
  <si>
    <t>SANZONE-HUMBLE FAMILY TRUST</t>
  </si>
  <si>
    <t>NEW DAY FIN'L LLC</t>
  </si>
  <si>
    <t>BYARS DONALD &amp; MONICA S</t>
  </si>
  <si>
    <t>DOCKTOR</t>
  </si>
  <si>
    <t>DAVID &amp; KAREN DOCKTOR</t>
  </si>
  <si>
    <t xml:space="preserve">11117 W ASHBROOK PL </t>
  </si>
  <si>
    <t>GARDEN LAKE ESTATES LOT 1-83 TR A C E</t>
  </si>
  <si>
    <t>HACKETT DONN C &amp; TERRI L</t>
  </si>
  <si>
    <t>DOCKTOR DAVID H &amp; KAREN J</t>
  </si>
  <si>
    <t>KUESTER</t>
  </si>
  <si>
    <t>CHARLES &amp; LINDA KUESTER</t>
  </si>
  <si>
    <t xml:space="preserve">12813 W WINDROSE DR </t>
  </si>
  <si>
    <t>GRUNDY JERRY L</t>
  </si>
  <si>
    <t>KUESTER CHARLES S &amp; LINDA S</t>
  </si>
  <si>
    <t>WOLTER</t>
  </si>
  <si>
    <t>JANELL</t>
  </si>
  <si>
    <t>IAN &amp; JANELL WOLTER</t>
  </si>
  <si>
    <t xml:space="preserve">17637 W PAPAGO ST </t>
  </si>
  <si>
    <t>SWEETWATER ESTATES 2</t>
  </si>
  <si>
    <t>SWEETWATER ESTATES</t>
  </si>
  <si>
    <t>DEHN THOMAS W</t>
  </si>
  <si>
    <t>WOLTER IAN</t>
  </si>
  <si>
    <t>ROBERT &amp; PATRICIA BROWN</t>
  </si>
  <si>
    <t xml:space="preserve">3721 W BLUE EAGLE CT </t>
  </si>
  <si>
    <t>ANTHEM UNIT 77</t>
  </si>
  <si>
    <t>MICHELSON KEVIN J</t>
  </si>
  <si>
    <t>PARAMOUNT RESIDENTIAL MORTGAGE</t>
  </si>
  <si>
    <t>BROWN ROBERT J &amp; PATRICIA B</t>
  </si>
  <si>
    <t>FRIEDRICH</t>
  </si>
  <si>
    <t>HOESCH</t>
  </si>
  <si>
    <t>FRIEDRICH &amp; BOBBIE HOESCH</t>
  </si>
  <si>
    <t xml:space="preserve">5319 W PUGET AVE </t>
  </si>
  <si>
    <t>WILLOWBROOK LOT 1-139 TR A</t>
  </si>
  <si>
    <t>WILLOWBROOK</t>
  </si>
  <si>
    <t>IMB REAL ESTATE INVESTMENT</t>
  </si>
  <si>
    <t>HOESCH FRIEDRICH S &amp; BOBBIE</t>
  </si>
  <si>
    <t>JOHN TAPIA</t>
  </si>
  <si>
    <t xml:space="preserve">2841 S ESMERALDA CIR </t>
  </si>
  <si>
    <t>CLONTS THOMAS T &amp; RHONDA</t>
  </si>
  <si>
    <t>TAPIA JOHN</t>
  </si>
  <si>
    <t>DANIELA</t>
  </si>
  <si>
    <t>BALL-NORMAN</t>
  </si>
  <si>
    <t>SHAWN NORMAN &amp; DANIELA BALL-NORMAN</t>
  </si>
  <si>
    <t xml:space="preserve">9239 W BELVOIR RD </t>
  </si>
  <si>
    <t>SHEELY FARMS PARCEL 10</t>
  </si>
  <si>
    <t>HORIZONS AT SHEELY FARMS</t>
  </si>
  <si>
    <t>MACHLOWSKI KRZYSZTOF &amp; ELZBI</t>
  </si>
  <si>
    <t>NORMAN SHAWN</t>
  </si>
  <si>
    <t>BALL NORMAN DANIELA</t>
  </si>
  <si>
    <t>BLAKE &amp; JENNIFER RHODES</t>
  </si>
  <si>
    <t xml:space="preserve">3037 E VILLA RITA DR </t>
  </si>
  <si>
    <t>PARQUE VISTA ESTATES UNIT 10 LT 768-939</t>
  </si>
  <si>
    <t>PARQUE VISTA ESTATES</t>
  </si>
  <si>
    <t>FERGUSON JEANNIE M</t>
  </si>
  <si>
    <t>RHODES BLAKE N &amp; JENNIFER L</t>
  </si>
  <si>
    <t>SASSE</t>
  </si>
  <si>
    <t>MARIE &amp; MARIE WARD</t>
  </si>
  <si>
    <t xml:space="preserve">4220 W HARWELL RD </t>
  </si>
  <si>
    <t>SASSE TOBY W &amp; NICOLE M</t>
  </si>
  <si>
    <t>TOBY W SASSE</t>
  </si>
  <si>
    <t>NICOLE M SASSE</t>
  </si>
  <si>
    <t>WILTRAVMM LLC</t>
  </si>
  <si>
    <t xml:space="preserve">13414 W JACOBSON DR </t>
  </si>
  <si>
    <t>ALICEA RAFAEL &amp; AMINTA</t>
  </si>
  <si>
    <t>WILSON TRAVIS K</t>
  </si>
  <si>
    <t>BECKFORD-WILSON MONIQUE</t>
  </si>
  <si>
    <t>FAUST</t>
  </si>
  <si>
    <t>JOSEPH &amp; TINA FAUST</t>
  </si>
  <si>
    <t xml:space="preserve">15161 N 176TH DR </t>
  </si>
  <si>
    <t>SIERRA MONTANA PARCEL 20</t>
  </si>
  <si>
    <t>PERSINGER BRADLEY W &amp; THERES</t>
  </si>
  <si>
    <t>FAUST JOSEPH C &amp; TINA M</t>
  </si>
  <si>
    <t>CERVANTEZ</t>
  </si>
  <si>
    <t>TED CERVANTEZ</t>
  </si>
  <si>
    <t xml:space="preserve">14410 N 28TH AVE </t>
  </si>
  <si>
    <t>KNOELL ROYAL OAKS UNIT 8</t>
  </si>
  <si>
    <t>KNOELL ROYAL OAKS</t>
  </si>
  <si>
    <t>ACACIA ELEMENTARY SCHOOL</t>
  </si>
  <si>
    <t>SHREVE FAYE TRUST</t>
  </si>
  <si>
    <t>NATIONS DIRECT MTG</t>
  </si>
  <si>
    <t>TED S CERVANTEZ JR</t>
  </si>
  <si>
    <t>DEVAN</t>
  </si>
  <si>
    <t>ASCHENBRENER</t>
  </si>
  <si>
    <t>KEVIN NORTON &amp; DEVAN ASCHENBRENER</t>
  </si>
  <si>
    <t xml:space="preserve">1239 S KENDRA ST </t>
  </si>
  <si>
    <t>DUNN BRYAN D</t>
  </si>
  <si>
    <t>NORTON KEVIN</t>
  </si>
  <si>
    <t>ASCHENBRENER DEVAN</t>
  </si>
  <si>
    <t>BOSE STOKES D FAMILY LIVING TR</t>
  </si>
  <si>
    <t>D BOSESTOKES</t>
  </si>
  <si>
    <t xml:space="preserve">4699 E OLNEY AVE </t>
  </si>
  <si>
    <t>LA ALDEA</t>
  </si>
  <si>
    <t>WOLFE GERALD E</t>
  </si>
  <si>
    <t>STOKES DU BOSE GEORGE J &amp; SUS</t>
  </si>
  <si>
    <t>TIM</t>
  </si>
  <si>
    <t>SINOGO</t>
  </si>
  <si>
    <t>TIM &amp; BRITTANY SINOGO</t>
  </si>
  <si>
    <t xml:space="preserve">488 N RANGER TRL </t>
  </si>
  <si>
    <t>SINOGO TIM B &amp; BRITTANY K</t>
  </si>
  <si>
    <t>MASCHMEYER</t>
  </si>
  <si>
    <t>JASON MASCHMEYER</t>
  </si>
  <si>
    <t xml:space="preserve">2117 S BARRINGTON </t>
  </si>
  <si>
    <t>BARRINGTON ESTATES AMD</t>
  </si>
  <si>
    <t>BARRINGTON ESTATES</t>
  </si>
  <si>
    <t>GARDNER KRAIG &amp; AMELIA</t>
  </si>
  <si>
    <t>MASCHMEYER JASON B</t>
  </si>
  <si>
    <t>DEREK &amp; JANET OLSON</t>
  </si>
  <si>
    <t xml:space="preserve">7656 W REDFIELD RD </t>
  </si>
  <si>
    <t>SHAVANO  LOT 1-155</t>
  </si>
  <si>
    <t>SHAVANO</t>
  </si>
  <si>
    <t>LEFFLER DONALD G &amp; BARBARA</t>
  </si>
  <si>
    <t>OLSON DEREK &amp; JANET</t>
  </si>
  <si>
    <t>JOE &amp; APRIL RUSSELL</t>
  </si>
  <si>
    <t xml:space="preserve">15756 W PIERCE ST </t>
  </si>
  <si>
    <t>RUSSELL JOE</t>
  </si>
  <si>
    <t>FELICIA</t>
  </si>
  <si>
    <t>MARK &amp; FELICIA FIELDS</t>
  </si>
  <si>
    <t xml:space="preserve">12515 S 175TH AVE </t>
  </si>
  <si>
    <t>FIELDS MARK S</t>
  </si>
  <si>
    <t>MCGARVEY</t>
  </si>
  <si>
    <t>SHAWN MCGARVEY</t>
  </si>
  <si>
    <t xml:space="preserve">2033 W EDGEMONT AVE </t>
  </si>
  <si>
    <t>ENCANTO ESTATES AMD</t>
  </si>
  <si>
    <t>CUTTING EDGE INNOVATIONS L</t>
  </si>
  <si>
    <t>MCGARVEY SHAWN</t>
  </si>
  <si>
    <t>ENRIGHT</t>
  </si>
  <si>
    <t>JONATHAN &amp; JENNIFER ENRIGHT</t>
  </si>
  <si>
    <t xml:space="preserve">7607 W SWEETWATER AVE </t>
  </si>
  <si>
    <t>FERGUSON NANCY E</t>
  </si>
  <si>
    <t>BAY EQUITY</t>
  </si>
  <si>
    <t>SAUSALITO CA 94965</t>
  </si>
  <si>
    <t>JONATHAN F ENRIGHT</t>
  </si>
  <si>
    <t>JENNIFER E ENRIGHT</t>
  </si>
  <si>
    <t>MUTUAL/OMAHA BK</t>
  </si>
  <si>
    <t>SUN CITY WEST AZ 85375</t>
  </si>
  <si>
    <t>HAROLD &amp; KATHLEEN HOPKINS</t>
  </si>
  <si>
    <t xml:space="preserve">2944 S WILLOW WOOD </t>
  </si>
  <si>
    <t>SUNLAND SPRINGS VILLAGE UNIT 6</t>
  </si>
  <si>
    <t>ROSLOWSKI JOHN J</t>
  </si>
  <si>
    <t>HOPKINS HAROLD L &amp; KATHLEEN A</t>
  </si>
  <si>
    <t>BRACKETT</t>
  </si>
  <si>
    <t>THOMAS BRACKETT</t>
  </si>
  <si>
    <t xml:space="preserve">248 S 222ND AVE </t>
  </si>
  <si>
    <t>SUNDANCE PARCEL 20</t>
  </si>
  <si>
    <t>TREVINO MARGARET S</t>
  </si>
  <si>
    <t>BRACKETT THOMAS L</t>
  </si>
  <si>
    <t>ANETTE</t>
  </si>
  <si>
    <t>JAMES &amp; ANETTE GRAY</t>
  </si>
  <si>
    <t xml:space="preserve">1947 W TANYA TRL </t>
  </si>
  <si>
    <t>STEVENS KARI</t>
  </si>
  <si>
    <t>BELLEVUE WA 98006</t>
  </si>
  <si>
    <t>GRAY JAMES K &amp; ANETTE</t>
  </si>
  <si>
    <t>DIETZ</t>
  </si>
  <si>
    <t>CHARLENE &amp; DAVID DIETZ</t>
  </si>
  <si>
    <t xml:space="preserve">12214 W PASO TRL </t>
  </si>
  <si>
    <t>DIETZ CHARLENE &amp; DAVID</t>
  </si>
  <si>
    <t>GENE</t>
  </si>
  <si>
    <t>GNEHM</t>
  </si>
  <si>
    <t>GENE &amp; KAREN GNEHM</t>
  </si>
  <si>
    <t xml:space="preserve">1337 W PAMPA AVE </t>
  </si>
  <si>
    <t>NORTH FORTY UNIT TWO LOT 95-150 228-270</t>
  </si>
  <si>
    <t>FITTON FAMILY LIVING TRUST</t>
  </si>
  <si>
    <t>GNEHM GENE H &amp; KAREN</t>
  </si>
  <si>
    <t>MOSLEY</t>
  </si>
  <si>
    <t>LARRY &amp; JENNIFER MOSLEY</t>
  </si>
  <si>
    <t xml:space="preserve">14428 W CHOLLA ST </t>
  </si>
  <si>
    <t>JONES CORRINE E</t>
  </si>
  <si>
    <t>MOSLEY LARRY &amp; JENNIFER</t>
  </si>
  <si>
    <t>RICCI</t>
  </si>
  <si>
    <t>DARREN &amp; LISA RICCI</t>
  </si>
  <si>
    <t xml:space="preserve">12064 N 138TH WAY </t>
  </si>
  <si>
    <t>PARCEL 4B AT SCOTTSDALE MOUNTAIN</t>
  </si>
  <si>
    <t>FONSECA RAFAEL</t>
  </si>
  <si>
    <t>RICCI DARREN L &amp; LISA A</t>
  </si>
  <si>
    <t>JOEY</t>
  </si>
  <si>
    <t>SCHIESSL</t>
  </si>
  <si>
    <t>PORTER-SCHIESSL</t>
  </si>
  <si>
    <t>JOEY SCHIESSL &amp; KELLY PORTER-SCHIESSL</t>
  </si>
  <si>
    <t xml:space="preserve">1936 E BALBOA DR </t>
  </si>
  <si>
    <t>KNOELL TEMPE</t>
  </si>
  <si>
    <t>LANE BEVERYLY J</t>
  </si>
  <si>
    <t>SCHIESSL JOEY JOHN</t>
  </si>
  <si>
    <t>PORTER SCHIESSL KELLY A</t>
  </si>
  <si>
    <t>JIM &amp; CARRIE BROWN</t>
  </si>
  <si>
    <t xml:space="preserve">9830 W BENT TREE DR </t>
  </si>
  <si>
    <t>PLEASANT VALLEY PHASE 1 AMD</t>
  </si>
  <si>
    <t>ADAMS JOHN P</t>
  </si>
  <si>
    <t>BROWN JIM W</t>
  </si>
  <si>
    <t>OREGON RE LLC</t>
  </si>
  <si>
    <t xml:space="preserve">20474 W CANYON DR </t>
  </si>
  <si>
    <t>NEWELL JENNIFUR &amp; BRENT E</t>
  </si>
  <si>
    <t>QUINN</t>
  </si>
  <si>
    <t>COATS</t>
  </si>
  <si>
    <t>QUINN &amp; KIM COATS</t>
  </si>
  <si>
    <t xml:space="preserve">16030 W WILSHIRE DR </t>
  </si>
  <si>
    <t>FRITZ JOHN K &amp; STACEY</t>
  </si>
  <si>
    <t>COATS QUINN &amp; KIM</t>
  </si>
  <si>
    <t>RAHSAAN</t>
  </si>
  <si>
    <t>GENET</t>
  </si>
  <si>
    <t>RAHSAAN &amp; GENET HARRIS</t>
  </si>
  <si>
    <t xml:space="preserve">18626 W BERYL AVE </t>
  </si>
  <si>
    <t>HARRIS RAHSAAN R &amp; GENET</t>
  </si>
  <si>
    <t>JANICE &amp; GARY WHEELER</t>
  </si>
  <si>
    <t xml:space="preserve">17922 N BRIDLE LN </t>
  </si>
  <si>
    <t>SUN CITY GRAND - DESERT VISTA 1 AND 2</t>
  </si>
  <si>
    <t>SUN CITY GRAND DESERT VISTA</t>
  </si>
  <si>
    <t>ROESCH FAMILY TRUST</t>
  </si>
  <si>
    <t>WHEELER JANICE D &amp; GARY L</t>
  </si>
  <si>
    <t>MINUTOLO</t>
  </si>
  <si>
    <t>YULIIA</t>
  </si>
  <si>
    <t>SCOTT &amp; YULIIA MINUTOLO</t>
  </si>
  <si>
    <t xml:space="preserve">6154 W QUAIL AVE </t>
  </si>
  <si>
    <t>ARROWHEAD RANCH PARCEL 5</t>
  </si>
  <si>
    <t>HECKMAN EDWARD D</t>
  </si>
  <si>
    <t>MINUTOLO SCOTT W &amp; YULIIA</t>
  </si>
  <si>
    <t>THEISEN</t>
  </si>
  <si>
    <t>PAUL &amp; THERESA THEISEN</t>
  </si>
  <si>
    <t xml:space="preserve">43 S 165TH LN </t>
  </si>
  <si>
    <t>CANYON TRAILS UNIT 3 PARCEL E</t>
  </si>
  <si>
    <t>PAGADUAN R V &amp; K A TRUST</t>
  </si>
  <si>
    <t>THEISEN PAUL T &amp; THERESA R</t>
  </si>
  <si>
    <t>MADSEN</t>
  </si>
  <si>
    <t>RONALD &amp; LINDA MADSEN</t>
  </si>
  <si>
    <t xml:space="preserve">5902 E OCUPADO DR </t>
  </si>
  <si>
    <t>MCMATH WELDON L &amp; ROBIN L</t>
  </si>
  <si>
    <t>MADSEN RONALD A &amp; LINDA A</t>
  </si>
  <si>
    <t>PASHA N WALTHER FAMILY TRUST</t>
  </si>
  <si>
    <t>PASHA WALTHER</t>
  </si>
  <si>
    <t xml:space="preserve">3616 E ARIANNA CT </t>
  </si>
  <si>
    <t>SEVILLE PARCEL 26 LTS 16 THRU 39 79 THRU</t>
  </si>
  <si>
    <t>ESCALA</t>
  </si>
  <si>
    <t>RITCHIE JASON &amp; DONNA</t>
  </si>
  <si>
    <t>WALTHER PASHA N FAMILY TRUST</t>
  </si>
  <si>
    <t>PELHAM</t>
  </si>
  <si>
    <t>BRANDON PELHAM &amp; JESSICA ROSS</t>
  </si>
  <si>
    <t xml:space="preserve">25417 W MALDONADO CT </t>
  </si>
  <si>
    <t>BLUE HILLS</t>
  </si>
  <si>
    <t>LGI HOMES-BLUE HILLS LLC</t>
  </si>
  <si>
    <t>PELHAM BRANDON H</t>
  </si>
  <si>
    <t>ROSS JESSICA A</t>
  </si>
  <si>
    <t>JODIE</t>
  </si>
  <si>
    <t>FAILS</t>
  </si>
  <si>
    <t>JODIE &amp; PAMELA FAILS</t>
  </si>
  <si>
    <t xml:space="preserve">2207 E FAIRBROOK ST </t>
  </si>
  <si>
    <t>TIERRA ESTE PARK 4</t>
  </si>
  <si>
    <t>SOBAL MELINDA J</t>
  </si>
  <si>
    <t>FAILS JODIE S &amp; PAMELA S</t>
  </si>
  <si>
    <t>SHANE PETERSON</t>
  </si>
  <si>
    <t xml:space="preserve">3287 E POWELL CT </t>
  </si>
  <si>
    <t>PETERSON SHANE R</t>
  </si>
  <si>
    <t>BARRY &amp; SON THOMAS</t>
  </si>
  <si>
    <t xml:space="preserve">382 N NEUMAN PL </t>
  </si>
  <si>
    <t>GRECO BRIAN</t>
  </si>
  <si>
    <t>THOMAS BARRY KENNETH</t>
  </si>
  <si>
    <t>RICHARD &amp; SHERI POTTER</t>
  </si>
  <si>
    <t xml:space="preserve">15253 W RIVIERA DR </t>
  </si>
  <si>
    <t>RANCHO GABRIELA PHASE 3</t>
  </si>
  <si>
    <t>CHWEE SIMON N A</t>
  </si>
  <si>
    <t>IRVINE CA 92614</t>
  </si>
  <si>
    <t>RICHARD POTTER</t>
  </si>
  <si>
    <t>SHERI POTTER</t>
  </si>
  <si>
    <t>SHAWN &amp; CLAUDIA WILCOX</t>
  </si>
  <si>
    <t xml:space="preserve">490 N EUCALYPTUS PL </t>
  </si>
  <si>
    <t>PARK VILLAGE</t>
  </si>
  <si>
    <t>PARK VILLAGE OF CHANDLER</t>
  </si>
  <si>
    <t>THOMAS ADAM B</t>
  </si>
  <si>
    <t>PMAC LNDG SVCS INC</t>
  </si>
  <si>
    <t>WILCOX SHAWN M</t>
  </si>
  <si>
    <t>HILLMAN FAMILY LIVING TRUST</t>
  </si>
  <si>
    <t>HILLMAN</t>
  </si>
  <si>
    <t xml:space="preserve">15277 W VERDE LN </t>
  </si>
  <si>
    <t>PEBBLECREEK UNIT EIGHT</t>
  </si>
  <si>
    <t>KLEIN AMOLD J TRUST</t>
  </si>
  <si>
    <t>HILLMAN LAWRENCE</t>
  </si>
  <si>
    <t>JULIANE</t>
  </si>
  <si>
    <t>BERQUAM</t>
  </si>
  <si>
    <t>JULIANE &amp; THOMAS BERQUAM</t>
  </si>
  <si>
    <t xml:space="preserve">5751 W BLOOMFIELD RD </t>
  </si>
  <si>
    <t>MISSION GROVES 3 AT MARSHALL RANCH</t>
  </si>
  <si>
    <t>BERQUAM JULIANE C &amp; THOMAS D</t>
  </si>
  <si>
    <t>FRASIER FAMILY TRUST</t>
  </si>
  <si>
    <t>FRASIER</t>
  </si>
  <si>
    <t xml:space="preserve">17811 W WESTPARK BLVD </t>
  </si>
  <si>
    <t>SURPRISE PHASE 2 LLC</t>
  </si>
  <si>
    <t>OWENSBORO KY 42301</t>
  </si>
  <si>
    <t>FRAISER ANTHONY J</t>
  </si>
  <si>
    <t>FRASIER CHARITY R</t>
  </si>
  <si>
    <t>TICE</t>
  </si>
  <si>
    <t>TICE &amp; CHRISTINA ANN</t>
  </si>
  <si>
    <t xml:space="preserve">8242 W DREYFUS DR </t>
  </si>
  <si>
    <t>BOLLING TORY D</t>
  </si>
  <si>
    <t>NETWORK FNDG LP</t>
  </si>
  <si>
    <t>TICE DOUGLAS M</t>
  </si>
  <si>
    <t>TAYA</t>
  </si>
  <si>
    <t>RYAN &amp; TAYA JONES</t>
  </si>
  <si>
    <t xml:space="preserve">13204 W SAN MIGUEL AVE </t>
  </si>
  <si>
    <t>DREAMING SUMMIT UNIT 3A</t>
  </si>
  <si>
    <t>DREAMING SUMMIT II</t>
  </si>
  <si>
    <t>JONES RYAN W &amp; TAYA B</t>
  </si>
  <si>
    <t>BOBBY &amp; DEBORAH YOUNG</t>
  </si>
  <si>
    <t xml:space="preserve">17687 W SHERMAN ST </t>
  </si>
  <si>
    <t>CANYON TRAILS UNIT 4 WEST PARCEL G2</t>
  </si>
  <si>
    <t>YOUNG BOBBY &amp; DEBORAH J</t>
  </si>
  <si>
    <t>ROBERT &amp; CHRISTINE NELSON</t>
  </si>
  <si>
    <t xml:space="preserve">18344 W TURQUOISE AVE </t>
  </si>
  <si>
    <t>CORNERSTONE HM LNDG</t>
  </si>
  <si>
    <t>NELSON ROBERT G &amp; CHRISTINE M</t>
  </si>
  <si>
    <t>WOHLEKING</t>
  </si>
  <si>
    <t>EDWARD WOHLEKING</t>
  </si>
  <si>
    <t xml:space="preserve">11130 W DANA LN </t>
  </si>
  <si>
    <t>CANALES MARIA M</t>
  </si>
  <si>
    <t>WOHLEKING EDWARD B</t>
  </si>
  <si>
    <t>RODRIGUEZ NYCOLE</t>
  </si>
  <si>
    <t>TAISHEA</t>
  </si>
  <si>
    <t>MICAH &amp; TAISHEA SIMPSON</t>
  </si>
  <si>
    <t xml:space="preserve">15035 S 47TH WAY </t>
  </si>
  <si>
    <t>DESERT BREEZE LOT 1-188 TR A &amp; DRAINAGEW</t>
  </si>
  <si>
    <t>OWENS-TARINI LLC</t>
  </si>
  <si>
    <t>SIMPSON MICAH &amp; TAISHEA</t>
  </si>
  <si>
    <t>ESCONTRIAS</t>
  </si>
  <si>
    <t>JOSEPH ESCONTRIAS</t>
  </si>
  <si>
    <t xml:space="preserve">7851 W KERRY LN </t>
  </si>
  <si>
    <t>CITIMORTGAGE INC</t>
  </si>
  <si>
    <t>ESCONTRIAS JOSEPH A</t>
  </si>
  <si>
    <t>PLUKAS</t>
  </si>
  <si>
    <t>JANINE</t>
  </si>
  <si>
    <t>JANINE &amp; JANINE ANTHONY</t>
  </si>
  <si>
    <t xml:space="preserve">19366 E REINS RD </t>
  </si>
  <si>
    <t>EMPEROR ESTATES PHASE 1</t>
  </si>
  <si>
    <t>SEGUIN BRET</t>
  </si>
  <si>
    <t>JOSEPH A PLUKAS</t>
  </si>
  <si>
    <t>KATIE J PLUKAS</t>
  </si>
  <si>
    <t>DELISLE</t>
  </si>
  <si>
    <t>MICHAEL &amp; PAMELA DELISLE</t>
  </si>
  <si>
    <t xml:space="preserve">267 E PHELPS ST </t>
  </si>
  <si>
    <t>MCKINNEY RONALD &amp; ROSETTA</t>
  </si>
  <si>
    <t>DELISLE MICHAEL &amp; PAMELA</t>
  </si>
  <si>
    <t>NIX</t>
  </si>
  <si>
    <t>MARK &amp; LAURA NIX</t>
  </si>
  <si>
    <t xml:space="preserve">2161 E MELROSE ST </t>
  </si>
  <si>
    <t>CLAXTON HARVEY WESTERN RANCHETTES</t>
  </si>
  <si>
    <t>VILLA YOLANDA L</t>
  </si>
  <si>
    <t>NIX MARK &amp; LAURA</t>
  </si>
  <si>
    <t>MARK NIX</t>
  </si>
  <si>
    <t>LAURA NIX</t>
  </si>
  <si>
    <t>PEGRAM</t>
  </si>
  <si>
    <t>JEREMY &amp; KRISTIN PEGRAM</t>
  </si>
  <si>
    <t xml:space="preserve">2810 W WAYNE LN </t>
  </si>
  <si>
    <t>SONCRANT BRIAN</t>
  </si>
  <si>
    <t>PEGRAM JEREMY J &amp; KRISTIN M</t>
  </si>
  <si>
    <t>NICOLLE</t>
  </si>
  <si>
    <t>TERRENCE &amp; NICOLLE SPENCER</t>
  </si>
  <si>
    <t xml:space="preserve">4581 E HAZELTINE WAY </t>
  </si>
  <si>
    <t>HANGER WINTERS VENTURES LL</t>
  </si>
  <si>
    <t>SPENCER TERRENCE M &amp; NICOLLE J</t>
  </si>
  <si>
    <t>TRAVIS &amp; SARA THOMPSON</t>
  </si>
  <si>
    <t xml:space="preserve">2649 E FIRESTONE DR </t>
  </si>
  <si>
    <t>SUN RIVER PARCEL B</t>
  </si>
  <si>
    <t>LUDICIANI ANTHONY &amp; G TRUST</t>
  </si>
  <si>
    <t>THOMPSON TRAVIS L &amp; SARA M</t>
  </si>
  <si>
    <t>SHANE TURNER</t>
  </si>
  <si>
    <t xml:space="preserve">3550 E TONTO LN </t>
  </si>
  <si>
    <t>PARK HILL LOT 174-176</t>
  </si>
  <si>
    <t>PARK HILL</t>
  </si>
  <si>
    <t>MARLEF INVESTMENTS INC</t>
  </si>
  <si>
    <t>OPES ADVISORS</t>
  </si>
  <si>
    <t>SHANE S TURNER</t>
  </si>
  <si>
    <t>SMART</t>
  </si>
  <si>
    <t>VALERIE &amp; ARNOLD SMART</t>
  </si>
  <si>
    <t xml:space="preserve">14410 W LAS BRIZAS LN </t>
  </si>
  <si>
    <t>BRIXIUS BETTY A</t>
  </si>
  <si>
    <t>SMART VALERIE A &amp; ARNOLD R</t>
  </si>
  <si>
    <t>JAMES MCDANIEL</t>
  </si>
  <si>
    <t xml:space="preserve">4571 E KARSTEN DR </t>
  </si>
  <si>
    <t>LYNCH JEFFREY D</t>
  </si>
  <si>
    <t>MCDANIEL JAMES C</t>
  </si>
  <si>
    <t>HEITSMITH</t>
  </si>
  <si>
    <t>STEPHEN &amp; LAURA HEITSMITH</t>
  </si>
  <si>
    <t xml:space="preserve">10601 E KNOWLES AVE </t>
  </si>
  <si>
    <t>VILLAGES OF EASTRIDGE UNIT 4</t>
  </si>
  <si>
    <t>MYERS ALLISON</t>
  </si>
  <si>
    <t>STEPHEN HEITSMITH JR</t>
  </si>
  <si>
    <t>LAURA HEITHSMITH</t>
  </si>
  <si>
    <t>SCHAFER</t>
  </si>
  <si>
    <t>DARIN &amp; KELLY SCHAFER</t>
  </si>
  <si>
    <t xml:space="preserve">5017 E MONTE CRISTO AVE </t>
  </si>
  <si>
    <t>TESCHLER RON &amp; CORI TRUST</t>
  </si>
  <si>
    <t>KELLY M SCHAFER</t>
  </si>
  <si>
    <t>DARIN J SCHAFER</t>
  </si>
  <si>
    <t>LARSEN-COLLAZO</t>
  </si>
  <si>
    <t>REINALDO</t>
  </si>
  <si>
    <t>COLLAZO</t>
  </si>
  <si>
    <t>ROBERTA LARSEN-COLLAZO &amp; REINALDO COLLAZO</t>
  </si>
  <si>
    <t xml:space="preserve">8004 W ROBIN LN </t>
  </si>
  <si>
    <t>WIRICK MICHAEL A &amp; N D TRUST</t>
  </si>
  <si>
    <t>LARSEN-COLLAZO ROBERTA L</t>
  </si>
  <si>
    <t>COLLAZO REINALDO JR</t>
  </si>
  <si>
    <t>TESLEVICH</t>
  </si>
  <si>
    <t>JONATHAN &amp; NICOLE TESLEVICH</t>
  </si>
  <si>
    <t xml:space="preserve">825 E ACOMA DR </t>
  </si>
  <si>
    <t>POINTER COYE</t>
  </si>
  <si>
    <t>TESLEVICH JONATHAN K</t>
  </si>
  <si>
    <t>LOWELL</t>
  </si>
  <si>
    <t>MELLOR</t>
  </si>
  <si>
    <t>LOWELL &amp; SUSAN MELLOR</t>
  </si>
  <si>
    <t xml:space="preserve">4367 W ESCUDA DR </t>
  </si>
  <si>
    <t>TINKHAM RUSSELL C</t>
  </si>
  <si>
    <t>MELLOR LOWELL GRANT &amp; SUSAN K</t>
  </si>
  <si>
    <t>RALEIGH</t>
  </si>
  <si>
    <t>WEILER</t>
  </si>
  <si>
    <t>RALEIGH &amp; SANDRA WEILER</t>
  </si>
  <si>
    <t xml:space="preserve">10852 E CATALINA AVE </t>
  </si>
  <si>
    <t>PARKWOOD EAST</t>
  </si>
  <si>
    <t>MASSEY LINDSAY</t>
  </si>
  <si>
    <t>WEILER RALEIGH G &amp; SANDRA A</t>
  </si>
  <si>
    <t>GORDON COREY</t>
  </si>
  <si>
    <t xml:space="preserve">1933 E INDIANOLA AVE </t>
  </si>
  <si>
    <t>PATTERSON PLACE</t>
  </si>
  <si>
    <t>HAGERTY JACQUELINE O TRUST</t>
  </si>
  <si>
    <t>COREY GORDON A</t>
  </si>
  <si>
    <t>JOHN &amp; MARY YOUNG</t>
  </si>
  <si>
    <t xml:space="preserve">3022 E MARILYN RD </t>
  </si>
  <si>
    <t>CIMARRON RIDGE UNIT 5 LOT 141-179</t>
  </si>
  <si>
    <t>LANDLUBBER HOMES INC</t>
  </si>
  <si>
    <t>YOUNG JOHN I</t>
  </si>
  <si>
    <t>EDMISTEN</t>
  </si>
  <si>
    <t>ERIK &amp; CATHERINE EDMISTEN</t>
  </si>
  <si>
    <t xml:space="preserve">14014 W LITCHFIELD KNL N </t>
  </si>
  <si>
    <t>LITCHFIELD GREENS LOT 1-282 TR 1-6</t>
  </si>
  <si>
    <t>LITCHFIELD GREENS</t>
  </si>
  <si>
    <t>COOK CHARLES T LIVING TRUST</t>
  </si>
  <si>
    <t>EDMISTEN ERIK</t>
  </si>
  <si>
    <t>CHAKOS</t>
  </si>
  <si>
    <t>JUSTIN &amp; ANGELA CHAKOS</t>
  </si>
  <si>
    <t xml:space="preserve">15708 W PIERCE ST </t>
  </si>
  <si>
    <t>CHAKOS JUSTIN P</t>
  </si>
  <si>
    <t>WILLIAM &amp; REBECCA FRALEY</t>
  </si>
  <si>
    <t xml:space="preserve">18667 E RAVEN DR </t>
  </si>
  <si>
    <t>CORTINA PARCEL 5 REPLAT</t>
  </si>
  <si>
    <t>NORIEGA SAMUEL T</t>
  </si>
  <si>
    <t>WILLIAM FRALEY</t>
  </si>
  <si>
    <t>REBECCA FRALEY</t>
  </si>
  <si>
    <t>EWERT</t>
  </si>
  <si>
    <t>MERRY</t>
  </si>
  <si>
    <t>GERALD &amp; MERRY EWERT</t>
  </si>
  <si>
    <t xml:space="preserve">13907 W PINETREE DR </t>
  </si>
  <si>
    <t>ROSENTHAL ROBERT &amp; BARBARA</t>
  </si>
  <si>
    <t>EWERT GERALD K &amp; MERRY C</t>
  </si>
  <si>
    <t>SAUER</t>
  </si>
  <si>
    <t>TIMOTHY SAUER</t>
  </si>
  <si>
    <t xml:space="preserve">7650 E WILLIAMS DR #1020 </t>
  </si>
  <si>
    <t>VILLAGE AT SONORAN HILLS</t>
  </si>
  <si>
    <t>GRAY ALAN I TRUST</t>
  </si>
  <si>
    <t>SAUER TIMOTHY I</t>
  </si>
  <si>
    <t>PLUMMER</t>
  </si>
  <si>
    <t>JACK PLUMMER</t>
  </si>
  <si>
    <t xml:space="preserve">5723 W MONONA DR </t>
  </si>
  <si>
    <t>KIRST GARY J</t>
  </si>
  <si>
    <t>PLUMMER JACK E</t>
  </si>
  <si>
    <t>MOJICA</t>
  </si>
  <si>
    <t>HECTOR &amp; BARBARA MOJICA</t>
  </si>
  <si>
    <t xml:space="preserve">2882 E MELODY LN </t>
  </si>
  <si>
    <t>CARRIAGE LANE 10</t>
  </si>
  <si>
    <t>CARRIAGE LANE</t>
  </si>
  <si>
    <t>FISHER TRUST</t>
  </si>
  <si>
    <t>MOJICA HECTOR L &amp; BARBARA A</t>
  </si>
  <si>
    <t>DALE &amp; LINDA PORTER</t>
  </si>
  <si>
    <t xml:space="preserve">3951 E LEO PL </t>
  </si>
  <si>
    <t>COHEN MICHAEL V &amp; KATHLEEN L</t>
  </si>
  <si>
    <t>PORTER DALE M &amp; LINDA E</t>
  </si>
  <si>
    <t>LLOYD WALTER &amp; MARTHA TRUST</t>
  </si>
  <si>
    <t>LLOYDWALTER &amp; MARTHA LLOYDWALTER</t>
  </si>
  <si>
    <t xml:space="preserve">535 E SHEFFIELD AVE </t>
  </si>
  <si>
    <t>BLACKMAN DONNA</t>
  </si>
  <si>
    <t>LLOYD WALTER L</t>
  </si>
  <si>
    <t>MORGART-LLOYD MARTHA</t>
  </si>
  <si>
    <t>DEWAYNE &amp; KRISTA HAWKINS</t>
  </si>
  <si>
    <t xml:space="preserve">4577 N 153RD AVE </t>
  </si>
  <si>
    <t>ROMERO ROLENA L</t>
  </si>
  <si>
    <t>HAWKINS DEWAYNE C &amp; KRISTA</t>
  </si>
  <si>
    <t>VEGA</t>
  </si>
  <si>
    <t>VICTOR &amp; YVONNE VEGA</t>
  </si>
  <si>
    <t xml:space="preserve">230 S 122ND LN </t>
  </si>
  <si>
    <t>ARCE OSCAR G</t>
  </si>
  <si>
    <t>VEGA VICTOR &amp; YVONNE R</t>
  </si>
  <si>
    <t>MOCCO</t>
  </si>
  <si>
    <t>CLARDY</t>
  </si>
  <si>
    <t>MOCCO CLARDY</t>
  </si>
  <si>
    <t xml:space="preserve">22350 E VIA DE OLIVOS </t>
  </si>
  <si>
    <t>CLARDY MOCCO</t>
  </si>
  <si>
    <t>IANNOTTI FAMILY LIVING TRUST</t>
  </si>
  <si>
    <t>IANNOTTI</t>
  </si>
  <si>
    <t xml:space="preserve">8313 W ESCUDA DR </t>
  </si>
  <si>
    <t>WILLOW RIDGE PHASE 1 AT WESTBROOK VILLAG</t>
  </si>
  <si>
    <t>WILLOW RIDGE AT WESTBROOK VILLAGE</t>
  </si>
  <si>
    <t>DEKORTE JAMES &amp; JACALYN TRUST</t>
  </si>
  <si>
    <t>IANNOTTI CARMINE J &amp; FRANCINE B</t>
  </si>
  <si>
    <t>MATTHEW &amp; TARA CRAIG</t>
  </si>
  <si>
    <t xml:space="preserve">1919 E CLAIRE DR </t>
  </si>
  <si>
    <t>LOOKOUT MOUNTAINSIDE</t>
  </si>
  <si>
    <t>PETERS ROBERT L &amp; MADELENE</t>
  </si>
  <si>
    <t>CRAIG MATTHEW &amp; TARA</t>
  </si>
  <si>
    <t>KASE</t>
  </si>
  <si>
    <t>CHRISTOPHER KASE &amp; CHRISTINE WOLFE</t>
  </si>
  <si>
    <t xml:space="preserve">1442 N WOODSIDE RD </t>
  </si>
  <si>
    <t>ANDRESEN JOEL P &amp; KANDI R</t>
  </si>
  <si>
    <t>KASE CHRISTOPHER</t>
  </si>
  <si>
    <t>WOLFE CHRISTINE</t>
  </si>
  <si>
    <t>FLUSCHE</t>
  </si>
  <si>
    <t>JANN</t>
  </si>
  <si>
    <t>PAUL &amp; JANN FLUSCHE</t>
  </si>
  <si>
    <t xml:space="preserve">3910 E AMBERWOOD DR </t>
  </si>
  <si>
    <t>DICKENS THOMAS A &amp; D L TRUST</t>
  </si>
  <si>
    <t>FLUSCHE PAUL A</t>
  </si>
  <si>
    <t>BIA</t>
  </si>
  <si>
    <t>MARSHALL &amp; ALICIA BIA</t>
  </si>
  <si>
    <t xml:space="preserve">15754 W CORONADO RD </t>
  </si>
  <si>
    <t>K HOVNANIAN AT PALM VALLEY LLC</t>
  </si>
  <si>
    <t>BIA MARSHALL &amp; ALICIA</t>
  </si>
  <si>
    <t>EZEKIEL</t>
  </si>
  <si>
    <t>DUPREY</t>
  </si>
  <si>
    <t>EZEKIEL &amp; CASEY DUPREY</t>
  </si>
  <si>
    <t xml:space="preserve">1124 E BLACKHAWK DR </t>
  </si>
  <si>
    <t>EAGLE SUMMIT AMD</t>
  </si>
  <si>
    <t>EAGLE SUMMIT</t>
  </si>
  <si>
    <t>PERKES KIMBERLY</t>
  </si>
  <si>
    <t>DUPREY EZEKIEL &amp; CASEY</t>
  </si>
  <si>
    <t>DALTON</t>
  </si>
  <si>
    <t>DAVID &amp; DENISE DALTON</t>
  </si>
  <si>
    <t xml:space="preserve">5511 E WINDROSE DR </t>
  </si>
  <si>
    <t>RANCHO SAGUARO UNIT 4</t>
  </si>
  <si>
    <t>RANCHO SAGUARO</t>
  </si>
  <si>
    <t>ROBERSTON MERYL R &amp; SUSAN L</t>
  </si>
  <si>
    <t>DALTON DAVID H &amp; DENISE A</t>
  </si>
  <si>
    <t>DENISE A DALTON</t>
  </si>
  <si>
    <t>DAVID H DALTON</t>
  </si>
  <si>
    <t>CHARLES H AND CECILIA S MAINGOT LIVING TRUST</t>
  </si>
  <si>
    <t xml:space="preserve">20951 E ARROYO VERDE DR </t>
  </si>
  <si>
    <t>HASTINGS FARMS PARCEL A</t>
  </si>
  <si>
    <t>CRESLEIGH HMS ARIZONA INC</t>
  </si>
  <si>
    <t>MAINGOT CHARLES H &amp; C S TRUST</t>
  </si>
  <si>
    <t>SNOW</t>
  </si>
  <si>
    <t>JOSHUA &amp; TERRY SNOW</t>
  </si>
  <si>
    <t xml:space="preserve">8214 S JENNA LN </t>
  </si>
  <si>
    <t>CHEATHAM FARMS UNIT 2 AMD</t>
  </si>
  <si>
    <t>TRAN TUAN H</t>
  </si>
  <si>
    <t>SNOW JOSHUA &amp; TERRY</t>
  </si>
  <si>
    <t>HOYCOTT</t>
  </si>
  <si>
    <t>MICHAEL &amp; SHANNON HOYCOTT</t>
  </si>
  <si>
    <t xml:space="preserve">25947 W BURNETT RD </t>
  </si>
  <si>
    <t>HOYCOTT MICHAEL A &amp; SHANNON</t>
  </si>
  <si>
    <t>SULWER</t>
  </si>
  <si>
    <t>JACOB &amp; SHEILA SULWER</t>
  </si>
  <si>
    <t xml:space="preserve">18419 W MAUI LN </t>
  </si>
  <si>
    <t>ROBERTSON ALAN B</t>
  </si>
  <si>
    <t>SULWER JACOB N</t>
  </si>
  <si>
    <t>MEYERS &amp; THERESA ANNE</t>
  </si>
  <si>
    <t xml:space="preserve">16281 W CHEERY LYNN RD </t>
  </si>
  <si>
    <t>PEBBLECREEK PHASE 2 UNIT 40</t>
  </si>
  <si>
    <t>CANNON DIANE E</t>
  </si>
  <si>
    <t>MEYERS JOHN P &amp; THERESA A</t>
  </si>
  <si>
    <t>BENJAMIN-BAKER</t>
  </si>
  <si>
    <t>BRIE</t>
  </si>
  <si>
    <t>BENJAMIN-BAKER &amp; BENJAMIN-BAKER BRIE</t>
  </si>
  <si>
    <t xml:space="preserve">554 N SUNSET DR </t>
  </si>
  <si>
    <t>TONOPAH TERRACE</t>
  </si>
  <si>
    <t>SUNSET VISTA</t>
  </si>
  <si>
    <t>LEMONS WAFORD D</t>
  </si>
  <si>
    <t>BENJAMIN-BAKER JOSHUA</t>
  </si>
  <si>
    <t>GRAYMAN</t>
  </si>
  <si>
    <t>COLLEEN &amp; MICHELLE GRAYMAN</t>
  </si>
  <si>
    <t xml:space="preserve">1214 W COURTNEY LN LLC </t>
  </si>
  <si>
    <t xml:space="preserve">1214 W COURTNEY LN </t>
  </si>
  <si>
    <t>SIERRA TEMPE UNIT 2</t>
  </si>
  <si>
    <t>MARQUEZ ERNEST &amp; J G</t>
  </si>
  <si>
    <t>GRAYMAN COLLEEN N</t>
  </si>
  <si>
    <t>DONATI-GRAYMAN MICHELLE B</t>
  </si>
  <si>
    <t>HENSLEY</t>
  </si>
  <si>
    <t>MARCUS &amp; HEATHER HENSLEY</t>
  </si>
  <si>
    <t xml:space="preserve">6952 W REMUDA DR </t>
  </si>
  <si>
    <t xml:space="preserve">7100 PENNINSULA PT RD </t>
  </si>
  <si>
    <t>WHITMORE LAKE</t>
  </si>
  <si>
    <t>SCHUCK LARRY M</t>
  </si>
  <si>
    <t>HENSLEY MARCUS &amp; HEATHER</t>
  </si>
  <si>
    <t>LAVRUSKY</t>
  </si>
  <si>
    <t>JOHN &amp; LAURA LAVRUSKY</t>
  </si>
  <si>
    <t xml:space="preserve">6140 E LUDLOW DR </t>
  </si>
  <si>
    <t>HALLIDAY FAMILY TRUST</t>
  </si>
  <si>
    <t>LAVRUSKY JOHN MICHAEL A &amp; LAURA</t>
  </si>
  <si>
    <t>ZEEBA</t>
  </si>
  <si>
    <t>ZEEBA &amp; BRIAN MOON</t>
  </si>
  <si>
    <t xml:space="preserve">9820 S 156TH PL </t>
  </si>
  <si>
    <t>WHITE FENCE FARMS</t>
  </si>
  <si>
    <t>CHARFORD INC</t>
  </si>
  <si>
    <t>MOON ZEEBA &amp; BRIAN</t>
  </si>
  <si>
    <t>GALLOWAY</t>
  </si>
  <si>
    <t>SHAUN GALLOWAY</t>
  </si>
  <si>
    <t xml:space="preserve">20807 E NORTH LOOP </t>
  </si>
  <si>
    <t>QUEENLAND MANOR</t>
  </si>
  <si>
    <t>MARTINEZ FRANCISCO J</t>
  </si>
  <si>
    <t>GALLOWAY SHAUN B</t>
  </si>
  <si>
    <t>TOCHUKWU</t>
  </si>
  <si>
    <t>ANICHE</t>
  </si>
  <si>
    <t>EBERECHUKWU</t>
  </si>
  <si>
    <t>TOCHUKWU &amp; EBERECHUKWU ANICHE</t>
  </si>
  <si>
    <t xml:space="preserve">8606 W HELEN LN </t>
  </si>
  <si>
    <t>BRUNELLE MATTHEW J</t>
  </si>
  <si>
    <t>ANICHE TOCHUKWU &amp; EBERECHUKWU</t>
  </si>
  <si>
    <t>GLYNN</t>
  </si>
  <si>
    <t>PATRICK &amp; MICHELLE GLYNN</t>
  </si>
  <si>
    <t xml:space="preserve">3137 E KILLARNEY ST </t>
  </si>
  <si>
    <t>TOM ROBERT P</t>
  </si>
  <si>
    <t>GLYNN PATRICK E &amp; MICHELLE L</t>
  </si>
  <si>
    <t>WILLARD B MORAN JR REVOCABLE TRUST</t>
  </si>
  <si>
    <t>WILLARD MORAN</t>
  </si>
  <si>
    <t xml:space="preserve">8278 E HOVERLAND RD </t>
  </si>
  <si>
    <t>GRAYHAWK PARCEL 3B</t>
  </si>
  <si>
    <t>TALON RETREAT</t>
  </si>
  <si>
    <t>HENRY GEORGIA L</t>
  </si>
  <si>
    <t>MORAN WILLARD B</t>
  </si>
  <si>
    <t>LYNNE</t>
  </si>
  <si>
    <t>KATHIE</t>
  </si>
  <si>
    <t>ROBERTSON &amp; KATHIE LYNNE</t>
  </si>
  <si>
    <t xml:space="preserve">16870 N 183RD DR </t>
  </si>
  <si>
    <t xml:space="preserve">PO BOX 2438 </t>
  </si>
  <si>
    <t>ROBERTSON DARWIN RICHARD &amp; KA</t>
  </si>
  <si>
    <t>CHRISTOPHER &amp; CATHERINE BELL</t>
  </si>
  <si>
    <t xml:space="preserve">11123 E SAHUARO DR </t>
  </si>
  <si>
    <t>SPANISH VIEW LOT 1-161</t>
  </si>
  <si>
    <t>SPANISH VIEW</t>
  </si>
  <si>
    <t>CIHAK STEPHEN &amp; SUSAN</t>
  </si>
  <si>
    <t>BELL CHRISTOPHER &amp; CATHERINE</t>
  </si>
  <si>
    <t>THAYER</t>
  </si>
  <si>
    <t>SHARRON &amp; RICHARD THAYER</t>
  </si>
  <si>
    <t xml:space="preserve">40218 N INTEGRITY TRL </t>
  </si>
  <si>
    <t>ANTHEM UNIT 7 REPLAT</t>
  </si>
  <si>
    <t>NIMMO IAN &amp; BARBARA</t>
  </si>
  <si>
    <t>THAYER RICHARD &amp; SHARRON</t>
  </si>
  <si>
    <t>STUBBS</t>
  </si>
  <si>
    <t>MATTHEW STUBBS</t>
  </si>
  <si>
    <t xml:space="preserve">14018 N 49TH ST </t>
  </si>
  <si>
    <t>PARADISE VILLAGE NORTH UNIT ONE LOT 1-83</t>
  </si>
  <si>
    <t>PARADISE VILLAGE NORTH</t>
  </si>
  <si>
    <t>FIFIELD DIANA B TRUST</t>
  </si>
  <si>
    <t>STUBBS MATTHEW D &amp; ANGELA B</t>
  </si>
  <si>
    <t>CARNEY</t>
  </si>
  <si>
    <t>GEORGE &amp; SALLY CARNEY</t>
  </si>
  <si>
    <t xml:space="preserve">1144 W REDONDO DR </t>
  </si>
  <si>
    <t>CATALINA BAY AT THE ISLANDS 2 LT 68-108</t>
  </si>
  <si>
    <t>PAGEL TRUST</t>
  </si>
  <si>
    <t>CARNEY GEORGE F &amp; SALLY G</t>
  </si>
  <si>
    <t>HOBBS</t>
  </si>
  <si>
    <t>STEVEN HOBBS</t>
  </si>
  <si>
    <t xml:space="preserve">5507 E GRANDVIEW RD </t>
  </si>
  <si>
    <t>TREVNIC HOLDINGS INC</t>
  </si>
  <si>
    <t>HOBBS STEVEN R</t>
  </si>
  <si>
    <t>ALBERT &amp; MELISSA GONZALES</t>
  </si>
  <si>
    <t xml:space="preserve">8028 W REDBIRD RD </t>
  </si>
  <si>
    <t>GONZALES ALBERT H &amp; MELISSA C</t>
  </si>
  <si>
    <t>KLOOSTER</t>
  </si>
  <si>
    <t>CATHY</t>
  </si>
  <si>
    <t>MICHAEL &amp; CATHY KLOOSTER</t>
  </si>
  <si>
    <t xml:space="preserve">27405 N 54TH GLN </t>
  </si>
  <si>
    <t>MCCOURT JOSEPH J</t>
  </si>
  <si>
    <t>KLOOSTER MICHAEL C</t>
  </si>
  <si>
    <t>HELOISA</t>
  </si>
  <si>
    <t>JOHN &amp; HELOISA KING</t>
  </si>
  <si>
    <t xml:space="preserve">4506 E THORN TREE DR </t>
  </si>
  <si>
    <t>VIAR DAVID H</t>
  </si>
  <si>
    <t>KING JOHN R</t>
  </si>
  <si>
    <t>JOVONDA</t>
  </si>
  <si>
    <t>ROBERT &amp; JOVONDA FRANKLIN</t>
  </si>
  <si>
    <t xml:space="preserve">8629 N 89TH DR </t>
  </si>
  <si>
    <t>FRANKLIN ROBERT R JR &amp; JOVONDA R</t>
  </si>
  <si>
    <t>JARED &amp; MARGARET RIDDLE</t>
  </si>
  <si>
    <t xml:space="preserve">1317 W ISABELLA AVE </t>
  </si>
  <si>
    <t>PONDEROSA MESA UNIT SIX LOT 366-451 &amp; TR</t>
  </si>
  <si>
    <t>AGUIAR ARTHUR &amp; MAUREEN</t>
  </si>
  <si>
    <t>RIDDLE JARED C &amp; MARGARET E</t>
  </si>
  <si>
    <t>BENJIMEN</t>
  </si>
  <si>
    <t>RUSHLOW</t>
  </si>
  <si>
    <t>BENJIMEN &amp; KRISTIE RUSHLOW</t>
  </si>
  <si>
    <t xml:space="preserve">39507 N 2ND PL </t>
  </si>
  <si>
    <t>SWEENEY HARRY J</t>
  </si>
  <si>
    <t>RUSHLOW BENJIMEN &amp; KRISTIE</t>
  </si>
  <si>
    <t>RICHARD &amp; LISA WESLEY</t>
  </si>
  <si>
    <t xml:space="preserve">48023 N 7TH AVE </t>
  </si>
  <si>
    <t>DOYLE JEANETTE G</t>
  </si>
  <si>
    <t>WESLEY RICHARD T &amp; LISA A</t>
  </si>
  <si>
    <t>GREINER</t>
  </si>
  <si>
    <t>BRENT &amp; ERIN GREINER</t>
  </si>
  <si>
    <t xml:space="preserve">14723 W PINNACLE VISTA RD </t>
  </si>
  <si>
    <t>BAYLOW HOPE E</t>
  </si>
  <si>
    <t>GREINER BRENT K &amp; ERIN M</t>
  </si>
  <si>
    <t>GARY &amp; LINDA BENDER</t>
  </si>
  <si>
    <t xml:space="preserve">7705 E DOUBLETREE RANCH RD #2 </t>
  </si>
  <si>
    <t>PARCEL 26 AT GAINEY RANCH LOT 1-61 TR A</t>
  </si>
  <si>
    <t>ARROYA VISTA AT GAINEY RANCH</t>
  </si>
  <si>
    <t>FRIEDLAND B N 2008 TRUST</t>
  </si>
  <si>
    <t>BENDER GARY &amp; LINDA</t>
  </si>
  <si>
    <t>JOSEPH BROWN &amp; JENNIFER SOLOMON</t>
  </si>
  <si>
    <t xml:space="preserve">42105 N GOLF CREST RD </t>
  </si>
  <si>
    <t xml:space="preserve">2610 W PUMPKIN RIDGE DR </t>
  </si>
  <si>
    <t>ANTHEM COUNTRY CLUB UNIT 2 CYPRESS POINT</t>
  </si>
  <si>
    <t>BROWN JOSEPH</t>
  </si>
  <si>
    <t>JOSEPH BROWN</t>
  </si>
  <si>
    <t>JENNIFER SOLOMON</t>
  </si>
  <si>
    <t>MORENODIKE</t>
  </si>
  <si>
    <t>JOSEPH MORENODIKE</t>
  </si>
  <si>
    <t xml:space="preserve">12550 W ALEGRE DR </t>
  </si>
  <si>
    <t>PEARSON THEODORE</t>
  </si>
  <si>
    <t>MORENODIKE JOSEPH A</t>
  </si>
  <si>
    <t>JOSEPH A MORENODIKE</t>
  </si>
  <si>
    <t>WOODALL</t>
  </si>
  <si>
    <t>CHRISTOPHER &amp; VANESSA WOODALL</t>
  </si>
  <si>
    <t xml:space="preserve">13736 W RANCHO DR </t>
  </si>
  <si>
    <t>MACY CHRISTY</t>
  </si>
  <si>
    <t>CHRISTOPHER M WOODALL</t>
  </si>
  <si>
    <t>VANESSA V WOODALL</t>
  </si>
  <si>
    <t>HAROLD VALENZUELA</t>
  </si>
  <si>
    <t xml:space="preserve">8614 W WILLOW AVE </t>
  </si>
  <si>
    <t>MANTHEY JENNIFER D</t>
  </si>
  <si>
    <t>HAROLD E VALENZUEIA</t>
  </si>
  <si>
    <t>ALEXANDER &amp; MEAGAN LEE</t>
  </si>
  <si>
    <t xml:space="preserve">17585 W VOLTAIRE ST </t>
  </si>
  <si>
    <t>SCHOLZ JOSEPH M</t>
  </si>
  <si>
    <t>GREENLIGHT LOANS</t>
  </si>
  <si>
    <t>LEE ALEXANDER R &amp; MEAGAN C</t>
  </si>
  <si>
    <t>THYRA</t>
  </si>
  <si>
    <t>KENNETH &amp; THYRA DIXON</t>
  </si>
  <si>
    <t xml:space="preserve">14428 W CROCUS DR </t>
  </si>
  <si>
    <t>ROYAL RANCH UNIT 1 PARCEL 4 REPLAT</t>
  </si>
  <si>
    <t>WURL LAURA A</t>
  </si>
  <si>
    <t>LADERA LENDING INC</t>
  </si>
  <si>
    <t>DIXON KENNETH E &amp; THYRA L</t>
  </si>
  <si>
    <t>DENNING</t>
  </si>
  <si>
    <t>RICHARD &amp; WENDY DENNING</t>
  </si>
  <si>
    <t xml:space="preserve">17858 N SOMERSET DR </t>
  </si>
  <si>
    <t>KING ERICKA</t>
  </si>
  <si>
    <t>DENNING RICHARD G</t>
  </si>
  <si>
    <t>DSW TRUST</t>
  </si>
  <si>
    <t>DSW</t>
  </si>
  <si>
    <t xml:space="preserve">9524 W CEDAR HILL CIR </t>
  </si>
  <si>
    <t xml:space="preserve">PO BOX 2421 </t>
  </si>
  <si>
    <t>SUN CITY 32</t>
  </si>
  <si>
    <t>HOOK RICHARD W</t>
  </si>
  <si>
    <t>WISE DWIGHT W &amp; SUSAN M</t>
  </si>
  <si>
    <t>SUPPES</t>
  </si>
  <si>
    <t>AUSTIN &amp; MICHELLE SUPPES</t>
  </si>
  <si>
    <t xml:space="preserve">9175 W MINE TRL </t>
  </si>
  <si>
    <t>SUPPES AUSTIN J</t>
  </si>
  <si>
    <t>ALBRAND</t>
  </si>
  <si>
    <t>RONALD &amp; KATHLEEN ALBRAND</t>
  </si>
  <si>
    <t xml:space="preserve">4807 N LITCHFIELD KNL E </t>
  </si>
  <si>
    <t>JOHNSON DARRYL</t>
  </si>
  <si>
    <t>ALBRAND RONALD T &amp; KATHLEEN M</t>
  </si>
  <si>
    <t>WOOLSEY</t>
  </si>
  <si>
    <t>WARREN WOOLSEY</t>
  </si>
  <si>
    <t xml:space="preserve">1341 N POMEROY </t>
  </si>
  <si>
    <t>HOHOKAM VILLAGE UNIT 2 LOT 353-514 TR B-</t>
  </si>
  <si>
    <t>HOHOKAM HIGHLANDS</t>
  </si>
  <si>
    <t>NORTH AMBER L</t>
  </si>
  <si>
    <t>WOOLSEY WARREN E</t>
  </si>
  <si>
    <t>MANUELA</t>
  </si>
  <si>
    <t>MATTHEW &amp; MANUELA KLEIN</t>
  </si>
  <si>
    <t xml:space="preserve">9812 S 46TH LN </t>
  </si>
  <si>
    <t>FERRALES SERGIO G</t>
  </si>
  <si>
    <t>KLEIN MATTHEW ROBERT</t>
  </si>
  <si>
    <t>ABNER</t>
  </si>
  <si>
    <t>STEPHEN ABNER</t>
  </si>
  <si>
    <t xml:space="preserve">10525 N 186TH AVE </t>
  </si>
  <si>
    <t>DEITSCH JAMES R</t>
  </si>
  <si>
    <t>ABNER STEPHEN E</t>
  </si>
  <si>
    <t>HOGAN REVOCABLE TRUST</t>
  </si>
  <si>
    <t>HOGAN</t>
  </si>
  <si>
    <t xml:space="preserve">5702 W PARK VIEW LN </t>
  </si>
  <si>
    <t>MISSION RANCH</t>
  </si>
  <si>
    <t>HOVER KIRK E</t>
  </si>
  <si>
    <t>HOGAN FLOYD J</t>
  </si>
  <si>
    <t>SAILER</t>
  </si>
  <si>
    <t>JILL &amp; RUSSELL SAILER</t>
  </si>
  <si>
    <t xml:space="preserve">6976 S MAGIC CT </t>
  </si>
  <si>
    <t>SEVILLE PARCEL 18B</t>
  </si>
  <si>
    <t>BELLAMONTE III</t>
  </si>
  <si>
    <t>WILLIAMS ALFRED D</t>
  </si>
  <si>
    <t>DAKOTA CMNTY BK&amp;TR NA</t>
  </si>
  <si>
    <t>SAILER JILL L</t>
  </si>
  <si>
    <t>SAILER RUSSELL L &amp; JILL L</t>
  </si>
  <si>
    <t>DOLPHIN</t>
  </si>
  <si>
    <t>VALDES-DOLPHIN</t>
  </si>
  <si>
    <t>STEVEN DOLPHIN &amp; SHARON VALDES-DOLPHIN</t>
  </si>
  <si>
    <t xml:space="preserve">7438 E GLENN MOORE RD </t>
  </si>
  <si>
    <t>PINNACLE RESERVE 2</t>
  </si>
  <si>
    <t>PINNACLE RESERVE</t>
  </si>
  <si>
    <t>RUOTOLO MICHAEL</t>
  </si>
  <si>
    <t>DOLPHIN STEVEN</t>
  </si>
  <si>
    <t>VALDES-DOLPHIN SHARON</t>
  </si>
  <si>
    <t>STEVEN DOLPHIN</t>
  </si>
  <si>
    <t>SHARON V DOLPHIN</t>
  </si>
  <si>
    <t>LUNA</t>
  </si>
  <si>
    <t>ALLEN &amp; ELIZABETH LUNA</t>
  </si>
  <si>
    <t xml:space="preserve">19587 W SHERMAN ST </t>
  </si>
  <si>
    <t>LUNA ALLEN L &amp; ELIZABETH A</t>
  </si>
  <si>
    <t>DRURY</t>
  </si>
  <si>
    <t>JEFFREY &amp; MARIA DRURY</t>
  </si>
  <si>
    <t xml:space="preserve">3661 S NEBRASKA ST </t>
  </si>
  <si>
    <t>WAKS MARK A &amp; ELIZABETH M</t>
  </si>
  <si>
    <t>DRURY JEFFREY &amp; MARIA</t>
  </si>
  <si>
    <t>WOTT</t>
  </si>
  <si>
    <t>DARREN WOTT</t>
  </si>
  <si>
    <t xml:space="preserve">9055 E ALTADENA AVE </t>
  </si>
  <si>
    <t>VISTA HOMES LLC</t>
  </si>
  <si>
    <t>WOTT DARREN H</t>
  </si>
  <si>
    <t>JAMES ROBERTS</t>
  </si>
  <si>
    <t xml:space="preserve">4872 N BARRANCO DR </t>
  </si>
  <si>
    <t>DEVELOPMENT SOLUTIONS OC LLC</t>
  </si>
  <si>
    <t>LONG</t>
  </si>
  <si>
    <t>BRIAN &amp; ROSA LONG</t>
  </si>
  <si>
    <t xml:space="preserve">9748 E IMPALA AVE </t>
  </si>
  <si>
    <t>SIERRA RANCH 2</t>
  </si>
  <si>
    <t>DINIE FRANK R &amp; AMY L</t>
  </si>
  <si>
    <t>BRIAN D LONG</t>
  </si>
  <si>
    <t>ROSA E LONG</t>
  </si>
  <si>
    <t>AIMEE</t>
  </si>
  <si>
    <t>PRESTON &amp; AIMEE WALES</t>
  </si>
  <si>
    <t xml:space="preserve">7918 W MOLLY DR </t>
  </si>
  <si>
    <t>WALES PRESTON S</t>
  </si>
  <si>
    <t>HARRY ALLEN</t>
  </si>
  <si>
    <t xml:space="preserve">5016 E ROBIN LN </t>
  </si>
  <si>
    <t>WILLIAMS ELEANOR C</t>
  </si>
  <si>
    <t>ALLEN HARRY W</t>
  </si>
  <si>
    <t>WALKINGTON</t>
  </si>
  <si>
    <t>MARIAH</t>
  </si>
  <si>
    <t>WALKINGTON &amp; MARIAH LEIGH</t>
  </si>
  <si>
    <t xml:space="preserve">707 E VAUGHN AVE </t>
  </si>
  <si>
    <t>STONEBRIDGE LAKES ESTATES UNIT TWO LT 1-</t>
  </si>
  <si>
    <t>STONEBRIDGE LAKES ESTATES</t>
  </si>
  <si>
    <t>WALKINGTON SHAWN &amp; MARIAH L</t>
  </si>
  <si>
    <t>BRIAN &amp; WENDY TURNER</t>
  </si>
  <si>
    <t xml:space="preserve">12822 W MARLETTE AVE </t>
  </si>
  <si>
    <t>TURNER BRIAN K</t>
  </si>
  <si>
    <t>CHAVES</t>
  </si>
  <si>
    <t>CONRAD CHAVES &amp; JULIA CHAVEZ</t>
  </si>
  <si>
    <t xml:space="preserve">10615 W ALEX AVE </t>
  </si>
  <si>
    <t>DESERT STAR REPLAT 2</t>
  </si>
  <si>
    <t>DESERT STAR</t>
  </si>
  <si>
    <t>BROWN ALVIN F</t>
  </si>
  <si>
    <t>CHAVEZ CONRAD B</t>
  </si>
  <si>
    <t>DYKES</t>
  </si>
  <si>
    <t>RICKY &amp; KRISTA DYKES</t>
  </si>
  <si>
    <t xml:space="preserve">15477 N 88TH DR </t>
  </si>
  <si>
    <t>HOLT FAMILY TRUST</t>
  </si>
  <si>
    <t>DYKES RICKY A &amp; KRISTA M</t>
  </si>
  <si>
    <t>FAUSSETTE</t>
  </si>
  <si>
    <t>RONALD FAUSSETTE</t>
  </si>
  <si>
    <t xml:space="preserve">11952 W MONTE LINDO LN </t>
  </si>
  <si>
    <t>CROSSRIVER UNIT 6 REPLAT</t>
  </si>
  <si>
    <t>NANTAU NATALIE N &amp; WILLIAM</t>
  </si>
  <si>
    <t>MIMUTUAL MTG</t>
  </si>
  <si>
    <t>PORT HURON MI 48060</t>
  </si>
  <si>
    <t>FAUSSETTE RONALD D JR &amp; SOFIA</t>
  </si>
  <si>
    <t>JAMES &amp; JILL GRIFFIN</t>
  </si>
  <si>
    <t xml:space="preserve">3223 E PHELPS ST </t>
  </si>
  <si>
    <t>WING DAVID S</t>
  </si>
  <si>
    <t>GRIFFIN JAMES R &amp; JILL B</t>
  </si>
  <si>
    <t>JAMES &amp; KRISTIN WHEELER</t>
  </si>
  <si>
    <t xml:space="preserve">3779 E LIBRA PL </t>
  </si>
  <si>
    <t>NORTZ PAUL W</t>
  </si>
  <si>
    <t>WHEELER JAMES H &amp; KRISTIN</t>
  </si>
  <si>
    <t>HOLDEN</t>
  </si>
  <si>
    <t>RACHELLE</t>
  </si>
  <si>
    <t>CHRISTOPHER HOLDEN &amp; RACHELLE HANNAH</t>
  </si>
  <si>
    <t xml:space="preserve">5534 W COCHISE DR </t>
  </si>
  <si>
    <t>WILLOWBROOK UNIT 2 LOT 1-144</t>
  </si>
  <si>
    <t>NAVARRETTE KYLE E &amp; ASHLEY E</t>
  </si>
  <si>
    <t>HOLDEN CHRISTOPHER J &amp; HANNAH</t>
  </si>
  <si>
    <t>XYOMARA</t>
  </si>
  <si>
    <t>LUIS FLORES &amp; XYOMARA QUINONES</t>
  </si>
  <si>
    <t xml:space="preserve">2745 E MICHELLE WAY </t>
  </si>
  <si>
    <t>BASELINE/TONE REPLAT</t>
  </si>
  <si>
    <t>BASELINE TONE</t>
  </si>
  <si>
    <t>BARR TIMOTHY S</t>
  </si>
  <si>
    <t>FLORES LUIS R</t>
  </si>
  <si>
    <t>QUINONES XYOMARA J</t>
  </si>
  <si>
    <t>TOLLAKSEN</t>
  </si>
  <si>
    <t>FILIPP</t>
  </si>
  <si>
    <t>TOLLAKSEN &amp; DANIELLE FILIPP</t>
  </si>
  <si>
    <t xml:space="preserve">1213 W SAND DUNE DR </t>
  </si>
  <si>
    <t>ISLANDS PATIO HOMES A AMD LOT 1-94 193-2</t>
  </si>
  <si>
    <t>HILLMAN ANDREW</t>
  </si>
  <si>
    <t>TOLLAKSEN STEPHAN BRADLEY &amp; D</t>
  </si>
  <si>
    <t>SUZAN</t>
  </si>
  <si>
    <t>JAMES &amp; SUZAN RIVERA</t>
  </si>
  <si>
    <t xml:space="preserve">1671 E DETROIT ST </t>
  </si>
  <si>
    <t>TRADITION EAST 1 LOT   1-60 TR A-C</t>
  </si>
  <si>
    <t>TRADITION EAST</t>
  </si>
  <si>
    <t>WAGGLE STONE REALTY LLC</t>
  </si>
  <si>
    <t>JAMES M RIVERA</t>
  </si>
  <si>
    <t>SUZAN A RIVERA</t>
  </si>
  <si>
    <t>LEMLEY</t>
  </si>
  <si>
    <t>SELINA</t>
  </si>
  <si>
    <t>LEMLEY &amp; SELINA MARIE</t>
  </si>
  <si>
    <t xml:space="preserve">5640 W PECAN RD </t>
  </si>
  <si>
    <t>JOSHUA G LEMLEY</t>
  </si>
  <si>
    <t>SELINA M LEMLEY</t>
  </si>
  <si>
    <t>KILBRIDE FAMILY TRUST</t>
  </si>
  <si>
    <t>KILBRIDE</t>
  </si>
  <si>
    <t xml:space="preserve">15883 W POINSETTIA DR </t>
  </si>
  <si>
    <t>KILBRIDE KEVIN M</t>
  </si>
  <si>
    <t xml:space="preserve">13424 W NOGALES DR </t>
  </si>
  <si>
    <t>CORTE BELLA COUNTRY CLUB PHASE 3 SANTA B</t>
  </si>
  <si>
    <t>CORTE BELLA COUNTRY CLUB SANTA BARBARA</t>
  </si>
  <si>
    <t>COLWELL GWENDOLYN C TRUST</t>
  </si>
  <si>
    <t>SMITH RONALD W</t>
  </si>
  <si>
    <t>CASE</t>
  </si>
  <si>
    <t>STEVEN CASE</t>
  </si>
  <si>
    <t xml:space="preserve">10883 W ALVARADO RD </t>
  </si>
  <si>
    <t>CRYSTAL GARDENS PARCEL 1B</t>
  </si>
  <si>
    <t>MAY JANINE &amp; CRAIG</t>
  </si>
  <si>
    <t>STEVEN E CASE</t>
  </si>
  <si>
    <t>NICHOLAS RILEY</t>
  </si>
  <si>
    <t xml:space="preserve">1680 E BUFFALO CIR </t>
  </si>
  <si>
    <t>SPRINGS UNIT 1 AMD LOT 1-29 455  456</t>
  </si>
  <si>
    <t>PASTRANA JEANNIE G</t>
  </si>
  <si>
    <t>RILEY NICHOLAS J</t>
  </si>
  <si>
    <t>YACOUB</t>
  </si>
  <si>
    <t>ABDELFATTAH</t>
  </si>
  <si>
    <t>HIYAM</t>
  </si>
  <si>
    <t>YACOUB &amp; HIYAM ABDELFATTAH</t>
  </si>
  <si>
    <t xml:space="preserve">22894 S 214TH ST </t>
  </si>
  <si>
    <t>VILLAGES AT QUEEN CREEK PHASE 2A PARCEL</t>
  </si>
  <si>
    <t>OSBORNE ROBERT L</t>
  </si>
  <si>
    <t>ABDELFATTAH YACOUB Y &amp; HIYAM</t>
  </si>
  <si>
    <t>LOVATO</t>
  </si>
  <si>
    <t>ORLANDO LOVATO</t>
  </si>
  <si>
    <t xml:space="preserve">9251 W HAZELWOOD ST </t>
  </si>
  <si>
    <t>OCONNELL EDWARD P</t>
  </si>
  <si>
    <t>LOVATO ORLANDO</t>
  </si>
  <si>
    <t>MICHAEL &amp; CYNTHIA RILEY</t>
  </si>
  <si>
    <t xml:space="preserve">2506 N 109TH AVE </t>
  </si>
  <si>
    <t>CRYSTAL GARDENS PHASE 2 PARCEL 5</t>
  </si>
  <si>
    <t>LETCHWORTH LYNN A</t>
  </si>
  <si>
    <t>RILEY MICHAEL J &amp; CYNTHIA L</t>
  </si>
  <si>
    <t>PRUITT</t>
  </si>
  <si>
    <t>PRUITT &amp; KRISTEN LEE</t>
  </si>
  <si>
    <t xml:space="preserve">12842 W ASTER DR </t>
  </si>
  <si>
    <t>ISOM SPENCER A</t>
  </si>
  <si>
    <t>PRUITT JASON W</t>
  </si>
  <si>
    <t>JASON STOUT</t>
  </si>
  <si>
    <t xml:space="preserve">2840 S CHAPARRAL BLVD </t>
  </si>
  <si>
    <t>WORDERN NATALIE</t>
  </si>
  <si>
    <t>STOUT JASON G</t>
  </si>
  <si>
    <t>MARIO &amp; MARIA TORRES</t>
  </si>
  <si>
    <t xml:space="preserve">1040 S SEAN DR </t>
  </si>
  <si>
    <t>BETTINE NORMA</t>
  </si>
  <si>
    <t>MARIO TORRES</t>
  </si>
  <si>
    <t>MARIA TORRES</t>
  </si>
  <si>
    <t>BRYAN &amp; JESSICA LAWRENCE</t>
  </si>
  <si>
    <t xml:space="preserve">11130 E SHEPPERD AVE </t>
  </si>
  <si>
    <t>MOUNTAIN HORIZONS UNIT 4</t>
  </si>
  <si>
    <t>FRASER ROBERT L</t>
  </si>
  <si>
    <t>HIGHTECHLENDING</t>
  </si>
  <si>
    <t>BRYAN LAWRENCE</t>
  </si>
  <si>
    <t>JESSICA LAWRENCE</t>
  </si>
  <si>
    <t>LATOYA &amp; CHARLES LEE</t>
  </si>
  <si>
    <t xml:space="preserve">7509 W ST KATERI DR </t>
  </si>
  <si>
    <t>LEE LATOYA J &amp; CHARLES D</t>
  </si>
  <si>
    <t>RONALD TRUJILLO</t>
  </si>
  <si>
    <t xml:space="preserve">8555 W CHERRY HILLS DR </t>
  </si>
  <si>
    <t xml:space="preserve">1714 S 66TH LN </t>
  </si>
  <si>
    <t>THOMPSON CALEB M</t>
  </si>
  <si>
    <t>TRUJILLO RONALD</t>
  </si>
  <si>
    <t>CREPEAU</t>
  </si>
  <si>
    <t>JOHN &amp; DARLENE CREPEAU</t>
  </si>
  <si>
    <t xml:space="preserve">7245 W WOOD ST </t>
  </si>
  <si>
    <t>CREPEAU JOHN L &amp; DARLENE R</t>
  </si>
  <si>
    <t>JASON &amp; MELISSA SHERIDAN</t>
  </si>
  <si>
    <t xml:space="preserve">22293 N 102ND LN </t>
  </si>
  <si>
    <t>SPEIGHT RONALD &amp; AMANDA TRUST</t>
  </si>
  <si>
    <t>SHERIDAN JASON &amp; MELISSA</t>
  </si>
  <si>
    <t>ERNST</t>
  </si>
  <si>
    <t>TERRENCE &amp; YONG ERNST</t>
  </si>
  <si>
    <t xml:space="preserve">2060 N 164TH AVE </t>
  </si>
  <si>
    <t>PEBBLECREEK PHASE 2 UNIT 58</t>
  </si>
  <si>
    <t>MOUNTAIN SUN TRUST</t>
  </si>
  <si>
    <t>ERNST TERRENCE L &amp; YONG H</t>
  </si>
  <si>
    <t>WHATLEY</t>
  </si>
  <si>
    <t>BRIAN WHATLEY</t>
  </si>
  <si>
    <t xml:space="preserve">11906 W CARLOTA LN </t>
  </si>
  <si>
    <t>WHATLEY BRIAN LAWRENCE</t>
  </si>
  <si>
    <t>CHARLES ESPINOZA</t>
  </si>
  <si>
    <t xml:space="preserve">8370 W MICHELLE DR </t>
  </si>
  <si>
    <t>PARCEL 6 AT BELL PARK  LOT 1-103 TR A-C</t>
  </si>
  <si>
    <t>JELMBERG EDWON L</t>
  </si>
  <si>
    <t>ESPINOZA CHARLES</t>
  </si>
  <si>
    <t>RODRIGUEZ &amp; JESSICA ANN</t>
  </si>
  <si>
    <t xml:space="preserve">5541 N RATTLER WAY </t>
  </si>
  <si>
    <t>SHAW CADE T</t>
  </si>
  <si>
    <t>RODRIQUEZ SAMUEL</t>
  </si>
  <si>
    <t>LIPTAK</t>
  </si>
  <si>
    <t>LESSENBERRY</t>
  </si>
  <si>
    <t>GLENN LIPTAK &amp; JEFFREY LESSENBERRY</t>
  </si>
  <si>
    <t xml:space="preserve">7211 W BEVERLY RD </t>
  </si>
  <si>
    <t>LAVEEN MEADOWS PARCEL 16</t>
  </si>
  <si>
    <t>MUNOZ JAVIER</t>
  </si>
  <si>
    <t>LIPTAK GLENN</t>
  </si>
  <si>
    <t>LESSENBERRY JEFFREY</t>
  </si>
  <si>
    <t>HELLER</t>
  </si>
  <si>
    <t>DAVID HELLER</t>
  </si>
  <si>
    <t xml:space="preserve">1895 W MUSKET WAY </t>
  </si>
  <si>
    <t>SAN MARTIN AT THE VINEYARDS</t>
  </si>
  <si>
    <t>HAVER DIANE L</t>
  </si>
  <si>
    <t>HELLER DAVID L</t>
  </si>
  <si>
    <t>AARON &amp; ASHLEY KELLER</t>
  </si>
  <si>
    <t xml:space="preserve">4729 E GREENWAY ST </t>
  </si>
  <si>
    <t>EMPIRE GARDENS UNIT 4 LOT 87-112</t>
  </si>
  <si>
    <t>EMPIRE GARDENS</t>
  </si>
  <si>
    <t>CASTLE REAL ESTATE LLC</t>
  </si>
  <si>
    <t>KELLER AARON D &amp; ASHLEY L</t>
  </si>
  <si>
    <t>NUNEZ</t>
  </si>
  <si>
    <t>GABRIEL &amp; ANA NUNEZ</t>
  </si>
  <si>
    <t xml:space="preserve">11842 N 145TH LN </t>
  </si>
  <si>
    <t>MOODY TRUST</t>
  </si>
  <si>
    <t>NUNEZ GABRIEL &amp; ANA</t>
  </si>
  <si>
    <t>STUDEBAKER</t>
  </si>
  <si>
    <t>WILLIAM STUDEBAKER</t>
  </si>
  <si>
    <t xml:space="preserve">15819 W POLK ST </t>
  </si>
  <si>
    <t>STUDEBAKER WILLIAM</t>
  </si>
  <si>
    <t>RAMON MERCADO</t>
  </si>
  <si>
    <t xml:space="preserve">9204 W MEADOW DR </t>
  </si>
  <si>
    <t>MERCADO RAMON</t>
  </si>
  <si>
    <t>SIEBERT</t>
  </si>
  <si>
    <t>MICHAEL &amp; NINA SIEBERT</t>
  </si>
  <si>
    <t xml:space="preserve">14624 N VALLOROSO DR </t>
  </si>
  <si>
    <t>QUIGLEY ELAINE R</t>
  </si>
  <si>
    <t>SIEBERT MICHAEL W &amp; NINA I</t>
  </si>
  <si>
    <t>GLOISTEIN</t>
  </si>
  <si>
    <t>RICKY &amp; CAROLYN GLOISTEIN</t>
  </si>
  <si>
    <t xml:space="preserve">18155 W IVY LN </t>
  </si>
  <si>
    <t>BOOTH DAVID</t>
  </si>
  <si>
    <t>GLOISTEIN RICKY L &amp; CAROLYN E</t>
  </si>
  <si>
    <t>DRESSLER</t>
  </si>
  <si>
    <t>JEFFREY &amp; JULIE DRESSLER</t>
  </si>
  <si>
    <t xml:space="preserve">13522 S 184TH AVE </t>
  </si>
  <si>
    <t>ESTRELLA MOUNTAIN RANCH PARCEL 100B</t>
  </si>
  <si>
    <t>PORRETTA HEATH</t>
  </si>
  <si>
    <t>DRESSLER JEFFREY R</t>
  </si>
  <si>
    <t>MAKAL</t>
  </si>
  <si>
    <t>TREVI</t>
  </si>
  <si>
    <t>KEITH &amp; TREVI MAKAL</t>
  </si>
  <si>
    <t xml:space="preserve">14891 W LAUREL LN </t>
  </si>
  <si>
    <t>14891 W LAUREL LANE LLC</t>
  </si>
  <si>
    <t>MAKAL KEITH &amp; TREVI</t>
  </si>
  <si>
    <t>WEBB</t>
  </si>
  <si>
    <t>BENJAMIN WEBB</t>
  </si>
  <si>
    <t xml:space="preserve">11112 E STARKEY AVE </t>
  </si>
  <si>
    <t>PATINO DANIEL</t>
  </si>
  <si>
    <t>WEBB BENJAMIN J JR</t>
  </si>
  <si>
    <t>PULIDO</t>
  </si>
  <si>
    <t>ROBERT &amp; REBECCA PULIDO</t>
  </si>
  <si>
    <t xml:space="preserve">17537 W CANYON LN </t>
  </si>
  <si>
    <t>PRINCE TANYA</t>
  </si>
  <si>
    <t>PULIDO ROBERT H &amp; REBECCA</t>
  </si>
  <si>
    <t>PHELPS</t>
  </si>
  <si>
    <t>MEANEY</t>
  </si>
  <si>
    <t>PATRICK PHELPS &amp; MATTHEW MEANEY</t>
  </si>
  <si>
    <t xml:space="preserve">1407 E LAGUNA DR </t>
  </si>
  <si>
    <t>TEMPE GARDENS  4  LOT  321-485 TR A</t>
  </si>
  <si>
    <t>DUCHARME JOAN TRUSTEE T</t>
  </si>
  <si>
    <t>PHELPS PATRICK H</t>
  </si>
  <si>
    <t>MEANEY MATTHEW J</t>
  </si>
  <si>
    <t>JOSHUA &amp; ALYSSA EVANS</t>
  </si>
  <si>
    <t xml:space="preserve">19918 W LINCOLN ST </t>
  </si>
  <si>
    <t>EVANS JOSHUA &amp; ALYSSA</t>
  </si>
  <si>
    <t>VELEZ</t>
  </si>
  <si>
    <t>ADRIAN &amp; MARIA VELEZ</t>
  </si>
  <si>
    <t xml:space="preserve">4071 S DEW DROP CT </t>
  </si>
  <si>
    <t>POWER RANCH NEIGHBORHOOD 4</t>
  </si>
  <si>
    <t>THE VINEYARDS</t>
  </si>
  <si>
    <t>PALIWODZINSKI DAVID E</t>
  </si>
  <si>
    <t>VELEZ ADRIAN</t>
  </si>
  <si>
    <t>PATRICIA THOMPSON</t>
  </si>
  <si>
    <t xml:space="preserve">425 S 173RD DR </t>
  </si>
  <si>
    <t>OLIVER VINCENT</t>
  </si>
  <si>
    <t>THOMPSON PATRICIA A</t>
  </si>
  <si>
    <t>DEANE</t>
  </si>
  <si>
    <t>GRAV</t>
  </si>
  <si>
    <t>DEANE &amp; ELIZABETH GRAV</t>
  </si>
  <si>
    <t xml:space="preserve">26638 S NEW TOWN DR </t>
  </si>
  <si>
    <t>GRAV ANDREW D &amp; AMY L</t>
  </si>
  <si>
    <t>GRAV DEANE J &amp; ELIZABETH R</t>
  </si>
  <si>
    <t>TIFFANY WASHINGTON</t>
  </si>
  <si>
    <t xml:space="preserve">15014 W DESERT MIRAGE DR </t>
  </si>
  <si>
    <t>RANCHO GABRIELA PHASE 4B</t>
  </si>
  <si>
    <t>CROPPER DAVID</t>
  </si>
  <si>
    <t>TIFFANY L WASHINGTON</t>
  </si>
  <si>
    <t>CREEKMORE</t>
  </si>
  <si>
    <t>JERRY &amp; MAUREEN CREEKMORE</t>
  </si>
  <si>
    <t xml:space="preserve">8628 W BERRIDGE LN </t>
  </si>
  <si>
    <t>DESERT MIRAGE ESTATES</t>
  </si>
  <si>
    <t>DESERT SUNSET</t>
  </si>
  <si>
    <t>COTTERMAN SCOTT D</t>
  </si>
  <si>
    <t>CREEKMORE JERRY S &amp; MAUREEN G</t>
  </si>
  <si>
    <t>KERENSA</t>
  </si>
  <si>
    <t>BOOKMAN</t>
  </si>
  <si>
    <t>KERENSA ALLEN &amp; RONALD BOOKMAN</t>
  </si>
  <si>
    <t xml:space="preserve">6113 E PALM ST </t>
  </si>
  <si>
    <t>RIDGEVIEW UNIT 3-B</t>
  </si>
  <si>
    <t>ROBERTSON JANET A</t>
  </si>
  <si>
    <t>ALLEN KERENSA LAVAR</t>
  </si>
  <si>
    <t>BOOKMAN RONALD</t>
  </si>
  <si>
    <t>JESSE &amp; ANITA ACOSTA</t>
  </si>
  <si>
    <t xml:space="preserve">15691 W MONTEROSA ST </t>
  </si>
  <si>
    <t>GARCIA JESSE O</t>
  </si>
  <si>
    <t>ACOSTA JESSE A &amp; ANITA M</t>
  </si>
  <si>
    <t>JAMISON</t>
  </si>
  <si>
    <t>CLEOPATRA</t>
  </si>
  <si>
    <t>ALEXANDER &amp; CLEOPATRA JAMISON</t>
  </si>
  <si>
    <t xml:space="preserve">3156 S 186TH LN </t>
  </si>
  <si>
    <t>JAMISON ALEXANDER W &amp; CLEOPAT</t>
  </si>
  <si>
    <t>ROBERT &amp; KATHRYN MAYBERRY</t>
  </si>
  <si>
    <t xml:space="preserve">9814 W TERRACE LN </t>
  </si>
  <si>
    <t>SUN CITY 57</t>
  </si>
  <si>
    <t>WANTAND LOIS K</t>
  </si>
  <si>
    <t>PROCURA MTG CO</t>
  </si>
  <si>
    <t>MAYBERRY ROBERT L &amp; KATHRYN A</t>
  </si>
  <si>
    <t>KODY</t>
  </si>
  <si>
    <t>BOWDEN</t>
  </si>
  <si>
    <t>KODY &amp; AMANDA BOWDEN</t>
  </si>
  <si>
    <t xml:space="preserve">1609 W SUMMIT PL </t>
  </si>
  <si>
    <t>WOODGLEN UNIT 6 LOT 293-423 TR A</t>
  </si>
  <si>
    <t>BAGNATO ROBERT C</t>
  </si>
  <si>
    <t>BOWDEN KODY &amp; AMANDA</t>
  </si>
  <si>
    <t>COWLEY</t>
  </si>
  <si>
    <t>TARYN</t>
  </si>
  <si>
    <t>SALMON</t>
  </si>
  <si>
    <t>RUSSELL COWLEY &amp; TARYN SALMON</t>
  </si>
  <si>
    <t xml:space="preserve">2555 E HARRISON CT </t>
  </si>
  <si>
    <t>CROSSINGS AT CROSSROADS UNIT 1</t>
  </si>
  <si>
    <t>CROSSINGS AT CROSSROADS</t>
  </si>
  <si>
    <t>GOECKERITZ LAFE K</t>
  </si>
  <si>
    <t>COWLEY RUSSELL</t>
  </si>
  <si>
    <t>SALMON TARYN</t>
  </si>
  <si>
    <t>LEROY D &amp; MEDRANO-ADKINS TRUST</t>
  </si>
  <si>
    <t>LEROYD &amp; MEDRANO-ADKINS LEROYD</t>
  </si>
  <si>
    <t xml:space="preserve">11445 E QUEENSBOROUGH AVE </t>
  </si>
  <si>
    <t>ADKINS DAVID L &amp; BECKY M</t>
  </si>
  <si>
    <t>MERCER</t>
  </si>
  <si>
    <t>JAMES &amp; PAMELA MERCER</t>
  </si>
  <si>
    <t xml:space="preserve">6910 E PHELPS RD </t>
  </si>
  <si>
    <t>GREENBRIER EAST UNIT 10 VILLAS LOT 1-88</t>
  </si>
  <si>
    <t>GREENBRIER EAST VILLAS</t>
  </si>
  <si>
    <t>SANDPIPER ELEMENTARY SCHOOL</t>
  </si>
  <si>
    <t>HITT BETTY JEAN FAMILY TRUST</t>
  </si>
  <si>
    <t>MCRECER JAMES C &amp; PAMELA S</t>
  </si>
  <si>
    <t>CHUDZIAK</t>
  </si>
  <si>
    <t>COURTNEY CHUDZIAK</t>
  </si>
  <si>
    <t xml:space="preserve">16409 W SIERRA ST </t>
  </si>
  <si>
    <t>MAROZZI JOANNE LIVING TRUST</t>
  </si>
  <si>
    <t>CHUDZIAK FILIP &amp; COURTNEY</t>
  </si>
  <si>
    <t>CLUM</t>
  </si>
  <si>
    <t>AARON &amp; SARA CLUM</t>
  </si>
  <si>
    <t xml:space="preserve">4864 S SUMMIT CT </t>
  </si>
  <si>
    <t>VISTA DORADA 2</t>
  </si>
  <si>
    <t>ANDERSEN JON K &amp; JANE E</t>
  </si>
  <si>
    <t>CLUM AARON T &amp; SARA A</t>
  </si>
  <si>
    <t>TORIX</t>
  </si>
  <si>
    <t>ROY &amp; SHERRY TORIX</t>
  </si>
  <si>
    <t xml:space="preserve">4138 W RUTH AVE </t>
  </si>
  <si>
    <t>MANZANITA MANOR</t>
  </si>
  <si>
    <t>MANZANITA ELEMENTARY SCHOOL</t>
  </si>
  <si>
    <t>PALO VERDE MIDDLE SCHOOL</t>
  </si>
  <si>
    <t>PIERCE DELTA D</t>
  </si>
  <si>
    <t>ROY K TORIX</t>
  </si>
  <si>
    <t>SHERRY L TORIX</t>
  </si>
  <si>
    <t>FONTAINE</t>
  </si>
  <si>
    <t>JENNIFER FONTAINE &amp; CHARLES SIMON</t>
  </si>
  <si>
    <t xml:space="preserve">13545 N 148TH LN </t>
  </si>
  <si>
    <t>FONTAINE JENNIFER RITA</t>
  </si>
  <si>
    <t>ELMORE</t>
  </si>
  <si>
    <t>JONATHAN ELMORE</t>
  </si>
  <si>
    <t xml:space="preserve">4241 E MARINO DR </t>
  </si>
  <si>
    <t xml:space="preserve">4513 W SUNNYSIDE AVE </t>
  </si>
  <si>
    <t>ALANIZ DAVID &amp; MARIA</t>
  </si>
  <si>
    <t>ELMORE JONATHAN</t>
  </si>
  <si>
    <t>EDDIE STEELE</t>
  </si>
  <si>
    <t xml:space="preserve">2012 W BLOOMFIELD RD </t>
  </si>
  <si>
    <t>MOUNTAIN VIEW ESTATES LOT 1-49  TR A-G</t>
  </si>
  <si>
    <t>MOUNTAIN VIEW ESTATES</t>
  </si>
  <si>
    <t>SHAW BUTTE ELEMENTARY SCHOOL</t>
  </si>
  <si>
    <t>COPPERMINE PROPERTIES LLC</t>
  </si>
  <si>
    <t>STEELE EDDIE D</t>
  </si>
  <si>
    <t>AUSTIN &amp; LISA COULSON</t>
  </si>
  <si>
    <t xml:space="preserve">12401 N 18TH ST </t>
  </si>
  <si>
    <t>HARDY CHAD</t>
  </si>
  <si>
    <t>COULSON AUSTIN L &amp; LISA</t>
  </si>
  <si>
    <t>KESSELHON</t>
  </si>
  <si>
    <t>JOYCE KESSELHON</t>
  </si>
  <si>
    <t xml:space="preserve">15897 N 162ND AVE </t>
  </si>
  <si>
    <t>MOUNTAIN VISTA RANCH PARCEL 16</t>
  </si>
  <si>
    <t>HUDGINS SHANNON D &amp; KATHRYN</t>
  </si>
  <si>
    <t>SHORTT THOMAS A</t>
  </si>
  <si>
    <t>KESSELHON JOYCE</t>
  </si>
  <si>
    <t>KOERNER</t>
  </si>
  <si>
    <t>TIMOTHY KOERNER</t>
  </si>
  <si>
    <t xml:space="preserve">3573 E ELGIN ST </t>
  </si>
  <si>
    <t>JOHNSON KEVIN &amp; TARA</t>
  </si>
  <si>
    <t>KOERNER TIMOTHY L</t>
  </si>
  <si>
    <t>JAVIN</t>
  </si>
  <si>
    <t>WILLIAMSON-MIDKIFF</t>
  </si>
  <si>
    <t>MIDKIFF</t>
  </si>
  <si>
    <t>JAVIN WILLIAMSON-MIDKIFF &amp; STEPHANIE MIDKIFF</t>
  </si>
  <si>
    <t xml:space="preserve">3045 E LIBBY ST </t>
  </si>
  <si>
    <t>KERN ROBERT E &amp; M F TRUST</t>
  </si>
  <si>
    <t>WILLIAMSON-MIDKIFF JAVIN V</t>
  </si>
  <si>
    <t>MIDKIFF STEPHANIE</t>
  </si>
  <si>
    <t>LAVALLIE</t>
  </si>
  <si>
    <t>SCOTT LAVALLIE</t>
  </si>
  <si>
    <t xml:space="preserve">2466 E CAROL AVE </t>
  </si>
  <si>
    <t>SUMMER PLACE 5 LOT 1-102</t>
  </si>
  <si>
    <t>BALFOUR CAROLYN E</t>
  </si>
  <si>
    <t>LAVALLIE SCOTT D</t>
  </si>
  <si>
    <t>KURT MYERS &amp; TREVOR JOHNSON</t>
  </si>
  <si>
    <t xml:space="preserve">1702 W MACKENZIE DR </t>
  </si>
  <si>
    <t>BEL AIR BLK 10_&amp; 11</t>
  </si>
  <si>
    <t>BEL AIR</t>
  </si>
  <si>
    <t>FRANCISCO JEFFREY</t>
  </si>
  <si>
    <t>MYERS KURT F</t>
  </si>
  <si>
    <t>JOHNSON TREVOR K</t>
  </si>
  <si>
    <t>ARBOGAST</t>
  </si>
  <si>
    <t>WILLIAM &amp; CINDY ARBOGAST</t>
  </si>
  <si>
    <t xml:space="preserve">19805 N PALO VERDE DR </t>
  </si>
  <si>
    <t>SUN CITY 52  LOT 1-227 &amp; TR A-C</t>
  </si>
  <si>
    <t>CLARK DIANE M</t>
  </si>
  <si>
    <t>ARBOGAST WILLIAM &amp; CINDY</t>
  </si>
  <si>
    <t>THORNTON</t>
  </si>
  <si>
    <t>ANTHONY &amp; AIMEE THORNTON</t>
  </si>
  <si>
    <t xml:space="preserve">3585 E CALEB WAY </t>
  </si>
  <si>
    <t>DAVE BROWN 172ND STREET AND GUADALUPE</t>
  </si>
  <si>
    <t>REED-DOBBS CHAD E</t>
  </si>
  <si>
    <t>THORNTON ANTHONY L &amp; AIMEE M</t>
  </si>
  <si>
    <t>KYLE SCHMITT</t>
  </si>
  <si>
    <t xml:space="preserve">134 E RIVIERA DR </t>
  </si>
  <si>
    <t xml:space="preserve">7820 S 6TH DR </t>
  </si>
  <si>
    <t>TEMPE GARDENS  2  LOT  113-179</t>
  </si>
  <si>
    <t>DUEBLER ZACHARY T</t>
  </si>
  <si>
    <t>SCHMITT KYLE</t>
  </si>
  <si>
    <t>ARBUCKLE</t>
  </si>
  <si>
    <t>ATHENA</t>
  </si>
  <si>
    <t>HAYDEN &amp; ATHENA ARBUCKLE</t>
  </si>
  <si>
    <t xml:space="preserve">14638 N 43RD PL </t>
  </si>
  <si>
    <t>COVEY UNIT 8 LOT 364-441 TR A</t>
  </si>
  <si>
    <t>COLE CRAIG A</t>
  </si>
  <si>
    <t>ARBUCKLE HAYDEN Y &amp; ATHENA M</t>
  </si>
  <si>
    <t>WERNET</t>
  </si>
  <si>
    <t>STEVEN &amp; ANDREA WERNET</t>
  </si>
  <si>
    <t xml:space="preserve">15880 W LAUREL LN </t>
  </si>
  <si>
    <t>STEVEN C WERNET</t>
  </si>
  <si>
    <t>ANDREA M WERNET</t>
  </si>
  <si>
    <t>JENKINS &amp; PAMELA ANN</t>
  </si>
  <si>
    <t xml:space="preserve">18584 W KENDALL ST </t>
  </si>
  <si>
    <t>JENKINS ROBERT D &amp; PAMELA A</t>
  </si>
  <si>
    <t>BENITEZ</t>
  </si>
  <si>
    <t>ARMSTRONG &amp; CLAUDIA BENITEZ</t>
  </si>
  <si>
    <t xml:space="preserve">308 E ELLIS DR </t>
  </si>
  <si>
    <t>COLLEGE PARK  2</t>
  </si>
  <si>
    <t>STEMPLE DONALD K</t>
  </si>
  <si>
    <t>ARMSTRONG BRIAN A &amp; CLAUDIA B</t>
  </si>
  <si>
    <t>GERALD &amp; JANICE RICE</t>
  </si>
  <si>
    <t xml:space="preserve">526 S ROCHESTER </t>
  </si>
  <si>
    <t>SUNLAND VILLAGE 2</t>
  </si>
  <si>
    <t>MOYSA ROSE M TRUST</t>
  </si>
  <si>
    <t>RICE GERALD D &amp; JANICE M</t>
  </si>
  <si>
    <t>ROBERT TORRES</t>
  </si>
  <si>
    <t xml:space="preserve">14331 W AMELIA AVE </t>
  </si>
  <si>
    <t>HERBERT JENNIFER</t>
  </si>
  <si>
    <t>TORRES ROBERT A</t>
  </si>
  <si>
    <t>ESSENMACHER</t>
  </si>
  <si>
    <t>COREY ESSENMACHER</t>
  </si>
  <si>
    <t xml:space="preserve">1960 E RICE DR </t>
  </si>
  <si>
    <t>WENTLAND DAVID M</t>
  </si>
  <si>
    <t>ESSENMACHER COREY D</t>
  </si>
  <si>
    <t>MARCHIONE</t>
  </si>
  <si>
    <t>DAYNA</t>
  </si>
  <si>
    <t>PATRICK &amp; DAYNA MARCHIONE</t>
  </si>
  <si>
    <t xml:space="preserve">274 E RAWHIDE AVE </t>
  </si>
  <si>
    <t>FARMHOUSE MEADOWS</t>
  </si>
  <si>
    <t>GEWECKE MICHAEL P &amp; JILL K</t>
  </si>
  <si>
    <t>MARCHIONE PATRICK W</t>
  </si>
  <si>
    <t>GUENTHER</t>
  </si>
  <si>
    <t>MARCUS GUENTHER</t>
  </si>
  <si>
    <t xml:space="preserve">17300 N 168TH LN </t>
  </si>
  <si>
    <t>BELL WEST RANCH PARCEL 4 AMD</t>
  </si>
  <si>
    <t>JOHNSON FAMILY LIVING TRUST</t>
  </si>
  <si>
    <t>GUENTHER MARCUS</t>
  </si>
  <si>
    <t>CINTYHIA</t>
  </si>
  <si>
    <t>MICHAEL &amp; CINTYHIA MEDINA</t>
  </si>
  <si>
    <t xml:space="preserve">19933 W GRANT ST </t>
  </si>
  <si>
    <t>MEDINA MICHAEL &amp; CINTYHIA</t>
  </si>
  <si>
    <t>MOYERS</t>
  </si>
  <si>
    <t>NICHOLAS MOYERS</t>
  </si>
  <si>
    <t xml:space="preserve">13161 W MAUNA LOA LN </t>
  </si>
  <si>
    <t>ROSEVIEW UNIT 2</t>
  </si>
  <si>
    <t>WEBB RICHARD K</t>
  </si>
  <si>
    <t>RALPH &amp; SANDRA CHRISTIANSEN</t>
  </si>
  <si>
    <t xml:space="preserve">27070 W ROSS AVE </t>
  </si>
  <si>
    <t>SUN CITY FESTIVAL PARCELS E1 &amp; F1</t>
  </si>
  <si>
    <t>ACHEY THOMAS J</t>
  </si>
  <si>
    <t>CHRISTIANSEN RALPH &amp; SANDRA</t>
  </si>
  <si>
    <t>RUDDOCK</t>
  </si>
  <si>
    <t>FRANCISCA RUDDOCK</t>
  </si>
  <si>
    <t xml:space="preserve">1602 W WILLOW AVE </t>
  </si>
  <si>
    <t>MOON VALLEY GARDENS 4</t>
  </si>
  <si>
    <t>MOON VALLEY GARDENS</t>
  </si>
  <si>
    <t>MOON MOUNTAIN ELEMENTARY SCHOOL</t>
  </si>
  <si>
    <t>FOX DARIN A &amp; HANNAH</t>
  </si>
  <si>
    <t>JOHNSON WILLIE E</t>
  </si>
  <si>
    <t>BALD</t>
  </si>
  <si>
    <t>PATRICK BALD</t>
  </si>
  <si>
    <t xml:space="preserve">17219 N 29TH DR </t>
  </si>
  <si>
    <t>KNOELL NORTH  9 UNIT 1 AMD</t>
  </si>
  <si>
    <t>WILBANKS LARRY M</t>
  </si>
  <si>
    <t>BALD PATRICK</t>
  </si>
  <si>
    <t>ASHLEY BALD</t>
  </si>
  <si>
    <t>NOGLER</t>
  </si>
  <si>
    <t>BENJAMIN &amp; TRACEY NOGLER</t>
  </si>
  <si>
    <t xml:space="preserve">15704 W TAYLOR ST </t>
  </si>
  <si>
    <t>NOGLER BENJAMIN E</t>
  </si>
  <si>
    <t>KERNS</t>
  </si>
  <si>
    <t>DAVID KERNS</t>
  </si>
  <si>
    <t xml:space="preserve">12601 W SIERRA ST </t>
  </si>
  <si>
    <t>RANCHO MIRAGE UNIT 2 PARCEL 2 PHASE 2</t>
  </si>
  <si>
    <t>GRANDE MIRAGE</t>
  </si>
  <si>
    <t>BECERRA MATILDE</t>
  </si>
  <si>
    <t>DAVID J KERNS</t>
  </si>
  <si>
    <t>SHULTZ</t>
  </si>
  <si>
    <t>TIMOTHY SHULTZ</t>
  </si>
  <si>
    <t xml:space="preserve">16432 W RIMROCK ST </t>
  </si>
  <si>
    <t>NORTHWEST RANCH UNIT 2 PHASE A</t>
  </si>
  <si>
    <t>STEARNS LNDG LLC</t>
  </si>
  <si>
    <t>TIMOTHY J SHULTZ</t>
  </si>
  <si>
    <t>COUGHLIN</t>
  </si>
  <si>
    <t>KEVIN &amp; ROBIN COUGHLIN</t>
  </si>
  <si>
    <t xml:space="preserve">7238 N 23RD LN </t>
  </si>
  <si>
    <t>PASTURA VERDE 2</t>
  </si>
  <si>
    <t>PASTURA VERDE</t>
  </si>
  <si>
    <t>ROBINSON RICHARD A</t>
  </si>
  <si>
    <t>COUGHLIN KEVIN &amp; ROBIN L</t>
  </si>
  <si>
    <t>BARCELO</t>
  </si>
  <si>
    <t>ARTHUR &amp; SONIA BARCELO</t>
  </si>
  <si>
    <t xml:space="preserve">2324 N 123RD DR </t>
  </si>
  <si>
    <t>TIERRA AT RANCHO SANTA FE</t>
  </si>
  <si>
    <t>LYND DONALD E</t>
  </si>
  <si>
    <t>BARCELO ARTHUR W</t>
  </si>
  <si>
    <t>HANS</t>
  </si>
  <si>
    <t>LAURSEN</t>
  </si>
  <si>
    <t>LARK</t>
  </si>
  <si>
    <t>HANS LAURSEN &amp; DEBORAH LARK</t>
  </si>
  <si>
    <t xml:space="preserve">10117 W ILLINI ST </t>
  </si>
  <si>
    <t>SUNSET FARMS UNIT 2</t>
  </si>
  <si>
    <t>SUNSET FARMS</t>
  </si>
  <si>
    <t>CAPLICE JOHN L</t>
  </si>
  <si>
    <t>LAURSEN HANS M</t>
  </si>
  <si>
    <t>LARK DEBORAH R</t>
  </si>
  <si>
    <t>RICH</t>
  </si>
  <si>
    <t>WILLIAM &amp; JULIANN RICH</t>
  </si>
  <si>
    <t xml:space="preserve">1541 E DOVER CIR </t>
  </si>
  <si>
    <t xml:space="preserve">1918 E INVERNESS AVE </t>
  </si>
  <si>
    <t>PALM GARDENS OF MESA 2</t>
  </si>
  <si>
    <t>JARVIS SYNERGY GROUP LLC</t>
  </si>
  <si>
    <t>RICH WILLIAM A &amp; JULIANN M</t>
  </si>
  <si>
    <t>MADELEINE</t>
  </si>
  <si>
    <t>MADELEINE HILL</t>
  </si>
  <si>
    <t xml:space="preserve">7834 E CULVER ST </t>
  </si>
  <si>
    <t>MCDOWELL PARKWAY</t>
  </si>
  <si>
    <t>MISSURELI PETER J</t>
  </si>
  <si>
    <t>HILL MADELEINE</t>
  </si>
  <si>
    <t>DUDLEY</t>
  </si>
  <si>
    <t>DIMAS</t>
  </si>
  <si>
    <t>ELDA</t>
  </si>
  <si>
    <t>DUDLEY &amp; ELDA DIMAS</t>
  </si>
  <si>
    <t xml:space="preserve">2302 W TANQUE VERDE DR </t>
  </si>
  <si>
    <t>DAVE BROWN UNIT 4 LT 1-199 TR A</t>
  </si>
  <si>
    <t>CLEARVIEW MANOR</t>
  </si>
  <si>
    <t>DUDLEY ROBERT N &amp; BRENDA S</t>
  </si>
  <si>
    <t>DUDLEY ERIC R &amp; ELDA D</t>
  </si>
  <si>
    <t>RITTER</t>
  </si>
  <si>
    <t>JON RITTER</t>
  </si>
  <si>
    <t xml:space="preserve">1819 W SUMMIT PL </t>
  </si>
  <si>
    <t>THOMPSON RAYMOND C &amp; STACEY</t>
  </si>
  <si>
    <t>RITTER JON</t>
  </si>
  <si>
    <t>GATTKE</t>
  </si>
  <si>
    <t>MATTHEW GATTKE</t>
  </si>
  <si>
    <t xml:space="preserve">7549 W ST KATERI DR </t>
  </si>
  <si>
    <t>GATTKE MATTHEW</t>
  </si>
  <si>
    <t>TRUST FOR TRAVIS S WISEMAN</t>
  </si>
  <si>
    <t>TRUST WISEMAN</t>
  </si>
  <si>
    <t xml:space="preserve">2655 S 72ND CIR </t>
  </si>
  <si>
    <t>BARAJAS ALBERTO</t>
  </si>
  <si>
    <t>WISEMAN TRAVIS S</t>
  </si>
  <si>
    <t>BIELINSKI</t>
  </si>
  <si>
    <t>RICICA-BIELINSKI</t>
  </si>
  <si>
    <t>NICHOLAS BIELINSKI &amp; LISA RICICA-BIELINSKI</t>
  </si>
  <si>
    <t xml:space="preserve">2027 E HELENA DR </t>
  </si>
  <si>
    <t>PARKE PLACE</t>
  </si>
  <si>
    <t>LOWRY CARLENE Y</t>
  </si>
  <si>
    <t>BIELINSKI NICHOLAS A</t>
  </si>
  <si>
    <t>RICICA BIELINSKI LISA M</t>
  </si>
  <si>
    <t>STUART BLACK</t>
  </si>
  <si>
    <t xml:space="preserve">5059 W MERCURY WAY </t>
  </si>
  <si>
    <t>TWELVE OAKS 2 LOT 200-416 TR A-Z AA-CC</t>
  </si>
  <si>
    <t>WILSON MICHAEL M</t>
  </si>
  <si>
    <t>BLACK STUART</t>
  </si>
  <si>
    <t>HARRIS FAMILY LIVING TRUST</t>
  </si>
  <si>
    <t xml:space="preserve">204 E EL CAMINO DR </t>
  </si>
  <si>
    <t>NORTH CENTRAL VILLAGE  LOTS 10-21</t>
  </si>
  <si>
    <t>NORTH CENTRAL VILLAGE</t>
  </si>
  <si>
    <t>DESERT VIEW ELEMENTARY SCHOOL</t>
  </si>
  <si>
    <t>HODAPP WAYNE &amp; JEAN</t>
  </si>
  <si>
    <t>CRYSTAL Y HARRIS</t>
  </si>
  <si>
    <t>JOEL A HARRIS</t>
  </si>
  <si>
    <t>WALP</t>
  </si>
  <si>
    <t>JACOB &amp; BRANDY WALP</t>
  </si>
  <si>
    <t xml:space="preserve">7732 W LOUISE DR </t>
  </si>
  <si>
    <t>RYAN FAMILY LIVING TRUST</t>
  </si>
  <si>
    <t>JMAC LENDING INC</t>
  </si>
  <si>
    <t>WALP JACOB &amp; BRANDY</t>
  </si>
  <si>
    <t>DARL</t>
  </si>
  <si>
    <t>DARL WALKER</t>
  </si>
  <si>
    <t xml:space="preserve">26439 N 131ST DR </t>
  </si>
  <si>
    <t>K HOVNANIAN OF RANCHO CABRILLO</t>
  </si>
  <si>
    <t>DARL A WALKER</t>
  </si>
  <si>
    <t>HARKINS</t>
  </si>
  <si>
    <t>THOMAS HARKINS</t>
  </si>
  <si>
    <t xml:space="preserve">12860 W MONTE VISTA RD </t>
  </si>
  <si>
    <t>HARKINS V THOMAS</t>
  </si>
  <si>
    <t>BRYAN LUTZ</t>
  </si>
  <si>
    <t xml:space="preserve">854 E ROCKWELL DR </t>
  </si>
  <si>
    <t>STONEGATE CROSSING UNIT 3 LT 1-217 TR A</t>
  </si>
  <si>
    <t>STONEGATE CROSSING</t>
  </si>
  <si>
    <t>NARCISO DANIEL C</t>
  </si>
  <si>
    <t>BRYAN C LUTZ</t>
  </si>
  <si>
    <t>LOPEZ FAMILY LIVING TRUST</t>
  </si>
  <si>
    <t xml:space="preserve">21216 E STONE CREST DR </t>
  </si>
  <si>
    <t>VILLAGES AT QUEEN CREEK PARCEL 21</t>
  </si>
  <si>
    <t>DITOMMASO CHRISTINA G TRUST</t>
  </si>
  <si>
    <t>LOPEZ DAVID J &amp; YSENIA A</t>
  </si>
  <si>
    <t>JON &amp; JAN COX</t>
  </si>
  <si>
    <t xml:space="preserve">6219 S 30TH DR </t>
  </si>
  <si>
    <t>TEA IAN J</t>
  </si>
  <si>
    <t>COX JON EARL &amp; JAN L</t>
  </si>
  <si>
    <t>ALFREDO &amp; NICOLE LOPEZ</t>
  </si>
  <si>
    <t xml:space="preserve">15206 N 134TH LN </t>
  </si>
  <si>
    <t>BAKKER SCOTT W</t>
  </si>
  <si>
    <t>LOPEZ ALFREDO T &amp; NICOLE L</t>
  </si>
  <si>
    <t>JOHN &amp; KATHERINE RUIZ</t>
  </si>
  <si>
    <t xml:space="preserve">1208 S MERINO </t>
  </si>
  <si>
    <t>FAIRFIELD PLACE 1</t>
  </si>
  <si>
    <t>FAIRFIELD PLACE</t>
  </si>
  <si>
    <t>BUGG DERICK L</t>
  </si>
  <si>
    <t>GUARANTEED RATE</t>
  </si>
  <si>
    <t>JOHN RUIZ</t>
  </si>
  <si>
    <t>KATHERINE RUIZ</t>
  </si>
  <si>
    <t>CHUMBLER</t>
  </si>
  <si>
    <t>ANDREW CHUMBLER</t>
  </si>
  <si>
    <t xml:space="preserve">5026 E ONEIDA ST </t>
  </si>
  <si>
    <t>AHWATUKEE FS 10           LOT 3900-4041</t>
  </si>
  <si>
    <t>CONTRERASN DENNIS R</t>
  </si>
  <si>
    <t>CHUMBLER ANDREW N</t>
  </si>
  <si>
    <t>GORDON &amp; PATRICIA MARSHALL</t>
  </si>
  <si>
    <t xml:space="preserve">12160 W LOCUST LN </t>
  </si>
  <si>
    <t>ROUNDTREE MERRI L &amp; JOHN W</t>
  </si>
  <si>
    <t>MARSHALL GORDON &amp; PATRICIA</t>
  </si>
  <si>
    <t>VERNON HOLMES</t>
  </si>
  <si>
    <t xml:space="preserve">16728 W MCKINLEY ST </t>
  </si>
  <si>
    <t>GEAR STREET INVS LLC</t>
  </si>
  <si>
    <t>HOLMES VERNON</t>
  </si>
  <si>
    <t>ARIZONA FCU</t>
  </si>
  <si>
    <t>PHOENIX AZ 85008</t>
  </si>
  <si>
    <t>RODGERS</t>
  </si>
  <si>
    <t>JERRY &amp; FRANCES RODGERS</t>
  </si>
  <si>
    <t xml:space="preserve">18469 W CAPISTRANO AVE </t>
  </si>
  <si>
    <t>DENT RUTH C TRUST</t>
  </si>
  <si>
    <t>RODGERS JERRY D &amp; FRANCIE L</t>
  </si>
  <si>
    <t>DAVIDSON</t>
  </si>
  <si>
    <t>MICHAEL &amp; DEBORAH DAVIDSON</t>
  </si>
  <si>
    <t xml:space="preserve">1515 N SPRING </t>
  </si>
  <si>
    <t>HIGH MEADOWS LOT 1-103</t>
  </si>
  <si>
    <t>HIGH MEADOWS</t>
  </si>
  <si>
    <t>CARTER DUANE L R I M D TRUST</t>
  </si>
  <si>
    <t>DAVIDSON MICHAEL R</t>
  </si>
  <si>
    <t>HOUSTON</t>
  </si>
  <si>
    <t>LEORA</t>
  </si>
  <si>
    <t>KENT &amp; LEORA HOUSTON</t>
  </si>
  <si>
    <t xml:space="preserve">14103 W DESERT GLEN DR </t>
  </si>
  <si>
    <t>EISENBERGER LEON</t>
  </si>
  <si>
    <t>HOUSTON KENT R &amp; LEORA S</t>
  </si>
  <si>
    <t>ROBISON</t>
  </si>
  <si>
    <t>GARY &amp; ANNE ROBISON</t>
  </si>
  <si>
    <t xml:space="preserve">922 N OXFORD LN </t>
  </si>
  <si>
    <t>ALBRIGHT LARY B &amp; CHRISTINA</t>
  </si>
  <si>
    <t>ROBISON GARY O &amp; ANNE H</t>
  </si>
  <si>
    <t>DONALD FLORES &amp; GLORIA RODRIGUEZ</t>
  </si>
  <si>
    <t xml:space="preserve">17327 W GRANT ST </t>
  </si>
  <si>
    <t>CANYON TRAILS UNIT 4 WEST PARCEL D1</t>
  </si>
  <si>
    <t>DEJONG JAMES &amp; VERONICA</t>
  </si>
  <si>
    <t>FLORES DONALD C</t>
  </si>
  <si>
    <t>RODRIGUEZ GLORIA</t>
  </si>
  <si>
    <t>OMAHONEY</t>
  </si>
  <si>
    <t>RYAN &amp; LESLIE OMAHONEY</t>
  </si>
  <si>
    <t xml:space="preserve">7141 W MONTE LINDO </t>
  </si>
  <si>
    <t>SCOTT DOROTHY</t>
  </si>
  <si>
    <t>PEOPLES NAT'L BK</t>
  </si>
  <si>
    <t>OMAHONEY RYAN &amp; LESLIE</t>
  </si>
  <si>
    <t>ITZEL</t>
  </si>
  <si>
    <t>BARRERA-RODRIGUEZ</t>
  </si>
  <si>
    <t>ITZEL BARRERA-RODRIGUEZ</t>
  </si>
  <si>
    <t xml:space="preserve">11618 N 30TH AVE </t>
  </si>
  <si>
    <t>LAKE BILTMORE ESTATES</t>
  </si>
  <si>
    <t>LAKEVIEW ELEMENTARY SCHOOL</t>
  </si>
  <si>
    <t>SKY HIGH INDUSTRIES INC</t>
  </si>
  <si>
    <t>BARRERA-RODRIGUEZ ITZEL</t>
  </si>
  <si>
    <t>MIDDAUGH</t>
  </si>
  <si>
    <t>CHRIS &amp; MELISSA MIDDAUGH</t>
  </si>
  <si>
    <t xml:space="preserve">27693 N 125TH DR </t>
  </si>
  <si>
    <t>TRILOGY AT VISTANCIA PARCEL C30 PHASE 1</t>
  </si>
  <si>
    <t>JENSEN JOHN D &amp; KATHLEEN E</t>
  </si>
  <si>
    <t>MIDDAUGH CHRIS T &amp; MELISSA K</t>
  </si>
  <si>
    <t>CHARLES WARREN</t>
  </si>
  <si>
    <t xml:space="preserve">9026 E PAMPA AVE </t>
  </si>
  <si>
    <t>BEAVERS JOHN D &amp; MICHELLE E</t>
  </si>
  <si>
    <t>WARREN CHARLES G</t>
  </si>
  <si>
    <t>JON &amp; TAMARA EVANS</t>
  </si>
  <si>
    <t xml:space="preserve">15723 E PALOMINO BLVD </t>
  </si>
  <si>
    <t>FOUNTAIN HILLS AZ FP 605A BLK 3 &amp; 4 TRS</t>
  </si>
  <si>
    <t>DARGAVEL FAMILY TRUST</t>
  </si>
  <si>
    <t>EVANS JON &amp; TAMARA</t>
  </si>
  <si>
    <t>BRISENO</t>
  </si>
  <si>
    <t>MICHAEL BRISENO</t>
  </si>
  <si>
    <t xml:space="preserve">880 E OAKLAND ST </t>
  </si>
  <si>
    <t>LINDSAY ESTATES AMD</t>
  </si>
  <si>
    <t>LINDSAY ESTATES</t>
  </si>
  <si>
    <t>JOYCE RUSSELL E</t>
  </si>
  <si>
    <t>BRISENO MICHAEL JESSE</t>
  </si>
  <si>
    <t>MATSON</t>
  </si>
  <si>
    <t>KAREN MATSON</t>
  </si>
  <si>
    <t xml:space="preserve">5504 W ARROWHEAD LAKES DR </t>
  </si>
  <si>
    <t xml:space="preserve">20100 N 51ST AVE E510 </t>
  </si>
  <si>
    <t>ARROWHEAD LAKES UNIT 4 LOT 1-59 TR A</t>
  </si>
  <si>
    <t>POPPEN FAMILY TRUST</t>
  </si>
  <si>
    <t>MATSON PAUL D</t>
  </si>
  <si>
    <t>GILMORE</t>
  </si>
  <si>
    <t>TALITHA</t>
  </si>
  <si>
    <t>ANTHONY &amp; TALITHA GILMORE</t>
  </si>
  <si>
    <t xml:space="preserve">2876 E CHERRYWOOD PL </t>
  </si>
  <si>
    <t>RIGGS RANCH MEADOWS</t>
  </si>
  <si>
    <t>HERRING CASEY G &amp; ERIN M</t>
  </si>
  <si>
    <t>GILMORE ANTHONY D &amp; TALITHA C</t>
  </si>
  <si>
    <t>ARMAND</t>
  </si>
  <si>
    <t>BARRIOS</t>
  </si>
  <si>
    <t>ARMAND &amp; ANGELIQUE BARRIOS</t>
  </si>
  <si>
    <t xml:space="preserve">825 E VIRGO PL </t>
  </si>
  <si>
    <t>PASEO CROSSING PHASE 1 AMD</t>
  </si>
  <si>
    <t>PASEO CROSSINGS</t>
  </si>
  <si>
    <t>PADILLA PATRICIA L</t>
  </si>
  <si>
    <t>BARRIOS ARMAND ANDREW &amp; ANGELIQUE M</t>
  </si>
  <si>
    <t>BUCZ</t>
  </si>
  <si>
    <t>JEFFREY BUCZ</t>
  </si>
  <si>
    <t xml:space="preserve">6504 S BUTTE AVE </t>
  </si>
  <si>
    <t>MCKEAN ANGELYNN M</t>
  </si>
  <si>
    <t>MONSTERLOANS</t>
  </si>
  <si>
    <t>BUCZ JEFFREY M</t>
  </si>
  <si>
    <t>ROBERT &amp; GLORIA HELLER</t>
  </si>
  <si>
    <t xml:space="preserve">28201 N 60TH PL </t>
  </si>
  <si>
    <t>H002</t>
  </si>
  <si>
    <t>ESTATES AT PALOS VERDES</t>
  </si>
  <si>
    <t>THE ESTATES AT PALOS VERDES</t>
  </si>
  <si>
    <t>MUSCATO MICHAEL B</t>
  </si>
  <si>
    <t>HELLER ROBERT C &amp; GLORIA J</t>
  </si>
  <si>
    <t>SCHILLING</t>
  </si>
  <si>
    <t>SCHILLING &amp; AMANDA JANE</t>
  </si>
  <si>
    <t xml:space="preserve">1762 W REDFIELD RD </t>
  </si>
  <si>
    <t>SUDDRETH GREGORY &amp; RITA</t>
  </si>
  <si>
    <t>SCHILLING TODD R &amp; AMANDA J</t>
  </si>
  <si>
    <t>GORDEN</t>
  </si>
  <si>
    <t>CHARLES &amp; DORIS GORDEN</t>
  </si>
  <si>
    <t xml:space="preserve">20337 N PALM CANYON DR </t>
  </si>
  <si>
    <t>MCALLISTER TIMOTHY A</t>
  </si>
  <si>
    <t>GORDEN CHARLES F</t>
  </si>
  <si>
    <t>FINKEN</t>
  </si>
  <si>
    <t>NATHAN &amp; JENNIFER FINKEN</t>
  </si>
  <si>
    <t xml:space="preserve">5626 W BETH DR </t>
  </si>
  <si>
    <t>FINKEN NATHAN</t>
  </si>
  <si>
    <t>GILLAM</t>
  </si>
  <si>
    <t>RICKEY GILLAM</t>
  </si>
  <si>
    <t xml:space="preserve">18051 W WESTPARK BLVD </t>
  </si>
  <si>
    <t>SURPRISE FARMS PHASE 4 PARCEL 6</t>
  </si>
  <si>
    <t>WIRE II LLC</t>
  </si>
  <si>
    <t>GILLAM RICKEY V</t>
  </si>
  <si>
    <t>GORE</t>
  </si>
  <si>
    <t>JAMIE &amp; DAVID GORE</t>
  </si>
  <si>
    <t xml:space="preserve">15627 N 8TH ST </t>
  </si>
  <si>
    <t>REGENCY HEIGHTS LOT 1-72 &amp; TR A-D</t>
  </si>
  <si>
    <t>REGENCY HEIGHTS</t>
  </si>
  <si>
    <t>CARLSON CARL J LIVING TRUST</t>
  </si>
  <si>
    <t>GORE JAMIE L &amp; DAVID</t>
  </si>
  <si>
    <t>SMUSH</t>
  </si>
  <si>
    <t>JOHN &amp; JESSICA SMUSH</t>
  </si>
  <si>
    <t xml:space="preserve">5020 W IVANHOE ST </t>
  </si>
  <si>
    <t>HARMON RANCH  LOT 1-243  TR A-K</t>
  </si>
  <si>
    <t>HARMON RANCH</t>
  </si>
  <si>
    <t>DINH NORMA</t>
  </si>
  <si>
    <t>SMUSH JOHN &amp; JESSICA</t>
  </si>
  <si>
    <t>THOMAS &amp; RHONDA WALTON</t>
  </si>
  <si>
    <t xml:space="preserve">5253 E PALO BREA LN </t>
  </si>
  <si>
    <t>WALTON THOMAS R &amp; RONDA K</t>
  </si>
  <si>
    <t>WISEHART FAMILY TRUST</t>
  </si>
  <si>
    <t>WISEHART</t>
  </si>
  <si>
    <t xml:space="preserve">7472 W CRYSTAL RD </t>
  </si>
  <si>
    <t>SIERRA VERDE PARCEL N</t>
  </si>
  <si>
    <t>WINEBARGER ROGER T</t>
  </si>
  <si>
    <t>WISEHART WILLIAM L &amp; LISA M</t>
  </si>
  <si>
    <t>PERRY</t>
  </si>
  <si>
    <t>KARISSA</t>
  </si>
  <si>
    <t>MICHAEL &amp; KARISSA PERRY</t>
  </si>
  <si>
    <t xml:space="preserve">17456 W BAJADA RD </t>
  </si>
  <si>
    <t>BAYSHORE MTG FNDG</t>
  </si>
  <si>
    <t>LUTHERVILLE-TIMONIUM MD 21093</t>
  </si>
  <si>
    <t>MICHAEL PERRY</t>
  </si>
  <si>
    <t>KARISSA PERRY</t>
  </si>
  <si>
    <t>BORCHERDING</t>
  </si>
  <si>
    <t>JOHN &amp; CYNTHIA BORCHERDING</t>
  </si>
  <si>
    <t xml:space="preserve">20111 E VIA DEL RANCHO </t>
  </si>
  <si>
    <t>MONTELENA</t>
  </si>
  <si>
    <t>BORCHERDING JOHN &amp; CYNTHIA</t>
  </si>
  <si>
    <t>BEAL</t>
  </si>
  <si>
    <t>BEKKI</t>
  </si>
  <si>
    <t>JAMES &amp; BEKKI BEAL</t>
  </si>
  <si>
    <t xml:space="preserve">1847 S ROCHESTER DR </t>
  </si>
  <si>
    <t>CHADWELL JANE &amp; DAVID</t>
  </si>
  <si>
    <t>BEAL JAMES</t>
  </si>
  <si>
    <t>CHARLES &amp; SHEILA BAKER</t>
  </si>
  <si>
    <t xml:space="preserve">24252 S 201ST CT </t>
  </si>
  <si>
    <t>PECANS PHASE 3</t>
  </si>
  <si>
    <t>FRANCIS GLORIA B</t>
  </si>
  <si>
    <t>BAKER CHARLES &amp; SHEILA</t>
  </si>
  <si>
    <t>CHARLES BAKER</t>
  </si>
  <si>
    <t>SHEILA BAKER</t>
  </si>
  <si>
    <t>LETECIA</t>
  </si>
  <si>
    <t>PAUL &amp; LETECIA DOTY</t>
  </si>
  <si>
    <t xml:space="preserve">13674 N 147TH DR </t>
  </si>
  <si>
    <t>DOTY PAUL D &amp; LETECIA C</t>
  </si>
  <si>
    <t>JEFFREY LOGAN</t>
  </si>
  <si>
    <t xml:space="preserve">3018 E DUBLIN ST </t>
  </si>
  <si>
    <t>SEAMAN CAROLYN</t>
  </si>
  <si>
    <t>LOGAN JEFFREY A</t>
  </si>
  <si>
    <t>WHEELER &amp; KATHRYN LYNETTE</t>
  </si>
  <si>
    <t xml:space="preserve">15662 N 185TH AVE </t>
  </si>
  <si>
    <t>COLLINS DAVID H</t>
  </si>
  <si>
    <t>WHEELER CRAIG D &amp; KATHRYN L</t>
  </si>
  <si>
    <t>USHER</t>
  </si>
  <si>
    <t>JAMES USHER</t>
  </si>
  <si>
    <t xml:space="preserve">28225 N 65TH LN </t>
  </si>
  <si>
    <t>PALATIAL INVESTMENT CORP</t>
  </si>
  <si>
    <t>USHER JAMES</t>
  </si>
  <si>
    <t>HERCHER</t>
  </si>
  <si>
    <t>JENNIFER &amp; CRAIG HERCHER</t>
  </si>
  <si>
    <t xml:space="preserve">18485 E PINE BARRENS AVE </t>
  </si>
  <si>
    <t>STRONG LLOYD</t>
  </si>
  <si>
    <t>HERCHER JENNIFER &amp; CRAIG</t>
  </si>
  <si>
    <t>ERKELENS</t>
  </si>
  <si>
    <t>MAKAELLA</t>
  </si>
  <si>
    <t>ALEXANDER &amp; MAKAELLA ERKELENS</t>
  </si>
  <si>
    <t xml:space="preserve">22491 E PECAN LN </t>
  </si>
  <si>
    <t>ERKELENS ALEXANDER &amp; MAKAELLA</t>
  </si>
  <si>
    <t>FRYERY</t>
  </si>
  <si>
    <t>TERRY &amp; ROSE FRYERY</t>
  </si>
  <si>
    <t xml:space="preserve">28312 N RAMBLING ROCK CT </t>
  </si>
  <si>
    <t>PEAK VIEW RANCH UNIT 1</t>
  </si>
  <si>
    <t>ABRAMS DANIEL M</t>
  </si>
  <si>
    <t>FRYERY TERRY A &amp; ROSE M</t>
  </si>
  <si>
    <t>JENNEJAHN</t>
  </si>
  <si>
    <t>SURAIYA</t>
  </si>
  <si>
    <t>BARRY &amp; SURAIYA JENNEJAHN</t>
  </si>
  <si>
    <t xml:space="preserve">7118 N VIA DE ALEGRIA </t>
  </si>
  <si>
    <t>SMITH SARI</t>
  </si>
  <si>
    <t>JENNEJAHN BARRY &amp; SURAIYA</t>
  </si>
  <si>
    <t>WOOLLEY</t>
  </si>
  <si>
    <t>DENA</t>
  </si>
  <si>
    <t>DAVID &amp; DENA WOOLLEY</t>
  </si>
  <si>
    <t xml:space="preserve">22344 E ALYSSA RD </t>
  </si>
  <si>
    <t>MILLER NICK &amp; LESLIE</t>
  </si>
  <si>
    <t>WOOLLEY DAVID &amp; DENA LYNN</t>
  </si>
  <si>
    <t>JOHN PERKINS &amp; KRISTEN TURNER</t>
  </si>
  <si>
    <t xml:space="preserve">3109 E LAS ROCAS DR </t>
  </si>
  <si>
    <t>HERITAGE HEIGHTS 3 /PLANNED AREA DEV/</t>
  </si>
  <si>
    <t>HERITAGE HEIGHTS</t>
  </si>
  <si>
    <t>BRUECKMANN WILHELM</t>
  </si>
  <si>
    <t>PERKINS JOHN E</t>
  </si>
  <si>
    <t>TURNER KRISTEN</t>
  </si>
  <si>
    <t>STRONG &amp; MICHELE GUNN</t>
  </si>
  <si>
    <t xml:space="preserve">7417 S 25TH LN </t>
  </si>
  <si>
    <t>LANTANA ESTATES</t>
  </si>
  <si>
    <t>KELLY TAMMY R</t>
  </si>
  <si>
    <t>STRONG DALE W JR &amp; MICHELE G</t>
  </si>
  <si>
    <t>HEATON &amp; ANGELA NICOLE</t>
  </si>
  <si>
    <t xml:space="preserve">6029 E PARADISE LN </t>
  </si>
  <si>
    <t>NORTH RANCH UNIT 8 LOT 195-262 TR A B</t>
  </si>
  <si>
    <t>BROOKFIELD GLOBAL RELOCATI</t>
  </si>
  <si>
    <t>HEATON JAMES A &amp; ANGELA N</t>
  </si>
  <si>
    <t>OGLE</t>
  </si>
  <si>
    <t>KANDIE</t>
  </si>
  <si>
    <t>OGLE &amp; KANDIE RAE</t>
  </si>
  <si>
    <t xml:space="preserve">27396 N 175TH DR </t>
  </si>
  <si>
    <t>OGLE MONTE Z &amp; KANDIE R</t>
  </si>
  <si>
    <t>BEDORE</t>
  </si>
  <si>
    <t>CRAIG &amp; MARY BEDORE</t>
  </si>
  <si>
    <t xml:space="preserve">20576 W WESTERN DR </t>
  </si>
  <si>
    <t>BEDORE CRAIG W</t>
  </si>
  <si>
    <t>MAY</t>
  </si>
  <si>
    <t>SUNDAL</t>
  </si>
  <si>
    <t>DAVID MAY &amp; LAURA SUNDAL</t>
  </si>
  <si>
    <t xml:space="preserve">1768 E DUBOIS AVE </t>
  </si>
  <si>
    <t>GIBSON JAYSON C</t>
  </si>
  <si>
    <t>DAVID MAY</t>
  </si>
  <si>
    <t>LAURA SUNDAL</t>
  </si>
  <si>
    <t>HORVATH</t>
  </si>
  <si>
    <t>MICHAEL HORVATH</t>
  </si>
  <si>
    <t xml:space="preserve">8454 W BAJADA RD </t>
  </si>
  <si>
    <t>WESTWING MOUNTAIN PROPS</t>
  </si>
  <si>
    <t>HORVATH MICHAEL G</t>
  </si>
  <si>
    <t>MALOU</t>
  </si>
  <si>
    <t>PATRICK &amp; MALOU PACHECO</t>
  </si>
  <si>
    <t xml:space="preserve">13551 W ACAPULCO LN </t>
  </si>
  <si>
    <t>LITCHFIELD MANOR PARCEL 12</t>
  </si>
  <si>
    <t>PILOT PROP 3 LLC</t>
  </si>
  <si>
    <t>PACHECO PATRICK J &amp; MALOUC</t>
  </si>
  <si>
    <t>MAURICE &amp; CARRIE STEPHENS</t>
  </si>
  <si>
    <t xml:space="preserve">8043 W VIA DEL SOL </t>
  </si>
  <si>
    <t>CRESPO MINERVA</t>
  </si>
  <si>
    <t>STEPHENS MAURICE &amp; CARRIE</t>
  </si>
  <si>
    <t>JASON PETERSON</t>
  </si>
  <si>
    <t xml:space="preserve">7918 W REDBIRD RD </t>
  </si>
  <si>
    <t>PETERSON JASON</t>
  </si>
  <si>
    <t>ALFREDO &amp; ALFREDO DAWN</t>
  </si>
  <si>
    <t xml:space="preserve">1241 N WOODSIDE DR </t>
  </si>
  <si>
    <t>LOMBARDO T A &amp; M C TRUST</t>
  </si>
  <si>
    <t>ALFREDO RANDY &amp; DAWN M</t>
  </si>
  <si>
    <t>KLOTZ-MCLAUGHLIN</t>
  </si>
  <si>
    <t>BELTZ</t>
  </si>
  <si>
    <t>SPENCER KLOTZ-MCLAUGHLIN &amp; ASHLEY BELTZ</t>
  </si>
  <si>
    <t xml:space="preserve">40235 N FAITH LN </t>
  </si>
  <si>
    <t>GAMER MATT</t>
  </si>
  <si>
    <t>KLOTZ-MCLAUGHLIN SPENCER N</t>
  </si>
  <si>
    <t>BELTZ ASHLEY</t>
  </si>
  <si>
    <t>IMHOLZ</t>
  </si>
  <si>
    <t>MICHAEL &amp; SHERRY IMHOLZ</t>
  </si>
  <si>
    <t xml:space="preserve">8027 W VIA MONTOYA DR </t>
  </si>
  <si>
    <t>RAUCCI STEVE A</t>
  </si>
  <si>
    <t>IMHOLZ MICHAEL P &amp; SHERRY J</t>
  </si>
  <si>
    <t>STOREY</t>
  </si>
  <si>
    <t>JERRY &amp; TRACY STOREY</t>
  </si>
  <si>
    <t xml:space="preserve">8755 W CHARTER OAK RD </t>
  </si>
  <si>
    <t>CACTUS HEIGHTS</t>
  </si>
  <si>
    <t>ARNDT GREG M &amp; DAWNA J</t>
  </si>
  <si>
    <t>STOREY JERRY D &amp; TRACY L</t>
  </si>
  <si>
    <t>JONATHAN &amp; COURTNEY CLARK</t>
  </si>
  <si>
    <t xml:space="preserve">1430 E GROVE AVE </t>
  </si>
  <si>
    <t>PARENTI-HAMMAD ELSAYED</t>
  </si>
  <si>
    <t>CLARK JONATHAN D</t>
  </si>
  <si>
    <t>BUTCHER</t>
  </si>
  <si>
    <t>GEORGE &amp; SUSAN BUTCHER</t>
  </si>
  <si>
    <t xml:space="preserve">3105 E WATERVIEW DR </t>
  </si>
  <si>
    <t xml:space="preserve">3019 E ELEANA CT </t>
  </si>
  <si>
    <t>SPRINGFIELD LAKES BLOCK 1A</t>
  </si>
  <si>
    <t>THUNEM THOMAS W</t>
  </si>
  <si>
    <t>BUTCHER GEORGE</t>
  </si>
  <si>
    <t>DANGELO FAMILY TRUST</t>
  </si>
  <si>
    <t xml:space="preserve">700 W MYRTLE DR </t>
  </si>
  <si>
    <t>FOX CROSSING UNIT 2</t>
  </si>
  <si>
    <t>LRG HOLDINGS PTSHP LLP</t>
  </si>
  <si>
    <t>DEANGELO DAVID R</t>
  </si>
  <si>
    <t>REVAY</t>
  </si>
  <si>
    <t>ROBERT &amp; KAREN REVAY</t>
  </si>
  <si>
    <t xml:space="preserve">21200 E CAMACHO RD </t>
  </si>
  <si>
    <t>WALLIS FRANKLIN L</t>
  </si>
  <si>
    <t>REVAY ROBERT S</t>
  </si>
  <si>
    <t>DAILEY</t>
  </si>
  <si>
    <t>LESPERANCE</t>
  </si>
  <si>
    <t>MARK DAILEY &amp; ELIZABETH LESPERANCE</t>
  </si>
  <si>
    <t xml:space="preserve">22617 N 70TH DR </t>
  </si>
  <si>
    <t>HILLCREST RANCH PARCEL L</t>
  </si>
  <si>
    <t>SAVAGE MICHELLE A</t>
  </si>
  <si>
    <t>DAILEY MARK A</t>
  </si>
  <si>
    <t>LESPERANCE ELIZABETH A</t>
  </si>
  <si>
    <t>GOBER</t>
  </si>
  <si>
    <t>STEVE GOBER</t>
  </si>
  <si>
    <t xml:space="preserve">13660 S 176TH AVE </t>
  </si>
  <si>
    <t>CORONADO VILLAGE AT ESTRELLA MTN RANCH P</t>
  </si>
  <si>
    <t>GOBER STEVE L</t>
  </si>
  <si>
    <t>TURANO</t>
  </si>
  <si>
    <t>MARIO &amp; SARA TURANO</t>
  </si>
  <si>
    <t xml:space="preserve">2945 E LYNX WAY </t>
  </si>
  <si>
    <t>ENDLER JOSEPH D</t>
  </si>
  <si>
    <t>TURANO MARIO &amp; SARA</t>
  </si>
  <si>
    <t>CUTLER</t>
  </si>
  <si>
    <t>DANIEL &amp; JAMIE CUTLER</t>
  </si>
  <si>
    <t xml:space="preserve">4379 E BRILES RD </t>
  </si>
  <si>
    <t>TATUM HIGHLANDS PARCEL 17</t>
  </si>
  <si>
    <t>WESTFALL FAMILY TRUST</t>
  </si>
  <si>
    <t>CUTLER DANIEL D &amp; JAMIE L</t>
  </si>
  <si>
    <t>MICHAEL &amp; DAWN SCHAFER</t>
  </si>
  <si>
    <t xml:space="preserve">1508 N 62ND PL </t>
  </si>
  <si>
    <t>TANK SHARON L</t>
  </si>
  <si>
    <t>SCHAFER MICHAEL J &amp; DAWN R</t>
  </si>
  <si>
    <t>PAUL-PETERSEN</t>
  </si>
  <si>
    <t>RYAN GUTHRIE &amp; CURTIS PAUL-PETERSEN</t>
  </si>
  <si>
    <t xml:space="preserve">8214 E SHARON DR </t>
  </si>
  <si>
    <t>DESERT WIND LOT 1-75</t>
  </si>
  <si>
    <t>DOLE DONALD L &amp; BETH L</t>
  </si>
  <si>
    <t>GUTHRIE RYAN J</t>
  </si>
  <si>
    <t>PAUL-PETERSEN CURTIS J &amp; DOROTHY H</t>
  </si>
  <si>
    <t>TEX</t>
  </si>
  <si>
    <t>MCCORMICK</t>
  </si>
  <si>
    <t>TEX &amp; BARBARA MCCORMICK</t>
  </si>
  <si>
    <t xml:space="preserve">1632 E CIELO GRANDE AVE </t>
  </si>
  <si>
    <t>EAGLE BLUFF 3</t>
  </si>
  <si>
    <t>EAGLE BLUFF</t>
  </si>
  <si>
    <t>ZYCHOWSKI ANTHONY &amp; MICHELLE</t>
  </si>
  <si>
    <t>MCCORMICK TEX &amp; BARBARA</t>
  </si>
  <si>
    <t>GRIES</t>
  </si>
  <si>
    <t>RYAN &amp; GINA GRIES</t>
  </si>
  <si>
    <t xml:space="preserve">3147 E KINGBIRD PL </t>
  </si>
  <si>
    <t>PETERSON FARMS UNIT 1</t>
  </si>
  <si>
    <t>PETERSON FARMS</t>
  </si>
  <si>
    <t>TIERNEY KENNETH &amp; LINDSEY</t>
  </si>
  <si>
    <t>GRIES RYAN RAYMOND &amp; GINA M</t>
  </si>
  <si>
    <t>HOLM</t>
  </si>
  <si>
    <t>BLAKE &amp; TERESA HOLM</t>
  </si>
  <si>
    <t xml:space="preserve">17936 W LAS PALMARITAS DR </t>
  </si>
  <si>
    <t xml:space="preserve">17936 W LAS PALMAS DR </t>
  </si>
  <si>
    <t>LEWCHENKO WALTER &amp; JACQUELIN</t>
  </si>
  <si>
    <t>HOLM BLAKE D &amp; TERESA M</t>
  </si>
  <si>
    <t>SPEAR</t>
  </si>
  <si>
    <t>STEVEN &amp; DEANNA SPEAR</t>
  </si>
  <si>
    <t xml:space="preserve">8425 N 179TH DR </t>
  </si>
  <si>
    <t>SHERWOOD RICHARD D &amp; DARLA J</t>
  </si>
  <si>
    <t>SPEAR STEVEN &amp; DEANNA M</t>
  </si>
  <si>
    <t>DWAYNE</t>
  </si>
  <si>
    <t>JACOBS</t>
  </si>
  <si>
    <t>DWAYNE &amp; LAURA JACOBS</t>
  </si>
  <si>
    <t xml:space="preserve">3440 E BART ST </t>
  </si>
  <si>
    <t>LYONS GATE PHASE 7</t>
  </si>
  <si>
    <t>JACOBS DWAYNE D &amp; LAURA A</t>
  </si>
  <si>
    <t>DONALD &amp; TRACEY WYATT</t>
  </si>
  <si>
    <t xml:space="preserve">3122 E BELLERIVE DR </t>
  </si>
  <si>
    <t>NACHREINER RYAN</t>
  </si>
  <si>
    <t>WYATT DONALD D &amp; TRACEY</t>
  </si>
  <si>
    <t>ERNSTROM</t>
  </si>
  <si>
    <t>ANDREW ERNSTROM</t>
  </si>
  <si>
    <t xml:space="preserve">8982 W CLARA LN </t>
  </si>
  <si>
    <t>DOVE VALLEY RANCH PARCEL 6</t>
  </si>
  <si>
    <t>KOENIG MARK P</t>
  </si>
  <si>
    <t>ERNSTROM ANDREW M</t>
  </si>
  <si>
    <t>OTTERSON</t>
  </si>
  <si>
    <t>MICHAEL OTTERSON</t>
  </si>
  <si>
    <t xml:space="preserve">5727 E WALTANN LN </t>
  </si>
  <si>
    <t>CACTUS GLEN 4 LOT 119-233</t>
  </si>
  <si>
    <t>CACTUS GLEN NORTH</t>
  </si>
  <si>
    <t>SOLATI SHAHRAM</t>
  </si>
  <si>
    <t>FLORIDA CAP BK MTG</t>
  </si>
  <si>
    <t>JACKSONVILLE FL 32256</t>
  </si>
  <si>
    <t>OTTERSON MICHAEL C</t>
  </si>
  <si>
    <t>BREANNA A OTTERSON</t>
  </si>
  <si>
    <t>MICHAEL C OTTERSON</t>
  </si>
  <si>
    <t>CRELLIN</t>
  </si>
  <si>
    <t>DANIEL &amp; ROSEMARY CRELLIN</t>
  </si>
  <si>
    <t xml:space="preserve">6741 W GELDING DR </t>
  </si>
  <si>
    <t>BODENSTEDT SCOTT</t>
  </si>
  <si>
    <t>DANIEL V CRELLIN</t>
  </si>
  <si>
    <t>ROSEMARY A CRELLIN</t>
  </si>
  <si>
    <t>MATTOX</t>
  </si>
  <si>
    <t>LARRY &amp; LISA MATTOX</t>
  </si>
  <si>
    <t xml:space="preserve">18236 W EL CAMINITO DR </t>
  </si>
  <si>
    <t>BRUNO RAY T &amp; PAMELA J</t>
  </si>
  <si>
    <t>MATTOX LARRY &amp; LISA</t>
  </si>
  <si>
    <t>VINES</t>
  </si>
  <si>
    <t>EDGAR-VINES</t>
  </si>
  <si>
    <t>WILLIAM VINES &amp; LISA EDGAR-VINES</t>
  </si>
  <si>
    <t xml:space="preserve">13109 W BLUE BONNET DR </t>
  </si>
  <si>
    <t>SUN CITY WEST 17B LOT 1-146 TR A</t>
  </si>
  <si>
    <t>DRAPER CHARLINE M TRUST</t>
  </si>
  <si>
    <t>VINES WILLIAM &amp; LISA C EDGAR</t>
  </si>
  <si>
    <t>LUMPKIN</t>
  </si>
  <si>
    <t>GEORGE &amp; KIMBERLY LUMPKIN</t>
  </si>
  <si>
    <t xml:space="preserve">15853 W MESCAL ST </t>
  </si>
  <si>
    <t>GREER RANCH SOUTH PARCEL 15</t>
  </si>
  <si>
    <t>PENNINGTON MICHAEL M</t>
  </si>
  <si>
    <t>LUMPKIN GEORGE JR</t>
  </si>
  <si>
    <t>LUMKIN KIMBERLY</t>
  </si>
  <si>
    <t>EL</t>
  </si>
  <si>
    <t>EL &amp; LESLIE ROSS</t>
  </si>
  <si>
    <t xml:space="preserve">5426 W WINSTON DR </t>
  </si>
  <si>
    <t>LAVEEN COMMONS</t>
  </si>
  <si>
    <t>STOUTE MIESHA T</t>
  </si>
  <si>
    <t>ROSS EL JR &amp; LESLIE J</t>
  </si>
  <si>
    <t>FRANQUERO</t>
  </si>
  <si>
    <t>CHRISTOPHER &amp; SHANNON FRANQUERO</t>
  </si>
  <si>
    <t xml:space="preserve">12821 W MARLETTE AVE </t>
  </si>
  <si>
    <t>SUMMIT FUNDING INC</t>
  </si>
  <si>
    <t>FRANQUERO CHRISTOPHER LOUIS &amp; SHANNON</t>
  </si>
  <si>
    <t>KUNIK</t>
  </si>
  <si>
    <t>JENNI</t>
  </si>
  <si>
    <t>NATHAN &amp; JENNI KUNIK</t>
  </si>
  <si>
    <t xml:space="preserve">40052 N CURIE CT </t>
  </si>
  <si>
    <t>CHRISTOFF JOHN J</t>
  </si>
  <si>
    <t>KUNIK NATHAN M &amp; JENNI K</t>
  </si>
  <si>
    <t>BASTANCHURY</t>
  </si>
  <si>
    <t>JOHN &amp; MICHELLE BASTANCHURY</t>
  </si>
  <si>
    <t xml:space="preserve">15037 W WINDWARD AVE </t>
  </si>
  <si>
    <t>HERMAN JOHN &amp; BRENDA</t>
  </si>
  <si>
    <t>LEADERONE FIN'L CORP</t>
  </si>
  <si>
    <t>BASTANCHURY JOHN &amp; MICHELLE</t>
  </si>
  <si>
    <t>BUNT</t>
  </si>
  <si>
    <t>KATSUMI</t>
  </si>
  <si>
    <t>WAYNE &amp; KATSUMI BUNT</t>
  </si>
  <si>
    <t xml:space="preserve">18491 W TASHA DR </t>
  </si>
  <si>
    <t>BUNT WAYNE E &amp; KATSUMI O</t>
  </si>
  <si>
    <t>KREGER</t>
  </si>
  <si>
    <t>KREGER &amp; MARY ANN</t>
  </si>
  <si>
    <t xml:space="preserve">13836 W PINETREE DR </t>
  </si>
  <si>
    <t>SUN CITY WEST 30  LOT 1-303 TR A-F</t>
  </si>
  <si>
    <t>WARFIELD THOMAS A</t>
  </si>
  <si>
    <t>KREGER GENE A &amp; MARY A</t>
  </si>
  <si>
    <t>WESTBROOK</t>
  </si>
  <si>
    <t>GERBER</t>
  </si>
  <si>
    <t>JOSEPH WESTBROOK &amp; ALLISON GERBER</t>
  </si>
  <si>
    <t xml:space="preserve">27524 N 17TH LN </t>
  </si>
  <si>
    <t>MCCREARY JONATHAN F T T</t>
  </si>
  <si>
    <t>WESTBROOK JOSEPH</t>
  </si>
  <si>
    <t>GERBER ALLISON</t>
  </si>
  <si>
    <t>MCALEAR</t>
  </si>
  <si>
    <t>DANA &amp; RODNEY MCALEAR</t>
  </si>
  <si>
    <t xml:space="preserve">65 W CITATION LN </t>
  </si>
  <si>
    <t>DUSKFIRE LOT 1-78 &amp; TR A</t>
  </si>
  <si>
    <t>DUSKFIRE NORTH</t>
  </si>
  <si>
    <t>KRONHOLM EDWARD A</t>
  </si>
  <si>
    <t>MCALEAR DANA L</t>
  </si>
  <si>
    <t>WIKLE</t>
  </si>
  <si>
    <t>EUGENE &amp; SUSAN WIKLE</t>
  </si>
  <si>
    <t xml:space="preserve">10210 S 46TH DR </t>
  </si>
  <si>
    <t>COPLEN FARMS ESTATES REPLAT</t>
  </si>
  <si>
    <t>COPLEN FARMS ESTATES</t>
  </si>
  <si>
    <t>CANADY LINDA M</t>
  </si>
  <si>
    <t>WIKLE EUGENE J &amp; SUSAN B</t>
  </si>
  <si>
    <t>WILSON &amp; CARRIE LEE</t>
  </si>
  <si>
    <t xml:space="preserve">5920 S LAKESHORE DR </t>
  </si>
  <si>
    <t>WATSON HOLDINGS LLC</t>
  </si>
  <si>
    <t>WILSON MARCOS P</t>
  </si>
  <si>
    <t>STEVENSON</t>
  </si>
  <si>
    <t>JASON &amp; JENNIE STEVENSON</t>
  </si>
  <si>
    <t xml:space="preserve">15114 W CAMPBELL AVE </t>
  </si>
  <si>
    <t>SUPREME VENTURES LLC</t>
  </si>
  <si>
    <t>STEVENSON JASON &amp; JENNIE</t>
  </si>
  <si>
    <t>BATEMAN</t>
  </si>
  <si>
    <t>GENE &amp; LARA BATEMAN</t>
  </si>
  <si>
    <t xml:space="preserve">7644 E POSADA AVE </t>
  </si>
  <si>
    <t>SOSSAMAN ESTATES</t>
  </si>
  <si>
    <t>SEAPARK ENTS LTD</t>
  </si>
  <si>
    <t>BATEMAN GENE M &amp; LARA J</t>
  </si>
  <si>
    <t>MAUSBACH</t>
  </si>
  <si>
    <t>THEODORE &amp; JILL MAUSBACH</t>
  </si>
  <si>
    <t xml:space="preserve">24135 N 73RD PL </t>
  </si>
  <si>
    <t>MAUSBACH THEODORE A &amp; ALBERT</t>
  </si>
  <si>
    <t>MAUSBACH THEODORE A &amp; JILL M</t>
  </si>
  <si>
    <t>MICHELLE &amp; KENNETH SCHOENFELD</t>
  </si>
  <si>
    <t xml:space="preserve">3402 E DOWNING ST </t>
  </si>
  <si>
    <t>RUSH RANSOM S</t>
  </si>
  <si>
    <t>SCHOENFELD KEN &amp; MICHELLE</t>
  </si>
  <si>
    <t>RIGLER</t>
  </si>
  <si>
    <t>WILLIAM &amp; GINA RIGLER</t>
  </si>
  <si>
    <t xml:space="preserve">4983 E MORNING VISTA LN </t>
  </si>
  <si>
    <t>H011</t>
  </si>
  <si>
    <t>TATUM RANCH PARCEL 24B</t>
  </si>
  <si>
    <t>PATTERSON GALA S</t>
  </si>
  <si>
    <t>RIGLER WILLIAM H &amp; GINA M</t>
  </si>
  <si>
    <t>BOYCE - MILLER FAMILY LIVING TRUST</t>
  </si>
  <si>
    <t>BOYCE MILLER</t>
  </si>
  <si>
    <t xml:space="preserve">1730 E CIRCLE MOUNTAIN RD </t>
  </si>
  <si>
    <t>ZIMMERMAN GENE D</t>
  </si>
  <si>
    <t>BOYCE DANIEL A</t>
  </si>
  <si>
    <t>MILLER BERNADETTE P</t>
  </si>
  <si>
    <t>TENENBAUM</t>
  </si>
  <si>
    <t>GERALD &amp; LINDA TENENBAUM</t>
  </si>
  <si>
    <t xml:space="preserve">11288 E APPALOOSA PL </t>
  </si>
  <si>
    <t>SCHAEFER CAROL A</t>
  </si>
  <si>
    <t>TENENBAUM GERALD &amp; LINDA</t>
  </si>
  <si>
    <t>RAYNETTE</t>
  </si>
  <si>
    <t>RAYNETTE LOGAN</t>
  </si>
  <si>
    <t xml:space="preserve">15045 S 6TH PL </t>
  </si>
  <si>
    <t>FOOTHILLS PARCEL 10D REPLAT</t>
  </si>
  <si>
    <t>BLACK ROCK CANYON</t>
  </si>
  <si>
    <t>ABSHIRE VANCE</t>
  </si>
  <si>
    <t>LOGAN STEVEN P</t>
  </si>
  <si>
    <t>SIPLE</t>
  </si>
  <si>
    <t>CATHERYNE</t>
  </si>
  <si>
    <t>SIPLE &amp; CATHERYNE VANESSA</t>
  </si>
  <si>
    <t xml:space="preserve">16424 N 172ND AVE </t>
  </si>
  <si>
    <t>PATEL DILIPKUMAR</t>
  </si>
  <si>
    <t>SIPLE JARED B &amp; CATHERINE V</t>
  </si>
  <si>
    <t>RANDY CRANE</t>
  </si>
  <si>
    <t xml:space="preserve">11132 S OBISPO DR </t>
  </si>
  <si>
    <t>ESTRELLA PARCEL 55</t>
  </si>
  <si>
    <t>SCHATSCHNEIDER EDGAR A</t>
  </si>
  <si>
    <t>CRANE RANDY L</t>
  </si>
  <si>
    <t>CHIC</t>
  </si>
  <si>
    <t>FRISELL</t>
  </si>
  <si>
    <t>CHIC &amp; GAYLE FRISELL</t>
  </si>
  <si>
    <t xml:space="preserve">8154 E NEVILLE AVE </t>
  </si>
  <si>
    <t>SUNLAND VILLAGE EAST SIX</t>
  </si>
  <si>
    <t>PENNINGTON TRUST</t>
  </si>
  <si>
    <t>FRISELL CHIC R &amp; GAYLE A</t>
  </si>
  <si>
    <t>BLACKBURN</t>
  </si>
  <si>
    <t>STOVER-BLACKBURN</t>
  </si>
  <si>
    <t>KEITH BLACKBURN &amp; KATHERINE STOVER-BLACKBURN</t>
  </si>
  <si>
    <t xml:space="preserve">4519 E SANDIA ST </t>
  </si>
  <si>
    <t>AHWATUKEE ATV 2           LOT 6001-6089</t>
  </si>
  <si>
    <t>SILVER CREEK PLAZA</t>
  </si>
  <si>
    <t>MEIBORG ROBERT</t>
  </si>
  <si>
    <t>BLACKBURN KEITH A</t>
  </si>
  <si>
    <t>STOVER-BLACKBURN KATHERINE J</t>
  </si>
  <si>
    <t>ABEDNEGO</t>
  </si>
  <si>
    <t>ABEDNEGO CASTILLO</t>
  </si>
  <si>
    <t xml:space="preserve">3556 S CALDERON CIR </t>
  </si>
  <si>
    <t>MERIDIAN POINTE UNIT 3</t>
  </si>
  <si>
    <t>KAPPES JESSICA &amp; JOSHUA</t>
  </si>
  <si>
    <t>CASTILLO ABEDNEGO</t>
  </si>
  <si>
    <t>LAMBERTY</t>
  </si>
  <si>
    <t>MARVIN &amp; MARILYN LAMBERTY</t>
  </si>
  <si>
    <t xml:space="preserve">5511 W CARSON RD </t>
  </si>
  <si>
    <t>MANGINI THOMAS A &amp; SUSAN M</t>
  </si>
  <si>
    <t>LAMBERTY MARVIN J</t>
  </si>
  <si>
    <t>NADER</t>
  </si>
  <si>
    <t>MICKAIL</t>
  </si>
  <si>
    <t>NADER MICKAIL &amp; MARIE CHRISTY</t>
  </si>
  <si>
    <t xml:space="preserve">7579 W DARREL RD </t>
  </si>
  <si>
    <t>MICKAIL NADER Y &amp; CHRISTY M</t>
  </si>
  <si>
    <t>RINEHART</t>
  </si>
  <si>
    <t>DARICE</t>
  </si>
  <si>
    <t>JAMES &amp; DARICE RINEHART</t>
  </si>
  <si>
    <t xml:space="preserve">43322 N 43RD DR </t>
  </si>
  <si>
    <t>PLAIN CHAD S</t>
  </si>
  <si>
    <t>RINEHART JAMES P &amp; DARICE L</t>
  </si>
  <si>
    <t>BAIRD MARY TRUST</t>
  </si>
  <si>
    <t>BAIRDMARY</t>
  </si>
  <si>
    <t xml:space="preserve">9306 E MEDINA AVE </t>
  </si>
  <si>
    <t>AUGUSTA RANCH PARCEL 1</t>
  </si>
  <si>
    <t>THOMAS JEFFERY</t>
  </si>
  <si>
    <t>BAIRD MARY</t>
  </si>
  <si>
    <t>ZACHRY</t>
  </si>
  <si>
    <t>SHARDAY</t>
  </si>
  <si>
    <t>PHILLIP &amp; SHARDAY ZACHRY</t>
  </si>
  <si>
    <t xml:space="preserve">3926 E WYATT WAY </t>
  </si>
  <si>
    <t>SAN TAN RANCH PARCEL 15</t>
  </si>
  <si>
    <t>COOLEY TRACI J</t>
  </si>
  <si>
    <t>ZACHRY PHILLIP K &amp; SHARDAY M</t>
  </si>
  <si>
    <t>FRUZZETTI</t>
  </si>
  <si>
    <t>JOSEPH &amp; DONNA FRUZZETTI</t>
  </si>
  <si>
    <t xml:space="preserve">4715 W MOUNTAIN VIEW RD </t>
  </si>
  <si>
    <t>ANDRADE BERTHA &amp; WILLIAM J</t>
  </si>
  <si>
    <t>JOSEPH A FRUZZETTI</t>
  </si>
  <si>
    <t>DONNA L FRUZZETTI</t>
  </si>
  <si>
    <t>WISDOM</t>
  </si>
  <si>
    <t>CHARLES &amp; FRANCES WISDOM</t>
  </si>
  <si>
    <t xml:space="preserve">12419 W FOXFIRE DR </t>
  </si>
  <si>
    <t>SUN CITY WEST 10  LOT 1-674 &amp; TR A-H</t>
  </si>
  <si>
    <t>URBAN FINANCIAL GROUP INC</t>
  </si>
  <si>
    <t>CHARLES J WISDOM</t>
  </si>
  <si>
    <t>FRANCES G WISDOM</t>
  </si>
  <si>
    <t>SATCHFIELD</t>
  </si>
  <si>
    <t>JOHN &amp; ANDREA SATCHFIELD</t>
  </si>
  <si>
    <t xml:space="preserve">21574 N 120TH LN </t>
  </si>
  <si>
    <t>KIEF KARA</t>
  </si>
  <si>
    <t>SATCHFIELD JOHN W JR &amp; ANDREA L</t>
  </si>
  <si>
    <t>DOROUDIAN</t>
  </si>
  <si>
    <t>MICHAEL DOROUDIAN</t>
  </si>
  <si>
    <t xml:space="preserve">9725 W TONOPAH DR </t>
  </si>
  <si>
    <t>PARKRIDGE</t>
  </si>
  <si>
    <t>SCRIBNER RICHARD &amp; CINDY</t>
  </si>
  <si>
    <t>NEWREZ LLC</t>
  </si>
  <si>
    <t>THOMAS KLEIN</t>
  </si>
  <si>
    <t xml:space="preserve">3525 N DIEGO </t>
  </si>
  <si>
    <t>SUMMIT 2</t>
  </si>
  <si>
    <t>SUMMIT</t>
  </si>
  <si>
    <t>FULLER CASEY R &amp; BRITTANY J</t>
  </si>
  <si>
    <t>JINTANA</t>
  </si>
  <si>
    <t>PAUL &amp; JINTANA DYER</t>
  </si>
  <si>
    <t xml:space="preserve">18634 W CHERYL DR </t>
  </si>
  <si>
    <t>DYER PAUL J</t>
  </si>
  <si>
    <t>KEALEY</t>
  </si>
  <si>
    <t>KEVIN &amp; DEBRA KEALEY</t>
  </si>
  <si>
    <t xml:space="preserve">3474 E WASHINGTON AVE </t>
  </si>
  <si>
    <t>LAUER JUSTINE A</t>
  </si>
  <si>
    <t>KEALEY KEVIN C &amp; DEBRA A</t>
  </si>
  <si>
    <t>JAZMYN</t>
  </si>
  <si>
    <t>JAZMYN MEDINA</t>
  </si>
  <si>
    <t xml:space="preserve">4011 E ANDERSON DR </t>
  </si>
  <si>
    <t>LEVY MAKLUF &amp; FLORA</t>
  </si>
  <si>
    <t>MEDINA JAZMYN</t>
  </si>
  <si>
    <t>MCCLELLAN</t>
  </si>
  <si>
    <t>CODY MCCLELLAN</t>
  </si>
  <si>
    <t xml:space="preserve">1641 W GAIL DR </t>
  </si>
  <si>
    <t>HAMILTON HOMES 2 AT ANDERSEN SPRINGS 1-1</t>
  </si>
  <si>
    <t>LACSON LINDA T</t>
  </si>
  <si>
    <t>MCCLELLAN CODY</t>
  </si>
  <si>
    <t>MALLINS</t>
  </si>
  <si>
    <t>MICHAEL &amp; MARION MALLINS</t>
  </si>
  <si>
    <t xml:space="preserve">18634 W TURQUOISE AVE </t>
  </si>
  <si>
    <t>MALLINS MICHAEL J &amp; MARION M</t>
  </si>
  <si>
    <t>ATKINS</t>
  </si>
  <si>
    <t>CARL &amp; PATRICIA ATKINS</t>
  </si>
  <si>
    <t xml:space="preserve">3310 W JUNIPER AVE </t>
  </si>
  <si>
    <t>RANCHO ENCANTO UNIT THREE LOT 319-398 &amp;</t>
  </si>
  <si>
    <t>RANCHO ENCANTO</t>
  </si>
  <si>
    <t>BROWN KAREN LIVING TRUST</t>
  </si>
  <si>
    <t>ATKINS CARL &amp; PATRICIA</t>
  </si>
  <si>
    <t>IKEBOB LLC</t>
  </si>
  <si>
    <t xml:space="preserve">4726 E PIEDMONT RD </t>
  </si>
  <si>
    <t xml:space="preserve">10231 S 46TH WAY </t>
  </si>
  <si>
    <t>COVE AT SOUTH MOUNTAIN LOT 1-186 TR A B</t>
  </si>
  <si>
    <t>COVE AT SOUTH MOUNTAIN</t>
  </si>
  <si>
    <t>SMITH STEVEN A</t>
  </si>
  <si>
    <t>THYS EMILY J</t>
  </si>
  <si>
    <t>OHDE ANDREW J</t>
  </si>
  <si>
    <t>PERALTA</t>
  </si>
  <si>
    <t>BALBINO &amp; CHELSEA PERALTA</t>
  </si>
  <si>
    <t xml:space="preserve">4148 E SANDY WAY </t>
  </si>
  <si>
    <t>PARTEE DANIEL</t>
  </si>
  <si>
    <t>PERALTA BALBINO &amp; CHELSEA</t>
  </si>
  <si>
    <t>HOCEVAR</t>
  </si>
  <si>
    <t>CAROLE</t>
  </si>
  <si>
    <t>DAVID &amp; CAROLE HOCEVAR</t>
  </si>
  <si>
    <t xml:space="preserve">26449 S MOONSHADOW DR </t>
  </si>
  <si>
    <t>SUN LAKES 22  LOT 1-283 TR A-C</t>
  </si>
  <si>
    <t>LASTOFKA ARTHUR &amp; C E TRUST</t>
  </si>
  <si>
    <t>HOCEVAR DAVID F &amp; CAROLE J</t>
  </si>
  <si>
    <t>STEVE &amp; TIFFANY WILLIAMS</t>
  </si>
  <si>
    <t xml:space="preserve">9162 W VILLA RITA DR </t>
  </si>
  <si>
    <t xml:space="preserve">6424 W LIBBY ST </t>
  </si>
  <si>
    <t>BROOKSIDE VILLAGE UNIT TWO</t>
  </si>
  <si>
    <t>BROOKSIDE VILLAGE</t>
  </si>
  <si>
    <t>GRIFFITHS JAMES &amp; CAROLYN M</t>
  </si>
  <si>
    <t>STEVE D WILLIAMS</t>
  </si>
  <si>
    <t>TIFFANY L WILLIAMS</t>
  </si>
  <si>
    <t>DOYCE</t>
  </si>
  <si>
    <t>DOYCE &amp; JACKIE BROWN</t>
  </si>
  <si>
    <t xml:space="preserve">16184 N 162ND LN </t>
  </si>
  <si>
    <t>MCALPINE KATHRYN</t>
  </si>
  <si>
    <t>DOYCE A BROWN</t>
  </si>
  <si>
    <t>JACKIE M BROWN</t>
  </si>
  <si>
    <t>SILMAN</t>
  </si>
  <si>
    <t>CRAIG SILMAN</t>
  </si>
  <si>
    <t xml:space="preserve">12157 N 151ST DR </t>
  </si>
  <si>
    <t>DE LA TORRE CANDELARIO &amp; CAR</t>
  </si>
  <si>
    <t>CRAIG M SILMAN</t>
  </si>
  <si>
    <t>TAIT FAMILY TRUST</t>
  </si>
  <si>
    <t>TAIT</t>
  </si>
  <si>
    <t xml:space="preserve">3700 E DERRINGER WAY </t>
  </si>
  <si>
    <t>SAN TAN RANCH PARCEL 1</t>
  </si>
  <si>
    <t>PROBST JOSHUA &amp; CHANDICE</t>
  </si>
  <si>
    <t>TAIT RYAN P &amp; JAMIE A</t>
  </si>
  <si>
    <t>CLYDE &amp; CAROL WALKER</t>
  </si>
  <si>
    <t xml:space="preserve">3833 N 85TH PL </t>
  </si>
  <si>
    <t>POINTE SCOTTSDALE UNIT 1</t>
  </si>
  <si>
    <t>POINTE SCOTTSDALE</t>
  </si>
  <si>
    <t>HARTNACK PATTI J</t>
  </si>
  <si>
    <t>WALKER CLYDE R</t>
  </si>
  <si>
    <t>KRISTEN MCGARVEY</t>
  </si>
  <si>
    <t xml:space="preserve">2430 E PEACH TREE DR </t>
  </si>
  <si>
    <t>COOPER COMMONS 2 PARCEL 5</t>
  </si>
  <si>
    <t>MURDY CHRISTOPHER S OF MCALLI</t>
  </si>
  <si>
    <t>MCGARVEY KRISTEN L</t>
  </si>
  <si>
    <t>ROCCO</t>
  </si>
  <si>
    <t>BRIA</t>
  </si>
  <si>
    <t>ROCCO &amp; KAREN BRIA</t>
  </si>
  <si>
    <t xml:space="preserve">18011 N 135TH AVE </t>
  </si>
  <si>
    <t>SUN CITY WEST  8  LOT 1-477 &amp; TR A-D</t>
  </si>
  <si>
    <t>BRUYN CONWAY PROPS LLC</t>
  </si>
  <si>
    <t>BRIA ROCCO A</t>
  </si>
  <si>
    <t>JAMES &amp; THERESA JORGENSEN</t>
  </si>
  <si>
    <t xml:space="preserve">1309 W HOLLY ST </t>
  </si>
  <si>
    <t>WEST ENCANTO AMD</t>
  </si>
  <si>
    <t>WEST ENCANTO</t>
  </si>
  <si>
    <t>RUSSO FRANK</t>
  </si>
  <si>
    <t>JORGENSEN JAMES K &amp; THERESA</t>
  </si>
  <si>
    <t>RAFAEL &amp; AIDA RIVERA</t>
  </si>
  <si>
    <t xml:space="preserve">3103 N MEADOW LN </t>
  </si>
  <si>
    <t>BOURASA PATRICIA C</t>
  </si>
  <si>
    <t>RIVERA RAFAEL &amp; AIDA</t>
  </si>
  <si>
    <t>DAVID PARKER</t>
  </si>
  <si>
    <t xml:space="preserve">12927 W BONANZA DR </t>
  </si>
  <si>
    <t>SUN CITY WEST  6  LOT 1-280 &amp; TR A &amp; B</t>
  </si>
  <si>
    <t>GUY LEONARD S</t>
  </si>
  <si>
    <t>DAVID L PARKER</t>
  </si>
  <si>
    <t>CHENEY</t>
  </si>
  <si>
    <t>CARMEN &amp; SHAWN CHENEY</t>
  </si>
  <si>
    <t xml:space="preserve">19701 N 77TH AVE </t>
  </si>
  <si>
    <t>ARROWHEAD ON THE GREEN AMD</t>
  </si>
  <si>
    <t>ARROWHEAD ON THE GREEN</t>
  </si>
  <si>
    <t>WAGNER GREGORY S</t>
  </si>
  <si>
    <t>CHENEY CARMEN &amp; SHAWN</t>
  </si>
  <si>
    <t>EDMUND</t>
  </si>
  <si>
    <t>MYLA</t>
  </si>
  <si>
    <t>BAPTISTE-LORD</t>
  </si>
  <si>
    <t>EDMUND LORD &amp; MYLA BAPTISTE-LORD</t>
  </si>
  <si>
    <t xml:space="preserve">16756 S 180TH AVE </t>
  </si>
  <si>
    <t>LORD EDMUND R</t>
  </si>
  <si>
    <t>BAPTISTE-LORD MYLA L</t>
  </si>
  <si>
    <t>JASON BARNES</t>
  </si>
  <si>
    <t xml:space="preserve">10173 S SANTA FE LN </t>
  </si>
  <si>
    <t>TOWNES GREGORY D &amp; CATHERINE</t>
  </si>
  <si>
    <t>BARNES JASON</t>
  </si>
  <si>
    <t>SHELBY TRUST</t>
  </si>
  <si>
    <t>SHELBY</t>
  </si>
  <si>
    <t xml:space="preserve">29175 N 71ST DR </t>
  </si>
  <si>
    <t>SONORAN MOUNTAIN RANCH PARCEL 9B</t>
  </si>
  <si>
    <t>RPM MTG</t>
  </si>
  <si>
    <t>ALAMO CA 94507</t>
  </si>
  <si>
    <t>DAN W SHELBY</t>
  </si>
  <si>
    <t>STACIE D SHELBY</t>
  </si>
  <si>
    <t>CAZIER</t>
  </si>
  <si>
    <t>ROBERT &amp; DEBORAH CAZIER</t>
  </si>
  <si>
    <t xml:space="preserve">4307 E STANFORD AVE </t>
  </si>
  <si>
    <t>HONEYSETT DOUGLAS G &amp; JENNIF</t>
  </si>
  <si>
    <t>CAZIER ROBERT M &amp; DEBORAH M</t>
  </si>
  <si>
    <t>VIGIL</t>
  </si>
  <si>
    <t>JOHNNY VIGIL</t>
  </si>
  <si>
    <t xml:space="preserve">12103 N 77TH DR </t>
  </si>
  <si>
    <t>VIGIL JOHNNY G</t>
  </si>
  <si>
    <t>MARIE HAAS</t>
  </si>
  <si>
    <t xml:space="preserve">6346 E RUSSELL ST </t>
  </si>
  <si>
    <t>SUMMIT    LOT 1-275  TR A B</t>
  </si>
  <si>
    <t>SYKES CHRISTOPHER E</t>
  </si>
  <si>
    <t>HAAS MARIE</t>
  </si>
  <si>
    <t>ROBERT POTTER</t>
  </si>
  <si>
    <t xml:space="preserve">11571 W JEFFERSON ST </t>
  </si>
  <si>
    <t>REDDY YASWANTH</t>
  </si>
  <si>
    <t>FLEMING</t>
  </si>
  <si>
    <t>JERRY &amp; DEBRA FLEMING</t>
  </si>
  <si>
    <t xml:space="preserve">2225 E WILLIAMS DR </t>
  </si>
  <si>
    <t>REDHAWK REPLAT</t>
  </si>
  <si>
    <t>REDHAWK</t>
  </si>
  <si>
    <t>FINCH TAMARA T</t>
  </si>
  <si>
    <t>FLEMING JERRY &amp; DEBRA</t>
  </si>
  <si>
    <t>LUNG</t>
  </si>
  <si>
    <t>RANDY &amp; RONDA LUNG</t>
  </si>
  <si>
    <t xml:space="preserve">10643 E FORGE AVE </t>
  </si>
  <si>
    <t>101063662 SASKATCHEWAN LTD</t>
  </si>
  <si>
    <t>LUNG RANDY S</t>
  </si>
  <si>
    <t>KIES</t>
  </si>
  <si>
    <t>DOUGLAS &amp; HEIDI KIES</t>
  </si>
  <si>
    <t xml:space="preserve">2663 S 158TH DR </t>
  </si>
  <si>
    <t>ESTRELLA VISTA PARCEL 7A LOT 1-73 TR A B</t>
  </si>
  <si>
    <t>RIDDLE HERMAN C &amp; MELISSA L</t>
  </si>
  <si>
    <t>KIES DOUGLAS &amp; HEIDI</t>
  </si>
  <si>
    <t>KRUCKO</t>
  </si>
  <si>
    <t>KRUCKO &amp; DEANNA LYNN</t>
  </si>
  <si>
    <t xml:space="preserve">15132 W PERSHING ST </t>
  </si>
  <si>
    <t>MARLEY PARK PARCEL 3</t>
  </si>
  <si>
    <t>WEST DAVID</t>
  </si>
  <si>
    <t>KRUCKO CHRISTOPHER L &amp; DEANNA L</t>
  </si>
  <si>
    <t>CORPRON</t>
  </si>
  <si>
    <t>JON &amp; CAMILLE CORPRON</t>
  </si>
  <si>
    <t xml:space="preserve">2934 S OLIVEWOOD </t>
  </si>
  <si>
    <t>TRUST 7394</t>
  </si>
  <si>
    <t>CORPRON JON R &amp; CAMILLE D</t>
  </si>
  <si>
    <t>AKE</t>
  </si>
  <si>
    <t>JAMES &amp; ANA AKE</t>
  </si>
  <si>
    <t xml:space="preserve">11216 N 39TH ST </t>
  </si>
  <si>
    <t>CAVALIER ESTATES 4</t>
  </si>
  <si>
    <t>LEWIS DAVID</t>
  </si>
  <si>
    <t>AKE JAMES &amp; ANA</t>
  </si>
  <si>
    <t>PADDEN</t>
  </si>
  <si>
    <t>FUHRMARK</t>
  </si>
  <si>
    <t>MARK PADDEN &amp; KIMBERLY FUHRMARK</t>
  </si>
  <si>
    <t xml:space="preserve">1211 W MCNAIR ST </t>
  </si>
  <si>
    <t>PARKWOOD ESTATES UNIT 1</t>
  </si>
  <si>
    <t>PARKWOOD ESTATES</t>
  </si>
  <si>
    <t>THERRIEN ERIC C</t>
  </si>
  <si>
    <t>PADDEN MARK E</t>
  </si>
  <si>
    <t>FUHRMARK KIMBERLY M</t>
  </si>
  <si>
    <t>MISAKO</t>
  </si>
  <si>
    <t>DORIS &amp; DORIS ANTRON</t>
  </si>
  <si>
    <t xml:space="preserve">15634 W BERKELEY RD </t>
  </si>
  <si>
    <t>MARION DARRYL A &amp; MISAKO D</t>
  </si>
  <si>
    <t>MISAKO D MARION</t>
  </si>
  <si>
    <t>DARRYL A MARION</t>
  </si>
  <si>
    <t>AKRAM</t>
  </si>
  <si>
    <t>ELITHA</t>
  </si>
  <si>
    <t>JOHN &amp; ELITHA AKRAM</t>
  </si>
  <si>
    <t xml:space="preserve">2210 W IAN DR </t>
  </si>
  <si>
    <t>AKRAM JOHN C &amp; ELITHA F</t>
  </si>
  <si>
    <t>CARBAJAL</t>
  </si>
  <si>
    <t>MICHAEL CARBAJAL</t>
  </si>
  <si>
    <t xml:space="preserve">6215 S 30TH DR </t>
  </si>
  <si>
    <t>PARAGON RELOCATION RSRCS I</t>
  </si>
  <si>
    <t>CARBAJAL MICHAEL</t>
  </si>
  <si>
    <t>JACOSA</t>
  </si>
  <si>
    <t>JASON &amp; JACOSA BOYLE</t>
  </si>
  <si>
    <t xml:space="preserve">14593 W ROANOKE AVE </t>
  </si>
  <si>
    <t>PALM VALLEY PHASE 2 PARCEL 1</t>
  </si>
  <si>
    <t>PASEO VERDE</t>
  </si>
  <si>
    <t>JOYCE ROBERT A</t>
  </si>
  <si>
    <t>BOYLE JASON E &amp; JACOSA A</t>
  </si>
  <si>
    <t>JONATHAN RAWLINGS</t>
  </si>
  <si>
    <t xml:space="preserve">4832 E VIRGINIA AVE </t>
  </si>
  <si>
    <t>ORANGEDALE TRACT  11 13 14 15</t>
  </si>
  <si>
    <t>2 ACORNS INC</t>
  </si>
  <si>
    <t>RAWLINGS JONATHAN A</t>
  </si>
  <si>
    <t>JASON &amp; PATRICIA YOUNG</t>
  </si>
  <si>
    <t xml:space="preserve">4730 E VERBENA DR </t>
  </si>
  <si>
    <t>FORTY EIGHT EAST</t>
  </si>
  <si>
    <t>BISCOBING DAVID</t>
  </si>
  <si>
    <t>YOUNG JAYSON D &amp; PATRICIA A</t>
  </si>
  <si>
    <t>JUAN &amp; FRANCISCA GOMEZ</t>
  </si>
  <si>
    <t xml:space="preserve">21079 E CREEKSIDE DR </t>
  </si>
  <si>
    <t>HASTINGS FARMS PARCEL H</t>
  </si>
  <si>
    <t>DUPREZ FAMILY TRUST</t>
  </si>
  <si>
    <t>GOMEZ JUAN A &amp; FRANCISCA M</t>
  </si>
  <si>
    <t>FRANCISCA M GOMEZ</t>
  </si>
  <si>
    <t>JUAN A GOMEZ</t>
  </si>
  <si>
    <t>MACKUSE</t>
  </si>
  <si>
    <t>STEPHEN &amp; LUCY MACKUSE</t>
  </si>
  <si>
    <t xml:space="preserve">82 W CEDAR DR </t>
  </si>
  <si>
    <t>IRONWOOD VISTAS</t>
  </si>
  <si>
    <t>LOISELLE KIMBERLY K</t>
  </si>
  <si>
    <t>STEPHEN P MACKUSE</t>
  </si>
  <si>
    <t>LUCY R MACKUSE</t>
  </si>
  <si>
    <t>MYLES</t>
  </si>
  <si>
    <t>JESSINIA</t>
  </si>
  <si>
    <t>MYLES JOHNSON &amp; JESSINIA VASQUEZ</t>
  </si>
  <si>
    <t xml:space="preserve">7313 W ELLIS ST </t>
  </si>
  <si>
    <t>LAVEEN RANCH AMD</t>
  </si>
  <si>
    <t>LAVEEN RANCH</t>
  </si>
  <si>
    <t>QUINONES ELENA</t>
  </si>
  <si>
    <t>MYLES G JOHNSON</t>
  </si>
  <si>
    <t>JESSINIA A VASQUEZ</t>
  </si>
  <si>
    <t>DALIA</t>
  </si>
  <si>
    <t>DANIEL &amp; DALIA GONZALEZ</t>
  </si>
  <si>
    <t xml:space="preserve">21247 N 92ND AVE </t>
  </si>
  <si>
    <t>STALEY WILLIAM M</t>
  </si>
  <si>
    <t>GONZALEZ DANIEL &amp; DALIA E</t>
  </si>
  <si>
    <t>TEMPLE</t>
  </si>
  <si>
    <t>LYNETTE TEMPLE &amp; CAROL TURNER</t>
  </si>
  <si>
    <t xml:space="preserve">14239 N 42ND PL </t>
  </si>
  <si>
    <t>MAYFLOWER TERRACE</t>
  </si>
  <si>
    <t>DITTMER SCOTT D &amp; YUMIKO</t>
  </si>
  <si>
    <t>TEMPLE LYNETTE R</t>
  </si>
  <si>
    <t>TURNER CAROL A</t>
  </si>
  <si>
    <t>NALKER</t>
  </si>
  <si>
    <t>MICHAEL NALKER</t>
  </si>
  <si>
    <t xml:space="preserve">14410 N 176TH LN </t>
  </si>
  <si>
    <t>BANK OF NEW YORK MELL 2007-1</t>
  </si>
  <si>
    <t>NALKER MICHAEL E</t>
  </si>
  <si>
    <t>GOBEN</t>
  </si>
  <si>
    <t>GOBEN &amp; CYNTHIA LYN</t>
  </si>
  <si>
    <t xml:space="preserve">22578 S GOLD CANYON CT </t>
  </si>
  <si>
    <t>PATTEN LISA M V</t>
  </si>
  <si>
    <t>GOBEN DAVID &amp; CYNTHIA L</t>
  </si>
  <si>
    <t>JOHN &amp; LINDA BOGER</t>
  </si>
  <si>
    <t xml:space="preserve">10346 W HAMMOND LN </t>
  </si>
  <si>
    <t>JOHN P BOGER</t>
  </si>
  <si>
    <t>LINDA E BOGER</t>
  </si>
  <si>
    <t>KING-BEY</t>
  </si>
  <si>
    <t>DEATRI</t>
  </si>
  <si>
    <t>COLLIER &amp; DEATRI KING-BEY</t>
  </si>
  <si>
    <t xml:space="preserve">7111 N 72ND AVE </t>
  </si>
  <si>
    <t>PARADISE VIEWS 2</t>
  </si>
  <si>
    <t>SMITH DAVID J</t>
  </si>
  <si>
    <t>KING-BEY COLLIER V &amp; DEATRI L</t>
  </si>
  <si>
    <t>CSUTAK</t>
  </si>
  <si>
    <t>PETER CSUTAK</t>
  </si>
  <si>
    <t xml:space="preserve">1117 E JUANITA AVE </t>
  </si>
  <si>
    <t>VAL VISTA PARK LOT 1-231 TR A B</t>
  </si>
  <si>
    <t>VAL VISTA PARK</t>
  </si>
  <si>
    <t>STEWART ROGER D</t>
  </si>
  <si>
    <t>CSUTAK PETER</t>
  </si>
  <si>
    <t>BROWNING</t>
  </si>
  <si>
    <t>JERRY &amp; KIMBERLY BROWNING</t>
  </si>
  <si>
    <t xml:space="preserve">3705 E GROVE AVE </t>
  </si>
  <si>
    <t>CORKER JOHN L &amp; KATHLEEN M</t>
  </si>
  <si>
    <t>BROWNING JERRY &amp; KIMBERLY A</t>
  </si>
  <si>
    <t>TRIAS</t>
  </si>
  <si>
    <t>OXANA</t>
  </si>
  <si>
    <t>LOREN &amp; OXANA TRIAS</t>
  </si>
  <si>
    <t xml:space="preserve">129 E FREMONT DR </t>
  </si>
  <si>
    <t>TEMPE GARDENS  3  LOT  180-320 TR F</t>
  </si>
  <si>
    <t>BB PROPERTY GROUP LLC</t>
  </si>
  <si>
    <t>TRIAS LOREN &amp; OXANA</t>
  </si>
  <si>
    <t>TODD &amp; JOELLEN JAMES</t>
  </si>
  <si>
    <t xml:space="preserve">8316 E VERNON AVE </t>
  </si>
  <si>
    <t xml:space="preserve">4706 N 44TH ST </t>
  </si>
  <si>
    <t>VILLAGE GROVE 11</t>
  </si>
  <si>
    <t>WIESEN JACOB A &amp; STEPHANIE L</t>
  </si>
  <si>
    <t>CAPITAL BK</t>
  </si>
  <si>
    <t>JAMES TODD &amp; JOELLEN</t>
  </si>
  <si>
    <t>MATTHEW &amp; STACY THOMAS</t>
  </si>
  <si>
    <t xml:space="preserve">795 S 198TH LN </t>
  </si>
  <si>
    <t>MATTHEW THOMAS</t>
  </si>
  <si>
    <t>STACY THOMAS</t>
  </si>
  <si>
    <t>ROYBAL</t>
  </si>
  <si>
    <t>VERNON &amp; LAURA ROYBAL</t>
  </si>
  <si>
    <t xml:space="preserve">15129 W GLENROSA AVE </t>
  </si>
  <si>
    <t>COTE RALPH</t>
  </si>
  <si>
    <t>ROYBAL VERNON S &amp; LAURA</t>
  </si>
  <si>
    <t>SHAW</t>
  </si>
  <si>
    <t>MICHAEL SHAW</t>
  </si>
  <si>
    <t xml:space="preserve">15010 N 24TH PL </t>
  </si>
  <si>
    <t>PARADISE PLAZA SUB 2</t>
  </si>
  <si>
    <t>KTH VENTURES LLC</t>
  </si>
  <si>
    <t>SHAW MICHAEL</t>
  </si>
  <si>
    <t>SCHMALL</t>
  </si>
  <si>
    <t>JEFFREY SCHMALL</t>
  </si>
  <si>
    <t xml:space="preserve">1950 E VILLA THERESA DR </t>
  </si>
  <si>
    <t>INVERNESS VALLEY</t>
  </si>
  <si>
    <t>ENOS JOSEPH T</t>
  </si>
  <si>
    <t>SCHMALL JEFFREY C</t>
  </si>
  <si>
    <t>POMPA</t>
  </si>
  <si>
    <t>PHILLIP POMPA</t>
  </si>
  <si>
    <t xml:space="preserve">7123 W DESERT MIRAGE DR </t>
  </si>
  <si>
    <t>SONORAN MOUNTAIN RANCH PARCEL 14</t>
  </si>
  <si>
    <t>MACRIDES ANDREAS &amp; MARIA</t>
  </si>
  <si>
    <t>LENOX FIN'L MTG</t>
  </si>
  <si>
    <t>POMPA PHILLIP</t>
  </si>
  <si>
    <t>SYDNEY</t>
  </si>
  <si>
    <t>EGAN</t>
  </si>
  <si>
    <t>SYDNEY EGAN</t>
  </si>
  <si>
    <t xml:space="preserve">25073 N 67TH DR </t>
  </si>
  <si>
    <t>TERRAMAR PARCEL 1</t>
  </si>
  <si>
    <t>CHATHAM TREVOR M &amp; ALICIA M</t>
  </si>
  <si>
    <t>EGAN SYDNEY T</t>
  </si>
  <si>
    <t>AYAOVI</t>
  </si>
  <si>
    <t>KOMLAN</t>
  </si>
  <si>
    <t>AMELE</t>
  </si>
  <si>
    <t>AYAOVI &amp; AMELE KOMLAN</t>
  </si>
  <si>
    <t xml:space="preserve">4226 W BEVERLY RD </t>
  </si>
  <si>
    <t>KOMLAN AYAOVI E &amp; AMELE A</t>
  </si>
  <si>
    <t>BILODEAU</t>
  </si>
  <si>
    <t>ADAM &amp; TRACI BILODEAU</t>
  </si>
  <si>
    <t xml:space="preserve">26816 N 64TH LN </t>
  </si>
  <si>
    <t>MOUNTAINVIEW RANCH</t>
  </si>
  <si>
    <t>STAPERFENE FAMILY TRUST</t>
  </si>
  <si>
    <t>BILODEAU ADAM E</t>
  </si>
  <si>
    <t>LUDLOW LIVING TRUST</t>
  </si>
  <si>
    <t>LUDLOW</t>
  </si>
  <si>
    <t xml:space="preserve">911 N 103RD ST </t>
  </si>
  <si>
    <t>SHEETS NICHOLAS S</t>
  </si>
  <si>
    <t>MICHAEL &amp; STEFANIE PADILLA</t>
  </si>
  <si>
    <t xml:space="preserve">9311 E EVERGREEN ST </t>
  </si>
  <si>
    <t>PADILLA MICHAEL</t>
  </si>
  <si>
    <t>MARISOL FCU</t>
  </si>
  <si>
    <t>PHOENIX AZ 85036</t>
  </si>
  <si>
    <t>MICHAEL PADILLA</t>
  </si>
  <si>
    <t>STEFANIE PADILLA</t>
  </si>
  <si>
    <t>CANTRELLE</t>
  </si>
  <si>
    <t>ZENA</t>
  </si>
  <si>
    <t>KOMA</t>
  </si>
  <si>
    <t>JAMES CANTRELLE &amp; ZENA KOMA</t>
  </si>
  <si>
    <t xml:space="preserve">11261 N 75TH DR </t>
  </si>
  <si>
    <t>VISTAS AVENIDA LOT 1-161</t>
  </si>
  <si>
    <t>VISTAS AVENIDA</t>
  </si>
  <si>
    <t>HARTZ ANTHONY J</t>
  </si>
  <si>
    <t>JAMES R CANTRELLE</t>
  </si>
  <si>
    <t>ZENA A KOMA</t>
  </si>
  <si>
    <t>TERA</t>
  </si>
  <si>
    <t>CHAD &amp; TERA SHULTZ</t>
  </si>
  <si>
    <t xml:space="preserve">10615 W VIA MONTOYA DR </t>
  </si>
  <si>
    <t>ALTA VISTA ESTATES UNIT 2</t>
  </si>
  <si>
    <t>SHEAKLEY JUSTIN</t>
  </si>
  <si>
    <t>SHULTZ CHAD R &amp; TERA R</t>
  </si>
  <si>
    <t>NOEL PENA</t>
  </si>
  <si>
    <t xml:space="preserve">5112 N 196TH AVE </t>
  </si>
  <si>
    <t>BEAUTIFUL ARIZONA ESTATES SUB</t>
  </si>
  <si>
    <t>BEAUTIFUL ARIZONA ESTATES</t>
  </si>
  <si>
    <t>GARCIA RUDOLPHO A &amp; SHEILA A</t>
  </si>
  <si>
    <t>PENA NOEL</t>
  </si>
  <si>
    <t>JEANNA</t>
  </si>
  <si>
    <t>RYAN &amp; JEANNA MORRIS</t>
  </si>
  <si>
    <t xml:space="preserve">1812 E CAVALRY RD </t>
  </si>
  <si>
    <t>GARCIA FRANK</t>
  </si>
  <si>
    <t>MORRIS RYAN &amp; JEANNA</t>
  </si>
  <si>
    <t>LONDONO</t>
  </si>
  <si>
    <t>DANNETTE</t>
  </si>
  <si>
    <t>CHILDERS</t>
  </si>
  <si>
    <t>JUAN LONDONO &amp; DANNETTE CHILDERS</t>
  </si>
  <si>
    <t xml:space="preserve">18631 E LARK DR </t>
  </si>
  <si>
    <t>MICKARTZ JAMES</t>
  </si>
  <si>
    <t>LONDONO JUAN C</t>
  </si>
  <si>
    <t>GALLEGO FAMILY LIVING TRUST</t>
  </si>
  <si>
    <t>GALLEGO</t>
  </si>
  <si>
    <t xml:space="preserve">827 S 198TH LN </t>
  </si>
  <si>
    <t>BENANCIO B GALLEGO</t>
  </si>
  <si>
    <t>JOSEFINA GALLEGO</t>
  </si>
  <si>
    <t>DOMINIQUE</t>
  </si>
  <si>
    <t>RYAN &amp; DOMINIQUE RUSH</t>
  </si>
  <si>
    <t xml:space="preserve">16083 W CLINTON ST </t>
  </si>
  <si>
    <t>GREER RANCH SOUTH PARCEL 18</t>
  </si>
  <si>
    <t>GUFFEY CHRISTOPHER A</t>
  </si>
  <si>
    <t>RUSH RYAN</t>
  </si>
  <si>
    <t>TACORONTE</t>
  </si>
  <si>
    <t>BRIAN &amp; CHERYL TACORONTE</t>
  </si>
  <si>
    <t xml:space="preserve">3021 W DONATELLO DR </t>
  </si>
  <si>
    <t>TRAMONTO PARCEL W-1</t>
  </si>
  <si>
    <t>PIACQUADIO DANIEL E &amp; MERI C</t>
  </si>
  <si>
    <t>TACORONTE BRIAN &amp; CHERYL</t>
  </si>
  <si>
    <t>THELANDER</t>
  </si>
  <si>
    <t>DONALD THELANDER</t>
  </si>
  <si>
    <t xml:space="preserve">4518 N 86TH ST </t>
  </si>
  <si>
    <t>SCOTTSDALE HIGHLANDS 4</t>
  </si>
  <si>
    <t>RAM CAPITOL LLC</t>
  </si>
  <si>
    <t>THELANDER DONALD</t>
  </si>
  <si>
    <t>FRIEDRICHS</t>
  </si>
  <si>
    <t>CHRISTOPHER &amp; KATHLEEN FRIEDRICHS</t>
  </si>
  <si>
    <t xml:space="preserve">5315 S 23RD PL </t>
  </si>
  <si>
    <t>NGUYEN TRACEY D</t>
  </si>
  <si>
    <t>GRIFFIN FUNDING INC</t>
  </si>
  <si>
    <t>FRIEDRICHS CHRISTOPHER J &amp; KATHLEEN E</t>
  </si>
  <si>
    <t>DORIAN</t>
  </si>
  <si>
    <t>BISHOPP</t>
  </si>
  <si>
    <t>DORIAN &amp; MEREDITH BISHOPP</t>
  </si>
  <si>
    <t xml:space="preserve">19917 W GRANT ST </t>
  </si>
  <si>
    <t>BANK34</t>
  </si>
  <si>
    <t>BISHOPP DORIAN &amp; MEREDITH</t>
  </si>
  <si>
    <t>PHELPS &amp; DEBORAH JOY</t>
  </si>
  <si>
    <t xml:space="preserve">13801 N WOODSIDE DR </t>
  </si>
  <si>
    <t>RANCHO MONTANA SECOND REPLAT</t>
  </si>
  <si>
    <t>RANCHO MONTANA</t>
  </si>
  <si>
    <t>NEUMAN WILLIAM W</t>
  </si>
  <si>
    <t>BARRY R PHELPS</t>
  </si>
  <si>
    <t>DEBORAH J PHELPS</t>
  </si>
  <si>
    <t>ELLA</t>
  </si>
  <si>
    <t>WILLIE &amp; ELLA JONES</t>
  </si>
  <si>
    <t xml:space="preserve">16863 W ADAMS ST </t>
  </si>
  <si>
    <t>JONES WILLIE L</t>
  </si>
  <si>
    <t>CHRONISTER</t>
  </si>
  <si>
    <t>BRUCE &amp; IRENE CHRONISTER</t>
  </si>
  <si>
    <t xml:space="preserve">21474 S 184TH PL </t>
  </si>
  <si>
    <t>LABEDZ MICHAEL A</t>
  </si>
  <si>
    <t>CHRONISTER BRUCE L</t>
  </si>
  <si>
    <t>CARLOS &amp; LISA VELAZQUEZ</t>
  </si>
  <si>
    <t xml:space="preserve">20525 W RIDGE RD </t>
  </si>
  <si>
    <t>SPIEGLER WILLIAM J</t>
  </si>
  <si>
    <t>VELAZQUEZ CARLOS</t>
  </si>
  <si>
    <t>MCVEY</t>
  </si>
  <si>
    <t>WADE &amp; PATRICIA MCVEY</t>
  </si>
  <si>
    <t xml:space="preserve">15422 N 177TH DR </t>
  </si>
  <si>
    <t>ZICCARDI TONI F</t>
  </si>
  <si>
    <t>MC VEY WADE L &amp; PATRICIA L</t>
  </si>
  <si>
    <t>MCCASKILL</t>
  </si>
  <si>
    <t>DAVID MCCASKILL</t>
  </si>
  <si>
    <t xml:space="preserve">18159 W BUCKHORN DR </t>
  </si>
  <si>
    <t>ANNISTON ROAD LLC</t>
  </si>
  <si>
    <t>MCCASKILL DAVID A</t>
  </si>
  <si>
    <t>ARCHIBEQUE</t>
  </si>
  <si>
    <t>HARRY &amp; LUPE ARCHIBEQUE</t>
  </si>
  <si>
    <t xml:space="preserve">3858 E HARMONY AVE </t>
  </si>
  <si>
    <t>FAIRFIELD PLACE 2 LOT 112-244</t>
  </si>
  <si>
    <t>HUTTON MICHAEL</t>
  </si>
  <si>
    <t>HARRY ARCHIBEQUE</t>
  </si>
  <si>
    <t>LUPE ARCHIBEQUE</t>
  </si>
  <si>
    <t>PHILLIP &amp; MARGARET EASON</t>
  </si>
  <si>
    <t xml:space="preserve">3758 E COVINA ST </t>
  </si>
  <si>
    <t>UNIVERSITY SQUARE</t>
  </si>
  <si>
    <t>WHITEWING LEASING LLC</t>
  </si>
  <si>
    <t>EASON PHILLIP S &amp; MARGARET E</t>
  </si>
  <si>
    <t>DUFFY</t>
  </si>
  <si>
    <t>CRAUWELS</t>
  </si>
  <si>
    <t>JOHN DUFFY &amp; KATHRYN CRAUWELS</t>
  </si>
  <si>
    <t xml:space="preserve">7763 E SUGARLOAF CIR </t>
  </si>
  <si>
    <t>ADAMS KERIN W</t>
  </si>
  <si>
    <t>DUFFY JOHN L</t>
  </si>
  <si>
    <t>CRAUWELS MONA K</t>
  </si>
  <si>
    <t>JOHN &amp; KATHIE TRUST</t>
  </si>
  <si>
    <t>ELISABETH</t>
  </si>
  <si>
    <t>HOWARD &amp; ELISABETH YOUNG</t>
  </si>
  <si>
    <t xml:space="preserve">20498 W CANYON DR </t>
  </si>
  <si>
    <t>YOUNG HOWARD T</t>
  </si>
  <si>
    <t>BERNAL</t>
  </si>
  <si>
    <t>BERNAL &amp; JENNIFER LEE</t>
  </si>
  <si>
    <t xml:space="preserve">7411 W BUCKSKIN TRL </t>
  </si>
  <si>
    <t>TERRAMAR PARCEL 9B REPLAT</t>
  </si>
  <si>
    <t>TAYLOR MORRISON HMS OF ARIZON</t>
  </si>
  <si>
    <t>BERNAL PETE M &amp; JENNIFER L</t>
  </si>
  <si>
    <t>PEACOCK</t>
  </si>
  <si>
    <t>STUBBS-PEACOCK</t>
  </si>
  <si>
    <t>RICHARD PEACOCK &amp; MARILYN STUBBS-PEACOCK</t>
  </si>
  <si>
    <t xml:space="preserve">20972 E CAMINA BUENA VIS </t>
  </si>
  <si>
    <t>PEACOCK RICHARD</t>
  </si>
  <si>
    <t>STUBBS-PEACOCK MARILYN J</t>
  </si>
  <si>
    <t>RICHARD PEACOCK</t>
  </si>
  <si>
    <t>MARILYN J STUBBS-PEACOCK</t>
  </si>
  <si>
    <t>LELA</t>
  </si>
  <si>
    <t>LELA &amp; MICHAEL JOHNSON</t>
  </si>
  <si>
    <t xml:space="preserve">2828 E TINA LN </t>
  </si>
  <si>
    <t>SHAMROCK ESTATES PHASE 2A</t>
  </si>
  <si>
    <t>BEAVERS LINDA R</t>
  </si>
  <si>
    <t>JOHNSON LELA &amp; MICHAEL D</t>
  </si>
  <si>
    <t>TOMMY</t>
  </si>
  <si>
    <t>TOMMY &amp; MARCI ROBERTS</t>
  </si>
  <si>
    <t xml:space="preserve">3075 E CASTANETS DR </t>
  </si>
  <si>
    <t>R091</t>
  </si>
  <si>
    <t>SEVILLE PARCEL 38B</t>
  </si>
  <si>
    <t>THOMPSON MICHAEL</t>
  </si>
  <si>
    <t>ROBERTS TOMMY A</t>
  </si>
  <si>
    <t>TAPP</t>
  </si>
  <si>
    <t>MICHAEL &amp; LAURA TAPP</t>
  </si>
  <si>
    <t xml:space="preserve">2128 W KURALT DR </t>
  </si>
  <si>
    <t>ANTHEM UNIT 51 REPLAT</t>
  </si>
  <si>
    <t>BOONE CHRISTOPHER D</t>
  </si>
  <si>
    <t>TAPP MICHAEL &amp; LAURA</t>
  </si>
  <si>
    <t>MURRELL</t>
  </si>
  <si>
    <t>OLIVER &amp; SANDRA MURRELL</t>
  </si>
  <si>
    <t xml:space="preserve">18549 W MARSHALL LN </t>
  </si>
  <si>
    <t>MURRELL OLIVER G &amp; SANDRA E</t>
  </si>
  <si>
    <t>EARLS</t>
  </si>
  <si>
    <t>JAY &amp; ANNA EARLS</t>
  </si>
  <si>
    <t xml:space="preserve">4603 E GLENEAGLE DR </t>
  </si>
  <si>
    <t>WEINBRENNER ERIC</t>
  </si>
  <si>
    <t>EARLS JAY S &amp; ANNA M</t>
  </si>
  <si>
    <t>LAVOIE</t>
  </si>
  <si>
    <t>SPENDEL</t>
  </si>
  <si>
    <t>PAUL LAVOIE &amp; ELLEN SPENDEL</t>
  </si>
  <si>
    <t xml:space="preserve">26647 N 31ST DR </t>
  </si>
  <si>
    <t>OCONNELL KELLY A</t>
  </si>
  <si>
    <t>LAVOIE PAUL</t>
  </si>
  <si>
    <t>SPENDEL ELLEN</t>
  </si>
  <si>
    <t>MIELE</t>
  </si>
  <si>
    <t>ANTHONY MIELE</t>
  </si>
  <si>
    <t xml:space="preserve">4013 S WINDSTREAM PL </t>
  </si>
  <si>
    <t>MORRISON CHRISTINE</t>
  </si>
  <si>
    <t>MIELE ANTHONY V</t>
  </si>
  <si>
    <t>ELSTRO</t>
  </si>
  <si>
    <t>LLOYD &amp; SANDRA ELSTRO</t>
  </si>
  <si>
    <t xml:space="preserve">321 W SUMERSET DR </t>
  </si>
  <si>
    <t>LAS MERIDAS AMD</t>
  </si>
  <si>
    <t>LAS MERIDAS</t>
  </si>
  <si>
    <t>DUFRESNE JON J</t>
  </si>
  <si>
    <t>ELSTRO LLOYD</t>
  </si>
  <si>
    <t>JORGE ACOSTA</t>
  </si>
  <si>
    <t xml:space="preserve">26138 W POTTER DR </t>
  </si>
  <si>
    <t>MARTIN BRADLEY J</t>
  </si>
  <si>
    <t>ACOSTA JORGE</t>
  </si>
  <si>
    <t>DEBRA &amp; ROBERT WILLIAMS</t>
  </si>
  <si>
    <t xml:space="preserve">7203 W WETHERSFIELD RD </t>
  </si>
  <si>
    <t>CATALINA LOT 1-98</t>
  </si>
  <si>
    <t>CATALINA</t>
  </si>
  <si>
    <t>PARSON SIDNEY J</t>
  </si>
  <si>
    <t>WILLIAMS DEBRA &amp; ROBERT L</t>
  </si>
  <si>
    <t>ENYEART</t>
  </si>
  <si>
    <t>DAVID ENYEART</t>
  </si>
  <si>
    <t xml:space="preserve">1246 E BARANCA RD </t>
  </si>
  <si>
    <t>VISTA DEL ORO NORTH AMD</t>
  </si>
  <si>
    <t>VISTA DEL ORO NORTH</t>
  </si>
  <si>
    <t>MEDRANO DENISE L &amp; MICHAEL A</t>
  </si>
  <si>
    <t>ENYEART DAVID L</t>
  </si>
  <si>
    <t>MATURANI</t>
  </si>
  <si>
    <t>ALEX &amp; TINA MATURANI</t>
  </si>
  <si>
    <t xml:space="preserve">18036 W POST DR </t>
  </si>
  <si>
    <t xml:space="preserve">15501 W CAMINO REAL WAY </t>
  </si>
  <si>
    <t>MATURANI ALEX J &amp; TINA L</t>
  </si>
  <si>
    <t>DAVID &amp; CHANDRA MCCOY</t>
  </si>
  <si>
    <t xml:space="preserve">10337 W FLOWER ST </t>
  </si>
  <si>
    <t>LABERGE MICHAEL G</t>
  </si>
  <si>
    <t>MCCOY DAVID R &amp; CHANDRA N</t>
  </si>
  <si>
    <t>FREDRIC</t>
  </si>
  <si>
    <t>BROCK</t>
  </si>
  <si>
    <t>FREDRIC &amp; BROOKE BROCK</t>
  </si>
  <si>
    <t xml:space="preserve">2460 E PENEDES DR </t>
  </si>
  <si>
    <t>BROCK FREDRIC &amp; BROOKE</t>
  </si>
  <si>
    <t>CHRISTOPHER &amp; KARLA LEE</t>
  </si>
  <si>
    <t xml:space="preserve">532 W MYRTLE DR </t>
  </si>
  <si>
    <t>FOX CROSSING UNIT 4</t>
  </si>
  <si>
    <t>JORVIG JEFF &amp; DENISE</t>
  </si>
  <si>
    <t>LEE CHRISTOPHER &amp; KARLA B</t>
  </si>
  <si>
    <t>GILLESPIE</t>
  </si>
  <si>
    <t>RODERICK</t>
  </si>
  <si>
    <t>SETH GILLESPIE &amp; MELISSA RODERICK</t>
  </si>
  <si>
    <t xml:space="preserve">2728 E KAEL ST </t>
  </si>
  <si>
    <t>MCSHANE SCOTT &amp; CHELSEA</t>
  </si>
  <si>
    <t>GILLESPIE SETH E</t>
  </si>
  <si>
    <t>RODERICK MELISSA K</t>
  </si>
  <si>
    <t>MANNING</t>
  </si>
  <si>
    <t>JUSTIN MANNING</t>
  </si>
  <si>
    <t xml:space="preserve">10250 E CABALLERO ST </t>
  </si>
  <si>
    <t>SPRADLIN WANDA L</t>
  </si>
  <si>
    <t>MANNING JUSTIN</t>
  </si>
  <si>
    <t>OHMER</t>
  </si>
  <si>
    <t>ANDREW &amp; LAURA OHMER</t>
  </si>
  <si>
    <t xml:space="preserve">6738 W SURREY AVE </t>
  </si>
  <si>
    <t>COOPER CYNTHIA L</t>
  </si>
  <si>
    <t>OHMER ANDREW A &amp; LAURA</t>
  </si>
  <si>
    <t>ANDREW A OHMER</t>
  </si>
  <si>
    <t>LARA OHMER</t>
  </si>
  <si>
    <t>JEREMY DURAN</t>
  </si>
  <si>
    <t xml:space="preserve">909 W CURRY ST </t>
  </si>
  <si>
    <t>SUNRIDGE  4 LOT 1-220 &amp; TRACT A &amp; B</t>
  </si>
  <si>
    <t>SUNRIDGE</t>
  </si>
  <si>
    <t>RUH JANICE M</t>
  </si>
  <si>
    <t>DURAN JEREMY</t>
  </si>
  <si>
    <t>SAGUCHI</t>
  </si>
  <si>
    <t>JEFF MYERS &amp; MARCELA SAGUCHI</t>
  </si>
  <si>
    <t xml:space="preserve">3702 W MESCAL ST </t>
  </si>
  <si>
    <t>MELROSE GARDENS NW UNIT 3</t>
  </si>
  <si>
    <t>MELROSE GARDENS</t>
  </si>
  <si>
    <t>TUMBLEWEED ELEMENTARY SCHOOL</t>
  </si>
  <si>
    <t>HILLYARD JAMES &amp; ANNE</t>
  </si>
  <si>
    <t>JEFF MYERS</t>
  </si>
  <si>
    <t>MARCELA D SAGUCHI</t>
  </si>
  <si>
    <t>RICCIO</t>
  </si>
  <si>
    <t>PAUL &amp; STACY RICCIO</t>
  </si>
  <si>
    <t xml:space="preserve">15153 W RIVIERA DR </t>
  </si>
  <si>
    <t>BAILEY COLEMAN &amp; BRENDA</t>
  </si>
  <si>
    <t>PAUL J RICCIO</t>
  </si>
  <si>
    <t>STACY K RICCIO</t>
  </si>
  <si>
    <t>NAKASONE</t>
  </si>
  <si>
    <t>BARBARA NAKASONE</t>
  </si>
  <si>
    <t xml:space="preserve">9722 W HEDGE HOG PL </t>
  </si>
  <si>
    <t>SORENSEN JOHN J &amp; JOANNE M</t>
  </si>
  <si>
    <t>PRIORITY LNDG</t>
  </si>
  <si>
    <t>NAKASONE BARBARA Y</t>
  </si>
  <si>
    <t>FROMMER</t>
  </si>
  <si>
    <t>BRIAN &amp; LAURA FROMMER</t>
  </si>
  <si>
    <t xml:space="preserve">4403 W LAS PALMARITAS DR </t>
  </si>
  <si>
    <t>SANDS OASIS 2</t>
  </si>
  <si>
    <t>SANDS OASIS</t>
  </si>
  <si>
    <t>TANITA KIYOSHI FAMILY TRUST</t>
  </si>
  <si>
    <t>FROMMER BRIAN K &amp; LAURA E</t>
  </si>
  <si>
    <t>TIMOTHY JACKSON</t>
  </si>
  <si>
    <t xml:space="preserve">1668 W LACEWOOD PL </t>
  </si>
  <si>
    <t>SHOEMAKER SHAWN M</t>
  </si>
  <si>
    <t>D&amp;E RLTY FINANCING &amp; INVS</t>
  </si>
  <si>
    <t>PHOENIX AZ 85006</t>
  </si>
  <si>
    <t>TIMOTHY L JACKSON</t>
  </si>
  <si>
    <t>BRANDON &amp; RACHAEL PRICE</t>
  </si>
  <si>
    <t xml:space="preserve">8599 W CHARLESTON AVE </t>
  </si>
  <si>
    <t>PARCEL 5 AT BELL PARK</t>
  </si>
  <si>
    <t>HENDERSON INV PROPS LLC</t>
  </si>
  <si>
    <t>PRICE BRANDON &amp; RACHAEL</t>
  </si>
  <si>
    <t>KITTO</t>
  </si>
  <si>
    <t>SHAUN KITTO</t>
  </si>
  <si>
    <t xml:space="preserve">4823 N GREENTREE DR E </t>
  </si>
  <si>
    <t>ELDER MARCUS T &amp; GAIL L</t>
  </si>
  <si>
    <t>KITTO SHAUN E</t>
  </si>
  <si>
    <t>BANFIELD</t>
  </si>
  <si>
    <t>GREGORY &amp; CHRISTA BANFIELD</t>
  </si>
  <si>
    <t xml:space="preserve">4302 E WALTANN LN </t>
  </si>
  <si>
    <t>GREENBRIER EAST UNIT  9 LOT 1-84</t>
  </si>
  <si>
    <t>KNUDSEN NORME</t>
  </si>
  <si>
    <t>BANFIELD GREGORY C &amp; CHRISTA D</t>
  </si>
  <si>
    <t>ARENAS</t>
  </si>
  <si>
    <t>NATHANIEL ARENAS</t>
  </si>
  <si>
    <t xml:space="preserve">18479 W STATLER ST </t>
  </si>
  <si>
    <t>ARENAS NATHANIEL</t>
  </si>
  <si>
    <t>KEVIN &amp; NICOLE QUINN</t>
  </si>
  <si>
    <t xml:space="preserve">3265 E ARIS DR </t>
  </si>
  <si>
    <t>PELLETIER GARY M</t>
  </si>
  <si>
    <t>QUINN KEVIN K &amp; NICOLE L</t>
  </si>
  <si>
    <t>MCCLYMONDS</t>
  </si>
  <si>
    <t>MCCLYMONDS &amp; CHRISTINE MARIE</t>
  </si>
  <si>
    <t xml:space="preserve">43506 N HUDSON TRL </t>
  </si>
  <si>
    <t>MCCLYMONDS MATTHEW G &amp; CHRIST</t>
  </si>
  <si>
    <t>LINDLY</t>
  </si>
  <si>
    <t>DANIEL LINDLY &amp; LINDSEY WHITE</t>
  </si>
  <si>
    <t xml:space="preserve">9448 W SALTER DR </t>
  </si>
  <si>
    <t>DOVE VALLEY RANCH PARCEL 2A</t>
  </si>
  <si>
    <t>CHRISTENSEN TROY</t>
  </si>
  <si>
    <t>WHITE LINDSEY A</t>
  </si>
  <si>
    <t>APARICIO</t>
  </si>
  <si>
    <t>GEORGE &amp; CAROL APARICIO</t>
  </si>
  <si>
    <t xml:space="preserve">5615 W BETH DR </t>
  </si>
  <si>
    <t>APARICIO GEORGE L</t>
  </si>
  <si>
    <t>STEVEN &amp; MELISSA REEVES</t>
  </si>
  <si>
    <t xml:space="preserve">1440 E BEHREND DR </t>
  </si>
  <si>
    <t>EAGLE HILLS</t>
  </si>
  <si>
    <t>MASON FAMILY TRUST</t>
  </si>
  <si>
    <t>REEVES STEVEN D</t>
  </si>
  <si>
    <t>TOD</t>
  </si>
  <si>
    <t>EICHACKER</t>
  </si>
  <si>
    <t>KACEY</t>
  </si>
  <si>
    <t>TOD &amp; KACEY EICHACKER</t>
  </si>
  <si>
    <t xml:space="preserve">4907 E EVERETT DR </t>
  </si>
  <si>
    <t>SHADOWRIDGE 2 LOT 1-72</t>
  </si>
  <si>
    <t>SHADOWRIDGE EAST</t>
  </si>
  <si>
    <t>MANDY SUZANNE E</t>
  </si>
  <si>
    <t>SACRAMENTO CA 95815</t>
  </si>
  <si>
    <t>EICHACKER TOD A &amp; KACEY</t>
  </si>
  <si>
    <t>KACEY EICHACKER</t>
  </si>
  <si>
    <t>TOD A EICHACKER</t>
  </si>
  <si>
    <t>GARDNER</t>
  </si>
  <si>
    <t>SILER</t>
  </si>
  <si>
    <t>MARY GARDNER &amp; CHARLES SILER</t>
  </si>
  <si>
    <t xml:space="preserve">5511 E DUSTY WREN DR </t>
  </si>
  <si>
    <t>PMT NPL FINANCING 2014-1</t>
  </si>
  <si>
    <t>GARDNER MARY C</t>
  </si>
  <si>
    <t>SILER CHARLES D</t>
  </si>
  <si>
    <t>WHITLOCK</t>
  </si>
  <si>
    <t>SHERRI</t>
  </si>
  <si>
    <t>KEVIN &amp; SHERRI WHITLOCK</t>
  </si>
  <si>
    <t xml:space="preserve">73 E HOPKINS RD </t>
  </si>
  <si>
    <t>MOOREHEAD LIVING TRUST</t>
  </si>
  <si>
    <t>WHITLOCK KEVIN</t>
  </si>
  <si>
    <t>KANNICA</t>
  </si>
  <si>
    <t>GARCIA &amp; KANNICA KIM</t>
  </si>
  <si>
    <t xml:space="preserve">3153 E DUBLIN ST </t>
  </si>
  <si>
    <t>GARCIA RUBEN L &amp; KANNICA K</t>
  </si>
  <si>
    <t>FENIMORE</t>
  </si>
  <si>
    <t>NICHOLAS &amp; KARI FENIMORE</t>
  </si>
  <si>
    <t xml:space="preserve">13412 W JESSE RED DR </t>
  </si>
  <si>
    <t>VISTANCIA VILLAGE A PARCEL G5 REPLAT</t>
  </si>
  <si>
    <t>PERKINS ROBERT &amp; ERIKA</t>
  </si>
  <si>
    <t>FENIMORE NICHOLAS M &amp; KARI</t>
  </si>
  <si>
    <t>EDWARD CHAVEZ</t>
  </si>
  <si>
    <t xml:space="preserve">4304 W ORCHID LN </t>
  </si>
  <si>
    <t>SANDS OASIS 5</t>
  </si>
  <si>
    <t>HAY LIVING INV LLC</t>
  </si>
  <si>
    <t>GLORIA E CHAVEZ</t>
  </si>
  <si>
    <t>GUS</t>
  </si>
  <si>
    <t>KAKALOW</t>
  </si>
  <si>
    <t>GUS KAKALOW</t>
  </si>
  <si>
    <t xml:space="preserve">20941 S 187TH WAY </t>
  </si>
  <si>
    <t>SOSSAMAN ESTATES PARCEL E2</t>
  </si>
  <si>
    <t>BUCHHOLZ KEVIN A &amp; LEIGH A</t>
  </si>
  <si>
    <t>KAKALOW GUS</t>
  </si>
  <si>
    <t>LOUNDER</t>
  </si>
  <si>
    <t>JEREMY LOUNDER</t>
  </si>
  <si>
    <t xml:space="preserve">21240 E RUSSET RD </t>
  </si>
  <si>
    <t>LOUNDER JEREMY N</t>
  </si>
  <si>
    <t>ARRIAGA PEDRO JR &amp; DENISE J TR</t>
  </si>
  <si>
    <t>ARRIAGAPEDRO &amp; DENISE</t>
  </si>
  <si>
    <t xml:space="preserve">17947 W GRISWOLD RD </t>
  </si>
  <si>
    <t>LUXFORD MICHAEL J</t>
  </si>
  <si>
    <t>ARRIAGA PEDRO JR &amp; DENISE J</t>
  </si>
  <si>
    <t>JACK WEAVER</t>
  </si>
  <si>
    <t xml:space="preserve">1165 E HARRISON ST </t>
  </si>
  <si>
    <t>SPRINGTREE 2</t>
  </si>
  <si>
    <t>SPRINGTREE</t>
  </si>
  <si>
    <t>FOX LARRY FAMILY TRUST</t>
  </si>
  <si>
    <t>WEAVER JACK C</t>
  </si>
  <si>
    <t>BRIAN BAKER</t>
  </si>
  <si>
    <t xml:space="preserve">5309 E GLORIA LN </t>
  </si>
  <si>
    <t>STUART NANCY L</t>
  </si>
  <si>
    <t>BAKER BRIAN J</t>
  </si>
  <si>
    <t>NEAT</t>
  </si>
  <si>
    <t>MANDY</t>
  </si>
  <si>
    <t>JACOB &amp; MANDY NEAT</t>
  </si>
  <si>
    <t xml:space="preserve">3550 N SILVERSAND LN </t>
  </si>
  <si>
    <t>EVERT LINDA A</t>
  </si>
  <si>
    <t>NEAT JACOB &amp; MANDY L</t>
  </si>
  <si>
    <t>LAURENCE</t>
  </si>
  <si>
    <t>DEMPSEY</t>
  </si>
  <si>
    <t>LAURENCE &amp; SHARON DEMPSEY</t>
  </si>
  <si>
    <t xml:space="preserve">8824 W WEDGEWOOD DR </t>
  </si>
  <si>
    <t>AMBERG SPENCE T</t>
  </si>
  <si>
    <t>DEMPSEY LAURENCE A &amp; SHARON L</t>
  </si>
  <si>
    <t>CUSH</t>
  </si>
  <si>
    <t>JOSEPH &amp; MARCI CUSH</t>
  </si>
  <si>
    <t xml:space="preserve">3315 E FORD AVE </t>
  </si>
  <si>
    <t>KRISTIN MANOR</t>
  </si>
  <si>
    <t>BARNHILL BARRY F LIVING TRUST</t>
  </si>
  <si>
    <t>CUSH JOSEPH P &amp; MARCI</t>
  </si>
  <si>
    <t>ELMER</t>
  </si>
  <si>
    <t>CAVENDER</t>
  </si>
  <si>
    <t>ELMER &amp; DONNA CAVENDER</t>
  </si>
  <si>
    <t xml:space="preserve">14604 W ARZON WAY </t>
  </si>
  <si>
    <t>SUN CITY WEST UNIT 55</t>
  </si>
  <si>
    <t>SAWICKI SCOTT TRUSTEE T</t>
  </si>
  <si>
    <t>ELMER E CAVENDER</t>
  </si>
  <si>
    <t>DONNA K CAVENDER</t>
  </si>
  <si>
    <t>ALCARAZ</t>
  </si>
  <si>
    <t>JORGE &amp; RHONDA ALCARAZ</t>
  </si>
  <si>
    <t xml:space="preserve">23426 N 21ST ST </t>
  </si>
  <si>
    <t>MARSHALL BONNIE R</t>
  </si>
  <si>
    <t>ALCARAZ JORGE &amp; RHONDA</t>
  </si>
  <si>
    <t>LYDFORD</t>
  </si>
  <si>
    <t>SONYA</t>
  </si>
  <si>
    <t>ROBERT &amp; SONYA LYDFORD</t>
  </si>
  <si>
    <t xml:space="preserve">4155 W JASPER DR </t>
  </si>
  <si>
    <t xml:space="preserve">7731 E BOSTON ST </t>
  </si>
  <si>
    <t>CORONA VILLAGE 2 LOT 1-268 TR A-D</t>
  </si>
  <si>
    <t>CORONA VILLAGE</t>
  </si>
  <si>
    <t>FRITZEMEYER THOMAS J</t>
  </si>
  <si>
    <t>LYDFORD ROBERT J &amp; SONYA L</t>
  </si>
  <si>
    <t>MICHAELA</t>
  </si>
  <si>
    <t>MARK &amp; MICHAELA REED</t>
  </si>
  <si>
    <t xml:space="preserve">18014 N 75TH AVE </t>
  </si>
  <si>
    <t>HIDDEN MANOR 2 LOT 85-110</t>
  </si>
  <si>
    <t>HIDDEN MANOR</t>
  </si>
  <si>
    <t>MASLAMANI IBRAHIM</t>
  </si>
  <si>
    <t>REED MARK &amp; MICHAELA</t>
  </si>
  <si>
    <t>DUC</t>
  </si>
  <si>
    <t>DUC PHAM</t>
  </si>
  <si>
    <t xml:space="preserve">5157 S BRICE </t>
  </si>
  <si>
    <t xml:space="preserve">PO BOX 51323 </t>
  </si>
  <si>
    <t>DUE PHAM</t>
  </si>
  <si>
    <t>CADE</t>
  </si>
  <si>
    <t>BRUCE &amp; NANCY CADE</t>
  </si>
  <si>
    <t xml:space="preserve">620 E CANTERBURY LN </t>
  </si>
  <si>
    <t>MOON VALLEY COUNTRY ESTATES 2</t>
  </si>
  <si>
    <t>MOON VALLEY COUNTRY ESTATES</t>
  </si>
  <si>
    <t>KAUFMAN WILLIAM A</t>
  </si>
  <si>
    <t>CADE BRUCE M &amp; NANCY J</t>
  </si>
  <si>
    <t>FOLEY</t>
  </si>
  <si>
    <t>KYLE &amp; PAMELA FOLEY</t>
  </si>
  <si>
    <t xml:space="preserve">325 W SMOKE TREE RD </t>
  </si>
  <si>
    <t>PARCELS 8 &amp; 9 OF LAGO ESTANCIA LOT 1-90</t>
  </si>
  <si>
    <t>BELL BARBARA L</t>
  </si>
  <si>
    <t>FOLEY KYLE C &amp; PAMELA</t>
  </si>
  <si>
    <t>DEMBIK</t>
  </si>
  <si>
    <t>KARLA DEMBIK</t>
  </si>
  <si>
    <t xml:space="preserve">5134 E JUSTICA ST </t>
  </si>
  <si>
    <t xml:space="preserve">29455 N CAVE CREEK RD #118 </t>
  </si>
  <si>
    <t>WINDLE JAMES R &amp; NANCY K</t>
  </si>
  <si>
    <t>DEMBIK KARLA C</t>
  </si>
  <si>
    <t>BRADLEY LOUIS</t>
  </si>
  <si>
    <t xml:space="preserve">17671 W LILAC ST </t>
  </si>
  <si>
    <t>LOUIS BRADLEY J</t>
  </si>
  <si>
    <t>BERTHA</t>
  </si>
  <si>
    <t>DALE ABRAHAM &amp; BERTHA SANCHEZ</t>
  </si>
  <si>
    <t xml:space="preserve">39809 N 7TH AVE </t>
  </si>
  <si>
    <t>ABRAHAM FAMILY TRUST</t>
  </si>
  <si>
    <t>WEAVER DAVID J</t>
  </si>
  <si>
    <t>SANCHEZ BERTHA</t>
  </si>
  <si>
    <t>LEVONIA</t>
  </si>
  <si>
    <t>LEVONIA BELT &amp; CATHERINE LUCAS</t>
  </si>
  <si>
    <t xml:space="preserve">40704 N LA CANTERA DR </t>
  </si>
  <si>
    <t>LATUGA MICHAEL J</t>
  </si>
  <si>
    <t>BELT LEVONIA L</t>
  </si>
  <si>
    <t>LUCAS CATHERINE M</t>
  </si>
  <si>
    <t>ROTHERMEL</t>
  </si>
  <si>
    <t>MARK ROTHERMEL</t>
  </si>
  <si>
    <t xml:space="preserve">9939 E DESERT JEWEL DR </t>
  </si>
  <si>
    <t>WINDGATE RANCH PHASE 1 PLAT B</t>
  </si>
  <si>
    <t>WINDGATE RANCH</t>
  </si>
  <si>
    <t>DAVIS WALLACE C &amp; CAROL M</t>
  </si>
  <si>
    <t>ROTHERMEL MARK</t>
  </si>
  <si>
    <t>CHANSE</t>
  </si>
  <si>
    <t>BLANSHAN</t>
  </si>
  <si>
    <t>CHELSIE</t>
  </si>
  <si>
    <t>CHANSE &amp; CHELSIE BLANSHAN</t>
  </si>
  <si>
    <t xml:space="preserve">2630 W LUCE DR </t>
  </si>
  <si>
    <t>TRAMONTO PARCEL E-11</t>
  </si>
  <si>
    <t>ROWALD CHRISTINE</t>
  </si>
  <si>
    <t>BLANSHAN CHANSE &amp; CHELSIE</t>
  </si>
  <si>
    <t>MAYO EMPLOYEES FCU</t>
  </si>
  <si>
    <t>WILLIAM &amp; CAROLINE GOODMAN</t>
  </si>
  <si>
    <t xml:space="preserve">2058 E MYRNA LN </t>
  </si>
  <si>
    <t>CIRCLE G RANCHES 4 UNIT 2 LOT 36-79 &amp; TR</t>
  </si>
  <si>
    <t>CIRCLE RANCHES</t>
  </si>
  <si>
    <t>OBRIEN DANIEL D</t>
  </si>
  <si>
    <t>GOODMAN WILLIAM G &amp; CAROLINE E</t>
  </si>
  <si>
    <t>WALL</t>
  </si>
  <si>
    <t>SPENCER &amp; MICHELLE WALL</t>
  </si>
  <si>
    <t xml:space="preserve">22212 N 84TH PL </t>
  </si>
  <si>
    <t>PINNACLE PEAK COUNTRY CLUB UNIT ONE PRIV</t>
  </si>
  <si>
    <t>PINNACLE PEAK COUNTRY CLUB</t>
  </si>
  <si>
    <t>NELSON VRIGINIA L TRUSTEE</t>
  </si>
  <si>
    <t>WALL SPENCER &amp; MICHELLE</t>
  </si>
  <si>
    <t>G</t>
  </si>
  <si>
    <t>PLAGMANN</t>
  </si>
  <si>
    <t>G &amp; L PLAGMANN PLAGMANN</t>
  </si>
  <si>
    <t xml:space="preserve">32779 N 70TH ST </t>
  </si>
  <si>
    <t>PARCEL E AT TERRAVITA</t>
  </si>
  <si>
    <t>TERRAVITA</t>
  </si>
  <si>
    <t>ANDREONL TRUST</t>
  </si>
  <si>
    <t>PLAGMANN GLEN &amp; MARY L</t>
  </si>
  <si>
    <t>RUDOLPH</t>
  </si>
  <si>
    <t>KNOP</t>
  </si>
  <si>
    <t>SHARILYN</t>
  </si>
  <si>
    <t>RUDOLPH &amp; SHARILYN KNOP</t>
  </si>
  <si>
    <t xml:space="preserve">5580 W MELINDA LN </t>
  </si>
  <si>
    <t>LEE HEIDI K</t>
  </si>
  <si>
    <t>KNOP RUDOLPH W</t>
  </si>
  <si>
    <t>JENSEN SHARILYN H</t>
  </si>
  <si>
    <t>KNOP RUDOLPH WILLIAM</t>
  </si>
  <si>
    <t>JONATHAN &amp; PATRICIA LAYTON</t>
  </si>
  <si>
    <t xml:space="preserve">16215 E SAGUARO VISTA CT </t>
  </si>
  <si>
    <t>FRAZER GARY W</t>
  </si>
  <si>
    <t>LAYTON JONATHAN &amp; PATRICIA</t>
  </si>
  <si>
    <t>BRADOS</t>
  </si>
  <si>
    <t>JACQUES &amp; BARBARA BRADOS</t>
  </si>
  <si>
    <t xml:space="preserve">27809 N 37TH AVE </t>
  </si>
  <si>
    <t>ONEAL DEBBIE</t>
  </si>
  <si>
    <t>BRADOS JACQUES C &amp; BARBARA R</t>
  </si>
  <si>
    <t>ERIC &amp; DANIELLE SMITH</t>
  </si>
  <si>
    <t xml:space="preserve">2021 W CAROL ANN WAY </t>
  </si>
  <si>
    <t>TURF VILLAGE 2 AMD</t>
  </si>
  <si>
    <t>TURF VILLAGE</t>
  </si>
  <si>
    <t>GINEVRA TIMOTHY</t>
  </si>
  <si>
    <t>SMITH ERIC C &amp; DANIELLE P</t>
  </si>
  <si>
    <t>MONOHAN</t>
  </si>
  <si>
    <t>JOHN &amp; JULIA MONOHAN</t>
  </si>
  <si>
    <t xml:space="preserve">18554 W HATCHER RD </t>
  </si>
  <si>
    <t>MONOHAN JOHN C &amp; JULIA G</t>
  </si>
  <si>
    <t>FLAMENCO</t>
  </si>
  <si>
    <t>CARLOS &amp; ANGEL FLAMENCO</t>
  </si>
  <si>
    <t xml:space="preserve">24608 W GREGORY RD </t>
  </si>
  <si>
    <t xml:space="preserve">4941 S 243RD DR </t>
  </si>
  <si>
    <t>CARLOS N FLAMENCO</t>
  </si>
  <si>
    <t>ANGEL FLAMENCO</t>
  </si>
  <si>
    <t>AUBREY</t>
  </si>
  <si>
    <t>SCHAAN</t>
  </si>
  <si>
    <t>AUBREY RAY &amp; JULIE SCHAAN</t>
  </si>
  <si>
    <t xml:space="preserve">5205 W MOUNTAIN VIEW RD </t>
  </si>
  <si>
    <t>DELEON CRISTINA M</t>
  </si>
  <si>
    <t>RAY AUBREY B</t>
  </si>
  <si>
    <t>SCHAAN JULIE</t>
  </si>
  <si>
    <t>DEIRDRE</t>
  </si>
  <si>
    <t>ROBERT &amp; DEIRDRE TORRES</t>
  </si>
  <si>
    <t xml:space="preserve">18157 W CARMEN DR </t>
  </si>
  <si>
    <t>SURPRISE FARMS PHASE 4 PARCEL 5</t>
  </si>
  <si>
    <t>REGAL</t>
  </si>
  <si>
    <t>MARTIN JASON</t>
  </si>
  <si>
    <t>TORRES ROBERT</t>
  </si>
  <si>
    <t>ROY &amp; DEBRA ADKINS</t>
  </si>
  <si>
    <t xml:space="preserve">10502 E SILVERTREE DR </t>
  </si>
  <si>
    <t>SOTTILE JOSEPH S</t>
  </si>
  <si>
    <t>ADKINS ROY D &amp; DEBRA S</t>
  </si>
  <si>
    <t>SOTO</t>
  </si>
  <si>
    <t>DELIGHT</t>
  </si>
  <si>
    <t>VALLI</t>
  </si>
  <si>
    <t>JOSEPH SOTO &amp; DELIGHT VALLI</t>
  </si>
  <si>
    <t xml:space="preserve">1308 W WICKIEUP LN </t>
  </si>
  <si>
    <t>DESERT VALLEY ESTATES 6</t>
  </si>
  <si>
    <t>ASLAN RESIDENTIAL I LLC</t>
  </si>
  <si>
    <t>JOSEPH R SOTO</t>
  </si>
  <si>
    <t>VALLI D SOTO</t>
  </si>
  <si>
    <t>BOYER</t>
  </si>
  <si>
    <t>LAURY</t>
  </si>
  <si>
    <t>CHARLES &amp; LAURY BOYER</t>
  </si>
  <si>
    <t xml:space="preserve">1456 E AUGUSTA AVE </t>
  </si>
  <si>
    <t>SPRINGFIELD BLOCK 10</t>
  </si>
  <si>
    <t>STO DOMINGO A G &amp; L TRUST</t>
  </si>
  <si>
    <t>BOYER CHARLES E &amp; LAURY G</t>
  </si>
  <si>
    <t>LEEANN</t>
  </si>
  <si>
    <t>PARHAM</t>
  </si>
  <si>
    <t>LEEANN PARHAM</t>
  </si>
  <si>
    <t xml:space="preserve">25704 W GLOBE AVE </t>
  </si>
  <si>
    <t>WARD MARK P &amp; JENNIFER L</t>
  </si>
  <si>
    <t>PARHAM LEEANN</t>
  </si>
  <si>
    <t>EUGENE &amp; JOSEPHINE WILSON</t>
  </si>
  <si>
    <t xml:space="preserve">2559 E HOPI AVE </t>
  </si>
  <si>
    <t>ROSS MICHAEL &amp; MICHELLE</t>
  </si>
  <si>
    <t>WILSON EUGENE &amp; JOSEPHINE</t>
  </si>
  <si>
    <t>HEIFERT</t>
  </si>
  <si>
    <t>NADINE</t>
  </si>
  <si>
    <t>MENDEZ-HEIFERT</t>
  </si>
  <si>
    <t>KEITH HEIFERT &amp; NADINE MENDEZ-HEIFERT</t>
  </si>
  <si>
    <t xml:space="preserve">632 E GAIL DR </t>
  </si>
  <si>
    <t>PROVINCES 1 PHASE 3A</t>
  </si>
  <si>
    <t>KELLAHER STEPHEN O</t>
  </si>
  <si>
    <t>HEIFERT KEITH H</t>
  </si>
  <si>
    <t>MENDEZ-HEIFERT NADINE A</t>
  </si>
  <si>
    <t>STRICKER</t>
  </si>
  <si>
    <t>BARRY STRICKER</t>
  </si>
  <si>
    <t xml:space="preserve">3005 W AUGUSTA AVE </t>
  </si>
  <si>
    <t>PAGE PARK LOT 22-29</t>
  </si>
  <si>
    <t>PAGE PARK -</t>
  </si>
  <si>
    <t>CORTEZ HIGH SCHOOL</t>
  </si>
  <si>
    <t>SCHOLZ FAMILY LIVING TRUST</t>
  </si>
  <si>
    <t>STRICKER BARRY D</t>
  </si>
  <si>
    <t>MARK BARRY</t>
  </si>
  <si>
    <t xml:space="preserve">2235 E ESCUDA RD </t>
  </si>
  <si>
    <t>MOUNTAIN BREEZE</t>
  </si>
  <si>
    <t>LAUFER ELISABETH J</t>
  </si>
  <si>
    <t>BARRY MARK</t>
  </si>
  <si>
    <t>PARSONS</t>
  </si>
  <si>
    <t>WIENEKE</t>
  </si>
  <si>
    <t>ADAM PARSONS &amp; PAIGE WIENEKE</t>
  </si>
  <si>
    <t xml:space="preserve">8520 E ROSE LN </t>
  </si>
  <si>
    <t>NGUYEN MARY H</t>
  </si>
  <si>
    <t>WIENEKE PAIGE</t>
  </si>
  <si>
    <t>MARSHALL SMITH &amp; SIRRIS SLAY</t>
  </si>
  <si>
    <t xml:space="preserve">32305 N 224TH DR </t>
  </si>
  <si>
    <t>JOINT TENANCY QUIT CLAIM DEED</t>
  </si>
  <si>
    <t>SMITH MARSHALL G</t>
  </si>
  <si>
    <t>CANEZ</t>
  </si>
  <si>
    <t>FERNANDO CANEZ</t>
  </si>
  <si>
    <t xml:space="preserve">17697 W COPPER RIDGE DR </t>
  </si>
  <si>
    <t>SUNCHASE AT ESTRELLA PARCEL NO 33</t>
  </si>
  <si>
    <t>WOOD MICHAEL V</t>
  </si>
  <si>
    <t>CANEZ FERNANDO R</t>
  </si>
  <si>
    <t>MALCORE</t>
  </si>
  <si>
    <t>DOUGLAS &amp; MEAGAN MALCORE</t>
  </si>
  <si>
    <t xml:space="preserve">732 W MESQUITE ST </t>
  </si>
  <si>
    <t>WATT STEVEN D</t>
  </si>
  <si>
    <t>MALCORE DOUGLAS L &amp; MEAGAN K</t>
  </si>
  <si>
    <t>KATZ</t>
  </si>
  <si>
    <t>JEFFREY &amp; LAURA KATZ</t>
  </si>
  <si>
    <t xml:space="preserve">6007 W OBERLIN WAY </t>
  </si>
  <si>
    <t xml:space="preserve">6610 W ROY ROGERS RD </t>
  </si>
  <si>
    <t>PYRAMID HEIGHTS PHASE 2</t>
  </si>
  <si>
    <t>PYRAMID HEIGHTS</t>
  </si>
  <si>
    <t>RANDOLPH JEFFREY D</t>
  </si>
  <si>
    <t>BOLDEN</t>
  </si>
  <si>
    <t>ARNOLD &amp; LISA BOLDEN</t>
  </si>
  <si>
    <t xml:space="preserve">9036 W MAUNA LOA LN </t>
  </si>
  <si>
    <t>HORSESHOE BAY LOT 1-70 TR A-D</t>
  </si>
  <si>
    <t>HORSESHOE BAY</t>
  </si>
  <si>
    <t>HUGGENVIK FAMILYT TRUST</t>
  </si>
  <si>
    <t>BOLDEN ARNOLD</t>
  </si>
  <si>
    <t>FLORENTINO</t>
  </si>
  <si>
    <t>PUNLA</t>
  </si>
  <si>
    <t>FLORENTINO &amp; ERLINDA PUNLA</t>
  </si>
  <si>
    <t xml:space="preserve">19815 E MAYBERRY RD </t>
  </si>
  <si>
    <t>HICKS RYAN &amp; KENDRA</t>
  </si>
  <si>
    <t>PUNLA FLORENTINO &amp; ERLINDA</t>
  </si>
  <si>
    <t>MARILEE</t>
  </si>
  <si>
    <t>MELVIN &amp; MARILEE SHERIDAN</t>
  </si>
  <si>
    <t xml:space="preserve">8507 W BAJADA RD </t>
  </si>
  <si>
    <t>MCGREEVY TRUST</t>
  </si>
  <si>
    <t>SHERIDAN MELVIN &amp; MARILEE</t>
  </si>
  <si>
    <t>ATEN</t>
  </si>
  <si>
    <t>RONALD &amp; CELESTE ATEN</t>
  </si>
  <si>
    <t xml:space="preserve">12260 W PRICKLY PEAR TRL </t>
  </si>
  <si>
    <t>ATEN RONALD J &amp; CELESTE M</t>
  </si>
  <si>
    <t>JEREMY THOMPSON</t>
  </si>
  <si>
    <t xml:space="preserve">5036 E DOVER ST </t>
  </si>
  <si>
    <t>MCQUILLEN AMY &amp; ROBERT</t>
  </si>
  <si>
    <t>THOMPSON JEREMY</t>
  </si>
  <si>
    <t>ADAN</t>
  </si>
  <si>
    <t>ADAN &amp; KELLY PEREZ</t>
  </si>
  <si>
    <t xml:space="preserve">274 E CLIFTON AVE </t>
  </si>
  <si>
    <t>GILBERT COMMONS UNIT 1</t>
  </si>
  <si>
    <t>GILBERT COMMONS</t>
  </si>
  <si>
    <t>ARMSTRONG-WERNER TIFFANY M</t>
  </si>
  <si>
    <t>PEREZ ADAN C &amp; KELLY</t>
  </si>
  <si>
    <t>CARMONA</t>
  </si>
  <si>
    <t>RAFAEL CARMONA</t>
  </si>
  <si>
    <t xml:space="preserve">7455 W CRABAPPLE DR </t>
  </si>
  <si>
    <t>CARMONA RAFAEL A</t>
  </si>
  <si>
    <t>PELLIGRINI</t>
  </si>
  <si>
    <t>MARK &amp; MAIA PELLIGRINI</t>
  </si>
  <si>
    <t xml:space="preserve">2946 N AVOCA CIR </t>
  </si>
  <si>
    <t>IRONWOOD PASS UNIT 4 AT LAS SENDAS</t>
  </si>
  <si>
    <t>DIRUSSO ROBERT &amp; INGRID TRUST</t>
  </si>
  <si>
    <t>NUVISION FCU</t>
  </si>
  <si>
    <t>PELLIGRINI MARK</t>
  </si>
  <si>
    <t>PELLEGRINI MAIA</t>
  </si>
  <si>
    <t>TARRANT</t>
  </si>
  <si>
    <t>TARRANT &amp; ELIZABETH AGUIRRE</t>
  </si>
  <si>
    <t xml:space="preserve">16135 W GLENROSA AVE </t>
  </si>
  <si>
    <t>TARRANT JASON L &amp; ELIZABETH A</t>
  </si>
  <si>
    <t>BRUX</t>
  </si>
  <si>
    <t>MICHAEL BRUX</t>
  </si>
  <si>
    <t xml:space="preserve">4243 E ENROSE ST </t>
  </si>
  <si>
    <t>SUMMIT AT MONTECITO</t>
  </si>
  <si>
    <t>MONTECITO</t>
  </si>
  <si>
    <t>RIGGALL CATHY</t>
  </si>
  <si>
    <t>MICHIGAN MUTUAL INC</t>
  </si>
  <si>
    <t>BRUX MICHAEL F</t>
  </si>
  <si>
    <t>FACIANE</t>
  </si>
  <si>
    <t>JUSTIN FACIANE</t>
  </si>
  <si>
    <t xml:space="preserve">43414 N 12TH ST </t>
  </si>
  <si>
    <t>GRIFFIN DANIEL &amp; EMILY</t>
  </si>
  <si>
    <t>FACIANE JUSTIN</t>
  </si>
  <si>
    <t>CORINA</t>
  </si>
  <si>
    <t>ROBERT LUIS &amp; CORINA LANGE</t>
  </si>
  <si>
    <t xml:space="preserve">9922 E CELTIC DR #34 </t>
  </si>
  <si>
    <t xml:space="preserve">9922 E CELTIC DR </t>
  </si>
  <si>
    <t>GREGORY SONIA M</t>
  </si>
  <si>
    <t>LUIS ROBERT J</t>
  </si>
  <si>
    <t>LANGE CORINA L</t>
  </si>
  <si>
    <t>KENNETH &amp; PATRICIA WYLIE</t>
  </si>
  <si>
    <t xml:space="preserve">17370 W LINCOLN ST </t>
  </si>
  <si>
    <t>LATHAM LARRY L</t>
  </si>
  <si>
    <t>WYLIE KENNETH &amp; PATRICIA</t>
  </si>
  <si>
    <t>OHM</t>
  </si>
  <si>
    <t>JAMES &amp; JILL OHM</t>
  </si>
  <si>
    <t xml:space="preserve">17550 W CARIBBEAN LN </t>
  </si>
  <si>
    <t>BECSEY ROBERT</t>
  </si>
  <si>
    <t>OHM JAMES H &amp; JILL M</t>
  </si>
  <si>
    <t>AUSTIN HANCOCK</t>
  </si>
  <si>
    <t xml:space="preserve">2901 W STRAFORD DR </t>
  </si>
  <si>
    <t>CARRIAGE LANE 7 LOT 114-239 &amp; TR C &amp; TR</t>
  </si>
  <si>
    <t>RINGWALD JAMES</t>
  </si>
  <si>
    <t>HANCOCK AUSTIN G</t>
  </si>
  <si>
    <t>MICHAEL &amp; NATALIE FLORES</t>
  </si>
  <si>
    <t xml:space="preserve">11412 E PETERSON AVE </t>
  </si>
  <si>
    <t>MERIDIAN POINTE UNIT 2</t>
  </si>
  <si>
    <t>DOSS JARED R</t>
  </si>
  <si>
    <t>FLORES MICHAEL</t>
  </si>
  <si>
    <t>EVERETT</t>
  </si>
  <si>
    <t>JUSTIN EVERETT</t>
  </si>
  <si>
    <t xml:space="preserve">505 E PAPAGO DR </t>
  </si>
  <si>
    <t>DRYDEN ASHLEY</t>
  </si>
  <si>
    <t>EVERETT JUSTIN</t>
  </si>
  <si>
    <t>LAY</t>
  </si>
  <si>
    <t>ROTH</t>
  </si>
  <si>
    <t>ROGER LAY &amp; MICHAEL ROTH</t>
  </si>
  <si>
    <t xml:space="preserve">4633 E SUNRISE DR </t>
  </si>
  <si>
    <t>SPANISH MOUNTAIN ESTATES LOT 1-90 &amp; TR A</t>
  </si>
  <si>
    <t>SPANISH MOUNTAIN ESTATES</t>
  </si>
  <si>
    <t>HOLSTEIN CARLOTTA A</t>
  </si>
  <si>
    <t>LAY ROGER L</t>
  </si>
  <si>
    <t>ROTH MICHAEL</t>
  </si>
  <si>
    <t>SWIERSKI</t>
  </si>
  <si>
    <t>JESSIE</t>
  </si>
  <si>
    <t>MICHAEL &amp; JESSIE SWIERSKI</t>
  </si>
  <si>
    <t xml:space="preserve">6620 S 48TH LN </t>
  </si>
  <si>
    <t>ROGERS RANCH UNIT 1</t>
  </si>
  <si>
    <t>GUTIERREZ DANIEL</t>
  </si>
  <si>
    <t>MICHAEL SWIERSKI</t>
  </si>
  <si>
    <t>JESSIE SWIERSKI</t>
  </si>
  <si>
    <t>MICHAEL &amp; BRENDA MEADOWS</t>
  </si>
  <si>
    <t xml:space="preserve">17358 W BRIDGER ST </t>
  </si>
  <si>
    <t>BJELLAND FAMILY LIVING TRUST</t>
  </si>
  <si>
    <t>MEADOWS MICHAEL C &amp; BRENDA S</t>
  </si>
  <si>
    <t>DEBORA</t>
  </si>
  <si>
    <t>JORDAN &amp; DEBORA JAMES</t>
  </si>
  <si>
    <t xml:space="preserve">14625 W HILLSIDE ST </t>
  </si>
  <si>
    <t>MEESE FAMILY TRUST</t>
  </si>
  <si>
    <t>JAMES JORDAN &amp; DEBORAH</t>
  </si>
  <si>
    <t>DESGRANGES</t>
  </si>
  <si>
    <t>RICHARD DESGRANGES</t>
  </si>
  <si>
    <t xml:space="preserve">4801 E KIVA ST </t>
  </si>
  <si>
    <t>BTZKK HOME INVESTMENTS LLC</t>
  </si>
  <si>
    <t>ERIC KERR</t>
  </si>
  <si>
    <t xml:space="preserve">15208 W CAMERON DR </t>
  </si>
  <si>
    <t>HAINES JASON D</t>
  </si>
  <si>
    <t>KERR ERIC</t>
  </si>
  <si>
    <t>DRAGOLJUB</t>
  </si>
  <si>
    <t>NESKOVIC</t>
  </si>
  <si>
    <t>DRAGOLJUB &amp; GINA NESKOVIC</t>
  </si>
  <si>
    <t xml:space="preserve">18001 N 46TH DR </t>
  </si>
  <si>
    <t>BELLAIR UNIT 4 LOT 532-575</t>
  </si>
  <si>
    <t>ELLIS MEGAN</t>
  </si>
  <si>
    <t>NESKOVIC DRAGOLJUB &amp; GINA R</t>
  </si>
  <si>
    <t>SMITH-BOOKER FAMILY LIVING TRUST</t>
  </si>
  <si>
    <t>SMITH-BOOKER</t>
  </si>
  <si>
    <t xml:space="preserve">2062 E TORREY PINES PL </t>
  </si>
  <si>
    <t>COOPER COMMONS PARCEL 1</t>
  </si>
  <si>
    <t>ALLEN KEVIN</t>
  </si>
  <si>
    <t>BOOKER JAMES L</t>
  </si>
  <si>
    <t>SMITH TONI L</t>
  </si>
  <si>
    <t>CHENOA</t>
  </si>
  <si>
    <t>&amp; CHENOA DANIELLE</t>
  </si>
  <si>
    <t xml:space="preserve">4440 E OLNEY DR </t>
  </si>
  <si>
    <t>SPANISH MOUNTAIN ESTATES UNIT 2 LT 91-25</t>
  </si>
  <si>
    <t>SPENCER BRYAN &amp; JERI</t>
  </si>
  <si>
    <t>VILLA MANUEL L &amp; CHENOA D</t>
  </si>
  <si>
    <t>MILLETT</t>
  </si>
  <si>
    <t>ANTHONY &amp; KATHERINE MILLETT</t>
  </si>
  <si>
    <t xml:space="preserve">16760 N 152ND CT </t>
  </si>
  <si>
    <t xml:space="preserve">16760 N 15TH CT </t>
  </si>
  <si>
    <t>ORCHARDS PARCEL 3</t>
  </si>
  <si>
    <t>WONG YIU K</t>
  </si>
  <si>
    <t>MILLETT ANTHONY R &amp; KATHERINE</t>
  </si>
  <si>
    <t>FRANKLYN</t>
  </si>
  <si>
    <t>ZAHRT</t>
  </si>
  <si>
    <t>FRANKLYN &amp; CYNTHIA ZAHRT</t>
  </si>
  <si>
    <t xml:space="preserve">3431 E MENADOTA DR </t>
  </si>
  <si>
    <t>PRELUDE AT PARADISE VALLEY</t>
  </si>
  <si>
    <t>KUHFUSS PATRICIA A TRUST</t>
  </si>
  <si>
    <t>ZAHRT FRANKLYN J</t>
  </si>
  <si>
    <t>DALE &amp; LAURA HICKEY</t>
  </si>
  <si>
    <t xml:space="preserve">657 S SABRINA </t>
  </si>
  <si>
    <t>PARKWOOD RANCH PARCEL 9</t>
  </si>
  <si>
    <t>IRONWOOD AT PARKWOOD RANCH</t>
  </si>
  <si>
    <t>HARDEN FAMILY LIVING TRUST</t>
  </si>
  <si>
    <t>DALE HICKEY</t>
  </si>
  <si>
    <t>LAURA HICKEY</t>
  </si>
  <si>
    <t>FROSCH</t>
  </si>
  <si>
    <t>DANIEL FROSCH</t>
  </si>
  <si>
    <t xml:space="preserve">11417 W OLIVE DR </t>
  </si>
  <si>
    <t>LAS VISTAS LOT 1-121 TRACT A &amp; F1-F3</t>
  </si>
  <si>
    <t>LAS VISTAS</t>
  </si>
  <si>
    <t>BARRAZA JOSE A</t>
  </si>
  <si>
    <t>FROSCH DANIEL</t>
  </si>
  <si>
    <t>MERKLE</t>
  </si>
  <si>
    <t>JONATHAN MERKLE</t>
  </si>
  <si>
    <t xml:space="preserve">1741 S CLEARVIEW AVE #95 </t>
  </si>
  <si>
    <t>PARCEL 13 AT SUPERSTITION SPRINGS</t>
  </si>
  <si>
    <t>PREMIERE SUPERSTITION SPRING</t>
  </si>
  <si>
    <t>MARSTOKK SIMEN</t>
  </si>
  <si>
    <t>MERKLE JONATHAN D</t>
  </si>
  <si>
    <t>AARON &amp; CHRISTINA WILLIAMS</t>
  </si>
  <si>
    <t xml:space="preserve">40725 N COURAGE TRL </t>
  </si>
  <si>
    <t>JSB HOMES LLC</t>
  </si>
  <si>
    <t>GLENDALE AZ 85306</t>
  </si>
  <si>
    <t>AARON WILLIAMS</t>
  </si>
  <si>
    <t>CHRISTINA M WILLIAMS</t>
  </si>
  <si>
    <t>JAMES LOTT</t>
  </si>
  <si>
    <t xml:space="preserve">1401 E GAIL DR </t>
  </si>
  <si>
    <t>COUNTRYWALK LOT 1-109 TR A-K</t>
  </si>
  <si>
    <t>COUNTRYWALK</t>
  </si>
  <si>
    <t>HANDY EDWARD G &amp; RICHELLE</t>
  </si>
  <si>
    <t>LOTT JAMES R JR</t>
  </si>
  <si>
    <t>MEDLEY</t>
  </si>
  <si>
    <t>MICHAEL MEDLEY</t>
  </si>
  <si>
    <t xml:space="preserve">14738 W COLUMBUS AVE </t>
  </si>
  <si>
    <t>DILLARD LINDA S</t>
  </si>
  <si>
    <t>MEDLEY MICHAEL L</t>
  </si>
  <si>
    <t>THOMAS &amp; DENISE KENT</t>
  </si>
  <si>
    <t xml:space="preserve">23927 N PABLO CT </t>
  </si>
  <si>
    <t>DOS RIOS UNIT 1</t>
  </si>
  <si>
    <t>DOS RIOS</t>
  </si>
  <si>
    <t>BDKTH INVESTMENTS LLC</t>
  </si>
  <si>
    <t>KENT THOMAS R</t>
  </si>
  <si>
    <t>DAWSON</t>
  </si>
  <si>
    <t>KENNETH &amp; ROBERTA DAWSON</t>
  </si>
  <si>
    <t xml:space="preserve">10106 W CONCHO CIR </t>
  </si>
  <si>
    <t>SUN CITY 51  LOT 1-225</t>
  </si>
  <si>
    <t>JUHL FAMILY TRUST</t>
  </si>
  <si>
    <t>DAWSON KENNETH R &amp; ROBERTA L</t>
  </si>
  <si>
    <t>RICHARD &amp; SHERYL MITCHELL</t>
  </si>
  <si>
    <t xml:space="preserve">10602 W MIMOSA DR </t>
  </si>
  <si>
    <t>SUN CITY 44</t>
  </si>
  <si>
    <t>WALLACE LIVING TRUST</t>
  </si>
  <si>
    <t>MITCHELL RICHARD D &amp; SHERYL A</t>
  </si>
  <si>
    <t>PICKLE TRUST</t>
  </si>
  <si>
    <t>PICKLE</t>
  </si>
  <si>
    <t xml:space="preserve">17468 N 92ND AVE </t>
  </si>
  <si>
    <t>PICKLE TERRY D &amp; JULIE A</t>
  </si>
  <si>
    <t>BRUCE &amp; SUSAN SKINNER</t>
  </si>
  <si>
    <t xml:space="preserve">4839 E LA PUENTE AVE </t>
  </si>
  <si>
    <t>DESERT FOOTHILLS ESTATES UNIT 5 LOT 511-</t>
  </si>
  <si>
    <t>DESERT FOOTHILLS ESTATES</t>
  </si>
  <si>
    <t>SKINNER JASON M</t>
  </si>
  <si>
    <t>DITECH FIN'L</t>
  </si>
  <si>
    <t>FORT WASHINGTON PA 19034</t>
  </si>
  <si>
    <t>BRUCE M SKINNER</t>
  </si>
  <si>
    <t>SUSAN C SKINNER</t>
  </si>
  <si>
    <t>LORASH</t>
  </si>
  <si>
    <t>MARTY</t>
  </si>
  <si>
    <t>CURTIS &amp; MARTY LORASH</t>
  </si>
  <si>
    <t xml:space="preserve">503 E SAINT KATERI LN </t>
  </si>
  <si>
    <t>HERITAGE AT ALTA VISTA AMD</t>
  </si>
  <si>
    <t>HERITAGE AT ALTA VISTA</t>
  </si>
  <si>
    <t>JOHN F. KENNEDY ELEMENTARY SCHOOL</t>
  </si>
  <si>
    <t>C.O. GREENFIELD SCHOOL</t>
  </si>
  <si>
    <t>COX JOHN W</t>
  </si>
  <si>
    <t>LORASH CURTIS W &amp; MARTY L</t>
  </si>
  <si>
    <t>MONROE</t>
  </si>
  <si>
    <t>CLIFTON MONROE</t>
  </si>
  <si>
    <t xml:space="preserve">708 E GLENHAVEN DR </t>
  </si>
  <si>
    <t>FOOTHILLS PARCELS 12A B &amp; C</t>
  </si>
  <si>
    <t>BJORKLUND TROY</t>
  </si>
  <si>
    <t>MONROE CLIFTON</t>
  </si>
  <si>
    <t>TOM</t>
  </si>
  <si>
    <t>ANTOLIC</t>
  </si>
  <si>
    <t>TOM ANTOLIC</t>
  </si>
  <si>
    <t xml:space="preserve">1143 N 86TH WAY </t>
  </si>
  <si>
    <t>TRAILS AT SCOTTSDALE 4 AMD LOT453-598 TR</t>
  </si>
  <si>
    <t>HOVE JUSTIN L</t>
  </si>
  <si>
    <t>ANTOLIC TOM</t>
  </si>
  <si>
    <t>JASON RAY</t>
  </si>
  <si>
    <t xml:space="preserve">17971 N 91ST DR </t>
  </si>
  <si>
    <t>BROOKSIDE VILLAGE UNIT 1</t>
  </si>
  <si>
    <t>V &amp; V LLC</t>
  </si>
  <si>
    <t>RAY JASON &amp; KATHRYN</t>
  </si>
  <si>
    <t>JOSEPH &amp; DEBORAH HAWKS</t>
  </si>
  <si>
    <t xml:space="preserve">9649 E OLLA AVE </t>
  </si>
  <si>
    <t>HAWKS JOSEPH L &amp; DEBORAH A</t>
  </si>
  <si>
    <t>BLUE</t>
  </si>
  <si>
    <t>LEANN</t>
  </si>
  <si>
    <t>JOHN &amp; LEANN BLUE</t>
  </si>
  <si>
    <t xml:space="preserve">14541 W EVANS DR </t>
  </si>
  <si>
    <t>ROYAL RANCH UNIT 1 PARCEL 3 REPLAT</t>
  </si>
  <si>
    <t>CAHALL SHERILL</t>
  </si>
  <si>
    <t>JOHN A BLUE</t>
  </si>
  <si>
    <t>LEANN M BLUE</t>
  </si>
  <si>
    <t>VOLLMAN</t>
  </si>
  <si>
    <t>NATASHA &amp; PAUL VOLLMAN</t>
  </si>
  <si>
    <t xml:space="preserve">9331 W BONITOS RD </t>
  </si>
  <si>
    <t>JOHNSON JAY L</t>
  </si>
  <si>
    <t>VOLLMAN NATASHA M &amp; PAUL D JR</t>
  </si>
  <si>
    <t>CHRISTOPHER &amp; REBECCA ANDERSON</t>
  </si>
  <si>
    <t xml:space="preserve">390 S APACHE DR </t>
  </si>
  <si>
    <t>LOZANO ALFREDO &amp; AMANDA</t>
  </si>
  <si>
    <t>ANDERSON CHRISTOPHER SCOTT</t>
  </si>
  <si>
    <t>TERRY &amp; CONNIE BARNES</t>
  </si>
  <si>
    <t xml:space="preserve">22824 W MOONLIGHT PATH </t>
  </si>
  <si>
    <t>SUNDANCE PARCEL 14</t>
  </si>
  <si>
    <t>BARNES TERRY &amp; CONNIE</t>
  </si>
  <si>
    <t>GAZDA</t>
  </si>
  <si>
    <t>DONNA GAZDA</t>
  </si>
  <si>
    <t xml:space="preserve">3858 E DAHLIA DR </t>
  </si>
  <si>
    <t>PLEASANT VALLEY ESTATES 2</t>
  </si>
  <si>
    <t>PLEASANT VALLEY ESTATES</t>
  </si>
  <si>
    <t>EAGLE SURVEYING SVCS LLC</t>
  </si>
  <si>
    <t>GAZDA JOSEPH P &amp; DONNA A</t>
  </si>
  <si>
    <t>DON ANDERSON</t>
  </si>
  <si>
    <t xml:space="preserve">7921 E NOPAL AVE </t>
  </si>
  <si>
    <t>R155</t>
  </si>
  <si>
    <t>SATHRE JOHN W &amp; SUSAN K</t>
  </si>
  <si>
    <t>ANDERSON DON E</t>
  </si>
  <si>
    <t>RONALD &amp; APRIL LUCAS</t>
  </si>
  <si>
    <t xml:space="preserve">25926 S GRAPEFRUIT DR </t>
  </si>
  <si>
    <t>CORRECTION DEED</t>
  </si>
  <si>
    <t>DESERT GOLD LAND HOLDINGS</t>
  </si>
  <si>
    <t>LUCAS RONALD W P &amp; APRIL</t>
  </si>
  <si>
    <t>BENKO</t>
  </si>
  <si>
    <t>ROBERT &amp; DORIS BENKO</t>
  </si>
  <si>
    <t xml:space="preserve">20547 N 260TH LN </t>
  </si>
  <si>
    <t>ROBERT A BENKO</t>
  </si>
  <si>
    <t>DORIS BENKO</t>
  </si>
  <si>
    <t>HEAPES</t>
  </si>
  <si>
    <t>SEAN HEAPES</t>
  </si>
  <si>
    <t xml:space="preserve">5347 E DRAGOON AVE </t>
  </si>
  <si>
    <t>CENTURY GARDENS UNIT 4 LOT 73-114</t>
  </si>
  <si>
    <t>CENTURY GARDENS</t>
  </si>
  <si>
    <t>GEHRINGER THOMAS A</t>
  </si>
  <si>
    <t>HEAPES SEAN</t>
  </si>
  <si>
    <t>JONATHAN &amp; HEATHER ACOSTA</t>
  </si>
  <si>
    <t xml:space="preserve">3110 E ROLAND ST </t>
  </si>
  <si>
    <t>ACOSTA JONATHAN A &amp; HEATHER</t>
  </si>
  <si>
    <t>WALSH</t>
  </si>
  <si>
    <t>MICHAEL &amp; JULIE WALSH</t>
  </si>
  <si>
    <t xml:space="preserve">24545 W RED ROBIN DR #35 </t>
  </si>
  <si>
    <t xml:space="preserve">24545 W RED ROBIN DR </t>
  </si>
  <si>
    <t>PATTON PLACE ESTATES UNTI 1 AMD</t>
  </si>
  <si>
    <t>AGUILAR MICHAEL A &amp; ARLEEN</t>
  </si>
  <si>
    <t>WALSH MICHAEL &amp; JULIE</t>
  </si>
  <si>
    <t>ALBERTI</t>
  </si>
  <si>
    <t>JOSEPH &amp; SALLY ALBERTI</t>
  </si>
  <si>
    <t xml:space="preserve">1102 S MEADOWS DR </t>
  </si>
  <si>
    <t>SKALKA THOMAS &amp; REBECCA</t>
  </si>
  <si>
    <t>ALBERTI JOSEPH R &amp; SALLY D</t>
  </si>
  <si>
    <t>JOCHUM</t>
  </si>
  <si>
    <t>I-TE</t>
  </si>
  <si>
    <t>THOMAS &amp; I-TE JOCHUM</t>
  </si>
  <si>
    <t xml:space="preserve">16892 W ADAMS ST </t>
  </si>
  <si>
    <t>CARTUS FINL CORP 2671800</t>
  </si>
  <si>
    <t>JOCHUM THOMAS J &amp; I-TE Y</t>
  </si>
  <si>
    <t>DOMARENA</t>
  </si>
  <si>
    <t>JOHN &amp; DOMARENA CHAVEZ</t>
  </si>
  <si>
    <t xml:space="preserve">10930 W LAURELWOOD LN </t>
  </si>
  <si>
    <t>EWEST LIVING TRUST</t>
  </si>
  <si>
    <t>CHAVEZ JOHN A &amp; DOMARENA J</t>
  </si>
  <si>
    <t>SHALENA</t>
  </si>
  <si>
    <t>SHALENA UNDERWOOD</t>
  </si>
  <si>
    <t xml:space="preserve">4931 W APOLLO RD </t>
  </si>
  <si>
    <t>ROGERS RANCH UNIT 5</t>
  </si>
  <si>
    <t>RING MARK</t>
  </si>
  <si>
    <t>UNDERWOOD SHALENA Y</t>
  </si>
  <si>
    <t>STEIN FAMILY LIVING TRUST</t>
  </si>
  <si>
    <t>STEIN</t>
  </si>
  <si>
    <t xml:space="preserve">2544 E VERMONT DR </t>
  </si>
  <si>
    <t xml:space="preserve">20094 S 192ND PL </t>
  </si>
  <si>
    <t>STEIN ROBERT &amp; JOYCE</t>
  </si>
  <si>
    <t>WALKER LOUISA N TRUST</t>
  </si>
  <si>
    <t>N WALKERLOUISA</t>
  </si>
  <si>
    <t xml:space="preserve">17539 W LIBERTY LN </t>
  </si>
  <si>
    <t>SALT LAKE CITY UT 84111</t>
  </si>
  <si>
    <t>WALKER LOUISA</t>
  </si>
  <si>
    <t>JEFFREY WESTON &amp; ANN LEIGH</t>
  </si>
  <si>
    <t xml:space="preserve">8208 E WHITTON AVE </t>
  </si>
  <si>
    <t>SCOTTSDALE ESTATES 7 LOTS 760-887  TR A</t>
  </si>
  <si>
    <t>CHERRYPICK INVESTMENTS LLC</t>
  </si>
  <si>
    <t>WESTON JEFFREY J &amp; LEIGH A</t>
  </si>
  <si>
    <t>BULLARD</t>
  </si>
  <si>
    <t>SILK</t>
  </si>
  <si>
    <t>JOHN BULLARD &amp; JEAN SILK</t>
  </si>
  <si>
    <t xml:space="preserve">4214 E TOWNE LN </t>
  </si>
  <si>
    <t>MOORE SARA</t>
  </si>
  <si>
    <t>BULLARD JOHN</t>
  </si>
  <si>
    <t>SILK JEAN</t>
  </si>
  <si>
    <t>TORREZ</t>
  </si>
  <si>
    <t>RAYMOND &amp; TRACIE TORREZ</t>
  </si>
  <si>
    <t xml:space="preserve">7303 E FLOWER AVE </t>
  </si>
  <si>
    <t>FULTON HOMES AT SUPERSTITION SPRINGS UNI</t>
  </si>
  <si>
    <t>FULTON HOMES AT SUPERSTITION SPRINGS</t>
  </si>
  <si>
    <t>MANDLY KRISTEN</t>
  </si>
  <si>
    <t>TORREZ RAYMOND &amp; TRACIE L</t>
  </si>
  <si>
    <t>SICHI</t>
  </si>
  <si>
    <t>BRANDON &amp; SICHI SMITH</t>
  </si>
  <si>
    <t xml:space="preserve">4451 E CHAPAROSA WAY </t>
  </si>
  <si>
    <t>PARCEL 15/16 AT TATUM RANCH</t>
  </si>
  <si>
    <t>GRAGG JOHN D &amp; JILL B</t>
  </si>
  <si>
    <t>SMITH BRANDON J &amp; SICHI M</t>
  </si>
  <si>
    <t>HANSEN</t>
  </si>
  <si>
    <t>SHAWN HANSEN</t>
  </si>
  <si>
    <t xml:space="preserve">2348 E FRAKTUR RD </t>
  </si>
  <si>
    <t>SALDIVAR NORA</t>
  </si>
  <si>
    <t>HANSEN SHAWN</t>
  </si>
  <si>
    <t>MCGOVERN</t>
  </si>
  <si>
    <t>JANE &amp; JANE NOEL</t>
  </si>
  <si>
    <t xml:space="preserve">4249 E HANO ST </t>
  </si>
  <si>
    <t>AHWATUKEE RS 6 LOT 2545-2784 TA A-B</t>
  </si>
  <si>
    <t>DE VILLE PARK</t>
  </si>
  <si>
    <t>ALLIANCE FIN'L RSRCS</t>
  </si>
  <si>
    <t>JAMES N MCGOVERN</t>
  </si>
  <si>
    <t>MARY J MCGOVERN</t>
  </si>
  <si>
    <t>HARROP</t>
  </si>
  <si>
    <t>JOSEPH &amp; MARIA HARROP</t>
  </si>
  <si>
    <t xml:space="preserve">7307 E GRANDVIEW ST </t>
  </si>
  <si>
    <t>DUFFEL DAVID B &amp; J F TRUST</t>
  </si>
  <si>
    <t>HARROP JOSEPH W &amp; MARIA M</t>
  </si>
  <si>
    <t>MCGOWAN FAMILY TRUST</t>
  </si>
  <si>
    <t xml:space="preserve">17363 W BUCKHORN TRL </t>
  </si>
  <si>
    <t>DESERT OASIS AT SURPRISE PARCEL L14-A</t>
  </si>
  <si>
    <t>FERRELL STEVEN W</t>
  </si>
  <si>
    <t>MCGOWAN JASON P</t>
  </si>
  <si>
    <t>BARKASY JENNIFER L</t>
  </si>
  <si>
    <t>JASON MCGOWAN</t>
  </si>
  <si>
    <t>JENNIFER MCGOWAN</t>
  </si>
  <si>
    <t>AASEN</t>
  </si>
  <si>
    <t>RUSSELL &amp; TERRI AASEN</t>
  </si>
  <si>
    <t xml:space="preserve">15013 W DESERT HILLS DR </t>
  </si>
  <si>
    <t>SOLANO AARON</t>
  </si>
  <si>
    <t>AASEN RUSSELL</t>
  </si>
  <si>
    <t>THUMMA</t>
  </si>
  <si>
    <t>AI-CHENG</t>
  </si>
  <si>
    <t>LEONARD THUMMA &amp; AI-CHENG KIM</t>
  </si>
  <si>
    <t xml:space="preserve">16072 W PIMA ST </t>
  </si>
  <si>
    <t>NEILL NICOLE</t>
  </si>
  <si>
    <t>WELLS FARGO BANK NA</t>
  </si>
  <si>
    <t>THUMMA LEONARD &amp; KIM AI CHENG</t>
  </si>
  <si>
    <t>SHERALLYN</t>
  </si>
  <si>
    <t>CODY-BEGAY</t>
  </si>
  <si>
    <t>SHERALLYN CODY-BEGAY &amp; TRAVIS BEGAY</t>
  </si>
  <si>
    <t xml:space="preserve">4418 W WAHALLA LN </t>
  </si>
  <si>
    <t>LILES PHILIP A</t>
  </si>
  <si>
    <t>BEGAY TRAVIS</t>
  </si>
  <si>
    <t>BARRETT</t>
  </si>
  <si>
    <t>MONET</t>
  </si>
  <si>
    <t>ROBERT BARRETT &amp; KAREN MONET</t>
  </si>
  <si>
    <t xml:space="preserve">5736 W LIBBY ST </t>
  </si>
  <si>
    <t>CHAPPARAL 3 LOT 115-244</t>
  </si>
  <si>
    <t>CHAPARRAL</t>
  </si>
  <si>
    <t>HOPKINS MICHAEL J &amp; STACEY L</t>
  </si>
  <si>
    <t>BARRETT ROBERT</t>
  </si>
  <si>
    <t>MONET KAREN</t>
  </si>
  <si>
    <t>JACK &amp; HEATHER WEST</t>
  </si>
  <si>
    <t xml:space="preserve">736 W GAIL DR </t>
  </si>
  <si>
    <t>RUCKDASCHEL CHRISTIAN &amp; MAND</t>
  </si>
  <si>
    <t>WEST JACK T &amp; HEATHER L</t>
  </si>
  <si>
    <t>COMBES</t>
  </si>
  <si>
    <t>JEFFREY COMBES</t>
  </si>
  <si>
    <t xml:space="preserve">548 E LAGUNA DR </t>
  </si>
  <si>
    <t>NU-VISTA 7</t>
  </si>
  <si>
    <t>BONELLI JOSEPH P &amp; HEATHER M</t>
  </si>
  <si>
    <t>COMBES JEFFREY W</t>
  </si>
  <si>
    <t>KEELY</t>
  </si>
  <si>
    <t>BERNARD &amp; BERNARD KEELY</t>
  </si>
  <si>
    <t xml:space="preserve">3319 E RIVERDALE ST </t>
  </si>
  <si>
    <t>BERNARD JAMES &amp; KEELY</t>
  </si>
  <si>
    <t>WRISTON</t>
  </si>
  <si>
    <t>WILLIAM &amp; ANN WRISTON</t>
  </si>
  <si>
    <t xml:space="preserve">1105 E TONOPAH DR </t>
  </si>
  <si>
    <t>PROCH MICHAEL L</t>
  </si>
  <si>
    <t>WRISTON WILLIAM</t>
  </si>
  <si>
    <t>ALPHONSO</t>
  </si>
  <si>
    <t>ALPHONSO &amp; ALICIA SMITH</t>
  </si>
  <si>
    <t xml:space="preserve">23734 W HARRISON DR </t>
  </si>
  <si>
    <t>SMITH ALPHONSO C &amp; ALICIA L</t>
  </si>
  <si>
    <t>FOLTZ</t>
  </si>
  <si>
    <t>CHRISTOPHER FOLTZ</t>
  </si>
  <si>
    <t xml:space="preserve">205 W JUANITA AVE </t>
  </si>
  <si>
    <t>OAKTREE PARK LOT 1-115 TR A</t>
  </si>
  <si>
    <t>OAKTREE PARK</t>
  </si>
  <si>
    <t>FOLTZ CHRISTOPHER</t>
  </si>
  <si>
    <t>ARVAYO-CALDERON</t>
  </si>
  <si>
    <t>LUIS ARVAYO-CALDERON</t>
  </si>
  <si>
    <t xml:space="preserve">10032 N 42ND DR </t>
  </si>
  <si>
    <t>NEWCASTLE VILLAGE 3</t>
  </si>
  <si>
    <t>NEWCASTLE VILLAGE</t>
  </si>
  <si>
    <t>CACTUS WREN ELEMENTARY SCHOOL</t>
  </si>
  <si>
    <t>ARVAYO-CALDERON LUIS F</t>
  </si>
  <si>
    <t>MATTHEW &amp; JENNIFER SMITH</t>
  </si>
  <si>
    <t xml:space="preserve">21159 E TIERRA GRANDE DR </t>
  </si>
  <si>
    <t>INDIGO TRAILS REPLAT</t>
  </si>
  <si>
    <t>INDIGO TRAILS</t>
  </si>
  <si>
    <t>ZAMORA JESUS</t>
  </si>
  <si>
    <t>AMERICAN FINANCING</t>
  </si>
  <si>
    <t>AURORA CO 80014</t>
  </si>
  <si>
    <t>MATTHEW SMITH</t>
  </si>
  <si>
    <t>JENNIFER SMITH</t>
  </si>
  <si>
    <t>BOWEN</t>
  </si>
  <si>
    <t>DANIEL BOWEN</t>
  </si>
  <si>
    <t xml:space="preserve">212 E CARTER DR </t>
  </si>
  <si>
    <t>MEADOWS WILLY J &amp; TY Y</t>
  </si>
  <si>
    <t>BOWEN DANIEL W</t>
  </si>
  <si>
    <t>SCHULTE</t>
  </si>
  <si>
    <t>RICOLITA</t>
  </si>
  <si>
    <t>STEVEN &amp; RICOLITA SCHULTE</t>
  </si>
  <si>
    <t xml:space="preserve">7535 E CAMBRIDGE AVE </t>
  </si>
  <si>
    <t>RATHJEN SUSAN M</t>
  </si>
  <si>
    <t>STEVEN SCHULTE</t>
  </si>
  <si>
    <t>RICOLITA SCHULTE</t>
  </si>
  <si>
    <t>BILLY DUKE</t>
  </si>
  <si>
    <t xml:space="preserve">18028 W PORT ROYALE LN </t>
  </si>
  <si>
    <t>GREGERSEN RONALD G</t>
  </si>
  <si>
    <t>DUKE BILLY W</t>
  </si>
  <si>
    <t>AUREA</t>
  </si>
  <si>
    <t>OSVALDO &amp; AUREA WALDRON</t>
  </si>
  <si>
    <t xml:space="preserve">18629 W FULTON ST </t>
  </si>
  <si>
    <t>LAUERSDORF ADAM P</t>
  </si>
  <si>
    <t>WALDRON OSVALDO A &amp; AUREA</t>
  </si>
  <si>
    <t>JOHNATHAN</t>
  </si>
  <si>
    <t>LESSARD</t>
  </si>
  <si>
    <t>JOHNATHAN &amp; ERIN LESSARD</t>
  </si>
  <si>
    <t xml:space="preserve">1302 W TEMPLE ST </t>
  </si>
  <si>
    <t>BROOKS CROSSING 2 LOT 55-151</t>
  </si>
  <si>
    <t>LEVI MARC</t>
  </si>
  <si>
    <t>LESSARD JOHNATHAN M &amp; ERIN N</t>
  </si>
  <si>
    <t>KENNEY &amp; BRITTANY NICOLE</t>
  </si>
  <si>
    <t xml:space="preserve">19627 N 15TH PL </t>
  </si>
  <si>
    <t>SMITH TREVOR J &amp; VICTORIA M</t>
  </si>
  <si>
    <t>KENNEY MATTHEW J &amp; BRITTANY N</t>
  </si>
  <si>
    <t>PRENDERGAST</t>
  </si>
  <si>
    <t>THOMAS &amp; DONNA PRENDERGAST</t>
  </si>
  <si>
    <t xml:space="preserve">9409 E JADECREST DR </t>
  </si>
  <si>
    <t>SUN LAKES UNIT THIRTY-FOUR</t>
  </si>
  <si>
    <t>LARNED PETER</t>
  </si>
  <si>
    <t>PRENDERGAST THOMAS</t>
  </si>
  <si>
    <t>GILBERT FLORES</t>
  </si>
  <si>
    <t xml:space="preserve">3838 S ROOSEVELT ST </t>
  </si>
  <si>
    <t>SOUTHERN PALMS UNIT THREE LOT 223-383</t>
  </si>
  <si>
    <t>ABDELRAHMAN SOHA</t>
  </si>
  <si>
    <t>FLORES GILBERT</t>
  </si>
  <si>
    <t>MIEDZIALKO JESSICA T</t>
  </si>
  <si>
    <t>BETH &amp; SERGIO TORRES</t>
  </si>
  <si>
    <t xml:space="preserve">1522 W TEMPLE ST </t>
  </si>
  <si>
    <t>KUKLISH RONALD</t>
  </si>
  <si>
    <t>ARIZONA MORTGAGE SPECIALISTS</t>
  </si>
  <si>
    <t>TORRES BETH A &amp; SERGIO</t>
  </si>
  <si>
    <t>DOUGHERTY</t>
  </si>
  <si>
    <t>ERIC &amp; MARIE DOUGHERTY</t>
  </si>
  <si>
    <t xml:space="preserve">1308 E DOWNING ST </t>
  </si>
  <si>
    <t>PALM GARDENS OF MESA 4</t>
  </si>
  <si>
    <t>HOME CHOICE INVESTMENT LLC</t>
  </si>
  <si>
    <t>DOUGHERTY ERIC &amp; MARIE E</t>
  </si>
  <si>
    <t>LORA BROWN</t>
  </si>
  <si>
    <t xml:space="preserve">15116 N 134TH LN </t>
  </si>
  <si>
    <t>NGO THANH N</t>
  </si>
  <si>
    <t>BROWN KORA L</t>
  </si>
  <si>
    <t>ERROL</t>
  </si>
  <si>
    <t>ERROL OLSON</t>
  </si>
  <si>
    <t xml:space="preserve">3911 E KESLER LN </t>
  </si>
  <si>
    <t>MORRIS JOHN J</t>
  </si>
  <si>
    <t>OLSON ERROL R</t>
  </si>
  <si>
    <t>BRAND</t>
  </si>
  <si>
    <t>ANNA BRAND</t>
  </si>
  <si>
    <t xml:space="preserve">4221 E EVERETT DR </t>
  </si>
  <si>
    <t>MATZ SARAH M</t>
  </si>
  <si>
    <t>BRAND ANNA G</t>
  </si>
  <si>
    <t>NICHOLAS GARCIA &amp; MARLENE CONTRERAS</t>
  </si>
  <si>
    <t xml:space="preserve">22342 E CALLE DE FLORES </t>
  </si>
  <si>
    <t>STARKS RYAN J</t>
  </si>
  <si>
    <t>GARCIA NICHOLAS</t>
  </si>
  <si>
    <t>CONTRERAS MARLENE F</t>
  </si>
  <si>
    <t>THE SL THOMAS TRUST</t>
  </si>
  <si>
    <t>SL THE</t>
  </si>
  <si>
    <t xml:space="preserve">12821 N 93RD DR </t>
  </si>
  <si>
    <t>THOMAS LANA</t>
  </si>
  <si>
    <t>DEGENSTEIN</t>
  </si>
  <si>
    <t>COCCO</t>
  </si>
  <si>
    <t>COREY DEGENSTEIN &amp; DANIELA COCCO</t>
  </si>
  <si>
    <t xml:space="preserve">18648 N 39TH ST </t>
  </si>
  <si>
    <t>BANKS JAMES R &amp; LAURIE A</t>
  </si>
  <si>
    <t>DEGENSTEIN COREY</t>
  </si>
  <si>
    <t>COCCO DANIELA</t>
  </si>
  <si>
    <t>SANDRA HOFFMAN</t>
  </si>
  <si>
    <t xml:space="preserve">6820 S 75TH DR </t>
  </si>
  <si>
    <t>HONOLULU HI 96813</t>
  </si>
  <si>
    <t>SANDRA E HOFFMAN</t>
  </si>
  <si>
    <t>JAMES &amp; MICHELE GILLESPIE</t>
  </si>
  <si>
    <t xml:space="preserve">12821 W INDIANOLA AVE </t>
  </si>
  <si>
    <t>BELLATRIX INC</t>
  </si>
  <si>
    <t>GILLESPIE JAMES &amp; MICHELE</t>
  </si>
  <si>
    <t>GAVIN</t>
  </si>
  <si>
    <t>REBECCA GAVIN</t>
  </si>
  <si>
    <t xml:space="preserve">18129 E BELLERIVE DR </t>
  </si>
  <si>
    <t>GAVIN JOHN &amp; KATHLEEN</t>
  </si>
  <si>
    <t>GAVIN REBECCA L</t>
  </si>
  <si>
    <t>THOMAS STEELE</t>
  </si>
  <si>
    <t xml:space="preserve">14422 W GUNSIGHT DR </t>
  </si>
  <si>
    <t>MINNICK JACK &amp; FRAN</t>
  </si>
  <si>
    <t>STEELE THOMAS G</t>
  </si>
  <si>
    <t>ROBERT &amp; JUDITH LOWE</t>
  </si>
  <si>
    <t xml:space="preserve">21037 E VIA DE ARBOLES </t>
  </si>
  <si>
    <t>OBREMSKI LEONARD S</t>
  </si>
  <si>
    <t>LOWE ROBERT D</t>
  </si>
  <si>
    <t>BERNARDO</t>
  </si>
  <si>
    <t>REYES</t>
  </si>
  <si>
    <t>BERNARDO REYES</t>
  </si>
  <si>
    <t xml:space="preserve">1849 E COMMERCE AVE </t>
  </si>
  <si>
    <t>MILLER LIVING TRUST</t>
  </si>
  <si>
    <t>REYES BERNARDO</t>
  </si>
  <si>
    <t>NITU</t>
  </si>
  <si>
    <t>SCHLARP</t>
  </si>
  <si>
    <t>NITU &amp; DANIEL SCHLARP</t>
  </si>
  <si>
    <t xml:space="preserve">3659 W BLUEFIELD AVE </t>
  </si>
  <si>
    <t>COURTLAND VILLAGE LOT 1-116</t>
  </si>
  <si>
    <t>COURTLAND VILLAGE NORTH</t>
  </si>
  <si>
    <t>STANFORD GARTH &amp; ODETTE</t>
  </si>
  <si>
    <t>SCHLARP NITU &amp; DANIEL</t>
  </si>
  <si>
    <t>ANTHONY DALE</t>
  </si>
  <si>
    <t xml:space="preserve">26434 S RIBBONWOOD DR </t>
  </si>
  <si>
    <t>SUN LAKES 23</t>
  </si>
  <si>
    <t>BERCIER MARK L</t>
  </si>
  <si>
    <t>DALE ANTHONY</t>
  </si>
  <si>
    <t>MAINGI</t>
  </si>
  <si>
    <t>KALEY</t>
  </si>
  <si>
    <t>PETE &amp; KALEY MAINGI</t>
  </si>
  <si>
    <t xml:space="preserve">17810 W VALENTINE ST </t>
  </si>
  <si>
    <t>CONTINENTAL HOMES INC</t>
  </si>
  <si>
    <t>MAINGI PETE &amp; KALEY M</t>
  </si>
  <si>
    <t>JULIAN SALAZAR</t>
  </si>
  <si>
    <t xml:space="preserve">14756 W EDGEMONT AVE </t>
  </si>
  <si>
    <t>WELLS FARGO BK N 2005-PR4</t>
  </si>
  <si>
    <t>SALAZAR JULIAN</t>
  </si>
  <si>
    <t>LACH</t>
  </si>
  <si>
    <t>MITCHELL LACH</t>
  </si>
  <si>
    <t xml:space="preserve">4903 N 129TH AVE </t>
  </si>
  <si>
    <t>WIGWAM CREEK SOUTH PARCELS 3 &amp; 4</t>
  </si>
  <si>
    <t>LACH MITCHELL</t>
  </si>
  <si>
    <t>ROBERTS SCOTT E &amp; SARA C F TRU</t>
  </si>
  <si>
    <t>E &amp; SARA ROBERTSSCOTT</t>
  </si>
  <si>
    <t xml:space="preserve">2125 E MARCO POLO RD </t>
  </si>
  <si>
    <t>MOUNTAIN COVE</t>
  </si>
  <si>
    <t>HUSTON SHAWN M &amp; JENNIFER L</t>
  </si>
  <si>
    <t>ROBERTS SCOTT</t>
  </si>
  <si>
    <t>HARDING SARA</t>
  </si>
  <si>
    <t>REYNA</t>
  </si>
  <si>
    <t>ANDREW &amp; EMILY REYNA</t>
  </si>
  <si>
    <t xml:space="preserve">9625 E GLENCOVE ST </t>
  </si>
  <si>
    <t>LEGATT MICHAEL A</t>
  </si>
  <si>
    <t>REYNA ANDREW A</t>
  </si>
  <si>
    <t>GIACONE</t>
  </si>
  <si>
    <t>DENNIS &amp; SHARON GIACONE</t>
  </si>
  <si>
    <t xml:space="preserve">14494 N 100TH PL </t>
  </si>
  <si>
    <t>AVIARA  LOT 1-119  TR A-E</t>
  </si>
  <si>
    <t>AVIARA</t>
  </si>
  <si>
    <t>KRYGIER FAMILY TRUST</t>
  </si>
  <si>
    <t>GIACONE DENNIS C &amp; SHARON C</t>
  </si>
  <si>
    <t>GARY &amp; MARIA JOHNSON</t>
  </si>
  <si>
    <t xml:space="preserve">18017 W YOUNG ST </t>
  </si>
  <si>
    <t>JOHNSON GARY &amp; MARIA</t>
  </si>
  <si>
    <t>MUHLITNER</t>
  </si>
  <si>
    <t>JODY MUHLITNER</t>
  </si>
  <si>
    <t xml:space="preserve">1649 E TRADEWIND CT </t>
  </si>
  <si>
    <t>BAKHIT FAMILY LIVING TRUST</t>
  </si>
  <si>
    <t>MUHLITNER JODY L</t>
  </si>
  <si>
    <t>ATHY</t>
  </si>
  <si>
    <t>ZAMORA-ATHY</t>
  </si>
  <si>
    <t>DAVID ATHY &amp; BARBARA ZAMORA-ATHY</t>
  </si>
  <si>
    <t xml:space="preserve">15958 W SHANGRI LA RD </t>
  </si>
  <si>
    <t>HERSHEY BRIAN D &amp; K M TRUST</t>
  </si>
  <si>
    <t>ATHY DAVID</t>
  </si>
  <si>
    <t>ZAMORA-ATHY BARBARA</t>
  </si>
  <si>
    <t>GEORGE JONES</t>
  </si>
  <si>
    <t xml:space="preserve">2163 W PENINSULA CIR </t>
  </si>
  <si>
    <t>PENINSULA</t>
  </si>
  <si>
    <t>THE PENINSULA</t>
  </si>
  <si>
    <t>JONES PAUL L</t>
  </si>
  <si>
    <t>JONES GEORGE COOPER</t>
  </si>
  <si>
    <t>RITCHIE</t>
  </si>
  <si>
    <t>BILLY RITCHIE</t>
  </si>
  <si>
    <t xml:space="preserve">3815 N PASEO DEL SOL </t>
  </si>
  <si>
    <t>RITCHIE BILLY</t>
  </si>
  <si>
    <t>JOHN &amp; LISA WIGGINS</t>
  </si>
  <si>
    <t xml:space="preserve">18294 W DESERT LN </t>
  </si>
  <si>
    <t>WIGGINS JOHN A &amp; LISA M</t>
  </si>
  <si>
    <t>RUBEN LOPEZ</t>
  </si>
  <si>
    <t xml:space="preserve">1828 N TAMARISK ST </t>
  </si>
  <si>
    <t>CLEARVIEW MANOR 1 LOT 1-142</t>
  </si>
  <si>
    <t>WALKER SEAN</t>
  </si>
  <si>
    <t>LOPEZ RUBEN</t>
  </si>
  <si>
    <t>PAUL &amp; THERESA JOHNSON</t>
  </si>
  <si>
    <t xml:space="preserve">6304 N 127TH AVE </t>
  </si>
  <si>
    <t>JOHNSON PAUL H</t>
  </si>
  <si>
    <t>STENDERUP</t>
  </si>
  <si>
    <t>MEUY</t>
  </si>
  <si>
    <t>CAMERON &amp; MEUY STENDERUP</t>
  </si>
  <si>
    <t xml:space="preserve">17556 W FETLOCK TRL </t>
  </si>
  <si>
    <t>CENTEX HM</t>
  </si>
  <si>
    <t>STENDERUP CAMERON B &amp; MEUY C</t>
  </si>
  <si>
    <t>MOODY</t>
  </si>
  <si>
    <t>JAMES &amp; JUDITH MOODY</t>
  </si>
  <si>
    <t xml:space="preserve">4907 W FAULL DR </t>
  </si>
  <si>
    <t>PAWLOWSKI WALTER M</t>
  </si>
  <si>
    <t>MOODY JAMES &amp; JUDITH</t>
  </si>
  <si>
    <t>DANIEL &amp; ANGELA ADKINS</t>
  </si>
  <si>
    <t xml:space="preserve">3594 E ALFALFA DR </t>
  </si>
  <si>
    <t>NEWPORT BEACH CA 92660</t>
  </si>
  <si>
    <t>ADKINS DANIEL M &amp; ANGELA M</t>
  </si>
  <si>
    <t>MORAGA</t>
  </si>
  <si>
    <t>THOMAS &amp; JOYCE MORAGA</t>
  </si>
  <si>
    <t xml:space="preserve">21467 N 85TH AVE </t>
  </si>
  <si>
    <t>SILVERTON</t>
  </si>
  <si>
    <t>SUTHERLAND GEORGE S</t>
  </si>
  <si>
    <t>MORAGA THOMAS</t>
  </si>
  <si>
    <t>ANDREW &amp; MELANIE EDWARDS</t>
  </si>
  <si>
    <t xml:space="preserve">3301 N CARRIAGE LN </t>
  </si>
  <si>
    <t>KNOELL EAST UNIT 4 LOT 513-836 TR A-D</t>
  </si>
  <si>
    <t>EDWARDS ANDREW &amp; MELANIE</t>
  </si>
  <si>
    <t>CORRAO J &amp; L LIVING TRUST</t>
  </si>
  <si>
    <t>CORRAO</t>
  </si>
  <si>
    <t>&amp; L CORRAOJ</t>
  </si>
  <si>
    <t xml:space="preserve">2758 E PALM ST </t>
  </si>
  <si>
    <t>CORRAO JOSEPH F &amp; LISA A</t>
  </si>
  <si>
    <t>JOSEPH F CORRAO</t>
  </si>
  <si>
    <t>LISA A CORRAO</t>
  </si>
  <si>
    <t>DEBRIA</t>
  </si>
  <si>
    <t>BOBBY &amp; DEBRIA WATSON</t>
  </si>
  <si>
    <t xml:space="preserve">12335 W LEWIS AVE </t>
  </si>
  <si>
    <t>CORDER VIRGINIA &amp; JACK E</t>
  </si>
  <si>
    <t>WATSON BOBBY &amp; DEBRIA</t>
  </si>
  <si>
    <t>MARIA &amp; TODD MORALES</t>
  </si>
  <si>
    <t xml:space="preserve">1522 N HOBSON </t>
  </si>
  <si>
    <t>SNYDER CHARLES</t>
  </si>
  <si>
    <t>MORALES MARIA R &amp; TODD C</t>
  </si>
  <si>
    <t>DANIEL &amp; JANET GREENE</t>
  </si>
  <si>
    <t xml:space="preserve">3443 W LEISURE LN </t>
  </si>
  <si>
    <t>TRAMONTO PARCEL W-5</t>
  </si>
  <si>
    <t>GONZALEZ MELISSA</t>
  </si>
  <si>
    <t>GREENE DANIEL &amp; JANET</t>
  </si>
  <si>
    <t>ANTHONY &amp; JEANETTE DAVIS</t>
  </si>
  <si>
    <t xml:space="preserve">9913 S 6TH PL </t>
  </si>
  <si>
    <t>MINERAL CANYON</t>
  </si>
  <si>
    <t>RT</t>
  </si>
  <si>
    <t>MOSS EVELYN TRUST</t>
  </si>
  <si>
    <t>DAVIS ANTHONY L</t>
  </si>
  <si>
    <t>SMITH WAYNE &amp; PAULETTE TRUST</t>
  </si>
  <si>
    <t>WAYNE &amp; PAULETTE SMITH</t>
  </si>
  <si>
    <t xml:space="preserve">14456 W CORA LN </t>
  </si>
  <si>
    <t>ROY JAMES E &amp; SHELLEY J</t>
  </si>
  <si>
    <t>SMITH WAYNE M &amp; PAULETTE L</t>
  </si>
  <si>
    <t>ANNETTE J HAYDEN REVOCABLE TRUST</t>
  </si>
  <si>
    <t>ANNETTE HAYDEN</t>
  </si>
  <si>
    <t xml:space="preserve">1229 N MARVIN ST </t>
  </si>
  <si>
    <t>YOUNG JEFFREY &amp; JUNG H</t>
  </si>
  <si>
    <t>HAYDEN ANNETTE J</t>
  </si>
  <si>
    <t>REILLY</t>
  </si>
  <si>
    <t>THOMAS &amp; CHANDRA REILLY</t>
  </si>
  <si>
    <t xml:space="preserve">359 E VERDE LN </t>
  </si>
  <si>
    <t>LA HACIENDA</t>
  </si>
  <si>
    <t>STEPHAN DIETRICH A &amp; ELIZABE</t>
  </si>
  <si>
    <t>REILLY THOMAS P &amp; CHANDRA</t>
  </si>
  <si>
    <t>TOPPS</t>
  </si>
  <si>
    <t>JEFFREY &amp; CHRISTINA TOPPS</t>
  </si>
  <si>
    <t xml:space="preserve">22007 W LASSO LN </t>
  </si>
  <si>
    <t>WINDMILL VILLAGE</t>
  </si>
  <si>
    <t>DONNELLY TIMOTHY</t>
  </si>
  <si>
    <t>JEFFREY TOPPS</t>
  </si>
  <si>
    <t>CHRISTINA TOPPS</t>
  </si>
  <si>
    <t>LINHART</t>
  </si>
  <si>
    <t>SHELDON &amp; MELANIE LINHART</t>
  </si>
  <si>
    <t xml:space="preserve">12119 W COTTONTAIL LN </t>
  </si>
  <si>
    <t>LINHART SHELDON D &amp; MELANIE</t>
  </si>
  <si>
    <t>ACEVEDO</t>
  </si>
  <si>
    <t>MATTHEW ACEVEDO</t>
  </si>
  <si>
    <t xml:space="preserve">1138 E GARFIELD ST </t>
  </si>
  <si>
    <t>SUNNYSIDE TRACT</t>
  </si>
  <si>
    <t>SUNNYSIDE</t>
  </si>
  <si>
    <t>GARFIELD SCHOOL</t>
  </si>
  <si>
    <t>TURMAN VIRGIL R &amp; VESTULA T</t>
  </si>
  <si>
    <t>ACEVEDO MATTHEW A</t>
  </si>
  <si>
    <t>HUNGERFORD</t>
  </si>
  <si>
    <t>STEPHEN &amp; LORI HUNGERFORD</t>
  </si>
  <si>
    <t xml:space="preserve">1113 S CORAL KEY AVE </t>
  </si>
  <si>
    <t xml:space="preserve">1113 W CORAL KY AVE </t>
  </si>
  <si>
    <t>WINDHAVEN UNIT 3</t>
  </si>
  <si>
    <t>SURESH MYSORE S &amp; USHA</t>
  </si>
  <si>
    <t>STEPHEN HUNGERFORD</t>
  </si>
  <si>
    <t>LORI HUNGERFORD</t>
  </si>
  <si>
    <t>KENNETH &amp; BARBARA DEAN</t>
  </si>
  <si>
    <t xml:space="preserve">12310 N 72ND DR </t>
  </si>
  <si>
    <t>CHESAPEAKE PARK LOT 1-236</t>
  </si>
  <si>
    <t>CHESAPEAKE PARK</t>
  </si>
  <si>
    <t>12310 PEORIA LLC</t>
  </si>
  <si>
    <t>DEAN KENNETH &amp; BARBARA</t>
  </si>
  <si>
    <t>LANGOLF</t>
  </si>
  <si>
    <t>PHILIP &amp; JUDITH LANGOLF</t>
  </si>
  <si>
    <t xml:space="preserve">4732 E CAROB DR </t>
  </si>
  <si>
    <t>TRILOGY UNIT 4</t>
  </si>
  <si>
    <t>DAVIS JEAN E</t>
  </si>
  <si>
    <t>LANGOLF PHILIP J &amp; JUDITH A</t>
  </si>
  <si>
    <t>BAECHLE</t>
  </si>
  <si>
    <t>DEREK BAECHLE</t>
  </si>
  <si>
    <t xml:space="preserve">10504 E PORTOBELLO AVE </t>
  </si>
  <si>
    <t>SANTA RITA RANCH PARCEL 7A</t>
  </si>
  <si>
    <t>LANGE RAYMOND C</t>
  </si>
  <si>
    <t>BAECHLE DEREK K</t>
  </si>
  <si>
    <t>TCF NATIONAL BANK</t>
  </si>
  <si>
    <t>JASON &amp; JENNIFER BROWN</t>
  </si>
  <si>
    <t xml:space="preserve">670 E FAIRWAY DR </t>
  </si>
  <si>
    <t xml:space="preserve">226 W MAYA DR </t>
  </si>
  <si>
    <t>MATLOCK BRIAN</t>
  </si>
  <si>
    <t>BROWN JASON W &amp; JENNIFER M</t>
  </si>
  <si>
    <t>KEITH &amp; NORMA SMITH</t>
  </si>
  <si>
    <t xml:space="preserve">2925 E BLUE SAGE RD </t>
  </si>
  <si>
    <t>NIJIM SHADI</t>
  </si>
  <si>
    <t>SMITH KEITH C &amp; NORMA L</t>
  </si>
  <si>
    <t>JUSTIN JONES</t>
  </si>
  <si>
    <t xml:space="preserve">1438 N LOS ALTOS DR </t>
  </si>
  <si>
    <t>SILVERGATE 3 UNIT 3 LT 319-404</t>
  </si>
  <si>
    <t>SILVERGATE</t>
  </si>
  <si>
    <t>FAUST NATHAN</t>
  </si>
  <si>
    <t>JONES JUSTIN</t>
  </si>
  <si>
    <t>JOHN &amp; STACY NIELSON</t>
  </si>
  <si>
    <t xml:space="preserve">17491 W FETLOCK TRL </t>
  </si>
  <si>
    <t>NIELSON JOHN G &amp; STACY A</t>
  </si>
  <si>
    <t>SHARR</t>
  </si>
  <si>
    <t>DANIEL KRPATA &amp; LISA SHARR</t>
  </si>
  <si>
    <t xml:space="preserve">19175 E CANARY WAY </t>
  </si>
  <si>
    <t>CORTINA PARCEL 10</t>
  </si>
  <si>
    <t>JOSH WEEKS ENTS LLC</t>
  </si>
  <si>
    <t>KRPATA DANIEL P</t>
  </si>
  <si>
    <t>MANGOSING</t>
  </si>
  <si>
    <t>MICHAEL MANGOSING</t>
  </si>
  <si>
    <t xml:space="preserve">17584 W LILAC ST </t>
  </si>
  <si>
    <t>MANGOSING MICHAEL</t>
  </si>
  <si>
    <t>SMITH &amp; LINDA PORTER</t>
  </si>
  <si>
    <t xml:space="preserve">20244 E MAYA RD </t>
  </si>
  <si>
    <t>SMITH WILLIAM E &amp; LINDA P</t>
  </si>
  <si>
    <t>CALDWELL</t>
  </si>
  <si>
    <t>BUSTAMANTE</t>
  </si>
  <si>
    <t>JESSICA CALDWELL &amp; JORGE BUSTAMANTE</t>
  </si>
  <si>
    <t xml:space="preserve">2325 W LOMPOC CIR </t>
  </si>
  <si>
    <t>C052</t>
  </si>
  <si>
    <t>DOBSON SHORES UNIT 4 LOT 191-322 TR F</t>
  </si>
  <si>
    <t>DOBSON SHORES</t>
  </si>
  <si>
    <t>VIRGIL GROUP III LLC</t>
  </si>
  <si>
    <t>BUSTAMANTE JORGE VALDES</t>
  </si>
  <si>
    <t>BUSTAMANTE JORGE V</t>
  </si>
  <si>
    <t>HUNKER</t>
  </si>
  <si>
    <t>WILLIAM HUNKER</t>
  </si>
  <si>
    <t xml:space="preserve">20607 N 16TH WAY </t>
  </si>
  <si>
    <t>SCARLETT CANYON AMD</t>
  </si>
  <si>
    <t>GIESS TIMOTHY P</t>
  </si>
  <si>
    <t>HUNKER WILLIAM EDWARD</t>
  </si>
  <si>
    <t>MORENO &amp; SANDRA LUZ</t>
  </si>
  <si>
    <t xml:space="preserve">3023 E SHANNON ST </t>
  </si>
  <si>
    <t>MORENO EDWARD DANIEL &amp; SANDRA LUZ</t>
  </si>
  <si>
    <t>DAVID &amp; ASHLEY ANDERSON</t>
  </si>
  <si>
    <t xml:space="preserve">21469 E BONANZA WAY </t>
  </si>
  <si>
    <t>TAYLOR JERRY L</t>
  </si>
  <si>
    <t>ANDERSON DAVID A &amp; ASHLEY M</t>
  </si>
  <si>
    <t>JOHN MILLS</t>
  </si>
  <si>
    <t xml:space="preserve">6882 W AVENIDA DEL REY </t>
  </si>
  <si>
    <t>TERRA VISTA ESTATES AMD</t>
  </si>
  <si>
    <t>TERRA VISTA ESTATES</t>
  </si>
  <si>
    <t>MILLS JOHN</t>
  </si>
  <si>
    <t>CESAR JOHNSON &amp; JESSICA ORTIZ</t>
  </si>
  <si>
    <t xml:space="preserve">15310 N 144TH AVE </t>
  </si>
  <si>
    <t>ROYAL RANCH UNIT 2 PARCEL 8</t>
  </si>
  <si>
    <t>DELMOE ERNEST F</t>
  </si>
  <si>
    <t>JOHNSON CESAR</t>
  </si>
  <si>
    <t>ORTIZ JESSICA</t>
  </si>
  <si>
    <t>JOHNSON CESAR &amp; JESSICA</t>
  </si>
  <si>
    <t>QUILLMAN</t>
  </si>
  <si>
    <t>DANIEL QUILLMAN</t>
  </si>
  <si>
    <t xml:space="preserve">3341 S MARTINGALE RD </t>
  </si>
  <si>
    <t>SAN TAN RANCH PARCEL 4</t>
  </si>
  <si>
    <t>REED KEITH &amp; REBECCA</t>
  </si>
  <si>
    <t>QUILLMAN DANIEL</t>
  </si>
  <si>
    <t>VANWIE</t>
  </si>
  <si>
    <t>NICOLE &amp; MICHAEL VANWIE</t>
  </si>
  <si>
    <t xml:space="preserve">6559 E NANCE CIR </t>
  </si>
  <si>
    <t>CAMELOT GOLF CLUB ESTATES UNIT 4 PHASE 1</t>
  </si>
  <si>
    <t>CAMELOT ESTATES</t>
  </si>
  <si>
    <t>DOSS ADRIAN</t>
  </si>
  <si>
    <t>VANWIE NICOLE &amp; MICHAEL</t>
  </si>
  <si>
    <t>GERALD &amp; ANN SULLIVAN</t>
  </si>
  <si>
    <t xml:space="preserve">2990 E CLIFTON AVE </t>
  </si>
  <si>
    <t>CHAPARRAL ESTATES WEST</t>
  </si>
  <si>
    <t>BRANDT TIMOTHY &amp; TINA</t>
  </si>
  <si>
    <t>SULLIVAN GERALD W &amp; ANN</t>
  </si>
  <si>
    <t>BEATY</t>
  </si>
  <si>
    <t>SCOTT &amp; STACEY BEATY</t>
  </si>
  <si>
    <t xml:space="preserve">9044 W FULLAM ST </t>
  </si>
  <si>
    <t>STAR SUMMIT</t>
  </si>
  <si>
    <t>DENMAN JOHN &amp; JOANN TRUST</t>
  </si>
  <si>
    <t>BEATY SCOTT &amp; STACEY</t>
  </si>
  <si>
    <t>FRANK &amp; NANCY ALLISON</t>
  </si>
  <si>
    <t xml:space="preserve">21469 E ROUNDUP WAY </t>
  </si>
  <si>
    <t>COLLOM DAVID &amp; DEBORAH</t>
  </si>
  <si>
    <t>ALLISON FRANK &amp; NANCY</t>
  </si>
  <si>
    <t>JAMES &amp; DENISE WALSH</t>
  </si>
  <si>
    <t xml:space="preserve">5741 E CHARTER OAK RD </t>
  </si>
  <si>
    <t>CENTURY NORTH</t>
  </si>
  <si>
    <t>GILMORE JOHN T &amp; B S TRUST</t>
  </si>
  <si>
    <t>MOVEMENT MORTGAGE</t>
  </si>
  <si>
    <t>WALSH JAMES M &amp; DENISE M</t>
  </si>
  <si>
    <t>HETRICK</t>
  </si>
  <si>
    <t>HETRICK &amp; VICKI LYNN</t>
  </si>
  <si>
    <t xml:space="preserve">2719 E ELMWOOD ST </t>
  </si>
  <si>
    <t>MEADOWVALE REPLAT LOT 36-60 62-64 82-93</t>
  </si>
  <si>
    <t>MEADOWVALE</t>
  </si>
  <si>
    <t>HUTCHESON ALAN L</t>
  </si>
  <si>
    <t>HETRICK DAVID R &amp; VICKI L</t>
  </si>
  <si>
    <t xml:space="preserve">4773 E TIMBERLINE RD </t>
  </si>
  <si>
    <t>SCHULZ MICHAEL</t>
  </si>
  <si>
    <t>THOMAS MATTHEW R</t>
  </si>
  <si>
    <t>STEVEN &amp; ERICA THORNE</t>
  </si>
  <si>
    <t xml:space="preserve">11233 E STARFIRE AVE </t>
  </si>
  <si>
    <t>PACKER CORINNE &amp; MATTHEW</t>
  </si>
  <si>
    <t>THORNE STEVEN M &amp; ERICA</t>
  </si>
  <si>
    <t>GILE</t>
  </si>
  <si>
    <t>CHRISTIAN &amp; KIMBERLY GILE</t>
  </si>
  <si>
    <t xml:space="preserve">12420 E SADDLEHORN TRL </t>
  </si>
  <si>
    <t>PARADISE HEIGHTS</t>
  </si>
  <si>
    <t>SERIE PATRICK H &amp; CATHERINE</t>
  </si>
  <si>
    <t>GILE CHRISTIAN &amp; KIMBERLY</t>
  </si>
  <si>
    <t>JM</t>
  </si>
  <si>
    <t>SMITH &amp; JM KIM</t>
  </si>
  <si>
    <t xml:space="preserve">5702 E GELDING DR </t>
  </si>
  <si>
    <t>56TH STREET &amp; ACOMA</t>
  </si>
  <si>
    <t>ACOMA</t>
  </si>
  <si>
    <t>OMEGA ATLANTIS TRUST</t>
  </si>
  <si>
    <t>SMITH DOUGLAS R</t>
  </si>
  <si>
    <t>MOSES</t>
  </si>
  <si>
    <t>MOSES &amp; VERONICA PEREZ</t>
  </si>
  <si>
    <t xml:space="preserve">5237 W EL CAMINITO DR </t>
  </si>
  <si>
    <t>NORTHERN PALMS 4</t>
  </si>
  <si>
    <t>NORTHERN PALMS</t>
  </si>
  <si>
    <t>DBH INVESTMENTS LLC</t>
  </si>
  <si>
    <t>PEREZ MOSES D &amp; VERONICA Y</t>
  </si>
  <si>
    <t>CAMPBELL &amp; JANET CHARLENE</t>
  </si>
  <si>
    <t xml:space="preserve">14064 W DUSTY TRAIL BLVD </t>
  </si>
  <si>
    <t>COFFEY WILLIAM A &amp; KATHLYN A</t>
  </si>
  <si>
    <t>CAMPBELL JAMES W &amp; JANET C</t>
  </si>
  <si>
    <t>ROBERT JONES</t>
  </si>
  <si>
    <t xml:space="preserve">7301 W SWEETWATER AVE </t>
  </si>
  <si>
    <t>FOXWOOD  2 LOT 125-234</t>
  </si>
  <si>
    <t>JONES ROBERT J</t>
  </si>
  <si>
    <t>JONES KELLY</t>
  </si>
  <si>
    <t>ROBERT J JONES</t>
  </si>
  <si>
    <t>YAPLE</t>
  </si>
  <si>
    <t>MARK &amp; LAUREN YAPLE</t>
  </si>
  <si>
    <t xml:space="preserve">15750 W LAUREL LN </t>
  </si>
  <si>
    <t>YAPLE MARK R &amp; LAUREN J</t>
  </si>
  <si>
    <t>GREER BRIAN A FAMILY LIVING TRUST</t>
  </si>
  <si>
    <t>BRIAN GREER</t>
  </si>
  <si>
    <t xml:space="preserve">16753 W MONROE ST </t>
  </si>
  <si>
    <t>GREER BRIAN A</t>
  </si>
  <si>
    <t>JOHN &amp; LAURA WATSON</t>
  </si>
  <si>
    <t xml:space="preserve">5026 E BLOOMFIELD RD </t>
  </si>
  <si>
    <t>GREENBRIER EAST UNIT  1</t>
  </si>
  <si>
    <t>DAUGHS EUGENE W &amp; INGRID P</t>
  </si>
  <si>
    <t>KANSAS CITY MO 64120</t>
  </si>
  <si>
    <t>WATSON JOHN W &amp; LAURA W</t>
  </si>
  <si>
    <t>JOHN W WATSON</t>
  </si>
  <si>
    <t>LAURA W WATSON</t>
  </si>
  <si>
    <t>PADIA</t>
  </si>
  <si>
    <t>DANIEL PADIA</t>
  </si>
  <si>
    <t xml:space="preserve">1129 W MISSION DR </t>
  </si>
  <si>
    <t>DOBSON ESTATES 2 UNIT 1 LOT 1-118</t>
  </si>
  <si>
    <t>DOBSON ESTATES</t>
  </si>
  <si>
    <t>BARRON EILEEN</t>
  </si>
  <si>
    <t>PADIA DANIEL B</t>
  </si>
  <si>
    <t>PRIVATE PARTY</t>
  </si>
  <si>
    <t>PEASE</t>
  </si>
  <si>
    <t>650 N ALDER DR CHANDLER AZ 852262104</t>
  </si>
  <si>
    <t>PADIA DANIEL &amp; PATTY</t>
  </si>
  <si>
    <t>PADIA DANIEL</t>
  </si>
  <si>
    <t>EIKREN</t>
  </si>
  <si>
    <t>MITCHELL &amp; LORI EIKREN</t>
  </si>
  <si>
    <t xml:space="preserve">19057 E CLOUD RD </t>
  </si>
  <si>
    <t>EIKREN MITCHELL</t>
  </si>
  <si>
    <t>PETER KIM</t>
  </si>
  <si>
    <t xml:space="preserve">20926 W LOST CREEK DR E </t>
  </si>
  <si>
    <t>VERRADO PARCEL 4.603</t>
  </si>
  <si>
    <t>PRINCE ROBERT W &amp; LISA R</t>
  </si>
  <si>
    <t>KIM PETER H</t>
  </si>
  <si>
    <t>TYRONE H PARKER TRUST</t>
  </si>
  <si>
    <t>TYRONE PARKER</t>
  </si>
  <si>
    <t xml:space="preserve">37512 N 16TH ST </t>
  </si>
  <si>
    <t>SOLEIMANI MONICA</t>
  </si>
  <si>
    <t>PARKER TYRONE</t>
  </si>
  <si>
    <t>DAVID &amp; CHRISTINE BROWN</t>
  </si>
  <si>
    <t xml:space="preserve">11060 S TOMAH ST </t>
  </si>
  <si>
    <t>HERNANDEZ SUZANNE</t>
  </si>
  <si>
    <t>BROWN DAVID A &amp; CHRISTINE</t>
  </si>
  <si>
    <t>GALLAGHER</t>
  </si>
  <si>
    <t>LYNN &amp; ELIZABETH GALLAGHER</t>
  </si>
  <si>
    <t xml:space="preserve">37308 N 99TH ST #45 </t>
  </si>
  <si>
    <t>R111</t>
  </si>
  <si>
    <t xml:space="preserve">37308 N 99TH ST </t>
  </si>
  <si>
    <t>MIRABEL VILLAGE 16</t>
  </si>
  <si>
    <t>MIRABEL VILLAGE</t>
  </si>
  <si>
    <t>GALLAGHER LYNN E &amp; ELIZABETH L</t>
  </si>
  <si>
    <t>LYNN E GALLAGHER</t>
  </si>
  <si>
    <t>ELIZABETH L GALLAGHER</t>
  </si>
  <si>
    <t>CHRISTOPHER &amp; STEPHANIE GONZALES</t>
  </si>
  <si>
    <t xml:space="preserve">1840 E MOUNTAIN VIEW RD </t>
  </si>
  <si>
    <t>CINNABAR CANYON AMD</t>
  </si>
  <si>
    <t>CINNABAR CANYON</t>
  </si>
  <si>
    <t>AROLLO CHERYL A</t>
  </si>
  <si>
    <t>GONZALES CHRISTOPHER &amp; STEPHA</t>
  </si>
  <si>
    <t>WALLEN</t>
  </si>
  <si>
    <t>OQUENDO</t>
  </si>
  <si>
    <t>ROBERT WALLEN &amp; ERIKA OQUENDO</t>
  </si>
  <si>
    <t xml:space="preserve">16386 W PAPAGO ST </t>
  </si>
  <si>
    <t>GALLARDO JOSE M</t>
  </si>
  <si>
    <t>WALLEN ROBERT</t>
  </si>
  <si>
    <t>OQUENDO ERIKA</t>
  </si>
  <si>
    <t>STINSON</t>
  </si>
  <si>
    <t>DEBORAH &amp; JONATHAN STINSON</t>
  </si>
  <si>
    <t xml:space="preserve">4051 E FAIRFIELD ST </t>
  </si>
  <si>
    <t>LINCOLN FEI TRUST</t>
  </si>
  <si>
    <t>STINSON DEBORAH &amp; JONATHAN F</t>
  </si>
  <si>
    <t>BLACKWELL FAMILY TRUST</t>
  </si>
  <si>
    <t>SHERYN</t>
  </si>
  <si>
    <t>BLACKWELL</t>
  </si>
  <si>
    <t xml:space="preserve">11425 E MINTON ST </t>
  </si>
  <si>
    <t>TONTO FOREST ESTATES</t>
  </si>
  <si>
    <t>STARWOOD CUSTOM HOMES LLC</t>
  </si>
  <si>
    <t>GRIFFIN FNDG INC</t>
  </si>
  <si>
    <t>SAN DIEGO CA 92101</t>
  </si>
  <si>
    <t>THOMAS L BLACKWELL</t>
  </si>
  <si>
    <t>SHERYN L BLACKWELL</t>
  </si>
  <si>
    <t>BUSHART</t>
  </si>
  <si>
    <t>BUSHART &amp; BARBARA MARIE</t>
  </si>
  <si>
    <t xml:space="preserve">41002 N REPUBLIC WAY </t>
  </si>
  <si>
    <t>ANTHEM UNIT 1</t>
  </si>
  <si>
    <t>ZDREAM LLC</t>
  </si>
  <si>
    <t>BUSHART BRIAN R &amp; BARBARA M</t>
  </si>
  <si>
    <t>CLEGG</t>
  </si>
  <si>
    <t>BETHLEN</t>
  </si>
  <si>
    <t>GEORGETTE</t>
  </si>
  <si>
    <t>CLEGG &amp; GEORGETTE BETHLEN</t>
  </si>
  <si>
    <t xml:space="preserve">7318 E EVENING GLOW DR </t>
  </si>
  <si>
    <t>R171</t>
  </si>
  <si>
    <t>WINFIELD PLAT 2 PHASE 1</t>
  </si>
  <si>
    <t>WINFIELD</t>
  </si>
  <si>
    <t>BECKMAN MICHAEL T</t>
  </si>
  <si>
    <t>CLEGG LYNN</t>
  </si>
  <si>
    <t>SPELLMIRE</t>
  </si>
  <si>
    <t>DAVID SPELLMIRE</t>
  </si>
  <si>
    <t xml:space="preserve">7639 E 4TH ST </t>
  </si>
  <si>
    <t>PEACEFUL VALLEY</t>
  </si>
  <si>
    <t>DELLOMO D &amp; M 2009 TRUST</t>
  </si>
  <si>
    <t>SPELLMIRE DAVID</t>
  </si>
  <si>
    <t>VAN WINKLE EDGAR BEACH IV &amp; JANET</t>
  </si>
  <si>
    <t xml:space="preserve">3322 N 17TH AVE </t>
  </si>
  <si>
    <t>TRUMAN TERRACE PLAT 2</t>
  </si>
  <si>
    <t>TRUMAN TERRACE</t>
  </si>
  <si>
    <t>CORRINGTON M K &amp; V V TRUST</t>
  </si>
  <si>
    <t>VAN WINKLE EDGAR B IV &amp; JANET</t>
  </si>
  <si>
    <t>NORBAN</t>
  </si>
  <si>
    <t>FUMIE</t>
  </si>
  <si>
    <t>NORBAN &amp; FUMIE TAYLOR</t>
  </si>
  <si>
    <t xml:space="preserve">4925 E FAIRFIELD ST </t>
  </si>
  <si>
    <t>NORTHPOINTE 4 LOT 101-237 TRACT A</t>
  </si>
  <si>
    <t>NORTHPOINTE COMMONS</t>
  </si>
  <si>
    <t>CRC PROPERTIES LLC</t>
  </si>
  <si>
    <t>TAYLOR NORBAN R</t>
  </si>
  <si>
    <t>ELLIOTT &amp; BETH ANN</t>
  </si>
  <si>
    <t xml:space="preserve">64 E HOOVER AVE </t>
  </si>
  <si>
    <t>ASHLAND PLACE</t>
  </si>
  <si>
    <t>EMERSON SCHOOL</t>
  </si>
  <si>
    <t>BREDIMUS LYNN</t>
  </si>
  <si>
    <t>ELLIOTT TRAVIS R &amp; BETH A</t>
  </si>
  <si>
    <t>BICKLE</t>
  </si>
  <si>
    <t>WINE</t>
  </si>
  <si>
    <t>GARY BICKLE &amp; AMY WINE</t>
  </si>
  <si>
    <t xml:space="preserve">6126 W SURREY AVE </t>
  </si>
  <si>
    <t>ROYAL ESTATES WEST 6 LOT 347-410</t>
  </si>
  <si>
    <t>ROYAL ESTATES WEST</t>
  </si>
  <si>
    <t>GAREIS SHERRY L</t>
  </si>
  <si>
    <t>OREM UT 84097</t>
  </si>
  <si>
    <t>BICKLE GARY</t>
  </si>
  <si>
    <t>WINE AMY</t>
  </si>
  <si>
    <t>GARY BICKLE</t>
  </si>
  <si>
    <t>AMY WINE</t>
  </si>
  <si>
    <t>GERALDINE EDGAR REVOCABLE TRUST</t>
  </si>
  <si>
    <t>GERALDINE EDGAR</t>
  </si>
  <si>
    <t xml:space="preserve">8454 E PORTOBELLO AVE </t>
  </si>
  <si>
    <t>EASTRIDGE UNIT 3</t>
  </si>
  <si>
    <t>EASTRIDGE</t>
  </si>
  <si>
    <t>THOMAS SALOIS P</t>
  </si>
  <si>
    <t>EDGAR GERALDINE TRUST</t>
  </si>
  <si>
    <t>GOODWIN</t>
  </si>
  <si>
    <t>RICHARD GOODWIN</t>
  </si>
  <si>
    <t xml:space="preserve">17901 W DESERT VIEW LN </t>
  </si>
  <si>
    <t>ESTRELLA MOUNTAIN RANCH PARCEL 199</t>
  </si>
  <si>
    <t>BATERS FAMILY TRUST</t>
  </si>
  <si>
    <t>GOODWIN RICHARD</t>
  </si>
  <si>
    <t>CHASTAIN</t>
  </si>
  <si>
    <t>MICHAEL CHASTAIN</t>
  </si>
  <si>
    <t xml:space="preserve">20442 W CARLA VISTA DR </t>
  </si>
  <si>
    <t>HIGHROCK LLC</t>
  </si>
  <si>
    <t>CHASTAIN MICHAEL J</t>
  </si>
  <si>
    <t>MUCHA</t>
  </si>
  <si>
    <t>DOROTA</t>
  </si>
  <si>
    <t>SZANDECKA-MUCHA</t>
  </si>
  <si>
    <t>DONALD MUCHA &amp; DOROTA SZANDECKA-MUCHA</t>
  </si>
  <si>
    <t xml:space="preserve">4429 N JACKSON CT </t>
  </si>
  <si>
    <t>VERRADO PARCELS 4.501  4.503  AND  4.504</t>
  </si>
  <si>
    <t>SMITH JERRY M</t>
  </si>
  <si>
    <t>MUCHA DONALD J</t>
  </si>
  <si>
    <t>SZANDECKA-MUCHA DOROTA</t>
  </si>
  <si>
    <t>ZIGO</t>
  </si>
  <si>
    <t>FABIOLA</t>
  </si>
  <si>
    <t>EDWARD &amp; FABIOLA ZIGO</t>
  </si>
  <si>
    <t xml:space="preserve">115 E SURREY AVE </t>
  </si>
  <si>
    <t>SHADOW ROCK ESTATES LOT 1-91 99 100 108-</t>
  </si>
  <si>
    <t>SHADOW ROCK ESTATES</t>
  </si>
  <si>
    <t>HIGGINS JAMES F &amp; KERSTIN V</t>
  </si>
  <si>
    <t>ZIGO EDWARD &amp; FABIOLA</t>
  </si>
  <si>
    <t>GONZALEZ &amp; ANA FLORES</t>
  </si>
  <si>
    <t xml:space="preserve">125 N TIAGO DR </t>
  </si>
  <si>
    <t>SUMMER MEADOWS PARCEL 4</t>
  </si>
  <si>
    <t>SUMMER MEADOWS EAST</t>
  </si>
  <si>
    <t>BUCHERT KORINA L</t>
  </si>
  <si>
    <t>GONZALEZ JEFFREY &amp; ANA F</t>
  </si>
  <si>
    <t>COLLUM</t>
  </si>
  <si>
    <t>JUSTIN &amp; ELIZABETH COLLUM</t>
  </si>
  <si>
    <t xml:space="preserve">18632 W BERYL AVE </t>
  </si>
  <si>
    <t>COLLUM JUSTIN L</t>
  </si>
  <si>
    <t>JOHNSON FAMILY TRUST</t>
  </si>
  <si>
    <t xml:space="preserve">18613 W OREGON AVE </t>
  </si>
  <si>
    <t>RAAZ COLLIN J</t>
  </si>
  <si>
    <t>LONG MTG CO</t>
  </si>
  <si>
    <t>DENMAN</t>
  </si>
  <si>
    <t>MARK &amp; TERI DENMAN</t>
  </si>
  <si>
    <t xml:space="preserve">13154 W MULBERRY DR </t>
  </si>
  <si>
    <t>MAE FANNIE</t>
  </si>
  <si>
    <t>DENMAN MARK D &amp; TERI</t>
  </si>
  <si>
    <t>SEAN MCELROY</t>
  </si>
  <si>
    <t xml:space="preserve">18844 N 68TH AVE </t>
  </si>
  <si>
    <t>ARROWHEAD RANCH  3 AMD LOT 1-225 TR A</t>
  </si>
  <si>
    <t>RAMOS JAN C</t>
  </si>
  <si>
    <t>MCELROY SEAN P</t>
  </si>
  <si>
    <t>BEEDE</t>
  </si>
  <si>
    <t>RON &amp; CHRISTINE BEEDE</t>
  </si>
  <si>
    <t xml:space="preserve">3134 E SPORTS CT </t>
  </si>
  <si>
    <t>LIND 3134 E SPORTS CT LLC</t>
  </si>
  <si>
    <t>BEEDE RON</t>
  </si>
  <si>
    <t>COFFEE</t>
  </si>
  <si>
    <t>MARLIN &amp; LYNN COFFEE</t>
  </si>
  <si>
    <t xml:space="preserve">3455 E COUNTY DOWN DR </t>
  </si>
  <si>
    <t>SPRINGFIELD LAKES BLOCK 4</t>
  </si>
  <si>
    <t>CANONICO LIVING TRUST</t>
  </si>
  <si>
    <t>COFFEE MARLIN D &amp; LYNN E</t>
  </si>
  <si>
    <t>MARLIN D COFFEE</t>
  </si>
  <si>
    <t>E LYNN COFFEE</t>
  </si>
  <si>
    <t>FLAVELL</t>
  </si>
  <si>
    <t>KATHRYN &amp; ROBERT FLAVELL</t>
  </si>
  <si>
    <t xml:space="preserve">1906 E REDFIELD RD #471 </t>
  </si>
  <si>
    <t xml:space="preserve">1906 E REDFIELD RD </t>
  </si>
  <si>
    <t>CAVE CREEK UNIT 3 LOT 339-555</t>
  </si>
  <si>
    <t>GASTELUM-PEREZ JESUS R</t>
  </si>
  <si>
    <t>ROBERT FLAVELL</t>
  </si>
  <si>
    <t>KATHRYN FLAVELL</t>
  </si>
  <si>
    <t>MORI</t>
  </si>
  <si>
    <t>GUY &amp; BETHANY MORI</t>
  </si>
  <si>
    <t xml:space="preserve">1720 W PARK AVE </t>
  </si>
  <si>
    <t>DESERT FLOWER</t>
  </si>
  <si>
    <t>DECKER DON</t>
  </si>
  <si>
    <t>MORI GUY D</t>
  </si>
  <si>
    <t>FARRINGTON</t>
  </si>
  <si>
    <t>FARRINGTON &amp; SANDRA ALICE</t>
  </si>
  <si>
    <t xml:space="preserve">9464 E NORTHRIDGE ST </t>
  </si>
  <si>
    <t>ESTATES AT BOULDER MOUNTAIN UNIT 2</t>
  </si>
  <si>
    <t>ESTATES AT BOULDER MOUNTAIN HIGHLANDS</t>
  </si>
  <si>
    <t>BOHACH ROBERT &amp; SHARYN</t>
  </si>
  <si>
    <t>CITIBANK NA</t>
  </si>
  <si>
    <t>FARRINGTON JESSIE ORBIN &amp; SAN</t>
  </si>
  <si>
    <t>IMEL ERIC A &amp; SUSAN L TRUST</t>
  </si>
  <si>
    <t>A &amp; SUSAN IMELERIC</t>
  </si>
  <si>
    <t xml:space="preserve">540 E MESA VISTA LN </t>
  </si>
  <si>
    <t>MESA VISTA ESTATES</t>
  </si>
  <si>
    <t>LEHI ELEMENTARY SCHOOL</t>
  </si>
  <si>
    <t>MILLER TED</t>
  </si>
  <si>
    <t>IMEL ERIC A</t>
  </si>
  <si>
    <t>MARC</t>
  </si>
  <si>
    <t>HUDDLESTON</t>
  </si>
  <si>
    <t>MARC HUDDLESTON</t>
  </si>
  <si>
    <t xml:space="preserve">350 E HOPE ST </t>
  </si>
  <si>
    <t>HAUPTMANN ROBERT C</t>
  </si>
  <si>
    <t>HUDDLESTON MARC</t>
  </si>
  <si>
    <t>JACKSON ENSIGN DEV LLC</t>
  </si>
  <si>
    <t>2625 N 24TH ST #30 MESA AZ 852131469</t>
  </si>
  <si>
    <t>SAWYER</t>
  </si>
  <si>
    <t>MICHAEL &amp; STEPHANIE SAWYER</t>
  </si>
  <si>
    <t xml:space="preserve">131 E SHARON AVE </t>
  </si>
  <si>
    <t>CRESTA DEL ORO 2</t>
  </si>
  <si>
    <t>CRESTA DEL ORO</t>
  </si>
  <si>
    <t>WHITMIRE CULLEN</t>
  </si>
  <si>
    <t>SAWYER MICHAEL E &amp; STEPHANIE</t>
  </si>
  <si>
    <t>JERRY &amp; TANJA DANIELS</t>
  </si>
  <si>
    <t xml:space="preserve">2411 W LOMITA AVE </t>
  </si>
  <si>
    <t>LAGUNA SHORES UNIT 7</t>
  </si>
  <si>
    <t>BROWN CREIGHTON TRUST</t>
  </si>
  <si>
    <t>DANIELS JERRY H &amp; TANJA M</t>
  </si>
  <si>
    <t>JORGE FERNANDEZ</t>
  </si>
  <si>
    <t xml:space="preserve">2051 E GEMINI DR </t>
  </si>
  <si>
    <t>TEMPE ROYAL PALMS 16 LOT 169-411 TR A BD</t>
  </si>
  <si>
    <t>KELLERMAN WILLIAM B</t>
  </si>
  <si>
    <t>FERNANDEZ JORGE L</t>
  </si>
  <si>
    <t>BIRKS</t>
  </si>
  <si>
    <t>BIRKS &amp; ANNA MARIE</t>
  </si>
  <si>
    <t xml:space="preserve">17680 W SHERMAN ST </t>
  </si>
  <si>
    <t>BIRKS CHRISTOPHER J &amp; ANNA M</t>
  </si>
  <si>
    <t>NAFEEZAH</t>
  </si>
  <si>
    <t>TIMOTHY &amp; NAFEEZAH HAWTHORNE</t>
  </si>
  <si>
    <t xml:space="preserve">13611 W CATALINA DR </t>
  </si>
  <si>
    <t>YECK DANIEL G &amp; SONJA</t>
  </si>
  <si>
    <t>HAWTHORNE TIMOTHY &amp; NAFEEZAH</t>
  </si>
  <si>
    <t>ANNABELLE</t>
  </si>
  <si>
    <t>ANTONIO &amp; ANNABELLE SANCHEZ</t>
  </si>
  <si>
    <t xml:space="preserve">18480 W PARADISE LN </t>
  </si>
  <si>
    <t>HURTADO ANTONIO</t>
  </si>
  <si>
    <t>SANCHEZ ANNABELLE YVONNE</t>
  </si>
  <si>
    <t>BAST</t>
  </si>
  <si>
    <t>MCANINCH</t>
  </si>
  <si>
    <t>JOHN BAST &amp; ANNE MCANINCH</t>
  </si>
  <si>
    <t xml:space="preserve">36710 N 17TH AVE </t>
  </si>
  <si>
    <t>SONGER GARY H &amp; CAROLE A</t>
  </si>
  <si>
    <t>BAST JOHN K</t>
  </si>
  <si>
    <t>MCANINCH ANNE B</t>
  </si>
  <si>
    <t>CHRISTIAN WILLIAM LYNN</t>
  </si>
  <si>
    <t xml:space="preserve">15123 E DESERT WILLOW DR </t>
  </si>
  <si>
    <t>EAGLE MOUNTAIN PARCEL 14</t>
  </si>
  <si>
    <t>LA LOMA AT EAGLE MOUNTAIN CONDOMINIUMS</t>
  </si>
  <si>
    <t>YAHRAUS MARK C</t>
  </si>
  <si>
    <t>TIAA FSB HOLDINGS INC</t>
  </si>
  <si>
    <t>BARKER SANDRA JEAN</t>
  </si>
  <si>
    <t>ROONEY</t>
  </si>
  <si>
    <t>JOSHUA &amp; MISTY ROONEY</t>
  </si>
  <si>
    <t xml:space="preserve">16622 S 28TH PL </t>
  </si>
  <si>
    <t>CAYS PAVILION</t>
  </si>
  <si>
    <t>JONES KEITH R</t>
  </si>
  <si>
    <t>ROONEY JOSHUA</t>
  </si>
  <si>
    <t>HAECKER</t>
  </si>
  <si>
    <t>GRACE HAECKER</t>
  </si>
  <si>
    <t xml:space="preserve">3920 N 87TH ST </t>
  </si>
  <si>
    <t>HOUSE JOHN R</t>
  </si>
  <si>
    <t>HAECKER GRACE</t>
  </si>
  <si>
    <t>RADTKE</t>
  </si>
  <si>
    <t>AARON &amp; MARIA RADTKE</t>
  </si>
  <si>
    <t xml:space="preserve">18581 W VISTA NORTE ST </t>
  </si>
  <si>
    <t>RADTKE AARON M &amp; MARIA C</t>
  </si>
  <si>
    <t>AARON M RADTKE</t>
  </si>
  <si>
    <t>MARIA C RADTKE</t>
  </si>
  <si>
    <t>DONOFRIO</t>
  </si>
  <si>
    <t>JAMES &amp; ARTHUR DONOFRIO</t>
  </si>
  <si>
    <t xml:space="preserve">2830 E LA COSTA DR </t>
  </si>
  <si>
    <t>EMMEL BRADLEY</t>
  </si>
  <si>
    <t>DONOFRIO JAMES C</t>
  </si>
  <si>
    <t>JONATHAN HOYT</t>
  </si>
  <si>
    <t xml:space="preserve">5719 W HIGHLAND AVE </t>
  </si>
  <si>
    <t>MARYVALE TERRACE 14A</t>
  </si>
  <si>
    <t>JOHN F. LONG ELEMENTARY SCHOOL</t>
  </si>
  <si>
    <t>MARC T. ATKINSON MIDDLE SCHOOL</t>
  </si>
  <si>
    <t>MARYVALE HIGH SCHOOL</t>
  </si>
  <si>
    <t>PAHOP LLC</t>
  </si>
  <si>
    <t>JOHN &amp; SANDRA BRADY</t>
  </si>
  <si>
    <t xml:space="preserve">790 N COLORADO ST </t>
  </si>
  <si>
    <t>LUNDQUIST MANOR</t>
  </si>
  <si>
    <t>DESIGN PROPERTIES LLC</t>
  </si>
  <si>
    <t>JOHN JR BRADY</t>
  </si>
  <si>
    <t>SANDRA BRADY</t>
  </si>
  <si>
    <t>ALEJANDRO &amp; MONICA REYES</t>
  </si>
  <si>
    <t xml:space="preserve">18184 W DESERT BLOSSOM DR </t>
  </si>
  <si>
    <t>PORRAS CHRISTOPHER J</t>
  </si>
  <si>
    <t>REYES ALEJANDRO &amp; MONICA M</t>
  </si>
  <si>
    <t>BARRITT</t>
  </si>
  <si>
    <t>CLARINDA</t>
  </si>
  <si>
    <t>DANNY &amp; CLARINDA BARRITT</t>
  </si>
  <si>
    <t xml:space="preserve">1869 S HILTON AVE </t>
  </si>
  <si>
    <t>SUNDANCE PARCELS 32 33 AND 35</t>
  </si>
  <si>
    <t>FEDERAL NATIONAL MTG ASSN</t>
  </si>
  <si>
    <t>DANNY BARRITT</t>
  </si>
  <si>
    <t>CLARINDA BARRITT</t>
  </si>
  <si>
    <t>NORDENGER</t>
  </si>
  <si>
    <t>CECIL TAYLOR &amp; SHARON NORDENGER</t>
  </si>
  <si>
    <t xml:space="preserve">2647 N ARMOUR AVE </t>
  </si>
  <si>
    <t xml:space="preserve">5263 E MCDOWELL RD </t>
  </si>
  <si>
    <t>APACHE WELLS MOBILE PARK 3</t>
  </si>
  <si>
    <t>APACHE WELLS MOBILE PARK</t>
  </si>
  <si>
    <t>BROWN KAREN L</t>
  </si>
  <si>
    <t>TAYLOR CECIL WAYNE</t>
  </si>
  <si>
    <t>DARREN &amp; SHERI OWENS</t>
  </si>
  <si>
    <t xml:space="preserve">3304 N WOODSIDE CT </t>
  </si>
  <si>
    <t>LSF8 MASTER PARTICIPATI TRUST</t>
  </si>
  <si>
    <t>OWENS DARREN &amp; SHERI</t>
  </si>
  <si>
    <t>BELGER</t>
  </si>
  <si>
    <t>ANDREW &amp; CHRISTINE BELGER</t>
  </si>
  <si>
    <t xml:space="preserve">1865 W MOCKINGBIRD DR </t>
  </si>
  <si>
    <t>CLEMENTE RANCH PARCEL 5B</t>
  </si>
  <si>
    <t>FERNANDO FAMILY LIVING TRUST</t>
  </si>
  <si>
    <t>BELGER ANDREW MARK &amp; CHRISTINE</t>
  </si>
  <si>
    <t>JORDAN-BISHOP</t>
  </si>
  <si>
    <t>MICHAEL BISHOP &amp; JESSICA JORDAN-BISHOP</t>
  </si>
  <si>
    <t xml:space="preserve">1350 E WINDSOR DR </t>
  </si>
  <si>
    <t>WESTERN SKIES ESTATES UNIT 5 AMD</t>
  </si>
  <si>
    <t>WOOD WILLIAM R &amp; JOANNA L</t>
  </si>
  <si>
    <t>BISHOP MICHAEL E</t>
  </si>
  <si>
    <t>NEWTON</t>
  </si>
  <si>
    <t>GEORGE &amp; MARIE NEWTON</t>
  </si>
  <si>
    <t xml:space="preserve">632 S 72ND ST </t>
  </si>
  <si>
    <t>APACHE COUNTRY CLUB ESTS 3</t>
  </si>
  <si>
    <t>ST CROIX HOMES GROUP LLC</t>
  </si>
  <si>
    <t>NEWTON GEORGE &amp; MARIE</t>
  </si>
  <si>
    <t>NEWMAN</t>
  </si>
  <si>
    <t>MICHAEL &amp; ANNE NEWMAN</t>
  </si>
  <si>
    <t xml:space="preserve">14644 W COLUMBUS AVE </t>
  </si>
  <si>
    <t>BARNES ROBERT D</t>
  </si>
  <si>
    <t>NEWMAN MICHAEL &amp; ANNE</t>
  </si>
  <si>
    <t>WYNTON</t>
  </si>
  <si>
    <t>WYNTON &amp; MELISSA BARNETT</t>
  </si>
  <si>
    <t xml:space="preserve">7229 W DONNER DR </t>
  </si>
  <si>
    <t>MCGRUDER ROBERT</t>
  </si>
  <si>
    <t>BARNETT HATTIE</t>
  </si>
  <si>
    <t>BARELA</t>
  </si>
  <si>
    <t>JOSE BARELA</t>
  </si>
  <si>
    <t xml:space="preserve">965 N WEDGEWOOD DR </t>
  </si>
  <si>
    <t>ENCHANTED VILLAGE</t>
  </si>
  <si>
    <t>DECKER JUSTIN</t>
  </si>
  <si>
    <t>BARELA JOSE D</t>
  </si>
  <si>
    <t>MAT</t>
  </si>
  <si>
    <t>FREEMAN</t>
  </si>
  <si>
    <t>MAT FREEMAN</t>
  </si>
  <si>
    <t xml:space="preserve">22602 S 214TH WAY </t>
  </si>
  <si>
    <t>RANCHO DEL REY PHASE 1 LOT 1-72 TR A</t>
  </si>
  <si>
    <t>RANCHO DEL REY</t>
  </si>
  <si>
    <t>OWNSBY LIVING TRUST</t>
  </si>
  <si>
    <t>FREEMAN MAT</t>
  </si>
  <si>
    <t>SHARON LEE</t>
  </si>
  <si>
    <t xml:space="preserve">11447 N 88TH LN </t>
  </si>
  <si>
    <t>LEE SHARON</t>
  </si>
  <si>
    <t>STEVE &amp; APRIL BOLING</t>
  </si>
  <si>
    <t xml:space="preserve">3038 W LYNNE LN </t>
  </si>
  <si>
    <t>BOLING STEVE L &amp; APRIL A</t>
  </si>
  <si>
    <t>GARY &amp; JUDITH BURTON</t>
  </si>
  <si>
    <t xml:space="preserve">1899 S 219TH DR </t>
  </si>
  <si>
    <t>SUNDANCE PARCEL 45B</t>
  </si>
  <si>
    <t>BURTON GARY R</t>
  </si>
  <si>
    <t>SCHOENWOLF</t>
  </si>
  <si>
    <t>JOHN &amp; TANYA SCHOENWOLF</t>
  </si>
  <si>
    <t xml:space="preserve">16958 E SABINAS DR </t>
  </si>
  <si>
    <t>FOUNTAIN HILLS AZ FP 105</t>
  </si>
  <si>
    <t>MORGAN GERALD W</t>
  </si>
  <si>
    <t>SCHOENWOLF JOHN &amp; TANYA M</t>
  </si>
  <si>
    <t>DONALD FISHER</t>
  </si>
  <si>
    <t xml:space="preserve">133 S HALL </t>
  </si>
  <si>
    <t>MESA LINDA</t>
  </si>
  <si>
    <t>LONGFELLOW ELEMENTARY SCHOOL</t>
  </si>
  <si>
    <t>ENERGY STAR HOMES LLC</t>
  </si>
  <si>
    <t>FISHER DONALD G</t>
  </si>
  <si>
    <t>AREND</t>
  </si>
  <si>
    <t>AREND &amp; SHAWN SHEREE</t>
  </si>
  <si>
    <t xml:space="preserve">4681 N ALDEA RD W </t>
  </si>
  <si>
    <t>AREND DAVID R &amp; SHAWN S</t>
  </si>
  <si>
    <t>TYREE</t>
  </si>
  <si>
    <t>LEE TYREE</t>
  </si>
  <si>
    <t xml:space="preserve">18236 W CARMEN DR </t>
  </si>
  <si>
    <t>TYREE J LEE JR</t>
  </si>
  <si>
    <t>SALEM</t>
  </si>
  <si>
    <t>CHARLES SALEM</t>
  </si>
  <si>
    <t xml:space="preserve">228 S CERVATO CIR </t>
  </si>
  <si>
    <t>LITCHFIELD PARK SUB 15A</t>
  </si>
  <si>
    <t>DUNCAN JOSEPH &amp; JENNIFER</t>
  </si>
  <si>
    <t>SALEM CHARLES</t>
  </si>
  <si>
    <t>WESLEY HIGGINS</t>
  </si>
  <si>
    <t xml:space="preserve">862 W IMPALA CIR </t>
  </si>
  <si>
    <t>CORBETT JENNIFER L</t>
  </si>
  <si>
    <t>HIGGINS WESLEY G</t>
  </si>
  <si>
    <t>JERRY &amp; KRISTEN READY</t>
  </si>
  <si>
    <t xml:space="preserve">15949 W MONTE CRISTO AVE </t>
  </si>
  <si>
    <t>MOUNTAIN VISTA RANCH PARCEL 11</t>
  </si>
  <si>
    <t>ZAMORA ASHLEY</t>
  </si>
  <si>
    <t>READY JERRY R &amp; KRISTEN</t>
  </si>
  <si>
    <t>HARBIN</t>
  </si>
  <si>
    <t>JERRY HARBIN</t>
  </si>
  <si>
    <t xml:space="preserve">9832 N 11TH ST </t>
  </si>
  <si>
    <t>ALAN PARKWAY</t>
  </si>
  <si>
    <t>SUNNYSLOPE ELEMENTARY SCHOOL</t>
  </si>
  <si>
    <t>ABRAHAM LINCOLN TRADITIONAL SCHOOL</t>
  </si>
  <si>
    <t>COVARRUBIAS MARTA Y</t>
  </si>
  <si>
    <t>WREN</t>
  </si>
  <si>
    <t>JAYE</t>
  </si>
  <si>
    <t>WREN &amp; DEBRA JAYE</t>
  </si>
  <si>
    <t xml:space="preserve">7436 W ABRAHAM LN </t>
  </si>
  <si>
    <t>HANSEN DARYL D &amp; SUSAN K</t>
  </si>
  <si>
    <t>MICHAEL L WREN</t>
  </si>
  <si>
    <t>DEBRA J WREN</t>
  </si>
  <si>
    <t>ADALBERTO</t>
  </si>
  <si>
    <t>MEJIA</t>
  </si>
  <si>
    <t>MARTINEZ-MEJIA</t>
  </si>
  <si>
    <t>ADALBERTO MEJIA &amp; REGINA MARTINEZ-MEJIA</t>
  </si>
  <si>
    <t xml:space="preserve">2414 W GARY WAY </t>
  </si>
  <si>
    <t>MEJIA ADALBERTO</t>
  </si>
  <si>
    <t>MARTINEZ-MEJIA REGINA A</t>
  </si>
  <si>
    <t>BUIS</t>
  </si>
  <si>
    <t>NURIA</t>
  </si>
  <si>
    <t>JOSHUA &amp; NURIA BUIS</t>
  </si>
  <si>
    <t xml:space="preserve">16124 W WILLIAMS ST </t>
  </si>
  <si>
    <t>SARIVAL VILLAGE PARCEL 7</t>
  </si>
  <si>
    <t>ZUBER DANIEL</t>
  </si>
  <si>
    <t>BUIS JOSHUA D &amp; NURIA Y</t>
  </si>
  <si>
    <t>LIVENGOOD</t>
  </si>
  <si>
    <t>MICHAEL LIVENGOOD</t>
  </si>
  <si>
    <t xml:space="preserve">39527 N PRAIRIE LN </t>
  </si>
  <si>
    <t>ANTHEM UNIT 55</t>
  </si>
  <si>
    <t>BUTKIEWICZ JOHN D &amp; JANICE D</t>
  </si>
  <si>
    <t>LIVENGOOD MICHAEL T</t>
  </si>
  <si>
    <t>BONK</t>
  </si>
  <si>
    <t>VIVICA</t>
  </si>
  <si>
    <t>JOSHUA &amp; VIVICA BONK</t>
  </si>
  <si>
    <t xml:space="preserve">1730 E ELGIN ST </t>
  </si>
  <si>
    <t>US BANK NA TRUSTEE</t>
  </si>
  <si>
    <t>BONK JOSHUA CARL &amp; VIVICA KLEET</t>
  </si>
  <si>
    <t>TIMOTHY &amp; JENNIFER WARD</t>
  </si>
  <si>
    <t xml:space="preserve">4426 W JUDSON DR </t>
  </si>
  <si>
    <t>WARD TIMOTHY J &amp; JENNIFER E</t>
  </si>
  <si>
    <t>EXIT HOME SOLUTIONS</t>
  </si>
  <si>
    <t xml:space="preserve">18538 W PALO VERDE AVE </t>
  </si>
  <si>
    <t>SCHARMOTA JAMES L</t>
  </si>
  <si>
    <t>MARTINEZ JEFFREY</t>
  </si>
  <si>
    <t>MARK &amp; AMANDA BROWN</t>
  </si>
  <si>
    <t xml:space="preserve">2233 W TANQUE VERDE DR </t>
  </si>
  <si>
    <t>MLG TRUST</t>
  </si>
  <si>
    <t>BROWN MARK &amp; AMANDA</t>
  </si>
  <si>
    <t>BERTRAND</t>
  </si>
  <si>
    <t>PAUL BERTRAND</t>
  </si>
  <si>
    <t xml:space="preserve">16931 W TASHA DR </t>
  </si>
  <si>
    <t>PERRICONE DANIEL P &amp; JENNY</t>
  </si>
  <si>
    <t>BERTRAND PAUL C</t>
  </si>
  <si>
    <t>EMMANUEL</t>
  </si>
  <si>
    <t>TALIA</t>
  </si>
  <si>
    <t>EMMANUEL PADILLA &amp; TALIA FLORES</t>
  </si>
  <si>
    <t xml:space="preserve">11209 W OLIVE DR </t>
  </si>
  <si>
    <t>HORIZONS WEST 2 LOT 142-220 TR G1-G3</t>
  </si>
  <si>
    <t>DAVIS ROBERT T</t>
  </si>
  <si>
    <t>PADILLA EMMANUEL</t>
  </si>
  <si>
    <t>FLORES TALIA M</t>
  </si>
  <si>
    <t>EFRAIN</t>
  </si>
  <si>
    <t>EFRAIN GUZMAN</t>
  </si>
  <si>
    <t xml:space="preserve">709 E COUNTRY GABLES DR </t>
  </si>
  <si>
    <t>HIDDEN HILLS</t>
  </si>
  <si>
    <t>FAVA JOSE A</t>
  </si>
  <si>
    <t>GUZMAN EFRAIN</t>
  </si>
  <si>
    <t>ROCKY</t>
  </si>
  <si>
    <t>SULLENGER</t>
  </si>
  <si>
    <t>LATOI</t>
  </si>
  <si>
    <t>ROCKY &amp; LATOI SULLENGER</t>
  </si>
  <si>
    <t xml:space="preserve">17879 W EUGENE TER </t>
  </si>
  <si>
    <t>TEEL JENNIFER L</t>
  </si>
  <si>
    <t>SULLENGER ROCKY A</t>
  </si>
  <si>
    <t>SULLENGER ROCKY A &amp; LATOI R</t>
  </si>
  <si>
    <t>SEWELL</t>
  </si>
  <si>
    <t>DWIGHT &amp; FRANCES SEWELL</t>
  </si>
  <si>
    <t xml:space="preserve">2218 W PEAK VIEW RD </t>
  </si>
  <si>
    <t>DYNAMITE MOUNTAIN RANCH SECTION B1</t>
  </si>
  <si>
    <t>STEELE PAUL A &amp; EVELYN H</t>
  </si>
  <si>
    <t>SEWELL DWIGHT &amp; FRANCES</t>
  </si>
  <si>
    <t>SAMPABLO</t>
  </si>
  <si>
    <t>RICARDO &amp; LUZ SAMPABLO</t>
  </si>
  <si>
    <t xml:space="preserve">7271 N 89TH DR </t>
  </si>
  <si>
    <t>PROVENCE</t>
  </si>
  <si>
    <t>SAMPABLO RICARDO</t>
  </si>
  <si>
    <t>HINKLE</t>
  </si>
  <si>
    <t>ANTHONY HINKLE</t>
  </si>
  <si>
    <t xml:space="preserve">10649 E PLATA AVE </t>
  </si>
  <si>
    <t>SANTA RITA RANCH PARCEL 6</t>
  </si>
  <si>
    <t>FISCHBECK KEVIN</t>
  </si>
  <si>
    <t>HINKLE ANTHONY S</t>
  </si>
  <si>
    <t>CORNELL</t>
  </si>
  <si>
    <t>CORNELL CLARK</t>
  </si>
  <si>
    <t xml:space="preserve">20246 W DESERT BLOOM ST </t>
  </si>
  <si>
    <t xml:space="preserve">20261 W SHERMAN ST </t>
  </si>
  <si>
    <t>BLUE HORIZONS PARCEL 5</t>
  </si>
  <si>
    <t>SABLAN</t>
  </si>
  <si>
    <t>FRANCINE</t>
  </si>
  <si>
    <t>MATTHEW &amp; FRANCINE SABLAN</t>
  </si>
  <si>
    <t xml:space="preserve">3129 W SALTER DR </t>
  </si>
  <si>
    <t>FOOTHILLS NORTH UNIT 1</t>
  </si>
  <si>
    <t>VONADA JAMES M</t>
  </si>
  <si>
    <t>SABLAN MATTHEW</t>
  </si>
  <si>
    <t>LARSEN</t>
  </si>
  <si>
    <t>MARION &amp; KARI LARSEN</t>
  </si>
  <si>
    <t xml:space="preserve">7701 N 177TH AVE </t>
  </si>
  <si>
    <t>PAVE 2 LLC</t>
  </si>
  <si>
    <t>LARSEN MARION J &amp; KARI</t>
  </si>
  <si>
    <t>DANIEL &amp; ANGELA WEBB</t>
  </si>
  <si>
    <t xml:space="preserve">636 E REDONDO DR </t>
  </si>
  <si>
    <t>NEELY FARMS UNIT 4</t>
  </si>
  <si>
    <t>HOUSE DEPOT R OF E INC</t>
  </si>
  <si>
    <t>WEBB DANIEL J &amp; ANGELA</t>
  </si>
  <si>
    <t>MATTICE</t>
  </si>
  <si>
    <t>THOMAS MATTICE</t>
  </si>
  <si>
    <t xml:space="preserve">1051 W PLATA AVE </t>
  </si>
  <si>
    <t>MARLBOROUGH MESA UNIT 1 LOT 1-224 &amp; TR A</t>
  </si>
  <si>
    <t>FERGUSON PATRICIA D</t>
  </si>
  <si>
    <t>BRAD JENSEN</t>
  </si>
  <si>
    <t xml:space="preserve">4019 W MENADOTA DR </t>
  </si>
  <si>
    <t>FREDERICK KEITH I &amp; DONNA J</t>
  </si>
  <si>
    <t>JENSEN BRAD</t>
  </si>
  <si>
    <t>BAIR</t>
  </si>
  <si>
    <t>GRANT &amp; JUDY BAIR</t>
  </si>
  <si>
    <t xml:space="preserve">18825 N 43RD PL </t>
  </si>
  <si>
    <t>PARCSIDE 3 LOT 1-182 TR A B</t>
  </si>
  <si>
    <t>ROSEWOOD</t>
  </si>
  <si>
    <t>PURDY DANIELLE L</t>
  </si>
  <si>
    <t>BAIR GRANT M</t>
  </si>
  <si>
    <t>CARLTON</t>
  </si>
  <si>
    <t>FIKE</t>
  </si>
  <si>
    <t>CARLTON &amp; RACHEL FIKE</t>
  </si>
  <si>
    <t xml:space="preserve">12209 W DALEY LN </t>
  </si>
  <si>
    <t>HAMBERLIN RYAN</t>
  </si>
  <si>
    <t>FIKE CARLTON E &amp; RACHEL D</t>
  </si>
  <si>
    <t>LAUBE</t>
  </si>
  <si>
    <t>MILLS LAUBE</t>
  </si>
  <si>
    <t>DOUGLAS LAUBE &amp; LAUBE MILLS</t>
  </si>
  <si>
    <t xml:space="preserve">6368 W ANGELA DR </t>
  </si>
  <si>
    <t>SUNSET VISTA  4 LOT 179-244</t>
  </si>
  <si>
    <t>PINKERTON JANICE K</t>
  </si>
  <si>
    <t>LAUBE DOUGLAS</t>
  </si>
  <si>
    <t>MILLS LAUBE CARA L</t>
  </si>
  <si>
    <t>RIDLEY</t>
  </si>
  <si>
    <t>RIDLEY &amp; KATHERINE JANE</t>
  </si>
  <si>
    <t xml:space="preserve">5109 W ASTER DR </t>
  </si>
  <si>
    <t>A2Z PROPERTY MANAGEMENT</t>
  </si>
  <si>
    <t>RIDLEY LOUIS JR &amp; KATHERINE J</t>
  </si>
  <si>
    <t>ERVIN</t>
  </si>
  <si>
    <t>DALE ERVIN</t>
  </si>
  <si>
    <t xml:space="preserve">1692 E DETROIT ST </t>
  </si>
  <si>
    <t>KIES RICHARD &amp; LESLEE R</t>
  </si>
  <si>
    <t>ERVIN DALE</t>
  </si>
  <si>
    <t>BOWLIN</t>
  </si>
  <si>
    <t>SOUZA</t>
  </si>
  <si>
    <t>BOWLIN &amp; CLAUDIA SOUZA</t>
  </si>
  <si>
    <t xml:space="preserve">340 E MCKINLEY ST </t>
  </si>
  <si>
    <t>PAPAGO PARKWAY 5</t>
  </si>
  <si>
    <t>TERRUM INVESTMENTS LP</t>
  </si>
  <si>
    <t>BOWLIN JAMES D</t>
  </si>
  <si>
    <t>SHERRILL</t>
  </si>
  <si>
    <t>JOSHUA &amp; APRIL SHERRILL</t>
  </si>
  <si>
    <t xml:space="preserve">4231 W ALAMEDA RD </t>
  </si>
  <si>
    <t>MCIVOR TERRANCE S</t>
  </si>
  <si>
    <t>SHERRILL JOSHUA S &amp; APRIL A</t>
  </si>
  <si>
    <t>RUELAS</t>
  </si>
  <si>
    <t>RALPH &amp; ANGELICA RUELAS</t>
  </si>
  <si>
    <t xml:space="preserve">2370 E WILDHORSE PL </t>
  </si>
  <si>
    <t>PECOS ALDEA UNIT 7</t>
  </si>
  <si>
    <t>LOVE DAVID N &amp; JANET M TRUST</t>
  </si>
  <si>
    <t>RUELAS RALPH A</t>
  </si>
  <si>
    <t>DAAB</t>
  </si>
  <si>
    <t>JAMES &amp; CHRISTINA DAAB</t>
  </si>
  <si>
    <t xml:space="preserve">910 E KRISTAL WAY </t>
  </si>
  <si>
    <t>DESERT BELL ESTATES 4 LOT 143-271</t>
  </si>
  <si>
    <t>ROMAN MICHAEL A &amp; KAREN L</t>
  </si>
  <si>
    <t>JAMES W DAAB</t>
  </si>
  <si>
    <t>CHRISTINA D DAAB</t>
  </si>
  <si>
    <t>CRACE</t>
  </si>
  <si>
    <t>ROBBIN</t>
  </si>
  <si>
    <t>DEREK CRACE &amp; ROBBIN WHITE</t>
  </si>
  <si>
    <t xml:space="preserve">22730 N 103RD LN </t>
  </si>
  <si>
    <t>IRONWOOD PHASE 1B</t>
  </si>
  <si>
    <t>PENROSE JUSTIN</t>
  </si>
  <si>
    <t>CRACE DEREK C</t>
  </si>
  <si>
    <t>WHITE ROBBIN S</t>
  </si>
  <si>
    <t>MANLEY</t>
  </si>
  <si>
    <t>ROBERT MANLEY</t>
  </si>
  <si>
    <t xml:space="preserve">11455 N 93RD WAY </t>
  </si>
  <si>
    <t>SCOTTSDALE VISTA NO 2 LOT 128-289 302 41</t>
  </si>
  <si>
    <t>SHORTLAND CAROLYN S T T</t>
  </si>
  <si>
    <t>MANLEY ROBERT G</t>
  </si>
  <si>
    <t>ALEJANDRO &amp; CLAUDIA VALENZUELA</t>
  </si>
  <si>
    <t xml:space="preserve">2410 W GARY WAY </t>
  </si>
  <si>
    <t>VALENZUELA ALEJANDRO J SR &amp; CLAUDIA L</t>
  </si>
  <si>
    <t>MARK &amp; SHERYL PEARSON</t>
  </si>
  <si>
    <t xml:space="preserve">9242 N 184TH LN </t>
  </si>
  <si>
    <t>FEDERAL NATL MTG ASSN FNMA</t>
  </si>
  <si>
    <t>PEARSON MARK R &amp; SHERYL</t>
  </si>
  <si>
    <t>VALERA</t>
  </si>
  <si>
    <t>NAYELI</t>
  </si>
  <si>
    <t>GEOFFREY &amp; NAYELI VALERA</t>
  </si>
  <si>
    <t xml:space="preserve">18574 W WILLIAMS ST </t>
  </si>
  <si>
    <t>VALERA GEOFFREY M &amp; NAYELI T</t>
  </si>
  <si>
    <t>SHANKAR</t>
  </si>
  <si>
    <t>JAMES SHANKAR</t>
  </si>
  <si>
    <t xml:space="preserve">1740 E CAMINO CT </t>
  </si>
  <si>
    <t>SLOAT BRIAN R</t>
  </si>
  <si>
    <t>SHANKAR JAMES</t>
  </si>
  <si>
    <t>HOWELL</t>
  </si>
  <si>
    <t>SHERRY HOWELL</t>
  </si>
  <si>
    <t xml:space="preserve">934 W MORELOS ST </t>
  </si>
  <si>
    <t>FAIRVIEW MEADOWS</t>
  </si>
  <si>
    <t>SASSANO ELLEN M</t>
  </si>
  <si>
    <t>HOWELL SHERRY M</t>
  </si>
  <si>
    <t>STEVEN PARRISH</t>
  </si>
  <si>
    <t xml:space="preserve">751 W CHERRYWOOD DR </t>
  </si>
  <si>
    <t>OAKWOOD LAKES</t>
  </si>
  <si>
    <t>TOKUDA TIMOTHY S</t>
  </si>
  <si>
    <t>PARRISH STEVEN M</t>
  </si>
  <si>
    <t>BLAND</t>
  </si>
  <si>
    <t>VIRGIL BLAND</t>
  </si>
  <si>
    <t xml:space="preserve">2533 W VILLAGE DR </t>
  </si>
  <si>
    <t>VILLAGE MEADOWS</t>
  </si>
  <si>
    <t>DAVIS CHRISTOPHER T</t>
  </si>
  <si>
    <t>BLAND VIRGIL</t>
  </si>
  <si>
    <t>GUINN</t>
  </si>
  <si>
    <t>STEVEN &amp; SHARON GUINN</t>
  </si>
  <si>
    <t xml:space="preserve">7919 E NIDO AVE </t>
  </si>
  <si>
    <t>SUNLAND VILLAGE EAST FIVE</t>
  </si>
  <si>
    <t>COBB FAMILY TRUST</t>
  </si>
  <si>
    <t>GUINN STEVEN &amp; SHARAN</t>
  </si>
  <si>
    <t>DELIA</t>
  </si>
  <si>
    <t>GARY &amp; DELIA LEA</t>
  </si>
  <si>
    <t xml:space="preserve">23034 N VIA VISTOSA DR </t>
  </si>
  <si>
    <t>DORSEY BRIAN W</t>
  </si>
  <si>
    <t>LEA GARY &amp; DELIA</t>
  </si>
  <si>
    <t>JORGE &amp; MARIA VALENZUELA</t>
  </si>
  <si>
    <t xml:space="preserve">14848 W VOLTAIRE ST </t>
  </si>
  <si>
    <t>JORGE A VALENZUELA</t>
  </si>
  <si>
    <t>MARIA M VALENZUELA</t>
  </si>
  <si>
    <t>SPENCER &amp; BARBARA HAYES</t>
  </si>
  <si>
    <t xml:space="preserve">606 N VISTA DEL SOL </t>
  </si>
  <si>
    <t>WINGATE MELBURN S TRUST</t>
  </si>
  <si>
    <t>SPENCER L HAYES</t>
  </si>
  <si>
    <t>BARBARA A HAYES</t>
  </si>
  <si>
    <t>KRIESEL</t>
  </si>
  <si>
    <t>JOSHUA KRIESEL</t>
  </si>
  <si>
    <t xml:space="preserve">1093 E BRUCE AVE </t>
  </si>
  <si>
    <t>TOUSSAINT SHEDRICK L</t>
  </si>
  <si>
    <t>KRIESEL JOSHUA</t>
  </si>
  <si>
    <t>JUNIEL</t>
  </si>
  <si>
    <t>REBEKAH JUNIEL</t>
  </si>
  <si>
    <t xml:space="preserve">15559 W CROCUS DR </t>
  </si>
  <si>
    <t>GREENWAY PARC AT SURPRISE 2</t>
  </si>
  <si>
    <t>PROPST JOHN B &amp; MARY E</t>
  </si>
  <si>
    <t>JUNIEL REBEKAH E</t>
  </si>
  <si>
    <t>SWEETSER</t>
  </si>
  <si>
    <t>MICHAEL SWEETSER</t>
  </si>
  <si>
    <t xml:space="preserve">30145 W MULBERRY DR </t>
  </si>
  <si>
    <t>TARTESSO UNIT 2A</t>
  </si>
  <si>
    <t>MCINTIRE DARLENE</t>
  </si>
  <si>
    <t>SWEETSER MICHAEL</t>
  </si>
  <si>
    <t>OETTER</t>
  </si>
  <si>
    <t>JILLIAN</t>
  </si>
  <si>
    <t>SHELDON &amp; JILLIAN OETTER</t>
  </si>
  <si>
    <t xml:space="preserve">924 E TOPEKA DR </t>
  </si>
  <si>
    <t>PRICE KATHLEEN A</t>
  </si>
  <si>
    <t>OETTER SHELDON</t>
  </si>
  <si>
    <t>VANSKIKE</t>
  </si>
  <si>
    <t>THOMAS VANSKIKE</t>
  </si>
  <si>
    <t xml:space="preserve">2063 S BEVERLY </t>
  </si>
  <si>
    <t>WOODGLEN UNIT 1 LOT 1-129</t>
  </si>
  <si>
    <t>JACOBY SHAWN E</t>
  </si>
  <si>
    <t>COMMERCE HM MTG</t>
  </si>
  <si>
    <t>VANSKIKE THOMAS</t>
  </si>
  <si>
    <t>DECLARATION OF GARY AND PATRICIA MAIERS TR</t>
  </si>
  <si>
    <t xml:space="preserve">11811 N 30TH PL </t>
  </si>
  <si>
    <t>PARADISE PARK</t>
  </si>
  <si>
    <t>REED BRITT D &amp; CHARLOTTE M</t>
  </si>
  <si>
    <t>MAIERS GARY H &amp; PATRICIA L</t>
  </si>
  <si>
    <t>OSWALD</t>
  </si>
  <si>
    <t>OSWALD &amp; LAURA LYNN</t>
  </si>
  <si>
    <t xml:space="preserve">428 W LATONA RD </t>
  </si>
  <si>
    <t>HIGHLINE ESTATES</t>
  </si>
  <si>
    <t>VALLEY VIEW SCHOOL</t>
  </si>
  <si>
    <t>TOPHER DEV SERVICES LLC</t>
  </si>
  <si>
    <t>OSWALD EDWARD JOHN</t>
  </si>
  <si>
    <t>MULSOW</t>
  </si>
  <si>
    <t>LYNDSAY</t>
  </si>
  <si>
    <t>MICHAEL MULSOW &amp; LYNDSAY FIELDS</t>
  </si>
  <si>
    <t xml:space="preserve">1579 E TARA CT </t>
  </si>
  <si>
    <t>SCHOSSOW EDWARD</t>
  </si>
  <si>
    <t>MULSOW MICHAEL</t>
  </si>
  <si>
    <t>FIELDS LYNDSAY</t>
  </si>
  <si>
    <t>DONNA PATRICK</t>
  </si>
  <si>
    <t xml:space="preserve">1518 E DRAKE DR </t>
  </si>
  <si>
    <t>ROMANOTTO MICHELLE R</t>
  </si>
  <si>
    <t>PATRICK DONNA J</t>
  </si>
  <si>
    <t>BICKET FAMILY LIVING TRUST</t>
  </si>
  <si>
    <t>BICKET</t>
  </si>
  <si>
    <t xml:space="preserve">9902 W SIGNAL BUTTE CIR </t>
  </si>
  <si>
    <t>PAINTER BRUCE H</t>
  </si>
  <si>
    <t>HADDOX</t>
  </si>
  <si>
    <t>MICHAEL &amp; ANNETTE HADDOX</t>
  </si>
  <si>
    <t xml:space="preserve">5049 W BEVERLY LN </t>
  </si>
  <si>
    <t>VISTA NORTH  8</t>
  </si>
  <si>
    <t>VISTA NORTH</t>
  </si>
  <si>
    <t>BABUS MARIA</t>
  </si>
  <si>
    <t>HADDOX MICHAEL L &amp; ANNETTE Y</t>
  </si>
  <si>
    <t>VICENTE JUAREZ</t>
  </si>
  <si>
    <t xml:space="preserve">11414 W ORANGE BLOSSOM LN </t>
  </si>
  <si>
    <t xml:space="preserve">114114 W ORANGE BLOSSOM LN </t>
  </si>
  <si>
    <t>HORIZONS WEST 1 LOTS 1-141 LOTS A-E L1-L</t>
  </si>
  <si>
    <t>MATTHEWS GARY D</t>
  </si>
  <si>
    <t>JUAREZ VICENTE R</t>
  </si>
  <si>
    <t>JUAREZ VICENTE ROGELIO</t>
  </si>
  <si>
    <t>BRANDON CRUZ</t>
  </si>
  <si>
    <t xml:space="preserve">11205 W RIO VISTA LN </t>
  </si>
  <si>
    <t>DURANGO PARK</t>
  </si>
  <si>
    <t>CORBETT MICHAEL J</t>
  </si>
  <si>
    <t>CRUZ BRANDON K</t>
  </si>
  <si>
    <t>STUTZMAN</t>
  </si>
  <si>
    <t>RONALD STUTZMAN</t>
  </si>
  <si>
    <t xml:space="preserve">3543 W FALLEN LEAF LN </t>
  </si>
  <si>
    <t>NORTH CANYON RANCH PARCEL 2A/2B</t>
  </si>
  <si>
    <t>FOUGHT MONICA R &amp; STEPHEN H</t>
  </si>
  <si>
    <t>STUTZMAN RONALD R</t>
  </si>
  <si>
    <t>KENDRICK</t>
  </si>
  <si>
    <t>DARRICKA</t>
  </si>
  <si>
    <t>KENDRICK &amp; DARRICKA JACKSON</t>
  </si>
  <si>
    <t xml:space="preserve">1638 E WAGONER RD </t>
  </si>
  <si>
    <t>JACKSON KENDRICK &amp; DARRICKA</t>
  </si>
  <si>
    <t>PORTER R &amp; O LIVING TRUST</t>
  </si>
  <si>
    <t>&amp; O PORTERR</t>
  </si>
  <si>
    <t xml:space="preserve">19818 N SOMBRERO CIR </t>
  </si>
  <si>
    <t xml:space="preserve">7942 W BELL RD C5 </t>
  </si>
  <si>
    <t>SUN CITY 49</t>
  </si>
  <si>
    <t>SCHACHTLER DALE L TRUST</t>
  </si>
  <si>
    <t>PORTER ROBERT</t>
  </si>
  <si>
    <t>MICHAEL &amp; ROBERTA OLSON</t>
  </si>
  <si>
    <t xml:space="preserve">8626 N 69TH DR </t>
  </si>
  <si>
    <t>OBOYLE PATRICK M</t>
  </si>
  <si>
    <t>OLSON MICHAEL J &amp; ROBERTA J</t>
  </si>
  <si>
    <t>GIGUERE</t>
  </si>
  <si>
    <t>RICHARD GIGUERE</t>
  </si>
  <si>
    <t xml:space="preserve">13822 N 11TH ST </t>
  </si>
  <si>
    <t>SINGLETREE ESTATES</t>
  </si>
  <si>
    <t>BRIMMER MICHAEL T &amp; MELODY B</t>
  </si>
  <si>
    <t>AMERICAN FIN'L NTWK INC</t>
  </si>
  <si>
    <t>SCOTT JOHNSON</t>
  </si>
  <si>
    <t xml:space="preserve">37317 W MONTEBELLO AVE </t>
  </si>
  <si>
    <t>COYOTE RIDGE</t>
  </si>
  <si>
    <t>JOHNSON SCOTT R</t>
  </si>
  <si>
    <t>KILLEBREW</t>
  </si>
  <si>
    <t>WILLIAM KILLEBREW</t>
  </si>
  <si>
    <t xml:space="preserve">1826 W COOLIDGE ST </t>
  </si>
  <si>
    <t>WESTOWN    AMENDED</t>
  </si>
  <si>
    <t>EVER FLOWING INVS LLC</t>
  </si>
  <si>
    <t>KILLEBREW WILLIAM J</t>
  </si>
  <si>
    <t>KERMIT WILKINSON</t>
  </si>
  <si>
    <t xml:space="preserve">16424 W BUCHANAN ST </t>
  </si>
  <si>
    <t>CURTIS COMMONS</t>
  </si>
  <si>
    <t>TOP PROSPECT HOMES LLC</t>
  </si>
  <si>
    <t>KERMIT J WILKINSON JR</t>
  </si>
  <si>
    <t>STYER</t>
  </si>
  <si>
    <t>ALAN &amp; ASHLEY STYER</t>
  </si>
  <si>
    <t xml:space="preserve">12371 W JACKSON ST </t>
  </si>
  <si>
    <t>COLDWATER SPRINGS PARCEL 4</t>
  </si>
  <si>
    <t>RUNYAN ROBERT S</t>
  </si>
  <si>
    <t>ALAN STYER</t>
  </si>
  <si>
    <t>ASHLEY D STYER</t>
  </si>
  <si>
    <t>SEAN STEIN</t>
  </si>
  <si>
    <t xml:space="preserve">23233 W COCOPAH ST </t>
  </si>
  <si>
    <t>SUNDANCE PARCEL 31</t>
  </si>
  <si>
    <t>ANDERSON SHAUN D</t>
  </si>
  <si>
    <t>STEIN SEAN K</t>
  </si>
  <si>
    <t>BOUGARD</t>
  </si>
  <si>
    <t>DORIS BOUGARD</t>
  </si>
  <si>
    <t xml:space="preserve">1028 S 240TH DR </t>
  </si>
  <si>
    <t>RADAR ARIZONA PROPS LLLP</t>
  </si>
  <si>
    <t>BOUGARD DORIS A</t>
  </si>
  <si>
    <t>ANDREW MARTIN</t>
  </si>
  <si>
    <t xml:space="preserve">19944 W VIRGINIA AVE </t>
  </si>
  <si>
    <t>VALENCIA HEIGHTS REVISE  ( LOT 20 PT &amp; L</t>
  </si>
  <si>
    <t>LEE ROBERT E</t>
  </si>
  <si>
    <t>MARTIN ANDREW B</t>
  </si>
  <si>
    <t>MEHLOS</t>
  </si>
  <si>
    <t>DANIEL MEHLOS</t>
  </si>
  <si>
    <t xml:space="preserve">15793 W ANASAZI ST </t>
  </si>
  <si>
    <t>ESTRELLA VISTA PARCELS A &amp; B</t>
  </si>
  <si>
    <t>GRIFFITHS STEVE</t>
  </si>
  <si>
    <t>LENDING 3 INC</t>
  </si>
  <si>
    <t>17220 NEWHOPE ST # 213 FOUNTAIN VALLEY CA 92708-4285</t>
  </si>
  <si>
    <t>DANIEL D MEHLOS</t>
  </si>
  <si>
    <t>KRISTI KNAPP</t>
  </si>
  <si>
    <t xml:space="preserve">44805 N 20TH ST </t>
  </si>
  <si>
    <t>PURSELL JERRY</t>
  </si>
  <si>
    <t>KNAPP KRISTI E</t>
  </si>
  <si>
    <t>GUION</t>
  </si>
  <si>
    <t>SALENA</t>
  </si>
  <si>
    <t>DANIEL &amp; SALENA GUION</t>
  </si>
  <si>
    <t xml:space="preserve">1922 E FILOREE LN </t>
  </si>
  <si>
    <t>GREER YVONNE D</t>
  </si>
  <si>
    <t>GUION DANIEL B &amp; SALENA D</t>
  </si>
  <si>
    <t>BRASELTON</t>
  </si>
  <si>
    <t>JEFFREY &amp; VICTORIA BRASELTON</t>
  </si>
  <si>
    <t xml:space="preserve">1017 W GLENN DR </t>
  </si>
  <si>
    <t>NORTHCREST LOT 1-35</t>
  </si>
  <si>
    <t>NORTHCREST</t>
  </si>
  <si>
    <t>NICHOLS FAMILY TRUST</t>
  </si>
  <si>
    <t>BRASELTON JEFFREY D &amp; VICTORIA M</t>
  </si>
  <si>
    <t>HERMAN</t>
  </si>
  <si>
    <t>HERMAN DYK &amp; HERMAN VANDYK</t>
  </si>
  <si>
    <t xml:space="preserve">7635 W ROCK SPRINGS DR </t>
  </si>
  <si>
    <t>VAN DYK BARBARA A</t>
  </si>
  <si>
    <t>HERMAN DEAN M</t>
  </si>
  <si>
    <t>FINNEY</t>
  </si>
  <si>
    <t>WAYNE &amp; ROSEMARY FINNEY</t>
  </si>
  <si>
    <t xml:space="preserve">4150 E CHOLLA CANYON DR </t>
  </si>
  <si>
    <t>STEVE VILLARREAL PC</t>
  </si>
  <si>
    <t>FINNEY WAYNE &amp; ROSEMARY</t>
  </si>
  <si>
    <t>TERRY &amp; LILLIAN JONES</t>
  </si>
  <si>
    <t xml:space="preserve">3262 E JUANITA AVE </t>
  </si>
  <si>
    <t>DANA RANCH UNIT TWO</t>
  </si>
  <si>
    <t>DANA RANCH</t>
  </si>
  <si>
    <t>SIMPSON DARRICK</t>
  </si>
  <si>
    <t>JONES TERRY L &amp; LILLIAN E</t>
  </si>
  <si>
    <t>SIRRAAM</t>
  </si>
  <si>
    <t>SIRRAAM &amp; VICTORIA WILLIAMS</t>
  </si>
  <si>
    <t xml:space="preserve">2476 E ARIS DR </t>
  </si>
  <si>
    <t>BROOKFIELD GLOBAL RELOCATION SVCS</t>
  </si>
  <si>
    <t>WILLIAMS SIRRAAM &amp; VICTORIA</t>
  </si>
  <si>
    <t>CHATEL</t>
  </si>
  <si>
    <t>CHATEL &amp; APRIL LOU</t>
  </si>
  <si>
    <t xml:space="preserve">8672 W ADAM AVE </t>
  </si>
  <si>
    <t>PORTER RODNEY A</t>
  </si>
  <si>
    <t>CHATEL GARY T &amp; APRIL L</t>
  </si>
  <si>
    <t>GLEASON</t>
  </si>
  <si>
    <t>TIMOTHY &amp; DEBORAH GLEASON</t>
  </si>
  <si>
    <t xml:space="preserve">43148 N OUTER BANK DR </t>
  </si>
  <si>
    <t>ANTHEM COVENTRY HOMES UNIT 20B</t>
  </si>
  <si>
    <t>WELLS CAMERON</t>
  </si>
  <si>
    <t>GLEASON TIMOTHY</t>
  </si>
  <si>
    <t>SHANE &amp; STACIE BANKS</t>
  </si>
  <si>
    <t xml:space="preserve">5535 N 13TH ST </t>
  </si>
  <si>
    <t>SUNSET STRIP</t>
  </si>
  <si>
    <t>BOWEN RODNEY T &amp; CHRISTINE D</t>
  </si>
  <si>
    <t>BANKS SHANE D &amp; STACIE L</t>
  </si>
  <si>
    <t>JACK &amp; ROSE THOMPSON</t>
  </si>
  <si>
    <t xml:space="preserve">11305 E SAVANNAH AVE </t>
  </si>
  <si>
    <t>LANG KEITH A</t>
  </si>
  <si>
    <t>THOMPSON JACK &amp; ROSE</t>
  </si>
  <si>
    <t>MOULTON</t>
  </si>
  <si>
    <t>WILLIAM &amp; CATHERINE MOULTON</t>
  </si>
  <si>
    <t xml:space="preserve">22256 E DESERT HILLS CT </t>
  </si>
  <si>
    <t>MOULTON WILLIAM K &amp; CATHERINE</t>
  </si>
  <si>
    <t>BROCKHAUS</t>
  </si>
  <si>
    <t>MATTHEW &amp; TRACY BROCKHAUS</t>
  </si>
  <si>
    <t xml:space="preserve">13314 W MULBERRY DR </t>
  </si>
  <si>
    <t>WISDOM ANDREA</t>
  </si>
  <si>
    <t>BROCKHAUS MATTHEW F &amp; TRACY M</t>
  </si>
  <si>
    <t>CARLOS MUNOZ</t>
  </si>
  <si>
    <t xml:space="preserve">6119 S 31ST DR </t>
  </si>
  <si>
    <t>OCAMPO CARLOS E &amp; YARAZET G</t>
  </si>
  <si>
    <t>MUNOZ CARLOS JR</t>
  </si>
  <si>
    <t>PARMENTER</t>
  </si>
  <si>
    <t>MAHEALANI</t>
  </si>
  <si>
    <t>MAHEALANI &amp; MAHEALANI ANDRE</t>
  </si>
  <si>
    <t xml:space="preserve">18336 W VERDIN RD </t>
  </si>
  <si>
    <t>PADGETT ROBERT K &amp; DEBORAH</t>
  </si>
  <si>
    <t>PARMENTER PAUL A &amp; ELIZABETH M</t>
  </si>
  <si>
    <t>MACH</t>
  </si>
  <si>
    <t>DAY</t>
  </si>
  <si>
    <t>MACH &amp; COLLEEN DAY</t>
  </si>
  <si>
    <t xml:space="preserve">17923 W LAVENDER LN </t>
  </si>
  <si>
    <t>KALLIS KENNETH &amp; CINDY</t>
  </si>
  <si>
    <t>MACH MATHEW T &amp; COLLEEN T D</t>
  </si>
  <si>
    <t>ROMERO &amp; PATRICIA FRANCIS</t>
  </si>
  <si>
    <t xml:space="preserve">15393 W WINDROSE DR </t>
  </si>
  <si>
    <t>ROMERO SAMUEL E &amp; PATRICIA F</t>
  </si>
  <si>
    <t>PEORIA AZ 85345</t>
  </si>
  <si>
    <t>SAMUEL E ROMERO</t>
  </si>
  <si>
    <t>PATRICIA F ROMERO</t>
  </si>
  <si>
    <t>JURAPORN</t>
  </si>
  <si>
    <t>SALISBURY</t>
  </si>
  <si>
    <t>DEGENER</t>
  </si>
  <si>
    <t>JURAPORN SALISBURY &amp; DAN DEGENER</t>
  </si>
  <si>
    <t xml:space="preserve">14876 W ESCONDIDO CIR </t>
  </si>
  <si>
    <t>JURAPORN SALISBURY</t>
  </si>
  <si>
    <t>DAN A DEGENER JR</t>
  </si>
  <si>
    <t>CHATHAM</t>
  </si>
  <si>
    <t>MANGAHAS</t>
  </si>
  <si>
    <t>LAIZA</t>
  </si>
  <si>
    <t>CHATHAM &amp; LAIZA MANGAHAS</t>
  </si>
  <si>
    <t xml:space="preserve">16809 W PORTLAND ST </t>
  </si>
  <si>
    <t>CHATHAM ROBIN L</t>
  </si>
  <si>
    <t>BILLINGS</t>
  </si>
  <si>
    <t>SYDNEY BILLINGS</t>
  </si>
  <si>
    <t xml:space="preserve">38 W RAWHIDE AVE </t>
  </si>
  <si>
    <t>RAWHIDE PARK</t>
  </si>
  <si>
    <t>HOOPER JARVIS</t>
  </si>
  <si>
    <t>BILLINGS SYDNEY</t>
  </si>
  <si>
    <t>KENNETH ANDERSON</t>
  </si>
  <si>
    <t xml:space="preserve">1386 E AUGUSTA AVE </t>
  </si>
  <si>
    <t>COCHRANE MICHAEL W</t>
  </si>
  <si>
    <t>KENNETH W ANDERSON</t>
  </si>
  <si>
    <t>ALLAN &amp; HELEN LYNCH</t>
  </si>
  <si>
    <t xml:space="preserve">3750 E GAIL DR </t>
  </si>
  <si>
    <t>KEYSTONE LOT 101-263 TR A-V</t>
  </si>
  <si>
    <t>KEYSTONE</t>
  </si>
  <si>
    <t>SAMENTO RESIDENCE TRUST</t>
  </si>
  <si>
    <t>LYNCH ALLAN &amp; HELEN</t>
  </si>
  <si>
    <t>TARBOX</t>
  </si>
  <si>
    <t>ERIC TARBOX &amp; ALEXANDRA HAZEL</t>
  </si>
  <si>
    <t xml:space="preserve">14269 W VENTURA ST </t>
  </si>
  <si>
    <t>BINDER ROBERT L</t>
  </si>
  <si>
    <t>TARBOX ERIC D</t>
  </si>
  <si>
    <t>DAUTEL</t>
  </si>
  <si>
    <t>RYAN &amp; JENNIFER DAUTEL</t>
  </si>
  <si>
    <t xml:space="preserve">2638 E BOISE ST </t>
  </si>
  <si>
    <t>MESA VILLAS REPLAT</t>
  </si>
  <si>
    <t>MESA VILLAS</t>
  </si>
  <si>
    <t>HEMMINGSEN EMILY R</t>
  </si>
  <si>
    <t>RYAN L DAUTEL</t>
  </si>
  <si>
    <t>JENNIFER DAUTEL</t>
  </si>
  <si>
    <t>SLACK</t>
  </si>
  <si>
    <t>SLACK &amp; KAREN LONG</t>
  </si>
  <si>
    <t xml:space="preserve">12811 N 44TH AVE </t>
  </si>
  <si>
    <t>NEWCASTLE ESTATES UNIT TWO</t>
  </si>
  <si>
    <t>SWEETWATER ELEMENTARY SCHOOL</t>
  </si>
  <si>
    <t>SHAPIRO LIVING TRUST</t>
  </si>
  <si>
    <t>SLACK MONTANA &amp; KAREN LONG</t>
  </si>
  <si>
    <t>MONTANEZ</t>
  </si>
  <si>
    <t>MONTANEZ &amp; ALICIA RENEE</t>
  </si>
  <si>
    <t xml:space="preserve">5326 E SHEENA DR </t>
  </si>
  <si>
    <t>NORMA ESTATES</t>
  </si>
  <si>
    <t>SCHULER MARK H</t>
  </si>
  <si>
    <t>MONTANEZ RAMON L &amp; ALICIA R</t>
  </si>
  <si>
    <t>PKW TRUST</t>
  </si>
  <si>
    <t>PKW</t>
  </si>
  <si>
    <t xml:space="preserve">6040 E PORTIA CIR </t>
  </si>
  <si>
    <t>TOMLINSON RICHARD A &amp; PAMELA</t>
  </si>
  <si>
    <t>WATTS KEVIN K &amp; PAMELA S</t>
  </si>
  <si>
    <t>GIBSON FAMILY TRUST</t>
  </si>
  <si>
    <t xml:space="preserve">330 E BELMONT AVE </t>
  </si>
  <si>
    <t>HIBBELER JACQUELYN P</t>
  </si>
  <si>
    <t>GIBSON TERRY R</t>
  </si>
  <si>
    <t>COLBURN ALICE S</t>
  </si>
  <si>
    <t>KAMPERT</t>
  </si>
  <si>
    <t>ALAN KAMPERT &amp; KYLE GRAY</t>
  </si>
  <si>
    <t xml:space="preserve">18413 N 147TH DR </t>
  </si>
  <si>
    <t>KINGSWOOD PARKE PHASE ONE - PARCELS 1 2</t>
  </si>
  <si>
    <t>KINGSWOOD PARKE PARCE</t>
  </si>
  <si>
    <t>ANDREW DAVID M</t>
  </si>
  <si>
    <t>KAMPERT ALAN</t>
  </si>
  <si>
    <t>MISCELLANEOUS CU</t>
  </si>
  <si>
    <t>TUCSON AZ 85734-1900</t>
  </si>
  <si>
    <t>ALAN KAMPERT</t>
  </si>
  <si>
    <t>KYLE GRAY</t>
  </si>
  <si>
    <t>TROY &amp; LINDSEY SMITH</t>
  </si>
  <si>
    <t xml:space="preserve">19402 N 8TH ST </t>
  </si>
  <si>
    <t>COUNTRY PLACE LOT 1-185 TR A-B</t>
  </si>
  <si>
    <t>COUNTRY PLACE</t>
  </si>
  <si>
    <t>RENOVATIONS UNLIMITED LLC</t>
  </si>
  <si>
    <t>SMITH TROY J &amp; LINDSEY E</t>
  </si>
  <si>
    <t>YANDELL</t>
  </si>
  <si>
    <t>RORY YANDELL</t>
  </si>
  <si>
    <t xml:space="preserve">2254 W SAINT MORITZ LN </t>
  </si>
  <si>
    <t>GREENWAY NORTH LOT 1-72 &amp; TR A&amp;B</t>
  </si>
  <si>
    <t>GREENWAY NORTH</t>
  </si>
  <si>
    <t>OBRINSKE BRUCE A</t>
  </si>
  <si>
    <t>YANDELL RORY</t>
  </si>
  <si>
    <t>HARPSTRITE</t>
  </si>
  <si>
    <t>JERRY &amp; MARSHA HARPSTRITE</t>
  </si>
  <si>
    <t xml:space="preserve">2118 W CARSON RD </t>
  </si>
  <si>
    <t>HOV DAVID G &amp; REBECCA R</t>
  </si>
  <si>
    <t>HARPSTRITE JERRY C &amp; MARSHA L</t>
  </si>
  <si>
    <t>CHRISTOPHER ALLEN</t>
  </si>
  <si>
    <t xml:space="preserve">5233 W PLEASANT LN </t>
  </si>
  <si>
    <t>SIERRA COLINA</t>
  </si>
  <si>
    <t>ACACIA HOUSING LLC</t>
  </si>
  <si>
    <t>ALLEN CHRISTOPHER T</t>
  </si>
  <si>
    <t>ARROYO</t>
  </si>
  <si>
    <t>ANTHONY &amp; LISA ARROYO</t>
  </si>
  <si>
    <t xml:space="preserve">14919 N GIL BALCOME </t>
  </si>
  <si>
    <t>MCCLEARY MICHAEL &amp; CAROL</t>
  </si>
  <si>
    <t>ANTHONY ARROYO</t>
  </si>
  <si>
    <t>LISA ARROYO</t>
  </si>
  <si>
    <t>MCGEHEE</t>
  </si>
  <si>
    <t>TODD MCGEHEE</t>
  </si>
  <si>
    <t xml:space="preserve">1092 N GOLDEN KEY ST </t>
  </si>
  <si>
    <t>SILVERHAWKE 2</t>
  </si>
  <si>
    <t>WERHANOWICZ JACOB J</t>
  </si>
  <si>
    <t>MCGEHEE TODD</t>
  </si>
  <si>
    <t>ARMENTROUT</t>
  </si>
  <si>
    <t>BRENT &amp; TERI ARMENTROUT</t>
  </si>
  <si>
    <t xml:space="preserve">921 N SANDAL CIR </t>
  </si>
  <si>
    <t>ALTA MESA  5B LOT 1-91 TR A B</t>
  </si>
  <si>
    <t>FAIR OAKS AT ALTA MESA</t>
  </si>
  <si>
    <t>TINNESAND SCOTT B</t>
  </si>
  <si>
    <t>BRENT ARMENTROUT</t>
  </si>
  <si>
    <t>TERI ARMENTROUT</t>
  </si>
  <si>
    <t>GARY &amp; ANDREA NELSON</t>
  </si>
  <si>
    <t xml:space="preserve">781 W MORELOS CT </t>
  </si>
  <si>
    <t>GJURGEVICH KATRINE E</t>
  </si>
  <si>
    <t>GARY F NELSON</t>
  </si>
  <si>
    <t>ANDREA H NELSON</t>
  </si>
  <si>
    <t>PHILIP PERRY &amp; JEAN MARTIN</t>
  </si>
  <si>
    <t xml:space="preserve">9142 W KERRY LN </t>
  </si>
  <si>
    <t>PINERIDGE AT WESTBROOK VILLAGE LOT 1039-</t>
  </si>
  <si>
    <t>PINERIDGE AT WESTBROOK VILLAGE</t>
  </si>
  <si>
    <t>LARSON BETSY F</t>
  </si>
  <si>
    <t>PERRY PHILIP D</t>
  </si>
  <si>
    <t>MARTIN JEAN M</t>
  </si>
  <si>
    <t>PUSKAR</t>
  </si>
  <si>
    <t>FREDERICK &amp; SILVIA PUSKAR</t>
  </si>
  <si>
    <t xml:space="preserve">7004 W WAHALLA LN </t>
  </si>
  <si>
    <t>MILLS JAMES L &amp; JANET C</t>
  </si>
  <si>
    <t>PUSKAR FREDERICK &amp; SILVIA</t>
  </si>
  <si>
    <t>BLISH</t>
  </si>
  <si>
    <t>FREDDIE BLISH</t>
  </si>
  <si>
    <t xml:space="preserve">1712 W ALOE VERA DR </t>
  </si>
  <si>
    <t>SONORAN FOOTHILLS PARCEL 16</t>
  </si>
  <si>
    <t>HOPP REX C</t>
  </si>
  <si>
    <t>BLISH FREDDIE</t>
  </si>
  <si>
    <t>HANN</t>
  </si>
  <si>
    <t>ELLEN HANN</t>
  </si>
  <si>
    <t xml:space="preserve">2151 E LYNWOOD ST </t>
  </si>
  <si>
    <t>CITRUS DEL RAY</t>
  </si>
  <si>
    <t>CRC PRCPERTIES LLC</t>
  </si>
  <si>
    <t>FINANCE OF AMERICA MTG</t>
  </si>
  <si>
    <t>JULIANNA</t>
  </si>
  <si>
    <t>FRANCISCO &amp; JULIANNA CONTRERAS</t>
  </si>
  <si>
    <t xml:space="preserve">8772 W GARDENIA AVE </t>
  </si>
  <si>
    <t>ROVEY FARM ESTATES SOUTH</t>
  </si>
  <si>
    <t>ROVEY FARM ESTATES</t>
  </si>
  <si>
    <t>BENNINGHOFF WILLIAM J &amp; BETH</t>
  </si>
  <si>
    <t>CONTRERAS FRANCISCO R &amp; JULIA</t>
  </si>
  <si>
    <t>MACIAS</t>
  </si>
  <si>
    <t>RICHARD MACIAS</t>
  </si>
  <si>
    <t xml:space="preserve">5415 N ANNIE CT </t>
  </si>
  <si>
    <t>MACIAS RICHARD</t>
  </si>
  <si>
    <t>MCCORKLE</t>
  </si>
  <si>
    <t>RON &amp; KELLEY MCCORKLE</t>
  </si>
  <si>
    <t xml:space="preserve">5223 W EL CORTEZ TRL </t>
  </si>
  <si>
    <t>ANDERSEN LISA M</t>
  </si>
  <si>
    <t>MCCORKLE RON W &amp; KELLEY J</t>
  </si>
  <si>
    <t>PATRICK &amp; JACQUELINE ARCHER</t>
  </si>
  <si>
    <t xml:space="preserve">14244 W BANFF LN </t>
  </si>
  <si>
    <t>MORIN CHARLES P</t>
  </si>
  <si>
    <t>ARCHER PATRICK K</t>
  </si>
  <si>
    <t>STEPHEN LEE</t>
  </si>
  <si>
    <t xml:space="preserve">29967 N 127TH AVE </t>
  </si>
  <si>
    <t>KRAUSE DENNIS</t>
  </si>
  <si>
    <t>SALT LAKE CITY UT 84109</t>
  </si>
  <si>
    <t>LEE STEPHEN A</t>
  </si>
  <si>
    <t>STEPHEN A LEE</t>
  </si>
  <si>
    <t>SHREWSBURY JOHN &amp; LONE L TRUST</t>
  </si>
  <si>
    <t>JOHN &amp; LONE SHREWSBURY</t>
  </si>
  <si>
    <t xml:space="preserve">27426 N 45TH WAY </t>
  </si>
  <si>
    <t>DIAMOND CREEK</t>
  </si>
  <si>
    <t>TD78 LLC</t>
  </si>
  <si>
    <t>SHREWSBURY JOHN M</t>
  </si>
  <si>
    <t>STRINGER</t>
  </si>
  <si>
    <t>LORENE</t>
  </si>
  <si>
    <t>STRINGER &amp; KRISTIN LORENE</t>
  </si>
  <si>
    <t xml:space="preserve">5023 W BUCKSKIN TRL </t>
  </si>
  <si>
    <t>CANYON SPRINGS ESTATES</t>
  </si>
  <si>
    <t>INSOURCE WEST PROPS INC</t>
  </si>
  <si>
    <t>STRINGER JOSEPH J &amp; KRISTIN L</t>
  </si>
  <si>
    <t>SALVADOR</t>
  </si>
  <si>
    <t>CEPEDA</t>
  </si>
  <si>
    <t>SALVADOR &amp; HANNA CEPEDA</t>
  </si>
  <si>
    <t xml:space="preserve">1182 S SANDSTONE CT </t>
  </si>
  <si>
    <t>WESTERN SKIES ESTATES UNIT 6</t>
  </si>
  <si>
    <t>LYNCH KEVIN G &amp; MARY B</t>
  </si>
  <si>
    <t>CEPEDA SALVADOR &amp; HANNAH</t>
  </si>
  <si>
    <t>BERUMEN</t>
  </si>
  <si>
    <t>ANALEE</t>
  </si>
  <si>
    <t>ALBERTO &amp; ANALEE BERUMEN</t>
  </si>
  <si>
    <t xml:space="preserve">5713 E BRAMBLE BERRY LN </t>
  </si>
  <si>
    <t>BERUMEN ALBERTO &amp; ANALEE D</t>
  </si>
  <si>
    <t>BERNARD AND JULIE JONES TRUST</t>
  </si>
  <si>
    <t xml:space="preserve">2490 E PENEDES DR </t>
  </si>
  <si>
    <t>JONES BERNARD G</t>
  </si>
  <si>
    <t>OTIS</t>
  </si>
  <si>
    <t>DANCY</t>
  </si>
  <si>
    <t>OTIS &amp; HOLLY DANCY</t>
  </si>
  <si>
    <t xml:space="preserve">295 E FRANCES LN </t>
  </si>
  <si>
    <t>GIMBLIN DARREN</t>
  </si>
  <si>
    <t>DANCY OTIS W &amp; HOLLY C</t>
  </si>
  <si>
    <t>HASSON</t>
  </si>
  <si>
    <t>HASSON &amp; CARRIE SUE</t>
  </si>
  <si>
    <t xml:space="preserve">15428 S 15TH AVE </t>
  </si>
  <si>
    <t>PARCEL 16B AT FOOTHILLS CLUB WEST</t>
  </si>
  <si>
    <t>SMITH PATRICIA ANN TRUST</t>
  </si>
  <si>
    <t>HASSON MATTHEW CRAIG &amp; CARRIE</t>
  </si>
  <si>
    <t>NICHOLSON</t>
  </si>
  <si>
    <t>NATALIYA</t>
  </si>
  <si>
    <t>DAN &amp; NATALIYA NICHOLSON</t>
  </si>
  <si>
    <t xml:space="preserve">3342 E GLENHAVEN DR </t>
  </si>
  <si>
    <t>LATHAM DANIEL</t>
  </si>
  <si>
    <t>NICHOLSON DAN &amp; NATALIYA N</t>
  </si>
  <si>
    <t>SIMMONE</t>
  </si>
  <si>
    <t>EDWARD &amp; SIMMONE BLAKE</t>
  </si>
  <si>
    <t xml:space="preserve">7310 W CRABAPPLE DR </t>
  </si>
  <si>
    <t>TERRAMAR PARCEL 9A</t>
  </si>
  <si>
    <t>DREW FLOYD F</t>
  </si>
  <si>
    <t>BLAKE EDWARD M</t>
  </si>
  <si>
    <t>DENIGER-SMITH</t>
  </si>
  <si>
    <t>MICHAEL SMITH &amp; DANA DENIGER-SMITH</t>
  </si>
  <si>
    <t xml:space="preserve">3933 E SANDRA TER </t>
  </si>
  <si>
    <t>SANDRA TERRACE AMD</t>
  </si>
  <si>
    <t>SANDRA TERRACE</t>
  </si>
  <si>
    <t>HEDGER JAMES</t>
  </si>
  <si>
    <t>SMITH MICHAEL D</t>
  </si>
  <si>
    <t>DENIGER-SMITH DANA M</t>
  </si>
  <si>
    <t>VENDT</t>
  </si>
  <si>
    <t>ALFRED &amp; DEBORAH VENDT</t>
  </si>
  <si>
    <t xml:space="preserve">4831 S CALDERON </t>
  </si>
  <si>
    <t>GILA RIVER RANCHES UNIT 3</t>
  </si>
  <si>
    <t>UPPALURI PRASANNA &amp; NALINI</t>
  </si>
  <si>
    <t>VENDT ALFRED &amp; DEBORAH</t>
  </si>
  <si>
    <t>CLEVELAND</t>
  </si>
  <si>
    <t>MICHAEL CLEVELAND</t>
  </si>
  <si>
    <t xml:space="preserve">3444 E TONTO LN </t>
  </si>
  <si>
    <t>PARK HILL AMD LOT 177-193</t>
  </si>
  <si>
    <t>ROSENKRANTZ LISA B T T</t>
  </si>
  <si>
    <t>AMERICAN PACIFIC MTG</t>
  </si>
  <si>
    <t>MICHAEL J CLEVELAND</t>
  </si>
  <si>
    <t>YURI</t>
  </si>
  <si>
    <t>HOVERSON</t>
  </si>
  <si>
    <t>YURI &amp; LISA HOVERSON</t>
  </si>
  <si>
    <t xml:space="preserve">4644 E WESTCHESTER DR </t>
  </si>
  <si>
    <t>HOVERSON YURI K</t>
  </si>
  <si>
    <t>HOVERSON YURI K &amp; LISA M</t>
  </si>
  <si>
    <t>STEPHEN &amp; NICOLE ROBERTS</t>
  </si>
  <si>
    <t xml:space="preserve">3795 E CHICKADEE RD </t>
  </si>
  <si>
    <t>POWER RANCH NEIGHBORHOOD 6 PHASE 3B</t>
  </si>
  <si>
    <t>THE ARBORS</t>
  </si>
  <si>
    <t>HARGUESS JIM</t>
  </si>
  <si>
    <t>ROBERTS STEPHEN K &amp; NICOLE R</t>
  </si>
  <si>
    <t>ROMIG</t>
  </si>
  <si>
    <t>ELOISE</t>
  </si>
  <si>
    <t>ROMIG &amp; KATHERINE ELOISE</t>
  </si>
  <si>
    <t xml:space="preserve">9228 W ORAIBI DR </t>
  </si>
  <si>
    <t>SHADOW RIDGE AT WESTBROOK VILLAGE LT 662</t>
  </si>
  <si>
    <t>SHADOW RIDGE AT WESTBROOK VILLAGE</t>
  </si>
  <si>
    <t>ROBINSON FRANCIS B</t>
  </si>
  <si>
    <t>ROMIG GARY R</t>
  </si>
  <si>
    <t>JARRELL</t>
  </si>
  <si>
    <t>WILLIAM JARRELL</t>
  </si>
  <si>
    <t xml:space="preserve">6705 E PRESTON ST </t>
  </si>
  <si>
    <t>VISTA MONTANA</t>
  </si>
  <si>
    <t>SAGUARO COUNTRY LLC</t>
  </si>
  <si>
    <t>JARRELL WILLIAM</t>
  </si>
  <si>
    <t>DENNIS &amp; JOAN BELT</t>
  </si>
  <si>
    <t xml:space="preserve">3462 N SONORAN HLS </t>
  </si>
  <si>
    <t xml:space="preserve">4896 NW KYLE CT </t>
  </si>
  <si>
    <t>SILVERDALE</t>
  </si>
  <si>
    <t>STONELEDGE AT LAS SENDAS</t>
  </si>
  <si>
    <t>BASNETT DONALD</t>
  </si>
  <si>
    <t>BELT DENNIS V</t>
  </si>
  <si>
    <t>MABRY</t>
  </si>
  <si>
    <t>MICHAEL &amp; TRACY MABRY</t>
  </si>
  <si>
    <t xml:space="preserve">9007 S 10TH DR </t>
  </si>
  <si>
    <t>DOBBINS CROSSING PHASE 3</t>
  </si>
  <si>
    <t>DOBBINS CROSSING</t>
  </si>
  <si>
    <t>HEINDEL LARRY</t>
  </si>
  <si>
    <t>MABRY MICHAEL L &amp; TRACY L</t>
  </si>
  <si>
    <t>KEVIN &amp; DIANA BLAKE</t>
  </si>
  <si>
    <t xml:space="preserve">2148 S BENTON CIR </t>
  </si>
  <si>
    <t>VILLAGES OF EASTRIDGE UNIT 6</t>
  </si>
  <si>
    <t>GILBERT ROGER E &amp; JENNIFER M</t>
  </si>
  <si>
    <t>BLAKE KEVIN P &amp; DIANA M</t>
  </si>
  <si>
    <t>LOHR</t>
  </si>
  <si>
    <t>ROBERT &amp; SHANNON LOHR</t>
  </si>
  <si>
    <t xml:space="preserve">10424 N 22ND WAY </t>
  </si>
  <si>
    <t>SUMMER SHADOWS LOT 1-55 TR A</t>
  </si>
  <si>
    <t>SUMMER SHADOWS</t>
  </si>
  <si>
    <t>SWEENEY PATRICK J &amp; VICTORIA</t>
  </si>
  <si>
    <t>LOHR ROBERT M &amp; SHANNON A</t>
  </si>
  <si>
    <t>SCHIEFELBEIN</t>
  </si>
  <si>
    <t>KARL &amp; RHONDA SCHIEFELBEIN</t>
  </si>
  <si>
    <t xml:space="preserve">537 W EL CAMINITO DR </t>
  </si>
  <si>
    <t>SANDS TERRACE 2</t>
  </si>
  <si>
    <t>SANDS TERRACE</t>
  </si>
  <si>
    <t>KOONS STEPHEN E</t>
  </si>
  <si>
    <t>SCHIEFELBEIN KARL &amp; RHONDA</t>
  </si>
  <si>
    <t>MICHAEL JORDAN</t>
  </si>
  <si>
    <t xml:space="preserve">3507 E NORTH LN </t>
  </si>
  <si>
    <t xml:space="preserve">3116 S MILL AVE #605 </t>
  </si>
  <si>
    <t>KNOLL VIEW ESTATES</t>
  </si>
  <si>
    <t>DABBS WILLIAM &amp; KATHERINE</t>
  </si>
  <si>
    <t>JORDAN MICHAEL W</t>
  </si>
  <si>
    <t>ANDRE</t>
  </si>
  <si>
    <t>CORINNE</t>
  </si>
  <si>
    <t>ANDRE &amp; CORINNE SPEARS</t>
  </si>
  <si>
    <t xml:space="preserve">3797 E TAURUS PL </t>
  </si>
  <si>
    <t>APERGIS FILLIP &amp; VIRGINIA</t>
  </si>
  <si>
    <t>SPEARS ANDRE &amp; CORINNE</t>
  </si>
  <si>
    <t>GOGGANS</t>
  </si>
  <si>
    <t>JACQUELYNNE</t>
  </si>
  <si>
    <t>RYAN &amp; JACQUELYNNE GOGGANS</t>
  </si>
  <si>
    <t xml:space="preserve">17670 W STATLER DR </t>
  </si>
  <si>
    <t>JONES SCOTT M</t>
  </si>
  <si>
    <t>GOGGANS RYAN A &amp; JACQUELYNNE R</t>
  </si>
  <si>
    <t>VILLANUEVA</t>
  </si>
  <si>
    <t>ARMANDO &amp; TERESA VILLANUEVA</t>
  </si>
  <si>
    <t xml:space="preserve">18042 W POST DR </t>
  </si>
  <si>
    <t xml:space="preserve">710 N PLANKINTON AV WEST POST DR </t>
  </si>
  <si>
    <t>VILLANUEVA ARMANDO S II &amp; TERESA L</t>
  </si>
  <si>
    <t>SJOGREN</t>
  </si>
  <si>
    <t>PETRA</t>
  </si>
  <si>
    <t>JAMES &amp; PETRA SJOGREN</t>
  </si>
  <si>
    <t xml:space="preserve">3030 E NORA ST </t>
  </si>
  <si>
    <t>MENNEN LIVING TRUST</t>
  </si>
  <si>
    <t>JAMES B SJOGREN</t>
  </si>
  <si>
    <t>PETRA B SJOGREN</t>
  </si>
  <si>
    <t>FAUSETTE</t>
  </si>
  <si>
    <t>LISA &amp; RONALD FAUSETTE</t>
  </si>
  <si>
    <t xml:space="preserve">21523 N 69TH DR </t>
  </si>
  <si>
    <t>DIAMANTE VISTA</t>
  </si>
  <si>
    <t>ROGERS ANNETTE M</t>
  </si>
  <si>
    <t>FAUSSETTE RONALD D</t>
  </si>
  <si>
    <t>MARX &amp; AMANDA LEE</t>
  </si>
  <si>
    <t xml:space="preserve">17537 W STRAIGHT ARROW LN </t>
  </si>
  <si>
    <t>LEE MARX JESSE &amp; AMANDA</t>
  </si>
  <si>
    <t>JAMES COOPER</t>
  </si>
  <si>
    <t xml:space="preserve">13597 N 102ND PL </t>
  </si>
  <si>
    <t>MOUNTAINVIEW RANCH UNIT 3 LOT 289-559 TR</t>
  </si>
  <si>
    <t>SOROKIN ANDRIY</t>
  </si>
  <si>
    <t>JAMES T COOPER</t>
  </si>
  <si>
    <t>WOOTEN</t>
  </si>
  <si>
    <t>JAMES WOOTEN</t>
  </si>
  <si>
    <t xml:space="preserve">3246 W FULLER DR </t>
  </si>
  <si>
    <t>BARBER KEVIN D</t>
  </si>
  <si>
    <t>WOOTEN JAMES</t>
  </si>
  <si>
    <t>HARLAN</t>
  </si>
  <si>
    <t>SQUIRES</t>
  </si>
  <si>
    <t>HARLAN &amp; KELLY SQUIRES</t>
  </si>
  <si>
    <t xml:space="preserve">2980 S COLE DR </t>
  </si>
  <si>
    <t>DELGADO MARIO &amp; DORI</t>
  </si>
  <si>
    <t>HARLAN T SQUIRES</t>
  </si>
  <si>
    <t>KELLEY L SQUIRES</t>
  </si>
  <si>
    <t>GEOFF</t>
  </si>
  <si>
    <t>GRUBB</t>
  </si>
  <si>
    <t>GEOFF GRUBB</t>
  </si>
  <si>
    <t xml:space="preserve">311 N KENNETH PL </t>
  </si>
  <si>
    <t>WILD TREE</t>
  </si>
  <si>
    <t>GRUBB GEOFF W</t>
  </si>
  <si>
    <t>JASON WELLS</t>
  </si>
  <si>
    <t xml:space="preserve">917 E LAMPLIGHTER LN </t>
  </si>
  <si>
    <t>LAKES TRACT D1</t>
  </si>
  <si>
    <t>TAH MWH INVESTMENTS LLC</t>
  </si>
  <si>
    <t>WELLS JASON</t>
  </si>
  <si>
    <t>FUST</t>
  </si>
  <si>
    <t>FUST &amp; AMANDA JANE</t>
  </si>
  <si>
    <t xml:space="preserve">9219 W AVENIDA DEL SOL </t>
  </si>
  <si>
    <t>TREASURE CANYON ESTATES</t>
  </si>
  <si>
    <t>TIMLICK PATRICIA E</t>
  </si>
  <si>
    <t>FUST DARYLL F &amp; AMANDA J</t>
  </si>
  <si>
    <t>DAVID &amp; ANNIE JONES</t>
  </si>
  <si>
    <t xml:space="preserve">10620 W MELINDA LN </t>
  </si>
  <si>
    <t>JONES DAVID &amp; ANNIE</t>
  </si>
  <si>
    <t>DIVER</t>
  </si>
  <si>
    <t>PATRICK &amp; VALERIE DIVER</t>
  </si>
  <si>
    <t xml:space="preserve">20466 N 90TH LN </t>
  </si>
  <si>
    <t>CANNON ROBERT J</t>
  </si>
  <si>
    <t>DIVER PATRICK &amp; VALERIE</t>
  </si>
  <si>
    <t>STEPHEN &amp; KATHLEEN BARTON</t>
  </si>
  <si>
    <t xml:space="preserve">230 W SEMINOLE DR </t>
  </si>
  <si>
    <t>MOON VALLEY ESTATES</t>
  </si>
  <si>
    <t>THERIOT CHRISTINE</t>
  </si>
  <si>
    <t>BARTON STEPHEN M &amp; KATHLEEN A</t>
  </si>
  <si>
    <t>RJN FAMILY TRUST</t>
  </si>
  <si>
    <t>RJN</t>
  </si>
  <si>
    <t xml:space="preserve">8119 E DEL LATON DR </t>
  </si>
  <si>
    <t>TIERRA FELIZ 3</t>
  </si>
  <si>
    <t>TIERRA FELIZ</t>
  </si>
  <si>
    <t>VIA DE CORTO 1 LLC</t>
  </si>
  <si>
    <t>NOYES ROBERT</t>
  </si>
  <si>
    <t>HINSBERG</t>
  </si>
  <si>
    <t>PATRICK &amp; JAIME HINSBERG</t>
  </si>
  <si>
    <t xml:space="preserve">5025 E SLEEPY RANCH RD </t>
  </si>
  <si>
    <t>HERMANSON JASON &amp; NICOLE</t>
  </si>
  <si>
    <t>PATRICK J HINSBERG</t>
  </si>
  <si>
    <t>JAIME N HINSBERG</t>
  </si>
  <si>
    <t>LUIS &amp; ANDREA AGUILAR</t>
  </si>
  <si>
    <t xml:space="preserve">5386 W LIBBY ST </t>
  </si>
  <si>
    <t>BROWN DOUGLAS E</t>
  </si>
  <si>
    <t>AGUILAR LUIS A</t>
  </si>
  <si>
    <t>EDWARDS DAVID S &amp; DEBRA A TRUS</t>
  </si>
  <si>
    <t>S &amp; DEBRA EDWARDSDAVID</t>
  </si>
  <si>
    <t xml:space="preserve">9518 W MENADOTA DR </t>
  </si>
  <si>
    <t>MOUNTAIN PARK ESTATES AT WESTBROOK VILLA</t>
  </si>
  <si>
    <t>MOUNTAIN PARK ESTATES AT WESTBROOK VILLAGE</t>
  </si>
  <si>
    <t>COOK FAMILY TRUST</t>
  </si>
  <si>
    <t>EDWARDS DAVID S &amp; DEBRA A</t>
  </si>
  <si>
    <t>KELCEY</t>
  </si>
  <si>
    <t>ZAYAS</t>
  </si>
  <si>
    <t>KELCEY ZAYAS</t>
  </si>
  <si>
    <t xml:space="preserve">10262 E CLINTON ST </t>
  </si>
  <si>
    <t>BENT TREE LOT 1-160 TR A-D</t>
  </si>
  <si>
    <t>BENT TREE</t>
  </si>
  <si>
    <t>CREAGER DEAN M &amp; DEBORAH K</t>
  </si>
  <si>
    <t>ZAYAS FELIX &amp; KELCEY</t>
  </si>
  <si>
    <t>DANIEL WHITE</t>
  </si>
  <si>
    <t xml:space="preserve">3920 W SANDRA TER </t>
  </si>
  <si>
    <t>BRANDYWINE TERRACE</t>
  </si>
  <si>
    <t>WEEDEN ROBERT &amp; LAURIE</t>
  </si>
  <si>
    <t>WHITE DANIEL N</t>
  </si>
  <si>
    <t>NANCEE J TYLER LIVING TRUST</t>
  </si>
  <si>
    <t>NANCEE TYLER</t>
  </si>
  <si>
    <t xml:space="preserve">14827 S 46TH ST </t>
  </si>
  <si>
    <t>MONARCH   LOT 1-215  TR A-D</t>
  </si>
  <si>
    <t>MONARCH</t>
  </si>
  <si>
    <t>HAN WOOJONG</t>
  </si>
  <si>
    <t>TYLER NANCEE J</t>
  </si>
  <si>
    <t>SCHIMMELMAN</t>
  </si>
  <si>
    <t>ARTHUR &amp; MEREDITH SCHIMMELMAN</t>
  </si>
  <si>
    <t xml:space="preserve">16759 W TETHER TRL </t>
  </si>
  <si>
    <t>ROCH JAMES &amp; DONITA J</t>
  </si>
  <si>
    <t>SCHIMMELMAN ARTHUR E &amp; MEREDITH A</t>
  </si>
  <si>
    <t>KERN</t>
  </si>
  <si>
    <t>ELIZABETH KERN</t>
  </si>
  <si>
    <t xml:space="preserve">2720 E HAZELTINE WAY </t>
  </si>
  <si>
    <t>YENA LIVING TRUST</t>
  </si>
  <si>
    <t>HOGAN DOROTHY A</t>
  </si>
  <si>
    <t>EGLAEL</t>
  </si>
  <si>
    <t>MATHEW &amp; EGLAEL DAVIS</t>
  </si>
  <si>
    <t xml:space="preserve">580 N CHOLLA ST </t>
  </si>
  <si>
    <t>SOUTHERN MEADOWS 2 LOT 199-210 TR A-H</t>
  </si>
  <si>
    <t>SOUTHERN MEADOWS</t>
  </si>
  <si>
    <t>GERNER THOMAS E</t>
  </si>
  <si>
    <t>DAVIS MATHEW A &amp; EGLAEL</t>
  </si>
  <si>
    <t>HOLBO</t>
  </si>
  <si>
    <t>PAUL HOLBO &amp; ANN KAY</t>
  </si>
  <si>
    <t xml:space="preserve">8325 N POCO CALLE </t>
  </si>
  <si>
    <t>GEORGE FRETZ LOT SPLIT</t>
  </si>
  <si>
    <t>CHEROKEE ELEMENTARY SCHOOL</t>
  </si>
  <si>
    <t>AUGIE LLC</t>
  </si>
  <si>
    <t>HOLBO PAUL S &amp; KAY A</t>
  </si>
  <si>
    <t>BURDICK</t>
  </si>
  <si>
    <t>BLOSS-BURDICK</t>
  </si>
  <si>
    <t>KENNETH BURDICK &amp; DANIELLE BLOSS-BURDICK</t>
  </si>
  <si>
    <t xml:space="preserve">15145 W PEAK VIEW RD </t>
  </si>
  <si>
    <t>WEINREBER R A &amp; M K TRUST</t>
  </si>
  <si>
    <t>TULSA OK 74153</t>
  </si>
  <si>
    <t>BURDICK KENNETH</t>
  </si>
  <si>
    <t>BLOSS-BURDICK DANIELLE D</t>
  </si>
  <si>
    <t>BOK FIN'L</t>
  </si>
  <si>
    <t>KENNETH E BURDICK</t>
  </si>
  <si>
    <t>DANIELLE D BLOSS-BURDICK</t>
  </si>
  <si>
    <t>DEGUTES</t>
  </si>
  <si>
    <t>SCOTT &amp; AIDA DEGUTES</t>
  </si>
  <si>
    <t xml:space="preserve">1030 E JOHNSON RD </t>
  </si>
  <si>
    <t>SULFFRIDGE GARY R</t>
  </si>
  <si>
    <t>DEGUTES SCOTT A</t>
  </si>
  <si>
    <t>CARRIKER</t>
  </si>
  <si>
    <t>THOMAS CARRIKER</t>
  </si>
  <si>
    <t xml:space="preserve">29408 N 58TH ST </t>
  </si>
  <si>
    <t>AMERICAN PACIFIC HOLDINGS</t>
  </si>
  <si>
    <t>CARRIKER THOMAS A</t>
  </si>
  <si>
    <t>TRANSPORTATION FCU</t>
  </si>
  <si>
    <t>THOMAS A CARRIKER</t>
  </si>
  <si>
    <t>LUNDSTROM</t>
  </si>
  <si>
    <t>DEAN &amp; MONICA LUNDSTROM</t>
  </si>
  <si>
    <t xml:space="preserve">8659 W LARIAT LN </t>
  </si>
  <si>
    <t>WESTWING MOUNTAIN PARCEL 5</t>
  </si>
  <si>
    <t>LYNCH RONALD J</t>
  </si>
  <si>
    <t>LUNDSTROM DEAN &amp; MONICA</t>
  </si>
  <si>
    <t>PATRICK &amp; LYNN GUNN</t>
  </si>
  <si>
    <t xml:space="preserve">14083 W DESERT COVE RD </t>
  </si>
  <si>
    <t>MOUNTAIN GATE PHASE 1 AND PHASE 2</t>
  </si>
  <si>
    <t>HINS JEFFREY &amp; JEAN</t>
  </si>
  <si>
    <t>GUNN PATRICK J SR &amp; LYNN M</t>
  </si>
  <si>
    <t>DALY</t>
  </si>
  <si>
    <t>THOMAS DALY</t>
  </si>
  <si>
    <t xml:space="preserve">29280 N 70TH WAY </t>
  </si>
  <si>
    <t>SCOTTSDALE VISTA ESTATES</t>
  </si>
  <si>
    <t>CAVANAUGH ERIC</t>
  </si>
  <si>
    <t>DALY THOMAS G</t>
  </si>
  <si>
    <t>GARAY FAMILY TRUST</t>
  </si>
  <si>
    <t xml:space="preserve">7060 E THIRSTY CACTUS LN </t>
  </si>
  <si>
    <t>PARCEL G AT TERRAVITA</t>
  </si>
  <si>
    <t>HORNBAKER ROSALIND A</t>
  </si>
  <si>
    <t>GARAY JOHN S &amp; BARBARA K</t>
  </si>
  <si>
    <t>ANDREW NOVAK</t>
  </si>
  <si>
    <t xml:space="preserve">320 W BALTUSROL CIR </t>
  </si>
  <si>
    <t>BALTUSROL LLC</t>
  </si>
  <si>
    <t>NOVAK ANDREW J</t>
  </si>
  <si>
    <t xml:space="preserve">37415 N 237TH AVE </t>
  </si>
  <si>
    <t>MORRISTOWN</t>
  </si>
  <si>
    <t>MORRISTOWN ELEMENTARY SCHOOL</t>
  </si>
  <si>
    <t>KRAMER REAL ESTATE HOLDINGS TR</t>
  </si>
  <si>
    <t>DOUGLAS &amp; SARAH PRATT</t>
  </si>
  <si>
    <t xml:space="preserve">25785 W BURGESS LN </t>
  </si>
  <si>
    <t>BUCKEYE 320</t>
  </si>
  <si>
    <t>SANTARRA</t>
  </si>
  <si>
    <t>SPRINGER JESSE</t>
  </si>
  <si>
    <t>DOUGLAS P PRATT</t>
  </si>
  <si>
    <t>SARAH P PRATT</t>
  </si>
  <si>
    <t>JEFFREY MILLER</t>
  </si>
  <si>
    <t xml:space="preserve">15270 W CROCUS DR </t>
  </si>
  <si>
    <t>FUNKHOUSER WES</t>
  </si>
  <si>
    <t>KELESOMA</t>
  </si>
  <si>
    <t>NEVILE</t>
  </si>
  <si>
    <t>SIAGANUU</t>
  </si>
  <si>
    <t>KELESOMA &amp; SIAGANUU NEVILE</t>
  </si>
  <si>
    <t xml:space="preserve">12819 W MAUNA LOA LN </t>
  </si>
  <si>
    <t>RANCHO EL MIRAGE PARCEL C</t>
  </si>
  <si>
    <t>RANCHO EL MIRAGE</t>
  </si>
  <si>
    <t>SURPRISE ELEMENTARY SCHOOL</t>
  </si>
  <si>
    <t>GONZALEZ MANUEL A</t>
  </si>
  <si>
    <t>NEVILE KELESOMA</t>
  </si>
  <si>
    <t>JEE</t>
  </si>
  <si>
    <t>AHN</t>
  </si>
  <si>
    <t>GRIER</t>
  </si>
  <si>
    <t>JEE AHN &amp; VIRGINIA GRIER</t>
  </si>
  <si>
    <t xml:space="preserve">329 E PALMCROFT DR </t>
  </si>
  <si>
    <t>BROADMOR MANOR 3</t>
  </si>
  <si>
    <t>BROADMOR MANOR</t>
  </si>
  <si>
    <t>431 W 9TH STREET LLC</t>
  </si>
  <si>
    <t>AHN JEE Y</t>
  </si>
  <si>
    <t>ENZWEILER</t>
  </si>
  <si>
    <t>CULLEN</t>
  </si>
  <si>
    <t>RONALD ENZWEILER &amp; MICHAEL CULLEN</t>
  </si>
  <si>
    <t xml:space="preserve">9827 W CEDAR DR </t>
  </si>
  <si>
    <t>SUN CITY 10A LT 1-396  TR A &amp; B</t>
  </si>
  <si>
    <t>WILLIAMS DONALD E</t>
  </si>
  <si>
    <t>RONALD E ENZWEILER</t>
  </si>
  <si>
    <t>MICHAEL W CULLEN</t>
  </si>
  <si>
    <t>SCHULZE</t>
  </si>
  <si>
    <t>CHRISTOPHER &amp; LEAH SCHULZE</t>
  </si>
  <si>
    <t xml:space="preserve">18029 N 113TH AVE </t>
  </si>
  <si>
    <t>CANYON RIDGE WEST PARCEL 6</t>
  </si>
  <si>
    <t>CANYON RIDGE WEST</t>
  </si>
  <si>
    <t>HEUSTIS SCOTT A</t>
  </si>
  <si>
    <t>SCHULZE CHRISTOPHER V &amp; LEAH S</t>
  </si>
  <si>
    <t>JASPER</t>
  </si>
  <si>
    <t>WELSH</t>
  </si>
  <si>
    <t>DEBBY</t>
  </si>
  <si>
    <t>JASPER &amp; DEBBY WELSH</t>
  </si>
  <si>
    <t xml:space="preserve">20008 N 77TH DR </t>
  </si>
  <si>
    <t>VILLAGE GREENS REPLAT  LOT 201-287</t>
  </si>
  <si>
    <t>VILLAGE GREENS</t>
  </si>
  <si>
    <t>EVANS JAMES</t>
  </si>
  <si>
    <t>WELSH JASPER P II &amp; DEBBY</t>
  </si>
  <si>
    <t>CRAIG &amp; ANGEL BRYAN</t>
  </si>
  <si>
    <t xml:space="preserve">2620 W NARANJA AVE </t>
  </si>
  <si>
    <t>SARATOGA LAKES UNIT SIX LOT 292-420 TR P</t>
  </si>
  <si>
    <t>SARATOGA LAKES</t>
  </si>
  <si>
    <t>MICHELE KELLIE TRUST</t>
  </si>
  <si>
    <t>BRYAN CRAIG</t>
  </si>
  <si>
    <t>BLY</t>
  </si>
  <si>
    <t>ELDER</t>
  </si>
  <si>
    <t>BLY &amp; MARGARET ELDER</t>
  </si>
  <si>
    <t xml:space="preserve">908 S POWER RD #647 </t>
  </si>
  <si>
    <t xml:space="preserve">812 MAPLE LN SW </t>
  </si>
  <si>
    <t>ORTING</t>
  </si>
  <si>
    <t>LEISURE WORLD GOLDEN HILLS PLAT  8 AMD</t>
  </si>
  <si>
    <t>KISH STEVEN L &amp; MARY J</t>
  </si>
  <si>
    <t>ELDER BLY R &amp; MARGARET A</t>
  </si>
  <si>
    <t>CONWAY</t>
  </si>
  <si>
    <t>KEVA</t>
  </si>
  <si>
    <t>LAWRENCE &amp; KEVA CONWAY</t>
  </si>
  <si>
    <t xml:space="preserve">2309 W FAWN DR </t>
  </si>
  <si>
    <t>CAMPUZANO BEVERLY W</t>
  </si>
  <si>
    <t>CONWAY LAWRENCE J &amp; KEVA L</t>
  </si>
  <si>
    <t>WALKER &amp; AMBER LYNN</t>
  </si>
  <si>
    <t xml:space="preserve">5410 N 104TH DR </t>
  </si>
  <si>
    <t>MARTINEZ GERARDO</t>
  </si>
  <si>
    <t>WALKER STEPHEN R &amp; AMBER L</t>
  </si>
  <si>
    <t>ESCOBEDO</t>
  </si>
  <si>
    <t>MELITA</t>
  </si>
  <si>
    <t>DANIEL &amp; MELITA ESCOBEDO</t>
  </si>
  <si>
    <t xml:space="preserve">7606 S 15TH ST </t>
  </si>
  <si>
    <t>CASITAS GRANDE AT SOUTH MOUNTAIN</t>
  </si>
  <si>
    <t>COURTRIGHT CARMEL A</t>
  </si>
  <si>
    <t>ESCOBEDO DANIEL B &amp; MELITA S</t>
  </si>
  <si>
    <t>FOXEN</t>
  </si>
  <si>
    <t>NANCY FOXEN</t>
  </si>
  <si>
    <t xml:space="preserve">11010 E TWILIGHT CT </t>
  </si>
  <si>
    <t>SUN LAKES 26A (PRIVATE STREETS)</t>
  </si>
  <si>
    <t>KRANZ TRUST</t>
  </si>
  <si>
    <t>TIBLIAS DANIEL</t>
  </si>
  <si>
    <t>ANTONIO &amp; SANDRA LOPEZ</t>
  </si>
  <si>
    <t xml:space="preserve">12413 W JEFFERSON ST </t>
  </si>
  <si>
    <t>COLDWATER SPRINGS PARCEL 2 UNIT 2</t>
  </si>
  <si>
    <t>HORNER GARY D &amp; MARY A</t>
  </si>
  <si>
    <t>LOPEZ ANTONIO M &amp; SANDRA C</t>
  </si>
  <si>
    <t>WALLICK</t>
  </si>
  <si>
    <t>SCOTT &amp; CARLA WALLICK</t>
  </si>
  <si>
    <t xml:space="preserve">10534 W EL CORTEZ PL </t>
  </si>
  <si>
    <t>FROST JIMMIE W &amp; ALISHA MARI</t>
  </si>
  <si>
    <t>WALLICK SCOTT T &amp; CARLA A</t>
  </si>
  <si>
    <t>BAUS</t>
  </si>
  <si>
    <t>JAMES BAUS</t>
  </si>
  <si>
    <t xml:space="preserve">10835 W ADAM AVE </t>
  </si>
  <si>
    <t>WILDFLOWER POINT 1</t>
  </si>
  <si>
    <t>WILDFLOWER POINT</t>
  </si>
  <si>
    <t>ELLIS CHRISTOPHER</t>
  </si>
  <si>
    <t>BAUS JAMES S</t>
  </si>
  <si>
    <t>FRANKLIN &amp; CATHY BROWN</t>
  </si>
  <si>
    <t xml:space="preserve">2418 N 124TH CIR </t>
  </si>
  <si>
    <t>TAZWELL LLC</t>
  </si>
  <si>
    <t>BROWN FRANKLIN G</t>
  </si>
  <si>
    <t>TRIBKE</t>
  </si>
  <si>
    <t>RANDY &amp; DANA TRIBKE</t>
  </si>
  <si>
    <t xml:space="preserve">144 W TEAKWOOD PL </t>
  </si>
  <si>
    <t>BOAZMAN W E &amp; LUCRETIA M</t>
  </si>
  <si>
    <t>TRIBKE RANDY K &amp; DANA J</t>
  </si>
  <si>
    <t>CZARNIAK</t>
  </si>
  <si>
    <t>KEITH &amp; JENNIFER CZARNIAK</t>
  </si>
  <si>
    <t xml:space="preserve">9343 W QUAIL AVE </t>
  </si>
  <si>
    <t>DOVE VALLEY RANCH PARCEL 2F</t>
  </si>
  <si>
    <t>VU KHA H</t>
  </si>
  <si>
    <t>ANAHEIM HILLS CA 92808</t>
  </si>
  <si>
    <t>KEITH G CZARNIAK</t>
  </si>
  <si>
    <t>JENNIFER R CZARNIAK</t>
  </si>
  <si>
    <t>WILLIAM PIERCE</t>
  </si>
  <si>
    <t xml:space="preserve">10219 S 48TH WAY </t>
  </si>
  <si>
    <t>DESERT FOOTHILLS ESTATES UNIT 6 LOT 629-</t>
  </si>
  <si>
    <t>CARPENITO SHERYL A</t>
  </si>
  <si>
    <t>PIERCE WILLIAM Z</t>
  </si>
  <si>
    <t>LEATH</t>
  </si>
  <si>
    <t>MANOLITA</t>
  </si>
  <si>
    <t>THOMAS &amp; MANOLITA LEATH</t>
  </si>
  <si>
    <t xml:space="preserve">2709 N 111TH LN </t>
  </si>
  <si>
    <t>STEVENS JOAN L</t>
  </si>
  <si>
    <t>LEATH THOMAS &amp; MANOLITA</t>
  </si>
  <si>
    <t>GAUL</t>
  </si>
  <si>
    <t>RANDOLPH GAUL</t>
  </si>
  <si>
    <t xml:space="preserve">1326 E ENROSE CIR </t>
  </si>
  <si>
    <t xml:space="preserve">PO BOX 41435 </t>
  </si>
  <si>
    <t>PALM GARDENS OF MESA UNIT SIX</t>
  </si>
  <si>
    <t>JOHNSON CAPITAL PTRS LLC</t>
  </si>
  <si>
    <t>RANDOLPH B GAUL</t>
  </si>
  <si>
    <t>KIRKPATRICK</t>
  </si>
  <si>
    <t>ROBERT &amp; DEBORAH KIRKPATRICK</t>
  </si>
  <si>
    <t xml:space="preserve">3615 W WHITTEN ST </t>
  </si>
  <si>
    <t>HEARTHSTONE UNIT 3 LT 322-430 TR A-C</t>
  </si>
  <si>
    <t>SPANKNEBELL TODD J</t>
  </si>
  <si>
    <t>KIRKPATRICK ROBERT L &amp; DEBORA</t>
  </si>
  <si>
    <t>PARE</t>
  </si>
  <si>
    <t>GEORGE &amp; DEBRA PARE</t>
  </si>
  <si>
    <t xml:space="preserve">15767 W LAUREL LN </t>
  </si>
  <si>
    <t>PARE GEORGE R</t>
  </si>
  <si>
    <t>VIRGIN</t>
  </si>
  <si>
    <t>MICHAEL &amp; CATHLEEN VIRGIN</t>
  </si>
  <si>
    <t xml:space="preserve">908 S POWER RD #2223 </t>
  </si>
  <si>
    <t xml:space="preserve">115 LEISURE WORLD </t>
  </si>
  <si>
    <t>LEISURE WORLD PLAT 20 AMD</t>
  </si>
  <si>
    <t>BRISBIN FAMILY LIVING TRUST</t>
  </si>
  <si>
    <t>VIRGIN MICHAEL E</t>
  </si>
  <si>
    <t>KALUA</t>
  </si>
  <si>
    <t>JOHN &amp; APRIL KALUA</t>
  </si>
  <si>
    <t xml:space="preserve">4229 E FRYE RD </t>
  </si>
  <si>
    <t>BUTLER KERRY L</t>
  </si>
  <si>
    <t>KALUA JOHN K</t>
  </si>
  <si>
    <t>ELKINS</t>
  </si>
  <si>
    <t>SCOTT &amp; SHELBY ELKINS</t>
  </si>
  <si>
    <t xml:space="preserve">7827 W YUCCA ST </t>
  </si>
  <si>
    <t>DAUGHERTY KATHRYN M</t>
  </si>
  <si>
    <t>ELKINS SCOTT W &amp; SHELBY S</t>
  </si>
  <si>
    <t>SCOTT W ELKINS</t>
  </si>
  <si>
    <t>SHELBY S ELKINS</t>
  </si>
  <si>
    <t>ORNELAS</t>
  </si>
  <si>
    <t>MARCO ORNELAS</t>
  </si>
  <si>
    <t xml:space="preserve">4837 E HOBART ST </t>
  </si>
  <si>
    <t>C094</t>
  </si>
  <si>
    <t>MIRA MESA LOT 1-274 TR A</t>
  </si>
  <si>
    <t>MIRA MESA</t>
  </si>
  <si>
    <t>VLADI MINCHEV PLLC</t>
  </si>
  <si>
    <t>ORNELAS MARCO A</t>
  </si>
  <si>
    <t>WOLNIK</t>
  </si>
  <si>
    <t>JESI</t>
  </si>
  <si>
    <t>RICK &amp; JESI WOLNIK</t>
  </si>
  <si>
    <t xml:space="preserve">3243 E CLARENDON AVE </t>
  </si>
  <si>
    <t>POMELO PARK</t>
  </si>
  <si>
    <t>MONTE VISTA ELEMENTARY SCHOOL</t>
  </si>
  <si>
    <t>BELL MICHAEL</t>
  </si>
  <si>
    <t>WOLNIK RICK A &amp; JESI L</t>
  </si>
  <si>
    <t>POGUE</t>
  </si>
  <si>
    <t>JOE POGUE</t>
  </si>
  <si>
    <t xml:space="preserve">7857 W MARKET ST </t>
  </si>
  <si>
    <t>MEADOWS AT INDEPENDENCE LOT 1-297</t>
  </si>
  <si>
    <t>MOORE KELLEY L</t>
  </si>
  <si>
    <t>POGUE JOE N</t>
  </si>
  <si>
    <t>RAYMAR</t>
  </si>
  <si>
    <t>ALFONSO</t>
  </si>
  <si>
    <t>SHEREEN</t>
  </si>
  <si>
    <t>TAWIL</t>
  </si>
  <si>
    <t>RAYMAR ALFONSO &amp; SHEREEN TAWIL</t>
  </si>
  <si>
    <t xml:space="preserve">9903 W RIVERSIDE AVE </t>
  </si>
  <si>
    <t>COUNTRY PLACE PARCEL 4 SOUTH</t>
  </si>
  <si>
    <t>COUNTRY PLACE SOUTH</t>
  </si>
  <si>
    <t>JOHSON MARION D</t>
  </si>
  <si>
    <t>ALFONSO RAYMAR</t>
  </si>
  <si>
    <t>TAWIL SHEREEN I</t>
  </si>
  <si>
    <t>MICHAEL &amp; MONICA ROMERO</t>
  </si>
  <si>
    <t xml:space="preserve">1691 S PORTLAND CT </t>
  </si>
  <si>
    <t>COTNEY FAMILY TRUST</t>
  </si>
  <si>
    <t>ROMERO MICHAEL A &amp; MONICA R</t>
  </si>
  <si>
    <t>RAYMOND &amp; KIMBERLY JOHNSON</t>
  </si>
  <si>
    <t xml:space="preserve">21038 W RIDGE RD </t>
  </si>
  <si>
    <t>VERRADO PARCEL 3.209</t>
  </si>
  <si>
    <t>PARISH CATHERINE C</t>
  </si>
  <si>
    <t>RAYMOND JOHNSON</t>
  </si>
  <si>
    <t>KIMBERLY JOHNSON</t>
  </si>
  <si>
    <t>DORMAN</t>
  </si>
  <si>
    <t>MICHAEL &amp; ANDREA DORMAN</t>
  </si>
  <si>
    <t xml:space="preserve">21166 N 98TH DR </t>
  </si>
  <si>
    <t>CAMINO A LAGO SOUTH UNIT 5</t>
  </si>
  <si>
    <t>MOLLON LOUIE</t>
  </si>
  <si>
    <t>DORMAN MICHAEL W</t>
  </si>
  <si>
    <t>CHESTER BROWN</t>
  </si>
  <si>
    <t xml:space="preserve">6832 S MITCHELL DR </t>
  </si>
  <si>
    <t>TEMPE ROYAL ESTATES  4 LOT 166-226</t>
  </si>
  <si>
    <t>TEMPE ROYAL ESTATES</t>
  </si>
  <si>
    <t>HOLMES ROBERT C &amp; CATHERINE</t>
  </si>
  <si>
    <t>BROWN CHESTER H JR</t>
  </si>
  <si>
    <t>CORSO</t>
  </si>
  <si>
    <t>JENNIFER CORSO</t>
  </si>
  <si>
    <t xml:space="preserve">1636 E TURNEY AVE </t>
  </si>
  <si>
    <t>DIBIASI LEO J &amp; V J TRUST</t>
  </si>
  <si>
    <t>PIERRE</t>
  </si>
  <si>
    <t>PIERRE &amp; JOANNE FRANCO</t>
  </si>
  <si>
    <t xml:space="preserve">16815 W TORONTO WAY </t>
  </si>
  <si>
    <t>GLASS ROBERT</t>
  </si>
  <si>
    <t>FRANCO PIERRE &amp; JOANNE E</t>
  </si>
  <si>
    <t>NAVARRO</t>
  </si>
  <si>
    <t>ALEJANDRO &amp; CHRISTINA NAVARRO</t>
  </si>
  <si>
    <t xml:space="preserve">1007 W ISABELLA AVE </t>
  </si>
  <si>
    <t>THOMPSON LINDA FAMILY TRUST</t>
  </si>
  <si>
    <t>NAVARRO ALEJANDRO</t>
  </si>
  <si>
    <t>FELICIA CRUMP LIVING TRUST</t>
  </si>
  <si>
    <t>FELICIACRUMP</t>
  </si>
  <si>
    <t xml:space="preserve">15055 W CORTEZ ST </t>
  </si>
  <si>
    <t>KING RAYMOND</t>
  </si>
  <si>
    <t>LITCHFIELD PARK AZ 85340</t>
  </si>
  <si>
    <t>CRUMP FELICIA</t>
  </si>
  <si>
    <t>CROWLEY TRUST</t>
  </si>
  <si>
    <t>CROWLEY</t>
  </si>
  <si>
    <t xml:space="preserve">11264 E RAMONA AVE </t>
  </si>
  <si>
    <t>CARLIN TIMOTHY</t>
  </si>
  <si>
    <t>CROWLEY JAMES</t>
  </si>
  <si>
    <t>RUBLE</t>
  </si>
  <si>
    <t>LARSON &amp; JESSICA RUBLE</t>
  </si>
  <si>
    <t xml:space="preserve">5009 E CACTUS RD </t>
  </si>
  <si>
    <t>TAMI ESTATES</t>
  </si>
  <si>
    <t>DUNCAN BRYAN R</t>
  </si>
  <si>
    <t>LARSON JOSHUA D &amp; JESSICA R</t>
  </si>
  <si>
    <t>MARK MORGAN</t>
  </si>
  <si>
    <t xml:space="preserve">3837 E TIERRA BUENA LN </t>
  </si>
  <si>
    <t>SILVERTREE 1 LOT 1-128 TR A-O</t>
  </si>
  <si>
    <t>SILVERTREE</t>
  </si>
  <si>
    <t>REDEMPTION CAPITAL LLC</t>
  </si>
  <si>
    <t>MORGAN MARK V</t>
  </si>
  <si>
    <t>JOEL &amp; NICOLE KING</t>
  </si>
  <si>
    <t xml:space="preserve">3709 W CHAMA DR </t>
  </si>
  <si>
    <t>BRAINARD ISAAC D</t>
  </si>
  <si>
    <t>KING JOEL L &amp; NICOLE R</t>
  </si>
  <si>
    <t>NICKY</t>
  </si>
  <si>
    <t>KUNTZ</t>
  </si>
  <si>
    <t>NICKY &amp; LAURA KUNTZ</t>
  </si>
  <si>
    <t xml:space="preserve">5139 W MERCER LN </t>
  </si>
  <si>
    <t>MOUNTAIN VIEW MEADOWS 5 LOT 400-474</t>
  </si>
  <si>
    <t>MOUNTAIN VIEW MEADOWS ESTATES</t>
  </si>
  <si>
    <t>KUNTZ NICKY R &amp; LAURA A</t>
  </si>
  <si>
    <t>DELANO</t>
  </si>
  <si>
    <t>JAMES &amp; SAMANTHA DELANO</t>
  </si>
  <si>
    <t xml:space="preserve">17632 W ASTER DR </t>
  </si>
  <si>
    <t>CLARK MARK W &amp; LAURA L</t>
  </si>
  <si>
    <t>JAMES R DELANO</t>
  </si>
  <si>
    <t>SAMANTHA R DELANO</t>
  </si>
  <si>
    <t>MARION &amp; TAMARA HAWKINS</t>
  </si>
  <si>
    <t xml:space="preserve">16834 W TONBRIDGE ST </t>
  </si>
  <si>
    <t>BELL WEST RANCH PARCEL 2</t>
  </si>
  <si>
    <t>ALEXANDER CATHERINE M</t>
  </si>
  <si>
    <t>HAWKINS MARION J &amp; TAMARA N</t>
  </si>
  <si>
    <t>TAMARA N HAWKINS</t>
  </si>
  <si>
    <t>MARION J HAWKINS</t>
  </si>
  <si>
    <t>ALLAN &amp; SALLY STANLEY</t>
  </si>
  <si>
    <t xml:space="preserve">15245 W GRANBURY CT </t>
  </si>
  <si>
    <t>SUN CITY GRAND SUMMERWIND</t>
  </si>
  <si>
    <t>WITHEY FAMILY TRUST</t>
  </si>
  <si>
    <t>STANLEY ALLAN F &amp; SALLY J</t>
  </si>
  <si>
    <t>MOROCH</t>
  </si>
  <si>
    <t>GRIMSHAW</t>
  </si>
  <si>
    <t>DAVID MOROCH &amp; KERRY GRIMSHAW</t>
  </si>
  <si>
    <t xml:space="preserve">246 E HEMLOCK AVE </t>
  </si>
  <si>
    <t>VILLAGE 2      LOT  90-225 &amp; TR A</t>
  </si>
  <si>
    <t>SOMERO CLARK</t>
  </si>
  <si>
    <t>MOROCH DAVID E</t>
  </si>
  <si>
    <t>KINARD</t>
  </si>
  <si>
    <t>EDWIN &amp; TERRI KINARD</t>
  </si>
  <si>
    <t xml:space="preserve">16025 W BERKELEY RD </t>
  </si>
  <si>
    <t>WEISHEIM DAWN R</t>
  </si>
  <si>
    <t>KINARD EDWIN R &amp; TERRI R</t>
  </si>
  <si>
    <t>EDWIN R KINARD</t>
  </si>
  <si>
    <t>TERRI R KINARD</t>
  </si>
  <si>
    <t>STEIMEL</t>
  </si>
  <si>
    <t>PEGGY LARSEN &amp; MARK STEIMEL</t>
  </si>
  <si>
    <t xml:space="preserve">2658 E BROWN ST </t>
  </si>
  <si>
    <t>PARADISE VALLEY OASIS 1-B</t>
  </si>
  <si>
    <t>PARADISE VALLEY OASIS SOUTH</t>
  </si>
  <si>
    <t>PITHER WAYNE</t>
  </si>
  <si>
    <t>STEIMEL MARK B</t>
  </si>
  <si>
    <t>WAGSTAFF</t>
  </si>
  <si>
    <t>KATHERINE WAGSTAFF</t>
  </si>
  <si>
    <t xml:space="preserve">506 W VERMONT AVE </t>
  </si>
  <si>
    <t>BEST NEIDA D</t>
  </si>
  <si>
    <t>WAGSTAFF KATHERINE J</t>
  </si>
  <si>
    <t>CARL &amp; IDA BENDER</t>
  </si>
  <si>
    <t xml:space="preserve">2869 S KEY BISCAYNE DR </t>
  </si>
  <si>
    <t>W &amp; L GROUP LLC GROUP</t>
  </si>
  <si>
    <t>BENDER CARL H</t>
  </si>
  <si>
    <t>JOSHUA &amp; MEGAN GUTHRIE</t>
  </si>
  <si>
    <t xml:space="preserve">7921 W FRANK AVE </t>
  </si>
  <si>
    <t>AMMAN KERRI</t>
  </si>
  <si>
    <t>GUTHRIE JOSHUA W</t>
  </si>
  <si>
    <t>NORTHRUP</t>
  </si>
  <si>
    <t>SCOTT NORTHRUP</t>
  </si>
  <si>
    <t xml:space="preserve">18151 W SMOKEY DR </t>
  </si>
  <si>
    <t>RODRIGUEZ RAMON O &amp; DANIELLE</t>
  </si>
  <si>
    <t>NORTHRUP SCOTT M</t>
  </si>
  <si>
    <t>NORTHUP JANE M</t>
  </si>
  <si>
    <t>STRAWN</t>
  </si>
  <si>
    <t>ROBIN &amp; CHERYL STRAWN</t>
  </si>
  <si>
    <t xml:space="preserve">14799 W HILLSIDE ST </t>
  </si>
  <si>
    <t>RIZZO SALVATORE R &amp; EVELYN J</t>
  </si>
  <si>
    <t>STRAWN ROBIN &amp; CHERYL A</t>
  </si>
  <si>
    <t>LEU</t>
  </si>
  <si>
    <t>GEISER</t>
  </si>
  <si>
    <t>JAY LEU &amp; TERESA GEISER</t>
  </si>
  <si>
    <t xml:space="preserve">16231 N 47TH DR </t>
  </si>
  <si>
    <t>VISTA NORTH 10 LOT 113-172</t>
  </si>
  <si>
    <t>LEU JAY M</t>
  </si>
  <si>
    <t>GEISER TERESA A</t>
  </si>
  <si>
    <t>PAUL &amp; RACHELLE LARSEN</t>
  </si>
  <si>
    <t xml:space="preserve">3419 E WAHALLA LN </t>
  </si>
  <si>
    <t>VALENTINO FELIX &amp; MARLANNA</t>
  </si>
  <si>
    <t>LARSEN PAUL C &amp; RACHELLE</t>
  </si>
  <si>
    <t>JAMES &amp; ANDREA HICKMAN</t>
  </si>
  <si>
    <t xml:space="preserve">15247 W PORT ROYALE LN </t>
  </si>
  <si>
    <t>LANDERS SHANNON</t>
  </si>
  <si>
    <t>HICKMAN JAMES J</t>
  </si>
  <si>
    <t>HUNLEY</t>
  </si>
  <si>
    <t>ERIC &amp; PAMELA HUNLEY</t>
  </si>
  <si>
    <t xml:space="preserve">3519 S POSSE TRL </t>
  </si>
  <si>
    <t>TANIGAWA JASON</t>
  </si>
  <si>
    <t>AMERICAN INTERNET MORTGAGE INC</t>
  </si>
  <si>
    <t>HUNLEY ERIC &amp; PAMELA</t>
  </si>
  <si>
    <t>KILLIAN</t>
  </si>
  <si>
    <t>CASEY KILLIAN</t>
  </si>
  <si>
    <t xml:space="preserve">2517 W BRILLIANT SKY DR </t>
  </si>
  <si>
    <t>SNOOK JESSICA V</t>
  </si>
  <si>
    <t>KILLIAN CASEY</t>
  </si>
  <si>
    <t>HARVEY WILLIAM M &amp; BETHANY H</t>
  </si>
  <si>
    <t xml:space="preserve">3027 W PERDIDO WAY </t>
  </si>
  <si>
    <t>GOODALL STACEY L &amp; TIMOTHY</t>
  </si>
  <si>
    <t>WILLIAM M HARVEY</t>
  </si>
  <si>
    <t>BETHANY H HARVEY</t>
  </si>
  <si>
    <t>KIARA</t>
  </si>
  <si>
    <t>KRISTOPHER &amp; KIARA ORTEGA</t>
  </si>
  <si>
    <t xml:space="preserve">26561 N 131ST DR </t>
  </si>
  <si>
    <t>SOVEREIGN LNDG GRP INC</t>
  </si>
  <si>
    <t>KRISTOPHER D ORTEGA</t>
  </si>
  <si>
    <t>KIARA M ORTEGA</t>
  </si>
  <si>
    <t>WATKINS</t>
  </si>
  <si>
    <t>MICHAEL WATKINS</t>
  </si>
  <si>
    <t xml:space="preserve">8632 W JENAN DR </t>
  </si>
  <si>
    <t>RYLAND AT SILVERCREEK</t>
  </si>
  <si>
    <t>CABLE BRADLEY P</t>
  </si>
  <si>
    <t>WATKINS MICHAEL C</t>
  </si>
  <si>
    <t>MCALEE</t>
  </si>
  <si>
    <t>JANAEA</t>
  </si>
  <si>
    <t>TIMOTHY &amp; JANAEA MCALEE</t>
  </si>
  <si>
    <t xml:space="preserve">4305 N 9TH AVE </t>
  </si>
  <si>
    <t>SCHWARZ KENNETH F &amp; KAREN A</t>
  </si>
  <si>
    <t>MCALEE TIMOTHY M &amp; JANAEA L</t>
  </si>
  <si>
    <t>JEREMY BERG</t>
  </si>
  <si>
    <t xml:space="preserve">15682 W CORONADO RD </t>
  </si>
  <si>
    <t>BERG JEREMY M</t>
  </si>
  <si>
    <t>VANCOUWENBERGHE</t>
  </si>
  <si>
    <t>AARON VANCOUWENBERGHE</t>
  </si>
  <si>
    <t xml:space="preserve">2031 E DUKE DR </t>
  </si>
  <si>
    <t>HADEED JAMES</t>
  </si>
  <si>
    <t>VAN COUWENBERGHE AARON</t>
  </si>
  <si>
    <t>MARK J WHEATON &amp; VICKI D COPELAND REV LIV TR</t>
  </si>
  <si>
    <t>MARK WHEATON &amp; VICKI LIV</t>
  </si>
  <si>
    <t xml:space="preserve">7716 W CROCUS DR </t>
  </si>
  <si>
    <t>THUNDERBIRD VISTA LOT 1-143</t>
  </si>
  <si>
    <t>THUNDERBIRD VISTA</t>
  </si>
  <si>
    <t>DEBATTISTA FAMILY TRUST</t>
  </si>
  <si>
    <t>COPELAND VICKI D</t>
  </si>
  <si>
    <t>WHEATON MARK J</t>
  </si>
  <si>
    <t>JARVEY</t>
  </si>
  <si>
    <t>LAWRENCE &amp; MARGO JARVEY</t>
  </si>
  <si>
    <t xml:space="preserve">20931 E VIA DEL PALO </t>
  </si>
  <si>
    <t>VILLAGES AT QUEEN CREEK PARCEL 4B</t>
  </si>
  <si>
    <t>BALMER WAYNE V</t>
  </si>
  <si>
    <t>ISERVE RESIDENTIAL LENDING LLC</t>
  </si>
  <si>
    <t>JARVEY LAWRENCE J &amp; MARGO R</t>
  </si>
  <si>
    <t>LEVA</t>
  </si>
  <si>
    <t>GREEN &amp; AMBER LEVA</t>
  </si>
  <si>
    <t xml:space="preserve">1006 W LEAH LN </t>
  </si>
  <si>
    <t>BARTLETT LORI A</t>
  </si>
  <si>
    <t>GREEN JOHN F &amp; AMBER L</t>
  </si>
  <si>
    <t>MORELL</t>
  </si>
  <si>
    <t>LYNDORA</t>
  </si>
  <si>
    <t>MORELL &amp; LYNDORA LEE</t>
  </si>
  <si>
    <t xml:space="preserve">7052 W GARY WAY </t>
  </si>
  <si>
    <t>MORELL FERDINAND U</t>
  </si>
  <si>
    <t>SNEAD</t>
  </si>
  <si>
    <t>GERALD &amp; LORI SNEAD</t>
  </si>
  <si>
    <t xml:space="preserve">21225 N 79TH DR </t>
  </si>
  <si>
    <t>PING GUO FIRST LLC</t>
  </si>
  <si>
    <t>SNEAD GERALD &amp; LORI</t>
  </si>
  <si>
    <t>DAMIAN</t>
  </si>
  <si>
    <t>DAMIAN ALLEN</t>
  </si>
  <si>
    <t xml:space="preserve">906 E LEXINGTON AVE </t>
  </si>
  <si>
    <t>JOHNS JAMES H &amp; DORINDA M</t>
  </si>
  <si>
    <t>ALLEN DAMIAN J</t>
  </si>
  <si>
    <t>KEENAN</t>
  </si>
  <si>
    <t>TASHA</t>
  </si>
  <si>
    <t>KEENAN &amp; TASHA WILLIAMS</t>
  </si>
  <si>
    <t xml:space="preserve">3019 W DONNER DR </t>
  </si>
  <si>
    <t>WILLIAMS KEENAN L &amp; TASHA M</t>
  </si>
  <si>
    <t>KARREYANN</t>
  </si>
  <si>
    <t>CHARLES &amp; KARREYANN WILSON</t>
  </si>
  <si>
    <t xml:space="preserve">20601 N 8TH AVE </t>
  </si>
  <si>
    <t>ROSE GARDEN ESTATES</t>
  </si>
  <si>
    <t>FOX PETER</t>
  </si>
  <si>
    <t>WILSON CHARLES E &amp; KARREYANN</t>
  </si>
  <si>
    <t>WOLCOTT</t>
  </si>
  <si>
    <t>ANDREW &amp; TANYA WOLCOTT</t>
  </si>
  <si>
    <t xml:space="preserve">18614 W BERYL AVE </t>
  </si>
  <si>
    <t>WOLCOTT ANDREW J &amp; TANYA A</t>
  </si>
  <si>
    <t>HALE</t>
  </si>
  <si>
    <t>JAMES &amp; KAYLA HALE</t>
  </si>
  <si>
    <t xml:space="preserve">13208 W TETHER TRL </t>
  </si>
  <si>
    <t>HALE JAMES F &amp; KAYLA E</t>
  </si>
  <si>
    <t>CHARLES FRANKLIN</t>
  </si>
  <si>
    <t xml:space="preserve">6138 N 10TH AVE </t>
  </si>
  <si>
    <t>ROSE LANE PLAZA     LOTS 21-52 TR A</t>
  </si>
  <si>
    <t>ROSE LANE PLAZA</t>
  </si>
  <si>
    <t>BACH STEPHAN L</t>
  </si>
  <si>
    <t>FRANKLIN CHARLES E</t>
  </si>
  <si>
    <t>SHAWNA</t>
  </si>
  <si>
    <t>MICHAEL &amp; SHAWNA WESTBROOK</t>
  </si>
  <si>
    <t xml:space="preserve">4109 S 247TH DR </t>
  </si>
  <si>
    <t>JARAMILLO-WRYE FAMILY TRUST</t>
  </si>
  <si>
    <t>ONETRUST HM LOANS</t>
  </si>
  <si>
    <t>WESTBROOK MICHAEL D &amp; SHAWNA L</t>
  </si>
  <si>
    <t>JASON WARREN</t>
  </si>
  <si>
    <t xml:space="preserve">820 N SAILORS WAY </t>
  </si>
  <si>
    <t>WAGNER BRENT &amp; J J TRUST</t>
  </si>
  <si>
    <t>WARREN JASON</t>
  </si>
  <si>
    <t>DAVID RIVERA</t>
  </si>
  <si>
    <t xml:space="preserve">3675 S DEW DROP LN </t>
  </si>
  <si>
    <t>POWER RANCH NEIGHBORHOOD 10 PARCEL B</t>
  </si>
  <si>
    <t>HOWELL AMANDA P</t>
  </si>
  <si>
    <t>RIVERA DAVID H</t>
  </si>
  <si>
    <t>CHRISTINE LAWRENCE</t>
  </si>
  <si>
    <t xml:space="preserve">7419 W WINDROSE DR </t>
  </si>
  <si>
    <t>LAWRENCE FAMILY LIVING TRUST</t>
  </si>
  <si>
    <t>LAWRENCE CHRISTINE</t>
  </si>
  <si>
    <t>SHEEHY</t>
  </si>
  <si>
    <t>TODD SHEEHY</t>
  </si>
  <si>
    <t xml:space="preserve">10974 N 111TH PL </t>
  </si>
  <si>
    <t xml:space="preserve">4544 E ROSEMONTE DR </t>
  </si>
  <si>
    <t>BROCK BENJAMIN B</t>
  </si>
  <si>
    <t>SHEEHY TODD M</t>
  </si>
  <si>
    <t>ROWETT</t>
  </si>
  <si>
    <t>SPENCER &amp; ALLIE ROWETT</t>
  </si>
  <si>
    <t xml:space="preserve">3402 E MENADOTA DR </t>
  </si>
  <si>
    <t>CARR KYLE</t>
  </si>
  <si>
    <t>ROWETT SPENCER &amp; ALLIE</t>
  </si>
  <si>
    <t>BROSTROM</t>
  </si>
  <si>
    <t>ENKELEDA</t>
  </si>
  <si>
    <t>SHAUN &amp; ENKELEDA BROSTROM</t>
  </si>
  <si>
    <t xml:space="preserve">20409 N 28TH ST </t>
  </si>
  <si>
    <t>AUTUMN HILLS WEST</t>
  </si>
  <si>
    <t>AUTUMN HILLS</t>
  </si>
  <si>
    <t>HALL ANDREW J &amp; JENNI B</t>
  </si>
  <si>
    <t>COLDWELL BANKER HOME LOANS</t>
  </si>
  <si>
    <t>BROSTROM SHAUN P &amp; ENKELEDA</t>
  </si>
  <si>
    <t>KRANAK</t>
  </si>
  <si>
    <t>ANDREW KRANAK</t>
  </si>
  <si>
    <t xml:space="preserve">7402 E MEDINA AVE </t>
  </si>
  <si>
    <t>PROPHET FAMILY LIVING TRUST</t>
  </si>
  <si>
    <t>KRANAK ANDREW</t>
  </si>
  <si>
    <t>LANDEROS-THOMAS</t>
  </si>
  <si>
    <t>BARRY &amp; REGINA LANDEROS-THOMAS</t>
  </si>
  <si>
    <t xml:space="preserve">3941 E WILLOW AVE </t>
  </si>
  <si>
    <t>ARIZONA SELLER FINANCING L</t>
  </si>
  <si>
    <t>BARRY R LANDEROS-THOMAS</t>
  </si>
  <si>
    <t>REGINA C LANDEROS-THOMAS</t>
  </si>
  <si>
    <t>BARGO</t>
  </si>
  <si>
    <t>DANIEL BARGO</t>
  </si>
  <si>
    <t xml:space="preserve">3826 W PURDUE AVE </t>
  </si>
  <si>
    <t>PARKWOOD SUB UNIT NO 5</t>
  </si>
  <si>
    <t>PARKWOOD SOUTH</t>
  </si>
  <si>
    <t>LPLW LLC</t>
  </si>
  <si>
    <t>KRUPP</t>
  </si>
  <si>
    <t>CHARLES &amp; CYNTHIA KRUPP</t>
  </si>
  <si>
    <t xml:space="preserve">14646 N 51ST LN </t>
  </si>
  <si>
    <t>DEERVIEW UNIT 14</t>
  </si>
  <si>
    <t>KRUPP CHARLES H JR &amp; CYNTHIA I</t>
  </si>
  <si>
    <t>MELEANIE</t>
  </si>
  <si>
    <t>HARDY</t>
  </si>
  <si>
    <t>MELEANIE &amp; ALTON HARDY</t>
  </si>
  <si>
    <t xml:space="preserve">14312 N 160TH DR </t>
  </si>
  <si>
    <t>LEGACY PARC PARCELS E AND F</t>
  </si>
  <si>
    <t>SPACONE GALEN T &amp; AMBER J</t>
  </si>
  <si>
    <t>HARDY MELEANIE R &amp; ALTON B</t>
  </si>
  <si>
    <t>SORENSEN</t>
  </si>
  <si>
    <t>KRISTEN SORENSEN</t>
  </si>
  <si>
    <t xml:space="preserve">2041 E RAWHIDE ST </t>
  </si>
  <si>
    <t>FINLEY FARMS SOUTH PARCEL 15</t>
  </si>
  <si>
    <t>LESKE BETTY J</t>
  </si>
  <si>
    <t>SORENSEN KRISTEN J</t>
  </si>
  <si>
    <t>GERON</t>
  </si>
  <si>
    <t>VIRGEN</t>
  </si>
  <si>
    <t>GUERRERO</t>
  </si>
  <si>
    <t>GERON ROGERS &amp; VIRGEN GUERRERO</t>
  </si>
  <si>
    <t xml:space="preserve">16751 W RIO VISTA LN </t>
  </si>
  <si>
    <t>CURRY SARAH A</t>
  </si>
  <si>
    <t>ROGERS GERON</t>
  </si>
  <si>
    <t>GUERRERO VIRGEN M L</t>
  </si>
  <si>
    <t>VIRGEN M GUERRERO</t>
  </si>
  <si>
    <t>GERON ROGERS</t>
  </si>
  <si>
    <t>JIMENEZ &amp; LISA MARIE</t>
  </si>
  <si>
    <t xml:space="preserve">2710 E HULET DR </t>
  </si>
  <si>
    <t>DOBSON PLACE PARCEL 5</t>
  </si>
  <si>
    <t>HIGH ASPEN INVESTMENTS LLC</t>
  </si>
  <si>
    <t>JIMENEZ ROGER L &amp; LISA M</t>
  </si>
  <si>
    <t>CHARLEY</t>
  </si>
  <si>
    <t>CHARLEY &amp; JANICE ODELL</t>
  </si>
  <si>
    <t xml:space="preserve">15872 W LAUREL LN </t>
  </si>
  <si>
    <t>ODELL CHARLEY A &amp; JANICE C</t>
  </si>
  <si>
    <t>ROBATZEK</t>
  </si>
  <si>
    <t>MCKINNEY-OROUKE</t>
  </si>
  <si>
    <t>CHRISTOPHER ROBATZEK &amp; MARY MCKINNEY-OROUKE</t>
  </si>
  <si>
    <t xml:space="preserve">204 W WAHALLA LN </t>
  </si>
  <si>
    <t>BONANZA REAL ESTATE LLC</t>
  </si>
  <si>
    <t>ROBATZEK CHRISTOPHER</t>
  </si>
  <si>
    <t>ANDREW &amp; JESSICA ROBINSON</t>
  </si>
  <si>
    <t xml:space="preserve">1952 E CARSON DR </t>
  </si>
  <si>
    <t>KNOELL TEMPE 4</t>
  </si>
  <si>
    <t>HOCH CHRIS &amp; SUSAN</t>
  </si>
  <si>
    <t>ANDREW ROBINSON</t>
  </si>
  <si>
    <t>JESSICA ROBINSON</t>
  </si>
  <si>
    <t>CHAVARIN</t>
  </si>
  <si>
    <t>BUCHERT</t>
  </si>
  <si>
    <t>ABEL CHAVARIN &amp; MARGARET BUCHERT</t>
  </si>
  <si>
    <t xml:space="preserve">1634 E 12TH ST </t>
  </si>
  <si>
    <t>BORDEN HOMES</t>
  </si>
  <si>
    <t>LAIRD SCHOOL</t>
  </si>
  <si>
    <t>SATTERSTROM TIMOTHY</t>
  </si>
  <si>
    <t>CHAVARIN ABEL</t>
  </si>
  <si>
    <t>BUCHERT MARGARET</t>
  </si>
  <si>
    <t>SHERMAN</t>
  </si>
  <si>
    <t>LANDRY &amp; CARISSA SHERMAN</t>
  </si>
  <si>
    <t xml:space="preserve">21760 W HESS AVE </t>
  </si>
  <si>
    <t>SHERMAN LANDRY J</t>
  </si>
  <si>
    <t>JIM &amp; JULIE RIVERA</t>
  </si>
  <si>
    <t xml:space="preserve">19826 W MINNEZONA AVE </t>
  </si>
  <si>
    <t>LITCHFIELD HEIGHTS UNIT 4</t>
  </si>
  <si>
    <t>LITCHFIELD HEIGHTS</t>
  </si>
  <si>
    <t>ARMENTA NICOLE</t>
  </si>
  <si>
    <t>RIVERA JIM</t>
  </si>
  <si>
    <t>SLIFER</t>
  </si>
  <si>
    <t>ROSWITHA</t>
  </si>
  <si>
    <t>DONALD &amp; ROSWITHA SLIFER</t>
  </si>
  <si>
    <t xml:space="preserve">30111 W BELLVIEW ST </t>
  </si>
  <si>
    <t>WEST PHOENIX ESTATES 12</t>
  </si>
  <si>
    <t>PALO VERDE ELEMENTARY SCHOOL</t>
  </si>
  <si>
    <t>QUINN BLAIR</t>
  </si>
  <si>
    <t>PEWAUKEE WI 53072</t>
  </si>
  <si>
    <t>DONALD SLIFER</t>
  </si>
  <si>
    <t>ROSWITHA SLIFER</t>
  </si>
  <si>
    <t>POOLE</t>
  </si>
  <si>
    <t>NATHANIEL &amp; SILVIA POOLE</t>
  </si>
  <si>
    <t xml:space="preserve">11768 W JOBLANCA RD </t>
  </si>
  <si>
    <t>COLDWATER RIDGE</t>
  </si>
  <si>
    <t>NATHANIEL K POOLE</t>
  </si>
  <si>
    <t>SILVIA POOLE</t>
  </si>
  <si>
    <t>JORDAN &amp; JAMIE DAVIS</t>
  </si>
  <si>
    <t xml:space="preserve">7439 N 175TH AVE </t>
  </si>
  <si>
    <t>RICEHOUSE STEVEN C</t>
  </si>
  <si>
    <t>SAN FRANCISCO CA 94103</t>
  </si>
  <si>
    <t>JORDAN DAVIS</t>
  </si>
  <si>
    <t>JAMIE DAVIS</t>
  </si>
  <si>
    <t>SWARTZ</t>
  </si>
  <si>
    <t>TONY &amp; ALYSSA SWARTZ</t>
  </si>
  <si>
    <t xml:space="preserve">250 S 228TH LN </t>
  </si>
  <si>
    <t>SUNDANCE PARCEL 15</t>
  </si>
  <si>
    <t>WHITE MARGERY S</t>
  </si>
  <si>
    <t>TONY D SWARTZ</t>
  </si>
  <si>
    <t>ALYSSA M SWARTZ</t>
  </si>
  <si>
    <t>JOEY CUNNINGHAM</t>
  </si>
  <si>
    <t xml:space="preserve">44429 N 20TH ST </t>
  </si>
  <si>
    <t>FORBES BETHANY TRUST</t>
  </si>
  <si>
    <t>CUNNINGHAM JOEY</t>
  </si>
  <si>
    <t>TRISTAN</t>
  </si>
  <si>
    <t>TRISTAN &amp; MEGAN DUNCAN</t>
  </si>
  <si>
    <t xml:space="preserve">20615 W SAGUARO VISTA DR </t>
  </si>
  <si>
    <t>EVANS JENNY</t>
  </si>
  <si>
    <t>DUNCAN TRISTAN &amp; MEGAN</t>
  </si>
  <si>
    <t>STEPHEN &amp; DEANNA KOENIG</t>
  </si>
  <si>
    <t xml:space="preserve">2210 E HALE ST </t>
  </si>
  <si>
    <t>MILLER HEIGHTS</t>
  </si>
  <si>
    <t>ARENZON LILIANE</t>
  </si>
  <si>
    <t>STEPHEN KOENIG</t>
  </si>
  <si>
    <t>DEANNA KOENIG</t>
  </si>
  <si>
    <t>HOFFMANN</t>
  </si>
  <si>
    <t>DAWN HOFFMANN</t>
  </si>
  <si>
    <t xml:space="preserve">12421 W MORNING VISTA LN </t>
  </si>
  <si>
    <t>VISTANCIA VILLAGE A PARCEL A30</t>
  </si>
  <si>
    <t>TAPESTRY</t>
  </si>
  <si>
    <t>GOZ CORY M</t>
  </si>
  <si>
    <t>DAWN M HOFFMANN</t>
  </si>
  <si>
    <t>DEEDON</t>
  </si>
  <si>
    <t>RAYMOND &amp; DANIELLE DEEDON</t>
  </si>
  <si>
    <t xml:space="preserve">8419 E JENSEN ST </t>
  </si>
  <si>
    <t>LEGACY AT MOUNTAIN BRIDGE</t>
  </si>
  <si>
    <t>ESTATES AT LEGACY</t>
  </si>
  <si>
    <t>MAROCCO EMILIO P</t>
  </si>
  <si>
    <t>DEEDON RAYMOND E &amp; DANIELLE S</t>
  </si>
  <si>
    <t>RAMEY</t>
  </si>
  <si>
    <t>JUSTIN &amp; HEATHER RAMEY</t>
  </si>
  <si>
    <t xml:space="preserve">9047 W MARY ANN DR </t>
  </si>
  <si>
    <t>FERNANDEZ MARIO</t>
  </si>
  <si>
    <t>RAMEY JUSTIN E</t>
  </si>
  <si>
    <t>RONALD &amp; DIANE DEES</t>
  </si>
  <si>
    <t xml:space="preserve">3232 W PLEASANT LN </t>
  </si>
  <si>
    <t>MERCED CERISA C</t>
  </si>
  <si>
    <t>RONALD DEES</t>
  </si>
  <si>
    <t>DIANE DEES</t>
  </si>
  <si>
    <t>CHRISTI</t>
  </si>
  <si>
    <t>STEVIE &amp; CHRISTI LLOYD</t>
  </si>
  <si>
    <t xml:space="preserve">7139 W COLUMBINE DR </t>
  </si>
  <si>
    <t>SULLIVAN JAMES R</t>
  </si>
  <si>
    <t>LLOYD STEVIE L &amp; CHRISTI D</t>
  </si>
  <si>
    <t>MCEWEN</t>
  </si>
  <si>
    <t>JONATHAN MCEWEN &amp; ANA VASQUEZ</t>
  </si>
  <si>
    <t xml:space="preserve">14375 W DESERT HILLS DR </t>
  </si>
  <si>
    <t xml:space="preserve">41375 W DESERT HILLS DR </t>
  </si>
  <si>
    <t>HORKMAN TODD M &amp; KRISTIN A</t>
  </si>
  <si>
    <t>JONATHAN S MCEWEN</t>
  </si>
  <si>
    <t>ANA M VASQUEZ</t>
  </si>
  <si>
    <t>JOSHUA ROBERTS</t>
  </si>
  <si>
    <t xml:space="preserve">21947 W TONTO ST </t>
  </si>
  <si>
    <t>SULLIVAN TRACY L</t>
  </si>
  <si>
    <t>ROBERTS JOSHUA A</t>
  </si>
  <si>
    <t>DAVID &amp; DANIELLE KIM</t>
  </si>
  <si>
    <t xml:space="preserve">6440 S BLACK HILLS WAY </t>
  </si>
  <si>
    <t>RAHN MARK &amp; RITA M</t>
  </si>
  <si>
    <t>KIM DAVID D &amp; DANIELLE P</t>
  </si>
  <si>
    <t>WEIMER</t>
  </si>
  <si>
    <t>DANIEL &amp; DEBRA WEIMER</t>
  </si>
  <si>
    <t xml:space="preserve">6341 W DONALD DR </t>
  </si>
  <si>
    <t>TOP OF THE RANCH TWO</t>
  </si>
  <si>
    <t>TOP OF THE RANCH</t>
  </si>
  <si>
    <t>MAYO FOUN OF MEDICAL EDUCATIO</t>
  </si>
  <si>
    <t>WEIMER DANIEL D &amp; DEBRA</t>
  </si>
  <si>
    <t>GRAIR</t>
  </si>
  <si>
    <t>JOSEPH GRAIR</t>
  </si>
  <si>
    <t xml:space="preserve">6671 S CLASSIC WAY </t>
  </si>
  <si>
    <t>SEVILLE PARCEL 13</t>
  </si>
  <si>
    <t>THE ENCLAVES</t>
  </si>
  <si>
    <t>RUHNKE STEVEN</t>
  </si>
  <si>
    <t>JASON &amp; ANNETTE HOLMES</t>
  </si>
  <si>
    <t xml:space="preserve">16802 S 18TH WAY </t>
  </si>
  <si>
    <t>ROBERTS FRANK A</t>
  </si>
  <si>
    <t>HOLMES JASON R &amp; ANNETTE E</t>
  </si>
  <si>
    <t>OSTER</t>
  </si>
  <si>
    <t>THOMAS &amp; JANET OSTER</t>
  </si>
  <si>
    <t xml:space="preserve">628 N EL DORADO DR </t>
  </si>
  <si>
    <t>EL DORADO LAKES GOLF COMMUNITY TRACT I</t>
  </si>
  <si>
    <t>KELMAR PROPERTIES LLC</t>
  </si>
  <si>
    <t>OSTER THOMAS A &amp; JANET S</t>
  </si>
  <si>
    <t>SUEANNE</t>
  </si>
  <si>
    <t>LGREG</t>
  </si>
  <si>
    <t>SUEANNE &amp; LGREG LEWIS</t>
  </si>
  <si>
    <t xml:space="preserve">11516 E SHANLEY AVE </t>
  </si>
  <si>
    <t>LEWIS SUEANNE</t>
  </si>
  <si>
    <t>LEWIS GREG</t>
  </si>
  <si>
    <t>MICHAEL &amp; DAWN SHORT</t>
  </si>
  <si>
    <t xml:space="preserve">909 E BECK LN </t>
  </si>
  <si>
    <t>CONLON BROCK T &amp; LAURA K</t>
  </si>
  <si>
    <t>SHORT MICHAEL &amp; DAWN</t>
  </si>
  <si>
    <t>FEATHERS</t>
  </si>
  <si>
    <t>MICHAEL &amp; KATHERINE FEATHERS</t>
  </si>
  <si>
    <t xml:space="preserve">9345 W YUKON DR </t>
  </si>
  <si>
    <t>DOVE VALLEY RANCH PARCELS 3D &amp; 3E</t>
  </si>
  <si>
    <t>OBANION DUSTIN D</t>
  </si>
  <si>
    <t>FEATHERS MICHAEL P &amp; KATHERINE</t>
  </si>
  <si>
    <t>VARGAZ</t>
  </si>
  <si>
    <t>EMILIE</t>
  </si>
  <si>
    <t>JOSHUA &amp; EMILIE VARGAZ</t>
  </si>
  <si>
    <t xml:space="preserve">7787 W CHAMA DR </t>
  </si>
  <si>
    <t>VARGAZ JOSHUA J &amp; EMILIE</t>
  </si>
  <si>
    <t>JOSHUA J VARGAZ</t>
  </si>
  <si>
    <t>EMILIE VARGAZ</t>
  </si>
  <si>
    <t>WHEAT</t>
  </si>
  <si>
    <t>WHALEY</t>
  </si>
  <si>
    <t>JOHN WHEAT &amp; HOLLY WHALEY</t>
  </si>
  <si>
    <t xml:space="preserve">1719 N SUNDIAL </t>
  </si>
  <si>
    <t>ALTA MESA 13  LOT 1-126 TR A</t>
  </si>
  <si>
    <t>COUNTRY CLASSICS AT ALTA MESA</t>
  </si>
  <si>
    <t>VALLEJO ANNA M &amp; MIGUEL A</t>
  </si>
  <si>
    <t>WHEAT JOHN C</t>
  </si>
  <si>
    <t>WHALEY HOLLY K</t>
  </si>
  <si>
    <t>STEVEN &amp; JAMIE LOPEZ</t>
  </si>
  <si>
    <t xml:space="preserve">15766 W WILSHIRE DR </t>
  </si>
  <si>
    <t>LOPEZ STEVEN &amp; JAMIE</t>
  </si>
  <si>
    <t>DAVISON</t>
  </si>
  <si>
    <t>MATTHEW DALTON &amp; TINA DAVISON</t>
  </si>
  <si>
    <t xml:space="preserve">20783 W WYCLIFF DR </t>
  </si>
  <si>
    <t>VERRADO PARCEL 4.804</t>
  </si>
  <si>
    <t>FORNEY DALE</t>
  </si>
  <si>
    <t>INTEGRITY FIRST FIN'L GRP INC</t>
  </si>
  <si>
    <t>DALTON MATTHEW</t>
  </si>
  <si>
    <t>WILLIAM &amp; ANGELA MARTINEZ</t>
  </si>
  <si>
    <t xml:space="preserve">2041 E LAUREL CIR </t>
  </si>
  <si>
    <t>PAPROCKI JASON D</t>
  </si>
  <si>
    <t>MARTINEZ WILLIAM J &amp; ANGELA</t>
  </si>
  <si>
    <t>TARAZON</t>
  </si>
  <si>
    <t>RENE &amp; LUZ TARAZON</t>
  </si>
  <si>
    <t xml:space="preserve">5181 W LAREDO CT </t>
  </si>
  <si>
    <t>LOWE MONICA J TRUST</t>
  </si>
  <si>
    <t>RENE L TARAZON</t>
  </si>
  <si>
    <t>LUZ A TARAZON</t>
  </si>
  <si>
    <t>INGHRAM</t>
  </si>
  <si>
    <t>JERRY &amp; SUSAN INGHRAM</t>
  </si>
  <si>
    <t xml:space="preserve">3079 E RUNAWAY BAY PL </t>
  </si>
  <si>
    <t>BOCKELMAN SUSAN K</t>
  </si>
  <si>
    <t>INGHRAM JERRY</t>
  </si>
  <si>
    <t>ROWENA</t>
  </si>
  <si>
    <t>JEFFERY &amp; ROWENA HILL</t>
  </si>
  <si>
    <t xml:space="preserve">21475 E MAYA RD </t>
  </si>
  <si>
    <t>HILL JEFFERY R &amp; ROWENA B</t>
  </si>
  <si>
    <t>STUART AND COLLEEN MACDONALD LIVING TRUST</t>
  </si>
  <si>
    <t xml:space="preserve">8007 E REDWING RD </t>
  </si>
  <si>
    <t>HAYDEN ESTATES LOT 1-128</t>
  </si>
  <si>
    <t>HAYDEN ESTATES</t>
  </si>
  <si>
    <t>RAMSDEN MARY E</t>
  </si>
  <si>
    <t>MACDONALD STUART</t>
  </si>
  <si>
    <t>KEVIN &amp; AMANDA WALKER</t>
  </si>
  <si>
    <t xml:space="preserve">21097 E DUNCAN ST </t>
  </si>
  <si>
    <t>CASSARO MICHAEL P</t>
  </si>
  <si>
    <t>WALKER KEVIN P &amp; AMANDA R</t>
  </si>
  <si>
    <t>STUART FAMILY TRUST</t>
  </si>
  <si>
    <t>TACARA</t>
  </si>
  <si>
    <t xml:space="preserve">8234 S 33RD DR </t>
  </si>
  <si>
    <t>SIERRA VISTA</t>
  </si>
  <si>
    <t>WANVEER JASON &amp; JODY</t>
  </si>
  <si>
    <t>STUART THOMAS E &amp; TACARA L</t>
  </si>
  <si>
    <t>WARD KEYSTONE PRESERVATION TRUST</t>
  </si>
  <si>
    <t>KEYSTONE WARD</t>
  </si>
  <si>
    <t xml:space="preserve">4452 N SCHOOL HILL RD </t>
  </si>
  <si>
    <t xml:space="preserve">4300 BROOK RD NW </t>
  </si>
  <si>
    <t>LANCASTER</t>
  </si>
  <si>
    <t>MARTIN FAMILY TRUST</t>
  </si>
  <si>
    <t>WARD JOSEPH</t>
  </si>
  <si>
    <t>REA</t>
  </si>
  <si>
    <t>TROY &amp; HEATHER REA</t>
  </si>
  <si>
    <t xml:space="preserve">18613 W GEORGIA AVE </t>
  </si>
  <si>
    <t>HUNT MTG</t>
  </si>
  <si>
    <t>REA TROY W</t>
  </si>
  <si>
    <t>ADDINGTON</t>
  </si>
  <si>
    <t>MICHAEL &amp; DIANE ADDINGTON</t>
  </si>
  <si>
    <t xml:space="preserve">1142 W PENINSULA DR </t>
  </si>
  <si>
    <t>WINDHAVEN LOT 1-65 TR A-C</t>
  </si>
  <si>
    <t>WINDHAVEN NORTH</t>
  </si>
  <si>
    <t>ADDINGTON LOUIE L &amp; KAY F</t>
  </si>
  <si>
    <t>ADDINGTON MICHAEL L &amp; DIANE J</t>
  </si>
  <si>
    <t>MCCREA</t>
  </si>
  <si>
    <t>MCCREA &amp; NORMA JEAN</t>
  </si>
  <si>
    <t xml:space="preserve">4502 E LUDLOW DR </t>
  </si>
  <si>
    <t>HUNTERS VILLAGE LOT 1-163</t>
  </si>
  <si>
    <t>JUMPING CACTUS DEV LLC</t>
  </si>
  <si>
    <t>MCCREA SCOTT W &amp; NORMA J</t>
  </si>
  <si>
    <t>COHEA</t>
  </si>
  <si>
    <t>JAMES COHEA</t>
  </si>
  <si>
    <t xml:space="preserve">1915 E LATONA RD </t>
  </si>
  <si>
    <t>HIGHLINE RANCH</t>
  </si>
  <si>
    <t>GREER MATTHEW J &amp; MARIE L</t>
  </si>
  <si>
    <t>COHEA JAMES M</t>
  </si>
  <si>
    <t>THADDEUS</t>
  </si>
  <si>
    <t>THADDEUS &amp; KIMBERLY KING</t>
  </si>
  <si>
    <t xml:space="preserve">13627 W COLTER ST </t>
  </si>
  <si>
    <t>VERANDA</t>
  </si>
  <si>
    <t>DYKSTRA KEVIN V</t>
  </si>
  <si>
    <t>KING THADDEUS M</t>
  </si>
  <si>
    <t>CLAYPOOL</t>
  </si>
  <si>
    <t>BRUCE &amp; MARY CLAYPOOL</t>
  </si>
  <si>
    <t xml:space="preserve">13033 N 8TH AVE </t>
  </si>
  <si>
    <t>MOONRIDGE ESTATES</t>
  </si>
  <si>
    <t>MAHAN MARK A &amp; STACEY F</t>
  </si>
  <si>
    <t>CLAYPOOL BRUCE A &amp; MARY C</t>
  </si>
  <si>
    <t>ROESCH</t>
  </si>
  <si>
    <t>SCOTT ROESCH</t>
  </si>
  <si>
    <t xml:space="preserve">6003 W ALAMEDA RD </t>
  </si>
  <si>
    <t>PINNACLE HILL  LOT 1-259 TR A-O</t>
  </si>
  <si>
    <t>PINNACLE HILL</t>
  </si>
  <si>
    <t>DAWSON DONNA</t>
  </si>
  <si>
    <t>ROESCH SCOTT R</t>
  </si>
  <si>
    <t>SHUMAN LIVING TRUST</t>
  </si>
  <si>
    <t xml:space="preserve">21742 S 220TH PL </t>
  </si>
  <si>
    <t>WILLIAM R SHUMAN</t>
  </si>
  <si>
    <t>LISA M SHUMAN</t>
  </si>
  <si>
    <t>MACE</t>
  </si>
  <si>
    <t>GARRI</t>
  </si>
  <si>
    <t>JACKSON-MACE</t>
  </si>
  <si>
    <t>TIMOTHY MACE &amp; GARRI JACKSON-MACE</t>
  </si>
  <si>
    <t xml:space="preserve">3938 E AGAVE RD </t>
  </si>
  <si>
    <t>LANDING AT MOUNTAIN PARK RANCH</t>
  </si>
  <si>
    <t>SHARMA NABIN</t>
  </si>
  <si>
    <t>MACE TIMOTHY</t>
  </si>
  <si>
    <t>JACKSON-MACE GARRI</t>
  </si>
  <si>
    <t>TYNDALL</t>
  </si>
  <si>
    <t>TYNDALL &amp; JUDITH ANN</t>
  </si>
  <si>
    <t xml:space="preserve">15500 N 178TH DR </t>
  </si>
  <si>
    <t>MICHAEL F TYNDALL</t>
  </si>
  <si>
    <t>JUDITH A TYNDALL</t>
  </si>
  <si>
    <t>JOHN &amp; REBECCA MEYER</t>
  </si>
  <si>
    <t xml:space="preserve">16020 W VINEWOOD DR </t>
  </si>
  <si>
    <t>LOCHNER TRUST</t>
  </si>
  <si>
    <t>MEYER JOHN F &amp; REBECCA C</t>
  </si>
  <si>
    <t>CANDIOTO</t>
  </si>
  <si>
    <t>JOELLEN &amp; MARK CANDIOTO</t>
  </si>
  <si>
    <t xml:space="preserve">8911 E SURREY AVE </t>
  </si>
  <si>
    <t>VISTA PARC</t>
  </si>
  <si>
    <t>ROSE NEIL R</t>
  </si>
  <si>
    <t>CANDIOTO JOELLEN &amp; MARK H</t>
  </si>
  <si>
    <t>POLONCAK</t>
  </si>
  <si>
    <t>JEFFREY POLONCAK</t>
  </si>
  <si>
    <t xml:space="preserve">2814 E BIRCHWOOD PL </t>
  </si>
  <si>
    <t>SWENSEN S &amp; T FAMILY TRUST</t>
  </si>
  <si>
    <t>POLONCAK JEFFREY J</t>
  </si>
  <si>
    <t>HEFFELFINGER</t>
  </si>
  <si>
    <t>TANYA HEFFELFINGER</t>
  </si>
  <si>
    <t xml:space="preserve">1379 E KAIBAB PL </t>
  </si>
  <si>
    <t xml:space="preserve">1571 W OAKLAND ST </t>
  </si>
  <si>
    <t>SUN DONGHAI</t>
  </si>
  <si>
    <t>HEFFELFINGER TANYA M</t>
  </si>
  <si>
    <t>DAVID BANKS</t>
  </si>
  <si>
    <t xml:space="preserve">6949 S ONYX DR </t>
  </si>
  <si>
    <t>SUN GROVES PARCEL 13 THRU 16</t>
  </si>
  <si>
    <t>HANSON SHEILA</t>
  </si>
  <si>
    <t>BANKS DAVID</t>
  </si>
  <si>
    <t>CLAGG</t>
  </si>
  <si>
    <t>JERRY CLAGG</t>
  </si>
  <si>
    <t xml:space="preserve">6601 E THUNDERBIRD RD </t>
  </si>
  <si>
    <t>RASKIN EST 2 LTS 1-360  367-402  415-450</t>
  </si>
  <si>
    <t>RASKIN ESTATES</t>
  </si>
  <si>
    <t>FLANAGAN-HYDE PETER &amp; SHARON</t>
  </si>
  <si>
    <t>CLAGG JERRY</t>
  </si>
  <si>
    <t>HABER</t>
  </si>
  <si>
    <t>SAM &amp; LISSETTE HABER</t>
  </si>
  <si>
    <t xml:space="preserve">5108 E AIRE LIBRE AVE </t>
  </si>
  <si>
    <t xml:space="preserve">5126 E KINGS AVE </t>
  </si>
  <si>
    <t>TATUM CANYON 3           LOT 92-168 TR A</t>
  </si>
  <si>
    <t>TATUM CANYON NORTH</t>
  </si>
  <si>
    <t>GRSW STEWART R &amp; E TRUST</t>
  </si>
  <si>
    <t>GARCIA JAMES &amp; NICOLE</t>
  </si>
  <si>
    <t>MARC &amp; MONICA MELVIN</t>
  </si>
  <si>
    <t xml:space="preserve">3936 E BEECHNUT PL </t>
  </si>
  <si>
    <t>PONTEVEDRA AT VALENCIA 2</t>
  </si>
  <si>
    <t>PONTEVEDRA AT VALENCIA</t>
  </si>
  <si>
    <t>JLS HOLDINGS LLC</t>
  </si>
  <si>
    <t>TROY MI 480982639</t>
  </si>
  <si>
    <t>MELVIN MARC E &amp; MONICA M</t>
  </si>
  <si>
    <t>MARC E MELVIN</t>
  </si>
  <si>
    <t>MONICA M MELVIN</t>
  </si>
  <si>
    <t>MINCH</t>
  </si>
  <si>
    <t>SMITH &amp; GREEN MINCH</t>
  </si>
  <si>
    <t xml:space="preserve">9189 E CAMINO DEL SANTO </t>
  </si>
  <si>
    <t>JOHNSON BRETT &amp; HEATHER M</t>
  </si>
  <si>
    <t>SMITH CURTIS L</t>
  </si>
  <si>
    <t>GREEN REBECCA M</t>
  </si>
  <si>
    <t>GREEN REBECCA MICH</t>
  </si>
  <si>
    <t>CURTIS L SMITH</t>
  </si>
  <si>
    <t>REBECCA M GREEN</t>
  </si>
  <si>
    <t>MICHEAL</t>
  </si>
  <si>
    <t>CHRISTINE &amp; MICHEAL FINNEY</t>
  </si>
  <si>
    <t xml:space="preserve">8350 W ALYSSA LN </t>
  </si>
  <si>
    <t>WESTWING MOUNTAIN PARCEL 12</t>
  </si>
  <si>
    <t>COX STEVEN</t>
  </si>
  <si>
    <t>FINNEY CHRISTINE E &amp; MICHEAL</t>
  </si>
  <si>
    <t>TRENT JENKINS</t>
  </si>
  <si>
    <t xml:space="preserve">13848 N 30TH ST </t>
  </si>
  <si>
    <t>28TH STREET AND THUNDERBIRD ROAD LOT 1-1</t>
  </si>
  <si>
    <t>BUENO CLAUDIA</t>
  </si>
  <si>
    <t>TRENT D JENKINS</t>
  </si>
  <si>
    <t>LELSKE</t>
  </si>
  <si>
    <t>SHANE &amp; KIMBERLY LELSKE</t>
  </si>
  <si>
    <t xml:space="preserve">1905 E HACKAMORE ST </t>
  </si>
  <si>
    <t>JADLOT FAMILY TRUST</t>
  </si>
  <si>
    <t>LESKE SHANE B &amp; KIMBERLY M</t>
  </si>
  <si>
    <t>BERTOLINO FAMILY TRUST</t>
  </si>
  <si>
    <t>BERTOLINO</t>
  </si>
  <si>
    <t xml:space="preserve">18512 E HORSESHOE BND </t>
  </si>
  <si>
    <t>RIO VERDE</t>
  </si>
  <si>
    <t>RIO VERDE UNIT SIX-A LOT 527-569 &amp; TR A&amp;</t>
  </si>
  <si>
    <t>RIDZINSKI ALAN &amp; CONNIE J</t>
  </si>
  <si>
    <t>AFFILIATED MTG CO</t>
  </si>
  <si>
    <t>BERTOLINO CARMEN V</t>
  </si>
  <si>
    <t>DRAGO</t>
  </si>
  <si>
    <t>ZITA</t>
  </si>
  <si>
    <t>GUTTMANN</t>
  </si>
  <si>
    <t>JAMES DRAGO &amp; ZITA GUTTMANN</t>
  </si>
  <si>
    <t xml:space="preserve">4405 E RUNAWAY BAY DR </t>
  </si>
  <si>
    <t>GOFF JENNIE R</t>
  </si>
  <si>
    <t>DRAGO JAMES W</t>
  </si>
  <si>
    <t>GUTTMANN ZITA M</t>
  </si>
  <si>
    <t>CAROLIN</t>
  </si>
  <si>
    <t>STEPHEN &amp; CAROLIN RICHARDSON</t>
  </si>
  <si>
    <t xml:space="preserve">9119 E KIMBERLY WAY </t>
  </si>
  <si>
    <t>CLIFFS AT IRONWOOD VILLAGE UNIT 2 59-156</t>
  </si>
  <si>
    <t>RUNSVOLD DORIS ANN SOLE</t>
  </si>
  <si>
    <t>RICHARDSON STEPHEN M &amp; CAROLI</t>
  </si>
  <si>
    <t>AYANA</t>
  </si>
  <si>
    <t>AYANA RICHARDS</t>
  </si>
  <si>
    <t xml:space="preserve">21401 S 213TH ST </t>
  </si>
  <si>
    <t>RICHARDS AYANA I</t>
  </si>
  <si>
    <t>JAETH</t>
  </si>
  <si>
    <t>DEFURIA</t>
  </si>
  <si>
    <t>JAETH DEFURIA</t>
  </si>
  <si>
    <t xml:space="preserve">1252 E HALIFAX ST </t>
  </si>
  <si>
    <t>CANDLELIGHT ESTATES 4 LOT 1-104 TR A-B</t>
  </si>
  <si>
    <t>THEODOS GREGORY A</t>
  </si>
  <si>
    <t>DEFURIA JAETH</t>
  </si>
  <si>
    <t>NYCHOLE</t>
  </si>
  <si>
    <t>BARNITZ</t>
  </si>
  <si>
    <t>NYCHOLE &amp; JONATHON BARNITZ</t>
  </si>
  <si>
    <t xml:space="preserve">17730 W DESERT LN </t>
  </si>
  <si>
    <t>SAMRANY KEITH V</t>
  </si>
  <si>
    <t>FREEDOM HM</t>
  </si>
  <si>
    <t>NYCHOLE A BARNITZ</t>
  </si>
  <si>
    <t>JONATHON BARNITZ</t>
  </si>
  <si>
    <t>WING</t>
  </si>
  <si>
    <t>DAVID &amp; JOANN WING</t>
  </si>
  <si>
    <t xml:space="preserve">6047 S MACK AVE </t>
  </si>
  <si>
    <t>IANNACONE JUSTIN M &amp; KELLY</t>
  </si>
  <si>
    <t>WING DAVID SCOTT &amp; JOANN A</t>
  </si>
  <si>
    <t>CARAMUCCI LIVING TRUST</t>
  </si>
  <si>
    <t>CARAMUCCI</t>
  </si>
  <si>
    <t xml:space="preserve">10474 E RAINTREE DR </t>
  </si>
  <si>
    <t>MCDOWELL MOUNTAIN RANCH PARCEL U</t>
  </si>
  <si>
    <t>WALTZ SUZANNE</t>
  </si>
  <si>
    <t>CARAMUCCI LOUIS J &amp; MELISSA A</t>
  </si>
  <si>
    <t>GALLEGOS</t>
  </si>
  <si>
    <t>YOLANDA</t>
  </si>
  <si>
    <t>BRIAN &amp; YOLANDA GALLEGOS</t>
  </si>
  <si>
    <t xml:space="preserve">5939 W HEDGEHOG PL </t>
  </si>
  <si>
    <t>PYRAMID HEIGHTS PHASE 1</t>
  </si>
  <si>
    <t>MANSFIELD KENNETH</t>
  </si>
  <si>
    <t>GALLEGOS BRIAN C &amp; YOLANDA A</t>
  </si>
  <si>
    <t>JERRY &amp; MARIA PADILLA</t>
  </si>
  <si>
    <t xml:space="preserve">11264 E SHELLEY AVE </t>
  </si>
  <si>
    <t>GROMADZKI MARIUSZ</t>
  </si>
  <si>
    <t>PADILLA JERRY R</t>
  </si>
  <si>
    <t>LYMAN</t>
  </si>
  <si>
    <t>CHRISTOPHER &amp; CHERYL LYMAN</t>
  </si>
  <si>
    <t xml:space="preserve">1033 N 113TH PL </t>
  </si>
  <si>
    <t>SALERNO RANCH</t>
  </si>
  <si>
    <t>WAIT TRUST</t>
  </si>
  <si>
    <t>LYMAN CHRISTOPHER E &amp; CHERYL L</t>
  </si>
  <si>
    <t>BULLOCKS FAMILY TRUST</t>
  </si>
  <si>
    <t>BULLOCKS</t>
  </si>
  <si>
    <t xml:space="preserve">7162 W TRAILS DR </t>
  </si>
  <si>
    <t>SABINO 2</t>
  </si>
  <si>
    <t>SABINO II</t>
  </si>
  <si>
    <t>WALKWITZ LIVING TRUST</t>
  </si>
  <si>
    <t>VERITAS FNDG LLC</t>
  </si>
  <si>
    <t>BULLOCKS TIMOTHY CHARLES &amp; JU</t>
  </si>
  <si>
    <t>DELGADO</t>
  </si>
  <si>
    <t>RICHARDSON-DELGADO</t>
  </si>
  <si>
    <t>SAMUEL DELGADO &amp; JODI RICHARDSON-DELGADO</t>
  </si>
  <si>
    <t xml:space="preserve">4401 W DUBLIN ST </t>
  </si>
  <si>
    <t>PARK PROMENADE PARCEL 4</t>
  </si>
  <si>
    <t>MALONEY DANIEL T &amp; JOANNE</t>
  </si>
  <si>
    <t>DELGADO SAMUEL N</t>
  </si>
  <si>
    <t>RICHARDSON-DELGADO JODI M</t>
  </si>
  <si>
    <t>CHRISTOPHER BARRETT</t>
  </si>
  <si>
    <t xml:space="preserve">3539 E LONG LAKE RD </t>
  </si>
  <si>
    <t>LAKEWOOD COUNTRY ESTATES LOT 1-111 TR A-</t>
  </si>
  <si>
    <t>LAKEWOOD COUNTRY ESTATES</t>
  </si>
  <si>
    <t>MORALES AARON M</t>
  </si>
  <si>
    <t>BARRETT CHRISTOPHER J</t>
  </si>
  <si>
    <t>STEVEN &amp; PAULA BROWN</t>
  </si>
  <si>
    <t xml:space="preserve">2752 E ELGIN ST </t>
  </si>
  <si>
    <t>COUNTRY COVE 2</t>
  </si>
  <si>
    <t>COUNTRY COVE</t>
  </si>
  <si>
    <t>MUROSKY THOMAS C</t>
  </si>
  <si>
    <t>BROWN STEVEN S</t>
  </si>
  <si>
    <t>MAGNUS TRUST</t>
  </si>
  <si>
    <t>MAGNUS</t>
  </si>
  <si>
    <t xml:space="preserve">755 W STOTTLER PL </t>
  </si>
  <si>
    <t>COBBLECREEK 2</t>
  </si>
  <si>
    <t>COBBLECREEK</t>
  </si>
  <si>
    <t>KOLLER MICHAEL &amp; NANCY T</t>
  </si>
  <si>
    <t>GILMORE TERRY W</t>
  </si>
  <si>
    <t>ALEXANDER &amp; AMANDA SNYDER</t>
  </si>
  <si>
    <t xml:space="preserve">952 N LAYMAN ST </t>
  </si>
  <si>
    <t>EL DORADO LAKES GOLF COMMUNITY TRACT B</t>
  </si>
  <si>
    <t>MUNN DAVID M</t>
  </si>
  <si>
    <t>SNYDER ALEXANDER J</t>
  </si>
  <si>
    <t>WALLENBERG</t>
  </si>
  <si>
    <t>MARK WALLENBERG</t>
  </si>
  <si>
    <t xml:space="preserve">631 W STERLING PL </t>
  </si>
  <si>
    <t>MISSION VALLEY UNIT 2 LOT 278-331</t>
  </si>
  <si>
    <t>SCOTT MELISSA A</t>
  </si>
  <si>
    <t>WALLENBERG MARK C</t>
  </si>
  <si>
    <t>FANNING</t>
  </si>
  <si>
    <t>THOMAS &amp; CARLA FANNING</t>
  </si>
  <si>
    <t xml:space="preserve">3870 E KROLL DR </t>
  </si>
  <si>
    <t>SEDERHOLM JANICE R</t>
  </si>
  <si>
    <t>FANNING THOMAS</t>
  </si>
  <si>
    <t>COLLER</t>
  </si>
  <si>
    <t>JAMES &amp; CHRISTINA COLLER</t>
  </si>
  <si>
    <t xml:space="preserve">19563 W SHERMAN ST </t>
  </si>
  <si>
    <t>COLLER JAMES A &amp; CHRISTINA M</t>
  </si>
  <si>
    <t>MOBLEY FAMILY TRUST</t>
  </si>
  <si>
    <t>MOBLEY</t>
  </si>
  <si>
    <t xml:space="preserve">14077 W LISBON LN </t>
  </si>
  <si>
    <t>CASTELO CASTULO &amp; MARIA</t>
  </si>
  <si>
    <t>MOBLEY RANDOLPH W &amp; TEXANNA B</t>
  </si>
  <si>
    <t>DARIN &amp; KIMBERLY HUGHES</t>
  </si>
  <si>
    <t xml:space="preserve">2383 E NATHAN WAY </t>
  </si>
  <si>
    <t>BEVIS JOHN E</t>
  </si>
  <si>
    <t>HUGHES DARIN J</t>
  </si>
  <si>
    <t>MCGAFFIC</t>
  </si>
  <si>
    <t>BRIAN MCGAFFIC</t>
  </si>
  <si>
    <t xml:space="preserve">15 E KATHLEEN RD </t>
  </si>
  <si>
    <t>SANDAHL HOMES UNIT TWO LOT 94-146</t>
  </si>
  <si>
    <t>BOOTH JOHN M &amp; CHRISTINA</t>
  </si>
  <si>
    <t>MCGAFFIC BRIAN A</t>
  </si>
  <si>
    <t>BEAUREGARD</t>
  </si>
  <si>
    <t>NOEMI</t>
  </si>
  <si>
    <t>CHRISTOPHER &amp; NOEMI BEAUREGARD</t>
  </si>
  <si>
    <t xml:space="preserve">9529 E MONTEREY AVE </t>
  </si>
  <si>
    <t>AUGUSTA RANCH PARCEL 6</t>
  </si>
  <si>
    <t>MOMTAZI SHAHAB</t>
  </si>
  <si>
    <t>BEAUREGARD CHRISTOPHER &amp; NOEMI C</t>
  </si>
  <si>
    <t>STARLA</t>
  </si>
  <si>
    <t>ADAM &amp; STARLA ROBINSON</t>
  </si>
  <si>
    <t xml:space="preserve">3583 W BARCELONA DR </t>
  </si>
  <si>
    <t>DEGRANDE LUIS V</t>
  </si>
  <si>
    <t>ROBINSON ADAM</t>
  </si>
  <si>
    <t>MAPLE GERALD &amp; INES LIVING TRUST</t>
  </si>
  <si>
    <t>GERALD &amp; INES MAPLE</t>
  </si>
  <si>
    <t xml:space="preserve">2068 S SAILORS CT </t>
  </si>
  <si>
    <t>HANSON GAIL M</t>
  </si>
  <si>
    <t>MAPLE GERALD M &amp; INES M</t>
  </si>
  <si>
    <t>AGNEW</t>
  </si>
  <si>
    <t>AGNEW &amp; TIFFANY JOY</t>
  </si>
  <si>
    <t xml:space="preserve">5949 E JUNIPER AVE </t>
  </si>
  <si>
    <t>DESERT SHIRES 2 LOT 92-139 TR A</t>
  </si>
  <si>
    <t>DESERT SHIRES</t>
  </si>
  <si>
    <t>CARDINALE FRANK J</t>
  </si>
  <si>
    <t>AGNEW DANA W JR &amp; TIFFANY J</t>
  </si>
  <si>
    <t>JAMAAL</t>
  </si>
  <si>
    <t>CALHOUN</t>
  </si>
  <si>
    <t>JAMAAL &amp; NICHOLE CALHOUN</t>
  </si>
  <si>
    <t xml:space="preserve">532 W CENTURY AVE </t>
  </si>
  <si>
    <t>BOONE DOUGLAS R</t>
  </si>
  <si>
    <t>CALHOUN JAMAAL &amp; NICHOLE</t>
  </si>
  <si>
    <t>HILLARY</t>
  </si>
  <si>
    <t>HILLARY PARHAM</t>
  </si>
  <si>
    <t xml:space="preserve">22290 E ESCALANTE RD </t>
  </si>
  <si>
    <t>PARHAM HILLARY J</t>
  </si>
  <si>
    <t>LOYD HOYT &amp; MELISSA WALKER</t>
  </si>
  <si>
    <t xml:space="preserve">5840 W CHARTER OAK RD </t>
  </si>
  <si>
    <t>CHOI CHANG-KUN &amp; A M TRUST</t>
  </si>
  <si>
    <t>HOYT LOYD JOSEPH</t>
  </si>
  <si>
    <t>WALKER MELISSA D</t>
  </si>
  <si>
    <t>EAN</t>
  </si>
  <si>
    <t>BECKSTEIN</t>
  </si>
  <si>
    <t>CASSIDI</t>
  </si>
  <si>
    <t>EAN &amp; CASSIDI BECKSTEIN</t>
  </si>
  <si>
    <t xml:space="preserve">1633 E GROVE AVE </t>
  </si>
  <si>
    <t>EMERALD ACRES EAST LOT 1-117</t>
  </si>
  <si>
    <t>HURTADO MELINDA N</t>
  </si>
  <si>
    <t>BECKSTEIN EAN &amp; CASSIDI</t>
  </si>
  <si>
    <t>LUCAS &amp; STEPHANIE HANSEN</t>
  </si>
  <si>
    <t xml:space="preserve">17535 W BUCKHORN TRL </t>
  </si>
  <si>
    <t>HANSEN LUCAS A &amp; STEPHANIE G</t>
  </si>
  <si>
    <t>CLARA</t>
  </si>
  <si>
    <t>CLARA &amp; CESAR ESPINOZA</t>
  </si>
  <si>
    <t xml:space="preserve">1601 S 175TH DR </t>
  </si>
  <si>
    <t>CARLSON MARY E</t>
  </si>
  <si>
    <t>CHURCHILL MORTGAGE CORP</t>
  </si>
  <si>
    <t>ESPINOZA CLARA I &amp; CESAR</t>
  </si>
  <si>
    <t>ROBERT WALLACE</t>
  </si>
  <si>
    <t xml:space="preserve">550 OCOTILLO DR </t>
  </si>
  <si>
    <t xml:space="preserve">PO BOX 1163 </t>
  </si>
  <si>
    <t>VISTA DEL RIO ESTATES</t>
  </si>
  <si>
    <t>WALLACE ROBERT LEWIS</t>
  </si>
  <si>
    <t>LECLAIR</t>
  </si>
  <si>
    <t>MICHAEL &amp; HOLLY LECLAIR</t>
  </si>
  <si>
    <t xml:space="preserve">924 E CARLISE RD </t>
  </si>
  <si>
    <t>YOUNGER KENT R</t>
  </si>
  <si>
    <t>LECLAIR MICHAEL</t>
  </si>
  <si>
    <t>SOUTHWEST AIRLINES FCU</t>
  </si>
  <si>
    <t>DALLAS TX 75235</t>
  </si>
  <si>
    <t>MICHAEL LECLAIR</t>
  </si>
  <si>
    <t>HOLLY A LECLAIR</t>
  </si>
  <si>
    <t>ANTONIA</t>
  </si>
  <si>
    <t>BERNARD &amp; ANTONIA CHAMBERLAIN</t>
  </si>
  <si>
    <t xml:space="preserve">49903 N 26TH AVE </t>
  </si>
  <si>
    <t>CHAMBERLAIN BERNARD &amp; ANTONIA</t>
  </si>
  <si>
    <t>KELSEY FAMILY TRUST</t>
  </si>
  <si>
    <t>KELSEY</t>
  </si>
  <si>
    <t xml:space="preserve">14597 W DESERT COVE RD </t>
  </si>
  <si>
    <t>BURDEN JOHN &amp; PATRICIA</t>
  </si>
  <si>
    <t>KELSEY RICHARD P &amp; JENNIFER A</t>
  </si>
  <si>
    <t>CHRISTOPHER &amp; LAURIE MATTHEW</t>
  </si>
  <si>
    <t xml:space="preserve">3750 E CAMPBELL AVE </t>
  </si>
  <si>
    <t>CIRCLE G AT THE HIGHLANDS</t>
  </si>
  <si>
    <t>CHASE LEON O</t>
  </si>
  <si>
    <t>MATTHEW CHRISTOPHER T &amp; LAURIE A</t>
  </si>
  <si>
    <t>DWATER</t>
  </si>
  <si>
    <t>GARY DWATER</t>
  </si>
  <si>
    <t xml:space="preserve">7355 E EAGLE FEATHER RD </t>
  </si>
  <si>
    <t>WINFIELD PLAT 2 PHASE 3</t>
  </si>
  <si>
    <t>KLEIN ALEX &amp; JACQUELINE TRUST</t>
  </si>
  <si>
    <t>DWATER GARY</t>
  </si>
  <si>
    <t xml:space="preserve">2717 W HALEY DR </t>
  </si>
  <si>
    <t>ANTHEM UNIT 17 VARIOUS LOTS &amp; TR B REPLA</t>
  </si>
  <si>
    <t>CHRISTL MATTHEW</t>
  </si>
  <si>
    <t>BRAULIO</t>
  </si>
  <si>
    <t>PISANO</t>
  </si>
  <si>
    <t>OPAL</t>
  </si>
  <si>
    <t>BRAULIO &amp; OPAL PISANO</t>
  </si>
  <si>
    <t xml:space="preserve">4335 E FOX CIR </t>
  </si>
  <si>
    <t>EASTVIEW ESTATES</t>
  </si>
  <si>
    <t>COLVIN TYLER E</t>
  </si>
  <si>
    <t>PISANO OPAL &amp; BRAULIO</t>
  </si>
  <si>
    <t>BRAULIO PISANO</t>
  </si>
  <si>
    <t>OPAL PISANO</t>
  </si>
  <si>
    <t>JOHNSON 2007 REVOCABLE TRUST</t>
  </si>
  <si>
    <t xml:space="preserve">8584 E TUMBLEWEED DR </t>
  </si>
  <si>
    <t>SIERRA BOULDERS</t>
  </si>
  <si>
    <t>ROSEWOOD-SIERRA BOULDERS L</t>
  </si>
  <si>
    <t>JOHNSON GEORGE</t>
  </si>
  <si>
    <t>EDMOND-JOHNSON MILDRED A</t>
  </si>
  <si>
    <t>CODDINGTON</t>
  </si>
  <si>
    <t>KEITH CODDINGTON</t>
  </si>
  <si>
    <t xml:space="preserve">2172 W COHEN CT </t>
  </si>
  <si>
    <t>JACKSON SCOTT D</t>
  </si>
  <si>
    <t>CODDINGTON KEITH A &amp; KATY LYN</t>
  </si>
  <si>
    <t>KEITH A CODDINGTON</t>
  </si>
  <si>
    <t>JAMES &amp; JAMES SHANNON</t>
  </si>
  <si>
    <t xml:space="preserve">1847 E MOUNTAIN SKY AVE </t>
  </si>
  <si>
    <t xml:space="preserve">11 S CENTRAL AVE #1814 </t>
  </si>
  <si>
    <t>CABRILLO CANYON AT THE FOOTHILLS 2</t>
  </si>
  <si>
    <t>THOMAS SCOTT M</t>
  </si>
  <si>
    <t>JAMES DOUGLAS J &amp; SHANNON</t>
  </si>
  <si>
    <t>MICHAEL &amp; LORI BELL</t>
  </si>
  <si>
    <t xml:space="preserve">6244 E PRESTON ST </t>
  </si>
  <si>
    <t>RIDGEVIEW UNIT 2 LOT 131-282</t>
  </si>
  <si>
    <t>GOETZ LYNDEE M</t>
  </si>
  <si>
    <t>BELL MICHAEL E &amp; LORI A</t>
  </si>
  <si>
    <t>LOREDO</t>
  </si>
  <si>
    <t>PIERCE &amp; EMILY LOREDO</t>
  </si>
  <si>
    <t xml:space="preserve">3076 E DESERT LN </t>
  </si>
  <si>
    <t>STIGLICH DEE A</t>
  </si>
  <si>
    <t>PIERCE ZACHARY V</t>
  </si>
  <si>
    <t>THOMASA</t>
  </si>
  <si>
    <t>ALMOND</t>
  </si>
  <si>
    <t>THOMASA ALMOND</t>
  </si>
  <si>
    <t xml:space="preserve">11620 W PURDUE AVE </t>
  </si>
  <si>
    <t>YOUNGTOWN</t>
  </si>
  <si>
    <t>AGUA FRIA RANCH PHASE 2</t>
  </si>
  <si>
    <t>AGUA FRIA RANCH</t>
  </si>
  <si>
    <t>DEHART LESLIE E</t>
  </si>
  <si>
    <t>GERALD S MCGEE</t>
  </si>
  <si>
    <t>KRISTEN MCGEE</t>
  </si>
  <si>
    <t>DEER VLY CU</t>
  </si>
  <si>
    <t>PHOENIX AZ 85053-3040</t>
  </si>
  <si>
    <t>THAMASA G ALMOND</t>
  </si>
  <si>
    <t>SADOWSKI</t>
  </si>
  <si>
    <t>VICTOR &amp; MELISSA SADOWSKI</t>
  </si>
  <si>
    <t xml:space="preserve">16933 W NORTHAMPTON RD </t>
  </si>
  <si>
    <t>KAHL ROCHELLE R S</t>
  </si>
  <si>
    <t>SADOWSKI VICTOR &amp; MELISSA</t>
  </si>
  <si>
    <t>BENJAMIN &amp; JENNIFER PERKINS</t>
  </si>
  <si>
    <t xml:space="preserve">5602 N GRANITE REEF RD </t>
  </si>
  <si>
    <t>PARK SCOTTSDALE 12</t>
  </si>
  <si>
    <t>VAUGHT PATRICIA A</t>
  </si>
  <si>
    <t>PERKINS BENJAMIN L &amp; JENNIFER</t>
  </si>
  <si>
    <t>ELISHUA</t>
  </si>
  <si>
    <t>CHATMAN</t>
  </si>
  <si>
    <t>ELISHUA CHATMAN</t>
  </si>
  <si>
    <t xml:space="preserve">8697 W ADAMS ST </t>
  </si>
  <si>
    <t>TOLLESON MEADOWS</t>
  </si>
  <si>
    <t>ARIZONA DESERT ELEMENTARY SCHOOL</t>
  </si>
  <si>
    <t>CHATMAN ELISHUA</t>
  </si>
  <si>
    <t>WATSON &amp; SHEILA CAROLE</t>
  </si>
  <si>
    <t xml:space="preserve">14632 W COLUMBUS AVE </t>
  </si>
  <si>
    <t>BOGEN BRIAN D &amp; LAURA M TRUST</t>
  </si>
  <si>
    <t>WATSON DAMON T &amp; SHEILA C</t>
  </si>
  <si>
    <t>MANGUM</t>
  </si>
  <si>
    <t>JEREMY &amp; CARRIE MANGUM</t>
  </si>
  <si>
    <t xml:space="preserve">2354 S 87TH PL </t>
  </si>
  <si>
    <t>BARRINGTON ESTATES VARIOUS LOTS 2ND AMD</t>
  </si>
  <si>
    <t>PARRA DAVID</t>
  </si>
  <si>
    <t>MANGUM JEREMY &amp; CARRIE</t>
  </si>
  <si>
    <t>SCHURTER</t>
  </si>
  <si>
    <t>JOHN SCHURTER</t>
  </si>
  <si>
    <t xml:space="preserve">9602 E MINNESOTA AVE </t>
  </si>
  <si>
    <t>SUN LAKES 10  LOT 1-276 &amp; TR A-C</t>
  </si>
  <si>
    <t>MULAY C RAYMOND &amp; M T</t>
  </si>
  <si>
    <t>SCHURTER JOHN</t>
  </si>
  <si>
    <t>RANDY &amp; SHARON BALDWIN</t>
  </si>
  <si>
    <t xml:space="preserve">714 S CATALINA ST </t>
  </si>
  <si>
    <t>LIU ZHEN</t>
  </si>
  <si>
    <t>BALDWIN RANDY &amp; SHARON</t>
  </si>
  <si>
    <t>ALVILLAR</t>
  </si>
  <si>
    <t>MALISSIA</t>
  </si>
  <si>
    <t>ANTONIO &amp; MALISSIA ALVILLAR</t>
  </si>
  <si>
    <t xml:space="preserve">14050 W TWO GUNS TRL </t>
  </si>
  <si>
    <t>LITCHFIELDS SUBDIVISION</t>
  </si>
  <si>
    <t>SUMMERFIELDS</t>
  </si>
  <si>
    <t>GERKE KAREN S</t>
  </si>
  <si>
    <t>INTERCAP LENDING</t>
  </si>
  <si>
    <t>ALVILLAR ANTONIO &amp; MALISSIA</t>
  </si>
  <si>
    <t>SARICH</t>
  </si>
  <si>
    <t>ERIC SARICH</t>
  </si>
  <si>
    <t xml:space="preserve">214 N 167TH DR </t>
  </si>
  <si>
    <t>SARICH ERIC</t>
  </si>
  <si>
    <t>WU</t>
  </si>
  <si>
    <t>DAMIEN GONZALES &amp; DAN WU</t>
  </si>
  <si>
    <t xml:space="preserve">1110 S COTTONWOOD CT </t>
  </si>
  <si>
    <t>SETTLER'S POINT PARCEL B</t>
  </si>
  <si>
    <t>GREENAWALT D &amp; T TRUST</t>
  </si>
  <si>
    <t>GONZALES DAMIEN V</t>
  </si>
  <si>
    <t>MICHAEL JONES</t>
  </si>
  <si>
    <t xml:space="preserve">10736 W TROPICANA CIR </t>
  </si>
  <si>
    <t>SUN CITY 11</t>
  </si>
  <si>
    <t>LEVY MELVIN &amp; BARBARA</t>
  </si>
  <si>
    <t>JONES MICHAEL P</t>
  </si>
  <si>
    <t>LATORRE</t>
  </si>
  <si>
    <t>CARMELA</t>
  </si>
  <si>
    <t>LATORRE &amp; CARMELA MARIE</t>
  </si>
  <si>
    <t xml:space="preserve">17912 N ENCANTO DR </t>
  </si>
  <si>
    <t>ARIZONA TRADITIONS 8 9 &amp; 10</t>
  </si>
  <si>
    <t>SCHRADER PATRICK J &amp; PAULA A</t>
  </si>
  <si>
    <t>LATORRE JOSEPH M &amp; CARMELA M</t>
  </si>
  <si>
    <t>NAYAREZ</t>
  </si>
  <si>
    <t>NAYAREZ YANEZ</t>
  </si>
  <si>
    <t xml:space="preserve">7809 W PUEBLO AVE </t>
  </si>
  <si>
    <t>ESTRELLA VILLAGE MANOR</t>
  </si>
  <si>
    <t>KELLEY BRYAN J &amp; JILL M</t>
  </si>
  <si>
    <t>NAYAREZ JUAN R YANEZ</t>
  </si>
  <si>
    <t>TINDER</t>
  </si>
  <si>
    <t>ROBERT TINDER &amp; AMY DAVISON</t>
  </si>
  <si>
    <t xml:space="preserve">2030 N 78TH ST </t>
  </si>
  <si>
    <t>COX HEIGHTS 4 AMD</t>
  </si>
  <si>
    <t>COX HEIGHTS</t>
  </si>
  <si>
    <t>DAVISON AMY D</t>
  </si>
  <si>
    <t>TINDER ROBERT G</t>
  </si>
  <si>
    <t>TINDER ROBERT</t>
  </si>
  <si>
    <t>DAVISON AMY</t>
  </si>
  <si>
    <t>ECKLES LIVING TRUST</t>
  </si>
  <si>
    <t>ECKLES</t>
  </si>
  <si>
    <t xml:space="preserve">18413 N 108TH DR </t>
  </si>
  <si>
    <t>SUN CITY 45</t>
  </si>
  <si>
    <t>DIXON STEPHEN</t>
  </si>
  <si>
    <t>LADERA LNDG</t>
  </si>
  <si>
    <t>LADERA RANCH CA 92694</t>
  </si>
  <si>
    <t>JAMES W ECKLES</t>
  </si>
  <si>
    <t>HARRYLOUIS</t>
  </si>
  <si>
    <t>HARRYLOUIS &amp; KELLEY RODRIGUEZ</t>
  </si>
  <si>
    <t xml:space="preserve">17662 W GEORGIA DR </t>
  </si>
  <si>
    <t>JOHNSON CHRISTOPHER J &amp; CAND</t>
  </si>
  <si>
    <t>RODRIGUEZ HARRYLOUIS &amp; KELLEY</t>
  </si>
  <si>
    <t>WHIPPLE</t>
  </si>
  <si>
    <t>THOMAS WHIPPLE</t>
  </si>
  <si>
    <t xml:space="preserve">757 N 25TH ST </t>
  </si>
  <si>
    <t>PINE TREE TERRACE UNIT 2 LOT 29-40</t>
  </si>
  <si>
    <t>RAY ESTATES</t>
  </si>
  <si>
    <t>JARMAN WILLIAM</t>
  </si>
  <si>
    <t>WHIPPLE THOMAS V</t>
  </si>
  <si>
    <t>MAZZA</t>
  </si>
  <si>
    <t>MAZZA &amp; VICKI LYNN</t>
  </si>
  <si>
    <t xml:space="preserve">2454 N MAIDEN CT </t>
  </si>
  <si>
    <t>STEWART ROBERT P</t>
  </si>
  <si>
    <t>MAZZA JOHN M</t>
  </si>
  <si>
    <t>CHRISTOPHER &amp; WENDY SANDERS</t>
  </si>
  <si>
    <t xml:space="preserve">1904 N MILLER RD </t>
  </si>
  <si>
    <t>SCOTTSDALE ESTATES 2 LOTS 87-221</t>
  </si>
  <si>
    <t>MWM-AZ PLLC</t>
  </si>
  <si>
    <t>SANDERS CHRISTOPHER D &amp; WENDY J</t>
  </si>
  <si>
    <t>MICHAEL &amp; KERI WHITE</t>
  </si>
  <si>
    <t xml:space="preserve">15277 W DESERT HILLS DR </t>
  </si>
  <si>
    <t>BACOME THOMAS L &amp; CHRISTINE</t>
  </si>
  <si>
    <t>WHITE MICHAEL D &amp; KERI A</t>
  </si>
  <si>
    <t>ROSAS</t>
  </si>
  <si>
    <t>MIRNA</t>
  </si>
  <si>
    <t>JOSE &amp; MIRNA ROSAS</t>
  </si>
  <si>
    <t xml:space="preserve">743 E MORELOS CT </t>
  </si>
  <si>
    <t>MONTEREY VISTA</t>
  </si>
  <si>
    <t>FRYE ELEMENTARY SCHOOL</t>
  </si>
  <si>
    <t>WHITE TRAVIS</t>
  </si>
  <si>
    <t>ROSAS JOSE L &amp; MIRNA A</t>
  </si>
  <si>
    <t>TRACY LEA</t>
  </si>
  <si>
    <t xml:space="preserve">3254 E ROCHELLE ST </t>
  </si>
  <si>
    <t>LEA TRACY W</t>
  </si>
  <si>
    <t>TRACY W LEA</t>
  </si>
  <si>
    <t>MCCANTS</t>
  </si>
  <si>
    <t>MATTHEW MCCANTS</t>
  </si>
  <si>
    <t xml:space="preserve">4149 N 35TH PL </t>
  </si>
  <si>
    <t>PALMS PARKWAY 2</t>
  </si>
  <si>
    <t>PALMS PARKWAY</t>
  </si>
  <si>
    <t>GALEA JENNIFER</t>
  </si>
  <si>
    <t>MCCANTS MATTHEW</t>
  </si>
  <si>
    <t>CHINN</t>
  </si>
  <si>
    <t>LELENE</t>
  </si>
  <si>
    <t>RICHARD &amp; LELENE CHINN</t>
  </si>
  <si>
    <t xml:space="preserve">8254 E ROMA AVE </t>
  </si>
  <si>
    <t>SCOTTSDALE ESTATES 9  LOTS 1184-1350</t>
  </si>
  <si>
    <t>SCOTTSDALE ESTATES NINE</t>
  </si>
  <si>
    <t>CHINN RICHARD</t>
  </si>
  <si>
    <t>CHAMPNEY</t>
  </si>
  <si>
    <t>HAROLD &amp; LORI CHAMPNEY</t>
  </si>
  <si>
    <t xml:space="preserve">2265 S BAHAMA DR </t>
  </si>
  <si>
    <t>GILBERT RANCH UNIT 1</t>
  </si>
  <si>
    <t>MAROVICH JONATHON J</t>
  </si>
  <si>
    <t>CHAMPNEY HAROLD &amp; LORI</t>
  </si>
  <si>
    <t>HUTCHINSON</t>
  </si>
  <si>
    <t>IVAN MOORE</t>
  </si>
  <si>
    <t xml:space="preserve">4901 S SOHO LN </t>
  </si>
  <si>
    <t>SCHMIDT MICHAEL D</t>
  </si>
  <si>
    <t>MOORE IVAN E</t>
  </si>
  <si>
    <t>ONEILL</t>
  </si>
  <si>
    <t>ONEILL &amp; MELISSA ANNE</t>
  </si>
  <si>
    <t xml:space="preserve">13625 W ALVARADO DR </t>
  </si>
  <si>
    <t>AXIS INVESTMENTS LLC</t>
  </si>
  <si>
    <t>ONEILL JAY C &amp; MELISSA A</t>
  </si>
  <si>
    <t>HARTSOOK</t>
  </si>
  <si>
    <t>JONATHON &amp; KATRINA HARTSOOK</t>
  </si>
  <si>
    <t xml:space="preserve">16603 S 43RD ST </t>
  </si>
  <si>
    <t>HOVEY BRANDON &amp; KELLY</t>
  </si>
  <si>
    <t>HARTSOOK JONATHON W &amp; KATRINA L</t>
  </si>
  <si>
    <t>CHEKENA</t>
  </si>
  <si>
    <t>EDWARD &amp; CHEKENA CARTER</t>
  </si>
  <si>
    <t xml:space="preserve">13224 W ROVEY AVE </t>
  </si>
  <si>
    <t>CARTER EDWARD L &amp; CHEKENA</t>
  </si>
  <si>
    <t>SAJITH F JOSEPH</t>
  </si>
  <si>
    <t>18318 W SOLANO DR LITCHFIELD PARK AZ 85340-2580</t>
  </si>
  <si>
    <t>JAGDEEP S CHATHA</t>
  </si>
  <si>
    <t>STROUSE</t>
  </si>
  <si>
    <t>TRACY STROUSE</t>
  </si>
  <si>
    <t xml:space="preserve">21023 N 30TH AVE </t>
  </si>
  <si>
    <t>FOOTHILLS NORTH 3</t>
  </si>
  <si>
    <t>SEARS RONDA</t>
  </si>
  <si>
    <t>STROUSE TRACY</t>
  </si>
  <si>
    <t>ALANIS</t>
  </si>
  <si>
    <t>GERALD &amp; CAROL ALANIS</t>
  </si>
  <si>
    <t xml:space="preserve">14028 N 42ND DR </t>
  </si>
  <si>
    <t>KANE CHRIS</t>
  </si>
  <si>
    <t>GERALD L ALANIS</t>
  </si>
  <si>
    <t>CAROL J ALANIS</t>
  </si>
  <si>
    <t>RENAE</t>
  </si>
  <si>
    <t>CHRISTOPHER &amp; RENAE REEVES</t>
  </si>
  <si>
    <t xml:space="preserve">5401 N 81ST PL </t>
  </si>
  <si>
    <t>PARKCREST</t>
  </si>
  <si>
    <t>VITIELLO-VAILLANCOURT TRUST</t>
  </si>
  <si>
    <t>REEVES CHRISTOPHER A &amp; RENAE M</t>
  </si>
  <si>
    <t>SUSANMARIE</t>
  </si>
  <si>
    <t>STEVEN &amp; SUSANMARIE MILLER</t>
  </si>
  <si>
    <t xml:space="preserve">1717 N NEVADA WAY </t>
  </si>
  <si>
    <t>MANCHESTER PARK LT 1-235 TR A B</t>
  </si>
  <si>
    <t>MANCHESTER PARK</t>
  </si>
  <si>
    <t>CORNWELL CURTIS G</t>
  </si>
  <si>
    <t>MILLER STEVEN A</t>
  </si>
  <si>
    <t>NEW-OWEN</t>
  </si>
  <si>
    <t>MICHAEL OWEN &amp; LYNNETTE NEW-OWEN</t>
  </si>
  <si>
    <t xml:space="preserve">433 E SACK DR </t>
  </si>
  <si>
    <t>PANORAMA PLACE LOT 1-135</t>
  </si>
  <si>
    <t>PANORAMA PLACE</t>
  </si>
  <si>
    <t>DENNEY BRUCE T &amp; G TRUST</t>
  </si>
  <si>
    <t>OWEN MICHAEL D</t>
  </si>
  <si>
    <t>NEW-OWEN LYNNETTE R</t>
  </si>
  <si>
    <t>LOWTHER</t>
  </si>
  <si>
    <t>LOWTHER &amp; SHAUN ROBIN</t>
  </si>
  <si>
    <t xml:space="preserve">15586 W CAMERON DR </t>
  </si>
  <si>
    <t>LOWTHER DANIEL R &amp; SHAUN R</t>
  </si>
  <si>
    <t>NOAH</t>
  </si>
  <si>
    <t>PUGH</t>
  </si>
  <si>
    <t>NOAH PUGH</t>
  </si>
  <si>
    <t xml:space="preserve">2351 W DUSTY WREN DR </t>
  </si>
  <si>
    <t>SONORAN FOOTHILLS PARCEL 8</t>
  </si>
  <si>
    <t>ACTON SEAN</t>
  </si>
  <si>
    <t>PUGH NOAH M</t>
  </si>
  <si>
    <t>UNSER</t>
  </si>
  <si>
    <t>MICHAEL &amp; VICTORIA UNSER</t>
  </si>
  <si>
    <t xml:space="preserve">14899 W CORTEZ ST </t>
  </si>
  <si>
    <t>SZABO 2000 FAMILY TRUST</t>
  </si>
  <si>
    <t>UNSER MICHAEL &amp; VICTORIA</t>
  </si>
  <si>
    <t>GARCIA-RUIZ</t>
  </si>
  <si>
    <t>JOSE GARCIA-RUIZ &amp; ELIZABETH GARCIA</t>
  </si>
  <si>
    <t xml:space="preserve">1408 W LOS ARBOLES PL </t>
  </si>
  <si>
    <t>COLLEGE PARK 15 LOT 1167-1240 &amp; TR A</t>
  </si>
  <si>
    <t>ANDERSON MYRON &amp; MARILYN</t>
  </si>
  <si>
    <t>JOSE GARCIA-RUIZ</t>
  </si>
  <si>
    <t>ELIZABETH E GARCIA</t>
  </si>
  <si>
    <t>HOELZEL</t>
  </si>
  <si>
    <t>CHARLES HOELZEL</t>
  </si>
  <si>
    <t xml:space="preserve">1237 W SEA SHELL DR </t>
  </si>
  <si>
    <t>WELLS CINDI L</t>
  </si>
  <si>
    <t>HOELZEL CHARLES</t>
  </si>
  <si>
    <t>STEPHEN &amp; ERIN BRADLEY</t>
  </si>
  <si>
    <t xml:space="preserve">16428 N 170TH DR </t>
  </si>
  <si>
    <t>ROBERTSON ALAN</t>
  </si>
  <si>
    <t>BRADLEY ERIN D</t>
  </si>
  <si>
    <t>SPONSELLER</t>
  </si>
  <si>
    <t>KATELYNN</t>
  </si>
  <si>
    <t>WINKLER</t>
  </si>
  <si>
    <t>ERIC SPONSELLER &amp; KATELYNN WINKLER</t>
  </si>
  <si>
    <t xml:space="preserve">1202 E PALM LN </t>
  </si>
  <si>
    <t>HUBBELL TRACT</t>
  </si>
  <si>
    <t>TRUE FREEDOM ACHIEVERS LLC</t>
  </si>
  <si>
    <t>AMERISAVE MTG CORP</t>
  </si>
  <si>
    <t>SPONSELLER ERIC</t>
  </si>
  <si>
    <t>WINKLER KATELYNN</t>
  </si>
  <si>
    <t>CARROLL</t>
  </si>
  <si>
    <t>LAURA CARROLL</t>
  </si>
  <si>
    <t xml:space="preserve">2523 W ONZA AVE </t>
  </si>
  <si>
    <t>CARRIAGE LANE 4</t>
  </si>
  <si>
    <t>THOMASHEFSKY DAVID</t>
  </si>
  <si>
    <t>CARROLL LAURA L</t>
  </si>
  <si>
    <t>HALGREN</t>
  </si>
  <si>
    <t>MICHAEL &amp; LYDIA HALGREN</t>
  </si>
  <si>
    <t xml:space="preserve">1741 S CLEARVIEW AVE #40 </t>
  </si>
  <si>
    <t>VISCONTI W R &amp; GAYLA D</t>
  </si>
  <si>
    <t>HALGREN MICHAEL J &amp; LYDIA</t>
  </si>
  <si>
    <t>FRANCISCO TORRES</t>
  </si>
  <si>
    <t xml:space="preserve">24524 W DESERT VISTA TRL #11 </t>
  </si>
  <si>
    <t xml:space="preserve">24524 W DESERT VISTA TRL </t>
  </si>
  <si>
    <t>CLIFTON GARY A</t>
  </si>
  <si>
    <t>TORRES FRANCISCO</t>
  </si>
  <si>
    <t>MARJORIE</t>
  </si>
  <si>
    <t>CHARLES &amp; MARJORIE KING</t>
  </si>
  <si>
    <t xml:space="preserve">26763 W ROSS AVE </t>
  </si>
  <si>
    <t>SUN CITY FESTIVAL PARCEL D1</t>
  </si>
  <si>
    <t>SUTTON ALAN</t>
  </si>
  <si>
    <t>KING CHARLES C</t>
  </si>
  <si>
    <t>KASSEBAUM</t>
  </si>
  <si>
    <t>MATTHEW KASSEBAUM</t>
  </si>
  <si>
    <t xml:space="preserve">3429 W FLORIMOND RD </t>
  </si>
  <si>
    <t>VILLAGES AT TRAMONTO AMD</t>
  </si>
  <si>
    <t>VILLAGES AT TRAMONTO</t>
  </si>
  <si>
    <t>DMJA LLC</t>
  </si>
  <si>
    <t>KASSEBAUM MATTHEW G</t>
  </si>
  <si>
    <t>JUBENSIO</t>
  </si>
  <si>
    <t>JUBENSIO &amp; LINDA GONZALES</t>
  </si>
  <si>
    <t xml:space="preserve">7812 S 13TH ST </t>
  </si>
  <si>
    <t>CITRUS PLACE</t>
  </si>
  <si>
    <t>IS R OF E HOLDINGS LLC</t>
  </si>
  <si>
    <t>GONZALES JUBENSIO &amp; LINDA</t>
  </si>
  <si>
    <t>GATZA</t>
  </si>
  <si>
    <t>JASON GATZA</t>
  </si>
  <si>
    <t xml:space="preserve">7942 E COVINA ST </t>
  </si>
  <si>
    <t>COURY MANOR</t>
  </si>
  <si>
    <t>WEGNER JORDAN</t>
  </si>
  <si>
    <t>GATZA JASON R</t>
  </si>
  <si>
    <t>CLAYTON</t>
  </si>
  <si>
    <t>GORMAN</t>
  </si>
  <si>
    <t>ALEXANDER CLAYTON &amp; CHRISTY GORMAN</t>
  </si>
  <si>
    <t xml:space="preserve">2643 N SERICIN CIR </t>
  </si>
  <si>
    <t>WILLITS SCOTT A &amp; JACQUELYN</t>
  </si>
  <si>
    <t>CLAYTON ALEXANDER</t>
  </si>
  <si>
    <t>BEAUDIN</t>
  </si>
  <si>
    <t>MATTHEW &amp; JENNIFER BEAUDIN</t>
  </si>
  <si>
    <t xml:space="preserve">1863 S SPARTAN ST </t>
  </si>
  <si>
    <t>BLAKE JOHN P</t>
  </si>
  <si>
    <t>BEAUDIN MATTHEW &amp; JENNIFER</t>
  </si>
  <si>
    <t>CORINNE GLEASON</t>
  </si>
  <si>
    <t xml:space="preserve">18210 W PALO VERDE AVE </t>
  </si>
  <si>
    <t>VASSEL LARRY &amp; SONJA</t>
  </si>
  <si>
    <t>SMITH CHARLES A</t>
  </si>
  <si>
    <t>ISABEL</t>
  </si>
  <si>
    <t>WILLIAM &amp; ISABEL DAVIDSON</t>
  </si>
  <si>
    <t xml:space="preserve">3115 S 99TH ST </t>
  </si>
  <si>
    <t>LOCK RALPH W</t>
  </si>
  <si>
    <t>STARBOARD FIN'L MGMT LLC</t>
  </si>
  <si>
    <t>DAVIDSON WILLIAM T</t>
  </si>
  <si>
    <t>ROWE FAMILY LIVING TRUST</t>
  </si>
  <si>
    <t xml:space="preserve">6108 E PORTIA ST </t>
  </si>
  <si>
    <t>MCDONOUGH NICHOLAS J &amp; STEPH</t>
  </si>
  <si>
    <t>ROWE RICHARD &amp; MARGARET M</t>
  </si>
  <si>
    <t>TERRENCE JACKSON</t>
  </si>
  <si>
    <t xml:space="preserve">4040 E SIDEWINDER CT </t>
  </si>
  <si>
    <t xml:space="preserve">3209 S EASTVIEW AVE </t>
  </si>
  <si>
    <t>TUCSON</t>
  </si>
  <si>
    <t>ALLEN KENNETH E &amp; JANET R</t>
  </si>
  <si>
    <t>JACKSON TERRENCE A</t>
  </si>
  <si>
    <t>NALEPA</t>
  </si>
  <si>
    <t>ALBINA</t>
  </si>
  <si>
    <t>WALTER &amp; ALBINA NALEPA</t>
  </si>
  <si>
    <t xml:space="preserve">16773 W SABINO CANYON LN </t>
  </si>
  <si>
    <t>SUN CITY GRAND CATALINA</t>
  </si>
  <si>
    <t>DIMATTEO TAUN &amp; DEBORAH</t>
  </si>
  <si>
    <t>NALEPA WALTER C &amp; ALBINA</t>
  </si>
  <si>
    <t>BECK</t>
  </si>
  <si>
    <t>BECK &amp; APRIL LYNN</t>
  </si>
  <si>
    <t xml:space="preserve">14480 W CORA LN </t>
  </si>
  <si>
    <t>YANG YI J</t>
  </si>
  <si>
    <t>BECK DOUGLAS HALE &amp; APRIL LYNN</t>
  </si>
  <si>
    <t>CARNLEY</t>
  </si>
  <si>
    <t>STEVEN CARNLEY</t>
  </si>
  <si>
    <t xml:space="preserve">11328 E CABALLERO ST </t>
  </si>
  <si>
    <t>DAVE BROWN AT MOUNTAIN &amp; UNIVERSITY</t>
  </si>
  <si>
    <t>WEST WIND AT DESERT BREEZE</t>
  </si>
  <si>
    <t>DOTY KEVIN</t>
  </si>
  <si>
    <t>HORIZON CMNTY BK</t>
  </si>
  <si>
    <t>CARNLEY STEVEN C</t>
  </si>
  <si>
    <t>JOSEPH &amp; MARIA MUNOZ</t>
  </si>
  <si>
    <t xml:space="preserve">5751 W BETH DR </t>
  </si>
  <si>
    <t>ARIZONA LNDG SOURCE</t>
  </si>
  <si>
    <t>MESA AZ 85210</t>
  </si>
  <si>
    <t>JOSEPH A MUNOZ</t>
  </si>
  <si>
    <t>MARIA A MUNOZ</t>
  </si>
  <si>
    <t>ELEISE</t>
  </si>
  <si>
    <t>EASTMAN</t>
  </si>
  <si>
    <t>ELEISE &amp; JEFFREY EASTMAN</t>
  </si>
  <si>
    <t xml:space="preserve">3862 W WHITTEN ST </t>
  </si>
  <si>
    <t>EASTMAN ELEISE &amp; JEFFREY</t>
  </si>
  <si>
    <t>MARQUEZ</t>
  </si>
  <si>
    <t>SHILO</t>
  </si>
  <si>
    <t>STEVE &amp; SHILO MARQUEZ</t>
  </si>
  <si>
    <t xml:space="preserve">20768 W HAMILTON ST </t>
  </si>
  <si>
    <t xml:space="preserve">40797 W COLTIN WAY </t>
  </si>
  <si>
    <t>MARICOPA</t>
  </si>
  <si>
    <t>WALSH SAMUEL C</t>
  </si>
  <si>
    <t>MARQUEZ STEVE G JR &amp; SHILO</t>
  </si>
  <si>
    <t>MATHIS</t>
  </si>
  <si>
    <t>WATTS &amp; LYNN MATHIS</t>
  </si>
  <si>
    <t xml:space="preserve">2234 E EDGEWOOD AVE </t>
  </si>
  <si>
    <t>SUMMER PLACE PHASE 3 LOT 310-466</t>
  </si>
  <si>
    <t>WEBBER CHRISTOPHER D</t>
  </si>
  <si>
    <t>CHARLES W WATTS</t>
  </si>
  <si>
    <t>LYNN M WATTS</t>
  </si>
  <si>
    <t>BREEDLOVE</t>
  </si>
  <si>
    <t>ROBERT &amp; ASHLEY BREEDLOVE</t>
  </si>
  <si>
    <t xml:space="preserve">2617 N 10TH ST </t>
  </si>
  <si>
    <t>COUNTRY CLUB PARK BLK 3-10</t>
  </si>
  <si>
    <t>COUNTRY CLUB PARK</t>
  </si>
  <si>
    <t>DEVCO REI LLC</t>
  </si>
  <si>
    <t>BREEDLOVE ROBERT C &amp; ASHLEY M</t>
  </si>
  <si>
    <t>DERALD</t>
  </si>
  <si>
    <t>DERALD MCDANIEL</t>
  </si>
  <si>
    <t xml:space="preserve">221 S CHIPPEWA PL </t>
  </si>
  <si>
    <t>TALAVERA   LOT 1-64  TR A-C</t>
  </si>
  <si>
    <t>PUTMAN ALAN J</t>
  </si>
  <si>
    <t>MCDANIEL DERALD R</t>
  </si>
  <si>
    <t>ROBERT &amp; TERESA POWELL</t>
  </si>
  <si>
    <t xml:space="preserve">16234 W CAMERON DR </t>
  </si>
  <si>
    <t>ROBERT T POWELL</t>
  </si>
  <si>
    <t>TERESA M POWELL</t>
  </si>
  <si>
    <t>ZARAGOZA</t>
  </si>
  <si>
    <t>FRANK MENDOZA &amp; THOMAS ZARAGOZA</t>
  </si>
  <si>
    <t xml:space="preserve">1714 E DESERT LN </t>
  </si>
  <si>
    <t>VISTA PORTICA</t>
  </si>
  <si>
    <t>MENDOZA JOSE FRANCISCO</t>
  </si>
  <si>
    <t>ZARAGOZA THOMAS J</t>
  </si>
  <si>
    <t>CORA</t>
  </si>
  <si>
    <t>CORA WALKER</t>
  </si>
  <si>
    <t xml:space="preserve">1019 E INCA ST </t>
  </si>
  <si>
    <t>EQUITABLE PROPS &amp; INVS LLC</t>
  </si>
  <si>
    <t>WALKER CORA L</t>
  </si>
  <si>
    <t>BORNTRAGER</t>
  </si>
  <si>
    <t>WILLIAM COOPER &amp; JACLYN BORNTRAGER</t>
  </si>
  <si>
    <t xml:space="preserve">7428 E NAVARRO AVE </t>
  </si>
  <si>
    <t>SUPERSTITION SPRINGS VILLAGE UNIT FOUR</t>
  </si>
  <si>
    <t>MCCONNELL JEFF &amp; SHAWNA</t>
  </si>
  <si>
    <t>PLATINUM HM MTG CORP</t>
  </si>
  <si>
    <t>ROLLING MEADOWS IL 60008</t>
  </si>
  <si>
    <t>COOPER WILLIAM W</t>
  </si>
  <si>
    <t>BORNTRAGER JACLYN S</t>
  </si>
  <si>
    <t>DAN &amp; JAIME JOHNSON</t>
  </si>
  <si>
    <t xml:space="preserve">2703 E JASPER DR </t>
  </si>
  <si>
    <t>SELLERS DANIEL</t>
  </si>
  <si>
    <t>JOHNSON DAN</t>
  </si>
  <si>
    <t>BALL &amp; JANICE MARIE</t>
  </si>
  <si>
    <t xml:space="preserve">1217 N KENNETH PL </t>
  </si>
  <si>
    <t>BENDER STEVEN J</t>
  </si>
  <si>
    <t>BALL JACK D</t>
  </si>
  <si>
    <t>SCHMID</t>
  </si>
  <si>
    <t>DAVID SCHMID</t>
  </si>
  <si>
    <t xml:space="preserve">9211 N 185TH AVE </t>
  </si>
  <si>
    <t>ESTRADA DANIEL</t>
  </si>
  <si>
    <t>DAVID G SCHMID</t>
  </si>
  <si>
    <t>BRITTNEY A SCHMID</t>
  </si>
  <si>
    <t>SWENSON</t>
  </si>
  <si>
    <t>TROY &amp; JAMIE SWENSON</t>
  </si>
  <si>
    <t xml:space="preserve">15648 W VENTURA ST </t>
  </si>
  <si>
    <t>TASH VARIOUS LOTS AND TRACTS REPLAT</t>
  </si>
  <si>
    <t>WESTERN MEADOWS</t>
  </si>
  <si>
    <t>NISSALKE BERNIE</t>
  </si>
  <si>
    <t>SWENSON TROY O</t>
  </si>
  <si>
    <t>ELIZABETH ROSE</t>
  </si>
  <si>
    <t xml:space="preserve">13175 N 93RD AVE </t>
  </si>
  <si>
    <t>PLAZA DEL RIO PHASE 1</t>
  </si>
  <si>
    <t>NYLANDER PATRICIA</t>
  </si>
  <si>
    <t>ROSE ELIZABETH J</t>
  </si>
  <si>
    <t>YOUNGBLOOD</t>
  </si>
  <si>
    <t>CHRISTOPHER YOUNGBLOOD</t>
  </si>
  <si>
    <t xml:space="preserve">6928 E LOBO AVE </t>
  </si>
  <si>
    <t>POWELL ROXANNA</t>
  </si>
  <si>
    <t>YOUNGBLOOD CHRISTOPHER</t>
  </si>
  <si>
    <t>LEE AND RONNI AHNLUND FAMILY TRUST</t>
  </si>
  <si>
    <t xml:space="preserve">780 S SAGUARO DR </t>
  </si>
  <si>
    <t xml:space="preserve">PO BOX 1752 </t>
  </si>
  <si>
    <t>CHRZANOWSKI R &amp; W TRUST</t>
  </si>
  <si>
    <t>AHNLUND LEE C</t>
  </si>
  <si>
    <t>CHRZANOWSKI RONNI C</t>
  </si>
  <si>
    <t>VANNESSA</t>
  </si>
  <si>
    <t>SELLMAN</t>
  </si>
  <si>
    <t>VANNESSA SELLMAN</t>
  </si>
  <si>
    <t xml:space="preserve">7031 W ALICIA DR </t>
  </si>
  <si>
    <t>SELLMAN VANNESSA C</t>
  </si>
  <si>
    <t>COTTERELL</t>
  </si>
  <si>
    <t>JACIE</t>
  </si>
  <si>
    <t>JEREMY &amp; JACIE COTTERELL</t>
  </si>
  <si>
    <t xml:space="preserve">3517 N ARCO </t>
  </si>
  <si>
    <t>JEREMY A COTTERELL</t>
  </si>
  <si>
    <t>JACIE E COTTERELL</t>
  </si>
  <si>
    <t>FREDRICK</t>
  </si>
  <si>
    <t>SCHUMANN</t>
  </si>
  <si>
    <t>FREDRICK &amp; JESSICA SCHUMANN</t>
  </si>
  <si>
    <t xml:space="preserve">15332 W PERSHING ST </t>
  </si>
  <si>
    <t>GOMEZ RAMON &amp; NORMA R</t>
  </si>
  <si>
    <t>SCHUMANN FREDRICK G &amp; JESSICA</t>
  </si>
  <si>
    <t>SCHUMANN FREDRICK G &amp; JESSICA N</t>
  </si>
  <si>
    <t>STRASSER</t>
  </si>
  <si>
    <t>SONAL</t>
  </si>
  <si>
    <t>WILLIAM &amp; SONAL STRASSER</t>
  </si>
  <si>
    <t xml:space="preserve">18178 W OCOTILLO AVE </t>
  </si>
  <si>
    <t>ESTRELLA MOUNTAIN RANCH PARCEL 95B</t>
  </si>
  <si>
    <t>RAYA SAI &amp; MADHAVI</t>
  </si>
  <si>
    <t>STRASSER WILLIAM F JR &amp; SONAL L</t>
  </si>
  <si>
    <t>DAVID &amp; PAULA HOPKINS</t>
  </si>
  <si>
    <t xml:space="preserve">26205 S HOWARD DR </t>
  </si>
  <si>
    <t>BUNDY ROBERT C</t>
  </si>
  <si>
    <t>HOPKINS DAVID B &amp; PAULA C</t>
  </si>
  <si>
    <t>ALFREDO MACHADO</t>
  </si>
  <si>
    <t xml:space="preserve">12423 N 37TH PL </t>
  </si>
  <si>
    <t>ROADRUNNER ESTATES</t>
  </si>
  <si>
    <t>FRASER THOMAS L &amp; KIMBERLEE</t>
  </si>
  <si>
    <t>MACHADO ALFREDO J</t>
  </si>
  <si>
    <t>STANGER</t>
  </si>
  <si>
    <t>JOSEPH &amp; REGINA STANGER</t>
  </si>
  <si>
    <t xml:space="preserve">2417 E INTREPID AVE </t>
  </si>
  <si>
    <t>RANCH UNIT 2 LOT 289-422</t>
  </si>
  <si>
    <t>HARRIS ELEMENTARY SCHOOL</t>
  </si>
  <si>
    <t>BAILEY VIVIAN A</t>
  </si>
  <si>
    <t>STANGER JOSEPH L &amp; REGINA</t>
  </si>
  <si>
    <t>BYRON RUSSELL</t>
  </si>
  <si>
    <t xml:space="preserve">18035 W BROWN ST </t>
  </si>
  <si>
    <t>WIGNER SUSAN M &amp; STEVEN M</t>
  </si>
  <si>
    <t>FORT FIN'L</t>
  </si>
  <si>
    <t>SCOTTSDALE AZ 85284</t>
  </si>
  <si>
    <t>BABIARZ</t>
  </si>
  <si>
    <t>SHAWN BABIARZ</t>
  </si>
  <si>
    <t xml:space="preserve">9178 W MEADOW DR </t>
  </si>
  <si>
    <t>PIROUTEK RYAN</t>
  </si>
  <si>
    <t>SEATTLE WA 981012326</t>
  </si>
  <si>
    <t>BABIARZ STEVEN</t>
  </si>
  <si>
    <t>BRUCE LANE</t>
  </si>
  <si>
    <t xml:space="preserve">927 E LA JOLLA DR </t>
  </si>
  <si>
    <t xml:space="preserve">722 E HERMOSA DR </t>
  </si>
  <si>
    <t>TATE ADAM</t>
  </si>
  <si>
    <t>LANE BRUCE R</t>
  </si>
  <si>
    <t>MCCOLLUM</t>
  </si>
  <si>
    <t>BYRON &amp; JOYCE MCCOLLUM</t>
  </si>
  <si>
    <t xml:space="preserve">16146 W YAVAPAI ST </t>
  </si>
  <si>
    <t>EDMOND STACIA C</t>
  </si>
  <si>
    <t>MCCOLLUM BYRON D &amp; JOYCE P</t>
  </si>
  <si>
    <t>RANNEY</t>
  </si>
  <si>
    <t>JOSEPH &amp; BETH RANNEY</t>
  </si>
  <si>
    <t xml:space="preserve">112 E ENCANTO DR </t>
  </si>
  <si>
    <t>UNIVERSITY ESTATES</t>
  </si>
  <si>
    <t>MORRIS CLIFFORD E TRUST</t>
  </si>
  <si>
    <t>RANNEY JOSEPH</t>
  </si>
  <si>
    <t>FREDERICK &amp; KAREN VIGIL</t>
  </si>
  <si>
    <t xml:space="preserve">4636 E BRIARWOOD TER </t>
  </si>
  <si>
    <t>ANDREWS STEPHEN G</t>
  </si>
  <si>
    <t>VIRGIL FREDERICK C</t>
  </si>
  <si>
    <t>VIGIL KAREN L</t>
  </si>
  <si>
    <t>JAMIE &amp; KATE LAWRENCE</t>
  </si>
  <si>
    <t xml:space="preserve">8811 N 85TH AVE </t>
  </si>
  <si>
    <t>JAMIE A LAWRENCE</t>
  </si>
  <si>
    <t>KATE LAWRENCE</t>
  </si>
  <si>
    <t>WHITSON</t>
  </si>
  <si>
    <t>MARK &amp; JOANNA WHITSON</t>
  </si>
  <si>
    <t xml:space="preserve">15846 W FILLMORE ST </t>
  </si>
  <si>
    <t>WHITSON MARK A</t>
  </si>
  <si>
    <t>BUSLER</t>
  </si>
  <si>
    <t>CARRIE BUSLER</t>
  </si>
  <si>
    <t xml:space="preserve">13 S POPLAR WAY </t>
  </si>
  <si>
    <t>BAIR GROUP PLLC</t>
  </si>
  <si>
    <t>BUSLER CARRIE</t>
  </si>
  <si>
    <t>PYLES</t>
  </si>
  <si>
    <t>ROBERT &amp; SHARON PYLES</t>
  </si>
  <si>
    <t xml:space="preserve">1002 S ROCHESTER </t>
  </si>
  <si>
    <t>SUNLAND VILLAGE 3 LOT 555-859 &amp; TR J</t>
  </si>
  <si>
    <t>BELL FAMILY TRUST</t>
  </si>
  <si>
    <t>ROBERT A PYLES</t>
  </si>
  <si>
    <t>SHARON M PYLES</t>
  </si>
  <si>
    <t>SUSAN &amp; MARCUS NEAL</t>
  </si>
  <si>
    <t xml:space="preserve">18426 W NORWICH DR </t>
  </si>
  <si>
    <t>MARTIN RICHARD J</t>
  </si>
  <si>
    <t>NEAL SUSAN D &amp; MARCUS A</t>
  </si>
  <si>
    <t>MAISHA</t>
  </si>
  <si>
    <t>JAMES &amp; MAISHA THOMPSON</t>
  </si>
  <si>
    <t xml:space="preserve">25558 W RIO VISTA LN </t>
  </si>
  <si>
    <t>WESTPARK PARCEL 3S</t>
  </si>
  <si>
    <t>THOMA CHERYL L</t>
  </si>
  <si>
    <t>THOMPSON JAMES &amp; MAISHA E</t>
  </si>
  <si>
    <t>CRUISE</t>
  </si>
  <si>
    <t>JOHN CRUISE</t>
  </si>
  <si>
    <t xml:space="preserve">22038 W HILTON AVE </t>
  </si>
  <si>
    <t>WOOSTER JACK L</t>
  </si>
  <si>
    <t>CRUISE JOHN F</t>
  </si>
  <si>
    <t>FRANKLYN &amp; VERONICA MEAD</t>
  </si>
  <si>
    <t xml:space="preserve">18831 W COLLEGE DR </t>
  </si>
  <si>
    <t>CAMELBACK GARDEN FARMS</t>
  </si>
  <si>
    <t>BECHRI JENNIFER M</t>
  </si>
  <si>
    <t>MEAD FRANKLYN R JR &amp; VERONICA M</t>
  </si>
  <si>
    <t>COMPTON</t>
  </si>
  <si>
    <t>PAUL COMPTON &amp; ANGELA GREENE</t>
  </si>
  <si>
    <t xml:space="preserve">498 N 166TH LN </t>
  </si>
  <si>
    <t>GREENE DAVID</t>
  </si>
  <si>
    <t>PAUL COMPTON</t>
  </si>
  <si>
    <t>ANGELA GREENE</t>
  </si>
  <si>
    <t>OROZCO-GONZALEZ</t>
  </si>
  <si>
    <t>ANTONIO GONZALEZ &amp; MARIA OROZCO-GONZALEZ</t>
  </si>
  <si>
    <t xml:space="preserve">16049 W MYRTLE AVE </t>
  </si>
  <si>
    <t>OLLERTON DIANA L</t>
  </si>
  <si>
    <t>CASCADE FIN'L SVCS</t>
  </si>
  <si>
    <t>GONZALEZ ANTONIO JR</t>
  </si>
  <si>
    <t>OROZCO-GONZALEZ MARIA</t>
  </si>
  <si>
    <t>BASSETT</t>
  </si>
  <si>
    <t>JAMES BASSETT</t>
  </si>
  <si>
    <t xml:space="preserve">12905 S 186TH AVE </t>
  </si>
  <si>
    <t xml:space="preserve">12905 S 168TH AVE </t>
  </si>
  <si>
    <t>PAVOGGI INV PROPS LLC</t>
  </si>
  <si>
    <t>SHELLPOINT MTG SVCNG</t>
  </si>
  <si>
    <t>GREENVILLE SC 29601</t>
  </si>
  <si>
    <t>KELSON</t>
  </si>
  <si>
    <t>HINTZ</t>
  </si>
  <si>
    <t>KELSON &amp; SHELLIE HINTZ</t>
  </si>
  <si>
    <t xml:space="preserve">26309 W ROLLING ROCK DR </t>
  </si>
  <si>
    <t>CRANDALL FLOYD L &amp; DAWN B</t>
  </si>
  <si>
    <t>HINTZ KELSON L &amp; SHELLIE D</t>
  </si>
  <si>
    <t>S &amp; P ERICKSON REVOCABLE TRUST</t>
  </si>
  <si>
    <t>S &amp; ERICKSON</t>
  </si>
  <si>
    <t xml:space="preserve">21104 S 222ND ST </t>
  </si>
  <si>
    <t>BUTE JEFF P</t>
  </si>
  <si>
    <t>ERICKSON SCOTT M</t>
  </si>
  <si>
    <t>JAMES &amp; LANA WEST</t>
  </si>
  <si>
    <t xml:space="preserve">4817 E CHARLESTON AVE </t>
  </si>
  <si>
    <t>DEL CAMINO RANCH</t>
  </si>
  <si>
    <t>RICHARDSON TIMM O</t>
  </si>
  <si>
    <t>WEST JAMES E &amp; LANA S</t>
  </si>
  <si>
    <t>RAYMOND VARGAS</t>
  </si>
  <si>
    <t xml:space="preserve">3209 N 137TH DR </t>
  </si>
  <si>
    <t>ALLEN DOUGLAS M</t>
  </si>
  <si>
    <t>VARGAS RAYMOND</t>
  </si>
  <si>
    <t>BUSHAUN</t>
  </si>
  <si>
    <t>BUSHAUN THOMAS</t>
  </si>
  <si>
    <t xml:space="preserve">7211 W PERSHING AVE </t>
  </si>
  <si>
    <t>SWEETWATER RIDGE UNIT 2 AMD</t>
  </si>
  <si>
    <t>SWEETWATER RIDGE</t>
  </si>
  <si>
    <t>GARZA CHARISSA A</t>
  </si>
  <si>
    <t>THOMAS BUSHAUN</t>
  </si>
  <si>
    <t>THARRINGTON</t>
  </si>
  <si>
    <t>GLAYDS</t>
  </si>
  <si>
    <t>BRUCE &amp; GLAYDS THARRINGTON</t>
  </si>
  <si>
    <t xml:space="preserve">15762 W MESCAL ST </t>
  </si>
  <si>
    <t>TINGLEY AMANDA E &amp; THOMAS G</t>
  </si>
  <si>
    <t>THARRINGTON BRUCE W &amp; GLADYS</t>
  </si>
  <si>
    <t>VARELA</t>
  </si>
  <si>
    <t>MICHAEL &amp; ANDREA VARELA</t>
  </si>
  <si>
    <t xml:space="preserve">4526 W ORCHID LN #303 </t>
  </si>
  <si>
    <t xml:space="preserve">4526 W ORCHID LN </t>
  </si>
  <si>
    <t>ROWE BRIAN C</t>
  </si>
  <si>
    <t>VARELA MICHAEL</t>
  </si>
  <si>
    <t>LABOUNTY</t>
  </si>
  <si>
    <t>DAVID LABOUNTY</t>
  </si>
  <si>
    <t xml:space="preserve">10440 E MEDINA AVE </t>
  </si>
  <si>
    <t xml:space="preserve">2141 E BROADWAY RD #220 </t>
  </si>
  <si>
    <t>VILLAGES OF EASTRIDGE UNIT 7</t>
  </si>
  <si>
    <t>PAULSON JAMES J</t>
  </si>
  <si>
    <t>LABOUNTY DAVID E</t>
  </si>
  <si>
    <t>DAEE</t>
  </si>
  <si>
    <t>LULA</t>
  </si>
  <si>
    <t>SALLY &amp; LULA DAEE</t>
  </si>
  <si>
    <t xml:space="preserve">14632 N 103RD WAY </t>
  </si>
  <si>
    <t>MCDOWELL MOUNTAIN RANCH PARCEL V REPLAT</t>
  </si>
  <si>
    <t>DOMANIG GINA</t>
  </si>
  <si>
    <t>DAEE SALLY &amp; LULA</t>
  </si>
  <si>
    <t>LEITH J AND MARIANNE E COX LIVING TRUST</t>
  </si>
  <si>
    <t>LEITH &amp; MARIANNE</t>
  </si>
  <si>
    <t xml:space="preserve">2221 W RED RANGE WAY </t>
  </si>
  <si>
    <t>CAREFREE CROSSING PARCEL 2</t>
  </si>
  <si>
    <t>HELM ALBERT W &amp; MADELINE E</t>
  </si>
  <si>
    <t>COX LEITH J &amp; MARIANNE E</t>
  </si>
  <si>
    <t>MALATESTA</t>
  </si>
  <si>
    <t>BRENT MALATESTA</t>
  </si>
  <si>
    <t xml:space="preserve">1118 E SOURWOOD DR </t>
  </si>
  <si>
    <t>FELTY FARMS</t>
  </si>
  <si>
    <t>CRABTREE TERRY &amp; DAWN H</t>
  </si>
  <si>
    <t>MALATESTA BRENT</t>
  </si>
  <si>
    <t>ST CYR KEVIN</t>
  </si>
  <si>
    <t xml:space="preserve">25511 N 49TH DR </t>
  </si>
  <si>
    <t>AIKINS JEREMY &amp; STORMY</t>
  </si>
  <si>
    <t>WOODRUM</t>
  </si>
  <si>
    <t>ANTHONY &amp; DEBORAH WOODRUM</t>
  </si>
  <si>
    <t xml:space="preserve">4158 N 162ND AVE </t>
  </si>
  <si>
    <t>WOODRUM ANTHONY J &amp; DEBORAH A</t>
  </si>
  <si>
    <t>NORRIS CUNNINGHAM</t>
  </si>
  <si>
    <t xml:space="preserve">2772 N 151ST AVE </t>
  </si>
  <si>
    <t>MKJ TRUST I</t>
  </si>
  <si>
    <t>CUNNINGHAM NORRIS</t>
  </si>
  <si>
    <t>CHAIB</t>
  </si>
  <si>
    <t>BEN CHAIB</t>
  </si>
  <si>
    <t xml:space="preserve">2862 W HALEY DR </t>
  </si>
  <si>
    <t>ANTHEM UNIT 16</t>
  </si>
  <si>
    <t>CHAIB BEN</t>
  </si>
  <si>
    <t>VOLMER</t>
  </si>
  <si>
    <t>VONDA</t>
  </si>
  <si>
    <t>VOLMER &amp; VONDA JENSEN</t>
  </si>
  <si>
    <t xml:space="preserve">4312 S OREGON CT </t>
  </si>
  <si>
    <t>FULTON RANCH PARCEL 4</t>
  </si>
  <si>
    <t>COSTELLO MICHAEL A &amp; NANCY J</t>
  </si>
  <si>
    <t>JENSEN VOLMER K &amp; VONDA L</t>
  </si>
  <si>
    <t>BRADLEY &amp; MONICA THOMPSON</t>
  </si>
  <si>
    <t xml:space="preserve">525 S LINDA CIR </t>
  </si>
  <si>
    <t>ROBINSON JANNELLE L</t>
  </si>
  <si>
    <t>THOMPSON BRADLEY K &amp; MONICA A</t>
  </si>
  <si>
    <t>DANG</t>
  </si>
  <si>
    <t>ANTHONY DANG</t>
  </si>
  <si>
    <t xml:space="preserve">14944 N 78TH DR </t>
  </si>
  <si>
    <t>TIERRA NORTE 3</t>
  </si>
  <si>
    <t>SOLL DARIN E</t>
  </si>
  <si>
    <t>DANG ANTHONY P</t>
  </si>
  <si>
    <t>FEDERICO &amp; SHERI FRANCO</t>
  </si>
  <si>
    <t xml:space="preserve">13236 N 12TH PL </t>
  </si>
  <si>
    <t>CRESLEIGH AT THE POINTE</t>
  </si>
  <si>
    <t>SHEA JO A</t>
  </si>
  <si>
    <t>FRANCO FEDERICO P &amp; SHERI L</t>
  </si>
  <si>
    <t>JOHNNY RAMIREZ</t>
  </si>
  <si>
    <t xml:space="preserve">1333 E BRIARWOOD TER </t>
  </si>
  <si>
    <t>CONNER WAYNE L</t>
  </si>
  <si>
    <t>RAMIREZ JOHNNY D</t>
  </si>
  <si>
    <t>HALLGRIMSSON</t>
  </si>
  <si>
    <t>SVETLANA</t>
  </si>
  <si>
    <t>JON &amp; SVETLANA HALLGRIMSSON</t>
  </si>
  <si>
    <t xml:space="preserve">13802 W EARLL DR </t>
  </si>
  <si>
    <t>HUYNH DENNIS S</t>
  </si>
  <si>
    <t>SUNSTREET MORTGAGE LLC</t>
  </si>
  <si>
    <t>HALLGRIMSSON JON A &amp; SVETLANA A</t>
  </si>
  <si>
    <t>FREILAND</t>
  </si>
  <si>
    <t>ROBERT &amp; LYNN FREILAND</t>
  </si>
  <si>
    <t xml:space="preserve">7997 W FETLOCK TRL </t>
  </si>
  <si>
    <t>TELLEZ TERRY M</t>
  </si>
  <si>
    <t>FREILAND ROBERT G &amp; LYNN L</t>
  </si>
  <si>
    <t>STANSELL</t>
  </si>
  <si>
    <t>STANSELL &amp; TERRI LYNN</t>
  </si>
  <si>
    <t xml:space="preserve">2431 E CRESCENT WAY </t>
  </si>
  <si>
    <t>STANSELL CLIFFORD B &amp; TERRI L</t>
  </si>
  <si>
    <t>CLIFFORD B STANSELL</t>
  </si>
  <si>
    <t>TERRI L STANSELL</t>
  </si>
  <si>
    <t>RENAUD</t>
  </si>
  <si>
    <t>BRENNA</t>
  </si>
  <si>
    <t>KEVIN &amp; BRENNA RENAUD</t>
  </si>
  <si>
    <t xml:space="preserve">3042 E PISTACHIO ST </t>
  </si>
  <si>
    <t>AGRITOPIA PHASE 2B</t>
  </si>
  <si>
    <t>GERCONE BENJAMIN P</t>
  </si>
  <si>
    <t>RENAUD KEVIN L</t>
  </si>
  <si>
    <t>RENEE &amp; JONATHAN LINDE</t>
  </si>
  <si>
    <t xml:space="preserve">3063 N HERITAGE ST </t>
  </si>
  <si>
    <t>VERRADO PARCEL 3.201</t>
  </si>
  <si>
    <t>BARNES RONALD A &amp; LINDA B</t>
  </si>
  <si>
    <t>LINDE RENEE LYNN &amp; JONATHAN</t>
  </si>
  <si>
    <t>KLEINERT</t>
  </si>
  <si>
    <t>ROBERT KLEINERT</t>
  </si>
  <si>
    <t xml:space="preserve">19537 E THORNTON RD </t>
  </si>
  <si>
    <t>HOUSE GENE</t>
  </si>
  <si>
    <t>KLEINERT ROBERT</t>
  </si>
  <si>
    <t>BRETON</t>
  </si>
  <si>
    <t>ANDREW BRETON</t>
  </si>
  <si>
    <t xml:space="preserve">3010 E CHERRY HILLS PL </t>
  </si>
  <si>
    <t>RANGO TIM J</t>
  </si>
  <si>
    <t>BRETON ANDREW M</t>
  </si>
  <si>
    <t>MLYNAREK</t>
  </si>
  <si>
    <t>GLENN &amp; MARY MLYNAREK</t>
  </si>
  <si>
    <t xml:space="preserve">6915 W BRILES RD </t>
  </si>
  <si>
    <t>STURGEON MICHAEL E &amp; JUDITH M</t>
  </si>
  <si>
    <t>MLYNAREK GLENN &amp; MARY</t>
  </si>
  <si>
    <t>CHALUE</t>
  </si>
  <si>
    <t>JEFFREY &amp; MARY CHALUE</t>
  </si>
  <si>
    <t xml:space="preserve">17876 W WINDROSE DR </t>
  </si>
  <si>
    <t>CHALUE JEFFREY A &amp; MARY L</t>
  </si>
  <si>
    <t>ARTHUR &amp; SANDRA SALCIDO</t>
  </si>
  <si>
    <t xml:space="preserve">27101 N 81ST LN </t>
  </si>
  <si>
    <t>SALCIDO ARTHUR R &amp; SANDRA L</t>
  </si>
  <si>
    <t>SELOVER FAMILY TRUST</t>
  </si>
  <si>
    <t>JEANINE</t>
  </si>
  <si>
    <t>SELOVER FAMILY</t>
  </si>
  <si>
    <t xml:space="preserve">3022 E SHANNON ST </t>
  </si>
  <si>
    <t>SELOVER REID &amp; JEANINE</t>
  </si>
  <si>
    <t>ANTHONY &amp; LYNDA TILLMAN</t>
  </si>
  <si>
    <t xml:space="preserve">20110 E VIA DEL RANCHO </t>
  </si>
  <si>
    <t>TILLMAN ANTHONY E &amp; LYNDA L</t>
  </si>
  <si>
    <t>WRUCK</t>
  </si>
  <si>
    <t>DANNY &amp; MICHELLE WRUCK</t>
  </si>
  <si>
    <t xml:space="preserve">11104 W VENTURI DR </t>
  </si>
  <si>
    <t>RANCHO ESTATES UNIT FOUR LOT 1-34</t>
  </si>
  <si>
    <t>RANCHO ESTATES</t>
  </si>
  <si>
    <t>CONNELL ANDREW B</t>
  </si>
  <si>
    <t>WRUCK DANNY R &amp; MICHELLE E</t>
  </si>
  <si>
    <t>EDWARDS-BRANDON</t>
  </si>
  <si>
    <t>KIMBERLY &amp; BRANDON EDWARDS-BRANDON</t>
  </si>
  <si>
    <t xml:space="preserve">16124 N 180TH LN </t>
  </si>
  <si>
    <t>NAUGHTON THOMAS</t>
  </si>
  <si>
    <t>BRANDON JERMAINE T</t>
  </si>
  <si>
    <t>MARCOS</t>
  </si>
  <si>
    <t>OTERO</t>
  </si>
  <si>
    <t>ASHLEIGH</t>
  </si>
  <si>
    <t>MARCOS &amp; ASHLEIGH OTERO</t>
  </si>
  <si>
    <t xml:space="preserve">17842 W CORRINE DR </t>
  </si>
  <si>
    <t>MARCOS A OTERO</t>
  </si>
  <si>
    <t>ASHLEIGH M OTERO</t>
  </si>
  <si>
    <t>CATIE</t>
  </si>
  <si>
    <t>PAUL &amp; CATIE RAMOS</t>
  </si>
  <si>
    <t xml:space="preserve">15835 N 59TH ST </t>
  </si>
  <si>
    <t>SPANISH WELLS 3 LOT 311-411 TR A-C</t>
  </si>
  <si>
    <t>SPANISH WELLS</t>
  </si>
  <si>
    <t>MYRE KIMBERLY J</t>
  </si>
  <si>
    <t>SUBURBAN MORTGAGE INC</t>
  </si>
  <si>
    <t>RAMOS PAUL G &amp; CATIE Y</t>
  </si>
  <si>
    <t>JAMES &amp; HELEN WAGNER</t>
  </si>
  <si>
    <t xml:space="preserve">22287 E STONE CREST CT </t>
  </si>
  <si>
    <t xml:space="preserve">PO BOX 8194 </t>
  </si>
  <si>
    <t>WAGNER JAMES H &amp; HELEN E</t>
  </si>
  <si>
    <t>GLOVINS</t>
  </si>
  <si>
    <t>KEVIN &amp; JENNIFER GLOVINS</t>
  </si>
  <si>
    <t xml:space="preserve">5395 S MINGUS PL </t>
  </si>
  <si>
    <t>R101</t>
  </si>
  <si>
    <t>MARBELLA AT VALENCIA 2</t>
  </si>
  <si>
    <t>MAES MARK &amp; CARRIE</t>
  </si>
  <si>
    <t>GLOVINS KEVIN P &amp; JENNIFER L</t>
  </si>
  <si>
    <t>ZANDELL</t>
  </si>
  <si>
    <t>JAY ZANDELL</t>
  </si>
  <si>
    <t xml:space="preserve">20902 N 37TH PL </t>
  </si>
  <si>
    <t>WILDCAT RIDGE</t>
  </si>
  <si>
    <t>PATTISON PARTY TRUST</t>
  </si>
  <si>
    <t>ZANDELL JAY</t>
  </si>
  <si>
    <t>RYAN RANDOLPH</t>
  </si>
  <si>
    <t xml:space="preserve">17175 W HEDGEHOG PL </t>
  </si>
  <si>
    <t xml:space="preserve">17175 W HEDDGHOG PL </t>
  </si>
  <si>
    <t>RANDOLPH RYAN</t>
  </si>
  <si>
    <t>TAHAKJIAN</t>
  </si>
  <si>
    <t>MARK TAHAKJIAN</t>
  </si>
  <si>
    <t xml:space="preserve">12127 W DUANE LN </t>
  </si>
  <si>
    <t>COLLINS DALE</t>
  </si>
  <si>
    <t>TAHAKJIAN MARK P</t>
  </si>
  <si>
    <t>LOBATO</t>
  </si>
  <si>
    <t>ROBERT LOBATO &amp; TRACY FARMER</t>
  </si>
  <si>
    <t xml:space="preserve">4497 E LA COSTA DR </t>
  </si>
  <si>
    <t>THORNTON JOHN J &amp; MIRANDA D</t>
  </si>
  <si>
    <t>LOBATO ROBERT P</t>
  </si>
  <si>
    <t>SHUE</t>
  </si>
  <si>
    <t>JOLINA</t>
  </si>
  <si>
    <t>CHRISTOPHER &amp; JOLINA SHUE</t>
  </si>
  <si>
    <t xml:space="preserve">3457 E AMBER LN </t>
  </si>
  <si>
    <t>ANSUN LLC</t>
  </si>
  <si>
    <t>SHUE CHRISTOPHER J</t>
  </si>
  <si>
    <t>MOYLAN</t>
  </si>
  <si>
    <t>RAMONCITA</t>
  </si>
  <si>
    <t>DONALD &amp; RAMONCITA MOYLAN</t>
  </si>
  <si>
    <t xml:space="preserve">4131 E RUNAWAY BAY DR </t>
  </si>
  <si>
    <t>SUN GROVES PARCEL 5</t>
  </si>
  <si>
    <t>WEISS RICHARD A &amp; CHANTELLE</t>
  </si>
  <si>
    <t>MOYLAN DONALD &amp; RAMONCITA</t>
  </si>
  <si>
    <t>TSCHUDY</t>
  </si>
  <si>
    <t>RICHARD TSCHUDY</t>
  </si>
  <si>
    <t xml:space="preserve">4811 E DIXON ST </t>
  </si>
  <si>
    <t>STONEYBROOK TWO LT 221-252 270-292</t>
  </si>
  <si>
    <t>PICCIRILLO JASON</t>
  </si>
  <si>
    <t>TSCHUDY RICHARD B</t>
  </si>
  <si>
    <t>RICHARD B TSCHUDY</t>
  </si>
  <si>
    <t>MEDLIN</t>
  </si>
  <si>
    <t>PASTOR</t>
  </si>
  <si>
    <t>GREGORY MEDLIN &amp; TRACEY PASTOR</t>
  </si>
  <si>
    <t xml:space="preserve">1356 W WASHINGTON AVE </t>
  </si>
  <si>
    <t>MYERS LYLE W &amp; BRENDA M</t>
  </si>
  <si>
    <t>MEDLIN GREGORY D</t>
  </si>
  <si>
    <t>LUIS &amp; LORRAINE BERUMEN</t>
  </si>
  <si>
    <t xml:space="preserve">4229 W SIOUX ST </t>
  </si>
  <si>
    <t>SUNSET COVE</t>
  </si>
  <si>
    <t>JT OF RP LLC</t>
  </si>
  <si>
    <t>BERUMEN LUIS A &amp; LORRIANE S</t>
  </si>
  <si>
    <t>LORRAINE S BERUMEN</t>
  </si>
  <si>
    <t>LUIS A BERUMEN</t>
  </si>
  <si>
    <t>CLIFFORD PRICE</t>
  </si>
  <si>
    <t xml:space="preserve">18219 W SELLS DR </t>
  </si>
  <si>
    <t>CLIFFORD E PRICE</t>
  </si>
  <si>
    <t>BEARD</t>
  </si>
  <si>
    <t>GEORGE &amp; VIRGINIA BEARD</t>
  </si>
  <si>
    <t xml:space="preserve">6164 W ORAIBI DR </t>
  </si>
  <si>
    <t>LEAVITT JARIN K</t>
  </si>
  <si>
    <t>BEARD GEORGE</t>
  </si>
  <si>
    <t>BESSETT</t>
  </si>
  <si>
    <t>MARK &amp; SHERYL BESSETT</t>
  </si>
  <si>
    <t xml:space="preserve">15041 W LA REATA AVE </t>
  </si>
  <si>
    <t>KROHN LISA</t>
  </si>
  <si>
    <t>BESSETT MARK &amp; SHERYL</t>
  </si>
  <si>
    <t>MURNAN</t>
  </si>
  <si>
    <t>ROBERT MURNAN</t>
  </si>
  <si>
    <t xml:space="preserve">27582 N 172ND AVE </t>
  </si>
  <si>
    <t>MURNAN ROBERT</t>
  </si>
  <si>
    <t>RUZICKA</t>
  </si>
  <si>
    <t>DEAN RUZICKA</t>
  </si>
  <si>
    <t xml:space="preserve">1713 E GABLE AVE </t>
  </si>
  <si>
    <t>JOO JAIME</t>
  </si>
  <si>
    <t>RUZICKA DEAN W</t>
  </si>
  <si>
    <t>BRYAN M ROUSH LIVING TRUST</t>
  </si>
  <si>
    <t>BRYAN ROUSH</t>
  </si>
  <si>
    <t xml:space="preserve">109 E GAIL DR </t>
  </si>
  <si>
    <t>GILBERT AND RAY ESTATES</t>
  </si>
  <si>
    <t>GLICK JAMIE</t>
  </si>
  <si>
    <t>ROUSH BRYAN M</t>
  </si>
  <si>
    <t>PIREHPOUR</t>
  </si>
  <si>
    <t>MEGAN PIREHPOUR</t>
  </si>
  <si>
    <t xml:space="preserve">25622 N SINGBUSH LOOP </t>
  </si>
  <si>
    <t>STETSON HILLS PARCELS 7 &amp; 8A</t>
  </si>
  <si>
    <t>GARY GRANT T</t>
  </si>
  <si>
    <t>MEGAN J PIREHPOUR</t>
  </si>
  <si>
    <t>GIANNOCCARO</t>
  </si>
  <si>
    <t>JOSEPH GIANNOCCARO</t>
  </si>
  <si>
    <t xml:space="preserve">4055 S BIRCH ST </t>
  </si>
  <si>
    <t>OLD STONE RANCH PHASE 1</t>
  </si>
  <si>
    <t>DANIELE MAUREEN</t>
  </si>
  <si>
    <t>GIANNOCCARO JOSEPH</t>
  </si>
  <si>
    <t>SCHWINDEN</t>
  </si>
  <si>
    <t>MICHAEL &amp; JANET SCHWINDEN</t>
  </si>
  <si>
    <t xml:space="preserve">353 W RAVEN DR </t>
  </si>
  <si>
    <t>LARSON CLINTON H &amp; MELODY</t>
  </si>
  <si>
    <t>SCHWINDEN MICHAEL T &amp; JANET V</t>
  </si>
  <si>
    <t>WINKLARETH</t>
  </si>
  <si>
    <t>JOHN WINKLARETH</t>
  </si>
  <si>
    <t xml:space="preserve">2045 E GARDENIA AVE </t>
  </si>
  <si>
    <t>LINCOLN VIEW</t>
  </si>
  <si>
    <t>WITT CAROLYN M TRUST</t>
  </si>
  <si>
    <t>WINKLARETH JOHN</t>
  </si>
  <si>
    <t>TATE KRISTEN K</t>
  </si>
  <si>
    <t>MARCIA</t>
  </si>
  <si>
    <t>JEFFERY &amp; MARCIA KERN</t>
  </si>
  <si>
    <t xml:space="preserve">4128 E CLAXTON AVE </t>
  </si>
  <si>
    <t>R106</t>
  </si>
  <si>
    <t>POWER RANCH NEIGHBORHOOD 7 PHASE 2</t>
  </si>
  <si>
    <t>MEADOW VIEW</t>
  </si>
  <si>
    <t>JARMAN GLADE E</t>
  </si>
  <si>
    <t>KERN JEFFERY S &amp; MARCIA L</t>
  </si>
  <si>
    <t>PONTIOUS LIVING TRUST</t>
  </si>
  <si>
    <t>PONTIOUS</t>
  </si>
  <si>
    <t xml:space="preserve">2262 E JACARANDA ST </t>
  </si>
  <si>
    <t>COUNTRY PARK UNIT 1 LOT 1-50</t>
  </si>
  <si>
    <t>NEUMAN INVESTMENTS LLC</t>
  </si>
  <si>
    <t>PONTIOUS BRADLEY L &amp; APRIL</t>
  </si>
  <si>
    <t>HELLIE</t>
  </si>
  <si>
    <t>JEFFREY &amp; BLANCA HELLIE</t>
  </si>
  <si>
    <t xml:space="preserve">26126 N 68TH AVE </t>
  </si>
  <si>
    <t>TERRAMAR PARCEL 4B</t>
  </si>
  <si>
    <t>JACOBSEN TRUST</t>
  </si>
  <si>
    <t>HELLIE JEFFREY R &amp; BLANCA E</t>
  </si>
  <si>
    <t>LOOP</t>
  </si>
  <si>
    <t>CESARIO</t>
  </si>
  <si>
    <t>JAMES LOOP &amp; LINDA CESARIO</t>
  </si>
  <si>
    <t xml:space="preserve">5424 E BECK LN </t>
  </si>
  <si>
    <t>GREENWAY PARK LOT 1-55</t>
  </si>
  <si>
    <t>GREENWAY PARK</t>
  </si>
  <si>
    <t>SCHWARZ FAMILY LIVING TRUST</t>
  </si>
  <si>
    <t>LOOP JAMES</t>
  </si>
  <si>
    <t>CESARIO LINDA</t>
  </si>
  <si>
    <t>CANONOY</t>
  </si>
  <si>
    <t>JONALYN</t>
  </si>
  <si>
    <t>CANONOY &amp; MARIA JONALYN</t>
  </si>
  <si>
    <t xml:space="preserve">11868 E PURDUE AVE </t>
  </si>
  <si>
    <t>MENDELSOHN FRIEDA M TRUST</t>
  </si>
  <si>
    <t>CANONOY PASTOR &amp; MARIA J</t>
  </si>
  <si>
    <t>FLANDERS</t>
  </si>
  <si>
    <t>KIM FLANDERS</t>
  </si>
  <si>
    <t xml:space="preserve">2912 W CHOLLA ST </t>
  </si>
  <si>
    <t>GOLDWATER LAKES</t>
  </si>
  <si>
    <t>LUBY MARILYN A</t>
  </si>
  <si>
    <t>FLANDERS KIM L</t>
  </si>
  <si>
    <t>SEIFERT</t>
  </si>
  <si>
    <t>CHRISTOPHER &amp; STEPHANIE SEIFERT</t>
  </si>
  <si>
    <t xml:space="preserve">19544 W LINCOLN ST </t>
  </si>
  <si>
    <t>SEIFERT CHRISTOPHER C &amp; STEPH</t>
  </si>
  <si>
    <t>CARCAMO</t>
  </si>
  <si>
    <t>JOSE &amp; HILDA CARCAMO</t>
  </si>
  <si>
    <t xml:space="preserve">18405 W CARIBBEAN LN </t>
  </si>
  <si>
    <t>ORTIZ GILBERTO</t>
  </si>
  <si>
    <t>FIRST OPTION MTG LLC</t>
  </si>
  <si>
    <t>CARCAMO JOSE L III &amp; HILDA M</t>
  </si>
  <si>
    <t>CALDARELLI</t>
  </si>
  <si>
    <t>ROBERT CALDARELLI</t>
  </si>
  <si>
    <t xml:space="preserve">931 E SOUTH FORK DR </t>
  </si>
  <si>
    <t>FOOTHILLS PARCEL 10B  LOT 1-60  TR A-G</t>
  </si>
  <si>
    <t>CRIMSON CANYON</t>
  </si>
  <si>
    <t>ARCO CUSTOM HOMES LLC</t>
  </si>
  <si>
    <t>CALDARELLI ROBERT</t>
  </si>
  <si>
    <t>JEREMY &amp; JAMIE SHERMAN</t>
  </si>
  <si>
    <t xml:space="preserve">15259 W BOCA RATON RD </t>
  </si>
  <si>
    <t>ADAMS SHAWN C</t>
  </si>
  <si>
    <t>SHERMAN JAMIE M &amp; JEREMY J</t>
  </si>
  <si>
    <t>FATA</t>
  </si>
  <si>
    <t>FRANK FATA</t>
  </si>
  <si>
    <t xml:space="preserve">25908 N 122ND LN </t>
  </si>
  <si>
    <t>FATA FRANK L JR</t>
  </si>
  <si>
    <t>RANDALL FAMILY TRUST</t>
  </si>
  <si>
    <t xml:space="preserve">1262 N DILLON </t>
  </si>
  <si>
    <t>SAGUARO SHADOWS</t>
  </si>
  <si>
    <t>HELMKAMP MELISSA J</t>
  </si>
  <si>
    <t>RANDALL DANIEL L &amp; JULIA A</t>
  </si>
  <si>
    <t>DAYBERRY</t>
  </si>
  <si>
    <t>PATRICIA &amp; JOSHUA DAYBERRY</t>
  </si>
  <si>
    <t xml:space="preserve">13615 W ACAPULCO LN </t>
  </si>
  <si>
    <t>PETERS TIM D</t>
  </si>
  <si>
    <t>DAYBERRY PATRICIA &amp; JOSHUA</t>
  </si>
  <si>
    <t>AYALA</t>
  </si>
  <si>
    <t>DANIEL &amp; RENEE AYALA</t>
  </si>
  <si>
    <t xml:space="preserve">1985 N EL DORADO CT </t>
  </si>
  <si>
    <t>VILLAGE AT TIBURON 1 LOT 1-30</t>
  </si>
  <si>
    <t>THE VILLAGE AT TIBURON</t>
  </si>
  <si>
    <t>MILLER LISA M</t>
  </si>
  <si>
    <t>AYALA DANIEL S &amp; RENEE L</t>
  </si>
  <si>
    <t>KENNETH &amp; KATHERINE CALDWELL</t>
  </si>
  <si>
    <t xml:space="preserve">12809 W ROVEY AVE </t>
  </si>
  <si>
    <t>CALDWELL KENNETH A</t>
  </si>
  <si>
    <t>BRIAN DODGE</t>
  </si>
  <si>
    <t xml:space="preserve">3777 E BRIDGEPORT PKWY </t>
  </si>
  <si>
    <t>CONE DEREK D</t>
  </si>
  <si>
    <t>DODGE BRIAN K</t>
  </si>
  <si>
    <t>CLARK FAMILY TRUST</t>
  </si>
  <si>
    <t xml:space="preserve">2812 W REEDY CREEK DR </t>
  </si>
  <si>
    <t>ANTHEM COUNTRY CLUB UNIT 7 BEL AIR</t>
  </si>
  <si>
    <t>HAMBURG TODD C &amp; F J S TRUST</t>
  </si>
  <si>
    <t>CLARK DAVID M &amp; GLORIA M</t>
  </si>
  <si>
    <t>PHILIP WARD</t>
  </si>
  <si>
    <t xml:space="preserve">5958 W FIELDSTONE DR </t>
  </si>
  <si>
    <t>ARROWHEAD RANCH PARCELS 3 &amp; 4</t>
  </si>
  <si>
    <t>THE NEW LEGEND</t>
  </si>
  <si>
    <t>ABRAMSON-JOHNSON SUSAN</t>
  </si>
  <si>
    <t>WARD PHILIP</t>
  </si>
  <si>
    <t>DAVID DENTON &amp; STEPHANIE K SEIDEL REV LIV TR</t>
  </si>
  <si>
    <t>DAVID DENTON &amp; STEPHANIE LIV</t>
  </si>
  <si>
    <t xml:space="preserve">3006 E JANELLE WAY </t>
  </si>
  <si>
    <t>HARRIS TROY &amp; ANGELA</t>
  </si>
  <si>
    <t>SEIDEL DAVID D &amp; STEPHANIE</t>
  </si>
  <si>
    <t>JEFFREY &amp; LORI YOUNG</t>
  </si>
  <si>
    <t xml:space="preserve">1222 E BENRICH DR </t>
  </si>
  <si>
    <t>SPECTRUM AT VAL VISTA PARCEL 21</t>
  </si>
  <si>
    <t>YOUNG JEFFREY A &amp; LORI A</t>
  </si>
  <si>
    <t>CADLE</t>
  </si>
  <si>
    <t>JOSEPH CADLE</t>
  </si>
  <si>
    <t xml:space="preserve">7595 W MOLLY DR </t>
  </si>
  <si>
    <t>JOSEPH A CADLE</t>
  </si>
  <si>
    <t>ROSELLE</t>
  </si>
  <si>
    <t>ROSELLE &amp; SPENCER HARRIS</t>
  </si>
  <si>
    <t xml:space="preserve">28811 N 49TH PL </t>
  </si>
  <si>
    <t>PARCEL 33 AT TATUM RANCH</t>
  </si>
  <si>
    <t>BAKER PAUL J</t>
  </si>
  <si>
    <t>HARRIS ROSELLE A P C</t>
  </si>
  <si>
    <t>TRUEX</t>
  </si>
  <si>
    <t>JACOB &amp; EMILY TRUEX</t>
  </si>
  <si>
    <t xml:space="preserve">22695 S 220TH ST </t>
  </si>
  <si>
    <t>TRUEX JACOB &amp; EMILY</t>
  </si>
  <si>
    <t>JAVIER</t>
  </si>
  <si>
    <t>ANTUNA</t>
  </si>
  <si>
    <t>JAVIER &amp; AMBER ANTUNA</t>
  </si>
  <si>
    <t xml:space="preserve">14506 W ROANOKE AVE </t>
  </si>
  <si>
    <t>NEWBURY REO 2013 LLC</t>
  </si>
  <si>
    <t>ANTUNA JAVIER &amp; AMBER J</t>
  </si>
  <si>
    <t>SONG</t>
  </si>
  <si>
    <t>ARAM &amp; NICOLE SONG</t>
  </si>
  <si>
    <t xml:space="preserve">1621 E WESSON DR </t>
  </si>
  <si>
    <t>DONOHUE THOMAS J</t>
  </si>
  <si>
    <t>SONG ARAM</t>
  </si>
  <si>
    <t>DICLEMENTE</t>
  </si>
  <si>
    <t>DICLEMENTE &amp; DEBORAH FIELDS</t>
  </si>
  <si>
    <t xml:space="preserve">12770 N 90TH WAY </t>
  </si>
  <si>
    <t>COUNTRY TRACE 2 LOT 1-125 TR A B</t>
  </si>
  <si>
    <t>COUNTRY TRACE</t>
  </si>
  <si>
    <t>BONDY PATRICIA L</t>
  </si>
  <si>
    <t>DICLEMENTE VINCENT A &amp; DEBORAH F</t>
  </si>
  <si>
    <t>POLINSKY</t>
  </si>
  <si>
    <t>LIVERMORE-POLINSKY</t>
  </si>
  <si>
    <t>LAWRENCE POLINSKY &amp; BRENDA LIVERMORE-POLINSKY</t>
  </si>
  <si>
    <t xml:space="preserve">12846 W MARLETTE AVE </t>
  </si>
  <si>
    <t>POLINSKY LAWRENCE</t>
  </si>
  <si>
    <t>LIVERMORE-POLINSKY BRENDA B</t>
  </si>
  <si>
    <t>RASCH</t>
  </si>
  <si>
    <t>DANA &amp; DEBORAH RASCH</t>
  </si>
  <si>
    <t xml:space="preserve">25915 N 92ND AVE </t>
  </si>
  <si>
    <t>CANTANA RIDGE</t>
  </si>
  <si>
    <t>POSTOY VICTOR &amp; DONNA J</t>
  </si>
  <si>
    <t>RASCH DANA L &amp; DEBORAH G</t>
  </si>
  <si>
    <t>VICKERS</t>
  </si>
  <si>
    <t>THOMAS &amp; ELIZABETH VICKERS</t>
  </si>
  <si>
    <t xml:space="preserve">6204 W ORAIBI DR </t>
  </si>
  <si>
    <t>COLE MELISSA G</t>
  </si>
  <si>
    <t>VICKERS THOMAS E</t>
  </si>
  <si>
    <t>NICKERSON</t>
  </si>
  <si>
    <t>JASON NICKERSON</t>
  </si>
  <si>
    <t xml:space="preserve">8218 W CHARTER OAK RD </t>
  </si>
  <si>
    <t>TWIN PALMS</t>
  </si>
  <si>
    <t>SPAULDING JERRY C TRUST</t>
  </si>
  <si>
    <t>NICKERSON JASON</t>
  </si>
  <si>
    <t>MICHAEL RODRIGUEZ</t>
  </si>
  <si>
    <t xml:space="preserve">22106 E ROSA RD </t>
  </si>
  <si>
    <t>VILLAGE CAP &amp; INV LLC</t>
  </si>
  <si>
    <t>HENDERSON NV 89052</t>
  </si>
  <si>
    <t>MICHAEL A RODRIGUEZ</t>
  </si>
  <si>
    <t>SETH &amp; STEPHANIE HART</t>
  </si>
  <si>
    <t xml:space="preserve">1442 N SAILORS WAY </t>
  </si>
  <si>
    <t>PALISADES AT VAL VISTA LAKES PHASE 2</t>
  </si>
  <si>
    <t>PALISADES AT VAL VISTA LAKES</t>
  </si>
  <si>
    <t>HART SETH A</t>
  </si>
  <si>
    <t>SHAQUANA</t>
  </si>
  <si>
    <t>JOHN &amp; SHAQUANA FERNANDEZ</t>
  </si>
  <si>
    <t xml:space="preserve">7223 W REMUDA DR </t>
  </si>
  <si>
    <t>TERRAMAR PARCEL 7A</t>
  </si>
  <si>
    <t>WILSON MATTHEW A &amp; STACEY L</t>
  </si>
  <si>
    <t>FERNANDEZ JOHN O &amp; SHAQUANA</t>
  </si>
  <si>
    <t>KENDALL</t>
  </si>
  <si>
    <t>ERIC CORBETT &amp; MARY KENDALL</t>
  </si>
  <si>
    <t xml:space="preserve">18162 N 64TH DR W </t>
  </si>
  <si>
    <t>ARROWHEAD VALLEY UNIT THREE</t>
  </si>
  <si>
    <t>MICELLI JOSEPH P TRUST</t>
  </si>
  <si>
    <t>CORBETT ERIC W</t>
  </si>
  <si>
    <t>KENDALL MARY M</t>
  </si>
  <si>
    <t>NELSON &amp; ELIZABETH RUIZ</t>
  </si>
  <si>
    <t xml:space="preserve">2763 S CUPERTINO DR </t>
  </si>
  <si>
    <t>RUIZ NELSON &amp; ELIZABETH</t>
  </si>
  <si>
    <t>COVAIS</t>
  </si>
  <si>
    <t>FATEMA</t>
  </si>
  <si>
    <t>JASON &amp; FATEMA COVAIS</t>
  </si>
  <si>
    <t xml:space="preserve">20906 W SUNRISE LN </t>
  </si>
  <si>
    <t>WHITSON SCOTT C &amp; CATHERINE</t>
  </si>
  <si>
    <t>COVAIS JASON V &amp; FATEMA H</t>
  </si>
  <si>
    <t>ALVARO</t>
  </si>
  <si>
    <t>SOLORZANO</t>
  </si>
  <si>
    <t>ALVARO &amp; CARRIE SOLORZANO</t>
  </si>
  <si>
    <t xml:space="preserve">3018 E WATFORD CT </t>
  </si>
  <si>
    <t>SCHIAVONE FAMILY LIVING TRUST</t>
  </si>
  <si>
    <t>SOLORZANO ALVARO &amp; CARRIE A</t>
  </si>
  <si>
    <t>OBRIEN</t>
  </si>
  <si>
    <t>PATRICK &amp; KATHY OBRIEN</t>
  </si>
  <si>
    <t xml:space="preserve">30620 N 63RD ST </t>
  </si>
  <si>
    <t>THRASHER GREGORY W &amp; BARBARA</t>
  </si>
  <si>
    <t>OBRIEN PATRICK JR &amp; KATHY J</t>
  </si>
  <si>
    <t>SMALLHORN</t>
  </si>
  <si>
    <t>JOHN &amp; ANNE SMALLHORN</t>
  </si>
  <si>
    <t xml:space="preserve">3510 N BRINDLEY AVE </t>
  </si>
  <si>
    <t>BOLDRA MATTHEW D</t>
  </si>
  <si>
    <t>SMALLHORN JOHN</t>
  </si>
  <si>
    <t>ANN &amp; ANN BRADLEY</t>
  </si>
  <si>
    <t xml:space="preserve">20802 W LOST CREEK DR E </t>
  </si>
  <si>
    <t>CHOO &amp; HA FAMILY TRUST</t>
  </si>
  <si>
    <t>SHERMAN DREXEL B &amp; DENISE A</t>
  </si>
  <si>
    <t>MICHAEL BENJAMIN</t>
  </si>
  <si>
    <t xml:space="preserve">3781 N SPRINGFIELD ST </t>
  </si>
  <si>
    <t>VERRADO PARCEL 4.610</t>
  </si>
  <si>
    <t>WHITE JOSEPH R &amp; MEAGHAN J</t>
  </si>
  <si>
    <t>BENJAMIN MICHAEL D</t>
  </si>
  <si>
    <t>MARYLYN</t>
  </si>
  <si>
    <t>MARK MILLER &amp; MARYLYN CARTER</t>
  </si>
  <si>
    <t xml:space="preserve">11058 E TAMARISK WAY </t>
  </si>
  <si>
    <t>DESERT MOUNTAIN PH 2 APACHE PEAK PART ON</t>
  </si>
  <si>
    <t>DESERT MOUNTAIN-APACHE PEAK</t>
  </si>
  <si>
    <t>COMPASS BANK</t>
  </si>
  <si>
    <t>INDIANAPOLIS IN 462401437</t>
  </si>
  <si>
    <t>MILLER MARK</t>
  </si>
  <si>
    <t>CARTER MARYLYN</t>
  </si>
  <si>
    <t>ZACHARIAS</t>
  </si>
  <si>
    <t>SETH &amp; LISA ZACHARIAS</t>
  </si>
  <si>
    <t xml:space="preserve">912 E ECHO LN </t>
  </si>
  <si>
    <t>SKYLINE VISTA 2</t>
  </si>
  <si>
    <t>SKYLINE VISTA</t>
  </si>
  <si>
    <t>SHORES BRITTNY</t>
  </si>
  <si>
    <t>ZACHARIAS SETH T &amp; LISA C</t>
  </si>
  <si>
    <t>BRENT &amp; DOLORES AUSTIN</t>
  </si>
  <si>
    <t xml:space="preserve">4949 E GARY ST </t>
  </si>
  <si>
    <t>JANKE KURT</t>
  </si>
  <si>
    <t>AUSTIN BRENT &amp; DOLORES V</t>
  </si>
  <si>
    <t>LILIKES</t>
  </si>
  <si>
    <t>SUSAN LILIKES</t>
  </si>
  <si>
    <t xml:space="preserve">769 E SACK DR </t>
  </si>
  <si>
    <t>FALLBROOK LOT 1-112 TR A-F &amp; DRAINAGE WA</t>
  </si>
  <si>
    <t>FALLBROOK</t>
  </si>
  <si>
    <t>GAFFNOY CHRISTINE N TRUST</t>
  </si>
  <si>
    <t>LILIKES SUSAN A</t>
  </si>
  <si>
    <t>BOGERT</t>
  </si>
  <si>
    <t>JUSTIN &amp; STEPHANIE BOGERT</t>
  </si>
  <si>
    <t xml:space="preserve">5849 E HOOVER AVE </t>
  </si>
  <si>
    <t>SUMMERLIN VILLAGE</t>
  </si>
  <si>
    <t>KIMBALL BLAKE C</t>
  </si>
  <si>
    <t>BOGERT JUSTIN J</t>
  </si>
  <si>
    <t>BELMAR</t>
  </si>
  <si>
    <t>ERIC BELMAR</t>
  </si>
  <si>
    <t xml:space="preserve">4809 W PARADISE DR </t>
  </si>
  <si>
    <t>BELMAR ERIC</t>
  </si>
  <si>
    <t>ERIC BELMER</t>
  </si>
  <si>
    <t>FRAME</t>
  </si>
  <si>
    <t>ELAINE &amp; ELAINE LEE</t>
  </si>
  <si>
    <t xml:space="preserve">2818 S 160TH LN </t>
  </si>
  <si>
    <t>TRIDLE MARCINE L</t>
  </si>
  <si>
    <t>BRIAN L FRAME</t>
  </si>
  <si>
    <t>KIMBERLY E FRAME</t>
  </si>
  <si>
    <t>WHITWORTH</t>
  </si>
  <si>
    <t>GREGORY WHITWORTH &amp; JO TRACY</t>
  </si>
  <si>
    <t xml:space="preserve">17897 W BADGER WAY </t>
  </si>
  <si>
    <t>WHITWORTH GREGORY FRANKLIN</t>
  </si>
  <si>
    <t>GREGORY F WHITMORE</t>
  </si>
  <si>
    <t>TARCY J WHITMORE</t>
  </si>
  <si>
    <t>KIRSCH</t>
  </si>
  <si>
    <t>TODD &amp; JENNIFER KIRSCH</t>
  </si>
  <si>
    <t xml:space="preserve">15855 W SHAW BUTTE DR </t>
  </si>
  <si>
    <t>KIRSCH TODD M &amp; JENNIFER</t>
  </si>
  <si>
    <t>MYAER</t>
  </si>
  <si>
    <t>PATSY</t>
  </si>
  <si>
    <t>LESLIE &amp; PATSY MYAER</t>
  </si>
  <si>
    <t xml:space="preserve">8519 E POSADA AVE </t>
  </si>
  <si>
    <t>SAVAYA INVESTMENTS LLC</t>
  </si>
  <si>
    <t>MYAER LESLIE G &amp; PATSY A</t>
  </si>
  <si>
    <t>LINARES</t>
  </si>
  <si>
    <t>RYAN LINARES</t>
  </si>
  <si>
    <t xml:space="preserve">5605 N LAGUNA CT </t>
  </si>
  <si>
    <t>DARST BRIAN R</t>
  </si>
  <si>
    <t>LINARES RYAN</t>
  </si>
  <si>
    <t>MONAGHAN</t>
  </si>
  <si>
    <t>SALLY &amp; TIMOTHY MONAGHAN</t>
  </si>
  <si>
    <t xml:space="preserve">21927 N 120TH AVE </t>
  </si>
  <si>
    <t>MONAGHAN SALLY M &amp; TIMOTHY M</t>
  </si>
  <si>
    <t>JOSEPH &amp; ANNE MOORE</t>
  </si>
  <si>
    <t xml:space="preserve">2624 S 172ND DR </t>
  </si>
  <si>
    <t>MOORE JOSEPH LEON &amp; ANNE L</t>
  </si>
  <si>
    <t>TROMBLEY</t>
  </si>
  <si>
    <t>SCOTT &amp; SANDRA TROMBLEY</t>
  </si>
  <si>
    <t xml:space="preserve">4624 W POINSETTIA DR </t>
  </si>
  <si>
    <t>CONTINENTAL NORTH 7</t>
  </si>
  <si>
    <t>LE PHUONG PHUONG JIM</t>
  </si>
  <si>
    <t>SCOTT E TROMBLEY</t>
  </si>
  <si>
    <t>SANDRA L TROMBLEY</t>
  </si>
  <si>
    <t>KIRKLAND</t>
  </si>
  <si>
    <t>DONALD &amp; PATRICIA KIRKLAND</t>
  </si>
  <si>
    <t xml:space="preserve">140 S 108TH DR </t>
  </si>
  <si>
    <t>MORROW GUADALUPE</t>
  </si>
  <si>
    <t>KIRKLAND DONALD L</t>
  </si>
  <si>
    <t>DONALD &amp; SUSANA CUNNINGHAM</t>
  </si>
  <si>
    <t xml:space="preserve">3411 W CHANUTE PASS </t>
  </si>
  <si>
    <t>CUNNINGHAM DONALD &amp; SUSANA</t>
  </si>
  <si>
    <t>TURMAN</t>
  </si>
  <si>
    <t>FLOYD &amp; KIMBERLY TURMAN</t>
  </si>
  <si>
    <t xml:space="preserve">754 N PALO VERDE </t>
  </si>
  <si>
    <t>MIKITA RYAN A</t>
  </si>
  <si>
    <t>FLOYD N TURMAN</t>
  </si>
  <si>
    <t>KIMBERLY J TURMAN</t>
  </si>
  <si>
    <t>KEITH SMITH</t>
  </si>
  <si>
    <t xml:space="preserve">4341 S SPLENDOR CT </t>
  </si>
  <si>
    <t>DETLEFSEN DEAN</t>
  </si>
  <si>
    <t>SMITH KEITH</t>
  </si>
  <si>
    <t>ROCKER</t>
  </si>
  <si>
    <t>DAVID &amp; PRISCILLA ROCKER</t>
  </si>
  <si>
    <t xml:space="preserve">3622 W AIRE LIBRE AVE </t>
  </si>
  <si>
    <t>GOLDEN PALMS NORTH UNIT 1 LOT 1-105</t>
  </si>
  <si>
    <t>GOLDEN PALMS NORTH</t>
  </si>
  <si>
    <t>GRAHAM CHRISTOPHER</t>
  </si>
  <si>
    <t>DAVID L ROCKER</t>
  </si>
  <si>
    <t>PRISCILLA M ROCKER</t>
  </si>
  <si>
    <t>DARRYL</t>
  </si>
  <si>
    <t>FULMER</t>
  </si>
  <si>
    <t>DARRYL FULMER</t>
  </si>
  <si>
    <t xml:space="preserve">7702 W VIA MONTOYA DR </t>
  </si>
  <si>
    <t>COVACI CORNELIUS</t>
  </si>
  <si>
    <t>FULMER DARRYL</t>
  </si>
  <si>
    <t>WATLINGTON</t>
  </si>
  <si>
    <t>CARLOS WATLINGTON</t>
  </si>
  <si>
    <t xml:space="preserve">7029 S 16TH WAY </t>
  </si>
  <si>
    <t>MOUNTAIN VIEW ESTATES UNIT 4</t>
  </si>
  <si>
    <t>MIRAMONTES ANGEL J &amp; ALEJAND</t>
  </si>
  <si>
    <t>WATLINGTON CARLOS A</t>
  </si>
  <si>
    <t>JUSTIN GREGORY</t>
  </si>
  <si>
    <t xml:space="preserve">19890 W SHERMAN ST </t>
  </si>
  <si>
    <t>GREGORY JUSTIN</t>
  </si>
  <si>
    <t>ENTERLINE</t>
  </si>
  <si>
    <t>WILLIAM &amp; LAURA ENTERLINE</t>
  </si>
  <si>
    <t xml:space="preserve">15720 E CERVANTES CT </t>
  </si>
  <si>
    <t>FOUNTAIN HILLS AZ FP 505B</t>
  </si>
  <si>
    <t>DOYLE DENIS J</t>
  </si>
  <si>
    <t>ENTERLINE WILLIAM C</t>
  </si>
  <si>
    <t>CHIESA</t>
  </si>
  <si>
    <t>ROBERT &amp; MARIA CHIESA</t>
  </si>
  <si>
    <t xml:space="preserve">29718 N 69TH AVE </t>
  </si>
  <si>
    <t>SONORAN MOUNTAIN RANCH PARCEL 4 PHASE 2</t>
  </si>
  <si>
    <t>DELEON CHARLES &amp; JENNIFER</t>
  </si>
  <si>
    <t>CHIESA ROBERT &amp; MARIA</t>
  </si>
  <si>
    <t>TIMOTHY EVANS</t>
  </si>
  <si>
    <t xml:space="preserve">2185 S BANNING ST </t>
  </si>
  <si>
    <t>CROSSROADS</t>
  </si>
  <si>
    <t>FIDELITY HAUS INVS LLC</t>
  </si>
  <si>
    <t>EVANS TIMOTHY J</t>
  </si>
  <si>
    <t>PIGG</t>
  </si>
  <si>
    <t>JAMES &amp; MARILYN PIGG</t>
  </si>
  <si>
    <t xml:space="preserve">6502 W KINGS AVE </t>
  </si>
  <si>
    <t>DEERVIEW UNIT 28 LOT 2544-2829</t>
  </si>
  <si>
    <t>LEXINGTON PLACE</t>
  </si>
  <si>
    <t>COOPER MELVIN V &amp; PATTY A</t>
  </si>
  <si>
    <t>SUBURBAN MTG</t>
  </si>
  <si>
    <t>JAMES C PIGG</t>
  </si>
  <si>
    <t>MARILYN PIGG</t>
  </si>
  <si>
    <t>CHO</t>
  </si>
  <si>
    <t>JOSEPH &amp; KRISTINA CHO</t>
  </si>
  <si>
    <t xml:space="preserve">12471 W GENTLE RAIN RD </t>
  </si>
  <si>
    <t>CHO JOSEPH &amp; KRISTINA M</t>
  </si>
  <si>
    <t>HAIGLER</t>
  </si>
  <si>
    <t>LOUIS &amp; TAYLOR HAIGLER</t>
  </si>
  <si>
    <t xml:space="preserve">21045 E PECAN LN </t>
  </si>
  <si>
    <t>RATTO CHRIS</t>
  </si>
  <si>
    <t>HAIGLER LOUIS</t>
  </si>
  <si>
    <t>BROOKINS</t>
  </si>
  <si>
    <t>CLINTON BROOKINS</t>
  </si>
  <si>
    <t xml:space="preserve">12132 W DALEY LN </t>
  </si>
  <si>
    <t>COLE JASON R</t>
  </si>
  <si>
    <t>BROOKINS CLINTON H</t>
  </si>
  <si>
    <t>KELLEHER</t>
  </si>
  <si>
    <t>RYAN KELLEHER</t>
  </si>
  <si>
    <t xml:space="preserve">2010 S NINA CIR </t>
  </si>
  <si>
    <t>GREESON KRYSTAL M</t>
  </si>
  <si>
    <t>KELLEHER RYAN</t>
  </si>
  <si>
    <t>ROSSIGNOL</t>
  </si>
  <si>
    <t>KATHERINE ROSSIGNOL</t>
  </si>
  <si>
    <t xml:space="preserve">16816 W SAGUARO LN </t>
  </si>
  <si>
    <t xml:space="preserve">4410 N 99TH AVE #1160 </t>
  </si>
  <si>
    <t>BRUNO SARAH K</t>
  </si>
  <si>
    <t>ROSSIGNOL KATHERINE</t>
  </si>
  <si>
    <t>JOHN A MAYFIELD REVOCABLE LIVING TRUST</t>
  </si>
  <si>
    <t>JOHN MAYFIELD</t>
  </si>
  <si>
    <t xml:space="preserve">17303 E VALLECITO DR </t>
  </si>
  <si>
    <t>LATTIMER CAREN L</t>
  </si>
  <si>
    <t>MAYFIELD LIVING TRUST</t>
  </si>
  <si>
    <t>LAMB</t>
  </si>
  <si>
    <t>CHARLES LAMB</t>
  </si>
  <si>
    <t xml:space="preserve">3731 W DALPHIN RD </t>
  </si>
  <si>
    <t xml:space="preserve">5731 W DAPHIN RD </t>
  </si>
  <si>
    <t>MELROSE GARDENS NW 6 AMENDED</t>
  </si>
  <si>
    <t>LAMB CHARLES J</t>
  </si>
  <si>
    <t>OKELLY-TURNER</t>
  </si>
  <si>
    <t>KENNETH TURNER &amp; KATHLEEN OKELLY-TURNER</t>
  </si>
  <si>
    <t xml:space="preserve">13432 W CYPRESS ST </t>
  </si>
  <si>
    <t>OBRIEN MICHAEL F</t>
  </si>
  <si>
    <t>TURNER KENNETH S</t>
  </si>
  <si>
    <t>OKELLY-TURNER KATHLEEN</t>
  </si>
  <si>
    <t>BRICKS</t>
  </si>
  <si>
    <t>CHAD BRICKS</t>
  </si>
  <si>
    <t xml:space="preserve">733 W VIRGINIA AVE </t>
  </si>
  <si>
    <t>SAIN LORENE M LIVING TRUST</t>
  </si>
  <si>
    <t>BRICKS CHAD A</t>
  </si>
  <si>
    <t>AIRD</t>
  </si>
  <si>
    <t>CHRISTOPHER &amp; LISA AIRD</t>
  </si>
  <si>
    <t xml:space="preserve">344 S 173RD DR </t>
  </si>
  <si>
    <t>TESSMER ERIC &amp; REBECCA</t>
  </si>
  <si>
    <t>AIRD CHRISTOPHER E &amp; LISA M</t>
  </si>
  <si>
    <t>AMERICAS CHRISTIAN CU</t>
  </si>
  <si>
    <t>GLENDORA CA 91740</t>
  </si>
  <si>
    <t>CHRISTOPHER E AIRD</t>
  </si>
  <si>
    <t>LISA M AIRD</t>
  </si>
  <si>
    <t>BRENDA CARLSON</t>
  </si>
  <si>
    <t xml:space="preserve">1740 E BOSTON CIR </t>
  </si>
  <si>
    <t>FARAG FAMILY LIVING TRUST</t>
  </si>
  <si>
    <t>CARLSON BRENDA LORENE</t>
  </si>
  <si>
    <t>COLETTE</t>
  </si>
  <si>
    <t>ROBERT &amp; COLETTE OLSON</t>
  </si>
  <si>
    <t xml:space="preserve">3552 S OPAL </t>
  </si>
  <si>
    <t>MERIDIAN POINTE UNIT 1</t>
  </si>
  <si>
    <t>SECHEZ BRYAN M</t>
  </si>
  <si>
    <t>OLSON ROBERT</t>
  </si>
  <si>
    <t>ROBERT &amp; TRACY LARSON</t>
  </si>
  <si>
    <t xml:space="preserve">4225 N 150TH AVE </t>
  </si>
  <si>
    <t>HOBAN GLENN &amp; TOBY</t>
  </si>
  <si>
    <t>LARSON ROBERT &amp; TRACY</t>
  </si>
  <si>
    <t>GARY KLINE</t>
  </si>
  <si>
    <t xml:space="preserve">14002 N 33RD DR </t>
  </si>
  <si>
    <t>DEERVIEW UNIT  3</t>
  </si>
  <si>
    <t>DALLAS KENNETH L</t>
  </si>
  <si>
    <t>KLINE GARY L</t>
  </si>
  <si>
    <t>DONALD &amp; DEBORAH WILLIAMS</t>
  </si>
  <si>
    <t xml:space="preserve">19402 N LAKE FOREST DR </t>
  </si>
  <si>
    <t xml:space="preserve">PO BOX 5308 </t>
  </si>
  <si>
    <t>GERHARDS ALFONS B T T</t>
  </si>
  <si>
    <t>WILLIAMS DONALD P &amp; DEBORAH K</t>
  </si>
  <si>
    <t>ELODIA</t>
  </si>
  <si>
    <t>JAIME RODRIGUEZ &amp; ELODIA AYALA</t>
  </si>
  <si>
    <t xml:space="preserve">3301 W CAMPO BELLO DR </t>
  </si>
  <si>
    <t>SHADOW CANYON 2 LOT 131-240</t>
  </si>
  <si>
    <t>SHADOW CANYON</t>
  </si>
  <si>
    <t>DANGLER DAVID E &amp; TED E</t>
  </si>
  <si>
    <t>RODRIGUEZ JAIME L A</t>
  </si>
  <si>
    <t>KOPP</t>
  </si>
  <si>
    <t>ROGER &amp; BARBARA KOPP</t>
  </si>
  <si>
    <t xml:space="preserve">12386 S 181ST DR </t>
  </si>
  <si>
    <t>MURPHY GREGORY</t>
  </si>
  <si>
    <t>KOPP ROGER &amp; BARBARA</t>
  </si>
  <si>
    <t>AZUELO</t>
  </si>
  <si>
    <t>GALAVIZ</t>
  </si>
  <si>
    <t>AZUELO &amp; GAMEZ GALAVIZ</t>
  </si>
  <si>
    <t xml:space="preserve">15787 W POINSETTIA DR </t>
  </si>
  <si>
    <t>ADDISON J AZUELO</t>
  </si>
  <si>
    <t>MARILU E GAMEZ</t>
  </si>
  <si>
    <t>JESUS MENDEZ</t>
  </si>
  <si>
    <t xml:space="preserve">21810 W CASEY LN </t>
  </si>
  <si>
    <t>MENDEZ JESUS</t>
  </si>
  <si>
    <t>HINKLEY</t>
  </si>
  <si>
    <t>JESSE HINKLEY</t>
  </si>
  <si>
    <t xml:space="preserve">2922 N 107TH DR </t>
  </si>
  <si>
    <t>BERRYMAN VICKI L</t>
  </si>
  <si>
    <t>HINKLEY JESSE</t>
  </si>
  <si>
    <t>ANDREJEV</t>
  </si>
  <si>
    <t>IVAN &amp; CARLA ANDREJEV</t>
  </si>
  <si>
    <t xml:space="preserve">43025 N 43RD DR </t>
  </si>
  <si>
    <t>BOLING RONALD W</t>
  </si>
  <si>
    <t>IVAN ANDREJEV</t>
  </si>
  <si>
    <t>CARLA ANDREJEV</t>
  </si>
  <si>
    <t>BERTAM</t>
  </si>
  <si>
    <t>DANEE</t>
  </si>
  <si>
    <t>BERTAM &amp; DANEE CELESTE</t>
  </si>
  <si>
    <t xml:space="preserve">13747 W KEIM DR </t>
  </si>
  <si>
    <t>GARCIA SUSAN</t>
  </si>
  <si>
    <t>BERTRAM CHARLES A &amp; DANEE C</t>
  </si>
  <si>
    <t>BERTRAM DANEE C</t>
  </si>
  <si>
    <t>NAVARRETTE</t>
  </si>
  <si>
    <t>JOHN NAVARRETTE</t>
  </si>
  <si>
    <t xml:space="preserve">1742 W HEMINGWAY LN </t>
  </si>
  <si>
    <t>DAMIANOVA IRENA P</t>
  </si>
  <si>
    <t>NAVARRETTE JOHN P</t>
  </si>
  <si>
    <t>ARBOLEDA</t>
  </si>
  <si>
    <t>JASON WALTERS &amp; WENDY ARBOLEDA</t>
  </si>
  <si>
    <t xml:space="preserve">13859 W REDFIELD RD </t>
  </si>
  <si>
    <t>REYES JENNIFER M &amp; TIMOTHY P</t>
  </si>
  <si>
    <t>WALTERS JASON</t>
  </si>
  <si>
    <t>ARBOLEDA WENDY</t>
  </si>
  <si>
    <t>BOOZER</t>
  </si>
  <si>
    <t>NADINE BOOZER &amp; DAVID CRENSHAW</t>
  </si>
  <si>
    <t xml:space="preserve">10120 W MARGUERITE AVE </t>
  </si>
  <si>
    <t>CRENSHAW NADINE L BOOZER &amp; DAVID G</t>
  </si>
  <si>
    <t>NADINE L CRENSHAW</t>
  </si>
  <si>
    <t>DAVID G CRENSHAW</t>
  </si>
  <si>
    <t>WITT</t>
  </si>
  <si>
    <t>MICHAEL &amp; LUANN WITT</t>
  </si>
  <si>
    <t xml:space="preserve">290 MONTE CRISTO </t>
  </si>
  <si>
    <t>VISTA CIUDAD SUBDIVISION</t>
  </si>
  <si>
    <t>VISTA CIUDAD</t>
  </si>
  <si>
    <t>REZNICEK MARY P</t>
  </si>
  <si>
    <t>WITT MICHAEL E &amp; LUANN M</t>
  </si>
  <si>
    <t>JOHN &amp; ASHLEY GARDNER</t>
  </si>
  <si>
    <t xml:space="preserve">11757 W VIA MONTOYA DR </t>
  </si>
  <si>
    <t>CROSSRIVER UNIT 1</t>
  </si>
  <si>
    <t>DIONNE DUSTIN R</t>
  </si>
  <si>
    <t>GARDNER JOHN W &amp; ASHLEY</t>
  </si>
  <si>
    <t>SHONDA</t>
  </si>
  <si>
    <t>HINTON &amp; SHONDA HIGHTOWER</t>
  </si>
  <si>
    <t xml:space="preserve">12218 W MONTE LINDO LN </t>
  </si>
  <si>
    <t>BURCIAGA JESSIE C</t>
  </si>
  <si>
    <t>HINTON CURT</t>
  </si>
  <si>
    <t>ZABRISKIE</t>
  </si>
  <si>
    <t>ROWELL</t>
  </si>
  <si>
    <t>JAMES ZABRISKIE &amp; DINA ROWELL</t>
  </si>
  <si>
    <t xml:space="preserve">2402 N 108TH DR </t>
  </si>
  <si>
    <t>UPLAND PARK</t>
  </si>
  <si>
    <t>PATE ALBERT E</t>
  </si>
  <si>
    <t>ZABRISKIE JAMES</t>
  </si>
  <si>
    <t>ROWELL DINA</t>
  </si>
  <si>
    <t>JAMES ZABRISKIE</t>
  </si>
  <si>
    <t>DINA ROWELL</t>
  </si>
  <si>
    <t>CARMONA &amp; MELISSA MARIE</t>
  </si>
  <si>
    <t xml:space="preserve">2743 E FAWN DR </t>
  </si>
  <si>
    <t>GROVES AT SOUTH MOUNTAIN</t>
  </si>
  <si>
    <t>WEID TIM</t>
  </si>
  <si>
    <t>CARMONA BRYAN C &amp; MELISSA M</t>
  </si>
  <si>
    <t>MARCIE</t>
  </si>
  <si>
    <t>WILDE</t>
  </si>
  <si>
    <t>MARCIE WILDE</t>
  </si>
  <si>
    <t xml:space="preserve">15126 W MERCER LN </t>
  </si>
  <si>
    <t>MACKENZIE SARA L</t>
  </si>
  <si>
    <t>WILDE MARCIE</t>
  </si>
  <si>
    <t>BILLENSTEIN</t>
  </si>
  <si>
    <t>BRETT BILLENSTEIN &amp; ALEXANDRA PARRISH</t>
  </si>
  <si>
    <t xml:space="preserve">9161 W IRMA LN </t>
  </si>
  <si>
    <t>PALMER MARK &amp; LAGITA</t>
  </si>
  <si>
    <t>BILLENSTEIN BRETT R</t>
  </si>
  <si>
    <t>RUSSEL</t>
  </si>
  <si>
    <t>RUSSEL BAILEY</t>
  </si>
  <si>
    <t xml:space="preserve">3322 W MOUNTAIN VIEW RD </t>
  </si>
  <si>
    <t>CONTINENTAL MEADOWS NORTH 2</t>
  </si>
  <si>
    <t>CONTINENTAL MEADOWS NORTH</t>
  </si>
  <si>
    <t>SAUBER KAREN T</t>
  </si>
  <si>
    <t>BAILEY RUSSEL K</t>
  </si>
  <si>
    <t>DOWLING</t>
  </si>
  <si>
    <t>JACOB &amp; JASMINE DOWLING</t>
  </si>
  <si>
    <t xml:space="preserve">6702 E HEATHER DR </t>
  </si>
  <si>
    <t>HELTON DOREEN S TRUST</t>
  </si>
  <si>
    <t>DOWLING JACOB M &amp; JASMINE R</t>
  </si>
  <si>
    <t>STATE FARM BK</t>
  </si>
  <si>
    <t>BLOOMINGTON IL 61710</t>
  </si>
  <si>
    <t>JACOB M DOWLING</t>
  </si>
  <si>
    <t>JASMINE R DOWLING</t>
  </si>
  <si>
    <t>BRANDON EBERT</t>
  </si>
  <si>
    <t xml:space="preserve">1402 W STOTTLER CT </t>
  </si>
  <si>
    <t>ROFFMANN-NEW AMY E</t>
  </si>
  <si>
    <t>EBERT BRANDON J</t>
  </si>
  <si>
    <t>PAUL &amp; RACHEL RODGERS</t>
  </si>
  <si>
    <t xml:space="preserve">16462 N 172ND LN </t>
  </si>
  <si>
    <t>JUL JEN JUL LLC</t>
  </si>
  <si>
    <t>RODGERS PAUL W &amp; RACHEL E</t>
  </si>
  <si>
    <t>JEREMY BAKER</t>
  </si>
  <si>
    <t xml:space="preserve">17365 E CALAVERAS AVE </t>
  </si>
  <si>
    <t>TELESCO JOSEPH P &amp; ASSUNTA</t>
  </si>
  <si>
    <t>BAKER JEREMY S</t>
  </si>
  <si>
    <t>CARDOZA</t>
  </si>
  <si>
    <t>KENNETH CARDOZA</t>
  </si>
  <si>
    <t xml:space="preserve">7152 E JACOB AVE </t>
  </si>
  <si>
    <t>PARCELS 14 AND 22 AT SUPERSTITION SPRING</t>
  </si>
  <si>
    <t>BLAZEVICH LIVING TRUST</t>
  </si>
  <si>
    <t>CARDOZA KENNETH J</t>
  </si>
  <si>
    <t>DENOGEAN</t>
  </si>
  <si>
    <t>LOUIS &amp; DEBRA DENOGEAN</t>
  </si>
  <si>
    <t xml:space="preserve">3016 S 93RD ST </t>
  </si>
  <si>
    <t>DENOGEAN LOUIS A</t>
  </si>
  <si>
    <t>GAVIN MURPHY</t>
  </si>
  <si>
    <t xml:space="preserve">8537 E JACKRABBIT RD </t>
  </si>
  <si>
    <t xml:space="preserve">154 E BOWERS CT </t>
  </si>
  <si>
    <t>PARK SCOTTSDALE 1-B</t>
  </si>
  <si>
    <t>CASKEY ALEX M</t>
  </si>
  <si>
    <t>MURPHY GAVIN</t>
  </si>
  <si>
    <t>COLIN</t>
  </si>
  <si>
    <t>COLIN TIMM</t>
  </si>
  <si>
    <t xml:space="preserve">18040 N 25TH PL </t>
  </si>
  <si>
    <t>C095</t>
  </si>
  <si>
    <t>PEPPER RIDGE UNIT 3 LOT 198-273</t>
  </si>
  <si>
    <t>PEPPER RIDGE</t>
  </si>
  <si>
    <t>MCCROBIE RYAN D</t>
  </si>
  <si>
    <t>TIMM COLIN D</t>
  </si>
  <si>
    <t>ALGIENE</t>
  </si>
  <si>
    <t>JOSEPH ALGIENE</t>
  </si>
  <si>
    <t xml:space="preserve">13208 W MARKET ST </t>
  </si>
  <si>
    <t>LEGACY AND HERITAGE AT WEST POINT TOWN C</t>
  </si>
  <si>
    <t>LEGACY AND HERITAGE AT WEST POINT TOWN CENTER</t>
  </si>
  <si>
    <t>SHEPHERD DANIEL L</t>
  </si>
  <si>
    <t>JOSEPH M ALGIENE</t>
  </si>
  <si>
    <t>JOSE HERRERA</t>
  </si>
  <si>
    <t xml:space="preserve">4034 E CROCUS DR </t>
  </si>
  <si>
    <t>JAMIESON SCOTT</t>
  </si>
  <si>
    <t>HERRERA JOSE A</t>
  </si>
  <si>
    <t>MARTINE</t>
  </si>
  <si>
    <t>DONALD &amp; MARTINE MORRIS</t>
  </si>
  <si>
    <t xml:space="preserve">4317 E OAKLAND ST </t>
  </si>
  <si>
    <t>AK-FISH LLC</t>
  </si>
  <si>
    <t>DONALD D MORRIS</t>
  </si>
  <si>
    <t>WESTFIELD</t>
  </si>
  <si>
    <t>ANDRE &amp; JOAN WESTFIELD</t>
  </si>
  <si>
    <t xml:space="preserve">14535 W CORTEZ ST </t>
  </si>
  <si>
    <t>BLAKELEY KENNETH C</t>
  </si>
  <si>
    <t>ANDRE WESTFIELD</t>
  </si>
  <si>
    <t>JOAN WESTFIELD</t>
  </si>
  <si>
    <t>COSBY</t>
  </si>
  <si>
    <t>ROSA COSBY</t>
  </si>
  <si>
    <t xml:space="preserve">8884 W CAMERON DR </t>
  </si>
  <si>
    <t>COSBY ROSA</t>
  </si>
  <si>
    <t>CYNTHIA &amp; RUBEN VARGAS</t>
  </si>
  <si>
    <t xml:space="preserve">15612 W CAMERON DR </t>
  </si>
  <si>
    <t>VARGAS CYNTHIA X O &amp; RUBEN V</t>
  </si>
  <si>
    <t>THOMAS &amp; SAMANTHA NEWMAN</t>
  </si>
  <si>
    <t xml:space="preserve">15800 W ACAPULCO LN </t>
  </si>
  <si>
    <t>SMITH BENJAMIN</t>
  </si>
  <si>
    <t>NEWMAN THOMAS</t>
  </si>
  <si>
    <t>BISSELL</t>
  </si>
  <si>
    <t>MATTHEW BISSELL</t>
  </si>
  <si>
    <t xml:space="preserve">1157 E SAN REMO AVE </t>
  </si>
  <si>
    <t>DRISCOLL W GRAHAM</t>
  </si>
  <si>
    <t>BISSELL MATTHEW S</t>
  </si>
  <si>
    <t>MATTHEW S BISSELL</t>
  </si>
  <si>
    <t>KRAVCHUK</t>
  </si>
  <si>
    <t>OLENA</t>
  </si>
  <si>
    <t>FELTINA</t>
  </si>
  <si>
    <t>KRAVCHUK &amp; FELTINA OLENA</t>
  </si>
  <si>
    <t xml:space="preserve">2343 W DUSTY WREN DR </t>
  </si>
  <si>
    <t>NUTTALL DAVID J</t>
  </si>
  <si>
    <t>KRAVCHUK MAXIM</t>
  </si>
  <si>
    <t>FELTINA OLENA</t>
  </si>
  <si>
    <t>DEVLIN</t>
  </si>
  <si>
    <t>SAMUEL &amp; ANGELA DEVLIN</t>
  </si>
  <si>
    <t xml:space="preserve">12213 W CHASE LN </t>
  </si>
  <si>
    <t>DEVLIN SAMUEL B</t>
  </si>
  <si>
    <t>DEVLIN SAMUEL B &amp; ANGELA M</t>
  </si>
  <si>
    <t>RYAN &amp; CAROLINE MARIE</t>
  </si>
  <si>
    <t xml:space="preserve">20232 W MAZATZAL DR </t>
  </si>
  <si>
    <t>DMJ CONST &amp; LANDSCAPING IN</t>
  </si>
  <si>
    <t>RYAN DAVID ALLEN</t>
  </si>
  <si>
    <t>MICHAEL &amp; ALYSSA PEREZ</t>
  </si>
  <si>
    <t xml:space="preserve">2902 E EMELITA AVE </t>
  </si>
  <si>
    <t>MEADOWGREEN UNIT 1</t>
  </si>
  <si>
    <t>IRVING ELEMENTARY SCHOOL</t>
  </si>
  <si>
    <t>PEREZ MICHAEL &amp; ALYSSA</t>
  </si>
  <si>
    <t>KITTELSON</t>
  </si>
  <si>
    <t>PHILLIP &amp; TRACIE KITTELSON</t>
  </si>
  <si>
    <t xml:space="preserve">7221 N 181ST AVE </t>
  </si>
  <si>
    <t>HOFFMAN NICHOLAS</t>
  </si>
  <si>
    <t>PHH HM LNS LLC</t>
  </si>
  <si>
    <t>KITTELSON PHILLIP</t>
  </si>
  <si>
    <t>KENNETH KERR</t>
  </si>
  <si>
    <t xml:space="preserve">16471 N 176TH DR </t>
  </si>
  <si>
    <t>BECK MARK A &amp; CAROLYN M</t>
  </si>
  <si>
    <t>RAQUEL KERR</t>
  </si>
  <si>
    <t>KENNETH T KERR</t>
  </si>
  <si>
    <t>SHANE PRICE</t>
  </si>
  <si>
    <t xml:space="preserve">12132 W EL CORTEZ PL </t>
  </si>
  <si>
    <t>PRICE SHANE</t>
  </si>
  <si>
    <t>ROBERTS-SMITH</t>
  </si>
  <si>
    <t>STEPHEN SMITH &amp; CYNTHIA ROBERTS-SMITH</t>
  </si>
  <si>
    <t xml:space="preserve">4362 E CASSIA LN </t>
  </si>
  <si>
    <t>MEADOWBROOK VILLAGE AT POWER RANCH 1</t>
  </si>
  <si>
    <t>KATZ EDWARD</t>
  </si>
  <si>
    <t>SMITH STEPHEN V</t>
  </si>
  <si>
    <t>ROBERTS-SMITH CYNTHIA L</t>
  </si>
  <si>
    <t>JAMES PATRICK &amp; BIANCA GARCIA</t>
  </si>
  <si>
    <t xml:space="preserve">17858 W DESERT LN </t>
  </si>
  <si>
    <t>DISMUKE ALLEN F</t>
  </si>
  <si>
    <t>PATRICK JAMES A III</t>
  </si>
  <si>
    <t>GARCIA BIANCA L</t>
  </si>
  <si>
    <t>ANTHONY BROWN</t>
  </si>
  <si>
    <t xml:space="preserve">19352 W PASADENA AVE </t>
  </si>
  <si>
    <t>BROWN ANTHONY D</t>
  </si>
  <si>
    <t>LANDA</t>
  </si>
  <si>
    <t>KEITH LANDA</t>
  </si>
  <si>
    <t xml:space="preserve">1140 E TODD DR </t>
  </si>
  <si>
    <t>CAMPBELL WILLIAM F</t>
  </si>
  <si>
    <t>BANK OF SULLIVAN</t>
  </si>
  <si>
    <t>LANDA KEITH M</t>
  </si>
  <si>
    <t>BECHTOL</t>
  </si>
  <si>
    <t>BECHTOL &amp; ALICIA DANA</t>
  </si>
  <si>
    <t xml:space="preserve">4620 W LAWRENCE LN </t>
  </si>
  <si>
    <t>MANZANITA MANOR 2 LOT 265-523</t>
  </si>
  <si>
    <t>MANZANITA MANOR II</t>
  </si>
  <si>
    <t>LOBATO FAMILY TRUST</t>
  </si>
  <si>
    <t>BECHTOL WILLIAM HANK &amp; ALICIA</t>
  </si>
  <si>
    <t>ALONA</t>
  </si>
  <si>
    <t>JOHN &amp; ALONA DAY</t>
  </si>
  <si>
    <t xml:space="preserve">13426 W MARLETTE CT </t>
  </si>
  <si>
    <t>MASTER PLAN DEV LLC</t>
  </si>
  <si>
    <t>JOHN P DAY</t>
  </si>
  <si>
    <t>ALONA I DAY</t>
  </si>
  <si>
    <t>CLUCK</t>
  </si>
  <si>
    <t>MICHAEL CLUCK</t>
  </si>
  <si>
    <t xml:space="preserve">12030 W CHASE LN </t>
  </si>
  <si>
    <t>CLUCK MICHAEL P</t>
  </si>
  <si>
    <t>SCHMEISER</t>
  </si>
  <si>
    <t>GERALD &amp; SUSAN SCHMEISER</t>
  </si>
  <si>
    <t xml:space="preserve">919 E MOHAWK DR </t>
  </si>
  <si>
    <t>MANOV ZDRAVKO K &amp; LINDSAY N</t>
  </si>
  <si>
    <t>SCHMEISER GERALD E &amp; SUSAN J</t>
  </si>
  <si>
    <t>IBRAHIM</t>
  </si>
  <si>
    <t>YAMINI</t>
  </si>
  <si>
    <t>MYESHIA</t>
  </si>
  <si>
    <t>IBRAHIM &amp; MYESHIA YAMINI</t>
  </si>
  <si>
    <t xml:space="preserve">11913 W ADAMS ST </t>
  </si>
  <si>
    <t>DEMARBIEX LARRY A</t>
  </si>
  <si>
    <t>YAMINI IBRAHIM &amp; MYESHIA</t>
  </si>
  <si>
    <t>WESLEY JONES</t>
  </si>
  <si>
    <t xml:space="preserve">2517 N 119TH DR </t>
  </si>
  <si>
    <t>SANTANA AGUSTIN &amp; AMELIA</t>
  </si>
  <si>
    <t>JONES WESLEY</t>
  </si>
  <si>
    <t>SALVADOR &amp; LINDA MARQUEZ</t>
  </si>
  <si>
    <t xml:space="preserve">2246 W PERIWINKLE WAY </t>
  </si>
  <si>
    <t>OCOTILLO PARCELS 18 &amp; 19</t>
  </si>
  <si>
    <t>ZY RENTALS LLC</t>
  </si>
  <si>
    <t>MARQUEZ SALVADOR</t>
  </si>
  <si>
    <t>DAVID MOSES</t>
  </si>
  <si>
    <t xml:space="preserve">4619 W COMMONWEALTH PL </t>
  </si>
  <si>
    <t>TURNER STEVEN P &amp; K A TRUST</t>
  </si>
  <si>
    <t>MOSES DAVID</t>
  </si>
  <si>
    <t>LANGLEY</t>
  </si>
  <si>
    <t>MICHAEL LANGLEY</t>
  </si>
  <si>
    <t xml:space="preserve">1415 E MALAPAI DR </t>
  </si>
  <si>
    <t>LANDS OF STEVANOVIC LOT 1-10</t>
  </si>
  <si>
    <t>LANDS OF STEVANOVIC</t>
  </si>
  <si>
    <t>STUART MARY L LIVING TRUST</t>
  </si>
  <si>
    <t>LANGLEY MICHAEL W</t>
  </si>
  <si>
    <t>CALVIN &amp; TERESA BROWN</t>
  </si>
  <si>
    <t xml:space="preserve">18193 W MINNEZONA AVE </t>
  </si>
  <si>
    <t>BROWN CALVIN P &amp; TERESA J</t>
  </si>
  <si>
    <t>WEIGLEY FAMILY TRUST</t>
  </si>
  <si>
    <t>WEIGLEY</t>
  </si>
  <si>
    <t xml:space="preserve">3053 S CHATSWORTH </t>
  </si>
  <si>
    <t>SANTA RITA RANCH PARCEL 3</t>
  </si>
  <si>
    <t>MCCORD JASON &amp; HOLLY</t>
  </si>
  <si>
    <t>WEIGLEY JULIUS S &amp; ROSANNE</t>
  </si>
  <si>
    <t>ANDRES</t>
  </si>
  <si>
    <t>DYLLAN</t>
  </si>
  <si>
    <t>ANDRES &amp; DYLLAN GUERRERO</t>
  </si>
  <si>
    <t xml:space="preserve">23944 N PABLO CT </t>
  </si>
  <si>
    <t>GARCIA KRISTEN N</t>
  </si>
  <si>
    <t>GUERRERO ANDRES R &amp; DYLLAN M</t>
  </si>
  <si>
    <t>JODETTE</t>
  </si>
  <si>
    <t>SASSANO</t>
  </si>
  <si>
    <t>TRACY ANDREWS &amp; JODETTE SASSANO</t>
  </si>
  <si>
    <t xml:space="preserve">7301 N KIRSTEN AVE </t>
  </si>
  <si>
    <t>BURGGRAF MICHAEL J</t>
  </si>
  <si>
    <t>ANDREWS TRACY</t>
  </si>
  <si>
    <t>SASSANO JODETTE</t>
  </si>
  <si>
    <t>STEGEMAN</t>
  </si>
  <si>
    <t>CLINTON &amp; JANICE STEGEMAN</t>
  </si>
  <si>
    <t xml:space="preserve">4534 E SYCAMORE CT </t>
  </si>
  <si>
    <t>MEADOWBROOK VILLAGE AT POWER RANCH 3</t>
  </si>
  <si>
    <t>SCHWARTZ WILLIAM M</t>
  </si>
  <si>
    <t>STEGEMAN CLINTON M &amp; JANICE M</t>
  </si>
  <si>
    <t>DIGUISEPE</t>
  </si>
  <si>
    <t>DIGUISEPE CHRISTINA</t>
  </si>
  <si>
    <t xml:space="preserve">16871 N STONERIDGE CT </t>
  </si>
  <si>
    <t xml:space="preserve">16060 N BOULDER DR </t>
  </si>
  <si>
    <t>FOUNTAIN HILLS AZ FP 505C</t>
  </si>
  <si>
    <t>ROZANSKY PHYLLIS A</t>
  </si>
  <si>
    <t>SMITH ELIZABETH</t>
  </si>
  <si>
    <t>RANKIN</t>
  </si>
  <si>
    <t>KENNETH RANKIN</t>
  </si>
  <si>
    <t xml:space="preserve">2210 E AVENIDA DEL SOL </t>
  </si>
  <si>
    <t>MOUNTAINGATE NORTH 2</t>
  </si>
  <si>
    <t>HENSLEY GARY D &amp; MARYLU</t>
  </si>
  <si>
    <t>RANKIN KENNETH S</t>
  </si>
  <si>
    <t>MCGILLIS</t>
  </si>
  <si>
    <t>JOHN &amp; DIANE MCGILLIS</t>
  </si>
  <si>
    <t xml:space="preserve">20463 E PALOMINO DR </t>
  </si>
  <si>
    <t>WILL ROGERS EQUESTRIAN RANCH UNIT 2</t>
  </si>
  <si>
    <t>UPSHAW CASEY</t>
  </si>
  <si>
    <t>MCGILLIS JOHN L &amp; DIANE M</t>
  </si>
  <si>
    <t>RAZOR XIII LLC</t>
  </si>
  <si>
    <t>RAZOR XIV LLC</t>
  </si>
  <si>
    <t xml:space="preserve">1118 W FLOWER ST </t>
  </si>
  <si>
    <t xml:space="preserve">4400 N SCOTTSDALE RD #9 </t>
  </si>
  <si>
    <t>AZTEC PLACE</t>
  </si>
  <si>
    <t>BRYAN MAUREEN</t>
  </si>
  <si>
    <t>MALL GREGORY N &amp; MAURA A</t>
  </si>
  <si>
    <t xml:space="preserve">9291 E SIESTA LN </t>
  </si>
  <si>
    <t>FOOTHILLS AT IRONWOOD VILLAGE</t>
  </si>
  <si>
    <t>CAMPBELL DENNIS K</t>
  </si>
  <si>
    <t>GREGORY N MALL</t>
  </si>
  <si>
    <t>MAURA A MALL</t>
  </si>
  <si>
    <t>JONATHON &amp; DANIELLE NORMAN</t>
  </si>
  <si>
    <t xml:space="preserve">5208 E FOUNTAIN ST </t>
  </si>
  <si>
    <t>CROSSPOINTE AMD LOT 1-98</t>
  </si>
  <si>
    <t>CROSSPOINT-ALTA MESA</t>
  </si>
  <si>
    <t>COSTELLO JACK P &amp; LORAINE S</t>
  </si>
  <si>
    <t>NORMAN JONATHON D &amp; DANIELLE</t>
  </si>
  <si>
    <t>ALEGRIA</t>
  </si>
  <si>
    <t>GILBERT &amp; JESSICA ALEGRIA</t>
  </si>
  <si>
    <t xml:space="preserve">15130 W REDFIELD RD </t>
  </si>
  <si>
    <t>PINA ANTHONY</t>
  </si>
  <si>
    <t>ALEGRIA GILBERT &amp; JESSICA M</t>
  </si>
  <si>
    <t>HAIDEK</t>
  </si>
  <si>
    <t>LARRY &amp; GLORIA HAIDEK</t>
  </si>
  <si>
    <t xml:space="preserve">7916 W FETLOCK TRL </t>
  </si>
  <si>
    <t>HAIDEK LARRY F &amp; GLORIA R</t>
  </si>
  <si>
    <t>SUNMAN</t>
  </si>
  <si>
    <t>ERIC &amp; DEBORAH SUNMAN</t>
  </si>
  <si>
    <t xml:space="preserve">10220 N 75TH ST </t>
  </si>
  <si>
    <t>CASA BUENA TRACT B AND C</t>
  </si>
  <si>
    <t>CASA BUENA</t>
  </si>
  <si>
    <t>BLACK CAROL A</t>
  </si>
  <si>
    <t>SUNMAN ERIC J &amp; DEBORAH A</t>
  </si>
  <si>
    <t>ERIC J SUNMAN</t>
  </si>
  <si>
    <t>DEBORAH A SUNMAN</t>
  </si>
  <si>
    <t>DENT-COCHRANE</t>
  </si>
  <si>
    <t>DENT</t>
  </si>
  <si>
    <t>KYLE DENT-COCHRANE &amp; HEATHER DENT</t>
  </si>
  <si>
    <t xml:space="preserve">12103 W ROWEL RD </t>
  </si>
  <si>
    <t>DENT COCHRANE KYLE</t>
  </si>
  <si>
    <t>DENT HEATHER</t>
  </si>
  <si>
    <t>LAUDANDO</t>
  </si>
  <si>
    <t>JOSEPH &amp; SARA LAUDANDO</t>
  </si>
  <si>
    <t xml:space="preserve">25945 N 165TH LN </t>
  </si>
  <si>
    <t>CLEARY DUSTIN J</t>
  </si>
  <si>
    <t>HOWARD BANK</t>
  </si>
  <si>
    <t>LAUDANDO JOSEPH &amp; SARA</t>
  </si>
  <si>
    <t>CLARY</t>
  </si>
  <si>
    <t>RONNIE &amp; ANN CLARY</t>
  </si>
  <si>
    <t xml:space="preserve">3427 E DERRINGER WAY </t>
  </si>
  <si>
    <t>CONTRARIAN REAL ESTATE LLC</t>
  </si>
  <si>
    <t>CLARY RONNIE G &amp; ANN M</t>
  </si>
  <si>
    <t>ANASTACIA</t>
  </si>
  <si>
    <t>ANASTACIA C KELLY LIVING TRUST</t>
  </si>
  <si>
    <t>ANASTACIA &amp; ANASTACIA KELLY</t>
  </si>
  <si>
    <t xml:space="preserve">25508 N CINCH DR </t>
  </si>
  <si>
    <t>KELLY ANASTACIA CONSTANTINA</t>
  </si>
  <si>
    <t>PALOMARES</t>
  </si>
  <si>
    <t>DEREK &amp; ALYSSA PALOMARES</t>
  </si>
  <si>
    <t xml:space="preserve">14862 W WINDSOR AVE </t>
  </si>
  <si>
    <t>REY ENTS LLC</t>
  </si>
  <si>
    <t>PALOMARES DEREK A &amp; ALYSSA L</t>
  </si>
  <si>
    <t>DEENA</t>
  </si>
  <si>
    <t>BRENT &amp; DEENA BRADY</t>
  </si>
  <si>
    <t xml:space="preserve">18233 N 64TH DR </t>
  </si>
  <si>
    <t>LLOYD FAMILY TRUST</t>
  </si>
  <si>
    <t>BRADY BRENT B</t>
  </si>
  <si>
    <t>ENGRAM</t>
  </si>
  <si>
    <t>PAUL &amp; MICHELLE ENGRAM</t>
  </si>
  <si>
    <t xml:space="preserve">16806 N 183RD DR </t>
  </si>
  <si>
    <t>UNITED SECURITY FINANCIAL CORP</t>
  </si>
  <si>
    <t>ENGRAM PAUL L &amp; MICHELLE</t>
  </si>
  <si>
    <t>NEWSON</t>
  </si>
  <si>
    <t>MATTHEW &amp; JULIE NEWSON</t>
  </si>
  <si>
    <t xml:space="preserve">10100 W SUGAR SAND LN </t>
  </si>
  <si>
    <t>THOMPSON JENNILEE</t>
  </si>
  <si>
    <t>NEWSON MATTHEW W &amp; JULIE A</t>
  </si>
  <si>
    <t>APSEY</t>
  </si>
  <si>
    <t>THOMAS &amp; DEBORAH APSEY</t>
  </si>
  <si>
    <t xml:space="preserve">2104 N VISTA DEL SOL </t>
  </si>
  <si>
    <t>ESTATES AT DESERT SHADOWS</t>
  </si>
  <si>
    <t>APSEY THOMAS &amp; DEBORAH</t>
  </si>
  <si>
    <t>DANNY &amp; LORRAINE PADILLA</t>
  </si>
  <si>
    <t xml:space="preserve">5443 E GROVERS AVE </t>
  </si>
  <si>
    <t>ARABIAN VIEWS           LOT 1-164</t>
  </si>
  <si>
    <t>KUNKEL GAYLE M</t>
  </si>
  <si>
    <t>PADILLA DANNY L &amp; LORRAINE D</t>
  </si>
  <si>
    <t>GREGORY &amp; TAWNYA SCHAFER</t>
  </si>
  <si>
    <t xml:space="preserve">7916 E PORTOBELLO AVE </t>
  </si>
  <si>
    <t>BOULDER CREEK UNIT 5</t>
  </si>
  <si>
    <t>JAMISON TROY N</t>
  </si>
  <si>
    <t>SCHAFER GREGORY S &amp; TAWNYA</t>
  </si>
  <si>
    <t>JASON &amp; DANIELLE ANDREWS</t>
  </si>
  <si>
    <t xml:space="preserve">5542 W MONTE CRISTO AVE </t>
  </si>
  <si>
    <t>SUNBURST FARMS 23</t>
  </si>
  <si>
    <t>FOX PHILIP</t>
  </si>
  <si>
    <t>ANDREWS JASON W &amp; DANIELLE</t>
  </si>
  <si>
    <t>SWANCEY FAMILY TRUST</t>
  </si>
  <si>
    <t>SWANCEY</t>
  </si>
  <si>
    <t xml:space="preserve">5001 E MITCHELL DR </t>
  </si>
  <si>
    <t>HIDDEN VILLAGE  8    LOTS 380-383</t>
  </si>
  <si>
    <t>DWYER DELANEY D &amp; CLAIRE E</t>
  </si>
  <si>
    <t>SWANCEY DANNY &amp; DANIELLE</t>
  </si>
  <si>
    <t>AMBRE</t>
  </si>
  <si>
    <t>KIRK &amp; KIRK AMBRE</t>
  </si>
  <si>
    <t xml:space="preserve">4733 E CAMBRIDGE AVE </t>
  </si>
  <si>
    <t>RANCHO VENTURA TR 27</t>
  </si>
  <si>
    <t>RANCHO VENTURA EAST</t>
  </si>
  <si>
    <t>MIKE KARIMI LLC</t>
  </si>
  <si>
    <t>KIRK DAVID</t>
  </si>
  <si>
    <t>FRANCINE ELLIOTT</t>
  </si>
  <si>
    <t xml:space="preserve">14225 N AGUILAR DR </t>
  </si>
  <si>
    <t>SPINDLER GARY R</t>
  </si>
  <si>
    <t>TERRY P RECTOR</t>
  </si>
  <si>
    <t>FRANCINE A ELLIOTT</t>
  </si>
  <si>
    <t>MICHAEL JOHNSON</t>
  </si>
  <si>
    <t xml:space="preserve">10925 E RENFIELD AVE </t>
  </si>
  <si>
    <t>MOUNTAIN HORIZONS UNIT 1</t>
  </si>
  <si>
    <t>LAMMEY MATTHEW A</t>
  </si>
  <si>
    <t>JOHNSON MICHAEL G</t>
  </si>
  <si>
    <t>HOLLENBACH</t>
  </si>
  <si>
    <t>HOLLENBACH &amp; EDNA FLORENTINO</t>
  </si>
  <si>
    <t xml:space="preserve">654 W JUANITA AVE </t>
  </si>
  <si>
    <t>JANDO OMIET &amp; BUTRIS A</t>
  </si>
  <si>
    <t>HOLLENBACH ROBERT W &amp; EDNA F</t>
  </si>
  <si>
    <t>SCHUMACHER ROBERT &amp; GINA TRUST</t>
  </si>
  <si>
    <t>SCHUMACHERROBERT &amp; GINA SCHUMACHERROBERT</t>
  </si>
  <si>
    <t xml:space="preserve">14522 W HILLSIDE ST </t>
  </si>
  <si>
    <t>JACOBSON KARL</t>
  </si>
  <si>
    <t>SCHUMACHER ROBERT C</t>
  </si>
  <si>
    <t>TORRE FAMILY LIVING TRUST</t>
  </si>
  <si>
    <t>TORRE</t>
  </si>
  <si>
    <t xml:space="preserve">14967 W MUIRFIELD LN </t>
  </si>
  <si>
    <t>NOYES DARLENE F</t>
  </si>
  <si>
    <t>TORRE JOHN J &amp; PATRICIA A</t>
  </si>
  <si>
    <t>WACLAW</t>
  </si>
  <si>
    <t>RODNEY &amp; HEATHER WACLAW</t>
  </si>
  <si>
    <t xml:space="preserve">732 E REDFIELD RD </t>
  </si>
  <si>
    <t>RIO CABALLO UNIT 3 LOT 25-34</t>
  </si>
  <si>
    <t>RIO CABALLO</t>
  </si>
  <si>
    <t>MORELAND MICHAEL</t>
  </si>
  <si>
    <t>WACLAW RODNEY</t>
  </si>
  <si>
    <t>KNOTT</t>
  </si>
  <si>
    <t>JOHN KNOTT</t>
  </si>
  <si>
    <t xml:space="preserve">12001 N 35TH ST </t>
  </si>
  <si>
    <t>E INVESTMENT PROPS INC</t>
  </si>
  <si>
    <t>KNOTT JOHN</t>
  </si>
  <si>
    <t>MCLAIN</t>
  </si>
  <si>
    <t>JAMES MCLAIN</t>
  </si>
  <si>
    <t xml:space="preserve">3079 E SAN PEDRO CT </t>
  </si>
  <si>
    <t>MEYER TONY D</t>
  </si>
  <si>
    <t>MCLAIN JAMES</t>
  </si>
  <si>
    <t>WARNER</t>
  </si>
  <si>
    <t>ROSALIE</t>
  </si>
  <si>
    <t>JAMES &amp; ROSALIE WARNER</t>
  </si>
  <si>
    <t xml:space="preserve">3146 E LA COSTA CT </t>
  </si>
  <si>
    <t>WARNER JAMES P &amp; ROSALIE T</t>
  </si>
  <si>
    <t>RICHARD EVANS &amp; RENEE JOYCE</t>
  </si>
  <si>
    <t xml:space="preserve">921 W NATAL AVE </t>
  </si>
  <si>
    <t>DOBSON WOODS  LOT 1-398 409-436 TR A-C &amp;</t>
  </si>
  <si>
    <t>VELIS STANLEY N</t>
  </si>
  <si>
    <t>EVANS RICHARD J &amp; JOYCE R</t>
  </si>
  <si>
    <t>TUY</t>
  </si>
  <si>
    <t>NYDIA</t>
  </si>
  <si>
    <t>STEVEN &amp; NYDIA TUY</t>
  </si>
  <si>
    <t xml:space="preserve">1683 E LAREDO ST </t>
  </si>
  <si>
    <t>SUPERSTITION RANCH PARCEL 5B</t>
  </si>
  <si>
    <t>R &amp; G DEV LLC DEV</t>
  </si>
  <si>
    <t>TUY STEVEN S &amp; NYDIA J</t>
  </si>
  <si>
    <t>IWAN</t>
  </si>
  <si>
    <t>SUMANTRI</t>
  </si>
  <si>
    <t>PUTRIADE</t>
  </si>
  <si>
    <t>IWAN &amp; PUTRIADE SUMANTRI</t>
  </si>
  <si>
    <t xml:space="preserve">7226 E DIAMOND ST </t>
  </si>
  <si>
    <t>NEW PAPAGO PARKWAY 9</t>
  </si>
  <si>
    <t>7226 EQUITIES LLC</t>
  </si>
  <si>
    <t>SUMANTRI IWAN &amp; PUTRIADE</t>
  </si>
  <si>
    <t>IWAN SUMANTRI</t>
  </si>
  <si>
    <t>PUTRIADE SUMANTRI</t>
  </si>
  <si>
    <t>MCCROSKEY</t>
  </si>
  <si>
    <t>MONIKA</t>
  </si>
  <si>
    <t>JAMES &amp; MONIKA MCCROSKEY</t>
  </si>
  <si>
    <t xml:space="preserve">7740 E ROVEY AVE </t>
  </si>
  <si>
    <t>CASA DEL MAR LOT 1-77</t>
  </si>
  <si>
    <t>CASA DEL MAR</t>
  </si>
  <si>
    <t>CALDWELL TWILA LIVING TRUST</t>
  </si>
  <si>
    <t>MCCROSKEY JAMES</t>
  </si>
  <si>
    <t>MCCROSKEY MONIKA</t>
  </si>
  <si>
    <t>POST</t>
  </si>
  <si>
    <t>JAMES POST</t>
  </si>
  <si>
    <t xml:space="preserve">15323 W CALAVAR RD </t>
  </si>
  <si>
    <t>WHITMAN JESSICA L &amp; THOMAS</t>
  </si>
  <si>
    <t>POST JAMES D</t>
  </si>
  <si>
    <t>WILLIAM &amp; DEBORAH HARRISON</t>
  </si>
  <si>
    <t xml:space="preserve">15734 W LAUREL LN </t>
  </si>
  <si>
    <t>WILLIAM H HARRISON</t>
  </si>
  <si>
    <t>DEBORAH E HARRISON</t>
  </si>
  <si>
    <t>JESSE &amp; ASHLEY ADKINS</t>
  </si>
  <si>
    <t xml:space="preserve">8661 E NATAL AVE </t>
  </si>
  <si>
    <t>ADKINS JESSE</t>
  </si>
  <si>
    <t>LIMON</t>
  </si>
  <si>
    <t>DARCY</t>
  </si>
  <si>
    <t>FRANK LIMON &amp; LYN DARCY</t>
  </si>
  <si>
    <t xml:space="preserve">25941 W MOHAWK LN </t>
  </si>
  <si>
    <t>LIMON FRANK &amp; DARCY LYN</t>
  </si>
  <si>
    <t>SPARCK</t>
  </si>
  <si>
    <t>TERRY WALKER &amp; STEPHANIE SPARCK</t>
  </si>
  <si>
    <t xml:space="preserve">4311 E SWILLING RD </t>
  </si>
  <si>
    <t>DESERT RIDGE PARCEL 7.10 AMD</t>
  </si>
  <si>
    <t>ROBERTSON JOHN W</t>
  </si>
  <si>
    <t>WALKER TERRY</t>
  </si>
  <si>
    <t>SPARCK STEPHANIE</t>
  </si>
  <si>
    <t>WILBUR</t>
  </si>
  <si>
    <t>GRAYCE</t>
  </si>
  <si>
    <t>WILBUR &amp; GRAYCE KELLOGG</t>
  </si>
  <si>
    <t xml:space="preserve">331 N REDROCK ST </t>
  </si>
  <si>
    <t>ESQUIRE VILLAGE AMD</t>
  </si>
  <si>
    <t>ESQUIRE VILLAGE</t>
  </si>
  <si>
    <t>GOMEZ LUIS C</t>
  </si>
  <si>
    <t>KELLOGG WILBUR E</t>
  </si>
  <si>
    <t>URSULA</t>
  </si>
  <si>
    <t>NORMAN &amp; URSULA WARNER</t>
  </si>
  <si>
    <t xml:space="preserve">19601 W LINCOLN ST </t>
  </si>
  <si>
    <t>WARNER NORMAN &amp; URSULA D</t>
  </si>
  <si>
    <t>POLLETT</t>
  </si>
  <si>
    <t>KEITH &amp; MICHELLE POLLETT</t>
  </si>
  <si>
    <t xml:space="preserve">1653 W ENCINAS ST </t>
  </si>
  <si>
    <t>EL DORADO LAKES GOLF COMMUNITY TRACT C</t>
  </si>
  <si>
    <t>MEYER KEITH</t>
  </si>
  <si>
    <t>KEITH D POLLETT</t>
  </si>
  <si>
    <t>MICHELLE F POLLETT</t>
  </si>
  <si>
    <t>BIGGS</t>
  </si>
  <si>
    <t>TAYLOR &amp; TAMI BIGGS</t>
  </si>
  <si>
    <t xml:space="preserve">2609 W VIA VIS </t>
  </si>
  <si>
    <t>SLW TRUST</t>
  </si>
  <si>
    <t>BIGGS TAYLOR M &amp; TAMI J</t>
  </si>
  <si>
    <t>BROZ</t>
  </si>
  <si>
    <t>ROBIN BROZ</t>
  </si>
  <si>
    <t xml:space="preserve">7163 W WINDROSE DR </t>
  </si>
  <si>
    <t>RINKE MICHAEL &amp; KIM TRUST</t>
  </si>
  <si>
    <t>BROZ ROBIN</t>
  </si>
  <si>
    <t>DUSTIN RILEY LIVING TRUST</t>
  </si>
  <si>
    <t>DUSTIN RILEY</t>
  </si>
  <si>
    <t xml:space="preserve">8143 E MICHELLE DR </t>
  </si>
  <si>
    <t>SCOTTSDALE STONEBROOK 2</t>
  </si>
  <si>
    <t>SCOTTSDALE STONEBROOK NORTH</t>
  </si>
  <si>
    <t>GALAS KENNETH</t>
  </si>
  <si>
    <t>RILEY DUSTIN</t>
  </si>
  <si>
    <t>ZACKERY</t>
  </si>
  <si>
    <t>ZACKERY OLSON</t>
  </si>
  <si>
    <t xml:space="preserve">3654 E CASSIA LN </t>
  </si>
  <si>
    <t>OLSON ZACKERY B</t>
  </si>
  <si>
    <t>LUGER</t>
  </si>
  <si>
    <t>RANDY &amp; COLLEEN LUGER</t>
  </si>
  <si>
    <t xml:space="preserve">2926 E ELMWOOD PL </t>
  </si>
  <si>
    <t>KOCH BRIAN</t>
  </si>
  <si>
    <t>LUGER RANDY</t>
  </si>
  <si>
    <t>FREES</t>
  </si>
  <si>
    <t>JAMES FREES</t>
  </si>
  <si>
    <t xml:space="preserve">12808 S 40TH PL </t>
  </si>
  <si>
    <t>AHWATUKEE RS 9 LOT 5000-5136 TR A-C</t>
  </si>
  <si>
    <t>INDIAN PLAZA</t>
  </si>
  <si>
    <t>BECKMAN FRANK</t>
  </si>
  <si>
    <t>FREES JAMES</t>
  </si>
  <si>
    <t>CALEB</t>
  </si>
  <si>
    <t>CALEB ROGERS</t>
  </si>
  <si>
    <t xml:space="preserve">907 E ENCINAS AVE </t>
  </si>
  <si>
    <t>HORTON RANDY B &amp; LAURETTA B</t>
  </si>
  <si>
    <t>CALEB W ROGERS</t>
  </si>
  <si>
    <t>GREGORY &amp; ALLISON JOHNSON</t>
  </si>
  <si>
    <t xml:space="preserve">2146 S SOUTHWIND DR </t>
  </si>
  <si>
    <t>CASAGRANDE GINA M</t>
  </si>
  <si>
    <t>WESTSTAR PACIFIC MTG</t>
  </si>
  <si>
    <t>JOHNSON GREGORY ALLAN &amp; ALLIS</t>
  </si>
  <si>
    <t>DODD</t>
  </si>
  <si>
    <t>MCDONNELL</t>
  </si>
  <si>
    <t>DODD MCDONNELL</t>
  </si>
  <si>
    <t xml:space="preserve">6519 E HUBBELL ST </t>
  </si>
  <si>
    <t>HY-VIEW  4</t>
  </si>
  <si>
    <t>HY-VIEW</t>
  </si>
  <si>
    <t>LYDECKER FAMILY TRUST</t>
  </si>
  <si>
    <t>MCDONNELL DODD M</t>
  </si>
  <si>
    <t>DYRE</t>
  </si>
  <si>
    <t>THOMAS &amp; SANDRA DYRE</t>
  </si>
  <si>
    <t xml:space="preserve">21128 E MISTY LN </t>
  </si>
  <si>
    <t>HASTINGS FARMS PARCEL I</t>
  </si>
  <si>
    <t>DYRE THOMAS F &amp; SANDRA R</t>
  </si>
  <si>
    <t>THOMAS F DYRE</t>
  </si>
  <si>
    <t>SANDRA R DYRE</t>
  </si>
  <si>
    <t>LYTRICIA</t>
  </si>
  <si>
    <t>LYTRICIA &amp; DARRELL SMITH</t>
  </si>
  <si>
    <t xml:space="preserve">3238 E CYPRESS ST </t>
  </si>
  <si>
    <t>WESTWARD HO MANOR 5</t>
  </si>
  <si>
    <t>WESTWARD HO MANOR</t>
  </si>
  <si>
    <t>MALDONADO ARTURO &amp; EUNICE</t>
  </si>
  <si>
    <t>SMITH LYTRICIA B &amp; DARRELL M</t>
  </si>
  <si>
    <t>ROEL</t>
  </si>
  <si>
    <t>ZAMORA</t>
  </si>
  <si>
    <t>ROEL &amp; GLORIA ZAMORA</t>
  </si>
  <si>
    <t xml:space="preserve">15031 N HANA MAUI DR </t>
  </si>
  <si>
    <t>APOLLO ESTATES 2</t>
  </si>
  <si>
    <t>APOLLO ESTATES</t>
  </si>
  <si>
    <t>WENDEL PHIL &amp; MARLI</t>
  </si>
  <si>
    <t>ZAMORA ROEL &amp; GLORIA F</t>
  </si>
  <si>
    <t>OLESEN</t>
  </si>
  <si>
    <t>DAVID &amp; MICHELLE OLESEN</t>
  </si>
  <si>
    <t xml:space="preserve">6016 W SACK DR </t>
  </si>
  <si>
    <t>COPPERCREST</t>
  </si>
  <si>
    <t>HEARTHSTONE PLACE-ESTATES</t>
  </si>
  <si>
    <t>WATTERMAN MARY N &amp; KYLE J</t>
  </si>
  <si>
    <t>OLESEN DAVID G &amp; MICHELLE L</t>
  </si>
  <si>
    <t>HOLLAND</t>
  </si>
  <si>
    <t>MICHAEL &amp; COURTNEY HOLLAND</t>
  </si>
  <si>
    <t xml:space="preserve">5310 E HOBART ST </t>
  </si>
  <si>
    <t>SCOINS KIRSTEN L</t>
  </si>
  <si>
    <t>HOLLAND MICHAEL</t>
  </si>
  <si>
    <t>BRIAN &amp; LORI MCCABE</t>
  </si>
  <si>
    <t xml:space="preserve">902 E BETSY LN </t>
  </si>
  <si>
    <t>CARRERA MICHAEL &amp; HALLIE</t>
  </si>
  <si>
    <t>BRIAN W MCCABE</t>
  </si>
  <si>
    <t>LORI MCCABE</t>
  </si>
  <si>
    <t>BURCHENSON</t>
  </si>
  <si>
    <t>CASANDRA</t>
  </si>
  <si>
    <t>BURCHENSON &amp; CASANDRA BRYANT</t>
  </si>
  <si>
    <t xml:space="preserve">1419 E BOSTON ST </t>
  </si>
  <si>
    <t>SPECTRUM AT VAL VISTA PARCEL 5 AMD</t>
  </si>
  <si>
    <t>COUNTRY GATE</t>
  </si>
  <si>
    <t>POULSEN GREG &amp; LARISA</t>
  </si>
  <si>
    <t>BURCHENSON DEAN &amp; CASANDRA B</t>
  </si>
  <si>
    <t>EDDIE &amp; SANDRA ROBINSON</t>
  </si>
  <si>
    <t xml:space="preserve">10912 S TURTLE DOVE DR </t>
  </si>
  <si>
    <t>STRAKA DONALD J</t>
  </si>
  <si>
    <t>ROBINSON EDDIE &amp; SANDRA F</t>
  </si>
  <si>
    <t>DYKSTRA</t>
  </si>
  <si>
    <t>MILAGRO</t>
  </si>
  <si>
    <t>ROBERT &amp; MILAGRO DYKSTRA</t>
  </si>
  <si>
    <t xml:space="preserve">18120 E VENCINO ST </t>
  </si>
  <si>
    <t>CHANDLER MESA RANCHES</t>
  </si>
  <si>
    <t>BOOKER FAMILY LIVING TRUST</t>
  </si>
  <si>
    <t>DYKSTRA ROBERT R &amp; MILAGRO C</t>
  </si>
  <si>
    <t>RITZ-TYLER</t>
  </si>
  <si>
    <t>SADANG</t>
  </si>
  <si>
    <t>RITZ-TYLER SADANG</t>
  </si>
  <si>
    <t xml:space="preserve">16516 E HORNED OWL TRL </t>
  </si>
  <si>
    <t>RITZ-TYLER T SADANG</t>
  </si>
  <si>
    <t>CRAIG E RUSSELL REVOCABLE TRUST</t>
  </si>
  <si>
    <t>CRAIG RUSSELL</t>
  </si>
  <si>
    <t xml:space="preserve">29103 N 152ND DR </t>
  </si>
  <si>
    <t>SCHLOSSER EDWARD D &amp; BONNIE</t>
  </si>
  <si>
    <t>RUSSELL CRAIG E TRUST</t>
  </si>
  <si>
    <t>HARNISH RONALD &amp; LORI A F TRUS</t>
  </si>
  <si>
    <t>HARNISH</t>
  </si>
  <si>
    <t>&amp; LORI HARNISHRONALD</t>
  </si>
  <si>
    <t xml:space="preserve">10490 E DESERT COVE AVE </t>
  </si>
  <si>
    <t>PRESTON HILLS UNIT 1 LOT 1-75 TR A-F</t>
  </si>
  <si>
    <t>PRESTON HILLS</t>
  </si>
  <si>
    <t>MILLAR ROB &amp; PAMELA</t>
  </si>
  <si>
    <t>HARNISH RONALD &amp; LORI A TRUST</t>
  </si>
  <si>
    <t>HARNISH RONALD L &amp; LORI A K</t>
  </si>
  <si>
    <t>RONALD L HARNISH</t>
  </si>
  <si>
    <t>LORI A HARNISH</t>
  </si>
  <si>
    <t>MOMBERGER</t>
  </si>
  <si>
    <t>CRAIG &amp; KATHLEEN MOMBERGER</t>
  </si>
  <si>
    <t xml:space="preserve">7185 W AVENIDA DEL SOL </t>
  </si>
  <si>
    <t>SONI FAMILY TRUST</t>
  </si>
  <si>
    <t>MOMBERGER CRAIG A &amp; KATHLEEN</t>
  </si>
  <si>
    <t>VENEDA</t>
  </si>
  <si>
    <t>POLITE</t>
  </si>
  <si>
    <t>VENEDA POLITE</t>
  </si>
  <si>
    <t xml:space="preserve">5117 E MOUNTAIN VIEW RD </t>
  </si>
  <si>
    <t>TATUM GARDEN ESTATES 2</t>
  </si>
  <si>
    <t>TATUM GARDEN ESTATES</t>
  </si>
  <si>
    <t>SUH EDWARD B</t>
  </si>
  <si>
    <t>POLITE VENEDA T</t>
  </si>
  <si>
    <t>VENEDA T POLITE</t>
  </si>
  <si>
    <t>BARNARD</t>
  </si>
  <si>
    <t>DOUGLAS BARNARD</t>
  </si>
  <si>
    <t xml:space="preserve">4410 S PECAN DR </t>
  </si>
  <si>
    <t>WATERMARK AT OCOTILLO</t>
  </si>
  <si>
    <t>AMBROSIUS JENNIFER J</t>
  </si>
  <si>
    <t>BARNARD DOUGLAS M</t>
  </si>
  <si>
    <t>EARL FAMILY TRUST</t>
  </si>
  <si>
    <t xml:space="preserve">10798 E SCOPA TRL </t>
  </si>
  <si>
    <t>MIRABEL VILLAGE 3</t>
  </si>
  <si>
    <t>EARL CHRISTOPHER R &amp; J S TRUST</t>
  </si>
  <si>
    <t>ASHBURN</t>
  </si>
  <si>
    <t>WILLIAM &amp; MICHELE ASHBURN</t>
  </si>
  <si>
    <t xml:space="preserve">4685 E LANGUID LN </t>
  </si>
  <si>
    <t>ESTADO DE CHOLLA PHASE 2</t>
  </si>
  <si>
    <t>ESTADO DE CHOLLA</t>
  </si>
  <si>
    <t>ALLEN NELSON &amp; MARCEY</t>
  </si>
  <si>
    <t>ASHBURN WILLIAM E &amp; MICHELE L</t>
  </si>
  <si>
    <t>ASHBURN WILLIAM E JR &amp; MICHELE L</t>
  </si>
  <si>
    <t>BLEAU &amp; JACOBS FAMILY TRUST</t>
  </si>
  <si>
    <t>BLEAU &amp; JACOBS</t>
  </si>
  <si>
    <t xml:space="preserve">9446 N SUNSET RDG </t>
  </si>
  <si>
    <t>EAGLE MOUNTAIN 12 LOTS 6 7 &amp; 8</t>
  </si>
  <si>
    <t>JOSEF SUZANNE GST TRUST</t>
  </si>
  <si>
    <t>BLEAU OF JACOBS FAMILY TRUST</t>
  </si>
  <si>
    <t>ELDREDGE</t>
  </si>
  <si>
    <t>SCOTT &amp; ALISON ELDREDGE</t>
  </si>
  <si>
    <t xml:space="preserve">15339 W JACKSON ST </t>
  </si>
  <si>
    <t>CENTERRA</t>
  </si>
  <si>
    <t>WEST VALLEY CAPITAL LLC</t>
  </si>
  <si>
    <t>ALEXANDRIA VA 22313</t>
  </si>
  <si>
    <t>ELDREDGE SCOTT C</t>
  </si>
  <si>
    <t>MATHEWS</t>
  </si>
  <si>
    <t>JAY &amp; BRENDA MATHEWS</t>
  </si>
  <si>
    <t xml:space="preserve">45423 N 18TH ST </t>
  </si>
  <si>
    <t>GRIFFITHS MARCELLUS C &amp; LIND</t>
  </si>
  <si>
    <t>MATHEWS JAY C &amp; BRENDA L</t>
  </si>
  <si>
    <t>JAY C MATHEWS</t>
  </si>
  <si>
    <t>BRENDA L MATHEWS</t>
  </si>
  <si>
    <t>KRISTIN LARSON</t>
  </si>
  <si>
    <t xml:space="preserve">15731 E PALOMINO BLVD </t>
  </si>
  <si>
    <t>BLAND DONALD E</t>
  </si>
  <si>
    <t>LARSON KRISTIN</t>
  </si>
  <si>
    <t>WILLIAM &amp; KAREN DEVLIN</t>
  </si>
  <si>
    <t xml:space="preserve">17220 E HILLCREST DR </t>
  </si>
  <si>
    <t>SUNRISE POINT</t>
  </si>
  <si>
    <t>EICHAKER ROBERT</t>
  </si>
  <si>
    <t>DEVLIN WILLIAM &amp; KAREN</t>
  </si>
  <si>
    <t>MAROLDA</t>
  </si>
  <si>
    <t>JACOB &amp; KENDALL MAROLDA</t>
  </si>
  <si>
    <t xml:space="preserve">6376 W LOUISE DR </t>
  </si>
  <si>
    <t>HALL AUBREY L</t>
  </si>
  <si>
    <t>JACOB J MAROLDA</t>
  </si>
  <si>
    <t>KENDALL K MAROLDA</t>
  </si>
  <si>
    <t>MICHAEL &amp; ANGELA WILSON</t>
  </si>
  <si>
    <t xml:space="preserve">22249 E DESERT HILLS CT </t>
  </si>
  <si>
    <t>WILSON MICHAEL J</t>
  </si>
  <si>
    <t>KOEP FAMILY TRUST</t>
  </si>
  <si>
    <t>KOEP</t>
  </si>
  <si>
    <t xml:space="preserve">3008 W STEINBECK CT </t>
  </si>
  <si>
    <t>ANTHEM UNIT 4</t>
  </si>
  <si>
    <t>MCCONAHY CHRISTOPHER J</t>
  </si>
  <si>
    <t>KOEP MICHAEL &amp; CAROLYN</t>
  </si>
  <si>
    <t>DENNEN-DAILEY</t>
  </si>
  <si>
    <t>JOHN DAILEY &amp; JANICE DENNEN-DAILEY</t>
  </si>
  <si>
    <t xml:space="preserve">14002 W TRAIL RIDGE DR </t>
  </si>
  <si>
    <t>REHORST ROBERT L</t>
  </si>
  <si>
    <t>DAILEY JOHN W</t>
  </si>
  <si>
    <t>DENNEN-DAILEY JANICE</t>
  </si>
  <si>
    <t>SHARFNER</t>
  </si>
  <si>
    <t>CHRISTOPHER SHARFNER</t>
  </si>
  <si>
    <t xml:space="preserve">12053 W SKINNER DR </t>
  </si>
  <si>
    <t>VISTANCIA VILLAGE A PARCEL A19</t>
  </si>
  <si>
    <t>TW LEWIS-RENTAL 1 LLC</t>
  </si>
  <si>
    <t>SHARFNER CHRISTOPHER L</t>
  </si>
  <si>
    <t>NATIONS</t>
  </si>
  <si>
    <t>LORETTA</t>
  </si>
  <si>
    <t>TOM &amp; LORETTA NATIONS</t>
  </si>
  <si>
    <t xml:space="preserve">15803 E RICHWOOD AVE </t>
  </si>
  <si>
    <t>NOBLE ANDREA TRUSTEE T</t>
  </si>
  <si>
    <t>NATIONS TOM J &amp; LORETTA M</t>
  </si>
  <si>
    <t>DWAIN</t>
  </si>
  <si>
    <t>PICKENS</t>
  </si>
  <si>
    <t>DWAIN PICKENS</t>
  </si>
  <si>
    <t xml:space="preserve">5910 W GAMBIT TRL </t>
  </si>
  <si>
    <t>CONSULTING RESOURCES LLC</t>
  </si>
  <si>
    <t>PICKENS DWAIN D</t>
  </si>
  <si>
    <t>ROSENFELD</t>
  </si>
  <si>
    <t>DAVID &amp; KIM ROSENFELD</t>
  </si>
  <si>
    <t xml:space="preserve">2876 E BLUE SAGE RD </t>
  </si>
  <si>
    <t>PRICE LEO B</t>
  </si>
  <si>
    <t>ROSENFELD DAVID L &amp; KIM</t>
  </si>
  <si>
    <t>JARVIS</t>
  </si>
  <si>
    <t>GRAYS</t>
  </si>
  <si>
    <t>JARVIS &amp; BARBARA GRAYS</t>
  </si>
  <si>
    <t xml:space="preserve">6205 W GAMBIT TRL </t>
  </si>
  <si>
    <t>AVALOS CLAUDIA A</t>
  </si>
  <si>
    <t>GRAYS JARVIS &amp; BARBARA</t>
  </si>
  <si>
    <t>PILLER</t>
  </si>
  <si>
    <t>CHIARA</t>
  </si>
  <si>
    <t>ROBERT &amp; CHIARA PILLER</t>
  </si>
  <si>
    <t xml:space="preserve">867 S ADAM WAY </t>
  </si>
  <si>
    <t>COOLEY STATION NORTH PARCEL 1</t>
  </si>
  <si>
    <t>MTGR 4 LLC</t>
  </si>
  <si>
    <t>PILLER ROBERT J &amp; CHIARA V</t>
  </si>
  <si>
    <t>DOBROWOLSKI</t>
  </si>
  <si>
    <t>MICHAEL &amp; PAULA DOBROWOLSKI</t>
  </si>
  <si>
    <t xml:space="preserve">20436 E PALOMINO DR </t>
  </si>
  <si>
    <t>WATKINS NICHOLAS L &amp; LACI E</t>
  </si>
  <si>
    <t>DOBROWOLSKI MICHAEL E &amp; PAULA</t>
  </si>
  <si>
    <t>ALEJO</t>
  </si>
  <si>
    <t>INES</t>
  </si>
  <si>
    <t>RON &amp; INES ALEJO</t>
  </si>
  <si>
    <t xml:space="preserve">6645 W ROSE GARDEN LN </t>
  </si>
  <si>
    <t>ARROWHEAD RANCH PARCEL 10</t>
  </si>
  <si>
    <t>ARROWHEAD RANCH REFLECTIONS</t>
  </si>
  <si>
    <t>6645 W ROSE GARDEN LANE LL</t>
  </si>
  <si>
    <t>ALEJO RON</t>
  </si>
  <si>
    <t>INES KRISTINE</t>
  </si>
  <si>
    <t>CAUGHRAN</t>
  </si>
  <si>
    <t>MARK &amp; PATRICIA CAUGHRAN</t>
  </si>
  <si>
    <t xml:space="preserve">18277 W BECK LN </t>
  </si>
  <si>
    <t>SURPRISE FARMS PHASE 4 PARCEL 2</t>
  </si>
  <si>
    <t>SIGNATURE</t>
  </si>
  <si>
    <t>OLSEN JASON B &amp; JENNIFER A</t>
  </si>
  <si>
    <t>CAUGHRAN MARK K &amp; PATRICIA E</t>
  </si>
  <si>
    <t>TREFNY</t>
  </si>
  <si>
    <t>KEYAN</t>
  </si>
  <si>
    <t>JENAI</t>
  </si>
  <si>
    <t>TREFNY &amp; JENAI KEYAN</t>
  </si>
  <si>
    <t xml:space="preserve">18808 N 67TH DR </t>
  </si>
  <si>
    <t>MOSKOP RYAN C</t>
  </si>
  <si>
    <t>TREFNY SCOTT F &amp; JENAI K</t>
  </si>
  <si>
    <t>CORDOVA</t>
  </si>
  <si>
    <t>ANGEL &amp; DENISE CORDOVA</t>
  </si>
  <si>
    <t xml:space="preserve">4430 S RIO DR </t>
  </si>
  <si>
    <t>NORTH BARRINGTON</t>
  </si>
  <si>
    <t>SEGUI ELISEO</t>
  </si>
  <si>
    <t>DIRECT MTG WHOLESALE CORP</t>
  </si>
  <si>
    <t>CORDOVA ANGEL</t>
  </si>
  <si>
    <t>RIFFELL</t>
  </si>
  <si>
    <t>RIFFELL &amp; SARAH CATHERINE</t>
  </si>
  <si>
    <t xml:space="preserve">5137 S MARIPOSA DR </t>
  </si>
  <si>
    <t>RIFFELL MICHAEL C &amp; SARAH C</t>
  </si>
  <si>
    <t>TRUST OF JAMES WADE AND MARLENE EMILY NORMARK</t>
  </si>
  <si>
    <t xml:space="preserve">4743 E RAKESTRAW LN </t>
  </si>
  <si>
    <t>TRILOGY UNIT 9 PHASE A</t>
  </si>
  <si>
    <t>BROWN SHARON K TRUSTEE T</t>
  </si>
  <si>
    <t>NORMARK JAMES &amp; MARLENE</t>
  </si>
  <si>
    <t>KEITH MARQUIS</t>
  </si>
  <si>
    <t xml:space="preserve">7733 E SAN MIGUEL AVE </t>
  </si>
  <si>
    <t>PARK LANE THREE LOT 65-103</t>
  </si>
  <si>
    <t>PARK LANE</t>
  </si>
  <si>
    <t>MIKESELL LEROY G</t>
  </si>
  <si>
    <t>MARQUIS KEITH A</t>
  </si>
  <si>
    <t>GRIMM</t>
  </si>
  <si>
    <t>SAMUEL &amp; KIMBERLY GRIMM</t>
  </si>
  <si>
    <t xml:space="preserve">299 E HORSESHOE AVE </t>
  </si>
  <si>
    <t>SELOVER KEVIN R &amp; VICKI L</t>
  </si>
  <si>
    <t>GRIMM SAMUEL &amp; KIMBERLY J</t>
  </si>
  <si>
    <t>JAMES CASTILLO</t>
  </si>
  <si>
    <t xml:space="preserve">4026 E TAMAYA ST </t>
  </si>
  <si>
    <t>AHWATUKEE FS  4</t>
  </si>
  <si>
    <t>TIMBERLAKE PINES</t>
  </si>
  <si>
    <t>ROSELL DAVID F</t>
  </si>
  <si>
    <t>CASTILLO JAMES P</t>
  </si>
  <si>
    <t>MCLANE</t>
  </si>
  <si>
    <t>MILES MCLANE</t>
  </si>
  <si>
    <t xml:space="preserve">15633 W MESCAL ST </t>
  </si>
  <si>
    <t>GREER RANCH SOUTH PARCEL 12</t>
  </si>
  <si>
    <t>SMITH LYNN A</t>
  </si>
  <si>
    <t>MCLANE MILES RYAN</t>
  </si>
  <si>
    <t>LEBANS</t>
  </si>
  <si>
    <t>MARK &amp; SUZANNE LEBANS</t>
  </si>
  <si>
    <t xml:space="preserve">18745 E DRUIDS GLEN RD </t>
  </si>
  <si>
    <t>ROSCISZEWSKI WILLIAM A</t>
  </si>
  <si>
    <t>LEBANS MARK W</t>
  </si>
  <si>
    <t>FRANCISCO &amp; CATHERINE GONZALEZ</t>
  </si>
  <si>
    <t xml:space="preserve">28528 N BUSH ST </t>
  </si>
  <si>
    <t xml:space="preserve">PO BOX 330 </t>
  </si>
  <si>
    <t>VIDA DEL SOL ESTATES UNIT 1 AMD</t>
  </si>
  <si>
    <t>VIDA DEL SOL ESTATES</t>
  </si>
  <si>
    <t>FORTIFF LLC</t>
  </si>
  <si>
    <t>GONZALEZ FRANCISCO &amp; CATHERINE</t>
  </si>
  <si>
    <t>CORRY</t>
  </si>
  <si>
    <t>DANIEL &amp; CORRY JOHNSON</t>
  </si>
  <si>
    <t xml:space="preserve">35743 N 31ST AVE </t>
  </si>
  <si>
    <t>TRAMONTO PARCEL W-21</t>
  </si>
  <si>
    <t>BURKE WILLIAM J</t>
  </si>
  <si>
    <t>JOHNSON DANIEL I</t>
  </si>
  <si>
    <t>AUDETTE CORRY E</t>
  </si>
  <si>
    <t>KANE &amp; CHRISTINE ADKINS</t>
  </si>
  <si>
    <t xml:space="preserve">11413 E SHEPPERD AVE </t>
  </si>
  <si>
    <t>IMPECOVEN JANE</t>
  </si>
  <si>
    <t>ADKINS KANE</t>
  </si>
  <si>
    <t>KANE C ADKINS</t>
  </si>
  <si>
    <t>CHRISTINE D ADKINS</t>
  </si>
  <si>
    <t>KENNEDY</t>
  </si>
  <si>
    <t>DAVID &amp; CARMELA KENNEDY</t>
  </si>
  <si>
    <t xml:space="preserve">13213 W COTTONTAIL LN </t>
  </si>
  <si>
    <t>KENNEDY DAVID R &amp; CARMELA E</t>
  </si>
  <si>
    <t>JASON &amp; NICOLE KONRAD</t>
  </si>
  <si>
    <t xml:space="preserve">12437 S KI DR </t>
  </si>
  <si>
    <t>MOREY LISA R</t>
  </si>
  <si>
    <t>KONRAD JASON W &amp; NICOLE</t>
  </si>
  <si>
    <t>LANGFORD FAMILY LIVING TRUST</t>
  </si>
  <si>
    <t>LANGFORD</t>
  </si>
  <si>
    <t xml:space="preserve">4838 E SUNRISE DR </t>
  </si>
  <si>
    <t xml:space="preserve">6738 E ARDEN CT </t>
  </si>
  <si>
    <t>PRESCOTT VALLEY</t>
  </si>
  <si>
    <t>NUFF SAID ENTS LLC</t>
  </si>
  <si>
    <t>BEARD DREW</t>
  </si>
  <si>
    <t>JAMES RUSSO</t>
  </si>
  <si>
    <t xml:space="preserve">9806 W EVERGREEN DR </t>
  </si>
  <si>
    <t>OTTEN CAROL M</t>
  </si>
  <si>
    <t>RUSSO JAMES A</t>
  </si>
  <si>
    <t>SHON</t>
  </si>
  <si>
    <t>ERICKSON</t>
  </si>
  <si>
    <t>SHON ERICKSON</t>
  </si>
  <si>
    <t xml:space="preserve">4518 E HOBART ST </t>
  </si>
  <si>
    <t>FALCON ESTATES  LOTS 25-72  105-152</t>
  </si>
  <si>
    <t>PRINCESS PARK</t>
  </si>
  <si>
    <t>DAVOY PROPERTIES LLC</t>
  </si>
  <si>
    <t>ERICKSON SHON</t>
  </si>
  <si>
    <t>DYKEMAN</t>
  </si>
  <si>
    <t>ARTHUR &amp; JUDITH DYKEMAN</t>
  </si>
  <si>
    <t xml:space="preserve">10622 W ANGELS LN </t>
  </si>
  <si>
    <t>BRYAN CLARICE</t>
  </si>
  <si>
    <t>DYKEMAN AURTHUR H &amp; JUDITH A</t>
  </si>
  <si>
    <t>LONETTI</t>
  </si>
  <si>
    <t>DANIEL &amp; ELIZABETH LONETTI</t>
  </si>
  <si>
    <t xml:space="preserve">6631 N 13TH ST </t>
  </si>
  <si>
    <t>OCOTILLO ESTATES</t>
  </si>
  <si>
    <t>HOLLAND JUDAH Z &amp; SIMA</t>
  </si>
  <si>
    <t>LONETTI DANIEL A</t>
  </si>
  <si>
    <t>LONETTI DANIEL A &amp; ELIZABETH</t>
  </si>
  <si>
    <t>GRAHAM-ARMSTRONG</t>
  </si>
  <si>
    <t>DAVID &amp; MICHELLE GRAHAM-ARMSTRONG</t>
  </si>
  <si>
    <t xml:space="preserve">9349 E FAIRWAY BLVD </t>
  </si>
  <si>
    <t>SUN LAKES  7  LOT 1-88 &amp; TR A</t>
  </si>
  <si>
    <t>STEADMAN BARBARA L T T</t>
  </si>
  <si>
    <t>GRAHAM-ARMSTRONG DAVID &amp; MICH</t>
  </si>
  <si>
    <t>JUAN GARCIA</t>
  </si>
  <si>
    <t xml:space="preserve">5726 W T RYAN LN </t>
  </si>
  <si>
    <t>CHEN QI H</t>
  </si>
  <si>
    <t>GARCIA JUAN F</t>
  </si>
  <si>
    <t>MAYER</t>
  </si>
  <si>
    <t>JAMES MAYER</t>
  </si>
  <si>
    <t xml:space="preserve">17434 N CONQUISTADOR DR </t>
  </si>
  <si>
    <t>GRENIER JOAN</t>
  </si>
  <si>
    <t>MAYER JAMES A</t>
  </si>
  <si>
    <t>ANTON</t>
  </si>
  <si>
    <t>PESTKA</t>
  </si>
  <si>
    <t>ANTON PESTKA</t>
  </si>
  <si>
    <t xml:space="preserve">1322 S 167TH DR </t>
  </si>
  <si>
    <t>WILLIAMS JOSEPH A</t>
  </si>
  <si>
    <t>PESTKA ANTON A</t>
  </si>
  <si>
    <t>EVERITT</t>
  </si>
  <si>
    <t>DAVID &amp; JOANN EVERITT</t>
  </si>
  <si>
    <t xml:space="preserve">2507 W LEWIS AND CLARK TRL </t>
  </si>
  <si>
    <t>ANTHEM UNIT 35</t>
  </si>
  <si>
    <t>BERMAN AMI &amp; BRENDA TRUST</t>
  </si>
  <si>
    <t>EVERITT DAVID E SR &amp; JOANN</t>
  </si>
  <si>
    <t>CATINA</t>
  </si>
  <si>
    <t>JOSE &amp; CATINA HOFFMAN</t>
  </si>
  <si>
    <t xml:space="preserve">13596 W ALVARADO DR </t>
  </si>
  <si>
    <t>WURST THOMAS J</t>
  </si>
  <si>
    <t>HOFFMAN JOSE M &amp; CATINA D</t>
  </si>
  <si>
    <t>BROOKS &amp; VICKIE LYNN</t>
  </si>
  <si>
    <t xml:space="preserve">15896 N 182ND AVE </t>
  </si>
  <si>
    <t>SNOWDEN WAYNE A</t>
  </si>
  <si>
    <t>BROOKS RICKY HERBERT &amp; VICKIE LYNN</t>
  </si>
  <si>
    <t>JAMES FLORA</t>
  </si>
  <si>
    <t xml:space="preserve">7426 W MELINDA LN </t>
  </si>
  <si>
    <t>BROWN JAMES P &amp; KRISTINE K</t>
  </si>
  <si>
    <t>FLORA JAMES</t>
  </si>
  <si>
    <t>MORALES-PESEK LIVING TRUST</t>
  </si>
  <si>
    <t>MORALES-PESEK</t>
  </si>
  <si>
    <t xml:space="preserve">217 E FLEET DR </t>
  </si>
  <si>
    <t>TEMPE GARDENS 16  LOT 1709-1814</t>
  </si>
  <si>
    <t>ARMSTRONG ROBERT L &amp; CAROL</t>
  </si>
  <si>
    <t>MORALES CHARLES</t>
  </si>
  <si>
    <t>PESEK JANEL L</t>
  </si>
  <si>
    <t>ROMAIN</t>
  </si>
  <si>
    <t>JESSICA &amp; LOUIS ROMAIN</t>
  </si>
  <si>
    <t xml:space="preserve">7040 S 30TH ST </t>
  </si>
  <si>
    <t>KOSITZA HARALD R</t>
  </si>
  <si>
    <t>ROMAIN LOUIS K &amp; JESSICA M</t>
  </si>
  <si>
    <t>ROMIAN LOUIS K JR</t>
  </si>
  <si>
    <t>FERNANDEZ &amp; BETTY JEAN</t>
  </si>
  <si>
    <t xml:space="preserve">14721 W PICCADILLY RD </t>
  </si>
  <si>
    <t>BRANTON SUSAN K</t>
  </si>
  <si>
    <t>FERNANDEZ MANUEL K &amp; BETTY J</t>
  </si>
  <si>
    <t>SCHEER</t>
  </si>
  <si>
    <t>ELLYN</t>
  </si>
  <si>
    <t>INEZ</t>
  </si>
  <si>
    <t>ELLYN &amp; ELLYN JO</t>
  </si>
  <si>
    <t xml:space="preserve">11422 S SHOSHONI DR </t>
  </si>
  <si>
    <t>AHWATUKEE RS 4 LOT 1746-1891 &amp; TR A</t>
  </si>
  <si>
    <t>WELLS ROGER &amp; JUDY I</t>
  </si>
  <si>
    <t>SCHEER LAWRENCE E &amp; INEZ J E</t>
  </si>
  <si>
    <t>NHU</t>
  </si>
  <si>
    <t>JONATHAN DANG &amp; NHU NGUYEN</t>
  </si>
  <si>
    <t xml:space="preserve">8012 S 70TH DR </t>
  </si>
  <si>
    <t>LAVEEN MEADOWS PARCEL 14</t>
  </si>
  <si>
    <t>ESCOBEDO ROBERT</t>
  </si>
  <si>
    <t>DANG JONATHAN</t>
  </si>
  <si>
    <t>NGUYEN NHU T</t>
  </si>
  <si>
    <t>FRIZZELL</t>
  </si>
  <si>
    <t>THOMAS &amp; DEBORAH FRIZZELL</t>
  </si>
  <si>
    <t xml:space="preserve">17585 W ASTER DR </t>
  </si>
  <si>
    <t>SANDOE DESIREE Y</t>
  </si>
  <si>
    <t>FRIZZELL THOMAS M</t>
  </si>
  <si>
    <t>HEINZKE</t>
  </si>
  <si>
    <t>UNMI</t>
  </si>
  <si>
    <t>GARY &amp; UNMI HEINZKE</t>
  </si>
  <si>
    <t xml:space="preserve">16181 W CAMERON DR </t>
  </si>
  <si>
    <t>HEINZKE GARY W JR &amp; UNMI</t>
  </si>
  <si>
    <t>PROTHRO</t>
  </si>
  <si>
    <t>PROTHRO &amp; TINA MARIE</t>
  </si>
  <si>
    <t xml:space="preserve">1724 N 157TH DR </t>
  </si>
  <si>
    <t>PROTHRO FREDERICK EARL &amp; TINA</t>
  </si>
  <si>
    <t>FRIEBERG</t>
  </si>
  <si>
    <t>CHRISTOPHER &amp; AMANDA FRIEBERG</t>
  </si>
  <si>
    <t xml:space="preserve">3454 E FLAMINGO CT </t>
  </si>
  <si>
    <t>BRIDGES ERIC &amp; DANVEL</t>
  </si>
  <si>
    <t>FRIEBERG CHRISTOPHER &amp; AMANDA</t>
  </si>
  <si>
    <t>BUTTERFIELD</t>
  </si>
  <si>
    <t>LARRY &amp; LINDA BUTTERFIELD</t>
  </si>
  <si>
    <t xml:space="preserve">11047 W IRMA LN </t>
  </si>
  <si>
    <t>VENTANA LAKES  9 LOT 1-127</t>
  </si>
  <si>
    <t>SCADUTO RICHARD M</t>
  </si>
  <si>
    <t>FIRST INTERSTATE BK</t>
  </si>
  <si>
    <t>BUTTERFIELD LARRY E &amp; LINDA K</t>
  </si>
  <si>
    <t>CODY &amp; EMILY ROGERS</t>
  </si>
  <si>
    <t xml:space="preserve">16352 W CORTEZ ST </t>
  </si>
  <si>
    <t>SKIVER ANDREW W</t>
  </si>
  <si>
    <t>ROGERS CODY J</t>
  </si>
  <si>
    <t>REGINALD &amp; PEARL COOK</t>
  </si>
  <si>
    <t xml:space="preserve">12552 W LLANO DR </t>
  </si>
  <si>
    <t>RITZKE BRENT G G</t>
  </si>
  <si>
    <t>COOK REGINALD L &amp; PEARL E</t>
  </si>
  <si>
    <t>GODDARD</t>
  </si>
  <si>
    <t>JANELLE</t>
  </si>
  <si>
    <t>MARK &amp; JANELLE GODDARD</t>
  </si>
  <si>
    <t xml:space="preserve">15372 W DAHLIA DR </t>
  </si>
  <si>
    <t>FLORES KAYLA</t>
  </si>
  <si>
    <t>GODDARD MARK C</t>
  </si>
  <si>
    <t>DEVOE</t>
  </si>
  <si>
    <t>WILLIAM &amp; SANDRA DEVOE</t>
  </si>
  <si>
    <t xml:space="preserve">3808 W KELTON LN </t>
  </si>
  <si>
    <t>BRANDYWINE 2 LOT 72-156 &amp; TR A-E</t>
  </si>
  <si>
    <t>BRANDYWINE</t>
  </si>
  <si>
    <t>PHANEUF RUSSELL A</t>
  </si>
  <si>
    <t>DEVOE WILLIAM M JR &amp; SANDRA</t>
  </si>
  <si>
    <t>COCA</t>
  </si>
  <si>
    <t>JOSLYN</t>
  </si>
  <si>
    <t>JOSE &amp; JOSLYN COCA</t>
  </si>
  <si>
    <t xml:space="preserve">11154 E SEBRING AVE </t>
  </si>
  <si>
    <t>GOERTZ MATTHEW W</t>
  </si>
  <si>
    <t>RELIANCE FIRST CAPITAL LLC</t>
  </si>
  <si>
    <t>COCA JOSE A &amp; JOSLYN</t>
  </si>
  <si>
    <t>SHERRI LOVE</t>
  </si>
  <si>
    <t xml:space="preserve">20712 N 100TH LN </t>
  </si>
  <si>
    <t>PARKRIDGE 2</t>
  </si>
  <si>
    <t>MACCANO LINDA LIVING TRUST</t>
  </si>
  <si>
    <t>LOVE SHERRI Y</t>
  </si>
  <si>
    <t>JIRKA</t>
  </si>
  <si>
    <t>JIRKA &amp; HEATHER ANN</t>
  </si>
  <si>
    <t xml:space="preserve">901 E DORIS ST </t>
  </si>
  <si>
    <t>TRES RIOS LANDING PARCEL 4</t>
  </si>
  <si>
    <t>TRES RIOS LANDING</t>
  </si>
  <si>
    <t>LATTIE COOR SCHOOL</t>
  </si>
  <si>
    <t>ELSEO C. FLIX SCHOOL</t>
  </si>
  <si>
    <t>ESCOBEDO CARLOS</t>
  </si>
  <si>
    <t>JIRKA PATRICK ALLAN &amp; HEATHER ANN</t>
  </si>
  <si>
    <t>LOUIS &amp; STEPHANIE ADAMS</t>
  </si>
  <si>
    <t xml:space="preserve">1829 S 157TH DR </t>
  </si>
  <si>
    <t xml:space="preserve">8721 W ORCHID LN </t>
  </si>
  <si>
    <t>ESTRELLA VISTA PARCELS C &amp; G</t>
  </si>
  <si>
    <t>BROWN CAREY A</t>
  </si>
  <si>
    <t>ADAMS LOUIS</t>
  </si>
  <si>
    <t>WEISSINGER</t>
  </si>
  <si>
    <t>RICHARD &amp; SHANNON WEISSINGER</t>
  </si>
  <si>
    <t xml:space="preserve">12929 N 74TH LN </t>
  </si>
  <si>
    <t>WEISSINGER RICHARD L</t>
  </si>
  <si>
    <t>PATRICK &amp; JILL RYAN</t>
  </si>
  <si>
    <t xml:space="preserve">2041 E PALOMINO DR </t>
  </si>
  <si>
    <t>STRECKER ERIK W</t>
  </si>
  <si>
    <t>RYAN PATRICK &amp; JILL E A</t>
  </si>
  <si>
    <t>MAGANA</t>
  </si>
  <si>
    <t>IRIS</t>
  </si>
  <si>
    <t>JOSE &amp; IRIS MAGANA</t>
  </si>
  <si>
    <t xml:space="preserve">3341 N GARDEN LN </t>
  </si>
  <si>
    <t>MYKLEBY JEFFREY A</t>
  </si>
  <si>
    <t>LUA-DIAZ GERONIMO</t>
  </si>
  <si>
    <t>HOLLIS</t>
  </si>
  <si>
    <t>HOLLIS &amp; STEPHANIE BROWN</t>
  </si>
  <si>
    <t xml:space="preserve">20716 W ALSAP RD </t>
  </si>
  <si>
    <t>VERRADO PARCEL 3.401</t>
  </si>
  <si>
    <t>BROWN HOLLIS &amp; STEPHANIE</t>
  </si>
  <si>
    <t>BRADSHAW</t>
  </si>
  <si>
    <t>DONALD &amp; LEIGH BRADSHAW</t>
  </si>
  <si>
    <t xml:space="preserve">15291 W AMELIA DR </t>
  </si>
  <si>
    <t>PEBBLECREEK UNIT NINE</t>
  </si>
  <si>
    <t>SHERMAN ROBERT M LIVING TRUST</t>
  </si>
  <si>
    <t>BRADSHAW DONALD W &amp; LEIGH</t>
  </si>
  <si>
    <t>OROURKE</t>
  </si>
  <si>
    <t>HAROLD &amp; JEAN OROURKE</t>
  </si>
  <si>
    <t xml:space="preserve">18827 N 42ND LN </t>
  </si>
  <si>
    <t>RANCHO ESTATES WEST AMD</t>
  </si>
  <si>
    <t>ANDERSON MICHAEL S</t>
  </si>
  <si>
    <t>OROURKE HAROLD R</t>
  </si>
  <si>
    <t>CAIN</t>
  </si>
  <si>
    <t>ALINA</t>
  </si>
  <si>
    <t>JAMES &amp; ALINA CAIN</t>
  </si>
  <si>
    <t xml:space="preserve">7602 W BERYL AVE </t>
  </si>
  <si>
    <t>WESTFIELD ESTATES LOT 1-111</t>
  </si>
  <si>
    <t>WESTFIELD ESTATES</t>
  </si>
  <si>
    <t>KRUPA NINA L</t>
  </si>
  <si>
    <t>JAMES R CAIN</t>
  </si>
  <si>
    <t>HARDER</t>
  </si>
  <si>
    <t>WILLIAM HARDER</t>
  </si>
  <si>
    <t xml:space="preserve">1406 S SPUR </t>
  </si>
  <si>
    <t>EMERALD ACRES UNIT 2 LOT 1-72 &amp; TR A</t>
  </si>
  <si>
    <t>HOUSTON TREVOR G</t>
  </si>
  <si>
    <t>HARDER WILLIAM F</t>
  </si>
  <si>
    <t>HANIGAN</t>
  </si>
  <si>
    <t>PETER &amp; LINDA HANIGAN</t>
  </si>
  <si>
    <t xml:space="preserve">3241 W FLORIMOND RD </t>
  </si>
  <si>
    <t>TRAMONTO PARCEL W-14</t>
  </si>
  <si>
    <t>TAPIA PABLO E</t>
  </si>
  <si>
    <t>HANIGAN PETER R</t>
  </si>
  <si>
    <t>CHAMPLEY</t>
  </si>
  <si>
    <t>HARRY &amp; DOROTHY CHAMPLEY</t>
  </si>
  <si>
    <t xml:space="preserve">16768 W SOUTHAMPTON RD </t>
  </si>
  <si>
    <t>THOMAS LARRY</t>
  </si>
  <si>
    <t>HARRY L CHAMPLEY</t>
  </si>
  <si>
    <t>DOROTHY M CHAMPLEY</t>
  </si>
  <si>
    <t>EDWARD &amp; EILEEN MARTIN</t>
  </si>
  <si>
    <t xml:space="preserve">860 E CINDY ST </t>
  </si>
  <si>
    <t>HEATHER PLACE</t>
  </si>
  <si>
    <t>HARRISON MARK G</t>
  </si>
  <si>
    <t>MARTIN EDWARD SR &amp; EILEEN</t>
  </si>
  <si>
    <t>AMMAN</t>
  </si>
  <si>
    <t>CATALAN</t>
  </si>
  <si>
    <t>JINNY</t>
  </si>
  <si>
    <t>AMMAN &amp; JINNY CATALAN</t>
  </si>
  <si>
    <t xml:space="preserve">13831 W GELDING DR </t>
  </si>
  <si>
    <t>LANGSTON CARY E</t>
  </si>
  <si>
    <t>CATALAN AMMAN E &amp; JINNY D</t>
  </si>
  <si>
    <t>PAFF</t>
  </si>
  <si>
    <t>LOUIS PAFF</t>
  </si>
  <si>
    <t xml:space="preserve">838 W 11TH ST </t>
  </si>
  <si>
    <t>LAIRD ESTATES</t>
  </si>
  <si>
    <t>HOLDEMAN ELEMENTARY SCHOOL</t>
  </si>
  <si>
    <t>JOHNSON MATTHEW C</t>
  </si>
  <si>
    <t>PAFF LOUIS</t>
  </si>
  <si>
    <t>ELMBLAD</t>
  </si>
  <si>
    <t>JEFFREY &amp; DARLA ELMBLAD</t>
  </si>
  <si>
    <t xml:space="preserve">3833 W KELTON LN </t>
  </si>
  <si>
    <t>LOGVIN FAMILY TRUST</t>
  </si>
  <si>
    <t>ELMBLAD JEFFREY L &amp; DARLA K</t>
  </si>
  <si>
    <t>LAURA DALE</t>
  </si>
  <si>
    <t xml:space="preserve">210 E DEL RIO DR </t>
  </si>
  <si>
    <t>NU-VISTA 2  LOTS 64-125 TR A</t>
  </si>
  <si>
    <t>MACH 8</t>
  </si>
  <si>
    <t>ALTMAN JOHN N</t>
  </si>
  <si>
    <t>DALE LAURA</t>
  </si>
  <si>
    <t>RIZZO</t>
  </si>
  <si>
    <t>IAN RIZZO</t>
  </si>
  <si>
    <t xml:space="preserve">1946 S LOS ALTOS </t>
  </si>
  <si>
    <t>LOS ALTOS AMD</t>
  </si>
  <si>
    <t>LOS ALTOS</t>
  </si>
  <si>
    <t>TIBBETTS ROBERT L</t>
  </si>
  <si>
    <t>RIZZO IAN S</t>
  </si>
  <si>
    <t>EDDY</t>
  </si>
  <si>
    <t>TATIANA</t>
  </si>
  <si>
    <t>WILLIAM &amp; TATIANA EDDY</t>
  </si>
  <si>
    <t xml:space="preserve">9466 W ROSS AVE </t>
  </si>
  <si>
    <t>DOVE VALLEY RANCH PARCEL 3A</t>
  </si>
  <si>
    <t>KEPLINGER EUGENE P</t>
  </si>
  <si>
    <t>EDDY WILLIAM &amp; TATIANA</t>
  </si>
  <si>
    <t>DOMINADOR</t>
  </si>
  <si>
    <t>TAMORIA</t>
  </si>
  <si>
    <t>DOMINADOR &amp; CECILIA TAMORIA</t>
  </si>
  <si>
    <t xml:space="preserve">7749 W BONITOS DR </t>
  </si>
  <si>
    <t>R122</t>
  </si>
  <si>
    <t>VINSANTO</t>
  </si>
  <si>
    <t>MANUEL PENA JR. ELEMENTARY SCHOOL</t>
  </si>
  <si>
    <t>ESTRELLA MIDDLE SCHOOL</t>
  </si>
  <si>
    <t>TREVOR BROWNE HIGH SCHOOL</t>
  </si>
  <si>
    <t>DOMINADOR V TAMORIA</t>
  </si>
  <si>
    <t>CECILIA TAMORIA</t>
  </si>
  <si>
    <t>BUSH &amp; JENNIFER LYNN</t>
  </si>
  <si>
    <t xml:space="preserve">7074 W ANDREW LN </t>
  </si>
  <si>
    <t>GIFFORD JAMES M &amp; ALISA C</t>
  </si>
  <si>
    <t>BUSH TODD J &amp; JENNIFER L</t>
  </si>
  <si>
    <t>JOSHUWA</t>
  </si>
  <si>
    <t>JOSHUWA &amp; CRISTINA WALKER</t>
  </si>
  <si>
    <t xml:space="preserve">1124 N 34TH ST </t>
  </si>
  <si>
    <t>PAPAGO TERRACE 2  LOTS 63-82 TR A &amp; B</t>
  </si>
  <si>
    <t>PAPAGO TERRACE</t>
  </si>
  <si>
    <t>GATEWAY SCHOOL</t>
  </si>
  <si>
    <t>MINOR R OF E HOLDINGS LLC</t>
  </si>
  <si>
    <t>WALKER JOSHUWA T &amp; CRISTINA</t>
  </si>
  <si>
    <t>CASEY &amp; PATRICIA DIETZ</t>
  </si>
  <si>
    <t xml:space="preserve">7537 E BEATRICE ST </t>
  </si>
  <si>
    <t>NEW PAPAGO PARKWAY 11A  LOTS 629-646</t>
  </si>
  <si>
    <t>PUZZUOLI JESSICA L</t>
  </si>
  <si>
    <t>VILLAGE CAP &amp; INVS</t>
  </si>
  <si>
    <t>CASEY L DIETZ</t>
  </si>
  <si>
    <t>PATRICIA A DIETZ</t>
  </si>
  <si>
    <t>MELVIN STEVENSON</t>
  </si>
  <si>
    <t xml:space="preserve">1443 E IAN DR </t>
  </si>
  <si>
    <t>PATTERSON ALEXA</t>
  </si>
  <si>
    <t>STEVENSON MELVIN J</t>
  </si>
  <si>
    <t>LINDSEY ROBERTSON</t>
  </si>
  <si>
    <t xml:space="preserve">16864 W MAGNOLIA ST </t>
  </si>
  <si>
    <t>CHRISTIAN MICHAEL M &amp; BRANDO</t>
  </si>
  <si>
    <t>ROBERTSON LINDSEY</t>
  </si>
  <si>
    <t>JOSEPH &amp; LISA OROURKE</t>
  </si>
  <si>
    <t xml:space="preserve">8750 E CLARENDON AVE </t>
  </si>
  <si>
    <t>PARK SCOTTSDALE 17</t>
  </si>
  <si>
    <t>MARTIN WENDY J</t>
  </si>
  <si>
    <t>OROURKE JOSEPH L &amp; LISA M</t>
  </si>
  <si>
    <t>RUSHING</t>
  </si>
  <si>
    <t>CHRISTIAN &amp; LINDSEY RUSHING</t>
  </si>
  <si>
    <t xml:space="preserve">2317 E PEACH TREE DR </t>
  </si>
  <si>
    <t>MILLSPAUGH MELISSA</t>
  </si>
  <si>
    <t>RUSHING CHRISTIAN &amp; LINDSEY</t>
  </si>
  <si>
    <t>THOMAS &amp; SARAH WILDE</t>
  </si>
  <si>
    <t xml:space="preserve">1626 W ENCANTO BLVD </t>
  </si>
  <si>
    <t>SARKIS GEORGE</t>
  </si>
  <si>
    <t>WILDE THOMAS S &amp; SARAH J</t>
  </si>
  <si>
    <t>JANKA</t>
  </si>
  <si>
    <t>DANIEL &amp; JANKA BLAIR</t>
  </si>
  <si>
    <t xml:space="preserve">16619 S 175TH DR </t>
  </si>
  <si>
    <t>DANIEL V BLAIR</t>
  </si>
  <si>
    <t>JANKA H BLAIR</t>
  </si>
  <si>
    <t>DAVIS RANDY</t>
  </si>
  <si>
    <t xml:space="preserve">13222 W PECK DR </t>
  </si>
  <si>
    <t>MARTIN JONATHON M</t>
  </si>
  <si>
    <t>DAVIS RANDY W &amp; RAQUEL P</t>
  </si>
  <si>
    <t>RANDY W DAVIS</t>
  </si>
  <si>
    <t>RAQUEL P DAVIS</t>
  </si>
  <si>
    <t>RALPH &amp; MARIA BRIGGS</t>
  </si>
  <si>
    <t xml:space="preserve">5175 S MOCCASIN TRL </t>
  </si>
  <si>
    <t>BRIGGS RALPH A &amp; MARIA P</t>
  </si>
  <si>
    <t>WILLIAM &amp; JOY BRYANT</t>
  </si>
  <si>
    <t xml:space="preserve">6706 S 76TH DR </t>
  </si>
  <si>
    <t>BRYANT WILLIAM J &amp; JOY B</t>
  </si>
  <si>
    <t>LAWRENCE &amp; SANDRA DIXON</t>
  </si>
  <si>
    <t xml:space="preserve">734 E SHEFFIELD AVE </t>
  </si>
  <si>
    <t>PROVINCES 1 PHASE 2B</t>
  </si>
  <si>
    <t>MERILLAT ROBERT</t>
  </si>
  <si>
    <t>DIXON LAWRENCE C &amp; SANDRA R</t>
  </si>
  <si>
    <t>DAMASCO</t>
  </si>
  <si>
    <t>PEREA</t>
  </si>
  <si>
    <t>LIBRADA</t>
  </si>
  <si>
    <t>DAMASCO &amp; LIBRADA PEREA</t>
  </si>
  <si>
    <t xml:space="preserve">4022 N 143RD LN </t>
  </si>
  <si>
    <t>GORILLA CAP OF MARICOPA CNT 2</t>
  </si>
  <si>
    <t>PEREA DAMASCO &amp; LIBRADA</t>
  </si>
  <si>
    <t>YERVANT</t>
  </si>
  <si>
    <t>BALTAJIAN</t>
  </si>
  <si>
    <t>YERVANT &amp; HELEN BALTAJIAN</t>
  </si>
  <si>
    <t xml:space="preserve">10437 N 25TH ST </t>
  </si>
  <si>
    <t>OSULLIVAN JOHN J</t>
  </si>
  <si>
    <t>BALTAJIAN YERVANT S &amp; HELEN S</t>
  </si>
  <si>
    <t>WILLIAM AND SHARON BROWN TRUST</t>
  </si>
  <si>
    <t xml:space="preserve">2702 E EMILE ZOLA AVE </t>
  </si>
  <si>
    <t>CHATEAU THIERRY</t>
  </si>
  <si>
    <t>WALLACE GREGORY L TRUST</t>
  </si>
  <si>
    <t>BROWN WILLIAM H &amp; SHARON K</t>
  </si>
  <si>
    <t>COUCH</t>
  </si>
  <si>
    <t>SUSAN COUCH</t>
  </si>
  <si>
    <t xml:space="preserve">6508 W FREMONT RD </t>
  </si>
  <si>
    <t>TIPTON MARY E</t>
  </si>
  <si>
    <t>COUCH SUSAN M</t>
  </si>
  <si>
    <t>WHITFIELD</t>
  </si>
  <si>
    <t>ELMER WHITFIELD</t>
  </si>
  <si>
    <t xml:space="preserve">4123 S WAYNE PL </t>
  </si>
  <si>
    <t>COOPER CORNERS EAST</t>
  </si>
  <si>
    <t>PLUMB EDWARD</t>
  </si>
  <si>
    <t>WHITFIELD ELMER</t>
  </si>
  <si>
    <t>ALEX &amp; CYNTHIA TORRES</t>
  </si>
  <si>
    <t xml:space="preserve">16436 N 163RD DR </t>
  </si>
  <si>
    <t>NORTHWEST RANCH PHASE 1</t>
  </si>
  <si>
    <t>CHAMBERS GREGORY R &amp; CORBIE</t>
  </si>
  <si>
    <t>PACIFIC LENDING LLC</t>
  </si>
  <si>
    <t>TORRES ALEX &amp; CYNTHIA B</t>
  </si>
  <si>
    <t>CORDON</t>
  </si>
  <si>
    <t>KENNETH CORDON</t>
  </si>
  <si>
    <t xml:space="preserve">8884 W HOLLYWOOD AVE </t>
  </si>
  <si>
    <t>KEVIN POWELL</t>
  </si>
  <si>
    <t xml:space="preserve">16265 W CAMERON DR </t>
  </si>
  <si>
    <t>IDEAL HM LNS</t>
  </si>
  <si>
    <t>KEVIN A POWELL</t>
  </si>
  <si>
    <t>FORREST</t>
  </si>
  <si>
    <t>DAVID &amp; AMANDA FORREST</t>
  </si>
  <si>
    <t xml:space="preserve">660 S 108TH PL </t>
  </si>
  <si>
    <t>DOLAN MARK B &amp; SUN C</t>
  </si>
  <si>
    <t>FORREST DAVID &amp; AMANDA</t>
  </si>
  <si>
    <t>KEVIN &amp; ADRIENNA COTE</t>
  </si>
  <si>
    <t xml:space="preserve">2712 S SAWYER CIR </t>
  </si>
  <si>
    <t>VOLPE GARY A &amp; JANICE L</t>
  </si>
  <si>
    <t>COTE KEVIN &amp; ADRIENNA</t>
  </si>
  <si>
    <t>MATTHEW &amp; CHRISTINE KELLY</t>
  </si>
  <si>
    <t xml:space="preserve">6774 W ROWEL RD </t>
  </si>
  <si>
    <t>KELLY MATTHEW E</t>
  </si>
  <si>
    <t>JESUS &amp; JOSEPHINE GARCIA</t>
  </si>
  <si>
    <t xml:space="preserve">7208 W DARROW ST </t>
  </si>
  <si>
    <t>FRESQUES JUSTIN &amp; AUDREY</t>
  </si>
  <si>
    <t>GARCIA JESUS F &amp; JOSEPHINE C</t>
  </si>
  <si>
    <t>MARKS</t>
  </si>
  <si>
    <t>MARKS &amp; MARIA LENA</t>
  </si>
  <si>
    <t xml:space="preserve">4533 W MOSS SPRINGS RD </t>
  </si>
  <si>
    <t>HAJI JACK K &amp; JANET M</t>
  </si>
  <si>
    <t>MARKS SCOTT &amp; MARIA L</t>
  </si>
  <si>
    <t>SNELL</t>
  </si>
  <si>
    <t>JANICE SNELL</t>
  </si>
  <si>
    <t xml:space="preserve">6307 W RIVIERA DR </t>
  </si>
  <si>
    <t>WEST BLUFF LOT 366-495</t>
  </si>
  <si>
    <t>PFAFF SCOTT T</t>
  </si>
  <si>
    <t>SNELL JANICE M</t>
  </si>
  <si>
    <t>JABARI</t>
  </si>
  <si>
    <t>JABARI JOHNSON</t>
  </si>
  <si>
    <t xml:space="preserve">6833 W ALTA VISTA RD </t>
  </si>
  <si>
    <t>BUNDY LISA T</t>
  </si>
  <si>
    <t>JOHNSON JABARI</t>
  </si>
  <si>
    <t>GAMBLE</t>
  </si>
  <si>
    <t>ADRIENNE GAMBLE</t>
  </si>
  <si>
    <t xml:space="preserve">18228 W PORT ROYALE LN </t>
  </si>
  <si>
    <t>SIERRA MONTANA PARCEL 2</t>
  </si>
  <si>
    <t>VANDERPLOW LORI &amp; EDWARD</t>
  </si>
  <si>
    <t>GAMBLE ADRIENNE L</t>
  </si>
  <si>
    <t>SHAREE</t>
  </si>
  <si>
    <t>FRANCISCO &amp; SHAREE TORRES</t>
  </si>
  <si>
    <t xml:space="preserve">18189 W DESERT LN </t>
  </si>
  <si>
    <t xml:space="preserve">16633 S 29TH ST </t>
  </si>
  <si>
    <t>NELSON MICHAEL S</t>
  </si>
  <si>
    <t>TORRES FRANCISCO J</t>
  </si>
  <si>
    <t>HARDMAN</t>
  </si>
  <si>
    <t>DAVID &amp; ALLISON HARDMAN</t>
  </si>
  <si>
    <t xml:space="preserve">5210 E NISBET RD </t>
  </si>
  <si>
    <t>RUTH S PONTIOUS LLC</t>
  </si>
  <si>
    <t>HARDMAN DAVID &amp; ALLISON</t>
  </si>
  <si>
    <t>GOETTL</t>
  </si>
  <si>
    <t>JUSTIN &amp; TAMARA GOETTL</t>
  </si>
  <si>
    <t xml:space="preserve">1332 E CASSIA LN </t>
  </si>
  <si>
    <t>RUTTEN LORI A</t>
  </si>
  <si>
    <t>GOETTL JUSTIN &amp; TAMARA J</t>
  </si>
  <si>
    <t>CHARLES &amp; CHRISTINE STUART</t>
  </si>
  <si>
    <t xml:space="preserve">22776 W MOONLIGHT PATH </t>
  </si>
  <si>
    <t>STUART CHARLES H &amp; CHRISTINE B</t>
  </si>
  <si>
    <t>LOCKEBY</t>
  </si>
  <si>
    <t>LARRY &amp; BERNADETTE LOCKEBY</t>
  </si>
  <si>
    <t xml:space="preserve">20239 N 124TH DR </t>
  </si>
  <si>
    <t>ARNOLD ARLENE J</t>
  </si>
  <si>
    <t>LARRY E LOCKEBY</t>
  </si>
  <si>
    <t>BERNADETTE LOCKEBY</t>
  </si>
  <si>
    <t>ORR</t>
  </si>
  <si>
    <t>JAMES &amp; BARBARA ORR</t>
  </si>
  <si>
    <t xml:space="preserve">4202 W SAGUARO PARK LN </t>
  </si>
  <si>
    <t>CNT REAL ESTATE INVS LLC</t>
  </si>
  <si>
    <t>ORR JAMES W &amp; BARBARA A</t>
  </si>
  <si>
    <t>BRADLY</t>
  </si>
  <si>
    <t>JACKS</t>
  </si>
  <si>
    <t>BRADLY JACKS</t>
  </si>
  <si>
    <t xml:space="preserve">8645 W MARCONI AVE </t>
  </si>
  <si>
    <t>NEW RIVER SHORES AMENDED</t>
  </si>
  <si>
    <t>NEW RIVER SHORES</t>
  </si>
  <si>
    <t>SCHURMAN TIELANNETTE &amp; MATTH</t>
  </si>
  <si>
    <t>JACKS BRADLY E</t>
  </si>
  <si>
    <t>MARIN</t>
  </si>
  <si>
    <t>CHRISTOPHER MARIN</t>
  </si>
  <si>
    <t xml:space="preserve">14509 W MAUNA LOA LN </t>
  </si>
  <si>
    <t>GREEN JOANIE</t>
  </si>
  <si>
    <t>MARIN CHRISTOPHER</t>
  </si>
  <si>
    <t>CHRISTOPHER &amp; AMY JONES</t>
  </si>
  <si>
    <t xml:space="preserve">3535 N LOS ALAMOS </t>
  </si>
  <si>
    <t>JONES CHRISTOPHER B &amp; AMY E</t>
  </si>
  <si>
    <t>HESTON</t>
  </si>
  <si>
    <t>CANTU</t>
  </si>
  <si>
    <t>HESTON &amp; HEATHER CANTU</t>
  </si>
  <si>
    <t xml:space="preserve">19904 W SHERMAN ST </t>
  </si>
  <si>
    <t>HESTON CANTU</t>
  </si>
  <si>
    <t>HEATHER CANTU</t>
  </si>
  <si>
    <t>JEROLD</t>
  </si>
  <si>
    <t>KIRTON</t>
  </si>
  <si>
    <t>JEROLD KIRTON</t>
  </si>
  <si>
    <t xml:space="preserve">1831 E SOUTH MOUNTAIN AVE </t>
  </si>
  <si>
    <t xml:space="preserve">838 PETREL ST </t>
  </si>
  <si>
    <t>GOOSE CREEK</t>
  </si>
  <si>
    <t>CAVALIER FOOTHILLS 2</t>
  </si>
  <si>
    <t>CAVALIER FOOTHILLS</t>
  </si>
  <si>
    <t>ROBERT SQUARED LLC</t>
  </si>
  <si>
    <t>KIRTON JEROLD</t>
  </si>
  <si>
    <t>BEDOY</t>
  </si>
  <si>
    <t>ALBERT &amp; RAQUEL BEDOY</t>
  </si>
  <si>
    <t xml:space="preserve">15860 W POINSETTIA DR </t>
  </si>
  <si>
    <t>BEDOY ALBERT JR &amp; RAQUEL I</t>
  </si>
  <si>
    <t>HORN</t>
  </si>
  <si>
    <t>MICHAEL HORN</t>
  </si>
  <si>
    <t xml:space="preserve">17432 E CALICO DR </t>
  </si>
  <si>
    <t>FERRARO SUSAN</t>
  </si>
  <si>
    <t>MICHAEL J HORN</t>
  </si>
  <si>
    <t>PATRICK &amp; ELIZABETH HOFFMAN</t>
  </si>
  <si>
    <t xml:space="preserve">17583 W BRIDGER ST </t>
  </si>
  <si>
    <t>CHEN MIN</t>
  </si>
  <si>
    <t>ELIZABETH A HOFFMAN</t>
  </si>
  <si>
    <t>PATRICK F HOFFMAN</t>
  </si>
  <si>
    <t>WORTHY</t>
  </si>
  <si>
    <t>WADE WORTHY</t>
  </si>
  <si>
    <t xml:space="preserve">4355 S ADELLE </t>
  </si>
  <si>
    <t>HAMLIN JERED TRUST</t>
  </si>
  <si>
    <t>WORTHY WADE</t>
  </si>
  <si>
    <t>JERRY &amp; DENISE HANNA</t>
  </si>
  <si>
    <t xml:space="preserve">13939 N 134TH LN </t>
  </si>
  <si>
    <t>ROSEVIEW UNIT 5A</t>
  </si>
  <si>
    <t>LARRABEE DAVID E &amp; HEATHER R</t>
  </si>
  <si>
    <t>JERRY B HANNA</t>
  </si>
  <si>
    <t>DENISE HANNA</t>
  </si>
  <si>
    <t>GARRAD</t>
  </si>
  <si>
    <t>GARRAD &amp; HOLLY POOLE</t>
  </si>
  <si>
    <t xml:space="preserve">737 N ROCA </t>
  </si>
  <si>
    <t>HITCHENS G L &amp; L L TRUST</t>
  </si>
  <si>
    <t>POOLE GARRAD &amp; HOLLY</t>
  </si>
  <si>
    <t>CADEAU</t>
  </si>
  <si>
    <t>CHRISTOPHER &amp; CHRISTINE CADEAU</t>
  </si>
  <si>
    <t xml:space="preserve">1162 E CONSTITUTION DR </t>
  </si>
  <si>
    <t>LINDSAY RANCH UNIT 3</t>
  </si>
  <si>
    <t>BRANNUM EDWARD S &amp; JIMMIE T</t>
  </si>
  <si>
    <t>CADEAU CHRISTOPHER W &amp; CHRIST</t>
  </si>
  <si>
    <t>GUTHRIE RITA F TRUST</t>
  </si>
  <si>
    <t>F GUTHRIERITA</t>
  </si>
  <si>
    <t xml:space="preserve">8336 W SURREY AVE </t>
  </si>
  <si>
    <t>ARENDELL LESLIE</t>
  </si>
  <si>
    <t>GUTHRIE RITA F</t>
  </si>
  <si>
    <t>MCHUGH</t>
  </si>
  <si>
    <t>MCDANIEL-MCHUGH</t>
  </si>
  <si>
    <t>ROBERT MCHUGH &amp; MARGARET MCDANIEL-MCHUGH</t>
  </si>
  <si>
    <t xml:space="preserve">4526 W SIERRA ST </t>
  </si>
  <si>
    <t>WETHERELL MICHAEL</t>
  </si>
  <si>
    <t>ON Q FINANCIAL INC</t>
  </si>
  <si>
    <t>MCHUGH ROBERT CHRISTOPHER</t>
  </si>
  <si>
    <t>MCDANIEL MCHUGH MARGARET</t>
  </si>
  <si>
    <t>TRAVIS &amp; SARA INGRAM</t>
  </si>
  <si>
    <t xml:space="preserve">18641 W CHERYL DR </t>
  </si>
  <si>
    <t>INGRAM TRAVIS D</t>
  </si>
  <si>
    <t>SHAUN QUIGLEY</t>
  </si>
  <si>
    <t xml:space="preserve">7917 E WILLETTA ST #162 </t>
  </si>
  <si>
    <t xml:space="preserve">7917 E WILLETTA ST </t>
  </si>
  <si>
    <t>PETERSON JODI</t>
  </si>
  <si>
    <t>QUIGLEY SHAUN G</t>
  </si>
  <si>
    <t>SHAUN G QUIGLEY</t>
  </si>
  <si>
    <t>GARRICK</t>
  </si>
  <si>
    <t>GOOSE</t>
  </si>
  <si>
    <t>GARRICK GOOSE</t>
  </si>
  <si>
    <t xml:space="preserve">905 E MONTEBELLO AVE </t>
  </si>
  <si>
    <t>TOWNHOUSE TERRACE 1</t>
  </si>
  <si>
    <t>WICKLIFF ANTONIO E</t>
  </si>
  <si>
    <t>GOOSE GARRICK A</t>
  </si>
  <si>
    <t>GLEN &amp; LORNA NORMAN</t>
  </si>
  <si>
    <t xml:space="preserve">10731 N 13TH AVE </t>
  </si>
  <si>
    <t>MOUNTAIN VIEW SCHOOL</t>
  </si>
  <si>
    <t>SCIMECA JOHN S</t>
  </si>
  <si>
    <t>NORMAN GLEN &amp; LORNA</t>
  </si>
  <si>
    <t>WENKE</t>
  </si>
  <si>
    <t>MEGAN &amp; DANIEL WENKE</t>
  </si>
  <si>
    <t xml:space="preserve">5340 N 83RD AVE </t>
  </si>
  <si>
    <t>KOTTERMAN MARSHALL</t>
  </si>
  <si>
    <t>WENKE DANIEL &amp; MEGAN</t>
  </si>
  <si>
    <t>GARR</t>
  </si>
  <si>
    <t>GARR &amp; CASSANDRA HATCH</t>
  </si>
  <si>
    <t xml:space="preserve">15537 W HILTON AVE </t>
  </si>
  <si>
    <t>ESTRELLA VISTA PARCEL 8</t>
  </si>
  <si>
    <t>CROSSCOUNTRY MTG</t>
  </si>
  <si>
    <t>BRECKSVILLE IL 44141</t>
  </si>
  <si>
    <t>GARR D HATCH</t>
  </si>
  <si>
    <t>CASSANDRA A HATCH</t>
  </si>
  <si>
    <t>SOSTAND</t>
  </si>
  <si>
    <t>LEONARD SOSTAND</t>
  </si>
  <si>
    <t xml:space="preserve">274 S 151ST AVE </t>
  </si>
  <si>
    <t>LAIQ SAADAT &amp; SOBIA</t>
  </si>
  <si>
    <t>SOSTAND LEONARD EUGENE</t>
  </si>
  <si>
    <t>NETHANIEL</t>
  </si>
  <si>
    <t>BULL</t>
  </si>
  <si>
    <t>NETHANIEL &amp; MONICA BULL</t>
  </si>
  <si>
    <t xml:space="preserve">19013 N 74TH DR </t>
  </si>
  <si>
    <t>JOHNSON R CHANNING</t>
  </si>
  <si>
    <t>BULL NETHANIEL J &amp; MONICA R</t>
  </si>
  <si>
    <t>KELTNER</t>
  </si>
  <si>
    <t>JASON &amp; MEGAN KELTNER</t>
  </si>
  <si>
    <t xml:space="preserve">5110 S MARIPOSA DR </t>
  </si>
  <si>
    <t>KELTNER JASON R &amp; MEGAN E</t>
  </si>
  <si>
    <t>BROEMER</t>
  </si>
  <si>
    <t>TODD BROEMER &amp; MICHAEL LUNA</t>
  </si>
  <si>
    <t xml:space="preserve">2130 S CATARINA </t>
  </si>
  <si>
    <t>MOONEY SEAN</t>
  </si>
  <si>
    <t>BROEMER TODD R</t>
  </si>
  <si>
    <t>WARNER &amp; BARBARA BOWERS</t>
  </si>
  <si>
    <t xml:space="preserve">8894 E WOOD DR </t>
  </si>
  <si>
    <t>SPELICK ERIE R</t>
  </si>
  <si>
    <t>BOWERS WARNER C &amp; BARBARA L</t>
  </si>
  <si>
    <t>JENNA</t>
  </si>
  <si>
    <t>JUSTIN &amp; JENNA THORNTON</t>
  </si>
  <si>
    <t xml:space="preserve">1181 N KENWOOD LN </t>
  </si>
  <si>
    <t>SHEFFIELD EVAN G</t>
  </si>
  <si>
    <t>THORNTON JUSTIN</t>
  </si>
  <si>
    <t>DURSTELER</t>
  </si>
  <si>
    <t>BRIAN &amp; JENNIFER DURSTELER</t>
  </si>
  <si>
    <t xml:space="preserve">945 W ELM ST #121 </t>
  </si>
  <si>
    <t xml:space="preserve">945 W ELM ST </t>
  </si>
  <si>
    <t>VILLAGE AT LITCHFIELD PARK PHASE 1</t>
  </si>
  <si>
    <t>CRAFTON CRAIG &amp; ANGELA</t>
  </si>
  <si>
    <t>DURSTELER BRIAN &amp; JENNIFER</t>
  </si>
  <si>
    <t>THOMAS BARBARAANN F LIVING TRU</t>
  </si>
  <si>
    <t>F THOMASBARBARAANN</t>
  </si>
  <si>
    <t xml:space="preserve">22983 N 104TH AVE </t>
  </si>
  <si>
    <t>IRONWOOD PHASE 3A</t>
  </si>
  <si>
    <t>NICHOLS GORDON D &amp; MARY L</t>
  </si>
  <si>
    <t>THOMAS BARBARAANN</t>
  </si>
  <si>
    <t>JOLLY</t>
  </si>
  <si>
    <t>MICHAEL &amp; JOAN JOLLY</t>
  </si>
  <si>
    <t xml:space="preserve">25494 N 73RD AVE </t>
  </si>
  <si>
    <t>TERRAMAR PARCEL 8</t>
  </si>
  <si>
    <t>SASS NADINE M</t>
  </si>
  <si>
    <t>JOLLY MICHAEL W &amp; JOAN K</t>
  </si>
  <si>
    <t>MATTHEW &amp; WENDY SKINNER</t>
  </si>
  <si>
    <t xml:space="preserve">1413 N DELMAR </t>
  </si>
  <si>
    <t>CRIBB FAMILY TRUST</t>
  </si>
  <si>
    <t>SKINNER MATTHEW J &amp; WENDY</t>
  </si>
  <si>
    <t>BOUR</t>
  </si>
  <si>
    <t>DONALD &amp; CECILIA BOUR</t>
  </si>
  <si>
    <t xml:space="preserve">6080 W SHANNON ST </t>
  </si>
  <si>
    <t>WARNER RANCH 4 UNIT TWO</t>
  </si>
  <si>
    <t>DONALD S BOUR</t>
  </si>
  <si>
    <t>CECILIA C BOUR</t>
  </si>
  <si>
    <t>MICHAEL &amp; RACHEL SANCHEZ</t>
  </si>
  <si>
    <t xml:space="preserve">1549 N ORLANDO </t>
  </si>
  <si>
    <t>VALENCIA PARK ESTATES LOT 1-59 TR A-B</t>
  </si>
  <si>
    <t>VALENCIA PARK ESTATES</t>
  </si>
  <si>
    <t>MARTIN MONIQUE C</t>
  </si>
  <si>
    <t>SANCHEZ MICHAEL</t>
  </si>
  <si>
    <t>SLAUBAUGH</t>
  </si>
  <si>
    <t>STEPHEN &amp; SHARON SLAUBAUGH</t>
  </si>
  <si>
    <t xml:space="preserve">20309 E SONOQUI BLVD </t>
  </si>
  <si>
    <t>REES WILLIAM</t>
  </si>
  <si>
    <t>SLAUBAUGH STEPHEN &amp; SHARON</t>
  </si>
  <si>
    <t>BERNIER</t>
  </si>
  <si>
    <t>PAUL &amp; CINDY BERNIER</t>
  </si>
  <si>
    <t xml:space="preserve">3421 E VERBENA DR </t>
  </si>
  <si>
    <t>FALCONPOINT AMD</t>
  </si>
  <si>
    <t>FALCONPOINT</t>
  </si>
  <si>
    <t>BERNIER PAUL S &amp; CINDY L</t>
  </si>
  <si>
    <t>STOECKMANN</t>
  </si>
  <si>
    <t>VICTOR STOECKMANN</t>
  </si>
  <si>
    <t xml:space="preserve">791 S KENNETH PL </t>
  </si>
  <si>
    <t>CHWASZCZEWSKI CHARLES D</t>
  </si>
  <si>
    <t>STOECKMANN VICTOR</t>
  </si>
  <si>
    <t>NIVAT APIROM</t>
  </si>
  <si>
    <t>BEAN</t>
  </si>
  <si>
    <t>JOHN &amp; JOAN BEAN</t>
  </si>
  <si>
    <t xml:space="preserve">17101 W GABLE END LN </t>
  </si>
  <si>
    <t>SUN CITY GRAND HACIENDA</t>
  </si>
  <si>
    <t>WIKLUND ROBERT A</t>
  </si>
  <si>
    <t>BEAN JOHN F &amp; JOAN S</t>
  </si>
  <si>
    <t>JOHN F BEAN</t>
  </si>
  <si>
    <t>JOAN S BEAN</t>
  </si>
  <si>
    <t>JENKS</t>
  </si>
  <si>
    <t>ILENE</t>
  </si>
  <si>
    <t>DALE JENKS &amp; ILENE OLSON</t>
  </si>
  <si>
    <t xml:space="preserve">22275 E STONE CREST CT </t>
  </si>
  <si>
    <t>JENKS DALE</t>
  </si>
  <si>
    <t>DALE JENKS</t>
  </si>
  <si>
    <t>ILENE L OLSON</t>
  </si>
  <si>
    <t>LOPEZ &amp; TERESA MORENO</t>
  </si>
  <si>
    <t xml:space="preserve">8328 S 47TH AVE </t>
  </si>
  <si>
    <t>KULA IRFAN &amp; SAFIYE F</t>
  </si>
  <si>
    <t>LOPEZ GEORGE &amp; TERESA M</t>
  </si>
  <si>
    <t>JASON BOYD</t>
  </si>
  <si>
    <t xml:space="preserve">12834 N 17TH AVE </t>
  </si>
  <si>
    <t xml:space="preserve">PO BOX 32211 </t>
  </si>
  <si>
    <t>MOON HILLS</t>
  </si>
  <si>
    <t>AZS INVESTMENTS PROPS LLC</t>
  </si>
  <si>
    <t>BOYD JASON</t>
  </si>
  <si>
    <t>KRISTOFOR</t>
  </si>
  <si>
    <t>KRISTOFOR &amp; LAUREN SHARP</t>
  </si>
  <si>
    <t xml:space="preserve">20837 E SUNSET DR </t>
  </si>
  <si>
    <t>SMITH WESLEY A</t>
  </si>
  <si>
    <t>SHARP KRISTOFOR I &amp; LAUREN E</t>
  </si>
  <si>
    <t>FEYISADE</t>
  </si>
  <si>
    <t>ADEOBA</t>
  </si>
  <si>
    <t>FEYISADE ADEOBA</t>
  </si>
  <si>
    <t xml:space="preserve">18268 W CAROL AVE </t>
  </si>
  <si>
    <t>ADEOBA FEYISADE A</t>
  </si>
  <si>
    <t>JEAN-LOUIS</t>
  </si>
  <si>
    <t>DEHOUX</t>
  </si>
  <si>
    <t>JEAN-LOUIS &amp; JUDY DEHOUX</t>
  </si>
  <si>
    <t xml:space="preserve">22744 S 220TH ST </t>
  </si>
  <si>
    <t>DEHOUX JEAN-LOUIS &amp; JUDY</t>
  </si>
  <si>
    <t>DWYER</t>
  </si>
  <si>
    <t>DANIEL DWYER</t>
  </si>
  <si>
    <t xml:space="preserve">394 W HONEYSUCKLE DR </t>
  </si>
  <si>
    <t>AVALON AT DOBSON CROSSING</t>
  </si>
  <si>
    <t>WILSON AARON M &amp; LAURA M</t>
  </si>
  <si>
    <t>DWYER DANIEL T</t>
  </si>
  <si>
    <t>LIPNOS</t>
  </si>
  <si>
    <t>ENIKO</t>
  </si>
  <si>
    <t>JASON &amp; ENIKO LIPNOS</t>
  </si>
  <si>
    <t xml:space="preserve">18335 W BANFF LN </t>
  </si>
  <si>
    <t>SMITH MICHAEL L</t>
  </si>
  <si>
    <t>LIPNOS JASON S &amp; ENIKO</t>
  </si>
  <si>
    <t>PHILLIP &amp; AMY BAKER</t>
  </si>
  <si>
    <t xml:space="preserve">3303 E TONTO CT </t>
  </si>
  <si>
    <t>FEDERAL NATIONAL MORTGAGE</t>
  </si>
  <si>
    <t>BAKER PHILLIP &amp; AMY</t>
  </si>
  <si>
    <t>MONICA &amp; ALFONSO RANGEL</t>
  </si>
  <si>
    <t xml:space="preserve">5412 N ANNIE CT </t>
  </si>
  <si>
    <t>RANGEL MONICA M &amp; ALFONSO</t>
  </si>
  <si>
    <t>FELTS</t>
  </si>
  <si>
    <t>CHRISTOPHER BROWN &amp; MISTY FELTS</t>
  </si>
  <si>
    <t xml:space="preserve">8307 E RANCHO VISTA DR </t>
  </si>
  <si>
    <t>SCOTTSDALE COUNTRY ACRES 2</t>
  </si>
  <si>
    <t>SCOTTSDALE COUNTRY ACRES</t>
  </si>
  <si>
    <t>SCHULZE MARC A &amp; CURT K</t>
  </si>
  <si>
    <t>BROWN CHRISTOPHER M</t>
  </si>
  <si>
    <t>FELTS MISTY D</t>
  </si>
  <si>
    <t>ROSA DELA</t>
  </si>
  <si>
    <t xml:space="preserve">5823 N 133RD AVE </t>
  </si>
  <si>
    <t>DREAMING SUMMIT UNIT 2B LOTS 344-436 TR</t>
  </si>
  <si>
    <t>ESTATES</t>
  </si>
  <si>
    <t>MUNN JEFF R</t>
  </si>
  <si>
    <t>DE LA ROSA RICHARD</t>
  </si>
  <si>
    <t>TRUMAN</t>
  </si>
  <si>
    <t>TRUMAN &amp; JENNIFER DAWN</t>
  </si>
  <si>
    <t xml:space="preserve">15139 W VENTURA ST </t>
  </si>
  <si>
    <t>STEFFANCI THOMAS J</t>
  </si>
  <si>
    <t>DAWN TRUMAN &amp; JENNIFER</t>
  </si>
  <si>
    <t>SOLTIS</t>
  </si>
  <si>
    <t>JOE SOLTIS</t>
  </si>
  <si>
    <t xml:space="preserve">12802 N 177TH DR </t>
  </si>
  <si>
    <t>SOLTIS JOE T</t>
  </si>
  <si>
    <t>WYANT FAMILY TRUST</t>
  </si>
  <si>
    <t>WYANT</t>
  </si>
  <si>
    <t xml:space="preserve">2841 E PRESIDIO ST </t>
  </si>
  <si>
    <t>WYANT JOHN JAMES &amp; PATRICIA S</t>
  </si>
  <si>
    <t>LEEDOM</t>
  </si>
  <si>
    <t>CHRISTOPHER &amp; MELISSA LEEDOM</t>
  </si>
  <si>
    <t xml:space="preserve">1713 E CIELO GRANDE AVE </t>
  </si>
  <si>
    <t>GILLILAND ROBYN L</t>
  </si>
  <si>
    <t>LEEDOM CHRISTOPHER M &amp; MELISS</t>
  </si>
  <si>
    <t>WHITAKER</t>
  </si>
  <si>
    <t>THADEN</t>
  </si>
  <si>
    <t>GREGORY WHITAKER &amp; TRACEY THADEN</t>
  </si>
  <si>
    <t xml:space="preserve">9139 N 82ND ST </t>
  </si>
  <si>
    <t>MULSANNE PROPERTIES LLC</t>
  </si>
  <si>
    <t>GREGORY WHITAKER</t>
  </si>
  <si>
    <t>TRACEY J THADEN</t>
  </si>
  <si>
    <t>STEVEN FIELDS &amp; MELISSA MORALES</t>
  </si>
  <si>
    <t xml:space="preserve">2853 E BIRCHWOOD PL </t>
  </si>
  <si>
    <t>BOGLE JACKSON C</t>
  </si>
  <si>
    <t>FIELDS STEVEN</t>
  </si>
  <si>
    <t>MORALES MELISSA I</t>
  </si>
  <si>
    <t>WINGER</t>
  </si>
  <si>
    <t>LISA WINGER</t>
  </si>
  <si>
    <t xml:space="preserve">13314 W RANCHO DR </t>
  </si>
  <si>
    <t xml:space="preserve">3724 S 253RD PL </t>
  </si>
  <si>
    <t>DURHAM FRED R</t>
  </si>
  <si>
    <t>WINGER LISA M</t>
  </si>
  <si>
    <t>ALKIRE</t>
  </si>
  <si>
    <t>JOHN &amp; ANITA ALKIRE</t>
  </si>
  <si>
    <t xml:space="preserve">27830 N 60TH LN </t>
  </si>
  <si>
    <t>IANNITELLI DOMENICO TRUST</t>
  </si>
  <si>
    <t>ALKIRE JOHN R</t>
  </si>
  <si>
    <t>T &amp; A FAMILY TRUST</t>
  </si>
  <si>
    <t>T &amp; A</t>
  </si>
  <si>
    <t xml:space="preserve">6919 W TONTO DR </t>
  </si>
  <si>
    <t>TRUSTEE'S DEED (TRANSFER)</t>
  </si>
  <si>
    <t>SILVER CREEK R OF E HOLDINGS</t>
  </si>
  <si>
    <t>MILLER TIMOTHY R</t>
  </si>
  <si>
    <t>BART</t>
  </si>
  <si>
    <t>KUTELLA</t>
  </si>
  <si>
    <t>BART &amp; CHARLENE KUTELLA</t>
  </si>
  <si>
    <t xml:space="preserve">1334 N SAILORS WAY </t>
  </si>
  <si>
    <t>HOSTETTER C GENE</t>
  </si>
  <si>
    <t>KUTELLA BART &amp; CHARLENE</t>
  </si>
  <si>
    <t>LANTZ</t>
  </si>
  <si>
    <t>DAVID &amp; KELLY LANTZ</t>
  </si>
  <si>
    <t xml:space="preserve">4255 E MAYA WAY </t>
  </si>
  <si>
    <t>NELSON TIFFANY L</t>
  </si>
  <si>
    <t>LANTZ DAVID &amp; KELLY</t>
  </si>
  <si>
    <t>CHRISTOPHER DRAKE</t>
  </si>
  <si>
    <t xml:space="preserve">4430 E WHITE ASTER ST </t>
  </si>
  <si>
    <t>TICE DIANE R</t>
  </si>
  <si>
    <t>DRAKE CHRISTOPHER S</t>
  </si>
  <si>
    <t>VOLKMAN</t>
  </si>
  <si>
    <t>SUMMER</t>
  </si>
  <si>
    <t>JOSEPH &amp; SUMMER VOLKMAN</t>
  </si>
  <si>
    <t xml:space="preserve">17830 W CARMEN DR </t>
  </si>
  <si>
    <t>VELEZ FEDERICO &amp; KAMANI</t>
  </si>
  <si>
    <t>VOLKMAN JOSEPH A &amp; SUMMER M</t>
  </si>
  <si>
    <t>CORRINN</t>
  </si>
  <si>
    <t>CORRINN &amp; JOE GARZA</t>
  </si>
  <si>
    <t xml:space="preserve">15777 W MESCAL ST </t>
  </si>
  <si>
    <t>SULLIVAN CHARLES S</t>
  </si>
  <si>
    <t>GARZA CORRINN S &amp; JOE J</t>
  </si>
  <si>
    <t>WENDALYN</t>
  </si>
  <si>
    <t>RUSS-COOK</t>
  </si>
  <si>
    <t>ROBERT COOK &amp; WENDALYN RUSS-COOK</t>
  </si>
  <si>
    <t xml:space="preserve">8632 S 21ST PL </t>
  </si>
  <si>
    <t>KOTCH KENNETH &amp; DAWN A</t>
  </si>
  <si>
    <t>COOK ROBERT B</t>
  </si>
  <si>
    <t>RUSS-COOK WENDALYN J</t>
  </si>
  <si>
    <t>VANDERTOORN</t>
  </si>
  <si>
    <t>STEPHEN VINCENT &amp; JESSICA VANDERTOORN</t>
  </si>
  <si>
    <t xml:space="preserve">17953 W WESTPARK BLVD </t>
  </si>
  <si>
    <t>RODRIGUEZ-MARTINELLI SHARO</t>
  </si>
  <si>
    <t>VINCENT STEPHEN M &amp; JESSICA</t>
  </si>
  <si>
    <t>ROSENBAUM</t>
  </si>
  <si>
    <t>ROSENBAUM &amp; JENNIFER MARIE</t>
  </si>
  <si>
    <t xml:space="preserve">5419 W FETLOCK TRL </t>
  </si>
  <si>
    <t>SHERMAN NATHAN K</t>
  </si>
  <si>
    <t>ROSENBAUM BRENT M</t>
  </si>
  <si>
    <t>WILMA</t>
  </si>
  <si>
    <t>MAYO</t>
  </si>
  <si>
    <t>WILMA &amp; NELSON MAYO</t>
  </si>
  <si>
    <t xml:space="preserve">1745 E GROVERS AVE </t>
  </si>
  <si>
    <t>GROVERS ON 17</t>
  </si>
  <si>
    <t>1745 E GROVERS LLC</t>
  </si>
  <si>
    <t>MAYO WILMA &amp; NELSON</t>
  </si>
  <si>
    <t>WILMA MAYO</t>
  </si>
  <si>
    <t>NELSON MAYO</t>
  </si>
  <si>
    <t>MARITES</t>
  </si>
  <si>
    <t>GARY &amp; MARITES WALDRON</t>
  </si>
  <si>
    <t xml:space="preserve">11033 E RAFAEL AVE </t>
  </si>
  <si>
    <t>NOVA VISTA UNIT C</t>
  </si>
  <si>
    <t>WALKER ALICE</t>
  </si>
  <si>
    <t>WALDRON GARY &amp; MARITES</t>
  </si>
  <si>
    <t>DAMSTRA</t>
  </si>
  <si>
    <t>DAMSTRA &amp; LISA JEAN</t>
  </si>
  <si>
    <t xml:space="preserve">19885 E THORNTON RD </t>
  </si>
  <si>
    <t>HELSEL STEVEN</t>
  </si>
  <si>
    <t>GUILD MORTGAGE CO</t>
  </si>
  <si>
    <t>DAMSTRA BRIAN &amp; LISA JEAN</t>
  </si>
  <si>
    <t>DOLLMAN</t>
  </si>
  <si>
    <t>SEAN DOLLMAN</t>
  </si>
  <si>
    <t xml:space="preserve">3217 W QUAIL TRACK DR </t>
  </si>
  <si>
    <t>HALT ROBERT J</t>
  </si>
  <si>
    <t>DOLLMAN SEAN</t>
  </si>
  <si>
    <t>DAVID &amp; KRISTI PEREA</t>
  </si>
  <si>
    <t xml:space="preserve">1663 E CIELO GRANDE AVE </t>
  </si>
  <si>
    <t>GOWDA PRAVEEN S</t>
  </si>
  <si>
    <t>PEREA DAVID &amp; KRISTI</t>
  </si>
  <si>
    <t>DIEHL</t>
  </si>
  <si>
    <t>SPENCER &amp; KATHERINE DIEHL</t>
  </si>
  <si>
    <t xml:space="preserve">6904 S OPAL DR </t>
  </si>
  <si>
    <t>CORENBLUM CARY M</t>
  </si>
  <si>
    <t>GALAXY LNDG GROUP LLC</t>
  </si>
  <si>
    <t>DIEHL SPENCER A</t>
  </si>
  <si>
    <t>DIEHL SPENCER A &amp; KATHERINE K</t>
  </si>
  <si>
    <t>HUBBARD</t>
  </si>
  <si>
    <t>ROBERT &amp; VICKY HUBBARD</t>
  </si>
  <si>
    <t xml:space="preserve">2311 S BRIGHTON </t>
  </si>
  <si>
    <t xml:space="preserve">PO BOX 1702 </t>
  </si>
  <si>
    <t>SUPERSTITION SPRINGS VILLAGE UNIT ONE</t>
  </si>
  <si>
    <t>AXIOM FIN'L</t>
  </si>
  <si>
    <t>HUBBARD ROBERT J &amp; VICKY L</t>
  </si>
  <si>
    <t>SLATER</t>
  </si>
  <si>
    <t>ERICA &amp; JASON SLATER</t>
  </si>
  <si>
    <t xml:space="preserve">421 REDONDO DR W </t>
  </si>
  <si>
    <t xml:space="preserve">16219 W CRENSHAW ST </t>
  </si>
  <si>
    <t>LITCHFIELD PARK SUB  7 REPLATTED</t>
  </si>
  <si>
    <t>FUREY CHRISTOPHER T &amp; CELEST</t>
  </si>
  <si>
    <t>SLATER ERICA M &amp; JASON P</t>
  </si>
  <si>
    <t>COMPIAN</t>
  </si>
  <si>
    <t>JULIEANA</t>
  </si>
  <si>
    <t>COMPIAN &amp; JULIEANA JASMINE</t>
  </si>
  <si>
    <t xml:space="preserve">464 N PLEASANT DR </t>
  </si>
  <si>
    <t>ISLAMIC CENTER OF THE EAST VALLEY</t>
  </si>
  <si>
    <t>CORTEZ FLORENCIA TRUST</t>
  </si>
  <si>
    <t>COMPIAN BENNIE A &amp; JULIEANA J</t>
  </si>
  <si>
    <t>HOWARD &amp; CYNTHIA BROWNING</t>
  </si>
  <si>
    <t xml:space="preserve">2843 E NORCROFT CIR </t>
  </si>
  <si>
    <t xml:space="preserve">PO BOX 20732 </t>
  </si>
  <si>
    <t>ROSENBAUM MICHAEL L</t>
  </si>
  <si>
    <t>BROWNING HOWARD C</t>
  </si>
  <si>
    <t>RONN SOUTHWORTH AND MYONG KIM LIVING TRUST</t>
  </si>
  <si>
    <t xml:space="preserve">6963 W JUANA DR </t>
  </si>
  <si>
    <t>SONORAN MOUNTAIN RANCH PARCEL 10</t>
  </si>
  <si>
    <t>LEIPZIGER ROBERT B</t>
  </si>
  <si>
    <t>SOUTHWORTH RONN L</t>
  </si>
  <si>
    <t>KIM MYONG J</t>
  </si>
  <si>
    <t>JOSE &amp; JENNIFER ESCARCEGA</t>
  </si>
  <si>
    <t xml:space="preserve">5213 W EL CAMINITO DR </t>
  </si>
  <si>
    <t>CATANACH RICHARD N</t>
  </si>
  <si>
    <t>ESCARCEGA JOSE</t>
  </si>
  <si>
    <t>TURNEY</t>
  </si>
  <si>
    <t>JEFFREY &amp; CARLA TURNEY</t>
  </si>
  <si>
    <t xml:space="preserve">16456 W MESQUITE DR </t>
  </si>
  <si>
    <t>LEGACY RANCH</t>
  </si>
  <si>
    <t>LSH LAND INVS II LLC</t>
  </si>
  <si>
    <t>TURNEY JEFFREY R</t>
  </si>
  <si>
    <t>LONIERO</t>
  </si>
  <si>
    <t>EILEEN LONIERO</t>
  </si>
  <si>
    <t xml:space="preserve">3580 E COCONINO WAY </t>
  </si>
  <si>
    <t>DUDASH STEPHEN A &amp; MICHELLE</t>
  </si>
  <si>
    <t>LONIERO EILEEN A &amp; JOHN R</t>
  </si>
  <si>
    <t>IONIERO JOHN R</t>
  </si>
  <si>
    <t>CHOUNG</t>
  </si>
  <si>
    <t>MICHAEL &amp; TINA CHOUNG</t>
  </si>
  <si>
    <t xml:space="preserve">4338 E PRICKLY PEAR TRL </t>
  </si>
  <si>
    <t>TATUM HIGHLANDS PARCEL 19</t>
  </si>
  <si>
    <t>EDMONDS MICHAEL P</t>
  </si>
  <si>
    <t>CHOUNG MICHAEL I &amp; TINA Y</t>
  </si>
  <si>
    <t>DANDRON</t>
  </si>
  <si>
    <t>JEREMY DANDRON</t>
  </si>
  <si>
    <t xml:space="preserve">8010 W FOOTHILL DR </t>
  </si>
  <si>
    <t>GORSLIN RICHARD A</t>
  </si>
  <si>
    <t>DANDRON JEREMY S</t>
  </si>
  <si>
    <t>DARWIN</t>
  </si>
  <si>
    <t>ELIJAH</t>
  </si>
  <si>
    <t>DARWIN &amp; THERESA ELIJAH</t>
  </si>
  <si>
    <t xml:space="preserve">3291 E DEVONSHIRE AVE </t>
  </si>
  <si>
    <t>CORONADO RANCH PARCEL 9</t>
  </si>
  <si>
    <t>EVANS MADISON &amp; CHANDA</t>
  </si>
  <si>
    <t>ELIJAH DARWIN &amp; THERESA</t>
  </si>
  <si>
    <t>DAVID ALEXANDER</t>
  </si>
  <si>
    <t xml:space="preserve">17007 S 29TH WAY </t>
  </si>
  <si>
    <t>LAKEPOINT 21 AT LAKEWOOD</t>
  </si>
  <si>
    <t>LAKEPOINT AT LAKEWOOD WEST</t>
  </si>
  <si>
    <t>ROSSI LIVING TRUST</t>
  </si>
  <si>
    <t>ALEXANDER DAVID H</t>
  </si>
  <si>
    <t>SACKRIDER</t>
  </si>
  <si>
    <t>JEREMY &amp; DANA SACKRIDER</t>
  </si>
  <si>
    <t xml:space="preserve">22321 E ESCALANTE RD </t>
  </si>
  <si>
    <t>WESLEND FIN'L CORP</t>
  </si>
  <si>
    <t>SACKRIDER JEREMY &amp; DANA</t>
  </si>
  <si>
    <t>TREECE</t>
  </si>
  <si>
    <t>KEVIN TREECE</t>
  </si>
  <si>
    <t xml:space="preserve">11729 W CAMINO VIVAZ </t>
  </si>
  <si>
    <t>BROGDON VICKI L</t>
  </si>
  <si>
    <t>TREECE KEVIN J</t>
  </si>
  <si>
    <t>RUSSELL &amp; JILL ROSENTHAL</t>
  </si>
  <si>
    <t xml:space="preserve">17777 W VALENTINE ST </t>
  </si>
  <si>
    <t>ROSENTHAL RUSSELL CLINTON &amp; JILL L</t>
  </si>
  <si>
    <t>RUSSELL C ROSENTHAL</t>
  </si>
  <si>
    <t>JILL L ROSENTHAL</t>
  </si>
  <si>
    <t>ANGEL ROSA</t>
  </si>
  <si>
    <t xml:space="preserve">10746 W CLOVER WAY </t>
  </si>
  <si>
    <t>GARDEN LAKES LANDING</t>
  </si>
  <si>
    <t>HARBOR VIEW</t>
  </si>
  <si>
    <t>MADIGAN RANDALL O</t>
  </si>
  <si>
    <t>MOVEMENT MTG</t>
  </si>
  <si>
    <t>INDIAN LAND SC 29707</t>
  </si>
  <si>
    <t>ANGEL L ROSA</t>
  </si>
  <si>
    <t>ESPIRITU</t>
  </si>
  <si>
    <t>THEODORE &amp; ELIZABETH ESPIRITU</t>
  </si>
  <si>
    <t xml:space="preserve">5703 E GREENWAY ST </t>
  </si>
  <si>
    <t>LINKS AT ALTA MESA LOT 1-99 TRACT A-C</t>
  </si>
  <si>
    <t>LINKS AT ALTA MESA</t>
  </si>
  <si>
    <t>BEAIRD DARWIN J</t>
  </si>
  <si>
    <t>ESPIRITU THEODORE R &amp; ELIZABE</t>
  </si>
  <si>
    <t>KATIA</t>
  </si>
  <si>
    <t>DAVID &amp; KATIA STEPHENS</t>
  </si>
  <si>
    <t xml:space="preserve">27516 N 172ND AVE </t>
  </si>
  <si>
    <t>STEARNS LENDING LLC</t>
  </si>
  <si>
    <t>STEPHENS DAVID A &amp; KATIA</t>
  </si>
  <si>
    <t>TATUM</t>
  </si>
  <si>
    <t>PARRISH &amp; DEBRA TATUM</t>
  </si>
  <si>
    <t xml:space="preserve">18194 W YOUNG ST </t>
  </si>
  <si>
    <t>SURPRISE FARMS PHASE 3 PARCEL 2</t>
  </si>
  <si>
    <t>IRONWOOD SPRINGS</t>
  </si>
  <si>
    <t>TATUM PARRISH A &amp; DEBRA</t>
  </si>
  <si>
    <t>NETHERCUTT</t>
  </si>
  <si>
    <t>JON NETHERCUTT</t>
  </si>
  <si>
    <t xml:space="preserve">6506 S DORSEY LN </t>
  </si>
  <si>
    <t>THAYER GARY L &amp; ELISE M</t>
  </si>
  <si>
    <t>NETHERCUTT JON E</t>
  </si>
  <si>
    <t>JON E NETHERCUTT</t>
  </si>
  <si>
    <t>KEHOE</t>
  </si>
  <si>
    <t>PATRICK &amp; MICHELE KEHOE</t>
  </si>
  <si>
    <t xml:space="preserve">445 S PORT DR </t>
  </si>
  <si>
    <t>NEWPORT LOT 1-101</t>
  </si>
  <si>
    <t>NEWPORT</t>
  </si>
  <si>
    <t>DOTY DAN &amp; CHRISTINE A</t>
  </si>
  <si>
    <t>KEHOE PATRICK &amp; MICHELE</t>
  </si>
  <si>
    <t>STEVEN &amp; WENDY JONES</t>
  </si>
  <si>
    <t xml:space="preserve">14555 W VIRGINIA AVE </t>
  </si>
  <si>
    <t xml:space="preserve">10810 W ALVARADO RD </t>
  </si>
  <si>
    <t>TESTINI GAETANO</t>
  </si>
  <si>
    <t>JONES STEVEN B</t>
  </si>
  <si>
    <t>ABBY</t>
  </si>
  <si>
    <t>SPEIGHT</t>
  </si>
  <si>
    <t>TYRONE</t>
  </si>
  <si>
    <t>ABBY &amp; TYRONE SPEIGHT</t>
  </si>
  <si>
    <t xml:space="preserve">824 E AQUARIUS PL </t>
  </si>
  <si>
    <t>MCCLINTON ANTOINE D</t>
  </si>
  <si>
    <t>SPEIGHT ABBY C &amp; TYRONE T</t>
  </si>
  <si>
    <t>BRANDI</t>
  </si>
  <si>
    <t>DONALD &amp; BRANDI EDWARDS</t>
  </si>
  <si>
    <t xml:space="preserve">3847 E JAGUAR AVE </t>
  </si>
  <si>
    <t xml:space="preserve">3747 E JAGUAR AVE </t>
  </si>
  <si>
    <t>SEVILLE PARCEL 24</t>
  </si>
  <si>
    <t>CARNEROS</t>
  </si>
  <si>
    <t>CARRILLO RICARDO</t>
  </si>
  <si>
    <t>EDWARDS DONALD G &amp; BRANDI L</t>
  </si>
  <si>
    <t>SHIPLEY</t>
  </si>
  <si>
    <t>EVA-MARIE</t>
  </si>
  <si>
    <t>ETZEL</t>
  </si>
  <si>
    <t>ADAM SHIPLEY &amp; EVA-MARIE ETZEL</t>
  </si>
  <si>
    <t xml:space="preserve">27144 N WHITEHORN TRL </t>
  </si>
  <si>
    <t>WESTWING MOUNTAIN PARCEL 10</t>
  </si>
  <si>
    <t>VIDRIGHIN MARCEL</t>
  </si>
  <si>
    <t>SHIPLEY ADAM R</t>
  </si>
  <si>
    <t>ROBERT V PLANTE AND ROSEANN S PLANTE TRUST</t>
  </si>
  <si>
    <t xml:space="preserve">23657 S 220TH ST </t>
  </si>
  <si>
    <t>VILLAGES AT QUEEN CREEK PHASE 2</t>
  </si>
  <si>
    <t>MCGUIRE-PRESSLEY CLAUDIETT</t>
  </si>
  <si>
    <t>PLANTE ROBERT V</t>
  </si>
  <si>
    <t>BREETA</t>
  </si>
  <si>
    <t>SCOTT &amp; BREETA GARLAND</t>
  </si>
  <si>
    <t xml:space="preserve">9915 E NATAL AVE </t>
  </si>
  <si>
    <t>AUGUSTA RANCH PARCEL 14</t>
  </si>
  <si>
    <t>OLSEN BRIAN K</t>
  </si>
  <si>
    <t>GARLAND SCOTT E &amp; BREETA A</t>
  </si>
  <si>
    <t>SCOTT E GARLAND</t>
  </si>
  <si>
    <t>BREETA A GARLAND</t>
  </si>
  <si>
    <t>KAREM</t>
  </si>
  <si>
    <t>KAREM COLINDRES</t>
  </si>
  <si>
    <t xml:space="preserve">4925 E MARINO DR </t>
  </si>
  <si>
    <t>CUSUMANO BRIAN R</t>
  </si>
  <si>
    <t>COLINDRES KAREM PATRICIA</t>
  </si>
  <si>
    <t>STRAIT</t>
  </si>
  <si>
    <t>JOHN STRAIT</t>
  </si>
  <si>
    <t xml:space="preserve">5335 E HOLMES AVE </t>
  </si>
  <si>
    <t>SAN MICHELLE</t>
  </si>
  <si>
    <t>SOLID FOUNDATIONS TRUST</t>
  </si>
  <si>
    <t>JOHN A STRAIT</t>
  </si>
  <si>
    <t>EDRINALDO</t>
  </si>
  <si>
    <t>ALVAREZ</t>
  </si>
  <si>
    <t>EDRINALDO DALE &amp; HEIDY ALVAREZ</t>
  </si>
  <si>
    <t xml:space="preserve">7179 W SURREY AVE </t>
  </si>
  <si>
    <t>SWEETWATER RIDGE AMD</t>
  </si>
  <si>
    <t>COHEN MARK A &amp; PAULA H</t>
  </si>
  <si>
    <t>EDRINALDO D DALE</t>
  </si>
  <si>
    <t>HEIDY J ALVAREZ</t>
  </si>
  <si>
    <t>ALFRED MARTINEZ</t>
  </si>
  <si>
    <t xml:space="preserve">4952 S CALDERON </t>
  </si>
  <si>
    <t>MARTINEZ ALFRED SR</t>
  </si>
  <si>
    <t>DEVIN DIAZ</t>
  </si>
  <si>
    <t xml:space="preserve">1571 E SCOTT AVE </t>
  </si>
  <si>
    <t>COOMES RACHELE</t>
  </si>
  <si>
    <t>DIAZ DEVIN</t>
  </si>
  <si>
    <t>LIZZI</t>
  </si>
  <si>
    <t>NEYLON</t>
  </si>
  <si>
    <t>LIZZI &amp; PATRICK NEYLON</t>
  </si>
  <si>
    <t xml:space="preserve">7002 W CALAVAR RD </t>
  </si>
  <si>
    <t>LONG HORN RANCH</t>
  </si>
  <si>
    <t>GREIF MARGARET J</t>
  </si>
  <si>
    <t>NEYLON LIZZI &amp; PATRICK</t>
  </si>
  <si>
    <t>JOSEPH &amp; LAURIE KNAPP</t>
  </si>
  <si>
    <t xml:space="preserve">9114 S SAN PABLO DR </t>
  </si>
  <si>
    <t>ESTRELLA PARCEL  8</t>
  </si>
  <si>
    <t>GREGORY MICHAEL S</t>
  </si>
  <si>
    <t>KNAPP JOSEPH E</t>
  </si>
  <si>
    <t>KAHN</t>
  </si>
  <si>
    <t>JASON KAHN</t>
  </si>
  <si>
    <t xml:space="preserve">2540 W TANYA RD </t>
  </si>
  <si>
    <t>CREATIVE SOLUTIONS INVS LL</t>
  </si>
  <si>
    <t>KAHN JASON</t>
  </si>
  <si>
    <t>CHARITY HAMMONS-KAHN</t>
  </si>
  <si>
    <t>LUNDIN</t>
  </si>
  <si>
    <t>ARTHUR NEWTON &amp; DENISE LUNDIN</t>
  </si>
  <si>
    <t xml:space="preserve">36623 N 15TH AVE </t>
  </si>
  <si>
    <t>MILLER ABBY &amp; JAMES</t>
  </si>
  <si>
    <t>NEWTON ARTHUR F</t>
  </si>
  <si>
    <t>LUNDIN DENISE I</t>
  </si>
  <si>
    <t>FORMOSO</t>
  </si>
  <si>
    <t>ARTHUR &amp; HEIDI FORMOSO</t>
  </si>
  <si>
    <t xml:space="preserve">2878 E PORTOLA VALLEY CT </t>
  </si>
  <si>
    <t>WHITEWING AT HIGLEY</t>
  </si>
  <si>
    <t>BEHLING MICHAEL B</t>
  </si>
  <si>
    <t>FORMOSO ARTHUR</t>
  </si>
  <si>
    <t>BERRES FAMILY TRUST</t>
  </si>
  <si>
    <t>BERRES</t>
  </si>
  <si>
    <t xml:space="preserve">2953 W EASTMAN DR </t>
  </si>
  <si>
    <t>BROCKMAN COLBY A &amp; BRITTANY</t>
  </si>
  <si>
    <t>BERRES ROBERT J JR &amp; JUDITH A</t>
  </si>
  <si>
    <t>WHITEHOUSE ROBERT &amp; SHERYL TRUST</t>
  </si>
  <si>
    <t>ROBERT &amp; SHERYL WHITEHOUSE</t>
  </si>
  <si>
    <t xml:space="preserve">5320 E VIA LOS CABALLOS </t>
  </si>
  <si>
    <t>MOCKINGBIRD LANE ESTATES 4</t>
  </si>
  <si>
    <t>MOCKINGBIRD LANE ESTATES</t>
  </si>
  <si>
    <t>LINDEMOEN FAMILY TRUST</t>
  </si>
  <si>
    <t>WHITEHOUSE ROBERT D &amp; SHERYL S</t>
  </si>
  <si>
    <t>NELSON ERVIN C JR LIVING TRUST</t>
  </si>
  <si>
    <t>C NELSONERVIN</t>
  </si>
  <si>
    <t xml:space="preserve">1612 E MALLORY ST </t>
  </si>
  <si>
    <t>LANGER HOWARD W &amp; JEAN</t>
  </si>
  <si>
    <t>NELSON ERVIN C JR</t>
  </si>
  <si>
    <t>ELY P YANGO TRURST &amp; KATHERINE E MARTN TRUST</t>
  </si>
  <si>
    <t>ELY TRURST &amp; KATHERINE MARTN</t>
  </si>
  <si>
    <t xml:space="preserve">11281 E DEL TIMBRE DR </t>
  </si>
  <si>
    <t>EISNER DAVID A</t>
  </si>
  <si>
    <t>YANGO ELY P</t>
  </si>
  <si>
    <t>MARTIN KATHERINE E</t>
  </si>
  <si>
    <t>JUNCK FAMILY TRUST</t>
  </si>
  <si>
    <t>JUNCK</t>
  </si>
  <si>
    <t xml:space="preserve">938 E MYRNA LN </t>
  </si>
  <si>
    <t>CORONA VISTA LOT 1-29</t>
  </si>
  <si>
    <t>CORONA VISTA</t>
  </si>
  <si>
    <t>SEITER LIVING TRUST</t>
  </si>
  <si>
    <t>ARIZONA MTG SPECIALISTS</t>
  </si>
  <si>
    <t>JUNCK NEAL F</t>
  </si>
  <si>
    <t>WINSOR</t>
  </si>
  <si>
    <t>THERESEA</t>
  </si>
  <si>
    <t>ROBERT &amp; THERESEA WINSOR</t>
  </si>
  <si>
    <t xml:space="preserve">5723 E GABLE AVE </t>
  </si>
  <si>
    <t>LEE LYNDA L LIVING TRUST</t>
  </si>
  <si>
    <t>ROBERT J WINSOR</t>
  </si>
  <si>
    <t>THERESEA A WINSOR</t>
  </si>
  <si>
    <t>FLICK</t>
  </si>
  <si>
    <t>JOSEPH FLICK</t>
  </si>
  <si>
    <t xml:space="preserve">4722 E WINTU WAY </t>
  </si>
  <si>
    <t>GLICKMAN STEVEN H &amp; NANCY A</t>
  </si>
  <si>
    <t>OAKSTAR BK NA</t>
  </si>
  <si>
    <t>FLICK JOSEPH E</t>
  </si>
  <si>
    <t>RONALD FRANK OBRIEN AND LINDA ANN OBRIEN TR</t>
  </si>
  <si>
    <t xml:space="preserve">16441 S 176TH DR </t>
  </si>
  <si>
    <t>OBRIEN RONALD F &amp; LINDA ANN</t>
  </si>
  <si>
    <t>DANILYA</t>
  </si>
  <si>
    <t>STILCHEN</t>
  </si>
  <si>
    <t>DANILYA STILCHEN</t>
  </si>
  <si>
    <t xml:space="preserve">7409 W MELINDA LN </t>
  </si>
  <si>
    <t>TURANO STACY M</t>
  </si>
  <si>
    <t>STILCHEN DANILYA D</t>
  </si>
  <si>
    <t>JUSTIN &amp; ALYSSA SMITH</t>
  </si>
  <si>
    <t xml:space="preserve">13104 W ROWEL RD </t>
  </si>
  <si>
    <t>SMITH JUSTIN V &amp; ALYSSA K</t>
  </si>
  <si>
    <t>BRUNEY</t>
  </si>
  <si>
    <t>JOSEPH BRUNEY</t>
  </si>
  <si>
    <t xml:space="preserve">15093 N 158TH LN </t>
  </si>
  <si>
    <t>BRUNEY JOSEPH E</t>
  </si>
  <si>
    <t>JESSE &amp; ANGELA GARCIA</t>
  </si>
  <si>
    <t xml:space="preserve">16013 W ANASAZI ST </t>
  </si>
  <si>
    <t>WILLIAMSON BRANDON E</t>
  </si>
  <si>
    <t>GARCIA JESSE ANTHONY &amp; ANGELA</t>
  </si>
  <si>
    <t>HARPRING</t>
  </si>
  <si>
    <t>MATTHEW &amp; SARAH HARPRING</t>
  </si>
  <si>
    <t xml:space="preserve">1502 W GOLDEN LN </t>
  </si>
  <si>
    <t>MANSFIELD MANOR</t>
  </si>
  <si>
    <t>SERRANO RICARDO</t>
  </si>
  <si>
    <t>HARPRING SARAH &amp; MATTHEW</t>
  </si>
  <si>
    <t>FRANK WADE</t>
  </si>
  <si>
    <t xml:space="preserve">17226 N 36TH LN </t>
  </si>
  <si>
    <t>WOODRIDGE UNIT 3 LOT 315-435</t>
  </si>
  <si>
    <t>WOODRIDGE</t>
  </si>
  <si>
    <t>RICHARDS SHARON B</t>
  </si>
  <si>
    <t>WADE FRANK</t>
  </si>
  <si>
    <t>JAIMIE</t>
  </si>
  <si>
    <t>COOPER &amp; JAIMIE ANN</t>
  </si>
  <si>
    <t xml:space="preserve">16457 W LINCOLN ST </t>
  </si>
  <si>
    <t>COOPER MICHAEL J &amp; JAIMIE A</t>
  </si>
  <si>
    <t>JACOBS LIVING FAMILY TRUST</t>
  </si>
  <si>
    <t xml:space="preserve">1218 E CLARENDON AVE </t>
  </si>
  <si>
    <t>LONGVIEW CIRCLE AMD</t>
  </si>
  <si>
    <t>LONGVIEW CIRCLE</t>
  </si>
  <si>
    <t>BALLEW KIM O</t>
  </si>
  <si>
    <t>PULASKI BK</t>
  </si>
  <si>
    <t>SAINT LOUIS MO 63141</t>
  </si>
  <si>
    <t>CEIL</t>
  </si>
  <si>
    <t>BENDER &amp; SHARI CEIL</t>
  </si>
  <si>
    <t xml:space="preserve">16116 E GLENDORA DR </t>
  </si>
  <si>
    <t>GLENBROOK</t>
  </si>
  <si>
    <t>BALDWIN HEATHER M</t>
  </si>
  <si>
    <t>BENDER JACK E &amp; SHARI C</t>
  </si>
  <si>
    <t>STOVER</t>
  </si>
  <si>
    <t>LIZABETH</t>
  </si>
  <si>
    <t>ANDREW &amp; LIZABETH STOVER</t>
  </si>
  <si>
    <t xml:space="preserve">10842 W AVENIDA DEL REY </t>
  </si>
  <si>
    <t>TIERRA DEL RIO PARCEL 6</t>
  </si>
  <si>
    <t>MAKINSTER ANDREW &amp; BRIANNA</t>
  </si>
  <si>
    <t>STOVER ANDREW &amp; LIZABETH</t>
  </si>
  <si>
    <t>VALMIRA</t>
  </si>
  <si>
    <t>JORGE &amp; VALMIRA VALENCIA</t>
  </si>
  <si>
    <t xml:space="preserve">1565 N CONSTELLATION CT </t>
  </si>
  <si>
    <t>CAMPBELL DAVID E &amp; ROBERTA L</t>
  </si>
  <si>
    <t>VALENCIA JORGE &amp; VALMIRA</t>
  </si>
  <si>
    <t>JOSEPH &amp; CRYSTAL FLORES</t>
  </si>
  <si>
    <t xml:space="preserve">463 N RANGER TRL </t>
  </si>
  <si>
    <t>FLORES JOSEPH V &amp; CRYSTAL C</t>
  </si>
  <si>
    <t>WAGLEY ROBERT J LIVING TRUST</t>
  </si>
  <si>
    <t>J WAGLEYROBERT</t>
  </si>
  <si>
    <t xml:space="preserve">3710 W ANGELA DR </t>
  </si>
  <si>
    <t>WOODRIDGE UNIT 2</t>
  </si>
  <si>
    <t>FACER KATIE L</t>
  </si>
  <si>
    <t>WAGLEY ROBERT</t>
  </si>
  <si>
    <t>RICHARD &amp; JUDITH BUCHANAN REVOCABLE LIV TRUST</t>
  </si>
  <si>
    <t>RICHARD &amp; JUDITH BUCHANAN</t>
  </si>
  <si>
    <t xml:space="preserve">6823 S 19TH LN </t>
  </si>
  <si>
    <t>CLEARVISION FNDG</t>
  </si>
  <si>
    <t>BUCHANAN RICHARD A &amp; JUDITH L</t>
  </si>
  <si>
    <t>FOUSTNER</t>
  </si>
  <si>
    <t>MCKERN</t>
  </si>
  <si>
    <t>DENNIS FOUSTNER &amp; RAYMOND MCKERN</t>
  </si>
  <si>
    <t xml:space="preserve">2356 W TIERRA BUENA LN </t>
  </si>
  <si>
    <t>PONDEROSA HOMES NORTH UNIT TWO</t>
  </si>
  <si>
    <t>PONDEROSA HOMES NORTH</t>
  </si>
  <si>
    <t>DIKRANIAN RAFI</t>
  </si>
  <si>
    <t>FOUSTNER DENNIS</t>
  </si>
  <si>
    <t>MCKERN RAYMOND</t>
  </si>
  <si>
    <t>MAGGII</t>
  </si>
  <si>
    <t>JONATHAN &amp; MAGGII STONE</t>
  </si>
  <si>
    <t xml:space="preserve">3322 E TULSA ST </t>
  </si>
  <si>
    <t>LYONS GATE PHASE 8 REPLAT</t>
  </si>
  <si>
    <t>CROSBY BRET</t>
  </si>
  <si>
    <t>STONE JONATHAN</t>
  </si>
  <si>
    <t>LABOR THERESE A</t>
  </si>
  <si>
    <t xml:space="preserve">17579 W CORRINE DR </t>
  </si>
  <si>
    <t>HUGHES JOEL</t>
  </si>
  <si>
    <t>NICHOL</t>
  </si>
  <si>
    <t>JAMES &amp; CHARLENE NICHOL</t>
  </si>
  <si>
    <t xml:space="preserve">13785 W WINDSOR AVE </t>
  </si>
  <si>
    <t>PALM VALLEY PHASE 1 PARCEL 22 UNIT 2</t>
  </si>
  <si>
    <t>THE MIRAGE</t>
  </si>
  <si>
    <t>MEYER MICHAEL &amp; LAURIE TRUST</t>
  </si>
  <si>
    <t>NICHOL JAMES A &amp; CHARLENE P</t>
  </si>
  <si>
    <t>KIM WILLIS</t>
  </si>
  <si>
    <t xml:space="preserve">14401 N 12TH PL </t>
  </si>
  <si>
    <t>HILLCREST 9</t>
  </si>
  <si>
    <t>HILLCREST EAST</t>
  </si>
  <si>
    <t>WALLICK JOHN W</t>
  </si>
  <si>
    <t>WILLIS KIM JULIE</t>
  </si>
  <si>
    <t>ADAME</t>
  </si>
  <si>
    <t>OSCAR ADAME</t>
  </si>
  <si>
    <t xml:space="preserve">8025 S 5TH AVE </t>
  </si>
  <si>
    <t>ADAME OSCAR</t>
  </si>
  <si>
    <t>JOHN &amp; REGINA MARTINEZ</t>
  </si>
  <si>
    <t xml:space="preserve">1518 W POSADA AVE </t>
  </si>
  <si>
    <t>RUIZ-DIAZ C LIVING TRUST</t>
  </si>
  <si>
    <t>MARTINEZ JOHN P</t>
  </si>
  <si>
    <t>JOHN P MARTINEZ</t>
  </si>
  <si>
    <t>REGINA A MARTINEZ</t>
  </si>
  <si>
    <t>CONEDY</t>
  </si>
  <si>
    <t>BARBARA CONEDY</t>
  </si>
  <si>
    <t xml:space="preserve">15683 W TAYLOR ST </t>
  </si>
  <si>
    <t>JOHN CHANDLER</t>
  </si>
  <si>
    <t xml:space="preserve">1131 N PHEASANT DR </t>
  </si>
  <si>
    <t>KELLER SANDRA</t>
  </si>
  <si>
    <t>CHANDLER JOHN DWAYNE</t>
  </si>
  <si>
    <t>CARLOS D DELLAMADDALENA REVOCABLE TRUST</t>
  </si>
  <si>
    <t>CARLOS DELLAMADDALENA</t>
  </si>
  <si>
    <t xml:space="preserve">2204 E SIESTA LN </t>
  </si>
  <si>
    <t>DAVE BROWN MOUNTAIN SIDE RANCH</t>
  </si>
  <si>
    <t>GIAMMARINO FAMILY TRUST</t>
  </si>
  <si>
    <t>DELLAMADDALENA CARLOS D</t>
  </si>
  <si>
    <t>SWINBOURNE</t>
  </si>
  <si>
    <t>JOHN &amp; STEPHANIE SWINBOURNE</t>
  </si>
  <si>
    <t xml:space="preserve">17331 W YOUNG ST </t>
  </si>
  <si>
    <t>TAYLOR ROBERT D &amp; JENNIFER</t>
  </si>
  <si>
    <t>SWINBOURNE JOHN &amp; STEPHANIE</t>
  </si>
  <si>
    <t>MCPHAIL LINDA LIVING TRUST</t>
  </si>
  <si>
    <t>MCPHAILLINDA</t>
  </si>
  <si>
    <t xml:space="preserve">9252 E EL PASO ST </t>
  </si>
  <si>
    <t>SONORA PARKE AMD</t>
  </si>
  <si>
    <t>SONORAN PARK</t>
  </si>
  <si>
    <t>EBERHARDT ROBERT W &amp; SHERYL</t>
  </si>
  <si>
    <t>LINDA MCPHAIL</t>
  </si>
  <si>
    <t>KENNY</t>
  </si>
  <si>
    <t>KENNY KIM</t>
  </si>
  <si>
    <t xml:space="preserve">3056 N 127TH LN </t>
  </si>
  <si>
    <t>MEYER JOSHUA J &amp; JILL A</t>
  </si>
  <si>
    <t>KIM KENNY DAE HYUN</t>
  </si>
  <si>
    <t>CASSIE WILLIAMS</t>
  </si>
  <si>
    <t xml:space="preserve">20807 N 17TH AVE </t>
  </si>
  <si>
    <t>PALOS SANTOS LOT 1-179</t>
  </si>
  <si>
    <t>PALOS SANTOS</t>
  </si>
  <si>
    <t>MILLSAPS CHARLES R</t>
  </si>
  <si>
    <t>CASSIE A WILLIAMS</t>
  </si>
  <si>
    <t>GEREN</t>
  </si>
  <si>
    <t>MICHAEL GEREN</t>
  </si>
  <si>
    <t xml:space="preserve">301 W LEWIS AVE </t>
  </si>
  <si>
    <t>FAIRVIEW HOMES</t>
  </si>
  <si>
    <t>WICKENDEN THOMAS H</t>
  </si>
  <si>
    <t>GEREN MICHAEL A</t>
  </si>
  <si>
    <t>MICHAEL A GREEN</t>
  </si>
  <si>
    <t>HELLESTO</t>
  </si>
  <si>
    <t>BRIAN &amp; CATHERINE HELLESTO</t>
  </si>
  <si>
    <t xml:space="preserve">15210 N 174TH DR </t>
  </si>
  <si>
    <t>ROGERS KEVIN A</t>
  </si>
  <si>
    <t>HELLESTO BRIAN T</t>
  </si>
  <si>
    <t>MARI</t>
  </si>
  <si>
    <t>CARL &amp; MARI MAY</t>
  </si>
  <si>
    <t xml:space="preserve">12424 N 153RD AVE </t>
  </si>
  <si>
    <t>MAY CARL C JR &amp; MARI</t>
  </si>
  <si>
    <t>LAMBERT</t>
  </si>
  <si>
    <t>LAMBERT &amp; MONIQUE JANE</t>
  </si>
  <si>
    <t xml:space="preserve">9132 S WESTFALL AVE </t>
  </si>
  <si>
    <t>TEMPE VILLAGE</t>
  </si>
  <si>
    <t>CHHABRA SUMIT</t>
  </si>
  <si>
    <t>LAMBERT BRIAN PAUL &amp; MONIQUE</t>
  </si>
  <si>
    <t>ZAHNOW</t>
  </si>
  <si>
    <t>MICHAEL ZAHNOW</t>
  </si>
  <si>
    <t xml:space="preserve">18606 N 21ST ST </t>
  </si>
  <si>
    <t>MOUNTAIN ROSE UNIT 1</t>
  </si>
  <si>
    <t>MOUNTAIN ROSE</t>
  </si>
  <si>
    <t>HERNANDEZ RENE Q</t>
  </si>
  <si>
    <t>ZAHNOW MICHAEL D</t>
  </si>
  <si>
    <t>ALEX BRYANT</t>
  </si>
  <si>
    <t xml:space="preserve">328 W STANFORD AVE </t>
  </si>
  <si>
    <t>VILLA MADEIRA 1</t>
  </si>
  <si>
    <t>VILLA MADEIRA</t>
  </si>
  <si>
    <t>NASIF TARA N</t>
  </si>
  <si>
    <t>ALEX BRYANT JR</t>
  </si>
  <si>
    <t>MICHELLE &amp; DANIEL GOMEZ</t>
  </si>
  <si>
    <t xml:space="preserve">10719 E POSADA AVE </t>
  </si>
  <si>
    <t xml:space="preserve">924 S CERISE </t>
  </si>
  <si>
    <t>SANTA RITA RANCH PARCEL 8</t>
  </si>
  <si>
    <t>ROBERTSON LANCE V &amp; MICHELLE</t>
  </si>
  <si>
    <t>GOMEZ DANIEL &amp; MICHELLE</t>
  </si>
  <si>
    <t>WEHRER</t>
  </si>
  <si>
    <t>MICHAEL-WEHRER</t>
  </si>
  <si>
    <t>STEPHEN WEHRER &amp; TERRI MICHAEL-WEHRER</t>
  </si>
  <si>
    <t xml:space="preserve">3836 E ORCHID LN </t>
  </si>
  <si>
    <t>DWIVEDI MANEESH</t>
  </si>
  <si>
    <t>WEHRER STEPHEN M</t>
  </si>
  <si>
    <t>MICHAEL-WEHRER TERRI J</t>
  </si>
  <si>
    <t>HAMMON</t>
  </si>
  <si>
    <t>BOBBY &amp; AUBREY HAMMON</t>
  </si>
  <si>
    <t xml:space="preserve">13222 W INDIANOLA AVE </t>
  </si>
  <si>
    <t>GONZALEZ BONNIE A</t>
  </si>
  <si>
    <t>HAMMON BOBBY JR &amp; AUBREY</t>
  </si>
  <si>
    <t>HENNINGER</t>
  </si>
  <si>
    <t>ALLEN &amp; TRACY HENNINGER</t>
  </si>
  <si>
    <t xml:space="preserve">343 E SHERRI DR </t>
  </si>
  <si>
    <t>HENNINGER ALLEN O &amp; TRACY J</t>
  </si>
  <si>
    <t>ROBERT &amp; KATHERINE BAKER</t>
  </si>
  <si>
    <t xml:space="preserve">18832 N 32ND AVE </t>
  </si>
  <si>
    <t>COUNTRY RIDGE LOT 1-413 &amp; 415</t>
  </si>
  <si>
    <t>COUNTRY RIDGE</t>
  </si>
  <si>
    <t>MAGALI INVESTMENTS LLC</t>
  </si>
  <si>
    <t>BAKER ROBERT &amp; KATHERINE</t>
  </si>
  <si>
    <t>LISELLE</t>
  </si>
  <si>
    <t>STEVEN &amp; LISELLE WEST</t>
  </si>
  <si>
    <t xml:space="preserve">3756 S LOBACK LN </t>
  </si>
  <si>
    <t>SAN TAN RANCH PARCEL 12</t>
  </si>
  <si>
    <t>ARP PHOENIX FUND 1 LP</t>
  </si>
  <si>
    <t>WEST STEVEN</t>
  </si>
  <si>
    <t>HOSMER</t>
  </si>
  <si>
    <t>DELRAY</t>
  </si>
  <si>
    <t>HOSMER &amp; DELRAY RAY</t>
  </si>
  <si>
    <t xml:space="preserve">15850 W BERKELEY RD </t>
  </si>
  <si>
    <t>ROBERT D HOSMER</t>
  </si>
  <si>
    <t>ANDRIA D HOSMER</t>
  </si>
  <si>
    <t>DEL REY HOSMER</t>
  </si>
  <si>
    <t>HYSON</t>
  </si>
  <si>
    <t>CHRIS HYSON</t>
  </si>
  <si>
    <t xml:space="preserve">8506 W GROSS AVE </t>
  </si>
  <si>
    <t>RYLAND AT HERITAGE POINT REPLAT</t>
  </si>
  <si>
    <t>RYLAND AT HERITAGE POINT</t>
  </si>
  <si>
    <t>DOS RIOS ELEMENTARY SCHOOL</t>
  </si>
  <si>
    <t>HILL HOWARD I</t>
  </si>
  <si>
    <t>DOANE</t>
  </si>
  <si>
    <t>CHRISTOPHER DOANE</t>
  </si>
  <si>
    <t xml:space="preserve">11153 E SEGURA AVE </t>
  </si>
  <si>
    <t>LADUE BENJAMIN M</t>
  </si>
  <si>
    <t>DOANE CHRISTOPHER D</t>
  </si>
  <si>
    <t>BERTTY</t>
  </si>
  <si>
    <t>DENNIS BERTTY</t>
  </si>
  <si>
    <t xml:space="preserve">3550 N 301ST LN </t>
  </si>
  <si>
    <t>SHAFFER HAROLD D</t>
  </si>
  <si>
    <t>BERTTY DENNIS A</t>
  </si>
  <si>
    <t>MINARD</t>
  </si>
  <si>
    <t>CHARLES &amp; JESSICA MINARD</t>
  </si>
  <si>
    <t xml:space="preserve">7513 W ST KATERI DR </t>
  </si>
  <si>
    <t>CHARLES R MINARD</t>
  </si>
  <si>
    <t>JESSICA R MINARD</t>
  </si>
  <si>
    <t>ZIRBES</t>
  </si>
  <si>
    <t>WALTER ZIRBES &amp; LISA BOWERS</t>
  </si>
  <si>
    <t xml:space="preserve">3330 E WAHALLA LN </t>
  </si>
  <si>
    <t>KAUFMAN &amp; BROAD AT DESERT CANYON</t>
  </si>
  <si>
    <t>KAUFMAN BROAD AT DESERT CANYON</t>
  </si>
  <si>
    <t>SNYDER STEPHANIE</t>
  </si>
  <si>
    <t>ZIRBES WALTER B</t>
  </si>
  <si>
    <t>BOWERS LISA M</t>
  </si>
  <si>
    <t>MICHAEL JOHNSON &amp; STEPHANIE AUSTIN</t>
  </si>
  <si>
    <t xml:space="preserve">307 E WINDSOR CT </t>
  </si>
  <si>
    <t>SETTLER'S POINT SOUTH</t>
  </si>
  <si>
    <t>MATTSSON JOHN</t>
  </si>
  <si>
    <t>JOHNSON MICHAEL</t>
  </si>
  <si>
    <t>STROMBERG</t>
  </si>
  <si>
    <t>JACK &amp; YOLANDA STROMBERG</t>
  </si>
  <si>
    <t xml:space="preserve">6138 N ORO VISTA CT </t>
  </si>
  <si>
    <t>STROMBERG JACK D</t>
  </si>
  <si>
    <t>SCANLON</t>
  </si>
  <si>
    <t>TIMOTHY SCANLON</t>
  </si>
  <si>
    <t xml:space="preserve">4408 E DOUGLAS AVE </t>
  </si>
  <si>
    <t>SPI ARIZONA HOMES LP</t>
  </si>
  <si>
    <t>SCANLON TIMOTHY</t>
  </si>
  <si>
    <t>BIVINS</t>
  </si>
  <si>
    <t>MOLLIE</t>
  </si>
  <si>
    <t>DEREK &amp; MOLLIE BIVINS</t>
  </si>
  <si>
    <t xml:space="preserve">15810 N 156TH CT </t>
  </si>
  <si>
    <t>CASEY JOHN E</t>
  </si>
  <si>
    <t>BIVINS DEREK C &amp; MOLLIE</t>
  </si>
  <si>
    <t>CHELGREN</t>
  </si>
  <si>
    <t>BRIAN &amp; AMY CHELGREN</t>
  </si>
  <si>
    <t xml:space="preserve">3012 E CARLA VISTA DR </t>
  </si>
  <si>
    <t>SUBIONO YVONNE K</t>
  </si>
  <si>
    <t>CHELGREN BRIAN P &amp; AMY B</t>
  </si>
  <si>
    <t>JOSHUA KURTZ</t>
  </si>
  <si>
    <t xml:space="preserve">7438 E NIDO AVE </t>
  </si>
  <si>
    <t>GENE FREDDIE &amp; SYLVIA</t>
  </si>
  <si>
    <t>AMERICAN INTERNET MTG INC</t>
  </si>
  <si>
    <t>KURTZ JOSHUA M</t>
  </si>
  <si>
    <t>MOSKETTI</t>
  </si>
  <si>
    <t>JERRY &amp; AMY MOSKETTI</t>
  </si>
  <si>
    <t xml:space="preserve">10829 W SALTER DR </t>
  </si>
  <si>
    <t>WILDFLOWER POINT 2</t>
  </si>
  <si>
    <t>DEHNERT MICHAEL L &amp; JOYCE A</t>
  </si>
  <si>
    <t>MOSKETTI JERRY E &amp; AMY M</t>
  </si>
  <si>
    <t>KATHRYN &amp; PAUL WHITE</t>
  </si>
  <si>
    <t xml:space="preserve">14582 W CAMERON DR </t>
  </si>
  <si>
    <t>NEMECEK MELYNDA</t>
  </si>
  <si>
    <t>WHITE KATHRYN L &amp; PAUL R</t>
  </si>
  <si>
    <t>ALLGOOD</t>
  </si>
  <si>
    <t>LLOYD &amp; LISA ALLGOOD</t>
  </si>
  <si>
    <t xml:space="preserve">2075 E INDIAN WELLS DR </t>
  </si>
  <si>
    <t>GEPHART JONATHAN</t>
  </si>
  <si>
    <t>ALLGOOD LLOYD N</t>
  </si>
  <si>
    <t>FERRY</t>
  </si>
  <si>
    <t>RICHARD FERRY</t>
  </si>
  <si>
    <t xml:space="preserve">14620 N GREENHURST AVE </t>
  </si>
  <si>
    <t xml:space="preserve">PO BOX 18095 </t>
  </si>
  <si>
    <t>FOUNTAIN HILLS AZ FP 111</t>
  </si>
  <si>
    <t>STEWART KIM L &amp; JOHN C</t>
  </si>
  <si>
    <t>FERRY RICHARD A</t>
  </si>
  <si>
    <t>JARED &amp; ANGELA WOLFE</t>
  </si>
  <si>
    <t xml:space="preserve">15859 W POINSETTIA DR </t>
  </si>
  <si>
    <t>WOLFE JARED</t>
  </si>
  <si>
    <t>WOLFE JARED &amp; ANGELA R</t>
  </si>
  <si>
    <t>AARON HOLDER</t>
  </si>
  <si>
    <t xml:space="preserve">17453 W JACKSON ST </t>
  </si>
  <si>
    <t>CANYON TRAILS UNIT 4 WEST PARCEL B1</t>
  </si>
  <si>
    <t>DUCHAK ROBERT</t>
  </si>
  <si>
    <t>HOLDER AARON C</t>
  </si>
  <si>
    <t>HESTER</t>
  </si>
  <si>
    <t>KEVIN JORGENSEN &amp; DANIEL HESTER</t>
  </si>
  <si>
    <t xml:space="preserve">2241 E VIRGINIA AVE </t>
  </si>
  <si>
    <t>GREENFIELD GARDENS  BLKS 6  7</t>
  </si>
  <si>
    <t>GREENFIELD GARDENS</t>
  </si>
  <si>
    <t>WILLIAM T. MACHAN ELEMENTARY SCHOOL</t>
  </si>
  <si>
    <t>BENSTINE TRACI</t>
  </si>
  <si>
    <t>ERICSON</t>
  </si>
  <si>
    <t>KELLY ERICSON</t>
  </si>
  <si>
    <t xml:space="preserve">4027 E CAMPO BELLO DR </t>
  </si>
  <si>
    <t>PARADISE VILLA</t>
  </si>
  <si>
    <t>SOUTHWEST EQUITY PROPS LLC</t>
  </si>
  <si>
    <t>ERICSON KELLY</t>
  </si>
  <si>
    <t>ROSARIO</t>
  </si>
  <si>
    <t>JAMES &amp; ROSARIO ANDRADE</t>
  </si>
  <si>
    <t xml:space="preserve">704 E BROOKS ST </t>
  </si>
  <si>
    <t>STONEGATE CROSSING LOT 1-129</t>
  </si>
  <si>
    <t>COTTRELL DAVID A</t>
  </si>
  <si>
    <t>JAMES A ANDRADE</t>
  </si>
  <si>
    <t>ROSARIO ANDRADE</t>
  </si>
  <si>
    <t>LIGEN</t>
  </si>
  <si>
    <t>FELLER</t>
  </si>
  <si>
    <t>LIGEN &amp; SEAN FELLER</t>
  </si>
  <si>
    <t xml:space="preserve">2307 W SLEEPY RANCH RD </t>
  </si>
  <si>
    <t>KERTH AARON N</t>
  </si>
  <si>
    <t>LOANSTAR HM LNDG</t>
  </si>
  <si>
    <t>FELLER LIGEN E &amp; SEAN M</t>
  </si>
  <si>
    <t>LUIS &amp; DANIELLE GONZALEZ</t>
  </si>
  <si>
    <t xml:space="preserve">4236 S SAWMILL RD </t>
  </si>
  <si>
    <t>POWER RANCH NEIGHBORHOOD 6 PHASE 2A</t>
  </si>
  <si>
    <t>ROBINSON CHRISTOPHER M &amp; AMY</t>
  </si>
  <si>
    <t>OTHER INSTITUTIONAL LENDE</t>
  </si>
  <si>
    <t>LUIS G GONZALEZ</t>
  </si>
  <si>
    <t>DANIELLE GONZALEZ</t>
  </si>
  <si>
    <t>POTTS</t>
  </si>
  <si>
    <t>WILLIAM POTTS</t>
  </si>
  <si>
    <t xml:space="preserve">1123 S LONGWOOD LOOP </t>
  </si>
  <si>
    <t>APACHE COUNTRY CLUB ESTS 1</t>
  </si>
  <si>
    <t>KUSSMANN GREGORY S</t>
  </si>
  <si>
    <t>AMERICAN FNDG</t>
  </si>
  <si>
    <t>WEBER</t>
  </si>
  <si>
    <t>DOUGLAS &amp; ANDREA WEBER</t>
  </si>
  <si>
    <t xml:space="preserve">21372 N 79TH DR </t>
  </si>
  <si>
    <t>WITKOWSKI JASON</t>
  </si>
  <si>
    <t>WEBER DOUGLAS A JR &amp; ANDREA</t>
  </si>
  <si>
    <t>HUTTNER</t>
  </si>
  <si>
    <t>SHASTA</t>
  </si>
  <si>
    <t>MATTHEW &amp; SHASTA HUTTNER</t>
  </si>
  <si>
    <t xml:space="preserve">15574 W JENAN DR </t>
  </si>
  <si>
    <t>HUTTNER MATTHEW L &amp; SHASTA R</t>
  </si>
  <si>
    <t>HOAN</t>
  </si>
  <si>
    <t>HOAN NGUYEN</t>
  </si>
  <si>
    <t xml:space="preserve">7831 S 14TH ST </t>
  </si>
  <si>
    <t>FOOTHILL CITRUS PARK</t>
  </si>
  <si>
    <t>ERB DEL R</t>
  </si>
  <si>
    <t>ERB JOSHUA B &amp; TRINA M</t>
  </si>
  <si>
    <t>LIGHT</t>
  </si>
  <si>
    <t>STEVEN &amp; JANICE LIGHT</t>
  </si>
  <si>
    <t xml:space="preserve">2229 W STEED RDG </t>
  </si>
  <si>
    <t>LIGHT STEVEN D</t>
  </si>
  <si>
    <t>PERREIRA</t>
  </si>
  <si>
    <t>TERRI PERREIRA</t>
  </si>
  <si>
    <t xml:space="preserve">11838 S 194TH DR </t>
  </si>
  <si>
    <t>GRAND VIEW RANCHES</t>
  </si>
  <si>
    <t>JOHN STANLEY K &amp; ELIZABETH A</t>
  </si>
  <si>
    <t>PERREIRA TERRI P</t>
  </si>
  <si>
    <t>FRIESEN</t>
  </si>
  <si>
    <t>THOMAS &amp; ROSEMARY FRIESEN</t>
  </si>
  <si>
    <t xml:space="preserve">2523 N 79TH ST </t>
  </si>
  <si>
    <t>FRIESEN THOMAS &amp; ROSEMARY</t>
  </si>
  <si>
    <t>JOHN E MOHN</t>
  </si>
  <si>
    <t>DEBRA M MOHN</t>
  </si>
  <si>
    <t>COLE</t>
  </si>
  <si>
    <t>VI</t>
  </si>
  <si>
    <t>VI FRANKLIN &amp; EDNA VI</t>
  </si>
  <si>
    <t xml:space="preserve">17504 W EAST WIND AVE </t>
  </si>
  <si>
    <t>HALL MARK R</t>
  </si>
  <si>
    <t>PAUL F COLE</t>
  </si>
  <si>
    <t>EDNA V COLE</t>
  </si>
  <si>
    <t>DENNETT</t>
  </si>
  <si>
    <t>DENNIS &amp; ADELA DENNETT</t>
  </si>
  <si>
    <t xml:space="preserve">11638 S 47TH AVE </t>
  </si>
  <si>
    <t>ORANGE VALLEY TRACT</t>
  </si>
  <si>
    <t>ORANGE VALLEY</t>
  </si>
  <si>
    <t>VAN BERGGREN MICHAEL</t>
  </si>
  <si>
    <t>DENNETT DENNIS J &amp; ADELA E</t>
  </si>
  <si>
    <t>CHRISTOPHER KENNEDY</t>
  </si>
  <si>
    <t xml:space="preserve">1631 W MADDOCK RD </t>
  </si>
  <si>
    <t>SCHATZBERG NANCY J</t>
  </si>
  <si>
    <t>KENNEDY CHRISTOPHER L</t>
  </si>
  <si>
    <t>DOLD</t>
  </si>
  <si>
    <t>MATTHEW DOLD</t>
  </si>
  <si>
    <t xml:space="preserve">3001 W RAPALO RD </t>
  </si>
  <si>
    <t>FOX ERIC M</t>
  </si>
  <si>
    <t>DOLD MATTHEW G</t>
  </si>
  <si>
    <t>AVERY</t>
  </si>
  <si>
    <t>MARVIN AVERY</t>
  </si>
  <si>
    <t xml:space="preserve">4131 W SAINT ANNE AVE </t>
  </si>
  <si>
    <t>GARRETT TONY &amp; JANETTE</t>
  </si>
  <si>
    <t>AVERY MARVIN R JR</t>
  </si>
  <si>
    <t>MAYFIELD MEREDITH</t>
  </si>
  <si>
    <t>ANDIGO CU</t>
  </si>
  <si>
    <t>SCHAUMBURG IL 60173</t>
  </si>
  <si>
    <t>MARVIN R AVERY</t>
  </si>
  <si>
    <t>ROSWARSKI</t>
  </si>
  <si>
    <t>TED &amp; MARY ROSWARSKI</t>
  </si>
  <si>
    <t xml:space="preserve">1881 E VAUGHN ST </t>
  </si>
  <si>
    <t>CAMELOT VILLAGE 1 LOT 1-72</t>
  </si>
  <si>
    <t>SMITH MICHAEL T W</t>
  </si>
  <si>
    <t>ROSWARSKI TED A &amp; MARY J</t>
  </si>
  <si>
    <t>HALLECK</t>
  </si>
  <si>
    <t>MATTHEW &amp; ANGELICA HALLECK</t>
  </si>
  <si>
    <t xml:space="preserve">15024 W CHARTER OAK RD </t>
  </si>
  <si>
    <t>LASURE ANTHONY</t>
  </si>
  <si>
    <t>HALLECK MATTHEW D &amp; ANGELICA</t>
  </si>
  <si>
    <t>COLLINS &amp; PATRICIA ANN</t>
  </si>
  <si>
    <t xml:space="preserve">7628 E TURQUOISE AVE </t>
  </si>
  <si>
    <t>JASON MANOR LOT 1-48 &amp; TR A-C</t>
  </si>
  <si>
    <t>JASON MANOR</t>
  </si>
  <si>
    <t>COLLINS MARK A &amp; PATRICIA A</t>
  </si>
  <si>
    <t>ROBERT &amp; DANIELLE JOHNSON</t>
  </si>
  <si>
    <t xml:space="preserve">22266 E CHERRYWOOD CT </t>
  </si>
  <si>
    <t>JOHNSON ROBERT D &amp; DANIELLE R</t>
  </si>
  <si>
    <t>TUTOP</t>
  </si>
  <si>
    <t>CHARLES &amp; JEANNE TUTOP</t>
  </si>
  <si>
    <t xml:space="preserve">6781 W MONONA DR </t>
  </si>
  <si>
    <t>WAINER BRIAN G</t>
  </si>
  <si>
    <t>TUTOP CHARLES A</t>
  </si>
  <si>
    <t>NATHAN &amp; RITA DEAN</t>
  </si>
  <si>
    <t xml:space="preserve">1546 W BERRIDGE LN </t>
  </si>
  <si>
    <t>DEAN NATHAN E &amp; RITA J</t>
  </si>
  <si>
    <t>LORSON</t>
  </si>
  <si>
    <t>JOHN &amp; KAREN LORSON</t>
  </si>
  <si>
    <t xml:space="preserve">12517 W MILTON DR </t>
  </si>
  <si>
    <t xml:space="preserve">3120 W CAREFREE HWY 1-104 </t>
  </si>
  <si>
    <t>VISTANCIA VILLAGE A PARCEL A9 REPLAT</t>
  </si>
  <si>
    <t>MORRISON STEVE R &amp; DARAWAN</t>
  </si>
  <si>
    <t>JOHN P LORSON</t>
  </si>
  <si>
    <t>KAREN L LORSON</t>
  </si>
  <si>
    <t>DIEKELMAN</t>
  </si>
  <si>
    <t>HATHAWAY</t>
  </si>
  <si>
    <t>BRIAN DIEKELMAN &amp; HEATHER HATHAWAY</t>
  </si>
  <si>
    <t xml:space="preserve">3924 S WILSON DR </t>
  </si>
  <si>
    <t>ARTESIAN RANCH</t>
  </si>
  <si>
    <t>DIEKELMAN BRIAN</t>
  </si>
  <si>
    <t>HATHAWAY HEATHER</t>
  </si>
  <si>
    <t>JACQUEZ</t>
  </si>
  <si>
    <t>DEBBIE &amp; JAIME JACQUEZ</t>
  </si>
  <si>
    <t xml:space="preserve">19110 E TONTO TRL </t>
  </si>
  <si>
    <t>RIO VERDE UNIT 8 LOT 923-1016 A1-A8 S &amp;</t>
  </si>
  <si>
    <t>SCHUTTE WILLIAM J &amp; BEVERLEE</t>
  </si>
  <si>
    <t>JACQUEZ DEBBIE A &amp; JAIME</t>
  </si>
  <si>
    <t>PATRICK &amp; DENISE GALLAGHER</t>
  </si>
  <si>
    <t xml:space="preserve">3273 W VENICE WAY </t>
  </si>
  <si>
    <t>GRANT DEED</t>
  </si>
  <si>
    <t>BARA BERNARD J &amp; GERRI L</t>
  </si>
  <si>
    <t>GALLAGHER PATRICK &amp; DENISE</t>
  </si>
  <si>
    <t>CHAD &amp; RACHEL HANSEN</t>
  </si>
  <si>
    <t xml:space="preserve">5677 S 236TH AVE </t>
  </si>
  <si>
    <t>DASILVA KEVIN</t>
  </si>
  <si>
    <t>CHAD HANSEN</t>
  </si>
  <si>
    <t>RACHEL HANSEN</t>
  </si>
  <si>
    <t>CAYLOR</t>
  </si>
  <si>
    <t>RICK CAYLOR</t>
  </si>
  <si>
    <t xml:space="preserve">14447 S 40TH PL </t>
  </si>
  <si>
    <t>SCOTT DAYNA M</t>
  </si>
  <si>
    <t>CAYLOR RICK W</t>
  </si>
  <si>
    <t>SCHILLER</t>
  </si>
  <si>
    <t>DONALD SCHILLER</t>
  </si>
  <si>
    <t xml:space="preserve">780 S KENNETH PL </t>
  </si>
  <si>
    <t>NGUYEN AN Q</t>
  </si>
  <si>
    <t>SCHILLER DONALD K</t>
  </si>
  <si>
    <t>VENTURA</t>
  </si>
  <si>
    <t>ANTHONY VENTURA</t>
  </si>
  <si>
    <t xml:space="preserve">25820 N 41ST DR </t>
  </si>
  <si>
    <t>SORENSEN CLINTON B</t>
  </si>
  <si>
    <t>VENTURA ANTHONY</t>
  </si>
  <si>
    <t>CHRISTOPHER KIRK</t>
  </si>
  <si>
    <t xml:space="preserve">321 W MESQUITE ST </t>
  </si>
  <si>
    <t>PROJECT 12 ASSOCIATES LOT 1-176</t>
  </si>
  <si>
    <t>WATERS DAVID</t>
  </si>
  <si>
    <t>KIRK CHRISTOPHER L</t>
  </si>
  <si>
    <t>RUSTY DAY</t>
  </si>
  <si>
    <t xml:space="preserve">7420 N 181ST AVE </t>
  </si>
  <si>
    <t>BOJANSKI AGNES K FAMILY TRUST</t>
  </si>
  <si>
    <t>DAY RUSTY D</t>
  </si>
  <si>
    <t>CAPUTO</t>
  </si>
  <si>
    <t>ROBERT &amp; BONNIE CAPUTO</t>
  </si>
  <si>
    <t xml:space="preserve">21992 E CAMACHO RD </t>
  </si>
  <si>
    <t>CAPUTO ROBERT G</t>
  </si>
  <si>
    <t>ROBERT &amp; JENNIFER ACOSTA</t>
  </si>
  <si>
    <t xml:space="preserve">793 N 156TH LN </t>
  </si>
  <si>
    <t>ACOSTA ROBERT L</t>
  </si>
  <si>
    <t>CODY &amp; JAIME DEAN</t>
  </si>
  <si>
    <t xml:space="preserve">33013 N 61ST ST </t>
  </si>
  <si>
    <t>CLEMENTS MARIANNE</t>
  </si>
  <si>
    <t>DEAN CODY</t>
  </si>
  <si>
    <t>DEAN CODY &amp; JAIME</t>
  </si>
  <si>
    <t>DOOLITTLE</t>
  </si>
  <si>
    <t>ALEX &amp; KIMBERLY DOOLITTLE</t>
  </si>
  <si>
    <t xml:space="preserve">354 S 166TH AVE </t>
  </si>
  <si>
    <t>DOOLITTLE ALEX M</t>
  </si>
  <si>
    <t>DALE &amp; MICHAELA WADDELL</t>
  </si>
  <si>
    <t xml:space="preserve">17520 W BUCHANAN ST </t>
  </si>
  <si>
    <t>WADDELL DALE E &amp; MICHAELA</t>
  </si>
  <si>
    <t>ALAINA PATTERSON</t>
  </si>
  <si>
    <t xml:space="preserve">4128 E VEST AVE </t>
  </si>
  <si>
    <t>ZUNIGA ESTELA G</t>
  </si>
  <si>
    <t>PATTERSON ALAINA</t>
  </si>
  <si>
    <t>COLE FAMILY TRUST</t>
  </si>
  <si>
    <t xml:space="preserve">16458 E LOS SAGUAROS CT </t>
  </si>
  <si>
    <t>LAS MONTANAS DEL SOL</t>
  </si>
  <si>
    <t>MJFFH3 LLC</t>
  </si>
  <si>
    <t>COLE CHRISTOPHER A</t>
  </si>
  <si>
    <t>BROWN TRACEY S</t>
  </si>
  <si>
    <t>OSTERMYER</t>
  </si>
  <si>
    <t>BRANDY &amp; ANDREW OSTERMYER</t>
  </si>
  <si>
    <t xml:space="preserve">18319 W TURQUOISE AVE </t>
  </si>
  <si>
    <t>OSTERMYER BRANDY &amp; ANDREW</t>
  </si>
  <si>
    <t>EKADIS</t>
  </si>
  <si>
    <t>SHAWNY</t>
  </si>
  <si>
    <t>WILLIAM &amp; SHAWNY EKADIS</t>
  </si>
  <si>
    <t xml:space="preserve">6063 E MCLELLAN RD </t>
  </si>
  <si>
    <t xml:space="preserve">2733 N POWER RD #460 </t>
  </si>
  <si>
    <t>MCWILLIAMS MICHAEL G</t>
  </si>
  <si>
    <t>EKADIS WILLIAM M</t>
  </si>
  <si>
    <t>MICHAEL ROBINSON</t>
  </si>
  <si>
    <t xml:space="preserve">16416 N 31ST DR </t>
  </si>
  <si>
    <t>RANCHO ENCANTO UNIT TWO LOT 216-318</t>
  </si>
  <si>
    <t>STEWART ANTHONY J</t>
  </si>
  <si>
    <t>ROBINSON MICHAEL J</t>
  </si>
  <si>
    <t>HONEYCUTT</t>
  </si>
  <si>
    <t>KELI</t>
  </si>
  <si>
    <t>JERRY &amp; KELI HONEYCUTT</t>
  </si>
  <si>
    <t xml:space="preserve">8625 E HILLVIEW ST </t>
  </si>
  <si>
    <t>GRANDVIEW ESTATES</t>
  </si>
  <si>
    <t>PEART RYAN &amp; REBECCA</t>
  </si>
  <si>
    <t>HONEYCUTT JERRY R &amp; KELI R</t>
  </si>
  <si>
    <t>TACKETT</t>
  </si>
  <si>
    <t>ALLYSON</t>
  </si>
  <si>
    <t>MICHAEL &amp; ALLYSON TACKETT</t>
  </si>
  <si>
    <t xml:space="preserve">4525 E PARADISE LN </t>
  </si>
  <si>
    <t>ROADRUNNER ESTATES EAST UNIT 8 LOT 819-8</t>
  </si>
  <si>
    <t>GINRICH LLC</t>
  </si>
  <si>
    <t>TACKETT MICHAEL &amp; ALLYSON</t>
  </si>
  <si>
    <t>MICHAEL TACKETT</t>
  </si>
  <si>
    <t>ALLYSON TACKETT</t>
  </si>
  <si>
    <t>BRITTNEY WEBER</t>
  </si>
  <si>
    <t xml:space="preserve">4014 W DANBURY DR </t>
  </si>
  <si>
    <t>DESERT PINES  LOT 1-75</t>
  </si>
  <si>
    <t>MCALLISTER JOHN K</t>
  </si>
  <si>
    <t>WEBER BRITTNEY N</t>
  </si>
  <si>
    <t>STEVE &amp; HILLARY WEST</t>
  </si>
  <si>
    <t xml:space="preserve">15829 E PONDEROSA DR </t>
  </si>
  <si>
    <t>FOUNTAIN HILLS AZ FP 601B BLK 3-4 REPLAT</t>
  </si>
  <si>
    <t>HAMPTON RICHARD &amp; SHERRI</t>
  </si>
  <si>
    <t>WEST STEVEN &amp; HILLARY</t>
  </si>
  <si>
    <t>STEVE WEST</t>
  </si>
  <si>
    <t>HILLARY WEST</t>
  </si>
  <si>
    <t>MOISES</t>
  </si>
  <si>
    <t>MOISES RAMIREZ</t>
  </si>
  <si>
    <t xml:space="preserve">15854 W FILLMORE ST </t>
  </si>
  <si>
    <t>RAMIREZ MOISES</t>
  </si>
  <si>
    <t>SUZON</t>
  </si>
  <si>
    <t>ERIC &amp; SUZON HANSEN</t>
  </si>
  <si>
    <t xml:space="preserve">2699 E FIRESTONE DR </t>
  </si>
  <si>
    <t>LEONARD JASON</t>
  </si>
  <si>
    <t>HANSEN ERIC &amp; SUZON</t>
  </si>
  <si>
    <t>CROW</t>
  </si>
  <si>
    <t>THERESE</t>
  </si>
  <si>
    <t>SAMUEL CROW &amp; THERESE TAYLOR</t>
  </si>
  <si>
    <t xml:space="preserve">21508 N 74TH LN </t>
  </si>
  <si>
    <t>SOZA PAMELA J</t>
  </si>
  <si>
    <t>CROW SAMUEL D</t>
  </si>
  <si>
    <t>TAYLOR THERESE M</t>
  </si>
  <si>
    <t>PAONESSA</t>
  </si>
  <si>
    <t>PAUL PAONESSA</t>
  </si>
  <si>
    <t xml:space="preserve">2328 W ACAPULCO LN </t>
  </si>
  <si>
    <t>CANYON CREEK DEER VALLEY 2</t>
  </si>
  <si>
    <t>CANYON CREEK DEER VALLEY</t>
  </si>
  <si>
    <t>SCHNEIDER ROBIN A</t>
  </si>
  <si>
    <t>PAONESSA PAUL S</t>
  </si>
  <si>
    <t>TANNER</t>
  </si>
  <si>
    <t>KIMBERLEE</t>
  </si>
  <si>
    <t>JOHN &amp; KIMBERLEE TANNER</t>
  </si>
  <si>
    <t xml:space="preserve">6516 S 72ND LN </t>
  </si>
  <si>
    <t>EMPIRE RESIDL OPPORTUNITY FUND</t>
  </si>
  <si>
    <t>TANNER JOHN &amp; KIMBERLEE</t>
  </si>
  <si>
    <t>JOHN TANNER</t>
  </si>
  <si>
    <t>KIMBERLEE TANNER</t>
  </si>
  <si>
    <t>NORGON</t>
  </si>
  <si>
    <t>JAMES &amp; PATRICIA NORGON</t>
  </si>
  <si>
    <t xml:space="preserve">21609 N 145TH DR </t>
  </si>
  <si>
    <t>SPRINGER PATRICIA J</t>
  </si>
  <si>
    <t>DOUGLAS BEVERIDGE</t>
  </si>
  <si>
    <t xml:space="preserve">17639 W SURREY DR </t>
  </si>
  <si>
    <t>LINDSAY WILLIAM F</t>
  </si>
  <si>
    <t>BEVERIDGE DOUGLAS</t>
  </si>
  <si>
    <t>J &amp; A DAVIDSON DAVIDSON</t>
  </si>
  <si>
    <t xml:space="preserve">1839 E INDIANOLA AVE </t>
  </si>
  <si>
    <t>BATE LUKE</t>
  </si>
  <si>
    <t>DAVIDSON JESSE</t>
  </si>
  <si>
    <t>MARGARITA</t>
  </si>
  <si>
    <t>DANIEL &amp; MARGARITA DUNN</t>
  </si>
  <si>
    <t xml:space="preserve">6233 W BAJADA RD </t>
  </si>
  <si>
    <t>63RD AVENUE AND JOMAX ROAD</t>
  </si>
  <si>
    <t>AVENUE JOMAX ROAD</t>
  </si>
  <si>
    <t>JONES DAVID A</t>
  </si>
  <si>
    <t>DUNN DANIEL L</t>
  </si>
  <si>
    <t>ADAM &amp; TIFFANY BAKER</t>
  </si>
  <si>
    <t xml:space="preserve">2953 E MELROSE ST </t>
  </si>
  <si>
    <t>MCDERMOTT JONATHAN &amp; MORGAN</t>
  </si>
  <si>
    <t>BAKER ADAM &amp; TIFFANY</t>
  </si>
  <si>
    <t>JONES &amp; CHRISTINE KAY</t>
  </si>
  <si>
    <t xml:space="preserve">12911 N 57TH AVE </t>
  </si>
  <si>
    <t>MISSION GROVES 4 &amp; 5</t>
  </si>
  <si>
    <t>RHODES ROBERT D</t>
  </si>
  <si>
    <t>JONES JOHN SCOTT &amp; CHRISTINE</t>
  </si>
  <si>
    <t>KARSTENS</t>
  </si>
  <si>
    <t>GARRETT KARSTENS</t>
  </si>
  <si>
    <t xml:space="preserve">169 E GAIL DR </t>
  </si>
  <si>
    <t>KARSTENS GARRETT W</t>
  </si>
  <si>
    <t>BATRONIS</t>
  </si>
  <si>
    <t>BRIAN &amp; LORI BATRONIS</t>
  </si>
  <si>
    <t xml:space="preserve">912 E DREXEL DR </t>
  </si>
  <si>
    <t>LAYTON LAKES PARCEL 6</t>
  </si>
  <si>
    <t>THE FOOTHILLS</t>
  </si>
  <si>
    <t>NARDELLI KENNETH J</t>
  </si>
  <si>
    <t>BATRONIS BRIAN &amp; LORI</t>
  </si>
  <si>
    <t>HECKLER</t>
  </si>
  <si>
    <t>THOMAS &amp; JEANNE HECKLER</t>
  </si>
  <si>
    <t xml:space="preserve">629 W NIDO AVE </t>
  </si>
  <si>
    <t>RANCHO DEL MAR UNIT 1 LOT 1-254 TR A-C</t>
  </si>
  <si>
    <t>POLONSKY DAVID A</t>
  </si>
  <si>
    <t>HECKLER THOMAS M</t>
  </si>
  <si>
    <t>BLACKARD</t>
  </si>
  <si>
    <t>MICHAEL &amp; JOYCE BLACKARD</t>
  </si>
  <si>
    <t xml:space="preserve">5043 S BRICE </t>
  </si>
  <si>
    <t>BLACKARD MICHAEL D &amp; JOYCE J</t>
  </si>
  <si>
    <t>STROLE</t>
  </si>
  <si>
    <t>MARK &amp; ANTOINETTE STROLE</t>
  </si>
  <si>
    <t xml:space="preserve">3060 N RIDGECREST #93 </t>
  </si>
  <si>
    <t>DESERT VISTAS UNIT 2 AT LAS SENDAS</t>
  </si>
  <si>
    <t>DESERT VISTAS AT LAS SENDAS</t>
  </si>
  <si>
    <t>WINNICKI JERRY</t>
  </si>
  <si>
    <t>STROLE MARK R</t>
  </si>
  <si>
    <t>STROLE MARK R &amp; ANTOINETTE S</t>
  </si>
  <si>
    <t>SEAN MAHONEY</t>
  </si>
  <si>
    <t xml:space="preserve">19985 E CARRIAGE WAY </t>
  </si>
  <si>
    <t>BYRNE FAMILY TRUST</t>
  </si>
  <si>
    <t>MAHONEY SEAN P</t>
  </si>
  <si>
    <t>ROBERT WEBB</t>
  </si>
  <si>
    <t xml:space="preserve">441 E BLUEBELL LN </t>
  </si>
  <si>
    <t>MARLBOROUGH PARK ESTATES LOT 1-177 TR A-</t>
  </si>
  <si>
    <t>MARLBOROUGH PARK ESTATES</t>
  </si>
  <si>
    <t>SPENCER ALAN G</t>
  </si>
  <si>
    <t>WEBB ROBERT M</t>
  </si>
  <si>
    <t xml:space="preserve">7904 S 29TH PL </t>
  </si>
  <si>
    <t>BLOSSOM HILLS 2</t>
  </si>
  <si>
    <t>BLOSSOM HILLS</t>
  </si>
  <si>
    <t>BLACKWELL JOCQUESE</t>
  </si>
  <si>
    <t>WILLIAMS LESLEY</t>
  </si>
  <si>
    <t>ROBERT AND KERRY HARRIS REVOCABLE TRUST</t>
  </si>
  <si>
    <t xml:space="preserve">8424 W LOUISE CT </t>
  </si>
  <si>
    <t>HARRIS ROBERT &amp; KERRY</t>
  </si>
  <si>
    <t>ANTHONY WEST</t>
  </si>
  <si>
    <t xml:space="preserve">16359 W MESQUITE DR </t>
  </si>
  <si>
    <t>WEST ANTHONY A</t>
  </si>
  <si>
    <t>NESBITT</t>
  </si>
  <si>
    <t>DOWLING-NESBITT</t>
  </si>
  <si>
    <t>JOSEPH NESBITT &amp; MARY DOWLING-NESBITT</t>
  </si>
  <si>
    <t xml:space="preserve">2127 E GELDING DR </t>
  </si>
  <si>
    <t>CAVE CREEK UNIT 1 LOT 1-153 TR A-C</t>
  </si>
  <si>
    <t>BLEDSOE TOM H &amp; BELINDA N</t>
  </si>
  <si>
    <t>JOSEPH S NESBITT</t>
  </si>
  <si>
    <t>MARY M DOWLING-NESBITT</t>
  </si>
  <si>
    <t>POWE</t>
  </si>
  <si>
    <t>DIANNE</t>
  </si>
  <si>
    <t>GLEN &amp; DIANNE POWE</t>
  </si>
  <si>
    <t xml:space="preserve">13727 S 176TH LN </t>
  </si>
  <si>
    <t>GAGAJEWSKI ANTHONY W &amp; MICHE</t>
  </si>
  <si>
    <t>POWE GLEN &amp; DIANNE</t>
  </si>
  <si>
    <t>GLEN POWE</t>
  </si>
  <si>
    <t>DIANNE POWE</t>
  </si>
  <si>
    <t>DANTONIO</t>
  </si>
  <si>
    <t>BRYAN &amp; MICHELLE DANTONIO</t>
  </si>
  <si>
    <t xml:space="preserve">7931 W ROSE GARDEN LN </t>
  </si>
  <si>
    <t>LAUFER PAUL &amp; JULIA TRUST</t>
  </si>
  <si>
    <t>DANTONIO BRYAN T</t>
  </si>
  <si>
    <t>DEANNE</t>
  </si>
  <si>
    <t>REGAN</t>
  </si>
  <si>
    <t>HOWE</t>
  </si>
  <si>
    <t>DEANNE FLOYD &amp; REGAN HOWE</t>
  </si>
  <si>
    <t xml:space="preserve">26959 W UTOPIA RD </t>
  </si>
  <si>
    <t xml:space="preserve">10 BATCHELOR TER </t>
  </si>
  <si>
    <t>SUN CITY FESTIVAL PARCEL R1</t>
  </si>
  <si>
    <t>RICHARD FRANKLIN T &amp; MARYELLEN B</t>
  </si>
  <si>
    <t>RUNNELS</t>
  </si>
  <si>
    <t>GENA</t>
  </si>
  <si>
    <t>RYAN &amp; GENA RUNNELS</t>
  </si>
  <si>
    <t xml:space="preserve">7137 W BUCKSKIN TRL </t>
  </si>
  <si>
    <t>GRACE CASSANDRA</t>
  </si>
  <si>
    <t>LOANSTAR HOME LENDING</t>
  </si>
  <si>
    <t>RUNNELS RYAN &amp; GENE</t>
  </si>
  <si>
    <t>WIMBLEY</t>
  </si>
  <si>
    <t>TARA WIMBLEY</t>
  </si>
  <si>
    <t xml:space="preserve">2751 W SUNLAND AVE </t>
  </si>
  <si>
    <t>WIMBLEY TARA M</t>
  </si>
  <si>
    <t>HOLZMANN</t>
  </si>
  <si>
    <t>AMY HOLZMANN</t>
  </si>
  <si>
    <t xml:space="preserve">12207 N 40TH AVE </t>
  </si>
  <si>
    <t>ZEIDAN MOHAMAD</t>
  </si>
  <si>
    <t>HOLZMANN AMY</t>
  </si>
  <si>
    <t>ANDREADIS</t>
  </si>
  <si>
    <t>LOUIS &amp; ELIZABETH ANDREADIS</t>
  </si>
  <si>
    <t xml:space="preserve">6538 E REGINA ST </t>
  </si>
  <si>
    <t>TRUEBLOOD N L &amp; R L TRUST</t>
  </si>
  <si>
    <t>ANDREADIS LOUIS R &amp; ELIZABETH</t>
  </si>
  <si>
    <t>MCKEAN</t>
  </si>
  <si>
    <t>TIMOTHY &amp; MICHELE MCKEAN</t>
  </si>
  <si>
    <t xml:space="preserve">2832 E REDWOOD PL </t>
  </si>
  <si>
    <t>MCKEAN TIMOTHY &amp; MICHELE</t>
  </si>
  <si>
    <t>KELLY &amp; JASON HENRY</t>
  </si>
  <si>
    <t xml:space="preserve">1108 S ROLES DR </t>
  </si>
  <si>
    <t>WEBB BRADLEY J &amp; KIMBERLY E</t>
  </si>
  <si>
    <t>HENRY KELLY-ANNE &amp; JASON A</t>
  </si>
  <si>
    <t>VELASQUEZ</t>
  </si>
  <si>
    <t>GEORGIA</t>
  </si>
  <si>
    <t>RUDY &amp; GEORGIA VELASQUEZ</t>
  </si>
  <si>
    <t xml:space="preserve">14702 W HERITAGE DR </t>
  </si>
  <si>
    <t>STANNEBEIN FAMILY LLC</t>
  </si>
  <si>
    <t>RUDY L VELASQUEZ</t>
  </si>
  <si>
    <t>GEORGIA D VELASQUEZ</t>
  </si>
  <si>
    <t>GITHENS</t>
  </si>
  <si>
    <t>TIMOTHY GITHENS</t>
  </si>
  <si>
    <t xml:space="preserve">2756 E PRESTON ST </t>
  </si>
  <si>
    <t>GITHENS TIMOTHY J</t>
  </si>
  <si>
    <t>BRUCE &amp; JOAN SMITH</t>
  </si>
  <si>
    <t xml:space="preserve">15643 S 26TH WAY </t>
  </si>
  <si>
    <t>MM PROPERTIES 26 LLC</t>
  </si>
  <si>
    <t>SMITH BRUCE E &amp; JOAN L</t>
  </si>
  <si>
    <t>CRONIN</t>
  </si>
  <si>
    <t>NICHOLAS CRONIN</t>
  </si>
  <si>
    <t xml:space="preserve">1730 S GILMORE CIR </t>
  </si>
  <si>
    <t>CC SINA CORP</t>
  </si>
  <si>
    <t>CRONIN NICHOLAS B</t>
  </si>
  <si>
    <t>MARKLE</t>
  </si>
  <si>
    <t>LARRY &amp; AMANDA MARKLE</t>
  </si>
  <si>
    <t xml:space="preserve">4721 W PORT AU PRINCE LN </t>
  </si>
  <si>
    <t>SUNBURST FARMS  5</t>
  </si>
  <si>
    <t>SUNBURST FARMS</t>
  </si>
  <si>
    <t>BOYER NATE &amp; LISA</t>
  </si>
  <si>
    <t>MARKLE LARRY J</t>
  </si>
  <si>
    <t>REBECCA LEE &amp; EDWARD KIM</t>
  </si>
  <si>
    <t xml:space="preserve">7640 S SORRELL LN </t>
  </si>
  <si>
    <t>SAUSER GARY F TRUST</t>
  </si>
  <si>
    <t>LEE REBECCA J</t>
  </si>
  <si>
    <t>KIM EDWARD U</t>
  </si>
  <si>
    <t>KASHINO</t>
  </si>
  <si>
    <t>WILHELMINA</t>
  </si>
  <si>
    <t>TIMOTHY &amp; WILHELMINA KASHINO</t>
  </si>
  <si>
    <t xml:space="preserve">3735 E STAMPEDE DR </t>
  </si>
  <si>
    <t>POWER RANCH NEIGHBORHOOD 6 PHASE 1</t>
  </si>
  <si>
    <t>MCCAFFREY DARRIN K &amp; RUBINETTE</t>
  </si>
  <si>
    <t>KASHINO TIMOTHY P &amp; WILHELMINA M</t>
  </si>
  <si>
    <t>ROBERT &amp; ANDREA SMALL</t>
  </si>
  <si>
    <t xml:space="preserve">16027 S 13TH PL </t>
  </si>
  <si>
    <t>FAIRWAYS AT THE FOOTHILLS</t>
  </si>
  <si>
    <t>GIANNETTI PETE &amp; WENDY S</t>
  </si>
  <si>
    <t>SMALL ROBERT &amp; ANDREA</t>
  </si>
  <si>
    <t>RATLIFF</t>
  </si>
  <si>
    <t>JAMES &amp; ELIZABETH RATLIFF</t>
  </si>
  <si>
    <t xml:space="preserve">15491 W MOONLIGHT WAY </t>
  </si>
  <si>
    <t>SUN CITY GRAND SKYVIEW</t>
  </si>
  <si>
    <t>SCHWARTZ WILLIAM F &amp; KATHLEE</t>
  </si>
  <si>
    <t>RATLIFF JAMES O &amp; ELIZABETH S</t>
  </si>
  <si>
    <t>FE</t>
  </si>
  <si>
    <t>CENTENERA</t>
  </si>
  <si>
    <t>FE CENTENERA &amp; CHRISTINE KNUTSON</t>
  </si>
  <si>
    <t xml:space="preserve">14127 W MANDALAY LN </t>
  </si>
  <si>
    <t>COLE JUSTIN S &amp; HEATHER C</t>
  </si>
  <si>
    <t>CENTENERA FE</t>
  </si>
  <si>
    <t>KNUTSON CHRISTINE</t>
  </si>
  <si>
    <t>ROY &amp; CYNTHIA DAVIS</t>
  </si>
  <si>
    <t xml:space="preserve">39919 N WISDOM WAY </t>
  </si>
  <si>
    <t>ANTHEM UNIT 9 AMD</t>
  </si>
  <si>
    <t>C &amp; W HOME LLC IV</t>
  </si>
  <si>
    <t>DAVIS ROY S &amp; CYNTHIA Y</t>
  </si>
  <si>
    <t>KOHUT</t>
  </si>
  <si>
    <t>MARK &amp; ANN KOHUT</t>
  </si>
  <si>
    <t xml:space="preserve">10421 E EAST DR </t>
  </si>
  <si>
    <t>KOHUT MARK A &amp; ANN M</t>
  </si>
  <si>
    <t>SCHERWIN</t>
  </si>
  <si>
    <t>KREIN</t>
  </si>
  <si>
    <t>SCHERWIN KREIN</t>
  </si>
  <si>
    <t xml:space="preserve">1812 S 367TH AVE </t>
  </si>
  <si>
    <t>PEREZ EDUARDO A</t>
  </si>
  <si>
    <t>KREIN SCHERWIN</t>
  </si>
  <si>
    <t>EBERT-TACKETT LIVING TRUST</t>
  </si>
  <si>
    <t>EBERT-TACKETT</t>
  </si>
  <si>
    <t xml:space="preserve">4827 E FERNWOOD CT </t>
  </si>
  <si>
    <t>PARCEL 30 AT TATUM RANCH</t>
  </si>
  <si>
    <t>PHNX HSNG SOLUTIONS II LLC</t>
  </si>
  <si>
    <t>TACKETT PATRICIA A</t>
  </si>
  <si>
    <t>EBERT LOWELL W II</t>
  </si>
  <si>
    <t>RONALD &amp; ANGELA ROBERTS</t>
  </si>
  <si>
    <t xml:space="preserve">28512 N 203RD AVE </t>
  </si>
  <si>
    <t>BRYANT STEPHANIE A R TRUST</t>
  </si>
  <si>
    <t>ROBERTS RONALD K &amp; ANGELA C</t>
  </si>
  <si>
    <t>DANA &amp; RICHARD HUDSON</t>
  </si>
  <si>
    <t xml:space="preserve">39033 N 11TH AVE </t>
  </si>
  <si>
    <t>MOSHIER KENNETH C</t>
  </si>
  <si>
    <t>HUDSON DANA E</t>
  </si>
  <si>
    <t>TYLER SHERMAN</t>
  </si>
  <si>
    <t xml:space="preserve">55255 N VULTURE MINE RD </t>
  </si>
  <si>
    <t>HUMANE SOCIETY OF WICKENBURG</t>
  </si>
  <si>
    <t>SHERMAN TYLER J</t>
  </si>
  <si>
    <t>BAYNE</t>
  </si>
  <si>
    <t>WADE &amp; NICOLE BAYNE</t>
  </si>
  <si>
    <t xml:space="preserve">28322 N 210TH AVE </t>
  </si>
  <si>
    <t>GOVE SUSAN P</t>
  </si>
  <si>
    <t>BAYNE WADE A</t>
  </si>
  <si>
    <t>SEABAUGH</t>
  </si>
  <si>
    <t>RAMONA</t>
  </si>
  <si>
    <t>DAVID &amp; RAMONA SEABAUGH</t>
  </si>
  <si>
    <t xml:space="preserve">12343 N 129TH PL </t>
  </si>
  <si>
    <t>PARCEL 15 AT SCOTTSDALE MOUNTAIN PHASE 2</t>
  </si>
  <si>
    <t>PENA JOHN G</t>
  </si>
  <si>
    <t>DAVID L SEABAUGH</t>
  </si>
  <si>
    <t>RAMONA SEABAUGH</t>
  </si>
  <si>
    <t>PETER &amp; JEANNE FISHER</t>
  </si>
  <si>
    <t xml:space="preserve">8230 E ARROYO SECO RD </t>
  </si>
  <si>
    <t>SAND FLOWER 2</t>
  </si>
  <si>
    <t>SAND FLOWER</t>
  </si>
  <si>
    <t>RAICHERT LESLIE M</t>
  </si>
  <si>
    <t>FISHER PETER F &amp; JEANNE A</t>
  </si>
  <si>
    <t>DAVID &amp; NANCY WILLIAMS</t>
  </si>
  <si>
    <t xml:space="preserve">42416 N CROSSWATER WAY </t>
  </si>
  <si>
    <t>ANTHEM COUNTRY CLUB UNIT 15 BALTUSROL RE</t>
  </si>
  <si>
    <t>LINDSAY RUSSELL W</t>
  </si>
  <si>
    <t>WILLIAMS DAVID T</t>
  </si>
  <si>
    <t>CLEBANOFF</t>
  </si>
  <si>
    <t>MITCHELL &amp; RITA CLEBANOFF</t>
  </si>
  <si>
    <t xml:space="preserve">9724 W BRIARWOOD CIR </t>
  </si>
  <si>
    <t>DOLAN RICHARD T</t>
  </si>
  <si>
    <t>CLEBANOFF MITCHELL H &amp; RITA H</t>
  </si>
  <si>
    <t>URNESS</t>
  </si>
  <si>
    <t>CHRISTOPHER &amp; ROSEMARY URNESS</t>
  </si>
  <si>
    <t xml:space="preserve">42139 N MOUNTAIN COVE DR </t>
  </si>
  <si>
    <t>ANTHEM UNIT 48</t>
  </si>
  <si>
    <t>CRAWFORD AARON &amp; LESIA</t>
  </si>
  <si>
    <t>URNESS CHRISTOPHER T &amp; ROSEMARY</t>
  </si>
  <si>
    <t>DENNIS DOYLE</t>
  </si>
  <si>
    <t xml:space="preserve">25204 N 50TH DR </t>
  </si>
  <si>
    <t>INDIAN SPRINGS ESTATES LOT 1-132 TR A-F</t>
  </si>
  <si>
    <t>INDIAN SPRINGS ESTATES</t>
  </si>
  <si>
    <t>ROHLWING GARY L</t>
  </si>
  <si>
    <t>DOYLE DENNIS M</t>
  </si>
  <si>
    <t>FIRST PRIORITY BK</t>
  </si>
  <si>
    <t>DOYLE DENNIS M JR</t>
  </si>
  <si>
    <t>GEOFFREY &amp; CHELSEA OWENS</t>
  </si>
  <si>
    <t xml:space="preserve">14285 W CHRISTY DR </t>
  </si>
  <si>
    <t>SIKES DAVID</t>
  </si>
  <si>
    <t>OWENS GEOFFREY R</t>
  </si>
  <si>
    <t>GWYNDOLYNN</t>
  </si>
  <si>
    <t>KENNETH &amp; GWYNDOLYNN GENTRY</t>
  </si>
  <si>
    <t xml:space="preserve">3500 S VELERO ST </t>
  </si>
  <si>
    <t>SAGUARO CANYON</t>
  </si>
  <si>
    <t>BRESSLER WILLIAM L</t>
  </si>
  <si>
    <t>GENTRY KENNETH E &amp; GWYNDOLYNN</t>
  </si>
  <si>
    <t>PUGSLEY</t>
  </si>
  <si>
    <t>CHARLES &amp; AMY PUGSLEY</t>
  </si>
  <si>
    <t xml:space="preserve">4917 W MAGELLAN DR </t>
  </si>
  <si>
    <t>RICHARDSON DOUGLAS C &amp; MARLA</t>
  </si>
  <si>
    <t>PUGSLEY CHARLES &amp; AMY</t>
  </si>
  <si>
    <t>SUCHER</t>
  </si>
  <si>
    <t>JOSEPH &amp; MARY SUCHER</t>
  </si>
  <si>
    <t xml:space="preserve">11831 N 56TH ST </t>
  </si>
  <si>
    <t>CENTURY CLUB ESTATES</t>
  </si>
  <si>
    <t>CAPONE ANTHONY B</t>
  </si>
  <si>
    <t>SUCHER JOSEPH F &amp; MARY I</t>
  </si>
  <si>
    <t>SEAN &amp; DARCIE SAUNDERS</t>
  </si>
  <si>
    <t xml:space="preserve">4502 W AUGUSTA AVE </t>
  </si>
  <si>
    <t>HAMLET LOT 1-6</t>
  </si>
  <si>
    <t>HAMLET</t>
  </si>
  <si>
    <t>FIELDS THOMAS M</t>
  </si>
  <si>
    <t>SAUNDERS SEAN C &amp; DARCIE G</t>
  </si>
  <si>
    <t>BURGETT FAMILY LIVING TRUST</t>
  </si>
  <si>
    <t>BURGETT</t>
  </si>
  <si>
    <t xml:space="preserve">2154 E ROCKWOOD DR </t>
  </si>
  <si>
    <t>MOUNTAIN ROSE UNIT 1 AMENDED</t>
  </si>
  <si>
    <t>NIELSEN DERALD L</t>
  </si>
  <si>
    <t>BURGETT DAVID</t>
  </si>
  <si>
    <t>DAVID BURGETT</t>
  </si>
  <si>
    <t>KATHLEEN BURGETT</t>
  </si>
  <si>
    <t>CARINA</t>
  </si>
  <si>
    <t>KELVIN &amp; CARINA NICHOLAS</t>
  </si>
  <si>
    <t xml:space="preserve">3960 E HEATHER CT </t>
  </si>
  <si>
    <t>DED HOMES LLC</t>
  </si>
  <si>
    <t>NICHOLAS CARINA B</t>
  </si>
  <si>
    <t>GEOFFREY &amp; SARAH HUNT</t>
  </si>
  <si>
    <t xml:space="preserve">4319 E INDIANOLA AVE </t>
  </si>
  <si>
    <t>LYNDA MANOR</t>
  </si>
  <si>
    <t>AJZ LLC</t>
  </si>
  <si>
    <t>HUNT GEOFFREY F</t>
  </si>
  <si>
    <t>DOWNING</t>
  </si>
  <si>
    <t>TOM DOWNING</t>
  </si>
  <si>
    <t xml:space="preserve">1324 E BOSTON ST </t>
  </si>
  <si>
    <t>PESTKA LYNEE</t>
  </si>
  <si>
    <t>TOM J DOWNING</t>
  </si>
  <si>
    <t>GRATOPP FAMILY LIVING TRUST</t>
  </si>
  <si>
    <t>PAT</t>
  </si>
  <si>
    <t>GRATOPP</t>
  </si>
  <si>
    <t xml:space="preserve">23816 S GLENBURN DR </t>
  </si>
  <si>
    <t>SUN LAKES UNIT 44</t>
  </si>
  <si>
    <t>MENA LIVING TRUST</t>
  </si>
  <si>
    <t>CLATON K GRATOP</t>
  </si>
  <si>
    <t>PAT B GRATOPP</t>
  </si>
  <si>
    <t>ARGELIA</t>
  </si>
  <si>
    <t>JOEL &amp; ARGELIA GARCIA</t>
  </si>
  <si>
    <t xml:space="preserve">15626 W BERKELEY RD </t>
  </si>
  <si>
    <t>GARCIA JOEL &amp; ARGELIA</t>
  </si>
  <si>
    <t>MORIN</t>
  </si>
  <si>
    <t>MORIN &amp; JENNIFER LEE</t>
  </si>
  <si>
    <t xml:space="preserve">5127 W DESERT COVE AVE </t>
  </si>
  <si>
    <t>MCLAUGHLIN NAOMI J</t>
  </si>
  <si>
    <t>MORIN KAMAL A &amp; JENNIFER L</t>
  </si>
  <si>
    <t>COPELAND</t>
  </si>
  <si>
    <t>HERNANDEZ-COPELAND</t>
  </si>
  <si>
    <t>COREY COPELAND &amp; YESENIA HERNANDEZ-COPELAND</t>
  </si>
  <si>
    <t xml:space="preserve">561 N 158TH DR </t>
  </si>
  <si>
    <t>COPELAND COREY A</t>
  </si>
  <si>
    <t>HERNANDEZ-COPELAND YESENIA</t>
  </si>
  <si>
    <t>AARON RICHTER</t>
  </si>
  <si>
    <t xml:space="preserve">15542 W HAMMOND DR </t>
  </si>
  <si>
    <t>DIAZ JENNIFER &amp; DANIEL</t>
  </si>
  <si>
    <t>RICHTER AARON</t>
  </si>
  <si>
    <t>ROJAS</t>
  </si>
  <si>
    <t>JOSE ROJAS</t>
  </si>
  <si>
    <t xml:space="preserve">2361 E WHITTEN ST </t>
  </si>
  <si>
    <t>CROSSON JUDY</t>
  </si>
  <si>
    <t>DEVALLE</t>
  </si>
  <si>
    <t>CUSLIDGE</t>
  </si>
  <si>
    <t>MIGUEL DEVALLE &amp; CATHERINE CUSLIDGE</t>
  </si>
  <si>
    <t xml:space="preserve">2559 E HAZELTINE WAY </t>
  </si>
  <si>
    <t>VAN NIEKERK JOHANNES A</t>
  </si>
  <si>
    <t>DEVALLE MIGUEL</t>
  </si>
  <si>
    <t>CUSLIDGE CATHERINE</t>
  </si>
  <si>
    <t>HUGO</t>
  </si>
  <si>
    <t>HUGO &amp; LAURIE SALAZAR</t>
  </si>
  <si>
    <t xml:space="preserve">18226 W MARSHALL CT </t>
  </si>
  <si>
    <t>RUSSELL RANCH PHASE 3 REPLAT</t>
  </si>
  <si>
    <t>RUSSELL RANCH</t>
  </si>
  <si>
    <t>ALLEN LESLIE</t>
  </si>
  <si>
    <t>SALAZAR HUGO</t>
  </si>
  <si>
    <t>BAUMGARTNER</t>
  </si>
  <si>
    <t>CARYN</t>
  </si>
  <si>
    <t>BAUMGARTNER &amp; CARYN HOLLY</t>
  </si>
  <si>
    <t xml:space="preserve">6253 E STAR VALLEY ST </t>
  </si>
  <si>
    <t>FLERCHINGER BILLIE J</t>
  </si>
  <si>
    <t>BAUMGARTNER PAUL W &amp; CARYN H</t>
  </si>
  <si>
    <t>ITTER</t>
  </si>
  <si>
    <t>ADELE</t>
  </si>
  <si>
    <t>DIETRICH</t>
  </si>
  <si>
    <t>MARK ITTER &amp; ADELE DIETRICH</t>
  </si>
  <si>
    <t xml:space="preserve">1415 E REDMON DR </t>
  </si>
  <si>
    <t>JOHNSON CARL</t>
  </si>
  <si>
    <t>ITTER MARK</t>
  </si>
  <si>
    <t>DIETRICH ADELE</t>
  </si>
  <si>
    <t>EADELMAN</t>
  </si>
  <si>
    <t>BRADLEY &amp; KELLY EADELMAN</t>
  </si>
  <si>
    <t xml:space="preserve">22024 E SILVER CREEK CT </t>
  </si>
  <si>
    <t>EADELMAN BRADLEY A &amp; KELLY D</t>
  </si>
  <si>
    <t>BRITTANY MARTINEZ</t>
  </si>
  <si>
    <t xml:space="preserve">2170 S PORTLAND AVE </t>
  </si>
  <si>
    <t>GATEWAY RANCH</t>
  </si>
  <si>
    <t>MAYFIELD TARA L</t>
  </si>
  <si>
    <t>MARTINEZ JOSHUA ANTHONY</t>
  </si>
  <si>
    <t>TERESE</t>
  </si>
  <si>
    <t>TERESE DALLAS &amp; STEVEN ROBERTS</t>
  </si>
  <si>
    <t xml:space="preserve">4538 E DESERT WIND DR </t>
  </si>
  <si>
    <t>CRIMSON RIDGE</t>
  </si>
  <si>
    <t>SLOAN BRIAN</t>
  </si>
  <si>
    <t>ROBERTS STEVEN MICHAEL</t>
  </si>
  <si>
    <t>ROBERTS STEVEN</t>
  </si>
  <si>
    <t>GROSE</t>
  </si>
  <si>
    <t>RONALD &amp; DAWN GROSE</t>
  </si>
  <si>
    <t xml:space="preserve">18406 W PALO VERDE AVE </t>
  </si>
  <si>
    <t>ROSSMEISL ROMAN</t>
  </si>
  <si>
    <t>GROSE RONALD &amp; DAWN</t>
  </si>
  <si>
    <t>GABRIELSON</t>
  </si>
  <si>
    <t>GLEN &amp; DEBORAH GABRIELSON</t>
  </si>
  <si>
    <t xml:space="preserve">2970 E CASTANETS CT </t>
  </si>
  <si>
    <t>SEVILLE PARCEL 37B</t>
  </si>
  <si>
    <t>KASS STUART &amp; RENEE J</t>
  </si>
  <si>
    <t>GABRIELSON GLEN R</t>
  </si>
  <si>
    <t>HORSHAM PA 19044</t>
  </si>
  <si>
    <t>GLEN R GABRIELSON</t>
  </si>
  <si>
    <t>DEBORAH GABRIELSON</t>
  </si>
  <si>
    <t>STAAB</t>
  </si>
  <si>
    <t>J &amp; DALE STAAB</t>
  </si>
  <si>
    <t xml:space="preserve">25621 N CORDOVA LN </t>
  </si>
  <si>
    <t>RIO VERDE UNIT FIVE LOT 406-455 TR A A1</t>
  </si>
  <si>
    <t>FERRANTE DONNA L &amp; PATRICK</t>
  </si>
  <si>
    <t>STAAB J T &amp; DALE V</t>
  </si>
  <si>
    <t>RIPLEY</t>
  </si>
  <si>
    <t>DAVID &amp; RUTH RIPLEY</t>
  </si>
  <si>
    <t xml:space="preserve">20806 N 135TH AVE </t>
  </si>
  <si>
    <t>RIPLEY DAVID J</t>
  </si>
  <si>
    <t>STUBBLEFIELD</t>
  </si>
  <si>
    <t>DAVID &amp; MARY STUBBLEFIELD</t>
  </si>
  <si>
    <t xml:space="preserve">4306 W SAGUARO PARK LN </t>
  </si>
  <si>
    <t>J J RANCH</t>
  </si>
  <si>
    <t>ZACHARIAS 2006 FAMILY TRUST</t>
  </si>
  <si>
    <t>STUBBLEFIELD DAVID &amp; MARY J</t>
  </si>
  <si>
    <t>GRANT &amp; VICKI MASSEY</t>
  </si>
  <si>
    <t xml:space="preserve">605 N SULLEYS DR </t>
  </si>
  <si>
    <t>CROSSPOINTE VILLAGE LOT 1-275 TR A B</t>
  </si>
  <si>
    <t>RANDALL LISA L</t>
  </si>
  <si>
    <t>MASSEY GRANT L &amp; VICKI M</t>
  </si>
  <si>
    <t>HEAD FAMILY LIVING TRUST</t>
  </si>
  <si>
    <t>HEAD</t>
  </si>
  <si>
    <t xml:space="preserve">12315 W DOVE WING WAY </t>
  </si>
  <si>
    <t>VISTANCIA VILLAGE A PARCEL A10B</t>
  </si>
  <si>
    <t>THE CLIFFS</t>
  </si>
  <si>
    <t>GLEA LLC</t>
  </si>
  <si>
    <t>HEAD CHARLES B</t>
  </si>
  <si>
    <t>PIOTR</t>
  </si>
  <si>
    <t>SUCHOLAS</t>
  </si>
  <si>
    <t>PIOTR &amp; ITZEL SUCHOLAS</t>
  </si>
  <si>
    <t xml:space="preserve">10844 E STORIA AVE </t>
  </si>
  <si>
    <t>MOUNTAIN HORIZONS UNIT 7</t>
  </si>
  <si>
    <t>ORTIZ DANIEL D &amp; JULIE L</t>
  </si>
  <si>
    <t>SUCHOLAS PIOTR &amp; ITZEL</t>
  </si>
  <si>
    <t>CAUTHEN</t>
  </si>
  <si>
    <t>CHRISTOPHER &amp; LORI CAUTHEN</t>
  </si>
  <si>
    <t xml:space="preserve">19704 E MAYBERRY RD </t>
  </si>
  <si>
    <t>SORNBERGER JANELIE &amp; RYAN L</t>
  </si>
  <si>
    <t>CAUTHEN CHRISTOPHER &amp; LORI</t>
  </si>
  <si>
    <t>SHARLA</t>
  </si>
  <si>
    <t>WILLIAM &amp; SHARLA WELLMAN</t>
  </si>
  <si>
    <t xml:space="preserve">1633 N LUTHER </t>
  </si>
  <si>
    <t>MONTECITO AT MOUNTAIN BRIDGE</t>
  </si>
  <si>
    <t>LOTH JASON L &amp; STACEY J</t>
  </si>
  <si>
    <t>WELLMAN WILLIAM H III &amp; SHARLA R</t>
  </si>
  <si>
    <t>HEREIM</t>
  </si>
  <si>
    <t>THOMAS &amp; AMANDA HEREIM</t>
  </si>
  <si>
    <t xml:space="preserve">21081 E MEWES RD </t>
  </si>
  <si>
    <t>DK BUILDERS INC</t>
  </si>
  <si>
    <t>THOMAS HEREIM</t>
  </si>
  <si>
    <t>AMANDA HEREIM</t>
  </si>
  <si>
    <t>JIMMERSON</t>
  </si>
  <si>
    <t>MICHAEL JIMMERSON</t>
  </si>
  <si>
    <t xml:space="preserve">12360 W EAGLE RIDGE LN </t>
  </si>
  <si>
    <t>VISTANCIA VILLAGE A PARCEL A12</t>
  </si>
  <si>
    <t>JIMMERSON LORRAINE G</t>
  </si>
  <si>
    <t>JIMMERSON MICHAEL T</t>
  </si>
  <si>
    <t>JANS</t>
  </si>
  <si>
    <t>SYNTHIA &amp; DUSTIN JANS</t>
  </si>
  <si>
    <t xml:space="preserve">27106 N 81ST AVE </t>
  </si>
  <si>
    <t>JANS SYNTHIA A &amp; DUSTIN K</t>
  </si>
  <si>
    <t>GILBERTO</t>
  </si>
  <si>
    <t>CARDENAS</t>
  </si>
  <si>
    <t>GILBERTO &amp; CASSANDRA CARDENAS</t>
  </si>
  <si>
    <t xml:space="preserve">2338 N EDGEMERE ST </t>
  </si>
  <si>
    <t>EDGEMERE PLACE</t>
  </si>
  <si>
    <t>C &amp; G RENOVATIONS LLC</t>
  </si>
  <si>
    <t>CARDENAS GILBERTO &amp; CASSANDRA</t>
  </si>
  <si>
    <t>MONREAL</t>
  </si>
  <si>
    <t>ORLANDO &amp; YVETTE MONREAL</t>
  </si>
  <si>
    <t xml:space="preserve">4506 E DESERT WILLOW RD </t>
  </si>
  <si>
    <t>MOUNTAIN RANCH ESTATES/VILLAS</t>
  </si>
  <si>
    <t>MOUNTAIN RANCH ESTATES</t>
  </si>
  <si>
    <t>HENTZ FAMILY TRUST</t>
  </si>
  <si>
    <t>MONREAL YVETTE C &amp; ORLANDO A</t>
  </si>
  <si>
    <t>OCONNELL</t>
  </si>
  <si>
    <t>KEITH &amp; CYNTHIA OCONNELL</t>
  </si>
  <si>
    <t xml:space="preserve">7819 W GLASS LN </t>
  </si>
  <si>
    <t>RIVERA ALEJANDRO &amp; ANGELA</t>
  </si>
  <si>
    <t>OCONNELL KEITH &amp; CYNTHIA H</t>
  </si>
  <si>
    <t>BRETT &amp; LISA COOPER</t>
  </si>
  <si>
    <t xml:space="preserve">1739 S ALMOND </t>
  </si>
  <si>
    <t>MESA TIERRA NO 3</t>
  </si>
  <si>
    <t>MESA TIERRA</t>
  </si>
  <si>
    <t>JAMES FAMILY TRUST</t>
  </si>
  <si>
    <t>COOPER BRETT A &amp; LISA A</t>
  </si>
  <si>
    <t>THURSTON</t>
  </si>
  <si>
    <t>WAYNE &amp; CHRISTINE THURSTON</t>
  </si>
  <si>
    <t xml:space="preserve">14040 N 9TH ST </t>
  </si>
  <si>
    <t>SMITH DANNY E &amp; CINDY L</t>
  </si>
  <si>
    <t>THURSTON WAYNE C &amp; CHRISTINE E</t>
  </si>
  <si>
    <t>RAMSEY</t>
  </si>
  <si>
    <t>CHRISTOPHER RAMSEY</t>
  </si>
  <si>
    <t xml:space="preserve">2111 W WESTERN DR </t>
  </si>
  <si>
    <t>GREEN TREE REALTY LLC</t>
  </si>
  <si>
    <t>RAMSEY CHRISTOPHER</t>
  </si>
  <si>
    <t>BARBER</t>
  </si>
  <si>
    <t>SHERELLE</t>
  </si>
  <si>
    <t>DEREK &amp; SHERELLE BARBER</t>
  </si>
  <si>
    <t xml:space="preserve">7607 W ST KATERI DR </t>
  </si>
  <si>
    <t>BARBER DEREK &amp; SHERELLE</t>
  </si>
  <si>
    <t>OHARA</t>
  </si>
  <si>
    <t>GERRI-LYNNE</t>
  </si>
  <si>
    <t>MICHAEL &amp; GERRI-LYNNE OHARA</t>
  </si>
  <si>
    <t xml:space="preserve">15615 W SIERRA ST </t>
  </si>
  <si>
    <t>SHLENKER JOHN L</t>
  </si>
  <si>
    <t>REPUBLIC MTG HM LNS LLC</t>
  </si>
  <si>
    <t>OHARA MICHAEL</t>
  </si>
  <si>
    <t>THESSEN</t>
  </si>
  <si>
    <t>RICHARD &amp; CATHERINE THESSEN</t>
  </si>
  <si>
    <t xml:space="preserve">14866 W GEORGIA DR </t>
  </si>
  <si>
    <t>AUSTIN BRIAN K</t>
  </si>
  <si>
    <t>THESSEN RICHARD &amp; CATHERINE</t>
  </si>
  <si>
    <t>DUNGEY</t>
  </si>
  <si>
    <t>CAMERON DUNGEY</t>
  </si>
  <si>
    <t xml:space="preserve">17602 W EUGENE TER </t>
  </si>
  <si>
    <t>DUNGEY CAMERON J</t>
  </si>
  <si>
    <t>DUNGEY CHELSEA</t>
  </si>
  <si>
    <t>PLATCHEK</t>
  </si>
  <si>
    <t>FRANCIS PLATCHEK</t>
  </si>
  <si>
    <t xml:space="preserve">2234 E DARTMOUTH ST </t>
  </si>
  <si>
    <t>CORONA DEL REY 3</t>
  </si>
  <si>
    <t>CORONA DEL REY</t>
  </si>
  <si>
    <t>AAG MANAGEMENT &amp; INVS INC</t>
  </si>
  <si>
    <t>PLATCHEK FRANCIS</t>
  </si>
  <si>
    <t>DANIELE</t>
  </si>
  <si>
    <t>DANIEL &amp; DANIELE BAILEY</t>
  </si>
  <si>
    <t xml:space="preserve">16909 W RIO VISTA LN </t>
  </si>
  <si>
    <t>CANYON TRAILS UNIT 4 SOUTH PARCEL G</t>
  </si>
  <si>
    <t>HINKLE RICKEY D &amp; SHERI L</t>
  </si>
  <si>
    <t>BAILEY DANIEL A &amp; DANIELE M</t>
  </si>
  <si>
    <t>YOX</t>
  </si>
  <si>
    <t>BRIAN YOX &amp; CATHLEEN NELSON</t>
  </si>
  <si>
    <t xml:space="preserve">5190 S GIRARD ST </t>
  </si>
  <si>
    <t>YOX BRIAN PAUL</t>
  </si>
  <si>
    <t>ABRAMS</t>
  </si>
  <si>
    <t>RICHARD &amp; ARLENE ABRAMS</t>
  </si>
  <si>
    <t xml:space="preserve">4938 E FLOSSMOOR AVE </t>
  </si>
  <si>
    <t>SUNLAND VILLAGE 4 LOT 860-1110 TR K-L</t>
  </si>
  <si>
    <t>LAMACKI WALTER F &amp; GLORIA J</t>
  </si>
  <si>
    <t>ABRAMS RICHARD A &amp; ARLENE</t>
  </si>
  <si>
    <t>DAVID SMITH &amp; PAMELA RODRIGUEZ</t>
  </si>
  <si>
    <t xml:space="preserve">24785 W WOOD ST </t>
  </si>
  <si>
    <t>SMITH DAVID JAMES</t>
  </si>
  <si>
    <t>RODRIGUEZ PAMELA S</t>
  </si>
  <si>
    <t>SPRANGEL</t>
  </si>
  <si>
    <t>SPRANGEL &amp; DENISE MARIE</t>
  </si>
  <si>
    <t xml:space="preserve">24927 W RED ROBIN DR </t>
  </si>
  <si>
    <t>RASCOE CHRISTOPHER &amp; RANA</t>
  </si>
  <si>
    <t>SPRANGEL BRUCE M &amp; DENISE M</t>
  </si>
  <si>
    <t>EDWARD HAYES</t>
  </si>
  <si>
    <t xml:space="preserve">1746 N PARSELL CIR </t>
  </si>
  <si>
    <t>FORD DALE R &amp; REGINA L</t>
  </si>
  <si>
    <t>HAYES EDWARD V</t>
  </si>
  <si>
    <t>MILLER RICHARD &amp; MARITESS L TR</t>
  </si>
  <si>
    <t>&amp; MARITESS MILLERRICHARD</t>
  </si>
  <si>
    <t xml:space="preserve">16966 W MAGNOLIA ST </t>
  </si>
  <si>
    <t>SCHUT ANDREW N</t>
  </si>
  <si>
    <t>MILLER RICHARD W</t>
  </si>
  <si>
    <t>GRULER</t>
  </si>
  <si>
    <t>BENJAMIN &amp; TARA GRULER</t>
  </si>
  <si>
    <t xml:space="preserve">1947 E KINGS AVE </t>
  </si>
  <si>
    <t>GREENWAY HILLS  LOT 1-59  TR A</t>
  </si>
  <si>
    <t>GREENWAY HILLS</t>
  </si>
  <si>
    <t>KISTNER THEODORE K</t>
  </si>
  <si>
    <t>GRULER BENJAMIN R &amp; TARA D</t>
  </si>
  <si>
    <t>PHILLIPS &amp; MELISSA RENEE</t>
  </si>
  <si>
    <t xml:space="preserve">3804 E CAVALRY CT </t>
  </si>
  <si>
    <t>HICKEY JONATHAN</t>
  </si>
  <si>
    <t>PHILLIPS ROBERT K JR &amp; MELISSA R</t>
  </si>
  <si>
    <t>HENDON</t>
  </si>
  <si>
    <t>KATIE &amp; KEITH HENDON</t>
  </si>
  <si>
    <t xml:space="preserve">4810 E ALTA MESA AVE </t>
  </si>
  <si>
    <t>SMITH SHAWN D</t>
  </si>
  <si>
    <t>HENDON KEITH R &amp; KATIE M</t>
  </si>
  <si>
    <t>HORNE</t>
  </si>
  <si>
    <t>LINETTE</t>
  </si>
  <si>
    <t>REGINALD &amp; LINETTE HORNE</t>
  </si>
  <si>
    <t xml:space="preserve">15723 W SHAW BUTTE DR </t>
  </si>
  <si>
    <t>HORNE REGINALD H &amp; LINETTE</t>
  </si>
  <si>
    <t>STRAUBEL</t>
  </si>
  <si>
    <t>STRAUBEL &amp; BETH ANN</t>
  </si>
  <si>
    <t xml:space="preserve">4167 E BONANZA RD </t>
  </si>
  <si>
    <t xml:space="preserve">4730 E BONANZA RD </t>
  </si>
  <si>
    <t>ZWIEMIK JOSHUA M</t>
  </si>
  <si>
    <t>STRAUBEL CHRISTOPHER A</t>
  </si>
  <si>
    <t>ELY</t>
  </si>
  <si>
    <t>TUCKER &amp; EMILY ELY</t>
  </si>
  <si>
    <t xml:space="preserve">1012 S PARKSIDE DR </t>
  </si>
  <si>
    <t>WESTERN VILLAGE  9</t>
  </si>
  <si>
    <t>WESTERN VILLAGE</t>
  </si>
  <si>
    <t>MORTENSEN FRED M &amp; SHAUNA A</t>
  </si>
  <si>
    <t>ELY TUCKER &amp; EMILY</t>
  </si>
  <si>
    <t>KEVIN &amp; KATHERINE REILLY</t>
  </si>
  <si>
    <t xml:space="preserve">28703 N 243RD DR </t>
  </si>
  <si>
    <t>PATTON PLACE ESTATES UNIT 2 AMD</t>
  </si>
  <si>
    <t>SAMBRANO HERIBERTO M</t>
  </si>
  <si>
    <t>REILLY KEVIN M</t>
  </si>
  <si>
    <t>VAN JOHNSON &amp; ANN LEE</t>
  </si>
  <si>
    <t xml:space="preserve">9193 W COOLBROOK AVE </t>
  </si>
  <si>
    <t>JOHNSON VAN &amp; LEE ANN</t>
  </si>
  <si>
    <t>BRENNAN</t>
  </si>
  <si>
    <t>JASON BRENNAN</t>
  </si>
  <si>
    <t xml:space="preserve">12181 W WINSLOW AVE </t>
  </si>
  <si>
    <t>CANTADA RANCH</t>
  </si>
  <si>
    <t>BRENNAN JASON C</t>
  </si>
  <si>
    <t>HABHAB</t>
  </si>
  <si>
    <t>SAM HABHAB</t>
  </si>
  <si>
    <t xml:space="preserve">16118 E GLENEAGLE DR </t>
  </si>
  <si>
    <t>MARKOV STEVEN</t>
  </si>
  <si>
    <t>HABHAB SAM A</t>
  </si>
  <si>
    <t>CHERRELYN</t>
  </si>
  <si>
    <t>WOOD &amp; CHERRELYN KAYE</t>
  </si>
  <si>
    <t xml:space="preserve">11952 W MOUNTAIN VIEW DR </t>
  </si>
  <si>
    <t>WOOD LEWIS E JR &amp; CHERRELYN K</t>
  </si>
  <si>
    <t>ANDREW &amp; TIFFANY MATHEWS</t>
  </si>
  <si>
    <t xml:space="preserve">5329 W TONTO RD </t>
  </si>
  <si>
    <t>CARMEL PARK   LOT 1-269  TR A B</t>
  </si>
  <si>
    <t>CARMEL PARK</t>
  </si>
  <si>
    <t>RADI RAMIN</t>
  </si>
  <si>
    <t>MATHEWS ANDREW &amp; TIFFANY</t>
  </si>
  <si>
    <t>REICHERT</t>
  </si>
  <si>
    <t>DOUGLAS REICHERT</t>
  </si>
  <si>
    <t xml:space="preserve">13819 W MARSHALL AVE </t>
  </si>
  <si>
    <t xml:space="preserve">8405 W LEWIS AVE </t>
  </si>
  <si>
    <t>MEIERS JEREMY D &amp; T S G T</t>
  </si>
  <si>
    <t>REICHERT DOUGLAS</t>
  </si>
  <si>
    <t>LAVIERE</t>
  </si>
  <si>
    <t>KALANI</t>
  </si>
  <si>
    <t>LAVIERE &amp; KALANI RICE</t>
  </si>
  <si>
    <t xml:space="preserve">7220 S 71ST LN </t>
  </si>
  <si>
    <t>BENCOMO RUDY</t>
  </si>
  <si>
    <t>RICE LAVIERE</t>
  </si>
  <si>
    <t>PRISLAND</t>
  </si>
  <si>
    <t>CHERYL PRISLAND</t>
  </si>
  <si>
    <t xml:space="preserve">15313 W CATALINA CT </t>
  </si>
  <si>
    <t>LA LOMA SENIOR LIVING SVCS</t>
  </si>
  <si>
    <t>PRISLAND CHERYL A</t>
  </si>
  <si>
    <t>JAMES &amp; DAWN HICKS</t>
  </si>
  <si>
    <t xml:space="preserve">9830 W LINDGREN AVE </t>
  </si>
  <si>
    <t>DOVE JOANNE W TRUST</t>
  </si>
  <si>
    <t>HICKS JAMES B &amp; DAWN M</t>
  </si>
  <si>
    <t>BARRY MONROE</t>
  </si>
  <si>
    <t xml:space="preserve">22425 W MESQUITE CIR </t>
  </si>
  <si>
    <t>SUNDANCE PARCEL 17</t>
  </si>
  <si>
    <t>THOMPSON SIDNEY G</t>
  </si>
  <si>
    <t>MONROE BARRY</t>
  </si>
  <si>
    <t>LEBRON</t>
  </si>
  <si>
    <t>TALINA</t>
  </si>
  <si>
    <t>DANIEL &amp; TALINA LEBRON</t>
  </si>
  <si>
    <t xml:space="preserve">14220 W VENTURA ST </t>
  </si>
  <si>
    <t>BOCCHICCHIO DOMINICK</t>
  </si>
  <si>
    <t>LEBRON DANIEL A &amp; TALINA</t>
  </si>
  <si>
    <t>DARRYN</t>
  </si>
  <si>
    <t>DARRYN &amp; KIMBERLY DEAN</t>
  </si>
  <si>
    <t xml:space="preserve">1751 N ANANEA </t>
  </si>
  <si>
    <t>MOONDANCE UNIT 7</t>
  </si>
  <si>
    <t>PATINE CONNIE J</t>
  </si>
  <si>
    <t>DARRYN L DEAN</t>
  </si>
  <si>
    <t>KIMBERLY A DEAN</t>
  </si>
  <si>
    <t>SEIM</t>
  </si>
  <si>
    <t>RICHARD &amp; MARY SEIM</t>
  </si>
  <si>
    <t xml:space="preserve">10617 W RUNION DR </t>
  </si>
  <si>
    <t>SHORES AT VENTANA LAKES</t>
  </si>
  <si>
    <t>CONWAY KAREN</t>
  </si>
  <si>
    <t>SEIM RICHARD L &amp; MARY A K</t>
  </si>
  <si>
    <t>BENEWAY</t>
  </si>
  <si>
    <t>JUSTIN BENEWAY</t>
  </si>
  <si>
    <t xml:space="preserve">4324 E WILDHORSE DR </t>
  </si>
  <si>
    <t>WOLF MARY E</t>
  </si>
  <si>
    <t>BENEWAY JUSTIN</t>
  </si>
  <si>
    <t>JAMES &amp; DONNA CUNNINGHAM</t>
  </si>
  <si>
    <t xml:space="preserve">17541 N 83RD DR </t>
  </si>
  <si>
    <t>MATTISON LEEANN</t>
  </si>
  <si>
    <t>CUNNINGHAM JAMES M &amp; DONNA K</t>
  </si>
  <si>
    <t>BOVA</t>
  </si>
  <si>
    <t>JOSEPH &amp; MARY BOVA</t>
  </si>
  <si>
    <t xml:space="preserve">4161 E CATHY DR </t>
  </si>
  <si>
    <t>SALEM FAMILY TRUST</t>
  </si>
  <si>
    <t>BOVA JOSEPH S</t>
  </si>
  <si>
    <t>STEPHEN MURRAY</t>
  </si>
  <si>
    <t xml:space="preserve">3425 N 129TH AVE </t>
  </si>
  <si>
    <t>REHUS COREY &amp; SHARON</t>
  </si>
  <si>
    <t>MURRAY STEPHEN A</t>
  </si>
  <si>
    <t>MARTRELL</t>
  </si>
  <si>
    <t>BOND TURNER</t>
  </si>
  <si>
    <t>MARTRELL TURNER &amp; TURNER BOND</t>
  </si>
  <si>
    <t xml:space="preserve">4932 W MAGDALENA LN </t>
  </si>
  <si>
    <t>VILLAGES OF LAVEEN RANCH</t>
  </si>
  <si>
    <t>GARCIA VERONICA</t>
  </si>
  <si>
    <t>TURNER MARTRELL</t>
  </si>
  <si>
    <t>MARTRELL TURNER</t>
  </si>
  <si>
    <t>JOHN COOPER</t>
  </si>
  <si>
    <t xml:space="preserve">7106 S 19TH DR </t>
  </si>
  <si>
    <t>COOPER JOHN C</t>
  </si>
  <si>
    <t>MARK &amp; JANE ADAMS</t>
  </si>
  <si>
    <t xml:space="preserve">2535 N RILEY RD </t>
  </si>
  <si>
    <t>ADAMS MARK L &amp; JANE</t>
  </si>
  <si>
    <t>MATTHEW &amp; STACIE MCDANIEL</t>
  </si>
  <si>
    <t xml:space="preserve">15737 E KIPLING DR </t>
  </si>
  <si>
    <t>ALMEIDA CRISTINA</t>
  </si>
  <si>
    <t>MCDANIEL MATTHEW R &amp; STACIE L</t>
  </si>
  <si>
    <t>LAFFERTY</t>
  </si>
  <si>
    <t>WEISENBECK</t>
  </si>
  <si>
    <t>TRAVIS LAFFERTY &amp; JULIE WEISENBECK</t>
  </si>
  <si>
    <t xml:space="preserve">22619 N 30TH AVE </t>
  </si>
  <si>
    <t>KIMBLE JEFFERY</t>
  </si>
  <si>
    <t>LAFFERTY TRAVIS J</t>
  </si>
  <si>
    <t>TODD MARTIN</t>
  </si>
  <si>
    <t xml:space="preserve">11067 W VIRGINIA AVE </t>
  </si>
  <si>
    <t>CHANSON HOLDINGS LP</t>
  </si>
  <si>
    <t>TODD S MARTIN</t>
  </si>
  <si>
    <t>KEMNITZ</t>
  </si>
  <si>
    <t>ANTHONY KEMNITZ</t>
  </si>
  <si>
    <t xml:space="preserve">11336 E ROSCOE AVE </t>
  </si>
  <si>
    <t>WADE DONALD L</t>
  </si>
  <si>
    <t>KEMNITZ ANTHONY M</t>
  </si>
  <si>
    <t>DECAMP</t>
  </si>
  <si>
    <t>WILLIAM DECAMP</t>
  </si>
  <si>
    <t xml:space="preserve">12530 W HEARN RD </t>
  </si>
  <si>
    <t>RANCHO EL MIRAGE PARCEL 1</t>
  </si>
  <si>
    <t>SALT ROBERT G</t>
  </si>
  <si>
    <t>DECAMP WILLIAM L</t>
  </si>
  <si>
    <t>MARVIN &amp; CYNTHIA HOWELL</t>
  </si>
  <si>
    <t xml:space="preserve">8218 S 70TH DR </t>
  </si>
  <si>
    <t xml:space="preserve">3321 W MELODY DR </t>
  </si>
  <si>
    <t>MARVIN S HOWELL</t>
  </si>
  <si>
    <t>CYNTHIA HOWELL</t>
  </si>
  <si>
    <t>ANDERSON FAMILY TRUST (RT</t>
  </si>
  <si>
    <t>27217 N GIDIYUP TRL PHOENIX AZ 85085-3758</t>
  </si>
  <si>
    <t>JAMES DAMERON</t>
  </si>
  <si>
    <t>DIONE DAMERON</t>
  </si>
  <si>
    <t>ERWIN T &amp; D LIVING TRUST</t>
  </si>
  <si>
    <t>&amp; D ERWINT</t>
  </si>
  <si>
    <t xml:space="preserve">14416 N EL PUEBLO BLVD </t>
  </si>
  <si>
    <t>BAURICHTER BRANDON J</t>
  </si>
  <si>
    <t>ERWIN TERRY &amp; DONNA</t>
  </si>
  <si>
    <t>MCCOMBS</t>
  </si>
  <si>
    <t>HEATH</t>
  </si>
  <si>
    <t>KRISTIN &amp; HEATH MCCOMBS</t>
  </si>
  <si>
    <t xml:space="preserve">7153 E JUANITA AVE </t>
  </si>
  <si>
    <t>WHEELER CHRISTOPHER J</t>
  </si>
  <si>
    <t>AMCAP MORTGAGE LTD</t>
  </si>
  <si>
    <t>MCCOMBS HEATH &amp; KRISTIN</t>
  </si>
  <si>
    <t>CARLOS JIMENEZ</t>
  </si>
  <si>
    <t xml:space="preserve">4185 N 154TH DR </t>
  </si>
  <si>
    <t>JIMENEZ CARLOS</t>
  </si>
  <si>
    <t>CHAD FISHER</t>
  </si>
  <si>
    <t xml:space="preserve">24019 N 43RD DR </t>
  </si>
  <si>
    <t>PINNACLE PEAK CROSSING LOT 1-225 TR A-I</t>
  </si>
  <si>
    <t>PINNACLE PEAK CROSSING</t>
  </si>
  <si>
    <t>ALATORRE OSCAR D &amp; MARIA C M</t>
  </si>
  <si>
    <t>FISHER CHAD</t>
  </si>
  <si>
    <t>BORIE</t>
  </si>
  <si>
    <t>MEENA</t>
  </si>
  <si>
    <t>KHATTAK</t>
  </si>
  <si>
    <t>MATTHEW BORIE &amp; MEENA KHATTAK</t>
  </si>
  <si>
    <t xml:space="preserve">1007 W PICCADILLY RD </t>
  </si>
  <si>
    <t>NORTH PARK CENTRAL UNIT 3</t>
  </si>
  <si>
    <t>LA BONNE VIE LLC</t>
  </si>
  <si>
    <t>BORIE MATTHEW C</t>
  </si>
  <si>
    <t>KHATTAK MEENA S</t>
  </si>
  <si>
    <t>DEWOODY FAMILY TRUST</t>
  </si>
  <si>
    <t>DEWOODY</t>
  </si>
  <si>
    <t xml:space="preserve">10310 E TWILIGHT CT </t>
  </si>
  <si>
    <t xml:space="preserve">1707 W ELFINDALE ST #49 </t>
  </si>
  <si>
    <t>SPRINGFIELD</t>
  </si>
  <si>
    <t>MO</t>
  </si>
  <si>
    <t>SUN LAKES 18  LOT 1-326 TR A B</t>
  </si>
  <si>
    <t>SKRLA HELEN M</t>
  </si>
  <si>
    <t>JOHN &amp; DIANA GARDNER</t>
  </si>
  <si>
    <t xml:space="preserve">2750 E NISBET RD </t>
  </si>
  <si>
    <t>TOWNSEND TERRACE REPLATTED</t>
  </si>
  <si>
    <t>TOWNSEND TERRACE</t>
  </si>
  <si>
    <t>FINCH ARTHUR R &amp; BETTY L</t>
  </si>
  <si>
    <t>GARDNER JOHN L &amp; DIANA J</t>
  </si>
  <si>
    <t>CINDY WEBB</t>
  </si>
  <si>
    <t xml:space="preserve">39916 N RIVER BEND RD </t>
  </si>
  <si>
    <t>STONE FINANCING LLC</t>
  </si>
  <si>
    <t>WEBB CHARLES &amp; CINDY</t>
  </si>
  <si>
    <t>SAMPSON</t>
  </si>
  <si>
    <t>BRYAN &amp; MARILYN SAMPSON</t>
  </si>
  <si>
    <t xml:space="preserve">4624 N 78TH AVE </t>
  </si>
  <si>
    <t>PONDEROSA HOMES WEST UNIT TWO</t>
  </si>
  <si>
    <t>PONDEROSA HOMES WEST</t>
  </si>
  <si>
    <t>TOMAHAWK ELEMENTARY SCHOOL</t>
  </si>
  <si>
    <t>NOTTE ROBERT</t>
  </si>
  <si>
    <t>BRYAN R SAMPSON</t>
  </si>
  <si>
    <t>MARILYN C SAMPSON</t>
  </si>
  <si>
    <t>ROBERT &amp; GLORIA MARTINEZ</t>
  </si>
  <si>
    <t xml:space="preserve">720 N CHIPPEWA PL </t>
  </si>
  <si>
    <t>KAREN MANOR</t>
  </si>
  <si>
    <t>REDEEMED LLC</t>
  </si>
  <si>
    <t>MARTINEZ ROBERT O &amp; GLORIA M</t>
  </si>
  <si>
    <t>RED JAMES</t>
  </si>
  <si>
    <t xml:space="preserve">1514 W LYNWOOD ST </t>
  </si>
  <si>
    <t>STORY ADDITION PLAT E</t>
  </si>
  <si>
    <t>VOIGHT LAURA</t>
  </si>
  <si>
    <t>MAGGIO</t>
  </si>
  <si>
    <t>JOSEPH &amp; URSULA MAGGIO</t>
  </si>
  <si>
    <t xml:space="preserve">4457 E WILLET ST </t>
  </si>
  <si>
    <t>TROLLINGER RYAN &amp; HEATHER</t>
  </si>
  <si>
    <t>MAGGIO JOSEPH &amp; URSULA</t>
  </si>
  <si>
    <t>BEELER</t>
  </si>
  <si>
    <t>REBECCA BEELER</t>
  </si>
  <si>
    <t xml:space="preserve">8608 W WILLOW AVE </t>
  </si>
  <si>
    <t>DION DAVID M &amp; M M D TRUST</t>
  </si>
  <si>
    <t>BARRY &amp; MARY ZEIGLER</t>
  </si>
  <si>
    <t xml:space="preserve">3925 E NISBET RD </t>
  </si>
  <si>
    <t>PARADISE VALLEY OASIS NO 11-A LOT 344-42</t>
  </si>
  <si>
    <t>TRUXAL GEOFFREY B &amp; K G</t>
  </si>
  <si>
    <t>BARRY ZEIGLER</t>
  </si>
  <si>
    <t>MARY J ZEIGLER</t>
  </si>
  <si>
    <t>PHILIP &amp; DEANNA KING</t>
  </si>
  <si>
    <t xml:space="preserve">10640 E PANTERA AVE </t>
  </si>
  <si>
    <t>WORTMAN DAVID W</t>
  </si>
  <si>
    <t>KING PHILIP E &amp; DEANNA L</t>
  </si>
  <si>
    <t>JAACKS</t>
  </si>
  <si>
    <t>STANLEY &amp; LINDA JAACKS</t>
  </si>
  <si>
    <t xml:space="preserve">13022 N 28TH WAY </t>
  </si>
  <si>
    <t>GUNDEL JOHN R</t>
  </si>
  <si>
    <t>JAACKS STANLEY D</t>
  </si>
  <si>
    <t>GOCHA</t>
  </si>
  <si>
    <t>GERALD GOCHA</t>
  </si>
  <si>
    <t xml:space="preserve">10556 E BALMORAL AVE </t>
  </si>
  <si>
    <t>SIGNAL BUTTE RANCH UNIT 2</t>
  </si>
  <si>
    <t>SCHWARTZ GERALD J</t>
  </si>
  <si>
    <t>GOCHA GERALD C</t>
  </si>
  <si>
    <t>J &amp; SHARON GEORGE</t>
  </si>
  <si>
    <t xml:space="preserve">2624 S TERRIPIN CIR </t>
  </si>
  <si>
    <t>STAKER JONATHAN L &amp; KARI E</t>
  </si>
  <si>
    <t>J MICHAEL GEORGE</t>
  </si>
  <si>
    <t>SHARON C GEORGE</t>
  </si>
  <si>
    <t>WIDENER</t>
  </si>
  <si>
    <t>WIDENER &amp; TERESA RAE</t>
  </si>
  <si>
    <t xml:space="preserve">17610 W WILDWOOD DR </t>
  </si>
  <si>
    <t>WIDENER TIMOTHY D &amp; TERESA R</t>
  </si>
  <si>
    <t>ARTIAGA</t>
  </si>
  <si>
    <t>CHAD ARTIAGA</t>
  </si>
  <si>
    <t xml:space="preserve">224 E PASEO WAY </t>
  </si>
  <si>
    <t>SLEVELAND COLLEEN E</t>
  </si>
  <si>
    <t>HOMEDIRECT MORTGAGE</t>
  </si>
  <si>
    <t>ARTIAGA CHAD M</t>
  </si>
  <si>
    <t>CHAD M ARTIAGA</t>
  </si>
  <si>
    <t>EDDIE BELL</t>
  </si>
  <si>
    <t xml:space="preserve">7107 S 19TH LN </t>
  </si>
  <si>
    <t>BELL JR EDDIE W</t>
  </si>
  <si>
    <t>NOVASAD</t>
  </si>
  <si>
    <t>LANCE NOVASAD</t>
  </si>
  <si>
    <t xml:space="preserve">1822 E TIERRA BUENA LN </t>
  </si>
  <si>
    <t>MOUNTAIN VISTA UNIT 4 LOT 236-347 TRACT</t>
  </si>
  <si>
    <t>KOECHEL ANDREW</t>
  </si>
  <si>
    <t>LANCE A NOVASAD</t>
  </si>
  <si>
    <t>ANTHONY &amp; MICHELLE WOJTOWICZ</t>
  </si>
  <si>
    <t xml:space="preserve">17796 W ANDORA ST </t>
  </si>
  <si>
    <t>CAMPO ANNE A</t>
  </si>
  <si>
    <t>WOJTOWICZ ANTHONY &amp; MICHELLE</t>
  </si>
  <si>
    <t>KEVIN RANDOLPH</t>
  </si>
  <si>
    <t xml:space="preserve">6705 E ADOBE ST </t>
  </si>
  <si>
    <t>GREMILLION AZ LLC</t>
  </si>
  <si>
    <t>RANDOLPH KEVIN</t>
  </si>
  <si>
    <t>STUCK</t>
  </si>
  <si>
    <t>DANIEL &amp; CANDICE STUCK</t>
  </si>
  <si>
    <t xml:space="preserve">12826 S ZUNI RD </t>
  </si>
  <si>
    <t>ESTRELLA DELLS 1</t>
  </si>
  <si>
    <t>ESTRELLA DELLS</t>
  </si>
  <si>
    <t>STUCK DANIEL &amp; CANDICE</t>
  </si>
  <si>
    <t>CYLE</t>
  </si>
  <si>
    <t>CYLE HALL</t>
  </si>
  <si>
    <t xml:space="preserve">7027 W KINNEY RD </t>
  </si>
  <si>
    <t>MOBILE ELEMENTARY SCHOOL</t>
  </si>
  <si>
    <t>HUGHES GENEVA OPHELIA TRUST</t>
  </si>
  <si>
    <t>CYLE W HALL</t>
  </si>
  <si>
    <t>DAMARIS</t>
  </si>
  <si>
    <t>SPISZ</t>
  </si>
  <si>
    <t>DAMARIS LUNA &amp; PARRISH SPISZ</t>
  </si>
  <si>
    <t xml:space="preserve">63 W MAHOGANY PL </t>
  </si>
  <si>
    <t>SHOOP JILL A</t>
  </si>
  <si>
    <t>SPISZ PARRISH</t>
  </si>
  <si>
    <t>LUNA DAMARIS</t>
  </si>
  <si>
    <t>LICEETT</t>
  </si>
  <si>
    <t>LICEETT PENA</t>
  </si>
  <si>
    <t xml:space="preserve">1401 E FOLLEY PL </t>
  </si>
  <si>
    <t xml:space="preserve">8902 E VIA LINDA #110 </t>
  </si>
  <si>
    <t>WILLIS RANCH UNIT 1</t>
  </si>
  <si>
    <t>SCHULZE JOHN A</t>
  </si>
  <si>
    <t>PENA LICEETT Y</t>
  </si>
  <si>
    <t>DRAPER</t>
  </si>
  <si>
    <t>TIFFANY &amp; CHRISTOPHER DRAPER</t>
  </si>
  <si>
    <t xml:space="preserve">18338 W CINNABAR AVE </t>
  </si>
  <si>
    <t>DENARO JOHN M &amp; TERRI L</t>
  </si>
  <si>
    <t>DRAPER TIFFANY EILEEN &amp; CHRIS</t>
  </si>
  <si>
    <t>TRACY ZIMMERMAN &amp; REBECCA JOHNSON</t>
  </si>
  <si>
    <t xml:space="preserve">6049 E HOBART ST </t>
  </si>
  <si>
    <t>ZIMMERMAN TRACY D</t>
  </si>
  <si>
    <t>JOHNSON REBECCA A</t>
  </si>
  <si>
    <t>MCCASLAND</t>
  </si>
  <si>
    <t>JERRY MCCASLAND</t>
  </si>
  <si>
    <t xml:space="preserve">16169 W HILTON AVE </t>
  </si>
  <si>
    <t>SARIVAL VILLAGE PARCEL 1</t>
  </si>
  <si>
    <t>MARTINEZ FRANCISCO &amp; AURORA</t>
  </si>
  <si>
    <t>JERRY D MCCASLAND</t>
  </si>
  <si>
    <t>SAMUEL RIOS</t>
  </si>
  <si>
    <t xml:space="preserve">4213 W MARIPOSA GRANDE </t>
  </si>
  <si>
    <t>VOGEN MAXINE L</t>
  </si>
  <si>
    <t>RIOS SAMUEL P</t>
  </si>
  <si>
    <t>EULATE</t>
  </si>
  <si>
    <t>MATTHEW &amp; LINDSEY EULATE</t>
  </si>
  <si>
    <t xml:space="preserve">4256 E BRUCE CT </t>
  </si>
  <si>
    <t>HAMILTON ROSS S &amp; BETH A</t>
  </si>
  <si>
    <t>EULATE MATTHEW &amp; LINDSEY</t>
  </si>
  <si>
    <t>CALVIN &amp; SHARON HORTON</t>
  </si>
  <si>
    <t xml:space="preserve">3061 W CAT BALUE DR </t>
  </si>
  <si>
    <t>BENJAMIN &amp; CHERYL BRUNTON</t>
  </si>
  <si>
    <t>CALVIN HORTON</t>
  </si>
  <si>
    <t>SHARON HORTON</t>
  </si>
  <si>
    <t>HELMAN</t>
  </si>
  <si>
    <t>TOM HELMAN</t>
  </si>
  <si>
    <t xml:space="preserve">18465 W WESTFALL WAY </t>
  </si>
  <si>
    <t>BELL POINTE 1</t>
  </si>
  <si>
    <t>BELL POINTE</t>
  </si>
  <si>
    <t>CONRY PATRICK &amp; DEBRA</t>
  </si>
  <si>
    <t>TOM E HELMAN</t>
  </si>
  <si>
    <t>COSTELLO</t>
  </si>
  <si>
    <t>WYNNE</t>
  </si>
  <si>
    <t>COSTELLO &amp; KEELY WYNNE</t>
  </si>
  <si>
    <t xml:space="preserve">2133 W SPRUCE DR </t>
  </si>
  <si>
    <t>PECOS VISTAS</t>
  </si>
  <si>
    <t>2133 SPRUCE LLC</t>
  </si>
  <si>
    <t>COSTELLO JAMES J</t>
  </si>
  <si>
    <t>DANIEL TATE</t>
  </si>
  <si>
    <t xml:space="preserve">13811 W GUNSIGHT DR </t>
  </si>
  <si>
    <t>COOKE SHARON R REV TRUST</t>
  </si>
  <si>
    <t>TATE DANIEL MILES</t>
  </si>
  <si>
    <t>WOLDAHL</t>
  </si>
  <si>
    <t>THOMAS &amp; KAREN WOLDAHL</t>
  </si>
  <si>
    <t xml:space="preserve">743 E GOLDENROD ST </t>
  </si>
  <si>
    <t>FOOTHILLS PARCEL 11A  LOT 108-189 TR A-F</t>
  </si>
  <si>
    <t>MARTINEZ MARTIN A</t>
  </si>
  <si>
    <t>WOLDAHL THOMAS C &amp; KAREN A</t>
  </si>
  <si>
    <t>HOSKINSON PETER L LIVING TRUST</t>
  </si>
  <si>
    <t>PETER HOSKINSON</t>
  </si>
  <si>
    <t xml:space="preserve">5149 E SIERRA SUNSET TRL </t>
  </si>
  <si>
    <t>DOHERTY JON A &amp; KATHLEEN</t>
  </si>
  <si>
    <t>HOSKINSON PETER L</t>
  </si>
  <si>
    <t>JOHN FOX</t>
  </si>
  <si>
    <t xml:space="preserve">13166 W TETHER TRL </t>
  </si>
  <si>
    <t>FOX JOHN J</t>
  </si>
  <si>
    <t>JAMES CLARK</t>
  </si>
  <si>
    <t xml:space="preserve">626 S 196TH CIR </t>
  </si>
  <si>
    <t>CLARK JAMES</t>
  </si>
  <si>
    <t>MARYANNE</t>
  </si>
  <si>
    <t>MICHAEL &amp; MARYANNE MILLS</t>
  </si>
  <si>
    <t xml:space="preserve">9614 S 51ST ST </t>
  </si>
  <si>
    <t>POINTE SOUTH MOUNTAIN UNIT 8</t>
  </si>
  <si>
    <t>GRASSO WILLIAM</t>
  </si>
  <si>
    <t>MILLS MICHAEL &amp; MARYANNE</t>
  </si>
  <si>
    <t>RONNIE &amp; JANELLE RIVERA</t>
  </si>
  <si>
    <t xml:space="preserve">1022 N AMBROSIA </t>
  </si>
  <si>
    <t>SILVERADO LOT 1-120 TR A B</t>
  </si>
  <si>
    <t>SILVERADO AT ALTA MESA</t>
  </si>
  <si>
    <t>RIVERA JOSE A &amp; HELEN D</t>
  </si>
  <si>
    <t>RIVERA RONNIE E &amp; JANELLE M</t>
  </si>
  <si>
    <t>HARRIS FAMILY TRUST</t>
  </si>
  <si>
    <t>HARRIS FAMILY</t>
  </si>
  <si>
    <t xml:space="preserve">6331 E OSBORN RD </t>
  </si>
  <si>
    <t>MELROSE MEADOWS  LOTS 1-23</t>
  </si>
  <si>
    <t>MELROSE MEADOWS</t>
  </si>
  <si>
    <t>FERGOLIA GROUP LLC</t>
  </si>
  <si>
    <t>JASON R HARRIS</t>
  </si>
  <si>
    <t>KENDALL S HARRIS</t>
  </si>
  <si>
    <t>LARONDA</t>
  </si>
  <si>
    <t>BENJAMIN &amp; LARONDA BOND</t>
  </si>
  <si>
    <t xml:space="preserve">589 S 219TH LN </t>
  </si>
  <si>
    <t>LONG KATIE A</t>
  </si>
  <si>
    <t>BOND BENJAMIN R JR &amp; LARONDA</t>
  </si>
  <si>
    <t>STANFORD</t>
  </si>
  <si>
    <t>MARK STANFORD</t>
  </si>
  <si>
    <t xml:space="preserve">3322 W KNUDSEN DR </t>
  </si>
  <si>
    <t>RITCHIE WILLIAM &amp; D TRUST</t>
  </si>
  <si>
    <t>STANFORD MARK E</t>
  </si>
  <si>
    <t>DANIEL &amp; CYNTHIA MEREDITH</t>
  </si>
  <si>
    <t xml:space="preserve">1829 E 6TH AVE </t>
  </si>
  <si>
    <t>KACHINA PARKWAY 2</t>
  </si>
  <si>
    <t>BARNES BRENT</t>
  </si>
  <si>
    <t>DANIEL W MEREDITH</t>
  </si>
  <si>
    <t>CYNTHIA J MEREDITH</t>
  </si>
  <si>
    <t>DONAHUE</t>
  </si>
  <si>
    <t>JAMES &amp; LESLEY DONAHUE</t>
  </si>
  <si>
    <t xml:space="preserve">1741 W CATHEDRAL ROCK DR </t>
  </si>
  <si>
    <t>SALSBURG DAVID P</t>
  </si>
  <si>
    <t>DONAHUE JAMES &amp; LESLEY</t>
  </si>
  <si>
    <t>MILHOAN</t>
  </si>
  <si>
    <t>JOHN &amp; DENISE MILHOAN</t>
  </si>
  <si>
    <t xml:space="preserve">30213 N 124TH LN </t>
  </si>
  <si>
    <t>VISTANCIA VILLAGE A PARCEL A10A</t>
  </si>
  <si>
    <t>SERENADE</t>
  </si>
  <si>
    <t>CERNOHOUS TODD</t>
  </si>
  <si>
    <t>MILHOAN JOHN &amp; DENISE</t>
  </si>
  <si>
    <t>KUHN</t>
  </si>
  <si>
    <t>FORREST &amp; SHELLEY KUHN</t>
  </si>
  <si>
    <t xml:space="preserve">14632 W GANADO DR </t>
  </si>
  <si>
    <t>BIBBY ROBERT D &amp; ELSIE M</t>
  </si>
  <si>
    <t>KUHN FORREST L &amp; SHELLEY J</t>
  </si>
  <si>
    <t>DENNEY G B &amp; L C LIVING TRUST</t>
  </si>
  <si>
    <t>B &amp; C DENNEYG</t>
  </si>
  <si>
    <t xml:space="preserve">21534 N 71ST DR </t>
  </si>
  <si>
    <t>SOKAL ANNE M</t>
  </si>
  <si>
    <t>GREGORY B DENNEY</t>
  </si>
  <si>
    <t>LAURA C DENNEY</t>
  </si>
  <si>
    <t>JEFFREY &amp; ANN NEWMAN</t>
  </si>
  <si>
    <t xml:space="preserve">20292 E RUSSET RD </t>
  </si>
  <si>
    <t>SAHADI MITCHELL</t>
  </si>
  <si>
    <t>NEWMAN JEFFREY &amp; ANN</t>
  </si>
  <si>
    <t>SANDY</t>
  </si>
  <si>
    <t>BRADLEY &amp; SANDY GREEN</t>
  </si>
  <si>
    <t xml:space="preserve">1557 E MCLELLAN RD </t>
  </si>
  <si>
    <t>CANDELIGHT ESTATES 3 LOT 1-54 &amp; TR A</t>
  </si>
  <si>
    <t>BOSWORTH DELAYNE</t>
  </si>
  <si>
    <t>GREEN BRADLEY A &amp; SANDY L</t>
  </si>
  <si>
    <t>JUSTIN SMITH</t>
  </si>
  <si>
    <t xml:space="preserve">157 S NORFOLK CIR </t>
  </si>
  <si>
    <t>CHELSEA POINT  LOT 1-226  TR A</t>
  </si>
  <si>
    <t>CHELSEA POINT</t>
  </si>
  <si>
    <t>WATTS KEVIN K</t>
  </si>
  <si>
    <t>SMITH JUSTIN K</t>
  </si>
  <si>
    <t>NALL</t>
  </si>
  <si>
    <t>DANIEL &amp; JULIE NALL</t>
  </si>
  <si>
    <t xml:space="preserve">2710 E COCONINO DR </t>
  </si>
  <si>
    <t>FONTE AL SOLE</t>
  </si>
  <si>
    <t>SWANE FAMILY LIVING TRUST</t>
  </si>
  <si>
    <t>NALL DANIEL J</t>
  </si>
  <si>
    <t>RABASCA</t>
  </si>
  <si>
    <t>JOHN SCHULTE &amp; TERI RABASCA</t>
  </si>
  <si>
    <t xml:space="preserve">16018 S 4TH ST </t>
  </si>
  <si>
    <t>PARCEL 11-E PHASE 1 AT THE FOOTHILLS</t>
  </si>
  <si>
    <t>LI QUAN B &amp; PING H</t>
  </si>
  <si>
    <t>SCHULTE JOHN T JR</t>
  </si>
  <si>
    <t>JOHN T SCHULTE JR</t>
  </si>
  <si>
    <t>TERI L RABASCA</t>
  </si>
  <si>
    <t>DEMBOWSKI</t>
  </si>
  <si>
    <t>FRANK &amp; PATRICIA DEMBOWSKI</t>
  </si>
  <si>
    <t xml:space="preserve">6920 S CLARK DR </t>
  </si>
  <si>
    <t>ROMEGA-THOMPSON VASILE</t>
  </si>
  <si>
    <t>DEMBOWSKI FRANK J &amp; PATRICIA</t>
  </si>
  <si>
    <t>HEIMANN</t>
  </si>
  <si>
    <t>JOHN &amp; JESSE HEIMANN</t>
  </si>
  <si>
    <t xml:space="preserve">543 W SPUR AVE </t>
  </si>
  <si>
    <t>MCLAUGHLIN WILLIAM M</t>
  </si>
  <si>
    <t>HEIMANN JOHN S &amp; JESSE</t>
  </si>
  <si>
    <t>REVERE</t>
  </si>
  <si>
    <t>DAVID &amp; GINA REVERE</t>
  </si>
  <si>
    <t xml:space="preserve">2048 S MARTINGALE RD </t>
  </si>
  <si>
    <t>IKRAM JAVAID</t>
  </si>
  <si>
    <t>REVERE DAVID E</t>
  </si>
  <si>
    <t>DAVID E REVERE</t>
  </si>
  <si>
    <t>GINA A REVERE</t>
  </si>
  <si>
    <t>APODACA</t>
  </si>
  <si>
    <t>APODACA &amp; TRACY LYNN</t>
  </si>
  <si>
    <t xml:space="preserve">18405 W TURQUOISE AVE </t>
  </si>
  <si>
    <t>APODACA JAY THEODORE &amp; TRACY</t>
  </si>
  <si>
    <t>CRESS</t>
  </si>
  <si>
    <t>LENNYLYN</t>
  </si>
  <si>
    <t>CHARLES &amp; LENNYLYN CRESS</t>
  </si>
  <si>
    <t xml:space="preserve">17598 W CORRINE DR </t>
  </si>
  <si>
    <t>BATES STEPHANIE &amp; ANDREW</t>
  </si>
  <si>
    <t>CRESS CHARLES &amp; LENNYLYN</t>
  </si>
  <si>
    <t>JOHN &amp; KATE BOWEN</t>
  </si>
  <si>
    <t xml:space="preserve">21901 S 215TH PL </t>
  </si>
  <si>
    <t>BEUTEL DANIEL</t>
  </si>
  <si>
    <t>BOWEN JOHN J</t>
  </si>
  <si>
    <t>WALTER THOMAS W LIVING TRUST</t>
  </si>
  <si>
    <t>W WALTERTHOMAS</t>
  </si>
  <si>
    <t xml:space="preserve">2405 N PALOMINO CT </t>
  </si>
  <si>
    <t xml:space="preserve">2007 W MESQUITE ST </t>
  </si>
  <si>
    <t>TIERRA DOBSON 1 LOT 1-119</t>
  </si>
  <si>
    <t>TIERRA DOBSON</t>
  </si>
  <si>
    <t>GARDNER BRETT W</t>
  </si>
  <si>
    <t>DANIELSON JOEY J &amp; DENISE E</t>
  </si>
  <si>
    <t>CARTWRIGHT</t>
  </si>
  <si>
    <t>DALE &amp; LEAH CARTWRIGHT</t>
  </si>
  <si>
    <t xml:space="preserve">10931 S SANTA COLUMBIA DR </t>
  </si>
  <si>
    <t>ESTRELLA PARCEL 60</t>
  </si>
  <si>
    <t>HALL JOHN &amp; TERRI</t>
  </si>
  <si>
    <t>CARTWRIGHT DALE &amp; LEAH</t>
  </si>
  <si>
    <t>GRENIER</t>
  </si>
  <si>
    <t>DARIN GRENIER</t>
  </si>
  <si>
    <t xml:space="preserve">3350 E HATCHER RD </t>
  </si>
  <si>
    <t>SIERRA BONITA UNIT FOUR</t>
  </si>
  <si>
    <t>SIERRA BONITA</t>
  </si>
  <si>
    <t>TOM COOK LLC</t>
  </si>
  <si>
    <t>GRENIER DARIN</t>
  </si>
  <si>
    <t>JOSEPH &amp; TINA TRUJILLO</t>
  </si>
  <si>
    <t xml:space="preserve">107 E CAROB DR </t>
  </si>
  <si>
    <t>CACHET AT PASEO LINDO</t>
  </si>
  <si>
    <t>CACHET-PL II LLC</t>
  </si>
  <si>
    <t>TRUJILLO JOSEPH A</t>
  </si>
  <si>
    <t>PITZEN</t>
  </si>
  <si>
    <t>PITZEN &amp; DIANA ROBIN</t>
  </si>
  <si>
    <t xml:space="preserve">12037 W VILLA HERMOSA LN </t>
  </si>
  <si>
    <t>EXQUISITE CUSTOM PROPS LLC</t>
  </si>
  <si>
    <t>PITZEN STEVEN J &amp; DIANA R</t>
  </si>
  <si>
    <t>STEVEN J PITZEN</t>
  </si>
  <si>
    <t>DIANA R PITZEN</t>
  </si>
  <si>
    <t>SHARP TREVOR &amp; YOSHI FAM TRUST</t>
  </si>
  <si>
    <t>TREVOR &amp; YOSHI SHARP</t>
  </si>
  <si>
    <t xml:space="preserve">2555 E GLENCOVE ST </t>
  </si>
  <si>
    <t>SAHARA PALMS 2</t>
  </si>
  <si>
    <t>SAHARA PALMS</t>
  </si>
  <si>
    <t>RIGHT NOW CAPITAL LLC</t>
  </si>
  <si>
    <t>SHARP TREVOR J</t>
  </si>
  <si>
    <t>ORLANDO &amp; MISTY GONZALES</t>
  </si>
  <si>
    <t xml:space="preserve">2134 E HONEYSUCKLE PL </t>
  </si>
  <si>
    <t xml:space="preserve">357 S 200 E #303 </t>
  </si>
  <si>
    <t>SALT LAKE CITY</t>
  </si>
  <si>
    <t>BRYANT GARY &amp; JOANNA</t>
  </si>
  <si>
    <t>GONZALES ORLANDO &amp; MISTY</t>
  </si>
  <si>
    <t>OREILLY</t>
  </si>
  <si>
    <t>SCOTT &amp; JACQUELINE OREILLY</t>
  </si>
  <si>
    <t xml:space="preserve">3703 E ADOBE ST </t>
  </si>
  <si>
    <t>LEONARD DEAN M</t>
  </si>
  <si>
    <t>OREILLY SCOTT</t>
  </si>
  <si>
    <t>ELISE</t>
  </si>
  <si>
    <t>ELISE SNYDER &amp; VINCENT CARLSON</t>
  </si>
  <si>
    <t xml:space="preserve">6110 E COYOTE WASH DR </t>
  </si>
  <si>
    <t>MCCONVILLE ERIC P</t>
  </si>
  <si>
    <t>SNYDER ELISE D</t>
  </si>
  <si>
    <t>CARLSON VINCENT T</t>
  </si>
  <si>
    <t>BARCLAY</t>
  </si>
  <si>
    <t>GWENDOLYN &amp; BRIAN BARCLAY</t>
  </si>
  <si>
    <t xml:space="preserve">13783 W CREOSOTE DR </t>
  </si>
  <si>
    <t>BARCLAY GWENDOLYN F &amp; BRIAN N</t>
  </si>
  <si>
    <t>FLANSBAUM</t>
  </si>
  <si>
    <t>SCOTT &amp; MARIA FLANSBAUM</t>
  </si>
  <si>
    <t xml:space="preserve">5228 E CORDIA LN </t>
  </si>
  <si>
    <t>DIAMOND TREE ESTATES</t>
  </si>
  <si>
    <t>R-130AG</t>
  </si>
  <si>
    <t>BROWN MARISSA</t>
  </si>
  <si>
    <t>FLANSBAUM SCOTT</t>
  </si>
  <si>
    <t>DAGGETT</t>
  </si>
  <si>
    <t>DAVID &amp; LORI DAGGETT</t>
  </si>
  <si>
    <t xml:space="preserve">11221 N 152ND DR </t>
  </si>
  <si>
    <t>DAVIS CRAIG A &amp; NICOLE M</t>
  </si>
  <si>
    <t>DAGGETT DAVID K &amp; LORI A</t>
  </si>
  <si>
    <t>TESCHLER</t>
  </si>
  <si>
    <t>DEREK TESCHLER</t>
  </si>
  <si>
    <t xml:space="preserve">23624 N 57TH DR </t>
  </si>
  <si>
    <t>OESCH CLIFFORD M &amp; KAREN R</t>
  </si>
  <si>
    <t>TESCHLER DEREK</t>
  </si>
  <si>
    <t>JAMES &amp; KATHLEEN BARRETT</t>
  </si>
  <si>
    <t xml:space="preserve">6580 S CLASSIC WAY </t>
  </si>
  <si>
    <t>BARBOUR CHARLES E</t>
  </si>
  <si>
    <t>BARRETT JAMES &amp; KATHLEEN</t>
  </si>
  <si>
    <t>CART</t>
  </si>
  <si>
    <t>JOHN &amp; JANICE CART</t>
  </si>
  <si>
    <t xml:space="preserve">4426 E PARADISE LN </t>
  </si>
  <si>
    <t>SUMMIT RIDGE LOTS 646-818</t>
  </si>
  <si>
    <t>SUMMIT RIDGE</t>
  </si>
  <si>
    <t>CHIRIBOGA RYAN J &amp; BARBARA L</t>
  </si>
  <si>
    <t>CART JOHN &amp; JANICE</t>
  </si>
  <si>
    <t>GIOIA</t>
  </si>
  <si>
    <t>SWAN</t>
  </si>
  <si>
    <t>PAUL GIOIA &amp; BARBARA SWAN</t>
  </si>
  <si>
    <t xml:space="preserve">18325 W PIEDMONT RD </t>
  </si>
  <si>
    <t>ESTRELLA MOUNTAIN RANCH PARCEL 67/69</t>
  </si>
  <si>
    <t>LANDA JORGE F &amp; SHIRLEY M</t>
  </si>
  <si>
    <t>GIOIA PAUL</t>
  </si>
  <si>
    <t>SWAN BARBARA A</t>
  </si>
  <si>
    <t>GERLAND</t>
  </si>
  <si>
    <t>MATTHEW &amp; CHRISTINE GERLAND</t>
  </si>
  <si>
    <t xml:space="preserve">2546 E SIERRA ST </t>
  </si>
  <si>
    <t>SHADOW MOUNTAIN ESTATES UNIT 3 LOTS 48-7</t>
  </si>
  <si>
    <t>SHADOW MOUNTAIN ESTATES</t>
  </si>
  <si>
    <t>BARKER CARL RAY TRUST</t>
  </si>
  <si>
    <t>GERLAND CHRISTINE C &amp; MATTHEW C</t>
  </si>
  <si>
    <t>BANN</t>
  </si>
  <si>
    <t>CHARLES &amp; JENNIFER BANN</t>
  </si>
  <si>
    <t xml:space="preserve">3055 N RED MTN #97 </t>
  </si>
  <si>
    <t>IRONWOOD PASS UNIT 2 AT LAS SENDAS</t>
  </si>
  <si>
    <t>IRONWOOD PASS AT LAS SENDAS</t>
  </si>
  <si>
    <t>ARIZONA REAL ESTATE LLC</t>
  </si>
  <si>
    <t>BANN CHARLES</t>
  </si>
  <si>
    <t>JOSEPH &amp; SHILO SKINNER</t>
  </si>
  <si>
    <t xml:space="preserve">12123 W RANGE MULE DR </t>
  </si>
  <si>
    <t>SKINNER JOSEPH A &amp; SHILO A</t>
  </si>
  <si>
    <t>PIMENTEL</t>
  </si>
  <si>
    <t>ROBERT PIMENTEL</t>
  </si>
  <si>
    <t xml:space="preserve">3330 S COLT DR </t>
  </si>
  <si>
    <t>GOODMAN MORRIS</t>
  </si>
  <si>
    <t>PIMENTEL ROBERT T</t>
  </si>
  <si>
    <t>BRINKMAN</t>
  </si>
  <si>
    <t>THOMAS BRINKMAN</t>
  </si>
  <si>
    <t xml:space="preserve">4008 W BLACKHAWK DR </t>
  </si>
  <si>
    <t>HARGAN BRUCE A &amp; DENISE L</t>
  </si>
  <si>
    <t>BRINKMAN THOMAS</t>
  </si>
  <si>
    <t>GRZYBOWSKI</t>
  </si>
  <si>
    <t>SCOTT &amp; SHARRON GRZYBOWSKI</t>
  </si>
  <si>
    <t xml:space="preserve">16138 E THISTLE DR </t>
  </si>
  <si>
    <t>CUESTA ACRES</t>
  </si>
  <si>
    <t>ROSEY LLC</t>
  </si>
  <si>
    <t>GRZYBOWSKI SCOTT R &amp; SHARRON</t>
  </si>
  <si>
    <t>KOWACZ</t>
  </si>
  <si>
    <t>THOMAS &amp; ANNA KOWACZ</t>
  </si>
  <si>
    <t xml:space="preserve">18122 W GLENROSA AVE </t>
  </si>
  <si>
    <t>SEDELLA PARCEL 1B</t>
  </si>
  <si>
    <t>SMITH PAULETTE &amp; GRAHAM</t>
  </si>
  <si>
    <t>KOWACZ THOMAS J &amp; ANNA M</t>
  </si>
  <si>
    <t>BAILLIE</t>
  </si>
  <si>
    <t>BAILIE</t>
  </si>
  <si>
    <t>KEVIN BAILLIE &amp; THERESA BAILIE</t>
  </si>
  <si>
    <t xml:space="preserve">3583 W JASPER DR </t>
  </si>
  <si>
    <t>LIDDY THOMAS P &amp; STACY G</t>
  </si>
  <si>
    <t>BAILLIE KEVIN &amp; THERESA</t>
  </si>
  <si>
    <t>BRIDGES</t>
  </si>
  <si>
    <t>LAURIE &amp; LEWIS BRIDGES</t>
  </si>
  <si>
    <t xml:space="preserve">1052 E SAN TAN DR </t>
  </si>
  <si>
    <t>ODONNELL MELISSA</t>
  </si>
  <si>
    <t>BRIDGES LAURIE T</t>
  </si>
  <si>
    <t>BRAUER</t>
  </si>
  <si>
    <t>HOLLY BRAUER</t>
  </si>
  <si>
    <t xml:space="preserve">5620 E EVANS DR </t>
  </si>
  <si>
    <t>LIAO SEAN T</t>
  </si>
  <si>
    <t>BRAUER HOLLY C</t>
  </si>
  <si>
    <t>BRITT</t>
  </si>
  <si>
    <t>DENNIS &amp; JULIE BRITT</t>
  </si>
  <si>
    <t xml:space="preserve">8088 W REDBIRD RD </t>
  </si>
  <si>
    <t>BRITT DENNIS A &amp; JULIE R</t>
  </si>
  <si>
    <t>PIOTROWSKI</t>
  </si>
  <si>
    <t>KRISTIN PIOTROWSKI</t>
  </si>
  <si>
    <t xml:space="preserve">7650 E WILLIAMS DR #1032 </t>
  </si>
  <si>
    <t>VALKAR SUSAN</t>
  </si>
  <si>
    <t>PIOTROWSKI KRISTIN</t>
  </si>
  <si>
    <t>HEYWOOD</t>
  </si>
  <si>
    <t>STEVE &amp; AMBER HEYWOOD</t>
  </si>
  <si>
    <t xml:space="preserve">18137 W LAS PALMARITAS DR </t>
  </si>
  <si>
    <t>GARCIA JUDY L &amp; DAVID L</t>
  </si>
  <si>
    <t>HEYWOOD STEVE ROBERT &amp; AMBER</t>
  </si>
  <si>
    <t>COONROD</t>
  </si>
  <si>
    <t>JUSTIN COONROD</t>
  </si>
  <si>
    <t xml:space="preserve">12115 W RANGE MULE DR </t>
  </si>
  <si>
    <t>COONROD JUSTIN W</t>
  </si>
  <si>
    <t>JOHN &amp; ERIKA WYNNE</t>
  </si>
  <si>
    <t xml:space="preserve">4450 E CLARENDON AVE </t>
  </si>
  <si>
    <t>RANCHO VENTURA TR 22</t>
  </si>
  <si>
    <t>NORDVALL CHRISTINA C</t>
  </si>
  <si>
    <t>WYNNE JOHN P &amp; ERIKA A</t>
  </si>
  <si>
    <t>DETTLAFF</t>
  </si>
  <si>
    <t>STEVE &amp; MARY DETTLAFF</t>
  </si>
  <si>
    <t xml:space="preserve">2235 E SIERRA ST </t>
  </si>
  <si>
    <t>TEKESTE MICHAEL</t>
  </si>
  <si>
    <t>DETTLAFF STEVE A</t>
  </si>
  <si>
    <t>DUMMER</t>
  </si>
  <si>
    <t>DAVID DUMMER</t>
  </si>
  <si>
    <t xml:space="preserve">25953 W POTTER DR </t>
  </si>
  <si>
    <t>DUMMER DAVID M</t>
  </si>
  <si>
    <t>MARIBEL</t>
  </si>
  <si>
    <t>MARIBEL RAMOS</t>
  </si>
  <si>
    <t xml:space="preserve">5861 E HARMONY AVE </t>
  </si>
  <si>
    <t>WINTLE NEIL &amp; MICHELLE</t>
  </si>
  <si>
    <t>RAMOS MARIBEL</t>
  </si>
  <si>
    <t>MARTIN &amp; PATRICIA POST</t>
  </si>
  <si>
    <t xml:space="preserve">2842 E ODESSA ST </t>
  </si>
  <si>
    <t>POST MARTIN &amp; PATRICIA M</t>
  </si>
  <si>
    <t>HOCHSTETLER JOEL S FAM L &amp; TRU</t>
  </si>
  <si>
    <t>S HOCHSTETLERJOEL</t>
  </si>
  <si>
    <t xml:space="preserve">11063 E MERCER LN </t>
  </si>
  <si>
    <t>PARKER LISA A</t>
  </si>
  <si>
    <t>HOCHSTETLER JOEL</t>
  </si>
  <si>
    <t>GARNETT</t>
  </si>
  <si>
    <t>QUELYNN</t>
  </si>
  <si>
    <t>NICHOLAS &amp; QUELYNN GARNETT</t>
  </si>
  <si>
    <t xml:space="preserve">6972 W VILLA CHULA </t>
  </si>
  <si>
    <t>SORRELS JIMMIE D &amp; ROSE A</t>
  </si>
  <si>
    <t>GARNETT NICHOLAS J &amp; QUELYNN M</t>
  </si>
  <si>
    <t>SACCUCI CARMINA LIVING TRUST</t>
  </si>
  <si>
    <t>SACCUCICARMINA</t>
  </si>
  <si>
    <t xml:space="preserve">823 W HEMLOCK WAY </t>
  </si>
  <si>
    <t>CARMEL BAY AT OCOTILLO</t>
  </si>
  <si>
    <t>FOGARTY ROBERT L</t>
  </si>
  <si>
    <t>SACCUCI RICHARD &amp; CARMINA</t>
  </si>
  <si>
    <t>FACEY</t>
  </si>
  <si>
    <t>JEROLD &amp; IRENE FACEY</t>
  </si>
  <si>
    <t xml:space="preserve">2767 E GILA CT </t>
  </si>
  <si>
    <t>NGUYEN CHAU H</t>
  </si>
  <si>
    <t>FACEY JEROLD F &amp; IRENE A</t>
  </si>
  <si>
    <t>IEZEK</t>
  </si>
  <si>
    <t>MICHELLE BISHOP &amp; ALAN IEZEK</t>
  </si>
  <si>
    <t xml:space="preserve">1019 W ROYAL PALM RD </t>
  </si>
  <si>
    <t>BERRIDGE MANOR</t>
  </si>
  <si>
    <t>BRITTON SHAWN</t>
  </si>
  <si>
    <t>MICHELLE L BISHOP</t>
  </si>
  <si>
    <t>ALAN R IEZEK</t>
  </si>
  <si>
    <t>ZUKEWYCZ</t>
  </si>
  <si>
    <t>ANDREW &amp; JAMIE ZUKEWYCZ</t>
  </si>
  <si>
    <t xml:space="preserve">18462 W SAGUARO LN </t>
  </si>
  <si>
    <t>ZUKEWYCZ ANDREW &amp; JAMIE</t>
  </si>
  <si>
    <t>BLANCO</t>
  </si>
  <si>
    <t>ALBERT BLANCO</t>
  </si>
  <si>
    <t xml:space="preserve">4136 E GAIL DR </t>
  </si>
  <si>
    <t>PORRAGAS SAMUEL T</t>
  </si>
  <si>
    <t>BLANCO ALBERT L</t>
  </si>
  <si>
    <t>COTESWORTH</t>
  </si>
  <si>
    <t>HAMRICK</t>
  </si>
  <si>
    <t>KLINKEFUS</t>
  </si>
  <si>
    <t>COTESWORTH HAMRICK &amp; DEBORAH KLINKEFUS</t>
  </si>
  <si>
    <t xml:space="preserve">9705 E INGLEWOOD CIR </t>
  </si>
  <si>
    <t>WHISPER MOUNTAIN</t>
  </si>
  <si>
    <t>DEBOER JED A</t>
  </si>
  <si>
    <t>HAMRICK COTESWORTH P III</t>
  </si>
  <si>
    <t>KLINKEFUS DEBORAH L</t>
  </si>
  <si>
    <t>HURD</t>
  </si>
  <si>
    <t>DALE &amp; GENA HURD</t>
  </si>
  <si>
    <t xml:space="preserve">15723 W SHILOH AVE </t>
  </si>
  <si>
    <t>ESTRELLA VISTA PARCEL FOUR LOT 1-88</t>
  </si>
  <si>
    <t>ANDREW LISA</t>
  </si>
  <si>
    <t>HURD DALE &amp; GENA</t>
  </si>
  <si>
    <t>QUEZADA</t>
  </si>
  <si>
    <t>DEQUEZADA &amp; DE NEVAREZ</t>
  </si>
  <si>
    <t xml:space="preserve">13416 W GELDING DR </t>
  </si>
  <si>
    <t>ROSEVIEW UNIT 6</t>
  </si>
  <si>
    <t>QUEZADA ARIEL</t>
  </si>
  <si>
    <t>DE QUEZADA AIDA Y N</t>
  </si>
  <si>
    <t>NEIGHBORS</t>
  </si>
  <si>
    <t>JOSEPH NEIGHBORS</t>
  </si>
  <si>
    <t xml:space="preserve">6341 N 73RD DR </t>
  </si>
  <si>
    <t>ESTATES AT SEVENTY THIRD</t>
  </si>
  <si>
    <t>THE ESTATES AT 73RD</t>
  </si>
  <si>
    <t>RIVERA JETT T &amp; MICHELE H</t>
  </si>
  <si>
    <t>NEIGHBORS JOSEPH A</t>
  </si>
  <si>
    <t>EDWIN &amp; SUSAN OLSON</t>
  </si>
  <si>
    <t xml:space="preserve">21850 E CHERRYWOOD DR </t>
  </si>
  <si>
    <t>BRZECZEK BARBARA M</t>
  </si>
  <si>
    <t>OLSON EDWIN A</t>
  </si>
  <si>
    <t>EAVES HERSCHEL &amp; SANDRA F TRUS</t>
  </si>
  <si>
    <t>&amp; SANDRA EAVESHERSCHEL</t>
  </si>
  <si>
    <t xml:space="preserve">4079 N POINT RIDGE RD </t>
  </si>
  <si>
    <t>VERRADO PARCEL 5.703</t>
  </si>
  <si>
    <t>LEECH CAROL A LIVING TRUST</t>
  </si>
  <si>
    <t>EAVES HERSCHEL R</t>
  </si>
  <si>
    <t>JEFFREY &amp; KATHRYN GARNER</t>
  </si>
  <si>
    <t xml:space="preserve">15538 W JENAN DR </t>
  </si>
  <si>
    <t>GARNER JEFFREY M &amp; KATHRYN M</t>
  </si>
  <si>
    <t>SCHERER</t>
  </si>
  <si>
    <t>ERIC &amp; MICHELE SCHERER</t>
  </si>
  <si>
    <t xml:space="preserve">2131 W DESERT HILLS DR </t>
  </si>
  <si>
    <t>SANTA FE HOMES &amp; DEV LLC</t>
  </si>
  <si>
    <t>SCHERER ERIC R &amp; MICHELE C</t>
  </si>
  <si>
    <t>NICK</t>
  </si>
  <si>
    <t>NICK &amp; SARA FERREIRA</t>
  </si>
  <si>
    <t xml:space="preserve">20826 S HADRIAN WAY </t>
  </si>
  <si>
    <t>ROMAN ESTATES PHASE 5</t>
  </si>
  <si>
    <t>ROMAN ESTATES</t>
  </si>
  <si>
    <t>20826 HADRIAN LLC</t>
  </si>
  <si>
    <t>FERREIRA NICK A &amp; SARA E</t>
  </si>
  <si>
    <t>JOSEF</t>
  </si>
  <si>
    <t>GRUBER</t>
  </si>
  <si>
    <t>JOSEF &amp; JULIE GRUBER</t>
  </si>
  <si>
    <t xml:space="preserve">1959 W EASTMAN CT </t>
  </si>
  <si>
    <t>ANTHEM UNIT 24</t>
  </si>
  <si>
    <t>MARTINEZ PABLO</t>
  </si>
  <si>
    <t>GRUBER JOSEF &amp; JULIE</t>
  </si>
  <si>
    <t>MULCAHY</t>
  </si>
  <si>
    <t>ANNE &amp; ANNE LEIGH</t>
  </si>
  <si>
    <t xml:space="preserve">11332 E CHESTNUT DR </t>
  </si>
  <si>
    <t>SANTAN VISTA UNIT 2A</t>
  </si>
  <si>
    <t>SANTAN VISTA</t>
  </si>
  <si>
    <t>YAMADA ERIC R</t>
  </si>
  <si>
    <t>FIRST ST BK/ST CHARLES MO</t>
  </si>
  <si>
    <t>MULCAHY JASON A &amp; MICHELE L A</t>
  </si>
  <si>
    <t>DANIKA</t>
  </si>
  <si>
    <t>VANTINE</t>
  </si>
  <si>
    <t>HINES</t>
  </si>
  <si>
    <t>DANIKA VANTINE &amp; CAREY HINES</t>
  </si>
  <si>
    <t xml:space="preserve">14505 E BALANCING ROCK RD </t>
  </si>
  <si>
    <t>KELLER WILLIAM A TRUST</t>
  </si>
  <si>
    <t>VAN TINE DANIKA</t>
  </si>
  <si>
    <t>HINES CAREY E</t>
  </si>
  <si>
    <t>ROBERT BLAKE</t>
  </si>
  <si>
    <t xml:space="preserve">1951 E CARSON DR </t>
  </si>
  <si>
    <t>MARKOWITZ BRIAN</t>
  </si>
  <si>
    <t>BLAKE ROBERT W</t>
  </si>
  <si>
    <t>ARIZONA HM FORECLOSURE PR</t>
  </si>
  <si>
    <t>ROBERT W BLAKE</t>
  </si>
  <si>
    <t>BRUCE IRWIN</t>
  </si>
  <si>
    <t xml:space="preserve">12403 N AMETHYST CT </t>
  </si>
  <si>
    <t>REYES JERRY</t>
  </si>
  <si>
    <t>BRUCE IRWIN SR</t>
  </si>
  <si>
    <t>MATTHEW PROVENCE</t>
  </si>
  <si>
    <t xml:space="preserve">649 N ALETTA </t>
  </si>
  <si>
    <t>WILLIAMS ERIC T</t>
  </si>
  <si>
    <t>FISHER FINANCIAL GROUP INC</t>
  </si>
  <si>
    <t>PROVENCE MATTHEW J</t>
  </si>
  <si>
    <t>WILLIAM &amp; JACQUELINE SANDERSON</t>
  </si>
  <si>
    <t xml:space="preserve">11270 S OBISPO DR </t>
  </si>
  <si>
    <t>ESTRELLA PARCEL 56A</t>
  </si>
  <si>
    <t>SCHAAF FAMILY TRUST</t>
  </si>
  <si>
    <t>SANDERSON WILLIAM C</t>
  </si>
  <si>
    <t>DALEY</t>
  </si>
  <si>
    <t>MICHAEL DALEY &amp; PEARL EVERETT</t>
  </si>
  <si>
    <t xml:space="preserve">5628 N 14TH DR </t>
  </si>
  <si>
    <t>HANDELL VILLA</t>
  </si>
  <si>
    <t>PINEDA FELICIA</t>
  </si>
  <si>
    <t>MICHAEL L DALEY</t>
  </si>
  <si>
    <t>PEARL EVERETT</t>
  </si>
  <si>
    <t>JOHNIECE</t>
  </si>
  <si>
    <t>DONALD &amp; JOHNIECE CARTER</t>
  </si>
  <si>
    <t xml:space="preserve">21114 S 223RD WAY </t>
  </si>
  <si>
    <t>SHEPARD JASON A</t>
  </si>
  <si>
    <t>CARTER DONALD J &amp; JOHNIECE F</t>
  </si>
  <si>
    <t>GELBER FAMILY LIVING TRUST</t>
  </si>
  <si>
    <t>GELBER</t>
  </si>
  <si>
    <t xml:space="preserve">1672 E REDFIELD RD </t>
  </si>
  <si>
    <t xml:space="preserve">1460 S BLACKBERRY LN </t>
  </si>
  <si>
    <t>CALVI KIMBERLY &amp; JASON</t>
  </si>
  <si>
    <t>GELBER TERRY H</t>
  </si>
  <si>
    <t>DITLER-GELBER BARBARA S</t>
  </si>
  <si>
    <t>DAVID MILLER</t>
  </si>
  <si>
    <t xml:space="preserve">4928 S VENETO </t>
  </si>
  <si>
    <t>WELLINGTON JASON A &amp; HEATHER</t>
  </si>
  <si>
    <t>MILLER DAVID</t>
  </si>
  <si>
    <t>NIEVES</t>
  </si>
  <si>
    <t>KATY</t>
  </si>
  <si>
    <t>RICHARD &amp; KATY NIEVES</t>
  </si>
  <si>
    <t xml:space="preserve">2664 E OAKLAND ST </t>
  </si>
  <si>
    <t>PULCZINSKI SCOTT</t>
  </si>
  <si>
    <t>NIEVES RICHARD II &amp; KATY</t>
  </si>
  <si>
    <t>RICHARD II NIEVES</t>
  </si>
  <si>
    <t>KATY NIEVES</t>
  </si>
  <si>
    <t>MCCARTY &amp; JESSICA MARIE</t>
  </si>
  <si>
    <t xml:space="preserve">19084 S 198TH CT </t>
  </si>
  <si>
    <t>BRANDON J MCCARTY</t>
  </si>
  <si>
    <t>JESSICA M MCCARTY</t>
  </si>
  <si>
    <t>NAVAHO</t>
  </si>
  <si>
    <t>JENNIFER NAVAHO</t>
  </si>
  <si>
    <t xml:space="preserve">23701 S 224TH PL </t>
  </si>
  <si>
    <t>NAVAHO JENNIFER</t>
  </si>
  <si>
    <t>HYLA</t>
  </si>
  <si>
    <t>HYLA &amp; HYLA ALLEN</t>
  </si>
  <si>
    <t xml:space="preserve">17888 W DREYFUS ST </t>
  </si>
  <si>
    <t>FLESHER CHRISTINA L &amp; WILLIAM M</t>
  </si>
  <si>
    <t>HYLA MICHELLE &amp; ALLEN</t>
  </si>
  <si>
    <t>FEAGAN</t>
  </si>
  <si>
    <t>JUSTIN &amp; KATHERINE FEAGAN</t>
  </si>
  <si>
    <t xml:space="preserve">17715 W SAGUARO LN </t>
  </si>
  <si>
    <t>KATHERINE JUSTIN L</t>
  </si>
  <si>
    <t>FEAGAN KATHERINE J</t>
  </si>
  <si>
    <t>FEAGAN JUSTIN L &amp; KATHERINE J</t>
  </si>
  <si>
    <t>SNEDEKER</t>
  </si>
  <si>
    <t>DAVID &amp; VIRGINIA SNEDEKER</t>
  </si>
  <si>
    <t xml:space="preserve">4907 S ROMANO </t>
  </si>
  <si>
    <t>HALL DANIEL J &amp; ASHLEY M</t>
  </si>
  <si>
    <t>SNEDEKER DAVID A &amp; VIRGINIA K</t>
  </si>
  <si>
    <t>HOLT</t>
  </si>
  <si>
    <t>TIMOTHY &amp; KAREN HOLT</t>
  </si>
  <si>
    <t xml:space="preserve">19503 E STRAWBERRY DR </t>
  </si>
  <si>
    <t>HOLT TIMOTHY B &amp; KAREN L</t>
  </si>
  <si>
    <t>ZANE G ALLEN REVOCABLE TRUST</t>
  </si>
  <si>
    <t>ZANE ALLEN</t>
  </si>
  <si>
    <t xml:space="preserve">15014 W SELLS DR </t>
  </si>
  <si>
    <t>HORVATH BRIAN A</t>
  </si>
  <si>
    <t>ALLEN ZANE G</t>
  </si>
  <si>
    <t>TOLARO</t>
  </si>
  <si>
    <t>JOSEPH TOLARO</t>
  </si>
  <si>
    <t xml:space="preserve">3035 W COTTONWOOD LN </t>
  </si>
  <si>
    <t>FOOTHILLS RESERVE PARCEL C</t>
  </si>
  <si>
    <t>HUOT JENNIFER M</t>
  </si>
  <si>
    <t>TOLARO JOSEPH C</t>
  </si>
  <si>
    <t>SINKWITZ</t>
  </si>
  <si>
    <t>SINKWITZ &amp; CHRISTOPHER ROBIN</t>
  </si>
  <si>
    <t xml:space="preserve">10678 E ROSEMARY LN </t>
  </si>
  <si>
    <t>MCDOWELL MOUNTAIN RANCH PARCEL B</t>
  </si>
  <si>
    <t>FLORCZAK CHRISTOPHER R</t>
  </si>
  <si>
    <t>SINKWITZ CORREE L &amp; CHRISTOPHER R</t>
  </si>
  <si>
    <t>HALLSTED</t>
  </si>
  <si>
    <t>RYAN &amp; MELINDA HALLSTED</t>
  </si>
  <si>
    <t xml:space="preserve">5314 E FOREST PLEASANT PL </t>
  </si>
  <si>
    <t>TWOMLEY ROBERT E</t>
  </si>
  <si>
    <t>HALLSTED RYAN L</t>
  </si>
  <si>
    <t>CAMBREAL</t>
  </si>
  <si>
    <t>JOSHUA &amp; CAMBREAL NIELSEN</t>
  </si>
  <si>
    <t xml:space="preserve">16799 W SHILOH AVE </t>
  </si>
  <si>
    <t>YERETZIAN JEVON P</t>
  </si>
  <si>
    <t>JOSHUA D NIELSEN</t>
  </si>
  <si>
    <t>CAMBREAL NIELSEN</t>
  </si>
  <si>
    <t>MILDRED</t>
  </si>
  <si>
    <t>CARL &amp; MILDRED HAYES</t>
  </si>
  <si>
    <t xml:space="preserve">806 E GOLDENROD ST </t>
  </si>
  <si>
    <t>ESPINOZA MANUEL D &amp; LUPE T</t>
  </si>
  <si>
    <t>NATIONS LNDG SVCS</t>
  </si>
  <si>
    <t>INDEPENDENCE OH 44131</t>
  </si>
  <si>
    <t>CARL F HAYES</t>
  </si>
  <si>
    <t>MILDRED HAYES</t>
  </si>
  <si>
    <t>BEBERNISS</t>
  </si>
  <si>
    <t>BEBERNISS &amp; CRYSTAL LYNN</t>
  </si>
  <si>
    <t xml:space="preserve">4316 E EVANS DR </t>
  </si>
  <si>
    <t>WHITTAKER STEFFANIE L</t>
  </si>
  <si>
    <t>BEBERNISS JASON</t>
  </si>
  <si>
    <t>NOBLES-VAUGHN</t>
  </si>
  <si>
    <t>GRANT VAUGHN &amp; TARA NOBLES-VAUGHN</t>
  </si>
  <si>
    <t xml:space="preserve">2124 S CANFIELD </t>
  </si>
  <si>
    <t>VILLAGES OF EASTRIDGE UNIT 5</t>
  </si>
  <si>
    <t>KOCHER WILLIAM F &amp; CYNTHIA M</t>
  </si>
  <si>
    <t>VAUGHN GRANT W</t>
  </si>
  <si>
    <t>NOBLES-VAUGHN TARA L</t>
  </si>
  <si>
    <t>EDWARD &amp; LAURA RAY</t>
  </si>
  <si>
    <t xml:space="preserve">1292 N RENEE AVE </t>
  </si>
  <si>
    <t>R131</t>
  </si>
  <si>
    <t>PARCEL 26 AT SUPERSTITION SPRINGS</t>
  </si>
  <si>
    <t>MESSALI FAMILY TRUST</t>
  </si>
  <si>
    <t>RAY EDWARD</t>
  </si>
  <si>
    <t>WALSTAD</t>
  </si>
  <si>
    <t>TRACY &amp; PATRICIA WALSTAD</t>
  </si>
  <si>
    <t xml:space="preserve">4065 E CLAXTON AVE </t>
  </si>
  <si>
    <t>COOPER CARL A &amp; MARY J</t>
  </si>
  <si>
    <t>TRACY R WALSTAD</t>
  </si>
  <si>
    <t>ISABEL P WALSTAD</t>
  </si>
  <si>
    <t>WAHLMAN FAMILY LIVING TRUST</t>
  </si>
  <si>
    <t>WAHLMAN</t>
  </si>
  <si>
    <t xml:space="preserve">5140 N 35TH ST </t>
  </si>
  <si>
    <t>ORANGE GROVE ESTATES</t>
  </si>
  <si>
    <t>HALABY ANDREW F &amp; ANN M</t>
  </si>
  <si>
    <t>WAHLMAN JOHNATHON L &amp; KATHRYN L</t>
  </si>
  <si>
    <t>THEODOR</t>
  </si>
  <si>
    <t>THEODOR &amp; DORA ARENAS</t>
  </si>
  <si>
    <t xml:space="preserve">16022 W BECKER LN </t>
  </si>
  <si>
    <t>NICHOLS JANEEN A</t>
  </si>
  <si>
    <t>ARENAS THEODOR J &amp; DORA M</t>
  </si>
  <si>
    <t>DEBRA &amp; ERIC WELSH</t>
  </si>
  <si>
    <t xml:space="preserve">39627 N 5TH AVE </t>
  </si>
  <si>
    <t>WEST STEVEN SR</t>
  </si>
  <si>
    <t>WEST SR STEVEN</t>
  </si>
  <si>
    <t>WELSH DEBRA K</t>
  </si>
  <si>
    <t>JOHN &amp; CHARITY MCCLURE</t>
  </si>
  <si>
    <t xml:space="preserve">15954 N 175TH DR </t>
  </si>
  <si>
    <t>SURPRISE FARMS PHASE 2 PARCEL 2</t>
  </si>
  <si>
    <t>MCCLURE JOHN</t>
  </si>
  <si>
    <t>MCCLURE JOHN H &amp; CHARITY A</t>
  </si>
  <si>
    <t>JACOBSEN</t>
  </si>
  <si>
    <t>KRISTALEE</t>
  </si>
  <si>
    <t>JACOBSEN &amp; KRISTALEE KAY</t>
  </si>
  <si>
    <t xml:space="preserve">28810 N REDBLOOM CT </t>
  </si>
  <si>
    <t>OLIVER TRUST</t>
  </si>
  <si>
    <t>JACOBSEN ARIC D &amp; KRISTALEE K</t>
  </si>
  <si>
    <t>JOSHUA LAWRENCE &amp; AMANDA WATKINS</t>
  </si>
  <si>
    <t xml:space="preserve">14 W MARCO POLO RD </t>
  </si>
  <si>
    <t>BANAS EDWARD C</t>
  </si>
  <si>
    <t>LAWRENCE JOSHUA C</t>
  </si>
  <si>
    <t>WATKINS AMANDA E</t>
  </si>
  <si>
    <t>JAMES &amp; ASHLEY MCCOY</t>
  </si>
  <si>
    <t xml:space="preserve">2830 S 160TH LN </t>
  </si>
  <si>
    <t>AU</t>
  </si>
  <si>
    <t>RODRIGUEZ CHRISTEN</t>
  </si>
  <si>
    <t>MCCOY JAMES</t>
  </si>
  <si>
    <t>KEENEN</t>
  </si>
  <si>
    <t>KEENEN BENJAMIN</t>
  </si>
  <si>
    <t xml:space="preserve">5835 S BRITTANY LN </t>
  </si>
  <si>
    <t>ESTATES AT PEPPERWOOD</t>
  </si>
  <si>
    <t>BENJAMIN KEENEN</t>
  </si>
  <si>
    <t>HALANES</t>
  </si>
  <si>
    <t>EDELYN</t>
  </si>
  <si>
    <t>ALEX &amp; EDELYN HALANES</t>
  </si>
  <si>
    <t xml:space="preserve">16196 W CORTEZ ST </t>
  </si>
  <si>
    <t>HALANES ALEX H</t>
  </si>
  <si>
    <t>KENNETH STOVER</t>
  </si>
  <si>
    <t xml:space="preserve">1368 E BINNER DR </t>
  </si>
  <si>
    <t>TRADITION UNIT 4</t>
  </si>
  <si>
    <t>FLECK TERRY K</t>
  </si>
  <si>
    <t>STOVER KENNETH E</t>
  </si>
  <si>
    <t>NATALIO</t>
  </si>
  <si>
    <t>VILLESCAZ</t>
  </si>
  <si>
    <t>SUSIE</t>
  </si>
  <si>
    <t>NATALIO &amp; SUSIE VILLESCAZ</t>
  </si>
  <si>
    <t xml:space="preserve">12733 W WINDSOR AVE </t>
  </si>
  <si>
    <t>KORPI ROBERT W</t>
  </si>
  <si>
    <t>VILLESCAZ NATALIO J JR &amp; SUSIE G</t>
  </si>
  <si>
    <t>KATHYA</t>
  </si>
  <si>
    <t>WEIDNER</t>
  </si>
  <si>
    <t>KATHYA WEIDNER</t>
  </si>
  <si>
    <t xml:space="preserve">2814 N 112TH LN </t>
  </si>
  <si>
    <t xml:space="preserve">11570 W MOHAVE ST </t>
  </si>
  <si>
    <t>GUNSLINGER LLC</t>
  </si>
  <si>
    <t>WALLICK &amp; VOLK</t>
  </si>
  <si>
    <t>KATHIYA L WEIDNER</t>
  </si>
  <si>
    <t>DOERR REVOCABLE TRUST</t>
  </si>
  <si>
    <t>DOERR</t>
  </si>
  <si>
    <t xml:space="preserve">14641 N 90TH LN </t>
  </si>
  <si>
    <t>HARBOR ISLAND AMD 2</t>
  </si>
  <si>
    <t>HARBOR ISLAND</t>
  </si>
  <si>
    <t>SHORT DONNA J</t>
  </si>
  <si>
    <t>DOERR TRUST</t>
  </si>
  <si>
    <t>DOERR HAROLD R J &amp; JACQUELINE M</t>
  </si>
  <si>
    <t>CHARLES AND SHARILYN SULLIVAN FAMILY TRUST</t>
  </si>
  <si>
    <t xml:space="preserve">16928 S 176TH AVE </t>
  </si>
  <si>
    <t>SULLIVAN CHARLES S &amp; SHARILYN</t>
  </si>
  <si>
    <t>SCHULTZ PATRICIA A LIVING TRUS</t>
  </si>
  <si>
    <t>A SCHULTZPATRICIA</t>
  </si>
  <si>
    <t xml:space="preserve">10609 E MINNESOTA AVE </t>
  </si>
  <si>
    <t>BALLARD R SCOTT TRUSTEE</t>
  </si>
  <si>
    <t>FARMERS BK&amp;TR</t>
  </si>
  <si>
    <t>OVERLAND PARK KS 66223</t>
  </si>
  <si>
    <t>SCHULTZ DONALD F &amp; PATRICIA A</t>
  </si>
  <si>
    <t>MALOTT TERRELL J &amp; MONICA E TR</t>
  </si>
  <si>
    <t>J &amp; MONICA MALOTTTERRELL</t>
  </si>
  <si>
    <t xml:space="preserve">7702 E PUEBLO AVE </t>
  </si>
  <si>
    <t>FOUNTAIN OF THE SUN PARCEL 7-B UT 1415-1</t>
  </si>
  <si>
    <t>PLANK TRUST</t>
  </si>
  <si>
    <t>TERRELL MALOTT</t>
  </si>
  <si>
    <t>ROBERT &amp; NORMA CANTU</t>
  </si>
  <si>
    <t xml:space="preserve">2659 W BISBEE WAY </t>
  </si>
  <si>
    <t>FLATFEELISTING LLC</t>
  </si>
  <si>
    <t>CANTU ROBERT R &amp; NORMA M</t>
  </si>
  <si>
    <t>DUNKLIN</t>
  </si>
  <si>
    <t>MICHAEL DUNKLIN</t>
  </si>
  <si>
    <t xml:space="preserve">17887 N 85TH LN </t>
  </si>
  <si>
    <t>CHOICE INVS PROPS LLC</t>
  </si>
  <si>
    <t>DUNKLIN MICHAEL</t>
  </si>
  <si>
    <t>JERAHMIA</t>
  </si>
  <si>
    <t>MUELLER</t>
  </si>
  <si>
    <t>JERAHMIA &amp; VERONICA MUELLER</t>
  </si>
  <si>
    <t xml:space="preserve">2215 W IAN DR </t>
  </si>
  <si>
    <t>MUELLER JERAHMIA J &amp; VERONICA</t>
  </si>
  <si>
    <t>BOLEY</t>
  </si>
  <si>
    <t>LAURICE</t>
  </si>
  <si>
    <t>BOLEY &amp; LAURICE LYNN</t>
  </si>
  <si>
    <t xml:space="preserve">3520 N COPENHAGEN DR </t>
  </si>
  <si>
    <t>LAZCANO OMAR F &amp; ERIKA</t>
  </si>
  <si>
    <t>DONALD W BOLEY</t>
  </si>
  <si>
    <t>LAURICE L BOLEY</t>
  </si>
  <si>
    <t>KENNETH &amp; LISA GARCIA</t>
  </si>
  <si>
    <t xml:space="preserve">12601 W VERDE LN </t>
  </si>
  <si>
    <t>AGUILAR ERICK</t>
  </si>
  <si>
    <t>GARCIA KENNETH M</t>
  </si>
  <si>
    <t>PAREDES</t>
  </si>
  <si>
    <t>JOSE PAREDES</t>
  </si>
  <si>
    <t xml:space="preserve">875 S 198TH LN </t>
  </si>
  <si>
    <t>PAREDES JOSE M</t>
  </si>
  <si>
    <t>BEEBOUT</t>
  </si>
  <si>
    <t>RICHARD BEEBOUT</t>
  </si>
  <si>
    <t xml:space="preserve">30238 W CRITTENDEN LN </t>
  </si>
  <si>
    <t>WILLIAMS RICHARD D</t>
  </si>
  <si>
    <t>BEEBOUT RICHARD E</t>
  </si>
  <si>
    <t>NIBLETT</t>
  </si>
  <si>
    <t>AUDRA</t>
  </si>
  <si>
    <t>NIBLETT &amp; AUDRA JEAN</t>
  </si>
  <si>
    <t xml:space="preserve">16727 W YAVAPAI ST </t>
  </si>
  <si>
    <t>GARCIA LUIS C &amp; MARIA G</t>
  </si>
  <si>
    <t>NIBLETT AUDRA JEAN &amp; STEVEN B</t>
  </si>
  <si>
    <t>RAMIAS</t>
  </si>
  <si>
    <t>JASON RAMIAS</t>
  </si>
  <si>
    <t xml:space="preserve">1980 W PARK PL </t>
  </si>
  <si>
    <t>PENNINGTON PLACE</t>
  </si>
  <si>
    <t>PARK PLACE RENTALS LLC</t>
  </si>
  <si>
    <t>RAMIAS JASON</t>
  </si>
  <si>
    <t>MCCALL</t>
  </si>
  <si>
    <t>MARK MCCALL &amp; RACHAEL HINES</t>
  </si>
  <si>
    <t xml:space="preserve">15889 W CORTEZ ST </t>
  </si>
  <si>
    <t>MCCALL MARK S</t>
  </si>
  <si>
    <t>HINES RACHAEL</t>
  </si>
  <si>
    <t>JERROD</t>
  </si>
  <si>
    <t>ROSSON</t>
  </si>
  <si>
    <t>YESICA</t>
  </si>
  <si>
    <t>JERROD &amp; YESICA ROSSON</t>
  </si>
  <si>
    <t xml:space="preserve">22164 E CALLE DE FLORES </t>
  </si>
  <si>
    <t>VILLAGES AT QUEEN CREEK PARCEL 16</t>
  </si>
  <si>
    <t>HOMAN JOSEPH</t>
  </si>
  <si>
    <t>JERROD W ROSSON</t>
  </si>
  <si>
    <t>YESICA ROSSON</t>
  </si>
  <si>
    <t>KEVIN &amp; JULIE MCDANIEL</t>
  </si>
  <si>
    <t xml:space="preserve">1135 N 88TH PL </t>
  </si>
  <si>
    <t>AGUIRRE AURELLO &amp; MARGARITA</t>
  </si>
  <si>
    <t>KEVIN W MCDANIEL</t>
  </si>
  <si>
    <t>JULIE E MCDANIEL</t>
  </si>
  <si>
    <t>LESTER &amp; LAURA SMITH</t>
  </si>
  <si>
    <t xml:space="preserve">16258 W MAUI LN </t>
  </si>
  <si>
    <t>LEGACY PARC PARCEL A</t>
  </si>
  <si>
    <t>BAILEY HILLERY C</t>
  </si>
  <si>
    <t>LESTER E SMITH</t>
  </si>
  <si>
    <t>LAURA I SMITH</t>
  </si>
  <si>
    <t>QUENTON</t>
  </si>
  <si>
    <t>MCCALLISTER</t>
  </si>
  <si>
    <t>QUENTON MCCALLISTER</t>
  </si>
  <si>
    <t xml:space="preserve">17415 N 92ND AVE </t>
  </si>
  <si>
    <t>K HOVNANIAN COMPANIES OF ARIZONA</t>
  </si>
  <si>
    <t>MCCALLISTER QUENTON B</t>
  </si>
  <si>
    <t>RASTATTER</t>
  </si>
  <si>
    <t>LAWRENCE &amp; DARLENE RASTATTER</t>
  </si>
  <si>
    <t xml:space="preserve">8120 E DAHLIA DR </t>
  </si>
  <si>
    <t>FOUNTAIN OF THE SUN PARCEL NO 3-A</t>
  </si>
  <si>
    <t>BONCHEK FAMILY TRUST</t>
  </si>
  <si>
    <t>LAWRENCE RASTATTER</t>
  </si>
  <si>
    <t>DARLENE RASTATTER</t>
  </si>
  <si>
    <t>SHMATKO</t>
  </si>
  <si>
    <t>STEVE &amp; MARTHA SHMATKO</t>
  </si>
  <si>
    <t xml:space="preserve">9048 W RUTH AVE </t>
  </si>
  <si>
    <t>SHMATKO STEVE &amp; MARTHA</t>
  </si>
  <si>
    <t>BENJAMIN ANDERSON</t>
  </si>
  <si>
    <t xml:space="preserve">8609 W SAINT JOHN RD </t>
  </si>
  <si>
    <t>BELL PARK SOUTH  LOT 1-129</t>
  </si>
  <si>
    <t>SUPERIOR CHOICE PROPS PLLC</t>
  </si>
  <si>
    <t>ANDERSON BENJAMIN</t>
  </si>
  <si>
    <t>LEVY</t>
  </si>
  <si>
    <t>NICHOLAS LEVY</t>
  </si>
  <si>
    <t xml:space="preserve">11844 N 146TH AVE </t>
  </si>
  <si>
    <t>FERNANDEZ DANIEL</t>
  </si>
  <si>
    <t>ROBERT &amp; NICOLE DAVIS</t>
  </si>
  <si>
    <t xml:space="preserve">17399 W FETLOCK TRL </t>
  </si>
  <si>
    <t>CHIOSA GHEORGHE</t>
  </si>
  <si>
    <t>DAVIS ROBERT E</t>
  </si>
  <si>
    <t>NINA BOWEN</t>
  </si>
  <si>
    <t xml:space="preserve">331 E PINON WAY </t>
  </si>
  <si>
    <t>BRECKENRIDGE MANOR 2  LOT 114-176 TR A B</t>
  </si>
  <si>
    <t>FOSTER ELIZABETH A</t>
  </si>
  <si>
    <t>BOWEN NINA G</t>
  </si>
  <si>
    <t>JOSEPH DURAN</t>
  </si>
  <si>
    <t xml:space="preserve">2123 N PACEY RD </t>
  </si>
  <si>
    <t>KLASENER BRUNO F TRUST</t>
  </si>
  <si>
    <t>DURAN JOSEPH</t>
  </si>
  <si>
    <t>SOETAERT</t>
  </si>
  <si>
    <t>THOMAS SOETAERT</t>
  </si>
  <si>
    <t xml:space="preserve">12737 W AVALON DR </t>
  </si>
  <si>
    <t>PAGAN ROBERT &amp; MARISA A</t>
  </si>
  <si>
    <t>SOETAERT THOMAS P</t>
  </si>
  <si>
    <t>MALLETT</t>
  </si>
  <si>
    <t>GARY &amp; LINDA MALLETT</t>
  </si>
  <si>
    <t xml:space="preserve">6139 E PRESTON ST </t>
  </si>
  <si>
    <t>RIDGEVIEW UNIT 3-A</t>
  </si>
  <si>
    <t>HATHAWAY DOUGLAS N</t>
  </si>
  <si>
    <t>MALLETT GARY G &amp; LINDA R</t>
  </si>
  <si>
    <t>EVERETT ALLEN</t>
  </si>
  <si>
    <t xml:space="preserve">4127 W FALLEN LEAF LN </t>
  </si>
  <si>
    <t>UPLAND HILLS</t>
  </si>
  <si>
    <t>HANCOCK TIFFANY</t>
  </si>
  <si>
    <t>TODD A EVERETT</t>
  </si>
  <si>
    <t>JEFFREY &amp; MICHELLE BARRY</t>
  </si>
  <si>
    <t xml:space="preserve">18312 W SAGUARO LN </t>
  </si>
  <si>
    <t>BARRY JEFFREY E</t>
  </si>
  <si>
    <t>KULFAN</t>
  </si>
  <si>
    <t>AARON &amp; JACLYN KULFAN</t>
  </si>
  <si>
    <t xml:space="preserve">42923 N 43RD DR </t>
  </si>
  <si>
    <t>ELISON GREG &amp; ALLISON</t>
  </si>
  <si>
    <t>KULFAN AARON &amp; JACLYN</t>
  </si>
  <si>
    <t>KOSMALA-RUNKLE</t>
  </si>
  <si>
    <t>RUNKLE</t>
  </si>
  <si>
    <t>DANA KOSMALA-RUNKLE &amp; BENJAMIN RUNKLE</t>
  </si>
  <si>
    <t xml:space="preserve">7624 N 7TH PL </t>
  </si>
  <si>
    <t>GROVES ESTATES</t>
  </si>
  <si>
    <t>TERAUDS JEFFRY J</t>
  </si>
  <si>
    <t>KOSMALA-RUNKLE DANA M</t>
  </si>
  <si>
    <t>RUNKLE BENJAMIN C II</t>
  </si>
  <si>
    <t>MANSFIELD</t>
  </si>
  <si>
    <t>MANSFIELD TAYLOR</t>
  </si>
  <si>
    <t xml:space="preserve">5123 W ST KATERI DR </t>
  </si>
  <si>
    <t>LAVEEN CROSSING UNIT 1</t>
  </si>
  <si>
    <t>LAVEEN CROSSING</t>
  </si>
  <si>
    <t>GH HOUSING PARTNERS</t>
  </si>
  <si>
    <t>TAYLOR MANSFIELD</t>
  </si>
  <si>
    <t>PAVEL</t>
  </si>
  <si>
    <t>MANCHIK</t>
  </si>
  <si>
    <t>PAVEL &amp; SAMANTHA MANCHIK</t>
  </si>
  <si>
    <t xml:space="preserve">2690 S LOS ALTOS DR </t>
  </si>
  <si>
    <t>VALENZUELA ANTONIO J</t>
  </si>
  <si>
    <t>MANCHIK PAVEL</t>
  </si>
  <si>
    <t>KEEBLER</t>
  </si>
  <si>
    <t>KELLY &amp; SUZAN KEEBLER</t>
  </si>
  <si>
    <t xml:space="preserve">11122 W OLIVE DR </t>
  </si>
  <si>
    <t>SERRATO MANUEL J</t>
  </si>
  <si>
    <t>KEEBLER KELLY D</t>
  </si>
  <si>
    <t>WOLTMAN</t>
  </si>
  <si>
    <t>VALERIA</t>
  </si>
  <si>
    <t>AHUMADA</t>
  </si>
  <si>
    <t>JOSEPH WOLTMAN &amp; VALERIA AHUMADA</t>
  </si>
  <si>
    <t xml:space="preserve">2154 E TEMPLE CT </t>
  </si>
  <si>
    <t>COTTONWOODS CROSSING UNIT 1</t>
  </si>
  <si>
    <t>COTTONWOODS CROSSING</t>
  </si>
  <si>
    <t>HURD ERICA P</t>
  </si>
  <si>
    <t>WOLTMAN JOSEPH R</t>
  </si>
  <si>
    <t>AHUMADA VALERIA Y</t>
  </si>
  <si>
    <t>HALSEY</t>
  </si>
  <si>
    <t>MERRI</t>
  </si>
  <si>
    <t>JODY &amp; MERRI HALSEY</t>
  </si>
  <si>
    <t xml:space="preserve">1946 E LAGUNA DR </t>
  </si>
  <si>
    <t>LAMBERT JASON &amp; JAMIE L</t>
  </si>
  <si>
    <t>HALSEY JODY &amp; MERRI</t>
  </si>
  <si>
    <t>MIKEL</t>
  </si>
  <si>
    <t>MIKEL MORENO</t>
  </si>
  <si>
    <t xml:space="preserve">1144 N PHEASANT DR </t>
  </si>
  <si>
    <t>PASLAWSKI NEIL A &amp; DEENA R</t>
  </si>
  <si>
    <t>MORENO MIKEL E</t>
  </si>
  <si>
    <t>KYLE &amp; VANESSA MITCHELL</t>
  </si>
  <si>
    <t xml:space="preserve">15107 W MONTECITO AVE </t>
  </si>
  <si>
    <t>BARNHART ALEENA</t>
  </si>
  <si>
    <t>MITCHELL KYLE W</t>
  </si>
  <si>
    <t>ARRON</t>
  </si>
  <si>
    <t>KOHLMEIER</t>
  </si>
  <si>
    <t>ARRON KOHLMEIER</t>
  </si>
  <si>
    <t xml:space="preserve">8046 E CICERO ST </t>
  </si>
  <si>
    <t>MESA VERDE MEADOWS LOT 1-88 TR A-D</t>
  </si>
  <si>
    <t>MESA VERDE MEADOWS</t>
  </si>
  <si>
    <t>ACTION ACQUISITIONS LLC</t>
  </si>
  <si>
    <t>KOHLMEIER ARRON</t>
  </si>
  <si>
    <t>MARK &amp; DEBRA WARNER</t>
  </si>
  <si>
    <t xml:space="preserve">14621 W WINDWARD AVE </t>
  </si>
  <si>
    <t>BLAIR NICHOLAS E</t>
  </si>
  <si>
    <t>WARNER MARK A &amp; DEBRA L</t>
  </si>
  <si>
    <t>MYKAH</t>
  </si>
  <si>
    <t>MYKAH WILSON</t>
  </si>
  <si>
    <t xml:space="preserve">3149 W WINDROSE DR </t>
  </si>
  <si>
    <t>WESTOWN 4  LOT  373-502  TRS A &amp; B</t>
  </si>
  <si>
    <t>WESTOWN TRAILS</t>
  </si>
  <si>
    <t>SAHUARO ELEMENTARY SCHOOL</t>
  </si>
  <si>
    <t>MALINAK CHRISTOPHER L</t>
  </si>
  <si>
    <t>WILSON MYKAH D</t>
  </si>
  <si>
    <t>HITT</t>
  </si>
  <si>
    <t>MICHAEL &amp; KELLIE HITT</t>
  </si>
  <si>
    <t xml:space="preserve">1107 N 73RD PL </t>
  </si>
  <si>
    <t>GOLOB AANA</t>
  </si>
  <si>
    <t>HITT MICHAEL L</t>
  </si>
  <si>
    <t>ARCHULETA</t>
  </si>
  <si>
    <t>JAMES &amp; ANNABELLE ARCHULETA</t>
  </si>
  <si>
    <t xml:space="preserve">7764 W LUDLOW DR </t>
  </si>
  <si>
    <t>COPPERFIELD LOT 1-117</t>
  </si>
  <si>
    <t>COPPERFIELD</t>
  </si>
  <si>
    <t>NEELY ROBBIE D</t>
  </si>
  <si>
    <t>ARCHULETA JAMES M</t>
  </si>
  <si>
    <t>FITZGERALD &amp; DIANA LARA</t>
  </si>
  <si>
    <t xml:space="preserve">17832 W ANDORA ST </t>
  </si>
  <si>
    <t>WHITT CHRISTOPHER</t>
  </si>
  <si>
    <t>FITZGERALD JONATHAN A &amp; DIANA</t>
  </si>
  <si>
    <t>CHLOPEK</t>
  </si>
  <si>
    <t>JASON &amp; ALICE CHLOPEK</t>
  </si>
  <si>
    <t xml:space="preserve">18426 W PURDUE AVE </t>
  </si>
  <si>
    <t>CHLOPEK JASON R &amp; ALICE E</t>
  </si>
  <si>
    <t>KARA &amp; DANIEL MARTIN</t>
  </si>
  <si>
    <t xml:space="preserve">1633 W EVANS DR </t>
  </si>
  <si>
    <t>EATON MOON VALLEY LOT 1-128</t>
  </si>
  <si>
    <t>EATON MOON VALLEY</t>
  </si>
  <si>
    <t>MARTIN DANIEL &amp; KARA</t>
  </si>
  <si>
    <t>CARL &amp; CECILIA HUGHES</t>
  </si>
  <si>
    <t xml:space="preserve">354 W THOMPSON PL </t>
  </si>
  <si>
    <t>SIENNA HEIGHTS</t>
  </si>
  <si>
    <t>HAWKEYE R OF E SVCS LLC</t>
  </si>
  <si>
    <t>HUGHES CARL D &amp; CECILIA D</t>
  </si>
  <si>
    <t>LESCARBEAU</t>
  </si>
  <si>
    <t>AARON &amp; KATRINA LESCARBEAU</t>
  </si>
  <si>
    <t xml:space="preserve">19804 N 2ND DR </t>
  </si>
  <si>
    <t>FINE SHERMAN L</t>
  </si>
  <si>
    <t>LESCARBEAU AARON</t>
  </si>
  <si>
    <t>JAMES &amp; CYNTHIA ROSS</t>
  </si>
  <si>
    <t xml:space="preserve">521 W MICHIGAN AVE </t>
  </si>
  <si>
    <t>ANDERSEN JEFF</t>
  </si>
  <si>
    <t>ROSS JAMES F &amp; CYNTHIA M</t>
  </si>
  <si>
    <t>JPMORGAN CHASE BK NA</t>
  </si>
  <si>
    <t>CYNTHIA M ROSS</t>
  </si>
  <si>
    <t>JAMES F ROSS</t>
  </si>
  <si>
    <t>THACKER-ARNOLD</t>
  </si>
  <si>
    <t>LARRY ARNOLD &amp; REBECCA THACKER-ARNOLD</t>
  </si>
  <si>
    <t xml:space="preserve">15054 W POST DR </t>
  </si>
  <si>
    <t>ORCHARDS PARCEL 5</t>
  </si>
  <si>
    <t>LUCKY INVESTMENTS LLC</t>
  </si>
  <si>
    <t>ARNOLD LARRY</t>
  </si>
  <si>
    <t>THACKER-ARNOLD REBECCA</t>
  </si>
  <si>
    <t>GEIDEMAN</t>
  </si>
  <si>
    <t>KATIE GEIDEMAN</t>
  </si>
  <si>
    <t xml:space="preserve">4646 E CONTESSA ST </t>
  </si>
  <si>
    <t>GREENFIELD ESTATES UNIT 2 LOT 108-258</t>
  </si>
  <si>
    <t>GREENFIELD ESTATES</t>
  </si>
  <si>
    <t>MCDOWELL JON M</t>
  </si>
  <si>
    <t>GEIDEMAN KATIE A</t>
  </si>
  <si>
    <t>AMALIA</t>
  </si>
  <si>
    <t>BRETT &amp; AMALIA BROWN</t>
  </si>
  <si>
    <t xml:space="preserve">14818 W ROANOKE AVE </t>
  </si>
  <si>
    <t>SONG SCOTT S</t>
  </si>
  <si>
    <t>BROWN BRETT &amp; AMALIA</t>
  </si>
  <si>
    <t>DANIEL MOORE</t>
  </si>
  <si>
    <t xml:space="preserve">3824 E MORELOS ST </t>
  </si>
  <si>
    <t>MOORE DANIEL LEE</t>
  </si>
  <si>
    <t>MALORY</t>
  </si>
  <si>
    <t>DANIEL &amp; MALORY PORTER</t>
  </si>
  <si>
    <t xml:space="preserve">12039 W LOUISE CT </t>
  </si>
  <si>
    <t>PARSONS DANIEL</t>
  </si>
  <si>
    <t>PORTER DANIEL L &amp; MALORY</t>
  </si>
  <si>
    <t>JORDAL</t>
  </si>
  <si>
    <t>JEFFREY JORDAL &amp; RODNEY SMITH</t>
  </si>
  <si>
    <t xml:space="preserve">30211 W CRITTENDEN LN </t>
  </si>
  <si>
    <t>SMITH LINDA B</t>
  </si>
  <si>
    <t>JORDAL JEFFREY</t>
  </si>
  <si>
    <t>COKENS</t>
  </si>
  <si>
    <t>JOSEPH COKENS</t>
  </si>
  <si>
    <t xml:space="preserve">739 E FORDHAM DR </t>
  </si>
  <si>
    <t>UNIVERSITY ROYAL</t>
  </si>
  <si>
    <t>KIWANIS PARK</t>
  </si>
  <si>
    <t>AGUILAR ELEMENTARY SCHOOL</t>
  </si>
  <si>
    <t>EPPELHEIMER ROSS</t>
  </si>
  <si>
    <t>COKENS JOSEPH C</t>
  </si>
  <si>
    <t>SORRELLE</t>
  </si>
  <si>
    <t>CHANDRA SORRELLE</t>
  </si>
  <si>
    <t xml:space="preserve">1234 N 169TH AVE </t>
  </si>
  <si>
    <t>SORRELLE CHANDRA V</t>
  </si>
  <si>
    <t>WHITED</t>
  </si>
  <si>
    <t>VAUGHAN &amp; DENISE WHITED</t>
  </si>
  <si>
    <t xml:space="preserve">17661 W MARCONI AVE </t>
  </si>
  <si>
    <t>WHITED VAUGHN T &amp; DENISE R</t>
  </si>
  <si>
    <t>LACSON</t>
  </si>
  <si>
    <t>LAWRENCE LACSON</t>
  </si>
  <si>
    <t xml:space="preserve">20921 W RIDGE RD </t>
  </si>
  <si>
    <t>VERRADO PARCEL 3.207</t>
  </si>
  <si>
    <t>POPE D JEAN</t>
  </si>
  <si>
    <t>LACSON LAWRENCE E</t>
  </si>
  <si>
    <t>CARMELLO</t>
  </si>
  <si>
    <t>LOCURTO</t>
  </si>
  <si>
    <t>CARMELLO &amp; OLIVIA LOCURTO</t>
  </si>
  <si>
    <t xml:space="preserve">908 E MARCONI AVE </t>
  </si>
  <si>
    <t>SUGGS MOON MOUNTAIN ESTATES LOT 1-120</t>
  </si>
  <si>
    <t>SUGGS MOON MOUNTAIN ESTATES</t>
  </si>
  <si>
    <t>PRIEST THOMAS</t>
  </si>
  <si>
    <t>LOCURTO CARMELLO &amp; OLIVIA M</t>
  </si>
  <si>
    <t>KAERCHER</t>
  </si>
  <si>
    <t>ROSEMARIE &amp; STEVEN KAERCHER</t>
  </si>
  <si>
    <t xml:space="preserve">115 W RENEE DR </t>
  </si>
  <si>
    <t>NORTHPARK CENTRAL</t>
  </si>
  <si>
    <t>PRIEGER DAVID L</t>
  </si>
  <si>
    <t>KAERCHER ROSEMARIE P &amp; STEVEN L</t>
  </si>
  <si>
    <t>ROBERTO</t>
  </si>
  <si>
    <t>MALDONADO</t>
  </si>
  <si>
    <t>ROBERTO MALDONADO</t>
  </si>
  <si>
    <t xml:space="preserve">1715 W EVANS DR </t>
  </si>
  <si>
    <t>SHAW BILL</t>
  </si>
  <si>
    <t>MALDONADO ROBERTO O</t>
  </si>
  <si>
    <t>THEODORE LOPEZ</t>
  </si>
  <si>
    <t xml:space="preserve">15107 W AMELIA DR </t>
  </si>
  <si>
    <t>PEBBLECREEK UNIT SEVEN</t>
  </si>
  <si>
    <t>ALLISON ROBERT E &amp; SUSAN M</t>
  </si>
  <si>
    <t>LOPEZ THEODORE</t>
  </si>
  <si>
    <t>JAMES AKERS</t>
  </si>
  <si>
    <t xml:space="preserve">12951 W PORT ROYALE LN </t>
  </si>
  <si>
    <t>GH HOUSING PARTNERS LC</t>
  </si>
  <si>
    <t>JAMES J AKERS</t>
  </si>
  <si>
    <t>KEVIN BREWER &amp; SAMANTHA STONE</t>
  </si>
  <si>
    <t xml:space="preserve">12514 W RANCHO CT </t>
  </si>
  <si>
    <t>TMW CAPITAL INVESMENTS LLC</t>
  </si>
  <si>
    <t>BREWER KEVIN H</t>
  </si>
  <si>
    <t>STONE SAMANTHA</t>
  </si>
  <si>
    <t>MONTANO</t>
  </si>
  <si>
    <t>MANUEL &amp; SALLY MONTANO</t>
  </si>
  <si>
    <t xml:space="preserve">10745 W COTTONWOOD LN </t>
  </si>
  <si>
    <t>CHALABEE ROBERT</t>
  </si>
  <si>
    <t>MANUEL J MONTANG</t>
  </si>
  <si>
    <t>SALLY N MONTANO</t>
  </si>
  <si>
    <t>CHRISTINA JOHNSON</t>
  </si>
  <si>
    <t xml:space="preserve">16176 W DESERT MIRAGE DR </t>
  </si>
  <si>
    <t>PANOUSOPOULOS DANIEL</t>
  </si>
  <si>
    <t>JOHNSON CHRISTINA D</t>
  </si>
  <si>
    <t>COOLEY</t>
  </si>
  <si>
    <t>BETHANN</t>
  </si>
  <si>
    <t>LEONARD &amp; BETHANN COOLEY</t>
  </si>
  <si>
    <t xml:space="preserve">18631 W OREGON AVE </t>
  </si>
  <si>
    <t>HESLA ROBERT C</t>
  </si>
  <si>
    <t>COOLEY LEONARD</t>
  </si>
  <si>
    <t>DOUGLAS &amp; SUSAN HALL</t>
  </si>
  <si>
    <t xml:space="preserve">8118 E DUTCHMAN DR </t>
  </si>
  <si>
    <t>BLAZEJOVSKY JAMES A &amp; ROSALI</t>
  </si>
  <si>
    <t>FIRST NATIONS HM FIN CORP</t>
  </si>
  <si>
    <t>HALL DOUGLAS A &amp; SUSAN R</t>
  </si>
  <si>
    <t>ALZEDA</t>
  </si>
  <si>
    <t>WILLIAM &amp; ALZEDA MILLER</t>
  </si>
  <si>
    <t xml:space="preserve">16086 W CORTEZ ST </t>
  </si>
  <si>
    <t>MILLER WILLIAM C</t>
  </si>
  <si>
    <t>FRANK R KOHNE</t>
  </si>
  <si>
    <t>WILLIAM MILLER</t>
  </si>
  <si>
    <t>BRIAN &amp; DIANNE JOHNSON</t>
  </si>
  <si>
    <t xml:space="preserve">2573 W SHEFFIELD AVE </t>
  </si>
  <si>
    <t>WHALEN RAYMOND &amp; MAUREEN</t>
  </si>
  <si>
    <t>JOHNSON BRIAN P &amp; DIANNE M</t>
  </si>
  <si>
    <t>NONDA</t>
  </si>
  <si>
    <t>BRAZIER</t>
  </si>
  <si>
    <t>NONDA &amp; WILLIAM BRAZIER</t>
  </si>
  <si>
    <t xml:space="preserve">7613 W CHERYL DR </t>
  </si>
  <si>
    <t>MCGUFFIE RICHARD P</t>
  </si>
  <si>
    <t>NONDA J BRAZIER</t>
  </si>
  <si>
    <t>WILLIAM J BRAZIER</t>
  </si>
  <si>
    <t>HYDE</t>
  </si>
  <si>
    <t>KASSANDRA</t>
  </si>
  <si>
    <t>JAMES &amp; KASSANDRA HYDE</t>
  </si>
  <si>
    <t xml:space="preserve">4147 W CROCUS DR </t>
  </si>
  <si>
    <t>GLENAIRE UNIT 1 AMD LOT 1-77</t>
  </si>
  <si>
    <t>GLENAIRE</t>
  </si>
  <si>
    <t>MARCIANO PROPERTIES LLC</t>
  </si>
  <si>
    <t>HYDE JAMES R</t>
  </si>
  <si>
    <t>SETH &amp; STACIE MILLER</t>
  </si>
  <si>
    <t xml:space="preserve">1312 W GEORGIA AVE </t>
  </si>
  <si>
    <t>CHRIS GILGIANS CAMELBACK VILLAGE UNIT 2</t>
  </si>
  <si>
    <t>DORSAN PROPERTIES LLC</t>
  </si>
  <si>
    <t>SETH B MILLER</t>
  </si>
  <si>
    <t>STACIE MILLER</t>
  </si>
  <si>
    <t>JOSE &amp; ELIZABETH APONTE</t>
  </si>
  <si>
    <t xml:space="preserve">6021 N 133RD DR </t>
  </si>
  <si>
    <t>MOORE PATRICK W</t>
  </si>
  <si>
    <t>APONTE JOSE M</t>
  </si>
  <si>
    <t>REGIER</t>
  </si>
  <si>
    <t>JEROLD &amp; JANET REGIER</t>
  </si>
  <si>
    <t xml:space="preserve">1426 N BIRCH ST </t>
  </si>
  <si>
    <t>TOWNSHIP 2  1-67 71-123 126-131_137-141</t>
  </si>
  <si>
    <t>JOHNSON SHARON TRUST</t>
  </si>
  <si>
    <t>JEROLD REGIER</t>
  </si>
  <si>
    <t>JANET REGIER</t>
  </si>
  <si>
    <t>JOHNATHON MILLER</t>
  </si>
  <si>
    <t xml:space="preserve">4111 W BEVERLY RD </t>
  </si>
  <si>
    <t>MILLER JOHNATHON R</t>
  </si>
  <si>
    <t>CEJA</t>
  </si>
  <si>
    <t>GERARDO &amp; DANIELA CEJA</t>
  </si>
  <si>
    <t xml:space="preserve">15954 W LARKSPUR DR </t>
  </si>
  <si>
    <t>SARIVAL VILLAGE PARCEL 10</t>
  </si>
  <si>
    <t>GERARDO JR CEJA</t>
  </si>
  <si>
    <t>DANIELA CEJA</t>
  </si>
  <si>
    <t>EFRAIM</t>
  </si>
  <si>
    <t>RUTHENBERG</t>
  </si>
  <si>
    <t>EFRAIM RUTHENBERG</t>
  </si>
  <si>
    <t xml:space="preserve">8638 E WELDON AVE </t>
  </si>
  <si>
    <t>KERN MICHAEL J</t>
  </si>
  <si>
    <t>RUTHENBERG EFRAIM M</t>
  </si>
  <si>
    <t>TIMOTHY &amp; CHRISTINA ANDERSON</t>
  </si>
  <si>
    <t xml:space="preserve">7511 E NARANJA AVE </t>
  </si>
  <si>
    <t>MOORE HARVEY N &amp; KATHLEEN J</t>
  </si>
  <si>
    <t>MARKETLINE MTG</t>
  </si>
  <si>
    <t>TIMOTHY L ANDERSON</t>
  </si>
  <si>
    <t>CHRISTINA M ANDERSON</t>
  </si>
  <si>
    <t>CULLY</t>
  </si>
  <si>
    <t>GARY CULLY</t>
  </si>
  <si>
    <t xml:space="preserve">6922 E GRANADA RD </t>
  </si>
  <si>
    <t>REDLANDS</t>
  </si>
  <si>
    <t>CULLY GARY W</t>
  </si>
  <si>
    <t>BOOR</t>
  </si>
  <si>
    <t>LARRY BOOR</t>
  </si>
  <si>
    <t xml:space="preserve">3708 E CODY AVE </t>
  </si>
  <si>
    <t>FLEMING CHERYLE E</t>
  </si>
  <si>
    <t>BOOR LARRY</t>
  </si>
  <si>
    <t>KLEMME</t>
  </si>
  <si>
    <t>KEVIN KLEMME</t>
  </si>
  <si>
    <t xml:space="preserve">6875 E PHELPS RD </t>
  </si>
  <si>
    <t>KLEMME KEVIN</t>
  </si>
  <si>
    <t>JAMES &amp; RACHEL MILLS</t>
  </si>
  <si>
    <t xml:space="preserve">2315 W ANDERSON AVE </t>
  </si>
  <si>
    <t>VILLAGE MEADOWS  2</t>
  </si>
  <si>
    <t>SLOMINSKI ERIC W</t>
  </si>
  <si>
    <t>MILLS JAMES A JR &amp; RACHEL A</t>
  </si>
  <si>
    <t>CONNY</t>
  </si>
  <si>
    <t>HAMMONS &amp; CORNELIA CONNY</t>
  </si>
  <si>
    <t xml:space="preserve">15600 W DESERT CROWN WAY </t>
  </si>
  <si>
    <t>SUN CITY GRAND WILLOW GROVE</t>
  </si>
  <si>
    <t>WEISS RONALD B &amp; BARBARA N</t>
  </si>
  <si>
    <t>HAMMONS RONALD M &amp; CORNELIA C</t>
  </si>
  <si>
    <t>HAILEY</t>
  </si>
  <si>
    <t>KENNETH HAILEY</t>
  </si>
  <si>
    <t xml:space="preserve">9526 E PLANA AVE </t>
  </si>
  <si>
    <t xml:space="preserve">PO BOX 51914 </t>
  </si>
  <si>
    <t>KOSSMAN KEVIN &amp; AMY</t>
  </si>
  <si>
    <t>HAILEY KENNETH</t>
  </si>
  <si>
    <t>COKER</t>
  </si>
  <si>
    <t>GARY COKER</t>
  </si>
  <si>
    <t xml:space="preserve">8114 E MONTEBELLO AVE </t>
  </si>
  <si>
    <t xml:space="preserve">6319 N 82ND WAY </t>
  </si>
  <si>
    <t>PARK SCOTTSDALE 18</t>
  </si>
  <si>
    <t>CRESCENT CAP HOLDINGS LLC</t>
  </si>
  <si>
    <t>COKER GARY K JR</t>
  </si>
  <si>
    <t>GRITTNER-ENCINAS</t>
  </si>
  <si>
    <t>GERARDO ENCINAS &amp; JESSICA GRITTNER-ENCINAS</t>
  </si>
  <si>
    <t xml:space="preserve">3036 W PLEASANT LN </t>
  </si>
  <si>
    <t>ENCINAS GERARDO R</t>
  </si>
  <si>
    <t>GRITTNER-ENCINAS JESSICA</t>
  </si>
  <si>
    <t>KINSLOW</t>
  </si>
  <si>
    <t>KERRY &amp; DARCY KINSLOW</t>
  </si>
  <si>
    <t xml:space="preserve">2697 N 132ND DR </t>
  </si>
  <si>
    <t>PALM VALLEY PHASE 1 PARCEL 4</t>
  </si>
  <si>
    <t>THE HORIZONS</t>
  </si>
  <si>
    <t>BOURPOULAS PERRY</t>
  </si>
  <si>
    <t>KINSLOW KERRY D &amp; DARCY B</t>
  </si>
  <si>
    <t>BUSHA</t>
  </si>
  <si>
    <t>THOMAS &amp; MARYANN BUSHA</t>
  </si>
  <si>
    <t xml:space="preserve">916 W LAGUNA AZUL AVE </t>
  </si>
  <si>
    <t xml:space="preserve">1051 S SPUR </t>
  </si>
  <si>
    <t>ROOSEN PAUL</t>
  </si>
  <si>
    <t>BUSHA THOMAS C</t>
  </si>
  <si>
    <t>WAGGONER</t>
  </si>
  <si>
    <t>TODD &amp; ELIZABETH WAGGONER</t>
  </si>
  <si>
    <t xml:space="preserve">17024 W CARMEN DR </t>
  </si>
  <si>
    <t>RUTHRAUFF MARK &amp; LISA</t>
  </si>
  <si>
    <t>WAGGONER TODD &amp; ELIZABETH</t>
  </si>
  <si>
    <t>FIFER</t>
  </si>
  <si>
    <t>TREJO</t>
  </si>
  <si>
    <t>FIFER &amp; SARAH TREJO</t>
  </si>
  <si>
    <t xml:space="preserve">12342 W TURNEY AVE </t>
  </si>
  <si>
    <t>RIO CROSSING</t>
  </si>
  <si>
    <t>TRAN TONY P</t>
  </si>
  <si>
    <t>FIFER ANDREW J</t>
  </si>
  <si>
    <t>HYLER</t>
  </si>
  <si>
    <t>JAMES &amp; LUANN HYLER</t>
  </si>
  <si>
    <t xml:space="preserve">26811 W ROSS AVE </t>
  </si>
  <si>
    <t>ST ARNAUD DENIS</t>
  </si>
  <si>
    <t>HYLER JAMES A</t>
  </si>
  <si>
    <t>RUBI</t>
  </si>
  <si>
    <t>ERNEST &amp; MARY RUBI</t>
  </si>
  <si>
    <t xml:space="preserve">30392 W WHITTON AVE </t>
  </si>
  <si>
    <t>RUBI ERNEST A</t>
  </si>
  <si>
    <t>KEVIN DENTON</t>
  </si>
  <si>
    <t xml:space="preserve">3531 E WINCHCOMB DR </t>
  </si>
  <si>
    <t>PARADISE VALLEY OASIS NO 10 LOT 1-311 &amp;</t>
  </si>
  <si>
    <t>FERGUSON LYDIA L</t>
  </si>
  <si>
    <t>DENTON KEVIN</t>
  </si>
  <si>
    <t>MINGO</t>
  </si>
  <si>
    <t>SPENCER &amp; LISA MINGO</t>
  </si>
  <si>
    <t xml:space="preserve">12814 W FLOWER ST </t>
  </si>
  <si>
    <t>WORLEY STEVEN J</t>
  </si>
  <si>
    <t>MINGO SPENCER T</t>
  </si>
  <si>
    <t>ELLSWORTH &amp; WANDA GAYLE</t>
  </si>
  <si>
    <t xml:space="preserve">3939 W CHOLLA ST </t>
  </si>
  <si>
    <t>FAIRWOOD UNIT 3</t>
  </si>
  <si>
    <t>FAIRWOOD</t>
  </si>
  <si>
    <t>JONES MATTHEW J</t>
  </si>
  <si>
    <t>ELLSWORTH PHILLIP J &amp; WANDA G</t>
  </si>
  <si>
    <t>LOWERY DARCY L LIVING TRUST</t>
  </si>
  <si>
    <t>L LOWERYDARCY</t>
  </si>
  <si>
    <t xml:space="preserve">16024 N 158TH LN </t>
  </si>
  <si>
    <t>TULL PEARL</t>
  </si>
  <si>
    <t>LOWERY DARCY L</t>
  </si>
  <si>
    <t>SIGMUND</t>
  </si>
  <si>
    <t>WILLIAM SIGMUND</t>
  </si>
  <si>
    <t xml:space="preserve">43011 N 7TH AVE </t>
  </si>
  <si>
    <t>DAVIS WILLIAM G &amp; ISABEL F</t>
  </si>
  <si>
    <t>SIGMUND WILLIAM P</t>
  </si>
  <si>
    <t>KROLL</t>
  </si>
  <si>
    <t>THOMAS KROLL</t>
  </si>
  <si>
    <t xml:space="preserve">2233 W IRVINE RD </t>
  </si>
  <si>
    <t>KOKTAVY KATHRYN L</t>
  </si>
  <si>
    <t>KROLL TOM</t>
  </si>
  <si>
    <t>SILVERS</t>
  </si>
  <si>
    <t>HAROLD &amp; JUDY SILVERS</t>
  </si>
  <si>
    <t xml:space="preserve">43938 N 18TH ST </t>
  </si>
  <si>
    <t>CARPENTER BRETT &amp; DANIELLE</t>
  </si>
  <si>
    <t>HAROLD W SILVERS</t>
  </si>
  <si>
    <t>JUDY M SILVERS</t>
  </si>
  <si>
    <t>TREFTS</t>
  </si>
  <si>
    <t>LORE</t>
  </si>
  <si>
    <t>KENNETH TREFTS &amp; JEAN LORE</t>
  </si>
  <si>
    <t xml:space="preserve">3578 E MAPLEWOOD ST </t>
  </si>
  <si>
    <t>CASILLAS ALEJANDRO</t>
  </si>
  <si>
    <t>TREFTS KENNETH C &amp; LORE J</t>
  </si>
  <si>
    <t>LIPPINCOTT</t>
  </si>
  <si>
    <t>LIPPINCOTT &amp; MARGARET ANN</t>
  </si>
  <si>
    <t xml:space="preserve">810 E HARMONT DR </t>
  </si>
  <si>
    <t>OSBORNE NORTH-PLAT OF CORRECTION</t>
  </si>
  <si>
    <t>OSBORNE NORTH</t>
  </si>
  <si>
    <t>HOLLOWAY MICHAEL &amp; CHRISTINE</t>
  </si>
  <si>
    <t>TUCSON AZ 85704</t>
  </si>
  <si>
    <t>LIPPINCOTT LAWRENCE A &amp; MARGARET A</t>
  </si>
  <si>
    <t>LAWRENCE A LIPPINCOTT</t>
  </si>
  <si>
    <t>MARGARET A LIPPINCOTT</t>
  </si>
  <si>
    <t>DICKSON</t>
  </si>
  <si>
    <t>JAMES &amp; KAYLA DICKSON</t>
  </si>
  <si>
    <t xml:space="preserve">2955 E WASHINGTON AVE </t>
  </si>
  <si>
    <t>HIGLEY GROVES WEST</t>
  </si>
  <si>
    <t>COX BRANDON G</t>
  </si>
  <si>
    <t>DICKSON JAMES L &amp; KAYLA J</t>
  </si>
  <si>
    <t>WEATHERTON</t>
  </si>
  <si>
    <t>RANDOLPH WEATHERTON</t>
  </si>
  <si>
    <t xml:space="preserve">21710 S 222ND WAY </t>
  </si>
  <si>
    <t>WEATHERTON RANDOLPH</t>
  </si>
  <si>
    <t>TIDWELL</t>
  </si>
  <si>
    <t>RUSSELL &amp; ALEXIS TIDWELL</t>
  </si>
  <si>
    <t xml:space="preserve">1406 N ESTRADA </t>
  </si>
  <si>
    <t>MAIER ALISON</t>
  </si>
  <si>
    <t>TIDWELL RUSSELL P &amp; ALEXIS D</t>
  </si>
  <si>
    <t>STEINBAUER</t>
  </si>
  <si>
    <t>MARIAM</t>
  </si>
  <si>
    <t>RANDY &amp; MARIAM STEINBAUER</t>
  </si>
  <si>
    <t xml:space="preserve">1678 S QUARTZ ST </t>
  </si>
  <si>
    <t>PYNE J &amp; G LIVING TRUST</t>
  </si>
  <si>
    <t>STEINBAUER RANDY &amp; MARIAM</t>
  </si>
  <si>
    <t>CHRISTOPHER &amp; CYNTHIA CAMPBELL</t>
  </si>
  <si>
    <t xml:space="preserve">13009 W WHISPER ROCK TRL </t>
  </si>
  <si>
    <t>VISTANCIA NORTH PHASE 3 PARCEL F5</t>
  </si>
  <si>
    <t>CAMPBELL CHRISTOPHER J &amp; CYNTHIA D</t>
  </si>
  <si>
    <t>LANETTE CAMPBELL</t>
  </si>
  <si>
    <t xml:space="preserve">2324 E ALLEN ST </t>
  </si>
  <si>
    <t>ALANI LAMAN</t>
  </si>
  <si>
    <t>CAMPBELL DONALD</t>
  </si>
  <si>
    <t>BAXTER</t>
  </si>
  <si>
    <t>JEANNETTE</t>
  </si>
  <si>
    <t>TERRY &amp; JEANNETTE BAXTER</t>
  </si>
  <si>
    <t xml:space="preserve">18239 W SELLS DR </t>
  </si>
  <si>
    <t>BAXTER TERRY G &amp; JEANNETTE L</t>
  </si>
  <si>
    <t>ROYLANDER</t>
  </si>
  <si>
    <t>ROYLANDER &amp; APRIL WHITE</t>
  </si>
  <si>
    <t xml:space="preserve">20376 E APPALOOSA DR </t>
  </si>
  <si>
    <t>NELSON DAVID R &amp; CYNTHIA S</t>
  </si>
  <si>
    <t>WHITE ROYLANDER &amp; APRIL</t>
  </si>
  <si>
    <t>CLAIBORNE</t>
  </si>
  <si>
    <t>SULEMA</t>
  </si>
  <si>
    <t>CLAIBORNE &amp; SULEMA MCDONALD</t>
  </si>
  <si>
    <t xml:space="preserve">11832 N WINCHESTER DR </t>
  </si>
  <si>
    <t>FOUNTAIN HILLS F.P.604-A LT 14-43 BK 1 L</t>
  </si>
  <si>
    <t>HILL BRIAN E</t>
  </si>
  <si>
    <t>MCDONALD CLAIBORNE E &amp; SULEMA</t>
  </si>
  <si>
    <t>CLAIBOME E MCDONALD</t>
  </si>
  <si>
    <t>SULEMA MCDONALD</t>
  </si>
  <si>
    <t>PALE</t>
  </si>
  <si>
    <t>RONALD &amp; SUSAN PALE</t>
  </si>
  <si>
    <t xml:space="preserve">5336 S MARIGOLD WAY </t>
  </si>
  <si>
    <t>TRILOGY UNIT 7 PHASE A</t>
  </si>
  <si>
    <t>SILVA GILBERT &amp; KATHLEEN A</t>
  </si>
  <si>
    <t>PALE RONALD J &amp; SUSAN S</t>
  </si>
  <si>
    <t>KNOWLTON</t>
  </si>
  <si>
    <t>THOMAS &amp; LINDA KNOWLTON</t>
  </si>
  <si>
    <t xml:space="preserve">5779 S PENROSE DR </t>
  </si>
  <si>
    <t>MILLER SCOTT A &amp; VANESSA V</t>
  </si>
  <si>
    <t>KNOWLTON THOMAS E &amp; LINDA L</t>
  </si>
  <si>
    <t>LUKASZ</t>
  </si>
  <si>
    <t>DWORAKOWSKI</t>
  </si>
  <si>
    <t>LUKASZ &amp; ASHLEY DWORAKOWSKI</t>
  </si>
  <si>
    <t xml:space="preserve">3957 E FAIRFIELD CIR </t>
  </si>
  <si>
    <t>TRIANA</t>
  </si>
  <si>
    <t>LYELL ALLISON</t>
  </si>
  <si>
    <t>DWORAKOWSKI LUKASZ</t>
  </si>
  <si>
    <t>RICKS</t>
  </si>
  <si>
    <t>SIMON RICKS</t>
  </si>
  <si>
    <t xml:space="preserve">4518 W PASEO WAY </t>
  </si>
  <si>
    <t>ABALOS MICHAEL</t>
  </si>
  <si>
    <t>RICKS SIMON P</t>
  </si>
  <si>
    <t>RICHARD DURAN</t>
  </si>
  <si>
    <t xml:space="preserve">7366 W ORAIBI DR </t>
  </si>
  <si>
    <t>DAVIS MICHAEL &amp; C TRUST</t>
  </si>
  <si>
    <t>DURAN RICHARD A</t>
  </si>
  <si>
    <t>LEIMBACK</t>
  </si>
  <si>
    <t>LOUKOTA</t>
  </si>
  <si>
    <t>LEIMBACK &amp; JESSICA LOUKOTA</t>
  </si>
  <si>
    <t xml:space="preserve">2613 S KEENE </t>
  </si>
  <si>
    <t>SROKA DAVID</t>
  </si>
  <si>
    <t>LEIMBACK JOSHUA A &amp; JESSICA L</t>
  </si>
  <si>
    <t>MERCEDES</t>
  </si>
  <si>
    <t>MARISA</t>
  </si>
  <si>
    <t>MARTIN &amp; MARISA MERCEDES</t>
  </si>
  <si>
    <t xml:space="preserve">8702 E MINNEZONA AVE </t>
  </si>
  <si>
    <t>SCOTTSDALE HIGHLANDS 5</t>
  </si>
  <si>
    <t>HEBERT JAY M &amp; MICHELLE</t>
  </si>
  <si>
    <t>MARTIN TYLER S &amp; MARISA M</t>
  </si>
  <si>
    <t>SHOEMAKER</t>
  </si>
  <si>
    <t>PAULA LANE &amp; JAMES SHOEMAKER</t>
  </si>
  <si>
    <t xml:space="preserve">6703 S LAKESHORE DR </t>
  </si>
  <si>
    <t>SHOEMAKER JAMES</t>
  </si>
  <si>
    <t>GULARTE</t>
  </si>
  <si>
    <t>BRADLEY &amp; RACHEL GULARTE</t>
  </si>
  <si>
    <t xml:space="preserve">8371 W DESERT SPOON DR </t>
  </si>
  <si>
    <t>WESTWING MOUNTAIN PARCEL 1A</t>
  </si>
  <si>
    <t>GULARTE BRADLEY S</t>
  </si>
  <si>
    <t>CUDDY TODD P &amp; TRICIA A TRUST</t>
  </si>
  <si>
    <t>CUDDY</t>
  </si>
  <si>
    <t>P &amp; TRICIA CUDDYTODD</t>
  </si>
  <si>
    <t xml:space="preserve">1082 W LAREDO AVE </t>
  </si>
  <si>
    <t>GONZALES ANTHONY C</t>
  </si>
  <si>
    <t>PHOENIX AZ 85028</t>
  </si>
  <si>
    <t>CUDDY TRICIA</t>
  </si>
  <si>
    <t>TODD P CUDDY</t>
  </si>
  <si>
    <t>TRICIA A CUDDY</t>
  </si>
  <si>
    <t>ELLEN VELARIDES</t>
  </si>
  <si>
    <t xml:space="preserve">1318 E BETH DR </t>
  </si>
  <si>
    <t>KJS HOME LLC</t>
  </si>
  <si>
    <t>VELARIDES ELLEN R</t>
  </si>
  <si>
    <t>MORELAND</t>
  </si>
  <si>
    <t>CHAD &amp; KATHLEEN MORELAND</t>
  </si>
  <si>
    <t xml:space="preserve">7040 W KIMBERLY WAY </t>
  </si>
  <si>
    <t>ARROWHEAD RANCH  4         LT 1-132 TR A</t>
  </si>
  <si>
    <t>SCHILLING ROBERT K</t>
  </si>
  <si>
    <t>CHAD MORELAND</t>
  </si>
  <si>
    <t>KATHLEEN MORELAND</t>
  </si>
  <si>
    <t>MONTELEONE</t>
  </si>
  <si>
    <t>JASON &amp; CRYSTAL MONTELEONE</t>
  </si>
  <si>
    <t xml:space="preserve">4839 W MISTY WILLOW LN </t>
  </si>
  <si>
    <t>SADDLEBACK MEADOWS 3</t>
  </si>
  <si>
    <t>SADDLEBACK MEADOWS</t>
  </si>
  <si>
    <t>DAUGHERTY SANDRA</t>
  </si>
  <si>
    <t>MONTELEONE JASON A &amp; CRYSTAL</t>
  </si>
  <si>
    <t>GILLIAM</t>
  </si>
  <si>
    <t>TOMMY &amp; GAIL GILLIAM</t>
  </si>
  <si>
    <t xml:space="preserve">18457 W IVY LN </t>
  </si>
  <si>
    <t>SHATKOUSKI MICHAEL F</t>
  </si>
  <si>
    <t>TOMMY B GILLIAM</t>
  </si>
  <si>
    <t>GAIL A GILLIAM</t>
  </si>
  <si>
    <t>MCKENZI</t>
  </si>
  <si>
    <t>JONATHAN &amp; MCKENZI HARROP</t>
  </si>
  <si>
    <t xml:space="preserve">21494 E LORDS WAY </t>
  </si>
  <si>
    <t>TOCYAP-AQUINO MARY L</t>
  </si>
  <si>
    <t>HARROP JONATHAN B &amp; MCKENZI J</t>
  </si>
  <si>
    <t>ROBERT YOUNG</t>
  </si>
  <si>
    <t xml:space="preserve">16159 W DEVONSHIRE AVE </t>
  </si>
  <si>
    <t>LONG MARK</t>
  </si>
  <si>
    <t>YOUNG ROBERT T</t>
  </si>
  <si>
    <t>TROY &amp; TERESA WALTERS</t>
  </si>
  <si>
    <t xml:space="preserve">4802 W ROYAL PALM RD </t>
  </si>
  <si>
    <t>NORTHERN PALMS 3</t>
  </si>
  <si>
    <t>GOLDEN PALMS-NORTHERN PALMS</t>
  </si>
  <si>
    <t>BALD EAGLE POINT LLC</t>
  </si>
  <si>
    <t>WALTERS TROY A &amp; TERESA L</t>
  </si>
  <si>
    <t>JASEN</t>
  </si>
  <si>
    <t>BUNN</t>
  </si>
  <si>
    <t>JASEN &amp; CASEY BUNN</t>
  </si>
  <si>
    <t xml:space="preserve">9407 N CAMINO VISTA LN </t>
  </si>
  <si>
    <t>HERITAGE HEIGHTS 1</t>
  </si>
  <si>
    <t>WEECH KENYON N &amp; KATHRYN M</t>
  </si>
  <si>
    <t>BUNN JASEN &amp; CASEY</t>
  </si>
  <si>
    <t>DENNIS PENA</t>
  </si>
  <si>
    <t xml:space="preserve">1725 E GELDING DR </t>
  </si>
  <si>
    <t>HEIGHTS AT LOOKOUT MOUNTAIN LOT 1-37</t>
  </si>
  <si>
    <t>HEIGHTS AT LOOKOUT MOUNTAIN</t>
  </si>
  <si>
    <t>BOND RICHARD &amp; STEPHANIE</t>
  </si>
  <si>
    <t>PENA DENNIS</t>
  </si>
  <si>
    <t>KENNETH HIGGS</t>
  </si>
  <si>
    <t xml:space="preserve">5845 E JULEP ST </t>
  </si>
  <si>
    <t>DE LOS SANTOS JILLIAN</t>
  </si>
  <si>
    <t>HIGGS KENNETH R</t>
  </si>
  <si>
    <t>POND</t>
  </si>
  <si>
    <t>FLYING</t>
  </si>
  <si>
    <t>DIANE POND &amp; JOHN FLYING</t>
  </si>
  <si>
    <t xml:space="preserve">3330 E OREGON AVE </t>
  </si>
  <si>
    <t>SWANKY KALVAN</t>
  </si>
  <si>
    <t>POND DIANE L</t>
  </si>
  <si>
    <t>FLYING JOHN P JR</t>
  </si>
  <si>
    <t>GLAVAN</t>
  </si>
  <si>
    <t>JENNIFER GLAVAN</t>
  </si>
  <si>
    <t xml:space="preserve">1527 S 108TH WAY </t>
  </si>
  <si>
    <t>VISTA DEL SOL PLACE</t>
  </si>
  <si>
    <t>LAMBSON JAMES I</t>
  </si>
  <si>
    <t>GLAVAN JENNIFER</t>
  </si>
  <si>
    <t>REGINO</t>
  </si>
  <si>
    <t>ACERET</t>
  </si>
  <si>
    <t>REGINO ACERET</t>
  </si>
  <si>
    <t xml:space="preserve">14801 S 8TH ST </t>
  </si>
  <si>
    <t>FOOTHILLS PARCELS 10C &amp; H  LOT 1-117 TR</t>
  </si>
  <si>
    <t>BIONDI LISA MARIE TRUST</t>
  </si>
  <si>
    <t>ACERET REGINO A</t>
  </si>
  <si>
    <t>JANOSKY</t>
  </si>
  <si>
    <t>HENRY &amp; SUSAN JANOSKY</t>
  </si>
  <si>
    <t xml:space="preserve">19944 N CANYON WHISPER DR </t>
  </si>
  <si>
    <t>SUN CITY GRAND HAVASU</t>
  </si>
  <si>
    <t>UNDERWOOD FAMILY LIVING TRUST</t>
  </si>
  <si>
    <t>JANOSKY HENRY &amp; SUSAN</t>
  </si>
  <si>
    <t>FANSLER</t>
  </si>
  <si>
    <t>RICHARD FANSLER</t>
  </si>
  <si>
    <t xml:space="preserve">1062 N BARKLEY </t>
  </si>
  <si>
    <t>SENFTNER MICHAEL</t>
  </si>
  <si>
    <t>FANSLER RICHARD</t>
  </si>
  <si>
    <t>FLOYD FAMILY TRUST</t>
  </si>
  <si>
    <t>FLOYD FAMILY</t>
  </si>
  <si>
    <t xml:space="preserve">5007 E ROY ROGERS RD #54 </t>
  </si>
  <si>
    <t xml:space="preserve">5007 E ROY ROGERS RD </t>
  </si>
  <si>
    <t>TATUM RANCH PARCEL 32A</t>
  </si>
  <si>
    <t>BOURLAND JAMES A</t>
  </si>
  <si>
    <t>FLOYD DUANE R &amp; BARBARA R</t>
  </si>
  <si>
    <t>ROBINS-FLOYD BARBARA R</t>
  </si>
  <si>
    <t>KENNETH WILLIAMS</t>
  </si>
  <si>
    <t xml:space="preserve">15667 N 176TH LN </t>
  </si>
  <si>
    <t>SURPRISE FARMS PHASE 2 PARCEL 3</t>
  </si>
  <si>
    <t>RUIZ ELIDA C</t>
  </si>
  <si>
    <t>WILLIAMS KENNETH L</t>
  </si>
  <si>
    <t>CLARE</t>
  </si>
  <si>
    <t>SCOTT &amp; CLARE JOHNSON</t>
  </si>
  <si>
    <t xml:space="preserve">15023 N 1ST ST </t>
  </si>
  <si>
    <t>APOLLO ESTATES 3</t>
  </si>
  <si>
    <t>CLEMONS K W &amp; JANE TRUST</t>
  </si>
  <si>
    <t>JOHNSON SCOTT W &amp; CLARE E</t>
  </si>
  <si>
    <t>LEIVA</t>
  </si>
  <si>
    <t>DAVID &amp; KRISTIN LEIVA</t>
  </si>
  <si>
    <t xml:space="preserve">12734 W CRESTVALE DR </t>
  </si>
  <si>
    <t>TRILOGY AT VISTANCIA PARCEL C12</t>
  </si>
  <si>
    <t>LEIVA DAVID N &amp; KRISTIN M</t>
  </si>
  <si>
    <t>CHRIS &amp; SABRINA CORBETT</t>
  </si>
  <si>
    <t xml:space="preserve">12081 W MORNING VISTA DR </t>
  </si>
  <si>
    <t>WAISER CHARLES P</t>
  </si>
  <si>
    <t>CORBETT CHRIS &amp; SABRINA</t>
  </si>
  <si>
    <t>WESTHOFF</t>
  </si>
  <si>
    <t>WHIRRY</t>
  </si>
  <si>
    <t>WESTHOFF &amp; LAURA WHIRRY</t>
  </si>
  <si>
    <t xml:space="preserve">8379 E SAN SALVADOR DR </t>
  </si>
  <si>
    <t>VILLA HERMOSA LOT 1-108</t>
  </si>
  <si>
    <t>VILLA HERMOSA</t>
  </si>
  <si>
    <t>MERRILL DALE</t>
  </si>
  <si>
    <t>WESTHOFF KIRK T &amp; LAURA L W</t>
  </si>
  <si>
    <t>DILORENZO</t>
  </si>
  <si>
    <t>ANTHONY DILORENZO</t>
  </si>
  <si>
    <t xml:space="preserve">3850 S STAR CANYON DR #106 </t>
  </si>
  <si>
    <t xml:space="preserve">3850 S STAR CANYON DR </t>
  </si>
  <si>
    <t>POWER RANCH NEIGHBORHOOD 8</t>
  </si>
  <si>
    <t>THE GRANGE</t>
  </si>
  <si>
    <t>CARLIN STEVEN R &amp; LORRIE E</t>
  </si>
  <si>
    <t>LORENZO ANTHONY P D</t>
  </si>
  <si>
    <t>VILSBOLL</t>
  </si>
  <si>
    <t>JIM VILSBOLL</t>
  </si>
  <si>
    <t xml:space="preserve">12310 W ASHBY DR </t>
  </si>
  <si>
    <t>CZERW BILL M</t>
  </si>
  <si>
    <t>VILSBOLL JIM K</t>
  </si>
  <si>
    <t>TIMOTHY STEWART</t>
  </si>
  <si>
    <t xml:space="preserve">6029 W TOPEKA DR </t>
  </si>
  <si>
    <t>WAYNE TIM W</t>
  </si>
  <si>
    <t>STEWART TIMOTHY D</t>
  </si>
  <si>
    <t>CHARLES &amp; KIRSTEN BROWN</t>
  </si>
  <si>
    <t xml:space="preserve">5207 E ANDERSON DR </t>
  </si>
  <si>
    <t>ARABIAN CREST TWO</t>
  </si>
  <si>
    <t>ARABIAN CREST</t>
  </si>
  <si>
    <t>LYNSKEY JAMES V &amp; RAQUEL T</t>
  </si>
  <si>
    <t>BROWN CHARLES &amp; KIRSTEN</t>
  </si>
  <si>
    <t>DEFUSCO</t>
  </si>
  <si>
    <t>RANDY &amp; LINDA DEFUSCO</t>
  </si>
  <si>
    <t xml:space="preserve">8880 E CONQUISTADORES DR </t>
  </si>
  <si>
    <t>DESERT VILLAGE</t>
  </si>
  <si>
    <t>TOPPEL MARILYN M</t>
  </si>
  <si>
    <t>DE FUSCO RANDY A &amp; LINDA J</t>
  </si>
  <si>
    <t>WEIL</t>
  </si>
  <si>
    <t>CHRISTOPHER WEIL</t>
  </si>
  <si>
    <t xml:space="preserve">15813 N 45TH PL </t>
  </si>
  <si>
    <t>GREENWAY GLEN ESTATES LOT 1-8</t>
  </si>
  <si>
    <t>GREENWAY GLEN ESTATES</t>
  </si>
  <si>
    <t>WILLIAMS LOWELL E</t>
  </si>
  <si>
    <t>MORTGAGE W FIN'L</t>
  </si>
  <si>
    <t>WEIL CHRISTOPHER DANIEL</t>
  </si>
  <si>
    <t>DALLAS HARTSOOK</t>
  </si>
  <si>
    <t xml:space="preserve">1047 S CAPISTRANO DR </t>
  </si>
  <si>
    <t>GRIFFIN DAVID B</t>
  </si>
  <si>
    <t>HARTSOOK DALLAS R JR</t>
  </si>
  <si>
    <t>FULTON</t>
  </si>
  <si>
    <t>RICHARD FULTON</t>
  </si>
  <si>
    <t xml:space="preserve">16419 W MESQUITE DR </t>
  </si>
  <si>
    <t>FULTON RICHARD &amp; JOSSETTE L</t>
  </si>
  <si>
    <t>THOMAS &amp; ELAINE DAY</t>
  </si>
  <si>
    <t xml:space="preserve">960 W ELM ST </t>
  </si>
  <si>
    <t>MARTINEZ ZUZANA</t>
  </si>
  <si>
    <t>DAY THOMAS A &amp; ELAINE R</t>
  </si>
  <si>
    <t>HEARTQUIST</t>
  </si>
  <si>
    <t>SCOTT &amp; CHRISTINA HEARTQUIST</t>
  </si>
  <si>
    <t xml:space="preserve">16625 E ELGIN ST </t>
  </si>
  <si>
    <t>HEARTQUIST SCOTT J</t>
  </si>
  <si>
    <t>MICHAEL &amp; LAUREN FERNANDEZ</t>
  </si>
  <si>
    <t xml:space="preserve">1162 N ORO VIS </t>
  </si>
  <si>
    <t>LITCHFIELD PARK SUB 18 LOT 1-41</t>
  </si>
  <si>
    <t>R-20</t>
  </si>
  <si>
    <t>FERNANDEZ MICHAEL &amp; LAUREN</t>
  </si>
  <si>
    <t>PHOENIX AZ 85012</t>
  </si>
  <si>
    <t>LAUREN FERNANDEZ</t>
  </si>
  <si>
    <t>PEDRIANES</t>
  </si>
  <si>
    <t>DAVID PEDRIANES</t>
  </si>
  <si>
    <t xml:space="preserve">2231 E INDIAN WELLS DR #102 </t>
  </si>
  <si>
    <t xml:space="preserve">2231 E INDIAN WELLS DR </t>
  </si>
  <si>
    <t>PEDRIANES DAVID J</t>
  </si>
  <si>
    <t>DAVID J PEDRIANES JR</t>
  </si>
  <si>
    <t>AGUIAR</t>
  </si>
  <si>
    <t>KEITH &amp; TARA AGUIAR</t>
  </si>
  <si>
    <t xml:space="preserve">22064 E DOMINGO RD </t>
  </si>
  <si>
    <t>AGUIAR KEITH &amp; TARA</t>
  </si>
  <si>
    <t>EDMONDSON</t>
  </si>
  <si>
    <t>BONZETTA</t>
  </si>
  <si>
    <t>DAVID &amp; BONZETTA EDMONDSON</t>
  </si>
  <si>
    <t xml:space="preserve">5535 W MILADA DR </t>
  </si>
  <si>
    <t>EDMONDSON DAVID H JR &amp; BONZETTA M</t>
  </si>
  <si>
    <t>MAY &amp; JOSEPH MONTGOMERY</t>
  </si>
  <si>
    <t xml:space="preserve">21387 E MISTY LN </t>
  </si>
  <si>
    <t>HASTINGS FARMS PARCEL E</t>
  </si>
  <si>
    <t>MONTGOMERY JOSEPH R</t>
  </si>
  <si>
    <t>TREVINO</t>
  </si>
  <si>
    <t>ALFREDO &amp; CELIA TREVINO</t>
  </si>
  <si>
    <t xml:space="preserve">18125 W ORCHID LN </t>
  </si>
  <si>
    <t>WHITE TANK FOOTHILLS PARCEL 5</t>
  </si>
  <si>
    <t>LUGO ANDREW M</t>
  </si>
  <si>
    <t>TREVINO ALFREDO &amp; CELIA</t>
  </si>
  <si>
    <t>POITRAS</t>
  </si>
  <si>
    <t>ELIZABETH &amp; KENNETH POITRAS</t>
  </si>
  <si>
    <t xml:space="preserve">3820 E TONTO PL </t>
  </si>
  <si>
    <t>HINES WILLIAM L</t>
  </si>
  <si>
    <t>ELIZABETH A POITRAS</t>
  </si>
  <si>
    <t>KENNETH A POITRAS</t>
  </si>
  <si>
    <t>DESERT OWL LIVING TRUST</t>
  </si>
  <si>
    <t>DESERT OWL</t>
  </si>
  <si>
    <t xml:space="preserve">12830 W CALLE DE SOL </t>
  </si>
  <si>
    <t>BLACKSTONE AT VISTANCIA PARCEL F-7A</t>
  </si>
  <si>
    <t>JARCHOW TRACY L &amp; SABRINA W</t>
  </si>
  <si>
    <t>SANBORN</t>
  </si>
  <si>
    <t>MCDOUGALL</t>
  </si>
  <si>
    <t>JASON SANBORN &amp; RACHEL MCDOUGALL</t>
  </si>
  <si>
    <t xml:space="preserve">1073 E BUCKINGHAM AVE </t>
  </si>
  <si>
    <t>LAYTON LAKES PARCEL 10 AMD</t>
  </si>
  <si>
    <t>SANBORN JASON M</t>
  </si>
  <si>
    <t>MCDOUGALL RACHEL</t>
  </si>
  <si>
    <t>KIM &amp; HOWARD MITCHELL</t>
  </si>
  <si>
    <t xml:space="preserve">17492 W FETLOCK TRL </t>
  </si>
  <si>
    <t>MITCHELL KIM M &amp; HOWARD</t>
  </si>
  <si>
    <t>CHARLES &amp; REBECCA WONG</t>
  </si>
  <si>
    <t xml:space="preserve">526 N SANDSTONE ST </t>
  </si>
  <si>
    <t>SCHOEFF KENT M &amp; DI A</t>
  </si>
  <si>
    <t>WONG REBECCA M &amp; CHARLES H</t>
  </si>
  <si>
    <t>VINER</t>
  </si>
  <si>
    <t>DELORES</t>
  </si>
  <si>
    <t>TOMMY &amp; DELORES VINER</t>
  </si>
  <si>
    <t xml:space="preserve">2614 W VIA PERUGIA </t>
  </si>
  <si>
    <t>TRAMONTO PARCEL E-16</t>
  </si>
  <si>
    <t>PENDLETON NATHANIEL W &amp; HEAT</t>
  </si>
  <si>
    <t>VINER TOMMY J &amp; DELORES E B</t>
  </si>
  <si>
    <t>MARCUM</t>
  </si>
  <si>
    <t>JAMES &amp; ROBIN MARCUM</t>
  </si>
  <si>
    <t xml:space="preserve">2225 E COUNTY DOWN DR </t>
  </si>
  <si>
    <t>COOPER COMMONS 2 PARCEL 4</t>
  </si>
  <si>
    <t>HILL RENALDO</t>
  </si>
  <si>
    <t>MARCUM JAMES L &amp; ROBIN</t>
  </si>
  <si>
    <t>MANDAVILLE</t>
  </si>
  <si>
    <t>MANDAVILLE &amp; LAURA ANN</t>
  </si>
  <si>
    <t xml:space="preserve">660 W ROADRUNNER CT </t>
  </si>
  <si>
    <t>CARINO ESTATES AMD</t>
  </si>
  <si>
    <t>JAKUBASCH RENE</t>
  </si>
  <si>
    <t>MANDAVILLE RANDY J &amp; LAURA A</t>
  </si>
  <si>
    <t>JOSEPH &amp; SOPHIA SIMO</t>
  </si>
  <si>
    <t xml:space="preserve">4022 E GARNET CIR </t>
  </si>
  <si>
    <t>TIERRA RICA LOT 1-41</t>
  </si>
  <si>
    <t>TIERRA RICA</t>
  </si>
  <si>
    <t>STAPLEY JUSTIN &amp; KARIS</t>
  </si>
  <si>
    <t>SIMO JOSEPH &amp; SOPHIA</t>
  </si>
  <si>
    <t>MICHAILE</t>
  </si>
  <si>
    <t>DOUGLAS &amp; MICHAILE BERG</t>
  </si>
  <si>
    <t xml:space="preserve">5612 E HILLERY DR </t>
  </si>
  <si>
    <t>STRATFORD UNIT 2 LOT 146-150</t>
  </si>
  <si>
    <t>STRATFORD</t>
  </si>
  <si>
    <t>ERB CHARLES P TRUST</t>
  </si>
  <si>
    <t>BERG DOUGLAS</t>
  </si>
  <si>
    <t>BERG DOUGLAS &amp; MICHAILE</t>
  </si>
  <si>
    <t>SILLANPAA</t>
  </si>
  <si>
    <t>BRIAN &amp; BRANDI SILLANPAA</t>
  </si>
  <si>
    <t xml:space="preserve">1333 E MEAD DR </t>
  </si>
  <si>
    <t>CHANDLER HEIGHTS ESTATES 3</t>
  </si>
  <si>
    <t>CHANDLER HEIGHTS ESTATES</t>
  </si>
  <si>
    <t>WELSH DOUGLAS</t>
  </si>
  <si>
    <t>SILLANPAA BRIAN</t>
  </si>
  <si>
    <t>MCELFRESH-GREENBERG FAMILY TRU</t>
  </si>
  <si>
    <t>MCELFRESH-GREENBERG</t>
  </si>
  <si>
    <t xml:space="preserve">16034 N 17TH PL </t>
  </si>
  <si>
    <t>PARADISE HILLS LOT 1-88  TR A-C</t>
  </si>
  <si>
    <t>PARADISE HILLS</t>
  </si>
  <si>
    <t>FLOREZ MURIEL J</t>
  </si>
  <si>
    <t>GREENBERG DAVID G</t>
  </si>
  <si>
    <t>MCELFRESH JAYNE D</t>
  </si>
  <si>
    <t>VEDDER</t>
  </si>
  <si>
    <t>DEANN</t>
  </si>
  <si>
    <t>VEDDER &amp; LAUREN DEANN</t>
  </si>
  <si>
    <t xml:space="preserve">16073 W VERNON AVE </t>
  </si>
  <si>
    <t>VEDDER MATTHEW J &amp; LAUREN D</t>
  </si>
  <si>
    <t>KELLNER</t>
  </si>
  <si>
    <t>GREG &amp; KAREN KELLNER</t>
  </si>
  <si>
    <t xml:space="preserve">1811 E STELLA LN </t>
  </si>
  <si>
    <t>CROWN HEIGHTS</t>
  </si>
  <si>
    <t>CROWN HEIGHTS SOUTH</t>
  </si>
  <si>
    <t>NELSON KERRY V</t>
  </si>
  <si>
    <t>KELLNER GREG &amp; KAREN</t>
  </si>
  <si>
    <t>SILCOX</t>
  </si>
  <si>
    <t>SILCOX &amp; MARY JO</t>
  </si>
  <si>
    <t xml:space="preserve">7828 E PLATA AVE </t>
  </si>
  <si>
    <t>BOULDER CREEK UNIT 2</t>
  </si>
  <si>
    <t>ROLLS DAVID L &amp; TERESA S</t>
  </si>
  <si>
    <t>DUBUQUE BK&amp;TR CO</t>
  </si>
  <si>
    <t>SILCOX BRETT E &amp; MARY J</t>
  </si>
  <si>
    <t>MICHAEL &amp; TIFFANY THOMAS</t>
  </si>
  <si>
    <t xml:space="preserve">24234 N 60TH LN </t>
  </si>
  <si>
    <t>JANKOWSKI TERESA R</t>
  </si>
  <si>
    <t>THOMAS MICHAEL P &amp; TIFFANY R</t>
  </si>
  <si>
    <t>DONALD &amp; CATHERINE PITTS</t>
  </si>
  <si>
    <t xml:space="preserve">20429 W CANYON DR </t>
  </si>
  <si>
    <t>PITTS DONALD L &amp; CATHERINE L</t>
  </si>
  <si>
    <t>THOMAS &amp; MICHELLE IRWIN</t>
  </si>
  <si>
    <t xml:space="preserve">15413 S 26TH PL </t>
  </si>
  <si>
    <t>CANDLERIDGE LOT 26-70 TR A B</t>
  </si>
  <si>
    <t>CANDLERIDGE</t>
  </si>
  <si>
    <t>LAKES ETTA M</t>
  </si>
  <si>
    <t>IRWIN THOMAS E &amp; MICHELE A</t>
  </si>
  <si>
    <t>MAURICE &amp; TARA DAVIS</t>
  </si>
  <si>
    <t xml:space="preserve">2618 E BEAR CREEK LN </t>
  </si>
  <si>
    <t>DESERT PEAK UNIT 3</t>
  </si>
  <si>
    <t>DESERT PEAK</t>
  </si>
  <si>
    <t>BERNSTEIN JACK H C T T</t>
  </si>
  <si>
    <t>DAVIS MAURICE A &amp; TARA D</t>
  </si>
  <si>
    <t>MICHAEL &amp; MELISSA KING</t>
  </si>
  <si>
    <t xml:space="preserve">20509 E NAVAJO DR </t>
  </si>
  <si>
    <t>NYTOAZ TRUST</t>
  </si>
  <si>
    <t>MICHAEL J KING</t>
  </si>
  <si>
    <t>MELISSA B KING</t>
  </si>
  <si>
    <t>JAMES SMITH</t>
  </si>
  <si>
    <t xml:space="preserve">20627 W GRANDVIEW DR </t>
  </si>
  <si>
    <t>VERRADO PARCEL 4.613</t>
  </si>
  <si>
    <t>SIMMONS ROBERT S &amp; C T TRUST</t>
  </si>
  <si>
    <t>SMITH JAMES D</t>
  </si>
  <si>
    <t>MOSQUEDA</t>
  </si>
  <si>
    <t>JESUS &amp; MONIQUE MOSQUEDA</t>
  </si>
  <si>
    <t xml:space="preserve">10993 S SAN RICARDO DR </t>
  </si>
  <si>
    <t>ESTRELLA PARCEL 58</t>
  </si>
  <si>
    <t>JEWELL FAMILY LIVING TRUST</t>
  </si>
  <si>
    <t>MOSQUEDA JESUS J</t>
  </si>
  <si>
    <t>MOSQUEDA MONIQUE M</t>
  </si>
  <si>
    <t>DEVAULT PA 19432</t>
  </si>
  <si>
    <t>JESUS J MOSQUEDA</t>
  </si>
  <si>
    <t>MONIQUE M MOSQUEDA</t>
  </si>
  <si>
    <t>SAUNDRA</t>
  </si>
  <si>
    <t>JAMES &amp; SAUNDRA HAYES</t>
  </si>
  <si>
    <t xml:space="preserve">10998 S TURTLE DOVE DR </t>
  </si>
  <si>
    <t>WESTWOOD MARY</t>
  </si>
  <si>
    <t>HAYES JAMES E &amp; SAUNDRA R</t>
  </si>
  <si>
    <t>AUZA</t>
  </si>
  <si>
    <t>NEUMAN AUZA</t>
  </si>
  <si>
    <t>STEVEN AUZA &amp; AUZA NEUMAN</t>
  </si>
  <si>
    <t xml:space="preserve">35428 N 220TH LN </t>
  </si>
  <si>
    <t>LOANDEPOTCOM LLC</t>
  </si>
  <si>
    <t>AUZA STEVEN M</t>
  </si>
  <si>
    <t>NEUMAN AUZA STEFANIE</t>
  </si>
  <si>
    <t>BEITZ FAMILY TRUST</t>
  </si>
  <si>
    <t>BEITZ</t>
  </si>
  <si>
    <t xml:space="preserve">3236 W HORIZON DR </t>
  </si>
  <si>
    <t>CACERES JULIO &amp; JILL</t>
  </si>
  <si>
    <t>BEITZ BRET M &amp; KRISTIN R</t>
  </si>
  <si>
    <t>SCHRINER</t>
  </si>
  <si>
    <t>GREGORY &amp; KIM SCHRINER</t>
  </si>
  <si>
    <t xml:space="preserve">39710 N 2ND ST </t>
  </si>
  <si>
    <t>PARKER EDWARD D &amp; LINDA S</t>
  </si>
  <si>
    <t>SCHRINER GREGORY S &amp; KIM M</t>
  </si>
  <si>
    <t>HARWOOD</t>
  </si>
  <si>
    <t>ZACHARI</t>
  </si>
  <si>
    <t>HEATHER &amp; ZACHARI HARWOOD</t>
  </si>
  <si>
    <t xml:space="preserve">35029 N 12TH ST </t>
  </si>
  <si>
    <t xml:space="preserve">18622 116TH AVE E </t>
  </si>
  <si>
    <t>PUYALLUP</t>
  </si>
  <si>
    <t>PARK WAYMAN C</t>
  </si>
  <si>
    <t>HEATHER M HARWOOD</t>
  </si>
  <si>
    <t>ZACHARI J HARWOOD</t>
  </si>
  <si>
    <t>UMLAUF FAMILY TRUST</t>
  </si>
  <si>
    <t>UMLAUF</t>
  </si>
  <si>
    <t xml:space="preserve">26311 N 49TH LN </t>
  </si>
  <si>
    <t>DOUCETTE SEAN &amp; BRANDY</t>
  </si>
  <si>
    <t>UMLAUF MARGARET V &amp; JAMES</t>
  </si>
  <si>
    <t>NEIL &amp; JULIE FOX</t>
  </si>
  <si>
    <t xml:space="preserve">4575 E DESPERADO RD </t>
  </si>
  <si>
    <t>CHRISTIANSON ALICE TRUST</t>
  </si>
  <si>
    <t>FOX NEIL S II &amp; JULIE</t>
  </si>
  <si>
    <t>DAREZZO</t>
  </si>
  <si>
    <t>DAREZZO &amp; KIMBERLY JEAN</t>
  </si>
  <si>
    <t xml:space="preserve">20103 E CALLE DE FLORES </t>
  </si>
  <si>
    <t>TERRARANCH AT QUEEN CREEK</t>
  </si>
  <si>
    <t>TERRA RANCH</t>
  </si>
  <si>
    <t>RICHARDSON LARRY A &amp; RHONDA R</t>
  </si>
  <si>
    <t>DAREZZO BRIAN P &amp; KIMBERLY J</t>
  </si>
  <si>
    <t>FRANCIS &amp; PAMELA ELLIS</t>
  </si>
  <si>
    <t xml:space="preserve">2150 E MENLO CIR </t>
  </si>
  <si>
    <t>GROVES OF HERMOSA VISTA</t>
  </si>
  <si>
    <t>BERGE BRYANT &amp; TARA</t>
  </si>
  <si>
    <t>ELLIS FRANCIS C &amp; PAMELA A</t>
  </si>
  <si>
    <t>SCHMIDT WILLIAM J JR &amp; G M TRUST</t>
  </si>
  <si>
    <t>WILLIAM &amp; M SCHMIDT</t>
  </si>
  <si>
    <t xml:space="preserve">24619 S 182ND PL </t>
  </si>
  <si>
    <t>NILSSON DAVID</t>
  </si>
  <si>
    <t>SCHMIDT WILLIAM &amp; GAYLE</t>
  </si>
  <si>
    <t>GEORGE LUCERO</t>
  </si>
  <si>
    <t xml:space="preserve">6913 S 19TH LN </t>
  </si>
  <si>
    <t>LUCERO GEORGE R</t>
  </si>
  <si>
    <t>10-7 REVOCABLE LIVING TRUST</t>
  </si>
  <si>
    <t>-</t>
  </si>
  <si>
    <t xml:space="preserve">14828 N MAYFLOWER DR </t>
  </si>
  <si>
    <t>FOUNTAIN HILLS AZ FP 428 TR A-H</t>
  </si>
  <si>
    <t>BOLSTAD JEFFRY L &amp; TAMARA G</t>
  </si>
  <si>
    <t>ELKIE TAIT D &amp; MICHELE V</t>
  </si>
  <si>
    <t>GREGORY M STEGER TRUST</t>
  </si>
  <si>
    <t>GREGORY STEGER</t>
  </si>
  <si>
    <t xml:space="preserve">12502 W SKYLARK DR </t>
  </si>
  <si>
    <t>HAGSTROM FAMILY TRUST</t>
  </si>
  <si>
    <t>STEGER GREGORY M</t>
  </si>
  <si>
    <t>MARYAN</t>
  </si>
  <si>
    <t>STEVEN &amp; MARYAN WRIGHT</t>
  </si>
  <si>
    <t xml:space="preserve">16961 W LIMESTONE DR </t>
  </si>
  <si>
    <t>US R OF E OPPORTUNITY FUND LL</t>
  </si>
  <si>
    <t>STEVEN B WRIGHT</t>
  </si>
  <si>
    <t>MARYAN WRIGHT</t>
  </si>
  <si>
    <t>ANDREW LONG</t>
  </si>
  <si>
    <t xml:space="preserve">7525 W MCRAE WAY </t>
  </si>
  <si>
    <t>IMM FAMILY TRUST</t>
  </si>
  <si>
    <t>LONG ANDREW J</t>
  </si>
  <si>
    <t>MICHAEL &amp; THERESA MCKINNEY</t>
  </si>
  <si>
    <t xml:space="preserve">3863 E BAARS AVE </t>
  </si>
  <si>
    <t>POWER RANCH NEIGHBORHOOD 10 PARCEL F</t>
  </si>
  <si>
    <t>YODA FINANCIAL SERVICE LLC</t>
  </si>
  <si>
    <t>MILWAUKEE WI 53209</t>
  </si>
  <si>
    <t>MICHAEL MCKINNEY</t>
  </si>
  <si>
    <t>THERESA J MCKINNEY</t>
  </si>
  <si>
    <t>CHARLES &amp; LORI ROCCO</t>
  </si>
  <si>
    <t xml:space="preserve">18627 W COMET AVE </t>
  </si>
  <si>
    <t>ROCCO CHARLES J</t>
  </si>
  <si>
    <t>PANNELL</t>
  </si>
  <si>
    <t>GLENDA</t>
  </si>
  <si>
    <t>JOHN &amp; GLENDA PANNELL</t>
  </si>
  <si>
    <t xml:space="preserve">16126 W VALE DR </t>
  </si>
  <si>
    <t>VALENCE JOHN A</t>
  </si>
  <si>
    <t>PANNELL JOHN R</t>
  </si>
  <si>
    <t>JOSE MARTINEZ</t>
  </si>
  <si>
    <t xml:space="preserve">4063 E SHEENA DR </t>
  </si>
  <si>
    <t>SIRRON INVESTMENTS LLC</t>
  </si>
  <si>
    <t>MARTINEZ JOSE</t>
  </si>
  <si>
    <t>SEAN &amp; ELIZABETH GALLAGHER</t>
  </si>
  <si>
    <t xml:space="preserve">3437 W FLORIMOND RD </t>
  </si>
  <si>
    <t>MALIS JONATHAN</t>
  </si>
  <si>
    <t>GALLAGHER SEAN P &amp; ELIZABETH</t>
  </si>
  <si>
    <t>MAYNARD</t>
  </si>
  <si>
    <t>NARIDO</t>
  </si>
  <si>
    <t>MAYNARD NARIDO</t>
  </si>
  <si>
    <t xml:space="preserve">996 E ARABIAN DR </t>
  </si>
  <si>
    <t>MIRADOR ESTATES AMENDED</t>
  </si>
  <si>
    <t>MIRADOR ESTATES</t>
  </si>
  <si>
    <t>NARIDO MAYNARD</t>
  </si>
  <si>
    <t>PERIUT</t>
  </si>
  <si>
    <t>SPURLOCK</t>
  </si>
  <si>
    <t>REBECCA PERIUT &amp; LILY SPURLOCK</t>
  </si>
  <si>
    <t xml:space="preserve">1038 E GLENCOVE ST </t>
  </si>
  <si>
    <t>HOHOKAM VILLAGE UNIT 1-B LOT 37-128 TR A</t>
  </si>
  <si>
    <t>OWENJ LLC</t>
  </si>
  <si>
    <t>PERIUT REBECCA A</t>
  </si>
  <si>
    <t>SPURLOCK LILY M</t>
  </si>
  <si>
    <t>NEMES</t>
  </si>
  <si>
    <t>RODICA</t>
  </si>
  <si>
    <t>JOE &amp; RODICA NEMES</t>
  </si>
  <si>
    <t xml:space="preserve">10888 W ALEX AVE </t>
  </si>
  <si>
    <t>FYFFE FAMILY TRUST</t>
  </si>
  <si>
    <t>NEMES JOE V &amp; RODICA</t>
  </si>
  <si>
    <t>CALUGCUGAN</t>
  </si>
  <si>
    <t>JESSE CALUGCUGAN</t>
  </si>
  <si>
    <t xml:space="preserve">3641 E MORENO ST </t>
  </si>
  <si>
    <t>POWER RANCH NEIGHBORHOOD 6 PHASE 3A</t>
  </si>
  <si>
    <t>BRODERICK GREG S</t>
  </si>
  <si>
    <t>CALUGCUGAN JESSE</t>
  </si>
  <si>
    <t>JEFFERY WARD</t>
  </si>
  <si>
    <t xml:space="preserve">3709 S 105TH DR </t>
  </si>
  <si>
    <t>WARD JEFFERY</t>
  </si>
  <si>
    <t>CUZZOLINA</t>
  </si>
  <si>
    <t>MOORE &amp; KRISTEN CUZZOLINA</t>
  </si>
  <si>
    <t xml:space="preserve">1040 S RIATA ST </t>
  </si>
  <si>
    <t>CANNON ANDREW &amp; DANA</t>
  </si>
  <si>
    <t>MOORE KRISTEN G C &amp; JOSHUA R</t>
  </si>
  <si>
    <t>LOVER</t>
  </si>
  <si>
    <t>SHERRETTA</t>
  </si>
  <si>
    <t>DOOLIN-LOVER</t>
  </si>
  <si>
    <t>DAVID LOVER &amp; SHERRETTA DOOLIN-LOVER</t>
  </si>
  <si>
    <t xml:space="preserve">13815 W WINDSOR AVE </t>
  </si>
  <si>
    <t>SHERRETTA K DOOLIN-LOVER</t>
  </si>
  <si>
    <t>DAVID J LOVER</t>
  </si>
  <si>
    <t>WARNOCK</t>
  </si>
  <si>
    <t>DONALD &amp; SHELLEY WARNOCK</t>
  </si>
  <si>
    <t xml:space="preserve">2111 E YELLOWSTONE PL </t>
  </si>
  <si>
    <t xml:space="preserve">121 N CALIFORNIA ST #10 </t>
  </si>
  <si>
    <t>GENTRY MARY K TRUST</t>
  </si>
  <si>
    <t>WARNOCK DONALD L &amp; SHELLEY R</t>
  </si>
  <si>
    <t>RINGGOLD</t>
  </si>
  <si>
    <t>STEVEN &amp; JACQUELINE RINGGOLD</t>
  </si>
  <si>
    <t xml:space="preserve">12210 W CHASE LN </t>
  </si>
  <si>
    <t>RINGGOLD STEVEN E</t>
  </si>
  <si>
    <t>LOMAS</t>
  </si>
  <si>
    <t>BRYAN &amp; JESSICA LOMAS</t>
  </si>
  <si>
    <t xml:space="preserve">3038 E KINGS AVE </t>
  </si>
  <si>
    <t>KAY ACRES UNIT 5</t>
  </si>
  <si>
    <t>KAY ACRES</t>
  </si>
  <si>
    <t>KINGS 3038 LLC</t>
  </si>
  <si>
    <t>BRYAN LOMAS</t>
  </si>
  <si>
    <t>JESSICA A LOMAS</t>
  </si>
  <si>
    <t>MONGE</t>
  </si>
  <si>
    <t>JORGE &amp; SHANNON MONGE</t>
  </si>
  <si>
    <t xml:space="preserve">19819 N 3RD ST </t>
  </si>
  <si>
    <t>RIO SECO LOT 1-70</t>
  </si>
  <si>
    <t>RIO SECO</t>
  </si>
  <si>
    <t>FELTON-SHEEHAN PENNY</t>
  </si>
  <si>
    <t>CASTLE &amp; COOKE MTG</t>
  </si>
  <si>
    <t>JORGE JR MONGE</t>
  </si>
  <si>
    <t>SHANNON L MONGE</t>
  </si>
  <si>
    <t>TSOSIE</t>
  </si>
  <si>
    <t>JEARLYN</t>
  </si>
  <si>
    <t>MARIO &amp; JEARLYN TSOSIE</t>
  </si>
  <si>
    <t xml:space="preserve">7033 N 11TH ST </t>
  </si>
  <si>
    <t>BRANNANDALE</t>
  </si>
  <si>
    <t>MERKLEY FRANK W &amp; DEBORAH A</t>
  </si>
  <si>
    <t>TSOSIE MARIO &amp; JEARLYN D</t>
  </si>
  <si>
    <t xml:space="preserve">8752 W MICHELLE DR </t>
  </si>
  <si>
    <t>COUNTRYBROOK MEADOWS LOT 1-71 TR A &amp; B</t>
  </si>
  <si>
    <t>COUNTRYBROOK MEADOWS</t>
  </si>
  <si>
    <t>COLBERT MICHAEL</t>
  </si>
  <si>
    <t>ANGELINA</t>
  </si>
  <si>
    <t>KENDRICK FARLEY &amp; ANGELINA JONES</t>
  </si>
  <si>
    <t xml:space="preserve">2506 S 118TH AVE </t>
  </si>
  <si>
    <t>DEL RIO RANCH UNIT 1</t>
  </si>
  <si>
    <t>FARLEY KENDRICK D</t>
  </si>
  <si>
    <t>JONES ANGELINA D</t>
  </si>
  <si>
    <t>JEREMIAH RANGEL</t>
  </si>
  <si>
    <t xml:space="preserve">2930 E BACKUS RD </t>
  </si>
  <si>
    <t>JASMINE RANCHETTES</t>
  </si>
  <si>
    <t>CHURCHILL JEFFREY A &amp; MARYLE</t>
  </si>
  <si>
    <t>RANGEL JEREMIAH J</t>
  </si>
  <si>
    <t>GAINES</t>
  </si>
  <si>
    <t>JERRY &amp; ROSEMARIE GAINES</t>
  </si>
  <si>
    <t xml:space="preserve">13787 W MAUI LN </t>
  </si>
  <si>
    <t>DUNHILL DAVID</t>
  </si>
  <si>
    <t>JERRY D GAINES</t>
  </si>
  <si>
    <t>ROSEMARIE GAINES</t>
  </si>
  <si>
    <t>EGGERT</t>
  </si>
  <si>
    <t>LAZOR</t>
  </si>
  <si>
    <t>DAVID EGGERT &amp; AMANDA LAZOR</t>
  </si>
  <si>
    <t xml:space="preserve">11622 S MANDAN ST </t>
  </si>
  <si>
    <t xml:space="preserve">PO BOX 51101 </t>
  </si>
  <si>
    <t>PHILLIPS TYLER A</t>
  </si>
  <si>
    <t>EGGERT DAVID R</t>
  </si>
  <si>
    <t>PENTZER</t>
  </si>
  <si>
    <t>TRAVIS PENTZER</t>
  </si>
  <si>
    <t xml:space="preserve">1715 E PALO VERDE ST </t>
  </si>
  <si>
    <t>DONNO DAVID B LIVING TRUST</t>
  </si>
  <si>
    <t>PENTZER TRAVIS</t>
  </si>
  <si>
    <t>MAULICK MICHAEL J TRUST</t>
  </si>
  <si>
    <t>J MAULICKMICHAEL</t>
  </si>
  <si>
    <t xml:space="preserve">16145 W ACACIA CT </t>
  </si>
  <si>
    <t>JOHN GALT PROPERTIES LLC</t>
  </si>
  <si>
    <t>MAULICK MICHAEL J</t>
  </si>
  <si>
    <t>LLEWELYN</t>
  </si>
  <si>
    <t>GLOVER</t>
  </si>
  <si>
    <t>LLEWELYN &amp; SELINA GLOVER</t>
  </si>
  <si>
    <t xml:space="preserve">2419 S CHESTNUT PL </t>
  </si>
  <si>
    <t>SMITH ANTONIO</t>
  </si>
  <si>
    <t>GLOVER LLEWELYN &amp; SELINA</t>
  </si>
  <si>
    <t>BRIAN KEATON AND JENNIFER SUZANNE CROSS TRUST</t>
  </si>
  <si>
    <t xml:space="preserve">13560 W HOLLY ST </t>
  </si>
  <si>
    <t>PALM VALLEY PHASE 1 PAR 17A LTS 77-80 RE</t>
  </si>
  <si>
    <t>VAN AKEN AKEN GLEN</t>
  </si>
  <si>
    <t>CROSS BRIAN K &amp; JENNIFER S</t>
  </si>
  <si>
    <t>12034 N 29TH ST LLC</t>
  </si>
  <si>
    <t xml:space="preserve">12034 N 29TH ST </t>
  </si>
  <si>
    <t xml:space="preserve">5769 BLOSSOM AVE </t>
  </si>
  <si>
    <t>SAN JOSE</t>
  </si>
  <si>
    <t>IRONWOOD EAST 1</t>
  </si>
  <si>
    <t>IRONWOOD EAST</t>
  </si>
  <si>
    <t>RUSU FAMILY LIVING TRUST</t>
  </si>
  <si>
    <t>TIZNADO SILVIA</t>
  </si>
  <si>
    <t>RIVAS</t>
  </si>
  <si>
    <t>LUIS RIVAS</t>
  </si>
  <si>
    <t xml:space="preserve">16262 W HOPE DR </t>
  </si>
  <si>
    <t>GREER RANCH SOUTH PARCEL 20</t>
  </si>
  <si>
    <t>PINA JASON</t>
  </si>
  <si>
    <t>FREEDOM DIRECT CORP</t>
  </si>
  <si>
    <t>RIVAS LUIS L</t>
  </si>
  <si>
    <t>LILLY</t>
  </si>
  <si>
    <t>RICHARD &amp; SHARON LILLY</t>
  </si>
  <si>
    <t xml:space="preserve">18187 N 59TH LN </t>
  </si>
  <si>
    <t>SUNSET VISTA  8 LOT 1-65</t>
  </si>
  <si>
    <t>SMITH DON C</t>
  </si>
  <si>
    <t>LILLY RICHARD &amp; SHARON</t>
  </si>
  <si>
    <t>OFELIA</t>
  </si>
  <si>
    <t>DAVID &amp; OFELIA PADILLA</t>
  </si>
  <si>
    <t xml:space="preserve">5013 W FRIER DR </t>
  </si>
  <si>
    <t>WEST PLAZA 26</t>
  </si>
  <si>
    <t>AV HOME SOLUTIONS LLC</t>
  </si>
  <si>
    <t>DAVID C PADILLA</t>
  </si>
  <si>
    <t>OFELIA A PADILLA</t>
  </si>
  <si>
    <t>EAST</t>
  </si>
  <si>
    <t>DAVID &amp; JULIE EAST</t>
  </si>
  <si>
    <t xml:space="preserve">3741 W WILLOW AVE </t>
  </si>
  <si>
    <t>WESTCLIFF PARK 5  LOT 272-350</t>
  </si>
  <si>
    <t>FARRELL MICHAEL</t>
  </si>
  <si>
    <t>EAST DAVID &amp; JULIE</t>
  </si>
  <si>
    <t>TIFFANY &amp; JEREMIAH GRAAFF</t>
  </si>
  <si>
    <t xml:space="preserve">2962 E LOCKWOOD ST </t>
  </si>
  <si>
    <t xml:space="preserve">PO BOX 41932 </t>
  </si>
  <si>
    <t>VISTA MESA 2 LOT 170-369</t>
  </si>
  <si>
    <t>LINDSAY PARK ESTATES</t>
  </si>
  <si>
    <t>KLUG KEITH M &amp; B K V R L</t>
  </si>
  <si>
    <t>GRAAFF TIFFANY R</t>
  </si>
  <si>
    <t>RATKE</t>
  </si>
  <si>
    <t>THOMAS &amp; BONNIE RATKE</t>
  </si>
  <si>
    <t xml:space="preserve">29112 N 71ST DR </t>
  </si>
  <si>
    <t>RATKE THOMAS J &amp; BONNIE F</t>
  </si>
  <si>
    <t>PATRICIA SCHILLING</t>
  </si>
  <si>
    <t xml:space="preserve">13821 W WILSHIRE DR </t>
  </si>
  <si>
    <t>PALM VALLEY PHASE 1 PARCEL 22 UNIT 1</t>
  </si>
  <si>
    <t>PEDERSEN TROY</t>
  </si>
  <si>
    <t>SCHILLING PATRICIA A</t>
  </si>
  <si>
    <t>JORGE &amp; ISABEL SALAZAR</t>
  </si>
  <si>
    <t xml:space="preserve">17241 W CARIBBEAN LN </t>
  </si>
  <si>
    <t>JORDAN SHANE</t>
  </si>
  <si>
    <t>SALAZAR JORGE</t>
  </si>
  <si>
    <t>SHALON</t>
  </si>
  <si>
    <t>SHALON BELL</t>
  </si>
  <si>
    <t xml:space="preserve">12825 W FLOWER ST </t>
  </si>
  <si>
    <t>STEWART DANIEL J</t>
  </si>
  <si>
    <t>BELL SHALON</t>
  </si>
  <si>
    <t>CARRILLO</t>
  </si>
  <si>
    <t>LUIS &amp; JESSICA CARRILLO</t>
  </si>
  <si>
    <t xml:space="preserve">564 N EMERY </t>
  </si>
  <si>
    <t>LUIS L CARRILLO</t>
  </si>
  <si>
    <t>JESSICA L CARRILLO</t>
  </si>
  <si>
    <t>CINDY &amp; HARRY LEWIS</t>
  </si>
  <si>
    <t xml:space="preserve">16813 W MORELAND ST </t>
  </si>
  <si>
    <t>LEWIS CINDY L &amp; HARRY C</t>
  </si>
  <si>
    <t>SCHILLE</t>
  </si>
  <si>
    <t>NATALIA</t>
  </si>
  <si>
    <t>MATTHEW &amp; NATALIA SCHILLE</t>
  </si>
  <si>
    <t xml:space="preserve">15790 W CORONADO RD </t>
  </si>
  <si>
    <t>ZAVALA LISA M</t>
  </si>
  <si>
    <t>SCHILLE MATTHEW &amp; NATALIA</t>
  </si>
  <si>
    <t>ADRIAN ORTIZ</t>
  </si>
  <si>
    <t xml:space="preserve">16421 S 46TH PL </t>
  </si>
  <si>
    <t>ORTIZ ANTONIO</t>
  </si>
  <si>
    <t>ORTIZ ADRIAN</t>
  </si>
  <si>
    <t>POPOWYCH</t>
  </si>
  <si>
    <t>MY-LE</t>
  </si>
  <si>
    <t>DAMIAN &amp; MY-LE POPOWYCH</t>
  </si>
  <si>
    <t xml:space="preserve">2397 E FLINTLOCK PL </t>
  </si>
  <si>
    <t>PECOS ALDEA UNIT 4</t>
  </si>
  <si>
    <t>HARISON CONSULTING SVCS LL</t>
  </si>
  <si>
    <t>POPOWYCH DAMIAN M &amp; MY-LE</t>
  </si>
  <si>
    <t>MICHAEL KLEIN</t>
  </si>
  <si>
    <t xml:space="preserve">7541 N 30TH AVE </t>
  </si>
  <si>
    <t>BUNGALOWS AT ORANGEWOOD AMD</t>
  </si>
  <si>
    <t>BUNGALOWS AT ORANGEWOOD</t>
  </si>
  <si>
    <t>VITA FELICE DEV LLC</t>
  </si>
  <si>
    <t>KLEIN MICHAEL P</t>
  </si>
  <si>
    <t>JANIECE</t>
  </si>
  <si>
    <t>STEPHEN &amp; JANIECE FOWLER</t>
  </si>
  <si>
    <t xml:space="preserve">6702 E RHODES ST </t>
  </si>
  <si>
    <t>MOUNTAIN VIEW OF MESA</t>
  </si>
  <si>
    <t>CROSS CYNTHIA R</t>
  </si>
  <si>
    <t>STEPHEN FOWLER</t>
  </si>
  <si>
    <t>JANIECE FOWLER</t>
  </si>
  <si>
    <t>THEODORE HARRIS</t>
  </si>
  <si>
    <t xml:space="preserve">7552 W IRWIN AVE </t>
  </si>
  <si>
    <t>HARRIS SR THEODORE T</t>
  </si>
  <si>
    <t>KEIR</t>
  </si>
  <si>
    <t>KEIR &amp; LYNN HART</t>
  </si>
  <si>
    <t xml:space="preserve">11463 E RENATA AVE </t>
  </si>
  <si>
    <t>DE HOYOS MIGUEL</t>
  </si>
  <si>
    <t>HART KEIR D &amp; LYNN L</t>
  </si>
  <si>
    <t>PITLOCK</t>
  </si>
  <si>
    <t>GREGORY PITLOCK</t>
  </si>
  <si>
    <t xml:space="preserve">4917 E THUNDERBIRD DR </t>
  </si>
  <si>
    <t>SUN GROVES PARCEL 11</t>
  </si>
  <si>
    <t>FAST LANE CARWASH LLC</t>
  </si>
  <si>
    <t>PITLOCK GREGORY L</t>
  </si>
  <si>
    <t>RONALD PATTERSON</t>
  </si>
  <si>
    <t xml:space="preserve">21724 E VIA DEL RANCHO </t>
  </si>
  <si>
    <t>VILLAGES AT QUEEN CREEK PARCEL 13</t>
  </si>
  <si>
    <t>HOWARD NOLIE S</t>
  </si>
  <si>
    <t>PATTERSON RONALD C</t>
  </si>
  <si>
    <t>FITZSIMMONS</t>
  </si>
  <si>
    <t>JASON &amp; TIFFANY FITZSIMMONS</t>
  </si>
  <si>
    <t xml:space="preserve">1333 W 6TH ST </t>
  </si>
  <si>
    <t>D BAR L RANCHOS</t>
  </si>
  <si>
    <t>BAR RANCHOS</t>
  </si>
  <si>
    <t>SCALES TECHNOLOGY ACADEMY</t>
  </si>
  <si>
    <t>MANROSS FAMILY TRUST</t>
  </si>
  <si>
    <t>FITZSIMMONS JASON &amp; TIFFANY</t>
  </si>
  <si>
    <t>PURVIS</t>
  </si>
  <si>
    <t>AFIAH</t>
  </si>
  <si>
    <t>ALFRED &amp; AFIAH PURVIS</t>
  </si>
  <si>
    <t xml:space="preserve">512 W MELODY DR </t>
  </si>
  <si>
    <t>PURVIS ALFRED M</t>
  </si>
  <si>
    <t>BELLAMY</t>
  </si>
  <si>
    <t>JON &amp; KATHERINE BELLAMY</t>
  </si>
  <si>
    <t xml:space="preserve">7302 W WINDROSE DR </t>
  </si>
  <si>
    <t>AZ WHOLESALE PROPS LLC</t>
  </si>
  <si>
    <t>BELLAMY JON &amp; KATHERINE</t>
  </si>
  <si>
    <t>CHARLES HENDERSON &amp; CYNTHIA GRAHAM</t>
  </si>
  <si>
    <t xml:space="preserve">673 E TORREY PINES PL </t>
  </si>
  <si>
    <t>LAGOS VISTOSO</t>
  </si>
  <si>
    <t>LOS VISTOSO</t>
  </si>
  <si>
    <t>COLGAN ARTHUR E</t>
  </si>
  <si>
    <t>HENDERSON CHARLES E</t>
  </si>
  <si>
    <t>GRAHAM CYNTHIA D</t>
  </si>
  <si>
    <t>MRSNY RICK A &amp; SHEILA E L TRUS</t>
  </si>
  <si>
    <t>A &amp; SHEILA MRSNYRICK</t>
  </si>
  <si>
    <t xml:space="preserve">12641 N 151ST DR </t>
  </si>
  <si>
    <t>MRSNY RICK A &amp; SHEILA E</t>
  </si>
  <si>
    <t>CHRISTINA &amp; TERRENCE HENRY</t>
  </si>
  <si>
    <t xml:space="preserve">16855 N 172ND AVE </t>
  </si>
  <si>
    <t>SURPRISE FARMS PHASE 1B NORTH PARCEL 14</t>
  </si>
  <si>
    <t>DAVID ROLAND</t>
  </si>
  <si>
    <t>CHRISTINA L HENRY</t>
  </si>
  <si>
    <t>TERRENCE D HENRY</t>
  </si>
  <si>
    <t>ASHLEY &amp; KATHERINE WILSON</t>
  </si>
  <si>
    <t xml:space="preserve">2056 E RIVIERA DR #25 </t>
  </si>
  <si>
    <t xml:space="preserve">2056 E RIVIERA DR </t>
  </si>
  <si>
    <t>WILSON ASHLEY W &amp; KATHERINE R</t>
  </si>
  <si>
    <t>BAUMEL</t>
  </si>
  <si>
    <t>ALAN &amp; JACQUELINE BAUMEL</t>
  </si>
  <si>
    <t xml:space="preserve">780 E INDIAN WELLS PL </t>
  </si>
  <si>
    <t>COLEMAN CHRISTOPHER M</t>
  </si>
  <si>
    <t>BAUMEL ALAN &amp; JACQUELINE</t>
  </si>
  <si>
    <t>BRIAN CAREY</t>
  </si>
  <si>
    <t xml:space="preserve">4720 E GATEWOOD RD </t>
  </si>
  <si>
    <t>DESERT RIDGE PARCEL 7.1</t>
  </si>
  <si>
    <t>TRENT SCOTT</t>
  </si>
  <si>
    <t>CAREY BRIAN</t>
  </si>
  <si>
    <t>GARBOUSHIAN</t>
  </si>
  <si>
    <t>KRISTI GARBOUSHIAN</t>
  </si>
  <si>
    <t xml:space="preserve">1305 W 7TH PL </t>
  </si>
  <si>
    <t>GEORGE DAVID</t>
  </si>
  <si>
    <t>GARBOUSHIAN KRISTI</t>
  </si>
  <si>
    <t>ANTHONY &amp; AMANDA GALLEGOS</t>
  </si>
  <si>
    <t xml:space="preserve">17213 W LUNDBERG ST </t>
  </si>
  <si>
    <t xml:space="preserve">17226 W LUNDBERG ST </t>
  </si>
  <si>
    <t>NOLAN GEORGE</t>
  </si>
  <si>
    <t>GALLEGOS ANTHONY &amp; AMANDA</t>
  </si>
  <si>
    <t>FRANK &amp; TARA BARBER</t>
  </si>
  <si>
    <t xml:space="preserve">3110 E PUEBLO AVE </t>
  </si>
  <si>
    <t>MEADOWGREEN UNIT 3 LOT 420-600</t>
  </si>
  <si>
    <t>GOYNE MINERVA C</t>
  </si>
  <si>
    <t>FRANK W BARBER</t>
  </si>
  <si>
    <t>TARA J BARBER</t>
  </si>
  <si>
    <t>SPANE</t>
  </si>
  <si>
    <t>RONALD &amp; SHARON SPANE</t>
  </si>
  <si>
    <t xml:space="preserve">4866 E THUNDERBIRD DR </t>
  </si>
  <si>
    <t>GEME TRUST</t>
  </si>
  <si>
    <t>SPANE RONALD L &amp; SHARON S</t>
  </si>
  <si>
    <t>RONALD SPANE</t>
  </si>
  <si>
    <t>SHARON SPANE</t>
  </si>
  <si>
    <t>MYRIAM</t>
  </si>
  <si>
    <t>MYRIAM TAPIA</t>
  </si>
  <si>
    <t xml:space="preserve">3802 N COPENHAGEN DR </t>
  </si>
  <si>
    <t>BAILEY DANIEL L</t>
  </si>
  <si>
    <t>TAPIA MYRIAM F</t>
  </si>
  <si>
    <t>PERLA</t>
  </si>
  <si>
    <t>PERLA MARQUEZ</t>
  </si>
  <si>
    <t xml:space="preserve">17635 N 5TH AVE </t>
  </si>
  <si>
    <t>DAVE BROWN 7TH AVENUE</t>
  </si>
  <si>
    <t>CRYSTAL TERRACE</t>
  </si>
  <si>
    <t>HARTMAN JAYLIN P</t>
  </si>
  <si>
    <t>PERLA C MARQUEZ</t>
  </si>
  <si>
    <t>AINSWORTH</t>
  </si>
  <si>
    <t>TRAVIS &amp; LAURA AINSWORTH</t>
  </si>
  <si>
    <t xml:space="preserve">942 E REMINGTON DR </t>
  </si>
  <si>
    <t>RANCHOS-DE-CHANDLER UNIT 4 LOT 1-6</t>
  </si>
  <si>
    <t>R-33</t>
  </si>
  <si>
    <t>ELLIS PAUL J &amp; LISA E</t>
  </si>
  <si>
    <t>AINSWORTH TRAVIS &amp; LAURA</t>
  </si>
  <si>
    <t>RAU</t>
  </si>
  <si>
    <t>SCOTT &amp; SONYA RAU</t>
  </si>
  <si>
    <t xml:space="preserve">29402 W COLUMBUS AVE </t>
  </si>
  <si>
    <t>ROOKS TRESA A</t>
  </si>
  <si>
    <t>RAU SCOTT V &amp; SONYA S</t>
  </si>
  <si>
    <t>GUCHEREAU</t>
  </si>
  <si>
    <t>EMILY GUCHEREAU</t>
  </si>
  <si>
    <t xml:space="preserve">3104 S JENTILLY LN </t>
  </si>
  <si>
    <t>TEMPE ROYAL PALMS  2</t>
  </si>
  <si>
    <t>RURAL-GENEVA</t>
  </si>
  <si>
    <t>MERIDETH LONNIE</t>
  </si>
  <si>
    <t>GUCHEREAU EMILY C</t>
  </si>
  <si>
    <t>SLOAN</t>
  </si>
  <si>
    <t>JENNIFER SLOAN</t>
  </si>
  <si>
    <t xml:space="preserve">19420 N 78TH AVE </t>
  </si>
  <si>
    <t>ARROWHEAD ON THE GREEN LOT 1-325 TR A-C</t>
  </si>
  <si>
    <t>LEES FRANK B</t>
  </si>
  <si>
    <t>SLOAN JENNIFER</t>
  </si>
  <si>
    <t>MICHAEL K WARDEN TRUST</t>
  </si>
  <si>
    <t>MICHAEL &amp; MICHAEL WARDEN</t>
  </si>
  <si>
    <t xml:space="preserve">18391 W WESTERN STAR BLVD </t>
  </si>
  <si>
    <t>POTTER BRIAN K</t>
  </si>
  <si>
    <t>WARDEN MICHAEL K</t>
  </si>
  <si>
    <t>BONAM</t>
  </si>
  <si>
    <t>KEVIN BONAM</t>
  </si>
  <si>
    <t xml:space="preserve">20825 W CARVER RD </t>
  </si>
  <si>
    <t>H005</t>
  </si>
  <si>
    <t>GUTIERREZ BENNY R &amp; MARIE</t>
  </si>
  <si>
    <t>BONAM KEVIN F JR</t>
  </si>
  <si>
    <t>WESLEY &amp; DENISE VINCENT</t>
  </si>
  <si>
    <t xml:space="preserve">28105 N 255TH AVE </t>
  </si>
  <si>
    <t>WILSON JAMES &amp; DARLA F</t>
  </si>
  <si>
    <t>VINCENT WESLEY G</t>
  </si>
  <si>
    <t>VINCENT DENISE G</t>
  </si>
  <si>
    <t xml:space="preserve">2306 W HIDDEN VALLEY DR </t>
  </si>
  <si>
    <t>BORNEMANN KATHERINE A</t>
  </si>
  <si>
    <t>JOHNSON RAYMOND R</t>
  </si>
  <si>
    <t>SAMPLEY</t>
  </si>
  <si>
    <t>SAMPLEY &amp; ERIN MARIE</t>
  </si>
  <si>
    <t xml:space="preserve">1472 E ZION WAY </t>
  </si>
  <si>
    <t>GARCIA VICTOR H</t>
  </si>
  <si>
    <t>SAMPLEY JODY D &amp; ERIN M</t>
  </si>
  <si>
    <t>FJELL</t>
  </si>
  <si>
    <t>ROBERT &amp; ERIN FJELL</t>
  </si>
  <si>
    <t xml:space="preserve">4848 E DALE LN </t>
  </si>
  <si>
    <t>KOONS PAMELA J</t>
  </si>
  <si>
    <t>FJELL ROBERT D &amp; ERIN LE</t>
  </si>
  <si>
    <t>MOREL</t>
  </si>
  <si>
    <t>JOSEPH &amp; STACY MOREL</t>
  </si>
  <si>
    <t xml:space="preserve">14375 W CAMERON DR </t>
  </si>
  <si>
    <t>MOREL JOSEPH C &amp; STACY R</t>
  </si>
  <si>
    <t>PINAULT</t>
  </si>
  <si>
    <t>JOHN &amp; DONNA PINAULT</t>
  </si>
  <si>
    <t xml:space="preserve">10242 W VILLA CHULA </t>
  </si>
  <si>
    <t>IRONWOOD PHASE 3B</t>
  </si>
  <si>
    <t>AJ FAMILY TRUST</t>
  </si>
  <si>
    <t>PINAULT JOHN &amp; DONNA</t>
  </si>
  <si>
    <t>SEELEY</t>
  </si>
  <si>
    <t>SHAWN SEELEY</t>
  </si>
  <si>
    <t xml:space="preserve">16801 W HILTON AVE </t>
  </si>
  <si>
    <t>SCANLON JOHN E</t>
  </si>
  <si>
    <t>SEELEY SHAWN STERLING</t>
  </si>
  <si>
    <t>WOOMER</t>
  </si>
  <si>
    <t>EARL &amp; JEAN WOOMER</t>
  </si>
  <si>
    <t xml:space="preserve">26224 N AVENIDA DEL RAY </t>
  </si>
  <si>
    <t>RIO VERDE UNIT SIX LOT 473-491 494-526 T</t>
  </si>
  <si>
    <t>LANGENFELD GLEN A &amp; PATRICIA</t>
  </si>
  <si>
    <t>WOOMER EARL W &amp; JEAN R</t>
  </si>
  <si>
    <t>ANGEL NIEVES</t>
  </si>
  <si>
    <t xml:space="preserve">21435 E WAVERLY DR </t>
  </si>
  <si>
    <t xml:space="preserve">630 W VIRGINIA ST </t>
  </si>
  <si>
    <t>TALLAHASSEE</t>
  </si>
  <si>
    <t>FL</t>
  </si>
  <si>
    <t>NIEVES ANGEL</t>
  </si>
  <si>
    <t>DOUGLAS &amp; BONNIE PETERSEN</t>
  </si>
  <si>
    <t xml:space="preserve">18742 E VIA DEL ORO </t>
  </si>
  <si>
    <t>SHEEHAN JOHN W &amp; LISA K</t>
  </si>
  <si>
    <t>AMERICAN SW CU</t>
  </si>
  <si>
    <t>PETERSON DOUGLAS M</t>
  </si>
  <si>
    <t>HEYWARD</t>
  </si>
  <si>
    <t>CARPENTER</t>
  </si>
  <si>
    <t>HEYWARD &amp; CLAUDIA CARPENTER</t>
  </si>
  <si>
    <t xml:space="preserve">15937 W MARCONI AVE </t>
  </si>
  <si>
    <t>NORTH INVESTMENTS LLC</t>
  </si>
  <si>
    <t>CARPENTER HEYWARD &amp; CLAUDIA</t>
  </si>
  <si>
    <t>WALLS</t>
  </si>
  <si>
    <t>JOHANNIE</t>
  </si>
  <si>
    <t>LARRY &amp; JOHANNIE WALLS</t>
  </si>
  <si>
    <t xml:space="preserve">163 S 167TH DR </t>
  </si>
  <si>
    <t>CANYON TRAILS UNIT 3 PARCEL D</t>
  </si>
  <si>
    <t>JOHNSON JEPP R</t>
  </si>
  <si>
    <t>WALLS LARRY &amp; JOHNNIE F</t>
  </si>
  <si>
    <t>JOHN &amp; CYNTHIA KELLY</t>
  </si>
  <si>
    <t xml:space="preserve">21323 E WAVERLY DR </t>
  </si>
  <si>
    <t>KELLY JOHN J III &amp; CYNTHIA A</t>
  </si>
  <si>
    <t>BIVEN</t>
  </si>
  <si>
    <t>WRAY</t>
  </si>
  <si>
    <t>BIVEN &amp; KRISTI WRAY</t>
  </si>
  <si>
    <t xml:space="preserve">16441 S 2ND PL </t>
  </si>
  <si>
    <t>WEISS STEVEN</t>
  </si>
  <si>
    <t>WRAY BIVEN C &amp; KRISTI L</t>
  </si>
  <si>
    <t>JERENE</t>
  </si>
  <si>
    <t>TIMOTHY &amp; JERENE WARD</t>
  </si>
  <si>
    <t xml:space="preserve">19609 E ARROWHEAD TRL </t>
  </si>
  <si>
    <t>GALOP AMANDA</t>
  </si>
  <si>
    <t>WARD TIMOTHY S</t>
  </si>
  <si>
    <t>FACEY JERENE R</t>
  </si>
  <si>
    <t>JAMES KELTNER</t>
  </si>
  <si>
    <t xml:space="preserve">1203 S PENNINGTON DR </t>
  </si>
  <si>
    <t>LAKIN PETER A</t>
  </si>
  <si>
    <t>KELTNER JAMES T</t>
  </si>
  <si>
    <t>NOLD</t>
  </si>
  <si>
    <t>DANA NOLD</t>
  </si>
  <si>
    <t xml:space="preserve">17817 N 54TH LN </t>
  </si>
  <si>
    <t>SELAR NICOLAE</t>
  </si>
  <si>
    <t>NOLD DANA K</t>
  </si>
  <si>
    <t>JAMES &amp; LYNN MEADOWS</t>
  </si>
  <si>
    <t xml:space="preserve">15250 N 79TH LN </t>
  </si>
  <si>
    <t>COLBERG JOERG E &amp; U M TRUST</t>
  </si>
  <si>
    <t>MEADOWS JAMES J &amp; LYNN R</t>
  </si>
  <si>
    <t>ARTHUR SANCHEZ</t>
  </si>
  <si>
    <t xml:space="preserve">11877 N 156TH LN </t>
  </si>
  <si>
    <t>NGUYEN KEVIN</t>
  </si>
  <si>
    <t>SANCHEZ ARTHUR</t>
  </si>
  <si>
    <t>CHEATHAM</t>
  </si>
  <si>
    <t>TYRONE CHEATHAM</t>
  </si>
  <si>
    <t xml:space="preserve">2544 S MARTINGALE RD </t>
  </si>
  <si>
    <t>FOUSHEE THOMAS J &amp; SUZAN</t>
  </si>
  <si>
    <t>CHEATHAM TYRONE</t>
  </si>
  <si>
    <t>CERCONE</t>
  </si>
  <si>
    <t>RICHARD &amp; SUSAN CERCONE</t>
  </si>
  <si>
    <t xml:space="preserve">201 N ALEPPO CT </t>
  </si>
  <si>
    <t>GORNEY ERIC &amp; JENNIFER</t>
  </si>
  <si>
    <t>CERCONE RICHARD G &amp; SUSAN R</t>
  </si>
  <si>
    <t>FRANTZ</t>
  </si>
  <si>
    <t>GARCIA &amp; JO FRANTZ</t>
  </si>
  <si>
    <t xml:space="preserve">15819 N 5TH DR </t>
  </si>
  <si>
    <t>TAMARAC AT MOON VALLEY LOT 1-121 TRACT A</t>
  </si>
  <si>
    <t>TAMARAC AT MOON VALLEY</t>
  </si>
  <si>
    <t>PARR MICHAEL D</t>
  </si>
  <si>
    <t>GARCIA JOSEPH R &amp; JO A B F</t>
  </si>
  <si>
    <t>HENDRICKSON</t>
  </si>
  <si>
    <t>TIFFANY &amp; MICHAEL HENDRICKSON</t>
  </si>
  <si>
    <t xml:space="preserve">4892 S WINDSTREAM PL </t>
  </si>
  <si>
    <t>HENDRICKSON TIFFANY</t>
  </si>
  <si>
    <t>HUANG</t>
  </si>
  <si>
    <t>TIM HUANG</t>
  </si>
  <si>
    <t xml:space="preserve">945 S ALMIRA AVE </t>
  </si>
  <si>
    <t>HUANG TIM</t>
  </si>
  <si>
    <t>MICHAEL SMITH</t>
  </si>
  <si>
    <t xml:space="preserve">12104 N 140TH LN </t>
  </si>
  <si>
    <t>KENLY FARMS 1</t>
  </si>
  <si>
    <t>KENLY FARMS</t>
  </si>
  <si>
    <t>GARCIA JUAN J</t>
  </si>
  <si>
    <t>SMITH MICHAEL P</t>
  </si>
  <si>
    <t>CHRISTINA WELLMAN</t>
  </si>
  <si>
    <t xml:space="preserve">325 W LOS ALAMOS ST </t>
  </si>
  <si>
    <t>RANCHO DEL VERDE UNIT 4</t>
  </si>
  <si>
    <t>WUDEL JOHN &amp; CORINNE</t>
  </si>
  <si>
    <t>WELLMAN CHRISTINA</t>
  </si>
  <si>
    <t>BRADFORD</t>
  </si>
  <si>
    <t>LANKINS</t>
  </si>
  <si>
    <t>BRADFORD BISHOP &amp; ASHLEY LANKINS</t>
  </si>
  <si>
    <t xml:space="preserve">12116 W DESERT LN </t>
  </si>
  <si>
    <t>3 J'S COUNTRY ESTATES</t>
  </si>
  <si>
    <t>MONTECITO ESTATES</t>
  </si>
  <si>
    <t>MUNGILLO AARON R</t>
  </si>
  <si>
    <t>BISHOP BRADFORD</t>
  </si>
  <si>
    <t>LANKINS ASHLEY R</t>
  </si>
  <si>
    <t>GUBELLI TRUST</t>
  </si>
  <si>
    <t>GUBELLI</t>
  </si>
  <si>
    <t xml:space="preserve">13550 W SOLA DR </t>
  </si>
  <si>
    <t>BOWERS DEBORAH A</t>
  </si>
  <si>
    <t>GUBELLI NICHOLAS L SR &amp; PATRICIA</t>
  </si>
  <si>
    <t>BRIAN ANDERSON</t>
  </si>
  <si>
    <t xml:space="preserve">4339 N 182ND AVE </t>
  </si>
  <si>
    <t>ANDERSON BRIAN S</t>
  </si>
  <si>
    <t>POST &amp; MONICA GARCIA</t>
  </si>
  <si>
    <t xml:space="preserve">7548 E KEATS AVE </t>
  </si>
  <si>
    <t>CONTINENTAL AT SUPERSTITION SPRINGS</t>
  </si>
  <si>
    <t>SCHMITZ GARY A</t>
  </si>
  <si>
    <t>POST PIETER A</t>
  </si>
  <si>
    <t>GERMUSKA</t>
  </si>
  <si>
    <t>THOMAS GERMUSKA</t>
  </si>
  <si>
    <t xml:space="preserve">229 W TIERRA BUENA LN </t>
  </si>
  <si>
    <t>PUERTA VIEJA 3 LOT 86-102 TR A</t>
  </si>
  <si>
    <t>PUERTA VIEJA</t>
  </si>
  <si>
    <t>HUSTEAD MICHAEL D &amp; KRISTEN</t>
  </si>
  <si>
    <t>GERMUSKA THOMAS A</t>
  </si>
  <si>
    <t>ABEL MARTINEZ</t>
  </si>
  <si>
    <t xml:space="preserve">4734 E EVERGREEN ST </t>
  </si>
  <si>
    <t>SUNDANCE GROVES LOT 1-110 &amp; TRACT A-B</t>
  </si>
  <si>
    <t>SUNDANCE</t>
  </si>
  <si>
    <t>BARNHURST PAUL</t>
  </si>
  <si>
    <t>ANDRIA</t>
  </si>
  <si>
    <t>CHRISTOPHER ANDRIA</t>
  </si>
  <si>
    <t xml:space="preserve">2712 W WILDWOOD DR </t>
  </si>
  <si>
    <t>FOOTHILLS RESERVE PARCEL A-2</t>
  </si>
  <si>
    <t>HIRSCH LANE</t>
  </si>
  <si>
    <t>ANDRIA CHRISTOPHER A</t>
  </si>
  <si>
    <t>CARL &amp; DENISE RHODES</t>
  </si>
  <si>
    <t xml:space="preserve">15626 W MEADOWBROOK AVE </t>
  </si>
  <si>
    <t>RHODES CARL &amp; DENISE</t>
  </si>
  <si>
    <t>CARL RHODES</t>
  </si>
  <si>
    <t>DENISE RHODES</t>
  </si>
  <si>
    <t>MONTAGUE</t>
  </si>
  <si>
    <t>CHARLES MONTAGUE</t>
  </si>
  <si>
    <t xml:space="preserve">20822 N 135TH AVE </t>
  </si>
  <si>
    <t>GRELL ORLAN G</t>
  </si>
  <si>
    <t>MONTAGUE CHARLES O</t>
  </si>
  <si>
    <t>GAVRICH</t>
  </si>
  <si>
    <t>ADAM &amp; ASHLEY GAVRICH</t>
  </si>
  <si>
    <t xml:space="preserve">2715 N 145TH AVE </t>
  </si>
  <si>
    <t>RJD SOUTHWEST VENTURES LLC</t>
  </si>
  <si>
    <t>GAVRICH ADAM &amp; ASHLEY</t>
  </si>
  <si>
    <t>LINDA &amp; JOHN SAWYER</t>
  </si>
  <si>
    <t xml:space="preserve">14446 W EDGEMONT AVE </t>
  </si>
  <si>
    <t>MOHR PHILIP C</t>
  </si>
  <si>
    <t>SAWYER LINDA &amp; JOHN</t>
  </si>
  <si>
    <t>CHRISTOPHER EASTMAN</t>
  </si>
  <si>
    <t xml:space="preserve">1705 S ASH ST </t>
  </si>
  <si>
    <t>RANCHO DEL VERDE UNIT 1</t>
  </si>
  <si>
    <t>ELKINS HART W TRUST</t>
  </si>
  <si>
    <t>EASTMAN CHRISTOPHER</t>
  </si>
  <si>
    <t>DAIGNEAULT</t>
  </si>
  <si>
    <t>STEVEN WALSH &amp; STEPHANIE DAIGNEAULT</t>
  </si>
  <si>
    <t xml:space="preserve">18052 W BANFF LN </t>
  </si>
  <si>
    <t>SIERRA MONTANA PARCEL 6</t>
  </si>
  <si>
    <t>SHLIAN ROBERT &amp; SUZANNE L</t>
  </si>
  <si>
    <t>WALSH STEVEN</t>
  </si>
  <si>
    <t>KIDD</t>
  </si>
  <si>
    <t>RONALD &amp; VIRGINIA KIDD</t>
  </si>
  <si>
    <t xml:space="preserve">8480 W QUAIL TRACK DR </t>
  </si>
  <si>
    <t>SCHELL LEANN L</t>
  </si>
  <si>
    <t>KIDD RONALD D &amp; VIRGINIA</t>
  </si>
  <si>
    <t>THIGPEN</t>
  </si>
  <si>
    <t>MICHAEL THIGPEN</t>
  </si>
  <si>
    <t xml:space="preserve">12215 N 62ND ST </t>
  </si>
  <si>
    <t>AMITAY FRANCINE</t>
  </si>
  <si>
    <t>THIGPEN MICHAEL D</t>
  </si>
  <si>
    <t>MICHAEL D THIGPEN</t>
  </si>
  <si>
    <t>PLOTKIN</t>
  </si>
  <si>
    <t>MATTHEW &amp; KASSANDRA PLOTKIN</t>
  </si>
  <si>
    <t xml:space="preserve">7440 W TONOPAH DR </t>
  </si>
  <si>
    <t>KERBAUGH SHARON L</t>
  </si>
  <si>
    <t>PLOTKIN MATTHEW L &amp; KASSANDRA</t>
  </si>
  <si>
    <t>ONTIVEROS</t>
  </si>
  <si>
    <t>JOEL &amp; SANDY ONTIVEROS</t>
  </si>
  <si>
    <t xml:space="preserve">3351 E CLARK DR </t>
  </si>
  <si>
    <t>CORONADO RANCH PARCEL 1A</t>
  </si>
  <si>
    <t>FRANK &amp; MARIAMINERVINI</t>
  </si>
  <si>
    <t>ONTIVEROS JOEL &amp; SANDY A</t>
  </si>
  <si>
    <t>CHAMBERS LIVING TRUST</t>
  </si>
  <si>
    <t xml:space="preserve">3940 N 151ST AVE </t>
  </si>
  <si>
    <t>PEBBLECREEK UNIT FOUR LOT 1-62 TR A-D</t>
  </si>
  <si>
    <t>HALL GERALD L</t>
  </si>
  <si>
    <t>CHAMBERS DAVID E &amp; TRAUDL</t>
  </si>
  <si>
    <t>ST AUBYN ANTHONY TODD &amp; CANDACE DEANN</t>
  </si>
  <si>
    <t xml:space="preserve">8601 N 16TH AVE </t>
  </si>
  <si>
    <t>ROYAL OAKS 5</t>
  </si>
  <si>
    <t>ROYAL OAKS NORTH</t>
  </si>
  <si>
    <t>WOODARD LISA M</t>
  </si>
  <si>
    <t>ST AUBYN ANTHONY T &amp; CANDACE</t>
  </si>
  <si>
    <t>RONNIE GARCIA</t>
  </si>
  <si>
    <t xml:space="preserve">11414 E SHEPPERD AVE </t>
  </si>
  <si>
    <t>MIRANDA EDWARD G</t>
  </si>
  <si>
    <t>GARCIA RONNIE</t>
  </si>
  <si>
    <t>JOHNNEL</t>
  </si>
  <si>
    <t>PANGANIBAN</t>
  </si>
  <si>
    <t>JOHNNEL PANGANIBAN</t>
  </si>
  <si>
    <t xml:space="preserve">2773 E WINGED FOOT DR </t>
  </si>
  <si>
    <t>SUN RIVER PARCEL A</t>
  </si>
  <si>
    <t>MALCZYK W M &amp; K C TRUST</t>
  </si>
  <si>
    <t>PANGANIBAN JOHNNEL R</t>
  </si>
  <si>
    <t>RONALD &amp; KATHLEEN SIMMONS</t>
  </si>
  <si>
    <t xml:space="preserve">17436 N 70TH LN </t>
  </si>
  <si>
    <t>COVENTRY ESTATES</t>
  </si>
  <si>
    <t>SEXTON LISA A &amp; JONATHAN A</t>
  </si>
  <si>
    <t>SIMMONS RONALD N &amp; KATHLEEN D</t>
  </si>
  <si>
    <t>SAVAGE</t>
  </si>
  <si>
    <t>BRANDON &amp; SARA SAVAGE</t>
  </si>
  <si>
    <t xml:space="preserve">18611 W MIAMI ST </t>
  </si>
  <si>
    <t>SAVAGE BRANDON T &amp; SARA N</t>
  </si>
  <si>
    <t>CERAOLO</t>
  </si>
  <si>
    <t>ROGER &amp; STEPHANIE CERAOLO</t>
  </si>
  <si>
    <t xml:space="preserve">7420 W BUCKSKIN TRL </t>
  </si>
  <si>
    <t>IRICK TRENT R</t>
  </si>
  <si>
    <t>CERAOLO ROGER A &amp; STEPHANIE G</t>
  </si>
  <si>
    <t>JAMES &amp; LORRAINE BURKETT</t>
  </si>
  <si>
    <t xml:space="preserve">15096 N 100TH WAY </t>
  </si>
  <si>
    <t>GRACE TARYN</t>
  </si>
  <si>
    <t>BURKETT JAMES E</t>
  </si>
  <si>
    <t xml:space="preserve">1659 E MONTOYA LN </t>
  </si>
  <si>
    <t>NEYLON JUSTIN &amp; TERI</t>
  </si>
  <si>
    <t>MAY DAVID C</t>
  </si>
  <si>
    <t>KAITLYN</t>
  </si>
  <si>
    <t>KAITLYN &amp; STEPHEN LONG</t>
  </si>
  <si>
    <t xml:space="preserve">42 E JOSEPH WAY </t>
  </si>
  <si>
    <t>PEREZ LUIS &amp; ASHLEE</t>
  </si>
  <si>
    <t>LONG KAITLYN &amp; STEPHEN</t>
  </si>
  <si>
    <t>FRANKIE &amp; MISTY GOMEZ</t>
  </si>
  <si>
    <t xml:space="preserve">18360 W PORT ROYALE LN </t>
  </si>
  <si>
    <t>GRAHAM TONIA P &amp; THOMAS L</t>
  </si>
  <si>
    <t>GOMEZ FRANKIE &amp; MISTY</t>
  </si>
  <si>
    <t>MARIE &amp; THOMAS CHAPMAN</t>
  </si>
  <si>
    <t xml:space="preserve">7618 W ALEXANDRIA WAY </t>
  </si>
  <si>
    <t>CROSSWINDS</t>
  </si>
  <si>
    <t>BI MING &amp; MICHELLE</t>
  </si>
  <si>
    <t>CHAPMAN MARIE E &amp; THOMAS G</t>
  </si>
  <si>
    <t>VANDERPLOEG</t>
  </si>
  <si>
    <t>TIMOTHY &amp; JONALYN VANDERPLOEG</t>
  </si>
  <si>
    <t xml:space="preserve">17557 W BAJADA RD </t>
  </si>
  <si>
    <t>VANDERPLOEG TIMOTHY L &amp; JONALYN V</t>
  </si>
  <si>
    <t>LEANNDRA</t>
  </si>
  <si>
    <t>BEARD &amp; LEANNDRA CHRISTINE</t>
  </si>
  <si>
    <t xml:space="preserve">747 N BOULDER ST </t>
  </si>
  <si>
    <t>VISTA ESTANCIA</t>
  </si>
  <si>
    <t>ERWIN ISRAEL S &amp; KATHERINE</t>
  </si>
  <si>
    <t>BEARD STANLEY L JR &amp; LEANNDRA C</t>
  </si>
  <si>
    <t>SYLVESTER</t>
  </si>
  <si>
    <t>CHRISTOPHER &amp; JENNIFER SYLVESTER</t>
  </si>
  <si>
    <t xml:space="preserve">18207 W SELLS DR </t>
  </si>
  <si>
    <t>SYLVESTER CHRISTOPHER M &amp; JENNIFER L</t>
  </si>
  <si>
    <t>ANGEL HERNANDEZ</t>
  </si>
  <si>
    <t xml:space="preserve">7757 W ALEXANDRIA WAY </t>
  </si>
  <si>
    <t>STEEPLE HILL AMD</t>
  </si>
  <si>
    <t>STEEPLE HILL</t>
  </si>
  <si>
    <t>EUBANK MICHAEL J</t>
  </si>
  <si>
    <t>HERNANDEZ ANGEL III</t>
  </si>
  <si>
    <t>SPANAUS</t>
  </si>
  <si>
    <t>JACOB &amp; KRISTIN SPANAUS</t>
  </si>
  <si>
    <t xml:space="preserve">16222 W WATSON LN </t>
  </si>
  <si>
    <t>LEGACY PARC PARCEL J</t>
  </si>
  <si>
    <t>STEIN VICTOR C</t>
  </si>
  <si>
    <t>SPANAUS JACOB D</t>
  </si>
  <si>
    <t>DEREK &amp; LAUREN COFFMAN</t>
  </si>
  <si>
    <t xml:space="preserve">6526 E VERNON AVE </t>
  </si>
  <si>
    <t>MELLEY MICHAEL P</t>
  </si>
  <si>
    <t>COFFMAN DEREK A &amp; LAUREN T</t>
  </si>
  <si>
    <t>SIRRINE</t>
  </si>
  <si>
    <t>JOSHUA SIRRINE</t>
  </si>
  <si>
    <t xml:space="preserve">7221 W LARKSPUR DR </t>
  </si>
  <si>
    <t>STEVENS MARK D &amp; K L TRUST</t>
  </si>
  <si>
    <t>SIRRINE JOSHUA W</t>
  </si>
  <si>
    <t>TREVIZO</t>
  </si>
  <si>
    <t>THOMAS TREVIZO</t>
  </si>
  <si>
    <t xml:space="preserve">2265 N GENTRY </t>
  </si>
  <si>
    <t>COLON MICHAEL</t>
  </si>
  <si>
    <t>TREVIZO THOMAS</t>
  </si>
  <si>
    <t>COTA</t>
  </si>
  <si>
    <t>RAFAEL &amp; NICOLE COTA</t>
  </si>
  <si>
    <t xml:space="preserve">351 N TERRACE RD </t>
  </si>
  <si>
    <t>CLAXTON FAMILY TRUST</t>
  </si>
  <si>
    <t>COTA RAFAEL C J &amp; NICOLE M</t>
  </si>
  <si>
    <t>DAROCKI</t>
  </si>
  <si>
    <t>NEHAD</t>
  </si>
  <si>
    <t>BILAL</t>
  </si>
  <si>
    <t>JOSEPH DAROCKI &amp; NEHAD BILAL</t>
  </si>
  <si>
    <t xml:space="preserve">12618 N 58TH DR </t>
  </si>
  <si>
    <t xml:space="preserve">8404 W HOLLY ST </t>
  </si>
  <si>
    <t>PIOVANO LIVING TRUST</t>
  </si>
  <si>
    <t>DAROCKI JOSEPH J</t>
  </si>
  <si>
    <t>BILAL NEHAD M</t>
  </si>
  <si>
    <t>TIMOTHY &amp; BRANDI ELLSWORTH</t>
  </si>
  <si>
    <t xml:space="preserve">9163 E PERSHING AVE </t>
  </si>
  <si>
    <t>SHOEMAKER RUTH M TRUST</t>
  </si>
  <si>
    <t>ELLSWORTH TIMOTHY A &amp; BRANDI S</t>
  </si>
  <si>
    <t>KAHLER</t>
  </si>
  <si>
    <t>TRISLER</t>
  </si>
  <si>
    <t>STEVEN KAHLER &amp; GARY TRISLER</t>
  </si>
  <si>
    <t xml:space="preserve">1442 S ALMAR </t>
  </si>
  <si>
    <t>LEBEN TRUST</t>
  </si>
  <si>
    <t>KAHLER STEVEN R</t>
  </si>
  <si>
    <t>TRISLER GARY E</t>
  </si>
  <si>
    <t>STEVEN R KAHLER</t>
  </si>
  <si>
    <t>GARY E TRISLER</t>
  </si>
  <si>
    <t>BRYAN AND MONE YOUNG FAMILY TRUST</t>
  </si>
  <si>
    <t xml:space="preserve">15388 W ASTER DR </t>
  </si>
  <si>
    <t>WINNE DANNY A</t>
  </si>
  <si>
    <t>YOUNG BRYAN &amp; MONE FAMILY TRUST</t>
  </si>
  <si>
    <t>ETZENHOUSER</t>
  </si>
  <si>
    <t>DENNIS &amp; MELISSA ETZENHOUSER</t>
  </si>
  <si>
    <t xml:space="preserve">2551 E GARNET AVE </t>
  </si>
  <si>
    <t>OLD WEST VILLAGE 3</t>
  </si>
  <si>
    <t>SMITHSON AMBER L &amp; JUSTIN T</t>
  </si>
  <si>
    <t>ETZENHOUSER DENNIS &amp; MELISSA</t>
  </si>
  <si>
    <t>MATTHEW &amp; MELISSA WRIGHT</t>
  </si>
  <si>
    <t xml:space="preserve">1808 W BRAMBLE BERRY LN </t>
  </si>
  <si>
    <t>ANDERSON JORI</t>
  </si>
  <si>
    <t>WRIGHT MATTHEW &amp; MELISSA</t>
  </si>
  <si>
    <t>MATTHEW WRIGHT</t>
  </si>
  <si>
    <t>MELISSA WRIGHT</t>
  </si>
  <si>
    <t>ERIC &amp; DESIREE CREEKMORE</t>
  </si>
  <si>
    <t xml:space="preserve">18258 W MARCONI AVE </t>
  </si>
  <si>
    <t>KELSEY KEITH J</t>
  </si>
  <si>
    <t>CREEKMORE ERIC S</t>
  </si>
  <si>
    <t>DOBISZ</t>
  </si>
  <si>
    <t>PAUL DOBISZ</t>
  </si>
  <si>
    <t xml:space="preserve">3648 E PHELPS ST </t>
  </si>
  <si>
    <t>DOBISZ PAUL S</t>
  </si>
  <si>
    <t>JIM &amp; LEANNE GREEN</t>
  </si>
  <si>
    <t xml:space="preserve">1443 W TARA DR </t>
  </si>
  <si>
    <t>BAYVIEW 2 LOT 1-121 TR A B</t>
  </si>
  <si>
    <t>BAYVIEW SOUTH</t>
  </si>
  <si>
    <t>STUBBS EDWARDS A</t>
  </si>
  <si>
    <t>GREEN JIM &amp; LEANNE</t>
  </si>
  <si>
    <t>KRAUS</t>
  </si>
  <si>
    <t>DANIEL &amp; DENISE KRAUS</t>
  </si>
  <si>
    <t xml:space="preserve">15170 W REDFIELD RD </t>
  </si>
  <si>
    <t>MEHLOS DANIEL D</t>
  </si>
  <si>
    <t>KRAUS DANIEL J &amp; DENISE A</t>
  </si>
  <si>
    <t>LAVACQUE</t>
  </si>
  <si>
    <t>DAVID LAVACQUE</t>
  </si>
  <si>
    <t xml:space="preserve">2710 W CETON DR </t>
  </si>
  <si>
    <t xml:space="preserve">2704 W CETON DR </t>
  </si>
  <si>
    <t>HANGAR HACIENDAS UNIT 1</t>
  </si>
  <si>
    <t>HANGAR HACIENDAS</t>
  </si>
  <si>
    <t>89TH DRIVE LLC</t>
  </si>
  <si>
    <t>LAVACQUE DAVID T</t>
  </si>
  <si>
    <t>SABINA</t>
  </si>
  <si>
    <t>LUIS &amp; SABINA MARTINEZ</t>
  </si>
  <si>
    <t xml:space="preserve">13524 W PECK DR </t>
  </si>
  <si>
    <t>BEARD GEORGE A</t>
  </si>
  <si>
    <t>LUIS JR MARTINEZ</t>
  </si>
  <si>
    <t>SABINA O MARTINEZ</t>
  </si>
  <si>
    <t>PB &amp; J FAMILY TRUST</t>
  </si>
  <si>
    <t>&amp; J PB</t>
  </si>
  <si>
    <t xml:space="preserve">5651 E SWEETWATER AVE </t>
  </si>
  <si>
    <t>REBESKE JOHN JOSEPH</t>
  </si>
  <si>
    <t>LENDUS LLC</t>
  </si>
  <si>
    <t>MICHAEL D WRIGHT</t>
  </si>
  <si>
    <t>SARAH E WICKLUND</t>
  </si>
  <si>
    <t>CRAIGHEAD</t>
  </si>
  <si>
    <t>TRAVIS CRAIGHEAD</t>
  </si>
  <si>
    <t xml:space="preserve">9445 E QUAIL TRL </t>
  </si>
  <si>
    <t>MCREYNOLDS TROY W</t>
  </si>
  <si>
    <t>CRAIGHEAD TRAVIS B</t>
  </si>
  <si>
    <t>SAMA</t>
  </si>
  <si>
    <t>NAKISO</t>
  </si>
  <si>
    <t>SAMA &amp; MARIA NAKISO</t>
  </si>
  <si>
    <t xml:space="preserve">2010 N COMANCHE DR </t>
  </si>
  <si>
    <t>COLLEGE PARK 16 LOT 1241-1337</t>
  </si>
  <si>
    <t>SAMA R NAKISO</t>
  </si>
  <si>
    <t>MARIA NAKISO</t>
  </si>
  <si>
    <t>ERICKA</t>
  </si>
  <si>
    <t>CARLON</t>
  </si>
  <si>
    <t>MARIO GOMEZ &amp; ERICKA CARLON</t>
  </si>
  <si>
    <t xml:space="preserve">13414 N 154TH LN </t>
  </si>
  <si>
    <t>ALATAN LLC</t>
  </si>
  <si>
    <t>GOMEZ MARIO R</t>
  </si>
  <si>
    <t>CARLON ERICKA C</t>
  </si>
  <si>
    <t>STEVEN &amp; KELLY MORGAN</t>
  </si>
  <si>
    <t xml:space="preserve">4109 E PEACH TREE DR </t>
  </si>
  <si>
    <t>ROSE JOHN W</t>
  </si>
  <si>
    <t>MORGAN STEVEN</t>
  </si>
  <si>
    <t>SHANE GLYNN</t>
  </si>
  <si>
    <t xml:space="preserve">12541 W VIA DONA RD </t>
  </si>
  <si>
    <t>GLYNN SHANE M</t>
  </si>
  <si>
    <t>PATRICK &amp; MILA MOORE</t>
  </si>
  <si>
    <t xml:space="preserve">25938 W TONOPAH DR </t>
  </si>
  <si>
    <t>MOORE PATRICK &amp; MILA</t>
  </si>
  <si>
    <t>CHOS</t>
  </si>
  <si>
    <t>STEVEN &amp; TRACI CHOS</t>
  </si>
  <si>
    <t xml:space="preserve">3018 S PIEDRA </t>
  </si>
  <si>
    <t>CHOS STEVEN</t>
  </si>
  <si>
    <t>KARRICK</t>
  </si>
  <si>
    <t>REINHARDT</t>
  </si>
  <si>
    <t>KARRICK &amp; MARIA REINHARDT</t>
  </si>
  <si>
    <t xml:space="preserve">5921 W MICHELLE DR </t>
  </si>
  <si>
    <t>SADDLE HORN RANCH LOT 1-20</t>
  </si>
  <si>
    <t>REINHARDT KARRICK L &amp; MARIA C</t>
  </si>
  <si>
    <t>TIBBITTS</t>
  </si>
  <si>
    <t>ROSE &amp; THORNE TIBBITTS</t>
  </si>
  <si>
    <t xml:space="preserve">4879 E WINDSTONE TRL </t>
  </si>
  <si>
    <t>DESERT FAIRWAYS AT TATUM RANCH UNIT 3</t>
  </si>
  <si>
    <t>HAMILTON GREG</t>
  </si>
  <si>
    <t>TIBBITTS THORNE S &amp; ROSE M</t>
  </si>
  <si>
    <t>GRUETZMACHER</t>
  </si>
  <si>
    <t>PATRICK GRUETZMACHER</t>
  </si>
  <si>
    <t xml:space="preserve">9245 E CANYON VIEW RD </t>
  </si>
  <si>
    <t>DC RANCH PARCEL 1.17</t>
  </si>
  <si>
    <t>ASHTON WOODS</t>
  </si>
  <si>
    <t>ALTAIR GLOBAL SERICES LLC</t>
  </si>
  <si>
    <t>GRUETZMACHER PATRICK J</t>
  </si>
  <si>
    <t>STEFFEN</t>
  </si>
  <si>
    <t>CRAIG &amp; CHERYL STEFFEN</t>
  </si>
  <si>
    <t xml:space="preserve">15309 W BECKER LN </t>
  </si>
  <si>
    <t>SCHWOERER BILL</t>
  </si>
  <si>
    <t>STEFFEN CRAIG &amp; CHERYL</t>
  </si>
  <si>
    <t>SIEGEL</t>
  </si>
  <si>
    <t>HURIESS</t>
  </si>
  <si>
    <t>NORMAN SIEGEL &amp; DEBORAH HURIESS</t>
  </si>
  <si>
    <t xml:space="preserve">8778 E WHISPERING WIND DR </t>
  </si>
  <si>
    <t>TAMARRON   LOT 1-36 TR A-D</t>
  </si>
  <si>
    <t>TAMARRON</t>
  </si>
  <si>
    <t>MOIR JOHN R &amp; DANA</t>
  </si>
  <si>
    <t>AURORA CO 88014</t>
  </si>
  <si>
    <t>DEBORAH HURLESS</t>
  </si>
  <si>
    <t>NORMAN J SIEGEL</t>
  </si>
  <si>
    <t>SOPER</t>
  </si>
  <si>
    <t>ADAM &amp; MARIA SOPER</t>
  </si>
  <si>
    <t xml:space="preserve">3307 E FAIRBROOK ST </t>
  </si>
  <si>
    <t>GROVES UNIT 1</t>
  </si>
  <si>
    <t>SILIDES DAVID A &amp; VICKI S</t>
  </si>
  <si>
    <t>SOPER ADAM S</t>
  </si>
  <si>
    <t>JAMES ADDISON SMITH FAMILY TRUST</t>
  </si>
  <si>
    <t xml:space="preserve">30925 N 119TH LN </t>
  </si>
  <si>
    <t>BLACKSTONE AT VISTANCIA B10</t>
  </si>
  <si>
    <t>PHAM NICHOLAS M &amp; AMANDA</t>
  </si>
  <si>
    <t>SMITH JAMES A</t>
  </si>
  <si>
    <t>GARY NEWMAN</t>
  </si>
  <si>
    <t xml:space="preserve">29425 N 120TH LN </t>
  </si>
  <si>
    <t>TERITO KRISTER</t>
  </si>
  <si>
    <t>NEWMAN GARY J</t>
  </si>
  <si>
    <t>REBER FAMILY LIVING TRUST</t>
  </si>
  <si>
    <t>REBER</t>
  </si>
  <si>
    <t xml:space="preserve">19908 E CAMINA PLATA </t>
  </si>
  <si>
    <t>CIRCLE G AT QUEEN CREEK UNIT 3 LOTS 94-1</t>
  </si>
  <si>
    <t>CIRCLE G</t>
  </si>
  <si>
    <t>LARA RUDY C</t>
  </si>
  <si>
    <t>REBER KENNETH A</t>
  </si>
  <si>
    <t>CERECEDO SUSAN</t>
  </si>
  <si>
    <t>BIRCH FAMILY LIVING TRUST</t>
  </si>
  <si>
    <t>BIRCH</t>
  </si>
  <si>
    <t xml:space="preserve">9896 E CHUCKWAGON LN </t>
  </si>
  <si>
    <t>LEGEND TRAIL PARCEL E</t>
  </si>
  <si>
    <t>LEGEND VISTA ESTATES</t>
  </si>
  <si>
    <t>MCADAMS MICHAEL H &amp; JANICE K</t>
  </si>
  <si>
    <t>BIRCH LARRY D &amp; CAROL E</t>
  </si>
  <si>
    <t>SHANE &amp; SUZANNE OPENSHAW</t>
  </si>
  <si>
    <t xml:space="preserve">7654 E SUMMIT TRAIL ST </t>
  </si>
  <si>
    <t>HIDDEN CANYON AT LAS SENDAS</t>
  </si>
  <si>
    <t>BRADY DANIEL A</t>
  </si>
  <si>
    <t>OPENSHAW SHANE T</t>
  </si>
  <si>
    <t>HARVEY MEYERS</t>
  </si>
  <si>
    <t xml:space="preserve">13374 W LISBON LN </t>
  </si>
  <si>
    <t>ROSEVIEW UNIT 7</t>
  </si>
  <si>
    <t>DUNGAN TRUST</t>
  </si>
  <si>
    <t>MEYERS HARVEY W</t>
  </si>
  <si>
    <t>CHADD</t>
  </si>
  <si>
    <t>LEBLANC &amp; MARLENE CHADD</t>
  </si>
  <si>
    <t xml:space="preserve">307 E ANGELA DR </t>
  </si>
  <si>
    <t>DESERT BELL ESTATES 2 LOT 94-268</t>
  </si>
  <si>
    <t>DESERT BELL ESTATES</t>
  </si>
  <si>
    <t>FAIRFAX PROPERTIES LLC</t>
  </si>
  <si>
    <t>LE BLANC RICH J</t>
  </si>
  <si>
    <t>CARRASCO FAMILY LIVING TRUST</t>
  </si>
  <si>
    <t>CARRASCO</t>
  </si>
  <si>
    <t xml:space="preserve">5411 W TONTO RD </t>
  </si>
  <si>
    <t>CRAFT STEVE R &amp; MICHELE</t>
  </si>
  <si>
    <t>CARRASCO EDUARDO R &amp; MARY E J</t>
  </si>
  <si>
    <t>VERTHEIN</t>
  </si>
  <si>
    <t>MATTHEW VERTHEIN</t>
  </si>
  <si>
    <t xml:space="preserve">1702 S ROME ST </t>
  </si>
  <si>
    <t>FINCHER FARMS</t>
  </si>
  <si>
    <t>RAJ INVESTMENT &amp; MGMT LLC</t>
  </si>
  <si>
    <t>VERTHEIN MATTHEW A</t>
  </si>
  <si>
    <t>DANIEL &amp; ANGELA JAMES</t>
  </si>
  <si>
    <t xml:space="preserve">1177 E REDFIELD RD </t>
  </si>
  <si>
    <t>ADAMS HEATHER</t>
  </si>
  <si>
    <t>JAMES DANIEL R</t>
  </si>
  <si>
    <t>GUYN</t>
  </si>
  <si>
    <t>LEWIS &amp; BEVERLY GUYN</t>
  </si>
  <si>
    <t xml:space="preserve">15885 N 182ND LN </t>
  </si>
  <si>
    <t>GUYN LEWIS J &amp; BEVERLY A</t>
  </si>
  <si>
    <t>MAURICE WARREN</t>
  </si>
  <si>
    <t xml:space="preserve">12421 W SOLANO DR </t>
  </si>
  <si>
    <t>TURNBOUGH RACHELE M</t>
  </si>
  <si>
    <t>WARREN MAURICE</t>
  </si>
  <si>
    <t>JOSEPH PERRY</t>
  </si>
  <si>
    <t xml:space="preserve">2320 W WHITTON AVE </t>
  </si>
  <si>
    <t>SIESTA TERRACE 1</t>
  </si>
  <si>
    <t>SIESTA TERRACE</t>
  </si>
  <si>
    <t>MEIDINGER DAWN G</t>
  </si>
  <si>
    <t>PERRY JOSEPH I</t>
  </si>
  <si>
    <t>VARLAND</t>
  </si>
  <si>
    <t>THOMAS &amp; LINDSEY VARLAND</t>
  </si>
  <si>
    <t xml:space="preserve">1333 W KINGBIRD DR </t>
  </si>
  <si>
    <t>CLEMENTE RANCH PARCEL 17</t>
  </si>
  <si>
    <t>1333KINGBIRD LLC</t>
  </si>
  <si>
    <t>VARLAND THOMAS J &amp; LINDSEY E</t>
  </si>
  <si>
    <t>LATIN</t>
  </si>
  <si>
    <t>HOOVER &amp; ROBYN LATIN</t>
  </si>
  <si>
    <t xml:space="preserve">2322 E REMINGTON PL </t>
  </si>
  <si>
    <t>PECOS ALDEA UNIT 9</t>
  </si>
  <si>
    <t>LEROUE JUSTIN M</t>
  </si>
  <si>
    <t>CORNERSTONE HOME LENDING INC</t>
  </si>
  <si>
    <t>HOOVER PATRICK &amp; ROBYN LATIN</t>
  </si>
  <si>
    <t>SCHRECKER</t>
  </si>
  <si>
    <t>MARK &amp; MICHELLE SCHRECKER</t>
  </si>
  <si>
    <t xml:space="preserve">3833 W DESERT CREEK LN </t>
  </si>
  <si>
    <t>FRIESEN CORNEILIUS R &amp; WENDY</t>
  </si>
  <si>
    <t>SCHRECKER MARK G &amp; MICHELLE P</t>
  </si>
  <si>
    <t>JAMES &amp; KELLY ABRAHAM</t>
  </si>
  <si>
    <t xml:space="preserve">16999 W MAGNOLIA ST </t>
  </si>
  <si>
    <t>VELUZ LISA H &amp; ALFREDO V</t>
  </si>
  <si>
    <t>JAMES E ABRAHAM</t>
  </si>
  <si>
    <t>KELLY S ABRAHAM</t>
  </si>
  <si>
    <t>ROBINSON &amp; BARBARA LOUISE</t>
  </si>
  <si>
    <t xml:space="preserve">5421 E CALLE DE BACA </t>
  </si>
  <si>
    <t>CHAPARRAL AT LONE MOUNTAIN</t>
  </si>
  <si>
    <t>MIRABILE GREG &amp; KATHLEEN</t>
  </si>
  <si>
    <t>ROBINSON DALE E &amp; BARBARA L</t>
  </si>
  <si>
    <t>SU REVOCABLE TRUST</t>
  </si>
  <si>
    <t>SU</t>
  </si>
  <si>
    <t xml:space="preserve">3948 E WOOD DR </t>
  </si>
  <si>
    <t>SABA DAVID</t>
  </si>
  <si>
    <t>SU ANTONIUS</t>
  </si>
  <si>
    <t>SABA-SU JENNIFER J</t>
  </si>
  <si>
    <t>GRIFFITH</t>
  </si>
  <si>
    <t>MARTA</t>
  </si>
  <si>
    <t>THOMAS &amp; MARTA GRIFFITH</t>
  </si>
  <si>
    <t xml:space="preserve">7238 E NATHAN ST </t>
  </si>
  <si>
    <t>JUTOVSKY LARRY</t>
  </si>
  <si>
    <t>GRIFFITH THOMAS E</t>
  </si>
  <si>
    <t>MOLLER FAMILY TRUST</t>
  </si>
  <si>
    <t>MOLLER</t>
  </si>
  <si>
    <t xml:space="preserve">1309 E SEA GULL DR </t>
  </si>
  <si>
    <t>PALISADES AT VAL VISTA LAKES PHASE 1 AMD</t>
  </si>
  <si>
    <t>HASTEY MICHAEL R</t>
  </si>
  <si>
    <t>MOLLER RONALD R</t>
  </si>
  <si>
    <t>LUCAS APRIL M</t>
  </si>
  <si>
    <t>NYARKO</t>
  </si>
  <si>
    <t>ERNEST NYARKO</t>
  </si>
  <si>
    <t xml:space="preserve">4308 W OLNEY AVE </t>
  </si>
  <si>
    <t>PANNA MARK</t>
  </si>
  <si>
    <t>NYARKO ERNEST</t>
  </si>
  <si>
    <t>HAIGHT</t>
  </si>
  <si>
    <t>WILLIAM &amp; PATRICIA HAIGHT</t>
  </si>
  <si>
    <t xml:space="preserve">13639 W VERMONT ST </t>
  </si>
  <si>
    <t>DREAMING SUMMIT III</t>
  </si>
  <si>
    <t>SNELL ERIC C</t>
  </si>
  <si>
    <t>HAIGHT WILLIAM H &amp; PATRICIA A</t>
  </si>
  <si>
    <t>FORAN</t>
  </si>
  <si>
    <t>CHARLES FORAN</t>
  </si>
  <si>
    <t xml:space="preserve">1223 W DEVONSHIRE ST </t>
  </si>
  <si>
    <t>DEVONSHIRE ESTATES</t>
  </si>
  <si>
    <t>WHITTIER ELEMENTARY SCHOOL</t>
  </si>
  <si>
    <t>QUADRA INVESTMENTS LLC</t>
  </si>
  <si>
    <t>FORAN CHARLES F</t>
  </si>
  <si>
    <t>RICKER</t>
  </si>
  <si>
    <t>JOSHUA &amp; KRISTIN RICKER</t>
  </si>
  <si>
    <t xml:space="preserve">22230 E CREEKSIDE DR </t>
  </si>
  <si>
    <t>RICKER JOSHUA &amp; KRISTIN</t>
  </si>
  <si>
    <t>KINKADE</t>
  </si>
  <si>
    <t>JEFFREY KINKADE</t>
  </si>
  <si>
    <t xml:space="preserve">18343 W TURQUOISE AVE </t>
  </si>
  <si>
    <t>KINKADE JEFFREY</t>
  </si>
  <si>
    <t>EVENSON</t>
  </si>
  <si>
    <t>JERRY EVENSON</t>
  </si>
  <si>
    <t xml:space="preserve">2450 S DRAGOON DR </t>
  </si>
  <si>
    <t>SETIAWATI SALLY</t>
  </si>
  <si>
    <t>EVENSON JERRY K</t>
  </si>
  <si>
    <t>KLEINSCHMIDT</t>
  </si>
  <si>
    <t>MICHAEL KLEINSCHMIDT</t>
  </si>
  <si>
    <t xml:space="preserve">1026 E CONSTITUTION DR </t>
  </si>
  <si>
    <t>RORAFF FAMILY TRUST</t>
  </si>
  <si>
    <t>KLEINSCHMIDT MICHAEL P</t>
  </si>
  <si>
    <t>SUEDEL FAMILY TRUST</t>
  </si>
  <si>
    <t>SUEDEL</t>
  </si>
  <si>
    <t xml:space="preserve">6620 W DESERT VISTA TRL </t>
  </si>
  <si>
    <t>LAWHORN DENNIS A</t>
  </si>
  <si>
    <t>AMERIPRO HOME LOANS</t>
  </si>
  <si>
    <t>SUEDEL LOREN R &amp; KATHLEEN</t>
  </si>
  <si>
    <t>MCAULEY</t>
  </si>
  <si>
    <t>ROSANNE</t>
  </si>
  <si>
    <t>ROBERT &amp; ROSANNE MCAULEY</t>
  </si>
  <si>
    <t xml:space="preserve">19629 W GRANT ST </t>
  </si>
  <si>
    <t>MCAULEY ROBERT SR &amp; ROSANNE</t>
  </si>
  <si>
    <t>MICHAEL &amp; JUANA CASTRO</t>
  </si>
  <si>
    <t xml:space="preserve">16230 S 40TH PL </t>
  </si>
  <si>
    <t>VISTA NORTE 2 LOT 1-69 TR A-G</t>
  </si>
  <si>
    <t>VISTA NORTE</t>
  </si>
  <si>
    <t>MORRIS CHARLES W</t>
  </si>
  <si>
    <t>MICHAEL JR CASTRO</t>
  </si>
  <si>
    <t>JUANA O CASTRO</t>
  </si>
  <si>
    <t>HOBSON CALHOUN FAMILY TRUST</t>
  </si>
  <si>
    <t>HOBSON CALHOUN FAMILY</t>
  </si>
  <si>
    <t xml:space="preserve">3841 S NEBRASKA ST </t>
  </si>
  <si>
    <t>MSW PROPERTIES LLC</t>
  </si>
  <si>
    <t>CALHOUN ELDREDGE R</t>
  </si>
  <si>
    <t>HOBSON NANCY L</t>
  </si>
  <si>
    <t>WINN</t>
  </si>
  <si>
    <t>JOHN WINN</t>
  </si>
  <si>
    <t xml:space="preserve">884 W PALO BREA DR #169 </t>
  </si>
  <si>
    <t xml:space="preserve">884 W PALO BREA DR </t>
  </si>
  <si>
    <t>BLAKE STEVEN</t>
  </si>
  <si>
    <t>WINN JOHN C</t>
  </si>
  <si>
    <t>CHARLES F ZURBRIGGEN AND KEREN LEE ZURBR</t>
  </si>
  <si>
    <t xml:space="preserve">15234 W COLT LN </t>
  </si>
  <si>
    <t>SUN CITY WEST UNIT 57</t>
  </si>
  <si>
    <t>KUNTZELMAN FAMILY TRUST</t>
  </si>
  <si>
    <t>ZURBRIGGEN CHARLES F &amp; KEREN</t>
  </si>
  <si>
    <t>MIKAEL</t>
  </si>
  <si>
    <t>ADAM &amp; MIKAEL REYNOLDS</t>
  </si>
  <si>
    <t xml:space="preserve">16111 W COTTONWOOD ST </t>
  </si>
  <si>
    <t>MOUNTAIN VISTA RANCH PARCEL 14</t>
  </si>
  <si>
    <t>BANDELOW GENE C</t>
  </si>
  <si>
    <t>ADAM R REYNOLDS</t>
  </si>
  <si>
    <t>MIKAEL REYNOLDS</t>
  </si>
  <si>
    <t>GUYER</t>
  </si>
  <si>
    <t>MICHAEL &amp; JOANN GUYER</t>
  </si>
  <si>
    <t xml:space="preserve">2050 E AUGUSTA AVE </t>
  </si>
  <si>
    <t>WILEY WILLIAM S &amp; DUANE</t>
  </si>
  <si>
    <t>GUYER MICHAEL &amp; JOANN</t>
  </si>
  <si>
    <t>IVORY</t>
  </si>
  <si>
    <t>IVORY JONES</t>
  </si>
  <si>
    <t xml:space="preserve">13112 W MARLETTE AVE </t>
  </si>
  <si>
    <t xml:space="preserve">13112 W MSTLRTTR AVE </t>
  </si>
  <si>
    <t>JONES IVORY JR</t>
  </si>
  <si>
    <t>HEISHMAN</t>
  </si>
  <si>
    <t>MATTHEW HEISHMAN</t>
  </si>
  <si>
    <t xml:space="preserve">3466 S WREN DR </t>
  </si>
  <si>
    <t>CARROLL JEFFREY &amp; MANDI L</t>
  </si>
  <si>
    <t>HEISHMAN MATTHEW S</t>
  </si>
  <si>
    <t>DERIS</t>
  </si>
  <si>
    <t>DERIS &amp; KRISTIN RICE</t>
  </si>
  <si>
    <t xml:space="preserve">21224 N 31ST DR </t>
  </si>
  <si>
    <t>LUDTKE MICHAEL M &amp; JENNIFER</t>
  </si>
  <si>
    <t>RICE DERIS L &amp; KRISTIN A</t>
  </si>
  <si>
    <t>ASHLEY &amp; STEVEN GORMAN</t>
  </si>
  <si>
    <t xml:space="preserve">22605 S 208TH ST </t>
  </si>
  <si>
    <t>VILLAGES AT QUEEN CREEK PARCEL 4A</t>
  </si>
  <si>
    <t>DEATON CHRIS</t>
  </si>
  <si>
    <t>GORMAN ASHLEY &amp; STEVEN</t>
  </si>
  <si>
    <t>RYNE</t>
  </si>
  <si>
    <t>ZELLER</t>
  </si>
  <si>
    <t>RYNE ZELLER</t>
  </si>
  <si>
    <t xml:space="preserve">1425 E MINERAL RD </t>
  </si>
  <si>
    <t>STONECREEK LOT 1-231 TR A-S</t>
  </si>
  <si>
    <t>REED RANDALL S &amp; KELLI A</t>
  </si>
  <si>
    <t>ZELLER RYNE T</t>
  </si>
  <si>
    <t>ELIZABETH &amp; GARY BARNES</t>
  </si>
  <si>
    <t xml:space="preserve">7357 W VIA DEL SOL DR </t>
  </si>
  <si>
    <t>HILLCREST RANCH PARCEL C LOT 1-168 TR A-</t>
  </si>
  <si>
    <t>SEASONS</t>
  </si>
  <si>
    <t>MESSER THOMAS B</t>
  </si>
  <si>
    <t>CITIZENS HM LNS/AMERICA INC</t>
  </si>
  <si>
    <t>BARNES ELIZABETH L &amp; GARY L</t>
  </si>
  <si>
    <t>STEPHEN PORTER</t>
  </si>
  <si>
    <t xml:space="preserve">5959 W DEL RIO ST </t>
  </si>
  <si>
    <t>LAKESIDE SHORES 2 LOT 1-52 TR A-H PUT ST</t>
  </si>
  <si>
    <t>LAKESIDE SHORES</t>
  </si>
  <si>
    <t>WAXBERG DORIS</t>
  </si>
  <si>
    <t>PORTER STEPHEN C</t>
  </si>
  <si>
    <t>HENZE</t>
  </si>
  <si>
    <t>JAY &amp; CRYSTAL HENZE</t>
  </si>
  <si>
    <t xml:space="preserve">9137 W MARY ANN DR </t>
  </si>
  <si>
    <t>MACOVEI TRUST</t>
  </si>
  <si>
    <t>HENZE JAY M &amp; CRYSTAL E</t>
  </si>
  <si>
    <t>LOUISE &amp; LOUISE CARROLL</t>
  </si>
  <si>
    <t xml:space="preserve">23316 S 219TH ST </t>
  </si>
  <si>
    <t>J &amp; L REAL EST LLC</t>
  </si>
  <si>
    <t>UNION HM MTG CORP</t>
  </si>
  <si>
    <t>STRONGSVILLE OH 44136</t>
  </si>
  <si>
    <t>JOHN C LEE</t>
  </si>
  <si>
    <t>MARY L LEE</t>
  </si>
  <si>
    <t>GOVEO</t>
  </si>
  <si>
    <t>CARLOS GOVEO</t>
  </si>
  <si>
    <t xml:space="preserve">8319 E BONNIE ROSE AVE </t>
  </si>
  <si>
    <t>FROILAND TAYLOR</t>
  </si>
  <si>
    <t>GOVEO CARLOS</t>
  </si>
  <si>
    <t>KLAUSER</t>
  </si>
  <si>
    <t>BARBARA KLAUSER</t>
  </si>
  <si>
    <t xml:space="preserve">20403 N 29TH WAY </t>
  </si>
  <si>
    <t>AUTUMN HILLS  LOT 1-98  TR A-E</t>
  </si>
  <si>
    <t>DENNIS PATRICK T</t>
  </si>
  <si>
    <t>KLAUSER BARBARA A</t>
  </si>
  <si>
    <t>MATTHEW WALKER</t>
  </si>
  <si>
    <t xml:space="preserve">6843 N 14TH DR </t>
  </si>
  <si>
    <t>DANILOS INVESTMENTS LLC</t>
  </si>
  <si>
    <t>WALKER MATTHEW C</t>
  </si>
  <si>
    <t>PREECE</t>
  </si>
  <si>
    <t>DANIEL &amp; JOAN PREECE</t>
  </si>
  <si>
    <t xml:space="preserve">17015 E ALOE DR </t>
  </si>
  <si>
    <t>COTTONWOODS AT F H FH AZ FINAL PLAT NO 1</t>
  </si>
  <si>
    <t>COTTONWOODS</t>
  </si>
  <si>
    <t>SMEE ROBERT A &amp; PATRICIA A</t>
  </si>
  <si>
    <t>PREECE DANIEL C &amp; JOAN A</t>
  </si>
  <si>
    <t>WEEKS</t>
  </si>
  <si>
    <t>JOSHUA &amp; CHELSEA WEEKS</t>
  </si>
  <si>
    <t xml:space="preserve">6353 W WAHALLA LN </t>
  </si>
  <si>
    <t>HIGHLANDS AT ARROWHEAD RANCH 2</t>
  </si>
  <si>
    <t>JOSHUA J WEEKS</t>
  </si>
  <si>
    <t>CHELSEA N WEEKS</t>
  </si>
  <si>
    <t>FREELAND</t>
  </si>
  <si>
    <t>LARRY &amp; CASEY FREELAND</t>
  </si>
  <si>
    <t xml:space="preserve">5403 E FARMDALE AVE </t>
  </si>
  <si>
    <t xml:space="preserve">1 CORPORATE DR #360 </t>
  </si>
  <si>
    <t>LAKE ZURICH</t>
  </si>
  <si>
    <t>IL</t>
  </si>
  <si>
    <t>EASTVIEW UNIT B LT 151-228 232-246 306-3</t>
  </si>
  <si>
    <t>RITTER WADE</t>
  </si>
  <si>
    <t>FREELAND LARRY &amp; CASEY</t>
  </si>
  <si>
    <t>DANA &amp; CHRISTINA HAWKINS</t>
  </si>
  <si>
    <t xml:space="preserve">3165 E DESERT LN </t>
  </si>
  <si>
    <t>HAWKINS DANA D &amp; CHRISTINA L</t>
  </si>
  <si>
    <t>SHAWNDALE</t>
  </si>
  <si>
    <t>SHAWNDALE WALLS</t>
  </si>
  <si>
    <t xml:space="preserve">10264 E CARMEL AVE </t>
  </si>
  <si>
    <t>LUNSFORD STEPHANIE</t>
  </si>
  <si>
    <t>LAMKIN FAMILY LIVING TRUST</t>
  </si>
  <si>
    <t>ZELLA</t>
  </si>
  <si>
    <t>LAMKIN</t>
  </si>
  <si>
    <t xml:space="preserve">3446 W PATRICK LN </t>
  </si>
  <si>
    <t>BILLICK FAMILY TRUST</t>
  </si>
  <si>
    <t>LAMKIN ROBERT &amp; ZELLA</t>
  </si>
  <si>
    <t>SILVESTRE</t>
  </si>
  <si>
    <t>SILVESTRE MARTINEZ</t>
  </si>
  <si>
    <t xml:space="preserve">833 W SUN COAST DR </t>
  </si>
  <si>
    <t>CHARTER POINT AT THE ISLANDS LOT 1-54 TR</t>
  </si>
  <si>
    <t>CHARTER POINT AT THE ISLANDS</t>
  </si>
  <si>
    <t>KIENAST MICHAEL R &amp; JAMIE S</t>
  </si>
  <si>
    <t>MARTINEZ SILVESTRE</t>
  </si>
  <si>
    <t>NEAL &amp; NEAL LINDSEY</t>
  </si>
  <si>
    <t xml:space="preserve">4265 E CLOUDBURST CT </t>
  </si>
  <si>
    <t>MAURER JACLYN</t>
  </si>
  <si>
    <t>JAMES K NEAL</t>
  </si>
  <si>
    <t>LINDSEY NEAL</t>
  </si>
  <si>
    <t>LUND</t>
  </si>
  <si>
    <t>LUND &amp; DEBRA WARD</t>
  </si>
  <si>
    <t xml:space="preserve">1603 E GAYLON DR </t>
  </si>
  <si>
    <t>HUGHES ACRES  5</t>
  </si>
  <si>
    <t>HIZME ADAM S</t>
  </si>
  <si>
    <t>LUND EMERSON S &amp; DEBRA L WARD</t>
  </si>
  <si>
    <t>MANESS</t>
  </si>
  <si>
    <t>SCAIFE</t>
  </si>
  <si>
    <t>MICHAEL MANESS &amp; STACEY SCAIFE</t>
  </si>
  <si>
    <t xml:space="preserve">5709 W BUFFALO PL </t>
  </si>
  <si>
    <t>CRESTVIEW COURT LOT 1-176 TR A-C</t>
  </si>
  <si>
    <t>CRESTVIEW COURT</t>
  </si>
  <si>
    <t>METZGER KURT</t>
  </si>
  <si>
    <t>MANESS MICHAEL</t>
  </si>
  <si>
    <t>SCAIFE STACEY</t>
  </si>
  <si>
    <t>NATE</t>
  </si>
  <si>
    <t>WENNEKER</t>
  </si>
  <si>
    <t>TESS</t>
  </si>
  <si>
    <t>OLSON-WENNEKER</t>
  </si>
  <si>
    <t>NATE WENNEKER &amp; TESS OLSON-WENNEKER</t>
  </si>
  <si>
    <t xml:space="preserve">2438 S CHESTNUT PL </t>
  </si>
  <si>
    <t>BERMAN BRETT D</t>
  </si>
  <si>
    <t>WENNEKER NATE</t>
  </si>
  <si>
    <t>OLSON-WENNEKER TESS</t>
  </si>
  <si>
    <t>GUZAK</t>
  </si>
  <si>
    <t>MARK GUZAK</t>
  </si>
  <si>
    <t xml:space="preserve">810 W JEROME CIR </t>
  </si>
  <si>
    <t>GUZAK MARK</t>
  </si>
  <si>
    <t>JOHN STOREY</t>
  </si>
  <si>
    <t xml:space="preserve">933 E MADELINE DR </t>
  </si>
  <si>
    <t>MADELINE COURT</t>
  </si>
  <si>
    <t>HALPER LAURA</t>
  </si>
  <si>
    <t>STOREY JOHN</t>
  </si>
  <si>
    <t>GREGORY &amp; ELAINE BUTLER</t>
  </si>
  <si>
    <t xml:space="preserve">11044 N 109TH AVE </t>
  </si>
  <si>
    <t xml:space="preserve">PO BOX 550895 </t>
  </si>
  <si>
    <t>SOUTH LAKE TAHOE</t>
  </si>
  <si>
    <t>SUN CITY  3  LOT 1331-1599 &amp; TRACTS 7 9</t>
  </si>
  <si>
    <t>SMITH JOHN F &amp; SHIRLEY A</t>
  </si>
  <si>
    <t>BUTLER GREGORY F &amp; ELAINE C</t>
  </si>
  <si>
    <t>DAVID &amp; JANICE CARPENTER</t>
  </si>
  <si>
    <t xml:space="preserve">20633 N 266TH AVE </t>
  </si>
  <si>
    <t>SUN CITY FESTIVAL PARCEL C1</t>
  </si>
  <si>
    <t>KRUEGER KEITH A</t>
  </si>
  <si>
    <t>CARPENTER DAVID L &amp; JANICE L</t>
  </si>
  <si>
    <t>SCHUR</t>
  </si>
  <si>
    <t>DOMINIC SCHUR</t>
  </si>
  <si>
    <t xml:space="preserve">3971 E HEATHER CT </t>
  </si>
  <si>
    <t xml:space="preserve">3791 E HEATHER CT </t>
  </si>
  <si>
    <t>EFFIO LUIS A</t>
  </si>
  <si>
    <t>SCHUR DOMINIC J</t>
  </si>
  <si>
    <t>ROBERT &amp; JOANNE PADILLA</t>
  </si>
  <si>
    <t xml:space="preserve">1806 W MILAGRO AVE </t>
  </si>
  <si>
    <t>DOBSON RANCH UNIT  1</t>
  </si>
  <si>
    <t>OLTMANN DONNA</t>
  </si>
  <si>
    <t>PADILLA ROBERT JESS &amp; JOANNE R</t>
  </si>
  <si>
    <t>BRIAN &amp; KAREN ELDREDGE</t>
  </si>
  <si>
    <t xml:space="preserve">567 W KENT DR </t>
  </si>
  <si>
    <t>THUNDERBIRD ESTATES 7 LOT 27-74</t>
  </si>
  <si>
    <t>THUNDERBIRD ESTATES</t>
  </si>
  <si>
    <t>FIT RENOVATIONS LLC</t>
  </si>
  <si>
    <t>ELDREDGE BRIAN &amp; KAREN</t>
  </si>
  <si>
    <t>ELDREDGE BRIAN R &amp; KAREN E</t>
  </si>
  <si>
    <t>MARK &amp; CHRISTINE MAHONEY</t>
  </si>
  <si>
    <t xml:space="preserve">16203 E GLENDORA DR </t>
  </si>
  <si>
    <t>GLENDORA PROPERTIES LLC</t>
  </si>
  <si>
    <t>MAHONEY MARK &amp; CHRISTINE</t>
  </si>
  <si>
    <t>GILBERT &amp; ROSIE FLORES</t>
  </si>
  <si>
    <t xml:space="preserve">617 S 120TH AVE </t>
  </si>
  <si>
    <t>COLDWATER SPRINGS PARCEL 21</t>
  </si>
  <si>
    <t>R &amp; M MATNEY PROPS LLC</t>
  </si>
  <si>
    <t>FLORES GILBERT Z &amp; ROSIE S</t>
  </si>
  <si>
    <t>NEWHOUSE</t>
  </si>
  <si>
    <t>NICHOLAS NEWHOUSE</t>
  </si>
  <si>
    <t xml:space="preserve">1246 N 24TH ST </t>
  </si>
  <si>
    <t>KING STEVE</t>
  </si>
  <si>
    <t>AMERICAN BK</t>
  </si>
  <si>
    <t>NEWHOUSE NICHOLAS RYAN</t>
  </si>
  <si>
    <t>NEWHOUSE NICHOLAS R</t>
  </si>
  <si>
    <t>DAYLE</t>
  </si>
  <si>
    <t>MICHAEL &amp; DAYLE JOHNSON</t>
  </si>
  <si>
    <t xml:space="preserve">802 E RIVIERA DR </t>
  </si>
  <si>
    <t>GOY ALBERTA S</t>
  </si>
  <si>
    <t>JOHNSON MICHAEL C &amp; DAYLE A</t>
  </si>
  <si>
    <t>CLEMENS</t>
  </si>
  <si>
    <t>TERRI &amp; ROGER CLEMENS</t>
  </si>
  <si>
    <t xml:space="preserve">2043 S ALICIA </t>
  </si>
  <si>
    <t>AUGUSTA RANCH PARCEL 10</t>
  </si>
  <si>
    <t>MAGDAMO EDDIE P</t>
  </si>
  <si>
    <t>CLEMENS TERRI &amp; ROGER</t>
  </si>
  <si>
    <t>KATELYN</t>
  </si>
  <si>
    <t>JOSHUA &amp; KATELYN BEACH</t>
  </si>
  <si>
    <t xml:space="preserve">22313 N 76TH DR </t>
  </si>
  <si>
    <t>FLETCHER HEIGHTS PHASE 2B-3</t>
  </si>
  <si>
    <t>LEYVA MOLLY E LIVING TRUST</t>
  </si>
  <si>
    <t>BEACH JOSHUA &amp; KATELYN</t>
  </si>
  <si>
    <t>LIVING TRUST OF KEVIN G REECE &amp; PAULA A REECE</t>
  </si>
  <si>
    <t>LIVING</t>
  </si>
  <si>
    <t xml:space="preserve">2268 N VALLEY VIEW DR </t>
  </si>
  <si>
    <t>VERRADO PARCEL 3.405</t>
  </si>
  <si>
    <t>REECE KEVIN GEORGE &amp; PAULA A</t>
  </si>
  <si>
    <t>ENEIDA</t>
  </si>
  <si>
    <t>DALE &amp; ENEIDA SCOTT</t>
  </si>
  <si>
    <t xml:space="preserve">4818 W VALENCIA DR </t>
  </si>
  <si>
    <t>SWEARINGEN JOSEPH E &amp; CHRIST</t>
  </si>
  <si>
    <t>DALE SCOTT</t>
  </si>
  <si>
    <t>ENEIDA SCOTT</t>
  </si>
  <si>
    <t>DOUGLAS DAVIS JR FAMILY LIVING TRUST</t>
  </si>
  <si>
    <t>DOUGLAS DAVIS</t>
  </si>
  <si>
    <t xml:space="preserve">7131 W JONES AVE </t>
  </si>
  <si>
    <t>DAVIS DOUGLAS</t>
  </si>
  <si>
    <t>FINCHER</t>
  </si>
  <si>
    <t>ROBERT FINCHER</t>
  </si>
  <si>
    <t xml:space="preserve">3125 W MATTHEW DR </t>
  </si>
  <si>
    <t>WOODWARD CINDY A</t>
  </si>
  <si>
    <t>FINCHER ROBERT S</t>
  </si>
  <si>
    <t>JAMES HILLMAN</t>
  </si>
  <si>
    <t xml:space="preserve">4416 W POINSETTIA DR </t>
  </si>
  <si>
    <t>HORIZONS WEST LOT 1-100</t>
  </si>
  <si>
    <t>HOGSTROM FAMILY TRUST</t>
  </si>
  <si>
    <t>HILLMAN JAMES B</t>
  </si>
  <si>
    <t>HARMON</t>
  </si>
  <si>
    <t>BONNER &amp; THOMAS HARMON</t>
  </si>
  <si>
    <t xml:space="preserve">15930 W CORTEZ ST </t>
  </si>
  <si>
    <t>ATHENA M BONNER</t>
  </si>
  <si>
    <t>THOMAS H BONNER JR</t>
  </si>
  <si>
    <t>IRDEE</t>
  </si>
  <si>
    <t>IRDEE WILSON</t>
  </si>
  <si>
    <t xml:space="preserve">13726 W MARISSA DR </t>
  </si>
  <si>
    <t>BAYLON PITMAR K</t>
  </si>
  <si>
    <t>IRDEE W WILSON</t>
  </si>
  <si>
    <t>TAKACS</t>
  </si>
  <si>
    <t>HOLLIE</t>
  </si>
  <si>
    <t>SEAN &amp; HOLLIE TAKACS</t>
  </si>
  <si>
    <t xml:space="preserve">14629 N 24TH PL </t>
  </si>
  <si>
    <t>PARADISE VISTA</t>
  </si>
  <si>
    <t>GNAT INVESTMENT PROPS LLC</t>
  </si>
  <si>
    <t>TAKACS SEAN M &amp; HOLLIE</t>
  </si>
  <si>
    <t>MARZANO</t>
  </si>
  <si>
    <t>MICHAEL &amp; LYNNETTE MARZANO</t>
  </si>
  <si>
    <t xml:space="preserve">9305 E DIAMOND DR </t>
  </si>
  <si>
    <t>HESS HOLLAND LLC</t>
  </si>
  <si>
    <t>MARZANO MICHAEL K &amp; LYNNETTE</t>
  </si>
  <si>
    <t>LEWIN</t>
  </si>
  <si>
    <t>KEVIN LEWIN</t>
  </si>
  <si>
    <t xml:space="preserve">10302 E OSAGE AVE </t>
  </si>
  <si>
    <t>GRUBB WILLIAM J</t>
  </si>
  <si>
    <t>NORTHPOINTE BK</t>
  </si>
  <si>
    <t>GRAND RAPIDS MI 49546</t>
  </si>
  <si>
    <t>KEVIN J LEWIN</t>
  </si>
  <si>
    <t>ROBERT PAUL</t>
  </si>
  <si>
    <t xml:space="preserve">3443 W DARIEN WAY </t>
  </si>
  <si>
    <t>REINER LOUIS M &amp; BARBARA J</t>
  </si>
  <si>
    <t>PAUL ROBERT</t>
  </si>
  <si>
    <t>CABRERA</t>
  </si>
  <si>
    <t>KIRK ODELL &amp; HENRY CABRERA</t>
  </si>
  <si>
    <t xml:space="preserve">13096 N 91ST LN </t>
  </si>
  <si>
    <t>3940 N RAVENSWOOD AVE CHICAGO IL 60613-2420</t>
  </si>
  <si>
    <t>KIRK L ODELL</t>
  </si>
  <si>
    <t>HENRY W CABRERA</t>
  </si>
  <si>
    <t>MARIO &amp; PAMELA ROMAN</t>
  </si>
  <si>
    <t xml:space="preserve">15263 W WINDROSE DR </t>
  </si>
  <si>
    <t>ROBSON RYAN</t>
  </si>
  <si>
    <t>ROMAN MARIO O &amp; PAMELA F</t>
  </si>
  <si>
    <t>INCE</t>
  </si>
  <si>
    <t>TRAVIS &amp; LISA INCE</t>
  </si>
  <si>
    <t xml:space="preserve">5640 N 137TH AVE </t>
  </si>
  <si>
    <t>GORJANAC CHRISTIAN</t>
  </si>
  <si>
    <t>INCE TRAVIS J &amp; LISA M</t>
  </si>
  <si>
    <t>AMADOR</t>
  </si>
  <si>
    <t>MIGUEL &amp; DOLORES AMADOR</t>
  </si>
  <si>
    <t xml:space="preserve">13246 W JACOBSON DR </t>
  </si>
  <si>
    <t>ARID LLC</t>
  </si>
  <si>
    <t>MIGUEL AMADOR</t>
  </si>
  <si>
    <t>DOLORES M AMADOR</t>
  </si>
  <si>
    <t>KEITH &amp; LAURA BROWN</t>
  </si>
  <si>
    <t xml:space="preserve">15425 W MACKENZIE DR </t>
  </si>
  <si>
    <t>SIMS ACQUISITION CO LLC</t>
  </si>
  <si>
    <t>KEITH R BROWN</t>
  </si>
  <si>
    <t>LAURA A BROWN</t>
  </si>
  <si>
    <t>KENNEDY RICE &amp; SARA ARNOLD</t>
  </si>
  <si>
    <t xml:space="preserve">11976 W MOUNTAIN VIEW DR </t>
  </si>
  <si>
    <t>RICE KENNEDY F</t>
  </si>
  <si>
    <t>ROTHERT</t>
  </si>
  <si>
    <t>FREDERICK &amp; BONNIE ROTHERT</t>
  </si>
  <si>
    <t xml:space="preserve">15607 N CEDARHURST CT </t>
  </si>
  <si>
    <t>WAGNER FAMILY TRUST</t>
  </si>
  <si>
    <t>FREDERICK W ROTHERT</t>
  </si>
  <si>
    <t>BONNIE S ROTHERT</t>
  </si>
  <si>
    <t>BURGESS</t>
  </si>
  <si>
    <t>NICHOLAS BURGESS</t>
  </si>
  <si>
    <t xml:space="preserve">9807 N 180TH AVE </t>
  </si>
  <si>
    <t>BLOOM BRIAN &amp; ANGELA</t>
  </si>
  <si>
    <t>BURGESS NICHOLAS T</t>
  </si>
  <si>
    <t>STEPHEN GRIMM</t>
  </si>
  <si>
    <t xml:space="preserve">12802 N 27TH ST </t>
  </si>
  <si>
    <t>CLEARVIEW 6</t>
  </si>
  <si>
    <t>CLEARVIEW</t>
  </si>
  <si>
    <t>HRISTOV ANTON</t>
  </si>
  <si>
    <t>GRIMM STEPHEN M</t>
  </si>
  <si>
    <t>RODRIGUEZ &amp; LAURA CATHERINE</t>
  </si>
  <si>
    <t xml:space="preserve">13007 N 28TH ST </t>
  </si>
  <si>
    <t>ZARLEY MICHAEL K</t>
  </si>
  <si>
    <t>RODRIGUEZ ANGEL R &amp; LAURA C</t>
  </si>
  <si>
    <t>HURLBUT</t>
  </si>
  <si>
    <t>SHERLYN</t>
  </si>
  <si>
    <t>MICHAEL &amp; SHERLYN HURLBUT</t>
  </si>
  <si>
    <t xml:space="preserve">9531 E PLANA AVE </t>
  </si>
  <si>
    <t>JACOVIDES VALERIE H</t>
  </si>
  <si>
    <t>HURLBUT MICHAEL D &amp; SHERLYN</t>
  </si>
  <si>
    <t>VIVION</t>
  </si>
  <si>
    <t>ROSS &amp; JUNE VIVION</t>
  </si>
  <si>
    <t xml:space="preserve">16392 W SHERMAN ST </t>
  </si>
  <si>
    <t>GLOBAL EQUITY FIN</t>
  </si>
  <si>
    <t>ROSS G VIVION</t>
  </si>
  <si>
    <t>JUNE E VIVION</t>
  </si>
  <si>
    <t>DAMERON-ELLIS</t>
  </si>
  <si>
    <t>MELODY DAMERON-ELLIS &amp; ROBERT ELLIS</t>
  </si>
  <si>
    <t xml:space="preserve">20883 W WESTERN DR </t>
  </si>
  <si>
    <t>VERRADO PARCEL 4.802</t>
  </si>
  <si>
    <t>WILLIAMS CARL F &amp; GAYLE S</t>
  </si>
  <si>
    <t>DAMERON-ELLIS MELODY</t>
  </si>
  <si>
    <t>ELLIS ROBERT A</t>
  </si>
  <si>
    <t>JOEY FLORES</t>
  </si>
  <si>
    <t xml:space="preserve">176 S 194TH LN </t>
  </si>
  <si>
    <t>LAW DAVID A</t>
  </si>
  <si>
    <t>JOEY U FLORES</t>
  </si>
  <si>
    <t>HICKMAN FAMILY TRUST</t>
  </si>
  <si>
    <t xml:space="preserve">22419 N MONTECITO AVE </t>
  </si>
  <si>
    <t>CORTE BELLA COUNTRY CLUB PHASE 1 UNIT 1</t>
  </si>
  <si>
    <t>WHEELER HOWARD T</t>
  </si>
  <si>
    <t>HICKMAN DELMAR R</t>
  </si>
  <si>
    <t>JEFFREY PETERSEN</t>
  </si>
  <si>
    <t xml:space="preserve">1883 E TYSON PL </t>
  </si>
  <si>
    <t>PARCEL E AT TRADITION EAST LOT 1-87</t>
  </si>
  <si>
    <t>SHALON ALBERTO M</t>
  </si>
  <si>
    <t>JAIME &amp; ELIZABETH BACA</t>
  </si>
  <si>
    <t xml:space="preserve">16788 W COCOPAH ST </t>
  </si>
  <si>
    <t>WITKOWSKI JAMES C</t>
  </si>
  <si>
    <t>BACA JAIME A</t>
  </si>
  <si>
    <t>BACA JAIME A &amp; ELIZABETH</t>
  </si>
  <si>
    <t>GIBBONS</t>
  </si>
  <si>
    <t>LANGAN</t>
  </si>
  <si>
    <t>SHAWN GIBBONS &amp; MARY LANGAN</t>
  </si>
  <si>
    <t xml:space="preserve">15006 N 35TH DR </t>
  </si>
  <si>
    <t>MADRUENO MARCO A</t>
  </si>
  <si>
    <t>GIBBONS SHAWN</t>
  </si>
  <si>
    <t>LANGAN MARY K</t>
  </si>
  <si>
    <t>MCNAIR</t>
  </si>
  <si>
    <t>CHRISTOPHER MCNAIR</t>
  </si>
  <si>
    <t xml:space="preserve">16358 N 73RD LN </t>
  </si>
  <si>
    <t>CABRILLO POINT</t>
  </si>
  <si>
    <t>WARFIELD RUSSELL N</t>
  </si>
  <si>
    <t>MCNAIR CHRISTOPHER</t>
  </si>
  <si>
    <t>SINCLAIR</t>
  </si>
  <si>
    <t>WILLIAM SINCLAIR</t>
  </si>
  <si>
    <t xml:space="preserve">1921 W WELDON AVE </t>
  </si>
  <si>
    <t>WESTWOOD ESTATES PLAT 3</t>
  </si>
  <si>
    <t>ANDERSON BETHANIE</t>
  </si>
  <si>
    <t>SINCLAIR WILLIAM J</t>
  </si>
  <si>
    <t>DAVID &amp; MARY JOHNSON</t>
  </si>
  <si>
    <t xml:space="preserve">12726 W SHERIDAN ST </t>
  </si>
  <si>
    <t>JENSEN CONRAD A &amp; KRISTEN S</t>
  </si>
  <si>
    <t>JOHNSON DAVID O &amp; MARY L</t>
  </si>
  <si>
    <t>CARLINA</t>
  </si>
  <si>
    <t>JERROD &amp; CARLINA SCOTT</t>
  </si>
  <si>
    <t xml:space="preserve">2272 N ALSAP RD </t>
  </si>
  <si>
    <t>URBAS JAMES F &amp; ALEENA H</t>
  </si>
  <si>
    <t>SCOTT JERROD G &amp; CARLINA S</t>
  </si>
  <si>
    <t>GRAPEVINE</t>
  </si>
  <si>
    <t>RONALD &amp; MICHELE GRAPEVINE</t>
  </si>
  <si>
    <t xml:space="preserve">8225 E PALM LN </t>
  </si>
  <si>
    <t>COX HEIGHTS 2 LOT 270-288  297-381</t>
  </si>
  <si>
    <t>BOVONE TRUST</t>
  </si>
  <si>
    <t>GRAPEVINE RONALD &amp; MICHELE</t>
  </si>
  <si>
    <t>GUIA</t>
  </si>
  <si>
    <t>ESPADILLA</t>
  </si>
  <si>
    <t>GUIA ESPADILLA</t>
  </si>
  <si>
    <t xml:space="preserve">402 S LAVEEN DR </t>
  </si>
  <si>
    <t>SMOLAR SCOTT</t>
  </si>
  <si>
    <t>ESPADILLA GUIA</t>
  </si>
  <si>
    <t>JAMES &amp; REGINA OLIVARES</t>
  </si>
  <si>
    <t xml:space="preserve">17889 W DESERT WIND DR </t>
  </si>
  <si>
    <t>JAMES JR OLIVARES</t>
  </si>
  <si>
    <t>REGINA M OLIVARES</t>
  </si>
  <si>
    <t>WILLIAM &amp; CINDY ANDERSON</t>
  </si>
  <si>
    <t xml:space="preserve">3043 W CASINO AVE </t>
  </si>
  <si>
    <t>I-17 AND DYNAMITE</t>
  </si>
  <si>
    <t>NOTERRA POINTE</t>
  </si>
  <si>
    <t>LIVING WELL HOMES LP</t>
  </si>
  <si>
    <t>WILLIAM A ANDERSON</t>
  </si>
  <si>
    <t>CINDY L ANDERSON</t>
  </si>
  <si>
    <t>SHUTE</t>
  </si>
  <si>
    <t>RICHARD SHUTE</t>
  </si>
  <si>
    <t xml:space="preserve">14956 W MAUI LN </t>
  </si>
  <si>
    <t>ASHTON RANCH UNIT 2</t>
  </si>
  <si>
    <t>MADDEN OCTAVIA</t>
  </si>
  <si>
    <t>SHUTZ RICHARD ALLEN</t>
  </si>
  <si>
    <t>TANOUYE</t>
  </si>
  <si>
    <t>LENZY</t>
  </si>
  <si>
    <t>CALVIN &amp; LENZY TANOUYE</t>
  </si>
  <si>
    <t xml:space="preserve">15950 W EVANS DR </t>
  </si>
  <si>
    <t>RICHEY MATT</t>
  </si>
  <si>
    <t>TANOUYE CALVIN &amp; LENZY</t>
  </si>
  <si>
    <t>STEINBEISS</t>
  </si>
  <si>
    <t>RAYMOND STEINBEISS</t>
  </si>
  <si>
    <t xml:space="preserve">22002 W HILTON AVE </t>
  </si>
  <si>
    <t>IWEN JUSTIN</t>
  </si>
  <si>
    <t>RAYMOND M STEINBEISS</t>
  </si>
  <si>
    <t>JOHN &amp; JESSICA RODGERS</t>
  </si>
  <si>
    <t xml:space="preserve">2623 S JUNIPER ST </t>
  </si>
  <si>
    <t>HUGHES ACRES  7</t>
  </si>
  <si>
    <t>BELL ELLEN A G</t>
  </si>
  <si>
    <t>RODGERS JOHN B &amp; JESSICA S</t>
  </si>
  <si>
    <t>MCCLURE &amp; CHRISTINA ROSE</t>
  </si>
  <si>
    <t xml:space="preserve">6454 E QUARTZ ST </t>
  </si>
  <si>
    <t>LYONS JAMES P</t>
  </si>
  <si>
    <t>MCCLURE DONALD P</t>
  </si>
  <si>
    <t>ROSELIA</t>
  </si>
  <si>
    <t>CARLOS &amp; ROSELIA TORRES</t>
  </si>
  <si>
    <t xml:space="preserve">3730 W BINGHAM DR </t>
  </si>
  <si>
    <t>BURDICK ROBERT</t>
  </si>
  <si>
    <t>TORRES CARLOS M</t>
  </si>
  <si>
    <t>LAING</t>
  </si>
  <si>
    <t>FATTU</t>
  </si>
  <si>
    <t>SONDRA LAING &amp; NICOLE FATTU</t>
  </si>
  <si>
    <t xml:space="preserve">3727 W ARACELY DR </t>
  </si>
  <si>
    <t>LAING SONDRA J</t>
  </si>
  <si>
    <t>FATTU NICOLE &amp; DAVID</t>
  </si>
  <si>
    <t>VOY</t>
  </si>
  <si>
    <t>RANDALL &amp; ELAINE VOY</t>
  </si>
  <si>
    <t xml:space="preserve">15622 W YUCATAN DR </t>
  </si>
  <si>
    <t>VOY RANDALL S &amp; ELAINE M</t>
  </si>
  <si>
    <t>JESSA</t>
  </si>
  <si>
    <t>CHRISTOPHER &amp; JESSA CHARRON</t>
  </si>
  <si>
    <t xml:space="preserve">23634 N 58TH AVE </t>
  </si>
  <si>
    <t>SMITH TODD A</t>
  </si>
  <si>
    <t>CHARRON CHRISTOPHER &amp; JESSA</t>
  </si>
  <si>
    <t>COCHRANE</t>
  </si>
  <si>
    <t>ARNETTE</t>
  </si>
  <si>
    <t>COCHRANE &amp; DELORES ARNETTE</t>
  </si>
  <si>
    <t xml:space="preserve">21742 N 85TH DR </t>
  </si>
  <si>
    <t>DIERKS DERICK W</t>
  </si>
  <si>
    <t>CHARLES D COCHRANE</t>
  </si>
  <si>
    <t>DELORES A COCHRANE</t>
  </si>
  <si>
    <t>SWANSON</t>
  </si>
  <si>
    <t>BRAD &amp; RHONDA SWANSON</t>
  </si>
  <si>
    <t xml:space="preserve">3952 E SIMPSON RD </t>
  </si>
  <si>
    <t>CORONADO RANCH PARCEL 3</t>
  </si>
  <si>
    <t>CLEM JOHN M &amp; TRACY L</t>
  </si>
  <si>
    <t>SWANSON BRAD S &amp; RHONDA M</t>
  </si>
  <si>
    <t>SCHANTZ</t>
  </si>
  <si>
    <t>ROBERT SCHANTZ</t>
  </si>
  <si>
    <t xml:space="preserve">16323 W MESQUITE DR </t>
  </si>
  <si>
    <t>SCHANTZ ROBERT J</t>
  </si>
  <si>
    <t>MCDONELL</t>
  </si>
  <si>
    <t>DEIDRE</t>
  </si>
  <si>
    <t>PHILLIP &amp; DEIDRE MCDONELL</t>
  </si>
  <si>
    <t xml:space="preserve">14691 S 182ND DR </t>
  </si>
  <si>
    <t>ESTANCIA SOUTHWEST LLC</t>
  </si>
  <si>
    <t>MCDONELL PHILLIP A</t>
  </si>
  <si>
    <t>TERRY &amp; CHERYL KOENIG</t>
  </si>
  <si>
    <t xml:space="preserve">620 S MARIE DR </t>
  </si>
  <si>
    <t>SGH INVESTMENTS LLC</t>
  </si>
  <si>
    <t>TERRY M KOENIG</t>
  </si>
  <si>
    <t>CHERYL L KOENIG</t>
  </si>
  <si>
    <t>MARSH</t>
  </si>
  <si>
    <t>STEVEN MARSH</t>
  </si>
  <si>
    <t xml:space="preserve">15323 E HILLSIDE DR </t>
  </si>
  <si>
    <t>WESTRIDGE VILLAGE</t>
  </si>
  <si>
    <t>LJK INVESTMENTS LLC</t>
  </si>
  <si>
    <t>MARSH STEVEN L</t>
  </si>
  <si>
    <t>NATIONAL BK/AZ</t>
  </si>
  <si>
    <t>STEVEN L MARSH</t>
  </si>
  <si>
    <t>CARMICHAEL</t>
  </si>
  <si>
    <t>LAURIE CARMICHAEL</t>
  </si>
  <si>
    <t xml:space="preserve">4315 E FOUNDATION ST </t>
  </si>
  <si>
    <t>SKYLER DAVID E &amp; MONA</t>
  </si>
  <si>
    <t>DAVID R CARMICHAEL</t>
  </si>
  <si>
    <t>LAURIE L CARMICHAEL</t>
  </si>
  <si>
    <t>JANNI</t>
  </si>
  <si>
    <t>DAVID WILLINGHAM &amp; CAROL JANNI</t>
  </si>
  <si>
    <t xml:space="preserve">4301 W VENUS WAY #56 </t>
  </si>
  <si>
    <t xml:space="preserve">4301 W VENUS WAY </t>
  </si>
  <si>
    <t>IVEY LOYD</t>
  </si>
  <si>
    <t>WILLINGHAM DAVID</t>
  </si>
  <si>
    <t>TYRONE &amp; ANDRIA WEST</t>
  </si>
  <si>
    <t xml:space="preserve">2778 N 150TH LN </t>
  </si>
  <si>
    <t>GOTO MICHAEL K</t>
  </si>
  <si>
    <t>TYRONE D LI</t>
  </si>
  <si>
    <t>WEST TYRONE D II &amp; ANDRIA E</t>
  </si>
  <si>
    <t>JERALD</t>
  </si>
  <si>
    <t>SUSAN &amp; JERALD JOHNSTON</t>
  </si>
  <si>
    <t xml:space="preserve">20872 W WYCLIFF CT </t>
  </si>
  <si>
    <t>JOHNSON NICOLAS</t>
  </si>
  <si>
    <t>PEORIA AZ 85382</t>
  </si>
  <si>
    <t>SUSAN JOHNSTON</t>
  </si>
  <si>
    <t>JERALD JOHNSTON III</t>
  </si>
  <si>
    <t>MEHTA</t>
  </si>
  <si>
    <t>VINEET</t>
  </si>
  <si>
    <t>SHAW &amp; VINEET MEHTA</t>
  </si>
  <si>
    <t xml:space="preserve">4018 N SANTIAGO CIR </t>
  </si>
  <si>
    <t>MCGOVERN ERIN</t>
  </si>
  <si>
    <t>SHAW MICHAEL E &amp; VINEET M</t>
  </si>
  <si>
    <t>VINEET M SHAW</t>
  </si>
  <si>
    <t>MICHAEL E SHAW</t>
  </si>
  <si>
    <t>KRUTUL</t>
  </si>
  <si>
    <t>ROBERT KRUTUL &amp; BARBARA MOORE</t>
  </si>
  <si>
    <t xml:space="preserve">10428 N DEMARET DR </t>
  </si>
  <si>
    <t>FOUNTAIN HILLS AZ FP 401B TR E F</t>
  </si>
  <si>
    <t>JACK SUZANNE LIVING TRUST</t>
  </si>
  <si>
    <t>KRUTUL ROBERT P</t>
  </si>
  <si>
    <t>MOORE BARBARA E</t>
  </si>
  <si>
    <t>VALORIE</t>
  </si>
  <si>
    <t>VALORIE ORTEGA</t>
  </si>
  <si>
    <t xml:space="preserve">6112 N 88TH AVE </t>
  </si>
  <si>
    <t>LA BUENA VIDA PHASE 2</t>
  </si>
  <si>
    <t>LA BUENA VIDA</t>
  </si>
  <si>
    <t>BLAKELY PAUL &amp; COLLEEN</t>
  </si>
  <si>
    <t>ORTEGA VALORIE D</t>
  </si>
  <si>
    <t>VAN DAM NATHANIEL L &amp; VALLI A</t>
  </si>
  <si>
    <t xml:space="preserve">3122 E BLUEBIRD PL </t>
  </si>
  <si>
    <t>HOLDREN BETH</t>
  </si>
  <si>
    <t>VAN DAM NATHANIEL L</t>
  </si>
  <si>
    <t>BRIAN &amp; JULIE HALLECK</t>
  </si>
  <si>
    <t xml:space="preserve">15347 W CALAVAR RD </t>
  </si>
  <si>
    <t>PAULS FRANCIS N</t>
  </si>
  <si>
    <t>BRIAN D HALLECK</t>
  </si>
  <si>
    <t>JULIE A HALLECK</t>
  </si>
  <si>
    <t>MACDOUGALL</t>
  </si>
  <si>
    <t>SCOTT &amp; CHERYL MACDOUGALL</t>
  </si>
  <si>
    <t xml:space="preserve">21394 E VIA DE ARBOLES </t>
  </si>
  <si>
    <t>SCOTT A MACDOUGALL</t>
  </si>
  <si>
    <t>CHERYL A MACDOUGALL</t>
  </si>
  <si>
    <t>LUIS &amp; FRANCISCA GOMEZ</t>
  </si>
  <si>
    <t xml:space="preserve">4434 E CAMPBELL CT </t>
  </si>
  <si>
    <t>PROPERTY ALLIANCE LLC</t>
  </si>
  <si>
    <t>GOMEZ LUIS &amp; FRANCISCA</t>
  </si>
  <si>
    <t>MARQUETTE</t>
  </si>
  <si>
    <t>DELORA</t>
  </si>
  <si>
    <t>ANTHONY &amp; DELORA MARQUETTE</t>
  </si>
  <si>
    <t xml:space="preserve">18185 W MONTEROSA ST </t>
  </si>
  <si>
    <t>MARQUETTE ANTHONY &amp; DELORA</t>
  </si>
  <si>
    <t>WINNER</t>
  </si>
  <si>
    <t>JOSEPH &amp; MELISSA WINNER</t>
  </si>
  <si>
    <t xml:space="preserve">2132 E VISTA BONITA DR </t>
  </si>
  <si>
    <t>BOULDER CREEK AT DESERT FOOTHILLS</t>
  </si>
  <si>
    <t>GIRARD N R FAMILY TRUST</t>
  </si>
  <si>
    <t>WINNER JOSEPH &amp; MELISSA</t>
  </si>
  <si>
    <t>CARLISE</t>
  </si>
  <si>
    <t>PETERSON &amp; JESSICA CARLISE</t>
  </si>
  <si>
    <t xml:space="preserve">8513 W QUAIL TRACK DR </t>
  </si>
  <si>
    <t>BETTINGER SHARON L</t>
  </si>
  <si>
    <t>PETERSON CHRISTOPHER R &amp; JESS</t>
  </si>
  <si>
    <t>GERARDO &amp; MARIA ESPINOZA</t>
  </si>
  <si>
    <t xml:space="preserve">901 W SARAGOSA ST </t>
  </si>
  <si>
    <t>TOLMAN KYLE J</t>
  </si>
  <si>
    <t>ESPINOZA GERARDO &amp; MARIA</t>
  </si>
  <si>
    <t>CRISTAL</t>
  </si>
  <si>
    <t>DEAN &amp; CRISTAL TAYLOR</t>
  </si>
  <si>
    <t xml:space="preserve">15429 S 16TH DR </t>
  </si>
  <si>
    <t>REFFEL HAROLD G &amp; L J TRUST</t>
  </si>
  <si>
    <t>TAYLOR DEAN &amp; CRISTAL</t>
  </si>
  <si>
    <t>JASON &amp; AMBER MARTIN</t>
  </si>
  <si>
    <t xml:space="preserve">8932 N 175TH AVE </t>
  </si>
  <si>
    <t xml:space="preserve">16015 W HAMMOND ST </t>
  </si>
  <si>
    <t>TAD TRUST</t>
  </si>
  <si>
    <t>MARTIN JASON &amp; AMBER</t>
  </si>
  <si>
    <t>SNODGRASS</t>
  </si>
  <si>
    <t>ALAN &amp; SHANNON SNODGRASS</t>
  </si>
  <si>
    <t xml:space="preserve">22074 E DOMINGO RD </t>
  </si>
  <si>
    <t>SNODGRASS ALAN &amp; SHANNON</t>
  </si>
  <si>
    <t>NATHAN &amp; SOPHIA FIELDS</t>
  </si>
  <si>
    <t xml:space="preserve">4424 W PLEASANT LN </t>
  </si>
  <si>
    <t>ELLIS GLEN F</t>
  </si>
  <si>
    <t>NATHAN FIELDS</t>
  </si>
  <si>
    <t>SOPHIA FIELDS</t>
  </si>
  <si>
    <t>ROBERT &amp; TANYA HARDY</t>
  </si>
  <si>
    <t xml:space="preserve">980 CASTILLO DR E </t>
  </si>
  <si>
    <t>PLET DOROTHY</t>
  </si>
  <si>
    <t>HARDY ROBERT G &amp; TANYA J</t>
  </si>
  <si>
    <t>TOCCO</t>
  </si>
  <si>
    <t>TONI TOCCO</t>
  </si>
  <si>
    <t xml:space="preserve">1822 W WINCHESTER WAY </t>
  </si>
  <si>
    <t>DEWEESE THOMAS C</t>
  </si>
  <si>
    <t>TOCCO TONI NICOLE</t>
  </si>
  <si>
    <t>ROBERT &amp; MICHELLE MARTIN</t>
  </si>
  <si>
    <t xml:space="preserve">1707 E LEXINGTON AVE </t>
  </si>
  <si>
    <t>FAIRBANKS LISA R</t>
  </si>
  <si>
    <t>MARTIN ROBERT K &amp; MICHELLE M</t>
  </si>
  <si>
    <t>ROBERT K MARTIN</t>
  </si>
  <si>
    <t>MICHELLE M MARTIN</t>
  </si>
  <si>
    <t>GREGORY ARMSTRONG</t>
  </si>
  <si>
    <t xml:space="preserve">3829 W ELGIN ST </t>
  </si>
  <si>
    <t>R3 ARIZONA PARTNERS LLC</t>
  </si>
  <si>
    <t>CROSSCOUNTRY MTG INC</t>
  </si>
  <si>
    <t>ARMSTRONG GREGORY G</t>
  </si>
  <si>
    <t>BRIAN SMITH</t>
  </si>
  <si>
    <t xml:space="preserve">902 E ENCINAS AVE </t>
  </si>
  <si>
    <t>TOWNER TRACY R</t>
  </si>
  <si>
    <t>SMITH BRIAN &amp; SANDRA</t>
  </si>
  <si>
    <t>WILKEY</t>
  </si>
  <si>
    <t>JAMES &amp; DEBORAH WILKEY</t>
  </si>
  <si>
    <t xml:space="preserve">8065 W REDBIRD RD </t>
  </si>
  <si>
    <t>WILKEY JAMES S &amp; DEBORAH D</t>
  </si>
  <si>
    <t>JAMES &amp; PAULA PHILLIPS</t>
  </si>
  <si>
    <t xml:space="preserve">17608 W COLUMBINE DR </t>
  </si>
  <si>
    <t>LEACH FAMILY LIVING TRUST</t>
  </si>
  <si>
    <t>PHILLIPS JAMES</t>
  </si>
  <si>
    <t>CASEY &amp; REBECCA CLAYTON</t>
  </si>
  <si>
    <t xml:space="preserve">3976 S WINDSTREAM PL </t>
  </si>
  <si>
    <t>AVELAR ARMANDO</t>
  </si>
  <si>
    <t>CLAYTON CASEY &amp; REBECCA</t>
  </si>
  <si>
    <t>PENELOPE</t>
  </si>
  <si>
    <t>MARK &amp; PENELOPE COKER</t>
  </si>
  <si>
    <t xml:space="preserve">23621 W HOPI ST </t>
  </si>
  <si>
    <t>HINDLE CHRISTOPHER B &amp; SHIRL</t>
  </si>
  <si>
    <t>COKER MARK A &amp; PENELOPE J</t>
  </si>
  <si>
    <t>COLE FAMILY LIVING TRUST</t>
  </si>
  <si>
    <t xml:space="preserve">8339 W MICHELLE DR </t>
  </si>
  <si>
    <t>DALEE MICHAEL J &amp; STEPHANIE</t>
  </si>
  <si>
    <t>COLE JASON R &amp; BREANNE</t>
  </si>
  <si>
    <t>CRETELLA</t>
  </si>
  <si>
    <t>MARK &amp; REBECCA CRETELLA</t>
  </si>
  <si>
    <t xml:space="preserve">15159 W WINDROSE DR </t>
  </si>
  <si>
    <t>CRETELLA MARK L</t>
  </si>
  <si>
    <t>CONSTANZO</t>
  </si>
  <si>
    <t>CHARLES &amp; JOANNE CONSTANZO</t>
  </si>
  <si>
    <t xml:space="preserve">45 N MONDEL DR </t>
  </si>
  <si>
    <t>ESTATES AT NORTH SHORE UNIT 1</t>
  </si>
  <si>
    <t>ESTATES AT NORTH SHORE</t>
  </si>
  <si>
    <t>PERCUOCO JOSEPH</t>
  </si>
  <si>
    <t>COSTANZO CHARLES G &amp; JOANNE</t>
  </si>
  <si>
    <t>TOORU</t>
  </si>
  <si>
    <t>SONKYONG</t>
  </si>
  <si>
    <t>TOORU &amp; SONKYONG THOMPSON</t>
  </si>
  <si>
    <t xml:space="preserve">14319 W BANFF LN </t>
  </si>
  <si>
    <t>ROYAL RANCH UNIT 2 PARCEL 9</t>
  </si>
  <si>
    <t>MORA MIRNA E</t>
  </si>
  <si>
    <t>THOMPSON TOORU D &amp; SONKYONG</t>
  </si>
  <si>
    <t>ROBERT &amp; SHELLEY SIMMONS</t>
  </si>
  <si>
    <t xml:space="preserve">5457 E CAPRI AVE </t>
  </si>
  <si>
    <t>JOHN PAUL WOLFE &amp; GERALDIN</t>
  </si>
  <si>
    <t>SIMMONS ROBERT E &amp; SHELLEY A</t>
  </si>
  <si>
    <t>JARED &amp; AMY POWELL</t>
  </si>
  <si>
    <t xml:space="preserve">22302 E ESCALANTE RD </t>
  </si>
  <si>
    <t>POWELL JARED &amp; AMY</t>
  </si>
  <si>
    <t>CONNELL</t>
  </si>
  <si>
    <t>PETER &amp; LINDA CONNELL</t>
  </si>
  <si>
    <t xml:space="preserve">12399 W ROBERTA LN </t>
  </si>
  <si>
    <t>SUNSET RIDGE AT TRILOGY AT VISTANCIA PAR</t>
  </si>
  <si>
    <t>SUNSET RIDGE AT TRILOGY AT VISTANCIA</t>
  </si>
  <si>
    <t>ZYADET JOHN</t>
  </si>
  <si>
    <t>CONNELL PETER D &amp; LINDA</t>
  </si>
  <si>
    <t>MAHONEY FAMILY TRUST</t>
  </si>
  <si>
    <t xml:space="preserve">8137 E RITA DR </t>
  </si>
  <si>
    <t>RIPPEON FLOYD</t>
  </si>
  <si>
    <t>MAHONEY MATTHEW RYAN</t>
  </si>
  <si>
    <t>TERBUSH</t>
  </si>
  <si>
    <t>RICHARD &amp; PATRICIA TERBUSH</t>
  </si>
  <si>
    <t xml:space="preserve">8048 W REDBIRD RD </t>
  </si>
  <si>
    <t>TERBUSH RICHARD I &amp; PATRICIA A</t>
  </si>
  <si>
    <t>BRIAN &amp; CANDICE SMITH</t>
  </si>
  <si>
    <t xml:space="preserve">4831 W SAGUARO PARK LN </t>
  </si>
  <si>
    <t>SADDLEBACK MEADOWS 1C</t>
  </si>
  <si>
    <t>MORINE KELLI A</t>
  </si>
  <si>
    <t>SMITH BRIAN &amp; CANDICE</t>
  </si>
  <si>
    <t>PATRICK &amp; PATRICIA SAMPSON</t>
  </si>
  <si>
    <t xml:space="preserve">14498 W VIRGINIA AVE </t>
  </si>
  <si>
    <t>GARCIA ANDRES G &amp; TONI C</t>
  </si>
  <si>
    <t>SAMPSON PATRICK O &amp; PATRICIA</t>
  </si>
  <si>
    <t>GISSELE</t>
  </si>
  <si>
    <t>STAPLES</t>
  </si>
  <si>
    <t>GISSELE STAPLES</t>
  </si>
  <si>
    <t xml:space="preserve">2337 N 156TH DR </t>
  </si>
  <si>
    <t>CINOMAN DOUGLAS S</t>
  </si>
  <si>
    <t>GISSELE M ADAMS</t>
  </si>
  <si>
    <t>CHARLES A ADAMS</t>
  </si>
  <si>
    <t>POINDEXTER</t>
  </si>
  <si>
    <t>POINDEXTER &amp; PATRICIA LYNN</t>
  </si>
  <si>
    <t xml:space="preserve">19623 W LINCOLN ST </t>
  </si>
  <si>
    <t>POINDEXTER EARL &amp; PATRICIA L</t>
  </si>
  <si>
    <t>HOLLI</t>
  </si>
  <si>
    <t>WILLIAM &amp; HOLLI BISHOP</t>
  </si>
  <si>
    <t xml:space="preserve">18509 W MONTEBELLO AVE </t>
  </si>
  <si>
    <t>LOFTHOUSE TIMOTHY J</t>
  </si>
  <si>
    <t>WILLIAM JR BISHOP</t>
  </si>
  <si>
    <t>HOLLI BISHOP</t>
  </si>
  <si>
    <t>STODDARD</t>
  </si>
  <si>
    <t>STODDARD &amp; TAMMY LYNN</t>
  </si>
  <si>
    <t xml:space="preserve">4190 E RUNAWAY BAY DR </t>
  </si>
  <si>
    <t>PARKS JASON R</t>
  </si>
  <si>
    <t>STODDARD WILLIAM D</t>
  </si>
  <si>
    <t>TWILA</t>
  </si>
  <si>
    <t>LOUK</t>
  </si>
  <si>
    <t>TWILA &amp; DALE LOUK</t>
  </si>
  <si>
    <t xml:space="preserve">808 S 198TH LN </t>
  </si>
  <si>
    <t>SCOTTSDALE AZ 85255</t>
  </si>
  <si>
    <t>LOUK TWILA A &amp; DALE</t>
  </si>
  <si>
    <t>TWILA A LOUK</t>
  </si>
  <si>
    <t>DALE LOUK</t>
  </si>
  <si>
    <t>TAMI &amp; MARK LUCAS</t>
  </si>
  <si>
    <t xml:space="preserve">5802 E INGLEWOOD ST </t>
  </si>
  <si>
    <t>HANSEN EDWARD &amp; REBEKKA</t>
  </si>
  <si>
    <t>LUCAS MARK &amp; TAMI</t>
  </si>
  <si>
    <t>MAYHORN</t>
  </si>
  <si>
    <t>DAVID &amp; DONNA MAYHORN</t>
  </si>
  <si>
    <t xml:space="preserve">3462 N CRESTON </t>
  </si>
  <si>
    <t>MAYHORN DAVID &amp; DONNA S</t>
  </si>
  <si>
    <t>CASS</t>
  </si>
  <si>
    <t>LITTON</t>
  </si>
  <si>
    <t>CASS LITTON</t>
  </si>
  <si>
    <t xml:space="preserve">2501 E MANHATTON DR </t>
  </si>
  <si>
    <t>KNOELL TEMPE 2</t>
  </si>
  <si>
    <t>HALL JIM</t>
  </si>
  <si>
    <t>LITTON CASS A</t>
  </si>
  <si>
    <t>DUVALL</t>
  </si>
  <si>
    <t>DEBORAH DUVALL</t>
  </si>
  <si>
    <t xml:space="preserve">4086 E CAROB DR </t>
  </si>
  <si>
    <t>TRILOGY UNIT 6</t>
  </si>
  <si>
    <t>TRILOGY AT POWER RANCH BRIARWOOD</t>
  </si>
  <si>
    <t>EPSTEIN PILAR LIVING TRUST</t>
  </si>
  <si>
    <t>DUVALL RON W</t>
  </si>
  <si>
    <t>PAMELA LARSON</t>
  </si>
  <si>
    <t xml:space="preserve">3105 E VALLEJO DR </t>
  </si>
  <si>
    <t xml:space="preserve">2008 GOSHAWK ST </t>
  </si>
  <si>
    <t>SAUSA ANTONIO</t>
  </si>
  <si>
    <t>LARSON PAMELA</t>
  </si>
  <si>
    <t>ADRIAN SANDOVAL</t>
  </si>
  <si>
    <t xml:space="preserve">2250 E KATHLEEN RD </t>
  </si>
  <si>
    <t>MOUNTAIN VISTA UNIT ONE</t>
  </si>
  <si>
    <t>STUBBS FRANK W III TRUST</t>
  </si>
  <si>
    <t>SANDOVAL ADRIAN</t>
  </si>
  <si>
    <t>DAVID WEBB</t>
  </si>
  <si>
    <t xml:space="preserve">1901 N 48TH PL </t>
  </si>
  <si>
    <t>ORANGEDALE MANOR</t>
  </si>
  <si>
    <t>RUIZ MARCO A</t>
  </si>
  <si>
    <t>DAVID B WEBB</t>
  </si>
  <si>
    <t>SANDERS-CALOVINI TRUST</t>
  </si>
  <si>
    <t>SANDERS-CALOVINI</t>
  </si>
  <si>
    <t xml:space="preserve">15849 W ALVARADO DR </t>
  </si>
  <si>
    <t>CABRERA CARLOS M</t>
  </si>
  <si>
    <t>SANDERS MICHAEL A</t>
  </si>
  <si>
    <t>CALOVINI JENNIFER M</t>
  </si>
  <si>
    <t>LIVING TRUST OF FARIBORZ GHAFOORI</t>
  </si>
  <si>
    <t xml:space="preserve">1635 N CHANNING </t>
  </si>
  <si>
    <t>MONTEBELLA AT MOUNTAIN BRIDGE</t>
  </si>
  <si>
    <t>HILL SHERRI L</t>
  </si>
  <si>
    <t>GHAFOORI FARIBORZ</t>
  </si>
  <si>
    <t>TIMOTHY WHEELER</t>
  </si>
  <si>
    <t xml:space="preserve">3755 E BROADWAY RD #87 </t>
  </si>
  <si>
    <t>VAL VISTA VILLAS AMD LOT 1-111 TR A-D</t>
  </si>
  <si>
    <t>VAL VISTA VILLAS</t>
  </si>
  <si>
    <t>HUGHES RONALD D &amp; LORI A</t>
  </si>
  <si>
    <t>WHEELER TIMOTHY</t>
  </si>
  <si>
    <t>GEORGE &amp; ANDREA MATHIS</t>
  </si>
  <si>
    <t xml:space="preserve">2711 E FOUNTAIN ST </t>
  </si>
  <si>
    <t>BERGEN DORIS</t>
  </si>
  <si>
    <t>MATHIS GEORGE T &amp; ANDREA J</t>
  </si>
  <si>
    <t>CHASE</t>
  </si>
  <si>
    <t>DAVID CHASE</t>
  </si>
  <si>
    <t xml:space="preserve">17164 W HEDGEHOG PL </t>
  </si>
  <si>
    <t>CHASE DAVID A</t>
  </si>
  <si>
    <t>MICHAEL MENDEZ</t>
  </si>
  <si>
    <t xml:space="preserve">2890 E CEDAR PL </t>
  </si>
  <si>
    <t>MENDEZ MICHAEL J</t>
  </si>
  <si>
    <t>VICTORIA &amp; BARRY LOMAS</t>
  </si>
  <si>
    <t xml:space="preserve">3511 W ALYSSA LN </t>
  </si>
  <si>
    <t>RIORDAN RANCH PARCELS A &amp; C</t>
  </si>
  <si>
    <t>RIORDAN RANCH</t>
  </si>
  <si>
    <t>OBRIANT FAMILY TRUST</t>
  </si>
  <si>
    <t>LOMAS VICTORIA A</t>
  </si>
  <si>
    <t>ABELLO</t>
  </si>
  <si>
    <t>MARIA ABELLO</t>
  </si>
  <si>
    <t xml:space="preserve">2686 N 131ST DR </t>
  </si>
  <si>
    <t>PALM VALLEY PHASE 1 PARCEL 6</t>
  </si>
  <si>
    <t>SARTZ JEFFREY E &amp; MELANIE L</t>
  </si>
  <si>
    <t>ABELLO MARIA</t>
  </si>
  <si>
    <t>BARTON C R &amp; S E FAM L &amp; TRUST</t>
  </si>
  <si>
    <t>R BARTONC &amp; FAM L E</t>
  </si>
  <si>
    <t xml:space="preserve">8987 E GAIL RD </t>
  </si>
  <si>
    <t>MARLBORO COURT LOT 1-59 TR A-K</t>
  </si>
  <si>
    <t>MARLBORO COURT</t>
  </si>
  <si>
    <t>TITUS VICTOR A</t>
  </si>
  <si>
    <t>BARTON CHARLES R</t>
  </si>
  <si>
    <t>LUKAVICH</t>
  </si>
  <si>
    <t>BRIAN &amp; TWILA LUKAVICH</t>
  </si>
  <si>
    <t xml:space="preserve">14568 S 182ND DR </t>
  </si>
  <si>
    <t>LUKAVICH BRIAN &amp; TWILA</t>
  </si>
  <si>
    <t>MARK &amp; MARION REINHARDT</t>
  </si>
  <si>
    <t xml:space="preserve">2935 E REDFIELD RD </t>
  </si>
  <si>
    <t>RATCLIFF JANE A</t>
  </si>
  <si>
    <t>REINHARDT MARK DAVID &amp; MARION D</t>
  </si>
  <si>
    <t>RICKY &amp; YVETTE ROBINSON</t>
  </si>
  <si>
    <t xml:space="preserve">18328 W PIEDMONT RD </t>
  </si>
  <si>
    <t>ESTRELLA MOUNTAIN RANCH PARCEL 71</t>
  </si>
  <si>
    <t>PLAUTZ ALLEN V</t>
  </si>
  <si>
    <t>ROBINSON RICKY &amp; YVETTE</t>
  </si>
  <si>
    <t>HURLEY</t>
  </si>
  <si>
    <t>MICHAEL &amp; TIFFANY HURLEY</t>
  </si>
  <si>
    <t xml:space="preserve">22002 W TONTO ST </t>
  </si>
  <si>
    <t>CABRAL CHRISTOPHER</t>
  </si>
  <si>
    <t>HURLEY MICHAEL J &amp; TIFFANY L</t>
  </si>
  <si>
    <t>MAKI</t>
  </si>
  <si>
    <t>STEVEN MAKI</t>
  </si>
  <si>
    <t xml:space="preserve">3899 E EDNA DR </t>
  </si>
  <si>
    <t>GIBBS CHACE &amp; ANNA</t>
  </si>
  <si>
    <t>STEVEN D MAKI</t>
  </si>
  <si>
    <t>PAMELA WILSON</t>
  </si>
  <si>
    <t xml:space="preserve">890 S SEAN CT </t>
  </si>
  <si>
    <t>MAKAN JOHN A</t>
  </si>
  <si>
    <t>WILSON PAMELA J</t>
  </si>
  <si>
    <t>AARON COLLINS</t>
  </si>
  <si>
    <t xml:space="preserve">10947 E SYLVAN AVE </t>
  </si>
  <si>
    <t>RUSSELL DWIGHT K &amp; BETH A</t>
  </si>
  <si>
    <t>COLLINS AARON</t>
  </si>
  <si>
    <t>JANEL</t>
  </si>
  <si>
    <t>DEREK &amp; JANEL TAYLOR</t>
  </si>
  <si>
    <t xml:space="preserve">3480 E LIBERTY LN </t>
  </si>
  <si>
    <t>ZENG ZHENG Y</t>
  </si>
  <si>
    <t>TAYLOR DEREK</t>
  </si>
  <si>
    <t>MOLINA FAMILY TRUST</t>
  </si>
  <si>
    <t xml:space="preserve">2741 E RAKESTRAW LN </t>
  </si>
  <si>
    <t>FREEMAN FARMS PHASE 2 PARCEL 2</t>
  </si>
  <si>
    <t>FRATIANNI JESSICA R &amp; NICHOL</t>
  </si>
  <si>
    <t>MOLINA MARK &amp; HEIDI</t>
  </si>
  <si>
    <t>BORKOSKI</t>
  </si>
  <si>
    <t>DAVID BORKOSKI</t>
  </si>
  <si>
    <t xml:space="preserve">6608 E PARADISE LN </t>
  </si>
  <si>
    <t>COUNTRY TRACE LOT 1-185</t>
  </si>
  <si>
    <t>SHEDD JOHN</t>
  </si>
  <si>
    <t>BORKOSKI DAVID</t>
  </si>
  <si>
    <t>GRIGGS</t>
  </si>
  <si>
    <t>MICHAEL &amp; SHANNON GRIGGS</t>
  </si>
  <si>
    <t xml:space="preserve">907 E CARLISE RD </t>
  </si>
  <si>
    <t>JOANOU SCOTT S &amp; RENEE J</t>
  </si>
  <si>
    <t>GRIGGS MICHAEL W &amp; SHANNON R</t>
  </si>
  <si>
    <t xml:space="preserve">1630 W DUSTY WREN DR </t>
  </si>
  <si>
    <t>LANGERMAN SHERI G</t>
  </si>
  <si>
    <t>CLARKE MICHAEL J</t>
  </si>
  <si>
    <t>DESANTIS</t>
  </si>
  <si>
    <t>JAMES DESANTIS &amp; SUZANNE OLIVER</t>
  </si>
  <si>
    <t xml:space="preserve">5737 E LEISURE LN </t>
  </si>
  <si>
    <t>CAREFREE SENTINEL ROCK ESTATES LOT 1-62</t>
  </si>
  <si>
    <t>GROW WADE A</t>
  </si>
  <si>
    <t>DESANTIS JAMES</t>
  </si>
  <si>
    <t>SUZANNE OLIVER</t>
  </si>
  <si>
    <t>JAMES DESANTIS</t>
  </si>
  <si>
    <t>S &amp; L TRUST</t>
  </si>
  <si>
    <t>&amp; L S</t>
  </si>
  <si>
    <t xml:space="preserve">16459 S MOUNTAIN STONE TRL </t>
  </si>
  <si>
    <t>PARCEL 13C AT FOOTHILLS CLUB WEST AMENDE</t>
  </si>
  <si>
    <t>PCD</t>
  </si>
  <si>
    <t>BAGNALL MARK &amp; LYNN TRUST</t>
  </si>
  <si>
    <t>COOK DAVID S &amp; LISA L</t>
  </si>
  <si>
    <t>WOELKERS LIVING TRUST</t>
  </si>
  <si>
    <t>WOELKERS</t>
  </si>
  <si>
    <t xml:space="preserve">10085 E COCHISE DR </t>
  </si>
  <si>
    <t>ISLAND AT SCOTTSDALE RANCH LOT 1-75 TR A</t>
  </si>
  <si>
    <t>ISLAND AT SCOTTSDALE RANCH</t>
  </si>
  <si>
    <t>KOPP DOUGLAS E</t>
  </si>
  <si>
    <t>WOELKERS RICHARD C &amp; JACQUELI</t>
  </si>
  <si>
    <t>KALAS LIVING TRUST &amp; WHITMAN LIVING TRUST</t>
  </si>
  <si>
    <t>KALAS</t>
  </si>
  <si>
    <t xml:space="preserve">3938 E VILLA CASSANDRA WAY </t>
  </si>
  <si>
    <t>SIERRA VISTA 2</t>
  </si>
  <si>
    <t>RUPP BETTY &amp; LARRY TRUST</t>
  </si>
  <si>
    <t>WHITMAN RILEY H</t>
  </si>
  <si>
    <t>KALAS LINDA J</t>
  </si>
  <si>
    <t>SHAWN &amp; MEAGAN BOWERS</t>
  </si>
  <si>
    <t xml:space="preserve">2320 W STEED RDG </t>
  </si>
  <si>
    <t>GAMAYO ALBERT G</t>
  </si>
  <si>
    <t>BOWERS SHAWN &amp; MEAGAN</t>
  </si>
  <si>
    <t>TARRATHEA</t>
  </si>
  <si>
    <t>CRYTSER</t>
  </si>
  <si>
    <t>TARRATHEA CRYTSER</t>
  </si>
  <si>
    <t xml:space="preserve">12168 W LOCUST LN </t>
  </si>
  <si>
    <t xml:space="preserve">4800 SHOW HORSE DR </t>
  </si>
  <si>
    <t>BAKERSFIELD</t>
  </si>
  <si>
    <t>CRYTSER TARRATHEA</t>
  </si>
  <si>
    <t>KRISTYNA</t>
  </si>
  <si>
    <t>GEORGE &amp; KRISTYNA DAVIDSON</t>
  </si>
  <si>
    <t xml:space="preserve">4443 W SWEETWATER AVE </t>
  </si>
  <si>
    <t>MEINE JAMES D</t>
  </si>
  <si>
    <t>DAVIDSON GEORGE A &amp; KRISTYNA</t>
  </si>
  <si>
    <t>PENNEY</t>
  </si>
  <si>
    <t>MICHAEL PENNEY</t>
  </si>
  <si>
    <t xml:space="preserve">1672 E TULSA ST </t>
  </si>
  <si>
    <t>PARCEL A UNIT TWO AT TRADITION EAST</t>
  </si>
  <si>
    <t>1ST RATE HOME MORTGAGE INC</t>
  </si>
  <si>
    <t>PENNEY MICHAEL</t>
  </si>
  <si>
    <t>1ST RATE MORTGAGE INC</t>
  </si>
  <si>
    <t>LAMA</t>
  </si>
  <si>
    <t>JOHN LAMA</t>
  </si>
  <si>
    <t xml:space="preserve">445 E BEATRYCE ST </t>
  </si>
  <si>
    <t>RUNDLE JUSTIN</t>
  </si>
  <si>
    <t>INTERNATIONAL CTY MTG</t>
  </si>
  <si>
    <t>LAMA JOHN R</t>
  </si>
  <si>
    <t>ROY &amp; DANIELLE ASHLOCK</t>
  </si>
  <si>
    <t xml:space="preserve">9564 E KEATS AVE </t>
  </si>
  <si>
    <t>CHARRON CHARLES</t>
  </si>
  <si>
    <t>ASHLOCK ROY L JR &amp; DANIELLE L</t>
  </si>
  <si>
    <t>HUGHES FCU</t>
  </si>
  <si>
    <t>ROY L ASHLOCK</t>
  </si>
  <si>
    <t>DANIELLE L ASHLOCK</t>
  </si>
  <si>
    <t>MATTHEW &amp; CAROL WEBB</t>
  </si>
  <si>
    <t xml:space="preserve">2411 E JAVELINA AVE </t>
  </si>
  <si>
    <t>OLD WEST ESTATES NO 4 LT 97-132 149-184</t>
  </si>
  <si>
    <t>OLD WEST ESTATES</t>
  </si>
  <si>
    <t>MARK A YOUNG INVS INC</t>
  </si>
  <si>
    <t>MATTHEW WEBB</t>
  </si>
  <si>
    <t>CAROL WEBB</t>
  </si>
  <si>
    <t>BALLANCE</t>
  </si>
  <si>
    <t>RESHA</t>
  </si>
  <si>
    <t>GENTRY-BALLANCE</t>
  </si>
  <si>
    <t>DOUGLAS BALLANCE &amp; RESHA GENTRY-BALLANCE</t>
  </si>
  <si>
    <t xml:space="preserve">3210 W FRANKFURT DR </t>
  </si>
  <si>
    <t>MOUNTAINSIDE RANCH</t>
  </si>
  <si>
    <t>ROYBAL GEORGE D</t>
  </si>
  <si>
    <t>BALLANCE DOUGLAS W</t>
  </si>
  <si>
    <t>GENTRY-BALLANCE RESHA</t>
  </si>
  <si>
    <t>ASHMORE</t>
  </si>
  <si>
    <t>JOSHUA ASHMORE</t>
  </si>
  <si>
    <t xml:space="preserve">17052 N 43RD PL </t>
  </si>
  <si>
    <t>MANOR AT BEL ESPRIT</t>
  </si>
  <si>
    <t>ASHMORE JOSHUA</t>
  </si>
  <si>
    <t>GUNNISON</t>
  </si>
  <si>
    <t>GUNNISON &amp; C ERICA</t>
  </si>
  <si>
    <t xml:space="preserve">1827 S SPARTAN ST </t>
  </si>
  <si>
    <t>CHINDAVIJAK THITIPONG</t>
  </si>
  <si>
    <t>GUNNISON ROBERT E</t>
  </si>
  <si>
    <t>OHALLORAN</t>
  </si>
  <si>
    <t>MATTHEW OHALLORAN</t>
  </si>
  <si>
    <t xml:space="preserve">15181 W POLK ST </t>
  </si>
  <si>
    <t>RANCHO MIRAGE</t>
  </si>
  <si>
    <t>CABRAL C J</t>
  </si>
  <si>
    <t>OHALLORAN MATTHEW M</t>
  </si>
  <si>
    <t>FISCHER</t>
  </si>
  <si>
    <t>MICHAEL &amp; SHELLEY FISCHER</t>
  </si>
  <si>
    <t xml:space="preserve">16515 W BADEN AVE </t>
  </si>
  <si>
    <t>SERRAN EDUARDO N</t>
  </si>
  <si>
    <t>FISCHER MICHAEL A &amp; SHELLEY</t>
  </si>
  <si>
    <t>HAYWOOD</t>
  </si>
  <si>
    <t>FULTS</t>
  </si>
  <si>
    <t>HAYWOOD &amp; RHONDA FULTS</t>
  </si>
  <si>
    <t xml:space="preserve">18508 E EL CORTEZ DR </t>
  </si>
  <si>
    <t>SCHADER ROBERT K</t>
  </si>
  <si>
    <t>HAYWOOD RHONDA G F &amp; GREGORY B</t>
  </si>
  <si>
    <t>DANIEL RUSSO</t>
  </si>
  <si>
    <t xml:space="preserve">601 E SILVERWOOD DR </t>
  </si>
  <si>
    <t xml:space="preserve">1334 E CHANDLER BLVD D53-5 </t>
  </si>
  <si>
    <t>ARANA DANIEL F &amp; CINDY K</t>
  </si>
  <si>
    <t>RUSSO DANIEL J &amp; MARTHA</t>
  </si>
  <si>
    <t>CHANG</t>
  </si>
  <si>
    <t>JAMES &amp; LORRAINE CHANG</t>
  </si>
  <si>
    <t xml:space="preserve">20267 E CAMACHO RD </t>
  </si>
  <si>
    <t>CHANG JAMES &amp; LORRAINE E</t>
  </si>
  <si>
    <t>JOHN &amp; KRISTIE JOHNSON</t>
  </si>
  <si>
    <t xml:space="preserve">4152 W DUBLIN ST </t>
  </si>
  <si>
    <t>REFNER KENDALL R &amp; SHEILA M</t>
  </si>
  <si>
    <t>JOHNSON JOHN A &amp; KRISTIE L E</t>
  </si>
  <si>
    <t>HOLDINGS BELIZE TRUST</t>
  </si>
  <si>
    <t>BELIZE HOLDINGS</t>
  </si>
  <si>
    <t xml:space="preserve">935 E MARY LN </t>
  </si>
  <si>
    <t>LE NAM</t>
  </si>
  <si>
    <t>MEDINA JR NICHOLAS</t>
  </si>
  <si>
    <t>MEDINA SARA M</t>
  </si>
  <si>
    <t>SCHEAR FAMILY TRUST</t>
  </si>
  <si>
    <t>SCHEAR</t>
  </si>
  <si>
    <t xml:space="preserve">3355 E BEECHNUT PL </t>
  </si>
  <si>
    <t>FINESTERRA AT VALENCIA 2</t>
  </si>
  <si>
    <t>FINESTERRA AT VALENCIA</t>
  </si>
  <si>
    <t>RILEY NEIL B &amp; DEBORAH E</t>
  </si>
  <si>
    <t>SCHEAR JAMES &amp; SHARON</t>
  </si>
  <si>
    <t>DORIAN &amp; VICTORIA CHASE</t>
  </si>
  <si>
    <t xml:space="preserve">704 W STRAFORD DR </t>
  </si>
  <si>
    <t>MISSION VALLEY LOT 1-277 TRACT A-C</t>
  </si>
  <si>
    <t>MISSION VALLEY</t>
  </si>
  <si>
    <t>LATIMORE DENVER L</t>
  </si>
  <si>
    <t>CHASE DORIAN A &amp; VICTORIA M</t>
  </si>
  <si>
    <t>CAROLEE</t>
  </si>
  <si>
    <t>CHARLES &amp; CAROLEE COUCH</t>
  </si>
  <si>
    <t xml:space="preserve">2707 E CAROB DR </t>
  </si>
  <si>
    <t>COCHRAN DAVID E</t>
  </si>
  <si>
    <t>COUCH CHARLES DEAN</t>
  </si>
  <si>
    <t>AITON</t>
  </si>
  <si>
    <t>AITON &amp; MARY FARRELL</t>
  </si>
  <si>
    <t xml:space="preserve">3405 E KERRY LN </t>
  </si>
  <si>
    <t>NORTH COLONY 2</t>
  </si>
  <si>
    <t>JAUREGUI ALEJANDRO</t>
  </si>
  <si>
    <t>AITON STEPHEN E II &amp; MARY F</t>
  </si>
  <si>
    <t>DROUIN</t>
  </si>
  <si>
    <t>ANNIECEL</t>
  </si>
  <si>
    <t>JOHN &amp; ANNIECEL DROUIN</t>
  </si>
  <si>
    <t xml:space="preserve">438 N BRIDLEGATE DR </t>
  </si>
  <si>
    <t xml:space="preserve">100 N EL RIO DR #12 </t>
  </si>
  <si>
    <t>COPE LIVING TRUST</t>
  </si>
  <si>
    <t>DROUIN JOHN &amp; ANNIECEL</t>
  </si>
  <si>
    <t>TIM &amp; CYNTHIA HUGHES</t>
  </si>
  <si>
    <t xml:space="preserve">10324 E SAHUARO DR </t>
  </si>
  <si>
    <t>BURGOYNE JOHN L &amp; MARGARET A</t>
  </si>
  <si>
    <t>HUGHES TIM J &amp; CYNTHIA M</t>
  </si>
  <si>
    <t>CUTLIFFE</t>
  </si>
  <si>
    <t>BRADLEY &amp; REBECCA CUTLIFFE</t>
  </si>
  <si>
    <t xml:space="preserve">16022 N 36TH DR </t>
  </si>
  <si>
    <t>CRISTO PARADISE ESTATES</t>
  </si>
  <si>
    <t>WARNER DAVID &amp; KIMBERLY</t>
  </si>
  <si>
    <t>CUTLIFFE BRADLEY W &amp; REBECCA</t>
  </si>
  <si>
    <t>MANCHAK</t>
  </si>
  <si>
    <t>JOSEPH &amp; NICOLE MANCHAK</t>
  </si>
  <si>
    <t xml:space="preserve">3820 S SETON AVE </t>
  </si>
  <si>
    <t>SAN TAN RANCH PARCEL 7</t>
  </si>
  <si>
    <t>GULAS MICHAEL</t>
  </si>
  <si>
    <t>MANCHAK JOSEPH &amp; NICOLE</t>
  </si>
  <si>
    <t>RAPHAEL</t>
  </si>
  <si>
    <t>KATREYA</t>
  </si>
  <si>
    <t>RAPHAEL &amp; KATREYA CASTRO</t>
  </si>
  <si>
    <t xml:space="preserve">39727 N LOST LEGEND DR </t>
  </si>
  <si>
    <t>NORDMEIER ANDREW B</t>
  </si>
  <si>
    <t>CASTRO RAPHAEL</t>
  </si>
  <si>
    <t>MCGINNIS</t>
  </si>
  <si>
    <t>WILLIA</t>
  </si>
  <si>
    <t>DAN &amp; WILLIA MCGINNIS</t>
  </si>
  <si>
    <t xml:space="preserve">3501 E SEQUOIA DR </t>
  </si>
  <si>
    <t>KNOCHEL HERBERT &amp; L TRUST</t>
  </si>
  <si>
    <t>MCGINNIS DAN D &amp; WILLIA D</t>
  </si>
  <si>
    <t>DAN D MCGINNIS</t>
  </si>
  <si>
    <t>WILLIA D MCGINNIS</t>
  </si>
  <si>
    <t>THIELE</t>
  </si>
  <si>
    <t>ROBERT &amp; LORENA THIELE</t>
  </si>
  <si>
    <t xml:space="preserve">2304 E ANCHOR DR </t>
  </si>
  <si>
    <t>RUNAWAY BAY</t>
  </si>
  <si>
    <t>101199820 SASKATCHEWAN LTD</t>
  </si>
  <si>
    <t>THIELE ROBERT J</t>
  </si>
  <si>
    <t>LONDO</t>
  </si>
  <si>
    <t>KEDRIN</t>
  </si>
  <si>
    <t>DARREN LONDO &amp; KEDRIN KRUEGER</t>
  </si>
  <si>
    <t xml:space="preserve">256 E HEATHER AVE </t>
  </si>
  <si>
    <t>BRISBON JUSTIN</t>
  </si>
  <si>
    <t>LONDO DARREN D</t>
  </si>
  <si>
    <t>KRUEGER KEDRIN K</t>
  </si>
  <si>
    <t>STANWITZ</t>
  </si>
  <si>
    <t>JOSHUA &amp; KERI STANWITZ</t>
  </si>
  <si>
    <t xml:space="preserve">273 W WASHINGTON AVE </t>
  </si>
  <si>
    <t>TWIGG CHRISTOPHER L</t>
  </si>
  <si>
    <t>JOSHUA D STANWITZ</t>
  </si>
  <si>
    <t>KERI D STANWITZ</t>
  </si>
  <si>
    <t>HUTSON</t>
  </si>
  <si>
    <t>JESSICA HUTSON</t>
  </si>
  <si>
    <t xml:space="preserve">4710 W MARCONI AVE </t>
  </si>
  <si>
    <t>BRIGHTON PLACE TERRACE 1</t>
  </si>
  <si>
    <t>BRIGHTON PLACE TERRACE</t>
  </si>
  <si>
    <t>MAXTRIX CONTRACTING LLC</t>
  </si>
  <si>
    <t>HUTSON JESSICA L</t>
  </si>
  <si>
    <t>SALYERS</t>
  </si>
  <si>
    <t>MATTHEW &amp; MEGAN SALYERS</t>
  </si>
  <si>
    <t xml:space="preserve">1710 W SHAWNEE DR </t>
  </si>
  <si>
    <t>CAMEO EAST 1 LOT 1-122 TR A</t>
  </si>
  <si>
    <t>CAMEO</t>
  </si>
  <si>
    <t>RMLJ HOLDINGS I LLC</t>
  </si>
  <si>
    <t>SALYERS MATTHEW S</t>
  </si>
  <si>
    <t>BLOMQUIST</t>
  </si>
  <si>
    <t>JAMES &amp; DONNA BLOMQUIST</t>
  </si>
  <si>
    <t xml:space="preserve">3202 N HOGAN DR </t>
  </si>
  <si>
    <t xml:space="preserve">13213 SHEFFIELD CT </t>
  </si>
  <si>
    <t>BURNSVILLE</t>
  </si>
  <si>
    <t>CROSS OTIS &amp; J I O TRUST</t>
  </si>
  <si>
    <t>BLOMQUIST JAMES A &amp; DONNA L</t>
  </si>
  <si>
    <t>WEARING</t>
  </si>
  <si>
    <t>SCOTT &amp; DARCY WEARING</t>
  </si>
  <si>
    <t xml:space="preserve">11259 E PETERSON AVE </t>
  </si>
  <si>
    <t>MCMAHAN GLENN</t>
  </si>
  <si>
    <t>WEARING SCOTT &amp; DARCY</t>
  </si>
  <si>
    <t>SCOTT WEARING</t>
  </si>
  <si>
    <t>DARCY WEARING</t>
  </si>
  <si>
    <t>BADER</t>
  </si>
  <si>
    <t>STEVEN BADER &amp; JOSHUA JOHNSON</t>
  </si>
  <si>
    <t xml:space="preserve">7413 N 82ND LN </t>
  </si>
  <si>
    <t>ARROYO BENJAMIN V</t>
  </si>
  <si>
    <t>BADER STEVEN J</t>
  </si>
  <si>
    <t>JOHNSON JOSHUA A</t>
  </si>
  <si>
    <t>JOSE RODRIGUEZ</t>
  </si>
  <si>
    <t xml:space="preserve">15388 W WESTVIEW DR </t>
  </si>
  <si>
    <t>SPERRY RYAN</t>
  </si>
  <si>
    <t>RODRIGUEZ JOSE L</t>
  </si>
  <si>
    <t>MOCK</t>
  </si>
  <si>
    <t>THOMAS &amp; JACQUELINE MOCK</t>
  </si>
  <si>
    <t xml:space="preserve">431 E WIGWAM BLVD </t>
  </si>
  <si>
    <t>LITCHFIELD PARK SUBDIVISION 4B</t>
  </si>
  <si>
    <t>NEWMARK HOMES LLC</t>
  </si>
  <si>
    <t>MOCK THOMAS</t>
  </si>
  <si>
    <t>CHEEKS</t>
  </si>
  <si>
    <t>MARLE</t>
  </si>
  <si>
    <t>CHEEKS &amp; CHERYL MARLE</t>
  </si>
  <si>
    <t xml:space="preserve">3130 S 185TH DR </t>
  </si>
  <si>
    <t>CHEEKS BARRY L &amp; CHERYL M</t>
  </si>
  <si>
    <t>GRABNER</t>
  </si>
  <si>
    <t>JEFFERY GRABNER</t>
  </si>
  <si>
    <t xml:space="preserve">11333 E RAMBLEWOOD AVE </t>
  </si>
  <si>
    <t>ZITO MELISSA L</t>
  </si>
  <si>
    <t>GRABNER JEFFERY</t>
  </si>
  <si>
    <t>JENNIFER URIAS</t>
  </si>
  <si>
    <t xml:space="preserve">1152 W AUBURN DR </t>
  </si>
  <si>
    <t>TATE JAMIE</t>
  </si>
  <si>
    <t>JENNIFER L URIAS</t>
  </si>
  <si>
    <t>JARACZ</t>
  </si>
  <si>
    <t>SCHWAB</t>
  </si>
  <si>
    <t>JARACZ MARTIN &amp; LARA SCHWAB</t>
  </si>
  <si>
    <t xml:space="preserve">2011 E SARATOGA ST </t>
  </si>
  <si>
    <t>FINLEY FARMS SOUTH PARCEL 16</t>
  </si>
  <si>
    <t>WESLEY MATTHEW K</t>
  </si>
  <si>
    <t>MARTIN JARACZ</t>
  </si>
  <si>
    <t>SCHWAB LARA K</t>
  </si>
  <si>
    <t>SENG</t>
  </si>
  <si>
    <t>SCOTT &amp; JENNIFER SENG</t>
  </si>
  <si>
    <t xml:space="preserve">10029 W MARGUERITE AVE </t>
  </si>
  <si>
    <t>CRUZE KIMBERLY A</t>
  </si>
  <si>
    <t>SENG SCOTT A &amp; JENNIFER</t>
  </si>
  <si>
    <t>HINSKI</t>
  </si>
  <si>
    <t>KYLE HINSKI</t>
  </si>
  <si>
    <t xml:space="preserve">1907 N TAMARISK ST </t>
  </si>
  <si>
    <t>RICHARDS JEAN C LIVING TRUST</t>
  </si>
  <si>
    <t>HINSKI KYLE T</t>
  </si>
  <si>
    <t>ANGELITA</t>
  </si>
  <si>
    <t>ROBERT &amp; ANGELITA MORENO</t>
  </si>
  <si>
    <t xml:space="preserve">16562 W BUCHANAN ST </t>
  </si>
  <si>
    <t>CANYON TRAILS UNIT 3 PARCEL G</t>
  </si>
  <si>
    <t>TMW CAPITAL INVESTMENTS LLC</t>
  </si>
  <si>
    <t>MORENO ROBERT SR &amp; ANGELITA Y</t>
  </si>
  <si>
    <t>WONSITLER</t>
  </si>
  <si>
    <t>DAVID WONSITLER</t>
  </si>
  <si>
    <t xml:space="preserve">18580 W SAN CARLOS DR </t>
  </si>
  <si>
    <t>ESTRELLA MOUNTAIN RANCH PARCEL 68</t>
  </si>
  <si>
    <t>MORROW COLLIN</t>
  </si>
  <si>
    <t>WONSITLER DAVID A</t>
  </si>
  <si>
    <t>VONDEE</t>
  </si>
  <si>
    <t>STYLES</t>
  </si>
  <si>
    <t>VONDEE STYLES</t>
  </si>
  <si>
    <t xml:space="preserve">1741 S CLEARVIEW AVE #43 </t>
  </si>
  <si>
    <t>CORPUS STEVEN &amp; ALMEE M</t>
  </si>
  <si>
    <t>STYLES VONDEE S</t>
  </si>
  <si>
    <t>MATTHEW &amp; MANDI TRAYLOR</t>
  </si>
  <si>
    <t xml:space="preserve">16933 W HILTON AVE </t>
  </si>
  <si>
    <t>CANYON TRAILS UNIT 4 SOUTH PARCEL C</t>
  </si>
  <si>
    <t>GARCIA MICHAEL</t>
  </si>
  <si>
    <t>TAYLOR MATTHEW &amp; MANDI</t>
  </si>
  <si>
    <t>SELLS</t>
  </si>
  <si>
    <t>JEREMIAH SELLS</t>
  </si>
  <si>
    <t xml:space="preserve">3026 W BURGESS LN </t>
  </si>
  <si>
    <t>SELLS JEREMIAH N</t>
  </si>
  <si>
    <t>MICHELLE MOODY</t>
  </si>
  <si>
    <t xml:space="preserve">2136 W CINDY ST </t>
  </si>
  <si>
    <t>GREEN VALLEY ESTATES</t>
  </si>
  <si>
    <t>FLEMING CUSTOM HOMES LLC</t>
  </si>
  <si>
    <t>MOODY MICHELLE T</t>
  </si>
  <si>
    <t>WEISBERGER</t>
  </si>
  <si>
    <t>CHARLES &amp; ELIZABETH WEISBERGER</t>
  </si>
  <si>
    <t xml:space="preserve">18342 W OREGON AVE </t>
  </si>
  <si>
    <t>EAMES DANIEL E &amp; MEGAN</t>
  </si>
  <si>
    <t>SIRVA MTG INC</t>
  </si>
  <si>
    <t>WEISBERGER CHARLES &amp; ELIZABET</t>
  </si>
  <si>
    <t>GROTE</t>
  </si>
  <si>
    <t>MCCLELLAN &amp; KARLA GROTE</t>
  </si>
  <si>
    <t xml:space="preserve">602 E ARABIAN CT </t>
  </si>
  <si>
    <t>SPRING MEADOWS AMD LOT 1-135 TR A &amp; B</t>
  </si>
  <si>
    <t>SPRING MEADOWS</t>
  </si>
  <si>
    <t>KUKOVICH MICHAEL L</t>
  </si>
  <si>
    <t>GROTE MCCLELLAN J &amp; KARLA</t>
  </si>
  <si>
    <t>RIOS MEDINA &amp; ALICIA RIOS</t>
  </si>
  <si>
    <t xml:space="preserve">2739 N RAMADA CIR </t>
  </si>
  <si>
    <t>HENSLER FAMILY TRUST</t>
  </si>
  <si>
    <t>ABNER M RIOS</t>
  </si>
  <si>
    <t>ALICIA R RIOS</t>
  </si>
  <si>
    <t>KIA</t>
  </si>
  <si>
    <t>GILBERT &amp; KIA CASTILLO</t>
  </si>
  <si>
    <t xml:space="preserve">16806 W RIO VISTA LN </t>
  </si>
  <si>
    <t>COONS GREGORY</t>
  </si>
  <si>
    <t>CASTILLO GILBERT D</t>
  </si>
  <si>
    <t>RAYMON</t>
  </si>
  <si>
    <t>JENNIFER &amp; VAN VANPEMBERTON</t>
  </si>
  <si>
    <t xml:space="preserve">16471 W LINCOLN ST </t>
  </si>
  <si>
    <t>PEMBERTON JENNIFER M</t>
  </si>
  <si>
    <t>VAN PEMBERTON RAYMOND</t>
  </si>
  <si>
    <t>CLELL</t>
  </si>
  <si>
    <t>CLELL WILLIAMS</t>
  </si>
  <si>
    <t xml:space="preserve">2724 W EVANS DR </t>
  </si>
  <si>
    <t>KNOELL ROYAL OAKS UNIT 7 LOT 1061-1145</t>
  </si>
  <si>
    <t>WHITSON PAUL &amp; MARY</t>
  </si>
  <si>
    <t>WILLIAMS CLELL J</t>
  </si>
  <si>
    <t>ALEXZANDER</t>
  </si>
  <si>
    <t>SETTLEMIRE</t>
  </si>
  <si>
    <t>ALEXZANDER SETTLEMIRE</t>
  </si>
  <si>
    <t xml:space="preserve">4002 W WILLOW AVE </t>
  </si>
  <si>
    <t>WESTCLIFF PARK UNIT 3</t>
  </si>
  <si>
    <t>J &amp; J INVESTING LLC</t>
  </si>
  <si>
    <t>SETTLEMIRE ALEXZANDER</t>
  </si>
  <si>
    <t>GREGORY LINDSAY</t>
  </si>
  <si>
    <t xml:space="preserve">437 N MACDONALD </t>
  </si>
  <si>
    <t>LINDSAY FAMILY TRUST</t>
  </si>
  <si>
    <t>LINDSAY GREGORY A</t>
  </si>
  <si>
    <t>FINCH</t>
  </si>
  <si>
    <t>JAMES FINCH</t>
  </si>
  <si>
    <t xml:space="preserve">2301 N 37TH WAY </t>
  </si>
  <si>
    <t>NORTH EAST VILLAGE 1</t>
  </si>
  <si>
    <t>NICHOLS TASHA C</t>
  </si>
  <si>
    <t>FINCH JAMES M</t>
  </si>
  <si>
    <t xml:space="preserve">3928 S HOLLYHOCK PL </t>
  </si>
  <si>
    <t>SOUTHWEST MORTGAGE LLC</t>
  </si>
  <si>
    <t>MATTHEW &amp; CHERYL JACOBS</t>
  </si>
  <si>
    <t xml:space="preserve">21206 E AVENIDA DEL VALLE </t>
  </si>
  <si>
    <t>GT CAPITAL LLC</t>
  </si>
  <si>
    <t>JACOBS MATTHEW B &amp; CHERYL L</t>
  </si>
  <si>
    <t>BULMARO</t>
  </si>
  <si>
    <t>BULMARO CERVANTEZ</t>
  </si>
  <si>
    <t xml:space="preserve">17642 W EUGENE TER </t>
  </si>
  <si>
    <t>AZ TERRITORY HOLDINGS LLC</t>
  </si>
  <si>
    <t>CERVANTEZ BULMARO</t>
  </si>
  <si>
    <t>SOLUM</t>
  </si>
  <si>
    <t>PERRY &amp; KIM SOLUM</t>
  </si>
  <si>
    <t xml:space="preserve">1206 W MARLBORO DR </t>
  </si>
  <si>
    <t>ORTIZ GABRIEL A &amp; GERRI</t>
  </si>
  <si>
    <t>SOLUM PERRY &amp; KIM M</t>
  </si>
  <si>
    <t>ANTHONY &amp; BRANDY WOOD</t>
  </si>
  <si>
    <t xml:space="preserve">411 S LABELLE </t>
  </si>
  <si>
    <t>ANTHONY E WOOD</t>
  </si>
  <si>
    <t>BRANDY G WOOD</t>
  </si>
  <si>
    <t>DEPAUL</t>
  </si>
  <si>
    <t>MATTHEW DEPAUL</t>
  </si>
  <si>
    <t xml:space="preserve">1561 W JAVELINA AVE </t>
  </si>
  <si>
    <t>PARKSIDE MESA LOT 1-66 TR A</t>
  </si>
  <si>
    <t>PETERS GARY M &amp; CINDY J</t>
  </si>
  <si>
    <t>MATTHEW A DEPAUL</t>
  </si>
  <si>
    <t>VERSTRAETE</t>
  </si>
  <si>
    <t>RICHARD &amp; CINDY VERSTRAETE</t>
  </si>
  <si>
    <t xml:space="preserve">17516 N 170TH LN </t>
  </si>
  <si>
    <t>PERIETEANU ALEXANDRU</t>
  </si>
  <si>
    <t>VERSTRAETE RICHARD &amp; CINDY</t>
  </si>
  <si>
    <t>RYAN ELLISON</t>
  </si>
  <si>
    <t xml:space="preserve">17305 W BANFF LN </t>
  </si>
  <si>
    <t>SIERRA MONTANA PARCEL 15  AMD</t>
  </si>
  <si>
    <t>RAUCH JOHN C &amp; MICHELLE D</t>
  </si>
  <si>
    <t>ELLISON RYAN</t>
  </si>
  <si>
    <t>PHYLLIS</t>
  </si>
  <si>
    <t>MARK &amp; PHYLLIS MCCLURE</t>
  </si>
  <si>
    <t xml:space="preserve">2724 W ORO AVE </t>
  </si>
  <si>
    <t>CARRIAGE LANE 55  LOTS  338-410</t>
  </si>
  <si>
    <t>EBERSOLE MARVIN L &amp; LINDA D</t>
  </si>
  <si>
    <t>MCCLURE MARK A &amp; PHYLLIS A</t>
  </si>
  <si>
    <t>ONEAL</t>
  </si>
  <si>
    <t>TIMOTHY ONEAL</t>
  </si>
  <si>
    <t xml:space="preserve">14211 W CALAVAR RD </t>
  </si>
  <si>
    <t>RATHS GRAGORY G</t>
  </si>
  <si>
    <t>PERALTA VINCENT &amp; LORETTA TRUST</t>
  </si>
  <si>
    <t>VINCENT &amp; LORETTA PERALTA</t>
  </si>
  <si>
    <t xml:space="preserve">12230 W TONTO ST </t>
  </si>
  <si>
    <t>ESQUIVEL EVELYN</t>
  </si>
  <si>
    <t>PERALTA VINCENT &amp; LORETTA</t>
  </si>
  <si>
    <t>GUILFORD MARKETING CORP</t>
  </si>
  <si>
    <t xml:space="preserve">9247 E FAIRWAY BLVD </t>
  </si>
  <si>
    <t>BARNES G &amp; S FAMILY TRUST</t>
  </si>
  <si>
    <t>SWEET LAWRENCE &amp; MARCIA E</t>
  </si>
  <si>
    <t>CAMPOSECO</t>
  </si>
  <si>
    <t>CARLOS &amp; LAURIE CAMPOSECO</t>
  </si>
  <si>
    <t xml:space="preserve">4915 W ST KATERI DR </t>
  </si>
  <si>
    <t>FUENTES JORGE C</t>
  </si>
  <si>
    <t>CAMPOSECO CARLOS F &amp; LAURIE E</t>
  </si>
  <si>
    <t>BEALE</t>
  </si>
  <si>
    <t>RAY &amp; DIANA BEALE</t>
  </si>
  <si>
    <t xml:space="preserve">21772 W CHEYENNE DR </t>
  </si>
  <si>
    <t>BEALE RAY T &amp; DIANA M</t>
  </si>
  <si>
    <t>SHULTS</t>
  </si>
  <si>
    <t>JACOB SHULTS</t>
  </si>
  <si>
    <t xml:space="preserve">14521 W MAUNA LOA LN </t>
  </si>
  <si>
    <t>ROEMMICH BRANDON J</t>
  </si>
  <si>
    <t>SHULTS JACOB DEAN</t>
  </si>
  <si>
    <t>ALSTON</t>
  </si>
  <si>
    <t>MICHAEL ALSTON</t>
  </si>
  <si>
    <t xml:space="preserve">1930 E JUNIPER CIR </t>
  </si>
  <si>
    <t>LA DULCE VIDA LOT 1-36 &amp; TR A</t>
  </si>
  <si>
    <t>LA DULCE VIDA</t>
  </si>
  <si>
    <t>MCCLEVE MAE</t>
  </si>
  <si>
    <t>ALSTON MICHAEL R</t>
  </si>
  <si>
    <t>PASCUA</t>
  </si>
  <si>
    <t>GUY &amp; TINA PASCUA</t>
  </si>
  <si>
    <t xml:space="preserve">3737 W AMBER NICKOLE CT </t>
  </si>
  <si>
    <t>CASS JOSEPH</t>
  </si>
  <si>
    <t>PASCUA GUY &amp; TINA</t>
  </si>
  <si>
    <t>FIRNSTAHL</t>
  </si>
  <si>
    <t>GERMANIS</t>
  </si>
  <si>
    <t>FIRNSTAHL &amp; NATHAN GERMANIS</t>
  </si>
  <si>
    <t xml:space="preserve">2634 E CORRINE DR </t>
  </si>
  <si>
    <t>CLEARVIEW 4</t>
  </si>
  <si>
    <t>KERLEY HEATH T &amp; MARGARET</t>
  </si>
  <si>
    <t>FIRNSTAHL DINA AUNE &amp; NATHAN</t>
  </si>
  <si>
    <t>OBED</t>
  </si>
  <si>
    <t>VIRIDIANA</t>
  </si>
  <si>
    <t>OBED &amp; VIRIDIANA ESCALANTE</t>
  </si>
  <si>
    <t xml:space="preserve">10813 W MADISON ST </t>
  </si>
  <si>
    <t>RODRIGUEZ RICARDO &amp; DANIELA</t>
  </si>
  <si>
    <t>ESCALANTE OBED EDUARDO</t>
  </si>
  <si>
    <t>BOWARD</t>
  </si>
  <si>
    <t>VIRGINIA BOWARD</t>
  </si>
  <si>
    <t xml:space="preserve">7723 W CALAVAR RD </t>
  </si>
  <si>
    <t>ABBAS AVAD</t>
  </si>
  <si>
    <t>BOWARD RICHARD C</t>
  </si>
  <si>
    <t xml:space="preserve">11217 W MONTE VISTA RD </t>
  </si>
  <si>
    <t>CRYSTAL POINT</t>
  </si>
  <si>
    <t>CARLOS DE LA ROSA JR</t>
  </si>
  <si>
    <t>JON WILSON</t>
  </si>
  <si>
    <t xml:space="preserve">5028 S 100TH DR </t>
  </si>
  <si>
    <t>WILSON JON</t>
  </si>
  <si>
    <t>CORBAN</t>
  </si>
  <si>
    <t>GREGORY &amp; SHERRY CORBAN</t>
  </si>
  <si>
    <t xml:space="preserve">20715 N 109TH DR </t>
  </si>
  <si>
    <t>FLS ARIZONA LP</t>
  </si>
  <si>
    <t>CORBAN GREGORY C</t>
  </si>
  <si>
    <t>SENNER</t>
  </si>
  <si>
    <t>WAYNE SENNER</t>
  </si>
  <si>
    <t xml:space="preserve">1403 E MINTON DR </t>
  </si>
  <si>
    <t>TEMPE GARDENS  9  LOT 1094-1228</t>
  </si>
  <si>
    <t>RADKO KAZIMIERZ H</t>
  </si>
  <si>
    <t>SENNER WAYNE</t>
  </si>
  <si>
    <t>MAYNARD FAMILY LIVING TRUST</t>
  </si>
  <si>
    <t xml:space="preserve">1509 E INDIAN WELLS DR </t>
  </si>
  <si>
    <t>SUNBIRD  2</t>
  </si>
  <si>
    <t>UTOPIAN HOMES LLC</t>
  </si>
  <si>
    <t>MAYNARD BILLY R</t>
  </si>
  <si>
    <t>FRANK &amp; LISA GRIGSBY</t>
  </si>
  <si>
    <t xml:space="preserve">18620 W WILLIAMS ST </t>
  </si>
  <si>
    <t>GRIGSBY FRANK C &amp; LISA M</t>
  </si>
  <si>
    <t>DAVID &amp; VANESSA HOLT</t>
  </si>
  <si>
    <t xml:space="preserve">7610 W BERRIDGE LN </t>
  </si>
  <si>
    <t>TESSERA</t>
  </si>
  <si>
    <t>HOLT DAVID M &amp; VANESSA K</t>
  </si>
  <si>
    <t>TOFIL</t>
  </si>
  <si>
    <t>DEBRA TOFIL</t>
  </si>
  <si>
    <t xml:space="preserve">14665 W CLARENDON AVE </t>
  </si>
  <si>
    <t>SCHMITZ JOSEPH A &amp; CANDACE J</t>
  </si>
  <si>
    <t>TOFIL DEBRA P</t>
  </si>
  <si>
    <t>JUSTIN MYERS</t>
  </si>
  <si>
    <t xml:space="preserve">17151 W YOUNG ST </t>
  </si>
  <si>
    <t>HARRIS NATHAN W</t>
  </si>
  <si>
    <t>COPPERSTATE LNDG</t>
  </si>
  <si>
    <t>MYERS JUSTIN</t>
  </si>
  <si>
    <t>GEORGE BROWN</t>
  </si>
  <si>
    <t xml:space="preserve">1814 S 160TH LN </t>
  </si>
  <si>
    <t>WILLIAMS JULIE</t>
  </si>
  <si>
    <t>BROWN GEORGE R</t>
  </si>
  <si>
    <t>MAYORA</t>
  </si>
  <si>
    <t>EDWIN MAYORA</t>
  </si>
  <si>
    <t xml:space="preserve">2248 E CABALLERO CIR </t>
  </si>
  <si>
    <t>GILBERTS PAINTING LLC</t>
  </si>
  <si>
    <t>MAYORA EDWIN M</t>
  </si>
  <si>
    <t>MAXIMILIANO</t>
  </si>
  <si>
    <t>MAXIMILIANO &amp; ALICE YANEZ</t>
  </si>
  <si>
    <t xml:space="preserve">18035 W MAUI LN </t>
  </si>
  <si>
    <t xml:space="preserve">11834 W SHAW BUTTE DR </t>
  </si>
  <si>
    <t>ZUPRA ENTS INC</t>
  </si>
  <si>
    <t>YANEZ MAXIMILIANO &amp; ALICE</t>
  </si>
  <si>
    <t>ULYSSES</t>
  </si>
  <si>
    <t>VELVENY</t>
  </si>
  <si>
    <t>ULYSSES &amp; VELVENY SMITH</t>
  </si>
  <si>
    <t xml:space="preserve">4725 W ST ANNE AVE </t>
  </si>
  <si>
    <t>SMITH ULYSSES</t>
  </si>
  <si>
    <t>REYNERTSON</t>
  </si>
  <si>
    <t>KURT &amp; JOAN REYNERTSON</t>
  </si>
  <si>
    <t xml:space="preserve">2117 N 169TH AVE </t>
  </si>
  <si>
    <t>PEBBLECREEK PHASE 2 UNIT 54 VARIOUS LTS</t>
  </si>
  <si>
    <t>FIRST AMERICAN TITLE INS C</t>
  </si>
  <si>
    <t>NATIONAL MORTGAGE LLC</t>
  </si>
  <si>
    <t>REYNERTSON KURT D &amp; JOAN L</t>
  </si>
  <si>
    <t>PEOPLES HM EQUITY</t>
  </si>
  <si>
    <t>JOHN &amp; KAYE CALDWELL LIVING TRUST</t>
  </si>
  <si>
    <t>KURT D REYNERTSON</t>
  </si>
  <si>
    <t>JOAN L REYNERTSON</t>
  </si>
  <si>
    <t>DERYCK</t>
  </si>
  <si>
    <t>DERYCK &amp; REBECCA LEWIS</t>
  </si>
  <si>
    <t xml:space="preserve">2427 W LUCIA DR </t>
  </si>
  <si>
    <t>HOLMGREN DANIEL R</t>
  </si>
  <si>
    <t>LEWIS DERYCK &amp; REBECCA M</t>
  </si>
  <si>
    <t>JEFFFERY</t>
  </si>
  <si>
    <t>JEFFFERY &amp; JULIE LARSON</t>
  </si>
  <si>
    <t xml:space="preserve">3218 N 110TH AVE </t>
  </si>
  <si>
    <t>KUHL FAMILY TRUST</t>
  </si>
  <si>
    <t>JEFFERY M LARSON</t>
  </si>
  <si>
    <t>JULIE LARSON</t>
  </si>
  <si>
    <t>ROBERT &amp; DEBRA WHITE</t>
  </si>
  <si>
    <t xml:space="preserve">3135 W QUAIL AVE </t>
  </si>
  <si>
    <t>CURRY NICHOLAS B</t>
  </si>
  <si>
    <t>REASONS</t>
  </si>
  <si>
    <t>SCOTT &amp; KIM REASONS</t>
  </si>
  <si>
    <t xml:space="preserve">8522 W WOOD DR </t>
  </si>
  <si>
    <t>HERMAN MICHAEL J &amp; BEVERLY</t>
  </si>
  <si>
    <t>KIMBERLY A REASONS</t>
  </si>
  <si>
    <t>SCOTT REASONS</t>
  </si>
  <si>
    <t>JEFFREY SANCHEZ</t>
  </si>
  <si>
    <t xml:space="preserve">7931 E OSAGE AVE </t>
  </si>
  <si>
    <t>BOULDER CREEK UNIT 1</t>
  </si>
  <si>
    <t>WAGNER BONNIE L</t>
  </si>
  <si>
    <t>JEFFREY J SANCHEZ</t>
  </si>
  <si>
    <t>CHAD &amp; CAROLINE HUNT</t>
  </si>
  <si>
    <t xml:space="preserve">1310 W CANARY WAY </t>
  </si>
  <si>
    <t>CLEMENTE RANCH PARCEL 12</t>
  </si>
  <si>
    <t>CURIE ELIZABETH Q</t>
  </si>
  <si>
    <t>HUNT CHAD &amp; CAROLINE</t>
  </si>
  <si>
    <t>LUCIANA</t>
  </si>
  <si>
    <t>LUCIANA MUNOZ</t>
  </si>
  <si>
    <t xml:space="preserve">12342 DESERT MIRAGE CIR </t>
  </si>
  <si>
    <t>DESERT MIRAGE ACRES</t>
  </si>
  <si>
    <t>NASH SCOTT M</t>
  </si>
  <si>
    <t>MORGANVILLE NJ 07751</t>
  </si>
  <si>
    <t>TAFT DAVID M &amp; MARY T</t>
  </si>
  <si>
    <t>DON LOGAN</t>
  </si>
  <si>
    <t xml:space="preserve">5137 W HARMONT DR </t>
  </si>
  <si>
    <t>ROADRUNNER R OF E ENTS LLC</t>
  </si>
  <si>
    <t>LOGAN DON M</t>
  </si>
  <si>
    <t>TIELUR</t>
  </si>
  <si>
    <t>HOARD</t>
  </si>
  <si>
    <t>LITRELL</t>
  </si>
  <si>
    <t>TIELUR HOARD &amp; STEPHANIE LITRELL</t>
  </si>
  <si>
    <t xml:space="preserve">644 W PALO VERDE ST </t>
  </si>
  <si>
    <t>HESSON DAVID &amp; TERRI</t>
  </si>
  <si>
    <t>HOARD TIELUR</t>
  </si>
  <si>
    <t>LITRELL STEPHANIE</t>
  </si>
  <si>
    <t>STANFORD &amp; HEATHER BROWN</t>
  </si>
  <si>
    <t xml:space="preserve">6517 E VIRGINIA ST </t>
  </si>
  <si>
    <t>BIRGENHEIR DIANNE M</t>
  </si>
  <si>
    <t>BROWN STANFORD</t>
  </si>
  <si>
    <t>AIKEN</t>
  </si>
  <si>
    <t>ROBERT &amp; BRENDA AIKEN</t>
  </si>
  <si>
    <t xml:space="preserve">10746 E KILAREA AVE </t>
  </si>
  <si>
    <t>NERINI WILLIAM A</t>
  </si>
  <si>
    <t>ROBERT W AIKEN</t>
  </si>
  <si>
    <t>BRENDA M AIKEN</t>
  </si>
  <si>
    <t>NICHOLAS &amp; ERICA MURRAY</t>
  </si>
  <si>
    <t xml:space="preserve">8096 W REDBIRD RD </t>
  </si>
  <si>
    <t>MURRAY NICHOLAS A &amp; ERICA N</t>
  </si>
  <si>
    <t>MAUSZYCKI</t>
  </si>
  <si>
    <t>AMBERLY</t>
  </si>
  <si>
    <t>RANDY &amp; AMBERLY MAUSZYCKI</t>
  </si>
  <si>
    <t xml:space="preserve">43612 N 44TH AVE </t>
  </si>
  <si>
    <t>MAUSZYCKI RANDY &amp; AMBERLY</t>
  </si>
  <si>
    <t>COX &amp; KATHLEEN FRANCES</t>
  </si>
  <si>
    <t xml:space="preserve">5652 E LONESOME TRL </t>
  </si>
  <si>
    <t>FARLEY CHERYL A</t>
  </si>
  <si>
    <t>COX JACK G &amp; KATHLEEN F</t>
  </si>
  <si>
    <t>DONALD &amp; SHERRY IRWIN</t>
  </si>
  <si>
    <t xml:space="preserve">15308 E REDROCK DR </t>
  </si>
  <si>
    <t>SANGER TRUST</t>
  </si>
  <si>
    <t>IRWIN DONALD D &amp; SHERRY A</t>
  </si>
  <si>
    <t>HIRAM</t>
  </si>
  <si>
    <t>RENFRO</t>
  </si>
  <si>
    <t>HIRAM RENFRO</t>
  </si>
  <si>
    <t xml:space="preserve">7817 W KIMBERLY WAY </t>
  </si>
  <si>
    <t xml:space="preserve">7101 WBEARDSLEY RD #862 </t>
  </si>
  <si>
    <t>ABDULLATIF GHADA</t>
  </si>
  <si>
    <t>RENFRO HIRAM E</t>
  </si>
  <si>
    <t>HULSTROM</t>
  </si>
  <si>
    <t>CATHARINE</t>
  </si>
  <si>
    <t>HUMPHREYS</t>
  </si>
  <si>
    <t>JOHN HULSTROM &amp; CATHARINE HUMPHREYS</t>
  </si>
  <si>
    <t xml:space="preserve">1080 E WINDSOR DR </t>
  </si>
  <si>
    <t>JOWELL DAVID L &amp; JEHDEIAH</t>
  </si>
  <si>
    <t>HULSTROM JOHN</t>
  </si>
  <si>
    <t>HUMPHRYES CATHARINE</t>
  </si>
  <si>
    <t>TONIA</t>
  </si>
  <si>
    <t>ERIC &amp; TONIA SCHWAB</t>
  </si>
  <si>
    <t xml:space="preserve">21264 E LORDS WAY </t>
  </si>
  <si>
    <t>QUEENLAND MANOR PHASE 2</t>
  </si>
  <si>
    <t>PLATT AMANDA M</t>
  </si>
  <si>
    <t>SCHWAB ERIC J &amp; TONIA D</t>
  </si>
  <si>
    <t>FERGUSON &amp; STEVEN MICHAEL</t>
  </si>
  <si>
    <t xml:space="preserve">18263 W SELLS DR </t>
  </si>
  <si>
    <t>FERGUSON DEBORAH A &amp; STEVEN M</t>
  </si>
  <si>
    <t>NICHOLAS &amp; KATHRYN TAPP</t>
  </si>
  <si>
    <t xml:space="preserve">12920 W SEGOVIA DR </t>
  </si>
  <si>
    <t>WIGWAM CREEK SOUTH PARCEL 1</t>
  </si>
  <si>
    <t>TE HENRY &amp; JO ANN</t>
  </si>
  <si>
    <t>TAPP NICHOLAS W &amp; KATHRYN R</t>
  </si>
  <si>
    <t>FRANK AND MARY E YAEGER FAMILY TRUST</t>
  </si>
  <si>
    <t xml:space="preserve">30742 N 126TH LN </t>
  </si>
  <si>
    <t>VISTANCIA VILLAGE A PARCEL A38 REPLAT</t>
  </si>
  <si>
    <t>MONTECINA</t>
  </si>
  <si>
    <t>SCHMITZ HENRY J LIVING TRUST</t>
  </si>
  <si>
    <t>YAEGER FRANK &amp; MARY E F TRUST</t>
  </si>
  <si>
    <t>SCHLOSSER</t>
  </si>
  <si>
    <t>WILLIAM SCHLOSSER &amp; JOAN TRACEY</t>
  </si>
  <si>
    <t xml:space="preserve">4220 N 162ND AVE </t>
  </si>
  <si>
    <t>SCHLOSSER WILLIAM THOMAS</t>
  </si>
  <si>
    <t>GARRY</t>
  </si>
  <si>
    <t>GARRY WILLIAMS</t>
  </si>
  <si>
    <t xml:space="preserve">2909 W PALMAIRE AVE </t>
  </si>
  <si>
    <t>GLENN PALMS LOTS 1-122 &amp; TR A</t>
  </si>
  <si>
    <t>GLENN PALMS</t>
  </si>
  <si>
    <t>MAYFAIR FINANCE GROUP LLP</t>
  </si>
  <si>
    <t>WILLIAMS GARRY E</t>
  </si>
  <si>
    <t>MAGNUSSON</t>
  </si>
  <si>
    <t>KEVIN &amp; JUDY MAGNUSSON</t>
  </si>
  <si>
    <t xml:space="preserve">1013 E JARVIS AVE </t>
  </si>
  <si>
    <t>NEW HIGH SUBDIVISION</t>
  </si>
  <si>
    <t>NEW HIGH</t>
  </si>
  <si>
    <t>LINDBLOM JAMES B &amp; F E TRUST</t>
  </si>
  <si>
    <t>MAGNUSSON KEVIN L &amp; JUDY E</t>
  </si>
  <si>
    <t>HANAWALT</t>
  </si>
  <si>
    <t>ZEBULUN</t>
  </si>
  <si>
    <t>ASHLEY &amp; ZEBULUN HANAWALT</t>
  </si>
  <si>
    <t xml:space="preserve">1454 W POSADA AVE </t>
  </si>
  <si>
    <t>TAYLOR CONNIE M &amp; ROSE</t>
  </si>
  <si>
    <t>HANAWALT ASHLEY &amp; ZEBULUN</t>
  </si>
  <si>
    <t>CASAVANT FAMILY LIVING TRUST</t>
  </si>
  <si>
    <t>CASAVANT</t>
  </si>
  <si>
    <t xml:space="preserve">3768 E LATHAM CT </t>
  </si>
  <si>
    <t>CORONADO RANCH PARCEL 5</t>
  </si>
  <si>
    <t>CASAVANT CATHERINE &amp; STEVEN</t>
  </si>
  <si>
    <t>LAREY</t>
  </si>
  <si>
    <t>SEAN &amp; LAREY BOND</t>
  </si>
  <si>
    <t xml:space="preserve">16045 W JEFFERSON ST </t>
  </si>
  <si>
    <t>BEUZEKOM SHARON &amp; MICHAEL S</t>
  </si>
  <si>
    <t>SEAN P BOND</t>
  </si>
  <si>
    <t>LAREY BOND</t>
  </si>
  <si>
    <t>DANIEL E HOLMES AND TRACY S HOLMES TRUST</t>
  </si>
  <si>
    <t xml:space="preserve">3640 N EAGLE CYN </t>
  </si>
  <si>
    <t>SONORAN HEIGHTS UNIT 2 AT LAS SENDAS AMD</t>
  </si>
  <si>
    <t>SONORAN HEIGHTS AT LAS SENDAS</t>
  </si>
  <si>
    <t>HOLMES DANIEL E</t>
  </si>
  <si>
    <t>RHONDA PLATCHEK</t>
  </si>
  <si>
    <t xml:space="preserve">5343 E FOUNTAIN ST </t>
  </si>
  <si>
    <t>STEPPER ANTHONY C</t>
  </si>
  <si>
    <t>PLATCHEK RHONDA L</t>
  </si>
  <si>
    <t>25960 W TONTO LANE LLC</t>
  </si>
  <si>
    <t xml:space="preserve">25939 W BURNETT RD </t>
  </si>
  <si>
    <t>WARNER CEDRIC E &amp; PATRICIA</t>
  </si>
  <si>
    <t>KAPLAN</t>
  </si>
  <si>
    <t>HOWARD &amp; DARLA KAPLAN</t>
  </si>
  <si>
    <t xml:space="preserve">6702 W GROVERS AVE </t>
  </si>
  <si>
    <t>ARROWHEAD ESTATES 2</t>
  </si>
  <si>
    <t>ARROWHEAD ESTATES</t>
  </si>
  <si>
    <t>BOROS SEBASTIAN E &amp; ADINA</t>
  </si>
  <si>
    <t>KAPLAN HOWARD C &amp; DARLA A</t>
  </si>
  <si>
    <t>HEURING</t>
  </si>
  <si>
    <t>VANDA</t>
  </si>
  <si>
    <t>JAMIE &amp; VANDA HEURING</t>
  </si>
  <si>
    <t xml:space="preserve">1191 W GERONIMO PL </t>
  </si>
  <si>
    <t>LU KARLA</t>
  </si>
  <si>
    <t>HEURING JAMIE O</t>
  </si>
  <si>
    <t>DIOMEDE</t>
  </si>
  <si>
    <t>PATRICK &amp; SANDRA DIOMEDE</t>
  </si>
  <si>
    <t xml:space="preserve">6221 W JULIE DR </t>
  </si>
  <si>
    <t>820 FOLLIN LN SE VIENNA VA 22180-4907</t>
  </si>
  <si>
    <t>PATRICK M DIOMEDE</t>
  </si>
  <si>
    <t>SANDRA A DIOMEDE</t>
  </si>
  <si>
    <t>ROY &amp; NANCY BULL</t>
  </si>
  <si>
    <t xml:space="preserve">18471 W CAROL AVE </t>
  </si>
  <si>
    <t>EVENS ROCHELLE</t>
  </si>
  <si>
    <t>BULL ROY R &amp; NANCY A</t>
  </si>
  <si>
    <t>AILEEN</t>
  </si>
  <si>
    <t>MICHAEL &amp; AILEEN OSBORNE</t>
  </si>
  <si>
    <t xml:space="preserve">4487 S JOSHUA TREE LN </t>
  </si>
  <si>
    <t>CORONADO RANCH PARCEL 4</t>
  </si>
  <si>
    <t>FRYE JEFFREY L</t>
  </si>
  <si>
    <t>OSBORNE MICHAEL &amp; AILEEN</t>
  </si>
  <si>
    <t>FRANCIA</t>
  </si>
  <si>
    <t>PAGANO</t>
  </si>
  <si>
    <t>GINGER FRANCIA &amp; JOSEPH PAGANO</t>
  </si>
  <si>
    <t xml:space="preserve">15828 N 183RD LN </t>
  </si>
  <si>
    <t>GINGER L FRANCIA</t>
  </si>
  <si>
    <t>JOSEPH G PAGANO</t>
  </si>
  <si>
    <t>PATRICK WOLTER</t>
  </si>
  <si>
    <t xml:space="preserve">2341 E INDIGO DR </t>
  </si>
  <si>
    <t>MARKWOOD SOUTH PARCEL 7</t>
  </si>
  <si>
    <t>HARBINSON RONALD &amp; BARBARA A</t>
  </si>
  <si>
    <t>WOLTER PATRICK A</t>
  </si>
  <si>
    <t>PATRICK A WOLTER</t>
  </si>
  <si>
    <t>BECKY BLAIR</t>
  </si>
  <si>
    <t>DAVID BULLARD</t>
  </si>
  <si>
    <t xml:space="preserve">31624 N 43RD ST </t>
  </si>
  <si>
    <t>LANHAM BOB G JR TRUST</t>
  </si>
  <si>
    <t>BULLARD DAVID</t>
  </si>
  <si>
    <t>XI</t>
  </si>
  <si>
    <t>BRADLEY &amp; XI SWENSON</t>
  </si>
  <si>
    <t xml:space="preserve">5842 E INGRAM ST </t>
  </si>
  <si>
    <t>GAINES TERRY B</t>
  </si>
  <si>
    <t>SWENSON BRADLEY ANDREW &amp; XI</t>
  </si>
  <si>
    <t>TROTTER</t>
  </si>
  <si>
    <t>TROTTER &amp; BOBBIE LEE</t>
  </si>
  <si>
    <t xml:space="preserve">6320 S 68TH AVE </t>
  </si>
  <si>
    <t>REESON MAYRA &amp; JEFFREY P</t>
  </si>
  <si>
    <t>STEVIE L TROTTER</t>
  </si>
  <si>
    <t>BOBBIE L TROTTER</t>
  </si>
  <si>
    <t>DANIEL &amp; LORA FIELDS</t>
  </si>
  <si>
    <t xml:space="preserve">20841 N 39TH DR </t>
  </si>
  <si>
    <t>SUNSET TRAILS 3</t>
  </si>
  <si>
    <t>SUNSET TRAIL</t>
  </si>
  <si>
    <t>MARX KATHERINE</t>
  </si>
  <si>
    <t>FIELDS DANIEL J</t>
  </si>
  <si>
    <t>MCLAUGHLIN LORA M</t>
  </si>
  <si>
    <t>ESMERALDA</t>
  </si>
  <si>
    <t>DONALD &amp; ESMERALDA MCKENZIE</t>
  </si>
  <si>
    <t xml:space="preserve">17666 W PERSHING ST </t>
  </si>
  <si>
    <t>SPIGELMIRE THOMAS</t>
  </si>
  <si>
    <t>MCKENZIE DONALD L &amp; ESMERALDA</t>
  </si>
  <si>
    <t>GERALD J WERNER REVOCABLE TRUST</t>
  </si>
  <si>
    <t>GERALD WERNER</t>
  </si>
  <si>
    <t xml:space="preserve">11052 N 119TH PL </t>
  </si>
  <si>
    <t>KESKI KRISTOPHER</t>
  </si>
  <si>
    <t>WERNER GERALD J</t>
  </si>
  <si>
    <t>CHACON</t>
  </si>
  <si>
    <t>NORA</t>
  </si>
  <si>
    <t>MICHAEL &amp; NORA CHACON</t>
  </si>
  <si>
    <t xml:space="preserve">5407 W NOVAK WAY </t>
  </si>
  <si>
    <t>GU YIMIN</t>
  </si>
  <si>
    <t>CHACON MICHAEL A &amp; NORA J</t>
  </si>
  <si>
    <t>ROBERT &amp; HELEN ALEXANDER</t>
  </si>
  <si>
    <t xml:space="preserve">12432 N 74TH PL </t>
  </si>
  <si>
    <t>BUENAVANTE LOT 1 THRU 198 &amp; TR A THRU TR</t>
  </si>
  <si>
    <t>MEDEIROS MARK M</t>
  </si>
  <si>
    <t>ALEXANDER ROBERT D</t>
  </si>
  <si>
    <t>MEINEL</t>
  </si>
  <si>
    <t>PIZER</t>
  </si>
  <si>
    <t>JOHN MEINEL &amp; LEWIS PIZER</t>
  </si>
  <si>
    <t xml:space="preserve">1545 W GLENN DR </t>
  </si>
  <si>
    <t>GLENN WEST</t>
  </si>
  <si>
    <t>TAYLOR JAMES C</t>
  </si>
  <si>
    <t>MEINEL JOHN F</t>
  </si>
  <si>
    <t>PIZER LEWIS C</t>
  </si>
  <si>
    <t>PONCE JESUS &amp; MARIA DEDEJESUS</t>
  </si>
  <si>
    <t xml:space="preserve">9425 N 185TH LN </t>
  </si>
  <si>
    <t>PONCE PAULINO &amp; MARIA D</t>
  </si>
  <si>
    <t>ISIDOR</t>
  </si>
  <si>
    <t>DURON</t>
  </si>
  <si>
    <t>ISIDOR &amp; MARIA DURON</t>
  </si>
  <si>
    <t xml:space="preserve">1672 S 160TH AVE </t>
  </si>
  <si>
    <t>ARMENTA OMAR I</t>
  </si>
  <si>
    <t>ISIDOR DURON</t>
  </si>
  <si>
    <t>MARIA DURON</t>
  </si>
  <si>
    <t>BUJOLD</t>
  </si>
  <si>
    <t>KASANDRA</t>
  </si>
  <si>
    <t>BUJOLD &amp; KASANDRA ELLEN</t>
  </si>
  <si>
    <t xml:space="preserve">9505 E NATAL AVE </t>
  </si>
  <si>
    <t>JOHNSON RICHARD M &amp; HEATHER</t>
  </si>
  <si>
    <t>BUJOLD DANIEL J &amp; KASANDRA E</t>
  </si>
  <si>
    <t>DANIEL J BUJOLD</t>
  </si>
  <si>
    <t>KASANDRA E BUJOLD</t>
  </si>
  <si>
    <t>YORK</t>
  </si>
  <si>
    <t>WARUNEE</t>
  </si>
  <si>
    <t>STEVEN &amp; WARUNEE YORK</t>
  </si>
  <si>
    <t xml:space="preserve">12844 W CLAREMONT ST </t>
  </si>
  <si>
    <t>YORK STEVEN &amp; WARUNEE</t>
  </si>
  <si>
    <t>IGOR</t>
  </si>
  <si>
    <t>IVANOVIC</t>
  </si>
  <si>
    <t>CHARLINE</t>
  </si>
  <si>
    <t>IGOR &amp; CHARLINE IVANOVIC</t>
  </si>
  <si>
    <t xml:space="preserve">16430 E CRYSTAL RIDGE DR </t>
  </si>
  <si>
    <t>CRYSTAL RIDGE</t>
  </si>
  <si>
    <t>HEATON DOUGLAS J &amp; TINA J</t>
  </si>
  <si>
    <t>IVANOVIC IGOR P &amp; CHARLINE</t>
  </si>
  <si>
    <t>RONALD &amp; DIANE WALL</t>
  </si>
  <si>
    <t xml:space="preserve">2810 E COTTON CT </t>
  </si>
  <si>
    <t>TATE SEAN</t>
  </si>
  <si>
    <t>WALL RONALD &amp; DIANE</t>
  </si>
  <si>
    <t>STEVEN JARRELL &amp; KATHERINE SINGLETON</t>
  </si>
  <si>
    <t xml:space="preserve">18611 W MARSHALL AVE </t>
  </si>
  <si>
    <t>COOPER NATL LEASING LLC</t>
  </si>
  <si>
    <t>JARRELL STEVEN</t>
  </si>
  <si>
    <t>SINGLETON KATHERINE</t>
  </si>
  <si>
    <t>GARY &amp; THERESA MARSHALL</t>
  </si>
  <si>
    <t xml:space="preserve">1305 E BETH DR </t>
  </si>
  <si>
    <t>REILLY KIM C &amp; MARY</t>
  </si>
  <si>
    <t>MARSHALL GARY</t>
  </si>
  <si>
    <t>MARSHALL GARY D</t>
  </si>
  <si>
    <t>PENDEGRASS</t>
  </si>
  <si>
    <t>KEITH &amp; LYNN PENDEGRASS</t>
  </si>
  <si>
    <t xml:space="preserve">16160 N 180TH LN </t>
  </si>
  <si>
    <t>GULLIVER FAMILY LIVING TRUST</t>
  </si>
  <si>
    <t>PENDEGRASS KEITH</t>
  </si>
  <si>
    <t>TAFOYA</t>
  </si>
  <si>
    <t>ALLEN &amp; CONNIE TAFOYA</t>
  </si>
  <si>
    <t xml:space="preserve">7837 E CAREFREE ESTATES CIR </t>
  </si>
  <si>
    <t xml:space="preserve">PO BOX 2897 </t>
  </si>
  <si>
    <t>CAREFREE INN ESTATES AMENDED</t>
  </si>
  <si>
    <t>CAREFREE INN ESTATES</t>
  </si>
  <si>
    <t>CHAMBERS JAMES S</t>
  </si>
  <si>
    <t>TAFOYA ALLEN F &amp; CONNIE L</t>
  </si>
  <si>
    <t>BENDYNA</t>
  </si>
  <si>
    <t>ALEXANDER &amp; SHIRLEY BENDYNA</t>
  </si>
  <si>
    <t xml:space="preserve">630 E HARWELL RD </t>
  </si>
  <si>
    <t xml:space="preserve">530 E HARWELL RD </t>
  </si>
  <si>
    <t>SINGLETON FRANKLIN J T</t>
  </si>
  <si>
    <t>BENDYNA ALEXANDER &amp; SHIRLEY</t>
  </si>
  <si>
    <t>SELLARO</t>
  </si>
  <si>
    <t>STEPHEN &amp; COURTNEY SELLARO</t>
  </si>
  <si>
    <t xml:space="preserve">20345 E PECAN LN </t>
  </si>
  <si>
    <t>GROVES OF QUEEN CREEK</t>
  </si>
  <si>
    <t>SANDERS FAMILY TRUST</t>
  </si>
  <si>
    <t>STEPHEN SELLARO</t>
  </si>
  <si>
    <t>COURTNEY SELLARO</t>
  </si>
  <si>
    <t>SCHWABE</t>
  </si>
  <si>
    <t>KAREN SCHWABE</t>
  </si>
  <si>
    <t xml:space="preserve">4320 W PEARCE RD </t>
  </si>
  <si>
    <t>PETERSEN VICTOR G &amp; EVELYN H</t>
  </si>
  <si>
    <t>SCHWABE KAREN</t>
  </si>
  <si>
    <t>SKILLMAN</t>
  </si>
  <si>
    <t>QUINDOLYN</t>
  </si>
  <si>
    <t>BILLY &amp; QUINDOLYN SKILLMAN</t>
  </si>
  <si>
    <t xml:space="preserve">7541 W TRAILS DR </t>
  </si>
  <si>
    <t>RESERVE AT EAGLE HEIGHTS</t>
  </si>
  <si>
    <t>K HOVNANIAN OF EAGLE HEIGHTS</t>
  </si>
  <si>
    <t>SKILLMAN BILLY &amp; QUINDOLYN</t>
  </si>
  <si>
    <t>UNYQUE</t>
  </si>
  <si>
    <t>JONATHAN &amp; UNYQUE WILLIAMS</t>
  </si>
  <si>
    <t xml:space="preserve">16814 S 37TH PL </t>
  </si>
  <si>
    <t>BENNETT CHARLES T</t>
  </si>
  <si>
    <t>WILLIAMS JONATHAN L &amp; UNYQUE L</t>
  </si>
  <si>
    <t>JOSEPH RODRIGUEZ</t>
  </si>
  <si>
    <t xml:space="preserve">2729 S BUTTE LN </t>
  </si>
  <si>
    <t>SPECTRUM AT VAL VISTA PARCEL 9</t>
  </si>
  <si>
    <t>BOWLES GREG</t>
  </si>
  <si>
    <t>RODRIGUEZ JOSEPH III</t>
  </si>
  <si>
    <t>JEFFREY &amp; JUDITH HARRIS</t>
  </si>
  <si>
    <t xml:space="preserve">4066 N 155TH DR </t>
  </si>
  <si>
    <t>JACOB DANIEL &amp; MARY</t>
  </si>
  <si>
    <t>HARRIS JEFFREY &amp; JUDITH</t>
  </si>
  <si>
    <t>SWAINHART</t>
  </si>
  <si>
    <t>HOWARTH</t>
  </si>
  <si>
    <t>SAMUEL SWAINHART &amp; ASHLEY HOWARTH</t>
  </si>
  <si>
    <t xml:space="preserve">4056 E WEAVER RD </t>
  </si>
  <si>
    <t>DESERT RIDGE PARCEL 7.13</t>
  </si>
  <si>
    <t>BABENDURE SHELDON &amp; SUSAN</t>
  </si>
  <si>
    <t>SWAINHART SAMUEL R</t>
  </si>
  <si>
    <t>HOWARTH ASHLEY L</t>
  </si>
  <si>
    <t>ROBERT GILMORE</t>
  </si>
  <si>
    <t xml:space="preserve">8737 W CHARTER OAK RD </t>
  </si>
  <si>
    <t>BAUM STEVEN A</t>
  </si>
  <si>
    <t>GILMORE ROBERT B</t>
  </si>
  <si>
    <t>ERICK &amp; JENNIFER YOUNG</t>
  </si>
  <si>
    <t xml:space="preserve">17442 N 24TH DR </t>
  </si>
  <si>
    <t>VILLAGE MEADOWS  4</t>
  </si>
  <si>
    <t>JAH VENTURES LLLP</t>
  </si>
  <si>
    <t>YOUNG ERICK S &amp; JENNIFER S</t>
  </si>
  <si>
    <t>SZABO</t>
  </si>
  <si>
    <t>CHARLYN</t>
  </si>
  <si>
    <t>MORGAN-SAZBO</t>
  </si>
  <si>
    <t>BRADLEY SZABO &amp; CHARLYN MORGAN-SAZBO</t>
  </si>
  <si>
    <t xml:space="preserve">2020 E GELDING DR </t>
  </si>
  <si>
    <t>LOZIER KEVIN J LIVING TRUST</t>
  </si>
  <si>
    <t>SZABO BRADLEY S</t>
  </si>
  <si>
    <t>MORGAN-SZABO CHARLYN R</t>
  </si>
  <si>
    <t>JERNIGAN</t>
  </si>
  <si>
    <t>BRYAN MARTIN &amp; ALLISON JERNIGAN</t>
  </si>
  <si>
    <t xml:space="preserve">10354 N 58TH DR </t>
  </si>
  <si>
    <t>SAUNDERS TRACY B</t>
  </si>
  <si>
    <t>MARTIN BRYAN K</t>
  </si>
  <si>
    <t>JERNIGAN ALLISON B</t>
  </si>
  <si>
    <t>ADAN &amp; IMELDA MALDONADO</t>
  </si>
  <si>
    <t xml:space="preserve">855 N DATE PALM DR </t>
  </si>
  <si>
    <t>PATTERSON POINT AT VAL VISTA LAKES</t>
  </si>
  <si>
    <t>PATTERSON POINT</t>
  </si>
  <si>
    <t>MARSHALL KYMBERLY A</t>
  </si>
  <si>
    <t>MALDONADO ADAN C &amp; IMELDA</t>
  </si>
  <si>
    <t>RIORDAN</t>
  </si>
  <si>
    <t>MATTHEW RIORDAN</t>
  </si>
  <si>
    <t xml:space="preserve">10533 W FLOWER ST </t>
  </si>
  <si>
    <t>GLENARM FARMS UNIT 4</t>
  </si>
  <si>
    <t>THORNBURG RACHEL E</t>
  </si>
  <si>
    <t>RIORDAN MATTHEW</t>
  </si>
  <si>
    <t>CROOKS</t>
  </si>
  <si>
    <t>MATTHEW &amp; ASHLEY CROOKS</t>
  </si>
  <si>
    <t xml:space="preserve">1787 E ERIE ST </t>
  </si>
  <si>
    <t>BURDGE RYAN</t>
  </si>
  <si>
    <t>CROOKS MATTHEW</t>
  </si>
  <si>
    <t>LEVI</t>
  </si>
  <si>
    <t>HAGEDORN</t>
  </si>
  <si>
    <t>TENZIM</t>
  </si>
  <si>
    <t>NAMLA</t>
  </si>
  <si>
    <t>LEVI HAGEDORN &amp; TENZIM NAMLA</t>
  </si>
  <si>
    <t xml:space="preserve">215 W MOUNTAIN SAGE DR </t>
  </si>
  <si>
    <t>FOOTHILLS CLUB WEST PARCEL 14B</t>
  </si>
  <si>
    <t>PRIVADA</t>
  </si>
  <si>
    <t>FAIR HERB H</t>
  </si>
  <si>
    <t>HAGEDORN LEVI</t>
  </si>
  <si>
    <t>NAMLA TENZIM</t>
  </si>
  <si>
    <t>JOHN GOMEZ</t>
  </si>
  <si>
    <t xml:space="preserve">19572 E STRAWBERRY DR </t>
  </si>
  <si>
    <t>GOMEZ JOHN</t>
  </si>
  <si>
    <t>PITTATSIS</t>
  </si>
  <si>
    <t>NICHOLAS &amp; TARA PITTATSIS</t>
  </si>
  <si>
    <t xml:space="preserve">15020 W GEORGIA DR </t>
  </si>
  <si>
    <t>PELLETIER DOROTHY A</t>
  </si>
  <si>
    <t>PITTATSIS NICHOLAS &amp; TARA</t>
  </si>
  <si>
    <t>CURTIN</t>
  </si>
  <si>
    <t>IRENE &amp; IRENE ISAAC</t>
  </si>
  <si>
    <t xml:space="preserve">6323 E DESERT VISTA TRL </t>
  </si>
  <si>
    <t>DESERT VISTA TRAILS</t>
  </si>
  <si>
    <t>COOK GARY R</t>
  </si>
  <si>
    <t>CURTIN JONATHAN I &amp; REBECCA I</t>
  </si>
  <si>
    <t>JONATHAN I CURTIN</t>
  </si>
  <si>
    <t>REBECCA I CURTIN</t>
  </si>
  <si>
    <t>GORDON REX C LIVING TRUST</t>
  </si>
  <si>
    <t>REX GORDON</t>
  </si>
  <si>
    <t xml:space="preserve">13148 W FIGUEROA DR </t>
  </si>
  <si>
    <t>WYNN LAURINE</t>
  </si>
  <si>
    <t>GORDON REX C</t>
  </si>
  <si>
    <t>CARTIER</t>
  </si>
  <si>
    <t>MUN-PENG</t>
  </si>
  <si>
    <t>BRAD CARTIER &amp; MUN-PENG TAN</t>
  </si>
  <si>
    <t xml:space="preserve">3666 E LARK DR </t>
  </si>
  <si>
    <t>EAGLE GLEN 1</t>
  </si>
  <si>
    <t>EAGLE GLEN I</t>
  </si>
  <si>
    <t>POLSTON ROBERT</t>
  </si>
  <si>
    <t>CARTIER BRAD</t>
  </si>
  <si>
    <t>TAN MUN-PENG</t>
  </si>
  <si>
    <t>RESZKA</t>
  </si>
  <si>
    <t>SCOTT &amp; KELLI RESZKA</t>
  </si>
  <si>
    <t xml:space="preserve">4114 S CAMELLIA DR </t>
  </si>
  <si>
    <t>WALDVOGEL DONALD J &amp; DEBORAH</t>
  </si>
  <si>
    <t>RESZKA SCOTT L &amp; KELLI P</t>
  </si>
  <si>
    <t>SCHNEIDER</t>
  </si>
  <si>
    <t>SCHNEIDER &amp; ELIZABETH MARIE</t>
  </si>
  <si>
    <t xml:space="preserve">9244 W KATHLEEN RD </t>
  </si>
  <si>
    <t>ARROWHEAD HORIZONS</t>
  </si>
  <si>
    <t>DDD VENTURE III LLC</t>
  </si>
  <si>
    <t>JEROME E SCHNEIDER</t>
  </si>
  <si>
    <t>ELIZABETH M SCHNEIDER</t>
  </si>
  <si>
    <t>KENSKI</t>
  </si>
  <si>
    <t>CAMMI</t>
  </si>
  <si>
    <t>KEVIN &amp; CAMMI KENSKI</t>
  </si>
  <si>
    <t xml:space="preserve">1417 E INDIGO ST </t>
  </si>
  <si>
    <t>KUNKLE ROSE T &amp; AARON W</t>
  </si>
  <si>
    <t>KENSKI KEVIN D &amp; CAMMI M</t>
  </si>
  <si>
    <t>DANITA &amp; DARRELL FLORA</t>
  </si>
  <si>
    <t xml:space="preserve">10060 E LAKEVIEW AVE </t>
  </si>
  <si>
    <t>VILLAGES OF EASTRIDGE UNIT 10A</t>
  </si>
  <si>
    <t>BOLOGNESE GARY</t>
  </si>
  <si>
    <t>FLORA DANITA</t>
  </si>
  <si>
    <t>RICHARD &amp; VIVIAN REYES</t>
  </si>
  <si>
    <t xml:space="preserve">16246 W CAMERON DR </t>
  </si>
  <si>
    <t>REYES RICHARD D</t>
  </si>
  <si>
    <t>DANNY RAY &amp; KRISTINA ANN HUGHES REV LIV TRUST</t>
  </si>
  <si>
    <t>DANNY RAY &amp; KRISTINA LIV</t>
  </si>
  <si>
    <t xml:space="preserve">340 W LOMA VISTA ST </t>
  </si>
  <si>
    <t>STUCKI MARK</t>
  </si>
  <si>
    <t>HUGHES DANNY R</t>
  </si>
  <si>
    <t>CHOUINARD</t>
  </si>
  <si>
    <t>PETE CHOUINARD</t>
  </si>
  <si>
    <t xml:space="preserve">7648 E PLATA AVE </t>
  </si>
  <si>
    <t>MUSTANG LAND &amp; HOMES LLC</t>
  </si>
  <si>
    <t>CHOUINARD PETE</t>
  </si>
  <si>
    <t>BUTERBAUGH FAMILY TRUST</t>
  </si>
  <si>
    <t>BUTERBAUGH FAMILY</t>
  </si>
  <si>
    <t xml:space="preserve">5951 E SANDRA TER </t>
  </si>
  <si>
    <t>PARADISE PARK VISTA   LOT 30-261 TR A-D</t>
  </si>
  <si>
    <t>PARADISE PARK VISTA</t>
  </si>
  <si>
    <t>LAMB KRISTOPHER</t>
  </si>
  <si>
    <t>FIRST WSTRN TR BK</t>
  </si>
  <si>
    <t>DENVER CO 80202</t>
  </si>
  <si>
    <t>BUTERBAUGH JOHN E</t>
  </si>
  <si>
    <t>PENNY KRISTEN M</t>
  </si>
  <si>
    <t>URWILER</t>
  </si>
  <si>
    <t>URWILER &amp; JONATHAN MICHAEL</t>
  </si>
  <si>
    <t xml:space="preserve">733 E BARBARITA AVE </t>
  </si>
  <si>
    <t>RIO CABALLO UNIT ONE LOT 1-12</t>
  </si>
  <si>
    <t>PHILLIPS STEPHEN</t>
  </si>
  <si>
    <t>URWILER KELLY A &amp; JONATHAN M</t>
  </si>
  <si>
    <t>AMBROSIO</t>
  </si>
  <si>
    <t>COLLADO</t>
  </si>
  <si>
    <t>AMBROSIO COLLADO</t>
  </si>
  <si>
    <t xml:space="preserve">15867 N 182ND LN </t>
  </si>
  <si>
    <t>AMDROSIO A COLLADO</t>
  </si>
  <si>
    <t>BARTHONIA</t>
  </si>
  <si>
    <t>BARTHONIA WASHINGTON</t>
  </si>
  <si>
    <t xml:space="preserve">22351 N 67TH DR </t>
  </si>
  <si>
    <t>HILLCREST RANCH PARCEL A  LOT 1-133  TR</t>
  </si>
  <si>
    <t>KARNSTEDT BRAD &amp; CONSTANCE</t>
  </si>
  <si>
    <t>WASHINGTON BARTHONIA T JR</t>
  </si>
  <si>
    <t>BOURG</t>
  </si>
  <si>
    <t>AUTUMN</t>
  </si>
  <si>
    <t>BOURG &amp; AUTUMN JONES</t>
  </si>
  <si>
    <t xml:space="preserve">6788 W QUAIL AVE </t>
  </si>
  <si>
    <t>BOURG MICHAEL A &amp; AUTUMN L J</t>
  </si>
  <si>
    <t>MIGLIORINI FAMILY TRUST</t>
  </si>
  <si>
    <t>MIGLIORINI</t>
  </si>
  <si>
    <t xml:space="preserve">6552 E RIVERDALE ST </t>
  </si>
  <si>
    <t>LAPRAY TATE D &amp; CARRIE L</t>
  </si>
  <si>
    <t>MIGLIORINI JOSEPH E &amp; CAYLEE</t>
  </si>
  <si>
    <t>KOEPFER</t>
  </si>
  <si>
    <t>AUSTIN KOEPFER</t>
  </si>
  <si>
    <t xml:space="preserve">8137 E INDIAN SCHOOL RD </t>
  </si>
  <si>
    <t>SCOTTSDALE ESTATES 5 LOTS 464-597</t>
  </si>
  <si>
    <t>KRYSTOFIAK STEVE</t>
  </si>
  <si>
    <t>DETROIT MI 48226-1996</t>
  </si>
  <si>
    <t>AUSTIN T KOEPFER</t>
  </si>
  <si>
    <t>BISCIEGLIA</t>
  </si>
  <si>
    <t>ROCCO BISCIEGLIA</t>
  </si>
  <si>
    <t xml:space="preserve">14333 W CIRCLE RIDGE DR </t>
  </si>
  <si>
    <t>SUN CITY WEST 41</t>
  </si>
  <si>
    <t>HARTMAN LOIS TRUST</t>
  </si>
  <si>
    <t>BISCIEGLIA ROCCO HARRY</t>
  </si>
  <si>
    <t>RUGTIVE-BISCIEGLIA TERI A</t>
  </si>
  <si>
    <t>MONROE LA 71203</t>
  </si>
  <si>
    <t>ROCCO H BISCIEGLIA JR</t>
  </si>
  <si>
    <t>TERI A RUGTIVE-BISCIEGLIA</t>
  </si>
  <si>
    <t>NASH</t>
  </si>
  <si>
    <t>PUREZA</t>
  </si>
  <si>
    <t>BYRON &amp; PUREZA NASH</t>
  </si>
  <si>
    <t xml:space="preserve">2247 E LAKECREST DR </t>
  </si>
  <si>
    <t>LANDING AT VAL VISTA LAKES LT 1-79 TR A</t>
  </si>
  <si>
    <t>LANDING AT VAL VISTA LAKES</t>
  </si>
  <si>
    <t>PETROCCO JOSEPH M</t>
  </si>
  <si>
    <t>BYRON M NASH</t>
  </si>
  <si>
    <t>PUREZA NASH</t>
  </si>
  <si>
    <t>MICELI</t>
  </si>
  <si>
    <t>MARY &amp; ROBERT MICELI</t>
  </si>
  <si>
    <t xml:space="preserve">16654 S 27TH AVE </t>
  </si>
  <si>
    <t>EICHORN JEFFREY P &amp; F V</t>
  </si>
  <si>
    <t>MICELI ROBERT J &amp; MARY K</t>
  </si>
  <si>
    <t>DAVID &amp; TRISHA BARNES</t>
  </si>
  <si>
    <t xml:space="preserve">3735 W MEMORIAL DR </t>
  </si>
  <si>
    <t>BARNES ALEXANDRA A</t>
  </si>
  <si>
    <t>BARNES DAVID &amp; TRISHA</t>
  </si>
  <si>
    <t>MANCEBO</t>
  </si>
  <si>
    <t>RANDAL</t>
  </si>
  <si>
    <t>JENNIFER &amp; RANDAL MANCEBO</t>
  </si>
  <si>
    <t xml:space="preserve">14894 N 97TH PL </t>
  </si>
  <si>
    <t>PARCEL L SCOTTSDALE HORIZON LOT 1-69  TR</t>
  </si>
  <si>
    <t>MANCEBO JENNIFER C &amp; RANDAL L</t>
  </si>
  <si>
    <t>WILFRED</t>
  </si>
  <si>
    <t>WILFRED &amp; SYLVIA CASTILLO</t>
  </si>
  <si>
    <t xml:space="preserve">17408 W KEIM DR </t>
  </si>
  <si>
    <t>TARA ESTATES</t>
  </si>
  <si>
    <t>TARA ESTATES 15 LLC</t>
  </si>
  <si>
    <t>CASTILLO WILFRED &amp; SYLVIA</t>
  </si>
  <si>
    <t>VANDERMEER</t>
  </si>
  <si>
    <t>JEFFERY &amp; MEGAN VANDERMEER</t>
  </si>
  <si>
    <t xml:space="preserve">20330 E CAMINA PLATA </t>
  </si>
  <si>
    <t>FEUERSTEIN RICHARD A</t>
  </si>
  <si>
    <t>VANDERMEER JEFFERY &amp; MEGAN</t>
  </si>
  <si>
    <t>MAGNUSON</t>
  </si>
  <si>
    <t>JOHN &amp; JULIE MAGNUSON</t>
  </si>
  <si>
    <t xml:space="preserve">2739 E VISTA DR </t>
  </si>
  <si>
    <t>SHADOW MOUNTAIN ESTATES AMD</t>
  </si>
  <si>
    <t>SHADOW MOUNTAIN ESTATES NORTH</t>
  </si>
  <si>
    <t>BOYD FAMILY LIVING TRUST</t>
  </si>
  <si>
    <t>MAGNUSON JOHN R &amp; JULIE G</t>
  </si>
  <si>
    <t>ROSINI</t>
  </si>
  <si>
    <t>VICTOR &amp; ISABELLA ROSINI</t>
  </si>
  <si>
    <t xml:space="preserve">7864 E KENWOOD ST </t>
  </si>
  <si>
    <t>VAUGHT DORIS J</t>
  </si>
  <si>
    <t>ROSINI VICTOR S &amp; ISABELLA</t>
  </si>
  <si>
    <t>RADCLIFFE</t>
  </si>
  <si>
    <t>MARIO &amp; JACKIE RADCLIFFE</t>
  </si>
  <si>
    <t xml:space="preserve">850 E CANYON WAY </t>
  </si>
  <si>
    <t>FRANCIS CHRISTEL E</t>
  </si>
  <si>
    <t>RADCLIFFE MARIO &amp; JACKIE N</t>
  </si>
  <si>
    <t>MARIO RADCLIFFE</t>
  </si>
  <si>
    <t>JACKIE N RADCLIFFE</t>
  </si>
  <si>
    <t>HAMIL</t>
  </si>
  <si>
    <t>MICHAEL HAMIL</t>
  </si>
  <si>
    <t xml:space="preserve">3868 N ACACIA WAY </t>
  </si>
  <si>
    <t>HETTEL WILLIAM Z &amp; JADRYNE S</t>
  </si>
  <si>
    <t>MICHAEL S HAMIL</t>
  </si>
  <si>
    <t>HEDGECOKE</t>
  </si>
  <si>
    <t>TERRI HEDGECOKE</t>
  </si>
  <si>
    <t xml:space="preserve">2815 W IRVINE RD </t>
  </si>
  <si>
    <t>BLANCHARD CALVIN E</t>
  </si>
  <si>
    <t>HEDGECOKE TERRI S</t>
  </si>
  <si>
    <t>KENNETH &amp; BRENDA WILSON</t>
  </si>
  <si>
    <t xml:space="preserve">25409 W MADRE DEL ORO DR </t>
  </si>
  <si>
    <t>MONTERO DAVID A &amp; KIMBERLY A</t>
  </si>
  <si>
    <t>WILSON KENNETH M &amp; BRENDA S</t>
  </si>
  <si>
    <t>ROSENECKER</t>
  </si>
  <si>
    <t>JESSE &amp; MELISSA ROSENECKER</t>
  </si>
  <si>
    <t xml:space="preserve">20230 W ROY ROGERS RD </t>
  </si>
  <si>
    <t>GALLAGHER JAMES M &amp; LOLA M</t>
  </si>
  <si>
    <t>ROSENECKER JESSE J &amp; MELISSA M</t>
  </si>
  <si>
    <t>MIGNANO</t>
  </si>
  <si>
    <t>FRANK &amp; ANNE MIGNANO</t>
  </si>
  <si>
    <t xml:space="preserve">2946 W SOUSA DR </t>
  </si>
  <si>
    <t>NUZZI MICHAEL A &amp; ROSLYN K</t>
  </si>
  <si>
    <t>MIGNANO FRANK A</t>
  </si>
  <si>
    <t>DAKE</t>
  </si>
  <si>
    <t>KOLENE</t>
  </si>
  <si>
    <t>RICHARD &amp; KOLENE DAKE</t>
  </si>
  <si>
    <t xml:space="preserve">40932 N HAWK RIDGE TRL </t>
  </si>
  <si>
    <t>ANTHEM UNIT 36</t>
  </si>
  <si>
    <t>SMITH RICHARD A &amp; TRICIA S</t>
  </si>
  <si>
    <t>DAKE RICHARD P &amp; KOLENE K</t>
  </si>
  <si>
    <t>GRISWOLD</t>
  </si>
  <si>
    <t>JOHN &amp; CAROL GRISWOLD</t>
  </si>
  <si>
    <t xml:space="preserve">4316 E REDWOOD LN </t>
  </si>
  <si>
    <t>FOOTHILLS PASEO 2</t>
  </si>
  <si>
    <t>BRICKA TRUST</t>
  </si>
  <si>
    <t>GRISWOLD JOHN J &amp; CAROL A</t>
  </si>
  <si>
    <t>PEDERSON</t>
  </si>
  <si>
    <t>JOSHUA PEDERSON</t>
  </si>
  <si>
    <t xml:space="preserve">1216 W MARLBORO DR </t>
  </si>
  <si>
    <t>SARATOGA SQUARE LOT 1-226 TR A</t>
  </si>
  <si>
    <t>SARATOGA SQUARE</t>
  </si>
  <si>
    <t>CUNEO JOHN R &amp; CAROLYN L T T</t>
  </si>
  <si>
    <t>PEDERSON JOSHUA</t>
  </si>
  <si>
    <t>CHEVALIER 2016 REVOCABLE TRUST</t>
  </si>
  <si>
    <t>CHEVALIER</t>
  </si>
  <si>
    <t xml:space="preserve">728 S GENTRY </t>
  </si>
  <si>
    <t>FULLER RANCH SUBDIVISION LOT 1-410 &amp; TR</t>
  </si>
  <si>
    <t>FULLER RANCH</t>
  </si>
  <si>
    <t>MURSENER NEIL</t>
  </si>
  <si>
    <t>CHEVALIER JASON</t>
  </si>
  <si>
    <t>MARTIN ADAM J &amp; MELISSA A TRUS</t>
  </si>
  <si>
    <t>J &amp; MELISSA MARTINADAM</t>
  </si>
  <si>
    <t xml:space="preserve">2751 S KENNETH PL </t>
  </si>
  <si>
    <t>MAE PLACE LOT 1-20 TR A B</t>
  </si>
  <si>
    <t>MAE PLACE</t>
  </si>
  <si>
    <t>WUELLNER BONNIE</t>
  </si>
  <si>
    <t>MARTIN ADAM J &amp; MELISSA A</t>
  </si>
  <si>
    <t>SOBOTA</t>
  </si>
  <si>
    <t>DAVIDA SOBOTA</t>
  </si>
  <si>
    <t xml:space="preserve">6202 W BEVERLY LN </t>
  </si>
  <si>
    <t>HONEYCUTT JASON</t>
  </si>
  <si>
    <t>SOBATA DAVIDA</t>
  </si>
  <si>
    <t>STAHL</t>
  </si>
  <si>
    <t>LOLA</t>
  </si>
  <si>
    <t>MARIE-ANDREE</t>
  </si>
  <si>
    <t>MICHAEL STAHL &amp; LOLA MARIE-ANDREE</t>
  </si>
  <si>
    <t xml:space="preserve">9514 E KIVA AVE </t>
  </si>
  <si>
    <t xml:space="preserve">7514 E KIVA AVE </t>
  </si>
  <si>
    <t>GLYNN DOUGLAS L</t>
  </si>
  <si>
    <t>MICHAEL J STAHL</t>
  </si>
  <si>
    <t>MARIE-ANDREE L STAHL</t>
  </si>
  <si>
    <t>ORTYL</t>
  </si>
  <si>
    <t>JOHN ORTYL</t>
  </si>
  <si>
    <t xml:space="preserve">1060 W DAVA DR </t>
  </si>
  <si>
    <t>FESTIVA TEMPE</t>
  </si>
  <si>
    <t>SUBRAMANIAN SUMAN M</t>
  </si>
  <si>
    <t>ORTYL JOHN D</t>
  </si>
  <si>
    <t>VANDELLEN</t>
  </si>
  <si>
    <t>CHESTER &amp; JUDY VANDELLEN</t>
  </si>
  <si>
    <t xml:space="preserve">11042 W SIERRA PINTA DR </t>
  </si>
  <si>
    <t>MOONLIGHT BAY AT VENTANA LAKES PHASE 2</t>
  </si>
  <si>
    <t>MOONLIGHT BAY AT VENTANA LAKES</t>
  </si>
  <si>
    <t>TILSTRA CAROLYN R T T</t>
  </si>
  <si>
    <t>GLENDALE AZ 85305</t>
  </si>
  <si>
    <t>CHESTER V DELLEN</t>
  </si>
  <si>
    <t>JUDY A DELLEN</t>
  </si>
  <si>
    <t>CHESTER JR VAN DELLEN</t>
  </si>
  <si>
    <t>JUDY A VAN DELLEN</t>
  </si>
  <si>
    <t>TIMOTHY ROSS</t>
  </si>
  <si>
    <t xml:space="preserve">15341 W MADISON ST </t>
  </si>
  <si>
    <t>MORGAN JANELL</t>
  </si>
  <si>
    <t>ROSS TIMOTHY</t>
  </si>
  <si>
    <t>FRANDSEN</t>
  </si>
  <si>
    <t>KRISTY FRANDSEN</t>
  </si>
  <si>
    <t xml:space="preserve">3432 W LEISURE LN </t>
  </si>
  <si>
    <t>SPEULDA KATHARINE L</t>
  </si>
  <si>
    <t>FRANDSEN KRISTY M</t>
  </si>
  <si>
    <t>THERISHA</t>
  </si>
  <si>
    <t>JONATHAN &amp; THERISHA MYERS</t>
  </si>
  <si>
    <t xml:space="preserve">4234 E MOUNTAIN SAGE DR </t>
  </si>
  <si>
    <t>MOUNTAIN PARK RANCH UNIT 11 PARCEL 2</t>
  </si>
  <si>
    <t>CANZIANI ENNIO &amp; J TRUST</t>
  </si>
  <si>
    <t>MYERS JONATHAN M &amp; THERISHA K</t>
  </si>
  <si>
    <t>LOUIS &amp; WILMA MABRY</t>
  </si>
  <si>
    <t xml:space="preserve">914 E HARVARD AVE </t>
  </si>
  <si>
    <t xml:space="preserve">9302 E BROADWAY RD #165 </t>
  </si>
  <si>
    <t>SAHAK ALEX</t>
  </si>
  <si>
    <t>MABRY LOUIS W</t>
  </si>
  <si>
    <t>BRIAN &amp; LYNN ALEXANDER</t>
  </si>
  <si>
    <t xml:space="preserve">1521 S VELERO PL </t>
  </si>
  <si>
    <t>WARTAK PETER L</t>
  </si>
  <si>
    <t>ALEXANDER BRIAN &amp; LYNN</t>
  </si>
  <si>
    <t>RAMON &amp; CARRIE RAMIREZ</t>
  </si>
  <si>
    <t xml:space="preserve">3369 E WINDSONG DR </t>
  </si>
  <si>
    <t>WU JIN Y</t>
  </si>
  <si>
    <t>RAMON RAMIREZ</t>
  </si>
  <si>
    <t>CARRIE RAMIREZ</t>
  </si>
  <si>
    <t>SINCLAIR &amp; AMY LYNN</t>
  </si>
  <si>
    <t xml:space="preserve">10119 W COTTONTAIL LN </t>
  </si>
  <si>
    <t>SINCLAIR BRIAN &amp; AMY L</t>
  </si>
  <si>
    <t>RUTHERFORD</t>
  </si>
  <si>
    <t>DANNY RUTHERFORD</t>
  </si>
  <si>
    <t xml:space="preserve">4663 S PEARL DR </t>
  </si>
  <si>
    <t>AVIAN TRAILS</t>
  </si>
  <si>
    <t>WILSON STEVEN</t>
  </si>
  <si>
    <t>RUTHERFORD DANNY</t>
  </si>
  <si>
    <t>BUGAJSKY</t>
  </si>
  <si>
    <t>BUGAJSKY &amp; MARY ELLEN</t>
  </si>
  <si>
    <t xml:space="preserve">9648 W ROSEMONTE DR </t>
  </si>
  <si>
    <t>LAKEVIEW ESTATES AT WESTBROOK VILLAGE</t>
  </si>
  <si>
    <t>BUGAJSKY CHARLES J &amp; MARY E</t>
  </si>
  <si>
    <t>BRADEN</t>
  </si>
  <si>
    <t>GROSS</t>
  </si>
  <si>
    <t>TIANNA</t>
  </si>
  <si>
    <t>BRADEN &amp; TIANNA GROSS</t>
  </si>
  <si>
    <t xml:space="preserve">16058 W BECKER LN </t>
  </si>
  <si>
    <t>LEWIEN CODY M &amp; MELISSA K</t>
  </si>
  <si>
    <t>GROSS BRADEN D &amp; TIANNA N</t>
  </si>
  <si>
    <t>PASS</t>
  </si>
  <si>
    <t>GERALD PASS</t>
  </si>
  <si>
    <t xml:space="preserve">11008 E VALLEJO ST </t>
  </si>
  <si>
    <t xml:space="preserve">PO BOX 190 </t>
  </si>
  <si>
    <t>GILA BUTTE ESTATES</t>
  </si>
  <si>
    <t>LEE EVAUN LIVING TRUST</t>
  </si>
  <si>
    <t>PASS GERALD E</t>
  </si>
  <si>
    <t>QUORUM FCU</t>
  </si>
  <si>
    <t>PURCHASE NY 10577</t>
  </si>
  <si>
    <t>GERALD E PASS</t>
  </si>
  <si>
    <t>LOVELL</t>
  </si>
  <si>
    <t>CHERYL &amp; MATTHEW LOVELL</t>
  </si>
  <si>
    <t xml:space="preserve">4156 E RAVENSWOOD DR </t>
  </si>
  <si>
    <t>SEVILLE PARCEL 20</t>
  </si>
  <si>
    <t>CASTILLO I</t>
  </si>
  <si>
    <t>REALMONTE BRIAN P</t>
  </si>
  <si>
    <t>MID-AMERICAN MORTGAGE INC</t>
  </si>
  <si>
    <t>LOVELL CHERYL L &amp; MATTHEW D</t>
  </si>
  <si>
    <t>WOOLSTENHULME</t>
  </si>
  <si>
    <t>DANIEL &amp; ELIZABETH WOOLSTENHULME</t>
  </si>
  <si>
    <t xml:space="preserve">2334 E DESERT TRUMPET RD </t>
  </si>
  <si>
    <t>SONTERRA 3  LOT 294-471__TR A</t>
  </si>
  <si>
    <t>SONTERRA</t>
  </si>
  <si>
    <t>FACINELLI WILLIAM A &amp; DIANE</t>
  </si>
  <si>
    <t>WOOLSTENHULME DANIEL E &amp; ELIZABETH</t>
  </si>
  <si>
    <t>JOSEPH DUFFY</t>
  </si>
  <si>
    <t xml:space="preserve">16423 S 38TH PL </t>
  </si>
  <si>
    <t>BECHTOLD KYLE &amp; KARI</t>
  </si>
  <si>
    <t>THEMORTGAGEADVANTAGE COM PLLC</t>
  </si>
  <si>
    <t>DUFFY JOSEPH S</t>
  </si>
  <si>
    <t>ROBERT &amp; DAWN DAVIS</t>
  </si>
  <si>
    <t xml:space="preserve">4425 E DESERT WIND DR </t>
  </si>
  <si>
    <t>ORTBAHN BRIAN S</t>
  </si>
  <si>
    <t>DAVIS ROBERT P &amp; DAWN E</t>
  </si>
  <si>
    <t>RECO</t>
  </si>
  <si>
    <t>NAPIER</t>
  </si>
  <si>
    <t>RECO NAPIER</t>
  </si>
  <si>
    <t xml:space="preserve">14474 N 135TH DR </t>
  </si>
  <si>
    <t>CASTANEDA ISRAEL</t>
  </si>
  <si>
    <t>NAPIER RECO J</t>
  </si>
  <si>
    <t>JOSHUA WELCH</t>
  </si>
  <si>
    <t xml:space="preserve">27413 N 59TH DR </t>
  </si>
  <si>
    <t>ALLEN ROBERT J</t>
  </si>
  <si>
    <t>WELCH JOSHUA J</t>
  </si>
  <si>
    <t>LELONIE</t>
  </si>
  <si>
    <t>CHAD &amp; LELONIE HOLM</t>
  </si>
  <si>
    <t xml:space="preserve">10856 E REGINALD AVE </t>
  </si>
  <si>
    <t>GANGWISH RICHARD J</t>
  </si>
  <si>
    <t>HOLM CHAD D</t>
  </si>
  <si>
    <t>FRANCIS KEANE</t>
  </si>
  <si>
    <t xml:space="preserve">13212 W WHISPER ROCK TRL </t>
  </si>
  <si>
    <t>KEANE FRANCIS C</t>
  </si>
  <si>
    <t>JAMES &amp; SUSAN ALLEN</t>
  </si>
  <si>
    <t xml:space="preserve">30730 N 126TH LN </t>
  </si>
  <si>
    <t>TRUMP DARRELL &amp; DEBRA</t>
  </si>
  <si>
    <t>ALLEN JAMES R &amp; SUSAN</t>
  </si>
  <si>
    <t>MATTHEW &amp; HEIDI HIGGINS</t>
  </si>
  <si>
    <t xml:space="preserve">4655 E DOWNING CIR </t>
  </si>
  <si>
    <t>FLOURNOY FRANK S &amp; GEORGIA W</t>
  </si>
  <si>
    <t>HIGGINS MATTHEW W &amp; HEIDI K</t>
  </si>
  <si>
    <t>RITTMAN</t>
  </si>
  <si>
    <t>DAVID &amp; EMILY RITTMAN</t>
  </si>
  <si>
    <t xml:space="preserve">957 E NARROWLEAF CT </t>
  </si>
  <si>
    <t>ROGERS SETH H</t>
  </si>
  <si>
    <t>SNAPFI INC</t>
  </si>
  <si>
    <t>1155 MERIDIAN AVE # 100 SAN JOSE CA 95125-4331</t>
  </si>
  <si>
    <t>DAVID RITTMAN</t>
  </si>
  <si>
    <t>EMILY RITTMAN</t>
  </si>
  <si>
    <t>KLOSOWSKI</t>
  </si>
  <si>
    <t>KURT KLOSOWSKI</t>
  </si>
  <si>
    <t xml:space="preserve">15354 W CUSTER LN </t>
  </si>
  <si>
    <t>BICKEL KEVIN</t>
  </si>
  <si>
    <t>FIRST DIRECT LNDG</t>
  </si>
  <si>
    <t>KLOSOWSKI KURT</t>
  </si>
  <si>
    <t>MIGUEL &amp; NICOLE GARCIA</t>
  </si>
  <si>
    <t xml:space="preserve">6822 S 43RD PL </t>
  </si>
  <si>
    <t>PONDEROSA VILLAGE UNIT 3</t>
  </si>
  <si>
    <t>PONDEROSA VILLAGE</t>
  </si>
  <si>
    <t>NEVITT ELEMENTARY SCHOOL</t>
  </si>
  <si>
    <t>GARCIA MIGUEL &amp; NICOLE</t>
  </si>
  <si>
    <t>LONNE</t>
  </si>
  <si>
    <t>LONNE &amp; PAULA DANIELS</t>
  </si>
  <si>
    <t xml:space="preserve">7203 W CREST LN </t>
  </si>
  <si>
    <t>MCLELLAND CURT R</t>
  </si>
  <si>
    <t>DANIELS LONNE L &amp; PAULA M</t>
  </si>
  <si>
    <t>BUCKLES</t>
  </si>
  <si>
    <t>BRIAN &amp; VIRGINIA BUCKLES</t>
  </si>
  <si>
    <t xml:space="preserve">5132 W ST KATERI DR </t>
  </si>
  <si>
    <t>CHANG YIHWA</t>
  </si>
  <si>
    <t>BUCKLES BRIAN &amp; VIRGINIA</t>
  </si>
  <si>
    <t>GREGORY &amp; CAROL DAVIS</t>
  </si>
  <si>
    <t xml:space="preserve">10524 W ODEUM LN </t>
  </si>
  <si>
    <t>DAVIS GREGORY &amp; CAROL</t>
  </si>
  <si>
    <t>LEVERITTE</t>
  </si>
  <si>
    <t>PAGANUCCI</t>
  </si>
  <si>
    <t>BARRY LEVERITTE &amp; GINA PAGANUCCI</t>
  </si>
  <si>
    <t xml:space="preserve">16237 W CENTRAL ST </t>
  </si>
  <si>
    <t>SNAPP RICHARD</t>
  </si>
  <si>
    <t>LEVERITTE BARRY</t>
  </si>
  <si>
    <t>PAGANUCCI GINA E</t>
  </si>
  <si>
    <t>HANNIGAN</t>
  </si>
  <si>
    <t>ERIN HANNIGAN</t>
  </si>
  <si>
    <t xml:space="preserve">436 N LARKSPUR ST </t>
  </si>
  <si>
    <t>WOMACK CHRISTOPHER M</t>
  </si>
  <si>
    <t>HANNIGAN ERIN</t>
  </si>
  <si>
    <t>GRIGORIY</t>
  </si>
  <si>
    <t>PIMENOV</t>
  </si>
  <si>
    <t>GRIGORIY PIMENOV</t>
  </si>
  <si>
    <t xml:space="preserve">3227 E ANGELA DR </t>
  </si>
  <si>
    <t>PARQUE VISTA ESTATES UNIT 6 LOT 412-544</t>
  </si>
  <si>
    <t>MAY SVETLANA</t>
  </si>
  <si>
    <t>PIMENOV GRIGORIY Y</t>
  </si>
  <si>
    <t>LEBEAU</t>
  </si>
  <si>
    <t>RANDOLPH &amp; PEGGY LEBEAU</t>
  </si>
  <si>
    <t xml:space="preserve">3326 E ORIOLE DR </t>
  </si>
  <si>
    <t>LEBEAU RANDOLPH M</t>
  </si>
  <si>
    <t>BIDDLE</t>
  </si>
  <si>
    <t>BRANDON BIDDLE</t>
  </si>
  <si>
    <t xml:space="preserve">3228 N CENTRAL DR </t>
  </si>
  <si>
    <t>PARKWOOD ESTATES UNIT FOUR PHASE ONE LOT</t>
  </si>
  <si>
    <t>CASSON MICHAEL L</t>
  </si>
  <si>
    <t>BIDDLE BRANDON</t>
  </si>
  <si>
    <t>CHAD &amp; SARAH DOYLE</t>
  </si>
  <si>
    <t xml:space="preserve">4211 W DESERT COVE AVE </t>
  </si>
  <si>
    <t>MARLBOROUGH COUNTRY METRO UNIT 2 LOT 135</t>
  </si>
  <si>
    <t>MARLBOROUGH COUNTRY METRO</t>
  </si>
  <si>
    <t>RIOS ERIK G</t>
  </si>
  <si>
    <t>DOYLE CHAD A &amp; SARAH</t>
  </si>
  <si>
    <t>PAUL &amp; LISA WRIGHT</t>
  </si>
  <si>
    <t xml:space="preserve">6720 E OAK ST </t>
  </si>
  <si>
    <t>OAK PARK</t>
  </si>
  <si>
    <t>ZION SOUTHWEST LLC</t>
  </si>
  <si>
    <t>WRIGHT PAUL &amp; LISA</t>
  </si>
  <si>
    <t>DESTINI</t>
  </si>
  <si>
    <t>BOORMAN</t>
  </si>
  <si>
    <t>DOUGLAS STEELE &amp; DESTINI BOORMAN</t>
  </si>
  <si>
    <t xml:space="preserve">10 N COBBLESTONE ST </t>
  </si>
  <si>
    <t>FULTON HOMES AT THE MANORS</t>
  </si>
  <si>
    <t>MORT PETER &amp; EMILY</t>
  </si>
  <si>
    <t>STEELE DOUGLAS E</t>
  </si>
  <si>
    <t>BOORMAN DESTINI</t>
  </si>
  <si>
    <t>WOLD</t>
  </si>
  <si>
    <t>VIVIA</t>
  </si>
  <si>
    <t>JEFFERY &amp; VIVIA WOLD</t>
  </si>
  <si>
    <t xml:space="preserve">8947 W DIANA AVE </t>
  </si>
  <si>
    <t>WOLD JEFFERY A &amp; VIVIA A</t>
  </si>
  <si>
    <t>VIVIA A WOLD</t>
  </si>
  <si>
    <t>JEFFERY A WOLD</t>
  </si>
  <si>
    <t>LADUE</t>
  </si>
  <si>
    <t>DUSTIN &amp; MELANIE LADUE</t>
  </si>
  <si>
    <t xml:space="preserve">4331 W CREEDANCE BLVD </t>
  </si>
  <si>
    <t>LADUE DUSTIN E</t>
  </si>
  <si>
    <t>DUSTIN E LADUE</t>
  </si>
  <si>
    <t>MELANIE L LADUE</t>
  </si>
  <si>
    <t>HETH</t>
  </si>
  <si>
    <t>MICHAEL HETH</t>
  </si>
  <si>
    <t xml:space="preserve">23719 S BRONZE DR </t>
  </si>
  <si>
    <t>SUN LAKES UNIT THIRTY-SIX</t>
  </si>
  <si>
    <t>BURBANK TRUST</t>
  </si>
  <si>
    <t>HETH MICHAEL L &amp; VERONICA</t>
  </si>
  <si>
    <t>ROSENDO</t>
  </si>
  <si>
    <t>ROSENDO &amp; DEBRA MEDINA</t>
  </si>
  <si>
    <t xml:space="preserve">8799 N 89TH DR </t>
  </si>
  <si>
    <t>MEDINA ROSENDO R &amp; DEBRA M</t>
  </si>
  <si>
    <t>SESATE</t>
  </si>
  <si>
    <t>VICTOR SESATE</t>
  </si>
  <si>
    <t xml:space="preserve">1647 W MILAGRO AVE </t>
  </si>
  <si>
    <t>FARIAS DAVID &amp; SONDRA</t>
  </si>
  <si>
    <t>SESATE VICTOR P</t>
  </si>
  <si>
    <t>DEVOLL</t>
  </si>
  <si>
    <t>CALVIN DEVOLL</t>
  </si>
  <si>
    <t xml:space="preserve">12128 S EAGLEMAN DR </t>
  </si>
  <si>
    <t>AHWATUKEE FS  1</t>
  </si>
  <si>
    <t>DONALDSON JENNIFER E</t>
  </si>
  <si>
    <t>CALVIN J DEVOLL</t>
  </si>
  <si>
    <t>DERRICK &amp; MICHELLE JOHNSON</t>
  </si>
  <si>
    <t xml:space="preserve">16635 N 181ST DR </t>
  </si>
  <si>
    <t>GRAHAM WILLIAMS LIVING TRUST</t>
  </si>
  <si>
    <t>JOHNSON DERRICK G &amp; MICHELLE D</t>
  </si>
  <si>
    <t>STAVIS</t>
  </si>
  <si>
    <t>BRYAN STAVIS</t>
  </si>
  <si>
    <t xml:space="preserve">18355 W MARCONI AVE </t>
  </si>
  <si>
    <t xml:space="preserve">5332 LAKEVIEW AVE </t>
  </si>
  <si>
    <t>YORBA LINDA</t>
  </si>
  <si>
    <t>STAVIS BRYAN W</t>
  </si>
  <si>
    <t>WILLIAM &amp; LILLIAN WHITE</t>
  </si>
  <si>
    <t xml:space="preserve">411 N 158TH LN </t>
  </si>
  <si>
    <t>WHITE WILLIAM M JR &amp; LILLIAN H</t>
  </si>
  <si>
    <t>GLENNIE</t>
  </si>
  <si>
    <t>CALEB GLENNIE</t>
  </si>
  <si>
    <t xml:space="preserve">6041 W VILLA MARIA DR </t>
  </si>
  <si>
    <t>60TH AND VILLA MARIA</t>
  </si>
  <si>
    <t>GLENNIE CALEB</t>
  </si>
  <si>
    <t>ELSTON</t>
  </si>
  <si>
    <t>DAN &amp; MARY ELSTON</t>
  </si>
  <si>
    <t xml:space="preserve">149 S 225TH LN </t>
  </si>
  <si>
    <t>SUNDANCE PARCEL 27</t>
  </si>
  <si>
    <t>ELSTON DAN &amp; MARY A J</t>
  </si>
  <si>
    <t>DAN ELSTON</t>
  </si>
  <si>
    <t>MARY A ELSTON</t>
  </si>
  <si>
    <t>SANTELER</t>
  </si>
  <si>
    <t>DAVID SANTELER</t>
  </si>
  <si>
    <t xml:space="preserve">7239 E PIERCE ST </t>
  </si>
  <si>
    <t>NEW PAPAGO PARKWAY 13  LOTS 779-912 &amp; TR</t>
  </si>
  <si>
    <t>SANTELER MARY J</t>
  </si>
  <si>
    <t>SANTELER DAVID</t>
  </si>
  <si>
    <t>JEFF CASTRO</t>
  </si>
  <si>
    <t xml:space="preserve">2179 E BRIGADIER DR </t>
  </si>
  <si>
    <t>MOUNTAINWOOD PARCEL F</t>
  </si>
  <si>
    <t>VILLAFANA IVAN J</t>
  </si>
  <si>
    <t>CASTRO JEFF J</t>
  </si>
  <si>
    <t>LONG &amp; MARY JO</t>
  </si>
  <si>
    <t xml:space="preserve">1791 S JACANA LN </t>
  </si>
  <si>
    <t>TOWNSEND PATTI J</t>
  </si>
  <si>
    <t>LONG KENNETH D</t>
  </si>
  <si>
    <t>MCKENNA</t>
  </si>
  <si>
    <t>DRUMMOND</t>
  </si>
  <si>
    <t>XAVIER</t>
  </si>
  <si>
    <t>MCKENNA DRUMMOND &amp; XAVIER CHAVEZ</t>
  </si>
  <si>
    <t xml:space="preserve">226 W UTOPIA RD </t>
  </si>
  <si>
    <t xml:space="preserve">19662 N 3RD AVE </t>
  </si>
  <si>
    <t>NORTH VALLEY VIEW UNIT 3 LOT 1-190</t>
  </si>
  <si>
    <t>NORTH VALLEY VIEW</t>
  </si>
  <si>
    <t>ROY JOHN M</t>
  </si>
  <si>
    <t>AMERICAN HERITAGE LENDING INC</t>
  </si>
  <si>
    <t>ADAMS JOHN WILLIAM</t>
  </si>
  <si>
    <t>SHAWN NICHOLS</t>
  </si>
  <si>
    <t xml:space="preserve">8260 E PORTOBELLO AVE </t>
  </si>
  <si>
    <t>SMITH COURTNEY</t>
  </si>
  <si>
    <t>NICHOLS SHAWN J</t>
  </si>
  <si>
    <t>WROBLEWSKI</t>
  </si>
  <si>
    <t>WROBLEWSKI &amp; DONNA JEAN</t>
  </si>
  <si>
    <t xml:space="preserve">16821 W MORELAND ST </t>
  </si>
  <si>
    <t>WROBLEWSKI ROBERT T &amp; DONNA J</t>
  </si>
  <si>
    <t>DONLEY</t>
  </si>
  <si>
    <t>VELVET</t>
  </si>
  <si>
    <t>ROBERT &amp; VELVET DONLEY</t>
  </si>
  <si>
    <t xml:space="preserve">705 S 112TH AVE </t>
  </si>
  <si>
    <t>C W RANCH</t>
  </si>
  <si>
    <t>CW RANCH</t>
  </si>
  <si>
    <t>DONLEY DUCOTE R</t>
  </si>
  <si>
    <t>DONLEY ROBERT M &amp; VELVET D</t>
  </si>
  <si>
    <t>CHILDRESS</t>
  </si>
  <si>
    <t>REVA</t>
  </si>
  <si>
    <t>JOHN &amp; REVA CHILDRESS</t>
  </si>
  <si>
    <t xml:space="preserve">19451 W MORNING GLORY DR </t>
  </si>
  <si>
    <t>C-G</t>
  </si>
  <si>
    <t>HARMON BRIAN R</t>
  </si>
  <si>
    <t>CHILDRESS JOHN</t>
  </si>
  <si>
    <t>MARKUS</t>
  </si>
  <si>
    <t>MIETT</t>
  </si>
  <si>
    <t>MARKUS MIETT</t>
  </si>
  <si>
    <t xml:space="preserve">29846 W MITCHELL AVE </t>
  </si>
  <si>
    <t>KUDRYK GARRY</t>
  </si>
  <si>
    <t>MIETT MARKUS A</t>
  </si>
  <si>
    <t>DANIELLE LYNCH</t>
  </si>
  <si>
    <t xml:space="preserve">8642 E FILLMORE ST </t>
  </si>
  <si>
    <t>TRAILS AT SCOTTSDALE   LOT   1-172 &amp; TR</t>
  </si>
  <si>
    <t>FERRANTE SCOTT &amp; MORGAN A</t>
  </si>
  <si>
    <t>LYNCH DANIELLE</t>
  </si>
  <si>
    <t>ROBERT ADAMS</t>
  </si>
  <si>
    <t xml:space="preserve">16548 W SAGUARO LN </t>
  </si>
  <si>
    <t>NORTHWEST RANCH UNIT 2 PHASE G</t>
  </si>
  <si>
    <t>RICONDO JEREMY</t>
  </si>
  <si>
    <t>ADAMS III ROBERT I</t>
  </si>
  <si>
    <t>STANLEY &amp; JOANN BOLDEN</t>
  </si>
  <si>
    <t xml:space="preserve">4909 W DESERT COVE AVE </t>
  </si>
  <si>
    <t>WYSLIN STEPHANIE C</t>
  </si>
  <si>
    <t>STANLEY BOLDEN</t>
  </si>
  <si>
    <t>JOANN BOLDEN</t>
  </si>
  <si>
    <t>BENJAMIN RHODES</t>
  </si>
  <si>
    <t xml:space="preserve">4019 E DULCIANA AVE </t>
  </si>
  <si>
    <t>LEMONTREE 3 LOT 244-350</t>
  </si>
  <si>
    <t>LEMONTREE</t>
  </si>
  <si>
    <t>NICKERSON JOSHUA</t>
  </si>
  <si>
    <t>RHODES BENJAMIN A</t>
  </si>
  <si>
    <t>KENNETH &amp; OLGA HUGHES</t>
  </si>
  <si>
    <t xml:space="preserve">359 N 158TH DR </t>
  </si>
  <si>
    <t>HUGHES KENNETH E</t>
  </si>
  <si>
    <t>GAGE</t>
  </si>
  <si>
    <t>JOSEPH &amp; LISA GAGE</t>
  </si>
  <si>
    <t xml:space="preserve">5911 S BANNING ST </t>
  </si>
  <si>
    <t>ARJONA JORGE</t>
  </si>
  <si>
    <t>GAGE JOSEPH &amp; LISA</t>
  </si>
  <si>
    <t>MAYS</t>
  </si>
  <si>
    <t>REIKO</t>
  </si>
  <si>
    <t>FLOYD &amp; REIKO MAYS</t>
  </si>
  <si>
    <t xml:space="preserve">1000 S DEERFIELD LN </t>
  </si>
  <si>
    <t>DAVIS JENNIFER L</t>
  </si>
  <si>
    <t>MAYS FLOYD J</t>
  </si>
  <si>
    <t>MEHAN</t>
  </si>
  <si>
    <t>KEVIN &amp; DEBORAH MEHAN</t>
  </si>
  <si>
    <t xml:space="preserve">11618 W LEMON CT </t>
  </si>
  <si>
    <t>COYOTE LAKES UNIT 2</t>
  </si>
  <si>
    <t>COYOTE LAKES</t>
  </si>
  <si>
    <t>DURR NANCY A TRUST</t>
  </si>
  <si>
    <t>MEHAN KEVIN</t>
  </si>
  <si>
    <t>HUERTAMONTOYA</t>
  </si>
  <si>
    <t>JOSE &amp; CYNTHIA HUERTAMONTOYA</t>
  </si>
  <si>
    <t xml:space="preserve">11002 S TOMAH ST </t>
  </si>
  <si>
    <t>HARDIN CARLETON E &amp; ROSEMARY</t>
  </si>
  <si>
    <t>HUERTAMONTOYA JOSE A &amp; CYNTHIA P</t>
  </si>
  <si>
    <t>JEANNIE</t>
  </si>
  <si>
    <t>BROOKS &amp; JEANNIE BECK</t>
  </si>
  <si>
    <t xml:space="preserve">2422 N 72ND PL </t>
  </si>
  <si>
    <t>SCOTTSDALE ESTATES 4 LOTS 340-463</t>
  </si>
  <si>
    <t>ARIES ARIZONA LLLP</t>
  </si>
  <si>
    <t>BECK BROOKS E</t>
  </si>
  <si>
    <t>JEANNIE M BECK</t>
  </si>
  <si>
    <t>BROOKS E BECK</t>
  </si>
  <si>
    <t>FABIAN</t>
  </si>
  <si>
    <t>FABIAN &amp; JUANITA GARZA</t>
  </si>
  <si>
    <t xml:space="preserve">981 N 169TH AVE </t>
  </si>
  <si>
    <t>MANTILLA JAIRO</t>
  </si>
  <si>
    <t>GARZA FABIAN &amp; JUANITA</t>
  </si>
  <si>
    <t>GREGORY BAKER</t>
  </si>
  <si>
    <t xml:space="preserve">6827 E VERNON AVE </t>
  </si>
  <si>
    <t>MELROSE VILLAGE</t>
  </si>
  <si>
    <t>WINNINGHAM EDDIE M</t>
  </si>
  <si>
    <t>BAKER GREGORY T</t>
  </si>
  <si>
    <t>SOMERVILLE</t>
  </si>
  <si>
    <t>DAVID SOMERVILLE</t>
  </si>
  <si>
    <t xml:space="preserve">12912 N 94TH AVE </t>
  </si>
  <si>
    <t>SOMERVILLE DAVID W</t>
  </si>
  <si>
    <t>HENRY RIVERA</t>
  </si>
  <si>
    <t xml:space="preserve">26923 N 175TH LN </t>
  </si>
  <si>
    <t>VITAL NICOLE L</t>
  </si>
  <si>
    <t>RIVERA HENRY O JR</t>
  </si>
  <si>
    <t>KATHERINE &amp; BRIAN MOSELEY</t>
  </si>
  <si>
    <t xml:space="preserve">11502 E PETERSON AVE </t>
  </si>
  <si>
    <t>FULLMER JEFFREY M &amp; NAZAN</t>
  </si>
  <si>
    <t>MOSELEY KATHERINE E &amp; BRIAN C</t>
  </si>
  <si>
    <t>SAYLOR</t>
  </si>
  <si>
    <t>BRAD &amp; LINDSEY SAYLOR</t>
  </si>
  <si>
    <t xml:space="preserve">8431 E CITRUS WAY </t>
  </si>
  <si>
    <t>JASB LLC</t>
  </si>
  <si>
    <t>SAYLOR BRAD J &amp; LINDSEY A</t>
  </si>
  <si>
    <t>BRAD J SAYLOR</t>
  </si>
  <si>
    <t>LINDSEY A SAYLOR</t>
  </si>
  <si>
    <t>NEUROTH</t>
  </si>
  <si>
    <t>BEVERLEY</t>
  </si>
  <si>
    <t>KENNETH NEUROTH &amp; ANNE BEVERLEY</t>
  </si>
  <si>
    <t xml:space="preserve">17852 W PARRA DR </t>
  </si>
  <si>
    <t>SUN CITY GRAND MISSION</t>
  </si>
  <si>
    <t>PETRINA DENNIS &amp; DEBORAH</t>
  </si>
  <si>
    <t>NEUROTH KENNETH H &amp; BEVERLEY</t>
  </si>
  <si>
    <t>VINCENT &amp; MICHELLE ROGERS</t>
  </si>
  <si>
    <t xml:space="preserve">19541 N 55TH DR </t>
  </si>
  <si>
    <t>CARMEL COVE</t>
  </si>
  <si>
    <t>PAWLEY RICHARD</t>
  </si>
  <si>
    <t>ROGERS VINCENT J &amp; MICHELLE</t>
  </si>
  <si>
    <t>DICHTER</t>
  </si>
  <si>
    <t>CARL &amp; DIANA DICHTER</t>
  </si>
  <si>
    <t xml:space="preserve">1741 W DUBLIN CT </t>
  </si>
  <si>
    <t>ANDERSEN SPRINGS PARCEL  8B LOT 1-106 TR</t>
  </si>
  <si>
    <t>HOLEC NEMOURS &amp; M E TRUST</t>
  </si>
  <si>
    <t>DICHTER CARL R &amp; DIANA L</t>
  </si>
  <si>
    <t>TYE</t>
  </si>
  <si>
    <t>MCNUTT</t>
  </si>
  <si>
    <t>TYE MCNUTT</t>
  </si>
  <si>
    <t xml:space="preserve">1165 E SHEFFIELD AVE </t>
  </si>
  <si>
    <t>BAILEY MATTHEW A &amp; REBECCA L</t>
  </si>
  <si>
    <t>GOLD STAR MORTGAGE FINANCIAL G</t>
  </si>
  <si>
    <t>MCNUTT TYE J</t>
  </si>
  <si>
    <t>ST LAWRENCE GARY &amp; COLETTE R</t>
  </si>
  <si>
    <t xml:space="preserve">8618 W CANTERBURY DR </t>
  </si>
  <si>
    <t>ST LAWRENCE GARY</t>
  </si>
  <si>
    <t>CUFFEE</t>
  </si>
  <si>
    <t>AARON CUFFEE</t>
  </si>
  <si>
    <t xml:space="preserve">11708 N 147TH LN </t>
  </si>
  <si>
    <t>RANCHO GABRIELA PHASE 2 PARCEL 11</t>
  </si>
  <si>
    <t>RYDER TIMOTHY J &amp; MALYNDA</t>
  </si>
  <si>
    <t>CUFFEE AARON</t>
  </si>
  <si>
    <t>MICHAEL &amp; BEVERLY SHORT</t>
  </si>
  <si>
    <t xml:space="preserve">4049 E BECKER LN </t>
  </si>
  <si>
    <t>CAVALIER ESTATES 8</t>
  </si>
  <si>
    <t>GALVIN MAUREEN M</t>
  </si>
  <si>
    <t>SHORT MICHAEL J</t>
  </si>
  <si>
    <t>JOSIVOFF</t>
  </si>
  <si>
    <t>GLEN LEWIS &amp; JENNIFER JOSIVOFF</t>
  </si>
  <si>
    <t xml:space="preserve">11358 W BUCHANAN ST </t>
  </si>
  <si>
    <t>PLANETA AMANDA</t>
  </si>
  <si>
    <t>LEWIS GLEN A</t>
  </si>
  <si>
    <t>JOSIVOFF JENNIFER L</t>
  </si>
  <si>
    <t>FREDERIC</t>
  </si>
  <si>
    <t>VALENTE</t>
  </si>
  <si>
    <t>FREDERIC VALENTE</t>
  </si>
  <si>
    <t xml:space="preserve">29443 W WHITTON AVE </t>
  </si>
  <si>
    <t>KILANSKI NEIL E</t>
  </si>
  <si>
    <t>VALENTE FREDERIC S</t>
  </si>
  <si>
    <t>DANIEL &amp; KRISTY ROGERS</t>
  </si>
  <si>
    <t xml:space="preserve">3619 E RENEE DR </t>
  </si>
  <si>
    <t>NORTH COLONY VILLAS</t>
  </si>
  <si>
    <t>SHEPPARD DAVID A</t>
  </si>
  <si>
    <t>DANIEL C ROGERS</t>
  </si>
  <si>
    <t>KRISTY L ROGERS</t>
  </si>
  <si>
    <t>HOYE</t>
  </si>
  <si>
    <t>HOYE &amp; HOYE ROLL</t>
  </si>
  <si>
    <t xml:space="preserve">4638 E AIRE LIBRE AVE </t>
  </si>
  <si>
    <t>ROADRUNNER ESTATES EAST UNIT 6 LOT 467-6</t>
  </si>
  <si>
    <t>COVELL GRETCHEN E</t>
  </si>
  <si>
    <t>HOYE MICHAEL</t>
  </si>
  <si>
    <t>ROLL JESSICA</t>
  </si>
  <si>
    <t>URSULA KERIN</t>
  </si>
  <si>
    <t xml:space="preserve">2108 W SOLANO DR </t>
  </si>
  <si>
    <t>BETHANY VILLA 2</t>
  </si>
  <si>
    <t>PHILLIPINE</t>
  </si>
  <si>
    <t>WESTWOOD PRIMARY SCHOOL</t>
  </si>
  <si>
    <t>SIMPSON SCHOOL</t>
  </si>
  <si>
    <t>MORENO MICHAEL A</t>
  </si>
  <si>
    <t>KERIN URSULA</t>
  </si>
  <si>
    <t>VITALI</t>
  </si>
  <si>
    <t>PERRY VITALI</t>
  </si>
  <si>
    <t xml:space="preserve">13448 W DESERT ROCK DR </t>
  </si>
  <si>
    <t>PROVIDENTIAL LENDING SVCS</t>
  </si>
  <si>
    <t>VITALI PERRY D</t>
  </si>
  <si>
    <t>LEON</t>
  </si>
  <si>
    <t>EDGARDO LEON &amp; JANNET ORTEGA</t>
  </si>
  <si>
    <t xml:space="preserve">2318 W BEVERLY RD </t>
  </si>
  <si>
    <t>MEDINA ANNETTE</t>
  </si>
  <si>
    <t>LEON EDGARDO A</t>
  </si>
  <si>
    <t>ORTEGA JANNET</t>
  </si>
  <si>
    <t>VERKUIL</t>
  </si>
  <si>
    <t>KEVIN &amp; HEIDI VERKUIL</t>
  </si>
  <si>
    <t xml:space="preserve">15247 W RIVIERA DR </t>
  </si>
  <si>
    <t>MANISCALCO DAMIANO &amp; PAULA</t>
  </si>
  <si>
    <t>VERKUIL KEVIN R &amp; HEIDI B</t>
  </si>
  <si>
    <t>PHILLIP &amp; JASON JAMES</t>
  </si>
  <si>
    <t xml:space="preserve">4538 N 124TH AVE </t>
  </si>
  <si>
    <t xml:space="preserve">4538 N 12TH AVE </t>
  </si>
  <si>
    <t>GARCIA NICHOLAS A</t>
  </si>
  <si>
    <t>PHILLIP SANDY J &amp; JASON J</t>
  </si>
  <si>
    <t>RODRIGUEZ &amp; KIMBERLY CURTIS</t>
  </si>
  <si>
    <t xml:space="preserve">15729 E KIPLING DR </t>
  </si>
  <si>
    <t>SCHNEIDER JOHN E</t>
  </si>
  <si>
    <t>RODRIGUEZ JOSE R &amp; KIMBERLY C</t>
  </si>
  <si>
    <t>BALAJADIA</t>
  </si>
  <si>
    <t>MICHAEL &amp; FRANCESCA BALAJADIA</t>
  </si>
  <si>
    <t xml:space="preserve">15012 W MERCER LN </t>
  </si>
  <si>
    <t>NOEL JASON</t>
  </si>
  <si>
    <t>BALAJADIA MICHAEL</t>
  </si>
  <si>
    <t>BALAJADIA FRANCESCA</t>
  </si>
  <si>
    <t>ESTES</t>
  </si>
  <si>
    <t>RILEY &amp; NICHOLE ESTES</t>
  </si>
  <si>
    <t xml:space="preserve">3249 E MALDONADO DR </t>
  </si>
  <si>
    <t>WEBB DOUGLAS G &amp; VIRGINIA R</t>
  </si>
  <si>
    <t>ESTES RILEY &amp; NICHOLE</t>
  </si>
  <si>
    <t>CASTOR</t>
  </si>
  <si>
    <t>ROBERT &amp; SHIRLEY CASTOR</t>
  </si>
  <si>
    <t xml:space="preserve">2026 S 157TH CT </t>
  </si>
  <si>
    <t>NOEL RONALD R</t>
  </si>
  <si>
    <t>CASTOR ROBERT &amp; SHIRLEY</t>
  </si>
  <si>
    <t>DIETER</t>
  </si>
  <si>
    <t>BELL &amp; DAWN DIETER</t>
  </si>
  <si>
    <t xml:space="preserve">15842 W DURANGO ST </t>
  </si>
  <si>
    <t>VICTORIA TRUST</t>
  </si>
  <si>
    <t>BELL KEVIN &amp; DAWN M D</t>
  </si>
  <si>
    <t>SANDERLIN</t>
  </si>
  <si>
    <t>ROBIN LAFFERTY &amp; LORI SANDERLIN</t>
  </si>
  <si>
    <t xml:space="preserve">32107 N 23RD AVE </t>
  </si>
  <si>
    <t>SONORAN FOOTHILLS PARCEL 11</t>
  </si>
  <si>
    <t>HOLT GRACE S</t>
  </si>
  <si>
    <t>LAFFERTY ROBIN K</t>
  </si>
  <si>
    <t>SANDERLIN LORI S</t>
  </si>
  <si>
    <t>TRAFTON</t>
  </si>
  <si>
    <t>ELSIE</t>
  </si>
  <si>
    <t>LAWRENCE &amp; ELSIE TRAFTON</t>
  </si>
  <si>
    <t xml:space="preserve">18516 W PARADISE LN </t>
  </si>
  <si>
    <t>TRAFTON LAWRENCE E &amp; ELSIE E</t>
  </si>
  <si>
    <t>SCOT</t>
  </si>
  <si>
    <t>HAVIR</t>
  </si>
  <si>
    <t>SCOT &amp; ANGELA HAVIR</t>
  </si>
  <si>
    <t xml:space="preserve">5203 W WOOD DR </t>
  </si>
  <si>
    <t>SCOT A HAVIR</t>
  </si>
  <si>
    <t>ANGELA B HAVIR</t>
  </si>
  <si>
    <t>GREGORIO</t>
  </si>
  <si>
    <t>BETHANNAH</t>
  </si>
  <si>
    <t>GREGORIO &amp; BETHANNAH GUZMAN</t>
  </si>
  <si>
    <t xml:space="preserve">930 CASTILLO DR S </t>
  </si>
  <si>
    <t xml:space="preserve">930 E CASTILLO DR </t>
  </si>
  <si>
    <t>LITCHFIELD PARK SUB 11 UNIT 2</t>
  </si>
  <si>
    <t>PHILLIPS RANDY P</t>
  </si>
  <si>
    <t>GUZMAN GREGORIO &amp; BETHANNAH</t>
  </si>
  <si>
    <t>FERRARA</t>
  </si>
  <si>
    <t>MCQUAIN</t>
  </si>
  <si>
    <t>BLAKE FERRARA &amp; TRACEY MCQUAIN</t>
  </si>
  <si>
    <t xml:space="preserve">25921 N 50TH LN </t>
  </si>
  <si>
    <t>STEVENSON JAMES H &amp; LINDA R</t>
  </si>
  <si>
    <t>FERRARA BLAKE A</t>
  </si>
  <si>
    <t>MCQUAIN TRACEY</t>
  </si>
  <si>
    <t>EASTERLY</t>
  </si>
  <si>
    <t>DANIEL EASTERLY</t>
  </si>
  <si>
    <t xml:space="preserve">4918 W CARPENTER DR </t>
  </si>
  <si>
    <t>BEHAN MARK</t>
  </si>
  <si>
    <t>EASTERLY DANIEL J</t>
  </si>
  <si>
    <t>MICHAEL &amp; HEATHER FOX</t>
  </si>
  <si>
    <t xml:space="preserve">20688 S 186TH PL </t>
  </si>
  <si>
    <t>SOSSAMAN ESTATES PARCEL E1</t>
  </si>
  <si>
    <t>JACKSON ROBERT &amp; JAIME</t>
  </si>
  <si>
    <t>FOX MICHAEL &amp; HEATHER S</t>
  </si>
  <si>
    <t>LINCOLN</t>
  </si>
  <si>
    <t>JONATHAN LINCOLN</t>
  </si>
  <si>
    <t xml:space="preserve">15329 W MONTECITO AVE </t>
  </si>
  <si>
    <t>RIVELAND LORA</t>
  </si>
  <si>
    <t>LINCOLN JONATHAN K</t>
  </si>
  <si>
    <t>TOM MYERS</t>
  </si>
  <si>
    <t xml:space="preserve">15843 S 12TH PL </t>
  </si>
  <si>
    <t>JOHNSON JAMES R &amp; BEVERLY E</t>
  </si>
  <si>
    <t>MYERS TOM E</t>
  </si>
  <si>
    <t>BOLIVAR</t>
  </si>
  <si>
    <t>BOLIVAR &amp; CANDICE JANINE</t>
  </si>
  <si>
    <t xml:space="preserve">20888 W STONE HILL RD </t>
  </si>
  <si>
    <t>VERRADO PARCEL 3.412</t>
  </si>
  <si>
    <t>K HOVNANIAN GREAT WSTN HMS</t>
  </si>
  <si>
    <t>BOLIVAR DANIEL P &amp; CANDICE J</t>
  </si>
  <si>
    <t>BEYER</t>
  </si>
  <si>
    <t>STEPHEN &amp; MARY BEYER</t>
  </si>
  <si>
    <t xml:space="preserve">13729 W VIA TERCERO </t>
  </si>
  <si>
    <t>SUN CITY WEST UNIT 54</t>
  </si>
  <si>
    <t>MCKAMY CLEMENS &amp; JANET TRUST</t>
  </si>
  <si>
    <t>BEYER STEPHEN P</t>
  </si>
  <si>
    <t>LECHUGA</t>
  </si>
  <si>
    <t>PENA &amp; STEPHANIE LECHUGA</t>
  </si>
  <si>
    <t xml:space="preserve">8620 S 23RD PL </t>
  </si>
  <si>
    <t>BENNER MAUREEN TRUST</t>
  </si>
  <si>
    <t>JEFFERY A PENA</t>
  </si>
  <si>
    <t>STEPHANIE L PENA</t>
  </si>
  <si>
    <t>ALWARD</t>
  </si>
  <si>
    <t>MARLEA</t>
  </si>
  <si>
    <t>DAVID &amp; MARLEA ALWARD</t>
  </si>
  <si>
    <t xml:space="preserve">4704 N 128TH DR </t>
  </si>
  <si>
    <t>COX BRUCE N</t>
  </si>
  <si>
    <t>ALWARD DAVID R &amp; MARLEA L</t>
  </si>
  <si>
    <t>RIEKER</t>
  </si>
  <si>
    <t>MARK &amp; MEGAN RIEKER</t>
  </si>
  <si>
    <t xml:space="preserve">4409 N 179TH DR </t>
  </si>
  <si>
    <t>GIRLEY TANISHA N &amp; RYAN L</t>
  </si>
  <si>
    <t>RIEKER MARK &amp; MEGAN</t>
  </si>
  <si>
    <t>YSLAS</t>
  </si>
  <si>
    <t>ANTHONY &amp; ERIN YSLAS</t>
  </si>
  <si>
    <t xml:space="preserve">10840 E QUARTET AVE </t>
  </si>
  <si>
    <t>YSLAS ANTHONY &amp; ERIN</t>
  </si>
  <si>
    <t>FALAGRADY</t>
  </si>
  <si>
    <t>H</t>
  </si>
  <si>
    <t>FALAGRADY &amp; H BROOKE</t>
  </si>
  <si>
    <t xml:space="preserve">4598 E TREMAINE CT </t>
  </si>
  <si>
    <t>HIGHLAND RANCH 4</t>
  </si>
  <si>
    <t>BRATCHER DENNIS</t>
  </si>
  <si>
    <t>FALAGRADY MARK &amp; H BROOKE</t>
  </si>
  <si>
    <t>WILLIAMS FAMILY TRUST</t>
  </si>
  <si>
    <t xml:space="preserve">12618 S 183RD AVE </t>
  </si>
  <si>
    <t>ESTRELLA MOUNTAIN RANCH PARCEL 97</t>
  </si>
  <si>
    <t>PETROLLINI ALEX</t>
  </si>
  <si>
    <t>WILLIAMS STEVEN L &amp; ANDREA M</t>
  </si>
  <si>
    <t>GAWRONSKI</t>
  </si>
  <si>
    <t>ALAN &amp; TAMMIE GAWRONSKI</t>
  </si>
  <si>
    <t xml:space="preserve">18820 E SUPERSTITION DR </t>
  </si>
  <si>
    <t>CORTINA PARCEL 7</t>
  </si>
  <si>
    <t>TREMBATH THEODORE &amp; BEATRICE</t>
  </si>
  <si>
    <t>GAWRONSKI ALAN F &amp; TAMMIE L</t>
  </si>
  <si>
    <t>GILDA</t>
  </si>
  <si>
    <t>JOSEPH &amp; GILDA SHAW</t>
  </si>
  <si>
    <t xml:space="preserve">10313 W HUGHES DR </t>
  </si>
  <si>
    <t>SHAW JOSEPH &amp; GILDA</t>
  </si>
  <si>
    <t>DARREN DYKES</t>
  </si>
  <si>
    <t xml:space="preserve">16855 W HALIFAX ST </t>
  </si>
  <si>
    <t>MRAZ CANDICE</t>
  </si>
  <si>
    <t>DYKES DARREN D</t>
  </si>
  <si>
    <t>BRANNUM</t>
  </si>
  <si>
    <t>ESPERANZA</t>
  </si>
  <si>
    <t>JASON &amp; ESPERANZA BRANNUM</t>
  </si>
  <si>
    <t xml:space="preserve">22126 E CREEKSIDE DR </t>
  </si>
  <si>
    <t>BRANNUM JASON &amp; ESPERANZA</t>
  </si>
  <si>
    <t>LINDEMAN</t>
  </si>
  <si>
    <t>JOSHUA LINDEMAN</t>
  </si>
  <si>
    <t xml:space="preserve">8960 W TONY CT </t>
  </si>
  <si>
    <t>HUNTER RIDGE</t>
  </si>
  <si>
    <t>CUNNINGHAM PETE D &amp; DEBRA A</t>
  </si>
  <si>
    <t>LINDEMAN JOSHUA</t>
  </si>
  <si>
    <t>DAN &amp; LINDA BARRETT</t>
  </si>
  <si>
    <t xml:space="preserve">12820 N 15TH DR </t>
  </si>
  <si>
    <t>SAVAYA JULIAN R</t>
  </si>
  <si>
    <t>DAN BARRETT</t>
  </si>
  <si>
    <t>LINDA L BARRETT</t>
  </si>
  <si>
    <t>FRAZEE</t>
  </si>
  <si>
    <t>SERRANO</t>
  </si>
  <si>
    <t>DEVIN FRAZEE &amp; ROBERT SERRANO</t>
  </si>
  <si>
    <t xml:space="preserve">2264 E DESERT BROOM PL </t>
  </si>
  <si>
    <t>GLIDDEN CHRISTOPHER</t>
  </si>
  <si>
    <t>FRAZEE DEVIN J</t>
  </si>
  <si>
    <t>SERRANO ROBERT</t>
  </si>
  <si>
    <t>ZANE</t>
  </si>
  <si>
    <t>RUSSEL &amp; MICHELE ZANE</t>
  </si>
  <si>
    <t xml:space="preserve">10634 W LONE CACTUS DR </t>
  </si>
  <si>
    <t>GILLIONS TIMOTHY R &amp; TRUDY J</t>
  </si>
  <si>
    <t>ZANE RUSSELL L &amp; MICHELE M</t>
  </si>
  <si>
    <t>PAUL &amp; CAROLYN WILKINSON</t>
  </si>
  <si>
    <t xml:space="preserve">528 S SPUR </t>
  </si>
  <si>
    <t>OLD WEST VILLAGE LOT 1-32</t>
  </si>
  <si>
    <t>OLD WEST VILLAGE</t>
  </si>
  <si>
    <t>SCOTT JONATHAN</t>
  </si>
  <si>
    <t>WILKINSON PAUL</t>
  </si>
  <si>
    <t>HARIETA</t>
  </si>
  <si>
    <t>EARNEST &amp; HARIETA FORD</t>
  </si>
  <si>
    <t xml:space="preserve">802 E SCOTT AVE </t>
  </si>
  <si>
    <t>JOHNSON LUKE</t>
  </si>
  <si>
    <t>FORD EARNEST J A &amp; HARIETA C</t>
  </si>
  <si>
    <t>BLACKSTONE</t>
  </si>
  <si>
    <t>JUSTIN &amp; CARMEN BLACKSTONE</t>
  </si>
  <si>
    <t xml:space="preserve">15323 W CAMPBELL AVE </t>
  </si>
  <si>
    <t>KIBSEY CHRISTOPHER A &amp; CLAIR</t>
  </si>
  <si>
    <t>BLACKSTONE JUSTIN C &amp; CARMEN A</t>
  </si>
  <si>
    <t>HOFFERT-HUGHES</t>
  </si>
  <si>
    <t>ROBERT HUGHES &amp; LINDA HOFFERT-HUGHES</t>
  </si>
  <si>
    <t xml:space="preserve">18210 W GLENROSA AVE </t>
  </si>
  <si>
    <t>ROBERT F HUGHES SR</t>
  </si>
  <si>
    <t>LINDA S HOFFERT-HUGHES</t>
  </si>
  <si>
    <t>EDWARDO</t>
  </si>
  <si>
    <t>EDWARDO &amp; LINDA PALMA</t>
  </si>
  <si>
    <t xml:space="preserve">22345 E ESCALANTE RD </t>
  </si>
  <si>
    <t>PALMA EDWARDO &amp; LINDA</t>
  </si>
  <si>
    <t>DOUGLAS BARNES</t>
  </si>
  <si>
    <t xml:space="preserve">6757 S JACQUELINE WAY </t>
  </si>
  <si>
    <t>BARNES DOUGLAS H</t>
  </si>
  <si>
    <t>DANNY &amp; BEVERLY MILLS</t>
  </si>
  <si>
    <t xml:space="preserve">3116 W SENTINEL ROCK RD </t>
  </si>
  <si>
    <t>HILL LEE A</t>
  </si>
  <si>
    <t>MILLS BEVERLY J</t>
  </si>
  <si>
    <t>ALFRED &amp; PRISCILLA REYES</t>
  </si>
  <si>
    <t xml:space="preserve">14516 W WINDSOR AVE </t>
  </si>
  <si>
    <t>WILLIAMS MICHAEL D</t>
  </si>
  <si>
    <t>REYES ALFRED DELACRUE &amp; PRISCILLA P</t>
  </si>
  <si>
    <t>MANCHESTER</t>
  </si>
  <si>
    <t>JOHN &amp; PATRICIA MANCHESTER</t>
  </si>
  <si>
    <t xml:space="preserve">1312 W MOUNTAIN SKY AVE </t>
  </si>
  <si>
    <t>MURPHY DOUG &amp; MARTI TRUST</t>
  </si>
  <si>
    <t>MANCHESTER JOHN D &amp; PATRICIA A</t>
  </si>
  <si>
    <t>TOALSON</t>
  </si>
  <si>
    <t>NATALIE TOALSON</t>
  </si>
  <si>
    <t xml:space="preserve">2854 E MISSION LN </t>
  </si>
  <si>
    <t>HERITAGE HEIGHTS 4</t>
  </si>
  <si>
    <t>JTMI TRUST</t>
  </si>
  <si>
    <t>ELLISTON DONALD R</t>
  </si>
  <si>
    <t>TOALSON NATALIE</t>
  </si>
  <si>
    <t>TESCH</t>
  </si>
  <si>
    <t>WILLIAM TESCH</t>
  </si>
  <si>
    <t xml:space="preserve">316 W ROSAL PL </t>
  </si>
  <si>
    <t>AMBERWOOD SOUTH</t>
  </si>
  <si>
    <t>MASCARO PATRICIA A</t>
  </si>
  <si>
    <t>TESCH WILLIAM R</t>
  </si>
  <si>
    <t>CATHRYN</t>
  </si>
  <si>
    <t>CATHRYN MASTERS</t>
  </si>
  <si>
    <t xml:space="preserve">19104 N 65TH AVE </t>
  </si>
  <si>
    <t>HIGHLANDS AT ARROWHEAD RANCH 4</t>
  </si>
  <si>
    <t>HELMEID KATIE</t>
  </si>
  <si>
    <t>MASTERS CATHRYN</t>
  </si>
  <si>
    <t>DARRYL BLAKE</t>
  </si>
  <si>
    <t xml:space="preserve">4151 E LOMA VISTA ST </t>
  </si>
  <si>
    <t>ANDERSEN RICK J &amp; LISA M</t>
  </si>
  <si>
    <t>TROY &amp; ERICA WEBB</t>
  </si>
  <si>
    <t xml:space="preserve">40712 N UNION TRL </t>
  </si>
  <si>
    <t>NELSON WAYNE C TRUST</t>
  </si>
  <si>
    <t>TROY WEBB</t>
  </si>
  <si>
    <t>ERICA WEBB</t>
  </si>
  <si>
    <t>MARK &amp; MARGARET NELSON</t>
  </si>
  <si>
    <t xml:space="preserve">3026 N NEBRASKA ST </t>
  </si>
  <si>
    <t>BROSIS LLC</t>
  </si>
  <si>
    <t>NELSON MARK S &amp; MARGARET</t>
  </si>
  <si>
    <t>ADEA</t>
  </si>
  <si>
    <t>ZENAIDA</t>
  </si>
  <si>
    <t>ALEX &amp; ZENAIDA ADEA</t>
  </si>
  <si>
    <t xml:space="preserve">5257 N 80TH DR </t>
  </si>
  <si>
    <t>ADEA ALEX &amp; ZENAIDA</t>
  </si>
  <si>
    <t>SEAN REILLY</t>
  </si>
  <si>
    <t xml:space="preserve">4538 N 34TH ST </t>
  </si>
  <si>
    <t>SIESTA ESTATES</t>
  </si>
  <si>
    <t>LAKE JEVON</t>
  </si>
  <si>
    <t>REILLY SEAN</t>
  </si>
  <si>
    <t>MESMAN</t>
  </si>
  <si>
    <t>TODD &amp; MONICA MESMAN</t>
  </si>
  <si>
    <t xml:space="preserve">2955 E CLIFTON AVE </t>
  </si>
  <si>
    <t>KNELLER SCOTT D</t>
  </si>
  <si>
    <t>MESMAN TODD &amp; MONICA</t>
  </si>
  <si>
    <t>VINEY</t>
  </si>
  <si>
    <t>BRET VINEY</t>
  </si>
  <si>
    <t xml:space="preserve">20425 N 67TH DR </t>
  </si>
  <si>
    <t>SABINO</t>
  </si>
  <si>
    <t>TRASLAVINA ROBERT &amp; IRENE J</t>
  </si>
  <si>
    <t>VINEY BRET R</t>
  </si>
  <si>
    <t>IHRKE</t>
  </si>
  <si>
    <t>FREDERIC IHRKE</t>
  </si>
  <si>
    <t xml:space="preserve">3420 E ESPLANADE CT </t>
  </si>
  <si>
    <t xml:space="preserve">124 WHISPERING LN </t>
  </si>
  <si>
    <t>WINONA</t>
  </si>
  <si>
    <t>CORONADO RANCH PARCEL 8B</t>
  </si>
  <si>
    <t>GERBER TODD V</t>
  </si>
  <si>
    <t>IHRKE FREDERIC</t>
  </si>
  <si>
    <t>SAYED</t>
  </si>
  <si>
    <t>THOMAS &amp; VICTORIA SAYED</t>
  </si>
  <si>
    <t xml:space="preserve">8733 W ESCUDA DR </t>
  </si>
  <si>
    <t>EAGLE RIDGE PHASE 1 AT WESTBROOK VILLAGE</t>
  </si>
  <si>
    <t>EAGLE RIDGE AT WESTBROOK VILLAGE</t>
  </si>
  <si>
    <t>GIANFORMAGGIO TRUST</t>
  </si>
  <si>
    <t>SAYED THOMAS E &amp; VICTORIA L</t>
  </si>
  <si>
    <t>RAMON &amp; AMBER WICK</t>
  </si>
  <si>
    <t xml:space="preserve">2568 E ALOE PL </t>
  </si>
  <si>
    <t>RAMON WICK</t>
  </si>
  <si>
    <t>AMBER N WICK</t>
  </si>
  <si>
    <t>GLAVIN</t>
  </si>
  <si>
    <t>MACWILLIAMS</t>
  </si>
  <si>
    <t>ROBERT GLAVIN &amp; KERIN MACWILLIAMS</t>
  </si>
  <si>
    <t xml:space="preserve">8517 E INDIGO ST </t>
  </si>
  <si>
    <t>MUELLER JOHN M</t>
  </si>
  <si>
    <t>GLAVIN ROBERT</t>
  </si>
  <si>
    <t>MACWILLIAMS KERIN A</t>
  </si>
  <si>
    <t>ADWELL</t>
  </si>
  <si>
    <t>PAMELA &amp; MATTHEW ADWELL</t>
  </si>
  <si>
    <t xml:space="preserve">1836 E CAROLINE LN </t>
  </si>
  <si>
    <t>ALTA MIRA 1  LOT 1-95 107 111 &amp; TR A</t>
  </si>
  <si>
    <t>ADWELL MATTHEW E &amp; PAMELA J</t>
  </si>
  <si>
    <t>SHANNON &amp; LUIS CHAVEZ</t>
  </si>
  <si>
    <t xml:space="preserve">8602 N 39TH AVE </t>
  </si>
  <si>
    <t>RAEL MARY L</t>
  </si>
  <si>
    <t>CHAVEZ SHANNON L T &amp; LUIS R</t>
  </si>
  <si>
    <t>CHAVEZ LUIS R</t>
  </si>
  <si>
    <t>THOMAS &amp; FRANCES SNOW</t>
  </si>
  <si>
    <t xml:space="preserve">2551 W MONTE AVE </t>
  </si>
  <si>
    <t>WESTPORT BAY LOT 1-33 &amp; TR A</t>
  </si>
  <si>
    <t>WESTPORT BAY</t>
  </si>
  <si>
    <t>CULLYMORE SCOTT</t>
  </si>
  <si>
    <t>SNOW THOMAS E &amp; FRANCES L</t>
  </si>
  <si>
    <t>EROH</t>
  </si>
  <si>
    <t>DAVID &amp; KATHY EROH</t>
  </si>
  <si>
    <t xml:space="preserve">2655 E ENROSE ST </t>
  </si>
  <si>
    <t>TUCKER JILL R</t>
  </si>
  <si>
    <t>EROH DAVID J</t>
  </si>
  <si>
    <t>HANKINS</t>
  </si>
  <si>
    <t>GARY &amp; MELISSA HANKINS</t>
  </si>
  <si>
    <t xml:space="preserve">17818 W LINCOLN ST </t>
  </si>
  <si>
    <t>CANYON TRAILS UNIT 4 WEST PARCEL F</t>
  </si>
  <si>
    <t>HANKINS GARY</t>
  </si>
  <si>
    <t>ROBERT BAILEY</t>
  </si>
  <si>
    <t xml:space="preserve">3260 E CANARY WAY </t>
  </si>
  <si>
    <t>SAKALAS KEVIN M</t>
  </si>
  <si>
    <t>BAILEY ROBERT E</t>
  </si>
  <si>
    <t>ANTRIM</t>
  </si>
  <si>
    <t>DANIEL ANTRIM</t>
  </si>
  <si>
    <t xml:space="preserve">4542 E COYOTE WASH DR </t>
  </si>
  <si>
    <t>URIAS DAVID</t>
  </si>
  <si>
    <t>ANTRIM DANIEL E</t>
  </si>
  <si>
    <t>ILLE</t>
  </si>
  <si>
    <t>MARCUS &amp; SUSAN ILLE</t>
  </si>
  <si>
    <t xml:space="preserve">27207 N 23RD LN </t>
  </si>
  <si>
    <t>VALLEY VISTA PARCEL A AMD</t>
  </si>
  <si>
    <t>VAIENTE JOSEPH L &amp; KATHERINE</t>
  </si>
  <si>
    <t>ILLE MARCUS A &amp; SUSAN B</t>
  </si>
  <si>
    <t>LYONS</t>
  </si>
  <si>
    <t>PHILIP LYONS &amp; MICHELLE JOHNSON</t>
  </si>
  <si>
    <t xml:space="preserve">5131 E NAMBE ST </t>
  </si>
  <si>
    <t>AHWATUKEE FS  6 REVISED LOT 3401-3546 TR</t>
  </si>
  <si>
    <t>HAC LLC</t>
  </si>
  <si>
    <t>LYONS PHILIP J</t>
  </si>
  <si>
    <t>JOHNSON MICHELLE</t>
  </si>
  <si>
    <t>MAUS</t>
  </si>
  <si>
    <t>ANDREW &amp; SONIA MAUS</t>
  </si>
  <si>
    <t xml:space="preserve">1317 E MILADA DR </t>
  </si>
  <si>
    <t xml:space="preserve">2714 E LAWNDALE ST </t>
  </si>
  <si>
    <t>LUCK STEVEN P &amp; SARAH A</t>
  </si>
  <si>
    <t>MAUS ANDREW &amp; SONIA</t>
  </si>
  <si>
    <t>CLIFFORD &amp; KRISTINA ROBERTS</t>
  </si>
  <si>
    <t xml:space="preserve">3026 W WINDSONG DR </t>
  </si>
  <si>
    <t>SCHLOSSER ROY D &amp; JACQUELINE</t>
  </si>
  <si>
    <t>ROBERTS CLIFFORD O &amp; KRISTINA M</t>
  </si>
  <si>
    <t>DULANEY</t>
  </si>
  <si>
    <t>RONALD &amp; DAWN DULANEY</t>
  </si>
  <si>
    <t xml:space="preserve">7958 W ANDREA DR </t>
  </si>
  <si>
    <t>RONALD W DULANEY</t>
  </si>
  <si>
    <t>DAWN F DULANEY</t>
  </si>
  <si>
    <t>MICHAEL &amp; JULIE CRAWFORD</t>
  </si>
  <si>
    <t xml:space="preserve">3122 E ORIOLE WAY </t>
  </si>
  <si>
    <t>BLOCK DOROTHY CAROLINE TRUST</t>
  </si>
  <si>
    <t>CRAWFORD MICHAEL E &amp; JULIE T</t>
  </si>
  <si>
    <t>THUESEN</t>
  </si>
  <si>
    <t>KAY THUESEN</t>
  </si>
  <si>
    <t xml:space="preserve">18479 W TASHA DR </t>
  </si>
  <si>
    <t>KAY W THUESEN</t>
  </si>
  <si>
    <t>ROMO &amp; TAMMY LEE</t>
  </si>
  <si>
    <t xml:space="preserve">640 S COLONIAL CT </t>
  </si>
  <si>
    <t>AUDUBON PROPERTIES LLC</t>
  </si>
  <si>
    <t>ROMO JOSE ANDRES &amp; TAMMY LEE</t>
  </si>
  <si>
    <t>BIGMAN</t>
  </si>
  <si>
    <t>CHRISTINE BIGMAN</t>
  </si>
  <si>
    <t xml:space="preserve">18507 W PARADISE LN </t>
  </si>
  <si>
    <t>BIGMAN CHRISTINE</t>
  </si>
  <si>
    <t>KELVIN HARDY</t>
  </si>
  <si>
    <t xml:space="preserve">18218 E MEWS RD </t>
  </si>
  <si>
    <t>KEENAN DANIEL</t>
  </si>
  <si>
    <t>HARDY KELVIN</t>
  </si>
  <si>
    <t>WAYNE DRUMMOND &amp; TRACEY BAYNE</t>
  </si>
  <si>
    <t xml:space="preserve">1839 N SUNVIEW </t>
  </si>
  <si>
    <t xml:space="preserve">1625 W STOTTLER DR </t>
  </si>
  <si>
    <t>STONE CANYON AT ALTA MESA</t>
  </si>
  <si>
    <t>KERUTIS STEPHEN</t>
  </si>
  <si>
    <t>DRUMMOND WAYNE T</t>
  </si>
  <si>
    <t>DALE &amp; BRENDA MITCHELL</t>
  </si>
  <si>
    <t xml:space="preserve">12928 W FOREST PLEASANT PL </t>
  </si>
  <si>
    <t>MITCHELL DALE &amp; BRENDA</t>
  </si>
  <si>
    <t>DALE MITCHELL</t>
  </si>
  <si>
    <t>BRENDA MITCHELL</t>
  </si>
  <si>
    <t>HOMBOSKY</t>
  </si>
  <si>
    <t>RALPH HOMBOSKY</t>
  </si>
  <si>
    <t xml:space="preserve">2895 S PALM ST </t>
  </si>
  <si>
    <t>PETERSEN VICTOR &amp; JOYCE</t>
  </si>
  <si>
    <t>HOMBOSKY RALPH</t>
  </si>
  <si>
    <t>CAMINSKY</t>
  </si>
  <si>
    <t>STANLEY CAMINSKY</t>
  </si>
  <si>
    <t xml:space="preserve">17962 W ALICE AVE </t>
  </si>
  <si>
    <t>CAMINSKY STANLEY J JR</t>
  </si>
  <si>
    <t>PATTISON</t>
  </si>
  <si>
    <t>KITE</t>
  </si>
  <si>
    <t>BRIAN PATTISON &amp; BEVERLY KITE</t>
  </si>
  <si>
    <t xml:space="preserve">4918 W GWEN ST </t>
  </si>
  <si>
    <t>NELSON TIMOTHY</t>
  </si>
  <si>
    <t>PATTISON BRIAN R</t>
  </si>
  <si>
    <t>KITE BEVERLY L</t>
  </si>
  <si>
    <t>REAM</t>
  </si>
  <si>
    <t>MICHAEL &amp; RHONDA REAM</t>
  </si>
  <si>
    <t xml:space="preserve">105 E TIERRA BUENA LN </t>
  </si>
  <si>
    <t>ABUARAR NATHMI M TRUSTEE</t>
  </si>
  <si>
    <t>REAM MICHAEL W &amp; RHONDA</t>
  </si>
  <si>
    <t>RODRIGUEZ FAMILY TRUST</t>
  </si>
  <si>
    <t xml:space="preserve">8331 E CULVER ST </t>
  </si>
  <si>
    <t>VALLEY VIEW 5</t>
  </si>
  <si>
    <t>VALLEY VIEW</t>
  </si>
  <si>
    <t>RODRIGUEZ CARLOS R</t>
  </si>
  <si>
    <t>JON EDWARDS &amp; MISTY ROBERTS</t>
  </si>
  <si>
    <t xml:space="preserve">17041 E LEMA CIR </t>
  </si>
  <si>
    <t>SHELTON SCOTT M</t>
  </si>
  <si>
    <t>EDWARDS JON</t>
  </si>
  <si>
    <t>ROBERTS MISTY</t>
  </si>
  <si>
    <t>TUCSON AZ 85708-0115</t>
  </si>
  <si>
    <t>JON EDWARDS</t>
  </si>
  <si>
    <t>MISTY ROBERTS</t>
  </si>
  <si>
    <t>FISK</t>
  </si>
  <si>
    <t>BRENT FISK</t>
  </si>
  <si>
    <t xml:space="preserve">7157 W KINGS AVE </t>
  </si>
  <si>
    <t>PARK PASEO</t>
  </si>
  <si>
    <t>ALTAMIRANO ROBERT C</t>
  </si>
  <si>
    <t>FISK BRENT C</t>
  </si>
  <si>
    <t>MATTHEW &amp; DAWN NICHOLS</t>
  </si>
  <si>
    <t xml:space="preserve">26937 N 89TH DR </t>
  </si>
  <si>
    <t>WESTWING MOUNTAIN PHASE 2 PARCEL 18</t>
  </si>
  <si>
    <t>SCHILLING JOHN D &amp; LORI A</t>
  </si>
  <si>
    <t>KANSASCITY MO 64120</t>
  </si>
  <si>
    <t>NICHOLS MATTHEW C &amp; DAWN N</t>
  </si>
  <si>
    <t>HADRAN</t>
  </si>
  <si>
    <t>WESTMANN</t>
  </si>
  <si>
    <t>JOLENE</t>
  </si>
  <si>
    <t>HADRAN &amp; JOLENE WESTMANN</t>
  </si>
  <si>
    <t xml:space="preserve">1155 W BOSAL DR </t>
  </si>
  <si>
    <t>SMITH ROY W &amp; JERI L</t>
  </si>
  <si>
    <t>WESTMANN HADRAN &amp; JOLENE M</t>
  </si>
  <si>
    <t>BRONER</t>
  </si>
  <si>
    <t>STEVEN BRONER</t>
  </si>
  <si>
    <t xml:space="preserve">1657 E LEXINGTON AVE </t>
  </si>
  <si>
    <t>SANDERS MICHAEL D</t>
  </si>
  <si>
    <t>BRONER STEVEN L</t>
  </si>
  <si>
    <t>PAPKE</t>
  </si>
  <si>
    <t>NICHOLAS &amp; BRITTANY PAPKE</t>
  </si>
  <si>
    <t xml:space="preserve">22053 E DOMINGO RD </t>
  </si>
  <si>
    <t>PAPKE NICHOLAS R &amp; BRITTANY D</t>
  </si>
  <si>
    <t>ENOCH</t>
  </si>
  <si>
    <t>ENOCH &amp; WANDA JOHNSON</t>
  </si>
  <si>
    <t xml:space="preserve">9464 E JAVELINA AVE </t>
  </si>
  <si>
    <t>LOPEZ GREGORIO TRUST</t>
  </si>
  <si>
    <t>JOHNSON ENOCH R &amp; WANDA J</t>
  </si>
  <si>
    <t>BUTLER LIVING TRUST</t>
  </si>
  <si>
    <t xml:space="preserve">1225 E GREENWAY CIR </t>
  </si>
  <si>
    <t>LA MARIPOSA VILLAS 6 LOT 1-96 TR A-D</t>
  </si>
  <si>
    <t>LA MARIPOSA VILLAS</t>
  </si>
  <si>
    <t>ELLIOTT M J &amp; D R TRUST</t>
  </si>
  <si>
    <t>BUTLER ALLEN D &amp; CAROLYN P</t>
  </si>
  <si>
    <t>MERLA</t>
  </si>
  <si>
    <t>MERLA &amp; MICHELLE RENEE</t>
  </si>
  <si>
    <t xml:space="preserve">2935 E ELMWOOD PL </t>
  </si>
  <si>
    <t>HOMEDIRECT MTG</t>
  </si>
  <si>
    <t>STEVEN J MERLA</t>
  </si>
  <si>
    <t>MICHELLE R MERLA</t>
  </si>
  <si>
    <t>INGALLINA</t>
  </si>
  <si>
    <t>CAMELLIA</t>
  </si>
  <si>
    <t>GERARD &amp; CAMELLIA INGALLINA</t>
  </si>
  <si>
    <t xml:space="preserve">20124 E VIA DEL RANCHO </t>
  </si>
  <si>
    <t>INGALLINA GERARD J &amp; CAMELLIA</t>
  </si>
  <si>
    <t>LEONARD &amp; LINDA WOLD</t>
  </si>
  <si>
    <t xml:space="preserve">20021 N 101ST AVE </t>
  </si>
  <si>
    <t>REICHSTEIN TRUST</t>
  </si>
  <si>
    <t>LEONARD K WOLD</t>
  </si>
  <si>
    <t>LINDA WOLD</t>
  </si>
  <si>
    <t>MYONG</t>
  </si>
  <si>
    <t>PAUL &amp; MYONG NOVAK</t>
  </si>
  <si>
    <t xml:space="preserve">3316 W KNUDSEN DR </t>
  </si>
  <si>
    <t>MACLEAN RANDALL R &amp; DIANE L</t>
  </si>
  <si>
    <t>NOVAK PAUL M &amp; MYONG S</t>
  </si>
  <si>
    <t>MALLONEE</t>
  </si>
  <si>
    <t>MALLONEE &amp; JODY LYNN</t>
  </si>
  <si>
    <t xml:space="preserve">1721 N CHANNING </t>
  </si>
  <si>
    <t>HALL JONATHAN M</t>
  </si>
  <si>
    <t>MALLONEE WILLIAM T</t>
  </si>
  <si>
    <t>EMMETT</t>
  </si>
  <si>
    <t>CELERINA</t>
  </si>
  <si>
    <t>EMMETT &amp; CELERINA GRAHAM</t>
  </si>
  <si>
    <t xml:space="preserve">10403 N 54TH DR </t>
  </si>
  <si>
    <t>ROBERTS O E J &amp; CARMOLETA</t>
  </si>
  <si>
    <t>GRAHAM EMMETT &amp; CELERINA</t>
  </si>
  <si>
    <t>HOADLEY</t>
  </si>
  <si>
    <t>KYLIE</t>
  </si>
  <si>
    <t>GRANT &amp; KYLIE HOADLEY</t>
  </si>
  <si>
    <t xml:space="preserve">1536 E FROST ST </t>
  </si>
  <si>
    <t>TANGERINE TERRACE</t>
  </si>
  <si>
    <t>FRANCIK JAMES R &amp; TERRI A</t>
  </si>
  <si>
    <t>HOADLEY GRANT &amp; KYLIE</t>
  </si>
  <si>
    <t>VANOLDEN</t>
  </si>
  <si>
    <t>HANS &amp; SANDRA VANOLDEN</t>
  </si>
  <si>
    <t xml:space="preserve">26839 W ORAIBI DR </t>
  </si>
  <si>
    <t>VAN OLDEN HANS A &amp; SANDRA J</t>
  </si>
  <si>
    <t>LARUE &amp; PEGGY PRICE FAMILY TRUST</t>
  </si>
  <si>
    <t>LARUE &amp; PEGGY PRICE</t>
  </si>
  <si>
    <t xml:space="preserve">22722 N MAZATLAN DR </t>
  </si>
  <si>
    <t>ORLANDO MICHAEL</t>
  </si>
  <si>
    <t>PRICE LARUE M</t>
  </si>
  <si>
    <t>MICHELE &amp; TIM JOHNSON</t>
  </si>
  <si>
    <t xml:space="preserve">17542 W CARMEN DR </t>
  </si>
  <si>
    <t>GENCO TIFFANY &amp; JOSEPH S</t>
  </si>
  <si>
    <t>JOHNSON MICHELE &amp; TIM</t>
  </si>
  <si>
    <t>HIDALGO</t>
  </si>
  <si>
    <t>TINA HIDALGO</t>
  </si>
  <si>
    <t xml:space="preserve">2970 E ANDRE AVE </t>
  </si>
  <si>
    <t>TUCKER CRAIG A</t>
  </si>
  <si>
    <t>HIDALGO JULIO</t>
  </si>
  <si>
    <t>KAVANAUGH</t>
  </si>
  <si>
    <t>MICHAEL KAVANAUGH</t>
  </si>
  <si>
    <t xml:space="preserve">3379 E SUNNYDALE DR </t>
  </si>
  <si>
    <t>GIANNOCCARO JOSEPH &amp; TOSHA</t>
  </si>
  <si>
    <t>KAVANAUGH MICHAEL A</t>
  </si>
  <si>
    <t>CERNY</t>
  </si>
  <si>
    <t>PAUL CERNY &amp; REBECCA HUERTA</t>
  </si>
  <si>
    <t xml:space="preserve">3224 N MANSFIELD DR </t>
  </si>
  <si>
    <t>LITCHFIELD FARMS 2 LOT 1 THRU 17 REPLAT</t>
  </si>
  <si>
    <t>LITCHFIELD PARK 1 LLC</t>
  </si>
  <si>
    <t>CERNY PAUL C</t>
  </si>
  <si>
    <t>HUERTA REBECCA R</t>
  </si>
  <si>
    <t>JEFFRIES</t>
  </si>
  <si>
    <t>BRANDON JEFFRIES</t>
  </si>
  <si>
    <t xml:space="preserve">1815 W SIERRA SUNSET TRL </t>
  </si>
  <si>
    <t>CZEEH KELLY</t>
  </si>
  <si>
    <t>JEFFRIES BRANDON E &amp; CINDY</t>
  </si>
  <si>
    <t>TIMOTHY &amp; LISA HANSON</t>
  </si>
  <si>
    <t xml:space="preserve">18023 W SOLANO DR </t>
  </si>
  <si>
    <t>RUSSELL RANCH PHASE 2</t>
  </si>
  <si>
    <t>REYES JOSE R &amp; LYDIA L</t>
  </si>
  <si>
    <t>HANSON TIMOTHY J &amp; LISA M</t>
  </si>
  <si>
    <t>EISENHART</t>
  </si>
  <si>
    <t>CANDEE</t>
  </si>
  <si>
    <t>STEVEN &amp; CANDEE EISENHART</t>
  </si>
  <si>
    <t xml:space="preserve">21588 E MEWES RD </t>
  </si>
  <si>
    <t>ORCHARD RANCHETTES 3 PHASE A</t>
  </si>
  <si>
    <t>WUORI WILLIAM G</t>
  </si>
  <si>
    <t>EISENHART STEVEN J &amp; CANDEE J</t>
  </si>
  <si>
    <t>JERYL</t>
  </si>
  <si>
    <t>JERYL &amp; KAREN SAVAGE</t>
  </si>
  <si>
    <t xml:space="preserve">2160 E CALLE MADERAS </t>
  </si>
  <si>
    <t>LAS MADERAS LOT 1-33 TR A-F</t>
  </si>
  <si>
    <t>LAS MADERAS</t>
  </si>
  <si>
    <t>DAVIS STEVEN A</t>
  </si>
  <si>
    <t>JERYL D SAVAGE</t>
  </si>
  <si>
    <t>KAREN D SAVAGE</t>
  </si>
  <si>
    <t>JAMES &amp; JOANNE MABRY</t>
  </si>
  <si>
    <t xml:space="preserve">1602 W LAUREL GREENS DR </t>
  </si>
  <si>
    <t>NASH GARTH &amp; ZANDRA TRUST</t>
  </si>
  <si>
    <t>MABRY JAMES A &amp; JOANNE G</t>
  </si>
  <si>
    <t>LAKE</t>
  </si>
  <si>
    <t>ANDREW &amp; KELLY LAKE</t>
  </si>
  <si>
    <t xml:space="preserve">4936 E AMELIA AVE </t>
  </si>
  <si>
    <t>INDIAN VILLA AMD</t>
  </si>
  <si>
    <t>INDIAN VILLA</t>
  </si>
  <si>
    <t>EIDEL JOE</t>
  </si>
  <si>
    <t>ANDREW J LAKE</t>
  </si>
  <si>
    <t>KELLY M LAKE</t>
  </si>
  <si>
    <t>JOSUE BANDIN</t>
  </si>
  <si>
    <t xml:space="preserve">12509 W ADAMS ST </t>
  </si>
  <si>
    <t>DAVIS LAWRENCE &amp; JENNY</t>
  </si>
  <si>
    <t>BANDIN JOSUE</t>
  </si>
  <si>
    <t>COSTANZA</t>
  </si>
  <si>
    <t>JOSEPH &amp; JENNIFER COSTANZA</t>
  </si>
  <si>
    <t xml:space="preserve">2849 E CORTEZ ST </t>
  </si>
  <si>
    <t>MELROSE PARADISE 4</t>
  </si>
  <si>
    <t>W4C INVESTMENTS LLC</t>
  </si>
  <si>
    <t>COSTANZA JOSEPH A</t>
  </si>
  <si>
    <t>COSTANZA JENNIFER</t>
  </si>
  <si>
    <t>JAMES &amp; LAURA CAMP</t>
  </si>
  <si>
    <t xml:space="preserve">16030 W ANASAZI ST </t>
  </si>
  <si>
    <t>NAUGHTON DONALD S &amp; PAULA J</t>
  </si>
  <si>
    <t>CAMP JAMES &amp; LAURA A</t>
  </si>
  <si>
    <t>WADE &amp; LYNDA LEA</t>
  </si>
  <si>
    <t xml:space="preserve">19227 N 21ST DR </t>
  </si>
  <si>
    <t>WADE JOSEPH S &amp; LYNDA L</t>
  </si>
  <si>
    <t>DANIEL &amp; JENNA WAGNER</t>
  </si>
  <si>
    <t xml:space="preserve">14520 W SIERRA ST </t>
  </si>
  <si>
    <t>BARELA THOMAS D</t>
  </si>
  <si>
    <t>WAGNER DANIEL</t>
  </si>
  <si>
    <t>JAMIE &amp; JAMIE GIBSON</t>
  </si>
  <si>
    <t xml:space="preserve">522 W EL ALBA WAY </t>
  </si>
  <si>
    <t>MASTERCRAFT EAST UNIT 3 LOT 121-205 TR A</t>
  </si>
  <si>
    <t>GIBSON JAMIE S &amp; JAMIE K</t>
  </si>
  <si>
    <t>GALVEZ</t>
  </si>
  <si>
    <t>DANIEL GALVEZ</t>
  </si>
  <si>
    <t xml:space="preserve">3350 W PHELPS RD </t>
  </si>
  <si>
    <t>RANCHO ENCANTO UNIT ONE</t>
  </si>
  <si>
    <t>HAYDEN DANIEL</t>
  </si>
  <si>
    <t>GALVEZ DANIEL W</t>
  </si>
  <si>
    <t>BACHELIER</t>
  </si>
  <si>
    <t>BACHELIER &amp; LUIS DANIEL</t>
  </si>
  <si>
    <t xml:space="preserve">13220 N 28TH ST </t>
  </si>
  <si>
    <t>WILLIAMS MARK E</t>
  </si>
  <si>
    <t>CAROLINE L BACHELIER</t>
  </si>
  <si>
    <t>LUIS D BACHELIER</t>
  </si>
  <si>
    <t>DUFF</t>
  </si>
  <si>
    <t>SUSAN DUFF</t>
  </si>
  <si>
    <t xml:space="preserve">18413 W PURDUE AVE </t>
  </si>
  <si>
    <t>DUFF SUSAN</t>
  </si>
  <si>
    <t>BENJAMIN &amp; ASHLEY KELLY</t>
  </si>
  <si>
    <t xml:space="preserve">1119 E LODGE DR </t>
  </si>
  <si>
    <t>CHESTER HARRY N</t>
  </si>
  <si>
    <t>KELLY BENJAMIN P &amp; ASHLEY R</t>
  </si>
  <si>
    <t>HOUSE JOHNATHON</t>
  </si>
  <si>
    <t xml:space="preserve">8413 E CAMBRIDGE AVE </t>
  </si>
  <si>
    <t>SCOTTSDALE ESTATES 10  LOTS 1519-1686</t>
  </si>
  <si>
    <t>SCOTTSDALE ESTATES TEN</t>
  </si>
  <si>
    <t>MORRIS HOLLY FAMILY TRUST</t>
  </si>
  <si>
    <t>JON MORTON</t>
  </si>
  <si>
    <t xml:space="preserve">967 E ROCKWELL DR </t>
  </si>
  <si>
    <t>FELKER ZACHARY R</t>
  </si>
  <si>
    <t>MORTON JON H</t>
  </si>
  <si>
    <t>VICKERY</t>
  </si>
  <si>
    <t>DAVID &amp; DEBORAH VICKERY</t>
  </si>
  <si>
    <t xml:space="preserve">4467 E MORENO CT </t>
  </si>
  <si>
    <t>ROSS CHRISTOPHER K &amp; VIRGINI</t>
  </si>
  <si>
    <t>VICKERY DAVID &amp; DEBORAH</t>
  </si>
  <si>
    <t>AUREA &amp; MICHAEL EMERY</t>
  </si>
  <si>
    <t xml:space="preserve">9264 E MONTEREY AVE </t>
  </si>
  <si>
    <t>RENARD VENTURES LLC</t>
  </si>
  <si>
    <t>EMERY AUREA</t>
  </si>
  <si>
    <t>ADAM GREENE</t>
  </si>
  <si>
    <t xml:space="preserve">16763 N 151ST LN </t>
  </si>
  <si>
    <t>ORCHARDS PARCEL 4</t>
  </si>
  <si>
    <t>EMGE ANGELA</t>
  </si>
  <si>
    <t>GREENE ADAM B</t>
  </si>
  <si>
    <t>MITTNACHT</t>
  </si>
  <si>
    <t>GEORGE MITTNACHT</t>
  </si>
  <si>
    <t xml:space="preserve">2322 E EARLL DR </t>
  </si>
  <si>
    <t>TERRELL TERRACE</t>
  </si>
  <si>
    <t>CARADOC LLC</t>
  </si>
  <si>
    <t>MITTNACHT GEORGE</t>
  </si>
  <si>
    <t>PASTEN</t>
  </si>
  <si>
    <t>CHARLES PASTEN</t>
  </si>
  <si>
    <t xml:space="preserve">24670 S 171ST AVE </t>
  </si>
  <si>
    <t>VALDEZ FRANCISCO &amp; LORENIA</t>
  </si>
  <si>
    <t>PASTEN CHARLES S</t>
  </si>
  <si>
    <t>STEINEPREIS-WHITEHEAD</t>
  </si>
  <si>
    <t>STEPHEN WHITEHEAD &amp; JULIE STEINEPREIS-WHITEHEAD</t>
  </si>
  <si>
    <t xml:space="preserve">1293 N RENEE AVE </t>
  </si>
  <si>
    <t>STOTT WILLIAM E &amp; M J TRUST</t>
  </si>
  <si>
    <t>WHITEHEAD STEPHEN C</t>
  </si>
  <si>
    <t>STEINEPREIS-WHITEH JULIE A</t>
  </si>
  <si>
    <t>CORDES</t>
  </si>
  <si>
    <t>CORDES &amp; TERESA JANE</t>
  </si>
  <si>
    <t xml:space="preserve">15544 W ST ANDREWS WAY </t>
  </si>
  <si>
    <t xml:space="preserve">PO BOX 8570 </t>
  </si>
  <si>
    <t>SUN CITY GRAND THE POINT</t>
  </si>
  <si>
    <t>COOK CALVIN L &amp; JEANETTE F</t>
  </si>
  <si>
    <t>CORDES MICHAEL R &amp; TERESA J</t>
  </si>
  <si>
    <t>MANHARD</t>
  </si>
  <si>
    <t>CHARLES &amp; CATHERINE MANHARD</t>
  </si>
  <si>
    <t xml:space="preserve">2084 S STUART AVE </t>
  </si>
  <si>
    <t>JACKSON DANIEL D &amp; LONDA R</t>
  </si>
  <si>
    <t>MANHARD CHARLES &amp; CATHERINE</t>
  </si>
  <si>
    <t>ZEIDLER</t>
  </si>
  <si>
    <t>ROBERT ZEIDLER</t>
  </si>
  <si>
    <t xml:space="preserve">1371 E INDIGO ST </t>
  </si>
  <si>
    <t>KLOPFENSTEIN MARK</t>
  </si>
  <si>
    <t>ZEIDLER ROBERT F</t>
  </si>
  <si>
    <t>LEVAREK</t>
  </si>
  <si>
    <t>CHRISTOPHER LEVAREK</t>
  </si>
  <si>
    <t xml:space="preserve">3437 E ROSEMONTE DR </t>
  </si>
  <si>
    <t>VISTAS AT NORTH GATE LOT 201-282</t>
  </si>
  <si>
    <t>VISTAS AT NORTH GATE</t>
  </si>
  <si>
    <t>ORCELLETTO KATHERINE A</t>
  </si>
  <si>
    <t>LEVAREK CHRISTOPHER</t>
  </si>
  <si>
    <t>PHILLIPS &amp; PATRICE PARKER</t>
  </si>
  <si>
    <t xml:space="preserve">4639 S LEISURE WAY </t>
  </si>
  <si>
    <t>ORTIZ PATRICIA L</t>
  </si>
  <si>
    <t>PHILLIPS RICHARD J</t>
  </si>
  <si>
    <t>THOMAS &amp; LAURA MOORE</t>
  </si>
  <si>
    <t xml:space="preserve">3640 S TOWER AVE </t>
  </si>
  <si>
    <t>WEESNER DAVID F &amp; S K TRUST</t>
  </si>
  <si>
    <t>MOORE THOMAS R &amp; LAURA A</t>
  </si>
  <si>
    <t>DANIEL &amp; CATHERINE OLSON</t>
  </si>
  <si>
    <t xml:space="preserve">3180 E GLENEAGLE DR </t>
  </si>
  <si>
    <t>SPRINGFIELD LAKES BLOCK 5</t>
  </si>
  <si>
    <t>MINGUS CAPITAL LLC</t>
  </si>
  <si>
    <t>OLSON DANIEL P &amp; CATHERINE L</t>
  </si>
  <si>
    <t>MARYLOU</t>
  </si>
  <si>
    <t>RUBEN &amp; MARYLOU GARCIA</t>
  </si>
  <si>
    <t xml:space="preserve">9907 E MONTE AVE </t>
  </si>
  <si>
    <t>JARREL JAMES W</t>
  </si>
  <si>
    <t>GARCIA RUBEN V &amp; MARY LOU</t>
  </si>
  <si>
    <t>RUBEN V GARCIA</t>
  </si>
  <si>
    <t>MARYLOU GARCIA</t>
  </si>
  <si>
    <t>NEAL &amp; LISA BAKER</t>
  </si>
  <si>
    <t xml:space="preserve">17960 W LAVENDER LN </t>
  </si>
  <si>
    <t>WATSON BARRY</t>
  </si>
  <si>
    <t>BAKER NEAL</t>
  </si>
  <si>
    <t>MARIE &amp; MARIE SCOTT</t>
  </si>
  <si>
    <t xml:space="preserve">3053 N SAWYER </t>
  </si>
  <si>
    <t>BRIGGS DOUGLAS W &amp; DEBRA K</t>
  </si>
  <si>
    <t>RYAN SCOTT</t>
  </si>
  <si>
    <t>SCOTT RYAN</t>
  </si>
  <si>
    <t>MEGAN M RYAN</t>
  </si>
  <si>
    <t>ANTHONY &amp; DAWN LIMON</t>
  </si>
  <si>
    <t xml:space="preserve">1146 E HAMPTON CIR </t>
  </si>
  <si>
    <t>SHERWOOD MANOR UNIT TWO LOT 175-295</t>
  </si>
  <si>
    <t>SHERWOOD MANOR</t>
  </si>
  <si>
    <t>NGUYEN HANNA &amp; PHONG</t>
  </si>
  <si>
    <t>LIMON ANTHONY &amp; DAWN</t>
  </si>
  <si>
    <t>PETER &amp; KATIE CHRISTOPHER</t>
  </si>
  <si>
    <t xml:space="preserve">6005 W BLACKHAWK DR </t>
  </si>
  <si>
    <t>DISCOVERY AT ARROWHEAD RANCH LOT 1-108 T</t>
  </si>
  <si>
    <t>DISCOVERY AT ARROWHEAD RANCH</t>
  </si>
  <si>
    <t>OLSON DAVID W</t>
  </si>
  <si>
    <t>CHRISTOPHER PETER E &amp; KATIE</t>
  </si>
  <si>
    <t>DAVID &amp; MICHELLE JACK</t>
  </si>
  <si>
    <t xml:space="preserve">11955 W CHASE LN </t>
  </si>
  <si>
    <t>JACK DAVID K</t>
  </si>
  <si>
    <t>NICOLL</t>
  </si>
  <si>
    <t>RYAN NICOLL</t>
  </si>
  <si>
    <t xml:space="preserve">4644 E BRIARWOOD TER </t>
  </si>
  <si>
    <t>HENNING KRISTEN J &amp; CHRISTOP</t>
  </si>
  <si>
    <t>NICOLL RYAN</t>
  </si>
  <si>
    <t>QUINTIN</t>
  </si>
  <si>
    <t>QUINTIN &amp; TERESA THOMAS</t>
  </si>
  <si>
    <t xml:space="preserve">23594 W TAMARISK AVE </t>
  </si>
  <si>
    <t>CLARK LEON</t>
  </si>
  <si>
    <t>QUINTIN THOMAS</t>
  </si>
  <si>
    <t>TERESA THOMAS</t>
  </si>
  <si>
    <t>REMONIA</t>
  </si>
  <si>
    <t>RONALD &amp; REMONIA TUTTLE</t>
  </si>
  <si>
    <t xml:space="preserve">12403 W KEYSTONE DR </t>
  </si>
  <si>
    <t>WATSON DONALD R &amp; J P TRUST</t>
  </si>
  <si>
    <t>TUTTLE RONALD JOSEPH &amp; REMONIA</t>
  </si>
  <si>
    <t>NEWELL</t>
  </si>
  <si>
    <t>RAXTER</t>
  </si>
  <si>
    <t>NEWELL &amp; LYNDSEY RAXTER</t>
  </si>
  <si>
    <t xml:space="preserve">8155 E PORTOBELLO AVE </t>
  </si>
  <si>
    <t>ROMNEY EMILY</t>
  </si>
  <si>
    <t>RAXTER NEWELL ANDREW</t>
  </si>
  <si>
    <t>RAFAEL DOMINGUEZ</t>
  </si>
  <si>
    <t xml:space="preserve">14809 W COUNTRY GABLES DR </t>
  </si>
  <si>
    <t>ASHTON RANCH UNIT 3</t>
  </si>
  <si>
    <t>AUSDAHL LINDA</t>
  </si>
  <si>
    <t>DOMINGUEZ RAFAEL</t>
  </si>
  <si>
    <t>BARNETTE</t>
  </si>
  <si>
    <t>KELCEY &amp; LEAH BARNETTE</t>
  </si>
  <si>
    <t xml:space="preserve">14668 W WILSHIRE DR </t>
  </si>
  <si>
    <t>LESSARD ERIC</t>
  </si>
  <si>
    <t>BARNETTE KELCEY J</t>
  </si>
  <si>
    <t>BARNETTE LEAH</t>
  </si>
  <si>
    <t>AYRES</t>
  </si>
  <si>
    <t>FELIPE</t>
  </si>
  <si>
    <t>RAYMOND AYRES &amp; FELIPE ORTEGA</t>
  </si>
  <si>
    <t xml:space="preserve">21001 N 40TH DR </t>
  </si>
  <si>
    <t xml:space="preserve">21002 N 40TH DR </t>
  </si>
  <si>
    <t>SUNSET CANYON</t>
  </si>
  <si>
    <t>INCOME R OF E AMERICA LLC</t>
  </si>
  <si>
    <t>AYRES RAYMOND A</t>
  </si>
  <si>
    <t>WILLIAM CARPENTER</t>
  </si>
  <si>
    <t xml:space="preserve">26429 S NEW TOWN DR </t>
  </si>
  <si>
    <t>HILLEBRAND JOSEPH W TRUST</t>
  </si>
  <si>
    <t>CARPENTER WILLIAM H</t>
  </si>
  <si>
    <t>RACHELL</t>
  </si>
  <si>
    <t>DOUGLAS &amp; DOUGLAS RACHELL</t>
  </si>
  <si>
    <t xml:space="preserve">16434 W SHERMAN ST </t>
  </si>
  <si>
    <t>DOUGLAS TREVOR &amp; RACHELL</t>
  </si>
  <si>
    <t>ROBERT &amp; CHRISTINA MCCREA</t>
  </si>
  <si>
    <t xml:space="preserve">15972 W POINSETTIA DR </t>
  </si>
  <si>
    <t>MCCREA ROBERT A &amp; CHRISTINA</t>
  </si>
  <si>
    <t>JOHN MILLER</t>
  </si>
  <si>
    <t xml:space="preserve">5804 E HARMONY AVE </t>
  </si>
  <si>
    <t>DONOVAN REBECCA A</t>
  </si>
  <si>
    <t>MILLER JOHN S</t>
  </si>
  <si>
    <t>SEAN WALSH</t>
  </si>
  <si>
    <t xml:space="preserve">10529 W VIA MONTOYA DR </t>
  </si>
  <si>
    <t>AAGAZ HOLDINGS LLC</t>
  </si>
  <si>
    <t>WALSH SEAN PATRICK</t>
  </si>
  <si>
    <t>LANSFORD</t>
  </si>
  <si>
    <t>RICHARD LANSFORD</t>
  </si>
  <si>
    <t xml:space="preserve">1087 N SAGUARO ST </t>
  </si>
  <si>
    <t>BONACHEA IMELDA</t>
  </si>
  <si>
    <t>LANSFORD RICHARD A</t>
  </si>
  <si>
    <t>ESTACIO</t>
  </si>
  <si>
    <t>CHRISTOPHER ESTACIO &amp; TRICIA LOPEZ</t>
  </si>
  <si>
    <t xml:space="preserve">3415 E SWEETWATER AVE </t>
  </si>
  <si>
    <t>ESTACIO CHRISTOPHER J</t>
  </si>
  <si>
    <t>LOPEZ TRICIA A</t>
  </si>
  <si>
    <t>ALLYSON HORN</t>
  </si>
  <si>
    <t xml:space="preserve">8127 W SWEETWATER AVE </t>
  </si>
  <si>
    <t>COTTONWOOD RANCH 1 LOT 1-20 TR A</t>
  </si>
  <si>
    <t>COTTONWOOD RANCH</t>
  </si>
  <si>
    <t>CARLSON THOMAS R</t>
  </si>
  <si>
    <t>HORN ALLYSON L</t>
  </si>
  <si>
    <t>GARY FISHER</t>
  </si>
  <si>
    <t xml:space="preserve">11210 N 15TH AVE </t>
  </si>
  <si>
    <t>FISHER GARY W</t>
  </si>
  <si>
    <t>ENGLISH</t>
  </si>
  <si>
    <t>BRANDON &amp; LORI ENGLISH</t>
  </si>
  <si>
    <t xml:space="preserve">12172 W LOCUST LN </t>
  </si>
  <si>
    <t>ENGLISH BRANDON</t>
  </si>
  <si>
    <t>WILLIAMS &amp; DEBRA JO</t>
  </si>
  <si>
    <t xml:space="preserve">16520 S 179TH LN </t>
  </si>
  <si>
    <t>WILLIAMS JOSEPH A &amp; DEBRA J</t>
  </si>
  <si>
    <t>SKYLYR</t>
  </si>
  <si>
    <t>SKYLYR &amp; REBECCA PRICE</t>
  </si>
  <si>
    <t xml:space="preserve">9429 E OSAGE AVE </t>
  </si>
  <si>
    <t>UTZ SUMMER</t>
  </si>
  <si>
    <t>PRICE SKYLYR W &amp; REBECCA B</t>
  </si>
  <si>
    <t>ANTONIO MALDONADO</t>
  </si>
  <si>
    <t xml:space="preserve">5015 W BURGESS LN </t>
  </si>
  <si>
    <t>RANCHO VERDE ESTATES</t>
  </si>
  <si>
    <t>PRIJATELI DAVID &amp; AMANDA</t>
  </si>
  <si>
    <t>GAGNON LIVING TRUST</t>
  </si>
  <si>
    <t>GAGNON</t>
  </si>
  <si>
    <t xml:space="preserve">829 E LAREDO ST </t>
  </si>
  <si>
    <t>SIERRA POINT</t>
  </si>
  <si>
    <t>SIERRA POINT NORTH</t>
  </si>
  <si>
    <t>GAGNON JEREMY M</t>
  </si>
  <si>
    <t>LIPETZKY</t>
  </si>
  <si>
    <t>GEOFFREY &amp; WYNONA LIPETZKY</t>
  </si>
  <si>
    <t xml:space="preserve">8644 W PARADISE LN </t>
  </si>
  <si>
    <t>PARADISE SHORES</t>
  </si>
  <si>
    <t>RALM INVESTMENTS LLC</t>
  </si>
  <si>
    <t>LIPETZKY GEOFFREY A</t>
  </si>
  <si>
    <t>ESCHER</t>
  </si>
  <si>
    <t>JAMES ESCHER</t>
  </si>
  <si>
    <t xml:space="preserve">1514 S 115TH DR </t>
  </si>
  <si>
    <t>MARTINEZ DANIEL J</t>
  </si>
  <si>
    <t>ESCHER JAMES V</t>
  </si>
  <si>
    <t>JOSHUA HICKS</t>
  </si>
  <si>
    <t xml:space="preserve">3232 E ESCUDA RD </t>
  </si>
  <si>
    <t>CARLETON STAR M</t>
  </si>
  <si>
    <t>HICKS JOSHUA B</t>
  </si>
  <si>
    <t>CHRISTOPHER &amp; MANDY RICKER</t>
  </si>
  <si>
    <t xml:space="preserve">19929 W ENCANTO BLVD </t>
  </si>
  <si>
    <t>VALENCIA VILLAGE  ANNEX</t>
  </si>
  <si>
    <t>HARGETT GINGER</t>
  </si>
  <si>
    <t>CHRISTOPHER RICKER</t>
  </si>
  <si>
    <t>MANDY RICKER</t>
  </si>
  <si>
    <t>KENDALL ELLISON</t>
  </si>
  <si>
    <t xml:space="preserve">9820 S 44TH ST </t>
  </si>
  <si>
    <t>ALISO CANYON LOT 287-414 TR A-I</t>
  </si>
  <si>
    <t>ALISO CANYON</t>
  </si>
  <si>
    <t>STEVENS CHRISTOPHER G</t>
  </si>
  <si>
    <t>ELLISON KENDALL G</t>
  </si>
  <si>
    <t>SCHUBBE</t>
  </si>
  <si>
    <t>TRAVIS &amp; EMILY SCHUBBE</t>
  </si>
  <si>
    <t xml:space="preserve">6536 E PEBBLE DR </t>
  </si>
  <si>
    <t>HAMILTON BRIAN</t>
  </si>
  <si>
    <t>SCHUBBE TRAVIS J &amp; EMILY S</t>
  </si>
  <si>
    <t>KILDOO</t>
  </si>
  <si>
    <t>MICHAEL KILDOO</t>
  </si>
  <si>
    <t xml:space="preserve">623 W IAN DR </t>
  </si>
  <si>
    <t>SOUTH MOUNTAIN MANOR</t>
  </si>
  <si>
    <t>HARP RICHARD D</t>
  </si>
  <si>
    <t>KILDOO MICHAEL D</t>
  </si>
  <si>
    <t>MARCELLA</t>
  </si>
  <si>
    <t>MARCELLA &amp; MARCELLA CORONADO</t>
  </si>
  <si>
    <t xml:space="preserve">1732 E BEAUTIFUL LN </t>
  </si>
  <si>
    <t>MCSHERRY ANN</t>
  </si>
  <si>
    <t>SEVERO C FLORES</t>
  </si>
  <si>
    <t>ALICE M FLORES</t>
  </si>
  <si>
    <t>ROBIN ROBERTS</t>
  </si>
  <si>
    <t xml:space="preserve">13025 W GELDING DR </t>
  </si>
  <si>
    <t>RANCHO EL MIRAGE PARCEL A</t>
  </si>
  <si>
    <t>HOUNSELL COLIN &amp; LISA</t>
  </si>
  <si>
    <t>ROBERTS ROBIN D</t>
  </si>
  <si>
    <t>ERIC &amp; EMILEE STEPHENS</t>
  </si>
  <si>
    <t xml:space="preserve">20402 N 30TH ST </t>
  </si>
  <si>
    <t>RICUITO MICHAEL E &amp; SUSAN M</t>
  </si>
  <si>
    <t>STEPHENS ERIC D &amp; EMILEE F</t>
  </si>
  <si>
    <t>RICHARD &amp; BRITTANY JENNINGS</t>
  </si>
  <si>
    <t xml:space="preserve">4921 E FOX ST </t>
  </si>
  <si>
    <t>ARNOLD GREGORY J</t>
  </si>
  <si>
    <t>JENNINGS RICHARD &amp; BRITTANY</t>
  </si>
  <si>
    <t>BRANHAM</t>
  </si>
  <si>
    <t>GLENN BRANHAM</t>
  </si>
  <si>
    <t xml:space="preserve">7608 W MESCAL ST </t>
  </si>
  <si>
    <t>HARRISON NICHOL-RA</t>
  </si>
  <si>
    <t>GLENN A BRANHAM</t>
  </si>
  <si>
    <t>UNCK HENDRIK &amp; HOLLY LIVING TR</t>
  </si>
  <si>
    <t>UNCKHENDRIK &amp; HOLLY UNCKHENDRIK</t>
  </si>
  <si>
    <t xml:space="preserve">10446 E TWILIGHT DR </t>
  </si>
  <si>
    <t>HARRIS TRUST</t>
  </si>
  <si>
    <t>FIRST FED'L SVGS BK</t>
  </si>
  <si>
    <t>HENDRIK JR UNCK</t>
  </si>
  <si>
    <t>HOLLY I UNCK</t>
  </si>
  <si>
    <t>JOHN MORGAN</t>
  </si>
  <si>
    <t xml:space="preserve">1009 N HILLRIDGE </t>
  </si>
  <si>
    <t>GILA RIDGE UNIT 2</t>
  </si>
  <si>
    <t>GILA RIDGE</t>
  </si>
  <si>
    <t>WEEKS RANDY G</t>
  </si>
  <si>
    <t>MORGAN JOHN S</t>
  </si>
  <si>
    <t>RAY MAGAN</t>
  </si>
  <si>
    <t>JERROD THOMAS</t>
  </si>
  <si>
    <t xml:space="preserve">17278 W JEFFERSON ST </t>
  </si>
  <si>
    <t>ZARAGOZA JOSE R</t>
  </si>
  <si>
    <t>THOMAS JERROD</t>
  </si>
  <si>
    <t>HAZARD</t>
  </si>
  <si>
    <t>LYNN &amp; GEOFFREY HAZARD</t>
  </si>
  <si>
    <t xml:space="preserve">7611 S 15TH ST </t>
  </si>
  <si>
    <t>FERGUSON STEVEN R</t>
  </si>
  <si>
    <t>HAZARD LYNN J &amp; GEOFFREY D</t>
  </si>
  <si>
    <t>ANTHONY COLLINS</t>
  </si>
  <si>
    <t xml:space="preserve">846 W LINDNER AVE </t>
  </si>
  <si>
    <t>WOODGLEN UNIT 2 LOT 130-248 TR A</t>
  </si>
  <si>
    <t>COLLINS ANTHONY</t>
  </si>
  <si>
    <t>LEITCH</t>
  </si>
  <si>
    <t>ROBERT &amp; MARY LEITCH</t>
  </si>
  <si>
    <t xml:space="preserve">18628 W CHERYL DR </t>
  </si>
  <si>
    <t>LEITCH ROBERT L</t>
  </si>
  <si>
    <t>KENNETH WRIGHT</t>
  </si>
  <si>
    <t xml:space="preserve">8581 W RUE DE LAMOUR </t>
  </si>
  <si>
    <t>PIVOTAL PEORIA CENTER TRACTS C &amp; D</t>
  </si>
  <si>
    <t>MGM TRUST I</t>
  </si>
  <si>
    <t>WRIGHT KENNETH W</t>
  </si>
  <si>
    <t>SHORES</t>
  </si>
  <si>
    <t>ROSS SHORES</t>
  </si>
  <si>
    <t xml:space="preserve">1046 W PAGE AVE </t>
  </si>
  <si>
    <t>KIRMIS JOSEPH M</t>
  </si>
  <si>
    <t>SHORES ROSS</t>
  </si>
  <si>
    <t>YOU</t>
  </si>
  <si>
    <t>DAVID YOU</t>
  </si>
  <si>
    <t xml:space="preserve">15177 W GLENROSA AVE </t>
  </si>
  <si>
    <t>GUTIERREZ RICARDO</t>
  </si>
  <si>
    <t>YOU DAVID DONGHUN</t>
  </si>
  <si>
    <t>WOLF</t>
  </si>
  <si>
    <t>LAURA &amp; CHAD WOLF</t>
  </si>
  <si>
    <t xml:space="preserve">20792 W EASTVIEW WAY </t>
  </si>
  <si>
    <t>FULLER CHAD</t>
  </si>
  <si>
    <t>WOLF LAURA &amp; CHAD</t>
  </si>
  <si>
    <t>WOLF CHAD A &amp; LAURA</t>
  </si>
  <si>
    <t>PULLEY</t>
  </si>
  <si>
    <t>SAMUEL PULLEY</t>
  </si>
  <si>
    <t xml:space="preserve">1830 S PORTLAND AVE </t>
  </si>
  <si>
    <t>HURLEY THOMAS W &amp; CHRISTINA</t>
  </si>
  <si>
    <t>PULLEY SAMUEL</t>
  </si>
  <si>
    <t>SCHMIDT FAMILY TRUST</t>
  </si>
  <si>
    <t xml:space="preserve">21638 N 124TH CT </t>
  </si>
  <si>
    <t>SUN CITY WEST 19A LOT 1-34 TR A</t>
  </si>
  <si>
    <t>MALONE TRUST</t>
  </si>
  <si>
    <t>SCHMIDT WILLIAM &amp; SANDRA</t>
  </si>
  <si>
    <t>HUGH</t>
  </si>
  <si>
    <t>WESTROPE</t>
  </si>
  <si>
    <t>HUGH &amp; JANE WESTROPE</t>
  </si>
  <si>
    <t xml:space="preserve">9030 W ESCUDA DR </t>
  </si>
  <si>
    <t>VILLAGE TERRACE 2 AT WESTBROOK VILLAGE</t>
  </si>
  <si>
    <t>VILLAGE TERRACE AT WESTBROOK VILLAGE</t>
  </si>
  <si>
    <t>HICKS RITA M</t>
  </si>
  <si>
    <t>WESTROPE HUGH</t>
  </si>
  <si>
    <t>DOMINIC HIGGINS</t>
  </si>
  <si>
    <t xml:space="preserve">11460 E PRATT AVE </t>
  </si>
  <si>
    <t>RIECKE WILLIAM H</t>
  </si>
  <si>
    <t>HIGGINS DOMINIC S</t>
  </si>
  <si>
    <t>ANTHONY SCHUMACHER</t>
  </si>
  <si>
    <t xml:space="preserve">2215 S 166TH AVE </t>
  </si>
  <si>
    <t>GOLDEK THOMAS W</t>
  </si>
  <si>
    <t>SCHUMACHER ANTHONY</t>
  </si>
  <si>
    <t>DANIEL GARCIA</t>
  </si>
  <si>
    <t xml:space="preserve">3125 W TOPEKA DR </t>
  </si>
  <si>
    <t>ROZA RICHARD R &amp; LAURIE A</t>
  </si>
  <si>
    <t>GARCIA DANIEL R</t>
  </si>
  <si>
    <t>HESELIUS</t>
  </si>
  <si>
    <t>ARTHUR &amp; TRACIE HESELIUS</t>
  </si>
  <si>
    <t xml:space="preserve">842 W PLATA AVE </t>
  </si>
  <si>
    <t>MARLBOROUGH MESA UNIT 2 LOT 225-469 &amp; TR</t>
  </si>
  <si>
    <t>STEIGER SAGE</t>
  </si>
  <si>
    <t>HESELIUS ARTHUR J &amp; TRACIE A</t>
  </si>
  <si>
    <t>PEDROZA</t>
  </si>
  <si>
    <t>MONIQUE PEDROZA</t>
  </si>
  <si>
    <t xml:space="preserve">555 N OCOTILLO LN </t>
  </si>
  <si>
    <t>CAYMAN SQUARE UNIT 2</t>
  </si>
  <si>
    <t>NUTTER DARREN M</t>
  </si>
  <si>
    <t>MONIQUE Y PEDROZA</t>
  </si>
  <si>
    <t>JOSEPH G KORIEL</t>
  </si>
  <si>
    <t>EMILIO</t>
  </si>
  <si>
    <t>ALVARADO</t>
  </si>
  <si>
    <t>EMILIO ALVARADO</t>
  </si>
  <si>
    <t xml:space="preserve">6389 N 78TH DR </t>
  </si>
  <si>
    <t>LAFARGA ADRIAN</t>
  </si>
  <si>
    <t>ALVARADO EMILIO</t>
  </si>
  <si>
    <t>JEWELL</t>
  </si>
  <si>
    <t>DUSTIN JEWELL</t>
  </si>
  <si>
    <t xml:space="preserve">2100 N NORMAL AVE </t>
  </si>
  <si>
    <t>WHEELHOUSE PROPS INC</t>
  </si>
  <si>
    <t>JEWELL DUSTIN A</t>
  </si>
  <si>
    <t>KALA</t>
  </si>
  <si>
    <t>RANDY &amp; KALA FLORES</t>
  </si>
  <si>
    <t xml:space="preserve">37816 N PAGODA LN </t>
  </si>
  <si>
    <t>J &amp; J TAILORED SVCS LLC</t>
  </si>
  <si>
    <t>FLORES RANDY L</t>
  </si>
  <si>
    <t>FREULER</t>
  </si>
  <si>
    <t>FREULER &amp; PENNY LEE</t>
  </si>
  <si>
    <t xml:space="preserve">578 N SPANISH SPRINGS DR </t>
  </si>
  <si>
    <t>FOUNTAIN COURT AMD LT 1-38 PARCEL A-E</t>
  </si>
  <si>
    <t>FOUNTAIN COURT</t>
  </si>
  <si>
    <t>GAVIGAN REBECCA</t>
  </si>
  <si>
    <t>FREULER PATRICK JOHN</t>
  </si>
  <si>
    <t>MORGAN SALAS</t>
  </si>
  <si>
    <t xml:space="preserve">2109 E INVERNESS AVE </t>
  </si>
  <si>
    <t>SALAS MORGAN</t>
  </si>
  <si>
    <t>KEVIN LAMPE</t>
  </si>
  <si>
    <t xml:space="preserve">2539 W WARREN DR </t>
  </si>
  <si>
    <t>BRUNI ARCHIE &amp; PATRICIA A</t>
  </si>
  <si>
    <t>LAMPE KEVIN W</t>
  </si>
  <si>
    <t>MADRIGAL</t>
  </si>
  <si>
    <t>RAFAEL &amp; LORENA MADRIGAL</t>
  </si>
  <si>
    <t xml:space="preserve">22282 W HADLEY ST </t>
  </si>
  <si>
    <t>RODRIGUEZ JEFFREY S</t>
  </si>
  <si>
    <t>MICHAEL P BEALL</t>
  </si>
  <si>
    <t>JAIME BEALL</t>
  </si>
  <si>
    <t>RAFAEL M MADRIGAL</t>
  </si>
  <si>
    <t>LORENA MADRIGAL</t>
  </si>
  <si>
    <t>DOWNEY</t>
  </si>
  <si>
    <t>THOMAS &amp; NORA DOWNEY</t>
  </si>
  <si>
    <t xml:space="preserve">2243 E EDGEWOOD AVE </t>
  </si>
  <si>
    <t>ZOWADA ROBERT J</t>
  </si>
  <si>
    <t>DOWNEY THOMAS J</t>
  </si>
  <si>
    <t>JAYSON</t>
  </si>
  <si>
    <t>CHESHIRE</t>
  </si>
  <si>
    <t>JAYSON &amp; STEPHANIE CHESHIRE</t>
  </si>
  <si>
    <t xml:space="preserve">15701 W DESERT HILLS DR </t>
  </si>
  <si>
    <t>CHESHIRE JAYSON C &amp; STEPHANIE M</t>
  </si>
  <si>
    <t>SHIZUKA</t>
  </si>
  <si>
    <t>DONALD &amp; SHIZUKA BISHOP</t>
  </si>
  <si>
    <t xml:space="preserve">2115 E FREMONT DR </t>
  </si>
  <si>
    <t>GILMAN RICKY J &amp; LISA K T T</t>
  </si>
  <si>
    <t>BISHOP DONALD &amp; SHIZUKA</t>
  </si>
  <si>
    <t xml:space="preserve">3114 S SPRUCE </t>
  </si>
  <si>
    <t xml:space="preserve">1134 E CAMPUS DR </t>
  </si>
  <si>
    <t>BURDEN FAMILY LIVING TRUST</t>
  </si>
  <si>
    <t>NANEZ</t>
  </si>
  <si>
    <t>JOSE &amp; LUCY NANEZ</t>
  </si>
  <si>
    <t xml:space="preserve">9347 W PALMER DR </t>
  </si>
  <si>
    <t>SPRINGER RANCH</t>
  </si>
  <si>
    <t>NANEZ JOSE E &amp; LUCY M</t>
  </si>
  <si>
    <t>STEPHANIE &amp; KENNETH COLLINS</t>
  </si>
  <si>
    <t xml:space="preserve">15903 W SIERRA ST </t>
  </si>
  <si>
    <t>COLLINS STEPHANIE R</t>
  </si>
  <si>
    <t>COLLINS STEPHANIE R &amp; KENNETH G JR</t>
  </si>
  <si>
    <t>JAMES WRIGHT</t>
  </si>
  <si>
    <t xml:space="preserve">7735 N 183RD AVE </t>
  </si>
  <si>
    <t>TETRAULT VELVET C</t>
  </si>
  <si>
    <t>WRIGHT JAMES M</t>
  </si>
  <si>
    <t>JOHN &amp; CATHERINE GIBSON</t>
  </si>
  <si>
    <t xml:space="preserve">13779 W BANFF LN </t>
  </si>
  <si>
    <t>GIBSON JOHN &amp; CATHERINE</t>
  </si>
  <si>
    <t>POLTENO</t>
  </si>
  <si>
    <t>WILLIAM &amp; LINDA POLTENO</t>
  </si>
  <si>
    <t xml:space="preserve">16627 W WOODLANDS AVE </t>
  </si>
  <si>
    <t>CANYON TRAILS UNIT 2</t>
  </si>
  <si>
    <t>WEICHERT WORKFORCE MOBILIT</t>
  </si>
  <si>
    <t>POLTENO WILLIAM J JR &amp; LINDA S</t>
  </si>
  <si>
    <t>DAMON</t>
  </si>
  <si>
    <t>BETENBOUGH</t>
  </si>
  <si>
    <t>DAMON &amp; KAREN BETENBOUGH</t>
  </si>
  <si>
    <t xml:space="preserve">28407 N 253RD AVE </t>
  </si>
  <si>
    <t>B &amp; L BARNS LLC</t>
  </si>
  <si>
    <t>BETENBOUGH DAMON</t>
  </si>
  <si>
    <t>MCCALMAN</t>
  </si>
  <si>
    <t>MCCALMAN &amp; NANCY JEAN</t>
  </si>
  <si>
    <t xml:space="preserve">2010 N 123RD DR </t>
  </si>
  <si>
    <t>THATCHER TRUST</t>
  </si>
  <si>
    <t>MCCALMAN MARTIN M &amp; NANCY J</t>
  </si>
  <si>
    <t>DREW &amp; SARA SANDERS</t>
  </si>
  <si>
    <t xml:space="preserve">1641 W CINDY ST </t>
  </si>
  <si>
    <t>BURNETTE LINDA K TRUST</t>
  </si>
  <si>
    <t>DREW H SANDERS</t>
  </si>
  <si>
    <t>SARA R SANDERS</t>
  </si>
  <si>
    <t>JENNETH</t>
  </si>
  <si>
    <t>WILLIAM &amp; JENNETH POWELL</t>
  </si>
  <si>
    <t xml:space="preserve">9223 W SALTER DR </t>
  </si>
  <si>
    <t>DOVE VALLEY RANCH PARCEL 2D VARIOUS LOTS</t>
  </si>
  <si>
    <t>PLAUMANN FREDRICK G</t>
  </si>
  <si>
    <t>POWELL WILLIAM P</t>
  </si>
  <si>
    <t>GWALTNEY</t>
  </si>
  <si>
    <t>J &amp; M GWALTNEY GWALTNEY</t>
  </si>
  <si>
    <t xml:space="preserve">15048 W CAMERON DR </t>
  </si>
  <si>
    <t>WILLIS WALTER</t>
  </si>
  <si>
    <t>JOE L GWALTNEY</t>
  </si>
  <si>
    <t>ROBERT &amp; KATHERINE MCCORMICK</t>
  </si>
  <si>
    <t xml:space="preserve">8356 W PARADISE DR </t>
  </si>
  <si>
    <t>STEVENS KATHLEEN E</t>
  </si>
  <si>
    <t>MCCORMICK ROBERT C &amp; KATHERIN</t>
  </si>
  <si>
    <t>VANRAALTY</t>
  </si>
  <si>
    <t>HOLLY &amp; JEFFREY VANRAALTY</t>
  </si>
  <si>
    <t xml:space="preserve">6316 W VINEYARD RD </t>
  </si>
  <si>
    <t>FEDERAL HM LN MTG CORP</t>
  </si>
  <si>
    <t>VAN RAALTE HOLLY J &amp; JEFFREY D</t>
  </si>
  <si>
    <t>FRANCK</t>
  </si>
  <si>
    <t>TRAINOR</t>
  </si>
  <si>
    <t>FRANCK &amp; LISA TRAINOR</t>
  </si>
  <si>
    <t xml:space="preserve">14517 W DESERT HILLS DR </t>
  </si>
  <si>
    <t>METIVIER BRAD E</t>
  </si>
  <si>
    <t>TRAINOR FRANCK &amp; LISA</t>
  </si>
  <si>
    <t>POWLESS</t>
  </si>
  <si>
    <t>JUSTIN &amp; ALICIA POWLESS</t>
  </si>
  <si>
    <t xml:space="preserve">20866 W GLEN ST </t>
  </si>
  <si>
    <t>VERRADO PARCEL 4.506</t>
  </si>
  <si>
    <t>EDWARDS THOMAS H</t>
  </si>
  <si>
    <t>POWLESS JUSTIN A &amp; ALICIA K</t>
  </si>
  <si>
    <t>LINDA &amp; MICHAEL MONAGHAN</t>
  </si>
  <si>
    <t xml:space="preserve">3951 N SANTIAGO </t>
  </si>
  <si>
    <t>FIENE MICHAEL &amp; CHRISTINE</t>
  </si>
  <si>
    <t>ACOPIA LLC</t>
  </si>
  <si>
    <t>MONAGHAN MICHAEL W &amp; LINDA J</t>
  </si>
  <si>
    <t>JOHNSON &amp; MARIBEL ADELA</t>
  </si>
  <si>
    <t xml:space="preserve">22014 N 59TH LN </t>
  </si>
  <si>
    <t>HERL JAY L</t>
  </si>
  <si>
    <t>JOHNSON LINDSAY &amp; MARIBEL</t>
  </si>
  <si>
    <t>REED FAMILY TRUST</t>
  </si>
  <si>
    <t xml:space="preserve">19762 N LONE CACTUS DR </t>
  </si>
  <si>
    <t>SUN CITY GRAND CHOLLA RIDGE</t>
  </si>
  <si>
    <t>GORSETH AL &amp; PAT FAMILY TRUST</t>
  </si>
  <si>
    <t>REED DOUGLAS &amp; PAMELA</t>
  </si>
  <si>
    <t>BRADLEY HAGAN</t>
  </si>
  <si>
    <t xml:space="preserve">2720 S HOLGUIN WAY </t>
  </si>
  <si>
    <t>CHRISTENSEN RONALD L</t>
  </si>
  <si>
    <t>HAGAN BRADLEY L</t>
  </si>
  <si>
    <t>KELLY &amp; XAVIER VALDEZ</t>
  </si>
  <si>
    <t xml:space="preserve">13767 W GILIA WAY </t>
  </si>
  <si>
    <t>VALDEZ KELLY A &amp; XAVIER F</t>
  </si>
  <si>
    <t>CRAIG &amp; CHRISTINE SHORT</t>
  </si>
  <si>
    <t xml:space="preserve">1333 E ARROWHEAD TRL </t>
  </si>
  <si>
    <t>HENKEL DIANE C</t>
  </si>
  <si>
    <t>SHORT CRAIG</t>
  </si>
  <si>
    <t>DONALD HARRISON</t>
  </si>
  <si>
    <t xml:space="preserve">12857 W MARLETTE AVE </t>
  </si>
  <si>
    <t>ARMED FORCES BANK NA</t>
  </si>
  <si>
    <t>HARRISON DONALD L</t>
  </si>
  <si>
    <t>DERRICK &amp; CATHRYN JACK</t>
  </si>
  <si>
    <t xml:space="preserve">2645 N FONTANA CIR </t>
  </si>
  <si>
    <t>CHARLES BRUCE D</t>
  </si>
  <si>
    <t>JACK DERRICK &amp; CATHRYN A</t>
  </si>
  <si>
    <t>JASON JENSEN</t>
  </si>
  <si>
    <t xml:space="preserve">2196 N 144TH DR </t>
  </si>
  <si>
    <t>PALM VALLEY PHASE 2 PARCEL 10</t>
  </si>
  <si>
    <t>TRAVESIA</t>
  </si>
  <si>
    <t>CERITELLI ANTONIO &amp; OLGA</t>
  </si>
  <si>
    <t>JENSEN JASON</t>
  </si>
  <si>
    <t>JENSON JENNIFER</t>
  </si>
  <si>
    <t>LEO &amp; LINDA GONZALEZ</t>
  </si>
  <si>
    <t xml:space="preserve">6728 W CREST LN </t>
  </si>
  <si>
    <t>RUFF DIAMOND PROPS LLC</t>
  </si>
  <si>
    <t>GONZALEZ LEO &amp; LINDA</t>
  </si>
  <si>
    <t>JIMMIE</t>
  </si>
  <si>
    <t>JIMMIE &amp; CLAUDIA COLEMAN</t>
  </si>
  <si>
    <t xml:space="preserve">20848 W WYCLIFF CT </t>
  </si>
  <si>
    <t>CYPRESSI ANGELO F &amp; ALICIA L</t>
  </si>
  <si>
    <t>COLEMAN JIMMIE L &amp; CLAUDIA M</t>
  </si>
  <si>
    <t>DONARSKI</t>
  </si>
  <si>
    <t>BRIAN DONARSKI</t>
  </si>
  <si>
    <t xml:space="preserve">6565 S CLASSIC WAY </t>
  </si>
  <si>
    <t>DALTON WILLIAM H</t>
  </si>
  <si>
    <t>DONARSKI BRIAN L</t>
  </si>
  <si>
    <t>GEORGE JACKSON</t>
  </si>
  <si>
    <t xml:space="preserve">10402 W LOUISE DR </t>
  </si>
  <si>
    <t>JACKSON GEORGE</t>
  </si>
  <si>
    <t>VERNAL</t>
  </si>
  <si>
    <t>TINGLEY</t>
  </si>
  <si>
    <t>VERNAL TINGLEY</t>
  </si>
  <si>
    <t xml:space="preserve">15034 W WINDSOR AVE </t>
  </si>
  <si>
    <t>EWING DARREN E &amp; TRACEY D</t>
  </si>
  <si>
    <t>TINGLEY VERNAL D</t>
  </si>
  <si>
    <t>RICHARD &amp; DEBRA MORGAN</t>
  </si>
  <si>
    <t xml:space="preserve">423 S MARIE DR </t>
  </si>
  <si>
    <t>ELDER ED M &amp; KAYLEEN C</t>
  </si>
  <si>
    <t>MORGAN RICHARD A &amp; DEBRA J</t>
  </si>
  <si>
    <t>JAMES E HALL JR AND JENNIFER L HALL TRUST</t>
  </si>
  <si>
    <t xml:space="preserve">3214 E MOUNTAIN VILLAGE CIR </t>
  </si>
  <si>
    <t>ELSEN JACOB C</t>
  </si>
  <si>
    <t>HALL JAMES E JR &amp; JENNIFER L</t>
  </si>
  <si>
    <t>DCM TRUST</t>
  </si>
  <si>
    <t>DCM</t>
  </si>
  <si>
    <t xml:space="preserve">329 W MINNEZONA AVE </t>
  </si>
  <si>
    <t>YAPLE PARK</t>
  </si>
  <si>
    <t>MARTINA RONALD P</t>
  </si>
  <si>
    <t>MESA DAVID C</t>
  </si>
  <si>
    <t>NICHOLE &amp; GERARDO GONZALEZ</t>
  </si>
  <si>
    <t xml:space="preserve">2006 W REMINGTON DR </t>
  </si>
  <si>
    <t>PECOS VISTAS 2</t>
  </si>
  <si>
    <t>ISABELLA PATRICK</t>
  </si>
  <si>
    <t>GONZALEZ NICHOLE J &amp; GERARDO</t>
  </si>
  <si>
    <t>DANIEL &amp; ALICIA WILSON</t>
  </si>
  <si>
    <t xml:space="preserve">1031 E SHERRI DR </t>
  </si>
  <si>
    <t>NEELY COMMONS PHASE 2</t>
  </si>
  <si>
    <t>MAC MATHESON DERRY</t>
  </si>
  <si>
    <t>WILSON DANIEL</t>
  </si>
  <si>
    <t>BREZLER</t>
  </si>
  <si>
    <t>CHRISTOPHER &amp; LILY BREZLER</t>
  </si>
  <si>
    <t xml:space="preserve">15301 E PALOMINO BLVD </t>
  </si>
  <si>
    <t>FRASCO RICHARD J &amp; CAROL L</t>
  </si>
  <si>
    <t>BREZLER CHRISTOPHER &amp; LILY</t>
  </si>
  <si>
    <t>US BK TR</t>
  </si>
  <si>
    <t>PORTLAND OR 97204</t>
  </si>
  <si>
    <t>CHRISTOPHER BREZLER</t>
  </si>
  <si>
    <t>LILY BREZLER</t>
  </si>
  <si>
    <t>JASON &amp; STEPHANIE GONZALEZ</t>
  </si>
  <si>
    <t xml:space="preserve">1581 W PRESCOTT DR </t>
  </si>
  <si>
    <t>LAGUNA COVE AT OCOTILLO</t>
  </si>
  <si>
    <t>LAGUNA COVE</t>
  </si>
  <si>
    <t>BROWN CAROLE &amp; RODNEY R</t>
  </si>
  <si>
    <t>GONZALEZ JASON &amp; STEPHANIE M</t>
  </si>
  <si>
    <t>DEBORAH MICHAEL</t>
  </si>
  <si>
    <t xml:space="preserve">3095 E BLACKHAWK DR </t>
  </si>
  <si>
    <t>MICHAEL DEBORAH J</t>
  </si>
  <si>
    <t>CHARLES &amp; ROSLYN SNYDER</t>
  </si>
  <si>
    <t xml:space="preserve">5533 N RATTLER WAY </t>
  </si>
  <si>
    <t xml:space="preserve">533 N RATTLER WAY </t>
  </si>
  <si>
    <t>ER LORIMOR LLC</t>
  </si>
  <si>
    <t>SNYDER CHARLES E &amp; ROSLYN F</t>
  </si>
  <si>
    <t>HILL CHRISTIPHER &amp; APRIL F TRU</t>
  </si>
  <si>
    <t>&amp; APRIL HILLCHRISTIPHER</t>
  </si>
  <si>
    <t xml:space="preserve">18659 E ASHRIDGE DR </t>
  </si>
  <si>
    <t>SOSSAMAN ESTATES PARCEL H</t>
  </si>
  <si>
    <t>FLYNN RICHARD T &amp; MARY M</t>
  </si>
  <si>
    <t>HILL CHRISTOPHER A &amp; APRIL M</t>
  </si>
  <si>
    <t>RICHARD &amp; HEATHER RAMOS</t>
  </si>
  <si>
    <t xml:space="preserve">6004 W MICHELLE DR </t>
  </si>
  <si>
    <t>RAMOS RICHARD &amp; HEATHER</t>
  </si>
  <si>
    <t>ANNA &amp; MARVIN ELLIS</t>
  </si>
  <si>
    <t xml:space="preserve">7912 W QUAIL TRACK DR </t>
  </si>
  <si>
    <t>ELLIS ANNA R</t>
  </si>
  <si>
    <t>ASIA</t>
  </si>
  <si>
    <t>ASIA BELL</t>
  </si>
  <si>
    <t xml:space="preserve">14169 W ST MORITZ LN </t>
  </si>
  <si>
    <t>DO JACLYNN</t>
  </si>
  <si>
    <t>BELL ASIA S</t>
  </si>
  <si>
    <t>JOSE SALAZAR</t>
  </si>
  <si>
    <t xml:space="preserve">18009 W ROYAL PALM RD </t>
  </si>
  <si>
    <t>GRIDER KEVIN S</t>
  </si>
  <si>
    <t>SALAZAR JOSE</t>
  </si>
  <si>
    <t>AMIR</t>
  </si>
  <si>
    <t>HASAN</t>
  </si>
  <si>
    <t>AMIR &amp; MONICA HASAN</t>
  </si>
  <si>
    <t xml:space="preserve">5426 E SANDRA TER </t>
  </si>
  <si>
    <t>HAENNY BRUCE &amp; LORI</t>
  </si>
  <si>
    <t>HASAN AMIR A &amp; MONICA L</t>
  </si>
  <si>
    <t>GENE &amp; KIM JAMES</t>
  </si>
  <si>
    <t xml:space="preserve">4559 E CAROLINA DR </t>
  </si>
  <si>
    <t>GREENBRIER EAST UNIT 14 LOT 1-68</t>
  </si>
  <si>
    <t>GUTHART PAUL E</t>
  </si>
  <si>
    <t>JAMES GENE M &amp; KIM Y</t>
  </si>
  <si>
    <t xml:space="preserve">2121 E PALM BEACH DR </t>
  </si>
  <si>
    <t>STRUTZ</t>
  </si>
  <si>
    <t>THOMAS &amp; CATHERINE STRUTZ</t>
  </si>
  <si>
    <t xml:space="preserve">4053 E WAGON CT </t>
  </si>
  <si>
    <t>PLACENCIO ANDREA R</t>
  </si>
  <si>
    <t>STRUTZ THOMAS M &amp; CATHERINE A</t>
  </si>
  <si>
    <t>LOIS</t>
  </si>
  <si>
    <t>JOHN &amp; LOIS PARRISH</t>
  </si>
  <si>
    <t xml:space="preserve">429 N MERINO </t>
  </si>
  <si>
    <t>STONE KENNETH E &amp; S L TRUST</t>
  </si>
  <si>
    <t>PARRISH JOHN G III &amp; LOIS</t>
  </si>
  <si>
    <t>MCCLELLAND</t>
  </si>
  <si>
    <t>LISA &amp; ERIN MCCLELLAND</t>
  </si>
  <si>
    <t xml:space="preserve">525 N BLUEJAY DR </t>
  </si>
  <si>
    <t xml:space="preserve">10112 E PAMPA AVE </t>
  </si>
  <si>
    <t>HIGHLAND RANCH 3</t>
  </si>
  <si>
    <t>HAMEL EDWARD G</t>
  </si>
  <si>
    <t>MCCLELLAND LISA</t>
  </si>
  <si>
    <t>ALLEN ERIN N</t>
  </si>
  <si>
    <t>DEANDRA</t>
  </si>
  <si>
    <t>GEOFFREY ARNOLD &amp; DEANDRA WADDELL</t>
  </si>
  <si>
    <t xml:space="preserve">23211 N 23RD PL </t>
  </si>
  <si>
    <t>HARRELL CHRISTOPHER D &amp; KRIS</t>
  </si>
  <si>
    <t>ARNOLD GEOFFREY T</t>
  </si>
  <si>
    <t>LEONARD CARTER</t>
  </si>
  <si>
    <t xml:space="preserve">708 E MICHIGAN AVE </t>
  </si>
  <si>
    <t>NUNES JOSEPH</t>
  </si>
  <si>
    <t>LEONARD E CARTER</t>
  </si>
  <si>
    <t>WODRICH</t>
  </si>
  <si>
    <t>CHARLES &amp; PAMELA WODRICH</t>
  </si>
  <si>
    <t xml:space="preserve">13593 S 180TH AVE </t>
  </si>
  <si>
    <t>GRIFFIN LANCE &amp; ERIKA</t>
  </si>
  <si>
    <t>WODRICH CHARLES W &amp; PAMELA J</t>
  </si>
  <si>
    <t>WASHINGTON &amp; PATRICIA ANN</t>
  </si>
  <si>
    <t xml:space="preserve">1510 E GARY DR </t>
  </si>
  <si>
    <t>FULTON HOMES AT THE PROVINCES  LOT 1-108</t>
  </si>
  <si>
    <t>FULTON HOMES AT THE PROVINCES</t>
  </si>
  <si>
    <t>AFR TRUST</t>
  </si>
  <si>
    <t>WASHINGTON MICHAEL B &amp; PATRICIA A</t>
  </si>
  <si>
    <t>ROHDE</t>
  </si>
  <si>
    <t>CHRISTIAN ROHDE</t>
  </si>
  <si>
    <t xml:space="preserve">12882 W FOREST PLEASANT PL </t>
  </si>
  <si>
    <t>ROHDE CHRISTIAN J</t>
  </si>
  <si>
    <t>SIERRA</t>
  </si>
  <si>
    <t>VALENZUELA &amp; SANDRA SIERRA</t>
  </si>
  <si>
    <t xml:space="preserve">6969 W ROSE GARDEN LN </t>
  </si>
  <si>
    <t>PALOMINO</t>
  </si>
  <si>
    <t>PRENTISS LIVING TRUST</t>
  </si>
  <si>
    <t>VALENZUELA STEVEN O &amp; SANDRA</t>
  </si>
  <si>
    <t>PECORE</t>
  </si>
  <si>
    <t>JOHN PECORE</t>
  </si>
  <si>
    <t xml:space="preserve">81 W WINDSOR DR </t>
  </si>
  <si>
    <t>ROMNEY DALE &amp; CAMILA</t>
  </si>
  <si>
    <t>PECORE JOHN J</t>
  </si>
  <si>
    <t>THURMAN</t>
  </si>
  <si>
    <t>BRADLEY &amp; ANDREA THURMAN</t>
  </si>
  <si>
    <t xml:space="preserve">43136 N NATIONAL TRL </t>
  </si>
  <si>
    <t>ANTHEM COVENTRY HOMES UNIT 21A</t>
  </si>
  <si>
    <t>BRESELD TONY C</t>
  </si>
  <si>
    <t>THURMAN BRADLEY E &amp; ANDREA M</t>
  </si>
  <si>
    <t>TVERBERG</t>
  </si>
  <si>
    <t>KEVIN &amp; VICKI TVERBERG</t>
  </si>
  <si>
    <t xml:space="preserve">2213 E FOLLEY ST </t>
  </si>
  <si>
    <t>SWEIG SURVIVORS TRUST</t>
  </si>
  <si>
    <t>TVERBERG KEVIN T &amp; VICKI J</t>
  </si>
  <si>
    <t>ARIZONA HM FORECLOSURE PREVENT</t>
  </si>
  <si>
    <t>SHOPE</t>
  </si>
  <si>
    <t>SCOVILLE</t>
  </si>
  <si>
    <t>DAVID SHOPE &amp; DANIELLE SCOVILLE</t>
  </si>
  <si>
    <t xml:space="preserve">31131 N 136TH LN </t>
  </si>
  <si>
    <t>VISTANCIA VILLAGE A PARCEL G3</t>
  </si>
  <si>
    <t>BILLS JUSTIN &amp; WHITNEY</t>
  </si>
  <si>
    <t>SHOPE DAVID</t>
  </si>
  <si>
    <t>SCOVILLE DANIELLE Y</t>
  </si>
  <si>
    <t>MICHAEL &amp; JANICE MARTINEZ</t>
  </si>
  <si>
    <t xml:space="preserve">10891 W DAVIS LN </t>
  </si>
  <si>
    <t>JOHNSTON BLAIR</t>
  </si>
  <si>
    <t>MARTINEZ MICHAEL A &amp; JANICE A</t>
  </si>
  <si>
    <t>STORME</t>
  </si>
  <si>
    <t>BOWEN &amp; JENNA STORME</t>
  </si>
  <si>
    <t xml:space="preserve">16512 W LARIAT LN </t>
  </si>
  <si>
    <t>DESERT OASIS OF SURPRISE PARCEL B4</t>
  </si>
  <si>
    <t>BLANKENSHIP MICHAEL W</t>
  </si>
  <si>
    <t>BOWEN WILLIAM MARK &amp; JENNA ST</t>
  </si>
  <si>
    <t>NORBERTO</t>
  </si>
  <si>
    <t>ENRIQUEZ</t>
  </si>
  <si>
    <t>NORBERTO ENRIQUEZ</t>
  </si>
  <si>
    <t xml:space="preserve">482 N CITRUS LN </t>
  </si>
  <si>
    <t>FAIRCLOUGH COLIN</t>
  </si>
  <si>
    <t>ENRIQUEZ NORBERTO</t>
  </si>
  <si>
    <t>RAMSES</t>
  </si>
  <si>
    <t>MARGARY</t>
  </si>
  <si>
    <t>RAMSES MARGARY</t>
  </si>
  <si>
    <t xml:space="preserve">3415 W LOS GATOS DR </t>
  </si>
  <si>
    <t>HOWARD BRADLEY J &amp; ALYSE S</t>
  </si>
  <si>
    <t>MARGARY RAMSES</t>
  </si>
  <si>
    <t>TAG</t>
  </si>
  <si>
    <t>KROGSENG</t>
  </si>
  <si>
    <t>TAG &amp; KELLI KROGSENG</t>
  </si>
  <si>
    <t xml:space="preserve">18379 W DESERT TRUMPET RD </t>
  </si>
  <si>
    <t>ENNS DAVID G TRUST</t>
  </si>
  <si>
    <t>KROGSENG TAG A &amp; KELLI M</t>
  </si>
  <si>
    <t>WEISNER</t>
  </si>
  <si>
    <t>KEVIN &amp; KATRINA WEISNER</t>
  </si>
  <si>
    <t xml:space="preserve">1789 W GOLDFINCH WAY </t>
  </si>
  <si>
    <t>CLEMENTE RANCH PARCEL 8A</t>
  </si>
  <si>
    <t>WARKENTIN DAVID P</t>
  </si>
  <si>
    <t>WEISNER KEVIN L</t>
  </si>
  <si>
    <t>ALLIANT CU</t>
  </si>
  <si>
    <t>CHICAGO IL 60666</t>
  </si>
  <si>
    <t>KEVIN L WEISNER</t>
  </si>
  <si>
    <t>KATRINA F WEISNER</t>
  </si>
  <si>
    <t>JOSEPH &amp; RITA CORDOVA</t>
  </si>
  <si>
    <t xml:space="preserve">832 W SAMANTHA WAY </t>
  </si>
  <si>
    <t>DOBBINS CROSSING PHASE 2</t>
  </si>
  <si>
    <t>AHH HOLDINGS LLC</t>
  </si>
  <si>
    <t>CORDOVA JOSEPH M &amp; RITA N</t>
  </si>
  <si>
    <t>WORSTELL</t>
  </si>
  <si>
    <t>CAROLYNN</t>
  </si>
  <si>
    <t>JOHN &amp; CAROLYNN WORSTELL</t>
  </si>
  <si>
    <t xml:space="preserve">2135 W INDIANOLA AVE </t>
  </si>
  <si>
    <t>WESTWOOD ESTATES PLAT 4</t>
  </si>
  <si>
    <t>JANUARY MICHELLE</t>
  </si>
  <si>
    <t>JOHN WORSTELL</t>
  </si>
  <si>
    <t>CAROLYNN WORSTELL</t>
  </si>
  <si>
    <t>JEREMY &amp; REBECCA GARNER</t>
  </si>
  <si>
    <t xml:space="preserve">16120 W ALMERIA RD </t>
  </si>
  <si>
    <t>GARNER JEREMY &amp; REBECCA</t>
  </si>
  <si>
    <t>STEPHANIE &amp; PHILIP DAILEY</t>
  </si>
  <si>
    <t xml:space="preserve">11597 N 150TH LN </t>
  </si>
  <si>
    <t>OHARA RESIDL PROP GROUP</t>
  </si>
  <si>
    <t>DAILEY STEPHANIE M &amp; PHILIP</t>
  </si>
  <si>
    <t>DOMINGO &amp; MARIE BURGOS</t>
  </si>
  <si>
    <t xml:space="preserve">1786 E DUBOIS AVE </t>
  </si>
  <si>
    <t>SCHILLEREFF JASON</t>
  </si>
  <si>
    <t>BURGOS DOMINGO</t>
  </si>
  <si>
    <t>CRAFCHUN</t>
  </si>
  <si>
    <t>JOHN &amp; JULIE CRAFCHUN</t>
  </si>
  <si>
    <t xml:space="preserve">4507 E LE MARCHE AVE </t>
  </si>
  <si>
    <t>GREENBRIER EAST UNIT 12 LOT 1-50</t>
  </si>
  <si>
    <t>DISILVESTRO CHAD V &amp; JANET L</t>
  </si>
  <si>
    <t>CRAFCHUN JOHN W &amp; JULIE K</t>
  </si>
  <si>
    <t>CHRISTINE HOOPES</t>
  </si>
  <si>
    <t xml:space="preserve">2130 W EDGEMONT AVE </t>
  </si>
  <si>
    <t>GREENWAY TERRACE</t>
  </si>
  <si>
    <t>HAAS CLARENCE &amp; DEBORAH TRUST</t>
  </si>
  <si>
    <t>HOOPES CHRISTINE</t>
  </si>
  <si>
    <t>CINDY ALVAREZ</t>
  </si>
  <si>
    <t xml:space="preserve">23504 S 156TH ST </t>
  </si>
  <si>
    <t>UDALL SHELDON W &amp; ERICKA S</t>
  </si>
  <si>
    <t>ALVAREZ CINDY</t>
  </si>
  <si>
    <t>DANIEL MAGGIO</t>
  </si>
  <si>
    <t xml:space="preserve">3939 E BRIDGEPORT PKWY </t>
  </si>
  <si>
    <t>MAGGIO DANIEL J</t>
  </si>
  <si>
    <t>RICHARD &amp; SYLVIA BROOKS</t>
  </si>
  <si>
    <t xml:space="preserve">17509 W PINNACLE VISTA DR </t>
  </si>
  <si>
    <t>BROOKS RICHARD G &amp; SYLVIA</t>
  </si>
  <si>
    <t>DEREK FREEMAN &amp; JANELLE SANCHEZ</t>
  </si>
  <si>
    <t xml:space="preserve">3625 E TAYLOR LN </t>
  </si>
  <si>
    <t>FREEMAN DEREK A</t>
  </si>
  <si>
    <t>SANCHEZ JANELLE J</t>
  </si>
  <si>
    <t>SHANE &amp; RENEE POTTER</t>
  </si>
  <si>
    <t xml:space="preserve">3212 E NIGHTHAWK WAY </t>
  </si>
  <si>
    <t>VALENCIA SHORES LOT 1-58 61-111 TR A-D</t>
  </si>
  <si>
    <t>VALENCIA SHORES</t>
  </si>
  <si>
    <t>MCCABE ANDREW M &amp; KRYSTINA</t>
  </si>
  <si>
    <t>POTTER SHANE &amp; RENEE</t>
  </si>
  <si>
    <t>BACHAUS</t>
  </si>
  <si>
    <t>MARISSA</t>
  </si>
  <si>
    <t>JUSTIN &amp; MARISSA BACHAUS</t>
  </si>
  <si>
    <t xml:space="preserve">5824 W ELECTRA LN </t>
  </si>
  <si>
    <t>KMV LLC</t>
  </si>
  <si>
    <t>BACHAUS JUSTIN J &amp; MARISSA Y</t>
  </si>
  <si>
    <t>GRUNERT</t>
  </si>
  <si>
    <t>JOHN &amp; CYNTHIA GRUNERT</t>
  </si>
  <si>
    <t xml:space="preserve">12092 W EAGLE RIDGE LN </t>
  </si>
  <si>
    <t>VISTANCIA VILLAGE A PARCEL A13</t>
  </si>
  <si>
    <t>GRUNERT JOHN</t>
  </si>
  <si>
    <t>VANROSSEM</t>
  </si>
  <si>
    <t>MATTHEW &amp; THERESA VANROSSEM</t>
  </si>
  <si>
    <t xml:space="preserve">19924 N 78TH LN </t>
  </si>
  <si>
    <t>LAIRD MITCHELL G &amp; SUSAN A</t>
  </si>
  <si>
    <t>ROSSEM MATTHEW P VAN &amp; THERESA M VAN</t>
  </si>
  <si>
    <t>WAYNE CROSBY</t>
  </si>
  <si>
    <t xml:space="preserve">2914 W MALDONADO RD </t>
  </si>
  <si>
    <t>AMIN MALTI B</t>
  </si>
  <si>
    <t>CROSBY WAYNE A</t>
  </si>
  <si>
    <t>WAYNE A CROSBY</t>
  </si>
  <si>
    <t>HARDIN</t>
  </si>
  <si>
    <t>GERRI</t>
  </si>
  <si>
    <t>WILLIAM &amp; GERRI HARDIN</t>
  </si>
  <si>
    <t xml:space="preserve">21671 S 223RD PL </t>
  </si>
  <si>
    <t>WILLIAM HARDIN</t>
  </si>
  <si>
    <t>GERRI HARDIN</t>
  </si>
  <si>
    <t>WEINGARTEN</t>
  </si>
  <si>
    <t>DEAN &amp; PATRICIA WEINGARTEN</t>
  </si>
  <si>
    <t xml:space="preserve">4117 E LOMA VISTA ST </t>
  </si>
  <si>
    <t>WINFIELD PATRICK E &amp; PEARLIN</t>
  </si>
  <si>
    <t>WEINGARTEN DEAN &amp; PATRICIA</t>
  </si>
  <si>
    <t>BLACKWELL FAMILY LIVING TRUST</t>
  </si>
  <si>
    <t xml:space="preserve">8629 W MONONA LN </t>
  </si>
  <si>
    <t>VILLARREAL AVELINO &amp; GUADALU</t>
  </si>
  <si>
    <t>BLACKWELL ROGER D &amp; CYNTHIA K</t>
  </si>
  <si>
    <t>KOSTROSKI</t>
  </si>
  <si>
    <t>MATTHEW KOSTROSKI &amp; CYNTHIA DOHERTY</t>
  </si>
  <si>
    <t xml:space="preserve">7 S DODGE ST </t>
  </si>
  <si>
    <t>RUDD NATHANIEL D &amp; CRISTINE</t>
  </si>
  <si>
    <t>KOSTROSKI MATTHEW J</t>
  </si>
  <si>
    <t>DOHERTY CYNTHIA</t>
  </si>
  <si>
    <t>PARGETER</t>
  </si>
  <si>
    <t>ALAN &amp; JUDY PARGETER</t>
  </si>
  <si>
    <t xml:space="preserve">1174 E DERRINGER WAY </t>
  </si>
  <si>
    <t>CAWLEY LIVING TRUST</t>
  </si>
  <si>
    <t>PARGETER ALAN F &amp; JUDY K</t>
  </si>
  <si>
    <t>GREGORY JOHNSON</t>
  </si>
  <si>
    <t xml:space="preserve">3113 E BOSTON ST </t>
  </si>
  <si>
    <t>WALTERS DOUGLAS K &amp; CONSTANC</t>
  </si>
  <si>
    <t>JOHNSON GREGORY L</t>
  </si>
  <si>
    <t>NENTWIG</t>
  </si>
  <si>
    <t>SHELLY NENTWIG</t>
  </si>
  <si>
    <t xml:space="preserve">3860 E SUNDANCE AVE </t>
  </si>
  <si>
    <t>NENTWIG SHELLY</t>
  </si>
  <si>
    <t>CODY &amp; CASANDRA EVANS</t>
  </si>
  <si>
    <t xml:space="preserve">1087 E SENATE CIR </t>
  </si>
  <si>
    <t>SENATE ACRES WEST LOT 1-24</t>
  </si>
  <si>
    <t>SENATE ACRES WEST</t>
  </si>
  <si>
    <t>ALLEN RODNEY &amp; KATHLEEN</t>
  </si>
  <si>
    <t>EVANS CODY A &amp; CASANDRA L</t>
  </si>
  <si>
    <t>DOBBS</t>
  </si>
  <si>
    <t>CORY &amp; TAMARA DOBBS</t>
  </si>
  <si>
    <t xml:space="preserve">28220 N 90TH LN </t>
  </si>
  <si>
    <t>WESTWING MOUNTAIN PHASE 2 PARCEL 29</t>
  </si>
  <si>
    <t>DUPREE ZACHARY &amp; ZAIDY</t>
  </si>
  <si>
    <t>DOBBS CORY L &amp; TAMARA S</t>
  </si>
  <si>
    <t>RIDEOUT</t>
  </si>
  <si>
    <t>JASON RIDEOUT</t>
  </si>
  <si>
    <t xml:space="preserve">3329 W OWENS WAY </t>
  </si>
  <si>
    <t>GOREE JUSTIN &amp; RENEE</t>
  </si>
  <si>
    <t>RIDEOUT JASON M</t>
  </si>
  <si>
    <t>SLUCHER</t>
  </si>
  <si>
    <t>ALBERT SLUCHER</t>
  </si>
  <si>
    <t xml:space="preserve">1716 W MAGDALENA LN </t>
  </si>
  <si>
    <t>MAGDALENA ESTATES</t>
  </si>
  <si>
    <t>PUFFENBERGER ADAM &amp; SYNTHIA</t>
  </si>
  <si>
    <t>SLUCHER ALBERT T</t>
  </si>
  <si>
    <t>SARAGOSA</t>
  </si>
  <si>
    <t>JORGE CARRASCO &amp; NATASHA SARAGOSA</t>
  </si>
  <si>
    <t xml:space="preserve">6872 S SUNNYVALE AVE </t>
  </si>
  <si>
    <t>BEGUIN STEVEN M &amp; CARRIE D</t>
  </si>
  <si>
    <t>CARRASCO JORGE</t>
  </si>
  <si>
    <t>SARAGOSA NATASHA</t>
  </si>
  <si>
    <t>HOLLEY</t>
  </si>
  <si>
    <t>ROBERT HOLLEY</t>
  </si>
  <si>
    <t xml:space="preserve">6911 E THUNDERBIRD RD </t>
  </si>
  <si>
    <t>RANCHO MONTE VISTA 2 LOT 24-41 69-80</t>
  </si>
  <si>
    <t>RANCHO MONTE VISTA</t>
  </si>
  <si>
    <t>SPRINGER JIMMY W &amp; SUZANNE</t>
  </si>
  <si>
    <t>ROBERT M HOLLEY</t>
  </si>
  <si>
    <t>MALONE</t>
  </si>
  <si>
    <t>GLEN &amp; KATRINA MALONE</t>
  </si>
  <si>
    <t xml:space="preserve">3371 N 128TH AVE </t>
  </si>
  <si>
    <t>LONG JAY D</t>
  </si>
  <si>
    <t>CHERRY CREEK MORTGAGE CO INC</t>
  </si>
  <si>
    <t>MALONE GLEN M &amp; KATRINA</t>
  </si>
  <si>
    <t>CRUVER</t>
  </si>
  <si>
    <t>DONALD &amp; ANN CRUVER</t>
  </si>
  <si>
    <t xml:space="preserve">9802 N 30TH ST </t>
  </si>
  <si>
    <t>PARADISE VALLEY OASIS</t>
  </si>
  <si>
    <t>LICK JAY C</t>
  </si>
  <si>
    <t>CRUVER DONALD J &amp; ANN</t>
  </si>
  <si>
    <t>BINGOCHEA</t>
  </si>
  <si>
    <t>BINGOCHEA &amp; WILLIAM JOHN</t>
  </si>
  <si>
    <t xml:space="preserve">7711 W MICHIGAN AVE </t>
  </si>
  <si>
    <t>HIDDEN MANOR 5 LOT 174-205</t>
  </si>
  <si>
    <t>TIERNEY THOMAS W &amp; N A TRUST</t>
  </si>
  <si>
    <t>BINGOCHEA ZEHRA T &amp; WILLIAM J</t>
  </si>
  <si>
    <t>JOSHUA &amp; KRYSTAL MATHEWS</t>
  </si>
  <si>
    <t xml:space="preserve">4421 E MOUNTAIN SKY AVE </t>
  </si>
  <si>
    <t>MOUNTAIN CREST  LOT 1-109 TR A B</t>
  </si>
  <si>
    <t>MOUNTAIN CREST</t>
  </si>
  <si>
    <t>NG RAYMOND &amp; ANITA R</t>
  </si>
  <si>
    <t>MATHEWS JOSHUA JAMES &amp; KRYSTA</t>
  </si>
  <si>
    <t>OLIVIER</t>
  </si>
  <si>
    <t>SCOTT &amp; STACY OLIVIER</t>
  </si>
  <si>
    <t xml:space="preserve">14422 N 73RD AVE </t>
  </si>
  <si>
    <t>MARTINEZ M J &amp; L D S TRUST</t>
  </si>
  <si>
    <t>OLIVIER SCOTT &amp; STACY</t>
  </si>
  <si>
    <t>WINKLE</t>
  </si>
  <si>
    <t>KERRY WINKLE</t>
  </si>
  <si>
    <t xml:space="preserve">40403 N 6TH AVE </t>
  </si>
  <si>
    <t>GRAF ADAM</t>
  </si>
  <si>
    <t>KERRY J WINKLE</t>
  </si>
  <si>
    <t>FLOREK</t>
  </si>
  <si>
    <t>REBECCA &amp; TYLER FLOREK</t>
  </si>
  <si>
    <t xml:space="preserve">13815 N 34TH AVE </t>
  </si>
  <si>
    <t>MCGRAW FAMILY TRUST</t>
  </si>
  <si>
    <t>FLOREK REBECCA J</t>
  </si>
  <si>
    <t>JOE &amp; DOLORES BENNETT</t>
  </si>
  <si>
    <t xml:space="preserve">2722 W ADVENTURE DR </t>
  </si>
  <si>
    <t>NEWMAN SHAYNE R</t>
  </si>
  <si>
    <t>BENNETT JOE F</t>
  </si>
  <si>
    <t>GALINDO</t>
  </si>
  <si>
    <t>HENRY GALINDO</t>
  </si>
  <si>
    <t xml:space="preserve">1950 W WATERMARK DR </t>
  </si>
  <si>
    <t>TOLONEN JEFFREY</t>
  </si>
  <si>
    <t>GALINDO HENRY</t>
  </si>
  <si>
    <t>EMIL</t>
  </si>
  <si>
    <t>SLAGLE</t>
  </si>
  <si>
    <t>EMIL &amp; WENDY SLAGLE</t>
  </si>
  <si>
    <t xml:space="preserve">12166 E ARABIAN PARK DR </t>
  </si>
  <si>
    <t>PUEBLO BONITO UNIT 2B</t>
  </si>
  <si>
    <t>PUEBLO BONITO</t>
  </si>
  <si>
    <t>SCOWDEN TIMOTHY &amp; ANNE</t>
  </si>
  <si>
    <t>SLAGLE EMIL D &amp; WENDY M</t>
  </si>
  <si>
    <t>EMIL D SLAGLE</t>
  </si>
  <si>
    <t>WENDY M SLAGLE</t>
  </si>
  <si>
    <t>FIOLA</t>
  </si>
  <si>
    <t>LONDA</t>
  </si>
  <si>
    <t>JEREMIAH &amp; LONDA FIOLA</t>
  </si>
  <si>
    <t xml:space="preserve">18641 W CAROL AVE </t>
  </si>
  <si>
    <t>FIOLA JEREMIAH JOEL &amp; LONDA L</t>
  </si>
  <si>
    <t>WIGMAN</t>
  </si>
  <si>
    <t>JOSEPH &amp; JOANNE WIGMAN</t>
  </si>
  <si>
    <t xml:space="preserve">17389 W PAPAGO ST </t>
  </si>
  <si>
    <t>COTTONFLOWER UNIT 1</t>
  </si>
  <si>
    <t>CHIAMAS NICK LIVING TRUST</t>
  </si>
  <si>
    <t>WIGMAN JOSEPH P &amp; JOANNE L</t>
  </si>
  <si>
    <t>PERCY</t>
  </si>
  <si>
    <t>PERCY &amp; DOROTHY SHARKEY</t>
  </si>
  <si>
    <t xml:space="preserve">2739 W WAYLAND DR </t>
  </si>
  <si>
    <t>SHARKEY PERCY &amp; DOROTHY</t>
  </si>
  <si>
    <t>LUIS &amp; CHRISTINA CARDENAS</t>
  </si>
  <si>
    <t xml:space="preserve">998 N BRADLEY DR </t>
  </si>
  <si>
    <t>GREY MARCIA &amp; ROBERT D</t>
  </si>
  <si>
    <t>CARDENAS JR LUIS</t>
  </si>
  <si>
    <t>CARDENAS CHRISTINA</t>
  </si>
  <si>
    <t>SHELTON</t>
  </si>
  <si>
    <t>JASON SHELTON</t>
  </si>
  <si>
    <t xml:space="preserve">8311 S 17TH DR </t>
  </si>
  <si>
    <t>PETTY MICHAEL A</t>
  </si>
  <si>
    <t>SHELTON JASON T</t>
  </si>
  <si>
    <t>HERMAN &amp; KATHY JOANN</t>
  </si>
  <si>
    <t xml:space="preserve">8353 W DESERT SPOON DR </t>
  </si>
  <si>
    <t>LACEY PAUL R &amp; JANIS K</t>
  </si>
  <si>
    <t>HERMAN GREGORY D &amp; KATHY J</t>
  </si>
  <si>
    <t>OXFURTH</t>
  </si>
  <si>
    <t>STEVEN &amp; EMILIE OXFURTH</t>
  </si>
  <si>
    <t xml:space="preserve">2314 S 118TH AVE </t>
  </si>
  <si>
    <t>OXFURTH STEVEN &amp; EMILIE</t>
  </si>
  <si>
    <t>JOSEPH &amp; PEGGY CONWAY</t>
  </si>
  <si>
    <t xml:space="preserve">911 E CANYON WAY </t>
  </si>
  <si>
    <t>KNOTTS WILLIAM M</t>
  </si>
  <si>
    <t>GILBERT AZ 85234</t>
  </si>
  <si>
    <t>CONWAY JOSEPH A</t>
  </si>
  <si>
    <t>JOSEPH A CONWAY</t>
  </si>
  <si>
    <t>PEGGY A CONWAY</t>
  </si>
  <si>
    <t>JAMES &amp; BRANDI KING</t>
  </si>
  <si>
    <t xml:space="preserve">5805 W ROWEL RD </t>
  </si>
  <si>
    <t>ESSEX COMPANIES LLC</t>
  </si>
  <si>
    <t>KING JAMES K JR &amp; BRANDI L</t>
  </si>
  <si>
    <t>PERALES</t>
  </si>
  <si>
    <t>EBBE</t>
  </si>
  <si>
    <t>WEAVER &amp; EBBE PERALES</t>
  </si>
  <si>
    <t xml:space="preserve">25998 W MOHAWK LN </t>
  </si>
  <si>
    <t>PRIME CHOICE FNDG</t>
  </si>
  <si>
    <t>THOMAS J WEAVER</t>
  </si>
  <si>
    <t>LYSS P WEAVER</t>
  </si>
  <si>
    <t>RHOSSIO</t>
  </si>
  <si>
    <t>GEORGE &amp; RHOSSIO GUTIERREZ</t>
  </si>
  <si>
    <t xml:space="preserve">3430 N MOUNTAIN RDG #58 </t>
  </si>
  <si>
    <t>SONORAN HEIGHTS UNIT 1 AT LAS SENDAS</t>
  </si>
  <si>
    <t>DURHAM W THOMAS &amp; J M TRUST</t>
  </si>
  <si>
    <t>GUTIERREZ GEORGE L</t>
  </si>
  <si>
    <t>SHANG</t>
  </si>
  <si>
    <t>LIANG</t>
  </si>
  <si>
    <t>SHANG LIANG</t>
  </si>
  <si>
    <t xml:space="preserve">1641 E WESSON DR </t>
  </si>
  <si>
    <t>VOLK JASON M &amp; DANA L</t>
  </si>
  <si>
    <t>LIANG SHANG Z</t>
  </si>
  <si>
    <t>HAGEN</t>
  </si>
  <si>
    <t>DESHAUN</t>
  </si>
  <si>
    <t>HAGEN &amp; DESHAUN WILLIAM</t>
  </si>
  <si>
    <t xml:space="preserve">2301 E ROCKLEDGE RD </t>
  </si>
  <si>
    <t>PINEDA FRANK &amp; DONNA TRUST</t>
  </si>
  <si>
    <t>HAGEN NICOLE M &amp; DESHAUN WILL</t>
  </si>
  <si>
    <t>HAGEN NICOLE M &amp; DESHAUN WILLIAM</t>
  </si>
  <si>
    <t>KOBUS</t>
  </si>
  <si>
    <t>CHRISTOPHER &amp; MELANIE KOBUS</t>
  </si>
  <si>
    <t xml:space="preserve">4617 S MARRON </t>
  </si>
  <si>
    <t>ALLEN SANDRA M</t>
  </si>
  <si>
    <t>KOBUS CHRISTOPHER</t>
  </si>
  <si>
    <t>PATRICK &amp; JOYCE GALLAGHER</t>
  </si>
  <si>
    <t xml:space="preserve">20389 E BRONCO DR </t>
  </si>
  <si>
    <t>VEST RICHARD A &amp; B A TRUST</t>
  </si>
  <si>
    <t>GALLAGHER PATRICK F &amp; JOYCE C</t>
  </si>
  <si>
    <t>BRANNIGAN</t>
  </si>
  <si>
    <t>JOHN &amp; LORI BRANNIGAN</t>
  </si>
  <si>
    <t xml:space="preserve">3375 N ACACIA WAY </t>
  </si>
  <si>
    <t>BRANNIGAN JOHN M &amp; LORI L</t>
  </si>
  <si>
    <t>RONNIE &amp; BETTY COOK</t>
  </si>
  <si>
    <t xml:space="preserve">15611 W SENTINEL DR </t>
  </si>
  <si>
    <t>SUN CITY WEST 45  LOT 1-283 TR A-C</t>
  </si>
  <si>
    <t>INDIG KARIW SEPARATE P TRUST</t>
  </si>
  <si>
    <t>COOK RONNIE R &amp; BETTY</t>
  </si>
  <si>
    <t>HOBBY</t>
  </si>
  <si>
    <t>HOBBY NELSON</t>
  </si>
  <si>
    <t xml:space="preserve">9118 W CAMINO DE ORO </t>
  </si>
  <si>
    <t>SWANSON KIRK W &amp; DOREEN L</t>
  </si>
  <si>
    <t>NELSON HOBBY W</t>
  </si>
  <si>
    <t>EMBEE REVOCABLE TRUST</t>
  </si>
  <si>
    <t>EMBEE</t>
  </si>
  <si>
    <t xml:space="preserve">3137 E OCOTILLA LN </t>
  </si>
  <si>
    <t xml:space="preserve">3828 E OMEGA CIR </t>
  </si>
  <si>
    <t>MCNABB JACKIE E</t>
  </si>
  <si>
    <t>WALDLE BRADFORD D</t>
  </si>
  <si>
    <t>KERWIEN</t>
  </si>
  <si>
    <t>PAUL &amp; JEAN KERWIEN</t>
  </si>
  <si>
    <t xml:space="preserve">1695 S PONDEROSA DR </t>
  </si>
  <si>
    <t>LYONS GATE PHASE 6</t>
  </si>
  <si>
    <t>EBONYSTORM LLC</t>
  </si>
  <si>
    <t>KERWIEN PAUL M &amp; JEAN S</t>
  </si>
  <si>
    <t>ARIZONA BANK &amp; TRUST</t>
  </si>
  <si>
    <t>WAYLON</t>
  </si>
  <si>
    <t>KROGMANN</t>
  </si>
  <si>
    <t>PHIPPS</t>
  </si>
  <si>
    <t>WAYLON KROGMANN &amp; RACHAEL PHIPPS</t>
  </si>
  <si>
    <t xml:space="preserve">2439 W LONG SHADOW TRL </t>
  </si>
  <si>
    <t>FORTIER ERIK R &amp; ALISHA J</t>
  </si>
  <si>
    <t>KROGMANN WAYLON J</t>
  </si>
  <si>
    <t>PHIPPS RACHAEL A</t>
  </si>
  <si>
    <t>ARMENTA</t>
  </si>
  <si>
    <t>EDDIE ARMENTA</t>
  </si>
  <si>
    <t xml:space="preserve">3125 E GARNET AVE </t>
  </si>
  <si>
    <t>WOODLAND HEIGHTS LOT 1-96</t>
  </si>
  <si>
    <t>WOODLAND HEIGHTS</t>
  </si>
  <si>
    <t>ARMENTA VIRGINIA</t>
  </si>
  <si>
    <t>ARMENTA EDDIE M</t>
  </si>
  <si>
    <t>POE</t>
  </si>
  <si>
    <t>MICHAEL POE</t>
  </si>
  <si>
    <t xml:space="preserve">3442 E BARANCA CT </t>
  </si>
  <si>
    <t>CORONADO RANCH PARCEL 1B</t>
  </si>
  <si>
    <t>US BANK NA 2007-OA3</t>
  </si>
  <si>
    <t>POE MICHAEL J</t>
  </si>
  <si>
    <t>FERRALL</t>
  </si>
  <si>
    <t>JOSEPH &amp; VICTORIA FERRALL</t>
  </si>
  <si>
    <t xml:space="preserve">10618 N 25TH PL </t>
  </si>
  <si>
    <t>MHM REAL ESTATE LLC</t>
  </si>
  <si>
    <t>FERRALL JOSEPH W &amp; VICTORIA A</t>
  </si>
  <si>
    <t>SIOZOS</t>
  </si>
  <si>
    <t>MARCUS GONZALES &amp; JENNIFER SIOZOS</t>
  </si>
  <si>
    <t xml:space="preserve">24074 S 201ST CT </t>
  </si>
  <si>
    <t>GONZALES MARCUS M</t>
  </si>
  <si>
    <t>SIOZOS JENNIFER E</t>
  </si>
  <si>
    <t>GONZALES MARCUS MICHAEL</t>
  </si>
  <si>
    <t>SIOZOS JENNIFER EVANGALIA</t>
  </si>
  <si>
    <t>CHILDS</t>
  </si>
  <si>
    <t>CHELSEA &amp; JACKIE CHILDS</t>
  </si>
  <si>
    <t xml:space="preserve">18090 W POST DR </t>
  </si>
  <si>
    <t>CHILDS CHELSEA D &amp; JACKIE R JR</t>
  </si>
  <si>
    <t>RHETT</t>
  </si>
  <si>
    <t>RHETT &amp; JAMIE MYERS</t>
  </si>
  <si>
    <t xml:space="preserve">25808 N 44TH WAY </t>
  </si>
  <si>
    <t>TATUM HIGHLANDS PARCEL 11</t>
  </si>
  <si>
    <t>LEWIS ERIC</t>
  </si>
  <si>
    <t>RHETT MYERS</t>
  </si>
  <si>
    <t>JAMIE MYERS</t>
  </si>
  <si>
    <t>RICHELLE</t>
  </si>
  <si>
    <t>CODY &amp; RICHELLE JOHNSON</t>
  </si>
  <si>
    <t xml:space="preserve">8857 W BETTY ELYSE LN </t>
  </si>
  <si>
    <t>SNARR JOHN M</t>
  </si>
  <si>
    <t>JOHNSON CODY W</t>
  </si>
  <si>
    <t>CODY W JOHNSON</t>
  </si>
  <si>
    <t>RICHELLE JOHNSON</t>
  </si>
  <si>
    <t>KINNEY</t>
  </si>
  <si>
    <t>SHANE &amp; TAMMY KINNEY</t>
  </si>
  <si>
    <t xml:space="preserve">812 E CARLISE RD </t>
  </si>
  <si>
    <t>GARRETT RONALD &amp; CAROL</t>
  </si>
  <si>
    <t>KINNEY SHANE H &amp; TAMMY R</t>
  </si>
  <si>
    <t>PIPER</t>
  </si>
  <si>
    <t>DANIEL &amp; ELIZABETH PIPER</t>
  </si>
  <si>
    <t xml:space="preserve">17345 W WATKINS ST </t>
  </si>
  <si>
    <t>COTTONFLOWER UNIT 6</t>
  </si>
  <si>
    <t>PALMISANO MARK A</t>
  </si>
  <si>
    <t>PIPER DANIEL &amp; ELIZABETH</t>
  </si>
  <si>
    <t>CRIDER</t>
  </si>
  <si>
    <t>JOSHUA CRIDER</t>
  </si>
  <si>
    <t xml:space="preserve">4835 W ST ANNE AVE </t>
  </si>
  <si>
    <t>CRIDER JOSHUA M</t>
  </si>
  <si>
    <t>LUNDBERG</t>
  </si>
  <si>
    <t>MARTIN LUNDBERG</t>
  </si>
  <si>
    <t xml:space="preserve">11811 S 44TH ST </t>
  </si>
  <si>
    <t>KULWICKI FAMILY LIVING TRUST</t>
  </si>
  <si>
    <t>LUNDBERG MARTIN P</t>
  </si>
  <si>
    <t>TIMMY</t>
  </si>
  <si>
    <t>TIMMY THOMPSON &amp; GLORIA SAENZ</t>
  </si>
  <si>
    <t xml:space="preserve">15073 W BLOOMFIELD RD </t>
  </si>
  <si>
    <t>HOWERY DEAN</t>
  </si>
  <si>
    <t>THOMPSON TIMMY L</t>
  </si>
  <si>
    <t>SAENZ GLORIA S</t>
  </si>
  <si>
    <t>RUDER</t>
  </si>
  <si>
    <t>RAYMOND &amp; CATHERINE RUDER</t>
  </si>
  <si>
    <t xml:space="preserve">3444 W FLORIMOND RD </t>
  </si>
  <si>
    <t>DESAI ANAND V</t>
  </si>
  <si>
    <t>RUDER RAYMOND M &amp; CATHERINE A</t>
  </si>
  <si>
    <t>LUIS CHAVEZ</t>
  </si>
  <si>
    <t xml:space="preserve">2008 W RANCHO DR </t>
  </si>
  <si>
    <t>BETHANY VILLA 4</t>
  </si>
  <si>
    <t>JACK MARKETING LLC</t>
  </si>
  <si>
    <t>DEMETRIA</t>
  </si>
  <si>
    <t>DENNIS &amp; DEMETRIA GARCIA</t>
  </si>
  <si>
    <t xml:space="preserve">6204 S 30TH LN </t>
  </si>
  <si>
    <t>GARCIA DENNIS G</t>
  </si>
  <si>
    <t>SEXTON</t>
  </si>
  <si>
    <t>WILLIAM &amp; EVELYN SEXTON</t>
  </si>
  <si>
    <t xml:space="preserve">4552 E LIBBY ST </t>
  </si>
  <si>
    <t>IMAGES 2  LOT 119-166</t>
  </si>
  <si>
    <t>IMAGES</t>
  </si>
  <si>
    <t>KUECHENMEISTER JACLYN</t>
  </si>
  <si>
    <t>SEXTON WILLIAM M</t>
  </si>
  <si>
    <t>SEXTON EVELYN D</t>
  </si>
  <si>
    <t>MALLOY</t>
  </si>
  <si>
    <t>SHAWN MALLOY</t>
  </si>
  <si>
    <t xml:space="preserve">2611 N 8TH ST </t>
  </si>
  <si>
    <t>EDWARDS ELLEN W LIVING TRUST</t>
  </si>
  <si>
    <t>MALLOY SHAWN</t>
  </si>
  <si>
    <t>RODGER</t>
  </si>
  <si>
    <t>SHUTTLEWORTH</t>
  </si>
  <si>
    <t>RODGER SHUTTLEWORTH &amp; CATHERINE FOX</t>
  </si>
  <si>
    <t xml:space="preserve">17404 E SANTA ROSA LN </t>
  </si>
  <si>
    <t>BIGGERSTAFF SALLY M</t>
  </si>
  <si>
    <t>SHUTTLEWORTH RODGER</t>
  </si>
  <si>
    <t>FOX CATHERINE</t>
  </si>
  <si>
    <t>VALLIANT</t>
  </si>
  <si>
    <t>RAY &amp; SHELBY VALLIANT</t>
  </si>
  <si>
    <t xml:space="preserve">26273 W BURNETT RD </t>
  </si>
  <si>
    <t>SUN CITY FESTIVAL PARCEL B1</t>
  </si>
  <si>
    <t>CLAYTON DARLENE L TRUST</t>
  </si>
  <si>
    <t>RAY A VALLIANT</t>
  </si>
  <si>
    <t>SHELBY G VALLIANT</t>
  </si>
  <si>
    <t>MOREHEAD</t>
  </si>
  <si>
    <t>SHERILL</t>
  </si>
  <si>
    <t>MICHAEL &amp; SHERILL MOREHEAD</t>
  </si>
  <si>
    <t xml:space="preserve">2457 S 171ST LN </t>
  </si>
  <si>
    <t>MOREHEAD MICHAEL K &amp; SHERILL</t>
  </si>
  <si>
    <t>DAVID &amp; VALERIE COX</t>
  </si>
  <si>
    <t xml:space="preserve">3251 N 145TH AVE </t>
  </si>
  <si>
    <t>CANTU CARLOS L</t>
  </si>
  <si>
    <t>COX DAVID &amp; VALERIE</t>
  </si>
  <si>
    <t>SHANK</t>
  </si>
  <si>
    <t>SAMANTHA SHANK</t>
  </si>
  <si>
    <t xml:space="preserve">2005 E HARVARD DR </t>
  </si>
  <si>
    <t>CARRANZA ALBERT &amp; LILI</t>
  </si>
  <si>
    <t>SHANK SAMANTHA L</t>
  </si>
  <si>
    <t>KELLAM</t>
  </si>
  <si>
    <t>NADIA</t>
  </si>
  <si>
    <t>KELLAM &amp; NADIA NICOLE</t>
  </si>
  <si>
    <t xml:space="preserve">1561 E SHANNON ST </t>
  </si>
  <si>
    <t>SUPERSTITION RANCH-PARCEL 2</t>
  </si>
  <si>
    <t>HARNDEN BRADLEY D</t>
  </si>
  <si>
    <t>KELLAM ROBIN BRIAN</t>
  </si>
  <si>
    <t>RONALD &amp; BEATRICE JORDAN</t>
  </si>
  <si>
    <t xml:space="preserve">2584 E BOSTON ST </t>
  </si>
  <si>
    <t>JORDAN RONALD &amp; BEATRICE</t>
  </si>
  <si>
    <t>WITTHER</t>
  </si>
  <si>
    <t>LEMENAGER</t>
  </si>
  <si>
    <t>SHAWN WITTHER &amp; DEBRA LEMENAGER</t>
  </si>
  <si>
    <t xml:space="preserve">15746 W CORTEZ ST </t>
  </si>
  <si>
    <t>MIONSKE TODD L</t>
  </si>
  <si>
    <t>WITTHER SHAWN S</t>
  </si>
  <si>
    <t>LEMENAGER DEBRA S</t>
  </si>
  <si>
    <t>LAN</t>
  </si>
  <si>
    <t>JACK &amp; LAN DEMPSEY</t>
  </si>
  <si>
    <t xml:space="preserve">2650 E CORRINE DR </t>
  </si>
  <si>
    <t>TUBB TRUST</t>
  </si>
  <si>
    <t>DEMPSEY JACK E &amp; LAN P</t>
  </si>
  <si>
    <t>GORDON WEBB &amp; BRENDA SANDERS</t>
  </si>
  <si>
    <t xml:space="preserve">17722 W REDWOOD LN </t>
  </si>
  <si>
    <t>GORDON S WEBB</t>
  </si>
  <si>
    <t>BRENDA C SANDERS</t>
  </si>
  <si>
    <t>IRVINE</t>
  </si>
  <si>
    <t>ANCICH-SMITH</t>
  </si>
  <si>
    <t>IRVINE SMITH &amp; CHERYL ANCICH-SMITH</t>
  </si>
  <si>
    <t xml:space="preserve">10530 W EDGEWOOD DR </t>
  </si>
  <si>
    <t>BONESTEEL JOHN H</t>
  </si>
  <si>
    <t>IRVINE L SMITH</t>
  </si>
  <si>
    <t>CHERYL L ANCICH-SMITH</t>
  </si>
  <si>
    <t>ALEXANDER &amp; NATALIE MARQUEZ</t>
  </si>
  <si>
    <t xml:space="preserve">20214 N 29TH PL </t>
  </si>
  <si>
    <t>PLB ARIZONA FINANCING LLC</t>
  </si>
  <si>
    <t>MARQUEZ ALEXANDER &amp; NATALIE M</t>
  </si>
  <si>
    <t>GEIGER</t>
  </si>
  <si>
    <t>EDWARD &amp; MICHELLE GEIGER</t>
  </si>
  <si>
    <t xml:space="preserve">7624 W HEARN RD </t>
  </si>
  <si>
    <t>WARFEL MISSY L</t>
  </si>
  <si>
    <t>GEIGER EDWARD J</t>
  </si>
  <si>
    <t>MICHELLE GEIGER</t>
  </si>
  <si>
    <t>EDWARD J GEIGER</t>
  </si>
  <si>
    <t>BERTOLA ABDUL FAMILY REVOCABLE TRUST</t>
  </si>
  <si>
    <t>ABDUL BERTOLA</t>
  </si>
  <si>
    <t xml:space="preserve">1029 E CARMEN ST </t>
  </si>
  <si>
    <t>BRADLEY MANOR</t>
  </si>
  <si>
    <t>BERTOLA MICHAEL A &amp; KATHLEEN</t>
  </si>
  <si>
    <t>ABDUL ROBERT J</t>
  </si>
  <si>
    <t>BERTOLA ESTELLE R</t>
  </si>
  <si>
    <t>BAART GUSTAAF</t>
  </si>
  <si>
    <t>4689 E PEARTREE LN GILBERT AZ 85298-8309</t>
  </si>
  <si>
    <t>ESTELLE R BERTOLA</t>
  </si>
  <si>
    <t>RODGERS &amp; CHELSEA RENEE</t>
  </si>
  <si>
    <t xml:space="preserve">2850 E RIVIERA PL </t>
  </si>
  <si>
    <t>BRIBIESCAS WILLIAM</t>
  </si>
  <si>
    <t>RODGERS TYLER A &amp; CHELSEA R</t>
  </si>
  <si>
    <t>TSEKO</t>
  </si>
  <si>
    <t>JAMES &amp; ALISON TSEKO</t>
  </si>
  <si>
    <t xml:space="preserve">2149 E ARABIAN DR </t>
  </si>
  <si>
    <t>FINLEY FARMS SOUTH PARCEL 18</t>
  </si>
  <si>
    <t>KEEHNEN JESSICA L &amp; JAMES A</t>
  </si>
  <si>
    <t>JAMES M TSEKO</t>
  </si>
  <si>
    <t>ALISON G TSEKO</t>
  </si>
  <si>
    <t>BELOIT</t>
  </si>
  <si>
    <t>LETHUY</t>
  </si>
  <si>
    <t>MICHAEL &amp; LETHUY BELOIT</t>
  </si>
  <si>
    <t xml:space="preserve">10131 N 75TH DR </t>
  </si>
  <si>
    <t xml:space="preserve">15414 N 61ST AVE </t>
  </si>
  <si>
    <t>WILLIAMS EARL C</t>
  </si>
  <si>
    <t>BELOIT MICHAEL J</t>
  </si>
  <si>
    <t>RICHARD &amp; LINDA WATTS</t>
  </si>
  <si>
    <t xml:space="preserve">27405 N 16TH LN </t>
  </si>
  <si>
    <t>DESERT TRAILS</t>
  </si>
  <si>
    <t>27405 N 16TH LANE LLC</t>
  </si>
  <si>
    <t>WATTS RICHARD &amp; LINDA</t>
  </si>
  <si>
    <t>WINGFIELD</t>
  </si>
  <si>
    <t>PICARD</t>
  </si>
  <si>
    <t>WINGFIELD &amp; PATRICIA PICARD</t>
  </si>
  <si>
    <t xml:space="preserve">4822 N 96TH AVE </t>
  </si>
  <si>
    <t>TERRACITA UNIT 2</t>
  </si>
  <si>
    <t>FAULHABER GREG</t>
  </si>
  <si>
    <t>WINGFIELD SHERMAN B</t>
  </si>
  <si>
    <t>WINGFIELD SHERMAN B &amp; PATRICIA P</t>
  </si>
  <si>
    <t>COONING</t>
  </si>
  <si>
    <t>KEITH COONING</t>
  </si>
  <si>
    <t xml:space="preserve">2541 E GROVERS AVE </t>
  </si>
  <si>
    <t>CAMPO BELLO COVE</t>
  </si>
  <si>
    <t>STOOKEY MARY J TRUSTEE T</t>
  </si>
  <si>
    <t>COONING KEITH P</t>
  </si>
  <si>
    <t>LAVINE</t>
  </si>
  <si>
    <t>ERIC LAVINE</t>
  </si>
  <si>
    <t xml:space="preserve">18303 W SAGUARO LN </t>
  </si>
  <si>
    <t>ERWIN</t>
  </si>
  <si>
    <t>SCHAFFRAN</t>
  </si>
  <si>
    <t>ERWIN &amp; SHERYL SCHAFFRAN</t>
  </si>
  <si>
    <t xml:space="preserve">15754 W MCKINLEY ST </t>
  </si>
  <si>
    <t>ERWIN P SCHAFFRAN</t>
  </si>
  <si>
    <t>SHERYL L SCHAFFRAN</t>
  </si>
  <si>
    <t>JAMES AND SARAH CONROD FAMILY TRUST</t>
  </si>
  <si>
    <t xml:space="preserve">20762 W NELSON PL </t>
  </si>
  <si>
    <t>VERRADO PARCEL 3.410</t>
  </si>
  <si>
    <t>DOWNEY STEPHEN G</t>
  </si>
  <si>
    <t>CONROD JAMES &amp; SARAH FAMILY TRUST</t>
  </si>
  <si>
    <t>SCOTT &amp; AMANDA AUSTIN</t>
  </si>
  <si>
    <t xml:space="preserve">4218 E WESTERN STAR BLVD </t>
  </si>
  <si>
    <t>DESERT FOOTHILLS ESTATES UNIT 4 TR A-J</t>
  </si>
  <si>
    <t>PORTOLA VALLEY LLC</t>
  </si>
  <si>
    <t>AUSTIN SCOTT E</t>
  </si>
  <si>
    <t>JOSEPH RIVERA &amp; DANIELLE BROWN</t>
  </si>
  <si>
    <t xml:space="preserve">2150 W EUGIE AVE </t>
  </si>
  <si>
    <t>MOON VALLEY GARDENS PLAT B</t>
  </si>
  <si>
    <t>R &amp; G PARTNERS LLC</t>
  </si>
  <si>
    <t>RIVERA JOSEPH</t>
  </si>
  <si>
    <t>BROWN DANIELLE R</t>
  </si>
  <si>
    <t>DIFFEY</t>
  </si>
  <si>
    <t>JAMES DIFFEY</t>
  </si>
  <si>
    <t xml:space="preserve">1605 W MULBERRY DR </t>
  </si>
  <si>
    <t>ZAVALA ERNESTO</t>
  </si>
  <si>
    <t>DIFFEY JAMES L</t>
  </si>
  <si>
    <t>ANASTAY</t>
  </si>
  <si>
    <t>TYLER LONG &amp; JENIFER ANASTAY</t>
  </si>
  <si>
    <t xml:space="preserve">17124 N WOODROSE AVE </t>
  </si>
  <si>
    <t>KINGSWOOD PARKE PARCEL 16 LOT 1-165 TR A</t>
  </si>
  <si>
    <t>BUCHMOYER JOSHUA</t>
  </si>
  <si>
    <t>TYLER R LONG</t>
  </si>
  <si>
    <t>JENIFER B ANASTAY</t>
  </si>
  <si>
    <t>CHRISTOPHER &amp; CLARA BROWN</t>
  </si>
  <si>
    <t xml:space="preserve">3850 E SANTA FE LN </t>
  </si>
  <si>
    <t xml:space="preserve">3850 E SAN5TA FELN </t>
  </si>
  <si>
    <t>POWER RANCH NEIGHBORHOOD 10  PARCEL D AN</t>
  </si>
  <si>
    <t>WANICH THOMAS D</t>
  </si>
  <si>
    <t>BROWN CHRISTOPHER B &amp; CLARA P</t>
  </si>
  <si>
    <t>PLEHN</t>
  </si>
  <si>
    <t>MITCHELL &amp; WENDY PLEHN</t>
  </si>
  <si>
    <t xml:space="preserve">19938 W LINCOLN ST </t>
  </si>
  <si>
    <t>PLEHN MITCHELL &amp; WENDY</t>
  </si>
  <si>
    <t>BRIGID</t>
  </si>
  <si>
    <t>BRIGID TRAINOR &amp; MICHAEL LEBLANC</t>
  </si>
  <si>
    <t xml:space="preserve">703 W LUKE AVE </t>
  </si>
  <si>
    <t>HANDELL VILLA ANNEX</t>
  </si>
  <si>
    <t>LAVIGUEURE KEVIN</t>
  </si>
  <si>
    <t>TRAINOR BRIGID K</t>
  </si>
  <si>
    <t>LEBLANC MICHAEL F</t>
  </si>
  <si>
    <t>LAIDLAW</t>
  </si>
  <si>
    <t>JASON &amp; TRACY LAIDLAW</t>
  </si>
  <si>
    <t xml:space="preserve">11712 W TIERRA GRANDE </t>
  </si>
  <si>
    <t>CHINNOCK ADAM E</t>
  </si>
  <si>
    <t>LAIDLAW JASON L &amp; TRACY L</t>
  </si>
  <si>
    <t>ORFARY</t>
  </si>
  <si>
    <t>RONNIE &amp; ORFARY MONTGOMERY</t>
  </si>
  <si>
    <t xml:space="preserve">40903 N TRAILHEAD WAY </t>
  </si>
  <si>
    <t>ANTHEM UNIT 33 AMD</t>
  </si>
  <si>
    <t>COLLINS THOMAS &amp; BRENDA</t>
  </si>
  <si>
    <t>MONTGOMERY RONNIE M &amp; ORFARY</t>
  </si>
  <si>
    <t>NAOMI</t>
  </si>
  <si>
    <t>PAUL &amp; NAOMI SCHMID</t>
  </si>
  <si>
    <t xml:space="preserve">3153 S 185TH DR </t>
  </si>
  <si>
    <t>SCHMID PAUL D &amp; NAOMI</t>
  </si>
  <si>
    <t>ECHAVARRIA</t>
  </si>
  <si>
    <t>PETE ECHAVARRIA</t>
  </si>
  <si>
    <t xml:space="preserve">7004 S 22ND LN </t>
  </si>
  <si>
    <t>WEAR TARALYN V</t>
  </si>
  <si>
    <t>ECHAVARRIA PETE R</t>
  </si>
  <si>
    <t>ELROY</t>
  </si>
  <si>
    <t>CORNELIUS</t>
  </si>
  <si>
    <t>ELROY CORNELIUS</t>
  </si>
  <si>
    <t xml:space="preserve">2050 W CAMPBELL AVE </t>
  </si>
  <si>
    <t>MELROSE ESTATES</t>
  </si>
  <si>
    <t>MATCEN DEBORAH</t>
  </si>
  <si>
    <t>CORNELIUS ELROY</t>
  </si>
  <si>
    <t>FRANK STAHL DECLARATION OF TRUST</t>
  </si>
  <si>
    <t>FRANK OF</t>
  </si>
  <si>
    <t xml:space="preserve">10605 W WELK DR </t>
  </si>
  <si>
    <t>SUN CITY 43</t>
  </si>
  <si>
    <t>HUNTER CLEO A</t>
  </si>
  <si>
    <t>STAHL FRANK</t>
  </si>
  <si>
    <t>LINDGREN FAMILY TRUST</t>
  </si>
  <si>
    <t>LINDGREN FAMILY</t>
  </si>
  <si>
    <t xml:space="preserve">9926 W CONCHO CIR </t>
  </si>
  <si>
    <t>HARVEY FLORENCE M TRUST</t>
  </si>
  <si>
    <t>LINDGREN RONALD W &amp; MICKEY E</t>
  </si>
  <si>
    <t>CASAREZ</t>
  </si>
  <si>
    <t>STEPHEN CASAREZ</t>
  </si>
  <si>
    <t xml:space="preserve">9049 W QUAIL AVE </t>
  </si>
  <si>
    <t>DEER VILLAGE UNIT 2</t>
  </si>
  <si>
    <t>AYRE JENNIFER M</t>
  </si>
  <si>
    <t>CASAREZ STEPHEN</t>
  </si>
  <si>
    <t>COLEY</t>
  </si>
  <si>
    <t>WALTER &amp; BARBARA COLEY</t>
  </si>
  <si>
    <t xml:space="preserve">17880 W BADGER WAY </t>
  </si>
  <si>
    <t>COLEY WALTER L JR &amp; BARBARA L</t>
  </si>
  <si>
    <t>MONTES</t>
  </si>
  <si>
    <t>JONATHAN &amp; MELINDA MONTES</t>
  </si>
  <si>
    <t xml:space="preserve">812 S FERN CT </t>
  </si>
  <si>
    <t>PARDON KYLE &amp; DANIELLE</t>
  </si>
  <si>
    <t>MONTES JONATHAN &amp; MELINDA</t>
  </si>
  <si>
    <t>JACKIE TURNER</t>
  </si>
  <si>
    <t xml:space="preserve">1602 W WILSHIRE DR </t>
  </si>
  <si>
    <t>DEL NORTE PLACE PLAT B</t>
  </si>
  <si>
    <t>GONZALES DEBORAH A TRUST</t>
  </si>
  <si>
    <t>TURNER JACKIE</t>
  </si>
  <si>
    <t>KNUDSON FAMILY TRUST</t>
  </si>
  <si>
    <t xml:space="preserve">20254 W DESERT BLOOM ST </t>
  </si>
  <si>
    <t>KNUDSON LYLE M JR &amp; MARTHA L</t>
  </si>
  <si>
    <t>DUSICH</t>
  </si>
  <si>
    <t>MIEKO</t>
  </si>
  <si>
    <t>JOHN &amp; MIEKO DUSICH</t>
  </si>
  <si>
    <t xml:space="preserve">17988 W UDALL DR </t>
  </si>
  <si>
    <t>ARIZONA TRADITIONS 4</t>
  </si>
  <si>
    <t>DEVINNEY EUNICE M TRUSTEE</t>
  </si>
  <si>
    <t>DUSICH JOHN J &amp; MIEKO T</t>
  </si>
  <si>
    <t>PRENTISS</t>
  </si>
  <si>
    <t>TYNESHA</t>
  </si>
  <si>
    <t>PRENTISS &amp; TYNESHA LOGAN</t>
  </si>
  <si>
    <t xml:space="preserve">15574 W CAMERON DR </t>
  </si>
  <si>
    <t>PRENTISS C LOGAN</t>
  </si>
  <si>
    <t>TYNESHA L LOGAN</t>
  </si>
  <si>
    <t>JAEN</t>
  </si>
  <si>
    <t>JOSEPH JAEN</t>
  </si>
  <si>
    <t xml:space="preserve">971 N SENATE ST </t>
  </si>
  <si>
    <t>MCQUEEN NORTH UNIT ONE LT 1-137 TR A</t>
  </si>
  <si>
    <t>MCQUEEN NORTH</t>
  </si>
  <si>
    <t>JAEN JOESPH</t>
  </si>
  <si>
    <t>KENT ARMSTRONG</t>
  </si>
  <si>
    <t xml:space="preserve">21620 W WATKINS ST </t>
  </si>
  <si>
    <t>SUNDANCE PARCEL 48</t>
  </si>
  <si>
    <t>ARMSTRONG KENT RICARDO</t>
  </si>
  <si>
    <t>SABISH</t>
  </si>
  <si>
    <t>SCOTT SABISH</t>
  </si>
  <si>
    <t xml:space="preserve">3192 N PARK ST </t>
  </si>
  <si>
    <t>VERRADO PARCEL 4.811</t>
  </si>
  <si>
    <t>RACITI SONJA L</t>
  </si>
  <si>
    <t>SABISH SCOTT</t>
  </si>
  <si>
    <t>MCQUILKIN</t>
  </si>
  <si>
    <t>BRENT MCQUILKIN</t>
  </si>
  <si>
    <t xml:space="preserve">4831 E WESTERN STAR BLVD </t>
  </si>
  <si>
    <t>EDDIE CURTIS L</t>
  </si>
  <si>
    <t>MCQUILKIN BRENT T</t>
  </si>
  <si>
    <t>ROB</t>
  </si>
  <si>
    <t>GILES</t>
  </si>
  <si>
    <t>ROB GILES</t>
  </si>
  <si>
    <t xml:space="preserve">613 E FORDHAM DR </t>
  </si>
  <si>
    <t>UNIVERSITY ROYAL 1A</t>
  </si>
  <si>
    <t>CULLEN ZACHARY &amp; MICHELLE</t>
  </si>
  <si>
    <t>GILES ROB R</t>
  </si>
  <si>
    <t>ARMITAGE</t>
  </si>
  <si>
    <t>DUANE &amp; BETH ARMITAGE</t>
  </si>
  <si>
    <t xml:space="preserve">841 W CLARENDON AVE </t>
  </si>
  <si>
    <t>GERUNDO ROBERT</t>
  </si>
  <si>
    <t>ARMITAGE DUANE A &amp; BETH O</t>
  </si>
  <si>
    <t>DARRYL STERLING</t>
  </si>
  <si>
    <t xml:space="preserve">15932 W CAMERON DR </t>
  </si>
  <si>
    <t>STERLING DARRYL</t>
  </si>
  <si>
    <t>STERLING DARRYL L &amp; LANETTE EVET</t>
  </si>
  <si>
    <t>ZACKERY &amp; ASHLEE BAUMAN</t>
  </si>
  <si>
    <t xml:space="preserve">811 E CORAL GABLES DR </t>
  </si>
  <si>
    <t>HOTHEM ERICH A</t>
  </si>
  <si>
    <t>BAUMAN ZACKERY R &amp; ASHLEE</t>
  </si>
  <si>
    <t>KRAH</t>
  </si>
  <si>
    <t>RICHARD &amp; PATRICIA KRAH</t>
  </si>
  <si>
    <t xml:space="preserve">18431 W GEORGIA AVE </t>
  </si>
  <si>
    <t>ALFORD WILLIAM C</t>
  </si>
  <si>
    <t>KRAH RICHARD D &amp; PATRICIA J</t>
  </si>
  <si>
    <t>COMSTOCK</t>
  </si>
  <si>
    <t>JOHN &amp; CECILIA COMSTOCK</t>
  </si>
  <si>
    <t xml:space="preserve">14835 W DEVLIN DR </t>
  </si>
  <si>
    <t>PEBBLECREEK UNIT TWELVE</t>
  </si>
  <si>
    <t>ZIEMNIAK WILLIAM D</t>
  </si>
  <si>
    <t>COMSTOCK JOHN T</t>
  </si>
  <si>
    <t>ERIC &amp; LUZ WILLIAMS</t>
  </si>
  <si>
    <t xml:space="preserve">14625 W INDIANOLA AVE </t>
  </si>
  <si>
    <t>JAMES CLARENCE</t>
  </si>
  <si>
    <t>WILLIAMS ERIC S &amp; LUZ V</t>
  </si>
  <si>
    <t>BILLY POWELL</t>
  </si>
  <si>
    <t xml:space="preserve">2209 E CAMINO CIR </t>
  </si>
  <si>
    <t>PROVIDENT HM SOLUTIONS LLC</t>
  </si>
  <si>
    <t>POWELL BILLY R</t>
  </si>
  <si>
    <t>BENTLEY</t>
  </si>
  <si>
    <t>NELSON &amp; RACHEL BENTLEY</t>
  </si>
  <si>
    <t xml:space="preserve">19926 W SHERMAN ST </t>
  </si>
  <si>
    <t>BENTLEY NELSON R &amp; RACHEL</t>
  </si>
  <si>
    <t>HILEMAN</t>
  </si>
  <si>
    <t>JAMES &amp; SAMANTHA HILEMAN</t>
  </si>
  <si>
    <t xml:space="preserve">266 S CANFIELD </t>
  </si>
  <si>
    <t>LARSON JOHN E</t>
  </si>
  <si>
    <t>HILEMAN JAMES R &amp; SAMANTHA N</t>
  </si>
  <si>
    <t>WILFREDO</t>
  </si>
  <si>
    <t>WILFREDO MORALES</t>
  </si>
  <si>
    <t xml:space="preserve">15173 W POLK ST </t>
  </si>
  <si>
    <t>FEDERAL NATL MTG ASSN</t>
  </si>
  <si>
    <t>CORY BARNETT</t>
  </si>
  <si>
    <t xml:space="preserve">9164 W LUDLOW DR </t>
  </si>
  <si>
    <t>BARNETT CORY D</t>
  </si>
  <si>
    <t>MCBRYDE</t>
  </si>
  <si>
    <t>RAN</t>
  </si>
  <si>
    <t>MICHAEL &amp; RAN MCBRYDE</t>
  </si>
  <si>
    <t xml:space="preserve">7801 N 177TH AVE </t>
  </si>
  <si>
    <t>MINER DONALD M &amp; MARY E</t>
  </si>
  <si>
    <t>MCBRYDE MICHAEL A &amp; RAN</t>
  </si>
  <si>
    <t>LAWHORNE</t>
  </si>
  <si>
    <t>ANGELA LAWHORNE</t>
  </si>
  <si>
    <t xml:space="preserve">19821 W MINNEZONA AVE </t>
  </si>
  <si>
    <t>LACEY JAMES G</t>
  </si>
  <si>
    <t>LAWHORNE ANGELA</t>
  </si>
  <si>
    <t>BRIAN &amp; KELLI CLARK</t>
  </si>
  <si>
    <t xml:space="preserve">2304 E HEATHERBRAE DR </t>
  </si>
  <si>
    <t>MANANA VISTA</t>
  </si>
  <si>
    <t>DEAN KAMILLE R</t>
  </si>
  <si>
    <t>CLARK BRIAN &amp; KELLI</t>
  </si>
  <si>
    <t>WILLIAM &amp; BETH POWELL</t>
  </si>
  <si>
    <t xml:space="preserve">30505 N 208TH DR </t>
  </si>
  <si>
    <t>CHURCHILL SOUTH NO. 2 (PART TRACT G)</t>
  </si>
  <si>
    <t>CHURCHILL SOUTH</t>
  </si>
  <si>
    <t>FONK KAREN D</t>
  </si>
  <si>
    <t>WILLIAM R POWELL</t>
  </si>
  <si>
    <t>BETH E POWELL</t>
  </si>
  <si>
    <t>FORLAND</t>
  </si>
  <si>
    <t>IONELA</t>
  </si>
  <si>
    <t>JAMIE &amp; IONELA FORLAND</t>
  </si>
  <si>
    <t xml:space="preserve">8850 E RIVIERA DR </t>
  </si>
  <si>
    <t>MISSION SANTA FE LOT 1-65 TR A-G PVT ST</t>
  </si>
  <si>
    <t>MISSION SANTA FE</t>
  </si>
  <si>
    <t>8850 E RIVIERA DRIVE LLC</t>
  </si>
  <si>
    <t>FORLAND JAMIE JOSEPH &amp; IONELA</t>
  </si>
  <si>
    <t>STROUF</t>
  </si>
  <si>
    <t>LINDA STROUF</t>
  </si>
  <si>
    <t xml:space="preserve">15206 E MUSTANG DR </t>
  </si>
  <si>
    <t>YOUNG RICHARD W &amp; GLORIA J</t>
  </si>
  <si>
    <t>STROUF LINDA J</t>
  </si>
  <si>
    <t>FERGUSON-GILBERT</t>
  </si>
  <si>
    <t>LAWRENCE GILBERT &amp; CATHERINE FERGUSON-GILBERT</t>
  </si>
  <si>
    <t xml:space="preserve">3910 E NIGHTHAWK WAY </t>
  </si>
  <si>
    <t>KINNEY SCOTT E &amp; R D TRUST</t>
  </si>
  <si>
    <t>GILBERT LAWRENCE P</t>
  </si>
  <si>
    <t>FERGUSON-GILBERT CATHERINE M</t>
  </si>
  <si>
    <t>STROJNIK</t>
  </si>
  <si>
    <t>PETER STROJNIK</t>
  </si>
  <si>
    <t xml:space="preserve">1344 E BELMONT AVE </t>
  </si>
  <si>
    <t>BELMONT POINTE</t>
  </si>
  <si>
    <t>BELMONT PARK</t>
  </si>
  <si>
    <t>TRIDENT DEV LLC</t>
  </si>
  <si>
    <t>BIRMINGHAM AL 35202</t>
  </si>
  <si>
    <t>STROJNIK PETER</t>
  </si>
  <si>
    <t>RYAN &amp; KATHRYN WALTER</t>
  </si>
  <si>
    <t xml:space="preserve">2852 E SANTA ROSA DR </t>
  </si>
  <si>
    <t>STRYCKER COREY M &amp; JESSICA C</t>
  </si>
  <si>
    <t>WALTER RYAN P &amp; KATHRYN H</t>
  </si>
  <si>
    <t>JOHNSON TRUST</t>
  </si>
  <si>
    <t xml:space="preserve">2547 E AMBER RIDGE WAY </t>
  </si>
  <si>
    <t>ANSELMO RITA K TRUSTEE T</t>
  </si>
  <si>
    <t>JOHNSON REED A &amp; MARA A</t>
  </si>
  <si>
    <t>BROOKS DAVID A LIVING TRUST|CO</t>
  </si>
  <si>
    <t>A BROOKSDAVID</t>
  </si>
  <si>
    <t xml:space="preserve">8547 E GARY ST </t>
  </si>
  <si>
    <t>SIGNAL HEIGHTS UNIT 1 LOT 1-29</t>
  </si>
  <si>
    <t>SIGNAL HEIGHTS</t>
  </si>
  <si>
    <t>SUNBURST INV PROPS LLC</t>
  </si>
  <si>
    <t>BROOKS DAVID A</t>
  </si>
  <si>
    <t>MIRIAM</t>
  </si>
  <si>
    <t>RUCKER &amp; MIRIAM BETH</t>
  </si>
  <si>
    <t xml:space="preserve">9850 W ORAIBI DR </t>
  </si>
  <si>
    <t>HEATHERBROOK AT WESTBROOK VILLAGE LT 217</t>
  </si>
  <si>
    <t>HEATHERBROOK AT WESTBROOK VILLAGE</t>
  </si>
  <si>
    <t>COOK HARRY M &amp; EDITH TRUST</t>
  </si>
  <si>
    <t>RUCKER MICHAEL B &amp; MIRIAM B</t>
  </si>
  <si>
    <t>KOHN LORENZ LIVING TRUST</t>
  </si>
  <si>
    <t>KOHNLORENZ</t>
  </si>
  <si>
    <t xml:space="preserve">19051 E TONTO TRL </t>
  </si>
  <si>
    <t>TRZECIAK MARTIN G &amp; PHYLLIS</t>
  </si>
  <si>
    <t>KOHN NORMAN J</t>
  </si>
  <si>
    <t>LORENZ PAT R</t>
  </si>
  <si>
    <t>HOEFERT FAMILY TRUST</t>
  </si>
  <si>
    <t>HOEFERT</t>
  </si>
  <si>
    <t xml:space="preserve">3549 E SPORTS DR </t>
  </si>
  <si>
    <t>SEVILLE PARCEL 29</t>
  </si>
  <si>
    <t>LA MIRADA</t>
  </si>
  <si>
    <t>GAROFALO RAFE</t>
  </si>
  <si>
    <t>HOEFERT JOHN</t>
  </si>
  <si>
    <t>ERIBES</t>
  </si>
  <si>
    <t>PEDRO &amp; SOCORRO ERIBES</t>
  </si>
  <si>
    <t xml:space="preserve">4104 W SAINT CHARLES AVE </t>
  </si>
  <si>
    <t>PRIDE JACORY E</t>
  </si>
  <si>
    <t>ERIBES PEDRO A &amp; SOCORRO V</t>
  </si>
  <si>
    <t>BRUCE OLSON</t>
  </si>
  <si>
    <t xml:space="preserve">1313 W MEADOWBROOK AVE </t>
  </si>
  <si>
    <t>TAGGART CARA</t>
  </si>
  <si>
    <t>OLSON BRUCE A</t>
  </si>
  <si>
    <t>RANDY &amp; DEBORAH STEWART</t>
  </si>
  <si>
    <t xml:space="preserve">671 S 196TH CIR </t>
  </si>
  <si>
    <t>STEWART RANDY &amp; DEBORAH</t>
  </si>
  <si>
    <t>BRODY</t>
  </si>
  <si>
    <t>ZACHARY &amp; MIRANDA BRODY</t>
  </si>
  <si>
    <t xml:space="preserve">3322 W GRAN PARADISO DR </t>
  </si>
  <si>
    <t>HAUKENFRERS KARL R</t>
  </si>
  <si>
    <t>BRODY ZACHARY &amp; MIRANDA N</t>
  </si>
  <si>
    <t>WARREN SHEILA A TRUST</t>
  </si>
  <si>
    <t>SHEILA WARREN</t>
  </si>
  <si>
    <t xml:space="preserve">858 E SCORPIO PL </t>
  </si>
  <si>
    <t>DUDLEY BRAD L</t>
  </si>
  <si>
    <t>WARREN MICHAEL &amp; SHEILA</t>
  </si>
  <si>
    <t>PASCH FAMILY LIVING TRUST</t>
  </si>
  <si>
    <t>PASCH</t>
  </si>
  <si>
    <t xml:space="preserve">9213 E DIAMOND DR </t>
  </si>
  <si>
    <t>FORTY THIRD AVENUE PROPS I</t>
  </si>
  <si>
    <t>PASCH ROBERT A &amp; LENORA L</t>
  </si>
  <si>
    <t>DARRYL &amp; ANN WALKER</t>
  </si>
  <si>
    <t xml:space="preserve">6633 W DESERT VISTA TRL </t>
  </si>
  <si>
    <t>MCLAUGHLIN JAMES T</t>
  </si>
  <si>
    <t>WALKER DARRYL &amp; ANN</t>
  </si>
  <si>
    <t>ANN WALKER</t>
  </si>
  <si>
    <t>DARRYL WALKER</t>
  </si>
  <si>
    <t>HENTGES</t>
  </si>
  <si>
    <t>DAVID &amp; SARA HENTGES</t>
  </si>
  <si>
    <t xml:space="preserve">1634 N SALEM CIR </t>
  </si>
  <si>
    <t xml:space="preserve">1355 N GREENFIELD RD </t>
  </si>
  <si>
    <t>LEONARD CHARLES G &amp; DOLORES</t>
  </si>
  <si>
    <t>HENTGES DAVID A</t>
  </si>
  <si>
    <t>THOMAS &amp; MARY FOWLER</t>
  </si>
  <si>
    <t xml:space="preserve">751 W GAIL CT </t>
  </si>
  <si>
    <t>DAVE BROWN COUNTRY ESTATES 1</t>
  </si>
  <si>
    <t>TURNROSE DAWN M</t>
  </si>
  <si>
    <t>FOWLER THOMAS &amp; MARY</t>
  </si>
  <si>
    <t>HAYDEN DUFF</t>
  </si>
  <si>
    <t xml:space="preserve">2321 W TEMPLE ST </t>
  </si>
  <si>
    <t>FRENCH JAMIESON A</t>
  </si>
  <si>
    <t>DUFF HAYDEN</t>
  </si>
  <si>
    <t>ALFRED HOWARD</t>
  </si>
  <si>
    <t xml:space="preserve">3052 E BELLERIVE DR </t>
  </si>
  <si>
    <t>RYAN KARL P</t>
  </si>
  <si>
    <t>HOWARD ALFRED</t>
  </si>
  <si>
    <t>JUDYTH</t>
  </si>
  <si>
    <t>JAMES &amp; JUDYTH OGLE</t>
  </si>
  <si>
    <t xml:space="preserve">18182 W BANFF LN </t>
  </si>
  <si>
    <t>GILSON BRUCE W</t>
  </si>
  <si>
    <t>OGLE JAMES &amp; JUDYTH</t>
  </si>
  <si>
    <t>CYNTHIA &amp; SHAWN DAVIS</t>
  </si>
  <si>
    <t xml:space="preserve">8710 N 182ND AVE </t>
  </si>
  <si>
    <t>CANIPE JUSTIN J</t>
  </si>
  <si>
    <t>DAVIS CYNTHIA A &amp; SHAWN N</t>
  </si>
  <si>
    <t>GREGORIO CASTRO</t>
  </si>
  <si>
    <t xml:space="preserve">3524 W BROWN ST </t>
  </si>
  <si>
    <t>CAVALIER FREEWAY NORTH 2</t>
  </si>
  <si>
    <t>MICHAELIS STANLEY H</t>
  </si>
  <si>
    <t>NICKEL</t>
  </si>
  <si>
    <t>KIMIKO</t>
  </si>
  <si>
    <t>MARVIN &amp; KIMIKO NICKEL</t>
  </si>
  <si>
    <t xml:space="preserve">27465 N 175TH DR </t>
  </si>
  <si>
    <t>NICKEL MARVIN M &amp; KIMIKO</t>
  </si>
  <si>
    <t>GEORGE HOLDEN</t>
  </si>
  <si>
    <t xml:space="preserve">975 E TYSON CT </t>
  </si>
  <si>
    <t>HUGHES MICHAEL F</t>
  </si>
  <si>
    <t>HOLDEN GEORGE</t>
  </si>
  <si>
    <t>BRUZON</t>
  </si>
  <si>
    <t>IVAN &amp; ANDREA BRUZON</t>
  </si>
  <si>
    <t xml:space="preserve">10609 W SALTER DR </t>
  </si>
  <si>
    <t>WARD CHRIS</t>
  </si>
  <si>
    <t>BRUZON IVAN &amp; ANDREA</t>
  </si>
  <si>
    <t>TANTONE</t>
  </si>
  <si>
    <t>MICHAEL TANTONE &amp; DANIELLE LONG</t>
  </si>
  <si>
    <t xml:space="preserve">7516 E ODESSA CIR </t>
  </si>
  <si>
    <t>GLENN GAIL C</t>
  </si>
  <si>
    <t>TANTONE MICHAEL V &amp; DANIELLE M</t>
  </si>
  <si>
    <t>PEEK</t>
  </si>
  <si>
    <t>MATTHEW &amp; SANDRA PEEK</t>
  </si>
  <si>
    <t xml:space="preserve">21991 E DESERT HILLS DR </t>
  </si>
  <si>
    <t>PEEK MATTHEW K &amp; SANDRA L</t>
  </si>
  <si>
    <t>GEEDEY</t>
  </si>
  <si>
    <t>CLARISA</t>
  </si>
  <si>
    <t>ERIC GEEDEY &amp; CLARISA CHAVEZ</t>
  </si>
  <si>
    <t xml:space="preserve">231 W BEECHNUT PL </t>
  </si>
  <si>
    <t>LONGO-ROEHNER LORI</t>
  </si>
  <si>
    <t>GEEDEY ERIC P</t>
  </si>
  <si>
    <t>CHAVEZ CLARISA</t>
  </si>
  <si>
    <t>KUNZLER</t>
  </si>
  <si>
    <t>KENNETH &amp; ALEXANDRA KUNZLER</t>
  </si>
  <si>
    <t xml:space="preserve">14833 W GEORGIA DR </t>
  </si>
  <si>
    <t>KUNZLER KENNETH &amp; ALEXANDRA</t>
  </si>
  <si>
    <t>ARTIBEY TRUST</t>
  </si>
  <si>
    <t>ARTIBEY</t>
  </si>
  <si>
    <t xml:space="preserve">15868 W CYPRESS ST #125 </t>
  </si>
  <si>
    <t xml:space="preserve">15868 W CYPRESS ST </t>
  </si>
  <si>
    <t>ARTIBEY DAVE &amp; PAM</t>
  </si>
  <si>
    <t>HPP FAMILY TRUST</t>
  </si>
  <si>
    <t>HPP</t>
  </si>
  <si>
    <t xml:space="preserve">31582 N 128TH DR </t>
  </si>
  <si>
    <t>PILVINIS HARRY J &amp; PHILLIS S</t>
  </si>
  <si>
    <t>SCRIVENER</t>
  </si>
  <si>
    <t>DANIEL &amp; STEFANIE SCRIVENER</t>
  </si>
  <si>
    <t xml:space="preserve">212 W HARVARD AVE </t>
  </si>
  <si>
    <t>VILLA MADEIRA 2</t>
  </si>
  <si>
    <t>SCRIVENER DANIEL &amp; STEFANIE</t>
  </si>
  <si>
    <t>ISLA</t>
  </si>
  <si>
    <t>ALEXANDER &amp; RHEA ISLA</t>
  </si>
  <si>
    <t xml:space="preserve">14533 W SHERIDAN ST </t>
  </si>
  <si>
    <t>CRENSHAW FAMILY TRUST</t>
  </si>
  <si>
    <t>ISLA ALEXANDER &amp; RHEA C</t>
  </si>
  <si>
    <t>RONALD ROMERO</t>
  </si>
  <si>
    <t xml:space="preserve">14726 W LUCAS LN </t>
  </si>
  <si>
    <t>KINGSWOOD PARKE PHASE 1 PARCEL 17</t>
  </si>
  <si>
    <t>MITCOFF SUSAN M</t>
  </si>
  <si>
    <t>ROMERO RONALD</t>
  </si>
  <si>
    <t>DICKINSON</t>
  </si>
  <si>
    <t>CHARLES &amp; KATHERINE DICKINSON</t>
  </si>
  <si>
    <t xml:space="preserve">2337 W FLINT ST </t>
  </si>
  <si>
    <t>CASTILLE</t>
  </si>
  <si>
    <t>UMARETIYA JAGDISH R &amp; JASAVA</t>
  </si>
  <si>
    <t>DICKINSON CHARLES M &amp; KATHERINE M</t>
  </si>
  <si>
    <t>CHARLES &amp; JACQUELINE DAVIS</t>
  </si>
  <si>
    <t xml:space="preserve">2065 S MARBLE ST </t>
  </si>
  <si>
    <t>MURPHY DAVID</t>
  </si>
  <si>
    <t>DAVIS CHARLES &amp; JACQUELINE</t>
  </si>
  <si>
    <t>HEET</t>
  </si>
  <si>
    <t>JAMES HEET</t>
  </si>
  <si>
    <t xml:space="preserve">10936 E SOLINA AVE </t>
  </si>
  <si>
    <t>SNAPP BRYAN</t>
  </si>
  <si>
    <t>HEET JAMES</t>
  </si>
  <si>
    <t>BLANCHETTE ROBERT T TRUST</t>
  </si>
  <si>
    <t>T BLANCHETTEROBERT</t>
  </si>
  <si>
    <t xml:space="preserve">3349 E PHELPS ST </t>
  </si>
  <si>
    <t>HOLCOMBE SKYLER</t>
  </si>
  <si>
    <t>ROBERT T BLANCHETTE</t>
  </si>
  <si>
    <t>GRAZIANI</t>
  </si>
  <si>
    <t>COLLETTE</t>
  </si>
  <si>
    <t>TONY &amp; COLLETTE GRAZIANI</t>
  </si>
  <si>
    <t xml:space="preserve">4106 S MARBLE ST </t>
  </si>
  <si>
    <t>NIKOLAUS NATHAN G &amp; TALLY M</t>
  </si>
  <si>
    <t>GRAZIANI TONY A &amp; COLLETTE</t>
  </si>
  <si>
    <t>WILLIAM OCHS</t>
  </si>
  <si>
    <t xml:space="preserve">4330 W YORKSHIRE DR </t>
  </si>
  <si>
    <t>DAVE BROWN NORTH UNIT 3 LOT 1-181</t>
  </si>
  <si>
    <t>OCHS KATHY A</t>
  </si>
  <si>
    <t>OCHS WILLIAM R</t>
  </si>
  <si>
    <t>TRAN</t>
  </si>
  <si>
    <t>SUSAN TRAN</t>
  </si>
  <si>
    <t xml:space="preserve">332 W TEMPLE CT </t>
  </si>
  <si>
    <t>RAVEN RANCH</t>
  </si>
  <si>
    <t>DUECK KEVIN M</t>
  </si>
  <si>
    <t>CAMARGO MENDY N</t>
  </si>
  <si>
    <t>RZIHA</t>
  </si>
  <si>
    <t>ADAM RZIHA</t>
  </si>
  <si>
    <t xml:space="preserve">1673 E CINDY ST </t>
  </si>
  <si>
    <t>ROHDE BRYAN M</t>
  </si>
  <si>
    <t>RZIHA ADAM</t>
  </si>
  <si>
    <t>SEARCY</t>
  </si>
  <si>
    <t>ALEX &amp; BETH SEARCY</t>
  </si>
  <si>
    <t xml:space="preserve">4137 W HACKAMORE DR </t>
  </si>
  <si>
    <t>STETSON HILLS PARCELS 10A &amp; 11</t>
  </si>
  <si>
    <t>COHEN ADAM &amp; KIM TRUST</t>
  </si>
  <si>
    <t>SEARCY ALEX D &amp; BETH A</t>
  </si>
  <si>
    <t>JOLLENE</t>
  </si>
  <si>
    <t>AGUILERA</t>
  </si>
  <si>
    <t>JOLLENE &amp; LUIS AGUILERA</t>
  </si>
  <si>
    <t xml:space="preserve">14088 W LA REATA AVE </t>
  </si>
  <si>
    <t>BERTHELSON STACY L &amp; ROBERT</t>
  </si>
  <si>
    <t>AGUILERA JOLLENE K &amp; LUIS H</t>
  </si>
  <si>
    <t>JOEL &amp; MEGAN MORENO</t>
  </si>
  <si>
    <t xml:space="preserve">17500 W FETLOCK TRL </t>
  </si>
  <si>
    <t xml:space="preserve">17500 W FELLOCK TRL </t>
  </si>
  <si>
    <t>MORENO JOEL &amp; MEGAN</t>
  </si>
  <si>
    <t>BATTLES</t>
  </si>
  <si>
    <t>ROGER BATTLES</t>
  </si>
  <si>
    <t xml:space="preserve">3487 S POSSE TRL </t>
  </si>
  <si>
    <t>MACDONALD &amp; BROADWAY INVS</t>
  </si>
  <si>
    <t>BATTLES ROGER W</t>
  </si>
  <si>
    <t>SOLANO</t>
  </si>
  <si>
    <t>ANTONIO &amp; MARGARITA SOLANO</t>
  </si>
  <si>
    <t xml:space="preserve">6412 E JEAN DR </t>
  </si>
  <si>
    <t>SLETTEN ERIC &amp; JEANETTE</t>
  </si>
  <si>
    <t>SOLANO ANTONIO G &amp; MARGARITA</t>
  </si>
  <si>
    <t>CLETHEN-KAWAUCHI TRUST</t>
  </si>
  <si>
    <t>CORAZON</t>
  </si>
  <si>
    <t>CLETHEN-KAWAUCHI</t>
  </si>
  <si>
    <t xml:space="preserve">13424 N 100TH PL </t>
  </si>
  <si>
    <t>MOUNTAINVIEW RANCH UNIT 1 LOT 1-164</t>
  </si>
  <si>
    <t>TAMBURINO JOHN F &amp; CHRISTINE</t>
  </si>
  <si>
    <t>CLETHEN ERIC L</t>
  </si>
  <si>
    <t>KAWAUCHI CORAZON D</t>
  </si>
  <si>
    <t>BOOKWALTER</t>
  </si>
  <si>
    <t>MIKEL &amp; SHEA BOOKWALTER</t>
  </si>
  <si>
    <t xml:space="preserve">18615 E ASHRIDGE DR </t>
  </si>
  <si>
    <t>BATE COLETTE</t>
  </si>
  <si>
    <t>BOOKWALTER MIKEL &amp; SHEA</t>
  </si>
  <si>
    <t>OTT</t>
  </si>
  <si>
    <t>CHRISTOPHER &amp; ASHLEY OTT</t>
  </si>
  <si>
    <t xml:space="preserve">1311 W THUNDERHILL DR </t>
  </si>
  <si>
    <t>MATHEWS JOSHUA J</t>
  </si>
  <si>
    <t>OTT CHRISTOPHER &amp; ASHLEY</t>
  </si>
  <si>
    <t>SPOFFORD</t>
  </si>
  <si>
    <t>PAGAN</t>
  </si>
  <si>
    <t>SCOTT SPOFFORD &amp; FRANCES PAGAN</t>
  </si>
  <si>
    <t xml:space="preserve">8749 W ROCKWOOD DR </t>
  </si>
  <si>
    <t>PINEHURST PLACE AT WESTBROOK VILLAGE LT</t>
  </si>
  <si>
    <t>PINEHURST PLACE AT WESTBROOK VILLAGE</t>
  </si>
  <si>
    <t>STEWARD ENTS LLC</t>
  </si>
  <si>
    <t>SCOTT B SPOFFORD</t>
  </si>
  <si>
    <t>FRANCES S PAGAN</t>
  </si>
  <si>
    <t>JARED &amp; SARAH HOLMES</t>
  </si>
  <si>
    <t xml:space="preserve">15044 N HANA MAUI DR </t>
  </si>
  <si>
    <t xml:space="preserve">13044 N HANA MAUI DR </t>
  </si>
  <si>
    <t>APOLLO ESTATES 1</t>
  </si>
  <si>
    <t>MYERS DARCY</t>
  </si>
  <si>
    <t>PRIORITY FIN'L NTWK</t>
  </si>
  <si>
    <t>CALABASAS CA 91302</t>
  </si>
  <si>
    <t>JARED M HOLMES</t>
  </si>
  <si>
    <t>SARAH J HOLMES</t>
  </si>
  <si>
    <t>MISENHIMER</t>
  </si>
  <si>
    <t>JOHNNY MISENHIMER</t>
  </si>
  <si>
    <t xml:space="preserve">17733 W CORRINE DR </t>
  </si>
  <si>
    <t>MISENHIMER JOHNNY N</t>
  </si>
  <si>
    <t>JACQUELLA</t>
  </si>
  <si>
    <t>BRYAN &amp; JACQUELLA EVANS</t>
  </si>
  <si>
    <t xml:space="preserve">2385 N 156TH DR </t>
  </si>
  <si>
    <t>EVANS BRYAN K SR &amp; JACQUELLA M</t>
  </si>
  <si>
    <t>KRASSOWSKI</t>
  </si>
  <si>
    <t>SHAWNNETTE</t>
  </si>
  <si>
    <t>STEPHEN &amp; SHAWNNETTE KRASSOWSKI</t>
  </si>
  <si>
    <t xml:space="preserve">15261 N 143RD AVE </t>
  </si>
  <si>
    <t>CHESNEY RONALD S &amp; REBEKAH S</t>
  </si>
  <si>
    <t>KRASSOWSKI STEPHEN P &amp; SHAWNN</t>
  </si>
  <si>
    <t>FOLI</t>
  </si>
  <si>
    <t>BRYAN &amp; MICHELLE FOLI</t>
  </si>
  <si>
    <t xml:space="preserve">15916 W PORT AU PRINCE LN </t>
  </si>
  <si>
    <t>LEGACY PARC PARCEL B</t>
  </si>
  <si>
    <t>FOLI BRYAN &amp; MICHELLE</t>
  </si>
  <si>
    <t>GASPARETTI</t>
  </si>
  <si>
    <t>CETTINA</t>
  </si>
  <si>
    <t>MICHAEL &amp; CETTINA GASPARETTI</t>
  </si>
  <si>
    <t xml:space="preserve">4121 E FIRESTONE DR </t>
  </si>
  <si>
    <t>PARKER BRADLEY A</t>
  </si>
  <si>
    <t>GASPARETTI MICHAEL L &amp; CETTINA</t>
  </si>
  <si>
    <t>SPIGEL</t>
  </si>
  <si>
    <t>JOHNA</t>
  </si>
  <si>
    <t>MATTHEW &amp; JOHNA SPIGEL</t>
  </si>
  <si>
    <t xml:space="preserve">4278 E BLUE SAGE CT </t>
  </si>
  <si>
    <t>POWER RANCH NEIGHBORHOOD 7 PHASE 1</t>
  </si>
  <si>
    <t>HAUGARTH DANIEL R</t>
  </si>
  <si>
    <t>SPIGEL MATTHEW</t>
  </si>
  <si>
    <t>GUTTIERRES</t>
  </si>
  <si>
    <t>JOSE &amp; MARIA GUTTIERRES</t>
  </si>
  <si>
    <t xml:space="preserve">4240 N LOMOND </t>
  </si>
  <si>
    <t>PARCEL 6 AT RED MOUNTAIN RANCH LOT 1-164</t>
  </si>
  <si>
    <t>JACOBSON ROBERT H</t>
  </si>
  <si>
    <t>GUTTIERRES JOSE A C &amp; MARIA N L</t>
  </si>
  <si>
    <t>C GUTTIER ANTONIO</t>
  </si>
  <si>
    <t>MARIA ANTONIO</t>
  </si>
  <si>
    <t>COLN WILLIAM A III LIVING TRUS</t>
  </si>
  <si>
    <t>A COLNWILLIAM</t>
  </si>
  <si>
    <t xml:space="preserve">36410 N ROMPING RD </t>
  </si>
  <si>
    <t xml:space="preserve">PO BOX 3315 </t>
  </si>
  <si>
    <t>CAREFREE ROLLING HILLS 2</t>
  </si>
  <si>
    <t>HYLAND KRISTINE K</t>
  </si>
  <si>
    <t>COLN WILLIAM A</t>
  </si>
  <si>
    <t>DELTA COMMUNITY CU</t>
  </si>
  <si>
    <t>COLN III WILLIAM A</t>
  </si>
  <si>
    <t>RYAN ALEXANDER</t>
  </si>
  <si>
    <t xml:space="preserve">24785 W WEDGEWOOD AVE </t>
  </si>
  <si>
    <t>BARON</t>
  </si>
  <si>
    <t>NIKITA BARON</t>
  </si>
  <si>
    <t xml:space="preserve">14912 W HONEYSUCKLE LN </t>
  </si>
  <si>
    <t xml:space="preserve">17608 N MELISSA LN </t>
  </si>
  <si>
    <t>KINGSWOOD PARKE PHASE ONE PARCELS 4 AND</t>
  </si>
  <si>
    <t>BLAESER JODIE &amp; S P TRUST</t>
  </si>
  <si>
    <t>MEYERS JAMES</t>
  </si>
  <si>
    <t>WILLIAM &amp; BERTHA STOUT</t>
  </si>
  <si>
    <t xml:space="preserve">22546 W MORNING GLORY ST </t>
  </si>
  <si>
    <t>STOUT WILLIAM M &amp; BERTHA A</t>
  </si>
  <si>
    <t>DALE SCHULZE</t>
  </si>
  <si>
    <t xml:space="preserve">2977 E MEGAN ST </t>
  </si>
  <si>
    <t>SCHULZE DALE</t>
  </si>
  <si>
    <t>HILDA &amp; JOHN BAKER</t>
  </si>
  <si>
    <t xml:space="preserve">3018 E MEADOWVIEW DR </t>
  </si>
  <si>
    <t>MCQUILLEN JOSEPH P</t>
  </si>
  <si>
    <t>BAKER JOHN J</t>
  </si>
  <si>
    <t>QUIRKE</t>
  </si>
  <si>
    <t>JEREMIAH QUIRKE</t>
  </si>
  <si>
    <t xml:space="preserve">2632 E TORREY PINES LN </t>
  </si>
  <si>
    <t>COOPER COMMONS 3 PARCEL 11</t>
  </si>
  <si>
    <t>SHEPELAK STEPHEN</t>
  </si>
  <si>
    <t>QUIRKE JEREMIAH</t>
  </si>
  <si>
    <t>LAWRENCE &amp; DIANE ELLISON</t>
  </si>
  <si>
    <t xml:space="preserve">4633 E LAVENDER LN </t>
  </si>
  <si>
    <t>SILVER CREEK</t>
  </si>
  <si>
    <t>TAYLOR DIANE</t>
  </si>
  <si>
    <t>ELLISON LAWRENCE</t>
  </si>
  <si>
    <t>KARREN</t>
  </si>
  <si>
    <t>SCHAEFFER</t>
  </si>
  <si>
    <t>KARREN &amp; GINGER SCHAEFFER</t>
  </si>
  <si>
    <t xml:space="preserve">21252 E RUSSET RD </t>
  </si>
  <si>
    <t>SCHAEFFER DARREN &amp; GINGER A</t>
  </si>
  <si>
    <t>CUSTODIO</t>
  </si>
  <si>
    <t>EDWARD &amp; PAMELA CUSTODIO</t>
  </si>
  <si>
    <t xml:space="preserve">18352 W YOUNG ST </t>
  </si>
  <si>
    <t>HUCKLEBERRY ROBERT J</t>
  </si>
  <si>
    <t>CUSTODIO EDWARD JR</t>
  </si>
  <si>
    <t>PETOCK</t>
  </si>
  <si>
    <t>GEORGE &amp; NANCY PETOCK</t>
  </si>
  <si>
    <t xml:space="preserve">10932 W ORANGEWOOD AVE </t>
  </si>
  <si>
    <t>COUNTRY MEADOWS UNIT 10 CORR</t>
  </si>
  <si>
    <t>MCKEE DEBORA K</t>
  </si>
  <si>
    <t>GEORGE M PETOCK</t>
  </si>
  <si>
    <t>NANCY E PETOCK</t>
  </si>
  <si>
    <t>MARIE &amp; MARIE CHASE</t>
  </si>
  <si>
    <t xml:space="preserve">2031 W SCHELL DR </t>
  </si>
  <si>
    <t>VILLAGE MEADOWS 9</t>
  </si>
  <si>
    <t>ANDERSON TYLER</t>
  </si>
  <si>
    <t>VERNON C THOMPSON</t>
  </si>
  <si>
    <t>CHELSEA M THOMPSON</t>
  </si>
  <si>
    <t>ELVA</t>
  </si>
  <si>
    <t>THOMPSON &amp; ELVA JEAN</t>
  </si>
  <si>
    <t xml:space="preserve">1330 S LOS GATOS LN </t>
  </si>
  <si>
    <t>DUMLAO ANJANETTE R</t>
  </si>
  <si>
    <t>THOMPSON JOHN</t>
  </si>
  <si>
    <t>DUPEYRON</t>
  </si>
  <si>
    <t>FLORENTINA</t>
  </si>
  <si>
    <t>JORGE &amp; FLORENTINA DUPEYRON</t>
  </si>
  <si>
    <t xml:space="preserve">8320 N 56TH LN </t>
  </si>
  <si>
    <t>PARADISE VISTAS</t>
  </si>
  <si>
    <t>MCALEXANDER DEBORAH A</t>
  </si>
  <si>
    <t>DUPEYRON JORGE E &amp; FLORENTINA B</t>
  </si>
  <si>
    <t>DAVID &amp; REBECCA SANDOVAL</t>
  </si>
  <si>
    <t xml:space="preserve">2205 S 107TH DR </t>
  </si>
  <si>
    <t>SANCTUARY AT AVONDALE PARCELS 2 AND 4</t>
  </si>
  <si>
    <t>BUCKLEY ZACHARIAH A &amp; JACQUE</t>
  </si>
  <si>
    <t>SANDOVAL DAVID &amp; REBECCA</t>
  </si>
  <si>
    <t>GARCIA SYLVIA</t>
  </si>
  <si>
    <t>STEWARD</t>
  </si>
  <si>
    <t>NORMAN &amp; JANET STEWARD</t>
  </si>
  <si>
    <t xml:space="preserve">929 E GEORGIA AVE </t>
  </si>
  <si>
    <t>KOSS AHARON</t>
  </si>
  <si>
    <t>STEWARD NORMAN L &amp; JANET L</t>
  </si>
  <si>
    <t>PARIS</t>
  </si>
  <si>
    <t>DUANE PARIS</t>
  </si>
  <si>
    <t xml:space="preserve">3021 W POLLACK ST </t>
  </si>
  <si>
    <t>3021 POLLACK LLC</t>
  </si>
  <si>
    <t>PARIS DUANE</t>
  </si>
  <si>
    <t>ANTONIO GUERRERO</t>
  </si>
  <si>
    <t xml:space="preserve">8417 W GARDENIA AVE </t>
  </si>
  <si>
    <t>RAM 1 LLC</t>
  </si>
  <si>
    <t>GUERRERO ANTONIO H</t>
  </si>
  <si>
    <t>DELORIS</t>
  </si>
  <si>
    <t>JAMES &amp; DELORIS COLLINS</t>
  </si>
  <si>
    <t xml:space="preserve">17375 E TEAL DR </t>
  </si>
  <si>
    <t>MORNINGSIDE AT LAKESIDE VILLAGE PHASE 2</t>
  </si>
  <si>
    <t>MORNINGSIDE AT LAKESIDE VILLAGE</t>
  </si>
  <si>
    <t>WHEELER WARREN A &amp; LILLIAN J</t>
  </si>
  <si>
    <t>COLLINS JAMES W &amp; DELORIS B</t>
  </si>
  <si>
    <t>PORTER JASON P &amp; AUTUMN BARBER FAMILY TRUST</t>
  </si>
  <si>
    <t>JASON PORTER &amp; AUTUMN BARBER</t>
  </si>
  <si>
    <t xml:space="preserve">5545 S CARDINAL ST </t>
  </si>
  <si>
    <t>WISZEZUR JOHN M</t>
  </si>
  <si>
    <t>PORTER JASON P</t>
  </si>
  <si>
    <t>JOHN &amp; LINDA SULLIVAN</t>
  </si>
  <si>
    <t xml:space="preserve">1703 E COMMONWEALTH CIR </t>
  </si>
  <si>
    <t>KUROPATWA STAN &amp; VIRGINIA A</t>
  </si>
  <si>
    <t>SULLIVAN JOHN M &amp; LINDA M</t>
  </si>
  <si>
    <t>FARGO</t>
  </si>
  <si>
    <t>FARGO &amp; BRENDA LYN</t>
  </si>
  <si>
    <t xml:space="preserve">23302 W PIMA ST </t>
  </si>
  <si>
    <t>PRINCE JASON C</t>
  </si>
  <si>
    <t>WILLIAM FARGO</t>
  </si>
  <si>
    <t>BRENDA L FARGO</t>
  </si>
  <si>
    <t>DAWN &amp; MICHAEL BARBER</t>
  </si>
  <si>
    <t xml:space="preserve">16626 W BADEN AVE </t>
  </si>
  <si>
    <t>HOLLINGSWORTH THOMAS E</t>
  </si>
  <si>
    <t>BARBER DAWN L &amp; MICHAEL A</t>
  </si>
  <si>
    <t>ALBERTO &amp; CANDICE RODRIGUEZ</t>
  </si>
  <si>
    <t xml:space="preserve">21012 S 194TH ST </t>
  </si>
  <si>
    <t>SUN VLY FARMS UN III RESULT/SU</t>
  </si>
  <si>
    <t>BLACK MICHAEL R</t>
  </si>
  <si>
    <t>RODRIGUEZ ALBERTO A</t>
  </si>
  <si>
    <t>CANDICE W RODRIGUEZ</t>
  </si>
  <si>
    <t>ALBERTO A RODRIGUEZ</t>
  </si>
  <si>
    <t>MACDONALD</t>
  </si>
  <si>
    <t>ANDREW MACDONALD</t>
  </si>
  <si>
    <t xml:space="preserve">9069 E WOOD DR </t>
  </si>
  <si>
    <t>RETREAT LOT 1-96 TRACT A-C</t>
  </si>
  <si>
    <t>THE RETREAT</t>
  </si>
  <si>
    <t>KOPP HOPE</t>
  </si>
  <si>
    <t>MACDONALD ANDREW R</t>
  </si>
  <si>
    <t>GOETHALS</t>
  </si>
  <si>
    <t>ALEJANDRA</t>
  </si>
  <si>
    <t>JAMES &amp; ALEJANDRA GOETHALS</t>
  </si>
  <si>
    <t xml:space="preserve">19641 S MCQUEEN RD </t>
  </si>
  <si>
    <t>PACKAGE</t>
  </si>
  <si>
    <t>HUNTER MATTHEW &amp; KARALI</t>
  </si>
  <si>
    <t>GOETHALS JAMES J</t>
  </si>
  <si>
    <t>BEHRENDT</t>
  </si>
  <si>
    <t>DOUGLAS &amp; JUDITH BEHRENDT</t>
  </si>
  <si>
    <t xml:space="preserve">45319 N 18TH ST </t>
  </si>
  <si>
    <t>QUINN LIVING TRUST</t>
  </si>
  <si>
    <t>BEHRENDT DOUGLAS J &amp; JUDITH A</t>
  </si>
  <si>
    <t>DEBOER TRUST</t>
  </si>
  <si>
    <t>DEBOER</t>
  </si>
  <si>
    <t xml:space="preserve">23350 S 201ST ST </t>
  </si>
  <si>
    <t>MERRILL SCOTT C</t>
  </si>
  <si>
    <t>DEBOER JOHN J</t>
  </si>
  <si>
    <t>RACHEL &amp; CLARK OBRIEN</t>
  </si>
  <si>
    <t xml:space="preserve">36437 N BOULDER VIEW DR </t>
  </si>
  <si>
    <t>BOULDER HEIGHTS</t>
  </si>
  <si>
    <t>LOEB JAMES R &amp; JESSICA G</t>
  </si>
  <si>
    <t>OBRIEN RACHEL &amp; CLARK</t>
  </si>
  <si>
    <t>DANIEL &amp; ERIKA MCDONALD</t>
  </si>
  <si>
    <t xml:space="preserve">40534 N CROSS TIMBERS TRL </t>
  </si>
  <si>
    <t>GALLEGOS MICHAEL &amp; TRINA</t>
  </si>
  <si>
    <t>MCDONALD DANIEL L &amp; ERIKA M</t>
  </si>
  <si>
    <t>EDDIE &amp; CHRISTINE GARCIA</t>
  </si>
  <si>
    <t xml:space="preserve">42014 N MOSS SPRINGS RD </t>
  </si>
  <si>
    <t>MONAGHAN TOM O &amp; ROSE M</t>
  </si>
  <si>
    <t>GARCIA EDDIE &amp; CHRISTINE S</t>
  </si>
  <si>
    <t>CHARLES &amp; SHERRI SMITH</t>
  </si>
  <si>
    <t xml:space="preserve">4114 E FOX ST </t>
  </si>
  <si>
    <t>PRATT ROYAL</t>
  </si>
  <si>
    <t>NATIONS CHOICE MTG</t>
  </si>
  <si>
    <t>GILBERT AZ 85204</t>
  </si>
  <si>
    <t>CHARLES E SMITH</t>
  </si>
  <si>
    <t>SHERRI L SMITH</t>
  </si>
  <si>
    <t>ROWTON</t>
  </si>
  <si>
    <t>PETER &amp; HEATHER ROWTON</t>
  </si>
  <si>
    <t xml:space="preserve">2727 E VIA DEL ARBOLES </t>
  </si>
  <si>
    <t>GREENFIELD GLEN</t>
  </si>
  <si>
    <t>SCHLAX TIMOTHY R &amp; K L TRUST</t>
  </si>
  <si>
    <t>ROWTON PETER A &amp; HEATHER B</t>
  </si>
  <si>
    <t>TERRELL COLEMAN</t>
  </si>
  <si>
    <t xml:space="preserve">7374 E LA JUNTA RD </t>
  </si>
  <si>
    <t>SANTUARIO</t>
  </si>
  <si>
    <t>MARTINELL TIMOTHY E</t>
  </si>
  <si>
    <t>COLEMAN TERRELL G</t>
  </si>
  <si>
    <t>CHILTON</t>
  </si>
  <si>
    <t>CLYDE &amp; PHYLLIS CHILTON</t>
  </si>
  <si>
    <t xml:space="preserve">4430 E DES MOINES ST </t>
  </si>
  <si>
    <t>GOOCH JOSEPH E TRUST</t>
  </si>
  <si>
    <t>CHILTON PHYLLIS</t>
  </si>
  <si>
    <t>STEFFLER</t>
  </si>
  <si>
    <t>DONALD &amp; MARIE STEFFLER</t>
  </si>
  <si>
    <t xml:space="preserve">14624 W HEDGEHOG PL </t>
  </si>
  <si>
    <t>SCHERER TERRANCE A &amp; LINDA F</t>
  </si>
  <si>
    <t>STEFFLER DONALD &amp; MARIE M</t>
  </si>
  <si>
    <t>MCARTOR</t>
  </si>
  <si>
    <t>WESTON &amp; LISA MCARTOR</t>
  </si>
  <si>
    <t xml:space="preserve">5100 E CLOUD RD </t>
  </si>
  <si>
    <t>CORRIGAN PAMELA A</t>
  </si>
  <si>
    <t>MCARTOR WESTON D &amp; LISA K</t>
  </si>
  <si>
    <t>RIGG</t>
  </si>
  <si>
    <t>JOHN &amp; JENNIFER RIGG</t>
  </si>
  <si>
    <t xml:space="preserve">9854 E ROSEMARY LN </t>
  </si>
  <si>
    <t>HORSEMAN'S PARK VARIOUS LOTS</t>
  </si>
  <si>
    <t>HORSEMANS PARK</t>
  </si>
  <si>
    <t>ONEILL LINDA S</t>
  </si>
  <si>
    <t>RIGG JOHN P</t>
  </si>
  <si>
    <t>BLAINE-SCHUMACHER</t>
  </si>
  <si>
    <t>THOMAS &amp; BLAINE-SCHUMACHER SCHUMACHER</t>
  </si>
  <si>
    <t xml:space="preserve">1238 S BRENTWOOD CT </t>
  </si>
  <si>
    <t>SCHUMACHER THOMAS D</t>
  </si>
  <si>
    <t>BLAINE-SCHUMACHER ELIZABETH A</t>
  </si>
  <si>
    <t>FOUNTAIN</t>
  </si>
  <si>
    <t>FOUNTAIN &amp; JOHN ALVIN</t>
  </si>
  <si>
    <t xml:space="preserve">18399 W PARADISE LN </t>
  </si>
  <si>
    <t>FOUNTAIN ANGELA D &amp; JOHN A</t>
  </si>
  <si>
    <t>DAVID BARRIENTES</t>
  </si>
  <si>
    <t xml:space="preserve">4032 S SKYLINE CT </t>
  </si>
  <si>
    <t>TRACY ROBERT J</t>
  </si>
  <si>
    <t>BARRIENTES DAVID</t>
  </si>
  <si>
    <t>BRYAN &amp; MICHELLE GARCIA</t>
  </si>
  <si>
    <t xml:space="preserve">2110 E MARQUETTE DR </t>
  </si>
  <si>
    <t>DISCOVERY AT VAL VISTA LAKES LOT 1-115 A</t>
  </si>
  <si>
    <t>DISCOVERY AT VAL VISTA LAKES</t>
  </si>
  <si>
    <t>GARCIA BRYAN A</t>
  </si>
  <si>
    <t>MARLEY</t>
  </si>
  <si>
    <t>MARLEY &amp; KRISTIN MAE</t>
  </si>
  <si>
    <t xml:space="preserve">1298 S MONTEREY ST </t>
  </si>
  <si>
    <t>DAVE BROWN COUNTRY ESTATES 2</t>
  </si>
  <si>
    <t>KRUEGER ANN-MARIE</t>
  </si>
  <si>
    <t>MARLEY JASON R &amp; KRISTIN M</t>
  </si>
  <si>
    <t>HONEA</t>
  </si>
  <si>
    <t>JENNIFER &amp; DONALD HONEA</t>
  </si>
  <si>
    <t xml:space="preserve">21353 S 213TH ST </t>
  </si>
  <si>
    <t>HONEA DONALD E &amp; JENNIFER A</t>
  </si>
  <si>
    <t>TUDOR FAMILY LIVING TRUST</t>
  </si>
  <si>
    <t>JERE</t>
  </si>
  <si>
    <t>TUDOR</t>
  </si>
  <si>
    <t xml:space="preserve">26830 N 66TH LN </t>
  </si>
  <si>
    <t>TCS TRUST</t>
  </si>
  <si>
    <t>TUDOR ALAN &amp; JERE</t>
  </si>
  <si>
    <t>ROURICK</t>
  </si>
  <si>
    <t>ROURICK &amp; KARRIE LYNN</t>
  </si>
  <si>
    <t xml:space="preserve">27050 N 175TH DR </t>
  </si>
  <si>
    <t>ROURICK JOHNNY W &amp; KARRIE L</t>
  </si>
  <si>
    <t>PAULINO</t>
  </si>
  <si>
    <t>MAY &amp; WILFRED PAULINO</t>
  </si>
  <si>
    <t xml:space="preserve">2319 W KACHINA TRL </t>
  </si>
  <si>
    <t>SOUTHERN HIGHLANDS AMD</t>
  </si>
  <si>
    <t>SOUTHERN HIGHLANDS</t>
  </si>
  <si>
    <t>GABLE JOHN W &amp; JUDITH A</t>
  </si>
  <si>
    <t>PAULINO MAY F</t>
  </si>
  <si>
    <t>PAULINO WILFRED</t>
  </si>
  <si>
    <t>CURTIS &amp; MICHELLE ROE</t>
  </si>
  <si>
    <t xml:space="preserve">2109 E SAN JUAN AVE </t>
  </si>
  <si>
    <t>GROVEMONT</t>
  </si>
  <si>
    <t>ROCKE WILLIAM J &amp; G TRUST</t>
  </si>
  <si>
    <t>ROE CURTIS &amp; MICHELLE L</t>
  </si>
  <si>
    <t>COOKEMBOO</t>
  </si>
  <si>
    <t>ORAN</t>
  </si>
  <si>
    <t>SHERRY &amp; ORAN COOKEMBOO</t>
  </si>
  <si>
    <t xml:space="preserve">4253 E DESERT LN </t>
  </si>
  <si>
    <t>MAUGHAN VALERIE L</t>
  </si>
  <si>
    <t>COOKEMBOO SHERRY A &amp; ORAN R</t>
  </si>
  <si>
    <t>HIGLEY</t>
  </si>
  <si>
    <t>RANDY HIGLEY</t>
  </si>
  <si>
    <t xml:space="preserve">3946 E REMINGTON DR </t>
  </si>
  <si>
    <t>SAN TAN RANCH PARCEL 14</t>
  </si>
  <si>
    <t>SCHUMACHER THEODORE J</t>
  </si>
  <si>
    <t>EDWARD DIAZ</t>
  </si>
  <si>
    <t xml:space="preserve">23643 N 22ND WAY </t>
  </si>
  <si>
    <t>DIAZ EDWARD</t>
  </si>
  <si>
    <t>BARBARA D OSTER TRUST &amp; ANTHONY J OSTER TRUST</t>
  </si>
  <si>
    <t>BARBARA OSTER</t>
  </si>
  <si>
    <t xml:space="preserve">12484 W FETLOCK TRL </t>
  </si>
  <si>
    <t>DESERT BLOOM AT TRILOGY AT VISTANCIA PAR</t>
  </si>
  <si>
    <t>DESERT BLOOM AT TRILOGY AT VISTANCIA</t>
  </si>
  <si>
    <t>BURGESS DAVID &amp; REBECCA TRUST</t>
  </si>
  <si>
    <t>OSTER ANTHONY J &amp; BARBARA D</t>
  </si>
  <si>
    <t>PRADO</t>
  </si>
  <si>
    <t>MICHAEL &amp; MARGARITA PRADO</t>
  </si>
  <si>
    <t xml:space="preserve">8530 N 45TH DR </t>
  </si>
  <si>
    <t>PRADO LIVING TRUST</t>
  </si>
  <si>
    <t>PRADO SR MICHAEL</t>
  </si>
  <si>
    <t>PRADO MARGARITA A</t>
  </si>
  <si>
    <t>COSTEPHENS</t>
  </si>
  <si>
    <t>KYLE &amp; NATALIE COSTEPHENS</t>
  </si>
  <si>
    <t xml:space="preserve">15760 W DESERT MIRAGE DR </t>
  </si>
  <si>
    <t>FAME SAINT AMERICA</t>
  </si>
  <si>
    <t>COSTEPHENS KYLE C</t>
  </si>
  <si>
    <t>COSTEPHENS NATALIE M &amp; KYLE C</t>
  </si>
  <si>
    <t>KENYON</t>
  </si>
  <si>
    <t>DAVID NELSON &amp; KATHLEEN KENYON</t>
  </si>
  <si>
    <t xml:space="preserve">18453 W CARIBBEAN LN </t>
  </si>
  <si>
    <t xml:space="preserve">13746 W LISBON LN </t>
  </si>
  <si>
    <t>AL MAR LIMBING LTD</t>
  </si>
  <si>
    <t>NELSON DAVID L</t>
  </si>
  <si>
    <t>CARL &amp; PATRICIA LANE</t>
  </si>
  <si>
    <t xml:space="preserve">3875 E SIERRA MADRE AVE </t>
  </si>
  <si>
    <t>OWEN APRIL L</t>
  </si>
  <si>
    <t>LANE CARL L &amp; PATRICIA L</t>
  </si>
  <si>
    <t>CHRISTOPHER CARRILLO</t>
  </si>
  <si>
    <t xml:space="preserve">18132 W BRIDGER ST </t>
  </si>
  <si>
    <t>CARRILLO CHRISTOPHER J</t>
  </si>
  <si>
    <t>WIMMER</t>
  </si>
  <si>
    <t>STEPHEN MURPHY &amp; MARY WIMMER</t>
  </si>
  <si>
    <t xml:space="preserve">1301 E DIANA AVE </t>
  </si>
  <si>
    <t>OCOTILLO HILLS 6</t>
  </si>
  <si>
    <t>OCOTILLO HILLS SOUTH</t>
  </si>
  <si>
    <t>VICK SCOTT</t>
  </si>
  <si>
    <t>MURPHY STEPHEN D</t>
  </si>
  <si>
    <t>WIMMER MARY B</t>
  </si>
  <si>
    <t>KURT &amp; CAROLINE LANDRY</t>
  </si>
  <si>
    <t xml:space="preserve">3640 W DUBLIN ST </t>
  </si>
  <si>
    <t>GUNDAPPA BHAGYASHREE</t>
  </si>
  <si>
    <t>LANDRY KURT P &amp; CAROLINE</t>
  </si>
  <si>
    <t>DELANE</t>
  </si>
  <si>
    <t>DELANE PATTERSON</t>
  </si>
  <si>
    <t xml:space="preserve">11970 W VILLA CHULA LN </t>
  </si>
  <si>
    <t>FRYER CHRISTOPHER D</t>
  </si>
  <si>
    <t>PATTERSON DELANE D</t>
  </si>
  <si>
    <t>KOHUES</t>
  </si>
  <si>
    <t>DOROTHY KOHUES</t>
  </si>
  <si>
    <t xml:space="preserve">8343 W ROCKWOOD DR </t>
  </si>
  <si>
    <t>TORREY PINES PHASE 2 AT WESTBROOK VILLAG</t>
  </si>
  <si>
    <t>CHABIRA LOUIS S</t>
  </si>
  <si>
    <t>KOHUES DOROTHY</t>
  </si>
  <si>
    <t>MARABETH</t>
  </si>
  <si>
    <t>JEFFREY &amp; MARABETH STEPHENS</t>
  </si>
  <si>
    <t xml:space="preserve">2817 E GARY WAY </t>
  </si>
  <si>
    <t>HIGHLINE GROVES</t>
  </si>
  <si>
    <t>MCMILLIAN FAMILY LIVING TRUST</t>
  </si>
  <si>
    <t>STEPHENS JEFFREY P &amp; MARABETH A</t>
  </si>
  <si>
    <t>LARRY MOLINA</t>
  </si>
  <si>
    <t xml:space="preserve">18923 W AMELIA AVE </t>
  </si>
  <si>
    <t>RODRIGUEZ ALBERT</t>
  </si>
  <si>
    <t>MOLINA LARRY</t>
  </si>
  <si>
    <t>VANDONK</t>
  </si>
  <si>
    <t>VANDONK &amp; TAMMY ANNETTE</t>
  </si>
  <si>
    <t xml:space="preserve">14705 E PEAK VIEW RD </t>
  </si>
  <si>
    <t>VANDONK PETER &amp; TAMMY ANNETTE</t>
  </si>
  <si>
    <t>BRANSON</t>
  </si>
  <si>
    <t>JADE</t>
  </si>
  <si>
    <t>BRANSON &amp; KIMBERLY JADE</t>
  </si>
  <si>
    <t xml:space="preserve">13918 E VISTA VERDE DR </t>
  </si>
  <si>
    <t>BRANSON WALTER ELILAH &amp; KIMBE</t>
  </si>
  <si>
    <t>BRANSON WALTER E &amp; KIMBERLY J</t>
  </si>
  <si>
    <t xml:space="preserve">5808 W DEL LAGO CIR </t>
  </si>
  <si>
    <t>HAMILTON ARROWHEAD RANCH LOT 1-75 TR A-D</t>
  </si>
  <si>
    <t>DEL LAGO CIRCLE</t>
  </si>
  <si>
    <t>CEROW DARCY A</t>
  </si>
  <si>
    <t>BROWN GEORGE W &amp; SANDRA C</t>
  </si>
  <si>
    <t>PAUL WEAVER</t>
  </si>
  <si>
    <t xml:space="preserve">5090 S PINALENO PL </t>
  </si>
  <si>
    <t>BARCELONA AT VALENCIA 2</t>
  </si>
  <si>
    <t>PAUL J WEAVER</t>
  </si>
  <si>
    <t>BRUETSCH</t>
  </si>
  <si>
    <t>JOHN BRUETSCH</t>
  </si>
  <si>
    <t xml:space="preserve">16215 N 11TH PL </t>
  </si>
  <si>
    <t>BECK CHARLES E</t>
  </si>
  <si>
    <t>BRUETSCH JOHN</t>
  </si>
  <si>
    <t>BRANNAN</t>
  </si>
  <si>
    <t>JEFFREY &amp; THERESE BRANNAN</t>
  </si>
  <si>
    <t xml:space="preserve">16784 W MORELAND ST </t>
  </si>
  <si>
    <t>BRANNAN JEFFREY &amp; THERESE</t>
  </si>
  <si>
    <t>SPOHR</t>
  </si>
  <si>
    <t>HERBERT SPOHR &amp; DALE ARNOLD</t>
  </si>
  <si>
    <t xml:space="preserve">16230 N SAKI DR </t>
  </si>
  <si>
    <t>KNAPP THOMAS &amp; SUSAN</t>
  </si>
  <si>
    <t>SPOHR HERBERT J</t>
  </si>
  <si>
    <t>ARNOLD DALE L</t>
  </si>
  <si>
    <t>RICHARD &amp; DEBRA JONES</t>
  </si>
  <si>
    <t xml:space="preserve">11201 N 37TH AVE </t>
  </si>
  <si>
    <t>MELROSE GARDENS NW UNIT 2</t>
  </si>
  <si>
    <t>LEGADO PARTNERS LLC</t>
  </si>
  <si>
    <t>JONES RICHARD P &amp; DEBRA J</t>
  </si>
  <si>
    <t>JON &amp; ASHLEY LEITCH</t>
  </si>
  <si>
    <t xml:space="preserve">10215 N 185TH LN </t>
  </si>
  <si>
    <t>LEITCH JON R</t>
  </si>
  <si>
    <t>FULLER</t>
  </si>
  <si>
    <t>DANNY FULLER</t>
  </si>
  <si>
    <t xml:space="preserve">1060 E 2ND PL </t>
  </si>
  <si>
    <t>SUBURBAN GARDENS 2</t>
  </si>
  <si>
    <t>SUBURBAN GARDENS</t>
  </si>
  <si>
    <t>GIPSON MICHAEL D</t>
  </si>
  <si>
    <t>FULLER DANNY R</t>
  </si>
  <si>
    <t>MARC HOWARD</t>
  </si>
  <si>
    <t xml:space="preserve">2505 W BLOCH RD </t>
  </si>
  <si>
    <t>WESTON PARK UNIT 2</t>
  </si>
  <si>
    <t>WESTON PARK</t>
  </si>
  <si>
    <t>CARTER CARL N &amp; MICHELLE</t>
  </si>
  <si>
    <t>MARC A HOWARD</t>
  </si>
  <si>
    <t>MOSELY</t>
  </si>
  <si>
    <t>MOSELY &amp; MOSELY FLEMING</t>
  </si>
  <si>
    <t xml:space="preserve">15623 W IRONWOOD ST </t>
  </si>
  <si>
    <t>HOYT EUGENE</t>
  </si>
  <si>
    <t>MOSELY CAROL &amp; FLEMING</t>
  </si>
  <si>
    <t>PAUL BARONE</t>
  </si>
  <si>
    <t xml:space="preserve">9808 E KNOWLES AVE </t>
  </si>
  <si>
    <t>RAMIREZ WILLIAM</t>
  </si>
  <si>
    <t>BARONE PAUL J</t>
  </si>
  <si>
    <t>LAKISTA</t>
  </si>
  <si>
    <t>ANDRES &amp; LAKISTA REYES</t>
  </si>
  <si>
    <t xml:space="preserve">8787 W LAUREL LN </t>
  </si>
  <si>
    <t>JENKINS DAVID &amp; CYNTHIA</t>
  </si>
  <si>
    <t>REYES ANDRES &amp; LAKISTA</t>
  </si>
  <si>
    <t>ANDREW CHAMBERS</t>
  </si>
  <si>
    <t xml:space="preserve">8918 E PLANA AVE #173 </t>
  </si>
  <si>
    <t xml:space="preserve">8918 E PLANA AVE </t>
  </si>
  <si>
    <t>ARIZONA ACQUISITION FUND C</t>
  </si>
  <si>
    <t>CHAMBERS ANDREW D</t>
  </si>
  <si>
    <t>DAIGLE</t>
  </si>
  <si>
    <t>SCOTT &amp; ERIKA DAIGLE</t>
  </si>
  <si>
    <t xml:space="preserve">7207 W IRMA LN </t>
  </si>
  <si>
    <t>VALENCIA 2</t>
  </si>
  <si>
    <t>VALENCIA II</t>
  </si>
  <si>
    <t>BOWERS JUSTIN S &amp; MELISSA L</t>
  </si>
  <si>
    <t>DAIGLE SCOTT E &amp; ERIKA</t>
  </si>
  <si>
    <t>KEMP</t>
  </si>
  <si>
    <t>BREANA</t>
  </si>
  <si>
    <t>ANDREW &amp; BREANA KEMP</t>
  </si>
  <si>
    <t xml:space="preserve">16187 N 158TH DR </t>
  </si>
  <si>
    <t>MOUNTAIN VISTA RANCH PARCEL 8</t>
  </si>
  <si>
    <t>CLARK TERRY L TRUST</t>
  </si>
  <si>
    <t>KEMP ANDREW A &amp; BREANA L</t>
  </si>
  <si>
    <t>DAVID &amp; AMBER PIERSON</t>
  </si>
  <si>
    <t xml:space="preserve">6127 W RIVIERA DR </t>
  </si>
  <si>
    <t>COPPERWOOD UNIT 2 LOT 83-198</t>
  </si>
  <si>
    <t>COPPERWOOD</t>
  </si>
  <si>
    <t>PIERSON DAVID &amp; AMBER</t>
  </si>
  <si>
    <t>SUSAN BROOKS</t>
  </si>
  <si>
    <t xml:space="preserve">7365 W DESERT LN </t>
  </si>
  <si>
    <t>LAVEEN MEADOWS PARCEL 3</t>
  </si>
  <si>
    <t>PRESERVE AT LAVEEN MEADOWS</t>
  </si>
  <si>
    <t>CALDWELL SCOTT</t>
  </si>
  <si>
    <t>SUSAN E BROOKS</t>
  </si>
  <si>
    <t>MICHAEL GOODMAN</t>
  </si>
  <si>
    <t xml:space="preserve">11634 N 149TH DR </t>
  </si>
  <si>
    <t>OLTMAN JEREMY R &amp; JENNIFER A</t>
  </si>
  <si>
    <t>CAVINESS</t>
  </si>
  <si>
    <t>MITCHELL &amp; NADINE CAVINESS</t>
  </si>
  <si>
    <t xml:space="preserve">18048 W TECOMA RD </t>
  </si>
  <si>
    <t>SLOMSKI SHEILA</t>
  </si>
  <si>
    <t>MITCHELL D CAVINESS</t>
  </si>
  <si>
    <t>NADINE D CAVINESS</t>
  </si>
  <si>
    <t>BELEN</t>
  </si>
  <si>
    <t>LYNN &amp; BELEN BOYD</t>
  </si>
  <si>
    <t xml:space="preserve">4921 N 111TH LN </t>
  </si>
  <si>
    <t>H091</t>
  </si>
  <si>
    <t>CAMELBACK RANCH UNIT 1</t>
  </si>
  <si>
    <t>NEWLON NOEL P</t>
  </si>
  <si>
    <t>LYNN BOYD</t>
  </si>
  <si>
    <t>BELEN BOYD</t>
  </si>
  <si>
    <t>JAMES GIBSON</t>
  </si>
  <si>
    <t xml:space="preserve">12602 W CAMBRIDGE AVE </t>
  </si>
  <si>
    <t>CASITAS AT RANCHO SANTA FE</t>
  </si>
  <si>
    <t>CASITAS I</t>
  </si>
  <si>
    <t>HOOPER REALTY INVS LLC</t>
  </si>
  <si>
    <t>GIBSON JAMES A</t>
  </si>
  <si>
    <t>MISTY &amp; JOEL PAGAN</t>
  </si>
  <si>
    <t xml:space="preserve">11100 S OBISPO DR </t>
  </si>
  <si>
    <t>CORCORAN BRIAN</t>
  </si>
  <si>
    <t>JOEL SR PAGAN</t>
  </si>
  <si>
    <t>MISTY L PAGAN</t>
  </si>
  <si>
    <t>EVERS</t>
  </si>
  <si>
    <t>LYDA</t>
  </si>
  <si>
    <t>JOHN &amp; LYDA EVERS</t>
  </si>
  <si>
    <t xml:space="preserve">2975 N 152ND LN </t>
  </si>
  <si>
    <t>FOWLER ADELINE M FAMILY TRUST</t>
  </si>
  <si>
    <t>EVERS JOHN W &amp; LYDA M</t>
  </si>
  <si>
    <t>BRAVO</t>
  </si>
  <si>
    <t>FREDERICK &amp; EVELYN BRAVO</t>
  </si>
  <si>
    <t xml:space="preserve">8943 W OCOTILLO RD </t>
  </si>
  <si>
    <t>ELDRIDGE KIRK</t>
  </si>
  <si>
    <t>BRAVO FREDERICK &amp; EVELYN</t>
  </si>
  <si>
    <t>EDWARD TAYLOR</t>
  </si>
  <si>
    <t xml:space="preserve">3034 W BURGESS LN </t>
  </si>
  <si>
    <t>TAYLOR EDWARD L JR</t>
  </si>
  <si>
    <t>CUELLAR</t>
  </si>
  <si>
    <t>RICHARD &amp; SOCORRO CUELLAR</t>
  </si>
  <si>
    <t xml:space="preserve">11576 W MADISON ST </t>
  </si>
  <si>
    <t>MAIDA JONATHAN P</t>
  </si>
  <si>
    <t>CUELLAR RICHARD A</t>
  </si>
  <si>
    <t>ROUNDS</t>
  </si>
  <si>
    <t>JONATHAN ROUNDS</t>
  </si>
  <si>
    <t xml:space="preserve">2975 E HARWELL RD </t>
  </si>
  <si>
    <t>SCIVITTARO IGNAZIO &amp; MARIA P</t>
  </si>
  <si>
    <t>ALERUS MTG</t>
  </si>
  <si>
    <t>ROUNDS JONATHAN</t>
  </si>
  <si>
    <t>WAYLAND</t>
  </si>
  <si>
    <t>WAYLAND SMITH</t>
  </si>
  <si>
    <t xml:space="preserve">5362 E FORGE AVE </t>
  </si>
  <si>
    <t>EASTVIEW UNIT F LOT 323-357 TR A B</t>
  </si>
  <si>
    <t>HARRIS HOWARD J</t>
  </si>
  <si>
    <t>SMITH WAYLAND L</t>
  </si>
  <si>
    <t>MICHAEL &amp; HEATHER CAMERON</t>
  </si>
  <si>
    <t xml:space="preserve">15470 N 161ST AVE </t>
  </si>
  <si>
    <t>SAUNDERS DAVID</t>
  </si>
  <si>
    <t>CAMERON MICHAEL &amp; HEATHER</t>
  </si>
  <si>
    <t>WASTELL</t>
  </si>
  <si>
    <t>DOUGLAS WASTELL</t>
  </si>
  <si>
    <t xml:space="preserve">17640 W CORRINE DR </t>
  </si>
  <si>
    <t>OSOSKE 2006 FAMILY TRUST</t>
  </si>
  <si>
    <t>WASTELL DOUGLAS</t>
  </si>
  <si>
    <t>WILLIAM &amp; LUCINDA POWERS</t>
  </si>
  <si>
    <t xml:space="preserve">15832 W SHAW BUTTE DR </t>
  </si>
  <si>
    <t>POWERS WILLIAM &amp; LUCINDA</t>
  </si>
  <si>
    <t>LARRY &amp; TAMMY FRANCIS</t>
  </si>
  <si>
    <t xml:space="preserve">2046 E DOWNING ST </t>
  </si>
  <si>
    <t>PINE TREE TERRACE LOT 1-28 TR A</t>
  </si>
  <si>
    <t>PINE TREE TERRACE</t>
  </si>
  <si>
    <t>DIANICS JULI T</t>
  </si>
  <si>
    <t>FRANCIS LARRY B &amp; TAMMY J</t>
  </si>
  <si>
    <t>CRETHERS</t>
  </si>
  <si>
    <t>BRIAN CRETHERS</t>
  </si>
  <si>
    <t xml:space="preserve">3204 N ELLIS ST </t>
  </si>
  <si>
    <t>CARRIAGE LANE 8 LOT 240-406 &amp; TR A</t>
  </si>
  <si>
    <t>BRIAN M CRETHERS</t>
  </si>
  <si>
    <t>BRIAN &amp; LISA SAYLOR</t>
  </si>
  <si>
    <t xml:space="preserve">29007 N 124TH DR </t>
  </si>
  <si>
    <t>SAYLOR BRIAN M &amp; LISA M</t>
  </si>
  <si>
    <t>HEREDIA</t>
  </si>
  <si>
    <t>JOSE HEREDIA</t>
  </si>
  <si>
    <t xml:space="preserve">5805 S 129TH AVE </t>
  </si>
  <si>
    <t>SMART ROBERT L &amp; LINDA R</t>
  </si>
  <si>
    <t>HEREDIA JOSE L</t>
  </si>
  <si>
    <t>DECKER</t>
  </si>
  <si>
    <t>SAGER</t>
  </si>
  <si>
    <t>JOSEPH DECKER &amp; AMBER SAGER</t>
  </si>
  <si>
    <t xml:space="preserve">2523 E STOTTLER DR </t>
  </si>
  <si>
    <t>GREENFIELD LAKES PARCEL 3 UNIT 1</t>
  </si>
  <si>
    <t>MAHAR ROBERT W &amp; NANCI</t>
  </si>
  <si>
    <t>JOSEPH A DECKER</t>
  </si>
  <si>
    <t>AMBER R SAGER</t>
  </si>
  <si>
    <t>RANSOM</t>
  </si>
  <si>
    <t>CHARLES RANSOM &amp; VALERIE TUCKER</t>
  </si>
  <si>
    <t xml:space="preserve">5934 E FAIRFIELD ST </t>
  </si>
  <si>
    <t>ALTA MESA  5A LOT 1-127 TR A-D</t>
  </si>
  <si>
    <t>GARBERG ROBERT B &amp; DOLINA L</t>
  </si>
  <si>
    <t>RANSOM CHARLES EARL</t>
  </si>
  <si>
    <t>TUCKER VALERIE J</t>
  </si>
  <si>
    <t>BEDONI</t>
  </si>
  <si>
    <t>FREDSON</t>
  </si>
  <si>
    <t>CHRISTINE &amp; FREDSON BEDONI</t>
  </si>
  <si>
    <t xml:space="preserve">4122 W MAGDALENA LN </t>
  </si>
  <si>
    <t>BEDONI CHRISTINE &amp; FREDSON</t>
  </si>
  <si>
    <t>DAVID IRVINE</t>
  </si>
  <si>
    <t xml:space="preserve">2503 E FREMONT RD </t>
  </si>
  <si>
    <t>FAIRWAYS AT THE LEGACY UNIT 1 REPLAT</t>
  </si>
  <si>
    <t>FAIRWAYS AT THE LEGACY</t>
  </si>
  <si>
    <t>LOGSDON TIMOTHY A &amp; EILEEN R</t>
  </si>
  <si>
    <t>DAVID B IRVINE</t>
  </si>
  <si>
    <t>AQALA</t>
  </si>
  <si>
    <t>CURTIS &amp; CURTIS AQALA</t>
  </si>
  <si>
    <t xml:space="preserve">8932 E HANNIBAL ST </t>
  </si>
  <si>
    <t>PIERSON TRUANCE</t>
  </si>
  <si>
    <t>CURTIS JASON E</t>
  </si>
  <si>
    <t>SERENITY</t>
  </si>
  <si>
    <t>SERENITY SELLS</t>
  </si>
  <si>
    <t xml:space="preserve">5059 W CHICAGO CIR S </t>
  </si>
  <si>
    <t>TRADE WINDS AT TWELVE OAKS</t>
  </si>
  <si>
    <t>AUSTIN MORRIS</t>
  </si>
  <si>
    <t>SELLS SERENITY</t>
  </si>
  <si>
    <t>DELANEY</t>
  </si>
  <si>
    <t>PATRICK DELANEY</t>
  </si>
  <si>
    <t xml:space="preserve">2594 S SETON AVE </t>
  </si>
  <si>
    <t>BAUER MARTIN &amp; ANGELA</t>
  </si>
  <si>
    <t>DELANEY PATRICK M</t>
  </si>
  <si>
    <t>LEVETTA</t>
  </si>
  <si>
    <t>KENNETH &amp; LEVETTA DANIELS</t>
  </si>
  <si>
    <t xml:space="preserve">6907 S 71ST DR </t>
  </si>
  <si>
    <t>LAVEEN FARMS UNIT 3</t>
  </si>
  <si>
    <t>TRAILSIDE POINT KENSINGTON PLACE</t>
  </si>
  <si>
    <t>KNF INVESTMENTS LP</t>
  </si>
  <si>
    <t>DANIELS KENNETH</t>
  </si>
  <si>
    <t>ROURKE</t>
  </si>
  <si>
    <t>JAMES &amp; LOIS ROURKE</t>
  </si>
  <si>
    <t xml:space="preserve">5006 E MESQUITE WOOD CT </t>
  </si>
  <si>
    <t>AHWATUKEE RM 2 LOT 6351-6375</t>
  </si>
  <si>
    <t>GULLIFORD FAMILY TRUST</t>
  </si>
  <si>
    <t>ROURKE JAMES J</t>
  </si>
  <si>
    <t>WEIGHTMAN</t>
  </si>
  <si>
    <t>ERIC WEIGHTMAN</t>
  </si>
  <si>
    <t xml:space="preserve">4080 S BANDIT CT </t>
  </si>
  <si>
    <t>MERENA JOHN D</t>
  </si>
  <si>
    <t>WEIGHTMAN ERIC</t>
  </si>
  <si>
    <t>VICK</t>
  </si>
  <si>
    <t>ROBERT &amp; JEANNE VICK</t>
  </si>
  <si>
    <t xml:space="preserve">9235 W PALMER DR </t>
  </si>
  <si>
    <t>JOHNSON DONALD</t>
  </si>
  <si>
    <t>VICK ROBERT W &amp; JEANNE</t>
  </si>
  <si>
    <t>EARLY</t>
  </si>
  <si>
    <t>ALLEN EARLY</t>
  </si>
  <si>
    <t xml:space="preserve">1008 E ORCHID LN </t>
  </si>
  <si>
    <t xml:space="preserve">PO BOX 34712 </t>
  </si>
  <si>
    <t>NEW NORTHTOWN</t>
  </si>
  <si>
    <t>PARAGON ARIZONA LLC</t>
  </si>
  <si>
    <t>EARLY ALLEN P</t>
  </si>
  <si>
    <t>JASON LEONARD</t>
  </si>
  <si>
    <t xml:space="preserve">347 W LIBERTY LN </t>
  </si>
  <si>
    <t>COKER ERICA</t>
  </si>
  <si>
    <t>LEONARD JASON M</t>
  </si>
  <si>
    <t>TAYLOR RICHARDS &amp; ROSE KERNS</t>
  </si>
  <si>
    <t xml:space="preserve">10236 E CAPRI AVE </t>
  </si>
  <si>
    <t>WEST JAMES P &amp; HEATHER L</t>
  </si>
  <si>
    <t>RICHARDS TAYLOR MONROE</t>
  </si>
  <si>
    <t>KERNS ROSE TERESE</t>
  </si>
  <si>
    <t>SOTELLO-STEVENSON</t>
  </si>
  <si>
    <t>DARREN STEVENSON &amp; KENDRA SOTELLO-STEVENSON</t>
  </si>
  <si>
    <t xml:space="preserve">5326 N 124TH AVE </t>
  </si>
  <si>
    <t>DUFFY JEANNE C</t>
  </si>
  <si>
    <t>DARREN R STEVENSON</t>
  </si>
  <si>
    <t>KENDRA SOTELLO-STEVENSON</t>
  </si>
  <si>
    <t>CLINITE</t>
  </si>
  <si>
    <t>KERRY &amp; RENEE CLINITE</t>
  </si>
  <si>
    <t xml:space="preserve">1427 E BEACON DR </t>
  </si>
  <si>
    <t>WOCHNER R OF E GROUP LLC</t>
  </si>
  <si>
    <t>CLINITE KERRY M &amp; RENEE A</t>
  </si>
  <si>
    <t>MICHAEL &amp; AMY BILLIE</t>
  </si>
  <si>
    <t xml:space="preserve">9559 W ORCHID LN </t>
  </si>
  <si>
    <t>HETRICK ERIN J</t>
  </si>
  <si>
    <t>BILLIE MICHAEL</t>
  </si>
  <si>
    <t>JATAN</t>
  </si>
  <si>
    <t>NATHAN &amp; JATAN CLARK</t>
  </si>
  <si>
    <t xml:space="preserve">16535 W ROOSEVELT ST </t>
  </si>
  <si>
    <t>IONA PARTNERS LLC</t>
  </si>
  <si>
    <t>CLARK NATHAN &amp; JATAN</t>
  </si>
  <si>
    <t>VEARA</t>
  </si>
  <si>
    <t>BRIAN &amp; CYNTHIA VEARA</t>
  </si>
  <si>
    <t xml:space="preserve">18195 N COYOTE LAKES PKWY </t>
  </si>
  <si>
    <t>COYOTE LAKES UNIT 1 REPLAT NO 2</t>
  </si>
  <si>
    <t>NORLIN ANN C</t>
  </si>
  <si>
    <t>VEARA BRIAN L</t>
  </si>
  <si>
    <t>OJA</t>
  </si>
  <si>
    <t>JOHN &amp; JUANITA OJA</t>
  </si>
  <si>
    <t xml:space="preserve">15611 W POINSETTIA DR </t>
  </si>
  <si>
    <t>OJA JOHN J</t>
  </si>
  <si>
    <t>RAMON &amp; SANDRA LOPEZ</t>
  </si>
  <si>
    <t xml:space="preserve">23817 N 39TH LN </t>
  </si>
  <si>
    <t>SUNRISE AT NORTH CANYON LOT 1-139 TR A</t>
  </si>
  <si>
    <t>SUNRISE AT NORTH CANYON</t>
  </si>
  <si>
    <t>BASILE ANTHONY P &amp; DIANE S</t>
  </si>
  <si>
    <t>LOPEZ RAMON A</t>
  </si>
  <si>
    <t>MULVANY</t>
  </si>
  <si>
    <t>KELLY MULVANY</t>
  </si>
  <si>
    <t xml:space="preserve">4622 W BUTLER DR </t>
  </si>
  <si>
    <t>GLENVIEW ESTATES UNIT 2 LT 150-223 225-2</t>
  </si>
  <si>
    <t>LOPEZ GERARDO</t>
  </si>
  <si>
    <t>MULVANY KELLY ANN</t>
  </si>
  <si>
    <t>SUDKAMP</t>
  </si>
  <si>
    <t>BRIAN &amp; STACIE SUDKAMP</t>
  </si>
  <si>
    <t xml:space="preserve">30502 N 128TH LN </t>
  </si>
  <si>
    <t>BRIAN A SUDKAMP</t>
  </si>
  <si>
    <t>STACIE A SUDKAMP</t>
  </si>
  <si>
    <t>SNOW FAMILY TRUST</t>
  </si>
  <si>
    <t xml:space="preserve">1057 S DEERFIELD LN </t>
  </si>
  <si>
    <t>WATKINS MORGAN &amp; LINDSAY</t>
  </si>
  <si>
    <t>SNOW JOSHUA &amp; CARISSA</t>
  </si>
  <si>
    <t>KYLE MOSES</t>
  </si>
  <si>
    <t xml:space="preserve">2223 N HERITAGE ST </t>
  </si>
  <si>
    <t>KYLE D MOSES</t>
  </si>
  <si>
    <t>WASSERMAN ROBERT W &amp; AYALA TRU</t>
  </si>
  <si>
    <t>WASSERMANROBERT &amp; AYALA</t>
  </si>
  <si>
    <t xml:space="preserve">4024 E PALO BREA LN </t>
  </si>
  <si>
    <t>CLEARVIEW AT TATUM RANCH UNIT 2 LOT 60-1</t>
  </si>
  <si>
    <t>CLEARVIEW AT TATUM RANCH</t>
  </si>
  <si>
    <t>SPAID TRAVIS &amp; ANGELA</t>
  </si>
  <si>
    <t>ARRINGTON CHRISTOPHER &amp; ABIGA</t>
  </si>
  <si>
    <t>ROBERT &amp; SHERRY PIGG</t>
  </si>
  <si>
    <t xml:space="preserve">7321 N 183RD AVE </t>
  </si>
  <si>
    <t>TEXADA KRISTIN E TRUST</t>
  </si>
  <si>
    <t>PIGG ROBERT &amp; SHERRY</t>
  </si>
  <si>
    <t>JORDAN FAMILY TRUST</t>
  </si>
  <si>
    <t xml:space="preserve">855 E PAGE ST </t>
  </si>
  <si>
    <t>GUY JOHN M</t>
  </si>
  <si>
    <t>JORDAN RICHARD</t>
  </si>
  <si>
    <t>ANDREW &amp; ROBIN WOLTER</t>
  </si>
  <si>
    <t xml:space="preserve">17626 W WIND SONG AVE </t>
  </si>
  <si>
    <t>MOON CHRISTINE S</t>
  </si>
  <si>
    <t>WOLTER ANDREW H &amp; ROBIN L</t>
  </si>
  <si>
    <t>HANZE</t>
  </si>
  <si>
    <t>MICHAEL HANZE</t>
  </si>
  <si>
    <t xml:space="preserve">3629 E CALEB WAY </t>
  </si>
  <si>
    <t>LIBERTI DANIEL</t>
  </si>
  <si>
    <t>DAHL</t>
  </si>
  <si>
    <t>ZAPANTA</t>
  </si>
  <si>
    <t>DAHL &amp; ROWENA ZAPANTA</t>
  </si>
  <si>
    <t xml:space="preserve">20268 E CAMACHO RD </t>
  </si>
  <si>
    <t>DAHL GARY M &amp; ROWENA Z</t>
  </si>
  <si>
    <t>RODRICK</t>
  </si>
  <si>
    <t>RODRICK HOWZE</t>
  </si>
  <si>
    <t xml:space="preserve">13560 W ACAPULCO LN </t>
  </si>
  <si>
    <t>PIEPER BRIAN</t>
  </si>
  <si>
    <t>HOWZE RODRICK</t>
  </si>
  <si>
    <t>JASON &amp; SAMANTHA BEDORE</t>
  </si>
  <si>
    <t xml:space="preserve">14380 S 181ST LN </t>
  </si>
  <si>
    <t>BEDORE JASON L &amp; SAMANTHA L</t>
  </si>
  <si>
    <t>CRISMAN</t>
  </si>
  <si>
    <t>MICHAEL CRISMAN</t>
  </si>
  <si>
    <t xml:space="preserve">2818 S CALVIN CIR </t>
  </si>
  <si>
    <t>INFALT ROBERT F &amp; MICHELE L</t>
  </si>
  <si>
    <t>CRISMAN MICHAEL B</t>
  </si>
  <si>
    <t>JOHN &amp; DONNA CRAWFORD</t>
  </si>
  <si>
    <t xml:space="preserve">10810 W AVENIDA DEL REY </t>
  </si>
  <si>
    <t>CRAWFORD JOHN R &amp; DONNA M</t>
  </si>
  <si>
    <t>CORDELL</t>
  </si>
  <si>
    <t>DWYER-SMITH</t>
  </si>
  <si>
    <t>CORDELL SMITH &amp; DENA DWYER-SMITH</t>
  </si>
  <si>
    <t xml:space="preserve">2546 E CAROB DR </t>
  </si>
  <si>
    <t>CARTER JEFFREY W</t>
  </si>
  <si>
    <t>SMITH CORDELL</t>
  </si>
  <si>
    <t>DWYER-SMITH DENA</t>
  </si>
  <si>
    <t>REID</t>
  </si>
  <si>
    <t>DELPHENE</t>
  </si>
  <si>
    <t>SHELDON &amp; DELPHENE REID</t>
  </si>
  <si>
    <t xml:space="preserve">4009 W KIVA ST </t>
  </si>
  <si>
    <t>SUI MAY</t>
  </si>
  <si>
    <t>REID SHELDON &amp; DELPHENE</t>
  </si>
  <si>
    <t>HAMILL</t>
  </si>
  <si>
    <t>EDWARD &amp; JODI HAMILL</t>
  </si>
  <si>
    <t xml:space="preserve">5932 W VIA MONTOYA DR </t>
  </si>
  <si>
    <t>ALWIN ANTHONY J</t>
  </si>
  <si>
    <t>HAMILL EDWARD G &amp; JODI A</t>
  </si>
  <si>
    <t>MILLSAP</t>
  </si>
  <si>
    <t>PETTY</t>
  </si>
  <si>
    <t>ALAN MILLSAP &amp; JOELLEN PETTY</t>
  </si>
  <si>
    <t xml:space="preserve">127 W WOOD DR </t>
  </si>
  <si>
    <t>HERITAGE HIGHLANDS 2 LOT 62-155 &amp; TR A-J</t>
  </si>
  <si>
    <t>HERITAGE HIGHLANDS</t>
  </si>
  <si>
    <t>DUPONT SANDRA A &amp; JASON</t>
  </si>
  <si>
    <t>MILLSAP ALAN</t>
  </si>
  <si>
    <t>PETTY JOELLEN</t>
  </si>
  <si>
    <t>HELENA</t>
  </si>
  <si>
    <t>MAURICE &amp; HELENA SHAW</t>
  </si>
  <si>
    <t xml:space="preserve">31158 N 138TH AVE </t>
  </si>
  <si>
    <t>WOODSIDE TRAILS NORTH OF HORSEMANS PARK LLC</t>
  </si>
  <si>
    <t>SHAW MAURICE D &amp; HELENA S</t>
  </si>
  <si>
    <t>MERLO</t>
  </si>
  <si>
    <t>JOSEPH &amp; SHARON MERLO</t>
  </si>
  <si>
    <t xml:space="preserve">24284 S 211TH ST </t>
  </si>
  <si>
    <t>KING TAMMY D</t>
  </si>
  <si>
    <t>CASHCALL MTG</t>
  </si>
  <si>
    <t>MERLO JOSEPH &amp; SHARON L</t>
  </si>
  <si>
    <t>DEXTER</t>
  </si>
  <si>
    <t>DEXTER BERRY</t>
  </si>
  <si>
    <t xml:space="preserve">2432 W PIEDMONT RD </t>
  </si>
  <si>
    <t>JOHAL CHARNJIT</t>
  </si>
  <si>
    <t>BERRY DEXTER</t>
  </si>
  <si>
    <t>MOAK</t>
  </si>
  <si>
    <t>ROBERT &amp; TERRI MOAK</t>
  </si>
  <si>
    <t xml:space="preserve">4622 E BRILLIANT SKY DR </t>
  </si>
  <si>
    <t>H030</t>
  </si>
  <si>
    <t>A-M RANCH PARCEL D RE-RECORDED</t>
  </si>
  <si>
    <t>MOAK ROBERT I &amp; TERRI L</t>
  </si>
  <si>
    <t>JUSTIN ROBINSON</t>
  </si>
  <si>
    <t xml:space="preserve">3593 N ACACIA XING </t>
  </si>
  <si>
    <t>VERRADO PARCEL 4.623</t>
  </si>
  <si>
    <t>TOLL BROTHERS LP</t>
  </si>
  <si>
    <t>ROBINSON JUSTIN P &amp; SASHA</t>
  </si>
  <si>
    <t>DEBLIEUX</t>
  </si>
  <si>
    <t>ELIDIA</t>
  </si>
  <si>
    <t>EARL &amp; ELIDIA DEBLIEUX</t>
  </si>
  <si>
    <t xml:space="preserve">14234 W HARVARD ST </t>
  </si>
  <si>
    <t>SOMMER SCOTT A &amp; COLEEN</t>
  </si>
  <si>
    <t>DEBLIEUX EARL V JR &amp; ELIDIA</t>
  </si>
  <si>
    <t>JACKIE Y REID AND SHARLA J REID TRUST</t>
  </si>
  <si>
    <t xml:space="preserve">323 N WESLEY </t>
  </si>
  <si>
    <t xml:space="preserve">115 N MEADOW DR </t>
  </si>
  <si>
    <t>PAYSON</t>
  </si>
  <si>
    <t>HOOVER ZACHARY</t>
  </si>
  <si>
    <t>BIRMINGHAM AL 35233</t>
  </si>
  <si>
    <t>REID JACKIE Y</t>
  </si>
  <si>
    <t>MCKILLIPS</t>
  </si>
  <si>
    <t>MCKILLIPS &amp; ERIC ARTHUR</t>
  </si>
  <si>
    <t xml:space="preserve">1855 S 238TH LN </t>
  </si>
  <si>
    <t>AGUIRRE PEARL C</t>
  </si>
  <si>
    <t>MCKILLIPS AUTUMN R &amp; ERIC A</t>
  </si>
  <si>
    <t>DAWN MONTOYA</t>
  </si>
  <si>
    <t xml:space="preserve">1297 E ELI CT </t>
  </si>
  <si>
    <t>BARBARITA TRUST</t>
  </si>
  <si>
    <t>MONTOYA DAWN M</t>
  </si>
  <si>
    <t>FRANCHUK</t>
  </si>
  <si>
    <t>DEAN &amp; LARISSA FRANCHUK</t>
  </si>
  <si>
    <t xml:space="preserve">15637 E CACTUS DR </t>
  </si>
  <si>
    <t>SUNRIDGE CANYON PARCEL G SOUTH</t>
  </si>
  <si>
    <t>SUNRIDGE CANYON G SOUTH</t>
  </si>
  <si>
    <t>HARR KIRK</t>
  </si>
  <si>
    <t>FRANCHUK DEAN &amp; LARISSA</t>
  </si>
  <si>
    <t>HEUER</t>
  </si>
  <si>
    <t>MATTHEW &amp; LISA HEUER</t>
  </si>
  <si>
    <t xml:space="preserve">14571 W MOUNTAIN VIEW DR </t>
  </si>
  <si>
    <t>DEVELOPMENT SOLUTIONS OC L</t>
  </si>
  <si>
    <t>HEUER MATTHEW W &amp; LISA A</t>
  </si>
  <si>
    <t>MONTI</t>
  </si>
  <si>
    <t>DON &amp; JUNE MONTI</t>
  </si>
  <si>
    <t xml:space="preserve">1005 N SETON </t>
  </si>
  <si>
    <t>FITZPATRICK MARY J TRUST</t>
  </si>
  <si>
    <t>MONTI DON E &amp; JUNE M</t>
  </si>
  <si>
    <t>LILLIE</t>
  </si>
  <si>
    <t>STANLEY &amp; LILLIE ROBERTS</t>
  </si>
  <si>
    <t xml:space="preserve">1541 E SHAMROCK ST </t>
  </si>
  <si>
    <t>SPEAKS LARRY</t>
  </si>
  <si>
    <t>ROBERTS STANLEY L &amp; LILLIE T</t>
  </si>
  <si>
    <t>UTUTOFO</t>
  </si>
  <si>
    <t>FIAME</t>
  </si>
  <si>
    <t>OLITA</t>
  </si>
  <si>
    <t>UTUTOFO &amp; OLITA FIAME</t>
  </si>
  <si>
    <t xml:space="preserve">2107 N 134TH AVE </t>
  </si>
  <si>
    <t xml:space="preserve">PO BOX 777294 </t>
  </si>
  <si>
    <t>NV</t>
  </si>
  <si>
    <t>PRAVDICA JOHN J</t>
  </si>
  <si>
    <t>UTUTOFO FAIME</t>
  </si>
  <si>
    <t>OLITA L FAIME</t>
  </si>
  <si>
    <t>DYLAN</t>
  </si>
  <si>
    <t>DYLAN ANDERSON</t>
  </si>
  <si>
    <t xml:space="preserve">230 S ASH DR </t>
  </si>
  <si>
    <t>TINCHER-FUNK KELLY</t>
  </si>
  <si>
    <t>ANDERSON DYLAN</t>
  </si>
  <si>
    <t>OSULLIVAN</t>
  </si>
  <si>
    <t>THOMAS &amp; JAYNE OSULLIVAN</t>
  </si>
  <si>
    <t xml:space="preserve">3079 S LARKSPUR ST </t>
  </si>
  <si>
    <t>YOUNG GARY W</t>
  </si>
  <si>
    <t>OSULLIVAN THOMAS C</t>
  </si>
  <si>
    <t>NUANEZ</t>
  </si>
  <si>
    <t>BLASIUS-NUANEZ</t>
  </si>
  <si>
    <t>SAMUEL NUANEZ &amp; MELISSA BLASIUS-NUANEZ</t>
  </si>
  <si>
    <t xml:space="preserve">14031 S 45TH ST </t>
  </si>
  <si>
    <t>NUANEZ SAMUEL</t>
  </si>
  <si>
    <t>BLASIUS-NUANEZ MELISSA</t>
  </si>
  <si>
    <t>RHOADES</t>
  </si>
  <si>
    <t>SCOTT RHOADES</t>
  </si>
  <si>
    <t xml:space="preserve">1540 S VELERO PL </t>
  </si>
  <si>
    <t xml:space="preserve">PO BOX 72376 </t>
  </si>
  <si>
    <t>GOODMAN ERIC</t>
  </si>
  <si>
    <t>RHOADES SCOTT J</t>
  </si>
  <si>
    <t>PHETTEPLACE</t>
  </si>
  <si>
    <t>GAYLENE</t>
  </si>
  <si>
    <t>DAVID &amp; GAYLENE PHETTEPLACE</t>
  </si>
  <si>
    <t xml:space="preserve">16614 N 51ST ST </t>
  </si>
  <si>
    <t>PALOS VERDES RANCH</t>
  </si>
  <si>
    <t>SHIKASHIO SHERRIE A</t>
  </si>
  <si>
    <t>PHETTEPLACE DAVID &amp; GAYLENE</t>
  </si>
  <si>
    <t>RAND</t>
  </si>
  <si>
    <t>MADRID &amp; CATHERINE RAND</t>
  </si>
  <si>
    <t xml:space="preserve">3435 W VIA MONTOYA DR </t>
  </si>
  <si>
    <t>VAN LOON MICHAEL G</t>
  </si>
  <si>
    <t>RAND MADRID &amp; CATHERINE G</t>
  </si>
  <si>
    <t>CHLEBUS</t>
  </si>
  <si>
    <t>JAMES &amp; SHARON CHLEBUS</t>
  </si>
  <si>
    <t xml:space="preserve">4943 W JOMAX RD </t>
  </si>
  <si>
    <t>PLAYER RICHARD T &amp; DOMINIQUE</t>
  </si>
  <si>
    <t>CHLEBUS JAMES R JR &amp; SHARON</t>
  </si>
  <si>
    <t>ROWAN</t>
  </si>
  <si>
    <t>SABRINA &amp; SHERRY ROWAN</t>
  </si>
  <si>
    <t xml:space="preserve">10408 E KEATS AVE </t>
  </si>
  <si>
    <t>VILLAGES OF EASTRIDGE UNIT 3</t>
  </si>
  <si>
    <t>SALSBERRY TIMOTHY S</t>
  </si>
  <si>
    <t>ROWAN SABRINA I &amp; SHERRY L</t>
  </si>
  <si>
    <t>ROWAN SHERRY L</t>
  </si>
  <si>
    <t>RODNEY BEAVER</t>
  </si>
  <si>
    <t xml:space="preserve">10441 W CATALINA DR </t>
  </si>
  <si>
    <t>GLENARM FARMS UNIT 2</t>
  </si>
  <si>
    <t>LEHMANN JAMES R</t>
  </si>
  <si>
    <t>BEAVER RODNEY J</t>
  </si>
  <si>
    <t>GASS</t>
  </si>
  <si>
    <t>THOMAS GASS</t>
  </si>
  <si>
    <t xml:space="preserve">26287 N 73RD DR </t>
  </si>
  <si>
    <t>TERRAMAR PARCEL 12</t>
  </si>
  <si>
    <t>MORTENSEN D B</t>
  </si>
  <si>
    <t>GASS THOMAS SHAYNE</t>
  </si>
  <si>
    <t>FEINBERG</t>
  </si>
  <si>
    <t>ZACHARY FEINBERG</t>
  </si>
  <si>
    <t xml:space="preserve">5102 W KESLER LN </t>
  </si>
  <si>
    <t>PARK AT TWELVE OAKS UNIT TWO  LOT 146-24</t>
  </si>
  <si>
    <t>DESCHAMPS PHILIP W</t>
  </si>
  <si>
    <t>FEINBERG ZACHARY</t>
  </si>
  <si>
    <t>WARD &amp; CAROL ANN</t>
  </si>
  <si>
    <t xml:space="preserve">8529 W MCRAE WAY </t>
  </si>
  <si>
    <t>IEDEMA HENRY D</t>
  </si>
  <si>
    <t>WARD MICHAEL D &amp; CAROL A</t>
  </si>
  <si>
    <t>GIBBS</t>
  </si>
  <si>
    <t>BRIAN &amp; HEIDI GIBBS</t>
  </si>
  <si>
    <t xml:space="preserve">16088 W YUCATAN DR </t>
  </si>
  <si>
    <t>GIBBS JIMMIE R &amp; MARGARITA</t>
  </si>
  <si>
    <t>BRIAN GIBBS</t>
  </si>
  <si>
    <t>HEIDI GIBBS</t>
  </si>
  <si>
    <t>HILTON</t>
  </si>
  <si>
    <t>MICHAEL HILTON</t>
  </si>
  <si>
    <t xml:space="preserve">6030 E PRINCESS DR </t>
  </si>
  <si>
    <t>BULKA FAMILY TRUST</t>
  </si>
  <si>
    <t>HILTON MICHAEL S</t>
  </si>
  <si>
    <t>JOSEPH &amp; ANNETTE GRANT</t>
  </si>
  <si>
    <t xml:space="preserve">6618 N 181ST AVE </t>
  </si>
  <si>
    <t>ROMOLA 46 BLKS 4908A-4923E &amp; 4938A-4953E</t>
  </si>
  <si>
    <t>DEJANOVICH OWEN &amp; LESLEY C</t>
  </si>
  <si>
    <t>GRANT JOSEPH W &amp; ANNETTE H</t>
  </si>
  <si>
    <t>JOSEPH W GRANT</t>
  </si>
  <si>
    <t>ANNETTE H GRANT</t>
  </si>
  <si>
    <t>BELCHER</t>
  </si>
  <si>
    <t>JONATHAN BELCHER</t>
  </si>
  <si>
    <t xml:space="preserve">15716 N 172ND LN </t>
  </si>
  <si>
    <t>BROWN REGINA J</t>
  </si>
  <si>
    <t>BELCHER JONATHAN M</t>
  </si>
  <si>
    <t>GIESZL</t>
  </si>
  <si>
    <t>CHAD &amp; ASHLEE GIESZL</t>
  </si>
  <si>
    <t xml:space="preserve">20788 S CLAUDIUS RD </t>
  </si>
  <si>
    <t>ROMAN ESTATES PHASE 6</t>
  </si>
  <si>
    <t>KEN1CAT LLC</t>
  </si>
  <si>
    <t>GIESZL CHAD V &amp; ASHLEE N</t>
  </si>
  <si>
    <t>HUMPHREY</t>
  </si>
  <si>
    <t>MOCTEZUMA</t>
  </si>
  <si>
    <t>HUMPHREY &amp; MARIA MOCTEZUMA</t>
  </si>
  <si>
    <t xml:space="preserve">7271 W SADDLEHORN RD </t>
  </si>
  <si>
    <t>PANNIA MARIA</t>
  </si>
  <si>
    <t>HUMPHREY KENNETH E</t>
  </si>
  <si>
    <t>MOCTEZUMA-HUMPHREY MARIA C</t>
  </si>
  <si>
    <t>CENTER FAMILY TRUST</t>
  </si>
  <si>
    <t>CENTER</t>
  </si>
  <si>
    <t xml:space="preserve">3002 W SANDRA TER </t>
  </si>
  <si>
    <t>RANCHO ENCANTO UNIT SEVEN LOT 577-689</t>
  </si>
  <si>
    <t>GALIANO DONALD</t>
  </si>
  <si>
    <t>CENTER STEVE A</t>
  </si>
  <si>
    <t>KALLIES</t>
  </si>
  <si>
    <t>CHRISTOPHER &amp; HEATHER KALLIES</t>
  </si>
  <si>
    <t xml:space="preserve">8833 W PALMAIRE AVE </t>
  </si>
  <si>
    <t>SHERROD CHARLES W &amp; HELEN E</t>
  </si>
  <si>
    <t>KALLIES CHRISTOPHER M &amp; HEATH</t>
  </si>
  <si>
    <t>STAMP</t>
  </si>
  <si>
    <t>BRIAN &amp; BRIDGET STAMP</t>
  </si>
  <si>
    <t xml:space="preserve">1609 N CALLE CIR </t>
  </si>
  <si>
    <t>CONTINENTAL TERRACE LOT 1-232 270 271 TR</t>
  </si>
  <si>
    <t>CONTINENTAL TERRACE</t>
  </si>
  <si>
    <t>CARBONE SHANNON L</t>
  </si>
  <si>
    <t>STAMP BRIAN C</t>
  </si>
  <si>
    <t>SARABIA</t>
  </si>
  <si>
    <t>FERNANDO MORALES &amp; SILVIA SARABIA</t>
  </si>
  <si>
    <t xml:space="preserve">18041 W YOUNG ST </t>
  </si>
  <si>
    <t>MORALES FERNANDO</t>
  </si>
  <si>
    <t>SARABIA SILVIA</t>
  </si>
  <si>
    <t>SHANNON &amp; VICKI TRACY</t>
  </si>
  <si>
    <t xml:space="preserve">3225 N RAMADA CIR </t>
  </si>
  <si>
    <t>WINSLOW TRUST</t>
  </si>
  <si>
    <t>TRACY SHANNON M &amp; VICKI L</t>
  </si>
  <si>
    <t>ALLYN</t>
  </si>
  <si>
    <t>ANICETA</t>
  </si>
  <si>
    <t>ALBERT &amp; ANICETA ALLYN</t>
  </si>
  <si>
    <t xml:space="preserve">2321 E INDIGO DR </t>
  </si>
  <si>
    <t>MCCRITE BRUCE C &amp; CONNIE L</t>
  </si>
  <si>
    <t>ALLYN ALBERT R &amp; ANICETA</t>
  </si>
  <si>
    <t>CHATMON</t>
  </si>
  <si>
    <t>QUAM-CHATMON</t>
  </si>
  <si>
    <t>JEFFREY CHATMON &amp; LORI QUAM-CHATMON</t>
  </si>
  <si>
    <t xml:space="preserve">480 S RIO DR </t>
  </si>
  <si>
    <t>PIERCE JESSICA</t>
  </si>
  <si>
    <t>CHATMON JEFFREY D</t>
  </si>
  <si>
    <t>QUAM-CHATMON LORI A</t>
  </si>
  <si>
    <t>ETELVINA</t>
  </si>
  <si>
    <t>PETE &amp; ETELVINA GRIJALVA</t>
  </si>
  <si>
    <t xml:space="preserve">1159 E DEL RIO ST </t>
  </si>
  <si>
    <t>WILLIAMS MICHAEL A</t>
  </si>
  <si>
    <t>GRIJALVA PETE C</t>
  </si>
  <si>
    <t>BUTER</t>
  </si>
  <si>
    <t>MICHAEL BUTER</t>
  </si>
  <si>
    <t xml:space="preserve">3880 E HEATHER CT </t>
  </si>
  <si>
    <t>WRIGHT MICHAEL L</t>
  </si>
  <si>
    <t>BUTER MICHAEL G</t>
  </si>
  <si>
    <t>MASGA</t>
  </si>
  <si>
    <t>DAVID &amp; JANE MASGA</t>
  </si>
  <si>
    <t xml:space="preserve">18100 W DEVONSHIRE AVE </t>
  </si>
  <si>
    <t>MASGA DAVID H &amp; JANE L</t>
  </si>
  <si>
    <t>SHANA</t>
  </si>
  <si>
    <t>EDWARD &amp; SHANA PARKER</t>
  </si>
  <si>
    <t xml:space="preserve">10034 W WHYMAN AVE </t>
  </si>
  <si>
    <t>COUNTRY PLACE PHASE 4 PARCELS 14 &amp; 15</t>
  </si>
  <si>
    <t>FERGUSON JUSTIN T</t>
  </si>
  <si>
    <t>PARKER EDWARD C &amp; SHANA</t>
  </si>
  <si>
    <t>CADARET</t>
  </si>
  <si>
    <t>DAVID &amp; CHRISTINA CADARET</t>
  </si>
  <si>
    <t xml:space="preserve">31320 N 137TH GLN </t>
  </si>
  <si>
    <t>HOMES GEHAN</t>
  </si>
  <si>
    <t>CADARET DAVID B &amp; CHRISTINA M</t>
  </si>
  <si>
    <t>CHASTEEN</t>
  </si>
  <si>
    <t>MATTHEW &amp; STACEY CHASTEEN</t>
  </si>
  <si>
    <t xml:space="preserve">5134 W SWEET IRON PASS </t>
  </si>
  <si>
    <t>STULL MICHAEL G</t>
  </si>
  <si>
    <t>CHASTEEN MATTHEW R</t>
  </si>
  <si>
    <t>BURTON LEWIN</t>
  </si>
  <si>
    <t xml:space="preserve">13620 N 15TH DR </t>
  </si>
  <si>
    <t>MOON VALLEY GARDENS 2</t>
  </si>
  <si>
    <t>BOWDEN MARK &amp; SHERYL</t>
  </si>
  <si>
    <t>BURTON L LEWIN</t>
  </si>
  <si>
    <t>ITKOE</t>
  </si>
  <si>
    <t>STEPHEN &amp; ROBERT ITKOE</t>
  </si>
  <si>
    <t xml:space="preserve">6418 E AIRE LIBRE LN </t>
  </si>
  <si>
    <t xml:space="preserve">16506 N 106TH PL </t>
  </si>
  <si>
    <t>TRAILS NORTH 1      LOT 1-111</t>
  </si>
  <si>
    <t>TRAILS NORTH</t>
  </si>
  <si>
    <t>TUTRONE THOMAS A &amp; NICHOLE M</t>
  </si>
  <si>
    <t>MADSON WILLIAM &amp; NGA</t>
  </si>
  <si>
    <t>ASHLI</t>
  </si>
  <si>
    <t>ERIC &amp; ASHLI MORGAN</t>
  </si>
  <si>
    <t xml:space="preserve">2621 E HARWELL RD </t>
  </si>
  <si>
    <t>GREENFIELD PARK</t>
  </si>
  <si>
    <t>MCGINNIS FAMILY LIVING TRUST</t>
  </si>
  <si>
    <t>MORGAN ERIC R &amp; ASHLI M</t>
  </si>
  <si>
    <t>ADAM BRUCE &amp; JILLIAN HOBBS</t>
  </si>
  <si>
    <t xml:space="preserve">8324 E VIA DE DORADO </t>
  </si>
  <si>
    <t>BELOSIC FRANK M</t>
  </si>
  <si>
    <t>BRUCE ADAM S</t>
  </si>
  <si>
    <t>HOBBS JILLIAN M</t>
  </si>
  <si>
    <t>DAVIS JERRY D LIVING TRUST</t>
  </si>
  <si>
    <t>D DAVISJERRY</t>
  </si>
  <si>
    <t xml:space="preserve">11155 N 87TH PL </t>
  </si>
  <si>
    <t>PIMA CROSSING</t>
  </si>
  <si>
    <t>BETTS KEVIN R &amp; JODY R</t>
  </si>
  <si>
    <t>DAVIS JERRY D</t>
  </si>
  <si>
    <t>MICHAEL &amp; REBEKAH MAXWELL</t>
  </si>
  <si>
    <t xml:space="preserve">3796 E JASPER DR </t>
  </si>
  <si>
    <t>RAY RANCH UNIT 2</t>
  </si>
  <si>
    <t>CORSAIR LLC</t>
  </si>
  <si>
    <t>MAXWELL MICHAEL A &amp; REBEKAH A</t>
  </si>
  <si>
    <t>MARETTA</t>
  </si>
  <si>
    <t>SHAWNA &amp; NICHOLAS MARETTA</t>
  </si>
  <si>
    <t xml:space="preserve">15810 N 47TH LN </t>
  </si>
  <si>
    <t>BLEVINS WILLARD &amp; NANCY P</t>
  </si>
  <si>
    <t>MARETTA SHAWNA &amp; NICHOLAS P</t>
  </si>
  <si>
    <t>WILLIAM TRAVIS &amp; JANE SCHAFER</t>
  </si>
  <si>
    <t xml:space="preserve">26858 W PIUTE AVE </t>
  </si>
  <si>
    <t>SCHAFER JANE A</t>
  </si>
  <si>
    <t>VALDEZ RODRIGUEZ</t>
  </si>
  <si>
    <t xml:space="preserve">12129 W EL CORTEZ PL </t>
  </si>
  <si>
    <t>JESUS A RODRIGUEZ</t>
  </si>
  <si>
    <t>CARMEN &amp; GILBERT HARRISON</t>
  </si>
  <si>
    <t xml:space="preserve">956 W SHERRI DR </t>
  </si>
  <si>
    <t xml:space="preserve">PO BOX 1166 </t>
  </si>
  <si>
    <t>GILLIATT FAMILY TRUST</t>
  </si>
  <si>
    <t>HARRISON GILBERT &amp; CARMEN K</t>
  </si>
  <si>
    <t>BALLWAY</t>
  </si>
  <si>
    <t>ANN &amp; ANN ANTHONY</t>
  </si>
  <si>
    <t xml:space="preserve">624 S CHERI LYNN DR </t>
  </si>
  <si>
    <t>SCHREYER ALAN J</t>
  </si>
  <si>
    <t>MATTHEW A BALLWAY</t>
  </si>
  <si>
    <t>TERRI A BALLWAY</t>
  </si>
  <si>
    <t>STRICKLER</t>
  </si>
  <si>
    <t>MARY &amp; DAVID STRICKLER</t>
  </si>
  <si>
    <t xml:space="preserve">27256 N 175TH DR </t>
  </si>
  <si>
    <t>STRICKLER MARY E &amp; DAVID A</t>
  </si>
  <si>
    <t>SAMIR</t>
  </si>
  <si>
    <t>MAHMOUD</t>
  </si>
  <si>
    <t>ROBERT ALLEN &amp; SAMIR MAHMOUD</t>
  </si>
  <si>
    <t xml:space="preserve">8060 N 15TH DR </t>
  </si>
  <si>
    <t>SUBURBAN HEIGHTS</t>
  </si>
  <si>
    <t>RWEST INVESTMENTS LLC</t>
  </si>
  <si>
    <t>MAHMOUD SAMIR S &amp; RACHEL E</t>
  </si>
  <si>
    <t>WINSOR FAMILY LIVING TRUST</t>
  </si>
  <si>
    <t xml:space="preserve">4031 W VILLA RITA DR </t>
  </si>
  <si>
    <t>WILLOW CREEK 2</t>
  </si>
  <si>
    <t>WILLOW CREEK</t>
  </si>
  <si>
    <t>ANDRIST RAEANN J</t>
  </si>
  <si>
    <t>WINSOR GEORGE E</t>
  </si>
  <si>
    <t>LARRY &amp; DEBORAH PATTON</t>
  </si>
  <si>
    <t xml:space="preserve">4920 W OLD WEST TRL </t>
  </si>
  <si>
    <t>ANTHEM UNIT 81C</t>
  </si>
  <si>
    <t>PRATT CHARLES G</t>
  </si>
  <si>
    <t>LARRY PATTON</t>
  </si>
  <si>
    <t>DEBORAH PATTON</t>
  </si>
  <si>
    <t>MACK</t>
  </si>
  <si>
    <t>KENNETH &amp; PATRICIA MACK</t>
  </si>
  <si>
    <t xml:space="preserve">637 W SCOTT AVE </t>
  </si>
  <si>
    <t>CROSSMAN BRITTANY</t>
  </si>
  <si>
    <t>MACK KENNETH A &amp; PATRICIA L</t>
  </si>
  <si>
    <t>SIGURDSON</t>
  </si>
  <si>
    <t>RONALD SIGURDSON</t>
  </si>
  <si>
    <t xml:space="preserve">4379 E LUDLOW DR </t>
  </si>
  <si>
    <t>SHADOWRIDGE 3 LOT 1-106 &amp; TR A-B</t>
  </si>
  <si>
    <t>MCCOOK GAIL N</t>
  </si>
  <si>
    <t>SIGURDSON RONALD K</t>
  </si>
  <si>
    <t>BUMANN</t>
  </si>
  <si>
    <t>RHONDA &amp; TROY BUMANN</t>
  </si>
  <si>
    <t xml:space="preserve">21354 E SUNSET DR </t>
  </si>
  <si>
    <t>BUMANN RHONDA M &amp; TROY R</t>
  </si>
  <si>
    <t>SAM &amp; ALICIA HILL</t>
  </si>
  <si>
    <t xml:space="preserve">16959 W IPSWITCH WAY </t>
  </si>
  <si>
    <t>DEGONIA KATHLEEN G</t>
  </si>
  <si>
    <t>SAM HILL</t>
  </si>
  <si>
    <t>ALICIA A HILL</t>
  </si>
  <si>
    <t>MCCOWN</t>
  </si>
  <si>
    <t>JOHN &amp; DONNA MCCOWN</t>
  </si>
  <si>
    <t xml:space="preserve">17451 N 92ND AVE </t>
  </si>
  <si>
    <t>MCCOWN JOHN &amp; DONNA</t>
  </si>
  <si>
    <t>RAFFONE</t>
  </si>
  <si>
    <t>ROBERT &amp; DAWN RAFFONE</t>
  </si>
  <si>
    <t xml:space="preserve">695 E BELLERIVE PL </t>
  </si>
  <si>
    <t>LYALL FAMILY LIVING TRUST</t>
  </si>
  <si>
    <t>RAFFONE ROBERT J &amp; DAWN</t>
  </si>
  <si>
    <t>LIVERSEDGE</t>
  </si>
  <si>
    <t>TRAVIS &amp; ELIZABETH LIVERSEDGE</t>
  </si>
  <si>
    <t xml:space="preserve">4648 S EMERY </t>
  </si>
  <si>
    <t>CURTIS WILLIAM F &amp; CARRIE O</t>
  </si>
  <si>
    <t>LIVERSEDGE TRAVIS A &amp; ELIZABE</t>
  </si>
  <si>
    <t>HARO</t>
  </si>
  <si>
    <t>REBECCA &amp; VINCENT HARO</t>
  </si>
  <si>
    <t xml:space="preserve">16761 W APACHE ST </t>
  </si>
  <si>
    <t>EVANS TOBBY R &amp; KARI N</t>
  </si>
  <si>
    <t>HARO REBECCA H &amp; VINCENT</t>
  </si>
  <si>
    <t>GAFFKE</t>
  </si>
  <si>
    <t>NATHALY</t>
  </si>
  <si>
    <t>ARON &amp; NATHALY GAFFKE</t>
  </si>
  <si>
    <t xml:space="preserve">15817 N HANA MAUI DR </t>
  </si>
  <si>
    <t>BALZER DEBORAH L</t>
  </si>
  <si>
    <t>GAFFKE ARON A &amp; NATHALY</t>
  </si>
  <si>
    <t>SHIPPER DUSTIN W &amp; TIFFANY L</t>
  </si>
  <si>
    <t xml:space="preserve">10860 W ADAM AVE </t>
  </si>
  <si>
    <t>KNIGHT THEODORE G &amp; TINA</t>
  </si>
  <si>
    <t>JEFFREY BRADY</t>
  </si>
  <si>
    <t xml:space="preserve">14576 S 182ND DR </t>
  </si>
  <si>
    <t>JUAN &amp; CARMEN CASTILLO</t>
  </si>
  <si>
    <t xml:space="preserve">12153 W DESERT MOON WAY </t>
  </si>
  <si>
    <t>CALATLANTIC HOMES OF AZ INC</t>
  </si>
  <si>
    <t>CASTILLO JUAN J &amp; CARMEN M</t>
  </si>
  <si>
    <t>AFLLEJE</t>
  </si>
  <si>
    <t>JAMES AFLLEJE</t>
  </si>
  <si>
    <t xml:space="preserve">9609 N 41ST AVE </t>
  </si>
  <si>
    <t>NEWCASTLE VILLAGE 2</t>
  </si>
  <si>
    <t>ORDOG LIVING TRUST</t>
  </si>
  <si>
    <t>JAMES D AFLLEJE</t>
  </si>
  <si>
    <t>PATRICK &amp; BONNIE MCGARVEY</t>
  </si>
  <si>
    <t xml:space="preserve">17020 E ORO GRANDE DR </t>
  </si>
  <si>
    <t xml:space="preserve">PO BOX 18223 </t>
  </si>
  <si>
    <t>COPOULOS TRUST</t>
  </si>
  <si>
    <t>MCGARVEY PATRICK J &amp; BONNIE L</t>
  </si>
  <si>
    <t>SCHOAF</t>
  </si>
  <si>
    <t>TOBY &amp; SCOTT SCHOAF</t>
  </si>
  <si>
    <t xml:space="preserve">480 N 158TH ST </t>
  </si>
  <si>
    <t>CIRCLE G RANCHES 2 &amp; 2A UNIT 1-37</t>
  </si>
  <si>
    <t>CIRCLE G RANCHES II</t>
  </si>
  <si>
    <t>DRENNON FAMILY TRUST</t>
  </si>
  <si>
    <t>SCHOAF TOBY &amp; SCOTT</t>
  </si>
  <si>
    <t>ROQUE</t>
  </si>
  <si>
    <t>FEDERICO RUELAS &amp; YVETTE ROQUE</t>
  </si>
  <si>
    <t xml:space="preserve">4150 N 154TH DR </t>
  </si>
  <si>
    <t>MAGANA AMADO &amp; DOLORES</t>
  </si>
  <si>
    <t>RUELAS FEDERICO</t>
  </si>
  <si>
    <t>ROQUE YVETTE</t>
  </si>
  <si>
    <t>WYKOFF</t>
  </si>
  <si>
    <t>ROBERT WYKOFF</t>
  </si>
  <si>
    <t xml:space="preserve">114 S STELLAR PKWY </t>
  </si>
  <si>
    <t xml:space="preserve">407 W MANHATTON DR </t>
  </si>
  <si>
    <t>WOMBLE JAMES W &amp; H J TRUST</t>
  </si>
  <si>
    <t>WYKOFF ROBERT</t>
  </si>
  <si>
    <t>WINGLER</t>
  </si>
  <si>
    <t>BOURNE</t>
  </si>
  <si>
    <t>RYAN WINGLER &amp; ANNA BOURNE</t>
  </si>
  <si>
    <t xml:space="preserve">2152 E NATHAN WAY </t>
  </si>
  <si>
    <t>DIXON RICHARD &amp; MARGARET</t>
  </si>
  <si>
    <t>RYAN WINGLER</t>
  </si>
  <si>
    <t>ANNA BOURNE</t>
  </si>
  <si>
    <t>KAIN</t>
  </si>
  <si>
    <t>LAURA KAIN &amp; MICHAEL KELLY</t>
  </si>
  <si>
    <t xml:space="preserve">66 E CANTERBURY CT </t>
  </si>
  <si>
    <t xml:space="preserve">65 E CANTERBURY CT </t>
  </si>
  <si>
    <t>SHERWOOD JAMES D</t>
  </si>
  <si>
    <t>KAIN LAURA &amp; KELLY M</t>
  </si>
  <si>
    <t>LAURA KAIN</t>
  </si>
  <si>
    <t>KELLY KAIN</t>
  </si>
  <si>
    <t>SCOTT &amp; ANGELA RAE</t>
  </si>
  <si>
    <t xml:space="preserve">12210 N 59TH ST </t>
  </si>
  <si>
    <t xml:space="preserve">PO BOX 13961 </t>
  </si>
  <si>
    <t>AVANT 1 UNIT 4</t>
  </si>
  <si>
    <t>AVANT</t>
  </si>
  <si>
    <t>THOMAS HAROLD L &amp; BARBARA F</t>
  </si>
  <si>
    <t>RAE SCOTT A &amp; ANGELA M</t>
  </si>
  <si>
    <t>SCOTT A RAE</t>
  </si>
  <si>
    <t>ANGELA M RAE</t>
  </si>
  <si>
    <t>ROMANOS</t>
  </si>
  <si>
    <t>PAUL &amp; CHARLENE ROMANOS</t>
  </si>
  <si>
    <t xml:space="preserve">3649 N 154TH LN </t>
  </si>
  <si>
    <t>BENSTON FAMILY TRUST</t>
  </si>
  <si>
    <t>ROMANOS PAUL &amp; CHARLENE A</t>
  </si>
  <si>
    <t>ANDREW SLADE</t>
  </si>
  <si>
    <t xml:space="preserve">18214 W BUTLER DR </t>
  </si>
  <si>
    <t>OCONNELL DAVID &amp; MELISA A</t>
  </si>
  <si>
    <t>SLADE ANDREW</t>
  </si>
  <si>
    <t>MCCURDY</t>
  </si>
  <si>
    <t>TRISHA MCCURDY</t>
  </si>
  <si>
    <t xml:space="preserve">27007 N 44TH ST </t>
  </si>
  <si>
    <t>H019</t>
  </si>
  <si>
    <t>MCCURDY MICHAEL L &amp; MARY S</t>
  </si>
  <si>
    <t>MCCURDY TRISHA A</t>
  </si>
  <si>
    <t>JOSS</t>
  </si>
  <si>
    <t>CLAYTON JOSS</t>
  </si>
  <si>
    <t xml:space="preserve">1006 W WICKIEUP LN </t>
  </si>
  <si>
    <t>BEACON HILL LOT 191-251 TR A</t>
  </si>
  <si>
    <t>BEACON HILL</t>
  </si>
  <si>
    <t>GUNDRY TONYA L</t>
  </si>
  <si>
    <t>DMITRYI</t>
  </si>
  <si>
    <t>YEREMIN</t>
  </si>
  <si>
    <t>DMITRYI YEREMIN</t>
  </si>
  <si>
    <t xml:space="preserve">4550 W DUBLIN ST </t>
  </si>
  <si>
    <t>DAWN LOT 1-260 TR A-M</t>
  </si>
  <si>
    <t>BERMAN LAWRENCE R</t>
  </si>
  <si>
    <t>YEREMIN DMITRYI V</t>
  </si>
  <si>
    <t>RICHARD &amp; CHERI BROWN</t>
  </si>
  <si>
    <t xml:space="preserve">3701 E DECATUR ST </t>
  </si>
  <si>
    <t>BRACKETT GARY &amp; THERESA C</t>
  </si>
  <si>
    <t>BROWN RICHARD &amp; CHERI</t>
  </si>
  <si>
    <t>HENLINE</t>
  </si>
  <si>
    <t>WOODS &amp; BIANCA HENLINE</t>
  </si>
  <si>
    <t xml:space="preserve">4609 E FLOWER ST </t>
  </si>
  <si>
    <t>EL CORONADO ESTATES AMD</t>
  </si>
  <si>
    <t>EL CORONADO ESTATES</t>
  </si>
  <si>
    <t>TRACY STACIE L</t>
  </si>
  <si>
    <t>WOODS TIMOTHY T</t>
  </si>
  <si>
    <t>TIMOTHY T WOODS</t>
  </si>
  <si>
    <t>BIANCA H WOODS</t>
  </si>
  <si>
    <t>SHIELA</t>
  </si>
  <si>
    <t>DANIEL &amp; SHIELA DOMINGUEZ</t>
  </si>
  <si>
    <t xml:space="preserve">3535 E MERLOT ST </t>
  </si>
  <si>
    <t>SEVILLE PARCEL 22</t>
  </si>
  <si>
    <t>SCHWARTZ ALYNE M</t>
  </si>
  <si>
    <t>DOMINGUEZ DANIEL &amp; SHIELA</t>
  </si>
  <si>
    <t>THOMAS &amp; NANCY HETRICK</t>
  </si>
  <si>
    <t xml:space="preserve">215 E MARCONI AVE </t>
  </si>
  <si>
    <t>DOHERTY JOHN J LIVING TRUST</t>
  </si>
  <si>
    <t>HETRICK THOMAS A &amp; NANCY A</t>
  </si>
  <si>
    <t>THOMAS A HETRICK</t>
  </si>
  <si>
    <t>NANCYA HETRICK</t>
  </si>
  <si>
    <t>PARM</t>
  </si>
  <si>
    <t>DERRICK PARM</t>
  </si>
  <si>
    <t xml:space="preserve">35513 N 10TH ST </t>
  </si>
  <si>
    <t>COTNER THOMAS A &amp; MARY A E</t>
  </si>
  <si>
    <t>PARM DERRICK A</t>
  </si>
  <si>
    <t>VANNELLI</t>
  </si>
  <si>
    <t>JOSEPH VANNELLI</t>
  </si>
  <si>
    <t xml:space="preserve">2455 E QUEEN CREEK RD </t>
  </si>
  <si>
    <t>HIRKO SUZHANNA</t>
  </si>
  <si>
    <t>VANNELLI JOSEPH J &amp; CHRISTINA A</t>
  </si>
  <si>
    <t>JOSEPH J VANNELLI</t>
  </si>
  <si>
    <t>CHRISTINA A VANNELLI</t>
  </si>
  <si>
    <t>ECKEL</t>
  </si>
  <si>
    <t>ALEXANDER &amp; BROOKE ECKEL</t>
  </si>
  <si>
    <t xml:space="preserve">20440 N 17TH PL </t>
  </si>
  <si>
    <t>ECKEL ALEXANDER</t>
  </si>
  <si>
    <t>MAEZ</t>
  </si>
  <si>
    <t>LANDIS MAEZ</t>
  </si>
  <si>
    <t xml:space="preserve">2414 W OLD PAINT TRL </t>
  </si>
  <si>
    <t>TRAMONTO PARCEL E-9</t>
  </si>
  <si>
    <t>KATZ FAMILY TRUST</t>
  </si>
  <si>
    <t>MAEZ LANDIS R</t>
  </si>
  <si>
    <t>DANIEL &amp; LINDA LOGAN</t>
  </si>
  <si>
    <t xml:space="preserve">8915 E MENLO ST </t>
  </si>
  <si>
    <t>MADRID VARIOUS LOTS VARIOUS TRACTS REPLA</t>
  </si>
  <si>
    <t>WOLCOTT 8 PROPERTIES LLC</t>
  </si>
  <si>
    <t>LOGAN DANIEL J &amp; LINDA L</t>
  </si>
  <si>
    <t>BOUGHAN</t>
  </si>
  <si>
    <t>BARRY &amp; CAROL BOUGHAN</t>
  </si>
  <si>
    <t xml:space="preserve">11684 N 83RD PL </t>
  </si>
  <si>
    <t>SCOTTSDALE COUNTRY CLUB EAST NINE 1-253</t>
  </si>
  <si>
    <t>SCOTTSDALE COUNTRY CLUB EAST</t>
  </si>
  <si>
    <t>ROEHRS JOHN D &amp; JEAN M T T</t>
  </si>
  <si>
    <t>BOUGHAN BARRY B &amp; CAROL S</t>
  </si>
  <si>
    <t>BARRY B BOUGHAN</t>
  </si>
  <si>
    <t>CAROL S BOUGHAN</t>
  </si>
  <si>
    <t xml:space="preserve">2137 W COHEN TRL </t>
  </si>
  <si>
    <t>JONES THURMOND G &amp; LYNETTE S</t>
  </si>
  <si>
    <t>YOUNG JAMES R &amp; SHELLEY S</t>
  </si>
  <si>
    <t>BRIAN KELLEY</t>
  </si>
  <si>
    <t xml:space="preserve">3730 W SANDRA TER </t>
  </si>
  <si>
    <t>BRANDYWINE 3 LOT 157-165 LOT 172-227</t>
  </si>
  <si>
    <t>BUCHANAN JAMES A &amp; ADELE</t>
  </si>
  <si>
    <t>KELLEY BRIAN C</t>
  </si>
  <si>
    <t>SHANKLAND</t>
  </si>
  <si>
    <t>ROBERT SHANKLAND</t>
  </si>
  <si>
    <t xml:space="preserve">25527 W FOREST GROVE AVE </t>
  </si>
  <si>
    <t>WESTPARK PARCEL 1</t>
  </si>
  <si>
    <t>COMPTON CLAYTON</t>
  </si>
  <si>
    <t>SHANKLAND ROBERT P</t>
  </si>
  <si>
    <t>MOCKUS</t>
  </si>
  <si>
    <t>ALAN &amp; CARMEN MOCKUS</t>
  </si>
  <si>
    <t xml:space="preserve">13008 S 193RD AVE </t>
  </si>
  <si>
    <t>JUTHANS SVEN &amp; JANINE</t>
  </si>
  <si>
    <t>MOCKUS ALAN WAYNE &amp; CARMEN T</t>
  </si>
  <si>
    <t>RICHARD &amp; STACY THORNTON</t>
  </si>
  <si>
    <t xml:space="preserve">4353 N 152ND DR </t>
  </si>
  <si>
    <t>MCDONALD JOHN</t>
  </si>
  <si>
    <t>THORNTON RICHARD K &amp; STACY A</t>
  </si>
  <si>
    <t>ADDAMS</t>
  </si>
  <si>
    <t>RYAN &amp; KRISTINA ADDAMS</t>
  </si>
  <si>
    <t xml:space="preserve">7271 W ORAIBI DR </t>
  </si>
  <si>
    <t>COUNTRY CLUB ESTATES AT ARROWHEAD RANCH</t>
  </si>
  <si>
    <t>WARFIELD DAVID</t>
  </si>
  <si>
    <t>ADDAMS RYAN &amp; KRISTINA</t>
  </si>
  <si>
    <t>SCAGGS</t>
  </si>
  <si>
    <t>JOHN &amp; JANET SCAGGS</t>
  </si>
  <si>
    <t xml:space="preserve">15502 E PALO BREA CT </t>
  </si>
  <si>
    <t>PARCEL D-NORTH AT SUNRIDGE CANYON</t>
  </si>
  <si>
    <t>ROBERTSON JAY TRUSTEE T</t>
  </si>
  <si>
    <t>SCAGGS JOHN B &amp; JANET C</t>
  </si>
  <si>
    <t>BUNZ</t>
  </si>
  <si>
    <t>DONALD &amp; SONG BUNZ</t>
  </si>
  <si>
    <t xml:space="preserve">4504 W COLES RD </t>
  </si>
  <si>
    <t xml:space="preserve">1137 DEERBRUSH DR SE </t>
  </si>
  <si>
    <t>OLYMPIA</t>
  </si>
  <si>
    <t>MADDEN ELISHA O</t>
  </si>
  <si>
    <t>BUNZ DONALD E &amp; SONG</t>
  </si>
  <si>
    <t>MICHAEL &amp; LINDSAY OWEN</t>
  </si>
  <si>
    <t xml:space="preserve">2957 N HERITAGE ST </t>
  </si>
  <si>
    <t>BOW ADAM M &amp; JEZEL I</t>
  </si>
  <si>
    <t>OWEN MICHAEL P &amp; LINDSAY S</t>
  </si>
  <si>
    <t>CAROL ORTIZ</t>
  </si>
  <si>
    <t xml:space="preserve">10326 E CICERO CIR </t>
  </si>
  <si>
    <t>KOTZ MARK F</t>
  </si>
  <si>
    <t>ORTIZ CAROL M</t>
  </si>
  <si>
    <t>KEVIN DOUGHERTY</t>
  </si>
  <si>
    <t xml:space="preserve">18169 W SELLS DR </t>
  </si>
  <si>
    <t>JENNINGS FLIP F &amp; LISA M</t>
  </si>
  <si>
    <t>DOUGHERTY KEVIN</t>
  </si>
  <si>
    <t>PLAISTED</t>
  </si>
  <si>
    <t>GARRICK &amp; SHANNON PLAISTED</t>
  </si>
  <si>
    <t xml:space="preserve">5249 E HOBART ST </t>
  </si>
  <si>
    <t>WILLIAMS DAVID W &amp; MARY E</t>
  </si>
  <si>
    <t>PLAISTED GARRICK &amp; SHANNON</t>
  </si>
  <si>
    <t>JOSHUA &amp; JENNIFER PHELPS</t>
  </si>
  <si>
    <t xml:space="preserve">12712 W KEIM DR </t>
  </si>
  <si>
    <t>PHELPS JOSHUA J &amp; JENNIFER R</t>
  </si>
  <si>
    <t>RENATO</t>
  </si>
  <si>
    <t>DEFREITAS</t>
  </si>
  <si>
    <t>ELLISON-FREITAS</t>
  </si>
  <si>
    <t>RENATO DEFREITAS &amp; VIVIAN ELLISON-FREITAS</t>
  </si>
  <si>
    <t xml:space="preserve">7728 W VILLA THERESA DR </t>
  </si>
  <si>
    <t>HIDDEN MANOR 3 LOT 111-157</t>
  </si>
  <si>
    <t>NELSON GARY W &amp; MARY K</t>
  </si>
  <si>
    <t>DE FREITAS RENATO V</t>
  </si>
  <si>
    <t>ELLISON-FREITAS VIVIAN C</t>
  </si>
  <si>
    <t>MARK LEBORGNE</t>
  </si>
  <si>
    <t xml:space="preserve">31187 N 137TH LN </t>
  </si>
  <si>
    <t>AASENT MTG</t>
  </si>
  <si>
    <t>MARK A LEBORGNE JR</t>
  </si>
  <si>
    <t>MILLIS</t>
  </si>
  <si>
    <t>VALERIE MILLIS</t>
  </si>
  <si>
    <t xml:space="preserve">3533 E ELEANA LN </t>
  </si>
  <si>
    <t>LASH RICHARD &amp; LAURIE</t>
  </si>
  <si>
    <t>HOUSTON TX 77056</t>
  </si>
  <si>
    <t>MILLIS VALERIE D</t>
  </si>
  <si>
    <t>GREGORY SMALL</t>
  </si>
  <si>
    <t xml:space="preserve">9230 E LINDNER AVE </t>
  </si>
  <si>
    <t>SUNCREST AT AUGUSTA RANCH</t>
  </si>
  <si>
    <t>HALTON ANDREW</t>
  </si>
  <si>
    <t>SMALL GREGORY</t>
  </si>
  <si>
    <t>REMER</t>
  </si>
  <si>
    <t>JENNIFER HUDSON &amp; REMER GRINER</t>
  </si>
  <si>
    <t xml:space="preserve">1297 W KELLY LN </t>
  </si>
  <si>
    <t>SIERRA TEMPE UNIT 1</t>
  </si>
  <si>
    <t>CAYER DANA L</t>
  </si>
  <si>
    <t>HUDSON JENNIFER L</t>
  </si>
  <si>
    <t>GRINER REMER W JR</t>
  </si>
  <si>
    <t>DRESSER</t>
  </si>
  <si>
    <t>DOUGLAS &amp; RILEY DRESSER</t>
  </si>
  <si>
    <t xml:space="preserve">21708 N 37TH TER </t>
  </si>
  <si>
    <t>DESERT RIDGE SUPERBLOCK 11 PARCEL 4</t>
  </si>
  <si>
    <t>CRIMSON POINT AT FIRESIDE</t>
  </si>
  <si>
    <t>DEMASTERS TROY &amp; LYNN</t>
  </si>
  <si>
    <t>DRESSER DOUGLAS P &amp; RILEY K</t>
  </si>
  <si>
    <t>JAMES &amp; GINA DECKER</t>
  </si>
  <si>
    <t xml:space="preserve">14084 W ST MORITZ LN </t>
  </si>
  <si>
    <t>EMERSON TIFFANY</t>
  </si>
  <si>
    <t>DECKER JAMES R</t>
  </si>
  <si>
    <t>MARIAJORJINA</t>
  </si>
  <si>
    <t>FRANK MORENO &amp; MARIAJORJINA GONZALES</t>
  </si>
  <si>
    <t xml:space="preserve">4511 W COLES RD </t>
  </si>
  <si>
    <t>CLINTON MARK E</t>
  </si>
  <si>
    <t>MORENO FRANK</t>
  </si>
  <si>
    <t>GONZALES MARIAJORJINA H</t>
  </si>
  <si>
    <t>GOUCHER</t>
  </si>
  <si>
    <t>KENNETH &amp; MARINA GOUCHER</t>
  </si>
  <si>
    <t xml:space="preserve">19430 N 36TH WAY </t>
  </si>
  <si>
    <t>NORTHGATE VILLAGE PARCEL 4 LOT 47-174</t>
  </si>
  <si>
    <t>NORTHGATE VILLAGE</t>
  </si>
  <si>
    <t>WINTERS DAVID M</t>
  </si>
  <si>
    <t>GOUCHER KENNETH E &amp; MARINA</t>
  </si>
  <si>
    <t>JULIE SCHNEIDER</t>
  </si>
  <si>
    <t xml:space="preserve">633 W MOUNTAIN SKY AVE </t>
  </si>
  <si>
    <t>FOOTHILLS CLUB WEST PARCEL 16A  LOT 1-31</t>
  </si>
  <si>
    <t>TAYLOR ROGER &amp; SUSAN</t>
  </si>
  <si>
    <t>SCHNEIDER JULIE L</t>
  </si>
  <si>
    <t>LEHMAN</t>
  </si>
  <si>
    <t>DONALD &amp; CHERYL LEHMAN</t>
  </si>
  <si>
    <t xml:space="preserve">5409 N ANNIE CT </t>
  </si>
  <si>
    <t>LEHMAN DONALD F &amp; CHERYL L</t>
  </si>
  <si>
    <t>COREY &amp; LISA SMITH</t>
  </si>
  <si>
    <t xml:space="preserve">7806 W ROCK SPRINGS DR </t>
  </si>
  <si>
    <t>GREER TIMOTHY J</t>
  </si>
  <si>
    <t>SMITH COREY &amp; LISA</t>
  </si>
  <si>
    <t>F M TREECE REVOCABLE TRUST</t>
  </si>
  <si>
    <t>F TREECE</t>
  </si>
  <si>
    <t xml:space="preserve">2899 E WASHINGTON AVE </t>
  </si>
  <si>
    <t>HUNSAKER FAMILY TRUST</t>
  </si>
  <si>
    <t>TREECE F &amp; M TRUST</t>
  </si>
  <si>
    <t>DAVID SANDERS</t>
  </si>
  <si>
    <t xml:space="preserve">1652 E ROSE LN </t>
  </si>
  <si>
    <t>ROSE LANE ACRES</t>
  </si>
  <si>
    <t>SANDERS D BRADFORD &amp; TRACIE</t>
  </si>
  <si>
    <t>JAMES &amp; LINDA OCONNOR</t>
  </si>
  <si>
    <t xml:space="preserve">6120 W SAGUARO PARK LN </t>
  </si>
  <si>
    <t>PINNACLE HILL UNIT 2</t>
  </si>
  <si>
    <t>GILBERT JUDY M</t>
  </si>
  <si>
    <t>OCONNOR JAMES J &amp; LINDA D</t>
  </si>
  <si>
    <t>YYOLANY</t>
  </si>
  <si>
    <t>CAFFREY</t>
  </si>
  <si>
    <t>YYOLANY &amp; PETER CAFFREY</t>
  </si>
  <si>
    <t xml:space="preserve">15039 N 54TH PL </t>
  </si>
  <si>
    <t>DIAMOND POINT BY SHEA HOMES LOT 1-120 TR</t>
  </si>
  <si>
    <t>DIAMOND POINT</t>
  </si>
  <si>
    <t>ZIMMERMAN KURT A</t>
  </si>
  <si>
    <t>CAFFREY YYOLANY</t>
  </si>
  <si>
    <t>VICTORSON</t>
  </si>
  <si>
    <t>KEAST</t>
  </si>
  <si>
    <t>DAVID VICTORSON &amp; MELISSA KEAST</t>
  </si>
  <si>
    <t xml:space="preserve">8630 E VIA DE ENCANTO </t>
  </si>
  <si>
    <t>SANDS SCOTTSDALE FOUR LOT 140-218 TR A</t>
  </si>
  <si>
    <t>SANDS SCOTTSDALE</t>
  </si>
  <si>
    <t>DALZELL CASEY E</t>
  </si>
  <si>
    <t>VICTORSON DAVID S</t>
  </si>
  <si>
    <t>KEAST MELISSA A</t>
  </si>
  <si>
    <t>CHRISTOPHER &amp; CYNTHIA RUSSELL</t>
  </si>
  <si>
    <t xml:space="preserve">12550 W CHUCKS AVE </t>
  </si>
  <si>
    <t>VISTANCIA VILLAGE A PARCEL A8</t>
  </si>
  <si>
    <t>SILVERCREEK</t>
  </si>
  <si>
    <t>GERGEN DAVID S</t>
  </si>
  <si>
    <t>RUSSELL CHRISTOPHER J &amp; CYNTHIA A</t>
  </si>
  <si>
    <t>POSEY</t>
  </si>
  <si>
    <t>KRISTY POSEY</t>
  </si>
  <si>
    <t xml:space="preserve">12602 W MINER TRL </t>
  </si>
  <si>
    <t>TIGNOR MURDOCH &amp; MELISA</t>
  </si>
  <si>
    <t>POSEY KRISTY L</t>
  </si>
  <si>
    <t>VERA</t>
  </si>
  <si>
    <t>LESTER &amp; VERA LEE</t>
  </si>
  <si>
    <t xml:space="preserve">20751 W DELANEY DR </t>
  </si>
  <si>
    <t>LESTER GEORGE LOUIS &amp; VERA LE</t>
  </si>
  <si>
    <t>HOAGLAND</t>
  </si>
  <si>
    <t>HOAGLAND &amp; BARBARA ANN</t>
  </si>
  <si>
    <t xml:space="preserve">11647 S HALF MOON DR </t>
  </si>
  <si>
    <t>AHWATUKEE RS 5 LOT 2351-2419 &amp; TR A</t>
  </si>
  <si>
    <t>WESSON PETER J</t>
  </si>
  <si>
    <t>HOAGLAND RONALD</t>
  </si>
  <si>
    <t>LEO &amp; STEPHANIE ADAMS</t>
  </si>
  <si>
    <t xml:space="preserve">12210 W DAVIS LN </t>
  </si>
  <si>
    <t>ADAMS LEO &amp; STEPHANIE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</si>
</sst>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540"/>
  <sheetViews>
    <sheetView tabSelected="1" topLeftCell="BH1" workbookViewId="0">
      <selection activeCell="M1" sqref="M1:M1048576"/>
    </sheetView>
  </sheetViews>
  <sheetFormatPr defaultColWidth="9" defaultRowHeight="15" x14ac:dyDescent="0.25"/>
  <cols>
    <col min="1" max="1" width="20.5703125" bestFit="1" customWidth="1"/>
    <col min="2" max="2" width="52.42578125" bestFit="1" customWidth="1"/>
    <col min="3" max="3" width="22.5703125" bestFit="1" customWidth="1"/>
    <col min="4" max="4" width="45.85546875" bestFit="1" customWidth="1"/>
    <col min="5" max="5" width="51.28515625" bestFit="1" customWidth="1"/>
    <col min="6" max="6" width="15" bestFit="1" customWidth="1"/>
    <col min="7" max="7" width="12.85546875" bestFit="1" customWidth="1"/>
    <col min="8" max="8" width="31.140625" bestFit="1" customWidth="1"/>
    <col min="9" max="9" width="16.5703125" bestFit="1" customWidth="1"/>
    <col min="10" max="10" width="11.5703125" bestFit="1" customWidth="1"/>
    <col min="11" max="11" width="14.42578125" bestFit="1" customWidth="1"/>
    <col min="12" max="12" width="20.28515625" bestFit="1" customWidth="1"/>
    <col min="13" max="13" width="38.85546875" bestFit="1" customWidth="1"/>
    <col min="14" max="14" width="19.42578125" bestFit="1" customWidth="1"/>
    <col min="15" max="15" width="11.140625" bestFit="1" customWidth="1"/>
    <col min="16" max="16" width="14.28515625" bestFit="1" customWidth="1"/>
    <col min="17" max="17" width="17.85546875" bestFit="1" customWidth="1"/>
    <col min="18" max="18" width="17.5703125" bestFit="1" customWidth="1"/>
    <col min="19" max="19" width="46.7109375" bestFit="1" customWidth="1"/>
    <col min="20" max="20" width="49.5703125" bestFit="1" customWidth="1"/>
    <col min="21" max="21" width="12.140625" bestFit="1" customWidth="1"/>
    <col min="22" max="22" width="22.5703125" bestFit="1" customWidth="1"/>
    <col min="23" max="23" width="18" bestFit="1" customWidth="1"/>
    <col min="24" max="24" width="10.7109375" bestFit="1" customWidth="1"/>
    <col min="25" max="25" width="22" bestFit="1" customWidth="1"/>
    <col min="26" max="26" width="12" bestFit="1" customWidth="1"/>
    <col min="27" max="27" width="5.85546875" bestFit="1" customWidth="1"/>
    <col min="28" max="28" width="18.5703125" bestFit="1" customWidth="1"/>
    <col min="29" max="29" width="13.7109375" bestFit="1" customWidth="1"/>
    <col min="30" max="30" width="16.140625" bestFit="1" customWidth="1"/>
    <col min="31" max="31" width="12.85546875" bestFit="1" customWidth="1"/>
    <col min="32" max="32" width="13.5703125" bestFit="1" customWidth="1"/>
    <col min="33" max="33" width="15.85546875" bestFit="1" customWidth="1"/>
    <col min="34" max="34" width="18.28515625" bestFit="1" customWidth="1"/>
    <col min="35" max="35" width="14.28515625" bestFit="1" customWidth="1"/>
    <col min="36" max="36" width="19.42578125" bestFit="1" customWidth="1"/>
    <col min="37" max="37" width="17.28515625" bestFit="1" customWidth="1"/>
    <col min="38" max="38" width="9.5703125" bestFit="1" customWidth="1"/>
    <col min="39" max="39" width="8.42578125" bestFit="1" customWidth="1"/>
    <col min="40" max="40" width="9.42578125" bestFit="1" customWidth="1"/>
    <col min="41" max="41" width="12.85546875" bestFit="1" customWidth="1"/>
    <col min="42" max="42" width="22.140625" bestFit="1" customWidth="1"/>
    <col min="43" max="43" width="23" bestFit="1" customWidth="1"/>
    <col min="44" max="44" width="21.85546875" bestFit="1" customWidth="1"/>
    <col min="45" max="45" width="22.140625" bestFit="1" customWidth="1"/>
    <col min="46" max="46" width="21.42578125" bestFit="1" customWidth="1"/>
    <col min="47" max="47" width="30.28515625" bestFit="1" customWidth="1"/>
    <col min="48" max="48" width="36.140625" bestFit="1" customWidth="1"/>
    <col min="49" max="49" width="19" bestFit="1" customWidth="1"/>
    <col min="50" max="50" width="14" bestFit="1" customWidth="1"/>
    <col min="51" max="51" width="61.5703125" bestFit="1" customWidth="1"/>
    <col min="52" max="52" width="54.140625" bestFit="1" customWidth="1"/>
    <col min="53" max="53" width="36" bestFit="1" customWidth="1"/>
    <col min="54" max="54" width="19.85546875" bestFit="1" customWidth="1"/>
    <col min="55" max="55" width="13.85546875" bestFit="1" customWidth="1"/>
    <col min="56" max="56" width="33.42578125" bestFit="1" customWidth="1"/>
    <col min="57" max="57" width="21" bestFit="1" customWidth="1"/>
    <col min="58" max="58" width="15" bestFit="1" customWidth="1"/>
    <col min="59" max="59" width="48.140625" bestFit="1" customWidth="1"/>
    <col min="60" max="60" width="19.140625" bestFit="1" customWidth="1"/>
    <col min="61" max="61" width="22.85546875" bestFit="1" customWidth="1"/>
    <col min="62" max="62" width="23" bestFit="1" customWidth="1"/>
    <col min="63" max="63" width="18.7109375" bestFit="1" customWidth="1"/>
    <col min="64" max="64" width="19.85546875" bestFit="1" customWidth="1"/>
    <col min="65" max="65" width="35.85546875" bestFit="1" customWidth="1"/>
    <col min="66" max="66" width="55.28515625" bestFit="1" customWidth="1"/>
    <col min="67" max="67" width="46.7109375" bestFit="1" customWidth="1"/>
    <col min="68" max="68" width="41.7109375" bestFit="1" customWidth="1"/>
    <col min="69" max="69" width="22.5703125" bestFit="1" customWidth="1"/>
    <col min="70" max="70" width="27.28515625" bestFit="1" customWidth="1"/>
    <col min="71" max="71" width="19.42578125" bestFit="1" customWidth="1"/>
    <col min="72" max="72" width="23.5703125" bestFit="1" customWidth="1"/>
    <col min="73" max="73" width="23.7109375" bestFit="1" customWidth="1"/>
    <col min="74" max="74" width="34.28515625" bestFit="1" customWidth="1"/>
    <col min="75" max="75" width="20.5703125" bestFit="1" customWidth="1"/>
    <col min="76" max="76" width="34.7109375" bestFit="1" customWidth="1"/>
    <col min="77" max="77" width="52.85546875" bestFit="1" customWidth="1"/>
    <col min="78" max="78" width="49" bestFit="1" customWidth="1"/>
    <col min="79" max="79" width="30.5703125" bestFit="1" customWidth="1"/>
    <col min="80" max="80" width="23.28515625" bestFit="1" customWidth="1"/>
    <col min="81" max="81" width="28" bestFit="1" customWidth="1"/>
    <col min="82" max="82" width="20.140625" bestFit="1" customWidth="1"/>
    <col min="83" max="83" width="23.28515625" bestFit="1" customWidth="1"/>
    <col min="84" max="84" width="23.42578125" bestFit="1" customWidth="1"/>
    <col min="85" max="85" width="32.42578125" bestFit="1" customWidth="1"/>
    <col min="86" max="86" width="20.28515625" bestFit="1" customWidth="1"/>
    <col min="87" max="87" width="31.140625" bestFit="1" customWidth="1"/>
    <col min="88" max="88" width="41.140625" bestFit="1" customWidth="1"/>
    <col min="89" max="89" width="27.140625" bestFit="1" customWidth="1"/>
    <col min="90" max="90" width="27" bestFit="1" customWidth="1"/>
    <col min="91" max="91" width="23" bestFit="1" customWidth="1"/>
    <col min="92" max="92" width="27.7109375" bestFit="1" customWidth="1"/>
    <col min="93" max="93" width="19.85546875" bestFit="1" customWidth="1"/>
    <col min="94" max="94" width="23.140625" bestFit="1" customWidth="1"/>
    <col min="95" max="95" width="23.28515625" bestFit="1" customWidth="1"/>
    <col min="96" max="96" width="19" bestFit="1" customWidth="1"/>
    <col min="97" max="97" width="20.140625" bestFit="1" customWidth="1"/>
    <col min="98" max="98" width="31" bestFit="1" customWidth="1"/>
    <col min="99" max="99" width="30.42578125" bestFit="1" customWidth="1"/>
    <col min="100" max="101" width="26.85546875" bestFit="1" customWidth="1"/>
    <col min="102" max="102" width="22.85546875" bestFit="1" customWidth="1"/>
    <col min="103" max="103" width="27.5703125" bestFit="1" customWidth="1"/>
    <col min="104" max="104" width="19.7109375" bestFit="1" customWidth="1"/>
  </cols>
  <sheetData>
    <row r="1" spans="1:1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25">
      <c r="A2" t="s">
        <v>104</v>
      </c>
      <c r="B2" t="s">
        <v>105</v>
      </c>
      <c r="C2" t="s">
        <v>106</v>
      </c>
      <c r="D2" t="s">
        <v>105</v>
      </c>
      <c r="E2" t="s">
        <v>107</v>
      </c>
      <c r="F2" t="s">
        <v>108</v>
      </c>
      <c r="H2" t="s">
        <v>109</v>
      </c>
      <c r="I2" t="s">
        <v>110</v>
      </c>
      <c r="J2" t="s">
        <v>111</v>
      </c>
      <c r="K2" t="str">
        <f>"85249"</f>
        <v>85249</v>
      </c>
      <c r="L2" t="s">
        <v>112</v>
      </c>
      <c r="M2" t="s">
        <v>109</v>
      </c>
      <c r="N2" t="s">
        <v>110</v>
      </c>
      <c r="O2" t="s">
        <v>111</v>
      </c>
      <c r="P2" t="str">
        <f>"85249-3388"</f>
        <v>85249-3388</v>
      </c>
      <c r="Q2" t="s">
        <v>113</v>
      </c>
      <c r="R2" t="str">
        <f>"303-54-685"</f>
        <v>303-54-685</v>
      </c>
      <c r="S2" t="s">
        <v>114</v>
      </c>
      <c r="T2" t="s">
        <v>114</v>
      </c>
      <c r="U2">
        <v>2764</v>
      </c>
      <c r="W2">
        <v>5</v>
      </c>
      <c r="X2">
        <v>2015</v>
      </c>
      <c r="Z2">
        <v>2</v>
      </c>
      <c r="AC2" t="s">
        <v>115</v>
      </c>
      <c r="AD2">
        <v>3</v>
      </c>
      <c r="AE2" t="s">
        <v>115</v>
      </c>
      <c r="AH2" t="s">
        <v>116</v>
      </c>
      <c r="AI2" s="1">
        <v>75285</v>
      </c>
      <c r="AJ2" s="2">
        <v>0.15</v>
      </c>
      <c r="AK2" s="1">
        <v>493585</v>
      </c>
      <c r="AL2" t="s">
        <v>117</v>
      </c>
      <c r="AM2" t="s">
        <v>118</v>
      </c>
      <c r="AN2">
        <v>4680</v>
      </c>
      <c r="AO2">
        <v>0.11</v>
      </c>
      <c r="AR2">
        <v>1</v>
      </c>
      <c r="AS2" s="1">
        <v>37410</v>
      </c>
      <c r="AT2" s="1">
        <v>7480</v>
      </c>
      <c r="AU2" s="1">
        <v>29930</v>
      </c>
      <c r="AV2">
        <v>80.010000000000005</v>
      </c>
      <c r="AX2" s="1">
        <v>2808.22</v>
      </c>
      <c r="AY2" t="s">
        <v>119</v>
      </c>
      <c r="AZ2" t="s">
        <v>120</v>
      </c>
      <c r="BA2" t="s">
        <v>121</v>
      </c>
      <c r="BE2" s="3">
        <v>42482</v>
      </c>
      <c r="BF2" s="1">
        <v>404973</v>
      </c>
      <c r="BG2" t="s">
        <v>122</v>
      </c>
      <c r="BH2" s="1">
        <v>146.52000000000001</v>
      </c>
      <c r="BI2" s="1">
        <v>418300</v>
      </c>
      <c r="BJ2" s="3">
        <v>42482</v>
      </c>
      <c r="BK2" t="s">
        <v>123</v>
      </c>
      <c r="BL2" t="str">
        <f>"2016.272357"</f>
        <v>2016.272357</v>
      </c>
      <c r="BM2" t="s">
        <v>124</v>
      </c>
      <c r="BO2" t="s">
        <v>125</v>
      </c>
      <c r="BS2">
        <v>30</v>
      </c>
      <c r="BW2" t="str">
        <f>""</f>
        <v/>
      </c>
      <c r="CH2" t="str">
        <f>""</f>
        <v/>
      </c>
      <c r="CS2" t="str">
        <f>""</f>
        <v/>
      </c>
    </row>
    <row r="3" spans="1:104" x14ac:dyDescent="0.25">
      <c r="A3" t="s">
        <v>126</v>
      </c>
      <c r="B3" t="s">
        <v>127</v>
      </c>
      <c r="C3" t="s">
        <v>128</v>
      </c>
      <c r="D3" t="s">
        <v>127</v>
      </c>
      <c r="E3" t="s">
        <v>129</v>
      </c>
      <c r="F3" t="s">
        <v>108</v>
      </c>
      <c r="H3" t="s">
        <v>130</v>
      </c>
      <c r="I3" t="s">
        <v>110</v>
      </c>
      <c r="J3" t="s">
        <v>111</v>
      </c>
      <c r="K3" t="str">
        <f>"85249"</f>
        <v>85249</v>
      </c>
      <c r="L3" t="s">
        <v>112</v>
      </c>
      <c r="M3" t="s">
        <v>130</v>
      </c>
      <c r="N3" t="s">
        <v>110</v>
      </c>
      <c r="O3" t="s">
        <v>111</v>
      </c>
      <c r="P3" t="str">
        <f>"85249-4272"</f>
        <v>85249-4272</v>
      </c>
      <c r="Q3" t="s">
        <v>113</v>
      </c>
      <c r="R3" t="str">
        <f>"303-54-720"</f>
        <v>303-54-720</v>
      </c>
      <c r="S3" t="s">
        <v>114</v>
      </c>
      <c r="T3" t="s">
        <v>114</v>
      </c>
      <c r="U3">
        <v>1845</v>
      </c>
      <c r="W3">
        <v>3</v>
      </c>
      <c r="X3">
        <v>2016</v>
      </c>
      <c r="Z3">
        <v>1</v>
      </c>
      <c r="AC3" t="s">
        <v>115</v>
      </c>
      <c r="AD3">
        <v>2</v>
      </c>
      <c r="AE3" t="s">
        <v>115</v>
      </c>
      <c r="AH3" t="s">
        <v>116</v>
      </c>
      <c r="AI3" s="1">
        <v>59610</v>
      </c>
      <c r="AJ3" s="2">
        <v>0.14000000000000001</v>
      </c>
      <c r="AK3" s="1">
        <v>417510</v>
      </c>
      <c r="AL3" t="s">
        <v>117</v>
      </c>
      <c r="AM3" t="s">
        <v>118</v>
      </c>
      <c r="AN3">
        <v>4680</v>
      </c>
      <c r="AO3">
        <v>0.11</v>
      </c>
      <c r="AR3">
        <v>1</v>
      </c>
      <c r="AS3" s="1">
        <v>30800</v>
      </c>
      <c r="AT3" s="1">
        <v>6160</v>
      </c>
      <c r="AU3" s="1">
        <v>24640</v>
      </c>
      <c r="AV3">
        <v>80</v>
      </c>
      <c r="AX3" s="1">
        <v>2266.66</v>
      </c>
      <c r="AY3" t="s">
        <v>119</v>
      </c>
      <c r="AZ3" t="s">
        <v>120</v>
      </c>
      <c r="BA3" t="s">
        <v>121</v>
      </c>
      <c r="BE3" s="3">
        <v>42551</v>
      </c>
      <c r="BF3" s="1">
        <v>352907</v>
      </c>
      <c r="BG3" t="s">
        <v>122</v>
      </c>
      <c r="BH3" s="1">
        <v>191.28</v>
      </c>
      <c r="BI3" s="1">
        <v>312900</v>
      </c>
      <c r="BJ3" s="3">
        <v>42551</v>
      </c>
      <c r="BK3" t="s">
        <v>123</v>
      </c>
      <c r="BL3" t="str">
        <f>"2016.459357"</f>
        <v>2016.459357</v>
      </c>
      <c r="BM3" t="s">
        <v>131</v>
      </c>
      <c r="BN3" t="s">
        <v>132</v>
      </c>
      <c r="BO3" t="s">
        <v>133</v>
      </c>
      <c r="BS3">
        <v>30</v>
      </c>
      <c r="BT3" s="1">
        <v>45000</v>
      </c>
      <c r="BU3" s="3">
        <v>43609</v>
      </c>
      <c r="BV3" t="s">
        <v>134</v>
      </c>
      <c r="BW3" t="str">
        <f>"2019.381858"</f>
        <v>2019.381858</v>
      </c>
      <c r="BX3" t="s">
        <v>135</v>
      </c>
      <c r="BY3" t="s">
        <v>136</v>
      </c>
      <c r="BZ3" t="s">
        <v>137</v>
      </c>
      <c r="CA3" t="s">
        <v>138</v>
      </c>
      <c r="CC3" t="s">
        <v>139</v>
      </c>
      <c r="CH3" t="str">
        <f>""</f>
        <v/>
      </c>
      <c r="CS3" t="str">
        <f>""</f>
        <v/>
      </c>
    </row>
    <row r="4" spans="1:104" x14ac:dyDescent="0.25">
      <c r="A4" t="s">
        <v>140</v>
      </c>
      <c r="B4" t="s">
        <v>141</v>
      </c>
      <c r="E4" t="s">
        <v>142</v>
      </c>
      <c r="F4" t="s">
        <v>108</v>
      </c>
      <c r="H4" t="s">
        <v>143</v>
      </c>
      <c r="I4" t="s">
        <v>144</v>
      </c>
      <c r="J4" t="s">
        <v>111</v>
      </c>
      <c r="K4" t="str">
        <f>"85396"</f>
        <v>85396</v>
      </c>
      <c r="L4" t="s">
        <v>145</v>
      </c>
      <c r="M4" t="s">
        <v>143</v>
      </c>
      <c r="N4" t="s">
        <v>144</v>
      </c>
      <c r="O4" t="s">
        <v>111</v>
      </c>
      <c r="P4" t="str">
        <f>"85396-2407"</f>
        <v>85396-2407</v>
      </c>
      <c r="Q4" t="s">
        <v>113</v>
      </c>
      <c r="R4" t="str">
        <f>"502-61-099"</f>
        <v>502-61-099</v>
      </c>
      <c r="S4" t="s">
        <v>146</v>
      </c>
      <c r="U4">
        <v>1905</v>
      </c>
      <c r="W4">
        <v>3</v>
      </c>
      <c r="X4">
        <v>2016</v>
      </c>
      <c r="Z4">
        <v>1</v>
      </c>
      <c r="AC4" t="s">
        <v>115</v>
      </c>
      <c r="AD4">
        <v>2</v>
      </c>
      <c r="AE4" t="s">
        <v>115</v>
      </c>
      <c r="AH4" t="s">
        <v>116</v>
      </c>
      <c r="AI4" s="1">
        <v>57694</v>
      </c>
      <c r="AJ4" s="2">
        <v>0.2</v>
      </c>
      <c r="AK4" s="1">
        <v>287546</v>
      </c>
      <c r="AL4" t="s">
        <v>117</v>
      </c>
      <c r="AM4" t="s">
        <v>118</v>
      </c>
      <c r="AN4">
        <v>5557</v>
      </c>
      <c r="AO4">
        <v>0.13</v>
      </c>
      <c r="AR4">
        <v>1</v>
      </c>
      <c r="AS4" s="1">
        <v>20370</v>
      </c>
      <c r="AT4" s="1">
        <v>4070</v>
      </c>
      <c r="AU4" s="1">
        <v>16300</v>
      </c>
      <c r="AV4">
        <v>80.02</v>
      </c>
      <c r="AX4" s="1">
        <v>2005.92</v>
      </c>
      <c r="AY4" t="s">
        <v>147</v>
      </c>
      <c r="AZ4" t="s">
        <v>147</v>
      </c>
      <c r="BA4" t="s">
        <v>148</v>
      </c>
      <c r="BE4" s="3">
        <v>42549</v>
      </c>
      <c r="BF4" s="1">
        <v>225015</v>
      </c>
      <c r="BG4" t="s">
        <v>149</v>
      </c>
      <c r="BH4" s="1">
        <v>118.12</v>
      </c>
      <c r="BI4" s="1">
        <v>229852</v>
      </c>
      <c r="BJ4" s="3">
        <v>42549</v>
      </c>
      <c r="BK4" t="s">
        <v>123</v>
      </c>
      <c r="BL4" t="str">
        <f>"2016.449987"</f>
        <v>2016.449987</v>
      </c>
      <c r="BM4" t="s">
        <v>150</v>
      </c>
      <c r="BO4" t="s">
        <v>151</v>
      </c>
      <c r="BS4">
        <v>30</v>
      </c>
      <c r="BW4" t="str">
        <f>""</f>
        <v/>
      </c>
      <c r="CH4" t="str">
        <f>""</f>
        <v/>
      </c>
      <c r="CS4" t="str">
        <f>""</f>
        <v/>
      </c>
    </row>
    <row r="5" spans="1:104" x14ac:dyDescent="0.25">
      <c r="A5" t="s">
        <v>152</v>
      </c>
      <c r="B5" t="s">
        <v>153</v>
      </c>
      <c r="C5" t="s">
        <v>154</v>
      </c>
      <c r="D5" t="s">
        <v>153</v>
      </c>
      <c r="E5" t="s">
        <v>155</v>
      </c>
      <c r="F5" t="s">
        <v>108</v>
      </c>
      <c r="H5" t="s">
        <v>156</v>
      </c>
      <c r="I5" t="s">
        <v>144</v>
      </c>
      <c r="J5" t="s">
        <v>111</v>
      </c>
      <c r="K5" t="str">
        <f>"85396"</f>
        <v>85396</v>
      </c>
      <c r="L5" t="s">
        <v>145</v>
      </c>
      <c r="M5" t="s">
        <v>156</v>
      </c>
      <c r="N5" t="s">
        <v>144</v>
      </c>
      <c r="O5" t="s">
        <v>111</v>
      </c>
      <c r="P5" t="str">
        <f>"85396-2420"</f>
        <v>85396-2420</v>
      </c>
      <c r="Q5" t="s">
        <v>113</v>
      </c>
      <c r="R5" t="str">
        <f>"502-61-042"</f>
        <v>502-61-042</v>
      </c>
      <c r="S5" t="s">
        <v>146</v>
      </c>
      <c r="U5">
        <v>2761</v>
      </c>
      <c r="W5">
        <v>3</v>
      </c>
      <c r="X5">
        <v>2015</v>
      </c>
      <c r="Z5">
        <v>2</v>
      </c>
      <c r="AC5" t="s">
        <v>115</v>
      </c>
      <c r="AD5">
        <v>2</v>
      </c>
      <c r="AE5" t="s">
        <v>115</v>
      </c>
      <c r="AH5" t="s">
        <v>116</v>
      </c>
      <c r="AI5" s="1">
        <v>17324</v>
      </c>
      <c r="AJ5" s="2">
        <v>0.06</v>
      </c>
      <c r="AK5" s="1">
        <v>303346</v>
      </c>
      <c r="AL5" t="s">
        <v>117</v>
      </c>
      <c r="AM5" t="s">
        <v>118</v>
      </c>
      <c r="AN5">
        <v>6813</v>
      </c>
      <c r="AO5">
        <v>0.16</v>
      </c>
      <c r="AR5">
        <v>1</v>
      </c>
      <c r="AS5" s="1">
        <v>23060</v>
      </c>
      <c r="AT5" s="1">
        <v>4610</v>
      </c>
      <c r="AU5" s="1">
        <v>18450</v>
      </c>
      <c r="AV5">
        <v>80.010000000000005</v>
      </c>
      <c r="AX5" s="1">
        <v>2353.1999999999998</v>
      </c>
      <c r="AY5" t="s">
        <v>147</v>
      </c>
      <c r="AZ5" t="s">
        <v>147</v>
      </c>
      <c r="BA5" t="s">
        <v>148</v>
      </c>
      <c r="BB5" s="3">
        <v>43097</v>
      </c>
      <c r="BD5" t="s">
        <v>157</v>
      </c>
      <c r="BE5" s="3">
        <v>42488</v>
      </c>
      <c r="BF5" s="1">
        <v>256975</v>
      </c>
      <c r="BG5" t="s">
        <v>158</v>
      </c>
      <c r="BH5" s="1">
        <v>93.07</v>
      </c>
      <c r="BI5" s="1">
        <v>286022</v>
      </c>
      <c r="BJ5" s="3">
        <v>43637</v>
      </c>
      <c r="BK5" t="s">
        <v>123</v>
      </c>
      <c r="BL5" t="str">
        <f>"2019.468844"</f>
        <v>2019.468844</v>
      </c>
      <c r="BM5" t="s">
        <v>159</v>
      </c>
      <c r="BN5" t="s">
        <v>160</v>
      </c>
      <c r="BO5" t="s">
        <v>161</v>
      </c>
      <c r="BP5" t="s">
        <v>162</v>
      </c>
      <c r="BR5" t="s">
        <v>139</v>
      </c>
      <c r="BW5" t="str">
        <f>""</f>
        <v/>
      </c>
      <c r="CH5" t="str">
        <f>""</f>
        <v/>
      </c>
      <c r="CS5" t="str">
        <f>""</f>
        <v/>
      </c>
    </row>
    <row r="6" spans="1:104" x14ac:dyDescent="0.25">
      <c r="A6" t="s">
        <v>140</v>
      </c>
      <c r="B6" t="s">
        <v>163</v>
      </c>
      <c r="C6" t="s">
        <v>164</v>
      </c>
      <c r="D6" t="s">
        <v>163</v>
      </c>
      <c r="E6" t="s">
        <v>165</v>
      </c>
      <c r="F6" t="s">
        <v>108</v>
      </c>
      <c r="H6" t="s">
        <v>166</v>
      </c>
      <c r="I6" t="s">
        <v>167</v>
      </c>
      <c r="J6" t="s">
        <v>111</v>
      </c>
      <c r="K6" t="str">
        <f>"85339"</f>
        <v>85339</v>
      </c>
      <c r="L6" t="s">
        <v>168</v>
      </c>
      <c r="M6" t="s">
        <v>166</v>
      </c>
      <c r="N6" t="s">
        <v>167</v>
      </c>
      <c r="O6" t="s">
        <v>111</v>
      </c>
      <c r="P6" t="str">
        <f>"85339-5167"</f>
        <v>85339-5167</v>
      </c>
      <c r="Q6" t="s">
        <v>113</v>
      </c>
      <c r="R6" t="str">
        <f>"104-73-532"</f>
        <v>104-73-532</v>
      </c>
      <c r="S6" t="s">
        <v>169</v>
      </c>
      <c r="T6" t="s">
        <v>170</v>
      </c>
      <c r="U6">
        <v>1996</v>
      </c>
      <c r="W6">
        <v>5</v>
      </c>
      <c r="X6">
        <v>2016</v>
      </c>
      <c r="Z6">
        <v>1</v>
      </c>
      <c r="AC6" t="s">
        <v>115</v>
      </c>
      <c r="AD6">
        <v>3</v>
      </c>
      <c r="AE6" t="s">
        <v>115</v>
      </c>
      <c r="AH6" t="s">
        <v>116</v>
      </c>
      <c r="AI6" s="1">
        <v>50642</v>
      </c>
      <c r="AJ6" s="2">
        <v>0.17</v>
      </c>
      <c r="AK6" s="1">
        <v>298578</v>
      </c>
      <c r="AL6" t="s">
        <v>117</v>
      </c>
      <c r="AM6" t="s">
        <v>171</v>
      </c>
      <c r="AN6">
        <v>7425</v>
      </c>
      <c r="AO6">
        <v>0.17</v>
      </c>
      <c r="AR6">
        <v>1</v>
      </c>
      <c r="AS6" s="1">
        <v>22100</v>
      </c>
      <c r="AT6" s="1">
        <v>4420</v>
      </c>
      <c r="AU6" s="1">
        <v>17680</v>
      </c>
      <c r="AV6">
        <v>80</v>
      </c>
      <c r="AX6" s="1">
        <v>3114.5</v>
      </c>
      <c r="AY6" t="s">
        <v>172</v>
      </c>
      <c r="AZ6" t="s">
        <v>172</v>
      </c>
      <c r="BA6" t="s">
        <v>173</v>
      </c>
      <c r="BE6" s="3">
        <v>42521</v>
      </c>
      <c r="BF6" s="1">
        <v>240016</v>
      </c>
      <c r="BG6" t="s">
        <v>174</v>
      </c>
      <c r="BH6" s="1">
        <v>120.25</v>
      </c>
      <c r="BI6" s="1">
        <v>247936</v>
      </c>
      <c r="BJ6" s="3">
        <v>42521</v>
      </c>
      <c r="BK6" t="s">
        <v>123</v>
      </c>
      <c r="BL6" t="str">
        <f>"2016.376528"</f>
        <v>2016.376528</v>
      </c>
      <c r="BM6" t="s">
        <v>175</v>
      </c>
      <c r="BO6" t="s">
        <v>176</v>
      </c>
      <c r="BS6">
        <v>30</v>
      </c>
      <c r="BW6" t="str">
        <f>""</f>
        <v/>
      </c>
      <c r="CH6" t="str">
        <f>""</f>
        <v/>
      </c>
      <c r="CS6" t="str">
        <f>""</f>
        <v/>
      </c>
    </row>
    <row r="7" spans="1:104" x14ac:dyDescent="0.25">
      <c r="A7" t="s">
        <v>177</v>
      </c>
      <c r="B7" t="s">
        <v>178</v>
      </c>
      <c r="C7" t="s">
        <v>179</v>
      </c>
      <c r="D7" t="s">
        <v>178</v>
      </c>
      <c r="E7" t="s">
        <v>180</v>
      </c>
      <c r="F7" t="s">
        <v>108</v>
      </c>
      <c r="H7" t="s">
        <v>181</v>
      </c>
      <c r="I7" t="s">
        <v>110</v>
      </c>
      <c r="J7" t="s">
        <v>111</v>
      </c>
      <c r="K7" t="str">
        <f>"85249"</f>
        <v>85249</v>
      </c>
      <c r="L7" t="s">
        <v>112</v>
      </c>
      <c r="M7" t="s">
        <v>181</v>
      </c>
      <c r="N7" t="s">
        <v>110</v>
      </c>
      <c r="O7" t="s">
        <v>111</v>
      </c>
      <c r="P7" t="str">
        <f>"85249-5153"</f>
        <v>85249-5153</v>
      </c>
      <c r="Q7" t="s">
        <v>113</v>
      </c>
      <c r="R7" t="str">
        <f>"303-54-805"</f>
        <v>303-54-805</v>
      </c>
      <c r="S7" t="s">
        <v>114</v>
      </c>
      <c r="T7" t="s">
        <v>114</v>
      </c>
      <c r="U7">
        <v>1595</v>
      </c>
      <c r="W7">
        <v>3</v>
      </c>
      <c r="X7">
        <v>2015</v>
      </c>
      <c r="Z7">
        <v>1</v>
      </c>
      <c r="AC7" t="s">
        <v>115</v>
      </c>
      <c r="AD7">
        <v>2</v>
      </c>
      <c r="AE7" t="s">
        <v>115</v>
      </c>
      <c r="AH7" t="s">
        <v>116</v>
      </c>
      <c r="AI7" s="1">
        <v>38208</v>
      </c>
      <c r="AJ7" s="2">
        <v>0.1</v>
      </c>
      <c r="AK7" s="1">
        <v>376643</v>
      </c>
      <c r="AL7" t="s">
        <v>117</v>
      </c>
      <c r="AM7" t="s">
        <v>118</v>
      </c>
      <c r="AN7">
        <v>4728</v>
      </c>
      <c r="AO7">
        <v>0.11</v>
      </c>
      <c r="AR7">
        <v>1</v>
      </c>
      <c r="AS7" s="1">
        <v>28780</v>
      </c>
      <c r="AT7" s="1">
        <v>5750</v>
      </c>
      <c r="AU7" s="1">
        <v>23030</v>
      </c>
      <c r="AV7">
        <v>80.02</v>
      </c>
      <c r="AX7" s="1">
        <v>2186.8200000000002</v>
      </c>
      <c r="AY7" t="s">
        <v>119</v>
      </c>
      <c r="AZ7" t="s">
        <v>120</v>
      </c>
      <c r="BA7" t="s">
        <v>121</v>
      </c>
      <c r="BE7" s="3">
        <v>42327</v>
      </c>
      <c r="BF7" s="1">
        <v>331312</v>
      </c>
      <c r="BG7" t="s">
        <v>122</v>
      </c>
      <c r="BH7" s="1">
        <v>207.72</v>
      </c>
      <c r="BI7" s="1">
        <v>338435</v>
      </c>
      <c r="BJ7" s="3">
        <v>42327</v>
      </c>
      <c r="BK7" t="s">
        <v>123</v>
      </c>
      <c r="BL7" t="str">
        <f>"2015.828242"</f>
        <v>2015.828242</v>
      </c>
      <c r="BM7" t="s">
        <v>131</v>
      </c>
      <c r="BO7" t="s">
        <v>182</v>
      </c>
      <c r="BS7">
        <v>30</v>
      </c>
      <c r="BW7" t="str">
        <f>""</f>
        <v/>
      </c>
      <c r="CH7" t="str">
        <f>""</f>
        <v/>
      </c>
      <c r="CS7" t="str">
        <f>""</f>
        <v/>
      </c>
    </row>
    <row r="8" spans="1:104" x14ac:dyDescent="0.25">
      <c r="A8" t="s">
        <v>183</v>
      </c>
      <c r="B8" t="s">
        <v>184</v>
      </c>
      <c r="C8" t="s">
        <v>185</v>
      </c>
      <c r="D8" t="s">
        <v>184</v>
      </c>
      <c r="E8" t="s">
        <v>186</v>
      </c>
      <c r="F8" t="s">
        <v>108</v>
      </c>
      <c r="H8" t="s">
        <v>187</v>
      </c>
      <c r="I8" t="s">
        <v>188</v>
      </c>
      <c r="J8" t="s">
        <v>111</v>
      </c>
      <c r="K8" t="str">
        <f>"85142"</f>
        <v>85142</v>
      </c>
      <c r="L8" t="s">
        <v>189</v>
      </c>
      <c r="M8" t="s">
        <v>187</v>
      </c>
      <c r="N8" t="s">
        <v>188</v>
      </c>
      <c r="O8" t="s">
        <v>111</v>
      </c>
      <c r="P8" t="str">
        <f>"85142-4969"</f>
        <v>85142-4969</v>
      </c>
      <c r="Q8" t="s">
        <v>113</v>
      </c>
      <c r="R8" t="str">
        <f>"304-93-618"</f>
        <v>304-93-618</v>
      </c>
      <c r="S8" t="s">
        <v>190</v>
      </c>
      <c r="U8">
        <v>2797</v>
      </c>
      <c r="W8">
        <v>4</v>
      </c>
      <c r="X8">
        <v>2014</v>
      </c>
      <c r="Z8">
        <v>2</v>
      </c>
      <c r="AA8" t="s">
        <v>26</v>
      </c>
      <c r="AC8" t="s">
        <v>115</v>
      </c>
      <c r="AD8">
        <v>3</v>
      </c>
      <c r="AE8" t="s">
        <v>115</v>
      </c>
      <c r="AH8" t="s">
        <v>116</v>
      </c>
      <c r="AI8" s="1">
        <v>75588</v>
      </c>
      <c r="AJ8" s="2">
        <v>0.18</v>
      </c>
      <c r="AK8" s="1">
        <v>421093</v>
      </c>
      <c r="AL8" t="s">
        <v>117</v>
      </c>
      <c r="AM8" t="s">
        <v>191</v>
      </c>
      <c r="AN8">
        <v>7475</v>
      </c>
      <c r="AO8">
        <v>0.17</v>
      </c>
      <c r="AR8">
        <v>1</v>
      </c>
      <c r="AS8" s="1">
        <v>30800</v>
      </c>
      <c r="AT8" s="1">
        <v>6160</v>
      </c>
      <c r="AU8" s="1">
        <v>24640</v>
      </c>
      <c r="AV8">
        <v>80</v>
      </c>
      <c r="AX8" s="1">
        <v>3214.84</v>
      </c>
      <c r="AY8" t="s">
        <v>192</v>
      </c>
      <c r="AZ8" t="s">
        <v>193</v>
      </c>
      <c r="BA8" t="s">
        <v>194</v>
      </c>
      <c r="BE8" s="3">
        <v>41789</v>
      </c>
      <c r="BF8" s="1">
        <v>310000</v>
      </c>
      <c r="BG8" t="s">
        <v>195</v>
      </c>
      <c r="BH8" s="1">
        <v>110.83</v>
      </c>
      <c r="BI8" s="1">
        <v>320230</v>
      </c>
      <c r="BJ8" s="3">
        <v>41789</v>
      </c>
      <c r="BK8" t="s">
        <v>123</v>
      </c>
      <c r="BL8" t="str">
        <f>"2014.350286"</f>
        <v>2014.350286</v>
      </c>
      <c r="BM8" t="s">
        <v>196</v>
      </c>
      <c r="BO8" t="s">
        <v>197</v>
      </c>
      <c r="BS8">
        <v>30</v>
      </c>
      <c r="BT8" s="1">
        <v>25275</v>
      </c>
      <c r="BU8" s="3">
        <v>41822</v>
      </c>
      <c r="BV8" t="s">
        <v>134</v>
      </c>
      <c r="BW8" t="str">
        <f>"2014.434968"</f>
        <v>2014.434968</v>
      </c>
      <c r="BX8" t="s">
        <v>198</v>
      </c>
      <c r="BZ8" t="s">
        <v>197</v>
      </c>
      <c r="CD8">
        <v>15</v>
      </c>
      <c r="CH8" t="str">
        <f>""</f>
        <v/>
      </c>
      <c r="CS8" t="str">
        <f>""</f>
        <v/>
      </c>
    </row>
    <row r="9" spans="1:104" x14ac:dyDescent="0.25">
      <c r="A9" t="s">
        <v>199</v>
      </c>
      <c r="B9" t="s">
        <v>200</v>
      </c>
      <c r="E9" t="s">
        <v>201</v>
      </c>
      <c r="F9" t="s">
        <v>108</v>
      </c>
      <c r="H9" t="s">
        <v>202</v>
      </c>
      <c r="I9" t="s">
        <v>203</v>
      </c>
      <c r="J9" t="s">
        <v>111</v>
      </c>
      <c r="K9" t="str">
        <f>"85295"</f>
        <v>85295</v>
      </c>
      <c r="L9" t="s">
        <v>204</v>
      </c>
      <c r="M9" t="s">
        <v>202</v>
      </c>
      <c r="N9" t="s">
        <v>203</v>
      </c>
      <c r="O9" t="s">
        <v>111</v>
      </c>
      <c r="P9" t="str">
        <f>"85295"</f>
        <v>85295</v>
      </c>
      <c r="Q9" t="s">
        <v>113</v>
      </c>
      <c r="R9" t="str">
        <f>"313-18-090"</f>
        <v>313-18-090</v>
      </c>
      <c r="S9" t="s">
        <v>205</v>
      </c>
      <c r="T9" t="s">
        <v>205</v>
      </c>
      <c r="U9">
        <v>1788</v>
      </c>
      <c r="W9">
        <v>3</v>
      </c>
      <c r="X9">
        <v>2014</v>
      </c>
      <c r="Z9">
        <v>1</v>
      </c>
      <c r="AC9" t="s">
        <v>115</v>
      </c>
      <c r="AD9">
        <v>2</v>
      </c>
      <c r="AE9" t="s">
        <v>115</v>
      </c>
      <c r="AH9" t="s">
        <v>116</v>
      </c>
      <c r="AI9" s="1">
        <v>87834</v>
      </c>
      <c r="AJ9" s="2">
        <v>0.23</v>
      </c>
      <c r="AK9" s="1">
        <v>375396</v>
      </c>
      <c r="AL9" t="s">
        <v>117</v>
      </c>
      <c r="AM9" t="s">
        <v>191</v>
      </c>
      <c r="AN9">
        <v>5500</v>
      </c>
      <c r="AO9">
        <v>0.13</v>
      </c>
      <c r="AR9">
        <v>1</v>
      </c>
      <c r="AS9" s="1">
        <v>27400</v>
      </c>
      <c r="AT9" s="1">
        <v>5480</v>
      </c>
      <c r="AU9" s="1">
        <v>21920</v>
      </c>
      <c r="AV9">
        <v>80</v>
      </c>
      <c r="AX9" s="1">
        <v>1659.08</v>
      </c>
      <c r="AY9" t="s">
        <v>206</v>
      </c>
      <c r="AZ9" t="s">
        <v>207</v>
      </c>
      <c r="BA9" t="s">
        <v>208</v>
      </c>
      <c r="BE9" s="3">
        <v>41803</v>
      </c>
      <c r="BF9" s="1">
        <v>291893</v>
      </c>
      <c r="BG9" t="s">
        <v>209</v>
      </c>
      <c r="BH9" s="1">
        <v>163.25</v>
      </c>
      <c r="BI9" s="1">
        <v>287562</v>
      </c>
      <c r="BJ9" s="3">
        <v>42481</v>
      </c>
      <c r="BK9" t="s">
        <v>123</v>
      </c>
      <c r="BL9" t="str">
        <f>"2016.266591"</f>
        <v>2016.266591</v>
      </c>
      <c r="BM9" t="s">
        <v>175</v>
      </c>
      <c r="BO9" t="s">
        <v>210</v>
      </c>
      <c r="BS9">
        <v>30</v>
      </c>
      <c r="BW9" t="str">
        <f>""</f>
        <v/>
      </c>
      <c r="CH9" t="str">
        <f>""</f>
        <v/>
      </c>
      <c r="CS9" t="str">
        <f>""</f>
        <v/>
      </c>
    </row>
    <row r="10" spans="1:104" x14ac:dyDescent="0.25">
      <c r="A10" t="s">
        <v>211</v>
      </c>
      <c r="B10" t="s">
        <v>212</v>
      </c>
      <c r="E10" t="s">
        <v>213</v>
      </c>
      <c r="F10" t="s">
        <v>108</v>
      </c>
      <c r="H10" t="s">
        <v>214</v>
      </c>
      <c r="I10" t="s">
        <v>144</v>
      </c>
      <c r="J10" t="s">
        <v>111</v>
      </c>
      <c r="K10" t="str">
        <f>"85396"</f>
        <v>85396</v>
      </c>
      <c r="L10" t="s">
        <v>215</v>
      </c>
      <c r="M10" t="s">
        <v>214</v>
      </c>
      <c r="N10" t="s">
        <v>144</v>
      </c>
      <c r="O10" t="s">
        <v>111</v>
      </c>
      <c r="P10" t="str">
        <f>"85396"</f>
        <v>85396</v>
      </c>
      <c r="Q10" t="s">
        <v>113</v>
      </c>
      <c r="R10" t="str">
        <f>"502-82-270"</f>
        <v>502-82-270</v>
      </c>
      <c r="S10" t="s">
        <v>216</v>
      </c>
      <c r="U10">
        <v>2265</v>
      </c>
      <c r="W10">
        <v>4</v>
      </c>
      <c r="X10">
        <v>2013</v>
      </c>
      <c r="Z10">
        <v>2</v>
      </c>
      <c r="AC10" t="s">
        <v>115</v>
      </c>
      <c r="AD10">
        <v>2</v>
      </c>
      <c r="AE10" t="s">
        <v>115</v>
      </c>
      <c r="AH10" t="s">
        <v>116</v>
      </c>
      <c r="AI10" s="1">
        <v>5627</v>
      </c>
      <c r="AJ10" s="2">
        <v>0.02</v>
      </c>
      <c r="AK10" s="1">
        <v>294660</v>
      </c>
      <c r="AL10" t="s">
        <v>117</v>
      </c>
      <c r="AM10" t="s">
        <v>118</v>
      </c>
      <c r="AN10">
        <v>5400</v>
      </c>
      <c r="AO10">
        <v>0.12</v>
      </c>
      <c r="AR10">
        <v>1</v>
      </c>
      <c r="AS10" s="1">
        <v>20880</v>
      </c>
      <c r="AT10" s="1">
        <v>4170</v>
      </c>
      <c r="AU10" s="1">
        <v>16710</v>
      </c>
      <c r="AV10">
        <v>80.03</v>
      </c>
      <c r="AX10" s="1">
        <v>2819.62</v>
      </c>
      <c r="AY10" t="s">
        <v>217</v>
      </c>
      <c r="AZ10" t="s">
        <v>217</v>
      </c>
      <c r="BA10" t="s">
        <v>218</v>
      </c>
      <c r="BE10" s="3">
        <v>41878</v>
      </c>
      <c r="BF10" s="1">
        <v>279800</v>
      </c>
      <c r="BG10" t="s">
        <v>195</v>
      </c>
      <c r="BH10" s="1">
        <v>123.53</v>
      </c>
      <c r="BI10" s="1">
        <v>289033</v>
      </c>
      <c r="BJ10" s="3">
        <v>41878</v>
      </c>
      <c r="BK10" t="s">
        <v>123</v>
      </c>
      <c r="BL10" t="str">
        <f>"2014.568717"</f>
        <v>2014.568717</v>
      </c>
      <c r="BM10" t="s">
        <v>196</v>
      </c>
      <c r="BO10" t="s">
        <v>219</v>
      </c>
      <c r="BS10">
        <v>30</v>
      </c>
      <c r="BW10" t="str">
        <f>""</f>
        <v/>
      </c>
      <c r="CH10" t="str">
        <f>""</f>
        <v/>
      </c>
      <c r="CS10" t="str">
        <f>""</f>
        <v/>
      </c>
    </row>
    <row r="11" spans="1:104" x14ac:dyDescent="0.25">
      <c r="A11" t="s">
        <v>220</v>
      </c>
      <c r="B11" t="s">
        <v>221</v>
      </c>
      <c r="C11" t="s">
        <v>222</v>
      </c>
      <c r="D11" t="s">
        <v>221</v>
      </c>
      <c r="E11" t="s">
        <v>223</v>
      </c>
      <c r="F11" t="s">
        <v>108</v>
      </c>
      <c r="H11" t="s">
        <v>224</v>
      </c>
      <c r="I11" t="s">
        <v>225</v>
      </c>
      <c r="J11" t="s">
        <v>111</v>
      </c>
      <c r="K11" t="str">
        <f>"85206"</f>
        <v>85206</v>
      </c>
      <c r="L11" t="s">
        <v>226</v>
      </c>
      <c r="M11" t="s">
        <v>224</v>
      </c>
      <c r="N11" t="s">
        <v>225</v>
      </c>
      <c r="O11" t="s">
        <v>111</v>
      </c>
      <c r="P11" t="str">
        <f>"85206-1506"</f>
        <v>85206-1506</v>
      </c>
      <c r="Q11" t="s">
        <v>113</v>
      </c>
      <c r="R11" t="str">
        <f>"141-50-642"</f>
        <v>141-50-642</v>
      </c>
      <c r="S11" t="s">
        <v>227</v>
      </c>
      <c r="T11" t="s">
        <v>228</v>
      </c>
      <c r="U11">
        <v>2324</v>
      </c>
      <c r="W11">
        <v>3</v>
      </c>
      <c r="X11">
        <v>2015</v>
      </c>
      <c r="Z11">
        <v>2</v>
      </c>
      <c r="AC11" t="s">
        <v>115</v>
      </c>
      <c r="AD11">
        <v>2</v>
      </c>
      <c r="AE11" t="s">
        <v>115</v>
      </c>
      <c r="AH11" t="s">
        <v>116</v>
      </c>
      <c r="AI11" s="1">
        <v>85780</v>
      </c>
      <c r="AJ11" s="2">
        <v>0.27</v>
      </c>
      <c r="AK11" s="1">
        <v>316814</v>
      </c>
      <c r="AL11" t="s">
        <v>117</v>
      </c>
      <c r="AM11" t="s">
        <v>229</v>
      </c>
      <c r="AN11">
        <v>3864</v>
      </c>
      <c r="AO11">
        <v>0.89</v>
      </c>
      <c r="AR11">
        <v>1</v>
      </c>
      <c r="AS11" s="1">
        <v>21300</v>
      </c>
      <c r="AT11" s="1">
        <v>4260</v>
      </c>
      <c r="AU11" s="1">
        <v>17040</v>
      </c>
      <c r="AV11">
        <v>80</v>
      </c>
      <c r="AX11" s="1">
        <v>1786.22</v>
      </c>
      <c r="AY11" t="s">
        <v>230</v>
      </c>
      <c r="AZ11" t="s">
        <v>231</v>
      </c>
      <c r="BA11" t="s">
        <v>232</v>
      </c>
      <c r="BE11" s="3">
        <v>42131</v>
      </c>
      <c r="BF11" s="1">
        <v>231034</v>
      </c>
      <c r="BG11" t="s">
        <v>233</v>
      </c>
      <c r="BH11" s="1">
        <v>99.41</v>
      </c>
      <c r="BI11" s="1">
        <v>231034</v>
      </c>
      <c r="BJ11" s="3">
        <v>42131</v>
      </c>
      <c r="BK11" t="s">
        <v>123</v>
      </c>
      <c r="BL11" t="str">
        <f>"2015.322776"</f>
        <v>2015.322776</v>
      </c>
      <c r="BM11" t="s">
        <v>234</v>
      </c>
      <c r="BO11" t="s">
        <v>235</v>
      </c>
      <c r="BS11">
        <v>30</v>
      </c>
      <c r="BW11" t="str">
        <f>""</f>
        <v/>
      </c>
      <c r="CH11" t="str">
        <f>""</f>
        <v/>
      </c>
      <c r="CS11" t="str">
        <f>""</f>
        <v/>
      </c>
    </row>
    <row r="12" spans="1:104" x14ac:dyDescent="0.25">
      <c r="B12" t="s">
        <v>236</v>
      </c>
      <c r="E12" t="s">
        <v>237</v>
      </c>
      <c r="F12" t="s">
        <v>108</v>
      </c>
      <c r="H12" t="s">
        <v>238</v>
      </c>
      <c r="I12" t="s">
        <v>144</v>
      </c>
      <c r="J12" t="s">
        <v>111</v>
      </c>
      <c r="K12" t="str">
        <f>"85396"</f>
        <v>85396</v>
      </c>
      <c r="L12" t="s">
        <v>145</v>
      </c>
      <c r="M12" t="s">
        <v>238</v>
      </c>
      <c r="N12" t="s">
        <v>144</v>
      </c>
      <c r="O12" t="s">
        <v>111</v>
      </c>
      <c r="P12" t="str">
        <f>"85396-2461"</f>
        <v>85396-2461</v>
      </c>
      <c r="Q12" t="s">
        <v>113</v>
      </c>
      <c r="R12" t="str">
        <f>"502-61-280"</f>
        <v>502-61-280</v>
      </c>
      <c r="S12" t="s">
        <v>239</v>
      </c>
      <c r="U12">
        <v>3433</v>
      </c>
      <c r="W12">
        <v>4</v>
      </c>
      <c r="X12">
        <v>2014</v>
      </c>
      <c r="Z12">
        <v>2</v>
      </c>
      <c r="AC12" t="s">
        <v>115</v>
      </c>
      <c r="AD12">
        <v>3</v>
      </c>
      <c r="AE12" t="s">
        <v>115</v>
      </c>
      <c r="AH12" t="s">
        <v>116</v>
      </c>
      <c r="AI12" s="1">
        <v>79350</v>
      </c>
      <c r="AJ12" s="2">
        <v>0.21</v>
      </c>
      <c r="AK12" s="1">
        <v>369340</v>
      </c>
      <c r="AL12" t="s">
        <v>117</v>
      </c>
      <c r="AM12" t="s">
        <v>118</v>
      </c>
      <c r="AN12">
        <v>6900</v>
      </c>
      <c r="AO12">
        <v>0.16</v>
      </c>
      <c r="AR12">
        <v>1</v>
      </c>
      <c r="AS12" s="1">
        <v>26620</v>
      </c>
      <c r="AT12" s="1">
        <v>5320</v>
      </c>
      <c r="AU12" s="1">
        <v>21300</v>
      </c>
      <c r="AV12">
        <v>80.02</v>
      </c>
      <c r="AX12" s="1">
        <v>3166.28</v>
      </c>
      <c r="AY12" t="s">
        <v>147</v>
      </c>
      <c r="AZ12" t="s">
        <v>147</v>
      </c>
      <c r="BA12" t="s">
        <v>148</v>
      </c>
      <c r="BB12" s="3">
        <v>42705</v>
      </c>
      <c r="BD12" t="s">
        <v>240</v>
      </c>
      <c r="BE12" s="3">
        <v>41992</v>
      </c>
      <c r="BF12" s="1">
        <v>289990</v>
      </c>
      <c r="BG12" t="s">
        <v>158</v>
      </c>
      <c r="BH12" s="1">
        <v>84.47</v>
      </c>
      <c r="BI12" s="1">
        <v>289990</v>
      </c>
      <c r="BJ12" s="3">
        <v>41992</v>
      </c>
      <c r="BK12" t="s">
        <v>123</v>
      </c>
      <c r="BL12" t="str">
        <f>"2014.838108"</f>
        <v>2014.838108</v>
      </c>
      <c r="BM12" t="s">
        <v>241</v>
      </c>
      <c r="BO12" t="s">
        <v>242</v>
      </c>
      <c r="BS12">
        <v>30</v>
      </c>
      <c r="BW12" t="str">
        <f>""</f>
        <v/>
      </c>
      <c r="CH12" t="str">
        <f>""</f>
        <v/>
      </c>
      <c r="CS12" t="str">
        <f>""</f>
        <v/>
      </c>
    </row>
    <row r="13" spans="1:104" x14ac:dyDescent="0.25">
      <c r="A13" t="s">
        <v>243</v>
      </c>
      <c r="B13" t="s">
        <v>244</v>
      </c>
      <c r="E13" t="s">
        <v>245</v>
      </c>
      <c r="F13" t="s">
        <v>108</v>
      </c>
      <c r="H13" t="s">
        <v>246</v>
      </c>
      <c r="I13" t="s">
        <v>188</v>
      </c>
      <c r="J13" t="s">
        <v>111</v>
      </c>
      <c r="K13" t="str">
        <f>"85142"</f>
        <v>85142</v>
      </c>
      <c r="L13" t="s">
        <v>189</v>
      </c>
      <c r="M13" t="s">
        <v>246</v>
      </c>
      <c r="N13" t="s">
        <v>188</v>
      </c>
      <c r="O13" t="s">
        <v>111</v>
      </c>
      <c r="P13" t="str">
        <f>"85142-4987"</f>
        <v>85142-4987</v>
      </c>
      <c r="Q13" t="s">
        <v>113</v>
      </c>
      <c r="R13" t="str">
        <f>"304-93-597"</f>
        <v>304-93-597</v>
      </c>
      <c r="S13" t="s">
        <v>190</v>
      </c>
      <c r="U13">
        <v>2592</v>
      </c>
      <c r="W13">
        <v>4</v>
      </c>
      <c r="X13">
        <v>2015</v>
      </c>
      <c r="Z13">
        <v>1</v>
      </c>
      <c r="AC13" t="s">
        <v>115</v>
      </c>
      <c r="AD13">
        <v>3</v>
      </c>
      <c r="AE13" t="s">
        <v>115</v>
      </c>
      <c r="AH13" t="s">
        <v>116</v>
      </c>
      <c r="AI13" s="1">
        <v>16606</v>
      </c>
      <c r="AJ13" s="2">
        <v>0.04</v>
      </c>
      <c r="AK13" s="1">
        <v>425339</v>
      </c>
      <c r="AL13" t="s">
        <v>117</v>
      </c>
      <c r="AM13" t="s">
        <v>191</v>
      </c>
      <c r="AN13">
        <v>7475</v>
      </c>
      <c r="AO13">
        <v>0.17</v>
      </c>
      <c r="AR13">
        <v>1</v>
      </c>
      <c r="AS13" s="1">
        <v>30410</v>
      </c>
      <c r="AT13" s="1">
        <v>6080</v>
      </c>
      <c r="AU13" s="1">
        <v>24330</v>
      </c>
      <c r="AV13">
        <v>80.010000000000005</v>
      </c>
      <c r="AX13" s="1">
        <v>2805.16</v>
      </c>
      <c r="AY13" t="s">
        <v>192</v>
      </c>
      <c r="AZ13" t="s">
        <v>193</v>
      </c>
      <c r="BA13" t="s">
        <v>194</v>
      </c>
      <c r="BB13" s="3">
        <v>43588</v>
      </c>
      <c r="BC13" s="1">
        <v>0</v>
      </c>
      <c r="BD13" t="s">
        <v>247</v>
      </c>
      <c r="BE13" s="3">
        <v>42517</v>
      </c>
      <c r="BF13" s="1">
        <v>364990</v>
      </c>
      <c r="BG13" t="s">
        <v>195</v>
      </c>
      <c r="BH13" s="1">
        <v>140.81</v>
      </c>
      <c r="BI13" s="1">
        <v>408733</v>
      </c>
      <c r="BJ13" s="3">
        <v>43588</v>
      </c>
      <c r="BK13" t="s">
        <v>123</v>
      </c>
      <c r="BL13" t="str">
        <f>"2019.321545"</f>
        <v>2019.321545</v>
      </c>
      <c r="BM13" t="s">
        <v>248</v>
      </c>
      <c r="BN13" t="s">
        <v>249</v>
      </c>
      <c r="BO13" t="s">
        <v>250</v>
      </c>
      <c r="BR13" t="s">
        <v>139</v>
      </c>
      <c r="BW13" t="str">
        <f>""</f>
        <v/>
      </c>
      <c r="CH13" t="str">
        <f>""</f>
        <v/>
      </c>
      <c r="CS13" t="str">
        <f>""</f>
        <v/>
      </c>
    </row>
    <row r="14" spans="1:104" x14ac:dyDescent="0.25">
      <c r="A14" t="s">
        <v>251</v>
      </c>
      <c r="B14" t="s">
        <v>252</v>
      </c>
      <c r="E14" t="s">
        <v>253</v>
      </c>
      <c r="F14" t="s">
        <v>108</v>
      </c>
      <c r="H14" t="s">
        <v>254</v>
      </c>
      <c r="I14" t="s">
        <v>225</v>
      </c>
      <c r="J14" t="s">
        <v>111</v>
      </c>
      <c r="K14" t="str">
        <f>"85206"</f>
        <v>85206</v>
      </c>
      <c r="L14" t="s">
        <v>226</v>
      </c>
      <c r="M14" t="s">
        <v>254</v>
      </c>
      <c r="N14" t="s">
        <v>225</v>
      </c>
      <c r="O14" t="s">
        <v>111</v>
      </c>
      <c r="P14" t="str">
        <f>"85206-1506"</f>
        <v>85206-1506</v>
      </c>
      <c r="Q14" t="s">
        <v>113</v>
      </c>
      <c r="R14" t="str">
        <f>"141-50-641"</f>
        <v>141-50-641</v>
      </c>
      <c r="S14" t="s">
        <v>227</v>
      </c>
      <c r="T14" t="s">
        <v>228</v>
      </c>
      <c r="U14">
        <v>2581</v>
      </c>
      <c r="W14">
        <v>3</v>
      </c>
      <c r="X14">
        <v>2015</v>
      </c>
      <c r="Z14">
        <v>2</v>
      </c>
      <c r="AC14" t="s">
        <v>115</v>
      </c>
      <c r="AD14">
        <v>2</v>
      </c>
      <c r="AE14" t="s">
        <v>115</v>
      </c>
      <c r="AH14" t="s">
        <v>116</v>
      </c>
      <c r="AI14" s="1">
        <v>110959</v>
      </c>
      <c r="AJ14" s="2">
        <v>0.34</v>
      </c>
      <c r="AK14" s="1">
        <v>327377</v>
      </c>
      <c r="AL14" t="s">
        <v>117</v>
      </c>
      <c r="AM14" t="s">
        <v>229</v>
      </c>
      <c r="AN14">
        <v>3864</v>
      </c>
      <c r="AO14">
        <v>0.89</v>
      </c>
      <c r="AR14">
        <v>1</v>
      </c>
      <c r="AS14" s="1">
        <v>22230</v>
      </c>
      <c r="AT14" s="1">
        <v>4440</v>
      </c>
      <c r="AU14" s="1">
        <v>17790</v>
      </c>
      <c r="AV14">
        <v>80.03</v>
      </c>
      <c r="AX14" s="1">
        <v>1835.3</v>
      </c>
      <c r="AY14" t="s">
        <v>230</v>
      </c>
      <c r="AZ14" t="s">
        <v>231</v>
      </c>
      <c r="BA14" t="s">
        <v>232</v>
      </c>
      <c r="BE14" s="3">
        <v>42426</v>
      </c>
      <c r="BF14" s="1">
        <v>244990</v>
      </c>
      <c r="BG14" t="s">
        <v>233</v>
      </c>
      <c r="BH14" s="1">
        <v>94.92</v>
      </c>
      <c r="BI14" s="1">
        <v>216418</v>
      </c>
      <c r="BJ14" s="3">
        <v>42720</v>
      </c>
      <c r="BK14" t="s">
        <v>123</v>
      </c>
      <c r="BL14" t="str">
        <f>"2016.928993"</f>
        <v>2016.928993</v>
      </c>
      <c r="BM14" t="s">
        <v>255</v>
      </c>
      <c r="BO14" t="s">
        <v>256</v>
      </c>
      <c r="BS14">
        <v>30</v>
      </c>
      <c r="BW14" t="str">
        <f>""</f>
        <v/>
      </c>
      <c r="CH14" t="str">
        <f>""</f>
        <v/>
      </c>
      <c r="CS14" t="str">
        <f>""</f>
        <v/>
      </c>
    </row>
    <row r="15" spans="1:104" x14ac:dyDescent="0.25">
      <c r="A15" t="s">
        <v>257</v>
      </c>
      <c r="B15" t="s">
        <v>258</v>
      </c>
      <c r="C15" t="s">
        <v>259</v>
      </c>
      <c r="D15" t="s">
        <v>258</v>
      </c>
      <c r="E15" t="s">
        <v>260</v>
      </c>
      <c r="F15" t="s">
        <v>108</v>
      </c>
      <c r="H15" t="s">
        <v>261</v>
      </c>
      <c r="I15" t="s">
        <v>144</v>
      </c>
      <c r="J15" t="s">
        <v>111</v>
      </c>
      <c r="K15" t="str">
        <f>"85396"</f>
        <v>85396</v>
      </c>
      <c r="L15" t="s">
        <v>215</v>
      </c>
      <c r="M15" t="s">
        <v>261</v>
      </c>
      <c r="N15" t="s">
        <v>144</v>
      </c>
      <c r="O15" t="s">
        <v>111</v>
      </c>
      <c r="P15" t="str">
        <f>"85396"</f>
        <v>85396</v>
      </c>
      <c r="Q15" t="s">
        <v>113</v>
      </c>
      <c r="R15" t="str">
        <f>"502-82-289"</f>
        <v>502-82-289</v>
      </c>
      <c r="S15" t="s">
        <v>216</v>
      </c>
      <c r="U15">
        <v>1806</v>
      </c>
      <c r="W15">
        <v>3</v>
      </c>
      <c r="X15">
        <v>2013</v>
      </c>
      <c r="Z15">
        <v>1</v>
      </c>
      <c r="AC15" t="s">
        <v>115</v>
      </c>
      <c r="AD15">
        <v>2</v>
      </c>
      <c r="AE15" t="s">
        <v>115</v>
      </c>
      <c r="AH15" t="s">
        <v>116</v>
      </c>
      <c r="AI15" s="1">
        <v>48880</v>
      </c>
      <c r="AJ15" s="2">
        <v>0.16</v>
      </c>
      <c r="AK15" s="1">
        <v>304244</v>
      </c>
      <c r="AL15" t="s">
        <v>117</v>
      </c>
      <c r="AM15" t="s">
        <v>118</v>
      </c>
      <c r="AN15">
        <v>6875</v>
      </c>
      <c r="AO15">
        <v>0.16</v>
      </c>
      <c r="AR15">
        <v>1</v>
      </c>
      <c r="AS15" s="1">
        <v>20770</v>
      </c>
      <c r="AT15" s="1">
        <v>4150</v>
      </c>
      <c r="AU15" s="1">
        <v>16620</v>
      </c>
      <c r="AV15">
        <v>80.02</v>
      </c>
      <c r="AX15" s="1">
        <v>2732.26</v>
      </c>
      <c r="AY15" t="s">
        <v>217</v>
      </c>
      <c r="AZ15" t="s">
        <v>217</v>
      </c>
      <c r="BA15" t="s">
        <v>218</v>
      </c>
      <c r="BE15" s="3">
        <v>41943</v>
      </c>
      <c r="BF15" s="1">
        <v>249990</v>
      </c>
      <c r="BG15" t="s">
        <v>195</v>
      </c>
      <c r="BH15" s="1">
        <v>138.41999999999999</v>
      </c>
      <c r="BI15" s="1">
        <v>255364</v>
      </c>
      <c r="BJ15" s="3">
        <v>41943</v>
      </c>
      <c r="BK15" t="s">
        <v>123</v>
      </c>
      <c r="BL15" t="str">
        <f>"2014.726685"</f>
        <v>2014.726685</v>
      </c>
      <c r="BM15" t="s">
        <v>196</v>
      </c>
      <c r="BO15" t="s">
        <v>262</v>
      </c>
      <c r="BS15">
        <v>30</v>
      </c>
      <c r="BW15" t="str">
        <f>""</f>
        <v/>
      </c>
      <c r="CH15" t="str">
        <f>""</f>
        <v/>
      </c>
      <c r="CS15" t="str">
        <f>""</f>
        <v/>
      </c>
    </row>
    <row r="16" spans="1:104" x14ac:dyDescent="0.25">
      <c r="A16" t="s">
        <v>263</v>
      </c>
      <c r="B16" t="s">
        <v>264</v>
      </c>
      <c r="C16" t="s">
        <v>265</v>
      </c>
      <c r="D16" t="s">
        <v>266</v>
      </c>
      <c r="E16" t="s">
        <v>267</v>
      </c>
      <c r="F16" t="s">
        <v>108</v>
      </c>
      <c r="H16" t="s">
        <v>268</v>
      </c>
      <c r="I16" t="s">
        <v>203</v>
      </c>
      <c r="J16" t="s">
        <v>111</v>
      </c>
      <c r="K16" t="str">
        <f>"85298"</f>
        <v>85298</v>
      </c>
      <c r="L16" t="s">
        <v>269</v>
      </c>
      <c r="M16" t="s">
        <v>268</v>
      </c>
      <c r="N16" t="s">
        <v>203</v>
      </c>
      <c r="O16" t="s">
        <v>111</v>
      </c>
      <c r="P16" t="str">
        <f>"85298-7475"</f>
        <v>85298-7475</v>
      </c>
      <c r="Q16" t="s">
        <v>113</v>
      </c>
      <c r="R16" t="str">
        <f>"304-86-474"</f>
        <v>304-86-474</v>
      </c>
      <c r="S16" t="s">
        <v>270</v>
      </c>
      <c r="T16" t="s">
        <v>271</v>
      </c>
      <c r="U16">
        <v>1569</v>
      </c>
      <c r="W16">
        <v>2</v>
      </c>
      <c r="X16">
        <v>2014</v>
      </c>
      <c r="Z16">
        <v>1</v>
      </c>
      <c r="AC16" t="s">
        <v>115</v>
      </c>
      <c r="AD16">
        <v>2</v>
      </c>
      <c r="AE16" t="s">
        <v>115</v>
      </c>
      <c r="AH16" t="s">
        <v>116</v>
      </c>
      <c r="AI16" s="1">
        <v>77523</v>
      </c>
      <c r="AJ16" s="2">
        <v>0.23</v>
      </c>
      <c r="AK16" s="1">
        <v>336310</v>
      </c>
      <c r="AL16" t="s">
        <v>117</v>
      </c>
      <c r="AM16" t="s">
        <v>191</v>
      </c>
      <c r="AN16">
        <v>5750</v>
      </c>
      <c r="AO16">
        <v>0.13</v>
      </c>
      <c r="AR16">
        <v>1</v>
      </c>
      <c r="AS16" s="1">
        <v>22850</v>
      </c>
      <c r="AT16" s="1">
        <v>4570</v>
      </c>
      <c r="AU16" s="1">
        <v>18280</v>
      </c>
      <c r="AV16">
        <v>80</v>
      </c>
      <c r="AX16" s="1">
        <v>1678.92</v>
      </c>
      <c r="AY16" t="s">
        <v>272</v>
      </c>
      <c r="AZ16" t="s">
        <v>273</v>
      </c>
      <c r="BA16" t="s">
        <v>274</v>
      </c>
      <c r="BE16" s="3">
        <v>42046</v>
      </c>
      <c r="BF16" s="1">
        <v>247267</v>
      </c>
      <c r="BG16" t="s">
        <v>275</v>
      </c>
      <c r="BH16" s="1">
        <v>157.6</v>
      </c>
      <c r="BI16" s="1">
        <v>258787</v>
      </c>
      <c r="BJ16" s="3">
        <v>42671</v>
      </c>
      <c r="BK16" t="s">
        <v>123</v>
      </c>
      <c r="BL16" t="str">
        <f>"2016.792164"</f>
        <v>2016.792164</v>
      </c>
      <c r="BM16" t="s">
        <v>248</v>
      </c>
      <c r="BO16" t="s">
        <v>276</v>
      </c>
      <c r="BP16" t="s">
        <v>277</v>
      </c>
      <c r="BS16">
        <v>28</v>
      </c>
      <c r="BW16" t="str">
        <f>""</f>
        <v/>
      </c>
      <c r="CH16" t="str">
        <f>""</f>
        <v/>
      </c>
      <c r="CS16" t="str">
        <f>""</f>
        <v/>
      </c>
    </row>
    <row r="17" spans="1:97" x14ac:dyDescent="0.25">
      <c r="A17" t="s">
        <v>278</v>
      </c>
      <c r="B17" t="s">
        <v>279</v>
      </c>
      <c r="C17" t="s">
        <v>280</v>
      </c>
      <c r="D17" t="s">
        <v>279</v>
      </c>
      <c r="E17" t="s">
        <v>281</v>
      </c>
      <c r="F17" t="s">
        <v>282</v>
      </c>
      <c r="H17" t="s">
        <v>283</v>
      </c>
      <c r="I17" t="s">
        <v>203</v>
      </c>
      <c r="J17" t="s">
        <v>111</v>
      </c>
      <c r="K17" t="str">
        <f>"85298"</f>
        <v>85298</v>
      </c>
      <c r="L17" t="s">
        <v>284</v>
      </c>
      <c r="M17" t="s">
        <v>285</v>
      </c>
      <c r="N17" t="s">
        <v>203</v>
      </c>
      <c r="O17" t="s">
        <v>111</v>
      </c>
      <c r="P17" t="str">
        <f>"85298"</f>
        <v>85298</v>
      </c>
      <c r="Q17" t="s">
        <v>113</v>
      </c>
      <c r="R17" t="str">
        <f>"304-73-617"</f>
        <v>304-73-617</v>
      </c>
      <c r="S17" t="s">
        <v>286</v>
      </c>
      <c r="T17" t="s">
        <v>287</v>
      </c>
      <c r="U17">
        <v>1677</v>
      </c>
      <c r="W17">
        <v>3</v>
      </c>
      <c r="X17">
        <v>2015</v>
      </c>
      <c r="Z17">
        <v>1</v>
      </c>
      <c r="AA17" t="s">
        <v>26</v>
      </c>
      <c r="AC17" t="s">
        <v>115</v>
      </c>
      <c r="AD17">
        <v>2</v>
      </c>
      <c r="AE17" t="s">
        <v>115</v>
      </c>
      <c r="AH17" t="s">
        <v>116</v>
      </c>
      <c r="AI17" s="1">
        <v>48169</v>
      </c>
      <c r="AJ17" s="2">
        <v>0.14000000000000001</v>
      </c>
      <c r="AK17" s="1">
        <v>355900</v>
      </c>
      <c r="AL17" t="s">
        <v>117</v>
      </c>
      <c r="AM17" t="s">
        <v>288</v>
      </c>
      <c r="AN17">
        <v>6106</v>
      </c>
      <c r="AO17">
        <v>0.14000000000000001</v>
      </c>
      <c r="AR17">
        <v>1</v>
      </c>
      <c r="AS17" s="1">
        <v>25610</v>
      </c>
      <c r="AT17" s="1">
        <v>5120</v>
      </c>
      <c r="AU17" s="1">
        <v>20490</v>
      </c>
      <c r="AV17">
        <v>80.010000000000005</v>
      </c>
      <c r="AX17" s="1">
        <v>2026.04</v>
      </c>
      <c r="AY17" t="s">
        <v>289</v>
      </c>
      <c r="AZ17" t="s">
        <v>289</v>
      </c>
      <c r="BA17" t="s">
        <v>290</v>
      </c>
      <c r="BB17" s="3">
        <v>43616</v>
      </c>
      <c r="BC17" s="1">
        <v>0</v>
      </c>
      <c r="BD17" t="s">
        <v>291</v>
      </c>
      <c r="BE17" s="3">
        <v>42457</v>
      </c>
      <c r="BF17" s="1">
        <v>277487</v>
      </c>
      <c r="BG17" t="s">
        <v>292</v>
      </c>
      <c r="BH17" s="1">
        <v>165.47</v>
      </c>
      <c r="BI17" s="1">
        <v>307731</v>
      </c>
      <c r="BJ17" s="3">
        <v>42551</v>
      </c>
      <c r="BK17" t="s">
        <v>123</v>
      </c>
      <c r="BL17" t="str">
        <f>"2016.458403"</f>
        <v>2016.458403</v>
      </c>
      <c r="BM17" t="s">
        <v>248</v>
      </c>
      <c r="BN17" t="s">
        <v>249</v>
      </c>
      <c r="BO17" t="s">
        <v>293</v>
      </c>
      <c r="BS17">
        <v>30</v>
      </c>
      <c r="BW17" t="str">
        <f>""</f>
        <v/>
      </c>
      <c r="CH17" t="str">
        <f>""</f>
        <v/>
      </c>
      <c r="CS17" t="str">
        <f>""</f>
        <v/>
      </c>
    </row>
    <row r="18" spans="1:97" x14ac:dyDescent="0.25">
      <c r="A18" t="s">
        <v>294</v>
      </c>
      <c r="B18" t="s">
        <v>295</v>
      </c>
      <c r="C18" t="s">
        <v>296</v>
      </c>
      <c r="D18" t="s">
        <v>295</v>
      </c>
      <c r="E18" t="s">
        <v>297</v>
      </c>
      <c r="F18" t="s">
        <v>108</v>
      </c>
      <c r="H18" t="s">
        <v>298</v>
      </c>
      <c r="I18" t="s">
        <v>203</v>
      </c>
      <c r="J18" t="s">
        <v>111</v>
      </c>
      <c r="K18" t="str">
        <f>"85297"</f>
        <v>85297</v>
      </c>
      <c r="L18" t="s">
        <v>299</v>
      </c>
      <c r="M18" t="s">
        <v>298</v>
      </c>
      <c r="N18" t="s">
        <v>203</v>
      </c>
      <c r="O18" t="s">
        <v>111</v>
      </c>
      <c r="P18" t="str">
        <f>"85297-4608"</f>
        <v>85297-4608</v>
      </c>
      <c r="Q18" t="s">
        <v>113</v>
      </c>
      <c r="R18" t="str">
        <f>"304-58-800"</f>
        <v>304-58-800</v>
      </c>
      <c r="S18" t="s">
        <v>300</v>
      </c>
      <c r="T18" t="s">
        <v>301</v>
      </c>
      <c r="U18">
        <v>2402</v>
      </c>
      <c r="W18">
        <v>3</v>
      </c>
      <c r="X18">
        <v>2014</v>
      </c>
      <c r="Z18">
        <v>2</v>
      </c>
      <c r="AC18" t="s">
        <v>115</v>
      </c>
      <c r="AD18">
        <v>2</v>
      </c>
      <c r="AE18" t="s">
        <v>115</v>
      </c>
      <c r="AH18" t="s">
        <v>116</v>
      </c>
      <c r="AI18" s="1">
        <v>50203</v>
      </c>
      <c r="AJ18" s="2">
        <v>0.15</v>
      </c>
      <c r="AK18" s="1">
        <v>336198</v>
      </c>
      <c r="AL18" t="s">
        <v>117</v>
      </c>
      <c r="AM18" t="s">
        <v>288</v>
      </c>
      <c r="AN18">
        <v>4500</v>
      </c>
      <c r="AO18">
        <v>0.1</v>
      </c>
      <c r="AR18">
        <v>1</v>
      </c>
      <c r="AS18" s="1">
        <v>26180</v>
      </c>
      <c r="AT18" s="1">
        <v>5230</v>
      </c>
      <c r="AU18" s="1">
        <v>20950</v>
      </c>
      <c r="AV18">
        <v>80.02</v>
      </c>
      <c r="AX18" s="1">
        <v>2140.62</v>
      </c>
      <c r="AY18" t="s">
        <v>302</v>
      </c>
      <c r="AZ18" t="s">
        <v>273</v>
      </c>
      <c r="BA18" t="s">
        <v>303</v>
      </c>
      <c r="BE18" s="3">
        <v>41843</v>
      </c>
      <c r="BF18" s="1">
        <v>285995</v>
      </c>
      <c r="BG18" t="s">
        <v>209</v>
      </c>
      <c r="BH18" s="1">
        <v>119.07</v>
      </c>
      <c r="BI18" s="1">
        <v>285995</v>
      </c>
      <c r="BJ18" s="3">
        <v>41843</v>
      </c>
      <c r="BK18" t="s">
        <v>123</v>
      </c>
      <c r="BL18" t="str">
        <f>"2014.481803"</f>
        <v>2014.481803</v>
      </c>
      <c r="BM18" t="s">
        <v>175</v>
      </c>
      <c r="BO18" t="s">
        <v>304</v>
      </c>
      <c r="BS18">
        <v>30</v>
      </c>
      <c r="BW18" t="str">
        <f>""</f>
        <v/>
      </c>
      <c r="CH18" t="str">
        <f>""</f>
        <v/>
      </c>
      <c r="CS18" t="str">
        <f>""</f>
        <v/>
      </c>
    </row>
    <row r="19" spans="1:97" x14ac:dyDescent="0.25">
      <c r="A19" t="s">
        <v>305</v>
      </c>
      <c r="B19" t="s">
        <v>306</v>
      </c>
      <c r="E19" t="s">
        <v>307</v>
      </c>
      <c r="F19" t="s">
        <v>108</v>
      </c>
      <c r="H19" t="s">
        <v>308</v>
      </c>
      <c r="I19" t="s">
        <v>203</v>
      </c>
      <c r="J19" t="s">
        <v>111</v>
      </c>
      <c r="K19" t="str">
        <f>"85298"</f>
        <v>85298</v>
      </c>
      <c r="L19" t="s">
        <v>284</v>
      </c>
      <c r="M19" t="s">
        <v>308</v>
      </c>
      <c r="N19" t="s">
        <v>203</v>
      </c>
      <c r="O19" t="s">
        <v>111</v>
      </c>
      <c r="P19" t="str">
        <f>"85298"</f>
        <v>85298</v>
      </c>
      <c r="Q19" t="s">
        <v>113</v>
      </c>
      <c r="R19" t="str">
        <f>"304-73-683"</f>
        <v>304-73-683</v>
      </c>
      <c r="S19" t="s">
        <v>286</v>
      </c>
      <c r="T19" t="s">
        <v>287</v>
      </c>
      <c r="U19">
        <v>2394</v>
      </c>
      <c r="W19">
        <v>4</v>
      </c>
      <c r="X19">
        <v>2014</v>
      </c>
      <c r="Z19">
        <v>2</v>
      </c>
      <c r="AC19" t="s">
        <v>115</v>
      </c>
      <c r="AD19">
        <v>2</v>
      </c>
      <c r="AE19" t="s">
        <v>115</v>
      </c>
      <c r="AH19" t="s">
        <v>116</v>
      </c>
      <c r="AI19" s="1">
        <v>101835</v>
      </c>
      <c r="AJ19" s="2">
        <v>0.25</v>
      </c>
      <c r="AK19" s="1">
        <v>403768</v>
      </c>
      <c r="AL19" t="s">
        <v>117</v>
      </c>
      <c r="AM19" t="s">
        <v>288</v>
      </c>
      <c r="AN19">
        <v>5175</v>
      </c>
      <c r="AO19">
        <v>0.12</v>
      </c>
      <c r="AR19">
        <v>1</v>
      </c>
      <c r="AS19" s="1">
        <v>27320</v>
      </c>
      <c r="AT19" s="1">
        <v>5460</v>
      </c>
      <c r="AU19" s="1">
        <v>21860</v>
      </c>
      <c r="AV19">
        <v>80.010000000000005</v>
      </c>
      <c r="AX19" s="1">
        <v>2194.7399999999998</v>
      </c>
      <c r="AY19" t="s">
        <v>289</v>
      </c>
      <c r="AZ19" t="s">
        <v>289</v>
      </c>
      <c r="BA19" t="s">
        <v>290</v>
      </c>
      <c r="BE19" s="3">
        <v>41961</v>
      </c>
      <c r="BF19" s="1">
        <v>304631</v>
      </c>
      <c r="BG19" t="s">
        <v>292</v>
      </c>
      <c r="BH19" s="1">
        <v>127.25</v>
      </c>
      <c r="BI19" s="1">
        <v>301933</v>
      </c>
      <c r="BJ19" s="3">
        <v>42653</v>
      </c>
      <c r="BK19" t="s">
        <v>123</v>
      </c>
      <c r="BL19" t="str">
        <f>"2016.740726"</f>
        <v>2016.740726</v>
      </c>
      <c r="BM19" t="s">
        <v>309</v>
      </c>
      <c r="BO19" t="s">
        <v>310</v>
      </c>
      <c r="BS19">
        <v>30</v>
      </c>
      <c r="BW19" t="str">
        <f>""</f>
        <v/>
      </c>
      <c r="CH19" t="str">
        <f>""</f>
        <v/>
      </c>
      <c r="CS19" t="str">
        <f>""</f>
        <v/>
      </c>
    </row>
    <row r="20" spans="1:97" x14ac:dyDescent="0.25">
      <c r="A20" t="s">
        <v>311</v>
      </c>
      <c r="B20" t="s">
        <v>312</v>
      </c>
      <c r="E20" t="s">
        <v>313</v>
      </c>
      <c r="F20" t="s">
        <v>108</v>
      </c>
      <c r="H20" t="s">
        <v>314</v>
      </c>
      <c r="I20" t="s">
        <v>315</v>
      </c>
      <c r="J20" t="s">
        <v>111</v>
      </c>
      <c r="K20" t="str">
        <f>"85335"</f>
        <v>85335</v>
      </c>
      <c r="L20" t="s">
        <v>316</v>
      </c>
      <c r="M20" t="s">
        <v>314</v>
      </c>
      <c r="N20" t="s">
        <v>315</v>
      </c>
      <c r="O20" t="s">
        <v>111</v>
      </c>
      <c r="P20" t="str">
        <f>"85335-6984"</f>
        <v>85335-6984</v>
      </c>
      <c r="Q20" t="s">
        <v>113</v>
      </c>
      <c r="R20" t="str">
        <f>"501-25-652"</f>
        <v>501-25-652</v>
      </c>
      <c r="S20" t="s">
        <v>317</v>
      </c>
      <c r="T20" t="s">
        <v>318</v>
      </c>
      <c r="U20">
        <v>2556</v>
      </c>
      <c r="W20">
        <v>4</v>
      </c>
      <c r="X20">
        <v>2014</v>
      </c>
      <c r="Z20">
        <v>2</v>
      </c>
      <c r="AC20" t="s">
        <v>115</v>
      </c>
      <c r="AD20">
        <v>2</v>
      </c>
      <c r="AE20" t="s">
        <v>115</v>
      </c>
      <c r="AH20" t="s">
        <v>116</v>
      </c>
      <c r="AI20" s="1">
        <v>95481</v>
      </c>
      <c r="AJ20" s="2">
        <v>0.31</v>
      </c>
      <c r="AK20" s="1">
        <v>311981</v>
      </c>
      <c r="AL20" t="s">
        <v>117</v>
      </c>
      <c r="AM20" t="s">
        <v>319</v>
      </c>
      <c r="AN20">
        <v>9217</v>
      </c>
      <c r="AO20">
        <v>0.21</v>
      </c>
      <c r="AR20">
        <v>1</v>
      </c>
      <c r="AS20" s="1">
        <v>22910</v>
      </c>
      <c r="AT20" s="1">
        <v>4580</v>
      </c>
      <c r="AU20" s="1">
        <v>18330</v>
      </c>
      <c r="AV20">
        <v>80.010000000000005</v>
      </c>
      <c r="AX20" s="1">
        <v>2032.42</v>
      </c>
      <c r="AY20" t="s">
        <v>320</v>
      </c>
      <c r="AZ20" t="s">
        <v>320</v>
      </c>
      <c r="BA20" t="s">
        <v>321</v>
      </c>
      <c r="BE20" s="3">
        <v>41969</v>
      </c>
      <c r="BF20" s="1">
        <v>218990</v>
      </c>
      <c r="BG20" t="s">
        <v>195</v>
      </c>
      <c r="BH20" s="1">
        <v>85.68</v>
      </c>
      <c r="BI20" s="1">
        <v>216500</v>
      </c>
      <c r="BJ20" s="3">
        <v>42725</v>
      </c>
      <c r="BK20" t="s">
        <v>123</v>
      </c>
      <c r="BL20" t="str">
        <f>"2016.939010"</f>
        <v>2016.939010</v>
      </c>
      <c r="BM20" t="s">
        <v>322</v>
      </c>
      <c r="BO20" t="s">
        <v>323</v>
      </c>
      <c r="BP20" t="s">
        <v>324</v>
      </c>
      <c r="BS20">
        <v>30</v>
      </c>
      <c r="BW20" t="str">
        <f>""</f>
        <v/>
      </c>
      <c r="CH20" t="str">
        <f>""</f>
        <v/>
      </c>
      <c r="CS20" t="str">
        <f>""</f>
        <v/>
      </c>
    </row>
    <row r="21" spans="1:97" x14ac:dyDescent="0.25">
      <c r="A21" t="s">
        <v>325</v>
      </c>
      <c r="B21" t="s">
        <v>326</v>
      </c>
      <c r="C21" t="s">
        <v>327</v>
      </c>
      <c r="D21" t="s">
        <v>328</v>
      </c>
      <c r="E21" t="s">
        <v>329</v>
      </c>
      <c r="F21" t="s">
        <v>108</v>
      </c>
      <c r="H21" t="s">
        <v>330</v>
      </c>
      <c r="I21" t="s">
        <v>188</v>
      </c>
      <c r="J21" t="s">
        <v>111</v>
      </c>
      <c r="K21" t="str">
        <f>"85142"</f>
        <v>85142</v>
      </c>
      <c r="L21" t="s">
        <v>189</v>
      </c>
      <c r="M21" t="s">
        <v>330</v>
      </c>
      <c r="N21" t="s">
        <v>188</v>
      </c>
      <c r="O21" t="s">
        <v>111</v>
      </c>
      <c r="P21" t="str">
        <f>"85142-4974"</f>
        <v>85142-4974</v>
      </c>
      <c r="Q21" t="s">
        <v>113</v>
      </c>
      <c r="R21" t="str">
        <f>"304-93-626"</f>
        <v>304-93-626</v>
      </c>
      <c r="S21" t="s">
        <v>190</v>
      </c>
      <c r="U21">
        <v>2797</v>
      </c>
      <c r="W21">
        <v>4</v>
      </c>
      <c r="X21">
        <v>2014</v>
      </c>
      <c r="Z21">
        <v>2</v>
      </c>
      <c r="AC21" t="s">
        <v>115</v>
      </c>
      <c r="AD21">
        <v>3</v>
      </c>
      <c r="AE21" t="s">
        <v>115</v>
      </c>
      <c r="AH21" t="s">
        <v>116</v>
      </c>
      <c r="AI21" s="1">
        <v>98055</v>
      </c>
      <c r="AJ21" s="2">
        <v>0.24</v>
      </c>
      <c r="AK21" s="1">
        <v>403045</v>
      </c>
      <c r="AL21" t="s">
        <v>117</v>
      </c>
      <c r="AM21" t="s">
        <v>191</v>
      </c>
      <c r="AN21">
        <v>7475</v>
      </c>
      <c r="AO21">
        <v>0.17</v>
      </c>
      <c r="AR21">
        <v>1</v>
      </c>
      <c r="AS21" s="1">
        <v>29160</v>
      </c>
      <c r="AT21" s="1">
        <v>5830</v>
      </c>
      <c r="AU21" s="1">
        <v>23330</v>
      </c>
      <c r="AV21">
        <v>80.010000000000005</v>
      </c>
      <c r="AX21" s="1">
        <v>2775.88</v>
      </c>
      <c r="AY21" t="s">
        <v>192</v>
      </c>
      <c r="AZ21" t="s">
        <v>193</v>
      </c>
      <c r="BA21" t="s">
        <v>194</v>
      </c>
      <c r="BE21" s="3">
        <v>42093</v>
      </c>
      <c r="BF21" s="1">
        <v>304990</v>
      </c>
      <c r="BG21" t="s">
        <v>195</v>
      </c>
      <c r="BH21" s="1">
        <v>109.04</v>
      </c>
      <c r="BI21" s="1">
        <v>304990</v>
      </c>
      <c r="BJ21" s="3">
        <v>42093</v>
      </c>
      <c r="BK21" t="s">
        <v>123</v>
      </c>
      <c r="BL21" t="str">
        <f>"2015.213196"</f>
        <v>2015.213196</v>
      </c>
      <c r="BM21" t="s">
        <v>196</v>
      </c>
      <c r="BO21" t="s">
        <v>331</v>
      </c>
      <c r="BS21">
        <v>30</v>
      </c>
      <c r="BW21" t="str">
        <f>""</f>
        <v/>
      </c>
      <c r="CH21" t="str">
        <f>""</f>
        <v/>
      </c>
      <c r="CS21" t="str">
        <f>""</f>
        <v/>
      </c>
    </row>
    <row r="22" spans="1:97" x14ac:dyDescent="0.25">
      <c r="A22" t="s">
        <v>332</v>
      </c>
      <c r="B22" t="s">
        <v>333</v>
      </c>
      <c r="C22" t="s">
        <v>334</v>
      </c>
      <c r="D22" t="s">
        <v>333</v>
      </c>
      <c r="E22" t="s">
        <v>335</v>
      </c>
      <c r="F22" t="s">
        <v>108</v>
      </c>
      <c r="H22" t="s">
        <v>336</v>
      </c>
      <c r="I22" t="s">
        <v>203</v>
      </c>
      <c r="J22" t="s">
        <v>111</v>
      </c>
      <c r="K22" t="str">
        <f>"85298"</f>
        <v>85298</v>
      </c>
      <c r="L22" t="s">
        <v>337</v>
      </c>
      <c r="M22" t="s">
        <v>336</v>
      </c>
      <c r="N22" t="s">
        <v>203</v>
      </c>
      <c r="O22" t="s">
        <v>111</v>
      </c>
      <c r="P22" t="str">
        <f>"85298-7420"</f>
        <v>85298-7420</v>
      </c>
      <c r="Q22" t="s">
        <v>113</v>
      </c>
      <c r="R22" t="str">
        <f>"304-86-200"</f>
        <v>304-86-200</v>
      </c>
      <c r="S22" t="s">
        <v>338</v>
      </c>
      <c r="T22" t="s">
        <v>271</v>
      </c>
      <c r="U22">
        <v>1734</v>
      </c>
      <c r="W22">
        <v>2</v>
      </c>
      <c r="X22">
        <v>2013</v>
      </c>
      <c r="Z22">
        <v>1</v>
      </c>
      <c r="AC22" t="s">
        <v>115</v>
      </c>
      <c r="AD22">
        <v>2</v>
      </c>
      <c r="AE22" t="s">
        <v>115</v>
      </c>
      <c r="AH22" t="s">
        <v>116</v>
      </c>
      <c r="AI22" s="1">
        <v>59081</v>
      </c>
      <c r="AJ22" s="2">
        <v>0.18</v>
      </c>
      <c r="AK22" s="1">
        <v>326294</v>
      </c>
      <c r="AL22" t="s">
        <v>117</v>
      </c>
      <c r="AM22" t="s">
        <v>191</v>
      </c>
      <c r="AN22">
        <v>6236</v>
      </c>
      <c r="AO22">
        <v>0.14000000000000001</v>
      </c>
      <c r="AR22">
        <v>1</v>
      </c>
      <c r="AS22" s="1">
        <v>24160</v>
      </c>
      <c r="AT22" s="1">
        <v>4830</v>
      </c>
      <c r="AU22" s="1">
        <v>19330</v>
      </c>
      <c r="AV22">
        <v>80.010000000000005</v>
      </c>
      <c r="AX22" s="1">
        <v>1839.08</v>
      </c>
      <c r="AY22" t="s">
        <v>272</v>
      </c>
      <c r="AZ22" t="s">
        <v>273</v>
      </c>
      <c r="BA22" t="s">
        <v>274</v>
      </c>
      <c r="BE22" s="3">
        <v>42033</v>
      </c>
      <c r="BF22" s="1">
        <v>241900</v>
      </c>
      <c r="BG22" t="s">
        <v>339</v>
      </c>
      <c r="BH22" s="1">
        <v>139.5</v>
      </c>
      <c r="BI22" s="1">
        <v>230213</v>
      </c>
      <c r="BJ22" s="3">
        <v>42936</v>
      </c>
      <c r="BK22" t="s">
        <v>123</v>
      </c>
      <c r="BL22" t="str">
        <f>"2017.528596"</f>
        <v>2017.528596</v>
      </c>
      <c r="BM22" t="s">
        <v>340</v>
      </c>
      <c r="BN22">
        <v>8054</v>
      </c>
      <c r="BO22" t="s">
        <v>341</v>
      </c>
      <c r="BS22">
        <v>28</v>
      </c>
      <c r="BT22" s="1">
        <v>37000</v>
      </c>
      <c r="BU22" s="3">
        <v>43599</v>
      </c>
      <c r="BW22" t="str">
        <f>"2019.349034"</f>
        <v>2019.349034</v>
      </c>
      <c r="BX22" t="s">
        <v>342</v>
      </c>
      <c r="BY22" t="s">
        <v>343</v>
      </c>
      <c r="BZ22" t="s">
        <v>344</v>
      </c>
      <c r="CA22" t="s">
        <v>345</v>
      </c>
      <c r="CC22" t="s">
        <v>346</v>
      </c>
      <c r="CH22" t="str">
        <f>""</f>
        <v/>
      </c>
      <c r="CS22" t="str">
        <f>""</f>
        <v/>
      </c>
    </row>
    <row r="23" spans="1:97" x14ac:dyDescent="0.25">
      <c r="A23" t="s">
        <v>347</v>
      </c>
      <c r="B23" t="s">
        <v>348</v>
      </c>
      <c r="C23" t="s">
        <v>349</v>
      </c>
      <c r="D23" t="s">
        <v>348</v>
      </c>
      <c r="E23" t="s">
        <v>350</v>
      </c>
      <c r="F23" t="s">
        <v>108</v>
      </c>
      <c r="H23" t="s">
        <v>351</v>
      </c>
      <c r="I23" t="s">
        <v>144</v>
      </c>
      <c r="J23" t="s">
        <v>111</v>
      </c>
      <c r="K23" t="str">
        <f>"85396"</f>
        <v>85396</v>
      </c>
      <c r="L23" t="s">
        <v>145</v>
      </c>
      <c r="M23" t="s">
        <v>351</v>
      </c>
      <c r="N23" t="s">
        <v>144</v>
      </c>
      <c r="O23" t="s">
        <v>111</v>
      </c>
      <c r="P23" t="str">
        <f>"85396-2430"</f>
        <v>85396-2430</v>
      </c>
      <c r="Q23" t="s">
        <v>113</v>
      </c>
      <c r="R23" t="str">
        <f>"502-61-024"</f>
        <v>502-61-024</v>
      </c>
      <c r="S23" t="s">
        <v>146</v>
      </c>
      <c r="U23">
        <v>2761</v>
      </c>
      <c r="W23">
        <v>3</v>
      </c>
      <c r="X23">
        <v>2014</v>
      </c>
      <c r="Z23">
        <v>2</v>
      </c>
      <c r="AA23" t="s">
        <v>26</v>
      </c>
      <c r="AC23" t="s">
        <v>115</v>
      </c>
      <c r="AD23">
        <v>2</v>
      </c>
      <c r="AE23" t="s">
        <v>115</v>
      </c>
      <c r="AH23" t="s">
        <v>116</v>
      </c>
      <c r="AI23" s="1">
        <v>96704</v>
      </c>
      <c r="AJ23" s="2">
        <v>0.28000000000000003</v>
      </c>
      <c r="AK23" s="1">
        <v>346895</v>
      </c>
      <c r="AL23" t="s">
        <v>117</v>
      </c>
      <c r="AM23" t="s">
        <v>118</v>
      </c>
      <c r="AN23">
        <v>7026</v>
      </c>
      <c r="AO23">
        <v>0.16</v>
      </c>
      <c r="AR23">
        <v>1</v>
      </c>
      <c r="AS23" s="1">
        <v>25210</v>
      </c>
      <c r="AT23" s="1">
        <v>5040</v>
      </c>
      <c r="AU23" s="1">
        <v>20170</v>
      </c>
      <c r="AV23">
        <v>80.010000000000005</v>
      </c>
      <c r="AX23" s="1">
        <v>2752.02</v>
      </c>
      <c r="AY23" t="s">
        <v>147</v>
      </c>
      <c r="AZ23" t="s">
        <v>147</v>
      </c>
      <c r="BA23" t="s">
        <v>148</v>
      </c>
      <c r="BE23" s="3">
        <v>42167</v>
      </c>
      <c r="BF23" s="1">
        <v>244926</v>
      </c>
      <c r="BG23" t="s">
        <v>158</v>
      </c>
      <c r="BH23" s="1">
        <v>88.71</v>
      </c>
      <c r="BI23" s="1">
        <v>250191</v>
      </c>
      <c r="BJ23" s="3">
        <v>42167</v>
      </c>
      <c r="BK23" t="s">
        <v>123</v>
      </c>
      <c r="BL23" t="str">
        <f>"2015.422066"</f>
        <v>2015.422066</v>
      </c>
      <c r="BM23" t="s">
        <v>241</v>
      </c>
      <c r="BO23" t="s">
        <v>352</v>
      </c>
      <c r="BS23">
        <v>30</v>
      </c>
      <c r="BW23" t="str">
        <f>""</f>
        <v/>
      </c>
      <c r="CH23" t="str">
        <f>""</f>
        <v/>
      </c>
      <c r="CS23" t="str">
        <f>""</f>
        <v/>
      </c>
    </row>
    <row r="24" spans="1:97" x14ac:dyDescent="0.25">
      <c r="A24" t="s">
        <v>353</v>
      </c>
      <c r="B24" t="s">
        <v>354</v>
      </c>
      <c r="C24" t="s">
        <v>355</v>
      </c>
      <c r="D24" t="s">
        <v>354</v>
      </c>
      <c r="E24" t="s">
        <v>356</v>
      </c>
      <c r="F24" t="s">
        <v>282</v>
      </c>
      <c r="H24" t="s">
        <v>357</v>
      </c>
      <c r="I24" t="s">
        <v>110</v>
      </c>
      <c r="J24" t="s">
        <v>111</v>
      </c>
      <c r="K24" t="str">
        <f>"85249"</f>
        <v>85249</v>
      </c>
      <c r="L24" t="s">
        <v>112</v>
      </c>
      <c r="M24" t="s">
        <v>358</v>
      </c>
      <c r="N24" t="s">
        <v>359</v>
      </c>
      <c r="O24" t="s">
        <v>360</v>
      </c>
      <c r="P24" t="str">
        <f>"92103-1225"</f>
        <v>92103-1225</v>
      </c>
      <c r="Q24" t="s">
        <v>113</v>
      </c>
      <c r="R24" t="str">
        <f>"303-54-783"</f>
        <v>303-54-783</v>
      </c>
      <c r="S24" t="s">
        <v>114</v>
      </c>
      <c r="T24" t="s">
        <v>114</v>
      </c>
      <c r="U24">
        <v>2721</v>
      </c>
      <c r="W24">
        <v>4</v>
      </c>
      <c r="X24">
        <v>2013</v>
      </c>
      <c r="Z24">
        <v>2</v>
      </c>
      <c r="AC24" t="s">
        <v>115</v>
      </c>
      <c r="AD24">
        <v>2</v>
      </c>
      <c r="AE24" t="s">
        <v>115</v>
      </c>
      <c r="AH24" t="s">
        <v>116</v>
      </c>
      <c r="AI24" s="1">
        <v>118429</v>
      </c>
      <c r="AJ24" s="2">
        <v>0.24</v>
      </c>
      <c r="AK24" s="1">
        <v>498929</v>
      </c>
      <c r="AL24" t="s">
        <v>117</v>
      </c>
      <c r="AM24" t="s">
        <v>118</v>
      </c>
      <c r="AN24">
        <v>4680</v>
      </c>
      <c r="AO24">
        <v>0.11</v>
      </c>
      <c r="AR24">
        <v>1</v>
      </c>
      <c r="AS24" s="1">
        <v>36110</v>
      </c>
      <c r="AT24" s="1">
        <v>7220</v>
      </c>
      <c r="AU24" s="1">
        <v>28890</v>
      </c>
      <c r="AV24">
        <v>80.010000000000005</v>
      </c>
      <c r="AX24" s="1">
        <v>3468.36</v>
      </c>
      <c r="AY24" t="s">
        <v>119</v>
      </c>
      <c r="AZ24" t="s">
        <v>120</v>
      </c>
      <c r="BA24" t="s">
        <v>121</v>
      </c>
      <c r="BE24" s="3">
        <v>41750</v>
      </c>
      <c r="BF24" s="1">
        <v>394428</v>
      </c>
      <c r="BG24" t="s">
        <v>122</v>
      </c>
      <c r="BH24" s="1">
        <v>144.96</v>
      </c>
      <c r="BI24" s="1">
        <v>380500</v>
      </c>
      <c r="BJ24" s="3">
        <v>42495</v>
      </c>
      <c r="BK24" t="s">
        <v>123</v>
      </c>
      <c r="BL24" t="str">
        <f>"2016.305601"</f>
        <v>2016.305601</v>
      </c>
      <c r="BM24" t="s">
        <v>361</v>
      </c>
      <c r="BO24" t="s">
        <v>362</v>
      </c>
      <c r="BS24">
        <v>30</v>
      </c>
      <c r="BW24" t="str">
        <f>""</f>
        <v/>
      </c>
      <c r="CH24" t="str">
        <f>""</f>
        <v/>
      </c>
      <c r="CS24" t="str">
        <f>""</f>
        <v/>
      </c>
    </row>
    <row r="25" spans="1:97" x14ac:dyDescent="0.25">
      <c r="A25" t="s">
        <v>363</v>
      </c>
      <c r="B25" t="s">
        <v>364</v>
      </c>
      <c r="C25" t="s">
        <v>365</v>
      </c>
      <c r="D25" t="s">
        <v>364</v>
      </c>
      <c r="E25" t="s">
        <v>366</v>
      </c>
      <c r="F25" t="s">
        <v>108</v>
      </c>
      <c r="H25" t="s">
        <v>367</v>
      </c>
      <c r="I25" t="s">
        <v>188</v>
      </c>
      <c r="J25" t="s">
        <v>111</v>
      </c>
      <c r="K25" t="str">
        <f>"85142"</f>
        <v>85142</v>
      </c>
      <c r="L25" t="s">
        <v>189</v>
      </c>
      <c r="M25" t="s">
        <v>367</v>
      </c>
      <c r="N25" t="s">
        <v>188</v>
      </c>
      <c r="O25" t="s">
        <v>111</v>
      </c>
      <c r="P25" t="str">
        <f>"85142-4978"</f>
        <v>85142-4978</v>
      </c>
      <c r="Q25" t="s">
        <v>113</v>
      </c>
      <c r="R25" t="str">
        <f>"304-93-643"</f>
        <v>304-93-643</v>
      </c>
      <c r="S25" t="s">
        <v>190</v>
      </c>
      <c r="U25">
        <v>2592</v>
      </c>
      <c r="W25">
        <v>4</v>
      </c>
      <c r="X25">
        <v>2015</v>
      </c>
      <c r="Z25">
        <v>1</v>
      </c>
      <c r="AA25" t="s">
        <v>26</v>
      </c>
      <c r="AC25" t="s">
        <v>115</v>
      </c>
      <c r="AD25">
        <v>3</v>
      </c>
      <c r="AE25" t="s">
        <v>115</v>
      </c>
      <c r="AH25" t="s">
        <v>116</v>
      </c>
      <c r="AI25" s="1">
        <v>40314</v>
      </c>
      <c r="AJ25" s="2">
        <v>0.1</v>
      </c>
      <c r="AK25" s="1">
        <v>424177</v>
      </c>
      <c r="AL25" t="s">
        <v>117</v>
      </c>
      <c r="AM25" t="s">
        <v>191</v>
      </c>
      <c r="AN25">
        <v>7953</v>
      </c>
      <c r="AO25">
        <v>0.18</v>
      </c>
      <c r="AR25">
        <v>1</v>
      </c>
      <c r="AS25" s="1">
        <v>31000</v>
      </c>
      <c r="AT25" s="1">
        <v>6200</v>
      </c>
      <c r="AU25" s="1">
        <v>24800</v>
      </c>
      <c r="AV25">
        <v>80</v>
      </c>
      <c r="AX25" s="1">
        <v>3168.9</v>
      </c>
      <c r="AY25" t="s">
        <v>192</v>
      </c>
      <c r="AZ25" t="s">
        <v>193</v>
      </c>
      <c r="BA25" t="s">
        <v>194</v>
      </c>
      <c r="BE25" s="3">
        <v>42181</v>
      </c>
      <c r="BF25" s="1">
        <v>332990</v>
      </c>
      <c r="BG25" t="s">
        <v>195</v>
      </c>
      <c r="BH25" s="1">
        <v>128.47</v>
      </c>
      <c r="BI25" s="1">
        <v>344363</v>
      </c>
      <c r="BJ25" s="3">
        <v>42480</v>
      </c>
      <c r="BK25" t="s">
        <v>123</v>
      </c>
      <c r="BL25" t="str">
        <f>"2016.261824"</f>
        <v>2016.261824</v>
      </c>
      <c r="BM25" t="s">
        <v>322</v>
      </c>
      <c r="BO25" t="s">
        <v>368</v>
      </c>
      <c r="BS25">
        <v>30</v>
      </c>
      <c r="BT25" s="1">
        <v>39500</v>
      </c>
      <c r="BU25" s="3">
        <v>42213</v>
      </c>
      <c r="BV25" t="s">
        <v>134</v>
      </c>
      <c r="BW25" t="str">
        <f>"2015.541719"</f>
        <v>2015.541719</v>
      </c>
      <c r="BX25" t="s">
        <v>369</v>
      </c>
      <c r="BZ25" t="s">
        <v>368</v>
      </c>
      <c r="CD25">
        <v>15</v>
      </c>
      <c r="CH25" t="str">
        <f>""</f>
        <v/>
      </c>
      <c r="CS25" t="str">
        <f>""</f>
        <v/>
      </c>
    </row>
    <row r="26" spans="1:97" x14ac:dyDescent="0.25">
      <c r="A26" t="s">
        <v>370</v>
      </c>
      <c r="B26" t="s">
        <v>371</v>
      </c>
      <c r="E26" t="s">
        <v>372</v>
      </c>
      <c r="F26" t="s">
        <v>108</v>
      </c>
      <c r="H26" t="s">
        <v>373</v>
      </c>
      <c r="I26" t="s">
        <v>374</v>
      </c>
      <c r="J26" t="s">
        <v>111</v>
      </c>
      <c r="K26" t="str">
        <f>"85087"</f>
        <v>85087</v>
      </c>
      <c r="L26" t="s">
        <v>375</v>
      </c>
      <c r="M26" t="s">
        <v>373</v>
      </c>
      <c r="N26" t="s">
        <v>374</v>
      </c>
      <c r="O26" t="s">
        <v>111</v>
      </c>
      <c r="P26" t="str">
        <f>"85087-7022"</f>
        <v>85087-7022</v>
      </c>
      <c r="Q26" t="s">
        <v>113</v>
      </c>
      <c r="R26" t="str">
        <f>"202-13-021-C"</f>
        <v>202-13-021-C</v>
      </c>
      <c r="U26">
        <v>2544</v>
      </c>
      <c r="W26">
        <v>4</v>
      </c>
      <c r="X26">
        <v>2014</v>
      </c>
      <c r="Z26">
        <v>1</v>
      </c>
      <c r="AC26" t="s">
        <v>115</v>
      </c>
      <c r="AD26">
        <v>3</v>
      </c>
      <c r="AE26" t="s">
        <v>115</v>
      </c>
      <c r="AH26" t="s">
        <v>116</v>
      </c>
      <c r="AI26" s="1">
        <v>76003</v>
      </c>
      <c r="AJ26" s="2">
        <v>0.16</v>
      </c>
      <c r="AK26" s="1">
        <v>460685</v>
      </c>
      <c r="AL26" t="s">
        <v>117</v>
      </c>
      <c r="AM26" t="s">
        <v>376</v>
      </c>
      <c r="AN26">
        <v>58790</v>
      </c>
      <c r="AO26">
        <v>1.35</v>
      </c>
      <c r="AR26">
        <v>1</v>
      </c>
      <c r="AS26" s="1">
        <v>33650</v>
      </c>
      <c r="AT26" s="1">
        <v>6730</v>
      </c>
      <c r="AU26" s="1">
        <v>26920</v>
      </c>
      <c r="AV26">
        <v>80</v>
      </c>
      <c r="AX26" s="1">
        <v>2284.64</v>
      </c>
      <c r="AY26" t="s">
        <v>377</v>
      </c>
      <c r="AZ26" t="s">
        <v>377</v>
      </c>
      <c r="BA26" t="s">
        <v>378</v>
      </c>
      <c r="BE26" s="3">
        <v>41843</v>
      </c>
      <c r="BF26" s="1">
        <v>349900</v>
      </c>
      <c r="BG26" t="s">
        <v>379</v>
      </c>
      <c r="BH26" s="1">
        <v>137.54</v>
      </c>
      <c r="BI26" s="1">
        <v>359682</v>
      </c>
      <c r="BJ26" s="3">
        <v>42640</v>
      </c>
      <c r="BK26" t="s">
        <v>123</v>
      </c>
      <c r="BL26" t="str">
        <f>"2016.704088"</f>
        <v>2016.704088</v>
      </c>
      <c r="BM26" t="s">
        <v>380</v>
      </c>
      <c r="BN26" t="s">
        <v>381</v>
      </c>
      <c r="BO26" t="s">
        <v>382</v>
      </c>
      <c r="BS26">
        <v>30</v>
      </c>
      <c r="BT26" s="1">
        <v>25000</v>
      </c>
      <c r="BU26" s="3">
        <v>43635</v>
      </c>
      <c r="BV26" t="s">
        <v>134</v>
      </c>
      <c r="BW26" t="str">
        <f>"2019.459172"</f>
        <v>2019.459172</v>
      </c>
      <c r="BX26" t="s">
        <v>383</v>
      </c>
      <c r="BY26" t="s">
        <v>384</v>
      </c>
      <c r="BZ26" t="s">
        <v>372</v>
      </c>
      <c r="CA26" t="s">
        <v>385</v>
      </c>
      <c r="CC26" t="s">
        <v>139</v>
      </c>
      <c r="CH26" t="str">
        <f>""</f>
        <v/>
      </c>
      <c r="CS26" t="str">
        <f>""</f>
        <v/>
      </c>
    </row>
    <row r="27" spans="1:97" x14ac:dyDescent="0.25">
      <c r="B27" t="s">
        <v>386</v>
      </c>
      <c r="E27" t="s">
        <v>386</v>
      </c>
      <c r="F27" t="s">
        <v>282</v>
      </c>
      <c r="H27" t="s">
        <v>387</v>
      </c>
      <c r="I27" t="s">
        <v>203</v>
      </c>
      <c r="J27" t="s">
        <v>111</v>
      </c>
      <c r="K27" t="str">
        <f>"85297"</f>
        <v>85297</v>
      </c>
      <c r="L27" t="s">
        <v>388</v>
      </c>
      <c r="M27" t="s">
        <v>389</v>
      </c>
      <c r="N27" t="s">
        <v>390</v>
      </c>
      <c r="O27" t="s">
        <v>111</v>
      </c>
      <c r="P27" t="str">
        <f>"85041-7744"</f>
        <v>85041-7744</v>
      </c>
      <c r="Q27" t="s">
        <v>113</v>
      </c>
      <c r="R27" t="str">
        <f>"304-53-408"</f>
        <v>304-53-408</v>
      </c>
      <c r="S27" t="s">
        <v>391</v>
      </c>
      <c r="T27" t="s">
        <v>392</v>
      </c>
      <c r="U27">
        <v>2826</v>
      </c>
      <c r="W27">
        <v>4</v>
      </c>
      <c r="X27">
        <v>2014</v>
      </c>
      <c r="Z27">
        <v>1</v>
      </c>
      <c r="AC27" t="s">
        <v>115</v>
      </c>
      <c r="AD27">
        <v>3</v>
      </c>
      <c r="AE27" t="s">
        <v>115</v>
      </c>
      <c r="AH27" t="s">
        <v>116</v>
      </c>
      <c r="AI27" s="1">
        <v>130084</v>
      </c>
      <c r="AJ27" s="2">
        <v>0.27</v>
      </c>
      <c r="AK27" s="1">
        <v>478124</v>
      </c>
      <c r="AL27" t="s">
        <v>117</v>
      </c>
      <c r="AM27" t="s">
        <v>393</v>
      </c>
      <c r="AN27">
        <v>8400</v>
      </c>
      <c r="AO27">
        <v>0.19</v>
      </c>
      <c r="AR27">
        <v>1</v>
      </c>
      <c r="AS27" s="1">
        <v>34080</v>
      </c>
      <c r="AT27" s="1">
        <v>6810</v>
      </c>
      <c r="AU27" s="1">
        <v>27270</v>
      </c>
      <c r="AV27">
        <v>80.02</v>
      </c>
      <c r="AX27" s="1">
        <v>3124.92</v>
      </c>
      <c r="AY27" t="s">
        <v>394</v>
      </c>
      <c r="AZ27" t="s">
        <v>394</v>
      </c>
      <c r="BA27" t="s">
        <v>290</v>
      </c>
      <c r="BB27" s="3">
        <v>42488</v>
      </c>
      <c r="BD27" t="s">
        <v>240</v>
      </c>
      <c r="BE27" s="3">
        <v>41662</v>
      </c>
      <c r="BF27" s="1">
        <v>477725</v>
      </c>
      <c r="BG27" t="s">
        <v>209</v>
      </c>
      <c r="BH27" s="1">
        <v>169.05</v>
      </c>
      <c r="BI27" s="1">
        <v>348040</v>
      </c>
      <c r="BJ27" s="3">
        <v>42446</v>
      </c>
      <c r="BK27" t="s">
        <v>123</v>
      </c>
      <c r="BL27" t="str">
        <f>"2016.171075"</f>
        <v>2016.171075</v>
      </c>
      <c r="BM27" t="s">
        <v>255</v>
      </c>
      <c r="BO27" t="s">
        <v>395</v>
      </c>
      <c r="BS27">
        <v>30</v>
      </c>
      <c r="BW27" t="str">
        <f>""</f>
        <v/>
      </c>
      <c r="CH27" t="str">
        <f>""</f>
        <v/>
      </c>
      <c r="CS27" t="str">
        <f>""</f>
        <v/>
      </c>
    </row>
    <row r="28" spans="1:97" x14ac:dyDescent="0.25">
      <c r="A28" t="s">
        <v>211</v>
      </c>
      <c r="B28" t="s">
        <v>396</v>
      </c>
      <c r="C28" t="s">
        <v>397</v>
      </c>
      <c r="D28" t="s">
        <v>396</v>
      </c>
      <c r="E28" t="s">
        <v>398</v>
      </c>
      <c r="F28" t="s">
        <v>108</v>
      </c>
      <c r="H28" t="s">
        <v>399</v>
      </c>
      <c r="I28" t="s">
        <v>110</v>
      </c>
      <c r="J28" t="s">
        <v>111</v>
      </c>
      <c r="K28" t="str">
        <f>"85249"</f>
        <v>85249</v>
      </c>
      <c r="L28" t="s">
        <v>112</v>
      </c>
      <c r="M28" t="s">
        <v>399</v>
      </c>
      <c r="N28" t="s">
        <v>110</v>
      </c>
      <c r="O28" t="s">
        <v>111</v>
      </c>
      <c r="P28" t="str">
        <f>"85249-5589"</f>
        <v>85249-5589</v>
      </c>
      <c r="Q28" t="s">
        <v>113</v>
      </c>
      <c r="R28" t="str">
        <f>"303-88-403"</f>
        <v>303-88-403</v>
      </c>
      <c r="S28" t="s">
        <v>400</v>
      </c>
      <c r="T28" t="s">
        <v>401</v>
      </c>
      <c r="U28">
        <v>2352</v>
      </c>
      <c r="W28">
        <v>4</v>
      </c>
      <c r="X28">
        <v>2014</v>
      </c>
      <c r="Z28">
        <v>1</v>
      </c>
      <c r="AA28" t="s">
        <v>26</v>
      </c>
      <c r="AC28" t="s">
        <v>115</v>
      </c>
      <c r="AD28">
        <v>3</v>
      </c>
      <c r="AE28" t="s">
        <v>115</v>
      </c>
      <c r="AH28" t="s">
        <v>116</v>
      </c>
      <c r="AI28" s="1">
        <v>88276</v>
      </c>
      <c r="AJ28" s="2">
        <v>0.18</v>
      </c>
      <c r="AK28" s="1">
        <v>481220</v>
      </c>
      <c r="AL28" t="s">
        <v>117</v>
      </c>
      <c r="AM28" t="s">
        <v>118</v>
      </c>
      <c r="AN28">
        <v>8917</v>
      </c>
      <c r="AO28">
        <v>0.2</v>
      </c>
      <c r="AR28">
        <v>1</v>
      </c>
      <c r="AS28" s="1">
        <v>37280</v>
      </c>
      <c r="AT28" s="1">
        <v>7450</v>
      </c>
      <c r="AU28" s="1">
        <v>29830</v>
      </c>
      <c r="AV28">
        <v>80.02</v>
      </c>
      <c r="AX28" s="1">
        <v>2988.78</v>
      </c>
      <c r="AY28" t="s">
        <v>119</v>
      </c>
      <c r="AZ28" t="s">
        <v>120</v>
      </c>
      <c r="BA28" t="s">
        <v>121</v>
      </c>
      <c r="BE28" s="3">
        <v>41796</v>
      </c>
      <c r="BF28" s="1">
        <v>397869</v>
      </c>
      <c r="BG28" t="s">
        <v>122</v>
      </c>
      <c r="BH28" s="1">
        <v>169.16</v>
      </c>
      <c r="BI28" s="1">
        <v>392944</v>
      </c>
      <c r="BJ28" s="3">
        <v>42080</v>
      </c>
      <c r="BK28" t="s">
        <v>123</v>
      </c>
      <c r="BL28" t="str">
        <f>"2015.177898"</f>
        <v>2015.177898</v>
      </c>
      <c r="BM28" t="s">
        <v>402</v>
      </c>
      <c r="BO28" t="s">
        <v>403</v>
      </c>
      <c r="BS28">
        <v>30</v>
      </c>
      <c r="BW28" t="str">
        <f>""</f>
        <v/>
      </c>
      <c r="CH28" t="str">
        <f>""</f>
        <v/>
      </c>
      <c r="CS28" t="str">
        <f>""</f>
        <v/>
      </c>
    </row>
    <row r="29" spans="1:97" x14ac:dyDescent="0.25">
      <c r="A29" t="s">
        <v>404</v>
      </c>
      <c r="B29" t="s">
        <v>405</v>
      </c>
      <c r="C29" t="s">
        <v>406</v>
      </c>
      <c r="D29" t="s">
        <v>405</v>
      </c>
      <c r="E29" t="s">
        <v>407</v>
      </c>
      <c r="F29" t="s">
        <v>108</v>
      </c>
      <c r="H29" t="s">
        <v>408</v>
      </c>
      <c r="I29" t="s">
        <v>203</v>
      </c>
      <c r="J29" t="s">
        <v>111</v>
      </c>
      <c r="K29" t="str">
        <f>"85298"</f>
        <v>85298</v>
      </c>
      <c r="L29" t="s">
        <v>337</v>
      </c>
      <c r="M29" t="s">
        <v>408</v>
      </c>
      <c r="N29" t="s">
        <v>203</v>
      </c>
      <c r="O29" t="s">
        <v>111</v>
      </c>
      <c r="P29" t="str">
        <f>"85298-7454"</f>
        <v>85298-7454</v>
      </c>
      <c r="Q29" t="s">
        <v>113</v>
      </c>
      <c r="R29" t="str">
        <f>"304-86-282"</f>
        <v>304-86-282</v>
      </c>
      <c r="S29" t="s">
        <v>409</v>
      </c>
      <c r="T29" t="s">
        <v>271</v>
      </c>
      <c r="U29">
        <v>3541</v>
      </c>
      <c r="W29">
        <v>5</v>
      </c>
      <c r="X29">
        <v>2014</v>
      </c>
      <c r="Z29">
        <v>2</v>
      </c>
      <c r="AC29" t="s">
        <v>115</v>
      </c>
      <c r="AD29">
        <v>3</v>
      </c>
      <c r="AE29" t="s">
        <v>115</v>
      </c>
      <c r="AH29" t="s">
        <v>116</v>
      </c>
      <c r="AI29" s="1">
        <v>-18549</v>
      </c>
      <c r="AJ29" s="2">
        <v>-0.05</v>
      </c>
      <c r="AK29" s="1">
        <v>381451</v>
      </c>
      <c r="AL29" t="s">
        <v>117</v>
      </c>
      <c r="AM29" t="s">
        <v>191</v>
      </c>
      <c r="AN29">
        <v>6745</v>
      </c>
      <c r="AO29">
        <v>0.16</v>
      </c>
      <c r="AR29">
        <v>1</v>
      </c>
      <c r="AS29" s="1">
        <v>34500</v>
      </c>
      <c r="AT29" s="1">
        <v>6900</v>
      </c>
      <c r="AU29" s="1">
        <v>27600</v>
      </c>
      <c r="AV29">
        <v>80</v>
      </c>
      <c r="AX29" s="1">
        <v>2798.8</v>
      </c>
      <c r="AY29" t="s">
        <v>272</v>
      </c>
      <c r="AZ29" t="s">
        <v>273</v>
      </c>
      <c r="BA29" t="s">
        <v>274</v>
      </c>
      <c r="BE29" s="3">
        <v>41729</v>
      </c>
      <c r="BF29" s="1">
        <v>348867</v>
      </c>
      <c r="BG29" t="s">
        <v>275</v>
      </c>
      <c r="BH29" s="1">
        <v>98.52</v>
      </c>
      <c r="BI29" s="1">
        <v>400000</v>
      </c>
      <c r="BJ29" s="3">
        <v>43220</v>
      </c>
      <c r="BK29" t="s">
        <v>123</v>
      </c>
      <c r="BL29" t="str">
        <f>"2018.325556"</f>
        <v>2018.325556</v>
      </c>
      <c r="BM29" t="s">
        <v>135</v>
      </c>
      <c r="BN29" t="s">
        <v>136</v>
      </c>
      <c r="BO29" t="s">
        <v>410</v>
      </c>
      <c r="BP29" t="s">
        <v>411</v>
      </c>
      <c r="BR29" t="s">
        <v>139</v>
      </c>
      <c r="BW29" t="str">
        <f>""</f>
        <v/>
      </c>
      <c r="CH29" t="str">
        <f>""</f>
        <v/>
      </c>
      <c r="CS29" t="str">
        <f>""</f>
        <v/>
      </c>
    </row>
    <row r="30" spans="1:97" x14ac:dyDescent="0.25">
      <c r="A30" t="s">
        <v>412</v>
      </c>
      <c r="B30" t="s">
        <v>413</v>
      </c>
      <c r="C30" t="s">
        <v>414</v>
      </c>
      <c r="D30" t="s">
        <v>413</v>
      </c>
      <c r="E30" t="s">
        <v>415</v>
      </c>
      <c r="F30" t="s">
        <v>108</v>
      </c>
      <c r="H30" t="s">
        <v>416</v>
      </c>
      <c r="I30" t="s">
        <v>110</v>
      </c>
      <c r="J30" t="s">
        <v>111</v>
      </c>
      <c r="K30" t="str">
        <f>"85249"</f>
        <v>85249</v>
      </c>
      <c r="L30" t="s">
        <v>417</v>
      </c>
      <c r="M30" t="s">
        <v>416</v>
      </c>
      <c r="N30" t="s">
        <v>110</v>
      </c>
      <c r="O30" t="s">
        <v>111</v>
      </c>
      <c r="P30" t="str">
        <f>"85249-2051"</f>
        <v>85249-2051</v>
      </c>
      <c r="Q30" t="s">
        <v>113</v>
      </c>
      <c r="R30" t="str">
        <f>"304-75-588"</f>
        <v>304-75-588</v>
      </c>
      <c r="S30" t="s">
        <v>418</v>
      </c>
      <c r="T30" t="s">
        <v>418</v>
      </c>
      <c r="U30">
        <v>2347</v>
      </c>
      <c r="W30">
        <v>4</v>
      </c>
      <c r="X30">
        <v>2016</v>
      </c>
      <c r="Z30">
        <v>1</v>
      </c>
      <c r="AC30" t="s">
        <v>115</v>
      </c>
      <c r="AD30">
        <v>3</v>
      </c>
      <c r="AE30" t="s">
        <v>115</v>
      </c>
      <c r="AH30" t="s">
        <v>116</v>
      </c>
      <c r="AI30" s="1">
        <v>63490</v>
      </c>
      <c r="AJ30" s="2">
        <v>0.14000000000000001</v>
      </c>
      <c r="AK30" s="1">
        <v>459590</v>
      </c>
      <c r="AL30" t="s">
        <v>117</v>
      </c>
      <c r="AM30" t="s">
        <v>118</v>
      </c>
      <c r="AN30">
        <v>8568</v>
      </c>
      <c r="AO30">
        <v>0.2</v>
      </c>
      <c r="AR30">
        <v>1</v>
      </c>
      <c r="AS30" s="1">
        <v>33060</v>
      </c>
      <c r="AT30" s="1">
        <v>6610</v>
      </c>
      <c r="AU30" s="1">
        <v>26450</v>
      </c>
      <c r="AV30">
        <v>80.010000000000005</v>
      </c>
      <c r="AX30" s="1">
        <v>2539.34</v>
      </c>
      <c r="AY30" t="s">
        <v>419</v>
      </c>
      <c r="AZ30" t="s">
        <v>273</v>
      </c>
      <c r="BA30" t="s">
        <v>303</v>
      </c>
      <c r="BE30" s="3">
        <v>42481</v>
      </c>
      <c r="BF30" s="1">
        <v>387780</v>
      </c>
      <c r="BG30" t="s">
        <v>420</v>
      </c>
      <c r="BH30" s="1">
        <v>165.22</v>
      </c>
      <c r="BI30" s="1">
        <v>396100</v>
      </c>
      <c r="BJ30" s="3">
        <v>42481</v>
      </c>
      <c r="BK30" t="s">
        <v>123</v>
      </c>
      <c r="BL30" t="str">
        <f>"2016.266810"</f>
        <v>2016.266810</v>
      </c>
      <c r="BM30" t="s">
        <v>124</v>
      </c>
      <c r="BO30" t="s">
        <v>421</v>
      </c>
      <c r="BS30">
        <v>30</v>
      </c>
      <c r="BW30" t="str">
        <f>""</f>
        <v/>
      </c>
      <c r="CH30" t="str">
        <f>""</f>
        <v/>
      </c>
      <c r="CS30" t="str">
        <f>""</f>
        <v/>
      </c>
    </row>
    <row r="31" spans="1:97" x14ac:dyDescent="0.25">
      <c r="B31" t="s">
        <v>422</v>
      </c>
      <c r="E31" t="s">
        <v>423</v>
      </c>
      <c r="F31" t="s">
        <v>108</v>
      </c>
      <c r="H31" t="s">
        <v>424</v>
      </c>
      <c r="I31" t="s">
        <v>203</v>
      </c>
      <c r="J31" t="s">
        <v>111</v>
      </c>
      <c r="K31" t="str">
        <f>"85298"</f>
        <v>85298</v>
      </c>
      <c r="L31" t="s">
        <v>337</v>
      </c>
      <c r="M31" t="s">
        <v>424</v>
      </c>
      <c r="N31" t="s">
        <v>203</v>
      </c>
      <c r="O31" t="s">
        <v>111</v>
      </c>
      <c r="P31" t="str">
        <f>"85298-7452"</f>
        <v>85298-7452</v>
      </c>
      <c r="Q31" t="s">
        <v>113</v>
      </c>
      <c r="R31" t="str">
        <f>"304-86-256"</f>
        <v>304-86-256</v>
      </c>
      <c r="S31" t="s">
        <v>409</v>
      </c>
      <c r="T31" t="s">
        <v>271</v>
      </c>
      <c r="U31">
        <v>2651</v>
      </c>
      <c r="W31">
        <v>4</v>
      </c>
      <c r="X31">
        <v>2014</v>
      </c>
      <c r="Z31">
        <v>2</v>
      </c>
      <c r="AC31" t="s">
        <v>115</v>
      </c>
      <c r="AD31">
        <v>2</v>
      </c>
      <c r="AE31" t="s">
        <v>115</v>
      </c>
      <c r="AH31" t="s">
        <v>116</v>
      </c>
      <c r="AI31" s="1">
        <v>84540</v>
      </c>
      <c r="AJ31" s="2">
        <v>0.2</v>
      </c>
      <c r="AK31" s="1">
        <v>414082</v>
      </c>
      <c r="AL31" t="s">
        <v>117</v>
      </c>
      <c r="AM31" t="s">
        <v>191</v>
      </c>
      <c r="AN31">
        <v>6325</v>
      </c>
      <c r="AO31">
        <v>0.14000000000000001</v>
      </c>
      <c r="AR31">
        <v>1</v>
      </c>
      <c r="AS31" s="1">
        <v>29200</v>
      </c>
      <c r="AT31" s="1">
        <v>5840</v>
      </c>
      <c r="AU31" s="1">
        <v>23360</v>
      </c>
      <c r="AV31">
        <v>80</v>
      </c>
      <c r="AX31" s="1">
        <v>2271.96</v>
      </c>
      <c r="AY31" t="s">
        <v>272</v>
      </c>
      <c r="AZ31" t="s">
        <v>273</v>
      </c>
      <c r="BA31" t="s">
        <v>274</v>
      </c>
      <c r="BB31" s="3">
        <v>43398</v>
      </c>
      <c r="BC31" s="1">
        <v>0</v>
      </c>
      <c r="BD31" t="s">
        <v>247</v>
      </c>
      <c r="BE31" s="3">
        <v>41661</v>
      </c>
      <c r="BF31" s="1">
        <v>323264</v>
      </c>
      <c r="BG31" t="s">
        <v>275</v>
      </c>
      <c r="BH31" s="1">
        <v>121.94</v>
      </c>
      <c r="BI31" s="1">
        <v>329542</v>
      </c>
      <c r="BJ31" s="3">
        <v>42235</v>
      </c>
      <c r="BK31" t="s">
        <v>123</v>
      </c>
      <c r="BL31" t="str">
        <f>"2015.599533"</f>
        <v>2015.599533</v>
      </c>
      <c r="BM31" t="s">
        <v>425</v>
      </c>
      <c r="BN31" t="s">
        <v>426</v>
      </c>
      <c r="BO31" t="s">
        <v>427</v>
      </c>
      <c r="BS31">
        <v>30</v>
      </c>
      <c r="BW31" t="str">
        <f>""</f>
        <v/>
      </c>
      <c r="CH31" t="str">
        <f>""</f>
        <v/>
      </c>
      <c r="CS31" t="str">
        <f>""</f>
        <v/>
      </c>
    </row>
    <row r="32" spans="1:97" x14ac:dyDescent="0.25">
      <c r="A32" t="s">
        <v>428</v>
      </c>
      <c r="B32" t="s">
        <v>429</v>
      </c>
      <c r="C32" t="s">
        <v>430</v>
      </c>
      <c r="D32" t="s">
        <v>429</v>
      </c>
      <c r="E32" t="s">
        <v>431</v>
      </c>
      <c r="F32" t="s">
        <v>108</v>
      </c>
      <c r="H32" t="s">
        <v>432</v>
      </c>
      <c r="I32" t="s">
        <v>110</v>
      </c>
      <c r="J32" t="s">
        <v>111</v>
      </c>
      <c r="K32" t="str">
        <f>"85249"</f>
        <v>85249</v>
      </c>
      <c r="L32" t="s">
        <v>112</v>
      </c>
      <c r="M32" t="s">
        <v>432</v>
      </c>
      <c r="N32" t="s">
        <v>110</v>
      </c>
      <c r="O32" t="s">
        <v>111</v>
      </c>
      <c r="P32" t="str">
        <f>"85249-6973"</f>
        <v>85249-6973</v>
      </c>
      <c r="Q32" t="s">
        <v>113</v>
      </c>
      <c r="R32" t="str">
        <f>"303-88-374"</f>
        <v>303-88-374</v>
      </c>
      <c r="S32" t="s">
        <v>400</v>
      </c>
      <c r="T32" t="s">
        <v>401</v>
      </c>
      <c r="U32">
        <v>3803</v>
      </c>
      <c r="W32">
        <v>5</v>
      </c>
      <c r="X32">
        <v>2014</v>
      </c>
      <c r="Z32">
        <v>2</v>
      </c>
      <c r="AA32" t="s">
        <v>26</v>
      </c>
      <c r="AC32" t="s">
        <v>115</v>
      </c>
      <c r="AD32">
        <v>3</v>
      </c>
      <c r="AE32" t="s">
        <v>115</v>
      </c>
      <c r="AH32" t="s">
        <v>116</v>
      </c>
      <c r="AI32" s="1">
        <v>192866</v>
      </c>
      <c r="AJ32" s="2">
        <v>0.32</v>
      </c>
      <c r="AK32" s="1">
        <v>603866</v>
      </c>
      <c r="AL32" t="s">
        <v>117</v>
      </c>
      <c r="AM32" t="s">
        <v>118</v>
      </c>
      <c r="AN32">
        <v>13813</v>
      </c>
      <c r="AO32">
        <v>0.32</v>
      </c>
      <c r="AR32">
        <v>1</v>
      </c>
      <c r="AS32" s="1">
        <v>47050</v>
      </c>
      <c r="AT32" s="1">
        <v>9410</v>
      </c>
      <c r="AU32" s="1">
        <v>37640</v>
      </c>
      <c r="AV32">
        <v>80</v>
      </c>
      <c r="AX32" s="1">
        <v>4521.96</v>
      </c>
      <c r="AY32" t="s">
        <v>119</v>
      </c>
      <c r="AZ32" t="s">
        <v>120</v>
      </c>
      <c r="BA32" t="s">
        <v>121</v>
      </c>
      <c r="BE32" s="3">
        <v>42083</v>
      </c>
      <c r="BF32" s="1">
        <v>471276</v>
      </c>
      <c r="BG32" t="s">
        <v>122</v>
      </c>
      <c r="BH32" s="1">
        <v>123.92</v>
      </c>
      <c r="BI32" s="1">
        <v>411000</v>
      </c>
      <c r="BJ32" s="3">
        <v>42531</v>
      </c>
      <c r="BK32" t="s">
        <v>123</v>
      </c>
      <c r="BL32" t="str">
        <f>"2016.402153"</f>
        <v>2016.402153</v>
      </c>
      <c r="BM32" t="s">
        <v>425</v>
      </c>
      <c r="BO32" t="s">
        <v>433</v>
      </c>
      <c r="BS32">
        <v>30</v>
      </c>
      <c r="BW32" t="str">
        <f>""</f>
        <v/>
      </c>
      <c r="CH32" t="str">
        <f>""</f>
        <v/>
      </c>
      <c r="CS32" t="str">
        <f>""</f>
        <v/>
      </c>
    </row>
    <row r="33" spans="1:97" x14ac:dyDescent="0.25">
      <c r="A33" t="s">
        <v>434</v>
      </c>
      <c r="B33" t="s">
        <v>435</v>
      </c>
      <c r="C33" t="s">
        <v>436</v>
      </c>
      <c r="D33" t="s">
        <v>435</v>
      </c>
      <c r="E33" t="s">
        <v>437</v>
      </c>
      <c r="F33" t="s">
        <v>282</v>
      </c>
      <c r="H33" t="s">
        <v>438</v>
      </c>
      <c r="I33" t="s">
        <v>144</v>
      </c>
      <c r="J33" t="s">
        <v>111</v>
      </c>
      <c r="K33" t="str">
        <f>"85396"</f>
        <v>85396</v>
      </c>
      <c r="L33" t="s">
        <v>439</v>
      </c>
      <c r="M33" t="s">
        <v>440</v>
      </c>
      <c r="N33" t="s">
        <v>441</v>
      </c>
      <c r="O33" t="s">
        <v>442</v>
      </c>
      <c r="P33" t="str">
        <f>"84040-7495"</f>
        <v>84040-7495</v>
      </c>
      <c r="Q33" t="s">
        <v>113</v>
      </c>
      <c r="R33" t="str">
        <f>"510-07-491"</f>
        <v>510-07-491</v>
      </c>
      <c r="S33" t="s">
        <v>443</v>
      </c>
      <c r="U33">
        <v>2473</v>
      </c>
      <c r="W33">
        <v>3</v>
      </c>
      <c r="X33">
        <v>2015</v>
      </c>
      <c r="Z33">
        <v>1</v>
      </c>
      <c r="AC33" t="s">
        <v>115</v>
      </c>
      <c r="AD33">
        <v>3</v>
      </c>
      <c r="AE33" t="s">
        <v>115</v>
      </c>
      <c r="AH33" t="s">
        <v>116</v>
      </c>
      <c r="AI33" s="1">
        <v>55214</v>
      </c>
      <c r="AJ33" s="2">
        <v>0.12</v>
      </c>
      <c r="AK33" s="1">
        <v>468575</v>
      </c>
      <c r="AL33" t="s">
        <v>117</v>
      </c>
      <c r="AM33" t="s">
        <v>118</v>
      </c>
      <c r="AN33">
        <v>7935</v>
      </c>
      <c r="AO33">
        <v>0.18</v>
      </c>
      <c r="AR33">
        <v>1</v>
      </c>
      <c r="AS33" s="1">
        <v>36750</v>
      </c>
      <c r="AT33" s="1">
        <v>7350</v>
      </c>
      <c r="AU33" s="1">
        <v>29400</v>
      </c>
      <c r="AV33">
        <v>80</v>
      </c>
      <c r="AX33" s="1">
        <v>3801.66</v>
      </c>
      <c r="AY33" t="s">
        <v>444</v>
      </c>
      <c r="AZ33" t="s">
        <v>444</v>
      </c>
      <c r="BA33" t="s">
        <v>445</v>
      </c>
      <c r="BB33" s="3">
        <v>43055</v>
      </c>
      <c r="BD33" t="s">
        <v>157</v>
      </c>
      <c r="BE33" s="3">
        <v>42268</v>
      </c>
      <c r="BF33" s="1">
        <v>435946</v>
      </c>
      <c r="BG33" t="s">
        <v>446</v>
      </c>
      <c r="BH33" s="1">
        <v>176.28</v>
      </c>
      <c r="BI33" s="1">
        <v>413361</v>
      </c>
      <c r="BJ33" s="3">
        <v>42569</v>
      </c>
      <c r="BK33" t="s">
        <v>123</v>
      </c>
      <c r="BL33" t="str">
        <f>"2016.502755"</f>
        <v>2016.502755</v>
      </c>
      <c r="BM33" t="s">
        <v>361</v>
      </c>
      <c r="BO33" t="s">
        <v>447</v>
      </c>
      <c r="BP33" t="s">
        <v>448</v>
      </c>
      <c r="BS33">
        <v>30</v>
      </c>
      <c r="BW33" t="str">
        <f>""</f>
        <v/>
      </c>
      <c r="CH33" t="str">
        <f>""</f>
        <v/>
      </c>
      <c r="CS33" t="str">
        <f>""</f>
        <v/>
      </c>
    </row>
    <row r="34" spans="1:97" x14ac:dyDescent="0.25">
      <c r="A34" t="s">
        <v>449</v>
      </c>
      <c r="B34" t="s">
        <v>450</v>
      </c>
      <c r="C34" t="s">
        <v>177</v>
      </c>
      <c r="D34" t="s">
        <v>450</v>
      </c>
      <c r="E34" t="s">
        <v>451</v>
      </c>
      <c r="F34" t="s">
        <v>108</v>
      </c>
      <c r="H34" t="s">
        <v>452</v>
      </c>
      <c r="I34" t="s">
        <v>453</v>
      </c>
      <c r="J34" t="s">
        <v>111</v>
      </c>
      <c r="K34" t="str">
        <f>"85383"</f>
        <v>85383</v>
      </c>
      <c r="L34" t="s">
        <v>454</v>
      </c>
      <c r="M34" t="s">
        <v>452</v>
      </c>
      <c r="N34" t="s">
        <v>453</v>
      </c>
      <c r="O34" t="s">
        <v>111</v>
      </c>
      <c r="P34" t="str">
        <f>"85383-7988"</f>
        <v>85383-7988</v>
      </c>
      <c r="Q34" t="s">
        <v>113</v>
      </c>
      <c r="R34" t="str">
        <f>"503-81-382"</f>
        <v>503-81-382</v>
      </c>
      <c r="S34" t="s">
        <v>455</v>
      </c>
      <c r="U34">
        <v>4149</v>
      </c>
      <c r="W34">
        <v>6</v>
      </c>
      <c r="X34">
        <v>2014</v>
      </c>
      <c r="Z34">
        <v>2</v>
      </c>
      <c r="AC34" t="s">
        <v>115</v>
      </c>
      <c r="AD34">
        <v>2</v>
      </c>
      <c r="AE34" t="s">
        <v>115</v>
      </c>
      <c r="AH34" t="s">
        <v>116</v>
      </c>
      <c r="AI34" s="1">
        <v>38843</v>
      </c>
      <c r="AJ34" s="2">
        <v>0.08</v>
      </c>
      <c r="AK34" s="1">
        <v>498843</v>
      </c>
      <c r="AL34" t="s">
        <v>117</v>
      </c>
      <c r="AM34" t="s">
        <v>118</v>
      </c>
      <c r="AN34">
        <v>9215</v>
      </c>
      <c r="AO34">
        <v>0.21</v>
      </c>
      <c r="AR34">
        <v>1</v>
      </c>
      <c r="AS34" s="1">
        <v>36980</v>
      </c>
      <c r="AT34" s="1">
        <v>7390</v>
      </c>
      <c r="AU34" s="1">
        <v>29590</v>
      </c>
      <c r="AV34">
        <v>80.02</v>
      </c>
      <c r="AX34" s="1">
        <v>4107</v>
      </c>
      <c r="AY34" t="s">
        <v>456</v>
      </c>
      <c r="AZ34" t="s">
        <v>456</v>
      </c>
      <c r="BA34" t="s">
        <v>457</v>
      </c>
      <c r="BB34" s="3">
        <v>42440</v>
      </c>
      <c r="BD34" t="s">
        <v>458</v>
      </c>
      <c r="BE34" s="3">
        <v>42032</v>
      </c>
      <c r="BF34" s="1">
        <v>402481</v>
      </c>
      <c r="BG34" t="s">
        <v>459</v>
      </c>
      <c r="BH34" s="1">
        <v>97.01</v>
      </c>
      <c r="BI34" s="1">
        <v>460000</v>
      </c>
      <c r="BJ34" s="3">
        <v>43642</v>
      </c>
      <c r="BK34" t="s">
        <v>123</v>
      </c>
      <c r="BL34" t="str">
        <f>"2019.483416"</f>
        <v>2019.483416</v>
      </c>
      <c r="BM34" t="s">
        <v>460</v>
      </c>
      <c r="BN34" t="s">
        <v>461</v>
      </c>
      <c r="BO34" t="s">
        <v>462</v>
      </c>
      <c r="BP34" t="s">
        <v>463</v>
      </c>
      <c r="BR34" t="s">
        <v>139</v>
      </c>
      <c r="BW34" t="str">
        <f>""</f>
        <v/>
      </c>
      <c r="CH34" t="str">
        <f>""</f>
        <v/>
      </c>
      <c r="CS34" t="str">
        <f>""</f>
        <v/>
      </c>
    </row>
    <row r="35" spans="1:97" x14ac:dyDescent="0.25">
      <c r="A35" t="s">
        <v>464</v>
      </c>
      <c r="B35" t="s">
        <v>465</v>
      </c>
      <c r="C35" t="s">
        <v>466</v>
      </c>
      <c r="D35" t="s">
        <v>465</v>
      </c>
      <c r="E35" t="s">
        <v>467</v>
      </c>
      <c r="F35" t="s">
        <v>108</v>
      </c>
      <c r="H35" t="s">
        <v>468</v>
      </c>
      <c r="I35" t="s">
        <v>203</v>
      </c>
      <c r="J35" t="s">
        <v>111</v>
      </c>
      <c r="K35" t="str">
        <f>"85296"</f>
        <v>85296</v>
      </c>
      <c r="L35" t="s">
        <v>469</v>
      </c>
      <c r="M35" t="s">
        <v>468</v>
      </c>
      <c r="N35" t="s">
        <v>203</v>
      </c>
      <c r="O35" t="s">
        <v>111</v>
      </c>
      <c r="P35" t="str">
        <f>"85296-1448"</f>
        <v>85296-1448</v>
      </c>
      <c r="Q35" t="s">
        <v>113</v>
      </c>
      <c r="R35" t="str">
        <f>"313-17-865"</f>
        <v>313-17-865</v>
      </c>
      <c r="S35" t="s">
        <v>470</v>
      </c>
      <c r="T35" t="s">
        <v>471</v>
      </c>
      <c r="U35">
        <v>2849</v>
      </c>
      <c r="W35">
        <v>4</v>
      </c>
      <c r="X35">
        <v>2015</v>
      </c>
      <c r="Z35">
        <v>2</v>
      </c>
      <c r="AC35" t="s">
        <v>115</v>
      </c>
      <c r="AD35">
        <v>2</v>
      </c>
      <c r="AE35" t="s">
        <v>115</v>
      </c>
      <c r="AH35" t="s">
        <v>116</v>
      </c>
      <c r="AI35" s="1">
        <v>46310</v>
      </c>
      <c r="AJ35" s="2">
        <v>0.12</v>
      </c>
      <c r="AK35" s="1">
        <v>384897</v>
      </c>
      <c r="AL35" t="s">
        <v>117</v>
      </c>
      <c r="AM35" t="s">
        <v>288</v>
      </c>
      <c r="AN35">
        <v>5509</v>
      </c>
      <c r="AO35">
        <v>0.13</v>
      </c>
      <c r="AR35">
        <v>1</v>
      </c>
      <c r="AS35" s="1">
        <v>28610</v>
      </c>
      <c r="AT35" s="1">
        <v>5720</v>
      </c>
      <c r="AU35" s="1">
        <v>22890</v>
      </c>
      <c r="AV35">
        <v>80.010000000000005</v>
      </c>
      <c r="AX35" s="1">
        <v>2371.4</v>
      </c>
      <c r="AY35" t="s">
        <v>472</v>
      </c>
      <c r="AZ35" t="s">
        <v>472</v>
      </c>
      <c r="BA35" t="s">
        <v>473</v>
      </c>
      <c r="BE35" s="3">
        <v>42305</v>
      </c>
      <c r="BF35" s="1">
        <v>326370</v>
      </c>
      <c r="BG35" t="s">
        <v>474</v>
      </c>
      <c r="BH35" s="1">
        <v>114.56</v>
      </c>
      <c r="BI35" s="1">
        <v>338587</v>
      </c>
      <c r="BJ35" s="3">
        <v>42613</v>
      </c>
      <c r="BK35" t="s">
        <v>123</v>
      </c>
      <c r="BL35" t="str">
        <f>"2016.629247"</f>
        <v>2016.629247</v>
      </c>
      <c r="BM35" t="s">
        <v>475</v>
      </c>
      <c r="BO35" t="s">
        <v>476</v>
      </c>
      <c r="BS35">
        <v>30</v>
      </c>
      <c r="BW35" t="str">
        <f>""</f>
        <v/>
      </c>
      <c r="CH35" t="str">
        <f>""</f>
        <v/>
      </c>
      <c r="CS35" t="str">
        <f>""</f>
        <v/>
      </c>
    </row>
    <row r="36" spans="1:97" x14ac:dyDescent="0.25">
      <c r="B36" t="s">
        <v>477</v>
      </c>
      <c r="E36" t="s">
        <v>478</v>
      </c>
      <c r="F36" t="s">
        <v>108</v>
      </c>
      <c r="H36" t="s">
        <v>479</v>
      </c>
      <c r="I36" t="s">
        <v>110</v>
      </c>
      <c r="J36" t="s">
        <v>111</v>
      </c>
      <c r="K36" t="str">
        <f>"85249"</f>
        <v>85249</v>
      </c>
      <c r="L36" t="s">
        <v>112</v>
      </c>
      <c r="M36" t="s">
        <v>479</v>
      </c>
      <c r="N36" t="s">
        <v>110</v>
      </c>
      <c r="O36" t="s">
        <v>111</v>
      </c>
      <c r="P36" t="str">
        <f>"85249-6987"</f>
        <v>85249-6987</v>
      </c>
      <c r="Q36" t="s">
        <v>113</v>
      </c>
      <c r="R36" t="str">
        <f>"303-88-346"</f>
        <v>303-88-346</v>
      </c>
      <c r="S36" t="s">
        <v>400</v>
      </c>
      <c r="T36" t="s">
        <v>401</v>
      </c>
      <c r="U36">
        <v>2074</v>
      </c>
      <c r="W36">
        <v>4</v>
      </c>
      <c r="X36">
        <v>2016</v>
      </c>
      <c r="Z36">
        <v>1</v>
      </c>
      <c r="AA36" t="s">
        <v>26</v>
      </c>
      <c r="AC36" t="s">
        <v>115</v>
      </c>
      <c r="AD36">
        <v>3</v>
      </c>
      <c r="AE36" t="s">
        <v>115</v>
      </c>
      <c r="AH36" t="s">
        <v>116</v>
      </c>
      <c r="AI36" s="1">
        <v>40030</v>
      </c>
      <c r="AJ36" s="2">
        <v>0.09</v>
      </c>
      <c r="AK36" s="1">
        <v>453637</v>
      </c>
      <c r="AL36" t="s">
        <v>117</v>
      </c>
      <c r="AM36" t="s">
        <v>118</v>
      </c>
      <c r="AN36">
        <v>8286</v>
      </c>
      <c r="AO36">
        <v>0.19</v>
      </c>
      <c r="AR36">
        <v>1</v>
      </c>
      <c r="AS36" s="1">
        <v>34730</v>
      </c>
      <c r="AT36" s="1">
        <v>6940</v>
      </c>
      <c r="AU36" s="1">
        <v>27790</v>
      </c>
      <c r="AV36">
        <v>80.02</v>
      </c>
      <c r="AX36" s="1">
        <v>2529.3000000000002</v>
      </c>
      <c r="AY36" t="s">
        <v>119</v>
      </c>
      <c r="AZ36" t="s">
        <v>120</v>
      </c>
      <c r="BA36" t="s">
        <v>121</v>
      </c>
      <c r="BB36" s="3">
        <v>42804</v>
      </c>
      <c r="BD36" t="s">
        <v>480</v>
      </c>
      <c r="BE36" s="3">
        <v>42503</v>
      </c>
      <c r="BF36" s="1">
        <v>401411</v>
      </c>
      <c r="BG36" t="s">
        <v>122</v>
      </c>
      <c r="BH36" s="1">
        <v>193.54</v>
      </c>
      <c r="BI36" s="1">
        <v>413607</v>
      </c>
      <c r="BJ36" s="3">
        <v>42718</v>
      </c>
      <c r="BK36" t="s">
        <v>123</v>
      </c>
      <c r="BL36" t="str">
        <f>"2016.919346"</f>
        <v>2016.919346</v>
      </c>
      <c r="BM36" t="s">
        <v>475</v>
      </c>
      <c r="BO36" t="s">
        <v>481</v>
      </c>
      <c r="BS36">
        <v>30</v>
      </c>
      <c r="BW36" t="str">
        <f>""</f>
        <v/>
      </c>
      <c r="CH36" t="str">
        <f>""</f>
        <v/>
      </c>
      <c r="CS36" t="str">
        <f>""</f>
        <v/>
      </c>
    </row>
    <row r="37" spans="1:97" x14ac:dyDescent="0.25">
      <c r="A37" t="s">
        <v>482</v>
      </c>
      <c r="B37" t="s">
        <v>483</v>
      </c>
      <c r="C37" t="s">
        <v>484</v>
      </c>
      <c r="D37" t="s">
        <v>483</v>
      </c>
      <c r="E37" t="s">
        <v>485</v>
      </c>
      <c r="F37" t="s">
        <v>108</v>
      </c>
      <c r="H37" t="s">
        <v>486</v>
      </c>
      <c r="I37" t="s">
        <v>110</v>
      </c>
      <c r="J37" t="s">
        <v>111</v>
      </c>
      <c r="K37" t="str">
        <f>"85249"</f>
        <v>85249</v>
      </c>
      <c r="L37" t="s">
        <v>112</v>
      </c>
      <c r="M37" t="s">
        <v>486</v>
      </c>
      <c r="N37" t="s">
        <v>110</v>
      </c>
      <c r="O37" t="s">
        <v>111</v>
      </c>
      <c r="P37" t="str">
        <f>"85249-6985"</f>
        <v>85249-6985</v>
      </c>
      <c r="Q37" t="s">
        <v>113</v>
      </c>
      <c r="R37" t="str">
        <f>"303-88-359"</f>
        <v>303-88-359</v>
      </c>
      <c r="S37" t="s">
        <v>400</v>
      </c>
      <c r="T37" t="s">
        <v>401</v>
      </c>
      <c r="U37">
        <v>2171</v>
      </c>
      <c r="W37">
        <v>4</v>
      </c>
      <c r="X37">
        <v>2014</v>
      </c>
      <c r="Z37">
        <v>1</v>
      </c>
      <c r="AC37" t="s">
        <v>115</v>
      </c>
      <c r="AD37">
        <v>3</v>
      </c>
      <c r="AE37" t="s">
        <v>115</v>
      </c>
      <c r="AH37" t="s">
        <v>116</v>
      </c>
      <c r="AI37" s="1">
        <v>1379</v>
      </c>
      <c r="AJ37" s="2">
        <v>0</v>
      </c>
      <c r="AK37" s="1">
        <v>430687</v>
      </c>
      <c r="AL37" t="s">
        <v>117</v>
      </c>
      <c r="AM37" t="s">
        <v>118</v>
      </c>
      <c r="AN37">
        <v>9100</v>
      </c>
      <c r="AO37">
        <v>0.21</v>
      </c>
      <c r="AR37">
        <v>1</v>
      </c>
      <c r="AS37" s="1">
        <v>32580</v>
      </c>
      <c r="AT37" s="1">
        <v>6510</v>
      </c>
      <c r="AU37" s="1">
        <v>26070</v>
      </c>
      <c r="AV37">
        <v>80.02</v>
      </c>
      <c r="AX37" s="1">
        <v>2803.32</v>
      </c>
      <c r="AY37" t="s">
        <v>119</v>
      </c>
      <c r="AZ37" t="s">
        <v>120</v>
      </c>
      <c r="BA37" t="s">
        <v>121</v>
      </c>
      <c r="BB37" s="3">
        <v>42423</v>
      </c>
      <c r="BD37" t="s">
        <v>458</v>
      </c>
      <c r="BE37" s="3">
        <v>41732</v>
      </c>
      <c r="BF37" s="1">
        <v>420082</v>
      </c>
      <c r="BG37" t="s">
        <v>122</v>
      </c>
      <c r="BH37" s="1">
        <v>193.5</v>
      </c>
      <c r="BI37" s="1">
        <v>429308</v>
      </c>
      <c r="BJ37" s="3">
        <v>42425</v>
      </c>
      <c r="BK37" t="s">
        <v>123</v>
      </c>
      <c r="BL37" t="str">
        <f>"2016.117133"</f>
        <v>2016.117133</v>
      </c>
      <c r="BM37" t="s">
        <v>322</v>
      </c>
      <c r="BO37" t="s">
        <v>487</v>
      </c>
      <c r="BS37">
        <v>30</v>
      </c>
      <c r="BW37" t="str">
        <f>""</f>
        <v/>
      </c>
      <c r="CH37" t="str">
        <f>""</f>
        <v/>
      </c>
      <c r="CS37" t="str">
        <f>""</f>
        <v/>
      </c>
    </row>
    <row r="38" spans="1:97" x14ac:dyDescent="0.25">
      <c r="A38" t="s">
        <v>305</v>
      </c>
      <c r="B38" t="s">
        <v>488</v>
      </c>
      <c r="C38" t="s">
        <v>489</v>
      </c>
      <c r="D38" t="s">
        <v>488</v>
      </c>
      <c r="E38" t="s">
        <v>490</v>
      </c>
      <c r="F38" t="s">
        <v>108</v>
      </c>
      <c r="H38" t="s">
        <v>491</v>
      </c>
      <c r="I38" t="s">
        <v>110</v>
      </c>
      <c r="J38" t="s">
        <v>111</v>
      </c>
      <c r="K38" t="str">
        <f>"85249"</f>
        <v>85249</v>
      </c>
      <c r="L38" t="s">
        <v>112</v>
      </c>
      <c r="M38" t="s">
        <v>491</v>
      </c>
      <c r="N38" t="s">
        <v>110</v>
      </c>
      <c r="O38" t="s">
        <v>111</v>
      </c>
      <c r="P38" t="str">
        <f>"85249-6985"</f>
        <v>85249-6985</v>
      </c>
      <c r="Q38" t="s">
        <v>113</v>
      </c>
      <c r="R38" t="str">
        <f>"303-88-358"</f>
        <v>303-88-358</v>
      </c>
      <c r="S38" t="s">
        <v>400</v>
      </c>
      <c r="T38" t="s">
        <v>401</v>
      </c>
      <c r="U38">
        <v>3036</v>
      </c>
      <c r="W38">
        <v>4</v>
      </c>
      <c r="X38">
        <v>2014</v>
      </c>
      <c r="Z38">
        <v>2</v>
      </c>
      <c r="AA38" t="s">
        <v>26</v>
      </c>
      <c r="AC38" t="s">
        <v>115</v>
      </c>
      <c r="AD38">
        <v>3</v>
      </c>
      <c r="AE38" t="s">
        <v>115</v>
      </c>
      <c r="AH38" t="s">
        <v>116</v>
      </c>
      <c r="AI38" s="1">
        <v>95637</v>
      </c>
      <c r="AJ38" s="2">
        <v>0.19</v>
      </c>
      <c r="AK38" s="1">
        <v>510094</v>
      </c>
      <c r="AL38" t="s">
        <v>117</v>
      </c>
      <c r="AM38" t="s">
        <v>118</v>
      </c>
      <c r="AN38">
        <v>9411</v>
      </c>
      <c r="AO38">
        <v>0.22</v>
      </c>
      <c r="AR38">
        <v>1</v>
      </c>
      <c r="AS38" s="1">
        <v>38800</v>
      </c>
      <c r="AT38" s="1">
        <v>7760</v>
      </c>
      <c r="AU38" s="1">
        <v>31040</v>
      </c>
      <c r="AV38">
        <v>80</v>
      </c>
      <c r="AX38" s="1">
        <v>3295.66</v>
      </c>
      <c r="AY38" t="s">
        <v>119</v>
      </c>
      <c r="AZ38" t="s">
        <v>120</v>
      </c>
      <c r="BA38" t="s">
        <v>121</v>
      </c>
      <c r="BE38" s="3">
        <v>41906</v>
      </c>
      <c r="BF38" s="1">
        <v>463915</v>
      </c>
      <c r="BG38" t="s">
        <v>122</v>
      </c>
      <c r="BH38" s="1">
        <v>152.80000000000001</v>
      </c>
      <c r="BI38" s="1">
        <v>414457</v>
      </c>
      <c r="BJ38" s="3">
        <v>42725</v>
      </c>
      <c r="BK38" t="s">
        <v>123</v>
      </c>
      <c r="BL38" t="str">
        <f>"2016.938998"</f>
        <v>2016.938998</v>
      </c>
      <c r="BM38" t="s">
        <v>492</v>
      </c>
      <c r="BO38" t="s">
        <v>493</v>
      </c>
      <c r="BS38">
        <v>30</v>
      </c>
      <c r="BW38" t="str">
        <f>""</f>
        <v/>
      </c>
      <c r="CH38" t="str">
        <f>""</f>
        <v/>
      </c>
      <c r="CS38" t="str">
        <f>""</f>
        <v/>
      </c>
    </row>
    <row r="39" spans="1:97" x14ac:dyDescent="0.25">
      <c r="A39" t="s">
        <v>494</v>
      </c>
      <c r="B39" t="s">
        <v>495</v>
      </c>
      <c r="C39" t="s">
        <v>496</v>
      </c>
      <c r="D39" t="s">
        <v>495</v>
      </c>
      <c r="E39" t="s">
        <v>497</v>
      </c>
      <c r="F39" t="s">
        <v>108</v>
      </c>
      <c r="H39" t="s">
        <v>498</v>
      </c>
      <c r="I39" t="s">
        <v>499</v>
      </c>
      <c r="J39" t="s">
        <v>111</v>
      </c>
      <c r="K39" t="str">
        <f>"85395"</f>
        <v>85395</v>
      </c>
      <c r="L39" t="s">
        <v>500</v>
      </c>
      <c r="M39" t="s">
        <v>498</v>
      </c>
      <c r="N39" t="s">
        <v>499</v>
      </c>
      <c r="O39" t="s">
        <v>111</v>
      </c>
      <c r="P39" t="str">
        <f>"85395-6476"</f>
        <v>85395-6476</v>
      </c>
      <c r="Q39" t="s">
        <v>113</v>
      </c>
      <c r="R39" t="str">
        <f>"502-30-363"</f>
        <v>502-30-363</v>
      </c>
      <c r="S39" t="s">
        <v>501</v>
      </c>
      <c r="T39" t="s">
        <v>502</v>
      </c>
      <c r="U39">
        <v>3245</v>
      </c>
      <c r="W39">
        <v>4</v>
      </c>
      <c r="X39">
        <v>2016</v>
      </c>
      <c r="Z39">
        <v>1</v>
      </c>
      <c r="AA39" t="s">
        <v>26</v>
      </c>
      <c r="AC39" t="s">
        <v>115</v>
      </c>
      <c r="AD39">
        <v>4</v>
      </c>
      <c r="AE39" t="s">
        <v>115</v>
      </c>
      <c r="AH39" t="s">
        <v>116</v>
      </c>
      <c r="AI39" s="1">
        <v>21743</v>
      </c>
      <c r="AJ39" s="2">
        <v>0.04</v>
      </c>
      <c r="AK39" s="1">
        <v>535743</v>
      </c>
      <c r="AL39" t="s">
        <v>117</v>
      </c>
      <c r="AM39" t="s">
        <v>118</v>
      </c>
      <c r="AN39">
        <v>27340</v>
      </c>
      <c r="AO39">
        <v>0.63</v>
      </c>
      <c r="AR39">
        <v>1</v>
      </c>
      <c r="AS39" s="1">
        <v>43720</v>
      </c>
      <c r="AT39" s="1">
        <v>8740</v>
      </c>
      <c r="AU39" s="1">
        <v>34980</v>
      </c>
      <c r="AV39">
        <v>80.010000000000005</v>
      </c>
      <c r="AX39" s="1">
        <v>3815.16</v>
      </c>
      <c r="AY39" t="s">
        <v>503</v>
      </c>
      <c r="AZ39" t="s">
        <v>504</v>
      </c>
      <c r="BA39" t="s">
        <v>218</v>
      </c>
      <c r="BE39" s="3">
        <v>42489</v>
      </c>
      <c r="BF39" s="1">
        <v>547500</v>
      </c>
      <c r="BG39" t="s">
        <v>209</v>
      </c>
      <c r="BH39" s="1">
        <v>168.72</v>
      </c>
      <c r="BI39" s="1">
        <v>514000</v>
      </c>
      <c r="BJ39" s="3">
        <v>42489</v>
      </c>
      <c r="BK39" t="s">
        <v>123</v>
      </c>
      <c r="BL39" t="str">
        <f>"2016.288062"</f>
        <v>2016.288062</v>
      </c>
      <c r="BM39" t="s">
        <v>135</v>
      </c>
      <c r="BO39" t="s">
        <v>505</v>
      </c>
      <c r="BS39">
        <v>30</v>
      </c>
      <c r="BW39" t="str">
        <f>""</f>
        <v/>
      </c>
      <c r="CH39" t="str">
        <f>""</f>
        <v/>
      </c>
      <c r="CS39" t="str">
        <f>""</f>
        <v/>
      </c>
    </row>
    <row r="40" spans="1:97" x14ac:dyDescent="0.25">
      <c r="A40" t="s">
        <v>305</v>
      </c>
      <c r="B40" t="s">
        <v>506</v>
      </c>
      <c r="C40" t="s">
        <v>507</v>
      </c>
      <c r="D40" t="s">
        <v>506</v>
      </c>
      <c r="E40" t="s">
        <v>508</v>
      </c>
      <c r="F40" t="s">
        <v>108</v>
      </c>
      <c r="H40" t="s">
        <v>509</v>
      </c>
      <c r="I40" t="s">
        <v>110</v>
      </c>
      <c r="J40" t="s">
        <v>111</v>
      </c>
      <c r="K40" t="str">
        <f>"85249"</f>
        <v>85249</v>
      </c>
      <c r="L40" t="s">
        <v>417</v>
      </c>
      <c r="M40" t="s">
        <v>509</v>
      </c>
      <c r="N40" t="s">
        <v>110</v>
      </c>
      <c r="O40" t="s">
        <v>111</v>
      </c>
      <c r="P40" t="str">
        <f>"85249-2043"</f>
        <v>85249-2043</v>
      </c>
      <c r="Q40" t="s">
        <v>113</v>
      </c>
      <c r="R40" t="str">
        <f>"304-75-634"</f>
        <v>304-75-634</v>
      </c>
      <c r="S40" t="s">
        <v>418</v>
      </c>
      <c r="T40" t="s">
        <v>418</v>
      </c>
      <c r="U40">
        <v>2347</v>
      </c>
      <c r="W40">
        <v>4</v>
      </c>
      <c r="X40">
        <v>2015</v>
      </c>
      <c r="Z40">
        <v>1</v>
      </c>
      <c r="AC40" t="s">
        <v>115</v>
      </c>
      <c r="AD40">
        <v>3</v>
      </c>
      <c r="AE40" t="s">
        <v>115</v>
      </c>
      <c r="AH40" t="s">
        <v>116</v>
      </c>
      <c r="AI40" s="1">
        <v>99435</v>
      </c>
      <c r="AJ40" s="2">
        <v>0.22</v>
      </c>
      <c r="AK40" s="1">
        <v>449677</v>
      </c>
      <c r="AL40" t="s">
        <v>117</v>
      </c>
      <c r="AM40" t="s">
        <v>118</v>
      </c>
      <c r="AN40">
        <v>7212</v>
      </c>
      <c r="AO40">
        <v>0.17</v>
      </c>
      <c r="AR40">
        <v>1</v>
      </c>
      <c r="AS40" s="1">
        <v>32310</v>
      </c>
      <c r="AT40" s="1">
        <v>6460</v>
      </c>
      <c r="AU40" s="1">
        <v>25850</v>
      </c>
      <c r="AV40">
        <v>80.010000000000005</v>
      </c>
      <c r="AX40" s="1">
        <v>2632.34</v>
      </c>
      <c r="AY40" t="s">
        <v>419</v>
      </c>
      <c r="AZ40" t="s">
        <v>273</v>
      </c>
      <c r="BA40" t="s">
        <v>303</v>
      </c>
      <c r="BE40" s="3">
        <v>42286</v>
      </c>
      <c r="BF40" s="1">
        <v>364565</v>
      </c>
      <c r="BG40" t="s">
        <v>420</v>
      </c>
      <c r="BH40" s="1">
        <v>155.33000000000001</v>
      </c>
      <c r="BI40" s="1">
        <v>350242</v>
      </c>
      <c r="BJ40" s="3">
        <v>42598</v>
      </c>
      <c r="BK40" t="s">
        <v>123</v>
      </c>
      <c r="BL40" t="str">
        <f>"2016.583425"</f>
        <v>2016.583425</v>
      </c>
      <c r="BM40" t="s">
        <v>361</v>
      </c>
      <c r="BO40" t="s">
        <v>510</v>
      </c>
      <c r="BS40">
        <v>30</v>
      </c>
      <c r="BW40" t="str">
        <f>""</f>
        <v/>
      </c>
      <c r="CH40" t="str">
        <f>""</f>
        <v/>
      </c>
      <c r="CS40" t="str">
        <f>""</f>
        <v/>
      </c>
    </row>
    <row r="41" spans="1:97" x14ac:dyDescent="0.25">
      <c r="A41" t="s">
        <v>511</v>
      </c>
      <c r="B41" t="s">
        <v>512</v>
      </c>
      <c r="C41" t="s">
        <v>513</v>
      </c>
      <c r="D41" t="s">
        <v>512</v>
      </c>
      <c r="E41" t="s">
        <v>514</v>
      </c>
      <c r="F41" t="s">
        <v>108</v>
      </c>
      <c r="H41" t="s">
        <v>515</v>
      </c>
      <c r="I41" t="s">
        <v>203</v>
      </c>
      <c r="J41" t="s">
        <v>111</v>
      </c>
      <c r="K41" t="str">
        <f>"85296"</f>
        <v>85296</v>
      </c>
      <c r="L41" t="s">
        <v>516</v>
      </c>
      <c r="M41" t="s">
        <v>515</v>
      </c>
      <c r="N41" t="s">
        <v>203</v>
      </c>
      <c r="O41" t="s">
        <v>111</v>
      </c>
      <c r="P41" t="str">
        <f>"85296-3084"</f>
        <v>85296-3084</v>
      </c>
      <c r="Q41" t="s">
        <v>113</v>
      </c>
      <c r="R41" t="str">
        <f>"304-70-738"</f>
        <v>304-70-738</v>
      </c>
      <c r="S41" t="s">
        <v>517</v>
      </c>
      <c r="T41" t="s">
        <v>518</v>
      </c>
      <c r="U41">
        <v>2347</v>
      </c>
      <c r="W41">
        <v>4</v>
      </c>
      <c r="X41">
        <v>2014</v>
      </c>
      <c r="Z41">
        <v>1</v>
      </c>
      <c r="AA41" t="s">
        <v>26</v>
      </c>
      <c r="AC41" t="s">
        <v>115</v>
      </c>
      <c r="AD41">
        <v>3</v>
      </c>
      <c r="AE41" t="s">
        <v>115</v>
      </c>
      <c r="AH41" t="s">
        <v>116</v>
      </c>
      <c r="AI41" s="1">
        <v>2916</v>
      </c>
      <c r="AJ41" s="2">
        <v>0.01</v>
      </c>
      <c r="AK41" s="1">
        <v>460219</v>
      </c>
      <c r="AL41" t="s">
        <v>117</v>
      </c>
      <c r="AM41" t="s">
        <v>191</v>
      </c>
      <c r="AN41">
        <v>7788</v>
      </c>
      <c r="AO41">
        <v>0.18</v>
      </c>
      <c r="AR41">
        <v>1</v>
      </c>
      <c r="AS41" s="1">
        <v>34480</v>
      </c>
      <c r="AT41" s="1">
        <v>6890</v>
      </c>
      <c r="AU41" s="1">
        <v>27590</v>
      </c>
      <c r="AV41">
        <v>80.02</v>
      </c>
      <c r="AX41" s="1">
        <v>2403.2800000000002</v>
      </c>
      <c r="AY41" t="s">
        <v>519</v>
      </c>
      <c r="AZ41" t="s">
        <v>520</v>
      </c>
      <c r="BA41" t="s">
        <v>521</v>
      </c>
      <c r="BE41" s="3">
        <v>42041</v>
      </c>
      <c r="BF41" s="1">
        <v>385214</v>
      </c>
      <c r="BG41" t="s">
        <v>420</v>
      </c>
      <c r="BH41" s="1">
        <v>164.13</v>
      </c>
      <c r="BI41" s="1">
        <v>397350</v>
      </c>
      <c r="BJ41" s="3">
        <v>42041</v>
      </c>
      <c r="BK41" t="s">
        <v>123</v>
      </c>
      <c r="BL41" t="str">
        <f>"2015.78731"</f>
        <v>2015.78731</v>
      </c>
      <c r="BM41" t="s">
        <v>124</v>
      </c>
      <c r="BO41" t="s">
        <v>522</v>
      </c>
      <c r="BS41">
        <v>30</v>
      </c>
      <c r="BT41" s="1">
        <v>59953</v>
      </c>
      <c r="BU41" s="3">
        <v>42557</v>
      </c>
      <c r="BV41" t="s">
        <v>134</v>
      </c>
      <c r="BW41" t="str">
        <f>"2016.474346"</f>
        <v>2016.474346</v>
      </c>
      <c r="BX41" t="s">
        <v>198</v>
      </c>
      <c r="BZ41" t="s">
        <v>522</v>
      </c>
      <c r="CD41">
        <v>15</v>
      </c>
      <c r="CH41" t="str">
        <f>""</f>
        <v/>
      </c>
      <c r="CS41" t="str">
        <f>""</f>
        <v/>
      </c>
    </row>
    <row r="42" spans="1:97" x14ac:dyDescent="0.25">
      <c r="A42" t="s">
        <v>523</v>
      </c>
      <c r="B42" t="s">
        <v>348</v>
      </c>
      <c r="C42" t="s">
        <v>524</v>
      </c>
      <c r="D42" t="s">
        <v>348</v>
      </c>
      <c r="E42" t="s">
        <v>525</v>
      </c>
      <c r="F42" t="s">
        <v>108</v>
      </c>
      <c r="H42" t="s">
        <v>526</v>
      </c>
      <c r="I42" t="s">
        <v>203</v>
      </c>
      <c r="J42" t="s">
        <v>111</v>
      </c>
      <c r="K42" t="str">
        <f>"85296"</f>
        <v>85296</v>
      </c>
      <c r="L42" t="s">
        <v>469</v>
      </c>
      <c r="M42" t="s">
        <v>526</v>
      </c>
      <c r="N42" t="s">
        <v>203</v>
      </c>
      <c r="O42" t="s">
        <v>111</v>
      </c>
      <c r="P42" t="str">
        <f>"85296-1434"</f>
        <v>85296-1434</v>
      </c>
      <c r="Q42" t="s">
        <v>113</v>
      </c>
      <c r="R42" t="str">
        <f>"313-17-876"</f>
        <v>313-17-876</v>
      </c>
      <c r="S42" t="s">
        <v>470</v>
      </c>
      <c r="T42" t="s">
        <v>471</v>
      </c>
      <c r="U42">
        <v>2292</v>
      </c>
      <c r="W42">
        <v>4</v>
      </c>
      <c r="X42">
        <v>2014</v>
      </c>
      <c r="Z42">
        <v>2</v>
      </c>
      <c r="AC42" t="s">
        <v>115</v>
      </c>
      <c r="AD42">
        <v>2</v>
      </c>
      <c r="AE42" t="s">
        <v>115</v>
      </c>
      <c r="AH42" t="s">
        <v>116</v>
      </c>
      <c r="AI42" s="1">
        <v>48967</v>
      </c>
      <c r="AJ42" s="2">
        <v>0.14000000000000001</v>
      </c>
      <c r="AK42" s="1">
        <v>362705</v>
      </c>
      <c r="AL42" t="s">
        <v>117</v>
      </c>
      <c r="AM42" t="s">
        <v>288</v>
      </c>
      <c r="AN42">
        <v>5509</v>
      </c>
      <c r="AO42">
        <v>0.13</v>
      </c>
      <c r="AR42">
        <v>1</v>
      </c>
      <c r="AS42" s="1">
        <v>26980</v>
      </c>
      <c r="AT42" s="1">
        <v>5390</v>
      </c>
      <c r="AU42" s="1">
        <v>21590</v>
      </c>
      <c r="AV42">
        <v>80.02</v>
      </c>
      <c r="AX42" s="1">
        <v>2222.1799999999998</v>
      </c>
      <c r="AY42" t="s">
        <v>472</v>
      </c>
      <c r="AZ42" t="s">
        <v>472</v>
      </c>
      <c r="BA42" t="s">
        <v>473</v>
      </c>
      <c r="BE42" s="3">
        <v>41773</v>
      </c>
      <c r="BF42" s="1">
        <v>303716</v>
      </c>
      <c r="BG42" t="s">
        <v>122</v>
      </c>
      <c r="BH42" s="1">
        <v>132.51</v>
      </c>
      <c r="BI42" s="1">
        <v>313738</v>
      </c>
      <c r="BJ42" s="3">
        <v>41773</v>
      </c>
      <c r="BK42" t="s">
        <v>123</v>
      </c>
      <c r="BL42" t="str">
        <f>"2014.314633"</f>
        <v>2014.314633</v>
      </c>
      <c r="BM42" t="s">
        <v>150</v>
      </c>
      <c r="BO42" t="s">
        <v>527</v>
      </c>
      <c r="BS42">
        <v>30</v>
      </c>
      <c r="BW42" t="str">
        <f>""</f>
        <v/>
      </c>
      <c r="CH42" t="str">
        <f>""</f>
        <v/>
      </c>
      <c r="CS42" t="str">
        <f>""</f>
        <v/>
      </c>
    </row>
    <row r="43" spans="1:97" x14ac:dyDescent="0.25">
      <c r="A43" t="s">
        <v>528</v>
      </c>
      <c r="B43" t="s">
        <v>529</v>
      </c>
      <c r="E43" t="s">
        <v>530</v>
      </c>
      <c r="F43" t="s">
        <v>108</v>
      </c>
      <c r="H43" t="s">
        <v>531</v>
      </c>
      <c r="I43" t="s">
        <v>203</v>
      </c>
      <c r="J43" t="s">
        <v>111</v>
      </c>
      <c r="K43" t="str">
        <f>"85296"</f>
        <v>85296</v>
      </c>
      <c r="L43" t="s">
        <v>516</v>
      </c>
      <c r="M43" t="s">
        <v>531</v>
      </c>
      <c r="N43" t="s">
        <v>203</v>
      </c>
      <c r="O43" t="s">
        <v>111</v>
      </c>
      <c r="P43" t="str">
        <f>"85296-1170"</f>
        <v>85296-1170</v>
      </c>
      <c r="Q43" t="s">
        <v>113</v>
      </c>
      <c r="R43" t="str">
        <f>"304-70-850"</f>
        <v>304-70-850</v>
      </c>
      <c r="S43" t="s">
        <v>517</v>
      </c>
      <c r="T43" t="s">
        <v>518</v>
      </c>
      <c r="U43">
        <v>3305</v>
      </c>
      <c r="W43">
        <v>5</v>
      </c>
      <c r="X43">
        <v>2014</v>
      </c>
      <c r="Z43">
        <v>2</v>
      </c>
      <c r="AC43" t="s">
        <v>115</v>
      </c>
      <c r="AD43">
        <v>3</v>
      </c>
      <c r="AE43" t="s">
        <v>115</v>
      </c>
      <c r="AH43" t="s">
        <v>116</v>
      </c>
      <c r="AI43" s="1">
        <v>59316</v>
      </c>
      <c r="AJ43" s="2">
        <v>0.12</v>
      </c>
      <c r="AK43" s="1">
        <v>484317</v>
      </c>
      <c r="AL43" t="s">
        <v>117</v>
      </c>
      <c r="AM43" t="s">
        <v>532</v>
      </c>
      <c r="AN43">
        <v>6312</v>
      </c>
      <c r="AO43">
        <v>0.14000000000000001</v>
      </c>
      <c r="AR43">
        <v>1</v>
      </c>
      <c r="AS43" s="1">
        <v>35120</v>
      </c>
      <c r="AT43" s="1">
        <v>7020</v>
      </c>
      <c r="AU43" s="1">
        <v>28100</v>
      </c>
      <c r="AV43">
        <v>80.010000000000005</v>
      </c>
      <c r="AX43" s="1">
        <v>2767.54</v>
      </c>
      <c r="AY43" t="s">
        <v>519</v>
      </c>
      <c r="AZ43" t="s">
        <v>520</v>
      </c>
      <c r="BA43" t="s">
        <v>521</v>
      </c>
      <c r="BE43" s="3">
        <v>41677</v>
      </c>
      <c r="BF43" s="1">
        <v>376335</v>
      </c>
      <c r="BG43" t="s">
        <v>420</v>
      </c>
      <c r="BH43" s="1">
        <v>113.87</v>
      </c>
      <c r="BI43" s="1">
        <v>425001</v>
      </c>
      <c r="BJ43" s="3">
        <v>43284</v>
      </c>
      <c r="BK43" t="s">
        <v>123</v>
      </c>
      <c r="BL43" t="str">
        <f>"2018.506312"</f>
        <v>2018.506312</v>
      </c>
      <c r="BM43" t="s">
        <v>533</v>
      </c>
      <c r="BN43" t="s">
        <v>534</v>
      </c>
      <c r="BO43" t="s">
        <v>535</v>
      </c>
      <c r="BP43" t="s">
        <v>536</v>
      </c>
      <c r="BR43" t="s">
        <v>139</v>
      </c>
      <c r="BW43" t="str">
        <f>""</f>
        <v/>
      </c>
      <c r="CH43" t="str">
        <f>""</f>
        <v/>
      </c>
      <c r="CS43" t="str">
        <f>""</f>
        <v/>
      </c>
    </row>
    <row r="44" spans="1:97" x14ac:dyDescent="0.25">
      <c r="A44" t="s">
        <v>537</v>
      </c>
      <c r="B44" t="s">
        <v>538</v>
      </c>
      <c r="E44" t="s">
        <v>539</v>
      </c>
      <c r="F44" t="s">
        <v>139</v>
      </c>
      <c r="H44" t="s">
        <v>540</v>
      </c>
      <c r="I44" t="s">
        <v>144</v>
      </c>
      <c r="J44" t="s">
        <v>111</v>
      </c>
      <c r="K44" t="str">
        <f>"85396"</f>
        <v>85396</v>
      </c>
      <c r="L44" t="s">
        <v>541</v>
      </c>
      <c r="M44" t="s">
        <v>540</v>
      </c>
      <c r="N44" t="s">
        <v>144</v>
      </c>
      <c r="O44" t="s">
        <v>111</v>
      </c>
      <c r="P44" t="str">
        <f>"85396-7901"</f>
        <v>85396-7901</v>
      </c>
      <c r="Q44" t="s">
        <v>113</v>
      </c>
      <c r="R44" t="str">
        <f>"502-82-260"</f>
        <v>502-82-260</v>
      </c>
      <c r="S44" t="s">
        <v>542</v>
      </c>
      <c r="U44">
        <v>4395</v>
      </c>
      <c r="W44">
        <v>5</v>
      </c>
      <c r="X44">
        <v>2014</v>
      </c>
      <c r="Z44">
        <v>2</v>
      </c>
      <c r="AA44" t="s">
        <v>26</v>
      </c>
      <c r="AC44" t="s">
        <v>115</v>
      </c>
      <c r="AD44">
        <v>3</v>
      </c>
      <c r="AE44" t="s">
        <v>115</v>
      </c>
      <c r="AH44" t="s">
        <v>116</v>
      </c>
      <c r="AI44" s="1">
        <v>101502</v>
      </c>
      <c r="AJ44" s="2">
        <v>0.18</v>
      </c>
      <c r="AK44" s="1">
        <v>556484</v>
      </c>
      <c r="AL44" t="s">
        <v>117</v>
      </c>
      <c r="AM44" t="s">
        <v>118</v>
      </c>
      <c r="AN44">
        <v>14231</v>
      </c>
      <c r="AO44">
        <v>0.33</v>
      </c>
      <c r="AR44">
        <v>1</v>
      </c>
      <c r="AS44" s="1">
        <v>43650</v>
      </c>
      <c r="AT44" s="1">
        <v>8730</v>
      </c>
      <c r="AU44" s="1">
        <v>34920</v>
      </c>
      <c r="AV44">
        <v>80</v>
      </c>
      <c r="AX44" s="1">
        <v>5672.24</v>
      </c>
      <c r="AY44" t="s">
        <v>543</v>
      </c>
      <c r="AZ44" t="s">
        <v>504</v>
      </c>
      <c r="BA44" t="s">
        <v>218</v>
      </c>
      <c r="BB44" s="3">
        <v>43235</v>
      </c>
      <c r="BC44" s="1">
        <v>0</v>
      </c>
      <c r="BD44" t="s">
        <v>247</v>
      </c>
      <c r="BE44" s="3">
        <v>42067</v>
      </c>
      <c r="BF44" s="1">
        <v>434711</v>
      </c>
      <c r="BG44" t="s">
        <v>209</v>
      </c>
      <c r="BH44" s="1">
        <v>98.91</v>
      </c>
      <c r="BI44" s="1">
        <v>409982</v>
      </c>
      <c r="BJ44" s="3">
        <v>42521</v>
      </c>
      <c r="BK44" t="s">
        <v>123</v>
      </c>
      <c r="BL44" t="str">
        <f>"2016.370998"</f>
        <v>2016.370998</v>
      </c>
      <c r="BM44" t="s">
        <v>544</v>
      </c>
      <c r="BN44" t="s">
        <v>545</v>
      </c>
      <c r="BO44" t="s">
        <v>546</v>
      </c>
      <c r="BS44">
        <v>30</v>
      </c>
      <c r="BT44" s="1">
        <v>45000</v>
      </c>
      <c r="BU44" s="3">
        <v>42957</v>
      </c>
      <c r="BW44" t="str">
        <f>"2017.587406"</f>
        <v>2017.587406</v>
      </c>
      <c r="BX44" t="s">
        <v>547</v>
      </c>
      <c r="BY44">
        <v>85282</v>
      </c>
      <c r="BZ44" t="s">
        <v>546</v>
      </c>
      <c r="CD44">
        <v>7</v>
      </c>
      <c r="CH44" t="str">
        <f>""</f>
        <v/>
      </c>
      <c r="CS44" t="str">
        <f>""</f>
        <v/>
      </c>
    </row>
    <row r="45" spans="1:97" x14ac:dyDescent="0.25">
      <c r="A45" t="s">
        <v>548</v>
      </c>
      <c r="B45" t="s">
        <v>549</v>
      </c>
      <c r="C45" t="s">
        <v>259</v>
      </c>
      <c r="D45" t="s">
        <v>549</v>
      </c>
      <c r="E45" t="s">
        <v>550</v>
      </c>
      <c r="F45" t="s">
        <v>108</v>
      </c>
      <c r="H45" t="s">
        <v>551</v>
      </c>
      <c r="I45" t="s">
        <v>203</v>
      </c>
      <c r="J45" t="s">
        <v>111</v>
      </c>
      <c r="K45" t="str">
        <f>"85296"</f>
        <v>85296</v>
      </c>
      <c r="L45" t="s">
        <v>469</v>
      </c>
      <c r="M45" t="s">
        <v>551</v>
      </c>
      <c r="N45" t="s">
        <v>203</v>
      </c>
      <c r="O45" t="s">
        <v>111</v>
      </c>
      <c r="P45" t="str">
        <f>"85296-1446"</f>
        <v>85296-1446</v>
      </c>
      <c r="Q45" t="s">
        <v>113</v>
      </c>
      <c r="R45" t="str">
        <f>"313-18-030"</f>
        <v>313-18-030</v>
      </c>
      <c r="S45" t="s">
        <v>552</v>
      </c>
      <c r="T45" t="s">
        <v>471</v>
      </c>
      <c r="U45">
        <v>2323</v>
      </c>
      <c r="W45">
        <v>4</v>
      </c>
      <c r="X45">
        <v>2014</v>
      </c>
      <c r="Z45">
        <v>2</v>
      </c>
      <c r="AC45" t="s">
        <v>115</v>
      </c>
      <c r="AD45">
        <v>2</v>
      </c>
      <c r="AE45" t="s">
        <v>115</v>
      </c>
      <c r="AH45" t="s">
        <v>116</v>
      </c>
      <c r="AI45" s="1">
        <v>103542</v>
      </c>
      <c r="AJ45" s="2">
        <v>0.28000000000000003</v>
      </c>
      <c r="AK45" s="1">
        <v>371285</v>
      </c>
      <c r="AL45" t="s">
        <v>117</v>
      </c>
      <c r="AM45" t="s">
        <v>288</v>
      </c>
      <c r="AN45">
        <v>6319</v>
      </c>
      <c r="AO45">
        <v>0.14000000000000001</v>
      </c>
      <c r="AR45">
        <v>1</v>
      </c>
      <c r="AS45" s="1">
        <v>26150</v>
      </c>
      <c r="AT45" s="1">
        <v>5230</v>
      </c>
      <c r="AU45" s="1">
        <v>20920</v>
      </c>
      <c r="AV45">
        <v>80</v>
      </c>
      <c r="AX45" s="1">
        <v>2125.9</v>
      </c>
      <c r="AY45" t="s">
        <v>472</v>
      </c>
      <c r="AZ45" t="s">
        <v>472</v>
      </c>
      <c r="BA45" t="s">
        <v>473</v>
      </c>
      <c r="BE45" s="3">
        <v>42019</v>
      </c>
      <c r="BF45" s="1">
        <v>267105</v>
      </c>
      <c r="BG45" t="s">
        <v>122</v>
      </c>
      <c r="BH45" s="1">
        <v>114.98</v>
      </c>
      <c r="BI45" s="1">
        <v>267743</v>
      </c>
      <c r="BJ45" s="3">
        <v>42723</v>
      </c>
      <c r="BK45" t="s">
        <v>123</v>
      </c>
      <c r="BL45" t="str">
        <f>"2016.931792"</f>
        <v>2016.931792</v>
      </c>
      <c r="BM45" t="s">
        <v>402</v>
      </c>
      <c r="BO45" t="s">
        <v>553</v>
      </c>
      <c r="BS45">
        <v>30</v>
      </c>
      <c r="BW45" t="str">
        <f>""</f>
        <v/>
      </c>
      <c r="CH45" t="str">
        <f>""</f>
        <v/>
      </c>
      <c r="CS45" t="str">
        <f>""</f>
        <v/>
      </c>
    </row>
    <row r="46" spans="1:97" x14ac:dyDescent="0.25">
      <c r="A46" t="s">
        <v>554</v>
      </c>
      <c r="B46" t="s">
        <v>140</v>
      </c>
      <c r="C46" t="s">
        <v>555</v>
      </c>
      <c r="D46" t="s">
        <v>140</v>
      </c>
      <c r="E46" t="s">
        <v>556</v>
      </c>
      <c r="F46" t="s">
        <v>108</v>
      </c>
      <c r="H46" t="s">
        <v>557</v>
      </c>
      <c r="I46" t="s">
        <v>225</v>
      </c>
      <c r="J46" t="s">
        <v>111</v>
      </c>
      <c r="K46" t="str">
        <f>"85212"</f>
        <v>85212</v>
      </c>
      <c r="L46" t="s">
        <v>558</v>
      </c>
      <c r="M46" t="s">
        <v>557</v>
      </c>
      <c r="N46" t="s">
        <v>225</v>
      </c>
      <c r="O46" t="s">
        <v>111</v>
      </c>
      <c r="P46" t="str">
        <f>"85212-8134"</f>
        <v>85212-8134</v>
      </c>
      <c r="Q46" t="s">
        <v>113</v>
      </c>
      <c r="R46" t="str">
        <f>"304-50-554"</f>
        <v>304-50-554</v>
      </c>
      <c r="S46" t="s">
        <v>559</v>
      </c>
      <c r="U46">
        <v>4534</v>
      </c>
      <c r="W46">
        <v>6</v>
      </c>
      <c r="X46">
        <v>2015</v>
      </c>
      <c r="Z46">
        <v>2</v>
      </c>
      <c r="AA46" t="s">
        <v>26</v>
      </c>
      <c r="AC46" t="s">
        <v>115</v>
      </c>
      <c r="AD46">
        <v>3</v>
      </c>
      <c r="AE46" t="s">
        <v>115</v>
      </c>
      <c r="AH46" t="s">
        <v>116</v>
      </c>
      <c r="AI46" s="1">
        <v>142409</v>
      </c>
      <c r="AJ46" s="2">
        <v>0.26</v>
      </c>
      <c r="AK46" s="1">
        <v>545202</v>
      </c>
      <c r="AL46" t="s">
        <v>117</v>
      </c>
      <c r="AM46" t="s">
        <v>118</v>
      </c>
      <c r="AN46">
        <v>11203</v>
      </c>
      <c r="AO46">
        <v>0.26</v>
      </c>
      <c r="AR46">
        <v>1</v>
      </c>
      <c r="AS46" s="1">
        <v>39850</v>
      </c>
      <c r="AT46" s="1">
        <v>7970</v>
      </c>
      <c r="AU46" s="1">
        <v>31880</v>
      </c>
      <c r="AV46">
        <v>80</v>
      </c>
      <c r="AX46" s="1">
        <v>4725.92</v>
      </c>
      <c r="AY46" t="s">
        <v>560</v>
      </c>
      <c r="AZ46" t="s">
        <v>561</v>
      </c>
      <c r="BA46" t="s">
        <v>194</v>
      </c>
      <c r="BE46" s="3">
        <v>42332</v>
      </c>
      <c r="BF46" s="1">
        <v>389926</v>
      </c>
      <c r="BG46" t="s">
        <v>562</v>
      </c>
      <c r="BH46" s="1">
        <v>86</v>
      </c>
      <c r="BI46" s="1">
        <v>402793</v>
      </c>
      <c r="BJ46" s="3">
        <v>42332</v>
      </c>
      <c r="BK46" t="s">
        <v>123</v>
      </c>
      <c r="BL46" t="str">
        <f>"2015.838165"</f>
        <v>2015.838165</v>
      </c>
      <c r="BM46" t="s">
        <v>131</v>
      </c>
      <c r="BO46" t="s">
        <v>563</v>
      </c>
      <c r="BS46">
        <v>30</v>
      </c>
      <c r="BW46" t="str">
        <f>""</f>
        <v/>
      </c>
      <c r="CH46" t="str">
        <f>""</f>
        <v/>
      </c>
      <c r="CS46" t="str">
        <f>""</f>
        <v/>
      </c>
    </row>
    <row r="47" spans="1:97" x14ac:dyDescent="0.25">
      <c r="B47" t="s">
        <v>564</v>
      </c>
      <c r="E47" t="s">
        <v>565</v>
      </c>
      <c r="F47" t="s">
        <v>108</v>
      </c>
      <c r="H47" t="s">
        <v>566</v>
      </c>
      <c r="I47" t="s">
        <v>225</v>
      </c>
      <c r="J47" t="s">
        <v>111</v>
      </c>
      <c r="K47" t="str">
        <f>"85212"</f>
        <v>85212</v>
      </c>
      <c r="L47" t="s">
        <v>567</v>
      </c>
      <c r="M47" t="s">
        <v>566</v>
      </c>
      <c r="N47" t="s">
        <v>225</v>
      </c>
      <c r="O47" t="s">
        <v>111</v>
      </c>
      <c r="P47" t="str">
        <f>"85212-9725"</f>
        <v>85212-9725</v>
      </c>
      <c r="Q47" t="s">
        <v>113</v>
      </c>
      <c r="R47" t="str">
        <f>"304-17-329"</f>
        <v>304-17-329</v>
      </c>
      <c r="S47" t="s">
        <v>568</v>
      </c>
      <c r="T47" t="s">
        <v>569</v>
      </c>
      <c r="U47">
        <v>4149</v>
      </c>
      <c r="W47">
        <v>6</v>
      </c>
      <c r="X47">
        <v>2014</v>
      </c>
      <c r="Z47">
        <v>2</v>
      </c>
      <c r="AC47" t="s">
        <v>115</v>
      </c>
      <c r="AD47">
        <v>3</v>
      </c>
      <c r="AE47" t="s">
        <v>115</v>
      </c>
      <c r="AH47" t="s">
        <v>116</v>
      </c>
      <c r="AI47" s="1">
        <v>119698</v>
      </c>
      <c r="AJ47" s="2">
        <v>0.23</v>
      </c>
      <c r="AK47" s="1">
        <v>519410</v>
      </c>
      <c r="AL47" t="s">
        <v>117</v>
      </c>
      <c r="AM47" t="s">
        <v>393</v>
      </c>
      <c r="AN47">
        <v>7787</v>
      </c>
      <c r="AO47">
        <v>0.18</v>
      </c>
      <c r="AR47">
        <v>1</v>
      </c>
      <c r="AS47" s="1">
        <v>38410</v>
      </c>
      <c r="AT47" s="1">
        <v>7680</v>
      </c>
      <c r="AU47" s="1">
        <v>30730</v>
      </c>
      <c r="AV47">
        <v>80.010000000000005</v>
      </c>
      <c r="AX47" s="1">
        <v>2799.1</v>
      </c>
      <c r="AY47" t="s">
        <v>570</v>
      </c>
      <c r="AZ47" t="s">
        <v>571</v>
      </c>
      <c r="BA47" t="s">
        <v>572</v>
      </c>
      <c r="BB47" s="3">
        <v>42045</v>
      </c>
      <c r="BD47" t="s">
        <v>458</v>
      </c>
      <c r="BE47" s="3">
        <v>41969</v>
      </c>
      <c r="BF47" s="1">
        <v>391300</v>
      </c>
      <c r="BG47" t="s">
        <v>446</v>
      </c>
      <c r="BH47" s="1">
        <v>94.31</v>
      </c>
      <c r="BI47" s="1">
        <v>399712</v>
      </c>
      <c r="BJ47" s="3">
        <v>41969</v>
      </c>
      <c r="BK47" t="s">
        <v>123</v>
      </c>
      <c r="BL47" t="str">
        <f>"2014.783867"</f>
        <v>2014.783867</v>
      </c>
      <c r="BM47" t="s">
        <v>573</v>
      </c>
      <c r="BO47" t="s">
        <v>574</v>
      </c>
      <c r="BS47">
        <v>30</v>
      </c>
      <c r="BW47" t="str">
        <f>""</f>
        <v/>
      </c>
      <c r="CH47" t="str">
        <f>""</f>
        <v/>
      </c>
      <c r="CS47" t="str">
        <f>""</f>
        <v/>
      </c>
    </row>
    <row r="48" spans="1:97" x14ac:dyDescent="0.25">
      <c r="A48" t="s">
        <v>575</v>
      </c>
      <c r="B48" t="s">
        <v>576</v>
      </c>
      <c r="C48" t="s">
        <v>577</v>
      </c>
      <c r="D48" t="s">
        <v>578</v>
      </c>
      <c r="E48" t="s">
        <v>579</v>
      </c>
      <c r="F48" t="s">
        <v>108</v>
      </c>
      <c r="H48" t="s">
        <v>580</v>
      </c>
      <c r="I48" t="s">
        <v>499</v>
      </c>
      <c r="J48" t="s">
        <v>111</v>
      </c>
      <c r="K48" t="str">
        <f>"85395"</f>
        <v>85395</v>
      </c>
      <c r="L48" t="s">
        <v>500</v>
      </c>
      <c r="M48" t="s">
        <v>580</v>
      </c>
      <c r="N48" t="s">
        <v>499</v>
      </c>
      <c r="O48" t="s">
        <v>111</v>
      </c>
      <c r="P48" t="str">
        <f>"85395-6468"</f>
        <v>85395-6468</v>
      </c>
      <c r="Q48" t="s">
        <v>113</v>
      </c>
      <c r="R48" t="str">
        <f>"502-30-426"</f>
        <v>502-30-426</v>
      </c>
      <c r="S48" t="s">
        <v>501</v>
      </c>
      <c r="T48" t="s">
        <v>502</v>
      </c>
      <c r="U48">
        <v>3245</v>
      </c>
      <c r="W48">
        <v>4</v>
      </c>
      <c r="X48">
        <v>2015</v>
      </c>
      <c r="Z48">
        <v>1</v>
      </c>
      <c r="AA48" t="s">
        <v>26</v>
      </c>
      <c r="AC48" t="s">
        <v>115</v>
      </c>
      <c r="AD48">
        <v>3</v>
      </c>
      <c r="AE48" t="s">
        <v>115</v>
      </c>
      <c r="AH48" t="s">
        <v>116</v>
      </c>
      <c r="AI48" s="1">
        <v>-29498</v>
      </c>
      <c r="AJ48" s="2">
        <v>-0.06</v>
      </c>
      <c r="AK48" s="1">
        <v>474024</v>
      </c>
      <c r="AL48" t="s">
        <v>117</v>
      </c>
      <c r="AM48" t="s">
        <v>118</v>
      </c>
      <c r="AN48">
        <v>15303</v>
      </c>
      <c r="AO48">
        <v>0.35</v>
      </c>
      <c r="AR48">
        <v>1</v>
      </c>
      <c r="AS48" s="1">
        <v>36580</v>
      </c>
      <c r="AT48" s="1">
        <v>7310</v>
      </c>
      <c r="AU48" s="1">
        <v>29270</v>
      </c>
      <c r="AV48">
        <v>80.02</v>
      </c>
      <c r="AX48" s="1">
        <v>3152.16</v>
      </c>
      <c r="AY48" t="s">
        <v>503</v>
      </c>
      <c r="AZ48" t="s">
        <v>504</v>
      </c>
      <c r="BA48" t="s">
        <v>218</v>
      </c>
      <c r="BE48" s="3">
        <v>42368</v>
      </c>
      <c r="BF48" s="1">
        <v>439022</v>
      </c>
      <c r="BG48" t="s">
        <v>209</v>
      </c>
      <c r="BH48" s="1">
        <v>135.29</v>
      </c>
      <c r="BI48" s="1">
        <v>447822</v>
      </c>
      <c r="BJ48" s="3">
        <v>42368</v>
      </c>
      <c r="BK48" t="s">
        <v>123</v>
      </c>
      <c r="BL48" t="str">
        <f>"2015.920010"</f>
        <v>2015.920010</v>
      </c>
      <c r="BM48" t="s">
        <v>175</v>
      </c>
      <c r="BO48" t="s">
        <v>581</v>
      </c>
      <c r="BP48" t="s">
        <v>582</v>
      </c>
      <c r="BS48">
        <v>30</v>
      </c>
      <c r="BT48" s="1">
        <v>55700</v>
      </c>
      <c r="BU48" s="3">
        <v>42474</v>
      </c>
      <c r="BV48" t="s">
        <v>134</v>
      </c>
      <c r="BW48" t="str">
        <f>"2016.247621"</f>
        <v>2016.247621</v>
      </c>
      <c r="BX48" t="s">
        <v>583</v>
      </c>
      <c r="BZ48" t="s">
        <v>581</v>
      </c>
      <c r="CA48" t="s">
        <v>582</v>
      </c>
      <c r="CD48">
        <v>10</v>
      </c>
      <c r="CH48" t="str">
        <f>""</f>
        <v/>
      </c>
      <c r="CS48" t="str">
        <f>""</f>
        <v/>
      </c>
    </row>
    <row r="49" spans="1:97" x14ac:dyDescent="0.25">
      <c r="A49" t="s">
        <v>584</v>
      </c>
      <c r="B49" t="s">
        <v>585</v>
      </c>
      <c r="C49" t="s">
        <v>484</v>
      </c>
      <c r="D49" t="s">
        <v>585</v>
      </c>
      <c r="E49" t="s">
        <v>586</v>
      </c>
      <c r="F49" t="s">
        <v>108</v>
      </c>
      <c r="H49" t="s">
        <v>587</v>
      </c>
      <c r="I49" t="s">
        <v>225</v>
      </c>
      <c r="J49" t="s">
        <v>111</v>
      </c>
      <c r="K49" t="str">
        <f>"85212"</f>
        <v>85212</v>
      </c>
      <c r="L49" t="s">
        <v>567</v>
      </c>
      <c r="M49" t="s">
        <v>587</v>
      </c>
      <c r="N49" t="s">
        <v>225</v>
      </c>
      <c r="O49" t="s">
        <v>111</v>
      </c>
      <c r="P49" t="str">
        <f>"85212-9769"</f>
        <v>85212-9769</v>
      </c>
      <c r="Q49" t="s">
        <v>113</v>
      </c>
      <c r="R49" t="str">
        <f>"304-17-263"</f>
        <v>304-17-263</v>
      </c>
      <c r="S49" t="s">
        <v>568</v>
      </c>
      <c r="T49" t="s">
        <v>569</v>
      </c>
      <c r="U49">
        <v>1947</v>
      </c>
      <c r="W49">
        <v>4</v>
      </c>
      <c r="X49">
        <v>2014</v>
      </c>
      <c r="Z49">
        <v>1</v>
      </c>
      <c r="AA49" t="s">
        <v>26</v>
      </c>
      <c r="AC49" t="s">
        <v>115</v>
      </c>
      <c r="AD49">
        <v>2</v>
      </c>
      <c r="AE49" t="s">
        <v>115</v>
      </c>
      <c r="AH49" t="s">
        <v>116</v>
      </c>
      <c r="AI49" s="1">
        <v>59003</v>
      </c>
      <c r="AJ49" s="2">
        <v>0.16</v>
      </c>
      <c r="AK49" s="1">
        <v>366206</v>
      </c>
      <c r="AL49" t="s">
        <v>117</v>
      </c>
      <c r="AM49" t="s">
        <v>191</v>
      </c>
      <c r="AN49">
        <v>6301</v>
      </c>
      <c r="AO49">
        <v>0.14000000000000001</v>
      </c>
      <c r="AR49">
        <v>1</v>
      </c>
      <c r="AS49" s="1">
        <v>26660</v>
      </c>
      <c r="AT49" s="1">
        <v>5330</v>
      </c>
      <c r="AU49" s="1">
        <v>21330</v>
      </c>
      <c r="AV49">
        <v>80.010000000000005</v>
      </c>
      <c r="AX49" s="1">
        <v>2073.44</v>
      </c>
      <c r="AY49" t="s">
        <v>570</v>
      </c>
      <c r="AZ49" t="s">
        <v>571</v>
      </c>
      <c r="BA49" t="s">
        <v>572</v>
      </c>
      <c r="BE49" s="3">
        <v>41907</v>
      </c>
      <c r="BF49" s="1">
        <v>297390</v>
      </c>
      <c r="BG49" t="s">
        <v>195</v>
      </c>
      <c r="BH49" s="1">
        <v>152.74</v>
      </c>
      <c r="BI49" s="1">
        <v>307203</v>
      </c>
      <c r="BJ49" s="3">
        <v>41907</v>
      </c>
      <c r="BK49" t="s">
        <v>123</v>
      </c>
      <c r="BL49" t="str">
        <f>"2014.635106"</f>
        <v>2014.635106</v>
      </c>
      <c r="BM49" t="s">
        <v>196</v>
      </c>
      <c r="BO49" t="s">
        <v>588</v>
      </c>
      <c r="BS49">
        <v>30</v>
      </c>
      <c r="BW49" t="str">
        <f>""</f>
        <v/>
      </c>
      <c r="CH49" t="str">
        <f>""</f>
        <v/>
      </c>
      <c r="CS49" t="str">
        <f>""</f>
        <v/>
      </c>
    </row>
    <row r="50" spans="1:97" x14ac:dyDescent="0.25">
      <c r="A50" t="s">
        <v>589</v>
      </c>
      <c r="B50" t="s">
        <v>590</v>
      </c>
      <c r="E50" t="s">
        <v>591</v>
      </c>
      <c r="F50" t="s">
        <v>108</v>
      </c>
      <c r="H50" t="s">
        <v>592</v>
      </c>
      <c r="I50" t="s">
        <v>110</v>
      </c>
      <c r="J50" t="s">
        <v>111</v>
      </c>
      <c r="K50" t="str">
        <f>"85249"</f>
        <v>85249</v>
      </c>
      <c r="L50" t="s">
        <v>417</v>
      </c>
      <c r="M50" t="s">
        <v>592</v>
      </c>
      <c r="N50" t="s">
        <v>110</v>
      </c>
      <c r="O50" t="s">
        <v>111</v>
      </c>
      <c r="P50" t="str">
        <f>"85249-2084"</f>
        <v>85249-2084</v>
      </c>
      <c r="R50" t="str">
        <f>"304-75-724"</f>
        <v>304-75-724</v>
      </c>
      <c r="S50" t="s">
        <v>418</v>
      </c>
      <c r="T50" t="s">
        <v>418</v>
      </c>
      <c r="U50">
        <v>2897</v>
      </c>
      <c r="W50">
        <v>5</v>
      </c>
      <c r="X50">
        <v>2016</v>
      </c>
      <c r="Z50">
        <v>1</v>
      </c>
      <c r="AA50" t="s">
        <v>26</v>
      </c>
      <c r="AC50" t="s">
        <v>115</v>
      </c>
      <c r="AD50">
        <v>3</v>
      </c>
      <c r="AE50" t="s">
        <v>115</v>
      </c>
      <c r="AH50" t="s">
        <v>116</v>
      </c>
      <c r="AI50" s="1">
        <v>37234</v>
      </c>
      <c r="AJ50" s="2">
        <v>0.06</v>
      </c>
      <c r="AK50" s="1">
        <v>631184</v>
      </c>
      <c r="AL50" t="s">
        <v>117</v>
      </c>
      <c r="AM50" t="s">
        <v>118</v>
      </c>
      <c r="AN50">
        <v>9863</v>
      </c>
      <c r="AO50">
        <v>0.23</v>
      </c>
      <c r="AR50">
        <v>1</v>
      </c>
      <c r="AS50" s="1">
        <v>51810</v>
      </c>
      <c r="AT50" s="1">
        <v>10360</v>
      </c>
      <c r="AU50" s="1">
        <v>41450</v>
      </c>
      <c r="AV50">
        <v>80</v>
      </c>
      <c r="AX50" s="1">
        <v>2987.46</v>
      </c>
      <c r="AY50" t="s">
        <v>419</v>
      </c>
      <c r="AZ50" t="s">
        <v>273</v>
      </c>
      <c r="BA50" t="s">
        <v>303</v>
      </c>
      <c r="BE50" s="3">
        <v>42486</v>
      </c>
      <c r="BF50" s="1">
        <v>652934</v>
      </c>
      <c r="BG50" t="s">
        <v>593</v>
      </c>
      <c r="BH50" s="1">
        <v>225.38</v>
      </c>
      <c r="BI50" s="1">
        <v>593950</v>
      </c>
      <c r="BJ50" s="3">
        <v>42486</v>
      </c>
      <c r="BK50" t="s">
        <v>123</v>
      </c>
      <c r="BL50" t="str">
        <f>"2016.279852"</f>
        <v>2016.279852</v>
      </c>
      <c r="BM50" t="s">
        <v>594</v>
      </c>
      <c r="BN50" t="s">
        <v>595</v>
      </c>
      <c r="BO50" t="s">
        <v>596</v>
      </c>
      <c r="BS50">
        <v>30</v>
      </c>
      <c r="BW50" t="str">
        <f>""</f>
        <v/>
      </c>
      <c r="CH50" t="str">
        <f>""</f>
        <v/>
      </c>
      <c r="CS50" t="str">
        <f>""</f>
        <v/>
      </c>
    </row>
    <row r="51" spans="1:97" x14ac:dyDescent="0.25">
      <c r="A51" t="s">
        <v>589</v>
      </c>
      <c r="B51" t="s">
        <v>597</v>
      </c>
      <c r="E51" t="s">
        <v>598</v>
      </c>
      <c r="F51" t="s">
        <v>108</v>
      </c>
      <c r="H51" t="s">
        <v>599</v>
      </c>
      <c r="I51" t="s">
        <v>203</v>
      </c>
      <c r="J51" t="s">
        <v>111</v>
      </c>
      <c r="K51" t="str">
        <f>"85296"</f>
        <v>85296</v>
      </c>
      <c r="L51" t="s">
        <v>469</v>
      </c>
      <c r="M51" t="s">
        <v>599</v>
      </c>
      <c r="N51" t="s">
        <v>203</v>
      </c>
      <c r="O51" t="s">
        <v>111</v>
      </c>
      <c r="P51" t="str">
        <f>"85296-2873"</f>
        <v>85296-2873</v>
      </c>
      <c r="Q51" t="s">
        <v>113</v>
      </c>
      <c r="R51" t="str">
        <f>"313-14-899"</f>
        <v>313-14-899</v>
      </c>
      <c r="S51" t="s">
        <v>600</v>
      </c>
      <c r="T51" t="s">
        <v>471</v>
      </c>
      <c r="U51">
        <v>2849</v>
      </c>
      <c r="W51">
        <v>4</v>
      </c>
      <c r="X51">
        <v>2014</v>
      </c>
      <c r="Z51">
        <v>2</v>
      </c>
      <c r="AC51" t="s">
        <v>115</v>
      </c>
      <c r="AD51">
        <v>2</v>
      </c>
      <c r="AE51" t="s">
        <v>115</v>
      </c>
      <c r="AH51" t="s">
        <v>116</v>
      </c>
      <c r="AI51" s="1">
        <v>74608</v>
      </c>
      <c r="AJ51" s="2">
        <v>0.19</v>
      </c>
      <c r="AK51" s="1">
        <v>393608</v>
      </c>
      <c r="AL51" t="s">
        <v>117</v>
      </c>
      <c r="AM51" t="s">
        <v>288</v>
      </c>
      <c r="AN51">
        <v>7248</v>
      </c>
      <c r="AO51">
        <v>0.17</v>
      </c>
      <c r="AR51">
        <v>1</v>
      </c>
      <c r="AS51" s="1">
        <v>29560</v>
      </c>
      <c r="AT51" s="1">
        <v>5910</v>
      </c>
      <c r="AU51" s="1">
        <v>23650</v>
      </c>
      <c r="AV51">
        <v>80.010000000000005</v>
      </c>
      <c r="AX51" s="1">
        <v>2462.42</v>
      </c>
      <c r="AY51" t="s">
        <v>472</v>
      </c>
      <c r="AZ51" t="s">
        <v>472</v>
      </c>
      <c r="BA51" t="s">
        <v>473</v>
      </c>
      <c r="BE51" s="3">
        <v>41907</v>
      </c>
      <c r="BF51" s="1">
        <v>349248</v>
      </c>
      <c r="BG51" t="s">
        <v>122</v>
      </c>
      <c r="BH51" s="1">
        <v>122.59</v>
      </c>
      <c r="BI51" s="1">
        <v>319000</v>
      </c>
      <c r="BJ51" s="3">
        <v>41907</v>
      </c>
      <c r="BK51" t="s">
        <v>123</v>
      </c>
      <c r="BL51" t="str">
        <f>"2014.633828"</f>
        <v>2014.633828</v>
      </c>
      <c r="BM51" t="s">
        <v>131</v>
      </c>
      <c r="BO51" t="s">
        <v>601</v>
      </c>
      <c r="BS51">
        <v>30</v>
      </c>
      <c r="BW51" t="str">
        <f>""</f>
        <v/>
      </c>
      <c r="CH51" t="str">
        <f>""</f>
        <v/>
      </c>
      <c r="CS51" t="str">
        <f>""</f>
        <v/>
      </c>
    </row>
    <row r="52" spans="1:97" x14ac:dyDescent="0.25">
      <c r="A52" t="s">
        <v>602</v>
      </c>
      <c r="B52" t="s">
        <v>603</v>
      </c>
      <c r="C52" t="s">
        <v>604</v>
      </c>
      <c r="D52" t="s">
        <v>603</v>
      </c>
      <c r="E52" t="s">
        <v>605</v>
      </c>
      <c r="F52" t="s">
        <v>108</v>
      </c>
      <c r="H52" t="s">
        <v>606</v>
      </c>
      <c r="I52" t="s">
        <v>499</v>
      </c>
      <c r="J52" t="s">
        <v>111</v>
      </c>
      <c r="K52" t="str">
        <f>"85395"</f>
        <v>85395</v>
      </c>
      <c r="L52" t="s">
        <v>500</v>
      </c>
      <c r="M52" t="s">
        <v>606</v>
      </c>
      <c r="N52" t="s">
        <v>499</v>
      </c>
      <c r="O52" t="s">
        <v>111</v>
      </c>
      <c r="P52" t="str">
        <f>"85395-6482"</f>
        <v>85395-6482</v>
      </c>
      <c r="Q52" t="s">
        <v>113</v>
      </c>
      <c r="R52" t="str">
        <f>"502-30-423"</f>
        <v>502-30-423</v>
      </c>
      <c r="S52" t="s">
        <v>501</v>
      </c>
      <c r="T52" t="s">
        <v>502</v>
      </c>
      <c r="U52">
        <v>3245</v>
      </c>
      <c r="W52">
        <v>4</v>
      </c>
      <c r="X52">
        <v>2016</v>
      </c>
      <c r="Z52">
        <v>1</v>
      </c>
      <c r="AA52" t="s">
        <v>26</v>
      </c>
      <c r="AC52" t="s">
        <v>115</v>
      </c>
      <c r="AD52">
        <v>4</v>
      </c>
      <c r="AE52" t="s">
        <v>115</v>
      </c>
      <c r="AH52" t="s">
        <v>116</v>
      </c>
      <c r="AI52" s="1">
        <v>56456</v>
      </c>
      <c r="AJ52" s="2">
        <v>0.11</v>
      </c>
      <c r="AK52" s="1">
        <v>514081</v>
      </c>
      <c r="AL52" t="s">
        <v>117</v>
      </c>
      <c r="AM52" t="s">
        <v>118</v>
      </c>
      <c r="AN52">
        <v>15278</v>
      </c>
      <c r="AO52">
        <v>0.35</v>
      </c>
      <c r="AR52">
        <v>1</v>
      </c>
      <c r="AS52" s="1">
        <v>41660</v>
      </c>
      <c r="AT52" s="1">
        <v>8330</v>
      </c>
      <c r="AU52" s="1">
        <v>33330</v>
      </c>
      <c r="AV52">
        <v>80</v>
      </c>
      <c r="AX52" s="1">
        <v>3580.92</v>
      </c>
      <c r="AY52" t="s">
        <v>503</v>
      </c>
      <c r="AZ52" t="s">
        <v>504</v>
      </c>
      <c r="BA52" t="s">
        <v>218</v>
      </c>
      <c r="BB52" s="3">
        <v>43124</v>
      </c>
      <c r="BC52" s="1">
        <v>0</v>
      </c>
      <c r="BD52" t="s">
        <v>247</v>
      </c>
      <c r="BE52" s="3">
        <v>42412</v>
      </c>
      <c r="BF52" s="1">
        <v>508700</v>
      </c>
      <c r="BG52" t="s">
        <v>209</v>
      </c>
      <c r="BH52" s="1">
        <v>156.76</v>
      </c>
      <c r="BI52" s="1">
        <v>457625</v>
      </c>
      <c r="BJ52" s="3">
        <v>43124</v>
      </c>
      <c r="BK52" t="s">
        <v>123</v>
      </c>
      <c r="BL52" t="str">
        <f>"2018.55473"</f>
        <v>2018.55473</v>
      </c>
      <c r="BM52" t="s">
        <v>607</v>
      </c>
      <c r="BN52" t="s">
        <v>381</v>
      </c>
      <c r="BO52" t="s">
        <v>608</v>
      </c>
      <c r="BP52" t="s">
        <v>609</v>
      </c>
      <c r="BR52" t="s">
        <v>139</v>
      </c>
      <c r="BW52" t="str">
        <f>""</f>
        <v/>
      </c>
      <c r="CH52" t="str">
        <f>""</f>
        <v/>
      </c>
      <c r="CS52" t="str">
        <f>""</f>
        <v/>
      </c>
    </row>
    <row r="53" spans="1:97" x14ac:dyDescent="0.25">
      <c r="A53" t="s">
        <v>610</v>
      </c>
      <c r="B53" t="s">
        <v>611</v>
      </c>
      <c r="E53" t="s">
        <v>612</v>
      </c>
      <c r="F53" t="s">
        <v>108</v>
      </c>
      <c r="H53" t="s">
        <v>613</v>
      </c>
      <c r="I53" t="s">
        <v>110</v>
      </c>
      <c r="J53" t="s">
        <v>111</v>
      </c>
      <c r="K53" t="str">
        <f>"85249"</f>
        <v>85249</v>
      </c>
      <c r="L53" t="s">
        <v>417</v>
      </c>
      <c r="M53" t="s">
        <v>613</v>
      </c>
      <c r="N53" t="s">
        <v>110</v>
      </c>
      <c r="O53" t="s">
        <v>111</v>
      </c>
      <c r="P53" t="str">
        <f>"85249"</f>
        <v>85249</v>
      </c>
      <c r="Q53" t="s">
        <v>113</v>
      </c>
      <c r="R53" t="str">
        <f>"304-76-891"</f>
        <v>304-76-891</v>
      </c>
      <c r="S53" t="s">
        <v>614</v>
      </c>
      <c r="T53" t="s">
        <v>615</v>
      </c>
      <c r="U53">
        <v>3036</v>
      </c>
      <c r="W53">
        <v>5</v>
      </c>
      <c r="X53">
        <v>2015</v>
      </c>
      <c r="Z53">
        <v>2</v>
      </c>
      <c r="AC53" t="s">
        <v>115</v>
      </c>
      <c r="AD53">
        <v>3</v>
      </c>
      <c r="AE53" t="s">
        <v>115</v>
      </c>
      <c r="AH53" t="s">
        <v>116</v>
      </c>
      <c r="AI53" s="1">
        <v>32044</v>
      </c>
      <c r="AJ53" s="2">
        <v>0.06</v>
      </c>
      <c r="AK53" s="1">
        <v>512051</v>
      </c>
      <c r="AL53" t="s">
        <v>117</v>
      </c>
      <c r="AM53" t="s">
        <v>616</v>
      </c>
      <c r="AN53">
        <v>7269</v>
      </c>
      <c r="AO53">
        <v>0.17</v>
      </c>
      <c r="AR53">
        <v>1</v>
      </c>
      <c r="AS53" s="1">
        <v>36460</v>
      </c>
      <c r="AT53" s="1">
        <v>7290</v>
      </c>
      <c r="AU53" s="1">
        <v>29170</v>
      </c>
      <c r="AV53">
        <v>80.010000000000005</v>
      </c>
      <c r="AX53" s="1">
        <v>2678.62</v>
      </c>
      <c r="AY53" t="s">
        <v>419</v>
      </c>
      <c r="AZ53" t="s">
        <v>273</v>
      </c>
      <c r="BA53" t="s">
        <v>303</v>
      </c>
      <c r="BE53" s="3">
        <v>42185</v>
      </c>
      <c r="BF53" s="1">
        <v>427995</v>
      </c>
      <c r="BG53" t="s">
        <v>617</v>
      </c>
      <c r="BH53" s="1">
        <v>140.97</v>
      </c>
      <c r="BI53" s="1">
        <v>480007</v>
      </c>
      <c r="BJ53" s="3">
        <v>42185</v>
      </c>
      <c r="BK53" t="s">
        <v>123</v>
      </c>
      <c r="BL53" t="str">
        <f>"2015.467087"</f>
        <v>2015.467087</v>
      </c>
      <c r="BM53" t="s">
        <v>618</v>
      </c>
      <c r="BO53" t="s">
        <v>619</v>
      </c>
      <c r="BS53">
        <v>30</v>
      </c>
      <c r="BW53" t="str">
        <f>""</f>
        <v/>
      </c>
      <c r="CH53" t="str">
        <f>""</f>
        <v/>
      </c>
      <c r="CS53" t="str">
        <f>""</f>
        <v/>
      </c>
    </row>
    <row r="54" spans="1:97" x14ac:dyDescent="0.25">
      <c r="A54" t="s">
        <v>620</v>
      </c>
      <c r="B54" t="s">
        <v>621</v>
      </c>
      <c r="C54" t="s">
        <v>622</v>
      </c>
      <c r="D54" t="s">
        <v>621</v>
      </c>
      <c r="E54" t="s">
        <v>623</v>
      </c>
      <c r="F54" t="s">
        <v>108</v>
      </c>
      <c r="H54" t="s">
        <v>624</v>
      </c>
      <c r="I54" t="s">
        <v>453</v>
      </c>
      <c r="J54" t="s">
        <v>111</v>
      </c>
      <c r="K54" t="str">
        <f>"85383"</f>
        <v>85383</v>
      </c>
      <c r="L54" t="s">
        <v>625</v>
      </c>
      <c r="M54" t="s">
        <v>624</v>
      </c>
      <c r="N54" t="s">
        <v>453</v>
      </c>
      <c r="O54" t="s">
        <v>111</v>
      </c>
      <c r="P54" t="str">
        <f>"85383-3370"</f>
        <v>85383-3370</v>
      </c>
      <c r="Q54" t="s">
        <v>113</v>
      </c>
      <c r="R54" t="str">
        <f>"201-19-146"</f>
        <v>201-19-146</v>
      </c>
      <c r="S54" t="s">
        <v>626</v>
      </c>
      <c r="U54">
        <v>2715</v>
      </c>
      <c r="W54">
        <v>5</v>
      </c>
      <c r="X54">
        <v>2014</v>
      </c>
      <c r="Z54">
        <v>1</v>
      </c>
      <c r="AC54" t="s">
        <v>115</v>
      </c>
      <c r="AD54">
        <v>2</v>
      </c>
      <c r="AE54" t="s">
        <v>115</v>
      </c>
      <c r="AH54" t="s">
        <v>116</v>
      </c>
      <c r="AI54" s="1">
        <v>77263</v>
      </c>
      <c r="AJ54" s="2">
        <v>0.17</v>
      </c>
      <c r="AK54" s="1">
        <v>448533</v>
      </c>
      <c r="AL54" t="s">
        <v>117</v>
      </c>
      <c r="AM54" t="s">
        <v>118</v>
      </c>
      <c r="AN54">
        <v>10715</v>
      </c>
      <c r="AO54">
        <v>0.25</v>
      </c>
      <c r="AR54">
        <v>1</v>
      </c>
      <c r="AS54" s="1">
        <v>33220</v>
      </c>
      <c r="AT54" s="1">
        <v>6640</v>
      </c>
      <c r="AU54" s="1">
        <v>26580</v>
      </c>
      <c r="AV54">
        <v>80.010000000000005</v>
      </c>
      <c r="AX54" s="1">
        <v>2844.82</v>
      </c>
      <c r="AY54" t="s">
        <v>627</v>
      </c>
      <c r="AZ54" t="s">
        <v>627</v>
      </c>
      <c r="BA54" t="s">
        <v>457</v>
      </c>
      <c r="BE54" s="3">
        <v>41835</v>
      </c>
      <c r="BF54" s="1">
        <v>359410</v>
      </c>
      <c r="BG54" t="s">
        <v>275</v>
      </c>
      <c r="BH54" s="1">
        <v>132.38</v>
      </c>
      <c r="BI54" s="1">
        <v>371270</v>
      </c>
      <c r="BJ54" s="3">
        <v>41835</v>
      </c>
      <c r="BK54" t="s">
        <v>123</v>
      </c>
      <c r="BL54" t="str">
        <f>"2014.461688"</f>
        <v>2014.461688</v>
      </c>
      <c r="BM54" t="s">
        <v>628</v>
      </c>
      <c r="BO54" t="s">
        <v>629</v>
      </c>
      <c r="BS54">
        <v>30</v>
      </c>
      <c r="BW54" t="str">
        <f>""</f>
        <v/>
      </c>
      <c r="CH54" t="str">
        <f>""</f>
        <v/>
      </c>
      <c r="CS54" t="str">
        <f>""</f>
        <v/>
      </c>
    </row>
    <row r="55" spans="1:97" x14ac:dyDescent="0.25">
      <c r="B55" t="s">
        <v>630</v>
      </c>
      <c r="E55" t="s">
        <v>630</v>
      </c>
      <c r="F55" t="s">
        <v>108</v>
      </c>
      <c r="H55" t="s">
        <v>631</v>
      </c>
      <c r="I55" t="s">
        <v>632</v>
      </c>
      <c r="J55" t="s">
        <v>111</v>
      </c>
      <c r="K55" t="str">
        <f>"85379"</f>
        <v>85379</v>
      </c>
      <c r="L55" t="s">
        <v>375</v>
      </c>
      <c r="M55" t="s">
        <v>631</v>
      </c>
      <c r="N55" t="s">
        <v>632</v>
      </c>
      <c r="O55" t="s">
        <v>111</v>
      </c>
      <c r="P55" t="str">
        <f>"85379-4284"</f>
        <v>85379-4284</v>
      </c>
      <c r="Q55" t="s">
        <v>113</v>
      </c>
      <c r="R55" t="str">
        <f>"509-11-743"</f>
        <v>509-11-743</v>
      </c>
      <c r="S55" t="s">
        <v>633</v>
      </c>
      <c r="U55">
        <v>1907</v>
      </c>
      <c r="W55">
        <v>3</v>
      </c>
      <c r="X55">
        <v>2015</v>
      </c>
      <c r="Z55">
        <v>1</v>
      </c>
      <c r="AC55" t="s">
        <v>115</v>
      </c>
      <c r="AD55">
        <v>2</v>
      </c>
      <c r="AE55" t="s">
        <v>115</v>
      </c>
      <c r="AH55" t="s">
        <v>116</v>
      </c>
      <c r="AI55" s="1">
        <v>73102</v>
      </c>
      <c r="AJ55" s="2">
        <v>0.23</v>
      </c>
      <c r="AK55" s="1">
        <v>313924</v>
      </c>
      <c r="AL55" t="s">
        <v>117</v>
      </c>
      <c r="AM55" t="s">
        <v>118</v>
      </c>
      <c r="AN55">
        <v>7389</v>
      </c>
      <c r="AO55">
        <v>0.17</v>
      </c>
      <c r="AR55">
        <v>1</v>
      </c>
      <c r="AS55" s="1">
        <v>22680</v>
      </c>
      <c r="AT55" s="1">
        <v>4530</v>
      </c>
      <c r="AU55" s="1">
        <v>18150</v>
      </c>
      <c r="AV55">
        <v>80.03</v>
      </c>
      <c r="AX55" s="1">
        <v>2675.52</v>
      </c>
      <c r="AY55" t="s">
        <v>634</v>
      </c>
      <c r="AZ55" t="s">
        <v>634</v>
      </c>
      <c r="BA55" t="s">
        <v>635</v>
      </c>
      <c r="BE55" s="3">
        <v>42416</v>
      </c>
      <c r="BF55" s="1">
        <v>264501</v>
      </c>
      <c r="BG55" t="s">
        <v>636</v>
      </c>
      <c r="BH55" s="1">
        <v>138.69999999999999</v>
      </c>
      <c r="BI55" s="1">
        <v>240822</v>
      </c>
      <c r="BJ55" s="3">
        <v>42416</v>
      </c>
      <c r="BK55" t="s">
        <v>123</v>
      </c>
      <c r="BL55" t="str">
        <f>"2016.97008"</f>
        <v>2016.97008</v>
      </c>
      <c r="BM55" t="s">
        <v>637</v>
      </c>
      <c r="BO55" t="s">
        <v>638</v>
      </c>
      <c r="BS55">
        <v>30</v>
      </c>
      <c r="BW55" t="str">
        <f>""</f>
        <v/>
      </c>
      <c r="CH55" t="str">
        <f>""</f>
        <v/>
      </c>
      <c r="CS55" t="str">
        <f>""</f>
        <v/>
      </c>
    </row>
    <row r="56" spans="1:97" x14ac:dyDescent="0.25">
      <c r="A56" t="s">
        <v>639</v>
      </c>
      <c r="B56" t="s">
        <v>640</v>
      </c>
      <c r="C56" t="s">
        <v>641</v>
      </c>
      <c r="D56" t="s">
        <v>640</v>
      </c>
      <c r="E56" t="s">
        <v>642</v>
      </c>
      <c r="F56" t="s">
        <v>108</v>
      </c>
      <c r="H56" t="s">
        <v>643</v>
      </c>
      <c r="I56" t="s">
        <v>225</v>
      </c>
      <c r="J56" t="s">
        <v>111</v>
      </c>
      <c r="K56" t="str">
        <f>"85212"</f>
        <v>85212</v>
      </c>
      <c r="L56" t="s">
        <v>558</v>
      </c>
      <c r="M56" t="s">
        <v>643</v>
      </c>
      <c r="N56" t="s">
        <v>225</v>
      </c>
      <c r="O56" t="s">
        <v>111</v>
      </c>
      <c r="P56" t="str">
        <f>"85212-8050"</f>
        <v>85212-8050</v>
      </c>
      <c r="Q56" t="s">
        <v>113</v>
      </c>
      <c r="R56" t="str">
        <f>"304-50-250"</f>
        <v>304-50-250</v>
      </c>
      <c r="S56" t="s">
        <v>644</v>
      </c>
      <c r="U56">
        <v>2636</v>
      </c>
      <c r="W56">
        <v>3</v>
      </c>
      <c r="X56">
        <v>2015</v>
      </c>
      <c r="Z56">
        <v>1</v>
      </c>
      <c r="AA56" t="s">
        <v>26</v>
      </c>
      <c r="AC56" t="s">
        <v>115</v>
      </c>
      <c r="AD56">
        <v>2</v>
      </c>
      <c r="AE56" t="s">
        <v>115</v>
      </c>
      <c r="AH56" t="s">
        <v>116</v>
      </c>
      <c r="AI56" s="1">
        <v>45997</v>
      </c>
      <c r="AJ56" s="2">
        <v>0.11</v>
      </c>
      <c r="AK56" s="1">
        <v>426274</v>
      </c>
      <c r="AL56" t="s">
        <v>117</v>
      </c>
      <c r="AM56" t="s">
        <v>118</v>
      </c>
      <c r="AN56">
        <v>10672</v>
      </c>
      <c r="AO56">
        <v>0.24</v>
      </c>
      <c r="AR56">
        <v>1</v>
      </c>
      <c r="AS56" s="1">
        <v>30230</v>
      </c>
      <c r="AT56" s="1">
        <v>6040</v>
      </c>
      <c r="AU56" s="1">
        <v>24190</v>
      </c>
      <c r="AV56">
        <v>80.02</v>
      </c>
      <c r="AX56" s="1">
        <v>4055.74</v>
      </c>
      <c r="AY56" t="s">
        <v>560</v>
      </c>
      <c r="AZ56" t="s">
        <v>561</v>
      </c>
      <c r="BA56" t="s">
        <v>194</v>
      </c>
      <c r="BE56" s="3">
        <v>42185</v>
      </c>
      <c r="BF56" s="1">
        <v>337703</v>
      </c>
      <c r="BG56" t="s">
        <v>645</v>
      </c>
      <c r="BH56" s="1">
        <v>128.11000000000001</v>
      </c>
      <c r="BI56" s="1">
        <v>380277</v>
      </c>
      <c r="BJ56" s="3">
        <v>42668</v>
      </c>
      <c r="BK56" t="s">
        <v>123</v>
      </c>
      <c r="BL56" t="str">
        <f>"2016.780923"</f>
        <v>2016.780923</v>
      </c>
      <c r="BM56" t="s">
        <v>402</v>
      </c>
      <c r="BO56" t="s">
        <v>646</v>
      </c>
      <c r="BS56">
        <v>30</v>
      </c>
      <c r="BW56" t="str">
        <f>""</f>
        <v/>
      </c>
      <c r="CH56" t="str">
        <f>""</f>
        <v/>
      </c>
      <c r="CS56" t="str">
        <f>""</f>
        <v/>
      </c>
    </row>
    <row r="57" spans="1:97" x14ac:dyDescent="0.25">
      <c r="A57" t="s">
        <v>647</v>
      </c>
      <c r="B57" t="s">
        <v>364</v>
      </c>
      <c r="C57" t="s">
        <v>489</v>
      </c>
      <c r="D57" t="s">
        <v>364</v>
      </c>
      <c r="E57" t="s">
        <v>648</v>
      </c>
      <c r="F57" t="s">
        <v>108</v>
      </c>
      <c r="H57" t="s">
        <v>649</v>
      </c>
      <c r="I57" t="s">
        <v>225</v>
      </c>
      <c r="J57" t="s">
        <v>111</v>
      </c>
      <c r="K57" t="str">
        <f>"85212"</f>
        <v>85212</v>
      </c>
      <c r="L57" t="s">
        <v>558</v>
      </c>
      <c r="M57" t="s">
        <v>649</v>
      </c>
      <c r="N57" t="s">
        <v>225</v>
      </c>
      <c r="O57" t="s">
        <v>111</v>
      </c>
      <c r="P57" t="str">
        <f>"85212-8117"</f>
        <v>85212-8117</v>
      </c>
      <c r="Q57" t="s">
        <v>113</v>
      </c>
      <c r="R57" t="str">
        <f>"304-50-754"</f>
        <v>304-50-754</v>
      </c>
      <c r="S57" t="s">
        <v>650</v>
      </c>
      <c r="U57">
        <v>2875</v>
      </c>
      <c r="W57">
        <v>4</v>
      </c>
      <c r="X57">
        <v>2015</v>
      </c>
      <c r="Z57">
        <v>2</v>
      </c>
      <c r="AC57" t="s">
        <v>115</v>
      </c>
      <c r="AD57">
        <v>3</v>
      </c>
      <c r="AE57" t="s">
        <v>115</v>
      </c>
      <c r="AH57" t="s">
        <v>116</v>
      </c>
      <c r="AI57" s="1">
        <v>76838</v>
      </c>
      <c r="AJ57" s="2">
        <v>0.18</v>
      </c>
      <c r="AK57" s="1">
        <v>423324</v>
      </c>
      <c r="AL57" t="s">
        <v>117</v>
      </c>
      <c r="AM57" t="s">
        <v>118</v>
      </c>
      <c r="AN57">
        <v>8807</v>
      </c>
      <c r="AO57">
        <v>0.2</v>
      </c>
      <c r="AR57">
        <v>1</v>
      </c>
      <c r="AS57" s="1">
        <v>29280</v>
      </c>
      <c r="AT57" s="1">
        <v>5850</v>
      </c>
      <c r="AU57" s="1">
        <v>23430</v>
      </c>
      <c r="AV57">
        <v>80.02</v>
      </c>
      <c r="AX57" s="1">
        <v>3786</v>
      </c>
      <c r="AY57" t="s">
        <v>560</v>
      </c>
      <c r="AZ57" t="s">
        <v>561</v>
      </c>
      <c r="BA57" t="s">
        <v>194</v>
      </c>
      <c r="BE57" s="3">
        <v>42425</v>
      </c>
      <c r="BF57" s="1">
        <v>314314</v>
      </c>
      <c r="BG57" t="s">
        <v>275</v>
      </c>
      <c r="BH57" s="1">
        <v>109.33</v>
      </c>
      <c r="BI57" s="1">
        <v>324686</v>
      </c>
      <c r="BJ57" s="3">
        <v>42425</v>
      </c>
      <c r="BK57" t="s">
        <v>123</v>
      </c>
      <c r="BL57" t="str">
        <f>"2016.120326"</f>
        <v>2016.120326</v>
      </c>
      <c r="BM57" t="s">
        <v>651</v>
      </c>
      <c r="BN57" t="s">
        <v>652</v>
      </c>
      <c r="BO57" t="s">
        <v>653</v>
      </c>
      <c r="BS57">
        <v>30</v>
      </c>
      <c r="BT57" s="1">
        <v>21800</v>
      </c>
      <c r="BU57" s="3">
        <v>43193</v>
      </c>
      <c r="BV57" t="s">
        <v>134</v>
      </c>
      <c r="BW57" t="str">
        <f>"2018.247946"</f>
        <v>2018.247946</v>
      </c>
      <c r="BX57" t="s">
        <v>654</v>
      </c>
      <c r="BY57" t="s">
        <v>655</v>
      </c>
      <c r="BZ57" t="s">
        <v>656</v>
      </c>
      <c r="CA57" t="s">
        <v>657</v>
      </c>
      <c r="CC57" t="s">
        <v>139</v>
      </c>
      <c r="CH57" t="str">
        <f>""</f>
        <v/>
      </c>
      <c r="CS57" t="str">
        <f>""</f>
        <v/>
      </c>
    </row>
    <row r="58" spans="1:97" x14ac:dyDescent="0.25">
      <c r="A58" t="s">
        <v>658</v>
      </c>
      <c r="B58" t="s">
        <v>659</v>
      </c>
      <c r="C58" t="s">
        <v>660</v>
      </c>
      <c r="D58" t="s">
        <v>659</v>
      </c>
      <c r="E58" t="s">
        <v>661</v>
      </c>
      <c r="F58" t="s">
        <v>108</v>
      </c>
      <c r="H58" t="s">
        <v>662</v>
      </c>
      <c r="I58" t="s">
        <v>374</v>
      </c>
      <c r="J58" t="s">
        <v>111</v>
      </c>
      <c r="K58" t="str">
        <f>"85087"</f>
        <v>85087</v>
      </c>
      <c r="L58" t="s">
        <v>375</v>
      </c>
      <c r="M58" t="s">
        <v>662</v>
      </c>
      <c r="N58" t="s">
        <v>374</v>
      </c>
      <c r="O58" t="s">
        <v>111</v>
      </c>
      <c r="P58" t="str">
        <f>"85087-6214"</f>
        <v>85087-6214</v>
      </c>
      <c r="Q58" t="s">
        <v>113</v>
      </c>
      <c r="R58" t="str">
        <f>"202-23-288"</f>
        <v>202-23-288</v>
      </c>
      <c r="S58" t="s">
        <v>663</v>
      </c>
      <c r="T58" t="s">
        <v>664</v>
      </c>
      <c r="U58">
        <v>4320</v>
      </c>
      <c r="W58">
        <v>6</v>
      </c>
      <c r="X58">
        <v>2015</v>
      </c>
      <c r="Z58">
        <v>2</v>
      </c>
      <c r="AC58" t="s">
        <v>115</v>
      </c>
      <c r="AD58">
        <v>3</v>
      </c>
      <c r="AE58" t="s">
        <v>115</v>
      </c>
      <c r="AH58" t="s">
        <v>116</v>
      </c>
      <c r="AI58" s="1">
        <v>99578</v>
      </c>
      <c r="AJ58" s="2">
        <v>0.19</v>
      </c>
      <c r="AK58" s="1">
        <v>519578</v>
      </c>
      <c r="AL58" t="s">
        <v>117</v>
      </c>
      <c r="AM58" t="s">
        <v>171</v>
      </c>
      <c r="AN58">
        <v>10963</v>
      </c>
      <c r="AO58">
        <v>0.25</v>
      </c>
      <c r="AR58">
        <v>1</v>
      </c>
      <c r="AS58" s="1">
        <v>38960</v>
      </c>
      <c r="AT58" s="1">
        <v>7790</v>
      </c>
      <c r="AU58" s="1">
        <v>31170</v>
      </c>
      <c r="AV58">
        <v>80.010000000000005</v>
      </c>
      <c r="AX58" s="1">
        <v>3796.08</v>
      </c>
      <c r="AY58" t="s">
        <v>665</v>
      </c>
      <c r="AZ58" t="s">
        <v>665</v>
      </c>
      <c r="BA58" t="s">
        <v>378</v>
      </c>
      <c r="BE58" s="3">
        <v>42277</v>
      </c>
      <c r="BF58" s="1">
        <v>397964</v>
      </c>
      <c r="BG58" t="s">
        <v>158</v>
      </c>
      <c r="BH58" s="1">
        <v>92.12</v>
      </c>
      <c r="BI58" s="1">
        <v>420000</v>
      </c>
      <c r="BJ58" s="3">
        <v>42949</v>
      </c>
      <c r="BK58" t="s">
        <v>123</v>
      </c>
      <c r="BL58" t="str">
        <f>"2017.567154"</f>
        <v>2017.567154</v>
      </c>
      <c r="BM58" t="s">
        <v>666</v>
      </c>
      <c r="BO58" t="s">
        <v>667</v>
      </c>
      <c r="BS58">
        <v>30</v>
      </c>
      <c r="BW58" t="str">
        <f>""</f>
        <v/>
      </c>
      <c r="CH58" t="str">
        <f>""</f>
        <v/>
      </c>
      <c r="CS58" t="str">
        <f>""</f>
        <v/>
      </c>
    </row>
    <row r="59" spans="1:97" x14ac:dyDescent="0.25">
      <c r="A59" t="s">
        <v>668</v>
      </c>
      <c r="B59" t="s">
        <v>669</v>
      </c>
      <c r="C59" t="s">
        <v>670</v>
      </c>
      <c r="D59" t="s">
        <v>669</v>
      </c>
      <c r="E59" t="s">
        <v>671</v>
      </c>
      <c r="F59" t="s">
        <v>108</v>
      </c>
      <c r="H59" t="s">
        <v>672</v>
      </c>
      <c r="I59" t="s">
        <v>499</v>
      </c>
      <c r="J59" t="s">
        <v>111</v>
      </c>
      <c r="K59" t="str">
        <f>"85395"</f>
        <v>85395</v>
      </c>
      <c r="L59" t="s">
        <v>500</v>
      </c>
      <c r="M59" t="s">
        <v>672</v>
      </c>
      <c r="N59" t="s">
        <v>499</v>
      </c>
      <c r="O59" t="s">
        <v>111</v>
      </c>
      <c r="P59" t="str">
        <f>"85395-6462"</f>
        <v>85395-6462</v>
      </c>
      <c r="Q59" t="s">
        <v>113</v>
      </c>
      <c r="R59" t="str">
        <f>"502-30-404"</f>
        <v>502-30-404</v>
      </c>
      <c r="S59" t="s">
        <v>501</v>
      </c>
      <c r="T59" t="s">
        <v>502</v>
      </c>
      <c r="U59">
        <v>3245</v>
      </c>
      <c r="W59">
        <v>4</v>
      </c>
      <c r="X59">
        <v>2015</v>
      </c>
      <c r="Z59">
        <v>1</v>
      </c>
      <c r="AC59" t="s">
        <v>115</v>
      </c>
      <c r="AD59">
        <v>4</v>
      </c>
      <c r="AE59" t="s">
        <v>115</v>
      </c>
      <c r="AH59" t="s">
        <v>116</v>
      </c>
      <c r="AI59" s="1">
        <v>20122</v>
      </c>
      <c r="AJ59" s="2">
        <v>0.04</v>
      </c>
      <c r="AK59" s="1">
        <v>454922</v>
      </c>
      <c r="AL59" t="s">
        <v>117</v>
      </c>
      <c r="AM59" t="s">
        <v>118</v>
      </c>
      <c r="AN59">
        <v>14500</v>
      </c>
      <c r="AO59">
        <v>0.33</v>
      </c>
      <c r="AR59">
        <v>1</v>
      </c>
      <c r="AS59" s="1">
        <v>36130</v>
      </c>
      <c r="AT59" s="1">
        <v>7220</v>
      </c>
      <c r="AU59" s="1">
        <v>28910</v>
      </c>
      <c r="AV59">
        <v>80.02</v>
      </c>
      <c r="AX59" s="1">
        <v>3176.5</v>
      </c>
      <c r="AY59" t="s">
        <v>503</v>
      </c>
      <c r="AZ59" t="s">
        <v>504</v>
      </c>
      <c r="BA59" t="s">
        <v>218</v>
      </c>
      <c r="BE59" s="3">
        <v>42209</v>
      </c>
      <c r="BF59" s="1">
        <v>416996</v>
      </c>
      <c r="BG59" t="s">
        <v>209</v>
      </c>
      <c r="BH59" s="1">
        <v>128.5</v>
      </c>
      <c r="BI59" s="1">
        <v>434800</v>
      </c>
      <c r="BJ59" s="3">
        <v>43201</v>
      </c>
      <c r="BK59" t="s">
        <v>123</v>
      </c>
      <c r="BL59" t="str">
        <f>"2018.272000"</f>
        <v>2018.272000</v>
      </c>
      <c r="BM59" t="s">
        <v>673</v>
      </c>
      <c r="BN59" t="s">
        <v>674</v>
      </c>
      <c r="BO59" t="s">
        <v>675</v>
      </c>
      <c r="BP59" t="s">
        <v>676</v>
      </c>
      <c r="BR59" t="s">
        <v>139</v>
      </c>
      <c r="BW59" t="str">
        <f>""</f>
        <v/>
      </c>
      <c r="CH59" t="str">
        <f>""</f>
        <v/>
      </c>
      <c r="CS59" t="str">
        <f>""</f>
        <v/>
      </c>
    </row>
    <row r="60" spans="1:97" x14ac:dyDescent="0.25">
      <c r="A60" t="s">
        <v>639</v>
      </c>
      <c r="B60" t="s">
        <v>677</v>
      </c>
      <c r="C60" t="s">
        <v>678</v>
      </c>
      <c r="D60" t="s">
        <v>677</v>
      </c>
      <c r="E60" t="s">
        <v>679</v>
      </c>
      <c r="F60" t="s">
        <v>108</v>
      </c>
      <c r="H60" t="s">
        <v>680</v>
      </c>
      <c r="I60" t="s">
        <v>203</v>
      </c>
      <c r="J60" t="s">
        <v>111</v>
      </c>
      <c r="K60" t="str">
        <f>"85298"</f>
        <v>85298</v>
      </c>
      <c r="L60" t="s">
        <v>681</v>
      </c>
      <c r="M60" t="s">
        <v>680</v>
      </c>
      <c r="N60" t="s">
        <v>203</v>
      </c>
      <c r="O60" t="s">
        <v>111</v>
      </c>
      <c r="P60" t="str">
        <f>"85298"</f>
        <v>85298</v>
      </c>
      <c r="Q60" t="s">
        <v>113</v>
      </c>
      <c r="R60" t="str">
        <f>"304-87-663"</f>
        <v>304-87-663</v>
      </c>
      <c r="S60" t="s">
        <v>682</v>
      </c>
      <c r="U60">
        <v>3221</v>
      </c>
      <c r="W60">
        <v>5</v>
      </c>
      <c r="X60">
        <v>2015</v>
      </c>
      <c r="Z60">
        <v>2</v>
      </c>
      <c r="AA60" t="s">
        <v>26</v>
      </c>
      <c r="AC60" t="s">
        <v>115</v>
      </c>
      <c r="AD60">
        <v>3</v>
      </c>
      <c r="AE60" t="s">
        <v>115</v>
      </c>
      <c r="AH60" t="s">
        <v>116</v>
      </c>
      <c r="AI60" s="1">
        <v>101528</v>
      </c>
      <c r="AJ60" s="2">
        <v>0.2</v>
      </c>
      <c r="AK60" s="1">
        <v>514160</v>
      </c>
      <c r="AL60" t="s">
        <v>117</v>
      </c>
      <c r="AM60" t="s">
        <v>393</v>
      </c>
      <c r="AN60">
        <v>7835</v>
      </c>
      <c r="AO60">
        <v>0.18</v>
      </c>
      <c r="AR60">
        <v>1</v>
      </c>
      <c r="AS60" s="1">
        <v>37860</v>
      </c>
      <c r="AT60" s="1">
        <v>7570</v>
      </c>
      <c r="AU60" s="1">
        <v>30290</v>
      </c>
      <c r="AV60">
        <v>80.010000000000005</v>
      </c>
      <c r="AX60" s="1">
        <v>2967.58</v>
      </c>
      <c r="AY60" t="s">
        <v>289</v>
      </c>
      <c r="AZ60" t="s">
        <v>289</v>
      </c>
      <c r="BA60" t="s">
        <v>290</v>
      </c>
      <c r="BE60" s="3">
        <v>42342</v>
      </c>
      <c r="BF60" s="1">
        <v>427930</v>
      </c>
      <c r="BG60" t="s">
        <v>209</v>
      </c>
      <c r="BH60" s="1">
        <v>132.86000000000001</v>
      </c>
      <c r="BI60" s="1">
        <v>412632</v>
      </c>
      <c r="BJ60" s="3">
        <v>42342</v>
      </c>
      <c r="BK60" t="s">
        <v>123</v>
      </c>
      <c r="BL60" t="str">
        <f>"2015.862859"</f>
        <v>2015.862859</v>
      </c>
      <c r="BM60" t="s">
        <v>683</v>
      </c>
      <c r="BO60" t="s">
        <v>684</v>
      </c>
      <c r="BS60">
        <v>30</v>
      </c>
      <c r="BW60" t="str">
        <f>""</f>
        <v/>
      </c>
      <c r="CH60" t="str">
        <f>""</f>
        <v/>
      </c>
      <c r="CS60" t="str">
        <f>""</f>
        <v/>
      </c>
    </row>
    <row r="61" spans="1:97" x14ac:dyDescent="0.25">
      <c r="A61" t="s">
        <v>370</v>
      </c>
      <c r="B61" t="s">
        <v>685</v>
      </c>
      <c r="E61" t="s">
        <v>686</v>
      </c>
      <c r="F61" t="s">
        <v>282</v>
      </c>
      <c r="H61" t="s">
        <v>687</v>
      </c>
      <c r="I61" t="s">
        <v>188</v>
      </c>
      <c r="J61" t="s">
        <v>111</v>
      </c>
      <c r="K61" t="str">
        <f>"85142"</f>
        <v>85142</v>
      </c>
      <c r="L61" t="s">
        <v>688</v>
      </c>
      <c r="M61" t="s">
        <v>689</v>
      </c>
      <c r="N61" t="s">
        <v>188</v>
      </c>
      <c r="O61" t="s">
        <v>111</v>
      </c>
      <c r="P61" t="str">
        <f>"85142-9713"</f>
        <v>85142-9713</v>
      </c>
      <c r="Q61" t="s">
        <v>113</v>
      </c>
      <c r="R61" t="str">
        <f>"304-89-816"</f>
        <v>304-89-816</v>
      </c>
      <c r="S61" t="s">
        <v>690</v>
      </c>
      <c r="T61" t="s">
        <v>691</v>
      </c>
      <c r="U61">
        <v>4285</v>
      </c>
      <c r="W61">
        <v>6</v>
      </c>
      <c r="X61">
        <v>2015</v>
      </c>
      <c r="Z61">
        <v>2</v>
      </c>
      <c r="AC61" t="s">
        <v>115</v>
      </c>
      <c r="AD61">
        <v>3</v>
      </c>
      <c r="AE61" t="s">
        <v>115</v>
      </c>
      <c r="AH61" t="s">
        <v>116</v>
      </c>
      <c r="AI61" s="1">
        <v>98693</v>
      </c>
      <c r="AJ61" s="2">
        <v>0.21</v>
      </c>
      <c r="AK61" s="1">
        <v>467909</v>
      </c>
      <c r="AL61" t="s">
        <v>117</v>
      </c>
      <c r="AM61" t="s">
        <v>393</v>
      </c>
      <c r="AN61">
        <v>8400</v>
      </c>
      <c r="AO61">
        <v>0.19</v>
      </c>
      <c r="AR61">
        <v>1</v>
      </c>
      <c r="AS61" s="1">
        <v>33810</v>
      </c>
      <c r="AT61" s="1">
        <v>6760</v>
      </c>
      <c r="AU61" s="1">
        <v>27050</v>
      </c>
      <c r="AV61">
        <v>80.010000000000005</v>
      </c>
      <c r="AX61" s="1">
        <v>3355.8</v>
      </c>
      <c r="AY61" t="s">
        <v>192</v>
      </c>
      <c r="AZ61" t="s">
        <v>193</v>
      </c>
      <c r="BA61" t="s">
        <v>194</v>
      </c>
      <c r="BE61" s="3">
        <v>42479</v>
      </c>
      <c r="BF61" s="1">
        <v>369216</v>
      </c>
      <c r="BG61" t="s">
        <v>209</v>
      </c>
      <c r="BH61" s="1">
        <v>86.16</v>
      </c>
      <c r="BI61" s="1">
        <v>369216</v>
      </c>
      <c r="BJ61" s="3">
        <v>42479</v>
      </c>
      <c r="BK61" t="s">
        <v>123</v>
      </c>
      <c r="BL61" t="str">
        <f>"2016.260483"</f>
        <v>2016.260483</v>
      </c>
      <c r="BM61" t="s">
        <v>175</v>
      </c>
      <c r="BO61" t="s">
        <v>692</v>
      </c>
      <c r="BS61">
        <v>30</v>
      </c>
      <c r="BW61" t="str">
        <f>""</f>
        <v/>
      </c>
      <c r="CH61" t="str">
        <f>""</f>
        <v/>
      </c>
      <c r="CS61" t="str">
        <f>""</f>
        <v/>
      </c>
    </row>
    <row r="62" spans="1:97" x14ac:dyDescent="0.25">
      <c r="A62" t="s">
        <v>693</v>
      </c>
      <c r="B62" t="s">
        <v>694</v>
      </c>
      <c r="C62" t="s">
        <v>695</v>
      </c>
      <c r="D62" t="s">
        <v>694</v>
      </c>
      <c r="E62" t="s">
        <v>696</v>
      </c>
      <c r="F62" t="s">
        <v>108</v>
      </c>
      <c r="H62" t="s">
        <v>697</v>
      </c>
      <c r="I62" t="s">
        <v>225</v>
      </c>
      <c r="J62" t="s">
        <v>111</v>
      </c>
      <c r="K62" t="str">
        <f>"85212"</f>
        <v>85212</v>
      </c>
      <c r="L62" t="s">
        <v>558</v>
      </c>
      <c r="M62" t="s">
        <v>697</v>
      </c>
      <c r="N62" t="s">
        <v>225</v>
      </c>
      <c r="O62" t="s">
        <v>111</v>
      </c>
      <c r="P62" t="str">
        <f>"85212-8072"</f>
        <v>85212-8072</v>
      </c>
      <c r="Q62" t="s">
        <v>113</v>
      </c>
      <c r="R62" t="str">
        <f>"304-50-350"</f>
        <v>304-50-350</v>
      </c>
      <c r="S62" t="s">
        <v>698</v>
      </c>
      <c r="U62">
        <v>2990</v>
      </c>
      <c r="W62">
        <v>4</v>
      </c>
      <c r="X62">
        <v>2014</v>
      </c>
      <c r="Z62">
        <v>1</v>
      </c>
      <c r="AC62" t="s">
        <v>115</v>
      </c>
      <c r="AD62">
        <v>3</v>
      </c>
      <c r="AE62" t="s">
        <v>115</v>
      </c>
      <c r="AH62" t="s">
        <v>116</v>
      </c>
      <c r="AI62" s="1">
        <v>87438</v>
      </c>
      <c r="AJ62" s="2">
        <v>0.19</v>
      </c>
      <c r="AK62" s="1">
        <v>464483</v>
      </c>
      <c r="AL62" t="s">
        <v>117</v>
      </c>
      <c r="AM62" t="s">
        <v>118</v>
      </c>
      <c r="AN62">
        <v>10828</v>
      </c>
      <c r="AO62">
        <v>0.25</v>
      </c>
      <c r="AR62">
        <v>1</v>
      </c>
      <c r="AS62" s="1">
        <v>34550</v>
      </c>
      <c r="AT62" s="1">
        <v>6910</v>
      </c>
      <c r="AU62" s="1">
        <v>27640</v>
      </c>
      <c r="AV62">
        <v>80</v>
      </c>
      <c r="AX62" s="1">
        <v>4918.38</v>
      </c>
      <c r="AY62" t="s">
        <v>560</v>
      </c>
      <c r="AZ62" t="s">
        <v>561</v>
      </c>
      <c r="BA62" t="s">
        <v>194</v>
      </c>
      <c r="BE62" s="3">
        <v>42123</v>
      </c>
      <c r="BF62" s="1">
        <v>365000</v>
      </c>
      <c r="BG62" t="s">
        <v>645</v>
      </c>
      <c r="BH62" s="1">
        <v>122.07</v>
      </c>
      <c r="BI62" s="1">
        <v>377045</v>
      </c>
      <c r="BJ62" s="3">
        <v>42123</v>
      </c>
      <c r="BK62" t="s">
        <v>123</v>
      </c>
      <c r="BL62" t="str">
        <f>"2015.296837"</f>
        <v>2015.296837</v>
      </c>
      <c r="BM62" t="s">
        <v>699</v>
      </c>
      <c r="BO62" t="s">
        <v>700</v>
      </c>
      <c r="BS62">
        <v>30</v>
      </c>
      <c r="BW62" t="str">
        <f>""</f>
        <v/>
      </c>
      <c r="CH62" t="str">
        <f>""</f>
        <v/>
      </c>
      <c r="CS62" t="str">
        <f>""</f>
        <v/>
      </c>
    </row>
    <row r="63" spans="1:97" x14ac:dyDescent="0.25">
      <c r="A63" t="s">
        <v>701</v>
      </c>
      <c r="B63" t="s">
        <v>702</v>
      </c>
      <c r="C63" t="s">
        <v>703</v>
      </c>
      <c r="D63" t="s">
        <v>702</v>
      </c>
      <c r="E63" t="s">
        <v>704</v>
      </c>
      <c r="F63" t="s">
        <v>108</v>
      </c>
      <c r="H63" t="s">
        <v>705</v>
      </c>
      <c r="I63" t="s">
        <v>110</v>
      </c>
      <c r="J63" t="s">
        <v>111</v>
      </c>
      <c r="K63" t="str">
        <f>"85249"</f>
        <v>85249</v>
      </c>
      <c r="L63" t="s">
        <v>417</v>
      </c>
      <c r="M63" t="s">
        <v>705</v>
      </c>
      <c r="N63" t="s">
        <v>110</v>
      </c>
      <c r="O63" t="s">
        <v>111</v>
      </c>
      <c r="P63" t="str">
        <f>"85249-9710"</f>
        <v>85249-9710</v>
      </c>
      <c r="Q63" t="s">
        <v>113</v>
      </c>
      <c r="R63" t="str">
        <f>"304-75-808"</f>
        <v>304-75-808</v>
      </c>
      <c r="S63" t="s">
        <v>706</v>
      </c>
      <c r="T63" t="s">
        <v>707</v>
      </c>
      <c r="U63">
        <v>1980</v>
      </c>
      <c r="W63">
        <v>3</v>
      </c>
      <c r="X63">
        <v>2014</v>
      </c>
      <c r="Z63">
        <v>1</v>
      </c>
      <c r="AC63" t="s">
        <v>115</v>
      </c>
      <c r="AD63">
        <v>3</v>
      </c>
      <c r="AE63" t="s">
        <v>115</v>
      </c>
      <c r="AH63" t="s">
        <v>116</v>
      </c>
      <c r="AI63" s="1">
        <v>136518</v>
      </c>
      <c r="AJ63" s="2">
        <v>0.35</v>
      </c>
      <c r="AK63" s="1">
        <v>389643</v>
      </c>
      <c r="AL63" t="s">
        <v>117</v>
      </c>
      <c r="AM63" t="s">
        <v>118</v>
      </c>
      <c r="AN63">
        <v>7187</v>
      </c>
      <c r="AO63">
        <v>0.16</v>
      </c>
      <c r="AR63">
        <v>1</v>
      </c>
      <c r="AS63" s="1">
        <v>27560</v>
      </c>
      <c r="AT63" s="1">
        <v>5510</v>
      </c>
      <c r="AU63" s="1">
        <v>22050</v>
      </c>
      <c r="AV63">
        <v>80.010000000000005</v>
      </c>
      <c r="AX63" s="1">
        <v>2288.6799999999998</v>
      </c>
      <c r="AY63" t="s">
        <v>419</v>
      </c>
      <c r="AZ63" t="s">
        <v>273</v>
      </c>
      <c r="BA63" t="s">
        <v>303</v>
      </c>
      <c r="BE63" s="3">
        <v>42062</v>
      </c>
      <c r="BF63" s="1">
        <v>310000</v>
      </c>
      <c r="BG63" t="s">
        <v>708</v>
      </c>
      <c r="BH63" s="1">
        <v>156.57</v>
      </c>
      <c r="BI63" s="1">
        <v>253125</v>
      </c>
      <c r="BJ63" s="3">
        <v>42062</v>
      </c>
      <c r="BK63" t="s">
        <v>123</v>
      </c>
      <c r="BL63" t="str">
        <f>"2015.133815"</f>
        <v>2015.133815</v>
      </c>
      <c r="BM63" t="s">
        <v>709</v>
      </c>
      <c r="BO63" t="s">
        <v>710</v>
      </c>
      <c r="BS63">
        <v>30</v>
      </c>
      <c r="BW63" t="str">
        <f>""</f>
        <v/>
      </c>
      <c r="CH63" t="str">
        <f>""</f>
        <v/>
      </c>
      <c r="CS63" t="str">
        <f>""</f>
        <v/>
      </c>
    </row>
    <row r="64" spans="1:97" x14ac:dyDescent="0.25">
      <c r="A64" t="s">
        <v>711</v>
      </c>
      <c r="B64" t="s">
        <v>712</v>
      </c>
      <c r="C64" t="s">
        <v>713</v>
      </c>
      <c r="D64" t="s">
        <v>712</v>
      </c>
      <c r="E64" t="s">
        <v>714</v>
      </c>
      <c r="F64" t="s">
        <v>108</v>
      </c>
      <c r="H64" t="s">
        <v>715</v>
      </c>
      <c r="I64" t="s">
        <v>225</v>
      </c>
      <c r="J64" t="s">
        <v>111</v>
      </c>
      <c r="K64" t="str">
        <f>"85212"</f>
        <v>85212</v>
      </c>
      <c r="L64" t="s">
        <v>558</v>
      </c>
      <c r="M64" t="s">
        <v>715</v>
      </c>
      <c r="N64" t="s">
        <v>225</v>
      </c>
      <c r="O64" t="s">
        <v>111</v>
      </c>
      <c r="P64" t="str">
        <f>"85212-8123"</f>
        <v>85212-8123</v>
      </c>
      <c r="Q64" t="s">
        <v>113</v>
      </c>
      <c r="R64" t="str">
        <f>"304-50-779"</f>
        <v>304-50-779</v>
      </c>
      <c r="S64" t="s">
        <v>650</v>
      </c>
      <c r="U64">
        <v>2385</v>
      </c>
      <c r="W64">
        <v>4</v>
      </c>
      <c r="X64">
        <v>2014</v>
      </c>
      <c r="Z64">
        <v>2</v>
      </c>
      <c r="AC64" t="s">
        <v>115</v>
      </c>
      <c r="AD64">
        <v>2</v>
      </c>
      <c r="AE64" t="s">
        <v>115</v>
      </c>
      <c r="AH64" t="s">
        <v>116</v>
      </c>
      <c r="AI64" s="1">
        <v>77360</v>
      </c>
      <c r="AJ64" s="2">
        <v>0.21</v>
      </c>
      <c r="AK64" s="1">
        <v>363533</v>
      </c>
      <c r="AL64" t="s">
        <v>117</v>
      </c>
      <c r="AM64" t="s">
        <v>118</v>
      </c>
      <c r="AN64">
        <v>5496</v>
      </c>
      <c r="AO64">
        <v>0.13</v>
      </c>
      <c r="AR64">
        <v>1</v>
      </c>
      <c r="AS64" s="1">
        <v>24660</v>
      </c>
      <c r="AT64" s="1">
        <v>4930</v>
      </c>
      <c r="AU64" s="1">
        <v>19730</v>
      </c>
      <c r="AV64">
        <v>80.010000000000005</v>
      </c>
      <c r="AX64" s="1">
        <v>3479.88</v>
      </c>
      <c r="AY64" t="s">
        <v>560</v>
      </c>
      <c r="AZ64" t="s">
        <v>561</v>
      </c>
      <c r="BA64" t="s">
        <v>194</v>
      </c>
      <c r="BB64" s="3">
        <v>42082</v>
      </c>
      <c r="BD64" t="s">
        <v>240</v>
      </c>
      <c r="BE64" s="3">
        <v>41719</v>
      </c>
      <c r="BF64" s="1">
        <v>280180</v>
      </c>
      <c r="BG64" t="s">
        <v>275</v>
      </c>
      <c r="BH64" s="1">
        <v>117.48</v>
      </c>
      <c r="BI64" s="1">
        <v>286173</v>
      </c>
      <c r="BJ64" s="3">
        <v>42769</v>
      </c>
      <c r="BK64" t="s">
        <v>123</v>
      </c>
      <c r="BL64" t="str">
        <f>"2017.86092"</f>
        <v>2017.86092</v>
      </c>
      <c r="BM64" t="s">
        <v>716</v>
      </c>
      <c r="BO64" t="s">
        <v>717</v>
      </c>
      <c r="BS64">
        <v>30</v>
      </c>
      <c r="BW64" t="str">
        <f>""</f>
        <v/>
      </c>
      <c r="CH64" t="str">
        <f>""</f>
        <v/>
      </c>
      <c r="CS64" t="str">
        <f>""</f>
        <v/>
      </c>
    </row>
    <row r="65" spans="1:97" x14ac:dyDescent="0.25">
      <c r="B65" t="s">
        <v>718</v>
      </c>
      <c r="E65" t="s">
        <v>719</v>
      </c>
      <c r="F65" t="s">
        <v>108</v>
      </c>
      <c r="H65" t="s">
        <v>720</v>
      </c>
      <c r="I65" t="s">
        <v>203</v>
      </c>
      <c r="J65" t="s">
        <v>111</v>
      </c>
      <c r="K65" t="str">
        <f>"85298"</f>
        <v>85298</v>
      </c>
      <c r="L65" t="s">
        <v>721</v>
      </c>
      <c r="M65" t="s">
        <v>720</v>
      </c>
      <c r="N65" t="s">
        <v>203</v>
      </c>
      <c r="O65" t="s">
        <v>111</v>
      </c>
      <c r="P65" t="str">
        <f>"85298"</f>
        <v>85298</v>
      </c>
      <c r="Q65" t="s">
        <v>113</v>
      </c>
      <c r="R65" t="str">
        <f>"304-85-697"</f>
        <v>304-85-697</v>
      </c>
      <c r="S65" t="s">
        <v>722</v>
      </c>
      <c r="U65">
        <v>2694</v>
      </c>
      <c r="W65">
        <v>4</v>
      </c>
      <c r="X65">
        <v>2014</v>
      </c>
      <c r="Z65">
        <v>1</v>
      </c>
      <c r="AC65" t="s">
        <v>115</v>
      </c>
      <c r="AD65">
        <v>3</v>
      </c>
      <c r="AE65" t="s">
        <v>115</v>
      </c>
      <c r="AH65" t="s">
        <v>116</v>
      </c>
      <c r="AI65" s="1">
        <v>94658</v>
      </c>
      <c r="AJ65" s="2">
        <v>0.25</v>
      </c>
      <c r="AK65" s="1">
        <v>379666</v>
      </c>
      <c r="AL65" t="s">
        <v>117</v>
      </c>
      <c r="AM65" t="s">
        <v>723</v>
      </c>
      <c r="AN65">
        <v>10200</v>
      </c>
      <c r="AO65">
        <v>0.23</v>
      </c>
      <c r="AR65">
        <v>1</v>
      </c>
      <c r="AS65" s="1">
        <v>33160</v>
      </c>
      <c r="AT65" s="1">
        <v>6630</v>
      </c>
      <c r="AU65" s="1">
        <v>26530</v>
      </c>
      <c r="AV65">
        <v>80.010000000000005</v>
      </c>
      <c r="AX65" s="1">
        <v>2658.34</v>
      </c>
      <c r="AY65" t="s">
        <v>272</v>
      </c>
      <c r="AZ65" t="s">
        <v>273</v>
      </c>
      <c r="BA65" t="s">
        <v>274</v>
      </c>
      <c r="BB65" s="3">
        <v>42200</v>
      </c>
      <c r="BD65" t="s">
        <v>240</v>
      </c>
      <c r="BE65" s="3">
        <v>41996</v>
      </c>
      <c r="BF65" s="1">
        <v>346490</v>
      </c>
      <c r="BG65" t="s">
        <v>645</v>
      </c>
      <c r="BH65" s="1">
        <v>128.62</v>
      </c>
      <c r="BI65" s="1">
        <v>285008</v>
      </c>
      <c r="BJ65" s="3">
        <v>41996</v>
      </c>
      <c r="BK65" t="s">
        <v>123</v>
      </c>
      <c r="BL65" t="str">
        <f>"2014.844573"</f>
        <v>2014.844573</v>
      </c>
      <c r="BM65" t="s">
        <v>724</v>
      </c>
      <c r="BO65" t="s">
        <v>725</v>
      </c>
      <c r="BS65">
        <v>30</v>
      </c>
      <c r="BW65" t="str">
        <f>""</f>
        <v/>
      </c>
      <c r="CH65" t="str">
        <f>""</f>
        <v/>
      </c>
      <c r="CS65" t="str">
        <f>""</f>
        <v/>
      </c>
    </row>
    <row r="66" spans="1:97" x14ac:dyDescent="0.25">
      <c r="A66" t="s">
        <v>726</v>
      </c>
      <c r="B66" t="s">
        <v>364</v>
      </c>
      <c r="C66" t="s">
        <v>727</v>
      </c>
      <c r="D66" t="s">
        <v>364</v>
      </c>
      <c r="E66" t="s">
        <v>728</v>
      </c>
      <c r="F66" t="s">
        <v>108</v>
      </c>
      <c r="H66" t="s">
        <v>729</v>
      </c>
      <c r="I66" t="s">
        <v>499</v>
      </c>
      <c r="J66" t="s">
        <v>111</v>
      </c>
      <c r="K66" t="str">
        <f>"85395"</f>
        <v>85395</v>
      </c>
      <c r="L66" t="s">
        <v>500</v>
      </c>
      <c r="M66" t="s">
        <v>729</v>
      </c>
      <c r="N66" t="s">
        <v>499</v>
      </c>
      <c r="O66" t="s">
        <v>111</v>
      </c>
      <c r="P66" t="str">
        <f>"85395-6467"</f>
        <v>85395-6467</v>
      </c>
      <c r="Q66" t="s">
        <v>113</v>
      </c>
      <c r="R66" t="str">
        <f>"502-30-368"</f>
        <v>502-30-368</v>
      </c>
      <c r="S66" t="s">
        <v>501</v>
      </c>
      <c r="T66" t="s">
        <v>502</v>
      </c>
      <c r="U66">
        <v>3419</v>
      </c>
      <c r="W66">
        <v>5</v>
      </c>
      <c r="X66">
        <v>2016</v>
      </c>
      <c r="Z66">
        <v>1</v>
      </c>
      <c r="AA66" t="s">
        <v>26</v>
      </c>
      <c r="AC66" t="s">
        <v>115</v>
      </c>
      <c r="AD66">
        <v>4</v>
      </c>
      <c r="AE66" t="s">
        <v>115</v>
      </c>
      <c r="AH66" t="s">
        <v>116</v>
      </c>
      <c r="AI66" s="1">
        <v>126456</v>
      </c>
      <c r="AJ66" s="2">
        <v>0.25</v>
      </c>
      <c r="AK66" s="1">
        <v>514456</v>
      </c>
      <c r="AL66" t="s">
        <v>117</v>
      </c>
      <c r="AM66" t="s">
        <v>118</v>
      </c>
      <c r="AN66">
        <v>16059</v>
      </c>
      <c r="AO66">
        <v>0.37</v>
      </c>
      <c r="AR66">
        <v>1</v>
      </c>
      <c r="AS66" s="1">
        <v>40860</v>
      </c>
      <c r="AT66" s="1">
        <v>8170</v>
      </c>
      <c r="AU66" s="1">
        <v>32690</v>
      </c>
      <c r="AV66">
        <v>80</v>
      </c>
      <c r="AX66" s="1">
        <v>3560.18</v>
      </c>
      <c r="AY66" t="s">
        <v>503</v>
      </c>
      <c r="AZ66" t="s">
        <v>504</v>
      </c>
      <c r="BA66" t="s">
        <v>218</v>
      </c>
      <c r="BE66" s="3">
        <v>42405</v>
      </c>
      <c r="BF66" s="1">
        <v>467766</v>
      </c>
      <c r="BG66" t="s">
        <v>209</v>
      </c>
      <c r="BH66" s="1">
        <v>136.81</v>
      </c>
      <c r="BI66" s="1">
        <v>388000</v>
      </c>
      <c r="BJ66" s="3">
        <v>42640</v>
      </c>
      <c r="BK66" t="s">
        <v>123</v>
      </c>
      <c r="BL66" t="str">
        <f>"2016.702543"</f>
        <v>2016.702543</v>
      </c>
      <c r="BM66" t="s">
        <v>425</v>
      </c>
      <c r="BO66" t="s">
        <v>730</v>
      </c>
      <c r="BS66">
        <v>30</v>
      </c>
      <c r="BW66" t="str">
        <f>""</f>
        <v/>
      </c>
      <c r="CH66" t="str">
        <f>""</f>
        <v/>
      </c>
      <c r="CS66" t="str">
        <f>""</f>
        <v/>
      </c>
    </row>
    <row r="67" spans="1:97" x14ac:dyDescent="0.25">
      <c r="B67" t="s">
        <v>731</v>
      </c>
      <c r="E67" t="s">
        <v>732</v>
      </c>
      <c r="F67" t="s">
        <v>282</v>
      </c>
      <c r="H67" t="s">
        <v>733</v>
      </c>
      <c r="I67" t="s">
        <v>203</v>
      </c>
      <c r="J67" t="s">
        <v>111</v>
      </c>
      <c r="K67" t="str">
        <f>"85298"</f>
        <v>85298</v>
      </c>
      <c r="L67" t="s">
        <v>734</v>
      </c>
      <c r="M67" t="s">
        <v>735</v>
      </c>
      <c r="N67" t="s">
        <v>110</v>
      </c>
      <c r="O67" t="s">
        <v>111</v>
      </c>
      <c r="P67" t="str">
        <f>"85224-4011"</f>
        <v>85224-4011</v>
      </c>
      <c r="Q67" t="s">
        <v>113</v>
      </c>
      <c r="R67" t="str">
        <f>"313-18-512"</f>
        <v>313-18-512</v>
      </c>
      <c r="S67" t="s">
        <v>736</v>
      </c>
      <c r="U67">
        <v>3196</v>
      </c>
      <c r="W67">
        <v>5</v>
      </c>
      <c r="X67">
        <v>2014</v>
      </c>
      <c r="Z67">
        <v>2</v>
      </c>
      <c r="AA67" t="s">
        <v>26</v>
      </c>
      <c r="AC67" t="s">
        <v>115</v>
      </c>
      <c r="AD67">
        <v>3</v>
      </c>
      <c r="AE67" t="s">
        <v>115</v>
      </c>
      <c r="AH67" t="s">
        <v>116</v>
      </c>
      <c r="AI67" s="1">
        <v>67033</v>
      </c>
      <c r="AJ67" s="2">
        <v>0.13</v>
      </c>
      <c r="AK67" s="1">
        <v>522933</v>
      </c>
      <c r="AL67" t="s">
        <v>117</v>
      </c>
      <c r="AM67" t="s">
        <v>393</v>
      </c>
      <c r="AN67">
        <v>8224</v>
      </c>
      <c r="AO67">
        <v>0.19</v>
      </c>
      <c r="AR67">
        <v>1</v>
      </c>
      <c r="AS67" s="1">
        <v>38170</v>
      </c>
      <c r="AT67" s="1">
        <v>7630</v>
      </c>
      <c r="AU67" s="1">
        <v>30540</v>
      </c>
      <c r="AV67">
        <v>80.010000000000005</v>
      </c>
      <c r="AX67" s="1">
        <v>2933.62</v>
      </c>
      <c r="AY67" t="s">
        <v>737</v>
      </c>
      <c r="AZ67" t="s">
        <v>273</v>
      </c>
      <c r="BA67" t="s">
        <v>303</v>
      </c>
      <c r="BB67" s="3">
        <v>41821</v>
      </c>
      <c r="BD67" t="s">
        <v>480</v>
      </c>
      <c r="BE67" s="3">
        <v>41696</v>
      </c>
      <c r="BF67" s="1">
        <v>392000</v>
      </c>
      <c r="BG67" t="s">
        <v>195</v>
      </c>
      <c r="BH67" s="1">
        <v>122.65</v>
      </c>
      <c r="BI67" s="1">
        <v>392000</v>
      </c>
      <c r="BJ67" s="3">
        <v>41696</v>
      </c>
      <c r="BK67" t="s">
        <v>123</v>
      </c>
      <c r="BL67" t="str">
        <f>"2014.124407"</f>
        <v>2014.124407</v>
      </c>
      <c r="BM67" t="s">
        <v>738</v>
      </c>
      <c r="BN67" t="s">
        <v>739</v>
      </c>
      <c r="BO67" t="s">
        <v>740</v>
      </c>
      <c r="BS67">
        <v>30</v>
      </c>
      <c r="BT67" s="1">
        <v>63900</v>
      </c>
      <c r="BU67" s="3">
        <v>43168</v>
      </c>
      <c r="BW67" t="str">
        <f>"2018.180042"</f>
        <v>2018.180042</v>
      </c>
      <c r="BX67" t="s">
        <v>741</v>
      </c>
      <c r="BY67" t="s">
        <v>742</v>
      </c>
      <c r="BZ67" t="s">
        <v>743</v>
      </c>
      <c r="CC67" t="s">
        <v>346</v>
      </c>
      <c r="CH67" t="str">
        <f>""</f>
        <v/>
      </c>
      <c r="CS67" t="str">
        <f>""</f>
        <v/>
      </c>
    </row>
    <row r="68" spans="1:97" x14ac:dyDescent="0.25">
      <c r="A68" t="s">
        <v>744</v>
      </c>
      <c r="B68" t="s">
        <v>745</v>
      </c>
      <c r="E68" t="s">
        <v>746</v>
      </c>
      <c r="F68" t="s">
        <v>108</v>
      </c>
      <c r="H68" t="s">
        <v>747</v>
      </c>
      <c r="I68" t="s">
        <v>225</v>
      </c>
      <c r="J68" t="s">
        <v>111</v>
      </c>
      <c r="K68" t="str">
        <f>"85212"</f>
        <v>85212</v>
      </c>
      <c r="L68" t="s">
        <v>558</v>
      </c>
      <c r="M68" t="s">
        <v>747</v>
      </c>
      <c r="N68" t="s">
        <v>225</v>
      </c>
      <c r="O68" t="s">
        <v>111</v>
      </c>
      <c r="P68" t="str">
        <f>"85212-8034"</f>
        <v>85212-8034</v>
      </c>
      <c r="Q68" t="s">
        <v>113</v>
      </c>
      <c r="R68" t="str">
        <f>"304-50-173"</f>
        <v>304-50-173</v>
      </c>
      <c r="S68" t="s">
        <v>748</v>
      </c>
      <c r="U68">
        <v>3463</v>
      </c>
      <c r="W68">
        <v>5</v>
      </c>
      <c r="X68">
        <v>2014</v>
      </c>
      <c r="Z68">
        <v>2</v>
      </c>
      <c r="AC68" t="s">
        <v>115</v>
      </c>
      <c r="AD68">
        <v>3</v>
      </c>
      <c r="AE68" t="s">
        <v>115</v>
      </c>
      <c r="AH68" t="s">
        <v>116</v>
      </c>
      <c r="AI68" s="1">
        <v>86314</v>
      </c>
      <c r="AJ68" s="2">
        <v>0.18</v>
      </c>
      <c r="AK68" s="1">
        <v>470994</v>
      </c>
      <c r="AL68" t="s">
        <v>117</v>
      </c>
      <c r="AM68" t="s">
        <v>118</v>
      </c>
      <c r="AN68">
        <v>12898</v>
      </c>
      <c r="AO68">
        <v>0.3</v>
      </c>
      <c r="AR68">
        <v>1</v>
      </c>
      <c r="AS68" s="1">
        <v>33550</v>
      </c>
      <c r="AT68" s="1">
        <v>6710</v>
      </c>
      <c r="AU68" s="1">
        <v>26840</v>
      </c>
      <c r="AV68">
        <v>80</v>
      </c>
      <c r="AX68" s="1">
        <v>5081.24</v>
      </c>
      <c r="AY68" t="s">
        <v>560</v>
      </c>
      <c r="AZ68" t="s">
        <v>561</v>
      </c>
      <c r="BA68" t="s">
        <v>194</v>
      </c>
      <c r="BB68" s="3">
        <v>43283</v>
      </c>
      <c r="BC68" s="1">
        <v>0</v>
      </c>
      <c r="BD68" t="s">
        <v>247</v>
      </c>
      <c r="BE68" s="3">
        <v>41800</v>
      </c>
      <c r="BF68" s="1">
        <v>407938</v>
      </c>
      <c r="BG68" t="s">
        <v>749</v>
      </c>
      <c r="BH68" s="1">
        <v>117.8</v>
      </c>
      <c r="BI68" s="1">
        <v>384680</v>
      </c>
      <c r="BJ68" s="3">
        <v>42130</v>
      </c>
      <c r="BK68" t="s">
        <v>123</v>
      </c>
      <c r="BL68" t="str">
        <f>"2015.317171"</f>
        <v>2015.317171</v>
      </c>
      <c r="BM68" t="s">
        <v>750</v>
      </c>
      <c r="BN68" t="s">
        <v>751</v>
      </c>
      <c r="BO68" t="s">
        <v>752</v>
      </c>
      <c r="BS68">
        <v>30</v>
      </c>
      <c r="BW68" t="str">
        <f>""</f>
        <v/>
      </c>
      <c r="CH68" t="str">
        <f>""</f>
        <v/>
      </c>
      <c r="CS68" t="str">
        <f>""</f>
        <v/>
      </c>
    </row>
    <row r="69" spans="1:97" x14ac:dyDescent="0.25">
      <c r="A69" t="s">
        <v>753</v>
      </c>
      <c r="B69" t="s">
        <v>754</v>
      </c>
      <c r="E69" t="s">
        <v>755</v>
      </c>
      <c r="F69" t="s">
        <v>108</v>
      </c>
      <c r="H69" t="s">
        <v>756</v>
      </c>
      <c r="I69" t="s">
        <v>390</v>
      </c>
      <c r="J69" t="s">
        <v>111</v>
      </c>
      <c r="K69" t="str">
        <f>"85050"</f>
        <v>85050</v>
      </c>
      <c r="L69" t="s">
        <v>757</v>
      </c>
      <c r="M69" t="s">
        <v>756</v>
      </c>
      <c r="N69" t="s">
        <v>390</v>
      </c>
      <c r="O69" t="s">
        <v>111</v>
      </c>
      <c r="P69" t="str">
        <f>"85050-4795"</f>
        <v>85050-4795</v>
      </c>
      <c r="Q69" t="s">
        <v>113</v>
      </c>
      <c r="R69" t="str">
        <f>"213-10-054"</f>
        <v>213-10-054</v>
      </c>
      <c r="S69" t="s">
        <v>758</v>
      </c>
      <c r="T69" t="s">
        <v>759</v>
      </c>
      <c r="U69">
        <v>3398</v>
      </c>
      <c r="W69">
        <v>4</v>
      </c>
      <c r="X69">
        <v>2015</v>
      </c>
      <c r="Z69">
        <v>1</v>
      </c>
      <c r="AA69" t="s">
        <v>26</v>
      </c>
      <c r="AC69" t="s">
        <v>115</v>
      </c>
      <c r="AD69">
        <v>3</v>
      </c>
      <c r="AE69" t="s">
        <v>115</v>
      </c>
      <c r="AH69" t="s">
        <v>116</v>
      </c>
      <c r="AI69" s="1">
        <v>339862</v>
      </c>
      <c r="AJ69" s="2">
        <v>0.45</v>
      </c>
      <c r="AK69" s="1">
        <v>758677</v>
      </c>
      <c r="AL69" t="s">
        <v>117</v>
      </c>
      <c r="AM69" t="s">
        <v>760</v>
      </c>
      <c r="AN69">
        <v>8017</v>
      </c>
      <c r="AO69">
        <v>0.18</v>
      </c>
      <c r="AR69">
        <v>1</v>
      </c>
      <c r="AS69" s="1">
        <v>63530</v>
      </c>
      <c r="AT69" s="1">
        <v>12700</v>
      </c>
      <c r="AU69" s="1">
        <v>50830</v>
      </c>
      <c r="AV69">
        <v>80.010000000000005</v>
      </c>
      <c r="AX69" s="1">
        <v>4747.42</v>
      </c>
      <c r="AY69" t="s">
        <v>570</v>
      </c>
      <c r="AZ69" t="s">
        <v>761</v>
      </c>
      <c r="BA69" t="s">
        <v>762</v>
      </c>
      <c r="BE69" s="3">
        <v>42209</v>
      </c>
      <c r="BF69" s="1">
        <v>658042</v>
      </c>
      <c r="BG69" t="s">
        <v>420</v>
      </c>
      <c r="BH69" s="1">
        <v>193.66</v>
      </c>
      <c r="BI69" s="1">
        <v>418815</v>
      </c>
      <c r="BJ69" s="3">
        <v>42919</v>
      </c>
      <c r="BK69" t="s">
        <v>123</v>
      </c>
      <c r="BL69" t="str">
        <f>"2017.488039"</f>
        <v>2017.488039</v>
      </c>
      <c r="BM69" t="s">
        <v>763</v>
      </c>
      <c r="BN69">
        <v>22192</v>
      </c>
      <c r="BO69" t="s">
        <v>764</v>
      </c>
      <c r="BS69">
        <v>30</v>
      </c>
      <c r="BW69" t="str">
        <f>""</f>
        <v/>
      </c>
      <c r="CH69" t="str">
        <f>""</f>
        <v/>
      </c>
      <c r="CS69" t="str">
        <f>""</f>
        <v/>
      </c>
    </row>
    <row r="70" spans="1:97" x14ac:dyDescent="0.25">
      <c r="A70" t="s">
        <v>765</v>
      </c>
      <c r="B70" t="s">
        <v>766</v>
      </c>
      <c r="C70" t="s">
        <v>767</v>
      </c>
      <c r="D70" t="s">
        <v>766</v>
      </c>
      <c r="E70" t="s">
        <v>768</v>
      </c>
      <c r="F70" t="s">
        <v>108</v>
      </c>
      <c r="H70" t="s">
        <v>769</v>
      </c>
      <c r="I70" t="s">
        <v>203</v>
      </c>
      <c r="J70" t="s">
        <v>111</v>
      </c>
      <c r="K70" t="str">
        <f>"85296"</f>
        <v>85296</v>
      </c>
      <c r="L70" t="s">
        <v>469</v>
      </c>
      <c r="M70" t="s">
        <v>769</v>
      </c>
      <c r="N70" t="s">
        <v>203</v>
      </c>
      <c r="O70" t="s">
        <v>111</v>
      </c>
      <c r="P70" t="str">
        <f>"85296-2871"</f>
        <v>85296-2871</v>
      </c>
      <c r="Q70" t="s">
        <v>113</v>
      </c>
      <c r="R70" t="str">
        <f>"313-17-842"</f>
        <v>313-17-842</v>
      </c>
      <c r="S70" t="s">
        <v>470</v>
      </c>
      <c r="T70" t="s">
        <v>471</v>
      </c>
      <c r="U70">
        <v>2849</v>
      </c>
      <c r="W70">
        <v>4</v>
      </c>
      <c r="X70">
        <v>2013</v>
      </c>
      <c r="Z70">
        <v>2</v>
      </c>
      <c r="AC70" t="s">
        <v>115</v>
      </c>
      <c r="AD70">
        <v>2</v>
      </c>
      <c r="AE70" t="s">
        <v>115</v>
      </c>
      <c r="AH70" t="s">
        <v>116</v>
      </c>
      <c r="AI70" s="1">
        <v>69077</v>
      </c>
      <c r="AJ70" s="2">
        <v>0.17</v>
      </c>
      <c r="AK70" s="1">
        <v>396753</v>
      </c>
      <c r="AL70" t="s">
        <v>117</v>
      </c>
      <c r="AM70" t="s">
        <v>288</v>
      </c>
      <c r="AN70">
        <v>4387</v>
      </c>
      <c r="AO70">
        <v>0.1</v>
      </c>
      <c r="AR70">
        <v>1</v>
      </c>
      <c r="AS70" s="1">
        <v>28100</v>
      </c>
      <c r="AT70" s="1">
        <v>5620</v>
      </c>
      <c r="AU70" s="1">
        <v>22480</v>
      </c>
      <c r="AV70">
        <v>80</v>
      </c>
      <c r="AX70" s="1">
        <v>2298.7199999999998</v>
      </c>
      <c r="AY70" t="s">
        <v>472</v>
      </c>
      <c r="AZ70" t="s">
        <v>472</v>
      </c>
      <c r="BA70" t="s">
        <v>473</v>
      </c>
      <c r="BE70" s="3">
        <v>41683</v>
      </c>
      <c r="BF70" s="1">
        <v>327676</v>
      </c>
      <c r="BG70" t="s">
        <v>122</v>
      </c>
      <c r="BH70" s="1">
        <v>115.01</v>
      </c>
      <c r="BI70" s="1">
        <v>327676</v>
      </c>
      <c r="BJ70" s="3">
        <v>41683</v>
      </c>
      <c r="BK70" t="s">
        <v>123</v>
      </c>
      <c r="BL70" t="str">
        <f>"2014.97041"</f>
        <v>2014.97041</v>
      </c>
      <c r="BM70" t="s">
        <v>150</v>
      </c>
      <c r="BO70" t="s">
        <v>770</v>
      </c>
      <c r="BS70">
        <v>30</v>
      </c>
      <c r="BW70" t="str">
        <f>""</f>
        <v/>
      </c>
      <c r="CH70" t="str">
        <f>""</f>
        <v/>
      </c>
      <c r="CS70" t="str">
        <f>""</f>
        <v/>
      </c>
    </row>
    <row r="71" spans="1:97" x14ac:dyDescent="0.25">
      <c r="B71" t="s">
        <v>771</v>
      </c>
      <c r="E71" t="s">
        <v>772</v>
      </c>
      <c r="F71" t="s">
        <v>108</v>
      </c>
      <c r="H71" t="s">
        <v>773</v>
      </c>
      <c r="I71" t="s">
        <v>225</v>
      </c>
      <c r="J71" t="s">
        <v>111</v>
      </c>
      <c r="K71" t="str">
        <f>"85212"</f>
        <v>85212</v>
      </c>
      <c r="L71" t="s">
        <v>774</v>
      </c>
      <c r="M71" t="s">
        <v>773</v>
      </c>
      <c r="N71" t="s">
        <v>225</v>
      </c>
      <c r="O71" t="s">
        <v>111</v>
      </c>
      <c r="P71" t="str">
        <f>"85212-2230"</f>
        <v>85212-2230</v>
      </c>
      <c r="Q71" t="s">
        <v>113</v>
      </c>
      <c r="R71" t="str">
        <f>"312-13-272"</f>
        <v>312-13-272</v>
      </c>
      <c r="S71" t="s">
        <v>775</v>
      </c>
      <c r="U71">
        <v>1959</v>
      </c>
      <c r="W71">
        <v>3</v>
      </c>
      <c r="X71">
        <v>2014</v>
      </c>
      <c r="Z71">
        <v>1</v>
      </c>
      <c r="AC71" t="s">
        <v>115</v>
      </c>
      <c r="AD71">
        <v>3</v>
      </c>
      <c r="AE71" t="s">
        <v>115</v>
      </c>
      <c r="AH71" t="s">
        <v>116</v>
      </c>
      <c r="AI71" s="1">
        <v>116435</v>
      </c>
      <c r="AJ71" s="2">
        <v>0.3</v>
      </c>
      <c r="AK71" s="1">
        <v>384035</v>
      </c>
      <c r="AL71" t="s">
        <v>117</v>
      </c>
      <c r="AM71" t="s">
        <v>191</v>
      </c>
      <c r="AN71">
        <v>7078</v>
      </c>
      <c r="AO71">
        <v>0.16</v>
      </c>
      <c r="AR71">
        <v>1</v>
      </c>
      <c r="AS71" s="1">
        <v>27520</v>
      </c>
      <c r="AT71" s="1">
        <v>5500</v>
      </c>
      <c r="AU71" s="1">
        <v>22020</v>
      </c>
      <c r="AV71">
        <v>80.010000000000005</v>
      </c>
      <c r="AX71" s="1">
        <v>2023.74</v>
      </c>
      <c r="AY71" t="s">
        <v>776</v>
      </c>
      <c r="AZ71" t="s">
        <v>777</v>
      </c>
      <c r="BA71" t="s">
        <v>572</v>
      </c>
      <c r="BB71" s="3">
        <v>43766</v>
      </c>
      <c r="BC71" s="1">
        <v>0</v>
      </c>
      <c r="BD71" t="s">
        <v>247</v>
      </c>
      <c r="BE71" s="3">
        <v>41779</v>
      </c>
      <c r="BF71" s="1">
        <v>275607</v>
      </c>
      <c r="BG71" t="s">
        <v>778</v>
      </c>
      <c r="BH71" s="1">
        <v>140.69</v>
      </c>
      <c r="BI71" s="1">
        <v>267600</v>
      </c>
      <c r="BJ71" s="3">
        <v>42697</v>
      </c>
      <c r="BK71" t="s">
        <v>123</v>
      </c>
      <c r="BL71" t="str">
        <f>"2016.864881"</f>
        <v>2016.864881</v>
      </c>
      <c r="BM71" t="s">
        <v>673</v>
      </c>
      <c r="BN71" t="s">
        <v>674</v>
      </c>
      <c r="BO71" t="s">
        <v>779</v>
      </c>
      <c r="BS71">
        <v>30</v>
      </c>
      <c r="BW71" t="str">
        <f>""</f>
        <v/>
      </c>
      <c r="CH71" t="str">
        <f>""</f>
        <v/>
      </c>
      <c r="CS71" t="str">
        <f>""</f>
        <v/>
      </c>
    </row>
    <row r="72" spans="1:97" x14ac:dyDescent="0.25">
      <c r="A72" t="s">
        <v>780</v>
      </c>
      <c r="B72" t="s">
        <v>781</v>
      </c>
      <c r="C72" t="s">
        <v>782</v>
      </c>
      <c r="D72" t="s">
        <v>781</v>
      </c>
      <c r="E72" t="s">
        <v>783</v>
      </c>
      <c r="F72" t="s">
        <v>108</v>
      </c>
      <c r="H72" t="s">
        <v>784</v>
      </c>
      <c r="I72" t="s">
        <v>110</v>
      </c>
      <c r="J72" t="s">
        <v>111</v>
      </c>
      <c r="K72" t="str">
        <f>"85249"</f>
        <v>85249</v>
      </c>
      <c r="L72" t="s">
        <v>112</v>
      </c>
      <c r="M72" t="s">
        <v>784</v>
      </c>
      <c r="N72" t="s">
        <v>110</v>
      </c>
      <c r="O72" t="s">
        <v>111</v>
      </c>
      <c r="P72" t="str">
        <f>"85249-5155"</f>
        <v>85249-5155</v>
      </c>
      <c r="Q72" t="s">
        <v>113</v>
      </c>
      <c r="R72" t="str">
        <f>"303-54-831"</f>
        <v>303-54-831</v>
      </c>
      <c r="S72" t="s">
        <v>114</v>
      </c>
      <c r="T72" t="s">
        <v>114</v>
      </c>
      <c r="U72">
        <v>1845</v>
      </c>
      <c r="W72">
        <v>3</v>
      </c>
      <c r="X72">
        <v>2015</v>
      </c>
      <c r="Z72">
        <v>1</v>
      </c>
      <c r="AC72" t="s">
        <v>115</v>
      </c>
      <c r="AD72">
        <v>2</v>
      </c>
      <c r="AE72" t="s">
        <v>115</v>
      </c>
      <c r="AH72" t="s">
        <v>116</v>
      </c>
      <c r="AI72" s="1">
        <v>55888</v>
      </c>
      <c r="AJ72" s="2">
        <v>0.13</v>
      </c>
      <c r="AK72" s="1">
        <v>417288</v>
      </c>
      <c r="AL72" t="s">
        <v>117</v>
      </c>
      <c r="AM72" t="s">
        <v>118</v>
      </c>
      <c r="AN72">
        <v>4680</v>
      </c>
      <c r="AO72">
        <v>0.11</v>
      </c>
      <c r="AR72">
        <v>1</v>
      </c>
      <c r="AS72" s="1">
        <v>30800</v>
      </c>
      <c r="AT72" s="1">
        <v>6160</v>
      </c>
      <c r="AU72" s="1">
        <v>24640</v>
      </c>
      <c r="AV72">
        <v>80</v>
      </c>
      <c r="AX72" s="1">
        <v>2266.66</v>
      </c>
      <c r="AY72" t="s">
        <v>119</v>
      </c>
      <c r="AZ72" t="s">
        <v>120</v>
      </c>
      <c r="BA72" t="s">
        <v>121</v>
      </c>
      <c r="BE72" s="3">
        <v>42460</v>
      </c>
      <c r="BF72" s="1">
        <v>353801</v>
      </c>
      <c r="BG72" t="s">
        <v>122</v>
      </c>
      <c r="BH72" s="1">
        <v>191.76</v>
      </c>
      <c r="BI72" s="1">
        <v>361400</v>
      </c>
      <c r="BJ72" s="3">
        <v>42460</v>
      </c>
      <c r="BK72" t="s">
        <v>123</v>
      </c>
      <c r="BL72" t="str">
        <f>"2016.210277"</f>
        <v>2016.210277</v>
      </c>
      <c r="BM72" t="s">
        <v>124</v>
      </c>
      <c r="BO72" t="s">
        <v>785</v>
      </c>
      <c r="BP72" t="s">
        <v>786</v>
      </c>
      <c r="BS72">
        <v>30</v>
      </c>
      <c r="BW72" t="str">
        <f>""</f>
        <v/>
      </c>
      <c r="CH72" t="str">
        <f>""</f>
        <v/>
      </c>
      <c r="CS72" t="str">
        <f>""</f>
        <v/>
      </c>
    </row>
    <row r="73" spans="1:97" x14ac:dyDescent="0.25">
      <c r="A73" t="s">
        <v>787</v>
      </c>
      <c r="B73" t="s">
        <v>788</v>
      </c>
      <c r="C73" t="s">
        <v>789</v>
      </c>
      <c r="D73" t="s">
        <v>788</v>
      </c>
      <c r="E73" t="s">
        <v>790</v>
      </c>
      <c r="F73" t="s">
        <v>108</v>
      </c>
      <c r="H73" t="s">
        <v>791</v>
      </c>
      <c r="I73" t="s">
        <v>110</v>
      </c>
      <c r="J73" t="s">
        <v>111</v>
      </c>
      <c r="K73" t="str">
        <f>"85249"</f>
        <v>85249</v>
      </c>
      <c r="L73" t="s">
        <v>112</v>
      </c>
      <c r="M73" t="s">
        <v>791</v>
      </c>
      <c r="N73" t="s">
        <v>110</v>
      </c>
      <c r="O73" t="s">
        <v>111</v>
      </c>
      <c r="P73" t="str">
        <f>"85249-4287"</f>
        <v>85249-4287</v>
      </c>
      <c r="Q73" t="s">
        <v>113</v>
      </c>
      <c r="R73" t="str">
        <f>"303-54-780"</f>
        <v>303-54-780</v>
      </c>
      <c r="S73" t="s">
        <v>114</v>
      </c>
      <c r="T73" t="s">
        <v>114</v>
      </c>
      <c r="U73">
        <v>1845</v>
      </c>
      <c r="W73">
        <v>3</v>
      </c>
      <c r="X73">
        <v>2013</v>
      </c>
      <c r="Z73">
        <v>1</v>
      </c>
      <c r="AC73" t="s">
        <v>115</v>
      </c>
      <c r="AD73">
        <v>2</v>
      </c>
      <c r="AE73" t="s">
        <v>115</v>
      </c>
      <c r="AH73" t="s">
        <v>116</v>
      </c>
      <c r="AI73" s="1">
        <v>114561</v>
      </c>
      <c r="AJ73" s="2">
        <v>0.32</v>
      </c>
      <c r="AK73" s="1">
        <v>359946</v>
      </c>
      <c r="AL73" t="s">
        <v>117</v>
      </c>
      <c r="AM73" t="s">
        <v>118</v>
      </c>
      <c r="AN73">
        <v>4680</v>
      </c>
      <c r="AO73">
        <v>0.11</v>
      </c>
      <c r="AR73">
        <v>1</v>
      </c>
      <c r="AS73" s="1">
        <v>30650</v>
      </c>
      <c r="AT73" s="1">
        <v>6130</v>
      </c>
      <c r="AU73" s="1">
        <v>24520</v>
      </c>
      <c r="AV73">
        <v>80</v>
      </c>
      <c r="AX73" s="1">
        <v>2909.16</v>
      </c>
      <c r="AY73" t="s">
        <v>119</v>
      </c>
      <c r="AZ73" t="s">
        <v>120</v>
      </c>
      <c r="BA73" t="s">
        <v>121</v>
      </c>
      <c r="BE73" s="3">
        <v>41690</v>
      </c>
      <c r="BF73" s="1">
        <v>359864</v>
      </c>
      <c r="BG73" t="s">
        <v>122</v>
      </c>
      <c r="BH73" s="1">
        <v>195.05</v>
      </c>
      <c r="BI73" s="1">
        <v>245385</v>
      </c>
      <c r="BJ73" s="3">
        <v>42683</v>
      </c>
      <c r="BK73" t="s">
        <v>123</v>
      </c>
      <c r="BL73" t="str">
        <f>"2016.826241"</f>
        <v>2016.826241</v>
      </c>
      <c r="BM73" t="s">
        <v>322</v>
      </c>
      <c r="BO73" t="s">
        <v>792</v>
      </c>
      <c r="BS73">
        <v>30</v>
      </c>
      <c r="BW73" t="str">
        <f>""</f>
        <v/>
      </c>
      <c r="CH73" t="str">
        <f>""</f>
        <v/>
      </c>
      <c r="CS73" t="str">
        <f>""</f>
        <v/>
      </c>
    </row>
    <row r="74" spans="1:97" x14ac:dyDescent="0.25">
      <c r="A74" t="s">
        <v>305</v>
      </c>
      <c r="B74" t="s">
        <v>793</v>
      </c>
      <c r="C74" t="s">
        <v>794</v>
      </c>
      <c r="D74" t="s">
        <v>793</v>
      </c>
      <c r="E74" t="s">
        <v>795</v>
      </c>
      <c r="F74" t="s">
        <v>108</v>
      </c>
      <c r="H74" t="s">
        <v>796</v>
      </c>
      <c r="I74" t="s">
        <v>144</v>
      </c>
      <c r="J74" t="s">
        <v>111</v>
      </c>
      <c r="K74" t="str">
        <f>"85396"</f>
        <v>85396</v>
      </c>
      <c r="L74" t="s">
        <v>797</v>
      </c>
      <c r="M74" t="s">
        <v>796</v>
      </c>
      <c r="N74" t="s">
        <v>144</v>
      </c>
      <c r="O74" t="s">
        <v>111</v>
      </c>
      <c r="P74" t="str">
        <f>"85396-7931"</f>
        <v>85396-7931</v>
      </c>
      <c r="Q74" t="s">
        <v>113</v>
      </c>
      <c r="R74" t="str">
        <f>"510-07-349"</f>
        <v>510-07-349</v>
      </c>
      <c r="S74" t="s">
        <v>798</v>
      </c>
      <c r="U74">
        <v>1646</v>
      </c>
      <c r="W74">
        <v>3</v>
      </c>
      <c r="X74">
        <v>2013</v>
      </c>
      <c r="Z74">
        <v>1</v>
      </c>
      <c r="AC74" t="s">
        <v>115</v>
      </c>
      <c r="AD74">
        <v>2</v>
      </c>
      <c r="AE74" t="s">
        <v>115</v>
      </c>
      <c r="AH74" t="s">
        <v>116</v>
      </c>
      <c r="AI74" s="1">
        <v>84661</v>
      </c>
      <c r="AJ74" s="2">
        <v>0.27</v>
      </c>
      <c r="AK74" s="1">
        <v>309694</v>
      </c>
      <c r="AL74" t="s">
        <v>117</v>
      </c>
      <c r="AM74" t="s">
        <v>118</v>
      </c>
      <c r="AN74">
        <v>6960</v>
      </c>
      <c r="AO74">
        <v>0.16</v>
      </c>
      <c r="AR74">
        <v>1</v>
      </c>
      <c r="AS74" s="1">
        <v>22310</v>
      </c>
      <c r="AT74" s="1">
        <v>4460</v>
      </c>
      <c r="AU74" s="1">
        <v>17850</v>
      </c>
      <c r="AV74">
        <v>80.010000000000005</v>
      </c>
      <c r="AX74" s="1">
        <v>1839.88</v>
      </c>
      <c r="AY74" t="s">
        <v>444</v>
      </c>
      <c r="AZ74" t="s">
        <v>444</v>
      </c>
      <c r="BA74" t="s">
        <v>445</v>
      </c>
      <c r="BE74" s="3">
        <v>41760</v>
      </c>
      <c r="BF74" s="1">
        <v>228000</v>
      </c>
      <c r="BG74" t="s">
        <v>446</v>
      </c>
      <c r="BH74" s="1">
        <v>138.52000000000001</v>
      </c>
      <c r="BI74" s="1">
        <v>225033</v>
      </c>
      <c r="BJ74" s="3">
        <v>43076</v>
      </c>
      <c r="BK74" t="s">
        <v>123</v>
      </c>
      <c r="BL74" t="str">
        <f>"2017.905157"</f>
        <v>2017.905157</v>
      </c>
      <c r="BM74" t="s">
        <v>799</v>
      </c>
      <c r="BO74" t="s">
        <v>800</v>
      </c>
      <c r="BS74">
        <v>31</v>
      </c>
      <c r="BW74" t="str">
        <f>""</f>
        <v/>
      </c>
      <c r="CH74" t="str">
        <f>""</f>
        <v/>
      </c>
      <c r="CS74" t="str">
        <f>""</f>
        <v/>
      </c>
    </row>
    <row r="75" spans="1:97" x14ac:dyDescent="0.25">
      <c r="A75" t="s">
        <v>801</v>
      </c>
      <c r="B75" t="s">
        <v>802</v>
      </c>
      <c r="E75" t="s">
        <v>803</v>
      </c>
      <c r="F75" t="s">
        <v>108</v>
      </c>
      <c r="H75" t="s">
        <v>804</v>
      </c>
      <c r="I75" t="s">
        <v>167</v>
      </c>
      <c r="J75" t="s">
        <v>111</v>
      </c>
      <c r="K75" t="str">
        <f>"85339"</f>
        <v>85339</v>
      </c>
      <c r="L75" t="s">
        <v>168</v>
      </c>
      <c r="M75" t="s">
        <v>804</v>
      </c>
      <c r="N75" t="s">
        <v>167</v>
      </c>
      <c r="O75" t="s">
        <v>111</v>
      </c>
      <c r="P75" t="str">
        <f>"85339-5174"</f>
        <v>85339-5174</v>
      </c>
      <c r="Q75" t="s">
        <v>113</v>
      </c>
      <c r="R75" t="str">
        <f>"104-73-569"</f>
        <v>104-73-569</v>
      </c>
      <c r="S75" t="s">
        <v>169</v>
      </c>
      <c r="T75" t="s">
        <v>170</v>
      </c>
      <c r="U75">
        <v>2099</v>
      </c>
      <c r="W75">
        <v>3</v>
      </c>
      <c r="X75">
        <v>2014</v>
      </c>
      <c r="Z75">
        <v>1</v>
      </c>
      <c r="AC75" t="s">
        <v>115</v>
      </c>
      <c r="AD75">
        <v>3</v>
      </c>
      <c r="AE75" t="s">
        <v>115</v>
      </c>
      <c r="AH75" t="s">
        <v>116</v>
      </c>
      <c r="AI75" s="1">
        <v>67462</v>
      </c>
      <c r="AJ75" s="2">
        <v>0.21</v>
      </c>
      <c r="AK75" s="1">
        <v>316162</v>
      </c>
      <c r="AL75" t="s">
        <v>117</v>
      </c>
      <c r="AM75" t="s">
        <v>171</v>
      </c>
      <c r="AN75">
        <v>9630</v>
      </c>
      <c r="AO75">
        <v>0.22</v>
      </c>
      <c r="AR75">
        <v>1</v>
      </c>
      <c r="AS75" s="1">
        <v>23030</v>
      </c>
      <c r="AT75" s="1">
        <v>4600</v>
      </c>
      <c r="AU75" s="1">
        <v>18430</v>
      </c>
      <c r="AV75">
        <v>80.03</v>
      </c>
      <c r="AX75" s="1">
        <v>3317.14</v>
      </c>
      <c r="AY75" t="s">
        <v>805</v>
      </c>
      <c r="AZ75" t="s">
        <v>806</v>
      </c>
      <c r="BA75" t="s">
        <v>173</v>
      </c>
      <c r="BE75" s="3">
        <v>41775</v>
      </c>
      <c r="BF75" s="1">
        <v>250915</v>
      </c>
      <c r="BG75" t="s">
        <v>174</v>
      </c>
      <c r="BH75" s="1">
        <v>119.54</v>
      </c>
      <c r="BI75" s="1">
        <v>248700</v>
      </c>
      <c r="BJ75" s="3">
        <v>42912</v>
      </c>
      <c r="BK75" t="s">
        <v>123</v>
      </c>
      <c r="BL75" t="str">
        <f>"2017.463289"</f>
        <v>2017.463289</v>
      </c>
      <c r="BM75" t="s">
        <v>807</v>
      </c>
      <c r="BO75" t="s">
        <v>808</v>
      </c>
      <c r="BS75">
        <v>30</v>
      </c>
      <c r="BW75" t="str">
        <f>""</f>
        <v/>
      </c>
      <c r="CH75" t="str">
        <f>""</f>
        <v/>
      </c>
      <c r="CS75" t="str">
        <f>""</f>
        <v/>
      </c>
    </row>
    <row r="76" spans="1:97" x14ac:dyDescent="0.25">
      <c r="A76" t="s">
        <v>496</v>
      </c>
      <c r="B76" t="s">
        <v>809</v>
      </c>
      <c r="C76" t="s">
        <v>370</v>
      </c>
      <c r="D76" t="s">
        <v>810</v>
      </c>
      <c r="E76" t="s">
        <v>811</v>
      </c>
      <c r="F76" t="s">
        <v>282</v>
      </c>
      <c r="H76" t="s">
        <v>812</v>
      </c>
      <c r="I76" t="s">
        <v>144</v>
      </c>
      <c r="J76" t="s">
        <v>111</v>
      </c>
      <c r="K76" t="str">
        <f>"85396"</f>
        <v>85396</v>
      </c>
      <c r="L76" t="s">
        <v>215</v>
      </c>
      <c r="M76" t="s">
        <v>813</v>
      </c>
      <c r="N76" t="s">
        <v>144</v>
      </c>
      <c r="O76" t="s">
        <v>111</v>
      </c>
      <c r="P76" t="str">
        <f>"85396-1844"</f>
        <v>85396-1844</v>
      </c>
      <c r="Q76" t="s">
        <v>113</v>
      </c>
      <c r="R76" t="str">
        <f>"502-82-271"</f>
        <v>502-82-271</v>
      </c>
      <c r="S76" t="s">
        <v>216</v>
      </c>
      <c r="U76">
        <v>1639</v>
      </c>
      <c r="W76">
        <v>3</v>
      </c>
      <c r="X76">
        <v>2014</v>
      </c>
      <c r="Z76">
        <v>1</v>
      </c>
      <c r="AA76" t="s">
        <v>26</v>
      </c>
      <c r="AC76" t="s">
        <v>115</v>
      </c>
      <c r="AD76">
        <v>2</v>
      </c>
      <c r="AE76" t="s">
        <v>115</v>
      </c>
      <c r="AH76" t="s">
        <v>116</v>
      </c>
      <c r="AI76" s="1">
        <v>54592</v>
      </c>
      <c r="AJ76" s="2">
        <v>0.19</v>
      </c>
      <c r="AK76" s="1">
        <v>284582</v>
      </c>
      <c r="AL76" t="s">
        <v>117</v>
      </c>
      <c r="AM76" t="s">
        <v>118</v>
      </c>
      <c r="AN76">
        <v>5400</v>
      </c>
      <c r="AO76">
        <v>0.12</v>
      </c>
      <c r="AR76">
        <v>1</v>
      </c>
      <c r="AS76" s="1">
        <v>20660</v>
      </c>
      <c r="AT76" s="1">
        <v>4130</v>
      </c>
      <c r="AU76" s="1">
        <v>16530</v>
      </c>
      <c r="AV76">
        <v>80.010000000000005</v>
      </c>
      <c r="AX76" s="1">
        <v>2579.62</v>
      </c>
      <c r="AY76" t="s">
        <v>217</v>
      </c>
      <c r="AZ76" t="s">
        <v>217</v>
      </c>
      <c r="BA76" t="s">
        <v>218</v>
      </c>
      <c r="BE76" s="3">
        <v>41782</v>
      </c>
      <c r="BF76" s="1">
        <v>229990</v>
      </c>
      <c r="BG76" t="s">
        <v>195</v>
      </c>
      <c r="BH76" s="1">
        <v>140.32</v>
      </c>
      <c r="BI76" s="1">
        <v>229990</v>
      </c>
      <c r="BJ76" s="3">
        <v>41782</v>
      </c>
      <c r="BK76" t="s">
        <v>123</v>
      </c>
      <c r="BL76" t="str">
        <f>"2014.338184"</f>
        <v>2014.338184</v>
      </c>
      <c r="BM76" t="s">
        <v>196</v>
      </c>
      <c r="BO76" t="s">
        <v>814</v>
      </c>
      <c r="BS76">
        <v>30</v>
      </c>
      <c r="BW76" t="str">
        <f>""</f>
        <v/>
      </c>
      <c r="CH76" t="str">
        <f>""</f>
        <v/>
      </c>
      <c r="CS76" t="str">
        <f>""</f>
        <v/>
      </c>
    </row>
    <row r="77" spans="1:97" x14ac:dyDescent="0.25">
      <c r="A77" t="s">
        <v>815</v>
      </c>
      <c r="B77" t="s">
        <v>816</v>
      </c>
      <c r="C77" t="s">
        <v>817</v>
      </c>
      <c r="D77" t="s">
        <v>816</v>
      </c>
      <c r="E77" t="s">
        <v>818</v>
      </c>
      <c r="F77" t="s">
        <v>108</v>
      </c>
      <c r="H77" t="s">
        <v>819</v>
      </c>
      <c r="I77" t="s">
        <v>144</v>
      </c>
      <c r="J77" t="s">
        <v>111</v>
      </c>
      <c r="K77" t="str">
        <f>"85396"</f>
        <v>85396</v>
      </c>
      <c r="L77" t="s">
        <v>145</v>
      </c>
      <c r="M77" t="s">
        <v>819</v>
      </c>
      <c r="N77" t="s">
        <v>144</v>
      </c>
      <c r="O77" t="s">
        <v>111</v>
      </c>
      <c r="P77" t="str">
        <f>"85396-2432"</f>
        <v>85396-2432</v>
      </c>
      <c r="Q77" t="s">
        <v>113</v>
      </c>
      <c r="R77" t="str">
        <f>"502-61-020"</f>
        <v>502-61-020</v>
      </c>
      <c r="S77" t="s">
        <v>146</v>
      </c>
      <c r="U77">
        <v>2909</v>
      </c>
      <c r="W77">
        <v>4</v>
      </c>
      <c r="X77">
        <v>2016</v>
      </c>
      <c r="Z77">
        <v>2</v>
      </c>
      <c r="AC77" t="s">
        <v>115</v>
      </c>
      <c r="AD77">
        <v>2</v>
      </c>
      <c r="AE77" t="s">
        <v>115</v>
      </c>
      <c r="AH77" t="s">
        <v>116</v>
      </c>
      <c r="AI77" s="1">
        <v>58504</v>
      </c>
      <c r="AJ77" s="2">
        <v>0.17</v>
      </c>
      <c r="AK77" s="1">
        <v>339042</v>
      </c>
      <c r="AL77" t="s">
        <v>117</v>
      </c>
      <c r="AM77" t="s">
        <v>118</v>
      </c>
      <c r="AN77">
        <v>6500</v>
      </c>
      <c r="AO77">
        <v>0.15</v>
      </c>
      <c r="AR77">
        <v>1</v>
      </c>
      <c r="AS77" s="1">
        <v>23610</v>
      </c>
      <c r="AT77" s="1">
        <v>4720</v>
      </c>
      <c r="AU77" s="1">
        <v>18890</v>
      </c>
      <c r="AV77">
        <v>80.010000000000005</v>
      </c>
      <c r="AX77" s="1">
        <v>2460.36</v>
      </c>
      <c r="AY77" t="s">
        <v>147</v>
      </c>
      <c r="AZ77" t="s">
        <v>147</v>
      </c>
      <c r="BA77" t="s">
        <v>148</v>
      </c>
      <c r="BB77" s="3">
        <v>42604</v>
      </c>
      <c r="BD77" t="s">
        <v>458</v>
      </c>
      <c r="BE77" s="3">
        <v>42538</v>
      </c>
      <c r="BF77" s="1">
        <v>273963</v>
      </c>
      <c r="BG77" t="s">
        <v>158</v>
      </c>
      <c r="BH77" s="1">
        <v>94.18</v>
      </c>
      <c r="BI77" s="1">
        <v>280538</v>
      </c>
      <c r="BJ77" s="3">
        <v>42538</v>
      </c>
      <c r="BK77" t="s">
        <v>123</v>
      </c>
      <c r="BL77" t="str">
        <f>"2016.424611"</f>
        <v>2016.424611</v>
      </c>
      <c r="BM77" t="s">
        <v>820</v>
      </c>
      <c r="BO77" t="s">
        <v>821</v>
      </c>
      <c r="BS77">
        <v>30</v>
      </c>
      <c r="BW77" t="str">
        <f>""</f>
        <v/>
      </c>
      <c r="CH77" t="str">
        <f>""</f>
        <v/>
      </c>
      <c r="CS77" t="str">
        <f>""</f>
        <v/>
      </c>
    </row>
    <row r="78" spans="1:97" x14ac:dyDescent="0.25">
      <c r="A78" t="s">
        <v>428</v>
      </c>
      <c r="B78" t="s">
        <v>822</v>
      </c>
      <c r="E78" t="s">
        <v>823</v>
      </c>
      <c r="F78" t="s">
        <v>108</v>
      </c>
      <c r="H78" t="s">
        <v>824</v>
      </c>
      <c r="I78" t="s">
        <v>144</v>
      </c>
      <c r="J78" t="s">
        <v>111</v>
      </c>
      <c r="K78" t="str">
        <f>"85396"</f>
        <v>85396</v>
      </c>
      <c r="L78" t="s">
        <v>145</v>
      </c>
      <c r="M78" t="s">
        <v>824</v>
      </c>
      <c r="N78" t="s">
        <v>144</v>
      </c>
      <c r="O78" t="s">
        <v>111</v>
      </c>
      <c r="P78" t="str">
        <f>"85396-2409"</f>
        <v>85396-2409</v>
      </c>
      <c r="Q78" t="s">
        <v>113</v>
      </c>
      <c r="R78" t="str">
        <f>"502-61-126"</f>
        <v>502-61-126</v>
      </c>
      <c r="S78" t="s">
        <v>146</v>
      </c>
      <c r="U78">
        <v>1756</v>
      </c>
      <c r="W78">
        <v>2</v>
      </c>
      <c r="X78">
        <v>2015</v>
      </c>
      <c r="Z78">
        <v>1</v>
      </c>
      <c r="AC78" t="s">
        <v>115</v>
      </c>
      <c r="AD78">
        <v>2</v>
      </c>
      <c r="AE78" t="s">
        <v>115</v>
      </c>
      <c r="AH78" t="s">
        <v>116</v>
      </c>
      <c r="AI78" s="1">
        <v>59745</v>
      </c>
      <c r="AJ78" s="2">
        <v>0.21</v>
      </c>
      <c r="AK78" s="1">
        <v>289582</v>
      </c>
      <c r="AL78" t="s">
        <v>117</v>
      </c>
      <c r="AM78" t="s">
        <v>118</v>
      </c>
      <c r="AN78">
        <v>6180</v>
      </c>
      <c r="AO78">
        <v>0.14000000000000001</v>
      </c>
      <c r="AR78">
        <v>1</v>
      </c>
      <c r="AS78" s="1">
        <v>19920</v>
      </c>
      <c r="AT78" s="1">
        <v>3980</v>
      </c>
      <c r="AU78" s="1">
        <v>15940</v>
      </c>
      <c r="AV78">
        <v>80.02</v>
      </c>
      <c r="AX78" s="1">
        <v>2156.48</v>
      </c>
      <c r="AY78" t="s">
        <v>147</v>
      </c>
      <c r="AZ78" t="s">
        <v>147</v>
      </c>
      <c r="BA78" t="s">
        <v>148</v>
      </c>
      <c r="BE78" s="3">
        <v>42342</v>
      </c>
      <c r="BF78" s="1">
        <v>225000</v>
      </c>
      <c r="BG78" t="s">
        <v>158</v>
      </c>
      <c r="BH78" s="1">
        <v>128.13</v>
      </c>
      <c r="BI78" s="1">
        <v>229837</v>
      </c>
      <c r="BJ78" s="3">
        <v>42342</v>
      </c>
      <c r="BK78" t="s">
        <v>123</v>
      </c>
      <c r="BL78" t="str">
        <f>"2015.861716"</f>
        <v>2015.861716</v>
      </c>
      <c r="BM78" t="s">
        <v>241</v>
      </c>
      <c r="BO78" t="s">
        <v>825</v>
      </c>
      <c r="BS78">
        <v>30</v>
      </c>
      <c r="BW78" t="str">
        <f>""</f>
        <v/>
      </c>
      <c r="CH78" t="str">
        <f>""</f>
        <v/>
      </c>
      <c r="CS78" t="str">
        <f>""</f>
        <v/>
      </c>
    </row>
    <row r="79" spans="1:97" x14ac:dyDescent="0.25">
      <c r="A79" t="s">
        <v>826</v>
      </c>
      <c r="B79" t="s">
        <v>827</v>
      </c>
      <c r="E79" t="s">
        <v>828</v>
      </c>
      <c r="F79" t="s">
        <v>108</v>
      </c>
      <c r="H79" t="s">
        <v>829</v>
      </c>
      <c r="I79" t="s">
        <v>315</v>
      </c>
      <c r="J79" t="s">
        <v>111</v>
      </c>
      <c r="K79" t="str">
        <f>"85335"</f>
        <v>85335</v>
      </c>
      <c r="L79" t="s">
        <v>316</v>
      </c>
      <c r="M79" t="s">
        <v>829</v>
      </c>
      <c r="N79" t="s">
        <v>315</v>
      </c>
      <c r="O79" t="s">
        <v>111</v>
      </c>
      <c r="P79" t="str">
        <f>"85335-6975"</f>
        <v>85335-6975</v>
      </c>
      <c r="Q79" t="s">
        <v>113</v>
      </c>
      <c r="R79" t="str">
        <f>"501-25-581"</f>
        <v>501-25-581</v>
      </c>
      <c r="S79" t="s">
        <v>317</v>
      </c>
      <c r="T79" t="s">
        <v>318</v>
      </c>
      <c r="U79">
        <v>2265</v>
      </c>
      <c r="W79">
        <v>4</v>
      </c>
      <c r="X79">
        <v>2014</v>
      </c>
      <c r="Z79">
        <v>2</v>
      </c>
      <c r="AC79" t="s">
        <v>115</v>
      </c>
      <c r="AD79">
        <v>2</v>
      </c>
      <c r="AE79" t="s">
        <v>115</v>
      </c>
      <c r="AH79" t="s">
        <v>116</v>
      </c>
      <c r="AI79" s="1">
        <v>30119</v>
      </c>
      <c r="AJ79" s="2">
        <v>0.12</v>
      </c>
      <c r="AK79" s="1">
        <v>255313</v>
      </c>
      <c r="AL79" t="s">
        <v>117</v>
      </c>
      <c r="AM79" t="s">
        <v>319</v>
      </c>
      <c r="AN79">
        <v>6741</v>
      </c>
      <c r="AO79">
        <v>0.16</v>
      </c>
      <c r="AR79">
        <v>1</v>
      </c>
      <c r="AS79" s="1">
        <v>21080</v>
      </c>
      <c r="AT79" s="1">
        <v>4210</v>
      </c>
      <c r="AU79" s="1">
        <v>16870</v>
      </c>
      <c r="AV79">
        <v>80.03</v>
      </c>
      <c r="AX79" s="1">
        <v>1592.48</v>
      </c>
      <c r="AY79" t="s">
        <v>320</v>
      </c>
      <c r="AZ79" t="s">
        <v>320</v>
      </c>
      <c r="BA79" t="s">
        <v>321</v>
      </c>
      <c r="BB79" s="3">
        <v>43041</v>
      </c>
      <c r="BD79" t="s">
        <v>157</v>
      </c>
      <c r="BE79" s="3">
        <v>41947</v>
      </c>
      <c r="BF79" s="1">
        <v>188490</v>
      </c>
      <c r="BG79" t="s">
        <v>195</v>
      </c>
      <c r="BH79" s="1">
        <v>83.22</v>
      </c>
      <c r="BI79" s="1">
        <v>225194</v>
      </c>
      <c r="BJ79" s="3">
        <v>43041</v>
      </c>
      <c r="BK79" t="s">
        <v>123</v>
      </c>
      <c r="BL79" t="str">
        <f>"2017.817972"</f>
        <v>2017.817972</v>
      </c>
      <c r="BM79" t="s">
        <v>361</v>
      </c>
      <c r="BO79" t="s">
        <v>830</v>
      </c>
      <c r="BS79">
        <v>30</v>
      </c>
      <c r="BW79" t="str">
        <f>""</f>
        <v/>
      </c>
      <c r="CH79" t="str">
        <f>""</f>
        <v/>
      </c>
      <c r="CS79" t="str">
        <f>""</f>
        <v/>
      </c>
    </row>
    <row r="80" spans="1:97" x14ac:dyDescent="0.25">
      <c r="A80" t="s">
        <v>831</v>
      </c>
      <c r="B80" t="s">
        <v>832</v>
      </c>
      <c r="C80" t="s">
        <v>833</v>
      </c>
      <c r="D80" t="s">
        <v>832</v>
      </c>
      <c r="E80" t="s">
        <v>834</v>
      </c>
      <c r="F80" t="s">
        <v>282</v>
      </c>
      <c r="H80" t="s">
        <v>835</v>
      </c>
      <c r="I80" t="s">
        <v>632</v>
      </c>
      <c r="J80" t="s">
        <v>111</v>
      </c>
      <c r="K80" t="str">
        <f>"85379"</f>
        <v>85379</v>
      </c>
      <c r="L80" t="s">
        <v>375</v>
      </c>
      <c r="M80" t="s">
        <v>836</v>
      </c>
      <c r="N80" t="s">
        <v>632</v>
      </c>
      <c r="O80" t="s">
        <v>111</v>
      </c>
      <c r="P80" t="str">
        <f>"85379"</f>
        <v>85379</v>
      </c>
      <c r="Q80" t="s">
        <v>113</v>
      </c>
      <c r="R80" t="str">
        <f>"509-11-745"</f>
        <v>509-11-745</v>
      </c>
      <c r="S80" t="s">
        <v>633</v>
      </c>
      <c r="U80">
        <v>2010</v>
      </c>
      <c r="W80">
        <v>3</v>
      </c>
      <c r="X80">
        <v>2014</v>
      </c>
      <c r="Z80">
        <v>1</v>
      </c>
      <c r="AC80" t="s">
        <v>115</v>
      </c>
      <c r="AD80">
        <v>2</v>
      </c>
      <c r="AE80" t="s">
        <v>115</v>
      </c>
      <c r="AH80" t="s">
        <v>116</v>
      </c>
      <c r="AI80" s="1">
        <v>96820</v>
      </c>
      <c r="AJ80" s="2">
        <v>0.3</v>
      </c>
      <c r="AK80" s="1">
        <v>321820</v>
      </c>
      <c r="AL80" t="s">
        <v>117</v>
      </c>
      <c r="AM80" t="s">
        <v>118</v>
      </c>
      <c r="AN80">
        <v>6057</v>
      </c>
      <c r="AO80">
        <v>0.14000000000000001</v>
      </c>
      <c r="AR80">
        <v>1</v>
      </c>
      <c r="AS80" s="1">
        <v>24020</v>
      </c>
      <c r="AT80" s="1">
        <v>4800</v>
      </c>
      <c r="AU80" s="1">
        <v>19220</v>
      </c>
      <c r="AV80">
        <v>80.02</v>
      </c>
      <c r="AX80" s="1">
        <v>2846.06</v>
      </c>
      <c r="AY80" t="s">
        <v>634</v>
      </c>
      <c r="AZ80" t="s">
        <v>634</v>
      </c>
      <c r="BA80" t="s">
        <v>635</v>
      </c>
      <c r="BE80" s="3">
        <v>41789</v>
      </c>
      <c r="BF80" s="1">
        <v>235351</v>
      </c>
      <c r="BG80" t="s">
        <v>636</v>
      </c>
      <c r="BH80" s="1">
        <v>117.09</v>
      </c>
      <c r="BI80" s="1">
        <v>225000</v>
      </c>
      <c r="BJ80" s="3">
        <v>42383</v>
      </c>
      <c r="BK80" t="s">
        <v>123</v>
      </c>
      <c r="BL80" t="str">
        <f>"2016.26175"</f>
        <v>2016.26175</v>
      </c>
      <c r="BM80" t="s">
        <v>709</v>
      </c>
      <c r="BO80" t="s">
        <v>837</v>
      </c>
      <c r="BS80">
        <v>30</v>
      </c>
      <c r="BW80" t="str">
        <f>""</f>
        <v/>
      </c>
      <c r="CH80" t="str">
        <f>""</f>
        <v/>
      </c>
      <c r="CS80" t="str">
        <f>""</f>
        <v/>
      </c>
    </row>
    <row r="81" spans="1:97" x14ac:dyDescent="0.25">
      <c r="A81" t="s">
        <v>370</v>
      </c>
      <c r="B81" t="s">
        <v>838</v>
      </c>
      <c r="C81" t="s">
        <v>839</v>
      </c>
      <c r="D81" t="s">
        <v>838</v>
      </c>
      <c r="E81" t="s">
        <v>840</v>
      </c>
      <c r="F81" t="s">
        <v>108</v>
      </c>
      <c r="H81" t="s">
        <v>841</v>
      </c>
      <c r="I81" t="s">
        <v>144</v>
      </c>
      <c r="J81" t="s">
        <v>111</v>
      </c>
      <c r="K81" t="str">
        <f>"85396"</f>
        <v>85396</v>
      </c>
      <c r="L81" t="s">
        <v>145</v>
      </c>
      <c r="M81" t="s">
        <v>841</v>
      </c>
      <c r="N81" t="s">
        <v>144</v>
      </c>
      <c r="O81" t="s">
        <v>111</v>
      </c>
      <c r="P81" t="str">
        <f>"85396-2434"</f>
        <v>85396-2434</v>
      </c>
      <c r="Q81" t="s">
        <v>113</v>
      </c>
      <c r="R81" t="str">
        <f>"502-61-212"</f>
        <v>502-61-212</v>
      </c>
      <c r="S81" t="s">
        <v>239</v>
      </c>
      <c r="U81">
        <v>3024</v>
      </c>
      <c r="W81">
        <v>4</v>
      </c>
      <c r="X81">
        <v>2014</v>
      </c>
      <c r="Z81">
        <v>2</v>
      </c>
      <c r="AC81" t="s">
        <v>115</v>
      </c>
      <c r="AD81">
        <v>3</v>
      </c>
      <c r="AE81" t="s">
        <v>115</v>
      </c>
      <c r="AH81" t="s">
        <v>116</v>
      </c>
      <c r="AI81" s="1">
        <v>-3028</v>
      </c>
      <c r="AJ81" s="2">
        <v>-0.01</v>
      </c>
      <c r="AK81" s="1">
        <v>309082</v>
      </c>
      <c r="AL81" t="s">
        <v>117</v>
      </c>
      <c r="AM81" t="s">
        <v>118</v>
      </c>
      <c r="AN81">
        <v>7200</v>
      </c>
      <c r="AO81">
        <v>0.16</v>
      </c>
      <c r="AR81">
        <v>1</v>
      </c>
      <c r="AS81" s="1">
        <v>25530</v>
      </c>
      <c r="AT81" s="1">
        <v>5100</v>
      </c>
      <c r="AU81" s="1">
        <v>20430</v>
      </c>
      <c r="AV81">
        <v>80.02</v>
      </c>
      <c r="AX81" s="1">
        <v>2890.64</v>
      </c>
      <c r="AY81" t="s">
        <v>147</v>
      </c>
      <c r="AZ81" t="s">
        <v>147</v>
      </c>
      <c r="BA81" t="s">
        <v>148</v>
      </c>
      <c r="BB81" s="3">
        <v>42303</v>
      </c>
      <c r="BD81" t="s">
        <v>842</v>
      </c>
      <c r="BE81" s="3">
        <v>41999</v>
      </c>
      <c r="BF81" s="1">
        <v>300637</v>
      </c>
      <c r="BG81" t="s">
        <v>158</v>
      </c>
      <c r="BH81" s="1">
        <v>99.42</v>
      </c>
      <c r="BI81" s="1">
        <v>312110</v>
      </c>
      <c r="BJ81" s="3">
        <v>42271</v>
      </c>
      <c r="BK81" t="s">
        <v>123</v>
      </c>
      <c r="BL81" t="str">
        <f>"2015.689542"</f>
        <v>2015.689542</v>
      </c>
      <c r="BM81" t="s">
        <v>843</v>
      </c>
      <c r="BO81" t="s">
        <v>844</v>
      </c>
      <c r="BS81">
        <v>30</v>
      </c>
      <c r="BW81" t="str">
        <f>""</f>
        <v/>
      </c>
      <c r="CH81" t="str">
        <f>""</f>
        <v/>
      </c>
      <c r="CS81" t="str">
        <f>""</f>
        <v/>
      </c>
    </row>
    <row r="82" spans="1:97" x14ac:dyDescent="0.25">
      <c r="A82" t="s">
        <v>845</v>
      </c>
      <c r="B82" t="s">
        <v>846</v>
      </c>
      <c r="C82" t="s">
        <v>847</v>
      </c>
      <c r="D82" t="s">
        <v>846</v>
      </c>
      <c r="E82" t="s">
        <v>848</v>
      </c>
      <c r="F82" t="s">
        <v>108</v>
      </c>
      <c r="H82" t="s">
        <v>849</v>
      </c>
      <c r="I82" t="s">
        <v>144</v>
      </c>
      <c r="J82" t="s">
        <v>111</v>
      </c>
      <c r="K82" t="str">
        <f>"85396"</f>
        <v>85396</v>
      </c>
      <c r="L82" t="s">
        <v>145</v>
      </c>
      <c r="M82" t="s">
        <v>849</v>
      </c>
      <c r="N82" t="s">
        <v>144</v>
      </c>
      <c r="O82" t="s">
        <v>111</v>
      </c>
      <c r="P82" t="str">
        <f>"85396-2414"</f>
        <v>85396-2414</v>
      </c>
      <c r="Q82" t="s">
        <v>113</v>
      </c>
      <c r="R82" t="str">
        <f>"502-61-111"</f>
        <v>502-61-111</v>
      </c>
      <c r="S82" t="s">
        <v>146</v>
      </c>
      <c r="U82">
        <v>3098</v>
      </c>
      <c r="W82">
        <v>5</v>
      </c>
      <c r="X82">
        <v>2016</v>
      </c>
      <c r="Z82">
        <v>2</v>
      </c>
      <c r="AC82" t="s">
        <v>115</v>
      </c>
      <c r="AD82">
        <v>3</v>
      </c>
      <c r="AE82" t="s">
        <v>115</v>
      </c>
      <c r="AH82" t="s">
        <v>116</v>
      </c>
      <c r="AI82" s="1">
        <v>-256816</v>
      </c>
      <c r="AJ82" s="2">
        <v>-0.73</v>
      </c>
      <c r="AK82" s="1">
        <v>353664</v>
      </c>
      <c r="AL82" t="s">
        <v>117</v>
      </c>
      <c r="AM82" t="s">
        <v>118</v>
      </c>
      <c r="AN82">
        <v>5838</v>
      </c>
      <c r="AO82">
        <v>0.13</v>
      </c>
      <c r="AR82">
        <v>1</v>
      </c>
      <c r="AS82" s="1">
        <v>25500</v>
      </c>
      <c r="AT82" s="1">
        <v>5100</v>
      </c>
      <c r="AU82" s="1">
        <v>20400</v>
      </c>
      <c r="AV82">
        <v>80</v>
      </c>
      <c r="AX82" s="1">
        <v>2566.54</v>
      </c>
      <c r="AY82" t="s">
        <v>147</v>
      </c>
      <c r="AZ82" t="s">
        <v>147</v>
      </c>
      <c r="BA82" t="s">
        <v>148</v>
      </c>
      <c r="BB82" s="3">
        <v>42628</v>
      </c>
      <c r="BC82" s="1">
        <v>295489</v>
      </c>
      <c r="BD82" t="s">
        <v>842</v>
      </c>
      <c r="BE82" s="3">
        <v>42447</v>
      </c>
      <c r="BF82" s="1">
        <v>295489</v>
      </c>
      <c r="BG82" t="s">
        <v>158</v>
      </c>
      <c r="BH82" s="1">
        <v>95.38</v>
      </c>
      <c r="BI82" s="1">
        <v>305240</v>
      </c>
      <c r="BJ82" s="3">
        <v>42447</v>
      </c>
      <c r="BK82" t="s">
        <v>123</v>
      </c>
      <c r="BL82" t="str">
        <f>"2016.176328"</f>
        <v>2016.176328</v>
      </c>
      <c r="BM82" t="s">
        <v>241</v>
      </c>
      <c r="BO82" t="s">
        <v>850</v>
      </c>
      <c r="BS82">
        <v>30</v>
      </c>
      <c r="BT82" s="1">
        <v>305240</v>
      </c>
      <c r="BU82" s="3">
        <v>42628</v>
      </c>
      <c r="BV82" t="s">
        <v>123</v>
      </c>
      <c r="BW82" t="str">
        <f>"2016.668393"</f>
        <v>2016.668393</v>
      </c>
      <c r="BX82" t="s">
        <v>241</v>
      </c>
      <c r="BZ82" t="s">
        <v>851</v>
      </c>
      <c r="CD82">
        <v>30</v>
      </c>
      <c r="CH82" t="str">
        <f>""</f>
        <v/>
      </c>
      <c r="CS82" t="str">
        <f>""</f>
        <v/>
      </c>
    </row>
    <row r="83" spans="1:97" x14ac:dyDescent="0.25">
      <c r="A83" t="s">
        <v>852</v>
      </c>
      <c r="B83" t="s">
        <v>853</v>
      </c>
      <c r="E83" t="s">
        <v>854</v>
      </c>
      <c r="F83" t="s">
        <v>108</v>
      </c>
      <c r="H83" t="s">
        <v>855</v>
      </c>
      <c r="I83" t="s">
        <v>144</v>
      </c>
      <c r="J83" t="s">
        <v>111</v>
      </c>
      <c r="K83" t="str">
        <f>"85396"</f>
        <v>85396</v>
      </c>
      <c r="L83" t="s">
        <v>145</v>
      </c>
      <c r="M83" t="s">
        <v>855</v>
      </c>
      <c r="N83" t="s">
        <v>144</v>
      </c>
      <c r="O83" t="s">
        <v>111</v>
      </c>
      <c r="P83" t="str">
        <f>"85396-2406"</f>
        <v>85396-2406</v>
      </c>
      <c r="Q83" t="s">
        <v>113</v>
      </c>
      <c r="R83" t="str">
        <f>"502-61-074"</f>
        <v>502-61-074</v>
      </c>
      <c r="S83" t="s">
        <v>146</v>
      </c>
      <c r="U83">
        <v>1729</v>
      </c>
      <c r="W83">
        <v>3</v>
      </c>
      <c r="X83">
        <v>2016</v>
      </c>
      <c r="Z83">
        <v>1</v>
      </c>
      <c r="AC83" t="s">
        <v>115</v>
      </c>
      <c r="AD83">
        <v>2</v>
      </c>
      <c r="AE83" t="s">
        <v>115</v>
      </c>
      <c r="AH83" t="s">
        <v>116</v>
      </c>
      <c r="AI83" s="1">
        <v>53330</v>
      </c>
      <c r="AJ83" s="2">
        <v>0.19</v>
      </c>
      <c r="AK83" s="1">
        <v>277597</v>
      </c>
      <c r="AL83" t="s">
        <v>117</v>
      </c>
      <c r="AM83" t="s">
        <v>118</v>
      </c>
      <c r="AN83">
        <v>5460</v>
      </c>
      <c r="AO83">
        <v>0.12</v>
      </c>
      <c r="AR83">
        <v>1</v>
      </c>
      <c r="AS83" s="1">
        <v>19530</v>
      </c>
      <c r="AT83" s="1">
        <v>3900</v>
      </c>
      <c r="AU83" s="1">
        <v>15630</v>
      </c>
      <c r="AV83">
        <v>80.03</v>
      </c>
      <c r="AX83" s="1">
        <v>1924.8</v>
      </c>
      <c r="AY83" t="s">
        <v>147</v>
      </c>
      <c r="AZ83" t="s">
        <v>147</v>
      </c>
      <c r="BA83" t="s">
        <v>148</v>
      </c>
      <c r="BE83" s="3">
        <v>42521</v>
      </c>
      <c r="BF83" s="1">
        <v>219547</v>
      </c>
      <c r="BG83" t="s">
        <v>149</v>
      </c>
      <c r="BH83" s="1">
        <v>126.98</v>
      </c>
      <c r="BI83" s="1">
        <v>224267</v>
      </c>
      <c r="BJ83" s="3">
        <v>42521</v>
      </c>
      <c r="BK83" t="s">
        <v>123</v>
      </c>
      <c r="BL83" t="str">
        <f>"2016.375584"</f>
        <v>2016.375584</v>
      </c>
      <c r="BM83" t="s">
        <v>738</v>
      </c>
      <c r="BO83" t="s">
        <v>856</v>
      </c>
      <c r="BS83">
        <v>30</v>
      </c>
      <c r="BW83" t="str">
        <f>""</f>
        <v/>
      </c>
      <c r="CH83" t="str">
        <f>""</f>
        <v/>
      </c>
      <c r="CS83" t="str">
        <f>""</f>
        <v/>
      </c>
    </row>
    <row r="84" spans="1:97" x14ac:dyDescent="0.25">
      <c r="B84" t="s">
        <v>857</v>
      </c>
      <c r="E84" t="s">
        <v>857</v>
      </c>
      <c r="F84" t="s">
        <v>108</v>
      </c>
      <c r="H84" t="s">
        <v>858</v>
      </c>
      <c r="I84" t="s">
        <v>144</v>
      </c>
      <c r="J84" t="s">
        <v>111</v>
      </c>
      <c r="K84" t="str">
        <f>"85396"</f>
        <v>85396</v>
      </c>
      <c r="L84" t="s">
        <v>145</v>
      </c>
      <c r="M84" t="s">
        <v>858</v>
      </c>
      <c r="N84" t="s">
        <v>144</v>
      </c>
      <c r="O84" t="s">
        <v>111</v>
      </c>
      <c r="P84" t="str">
        <f>"85396-2413"</f>
        <v>85396-2413</v>
      </c>
      <c r="Q84" t="s">
        <v>113</v>
      </c>
      <c r="R84" t="str">
        <f>"502-61-116"</f>
        <v>502-61-116</v>
      </c>
      <c r="S84" t="s">
        <v>146</v>
      </c>
      <c r="U84">
        <v>3098</v>
      </c>
      <c r="W84">
        <v>5</v>
      </c>
      <c r="X84">
        <v>2016</v>
      </c>
      <c r="Z84">
        <v>2</v>
      </c>
      <c r="AC84" t="s">
        <v>115</v>
      </c>
      <c r="AD84">
        <v>3</v>
      </c>
      <c r="AE84" t="s">
        <v>115</v>
      </c>
      <c r="AH84" t="s">
        <v>116</v>
      </c>
      <c r="AI84" s="1">
        <v>58884</v>
      </c>
      <c r="AJ84" s="2">
        <v>0.17</v>
      </c>
      <c r="AK84" s="1">
        <v>356867</v>
      </c>
      <c r="AL84" t="s">
        <v>117</v>
      </c>
      <c r="AM84" t="s">
        <v>118</v>
      </c>
      <c r="AN84">
        <v>5773</v>
      </c>
      <c r="AO84">
        <v>0.13</v>
      </c>
      <c r="AR84">
        <v>1</v>
      </c>
      <c r="AS84" s="1">
        <v>25460</v>
      </c>
      <c r="AT84" s="1">
        <v>5090</v>
      </c>
      <c r="AU84" s="1">
        <v>20370</v>
      </c>
      <c r="AV84">
        <v>80.010000000000005</v>
      </c>
      <c r="AX84" s="1">
        <v>2558.54</v>
      </c>
      <c r="AY84" t="s">
        <v>147</v>
      </c>
      <c r="AZ84" t="s">
        <v>147</v>
      </c>
      <c r="BA84" t="s">
        <v>148</v>
      </c>
      <c r="BB84" s="3">
        <v>42587</v>
      </c>
      <c r="BD84" t="s">
        <v>480</v>
      </c>
      <c r="BE84" s="3">
        <v>42542</v>
      </c>
      <c r="BF84" s="1">
        <v>297983</v>
      </c>
      <c r="BG84" t="s">
        <v>158</v>
      </c>
      <c r="BH84" s="1">
        <v>96.19</v>
      </c>
      <c r="BI84" s="1">
        <v>297983</v>
      </c>
      <c r="BJ84" s="3">
        <v>42542</v>
      </c>
      <c r="BK84" t="s">
        <v>123</v>
      </c>
      <c r="BL84" t="str">
        <f>"2016.432873"</f>
        <v>2016.432873</v>
      </c>
      <c r="BM84" t="s">
        <v>475</v>
      </c>
      <c r="BO84" t="s">
        <v>859</v>
      </c>
      <c r="BS84">
        <v>30</v>
      </c>
      <c r="BW84" t="str">
        <f>""</f>
        <v/>
      </c>
      <c r="CH84" t="str">
        <f>""</f>
        <v/>
      </c>
      <c r="CS84" t="str">
        <f>""</f>
        <v/>
      </c>
    </row>
    <row r="85" spans="1:97" x14ac:dyDescent="0.25">
      <c r="B85" t="s">
        <v>860</v>
      </c>
      <c r="E85" t="s">
        <v>832</v>
      </c>
      <c r="F85" t="s">
        <v>108</v>
      </c>
      <c r="H85" t="s">
        <v>861</v>
      </c>
      <c r="I85" t="s">
        <v>203</v>
      </c>
      <c r="J85" t="s">
        <v>111</v>
      </c>
      <c r="K85" t="str">
        <f>"85298"</f>
        <v>85298</v>
      </c>
      <c r="L85" t="s">
        <v>269</v>
      </c>
      <c r="M85" t="s">
        <v>861</v>
      </c>
      <c r="N85" t="s">
        <v>203</v>
      </c>
      <c r="O85" t="s">
        <v>111</v>
      </c>
      <c r="P85" t="str">
        <f>"85298"</f>
        <v>85298</v>
      </c>
      <c r="Q85" t="s">
        <v>113</v>
      </c>
      <c r="R85" t="str">
        <f>"304-86-635"</f>
        <v>304-86-635</v>
      </c>
      <c r="S85" t="s">
        <v>862</v>
      </c>
      <c r="T85" t="s">
        <v>271</v>
      </c>
      <c r="U85">
        <v>3541</v>
      </c>
      <c r="W85">
        <v>5</v>
      </c>
      <c r="X85">
        <v>2015</v>
      </c>
      <c r="Z85">
        <v>2</v>
      </c>
      <c r="AC85" t="s">
        <v>115</v>
      </c>
      <c r="AD85">
        <v>3</v>
      </c>
      <c r="AE85" t="s">
        <v>115</v>
      </c>
      <c r="AH85" t="s">
        <v>116</v>
      </c>
      <c r="AI85" s="1">
        <v>172383</v>
      </c>
      <c r="AJ85" s="2">
        <v>0.37</v>
      </c>
      <c r="AK85" s="1">
        <v>462683</v>
      </c>
      <c r="AL85" t="s">
        <v>117</v>
      </c>
      <c r="AM85" t="s">
        <v>393</v>
      </c>
      <c r="AN85">
        <v>6325</v>
      </c>
      <c r="AO85">
        <v>0.14000000000000001</v>
      </c>
      <c r="AR85">
        <v>1</v>
      </c>
      <c r="AS85" s="1">
        <v>32970</v>
      </c>
      <c r="AT85" s="1">
        <v>6590</v>
      </c>
      <c r="AU85" s="1">
        <v>26380</v>
      </c>
      <c r="AV85">
        <v>80.010000000000005</v>
      </c>
      <c r="AX85" s="1">
        <v>2654.46</v>
      </c>
      <c r="AY85" t="s">
        <v>272</v>
      </c>
      <c r="AZ85" t="s">
        <v>273</v>
      </c>
      <c r="BA85" t="s">
        <v>274</v>
      </c>
      <c r="BB85" s="3">
        <v>43790</v>
      </c>
      <c r="BC85" s="1">
        <v>0</v>
      </c>
      <c r="BD85" t="s">
        <v>247</v>
      </c>
      <c r="BE85" s="3">
        <v>42167</v>
      </c>
      <c r="BF85" s="1">
        <v>335822</v>
      </c>
      <c r="BG85" t="s">
        <v>275</v>
      </c>
      <c r="BH85" s="1">
        <v>94.84</v>
      </c>
      <c r="BI85" s="1">
        <v>290300</v>
      </c>
      <c r="BJ85" s="3">
        <v>42628</v>
      </c>
      <c r="BK85" t="s">
        <v>123</v>
      </c>
      <c r="BL85" t="str">
        <f>"2016.670623"</f>
        <v>2016.670623</v>
      </c>
      <c r="BM85" t="s">
        <v>709</v>
      </c>
      <c r="BN85" t="s">
        <v>863</v>
      </c>
      <c r="BO85" t="s">
        <v>864</v>
      </c>
      <c r="BS85">
        <v>30</v>
      </c>
      <c r="BW85" t="str">
        <f>""</f>
        <v/>
      </c>
      <c r="CH85" t="str">
        <f>""</f>
        <v/>
      </c>
      <c r="CS85" t="str">
        <f>""</f>
        <v/>
      </c>
    </row>
    <row r="86" spans="1:97" x14ac:dyDescent="0.25">
      <c r="A86" t="s">
        <v>305</v>
      </c>
      <c r="B86" t="s">
        <v>865</v>
      </c>
      <c r="C86" t="s">
        <v>719</v>
      </c>
      <c r="D86" t="s">
        <v>865</v>
      </c>
      <c r="E86" t="s">
        <v>866</v>
      </c>
      <c r="F86" t="s">
        <v>108</v>
      </c>
      <c r="H86" t="s">
        <v>867</v>
      </c>
      <c r="I86" t="s">
        <v>225</v>
      </c>
      <c r="J86" t="s">
        <v>111</v>
      </c>
      <c r="K86" t="str">
        <f>"85212"</f>
        <v>85212</v>
      </c>
      <c r="L86" t="s">
        <v>567</v>
      </c>
      <c r="M86" t="s">
        <v>867</v>
      </c>
      <c r="N86" t="s">
        <v>225</v>
      </c>
      <c r="O86" t="s">
        <v>111</v>
      </c>
      <c r="P86" t="str">
        <f>"85212-9753"</f>
        <v>85212-9753</v>
      </c>
      <c r="Q86" t="s">
        <v>113</v>
      </c>
      <c r="R86" t="str">
        <f>"304-17-498"</f>
        <v>304-17-498</v>
      </c>
      <c r="S86" t="s">
        <v>568</v>
      </c>
      <c r="T86" t="s">
        <v>569</v>
      </c>
      <c r="U86">
        <v>2261</v>
      </c>
      <c r="W86">
        <v>5</v>
      </c>
      <c r="X86">
        <v>2014</v>
      </c>
      <c r="Z86">
        <v>2</v>
      </c>
      <c r="AC86" t="s">
        <v>115</v>
      </c>
      <c r="AD86">
        <v>2</v>
      </c>
      <c r="AE86" t="s">
        <v>115</v>
      </c>
      <c r="AH86" t="s">
        <v>116</v>
      </c>
      <c r="AI86" s="1">
        <v>66475</v>
      </c>
      <c r="AJ86" s="2">
        <v>0.19</v>
      </c>
      <c r="AK86" s="1">
        <v>357458</v>
      </c>
      <c r="AL86" t="s">
        <v>117</v>
      </c>
      <c r="AM86" t="s">
        <v>191</v>
      </c>
      <c r="AN86">
        <v>5750</v>
      </c>
      <c r="AO86">
        <v>0.13</v>
      </c>
      <c r="AR86">
        <v>1</v>
      </c>
      <c r="AS86" s="1">
        <v>25260</v>
      </c>
      <c r="AT86" s="1">
        <v>5050</v>
      </c>
      <c r="AU86" s="1">
        <v>20210</v>
      </c>
      <c r="AV86">
        <v>80.010000000000005</v>
      </c>
      <c r="AX86" s="1">
        <v>1780.68</v>
      </c>
      <c r="AY86" t="s">
        <v>570</v>
      </c>
      <c r="AZ86" t="s">
        <v>571</v>
      </c>
      <c r="BA86" t="s">
        <v>572</v>
      </c>
      <c r="BE86" s="3">
        <v>42075</v>
      </c>
      <c r="BF86" s="1">
        <v>298090</v>
      </c>
      <c r="BG86" t="s">
        <v>195</v>
      </c>
      <c r="BH86" s="1">
        <v>131.84</v>
      </c>
      <c r="BI86" s="1">
        <v>290983</v>
      </c>
      <c r="BJ86" s="3">
        <v>42564</v>
      </c>
      <c r="BK86" t="s">
        <v>123</v>
      </c>
      <c r="BL86" t="str">
        <f>"2016.493673"</f>
        <v>2016.493673</v>
      </c>
      <c r="BM86" t="s">
        <v>196</v>
      </c>
      <c r="BO86" t="s">
        <v>868</v>
      </c>
      <c r="BS86">
        <v>30</v>
      </c>
      <c r="BW86" t="str">
        <f>""</f>
        <v/>
      </c>
      <c r="CH86" t="str">
        <f>""</f>
        <v/>
      </c>
      <c r="CS86" t="str">
        <f>""</f>
        <v/>
      </c>
    </row>
    <row r="87" spans="1:97" x14ac:dyDescent="0.25">
      <c r="A87" t="s">
        <v>305</v>
      </c>
      <c r="B87" t="s">
        <v>869</v>
      </c>
      <c r="C87" t="s">
        <v>870</v>
      </c>
      <c r="D87" t="s">
        <v>871</v>
      </c>
      <c r="E87" t="s">
        <v>872</v>
      </c>
      <c r="F87" t="s">
        <v>108</v>
      </c>
      <c r="H87" t="s">
        <v>873</v>
      </c>
      <c r="I87" t="s">
        <v>203</v>
      </c>
      <c r="J87" t="s">
        <v>111</v>
      </c>
      <c r="K87" t="str">
        <f>"85298"</f>
        <v>85298</v>
      </c>
      <c r="L87" t="s">
        <v>284</v>
      </c>
      <c r="M87" t="s">
        <v>873</v>
      </c>
      <c r="N87" t="s">
        <v>203</v>
      </c>
      <c r="O87" t="s">
        <v>111</v>
      </c>
      <c r="P87" t="str">
        <f>"85298"</f>
        <v>85298</v>
      </c>
      <c r="Q87" t="s">
        <v>113</v>
      </c>
      <c r="R87" t="str">
        <f>"304-73-570"</f>
        <v>304-73-570</v>
      </c>
      <c r="S87" t="s">
        <v>874</v>
      </c>
      <c r="T87" t="s">
        <v>287</v>
      </c>
      <c r="U87">
        <v>2579</v>
      </c>
      <c r="W87">
        <v>4</v>
      </c>
      <c r="X87">
        <v>2014</v>
      </c>
      <c r="Z87">
        <v>2</v>
      </c>
      <c r="AA87" t="s">
        <v>26</v>
      </c>
      <c r="AC87" t="s">
        <v>115</v>
      </c>
      <c r="AD87">
        <v>2</v>
      </c>
      <c r="AE87" t="s">
        <v>115</v>
      </c>
      <c r="AH87" t="s">
        <v>116</v>
      </c>
      <c r="AI87" s="1">
        <v>151214</v>
      </c>
      <c r="AJ87" s="2">
        <v>0.33</v>
      </c>
      <c r="AK87" s="1">
        <v>453269</v>
      </c>
      <c r="AL87" t="s">
        <v>117</v>
      </c>
      <c r="AM87" t="s">
        <v>288</v>
      </c>
      <c r="AN87">
        <v>9078</v>
      </c>
      <c r="AO87">
        <v>0.21</v>
      </c>
      <c r="AR87">
        <v>1</v>
      </c>
      <c r="AS87" s="1">
        <v>30600</v>
      </c>
      <c r="AT87" s="1">
        <v>6120</v>
      </c>
      <c r="AU87" s="1">
        <v>24480</v>
      </c>
      <c r="AV87">
        <v>80</v>
      </c>
      <c r="AX87" s="1">
        <v>2506.6799999999998</v>
      </c>
      <c r="AY87" t="s">
        <v>289</v>
      </c>
      <c r="AZ87" t="s">
        <v>289</v>
      </c>
      <c r="BA87" t="s">
        <v>290</v>
      </c>
      <c r="BE87" s="3">
        <v>41995</v>
      </c>
      <c r="BF87" s="1">
        <v>287000</v>
      </c>
      <c r="BG87" t="s">
        <v>195</v>
      </c>
      <c r="BH87" s="1">
        <v>111.28</v>
      </c>
      <c r="BI87" s="1">
        <v>287000</v>
      </c>
      <c r="BJ87" s="3">
        <v>41995</v>
      </c>
      <c r="BK87" t="s">
        <v>123</v>
      </c>
      <c r="BL87" t="str">
        <f>"2014.842440"</f>
        <v>2014.842440</v>
      </c>
      <c r="BM87" t="s">
        <v>196</v>
      </c>
      <c r="BO87" t="s">
        <v>875</v>
      </c>
      <c r="BP87" t="s">
        <v>876</v>
      </c>
      <c r="BS87">
        <v>30</v>
      </c>
      <c r="BT87" s="1">
        <v>15055</v>
      </c>
      <c r="BU87" s="3">
        <v>42965</v>
      </c>
      <c r="BW87" t="str">
        <f>"2017.611246"</f>
        <v>2017.611246</v>
      </c>
      <c r="BX87" t="s">
        <v>877</v>
      </c>
      <c r="BZ87" t="s">
        <v>878</v>
      </c>
      <c r="CA87" t="s">
        <v>879</v>
      </c>
      <c r="CD87">
        <v>5</v>
      </c>
      <c r="CH87" t="str">
        <f>""</f>
        <v/>
      </c>
      <c r="CS87" t="str">
        <f>""</f>
        <v/>
      </c>
    </row>
    <row r="88" spans="1:97" x14ac:dyDescent="0.25">
      <c r="A88" t="s">
        <v>691</v>
      </c>
      <c r="B88" t="s">
        <v>880</v>
      </c>
      <c r="E88" t="s">
        <v>881</v>
      </c>
      <c r="F88" t="s">
        <v>108</v>
      </c>
      <c r="H88" t="s">
        <v>882</v>
      </c>
      <c r="I88" t="s">
        <v>225</v>
      </c>
      <c r="J88" t="s">
        <v>111</v>
      </c>
      <c r="K88" t="str">
        <f>"85212"</f>
        <v>85212</v>
      </c>
      <c r="L88" t="s">
        <v>558</v>
      </c>
      <c r="M88" t="s">
        <v>882</v>
      </c>
      <c r="N88" t="s">
        <v>225</v>
      </c>
      <c r="O88" t="s">
        <v>111</v>
      </c>
      <c r="P88" t="str">
        <f>"85212-8007"</f>
        <v>85212-8007</v>
      </c>
      <c r="Q88" t="s">
        <v>113</v>
      </c>
      <c r="R88" t="str">
        <f>"304-50-042"</f>
        <v>304-50-042</v>
      </c>
      <c r="S88" t="s">
        <v>883</v>
      </c>
      <c r="U88">
        <v>1743</v>
      </c>
      <c r="W88">
        <v>3</v>
      </c>
      <c r="X88">
        <v>2015</v>
      </c>
      <c r="Z88">
        <v>1</v>
      </c>
      <c r="AC88" t="s">
        <v>115</v>
      </c>
      <c r="AD88">
        <v>2</v>
      </c>
      <c r="AE88" t="s">
        <v>115</v>
      </c>
      <c r="AH88" t="s">
        <v>116</v>
      </c>
      <c r="AI88" s="1">
        <v>21235</v>
      </c>
      <c r="AJ88" s="2">
        <v>0.06</v>
      </c>
      <c r="AK88" s="1">
        <v>331135</v>
      </c>
      <c r="AL88" t="s">
        <v>117</v>
      </c>
      <c r="AM88" t="s">
        <v>118</v>
      </c>
      <c r="AN88">
        <v>6506</v>
      </c>
      <c r="AO88">
        <v>0.15</v>
      </c>
      <c r="AR88">
        <v>1</v>
      </c>
      <c r="AS88" s="1">
        <v>22850</v>
      </c>
      <c r="AT88" s="1">
        <v>4570</v>
      </c>
      <c r="AU88" s="1">
        <v>18280</v>
      </c>
      <c r="AV88">
        <v>80</v>
      </c>
      <c r="AX88" s="1">
        <v>3013.46</v>
      </c>
      <c r="AY88" t="s">
        <v>560</v>
      </c>
      <c r="AZ88" t="s">
        <v>561</v>
      </c>
      <c r="BA88" t="s">
        <v>194</v>
      </c>
      <c r="BE88" s="3">
        <v>42181</v>
      </c>
      <c r="BF88" s="1">
        <v>260233</v>
      </c>
      <c r="BG88" t="s">
        <v>617</v>
      </c>
      <c r="BH88" s="1">
        <v>149.30000000000001</v>
      </c>
      <c r="BI88" s="1">
        <v>309900</v>
      </c>
      <c r="BJ88" s="3">
        <v>43207</v>
      </c>
      <c r="BK88" t="s">
        <v>123</v>
      </c>
      <c r="BL88" t="str">
        <f>"2018.286033"</f>
        <v>2018.286033</v>
      </c>
      <c r="BM88" t="s">
        <v>361</v>
      </c>
      <c r="BN88" t="s">
        <v>884</v>
      </c>
      <c r="BO88" t="s">
        <v>885</v>
      </c>
      <c r="BR88" t="s">
        <v>346</v>
      </c>
      <c r="BW88" t="str">
        <f>""</f>
        <v/>
      </c>
      <c r="CH88" t="str">
        <f>""</f>
        <v/>
      </c>
      <c r="CS88" t="str">
        <f>""</f>
        <v/>
      </c>
    </row>
    <row r="89" spans="1:97" x14ac:dyDescent="0.25">
      <c r="A89" t="s">
        <v>886</v>
      </c>
      <c r="B89" t="s">
        <v>887</v>
      </c>
      <c r="C89" t="s">
        <v>888</v>
      </c>
      <c r="D89" t="s">
        <v>887</v>
      </c>
      <c r="E89" t="s">
        <v>889</v>
      </c>
      <c r="F89" t="s">
        <v>108</v>
      </c>
      <c r="H89" t="s">
        <v>890</v>
      </c>
      <c r="I89" t="s">
        <v>225</v>
      </c>
      <c r="J89" t="s">
        <v>111</v>
      </c>
      <c r="K89" t="str">
        <f>"85212"</f>
        <v>85212</v>
      </c>
      <c r="L89" t="s">
        <v>567</v>
      </c>
      <c r="M89" t="s">
        <v>890</v>
      </c>
      <c r="N89" t="s">
        <v>225</v>
      </c>
      <c r="O89" t="s">
        <v>111</v>
      </c>
      <c r="P89" t="str">
        <f>"85212-9745"</f>
        <v>85212-9745</v>
      </c>
      <c r="Q89" t="s">
        <v>113</v>
      </c>
      <c r="R89" t="str">
        <f>"304-17-283"</f>
        <v>304-17-283</v>
      </c>
      <c r="S89" t="s">
        <v>568</v>
      </c>
      <c r="T89" t="s">
        <v>569</v>
      </c>
      <c r="U89">
        <v>2572</v>
      </c>
      <c r="W89">
        <v>4</v>
      </c>
      <c r="X89">
        <v>2014</v>
      </c>
      <c r="Z89">
        <v>2</v>
      </c>
      <c r="AC89" t="s">
        <v>115</v>
      </c>
      <c r="AD89">
        <v>2</v>
      </c>
      <c r="AE89" t="s">
        <v>115</v>
      </c>
      <c r="AH89" t="s">
        <v>116</v>
      </c>
      <c r="AI89" s="1">
        <v>105832</v>
      </c>
      <c r="AJ89" s="2">
        <v>0.27</v>
      </c>
      <c r="AK89" s="1">
        <v>387985</v>
      </c>
      <c r="AL89" t="s">
        <v>117</v>
      </c>
      <c r="AM89" t="s">
        <v>191</v>
      </c>
      <c r="AN89">
        <v>5750</v>
      </c>
      <c r="AO89">
        <v>0.13</v>
      </c>
      <c r="AR89">
        <v>1</v>
      </c>
      <c r="AS89" s="1">
        <v>27430</v>
      </c>
      <c r="AT89" s="1">
        <v>5480</v>
      </c>
      <c r="AU89" s="1">
        <v>21950</v>
      </c>
      <c r="AV89">
        <v>80.02</v>
      </c>
      <c r="AX89" s="1">
        <v>1905.54</v>
      </c>
      <c r="AY89" t="s">
        <v>570</v>
      </c>
      <c r="AZ89" t="s">
        <v>571</v>
      </c>
      <c r="BA89" t="s">
        <v>572</v>
      </c>
      <c r="BE89" s="3">
        <v>41968</v>
      </c>
      <c r="BF89" s="1">
        <v>283990</v>
      </c>
      <c r="BG89" t="s">
        <v>195</v>
      </c>
      <c r="BH89" s="1">
        <v>110.42</v>
      </c>
      <c r="BI89" s="1">
        <v>282153</v>
      </c>
      <c r="BJ89" s="3">
        <v>42625</v>
      </c>
      <c r="BK89" t="s">
        <v>123</v>
      </c>
      <c r="BL89" t="str">
        <f>"2016.660584"</f>
        <v>2016.660584</v>
      </c>
      <c r="BM89" t="s">
        <v>196</v>
      </c>
      <c r="BO89" t="s">
        <v>891</v>
      </c>
      <c r="BS89">
        <v>30</v>
      </c>
      <c r="BW89" t="str">
        <f>""</f>
        <v/>
      </c>
      <c r="CH89" t="str">
        <f>""</f>
        <v/>
      </c>
      <c r="CS89" t="str">
        <f>""</f>
        <v/>
      </c>
    </row>
    <row r="90" spans="1:97" x14ac:dyDescent="0.25">
      <c r="A90" t="s">
        <v>892</v>
      </c>
      <c r="B90" t="s">
        <v>893</v>
      </c>
      <c r="C90" t="s">
        <v>894</v>
      </c>
      <c r="D90" t="s">
        <v>893</v>
      </c>
      <c r="E90" t="s">
        <v>895</v>
      </c>
      <c r="F90" t="s">
        <v>108</v>
      </c>
      <c r="H90" t="s">
        <v>896</v>
      </c>
      <c r="I90" t="s">
        <v>203</v>
      </c>
      <c r="J90" t="s">
        <v>111</v>
      </c>
      <c r="K90" t="str">
        <f>"85298"</f>
        <v>85298</v>
      </c>
      <c r="L90" t="s">
        <v>284</v>
      </c>
      <c r="M90" t="s">
        <v>896</v>
      </c>
      <c r="N90" t="s">
        <v>203</v>
      </c>
      <c r="O90" t="s">
        <v>111</v>
      </c>
      <c r="P90" t="str">
        <f>"85298"</f>
        <v>85298</v>
      </c>
      <c r="Q90" t="s">
        <v>113</v>
      </c>
      <c r="R90" t="str">
        <f>"304-73-579"</f>
        <v>304-73-579</v>
      </c>
      <c r="S90" t="s">
        <v>874</v>
      </c>
      <c r="T90" t="s">
        <v>287</v>
      </c>
      <c r="U90">
        <v>1800</v>
      </c>
      <c r="W90">
        <v>3</v>
      </c>
      <c r="X90">
        <v>2015</v>
      </c>
      <c r="Z90">
        <v>1</v>
      </c>
      <c r="AA90" t="s">
        <v>26</v>
      </c>
      <c r="AC90" t="s">
        <v>115</v>
      </c>
      <c r="AD90">
        <v>2</v>
      </c>
      <c r="AE90" t="s">
        <v>115</v>
      </c>
      <c r="AH90" t="s">
        <v>116</v>
      </c>
      <c r="AI90" s="1">
        <v>94390</v>
      </c>
      <c r="AJ90" s="2">
        <v>0.26</v>
      </c>
      <c r="AK90" s="1">
        <v>360890</v>
      </c>
      <c r="AL90" t="s">
        <v>117</v>
      </c>
      <c r="AM90" t="s">
        <v>288</v>
      </c>
      <c r="AN90">
        <v>5175</v>
      </c>
      <c r="AO90">
        <v>0.12</v>
      </c>
      <c r="AR90">
        <v>1</v>
      </c>
      <c r="AS90" s="1">
        <v>24520</v>
      </c>
      <c r="AT90" s="1">
        <v>4900</v>
      </c>
      <c r="AU90" s="1">
        <v>19620</v>
      </c>
      <c r="AV90">
        <v>80.02</v>
      </c>
      <c r="AX90" s="1">
        <v>1886.18</v>
      </c>
      <c r="AY90" t="s">
        <v>289</v>
      </c>
      <c r="AZ90" t="s">
        <v>289</v>
      </c>
      <c r="BA90" t="s">
        <v>290</v>
      </c>
      <c r="BE90" s="3">
        <v>42429</v>
      </c>
      <c r="BF90" s="1">
        <v>266990</v>
      </c>
      <c r="BG90" t="s">
        <v>195</v>
      </c>
      <c r="BH90" s="1">
        <v>148.33000000000001</v>
      </c>
      <c r="BI90" s="1">
        <v>266500</v>
      </c>
      <c r="BJ90" s="3">
        <v>42599</v>
      </c>
      <c r="BK90" t="s">
        <v>123</v>
      </c>
      <c r="BL90" t="str">
        <f>"2016.587750"</f>
        <v>2016.587750</v>
      </c>
      <c r="BM90" t="s">
        <v>196</v>
      </c>
      <c r="BO90" t="s">
        <v>897</v>
      </c>
      <c r="BS90">
        <v>30</v>
      </c>
      <c r="BW90" t="str">
        <f>""</f>
        <v/>
      </c>
      <c r="CH90" t="str">
        <f>""</f>
        <v/>
      </c>
      <c r="CS90" t="str">
        <f>""</f>
        <v/>
      </c>
    </row>
    <row r="91" spans="1:97" x14ac:dyDescent="0.25">
      <c r="B91" t="s">
        <v>898</v>
      </c>
      <c r="E91" t="s">
        <v>899</v>
      </c>
      <c r="F91" t="s">
        <v>108</v>
      </c>
      <c r="H91" t="s">
        <v>900</v>
      </c>
      <c r="I91" t="s">
        <v>203</v>
      </c>
      <c r="J91" t="s">
        <v>111</v>
      </c>
      <c r="K91" t="str">
        <f>"85297"</f>
        <v>85297</v>
      </c>
      <c r="L91" t="s">
        <v>901</v>
      </c>
      <c r="M91" t="s">
        <v>900</v>
      </c>
      <c r="N91" t="s">
        <v>203</v>
      </c>
      <c r="O91" t="s">
        <v>111</v>
      </c>
      <c r="P91" t="str">
        <f>"85297-3125"</f>
        <v>85297-3125</v>
      </c>
      <c r="Q91" t="s">
        <v>113</v>
      </c>
      <c r="R91" t="str">
        <f>"304-73-853"</f>
        <v>304-73-853</v>
      </c>
      <c r="S91" t="s">
        <v>902</v>
      </c>
      <c r="T91" t="s">
        <v>902</v>
      </c>
      <c r="U91">
        <v>3829</v>
      </c>
      <c r="W91">
        <v>5</v>
      </c>
      <c r="X91">
        <v>2014</v>
      </c>
      <c r="Z91">
        <v>2</v>
      </c>
      <c r="AA91" t="s">
        <v>26</v>
      </c>
      <c r="AC91" t="s">
        <v>115</v>
      </c>
      <c r="AD91">
        <v>3</v>
      </c>
      <c r="AE91" t="s">
        <v>115</v>
      </c>
      <c r="AH91" t="s">
        <v>116</v>
      </c>
      <c r="AI91" s="1">
        <v>74318</v>
      </c>
      <c r="AJ91" s="2">
        <v>0.14000000000000001</v>
      </c>
      <c r="AK91" s="1">
        <v>550018</v>
      </c>
      <c r="AL91" t="s">
        <v>117</v>
      </c>
      <c r="AM91" t="s">
        <v>393</v>
      </c>
      <c r="AN91">
        <v>9006</v>
      </c>
      <c r="AO91">
        <v>0.21</v>
      </c>
      <c r="AR91">
        <v>1</v>
      </c>
      <c r="AS91" s="1">
        <v>40960</v>
      </c>
      <c r="AT91" s="1">
        <v>8190</v>
      </c>
      <c r="AU91" s="1">
        <v>32770</v>
      </c>
      <c r="AV91">
        <v>80</v>
      </c>
      <c r="AX91" s="1">
        <v>2912.74</v>
      </c>
      <c r="AY91" t="s">
        <v>302</v>
      </c>
      <c r="AZ91" t="s">
        <v>273</v>
      </c>
      <c r="BA91" t="s">
        <v>303</v>
      </c>
      <c r="BB91" s="3">
        <v>43332</v>
      </c>
      <c r="BC91" s="1">
        <v>0</v>
      </c>
      <c r="BD91" t="s">
        <v>247</v>
      </c>
      <c r="BE91" s="3">
        <v>41880</v>
      </c>
      <c r="BF91" s="1">
        <v>435680</v>
      </c>
      <c r="BG91" t="s">
        <v>275</v>
      </c>
      <c r="BH91" s="1">
        <v>113.78</v>
      </c>
      <c r="BI91" s="1">
        <v>475700</v>
      </c>
      <c r="BJ91" s="3">
        <v>42521</v>
      </c>
      <c r="BK91" t="s">
        <v>123</v>
      </c>
      <c r="BL91" t="str">
        <f>"2016.373318"</f>
        <v>2016.373318</v>
      </c>
      <c r="BM91" t="s">
        <v>903</v>
      </c>
      <c r="BN91" t="s">
        <v>904</v>
      </c>
      <c r="BO91" t="s">
        <v>905</v>
      </c>
      <c r="BP91" t="s">
        <v>906</v>
      </c>
      <c r="BS91">
        <v>30</v>
      </c>
      <c r="BW91" t="str">
        <f>""</f>
        <v/>
      </c>
      <c r="CH91" t="str">
        <f>""</f>
        <v/>
      </c>
      <c r="CS91" t="str">
        <f>""</f>
        <v/>
      </c>
    </row>
    <row r="92" spans="1:97" x14ac:dyDescent="0.25">
      <c r="B92" t="s">
        <v>907</v>
      </c>
      <c r="C92" t="s">
        <v>908</v>
      </c>
      <c r="E92" t="s">
        <v>909</v>
      </c>
      <c r="F92" t="s">
        <v>108</v>
      </c>
      <c r="H92" t="s">
        <v>910</v>
      </c>
      <c r="I92" t="s">
        <v>453</v>
      </c>
      <c r="J92" t="s">
        <v>111</v>
      </c>
      <c r="K92" t="str">
        <f>"85383"</f>
        <v>85383</v>
      </c>
      <c r="L92" t="s">
        <v>625</v>
      </c>
      <c r="M92" t="s">
        <v>910</v>
      </c>
      <c r="N92" t="s">
        <v>453</v>
      </c>
      <c r="O92" t="s">
        <v>111</v>
      </c>
      <c r="P92" t="str">
        <f>"85383-5398"</f>
        <v>85383-5398</v>
      </c>
      <c r="Q92" t="s">
        <v>113</v>
      </c>
      <c r="R92" t="str">
        <f>"201-19-175"</f>
        <v>201-19-175</v>
      </c>
      <c r="S92" t="s">
        <v>626</v>
      </c>
      <c r="U92">
        <v>3149</v>
      </c>
      <c r="W92">
        <v>4</v>
      </c>
      <c r="X92">
        <v>2015</v>
      </c>
      <c r="Z92">
        <v>1</v>
      </c>
      <c r="AA92" t="s">
        <v>26</v>
      </c>
      <c r="AC92" t="s">
        <v>115</v>
      </c>
      <c r="AD92">
        <v>3</v>
      </c>
      <c r="AE92" t="s">
        <v>115</v>
      </c>
      <c r="AH92" t="s">
        <v>116</v>
      </c>
      <c r="AI92" s="1">
        <v>112427</v>
      </c>
      <c r="AJ92" s="2">
        <v>0.22</v>
      </c>
      <c r="AK92" s="1">
        <v>501868</v>
      </c>
      <c r="AL92" t="s">
        <v>117</v>
      </c>
      <c r="AM92" t="s">
        <v>118</v>
      </c>
      <c r="AN92">
        <v>9450</v>
      </c>
      <c r="AO92">
        <v>0.22</v>
      </c>
      <c r="AR92">
        <v>1</v>
      </c>
      <c r="AS92" s="1">
        <v>38930</v>
      </c>
      <c r="AT92" s="1">
        <v>7780</v>
      </c>
      <c r="AU92" s="1">
        <v>31150</v>
      </c>
      <c r="AV92">
        <v>80.02</v>
      </c>
      <c r="AX92" s="1">
        <v>3208.56</v>
      </c>
      <c r="AY92" t="s">
        <v>627</v>
      </c>
      <c r="AZ92" t="s">
        <v>627</v>
      </c>
      <c r="BA92" t="s">
        <v>457</v>
      </c>
      <c r="BB92" s="3">
        <v>43238</v>
      </c>
      <c r="BC92" s="1">
        <v>0</v>
      </c>
      <c r="BD92" t="s">
        <v>247</v>
      </c>
      <c r="BE92" s="3">
        <v>42152</v>
      </c>
      <c r="BF92" s="1">
        <v>400954</v>
      </c>
      <c r="BG92" t="s">
        <v>562</v>
      </c>
      <c r="BH92" s="1">
        <v>127.33</v>
      </c>
      <c r="BI92" s="1">
        <v>389441</v>
      </c>
      <c r="BJ92" s="3">
        <v>42880</v>
      </c>
      <c r="BK92" t="s">
        <v>123</v>
      </c>
      <c r="BL92" t="str">
        <f>"2017.381788"</f>
        <v>2017.381788</v>
      </c>
      <c r="BM92" t="s">
        <v>911</v>
      </c>
      <c r="BN92" t="s">
        <v>912</v>
      </c>
      <c r="BO92" t="s">
        <v>913</v>
      </c>
      <c r="BS92">
        <v>30</v>
      </c>
      <c r="BW92" t="str">
        <f>""</f>
        <v/>
      </c>
      <c r="CH92" t="str">
        <f>""</f>
        <v/>
      </c>
      <c r="CS92" t="str">
        <f>""</f>
        <v/>
      </c>
    </row>
    <row r="93" spans="1:97" x14ac:dyDescent="0.25">
      <c r="A93" t="s">
        <v>529</v>
      </c>
      <c r="B93" t="s">
        <v>364</v>
      </c>
      <c r="C93" t="s">
        <v>914</v>
      </c>
      <c r="D93" t="s">
        <v>364</v>
      </c>
      <c r="E93" t="s">
        <v>915</v>
      </c>
      <c r="F93" t="s">
        <v>108</v>
      </c>
      <c r="H93" t="s">
        <v>916</v>
      </c>
      <c r="I93" t="s">
        <v>188</v>
      </c>
      <c r="J93" t="s">
        <v>111</v>
      </c>
      <c r="K93" t="str">
        <f>"85142"</f>
        <v>85142</v>
      </c>
      <c r="L93" t="s">
        <v>688</v>
      </c>
      <c r="M93" t="s">
        <v>916</v>
      </c>
      <c r="N93" t="s">
        <v>188</v>
      </c>
      <c r="O93" t="s">
        <v>111</v>
      </c>
      <c r="P93" t="str">
        <f>"85142-9833"</f>
        <v>85142-9833</v>
      </c>
      <c r="Q93" t="s">
        <v>113</v>
      </c>
      <c r="R93" t="str">
        <f>"304-89-735"</f>
        <v>304-89-735</v>
      </c>
      <c r="S93" t="s">
        <v>690</v>
      </c>
      <c r="T93" t="s">
        <v>691</v>
      </c>
      <c r="U93">
        <v>3273</v>
      </c>
      <c r="W93">
        <v>4</v>
      </c>
      <c r="X93">
        <v>2014</v>
      </c>
      <c r="Z93">
        <v>1</v>
      </c>
      <c r="AC93" t="s">
        <v>115</v>
      </c>
      <c r="AD93">
        <v>3</v>
      </c>
      <c r="AE93" t="s">
        <v>115</v>
      </c>
      <c r="AH93" t="s">
        <v>116</v>
      </c>
      <c r="AI93" s="1">
        <v>139538</v>
      </c>
      <c r="AJ93" s="2">
        <v>0.28999999999999998</v>
      </c>
      <c r="AK93" s="1">
        <v>474906</v>
      </c>
      <c r="AL93" t="s">
        <v>117</v>
      </c>
      <c r="AM93" t="s">
        <v>917</v>
      </c>
      <c r="AN93">
        <v>9920</v>
      </c>
      <c r="AO93">
        <v>0.23</v>
      </c>
      <c r="AR93">
        <v>1</v>
      </c>
      <c r="AS93" s="1">
        <v>32380</v>
      </c>
      <c r="AT93" s="1">
        <v>6470</v>
      </c>
      <c r="AU93" s="1">
        <v>25910</v>
      </c>
      <c r="AV93">
        <v>80.02</v>
      </c>
      <c r="AX93" s="1">
        <v>3198.22</v>
      </c>
      <c r="AY93" t="s">
        <v>192</v>
      </c>
      <c r="AZ93" t="s">
        <v>193</v>
      </c>
      <c r="BA93" t="s">
        <v>194</v>
      </c>
      <c r="BE93" s="3">
        <v>41942</v>
      </c>
      <c r="BF93" s="1">
        <v>389969</v>
      </c>
      <c r="BG93" t="s">
        <v>209</v>
      </c>
      <c r="BH93" s="1">
        <v>119.15</v>
      </c>
      <c r="BI93" s="1">
        <v>335368</v>
      </c>
      <c r="BJ93" s="3">
        <v>42531</v>
      </c>
      <c r="BK93" t="s">
        <v>123</v>
      </c>
      <c r="BL93" t="str">
        <f>"2016.406438"</f>
        <v>2016.406438</v>
      </c>
      <c r="BM93" t="s">
        <v>361</v>
      </c>
      <c r="BO93" t="s">
        <v>918</v>
      </c>
      <c r="BS93">
        <v>30</v>
      </c>
      <c r="BW93" t="str">
        <f>""</f>
        <v/>
      </c>
      <c r="CH93" t="str">
        <f>""</f>
        <v/>
      </c>
      <c r="CS93" t="str">
        <f>""</f>
        <v/>
      </c>
    </row>
    <row r="94" spans="1:97" x14ac:dyDescent="0.25">
      <c r="A94" t="s">
        <v>711</v>
      </c>
      <c r="B94" t="s">
        <v>919</v>
      </c>
      <c r="C94" t="s">
        <v>920</v>
      </c>
      <c r="D94" t="s">
        <v>919</v>
      </c>
      <c r="E94" t="s">
        <v>921</v>
      </c>
      <c r="F94" t="s">
        <v>108</v>
      </c>
      <c r="H94" t="s">
        <v>922</v>
      </c>
      <c r="I94" t="s">
        <v>225</v>
      </c>
      <c r="J94" t="s">
        <v>111</v>
      </c>
      <c r="K94" t="str">
        <f>"85212"</f>
        <v>85212</v>
      </c>
      <c r="L94" t="s">
        <v>558</v>
      </c>
      <c r="M94" t="s">
        <v>922</v>
      </c>
      <c r="N94" t="s">
        <v>225</v>
      </c>
      <c r="O94" t="s">
        <v>111</v>
      </c>
      <c r="P94" t="str">
        <f>"85212-8140"</f>
        <v>85212-8140</v>
      </c>
      <c r="Q94" t="s">
        <v>113</v>
      </c>
      <c r="R94" t="str">
        <f>"304-50-582"</f>
        <v>304-50-582</v>
      </c>
      <c r="S94" t="s">
        <v>559</v>
      </c>
      <c r="U94">
        <v>2425</v>
      </c>
      <c r="W94">
        <v>4</v>
      </c>
      <c r="X94">
        <v>2015</v>
      </c>
      <c r="Z94">
        <v>1</v>
      </c>
      <c r="AC94" t="s">
        <v>115</v>
      </c>
      <c r="AD94">
        <v>3</v>
      </c>
      <c r="AE94" t="s">
        <v>115</v>
      </c>
      <c r="AH94" t="s">
        <v>116</v>
      </c>
      <c r="AI94" s="1">
        <v>81819</v>
      </c>
      <c r="AJ94" s="2">
        <v>0.21</v>
      </c>
      <c r="AK94" s="1">
        <v>395258</v>
      </c>
      <c r="AL94" t="s">
        <v>117</v>
      </c>
      <c r="AM94" t="s">
        <v>118</v>
      </c>
      <c r="AN94">
        <v>6909</v>
      </c>
      <c r="AO94">
        <v>0.16</v>
      </c>
      <c r="AR94">
        <v>1</v>
      </c>
      <c r="AS94" s="1">
        <v>28130</v>
      </c>
      <c r="AT94" s="1">
        <v>5620</v>
      </c>
      <c r="AU94" s="1">
        <v>22510</v>
      </c>
      <c r="AV94">
        <v>80.02</v>
      </c>
      <c r="AX94" s="1">
        <v>3772.4</v>
      </c>
      <c r="AY94" t="s">
        <v>560</v>
      </c>
      <c r="AZ94" t="s">
        <v>561</v>
      </c>
      <c r="BA94" t="s">
        <v>194</v>
      </c>
      <c r="BE94" s="3">
        <v>42199</v>
      </c>
      <c r="BF94" s="1">
        <v>313439</v>
      </c>
      <c r="BG94" t="s">
        <v>562</v>
      </c>
      <c r="BH94" s="1">
        <v>129.25</v>
      </c>
      <c r="BI94" s="1">
        <v>313439</v>
      </c>
      <c r="BJ94" s="3">
        <v>42199</v>
      </c>
      <c r="BK94" t="s">
        <v>123</v>
      </c>
      <c r="BL94" t="str">
        <f>"2015.504399"</f>
        <v>2015.504399</v>
      </c>
      <c r="BM94" t="s">
        <v>131</v>
      </c>
      <c r="BO94" t="s">
        <v>923</v>
      </c>
      <c r="BS94">
        <v>30</v>
      </c>
      <c r="BW94" t="str">
        <f>""</f>
        <v/>
      </c>
      <c r="CH94" t="str">
        <f>""</f>
        <v/>
      </c>
      <c r="CS94" t="str">
        <f>""</f>
        <v/>
      </c>
    </row>
    <row r="95" spans="1:97" x14ac:dyDescent="0.25">
      <c r="B95" t="s">
        <v>924</v>
      </c>
      <c r="E95" t="s">
        <v>924</v>
      </c>
      <c r="F95" t="s">
        <v>139</v>
      </c>
      <c r="H95" t="s">
        <v>925</v>
      </c>
      <c r="I95" t="s">
        <v>390</v>
      </c>
      <c r="J95" t="s">
        <v>111</v>
      </c>
      <c r="K95" t="str">
        <f>"85048"</f>
        <v>85048</v>
      </c>
      <c r="L95" t="s">
        <v>926</v>
      </c>
      <c r="Q95" t="s">
        <v>113</v>
      </c>
      <c r="R95" t="str">
        <f>"301-90-569"</f>
        <v>301-90-569</v>
      </c>
      <c r="S95" t="s">
        <v>927</v>
      </c>
      <c r="T95" t="s">
        <v>927</v>
      </c>
      <c r="U95">
        <v>1643</v>
      </c>
      <c r="W95">
        <v>3</v>
      </c>
      <c r="X95">
        <v>2013</v>
      </c>
      <c r="Z95">
        <v>1</v>
      </c>
      <c r="AC95" t="s">
        <v>115</v>
      </c>
      <c r="AD95">
        <v>2</v>
      </c>
      <c r="AE95" t="s">
        <v>115</v>
      </c>
      <c r="AH95" t="s">
        <v>116</v>
      </c>
      <c r="AI95" s="1">
        <v>52027</v>
      </c>
      <c r="AJ95" s="2">
        <v>0.15</v>
      </c>
      <c r="AK95" s="1">
        <v>337331</v>
      </c>
      <c r="AL95" t="s">
        <v>117</v>
      </c>
      <c r="AM95" t="s">
        <v>191</v>
      </c>
      <c r="AN95">
        <v>4378</v>
      </c>
      <c r="AO95">
        <v>0.1</v>
      </c>
      <c r="AR95">
        <v>1</v>
      </c>
      <c r="AS95" s="1">
        <v>23560</v>
      </c>
      <c r="AT95" s="1">
        <v>4710</v>
      </c>
      <c r="AU95" s="1">
        <v>18850</v>
      </c>
      <c r="AV95">
        <v>80.010000000000005</v>
      </c>
      <c r="AX95" s="1">
        <v>2049.2600000000002</v>
      </c>
      <c r="AY95" t="s">
        <v>928</v>
      </c>
      <c r="AZ95" t="s">
        <v>929</v>
      </c>
      <c r="BA95" t="s">
        <v>930</v>
      </c>
      <c r="BE95" s="3">
        <v>41698</v>
      </c>
      <c r="BF95" s="1">
        <v>276190</v>
      </c>
      <c r="BG95" t="s">
        <v>195</v>
      </c>
      <c r="BH95" s="1">
        <v>168.1</v>
      </c>
      <c r="BI95" s="1">
        <v>285304</v>
      </c>
      <c r="BJ95" s="3">
        <v>41698</v>
      </c>
      <c r="BK95" t="s">
        <v>123</v>
      </c>
      <c r="BL95" t="str">
        <f>"2014.133508"</f>
        <v>2014.133508</v>
      </c>
      <c r="BM95" t="s">
        <v>196</v>
      </c>
      <c r="BO95" t="s">
        <v>931</v>
      </c>
      <c r="BS95">
        <v>30</v>
      </c>
      <c r="BW95" t="str">
        <f>""</f>
        <v/>
      </c>
      <c r="CH95" t="str">
        <f>""</f>
        <v/>
      </c>
      <c r="CS95" t="str">
        <f>""</f>
        <v/>
      </c>
    </row>
    <row r="96" spans="1:97" x14ac:dyDescent="0.25">
      <c r="A96" t="s">
        <v>177</v>
      </c>
      <c r="B96" t="s">
        <v>932</v>
      </c>
      <c r="C96" t="s">
        <v>933</v>
      </c>
      <c r="D96" t="s">
        <v>932</v>
      </c>
      <c r="E96" t="s">
        <v>934</v>
      </c>
      <c r="F96" t="s">
        <v>108</v>
      </c>
      <c r="H96" t="s">
        <v>935</v>
      </c>
      <c r="I96" t="s">
        <v>144</v>
      </c>
      <c r="J96" t="s">
        <v>111</v>
      </c>
      <c r="K96" t="str">
        <f>"85396"</f>
        <v>85396</v>
      </c>
      <c r="L96" t="s">
        <v>439</v>
      </c>
      <c r="M96" t="s">
        <v>935</v>
      </c>
      <c r="N96" t="s">
        <v>144</v>
      </c>
      <c r="O96" t="s">
        <v>111</v>
      </c>
      <c r="P96" t="str">
        <f>"85396-2304"</f>
        <v>85396-2304</v>
      </c>
      <c r="Q96" t="s">
        <v>113</v>
      </c>
      <c r="R96" t="str">
        <f>"510-07-533"</f>
        <v>510-07-533</v>
      </c>
      <c r="S96" t="s">
        <v>443</v>
      </c>
      <c r="U96">
        <v>2105</v>
      </c>
      <c r="W96">
        <v>3</v>
      </c>
      <c r="X96">
        <v>2015</v>
      </c>
      <c r="Z96">
        <v>1</v>
      </c>
      <c r="AA96" t="s">
        <v>26</v>
      </c>
      <c r="AC96" t="s">
        <v>115</v>
      </c>
      <c r="AD96">
        <v>2</v>
      </c>
      <c r="AE96" t="s">
        <v>115</v>
      </c>
      <c r="AH96" t="s">
        <v>116</v>
      </c>
      <c r="AI96" s="1">
        <v>116437</v>
      </c>
      <c r="AJ96" s="2">
        <v>0.3</v>
      </c>
      <c r="AK96" s="1">
        <v>382951</v>
      </c>
      <c r="AL96" t="s">
        <v>117</v>
      </c>
      <c r="AM96" t="s">
        <v>118</v>
      </c>
      <c r="AN96">
        <v>8690</v>
      </c>
      <c r="AO96">
        <v>0.2</v>
      </c>
      <c r="AR96">
        <v>1</v>
      </c>
      <c r="AS96" s="1">
        <v>29410</v>
      </c>
      <c r="AT96" s="1">
        <v>5880</v>
      </c>
      <c r="AU96" s="1">
        <v>23530</v>
      </c>
      <c r="AV96">
        <v>80.010000000000005</v>
      </c>
      <c r="AX96" s="1">
        <v>2703.74</v>
      </c>
      <c r="AY96" t="s">
        <v>444</v>
      </c>
      <c r="AZ96" t="s">
        <v>444</v>
      </c>
      <c r="BA96" t="s">
        <v>445</v>
      </c>
      <c r="BE96" s="3">
        <v>42298</v>
      </c>
      <c r="BF96" s="1">
        <v>312798</v>
      </c>
      <c r="BG96" t="s">
        <v>446</v>
      </c>
      <c r="BH96" s="1">
        <v>148.6</v>
      </c>
      <c r="BI96" s="1">
        <v>266514</v>
      </c>
      <c r="BJ96" s="3">
        <v>42591</v>
      </c>
      <c r="BK96" t="s">
        <v>123</v>
      </c>
      <c r="BL96" t="str">
        <f>"2016.566126"</f>
        <v>2016.566126</v>
      </c>
      <c r="BM96" t="s">
        <v>936</v>
      </c>
      <c r="BO96" t="s">
        <v>937</v>
      </c>
      <c r="BS96">
        <v>30</v>
      </c>
      <c r="BW96" t="str">
        <f>""</f>
        <v/>
      </c>
      <c r="CH96" t="str">
        <f>""</f>
        <v/>
      </c>
      <c r="CS96" t="str">
        <f>""</f>
        <v/>
      </c>
    </row>
    <row r="97" spans="1:97" x14ac:dyDescent="0.25">
      <c r="A97" t="s">
        <v>938</v>
      </c>
      <c r="B97" t="s">
        <v>939</v>
      </c>
      <c r="C97" t="s">
        <v>466</v>
      </c>
      <c r="D97" t="s">
        <v>939</v>
      </c>
      <c r="E97" t="s">
        <v>940</v>
      </c>
      <c r="F97" t="s">
        <v>108</v>
      </c>
      <c r="H97" t="s">
        <v>941</v>
      </c>
      <c r="I97" t="s">
        <v>632</v>
      </c>
      <c r="J97" t="s">
        <v>111</v>
      </c>
      <c r="K97" t="str">
        <f>"85379"</f>
        <v>85379</v>
      </c>
      <c r="L97" t="s">
        <v>375</v>
      </c>
      <c r="M97" t="s">
        <v>941</v>
      </c>
      <c r="N97" t="s">
        <v>632</v>
      </c>
      <c r="O97" t="s">
        <v>111</v>
      </c>
      <c r="P97" t="str">
        <f>"85379-4280"</f>
        <v>85379-4280</v>
      </c>
      <c r="Q97" t="s">
        <v>113</v>
      </c>
      <c r="R97" t="str">
        <f>"509-11-725"</f>
        <v>509-11-725</v>
      </c>
      <c r="S97" t="s">
        <v>633</v>
      </c>
      <c r="U97">
        <v>1907</v>
      </c>
      <c r="W97">
        <v>3</v>
      </c>
      <c r="X97">
        <v>2015</v>
      </c>
      <c r="Z97">
        <v>1</v>
      </c>
      <c r="AC97" t="s">
        <v>115</v>
      </c>
      <c r="AD97">
        <v>2</v>
      </c>
      <c r="AE97" t="s">
        <v>115</v>
      </c>
      <c r="AH97" t="s">
        <v>116</v>
      </c>
      <c r="AI97" s="1">
        <v>58367</v>
      </c>
      <c r="AJ97" s="2">
        <v>0.19</v>
      </c>
      <c r="AK97" s="1">
        <v>306382</v>
      </c>
      <c r="AL97" t="s">
        <v>117</v>
      </c>
      <c r="AM97" t="s">
        <v>118</v>
      </c>
      <c r="AN97">
        <v>6897</v>
      </c>
      <c r="AO97">
        <v>0.16</v>
      </c>
      <c r="AR97">
        <v>1</v>
      </c>
      <c r="AS97" s="1">
        <v>22530</v>
      </c>
      <c r="AT97" s="1">
        <v>4500</v>
      </c>
      <c r="AU97" s="1">
        <v>18030</v>
      </c>
      <c r="AV97">
        <v>80.03</v>
      </c>
      <c r="AX97" s="1">
        <v>2763.18</v>
      </c>
      <c r="AY97" t="s">
        <v>634</v>
      </c>
      <c r="AZ97" t="s">
        <v>634</v>
      </c>
      <c r="BA97" t="s">
        <v>635</v>
      </c>
      <c r="BE97" s="3">
        <v>42146</v>
      </c>
      <c r="BF97" s="1">
        <v>242795</v>
      </c>
      <c r="BG97" t="s">
        <v>636</v>
      </c>
      <c r="BH97" s="1">
        <v>127.32</v>
      </c>
      <c r="BI97" s="1">
        <v>248015</v>
      </c>
      <c r="BJ97" s="3">
        <v>42146</v>
      </c>
      <c r="BK97" t="s">
        <v>123</v>
      </c>
      <c r="BL97" t="str">
        <f>"2015.366359"</f>
        <v>2015.366359</v>
      </c>
      <c r="BM97" t="s">
        <v>637</v>
      </c>
      <c r="BO97" t="s">
        <v>942</v>
      </c>
      <c r="BS97">
        <v>30</v>
      </c>
      <c r="BW97" t="str">
        <f>""</f>
        <v/>
      </c>
      <c r="CH97" t="str">
        <f>""</f>
        <v/>
      </c>
      <c r="CS97" t="str">
        <f>""</f>
        <v/>
      </c>
    </row>
    <row r="98" spans="1:97" x14ac:dyDescent="0.25">
      <c r="A98" t="s">
        <v>943</v>
      </c>
      <c r="B98" t="s">
        <v>944</v>
      </c>
      <c r="C98" t="s">
        <v>945</v>
      </c>
      <c r="D98" t="s">
        <v>944</v>
      </c>
      <c r="E98" t="s">
        <v>946</v>
      </c>
      <c r="F98" t="s">
        <v>108</v>
      </c>
      <c r="H98" t="s">
        <v>947</v>
      </c>
      <c r="I98" t="s">
        <v>188</v>
      </c>
      <c r="J98" t="s">
        <v>111</v>
      </c>
      <c r="K98" t="str">
        <f>"85142"</f>
        <v>85142</v>
      </c>
      <c r="L98" t="s">
        <v>688</v>
      </c>
      <c r="M98" t="s">
        <v>947</v>
      </c>
      <c r="N98" t="s">
        <v>188</v>
      </c>
      <c r="O98" t="s">
        <v>111</v>
      </c>
      <c r="P98" t="str">
        <f>"85142-9815"</f>
        <v>85142-9815</v>
      </c>
      <c r="Q98" t="s">
        <v>113</v>
      </c>
      <c r="R98" t="str">
        <f>"304-89-779"</f>
        <v>304-89-779</v>
      </c>
      <c r="S98" t="s">
        <v>690</v>
      </c>
      <c r="T98" t="s">
        <v>691</v>
      </c>
      <c r="U98">
        <v>4285</v>
      </c>
      <c r="W98">
        <v>6</v>
      </c>
      <c r="X98">
        <v>2014</v>
      </c>
      <c r="Z98">
        <v>2</v>
      </c>
      <c r="AA98" t="s">
        <v>26</v>
      </c>
      <c r="AC98" t="s">
        <v>115</v>
      </c>
      <c r="AD98">
        <v>3</v>
      </c>
      <c r="AE98" t="s">
        <v>115</v>
      </c>
      <c r="AH98" t="s">
        <v>116</v>
      </c>
      <c r="AI98" s="1">
        <v>171365</v>
      </c>
      <c r="AJ98" s="2">
        <v>0.32</v>
      </c>
      <c r="AK98" s="1">
        <v>535677</v>
      </c>
      <c r="AL98" t="s">
        <v>117</v>
      </c>
      <c r="AM98" t="s">
        <v>393</v>
      </c>
      <c r="AN98">
        <v>8400</v>
      </c>
      <c r="AO98">
        <v>0.19</v>
      </c>
      <c r="AR98">
        <v>1</v>
      </c>
      <c r="AS98" s="1">
        <v>36100</v>
      </c>
      <c r="AT98" s="1">
        <v>7220</v>
      </c>
      <c r="AU98" s="1">
        <v>28880</v>
      </c>
      <c r="AV98">
        <v>80</v>
      </c>
      <c r="AX98" s="1">
        <v>3256.94</v>
      </c>
      <c r="AY98" t="s">
        <v>192</v>
      </c>
      <c r="AZ98" t="s">
        <v>193</v>
      </c>
      <c r="BA98" t="s">
        <v>194</v>
      </c>
      <c r="BE98" s="3">
        <v>41865</v>
      </c>
      <c r="BF98" s="1">
        <v>358995</v>
      </c>
      <c r="BG98" t="s">
        <v>209</v>
      </c>
      <c r="BH98" s="1">
        <v>83.78</v>
      </c>
      <c r="BI98" s="1">
        <v>364312</v>
      </c>
      <c r="BJ98" s="3">
        <v>42454</v>
      </c>
      <c r="BK98" t="s">
        <v>123</v>
      </c>
      <c r="BL98" t="str">
        <f>"2016.193195"</f>
        <v>2016.193195</v>
      </c>
      <c r="BM98" t="s">
        <v>948</v>
      </c>
      <c r="BO98" t="s">
        <v>949</v>
      </c>
      <c r="BS98">
        <v>30</v>
      </c>
      <c r="BW98" t="str">
        <f>""</f>
        <v/>
      </c>
      <c r="CH98" t="str">
        <f>""</f>
        <v/>
      </c>
      <c r="CS98" t="str">
        <f>""</f>
        <v/>
      </c>
    </row>
    <row r="99" spans="1:97" x14ac:dyDescent="0.25">
      <c r="A99" t="s">
        <v>305</v>
      </c>
      <c r="B99" t="s">
        <v>950</v>
      </c>
      <c r="E99" t="s">
        <v>951</v>
      </c>
      <c r="F99" t="s">
        <v>108</v>
      </c>
      <c r="H99" t="s">
        <v>952</v>
      </c>
      <c r="I99" t="s">
        <v>203</v>
      </c>
      <c r="J99" t="s">
        <v>111</v>
      </c>
      <c r="K99" t="str">
        <f>"85298"</f>
        <v>85298</v>
      </c>
      <c r="L99" t="s">
        <v>284</v>
      </c>
      <c r="M99" t="s">
        <v>952</v>
      </c>
      <c r="N99" t="s">
        <v>203</v>
      </c>
      <c r="O99" t="s">
        <v>111</v>
      </c>
      <c r="P99" t="str">
        <f>"85298"</f>
        <v>85298</v>
      </c>
      <c r="Q99" t="s">
        <v>113</v>
      </c>
      <c r="R99" t="str">
        <f>"304-73-419"</f>
        <v>304-73-419</v>
      </c>
      <c r="S99" t="s">
        <v>953</v>
      </c>
      <c r="T99" t="s">
        <v>287</v>
      </c>
      <c r="U99">
        <v>2173</v>
      </c>
      <c r="W99">
        <v>3</v>
      </c>
      <c r="X99">
        <v>2015</v>
      </c>
      <c r="Z99">
        <v>1</v>
      </c>
      <c r="AC99" t="s">
        <v>115</v>
      </c>
      <c r="AD99">
        <v>3</v>
      </c>
      <c r="AE99" t="s">
        <v>115</v>
      </c>
      <c r="AH99" t="s">
        <v>116</v>
      </c>
      <c r="AI99" s="1">
        <v>87540</v>
      </c>
      <c r="AJ99" s="2">
        <v>0.22</v>
      </c>
      <c r="AK99" s="1">
        <v>404778</v>
      </c>
      <c r="AL99" t="s">
        <v>117</v>
      </c>
      <c r="AM99" t="s">
        <v>288</v>
      </c>
      <c r="AN99">
        <v>6091</v>
      </c>
      <c r="AO99">
        <v>0.14000000000000001</v>
      </c>
      <c r="AR99">
        <v>1</v>
      </c>
      <c r="AS99" s="1">
        <v>28170</v>
      </c>
      <c r="AT99" s="1">
        <v>5630</v>
      </c>
      <c r="AU99" s="1">
        <v>22540</v>
      </c>
      <c r="AV99">
        <v>80.010000000000005</v>
      </c>
      <c r="AX99" s="1">
        <v>2224.3000000000002</v>
      </c>
      <c r="AY99" t="s">
        <v>289</v>
      </c>
      <c r="AZ99" t="s">
        <v>289</v>
      </c>
      <c r="BA99" t="s">
        <v>290</v>
      </c>
      <c r="BE99" s="3">
        <v>42338</v>
      </c>
      <c r="BF99" s="1">
        <v>329000</v>
      </c>
      <c r="BG99" t="s">
        <v>954</v>
      </c>
      <c r="BH99" s="1">
        <v>151.4</v>
      </c>
      <c r="BI99" s="1">
        <v>317238</v>
      </c>
      <c r="BJ99" s="3">
        <v>42338</v>
      </c>
      <c r="BK99" t="s">
        <v>123</v>
      </c>
      <c r="BL99" t="str">
        <f>"2015.850136"</f>
        <v>2015.850136</v>
      </c>
      <c r="BM99" t="s">
        <v>955</v>
      </c>
      <c r="BO99" t="s">
        <v>956</v>
      </c>
      <c r="BS99">
        <v>30</v>
      </c>
      <c r="BW99" t="str">
        <f>""</f>
        <v/>
      </c>
      <c r="CH99" t="str">
        <f>""</f>
        <v/>
      </c>
      <c r="CS99" t="str">
        <f>""</f>
        <v/>
      </c>
    </row>
    <row r="100" spans="1:97" x14ac:dyDescent="0.25">
      <c r="A100" t="s">
        <v>957</v>
      </c>
      <c r="B100" t="s">
        <v>958</v>
      </c>
      <c r="C100" t="s">
        <v>251</v>
      </c>
      <c r="E100" t="s">
        <v>959</v>
      </c>
      <c r="F100" t="s">
        <v>108</v>
      </c>
      <c r="H100" t="s">
        <v>960</v>
      </c>
      <c r="I100" t="s">
        <v>225</v>
      </c>
      <c r="J100" t="s">
        <v>111</v>
      </c>
      <c r="K100" t="str">
        <f>"85212"</f>
        <v>85212</v>
      </c>
      <c r="L100" t="s">
        <v>567</v>
      </c>
      <c r="M100" t="s">
        <v>960</v>
      </c>
      <c r="N100" t="s">
        <v>225</v>
      </c>
      <c r="O100" t="s">
        <v>111</v>
      </c>
      <c r="P100" t="str">
        <f>"85212-9747"</f>
        <v>85212-9747</v>
      </c>
      <c r="Q100" t="s">
        <v>113</v>
      </c>
      <c r="R100" t="str">
        <f>"304-17-514"</f>
        <v>304-17-514</v>
      </c>
      <c r="S100" t="s">
        <v>568</v>
      </c>
      <c r="T100" t="s">
        <v>569</v>
      </c>
      <c r="U100">
        <v>2261</v>
      </c>
      <c r="W100">
        <v>5</v>
      </c>
      <c r="X100">
        <v>2014</v>
      </c>
      <c r="Z100">
        <v>2</v>
      </c>
      <c r="AC100" t="s">
        <v>115</v>
      </c>
      <c r="AD100">
        <v>2</v>
      </c>
      <c r="AE100" t="s">
        <v>115</v>
      </c>
      <c r="AH100" t="s">
        <v>116</v>
      </c>
      <c r="AI100" s="1">
        <v>86525</v>
      </c>
      <c r="AJ100" s="2">
        <v>0.24</v>
      </c>
      <c r="AK100" s="1">
        <v>366506</v>
      </c>
      <c r="AL100" t="s">
        <v>117</v>
      </c>
      <c r="AM100" t="s">
        <v>191</v>
      </c>
      <c r="AN100">
        <v>5750</v>
      </c>
      <c r="AO100">
        <v>0.13</v>
      </c>
      <c r="AR100">
        <v>1</v>
      </c>
      <c r="AS100" s="1">
        <v>26320</v>
      </c>
      <c r="AT100" s="1">
        <v>5260</v>
      </c>
      <c r="AU100" s="1">
        <v>21060</v>
      </c>
      <c r="AV100">
        <v>80.02</v>
      </c>
      <c r="AX100" s="1">
        <v>2202.5</v>
      </c>
      <c r="AY100" t="s">
        <v>570</v>
      </c>
      <c r="AZ100" t="s">
        <v>571</v>
      </c>
      <c r="BA100" t="s">
        <v>572</v>
      </c>
      <c r="BB100" s="3">
        <v>43021</v>
      </c>
      <c r="BD100" t="s">
        <v>157</v>
      </c>
      <c r="BE100" s="3">
        <v>41873</v>
      </c>
      <c r="BF100" s="1">
        <v>280190</v>
      </c>
      <c r="BG100" t="s">
        <v>195</v>
      </c>
      <c r="BH100" s="1">
        <v>123.92</v>
      </c>
      <c r="BI100" s="1">
        <v>279981</v>
      </c>
      <c r="BJ100" s="3">
        <v>42639</v>
      </c>
      <c r="BK100" t="s">
        <v>123</v>
      </c>
      <c r="BL100" t="str">
        <f>"2016.700083"</f>
        <v>2016.700083</v>
      </c>
      <c r="BM100" t="s">
        <v>196</v>
      </c>
      <c r="BO100" t="s">
        <v>961</v>
      </c>
      <c r="BS100">
        <v>30</v>
      </c>
      <c r="BW100" t="str">
        <f>""</f>
        <v/>
      </c>
      <c r="CH100" t="str">
        <f>""</f>
        <v/>
      </c>
      <c r="CS100" t="str">
        <f>""</f>
        <v/>
      </c>
    </row>
    <row r="101" spans="1:97" x14ac:dyDescent="0.25">
      <c r="A101" t="s">
        <v>962</v>
      </c>
      <c r="B101" t="s">
        <v>963</v>
      </c>
      <c r="C101" t="s">
        <v>365</v>
      </c>
      <c r="D101" t="s">
        <v>963</v>
      </c>
      <c r="E101" t="s">
        <v>964</v>
      </c>
      <c r="F101" t="s">
        <v>108</v>
      </c>
      <c r="H101" t="s">
        <v>965</v>
      </c>
      <c r="I101" t="s">
        <v>203</v>
      </c>
      <c r="J101" t="s">
        <v>111</v>
      </c>
      <c r="K101" t="str">
        <f>"85298"</f>
        <v>85298</v>
      </c>
      <c r="L101" t="s">
        <v>681</v>
      </c>
      <c r="M101" t="s">
        <v>965</v>
      </c>
      <c r="N101" t="s">
        <v>203</v>
      </c>
      <c r="O101" t="s">
        <v>111</v>
      </c>
      <c r="P101" t="str">
        <f>"85298-2233"</f>
        <v>85298-2233</v>
      </c>
      <c r="Q101" t="s">
        <v>113</v>
      </c>
      <c r="R101" t="str">
        <f>"304-88-346"</f>
        <v>304-88-346</v>
      </c>
      <c r="S101" t="s">
        <v>966</v>
      </c>
      <c r="T101" t="s">
        <v>287</v>
      </c>
      <c r="U101">
        <v>3498</v>
      </c>
      <c r="W101">
        <v>5</v>
      </c>
      <c r="X101">
        <v>2014</v>
      </c>
      <c r="Z101">
        <v>2</v>
      </c>
      <c r="AC101" t="s">
        <v>115</v>
      </c>
      <c r="AD101">
        <v>4</v>
      </c>
      <c r="AE101" t="s">
        <v>115</v>
      </c>
      <c r="AH101" t="s">
        <v>116</v>
      </c>
      <c r="AI101" s="1">
        <v>10352</v>
      </c>
      <c r="AJ101" s="2">
        <v>0.02</v>
      </c>
      <c r="AK101" s="1">
        <v>473877</v>
      </c>
      <c r="AL101" t="s">
        <v>117</v>
      </c>
      <c r="AM101" t="s">
        <v>288</v>
      </c>
      <c r="AN101">
        <v>10098</v>
      </c>
      <c r="AO101">
        <v>0.23</v>
      </c>
      <c r="AR101">
        <v>1</v>
      </c>
      <c r="AS101" s="1">
        <v>40900</v>
      </c>
      <c r="AT101" s="1">
        <v>8180</v>
      </c>
      <c r="AU101" s="1">
        <v>32720</v>
      </c>
      <c r="AV101">
        <v>80</v>
      </c>
      <c r="AX101" s="1">
        <v>3266.16</v>
      </c>
      <c r="AY101" t="s">
        <v>289</v>
      </c>
      <c r="AZ101" t="s">
        <v>289</v>
      </c>
      <c r="BA101" t="s">
        <v>290</v>
      </c>
      <c r="BE101" s="3">
        <v>41787</v>
      </c>
      <c r="BF101" s="1">
        <v>409990</v>
      </c>
      <c r="BG101" t="s">
        <v>446</v>
      </c>
      <c r="BH101" s="1">
        <v>117.21</v>
      </c>
      <c r="BI101" s="1">
        <v>463525</v>
      </c>
      <c r="BJ101" s="3">
        <v>43417</v>
      </c>
      <c r="BK101" t="s">
        <v>123</v>
      </c>
      <c r="BL101" t="str">
        <f>"2018.839519"</f>
        <v>2018.839519</v>
      </c>
      <c r="BM101" t="s">
        <v>460</v>
      </c>
      <c r="BN101" t="s">
        <v>461</v>
      </c>
      <c r="BO101" t="s">
        <v>967</v>
      </c>
      <c r="BP101" t="s">
        <v>968</v>
      </c>
      <c r="BR101" t="s">
        <v>139</v>
      </c>
      <c r="BT101" s="1">
        <v>463525</v>
      </c>
      <c r="BU101" s="3">
        <v>43417</v>
      </c>
      <c r="BV101" t="s">
        <v>123</v>
      </c>
      <c r="BW101" t="str">
        <f>"2018.839519"</f>
        <v>2018.839519</v>
      </c>
      <c r="BX101" t="s">
        <v>460</v>
      </c>
      <c r="BY101" t="s">
        <v>461</v>
      </c>
      <c r="BZ101" t="s">
        <v>967</v>
      </c>
      <c r="CA101" t="s">
        <v>968</v>
      </c>
      <c r="CC101" t="s">
        <v>139</v>
      </c>
      <c r="CH101" t="str">
        <f>""</f>
        <v/>
      </c>
      <c r="CS101" t="str">
        <f>""</f>
        <v/>
      </c>
    </row>
    <row r="102" spans="1:97" x14ac:dyDescent="0.25">
      <c r="A102" t="s">
        <v>639</v>
      </c>
      <c r="B102" t="s">
        <v>969</v>
      </c>
      <c r="C102" t="s">
        <v>970</v>
      </c>
      <c r="D102" t="s">
        <v>969</v>
      </c>
      <c r="E102" t="s">
        <v>971</v>
      </c>
      <c r="F102" t="s">
        <v>108</v>
      </c>
      <c r="H102" t="s">
        <v>972</v>
      </c>
      <c r="I102" t="s">
        <v>225</v>
      </c>
      <c r="J102" t="s">
        <v>111</v>
      </c>
      <c r="K102" t="str">
        <f>"85212"</f>
        <v>85212</v>
      </c>
      <c r="L102" t="s">
        <v>558</v>
      </c>
      <c r="M102" t="s">
        <v>972</v>
      </c>
      <c r="N102" t="s">
        <v>225</v>
      </c>
      <c r="O102" t="s">
        <v>111</v>
      </c>
      <c r="P102" t="str">
        <f>"85212-8074"</f>
        <v>85212-8074</v>
      </c>
      <c r="Q102" t="s">
        <v>113</v>
      </c>
      <c r="R102" t="str">
        <f>"304-50-358"</f>
        <v>304-50-358</v>
      </c>
      <c r="S102" t="s">
        <v>698</v>
      </c>
      <c r="U102">
        <v>2990</v>
      </c>
      <c r="W102">
        <v>4</v>
      </c>
      <c r="X102">
        <v>2015</v>
      </c>
      <c r="Z102">
        <v>1</v>
      </c>
      <c r="AC102" t="s">
        <v>115</v>
      </c>
      <c r="AD102">
        <v>3</v>
      </c>
      <c r="AE102" t="s">
        <v>115</v>
      </c>
      <c r="AH102" t="s">
        <v>116</v>
      </c>
      <c r="AI102" s="1">
        <v>99316</v>
      </c>
      <c r="AJ102" s="2">
        <v>0.21</v>
      </c>
      <c r="AK102" s="1">
        <v>474014</v>
      </c>
      <c r="AL102" t="s">
        <v>117</v>
      </c>
      <c r="AM102" t="s">
        <v>118</v>
      </c>
      <c r="AN102">
        <v>12206</v>
      </c>
      <c r="AO102">
        <v>0.28000000000000003</v>
      </c>
      <c r="AR102">
        <v>1</v>
      </c>
      <c r="AS102" s="1">
        <v>35050</v>
      </c>
      <c r="AT102" s="1">
        <v>7010</v>
      </c>
      <c r="AU102" s="1">
        <v>28040</v>
      </c>
      <c r="AV102">
        <v>80</v>
      </c>
      <c r="AX102" s="1">
        <v>4426.9799999999996</v>
      </c>
      <c r="AY102" t="s">
        <v>560</v>
      </c>
      <c r="AZ102" t="s">
        <v>561</v>
      </c>
      <c r="BA102" t="s">
        <v>194</v>
      </c>
      <c r="BE102" s="3">
        <v>42391</v>
      </c>
      <c r="BF102" s="1">
        <v>399289</v>
      </c>
      <c r="BG102" t="s">
        <v>973</v>
      </c>
      <c r="BH102" s="1">
        <v>133.54</v>
      </c>
      <c r="BI102" s="1">
        <v>374698</v>
      </c>
      <c r="BJ102" s="3">
        <v>42627</v>
      </c>
      <c r="BK102" t="s">
        <v>123</v>
      </c>
      <c r="BL102" t="str">
        <f>"2016.666363"</f>
        <v>2016.666363</v>
      </c>
      <c r="BM102" t="s">
        <v>402</v>
      </c>
      <c r="BO102" t="s">
        <v>974</v>
      </c>
      <c r="BS102">
        <v>30</v>
      </c>
      <c r="BW102" t="str">
        <f>""</f>
        <v/>
      </c>
      <c r="CH102" t="str">
        <f>""</f>
        <v/>
      </c>
      <c r="CS102" t="str">
        <f>""</f>
        <v/>
      </c>
    </row>
    <row r="103" spans="1:97" x14ac:dyDescent="0.25">
      <c r="A103" t="s">
        <v>815</v>
      </c>
      <c r="B103" t="s">
        <v>975</v>
      </c>
      <c r="C103" t="s">
        <v>976</v>
      </c>
      <c r="D103" t="s">
        <v>975</v>
      </c>
      <c r="E103" t="s">
        <v>977</v>
      </c>
      <c r="F103" t="s">
        <v>108</v>
      </c>
      <c r="H103" t="s">
        <v>978</v>
      </c>
      <c r="I103" t="s">
        <v>203</v>
      </c>
      <c r="J103" t="s">
        <v>111</v>
      </c>
      <c r="K103" t="str">
        <f>"85297"</f>
        <v>85297</v>
      </c>
      <c r="L103" t="s">
        <v>901</v>
      </c>
      <c r="M103" t="s">
        <v>978</v>
      </c>
      <c r="N103" t="s">
        <v>203</v>
      </c>
      <c r="O103" t="s">
        <v>111</v>
      </c>
      <c r="P103" t="str">
        <f>"85297-3102"</f>
        <v>85297-3102</v>
      </c>
      <c r="Q103" t="s">
        <v>113</v>
      </c>
      <c r="R103" t="str">
        <f>"304-73-890"</f>
        <v>304-73-890</v>
      </c>
      <c r="S103" t="s">
        <v>902</v>
      </c>
      <c r="T103" t="s">
        <v>902</v>
      </c>
      <c r="U103">
        <v>2027</v>
      </c>
      <c r="W103">
        <v>3</v>
      </c>
      <c r="X103">
        <v>2015</v>
      </c>
      <c r="Z103">
        <v>1</v>
      </c>
      <c r="AC103" t="s">
        <v>115</v>
      </c>
      <c r="AD103">
        <v>2</v>
      </c>
      <c r="AE103" t="s">
        <v>115</v>
      </c>
      <c r="AH103" t="s">
        <v>116</v>
      </c>
      <c r="AI103" s="1">
        <v>96554</v>
      </c>
      <c r="AJ103" s="2">
        <v>0.24</v>
      </c>
      <c r="AK103" s="1">
        <v>394554</v>
      </c>
      <c r="AL103" t="s">
        <v>117</v>
      </c>
      <c r="AM103" t="s">
        <v>979</v>
      </c>
      <c r="AN103">
        <v>6710</v>
      </c>
      <c r="AO103">
        <v>0.15</v>
      </c>
      <c r="AR103">
        <v>1</v>
      </c>
      <c r="AS103" s="1">
        <v>28160</v>
      </c>
      <c r="AT103" s="1">
        <v>5630</v>
      </c>
      <c r="AU103" s="1">
        <v>22530</v>
      </c>
      <c r="AV103">
        <v>80.010000000000005</v>
      </c>
      <c r="AX103" s="1">
        <v>2001.36</v>
      </c>
      <c r="AY103" t="s">
        <v>302</v>
      </c>
      <c r="AZ103" t="s">
        <v>273</v>
      </c>
      <c r="BA103" t="s">
        <v>303</v>
      </c>
      <c r="BE103" s="3">
        <v>42164</v>
      </c>
      <c r="BF103" s="1">
        <v>321021</v>
      </c>
      <c r="BG103" t="s">
        <v>275</v>
      </c>
      <c r="BH103" s="1">
        <v>158.37</v>
      </c>
      <c r="BI103" s="1">
        <v>263000</v>
      </c>
      <c r="BJ103" s="3">
        <v>43066</v>
      </c>
      <c r="BK103" t="s">
        <v>123</v>
      </c>
      <c r="BL103" t="str">
        <f>"2017.873378"</f>
        <v>2017.873378</v>
      </c>
      <c r="BM103" t="s">
        <v>980</v>
      </c>
      <c r="BN103">
        <v>92780</v>
      </c>
      <c r="BO103" t="s">
        <v>981</v>
      </c>
      <c r="BS103">
        <v>30</v>
      </c>
      <c r="BT103" s="1">
        <v>35000</v>
      </c>
      <c r="BU103" s="3">
        <v>43334</v>
      </c>
      <c r="BW103" t="str">
        <f>"2018.635620"</f>
        <v>2018.635620</v>
      </c>
      <c r="BX103" t="s">
        <v>383</v>
      </c>
      <c r="BY103" t="s">
        <v>384</v>
      </c>
      <c r="BZ103" t="s">
        <v>982</v>
      </c>
      <c r="CA103" t="s">
        <v>983</v>
      </c>
      <c r="CC103" t="s">
        <v>346</v>
      </c>
      <c r="CH103" t="str">
        <f>""</f>
        <v/>
      </c>
      <c r="CS103" t="str">
        <f>""</f>
        <v/>
      </c>
    </row>
    <row r="104" spans="1:97" x14ac:dyDescent="0.25">
      <c r="A104" t="s">
        <v>984</v>
      </c>
      <c r="B104" t="s">
        <v>985</v>
      </c>
      <c r="C104" t="s">
        <v>986</v>
      </c>
      <c r="D104" t="s">
        <v>985</v>
      </c>
      <c r="E104" t="s">
        <v>987</v>
      </c>
      <c r="F104" t="s">
        <v>108</v>
      </c>
      <c r="H104" t="s">
        <v>988</v>
      </c>
      <c r="I104" t="s">
        <v>203</v>
      </c>
      <c r="J104" t="s">
        <v>111</v>
      </c>
      <c r="K104" t="str">
        <f>"85298"</f>
        <v>85298</v>
      </c>
      <c r="L104" t="s">
        <v>284</v>
      </c>
      <c r="M104" t="s">
        <v>988</v>
      </c>
      <c r="N104" t="s">
        <v>203</v>
      </c>
      <c r="O104" t="s">
        <v>111</v>
      </c>
      <c r="P104" t="str">
        <f>"85298"</f>
        <v>85298</v>
      </c>
      <c r="Q104" t="s">
        <v>113</v>
      </c>
      <c r="R104" t="str">
        <f>"304-73-420"</f>
        <v>304-73-420</v>
      </c>
      <c r="S104" t="s">
        <v>953</v>
      </c>
      <c r="T104" t="s">
        <v>287</v>
      </c>
      <c r="U104">
        <v>2063</v>
      </c>
      <c r="W104">
        <v>3</v>
      </c>
      <c r="X104">
        <v>2015</v>
      </c>
      <c r="Z104">
        <v>1</v>
      </c>
      <c r="AA104" t="s">
        <v>26</v>
      </c>
      <c r="AC104" t="s">
        <v>115</v>
      </c>
      <c r="AD104">
        <v>3</v>
      </c>
      <c r="AE104" t="s">
        <v>115</v>
      </c>
      <c r="AH104" t="s">
        <v>116</v>
      </c>
      <c r="AI104" s="1">
        <v>110199</v>
      </c>
      <c r="AJ104" s="2">
        <v>0.27</v>
      </c>
      <c r="AK104" s="1">
        <v>411487</v>
      </c>
      <c r="AL104" t="s">
        <v>117</v>
      </c>
      <c r="AM104" t="s">
        <v>288</v>
      </c>
      <c r="AN104">
        <v>6323</v>
      </c>
      <c r="AO104">
        <v>0.14000000000000001</v>
      </c>
      <c r="AR104">
        <v>1</v>
      </c>
      <c r="AS104" s="1">
        <v>28870</v>
      </c>
      <c r="AT104" s="1">
        <v>5770</v>
      </c>
      <c r="AU104" s="1">
        <v>23100</v>
      </c>
      <c r="AV104">
        <v>80.010000000000005</v>
      </c>
      <c r="AX104" s="1">
        <v>2235.1</v>
      </c>
      <c r="AY104" t="s">
        <v>289</v>
      </c>
      <c r="AZ104" t="s">
        <v>289</v>
      </c>
      <c r="BA104" t="s">
        <v>290</v>
      </c>
      <c r="BE104" s="3">
        <v>42205</v>
      </c>
      <c r="BF104" s="1">
        <v>301288</v>
      </c>
      <c r="BG104" t="s">
        <v>954</v>
      </c>
      <c r="BH104" s="1">
        <v>146.04</v>
      </c>
      <c r="BI104" s="1">
        <v>301288</v>
      </c>
      <c r="BJ104" s="3">
        <v>42205</v>
      </c>
      <c r="BK104" t="s">
        <v>123</v>
      </c>
      <c r="BL104" t="str">
        <f>"2015.519292"</f>
        <v>2015.519292</v>
      </c>
      <c r="BM104" t="s">
        <v>175</v>
      </c>
      <c r="BO104" t="s">
        <v>989</v>
      </c>
      <c r="BS104">
        <v>30</v>
      </c>
      <c r="BW104" t="str">
        <f>""</f>
        <v/>
      </c>
      <c r="CH104" t="str">
        <f>""</f>
        <v/>
      </c>
      <c r="CS104" t="str">
        <f>""</f>
        <v/>
      </c>
    </row>
    <row r="105" spans="1:97" x14ac:dyDescent="0.25">
      <c r="A105" t="s">
        <v>990</v>
      </c>
      <c r="B105" t="s">
        <v>991</v>
      </c>
      <c r="C105" t="s">
        <v>992</v>
      </c>
      <c r="D105" t="s">
        <v>991</v>
      </c>
      <c r="E105" t="s">
        <v>993</v>
      </c>
      <c r="F105" t="s">
        <v>108</v>
      </c>
      <c r="H105" t="s">
        <v>994</v>
      </c>
      <c r="I105" t="s">
        <v>225</v>
      </c>
      <c r="J105" t="s">
        <v>111</v>
      </c>
      <c r="K105" t="str">
        <f>"85212"</f>
        <v>85212</v>
      </c>
      <c r="L105" t="s">
        <v>567</v>
      </c>
      <c r="M105" t="s">
        <v>994</v>
      </c>
      <c r="N105" t="s">
        <v>225</v>
      </c>
      <c r="O105" t="s">
        <v>111</v>
      </c>
      <c r="P105" t="str">
        <f>"85212-9732"</f>
        <v>85212-9732</v>
      </c>
      <c r="R105" t="str">
        <f>"304-17-466"</f>
        <v>304-17-466</v>
      </c>
      <c r="S105" t="s">
        <v>568</v>
      </c>
      <c r="T105" t="s">
        <v>569</v>
      </c>
      <c r="U105">
        <v>2448</v>
      </c>
      <c r="W105">
        <v>4</v>
      </c>
      <c r="X105">
        <v>2015</v>
      </c>
      <c r="Z105">
        <v>1</v>
      </c>
      <c r="AA105" t="s">
        <v>26</v>
      </c>
      <c r="AC105" t="s">
        <v>115</v>
      </c>
      <c r="AD105">
        <v>3</v>
      </c>
      <c r="AE105" t="s">
        <v>115</v>
      </c>
      <c r="AH105" t="s">
        <v>116</v>
      </c>
      <c r="AI105" s="1">
        <v>-304854</v>
      </c>
      <c r="AJ105" s="2">
        <v>-0.74</v>
      </c>
      <c r="AK105" s="1">
        <v>413828</v>
      </c>
      <c r="AL105" t="s">
        <v>117</v>
      </c>
      <c r="AM105" t="s">
        <v>393</v>
      </c>
      <c r="AN105">
        <v>7200</v>
      </c>
      <c r="AO105">
        <v>0.16</v>
      </c>
      <c r="AR105">
        <v>1</v>
      </c>
      <c r="AS105" s="1">
        <v>31360</v>
      </c>
      <c r="AT105" s="1">
        <v>6270</v>
      </c>
      <c r="AU105" s="1">
        <v>25090</v>
      </c>
      <c r="AV105">
        <v>80.010000000000005</v>
      </c>
      <c r="AX105" s="1">
        <v>2014.82</v>
      </c>
      <c r="AY105" t="s">
        <v>570</v>
      </c>
      <c r="AZ105" t="s">
        <v>571</v>
      </c>
      <c r="BA105" t="s">
        <v>572</v>
      </c>
      <c r="BE105" s="3">
        <v>42270</v>
      </c>
      <c r="BF105" s="1">
        <v>358834</v>
      </c>
      <c r="BG105" t="s">
        <v>446</v>
      </c>
      <c r="BH105" s="1">
        <v>146.58000000000001</v>
      </c>
      <c r="BI105" s="1">
        <v>359341</v>
      </c>
      <c r="BJ105" s="3">
        <v>42531</v>
      </c>
      <c r="BK105" t="s">
        <v>123</v>
      </c>
      <c r="BL105" t="str">
        <f>"2016.402971"</f>
        <v>2016.402971</v>
      </c>
      <c r="BM105" t="s">
        <v>135</v>
      </c>
      <c r="BN105" t="s">
        <v>136</v>
      </c>
      <c r="BO105" t="s">
        <v>995</v>
      </c>
      <c r="BS105">
        <v>30</v>
      </c>
      <c r="BT105" s="1">
        <v>359341</v>
      </c>
      <c r="BU105" s="3">
        <v>42808</v>
      </c>
      <c r="BV105" t="s">
        <v>123</v>
      </c>
      <c r="BW105" t="str">
        <f>"2017.180264"</f>
        <v>2017.180264</v>
      </c>
      <c r="BX105" t="s">
        <v>135</v>
      </c>
      <c r="BY105" t="s">
        <v>136</v>
      </c>
      <c r="BZ105" t="s">
        <v>995</v>
      </c>
      <c r="CD105">
        <v>30</v>
      </c>
      <c r="CE105" s="1">
        <v>359341</v>
      </c>
      <c r="CF105" s="3">
        <v>42808</v>
      </c>
      <c r="CG105" t="s">
        <v>123</v>
      </c>
      <c r="CH105" t="str">
        <f>"2017.180264"</f>
        <v>2017.180264</v>
      </c>
      <c r="CI105" t="s">
        <v>135</v>
      </c>
      <c r="CJ105" t="s">
        <v>136</v>
      </c>
      <c r="CK105" t="s">
        <v>995</v>
      </c>
      <c r="CO105">
        <v>30</v>
      </c>
      <c r="CS105" t="str">
        <f>""</f>
        <v/>
      </c>
    </row>
    <row r="106" spans="1:97" x14ac:dyDescent="0.25">
      <c r="A106" t="s">
        <v>996</v>
      </c>
      <c r="B106" t="s">
        <v>997</v>
      </c>
      <c r="C106" t="s">
        <v>998</v>
      </c>
      <c r="D106" t="s">
        <v>999</v>
      </c>
      <c r="E106" t="s">
        <v>1000</v>
      </c>
      <c r="F106" t="s">
        <v>108</v>
      </c>
      <c r="H106" t="s">
        <v>1001</v>
      </c>
      <c r="I106" t="s">
        <v>390</v>
      </c>
      <c r="J106" t="s">
        <v>111</v>
      </c>
      <c r="K106" t="str">
        <f>"85048"</f>
        <v>85048</v>
      </c>
      <c r="L106" t="s">
        <v>926</v>
      </c>
      <c r="M106" t="s">
        <v>1001</v>
      </c>
      <c r="N106" t="s">
        <v>390</v>
      </c>
      <c r="O106" t="s">
        <v>111</v>
      </c>
      <c r="P106" t="str">
        <f>"85048"</f>
        <v>85048</v>
      </c>
      <c r="Q106" t="s">
        <v>113</v>
      </c>
      <c r="R106" t="str">
        <f>"301-90-537"</f>
        <v>301-90-537</v>
      </c>
      <c r="S106" t="s">
        <v>927</v>
      </c>
      <c r="T106" t="s">
        <v>927</v>
      </c>
      <c r="U106">
        <v>2249</v>
      </c>
      <c r="W106">
        <v>5</v>
      </c>
      <c r="X106">
        <v>2013</v>
      </c>
      <c r="Z106">
        <v>2</v>
      </c>
      <c r="AC106" t="s">
        <v>115</v>
      </c>
      <c r="AD106">
        <v>2</v>
      </c>
      <c r="AE106" t="s">
        <v>115</v>
      </c>
      <c r="AH106" t="s">
        <v>116</v>
      </c>
      <c r="AI106" s="1">
        <v>117805</v>
      </c>
      <c r="AJ106" s="2">
        <v>0.28999999999999998</v>
      </c>
      <c r="AK106" s="1">
        <v>411622</v>
      </c>
      <c r="AL106" t="s">
        <v>117</v>
      </c>
      <c r="AM106" t="s">
        <v>191</v>
      </c>
      <c r="AN106">
        <v>4365</v>
      </c>
      <c r="AO106">
        <v>0.1</v>
      </c>
      <c r="AR106">
        <v>1</v>
      </c>
      <c r="AS106" s="1">
        <v>28080</v>
      </c>
      <c r="AT106" s="1">
        <v>5610</v>
      </c>
      <c r="AU106" s="1">
        <v>22470</v>
      </c>
      <c r="AV106">
        <v>80.02</v>
      </c>
      <c r="AX106" s="1">
        <v>2544.06</v>
      </c>
      <c r="AY106" t="s">
        <v>928</v>
      </c>
      <c r="AZ106" t="s">
        <v>929</v>
      </c>
      <c r="BA106" t="s">
        <v>930</v>
      </c>
      <c r="BE106" s="3">
        <v>41701</v>
      </c>
      <c r="BF106" s="1">
        <v>325190</v>
      </c>
      <c r="BG106" t="s">
        <v>195</v>
      </c>
      <c r="BH106" s="1">
        <v>144.59</v>
      </c>
      <c r="BI106" s="1">
        <v>293817</v>
      </c>
      <c r="BJ106" s="3">
        <v>41701</v>
      </c>
      <c r="BK106" t="s">
        <v>123</v>
      </c>
      <c r="BL106" t="str">
        <f>"2014.134955"</f>
        <v>2014.134955</v>
      </c>
      <c r="BM106" t="s">
        <v>196</v>
      </c>
      <c r="BO106" t="s">
        <v>1002</v>
      </c>
      <c r="BP106" t="s">
        <v>1003</v>
      </c>
      <c r="BS106">
        <v>30</v>
      </c>
      <c r="BW106" t="str">
        <f>""</f>
        <v/>
      </c>
      <c r="CH106" t="str">
        <f>""</f>
        <v/>
      </c>
      <c r="CS106" t="str">
        <f>""</f>
        <v/>
      </c>
    </row>
    <row r="107" spans="1:97" x14ac:dyDescent="0.25">
      <c r="A107" t="s">
        <v>815</v>
      </c>
      <c r="B107" t="s">
        <v>1004</v>
      </c>
      <c r="C107" t="s">
        <v>1005</v>
      </c>
      <c r="D107" t="s">
        <v>1004</v>
      </c>
      <c r="E107" t="s">
        <v>1006</v>
      </c>
      <c r="F107" t="s">
        <v>108</v>
      </c>
      <c r="H107" t="s">
        <v>1007</v>
      </c>
      <c r="I107" t="s">
        <v>203</v>
      </c>
      <c r="J107" t="s">
        <v>111</v>
      </c>
      <c r="K107" t="str">
        <f>"85298"</f>
        <v>85298</v>
      </c>
      <c r="L107" t="s">
        <v>269</v>
      </c>
      <c r="M107" t="s">
        <v>1007</v>
      </c>
      <c r="N107" t="s">
        <v>203</v>
      </c>
      <c r="O107" t="s">
        <v>111</v>
      </c>
      <c r="P107" t="str">
        <f>"85298"</f>
        <v>85298</v>
      </c>
      <c r="Q107" t="s">
        <v>113</v>
      </c>
      <c r="R107" t="str">
        <f>"304-86-637"</f>
        <v>304-86-637</v>
      </c>
      <c r="S107" t="s">
        <v>862</v>
      </c>
      <c r="T107" t="s">
        <v>271</v>
      </c>
      <c r="U107">
        <v>1959</v>
      </c>
      <c r="W107">
        <v>4</v>
      </c>
      <c r="X107">
        <v>2015</v>
      </c>
      <c r="Z107">
        <v>1</v>
      </c>
      <c r="AC107" t="s">
        <v>115</v>
      </c>
      <c r="AD107">
        <v>3</v>
      </c>
      <c r="AE107" t="s">
        <v>115</v>
      </c>
      <c r="AH107" t="s">
        <v>116</v>
      </c>
      <c r="AI107" s="1">
        <v>80997</v>
      </c>
      <c r="AJ107" s="2">
        <v>0.21</v>
      </c>
      <c r="AK107" s="1">
        <v>381784</v>
      </c>
      <c r="AL107" t="s">
        <v>117</v>
      </c>
      <c r="AM107" t="s">
        <v>393</v>
      </c>
      <c r="AN107">
        <v>6287</v>
      </c>
      <c r="AO107">
        <v>0.14000000000000001</v>
      </c>
      <c r="AR107">
        <v>1</v>
      </c>
      <c r="AS107" s="1">
        <v>26710</v>
      </c>
      <c r="AT107" s="1">
        <v>5340</v>
      </c>
      <c r="AU107" s="1">
        <v>21370</v>
      </c>
      <c r="AV107">
        <v>80.010000000000005</v>
      </c>
      <c r="AX107" s="1">
        <v>2015.56</v>
      </c>
      <c r="AY107" t="s">
        <v>272</v>
      </c>
      <c r="AZ107" t="s">
        <v>273</v>
      </c>
      <c r="BA107" t="s">
        <v>274</v>
      </c>
      <c r="BE107" s="3">
        <v>42130</v>
      </c>
      <c r="BF107" s="1">
        <v>301210</v>
      </c>
      <c r="BG107" t="s">
        <v>275</v>
      </c>
      <c r="BH107" s="1">
        <v>153.76</v>
      </c>
      <c r="BI107" s="1">
        <v>300787</v>
      </c>
      <c r="BJ107" s="3">
        <v>42930</v>
      </c>
      <c r="BK107" t="s">
        <v>123</v>
      </c>
      <c r="BL107" t="str">
        <f>"2017.514336"</f>
        <v>2017.514336</v>
      </c>
      <c r="BM107" t="s">
        <v>340</v>
      </c>
      <c r="BN107">
        <v>8054</v>
      </c>
      <c r="BO107" t="s">
        <v>1008</v>
      </c>
      <c r="BS107">
        <v>29</v>
      </c>
      <c r="BW107" t="str">
        <f>""</f>
        <v/>
      </c>
      <c r="CH107" t="str">
        <f>""</f>
        <v/>
      </c>
      <c r="CS107" t="str">
        <f>""</f>
        <v/>
      </c>
    </row>
    <row r="108" spans="1:97" x14ac:dyDescent="0.25">
      <c r="A108" t="s">
        <v>1009</v>
      </c>
      <c r="B108" t="s">
        <v>1010</v>
      </c>
      <c r="C108" t="s">
        <v>1011</v>
      </c>
      <c r="D108" t="s">
        <v>1010</v>
      </c>
      <c r="E108" t="s">
        <v>1012</v>
      </c>
      <c r="F108" t="s">
        <v>108</v>
      </c>
      <c r="H108" t="s">
        <v>1013</v>
      </c>
      <c r="I108" t="s">
        <v>225</v>
      </c>
      <c r="J108" t="s">
        <v>111</v>
      </c>
      <c r="K108" t="str">
        <f>"85212"</f>
        <v>85212</v>
      </c>
      <c r="L108" t="s">
        <v>558</v>
      </c>
      <c r="M108" t="s">
        <v>1013</v>
      </c>
      <c r="N108" t="s">
        <v>225</v>
      </c>
      <c r="O108" t="s">
        <v>111</v>
      </c>
      <c r="P108" t="str">
        <f>"85212-8026"</f>
        <v>85212-8026</v>
      </c>
      <c r="Q108" t="s">
        <v>113</v>
      </c>
      <c r="R108" t="str">
        <f>"304-50-124"</f>
        <v>304-50-124</v>
      </c>
      <c r="S108" t="s">
        <v>1014</v>
      </c>
      <c r="U108">
        <v>2104</v>
      </c>
      <c r="W108">
        <v>4</v>
      </c>
      <c r="X108">
        <v>2016</v>
      </c>
      <c r="Z108">
        <v>1</v>
      </c>
      <c r="AC108" t="s">
        <v>115</v>
      </c>
      <c r="AD108">
        <v>3</v>
      </c>
      <c r="AE108" t="s">
        <v>115</v>
      </c>
      <c r="AH108" t="s">
        <v>116</v>
      </c>
      <c r="AI108" s="1">
        <v>59373</v>
      </c>
      <c r="AJ108" s="2">
        <v>0.16</v>
      </c>
      <c r="AK108" s="1">
        <v>360729</v>
      </c>
      <c r="AL108" t="s">
        <v>117</v>
      </c>
      <c r="AM108" t="s">
        <v>118</v>
      </c>
      <c r="AN108">
        <v>7380</v>
      </c>
      <c r="AO108">
        <v>0.17</v>
      </c>
      <c r="AR108">
        <v>1</v>
      </c>
      <c r="AS108" s="1">
        <v>25620</v>
      </c>
      <c r="AT108" s="1">
        <v>5120</v>
      </c>
      <c r="AU108" s="1">
        <v>20500</v>
      </c>
      <c r="AV108">
        <v>80.02</v>
      </c>
      <c r="AX108" s="1">
        <v>3409.84</v>
      </c>
      <c r="AY108" t="s">
        <v>560</v>
      </c>
      <c r="AZ108" t="s">
        <v>561</v>
      </c>
      <c r="BA108" t="s">
        <v>194</v>
      </c>
      <c r="BE108" s="3">
        <v>42522</v>
      </c>
      <c r="BF108" s="1">
        <v>291729</v>
      </c>
      <c r="BG108" t="s">
        <v>636</v>
      </c>
      <c r="BH108" s="1">
        <v>138.65</v>
      </c>
      <c r="BI108" s="1">
        <v>301356</v>
      </c>
      <c r="BJ108" s="3">
        <v>42522</v>
      </c>
      <c r="BK108" t="s">
        <v>123</v>
      </c>
      <c r="BL108" t="str">
        <f>"2016.378031"</f>
        <v>2016.378031</v>
      </c>
      <c r="BM108" t="s">
        <v>637</v>
      </c>
      <c r="BO108" t="s">
        <v>1015</v>
      </c>
      <c r="BS108">
        <v>30</v>
      </c>
      <c r="BW108" t="str">
        <f>""</f>
        <v/>
      </c>
      <c r="CH108" t="str">
        <f>""</f>
        <v/>
      </c>
      <c r="CS108" t="str">
        <f>""</f>
        <v/>
      </c>
    </row>
    <row r="109" spans="1:97" x14ac:dyDescent="0.25">
      <c r="A109" t="s">
        <v>353</v>
      </c>
      <c r="B109" t="s">
        <v>1016</v>
      </c>
      <c r="C109" t="s">
        <v>1017</v>
      </c>
      <c r="D109" t="s">
        <v>1016</v>
      </c>
      <c r="E109" t="s">
        <v>1018</v>
      </c>
      <c r="F109" t="s">
        <v>108</v>
      </c>
      <c r="H109" t="s">
        <v>1019</v>
      </c>
      <c r="I109" t="s">
        <v>225</v>
      </c>
      <c r="J109" t="s">
        <v>111</v>
      </c>
      <c r="K109" t="str">
        <f>"85212"</f>
        <v>85212</v>
      </c>
      <c r="L109" t="s">
        <v>558</v>
      </c>
      <c r="M109" t="s">
        <v>1019</v>
      </c>
      <c r="N109" t="s">
        <v>225</v>
      </c>
      <c r="O109" t="s">
        <v>111</v>
      </c>
      <c r="P109" t="str">
        <f>"85212-8023"</f>
        <v>85212-8023</v>
      </c>
      <c r="Q109" t="s">
        <v>113</v>
      </c>
      <c r="R109" t="str">
        <f>"304-50-114"</f>
        <v>304-50-114</v>
      </c>
      <c r="S109" t="s">
        <v>1014</v>
      </c>
      <c r="U109">
        <v>2444</v>
      </c>
      <c r="W109">
        <v>4</v>
      </c>
      <c r="X109">
        <v>2015</v>
      </c>
      <c r="Z109">
        <v>1</v>
      </c>
      <c r="AA109" t="s">
        <v>26</v>
      </c>
      <c r="AC109" t="s">
        <v>115</v>
      </c>
      <c r="AD109">
        <v>3</v>
      </c>
      <c r="AE109" t="s">
        <v>115</v>
      </c>
      <c r="AH109" t="s">
        <v>116</v>
      </c>
      <c r="AI109" s="1">
        <v>149876</v>
      </c>
      <c r="AJ109" s="2">
        <v>0.35</v>
      </c>
      <c r="AK109" s="1">
        <v>425000</v>
      </c>
      <c r="AL109" t="s">
        <v>117</v>
      </c>
      <c r="AM109" t="s">
        <v>118</v>
      </c>
      <c r="AN109">
        <v>12029</v>
      </c>
      <c r="AO109">
        <v>0.28000000000000003</v>
      </c>
      <c r="AR109">
        <v>1</v>
      </c>
      <c r="AS109" s="1">
        <v>31520</v>
      </c>
      <c r="AT109" s="1">
        <v>6300</v>
      </c>
      <c r="AU109" s="1">
        <v>25220</v>
      </c>
      <c r="AV109">
        <v>80.010000000000005</v>
      </c>
      <c r="AX109" s="1">
        <v>4168.4399999999996</v>
      </c>
      <c r="AY109" t="s">
        <v>560</v>
      </c>
      <c r="AZ109" t="s">
        <v>561</v>
      </c>
      <c r="BA109" t="s">
        <v>194</v>
      </c>
      <c r="BE109" s="3">
        <v>42356</v>
      </c>
      <c r="BF109" s="1">
        <v>301920</v>
      </c>
      <c r="BG109" t="s">
        <v>636</v>
      </c>
      <c r="BH109" s="1">
        <v>123.54</v>
      </c>
      <c r="BI109" s="1">
        <v>275124</v>
      </c>
      <c r="BJ109" s="3">
        <v>42356</v>
      </c>
      <c r="BK109" t="s">
        <v>123</v>
      </c>
      <c r="BL109" t="str">
        <f>"2015.895939"</f>
        <v>2015.895939</v>
      </c>
      <c r="BM109" t="s">
        <v>637</v>
      </c>
      <c r="BO109" t="s">
        <v>1020</v>
      </c>
      <c r="BS109">
        <v>30</v>
      </c>
      <c r="BW109" t="str">
        <f>""</f>
        <v/>
      </c>
      <c r="CH109" t="str">
        <f>""</f>
        <v/>
      </c>
      <c r="CS109" t="str">
        <f>""</f>
        <v/>
      </c>
    </row>
    <row r="110" spans="1:97" x14ac:dyDescent="0.25">
      <c r="A110" t="s">
        <v>1021</v>
      </c>
      <c r="B110" t="s">
        <v>1022</v>
      </c>
      <c r="E110" t="s">
        <v>1023</v>
      </c>
      <c r="F110" t="s">
        <v>108</v>
      </c>
      <c r="H110" t="s">
        <v>1024</v>
      </c>
      <c r="I110" t="s">
        <v>374</v>
      </c>
      <c r="J110" t="s">
        <v>111</v>
      </c>
      <c r="K110" t="str">
        <f>"85087"</f>
        <v>85087</v>
      </c>
      <c r="L110" t="s">
        <v>375</v>
      </c>
      <c r="M110" t="s">
        <v>1024</v>
      </c>
      <c r="N110" t="s">
        <v>374</v>
      </c>
      <c r="O110" t="s">
        <v>111</v>
      </c>
      <c r="P110" t="str">
        <f>"85087-6205"</f>
        <v>85087-6205</v>
      </c>
      <c r="Q110" t="s">
        <v>113</v>
      </c>
      <c r="R110" t="str">
        <f>"202-23-260"</f>
        <v>202-23-260</v>
      </c>
      <c r="S110" t="s">
        <v>663</v>
      </c>
      <c r="T110" t="s">
        <v>664</v>
      </c>
      <c r="U110">
        <v>2218</v>
      </c>
      <c r="W110">
        <v>4</v>
      </c>
      <c r="X110">
        <v>2016</v>
      </c>
      <c r="Z110">
        <v>1</v>
      </c>
      <c r="AC110" t="s">
        <v>115</v>
      </c>
      <c r="AD110">
        <v>2</v>
      </c>
      <c r="AE110" t="s">
        <v>115</v>
      </c>
      <c r="AH110" t="s">
        <v>116</v>
      </c>
      <c r="AI110" s="1">
        <v>75975</v>
      </c>
      <c r="AJ110" s="2">
        <v>0.2</v>
      </c>
      <c r="AK110" s="1">
        <v>375877</v>
      </c>
      <c r="AL110" t="s">
        <v>117</v>
      </c>
      <c r="AM110" t="s">
        <v>171</v>
      </c>
      <c r="AN110">
        <v>9308</v>
      </c>
      <c r="AO110">
        <v>0.21</v>
      </c>
      <c r="AR110">
        <v>1</v>
      </c>
      <c r="AS110" s="1">
        <v>28750</v>
      </c>
      <c r="AT110" s="1">
        <v>5750</v>
      </c>
      <c r="AU110" s="1">
        <v>23000</v>
      </c>
      <c r="AV110">
        <v>80</v>
      </c>
      <c r="AX110" s="1">
        <v>2702.96</v>
      </c>
      <c r="AY110" t="s">
        <v>665</v>
      </c>
      <c r="AZ110" t="s">
        <v>665</v>
      </c>
      <c r="BA110" t="s">
        <v>378</v>
      </c>
      <c r="BE110" s="3">
        <v>42459</v>
      </c>
      <c r="BF110" s="1">
        <v>348471</v>
      </c>
      <c r="BG110" t="s">
        <v>158</v>
      </c>
      <c r="BH110" s="1">
        <v>157.11000000000001</v>
      </c>
      <c r="BI110" s="1">
        <v>299902</v>
      </c>
      <c r="BJ110" s="3">
        <v>42459</v>
      </c>
      <c r="BK110" t="s">
        <v>123</v>
      </c>
      <c r="BL110" t="str">
        <f>"2016.206207"</f>
        <v>2016.206207</v>
      </c>
      <c r="BM110" t="s">
        <v>241</v>
      </c>
      <c r="BN110" t="s">
        <v>1025</v>
      </c>
      <c r="BO110" t="s">
        <v>1026</v>
      </c>
      <c r="BS110">
        <v>30</v>
      </c>
      <c r="BW110" t="str">
        <f>""</f>
        <v/>
      </c>
      <c r="CH110" t="str">
        <f>""</f>
        <v/>
      </c>
      <c r="CS110" t="str">
        <f>""</f>
        <v/>
      </c>
    </row>
    <row r="111" spans="1:97" x14ac:dyDescent="0.25">
      <c r="A111" t="s">
        <v>1027</v>
      </c>
      <c r="B111" t="s">
        <v>1028</v>
      </c>
      <c r="E111" t="s">
        <v>1029</v>
      </c>
      <c r="F111" t="s">
        <v>108</v>
      </c>
      <c r="H111" t="s">
        <v>1030</v>
      </c>
      <c r="I111" t="s">
        <v>203</v>
      </c>
      <c r="J111" t="s">
        <v>111</v>
      </c>
      <c r="K111" t="str">
        <f>"85298"</f>
        <v>85298</v>
      </c>
      <c r="L111" t="s">
        <v>269</v>
      </c>
      <c r="M111" t="s">
        <v>1030</v>
      </c>
      <c r="N111" t="s">
        <v>203</v>
      </c>
      <c r="O111" t="s">
        <v>111</v>
      </c>
      <c r="P111" t="str">
        <f>"85298"</f>
        <v>85298</v>
      </c>
      <c r="Q111" t="s">
        <v>113</v>
      </c>
      <c r="R111" t="str">
        <f>"304-86-573"</f>
        <v>304-86-573</v>
      </c>
      <c r="S111" t="s">
        <v>1031</v>
      </c>
      <c r="T111" t="s">
        <v>271</v>
      </c>
      <c r="U111">
        <v>2615</v>
      </c>
      <c r="W111">
        <v>4</v>
      </c>
      <c r="X111">
        <v>2014</v>
      </c>
      <c r="Z111">
        <v>1</v>
      </c>
      <c r="AC111" t="s">
        <v>115</v>
      </c>
      <c r="AD111">
        <v>4</v>
      </c>
      <c r="AE111" t="s">
        <v>115</v>
      </c>
      <c r="AH111" t="s">
        <v>116</v>
      </c>
      <c r="AI111" s="1">
        <v>168321</v>
      </c>
      <c r="AJ111" s="2">
        <v>0.38</v>
      </c>
      <c r="AK111" s="1">
        <v>442033</v>
      </c>
      <c r="AL111" t="s">
        <v>117</v>
      </c>
      <c r="AM111" t="s">
        <v>171</v>
      </c>
      <c r="AN111">
        <v>7800</v>
      </c>
      <c r="AO111">
        <v>0.18</v>
      </c>
      <c r="AR111">
        <v>1</v>
      </c>
      <c r="AS111" s="1">
        <v>31910</v>
      </c>
      <c r="AT111" s="1">
        <v>6380</v>
      </c>
      <c r="AU111" s="1">
        <v>25530</v>
      </c>
      <c r="AV111">
        <v>80.010000000000005</v>
      </c>
      <c r="AX111" s="1">
        <v>2607</v>
      </c>
      <c r="AY111" t="s">
        <v>272</v>
      </c>
      <c r="AZ111" t="s">
        <v>273</v>
      </c>
      <c r="BA111" t="s">
        <v>274</v>
      </c>
      <c r="BE111" s="3">
        <v>41782</v>
      </c>
      <c r="BF111" s="1">
        <v>335235</v>
      </c>
      <c r="BG111" t="s">
        <v>275</v>
      </c>
      <c r="BH111" s="1">
        <v>128.19999999999999</v>
      </c>
      <c r="BI111" s="1">
        <v>243712</v>
      </c>
      <c r="BJ111" s="3">
        <v>42668</v>
      </c>
      <c r="BK111" t="s">
        <v>123</v>
      </c>
      <c r="BL111" t="str">
        <f>"2016.780652"</f>
        <v>2016.780652</v>
      </c>
      <c r="BM111" t="s">
        <v>425</v>
      </c>
      <c r="BO111" t="s">
        <v>1032</v>
      </c>
      <c r="BS111">
        <v>30</v>
      </c>
      <c r="BT111" s="1">
        <v>30000</v>
      </c>
      <c r="BU111" s="3">
        <v>42677</v>
      </c>
      <c r="BV111" t="s">
        <v>134</v>
      </c>
      <c r="BW111" t="str">
        <f>"2016.811703"</f>
        <v>2016.811703</v>
      </c>
      <c r="BX111" t="s">
        <v>1033</v>
      </c>
      <c r="BZ111" t="s">
        <v>1032</v>
      </c>
      <c r="CD111">
        <v>35</v>
      </c>
      <c r="CH111" t="str">
        <f>""</f>
        <v/>
      </c>
      <c r="CS111" t="str">
        <f>""</f>
        <v/>
      </c>
    </row>
    <row r="112" spans="1:97" x14ac:dyDescent="0.25">
      <c r="A112" t="s">
        <v>1034</v>
      </c>
      <c r="B112" t="s">
        <v>1035</v>
      </c>
      <c r="C112" t="s">
        <v>767</v>
      </c>
      <c r="D112" t="s">
        <v>1035</v>
      </c>
      <c r="E112" t="s">
        <v>1036</v>
      </c>
      <c r="F112" t="s">
        <v>108</v>
      </c>
      <c r="H112" t="s">
        <v>1037</v>
      </c>
      <c r="I112" t="s">
        <v>225</v>
      </c>
      <c r="J112" t="s">
        <v>111</v>
      </c>
      <c r="K112" t="str">
        <f>"85212"</f>
        <v>85212</v>
      </c>
      <c r="L112" t="s">
        <v>558</v>
      </c>
      <c r="M112" t="s">
        <v>1037</v>
      </c>
      <c r="N112" t="s">
        <v>225</v>
      </c>
      <c r="O112" t="s">
        <v>111</v>
      </c>
      <c r="P112" t="str">
        <f>"85212-8029"</f>
        <v>85212-8029</v>
      </c>
      <c r="Q112" t="s">
        <v>113</v>
      </c>
      <c r="R112" t="str">
        <f>"304-50-151"</f>
        <v>304-50-151</v>
      </c>
      <c r="S112" t="s">
        <v>1014</v>
      </c>
      <c r="U112">
        <v>2634</v>
      </c>
      <c r="W112">
        <v>5</v>
      </c>
      <c r="X112">
        <v>2014</v>
      </c>
      <c r="Z112">
        <v>1</v>
      </c>
      <c r="AC112" t="s">
        <v>115</v>
      </c>
      <c r="AD112">
        <v>3</v>
      </c>
      <c r="AE112" t="s">
        <v>115</v>
      </c>
      <c r="AH112" t="s">
        <v>116</v>
      </c>
      <c r="AI112" s="1">
        <v>58696</v>
      </c>
      <c r="AJ112" s="2">
        <v>0.14000000000000001</v>
      </c>
      <c r="AK112" s="1">
        <v>415433</v>
      </c>
      <c r="AL112" t="s">
        <v>117</v>
      </c>
      <c r="AM112" t="s">
        <v>118</v>
      </c>
      <c r="AN112">
        <v>7410</v>
      </c>
      <c r="AO112">
        <v>0.17</v>
      </c>
      <c r="AR112">
        <v>1</v>
      </c>
      <c r="AS112" s="1">
        <v>29060</v>
      </c>
      <c r="AT112" s="1">
        <v>5810</v>
      </c>
      <c r="AU112" s="1">
        <v>23250</v>
      </c>
      <c r="AV112">
        <v>80.010000000000005</v>
      </c>
      <c r="AX112" s="1">
        <v>4330.8599999999997</v>
      </c>
      <c r="AY112" t="s">
        <v>560</v>
      </c>
      <c r="AZ112" t="s">
        <v>561</v>
      </c>
      <c r="BA112" t="s">
        <v>194</v>
      </c>
      <c r="BE112" s="3">
        <v>41894</v>
      </c>
      <c r="BF112" s="1">
        <v>350560</v>
      </c>
      <c r="BG112" t="s">
        <v>636</v>
      </c>
      <c r="BH112" s="1">
        <v>133.09</v>
      </c>
      <c r="BI112" s="1">
        <v>356737</v>
      </c>
      <c r="BJ112" s="3">
        <v>42703</v>
      </c>
      <c r="BK112" t="s">
        <v>123</v>
      </c>
      <c r="BL112" t="str">
        <f>"2016.875632"</f>
        <v>2016.875632</v>
      </c>
      <c r="BM112" t="s">
        <v>1038</v>
      </c>
      <c r="BO112" t="s">
        <v>1039</v>
      </c>
      <c r="BS112">
        <v>30</v>
      </c>
      <c r="BW112" t="str">
        <f>""</f>
        <v/>
      </c>
      <c r="CH112" t="str">
        <f>""</f>
        <v/>
      </c>
      <c r="CS112" t="str">
        <f>""</f>
        <v/>
      </c>
    </row>
    <row r="113" spans="1:97" x14ac:dyDescent="0.25">
      <c r="A113" t="s">
        <v>1040</v>
      </c>
      <c r="B113" t="s">
        <v>1041</v>
      </c>
      <c r="E113" t="s">
        <v>1042</v>
      </c>
      <c r="F113" t="s">
        <v>108</v>
      </c>
      <c r="H113" t="s">
        <v>1043</v>
      </c>
      <c r="I113" t="s">
        <v>203</v>
      </c>
      <c r="J113" t="s">
        <v>111</v>
      </c>
      <c r="K113" t="str">
        <f>"85298"</f>
        <v>85298</v>
      </c>
      <c r="L113" t="s">
        <v>284</v>
      </c>
      <c r="M113" t="s">
        <v>1043</v>
      </c>
      <c r="N113" t="s">
        <v>203</v>
      </c>
      <c r="O113" t="s">
        <v>111</v>
      </c>
      <c r="P113" t="str">
        <f>"85298"</f>
        <v>85298</v>
      </c>
      <c r="Q113" t="s">
        <v>113</v>
      </c>
      <c r="R113" t="str">
        <f>"304-73-575"</f>
        <v>304-73-575</v>
      </c>
      <c r="S113" t="s">
        <v>874</v>
      </c>
      <c r="T113" t="s">
        <v>287</v>
      </c>
      <c r="U113">
        <v>1800</v>
      </c>
      <c r="W113">
        <v>3</v>
      </c>
      <c r="X113">
        <v>2014</v>
      </c>
      <c r="Z113">
        <v>1</v>
      </c>
      <c r="AC113" t="s">
        <v>115</v>
      </c>
      <c r="AD113">
        <v>2</v>
      </c>
      <c r="AE113" t="s">
        <v>115</v>
      </c>
      <c r="AH113" t="s">
        <v>116</v>
      </c>
      <c r="AI113" s="1">
        <v>92681</v>
      </c>
      <c r="AJ113" s="2">
        <v>0.26</v>
      </c>
      <c r="AK113" s="1">
        <v>351038</v>
      </c>
      <c r="AL113" t="s">
        <v>117</v>
      </c>
      <c r="AM113" t="s">
        <v>288</v>
      </c>
      <c r="AN113">
        <v>5175</v>
      </c>
      <c r="AO113">
        <v>0.12</v>
      </c>
      <c r="AR113">
        <v>1</v>
      </c>
      <c r="AS113" s="1">
        <v>23400</v>
      </c>
      <c r="AT113" s="1">
        <v>4680</v>
      </c>
      <c r="AU113" s="1">
        <v>18720</v>
      </c>
      <c r="AV113">
        <v>80</v>
      </c>
      <c r="AX113" s="1">
        <v>1957.9</v>
      </c>
      <c r="AY113" t="s">
        <v>289</v>
      </c>
      <c r="AZ113" t="s">
        <v>289</v>
      </c>
      <c r="BA113" t="s">
        <v>290</v>
      </c>
      <c r="BE113" s="3">
        <v>41789</v>
      </c>
      <c r="BF113" s="1">
        <v>257990</v>
      </c>
      <c r="BG113" t="s">
        <v>195</v>
      </c>
      <c r="BH113" s="1">
        <v>143.33000000000001</v>
      </c>
      <c r="BI113" s="1">
        <v>258357</v>
      </c>
      <c r="BJ113" s="3">
        <v>42580</v>
      </c>
      <c r="BK113" t="s">
        <v>123</v>
      </c>
      <c r="BL113" t="str">
        <f>"2016.538938"</f>
        <v>2016.538938</v>
      </c>
      <c r="BM113" t="s">
        <v>1044</v>
      </c>
      <c r="BO113" t="s">
        <v>1045</v>
      </c>
      <c r="BS113">
        <v>30</v>
      </c>
      <c r="BW113" t="str">
        <f>""</f>
        <v/>
      </c>
      <c r="CH113" t="str">
        <f>""</f>
        <v/>
      </c>
      <c r="CS113" t="str">
        <f>""</f>
        <v/>
      </c>
    </row>
    <row r="114" spans="1:97" x14ac:dyDescent="0.25">
      <c r="A114" t="s">
        <v>1046</v>
      </c>
      <c r="B114" t="s">
        <v>1047</v>
      </c>
      <c r="C114" t="s">
        <v>484</v>
      </c>
      <c r="D114" t="s">
        <v>1047</v>
      </c>
      <c r="E114" t="s">
        <v>1048</v>
      </c>
      <c r="F114" t="s">
        <v>108</v>
      </c>
      <c r="H114" t="s">
        <v>1049</v>
      </c>
      <c r="I114" t="s">
        <v>453</v>
      </c>
      <c r="J114" t="s">
        <v>111</v>
      </c>
      <c r="K114" t="str">
        <f>"85383"</f>
        <v>85383</v>
      </c>
      <c r="L114" t="s">
        <v>625</v>
      </c>
      <c r="M114" t="s">
        <v>1049</v>
      </c>
      <c r="N114" t="s">
        <v>453</v>
      </c>
      <c r="O114" t="s">
        <v>111</v>
      </c>
      <c r="P114" t="str">
        <f>"85383-3362"</f>
        <v>85383-3362</v>
      </c>
      <c r="Q114" t="s">
        <v>113</v>
      </c>
      <c r="R114" t="str">
        <f>"201-19-074"</f>
        <v>201-19-074</v>
      </c>
      <c r="S114" t="s">
        <v>626</v>
      </c>
      <c r="U114">
        <v>2598</v>
      </c>
      <c r="W114">
        <v>4</v>
      </c>
      <c r="X114">
        <v>2015</v>
      </c>
      <c r="Z114">
        <v>1</v>
      </c>
      <c r="AC114" t="s">
        <v>115</v>
      </c>
      <c r="AD114">
        <v>4</v>
      </c>
      <c r="AE114" t="s">
        <v>115</v>
      </c>
      <c r="AH114" t="s">
        <v>116</v>
      </c>
      <c r="AI114" s="1">
        <v>92752</v>
      </c>
      <c r="AJ114" s="2">
        <v>0.2</v>
      </c>
      <c r="AK114" s="1">
        <v>456502</v>
      </c>
      <c r="AL114" t="s">
        <v>117</v>
      </c>
      <c r="AM114" t="s">
        <v>118</v>
      </c>
      <c r="AN114">
        <v>9100</v>
      </c>
      <c r="AO114">
        <v>0.21</v>
      </c>
      <c r="AR114">
        <v>1</v>
      </c>
      <c r="AS114" s="1">
        <v>33350</v>
      </c>
      <c r="AT114" s="1">
        <v>6670</v>
      </c>
      <c r="AU114" s="1">
        <v>26680</v>
      </c>
      <c r="AV114">
        <v>80</v>
      </c>
      <c r="AX114" s="1">
        <v>2831.14</v>
      </c>
      <c r="AY114" t="s">
        <v>627</v>
      </c>
      <c r="AZ114" t="s">
        <v>627</v>
      </c>
      <c r="BA114" t="s">
        <v>457</v>
      </c>
      <c r="BE114" s="3">
        <v>42276</v>
      </c>
      <c r="BF114" s="1">
        <v>347476</v>
      </c>
      <c r="BG114" t="s">
        <v>275</v>
      </c>
      <c r="BH114" s="1">
        <v>133.75</v>
      </c>
      <c r="BI114" s="1">
        <v>329750</v>
      </c>
      <c r="BJ114" s="3">
        <v>42725</v>
      </c>
      <c r="BK114" t="s">
        <v>123</v>
      </c>
      <c r="BL114" t="str">
        <f>"2016.941411"</f>
        <v>2016.941411</v>
      </c>
      <c r="BM114" t="s">
        <v>425</v>
      </c>
      <c r="BN114" t="s">
        <v>426</v>
      </c>
      <c r="BO114" t="s">
        <v>1050</v>
      </c>
      <c r="BS114">
        <v>30</v>
      </c>
      <c r="BT114" s="1">
        <v>34000</v>
      </c>
      <c r="BU114" s="3">
        <v>43501</v>
      </c>
      <c r="BW114" t="str">
        <f>"2019.78922"</f>
        <v>2019.78922</v>
      </c>
      <c r="BX114" t="s">
        <v>1051</v>
      </c>
      <c r="BY114" t="s">
        <v>1052</v>
      </c>
      <c r="BZ114" t="s">
        <v>1053</v>
      </c>
      <c r="CA114" t="s">
        <v>1054</v>
      </c>
      <c r="CC114" t="s">
        <v>346</v>
      </c>
      <c r="CH114" t="str">
        <f>""</f>
        <v/>
      </c>
      <c r="CS114" t="str">
        <f>""</f>
        <v/>
      </c>
    </row>
    <row r="115" spans="1:97" x14ac:dyDescent="0.25">
      <c r="A115" t="s">
        <v>1055</v>
      </c>
      <c r="B115" t="s">
        <v>1056</v>
      </c>
      <c r="C115" t="s">
        <v>1057</v>
      </c>
      <c r="D115" t="s">
        <v>1056</v>
      </c>
      <c r="E115" t="s">
        <v>1058</v>
      </c>
      <c r="F115" t="s">
        <v>108</v>
      </c>
      <c r="H115" t="s">
        <v>1059</v>
      </c>
      <c r="I115" t="s">
        <v>225</v>
      </c>
      <c r="J115" t="s">
        <v>111</v>
      </c>
      <c r="K115" t="str">
        <f>"85212"</f>
        <v>85212</v>
      </c>
      <c r="L115" t="s">
        <v>558</v>
      </c>
      <c r="M115" t="s">
        <v>1059</v>
      </c>
      <c r="N115" t="s">
        <v>225</v>
      </c>
      <c r="O115" t="s">
        <v>111</v>
      </c>
      <c r="P115" t="str">
        <f>"85212-8014"</f>
        <v>85212-8014</v>
      </c>
      <c r="Q115" t="s">
        <v>113</v>
      </c>
      <c r="R115" t="str">
        <f>"304-50-066"</f>
        <v>304-50-066</v>
      </c>
      <c r="S115" t="s">
        <v>883</v>
      </c>
      <c r="U115">
        <v>3673</v>
      </c>
      <c r="W115">
        <v>6</v>
      </c>
      <c r="X115">
        <v>2013</v>
      </c>
      <c r="Z115">
        <v>2</v>
      </c>
      <c r="AC115" t="s">
        <v>115</v>
      </c>
      <c r="AD115">
        <v>3</v>
      </c>
      <c r="AE115" t="s">
        <v>115</v>
      </c>
      <c r="AH115" t="s">
        <v>116</v>
      </c>
      <c r="AI115" s="1">
        <v>98803</v>
      </c>
      <c r="AJ115" s="2">
        <v>0.21</v>
      </c>
      <c r="AK115" s="1">
        <v>460953</v>
      </c>
      <c r="AL115" t="s">
        <v>117</v>
      </c>
      <c r="AM115" t="s">
        <v>118</v>
      </c>
      <c r="AN115">
        <v>6000</v>
      </c>
      <c r="AO115">
        <v>0.14000000000000001</v>
      </c>
      <c r="AR115">
        <v>1</v>
      </c>
      <c r="AS115" s="1">
        <v>31880</v>
      </c>
      <c r="AT115" s="1">
        <v>6370</v>
      </c>
      <c r="AU115" s="1">
        <v>25510</v>
      </c>
      <c r="AV115">
        <v>80.02</v>
      </c>
      <c r="AX115" s="1">
        <v>4644.18</v>
      </c>
      <c r="AY115" t="s">
        <v>560</v>
      </c>
      <c r="AZ115" t="s">
        <v>561</v>
      </c>
      <c r="BA115" t="s">
        <v>194</v>
      </c>
      <c r="BE115" s="3">
        <v>41655</v>
      </c>
      <c r="BF115" s="1">
        <v>359394</v>
      </c>
      <c r="BG115" t="s">
        <v>617</v>
      </c>
      <c r="BH115" s="1">
        <v>97.85</v>
      </c>
      <c r="BI115" s="1">
        <v>362150</v>
      </c>
      <c r="BJ115" s="3">
        <v>42094</v>
      </c>
      <c r="BK115" t="s">
        <v>123</v>
      </c>
      <c r="BL115" t="str">
        <f>"2015.216867"</f>
        <v>2015.216867</v>
      </c>
      <c r="BM115" t="s">
        <v>124</v>
      </c>
      <c r="BO115" t="s">
        <v>1060</v>
      </c>
      <c r="BS115">
        <v>30</v>
      </c>
      <c r="BW115" t="str">
        <f>""</f>
        <v/>
      </c>
      <c r="CH115" t="str">
        <f>""</f>
        <v/>
      </c>
      <c r="CS115" t="str">
        <f>""</f>
        <v/>
      </c>
    </row>
    <row r="116" spans="1:97" x14ac:dyDescent="0.25">
      <c r="A116" t="s">
        <v>938</v>
      </c>
      <c r="B116" t="s">
        <v>1061</v>
      </c>
      <c r="C116" t="s">
        <v>1062</v>
      </c>
      <c r="D116" t="s">
        <v>1061</v>
      </c>
      <c r="E116" t="s">
        <v>1063</v>
      </c>
      <c r="F116" t="s">
        <v>108</v>
      </c>
      <c r="H116" t="s">
        <v>1064</v>
      </c>
      <c r="I116" t="s">
        <v>225</v>
      </c>
      <c r="J116" t="s">
        <v>111</v>
      </c>
      <c r="K116" t="str">
        <f>"85212"</f>
        <v>85212</v>
      </c>
      <c r="L116" t="s">
        <v>567</v>
      </c>
      <c r="M116" t="s">
        <v>1064</v>
      </c>
      <c r="N116" t="s">
        <v>225</v>
      </c>
      <c r="O116" t="s">
        <v>111</v>
      </c>
      <c r="P116" t="str">
        <f>"85212-9731"</f>
        <v>85212-9731</v>
      </c>
      <c r="Q116" t="s">
        <v>113</v>
      </c>
      <c r="R116" t="str">
        <f>"304-17-335"</f>
        <v>304-17-335</v>
      </c>
      <c r="S116" t="s">
        <v>568</v>
      </c>
      <c r="T116" t="s">
        <v>569</v>
      </c>
      <c r="U116">
        <v>3757</v>
      </c>
      <c r="W116">
        <v>5</v>
      </c>
      <c r="X116">
        <v>2015</v>
      </c>
      <c r="Z116">
        <v>2</v>
      </c>
      <c r="AC116" t="s">
        <v>115</v>
      </c>
      <c r="AD116">
        <v>3</v>
      </c>
      <c r="AE116" t="s">
        <v>115</v>
      </c>
      <c r="AH116" t="s">
        <v>116</v>
      </c>
      <c r="AI116" s="1">
        <v>96803</v>
      </c>
      <c r="AJ116" s="2">
        <v>0.2</v>
      </c>
      <c r="AK116" s="1">
        <v>491523</v>
      </c>
      <c r="AL116" t="s">
        <v>117</v>
      </c>
      <c r="AM116" t="s">
        <v>393</v>
      </c>
      <c r="AN116">
        <v>7200</v>
      </c>
      <c r="AO116">
        <v>0.16</v>
      </c>
      <c r="AR116">
        <v>1</v>
      </c>
      <c r="AS116" s="1">
        <v>35660</v>
      </c>
      <c r="AT116" s="1">
        <v>7130</v>
      </c>
      <c r="AU116" s="1">
        <v>28530</v>
      </c>
      <c r="AV116">
        <v>80.010000000000005</v>
      </c>
      <c r="AX116" s="1">
        <v>2531.38</v>
      </c>
      <c r="AY116" t="s">
        <v>570</v>
      </c>
      <c r="AZ116" t="s">
        <v>571</v>
      </c>
      <c r="BA116" t="s">
        <v>572</v>
      </c>
      <c r="BE116" s="3">
        <v>42094</v>
      </c>
      <c r="BF116" s="1">
        <v>386413</v>
      </c>
      <c r="BG116" t="s">
        <v>1065</v>
      </c>
      <c r="BH116" s="1">
        <v>102.85</v>
      </c>
      <c r="BI116" s="1">
        <v>394720</v>
      </c>
      <c r="BJ116" s="3">
        <v>42094</v>
      </c>
      <c r="BK116" t="s">
        <v>123</v>
      </c>
      <c r="BL116" t="str">
        <f>"2015.214465"</f>
        <v>2015.214465</v>
      </c>
      <c r="BM116" t="s">
        <v>573</v>
      </c>
      <c r="BO116" t="s">
        <v>1066</v>
      </c>
      <c r="BS116">
        <v>30</v>
      </c>
      <c r="BW116" t="str">
        <f>""</f>
        <v/>
      </c>
      <c r="CH116" t="str">
        <f>""</f>
        <v/>
      </c>
      <c r="CS116" t="str">
        <f>""</f>
        <v/>
      </c>
    </row>
    <row r="117" spans="1:97" x14ac:dyDescent="0.25">
      <c r="A117" t="s">
        <v>711</v>
      </c>
      <c r="B117" t="s">
        <v>1067</v>
      </c>
      <c r="C117" t="s">
        <v>179</v>
      </c>
      <c r="D117" t="s">
        <v>1067</v>
      </c>
      <c r="E117" t="s">
        <v>1068</v>
      </c>
      <c r="F117" t="s">
        <v>139</v>
      </c>
      <c r="H117" t="s">
        <v>1069</v>
      </c>
      <c r="I117" t="s">
        <v>188</v>
      </c>
      <c r="J117" t="s">
        <v>111</v>
      </c>
      <c r="K117" t="str">
        <f>"85142"</f>
        <v>85142</v>
      </c>
      <c r="L117" t="s">
        <v>1070</v>
      </c>
      <c r="M117" t="s">
        <v>1071</v>
      </c>
      <c r="N117" t="s">
        <v>188</v>
      </c>
      <c r="O117" t="s">
        <v>111</v>
      </c>
      <c r="P117" t="str">
        <f>"85142-1800"</f>
        <v>85142-1800</v>
      </c>
      <c r="Q117" t="s">
        <v>113</v>
      </c>
      <c r="R117" t="str">
        <f>"304-93-884"</f>
        <v>304-93-884</v>
      </c>
      <c r="S117" t="s">
        <v>1072</v>
      </c>
      <c r="T117" t="s">
        <v>1073</v>
      </c>
      <c r="U117">
        <v>3030</v>
      </c>
      <c r="W117">
        <v>4</v>
      </c>
      <c r="X117">
        <v>2014</v>
      </c>
      <c r="Z117">
        <v>1</v>
      </c>
      <c r="AC117" t="s">
        <v>115</v>
      </c>
      <c r="AD117">
        <v>3</v>
      </c>
      <c r="AE117" t="s">
        <v>115</v>
      </c>
      <c r="AH117" t="s">
        <v>116</v>
      </c>
      <c r="AI117" s="1">
        <v>140677</v>
      </c>
      <c r="AJ117" s="2">
        <v>0.3</v>
      </c>
      <c r="AK117" s="1">
        <v>467235</v>
      </c>
      <c r="AL117" t="s">
        <v>117</v>
      </c>
      <c r="AM117" t="str">
        <f>"R1-7"</f>
        <v>R1-7</v>
      </c>
      <c r="AN117">
        <v>10857</v>
      </c>
      <c r="AO117">
        <v>0.25</v>
      </c>
      <c r="AR117">
        <v>1</v>
      </c>
      <c r="AS117" s="1">
        <v>33950</v>
      </c>
      <c r="AT117" s="1">
        <v>6790</v>
      </c>
      <c r="AU117" s="1">
        <v>27160</v>
      </c>
      <c r="AV117">
        <v>80</v>
      </c>
      <c r="AX117" s="1">
        <v>3175.42</v>
      </c>
      <c r="AY117" t="s">
        <v>1074</v>
      </c>
      <c r="AZ117" t="s">
        <v>193</v>
      </c>
      <c r="BA117" t="s">
        <v>194</v>
      </c>
      <c r="BE117" s="3">
        <v>41960</v>
      </c>
      <c r="BF117" s="1">
        <v>319685</v>
      </c>
      <c r="BG117" t="s">
        <v>562</v>
      </c>
      <c r="BH117" s="1">
        <v>105.51</v>
      </c>
      <c r="BI117" s="1">
        <v>326558</v>
      </c>
      <c r="BJ117" s="3">
        <v>41960</v>
      </c>
      <c r="BK117" t="s">
        <v>123</v>
      </c>
      <c r="BL117" t="str">
        <f>"2014.757505"</f>
        <v>2014.757505</v>
      </c>
      <c r="BM117" t="s">
        <v>131</v>
      </c>
      <c r="BO117" t="s">
        <v>1075</v>
      </c>
      <c r="BS117">
        <v>30</v>
      </c>
      <c r="BW117" t="str">
        <f>""</f>
        <v/>
      </c>
      <c r="CH117" t="str">
        <f>""</f>
        <v/>
      </c>
      <c r="CS117" t="str">
        <f>""</f>
        <v/>
      </c>
    </row>
    <row r="118" spans="1:97" x14ac:dyDescent="0.25">
      <c r="A118" t="s">
        <v>243</v>
      </c>
      <c r="B118" t="s">
        <v>1076</v>
      </c>
      <c r="C118" t="s">
        <v>484</v>
      </c>
      <c r="D118" t="s">
        <v>1076</v>
      </c>
      <c r="E118" t="s">
        <v>1077</v>
      </c>
      <c r="F118" t="s">
        <v>108</v>
      </c>
      <c r="H118" t="s">
        <v>1078</v>
      </c>
      <c r="I118" t="s">
        <v>225</v>
      </c>
      <c r="J118" t="s">
        <v>111</v>
      </c>
      <c r="K118" t="str">
        <f>"85212"</f>
        <v>85212</v>
      </c>
      <c r="L118" t="s">
        <v>558</v>
      </c>
      <c r="M118" t="s">
        <v>1078</v>
      </c>
      <c r="N118" t="s">
        <v>225</v>
      </c>
      <c r="O118" t="s">
        <v>111</v>
      </c>
      <c r="P118" t="str">
        <f>"85212-8045"</f>
        <v>85212-8045</v>
      </c>
      <c r="Q118" t="s">
        <v>113</v>
      </c>
      <c r="R118" t="str">
        <f>"304-50-230"</f>
        <v>304-50-230</v>
      </c>
      <c r="S118" t="s">
        <v>748</v>
      </c>
      <c r="U118">
        <v>2299</v>
      </c>
      <c r="W118">
        <v>4</v>
      </c>
      <c r="X118">
        <v>2015</v>
      </c>
      <c r="Z118">
        <v>1</v>
      </c>
      <c r="AA118" t="s">
        <v>26</v>
      </c>
      <c r="AC118" t="s">
        <v>115</v>
      </c>
      <c r="AD118">
        <v>3</v>
      </c>
      <c r="AE118" t="s">
        <v>115</v>
      </c>
      <c r="AH118" t="s">
        <v>116</v>
      </c>
      <c r="AI118" s="1">
        <v>80682</v>
      </c>
      <c r="AJ118" s="2">
        <v>0.21</v>
      </c>
      <c r="AK118" s="1">
        <v>391282</v>
      </c>
      <c r="AL118" t="s">
        <v>117</v>
      </c>
      <c r="AM118" t="s">
        <v>118</v>
      </c>
      <c r="AN118">
        <v>8335</v>
      </c>
      <c r="AO118">
        <v>0.19</v>
      </c>
      <c r="AR118">
        <v>1</v>
      </c>
      <c r="AS118" s="1">
        <v>28710</v>
      </c>
      <c r="AT118" s="1">
        <v>5740</v>
      </c>
      <c r="AU118" s="1">
        <v>22970</v>
      </c>
      <c r="AV118">
        <v>80.010000000000005</v>
      </c>
      <c r="AX118" s="1">
        <v>3622.96</v>
      </c>
      <c r="AY118" t="s">
        <v>560</v>
      </c>
      <c r="AZ118" t="s">
        <v>561</v>
      </c>
      <c r="BA118" t="s">
        <v>194</v>
      </c>
      <c r="BE118" s="3">
        <v>42461</v>
      </c>
      <c r="BF118" s="1">
        <v>322116</v>
      </c>
      <c r="BG118" t="s">
        <v>1079</v>
      </c>
      <c r="BH118" s="1">
        <v>140.11000000000001</v>
      </c>
      <c r="BI118" s="1">
        <v>310600</v>
      </c>
      <c r="BJ118" s="3">
        <v>42461</v>
      </c>
      <c r="BK118" t="s">
        <v>123</v>
      </c>
      <c r="BL118" t="str">
        <f>"2016.216333"</f>
        <v>2016.216333</v>
      </c>
      <c r="BM118" t="s">
        <v>1080</v>
      </c>
      <c r="BO118" t="s">
        <v>1081</v>
      </c>
      <c r="BS118">
        <v>30</v>
      </c>
      <c r="BW118" t="str">
        <f>""</f>
        <v/>
      </c>
      <c r="CH118" t="str">
        <f>""</f>
        <v/>
      </c>
      <c r="CS118" t="str">
        <f>""</f>
        <v/>
      </c>
    </row>
    <row r="119" spans="1:97" x14ac:dyDescent="0.25">
      <c r="A119" t="s">
        <v>484</v>
      </c>
      <c r="B119" t="s">
        <v>1082</v>
      </c>
      <c r="C119" t="s">
        <v>1083</v>
      </c>
      <c r="D119" t="s">
        <v>1082</v>
      </c>
      <c r="E119" t="s">
        <v>1084</v>
      </c>
      <c r="F119" t="s">
        <v>108</v>
      </c>
      <c r="H119" t="s">
        <v>1085</v>
      </c>
      <c r="I119" t="s">
        <v>203</v>
      </c>
      <c r="J119" t="s">
        <v>111</v>
      </c>
      <c r="K119" t="str">
        <f>"85298"</f>
        <v>85298</v>
      </c>
      <c r="L119" t="s">
        <v>284</v>
      </c>
      <c r="M119" t="s">
        <v>1085</v>
      </c>
      <c r="N119" t="s">
        <v>203</v>
      </c>
      <c r="O119" t="s">
        <v>111</v>
      </c>
      <c r="P119" t="str">
        <f>"85298"</f>
        <v>85298</v>
      </c>
      <c r="Q119" t="s">
        <v>113</v>
      </c>
      <c r="R119" t="str">
        <f>"304-75-886"</f>
        <v>304-75-886</v>
      </c>
      <c r="S119" t="s">
        <v>1086</v>
      </c>
      <c r="T119" t="s">
        <v>287</v>
      </c>
      <c r="U119">
        <v>2941</v>
      </c>
      <c r="W119">
        <v>4</v>
      </c>
      <c r="X119">
        <v>2014</v>
      </c>
      <c r="Z119">
        <v>1</v>
      </c>
      <c r="AC119" t="s">
        <v>115</v>
      </c>
      <c r="AD119">
        <v>3</v>
      </c>
      <c r="AE119" t="s">
        <v>115</v>
      </c>
      <c r="AH119" t="s">
        <v>116</v>
      </c>
      <c r="AI119" s="1">
        <v>144483</v>
      </c>
      <c r="AJ119" s="2">
        <v>0.3</v>
      </c>
      <c r="AK119" s="1">
        <v>487756</v>
      </c>
      <c r="AL119" t="s">
        <v>117</v>
      </c>
      <c r="AM119" t="s">
        <v>288</v>
      </c>
      <c r="AN119">
        <v>7800</v>
      </c>
      <c r="AO119">
        <v>0.18</v>
      </c>
      <c r="AR119">
        <v>1</v>
      </c>
      <c r="AS119" s="1">
        <v>33400</v>
      </c>
      <c r="AT119" s="1">
        <v>6680</v>
      </c>
      <c r="AU119" s="1">
        <v>26720</v>
      </c>
      <c r="AV119">
        <v>80</v>
      </c>
      <c r="AX119" s="1">
        <v>3014.72</v>
      </c>
      <c r="AY119" t="s">
        <v>289</v>
      </c>
      <c r="AZ119" t="s">
        <v>289</v>
      </c>
      <c r="BA119" t="s">
        <v>290</v>
      </c>
      <c r="BE119" s="3">
        <v>41858</v>
      </c>
      <c r="BF119" s="1">
        <v>356411</v>
      </c>
      <c r="BG119" t="s">
        <v>645</v>
      </c>
      <c r="BH119" s="1">
        <v>121.19</v>
      </c>
      <c r="BI119" s="1">
        <v>343273</v>
      </c>
      <c r="BJ119" s="3">
        <v>41858</v>
      </c>
      <c r="BK119" t="s">
        <v>123</v>
      </c>
      <c r="BL119" t="str">
        <f>"2014.521748"</f>
        <v>2014.521748</v>
      </c>
      <c r="BM119" t="s">
        <v>709</v>
      </c>
      <c r="BO119" t="s">
        <v>1087</v>
      </c>
      <c r="BS119">
        <v>30</v>
      </c>
      <c r="BW119" t="str">
        <f>""</f>
        <v/>
      </c>
      <c r="CH119" t="str">
        <f>""</f>
        <v/>
      </c>
      <c r="CS119" t="str">
        <f>""</f>
        <v/>
      </c>
    </row>
    <row r="120" spans="1:97" x14ac:dyDescent="0.25">
      <c r="A120" t="s">
        <v>1088</v>
      </c>
      <c r="B120" t="s">
        <v>1089</v>
      </c>
      <c r="C120" t="s">
        <v>1090</v>
      </c>
      <c r="D120" t="s">
        <v>1089</v>
      </c>
      <c r="E120" t="s">
        <v>1091</v>
      </c>
      <c r="F120" t="s">
        <v>108</v>
      </c>
      <c r="H120" t="s">
        <v>1092</v>
      </c>
      <c r="I120" t="s">
        <v>499</v>
      </c>
      <c r="J120" t="s">
        <v>111</v>
      </c>
      <c r="K120" t="str">
        <f>"85395"</f>
        <v>85395</v>
      </c>
      <c r="L120" t="s">
        <v>500</v>
      </c>
      <c r="M120" t="s">
        <v>1092</v>
      </c>
      <c r="N120" t="s">
        <v>499</v>
      </c>
      <c r="O120" t="s">
        <v>111</v>
      </c>
      <c r="P120" t="str">
        <f>"85395-6491"</f>
        <v>85395-6491</v>
      </c>
      <c r="Q120" t="s">
        <v>113</v>
      </c>
      <c r="R120" t="str">
        <f>"502-30-410"</f>
        <v>502-30-410</v>
      </c>
      <c r="S120" t="s">
        <v>501</v>
      </c>
      <c r="T120" t="s">
        <v>502</v>
      </c>
      <c r="U120">
        <v>5321</v>
      </c>
      <c r="W120">
        <v>6</v>
      </c>
      <c r="X120">
        <v>2015</v>
      </c>
      <c r="Z120">
        <v>2</v>
      </c>
      <c r="AC120" t="s">
        <v>115</v>
      </c>
      <c r="AD120">
        <v>5</v>
      </c>
      <c r="AE120" t="s">
        <v>115</v>
      </c>
      <c r="AH120" t="s">
        <v>116</v>
      </c>
      <c r="AI120" s="1">
        <v>62998</v>
      </c>
      <c r="AJ120" s="2">
        <v>0.11</v>
      </c>
      <c r="AK120" s="1">
        <v>568831</v>
      </c>
      <c r="AL120" t="s">
        <v>117</v>
      </c>
      <c r="AM120" t="s">
        <v>118</v>
      </c>
      <c r="AN120">
        <v>15950</v>
      </c>
      <c r="AO120">
        <v>0.37</v>
      </c>
      <c r="AR120">
        <v>1</v>
      </c>
      <c r="AS120" s="1">
        <v>44700</v>
      </c>
      <c r="AT120" s="1">
        <v>8940</v>
      </c>
      <c r="AU120" s="1">
        <v>35760</v>
      </c>
      <c r="AV120">
        <v>80</v>
      </c>
      <c r="AX120" s="1">
        <v>4105.26</v>
      </c>
      <c r="AY120" t="s">
        <v>503</v>
      </c>
      <c r="AZ120" t="s">
        <v>504</v>
      </c>
      <c r="BA120" t="s">
        <v>218</v>
      </c>
      <c r="BE120" s="3">
        <v>42277</v>
      </c>
      <c r="BF120" s="1">
        <v>523328</v>
      </c>
      <c r="BG120" t="s">
        <v>209</v>
      </c>
      <c r="BH120" s="1">
        <v>98.35</v>
      </c>
      <c r="BI120" s="1">
        <v>505833</v>
      </c>
      <c r="BJ120" s="3">
        <v>42277</v>
      </c>
      <c r="BK120" t="s">
        <v>123</v>
      </c>
      <c r="BL120" t="str">
        <f>"2015.703730"</f>
        <v>2015.703730</v>
      </c>
      <c r="BM120" t="s">
        <v>175</v>
      </c>
      <c r="BO120" t="s">
        <v>1093</v>
      </c>
      <c r="BS120">
        <v>30</v>
      </c>
      <c r="BW120" t="str">
        <f>""</f>
        <v/>
      </c>
      <c r="CH120" t="str">
        <f>""</f>
        <v/>
      </c>
      <c r="CS120" t="str">
        <f>""</f>
        <v/>
      </c>
    </row>
    <row r="121" spans="1:97" x14ac:dyDescent="0.25">
      <c r="A121" t="s">
        <v>126</v>
      </c>
      <c r="B121" t="s">
        <v>1094</v>
      </c>
      <c r="C121" t="s">
        <v>719</v>
      </c>
      <c r="D121" t="s">
        <v>1094</v>
      </c>
      <c r="E121" t="s">
        <v>1095</v>
      </c>
      <c r="F121" t="s">
        <v>108</v>
      </c>
      <c r="H121" t="s">
        <v>1096</v>
      </c>
      <c r="I121" t="s">
        <v>225</v>
      </c>
      <c r="J121" t="s">
        <v>111</v>
      </c>
      <c r="K121" t="str">
        <f>"85212"</f>
        <v>85212</v>
      </c>
      <c r="L121" t="s">
        <v>558</v>
      </c>
      <c r="M121" t="s">
        <v>1096</v>
      </c>
      <c r="N121" t="s">
        <v>225</v>
      </c>
      <c r="O121" t="s">
        <v>111</v>
      </c>
      <c r="P121" t="str">
        <f>"85212-8001"</f>
        <v>85212-8001</v>
      </c>
      <c r="Q121" t="s">
        <v>113</v>
      </c>
      <c r="R121" t="str">
        <f>"304-50-013"</f>
        <v>304-50-013</v>
      </c>
      <c r="S121" t="s">
        <v>883</v>
      </c>
      <c r="U121">
        <v>2740</v>
      </c>
      <c r="W121">
        <v>6</v>
      </c>
      <c r="X121">
        <v>2015</v>
      </c>
      <c r="Z121">
        <v>2</v>
      </c>
      <c r="AC121" t="s">
        <v>115</v>
      </c>
      <c r="AD121">
        <v>2</v>
      </c>
      <c r="AE121" t="s">
        <v>115</v>
      </c>
      <c r="AH121" t="s">
        <v>116</v>
      </c>
      <c r="AI121" s="1">
        <v>82425</v>
      </c>
      <c r="AJ121" s="2">
        <v>0.21</v>
      </c>
      <c r="AK121" s="1">
        <v>392425</v>
      </c>
      <c r="AL121" t="s">
        <v>117</v>
      </c>
      <c r="AM121" t="s">
        <v>118</v>
      </c>
      <c r="AN121">
        <v>6012</v>
      </c>
      <c r="AO121">
        <v>0.14000000000000001</v>
      </c>
      <c r="AR121">
        <v>1</v>
      </c>
      <c r="AS121" s="1">
        <v>27400</v>
      </c>
      <c r="AT121" s="1">
        <v>5480</v>
      </c>
      <c r="AU121" s="1">
        <v>21920</v>
      </c>
      <c r="AV121">
        <v>80</v>
      </c>
      <c r="AX121" s="1">
        <v>3680.16</v>
      </c>
      <c r="AY121" t="s">
        <v>560</v>
      </c>
      <c r="AZ121" t="s">
        <v>561</v>
      </c>
      <c r="BA121" t="s">
        <v>194</v>
      </c>
      <c r="BE121" s="3">
        <v>42159</v>
      </c>
      <c r="BF121" s="1">
        <v>285000</v>
      </c>
      <c r="BG121" t="s">
        <v>617</v>
      </c>
      <c r="BH121" s="1">
        <v>104.01</v>
      </c>
      <c r="BI121" s="1">
        <v>310000</v>
      </c>
      <c r="BJ121" s="3">
        <v>43621</v>
      </c>
      <c r="BK121" t="s">
        <v>123</v>
      </c>
      <c r="BL121" t="str">
        <f>"2019.415443"</f>
        <v>2019.415443</v>
      </c>
      <c r="BM121" t="s">
        <v>533</v>
      </c>
      <c r="BN121" t="s">
        <v>534</v>
      </c>
      <c r="BO121" t="s">
        <v>1097</v>
      </c>
      <c r="BP121" t="s">
        <v>1098</v>
      </c>
      <c r="BR121" t="s">
        <v>139</v>
      </c>
      <c r="BW121" t="str">
        <f>""</f>
        <v/>
      </c>
      <c r="CH121" t="str">
        <f>""</f>
        <v/>
      </c>
      <c r="CS121" t="str">
        <f>""</f>
        <v/>
      </c>
    </row>
    <row r="122" spans="1:97" x14ac:dyDescent="0.25">
      <c r="A122" t="s">
        <v>177</v>
      </c>
      <c r="B122" t="s">
        <v>1099</v>
      </c>
      <c r="C122" t="s">
        <v>691</v>
      </c>
      <c r="D122" t="s">
        <v>1099</v>
      </c>
      <c r="E122" t="s">
        <v>1100</v>
      </c>
      <c r="F122" t="s">
        <v>139</v>
      </c>
      <c r="H122" t="s">
        <v>1101</v>
      </c>
      <c r="I122" t="s">
        <v>203</v>
      </c>
      <c r="J122" t="s">
        <v>111</v>
      </c>
      <c r="K122" t="str">
        <f>"85298"</f>
        <v>85298</v>
      </c>
      <c r="L122" t="s">
        <v>269</v>
      </c>
      <c r="M122" t="s">
        <v>1102</v>
      </c>
      <c r="N122" t="s">
        <v>203</v>
      </c>
      <c r="O122" t="s">
        <v>111</v>
      </c>
      <c r="P122" t="str">
        <f>"85298"</f>
        <v>85298</v>
      </c>
      <c r="Q122" t="s">
        <v>113</v>
      </c>
      <c r="R122" t="str">
        <f>"304-86-674"</f>
        <v>304-86-674</v>
      </c>
      <c r="S122" t="s">
        <v>862</v>
      </c>
      <c r="T122" t="s">
        <v>271</v>
      </c>
      <c r="U122">
        <v>3541</v>
      </c>
      <c r="W122">
        <v>5</v>
      </c>
      <c r="X122">
        <v>2014</v>
      </c>
      <c r="Z122">
        <v>2</v>
      </c>
      <c r="AC122" t="s">
        <v>115</v>
      </c>
      <c r="AD122">
        <v>3</v>
      </c>
      <c r="AE122" t="s">
        <v>115</v>
      </c>
      <c r="AH122" t="s">
        <v>116</v>
      </c>
      <c r="AI122" s="1">
        <v>115999</v>
      </c>
      <c r="AJ122" s="2">
        <v>0.25</v>
      </c>
      <c r="AK122" s="1">
        <v>462732</v>
      </c>
      <c r="AL122" t="s">
        <v>117</v>
      </c>
      <c r="AM122" t="s">
        <v>393</v>
      </c>
      <c r="AN122">
        <v>6344</v>
      </c>
      <c r="AO122">
        <v>0.15</v>
      </c>
      <c r="AR122">
        <v>1</v>
      </c>
      <c r="AS122" s="1">
        <v>32980</v>
      </c>
      <c r="AT122" s="1">
        <v>6590</v>
      </c>
      <c r="AU122" s="1">
        <v>26390</v>
      </c>
      <c r="AV122">
        <v>80.02</v>
      </c>
      <c r="AX122" s="1">
        <v>2655.34</v>
      </c>
      <c r="AY122" t="s">
        <v>272</v>
      </c>
      <c r="AZ122" t="s">
        <v>273</v>
      </c>
      <c r="BA122" t="s">
        <v>274</v>
      </c>
      <c r="BE122" s="3">
        <v>42061</v>
      </c>
      <c r="BF122" s="1">
        <v>338648</v>
      </c>
      <c r="BG122" t="s">
        <v>275</v>
      </c>
      <c r="BH122" s="1">
        <v>95.64</v>
      </c>
      <c r="BI122" s="1">
        <v>346733</v>
      </c>
      <c r="BJ122" s="3">
        <v>42611</v>
      </c>
      <c r="BK122" t="s">
        <v>123</v>
      </c>
      <c r="BL122" t="str">
        <f>"2016.619583"</f>
        <v>2016.619583</v>
      </c>
      <c r="BM122" t="s">
        <v>150</v>
      </c>
      <c r="BO122" t="s">
        <v>1103</v>
      </c>
      <c r="BS122">
        <v>30</v>
      </c>
      <c r="BW122" t="str">
        <f>""</f>
        <v/>
      </c>
      <c r="CH122" t="str">
        <f>""</f>
        <v/>
      </c>
      <c r="CS122" t="str">
        <f>""</f>
        <v/>
      </c>
    </row>
    <row r="123" spans="1:97" x14ac:dyDescent="0.25">
      <c r="A123" t="s">
        <v>1104</v>
      </c>
      <c r="B123" t="s">
        <v>1105</v>
      </c>
      <c r="E123" t="s">
        <v>1106</v>
      </c>
      <c r="F123" t="s">
        <v>108</v>
      </c>
      <c r="H123" t="s">
        <v>1107</v>
      </c>
      <c r="I123" t="s">
        <v>203</v>
      </c>
      <c r="J123" t="s">
        <v>111</v>
      </c>
      <c r="K123" t="str">
        <f>"85298"</f>
        <v>85298</v>
      </c>
      <c r="L123" t="s">
        <v>734</v>
      </c>
      <c r="M123" t="s">
        <v>1107</v>
      </c>
      <c r="N123" t="s">
        <v>203</v>
      </c>
      <c r="O123" t="s">
        <v>111</v>
      </c>
      <c r="P123" t="str">
        <f>"85298"</f>
        <v>85298</v>
      </c>
      <c r="Q123" t="s">
        <v>113</v>
      </c>
      <c r="R123" t="str">
        <f>"313-18-581"</f>
        <v>313-18-581</v>
      </c>
      <c r="S123" t="s">
        <v>736</v>
      </c>
      <c r="U123">
        <v>2587</v>
      </c>
      <c r="W123">
        <v>4</v>
      </c>
      <c r="X123">
        <v>2014</v>
      </c>
      <c r="Z123">
        <v>1</v>
      </c>
      <c r="AA123" t="s">
        <v>26</v>
      </c>
      <c r="AC123" t="s">
        <v>115</v>
      </c>
      <c r="AD123">
        <v>3</v>
      </c>
      <c r="AE123" t="s">
        <v>115</v>
      </c>
      <c r="AH123" t="s">
        <v>116</v>
      </c>
      <c r="AI123" s="1">
        <v>-254080</v>
      </c>
      <c r="AJ123" s="2">
        <v>-0.53</v>
      </c>
      <c r="AK123" s="1">
        <v>475520</v>
      </c>
      <c r="AL123" t="s">
        <v>117</v>
      </c>
      <c r="AM123" t="s">
        <v>393</v>
      </c>
      <c r="AN123">
        <v>9242</v>
      </c>
      <c r="AO123">
        <v>0.21</v>
      </c>
      <c r="AR123">
        <v>1</v>
      </c>
      <c r="AS123" s="1">
        <v>35630</v>
      </c>
      <c r="AT123" s="1">
        <v>7120</v>
      </c>
      <c r="AU123" s="1">
        <v>28510</v>
      </c>
      <c r="AV123">
        <v>80.02</v>
      </c>
      <c r="AX123" s="1">
        <v>2582.66</v>
      </c>
      <c r="AY123" t="s">
        <v>737</v>
      </c>
      <c r="AZ123" t="s">
        <v>273</v>
      </c>
      <c r="BA123" t="s">
        <v>303</v>
      </c>
      <c r="BB123" s="3">
        <v>41828</v>
      </c>
      <c r="BC123" s="1">
        <v>384000</v>
      </c>
      <c r="BD123" t="s">
        <v>842</v>
      </c>
      <c r="BE123" s="3">
        <v>41782</v>
      </c>
      <c r="BF123" s="1">
        <v>384000</v>
      </c>
      <c r="BG123" t="s">
        <v>195</v>
      </c>
      <c r="BH123" s="1">
        <v>148.43</v>
      </c>
      <c r="BI123" s="1">
        <v>364800</v>
      </c>
      <c r="BJ123" s="3">
        <v>41782</v>
      </c>
      <c r="BK123" t="s">
        <v>123</v>
      </c>
      <c r="BL123" t="str">
        <f>"2014.338434"</f>
        <v>2014.338434</v>
      </c>
      <c r="BM123" t="s">
        <v>196</v>
      </c>
      <c r="BO123" t="s">
        <v>1108</v>
      </c>
      <c r="BS123">
        <v>30</v>
      </c>
      <c r="BT123" s="1">
        <v>364800</v>
      </c>
      <c r="BU123" s="3">
        <v>41828</v>
      </c>
      <c r="BV123" t="s">
        <v>123</v>
      </c>
      <c r="BW123" t="str">
        <f>"2014.442504"</f>
        <v>2014.442504</v>
      </c>
      <c r="BX123" t="s">
        <v>196</v>
      </c>
      <c r="BZ123" t="s">
        <v>1108</v>
      </c>
      <c r="CD123">
        <v>30</v>
      </c>
      <c r="CH123" t="str">
        <f>""</f>
        <v/>
      </c>
      <c r="CS123" t="str">
        <f>""</f>
        <v/>
      </c>
    </row>
    <row r="124" spans="1:97" x14ac:dyDescent="0.25">
      <c r="A124" t="s">
        <v>1109</v>
      </c>
      <c r="B124" t="s">
        <v>1110</v>
      </c>
      <c r="C124" t="s">
        <v>1111</v>
      </c>
      <c r="D124" t="s">
        <v>1112</v>
      </c>
      <c r="E124" t="s">
        <v>1113</v>
      </c>
      <c r="F124" t="s">
        <v>108</v>
      </c>
      <c r="H124" t="s">
        <v>1114</v>
      </c>
      <c r="I124" t="s">
        <v>632</v>
      </c>
      <c r="J124" t="s">
        <v>111</v>
      </c>
      <c r="K124" t="str">
        <f>"85379"</f>
        <v>85379</v>
      </c>
      <c r="L124" t="s">
        <v>375</v>
      </c>
      <c r="M124" t="s">
        <v>1114</v>
      </c>
      <c r="N124" t="s">
        <v>632</v>
      </c>
      <c r="O124" t="s">
        <v>111</v>
      </c>
      <c r="P124" t="str">
        <f>"85379-4281"</f>
        <v>85379-4281</v>
      </c>
      <c r="Q124" t="s">
        <v>113</v>
      </c>
      <c r="R124" t="str">
        <f>"509-11-706"</f>
        <v>509-11-706</v>
      </c>
      <c r="S124" t="s">
        <v>633</v>
      </c>
      <c r="U124">
        <v>2010</v>
      </c>
      <c r="W124">
        <v>3</v>
      </c>
      <c r="X124">
        <v>2015</v>
      </c>
      <c r="Z124">
        <v>1</v>
      </c>
      <c r="AC124" t="s">
        <v>115</v>
      </c>
      <c r="AD124">
        <v>2</v>
      </c>
      <c r="AE124" t="s">
        <v>115</v>
      </c>
      <c r="AH124" t="s">
        <v>116</v>
      </c>
      <c r="AI124" s="1">
        <v>58200</v>
      </c>
      <c r="AJ124" s="2">
        <v>0.18</v>
      </c>
      <c r="AK124" s="1">
        <v>318112</v>
      </c>
      <c r="AL124" t="s">
        <v>117</v>
      </c>
      <c r="AM124" t="s">
        <v>118</v>
      </c>
      <c r="AN124">
        <v>6425</v>
      </c>
      <c r="AO124">
        <v>0.15</v>
      </c>
      <c r="AR124">
        <v>1</v>
      </c>
      <c r="AS124" s="1">
        <v>23680</v>
      </c>
      <c r="AT124" s="1">
        <v>4730</v>
      </c>
      <c r="AU124" s="1">
        <v>18950</v>
      </c>
      <c r="AV124">
        <v>80.03</v>
      </c>
      <c r="AX124" s="1">
        <v>2749.52</v>
      </c>
      <c r="AY124" t="s">
        <v>634</v>
      </c>
      <c r="AZ124" t="s">
        <v>634</v>
      </c>
      <c r="BA124" t="s">
        <v>635</v>
      </c>
      <c r="BE124" s="3">
        <v>42305</v>
      </c>
      <c r="BF124" s="1">
        <v>254442</v>
      </c>
      <c r="BG124" t="s">
        <v>636</v>
      </c>
      <c r="BH124" s="1">
        <v>126.59</v>
      </c>
      <c r="BI124" s="1">
        <v>259912</v>
      </c>
      <c r="BJ124" s="3">
        <v>42305</v>
      </c>
      <c r="BK124" t="s">
        <v>123</v>
      </c>
      <c r="BL124" t="str">
        <f>"2015.775706"</f>
        <v>2015.775706</v>
      </c>
      <c r="BM124" t="s">
        <v>637</v>
      </c>
      <c r="BO124" t="s">
        <v>1115</v>
      </c>
      <c r="BP124" t="s">
        <v>1116</v>
      </c>
      <c r="BS124">
        <v>30</v>
      </c>
      <c r="BW124" t="str">
        <f>""</f>
        <v/>
      </c>
      <c r="CH124" t="str">
        <f>""</f>
        <v/>
      </c>
      <c r="CS124" t="str">
        <f>""</f>
        <v/>
      </c>
    </row>
    <row r="125" spans="1:97" x14ac:dyDescent="0.25">
      <c r="A125" t="s">
        <v>1117</v>
      </c>
      <c r="B125" t="s">
        <v>1118</v>
      </c>
      <c r="C125" t="s">
        <v>1119</v>
      </c>
      <c r="D125" t="s">
        <v>1118</v>
      </c>
      <c r="E125" t="s">
        <v>1120</v>
      </c>
      <c r="F125" t="s">
        <v>108</v>
      </c>
      <c r="H125" t="s">
        <v>1121</v>
      </c>
      <c r="I125" t="s">
        <v>374</v>
      </c>
      <c r="J125" t="s">
        <v>111</v>
      </c>
      <c r="K125" t="str">
        <f>"85087"</f>
        <v>85087</v>
      </c>
      <c r="L125" t="s">
        <v>375</v>
      </c>
      <c r="M125" t="s">
        <v>1121</v>
      </c>
      <c r="N125" t="s">
        <v>374</v>
      </c>
      <c r="O125" t="s">
        <v>111</v>
      </c>
      <c r="P125" t="str">
        <f>"85087-6204"</f>
        <v>85087-6204</v>
      </c>
      <c r="Q125" t="s">
        <v>113</v>
      </c>
      <c r="R125" t="str">
        <f>"202-23-307"</f>
        <v>202-23-307</v>
      </c>
      <c r="S125" t="s">
        <v>663</v>
      </c>
      <c r="T125" t="s">
        <v>664</v>
      </c>
      <c r="U125">
        <v>4320</v>
      </c>
      <c r="W125">
        <v>6</v>
      </c>
      <c r="X125">
        <v>2015</v>
      </c>
      <c r="Z125">
        <v>2</v>
      </c>
      <c r="AC125" t="s">
        <v>115</v>
      </c>
      <c r="AD125">
        <v>3</v>
      </c>
      <c r="AE125" t="s">
        <v>115</v>
      </c>
      <c r="AH125" t="s">
        <v>116</v>
      </c>
      <c r="AI125" s="1">
        <v>75092</v>
      </c>
      <c r="AJ125" s="2">
        <v>0.15</v>
      </c>
      <c r="AK125" s="1">
        <v>493592</v>
      </c>
      <c r="AL125" t="s">
        <v>117</v>
      </c>
      <c r="AM125" t="s">
        <v>171</v>
      </c>
      <c r="AN125">
        <v>8989</v>
      </c>
      <c r="AO125">
        <v>0.21</v>
      </c>
      <c r="AR125">
        <v>1</v>
      </c>
      <c r="AS125" s="1">
        <v>38000</v>
      </c>
      <c r="AT125" s="1">
        <v>7600</v>
      </c>
      <c r="AU125" s="1">
        <v>30400</v>
      </c>
      <c r="AV125">
        <v>80</v>
      </c>
      <c r="AX125" s="1">
        <v>3462.7</v>
      </c>
      <c r="AY125" t="s">
        <v>665</v>
      </c>
      <c r="AZ125" t="s">
        <v>665</v>
      </c>
      <c r="BA125" t="s">
        <v>378</v>
      </c>
      <c r="BE125" s="3">
        <v>42209</v>
      </c>
      <c r="BF125" s="1">
        <v>406718</v>
      </c>
      <c r="BG125" t="s">
        <v>158</v>
      </c>
      <c r="BH125" s="1">
        <v>94.15</v>
      </c>
      <c r="BI125" s="1">
        <v>418500</v>
      </c>
      <c r="BJ125" s="3">
        <v>42649</v>
      </c>
      <c r="BK125" t="s">
        <v>123</v>
      </c>
      <c r="BL125" t="str">
        <f>"2016.733399"</f>
        <v>2016.733399</v>
      </c>
      <c r="BM125" t="s">
        <v>1122</v>
      </c>
      <c r="BO125" t="s">
        <v>1123</v>
      </c>
      <c r="BS125">
        <v>30</v>
      </c>
      <c r="BW125" t="str">
        <f>""</f>
        <v/>
      </c>
      <c r="CH125" t="str">
        <f>""</f>
        <v/>
      </c>
      <c r="CS125" t="str">
        <f>""</f>
        <v/>
      </c>
    </row>
    <row r="126" spans="1:97" x14ac:dyDescent="0.25">
      <c r="A126" t="s">
        <v>1124</v>
      </c>
      <c r="B126" t="s">
        <v>1125</v>
      </c>
      <c r="C126" t="s">
        <v>1126</v>
      </c>
      <c r="D126" t="s">
        <v>1127</v>
      </c>
      <c r="E126" t="s">
        <v>1128</v>
      </c>
      <c r="F126" t="s">
        <v>108</v>
      </c>
      <c r="H126" t="s">
        <v>1129</v>
      </c>
      <c r="I126" t="s">
        <v>203</v>
      </c>
      <c r="J126" t="s">
        <v>111</v>
      </c>
      <c r="K126" t="str">
        <f>"85298"</f>
        <v>85298</v>
      </c>
      <c r="L126" t="s">
        <v>1130</v>
      </c>
      <c r="M126" t="s">
        <v>1129</v>
      </c>
      <c r="N126" t="s">
        <v>203</v>
      </c>
      <c r="O126" t="s">
        <v>111</v>
      </c>
      <c r="P126" t="str">
        <f>"85298"</f>
        <v>85298</v>
      </c>
      <c r="R126" t="str">
        <f>"304-88-174"</f>
        <v>304-88-174</v>
      </c>
      <c r="S126" t="s">
        <v>1131</v>
      </c>
      <c r="T126" t="s">
        <v>1132</v>
      </c>
      <c r="U126">
        <v>2843</v>
      </c>
      <c r="W126">
        <v>5</v>
      </c>
      <c r="X126">
        <v>2015</v>
      </c>
      <c r="Z126">
        <v>1</v>
      </c>
      <c r="AC126" t="s">
        <v>115</v>
      </c>
      <c r="AD126">
        <v>3</v>
      </c>
      <c r="AE126" t="s">
        <v>115</v>
      </c>
      <c r="AH126" t="s">
        <v>116</v>
      </c>
      <c r="AI126" s="1">
        <v>72878</v>
      </c>
      <c r="AJ126" s="2">
        <v>0.15</v>
      </c>
      <c r="AK126" s="1">
        <v>497778</v>
      </c>
      <c r="AL126" t="s">
        <v>117</v>
      </c>
      <c r="AM126" t="s">
        <v>171</v>
      </c>
      <c r="AN126">
        <v>9375</v>
      </c>
      <c r="AO126">
        <v>0.22</v>
      </c>
      <c r="AR126">
        <v>1</v>
      </c>
      <c r="AS126" s="1">
        <v>37720</v>
      </c>
      <c r="AT126" s="1">
        <v>7540</v>
      </c>
      <c r="AU126" s="1">
        <v>30180</v>
      </c>
      <c r="AV126">
        <v>80.010000000000005</v>
      </c>
      <c r="AX126" s="1">
        <v>2911.88</v>
      </c>
      <c r="AY126" t="s">
        <v>1133</v>
      </c>
      <c r="AZ126" t="s">
        <v>1134</v>
      </c>
      <c r="BA126" t="s">
        <v>1134</v>
      </c>
      <c r="BE126" s="3">
        <v>42299</v>
      </c>
      <c r="BF126" s="1">
        <v>416832</v>
      </c>
      <c r="BG126" t="s">
        <v>292</v>
      </c>
      <c r="BH126" s="1">
        <v>146.62</v>
      </c>
      <c r="BI126" s="1">
        <v>424900</v>
      </c>
      <c r="BJ126" s="3">
        <v>42706</v>
      </c>
      <c r="BK126" t="s">
        <v>123</v>
      </c>
      <c r="BL126" t="str">
        <f>"2016.888949"</f>
        <v>2016.888949</v>
      </c>
      <c r="BM126" t="s">
        <v>1135</v>
      </c>
      <c r="BN126" t="s">
        <v>1136</v>
      </c>
      <c r="BO126" t="s">
        <v>1137</v>
      </c>
      <c r="BP126" t="s">
        <v>1138</v>
      </c>
      <c r="BS126">
        <v>30</v>
      </c>
      <c r="BW126" t="str">
        <f>""</f>
        <v/>
      </c>
      <c r="CH126" t="str">
        <f>""</f>
        <v/>
      </c>
      <c r="CS126" t="str">
        <f>""</f>
        <v/>
      </c>
    </row>
    <row r="127" spans="1:97" x14ac:dyDescent="0.25">
      <c r="A127" t="s">
        <v>370</v>
      </c>
      <c r="B127" t="s">
        <v>1139</v>
      </c>
      <c r="C127" t="s">
        <v>1140</v>
      </c>
      <c r="D127" t="s">
        <v>1139</v>
      </c>
      <c r="E127" t="s">
        <v>1141</v>
      </c>
      <c r="F127" t="s">
        <v>108</v>
      </c>
      <c r="H127" t="s">
        <v>1142</v>
      </c>
      <c r="I127" t="s">
        <v>203</v>
      </c>
      <c r="J127" t="s">
        <v>111</v>
      </c>
      <c r="K127" t="str">
        <f>"85298"</f>
        <v>85298</v>
      </c>
      <c r="L127" t="s">
        <v>681</v>
      </c>
      <c r="M127" t="s">
        <v>1142</v>
      </c>
      <c r="N127" t="s">
        <v>203</v>
      </c>
      <c r="O127" t="s">
        <v>111</v>
      </c>
      <c r="P127" t="str">
        <f>"85298"</f>
        <v>85298</v>
      </c>
      <c r="Q127" t="s">
        <v>113</v>
      </c>
      <c r="R127" t="str">
        <f>"304-87-686"</f>
        <v>304-87-686</v>
      </c>
      <c r="S127" t="s">
        <v>682</v>
      </c>
      <c r="U127">
        <v>5150</v>
      </c>
      <c r="W127">
        <v>7</v>
      </c>
      <c r="X127">
        <v>2015</v>
      </c>
      <c r="Z127">
        <v>2</v>
      </c>
      <c r="AA127" t="s">
        <v>26</v>
      </c>
      <c r="AC127" t="s">
        <v>115</v>
      </c>
      <c r="AD127">
        <v>4</v>
      </c>
      <c r="AE127" t="s">
        <v>115</v>
      </c>
      <c r="AH127" t="s">
        <v>116</v>
      </c>
      <c r="AI127" s="1">
        <v>128131</v>
      </c>
      <c r="AJ127" s="2">
        <v>0.17</v>
      </c>
      <c r="AK127" s="1">
        <v>761344</v>
      </c>
      <c r="AL127" t="s">
        <v>117</v>
      </c>
      <c r="AM127" t="s">
        <v>393</v>
      </c>
      <c r="AN127">
        <v>14007</v>
      </c>
      <c r="AO127">
        <v>0.32</v>
      </c>
      <c r="AR127">
        <v>1</v>
      </c>
      <c r="AS127" s="1">
        <v>58720</v>
      </c>
      <c r="AT127" s="1">
        <v>11740</v>
      </c>
      <c r="AU127" s="1">
        <v>46980</v>
      </c>
      <c r="AV127">
        <v>80.010000000000005</v>
      </c>
      <c r="AX127" s="1">
        <v>4674.04</v>
      </c>
      <c r="AY127" t="s">
        <v>289</v>
      </c>
      <c r="AZ127" t="s">
        <v>289</v>
      </c>
      <c r="BA127" t="s">
        <v>290</v>
      </c>
      <c r="BE127" s="3">
        <v>42255</v>
      </c>
      <c r="BF127" s="1">
        <v>612769</v>
      </c>
      <c r="BG127" t="s">
        <v>209</v>
      </c>
      <c r="BH127" s="1">
        <v>118.98</v>
      </c>
      <c r="BI127" s="1">
        <v>633213</v>
      </c>
      <c r="BJ127" s="3">
        <v>42255</v>
      </c>
      <c r="BK127" t="s">
        <v>123</v>
      </c>
      <c r="BL127" t="str">
        <f>"2015.649088"</f>
        <v>2015.649088</v>
      </c>
      <c r="BM127" t="s">
        <v>175</v>
      </c>
      <c r="BO127" t="s">
        <v>1143</v>
      </c>
      <c r="BS127">
        <v>30</v>
      </c>
      <c r="BW127" t="str">
        <f>""</f>
        <v/>
      </c>
      <c r="CH127" t="str">
        <f>""</f>
        <v/>
      </c>
      <c r="CS127" t="str">
        <f>""</f>
        <v/>
      </c>
    </row>
    <row r="128" spans="1:97" x14ac:dyDescent="0.25">
      <c r="A128" t="s">
        <v>305</v>
      </c>
      <c r="B128" t="s">
        <v>1144</v>
      </c>
      <c r="C128" t="s">
        <v>794</v>
      </c>
      <c r="D128" t="s">
        <v>1144</v>
      </c>
      <c r="E128" t="s">
        <v>1145</v>
      </c>
      <c r="F128" t="s">
        <v>108</v>
      </c>
      <c r="H128" t="s">
        <v>1146</v>
      </c>
      <c r="I128" t="s">
        <v>225</v>
      </c>
      <c r="J128" t="s">
        <v>111</v>
      </c>
      <c r="K128" t="str">
        <f>"85212"</f>
        <v>85212</v>
      </c>
      <c r="L128" t="s">
        <v>558</v>
      </c>
      <c r="M128" t="s">
        <v>1146</v>
      </c>
      <c r="N128" t="s">
        <v>225</v>
      </c>
      <c r="O128" t="s">
        <v>111</v>
      </c>
      <c r="P128" t="str">
        <f>"85212-8211"</f>
        <v>85212-8211</v>
      </c>
      <c r="Q128" t="s">
        <v>113</v>
      </c>
      <c r="R128" t="str">
        <f>"304-50-413"</f>
        <v>304-50-413</v>
      </c>
      <c r="S128" t="s">
        <v>1147</v>
      </c>
      <c r="U128">
        <v>4380</v>
      </c>
      <c r="W128">
        <v>6</v>
      </c>
      <c r="X128">
        <v>2014</v>
      </c>
      <c r="Z128">
        <v>2</v>
      </c>
      <c r="AA128" t="s">
        <v>26</v>
      </c>
      <c r="AC128" t="s">
        <v>115</v>
      </c>
      <c r="AD128">
        <v>4</v>
      </c>
      <c r="AE128" t="s">
        <v>115</v>
      </c>
      <c r="AH128" t="s">
        <v>116</v>
      </c>
      <c r="AI128" s="1">
        <v>57866</v>
      </c>
      <c r="AJ128" s="2">
        <v>0.1</v>
      </c>
      <c r="AK128" s="1">
        <v>565128</v>
      </c>
      <c r="AL128" t="s">
        <v>117</v>
      </c>
      <c r="AM128" t="s">
        <v>118</v>
      </c>
      <c r="AN128">
        <v>13881</v>
      </c>
      <c r="AO128">
        <v>0.32</v>
      </c>
      <c r="AR128">
        <v>1</v>
      </c>
      <c r="AS128" s="1">
        <v>43450</v>
      </c>
      <c r="AT128" s="1">
        <v>8690</v>
      </c>
      <c r="AU128" s="1">
        <v>34760</v>
      </c>
      <c r="AV128">
        <v>80</v>
      </c>
      <c r="AX128" s="1">
        <v>6085.62</v>
      </c>
      <c r="AY128" t="s">
        <v>560</v>
      </c>
      <c r="AZ128" t="s">
        <v>561</v>
      </c>
      <c r="BA128" t="s">
        <v>194</v>
      </c>
      <c r="BE128" s="3">
        <v>41871</v>
      </c>
      <c r="BF128" s="1">
        <v>504547</v>
      </c>
      <c r="BG128" t="s">
        <v>209</v>
      </c>
      <c r="BH128" s="1">
        <v>115.19</v>
      </c>
      <c r="BI128" s="1">
        <v>457262</v>
      </c>
      <c r="BJ128" s="3">
        <v>42705</v>
      </c>
      <c r="BK128" t="s">
        <v>123</v>
      </c>
      <c r="BL128" t="str">
        <f>"2016.886101"</f>
        <v>2016.886101</v>
      </c>
      <c r="BM128" t="s">
        <v>724</v>
      </c>
      <c r="BO128" t="s">
        <v>1148</v>
      </c>
      <c r="BS128">
        <v>30</v>
      </c>
      <c r="BT128" s="1">
        <v>50000</v>
      </c>
      <c r="BU128" s="3">
        <v>42857</v>
      </c>
      <c r="BV128" t="s">
        <v>134</v>
      </c>
      <c r="BW128" t="str">
        <f>"2017.316592"</f>
        <v>2017.316592</v>
      </c>
      <c r="BX128" t="s">
        <v>135</v>
      </c>
      <c r="BZ128" t="s">
        <v>1149</v>
      </c>
      <c r="CD128">
        <v>40</v>
      </c>
      <c r="CH128" t="str">
        <f>""</f>
        <v/>
      </c>
      <c r="CS128" t="str">
        <f>""</f>
        <v/>
      </c>
    </row>
    <row r="129" spans="1:97" x14ac:dyDescent="0.25">
      <c r="A129" t="s">
        <v>610</v>
      </c>
      <c r="B129" t="s">
        <v>1150</v>
      </c>
      <c r="C129" t="s">
        <v>1151</v>
      </c>
      <c r="D129" t="s">
        <v>1150</v>
      </c>
      <c r="E129" t="s">
        <v>1152</v>
      </c>
      <c r="F129" t="s">
        <v>108</v>
      </c>
      <c r="H129" t="s">
        <v>1153</v>
      </c>
      <c r="I129" t="s">
        <v>453</v>
      </c>
      <c r="J129" t="s">
        <v>111</v>
      </c>
      <c r="K129" t="str">
        <f>"85383"</f>
        <v>85383</v>
      </c>
      <c r="L129" t="s">
        <v>625</v>
      </c>
      <c r="M129" t="s">
        <v>1153</v>
      </c>
      <c r="N129" t="s">
        <v>453</v>
      </c>
      <c r="O129" t="s">
        <v>111</v>
      </c>
      <c r="P129" t="str">
        <f>"85383-3371"</f>
        <v>85383-3371</v>
      </c>
      <c r="Q129" t="s">
        <v>113</v>
      </c>
      <c r="R129" t="str">
        <f>"201-19-153"</f>
        <v>201-19-153</v>
      </c>
      <c r="S129" t="s">
        <v>626</v>
      </c>
      <c r="U129">
        <v>3057</v>
      </c>
      <c r="W129">
        <v>4</v>
      </c>
      <c r="X129">
        <v>2015</v>
      </c>
      <c r="Z129">
        <v>1</v>
      </c>
      <c r="AA129" t="s">
        <v>26</v>
      </c>
      <c r="AC129" t="s">
        <v>115</v>
      </c>
      <c r="AD129">
        <v>3</v>
      </c>
      <c r="AE129" t="s">
        <v>115</v>
      </c>
      <c r="AH129" t="s">
        <v>116</v>
      </c>
      <c r="AI129" s="1">
        <v>23086</v>
      </c>
      <c r="AJ129" s="2">
        <v>0.05</v>
      </c>
      <c r="AK129" s="1">
        <v>489558</v>
      </c>
      <c r="AL129" t="s">
        <v>117</v>
      </c>
      <c r="AM129" t="s">
        <v>118</v>
      </c>
      <c r="AN129">
        <v>8750</v>
      </c>
      <c r="AO129">
        <v>0.2</v>
      </c>
      <c r="AR129">
        <v>1</v>
      </c>
      <c r="AS129" s="1">
        <v>38070</v>
      </c>
      <c r="AT129" s="1">
        <v>7610</v>
      </c>
      <c r="AU129" s="1">
        <v>30460</v>
      </c>
      <c r="AV129">
        <v>80.010000000000005</v>
      </c>
      <c r="AX129" s="1">
        <v>3059.98</v>
      </c>
      <c r="AY129" t="s">
        <v>627</v>
      </c>
      <c r="AZ129" t="s">
        <v>627</v>
      </c>
      <c r="BA129" t="s">
        <v>457</v>
      </c>
      <c r="BE129" s="3">
        <v>42398</v>
      </c>
      <c r="BF129" s="1">
        <v>403168</v>
      </c>
      <c r="BG129" t="s">
        <v>562</v>
      </c>
      <c r="BH129" s="1">
        <v>131.88</v>
      </c>
      <c r="BI129" s="1">
        <v>416472</v>
      </c>
      <c r="BJ129" s="3">
        <v>42398</v>
      </c>
      <c r="BK129" t="s">
        <v>123</v>
      </c>
      <c r="BL129" t="str">
        <f>"2016.62336"</f>
        <v>2016.62336</v>
      </c>
      <c r="BM129" t="s">
        <v>1154</v>
      </c>
      <c r="BN129" t="s">
        <v>1136</v>
      </c>
      <c r="BO129" t="s">
        <v>1155</v>
      </c>
      <c r="BS129">
        <v>30</v>
      </c>
      <c r="BT129" s="1">
        <v>50000</v>
      </c>
      <c r="BU129" s="3">
        <v>43255</v>
      </c>
      <c r="BV129" t="s">
        <v>134</v>
      </c>
      <c r="BW129" t="str">
        <f>"2018.426025"</f>
        <v>2018.426025</v>
      </c>
      <c r="BX129" t="s">
        <v>1156</v>
      </c>
      <c r="BY129" t="s">
        <v>1157</v>
      </c>
      <c r="BZ129" t="s">
        <v>1158</v>
      </c>
      <c r="CA129" t="s">
        <v>1159</v>
      </c>
      <c r="CC129" t="s">
        <v>139</v>
      </c>
      <c r="CH129" t="str">
        <f>""</f>
        <v/>
      </c>
      <c r="CS129" t="str">
        <f>""</f>
        <v/>
      </c>
    </row>
    <row r="130" spans="1:97" x14ac:dyDescent="0.25">
      <c r="A130" t="s">
        <v>1160</v>
      </c>
      <c r="B130" t="s">
        <v>1161</v>
      </c>
      <c r="C130" t="s">
        <v>1162</v>
      </c>
      <c r="D130" t="s">
        <v>1161</v>
      </c>
      <c r="E130" t="s">
        <v>1163</v>
      </c>
      <c r="F130" t="s">
        <v>108</v>
      </c>
      <c r="H130" t="s">
        <v>1164</v>
      </c>
      <c r="I130" t="s">
        <v>203</v>
      </c>
      <c r="J130" t="s">
        <v>111</v>
      </c>
      <c r="K130" t="str">
        <f>"85298"</f>
        <v>85298</v>
      </c>
      <c r="L130" t="s">
        <v>681</v>
      </c>
      <c r="M130" t="s">
        <v>1164</v>
      </c>
      <c r="N130" t="s">
        <v>203</v>
      </c>
      <c r="O130" t="s">
        <v>111</v>
      </c>
      <c r="P130" t="str">
        <f>"85298-2219"</f>
        <v>85298-2219</v>
      </c>
      <c r="Q130" t="s">
        <v>113</v>
      </c>
      <c r="R130" t="str">
        <f>"304-88-503"</f>
        <v>304-88-503</v>
      </c>
      <c r="S130" t="s">
        <v>1165</v>
      </c>
      <c r="T130" t="s">
        <v>287</v>
      </c>
      <c r="U130">
        <v>3456</v>
      </c>
      <c r="W130">
        <v>5</v>
      </c>
      <c r="X130">
        <v>2015</v>
      </c>
      <c r="Z130">
        <v>2</v>
      </c>
      <c r="AC130" t="s">
        <v>115</v>
      </c>
      <c r="AD130">
        <v>2</v>
      </c>
      <c r="AE130" t="s">
        <v>115</v>
      </c>
      <c r="AH130" t="s">
        <v>116</v>
      </c>
      <c r="AI130" s="1">
        <v>65862</v>
      </c>
      <c r="AJ130" s="2">
        <v>0.14000000000000001</v>
      </c>
      <c r="AK130" s="1">
        <v>474062</v>
      </c>
      <c r="AL130" t="s">
        <v>117</v>
      </c>
      <c r="AM130" t="s">
        <v>288</v>
      </c>
      <c r="AN130">
        <v>4950</v>
      </c>
      <c r="AO130">
        <v>0.11</v>
      </c>
      <c r="AR130">
        <v>1</v>
      </c>
      <c r="AS130" s="1">
        <v>33610</v>
      </c>
      <c r="AT130" s="1">
        <v>6720</v>
      </c>
      <c r="AU130" s="1">
        <v>26890</v>
      </c>
      <c r="AV130">
        <v>80.010000000000005</v>
      </c>
      <c r="AX130" s="1">
        <v>2580.34</v>
      </c>
      <c r="AY130" t="s">
        <v>289</v>
      </c>
      <c r="AZ130" t="s">
        <v>289</v>
      </c>
      <c r="BA130" t="s">
        <v>290</v>
      </c>
      <c r="BE130" s="3">
        <v>42199</v>
      </c>
      <c r="BF130" s="1">
        <v>335881</v>
      </c>
      <c r="BG130" t="s">
        <v>420</v>
      </c>
      <c r="BH130" s="1">
        <v>97.19</v>
      </c>
      <c r="BI130" s="1">
        <v>408200</v>
      </c>
      <c r="BJ130" s="3">
        <v>43178</v>
      </c>
      <c r="BK130" t="s">
        <v>123</v>
      </c>
      <c r="BL130" t="str">
        <f>"2018.202249"</f>
        <v>2018.202249</v>
      </c>
      <c r="BM130" t="s">
        <v>673</v>
      </c>
      <c r="BN130" t="s">
        <v>674</v>
      </c>
      <c r="BO130" t="s">
        <v>1166</v>
      </c>
      <c r="BP130" t="s">
        <v>1167</v>
      </c>
      <c r="BR130" t="s">
        <v>139</v>
      </c>
      <c r="BW130" t="str">
        <f>""</f>
        <v/>
      </c>
      <c r="CH130" t="str">
        <f>""</f>
        <v/>
      </c>
      <c r="CS130" t="str">
        <f>""</f>
        <v/>
      </c>
    </row>
    <row r="131" spans="1:97" x14ac:dyDescent="0.25">
      <c r="A131" t="s">
        <v>1168</v>
      </c>
      <c r="B131" t="s">
        <v>1169</v>
      </c>
      <c r="C131" t="s">
        <v>1170</v>
      </c>
      <c r="D131" t="s">
        <v>1169</v>
      </c>
      <c r="E131" t="s">
        <v>1171</v>
      </c>
      <c r="F131" t="s">
        <v>108</v>
      </c>
      <c r="H131" t="s">
        <v>1172</v>
      </c>
      <c r="I131" t="s">
        <v>203</v>
      </c>
      <c r="J131" t="s">
        <v>111</v>
      </c>
      <c r="K131" t="str">
        <f>"85298"</f>
        <v>85298</v>
      </c>
      <c r="L131" t="s">
        <v>734</v>
      </c>
      <c r="M131" t="s">
        <v>1172</v>
      </c>
      <c r="N131" t="s">
        <v>203</v>
      </c>
      <c r="O131" t="s">
        <v>111</v>
      </c>
      <c r="P131" t="str">
        <f>"85298"</f>
        <v>85298</v>
      </c>
      <c r="Q131" t="s">
        <v>113</v>
      </c>
      <c r="R131" t="str">
        <f>"313-18-489"</f>
        <v>313-18-489</v>
      </c>
      <c r="S131" t="s">
        <v>1173</v>
      </c>
      <c r="U131">
        <v>2680</v>
      </c>
      <c r="W131">
        <v>4</v>
      </c>
      <c r="X131">
        <v>2014</v>
      </c>
      <c r="Z131">
        <v>2</v>
      </c>
      <c r="AC131" t="s">
        <v>115</v>
      </c>
      <c r="AD131">
        <v>3</v>
      </c>
      <c r="AE131" t="s">
        <v>115</v>
      </c>
      <c r="AH131" t="s">
        <v>116</v>
      </c>
      <c r="AI131" s="1">
        <v>108390</v>
      </c>
      <c r="AJ131" s="2">
        <v>0.25</v>
      </c>
      <c r="AK131" s="1">
        <v>428609</v>
      </c>
      <c r="AL131" t="s">
        <v>117</v>
      </c>
      <c r="AM131" t="s">
        <v>1174</v>
      </c>
      <c r="AN131">
        <v>6325</v>
      </c>
      <c r="AO131">
        <v>0.14000000000000001</v>
      </c>
      <c r="AR131">
        <v>1</v>
      </c>
      <c r="AS131" s="1">
        <v>29450</v>
      </c>
      <c r="AT131" s="1">
        <v>5890</v>
      </c>
      <c r="AU131" s="1">
        <v>23560</v>
      </c>
      <c r="AV131">
        <v>80</v>
      </c>
      <c r="AX131" s="1">
        <v>2348.12</v>
      </c>
      <c r="AY131" t="s">
        <v>737</v>
      </c>
      <c r="AZ131" t="s">
        <v>273</v>
      </c>
      <c r="BA131" t="s">
        <v>303</v>
      </c>
      <c r="BE131" s="3">
        <v>41956</v>
      </c>
      <c r="BF131" s="1">
        <v>309990</v>
      </c>
      <c r="BG131" t="s">
        <v>195</v>
      </c>
      <c r="BH131" s="1">
        <v>115.67</v>
      </c>
      <c r="BI131" s="1">
        <v>320219</v>
      </c>
      <c r="BJ131" s="3">
        <v>41956</v>
      </c>
      <c r="BK131" t="s">
        <v>123</v>
      </c>
      <c r="BL131" t="str">
        <f>"2014.752064"</f>
        <v>2014.752064</v>
      </c>
      <c r="BM131" t="s">
        <v>196</v>
      </c>
      <c r="BO131" t="s">
        <v>1175</v>
      </c>
      <c r="BS131">
        <v>30</v>
      </c>
      <c r="BW131" t="str">
        <f>""</f>
        <v/>
      </c>
      <c r="CH131" t="str">
        <f>""</f>
        <v/>
      </c>
      <c r="CS131" t="str">
        <f>""</f>
        <v/>
      </c>
    </row>
    <row r="132" spans="1:97" x14ac:dyDescent="0.25">
      <c r="A132" t="s">
        <v>1176</v>
      </c>
      <c r="B132" t="s">
        <v>1177</v>
      </c>
      <c r="E132" t="s">
        <v>1178</v>
      </c>
      <c r="F132" t="s">
        <v>108</v>
      </c>
      <c r="H132" t="s">
        <v>1179</v>
      </c>
      <c r="I132" t="s">
        <v>225</v>
      </c>
      <c r="J132" t="s">
        <v>111</v>
      </c>
      <c r="K132" t="str">
        <f>"85212"</f>
        <v>85212</v>
      </c>
      <c r="L132" t="s">
        <v>558</v>
      </c>
      <c r="M132" t="s">
        <v>1179</v>
      </c>
      <c r="N132" t="s">
        <v>225</v>
      </c>
      <c r="O132" t="s">
        <v>111</v>
      </c>
      <c r="P132" t="str">
        <f>"85212-8142"</f>
        <v>85212-8142</v>
      </c>
      <c r="Q132" t="s">
        <v>113</v>
      </c>
      <c r="R132" t="str">
        <f>"304-50-590"</f>
        <v>304-50-590</v>
      </c>
      <c r="S132" t="s">
        <v>559</v>
      </c>
      <c r="U132">
        <v>2262</v>
      </c>
      <c r="W132">
        <v>3</v>
      </c>
      <c r="X132">
        <v>2013</v>
      </c>
      <c r="Z132">
        <v>1</v>
      </c>
      <c r="AC132" t="s">
        <v>115</v>
      </c>
      <c r="AD132">
        <v>3</v>
      </c>
      <c r="AE132" t="s">
        <v>115</v>
      </c>
      <c r="AH132" t="s">
        <v>116</v>
      </c>
      <c r="AI132" s="1">
        <v>69896</v>
      </c>
      <c r="AJ132" s="2">
        <v>0.18</v>
      </c>
      <c r="AK132" s="1">
        <v>383470</v>
      </c>
      <c r="AL132" t="s">
        <v>117</v>
      </c>
      <c r="AM132" t="s">
        <v>118</v>
      </c>
      <c r="AN132">
        <v>6960</v>
      </c>
      <c r="AO132">
        <v>0.16</v>
      </c>
      <c r="AR132">
        <v>1</v>
      </c>
      <c r="AS132" s="1">
        <v>26810</v>
      </c>
      <c r="AT132" s="1">
        <v>5360</v>
      </c>
      <c r="AU132" s="1">
        <v>21450</v>
      </c>
      <c r="AV132">
        <v>80.010000000000005</v>
      </c>
      <c r="AX132" s="1">
        <v>3788.08</v>
      </c>
      <c r="AY132" t="s">
        <v>560</v>
      </c>
      <c r="AZ132" t="s">
        <v>561</v>
      </c>
      <c r="BA132" t="s">
        <v>194</v>
      </c>
      <c r="BE132" s="3">
        <v>41722</v>
      </c>
      <c r="BF132" s="1">
        <v>313574</v>
      </c>
      <c r="BG132" t="s">
        <v>562</v>
      </c>
      <c r="BH132" s="1">
        <v>138.63</v>
      </c>
      <c r="BI132" s="1">
        <v>313574</v>
      </c>
      <c r="BJ132" s="3">
        <v>41722</v>
      </c>
      <c r="BK132" t="s">
        <v>123</v>
      </c>
      <c r="BL132" t="str">
        <f>"2014.186385"</f>
        <v>2014.186385</v>
      </c>
      <c r="BM132" t="s">
        <v>124</v>
      </c>
      <c r="BO132" t="s">
        <v>1180</v>
      </c>
      <c r="BS132">
        <v>30</v>
      </c>
      <c r="BW132" t="str">
        <f>""</f>
        <v/>
      </c>
      <c r="CH132" t="str">
        <f>""</f>
        <v/>
      </c>
      <c r="CS132" t="str">
        <f>""</f>
        <v/>
      </c>
    </row>
    <row r="133" spans="1:97" x14ac:dyDescent="0.25">
      <c r="A133" t="s">
        <v>305</v>
      </c>
      <c r="B133" t="s">
        <v>110</v>
      </c>
      <c r="C133" t="s">
        <v>1181</v>
      </c>
      <c r="D133" t="s">
        <v>110</v>
      </c>
      <c r="E133" t="s">
        <v>1182</v>
      </c>
      <c r="F133" t="s">
        <v>108</v>
      </c>
      <c r="H133" t="s">
        <v>1183</v>
      </c>
      <c r="I133" t="s">
        <v>225</v>
      </c>
      <c r="J133" t="s">
        <v>111</v>
      </c>
      <c r="K133" t="str">
        <f>"85212"</f>
        <v>85212</v>
      </c>
      <c r="L133" t="s">
        <v>558</v>
      </c>
      <c r="M133" t="s">
        <v>1183</v>
      </c>
      <c r="N133" t="s">
        <v>225</v>
      </c>
      <c r="O133" t="s">
        <v>111</v>
      </c>
      <c r="P133" t="str">
        <f>"85212-8154"</f>
        <v>85212-8154</v>
      </c>
      <c r="Q133" t="s">
        <v>113</v>
      </c>
      <c r="R133" t="str">
        <f>"304-50-652"</f>
        <v>304-50-652</v>
      </c>
      <c r="S133" t="s">
        <v>1184</v>
      </c>
      <c r="U133">
        <v>2542</v>
      </c>
      <c r="W133">
        <v>4</v>
      </c>
      <c r="X133">
        <v>2015</v>
      </c>
      <c r="Z133">
        <v>2</v>
      </c>
      <c r="AC133" t="s">
        <v>115</v>
      </c>
      <c r="AD133">
        <v>2</v>
      </c>
      <c r="AE133" t="s">
        <v>115</v>
      </c>
      <c r="AH133" t="s">
        <v>116</v>
      </c>
      <c r="AI133" s="1">
        <v>80886</v>
      </c>
      <c r="AJ133" s="2">
        <v>0.22</v>
      </c>
      <c r="AK133" s="1">
        <v>373886</v>
      </c>
      <c r="AL133" t="s">
        <v>117</v>
      </c>
      <c r="AM133" t="s">
        <v>118</v>
      </c>
      <c r="AN133">
        <v>6035</v>
      </c>
      <c r="AO133">
        <v>0.14000000000000001</v>
      </c>
      <c r="AR133">
        <v>1</v>
      </c>
      <c r="AS133" s="1">
        <v>26050</v>
      </c>
      <c r="AT133" s="1">
        <v>5210</v>
      </c>
      <c r="AU133" s="1">
        <v>20840</v>
      </c>
      <c r="AV133">
        <v>80</v>
      </c>
      <c r="AX133" s="1">
        <v>3544.12</v>
      </c>
      <c r="AY133" t="s">
        <v>560</v>
      </c>
      <c r="AZ133" t="s">
        <v>561</v>
      </c>
      <c r="BA133" t="s">
        <v>194</v>
      </c>
      <c r="BE133" s="3">
        <v>42460</v>
      </c>
      <c r="BF133" s="1">
        <v>293000</v>
      </c>
      <c r="BG133" t="s">
        <v>636</v>
      </c>
      <c r="BH133" s="1">
        <v>115.26</v>
      </c>
      <c r="BI133" s="1">
        <v>293000</v>
      </c>
      <c r="BJ133" s="3">
        <v>42460</v>
      </c>
      <c r="BK133" t="s">
        <v>123</v>
      </c>
      <c r="BL133" t="str">
        <f>"2016.214098"</f>
        <v>2016.214098</v>
      </c>
      <c r="BM133" t="s">
        <v>1185</v>
      </c>
      <c r="BO133" t="s">
        <v>1186</v>
      </c>
      <c r="BS133">
        <v>30</v>
      </c>
      <c r="BW133" t="str">
        <f>""</f>
        <v/>
      </c>
      <c r="CH133" t="str">
        <f>""</f>
        <v/>
      </c>
      <c r="CS133" t="str">
        <f>""</f>
        <v/>
      </c>
    </row>
    <row r="134" spans="1:97" x14ac:dyDescent="0.25">
      <c r="A134" t="s">
        <v>1187</v>
      </c>
      <c r="B134" t="s">
        <v>1188</v>
      </c>
      <c r="C134" t="s">
        <v>1189</v>
      </c>
      <c r="D134" t="s">
        <v>1188</v>
      </c>
      <c r="E134" t="s">
        <v>1190</v>
      </c>
      <c r="F134" t="s">
        <v>282</v>
      </c>
      <c r="H134" t="s">
        <v>1191</v>
      </c>
      <c r="I134" t="s">
        <v>110</v>
      </c>
      <c r="J134" t="s">
        <v>111</v>
      </c>
      <c r="K134" t="str">
        <f>"85249"</f>
        <v>85249</v>
      </c>
      <c r="L134" t="s">
        <v>417</v>
      </c>
      <c r="M134" t="s">
        <v>1191</v>
      </c>
      <c r="N134" t="s">
        <v>110</v>
      </c>
      <c r="O134" t="s">
        <v>111</v>
      </c>
      <c r="P134" t="str">
        <f>"85249"</f>
        <v>85249</v>
      </c>
      <c r="Q134" t="s">
        <v>113</v>
      </c>
      <c r="R134" t="str">
        <f>"304-76-822"</f>
        <v>304-76-822</v>
      </c>
      <c r="S134" t="s">
        <v>614</v>
      </c>
      <c r="T134" t="s">
        <v>615</v>
      </c>
      <c r="U134">
        <v>2913</v>
      </c>
      <c r="W134">
        <v>5</v>
      </c>
      <c r="X134">
        <v>2014</v>
      </c>
      <c r="Z134">
        <v>2</v>
      </c>
      <c r="AC134" t="s">
        <v>115</v>
      </c>
      <c r="AD134">
        <v>3</v>
      </c>
      <c r="AE134" t="s">
        <v>115</v>
      </c>
      <c r="AH134" t="s">
        <v>116</v>
      </c>
      <c r="AI134" s="1">
        <v>108440</v>
      </c>
      <c r="AJ134" s="2">
        <v>0.22</v>
      </c>
      <c r="AK134" s="1">
        <v>500090</v>
      </c>
      <c r="AL134" t="s">
        <v>117</v>
      </c>
      <c r="AM134" t="s">
        <v>118</v>
      </c>
      <c r="AN134">
        <v>7200</v>
      </c>
      <c r="AO134">
        <v>0.16</v>
      </c>
      <c r="AR134">
        <v>1</v>
      </c>
      <c r="AS134" s="1">
        <v>35510</v>
      </c>
      <c r="AT134" s="1">
        <v>7100</v>
      </c>
      <c r="AU134" s="1">
        <v>28410</v>
      </c>
      <c r="AV134">
        <v>80.010000000000005</v>
      </c>
      <c r="AX134" s="1">
        <v>2469.6999999999998</v>
      </c>
      <c r="AY134" t="s">
        <v>419</v>
      </c>
      <c r="AZ134" t="s">
        <v>273</v>
      </c>
      <c r="BA134" t="s">
        <v>303</v>
      </c>
      <c r="BE134" s="3">
        <v>41682</v>
      </c>
      <c r="BF134" s="1">
        <v>415360</v>
      </c>
      <c r="BG134" t="s">
        <v>617</v>
      </c>
      <c r="BH134" s="1">
        <v>142.59</v>
      </c>
      <c r="BI134" s="1">
        <v>391650</v>
      </c>
      <c r="BJ134" s="3">
        <v>42580</v>
      </c>
      <c r="BK134" t="s">
        <v>123</v>
      </c>
      <c r="BL134" t="str">
        <f>"2016.538247"</f>
        <v>2016.538247</v>
      </c>
      <c r="BM134" t="s">
        <v>1192</v>
      </c>
      <c r="BO134" t="s">
        <v>1193</v>
      </c>
      <c r="BS134">
        <v>30</v>
      </c>
      <c r="BW134" t="str">
        <f>""</f>
        <v/>
      </c>
      <c r="CH134" t="str">
        <f>""</f>
        <v/>
      </c>
      <c r="CS134" t="str">
        <f>""</f>
        <v/>
      </c>
    </row>
    <row r="135" spans="1:97" x14ac:dyDescent="0.25">
      <c r="A135" t="s">
        <v>1194</v>
      </c>
      <c r="B135" t="s">
        <v>1195</v>
      </c>
      <c r="C135" t="s">
        <v>328</v>
      </c>
      <c r="D135" t="s">
        <v>1195</v>
      </c>
      <c r="E135" t="s">
        <v>1196</v>
      </c>
      <c r="F135" t="s">
        <v>108</v>
      </c>
      <c r="H135" t="s">
        <v>1197</v>
      </c>
      <c r="I135" t="s">
        <v>203</v>
      </c>
      <c r="J135" t="s">
        <v>111</v>
      </c>
      <c r="K135" t="str">
        <f>"85298"</f>
        <v>85298</v>
      </c>
      <c r="L135" t="s">
        <v>284</v>
      </c>
      <c r="M135" t="s">
        <v>1197</v>
      </c>
      <c r="N135" t="s">
        <v>203</v>
      </c>
      <c r="O135" t="s">
        <v>111</v>
      </c>
      <c r="P135" t="str">
        <f>"85298"</f>
        <v>85298</v>
      </c>
      <c r="Q135" t="s">
        <v>113</v>
      </c>
      <c r="R135" t="str">
        <f>"304-73-561"</f>
        <v>304-73-561</v>
      </c>
      <c r="S135" t="s">
        <v>874</v>
      </c>
      <c r="T135" t="s">
        <v>287</v>
      </c>
      <c r="U135">
        <v>2905</v>
      </c>
      <c r="W135">
        <v>4</v>
      </c>
      <c r="X135">
        <v>2014</v>
      </c>
      <c r="Z135">
        <v>2</v>
      </c>
      <c r="AA135" t="s">
        <v>26</v>
      </c>
      <c r="AC135" t="s">
        <v>115</v>
      </c>
      <c r="AD135">
        <v>2</v>
      </c>
      <c r="AE135" t="s">
        <v>115</v>
      </c>
      <c r="AH135" t="s">
        <v>116</v>
      </c>
      <c r="AI135" s="1">
        <v>-23020</v>
      </c>
      <c r="AJ135" s="2">
        <v>-7.0000000000000007E-2</v>
      </c>
      <c r="AK135" s="1">
        <v>347827</v>
      </c>
      <c r="AL135" t="s">
        <v>117</v>
      </c>
      <c r="AM135" t="s">
        <v>288</v>
      </c>
      <c r="AN135">
        <v>5232</v>
      </c>
      <c r="AO135">
        <v>0.12</v>
      </c>
      <c r="AR135">
        <v>1</v>
      </c>
      <c r="AS135" s="1">
        <v>29360</v>
      </c>
      <c r="AT135" s="1">
        <v>5870</v>
      </c>
      <c r="AU135" s="1">
        <v>23490</v>
      </c>
      <c r="AV135">
        <v>80.010000000000005</v>
      </c>
      <c r="AX135" s="1">
        <v>2549.34</v>
      </c>
      <c r="AY135" t="s">
        <v>289</v>
      </c>
      <c r="AZ135" t="s">
        <v>289</v>
      </c>
      <c r="BA135" t="s">
        <v>290</v>
      </c>
      <c r="BB135" s="3">
        <v>43124</v>
      </c>
      <c r="BC135" s="1">
        <v>0</v>
      </c>
      <c r="BD135" t="s">
        <v>247</v>
      </c>
      <c r="BE135" s="3">
        <v>42004</v>
      </c>
      <c r="BF135" s="1">
        <v>320000</v>
      </c>
      <c r="BG135" t="s">
        <v>195</v>
      </c>
      <c r="BH135" s="1">
        <v>110.15</v>
      </c>
      <c r="BI135" s="1">
        <v>370847</v>
      </c>
      <c r="BJ135" s="3">
        <v>42697</v>
      </c>
      <c r="BK135" t="s">
        <v>123</v>
      </c>
      <c r="BL135" t="str">
        <f>"2016.868381"</f>
        <v>2016.868381</v>
      </c>
      <c r="BM135" t="s">
        <v>955</v>
      </c>
      <c r="BN135" t="s">
        <v>1136</v>
      </c>
      <c r="BO135" t="s">
        <v>1198</v>
      </c>
      <c r="BS135">
        <v>30</v>
      </c>
      <c r="BW135" t="str">
        <f>""</f>
        <v/>
      </c>
      <c r="CH135" t="str">
        <f>""</f>
        <v/>
      </c>
      <c r="CS135" t="str">
        <f>""</f>
        <v/>
      </c>
    </row>
    <row r="136" spans="1:97" x14ac:dyDescent="0.25">
      <c r="A136" t="s">
        <v>1099</v>
      </c>
      <c r="B136" t="s">
        <v>348</v>
      </c>
      <c r="C136" t="s">
        <v>976</v>
      </c>
      <c r="D136" t="s">
        <v>348</v>
      </c>
      <c r="E136" t="s">
        <v>1199</v>
      </c>
      <c r="F136" t="s">
        <v>108</v>
      </c>
      <c r="H136" t="s">
        <v>1200</v>
      </c>
      <c r="I136" t="s">
        <v>203</v>
      </c>
      <c r="J136" t="s">
        <v>111</v>
      </c>
      <c r="K136" t="str">
        <f>"85298"</f>
        <v>85298</v>
      </c>
      <c r="L136" t="s">
        <v>284</v>
      </c>
      <c r="M136" t="s">
        <v>1200</v>
      </c>
      <c r="N136" t="s">
        <v>203</v>
      </c>
      <c r="O136" t="s">
        <v>111</v>
      </c>
      <c r="P136" t="str">
        <f>"85298"</f>
        <v>85298</v>
      </c>
      <c r="Q136" t="s">
        <v>113</v>
      </c>
      <c r="R136" t="str">
        <f>"304-73-439"</f>
        <v>304-73-439</v>
      </c>
      <c r="S136" t="s">
        <v>953</v>
      </c>
      <c r="T136" t="s">
        <v>287</v>
      </c>
      <c r="U136">
        <v>3186</v>
      </c>
      <c r="W136">
        <v>5</v>
      </c>
      <c r="X136">
        <v>2014</v>
      </c>
      <c r="Z136">
        <v>2</v>
      </c>
      <c r="AC136" t="s">
        <v>115</v>
      </c>
      <c r="AD136">
        <v>3</v>
      </c>
      <c r="AE136" t="s">
        <v>115</v>
      </c>
      <c r="AH136" t="s">
        <v>116</v>
      </c>
      <c r="AI136" s="1">
        <v>102879</v>
      </c>
      <c r="AJ136" s="2">
        <v>0.23</v>
      </c>
      <c r="AK136" s="1">
        <v>450276</v>
      </c>
      <c r="AL136" t="s">
        <v>117</v>
      </c>
      <c r="AM136" t="s">
        <v>288</v>
      </c>
      <c r="AN136">
        <v>5750</v>
      </c>
      <c r="AO136">
        <v>0.13</v>
      </c>
      <c r="AR136">
        <v>1</v>
      </c>
      <c r="AS136" s="1">
        <v>32270</v>
      </c>
      <c r="AT136" s="1">
        <v>6450</v>
      </c>
      <c r="AU136" s="1">
        <v>25820</v>
      </c>
      <c r="AV136">
        <v>80.010000000000005</v>
      </c>
      <c r="AX136" s="1">
        <v>2789.2</v>
      </c>
      <c r="AY136" t="s">
        <v>289</v>
      </c>
      <c r="AZ136" t="s">
        <v>289</v>
      </c>
      <c r="BA136" t="s">
        <v>290</v>
      </c>
      <c r="BE136" s="3">
        <v>42135</v>
      </c>
      <c r="BF136" s="1">
        <v>339990</v>
      </c>
      <c r="BG136" t="s">
        <v>645</v>
      </c>
      <c r="BH136" s="1">
        <v>106.71</v>
      </c>
      <c r="BI136" s="1">
        <v>347397</v>
      </c>
      <c r="BJ136" s="3">
        <v>42244</v>
      </c>
      <c r="BK136" t="s">
        <v>123</v>
      </c>
      <c r="BL136" t="str">
        <f>"2015.626423"</f>
        <v>2015.626423</v>
      </c>
      <c r="BM136" t="s">
        <v>1201</v>
      </c>
      <c r="BO136" t="s">
        <v>1202</v>
      </c>
      <c r="BS136">
        <v>30</v>
      </c>
      <c r="BW136" t="str">
        <f>""</f>
        <v/>
      </c>
      <c r="CH136" t="str">
        <f>""</f>
        <v/>
      </c>
      <c r="CS136" t="str">
        <f>""</f>
        <v/>
      </c>
    </row>
    <row r="137" spans="1:97" x14ac:dyDescent="0.25">
      <c r="A137" t="s">
        <v>305</v>
      </c>
      <c r="B137" t="s">
        <v>1203</v>
      </c>
      <c r="C137" t="s">
        <v>1204</v>
      </c>
      <c r="D137" t="s">
        <v>1203</v>
      </c>
      <c r="E137" t="s">
        <v>1205</v>
      </c>
      <c r="F137" t="s">
        <v>108</v>
      </c>
      <c r="H137" t="s">
        <v>1206</v>
      </c>
      <c r="I137" t="s">
        <v>203</v>
      </c>
      <c r="J137" t="s">
        <v>111</v>
      </c>
      <c r="K137" t="str">
        <f>"85297"</f>
        <v>85297</v>
      </c>
      <c r="L137" t="s">
        <v>901</v>
      </c>
      <c r="M137" t="s">
        <v>1206</v>
      </c>
      <c r="N137" t="s">
        <v>203</v>
      </c>
      <c r="O137" t="s">
        <v>111</v>
      </c>
      <c r="P137" t="str">
        <f>"85297-3128"</f>
        <v>85297-3128</v>
      </c>
      <c r="Q137" t="s">
        <v>113</v>
      </c>
      <c r="R137" t="str">
        <f>"304-73-837"</f>
        <v>304-73-837</v>
      </c>
      <c r="S137" t="s">
        <v>902</v>
      </c>
      <c r="T137" t="s">
        <v>902</v>
      </c>
      <c r="U137">
        <v>2715</v>
      </c>
      <c r="W137">
        <v>5</v>
      </c>
      <c r="X137">
        <v>2014</v>
      </c>
      <c r="Z137">
        <v>1</v>
      </c>
      <c r="AC137" t="s">
        <v>115</v>
      </c>
      <c r="AD137">
        <v>2</v>
      </c>
      <c r="AE137" t="s">
        <v>115</v>
      </c>
      <c r="AH137" t="s">
        <v>116</v>
      </c>
      <c r="AI137" s="1">
        <v>87993</v>
      </c>
      <c r="AJ137" s="2">
        <v>0.19</v>
      </c>
      <c r="AK137" s="1">
        <v>457229</v>
      </c>
      <c r="AL137" t="s">
        <v>117</v>
      </c>
      <c r="AM137" t="s">
        <v>393</v>
      </c>
      <c r="AN137">
        <v>7787</v>
      </c>
      <c r="AO137">
        <v>0.18</v>
      </c>
      <c r="AR137">
        <v>1</v>
      </c>
      <c r="AS137" s="1">
        <v>33460</v>
      </c>
      <c r="AT137" s="1">
        <v>6690</v>
      </c>
      <c r="AU137" s="1">
        <v>26770</v>
      </c>
      <c r="AV137">
        <v>80.010000000000005</v>
      </c>
      <c r="AX137" s="1">
        <v>2424.4</v>
      </c>
      <c r="AY137" t="s">
        <v>302</v>
      </c>
      <c r="AZ137" t="s">
        <v>273</v>
      </c>
      <c r="BA137" t="s">
        <v>303</v>
      </c>
      <c r="BE137" s="3">
        <v>41912</v>
      </c>
      <c r="BF137" s="1">
        <v>369236</v>
      </c>
      <c r="BG137" t="s">
        <v>275</v>
      </c>
      <c r="BH137" s="1">
        <v>136</v>
      </c>
      <c r="BI137" s="1">
        <v>369236</v>
      </c>
      <c r="BJ137" s="3">
        <v>41912</v>
      </c>
      <c r="BK137" t="s">
        <v>123</v>
      </c>
      <c r="BL137" t="str">
        <f>"2014.649378"</f>
        <v>2014.649378</v>
      </c>
      <c r="BM137" t="s">
        <v>724</v>
      </c>
      <c r="BO137" t="s">
        <v>1207</v>
      </c>
      <c r="BS137">
        <v>30</v>
      </c>
      <c r="BW137" t="str">
        <f>""</f>
        <v/>
      </c>
      <c r="CH137" t="str">
        <f>""</f>
        <v/>
      </c>
      <c r="CS137" t="str">
        <f>""</f>
        <v/>
      </c>
    </row>
    <row r="138" spans="1:97" x14ac:dyDescent="0.25">
      <c r="A138" t="s">
        <v>1208</v>
      </c>
      <c r="B138" t="s">
        <v>1209</v>
      </c>
      <c r="C138" t="s">
        <v>1210</v>
      </c>
      <c r="D138" t="s">
        <v>1209</v>
      </c>
      <c r="E138" t="s">
        <v>1211</v>
      </c>
      <c r="F138" t="s">
        <v>108</v>
      </c>
      <c r="H138" t="s">
        <v>1212</v>
      </c>
      <c r="I138" t="s">
        <v>110</v>
      </c>
      <c r="J138" t="s">
        <v>111</v>
      </c>
      <c r="K138" t="str">
        <f>"85249"</f>
        <v>85249</v>
      </c>
      <c r="L138" t="s">
        <v>112</v>
      </c>
      <c r="M138" t="s">
        <v>1212</v>
      </c>
      <c r="N138" t="s">
        <v>110</v>
      </c>
      <c r="O138" t="s">
        <v>111</v>
      </c>
      <c r="P138" t="str">
        <f>"85249-5587"</f>
        <v>85249-5587</v>
      </c>
      <c r="R138" t="str">
        <f>"303-88-383"</f>
        <v>303-88-383</v>
      </c>
      <c r="S138" t="s">
        <v>400</v>
      </c>
      <c r="T138" t="s">
        <v>401</v>
      </c>
      <c r="U138">
        <v>2757</v>
      </c>
      <c r="W138">
        <v>4</v>
      </c>
      <c r="X138">
        <v>2014</v>
      </c>
      <c r="Z138">
        <v>2</v>
      </c>
      <c r="AC138" t="s">
        <v>115</v>
      </c>
      <c r="AD138">
        <v>2</v>
      </c>
      <c r="AE138" t="s">
        <v>115</v>
      </c>
      <c r="AH138" t="s">
        <v>116</v>
      </c>
      <c r="AI138" s="1">
        <v>92024</v>
      </c>
      <c r="AJ138" s="2">
        <v>0.2</v>
      </c>
      <c r="AK138" s="1">
        <v>470724</v>
      </c>
      <c r="AL138" t="s">
        <v>117</v>
      </c>
      <c r="AM138" t="s">
        <v>118</v>
      </c>
      <c r="AN138">
        <v>7500</v>
      </c>
      <c r="AO138">
        <v>0.17</v>
      </c>
      <c r="AR138">
        <v>1</v>
      </c>
      <c r="AS138" s="1">
        <v>33970</v>
      </c>
      <c r="AT138" s="1">
        <v>6790</v>
      </c>
      <c r="AU138" s="1">
        <v>27180</v>
      </c>
      <c r="AV138">
        <v>80.010000000000005</v>
      </c>
      <c r="AX138" s="1">
        <v>4021.16</v>
      </c>
      <c r="AY138" t="s">
        <v>119</v>
      </c>
      <c r="AZ138" t="s">
        <v>120</v>
      </c>
      <c r="BA138" t="s">
        <v>121</v>
      </c>
      <c r="BE138" s="3">
        <v>42053</v>
      </c>
      <c r="BF138" s="1">
        <v>387255</v>
      </c>
      <c r="BG138" t="s">
        <v>122</v>
      </c>
      <c r="BH138" s="1">
        <v>140.46</v>
      </c>
      <c r="BI138" s="1">
        <v>345100</v>
      </c>
      <c r="BJ138" s="3">
        <v>42517</v>
      </c>
      <c r="BK138" t="s">
        <v>123</v>
      </c>
      <c r="BL138" t="str">
        <f>"2016.368139"</f>
        <v>2016.368139</v>
      </c>
      <c r="BM138" t="s">
        <v>425</v>
      </c>
      <c r="BN138" t="s">
        <v>426</v>
      </c>
      <c r="BO138" t="s">
        <v>1213</v>
      </c>
      <c r="BS138">
        <v>30</v>
      </c>
      <c r="BT138" s="1">
        <v>33600</v>
      </c>
      <c r="BU138" s="3">
        <v>43711</v>
      </c>
      <c r="BW138" t="str">
        <f>"2019.682519"</f>
        <v>2019.682519</v>
      </c>
      <c r="BX138" t="s">
        <v>1214</v>
      </c>
      <c r="BY138" t="s">
        <v>1215</v>
      </c>
      <c r="BZ138" t="s">
        <v>1216</v>
      </c>
      <c r="CA138" t="s">
        <v>1217</v>
      </c>
      <c r="CC138" t="s">
        <v>346</v>
      </c>
      <c r="CH138" t="str">
        <f>""</f>
        <v/>
      </c>
      <c r="CS138" t="str">
        <f>""</f>
        <v/>
      </c>
    </row>
    <row r="139" spans="1:97" x14ac:dyDescent="0.25">
      <c r="B139" t="s">
        <v>1218</v>
      </c>
      <c r="E139" t="s">
        <v>1218</v>
      </c>
      <c r="F139" t="s">
        <v>108</v>
      </c>
      <c r="H139" t="s">
        <v>1219</v>
      </c>
      <c r="I139" t="s">
        <v>110</v>
      </c>
      <c r="J139" t="s">
        <v>111</v>
      </c>
      <c r="K139" t="str">
        <f>"85249"</f>
        <v>85249</v>
      </c>
      <c r="L139" t="s">
        <v>112</v>
      </c>
      <c r="M139" t="s">
        <v>1219</v>
      </c>
      <c r="N139" t="s">
        <v>110</v>
      </c>
      <c r="O139" t="s">
        <v>111</v>
      </c>
      <c r="P139" t="str">
        <f>"85249-5589"</f>
        <v>85249-5589</v>
      </c>
      <c r="Q139" t="s">
        <v>113</v>
      </c>
      <c r="R139" t="str">
        <f>"303-88-406"</f>
        <v>303-88-406</v>
      </c>
      <c r="S139" t="s">
        <v>400</v>
      </c>
      <c r="T139" t="s">
        <v>401</v>
      </c>
      <c r="U139">
        <v>2352</v>
      </c>
      <c r="W139">
        <v>4</v>
      </c>
      <c r="X139">
        <v>2014</v>
      </c>
      <c r="Z139">
        <v>1</v>
      </c>
      <c r="AC139" t="s">
        <v>115</v>
      </c>
      <c r="AD139">
        <v>3</v>
      </c>
      <c r="AE139" t="s">
        <v>115</v>
      </c>
      <c r="AH139" t="s">
        <v>116</v>
      </c>
      <c r="AI139" s="1">
        <v>106894</v>
      </c>
      <c r="AJ139" s="2">
        <v>0.23</v>
      </c>
      <c r="AK139" s="1">
        <v>457742</v>
      </c>
      <c r="AL139" t="s">
        <v>117</v>
      </c>
      <c r="AM139" t="s">
        <v>118</v>
      </c>
      <c r="AN139">
        <v>7890</v>
      </c>
      <c r="AO139">
        <v>0.18</v>
      </c>
      <c r="AR139">
        <v>1</v>
      </c>
      <c r="AS139" s="1">
        <v>34410</v>
      </c>
      <c r="AT139" s="1">
        <v>6880</v>
      </c>
      <c r="AU139" s="1">
        <v>27530</v>
      </c>
      <c r="AV139">
        <v>80.010000000000005</v>
      </c>
      <c r="AX139" s="1">
        <v>2917.54</v>
      </c>
      <c r="AY139" t="s">
        <v>119</v>
      </c>
      <c r="AZ139" t="s">
        <v>120</v>
      </c>
      <c r="BA139" t="s">
        <v>121</v>
      </c>
      <c r="BB139" s="3">
        <v>42507</v>
      </c>
      <c r="BD139" t="s">
        <v>458</v>
      </c>
      <c r="BE139" s="3">
        <v>41789</v>
      </c>
      <c r="BF139" s="1">
        <v>428502</v>
      </c>
      <c r="BG139" t="s">
        <v>122</v>
      </c>
      <c r="BH139" s="1">
        <v>182.19</v>
      </c>
      <c r="BI139" s="1">
        <v>350848</v>
      </c>
      <c r="BJ139" s="3">
        <v>42507</v>
      </c>
      <c r="BK139" t="s">
        <v>123</v>
      </c>
      <c r="BL139" t="str">
        <f>"2016.336049"</f>
        <v>2016.336049</v>
      </c>
      <c r="BM139" t="s">
        <v>709</v>
      </c>
      <c r="BO139" t="s">
        <v>1220</v>
      </c>
      <c r="BS139">
        <v>30</v>
      </c>
      <c r="BW139" t="str">
        <f>""</f>
        <v/>
      </c>
      <c r="CH139" t="str">
        <f>""</f>
        <v/>
      </c>
      <c r="CS139" t="str">
        <f>""</f>
        <v/>
      </c>
    </row>
    <row r="140" spans="1:97" x14ac:dyDescent="0.25">
      <c r="B140" t="s">
        <v>1221</v>
      </c>
      <c r="E140" t="s">
        <v>1222</v>
      </c>
      <c r="F140" t="s">
        <v>108</v>
      </c>
      <c r="H140" t="s">
        <v>1223</v>
      </c>
      <c r="I140" t="s">
        <v>203</v>
      </c>
      <c r="J140" t="s">
        <v>111</v>
      </c>
      <c r="K140" t="str">
        <f>"85298"</f>
        <v>85298</v>
      </c>
      <c r="L140" t="s">
        <v>284</v>
      </c>
      <c r="M140" t="s">
        <v>1223</v>
      </c>
      <c r="N140" t="s">
        <v>203</v>
      </c>
      <c r="O140" t="s">
        <v>111</v>
      </c>
      <c r="P140" t="str">
        <f>"85298"</f>
        <v>85298</v>
      </c>
      <c r="Q140" t="s">
        <v>113</v>
      </c>
      <c r="R140" t="str">
        <f>"304-73-731"</f>
        <v>304-73-731</v>
      </c>
      <c r="S140" t="s">
        <v>1224</v>
      </c>
      <c r="T140" t="s">
        <v>287</v>
      </c>
      <c r="U140">
        <v>2290</v>
      </c>
      <c r="W140">
        <v>5</v>
      </c>
      <c r="X140">
        <v>2014</v>
      </c>
      <c r="Z140">
        <v>1</v>
      </c>
      <c r="AA140" t="s">
        <v>26</v>
      </c>
      <c r="AC140" t="s">
        <v>115</v>
      </c>
      <c r="AD140">
        <v>3</v>
      </c>
      <c r="AE140" t="s">
        <v>115</v>
      </c>
      <c r="AH140" t="s">
        <v>116</v>
      </c>
      <c r="AI140" s="1">
        <v>161434</v>
      </c>
      <c r="AJ140" s="2">
        <v>0.36</v>
      </c>
      <c r="AK140" s="1">
        <v>444434</v>
      </c>
      <c r="AL140" t="s">
        <v>117</v>
      </c>
      <c r="AM140" t="s">
        <v>191</v>
      </c>
      <c r="AN140">
        <v>7311</v>
      </c>
      <c r="AO140">
        <v>0.17</v>
      </c>
      <c r="AR140">
        <v>1</v>
      </c>
      <c r="AS140" s="1">
        <v>32460</v>
      </c>
      <c r="AT140" s="1">
        <v>6490</v>
      </c>
      <c r="AU140" s="1">
        <v>25970</v>
      </c>
      <c r="AV140">
        <v>80.010000000000005</v>
      </c>
      <c r="AX140" s="1">
        <v>3024.54</v>
      </c>
      <c r="AY140" t="s">
        <v>289</v>
      </c>
      <c r="AZ140" t="s">
        <v>289</v>
      </c>
      <c r="BA140" t="s">
        <v>290</v>
      </c>
      <c r="BB140" s="3">
        <v>42710</v>
      </c>
      <c r="BD140" t="s">
        <v>480</v>
      </c>
      <c r="BE140" s="3">
        <v>41787</v>
      </c>
      <c r="BF140" s="1">
        <v>339000</v>
      </c>
      <c r="BG140" t="s">
        <v>275</v>
      </c>
      <c r="BH140" s="1">
        <v>148.03</v>
      </c>
      <c r="BI140" s="1">
        <v>253000</v>
      </c>
      <c r="BJ140" s="3">
        <v>41992</v>
      </c>
      <c r="BK140" t="s">
        <v>123</v>
      </c>
      <c r="BL140" t="str">
        <f>"2014.838739"</f>
        <v>2014.838739</v>
      </c>
      <c r="BM140" t="s">
        <v>1225</v>
      </c>
      <c r="BO140" t="s">
        <v>1226</v>
      </c>
      <c r="BS140">
        <v>30</v>
      </c>
      <c r="BT140" s="1">
        <v>30000</v>
      </c>
      <c r="BU140" s="3">
        <v>42675</v>
      </c>
      <c r="BV140" t="s">
        <v>134</v>
      </c>
      <c r="BW140" t="str">
        <f>"2016.805650"</f>
        <v>2016.805650</v>
      </c>
      <c r="BX140" t="s">
        <v>1227</v>
      </c>
      <c r="BZ140" t="s">
        <v>1226</v>
      </c>
      <c r="CH140" t="str">
        <f>""</f>
        <v/>
      </c>
      <c r="CS140" t="str">
        <f>""</f>
        <v/>
      </c>
    </row>
    <row r="141" spans="1:97" x14ac:dyDescent="0.25">
      <c r="A141" t="s">
        <v>1228</v>
      </c>
      <c r="B141" t="s">
        <v>1229</v>
      </c>
      <c r="E141" t="s">
        <v>1230</v>
      </c>
      <c r="F141" t="s">
        <v>108</v>
      </c>
      <c r="H141" t="s">
        <v>1231</v>
      </c>
      <c r="I141" t="s">
        <v>225</v>
      </c>
      <c r="J141" t="s">
        <v>111</v>
      </c>
      <c r="K141" t="str">
        <f>"85212"</f>
        <v>85212</v>
      </c>
      <c r="L141" t="s">
        <v>558</v>
      </c>
      <c r="M141" t="s">
        <v>1231</v>
      </c>
      <c r="N141" t="s">
        <v>225</v>
      </c>
      <c r="O141" t="s">
        <v>111</v>
      </c>
      <c r="P141" t="str">
        <f>"85212-8157"</f>
        <v>85212-8157</v>
      </c>
      <c r="Q141" t="s">
        <v>113</v>
      </c>
      <c r="R141" t="str">
        <f>"304-50-662"</f>
        <v>304-50-662</v>
      </c>
      <c r="S141" t="s">
        <v>1184</v>
      </c>
      <c r="U141">
        <v>1627</v>
      </c>
      <c r="W141">
        <v>3</v>
      </c>
      <c r="X141">
        <v>2013</v>
      </c>
      <c r="Z141">
        <v>1</v>
      </c>
      <c r="AC141" t="s">
        <v>115</v>
      </c>
      <c r="AD141">
        <v>2</v>
      </c>
      <c r="AE141" t="s">
        <v>115</v>
      </c>
      <c r="AH141" t="s">
        <v>116</v>
      </c>
      <c r="AI141" s="1">
        <v>78193</v>
      </c>
      <c r="AJ141" s="2">
        <v>0.24</v>
      </c>
      <c r="AK141" s="1">
        <v>321820</v>
      </c>
      <c r="AL141" t="s">
        <v>117</v>
      </c>
      <c r="AM141" t="s">
        <v>118</v>
      </c>
      <c r="AN141">
        <v>6007</v>
      </c>
      <c r="AO141">
        <v>0.14000000000000001</v>
      </c>
      <c r="AR141">
        <v>1</v>
      </c>
      <c r="AS141" s="1">
        <v>21720</v>
      </c>
      <c r="AT141" s="1">
        <v>4340</v>
      </c>
      <c r="AU141" s="1">
        <v>17380</v>
      </c>
      <c r="AV141">
        <v>80.02</v>
      </c>
      <c r="AX141" s="1">
        <v>2995.22</v>
      </c>
      <c r="AY141" t="s">
        <v>560</v>
      </c>
      <c r="AZ141" t="s">
        <v>561</v>
      </c>
      <c r="BA141" t="s">
        <v>194</v>
      </c>
      <c r="BE141" s="3">
        <v>41786</v>
      </c>
      <c r="BF141" s="1">
        <v>238500</v>
      </c>
      <c r="BG141" t="s">
        <v>636</v>
      </c>
      <c r="BH141" s="1">
        <v>146.59</v>
      </c>
      <c r="BI141" s="1">
        <v>243627</v>
      </c>
      <c r="BJ141" s="3">
        <v>41786</v>
      </c>
      <c r="BK141" t="s">
        <v>123</v>
      </c>
      <c r="BL141" t="str">
        <f>"2014.342696"</f>
        <v>2014.342696</v>
      </c>
      <c r="BM141" t="s">
        <v>637</v>
      </c>
      <c r="BO141" t="s">
        <v>1232</v>
      </c>
      <c r="BS141">
        <v>30</v>
      </c>
      <c r="BW141" t="str">
        <f>""</f>
        <v/>
      </c>
      <c r="CH141" t="str">
        <f>""</f>
        <v/>
      </c>
      <c r="CS141" t="str">
        <f>""</f>
        <v/>
      </c>
    </row>
    <row r="142" spans="1:97" x14ac:dyDescent="0.25">
      <c r="A142" t="s">
        <v>1109</v>
      </c>
      <c r="B142" t="s">
        <v>1233</v>
      </c>
      <c r="C142" t="s">
        <v>1234</v>
      </c>
      <c r="D142" t="s">
        <v>1233</v>
      </c>
      <c r="E142" t="s">
        <v>1235</v>
      </c>
      <c r="F142" t="s">
        <v>108</v>
      </c>
      <c r="H142" t="s">
        <v>1236</v>
      </c>
      <c r="I142" t="s">
        <v>203</v>
      </c>
      <c r="J142" t="s">
        <v>111</v>
      </c>
      <c r="K142" t="str">
        <f>"85298"</f>
        <v>85298</v>
      </c>
      <c r="L142" t="s">
        <v>284</v>
      </c>
      <c r="M142" t="s">
        <v>1236</v>
      </c>
      <c r="N142" t="s">
        <v>203</v>
      </c>
      <c r="O142" t="s">
        <v>111</v>
      </c>
      <c r="P142" t="str">
        <f>"85298"</f>
        <v>85298</v>
      </c>
      <c r="Q142" t="s">
        <v>113</v>
      </c>
      <c r="R142" t="str">
        <f>"304-73-206"</f>
        <v>304-73-206</v>
      </c>
      <c r="S142" t="s">
        <v>1237</v>
      </c>
      <c r="T142" t="s">
        <v>287</v>
      </c>
      <c r="U142">
        <v>3424</v>
      </c>
      <c r="W142">
        <v>5</v>
      </c>
      <c r="X142">
        <v>2014</v>
      </c>
      <c r="Z142">
        <v>1</v>
      </c>
      <c r="AA142" t="s">
        <v>26</v>
      </c>
      <c r="AC142" t="s">
        <v>115</v>
      </c>
      <c r="AD142">
        <v>3</v>
      </c>
      <c r="AE142" t="s">
        <v>115</v>
      </c>
      <c r="AH142" t="s">
        <v>116</v>
      </c>
      <c r="AI142" s="1">
        <v>224318</v>
      </c>
      <c r="AJ142" s="2">
        <v>0.31</v>
      </c>
      <c r="AK142" s="1">
        <v>717318</v>
      </c>
      <c r="AL142" t="s">
        <v>117</v>
      </c>
      <c r="AM142" t="s">
        <v>393</v>
      </c>
      <c r="AN142">
        <v>10400</v>
      </c>
      <c r="AO142">
        <v>0.24</v>
      </c>
      <c r="AR142">
        <v>1</v>
      </c>
      <c r="AS142" s="1">
        <v>57110</v>
      </c>
      <c r="AT142" s="1">
        <v>11420</v>
      </c>
      <c r="AU142" s="1">
        <v>45690</v>
      </c>
      <c r="AV142">
        <v>80</v>
      </c>
      <c r="AX142" s="1">
        <v>4170.92</v>
      </c>
      <c r="AY142" t="s">
        <v>289</v>
      </c>
      <c r="AZ142" t="s">
        <v>289</v>
      </c>
      <c r="BA142" t="s">
        <v>290</v>
      </c>
      <c r="BE142" s="3">
        <v>41803</v>
      </c>
      <c r="BF142" s="1">
        <v>520262</v>
      </c>
      <c r="BG142" t="s">
        <v>1238</v>
      </c>
      <c r="BH142" s="1">
        <v>151.94999999999999</v>
      </c>
      <c r="BI142" s="1">
        <v>493000</v>
      </c>
      <c r="BJ142" s="3">
        <v>42580</v>
      </c>
      <c r="BK142" t="s">
        <v>123</v>
      </c>
      <c r="BL142" t="str">
        <f>"2016.537847"</f>
        <v>2016.537847</v>
      </c>
      <c r="BM142" t="s">
        <v>248</v>
      </c>
      <c r="BO142" t="s">
        <v>1239</v>
      </c>
      <c r="BS142">
        <v>30</v>
      </c>
      <c r="BW142" t="str">
        <f>""</f>
        <v/>
      </c>
      <c r="CH142" t="str">
        <f>""</f>
        <v/>
      </c>
      <c r="CS142" t="str">
        <f>""</f>
        <v/>
      </c>
    </row>
    <row r="143" spans="1:97" x14ac:dyDescent="0.25">
      <c r="A143" t="s">
        <v>370</v>
      </c>
      <c r="B143" t="s">
        <v>1240</v>
      </c>
      <c r="C143" t="s">
        <v>1241</v>
      </c>
      <c r="D143" t="s">
        <v>1240</v>
      </c>
      <c r="E143" t="s">
        <v>1242</v>
      </c>
      <c r="F143" t="s">
        <v>108</v>
      </c>
      <c r="H143" t="s">
        <v>1243</v>
      </c>
      <c r="I143" t="s">
        <v>499</v>
      </c>
      <c r="J143" t="s">
        <v>111</v>
      </c>
      <c r="K143" t="str">
        <f>"85338"</f>
        <v>85338</v>
      </c>
      <c r="L143" t="s">
        <v>1244</v>
      </c>
      <c r="M143" t="s">
        <v>1243</v>
      </c>
      <c r="N143" t="s">
        <v>499</v>
      </c>
      <c r="O143" t="s">
        <v>111</v>
      </c>
      <c r="P143" t="str">
        <f>"85338-7851"</f>
        <v>85338-7851</v>
      </c>
      <c r="R143" t="str">
        <f>"400-83-655"</f>
        <v>400-83-655</v>
      </c>
      <c r="S143" t="s">
        <v>1245</v>
      </c>
      <c r="U143">
        <v>2384</v>
      </c>
      <c r="W143">
        <v>4</v>
      </c>
      <c r="X143">
        <v>2014</v>
      </c>
      <c r="Z143">
        <v>1</v>
      </c>
      <c r="AA143" t="s">
        <v>26</v>
      </c>
      <c r="AC143" t="s">
        <v>115</v>
      </c>
      <c r="AD143">
        <v>3</v>
      </c>
      <c r="AE143" t="s">
        <v>115</v>
      </c>
      <c r="AH143" t="s">
        <v>116</v>
      </c>
      <c r="AI143" s="1">
        <v>54913</v>
      </c>
      <c r="AJ143" s="2">
        <v>0.13</v>
      </c>
      <c r="AK143" s="1">
        <v>429913</v>
      </c>
      <c r="AL143" t="s">
        <v>117</v>
      </c>
      <c r="AM143" t="s">
        <v>118</v>
      </c>
      <c r="AN143">
        <v>7967</v>
      </c>
      <c r="AO143">
        <v>0.18</v>
      </c>
      <c r="AR143">
        <v>1</v>
      </c>
      <c r="AS143" s="1">
        <v>33770</v>
      </c>
      <c r="AT143" s="1">
        <v>6750</v>
      </c>
      <c r="AU143" s="1">
        <v>27020</v>
      </c>
      <c r="AV143">
        <v>80.010000000000005</v>
      </c>
      <c r="AX143" s="1">
        <v>3975.38</v>
      </c>
      <c r="AY143" t="s">
        <v>1246</v>
      </c>
      <c r="AZ143" t="s">
        <v>1246</v>
      </c>
      <c r="BA143" t="s">
        <v>1247</v>
      </c>
      <c r="BE143" s="3">
        <v>41956</v>
      </c>
      <c r="BF143" s="1">
        <v>344500</v>
      </c>
      <c r="BG143" t="s">
        <v>1248</v>
      </c>
      <c r="BH143" s="1">
        <v>144.51</v>
      </c>
      <c r="BI143" s="1">
        <v>375000</v>
      </c>
      <c r="BJ143" s="3">
        <v>43096</v>
      </c>
      <c r="BK143" t="s">
        <v>123</v>
      </c>
      <c r="BL143" t="str">
        <f>"2017.955460"</f>
        <v>2017.955460</v>
      </c>
      <c r="BM143" t="s">
        <v>1249</v>
      </c>
      <c r="BN143">
        <v>65203</v>
      </c>
      <c r="BO143" t="s">
        <v>1250</v>
      </c>
      <c r="BS143">
        <v>31</v>
      </c>
      <c r="BW143" t="str">
        <f>""</f>
        <v/>
      </c>
      <c r="CH143" t="str">
        <f>""</f>
        <v/>
      </c>
      <c r="CS143" t="str">
        <f>""</f>
        <v/>
      </c>
    </row>
    <row r="144" spans="1:97" x14ac:dyDescent="0.25">
      <c r="A144" t="s">
        <v>305</v>
      </c>
      <c r="B144" t="s">
        <v>1251</v>
      </c>
      <c r="C144" t="s">
        <v>1252</v>
      </c>
      <c r="D144" t="s">
        <v>1251</v>
      </c>
      <c r="E144" t="s">
        <v>1253</v>
      </c>
      <c r="F144" t="s">
        <v>108</v>
      </c>
      <c r="H144" t="s">
        <v>1254</v>
      </c>
      <c r="I144" t="s">
        <v>203</v>
      </c>
      <c r="J144" t="s">
        <v>111</v>
      </c>
      <c r="K144" t="str">
        <f>"85298"</f>
        <v>85298</v>
      </c>
      <c r="L144" t="s">
        <v>284</v>
      </c>
      <c r="M144" t="s">
        <v>1254</v>
      </c>
      <c r="N144" t="s">
        <v>203</v>
      </c>
      <c r="O144" t="s">
        <v>111</v>
      </c>
      <c r="P144" t="str">
        <f>"85298-8501"</f>
        <v>85298-8501</v>
      </c>
      <c r="Q144" t="s">
        <v>113</v>
      </c>
      <c r="R144" t="str">
        <f>"304-73-291"</f>
        <v>304-73-291</v>
      </c>
      <c r="S144" t="s">
        <v>1255</v>
      </c>
      <c r="T144" t="s">
        <v>287</v>
      </c>
      <c r="U144">
        <v>3985</v>
      </c>
      <c r="W144">
        <v>5</v>
      </c>
      <c r="X144">
        <v>2013</v>
      </c>
      <c r="Z144">
        <v>2</v>
      </c>
      <c r="AC144" t="s">
        <v>115</v>
      </c>
      <c r="AD144">
        <v>3</v>
      </c>
      <c r="AE144" t="s">
        <v>115</v>
      </c>
      <c r="AH144" t="s">
        <v>116</v>
      </c>
      <c r="AI144" s="1">
        <v>198778</v>
      </c>
      <c r="AJ144" s="2">
        <v>0.33</v>
      </c>
      <c r="AK144" s="1">
        <v>600538</v>
      </c>
      <c r="AL144" t="s">
        <v>117</v>
      </c>
      <c r="AM144" t="s">
        <v>288</v>
      </c>
      <c r="AN144">
        <v>9472</v>
      </c>
      <c r="AO144">
        <v>0.22</v>
      </c>
      <c r="AR144">
        <v>1</v>
      </c>
      <c r="AS144" s="1">
        <v>41730</v>
      </c>
      <c r="AT144" s="1">
        <v>8340</v>
      </c>
      <c r="AU144" s="1">
        <v>33390</v>
      </c>
      <c r="AV144">
        <v>80.010000000000005</v>
      </c>
      <c r="AX144" s="1">
        <v>3516.6</v>
      </c>
      <c r="AY144" t="s">
        <v>289</v>
      </c>
      <c r="AZ144" t="s">
        <v>289</v>
      </c>
      <c r="BA144" t="s">
        <v>290</v>
      </c>
      <c r="BE144" s="3">
        <v>42271</v>
      </c>
      <c r="BF144" s="1">
        <v>496000</v>
      </c>
      <c r="BG144" t="s">
        <v>954</v>
      </c>
      <c r="BH144" s="1">
        <v>124.47</v>
      </c>
      <c r="BI144" s="1">
        <v>401760</v>
      </c>
      <c r="BJ144" s="3">
        <v>42271</v>
      </c>
      <c r="BK144" t="s">
        <v>123</v>
      </c>
      <c r="BL144" t="str">
        <f>"2015.688221"</f>
        <v>2015.688221</v>
      </c>
      <c r="BM144" t="s">
        <v>175</v>
      </c>
      <c r="BO144" t="s">
        <v>1256</v>
      </c>
      <c r="BS144">
        <v>30</v>
      </c>
      <c r="BW144" t="str">
        <f>""</f>
        <v/>
      </c>
      <c r="CH144" t="str">
        <f>""</f>
        <v/>
      </c>
      <c r="CS144" t="str">
        <f>""</f>
        <v/>
      </c>
    </row>
    <row r="145" spans="1:97" x14ac:dyDescent="0.25">
      <c r="A145" t="s">
        <v>996</v>
      </c>
      <c r="B145" t="s">
        <v>1257</v>
      </c>
      <c r="C145" t="s">
        <v>1258</v>
      </c>
      <c r="D145" t="s">
        <v>1257</v>
      </c>
      <c r="E145" t="s">
        <v>1259</v>
      </c>
      <c r="F145" t="s">
        <v>108</v>
      </c>
      <c r="H145" t="s">
        <v>1260</v>
      </c>
      <c r="I145" t="s">
        <v>632</v>
      </c>
      <c r="J145" t="s">
        <v>111</v>
      </c>
      <c r="K145" t="str">
        <f>"85379"</f>
        <v>85379</v>
      </c>
      <c r="L145" t="s">
        <v>375</v>
      </c>
      <c r="M145" t="s">
        <v>1260</v>
      </c>
      <c r="N145" t="s">
        <v>632</v>
      </c>
      <c r="O145" t="s">
        <v>111</v>
      </c>
      <c r="P145" t="str">
        <f>"85379-4279"</f>
        <v>85379-4279</v>
      </c>
      <c r="Q145" t="s">
        <v>113</v>
      </c>
      <c r="R145" t="str">
        <f>"509-11-719"</f>
        <v>509-11-719</v>
      </c>
      <c r="S145" t="s">
        <v>633</v>
      </c>
      <c r="U145">
        <v>2010</v>
      </c>
      <c r="W145">
        <v>3</v>
      </c>
      <c r="X145">
        <v>2015</v>
      </c>
      <c r="Z145">
        <v>1</v>
      </c>
      <c r="AC145" t="s">
        <v>115</v>
      </c>
      <c r="AD145">
        <v>2</v>
      </c>
      <c r="AE145" t="s">
        <v>115</v>
      </c>
      <c r="AH145" t="s">
        <v>116</v>
      </c>
      <c r="AI145" s="1">
        <v>52759</v>
      </c>
      <c r="AJ145" s="2">
        <v>0.17</v>
      </c>
      <c r="AK145" s="1">
        <v>319335</v>
      </c>
      <c r="AL145" t="s">
        <v>117</v>
      </c>
      <c r="AM145" t="s">
        <v>118</v>
      </c>
      <c r="AN145">
        <v>6865</v>
      </c>
      <c r="AO145">
        <v>0.16</v>
      </c>
      <c r="AR145">
        <v>1</v>
      </c>
      <c r="AS145" s="1">
        <v>23830</v>
      </c>
      <c r="AT145" s="1">
        <v>4760</v>
      </c>
      <c r="AU145" s="1">
        <v>19070</v>
      </c>
      <c r="AV145">
        <v>80.03</v>
      </c>
      <c r="AX145" s="1">
        <v>2915.5</v>
      </c>
      <c r="AY145" t="s">
        <v>634</v>
      </c>
      <c r="AZ145" t="s">
        <v>634</v>
      </c>
      <c r="BA145" t="s">
        <v>635</v>
      </c>
      <c r="BE145" s="3">
        <v>42202</v>
      </c>
      <c r="BF145" s="1">
        <v>259025</v>
      </c>
      <c r="BG145" t="s">
        <v>636</v>
      </c>
      <c r="BH145" s="1">
        <v>128.87</v>
      </c>
      <c r="BI145" s="1">
        <v>266576</v>
      </c>
      <c r="BJ145" s="3">
        <v>42649</v>
      </c>
      <c r="BK145" t="s">
        <v>123</v>
      </c>
      <c r="BL145" t="str">
        <f>"2016.733729"</f>
        <v>2016.733729</v>
      </c>
      <c r="BM145" t="s">
        <v>1201</v>
      </c>
      <c r="BO145" t="s">
        <v>1261</v>
      </c>
      <c r="BS145">
        <v>30</v>
      </c>
      <c r="BW145" t="str">
        <f>""</f>
        <v/>
      </c>
      <c r="CH145" t="str">
        <f>""</f>
        <v/>
      </c>
      <c r="CS145" t="str">
        <f>""</f>
        <v/>
      </c>
    </row>
    <row r="146" spans="1:97" x14ac:dyDescent="0.25">
      <c r="A146" t="s">
        <v>305</v>
      </c>
      <c r="B146" t="s">
        <v>1262</v>
      </c>
      <c r="E146" t="s">
        <v>1263</v>
      </c>
      <c r="F146" t="s">
        <v>108</v>
      </c>
      <c r="H146" t="s">
        <v>1264</v>
      </c>
      <c r="I146" t="s">
        <v>499</v>
      </c>
      <c r="J146" t="s">
        <v>111</v>
      </c>
      <c r="K146" t="str">
        <f>"85395"</f>
        <v>85395</v>
      </c>
      <c r="L146" t="s">
        <v>500</v>
      </c>
      <c r="M146" t="s">
        <v>1264</v>
      </c>
      <c r="N146" t="s">
        <v>499</v>
      </c>
      <c r="O146" t="s">
        <v>111</v>
      </c>
      <c r="P146" t="str">
        <f>"85395-6479"</f>
        <v>85395-6479</v>
      </c>
      <c r="Q146" t="s">
        <v>113</v>
      </c>
      <c r="R146" t="str">
        <f>"502-30-441"</f>
        <v>502-30-441</v>
      </c>
      <c r="S146" t="s">
        <v>1265</v>
      </c>
      <c r="T146" t="s">
        <v>502</v>
      </c>
      <c r="U146">
        <v>2322</v>
      </c>
      <c r="W146">
        <v>4</v>
      </c>
      <c r="X146">
        <v>2016</v>
      </c>
      <c r="Z146">
        <v>1</v>
      </c>
      <c r="AC146" t="s">
        <v>115</v>
      </c>
      <c r="AD146">
        <v>3</v>
      </c>
      <c r="AE146" t="s">
        <v>115</v>
      </c>
      <c r="AH146" t="s">
        <v>116</v>
      </c>
      <c r="AI146" s="1">
        <v>60865</v>
      </c>
      <c r="AJ146" s="2">
        <v>0.16</v>
      </c>
      <c r="AK146" s="1">
        <v>373319</v>
      </c>
      <c r="AL146" t="s">
        <v>117</v>
      </c>
      <c r="AM146" t="s">
        <v>118</v>
      </c>
      <c r="AN146">
        <v>12360</v>
      </c>
      <c r="AO146">
        <v>0.28000000000000003</v>
      </c>
      <c r="AR146">
        <v>1</v>
      </c>
      <c r="AS146" s="1">
        <v>26970</v>
      </c>
      <c r="AT146" s="1">
        <v>5390</v>
      </c>
      <c r="AU146" s="1">
        <v>21580</v>
      </c>
      <c r="AV146">
        <v>80.010000000000005</v>
      </c>
      <c r="AX146" s="1">
        <v>2355</v>
      </c>
      <c r="AY146" t="s">
        <v>503</v>
      </c>
      <c r="AZ146" t="s">
        <v>504</v>
      </c>
      <c r="BA146" t="s">
        <v>218</v>
      </c>
      <c r="BE146" s="3">
        <v>42468</v>
      </c>
      <c r="BF146" s="1">
        <v>313956</v>
      </c>
      <c r="BG146" t="s">
        <v>209</v>
      </c>
      <c r="BH146" s="1">
        <v>135.21</v>
      </c>
      <c r="BI146" s="1">
        <v>312454</v>
      </c>
      <c r="BJ146" s="3">
        <v>43068</v>
      </c>
      <c r="BK146" t="s">
        <v>123</v>
      </c>
      <c r="BL146" t="str">
        <f>"2017.882274"</f>
        <v>2017.882274</v>
      </c>
      <c r="BM146" t="s">
        <v>361</v>
      </c>
      <c r="BO146" t="s">
        <v>1266</v>
      </c>
      <c r="BS146">
        <v>30</v>
      </c>
      <c r="BW146" t="str">
        <f>""</f>
        <v/>
      </c>
      <c r="CH146" t="str">
        <f>""</f>
        <v/>
      </c>
      <c r="CS146" t="str">
        <f>""</f>
        <v/>
      </c>
    </row>
    <row r="147" spans="1:97" x14ac:dyDescent="0.25">
      <c r="B147" t="s">
        <v>1267</v>
      </c>
      <c r="E147" t="s">
        <v>1268</v>
      </c>
      <c r="F147" t="s">
        <v>108</v>
      </c>
      <c r="H147" t="s">
        <v>1269</v>
      </c>
      <c r="I147" t="s">
        <v>453</v>
      </c>
      <c r="J147" t="s">
        <v>111</v>
      </c>
      <c r="K147" t="str">
        <f>"85383"</f>
        <v>85383</v>
      </c>
      <c r="L147" t="s">
        <v>625</v>
      </c>
      <c r="M147" t="s">
        <v>1269</v>
      </c>
      <c r="N147" t="s">
        <v>453</v>
      </c>
      <c r="O147" t="s">
        <v>111</v>
      </c>
      <c r="P147" t="str">
        <f>"85383-3368"</f>
        <v>85383-3368</v>
      </c>
      <c r="Q147" t="s">
        <v>113</v>
      </c>
      <c r="R147" t="str">
        <f>"201-19-178"</f>
        <v>201-19-178</v>
      </c>
      <c r="S147" t="s">
        <v>626</v>
      </c>
      <c r="U147">
        <v>2520</v>
      </c>
      <c r="W147">
        <v>4</v>
      </c>
      <c r="X147">
        <v>2015</v>
      </c>
      <c r="Z147">
        <v>1</v>
      </c>
      <c r="AA147" t="s">
        <v>26</v>
      </c>
      <c r="AC147" t="s">
        <v>115</v>
      </c>
      <c r="AD147">
        <v>2</v>
      </c>
      <c r="AE147" t="s">
        <v>115</v>
      </c>
      <c r="AH147" t="s">
        <v>116</v>
      </c>
      <c r="AI147" s="1">
        <v>-31445</v>
      </c>
      <c r="AJ147" s="2">
        <v>-7.0000000000000007E-2</v>
      </c>
      <c r="AK147" s="1">
        <v>460735</v>
      </c>
      <c r="AL147" t="s">
        <v>117</v>
      </c>
      <c r="AM147" t="s">
        <v>118</v>
      </c>
      <c r="AN147">
        <v>10719</v>
      </c>
      <c r="AO147">
        <v>0.25</v>
      </c>
      <c r="AR147">
        <v>1</v>
      </c>
      <c r="AS147" s="1">
        <v>35180</v>
      </c>
      <c r="AT147" s="1">
        <v>7030</v>
      </c>
      <c r="AU147" s="1">
        <v>28150</v>
      </c>
      <c r="AV147">
        <v>80.02</v>
      </c>
      <c r="AX147" s="1">
        <v>2742.48</v>
      </c>
      <c r="AY147" t="s">
        <v>627</v>
      </c>
      <c r="AZ147" t="s">
        <v>627</v>
      </c>
      <c r="BA147" t="s">
        <v>457</v>
      </c>
      <c r="BB147" s="3">
        <v>42849</v>
      </c>
      <c r="BD147" t="s">
        <v>458</v>
      </c>
      <c r="BE147" s="3">
        <v>42130</v>
      </c>
      <c r="BF147" s="1">
        <v>413268</v>
      </c>
      <c r="BG147" t="s">
        <v>275</v>
      </c>
      <c r="BH147" s="1">
        <v>164</v>
      </c>
      <c r="BI147" s="1">
        <v>426905</v>
      </c>
      <c r="BJ147" s="3">
        <v>42130</v>
      </c>
      <c r="BK147" t="s">
        <v>123</v>
      </c>
      <c r="BL147" t="str">
        <f>"2015.319508"</f>
        <v>2015.319508</v>
      </c>
      <c r="BM147" t="s">
        <v>651</v>
      </c>
      <c r="BO147" t="s">
        <v>1270</v>
      </c>
      <c r="BS147">
        <v>30</v>
      </c>
      <c r="BT147" s="1">
        <v>65275</v>
      </c>
      <c r="BU147" s="3">
        <v>42157</v>
      </c>
      <c r="BV147" t="s">
        <v>134</v>
      </c>
      <c r="BW147" t="str">
        <f>"2015.392079"</f>
        <v>2015.392079</v>
      </c>
      <c r="BX147" t="s">
        <v>198</v>
      </c>
      <c r="BZ147" t="s">
        <v>1271</v>
      </c>
      <c r="CD147">
        <v>15</v>
      </c>
      <c r="CH147" t="str">
        <f>""</f>
        <v/>
      </c>
      <c r="CS147" t="str">
        <f>""</f>
        <v/>
      </c>
    </row>
    <row r="148" spans="1:97" x14ac:dyDescent="0.25">
      <c r="A148" t="s">
        <v>1272</v>
      </c>
      <c r="B148" t="s">
        <v>1273</v>
      </c>
      <c r="C148" t="s">
        <v>1274</v>
      </c>
      <c r="D148" t="s">
        <v>1273</v>
      </c>
      <c r="E148" t="s">
        <v>1275</v>
      </c>
      <c r="F148" t="s">
        <v>108</v>
      </c>
      <c r="H148" t="s">
        <v>1276</v>
      </c>
      <c r="I148" t="s">
        <v>225</v>
      </c>
      <c r="J148" t="s">
        <v>111</v>
      </c>
      <c r="K148" t="str">
        <f>"85212"</f>
        <v>85212</v>
      </c>
      <c r="L148" t="s">
        <v>558</v>
      </c>
      <c r="M148" t="s">
        <v>1276</v>
      </c>
      <c r="N148" t="s">
        <v>225</v>
      </c>
      <c r="O148" t="s">
        <v>111</v>
      </c>
      <c r="P148" t="str">
        <f>"85212-8070"</f>
        <v>85212-8070</v>
      </c>
      <c r="Q148" t="s">
        <v>113</v>
      </c>
      <c r="R148" t="str">
        <f>"304-50-339"</f>
        <v>304-50-339</v>
      </c>
      <c r="S148" t="s">
        <v>698</v>
      </c>
      <c r="U148">
        <v>3864</v>
      </c>
      <c r="W148">
        <v>4</v>
      </c>
      <c r="X148">
        <v>2013</v>
      </c>
      <c r="Z148">
        <v>2</v>
      </c>
      <c r="AA148" t="s">
        <v>26</v>
      </c>
      <c r="AC148" t="s">
        <v>115</v>
      </c>
      <c r="AD148">
        <v>3</v>
      </c>
      <c r="AE148" t="s">
        <v>115</v>
      </c>
      <c r="AH148" t="s">
        <v>116</v>
      </c>
      <c r="AI148" s="1">
        <v>68662</v>
      </c>
      <c r="AJ148" s="2">
        <v>0.14000000000000001</v>
      </c>
      <c r="AK148" s="1">
        <v>506757</v>
      </c>
      <c r="AL148" t="s">
        <v>117</v>
      </c>
      <c r="AM148" t="s">
        <v>118</v>
      </c>
      <c r="AN148">
        <v>12750</v>
      </c>
      <c r="AO148">
        <v>0.28999999999999998</v>
      </c>
      <c r="AR148">
        <v>1</v>
      </c>
      <c r="AS148" s="1">
        <v>39470</v>
      </c>
      <c r="AT148" s="1">
        <v>7890</v>
      </c>
      <c r="AU148" s="1">
        <v>31580</v>
      </c>
      <c r="AV148">
        <v>80.010000000000005</v>
      </c>
      <c r="AX148" s="1">
        <v>5526.42</v>
      </c>
      <c r="AY148" t="s">
        <v>560</v>
      </c>
      <c r="AZ148" t="s">
        <v>561</v>
      </c>
      <c r="BA148" t="s">
        <v>194</v>
      </c>
      <c r="BE148" s="3">
        <v>42061</v>
      </c>
      <c r="BF148" s="1">
        <v>385000</v>
      </c>
      <c r="BG148" t="s">
        <v>645</v>
      </c>
      <c r="BH148" s="1">
        <v>99.64</v>
      </c>
      <c r="BI148" s="1">
        <v>438095</v>
      </c>
      <c r="BJ148" s="3">
        <v>43082</v>
      </c>
      <c r="BK148" t="s">
        <v>123</v>
      </c>
      <c r="BL148" t="str">
        <f>"2017.922155"</f>
        <v>2017.922155</v>
      </c>
      <c r="BM148" t="s">
        <v>1277</v>
      </c>
      <c r="BO148" t="s">
        <v>1278</v>
      </c>
      <c r="BS148">
        <v>31</v>
      </c>
      <c r="BW148" t="str">
        <f>""</f>
        <v/>
      </c>
      <c r="CH148" t="str">
        <f>""</f>
        <v/>
      </c>
      <c r="CS148" t="str">
        <f>""</f>
        <v/>
      </c>
    </row>
    <row r="149" spans="1:97" x14ac:dyDescent="0.25">
      <c r="B149" t="s">
        <v>1279</v>
      </c>
      <c r="C149" t="s">
        <v>933</v>
      </c>
      <c r="E149" t="s">
        <v>1280</v>
      </c>
      <c r="F149" t="s">
        <v>108</v>
      </c>
      <c r="H149" t="s">
        <v>1281</v>
      </c>
      <c r="I149" t="s">
        <v>110</v>
      </c>
      <c r="J149" t="s">
        <v>111</v>
      </c>
      <c r="K149" t="str">
        <f>"85249"</f>
        <v>85249</v>
      </c>
      <c r="L149" t="s">
        <v>417</v>
      </c>
      <c r="M149" t="s">
        <v>1281</v>
      </c>
      <c r="N149" t="s">
        <v>110</v>
      </c>
      <c r="O149" t="s">
        <v>111</v>
      </c>
      <c r="P149" t="str">
        <f>"85249-2055"</f>
        <v>85249-2055</v>
      </c>
      <c r="Q149" t="s">
        <v>113</v>
      </c>
      <c r="R149" t="str">
        <f>"304-75-613"</f>
        <v>304-75-613</v>
      </c>
      <c r="S149" t="s">
        <v>418</v>
      </c>
      <c r="T149" t="s">
        <v>418</v>
      </c>
      <c r="U149">
        <v>2347</v>
      </c>
      <c r="W149">
        <v>4</v>
      </c>
      <c r="X149">
        <v>2015</v>
      </c>
      <c r="Z149">
        <v>1</v>
      </c>
      <c r="AC149" t="s">
        <v>115</v>
      </c>
      <c r="AD149">
        <v>3</v>
      </c>
      <c r="AE149" t="s">
        <v>115</v>
      </c>
      <c r="AH149" t="s">
        <v>116</v>
      </c>
      <c r="AI149" s="1">
        <v>93975</v>
      </c>
      <c r="AJ149" s="2">
        <v>0.21</v>
      </c>
      <c r="AK149" s="1">
        <v>448965</v>
      </c>
      <c r="AL149" t="s">
        <v>117</v>
      </c>
      <c r="AM149" t="s">
        <v>118</v>
      </c>
      <c r="AN149">
        <v>7200</v>
      </c>
      <c r="AO149">
        <v>0.16</v>
      </c>
      <c r="AR149">
        <v>1</v>
      </c>
      <c r="AS149" s="1">
        <v>32310</v>
      </c>
      <c r="AT149" s="1">
        <v>6460</v>
      </c>
      <c r="AU149" s="1">
        <v>25850</v>
      </c>
      <c r="AV149">
        <v>80.010000000000005</v>
      </c>
      <c r="AX149" s="1">
        <v>2597.1999999999998</v>
      </c>
      <c r="AY149" t="s">
        <v>419</v>
      </c>
      <c r="AZ149" t="s">
        <v>273</v>
      </c>
      <c r="BA149" t="s">
        <v>303</v>
      </c>
      <c r="BB149" s="3">
        <v>43425</v>
      </c>
      <c r="BC149" s="1">
        <v>0</v>
      </c>
      <c r="BD149" t="s">
        <v>247</v>
      </c>
      <c r="BE149" s="3">
        <v>42152</v>
      </c>
      <c r="BF149" s="1">
        <v>354900</v>
      </c>
      <c r="BG149" t="s">
        <v>420</v>
      </c>
      <c r="BH149" s="1">
        <v>151.21</v>
      </c>
      <c r="BI149" s="1">
        <v>354990</v>
      </c>
      <c r="BJ149" s="3">
        <v>42152</v>
      </c>
      <c r="BK149" t="s">
        <v>123</v>
      </c>
      <c r="BL149" t="str">
        <f>"2015.378964"</f>
        <v>2015.378964</v>
      </c>
      <c r="BM149" t="s">
        <v>475</v>
      </c>
      <c r="BN149" t="s">
        <v>1282</v>
      </c>
      <c r="BO149" t="s">
        <v>1283</v>
      </c>
      <c r="BS149">
        <v>30</v>
      </c>
      <c r="BW149" t="str">
        <f>""</f>
        <v/>
      </c>
      <c r="CH149" t="str">
        <f>""</f>
        <v/>
      </c>
      <c r="CS149" t="str">
        <f>""</f>
        <v/>
      </c>
    </row>
    <row r="150" spans="1:97" x14ac:dyDescent="0.25">
      <c r="A150" t="s">
        <v>265</v>
      </c>
      <c r="B150" t="s">
        <v>1284</v>
      </c>
      <c r="C150" t="s">
        <v>524</v>
      </c>
      <c r="D150" t="s">
        <v>1284</v>
      </c>
      <c r="E150" t="s">
        <v>1285</v>
      </c>
      <c r="F150" t="s">
        <v>108</v>
      </c>
      <c r="H150" t="s">
        <v>1286</v>
      </c>
      <c r="I150" t="s">
        <v>203</v>
      </c>
      <c r="J150" t="s">
        <v>111</v>
      </c>
      <c r="K150" t="str">
        <f>"85298"</f>
        <v>85298</v>
      </c>
      <c r="L150" t="s">
        <v>284</v>
      </c>
      <c r="M150" t="s">
        <v>1286</v>
      </c>
      <c r="N150" t="s">
        <v>203</v>
      </c>
      <c r="O150" t="s">
        <v>111</v>
      </c>
      <c r="P150" t="str">
        <f>"85298"</f>
        <v>85298</v>
      </c>
      <c r="Q150" t="s">
        <v>113</v>
      </c>
      <c r="R150" t="str">
        <f>"304-73-254"</f>
        <v>304-73-254</v>
      </c>
      <c r="S150" t="s">
        <v>1237</v>
      </c>
      <c r="T150" t="s">
        <v>287</v>
      </c>
      <c r="U150">
        <v>3501</v>
      </c>
      <c r="W150">
        <v>5</v>
      </c>
      <c r="X150">
        <v>2014</v>
      </c>
      <c r="Z150">
        <v>1</v>
      </c>
      <c r="AA150" t="s">
        <v>26</v>
      </c>
      <c r="AC150" t="s">
        <v>115</v>
      </c>
      <c r="AD150">
        <v>3</v>
      </c>
      <c r="AE150" t="s">
        <v>115</v>
      </c>
      <c r="AH150" t="s">
        <v>116</v>
      </c>
      <c r="AI150" s="1">
        <v>101654</v>
      </c>
      <c r="AJ150" s="2">
        <v>0.15</v>
      </c>
      <c r="AK150" s="1">
        <v>691859</v>
      </c>
      <c r="AL150" t="s">
        <v>117</v>
      </c>
      <c r="AM150" t="s">
        <v>393</v>
      </c>
      <c r="AN150">
        <v>10400</v>
      </c>
      <c r="AO150">
        <v>0.24</v>
      </c>
      <c r="AR150">
        <v>1</v>
      </c>
      <c r="AS150" s="1">
        <v>54860</v>
      </c>
      <c r="AT150" s="1">
        <v>10970</v>
      </c>
      <c r="AU150" s="1">
        <v>43890</v>
      </c>
      <c r="AV150">
        <v>80</v>
      </c>
      <c r="AX150" s="1">
        <v>4470.5600000000004</v>
      </c>
      <c r="AY150" t="s">
        <v>289</v>
      </c>
      <c r="AZ150" t="s">
        <v>289</v>
      </c>
      <c r="BA150" t="s">
        <v>290</v>
      </c>
      <c r="BE150" s="3">
        <v>42073</v>
      </c>
      <c r="BF150" s="1">
        <v>639314</v>
      </c>
      <c r="BG150" t="s">
        <v>1238</v>
      </c>
      <c r="BH150" s="1">
        <v>182.61</v>
      </c>
      <c r="BI150" s="1">
        <v>590205</v>
      </c>
      <c r="BJ150" s="3">
        <v>42073</v>
      </c>
      <c r="BK150" t="s">
        <v>123</v>
      </c>
      <c r="BL150" t="str">
        <f>"2015.158670"</f>
        <v>2015.158670</v>
      </c>
      <c r="BM150" t="s">
        <v>1287</v>
      </c>
      <c r="BO150" t="s">
        <v>1288</v>
      </c>
      <c r="BS150">
        <v>30</v>
      </c>
      <c r="BW150" t="str">
        <f>""</f>
        <v/>
      </c>
      <c r="CH150" t="str">
        <f>""</f>
        <v/>
      </c>
      <c r="CS150" t="str">
        <f>""</f>
        <v/>
      </c>
    </row>
    <row r="151" spans="1:97" x14ac:dyDescent="0.25">
      <c r="A151" t="s">
        <v>1289</v>
      </c>
      <c r="B151" t="s">
        <v>1290</v>
      </c>
      <c r="E151" t="s">
        <v>1291</v>
      </c>
      <c r="F151" t="s">
        <v>108</v>
      </c>
      <c r="H151" t="s">
        <v>1292</v>
      </c>
      <c r="I151" t="s">
        <v>203</v>
      </c>
      <c r="J151" t="s">
        <v>111</v>
      </c>
      <c r="K151" t="str">
        <f>"85298"</f>
        <v>85298</v>
      </c>
      <c r="L151" t="s">
        <v>284</v>
      </c>
      <c r="M151" t="s">
        <v>1292</v>
      </c>
      <c r="N151" t="s">
        <v>203</v>
      </c>
      <c r="O151" t="s">
        <v>111</v>
      </c>
      <c r="P151" t="str">
        <f>"85298-8510"</f>
        <v>85298-8510</v>
      </c>
      <c r="Q151" t="s">
        <v>113</v>
      </c>
      <c r="R151" t="str">
        <f>"304-73-361"</f>
        <v>304-73-361</v>
      </c>
      <c r="S151" t="s">
        <v>1255</v>
      </c>
      <c r="T151" t="s">
        <v>287</v>
      </c>
      <c r="U151">
        <v>2912</v>
      </c>
      <c r="W151">
        <v>4</v>
      </c>
      <c r="X151">
        <v>2015</v>
      </c>
      <c r="Z151">
        <v>1</v>
      </c>
      <c r="AA151" t="s">
        <v>26</v>
      </c>
      <c r="AC151" t="s">
        <v>115</v>
      </c>
      <c r="AD151">
        <v>3</v>
      </c>
      <c r="AE151" t="s">
        <v>115</v>
      </c>
      <c r="AH151" t="s">
        <v>116</v>
      </c>
      <c r="AI151" s="1">
        <v>52844</v>
      </c>
      <c r="AJ151" s="2">
        <v>0.1</v>
      </c>
      <c r="AK151" s="1">
        <v>518014</v>
      </c>
      <c r="AL151" t="s">
        <v>117</v>
      </c>
      <c r="AM151" t="s">
        <v>1293</v>
      </c>
      <c r="AN151">
        <v>9239</v>
      </c>
      <c r="AO151">
        <v>0.21</v>
      </c>
      <c r="AR151">
        <v>1</v>
      </c>
      <c r="AS151" s="1">
        <v>39360</v>
      </c>
      <c r="AT151" s="1">
        <v>7870</v>
      </c>
      <c r="AU151" s="1">
        <v>31490</v>
      </c>
      <c r="AV151">
        <v>80.010000000000005</v>
      </c>
      <c r="AX151" s="1">
        <v>2985.74</v>
      </c>
      <c r="AY151" t="s">
        <v>289</v>
      </c>
      <c r="AZ151" t="s">
        <v>289</v>
      </c>
      <c r="BA151" t="s">
        <v>290</v>
      </c>
      <c r="BE151" s="3">
        <v>42251</v>
      </c>
      <c r="BF151" s="1">
        <v>415170</v>
      </c>
      <c r="BG151" t="s">
        <v>954</v>
      </c>
      <c r="BH151" s="1">
        <v>142.57</v>
      </c>
      <c r="BI151" s="1">
        <v>415170</v>
      </c>
      <c r="BJ151" s="3">
        <v>42251</v>
      </c>
      <c r="BK151" t="s">
        <v>123</v>
      </c>
      <c r="BL151" t="str">
        <f>"2015.644860"</f>
        <v>2015.644860</v>
      </c>
      <c r="BM151" t="s">
        <v>175</v>
      </c>
      <c r="BO151" t="s">
        <v>1294</v>
      </c>
      <c r="BS151">
        <v>30</v>
      </c>
      <c r="BT151" s="1">
        <v>50000</v>
      </c>
      <c r="BU151" s="3">
        <v>42352</v>
      </c>
      <c r="BV151" t="s">
        <v>134</v>
      </c>
      <c r="BW151" t="str">
        <f>"2015.881675"</f>
        <v>2015.881675</v>
      </c>
      <c r="BX151" t="s">
        <v>369</v>
      </c>
      <c r="BZ151" t="s">
        <v>1294</v>
      </c>
      <c r="CD151">
        <v>15</v>
      </c>
      <c r="CH151" t="str">
        <f>""</f>
        <v/>
      </c>
      <c r="CS151" t="str">
        <f>""</f>
        <v/>
      </c>
    </row>
    <row r="152" spans="1:97" x14ac:dyDescent="0.25">
      <c r="A152" t="s">
        <v>1295</v>
      </c>
      <c r="B152" t="s">
        <v>1296</v>
      </c>
      <c r="C152" t="s">
        <v>1297</v>
      </c>
      <c r="D152" t="s">
        <v>1296</v>
      </c>
      <c r="E152" t="s">
        <v>1298</v>
      </c>
      <c r="F152" t="s">
        <v>108</v>
      </c>
      <c r="H152" t="s">
        <v>1299</v>
      </c>
      <c r="I152" t="s">
        <v>390</v>
      </c>
      <c r="J152" t="s">
        <v>111</v>
      </c>
      <c r="K152" t="str">
        <f>"85013"</f>
        <v>85013</v>
      </c>
      <c r="L152" t="s">
        <v>1300</v>
      </c>
      <c r="M152" t="s">
        <v>1299</v>
      </c>
      <c r="N152" t="s">
        <v>390</v>
      </c>
      <c r="O152" t="s">
        <v>111</v>
      </c>
      <c r="P152" t="str">
        <f>"85013"</f>
        <v>85013</v>
      </c>
      <c r="Q152" t="s">
        <v>113</v>
      </c>
      <c r="R152" t="str">
        <f>"156-26-159"</f>
        <v>156-26-159</v>
      </c>
      <c r="S152" t="s">
        <v>1301</v>
      </c>
      <c r="T152" t="s">
        <v>1301</v>
      </c>
      <c r="U152">
        <v>2810</v>
      </c>
      <c r="W152">
        <v>4</v>
      </c>
      <c r="X152">
        <v>2014</v>
      </c>
      <c r="Z152">
        <v>1</v>
      </c>
      <c r="AC152" t="s">
        <v>115</v>
      </c>
      <c r="AD152">
        <v>3</v>
      </c>
      <c r="AE152" t="s">
        <v>115</v>
      </c>
      <c r="AH152" t="s">
        <v>116</v>
      </c>
      <c r="AI152" s="1">
        <v>113523</v>
      </c>
      <c r="AJ152" s="2">
        <v>0.17</v>
      </c>
      <c r="AK152" s="1">
        <v>653379</v>
      </c>
      <c r="AL152" t="s">
        <v>117</v>
      </c>
      <c r="AM152" t="s">
        <v>1302</v>
      </c>
      <c r="AN152">
        <v>12099</v>
      </c>
      <c r="AO152">
        <v>0.28000000000000003</v>
      </c>
      <c r="AR152">
        <v>1</v>
      </c>
      <c r="AS152" s="1">
        <v>49380</v>
      </c>
      <c r="AT152" s="1">
        <v>9870</v>
      </c>
      <c r="AU152" s="1">
        <v>39510</v>
      </c>
      <c r="AV152">
        <v>80.010000000000005</v>
      </c>
      <c r="AX152" s="1">
        <v>4740.54</v>
      </c>
      <c r="AY152" t="s">
        <v>1303</v>
      </c>
      <c r="AZ152" t="s">
        <v>1303</v>
      </c>
      <c r="BA152" t="s">
        <v>1304</v>
      </c>
      <c r="BE152" s="3">
        <v>41908</v>
      </c>
      <c r="BF152" s="1">
        <v>570171</v>
      </c>
      <c r="BG152" t="s">
        <v>1305</v>
      </c>
      <c r="BH152" s="1">
        <v>202.91</v>
      </c>
      <c r="BI152" s="1">
        <v>539856</v>
      </c>
      <c r="BJ152" s="3">
        <v>41908</v>
      </c>
      <c r="BK152" t="s">
        <v>123</v>
      </c>
      <c r="BL152" t="str">
        <f>"2014.639041"</f>
        <v>2014.639041</v>
      </c>
      <c r="BM152" t="s">
        <v>1306</v>
      </c>
      <c r="BO152" t="s">
        <v>1307</v>
      </c>
      <c r="BS152">
        <v>30</v>
      </c>
      <c r="BW152" t="str">
        <f>""</f>
        <v/>
      </c>
      <c r="CH152" t="str">
        <f>""</f>
        <v/>
      </c>
      <c r="CS152" t="str">
        <f>""</f>
        <v/>
      </c>
    </row>
    <row r="153" spans="1:97" x14ac:dyDescent="0.25">
      <c r="A153" t="s">
        <v>1308</v>
      </c>
      <c r="B153" t="s">
        <v>1309</v>
      </c>
      <c r="C153" t="s">
        <v>986</v>
      </c>
      <c r="D153" t="s">
        <v>1309</v>
      </c>
      <c r="E153" t="s">
        <v>1310</v>
      </c>
      <c r="F153" t="s">
        <v>108</v>
      </c>
      <c r="H153" t="s">
        <v>1311</v>
      </c>
      <c r="I153" t="s">
        <v>390</v>
      </c>
      <c r="J153" t="s">
        <v>111</v>
      </c>
      <c r="K153" t="str">
        <f>"85032"</f>
        <v>85032</v>
      </c>
      <c r="L153" t="s">
        <v>1312</v>
      </c>
      <c r="M153" t="s">
        <v>1311</v>
      </c>
      <c r="N153" t="s">
        <v>390</v>
      </c>
      <c r="O153" t="s">
        <v>111</v>
      </c>
      <c r="P153" t="str">
        <f>"85032-3360"</f>
        <v>85032-3360</v>
      </c>
      <c r="Q153" t="s">
        <v>113</v>
      </c>
      <c r="R153" t="str">
        <f>"215-31-137"</f>
        <v>215-31-137</v>
      </c>
      <c r="S153" t="s">
        <v>1313</v>
      </c>
      <c r="T153" t="s">
        <v>1314</v>
      </c>
      <c r="U153">
        <v>2322</v>
      </c>
      <c r="W153">
        <v>4</v>
      </c>
      <c r="X153">
        <v>2014</v>
      </c>
      <c r="Z153">
        <v>2</v>
      </c>
      <c r="AC153" t="s">
        <v>115</v>
      </c>
      <c r="AD153">
        <v>2</v>
      </c>
      <c r="AE153" t="s">
        <v>115</v>
      </c>
      <c r="AH153" t="s">
        <v>116</v>
      </c>
      <c r="AI153" s="1">
        <v>91096</v>
      </c>
      <c r="AJ153" s="2">
        <v>0.19</v>
      </c>
      <c r="AK153" s="1">
        <v>471112</v>
      </c>
      <c r="AL153" t="s">
        <v>117</v>
      </c>
      <c r="AM153" t="s">
        <v>1315</v>
      </c>
      <c r="AN153">
        <v>3468</v>
      </c>
      <c r="AO153">
        <v>0.8</v>
      </c>
      <c r="AR153">
        <v>1</v>
      </c>
      <c r="AS153" s="1">
        <v>35060</v>
      </c>
      <c r="AT153" s="1">
        <v>7010</v>
      </c>
      <c r="AU153" s="1">
        <v>28050</v>
      </c>
      <c r="AV153">
        <v>80.010000000000005</v>
      </c>
      <c r="AX153" s="1">
        <v>2941.8</v>
      </c>
      <c r="AY153" t="s">
        <v>1316</v>
      </c>
      <c r="AZ153" t="s">
        <v>1317</v>
      </c>
      <c r="BA153" t="s">
        <v>1318</v>
      </c>
      <c r="BE153" s="3">
        <v>41815</v>
      </c>
      <c r="BF153" s="1">
        <v>369990</v>
      </c>
      <c r="BG153" t="s">
        <v>233</v>
      </c>
      <c r="BH153" s="1">
        <v>159.34</v>
      </c>
      <c r="BI153" s="1">
        <v>380016</v>
      </c>
      <c r="BJ153" s="3">
        <v>42451</v>
      </c>
      <c r="BK153" t="s">
        <v>123</v>
      </c>
      <c r="BL153" t="str">
        <f>"2016.183224"</f>
        <v>2016.183224</v>
      </c>
      <c r="BM153" t="s">
        <v>1319</v>
      </c>
      <c r="BO153" t="s">
        <v>1320</v>
      </c>
      <c r="BS153">
        <v>30</v>
      </c>
      <c r="BW153" t="str">
        <f>""</f>
        <v/>
      </c>
      <c r="CH153" t="str">
        <f>""</f>
        <v/>
      </c>
      <c r="CS153" t="str">
        <f>""</f>
        <v/>
      </c>
    </row>
    <row r="154" spans="1:97" x14ac:dyDescent="0.25">
      <c r="A154" t="s">
        <v>1321</v>
      </c>
      <c r="B154" t="s">
        <v>348</v>
      </c>
      <c r="C154" t="s">
        <v>1322</v>
      </c>
      <c r="D154" t="s">
        <v>348</v>
      </c>
      <c r="E154" t="s">
        <v>1323</v>
      </c>
      <c r="F154" t="s">
        <v>108</v>
      </c>
      <c r="H154" t="s">
        <v>1324</v>
      </c>
      <c r="I154" t="s">
        <v>203</v>
      </c>
      <c r="J154" t="s">
        <v>111</v>
      </c>
      <c r="K154" t="str">
        <f>"85298"</f>
        <v>85298</v>
      </c>
      <c r="L154" t="s">
        <v>1130</v>
      </c>
      <c r="M154" t="s">
        <v>1324</v>
      </c>
      <c r="N154" t="s">
        <v>203</v>
      </c>
      <c r="O154" t="s">
        <v>111</v>
      </c>
      <c r="P154" t="str">
        <f>"85298"</f>
        <v>85298</v>
      </c>
      <c r="Q154" t="s">
        <v>113</v>
      </c>
      <c r="R154" t="str">
        <f>"304-88-176"</f>
        <v>304-88-176</v>
      </c>
      <c r="S154" t="s">
        <v>1131</v>
      </c>
      <c r="T154" t="s">
        <v>1132</v>
      </c>
      <c r="U154">
        <v>3095</v>
      </c>
      <c r="W154">
        <v>3</v>
      </c>
      <c r="X154">
        <v>2014</v>
      </c>
      <c r="Z154">
        <v>1</v>
      </c>
      <c r="AA154" t="s">
        <v>26</v>
      </c>
      <c r="AC154" t="s">
        <v>115</v>
      </c>
      <c r="AD154">
        <v>3</v>
      </c>
      <c r="AE154" t="s">
        <v>115</v>
      </c>
      <c r="AH154" t="s">
        <v>116</v>
      </c>
      <c r="AI154" s="1">
        <v>193107</v>
      </c>
      <c r="AJ154" s="2">
        <v>0.35</v>
      </c>
      <c r="AK154" s="1">
        <v>558961</v>
      </c>
      <c r="AL154" t="s">
        <v>117</v>
      </c>
      <c r="AM154" t="s">
        <v>171</v>
      </c>
      <c r="AN154">
        <v>11004</v>
      </c>
      <c r="AO154">
        <v>0.25</v>
      </c>
      <c r="AR154">
        <v>1</v>
      </c>
      <c r="AS154" s="1">
        <v>42380</v>
      </c>
      <c r="AT154" s="1">
        <v>8470</v>
      </c>
      <c r="AU154" s="1">
        <v>33910</v>
      </c>
      <c r="AV154">
        <v>80.010000000000005</v>
      </c>
      <c r="AX154" s="1">
        <v>3786.58</v>
      </c>
      <c r="AY154" t="s">
        <v>1133</v>
      </c>
      <c r="AZ154" t="s">
        <v>1134</v>
      </c>
      <c r="BA154" t="s">
        <v>1134</v>
      </c>
      <c r="BE154" s="3">
        <v>41733</v>
      </c>
      <c r="BF154" s="1">
        <v>399850</v>
      </c>
      <c r="BG154" t="s">
        <v>292</v>
      </c>
      <c r="BH154" s="1">
        <v>129.19</v>
      </c>
      <c r="BI154" s="1">
        <v>365854</v>
      </c>
      <c r="BJ154" s="3">
        <v>42614</v>
      </c>
      <c r="BK154" t="s">
        <v>123</v>
      </c>
      <c r="BL154" t="str">
        <f>"2016.634490"</f>
        <v>2016.634490</v>
      </c>
      <c r="BM154" t="s">
        <v>1325</v>
      </c>
      <c r="BO154" t="s">
        <v>1326</v>
      </c>
      <c r="BS154">
        <v>25</v>
      </c>
      <c r="BW154" t="str">
        <f>""</f>
        <v/>
      </c>
      <c r="CH154" t="str">
        <f>""</f>
        <v/>
      </c>
      <c r="CS154" t="str">
        <f>""</f>
        <v/>
      </c>
    </row>
    <row r="155" spans="1:97" x14ac:dyDescent="0.25">
      <c r="A155" t="s">
        <v>1327</v>
      </c>
      <c r="B155" t="s">
        <v>1328</v>
      </c>
      <c r="C155" t="s">
        <v>1329</v>
      </c>
      <c r="D155" t="s">
        <v>1328</v>
      </c>
      <c r="E155" t="s">
        <v>1330</v>
      </c>
      <c r="F155" t="s">
        <v>108</v>
      </c>
      <c r="H155" t="s">
        <v>1331</v>
      </c>
      <c r="I155" t="s">
        <v>203</v>
      </c>
      <c r="J155" t="s">
        <v>111</v>
      </c>
      <c r="K155" t="str">
        <f>"85298"</f>
        <v>85298</v>
      </c>
      <c r="L155" t="s">
        <v>269</v>
      </c>
      <c r="M155" t="s">
        <v>1331</v>
      </c>
      <c r="N155" t="s">
        <v>203</v>
      </c>
      <c r="O155" t="s">
        <v>111</v>
      </c>
      <c r="P155" t="str">
        <f>"85298-7450"</f>
        <v>85298-7450</v>
      </c>
      <c r="Q155" t="s">
        <v>113</v>
      </c>
      <c r="R155" t="str">
        <f>"304-86-335"</f>
        <v>304-86-335</v>
      </c>
      <c r="S155" t="s">
        <v>1332</v>
      </c>
      <c r="T155" t="s">
        <v>271</v>
      </c>
      <c r="U155">
        <v>2925</v>
      </c>
      <c r="W155">
        <v>5</v>
      </c>
      <c r="X155">
        <v>2014</v>
      </c>
      <c r="Z155">
        <v>1</v>
      </c>
      <c r="AC155" t="s">
        <v>115</v>
      </c>
      <c r="AD155">
        <v>4</v>
      </c>
      <c r="AE155" t="s">
        <v>115</v>
      </c>
      <c r="AH155" t="s">
        <v>116</v>
      </c>
      <c r="AI155" s="1">
        <v>19371</v>
      </c>
      <c r="AJ155" s="2">
        <v>0.05</v>
      </c>
      <c r="AK155" s="1">
        <v>401971</v>
      </c>
      <c r="AL155" t="s">
        <v>117</v>
      </c>
      <c r="AM155" t="s">
        <v>171</v>
      </c>
      <c r="AN155">
        <v>10459</v>
      </c>
      <c r="AO155">
        <v>0.24</v>
      </c>
      <c r="AR155">
        <v>1</v>
      </c>
      <c r="AS155" s="1">
        <v>37510</v>
      </c>
      <c r="AT155" s="1">
        <v>7500</v>
      </c>
      <c r="AU155" s="1">
        <v>30010</v>
      </c>
      <c r="AV155">
        <v>80.010000000000005</v>
      </c>
      <c r="AX155" s="1">
        <v>2886.96</v>
      </c>
      <c r="AY155" t="s">
        <v>272</v>
      </c>
      <c r="AZ155" t="s">
        <v>273</v>
      </c>
      <c r="BA155" t="s">
        <v>274</v>
      </c>
      <c r="BE155" s="3">
        <v>41789</v>
      </c>
      <c r="BF155" s="1">
        <v>412313</v>
      </c>
      <c r="BG155" t="s">
        <v>275</v>
      </c>
      <c r="BH155" s="1">
        <v>140.96</v>
      </c>
      <c r="BI155" s="1">
        <v>382600</v>
      </c>
      <c r="BJ155" s="3">
        <v>41789</v>
      </c>
      <c r="BK155" t="s">
        <v>123</v>
      </c>
      <c r="BL155" t="str">
        <f>"2014.351314"</f>
        <v>2014.351314</v>
      </c>
      <c r="BM155" t="s">
        <v>135</v>
      </c>
      <c r="BO155" t="s">
        <v>1333</v>
      </c>
      <c r="BS155">
        <v>30</v>
      </c>
      <c r="BW155" t="str">
        <f>""</f>
        <v/>
      </c>
      <c r="CH155" t="str">
        <f>""</f>
        <v/>
      </c>
      <c r="CS155" t="str">
        <f>""</f>
        <v/>
      </c>
    </row>
    <row r="156" spans="1:97" x14ac:dyDescent="0.25">
      <c r="A156" t="s">
        <v>251</v>
      </c>
      <c r="B156" t="s">
        <v>1334</v>
      </c>
      <c r="C156" t="s">
        <v>1335</v>
      </c>
      <c r="D156" t="s">
        <v>1334</v>
      </c>
      <c r="E156" t="s">
        <v>1336</v>
      </c>
      <c r="F156" t="s">
        <v>108</v>
      </c>
      <c r="H156" t="s">
        <v>1337</v>
      </c>
      <c r="I156" t="s">
        <v>225</v>
      </c>
      <c r="J156" t="s">
        <v>111</v>
      </c>
      <c r="K156" t="str">
        <f>"85212"</f>
        <v>85212</v>
      </c>
      <c r="L156" t="s">
        <v>567</v>
      </c>
      <c r="M156" t="s">
        <v>1337</v>
      </c>
      <c r="N156" t="s">
        <v>225</v>
      </c>
      <c r="O156" t="s">
        <v>111</v>
      </c>
      <c r="P156" t="str">
        <f>"85212-9767"</f>
        <v>85212-9767</v>
      </c>
      <c r="Q156" t="s">
        <v>113</v>
      </c>
      <c r="R156" t="str">
        <f>"304-17-533"</f>
        <v>304-17-533</v>
      </c>
      <c r="S156" t="s">
        <v>568</v>
      </c>
      <c r="T156" t="s">
        <v>569</v>
      </c>
      <c r="U156">
        <v>1947</v>
      </c>
      <c r="W156">
        <v>4</v>
      </c>
      <c r="X156">
        <v>2014</v>
      </c>
      <c r="Z156">
        <v>1</v>
      </c>
      <c r="AC156" t="s">
        <v>115</v>
      </c>
      <c r="AD156">
        <v>2</v>
      </c>
      <c r="AE156" t="s">
        <v>115</v>
      </c>
      <c r="AH156" t="s">
        <v>116</v>
      </c>
      <c r="AI156" s="1">
        <v>76212</v>
      </c>
      <c r="AJ156" s="2">
        <v>0.21</v>
      </c>
      <c r="AK156" s="1">
        <v>357114</v>
      </c>
      <c r="AL156" t="s">
        <v>117</v>
      </c>
      <c r="AM156" t="s">
        <v>191</v>
      </c>
      <c r="AN156">
        <v>5750</v>
      </c>
      <c r="AO156">
        <v>0.13</v>
      </c>
      <c r="AR156">
        <v>1</v>
      </c>
      <c r="AS156" s="1">
        <v>25020</v>
      </c>
      <c r="AT156" s="1">
        <v>5000</v>
      </c>
      <c r="AU156" s="1">
        <v>20020</v>
      </c>
      <c r="AV156">
        <v>80.02</v>
      </c>
      <c r="AX156" s="1">
        <v>2046.22</v>
      </c>
      <c r="AY156" t="s">
        <v>570</v>
      </c>
      <c r="AZ156" t="s">
        <v>571</v>
      </c>
      <c r="BA156" t="s">
        <v>572</v>
      </c>
      <c r="BE156" s="3">
        <v>42024</v>
      </c>
      <c r="BF156" s="1">
        <v>274990</v>
      </c>
      <c r="BG156" t="s">
        <v>195</v>
      </c>
      <c r="BH156" s="1">
        <v>141.24</v>
      </c>
      <c r="BI156" s="1">
        <v>280902</v>
      </c>
      <c r="BJ156" s="3">
        <v>42024</v>
      </c>
      <c r="BK156" t="s">
        <v>123</v>
      </c>
      <c r="BL156" t="str">
        <f>"2015.36502"</f>
        <v>2015.36502</v>
      </c>
      <c r="BM156" t="s">
        <v>196</v>
      </c>
      <c r="BO156" t="s">
        <v>1338</v>
      </c>
      <c r="BS156">
        <v>30</v>
      </c>
      <c r="BW156" t="str">
        <f>""</f>
        <v/>
      </c>
      <c r="CH156" t="str">
        <f>""</f>
        <v/>
      </c>
      <c r="CS156" t="str">
        <f>""</f>
        <v/>
      </c>
    </row>
    <row r="157" spans="1:97" x14ac:dyDescent="0.25">
      <c r="A157" t="s">
        <v>701</v>
      </c>
      <c r="B157" t="s">
        <v>1339</v>
      </c>
      <c r="C157" t="s">
        <v>1340</v>
      </c>
      <c r="D157" t="s">
        <v>1339</v>
      </c>
      <c r="E157" t="s">
        <v>1341</v>
      </c>
      <c r="F157" t="s">
        <v>108</v>
      </c>
      <c r="H157" t="s">
        <v>1342</v>
      </c>
      <c r="I157" t="s">
        <v>188</v>
      </c>
      <c r="J157" t="s">
        <v>111</v>
      </c>
      <c r="K157" t="str">
        <f>"85142"</f>
        <v>85142</v>
      </c>
      <c r="L157" t="s">
        <v>688</v>
      </c>
      <c r="M157" t="s">
        <v>1342</v>
      </c>
      <c r="N157" t="s">
        <v>188</v>
      </c>
      <c r="O157" t="s">
        <v>111</v>
      </c>
      <c r="P157" t="str">
        <f>"85142-9821"</f>
        <v>85142-9821</v>
      </c>
      <c r="Q157" t="s">
        <v>113</v>
      </c>
      <c r="R157" t="str">
        <f>"304-89-743"</f>
        <v>304-89-743</v>
      </c>
      <c r="S157" t="s">
        <v>690</v>
      </c>
      <c r="T157" t="s">
        <v>691</v>
      </c>
      <c r="U157">
        <v>3836</v>
      </c>
      <c r="W157">
        <v>5</v>
      </c>
      <c r="X157">
        <v>2014</v>
      </c>
      <c r="Z157">
        <v>2</v>
      </c>
      <c r="AC157" t="s">
        <v>115</v>
      </c>
      <c r="AD157">
        <v>3</v>
      </c>
      <c r="AE157" t="s">
        <v>115</v>
      </c>
      <c r="AH157" t="s">
        <v>116</v>
      </c>
      <c r="AI157" s="1">
        <v>45594</v>
      </c>
      <c r="AJ157" s="2">
        <v>0.1</v>
      </c>
      <c r="AK157" s="1">
        <v>473764</v>
      </c>
      <c r="AL157" t="s">
        <v>117</v>
      </c>
      <c r="AM157" t="s">
        <v>917</v>
      </c>
      <c r="AN157">
        <v>9968</v>
      </c>
      <c r="AO157">
        <v>0.23</v>
      </c>
      <c r="AR157">
        <v>1</v>
      </c>
      <c r="AS157" s="1">
        <v>33700</v>
      </c>
      <c r="AT157" s="1">
        <v>6740</v>
      </c>
      <c r="AU157" s="1">
        <v>26960</v>
      </c>
      <c r="AV157">
        <v>80</v>
      </c>
      <c r="AX157" s="1">
        <v>3356.06</v>
      </c>
      <c r="AY157" t="s">
        <v>192</v>
      </c>
      <c r="AZ157" t="s">
        <v>193</v>
      </c>
      <c r="BA157" t="s">
        <v>194</v>
      </c>
      <c r="BE157" s="3">
        <v>42180</v>
      </c>
      <c r="BF157" s="1">
        <v>380000</v>
      </c>
      <c r="BG157" t="s">
        <v>209</v>
      </c>
      <c r="BH157" s="1">
        <v>99.06</v>
      </c>
      <c r="BI157" s="1">
        <v>388170</v>
      </c>
      <c r="BJ157" s="3">
        <v>42180</v>
      </c>
      <c r="BK157" t="s">
        <v>123</v>
      </c>
      <c r="BL157" t="str">
        <f>"2015.456679"</f>
        <v>2015.456679</v>
      </c>
      <c r="BM157" t="s">
        <v>175</v>
      </c>
      <c r="BO157" t="s">
        <v>1343</v>
      </c>
      <c r="BS157">
        <v>30</v>
      </c>
      <c r="BT157" s="1">
        <v>40000</v>
      </c>
      <c r="BU157" s="3">
        <v>42486</v>
      </c>
      <c r="BV157" t="s">
        <v>134</v>
      </c>
      <c r="BW157" t="str">
        <f>"2016.279093"</f>
        <v>2016.279093</v>
      </c>
      <c r="BX157" t="s">
        <v>369</v>
      </c>
      <c r="BZ157" t="s">
        <v>1343</v>
      </c>
      <c r="CD157">
        <v>15</v>
      </c>
      <c r="CH157" t="str">
        <f>""</f>
        <v/>
      </c>
      <c r="CS157" t="str">
        <f>""</f>
        <v/>
      </c>
    </row>
    <row r="158" spans="1:97" x14ac:dyDescent="0.25">
      <c r="A158" t="s">
        <v>1344</v>
      </c>
      <c r="B158" t="s">
        <v>1345</v>
      </c>
      <c r="E158" t="s">
        <v>1346</v>
      </c>
      <c r="F158" t="s">
        <v>108</v>
      </c>
      <c r="H158" t="s">
        <v>1347</v>
      </c>
      <c r="I158" t="s">
        <v>188</v>
      </c>
      <c r="J158" t="s">
        <v>111</v>
      </c>
      <c r="K158" t="str">
        <f>"85142"</f>
        <v>85142</v>
      </c>
      <c r="L158" t="s">
        <v>1070</v>
      </c>
      <c r="M158" t="s">
        <v>1347</v>
      </c>
      <c r="N158" t="s">
        <v>188</v>
      </c>
      <c r="O158" t="s">
        <v>111</v>
      </c>
      <c r="P158" t="str">
        <f>"85142-7887"</f>
        <v>85142-7887</v>
      </c>
      <c r="Q158" t="s">
        <v>113</v>
      </c>
      <c r="R158" t="str">
        <f>"304-93-873"</f>
        <v>304-93-873</v>
      </c>
      <c r="S158" t="s">
        <v>1072</v>
      </c>
      <c r="T158" t="s">
        <v>1073</v>
      </c>
      <c r="U158">
        <v>4552</v>
      </c>
      <c r="W158">
        <v>5</v>
      </c>
      <c r="X158">
        <v>2014</v>
      </c>
      <c r="Z158">
        <v>2</v>
      </c>
      <c r="AC158" t="s">
        <v>115</v>
      </c>
      <c r="AD158">
        <v>3</v>
      </c>
      <c r="AE158" t="s">
        <v>115</v>
      </c>
      <c r="AH158" t="s">
        <v>116</v>
      </c>
      <c r="AI158" s="1">
        <v>169082</v>
      </c>
      <c r="AJ158" s="2">
        <v>0.32</v>
      </c>
      <c r="AK158" s="1">
        <v>532782</v>
      </c>
      <c r="AL158" t="s">
        <v>117</v>
      </c>
      <c r="AM158" t="str">
        <f>"R1-7"</f>
        <v>R1-7</v>
      </c>
      <c r="AN158">
        <v>10283</v>
      </c>
      <c r="AO158">
        <v>0.24</v>
      </c>
      <c r="AR158">
        <v>1</v>
      </c>
      <c r="AS158" s="1">
        <v>37430</v>
      </c>
      <c r="AT158" s="1">
        <v>7480</v>
      </c>
      <c r="AU158" s="1">
        <v>29950</v>
      </c>
      <c r="AV158">
        <v>80.02</v>
      </c>
      <c r="AX158" s="1">
        <v>3711.2</v>
      </c>
      <c r="AY158" t="s">
        <v>1074</v>
      </c>
      <c r="AZ158" t="s">
        <v>193</v>
      </c>
      <c r="BA158" t="s">
        <v>194</v>
      </c>
      <c r="BE158" s="3">
        <v>41969</v>
      </c>
      <c r="BF158" s="1">
        <v>429218</v>
      </c>
      <c r="BG158" t="s">
        <v>562</v>
      </c>
      <c r="BH158" s="1">
        <v>94.29</v>
      </c>
      <c r="BI158" s="1">
        <v>363700</v>
      </c>
      <c r="BJ158" s="3">
        <v>41969</v>
      </c>
      <c r="BK158" t="s">
        <v>123</v>
      </c>
      <c r="BL158" t="str">
        <f>"2014.783802"</f>
        <v>2014.783802</v>
      </c>
      <c r="BM158" t="s">
        <v>124</v>
      </c>
      <c r="BO158" t="s">
        <v>1348</v>
      </c>
      <c r="BS158">
        <v>30</v>
      </c>
      <c r="BW158" t="str">
        <f>""</f>
        <v/>
      </c>
      <c r="CH158" t="str">
        <f>""</f>
        <v/>
      </c>
      <c r="CS158" t="str">
        <f>""</f>
        <v/>
      </c>
    </row>
    <row r="159" spans="1:97" x14ac:dyDescent="0.25">
      <c r="A159" t="s">
        <v>1349</v>
      </c>
      <c r="B159" t="s">
        <v>1350</v>
      </c>
      <c r="C159" t="s">
        <v>1126</v>
      </c>
      <c r="D159" t="s">
        <v>1350</v>
      </c>
      <c r="E159" t="s">
        <v>1351</v>
      </c>
      <c r="F159" t="s">
        <v>108</v>
      </c>
      <c r="H159" t="s">
        <v>1352</v>
      </c>
      <c r="I159" t="s">
        <v>110</v>
      </c>
      <c r="J159" t="s">
        <v>111</v>
      </c>
      <c r="K159" t="str">
        <f>"85249"</f>
        <v>85249</v>
      </c>
      <c r="L159" t="s">
        <v>417</v>
      </c>
      <c r="M159" t="s">
        <v>1352</v>
      </c>
      <c r="N159" t="s">
        <v>110</v>
      </c>
      <c r="O159" t="s">
        <v>111</v>
      </c>
      <c r="P159" t="str">
        <f>"85249"</f>
        <v>85249</v>
      </c>
      <c r="Q159" t="s">
        <v>113</v>
      </c>
      <c r="R159" t="str">
        <f>"304-76-848"</f>
        <v>304-76-848</v>
      </c>
      <c r="S159" t="s">
        <v>614</v>
      </c>
      <c r="T159" t="s">
        <v>615</v>
      </c>
      <c r="U159">
        <v>4502</v>
      </c>
      <c r="W159">
        <v>6</v>
      </c>
      <c r="X159">
        <v>2014</v>
      </c>
      <c r="Z159">
        <v>2</v>
      </c>
      <c r="AA159" t="s">
        <v>26</v>
      </c>
      <c r="AC159" t="s">
        <v>115</v>
      </c>
      <c r="AD159">
        <v>3</v>
      </c>
      <c r="AE159" t="s">
        <v>115</v>
      </c>
      <c r="AH159" t="s">
        <v>116</v>
      </c>
      <c r="AI159" s="1">
        <v>165037</v>
      </c>
      <c r="AJ159" s="2">
        <v>0.27</v>
      </c>
      <c r="AK159" s="1">
        <v>616608</v>
      </c>
      <c r="AL159" t="s">
        <v>117</v>
      </c>
      <c r="AM159" t="s">
        <v>118</v>
      </c>
      <c r="AN159">
        <v>7304</v>
      </c>
      <c r="AO159">
        <v>0.17</v>
      </c>
      <c r="AR159">
        <v>1</v>
      </c>
      <c r="AS159" s="1">
        <v>44410</v>
      </c>
      <c r="AT159" s="1">
        <v>8880</v>
      </c>
      <c r="AU159" s="1">
        <v>35530</v>
      </c>
      <c r="AV159">
        <v>80</v>
      </c>
      <c r="AX159" s="1">
        <v>3058.06</v>
      </c>
      <c r="AY159" t="s">
        <v>419</v>
      </c>
      <c r="AZ159" t="s">
        <v>273</v>
      </c>
      <c r="BA159" t="s">
        <v>303</v>
      </c>
      <c r="BE159" s="3">
        <v>41859</v>
      </c>
      <c r="BF159" s="1">
        <v>447995</v>
      </c>
      <c r="BG159" t="s">
        <v>617</v>
      </c>
      <c r="BH159" s="1">
        <v>99.51</v>
      </c>
      <c r="BI159" s="1">
        <v>451571</v>
      </c>
      <c r="BJ159" s="3">
        <v>42620</v>
      </c>
      <c r="BK159" t="s">
        <v>123</v>
      </c>
      <c r="BL159" t="str">
        <f>"2016.645213"</f>
        <v>2016.645213</v>
      </c>
      <c r="BM159" t="s">
        <v>322</v>
      </c>
      <c r="BO159" t="s">
        <v>1353</v>
      </c>
      <c r="BS159">
        <v>30</v>
      </c>
      <c r="BW159" t="str">
        <f>""</f>
        <v/>
      </c>
      <c r="CH159" t="str">
        <f>""</f>
        <v/>
      </c>
      <c r="CS159" t="str">
        <f>""</f>
        <v/>
      </c>
    </row>
    <row r="160" spans="1:97" x14ac:dyDescent="0.25">
      <c r="A160" t="s">
        <v>1354</v>
      </c>
      <c r="B160" t="s">
        <v>1355</v>
      </c>
      <c r="C160" t="s">
        <v>496</v>
      </c>
      <c r="D160" t="s">
        <v>1355</v>
      </c>
      <c r="E160" t="s">
        <v>1356</v>
      </c>
      <c r="F160" t="s">
        <v>108</v>
      </c>
      <c r="H160" t="s">
        <v>1357</v>
      </c>
      <c r="I160" t="s">
        <v>203</v>
      </c>
      <c r="J160" t="s">
        <v>111</v>
      </c>
      <c r="K160" t="str">
        <f>"85298"</f>
        <v>85298</v>
      </c>
      <c r="L160" t="s">
        <v>284</v>
      </c>
      <c r="M160" t="s">
        <v>1357</v>
      </c>
      <c r="N160" t="s">
        <v>203</v>
      </c>
      <c r="O160" t="s">
        <v>111</v>
      </c>
      <c r="P160" t="str">
        <f>"85298"</f>
        <v>85298</v>
      </c>
      <c r="Q160" t="s">
        <v>113</v>
      </c>
      <c r="R160" t="str">
        <f>"304-73-468"</f>
        <v>304-73-468</v>
      </c>
      <c r="S160" t="s">
        <v>953</v>
      </c>
      <c r="T160" t="s">
        <v>287</v>
      </c>
      <c r="U160">
        <v>2108</v>
      </c>
      <c r="W160">
        <v>3</v>
      </c>
      <c r="X160">
        <v>2014</v>
      </c>
      <c r="Z160">
        <v>1</v>
      </c>
      <c r="AA160" t="s">
        <v>26</v>
      </c>
      <c r="AC160" t="s">
        <v>115</v>
      </c>
      <c r="AD160">
        <v>3</v>
      </c>
      <c r="AE160" t="s">
        <v>115</v>
      </c>
      <c r="AH160" t="s">
        <v>116</v>
      </c>
      <c r="AI160" s="1">
        <v>109259</v>
      </c>
      <c r="AJ160" s="2">
        <v>0.27</v>
      </c>
      <c r="AK160" s="1">
        <v>411803</v>
      </c>
      <c r="AL160" t="s">
        <v>117</v>
      </c>
      <c r="AM160" t="s">
        <v>288</v>
      </c>
      <c r="AN160">
        <v>6000</v>
      </c>
      <c r="AO160">
        <v>0.14000000000000001</v>
      </c>
      <c r="AR160">
        <v>1</v>
      </c>
      <c r="AS160" s="1">
        <v>29000</v>
      </c>
      <c r="AT160" s="1">
        <v>5800</v>
      </c>
      <c r="AU160" s="1">
        <v>23200</v>
      </c>
      <c r="AV160">
        <v>80</v>
      </c>
      <c r="AX160" s="1">
        <v>2340.54</v>
      </c>
      <c r="AY160" t="s">
        <v>289</v>
      </c>
      <c r="AZ160" t="s">
        <v>289</v>
      </c>
      <c r="BA160" t="s">
        <v>290</v>
      </c>
      <c r="BE160" s="3">
        <v>41968</v>
      </c>
      <c r="BF160" s="1">
        <v>301522</v>
      </c>
      <c r="BG160" t="s">
        <v>645</v>
      </c>
      <c r="BH160" s="1">
        <v>143.04</v>
      </c>
      <c r="BI160" s="1">
        <v>302544</v>
      </c>
      <c r="BJ160" s="3">
        <v>42529</v>
      </c>
      <c r="BK160" t="s">
        <v>123</v>
      </c>
      <c r="BL160" t="str">
        <f>"2016.396155"</f>
        <v>2016.396155</v>
      </c>
      <c r="BM160" t="s">
        <v>402</v>
      </c>
      <c r="BO160" t="s">
        <v>1358</v>
      </c>
      <c r="BS160">
        <v>30</v>
      </c>
      <c r="BW160" t="str">
        <f>""</f>
        <v/>
      </c>
      <c r="CH160" t="str">
        <f>""</f>
        <v/>
      </c>
      <c r="CS160" t="str">
        <f>""</f>
        <v/>
      </c>
    </row>
    <row r="161" spans="1:97" x14ac:dyDescent="0.25">
      <c r="A161" t="s">
        <v>1359</v>
      </c>
      <c r="B161" t="s">
        <v>1360</v>
      </c>
      <c r="C161" t="s">
        <v>1361</v>
      </c>
      <c r="D161" t="s">
        <v>1360</v>
      </c>
      <c r="E161" t="s">
        <v>1362</v>
      </c>
      <c r="F161" t="s">
        <v>108</v>
      </c>
      <c r="H161" t="s">
        <v>1363</v>
      </c>
      <c r="I161" t="s">
        <v>203</v>
      </c>
      <c r="J161" t="s">
        <v>111</v>
      </c>
      <c r="K161" t="str">
        <f>"85296"</f>
        <v>85296</v>
      </c>
      <c r="L161" t="s">
        <v>469</v>
      </c>
      <c r="M161" t="s">
        <v>1363</v>
      </c>
      <c r="N161" t="s">
        <v>203</v>
      </c>
      <c r="O161" t="s">
        <v>111</v>
      </c>
      <c r="P161" t="str">
        <f>"85296-1451"</f>
        <v>85296-1451</v>
      </c>
      <c r="Q161" t="s">
        <v>113</v>
      </c>
      <c r="R161" t="str">
        <f>"313-18-025"</f>
        <v>313-18-025</v>
      </c>
      <c r="S161" t="s">
        <v>552</v>
      </c>
      <c r="T161" t="s">
        <v>471</v>
      </c>
      <c r="U161">
        <v>2207</v>
      </c>
      <c r="W161">
        <v>4</v>
      </c>
      <c r="X161">
        <v>2014</v>
      </c>
      <c r="Z161">
        <v>2</v>
      </c>
      <c r="AC161" t="s">
        <v>115</v>
      </c>
      <c r="AD161">
        <v>2</v>
      </c>
      <c r="AE161" t="s">
        <v>115</v>
      </c>
      <c r="AH161" t="s">
        <v>116</v>
      </c>
      <c r="AI161" s="1">
        <v>58418</v>
      </c>
      <c r="AJ161" s="2">
        <v>0.17</v>
      </c>
      <c r="AK161" s="1">
        <v>345001</v>
      </c>
      <c r="AL161" t="s">
        <v>117</v>
      </c>
      <c r="AM161" t="s">
        <v>288</v>
      </c>
      <c r="AN161">
        <v>4025</v>
      </c>
      <c r="AO161">
        <v>0.92</v>
      </c>
      <c r="AR161">
        <v>1</v>
      </c>
      <c r="AS161" s="1">
        <v>24250</v>
      </c>
      <c r="AT161" s="1">
        <v>4850</v>
      </c>
      <c r="AU161" s="1">
        <v>19400</v>
      </c>
      <c r="AV161">
        <v>80</v>
      </c>
      <c r="AX161" s="1">
        <v>1957.56</v>
      </c>
      <c r="AY161" t="s">
        <v>472</v>
      </c>
      <c r="AZ161" t="s">
        <v>472</v>
      </c>
      <c r="BA161" t="s">
        <v>473</v>
      </c>
      <c r="BE161" s="3">
        <v>42466</v>
      </c>
      <c r="BF161" s="1">
        <v>274023</v>
      </c>
      <c r="BG161" t="s">
        <v>122</v>
      </c>
      <c r="BH161" s="1">
        <v>124.16</v>
      </c>
      <c r="BI161" s="1">
        <v>286583</v>
      </c>
      <c r="BJ161" s="3">
        <v>42780</v>
      </c>
      <c r="BK161" t="s">
        <v>123</v>
      </c>
      <c r="BL161" t="str">
        <f>"2017.107763"</f>
        <v>2017.107763</v>
      </c>
      <c r="BM161" t="s">
        <v>322</v>
      </c>
      <c r="BO161" t="s">
        <v>1364</v>
      </c>
      <c r="BS161">
        <v>30</v>
      </c>
      <c r="BW161" t="str">
        <f>""</f>
        <v/>
      </c>
      <c r="CH161" t="str">
        <f>""</f>
        <v/>
      </c>
      <c r="CS161" t="str">
        <f>""</f>
        <v/>
      </c>
    </row>
    <row r="162" spans="1:97" x14ac:dyDescent="0.25">
      <c r="A162" t="s">
        <v>548</v>
      </c>
      <c r="B162" t="s">
        <v>1365</v>
      </c>
      <c r="C162" t="s">
        <v>1366</v>
      </c>
      <c r="D162" t="s">
        <v>1365</v>
      </c>
      <c r="E162" t="s">
        <v>1367</v>
      </c>
      <c r="F162" t="s">
        <v>108</v>
      </c>
      <c r="H162" t="s">
        <v>1368</v>
      </c>
      <c r="I162" t="s">
        <v>225</v>
      </c>
      <c r="J162" t="s">
        <v>111</v>
      </c>
      <c r="K162" t="str">
        <f>"85212"</f>
        <v>85212</v>
      </c>
      <c r="L162" t="s">
        <v>558</v>
      </c>
      <c r="M162" t="s">
        <v>1368</v>
      </c>
      <c r="N162" t="s">
        <v>225</v>
      </c>
      <c r="O162" t="s">
        <v>111</v>
      </c>
      <c r="P162" t="str">
        <f>"85212-8101"</f>
        <v>85212-8101</v>
      </c>
      <c r="Q162" t="s">
        <v>113</v>
      </c>
      <c r="R162" t="str">
        <f>"304-50-526"</f>
        <v>304-50-526</v>
      </c>
      <c r="S162" t="s">
        <v>1369</v>
      </c>
      <c r="U162">
        <v>2982</v>
      </c>
      <c r="W162">
        <v>4</v>
      </c>
      <c r="X162">
        <v>2014</v>
      </c>
      <c r="Z162">
        <v>1</v>
      </c>
      <c r="AC162" t="s">
        <v>115</v>
      </c>
      <c r="AD162">
        <v>3</v>
      </c>
      <c r="AE162" t="s">
        <v>115</v>
      </c>
      <c r="AH162" t="s">
        <v>116</v>
      </c>
      <c r="AI162" s="1">
        <v>15227</v>
      </c>
      <c r="AJ162" s="2">
        <v>0.03</v>
      </c>
      <c r="AK162" s="1">
        <v>463962</v>
      </c>
      <c r="AL162" t="s">
        <v>117</v>
      </c>
      <c r="AM162" t="s">
        <v>118</v>
      </c>
      <c r="AN162">
        <v>11525</v>
      </c>
      <c r="AO162">
        <v>0.26</v>
      </c>
      <c r="AR162">
        <v>1</v>
      </c>
      <c r="AS162" s="1">
        <v>34360</v>
      </c>
      <c r="AT162" s="1">
        <v>6870</v>
      </c>
      <c r="AU162" s="1">
        <v>27490</v>
      </c>
      <c r="AV162">
        <v>80.010000000000005</v>
      </c>
      <c r="AX162" s="1">
        <v>4816.4399999999996</v>
      </c>
      <c r="AY162" t="s">
        <v>560</v>
      </c>
      <c r="AZ162" t="s">
        <v>561</v>
      </c>
      <c r="BA162" t="s">
        <v>194</v>
      </c>
      <c r="BE162" s="3">
        <v>41828</v>
      </c>
      <c r="BF162" s="1">
        <v>374110</v>
      </c>
      <c r="BG162" t="s">
        <v>562</v>
      </c>
      <c r="BH162" s="1">
        <v>125.46</v>
      </c>
      <c r="BI162" s="1">
        <v>448735</v>
      </c>
      <c r="BJ162" s="3">
        <v>43633</v>
      </c>
      <c r="BK162" t="s">
        <v>123</v>
      </c>
      <c r="BL162" t="str">
        <f>"2019.450703"</f>
        <v>2019.450703</v>
      </c>
      <c r="BM162" t="s">
        <v>1370</v>
      </c>
      <c r="BN162" t="s">
        <v>1371</v>
      </c>
      <c r="BO162" t="s">
        <v>1372</v>
      </c>
      <c r="BP162" t="s">
        <v>1373</v>
      </c>
      <c r="BR162" t="s">
        <v>139</v>
      </c>
      <c r="BW162" t="str">
        <f>""</f>
        <v/>
      </c>
      <c r="CH162" t="str">
        <f>""</f>
        <v/>
      </c>
      <c r="CS162" t="str">
        <f>""</f>
        <v/>
      </c>
    </row>
    <row r="163" spans="1:97" x14ac:dyDescent="0.25">
      <c r="A163" t="s">
        <v>695</v>
      </c>
      <c r="B163" t="s">
        <v>1374</v>
      </c>
      <c r="E163" t="s">
        <v>1375</v>
      </c>
      <c r="F163" t="s">
        <v>139</v>
      </c>
      <c r="H163" t="s">
        <v>1376</v>
      </c>
      <c r="I163" t="s">
        <v>203</v>
      </c>
      <c r="J163" t="s">
        <v>111</v>
      </c>
      <c r="K163" t="str">
        <f>"85298"</f>
        <v>85298</v>
      </c>
      <c r="L163" t="s">
        <v>269</v>
      </c>
      <c r="M163" t="s">
        <v>1377</v>
      </c>
      <c r="N163" t="s">
        <v>203</v>
      </c>
      <c r="O163" t="s">
        <v>111</v>
      </c>
      <c r="P163" t="str">
        <f>"85298"</f>
        <v>85298</v>
      </c>
      <c r="Q163" t="s">
        <v>113</v>
      </c>
      <c r="R163" t="str">
        <f>"304-86-663"</f>
        <v>304-86-663</v>
      </c>
      <c r="S163" t="s">
        <v>862</v>
      </c>
      <c r="T163" t="s">
        <v>271</v>
      </c>
      <c r="U163">
        <v>3462</v>
      </c>
      <c r="W163">
        <v>4</v>
      </c>
      <c r="X163">
        <v>2015</v>
      </c>
      <c r="Z163">
        <v>2</v>
      </c>
      <c r="AC163" t="s">
        <v>115</v>
      </c>
      <c r="AD163">
        <v>3</v>
      </c>
      <c r="AE163" t="s">
        <v>115</v>
      </c>
      <c r="AH163" t="s">
        <v>116</v>
      </c>
      <c r="AI163" s="1">
        <v>29035</v>
      </c>
      <c r="AJ163" s="2">
        <v>0.08</v>
      </c>
      <c r="AK163" s="1">
        <v>370085</v>
      </c>
      <c r="AL163" t="s">
        <v>117</v>
      </c>
      <c r="AM163" t="s">
        <v>393</v>
      </c>
      <c r="AN163">
        <v>6325</v>
      </c>
      <c r="AO163">
        <v>0.14000000000000001</v>
      </c>
      <c r="AR163">
        <v>1</v>
      </c>
      <c r="AS163" s="1">
        <v>31920</v>
      </c>
      <c r="AT163" s="1">
        <v>6380</v>
      </c>
      <c r="AU163" s="1">
        <v>25540</v>
      </c>
      <c r="AV163">
        <v>80.010000000000005</v>
      </c>
      <c r="AX163" s="1">
        <v>2418.62</v>
      </c>
      <c r="AY163" t="s">
        <v>272</v>
      </c>
      <c r="AZ163" t="s">
        <v>273</v>
      </c>
      <c r="BA163" t="s">
        <v>274</v>
      </c>
      <c r="BE163" s="3">
        <v>42429</v>
      </c>
      <c r="BF163" s="1">
        <v>341000</v>
      </c>
      <c r="BG163" t="s">
        <v>275</v>
      </c>
      <c r="BH163" s="1">
        <v>98.5</v>
      </c>
      <c r="BI163" s="1">
        <v>341050</v>
      </c>
      <c r="BJ163" s="3">
        <v>42727</v>
      </c>
      <c r="BK163" t="s">
        <v>123</v>
      </c>
      <c r="BL163" t="str">
        <f>"2016.948979"</f>
        <v>2016.948979</v>
      </c>
      <c r="BM163" t="s">
        <v>425</v>
      </c>
      <c r="BO163" t="s">
        <v>1378</v>
      </c>
      <c r="BS163">
        <v>30</v>
      </c>
      <c r="BW163" t="str">
        <f>""</f>
        <v/>
      </c>
      <c r="CH163" t="str">
        <f>""</f>
        <v/>
      </c>
      <c r="CS163" t="str">
        <f>""</f>
        <v/>
      </c>
    </row>
    <row r="164" spans="1:97" x14ac:dyDescent="0.25">
      <c r="A164" t="s">
        <v>1379</v>
      </c>
      <c r="B164" t="s">
        <v>327</v>
      </c>
      <c r="C164" t="s">
        <v>1380</v>
      </c>
      <c r="D164" t="s">
        <v>327</v>
      </c>
      <c r="E164" t="s">
        <v>1381</v>
      </c>
      <c r="F164" t="s">
        <v>108</v>
      </c>
      <c r="H164" t="s">
        <v>1382</v>
      </c>
      <c r="I164" t="s">
        <v>453</v>
      </c>
      <c r="J164" t="s">
        <v>111</v>
      </c>
      <c r="K164" t="str">
        <f>"85383"</f>
        <v>85383</v>
      </c>
      <c r="L164" t="s">
        <v>1383</v>
      </c>
      <c r="M164" t="s">
        <v>1382</v>
      </c>
      <c r="N164" t="s">
        <v>453</v>
      </c>
      <c r="O164" t="s">
        <v>111</v>
      </c>
      <c r="P164" t="str">
        <f>"85383-6304"</f>
        <v>85383-6304</v>
      </c>
      <c r="Q164" t="s">
        <v>113</v>
      </c>
      <c r="R164" t="str">
        <f>"201-20-712"</f>
        <v>201-20-712</v>
      </c>
      <c r="S164" t="s">
        <v>1384</v>
      </c>
      <c r="U164">
        <v>2555</v>
      </c>
      <c r="W164">
        <v>4</v>
      </c>
      <c r="X164">
        <v>2014</v>
      </c>
      <c r="Z164">
        <v>2</v>
      </c>
      <c r="AA164" t="s">
        <v>26</v>
      </c>
      <c r="AC164" t="s">
        <v>115</v>
      </c>
      <c r="AD164">
        <v>2</v>
      </c>
      <c r="AE164" t="s">
        <v>115</v>
      </c>
      <c r="AH164" t="s">
        <v>116</v>
      </c>
      <c r="AI164" s="1">
        <v>94582</v>
      </c>
      <c r="AJ164" s="2">
        <v>0.24</v>
      </c>
      <c r="AK164" s="1">
        <v>386582</v>
      </c>
      <c r="AL164" t="s">
        <v>117</v>
      </c>
      <c r="AM164" t="s">
        <v>118</v>
      </c>
      <c r="AN164">
        <v>6135</v>
      </c>
      <c r="AO164">
        <v>0.14000000000000001</v>
      </c>
      <c r="AR164">
        <v>1</v>
      </c>
      <c r="AS164" s="1">
        <v>29470</v>
      </c>
      <c r="AT164" s="1">
        <v>5890</v>
      </c>
      <c r="AU164" s="1">
        <v>23580</v>
      </c>
      <c r="AV164">
        <v>80.010000000000005</v>
      </c>
      <c r="AX164" s="1">
        <v>2259.7800000000002</v>
      </c>
      <c r="AY164" t="s">
        <v>1385</v>
      </c>
      <c r="AZ164" t="s">
        <v>1385</v>
      </c>
      <c r="BA164" t="s">
        <v>1386</v>
      </c>
      <c r="BE164" s="3">
        <v>41757</v>
      </c>
      <c r="BF164" s="1">
        <v>292000</v>
      </c>
      <c r="BG164" t="s">
        <v>195</v>
      </c>
      <c r="BH164" s="1">
        <v>114.29</v>
      </c>
      <c r="BI164" s="1">
        <v>292000</v>
      </c>
      <c r="BJ164" s="3">
        <v>41757</v>
      </c>
      <c r="BK164" t="s">
        <v>123</v>
      </c>
      <c r="BL164" t="str">
        <f>"2014.273315"</f>
        <v>2014.273315</v>
      </c>
      <c r="BM164" t="s">
        <v>196</v>
      </c>
      <c r="BO164" t="s">
        <v>1387</v>
      </c>
      <c r="BS164">
        <v>30</v>
      </c>
      <c r="BW164" t="str">
        <f>""</f>
        <v/>
      </c>
      <c r="CH164" t="str">
        <f>""</f>
        <v/>
      </c>
      <c r="CS164" t="str">
        <f>""</f>
        <v/>
      </c>
    </row>
    <row r="165" spans="1:97" x14ac:dyDescent="0.25">
      <c r="A165" t="s">
        <v>589</v>
      </c>
      <c r="B165" t="s">
        <v>1388</v>
      </c>
      <c r="C165" t="s">
        <v>488</v>
      </c>
      <c r="D165" t="s">
        <v>1388</v>
      </c>
      <c r="E165" t="s">
        <v>1389</v>
      </c>
      <c r="F165" t="s">
        <v>108</v>
      </c>
      <c r="H165" t="s">
        <v>1390</v>
      </c>
      <c r="I165" t="s">
        <v>110</v>
      </c>
      <c r="J165" t="s">
        <v>111</v>
      </c>
      <c r="K165" t="str">
        <f>"85249"</f>
        <v>85249</v>
      </c>
      <c r="L165" t="s">
        <v>417</v>
      </c>
      <c r="M165" t="s">
        <v>1390</v>
      </c>
      <c r="N165" t="s">
        <v>110</v>
      </c>
      <c r="O165" t="s">
        <v>111</v>
      </c>
      <c r="P165" t="str">
        <f>"85249"</f>
        <v>85249</v>
      </c>
      <c r="Q165" t="s">
        <v>113</v>
      </c>
      <c r="R165" t="str">
        <f>"304-76-850"</f>
        <v>304-76-850</v>
      </c>
      <c r="S165" t="s">
        <v>614</v>
      </c>
      <c r="T165" t="s">
        <v>615</v>
      </c>
      <c r="U165">
        <v>4502</v>
      </c>
      <c r="W165">
        <v>6</v>
      </c>
      <c r="X165">
        <v>2014</v>
      </c>
      <c r="Z165">
        <v>2</v>
      </c>
      <c r="AA165" t="s">
        <v>26</v>
      </c>
      <c r="AC165" t="s">
        <v>115</v>
      </c>
      <c r="AD165">
        <v>3</v>
      </c>
      <c r="AE165" t="s">
        <v>115</v>
      </c>
      <c r="AH165" t="s">
        <v>116</v>
      </c>
      <c r="AI165" s="1">
        <v>204941</v>
      </c>
      <c r="AJ165" s="2">
        <v>0.33</v>
      </c>
      <c r="AK165" s="1">
        <v>619041</v>
      </c>
      <c r="AL165" t="s">
        <v>117</v>
      </c>
      <c r="AM165" t="s">
        <v>118</v>
      </c>
      <c r="AN165">
        <v>7260</v>
      </c>
      <c r="AO165">
        <v>0.17</v>
      </c>
      <c r="AR165">
        <v>1</v>
      </c>
      <c r="AS165" s="1">
        <v>44710</v>
      </c>
      <c r="AT165" s="1">
        <v>8940</v>
      </c>
      <c r="AU165" s="1">
        <v>35770</v>
      </c>
      <c r="AV165">
        <v>80</v>
      </c>
      <c r="AX165" s="1">
        <v>3095.58</v>
      </c>
      <c r="AY165" t="s">
        <v>419</v>
      </c>
      <c r="AZ165" t="s">
        <v>273</v>
      </c>
      <c r="BA165" t="s">
        <v>303</v>
      </c>
      <c r="BE165" s="3">
        <v>41898</v>
      </c>
      <c r="BF165" s="1">
        <v>413205</v>
      </c>
      <c r="BG165" t="s">
        <v>617</v>
      </c>
      <c r="BH165" s="1">
        <v>91.78</v>
      </c>
      <c r="BI165" s="1">
        <v>414100</v>
      </c>
      <c r="BJ165" s="3">
        <v>42516</v>
      </c>
      <c r="BK165" t="s">
        <v>123</v>
      </c>
      <c r="BL165" t="str">
        <f>"2016.362461"</f>
        <v>2016.362461</v>
      </c>
      <c r="BM165" t="s">
        <v>255</v>
      </c>
      <c r="BO165" t="s">
        <v>1391</v>
      </c>
      <c r="BP165" t="s">
        <v>1392</v>
      </c>
      <c r="BS165">
        <v>30</v>
      </c>
      <c r="BW165" t="str">
        <f>""</f>
        <v/>
      </c>
      <c r="CH165" t="str">
        <f>""</f>
        <v/>
      </c>
      <c r="CS165" t="str">
        <f>""</f>
        <v/>
      </c>
    </row>
    <row r="166" spans="1:97" x14ac:dyDescent="0.25">
      <c r="A166" t="s">
        <v>1393</v>
      </c>
      <c r="B166" t="s">
        <v>1099</v>
      </c>
      <c r="C166" t="s">
        <v>1394</v>
      </c>
      <c r="D166" t="s">
        <v>1099</v>
      </c>
      <c r="E166" t="s">
        <v>1395</v>
      </c>
      <c r="F166" t="s">
        <v>282</v>
      </c>
      <c r="H166" t="s">
        <v>1396</v>
      </c>
      <c r="I166" t="s">
        <v>1397</v>
      </c>
      <c r="J166" t="s">
        <v>111</v>
      </c>
      <c r="K166" t="str">
        <f>"85331"</f>
        <v>85331</v>
      </c>
      <c r="L166" t="s">
        <v>1398</v>
      </c>
      <c r="M166" t="s">
        <v>1399</v>
      </c>
      <c r="N166" t="s">
        <v>1397</v>
      </c>
      <c r="O166" t="s">
        <v>111</v>
      </c>
      <c r="P166" t="str">
        <f>"85331-4717"</f>
        <v>85331-4717</v>
      </c>
      <c r="Q166" t="s">
        <v>113</v>
      </c>
      <c r="R166" t="str">
        <f>"211-35-044"</f>
        <v>211-35-044</v>
      </c>
      <c r="S166" t="s">
        <v>1400</v>
      </c>
      <c r="U166">
        <v>3114</v>
      </c>
      <c r="W166">
        <v>5</v>
      </c>
      <c r="X166">
        <v>2013</v>
      </c>
      <c r="Z166">
        <v>1</v>
      </c>
      <c r="AA166" t="s">
        <v>26</v>
      </c>
      <c r="AC166" t="s">
        <v>115</v>
      </c>
      <c r="AD166">
        <v>3</v>
      </c>
      <c r="AE166" t="s">
        <v>115</v>
      </c>
      <c r="AH166" t="s">
        <v>116</v>
      </c>
      <c r="AI166" s="1">
        <v>145696</v>
      </c>
      <c r="AJ166" s="2">
        <v>0.24</v>
      </c>
      <c r="AK166" s="1">
        <v>608694</v>
      </c>
      <c r="AL166" t="s">
        <v>117</v>
      </c>
      <c r="AM166" t="s">
        <v>760</v>
      </c>
      <c r="AN166">
        <v>11480</v>
      </c>
      <c r="AO166">
        <v>0.26</v>
      </c>
      <c r="AR166">
        <v>1</v>
      </c>
      <c r="AS166" s="1">
        <v>47110</v>
      </c>
      <c r="AT166" s="1">
        <v>9420</v>
      </c>
      <c r="AU166" s="1">
        <v>37690</v>
      </c>
      <c r="AV166">
        <v>80</v>
      </c>
      <c r="AX166" s="1">
        <v>2574.8000000000002</v>
      </c>
      <c r="AY166" t="s">
        <v>1401</v>
      </c>
      <c r="AZ166" t="s">
        <v>1402</v>
      </c>
      <c r="BA166" t="s">
        <v>1403</v>
      </c>
      <c r="BE166" s="3">
        <v>41897</v>
      </c>
      <c r="BF166" s="1">
        <v>455377</v>
      </c>
      <c r="BG166" t="s">
        <v>1404</v>
      </c>
      <c r="BH166" s="1">
        <v>146.24</v>
      </c>
      <c r="BI166" s="1">
        <v>462998</v>
      </c>
      <c r="BJ166" s="3">
        <v>42132</v>
      </c>
      <c r="BK166" t="s">
        <v>123</v>
      </c>
      <c r="BL166" t="str">
        <f>"2015.323624"</f>
        <v>2015.323624</v>
      </c>
      <c r="BM166" t="s">
        <v>948</v>
      </c>
      <c r="BO166" t="s">
        <v>1405</v>
      </c>
      <c r="BS166">
        <v>30</v>
      </c>
      <c r="BW166" t="str">
        <f>""</f>
        <v/>
      </c>
      <c r="CH166" t="str">
        <f>""</f>
        <v/>
      </c>
      <c r="CS166" t="str">
        <f>""</f>
        <v/>
      </c>
    </row>
    <row r="167" spans="1:97" x14ac:dyDescent="0.25">
      <c r="A167" t="s">
        <v>257</v>
      </c>
      <c r="B167" t="s">
        <v>1406</v>
      </c>
      <c r="C167" t="s">
        <v>1407</v>
      </c>
      <c r="D167" t="s">
        <v>1406</v>
      </c>
      <c r="E167" t="s">
        <v>1408</v>
      </c>
      <c r="F167" t="s">
        <v>108</v>
      </c>
      <c r="H167" t="s">
        <v>1409</v>
      </c>
      <c r="I167" t="s">
        <v>203</v>
      </c>
      <c r="J167" t="s">
        <v>111</v>
      </c>
      <c r="K167" t="str">
        <f>"85296"</f>
        <v>85296</v>
      </c>
      <c r="L167" t="s">
        <v>469</v>
      </c>
      <c r="M167" t="s">
        <v>1409</v>
      </c>
      <c r="N167" t="s">
        <v>203</v>
      </c>
      <c r="O167" t="s">
        <v>111</v>
      </c>
      <c r="P167" t="str">
        <f>"85296-2864"</f>
        <v>85296-2864</v>
      </c>
      <c r="Q167" t="s">
        <v>113</v>
      </c>
      <c r="R167" t="str">
        <f>"313-18-039"</f>
        <v>313-18-039</v>
      </c>
      <c r="S167" t="s">
        <v>552</v>
      </c>
      <c r="T167" t="s">
        <v>471</v>
      </c>
      <c r="U167">
        <v>2697</v>
      </c>
      <c r="W167">
        <v>5</v>
      </c>
      <c r="X167">
        <v>2014</v>
      </c>
      <c r="Z167">
        <v>2</v>
      </c>
      <c r="AC167" t="s">
        <v>115</v>
      </c>
      <c r="AD167">
        <v>2</v>
      </c>
      <c r="AE167" t="s">
        <v>115</v>
      </c>
      <c r="AH167" t="s">
        <v>116</v>
      </c>
      <c r="AI167" s="1">
        <v>37355</v>
      </c>
      <c r="AJ167" s="2">
        <v>0.1</v>
      </c>
      <c r="AK167" s="1">
        <v>380815</v>
      </c>
      <c r="AL167" t="s">
        <v>117</v>
      </c>
      <c r="AM167" t="s">
        <v>288</v>
      </c>
      <c r="AN167">
        <v>4126</v>
      </c>
      <c r="AO167">
        <v>0.95</v>
      </c>
      <c r="AR167">
        <v>1</v>
      </c>
      <c r="AS167" s="1">
        <v>27320</v>
      </c>
      <c r="AT167" s="1">
        <v>5460</v>
      </c>
      <c r="AU167" s="1">
        <v>21860</v>
      </c>
      <c r="AV167">
        <v>80.010000000000005</v>
      </c>
      <c r="AX167" s="1">
        <v>2175.8000000000002</v>
      </c>
      <c r="AY167" t="s">
        <v>472</v>
      </c>
      <c r="AZ167" t="s">
        <v>472</v>
      </c>
      <c r="BA167" t="s">
        <v>473</v>
      </c>
      <c r="BE167" s="3">
        <v>41752</v>
      </c>
      <c r="BF167" s="1">
        <v>325001</v>
      </c>
      <c r="BG167" t="s">
        <v>122</v>
      </c>
      <c r="BH167" s="1">
        <v>120.5</v>
      </c>
      <c r="BI167" s="1">
        <v>343460</v>
      </c>
      <c r="BJ167" s="3">
        <v>42118</v>
      </c>
      <c r="BK167" t="s">
        <v>123</v>
      </c>
      <c r="BL167" t="str">
        <f>"2015.282477"</f>
        <v>2015.282477</v>
      </c>
      <c r="BM167" t="s">
        <v>402</v>
      </c>
      <c r="BO167" t="s">
        <v>1410</v>
      </c>
      <c r="BS167">
        <v>30</v>
      </c>
      <c r="BW167" t="str">
        <f>""</f>
        <v/>
      </c>
      <c r="CH167" t="str">
        <f>""</f>
        <v/>
      </c>
      <c r="CS167" t="str">
        <f>""</f>
        <v/>
      </c>
    </row>
    <row r="168" spans="1:97" x14ac:dyDescent="0.25">
      <c r="A168" t="s">
        <v>1344</v>
      </c>
      <c r="B168" t="s">
        <v>1411</v>
      </c>
      <c r="C168" t="s">
        <v>484</v>
      </c>
      <c r="D168" t="s">
        <v>1411</v>
      </c>
      <c r="E168" t="s">
        <v>1412</v>
      </c>
      <c r="F168" t="s">
        <v>108</v>
      </c>
      <c r="H168" t="s">
        <v>1413</v>
      </c>
      <c r="I168" t="s">
        <v>110</v>
      </c>
      <c r="J168" t="s">
        <v>111</v>
      </c>
      <c r="K168" t="str">
        <f>"85249"</f>
        <v>85249</v>
      </c>
      <c r="L168" t="s">
        <v>417</v>
      </c>
      <c r="M168" t="s">
        <v>1413</v>
      </c>
      <c r="N168" t="s">
        <v>110</v>
      </c>
      <c r="O168" t="s">
        <v>111</v>
      </c>
      <c r="P168" t="str">
        <f>"85249-2057"</f>
        <v>85249-2057</v>
      </c>
      <c r="Q168" t="s">
        <v>113</v>
      </c>
      <c r="R168" t="str">
        <f>"304-75-615"</f>
        <v>304-75-615</v>
      </c>
      <c r="S168" t="s">
        <v>418</v>
      </c>
      <c r="T168" t="s">
        <v>418</v>
      </c>
      <c r="U168">
        <v>3868</v>
      </c>
      <c r="W168">
        <v>4</v>
      </c>
      <c r="X168">
        <v>2015</v>
      </c>
      <c r="Z168">
        <v>2</v>
      </c>
      <c r="AC168" t="s">
        <v>115</v>
      </c>
      <c r="AD168">
        <v>3</v>
      </c>
      <c r="AE168" t="s">
        <v>115</v>
      </c>
      <c r="AH168" t="s">
        <v>116</v>
      </c>
      <c r="AI168" s="1">
        <v>144437</v>
      </c>
      <c r="AJ168" s="2">
        <v>0.26</v>
      </c>
      <c r="AK168" s="1">
        <v>547493</v>
      </c>
      <c r="AL168" t="s">
        <v>117</v>
      </c>
      <c r="AM168" t="s">
        <v>118</v>
      </c>
      <c r="AN168">
        <v>7255</v>
      </c>
      <c r="AO168">
        <v>0.17</v>
      </c>
      <c r="AR168">
        <v>1</v>
      </c>
      <c r="AS168" s="1">
        <v>38200</v>
      </c>
      <c r="AT168" s="1">
        <v>7640</v>
      </c>
      <c r="AU168" s="1">
        <v>30560</v>
      </c>
      <c r="AV168">
        <v>80</v>
      </c>
      <c r="AX168" s="1">
        <v>3212.62</v>
      </c>
      <c r="AY168" t="s">
        <v>419</v>
      </c>
      <c r="AZ168" t="s">
        <v>273</v>
      </c>
      <c r="BA168" t="s">
        <v>303</v>
      </c>
      <c r="BE168" s="3">
        <v>42195</v>
      </c>
      <c r="BF168" s="1">
        <v>418000</v>
      </c>
      <c r="BG168" t="s">
        <v>420</v>
      </c>
      <c r="BH168" s="1">
        <v>108.07</v>
      </c>
      <c r="BI168" s="1">
        <v>403056</v>
      </c>
      <c r="BJ168" s="3">
        <v>42195</v>
      </c>
      <c r="BK168" t="s">
        <v>123</v>
      </c>
      <c r="BL168" t="str">
        <f>"2015.499227"</f>
        <v>2015.499227</v>
      </c>
      <c r="BM168" t="s">
        <v>150</v>
      </c>
      <c r="BN168" t="s">
        <v>1282</v>
      </c>
      <c r="BO168" t="s">
        <v>1414</v>
      </c>
      <c r="BS168">
        <v>30</v>
      </c>
      <c r="BW168" t="str">
        <f>""</f>
        <v/>
      </c>
      <c r="CH168" t="str">
        <f>""</f>
        <v/>
      </c>
      <c r="CS168" t="str">
        <f>""</f>
        <v/>
      </c>
    </row>
    <row r="169" spans="1:97" x14ac:dyDescent="0.25">
      <c r="A169" t="s">
        <v>325</v>
      </c>
      <c r="B169" t="s">
        <v>1415</v>
      </c>
      <c r="C169" t="s">
        <v>1416</v>
      </c>
      <c r="D169" t="s">
        <v>1415</v>
      </c>
      <c r="E169" t="s">
        <v>1417</v>
      </c>
      <c r="F169" t="s">
        <v>108</v>
      </c>
      <c r="H169" t="s">
        <v>1418</v>
      </c>
      <c r="I169" t="s">
        <v>203</v>
      </c>
      <c r="J169" t="s">
        <v>111</v>
      </c>
      <c r="K169" t="str">
        <f>"85296"</f>
        <v>85296</v>
      </c>
      <c r="L169" t="s">
        <v>469</v>
      </c>
      <c r="M169" t="s">
        <v>1418</v>
      </c>
      <c r="N169" t="s">
        <v>203</v>
      </c>
      <c r="O169" t="s">
        <v>111</v>
      </c>
      <c r="P169" t="str">
        <f>"85296-1430"</f>
        <v>85296-1430</v>
      </c>
      <c r="Q169" t="s">
        <v>113</v>
      </c>
      <c r="R169" t="str">
        <f>"313-17-884"</f>
        <v>313-17-884</v>
      </c>
      <c r="S169" t="s">
        <v>470</v>
      </c>
      <c r="T169" t="s">
        <v>471</v>
      </c>
      <c r="U169">
        <v>2455</v>
      </c>
      <c r="W169">
        <v>4</v>
      </c>
      <c r="X169">
        <v>2013</v>
      </c>
      <c r="Z169">
        <v>2</v>
      </c>
      <c r="AC169" t="s">
        <v>115</v>
      </c>
      <c r="AD169">
        <v>2</v>
      </c>
      <c r="AE169" t="s">
        <v>115</v>
      </c>
      <c r="AH169" t="s">
        <v>116</v>
      </c>
      <c r="AI169" s="1">
        <v>85786</v>
      </c>
      <c r="AJ169" s="2">
        <v>0.23</v>
      </c>
      <c r="AK169" s="1">
        <v>368878</v>
      </c>
      <c r="AL169" t="s">
        <v>117</v>
      </c>
      <c r="AM169" t="s">
        <v>288</v>
      </c>
      <c r="AN169">
        <v>4387</v>
      </c>
      <c r="AO169">
        <v>0.1</v>
      </c>
      <c r="AR169">
        <v>1</v>
      </c>
      <c r="AS169" s="1">
        <v>26210</v>
      </c>
      <c r="AT169" s="1">
        <v>5240</v>
      </c>
      <c r="AU169" s="1">
        <v>20970</v>
      </c>
      <c r="AV169">
        <v>80.010000000000005</v>
      </c>
      <c r="AX169" s="1">
        <v>2135.5</v>
      </c>
      <c r="AY169" t="s">
        <v>472</v>
      </c>
      <c r="AZ169" t="s">
        <v>472</v>
      </c>
      <c r="BA169" t="s">
        <v>473</v>
      </c>
      <c r="BE169" s="3">
        <v>42181</v>
      </c>
      <c r="BF169" s="1">
        <v>299900</v>
      </c>
      <c r="BG169" t="s">
        <v>1419</v>
      </c>
      <c r="BH169" s="1">
        <v>122.16</v>
      </c>
      <c r="BI169" s="1">
        <v>283092</v>
      </c>
      <c r="BJ169" s="3">
        <v>42601</v>
      </c>
      <c r="BK169" t="s">
        <v>123</v>
      </c>
      <c r="BL169" t="str">
        <f>"2016.593973"</f>
        <v>2016.593973</v>
      </c>
      <c r="BM169" t="s">
        <v>322</v>
      </c>
      <c r="BO169" t="s">
        <v>1420</v>
      </c>
      <c r="BS169">
        <v>30</v>
      </c>
      <c r="BW169" t="str">
        <f>""</f>
        <v/>
      </c>
      <c r="CH169" t="str">
        <f>""</f>
        <v/>
      </c>
      <c r="CS169" t="str">
        <f>""</f>
        <v/>
      </c>
    </row>
    <row r="170" spans="1:97" x14ac:dyDescent="0.25">
      <c r="A170" t="s">
        <v>1421</v>
      </c>
      <c r="B170" t="s">
        <v>1422</v>
      </c>
      <c r="C170" t="s">
        <v>1423</v>
      </c>
      <c r="D170" t="s">
        <v>1422</v>
      </c>
      <c r="E170" t="s">
        <v>1424</v>
      </c>
      <c r="F170" t="s">
        <v>108</v>
      </c>
      <c r="H170" t="s">
        <v>1425</v>
      </c>
      <c r="I170" t="s">
        <v>110</v>
      </c>
      <c r="J170" t="s">
        <v>111</v>
      </c>
      <c r="K170" t="str">
        <f>"85249"</f>
        <v>85249</v>
      </c>
      <c r="L170" t="s">
        <v>112</v>
      </c>
      <c r="M170" t="s">
        <v>1425</v>
      </c>
      <c r="N170" t="s">
        <v>110</v>
      </c>
      <c r="O170" t="s">
        <v>111</v>
      </c>
      <c r="P170" t="str">
        <f>"85249-5584"</f>
        <v>85249-5584</v>
      </c>
      <c r="Q170" t="s">
        <v>113</v>
      </c>
      <c r="R170" t="str">
        <f>"303-88-394"</f>
        <v>303-88-394</v>
      </c>
      <c r="S170" t="s">
        <v>400</v>
      </c>
      <c r="T170" t="s">
        <v>401</v>
      </c>
      <c r="U170">
        <v>3036</v>
      </c>
      <c r="W170">
        <v>4</v>
      </c>
      <c r="X170">
        <v>2014</v>
      </c>
      <c r="Z170">
        <v>2</v>
      </c>
      <c r="AA170" t="s">
        <v>26</v>
      </c>
      <c r="AC170" t="s">
        <v>115</v>
      </c>
      <c r="AD170">
        <v>3</v>
      </c>
      <c r="AE170" t="s">
        <v>115</v>
      </c>
      <c r="AH170" t="s">
        <v>116</v>
      </c>
      <c r="AI170" s="1">
        <v>58717</v>
      </c>
      <c r="AJ170" s="2">
        <v>0.11</v>
      </c>
      <c r="AK170" s="1">
        <v>536032</v>
      </c>
      <c r="AL170" t="s">
        <v>117</v>
      </c>
      <c r="AM170" t="s">
        <v>118</v>
      </c>
      <c r="AN170">
        <v>8990</v>
      </c>
      <c r="AO170">
        <v>0.21</v>
      </c>
      <c r="AR170">
        <v>1</v>
      </c>
      <c r="AS170" s="1">
        <v>39750</v>
      </c>
      <c r="AT170" s="1">
        <v>7950</v>
      </c>
      <c r="AU170" s="1">
        <v>31800</v>
      </c>
      <c r="AV170">
        <v>80</v>
      </c>
      <c r="AX170" s="1">
        <v>3243.84</v>
      </c>
      <c r="AY170" t="s">
        <v>119</v>
      </c>
      <c r="AZ170" t="s">
        <v>120</v>
      </c>
      <c r="BA170" t="s">
        <v>121</v>
      </c>
      <c r="BE170" s="3">
        <v>42046</v>
      </c>
      <c r="BF170" s="1">
        <v>431717</v>
      </c>
      <c r="BG170" t="s">
        <v>122</v>
      </c>
      <c r="BH170" s="1">
        <v>142.19999999999999</v>
      </c>
      <c r="BI170" s="1">
        <v>416815</v>
      </c>
      <c r="BJ170" s="3">
        <v>42046</v>
      </c>
      <c r="BK170" t="s">
        <v>123</v>
      </c>
      <c r="BL170" t="str">
        <f>"2015.87671"</f>
        <v>2015.87671</v>
      </c>
      <c r="BM170" t="s">
        <v>475</v>
      </c>
      <c r="BO170" t="s">
        <v>1426</v>
      </c>
      <c r="BS170">
        <v>30</v>
      </c>
      <c r="BT170" s="1">
        <v>60500</v>
      </c>
      <c r="BU170" s="3">
        <v>43020</v>
      </c>
      <c r="BW170" t="str">
        <f>"2017.757897"</f>
        <v>2017.757897</v>
      </c>
      <c r="BX170" t="s">
        <v>369</v>
      </c>
      <c r="BZ170" t="s">
        <v>1427</v>
      </c>
      <c r="CD170">
        <v>20</v>
      </c>
      <c r="CH170" t="str">
        <f>""</f>
        <v/>
      </c>
      <c r="CS170" t="str">
        <f>""</f>
        <v/>
      </c>
    </row>
    <row r="171" spans="1:97" x14ac:dyDescent="0.25">
      <c r="A171" t="s">
        <v>370</v>
      </c>
      <c r="B171" t="s">
        <v>1428</v>
      </c>
      <c r="C171" t="s">
        <v>1429</v>
      </c>
      <c r="D171" t="s">
        <v>1428</v>
      </c>
      <c r="E171" t="s">
        <v>1430</v>
      </c>
      <c r="F171" t="s">
        <v>108</v>
      </c>
      <c r="H171" t="s">
        <v>1431</v>
      </c>
      <c r="I171" t="s">
        <v>110</v>
      </c>
      <c r="J171" t="s">
        <v>111</v>
      </c>
      <c r="K171" t="str">
        <f>"85249"</f>
        <v>85249</v>
      </c>
      <c r="L171" t="s">
        <v>417</v>
      </c>
      <c r="M171" t="s">
        <v>1431</v>
      </c>
      <c r="N171" t="s">
        <v>110</v>
      </c>
      <c r="O171" t="s">
        <v>111</v>
      </c>
      <c r="P171" t="str">
        <f>"85249-2058"</f>
        <v>85249-2058</v>
      </c>
      <c r="Q171" t="s">
        <v>113</v>
      </c>
      <c r="R171" t="str">
        <f>"304-75-597"</f>
        <v>304-75-597</v>
      </c>
      <c r="S171" t="s">
        <v>418</v>
      </c>
      <c r="T171" t="s">
        <v>418</v>
      </c>
      <c r="U171">
        <v>2347</v>
      </c>
      <c r="W171">
        <v>4</v>
      </c>
      <c r="X171">
        <v>2015</v>
      </c>
      <c r="Z171">
        <v>1</v>
      </c>
      <c r="AC171" t="s">
        <v>115</v>
      </c>
      <c r="AD171">
        <v>3</v>
      </c>
      <c r="AE171" t="s">
        <v>115</v>
      </c>
      <c r="AH171" t="s">
        <v>116</v>
      </c>
      <c r="AI171" s="1">
        <v>113442</v>
      </c>
      <c r="AJ171" s="2">
        <v>0.24</v>
      </c>
      <c r="AK171" s="1">
        <v>473592</v>
      </c>
      <c r="AL171" t="s">
        <v>117</v>
      </c>
      <c r="AM171" t="s">
        <v>118</v>
      </c>
      <c r="AN171">
        <v>8854</v>
      </c>
      <c r="AO171">
        <v>0.2</v>
      </c>
      <c r="AR171">
        <v>1</v>
      </c>
      <c r="AS171" s="1">
        <v>33200</v>
      </c>
      <c r="AT171" s="1">
        <v>6640</v>
      </c>
      <c r="AU171" s="1">
        <v>26560</v>
      </c>
      <c r="AV171">
        <v>80</v>
      </c>
      <c r="AX171" s="1">
        <v>2674.92</v>
      </c>
      <c r="AY171" t="s">
        <v>419</v>
      </c>
      <c r="AZ171" t="s">
        <v>273</v>
      </c>
      <c r="BA171" t="s">
        <v>303</v>
      </c>
      <c r="BE171" s="3">
        <v>42025</v>
      </c>
      <c r="BF171" s="1">
        <v>348681</v>
      </c>
      <c r="BG171" t="s">
        <v>420</v>
      </c>
      <c r="BH171" s="1">
        <v>148.56</v>
      </c>
      <c r="BI171" s="1">
        <v>360150</v>
      </c>
      <c r="BJ171" s="3">
        <v>42025</v>
      </c>
      <c r="BK171" t="s">
        <v>123</v>
      </c>
      <c r="BL171" t="str">
        <f>"2015.38455"</f>
        <v>2015.38455</v>
      </c>
      <c r="BM171" t="s">
        <v>124</v>
      </c>
      <c r="BO171" t="s">
        <v>1432</v>
      </c>
      <c r="BS171">
        <v>30</v>
      </c>
      <c r="BW171" t="str">
        <f>""</f>
        <v/>
      </c>
      <c r="CH171" t="str">
        <f>""</f>
        <v/>
      </c>
      <c r="CS171" t="str">
        <f>""</f>
        <v/>
      </c>
    </row>
    <row r="172" spans="1:97" x14ac:dyDescent="0.25">
      <c r="A172" t="s">
        <v>894</v>
      </c>
      <c r="B172" t="s">
        <v>1433</v>
      </c>
      <c r="C172" t="s">
        <v>1434</v>
      </c>
      <c r="D172" t="s">
        <v>1433</v>
      </c>
      <c r="E172" t="s">
        <v>1435</v>
      </c>
      <c r="F172" t="s">
        <v>108</v>
      </c>
      <c r="H172" t="s">
        <v>1436</v>
      </c>
      <c r="I172" t="s">
        <v>110</v>
      </c>
      <c r="J172" t="s">
        <v>111</v>
      </c>
      <c r="K172" t="str">
        <f>"85249"</f>
        <v>85249</v>
      </c>
      <c r="L172" t="s">
        <v>417</v>
      </c>
      <c r="M172" t="s">
        <v>1436</v>
      </c>
      <c r="N172" t="s">
        <v>110</v>
      </c>
      <c r="O172" t="s">
        <v>111</v>
      </c>
      <c r="P172" t="str">
        <f>"85249-2044"</f>
        <v>85249-2044</v>
      </c>
      <c r="Q172" t="s">
        <v>113</v>
      </c>
      <c r="R172" t="str">
        <f>"304-75-645"</f>
        <v>304-75-645</v>
      </c>
      <c r="S172" t="s">
        <v>418</v>
      </c>
      <c r="T172" t="s">
        <v>418</v>
      </c>
      <c r="U172">
        <v>2347</v>
      </c>
      <c r="W172">
        <v>4</v>
      </c>
      <c r="X172">
        <v>2016</v>
      </c>
      <c r="Z172">
        <v>1</v>
      </c>
      <c r="AC172" t="s">
        <v>115</v>
      </c>
      <c r="AD172">
        <v>3</v>
      </c>
      <c r="AE172" t="s">
        <v>115</v>
      </c>
      <c r="AH172" t="s">
        <v>116</v>
      </c>
      <c r="AI172" s="1">
        <v>139677</v>
      </c>
      <c r="AJ172" s="2">
        <v>0.31</v>
      </c>
      <c r="AK172" s="1">
        <v>449677</v>
      </c>
      <c r="AL172" t="s">
        <v>117</v>
      </c>
      <c r="AM172" t="s">
        <v>118</v>
      </c>
      <c r="AN172">
        <v>7200</v>
      </c>
      <c r="AO172">
        <v>0.16</v>
      </c>
      <c r="AR172">
        <v>1</v>
      </c>
      <c r="AS172" s="1">
        <v>32310</v>
      </c>
      <c r="AT172" s="1">
        <v>6460</v>
      </c>
      <c r="AU172" s="1">
        <v>25850</v>
      </c>
      <c r="AV172">
        <v>80.010000000000005</v>
      </c>
      <c r="AX172" s="1">
        <v>2479.62</v>
      </c>
      <c r="AY172" t="s">
        <v>419</v>
      </c>
      <c r="AZ172" t="s">
        <v>273</v>
      </c>
      <c r="BA172" t="s">
        <v>303</v>
      </c>
      <c r="BE172" s="3">
        <v>42475</v>
      </c>
      <c r="BF172" s="1">
        <v>387931</v>
      </c>
      <c r="BG172" t="s">
        <v>420</v>
      </c>
      <c r="BH172" s="1">
        <v>165.29</v>
      </c>
      <c r="BI172" s="1">
        <v>310000</v>
      </c>
      <c r="BJ172" s="3">
        <v>42655</v>
      </c>
      <c r="BK172" t="s">
        <v>123</v>
      </c>
      <c r="BL172" t="str">
        <f>"2016.748824"</f>
        <v>2016.748824</v>
      </c>
      <c r="BM172" t="s">
        <v>683</v>
      </c>
      <c r="BO172" t="s">
        <v>1437</v>
      </c>
      <c r="BS172">
        <v>30</v>
      </c>
      <c r="BW172" t="str">
        <f>""</f>
        <v/>
      </c>
      <c r="CH172" t="str">
        <f>""</f>
        <v/>
      </c>
      <c r="CS172" t="str">
        <f>""</f>
        <v/>
      </c>
    </row>
    <row r="173" spans="1:97" x14ac:dyDescent="0.25">
      <c r="A173" t="s">
        <v>370</v>
      </c>
      <c r="B173" t="s">
        <v>1438</v>
      </c>
      <c r="C173" t="s">
        <v>1439</v>
      </c>
      <c r="D173" t="s">
        <v>1438</v>
      </c>
      <c r="E173" t="s">
        <v>1440</v>
      </c>
      <c r="F173" t="s">
        <v>108</v>
      </c>
      <c r="H173" t="s">
        <v>1441</v>
      </c>
      <c r="I173" t="s">
        <v>203</v>
      </c>
      <c r="J173" t="s">
        <v>111</v>
      </c>
      <c r="K173" t="str">
        <f>"85298"</f>
        <v>85298</v>
      </c>
      <c r="L173" t="s">
        <v>284</v>
      </c>
      <c r="M173" t="s">
        <v>1441</v>
      </c>
      <c r="N173" t="s">
        <v>203</v>
      </c>
      <c r="O173" t="s">
        <v>111</v>
      </c>
      <c r="P173" t="str">
        <f>"85298"</f>
        <v>85298</v>
      </c>
      <c r="Q173" t="s">
        <v>113</v>
      </c>
      <c r="R173" t="str">
        <f>"304-73-565"</f>
        <v>304-73-565</v>
      </c>
      <c r="S173" t="s">
        <v>874</v>
      </c>
      <c r="T173" t="s">
        <v>287</v>
      </c>
      <c r="U173">
        <v>2247</v>
      </c>
      <c r="W173">
        <v>5</v>
      </c>
      <c r="X173">
        <v>2015</v>
      </c>
      <c r="Z173">
        <v>2</v>
      </c>
      <c r="AC173" t="s">
        <v>115</v>
      </c>
      <c r="AD173">
        <v>2</v>
      </c>
      <c r="AE173" t="s">
        <v>115</v>
      </c>
      <c r="AH173" t="s">
        <v>116</v>
      </c>
      <c r="AI173" s="1">
        <v>107686</v>
      </c>
      <c r="AJ173" s="2">
        <v>0.28000000000000003</v>
      </c>
      <c r="AK173" s="1">
        <v>384696</v>
      </c>
      <c r="AL173" t="s">
        <v>117</v>
      </c>
      <c r="AM173" t="s">
        <v>288</v>
      </c>
      <c r="AN173">
        <v>5314</v>
      </c>
      <c r="AO173">
        <v>0.12</v>
      </c>
      <c r="AR173">
        <v>1</v>
      </c>
      <c r="AS173" s="1">
        <v>25930</v>
      </c>
      <c r="AT173" s="1">
        <v>5180</v>
      </c>
      <c r="AU173" s="1">
        <v>20750</v>
      </c>
      <c r="AV173">
        <v>80.02</v>
      </c>
      <c r="AX173" s="1">
        <v>1999.82</v>
      </c>
      <c r="AY173" t="s">
        <v>289</v>
      </c>
      <c r="AZ173" t="s">
        <v>289</v>
      </c>
      <c r="BA173" t="s">
        <v>290</v>
      </c>
      <c r="BB173" s="3">
        <v>43418</v>
      </c>
      <c r="BC173" s="1">
        <v>0</v>
      </c>
      <c r="BD173" t="s">
        <v>291</v>
      </c>
      <c r="BE173" s="3">
        <v>42487</v>
      </c>
      <c r="BF173" s="1">
        <v>303990</v>
      </c>
      <c r="BG173" t="s">
        <v>195</v>
      </c>
      <c r="BH173" s="1">
        <v>135.29</v>
      </c>
      <c r="BI173" s="1">
        <v>277010</v>
      </c>
      <c r="BJ173" s="3">
        <v>42487</v>
      </c>
      <c r="BK173" t="s">
        <v>123</v>
      </c>
      <c r="BL173" t="str">
        <f>"2016.283721"</f>
        <v>2016.283721</v>
      </c>
      <c r="BM173" t="s">
        <v>196</v>
      </c>
      <c r="BN173" t="s">
        <v>1442</v>
      </c>
      <c r="BO173" t="s">
        <v>1443</v>
      </c>
      <c r="BS173">
        <v>30</v>
      </c>
      <c r="BW173" t="str">
        <f>""</f>
        <v/>
      </c>
      <c r="CH173" t="str">
        <f>""</f>
        <v/>
      </c>
      <c r="CS173" t="str">
        <f>""</f>
        <v/>
      </c>
    </row>
    <row r="174" spans="1:97" x14ac:dyDescent="0.25">
      <c r="A174" t="s">
        <v>1444</v>
      </c>
      <c r="B174" t="s">
        <v>1445</v>
      </c>
      <c r="C174" t="s">
        <v>1446</v>
      </c>
      <c r="D174" t="s">
        <v>1445</v>
      </c>
      <c r="E174" t="s">
        <v>1447</v>
      </c>
      <c r="F174" t="s">
        <v>108</v>
      </c>
      <c r="H174" t="s">
        <v>1448</v>
      </c>
      <c r="I174" t="s">
        <v>225</v>
      </c>
      <c r="J174" t="s">
        <v>111</v>
      </c>
      <c r="K174" t="str">
        <f>"85212"</f>
        <v>85212</v>
      </c>
      <c r="L174" t="s">
        <v>567</v>
      </c>
      <c r="M174" t="s">
        <v>1448</v>
      </c>
      <c r="N174" t="s">
        <v>225</v>
      </c>
      <c r="O174" t="s">
        <v>111</v>
      </c>
      <c r="P174" t="str">
        <f>"85212-9740"</f>
        <v>85212-9740</v>
      </c>
      <c r="Q174" t="s">
        <v>113</v>
      </c>
      <c r="R174" t="str">
        <f>"304-17-358"</f>
        <v>304-17-358</v>
      </c>
      <c r="S174" t="s">
        <v>568</v>
      </c>
      <c r="T174" t="s">
        <v>569</v>
      </c>
      <c r="U174">
        <v>3160</v>
      </c>
      <c r="W174">
        <v>4</v>
      </c>
      <c r="X174">
        <v>2015</v>
      </c>
      <c r="Z174">
        <v>1</v>
      </c>
      <c r="AC174" t="s">
        <v>115</v>
      </c>
      <c r="AD174">
        <v>3</v>
      </c>
      <c r="AE174" t="s">
        <v>115</v>
      </c>
      <c r="AH174" t="s">
        <v>116</v>
      </c>
      <c r="AI174" s="1">
        <v>111706</v>
      </c>
      <c r="AJ174" s="2">
        <v>0.24</v>
      </c>
      <c r="AK174" s="1">
        <v>469856</v>
      </c>
      <c r="AL174" t="s">
        <v>117</v>
      </c>
      <c r="AM174" t="s">
        <v>917</v>
      </c>
      <c r="AN174">
        <v>9100</v>
      </c>
      <c r="AO174">
        <v>0.21</v>
      </c>
      <c r="AR174">
        <v>1</v>
      </c>
      <c r="AS174" s="1">
        <v>35510</v>
      </c>
      <c r="AT174" s="1">
        <v>7100</v>
      </c>
      <c r="AU174" s="1">
        <v>28410</v>
      </c>
      <c r="AV174">
        <v>80.010000000000005</v>
      </c>
      <c r="AX174" s="1">
        <v>2484.38</v>
      </c>
      <c r="AY174" t="s">
        <v>570</v>
      </c>
      <c r="AZ174" t="s">
        <v>571</v>
      </c>
      <c r="BA174" t="s">
        <v>572</v>
      </c>
      <c r="BE174" s="3">
        <v>42213</v>
      </c>
      <c r="BF174" s="1">
        <v>350630</v>
      </c>
      <c r="BG174" t="s">
        <v>420</v>
      </c>
      <c r="BH174" s="1">
        <v>110.96</v>
      </c>
      <c r="BI174" s="1">
        <v>358150</v>
      </c>
      <c r="BJ174" s="3">
        <v>42213</v>
      </c>
      <c r="BK174" t="s">
        <v>123</v>
      </c>
      <c r="BL174" t="str">
        <f>"2015.542781"</f>
        <v>2015.542781</v>
      </c>
      <c r="BM174" t="s">
        <v>124</v>
      </c>
      <c r="BO174" t="s">
        <v>1449</v>
      </c>
      <c r="BS174">
        <v>30</v>
      </c>
      <c r="BW174" t="str">
        <f>""</f>
        <v/>
      </c>
      <c r="CH174" t="str">
        <f>""</f>
        <v/>
      </c>
      <c r="CS174" t="str">
        <f>""</f>
        <v/>
      </c>
    </row>
    <row r="175" spans="1:97" x14ac:dyDescent="0.25">
      <c r="A175" t="s">
        <v>894</v>
      </c>
      <c r="B175" t="s">
        <v>1450</v>
      </c>
      <c r="C175" t="s">
        <v>1451</v>
      </c>
      <c r="D175" t="s">
        <v>1450</v>
      </c>
      <c r="E175" t="s">
        <v>1452</v>
      </c>
      <c r="F175" t="s">
        <v>108</v>
      </c>
      <c r="H175" t="s">
        <v>1453</v>
      </c>
      <c r="I175" t="s">
        <v>374</v>
      </c>
      <c r="J175" t="s">
        <v>111</v>
      </c>
      <c r="K175" t="str">
        <f>"85087"</f>
        <v>85087</v>
      </c>
      <c r="L175" t="s">
        <v>375</v>
      </c>
      <c r="M175" t="s">
        <v>1453</v>
      </c>
      <c r="N175" t="s">
        <v>374</v>
      </c>
      <c r="O175" t="s">
        <v>111</v>
      </c>
      <c r="P175" t="str">
        <f>"85087-6220"</f>
        <v>85087-6220</v>
      </c>
      <c r="Q175" t="s">
        <v>113</v>
      </c>
      <c r="R175" t="str">
        <f>"202-23-338"</f>
        <v>202-23-338</v>
      </c>
      <c r="S175" t="s">
        <v>663</v>
      </c>
      <c r="T175" t="s">
        <v>664</v>
      </c>
      <c r="U175">
        <v>4320</v>
      </c>
      <c r="W175">
        <v>6</v>
      </c>
      <c r="X175">
        <v>2015</v>
      </c>
      <c r="Z175">
        <v>2</v>
      </c>
      <c r="AC175" t="s">
        <v>115</v>
      </c>
      <c r="AD175">
        <v>3</v>
      </c>
      <c r="AE175" t="s">
        <v>115</v>
      </c>
      <c r="AH175" t="s">
        <v>116</v>
      </c>
      <c r="AI175" s="1">
        <v>101131</v>
      </c>
      <c r="AJ175" s="2">
        <v>0.2</v>
      </c>
      <c r="AK175" s="1">
        <v>518131</v>
      </c>
      <c r="AL175" t="s">
        <v>117</v>
      </c>
      <c r="AM175" t="s">
        <v>1302</v>
      </c>
      <c r="AN175">
        <v>10530</v>
      </c>
      <c r="AO175">
        <v>0.24</v>
      </c>
      <c r="AR175">
        <v>1</v>
      </c>
      <c r="AS175" s="1">
        <v>38800</v>
      </c>
      <c r="AT175" s="1">
        <v>7760</v>
      </c>
      <c r="AU175" s="1">
        <v>31040</v>
      </c>
      <c r="AV175">
        <v>80</v>
      </c>
      <c r="AX175" s="1">
        <v>3542.3</v>
      </c>
      <c r="AY175" t="s">
        <v>665</v>
      </c>
      <c r="AZ175" t="s">
        <v>665</v>
      </c>
      <c r="BA175" t="s">
        <v>378</v>
      </c>
      <c r="BE175" s="3">
        <v>42181</v>
      </c>
      <c r="BF175" s="1">
        <v>437637</v>
      </c>
      <c r="BG175" t="s">
        <v>158</v>
      </c>
      <c r="BH175" s="1">
        <v>101.3</v>
      </c>
      <c r="BI175" s="1">
        <v>417000</v>
      </c>
      <c r="BJ175" s="3">
        <v>42181</v>
      </c>
      <c r="BK175" t="s">
        <v>123</v>
      </c>
      <c r="BL175" t="str">
        <f>"2015.458887"</f>
        <v>2015.458887</v>
      </c>
      <c r="BM175" t="s">
        <v>241</v>
      </c>
      <c r="BO175" t="s">
        <v>1454</v>
      </c>
      <c r="BS175">
        <v>30</v>
      </c>
      <c r="BW175" t="str">
        <f>""</f>
        <v/>
      </c>
      <c r="CH175" t="str">
        <f>""</f>
        <v/>
      </c>
      <c r="CS175" t="str">
        <f>""</f>
        <v/>
      </c>
    </row>
    <row r="176" spans="1:97" x14ac:dyDescent="0.25">
      <c r="A176" t="s">
        <v>1455</v>
      </c>
      <c r="B176" t="s">
        <v>1456</v>
      </c>
      <c r="C176" t="s">
        <v>986</v>
      </c>
      <c r="D176" t="s">
        <v>1456</v>
      </c>
      <c r="E176" t="s">
        <v>1457</v>
      </c>
      <c r="F176" t="s">
        <v>108</v>
      </c>
      <c r="H176" t="s">
        <v>1458</v>
      </c>
      <c r="I176" t="s">
        <v>390</v>
      </c>
      <c r="J176" t="s">
        <v>111</v>
      </c>
      <c r="K176" t="str">
        <f>"85085"</f>
        <v>85085</v>
      </c>
      <c r="L176" t="s">
        <v>1398</v>
      </c>
      <c r="M176" t="s">
        <v>1458</v>
      </c>
      <c r="N176" t="s">
        <v>390</v>
      </c>
      <c r="O176" t="s">
        <v>111</v>
      </c>
      <c r="P176" t="str">
        <f>"85085-6373"</f>
        <v>85085-6373</v>
      </c>
      <c r="Q176" t="s">
        <v>113</v>
      </c>
      <c r="R176" t="str">
        <f>"210-20-508"</f>
        <v>210-20-508</v>
      </c>
      <c r="S176" t="s">
        <v>1459</v>
      </c>
      <c r="T176" t="s">
        <v>1460</v>
      </c>
      <c r="U176">
        <v>2697</v>
      </c>
      <c r="W176">
        <v>5</v>
      </c>
      <c r="X176">
        <v>2013</v>
      </c>
      <c r="Z176">
        <v>2</v>
      </c>
      <c r="AA176" t="s">
        <v>26</v>
      </c>
      <c r="AC176" t="s">
        <v>115</v>
      </c>
      <c r="AD176">
        <v>3</v>
      </c>
      <c r="AE176" t="s">
        <v>115</v>
      </c>
      <c r="AH176" t="s">
        <v>116</v>
      </c>
      <c r="AI176" s="1">
        <v>59175</v>
      </c>
      <c r="AJ176" s="2">
        <v>0.12</v>
      </c>
      <c r="AK176" s="1">
        <v>487870</v>
      </c>
      <c r="AL176" t="s">
        <v>117</v>
      </c>
      <c r="AM176" t="s">
        <v>118</v>
      </c>
      <c r="AN176">
        <v>6964</v>
      </c>
      <c r="AO176">
        <v>0.16</v>
      </c>
      <c r="AR176">
        <v>1</v>
      </c>
      <c r="AS176" s="1">
        <v>39370</v>
      </c>
      <c r="AT176" s="1">
        <v>7870</v>
      </c>
      <c r="AU176" s="1">
        <v>31500</v>
      </c>
      <c r="AV176">
        <v>80.010000000000005</v>
      </c>
      <c r="AX176" s="1">
        <v>3489.64</v>
      </c>
      <c r="AY176" t="s">
        <v>1461</v>
      </c>
      <c r="AZ176" t="s">
        <v>1461</v>
      </c>
      <c r="BA176" t="s">
        <v>1462</v>
      </c>
      <c r="BB176" s="3">
        <v>42964</v>
      </c>
      <c r="BD176" t="s">
        <v>157</v>
      </c>
      <c r="BE176" s="3">
        <v>41710</v>
      </c>
      <c r="BF176" s="1">
        <v>374144</v>
      </c>
      <c r="BG176" t="s">
        <v>446</v>
      </c>
      <c r="BH176" s="1">
        <v>138.72999999999999</v>
      </c>
      <c r="BI176" s="1">
        <v>428695</v>
      </c>
      <c r="BJ176" s="3">
        <v>42964</v>
      </c>
      <c r="BK176" t="s">
        <v>123</v>
      </c>
      <c r="BL176" t="str">
        <f>"2017.608182"</f>
        <v>2017.608182</v>
      </c>
      <c r="BM176" t="s">
        <v>1463</v>
      </c>
      <c r="BO176" t="s">
        <v>1464</v>
      </c>
      <c r="BS176">
        <v>30</v>
      </c>
      <c r="BW176" t="str">
        <f>""</f>
        <v/>
      </c>
      <c r="CH176" t="str">
        <f>""</f>
        <v/>
      </c>
      <c r="CS176" t="str">
        <f>""</f>
        <v/>
      </c>
    </row>
    <row r="177" spans="1:97" x14ac:dyDescent="0.25">
      <c r="A177" t="s">
        <v>1465</v>
      </c>
      <c r="B177" t="s">
        <v>1466</v>
      </c>
      <c r="C177" t="s">
        <v>1467</v>
      </c>
      <c r="D177" t="s">
        <v>1468</v>
      </c>
      <c r="E177" t="s">
        <v>1469</v>
      </c>
      <c r="F177" t="s">
        <v>108</v>
      </c>
      <c r="H177" t="s">
        <v>1470</v>
      </c>
      <c r="I177" t="s">
        <v>110</v>
      </c>
      <c r="J177" t="s">
        <v>111</v>
      </c>
      <c r="K177" t="str">
        <f>"85249"</f>
        <v>85249</v>
      </c>
      <c r="L177" t="s">
        <v>417</v>
      </c>
      <c r="M177" t="s">
        <v>1470</v>
      </c>
      <c r="N177" t="s">
        <v>110</v>
      </c>
      <c r="O177" t="s">
        <v>111</v>
      </c>
      <c r="P177" t="str">
        <f>"85249-2047"</f>
        <v>85249-2047</v>
      </c>
      <c r="Q177" t="s">
        <v>113</v>
      </c>
      <c r="R177" t="str">
        <f>"304-75-624"</f>
        <v>304-75-624</v>
      </c>
      <c r="S177" t="s">
        <v>418</v>
      </c>
      <c r="T177" t="s">
        <v>418</v>
      </c>
      <c r="U177">
        <v>3868</v>
      </c>
      <c r="W177">
        <v>4</v>
      </c>
      <c r="X177">
        <v>2015</v>
      </c>
      <c r="Z177">
        <v>2</v>
      </c>
      <c r="AA177" t="s">
        <v>26</v>
      </c>
      <c r="AC177" t="s">
        <v>115</v>
      </c>
      <c r="AD177">
        <v>3</v>
      </c>
      <c r="AE177" t="s">
        <v>115</v>
      </c>
      <c r="AH177" t="s">
        <v>116</v>
      </c>
      <c r="AI177" s="1">
        <v>63356</v>
      </c>
      <c r="AJ177" s="2">
        <v>0.12</v>
      </c>
      <c r="AK177" s="1">
        <v>547881</v>
      </c>
      <c r="AL177" t="s">
        <v>117</v>
      </c>
      <c r="AM177" t="s">
        <v>118</v>
      </c>
      <c r="AN177">
        <v>7322</v>
      </c>
      <c r="AO177">
        <v>0.17</v>
      </c>
      <c r="AR177">
        <v>1</v>
      </c>
      <c r="AS177" s="1">
        <v>40360</v>
      </c>
      <c r="AT177" s="1">
        <v>8070</v>
      </c>
      <c r="AU177" s="1">
        <v>32290</v>
      </c>
      <c r="AV177">
        <v>80</v>
      </c>
      <c r="AX177" s="1">
        <v>3033.5</v>
      </c>
      <c r="AY177" t="s">
        <v>419</v>
      </c>
      <c r="AZ177" t="s">
        <v>273</v>
      </c>
      <c r="BA177" t="s">
        <v>303</v>
      </c>
      <c r="BB177" s="3">
        <v>43153</v>
      </c>
      <c r="BC177" s="1">
        <v>0</v>
      </c>
      <c r="BD177" t="s">
        <v>247</v>
      </c>
      <c r="BE177" s="3">
        <v>42459</v>
      </c>
      <c r="BF177" s="1">
        <v>420040</v>
      </c>
      <c r="BG177" t="s">
        <v>420</v>
      </c>
      <c r="BH177" s="1">
        <v>108.59</v>
      </c>
      <c r="BI177" s="1">
        <v>484525</v>
      </c>
      <c r="BJ177" s="3">
        <v>43153</v>
      </c>
      <c r="BK177" t="s">
        <v>123</v>
      </c>
      <c r="BL177" t="str">
        <f>"2018.132149"</f>
        <v>2018.132149</v>
      </c>
      <c r="BM177" t="s">
        <v>460</v>
      </c>
      <c r="BN177" t="s">
        <v>461</v>
      </c>
      <c r="BO177" t="s">
        <v>1471</v>
      </c>
      <c r="BP177" t="s">
        <v>1472</v>
      </c>
      <c r="BR177" t="s">
        <v>139</v>
      </c>
      <c r="BW177" t="str">
        <f>""</f>
        <v/>
      </c>
      <c r="CH177" t="str">
        <f>""</f>
        <v/>
      </c>
      <c r="CS177" t="str">
        <f>""</f>
        <v/>
      </c>
    </row>
    <row r="178" spans="1:97" x14ac:dyDescent="0.25">
      <c r="A178" t="s">
        <v>815</v>
      </c>
      <c r="B178" t="s">
        <v>1473</v>
      </c>
      <c r="C178" t="s">
        <v>1474</v>
      </c>
      <c r="D178" t="s">
        <v>1475</v>
      </c>
      <c r="E178" t="s">
        <v>1476</v>
      </c>
      <c r="F178" t="s">
        <v>108</v>
      </c>
      <c r="H178" t="s">
        <v>1477</v>
      </c>
      <c r="I178" t="s">
        <v>203</v>
      </c>
      <c r="J178" t="s">
        <v>111</v>
      </c>
      <c r="K178" t="str">
        <f>"85296"</f>
        <v>85296</v>
      </c>
      <c r="L178" t="s">
        <v>469</v>
      </c>
      <c r="M178" t="s">
        <v>1477</v>
      </c>
      <c r="N178" t="s">
        <v>203</v>
      </c>
      <c r="O178" t="s">
        <v>111</v>
      </c>
      <c r="P178" t="str">
        <f>"85296-1443"</f>
        <v>85296-1443</v>
      </c>
      <c r="Q178" t="s">
        <v>113</v>
      </c>
      <c r="R178" t="str">
        <f>"313-17-869"</f>
        <v>313-17-869</v>
      </c>
      <c r="S178" t="s">
        <v>470</v>
      </c>
      <c r="T178" t="s">
        <v>471</v>
      </c>
      <c r="U178">
        <v>2292</v>
      </c>
      <c r="W178">
        <v>4</v>
      </c>
      <c r="X178">
        <v>2014</v>
      </c>
      <c r="Z178">
        <v>2</v>
      </c>
      <c r="AC178" t="s">
        <v>115</v>
      </c>
      <c r="AD178">
        <v>2</v>
      </c>
      <c r="AE178" t="s">
        <v>115</v>
      </c>
      <c r="AH178" t="s">
        <v>116</v>
      </c>
      <c r="AI178" s="1">
        <v>61590</v>
      </c>
      <c r="AJ178" s="2">
        <v>0.18</v>
      </c>
      <c r="AK178" s="1">
        <v>346306</v>
      </c>
      <c r="AL178" t="s">
        <v>117</v>
      </c>
      <c r="AM178" t="s">
        <v>288</v>
      </c>
      <c r="AN178">
        <v>4387</v>
      </c>
      <c r="AO178">
        <v>0.1</v>
      </c>
      <c r="AR178">
        <v>1</v>
      </c>
      <c r="AS178" s="1">
        <v>25250</v>
      </c>
      <c r="AT178" s="1">
        <v>5050</v>
      </c>
      <c r="AU178" s="1">
        <v>20200</v>
      </c>
      <c r="AV178">
        <v>80</v>
      </c>
      <c r="AX178" s="1">
        <v>2016.58</v>
      </c>
      <c r="AY178" t="s">
        <v>472</v>
      </c>
      <c r="AZ178" t="s">
        <v>472</v>
      </c>
      <c r="BA178" t="s">
        <v>473</v>
      </c>
      <c r="BE178" s="3">
        <v>41736</v>
      </c>
      <c r="BF178" s="1">
        <v>274496</v>
      </c>
      <c r="BG178" t="s">
        <v>474</v>
      </c>
      <c r="BH178" s="1">
        <v>119.76</v>
      </c>
      <c r="BI178" s="1">
        <v>284716</v>
      </c>
      <c r="BJ178" s="3">
        <v>42012</v>
      </c>
      <c r="BK178" t="s">
        <v>123</v>
      </c>
      <c r="BL178" t="str">
        <f>"2015.11167"</f>
        <v>2015.11167</v>
      </c>
      <c r="BM178" t="s">
        <v>1201</v>
      </c>
      <c r="BO178" t="s">
        <v>1478</v>
      </c>
      <c r="BP178" t="s">
        <v>1479</v>
      </c>
      <c r="BQ178" t="str">
        <f>"2.8750%"</f>
        <v>2.8750%</v>
      </c>
      <c r="BR178" t="s">
        <v>1480</v>
      </c>
      <c r="BS178">
        <v>30</v>
      </c>
      <c r="BW178" t="str">
        <f>""</f>
        <v/>
      </c>
      <c r="CH178" t="str">
        <f>""</f>
        <v/>
      </c>
      <c r="CS178" t="str">
        <f>""</f>
        <v/>
      </c>
    </row>
    <row r="179" spans="1:97" x14ac:dyDescent="0.25">
      <c r="A179" t="s">
        <v>589</v>
      </c>
      <c r="B179" t="s">
        <v>1481</v>
      </c>
      <c r="E179" t="s">
        <v>1482</v>
      </c>
      <c r="F179" t="s">
        <v>108</v>
      </c>
      <c r="H179" t="s">
        <v>1483</v>
      </c>
      <c r="I179" t="s">
        <v>203</v>
      </c>
      <c r="J179" t="s">
        <v>111</v>
      </c>
      <c r="K179" t="str">
        <f>"85296"</f>
        <v>85296</v>
      </c>
      <c r="L179" t="s">
        <v>516</v>
      </c>
      <c r="M179" t="s">
        <v>1483</v>
      </c>
      <c r="N179" t="s">
        <v>203</v>
      </c>
      <c r="O179" t="s">
        <v>111</v>
      </c>
      <c r="P179" t="str">
        <f>"85296-3093"</f>
        <v>85296-3093</v>
      </c>
      <c r="Q179" t="s">
        <v>113</v>
      </c>
      <c r="R179" t="str">
        <f>"304-70-790"</f>
        <v>304-70-790</v>
      </c>
      <c r="S179" t="s">
        <v>517</v>
      </c>
      <c r="T179" t="s">
        <v>518</v>
      </c>
      <c r="U179">
        <v>3868</v>
      </c>
      <c r="W179">
        <v>4</v>
      </c>
      <c r="X179">
        <v>2014</v>
      </c>
      <c r="Z179">
        <v>2</v>
      </c>
      <c r="AC179" t="s">
        <v>115</v>
      </c>
      <c r="AD179">
        <v>3</v>
      </c>
      <c r="AE179" t="s">
        <v>115</v>
      </c>
      <c r="AH179" t="s">
        <v>116</v>
      </c>
      <c r="AI179" s="1">
        <v>119699</v>
      </c>
      <c r="AJ179" s="2">
        <v>0.23</v>
      </c>
      <c r="AK179" s="1">
        <v>515990</v>
      </c>
      <c r="AL179" t="s">
        <v>117</v>
      </c>
      <c r="AM179" t="s">
        <v>191</v>
      </c>
      <c r="AN179">
        <v>7200</v>
      </c>
      <c r="AO179">
        <v>0.16</v>
      </c>
      <c r="AR179">
        <v>1</v>
      </c>
      <c r="AS179" s="1">
        <v>38220</v>
      </c>
      <c r="AT179" s="1">
        <v>7640</v>
      </c>
      <c r="AU179" s="1">
        <v>30580</v>
      </c>
      <c r="AV179">
        <v>80.010000000000005</v>
      </c>
      <c r="AX179" s="1">
        <v>3106.86</v>
      </c>
      <c r="AY179" t="s">
        <v>519</v>
      </c>
      <c r="AZ179" t="s">
        <v>520</v>
      </c>
      <c r="BA179" t="s">
        <v>521</v>
      </c>
      <c r="BE179" s="3">
        <v>41690</v>
      </c>
      <c r="BF179" s="1">
        <v>419704</v>
      </c>
      <c r="BG179" t="s">
        <v>420</v>
      </c>
      <c r="BH179" s="1">
        <v>108.51</v>
      </c>
      <c r="BI179" s="1">
        <v>396291</v>
      </c>
      <c r="BJ179" s="3">
        <v>42803</v>
      </c>
      <c r="BK179" t="s">
        <v>123</v>
      </c>
      <c r="BL179" t="str">
        <f>"2017.168038"</f>
        <v>2017.168038</v>
      </c>
      <c r="BM179" t="s">
        <v>425</v>
      </c>
      <c r="BO179" t="s">
        <v>1484</v>
      </c>
      <c r="BS179">
        <v>30</v>
      </c>
      <c r="BW179" t="str">
        <f>""</f>
        <v/>
      </c>
      <c r="CH179" t="str">
        <f>""</f>
        <v/>
      </c>
      <c r="CS179" t="str">
        <f>""</f>
        <v/>
      </c>
    </row>
    <row r="180" spans="1:97" x14ac:dyDescent="0.25">
      <c r="A180" t="s">
        <v>701</v>
      </c>
      <c r="B180" t="s">
        <v>1485</v>
      </c>
      <c r="C180" t="s">
        <v>1486</v>
      </c>
      <c r="D180" t="s">
        <v>1485</v>
      </c>
      <c r="E180" t="s">
        <v>1487</v>
      </c>
      <c r="F180" t="s">
        <v>108</v>
      </c>
      <c r="H180" t="s">
        <v>1488</v>
      </c>
      <c r="I180" t="s">
        <v>110</v>
      </c>
      <c r="J180" t="s">
        <v>111</v>
      </c>
      <c r="K180" t="str">
        <f>"85249"</f>
        <v>85249</v>
      </c>
      <c r="L180" t="s">
        <v>112</v>
      </c>
      <c r="M180" t="s">
        <v>1488</v>
      </c>
      <c r="N180" t="s">
        <v>110</v>
      </c>
      <c r="O180" t="s">
        <v>111</v>
      </c>
      <c r="P180" t="str">
        <f>"85249-5590"</f>
        <v>85249-5590</v>
      </c>
      <c r="Q180" t="s">
        <v>113</v>
      </c>
      <c r="R180" t="str">
        <f>"303-88-387"</f>
        <v>303-88-387</v>
      </c>
      <c r="S180" t="s">
        <v>400</v>
      </c>
      <c r="T180" t="s">
        <v>401</v>
      </c>
      <c r="U180">
        <v>3036</v>
      </c>
      <c r="W180">
        <v>4</v>
      </c>
      <c r="X180">
        <v>2015</v>
      </c>
      <c r="Z180">
        <v>2</v>
      </c>
      <c r="AA180" t="s">
        <v>26</v>
      </c>
      <c r="AC180" t="s">
        <v>115</v>
      </c>
      <c r="AD180">
        <v>3</v>
      </c>
      <c r="AE180" t="s">
        <v>115</v>
      </c>
      <c r="AH180" t="s">
        <v>116</v>
      </c>
      <c r="AI180" s="1">
        <v>48292</v>
      </c>
      <c r="AJ180" s="2">
        <v>0.09</v>
      </c>
      <c r="AK180" s="1">
        <v>535693</v>
      </c>
      <c r="AL180" t="s">
        <v>117</v>
      </c>
      <c r="AM180" t="s">
        <v>118</v>
      </c>
      <c r="AN180">
        <v>13326</v>
      </c>
      <c r="AO180">
        <v>0.31</v>
      </c>
      <c r="AR180">
        <v>1</v>
      </c>
      <c r="AS180" s="1">
        <v>41650</v>
      </c>
      <c r="AT180" s="1">
        <v>8330</v>
      </c>
      <c r="AU180" s="1">
        <v>33320</v>
      </c>
      <c r="AV180">
        <v>80</v>
      </c>
      <c r="AX180" s="1">
        <v>3477.34</v>
      </c>
      <c r="AY180" t="s">
        <v>119</v>
      </c>
      <c r="AZ180" t="s">
        <v>120</v>
      </c>
      <c r="BA180" t="s">
        <v>121</v>
      </c>
      <c r="BE180" s="3">
        <v>42328</v>
      </c>
      <c r="BF180" s="1">
        <v>510868</v>
      </c>
      <c r="BG180" t="s">
        <v>122</v>
      </c>
      <c r="BH180" s="1">
        <v>168.27</v>
      </c>
      <c r="BI180" s="1">
        <v>487401</v>
      </c>
      <c r="BJ180" s="3">
        <v>42328</v>
      </c>
      <c r="BK180" t="s">
        <v>123</v>
      </c>
      <c r="BL180" t="str">
        <f>"2015.829509"</f>
        <v>2015.829509</v>
      </c>
      <c r="BM180" t="s">
        <v>475</v>
      </c>
      <c r="BO180" t="s">
        <v>1489</v>
      </c>
      <c r="BS180">
        <v>30</v>
      </c>
      <c r="BW180" t="str">
        <f>""</f>
        <v/>
      </c>
      <c r="CH180" t="str">
        <f>""</f>
        <v/>
      </c>
      <c r="CS180" t="str">
        <f>""</f>
        <v/>
      </c>
    </row>
    <row r="181" spans="1:97" x14ac:dyDescent="0.25">
      <c r="A181" t="s">
        <v>1490</v>
      </c>
      <c r="B181" t="s">
        <v>1089</v>
      </c>
      <c r="E181" t="s">
        <v>1491</v>
      </c>
      <c r="F181" t="s">
        <v>108</v>
      </c>
      <c r="H181" t="s">
        <v>1492</v>
      </c>
      <c r="I181" t="s">
        <v>144</v>
      </c>
      <c r="J181" t="s">
        <v>111</v>
      </c>
      <c r="K181" t="str">
        <f>"85396"</f>
        <v>85396</v>
      </c>
      <c r="L181" t="s">
        <v>541</v>
      </c>
      <c r="M181" t="s">
        <v>1492</v>
      </c>
      <c r="N181" t="s">
        <v>144</v>
      </c>
      <c r="O181" t="s">
        <v>111</v>
      </c>
      <c r="P181" t="str">
        <f>"85396-7902"</f>
        <v>85396-7902</v>
      </c>
      <c r="Q181" t="s">
        <v>113</v>
      </c>
      <c r="R181" t="str">
        <f>"502-82-249"</f>
        <v>502-82-249</v>
      </c>
      <c r="S181" t="s">
        <v>542</v>
      </c>
      <c r="U181">
        <v>3399</v>
      </c>
      <c r="W181">
        <v>5</v>
      </c>
      <c r="X181">
        <v>2014</v>
      </c>
      <c r="Z181">
        <v>2</v>
      </c>
      <c r="AC181" t="s">
        <v>115</v>
      </c>
      <c r="AD181">
        <v>3</v>
      </c>
      <c r="AE181" t="s">
        <v>115</v>
      </c>
      <c r="AH181" t="s">
        <v>116</v>
      </c>
      <c r="AI181" s="1">
        <v>105124</v>
      </c>
      <c r="AJ181" s="2">
        <v>0.22</v>
      </c>
      <c r="AK181" s="1">
        <v>482124</v>
      </c>
      <c r="AL181" t="s">
        <v>117</v>
      </c>
      <c r="AM181" t="s">
        <v>118</v>
      </c>
      <c r="AN181">
        <v>12934</v>
      </c>
      <c r="AO181">
        <v>0.3</v>
      </c>
      <c r="AR181">
        <v>1</v>
      </c>
      <c r="AS181" s="1">
        <v>37180</v>
      </c>
      <c r="AT181" s="1">
        <v>7430</v>
      </c>
      <c r="AU181" s="1">
        <v>29750</v>
      </c>
      <c r="AV181">
        <v>80.02</v>
      </c>
      <c r="AX181" s="1">
        <v>4714.8999999999996</v>
      </c>
      <c r="AY181" t="s">
        <v>543</v>
      </c>
      <c r="AZ181" t="s">
        <v>504</v>
      </c>
      <c r="BA181" t="s">
        <v>218</v>
      </c>
      <c r="BB181" s="3">
        <v>43089</v>
      </c>
      <c r="BD181" t="s">
        <v>157</v>
      </c>
      <c r="BE181" s="3">
        <v>41908</v>
      </c>
      <c r="BF181" s="1">
        <v>377542</v>
      </c>
      <c r="BG181" t="s">
        <v>209</v>
      </c>
      <c r="BH181" s="1">
        <v>111.07</v>
      </c>
      <c r="BI181" s="1">
        <v>377000</v>
      </c>
      <c r="BJ181" s="3">
        <v>42677</v>
      </c>
      <c r="BK181" t="s">
        <v>123</v>
      </c>
      <c r="BL181" t="str">
        <f>"2016.811014"</f>
        <v>2016.811014</v>
      </c>
      <c r="BM181" t="s">
        <v>1493</v>
      </c>
      <c r="BO181" t="s">
        <v>1494</v>
      </c>
      <c r="BS181">
        <v>30</v>
      </c>
      <c r="BW181" t="str">
        <f>""</f>
        <v/>
      </c>
      <c r="CH181" t="str">
        <f>""</f>
        <v/>
      </c>
      <c r="CS181" t="str">
        <f>""</f>
        <v/>
      </c>
    </row>
    <row r="182" spans="1:97" x14ac:dyDescent="0.25">
      <c r="A182" t="s">
        <v>464</v>
      </c>
      <c r="B182" t="s">
        <v>1495</v>
      </c>
      <c r="C182" t="s">
        <v>1496</v>
      </c>
      <c r="D182" t="s">
        <v>1495</v>
      </c>
      <c r="E182" t="s">
        <v>1497</v>
      </c>
      <c r="F182" t="s">
        <v>108</v>
      </c>
      <c r="H182" t="s">
        <v>1498</v>
      </c>
      <c r="I182" t="s">
        <v>110</v>
      </c>
      <c r="J182" t="s">
        <v>111</v>
      </c>
      <c r="K182" t="str">
        <f>"85249"</f>
        <v>85249</v>
      </c>
      <c r="L182" t="s">
        <v>112</v>
      </c>
      <c r="M182" t="s">
        <v>1498</v>
      </c>
      <c r="N182" t="s">
        <v>110</v>
      </c>
      <c r="O182" t="s">
        <v>111</v>
      </c>
      <c r="P182" t="str">
        <f>"85249-6977"</f>
        <v>85249-6977</v>
      </c>
      <c r="Q182" t="s">
        <v>113</v>
      </c>
      <c r="R182" t="str">
        <f>"303-88-371"</f>
        <v>303-88-371</v>
      </c>
      <c r="S182" t="s">
        <v>400</v>
      </c>
      <c r="T182" t="s">
        <v>401</v>
      </c>
      <c r="U182">
        <v>3308</v>
      </c>
      <c r="W182">
        <v>4</v>
      </c>
      <c r="X182">
        <v>2014</v>
      </c>
      <c r="Z182">
        <v>2</v>
      </c>
      <c r="AA182" t="s">
        <v>26</v>
      </c>
      <c r="AC182" t="s">
        <v>115</v>
      </c>
      <c r="AD182">
        <v>3</v>
      </c>
      <c r="AE182" t="s">
        <v>115</v>
      </c>
      <c r="AH182" t="s">
        <v>116</v>
      </c>
      <c r="AI182" s="1">
        <v>149224</v>
      </c>
      <c r="AJ182" s="2">
        <v>0.28000000000000003</v>
      </c>
      <c r="AK182" s="1">
        <v>536524</v>
      </c>
      <c r="AL182" t="s">
        <v>117</v>
      </c>
      <c r="AM182" t="s">
        <v>118</v>
      </c>
      <c r="AN182">
        <v>8738</v>
      </c>
      <c r="AO182">
        <v>0.2</v>
      </c>
      <c r="AR182">
        <v>1</v>
      </c>
      <c r="AS182" s="1">
        <v>40830</v>
      </c>
      <c r="AT182" s="1">
        <v>8160</v>
      </c>
      <c r="AU182" s="1">
        <v>32670</v>
      </c>
      <c r="AV182">
        <v>80.010000000000005</v>
      </c>
      <c r="AX182" s="1">
        <v>3429.52</v>
      </c>
      <c r="AY182" t="s">
        <v>119</v>
      </c>
      <c r="AZ182" t="s">
        <v>120</v>
      </c>
      <c r="BA182" t="s">
        <v>121</v>
      </c>
      <c r="BE182" s="3">
        <v>41816</v>
      </c>
      <c r="BF182" s="1">
        <v>444104</v>
      </c>
      <c r="BG182" t="s">
        <v>122</v>
      </c>
      <c r="BH182" s="1">
        <v>134.25</v>
      </c>
      <c r="BI182" s="1">
        <v>387300</v>
      </c>
      <c r="BJ182" s="3">
        <v>41816</v>
      </c>
      <c r="BK182" t="s">
        <v>123</v>
      </c>
      <c r="BL182" t="str">
        <f>"2014.419346"</f>
        <v>2014.419346</v>
      </c>
      <c r="BM182" t="s">
        <v>131</v>
      </c>
      <c r="BO182" t="s">
        <v>1499</v>
      </c>
      <c r="BS182">
        <v>30</v>
      </c>
      <c r="BW182" t="str">
        <f>""</f>
        <v/>
      </c>
      <c r="CH182" t="str">
        <f>""</f>
        <v/>
      </c>
      <c r="CS182" t="str">
        <f>""</f>
        <v/>
      </c>
    </row>
    <row r="183" spans="1:97" x14ac:dyDescent="0.25">
      <c r="A183" t="s">
        <v>1500</v>
      </c>
      <c r="B183" t="s">
        <v>1501</v>
      </c>
      <c r="C183" t="s">
        <v>1502</v>
      </c>
      <c r="D183" t="s">
        <v>1501</v>
      </c>
      <c r="E183" t="s">
        <v>1503</v>
      </c>
      <c r="F183" t="s">
        <v>108</v>
      </c>
      <c r="H183" t="s">
        <v>1504</v>
      </c>
      <c r="I183" t="s">
        <v>203</v>
      </c>
      <c r="J183" t="s">
        <v>111</v>
      </c>
      <c r="K183" t="str">
        <f>"85298"</f>
        <v>85298</v>
      </c>
      <c r="L183" t="s">
        <v>681</v>
      </c>
      <c r="M183" t="s">
        <v>1504</v>
      </c>
      <c r="N183" t="s">
        <v>203</v>
      </c>
      <c r="O183" t="s">
        <v>111</v>
      </c>
      <c r="P183" t="str">
        <f>"85298"</f>
        <v>85298</v>
      </c>
      <c r="Q183" t="s">
        <v>113</v>
      </c>
      <c r="R183" t="str">
        <f>"304-87-648"</f>
        <v>304-87-648</v>
      </c>
      <c r="S183" t="s">
        <v>682</v>
      </c>
      <c r="U183">
        <v>3631</v>
      </c>
      <c r="W183">
        <v>5</v>
      </c>
      <c r="X183">
        <v>2015</v>
      </c>
      <c r="Z183">
        <v>2</v>
      </c>
      <c r="AC183" t="s">
        <v>115</v>
      </c>
      <c r="AD183">
        <v>3</v>
      </c>
      <c r="AE183" t="s">
        <v>115</v>
      </c>
      <c r="AH183" t="s">
        <v>116</v>
      </c>
      <c r="AI183" s="1">
        <v>87273</v>
      </c>
      <c r="AJ183" s="2">
        <v>0.17</v>
      </c>
      <c r="AK183" s="1">
        <v>499223</v>
      </c>
      <c r="AL183" t="s">
        <v>117</v>
      </c>
      <c r="AM183" t="s">
        <v>393</v>
      </c>
      <c r="AN183">
        <v>7200</v>
      </c>
      <c r="AO183">
        <v>0.16</v>
      </c>
      <c r="AR183">
        <v>1</v>
      </c>
      <c r="AS183" s="1">
        <v>35910</v>
      </c>
      <c r="AT183" s="1">
        <v>7180</v>
      </c>
      <c r="AU183" s="1">
        <v>28730</v>
      </c>
      <c r="AV183">
        <v>80.010000000000005</v>
      </c>
      <c r="AX183" s="1">
        <v>3118.66</v>
      </c>
      <c r="AY183" t="s">
        <v>289</v>
      </c>
      <c r="AZ183" t="s">
        <v>289</v>
      </c>
      <c r="BA183" t="s">
        <v>290</v>
      </c>
      <c r="BE183" s="3">
        <v>42443</v>
      </c>
      <c r="BF183" s="1">
        <v>413495</v>
      </c>
      <c r="BG183" t="s">
        <v>209</v>
      </c>
      <c r="BH183" s="1">
        <v>113.88</v>
      </c>
      <c r="BI183" s="1">
        <v>411950</v>
      </c>
      <c r="BJ183" s="3">
        <v>42683</v>
      </c>
      <c r="BK183" t="s">
        <v>123</v>
      </c>
      <c r="BL183" t="str">
        <f>"2016.829225"</f>
        <v>2016.829225</v>
      </c>
      <c r="BM183" t="s">
        <v>425</v>
      </c>
      <c r="BO183" t="s">
        <v>1505</v>
      </c>
      <c r="BS183">
        <v>30</v>
      </c>
      <c r="BW183" t="str">
        <f>""</f>
        <v/>
      </c>
      <c r="CH183" t="str">
        <f>""</f>
        <v/>
      </c>
      <c r="CS183" t="str">
        <f>""</f>
        <v/>
      </c>
    </row>
    <row r="184" spans="1:97" x14ac:dyDescent="0.25">
      <c r="A184" t="s">
        <v>1160</v>
      </c>
      <c r="B184" t="s">
        <v>1506</v>
      </c>
      <c r="C184" t="s">
        <v>1507</v>
      </c>
      <c r="D184" t="s">
        <v>1506</v>
      </c>
      <c r="E184" t="s">
        <v>1508</v>
      </c>
      <c r="F184" t="s">
        <v>108</v>
      </c>
      <c r="H184" t="s">
        <v>1509</v>
      </c>
      <c r="I184" t="s">
        <v>225</v>
      </c>
      <c r="J184" t="s">
        <v>111</v>
      </c>
      <c r="K184" t="str">
        <f>"85212"</f>
        <v>85212</v>
      </c>
      <c r="L184" t="s">
        <v>558</v>
      </c>
      <c r="M184" t="s">
        <v>1509</v>
      </c>
      <c r="N184" t="s">
        <v>225</v>
      </c>
      <c r="O184" t="s">
        <v>111</v>
      </c>
      <c r="P184" t="str">
        <f>"85212-8108"</f>
        <v>85212-8108</v>
      </c>
      <c r="Q184" t="s">
        <v>113</v>
      </c>
      <c r="R184" t="str">
        <f>"304-50-730"</f>
        <v>304-50-730</v>
      </c>
      <c r="S184" t="s">
        <v>650</v>
      </c>
      <c r="U184">
        <v>3167</v>
      </c>
      <c r="W184">
        <v>4</v>
      </c>
      <c r="X184">
        <v>2015</v>
      </c>
      <c r="Z184">
        <v>2</v>
      </c>
      <c r="AA184" t="s">
        <v>26</v>
      </c>
      <c r="AC184" t="s">
        <v>115</v>
      </c>
      <c r="AD184">
        <v>2</v>
      </c>
      <c r="AE184" t="s">
        <v>115</v>
      </c>
      <c r="AH184" t="s">
        <v>116</v>
      </c>
      <c r="AI184" s="1">
        <v>37266</v>
      </c>
      <c r="AJ184" s="2">
        <v>0.09</v>
      </c>
      <c r="AK184" s="1">
        <v>423119</v>
      </c>
      <c r="AL184" t="s">
        <v>117</v>
      </c>
      <c r="AM184" t="s">
        <v>118</v>
      </c>
      <c r="AN184">
        <v>6234</v>
      </c>
      <c r="AO184">
        <v>0.14000000000000001</v>
      </c>
      <c r="AR184">
        <v>1</v>
      </c>
      <c r="AS184" s="1">
        <v>30260</v>
      </c>
      <c r="AT184" s="1">
        <v>6050</v>
      </c>
      <c r="AU184" s="1">
        <v>24210</v>
      </c>
      <c r="AV184">
        <v>80.010000000000005</v>
      </c>
      <c r="AX184" s="1">
        <v>4107.68</v>
      </c>
      <c r="AY184" t="s">
        <v>560</v>
      </c>
      <c r="AZ184" t="s">
        <v>561</v>
      </c>
      <c r="BA184" t="s">
        <v>194</v>
      </c>
      <c r="BE184" s="3">
        <v>42158</v>
      </c>
      <c r="BF184" s="1">
        <v>295657</v>
      </c>
      <c r="BG184" t="s">
        <v>275</v>
      </c>
      <c r="BH184" s="1">
        <v>93.36</v>
      </c>
      <c r="BI184" s="1">
        <v>385853</v>
      </c>
      <c r="BJ184" s="3">
        <v>43642</v>
      </c>
      <c r="BK184" t="s">
        <v>123</v>
      </c>
      <c r="BL184" t="str">
        <f>"2019.481931"</f>
        <v>2019.481931</v>
      </c>
      <c r="BM184" t="s">
        <v>1510</v>
      </c>
      <c r="BN184" t="s">
        <v>1511</v>
      </c>
      <c r="BO184" t="s">
        <v>1512</v>
      </c>
      <c r="BP184" t="s">
        <v>1513</v>
      </c>
      <c r="BR184" t="s">
        <v>139</v>
      </c>
      <c r="BW184" t="str">
        <f>""</f>
        <v/>
      </c>
      <c r="CH184" t="str">
        <f>""</f>
        <v/>
      </c>
      <c r="CS184" t="str">
        <f>""</f>
        <v/>
      </c>
    </row>
    <row r="185" spans="1:97" x14ac:dyDescent="0.25">
      <c r="A185" t="s">
        <v>1514</v>
      </c>
      <c r="B185" t="s">
        <v>1515</v>
      </c>
      <c r="C185" t="s">
        <v>259</v>
      </c>
      <c r="D185" t="s">
        <v>1515</v>
      </c>
      <c r="E185" t="s">
        <v>1516</v>
      </c>
      <c r="F185" t="s">
        <v>108</v>
      </c>
      <c r="H185" t="s">
        <v>1517</v>
      </c>
      <c r="I185" t="s">
        <v>225</v>
      </c>
      <c r="J185" t="s">
        <v>111</v>
      </c>
      <c r="K185" t="str">
        <f>"85205"</f>
        <v>85205</v>
      </c>
      <c r="L185" t="s">
        <v>1518</v>
      </c>
      <c r="M185" t="s">
        <v>1517</v>
      </c>
      <c r="N185" t="s">
        <v>225</v>
      </c>
      <c r="O185" t="s">
        <v>111</v>
      </c>
      <c r="P185" t="str">
        <f>"85205-5171"</f>
        <v>85205-5171</v>
      </c>
      <c r="Q185" t="s">
        <v>113</v>
      </c>
      <c r="R185" t="str">
        <f>"140-04-161"</f>
        <v>140-04-161</v>
      </c>
      <c r="S185" t="s">
        <v>1519</v>
      </c>
      <c r="T185" t="s">
        <v>1520</v>
      </c>
      <c r="U185">
        <v>3349</v>
      </c>
      <c r="W185">
        <v>4</v>
      </c>
      <c r="X185">
        <v>2014</v>
      </c>
      <c r="Z185">
        <v>1</v>
      </c>
      <c r="AA185" t="s">
        <v>26</v>
      </c>
      <c r="AC185" t="s">
        <v>115</v>
      </c>
      <c r="AD185">
        <v>3</v>
      </c>
      <c r="AE185" t="s">
        <v>115</v>
      </c>
      <c r="AH185" t="s">
        <v>116</v>
      </c>
      <c r="AI185" s="1">
        <v>130477</v>
      </c>
      <c r="AJ185" s="2">
        <v>0.22</v>
      </c>
      <c r="AK185" s="1">
        <v>596101</v>
      </c>
      <c r="AL185" t="s">
        <v>117</v>
      </c>
      <c r="AM185" t="s">
        <v>1521</v>
      </c>
      <c r="AN185">
        <v>12601</v>
      </c>
      <c r="AO185">
        <v>0.28999999999999998</v>
      </c>
      <c r="AR185">
        <v>1</v>
      </c>
      <c r="AS185" s="1">
        <v>45280</v>
      </c>
      <c r="AT185" s="1">
        <v>9050</v>
      </c>
      <c r="AU185" s="1">
        <v>36230</v>
      </c>
      <c r="AV185">
        <v>80.010000000000005</v>
      </c>
      <c r="AX185" s="1">
        <v>3580.56</v>
      </c>
      <c r="AY185" t="s">
        <v>1522</v>
      </c>
      <c r="AZ185" t="s">
        <v>1523</v>
      </c>
      <c r="BA185" t="s">
        <v>1524</v>
      </c>
      <c r="BE185" s="3">
        <v>42124</v>
      </c>
      <c r="BF185" s="1">
        <v>462000</v>
      </c>
      <c r="BG185" t="s">
        <v>275</v>
      </c>
      <c r="BH185" s="1">
        <v>137.94999999999999</v>
      </c>
      <c r="BI185" s="1">
        <v>465624</v>
      </c>
      <c r="BJ185" s="3">
        <v>42124</v>
      </c>
      <c r="BK185" t="s">
        <v>123</v>
      </c>
      <c r="BL185" t="str">
        <f>"2015.305566"</f>
        <v>2015.305566</v>
      </c>
      <c r="BM185" t="s">
        <v>651</v>
      </c>
      <c r="BO185" t="s">
        <v>1525</v>
      </c>
      <c r="BS185">
        <v>30</v>
      </c>
      <c r="BW185" t="str">
        <f>""</f>
        <v/>
      </c>
      <c r="CH185" t="str">
        <f>""</f>
        <v/>
      </c>
      <c r="CS185" t="str">
        <f>""</f>
        <v/>
      </c>
    </row>
    <row r="186" spans="1:97" x14ac:dyDescent="0.25">
      <c r="A186" t="s">
        <v>1526</v>
      </c>
      <c r="B186" t="s">
        <v>1527</v>
      </c>
      <c r="C186" t="s">
        <v>179</v>
      </c>
      <c r="D186" t="s">
        <v>1527</v>
      </c>
      <c r="E186" t="s">
        <v>1528</v>
      </c>
      <c r="F186" t="s">
        <v>108</v>
      </c>
      <c r="H186" t="s">
        <v>1529</v>
      </c>
      <c r="I186" t="s">
        <v>203</v>
      </c>
      <c r="J186" t="s">
        <v>111</v>
      </c>
      <c r="K186" t="str">
        <f>"85296"</f>
        <v>85296</v>
      </c>
      <c r="L186" t="s">
        <v>516</v>
      </c>
      <c r="M186" t="s">
        <v>1529</v>
      </c>
      <c r="N186" t="s">
        <v>203</v>
      </c>
      <c r="O186" t="s">
        <v>111</v>
      </c>
      <c r="P186" t="str">
        <f>"85296-1201"</f>
        <v>85296-1201</v>
      </c>
      <c r="Q186" t="s">
        <v>113</v>
      </c>
      <c r="R186" t="str">
        <f>"304-70-808"</f>
        <v>304-70-808</v>
      </c>
      <c r="S186" t="s">
        <v>517</v>
      </c>
      <c r="T186" t="s">
        <v>518</v>
      </c>
      <c r="U186">
        <v>2195</v>
      </c>
      <c r="W186">
        <v>4</v>
      </c>
      <c r="X186">
        <v>2014</v>
      </c>
      <c r="Z186">
        <v>1</v>
      </c>
      <c r="AC186" t="s">
        <v>115</v>
      </c>
      <c r="AD186">
        <v>3</v>
      </c>
      <c r="AE186" t="s">
        <v>115</v>
      </c>
      <c r="AH186" t="s">
        <v>116</v>
      </c>
      <c r="AI186" s="1">
        <v>121303</v>
      </c>
      <c r="AJ186" s="2">
        <v>0.28999999999999998</v>
      </c>
      <c r="AK186" s="1">
        <v>411265</v>
      </c>
      <c r="AL186" t="s">
        <v>117</v>
      </c>
      <c r="AM186" t="s">
        <v>191</v>
      </c>
      <c r="AN186">
        <v>7200</v>
      </c>
      <c r="AO186">
        <v>0.16</v>
      </c>
      <c r="AR186">
        <v>1</v>
      </c>
      <c r="AS186" s="1">
        <v>31700</v>
      </c>
      <c r="AT186" s="1">
        <v>6340</v>
      </c>
      <c r="AU186" s="1">
        <v>25360</v>
      </c>
      <c r="AV186">
        <v>80</v>
      </c>
      <c r="AX186" s="1">
        <v>2907.52</v>
      </c>
      <c r="AY186" t="s">
        <v>519</v>
      </c>
      <c r="AZ186" t="s">
        <v>520</v>
      </c>
      <c r="BA186" t="s">
        <v>521</v>
      </c>
      <c r="BE186" s="3">
        <v>41684</v>
      </c>
      <c r="BF186" s="1">
        <v>357979</v>
      </c>
      <c r="BG186" t="s">
        <v>275</v>
      </c>
      <c r="BH186" s="1">
        <v>163.09</v>
      </c>
      <c r="BI186" s="1">
        <v>289962</v>
      </c>
      <c r="BJ186" s="3">
        <v>41684</v>
      </c>
      <c r="BK186" t="s">
        <v>123</v>
      </c>
      <c r="BL186" t="str">
        <f>"2014.101482"</f>
        <v>2014.101482</v>
      </c>
      <c r="BM186" t="s">
        <v>628</v>
      </c>
      <c r="BO186" t="s">
        <v>1530</v>
      </c>
      <c r="BS186">
        <v>30</v>
      </c>
      <c r="BW186" t="str">
        <f>""</f>
        <v/>
      </c>
      <c r="CH186" t="str">
        <f>""</f>
        <v/>
      </c>
      <c r="CS186" t="str">
        <f>""</f>
        <v/>
      </c>
    </row>
    <row r="187" spans="1:97" x14ac:dyDescent="0.25">
      <c r="A187" t="s">
        <v>1531</v>
      </c>
      <c r="B187" t="s">
        <v>1532</v>
      </c>
      <c r="C187" t="s">
        <v>1533</v>
      </c>
      <c r="D187" t="s">
        <v>1534</v>
      </c>
      <c r="E187" t="s">
        <v>1535</v>
      </c>
      <c r="F187" t="s">
        <v>108</v>
      </c>
      <c r="H187" t="s">
        <v>1536</v>
      </c>
      <c r="I187" t="s">
        <v>203</v>
      </c>
      <c r="J187" t="s">
        <v>111</v>
      </c>
      <c r="K187" t="str">
        <f>"85296"</f>
        <v>85296</v>
      </c>
      <c r="L187" t="s">
        <v>469</v>
      </c>
      <c r="M187" t="s">
        <v>1536</v>
      </c>
      <c r="N187" t="s">
        <v>203</v>
      </c>
      <c r="O187" t="s">
        <v>111</v>
      </c>
      <c r="P187" t="str">
        <f>"85296-2873"</f>
        <v>85296-2873</v>
      </c>
      <c r="Q187" t="s">
        <v>113</v>
      </c>
      <c r="R187" t="str">
        <f>"313-14-903"</f>
        <v>313-14-903</v>
      </c>
      <c r="S187" t="s">
        <v>600</v>
      </c>
      <c r="T187" t="s">
        <v>471</v>
      </c>
      <c r="U187">
        <v>2849</v>
      </c>
      <c r="W187">
        <v>4</v>
      </c>
      <c r="X187">
        <v>2014</v>
      </c>
      <c r="Z187">
        <v>2</v>
      </c>
      <c r="AC187" t="s">
        <v>115</v>
      </c>
      <c r="AD187">
        <v>2</v>
      </c>
      <c r="AE187" t="s">
        <v>115</v>
      </c>
      <c r="AH187" t="s">
        <v>116</v>
      </c>
      <c r="AI187" s="1">
        <v>84958</v>
      </c>
      <c r="AJ187" s="2">
        <v>0.22</v>
      </c>
      <c r="AK187" s="1">
        <v>383342</v>
      </c>
      <c r="AL187" t="s">
        <v>117</v>
      </c>
      <c r="AM187" t="s">
        <v>288</v>
      </c>
      <c r="AN187">
        <v>4603</v>
      </c>
      <c r="AO187">
        <v>0.11</v>
      </c>
      <c r="AR187">
        <v>1</v>
      </c>
      <c r="AS187" s="1">
        <v>28000</v>
      </c>
      <c r="AT187" s="1">
        <v>5600</v>
      </c>
      <c r="AU187" s="1">
        <v>22400</v>
      </c>
      <c r="AV187">
        <v>80</v>
      </c>
      <c r="AX187" s="1">
        <v>2314.96</v>
      </c>
      <c r="AY187" t="s">
        <v>472</v>
      </c>
      <c r="AZ187" t="s">
        <v>472</v>
      </c>
      <c r="BA187" t="s">
        <v>473</v>
      </c>
      <c r="BE187" s="3">
        <v>41894</v>
      </c>
      <c r="BF187" s="1">
        <v>297621</v>
      </c>
      <c r="BG187" t="s">
        <v>122</v>
      </c>
      <c r="BH187" s="1">
        <v>104.47</v>
      </c>
      <c r="BI187" s="1">
        <v>298384</v>
      </c>
      <c r="BJ187" s="3">
        <v>42544</v>
      </c>
      <c r="BK187" t="s">
        <v>123</v>
      </c>
      <c r="BL187" t="str">
        <f>"2016.440251"</f>
        <v>2016.440251</v>
      </c>
      <c r="BM187" t="s">
        <v>425</v>
      </c>
      <c r="BO187" t="s">
        <v>1537</v>
      </c>
      <c r="BP187" t="s">
        <v>1538</v>
      </c>
      <c r="BS187">
        <v>30</v>
      </c>
      <c r="BW187" t="str">
        <f>""</f>
        <v/>
      </c>
      <c r="CH187" t="str">
        <f>""</f>
        <v/>
      </c>
      <c r="CS187" t="str">
        <f>""</f>
        <v/>
      </c>
    </row>
    <row r="188" spans="1:97" x14ac:dyDescent="0.25">
      <c r="A188" t="s">
        <v>305</v>
      </c>
      <c r="B188" t="s">
        <v>1539</v>
      </c>
      <c r="C188" t="s">
        <v>1540</v>
      </c>
      <c r="D188" t="s">
        <v>1539</v>
      </c>
      <c r="E188" t="s">
        <v>1541</v>
      </c>
      <c r="F188" t="s">
        <v>108</v>
      </c>
      <c r="H188" t="s">
        <v>1542</v>
      </c>
      <c r="I188" t="s">
        <v>203</v>
      </c>
      <c r="J188" t="s">
        <v>111</v>
      </c>
      <c r="K188" t="str">
        <f>"85298"</f>
        <v>85298</v>
      </c>
      <c r="L188" t="s">
        <v>337</v>
      </c>
      <c r="M188" t="s">
        <v>1542</v>
      </c>
      <c r="N188" t="s">
        <v>203</v>
      </c>
      <c r="O188" t="s">
        <v>111</v>
      </c>
      <c r="P188" t="str">
        <f>"85298-7412"</f>
        <v>85298-7412</v>
      </c>
      <c r="Q188" t="s">
        <v>113</v>
      </c>
      <c r="R188" t="str">
        <f>"304-86-234"</f>
        <v>304-86-234</v>
      </c>
      <c r="S188" t="s">
        <v>409</v>
      </c>
      <c r="T188" t="s">
        <v>271</v>
      </c>
      <c r="U188">
        <v>3042</v>
      </c>
      <c r="W188">
        <v>4</v>
      </c>
      <c r="X188">
        <v>2013</v>
      </c>
      <c r="Z188">
        <v>2</v>
      </c>
      <c r="AC188" t="s">
        <v>115</v>
      </c>
      <c r="AD188">
        <v>3</v>
      </c>
      <c r="AE188" t="s">
        <v>115</v>
      </c>
      <c r="AH188" t="s">
        <v>116</v>
      </c>
      <c r="AI188" s="1">
        <v>149030</v>
      </c>
      <c r="AJ188" s="2">
        <v>0.33</v>
      </c>
      <c r="AK188" s="1">
        <v>453765</v>
      </c>
      <c r="AL188" t="s">
        <v>117</v>
      </c>
      <c r="AM188" t="s">
        <v>191</v>
      </c>
      <c r="AN188">
        <v>7521</v>
      </c>
      <c r="AO188">
        <v>0.17</v>
      </c>
      <c r="AR188">
        <v>1</v>
      </c>
      <c r="AS188" s="1">
        <v>32430</v>
      </c>
      <c r="AT188" s="1">
        <v>6480</v>
      </c>
      <c r="AU188" s="1">
        <v>25950</v>
      </c>
      <c r="AV188">
        <v>80.02</v>
      </c>
      <c r="AX188" s="1">
        <v>2664.28</v>
      </c>
      <c r="AY188" t="s">
        <v>272</v>
      </c>
      <c r="AZ188" t="s">
        <v>273</v>
      </c>
      <c r="BA188" t="s">
        <v>274</v>
      </c>
      <c r="BE188" s="3">
        <v>41845</v>
      </c>
      <c r="BF188" s="1">
        <v>315000</v>
      </c>
      <c r="BG188" t="s">
        <v>1543</v>
      </c>
      <c r="BH188" s="1">
        <v>103.55</v>
      </c>
      <c r="BI188" s="1">
        <v>304735</v>
      </c>
      <c r="BJ188" s="3">
        <v>42396</v>
      </c>
      <c r="BK188" t="s">
        <v>123</v>
      </c>
      <c r="BL188" t="str">
        <f>"2016.53400"</f>
        <v>2016.53400</v>
      </c>
      <c r="BM188" t="s">
        <v>1544</v>
      </c>
      <c r="BO188" t="s">
        <v>1545</v>
      </c>
      <c r="BS188">
        <v>30</v>
      </c>
      <c r="BW188" t="str">
        <f>""</f>
        <v/>
      </c>
      <c r="CH188" t="str">
        <f>""</f>
        <v/>
      </c>
      <c r="CS188" t="str">
        <f>""</f>
        <v/>
      </c>
    </row>
    <row r="189" spans="1:97" x14ac:dyDescent="0.25">
      <c r="A189" t="s">
        <v>815</v>
      </c>
      <c r="B189" t="s">
        <v>1546</v>
      </c>
      <c r="C189" t="s">
        <v>1547</v>
      </c>
      <c r="D189" t="s">
        <v>1546</v>
      </c>
      <c r="E189" t="s">
        <v>1548</v>
      </c>
      <c r="F189" t="s">
        <v>108</v>
      </c>
      <c r="H189" t="s">
        <v>1549</v>
      </c>
      <c r="I189" t="s">
        <v>203</v>
      </c>
      <c r="J189" t="s">
        <v>111</v>
      </c>
      <c r="K189" t="str">
        <f>"85296"</f>
        <v>85296</v>
      </c>
      <c r="L189" t="s">
        <v>516</v>
      </c>
      <c r="M189" t="s">
        <v>1549</v>
      </c>
      <c r="N189" t="s">
        <v>203</v>
      </c>
      <c r="O189" t="s">
        <v>111</v>
      </c>
      <c r="P189" t="str">
        <f>"85296-3093"</f>
        <v>85296-3093</v>
      </c>
      <c r="Q189" t="s">
        <v>113</v>
      </c>
      <c r="R189" t="str">
        <f>"304-70-791"</f>
        <v>304-70-791</v>
      </c>
      <c r="S189" t="s">
        <v>517</v>
      </c>
      <c r="T189" t="s">
        <v>518</v>
      </c>
      <c r="U189">
        <v>2347</v>
      </c>
      <c r="W189">
        <v>4</v>
      </c>
      <c r="X189">
        <v>2014</v>
      </c>
      <c r="Z189">
        <v>1</v>
      </c>
      <c r="AC189" t="s">
        <v>115</v>
      </c>
      <c r="AD189">
        <v>3</v>
      </c>
      <c r="AE189" t="s">
        <v>115</v>
      </c>
      <c r="AH189" t="s">
        <v>116</v>
      </c>
      <c r="AI189" s="1">
        <v>85083</v>
      </c>
      <c r="AJ189" s="2">
        <v>0.19</v>
      </c>
      <c r="AK189" s="1">
        <v>446483</v>
      </c>
      <c r="AL189" t="s">
        <v>117</v>
      </c>
      <c r="AM189" t="s">
        <v>191</v>
      </c>
      <c r="AN189">
        <v>7200</v>
      </c>
      <c r="AO189">
        <v>0.16</v>
      </c>
      <c r="AR189">
        <v>1</v>
      </c>
      <c r="AS189" s="1">
        <v>32500</v>
      </c>
      <c r="AT189" s="1">
        <v>6500</v>
      </c>
      <c r="AU189" s="1">
        <v>26000</v>
      </c>
      <c r="AV189">
        <v>80</v>
      </c>
      <c r="AX189" s="1">
        <v>2375.5</v>
      </c>
      <c r="AY189" t="s">
        <v>519</v>
      </c>
      <c r="AZ189" t="s">
        <v>520</v>
      </c>
      <c r="BA189" t="s">
        <v>521</v>
      </c>
      <c r="BE189" s="3">
        <v>42062</v>
      </c>
      <c r="BF189" s="1">
        <v>349859</v>
      </c>
      <c r="BG189" t="s">
        <v>420</v>
      </c>
      <c r="BH189" s="1">
        <v>149.07</v>
      </c>
      <c r="BI189" s="1">
        <v>361400</v>
      </c>
      <c r="BJ189" s="3">
        <v>42062</v>
      </c>
      <c r="BK189" t="s">
        <v>123</v>
      </c>
      <c r="BL189" t="str">
        <f>"2015.133137"</f>
        <v>2015.133137</v>
      </c>
      <c r="BM189" t="s">
        <v>124</v>
      </c>
      <c r="BO189" t="s">
        <v>1550</v>
      </c>
      <c r="BS189">
        <v>30</v>
      </c>
      <c r="BW189" t="str">
        <f>""</f>
        <v/>
      </c>
      <c r="CH189" t="str">
        <f>""</f>
        <v/>
      </c>
      <c r="CS189" t="str">
        <f>""</f>
        <v/>
      </c>
    </row>
    <row r="190" spans="1:97" x14ac:dyDescent="0.25">
      <c r="B190" t="s">
        <v>1551</v>
      </c>
      <c r="E190" t="s">
        <v>1552</v>
      </c>
      <c r="F190" t="s">
        <v>108</v>
      </c>
      <c r="H190" t="s">
        <v>1553</v>
      </c>
      <c r="I190" t="s">
        <v>144</v>
      </c>
      <c r="J190" t="s">
        <v>111</v>
      </c>
      <c r="K190" t="str">
        <f>"85396"</f>
        <v>85396</v>
      </c>
      <c r="L190" t="s">
        <v>541</v>
      </c>
      <c r="M190" t="s">
        <v>1553</v>
      </c>
      <c r="N190" t="s">
        <v>144</v>
      </c>
      <c r="O190" t="s">
        <v>111</v>
      </c>
      <c r="P190" t="str">
        <f>"85396-3704"</f>
        <v>85396-3704</v>
      </c>
      <c r="Q190" t="s">
        <v>113</v>
      </c>
      <c r="R190" t="str">
        <f>"502-82-240"</f>
        <v>502-82-240</v>
      </c>
      <c r="S190" t="s">
        <v>542</v>
      </c>
      <c r="U190">
        <v>2868</v>
      </c>
      <c r="W190">
        <v>4</v>
      </c>
      <c r="X190">
        <v>2013</v>
      </c>
      <c r="Z190">
        <v>1</v>
      </c>
      <c r="AC190" t="s">
        <v>115</v>
      </c>
      <c r="AD190">
        <v>3</v>
      </c>
      <c r="AE190" t="s">
        <v>115</v>
      </c>
      <c r="AH190" t="s">
        <v>116</v>
      </c>
      <c r="AI190" s="1">
        <v>125341</v>
      </c>
      <c r="AJ190" s="2">
        <v>0.3</v>
      </c>
      <c r="AK190" s="1">
        <v>423741</v>
      </c>
      <c r="AL190" t="s">
        <v>117</v>
      </c>
      <c r="AM190" t="s">
        <v>118</v>
      </c>
      <c r="AN190">
        <v>9100</v>
      </c>
      <c r="AO190">
        <v>0.21</v>
      </c>
      <c r="AR190">
        <v>1</v>
      </c>
      <c r="AS190" s="1">
        <v>32150</v>
      </c>
      <c r="AT190" s="1">
        <v>6430</v>
      </c>
      <c r="AU190" s="1">
        <v>25720</v>
      </c>
      <c r="AV190">
        <v>80</v>
      </c>
      <c r="AX190" s="1">
        <v>3926.64</v>
      </c>
      <c r="AY190" t="s">
        <v>543</v>
      </c>
      <c r="AZ190" t="s">
        <v>504</v>
      </c>
      <c r="BA190" t="s">
        <v>218</v>
      </c>
      <c r="BB190" s="3">
        <v>42306</v>
      </c>
      <c r="BD190" t="s">
        <v>240</v>
      </c>
      <c r="BE190" s="3">
        <v>41689</v>
      </c>
      <c r="BF190" s="1">
        <v>379193</v>
      </c>
      <c r="BG190" t="s">
        <v>209</v>
      </c>
      <c r="BH190" s="1">
        <v>132.22</v>
      </c>
      <c r="BI190" s="1">
        <v>298400</v>
      </c>
      <c r="BJ190" s="3">
        <v>42088</v>
      </c>
      <c r="BK190" t="s">
        <v>123</v>
      </c>
      <c r="BL190" t="str">
        <f>"2015.200186"</f>
        <v>2015.200186</v>
      </c>
      <c r="BM190" t="s">
        <v>1554</v>
      </c>
      <c r="BO190" t="s">
        <v>1555</v>
      </c>
      <c r="BS190">
        <v>30</v>
      </c>
      <c r="BW190" t="str">
        <f>""</f>
        <v/>
      </c>
      <c r="CH190" t="str">
        <f>""</f>
        <v/>
      </c>
      <c r="CS190" t="str">
        <f>""</f>
        <v/>
      </c>
    </row>
    <row r="191" spans="1:97" x14ac:dyDescent="0.25">
      <c r="A191" t="s">
        <v>1514</v>
      </c>
      <c r="B191" t="s">
        <v>1556</v>
      </c>
      <c r="E191" t="s">
        <v>1557</v>
      </c>
      <c r="F191" t="s">
        <v>108</v>
      </c>
      <c r="H191" t="s">
        <v>1558</v>
      </c>
      <c r="I191" t="s">
        <v>203</v>
      </c>
      <c r="J191" t="s">
        <v>111</v>
      </c>
      <c r="K191" t="str">
        <f>"85297"</f>
        <v>85297</v>
      </c>
      <c r="L191" t="s">
        <v>388</v>
      </c>
      <c r="M191" t="s">
        <v>1558</v>
      </c>
      <c r="N191" t="s">
        <v>203</v>
      </c>
      <c r="O191" t="s">
        <v>111</v>
      </c>
      <c r="P191" t="str">
        <f>"85297-2173"</f>
        <v>85297-2173</v>
      </c>
      <c r="Q191" t="s">
        <v>113</v>
      </c>
      <c r="R191" t="str">
        <f>"304-53-441"</f>
        <v>304-53-441</v>
      </c>
      <c r="S191" t="s">
        <v>391</v>
      </c>
      <c r="T191" t="s">
        <v>392</v>
      </c>
      <c r="U191">
        <v>2826</v>
      </c>
      <c r="W191">
        <v>4</v>
      </c>
      <c r="X191">
        <v>2013</v>
      </c>
      <c r="Z191">
        <v>1</v>
      </c>
      <c r="AA191" t="s">
        <v>26</v>
      </c>
      <c r="AC191" t="s">
        <v>115</v>
      </c>
      <c r="AD191">
        <v>3</v>
      </c>
      <c r="AE191" t="s">
        <v>115</v>
      </c>
      <c r="AH191" t="s">
        <v>116</v>
      </c>
      <c r="AI191" s="1">
        <v>178534</v>
      </c>
      <c r="AJ191" s="2">
        <v>0.37</v>
      </c>
      <c r="AK191" s="1">
        <v>478534</v>
      </c>
      <c r="AL191" t="s">
        <v>117</v>
      </c>
      <c r="AM191" t="s">
        <v>393</v>
      </c>
      <c r="AN191">
        <v>8750</v>
      </c>
      <c r="AO191">
        <v>0.2</v>
      </c>
      <c r="AR191">
        <v>1</v>
      </c>
      <c r="AS191" s="1">
        <v>35970</v>
      </c>
      <c r="AT191" s="1">
        <v>7190</v>
      </c>
      <c r="AU191" s="1">
        <v>28780</v>
      </c>
      <c r="AV191">
        <v>80.010000000000005</v>
      </c>
      <c r="AX191" s="1">
        <v>3323.68</v>
      </c>
      <c r="AY191" t="s">
        <v>394</v>
      </c>
      <c r="AZ191" t="s">
        <v>394</v>
      </c>
      <c r="BA191" t="s">
        <v>290</v>
      </c>
      <c r="BE191" s="3">
        <v>42466</v>
      </c>
      <c r="BF191" s="1">
        <v>376500</v>
      </c>
      <c r="BG191" t="s">
        <v>1559</v>
      </c>
      <c r="BH191" s="1">
        <v>133.22999999999999</v>
      </c>
      <c r="BI191" s="1">
        <v>300000</v>
      </c>
      <c r="BJ191" s="3">
        <v>42466</v>
      </c>
      <c r="BK191" t="s">
        <v>123</v>
      </c>
      <c r="BL191" t="str">
        <f>"2016.226644"</f>
        <v>2016.226644</v>
      </c>
      <c r="BM191" t="s">
        <v>820</v>
      </c>
      <c r="BO191" t="s">
        <v>1560</v>
      </c>
      <c r="BS191">
        <v>30</v>
      </c>
      <c r="BW191" t="str">
        <f>""</f>
        <v/>
      </c>
      <c r="CH191" t="str">
        <f>""</f>
        <v/>
      </c>
      <c r="CS191" t="str">
        <f>""</f>
        <v/>
      </c>
    </row>
    <row r="192" spans="1:97" x14ac:dyDescent="0.25">
      <c r="A192" t="s">
        <v>817</v>
      </c>
      <c r="B192" t="s">
        <v>1561</v>
      </c>
      <c r="C192" t="s">
        <v>815</v>
      </c>
      <c r="D192" t="s">
        <v>1561</v>
      </c>
      <c r="E192" t="s">
        <v>1562</v>
      </c>
      <c r="F192" t="s">
        <v>108</v>
      </c>
      <c r="H192" t="s">
        <v>1563</v>
      </c>
      <c r="I192" t="s">
        <v>203</v>
      </c>
      <c r="J192" t="s">
        <v>111</v>
      </c>
      <c r="K192" t="str">
        <f>"85296"</f>
        <v>85296</v>
      </c>
      <c r="L192" t="s">
        <v>469</v>
      </c>
      <c r="M192" t="s">
        <v>1563</v>
      </c>
      <c r="N192" t="s">
        <v>203</v>
      </c>
      <c r="O192" t="s">
        <v>111</v>
      </c>
      <c r="P192" t="str">
        <f>"85296-1446"</f>
        <v>85296-1446</v>
      </c>
      <c r="Q192" t="s">
        <v>113</v>
      </c>
      <c r="R192" t="str">
        <f>"313-18-028"</f>
        <v>313-18-028</v>
      </c>
      <c r="S192" t="s">
        <v>552</v>
      </c>
      <c r="T192" t="s">
        <v>471</v>
      </c>
      <c r="U192">
        <v>2323</v>
      </c>
      <c r="W192">
        <v>4</v>
      </c>
      <c r="X192">
        <v>2014</v>
      </c>
      <c r="Z192">
        <v>2</v>
      </c>
      <c r="AC192" t="s">
        <v>115</v>
      </c>
      <c r="AD192">
        <v>2</v>
      </c>
      <c r="AE192" t="s">
        <v>115</v>
      </c>
      <c r="AH192" t="s">
        <v>116</v>
      </c>
      <c r="AI192" s="1">
        <v>109864</v>
      </c>
      <c r="AJ192" s="2">
        <v>0.31</v>
      </c>
      <c r="AK192" s="1">
        <v>352828</v>
      </c>
      <c r="AL192" t="s">
        <v>117</v>
      </c>
      <c r="AM192" t="s">
        <v>288</v>
      </c>
      <c r="AN192">
        <v>4025</v>
      </c>
      <c r="AO192">
        <v>0.92</v>
      </c>
      <c r="AR192">
        <v>1</v>
      </c>
      <c r="AS192" s="1">
        <v>24760</v>
      </c>
      <c r="AT192" s="1">
        <v>4950</v>
      </c>
      <c r="AU192" s="1">
        <v>19810</v>
      </c>
      <c r="AV192">
        <v>80.010000000000005</v>
      </c>
      <c r="AX192" s="1">
        <v>1996.98</v>
      </c>
      <c r="AY192" t="s">
        <v>472</v>
      </c>
      <c r="AZ192" t="s">
        <v>472</v>
      </c>
      <c r="BA192" t="s">
        <v>473</v>
      </c>
      <c r="BE192" s="3">
        <v>42016</v>
      </c>
      <c r="BF192" s="1">
        <v>269081</v>
      </c>
      <c r="BG192" t="s">
        <v>122</v>
      </c>
      <c r="BH192" s="1">
        <v>115.83</v>
      </c>
      <c r="BI192" s="1">
        <v>242964</v>
      </c>
      <c r="BJ192" s="3">
        <v>42016</v>
      </c>
      <c r="BK192" t="s">
        <v>123</v>
      </c>
      <c r="BL192" t="str">
        <f>"2015.18319"</f>
        <v>2015.18319</v>
      </c>
      <c r="BM192" t="s">
        <v>475</v>
      </c>
      <c r="BO192" t="s">
        <v>1564</v>
      </c>
      <c r="BS192">
        <v>30</v>
      </c>
      <c r="BW192" t="str">
        <f>""</f>
        <v/>
      </c>
      <c r="CH192" t="str">
        <f>""</f>
        <v/>
      </c>
      <c r="CS192" t="str">
        <f>""</f>
        <v/>
      </c>
    </row>
    <row r="193" spans="1:97" x14ac:dyDescent="0.25">
      <c r="A193" t="s">
        <v>1109</v>
      </c>
      <c r="B193" t="s">
        <v>1565</v>
      </c>
      <c r="C193" t="s">
        <v>1566</v>
      </c>
      <c r="D193" t="s">
        <v>1565</v>
      </c>
      <c r="E193" t="s">
        <v>1567</v>
      </c>
      <c r="F193" t="s">
        <v>108</v>
      </c>
      <c r="H193" t="s">
        <v>1568</v>
      </c>
      <c r="I193" t="s">
        <v>203</v>
      </c>
      <c r="J193" t="s">
        <v>111</v>
      </c>
      <c r="K193" t="str">
        <f>"85297"</f>
        <v>85297</v>
      </c>
      <c r="L193" t="s">
        <v>1569</v>
      </c>
      <c r="M193" t="s">
        <v>1568</v>
      </c>
      <c r="N193" t="s">
        <v>203</v>
      </c>
      <c r="O193" t="s">
        <v>111</v>
      </c>
      <c r="P193" t="str">
        <f>"85297-2175"</f>
        <v>85297-2175</v>
      </c>
      <c r="Q193" t="s">
        <v>113</v>
      </c>
      <c r="R193" t="str">
        <f>"304-53-494"</f>
        <v>304-53-494</v>
      </c>
      <c r="S193" t="s">
        <v>391</v>
      </c>
      <c r="T193" t="s">
        <v>392</v>
      </c>
      <c r="U193">
        <v>3771</v>
      </c>
      <c r="W193">
        <v>5</v>
      </c>
      <c r="X193">
        <v>2014</v>
      </c>
      <c r="Z193">
        <v>1</v>
      </c>
      <c r="AA193" t="s">
        <v>26</v>
      </c>
      <c r="AC193" t="s">
        <v>115</v>
      </c>
      <c r="AD193">
        <v>3</v>
      </c>
      <c r="AE193" t="s">
        <v>115</v>
      </c>
      <c r="AH193" t="s">
        <v>116</v>
      </c>
      <c r="AI193" s="1">
        <v>120748</v>
      </c>
      <c r="AJ193" s="2">
        <v>0.2</v>
      </c>
      <c r="AK193" s="1">
        <v>599874</v>
      </c>
      <c r="AL193" t="s">
        <v>117</v>
      </c>
      <c r="AM193" t="s">
        <v>723</v>
      </c>
      <c r="AN193">
        <v>11700</v>
      </c>
      <c r="AO193">
        <v>0.27</v>
      </c>
      <c r="AR193">
        <v>1</v>
      </c>
      <c r="AS193" s="1">
        <v>45900</v>
      </c>
      <c r="AT193" s="1">
        <v>9180</v>
      </c>
      <c r="AU193" s="1">
        <v>36720</v>
      </c>
      <c r="AV193">
        <v>80</v>
      </c>
      <c r="AX193" s="1">
        <v>4097.0200000000004</v>
      </c>
      <c r="AY193" t="s">
        <v>394</v>
      </c>
      <c r="AZ193" t="s">
        <v>394</v>
      </c>
      <c r="BA193" t="s">
        <v>290</v>
      </c>
      <c r="BE193" s="3">
        <v>42167</v>
      </c>
      <c r="BF193" s="1">
        <v>489900</v>
      </c>
      <c r="BG193" t="s">
        <v>209</v>
      </c>
      <c r="BH193" s="1">
        <v>129.91</v>
      </c>
      <c r="BI193" s="1">
        <v>479126</v>
      </c>
      <c r="BJ193" s="3">
        <v>42167</v>
      </c>
      <c r="BK193" t="s">
        <v>123</v>
      </c>
      <c r="BL193" t="str">
        <f>"2015.422230"</f>
        <v>2015.422230</v>
      </c>
      <c r="BM193" t="s">
        <v>175</v>
      </c>
      <c r="BO193" t="s">
        <v>1570</v>
      </c>
      <c r="BS193">
        <v>30</v>
      </c>
      <c r="BW193" t="str">
        <f>""</f>
        <v/>
      </c>
      <c r="CH193" t="str">
        <f>""</f>
        <v/>
      </c>
      <c r="CS193" t="str">
        <f>""</f>
        <v/>
      </c>
    </row>
    <row r="194" spans="1:97" x14ac:dyDescent="0.25">
      <c r="A194" t="s">
        <v>1571</v>
      </c>
      <c r="B194" t="s">
        <v>576</v>
      </c>
      <c r="C194" t="s">
        <v>1572</v>
      </c>
      <c r="D194" t="s">
        <v>576</v>
      </c>
      <c r="E194" t="s">
        <v>1573</v>
      </c>
      <c r="F194" t="s">
        <v>108</v>
      </c>
      <c r="H194" t="s">
        <v>1574</v>
      </c>
      <c r="I194" t="s">
        <v>110</v>
      </c>
      <c r="J194" t="s">
        <v>111</v>
      </c>
      <c r="K194" t="str">
        <f>"85249"</f>
        <v>85249</v>
      </c>
      <c r="L194" t="s">
        <v>417</v>
      </c>
      <c r="M194" t="s">
        <v>1574</v>
      </c>
      <c r="N194" t="s">
        <v>110</v>
      </c>
      <c r="O194" t="s">
        <v>111</v>
      </c>
      <c r="P194" t="str">
        <f>"85249-2057"</f>
        <v>85249-2057</v>
      </c>
      <c r="R194" t="str">
        <f>"304-75-614"</f>
        <v>304-75-614</v>
      </c>
      <c r="S194" t="s">
        <v>418</v>
      </c>
      <c r="T194" t="s">
        <v>418</v>
      </c>
      <c r="U194">
        <v>3868</v>
      </c>
      <c r="W194">
        <v>4</v>
      </c>
      <c r="X194">
        <v>2015</v>
      </c>
      <c r="Z194">
        <v>2</v>
      </c>
      <c r="AC194" t="s">
        <v>115</v>
      </c>
      <c r="AD194">
        <v>3</v>
      </c>
      <c r="AE194" t="s">
        <v>115</v>
      </c>
      <c r="AH194" t="s">
        <v>116</v>
      </c>
      <c r="AI194" s="1">
        <v>130113</v>
      </c>
      <c r="AJ194" s="2">
        <v>0.24</v>
      </c>
      <c r="AK194" s="1">
        <v>547113</v>
      </c>
      <c r="AL194" t="s">
        <v>117</v>
      </c>
      <c r="AM194" t="s">
        <v>118</v>
      </c>
      <c r="AN194">
        <v>7200</v>
      </c>
      <c r="AO194">
        <v>0.16</v>
      </c>
      <c r="AR194">
        <v>1</v>
      </c>
      <c r="AS194" s="1">
        <v>38160</v>
      </c>
      <c r="AT194" s="1">
        <v>7630</v>
      </c>
      <c r="AU194" s="1">
        <v>30530</v>
      </c>
      <c r="AV194">
        <v>80.010000000000005</v>
      </c>
      <c r="AX194" s="1">
        <v>3210.06</v>
      </c>
      <c r="AY194" t="s">
        <v>419</v>
      </c>
      <c r="AZ194" t="s">
        <v>273</v>
      </c>
      <c r="BA194" t="s">
        <v>303</v>
      </c>
      <c r="BE194" s="3">
        <v>42195</v>
      </c>
      <c r="BF194" s="1">
        <v>417601</v>
      </c>
      <c r="BG194" t="s">
        <v>420</v>
      </c>
      <c r="BH194" s="1">
        <v>107.96</v>
      </c>
      <c r="BI194" s="1">
        <v>417000</v>
      </c>
      <c r="BJ194" s="3">
        <v>42195</v>
      </c>
      <c r="BK194" t="s">
        <v>123</v>
      </c>
      <c r="BL194" t="str">
        <f>"2015.499230"</f>
        <v>2015.499230</v>
      </c>
      <c r="BM194" t="s">
        <v>124</v>
      </c>
      <c r="BN194" t="s">
        <v>1575</v>
      </c>
      <c r="BO194" t="s">
        <v>1576</v>
      </c>
      <c r="BS194">
        <v>30</v>
      </c>
      <c r="BW194" t="str">
        <f>""</f>
        <v/>
      </c>
      <c r="CH194" t="str">
        <f>""</f>
        <v/>
      </c>
      <c r="CS194" t="str">
        <f>""</f>
        <v/>
      </c>
    </row>
    <row r="195" spans="1:97" x14ac:dyDescent="0.25">
      <c r="A195" t="s">
        <v>1577</v>
      </c>
      <c r="B195" t="s">
        <v>348</v>
      </c>
      <c r="C195" t="s">
        <v>1578</v>
      </c>
      <c r="D195" t="s">
        <v>348</v>
      </c>
      <c r="E195" t="s">
        <v>1579</v>
      </c>
      <c r="F195" t="s">
        <v>108</v>
      </c>
      <c r="H195" t="s">
        <v>1580</v>
      </c>
      <c r="I195" t="s">
        <v>203</v>
      </c>
      <c r="J195" t="s">
        <v>111</v>
      </c>
      <c r="K195" t="str">
        <f>"85296"</f>
        <v>85296</v>
      </c>
      <c r="L195" t="s">
        <v>516</v>
      </c>
      <c r="M195" t="s">
        <v>1580</v>
      </c>
      <c r="N195" t="s">
        <v>203</v>
      </c>
      <c r="O195" t="s">
        <v>111</v>
      </c>
      <c r="P195" t="str">
        <f>"85296-1122"</f>
        <v>85296-1122</v>
      </c>
      <c r="Q195" t="s">
        <v>113</v>
      </c>
      <c r="R195" t="str">
        <f>"304-70-748"</f>
        <v>304-70-748</v>
      </c>
      <c r="S195" t="s">
        <v>517</v>
      </c>
      <c r="T195" t="s">
        <v>518</v>
      </c>
      <c r="U195">
        <v>2398</v>
      </c>
      <c r="W195">
        <v>4</v>
      </c>
      <c r="X195">
        <v>2014</v>
      </c>
      <c r="Z195">
        <v>1</v>
      </c>
      <c r="AC195" t="s">
        <v>115</v>
      </c>
      <c r="AD195">
        <v>2</v>
      </c>
      <c r="AE195" t="s">
        <v>115</v>
      </c>
      <c r="AH195" t="s">
        <v>116</v>
      </c>
      <c r="AI195" s="1">
        <v>26840</v>
      </c>
      <c r="AJ195" s="2">
        <v>0.06</v>
      </c>
      <c r="AK195" s="1">
        <v>432106</v>
      </c>
      <c r="AL195" t="s">
        <v>117</v>
      </c>
      <c r="AM195" t="s">
        <v>191</v>
      </c>
      <c r="AN195">
        <v>7200</v>
      </c>
      <c r="AO195">
        <v>0.16</v>
      </c>
      <c r="AR195">
        <v>1</v>
      </c>
      <c r="AS195" s="1">
        <v>32360</v>
      </c>
      <c r="AT195" s="1">
        <v>6470</v>
      </c>
      <c r="AU195" s="1">
        <v>25890</v>
      </c>
      <c r="AV195">
        <v>80.010000000000005</v>
      </c>
      <c r="AX195" s="1">
        <v>2982.94</v>
      </c>
      <c r="AY195" t="s">
        <v>519</v>
      </c>
      <c r="AZ195" t="s">
        <v>520</v>
      </c>
      <c r="BA195" t="s">
        <v>521</v>
      </c>
      <c r="BE195" s="3">
        <v>41838</v>
      </c>
      <c r="BF195" s="1">
        <v>341323</v>
      </c>
      <c r="BG195" t="s">
        <v>275</v>
      </c>
      <c r="BH195" s="1">
        <v>142.34</v>
      </c>
      <c r="BI195" s="1">
        <v>405266</v>
      </c>
      <c r="BJ195" s="3">
        <v>43637</v>
      </c>
      <c r="BK195" t="s">
        <v>123</v>
      </c>
      <c r="BL195" t="str">
        <f>"2019.465371"</f>
        <v>2019.465371</v>
      </c>
      <c r="BM195" t="s">
        <v>903</v>
      </c>
      <c r="BN195" t="s">
        <v>904</v>
      </c>
      <c r="BO195" t="s">
        <v>1581</v>
      </c>
      <c r="BP195" t="s">
        <v>1582</v>
      </c>
      <c r="BR195" t="s">
        <v>139</v>
      </c>
      <c r="BW195" t="str">
        <f>""</f>
        <v/>
      </c>
      <c r="CH195" t="str">
        <f>""</f>
        <v/>
      </c>
      <c r="CS195" t="str">
        <f>""</f>
        <v/>
      </c>
    </row>
    <row r="196" spans="1:97" x14ac:dyDescent="0.25">
      <c r="B196" t="s">
        <v>1583</v>
      </c>
      <c r="E196" t="s">
        <v>1584</v>
      </c>
      <c r="F196" t="s">
        <v>108</v>
      </c>
      <c r="H196" t="s">
        <v>1585</v>
      </c>
      <c r="I196" t="s">
        <v>390</v>
      </c>
      <c r="J196" t="s">
        <v>111</v>
      </c>
      <c r="K196" t="str">
        <f>"85086"</f>
        <v>85086</v>
      </c>
      <c r="L196" t="s">
        <v>1586</v>
      </c>
      <c r="M196" t="s">
        <v>1585</v>
      </c>
      <c r="N196" t="s">
        <v>390</v>
      </c>
      <c r="O196" t="s">
        <v>111</v>
      </c>
      <c r="P196" t="str">
        <f>"85086-7443"</f>
        <v>85086-7443</v>
      </c>
      <c r="Q196" t="s">
        <v>113</v>
      </c>
      <c r="R196" t="str">
        <f>"211-50-083"</f>
        <v>211-50-083</v>
      </c>
      <c r="U196">
        <v>2959</v>
      </c>
      <c r="W196">
        <v>4</v>
      </c>
      <c r="X196">
        <v>2014</v>
      </c>
      <c r="Z196">
        <v>1</v>
      </c>
      <c r="AA196" t="s">
        <v>26</v>
      </c>
      <c r="AC196" t="s">
        <v>115</v>
      </c>
      <c r="AD196">
        <v>5</v>
      </c>
      <c r="AE196" t="s">
        <v>115</v>
      </c>
      <c r="AH196" t="s">
        <v>116</v>
      </c>
      <c r="AI196" s="1">
        <v>161319</v>
      </c>
      <c r="AJ196" s="2">
        <v>0.26</v>
      </c>
      <c r="AK196" s="1">
        <v>620181</v>
      </c>
      <c r="AL196" t="s">
        <v>117</v>
      </c>
      <c r="AM196" t="s">
        <v>376</v>
      </c>
      <c r="AN196">
        <v>43599</v>
      </c>
      <c r="AO196">
        <v>1</v>
      </c>
      <c r="AR196">
        <v>1</v>
      </c>
      <c r="AS196" s="1">
        <v>50470</v>
      </c>
      <c r="AT196" s="1">
        <v>10090</v>
      </c>
      <c r="AU196" s="1">
        <v>40380</v>
      </c>
      <c r="AV196">
        <v>80.010000000000005</v>
      </c>
      <c r="AX196" s="1">
        <v>4709.46</v>
      </c>
      <c r="AY196" t="s">
        <v>1587</v>
      </c>
      <c r="AZ196" t="s">
        <v>1587</v>
      </c>
      <c r="BA196" t="s">
        <v>378</v>
      </c>
      <c r="BB196" s="3">
        <v>43300</v>
      </c>
      <c r="BC196" s="1">
        <v>0</v>
      </c>
      <c r="BD196" t="s">
        <v>247</v>
      </c>
      <c r="BE196" s="3">
        <v>41764</v>
      </c>
      <c r="BF196" s="1">
        <v>485000</v>
      </c>
      <c r="BG196" t="s">
        <v>1588</v>
      </c>
      <c r="BH196" s="1">
        <v>163.91</v>
      </c>
      <c r="BI196" s="1">
        <v>458862</v>
      </c>
      <c r="BJ196" s="3">
        <v>41977</v>
      </c>
      <c r="BK196" t="s">
        <v>123</v>
      </c>
      <c r="BL196" t="str">
        <f>"2014.799711"</f>
        <v>2014.799711</v>
      </c>
      <c r="BM196" t="s">
        <v>1589</v>
      </c>
      <c r="BN196" t="s">
        <v>1590</v>
      </c>
      <c r="BO196" t="s">
        <v>1591</v>
      </c>
      <c r="BS196">
        <v>30</v>
      </c>
      <c r="BW196" t="str">
        <f>""</f>
        <v/>
      </c>
      <c r="CH196" t="str">
        <f>""</f>
        <v/>
      </c>
      <c r="CS196" t="str">
        <f>""</f>
        <v/>
      </c>
    </row>
    <row r="197" spans="1:97" x14ac:dyDescent="0.25">
      <c r="A197" t="s">
        <v>1592</v>
      </c>
      <c r="B197" t="s">
        <v>1593</v>
      </c>
      <c r="C197" t="s">
        <v>1594</v>
      </c>
      <c r="D197" t="s">
        <v>1593</v>
      </c>
      <c r="E197" t="s">
        <v>1595</v>
      </c>
      <c r="F197" t="s">
        <v>108</v>
      </c>
      <c r="H197" t="s">
        <v>1596</v>
      </c>
      <c r="I197" t="s">
        <v>390</v>
      </c>
      <c r="J197" t="s">
        <v>111</v>
      </c>
      <c r="K197" t="str">
        <f>"85086"</f>
        <v>85086</v>
      </c>
      <c r="L197" t="s">
        <v>1597</v>
      </c>
      <c r="M197" t="s">
        <v>1596</v>
      </c>
      <c r="N197" t="s">
        <v>390</v>
      </c>
      <c r="O197" t="s">
        <v>111</v>
      </c>
      <c r="P197" t="str">
        <f>"85086-8616"</f>
        <v>85086-8616</v>
      </c>
      <c r="Q197" t="s">
        <v>113</v>
      </c>
      <c r="R197" t="str">
        <f>"211-73-008-B"</f>
        <v>211-73-008-B</v>
      </c>
      <c r="S197" t="s">
        <v>1598</v>
      </c>
      <c r="U197">
        <v>2328</v>
      </c>
      <c r="W197">
        <v>3</v>
      </c>
      <c r="X197">
        <v>2014</v>
      </c>
      <c r="Z197">
        <v>1</v>
      </c>
      <c r="AA197" t="s">
        <v>26</v>
      </c>
      <c r="AC197" t="s">
        <v>115</v>
      </c>
      <c r="AD197">
        <v>3</v>
      </c>
      <c r="AE197" t="s">
        <v>115</v>
      </c>
      <c r="AH197" t="s">
        <v>116</v>
      </c>
      <c r="AI197" s="1">
        <v>157201</v>
      </c>
      <c r="AJ197" s="2">
        <v>0.31</v>
      </c>
      <c r="AK197" s="1">
        <v>503201</v>
      </c>
      <c r="AL197" t="s">
        <v>117</v>
      </c>
      <c r="AM197" t="s">
        <v>376</v>
      </c>
      <c r="AN197">
        <v>51212</v>
      </c>
      <c r="AO197">
        <v>1.18</v>
      </c>
      <c r="AR197">
        <v>1</v>
      </c>
      <c r="AS197" s="1">
        <v>39300</v>
      </c>
      <c r="AT197" s="1">
        <v>7860</v>
      </c>
      <c r="AU197" s="1">
        <v>31440</v>
      </c>
      <c r="AV197">
        <v>80</v>
      </c>
      <c r="AX197" s="1">
        <v>3405.6</v>
      </c>
      <c r="AY197" t="s">
        <v>1587</v>
      </c>
      <c r="AZ197" t="s">
        <v>1587</v>
      </c>
      <c r="BA197" t="s">
        <v>378</v>
      </c>
      <c r="BE197" s="3">
        <v>41985</v>
      </c>
      <c r="BF197" s="1">
        <v>332000</v>
      </c>
      <c r="BG197" t="s">
        <v>1599</v>
      </c>
      <c r="BH197" s="1">
        <v>142.61000000000001</v>
      </c>
      <c r="BI197" s="1">
        <v>346000</v>
      </c>
      <c r="BJ197" s="3">
        <v>43025</v>
      </c>
      <c r="BK197" t="s">
        <v>123</v>
      </c>
      <c r="BL197" t="str">
        <f>"2017.769254"</f>
        <v>2017.769254</v>
      </c>
      <c r="BM197" t="s">
        <v>763</v>
      </c>
      <c r="BO197" t="s">
        <v>1600</v>
      </c>
      <c r="BS197">
        <v>30</v>
      </c>
      <c r="BW197" t="str">
        <f>""</f>
        <v/>
      </c>
      <c r="CH197" t="str">
        <f>""</f>
        <v/>
      </c>
      <c r="CS197" t="str">
        <f>""</f>
        <v/>
      </c>
    </row>
    <row r="198" spans="1:97" x14ac:dyDescent="0.25">
      <c r="A198" t="s">
        <v>1601</v>
      </c>
      <c r="B198" t="s">
        <v>1602</v>
      </c>
      <c r="C198" t="s">
        <v>1005</v>
      </c>
      <c r="D198" t="s">
        <v>1602</v>
      </c>
      <c r="E198" t="s">
        <v>1603</v>
      </c>
      <c r="F198" t="s">
        <v>108</v>
      </c>
      <c r="H198" t="s">
        <v>1604</v>
      </c>
      <c r="I198" t="s">
        <v>144</v>
      </c>
      <c r="J198" t="s">
        <v>111</v>
      </c>
      <c r="K198" t="str">
        <f>"85396"</f>
        <v>85396</v>
      </c>
      <c r="L198" t="s">
        <v>797</v>
      </c>
      <c r="M198" t="s">
        <v>1604</v>
      </c>
      <c r="N198" t="s">
        <v>144</v>
      </c>
      <c r="O198" t="s">
        <v>111</v>
      </c>
      <c r="P198" t="str">
        <f>"85396-7920"</f>
        <v>85396-7920</v>
      </c>
      <c r="Q198" t="s">
        <v>113</v>
      </c>
      <c r="R198" t="str">
        <f>"510-07-316"</f>
        <v>510-07-316</v>
      </c>
      <c r="S198" t="s">
        <v>798</v>
      </c>
      <c r="U198">
        <v>2529</v>
      </c>
      <c r="W198">
        <v>4</v>
      </c>
      <c r="X198">
        <v>2014</v>
      </c>
      <c r="Z198">
        <v>1</v>
      </c>
      <c r="AC198" t="s">
        <v>115</v>
      </c>
      <c r="AD198">
        <v>3</v>
      </c>
      <c r="AE198" t="s">
        <v>115</v>
      </c>
      <c r="AH198" t="s">
        <v>116</v>
      </c>
      <c r="AI198" s="1">
        <v>66452</v>
      </c>
      <c r="AJ198" s="2">
        <v>0.16</v>
      </c>
      <c r="AK198" s="1">
        <v>402742</v>
      </c>
      <c r="AL198" t="s">
        <v>117</v>
      </c>
      <c r="AM198" t="s">
        <v>118</v>
      </c>
      <c r="AN198">
        <v>8724</v>
      </c>
      <c r="AO198">
        <v>0.2</v>
      </c>
      <c r="AR198">
        <v>1</v>
      </c>
      <c r="AS198" s="1">
        <v>30450</v>
      </c>
      <c r="AT198" s="1">
        <v>6090</v>
      </c>
      <c r="AU198" s="1">
        <v>24360</v>
      </c>
      <c r="AV198">
        <v>80</v>
      </c>
      <c r="AX198" s="1">
        <v>3018.48</v>
      </c>
      <c r="AY198" t="s">
        <v>444</v>
      </c>
      <c r="AZ198" t="s">
        <v>444</v>
      </c>
      <c r="BA198" t="s">
        <v>445</v>
      </c>
      <c r="BE198" s="3">
        <v>41752</v>
      </c>
      <c r="BF198" s="1">
        <v>337711</v>
      </c>
      <c r="BG198" t="s">
        <v>446</v>
      </c>
      <c r="BH198" s="1">
        <v>133.54</v>
      </c>
      <c r="BI198" s="1">
        <v>336290</v>
      </c>
      <c r="BJ198" s="3">
        <v>42654</v>
      </c>
      <c r="BK198" t="s">
        <v>123</v>
      </c>
      <c r="BL198" t="str">
        <f>"2016.745932"</f>
        <v>2016.745932</v>
      </c>
      <c r="BM198" t="s">
        <v>724</v>
      </c>
      <c r="BO198" t="s">
        <v>1605</v>
      </c>
      <c r="BS198">
        <v>15</v>
      </c>
      <c r="BW198" t="str">
        <f>""</f>
        <v/>
      </c>
      <c r="CH198" t="str">
        <f>""</f>
        <v/>
      </c>
      <c r="CS198" t="str">
        <f>""</f>
        <v/>
      </c>
    </row>
    <row r="199" spans="1:97" x14ac:dyDescent="0.25">
      <c r="A199" t="s">
        <v>1606</v>
      </c>
      <c r="B199" t="s">
        <v>1607</v>
      </c>
      <c r="C199" t="s">
        <v>620</v>
      </c>
      <c r="D199" t="s">
        <v>1607</v>
      </c>
      <c r="E199" t="s">
        <v>1608</v>
      </c>
      <c r="F199" t="s">
        <v>108</v>
      </c>
      <c r="H199" t="s">
        <v>1609</v>
      </c>
      <c r="I199" t="s">
        <v>203</v>
      </c>
      <c r="J199" t="s">
        <v>111</v>
      </c>
      <c r="K199" t="str">
        <f>"85298"</f>
        <v>85298</v>
      </c>
      <c r="L199" t="s">
        <v>337</v>
      </c>
      <c r="M199" t="s">
        <v>1609</v>
      </c>
      <c r="N199" t="s">
        <v>203</v>
      </c>
      <c r="O199" t="s">
        <v>111</v>
      </c>
      <c r="P199" t="str">
        <f>"85298-7474"</f>
        <v>85298-7474</v>
      </c>
      <c r="Q199" t="s">
        <v>113</v>
      </c>
      <c r="R199" t="str">
        <f>"304-86-444"</f>
        <v>304-86-444</v>
      </c>
      <c r="S199" t="s">
        <v>270</v>
      </c>
      <c r="T199" t="s">
        <v>271</v>
      </c>
      <c r="U199">
        <v>1734</v>
      </c>
      <c r="W199">
        <v>2</v>
      </c>
      <c r="X199">
        <v>2014</v>
      </c>
      <c r="Z199">
        <v>1</v>
      </c>
      <c r="AC199" t="s">
        <v>115</v>
      </c>
      <c r="AD199">
        <v>2</v>
      </c>
      <c r="AE199" t="s">
        <v>115</v>
      </c>
      <c r="AH199" t="s">
        <v>116</v>
      </c>
      <c r="AI199" s="1">
        <v>25650</v>
      </c>
      <c r="AJ199" s="2">
        <v>7.0000000000000007E-2</v>
      </c>
      <c r="AK199" s="1">
        <v>345650</v>
      </c>
      <c r="AL199" t="s">
        <v>117</v>
      </c>
      <c r="AM199" t="s">
        <v>191</v>
      </c>
      <c r="AN199">
        <v>5771</v>
      </c>
      <c r="AO199">
        <v>0.13</v>
      </c>
      <c r="AR199">
        <v>1</v>
      </c>
      <c r="AS199" s="1">
        <v>24030</v>
      </c>
      <c r="AT199" s="1">
        <v>4800</v>
      </c>
      <c r="AU199" s="1">
        <v>19230</v>
      </c>
      <c r="AV199">
        <v>80.02</v>
      </c>
      <c r="AX199" s="1">
        <v>1763.3</v>
      </c>
      <c r="AY199" t="s">
        <v>272</v>
      </c>
      <c r="AZ199" t="s">
        <v>273</v>
      </c>
      <c r="BA199" t="s">
        <v>274</v>
      </c>
      <c r="BE199" s="3">
        <v>41820</v>
      </c>
      <c r="BF199" s="1">
        <v>263703</v>
      </c>
      <c r="BG199" t="s">
        <v>275</v>
      </c>
      <c r="BH199" s="1">
        <v>152.08000000000001</v>
      </c>
      <c r="BI199" s="1">
        <v>320000</v>
      </c>
      <c r="BJ199" s="3">
        <v>43636</v>
      </c>
      <c r="BK199" t="s">
        <v>123</v>
      </c>
      <c r="BL199" t="str">
        <f>"2019.461415"</f>
        <v>2019.461415</v>
      </c>
      <c r="BM199" t="s">
        <v>1610</v>
      </c>
      <c r="BN199" t="s">
        <v>1611</v>
      </c>
      <c r="BO199" t="s">
        <v>1612</v>
      </c>
      <c r="BP199" t="s">
        <v>1613</v>
      </c>
      <c r="BR199" t="s">
        <v>139</v>
      </c>
      <c r="BW199" t="str">
        <f>""</f>
        <v/>
      </c>
      <c r="CH199" t="str">
        <f>""</f>
        <v/>
      </c>
      <c r="CS199" t="str">
        <f>""</f>
        <v/>
      </c>
    </row>
    <row r="200" spans="1:97" x14ac:dyDescent="0.25">
      <c r="A200" t="s">
        <v>894</v>
      </c>
      <c r="B200" t="s">
        <v>1614</v>
      </c>
      <c r="C200" t="s">
        <v>1615</v>
      </c>
      <c r="D200" t="s">
        <v>1614</v>
      </c>
      <c r="E200" t="s">
        <v>1616</v>
      </c>
      <c r="F200" t="s">
        <v>108</v>
      </c>
      <c r="H200" t="s">
        <v>1617</v>
      </c>
      <c r="I200" t="s">
        <v>188</v>
      </c>
      <c r="J200" t="s">
        <v>111</v>
      </c>
      <c r="K200" t="str">
        <f>"85142"</f>
        <v>85142</v>
      </c>
      <c r="L200" t="s">
        <v>189</v>
      </c>
      <c r="M200" t="s">
        <v>1617</v>
      </c>
      <c r="N200" t="s">
        <v>188</v>
      </c>
      <c r="O200" t="s">
        <v>111</v>
      </c>
      <c r="P200" t="str">
        <f>"85142-4978"</f>
        <v>85142-4978</v>
      </c>
      <c r="Q200" t="s">
        <v>113</v>
      </c>
      <c r="R200" t="str">
        <f>"304-93-640"</f>
        <v>304-93-640</v>
      </c>
      <c r="S200" t="s">
        <v>190</v>
      </c>
      <c r="U200">
        <v>2592</v>
      </c>
      <c r="W200">
        <v>4</v>
      </c>
      <c r="X200">
        <v>2015</v>
      </c>
      <c r="Z200">
        <v>1</v>
      </c>
      <c r="AC200" t="s">
        <v>115</v>
      </c>
      <c r="AD200">
        <v>3</v>
      </c>
      <c r="AE200" t="s">
        <v>115</v>
      </c>
      <c r="AH200" t="s">
        <v>116</v>
      </c>
      <c r="AI200" s="1">
        <v>79025</v>
      </c>
      <c r="AJ200" s="2">
        <v>0.19</v>
      </c>
      <c r="AK200" s="1">
        <v>410125</v>
      </c>
      <c r="AL200" t="s">
        <v>117</v>
      </c>
      <c r="AM200" t="s">
        <v>191</v>
      </c>
      <c r="AN200">
        <v>7953</v>
      </c>
      <c r="AO200">
        <v>0.18</v>
      </c>
      <c r="AR200">
        <v>1</v>
      </c>
      <c r="AS200" s="1">
        <v>29350</v>
      </c>
      <c r="AT200" s="1">
        <v>5870</v>
      </c>
      <c r="AU200" s="1">
        <v>23480</v>
      </c>
      <c r="AV200">
        <v>80</v>
      </c>
      <c r="AX200" s="1">
        <v>2758.56</v>
      </c>
      <c r="AY200" t="s">
        <v>192</v>
      </c>
      <c r="AZ200" t="s">
        <v>193</v>
      </c>
      <c r="BA200" t="s">
        <v>194</v>
      </c>
      <c r="BE200" s="3">
        <v>42327</v>
      </c>
      <c r="BF200" s="1">
        <v>323490</v>
      </c>
      <c r="BG200" t="s">
        <v>195</v>
      </c>
      <c r="BH200" s="1">
        <v>124.8</v>
      </c>
      <c r="BI200" s="1">
        <v>331100</v>
      </c>
      <c r="BJ200" s="3">
        <v>42489</v>
      </c>
      <c r="BK200" t="s">
        <v>123</v>
      </c>
      <c r="BL200" t="str">
        <f>"2016.292614"</f>
        <v>2016.292614</v>
      </c>
      <c r="BM200" t="s">
        <v>255</v>
      </c>
      <c r="BO200" t="s">
        <v>1618</v>
      </c>
      <c r="BS200">
        <v>30</v>
      </c>
      <c r="BW200" t="str">
        <f>""</f>
        <v/>
      </c>
      <c r="CH200" t="str">
        <f>""</f>
        <v/>
      </c>
      <c r="CS200" t="str">
        <f>""</f>
        <v/>
      </c>
    </row>
    <row r="201" spans="1:97" x14ac:dyDescent="0.25">
      <c r="A201" t="s">
        <v>305</v>
      </c>
      <c r="B201" t="s">
        <v>1619</v>
      </c>
      <c r="C201" t="s">
        <v>1620</v>
      </c>
      <c r="D201" t="s">
        <v>1621</v>
      </c>
      <c r="E201" t="s">
        <v>1622</v>
      </c>
      <c r="F201" t="s">
        <v>139</v>
      </c>
      <c r="H201" t="s">
        <v>1623</v>
      </c>
      <c r="I201" t="s">
        <v>203</v>
      </c>
      <c r="J201" t="s">
        <v>111</v>
      </c>
      <c r="K201" t="str">
        <f>"85295"</f>
        <v>85295</v>
      </c>
      <c r="L201" t="s">
        <v>204</v>
      </c>
      <c r="M201" t="s">
        <v>1623</v>
      </c>
      <c r="N201" t="s">
        <v>203</v>
      </c>
      <c r="O201" t="s">
        <v>111</v>
      </c>
      <c r="P201" t="str">
        <f>"85295"</f>
        <v>85295</v>
      </c>
      <c r="Q201" t="s">
        <v>113</v>
      </c>
      <c r="R201" t="str">
        <f>"313-18-079"</f>
        <v>313-18-079</v>
      </c>
      <c r="S201" t="s">
        <v>205</v>
      </c>
      <c r="T201" t="s">
        <v>205</v>
      </c>
      <c r="U201">
        <v>1526</v>
      </c>
      <c r="W201">
        <v>3</v>
      </c>
      <c r="X201">
        <v>2014</v>
      </c>
      <c r="Z201">
        <v>1</v>
      </c>
      <c r="AC201" t="s">
        <v>115</v>
      </c>
      <c r="AD201">
        <v>2</v>
      </c>
      <c r="AE201" t="s">
        <v>115</v>
      </c>
      <c r="AH201" t="s">
        <v>116</v>
      </c>
      <c r="AI201" s="1">
        <v>74407</v>
      </c>
      <c r="AJ201" s="2">
        <v>0.22</v>
      </c>
      <c r="AK201" s="1">
        <v>343707</v>
      </c>
      <c r="AL201" t="s">
        <v>117</v>
      </c>
      <c r="AM201" t="s">
        <v>191</v>
      </c>
      <c r="AN201">
        <v>5500</v>
      </c>
      <c r="AO201">
        <v>0.13</v>
      </c>
      <c r="AR201">
        <v>1</v>
      </c>
      <c r="AS201" s="1">
        <v>25060</v>
      </c>
      <c r="AT201" s="1">
        <v>5010</v>
      </c>
      <c r="AU201" s="1">
        <v>20050</v>
      </c>
      <c r="AV201">
        <v>80.010000000000005</v>
      </c>
      <c r="AX201" s="1">
        <v>1488.22</v>
      </c>
      <c r="AY201" t="s">
        <v>206</v>
      </c>
      <c r="AZ201" t="s">
        <v>207</v>
      </c>
      <c r="BA201" t="s">
        <v>208</v>
      </c>
      <c r="BB201" s="3">
        <v>43231</v>
      </c>
      <c r="BC201" s="1">
        <v>0</v>
      </c>
      <c r="BD201" t="s">
        <v>247</v>
      </c>
      <c r="BE201" s="3">
        <v>41820</v>
      </c>
      <c r="BF201" s="1">
        <v>265000</v>
      </c>
      <c r="BG201" t="s">
        <v>209</v>
      </c>
      <c r="BH201" s="1">
        <v>173.66</v>
      </c>
      <c r="BI201" s="1">
        <v>269300</v>
      </c>
      <c r="BJ201" s="3">
        <v>42466</v>
      </c>
      <c r="BK201" t="s">
        <v>123</v>
      </c>
      <c r="BL201" t="str">
        <f>"2016.226569"</f>
        <v>2016.226569</v>
      </c>
      <c r="BM201" t="s">
        <v>1122</v>
      </c>
      <c r="BN201" t="s">
        <v>1624</v>
      </c>
      <c r="BO201" t="s">
        <v>1625</v>
      </c>
      <c r="BS201">
        <v>30</v>
      </c>
      <c r="BW201" t="str">
        <f>""</f>
        <v/>
      </c>
      <c r="CH201" t="str">
        <f>""</f>
        <v/>
      </c>
      <c r="CS201" t="str">
        <f>""</f>
        <v/>
      </c>
    </row>
    <row r="202" spans="1:97" x14ac:dyDescent="0.25">
      <c r="A202" t="s">
        <v>1626</v>
      </c>
      <c r="B202" t="s">
        <v>1627</v>
      </c>
      <c r="C202" t="s">
        <v>1628</v>
      </c>
      <c r="D202" t="s">
        <v>1627</v>
      </c>
      <c r="E202" t="s">
        <v>1629</v>
      </c>
      <c r="F202" t="s">
        <v>108</v>
      </c>
      <c r="H202" t="s">
        <v>1630</v>
      </c>
      <c r="I202" t="s">
        <v>188</v>
      </c>
      <c r="J202" t="s">
        <v>111</v>
      </c>
      <c r="K202" t="str">
        <f>"85142"</f>
        <v>85142</v>
      </c>
      <c r="L202" t="s">
        <v>189</v>
      </c>
      <c r="M202" t="s">
        <v>1630</v>
      </c>
      <c r="N202" t="s">
        <v>188</v>
      </c>
      <c r="O202" t="s">
        <v>111</v>
      </c>
      <c r="P202" t="str">
        <f>"85142-4992"</f>
        <v>85142-4992</v>
      </c>
      <c r="Q202" t="s">
        <v>113</v>
      </c>
      <c r="R202" t="str">
        <f>"304-93-624"</f>
        <v>304-93-624</v>
      </c>
      <c r="S202" t="s">
        <v>190</v>
      </c>
      <c r="U202">
        <v>2184</v>
      </c>
      <c r="W202">
        <v>3</v>
      </c>
      <c r="X202">
        <v>2014</v>
      </c>
      <c r="Z202">
        <v>1</v>
      </c>
      <c r="AC202" t="s">
        <v>115</v>
      </c>
      <c r="AD202">
        <v>2</v>
      </c>
      <c r="AE202" t="s">
        <v>115</v>
      </c>
      <c r="AH202" t="s">
        <v>116</v>
      </c>
      <c r="AI202" s="1">
        <v>90476</v>
      </c>
      <c r="AJ202" s="2">
        <v>0.24</v>
      </c>
      <c r="AK202" s="1">
        <v>384478</v>
      </c>
      <c r="AL202" t="s">
        <v>117</v>
      </c>
      <c r="AM202" t="s">
        <v>191</v>
      </c>
      <c r="AN202">
        <v>7475</v>
      </c>
      <c r="AO202">
        <v>0.17</v>
      </c>
      <c r="AR202">
        <v>1</v>
      </c>
      <c r="AS202" s="1">
        <v>26880</v>
      </c>
      <c r="AT202" s="1">
        <v>5370</v>
      </c>
      <c r="AU202" s="1">
        <v>21510</v>
      </c>
      <c r="AV202">
        <v>80.02</v>
      </c>
      <c r="AX202" s="1">
        <v>2580.42</v>
      </c>
      <c r="AY202" t="s">
        <v>192</v>
      </c>
      <c r="AZ202" t="s">
        <v>193</v>
      </c>
      <c r="BA202" t="s">
        <v>194</v>
      </c>
      <c r="BE202" s="3">
        <v>41872</v>
      </c>
      <c r="BF202" s="1">
        <v>275220</v>
      </c>
      <c r="BG202" t="s">
        <v>195</v>
      </c>
      <c r="BH202" s="1">
        <v>126.02</v>
      </c>
      <c r="BI202" s="1">
        <v>284302</v>
      </c>
      <c r="BJ202" s="3">
        <v>41872</v>
      </c>
      <c r="BK202" t="s">
        <v>123</v>
      </c>
      <c r="BL202" t="str">
        <f>"2014.555317"</f>
        <v>2014.555317</v>
      </c>
      <c r="BM202" t="s">
        <v>196</v>
      </c>
      <c r="BO202" t="s">
        <v>1631</v>
      </c>
      <c r="BS202">
        <v>30</v>
      </c>
      <c r="BT202" s="1">
        <v>9700</v>
      </c>
      <c r="BU202" s="3">
        <v>42907</v>
      </c>
      <c r="BW202" t="str">
        <f>"2017.453851"</f>
        <v>2017.453851</v>
      </c>
      <c r="BX202" t="s">
        <v>1632</v>
      </c>
      <c r="BZ202" t="s">
        <v>1631</v>
      </c>
      <c r="CC202" t="s">
        <v>1633</v>
      </c>
      <c r="CD202">
        <v>7</v>
      </c>
      <c r="CH202" t="str">
        <f>""</f>
        <v/>
      </c>
      <c r="CS202" t="str">
        <f>""</f>
        <v/>
      </c>
    </row>
    <row r="203" spans="1:97" x14ac:dyDescent="0.25">
      <c r="B203" t="s">
        <v>1634</v>
      </c>
      <c r="E203" t="s">
        <v>1635</v>
      </c>
      <c r="F203" t="s">
        <v>108</v>
      </c>
      <c r="H203" t="s">
        <v>1636</v>
      </c>
      <c r="I203" t="s">
        <v>203</v>
      </c>
      <c r="J203" t="s">
        <v>111</v>
      </c>
      <c r="K203" t="str">
        <f>"85297"</f>
        <v>85297</v>
      </c>
      <c r="L203" t="s">
        <v>299</v>
      </c>
      <c r="M203" t="s">
        <v>1636</v>
      </c>
      <c r="N203" t="s">
        <v>203</v>
      </c>
      <c r="O203" t="s">
        <v>111</v>
      </c>
      <c r="P203" t="str">
        <f>"85297"</f>
        <v>85297</v>
      </c>
      <c r="Q203" t="s">
        <v>113</v>
      </c>
      <c r="R203" t="str">
        <f>"304-58-912"</f>
        <v>304-58-912</v>
      </c>
      <c r="S203" t="s">
        <v>1637</v>
      </c>
      <c r="T203" t="s">
        <v>301</v>
      </c>
      <c r="U203">
        <v>3208</v>
      </c>
      <c r="W203">
        <v>5</v>
      </c>
      <c r="X203">
        <v>2014</v>
      </c>
      <c r="Z203">
        <v>2</v>
      </c>
      <c r="AC203" t="s">
        <v>115</v>
      </c>
      <c r="AD203">
        <v>3</v>
      </c>
      <c r="AE203" t="s">
        <v>115</v>
      </c>
      <c r="AH203" t="s">
        <v>116</v>
      </c>
      <c r="AI203" s="1">
        <v>68371</v>
      </c>
      <c r="AJ203" s="2">
        <v>0.15</v>
      </c>
      <c r="AK203" s="1">
        <v>468271</v>
      </c>
      <c r="AL203" t="s">
        <v>117</v>
      </c>
      <c r="AM203" t="s">
        <v>288</v>
      </c>
      <c r="AN203">
        <v>7510</v>
      </c>
      <c r="AO203">
        <v>0.17</v>
      </c>
      <c r="AR203">
        <v>1</v>
      </c>
      <c r="AS203" s="1">
        <v>33450</v>
      </c>
      <c r="AT203" s="1">
        <v>6690</v>
      </c>
      <c r="AU203" s="1">
        <v>26760</v>
      </c>
      <c r="AV203">
        <v>80</v>
      </c>
      <c r="AX203" s="1">
        <v>2828.12</v>
      </c>
      <c r="AY203" t="s">
        <v>302</v>
      </c>
      <c r="AZ203" t="s">
        <v>273</v>
      </c>
      <c r="BA203" t="s">
        <v>303</v>
      </c>
      <c r="BB203" s="3">
        <v>42543</v>
      </c>
      <c r="BD203" t="s">
        <v>458</v>
      </c>
      <c r="BE203" s="3">
        <v>41759</v>
      </c>
      <c r="BF203" s="1">
        <v>348000</v>
      </c>
      <c r="BG203" t="s">
        <v>209</v>
      </c>
      <c r="BH203" s="1">
        <v>108.48</v>
      </c>
      <c r="BI203" s="1">
        <v>340600</v>
      </c>
      <c r="BJ203" s="3">
        <v>42543</v>
      </c>
      <c r="BK203" t="s">
        <v>123</v>
      </c>
      <c r="BL203" t="str">
        <f>"2016.434973"</f>
        <v>2016.434973</v>
      </c>
      <c r="BM203" t="s">
        <v>903</v>
      </c>
      <c r="BN203" t="s">
        <v>904</v>
      </c>
      <c r="BO203" t="s">
        <v>1638</v>
      </c>
      <c r="BS203">
        <v>30</v>
      </c>
      <c r="BT203" s="1">
        <v>59300</v>
      </c>
      <c r="BU203" s="3">
        <v>43410</v>
      </c>
      <c r="BW203" t="str">
        <f>"2018.825288"</f>
        <v>2018.825288</v>
      </c>
      <c r="BX203" t="s">
        <v>1639</v>
      </c>
      <c r="BY203" t="s">
        <v>1640</v>
      </c>
      <c r="BZ203" t="s">
        <v>1634</v>
      </c>
      <c r="CC203" t="s">
        <v>346</v>
      </c>
      <c r="CH203" t="str">
        <f>""</f>
        <v/>
      </c>
      <c r="CS203" t="str">
        <f>""</f>
        <v/>
      </c>
    </row>
    <row r="204" spans="1:97" x14ac:dyDescent="0.25">
      <c r="A204" t="s">
        <v>428</v>
      </c>
      <c r="B204" t="s">
        <v>1641</v>
      </c>
      <c r="C204" t="s">
        <v>1642</v>
      </c>
      <c r="D204" t="s">
        <v>1641</v>
      </c>
      <c r="E204" t="s">
        <v>1643</v>
      </c>
      <c r="F204" t="s">
        <v>108</v>
      </c>
      <c r="H204" t="s">
        <v>1644</v>
      </c>
      <c r="I204" t="s">
        <v>203</v>
      </c>
      <c r="J204" t="s">
        <v>111</v>
      </c>
      <c r="K204" t="str">
        <f>"85296"</f>
        <v>85296</v>
      </c>
      <c r="L204" t="s">
        <v>469</v>
      </c>
      <c r="M204" t="s">
        <v>1644</v>
      </c>
      <c r="N204" t="s">
        <v>203</v>
      </c>
      <c r="O204" t="s">
        <v>111</v>
      </c>
      <c r="P204" t="str">
        <f>"85296-1444"</f>
        <v>85296-1444</v>
      </c>
      <c r="Q204" t="s">
        <v>113</v>
      </c>
      <c r="R204" t="str">
        <f>"313-18-610"</f>
        <v>313-18-610</v>
      </c>
      <c r="S204" t="s">
        <v>1645</v>
      </c>
      <c r="T204" t="s">
        <v>471</v>
      </c>
      <c r="U204">
        <v>2088</v>
      </c>
      <c r="W204">
        <v>5</v>
      </c>
      <c r="X204">
        <v>2014</v>
      </c>
      <c r="Z204">
        <v>2</v>
      </c>
      <c r="AC204" t="s">
        <v>115</v>
      </c>
      <c r="AD204">
        <v>2</v>
      </c>
      <c r="AE204" t="s">
        <v>115</v>
      </c>
      <c r="AH204" t="s">
        <v>116</v>
      </c>
      <c r="AI204" s="1">
        <v>70564</v>
      </c>
      <c r="AJ204" s="2">
        <v>0.22</v>
      </c>
      <c r="AK204" s="1">
        <v>326978</v>
      </c>
      <c r="AL204" t="s">
        <v>117</v>
      </c>
      <c r="AM204" t="s">
        <v>288</v>
      </c>
      <c r="AN204">
        <v>2925</v>
      </c>
      <c r="AO204">
        <v>0.67</v>
      </c>
      <c r="AR204">
        <v>1</v>
      </c>
      <c r="AS204" s="1">
        <v>23250</v>
      </c>
      <c r="AT204" s="1">
        <v>4650</v>
      </c>
      <c r="AU204" s="1">
        <v>18600</v>
      </c>
      <c r="AV204">
        <v>80</v>
      </c>
      <c r="AX204" s="1">
        <v>1806.32</v>
      </c>
      <c r="AY204" t="s">
        <v>472</v>
      </c>
      <c r="AZ204" t="s">
        <v>472</v>
      </c>
      <c r="BA204" t="s">
        <v>473</v>
      </c>
      <c r="BE204" s="3">
        <v>41865</v>
      </c>
      <c r="BF204" s="1">
        <v>251018</v>
      </c>
      <c r="BG204" t="s">
        <v>617</v>
      </c>
      <c r="BH204" s="1">
        <v>120.22</v>
      </c>
      <c r="BI204" s="1">
        <v>256414</v>
      </c>
      <c r="BJ204" s="3">
        <v>41865</v>
      </c>
      <c r="BK204" t="s">
        <v>123</v>
      </c>
      <c r="BL204" t="str">
        <f>"2014.535741"</f>
        <v>2014.535741</v>
      </c>
      <c r="BM204" t="s">
        <v>594</v>
      </c>
      <c r="BO204" t="s">
        <v>1646</v>
      </c>
      <c r="BS204">
        <v>30</v>
      </c>
      <c r="BW204" t="str">
        <f>""</f>
        <v/>
      </c>
      <c r="CH204" t="str">
        <f>""</f>
        <v/>
      </c>
      <c r="CS204" t="str">
        <f>""</f>
        <v/>
      </c>
    </row>
    <row r="205" spans="1:97" x14ac:dyDescent="0.25">
      <c r="A205" t="s">
        <v>1647</v>
      </c>
      <c r="B205" t="s">
        <v>1648</v>
      </c>
      <c r="C205" t="s">
        <v>1649</v>
      </c>
      <c r="D205" t="s">
        <v>1648</v>
      </c>
      <c r="E205" t="s">
        <v>1650</v>
      </c>
      <c r="F205" t="s">
        <v>108</v>
      </c>
      <c r="H205" t="s">
        <v>1651</v>
      </c>
      <c r="I205" t="s">
        <v>144</v>
      </c>
      <c r="J205" t="s">
        <v>111</v>
      </c>
      <c r="K205" t="str">
        <f>"85396"</f>
        <v>85396</v>
      </c>
      <c r="L205" t="s">
        <v>145</v>
      </c>
      <c r="M205" t="s">
        <v>1651</v>
      </c>
      <c r="N205" t="s">
        <v>144</v>
      </c>
      <c r="O205" t="s">
        <v>111</v>
      </c>
      <c r="P205" t="str">
        <f>"85396-1782"</f>
        <v>85396-1782</v>
      </c>
      <c r="Q205" t="s">
        <v>113</v>
      </c>
      <c r="R205" t="str">
        <f>"502-83-455"</f>
        <v>502-83-455</v>
      </c>
      <c r="S205" t="s">
        <v>1652</v>
      </c>
      <c r="U205">
        <v>3052</v>
      </c>
      <c r="W205">
        <v>4</v>
      </c>
      <c r="X205">
        <v>2014</v>
      </c>
      <c r="Z205">
        <v>1</v>
      </c>
      <c r="AA205" t="s">
        <v>26</v>
      </c>
      <c r="AC205" t="s">
        <v>115</v>
      </c>
      <c r="AD205">
        <v>3</v>
      </c>
      <c r="AE205" t="s">
        <v>115</v>
      </c>
      <c r="AH205" t="s">
        <v>116</v>
      </c>
      <c r="AI205" s="1">
        <v>10339</v>
      </c>
      <c r="AJ205" s="2">
        <v>0.03</v>
      </c>
      <c r="AK205" s="1">
        <v>372339</v>
      </c>
      <c r="AL205" t="s">
        <v>117</v>
      </c>
      <c r="AM205" t="s">
        <v>118</v>
      </c>
      <c r="AN205">
        <v>11427</v>
      </c>
      <c r="AO205">
        <v>0.26</v>
      </c>
      <c r="AR205">
        <v>1</v>
      </c>
      <c r="AS205" s="1">
        <v>32680</v>
      </c>
      <c r="AT205" s="1">
        <v>6530</v>
      </c>
      <c r="AU205" s="1">
        <v>26150</v>
      </c>
      <c r="AV205">
        <v>80.02</v>
      </c>
      <c r="AX205" s="1">
        <v>3863.78</v>
      </c>
      <c r="AY205" t="s">
        <v>217</v>
      </c>
      <c r="AZ205" t="s">
        <v>217</v>
      </c>
      <c r="BA205" t="s">
        <v>218</v>
      </c>
      <c r="BE205" s="3">
        <v>42361</v>
      </c>
      <c r="BF205" s="1">
        <v>355000</v>
      </c>
      <c r="BG205" t="s">
        <v>209</v>
      </c>
      <c r="BH205" s="1">
        <v>116.32</v>
      </c>
      <c r="BI205" s="1">
        <v>362000</v>
      </c>
      <c r="BJ205" s="3">
        <v>42647</v>
      </c>
      <c r="BK205" t="s">
        <v>123</v>
      </c>
      <c r="BL205" t="str">
        <f>"2016.724448"</f>
        <v>2016.724448</v>
      </c>
      <c r="BM205" t="s">
        <v>425</v>
      </c>
      <c r="BO205" t="s">
        <v>1653</v>
      </c>
      <c r="BS205">
        <v>30</v>
      </c>
      <c r="BW205" t="str">
        <f>""</f>
        <v/>
      </c>
      <c r="CH205" t="str">
        <f>""</f>
        <v/>
      </c>
      <c r="CS205" t="str">
        <f>""</f>
        <v/>
      </c>
    </row>
    <row r="206" spans="1:97" x14ac:dyDescent="0.25">
      <c r="A206" t="s">
        <v>1654</v>
      </c>
      <c r="B206" t="s">
        <v>1655</v>
      </c>
      <c r="E206" t="s">
        <v>1656</v>
      </c>
      <c r="F206" t="s">
        <v>108</v>
      </c>
      <c r="H206" t="s">
        <v>1657</v>
      </c>
      <c r="I206" t="s">
        <v>390</v>
      </c>
      <c r="J206" t="s">
        <v>111</v>
      </c>
      <c r="K206" t="str">
        <f>"85041"</f>
        <v>85041</v>
      </c>
      <c r="L206" t="s">
        <v>1658</v>
      </c>
      <c r="M206" t="s">
        <v>1657</v>
      </c>
      <c r="N206" t="s">
        <v>390</v>
      </c>
      <c r="O206" t="s">
        <v>111</v>
      </c>
      <c r="P206" t="str">
        <f>"85041-6674"</f>
        <v>85041-6674</v>
      </c>
      <c r="Q206" t="s">
        <v>113</v>
      </c>
      <c r="R206" t="str">
        <f>"105-97-619"</f>
        <v>105-97-619</v>
      </c>
      <c r="S206" t="s">
        <v>1659</v>
      </c>
      <c r="T206" t="s">
        <v>1659</v>
      </c>
      <c r="U206">
        <v>2079</v>
      </c>
      <c r="W206">
        <v>3</v>
      </c>
      <c r="X206">
        <v>2016</v>
      </c>
      <c r="Z206">
        <v>2</v>
      </c>
      <c r="AC206" t="s">
        <v>115</v>
      </c>
      <c r="AD206">
        <v>2</v>
      </c>
      <c r="AE206" t="s">
        <v>115</v>
      </c>
      <c r="AH206" t="s">
        <v>116</v>
      </c>
      <c r="AI206" s="1">
        <v>53977</v>
      </c>
      <c r="AJ206" s="2">
        <v>0.21</v>
      </c>
      <c r="AK206" s="1">
        <v>262161</v>
      </c>
      <c r="AL206" t="s">
        <v>117</v>
      </c>
      <c r="AM206" t="s">
        <v>760</v>
      </c>
      <c r="AN206">
        <v>2320</v>
      </c>
      <c r="AO206">
        <v>0.53</v>
      </c>
      <c r="AR206">
        <v>1</v>
      </c>
      <c r="AS206" s="1">
        <v>17920</v>
      </c>
      <c r="AT206" s="1">
        <v>3580</v>
      </c>
      <c r="AU206" s="1">
        <v>14340</v>
      </c>
      <c r="AV206">
        <v>80.02</v>
      </c>
      <c r="AX206" s="1">
        <v>2152.16</v>
      </c>
      <c r="AY206" t="s">
        <v>1660</v>
      </c>
      <c r="AZ206" t="s">
        <v>1660</v>
      </c>
      <c r="BA206" t="s">
        <v>1661</v>
      </c>
      <c r="BE206" s="3">
        <v>42550</v>
      </c>
      <c r="BF206" s="1">
        <v>208184</v>
      </c>
      <c r="BG206" t="s">
        <v>1662</v>
      </c>
      <c r="BH206" s="1">
        <v>100.14</v>
      </c>
      <c r="BI206" s="1">
        <v>208184</v>
      </c>
      <c r="BJ206" s="3">
        <v>42550</v>
      </c>
      <c r="BK206" t="s">
        <v>123</v>
      </c>
      <c r="BL206" t="str">
        <f>"2016.457545"</f>
        <v>2016.457545</v>
      </c>
      <c r="BM206" t="s">
        <v>135</v>
      </c>
      <c r="BO206" t="s">
        <v>1663</v>
      </c>
      <c r="BS206">
        <v>30</v>
      </c>
      <c r="BW206" t="str">
        <f>""</f>
        <v/>
      </c>
      <c r="CH206" t="str">
        <f>""</f>
        <v/>
      </c>
      <c r="CS206" t="str">
        <f>""</f>
        <v/>
      </c>
    </row>
    <row r="207" spans="1:97" x14ac:dyDescent="0.25">
      <c r="A207" t="s">
        <v>1664</v>
      </c>
      <c r="B207" t="s">
        <v>1665</v>
      </c>
      <c r="C207" t="s">
        <v>1666</v>
      </c>
      <c r="D207" t="s">
        <v>1667</v>
      </c>
      <c r="E207" t="s">
        <v>1668</v>
      </c>
      <c r="F207" t="s">
        <v>108</v>
      </c>
      <c r="H207" t="s">
        <v>1669</v>
      </c>
      <c r="I207" t="s">
        <v>203</v>
      </c>
      <c r="J207" t="s">
        <v>111</v>
      </c>
      <c r="K207" t="str">
        <f>"85295"</f>
        <v>85295</v>
      </c>
      <c r="L207" t="s">
        <v>204</v>
      </c>
      <c r="M207" t="s">
        <v>1669</v>
      </c>
      <c r="N207" t="s">
        <v>203</v>
      </c>
      <c r="O207" t="s">
        <v>111</v>
      </c>
      <c r="P207" t="str">
        <f>"85295-6275"</f>
        <v>85295-6275</v>
      </c>
      <c r="Q207" t="s">
        <v>113</v>
      </c>
      <c r="R207" t="str">
        <f>"313-18-124"</f>
        <v>313-18-124</v>
      </c>
      <c r="S207" t="s">
        <v>205</v>
      </c>
      <c r="T207" t="s">
        <v>205</v>
      </c>
      <c r="U207">
        <v>2418</v>
      </c>
      <c r="W207">
        <v>4</v>
      </c>
      <c r="X207">
        <v>2014</v>
      </c>
      <c r="Z207">
        <v>2</v>
      </c>
      <c r="AC207" t="s">
        <v>115</v>
      </c>
      <c r="AD207">
        <v>2</v>
      </c>
      <c r="AE207" t="s">
        <v>115</v>
      </c>
      <c r="AH207" t="s">
        <v>116</v>
      </c>
      <c r="AI207" s="1">
        <v>99158</v>
      </c>
      <c r="AJ207" s="2">
        <v>0.24</v>
      </c>
      <c r="AK207" s="1">
        <v>419759</v>
      </c>
      <c r="AL207" t="s">
        <v>117</v>
      </c>
      <c r="AM207" t="s">
        <v>191</v>
      </c>
      <c r="AN207">
        <v>5242</v>
      </c>
      <c r="AO207">
        <v>0.12</v>
      </c>
      <c r="AR207">
        <v>1</v>
      </c>
      <c r="AS207" s="1">
        <v>30270</v>
      </c>
      <c r="AT207" s="1">
        <v>6050</v>
      </c>
      <c r="AU207" s="1">
        <v>24220</v>
      </c>
      <c r="AV207">
        <v>80.010000000000005</v>
      </c>
      <c r="AX207" s="1">
        <v>1908.98</v>
      </c>
      <c r="AY207" t="s">
        <v>206</v>
      </c>
      <c r="AZ207" t="s">
        <v>207</v>
      </c>
      <c r="BA207" t="s">
        <v>208</v>
      </c>
      <c r="BE207" s="3">
        <v>41799</v>
      </c>
      <c r="BF207" s="1">
        <v>320601</v>
      </c>
      <c r="BG207" t="s">
        <v>209</v>
      </c>
      <c r="BH207" s="1">
        <v>132.59</v>
      </c>
      <c r="BI207" s="1">
        <v>320601</v>
      </c>
      <c r="BJ207" s="3">
        <v>41799</v>
      </c>
      <c r="BK207" t="s">
        <v>123</v>
      </c>
      <c r="BL207" t="str">
        <f>"2014.375233"</f>
        <v>2014.375233</v>
      </c>
      <c r="BM207" t="s">
        <v>175</v>
      </c>
      <c r="BO207" t="s">
        <v>1670</v>
      </c>
      <c r="BP207" t="s">
        <v>1671</v>
      </c>
      <c r="BS207">
        <v>30</v>
      </c>
      <c r="BW207" t="str">
        <f>""</f>
        <v/>
      </c>
      <c r="CH207" t="str">
        <f>""</f>
        <v/>
      </c>
      <c r="CS207" t="str">
        <f>""</f>
        <v/>
      </c>
    </row>
    <row r="208" spans="1:97" x14ac:dyDescent="0.25">
      <c r="A208" t="s">
        <v>1672</v>
      </c>
      <c r="B208" t="s">
        <v>1673</v>
      </c>
      <c r="C208" t="s">
        <v>1674</v>
      </c>
      <c r="D208" t="s">
        <v>1673</v>
      </c>
      <c r="E208" t="s">
        <v>1675</v>
      </c>
      <c r="F208" t="s">
        <v>108</v>
      </c>
      <c r="H208" t="s">
        <v>1676</v>
      </c>
      <c r="I208" t="s">
        <v>188</v>
      </c>
      <c r="J208" t="s">
        <v>111</v>
      </c>
      <c r="K208" t="str">
        <f>"85142"</f>
        <v>85142</v>
      </c>
      <c r="L208" t="s">
        <v>189</v>
      </c>
      <c r="M208" t="s">
        <v>1676</v>
      </c>
      <c r="N208" t="s">
        <v>188</v>
      </c>
      <c r="O208" t="s">
        <v>111</v>
      </c>
      <c r="P208" t="str">
        <f>"85142-4992"</f>
        <v>85142-4992</v>
      </c>
      <c r="Q208" t="s">
        <v>113</v>
      </c>
      <c r="R208" t="str">
        <f>"304-93-622"</f>
        <v>304-93-622</v>
      </c>
      <c r="S208" t="s">
        <v>190</v>
      </c>
      <c r="U208">
        <v>2592</v>
      </c>
      <c r="W208">
        <v>4</v>
      </c>
      <c r="X208">
        <v>2014</v>
      </c>
      <c r="Z208">
        <v>1</v>
      </c>
      <c r="AC208" t="s">
        <v>115</v>
      </c>
      <c r="AD208">
        <v>3</v>
      </c>
      <c r="AE208" t="s">
        <v>115</v>
      </c>
      <c r="AH208" t="s">
        <v>116</v>
      </c>
      <c r="AI208" s="1">
        <v>82800</v>
      </c>
      <c r="AJ208" s="2">
        <v>0.2</v>
      </c>
      <c r="AK208" s="1">
        <v>417778</v>
      </c>
      <c r="AL208" t="s">
        <v>117</v>
      </c>
      <c r="AM208" t="s">
        <v>191</v>
      </c>
      <c r="AN208">
        <v>7938</v>
      </c>
      <c r="AO208">
        <v>0.18</v>
      </c>
      <c r="AR208">
        <v>1</v>
      </c>
      <c r="AS208" s="1">
        <v>30210</v>
      </c>
      <c r="AT208" s="1">
        <v>6040</v>
      </c>
      <c r="AU208" s="1">
        <v>24170</v>
      </c>
      <c r="AV208">
        <v>80.010000000000005</v>
      </c>
      <c r="AX208" s="1">
        <v>2866.26</v>
      </c>
      <c r="AY208" t="s">
        <v>192</v>
      </c>
      <c r="AZ208" t="s">
        <v>193</v>
      </c>
      <c r="BA208" t="s">
        <v>194</v>
      </c>
      <c r="BE208" s="3">
        <v>41957</v>
      </c>
      <c r="BF208" s="1">
        <v>315000</v>
      </c>
      <c r="BG208" t="s">
        <v>195</v>
      </c>
      <c r="BH208" s="1">
        <v>121.53</v>
      </c>
      <c r="BI208" s="1">
        <v>321772</v>
      </c>
      <c r="BJ208" s="3">
        <v>41957</v>
      </c>
      <c r="BK208" t="s">
        <v>123</v>
      </c>
      <c r="BL208" t="str">
        <f>"2014.755728"</f>
        <v>2014.755728</v>
      </c>
      <c r="BM208" t="s">
        <v>196</v>
      </c>
      <c r="BN208" t="s">
        <v>1442</v>
      </c>
      <c r="BO208" t="s">
        <v>1677</v>
      </c>
      <c r="BS208">
        <v>30</v>
      </c>
      <c r="BT208" s="1">
        <v>13206</v>
      </c>
      <c r="BU208" s="3">
        <v>43671</v>
      </c>
      <c r="BW208" t="str">
        <f>"2019.562999"</f>
        <v>2019.562999</v>
      </c>
      <c r="BX208" t="s">
        <v>342</v>
      </c>
      <c r="BY208" t="s">
        <v>343</v>
      </c>
      <c r="BZ208" t="s">
        <v>1678</v>
      </c>
      <c r="CA208" t="s">
        <v>1679</v>
      </c>
      <c r="CC208" t="s">
        <v>346</v>
      </c>
      <c r="CH208" t="str">
        <f>""</f>
        <v/>
      </c>
      <c r="CS208" t="str">
        <f>""</f>
        <v/>
      </c>
    </row>
    <row r="209" spans="1:97" x14ac:dyDescent="0.25">
      <c r="B209" t="s">
        <v>1680</v>
      </c>
      <c r="E209" t="s">
        <v>1680</v>
      </c>
      <c r="F209" t="s">
        <v>108</v>
      </c>
      <c r="H209" t="s">
        <v>1681</v>
      </c>
      <c r="I209" t="s">
        <v>188</v>
      </c>
      <c r="J209" t="s">
        <v>111</v>
      </c>
      <c r="K209" t="str">
        <f>"85142"</f>
        <v>85142</v>
      </c>
      <c r="L209" t="s">
        <v>189</v>
      </c>
      <c r="M209" t="s">
        <v>1681</v>
      </c>
      <c r="N209" t="s">
        <v>188</v>
      </c>
      <c r="O209" t="s">
        <v>111</v>
      </c>
      <c r="P209" t="str">
        <f>"85142-4984"</f>
        <v>85142-4984</v>
      </c>
      <c r="Q209" t="s">
        <v>113</v>
      </c>
      <c r="R209" t="str">
        <f>"304-93-595"</f>
        <v>304-93-595</v>
      </c>
      <c r="S209" t="s">
        <v>190</v>
      </c>
      <c r="U209">
        <v>2592</v>
      </c>
      <c r="W209">
        <v>4</v>
      </c>
      <c r="X209">
        <v>2014</v>
      </c>
      <c r="Z209">
        <v>1</v>
      </c>
      <c r="AC209" t="s">
        <v>115</v>
      </c>
      <c r="AD209">
        <v>3</v>
      </c>
      <c r="AE209" t="s">
        <v>115</v>
      </c>
      <c r="AH209" t="s">
        <v>116</v>
      </c>
      <c r="AI209" s="1">
        <v>91639</v>
      </c>
      <c r="AJ209" s="2">
        <v>0.22</v>
      </c>
      <c r="AK209" s="1">
        <v>423729</v>
      </c>
      <c r="AL209" t="s">
        <v>117</v>
      </c>
      <c r="AM209" t="s">
        <v>191</v>
      </c>
      <c r="AN209">
        <v>8462</v>
      </c>
      <c r="AO209">
        <v>0.19</v>
      </c>
      <c r="AR209">
        <v>1</v>
      </c>
      <c r="AS209" s="1">
        <v>30910</v>
      </c>
      <c r="AT209" s="1">
        <v>6180</v>
      </c>
      <c r="AU209" s="1">
        <v>24730</v>
      </c>
      <c r="AV209">
        <v>80.010000000000005</v>
      </c>
      <c r="AX209" s="1">
        <v>2980.24</v>
      </c>
      <c r="AY209" t="s">
        <v>192</v>
      </c>
      <c r="AZ209" t="s">
        <v>193</v>
      </c>
      <c r="BA209" t="s">
        <v>194</v>
      </c>
      <c r="BB209" s="3">
        <v>42375</v>
      </c>
      <c r="BD209" t="s">
        <v>240</v>
      </c>
      <c r="BE209" s="3">
        <v>42032</v>
      </c>
      <c r="BF209" s="1">
        <v>332090</v>
      </c>
      <c r="BG209" t="s">
        <v>195</v>
      </c>
      <c r="BH209" s="1">
        <v>128.12</v>
      </c>
      <c r="BI209" s="1">
        <v>332090</v>
      </c>
      <c r="BJ209" s="3">
        <v>42032</v>
      </c>
      <c r="BK209" t="s">
        <v>123</v>
      </c>
      <c r="BL209" t="str">
        <f>"2015.56228"</f>
        <v>2015.56228</v>
      </c>
      <c r="BM209" t="s">
        <v>196</v>
      </c>
      <c r="BO209" t="s">
        <v>1682</v>
      </c>
      <c r="BS209">
        <v>30</v>
      </c>
      <c r="BW209" t="str">
        <f>""</f>
        <v/>
      </c>
      <c r="CH209" t="str">
        <f>""</f>
        <v/>
      </c>
      <c r="CS209" t="str">
        <f>""</f>
        <v/>
      </c>
    </row>
    <row r="210" spans="1:97" x14ac:dyDescent="0.25">
      <c r="A210" t="s">
        <v>305</v>
      </c>
      <c r="B210" t="s">
        <v>1683</v>
      </c>
      <c r="E210" t="s">
        <v>1684</v>
      </c>
      <c r="F210" t="s">
        <v>108</v>
      </c>
      <c r="H210" t="s">
        <v>1685</v>
      </c>
      <c r="I210" t="s">
        <v>188</v>
      </c>
      <c r="J210" t="s">
        <v>111</v>
      </c>
      <c r="K210" t="str">
        <f>"85142"</f>
        <v>85142</v>
      </c>
      <c r="L210" t="s">
        <v>189</v>
      </c>
      <c r="M210" t="s">
        <v>1685</v>
      </c>
      <c r="N210" t="s">
        <v>188</v>
      </c>
      <c r="O210" t="s">
        <v>111</v>
      </c>
      <c r="P210" t="str">
        <f>"85142-4976"</f>
        <v>85142-4976</v>
      </c>
      <c r="Q210" t="s">
        <v>113</v>
      </c>
      <c r="R210" t="str">
        <f>"304-93-635"</f>
        <v>304-93-635</v>
      </c>
      <c r="S210" t="s">
        <v>190</v>
      </c>
      <c r="U210">
        <v>2257</v>
      </c>
      <c r="W210">
        <v>4</v>
      </c>
      <c r="X210">
        <v>2015</v>
      </c>
      <c r="Z210">
        <v>1</v>
      </c>
      <c r="AC210" t="s">
        <v>115</v>
      </c>
      <c r="AD210">
        <v>3</v>
      </c>
      <c r="AE210" t="s">
        <v>115</v>
      </c>
      <c r="AH210" t="s">
        <v>116</v>
      </c>
      <c r="AI210" s="1">
        <v>24997</v>
      </c>
      <c r="AJ210" s="2">
        <v>7.0000000000000007E-2</v>
      </c>
      <c r="AK210" s="1">
        <v>379939</v>
      </c>
      <c r="AL210" t="s">
        <v>117</v>
      </c>
      <c r="AM210" t="s">
        <v>191</v>
      </c>
      <c r="AN210">
        <v>7953</v>
      </c>
      <c r="AO210">
        <v>0.18</v>
      </c>
      <c r="AR210">
        <v>1</v>
      </c>
      <c r="AS210" s="1">
        <v>27370</v>
      </c>
      <c r="AT210" s="1">
        <v>5470</v>
      </c>
      <c r="AU210" s="1">
        <v>21900</v>
      </c>
      <c r="AV210">
        <v>80.010000000000005</v>
      </c>
      <c r="AX210" s="1">
        <v>2600.2600000000002</v>
      </c>
      <c r="AY210" t="s">
        <v>192</v>
      </c>
      <c r="AZ210" t="s">
        <v>193</v>
      </c>
      <c r="BA210" t="s">
        <v>194</v>
      </c>
      <c r="BE210" s="3">
        <v>42306</v>
      </c>
      <c r="BF210" s="1">
        <v>305690</v>
      </c>
      <c r="BG210" t="s">
        <v>195</v>
      </c>
      <c r="BH210" s="1">
        <v>135.44</v>
      </c>
      <c r="BI210" s="1">
        <v>314205</v>
      </c>
      <c r="BJ210" s="3">
        <v>42556</v>
      </c>
      <c r="BK210" t="s">
        <v>123</v>
      </c>
      <c r="BL210" t="str">
        <f>"2016.470416"</f>
        <v>2016.470416</v>
      </c>
      <c r="BM210" t="s">
        <v>196</v>
      </c>
      <c r="BO210" t="s">
        <v>1686</v>
      </c>
      <c r="BS210">
        <v>30</v>
      </c>
      <c r="BT210" s="1">
        <v>40737</v>
      </c>
      <c r="BU210" s="3">
        <v>42877</v>
      </c>
      <c r="BV210" t="s">
        <v>134</v>
      </c>
      <c r="BW210" t="str">
        <f>"2017.370874"</f>
        <v>2017.370874</v>
      </c>
      <c r="BX210" t="s">
        <v>198</v>
      </c>
      <c r="BZ210" t="s">
        <v>1686</v>
      </c>
      <c r="CD210">
        <v>15</v>
      </c>
      <c r="CH210" t="str">
        <f>""</f>
        <v/>
      </c>
      <c r="CS210" t="str">
        <f>""</f>
        <v/>
      </c>
    </row>
    <row r="211" spans="1:97" x14ac:dyDescent="0.25">
      <c r="A211" t="s">
        <v>243</v>
      </c>
      <c r="B211" t="s">
        <v>1687</v>
      </c>
      <c r="E211" t="s">
        <v>1688</v>
      </c>
      <c r="F211" t="s">
        <v>108</v>
      </c>
      <c r="H211" t="s">
        <v>1689</v>
      </c>
      <c r="I211" t="s">
        <v>144</v>
      </c>
      <c r="J211" t="s">
        <v>111</v>
      </c>
      <c r="K211" t="str">
        <f>"85396"</f>
        <v>85396</v>
      </c>
      <c r="L211" t="s">
        <v>215</v>
      </c>
      <c r="M211" t="s">
        <v>1689</v>
      </c>
      <c r="N211" t="s">
        <v>144</v>
      </c>
      <c r="O211" t="s">
        <v>111</v>
      </c>
      <c r="P211" t="str">
        <f>"85396"</f>
        <v>85396</v>
      </c>
      <c r="Q211" t="s">
        <v>113</v>
      </c>
      <c r="R211" t="str">
        <f>"502-82-286"</f>
        <v>502-82-286</v>
      </c>
      <c r="S211" t="s">
        <v>216</v>
      </c>
      <c r="U211">
        <v>1639</v>
      </c>
      <c r="W211">
        <v>3</v>
      </c>
      <c r="X211">
        <v>2014</v>
      </c>
      <c r="Z211">
        <v>1</v>
      </c>
      <c r="AC211" t="s">
        <v>115</v>
      </c>
      <c r="AD211">
        <v>2</v>
      </c>
      <c r="AE211" t="s">
        <v>115</v>
      </c>
      <c r="AH211" t="s">
        <v>116</v>
      </c>
      <c r="AI211" s="1">
        <v>28521</v>
      </c>
      <c r="AJ211" s="2">
        <v>0.11</v>
      </c>
      <c r="AK211" s="1">
        <v>271276</v>
      </c>
      <c r="AL211" t="s">
        <v>117</v>
      </c>
      <c r="AM211" t="s">
        <v>118</v>
      </c>
      <c r="AN211">
        <v>5625</v>
      </c>
      <c r="AO211">
        <v>0.13</v>
      </c>
      <c r="AR211">
        <v>1</v>
      </c>
      <c r="AS211" s="1">
        <v>19100</v>
      </c>
      <c r="AT211" s="1">
        <v>3820</v>
      </c>
      <c r="AU211" s="1">
        <v>15280</v>
      </c>
      <c r="AV211">
        <v>80</v>
      </c>
      <c r="AX211" s="1">
        <v>2316.8200000000002</v>
      </c>
      <c r="AY211" t="s">
        <v>217</v>
      </c>
      <c r="AZ211" t="s">
        <v>217</v>
      </c>
      <c r="BA211" t="s">
        <v>218</v>
      </c>
      <c r="BE211" s="3">
        <v>42053</v>
      </c>
      <c r="BF211" s="1">
        <v>235000</v>
      </c>
      <c r="BG211" t="s">
        <v>195</v>
      </c>
      <c r="BH211" s="1">
        <v>143.38</v>
      </c>
      <c r="BI211" s="1">
        <v>242755</v>
      </c>
      <c r="BJ211" s="3">
        <v>42053</v>
      </c>
      <c r="BK211" t="s">
        <v>123</v>
      </c>
      <c r="BL211" t="str">
        <f>"2015.102346"</f>
        <v>2015.102346</v>
      </c>
      <c r="BM211" t="s">
        <v>196</v>
      </c>
      <c r="BO211" t="s">
        <v>1690</v>
      </c>
      <c r="BS211">
        <v>30</v>
      </c>
      <c r="BW211" t="str">
        <f>""</f>
        <v/>
      </c>
      <c r="CH211" t="str">
        <f>""</f>
        <v/>
      </c>
      <c r="CS211" t="str">
        <f>""</f>
        <v/>
      </c>
    </row>
    <row r="212" spans="1:97" x14ac:dyDescent="0.25">
      <c r="A212" t="s">
        <v>1691</v>
      </c>
      <c r="B212" t="s">
        <v>976</v>
      </c>
      <c r="C212" t="s">
        <v>1692</v>
      </c>
      <c r="D212" t="s">
        <v>976</v>
      </c>
      <c r="E212" t="s">
        <v>1693</v>
      </c>
      <c r="F212" t="s">
        <v>108</v>
      </c>
      <c r="H212" t="s">
        <v>1694</v>
      </c>
      <c r="I212" t="s">
        <v>144</v>
      </c>
      <c r="J212" t="s">
        <v>111</v>
      </c>
      <c r="K212" t="str">
        <f>"85396"</f>
        <v>85396</v>
      </c>
      <c r="L212" t="s">
        <v>215</v>
      </c>
      <c r="M212" t="s">
        <v>1694</v>
      </c>
      <c r="N212" t="s">
        <v>144</v>
      </c>
      <c r="O212" t="s">
        <v>111</v>
      </c>
      <c r="P212" t="str">
        <f>"85396"</f>
        <v>85396</v>
      </c>
      <c r="Q212" t="s">
        <v>113</v>
      </c>
      <c r="R212" t="str">
        <f>"502-82-273"</f>
        <v>502-82-273</v>
      </c>
      <c r="S212" t="s">
        <v>216</v>
      </c>
      <c r="U212">
        <v>2900</v>
      </c>
      <c r="W212">
        <v>4</v>
      </c>
      <c r="X212">
        <v>2014</v>
      </c>
      <c r="Z212">
        <v>2</v>
      </c>
      <c r="AC212" t="s">
        <v>115</v>
      </c>
      <c r="AD212">
        <v>2</v>
      </c>
      <c r="AE212" t="s">
        <v>115</v>
      </c>
      <c r="AH212" t="s">
        <v>116</v>
      </c>
      <c r="AI212" s="1">
        <v>-3022</v>
      </c>
      <c r="AJ212" s="2">
        <v>-0.01</v>
      </c>
      <c r="AK212" s="1">
        <v>302312</v>
      </c>
      <c r="AL212" t="s">
        <v>117</v>
      </c>
      <c r="AM212" t="s">
        <v>118</v>
      </c>
      <c r="AN212">
        <v>5400</v>
      </c>
      <c r="AO212">
        <v>0.12</v>
      </c>
      <c r="AR212">
        <v>1</v>
      </c>
      <c r="AS212" s="1">
        <v>23500</v>
      </c>
      <c r="AT212" s="1">
        <v>4700</v>
      </c>
      <c r="AU212" s="1">
        <v>18800</v>
      </c>
      <c r="AV212">
        <v>80</v>
      </c>
      <c r="AX212" s="1">
        <v>3491.44</v>
      </c>
      <c r="AY212" t="s">
        <v>217</v>
      </c>
      <c r="AZ212" t="s">
        <v>217</v>
      </c>
      <c r="BA212" t="s">
        <v>218</v>
      </c>
      <c r="BE212" s="3">
        <v>41899</v>
      </c>
      <c r="BF212" s="1">
        <v>288000</v>
      </c>
      <c r="BG212" t="s">
        <v>195</v>
      </c>
      <c r="BH212" s="1">
        <v>99.31</v>
      </c>
      <c r="BI212" s="1">
        <v>305334</v>
      </c>
      <c r="BJ212" s="3">
        <v>42594</v>
      </c>
      <c r="BK212" t="s">
        <v>123</v>
      </c>
      <c r="BL212" t="str">
        <f>"2016.574754"</f>
        <v>2016.574754</v>
      </c>
      <c r="BM212" t="s">
        <v>1695</v>
      </c>
      <c r="BO212" t="s">
        <v>1696</v>
      </c>
      <c r="BS212">
        <v>30</v>
      </c>
      <c r="BW212" t="str">
        <f>""</f>
        <v/>
      </c>
      <c r="CH212" t="str">
        <f>""</f>
        <v/>
      </c>
      <c r="CS212" t="str">
        <f>""</f>
        <v/>
      </c>
    </row>
    <row r="213" spans="1:97" x14ac:dyDescent="0.25">
      <c r="A213" t="s">
        <v>589</v>
      </c>
      <c r="B213" t="s">
        <v>1697</v>
      </c>
      <c r="C213" t="s">
        <v>1698</v>
      </c>
      <c r="D213" t="s">
        <v>1697</v>
      </c>
      <c r="E213" t="s">
        <v>1699</v>
      </c>
      <c r="F213" t="s">
        <v>108</v>
      </c>
      <c r="H213" t="s">
        <v>1700</v>
      </c>
      <c r="I213" t="s">
        <v>144</v>
      </c>
      <c r="J213" t="s">
        <v>111</v>
      </c>
      <c r="K213" t="str">
        <f>"85396"</f>
        <v>85396</v>
      </c>
      <c r="L213" t="s">
        <v>541</v>
      </c>
      <c r="M213" t="s">
        <v>1700</v>
      </c>
      <c r="N213" t="s">
        <v>144</v>
      </c>
      <c r="O213" t="s">
        <v>111</v>
      </c>
      <c r="P213" t="str">
        <f>"85396-7941"</f>
        <v>85396-7941</v>
      </c>
      <c r="Q213" t="s">
        <v>113</v>
      </c>
      <c r="R213" t="str">
        <f>"502-82-303"</f>
        <v>502-82-303</v>
      </c>
      <c r="S213" t="s">
        <v>1701</v>
      </c>
      <c r="U213">
        <v>2560</v>
      </c>
      <c r="W213">
        <v>4</v>
      </c>
      <c r="X213">
        <v>2014</v>
      </c>
      <c r="Z213">
        <v>2</v>
      </c>
      <c r="AC213" t="s">
        <v>115</v>
      </c>
      <c r="AD213">
        <v>2</v>
      </c>
      <c r="AE213" t="s">
        <v>115</v>
      </c>
      <c r="AH213" t="s">
        <v>116</v>
      </c>
      <c r="AI213" s="1">
        <v>46545</v>
      </c>
      <c r="AJ213" s="2">
        <v>0.14000000000000001</v>
      </c>
      <c r="AK213" s="1">
        <v>339398</v>
      </c>
      <c r="AL213" t="s">
        <v>117</v>
      </c>
      <c r="AM213" t="s">
        <v>118</v>
      </c>
      <c r="AN213">
        <v>5187</v>
      </c>
      <c r="AO213">
        <v>0.12</v>
      </c>
      <c r="AR213">
        <v>1</v>
      </c>
      <c r="AS213" s="1">
        <v>22300</v>
      </c>
      <c r="AT213" s="1">
        <v>4460</v>
      </c>
      <c r="AU213" s="1">
        <v>17840</v>
      </c>
      <c r="AV213">
        <v>80</v>
      </c>
      <c r="AX213" s="1">
        <v>3238.72</v>
      </c>
      <c r="AY213" t="s">
        <v>543</v>
      </c>
      <c r="AZ213" t="s">
        <v>504</v>
      </c>
      <c r="BA213" t="s">
        <v>218</v>
      </c>
      <c r="BE213" s="3">
        <v>41863</v>
      </c>
      <c r="BF213" s="1">
        <v>286690</v>
      </c>
      <c r="BG213" t="s">
        <v>195</v>
      </c>
      <c r="BH213" s="1">
        <v>111.99</v>
      </c>
      <c r="BI213" s="1">
        <v>292853</v>
      </c>
      <c r="BJ213" s="3">
        <v>41863</v>
      </c>
      <c r="BK213" t="s">
        <v>123</v>
      </c>
      <c r="BL213" t="str">
        <f>"2014.530748"</f>
        <v>2014.530748</v>
      </c>
      <c r="BM213" t="s">
        <v>196</v>
      </c>
      <c r="BO213" t="s">
        <v>1702</v>
      </c>
      <c r="BS213">
        <v>30</v>
      </c>
      <c r="BW213" t="str">
        <f>""</f>
        <v/>
      </c>
      <c r="CH213" t="str">
        <f>""</f>
        <v/>
      </c>
      <c r="CS213" t="str">
        <f>""</f>
        <v/>
      </c>
    </row>
    <row r="214" spans="1:97" x14ac:dyDescent="0.25">
      <c r="A214" t="s">
        <v>1703</v>
      </c>
      <c r="B214" t="s">
        <v>1704</v>
      </c>
      <c r="C214" t="s">
        <v>1366</v>
      </c>
      <c r="D214" t="s">
        <v>1704</v>
      </c>
      <c r="E214" t="s">
        <v>1705</v>
      </c>
      <c r="F214" t="s">
        <v>108</v>
      </c>
      <c r="H214" t="s">
        <v>1706</v>
      </c>
      <c r="I214" t="s">
        <v>203</v>
      </c>
      <c r="J214" t="s">
        <v>111</v>
      </c>
      <c r="K214" t="str">
        <f>"85298"</f>
        <v>85298</v>
      </c>
      <c r="L214" t="s">
        <v>269</v>
      </c>
      <c r="M214" t="s">
        <v>1706</v>
      </c>
      <c r="N214" t="s">
        <v>203</v>
      </c>
      <c r="O214" t="s">
        <v>111</v>
      </c>
      <c r="P214" t="str">
        <f>"85298-7475"</f>
        <v>85298-7475</v>
      </c>
      <c r="Q214" t="s">
        <v>113</v>
      </c>
      <c r="R214" t="str">
        <f>"304-86-475"</f>
        <v>304-86-475</v>
      </c>
      <c r="S214" t="s">
        <v>270</v>
      </c>
      <c r="T214" t="s">
        <v>271</v>
      </c>
      <c r="U214">
        <v>1734</v>
      </c>
      <c r="W214">
        <v>2</v>
      </c>
      <c r="X214">
        <v>2014</v>
      </c>
      <c r="Z214">
        <v>1</v>
      </c>
      <c r="AC214" t="s">
        <v>115</v>
      </c>
      <c r="AD214">
        <v>2</v>
      </c>
      <c r="AE214" t="s">
        <v>115</v>
      </c>
      <c r="AH214" t="s">
        <v>116</v>
      </c>
      <c r="AI214" s="1">
        <v>70083</v>
      </c>
      <c r="AJ214" s="2">
        <v>0.2</v>
      </c>
      <c r="AK214" s="1">
        <v>345583</v>
      </c>
      <c r="AL214" t="s">
        <v>117</v>
      </c>
      <c r="AM214" t="s">
        <v>191</v>
      </c>
      <c r="AN214">
        <v>5750</v>
      </c>
      <c r="AO214">
        <v>0.13</v>
      </c>
      <c r="AR214">
        <v>1</v>
      </c>
      <c r="AS214" s="1">
        <v>24020</v>
      </c>
      <c r="AT214" s="1">
        <v>4800</v>
      </c>
      <c r="AU214" s="1">
        <v>19220</v>
      </c>
      <c r="AV214">
        <v>80.02</v>
      </c>
      <c r="AX214" s="1">
        <v>1762.4</v>
      </c>
      <c r="AY214" t="s">
        <v>272</v>
      </c>
      <c r="AZ214" t="s">
        <v>273</v>
      </c>
      <c r="BA214" t="s">
        <v>274</v>
      </c>
      <c r="BE214" s="3">
        <v>41835</v>
      </c>
      <c r="BF214" s="1">
        <v>261055</v>
      </c>
      <c r="BG214" t="s">
        <v>275</v>
      </c>
      <c r="BH214" s="1">
        <v>150.55000000000001</v>
      </c>
      <c r="BI214" s="1">
        <v>275500</v>
      </c>
      <c r="BJ214" s="3">
        <v>42226</v>
      </c>
      <c r="BK214" t="s">
        <v>123</v>
      </c>
      <c r="BL214" t="str">
        <f>"2015.575856"</f>
        <v>2015.575856</v>
      </c>
      <c r="BM214" t="s">
        <v>1707</v>
      </c>
      <c r="BO214" t="s">
        <v>1708</v>
      </c>
      <c r="BS214">
        <v>30</v>
      </c>
      <c r="BW214" t="str">
        <f>""</f>
        <v/>
      </c>
      <c r="CH214" t="str">
        <f>""</f>
        <v/>
      </c>
      <c r="CS214" t="str">
        <f>""</f>
        <v/>
      </c>
    </row>
    <row r="215" spans="1:97" x14ac:dyDescent="0.25">
      <c r="A215" t="s">
        <v>1451</v>
      </c>
      <c r="B215" t="s">
        <v>1709</v>
      </c>
      <c r="E215" t="s">
        <v>1710</v>
      </c>
      <c r="F215" t="s">
        <v>282</v>
      </c>
      <c r="H215" t="s">
        <v>1711</v>
      </c>
      <c r="I215" t="s">
        <v>203</v>
      </c>
      <c r="J215" t="s">
        <v>111</v>
      </c>
      <c r="K215" t="str">
        <f>"85298"</f>
        <v>85298</v>
      </c>
      <c r="L215" t="s">
        <v>269</v>
      </c>
      <c r="M215" t="s">
        <v>1712</v>
      </c>
      <c r="N215" t="s">
        <v>390</v>
      </c>
      <c r="O215" t="s">
        <v>111</v>
      </c>
      <c r="P215" t="str">
        <f>"85021-7602"</f>
        <v>85021-7602</v>
      </c>
      <c r="Q215" t="s">
        <v>113</v>
      </c>
      <c r="R215" t="str">
        <f>"304-86-508"</f>
        <v>304-86-508</v>
      </c>
      <c r="S215" t="s">
        <v>270</v>
      </c>
      <c r="T215" t="s">
        <v>271</v>
      </c>
      <c r="U215">
        <v>1734</v>
      </c>
      <c r="W215">
        <v>2</v>
      </c>
      <c r="X215">
        <v>2014</v>
      </c>
      <c r="Z215">
        <v>1</v>
      </c>
      <c r="AC215" t="s">
        <v>115</v>
      </c>
      <c r="AD215">
        <v>2</v>
      </c>
      <c r="AE215" t="s">
        <v>115</v>
      </c>
      <c r="AH215" t="s">
        <v>116</v>
      </c>
      <c r="AI215" s="1">
        <v>95070</v>
      </c>
      <c r="AJ215" s="2">
        <v>0.27</v>
      </c>
      <c r="AK215" s="1">
        <v>350073</v>
      </c>
      <c r="AL215" t="s">
        <v>117</v>
      </c>
      <c r="AM215" t="s">
        <v>191</v>
      </c>
      <c r="AN215">
        <v>6057</v>
      </c>
      <c r="AO215">
        <v>0.14000000000000001</v>
      </c>
      <c r="AR215">
        <v>1</v>
      </c>
      <c r="AS215" s="1">
        <v>24530</v>
      </c>
      <c r="AT215" s="1">
        <v>4900</v>
      </c>
      <c r="AU215" s="1">
        <v>19630</v>
      </c>
      <c r="AV215">
        <v>80.02</v>
      </c>
      <c r="AX215" s="1">
        <v>2097.02</v>
      </c>
      <c r="AY215" t="s">
        <v>272</v>
      </c>
      <c r="AZ215" t="s">
        <v>273</v>
      </c>
      <c r="BA215" t="s">
        <v>274</v>
      </c>
      <c r="BB215" s="3">
        <v>43178</v>
      </c>
      <c r="BC215" s="1">
        <v>0</v>
      </c>
      <c r="BD215" t="s">
        <v>247</v>
      </c>
      <c r="BE215" s="3">
        <v>41730</v>
      </c>
      <c r="BF215" s="1">
        <v>246857</v>
      </c>
      <c r="BG215" t="s">
        <v>275</v>
      </c>
      <c r="BH215" s="1">
        <v>142.36000000000001</v>
      </c>
      <c r="BI215" s="1">
        <v>255003</v>
      </c>
      <c r="BJ215" s="3">
        <v>41730</v>
      </c>
      <c r="BK215" t="s">
        <v>123</v>
      </c>
      <c r="BL215" t="str">
        <f>"2014.207883"</f>
        <v>2014.207883</v>
      </c>
      <c r="BM215" t="s">
        <v>628</v>
      </c>
      <c r="BN215" t="s">
        <v>652</v>
      </c>
      <c r="BO215" t="s">
        <v>1713</v>
      </c>
      <c r="BP215" t="s">
        <v>1714</v>
      </c>
      <c r="BS215">
        <v>30</v>
      </c>
      <c r="BW215" t="str">
        <f>""</f>
        <v/>
      </c>
      <c r="CH215" t="str">
        <f>""</f>
        <v/>
      </c>
      <c r="CS215" t="str">
        <f>""</f>
        <v/>
      </c>
    </row>
    <row r="216" spans="1:97" x14ac:dyDescent="0.25">
      <c r="A216" t="s">
        <v>1374</v>
      </c>
      <c r="B216" t="s">
        <v>1715</v>
      </c>
      <c r="C216" t="s">
        <v>1047</v>
      </c>
      <c r="D216" t="s">
        <v>1715</v>
      </c>
      <c r="E216" t="s">
        <v>1716</v>
      </c>
      <c r="F216" t="s">
        <v>108</v>
      </c>
      <c r="H216" t="s">
        <v>1717</v>
      </c>
      <c r="I216" t="s">
        <v>315</v>
      </c>
      <c r="J216" t="s">
        <v>111</v>
      </c>
      <c r="K216" t="str">
        <f>"85335"</f>
        <v>85335</v>
      </c>
      <c r="L216" t="s">
        <v>316</v>
      </c>
      <c r="M216" t="s">
        <v>1717</v>
      </c>
      <c r="N216" t="s">
        <v>315</v>
      </c>
      <c r="O216" t="s">
        <v>111</v>
      </c>
      <c r="P216" t="str">
        <f>"85335-6977"</f>
        <v>85335-6977</v>
      </c>
      <c r="Q216" t="s">
        <v>113</v>
      </c>
      <c r="R216" t="str">
        <f>"501-25-607"</f>
        <v>501-25-607</v>
      </c>
      <c r="S216" t="s">
        <v>317</v>
      </c>
      <c r="T216" t="s">
        <v>318</v>
      </c>
      <c r="U216">
        <v>2900</v>
      </c>
      <c r="W216">
        <v>4</v>
      </c>
      <c r="X216">
        <v>2014</v>
      </c>
      <c r="Z216">
        <v>2</v>
      </c>
      <c r="AC216" t="s">
        <v>115</v>
      </c>
      <c r="AD216">
        <v>2</v>
      </c>
      <c r="AE216" t="s">
        <v>115</v>
      </c>
      <c r="AH216" t="s">
        <v>116</v>
      </c>
      <c r="AI216" s="1">
        <v>44109</v>
      </c>
      <c r="AJ216" s="2">
        <v>0.17</v>
      </c>
      <c r="AK216" s="1">
        <v>264717</v>
      </c>
      <c r="AL216" t="s">
        <v>117</v>
      </c>
      <c r="AM216" t="s">
        <v>319</v>
      </c>
      <c r="AN216">
        <v>5832</v>
      </c>
      <c r="AO216">
        <v>0.13</v>
      </c>
      <c r="AR216">
        <v>1</v>
      </c>
      <c r="AS216" s="1">
        <v>22960</v>
      </c>
      <c r="AT216" s="1">
        <v>4590</v>
      </c>
      <c r="AU216" s="1">
        <v>18370</v>
      </c>
      <c r="AV216">
        <v>80.010000000000005</v>
      </c>
      <c r="AX216" s="1">
        <v>1764.34</v>
      </c>
      <c r="AY216" t="s">
        <v>320</v>
      </c>
      <c r="AZ216" t="s">
        <v>320</v>
      </c>
      <c r="BA216" t="s">
        <v>321</v>
      </c>
      <c r="BE216" s="3">
        <v>41726</v>
      </c>
      <c r="BF216" s="1">
        <v>200340</v>
      </c>
      <c r="BG216" t="s">
        <v>195</v>
      </c>
      <c r="BH216" s="1">
        <v>69.08</v>
      </c>
      <c r="BI216" s="1">
        <v>220608</v>
      </c>
      <c r="BJ216" s="3">
        <v>43075</v>
      </c>
      <c r="BK216" t="s">
        <v>123</v>
      </c>
      <c r="BL216" t="str">
        <f>"2017.903061"</f>
        <v>2017.903061</v>
      </c>
      <c r="BM216" t="s">
        <v>1718</v>
      </c>
      <c r="BO216" t="s">
        <v>1719</v>
      </c>
      <c r="BS216">
        <v>31</v>
      </c>
      <c r="BW216" t="str">
        <f>""</f>
        <v/>
      </c>
      <c r="CH216" t="str">
        <f>""</f>
        <v/>
      </c>
      <c r="CS216" t="str">
        <f>""</f>
        <v/>
      </c>
    </row>
    <row r="217" spans="1:97" x14ac:dyDescent="0.25">
      <c r="A217" t="s">
        <v>1109</v>
      </c>
      <c r="B217" t="s">
        <v>1720</v>
      </c>
      <c r="C217" t="s">
        <v>1721</v>
      </c>
      <c r="D217" t="s">
        <v>1722</v>
      </c>
      <c r="E217" t="s">
        <v>1723</v>
      </c>
      <c r="F217" t="s">
        <v>108</v>
      </c>
      <c r="H217" t="s">
        <v>1724</v>
      </c>
      <c r="I217" t="s">
        <v>203</v>
      </c>
      <c r="J217" t="s">
        <v>111</v>
      </c>
      <c r="K217" t="str">
        <f>"85298"</f>
        <v>85298</v>
      </c>
      <c r="L217" t="s">
        <v>337</v>
      </c>
      <c r="M217" t="s">
        <v>1724</v>
      </c>
      <c r="N217" t="s">
        <v>203</v>
      </c>
      <c r="O217" t="s">
        <v>111</v>
      </c>
      <c r="P217" t="str">
        <f>"85298-7463"</f>
        <v>85298-7463</v>
      </c>
      <c r="Q217" t="s">
        <v>113</v>
      </c>
      <c r="R217" t="str">
        <f>"304-86-496"</f>
        <v>304-86-496</v>
      </c>
      <c r="S217" t="s">
        <v>270</v>
      </c>
      <c r="T217" t="s">
        <v>271</v>
      </c>
      <c r="U217">
        <v>1734</v>
      </c>
      <c r="W217">
        <v>2</v>
      </c>
      <c r="X217">
        <v>2014</v>
      </c>
      <c r="Z217">
        <v>1</v>
      </c>
      <c r="AC217" t="s">
        <v>115</v>
      </c>
      <c r="AD217">
        <v>2</v>
      </c>
      <c r="AE217" t="s">
        <v>115</v>
      </c>
      <c r="AH217" t="s">
        <v>116</v>
      </c>
      <c r="AI217" s="1">
        <v>94063</v>
      </c>
      <c r="AJ217" s="2">
        <v>0.27</v>
      </c>
      <c r="AK217" s="1">
        <v>343504</v>
      </c>
      <c r="AL217" t="s">
        <v>117</v>
      </c>
      <c r="AM217" t="s">
        <v>191</v>
      </c>
      <c r="AN217">
        <v>5750</v>
      </c>
      <c r="AO217">
        <v>0.13</v>
      </c>
      <c r="AR217">
        <v>1</v>
      </c>
      <c r="AS217" s="1">
        <v>24020</v>
      </c>
      <c r="AT217" s="1">
        <v>4800</v>
      </c>
      <c r="AU217" s="1">
        <v>19220</v>
      </c>
      <c r="AV217">
        <v>80.02</v>
      </c>
      <c r="AX217" s="1">
        <v>1762.4</v>
      </c>
      <c r="AY217" t="s">
        <v>272</v>
      </c>
      <c r="AZ217" t="s">
        <v>273</v>
      </c>
      <c r="BA217" t="s">
        <v>274</v>
      </c>
      <c r="BE217" s="3">
        <v>41709</v>
      </c>
      <c r="BF217" s="1">
        <v>252375</v>
      </c>
      <c r="BG217" t="s">
        <v>275</v>
      </c>
      <c r="BH217" s="1">
        <v>145.54</v>
      </c>
      <c r="BI217" s="1">
        <v>249441</v>
      </c>
      <c r="BJ217" s="3">
        <v>42446</v>
      </c>
      <c r="BK217" t="s">
        <v>123</v>
      </c>
      <c r="BL217" t="str">
        <f>"2016.172536"</f>
        <v>2016.172536</v>
      </c>
      <c r="BM217" t="s">
        <v>425</v>
      </c>
      <c r="BO217" t="s">
        <v>1725</v>
      </c>
      <c r="BP217" t="s">
        <v>1726</v>
      </c>
      <c r="BS217">
        <v>30</v>
      </c>
      <c r="BW217" t="str">
        <f>""</f>
        <v/>
      </c>
      <c r="CH217" t="str">
        <f>""</f>
        <v/>
      </c>
      <c r="CS217" t="str">
        <f>""</f>
        <v/>
      </c>
    </row>
    <row r="218" spans="1:97" x14ac:dyDescent="0.25">
      <c r="A218" t="s">
        <v>1727</v>
      </c>
      <c r="B218" t="s">
        <v>1728</v>
      </c>
      <c r="C218" t="s">
        <v>1729</v>
      </c>
      <c r="D218" t="s">
        <v>1728</v>
      </c>
      <c r="E218" t="s">
        <v>1730</v>
      </c>
      <c r="F218" t="s">
        <v>108</v>
      </c>
      <c r="H218" t="s">
        <v>1731</v>
      </c>
      <c r="I218" t="s">
        <v>203</v>
      </c>
      <c r="J218" t="s">
        <v>111</v>
      </c>
      <c r="K218" t="str">
        <f>"85295"</f>
        <v>85295</v>
      </c>
      <c r="L218" t="s">
        <v>204</v>
      </c>
      <c r="M218" t="s">
        <v>1731</v>
      </c>
      <c r="N218" t="s">
        <v>203</v>
      </c>
      <c r="O218" t="s">
        <v>111</v>
      </c>
      <c r="P218" t="str">
        <f>"85295"</f>
        <v>85295</v>
      </c>
      <c r="Q218" t="s">
        <v>113</v>
      </c>
      <c r="R218" t="str">
        <f>"313-18-098"</f>
        <v>313-18-098</v>
      </c>
      <c r="S218" t="s">
        <v>205</v>
      </c>
      <c r="T218" t="s">
        <v>205</v>
      </c>
      <c r="U218">
        <v>2924</v>
      </c>
      <c r="W218">
        <v>5</v>
      </c>
      <c r="X218">
        <v>2014</v>
      </c>
      <c r="Z218">
        <v>2</v>
      </c>
      <c r="AC218" t="s">
        <v>115</v>
      </c>
      <c r="AD218">
        <v>2</v>
      </c>
      <c r="AE218" t="s">
        <v>115</v>
      </c>
      <c r="AH218" t="s">
        <v>116</v>
      </c>
      <c r="AI218" s="1">
        <v>128500</v>
      </c>
      <c r="AJ218" s="2">
        <v>0.28000000000000003</v>
      </c>
      <c r="AK218" s="1">
        <v>461500</v>
      </c>
      <c r="AL218" t="s">
        <v>117</v>
      </c>
      <c r="AM218" t="s">
        <v>191</v>
      </c>
      <c r="AN218">
        <v>5250</v>
      </c>
      <c r="AO218">
        <v>0.12</v>
      </c>
      <c r="AR218">
        <v>1</v>
      </c>
      <c r="AS218" s="1">
        <v>33680</v>
      </c>
      <c r="AT218" s="1">
        <v>6730</v>
      </c>
      <c r="AU218" s="1">
        <v>26950</v>
      </c>
      <c r="AV218">
        <v>80.02</v>
      </c>
      <c r="AX218" s="1">
        <v>2188.1</v>
      </c>
      <c r="AY218" t="s">
        <v>206</v>
      </c>
      <c r="AZ218" t="s">
        <v>207</v>
      </c>
      <c r="BA218" t="s">
        <v>208</v>
      </c>
      <c r="BE218" s="3">
        <v>41821</v>
      </c>
      <c r="BF218" s="1">
        <v>349001</v>
      </c>
      <c r="BG218" t="s">
        <v>209</v>
      </c>
      <c r="BH218" s="1">
        <v>119.36</v>
      </c>
      <c r="BI218" s="1">
        <v>333000</v>
      </c>
      <c r="BJ218" s="3">
        <v>42408</v>
      </c>
      <c r="BK218" t="s">
        <v>123</v>
      </c>
      <c r="BL218" t="str">
        <f>"2016.79570"</f>
        <v>2016.79570</v>
      </c>
      <c r="BM218" t="s">
        <v>425</v>
      </c>
      <c r="BO218" t="s">
        <v>1732</v>
      </c>
      <c r="BS218">
        <v>30</v>
      </c>
      <c r="BW218" t="str">
        <f>""</f>
        <v/>
      </c>
      <c r="CH218" t="str">
        <f>""</f>
        <v/>
      </c>
      <c r="CS218" t="str">
        <f>""</f>
        <v/>
      </c>
    </row>
    <row r="219" spans="1:97" x14ac:dyDescent="0.25">
      <c r="A219" t="s">
        <v>1733</v>
      </c>
      <c r="B219" t="s">
        <v>1734</v>
      </c>
      <c r="C219" t="s">
        <v>1735</v>
      </c>
      <c r="D219" t="s">
        <v>1734</v>
      </c>
      <c r="E219" t="s">
        <v>1736</v>
      </c>
      <c r="F219" t="s">
        <v>108</v>
      </c>
      <c r="H219" t="s">
        <v>1737</v>
      </c>
      <c r="I219" t="s">
        <v>203</v>
      </c>
      <c r="J219" t="s">
        <v>111</v>
      </c>
      <c r="K219" t="str">
        <f>"85298"</f>
        <v>85298</v>
      </c>
      <c r="L219" t="s">
        <v>284</v>
      </c>
      <c r="M219" t="s">
        <v>1737</v>
      </c>
      <c r="N219" t="s">
        <v>203</v>
      </c>
      <c r="O219" t="s">
        <v>111</v>
      </c>
      <c r="P219" t="str">
        <f>"85298"</f>
        <v>85298</v>
      </c>
      <c r="Q219" t="s">
        <v>113</v>
      </c>
      <c r="R219" t="str">
        <f>"304-73-664"</f>
        <v>304-73-664</v>
      </c>
      <c r="S219" t="s">
        <v>286</v>
      </c>
      <c r="T219" t="s">
        <v>287</v>
      </c>
      <c r="U219">
        <v>1677</v>
      </c>
      <c r="W219">
        <v>3</v>
      </c>
      <c r="X219">
        <v>2015</v>
      </c>
      <c r="Z219">
        <v>1</v>
      </c>
      <c r="AC219" t="s">
        <v>115</v>
      </c>
      <c r="AD219">
        <v>2</v>
      </c>
      <c r="AE219" t="s">
        <v>115</v>
      </c>
      <c r="AH219" t="s">
        <v>116</v>
      </c>
      <c r="AI219" s="1">
        <v>55862</v>
      </c>
      <c r="AJ219" s="2">
        <v>0.16</v>
      </c>
      <c r="AK219" s="1">
        <v>348398</v>
      </c>
      <c r="AL219" t="s">
        <v>117</v>
      </c>
      <c r="AM219" t="s">
        <v>288</v>
      </c>
      <c r="AN219">
        <v>5439</v>
      </c>
      <c r="AO219">
        <v>0.12</v>
      </c>
      <c r="AR219">
        <v>1</v>
      </c>
      <c r="AS219" s="1">
        <v>24260</v>
      </c>
      <c r="AT219" s="1">
        <v>4850</v>
      </c>
      <c r="AU219" s="1">
        <v>19410</v>
      </c>
      <c r="AV219">
        <v>80.010000000000005</v>
      </c>
      <c r="AX219" s="1">
        <v>1901.62</v>
      </c>
      <c r="AY219" t="s">
        <v>289</v>
      </c>
      <c r="AZ219" t="s">
        <v>289</v>
      </c>
      <c r="BA219" t="s">
        <v>290</v>
      </c>
      <c r="BE219" s="3">
        <v>42513</v>
      </c>
      <c r="BF219" s="1">
        <v>286379</v>
      </c>
      <c r="BG219" t="s">
        <v>292</v>
      </c>
      <c r="BH219" s="1">
        <v>170.77</v>
      </c>
      <c r="BI219" s="1">
        <v>292536</v>
      </c>
      <c r="BJ219" s="3">
        <v>42513</v>
      </c>
      <c r="BK219" t="s">
        <v>123</v>
      </c>
      <c r="BL219" t="str">
        <f>"2016.353104"</f>
        <v>2016.353104</v>
      </c>
      <c r="BM219" t="s">
        <v>594</v>
      </c>
      <c r="BO219" t="s">
        <v>1738</v>
      </c>
      <c r="BS219">
        <v>30</v>
      </c>
      <c r="BW219" t="str">
        <f>""</f>
        <v/>
      </c>
      <c r="CH219" t="str">
        <f>""</f>
        <v/>
      </c>
      <c r="CS219" t="str">
        <f>""</f>
        <v/>
      </c>
    </row>
    <row r="220" spans="1:97" x14ac:dyDescent="0.25">
      <c r="A220" t="s">
        <v>996</v>
      </c>
      <c r="B220" t="s">
        <v>1094</v>
      </c>
      <c r="C220" t="s">
        <v>1739</v>
      </c>
      <c r="D220" t="s">
        <v>1094</v>
      </c>
      <c r="E220" t="s">
        <v>1740</v>
      </c>
      <c r="F220" t="s">
        <v>108</v>
      </c>
      <c r="H220" t="s">
        <v>1741</v>
      </c>
      <c r="I220" t="s">
        <v>167</v>
      </c>
      <c r="J220" t="s">
        <v>111</v>
      </c>
      <c r="K220" t="str">
        <f>"85339"</f>
        <v>85339</v>
      </c>
      <c r="L220" t="s">
        <v>168</v>
      </c>
      <c r="M220" t="s">
        <v>1741</v>
      </c>
      <c r="N220" t="s">
        <v>167</v>
      </c>
      <c r="O220" t="s">
        <v>111</v>
      </c>
      <c r="P220" t="str">
        <f>"85339-5175"</f>
        <v>85339-5175</v>
      </c>
      <c r="Q220" t="s">
        <v>113</v>
      </c>
      <c r="R220" t="str">
        <f>"104-73-577"</f>
        <v>104-73-577</v>
      </c>
      <c r="S220" t="s">
        <v>169</v>
      </c>
      <c r="T220" t="s">
        <v>170</v>
      </c>
      <c r="U220">
        <v>1996</v>
      </c>
      <c r="W220">
        <v>4</v>
      </c>
      <c r="X220">
        <v>2014</v>
      </c>
      <c r="Z220">
        <v>1</v>
      </c>
      <c r="AC220" t="s">
        <v>115</v>
      </c>
      <c r="AD220">
        <v>3</v>
      </c>
      <c r="AE220" t="s">
        <v>115</v>
      </c>
      <c r="AH220" t="s">
        <v>116</v>
      </c>
      <c r="AI220" s="1">
        <v>53234</v>
      </c>
      <c r="AJ220" s="2">
        <v>0.18</v>
      </c>
      <c r="AK220" s="1">
        <v>292484</v>
      </c>
      <c r="AL220" t="s">
        <v>117</v>
      </c>
      <c r="AM220" t="s">
        <v>171</v>
      </c>
      <c r="AN220">
        <v>8181</v>
      </c>
      <c r="AO220">
        <v>0.19</v>
      </c>
      <c r="AR220">
        <v>1</v>
      </c>
      <c r="AS220" s="1">
        <v>21280</v>
      </c>
      <c r="AT220" s="1">
        <v>4250</v>
      </c>
      <c r="AU220" s="1">
        <v>17030</v>
      </c>
      <c r="AV220">
        <v>80.03</v>
      </c>
      <c r="AX220" s="1">
        <v>3139.26</v>
      </c>
      <c r="AY220" t="s">
        <v>805</v>
      </c>
      <c r="AZ220" t="s">
        <v>806</v>
      </c>
      <c r="BA220" t="s">
        <v>173</v>
      </c>
      <c r="BE220" s="3">
        <v>41731</v>
      </c>
      <c r="BF220" s="1">
        <v>244558</v>
      </c>
      <c r="BG220" t="s">
        <v>174</v>
      </c>
      <c r="BH220" s="1">
        <v>122.52</v>
      </c>
      <c r="BI220" s="1">
        <v>239250</v>
      </c>
      <c r="BJ220" s="3">
        <v>42338</v>
      </c>
      <c r="BK220" t="s">
        <v>123</v>
      </c>
      <c r="BL220" t="str">
        <f>"2015.848461"</f>
        <v>2015.848461</v>
      </c>
      <c r="BM220" t="s">
        <v>124</v>
      </c>
      <c r="BO220" t="s">
        <v>1742</v>
      </c>
      <c r="BS220">
        <v>30</v>
      </c>
      <c r="BW220" t="str">
        <f>""</f>
        <v/>
      </c>
      <c r="CH220" t="str">
        <f>""</f>
        <v/>
      </c>
      <c r="CS220" t="str">
        <f>""</f>
        <v/>
      </c>
    </row>
    <row r="221" spans="1:97" x14ac:dyDescent="0.25">
      <c r="A221" t="s">
        <v>1743</v>
      </c>
      <c r="B221" t="s">
        <v>1744</v>
      </c>
      <c r="C221" t="s">
        <v>1745</v>
      </c>
      <c r="D221" t="s">
        <v>1744</v>
      </c>
      <c r="E221" t="s">
        <v>1746</v>
      </c>
      <c r="F221" t="s">
        <v>108</v>
      </c>
      <c r="H221" t="s">
        <v>1747</v>
      </c>
      <c r="I221" t="s">
        <v>188</v>
      </c>
      <c r="J221" t="s">
        <v>111</v>
      </c>
      <c r="K221" t="str">
        <f>"85142"</f>
        <v>85142</v>
      </c>
      <c r="L221" t="s">
        <v>189</v>
      </c>
      <c r="M221" t="s">
        <v>1747</v>
      </c>
      <c r="N221" t="s">
        <v>188</v>
      </c>
      <c r="O221" t="s">
        <v>111</v>
      </c>
      <c r="P221" t="str">
        <f>"85142-4985"</f>
        <v>85142-4985</v>
      </c>
      <c r="Q221" t="s">
        <v>113</v>
      </c>
      <c r="R221" t="str">
        <f>"304-93-586"</f>
        <v>304-93-586</v>
      </c>
      <c r="S221" t="s">
        <v>190</v>
      </c>
      <c r="U221">
        <v>2184</v>
      </c>
      <c r="W221">
        <v>3</v>
      </c>
      <c r="X221">
        <v>2015</v>
      </c>
      <c r="Z221">
        <v>1</v>
      </c>
      <c r="AC221" t="s">
        <v>115</v>
      </c>
      <c r="AD221">
        <v>2</v>
      </c>
      <c r="AE221" t="s">
        <v>115</v>
      </c>
      <c r="AH221" t="s">
        <v>116</v>
      </c>
      <c r="AI221" s="1">
        <v>71395</v>
      </c>
      <c r="AJ221" s="2">
        <v>0.19</v>
      </c>
      <c r="AK221" s="1">
        <v>380974</v>
      </c>
      <c r="AL221" t="s">
        <v>117</v>
      </c>
      <c r="AM221" t="s">
        <v>191</v>
      </c>
      <c r="AN221">
        <v>7475</v>
      </c>
      <c r="AO221">
        <v>0.17</v>
      </c>
      <c r="AR221">
        <v>1</v>
      </c>
      <c r="AS221" s="1">
        <v>26880</v>
      </c>
      <c r="AT221" s="1">
        <v>5370</v>
      </c>
      <c r="AU221" s="1">
        <v>21510</v>
      </c>
      <c r="AV221">
        <v>80.02</v>
      </c>
      <c r="AX221" s="1">
        <v>2428.38</v>
      </c>
      <c r="AY221" t="s">
        <v>192</v>
      </c>
      <c r="AZ221" t="s">
        <v>193</v>
      </c>
      <c r="BA221" t="s">
        <v>194</v>
      </c>
      <c r="BE221" s="3">
        <v>42474</v>
      </c>
      <c r="BF221" s="1">
        <v>299690</v>
      </c>
      <c r="BG221" t="s">
        <v>195</v>
      </c>
      <c r="BH221" s="1">
        <v>137.22</v>
      </c>
      <c r="BI221" s="1">
        <v>309579</v>
      </c>
      <c r="BJ221" s="3">
        <v>42474</v>
      </c>
      <c r="BK221" t="s">
        <v>123</v>
      </c>
      <c r="BL221" t="str">
        <f>"2016.248171"</f>
        <v>2016.248171</v>
      </c>
      <c r="BM221" t="s">
        <v>196</v>
      </c>
      <c r="BO221" t="s">
        <v>1748</v>
      </c>
      <c r="BS221">
        <v>30</v>
      </c>
      <c r="BW221" t="str">
        <f>""</f>
        <v/>
      </c>
      <c r="CH221" t="str">
        <f>""</f>
        <v/>
      </c>
      <c r="CS221" t="str">
        <f>""</f>
        <v/>
      </c>
    </row>
    <row r="222" spans="1:97" x14ac:dyDescent="0.25">
      <c r="A222" t="s">
        <v>1749</v>
      </c>
      <c r="B222" t="s">
        <v>1750</v>
      </c>
      <c r="E222" t="s">
        <v>1751</v>
      </c>
      <c r="F222" t="s">
        <v>108</v>
      </c>
      <c r="H222" t="s">
        <v>1752</v>
      </c>
      <c r="I222" t="s">
        <v>225</v>
      </c>
      <c r="J222" t="s">
        <v>111</v>
      </c>
      <c r="K222" t="str">
        <f>"85206"</f>
        <v>85206</v>
      </c>
      <c r="L222" t="s">
        <v>226</v>
      </c>
      <c r="M222" t="s">
        <v>1752</v>
      </c>
      <c r="N222" t="s">
        <v>225</v>
      </c>
      <c r="O222" t="s">
        <v>111</v>
      </c>
      <c r="P222" t="str">
        <f>"85206-1499"</f>
        <v>85206-1499</v>
      </c>
      <c r="Q222" t="s">
        <v>113</v>
      </c>
      <c r="R222" t="str">
        <f>"141-50-653"</f>
        <v>141-50-653</v>
      </c>
      <c r="S222" t="s">
        <v>227</v>
      </c>
      <c r="T222" t="s">
        <v>228</v>
      </c>
      <c r="U222">
        <v>2581</v>
      </c>
      <c r="W222">
        <v>3</v>
      </c>
      <c r="X222">
        <v>2013</v>
      </c>
      <c r="Z222">
        <v>2</v>
      </c>
      <c r="AC222" t="s">
        <v>115</v>
      </c>
      <c r="AD222">
        <v>2</v>
      </c>
      <c r="AE222" t="s">
        <v>115</v>
      </c>
      <c r="AH222" t="s">
        <v>116</v>
      </c>
      <c r="AI222" s="1">
        <v>69645</v>
      </c>
      <c r="AJ222" s="2">
        <v>0.21</v>
      </c>
      <c r="AK222" s="1">
        <v>327645</v>
      </c>
      <c r="AL222" t="s">
        <v>117</v>
      </c>
      <c r="AM222" t="s">
        <v>229</v>
      </c>
      <c r="AN222">
        <v>3864</v>
      </c>
      <c r="AO222">
        <v>0.89</v>
      </c>
      <c r="AR222">
        <v>1</v>
      </c>
      <c r="AS222" s="1">
        <v>22130</v>
      </c>
      <c r="AT222" s="1">
        <v>4420</v>
      </c>
      <c r="AU222" s="1">
        <v>17710</v>
      </c>
      <c r="AV222">
        <v>80.03</v>
      </c>
      <c r="AX222" s="1">
        <v>1584.2</v>
      </c>
      <c r="AY222" t="s">
        <v>230</v>
      </c>
      <c r="AZ222" t="s">
        <v>231</v>
      </c>
      <c r="BA222" t="s">
        <v>232</v>
      </c>
      <c r="BE222" s="3">
        <v>42460</v>
      </c>
      <c r="BF222" s="1">
        <v>250000</v>
      </c>
      <c r="BG222" t="s">
        <v>1753</v>
      </c>
      <c r="BH222" s="1">
        <v>96.86</v>
      </c>
      <c r="BI222" s="1">
        <v>258000</v>
      </c>
      <c r="BJ222" s="3">
        <v>43089</v>
      </c>
      <c r="BK222" t="s">
        <v>123</v>
      </c>
      <c r="BL222" t="str">
        <f>"2017.940387"</f>
        <v>2017.940387</v>
      </c>
      <c r="BM222" t="s">
        <v>135</v>
      </c>
      <c r="BO222" t="s">
        <v>1754</v>
      </c>
      <c r="BS222">
        <v>31</v>
      </c>
      <c r="BW222" t="str">
        <f>""</f>
        <v/>
      </c>
      <c r="CH222" t="str">
        <f>""</f>
        <v/>
      </c>
      <c r="CS222" t="str">
        <f>""</f>
        <v/>
      </c>
    </row>
    <row r="223" spans="1:97" x14ac:dyDescent="0.25">
      <c r="A223" t="s">
        <v>1755</v>
      </c>
      <c r="B223" t="s">
        <v>1756</v>
      </c>
      <c r="E223" t="s">
        <v>1757</v>
      </c>
      <c r="F223" t="s">
        <v>108</v>
      </c>
      <c r="H223" t="s">
        <v>1758</v>
      </c>
      <c r="I223" t="s">
        <v>225</v>
      </c>
      <c r="J223" t="s">
        <v>111</v>
      </c>
      <c r="K223" t="str">
        <f>"85206"</f>
        <v>85206</v>
      </c>
      <c r="L223" t="s">
        <v>226</v>
      </c>
      <c r="M223" t="s">
        <v>1758</v>
      </c>
      <c r="N223" t="s">
        <v>225</v>
      </c>
      <c r="O223" t="s">
        <v>111</v>
      </c>
      <c r="P223" t="str">
        <f>"85206-1506"</f>
        <v>85206-1506</v>
      </c>
      <c r="Q223" t="s">
        <v>113</v>
      </c>
      <c r="R223" t="str">
        <f>"141-50-640"</f>
        <v>141-50-640</v>
      </c>
      <c r="S223" t="s">
        <v>227</v>
      </c>
      <c r="T223" t="s">
        <v>228</v>
      </c>
      <c r="U223">
        <v>1817</v>
      </c>
      <c r="W223">
        <v>3</v>
      </c>
      <c r="X223">
        <v>2013</v>
      </c>
      <c r="Z223">
        <v>2</v>
      </c>
      <c r="AC223" t="s">
        <v>115</v>
      </c>
      <c r="AD223">
        <v>2</v>
      </c>
      <c r="AE223" t="s">
        <v>115</v>
      </c>
      <c r="AH223" t="s">
        <v>116</v>
      </c>
      <c r="AI223" s="1">
        <v>60350</v>
      </c>
      <c r="AJ223" s="2">
        <v>0.22</v>
      </c>
      <c r="AK223" s="1">
        <v>279346</v>
      </c>
      <c r="AL223" t="s">
        <v>117</v>
      </c>
      <c r="AM223" t="s">
        <v>229</v>
      </c>
      <c r="AN223">
        <v>3864</v>
      </c>
      <c r="AO223">
        <v>0.89</v>
      </c>
      <c r="AR223">
        <v>1</v>
      </c>
      <c r="AS223" s="1">
        <v>19260</v>
      </c>
      <c r="AT223" s="1">
        <v>3850</v>
      </c>
      <c r="AU223" s="1">
        <v>15410</v>
      </c>
      <c r="AV223">
        <v>80.010000000000005</v>
      </c>
      <c r="AX223" s="1">
        <v>1332.68</v>
      </c>
      <c r="AY223" t="s">
        <v>230</v>
      </c>
      <c r="AZ223" t="s">
        <v>231</v>
      </c>
      <c r="BA223" t="s">
        <v>232</v>
      </c>
      <c r="BE223" s="3">
        <v>42436</v>
      </c>
      <c r="BF223" s="1">
        <v>212000</v>
      </c>
      <c r="BG223" t="s">
        <v>1759</v>
      </c>
      <c r="BH223" s="1">
        <v>116.68</v>
      </c>
      <c r="BI223" s="1">
        <v>218996</v>
      </c>
      <c r="BJ223" s="3">
        <v>42436</v>
      </c>
      <c r="BK223" t="s">
        <v>123</v>
      </c>
      <c r="BL223" t="str">
        <f>"2016.145635"</f>
        <v>2016.145635</v>
      </c>
      <c r="BM223" t="s">
        <v>1760</v>
      </c>
      <c r="BO223" t="s">
        <v>1761</v>
      </c>
      <c r="BS223">
        <v>30</v>
      </c>
      <c r="BW223" t="str">
        <f>""</f>
        <v/>
      </c>
      <c r="CH223" t="str">
        <f>""</f>
        <v/>
      </c>
      <c r="CS223" t="str">
        <f>""</f>
        <v/>
      </c>
    </row>
    <row r="224" spans="1:97" x14ac:dyDescent="0.25">
      <c r="A224" t="s">
        <v>943</v>
      </c>
      <c r="B224" t="s">
        <v>1762</v>
      </c>
      <c r="E224" t="s">
        <v>1763</v>
      </c>
      <c r="F224" t="s">
        <v>139</v>
      </c>
      <c r="H224" t="s">
        <v>1764</v>
      </c>
      <c r="I224" t="s">
        <v>188</v>
      </c>
      <c r="J224" t="s">
        <v>111</v>
      </c>
      <c r="K224" t="str">
        <f>"85142"</f>
        <v>85142</v>
      </c>
      <c r="L224" t="s">
        <v>189</v>
      </c>
      <c r="M224" t="s">
        <v>1765</v>
      </c>
      <c r="N224" t="s">
        <v>188</v>
      </c>
      <c r="O224" t="s">
        <v>111</v>
      </c>
      <c r="P224" t="str">
        <f>"85142-1836"</f>
        <v>85142-1836</v>
      </c>
      <c r="Q224" t="s">
        <v>113</v>
      </c>
      <c r="R224" t="str">
        <f>"304-93-642"</f>
        <v>304-93-642</v>
      </c>
      <c r="S224" t="s">
        <v>190</v>
      </c>
      <c r="U224">
        <v>2257</v>
      </c>
      <c r="W224">
        <v>4</v>
      </c>
      <c r="X224">
        <v>2016</v>
      </c>
      <c r="Z224">
        <v>1</v>
      </c>
      <c r="AC224" t="s">
        <v>115</v>
      </c>
      <c r="AD224">
        <v>3</v>
      </c>
      <c r="AE224" t="s">
        <v>115</v>
      </c>
      <c r="AH224" t="s">
        <v>116</v>
      </c>
      <c r="AI224" s="1">
        <v>67234</v>
      </c>
      <c r="AJ224" s="2">
        <v>0.18</v>
      </c>
      <c r="AK224" s="1">
        <v>381856</v>
      </c>
      <c r="AL224" t="s">
        <v>117</v>
      </c>
      <c r="AM224" t="s">
        <v>191</v>
      </c>
      <c r="AN224">
        <v>8148</v>
      </c>
      <c r="AO224">
        <v>0.19</v>
      </c>
      <c r="AR224">
        <v>1</v>
      </c>
      <c r="AS224" s="1">
        <v>27460</v>
      </c>
      <c r="AT224" s="1">
        <v>5490</v>
      </c>
      <c r="AU224" s="1">
        <v>21970</v>
      </c>
      <c r="AV224">
        <v>80.010000000000005</v>
      </c>
      <c r="AX224" s="1">
        <v>2443.1799999999998</v>
      </c>
      <c r="AY224" t="s">
        <v>192</v>
      </c>
      <c r="AZ224" t="s">
        <v>193</v>
      </c>
      <c r="BA224" t="s">
        <v>194</v>
      </c>
      <c r="BE224" s="3">
        <v>42517</v>
      </c>
      <c r="BF224" s="1">
        <v>308000</v>
      </c>
      <c r="BG224" t="s">
        <v>195</v>
      </c>
      <c r="BH224" s="1">
        <v>136.46</v>
      </c>
      <c r="BI224" s="1">
        <v>314622</v>
      </c>
      <c r="BJ224" s="3">
        <v>42517</v>
      </c>
      <c r="BK224" t="s">
        <v>123</v>
      </c>
      <c r="BL224" t="str">
        <f>"2016.368533"</f>
        <v>2016.368533</v>
      </c>
      <c r="BM224" t="s">
        <v>196</v>
      </c>
      <c r="BO224" t="s">
        <v>1766</v>
      </c>
      <c r="BS224">
        <v>30</v>
      </c>
      <c r="BW224" t="str">
        <f>""</f>
        <v/>
      </c>
      <c r="CH224" t="str">
        <f>""</f>
        <v/>
      </c>
      <c r="CS224" t="str">
        <f>""</f>
        <v/>
      </c>
    </row>
    <row r="225" spans="1:97" x14ac:dyDescent="0.25">
      <c r="A225" t="s">
        <v>1767</v>
      </c>
      <c r="B225" t="s">
        <v>1768</v>
      </c>
      <c r="C225" t="s">
        <v>1769</v>
      </c>
      <c r="D225" t="s">
        <v>1768</v>
      </c>
      <c r="E225" t="s">
        <v>1770</v>
      </c>
      <c r="F225" t="s">
        <v>108</v>
      </c>
      <c r="H225" t="s">
        <v>1771</v>
      </c>
      <c r="I225" t="s">
        <v>225</v>
      </c>
      <c r="J225" t="s">
        <v>111</v>
      </c>
      <c r="K225" t="str">
        <f>"85206"</f>
        <v>85206</v>
      </c>
      <c r="L225" t="s">
        <v>226</v>
      </c>
      <c r="M225" t="s">
        <v>1771</v>
      </c>
      <c r="N225" t="s">
        <v>225</v>
      </c>
      <c r="O225" t="s">
        <v>111</v>
      </c>
      <c r="P225" t="str">
        <f>"85206-1498"</f>
        <v>85206-1498</v>
      </c>
      <c r="Q225" t="s">
        <v>113</v>
      </c>
      <c r="R225" t="str">
        <f>"141-50-660"</f>
        <v>141-50-660</v>
      </c>
      <c r="S225" t="s">
        <v>227</v>
      </c>
      <c r="T225" t="s">
        <v>228</v>
      </c>
      <c r="U225">
        <v>2581</v>
      </c>
      <c r="W225">
        <v>3</v>
      </c>
      <c r="X225">
        <v>2013</v>
      </c>
      <c r="Z225">
        <v>2</v>
      </c>
      <c r="AA225" t="s">
        <v>26</v>
      </c>
      <c r="AC225" t="s">
        <v>115</v>
      </c>
      <c r="AD225">
        <v>2</v>
      </c>
      <c r="AE225" t="s">
        <v>115</v>
      </c>
      <c r="AH225" t="s">
        <v>116</v>
      </c>
      <c r="AI225" s="1">
        <v>88760</v>
      </c>
      <c r="AJ225" s="2">
        <v>0.25</v>
      </c>
      <c r="AK225" s="1">
        <v>358646</v>
      </c>
      <c r="AL225" t="s">
        <v>117</v>
      </c>
      <c r="AM225" t="s">
        <v>229</v>
      </c>
      <c r="AN225">
        <v>3864</v>
      </c>
      <c r="AO225">
        <v>0.89</v>
      </c>
      <c r="AR225">
        <v>1</v>
      </c>
      <c r="AS225" s="1">
        <v>23610</v>
      </c>
      <c r="AT225" s="1">
        <v>4720</v>
      </c>
      <c r="AU225" s="1">
        <v>18890</v>
      </c>
      <c r="AV225">
        <v>80.010000000000005</v>
      </c>
      <c r="AX225" s="1">
        <v>1584.2</v>
      </c>
      <c r="AY225" t="s">
        <v>230</v>
      </c>
      <c r="AZ225" t="s">
        <v>231</v>
      </c>
      <c r="BA225" t="s">
        <v>232</v>
      </c>
      <c r="BE225" s="3">
        <v>41670</v>
      </c>
      <c r="BF225" s="1">
        <v>266465</v>
      </c>
      <c r="BG225" t="s">
        <v>1772</v>
      </c>
      <c r="BH225" s="1">
        <v>103.24</v>
      </c>
      <c r="BI225" s="1">
        <v>269886</v>
      </c>
      <c r="BJ225" s="3">
        <v>42656</v>
      </c>
      <c r="BK225" t="s">
        <v>123</v>
      </c>
      <c r="BL225" t="str">
        <f>"2016.751278"</f>
        <v>2016.751278</v>
      </c>
      <c r="BM225" t="s">
        <v>196</v>
      </c>
      <c r="BO225" t="s">
        <v>1773</v>
      </c>
      <c r="BS225">
        <v>30</v>
      </c>
      <c r="BW225" t="str">
        <f>""</f>
        <v/>
      </c>
      <c r="CH225" t="str">
        <f>""</f>
        <v/>
      </c>
      <c r="CS225" t="str">
        <f>""</f>
        <v/>
      </c>
    </row>
    <row r="226" spans="1:97" x14ac:dyDescent="0.25">
      <c r="A226" t="s">
        <v>1774</v>
      </c>
      <c r="B226" t="s">
        <v>1775</v>
      </c>
      <c r="E226" t="s">
        <v>1776</v>
      </c>
      <c r="F226" t="s">
        <v>108</v>
      </c>
      <c r="H226" t="s">
        <v>1777</v>
      </c>
      <c r="I226" t="s">
        <v>203</v>
      </c>
      <c r="J226" t="s">
        <v>111</v>
      </c>
      <c r="K226" t="str">
        <f>"85298"</f>
        <v>85298</v>
      </c>
      <c r="L226" t="s">
        <v>337</v>
      </c>
      <c r="M226" t="s">
        <v>1777</v>
      </c>
      <c r="N226" t="s">
        <v>203</v>
      </c>
      <c r="O226" t="s">
        <v>111</v>
      </c>
      <c r="P226" t="str">
        <f>"85298-7434"</f>
        <v>85298-7434</v>
      </c>
      <c r="Q226" t="s">
        <v>113</v>
      </c>
      <c r="R226" t="str">
        <f>"304-86-461"</f>
        <v>304-86-461</v>
      </c>
      <c r="S226" t="s">
        <v>270</v>
      </c>
      <c r="T226" t="s">
        <v>271</v>
      </c>
      <c r="U226">
        <v>1592</v>
      </c>
      <c r="W226">
        <v>2</v>
      </c>
      <c r="X226">
        <v>2014</v>
      </c>
      <c r="Z226">
        <v>1</v>
      </c>
      <c r="AC226" t="s">
        <v>115</v>
      </c>
      <c r="AD226">
        <v>2</v>
      </c>
      <c r="AE226" t="s">
        <v>115</v>
      </c>
      <c r="AH226" t="s">
        <v>116</v>
      </c>
      <c r="AI226" s="1">
        <v>61672</v>
      </c>
      <c r="AJ226" s="2">
        <v>0.18</v>
      </c>
      <c r="AK226" s="1">
        <v>334844</v>
      </c>
      <c r="AL226" t="s">
        <v>117</v>
      </c>
      <c r="AM226" t="s">
        <v>191</v>
      </c>
      <c r="AN226">
        <v>5750</v>
      </c>
      <c r="AO226">
        <v>0.13</v>
      </c>
      <c r="AR226">
        <v>1</v>
      </c>
      <c r="AS226" s="1">
        <v>23450</v>
      </c>
      <c r="AT226" s="1">
        <v>4690</v>
      </c>
      <c r="AU226" s="1">
        <v>18760</v>
      </c>
      <c r="AV226">
        <v>80</v>
      </c>
      <c r="AX226" s="1">
        <v>2020.74</v>
      </c>
      <c r="AY226" t="s">
        <v>272</v>
      </c>
      <c r="AZ226" t="s">
        <v>273</v>
      </c>
      <c r="BA226" t="s">
        <v>274</v>
      </c>
      <c r="BE226" s="3">
        <v>42503</v>
      </c>
      <c r="BF226" s="1">
        <v>270000</v>
      </c>
      <c r="BG226" t="s">
        <v>1778</v>
      </c>
      <c r="BH226" s="1">
        <v>169.6</v>
      </c>
      <c r="BI226" s="1">
        <v>273172</v>
      </c>
      <c r="BJ226" s="3">
        <v>42839</v>
      </c>
      <c r="BK226" t="s">
        <v>123</v>
      </c>
      <c r="BL226" t="str">
        <f>"2017.268260"</f>
        <v>2017.268260</v>
      </c>
      <c r="BM226" t="s">
        <v>843</v>
      </c>
      <c r="BO226" t="s">
        <v>1779</v>
      </c>
      <c r="BP226" t="s">
        <v>1780</v>
      </c>
      <c r="BS226">
        <v>30</v>
      </c>
      <c r="BW226" t="str">
        <f>""</f>
        <v/>
      </c>
      <c r="CH226" t="str">
        <f>""</f>
        <v/>
      </c>
      <c r="CS226" t="str">
        <f>""</f>
        <v/>
      </c>
    </row>
    <row r="227" spans="1:97" x14ac:dyDescent="0.25">
      <c r="A227" t="s">
        <v>767</v>
      </c>
      <c r="B227" t="s">
        <v>1781</v>
      </c>
      <c r="E227" t="s">
        <v>1782</v>
      </c>
      <c r="F227" t="s">
        <v>108</v>
      </c>
      <c r="H227" t="s">
        <v>1783</v>
      </c>
      <c r="I227" t="s">
        <v>144</v>
      </c>
      <c r="J227" t="s">
        <v>111</v>
      </c>
      <c r="K227" t="str">
        <f>"85396"</f>
        <v>85396</v>
      </c>
      <c r="L227" t="s">
        <v>145</v>
      </c>
      <c r="M227" t="s">
        <v>1783</v>
      </c>
      <c r="N227" t="s">
        <v>144</v>
      </c>
      <c r="O227" t="s">
        <v>111</v>
      </c>
      <c r="P227" t="str">
        <f>"85396-2462"</f>
        <v>85396-2462</v>
      </c>
      <c r="Q227" t="s">
        <v>113</v>
      </c>
      <c r="R227" t="str">
        <f>"502-61-262"</f>
        <v>502-61-262</v>
      </c>
      <c r="S227" t="s">
        <v>239</v>
      </c>
      <c r="U227">
        <v>2246</v>
      </c>
      <c r="W227">
        <v>4</v>
      </c>
      <c r="X227">
        <v>2014</v>
      </c>
      <c r="Z227">
        <v>1</v>
      </c>
      <c r="AC227" t="s">
        <v>115</v>
      </c>
      <c r="AD227">
        <v>3</v>
      </c>
      <c r="AE227" t="s">
        <v>115</v>
      </c>
      <c r="AH227" t="s">
        <v>116</v>
      </c>
      <c r="AI227" s="1">
        <v>47674</v>
      </c>
      <c r="AJ227" s="2">
        <v>0.14000000000000001</v>
      </c>
      <c r="AK227" s="1">
        <v>334674</v>
      </c>
      <c r="AL227" t="s">
        <v>117</v>
      </c>
      <c r="AM227" t="s">
        <v>118</v>
      </c>
      <c r="AN227">
        <v>6900</v>
      </c>
      <c r="AO227">
        <v>0.16</v>
      </c>
      <c r="AR227">
        <v>1</v>
      </c>
      <c r="AS227" s="1">
        <v>24310</v>
      </c>
      <c r="AT227" s="1">
        <v>4860</v>
      </c>
      <c r="AU227" s="1">
        <v>19450</v>
      </c>
      <c r="AV227">
        <v>80.010000000000005</v>
      </c>
      <c r="AX227" s="1">
        <v>2659.46</v>
      </c>
      <c r="AY227" t="s">
        <v>147</v>
      </c>
      <c r="AZ227" t="s">
        <v>147</v>
      </c>
      <c r="BA227" t="s">
        <v>148</v>
      </c>
      <c r="BB227" s="3">
        <v>42664</v>
      </c>
      <c r="BD227" t="s">
        <v>458</v>
      </c>
      <c r="BE227" s="3">
        <v>41988</v>
      </c>
      <c r="BF227" s="1">
        <v>278627</v>
      </c>
      <c r="BG227" t="s">
        <v>158</v>
      </c>
      <c r="BH227" s="1">
        <v>124.05</v>
      </c>
      <c r="BI227" s="1">
        <v>287000</v>
      </c>
      <c r="BJ227" s="3">
        <v>42664</v>
      </c>
      <c r="BK227" t="s">
        <v>123</v>
      </c>
      <c r="BL227" t="str">
        <f>"2016.773179"</f>
        <v>2016.773179</v>
      </c>
      <c r="BM227" t="s">
        <v>135</v>
      </c>
      <c r="BO227" t="s">
        <v>1784</v>
      </c>
      <c r="BS227">
        <v>30</v>
      </c>
      <c r="BW227" t="str">
        <f>""</f>
        <v/>
      </c>
      <c r="CH227" t="str">
        <f>""</f>
        <v/>
      </c>
      <c r="CS227" t="str">
        <f>""</f>
        <v/>
      </c>
    </row>
    <row r="228" spans="1:97" x14ac:dyDescent="0.25">
      <c r="A228" t="s">
        <v>177</v>
      </c>
      <c r="B228" t="s">
        <v>1785</v>
      </c>
      <c r="E228" t="s">
        <v>1786</v>
      </c>
      <c r="F228" t="s">
        <v>108</v>
      </c>
      <c r="H228" t="s">
        <v>1787</v>
      </c>
      <c r="I228" t="s">
        <v>1788</v>
      </c>
      <c r="J228" t="s">
        <v>111</v>
      </c>
      <c r="K228" t="str">
        <f>"85355"</f>
        <v>85355</v>
      </c>
      <c r="L228" t="s">
        <v>1789</v>
      </c>
      <c r="M228" t="s">
        <v>1787</v>
      </c>
      <c r="N228" t="s">
        <v>1788</v>
      </c>
      <c r="O228" t="s">
        <v>111</v>
      </c>
      <c r="P228" t="str">
        <f>"85355-9410"</f>
        <v>85355-9410</v>
      </c>
      <c r="Q228" t="s">
        <v>113</v>
      </c>
      <c r="R228" t="str">
        <f>"502-28-589-E"</f>
        <v>502-28-589-E</v>
      </c>
      <c r="U228">
        <v>2406</v>
      </c>
      <c r="W228">
        <v>4</v>
      </c>
      <c r="X228">
        <v>2014</v>
      </c>
      <c r="Z228">
        <v>1</v>
      </c>
      <c r="AC228" t="s">
        <v>115</v>
      </c>
      <c r="AD228">
        <v>4</v>
      </c>
      <c r="AE228" t="s">
        <v>115</v>
      </c>
      <c r="AH228" t="s">
        <v>116</v>
      </c>
      <c r="AI228" s="1">
        <v>139321</v>
      </c>
      <c r="AJ228" s="2">
        <v>0.3</v>
      </c>
      <c r="AK228" s="1">
        <v>468848</v>
      </c>
      <c r="AL228" t="s">
        <v>117</v>
      </c>
      <c r="AM228" t="s">
        <v>376</v>
      </c>
      <c r="AN228">
        <v>52527</v>
      </c>
      <c r="AO228">
        <v>1.21</v>
      </c>
      <c r="AR228">
        <v>1</v>
      </c>
      <c r="AS228" s="1">
        <v>31310</v>
      </c>
      <c r="AT228" s="1">
        <v>6260</v>
      </c>
      <c r="AU228" s="1">
        <v>25050</v>
      </c>
      <c r="AV228">
        <v>80.010000000000005</v>
      </c>
      <c r="AX228" s="1">
        <v>2111.48</v>
      </c>
      <c r="AY228" t="s">
        <v>503</v>
      </c>
      <c r="AZ228" t="s">
        <v>504</v>
      </c>
      <c r="BA228" t="s">
        <v>218</v>
      </c>
      <c r="BE228" s="3">
        <v>41948</v>
      </c>
      <c r="BF228" s="1">
        <v>332000</v>
      </c>
      <c r="BG228" t="s">
        <v>1790</v>
      </c>
      <c r="BH228" s="1">
        <v>137.99</v>
      </c>
      <c r="BI228" s="1">
        <v>329527</v>
      </c>
      <c r="BJ228" s="3">
        <v>41948</v>
      </c>
      <c r="BK228" t="s">
        <v>123</v>
      </c>
      <c r="BL228" t="str">
        <f>"2014.735326"</f>
        <v>2014.735326</v>
      </c>
      <c r="BM228" t="s">
        <v>1791</v>
      </c>
      <c r="BO228" t="s">
        <v>1792</v>
      </c>
      <c r="BS228">
        <v>30</v>
      </c>
      <c r="BW228" t="str">
        <f>""</f>
        <v/>
      </c>
      <c r="CH228" t="str">
        <f>""</f>
        <v/>
      </c>
      <c r="CS228" t="str">
        <f>""</f>
        <v/>
      </c>
    </row>
    <row r="229" spans="1:97" x14ac:dyDescent="0.25">
      <c r="A229" t="s">
        <v>1572</v>
      </c>
      <c r="B229" t="s">
        <v>1793</v>
      </c>
      <c r="E229" t="s">
        <v>1794</v>
      </c>
      <c r="F229" t="s">
        <v>108</v>
      </c>
      <c r="H229" t="s">
        <v>1795</v>
      </c>
      <c r="I229" t="s">
        <v>453</v>
      </c>
      <c r="J229" t="s">
        <v>111</v>
      </c>
      <c r="K229" t="str">
        <f>"85382"</f>
        <v>85382</v>
      </c>
      <c r="L229" t="s">
        <v>1796</v>
      </c>
      <c r="M229" t="s">
        <v>1795</v>
      </c>
      <c r="N229" t="s">
        <v>453</v>
      </c>
      <c r="O229" t="s">
        <v>111</v>
      </c>
      <c r="P229" t="str">
        <f>"85382-1500"</f>
        <v>85382-1500</v>
      </c>
      <c r="Q229" t="s">
        <v>113</v>
      </c>
      <c r="R229" t="str">
        <f>"200-53-865"</f>
        <v>200-53-865</v>
      </c>
      <c r="S229" t="s">
        <v>1797</v>
      </c>
      <c r="T229" t="s">
        <v>1798</v>
      </c>
      <c r="U229">
        <v>2230</v>
      </c>
      <c r="W229">
        <v>3</v>
      </c>
      <c r="X229">
        <v>2014</v>
      </c>
      <c r="Z229">
        <v>1</v>
      </c>
      <c r="AA229" t="s">
        <v>26</v>
      </c>
      <c r="AC229" t="s">
        <v>115</v>
      </c>
      <c r="AD229">
        <v>2</v>
      </c>
      <c r="AE229" t="s">
        <v>115</v>
      </c>
      <c r="AH229" t="s">
        <v>116</v>
      </c>
      <c r="AI229" s="1">
        <v>97182</v>
      </c>
      <c r="AJ229" s="2">
        <v>0.24</v>
      </c>
      <c r="AK229" s="1">
        <v>399641</v>
      </c>
      <c r="AL229" t="s">
        <v>117</v>
      </c>
      <c r="AM229" t="s">
        <v>118</v>
      </c>
      <c r="AN229">
        <v>11099</v>
      </c>
      <c r="AO229">
        <v>0.26</v>
      </c>
      <c r="AR229">
        <v>1</v>
      </c>
      <c r="AS229" s="1">
        <v>30870</v>
      </c>
      <c r="AT229" s="1">
        <v>6170</v>
      </c>
      <c r="AU229" s="1">
        <v>24700</v>
      </c>
      <c r="AV229">
        <v>80.010000000000005</v>
      </c>
      <c r="AX229" s="1">
        <v>2512</v>
      </c>
      <c r="AY229" t="s">
        <v>1799</v>
      </c>
      <c r="AZ229" t="s">
        <v>1799</v>
      </c>
      <c r="BA229" t="s">
        <v>1800</v>
      </c>
      <c r="BE229" s="3">
        <v>41865</v>
      </c>
      <c r="BF229" s="1">
        <v>309090</v>
      </c>
      <c r="BG229" t="s">
        <v>1404</v>
      </c>
      <c r="BH229" s="1">
        <v>138.61000000000001</v>
      </c>
      <c r="BI229" s="1">
        <v>302459</v>
      </c>
      <c r="BJ229" s="3">
        <v>42591</v>
      </c>
      <c r="BK229" t="s">
        <v>123</v>
      </c>
      <c r="BL229" t="str">
        <f>"2016.563935"</f>
        <v>2016.563935</v>
      </c>
      <c r="BM229" t="s">
        <v>492</v>
      </c>
      <c r="BO229" t="s">
        <v>1801</v>
      </c>
      <c r="BS229">
        <v>30</v>
      </c>
      <c r="BW229" t="str">
        <f>""</f>
        <v/>
      </c>
      <c r="CH229" t="str">
        <f>""</f>
        <v/>
      </c>
      <c r="CS229" t="str">
        <f>""</f>
        <v/>
      </c>
    </row>
    <row r="230" spans="1:97" x14ac:dyDescent="0.25">
      <c r="A230" t="s">
        <v>1802</v>
      </c>
      <c r="B230" t="s">
        <v>1803</v>
      </c>
      <c r="C230" t="s">
        <v>489</v>
      </c>
      <c r="D230" t="s">
        <v>1803</v>
      </c>
      <c r="E230" t="s">
        <v>1804</v>
      </c>
      <c r="F230" t="s">
        <v>108</v>
      </c>
      <c r="H230" t="s">
        <v>1805</v>
      </c>
      <c r="I230" t="s">
        <v>453</v>
      </c>
      <c r="J230" t="s">
        <v>111</v>
      </c>
      <c r="K230" t="str">
        <f>"85383"</f>
        <v>85383</v>
      </c>
      <c r="L230" t="s">
        <v>688</v>
      </c>
      <c r="M230" t="s">
        <v>1805</v>
      </c>
      <c r="N230" t="s">
        <v>453</v>
      </c>
      <c r="O230" t="s">
        <v>111</v>
      </c>
      <c r="P230" t="str">
        <f>"85383-2974"</f>
        <v>85383-2974</v>
      </c>
      <c r="Q230" t="s">
        <v>113</v>
      </c>
      <c r="R230" t="str">
        <f>"200-13-486"</f>
        <v>200-13-486</v>
      </c>
      <c r="S230" t="s">
        <v>1806</v>
      </c>
      <c r="T230" t="s">
        <v>1807</v>
      </c>
      <c r="U230">
        <v>3375</v>
      </c>
      <c r="W230">
        <v>4</v>
      </c>
      <c r="X230">
        <v>2013</v>
      </c>
      <c r="Z230">
        <v>1</v>
      </c>
      <c r="AA230" t="s">
        <v>26</v>
      </c>
      <c r="AC230" t="s">
        <v>115</v>
      </c>
      <c r="AD230">
        <v>3</v>
      </c>
      <c r="AE230" t="s">
        <v>115</v>
      </c>
      <c r="AH230" t="s">
        <v>116</v>
      </c>
      <c r="AI230" s="1">
        <v>49731</v>
      </c>
      <c r="AJ230" s="2">
        <v>0.09</v>
      </c>
      <c r="AK230" s="1">
        <v>575881</v>
      </c>
      <c r="AL230" t="s">
        <v>117</v>
      </c>
      <c r="AM230" t="s">
        <v>118</v>
      </c>
      <c r="AN230">
        <v>13054</v>
      </c>
      <c r="AO230">
        <v>0.3</v>
      </c>
      <c r="AR230">
        <v>1</v>
      </c>
      <c r="AS230" s="1">
        <v>47650</v>
      </c>
      <c r="AT230" s="1">
        <v>9530</v>
      </c>
      <c r="AU230" s="1">
        <v>38120</v>
      </c>
      <c r="AV230">
        <v>80</v>
      </c>
      <c r="AX230" s="1">
        <v>3918.54</v>
      </c>
      <c r="AY230" t="s">
        <v>1808</v>
      </c>
      <c r="AZ230" t="s">
        <v>1808</v>
      </c>
      <c r="BA230" t="s">
        <v>457</v>
      </c>
      <c r="BE230" s="3">
        <v>42160</v>
      </c>
      <c r="BF230" s="1">
        <v>480125</v>
      </c>
      <c r="BG230" t="s">
        <v>209</v>
      </c>
      <c r="BH230" s="1">
        <v>142.26</v>
      </c>
      <c r="BI230" s="1">
        <v>526150</v>
      </c>
      <c r="BJ230" s="3">
        <v>43300</v>
      </c>
      <c r="BK230" t="s">
        <v>123</v>
      </c>
      <c r="BL230" t="str">
        <f>"2018.546290"</f>
        <v>2018.546290</v>
      </c>
      <c r="BM230" t="s">
        <v>1809</v>
      </c>
      <c r="BN230" t="s">
        <v>1810</v>
      </c>
      <c r="BO230" t="s">
        <v>1811</v>
      </c>
      <c r="BP230" t="s">
        <v>1812</v>
      </c>
      <c r="BR230" t="s">
        <v>139</v>
      </c>
      <c r="BW230" t="str">
        <f>""</f>
        <v/>
      </c>
      <c r="CH230" t="str">
        <f>""</f>
        <v/>
      </c>
      <c r="CS230" t="str">
        <f>""</f>
        <v/>
      </c>
    </row>
    <row r="231" spans="1:97" x14ac:dyDescent="0.25">
      <c r="A231" t="s">
        <v>1727</v>
      </c>
      <c r="B231" t="s">
        <v>1455</v>
      </c>
      <c r="E231" t="s">
        <v>1813</v>
      </c>
      <c r="F231" t="s">
        <v>108</v>
      </c>
      <c r="H231" t="s">
        <v>1814</v>
      </c>
      <c r="I231" t="s">
        <v>203</v>
      </c>
      <c r="J231" t="s">
        <v>111</v>
      </c>
      <c r="K231" t="str">
        <f>"85295"</f>
        <v>85295</v>
      </c>
      <c r="L231" t="s">
        <v>1815</v>
      </c>
      <c r="M231" t="s">
        <v>1814</v>
      </c>
      <c r="N231" t="s">
        <v>203</v>
      </c>
      <c r="O231" t="s">
        <v>111</v>
      </c>
      <c r="P231" t="str">
        <f>"85295-7165"</f>
        <v>85295-7165</v>
      </c>
      <c r="Q231" t="s">
        <v>113</v>
      </c>
      <c r="R231" t="str">
        <f>"304-80-896"</f>
        <v>304-80-896</v>
      </c>
      <c r="S231" t="s">
        <v>1816</v>
      </c>
      <c r="T231" t="s">
        <v>1817</v>
      </c>
      <c r="U231">
        <v>3771</v>
      </c>
      <c r="W231">
        <v>5</v>
      </c>
      <c r="X231">
        <v>2015</v>
      </c>
      <c r="Z231">
        <v>1</v>
      </c>
      <c r="AA231" t="s">
        <v>26</v>
      </c>
      <c r="AC231" t="s">
        <v>115</v>
      </c>
      <c r="AD231">
        <v>3</v>
      </c>
      <c r="AE231" t="s">
        <v>115</v>
      </c>
      <c r="AH231" t="s">
        <v>116</v>
      </c>
      <c r="AI231" s="1">
        <v>148566</v>
      </c>
      <c r="AJ231" s="2">
        <v>0.22</v>
      </c>
      <c r="AK231" s="1">
        <v>680679</v>
      </c>
      <c r="AL231" t="s">
        <v>117</v>
      </c>
      <c r="AM231" t="s">
        <v>1293</v>
      </c>
      <c r="AN231">
        <v>11737</v>
      </c>
      <c r="AO231">
        <v>0.27</v>
      </c>
      <c r="AR231">
        <v>1</v>
      </c>
      <c r="AS231" s="1">
        <v>51880</v>
      </c>
      <c r="AT231" s="1">
        <v>10370</v>
      </c>
      <c r="AU231" s="1">
        <v>41510</v>
      </c>
      <c r="AV231">
        <v>80.010000000000005</v>
      </c>
      <c r="AX231" s="1">
        <v>3821.58</v>
      </c>
      <c r="AY231" t="s">
        <v>1818</v>
      </c>
      <c r="AZ231" t="s">
        <v>207</v>
      </c>
      <c r="BA231" t="s">
        <v>208</v>
      </c>
      <c r="BE231" s="3">
        <v>42479</v>
      </c>
      <c r="BF231" s="1">
        <v>560000</v>
      </c>
      <c r="BG231" t="s">
        <v>209</v>
      </c>
      <c r="BH231" s="1">
        <v>148.5</v>
      </c>
      <c r="BI231" s="1">
        <v>532113</v>
      </c>
      <c r="BJ231" s="3">
        <v>42479</v>
      </c>
      <c r="BK231" t="s">
        <v>123</v>
      </c>
      <c r="BL231" t="str">
        <f>"2016.260486"</f>
        <v>2016.260486</v>
      </c>
      <c r="BM231" t="s">
        <v>175</v>
      </c>
      <c r="BO231" t="s">
        <v>1819</v>
      </c>
      <c r="BS231">
        <v>30</v>
      </c>
      <c r="BW231" t="str">
        <f>""</f>
        <v/>
      </c>
      <c r="CH231" t="str">
        <f>""</f>
        <v/>
      </c>
      <c r="CS231" t="str">
        <f>""</f>
        <v/>
      </c>
    </row>
    <row r="232" spans="1:97" x14ac:dyDescent="0.25">
      <c r="A232" t="s">
        <v>494</v>
      </c>
      <c r="B232" t="s">
        <v>1820</v>
      </c>
      <c r="C232" t="s">
        <v>1821</v>
      </c>
      <c r="D232" t="s">
        <v>1820</v>
      </c>
      <c r="E232" t="s">
        <v>1822</v>
      </c>
      <c r="F232" t="s">
        <v>108</v>
      </c>
      <c r="H232" t="s">
        <v>1823</v>
      </c>
      <c r="I232" t="s">
        <v>225</v>
      </c>
      <c r="J232" t="s">
        <v>111</v>
      </c>
      <c r="K232" t="str">
        <f>"85212"</f>
        <v>85212</v>
      </c>
      <c r="L232" t="s">
        <v>567</v>
      </c>
      <c r="M232" t="s">
        <v>1823</v>
      </c>
      <c r="N232" t="s">
        <v>225</v>
      </c>
      <c r="O232" t="s">
        <v>111</v>
      </c>
      <c r="P232" t="str">
        <f>"85212-9726"</f>
        <v>85212-9726</v>
      </c>
      <c r="Q232" t="s">
        <v>113</v>
      </c>
      <c r="R232" t="str">
        <f>"304-17-322"</f>
        <v>304-17-322</v>
      </c>
      <c r="S232" t="s">
        <v>568</v>
      </c>
      <c r="T232" t="s">
        <v>569</v>
      </c>
      <c r="U232">
        <v>2649</v>
      </c>
      <c r="W232">
        <v>4</v>
      </c>
      <c r="X232">
        <v>2014</v>
      </c>
      <c r="Z232">
        <v>1</v>
      </c>
      <c r="AC232" t="s">
        <v>115</v>
      </c>
      <c r="AD232">
        <v>2</v>
      </c>
      <c r="AE232" t="s">
        <v>115</v>
      </c>
      <c r="AH232" t="s">
        <v>116</v>
      </c>
      <c r="AI232" s="1">
        <v>101318</v>
      </c>
      <c r="AJ232" s="2">
        <v>0.24</v>
      </c>
      <c r="AK232" s="1">
        <v>414808</v>
      </c>
      <c r="AL232" t="s">
        <v>117</v>
      </c>
      <c r="AM232" t="s">
        <v>393</v>
      </c>
      <c r="AN232">
        <v>7200</v>
      </c>
      <c r="AO232">
        <v>0.16</v>
      </c>
      <c r="AR232">
        <v>1</v>
      </c>
      <c r="AS232" s="1">
        <v>30180</v>
      </c>
      <c r="AT232" s="1">
        <v>6030</v>
      </c>
      <c r="AU232" s="1">
        <v>24150</v>
      </c>
      <c r="AV232">
        <v>80.02</v>
      </c>
      <c r="AX232" s="1">
        <v>2135.1799999999998</v>
      </c>
      <c r="AY232" t="s">
        <v>570</v>
      </c>
      <c r="AZ232" t="s">
        <v>571</v>
      </c>
      <c r="BA232" t="s">
        <v>572</v>
      </c>
      <c r="BE232" s="3">
        <v>42083</v>
      </c>
      <c r="BF232" s="1">
        <v>329990</v>
      </c>
      <c r="BG232" t="s">
        <v>1065</v>
      </c>
      <c r="BH232" s="1">
        <v>124.57</v>
      </c>
      <c r="BI232" s="1">
        <v>313490</v>
      </c>
      <c r="BJ232" s="3">
        <v>42083</v>
      </c>
      <c r="BK232" t="s">
        <v>123</v>
      </c>
      <c r="BL232" t="str">
        <f>"2015.189669"</f>
        <v>2015.189669</v>
      </c>
      <c r="BM232" t="s">
        <v>573</v>
      </c>
      <c r="BO232" t="s">
        <v>1824</v>
      </c>
      <c r="BS232">
        <v>30</v>
      </c>
      <c r="BW232" t="str">
        <f>""</f>
        <v/>
      </c>
      <c r="CH232" t="str">
        <f>""</f>
        <v/>
      </c>
      <c r="CS232" t="str">
        <f>""</f>
        <v/>
      </c>
    </row>
    <row r="233" spans="1:97" x14ac:dyDescent="0.25">
      <c r="A233" t="s">
        <v>589</v>
      </c>
      <c r="B233" t="s">
        <v>1825</v>
      </c>
      <c r="C233" t="s">
        <v>1826</v>
      </c>
      <c r="D233" t="s">
        <v>1827</v>
      </c>
      <c r="E233" t="s">
        <v>1828</v>
      </c>
      <c r="F233" t="s">
        <v>108</v>
      </c>
      <c r="H233" t="s">
        <v>1829</v>
      </c>
      <c r="I233" t="s">
        <v>203</v>
      </c>
      <c r="J233" t="s">
        <v>111</v>
      </c>
      <c r="K233" t="str">
        <f>"85298"</f>
        <v>85298</v>
      </c>
      <c r="L233" t="s">
        <v>1130</v>
      </c>
      <c r="M233" t="s">
        <v>1829</v>
      </c>
      <c r="N233" t="s">
        <v>203</v>
      </c>
      <c r="O233" t="s">
        <v>111</v>
      </c>
      <c r="P233" t="str">
        <f>"85298"</f>
        <v>85298</v>
      </c>
      <c r="Q233" t="s">
        <v>113</v>
      </c>
      <c r="R233" t="str">
        <f>"304-88-221"</f>
        <v>304-88-221</v>
      </c>
      <c r="S233" t="s">
        <v>1131</v>
      </c>
      <c r="T233" t="s">
        <v>1132</v>
      </c>
      <c r="U233">
        <v>2843</v>
      </c>
      <c r="W233">
        <v>5</v>
      </c>
      <c r="X233">
        <v>2014</v>
      </c>
      <c r="Z233">
        <v>1</v>
      </c>
      <c r="AA233" t="s">
        <v>26</v>
      </c>
      <c r="AC233" t="s">
        <v>115</v>
      </c>
      <c r="AD233">
        <v>3</v>
      </c>
      <c r="AE233" t="s">
        <v>115</v>
      </c>
      <c r="AH233" t="s">
        <v>116</v>
      </c>
      <c r="AI233" s="1">
        <v>95401</v>
      </c>
      <c r="AJ233" s="2">
        <v>0.18</v>
      </c>
      <c r="AK233" s="1">
        <v>528486</v>
      </c>
      <c r="AL233" t="s">
        <v>117</v>
      </c>
      <c r="AM233" t="s">
        <v>171</v>
      </c>
      <c r="AN233">
        <v>10008</v>
      </c>
      <c r="AO233">
        <v>0.23</v>
      </c>
      <c r="AR233">
        <v>1</v>
      </c>
      <c r="AS233" s="1">
        <v>41580</v>
      </c>
      <c r="AT233" s="1">
        <v>8310</v>
      </c>
      <c r="AU233" s="1">
        <v>33270</v>
      </c>
      <c r="AV233">
        <v>80.010000000000005</v>
      </c>
      <c r="AX233" s="1">
        <v>3601.16</v>
      </c>
      <c r="AY233" t="s">
        <v>1133</v>
      </c>
      <c r="AZ233" t="s">
        <v>1134</v>
      </c>
      <c r="BA233" t="s">
        <v>1134</v>
      </c>
      <c r="BB233" s="3">
        <v>41836</v>
      </c>
      <c r="BD233" t="s">
        <v>1830</v>
      </c>
      <c r="BE233" s="3">
        <v>41836</v>
      </c>
      <c r="BF233" s="1">
        <v>429190</v>
      </c>
      <c r="BG233" t="s">
        <v>292</v>
      </c>
      <c r="BH233" s="1">
        <v>150.96</v>
      </c>
      <c r="BI233" s="1">
        <v>433085</v>
      </c>
      <c r="BJ233" s="3">
        <v>41836</v>
      </c>
      <c r="BK233" t="s">
        <v>123</v>
      </c>
      <c r="BL233" t="str">
        <f>"2014.466841"</f>
        <v>2014.466841</v>
      </c>
      <c r="BM233" t="s">
        <v>1831</v>
      </c>
      <c r="BO233" t="s">
        <v>1832</v>
      </c>
      <c r="BS233">
        <v>30</v>
      </c>
      <c r="BW233" t="str">
        <f>""</f>
        <v/>
      </c>
      <c r="CH233" t="str">
        <f>""</f>
        <v/>
      </c>
      <c r="CS233" t="str">
        <f>""</f>
        <v/>
      </c>
    </row>
    <row r="234" spans="1:97" x14ac:dyDescent="0.25">
      <c r="A234" t="s">
        <v>1833</v>
      </c>
      <c r="B234" t="s">
        <v>1834</v>
      </c>
      <c r="E234" t="s">
        <v>1835</v>
      </c>
      <c r="F234" t="s">
        <v>108</v>
      </c>
      <c r="H234" t="s">
        <v>1836</v>
      </c>
      <c r="I234" t="s">
        <v>225</v>
      </c>
      <c r="J234" t="s">
        <v>111</v>
      </c>
      <c r="K234" t="str">
        <f>"85212"</f>
        <v>85212</v>
      </c>
      <c r="L234" t="s">
        <v>558</v>
      </c>
      <c r="M234" t="s">
        <v>1836</v>
      </c>
      <c r="N234" t="s">
        <v>225</v>
      </c>
      <c r="O234" t="s">
        <v>111</v>
      </c>
      <c r="P234" t="str">
        <f>"85212-8005"</f>
        <v>85212-8005</v>
      </c>
      <c r="Q234" t="s">
        <v>113</v>
      </c>
      <c r="R234" t="str">
        <f>"304-50-034"</f>
        <v>304-50-034</v>
      </c>
      <c r="S234" t="s">
        <v>883</v>
      </c>
      <c r="U234">
        <v>3673</v>
      </c>
      <c r="W234">
        <v>6</v>
      </c>
      <c r="X234">
        <v>2014</v>
      </c>
      <c r="Z234">
        <v>2</v>
      </c>
      <c r="AC234" t="s">
        <v>115</v>
      </c>
      <c r="AD234">
        <v>3</v>
      </c>
      <c r="AE234" t="s">
        <v>115</v>
      </c>
      <c r="AH234" t="s">
        <v>116</v>
      </c>
      <c r="AI234" s="1">
        <v>2335</v>
      </c>
      <c r="AJ234" s="2">
        <v>0.01</v>
      </c>
      <c r="AK234" s="1">
        <v>389813</v>
      </c>
      <c r="AL234" t="s">
        <v>117</v>
      </c>
      <c r="AM234" t="s">
        <v>118</v>
      </c>
      <c r="AN234">
        <v>8750</v>
      </c>
      <c r="AO234">
        <v>0.2</v>
      </c>
      <c r="AR234">
        <v>1</v>
      </c>
      <c r="AS234" s="1">
        <v>33520</v>
      </c>
      <c r="AT234" s="1">
        <v>6700</v>
      </c>
      <c r="AU234" s="1">
        <v>26820</v>
      </c>
      <c r="AV234">
        <v>80.010000000000005</v>
      </c>
      <c r="AX234" s="1">
        <v>4925.42</v>
      </c>
      <c r="AY234" t="s">
        <v>560</v>
      </c>
      <c r="AZ234" t="s">
        <v>561</v>
      </c>
      <c r="BA234" t="s">
        <v>194</v>
      </c>
      <c r="BE234" s="3">
        <v>41968</v>
      </c>
      <c r="BF234" s="1">
        <v>340990</v>
      </c>
      <c r="BG234" t="s">
        <v>617</v>
      </c>
      <c r="BH234" s="1">
        <v>92.84</v>
      </c>
      <c r="BI234" s="1">
        <v>387478</v>
      </c>
      <c r="BJ234" s="3">
        <v>42612</v>
      </c>
      <c r="BK234" t="s">
        <v>123</v>
      </c>
      <c r="BL234" t="str">
        <f>"2016.623722"</f>
        <v>2016.623722</v>
      </c>
      <c r="BM234" t="s">
        <v>1837</v>
      </c>
      <c r="BO234" t="s">
        <v>1838</v>
      </c>
      <c r="BS234">
        <v>30</v>
      </c>
      <c r="BW234" t="str">
        <f>""</f>
        <v/>
      </c>
      <c r="CH234" t="str">
        <f>""</f>
        <v/>
      </c>
      <c r="CS234" t="str">
        <f>""</f>
        <v/>
      </c>
    </row>
    <row r="235" spans="1:97" x14ac:dyDescent="0.25">
      <c r="A235" t="s">
        <v>1465</v>
      </c>
      <c r="B235" t="s">
        <v>1839</v>
      </c>
      <c r="C235" t="s">
        <v>1840</v>
      </c>
      <c r="D235" t="s">
        <v>1839</v>
      </c>
      <c r="E235" t="s">
        <v>1841</v>
      </c>
      <c r="F235" t="s">
        <v>108</v>
      </c>
      <c r="H235" t="s">
        <v>1842</v>
      </c>
      <c r="I235" t="s">
        <v>499</v>
      </c>
      <c r="J235" t="s">
        <v>111</v>
      </c>
      <c r="K235" t="str">
        <f>"85395"</f>
        <v>85395</v>
      </c>
      <c r="L235" t="s">
        <v>500</v>
      </c>
      <c r="M235" t="s">
        <v>1842</v>
      </c>
      <c r="N235" t="s">
        <v>499</v>
      </c>
      <c r="O235" t="s">
        <v>111</v>
      </c>
      <c r="P235" t="str">
        <f>"85395-6480"</f>
        <v>85395-6480</v>
      </c>
      <c r="Q235" t="s">
        <v>113</v>
      </c>
      <c r="R235" t="str">
        <f>"502-30-445"</f>
        <v>502-30-445</v>
      </c>
      <c r="S235" t="s">
        <v>1265</v>
      </c>
      <c r="T235" t="s">
        <v>502</v>
      </c>
      <c r="U235">
        <v>3110</v>
      </c>
      <c r="W235">
        <v>4</v>
      </c>
      <c r="X235">
        <v>2016</v>
      </c>
      <c r="Z235">
        <v>1</v>
      </c>
      <c r="AC235" t="s">
        <v>115</v>
      </c>
      <c r="AD235">
        <v>3</v>
      </c>
      <c r="AE235" t="s">
        <v>115</v>
      </c>
      <c r="AH235" t="s">
        <v>116</v>
      </c>
      <c r="AI235" s="1">
        <v>94654</v>
      </c>
      <c r="AJ235" s="2">
        <v>0.22</v>
      </c>
      <c r="AK235" s="1">
        <v>437834</v>
      </c>
      <c r="AL235" t="s">
        <v>117</v>
      </c>
      <c r="AM235" t="s">
        <v>118</v>
      </c>
      <c r="AN235">
        <v>16158</v>
      </c>
      <c r="AO235">
        <v>0.37</v>
      </c>
      <c r="AR235">
        <v>1</v>
      </c>
      <c r="AS235" s="1">
        <v>31970</v>
      </c>
      <c r="AT235" s="1">
        <v>6390</v>
      </c>
      <c r="AU235" s="1">
        <v>25580</v>
      </c>
      <c r="AV235">
        <v>80.010000000000005</v>
      </c>
      <c r="AX235" s="1">
        <v>2741.92</v>
      </c>
      <c r="AY235" t="s">
        <v>503</v>
      </c>
      <c r="AZ235" t="s">
        <v>504</v>
      </c>
      <c r="BA235" t="s">
        <v>218</v>
      </c>
      <c r="BE235" s="3">
        <v>42360</v>
      </c>
      <c r="BF235" s="1">
        <v>335957</v>
      </c>
      <c r="BG235" t="s">
        <v>209</v>
      </c>
      <c r="BH235" s="1">
        <v>108.02</v>
      </c>
      <c r="BI235" s="1">
        <v>343180</v>
      </c>
      <c r="BJ235" s="3">
        <v>42360</v>
      </c>
      <c r="BK235" t="s">
        <v>123</v>
      </c>
      <c r="BL235" t="str">
        <f>"2015.901315"</f>
        <v>2015.901315</v>
      </c>
      <c r="BM235" t="s">
        <v>175</v>
      </c>
      <c r="BO235" t="s">
        <v>1843</v>
      </c>
      <c r="BS235">
        <v>30</v>
      </c>
      <c r="BW235" t="str">
        <f>""</f>
        <v/>
      </c>
      <c r="CH235" t="str">
        <f>""</f>
        <v/>
      </c>
      <c r="CS235" t="str">
        <f>""</f>
        <v/>
      </c>
    </row>
    <row r="236" spans="1:97" x14ac:dyDescent="0.25">
      <c r="A236" t="s">
        <v>938</v>
      </c>
      <c r="B236" t="s">
        <v>1844</v>
      </c>
      <c r="C236" t="s">
        <v>1845</v>
      </c>
      <c r="D236" t="s">
        <v>1844</v>
      </c>
      <c r="E236" t="s">
        <v>1846</v>
      </c>
      <c r="F236" t="s">
        <v>108</v>
      </c>
      <c r="H236" t="s">
        <v>1847</v>
      </c>
      <c r="I236" t="s">
        <v>110</v>
      </c>
      <c r="J236" t="s">
        <v>111</v>
      </c>
      <c r="K236" t="str">
        <f>"85249"</f>
        <v>85249</v>
      </c>
      <c r="L236" t="s">
        <v>417</v>
      </c>
      <c r="M236" t="s">
        <v>1847</v>
      </c>
      <c r="N236" t="s">
        <v>110</v>
      </c>
      <c r="O236" t="s">
        <v>111</v>
      </c>
      <c r="P236" t="str">
        <f>"85249-9705"</f>
        <v>85249-9705</v>
      </c>
      <c r="Q236" t="s">
        <v>113</v>
      </c>
      <c r="R236" t="str">
        <f>"304-75-782"</f>
        <v>304-75-782</v>
      </c>
      <c r="S236" t="s">
        <v>706</v>
      </c>
      <c r="T236" t="s">
        <v>707</v>
      </c>
      <c r="U236">
        <v>3240</v>
      </c>
      <c r="W236">
        <v>4</v>
      </c>
      <c r="X236">
        <v>2015</v>
      </c>
      <c r="Z236">
        <v>2</v>
      </c>
      <c r="AC236" t="s">
        <v>115</v>
      </c>
      <c r="AD236">
        <v>3</v>
      </c>
      <c r="AE236" t="s">
        <v>115</v>
      </c>
      <c r="AH236" t="s">
        <v>116</v>
      </c>
      <c r="AI236" s="1">
        <v>125743</v>
      </c>
      <c r="AJ236" s="2">
        <v>0.25</v>
      </c>
      <c r="AK236" s="1">
        <v>500043</v>
      </c>
      <c r="AL236" t="s">
        <v>117</v>
      </c>
      <c r="AM236" t="s">
        <v>118</v>
      </c>
      <c r="AN236">
        <v>7932</v>
      </c>
      <c r="AO236">
        <v>0.18</v>
      </c>
      <c r="AR236">
        <v>1</v>
      </c>
      <c r="AS236" s="1">
        <v>33300</v>
      </c>
      <c r="AT236" s="1">
        <v>6660</v>
      </c>
      <c r="AU236" s="1">
        <v>26640</v>
      </c>
      <c r="AV236">
        <v>80</v>
      </c>
      <c r="AX236" s="1">
        <v>2915.66</v>
      </c>
      <c r="AY236" t="s">
        <v>419</v>
      </c>
      <c r="AZ236" t="s">
        <v>273</v>
      </c>
      <c r="BA236" t="s">
        <v>303</v>
      </c>
      <c r="BE236" s="3">
        <v>42368</v>
      </c>
      <c r="BF236" s="1">
        <v>374750</v>
      </c>
      <c r="BG236" t="s">
        <v>708</v>
      </c>
      <c r="BH236" s="1">
        <v>115.66</v>
      </c>
      <c r="BI236" s="1">
        <v>374300</v>
      </c>
      <c r="BJ236" s="3">
        <v>42711</v>
      </c>
      <c r="BK236" t="s">
        <v>123</v>
      </c>
      <c r="BL236" t="str">
        <f>"2016.901910"</f>
        <v>2016.901910</v>
      </c>
      <c r="BM236" t="s">
        <v>1848</v>
      </c>
      <c r="BO236" t="s">
        <v>1849</v>
      </c>
      <c r="BS236">
        <v>30</v>
      </c>
      <c r="BW236" t="str">
        <f>""</f>
        <v/>
      </c>
      <c r="CH236" t="str">
        <f>""</f>
        <v/>
      </c>
      <c r="CS236" t="str">
        <f>""</f>
        <v/>
      </c>
    </row>
    <row r="237" spans="1:97" x14ac:dyDescent="0.25">
      <c r="A237" t="s">
        <v>1850</v>
      </c>
      <c r="B237" t="s">
        <v>1851</v>
      </c>
      <c r="C237" t="s">
        <v>484</v>
      </c>
      <c r="D237" t="s">
        <v>1851</v>
      </c>
      <c r="E237" t="s">
        <v>1852</v>
      </c>
      <c r="F237" t="s">
        <v>108</v>
      </c>
      <c r="H237" t="s">
        <v>1853</v>
      </c>
      <c r="I237" t="s">
        <v>453</v>
      </c>
      <c r="J237" t="s">
        <v>111</v>
      </c>
      <c r="K237" t="str">
        <f>"85383"</f>
        <v>85383</v>
      </c>
      <c r="L237" t="s">
        <v>454</v>
      </c>
      <c r="M237" t="s">
        <v>1853</v>
      </c>
      <c r="N237" t="s">
        <v>453</v>
      </c>
      <c r="O237" t="s">
        <v>111</v>
      </c>
      <c r="P237" t="str">
        <f>"85383-8025"</f>
        <v>85383-8025</v>
      </c>
      <c r="Q237" t="s">
        <v>113</v>
      </c>
      <c r="R237" t="str">
        <f>"503-80-882"</f>
        <v>503-80-882</v>
      </c>
      <c r="S237" t="s">
        <v>1854</v>
      </c>
      <c r="U237">
        <v>1800</v>
      </c>
      <c r="W237">
        <v>3</v>
      </c>
      <c r="X237">
        <v>2015</v>
      </c>
      <c r="Z237">
        <v>1</v>
      </c>
      <c r="AC237" t="s">
        <v>115</v>
      </c>
      <c r="AD237">
        <v>3</v>
      </c>
      <c r="AE237" t="s">
        <v>115</v>
      </c>
      <c r="AH237" t="s">
        <v>116</v>
      </c>
      <c r="AI237" s="1">
        <v>97814</v>
      </c>
      <c r="AJ237" s="2">
        <v>0.28000000000000003</v>
      </c>
      <c r="AK237" s="1">
        <v>346114</v>
      </c>
      <c r="AL237" t="s">
        <v>117</v>
      </c>
      <c r="AM237" t="s">
        <v>118</v>
      </c>
      <c r="AN237">
        <v>5760</v>
      </c>
      <c r="AO237">
        <v>0.13</v>
      </c>
      <c r="AR237">
        <v>1</v>
      </c>
      <c r="AS237" s="1">
        <v>23650</v>
      </c>
      <c r="AT237" s="1">
        <v>4730</v>
      </c>
      <c r="AU237" s="1">
        <v>18920</v>
      </c>
      <c r="AV237">
        <v>80</v>
      </c>
      <c r="AX237" s="1">
        <v>2204.66</v>
      </c>
      <c r="AY237" t="s">
        <v>456</v>
      </c>
      <c r="AZ237" t="s">
        <v>456</v>
      </c>
      <c r="BA237" t="s">
        <v>457</v>
      </c>
      <c r="BE237" s="3">
        <v>42310</v>
      </c>
      <c r="BF237" s="1">
        <v>248157</v>
      </c>
      <c r="BG237" t="s">
        <v>636</v>
      </c>
      <c r="BH237" s="1">
        <v>137.87</v>
      </c>
      <c r="BI237" s="1">
        <v>248300</v>
      </c>
      <c r="BJ237" s="3">
        <v>42516</v>
      </c>
      <c r="BK237" t="s">
        <v>123</v>
      </c>
      <c r="BL237" t="str">
        <f>"2016.364105"</f>
        <v>2016.364105</v>
      </c>
      <c r="BM237" t="s">
        <v>255</v>
      </c>
      <c r="BO237" t="s">
        <v>1855</v>
      </c>
      <c r="BS237">
        <v>30</v>
      </c>
      <c r="BW237" t="str">
        <f>""</f>
        <v/>
      </c>
      <c r="CH237" t="str">
        <f>""</f>
        <v/>
      </c>
      <c r="CS237" t="str">
        <f>""</f>
        <v/>
      </c>
    </row>
    <row r="238" spans="1:97" x14ac:dyDescent="0.25">
      <c r="B238" t="s">
        <v>1856</v>
      </c>
      <c r="C238" t="s">
        <v>1857</v>
      </c>
      <c r="E238" t="s">
        <v>1858</v>
      </c>
      <c r="F238" t="s">
        <v>108</v>
      </c>
      <c r="H238" t="s">
        <v>1859</v>
      </c>
      <c r="I238" t="s">
        <v>453</v>
      </c>
      <c r="J238" t="s">
        <v>111</v>
      </c>
      <c r="K238" t="str">
        <f>"85383"</f>
        <v>85383</v>
      </c>
      <c r="L238" t="s">
        <v>454</v>
      </c>
      <c r="M238" t="s">
        <v>1859</v>
      </c>
      <c r="N238" t="s">
        <v>453</v>
      </c>
      <c r="O238" t="s">
        <v>111</v>
      </c>
      <c r="P238" t="str">
        <f>"85383-8007"</f>
        <v>85383-8007</v>
      </c>
      <c r="Q238" t="s">
        <v>113</v>
      </c>
      <c r="R238" t="str">
        <f>"503-80-952"</f>
        <v>503-80-952</v>
      </c>
      <c r="S238" t="s">
        <v>1854</v>
      </c>
      <c r="U238">
        <v>2040</v>
      </c>
      <c r="W238">
        <v>5</v>
      </c>
      <c r="X238">
        <v>2015</v>
      </c>
      <c r="Z238">
        <v>1</v>
      </c>
      <c r="AC238" t="s">
        <v>115</v>
      </c>
      <c r="AD238">
        <v>2</v>
      </c>
      <c r="AE238" t="s">
        <v>115</v>
      </c>
      <c r="AH238" t="s">
        <v>116</v>
      </c>
      <c r="AI238" s="1">
        <v>118397</v>
      </c>
      <c r="AJ238" s="2">
        <v>0.32</v>
      </c>
      <c r="AK238" s="1">
        <v>372069</v>
      </c>
      <c r="AL238" t="s">
        <v>117</v>
      </c>
      <c r="AM238" t="s">
        <v>118</v>
      </c>
      <c r="AN238">
        <v>5760</v>
      </c>
      <c r="AO238">
        <v>0.13</v>
      </c>
      <c r="AR238">
        <v>1</v>
      </c>
      <c r="AS238" s="1">
        <v>25850</v>
      </c>
      <c r="AT238" s="1">
        <v>5170</v>
      </c>
      <c r="AU238" s="1">
        <v>20680</v>
      </c>
      <c r="AV238">
        <v>80</v>
      </c>
      <c r="AX238" s="1">
        <v>2418.1</v>
      </c>
      <c r="AY238" t="s">
        <v>456</v>
      </c>
      <c r="AZ238" t="s">
        <v>456</v>
      </c>
      <c r="BA238" t="s">
        <v>457</v>
      </c>
      <c r="BB238" s="3">
        <v>43455</v>
      </c>
      <c r="BC238" s="1">
        <v>0</v>
      </c>
      <c r="BD238" t="s">
        <v>247</v>
      </c>
      <c r="BE238" s="3">
        <v>42391</v>
      </c>
      <c r="BF238" s="1">
        <v>303672</v>
      </c>
      <c r="BG238" t="s">
        <v>636</v>
      </c>
      <c r="BH238" s="1">
        <v>148.86000000000001</v>
      </c>
      <c r="BI238" s="1">
        <v>253672</v>
      </c>
      <c r="BJ238" s="3">
        <v>42391</v>
      </c>
      <c r="BK238" t="s">
        <v>123</v>
      </c>
      <c r="BL238" t="str">
        <f>"2016.45447"</f>
        <v>2016.45447</v>
      </c>
      <c r="BM238" t="s">
        <v>637</v>
      </c>
      <c r="BN238" t="s">
        <v>652</v>
      </c>
      <c r="BO238" t="s">
        <v>1860</v>
      </c>
      <c r="BP238" t="s">
        <v>1861</v>
      </c>
      <c r="BS238">
        <v>30</v>
      </c>
      <c r="BW238" t="str">
        <f>""</f>
        <v/>
      </c>
      <c r="CH238" t="str">
        <f>""</f>
        <v/>
      </c>
      <c r="CS238" t="str">
        <f>""</f>
        <v/>
      </c>
    </row>
    <row r="239" spans="1:97" x14ac:dyDescent="0.25">
      <c r="A239" t="s">
        <v>1862</v>
      </c>
      <c r="B239" t="s">
        <v>348</v>
      </c>
      <c r="C239" t="s">
        <v>1863</v>
      </c>
      <c r="D239" t="s">
        <v>348</v>
      </c>
      <c r="E239" t="s">
        <v>1864</v>
      </c>
      <c r="F239" t="s">
        <v>108</v>
      </c>
      <c r="H239" t="s">
        <v>1865</v>
      </c>
      <c r="I239" t="s">
        <v>453</v>
      </c>
      <c r="J239" t="s">
        <v>111</v>
      </c>
      <c r="K239" t="str">
        <f>"85383"</f>
        <v>85383</v>
      </c>
      <c r="L239" t="s">
        <v>454</v>
      </c>
      <c r="M239" t="s">
        <v>1865</v>
      </c>
      <c r="N239" t="s">
        <v>453</v>
      </c>
      <c r="O239" t="s">
        <v>111</v>
      </c>
      <c r="P239" t="str">
        <f>"85383-7988"</f>
        <v>85383-7988</v>
      </c>
      <c r="Q239" t="s">
        <v>113</v>
      </c>
      <c r="R239" t="str">
        <f>"503-81-379"</f>
        <v>503-81-379</v>
      </c>
      <c r="S239" t="s">
        <v>455</v>
      </c>
      <c r="U239">
        <v>3940</v>
      </c>
      <c r="W239">
        <v>5</v>
      </c>
      <c r="X239">
        <v>2015</v>
      </c>
      <c r="Z239">
        <v>2</v>
      </c>
      <c r="AC239" t="s">
        <v>115</v>
      </c>
      <c r="AD239">
        <v>3</v>
      </c>
      <c r="AE239" t="s">
        <v>115</v>
      </c>
      <c r="AH239" t="s">
        <v>116</v>
      </c>
      <c r="AI239" s="1">
        <v>61754</v>
      </c>
      <c r="AJ239" s="2">
        <v>0.13</v>
      </c>
      <c r="AK239" s="1">
        <v>478247</v>
      </c>
      <c r="AL239" t="s">
        <v>117</v>
      </c>
      <c r="AM239" t="s">
        <v>118</v>
      </c>
      <c r="AN239">
        <v>7770</v>
      </c>
      <c r="AO239">
        <v>0.18</v>
      </c>
      <c r="AR239">
        <v>1</v>
      </c>
      <c r="AS239" s="1">
        <v>34570</v>
      </c>
      <c r="AT239" s="1">
        <v>6910</v>
      </c>
      <c r="AU239" s="1">
        <v>27660</v>
      </c>
      <c r="AV239">
        <v>80.010000000000005</v>
      </c>
      <c r="AX239" s="1">
        <v>3718.62</v>
      </c>
      <c r="AY239" t="s">
        <v>456</v>
      </c>
      <c r="AZ239" t="s">
        <v>456</v>
      </c>
      <c r="BA239" t="s">
        <v>457</v>
      </c>
      <c r="BE239" s="3">
        <v>42165</v>
      </c>
      <c r="BF239" s="1">
        <v>348990</v>
      </c>
      <c r="BG239" t="s">
        <v>459</v>
      </c>
      <c r="BH239" s="1">
        <v>88.58</v>
      </c>
      <c r="BI239" s="1">
        <v>356493</v>
      </c>
      <c r="BJ239" s="3">
        <v>42165</v>
      </c>
      <c r="BK239" t="s">
        <v>123</v>
      </c>
      <c r="BL239" t="str">
        <f>"2015.413512"</f>
        <v>2015.413512</v>
      </c>
      <c r="BM239" t="s">
        <v>1866</v>
      </c>
      <c r="BN239" t="s">
        <v>1867</v>
      </c>
      <c r="BO239" t="s">
        <v>1868</v>
      </c>
      <c r="BS239">
        <v>30</v>
      </c>
      <c r="BT239" s="1">
        <v>60000</v>
      </c>
      <c r="BU239" s="3">
        <v>43411</v>
      </c>
      <c r="BW239" t="str">
        <f>"2018.829545"</f>
        <v>2018.829545</v>
      </c>
      <c r="BX239" t="s">
        <v>135</v>
      </c>
      <c r="BY239" t="s">
        <v>136</v>
      </c>
      <c r="BZ239" t="s">
        <v>1869</v>
      </c>
      <c r="CA239" t="s">
        <v>1870</v>
      </c>
      <c r="CC239" t="s">
        <v>346</v>
      </c>
      <c r="CH239" t="str">
        <f>""</f>
        <v/>
      </c>
      <c r="CS239" t="str">
        <f>""</f>
        <v/>
      </c>
    </row>
    <row r="240" spans="1:97" x14ac:dyDescent="0.25">
      <c r="A240" t="s">
        <v>1871</v>
      </c>
      <c r="B240" t="s">
        <v>1872</v>
      </c>
      <c r="E240" t="s">
        <v>1873</v>
      </c>
      <c r="F240" t="s">
        <v>108</v>
      </c>
      <c r="H240" t="s">
        <v>1874</v>
      </c>
      <c r="I240" t="s">
        <v>225</v>
      </c>
      <c r="J240" t="s">
        <v>111</v>
      </c>
      <c r="K240" t="str">
        <f>"85212"</f>
        <v>85212</v>
      </c>
      <c r="L240" t="s">
        <v>567</v>
      </c>
      <c r="M240" t="s">
        <v>1874</v>
      </c>
      <c r="N240" t="s">
        <v>225</v>
      </c>
      <c r="O240" t="s">
        <v>111</v>
      </c>
      <c r="P240" t="str">
        <f>"85212-9752"</f>
        <v>85212-9752</v>
      </c>
      <c r="Q240" t="s">
        <v>113</v>
      </c>
      <c r="R240" t="str">
        <f>"304-17-510"</f>
        <v>304-17-510</v>
      </c>
      <c r="S240" t="s">
        <v>568</v>
      </c>
      <c r="T240" t="s">
        <v>569</v>
      </c>
      <c r="U240">
        <v>1947</v>
      </c>
      <c r="W240">
        <v>4</v>
      </c>
      <c r="X240">
        <v>2014</v>
      </c>
      <c r="Z240">
        <v>1</v>
      </c>
      <c r="AC240" t="s">
        <v>115</v>
      </c>
      <c r="AD240">
        <v>2</v>
      </c>
      <c r="AE240" t="s">
        <v>115</v>
      </c>
      <c r="AH240" t="s">
        <v>116</v>
      </c>
      <c r="AI240" s="1">
        <v>85573</v>
      </c>
      <c r="AJ240" s="2">
        <v>0.24</v>
      </c>
      <c r="AK240" s="1">
        <v>355573</v>
      </c>
      <c r="AL240" t="s">
        <v>117</v>
      </c>
      <c r="AM240" t="s">
        <v>191</v>
      </c>
      <c r="AN240">
        <v>6300</v>
      </c>
      <c r="AO240">
        <v>0.14000000000000001</v>
      </c>
      <c r="AR240">
        <v>1</v>
      </c>
      <c r="AS240" s="1">
        <v>25400</v>
      </c>
      <c r="AT240" s="1">
        <v>5080</v>
      </c>
      <c r="AU240" s="1">
        <v>20320</v>
      </c>
      <c r="AV240">
        <v>80</v>
      </c>
      <c r="AX240" s="1">
        <v>2073.44</v>
      </c>
      <c r="AY240" t="s">
        <v>570</v>
      </c>
      <c r="AZ240" t="s">
        <v>571</v>
      </c>
      <c r="BA240" t="s">
        <v>572</v>
      </c>
      <c r="BE240" s="3">
        <v>41871</v>
      </c>
      <c r="BF240" s="1">
        <v>265490</v>
      </c>
      <c r="BG240" t="s">
        <v>195</v>
      </c>
      <c r="BH240" s="1">
        <v>136.36000000000001</v>
      </c>
      <c r="BI240" s="1">
        <v>270000</v>
      </c>
      <c r="BJ240" s="3">
        <v>42058</v>
      </c>
      <c r="BK240" t="s">
        <v>123</v>
      </c>
      <c r="BL240" t="str">
        <f>"2015.114836"</f>
        <v>2015.114836</v>
      </c>
      <c r="BM240" t="s">
        <v>196</v>
      </c>
      <c r="BO240" t="s">
        <v>1875</v>
      </c>
      <c r="BS240">
        <v>30</v>
      </c>
      <c r="BW240" t="str">
        <f>""</f>
        <v/>
      </c>
      <c r="CH240" t="str">
        <f>""</f>
        <v/>
      </c>
      <c r="CS240" t="str">
        <f>""</f>
        <v/>
      </c>
    </row>
    <row r="241" spans="1:97" x14ac:dyDescent="0.25">
      <c r="A241" t="s">
        <v>1876</v>
      </c>
      <c r="B241" t="s">
        <v>1877</v>
      </c>
      <c r="C241" t="s">
        <v>259</v>
      </c>
      <c r="D241" t="s">
        <v>1877</v>
      </c>
      <c r="E241" t="s">
        <v>1878</v>
      </c>
      <c r="F241" t="s">
        <v>108</v>
      </c>
      <c r="H241" t="s">
        <v>1879</v>
      </c>
      <c r="I241" t="s">
        <v>110</v>
      </c>
      <c r="J241" t="s">
        <v>111</v>
      </c>
      <c r="K241" t="str">
        <f>"85248"</f>
        <v>85248</v>
      </c>
      <c r="L241" t="s">
        <v>1789</v>
      </c>
      <c r="M241" t="s">
        <v>1879</v>
      </c>
      <c r="N241" t="s">
        <v>110</v>
      </c>
      <c r="O241" t="s">
        <v>111</v>
      </c>
      <c r="P241" t="str">
        <f>"85248-3558"</f>
        <v>85248-3558</v>
      </c>
      <c r="Q241" t="s">
        <v>113</v>
      </c>
      <c r="R241" t="str">
        <f>"303-55-765"</f>
        <v>303-55-765</v>
      </c>
      <c r="S241" t="s">
        <v>1880</v>
      </c>
      <c r="U241">
        <v>2689</v>
      </c>
      <c r="W241">
        <v>4</v>
      </c>
      <c r="X241">
        <v>2014</v>
      </c>
      <c r="Z241">
        <v>2</v>
      </c>
      <c r="AC241" t="s">
        <v>115</v>
      </c>
      <c r="AD241">
        <v>3</v>
      </c>
      <c r="AE241" t="s">
        <v>115</v>
      </c>
      <c r="AH241" t="s">
        <v>116</v>
      </c>
      <c r="AI241" s="1">
        <v>79455</v>
      </c>
      <c r="AJ241" s="2">
        <v>0.16</v>
      </c>
      <c r="AK241" s="1">
        <v>503489</v>
      </c>
      <c r="AL241" t="s">
        <v>117</v>
      </c>
      <c r="AM241" t="s">
        <v>118</v>
      </c>
      <c r="AN241">
        <v>5979</v>
      </c>
      <c r="AO241">
        <v>0.14000000000000001</v>
      </c>
      <c r="AR241">
        <v>1</v>
      </c>
      <c r="AS241" s="1">
        <v>36780</v>
      </c>
      <c r="AT241" s="1">
        <v>7350</v>
      </c>
      <c r="AU241" s="1">
        <v>29430</v>
      </c>
      <c r="AV241">
        <v>80.02</v>
      </c>
      <c r="AX241" s="1">
        <v>2861.9</v>
      </c>
      <c r="AY241" t="s">
        <v>1881</v>
      </c>
      <c r="AZ241" t="s">
        <v>1882</v>
      </c>
      <c r="BA241" t="s">
        <v>121</v>
      </c>
      <c r="BE241" s="3">
        <v>41906</v>
      </c>
      <c r="BF241" s="1">
        <v>444551</v>
      </c>
      <c r="BG241" t="s">
        <v>1065</v>
      </c>
      <c r="BH241" s="1">
        <v>165.32</v>
      </c>
      <c r="BI241" s="1">
        <v>424034</v>
      </c>
      <c r="BJ241" s="3">
        <v>42703</v>
      </c>
      <c r="BK241" t="s">
        <v>123</v>
      </c>
      <c r="BL241" t="str">
        <f>"2016.876660"</f>
        <v>2016.876660</v>
      </c>
      <c r="BM241" t="s">
        <v>1325</v>
      </c>
      <c r="BO241" t="s">
        <v>1883</v>
      </c>
      <c r="BS241">
        <v>30</v>
      </c>
      <c r="BW241" t="str">
        <f>""</f>
        <v/>
      </c>
      <c r="CH241" t="str">
        <f>""</f>
        <v/>
      </c>
      <c r="CS241" t="str">
        <f>""</f>
        <v/>
      </c>
    </row>
    <row r="242" spans="1:97" x14ac:dyDescent="0.25">
      <c r="B242" t="s">
        <v>1884</v>
      </c>
      <c r="E242" t="s">
        <v>1885</v>
      </c>
      <c r="F242" t="s">
        <v>139</v>
      </c>
      <c r="H242" t="s">
        <v>1886</v>
      </c>
      <c r="I242" t="s">
        <v>499</v>
      </c>
      <c r="J242" t="s">
        <v>111</v>
      </c>
      <c r="K242" t="str">
        <f>"85395"</f>
        <v>85395</v>
      </c>
      <c r="L242" t="s">
        <v>500</v>
      </c>
      <c r="M242" t="s">
        <v>1886</v>
      </c>
      <c r="N242" t="s">
        <v>499</v>
      </c>
      <c r="O242" t="s">
        <v>111</v>
      </c>
      <c r="P242" t="str">
        <f>"85395-6452"</f>
        <v>85395-6452</v>
      </c>
      <c r="Q242" t="s">
        <v>113</v>
      </c>
      <c r="R242" t="str">
        <f>"502-30-476"</f>
        <v>502-30-476</v>
      </c>
      <c r="S242" t="s">
        <v>1265</v>
      </c>
      <c r="T242" t="s">
        <v>502</v>
      </c>
      <c r="U242">
        <v>3110</v>
      </c>
      <c r="W242">
        <v>4</v>
      </c>
      <c r="X242">
        <v>2016</v>
      </c>
      <c r="Z242">
        <v>1</v>
      </c>
      <c r="AA242" t="s">
        <v>26</v>
      </c>
      <c r="AC242" t="s">
        <v>115</v>
      </c>
      <c r="AD242">
        <v>3</v>
      </c>
      <c r="AE242" t="s">
        <v>115</v>
      </c>
      <c r="AH242" t="s">
        <v>116</v>
      </c>
      <c r="AI242" s="1">
        <v>66543</v>
      </c>
      <c r="AJ242" s="2">
        <v>0.15</v>
      </c>
      <c r="AK242" s="1">
        <v>453543</v>
      </c>
      <c r="AL242" t="s">
        <v>117</v>
      </c>
      <c r="AM242" t="s">
        <v>118</v>
      </c>
      <c r="AN242">
        <v>12433</v>
      </c>
      <c r="AO242">
        <v>0.28000000000000003</v>
      </c>
      <c r="AR242">
        <v>1</v>
      </c>
      <c r="AS242" s="1">
        <v>33930</v>
      </c>
      <c r="AT242" s="1">
        <v>6780</v>
      </c>
      <c r="AU242" s="1">
        <v>27150</v>
      </c>
      <c r="AV242">
        <v>80.02</v>
      </c>
      <c r="AX242" s="1">
        <v>2695.9</v>
      </c>
      <c r="AY242" t="s">
        <v>503</v>
      </c>
      <c r="AZ242" t="s">
        <v>504</v>
      </c>
      <c r="BA242" t="s">
        <v>218</v>
      </c>
      <c r="BB242" s="3">
        <v>43207</v>
      </c>
      <c r="BC242" s="1">
        <v>0</v>
      </c>
      <c r="BD242" t="s">
        <v>247</v>
      </c>
      <c r="BE242" s="3">
        <v>42460</v>
      </c>
      <c r="BF242" s="1">
        <v>387000</v>
      </c>
      <c r="BG242" t="s">
        <v>209</v>
      </c>
      <c r="BH242" s="1">
        <v>124.44</v>
      </c>
      <c r="BI242" s="1">
        <v>387000</v>
      </c>
      <c r="BJ242" s="3">
        <v>42460</v>
      </c>
      <c r="BK242" t="s">
        <v>123</v>
      </c>
      <c r="BL242" t="str">
        <f>"2016.213864"</f>
        <v>2016.213864</v>
      </c>
      <c r="BM242" t="s">
        <v>175</v>
      </c>
      <c r="BN242" t="s">
        <v>132</v>
      </c>
      <c r="BO242" t="s">
        <v>1887</v>
      </c>
      <c r="BS242">
        <v>30</v>
      </c>
      <c r="BW242" t="str">
        <f>""</f>
        <v/>
      </c>
      <c r="CH242" t="str">
        <f>""</f>
        <v/>
      </c>
      <c r="CS242" t="str">
        <f>""</f>
        <v/>
      </c>
    </row>
    <row r="243" spans="1:97" x14ac:dyDescent="0.25">
      <c r="A243" t="s">
        <v>265</v>
      </c>
      <c r="B243" t="s">
        <v>590</v>
      </c>
      <c r="C243" t="s">
        <v>1888</v>
      </c>
      <c r="D243" t="s">
        <v>590</v>
      </c>
      <c r="E243" t="s">
        <v>1889</v>
      </c>
      <c r="F243" t="s">
        <v>108</v>
      </c>
      <c r="H243" t="s">
        <v>1890</v>
      </c>
      <c r="I243" t="s">
        <v>203</v>
      </c>
      <c r="J243" t="s">
        <v>111</v>
      </c>
      <c r="K243" t="str">
        <f>"85298"</f>
        <v>85298</v>
      </c>
      <c r="L243" t="s">
        <v>269</v>
      </c>
      <c r="M243" t="s">
        <v>1890</v>
      </c>
      <c r="N243" t="s">
        <v>203</v>
      </c>
      <c r="O243" t="s">
        <v>111</v>
      </c>
      <c r="P243" t="str">
        <f>"85298"</f>
        <v>85298</v>
      </c>
      <c r="Q243" t="s">
        <v>113</v>
      </c>
      <c r="R243" t="str">
        <f>"304-86-585"</f>
        <v>304-86-585</v>
      </c>
      <c r="S243" t="s">
        <v>1031</v>
      </c>
      <c r="T243" t="s">
        <v>271</v>
      </c>
      <c r="U243">
        <v>2476</v>
      </c>
      <c r="W243">
        <v>4</v>
      </c>
      <c r="X243">
        <v>2015</v>
      </c>
      <c r="Z243">
        <v>1</v>
      </c>
      <c r="AA243" t="s">
        <v>26</v>
      </c>
      <c r="AC243" t="s">
        <v>115</v>
      </c>
      <c r="AD243">
        <v>3</v>
      </c>
      <c r="AE243" t="s">
        <v>115</v>
      </c>
      <c r="AH243" t="s">
        <v>116</v>
      </c>
      <c r="AI243" s="1">
        <v>112535</v>
      </c>
      <c r="AJ243" s="2">
        <v>0.23</v>
      </c>
      <c r="AK243" s="1">
        <v>481372</v>
      </c>
      <c r="AL243" t="s">
        <v>117</v>
      </c>
      <c r="AM243" t="s">
        <v>393</v>
      </c>
      <c r="AN243">
        <v>10119</v>
      </c>
      <c r="AO243">
        <v>0.23</v>
      </c>
      <c r="AR243">
        <v>1</v>
      </c>
      <c r="AS243" s="1">
        <v>34830</v>
      </c>
      <c r="AT243" s="1">
        <v>6960</v>
      </c>
      <c r="AU243" s="1">
        <v>27870</v>
      </c>
      <c r="AV243">
        <v>80.02</v>
      </c>
      <c r="AX243" s="1">
        <v>2496.7600000000002</v>
      </c>
      <c r="AY243" t="s">
        <v>272</v>
      </c>
      <c r="AZ243" t="s">
        <v>273</v>
      </c>
      <c r="BA243" t="s">
        <v>274</v>
      </c>
      <c r="BE243" s="3">
        <v>42360</v>
      </c>
      <c r="BF243" s="1">
        <v>361074</v>
      </c>
      <c r="BG243" t="s">
        <v>275</v>
      </c>
      <c r="BH243" s="1">
        <v>145.83000000000001</v>
      </c>
      <c r="BI243" s="1">
        <v>368837</v>
      </c>
      <c r="BJ243" s="3">
        <v>42360</v>
      </c>
      <c r="BK243" t="s">
        <v>123</v>
      </c>
      <c r="BL243" t="str">
        <f>"2015.903556"</f>
        <v>2015.903556</v>
      </c>
      <c r="BM243" t="s">
        <v>651</v>
      </c>
      <c r="BO243" t="s">
        <v>1891</v>
      </c>
      <c r="BS243">
        <v>30</v>
      </c>
      <c r="BW243" t="str">
        <f>""</f>
        <v/>
      </c>
      <c r="CH243" t="str">
        <f>""</f>
        <v/>
      </c>
      <c r="CS243" t="str">
        <f>""</f>
        <v/>
      </c>
    </row>
    <row r="244" spans="1:97" x14ac:dyDescent="0.25">
      <c r="A244" t="s">
        <v>589</v>
      </c>
      <c r="B244" t="s">
        <v>1892</v>
      </c>
      <c r="C244" t="s">
        <v>1893</v>
      </c>
      <c r="D244" t="s">
        <v>1892</v>
      </c>
      <c r="E244" t="s">
        <v>1894</v>
      </c>
      <c r="F244" t="s">
        <v>108</v>
      </c>
      <c r="H244" t="s">
        <v>1895</v>
      </c>
      <c r="I244" t="s">
        <v>144</v>
      </c>
      <c r="J244" t="s">
        <v>111</v>
      </c>
      <c r="K244" t="str">
        <f>"85396"</f>
        <v>85396</v>
      </c>
      <c r="L244" t="s">
        <v>439</v>
      </c>
      <c r="M244" t="s">
        <v>1895</v>
      </c>
      <c r="N244" t="s">
        <v>144</v>
      </c>
      <c r="O244" t="s">
        <v>111</v>
      </c>
      <c r="P244" t="str">
        <f>"85396-2336"</f>
        <v>85396-2336</v>
      </c>
      <c r="Q244" t="s">
        <v>113</v>
      </c>
      <c r="R244" t="str">
        <f>"510-07-436"</f>
        <v>510-07-436</v>
      </c>
      <c r="S244" t="s">
        <v>1896</v>
      </c>
      <c r="U244">
        <v>2473</v>
      </c>
      <c r="W244">
        <v>3</v>
      </c>
      <c r="X244">
        <v>2014</v>
      </c>
      <c r="Z244">
        <v>1</v>
      </c>
      <c r="AC244" t="s">
        <v>115</v>
      </c>
      <c r="AD244">
        <v>4</v>
      </c>
      <c r="AE244" t="s">
        <v>115</v>
      </c>
      <c r="AH244" t="s">
        <v>116</v>
      </c>
      <c r="AI244" s="1">
        <v>114010</v>
      </c>
      <c r="AJ244" s="2">
        <v>0.28000000000000003</v>
      </c>
      <c r="AK244" s="1">
        <v>414010</v>
      </c>
      <c r="AL244" t="s">
        <v>117</v>
      </c>
      <c r="AM244" t="s">
        <v>118</v>
      </c>
      <c r="AN244">
        <v>8688</v>
      </c>
      <c r="AO244">
        <v>0.2</v>
      </c>
      <c r="AR244">
        <v>1</v>
      </c>
      <c r="AS244" s="1">
        <v>30400</v>
      </c>
      <c r="AT244" s="1">
        <v>6080</v>
      </c>
      <c r="AU244" s="1">
        <v>24320</v>
      </c>
      <c r="AV244">
        <v>80</v>
      </c>
      <c r="AX244" s="1">
        <v>3103.7</v>
      </c>
      <c r="AY244" t="s">
        <v>444</v>
      </c>
      <c r="AZ244" t="s">
        <v>444</v>
      </c>
      <c r="BA244" t="s">
        <v>445</v>
      </c>
      <c r="BE244" s="3">
        <v>41996</v>
      </c>
      <c r="BF244" s="1">
        <v>420807</v>
      </c>
      <c r="BG244" t="s">
        <v>446</v>
      </c>
      <c r="BH244" s="1">
        <v>170.16</v>
      </c>
      <c r="BI244" s="1">
        <v>300000</v>
      </c>
      <c r="BJ244" s="3">
        <v>41996</v>
      </c>
      <c r="BK244" t="s">
        <v>123</v>
      </c>
      <c r="BL244" t="str">
        <f>"2014.844797"</f>
        <v>2014.844797</v>
      </c>
      <c r="BM244" t="s">
        <v>573</v>
      </c>
      <c r="BO244" t="s">
        <v>1897</v>
      </c>
      <c r="BS244">
        <v>30</v>
      </c>
      <c r="BW244" t="str">
        <f>""</f>
        <v/>
      </c>
      <c r="CH244" t="str">
        <f>""</f>
        <v/>
      </c>
      <c r="CS244" t="str">
        <f>""</f>
        <v/>
      </c>
    </row>
    <row r="245" spans="1:97" x14ac:dyDescent="0.25">
      <c r="A245" t="s">
        <v>1898</v>
      </c>
      <c r="B245" t="s">
        <v>1899</v>
      </c>
      <c r="C245" t="s">
        <v>1900</v>
      </c>
      <c r="D245" t="s">
        <v>1899</v>
      </c>
      <c r="E245" t="s">
        <v>1901</v>
      </c>
      <c r="F245" t="s">
        <v>108</v>
      </c>
      <c r="H245" t="s">
        <v>1902</v>
      </c>
      <c r="I245" t="s">
        <v>203</v>
      </c>
      <c r="J245" t="s">
        <v>111</v>
      </c>
      <c r="K245" t="str">
        <f>"85298"</f>
        <v>85298</v>
      </c>
      <c r="L245" t="s">
        <v>721</v>
      </c>
      <c r="M245" t="s">
        <v>1902</v>
      </c>
      <c r="N245" t="s">
        <v>203</v>
      </c>
      <c r="O245" t="s">
        <v>111</v>
      </c>
      <c r="P245" t="str">
        <f>"85298"</f>
        <v>85298</v>
      </c>
      <c r="Q245" t="s">
        <v>113</v>
      </c>
      <c r="R245" t="str">
        <f>"304-85-716"</f>
        <v>304-85-716</v>
      </c>
      <c r="S245" t="s">
        <v>722</v>
      </c>
      <c r="U245">
        <v>2399</v>
      </c>
      <c r="W245">
        <v>3</v>
      </c>
      <c r="X245">
        <v>2015</v>
      </c>
      <c r="Z245">
        <v>1</v>
      </c>
      <c r="AC245" t="s">
        <v>115</v>
      </c>
      <c r="AD245">
        <v>3</v>
      </c>
      <c r="AE245" t="s">
        <v>115</v>
      </c>
      <c r="AH245" t="s">
        <v>116</v>
      </c>
      <c r="AI245" s="1">
        <v>35241</v>
      </c>
      <c r="AJ245" s="2">
        <v>0.08</v>
      </c>
      <c r="AK245" s="1">
        <v>420241</v>
      </c>
      <c r="AL245" t="s">
        <v>117</v>
      </c>
      <c r="AM245" t="s">
        <v>723</v>
      </c>
      <c r="AN245">
        <v>8988</v>
      </c>
      <c r="AO245">
        <v>0.21</v>
      </c>
      <c r="AR245">
        <v>1</v>
      </c>
      <c r="AS245" s="1">
        <v>30280</v>
      </c>
      <c r="AT245" s="1">
        <v>6050</v>
      </c>
      <c r="AU245" s="1">
        <v>24230</v>
      </c>
      <c r="AV245">
        <v>80.02</v>
      </c>
      <c r="AX245" s="1">
        <v>2196.42</v>
      </c>
      <c r="AY245" t="s">
        <v>272</v>
      </c>
      <c r="AZ245" t="s">
        <v>273</v>
      </c>
      <c r="BA245" t="s">
        <v>274</v>
      </c>
      <c r="BE245" s="3">
        <v>42352</v>
      </c>
      <c r="BF245" s="1">
        <v>331738</v>
      </c>
      <c r="BG245" t="s">
        <v>645</v>
      </c>
      <c r="BH245" s="1">
        <v>138.28</v>
      </c>
      <c r="BI245" s="1">
        <v>385000</v>
      </c>
      <c r="BJ245" s="3">
        <v>43591</v>
      </c>
      <c r="BK245" t="s">
        <v>123</v>
      </c>
      <c r="BL245" t="str">
        <f>"2019.324087"</f>
        <v>2019.324087</v>
      </c>
      <c r="BM245" t="s">
        <v>460</v>
      </c>
      <c r="BN245" t="s">
        <v>1903</v>
      </c>
      <c r="BO245" t="s">
        <v>1904</v>
      </c>
      <c r="BP245" t="s">
        <v>1905</v>
      </c>
      <c r="BR245" t="s">
        <v>139</v>
      </c>
      <c r="BW245" t="str">
        <f>""</f>
        <v/>
      </c>
      <c r="CH245" t="str">
        <f>""</f>
        <v/>
      </c>
      <c r="CS245" t="str">
        <f>""</f>
        <v/>
      </c>
    </row>
    <row r="246" spans="1:97" x14ac:dyDescent="0.25">
      <c r="A246" t="s">
        <v>1906</v>
      </c>
      <c r="B246" t="s">
        <v>1907</v>
      </c>
      <c r="C246" t="s">
        <v>1444</v>
      </c>
      <c r="D246" t="s">
        <v>1908</v>
      </c>
      <c r="E246" t="s">
        <v>1909</v>
      </c>
      <c r="F246" t="s">
        <v>108</v>
      </c>
      <c r="H246" t="s">
        <v>1910</v>
      </c>
      <c r="I246" t="s">
        <v>632</v>
      </c>
      <c r="J246" t="s">
        <v>111</v>
      </c>
      <c r="K246" t="str">
        <f>"85379"</f>
        <v>85379</v>
      </c>
      <c r="L246" t="s">
        <v>375</v>
      </c>
      <c r="M246" t="s">
        <v>1910</v>
      </c>
      <c r="N246" t="s">
        <v>632</v>
      </c>
      <c r="O246" t="s">
        <v>111</v>
      </c>
      <c r="P246" t="str">
        <f>"85379-4276"</f>
        <v>85379-4276</v>
      </c>
      <c r="R246" t="str">
        <f>"509-11-733"</f>
        <v>509-11-733</v>
      </c>
      <c r="S246" t="s">
        <v>633</v>
      </c>
      <c r="U246">
        <v>1907</v>
      </c>
      <c r="W246">
        <v>3</v>
      </c>
      <c r="X246">
        <v>2015</v>
      </c>
      <c r="Z246">
        <v>1</v>
      </c>
      <c r="AC246" t="s">
        <v>115</v>
      </c>
      <c r="AD246">
        <v>2</v>
      </c>
      <c r="AE246" t="s">
        <v>115</v>
      </c>
      <c r="AH246" t="s">
        <v>116</v>
      </c>
      <c r="AI246" s="1">
        <v>44462</v>
      </c>
      <c r="AJ246" s="2">
        <v>0.14000000000000001</v>
      </c>
      <c r="AK246" s="1">
        <v>313629</v>
      </c>
      <c r="AL246" t="s">
        <v>117</v>
      </c>
      <c r="AM246" t="s">
        <v>118</v>
      </c>
      <c r="AN246">
        <v>7389</v>
      </c>
      <c r="AO246">
        <v>0.17</v>
      </c>
      <c r="AR246">
        <v>1</v>
      </c>
      <c r="AS246" s="1">
        <v>22680</v>
      </c>
      <c r="AT246" s="1">
        <v>4530</v>
      </c>
      <c r="AU246" s="1">
        <v>18150</v>
      </c>
      <c r="AV246">
        <v>80.03</v>
      </c>
      <c r="AX246" s="1">
        <v>2675.52</v>
      </c>
      <c r="AY246" t="s">
        <v>634</v>
      </c>
      <c r="AZ246" t="s">
        <v>634</v>
      </c>
      <c r="BA246" t="s">
        <v>635</v>
      </c>
      <c r="BE246" s="3">
        <v>42410</v>
      </c>
      <c r="BF246" s="1">
        <v>263502</v>
      </c>
      <c r="BG246" t="s">
        <v>636</v>
      </c>
      <c r="BH246" s="1">
        <v>138.18</v>
      </c>
      <c r="BI246" s="1">
        <v>269167</v>
      </c>
      <c r="BJ246" s="3">
        <v>42410</v>
      </c>
      <c r="BK246" t="s">
        <v>123</v>
      </c>
      <c r="BL246" t="str">
        <f>"2016.88163"</f>
        <v>2016.88163</v>
      </c>
      <c r="BM246" t="s">
        <v>637</v>
      </c>
      <c r="BN246" t="s">
        <v>652</v>
      </c>
      <c r="BO246" t="s">
        <v>1911</v>
      </c>
      <c r="BP246" t="s">
        <v>1912</v>
      </c>
      <c r="BS246">
        <v>30</v>
      </c>
      <c r="BW246" t="str">
        <f>""</f>
        <v/>
      </c>
      <c r="CH246" t="str">
        <f>""</f>
        <v/>
      </c>
      <c r="CS246" t="str">
        <f>""</f>
        <v/>
      </c>
    </row>
    <row r="247" spans="1:97" x14ac:dyDescent="0.25">
      <c r="B247" t="s">
        <v>1913</v>
      </c>
      <c r="E247" t="s">
        <v>1913</v>
      </c>
      <c r="F247" t="s">
        <v>108</v>
      </c>
      <c r="H247" t="s">
        <v>1914</v>
      </c>
      <c r="I247" t="s">
        <v>203</v>
      </c>
      <c r="J247" t="s">
        <v>111</v>
      </c>
      <c r="K247" t="str">
        <f>"85298"</f>
        <v>85298</v>
      </c>
      <c r="L247" t="s">
        <v>284</v>
      </c>
      <c r="M247" t="s">
        <v>1914</v>
      </c>
      <c r="N247" t="s">
        <v>203</v>
      </c>
      <c r="O247" t="s">
        <v>111</v>
      </c>
      <c r="P247" t="str">
        <f>"85298-8509"</f>
        <v>85298-8509</v>
      </c>
      <c r="Q247" t="s">
        <v>113</v>
      </c>
      <c r="R247" t="str">
        <f>"304-73-304"</f>
        <v>304-73-304</v>
      </c>
      <c r="S247" t="s">
        <v>1255</v>
      </c>
      <c r="T247" t="s">
        <v>287</v>
      </c>
      <c r="U247">
        <v>2912</v>
      </c>
      <c r="W247">
        <v>4</v>
      </c>
      <c r="X247">
        <v>2015</v>
      </c>
      <c r="Z247">
        <v>1</v>
      </c>
      <c r="AA247" t="s">
        <v>26</v>
      </c>
      <c r="AC247" t="s">
        <v>115</v>
      </c>
      <c r="AD247">
        <v>3</v>
      </c>
      <c r="AE247" t="s">
        <v>115</v>
      </c>
      <c r="AH247" t="s">
        <v>116</v>
      </c>
      <c r="AI247" s="1">
        <v>60559</v>
      </c>
      <c r="AJ247" s="2">
        <v>0.12</v>
      </c>
      <c r="AK247" s="1">
        <v>517559</v>
      </c>
      <c r="AL247" t="s">
        <v>117</v>
      </c>
      <c r="AM247" t="s">
        <v>288</v>
      </c>
      <c r="AN247">
        <v>9142</v>
      </c>
      <c r="AO247">
        <v>0.21</v>
      </c>
      <c r="AR247">
        <v>1</v>
      </c>
      <c r="AS247" s="1">
        <v>39300</v>
      </c>
      <c r="AT247" s="1">
        <v>7860</v>
      </c>
      <c r="AU247" s="1">
        <v>31440</v>
      </c>
      <c r="AV247">
        <v>80</v>
      </c>
      <c r="AX247" s="1">
        <v>2942.94</v>
      </c>
      <c r="AY247" t="s">
        <v>289</v>
      </c>
      <c r="AZ247" t="s">
        <v>289</v>
      </c>
      <c r="BA247" t="s">
        <v>290</v>
      </c>
      <c r="BE247" s="3">
        <v>42138</v>
      </c>
      <c r="BF247" s="1">
        <v>409122</v>
      </c>
      <c r="BG247" t="s">
        <v>954</v>
      </c>
      <c r="BH247" s="1">
        <v>140.5</v>
      </c>
      <c r="BI247" s="1">
        <v>457000</v>
      </c>
      <c r="BJ247" s="3">
        <v>43108</v>
      </c>
      <c r="BK247" t="s">
        <v>123</v>
      </c>
      <c r="BL247" t="str">
        <f>"2018.16670"</f>
        <v>2018.16670</v>
      </c>
      <c r="BM247" t="s">
        <v>1915</v>
      </c>
      <c r="BN247" t="s">
        <v>1916</v>
      </c>
      <c r="BO247" t="s">
        <v>1917</v>
      </c>
      <c r="BP247" t="s">
        <v>1918</v>
      </c>
      <c r="BR247" t="s">
        <v>139</v>
      </c>
      <c r="BW247" t="str">
        <f>""</f>
        <v/>
      </c>
      <c r="CH247" t="str">
        <f>""</f>
        <v/>
      </c>
      <c r="CS247" t="str">
        <f>""</f>
        <v/>
      </c>
    </row>
    <row r="248" spans="1:97" x14ac:dyDescent="0.25">
      <c r="B248" t="s">
        <v>1919</v>
      </c>
      <c r="E248" t="s">
        <v>1920</v>
      </c>
      <c r="F248" t="s">
        <v>108</v>
      </c>
      <c r="H248" t="s">
        <v>1921</v>
      </c>
      <c r="I248" t="s">
        <v>203</v>
      </c>
      <c r="J248" t="s">
        <v>111</v>
      </c>
      <c r="K248" t="str">
        <f>"85298"</f>
        <v>85298</v>
      </c>
      <c r="L248" t="s">
        <v>269</v>
      </c>
      <c r="M248" t="s">
        <v>1921</v>
      </c>
      <c r="N248" t="s">
        <v>203</v>
      </c>
      <c r="O248" t="s">
        <v>111</v>
      </c>
      <c r="P248" t="str">
        <f>"85298"</f>
        <v>85298</v>
      </c>
      <c r="Q248" t="s">
        <v>113</v>
      </c>
      <c r="R248" t="str">
        <f>"304-86-668"</f>
        <v>304-86-668</v>
      </c>
      <c r="S248" t="s">
        <v>862</v>
      </c>
      <c r="T248" t="s">
        <v>271</v>
      </c>
      <c r="U248">
        <v>2121</v>
      </c>
      <c r="W248">
        <v>4</v>
      </c>
      <c r="X248">
        <v>2015</v>
      </c>
      <c r="Z248">
        <v>1</v>
      </c>
      <c r="AC248" t="s">
        <v>115</v>
      </c>
      <c r="AD248">
        <v>2</v>
      </c>
      <c r="AE248" t="s">
        <v>115</v>
      </c>
      <c r="AH248" t="s">
        <v>116</v>
      </c>
      <c r="AI248" s="1">
        <v>101514</v>
      </c>
      <c r="AJ248" s="2">
        <v>0.26</v>
      </c>
      <c r="AK248" s="1">
        <v>385589</v>
      </c>
      <c r="AL248" t="s">
        <v>117</v>
      </c>
      <c r="AM248" t="s">
        <v>393</v>
      </c>
      <c r="AN248">
        <v>6313</v>
      </c>
      <c r="AO248">
        <v>0.14000000000000001</v>
      </c>
      <c r="AR248">
        <v>1</v>
      </c>
      <c r="AS248" s="1">
        <v>26880</v>
      </c>
      <c r="AT248" s="1">
        <v>5370</v>
      </c>
      <c r="AU248" s="1">
        <v>21510</v>
      </c>
      <c r="AV248">
        <v>80.02</v>
      </c>
      <c r="AX248" s="1">
        <v>2072.3200000000002</v>
      </c>
      <c r="AY248" t="s">
        <v>272</v>
      </c>
      <c r="AZ248" t="s">
        <v>273</v>
      </c>
      <c r="BA248" t="s">
        <v>274</v>
      </c>
      <c r="BB248" s="3">
        <v>42844</v>
      </c>
      <c r="BD248" t="s">
        <v>458</v>
      </c>
      <c r="BE248" s="3">
        <v>42186</v>
      </c>
      <c r="BF248" s="1">
        <v>289565</v>
      </c>
      <c r="BG248" t="s">
        <v>275</v>
      </c>
      <c r="BH248" s="1">
        <v>136.52000000000001</v>
      </c>
      <c r="BI248" s="1">
        <v>284075</v>
      </c>
      <c r="BJ248" s="3">
        <v>42776</v>
      </c>
      <c r="BK248" t="s">
        <v>123</v>
      </c>
      <c r="BL248" t="str">
        <f>"2017.100693"</f>
        <v>2017.100693</v>
      </c>
      <c r="BM248" t="s">
        <v>1707</v>
      </c>
      <c r="BN248" t="s">
        <v>1922</v>
      </c>
      <c r="BO248" t="s">
        <v>1923</v>
      </c>
      <c r="BS248">
        <v>30</v>
      </c>
      <c r="BW248" t="str">
        <f>""</f>
        <v/>
      </c>
      <c r="CH248" t="str">
        <f>""</f>
        <v/>
      </c>
      <c r="CS248" t="str">
        <f>""</f>
        <v/>
      </c>
    </row>
    <row r="249" spans="1:97" x14ac:dyDescent="0.25">
      <c r="A249" t="s">
        <v>1924</v>
      </c>
      <c r="B249" t="s">
        <v>364</v>
      </c>
      <c r="C249" t="s">
        <v>1925</v>
      </c>
      <c r="D249" t="s">
        <v>364</v>
      </c>
      <c r="E249" t="s">
        <v>1926</v>
      </c>
      <c r="F249" t="s">
        <v>108</v>
      </c>
      <c r="H249" t="s">
        <v>1927</v>
      </c>
      <c r="I249" t="s">
        <v>225</v>
      </c>
      <c r="J249" t="s">
        <v>111</v>
      </c>
      <c r="K249" t="str">
        <f>"85212"</f>
        <v>85212</v>
      </c>
      <c r="L249" t="s">
        <v>558</v>
      </c>
      <c r="M249" t="s">
        <v>1927</v>
      </c>
      <c r="N249" t="s">
        <v>225</v>
      </c>
      <c r="O249" t="s">
        <v>111</v>
      </c>
      <c r="P249" t="str">
        <f>"85212-8116"</f>
        <v>85212-8116</v>
      </c>
      <c r="Q249" t="s">
        <v>113</v>
      </c>
      <c r="R249" t="str">
        <f>"304-50-755"</f>
        <v>304-50-755</v>
      </c>
      <c r="S249" t="s">
        <v>650</v>
      </c>
      <c r="U249">
        <v>2921</v>
      </c>
      <c r="W249">
        <v>4</v>
      </c>
      <c r="X249">
        <v>2015</v>
      </c>
      <c r="Z249">
        <v>2</v>
      </c>
      <c r="AC249" t="s">
        <v>115</v>
      </c>
      <c r="AD249">
        <v>3</v>
      </c>
      <c r="AE249" t="s">
        <v>115</v>
      </c>
      <c r="AH249" t="s">
        <v>116</v>
      </c>
      <c r="AI249" s="1">
        <v>120938</v>
      </c>
      <c r="AJ249" s="2">
        <v>0.28999999999999998</v>
      </c>
      <c r="AK249" s="1">
        <v>413339</v>
      </c>
      <c r="AL249" t="s">
        <v>117</v>
      </c>
      <c r="AM249" t="s">
        <v>118</v>
      </c>
      <c r="AN249">
        <v>6885</v>
      </c>
      <c r="AO249">
        <v>0.16</v>
      </c>
      <c r="AR249">
        <v>1</v>
      </c>
      <c r="AS249" s="1">
        <v>28550</v>
      </c>
      <c r="AT249" s="1">
        <v>5710</v>
      </c>
      <c r="AU249" s="1">
        <v>22840</v>
      </c>
      <c r="AV249">
        <v>80</v>
      </c>
      <c r="AX249" s="1">
        <v>3935.26</v>
      </c>
      <c r="AY249" t="s">
        <v>560</v>
      </c>
      <c r="AZ249" t="s">
        <v>561</v>
      </c>
      <c r="BA249" t="s">
        <v>194</v>
      </c>
      <c r="BE249" s="3">
        <v>42250</v>
      </c>
      <c r="BF249" s="1">
        <v>293888</v>
      </c>
      <c r="BG249" t="s">
        <v>275</v>
      </c>
      <c r="BH249" s="1">
        <v>100.61</v>
      </c>
      <c r="BI249" s="1">
        <v>292401</v>
      </c>
      <c r="BJ249" s="3">
        <v>42503</v>
      </c>
      <c r="BK249" t="s">
        <v>123</v>
      </c>
      <c r="BL249" t="str">
        <f>"2016.330220"</f>
        <v>2016.330220</v>
      </c>
      <c r="BM249" t="s">
        <v>1135</v>
      </c>
      <c r="BO249" t="s">
        <v>1928</v>
      </c>
      <c r="BS249">
        <v>30</v>
      </c>
      <c r="BW249" t="str">
        <f>""</f>
        <v/>
      </c>
      <c r="CH249" t="str">
        <f>""</f>
        <v/>
      </c>
      <c r="CS249" t="str">
        <f>""</f>
        <v/>
      </c>
    </row>
    <row r="250" spans="1:97" x14ac:dyDescent="0.25">
      <c r="A250" t="s">
        <v>1774</v>
      </c>
      <c r="B250" t="s">
        <v>1929</v>
      </c>
      <c r="C250" t="s">
        <v>1930</v>
      </c>
      <c r="D250" t="s">
        <v>1929</v>
      </c>
      <c r="E250" t="s">
        <v>1931</v>
      </c>
      <c r="F250" t="s">
        <v>108</v>
      </c>
      <c r="H250" t="s">
        <v>1932</v>
      </c>
      <c r="I250" t="s">
        <v>499</v>
      </c>
      <c r="J250" t="s">
        <v>111</v>
      </c>
      <c r="K250" t="str">
        <f>"85395"</f>
        <v>85395</v>
      </c>
      <c r="L250" t="s">
        <v>500</v>
      </c>
      <c r="M250" t="s">
        <v>1932</v>
      </c>
      <c r="N250" t="s">
        <v>499</v>
      </c>
      <c r="O250" t="s">
        <v>111</v>
      </c>
      <c r="P250" t="str">
        <f>"85395-6461"</f>
        <v>85395-6461</v>
      </c>
      <c r="Q250" t="s">
        <v>113</v>
      </c>
      <c r="R250" t="str">
        <f>"502-30-394"</f>
        <v>502-30-394</v>
      </c>
      <c r="S250" t="s">
        <v>501</v>
      </c>
      <c r="T250" t="s">
        <v>502</v>
      </c>
      <c r="U250">
        <v>3419</v>
      </c>
      <c r="W250">
        <v>5</v>
      </c>
      <c r="X250">
        <v>2015</v>
      </c>
      <c r="Z250">
        <v>1</v>
      </c>
      <c r="AA250" t="s">
        <v>26</v>
      </c>
      <c r="AC250" t="s">
        <v>115</v>
      </c>
      <c r="AD250">
        <v>4</v>
      </c>
      <c r="AE250" t="s">
        <v>115</v>
      </c>
      <c r="AH250" t="s">
        <v>116</v>
      </c>
      <c r="AI250" s="1">
        <v>87955</v>
      </c>
      <c r="AJ250" s="2">
        <v>0.16</v>
      </c>
      <c r="AK250" s="1">
        <v>546966</v>
      </c>
      <c r="AL250" t="s">
        <v>117</v>
      </c>
      <c r="AM250" t="s">
        <v>118</v>
      </c>
      <c r="AN250">
        <v>25762</v>
      </c>
      <c r="AO250">
        <v>0.59</v>
      </c>
      <c r="AR250">
        <v>1</v>
      </c>
      <c r="AS250" s="1">
        <v>44050</v>
      </c>
      <c r="AT250" s="1">
        <v>8810</v>
      </c>
      <c r="AU250" s="1">
        <v>35240</v>
      </c>
      <c r="AV250">
        <v>80</v>
      </c>
      <c r="AX250" s="1">
        <v>3519.12</v>
      </c>
      <c r="AY250" t="s">
        <v>503</v>
      </c>
      <c r="AZ250" t="s">
        <v>504</v>
      </c>
      <c r="BA250" t="s">
        <v>218</v>
      </c>
      <c r="BE250" s="3">
        <v>42185</v>
      </c>
      <c r="BF250" s="1">
        <v>500000</v>
      </c>
      <c r="BG250" t="s">
        <v>209</v>
      </c>
      <c r="BH250" s="1">
        <v>146.24</v>
      </c>
      <c r="BI250" s="1">
        <v>459011</v>
      </c>
      <c r="BJ250" s="3">
        <v>42185</v>
      </c>
      <c r="BK250" t="s">
        <v>123</v>
      </c>
      <c r="BL250" t="str">
        <f>"2015.472085"</f>
        <v>2015.472085</v>
      </c>
      <c r="BM250" t="s">
        <v>175</v>
      </c>
      <c r="BO250" t="s">
        <v>1933</v>
      </c>
      <c r="BS250">
        <v>30</v>
      </c>
      <c r="BW250" t="str">
        <f>""</f>
        <v/>
      </c>
      <c r="CH250" t="str">
        <f>""</f>
        <v/>
      </c>
      <c r="CS250" t="str">
        <f>""</f>
        <v/>
      </c>
    </row>
    <row r="251" spans="1:97" x14ac:dyDescent="0.25">
      <c r="B251" t="s">
        <v>275</v>
      </c>
      <c r="C251" t="s">
        <v>489</v>
      </c>
      <c r="E251" t="s">
        <v>275</v>
      </c>
      <c r="F251" t="s">
        <v>139</v>
      </c>
      <c r="H251" t="s">
        <v>1934</v>
      </c>
      <c r="I251" t="s">
        <v>203</v>
      </c>
      <c r="J251" t="s">
        <v>111</v>
      </c>
      <c r="K251" t="str">
        <f>"85298"</f>
        <v>85298</v>
      </c>
      <c r="L251" t="s">
        <v>269</v>
      </c>
      <c r="M251" t="s">
        <v>1935</v>
      </c>
      <c r="N251" t="s">
        <v>1936</v>
      </c>
      <c r="O251" t="s">
        <v>111</v>
      </c>
      <c r="P251" t="str">
        <f>"85258-4472"</f>
        <v>85258-4472</v>
      </c>
      <c r="Q251" t="s">
        <v>113</v>
      </c>
      <c r="R251" t="str">
        <f>"304-86-376"</f>
        <v>304-86-376</v>
      </c>
      <c r="S251" t="s">
        <v>1332</v>
      </c>
      <c r="T251" t="s">
        <v>271</v>
      </c>
      <c r="U251">
        <v>2754</v>
      </c>
      <c r="W251">
        <v>4</v>
      </c>
      <c r="X251">
        <v>2014</v>
      </c>
      <c r="Z251">
        <v>1</v>
      </c>
      <c r="AC251" t="s">
        <v>115</v>
      </c>
      <c r="AD251">
        <v>3</v>
      </c>
      <c r="AE251" t="s">
        <v>115</v>
      </c>
      <c r="AH251" t="s">
        <v>116</v>
      </c>
      <c r="AI251" s="1">
        <v>167897</v>
      </c>
      <c r="AJ251" s="2">
        <v>0.36</v>
      </c>
      <c r="AK251" s="1">
        <v>470958</v>
      </c>
      <c r="AL251" t="s">
        <v>117</v>
      </c>
      <c r="AM251" t="s">
        <v>171</v>
      </c>
      <c r="AN251">
        <v>8987</v>
      </c>
      <c r="AO251">
        <v>0.21</v>
      </c>
      <c r="AR251">
        <v>1</v>
      </c>
      <c r="AS251" s="1">
        <v>35060</v>
      </c>
      <c r="AT251" s="1">
        <v>7010</v>
      </c>
      <c r="AU251" s="1">
        <v>28050</v>
      </c>
      <c r="AV251">
        <v>80.010000000000005</v>
      </c>
      <c r="AX251" s="1">
        <v>2860.36</v>
      </c>
      <c r="AY251" t="s">
        <v>272</v>
      </c>
      <c r="AZ251" t="s">
        <v>273</v>
      </c>
      <c r="BA251" t="s">
        <v>274</v>
      </c>
      <c r="BB251" s="3">
        <v>43570</v>
      </c>
      <c r="BC251" s="1">
        <v>0</v>
      </c>
      <c r="BD251" t="s">
        <v>291</v>
      </c>
      <c r="BE251" s="3">
        <v>41963</v>
      </c>
      <c r="BF251" s="1">
        <v>363061</v>
      </c>
      <c r="BG251" t="s">
        <v>275</v>
      </c>
      <c r="BH251" s="1">
        <v>131.83000000000001</v>
      </c>
      <c r="BI251" s="1">
        <v>303061</v>
      </c>
      <c r="BJ251" s="3">
        <v>41963</v>
      </c>
      <c r="BK251" t="s">
        <v>123</v>
      </c>
      <c r="BL251" t="str">
        <f>"2014.769872"</f>
        <v>2014.769872</v>
      </c>
      <c r="BM251" t="s">
        <v>651</v>
      </c>
      <c r="BN251" t="s">
        <v>652</v>
      </c>
      <c r="BO251" t="s">
        <v>1937</v>
      </c>
      <c r="BS251">
        <v>30</v>
      </c>
      <c r="BW251" t="str">
        <f>""</f>
        <v/>
      </c>
      <c r="CH251" t="str">
        <f>""</f>
        <v/>
      </c>
      <c r="CS251" t="str">
        <f>""</f>
        <v/>
      </c>
    </row>
    <row r="252" spans="1:97" x14ac:dyDescent="0.25">
      <c r="A252" t="s">
        <v>1938</v>
      </c>
      <c r="B252" t="s">
        <v>1939</v>
      </c>
      <c r="C252" t="s">
        <v>1940</v>
      </c>
      <c r="D252" t="s">
        <v>1939</v>
      </c>
      <c r="E252" t="s">
        <v>1941</v>
      </c>
      <c r="F252" t="s">
        <v>108</v>
      </c>
      <c r="H252" t="s">
        <v>1942</v>
      </c>
      <c r="I252" t="s">
        <v>225</v>
      </c>
      <c r="J252" t="s">
        <v>111</v>
      </c>
      <c r="K252" t="str">
        <f>"85212"</f>
        <v>85212</v>
      </c>
      <c r="L252" t="s">
        <v>558</v>
      </c>
      <c r="M252" t="s">
        <v>1942</v>
      </c>
      <c r="N252" t="s">
        <v>225</v>
      </c>
      <c r="O252" t="s">
        <v>111</v>
      </c>
      <c r="P252" t="str">
        <f>"85212-8070"</f>
        <v>85212-8070</v>
      </c>
      <c r="Q252" t="s">
        <v>113</v>
      </c>
      <c r="R252" t="str">
        <f>"304-50-338"</f>
        <v>304-50-338</v>
      </c>
      <c r="S252" t="s">
        <v>698</v>
      </c>
      <c r="U252">
        <v>3608</v>
      </c>
      <c r="W252">
        <v>4</v>
      </c>
      <c r="X252">
        <v>2013</v>
      </c>
      <c r="Z252">
        <v>1</v>
      </c>
      <c r="AC252" t="s">
        <v>115</v>
      </c>
      <c r="AD252">
        <v>3</v>
      </c>
      <c r="AE252" t="s">
        <v>115</v>
      </c>
      <c r="AH252" t="s">
        <v>116</v>
      </c>
      <c r="AI252" s="1">
        <v>108557</v>
      </c>
      <c r="AJ252" s="2">
        <v>0.22</v>
      </c>
      <c r="AK252" s="1">
        <v>491914</v>
      </c>
      <c r="AL252" t="s">
        <v>117</v>
      </c>
      <c r="AM252" t="s">
        <v>118</v>
      </c>
      <c r="AN252">
        <v>10800</v>
      </c>
      <c r="AO252">
        <v>0.25</v>
      </c>
      <c r="AR252">
        <v>1</v>
      </c>
      <c r="AS252" s="1">
        <v>37050</v>
      </c>
      <c r="AT252" s="1">
        <v>7410</v>
      </c>
      <c r="AU252" s="1">
        <v>29640</v>
      </c>
      <c r="AV252">
        <v>80</v>
      </c>
      <c r="AX252" s="1">
        <v>5312.94</v>
      </c>
      <c r="AY252" t="s">
        <v>560</v>
      </c>
      <c r="AZ252" t="s">
        <v>561</v>
      </c>
      <c r="BA252" t="s">
        <v>194</v>
      </c>
      <c r="BE252" s="3">
        <v>41816</v>
      </c>
      <c r="BF252" s="1">
        <v>372667</v>
      </c>
      <c r="BG252" t="s">
        <v>645</v>
      </c>
      <c r="BH252" s="1">
        <v>103.29</v>
      </c>
      <c r="BI252" s="1">
        <v>383357</v>
      </c>
      <c r="BJ252" s="3">
        <v>42586</v>
      </c>
      <c r="BK252" t="s">
        <v>123</v>
      </c>
      <c r="BL252" t="str">
        <f>"2016.553867"</f>
        <v>2016.553867</v>
      </c>
      <c r="BM252" t="s">
        <v>903</v>
      </c>
      <c r="BO252" t="s">
        <v>1943</v>
      </c>
      <c r="BS252">
        <v>30</v>
      </c>
      <c r="BW252" t="str">
        <f>""</f>
        <v/>
      </c>
      <c r="CH252" t="str">
        <f>""</f>
        <v/>
      </c>
      <c r="CS252" t="str">
        <f>""</f>
        <v/>
      </c>
    </row>
    <row r="253" spans="1:97" x14ac:dyDescent="0.25">
      <c r="A253" t="s">
        <v>815</v>
      </c>
      <c r="B253" t="s">
        <v>1944</v>
      </c>
      <c r="E253" t="s">
        <v>1945</v>
      </c>
      <c r="F253" t="s">
        <v>108</v>
      </c>
      <c r="H253" t="s">
        <v>1946</v>
      </c>
      <c r="I253" t="s">
        <v>225</v>
      </c>
      <c r="J253" t="s">
        <v>111</v>
      </c>
      <c r="K253" t="str">
        <f>"85212"</f>
        <v>85212</v>
      </c>
      <c r="L253" t="s">
        <v>558</v>
      </c>
      <c r="M253" t="s">
        <v>1946</v>
      </c>
      <c r="N253" t="s">
        <v>225</v>
      </c>
      <c r="O253" t="s">
        <v>111</v>
      </c>
      <c r="P253" t="str">
        <f>"85212-8108"</f>
        <v>85212-8108</v>
      </c>
      <c r="Q253" t="s">
        <v>113</v>
      </c>
      <c r="R253" t="str">
        <f>"304-50-728"</f>
        <v>304-50-728</v>
      </c>
      <c r="S253" t="s">
        <v>650</v>
      </c>
      <c r="U253">
        <v>1734</v>
      </c>
      <c r="W253">
        <v>3</v>
      </c>
      <c r="X253">
        <v>2015</v>
      </c>
      <c r="Z253">
        <v>1</v>
      </c>
      <c r="AC253" t="s">
        <v>115</v>
      </c>
      <c r="AD253">
        <v>2</v>
      </c>
      <c r="AE253" t="s">
        <v>115</v>
      </c>
      <c r="AH253" t="s">
        <v>116</v>
      </c>
      <c r="AI253" s="1">
        <v>31114</v>
      </c>
      <c r="AJ253" s="2">
        <v>0.09</v>
      </c>
      <c r="AK253" s="1">
        <v>329852</v>
      </c>
      <c r="AL253" t="s">
        <v>117</v>
      </c>
      <c r="AM253" t="s">
        <v>118</v>
      </c>
      <c r="AN253">
        <v>5843</v>
      </c>
      <c r="AO253">
        <v>0.13</v>
      </c>
      <c r="AR253">
        <v>1</v>
      </c>
      <c r="AS253" s="1">
        <v>22460</v>
      </c>
      <c r="AT253" s="1">
        <v>4490</v>
      </c>
      <c r="AU253" s="1">
        <v>17970</v>
      </c>
      <c r="AV253">
        <v>80.010000000000005</v>
      </c>
      <c r="AX253" s="1">
        <v>3001.62</v>
      </c>
      <c r="AY253" t="s">
        <v>560</v>
      </c>
      <c r="AZ253" t="s">
        <v>561</v>
      </c>
      <c r="BA253" t="s">
        <v>194</v>
      </c>
      <c r="BE253" s="3">
        <v>42227</v>
      </c>
      <c r="BF253" s="1">
        <v>278738</v>
      </c>
      <c r="BG253" t="s">
        <v>275</v>
      </c>
      <c r="BH253" s="1">
        <v>160.75</v>
      </c>
      <c r="BI253" s="1">
        <v>278738</v>
      </c>
      <c r="BJ253" s="3">
        <v>42227</v>
      </c>
      <c r="BK253" t="s">
        <v>123</v>
      </c>
      <c r="BL253" t="str">
        <f>"2015.582538"</f>
        <v>2015.582538</v>
      </c>
      <c r="BM253" t="s">
        <v>651</v>
      </c>
      <c r="BO253" t="s">
        <v>1947</v>
      </c>
      <c r="BS253">
        <v>30</v>
      </c>
      <c r="BT253" s="1">
        <v>20000</v>
      </c>
      <c r="BU253" s="3">
        <v>42660</v>
      </c>
      <c r="BV253" t="s">
        <v>134</v>
      </c>
      <c r="BW253" t="str">
        <f>"2016.759312"</f>
        <v>2016.759312</v>
      </c>
      <c r="BX253" t="s">
        <v>1948</v>
      </c>
      <c r="BZ253" t="s">
        <v>1947</v>
      </c>
      <c r="CD253">
        <v>12</v>
      </c>
      <c r="CH253" t="str">
        <f>""</f>
        <v/>
      </c>
      <c r="CS253" t="str">
        <f>""</f>
        <v/>
      </c>
    </row>
    <row r="254" spans="1:97" x14ac:dyDescent="0.25">
      <c r="A254" t="s">
        <v>1451</v>
      </c>
      <c r="B254" t="s">
        <v>1949</v>
      </c>
      <c r="C254" t="s">
        <v>1950</v>
      </c>
      <c r="D254" t="s">
        <v>1949</v>
      </c>
      <c r="E254" t="s">
        <v>1951</v>
      </c>
      <c r="F254" t="s">
        <v>108</v>
      </c>
      <c r="H254" t="s">
        <v>1952</v>
      </c>
      <c r="I254" t="s">
        <v>374</v>
      </c>
      <c r="J254" t="s">
        <v>111</v>
      </c>
      <c r="K254" t="str">
        <f>"85087"</f>
        <v>85087</v>
      </c>
      <c r="L254" t="s">
        <v>375</v>
      </c>
      <c r="M254" t="s">
        <v>1952</v>
      </c>
      <c r="N254" t="s">
        <v>374</v>
      </c>
      <c r="O254" t="s">
        <v>111</v>
      </c>
      <c r="P254" t="str">
        <f>"85087-6220"</f>
        <v>85087-6220</v>
      </c>
      <c r="Q254" t="s">
        <v>113</v>
      </c>
      <c r="R254" t="str">
        <f>"202-23-333"</f>
        <v>202-23-333</v>
      </c>
      <c r="S254" t="s">
        <v>663</v>
      </c>
      <c r="T254" t="s">
        <v>664</v>
      </c>
      <c r="U254">
        <v>3552</v>
      </c>
      <c r="W254">
        <v>5</v>
      </c>
      <c r="X254">
        <v>2014</v>
      </c>
      <c r="Z254">
        <v>2</v>
      </c>
      <c r="AC254" t="s">
        <v>115</v>
      </c>
      <c r="AD254">
        <v>3</v>
      </c>
      <c r="AE254" t="s">
        <v>115</v>
      </c>
      <c r="AH254" t="s">
        <v>116</v>
      </c>
      <c r="AI254" s="1">
        <v>62490</v>
      </c>
      <c r="AJ254" s="2">
        <v>0.13</v>
      </c>
      <c r="AK254" s="1">
        <v>467994</v>
      </c>
      <c r="AL254" t="s">
        <v>117</v>
      </c>
      <c r="AM254" t="s">
        <v>1302</v>
      </c>
      <c r="AN254">
        <v>10706</v>
      </c>
      <c r="AO254">
        <v>0.25</v>
      </c>
      <c r="AR254">
        <v>1</v>
      </c>
      <c r="AS254" s="1">
        <v>34980</v>
      </c>
      <c r="AT254" s="1">
        <v>6990</v>
      </c>
      <c r="AU254" s="1">
        <v>27990</v>
      </c>
      <c r="AV254">
        <v>80.02</v>
      </c>
      <c r="AX254" s="1">
        <v>3222.7</v>
      </c>
      <c r="AY254" t="s">
        <v>665</v>
      </c>
      <c r="AZ254" t="s">
        <v>665</v>
      </c>
      <c r="BA254" t="s">
        <v>378</v>
      </c>
      <c r="BB254" s="3">
        <v>43356</v>
      </c>
      <c r="BC254" s="1">
        <v>0</v>
      </c>
      <c r="BD254" t="s">
        <v>247</v>
      </c>
      <c r="BE254" s="3">
        <v>41943</v>
      </c>
      <c r="BF254" s="1">
        <v>383438</v>
      </c>
      <c r="BG254" t="s">
        <v>158</v>
      </c>
      <c r="BH254" s="1">
        <v>107.95</v>
      </c>
      <c r="BI254" s="1">
        <v>405504</v>
      </c>
      <c r="BJ254" s="3">
        <v>43356</v>
      </c>
      <c r="BK254" t="s">
        <v>123</v>
      </c>
      <c r="BL254" t="str">
        <f>"2018.690217"</f>
        <v>2018.690217</v>
      </c>
      <c r="BM254" t="s">
        <v>1639</v>
      </c>
      <c r="BN254" t="s">
        <v>1640</v>
      </c>
      <c r="BO254" t="s">
        <v>1953</v>
      </c>
      <c r="BP254" t="s">
        <v>1954</v>
      </c>
      <c r="BR254" t="s">
        <v>139</v>
      </c>
      <c r="BW254" t="str">
        <f>""</f>
        <v/>
      </c>
      <c r="CH254" t="str">
        <f>""</f>
        <v/>
      </c>
      <c r="CS254" t="str">
        <f>""</f>
        <v/>
      </c>
    </row>
    <row r="255" spans="1:97" x14ac:dyDescent="0.25">
      <c r="A255" t="s">
        <v>1187</v>
      </c>
      <c r="B255" t="s">
        <v>1955</v>
      </c>
      <c r="C255" t="s">
        <v>986</v>
      </c>
      <c r="D255" t="s">
        <v>1955</v>
      </c>
      <c r="E255" t="s">
        <v>1956</v>
      </c>
      <c r="F255" t="s">
        <v>108</v>
      </c>
      <c r="H255" t="s">
        <v>1957</v>
      </c>
      <c r="I255" t="s">
        <v>374</v>
      </c>
      <c r="J255" t="s">
        <v>111</v>
      </c>
      <c r="K255" t="str">
        <f>"85087"</f>
        <v>85087</v>
      </c>
      <c r="L255" t="s">
        <v>375</v>
      </c>
      <c r="M255" t="s">
        <v>1957</v>
      </c>
      <c r="N255" t="s">
        <v>374</v>
      </c>
      <c r="O255" t="s">
        <v>111</v>
      </c>
      <c r="P255" t="str">
        <f>"85087-6219"</f>
        <v>85087-6219</v>
      </c>
      <c r="Q255" t="s">
        <v>113</v>
      </c>
      <c r="R255" t="str">
        <f>"202-23-342"</f>
        <v>202-23-342</v>
      </c>
      <c r="S255" t="s">
        <v>663</v>
      </c>
      <c r="T255" t="s">
        <v>664</v>
      </c>
      <c r="U255">
        <v>4320</v>
      </c>
      <c r="W255">
        <v>6</v>
      </c>
      <c r="X255">
        <v>2014</v>
      </c>
      <c r="Z255">
        <v>2</v>
      </c>
      <c r="AC255" t="s">
        <v>115</v>
      </c>
      <c r="AD255">
        <v>4</v>
      </c>
      <c r="AE255" t="s">
        <v>115</v>
      </c>
      <c r="AH255" t="s">
        <v>116</v>
      </c>
      <c r="AI255" s="1">
        <v>118459</v>
      </c>
      <c r="AJ255" s="2">
        <v>0.22</v>
      </c>
      <c r="AK255" s="1">
        <v>533102</v>
      </c>
      <c r="AL255" t="s">
        <v>117</v>
      </c>
      <c r="AM255" t="s">
        <v>1302</v>
      </c>
      <c r="AN255">
        <v>12333</v>
      </c>
      <c r="AO255">
        <v>0.28000000000000003</v>
      </c>
      <c r="AR255">
        <v>1</v>
      </c>
      <c r="AS255" s="1">
        <v>40670</v>
      </c>
      <c r="AT255" s="1">
        <v>8130</v>
      </c>
      <c r="AU255" s="1">
        <v>32540</v>
      </c>
      <c r="AV255">
        <v>80.010000000000005</v>
      </c>
      <c r="AX255" s="1">
        <v>3751.9</v>
      </c>
      <c r="AY255" t="s">
        <v>665</v>
      </c>
      <c r="AZ255" t="s">
        <v>665</v>
      </c>
      <c r="BA255" t="s">
        <v>378</v>
      </c>
      <c r="BE255" s="3">
        <v>42037</v>
      </c>
      <c r="BF255" s="1">
        <v>405916</v>
      </c>
      <c r="BG255" t="s">
        <v>158</v>
      </c>
      <c r="BH255" s="1">
        <v>93.96</v>
      </c>
      <c r="BI255" s="1">
        <v>414643</v>
      </c>
      <c r="BJ255" s="3">
        <v>42037</v>
      </c>
      <c r="BK255" t="s">
        <v>123</v>
      </c>
      <c r="BL255" t="str">
        <f>"2015.66003"</f>
        <v>2015.66003</v>
      </c>
      <c r="BM255" t="s">
        <v>241</v>
      </c>
      <c r="BO255" t="s">
        <v>1958</v>
      </c>
      <c r="BS255">
        <v>30</v>
      </c>
      <c r="BW255" t="str">
        <f>""</f>
        <v/>
      </c>
      <c r="CH255" t="str">
        <f>""</f>
        <v/>
      </c>
      <c r="CS255" t="str">
        <f>""</f>
        <v/>
      </c>
    </row>
    <row r="256" spans="1:97" x14ac:dyDescent="0.25">
      <c r="A256" t="s">
        <v>1959</v>
      </c>
      <c r="B256" t="s">
        <v>701</v>
      </c>
      <c r="E256" t="s">
        <v>1960</v>
      </c>
      <c r="F256" t="s">
        <v>108</v>
      </c>
      <c r="H256" t="s">
        <v>1961</v>
      </c>
      <c r="I256" t="s">
        <v>453</v>
      </c>
      <c r="J256" t="s">
        <v>111</v>
      </c>
      <c r="K256" t="str">
        <f>"85383"</f>
        <v>85383</v>
      </c>
      <c r="L256" t="s">
        <v>1383</v>
      </c>
      <c r="M256" t="s">
        <v>1961</v>
      </c>
      <c r="N256" t="s">
        <v>453</v>
      </c>
      <c r="O256" t="s">
        <v>111</v>
      </c>
      <c r="P256" t="str">
        <f>"85383-6313"</f>
        <v>85383-6313</v>
      </c>
      <c r="Q256" t="s">
        <v>113</v>
      </c>
      <c r="R256" t="str">
        <f>"201-20-643"</f>
        <v>201-20-643</v>
      </c>
      <c r="S256" t="s">
        <v>1384</v>
      </c>
      <c r="U256">
        <v>2236</v>
      </c>
      <c r="W256">
        <v>5</v>
      </c>
      <c r="X256">
        <v>2014</v>
      </c>
      <c r="Z256">
        <v>2</v>
      </c>
      <c r="AC256" t="s">
        <v>115</v>
      </c>
      <c r="AD256">
        <v>2</v>
      </c>
      <c r="AE256" t="s">
        <v>115</v>
      </c>
      <c r="AH256" t="s">
        <v>116</v>
      </c>
      <c r="AI256" s="1">
        <v>78087</v>
      </c>
      <c r="AJ256" s="2">
        <v>0.22</v>
      </c>
      <c r="AK256" s="1">
        <v>356986</v>
      </c>
      <c r="AL256" t="s">
        <v>117</v>
      </c>
      <c r="AM256" t="s">
        <v>118</v>
      </c>
      <c r="AN256">
        <v>6150</v>
      </c>
      <c r="AO256">
        <v>0.14000000000000001</v>
      </c>
      <c r="AR256">
        <v>1</v>
      </c>
      <c r="AS256" s="1">
        <v>26600</v>
      </c>
      <c r="AT256" s="1">
        <v>5320</v>
      </c>
      <c r="AU256" s="1">
        <v>21280</v>
      </c>
      <c r="AV256">
        <v>80</v>
      </c>
      <c r="AX256" s="1">
        <v>2180.1799999999998</v>
      </c>
      <c r="AY256" t="s">
        <v>1385</v>
      </c>
      <c r="AZ256" t="s">
        <v>1385</v>
      </c>
      <c r="BA256" t="s">
        <v>1386</v>
      </c>
      <c r="BE256" s="3">
        <v>42047</v>
      </c>
      <c r="BF256" s="1">
        <v>269990</v>
      </c>
      <c r="BG256" t="s">
        <v>195</v>
      </c>
      <c r="BH256" s="1">
        <v>120.75</v>
      </c>
      <c r="BI256" s="1">
        <v>278899</v>
      </c>
      <c r="BJ256" s="3">
        <v>42047</v>
      </c>
      <c r="BK256" t="s">
        <v>123</v>
      </c>
      <c r="BL256" t="str">
        <f>"2015.92452"</f>
        <v>2015.92452</v>
      </c>
      <c r="BM256" t="s">
        <v>196</v>
      </c>
      <c r="BO256" t="s">
        <v>1962</v>
      </c>
      <c r="BS256">
        <v>30</v>
      </c>
      <c r="BW256" t="str">
        <f>""</f>
        <v/>
      </c>
      <c r="CH256" t="str">
        <f>""</f>
        <v/>
      </c>
      <c r="CS256" t="str">
        <f>""</f>
        <v/>
      </c>
    </row>
    <row r="257" spans="1:97" x14ac:dyDescent="0.25">
      <c r="A257" t="s">
        <v>1963</v>
      </c>
      <c r="B257" t="s">
        <v>1964</v>
      </c>
      <c r="C257" t="s">
        <v>1965</v>
      </c>
      <c r="D257" t="s">
        <v>1964</v>
      </c>
      <c r="E257" t="s">
        <v>1966</v>
      </c>
      <c r="F257" t="s">
        <v>108</v>
      </c>
      <c r="H257" t="s">
        <v>1967</v>
      </c>
      <c r="I257" t="s">
        <v>225</v>
      </c>
      <c r="J257" t="s">
        <v>111</v>
      </c>
      <c r="K257" t="str">
        <f>"85212"</f>
        <v>85212</v>
      </c>
      <c r="L257" t="s">
        <v>558</v>
      </c>
      <c r="M257" t="s">
        <v>1967</v>
      </c>
      <c r="N257" t="s">
        <v>225</v>
      </c>
      <c r="O257" t="s">
        <v>111</v>
      </c>
      <c r="P257" t="str">
        <f>"85212-8037"</f>
        <v>85212-8037</v>
      </c>
      <c r="Q257" t="s">
        <v>113</v>
      </c>
      <c r="R257" t="str">
        <f>"304-50-193"</f>
        <v>304-50-193</v>
      </c>
      <c r="S257" t="s">
        <v>748</v>
      </c>
      <c r="U257">
        <v>3463</v>
      </c>
      <c r="W257">
        <v>5</v>
      </c>
      <c r="X257">
        <v>2015</v>
      </c>
      <c r="Z257">
        <v>2</v>
      </c>
      <c r="AA257" t="s">
        <v>26</v>
      </c>
      <c r="AC257" t="s">
        <v>115</v>
      </c>
      <c r="AD257">
        <v>3</v>
      </c>
      <c r="AE257" t="s">
        <v>115</v>
      </c>
      <c r="AH257" t="s">
        <v>116</v>
      </c>
      <c r="AI257" s="1">
        <v>78156</v>
      </c>
      <c r="AJ257" s="2">
        <v>0.16</v>
      </c>
      <c r="AK257" s="1">
        <v>496971</v>
      </c>
      <c r="AL257" t="s">
        <v>117</v>
      </c>
      <c r="AM257" t="s">
        <v>118</v>
      </c>
      <c r="AN257">
        <v>12642</v>
      </c>
      <c r="AO257">
        <v>0.28999999999999998</v>
      </c>
      <c r="AR257">
        <v>1</v>
      </c>
      <c r="AS257" s="1">
        <v>35750</v>
      </c>
      <c r="AT257" s="1">
        <v>7150</v>
      </c>
      <c r="AU257" s="1">
        <v>28600</v>
      </c>
      <c r="AV257">
        <v>80</v>
      </c>
      <c r="AX257" s="1">
        <v>5427.14</v>
      </c>
      <c r="AY257" t="s">
        <v>560</v>
      </c>
      <c r="AZ257" t="s">
        <v>561</v>
      </c>
      <c r="BA257" t="s">
        <v>194</v>
      </c>
      <c r="BE257" s="3">
        <v>42144</v>
      </c>
      <c r="BF257" s="1">
        <v>430000</v>
      </c>
      <c r="BG257" t="s">
        <v>749</v>
      </c>
      <c r="BH257" s="1">
        <v>124.17</v>
      </c>
      <c r="BI257" s="1">
        <v>418815</v>
      </c>
      <c r="BJ257" s="3">
        <v>42144</v>
      </c>
      <c r="BK257" t="s">
        <v>123</v>
      </c>
      <c r="BL257" t="str">
        <f>"2015.356610"</f>
        <v>2015.356610</v>
      </c>
      <c r="BM257" t="s">
        <v>1968</v>
      </c>
      <c r="BO257" t="s">
        <v>1969</v>
      </c>
      <c r="BS257">
        <v>30</v>
      </c>
      <c r="BW257" t="str">
        <f>""</f>
        <v/>
      </c>
      <c r="CH257" t="str">
        <f>""</f>
        <v/>
      </c>
      <c r="CS257" t="str">
        <f>""</f>
        <v/>
      </c>
    </row>
    <row r="258" spans="1:97" x14ac:dyDescent="0.25">
      <c r="A258" t="s">
        <v>1970</v>
      </c>
      <c r="B258" t="s">
        <v>1971</v>
      </c>
      <c r="E258" t="s">
        <v>1972</v>
      </c>
      <c r="F258" t="s">
        <v>108</v>
      </c>
      <c r="H258" t="s">
        <v>1973</v>
      </c>
      <c r="I258" t="s">
        <v>110</v>
      </c>
      <c r="J258" t="s">
        <v>111</v>
      </c>
      <c r="K258" t="str">
        <f>"85249"</f>
        <v>85249</v>
      </c>
      <c r="L258" t="s">
        <v>112</v>
      </c>
      <c r="M258" t="s">
        <v>1973</v>
      </c>
      <c r="N258" t="s">
        <v>110</v>
      </c>
      <c r="O258" t="s">
        <v>111</v>
      </c>
      <c r="P258" t="str">
        <f>"85249-1216"</f>
        <v>85249-1216</v>
      </c>
      <c r="R258" t="str">
        <f>"303-55-909"</f>
        <v>303-55-909</v>
      </c>
      <c r="S258" t="s">
        <v>1974</v>
      </c>
      <c r="T258" t="s">
        <v>1974</v>
      </c>
      <c r="U258">
        <v>3553</v>
      </c>
      <c r="W258">
        <v>3</v>
      </c>
      <c r="X258">
        <v>2014</v>
      </c>
      <c r="Z258">
        <v>2</v>
      </c>
      <c r="AC258" t="s">
        <v>115</v>
      </c>
      <c r="AD258">
        <v>4</v>
      </c>
      <c r="AE258" t="s">
        <v>115</v>
      </c>
      <c r="AH258" t="s">
        <v>116</v>
      </c>
      <c r="AI258" s="1">
        <v>-332609</v>
      </c>
      <c r="AJ258" s="2">
        <v>-0.62</v>
      </c>
      <c r="AK258" s="1">
        <v>534193</v>
      </c>
      <c r="AL258" t="s">
        <v>117</v>
      </c>
      <c r="AM258" t="s">
        <v>118</v>
      </c>
      <c r="AN258">
        <v>8125</v>
      </c>
      <c r="AO258">
        <v>0.19</v>
      </c>
      <c r="AR258">
        <v>1</v>
      </c>
      <c r="AS258" s="1">
        <v>39260</v>
      </c>
      <c r="AT258" s="1">
        <v>7850</v>
      </c>
      <c r="AU258" s="1">
        <v>31410</v>
      </c>
      <c r="AV258">
        <v>80.010000000000005</v>
      </c>
      <c r="AX258" s="1">
        <v>3296.66</v>
      </c>
      <c r="AY258" t="s">
        <v>119</v>
      </c>
      <c r="AZ258" t="s">
        <v>120</v>
      </c>
      <c r="BA258" t="s">
        <v>121</v>
      </c>
      <c r="BE258" s="3">
        <v>42277</v>
      </c>
      <c r="BF258" s="1">
        <v>438868</v>
      </c>
      <c r="BG258" t="s">
        <v>1975</v>
      </c>
      <c r="BH258" s="1">
        <v>123.52</v>
      </c>
      <c r="BI258" s="1">
        <v>433401</v>
      </c>
      <c r="BJ258" s="3">
        <v>42277</v>
      </c>
      <c r="BK258" t="s">
        <v>123</v>
      </c>
      <c r="BL258" t="str">
        <f>"2015.703374"</f>
        <v>2015.703374</v>
      </c>
      <c r="BM258" t="s">
        <v>594</v>
      </c>
      <c r="BN258" t="s">
        <v>595</v>
      </c>
      <c r="BO258" t="s">
        <v>1976</v>
      </c>
      <c r="BS258">
        <v>30</v>
      </c>
      <c r="BT258" s="1">
        <v>433401</v>
      </c>
      <c r="BU258" s="3">
        <v>43433</v>
      </c>
      <c r="BV258" t="s">
        <v>123</v>
      </c>
      <c r="BW258" t="str">
        <f>"2018.877295"</f>
        <v>2018.877295</v>
      </c>
      <c r="BX258" t="s">
        <v>1977</v>
      </c>
      <c r="BY258" t="s">
        <v>595</v>
      </c>
      <c r="BZ258" t="s">
        <v>1978</v>
      </c>
      <c r="CC258" t="s">
        <v>139</v>
      </c>
      <c r="CH258" t="str">
        <f>""</f>
        <v/>
      </c>
      <c r="CS258" t="str">
        <f>""</f>
        <v/>
      </c>
    </row>
    <row r="259" spans="1:97" x14ac:dyDescent="0.25">
      <c r="A259" t="s">
        <v>1979</v>
      </c>
      <c r="B259" t="s">
        <v>1980</v>
      </c>
      <c r="E259" t="s">
        <v>1981</v>
      </c>
      <c r="F259" t="s">
        <v>108</v>
      </c>
      <c r="H259" t="s">
        <v>1982</v>
      </c>
      <c r="I259" t="s">
        <v>203</v>
      </c>
      <c r="J259" t="s">
        <v>111</v>
      </c>
      <c r="K259" t="str">
        <f>"85298"</f>
        <v>85298</v>
      </c>
      <c r="L259" t="s">
        <v>734</v>
      </c>
      <c r="M259" t="s">
        <v>1982</v>
      </c>
      <c r="N259" t="s">
        <v>203</v>
      </c>
      <c r="O259" t="s">
        <v>111</v>
      </c>
      <c r="P259" t="str">
        <f>"85298"</f>
        <v>85298</v>
      </c>
      <c r="Q259" t="s">
        <v>113</v>
      </c>
      <c r="R259" t="str">
        <f>"313-18-271"</f>
        <v>313-18-271</v>
      </c>
      <c r="S259" t="s">
        <v>1983</v>
      </c>
      <c r="U259">
        <v>3046</v>
      </c>
      <c r="W259">
        <v>4</v>
      </c>
      <c r="X259">
        <v>2014</v>
      </c>
      <c r="Z259">
        <v>1</v>
      </c>
      <c r="AC259" t="s">
        <v>115</v>
      </c>
      <c r="AD259">
        <v>3</v>
      </c>
      <c r="AE259" t="s">
        <v>115</v>
      </c>
      <c r="AH259" t="s">
        <v>116</v>
      </c>
      <c r="AI259" s="1">
        <v>125852</v>
      </c>
      <c r="AJ259" s="2">
        <v>0.24</v>
      </c>
      <c r="AK259" s="1">
        <v>525210</v>
      </c>
      <c r="AL259" t="s">
        <v>117</v>
      </c>
      <c r="AM259" t="s">
        <v>171</v>
      </c>
      <c r="AN259">
        <v>9000</v>
      </c>
      <c r="AO259">
        <v>0.21</v>
      </c>
      <c r="AR259">
        <v>1</v>
      </c>
      <c r="AS259" s="1">
        <v>39160</v>
      </c>
      <c r="AT259" s="1">
        <v>7830</v>
      </c>
      <c r="AU259" s="1">
        <v>31330</v>
      </c>
      <c r="AV259">
        <v>80.010000000000005</v>
      </c>
      <c r="AX259" s="1">
        <v>2868.42</v>
      </c>
      <c r="AY259" t="s">
        <v>737</v>
      </c>
      <c r="AZ259" t="s">
        <v>273</v>
      </c>
      <c r="BA259" t="s">
        <v>303</v>
      </c>
      <c r="BE259" s="3">
        <v>41788</v>
      </c>
      <c r="BF259" s="1">
        <v>405490</v>
      </c>
      <c r="BG259" t="s">
        <v>195</v>
      </c>
      <c r="BH259" s="1">
        <v>133.12</v>
      </c>
      <c r="BI259" s="1">
        <v>399358</v>
      </c>
      <c r="BJ259" s="3">
        <v>42719</v>
      </c>
      <c r="BK259" t="s">
        <v>123</v>
      </c>
      <c r="BL259" t="str">
        <f>"2016.922947"</f>
        <v>2016.922947</v>
      </c>
      <c r="BM259" t="s">
        <v>402</v>
      </c>
      <c r="BO259" t="s">
        <v>1984</v>
      </c>
      <c r="BS259">
        <v>28</v>
      </c>
      <c r="BW259" t="str">
        <f>""</f>
        <v/>
      </c>
      <c r="CH259" t="str">
        <f>""</f>
        <v/>
      </c>
      <c r="CS259" t="str">
        <f>""</f>
        <v/>
      </c>
    </row>
    <row r="260" spans="1:97" x14ac:dyDescent="0.25">
      <c r="B260" t="s">
        <v>1985</v>
      </c>
      <c r="E260" t="s">
        <v>1986</v>
      </c>
      <c r="F260" t="s">
        <v>108</v>
      </c>
      <c r="H260" t="s">
        <v>1987</v>
      </c>
      <c r="I260" t="s">
        <v>453</v>
      </c>
      <c r="J260" t="s">
        <v>111</v>
      </c>
      <c r="K260" t="str">
        <f>"85383"</f>
        <v>85383</v>
      </c>
      <c r="L260" t="s">
        <v>1383</v>
      </c>
      <c r="M260" t="s">
        <v>1987</v>
      </c>
      <c r="N260" t="s">
        <v>453</v>
      </c>
      <c r="O260" t="s">
        <v>111</v>
      </c>
      <c r="P260" t="str">
        <f>"85383-3895"</f>
        <v>85383-3895</v>
      </c>
      <c r="Q260" t="s">
        <v>113</v>
      </c>
      <c r="R260" t="str">
        <f>"201-20-610"</f>
        <v>201-20-610</v>
      </c>
      <c r="S260" t="s">
        <v>1384</v>
      </c>
      <c r="U260">
        <v>2587</v>
      </c>
      <c r="W260">
        <v>4</v>
      </c>
      <c r="X260">
        <v>2014</v>
      </c>
      <c r="Z260">
        <v>1</v>
      </c>
      <c r="AA260" t="s">
        <v>26</v>
      </c>
      <c r="AC260" t="s">
        <v>115</v>
      </c>
      <c r="AD260">
        <v>3</v>
      </c>
      <c r="AE260" t="s">
        <v>115</v>
      </c>
      <c r="AH260" t="s">
        <v>116</v>
      </c>
      <c r="AI260" s="1">
        <v>73896</v>
      </c>
      <c r="AJ260" s="2">
        <v>0.17</v>
      </c>
      <c r="AK260" s="1">
        <v>431296</v>
      </c>
      <c r="AL260" t="s">
        <v>117</v>
      </c>
      <c r="AM260" t="s">
        <v>118</v>
      </c>
      <c r="AN260">
        <v>9003</v>
      </c>
      <c r="AO260">
        <v>0.21</v>
      </c>
      <c r="AR260">
        <v>1</v>
      </c>
      <c r="AS260" s="1">
        <v>34270</v>
      </c>
      <c r="AT260" s="1">
        <v>6850</v>
      </c>
      <c r="AU260" s="1">
        <v>27420</v>
      </c>
      <c r="AV260">
        <v>80.010000000000005</v>
      </c>
      <c r="AX260" s="1">
        <v>2654.46</v>
      </c>
      <c r="AY260" t="s">
        <v>1385</v>
      </c>
      <c r="AZ260" t="s">
        <v>1385</v>
      </c>
      <c r="BA260" t="s">
        <v>1386</v>
      </c>
      <c r="BB260" s="3">
        <v>43206</v>
      </c>
      <c r="BC260" s="1">
        <v>0</v>
      </c>
      <c r="BD260" t="s">
        <v>247</v>
      </c>
      <c r="BE260" s="3">
        <v>41738</v>
      </c>
      <c r="BF260" s="1">
        <v>349690</v>
      </c>
      <c r="BG260" t="s">
        <v>195</v>
      </c>
      <c r="BH260" s="1">
        <v>135.16999999999999</v>
      </c>
      <c r="BI260" s="1">
        <v>357400</v>
      </c>
      <c r="BJ260" s="3">
        <v>42548</v>
      </c>
      <c r="BK260" t="s">
        <v>123</v>
      </c>
      <c r="BL260" t="str">
        <f>"2016.447767"</f>
        <v>2016.447767</v>
      </c>
      <c r="BM260" t="s">
        <v>1122</v>
      </c>
      <c r="BN260" t="s">
        <v>1624</v>
      </c>
      <c r="BO260" t="s">
        <v>1988</v>
      </c>
      <c r="BS260">
        <v>30</v>
      </c>
      <c r="BW260" t="str">
        <f>""</f>
        <v/>
      </c>
      <c r="CH260" t="str">
        <f>""</f>
        <v/>
      </c>
      <c r="CS260" t="str">
        <f>""</f>
        <v/>
      </c>
    </row>
    <row r="261" spans="1:97" x14ac:dyDescent="0.25">
      <c r="A261" t="s">
        <v>222</v>
      </c>
      <c r="B261" t="s">
        <v>1989</v>
      </c>
      <c r="C261" t="s">
        <v>489</v>
      </c>
      <c r="D261" t="s">
        <v>1989</v>
      </c>
      <c r="E261" t="s">
        <v>1990</v>
      </c>
      <c r="F261" t="s">
        <v>108</v>
      </c>
      <c r="H261" t="s">
        <v>1991</v>
      </c>
      <c r="I261" t="s">
        <v>453</v>
      </c>
      <c r="J261" t="s">
        <v>111</v>
      </c>
      <c r="K261" t="str">
        <f>"85383"</f>
        <v>85383</v>
      </c>
      <c r="L261" t="s">
        <v>1383</v>
      </c>
      <c r="M261" t="s">
        <v>1991</v>
      </c>
      <c r="N261" t="s">
        <v>453</v>
      </c>
      <c r="O261" t="s">
        <v>111</v>
      </c>
      <c r="P261" t="str">
        <f>"85383-6296"</f>
        <v>85383-6296</v>
      </c>
      <c r="Q261" t="s">
        <v>113</v>
      </c>
      <c r="R261" t="str">
        <f>"201-20-598"</f>
        <v>201-20-598</v>
      </c>
      <c r="S261" t="s">
        <v>1384</v>
      </c>
      <c r="U261">
        <v>2776</v>
      </c>
      <c r="W261">
        <v>4</v>
      </c>
      <c r="X261">
        <v>2014</v>
      </c>
      <c r="Z261">
        <v>2</v>
      </c>
      <c r="AC261" t="s">
        <v>115</v>
      </c>
      <c r="AD261">
        <v>3</v>
      </c>
      <c r="AE261" t="s">
        <v>115</v>
      </c>
      <c r="AH261" t="s">
        <v>116</v>
      </c>
      <c r="AI261" s="1">
        <v>68471</v>
      </c>
      <c r="AJ261" s="2">
        <v>0.16</v>
      </c>
      <c r="AK261" s="1">
        <v>422171</v>
      </c>
      <c r="AL261" t="s">
        <v>117</v>
      </c>
      <c r="AM261" t="s">
        <v>118</v>
      </c>
      <c r="AN261">
        <v>7204</v>
      </c>
      <c r="AO261">
        <v>0.16</v>
      </c>
      <c r="AR261">
        <v>1</v>
      </c>
      <c r="AS261" s="1">
        <v>30960</v>
      </c>
      <c r="AT261" s="1">
        <v>6190</v>
      </c>
      <c r="AU261" s="1">
        <v>24770</v>
      </c>
      <c r="AV261">
        <v>80.010000000000005</v>
      </c>
      <c r="AX261" s="1">
        <v>2591.66</v>
      </c>
      <c r="AY261" t="s">
        <v>1385</v>
      </c>
      <c r="AZ261" t="s">
        <v>1385</v>
      </c>
      <c r="BA261" t="s">
        <v>1386</v>
      </c>
      <c r="BE261" s="3">
        <v>41969</v>
      </c>
      <c r="BF261" s="1">
        <v>320000</v>
      </c>
      <c r="BG261" t="s">
        <v>195</v>
      </c>
      <c r="BH261" s="1">
        <v>115.27</v>
      </c>
      <c r="BI261" s="1">
        <v>353700</v>
      </c>
      <c r="BJ261" s="3">
        <v>42930</v>
      </c>
      <c r="BK261" t="s">
        <v>123</v>
      </c>
      <c r="BL261" t="str">
        <f>"2017.514682"</f>
        <v>2017.514682</v>
      </c>
      <c r="BM261" t="s">
        <v>1992</v>
      </c>
      <c r="BO261" t="s">
        <v>1993</v>
      </c>
      <c r="BS261">
        <v>30</v>
      </c>
      <c r="BW261" t="str">
        <f>""</f>
        <v/>
      </c>
      <c r="CH261" t="str">
        <f>""</f>
        <v/>
      </c>
      <c r="CS261" t="str">
        <f>""</f>
        <v/>
      </c>
    </row>
    <row r="262" spans="1:97" x14ac:dyDescent="0.25">
      <c r="A262" t="s">
        <v>177</v>
      </c>
      <c r="B262" t="s">
        <v>1994</v>
      </c>
      <c r="C262" t="s">
        <v>1995</v>
      </c>
      <c r="D262" t="s">
        <v>1994</v>
      </c>
      <c r="E262" t="s">
        <v>1996</v>
      </c>
      <c r="F262" t="s">
        <v>108</v>
      </c>
      <c r="H262" t="s">
        <v>1997</v>
      </c>
      <c r="I262" t="s">
        <v>453</v>
      </c>
      <c r="J262" t="s">
        <v>111</v>
      </c>
      <c r="K262" t="str">
        <f>"85383"</f>
        <v>85383</v>
      </c>
      <c r="L262" t="s">
        <v>1383</v>
      </c>
      <c r="M262" t="s">
        <v>1997</v>
      </c>
      <c r="N262" t="s">
        <v>453</v>
      </c>
      <c r="O262" t="s">
        <v>111</v>
      </c>
      <c r="P262" t="str">
        <f>"85383-6296"</f>
        <v>85383-6296</v>
      </c>
      <c r="Q262" t="s">
        <v>113</v>
      </c>
      <c r="R262" t="str">
        <f>"201-20-595"</f>
        <v>201-20-595</v>
      </c>
      <c r="S262" t="s">
        <v>1384</v>
      </c>
      <c r="U262">
        <v>2776</v>
      </c>
      <c r="W262">
        <v>4</v>
      </c>
      <c r="X262">
        <v>2014</v>
      </c>
      <c r="Z262">
        <v>2</v>
      </c>
      <c r="AA262" t="s">
        <v>26</v>
      </c>
      <c r="AC262" t="s">
        <v>115</v>
      </c>
      <c r="AD262">
        <v>3</v>
      </c>
      <c r="AE262" t="s">
        <v>115</v>
      </c>
      <c r="AH262" t="s">
        <v>116</v>
      </c>
      <c r="AI262" s="1">
        <v>44641</v>
      </c>
      <c r="AJ262" s="2">
        <v>0.1</v>
      </c>
      <c r="AK262" s="1">
        <v>446478</v>
      </c>
      <c r="AL262" t="s">
        <v>117</v>
      </c>
      <c r="AM262" t="s">
        <v>118</v>
      </c>
      <c r="AN262">
        <v>7202</v>
      </c>
      <c r="AO262">
        <v>0.16</v>
      </c>
      <c r="AR262">
        <v>1</v>
      </c>
      <c r="AS262" s="1">
        <v>32830</v>
      </c>
      <c r="AT262" s="1">
        <v>6560</v>
      </c>
      <c r="AU262" s="1">
        <v>26270</v>
      </c>
      <c r="AV262">
        <v>80.02</v>
      </c>
      <c r="AX262" s="1">
        <v>2558.4</v>
      </c>
      <c r="AY262" t="s">
        <v>1385</v>
      </c>
      <c r="AZ262" t="s">
        <v>1385</v>
      </c>
      <c r="BA262" t="s">
        <v>1386</v>
      </c>
      <c r="BE262" s="3">
        <v>41754</v>
      </c>
      <c r="BF262" s="1">
        <v>330000</v>
      </c>
      <c r="BG262" t="s">
        <v>195</v>
      </c>
      <c r="BH262" s="1">
        <v>118.88</v>
      </c>
      <c r="BI262" s="1">
        <v>401837</v>
      </c>
      <c r="BJ262" s="3">
        <v>42601</v>
      </c>
      <c r="BK262" t="s">
        <v>123</v>
      </c>
      <c r="BL262" t="str">
        <f>"2016.597339"</f>
        <v>2016.597339</v>
      </c>
      <c r="BM262" t="s">
        <v>1998</v>
      </c>
      <c r="BO262" t="s">
        <v>1999</v>
      </c>
      <c r="BS262">
        <v>30</v>
      </c>
      <c r="BW262" t="str">
        <f>""</f>
        <v/>
      </c>
      <c r="CH262" t="str">
        <f>""</f>
        <v/>
      </c>
      <c r="CS262" t="str">
        <f>""</f>
        <v/>
      </c>
    </row>
    <row r="263" spans="1:97" x14ac:dyDescent="0.25">
      <c r="A263" t="s">
        <v>2000</v>
      </c>
      <c r="B263" t="s">
        <v>2001</v>
      </c>
      <c r="C263" t="s">
        <v>2002</v>
      </c>
      <c r="D263" t="s">
        <v>2001</v>
      </c>
      <c r="E263" t="s">
        <v>2003</v>
      </c>
      <c r="F263" t="s">
        <v>108</v>
      </c>
      <c r="H263" t="s">
        <v>2004</v>
      </c>
      <c r="I263" t="s">
        <v>453</v>
      </c>
      <c r="J263" t="s">
        <v>111</v>
      </c>
      <c r="K263" t="str">
        <f>"85383"</f>
        <v>85383</v>
      </c>
      <c r="L263" t="s">
        <v>1383</v>
      </c>
      <c r="M263" t="s">
        <v>2004</v>
      </c>
      <c r="N263" t="s">
        <v>453</v>
      </c>
      <c r="O263" t="s">
        <v>111</v>
      </c>
      <c r="P263" t="str">
        <f>"85383-3850"</f>
        <v>85383-3850</v>
      </c>
      <c r="Q263" t="s">
        <v>113</v>
      </c>
      <c r="R263" t="str">
        <f>"201-20-617"</f>
        <v>201-20-617</v>
      </c>
      <c r="S263" t="s">
        <v>1384</v>
      </c>
      <c r="U263">
        <v>2587</v>
      </c>
      <c r="W263">
        <v>4</v>
      </c>
      <c r="X263">
        <v>2014</v>
      </c>
      <c r="Z263">
        <v>1</v>
      </c>
      <c r="AC263" t="s">
        <v>115</v>
      </c>
      <c r="AD263">
        <v>3</v>
      </c>
      <c r="AE263" t="s">
        <v>115</v>
      </c>
      <c r="AH263" t="s">
        <v>116</v>
      </c>
      <c r="AI263" s="1">
        <v>55841</v>
      </c>
      <c r="AJ263" s="2">
        <v>0.14000000000000001</v>
      </c>
      <c r="AK263" s="1">
        <v>412226</v>
      </c>
      <c r="AL263" t="s">
        <v>117</v>
      </c>
      <c r="AM263" t="s">
        <v>118</v>
      </c>
      <c r="AN263">
        <v>7423</v>
      </c>
      <c r="AO263">
        <v>0.17</v>
      </c>
      <c r="AR263">
        <v>1</v>
      </c>
      <c r="AS263" s="1">
        <v>31860</v>
      </c>
      <c r="AT263" s="1">
        <v>6370</v>
      </c>
      <c r="AU263" s="1">
        <v>25490</v>
      </c>
      <c r="AV263">
        <v>80.010000000000005</v>
      </c>
      <c r="AX263" s="1">
        <v>2652.32</v>
      </c>
      <c r="AY263" t="s">
        <v>1385</v>
      </c>
      <c r="AZ263" t="s">
        <v>1385</v>
      </c>
      <c r="BA263" t="s">
        <v>1386</v>
      </c>
      <c r="BE263" s="3">
        <v>41936</v>
      </c>
      <c r="BF263" s="1">
        <v>345000</v>
      </c>
      <c r="BG263" t="s">
        <v>195</v>
      </c>
      <c r="BH263" s="1">
        <v>133.36000000000001</v>
      </c>
      <c r="BI263" s="1">
        <v>356385</v>
      </c>
      <c r="BJ263" s="3">
        <v>41936</v>
      </c>
      <c r="BK263" t="s">
        <v>123</v>
      </c>
      <c r="BL263" t="str">
        <f>"2014.706510"</f>
        <v>2014.706510</v>
      </c>
      <c r="BM263" t="s">
        <v>196</v>
      </c>
      <c r="BO263" t="s">
        <v>2005</v>
      </c>
      <c r="BS263">
        <v>30</v>
      </c>
      <c r="BW263" t="str">
        <f>""</f>
        <v/>
      </c>
      <c r="CH263" t="str">
        <f>""</f>
        <v/>
      </c>
      <c r="CS263" t="str">
        <f>""</f>
        <v/>
      </c>
    </row>
    <row r="264" spans="1:97" x14ac:dyDescent="0.25">
      <c r="A264" t="s">
        <v>2006</v>
      </c>
      <c r="B264" t="s">
        <v>2007</v>
      </c>
      <c r="C264" t="s">
        <v>2008</v>
      </c>
      <c r="D264" t="s">
        <v>2007</v>
      </c>
      <c r="E264" t="s">
        <v>2009</v>
      </c>
      <c r="F264" t="s">
        <v>108</v>
      </c>
      <c r="H264" t="s">
        <v>2010</v>
      </c>
      <c r="I264" t="s">
        <v>453</v>
      </c>
      <c r="J264" t="s">
        <v>111</v>
      </c>
      <c r="K264" t="str">
        <f>"85383"</f>
        <v>85383</v>
      </c>
      <c r="L264" t="s">
        <v>1383</v>
      </c>
      <c r="M264" t="s">
        <v>2010</v>
      </c>
      <c r="N264" t="s">
        <v>453</v>
      </c>
      <c r="O264" t="s">
        <v>111</v>
      </c>
      <c r="P264" t="str">
        <f>"85383-3720"</f>
        <v>85383-3720</v>
      </c>
      <c r="Q264" t="s">
        <v>113</v>
      </c>
      <c r="R264" t="str">
        <f>"201-20-591"</f>
        <v>201-20-591</v>
      </c>
      <c r="S264" t="s">
        <v>1384</v>
      </c>
      <c r="U264">
        <v>2315</v>
      </c>
      <c r="W264">
        <v>3</v>
      </c>
      <c r="X264">
        <v>2014</v>
      </c>
      <c r="Z264">
        <v>1</v>
      </c>
      <c r="AC264" t="s">
        <v>115</v>
      </c>
      <c r="AD264">
        <v>2</v>
      </c>
      <c r="AE264" t="s">
        <v>115</v>
      </c>
      <c r="AH264" t="s">
        <v>116</v>
      </c>
      <c r="AI264" s="1">
        <v>26010</v>
      </c>
      <c r="AJ264" s="2">
        <v>7.0000000000000007E-2</v>
      </c>
      <c r="AK264" s="1">
        <v>377230</v>
      </c>
      <c r="AL264" t="s">
        <v>117</v>
      </c>
      <c r="AM264" t="s">
        <v>118</v>
      </c>
      <c r="AN264">
        <v>7688</v>
      </c>
      <c r="AO264">
        <v>0.18</v>
      </c>
      <c r="AR264">
        <v>1</v>
      </c>
      <c r="AS264" s="1">
        <v>28270</v>
      </c>
      <c r="AT264" s="1">
        <v>5650</v>
      </c>
      <c r="AU264" s="1">
        <v>22620</v>
      </c>
      <c r="AV264">
        <v>80.010000000000005</v>
      </c>
      <c r="AX264" s="1">
        <v>2702.26</v>
      </c>
      <c r="AY264" t="s">
        <v>1385</v>
      </c>
      <c r="AZ264" t="s">
        <v>1385</v>
      </c>
      <c r="BA264" t="s">
        <v>1386</v>
      </c>
      <c r="BE264" s="3">
        <v>41670</v>
      </c>
      <c r="BF264" s="1">
        <v>308000</v>
      </c>
      <c r="BG264" t="s">
        <v>195</v>
      </c>
      <c r="BH264" s="1">
        <v>133.05000000000001</v>
      </c>
      <c r="BI264" s="1">
        <v>351220</v>
      </c>
      <c r="BJ264" s="3">
        <v>42284</v>
      </c>
      <c r="BK264" t="s">
        <v>123</v>
      </c>
      <c r="BL264" t="str">
        <f>"2015.723790"</f>
        <v>2015.723790</v>
      </c>
      <c r="BM264" t="s">
        <v>1135</v>
      </c>
      <c r="BO264" t="s">
        <v>2011</v>
      </c>
      <c r="BS264">
        <v>30</v>
      </c>
      <c r="BW264" t="str">
        <f>""</f>
        <v/>
      </c>
      <c r="CH264" t="str">
        <f>""</f>
        <v/>
      </c>
      <c r="CS264" t="str">
        <f>""</f>
        <v/>
      </c>
    </row>
    <row r="265" spans="1:97" x14ac:dyDescent="0.25">
      <c r="A265" t="s">
        <v>305</v>
      </c>
      <c r="B265" t="s">
        <v>2012</v>
      </c>
      <c r="C265" t="s">
        <v>703</v>
      </c>
      <c r="D265" t="s">
        <v>2012</v>
      </c>
      <c r="E265" t="s">
        <v>2013</v>
      </c>
      <c r="F265" t="s">
        <v>108</v>
      </c>
      <c r="H265" t="s">
        <v>2014</v>
      </c>
      <c r="I265" t="s">
        <v>453</v>
      </c>
      <c r="J265" t="s">
        <v>111</v>
      </c>
      <c r="K265" t="str">
        <f>"85383"</f>
        <v>85383</v>
      </c>
      <c r="L265" t="s">
        <v>2015</v>
      </c>
      <c r="M265" t="s">
        <v>2014</v>
      </c>
      <c r="N265" t="s">
        <v>453</v>
      </c>
      <c r="O265" t="s">
        <v>111</v>
      </c>
      <c r="P265" t="str">
        <f>"85383-9809"</f>
        <v>85383-9809</v>
      </c>
      <c r="Q265" t="s">
        <v>113</v>
      </c>
      <c r="R265" t="str">
        <f>"201-19-409"</f>
        <v>201-19-409</v>
      </c>
      <c r="S265" t="s">
        <v>2016</v>
      </c>
      <c r="U265">
        <v>1781</v>
      </c>
      <c r="W265">
        <v>3</v>
      </c>
      <c r="X265">
        <v>2014</v>
      </c>
      <c r="Z265">
        <v>1</v>
      </c>
      <c r="AC265" t="s">
        <v>115</v>
      </c>
      <c r="AD265">
        <v>2</v>
      </c>
      <c r="AE265" t="s">
        <v>115</v>
      </c>
      <c r="AH265" t="s">
        <v>116</v>
      </c>
      <c r="AI265" s="1">
        <v>109634</v>
      </c>
      <c r="AJ265" s="2">
        <v>0.34</v>
      </c>
      <c r="AK265" s="1">
        <v>325383</v>
      </c>
      <c r="AL265" t="s">
        <v>117</v>
      </c>
      <c r="AM265" t="s">
        <v>118</v>
      </c>
      <c r="AN265">
        <v>5750</v>
      </c>
      <c r="AO265">
        <v>0.13</v>
      </c>
      <c r="AR265">
        <v>1</v>
      </c>
      <c r="AS265" s="1">
        <v>23260</v>
      </c>
      <c r="AT265" s="1">
        <v>4650</v>
      </c>
      <c r="AU265" s="1">
        <v>18610</v>
      </c>
      <c r="AV265">
        <v>80.010000000000005</v>
      </c>
      <c r="AX265" s="1">
        <v>1949.12</v>
      </c>
      <c r="AY265" t="s">
        <v>456</v>
      </c>
      <c r="AZ265" t="s">
        <v>456</v>
      </c>
      <c r="BA265" t="s">
        <v>457</v>
      </c>
      <c r="BE265" s="3">
        <v>41843</v>
      </c>
      <c r="BF265" s="1">
        <v>271558</v>
      </c>
      <c r="BG265" t="s">
        <v>446</v>
      </c>
      <c r="BH265" s="1">
        <v>152.47999999999999</v>
      </c>
      <c r="BI265" s="1">
        <v>215749</v>
      </c>
      <c r="BJ265" s="3">
        <v>42676</v>
      </c>
      <c r="BK265" t="s">
        <v>123</v>
      </c>
      <c r="BL265" t="str">
        <f>"2016.807933"</f>
        <v>2016.807933</v>
      </c>
      <c r="BM265" t="s">
        <v>1325</v>
      </c>
      <c r="BO265" t="s">
        <v>2017</v>
      </c>
      <c r="BS265">
        <v>30</v>
      </c>
      <c r="BW265" t="str">
        <f>""</f>
        <v/>
      </c>
      <c r="CH265" t="str">
        <f>""</f>
        <v/>
      </c>
      <c r="CS265" t="str">
        <f>""</f>
        <v/>
      </c>
    </row>
    <row r="266" spans="1:97" x14ac:dyDescent="0.25">
      <c r="A266" t="s">
        <v>894</v>
      </c>
      <c r="B266" t="s">
        <v>2018</v>
      </c>
      <c r="C266" t="s">
        <v>2019</v>
      </c>
      <c r="D266" t="s">
        <v>2018</v>
      </c>
      <c r="E266" t="s">
        <v>2020</v>
      </c>
      <c r="F266" t="s">
        <v>108</v>
      </c>
      <c r="H266" t="s">
        <v>2021</v>
      </c>
      <c r="I266" t="s">
        <v>453</v>
      </c>
      <c r="J266" t="s">
        <v>111</v>
      </c>
      <c r="K266" t="str">
        <f>"85383"</f>
        <v>85383</v>
      </c>
      <c r="L266" t="s">
        <v>2015</v>
      </c>
      <c r="M266" t="s">
        <v>2021</v>
      </c>
      <c r="N266" t="s">
        <v>453</v>
      </c>
      <c r="O266" t="s">
        <v>111</v>
      </c>
      <c r="P266" t="str">
        <f>"85383-5904"</f>
        <v>85383-5904</v>
      </c>
      <c r="Q266" t="s">
        <v>113</v>
      </c>
      <c r="R266" t="str">
        <f>"201-19-451"</f>
        <v>201-19-451</v>
      </c>
      <c r="S266" t="s">
        <v>2016</v>
      </c>
      <c r="U266">
        <v>2018</v>
      </c>
      <c r="W266">
        <v>3</v>
      </c>
      <c r="X266">
        <v>2014</v>
      </c>
      <c r="Z266">
        <v>1</v>
      </c>
      <c r="AC266" t="s">
        <v>115</v>
      </c>
      <c r="AD266">
        <v>2</v>
      </c>
      <c r="AE266" t="s">
        <v>115</v>
      </c>
      <c r="AH266" t="s">
        <v>116</v>
      </c>
      <c r="AI266" s="1">
        <v>68971</v>
      </c>
      <c r="AJ266" s="2">
        <v>0.19</v>
      </c>
      <c r="AK266" s="1">
        <v>359293</v>
      </c>
      <c r="AL266" t="s">
        <v>117</v>
      </c>
      <c r="AM266" t="s">
        <v>118</v>
      </c>
      <c r="AN266">
        <v>5750</v>
      </c>
      <c r="AO266">
        <v>0.13</v>
      </c>
      <c r="AR266">
        <v>1</v>
      </c>
      <c r="AS266" s="1">
        <v>25550</v>
      </c>
      <c r="AT266" s="1">
        <v>5110</v>
      </c>
      <c r="AU266" s="1">
        <v>20440</v>
      </c>
      <c r="AV266">
        <v>80</v>
      </c>
      <c r="AX266" s="1">
        <v>2155.6</v>
      </c>
      <c r="AY266" t="s">
        <v>456</v>
      </c>
      <c r="AZ266" t="s">
        <v>456</v>
      </c>
      <c r="BA266" t="s">
        <v>457</v>
      </c>
      <c r="BE266" s="3">
        <v>41864</v>
      </c>
      <c r="BF266" s="1">
        <v>290322</v>
      </c>
      <c r="BG266" t="s">
        <v>446</v>
      </c>
      <c r="BH266" s="1">
        <v>143.87</v>
      </c>
      <c r="BI266" s="1">
        <v>290322</v>
      </c>
      <c r="BJ266" s="3">
        <v>41864</v>
      </c>
      <c r="BK266" t="s">
        <v>123</v>
      </c>
      <c r="BL266" t="str">
        <f>"2014.532277"</f>
        <v>2014.532277</v>
      </c>
      <c r="BM266" t="s">
        <v>573</v>
      </c>
      <c r="BO266" t="s">
        <v>2022</v>
      </c>
      <c r="BS266">
        <v>30</v>
      </c>
      <c r="BW266" t="str">
        <f>""</f>
        <v/>
      </c>
      <c r="CH266" t="str">
        <f>""</f>
        <v/>
      </c>
      <c r="CS266" t="str">
        <f>""</f>
        <v/>
      </c>
    </row>
    <row r="267" spans="1:97" x14ac:dyDescent="0.25">
      <c r="A267" t="s">
        <v>894</v>
      </c>
      <c r="B267" t="s">
        <v>2023</v>
      </c>
      <c r="E267" t="s">
        <v>2024</v>
      </c>
      <c r="F267" t="s">
        <v>108</v>
      </c>
      <c r="H267" t="s">
        <v>2025</v>
      </c>
      <c r="I267" t="s">
        <v>453</v>
      </c>
      <c r="J267" t="s">
        <v>111</v>
      </c>
      <c r="K267" t="str">
        <f>"85383"</f>
        <v>85383</v>
      </c>
      <c r="L267" t="s">
        <v>625</v>
      </c>
      <c r="M267" t="s">
        <v>2025</v>
      </c>
      <c r="N267" t="s">
        <v>453</v>
      </c>
      <c r="O267" t="s">
        <v>111</v>
      </c>
      <c r="P267" t="str">
        <f>"85383-8803"</f>
        <v>85383-8803</v>
      </c>
      <c r="Q267" t="s">
        <v>113</v>
      </c>
      <c r="R267" t="str">
        <f>"201-17-636"</f>
        <v>201-17-636</v>
      </c>
      <c r="S267" t="s">
        <v>2026</v>
      </c>
      <c r="U267">
        <v>3905</v>
      </c>
      <c r="W267">
        <v>5</v>
      </c>
      <c r="X267">
        <v>2014</v>
      </c>
      <c r="Z267">
        <v>1</v>
      </c>
      <c r="AA267" t="s">
        <v>26</v>
      </c>
      <c r="AC267" t="s">
        <v>115</v>
      </c>
      <c r="AD267">
        <v>3</v>
      </c>
      <c r="AE267" t="s">
        <v>115</v>
      </c>
      <c r="AH267" t="s">
        <v>116</v>
      </c>
      <c r="AI267" s="1">
        <v>27809</v>
      </c>
      <c r="AJ267" s="2">
        <v>0.05</v>
      </c>
      <c r="AK267" s="1">
        <v>616809</v>
      </c>
      <c r="AL267" t="s">
        <v>117</v>
      </c>
      <c r="AM267" t="s">
        <v>118</v>
      </c>
      <c r="AN267">
        <v>13945</v>
      </c>
      <c r="AO267">
        <v>0.32</v>
      </c>
      <c r="AR267">
        <v>1</v>
      </c>
      <c r="AS267" s="1">
        <v>51110</v>
      </c>
      <c r="AT267" s="1">
        <v>10220</v>
      </c>
      <c r="AU267" s="1">
        <v>40890</v>
      </c>
      <c r="AV267">
        <v>80</v>
      </c>
      <c r="AX267" s="1">
        <v>4346.4399999999996</v>
      </c>
      <c r="AY267" t="s">
        <v>627</v>
      </c>
      <c r="AZ267" t="s">
        <v>627</v>
      </c>
      <c r="BA267" t="s">
        <v>457</v>
      </c>
      <c r="BB267" s="3">
        <v>43544</v>
      </c>
      <c r="BC267" s="1">
        <v>110000</v>
      </c>
      <c r="BD267" t="s">
        <v>247</v>
      </c>
      <c r="BE267" s="3">
        <v>42417</v>
      </c>
      <c r="BF267" s="1">
        <v>470000</v>
      </c>
      <c r="BG267" t="s">
        <v>275</v>
      </c>
      <c r="BH267" s="1">
        <v>120.36</v>
      </c>
      <c r="BI267" s="1">
        <v>589000</v>
      </c>
      <c r="BJ267" s="3">
        <v>43544</v>
      </c>
      <c r="BK267" t="s">
        <v>123</v>
      </c>
      <c r="BL267" t="str">
        <f>"2019.193757"</f>
        <v>2019.193757</v>
      </c>
      <c r="BM267" t="s">
        <v>1809</v>
      </c>
      <c r="BN267" t="s">
        <v>1810</v>
      </c>
      <c r="BO267" t="s">
        <v>2027</v>
      </c>
      <c r="BR267" t="s">
        <v>139</v>
      </c>
      <c r="BW267" t="str">
        <f>""</f>
        <v/>
      </c>
      <c r="CH267" t="str">
        <f>""</f>
        <v/>
      </c>
      <c r="CS267" t="str">
        <f>""</f>
        <v/>
      </c>
    </row>
    <row r="268" spans="1:97" x14ac:dyDescent="0.25">
      <c r="A268" t="s">
        <v>1034</v>
      </c>
      <c r="B268" t="s">
        <v>2028</v>
      </c>
      <c r="C268" t="s">
        <v>2029</v>
      </c>
      <c r="D268" t="s">
        <v>2028</v>
      </c>
      <c r="E268" t="s">
        <v>2030</v>
      </c>
      <c r="F268" t="s">
        <v>108</v>
      </c>
      <c r="H268" t="s">
        <v>2031</v>
      </c>
      <c r="I268" t="s">
        <v>453</v>
      </c>
      <c r="J268" t="s">
        <v>111</v>
      </c>
      <c r="K268" t="str">
        <f>"85383"</f>
        <v>85383</v>
      </c>
      <c r="L268" t="s">
        <v>625</v>
      </c>
      <c r="M268" t="s">
        <v>2031</v>
      </c>
      <c r="N268" t="s">
        <v>453</v>
      </c>
      <c r="O268" t="s">
        <v>111</v>
      </c>
      <c r="P268" t="str">
        <f>"85383-8844"</f>
        <v>85383-8844</v>
      </c>
      <c r="Q268" t="s">
        <v>113</v>
      </c>
      <c r="R268" t="str">
        <f>"201-17-565"</f>
        <v>201-17-565</v>
      </c>
      <c r="S268" t="s">
        <v>2032</v>
      </c>
      <c r="U268">
        <v>1959</v>
      </c>
      <c r="W268">
        <v>4</v>
      </c>
      <c r="X268">
        <v>2014</v>
      </c>
      <c r="Z268">
        <v>1</v>
      </c>
      <c r="AC268" t="s">
        <v>115</v>
      </c>
      <c r="AD268">
        <v>3</v>
      </c>
      <c r="AE268" t="s">
        <v>115</v>
      </c>
      <c r="AH268" t="s">
        <v>116</v>
      </c>
      <c r="AI268" s="1">
        <v>101726</v>
      </c>
      <c r="AJ268" s="2">
        <v>0.27</v>
      </c>
      <c r="AK268" s="1">
        <v>380726</v>
      </c>
      <c r="AL268" t="s">
        <v>117</v>
      </c>
      <c r="AM268" t="s">
        <v>118</v>
      </c>
      <c r="AN268">
        <v>7200</v>
      </c>
      <c r="AO268">
        <v>0.16</v>
      </c>
      <c r="AR268">
        <v>1</v>
      </c>
      <c r="AS268" s="1">
        <v>27520</v>
      </c>
      <c r="AT268" s="1">
        <v>5500</v>
      </c>
      <c r="AU268" s="1">
        <v>22020</v>
      </c>
      <c r="AV268">
        <v>80.010000000000005</v>
      </c>
      <c r="AX268" s="1">
        <v>2436.8000000000002</v>
      </c>
      <c r="AY268" t="s">
        <v>627</v>
      </c>
      <c r="AZ268" t="s">
        <v>627</v>
      </c>
      <c r="BA268" t="s">
        <v>457</v>
      </c>
      <c r="BE268" s="3">
        <v>41852</v>
      </c>
      <c r="BF268" s="1">
        <v>254108</v>
      </c>
      <c r="BG268" t="s">
        <v>275</v>
      </c>
      <c r="BH268" s="1">
        <v>129.71</v>
      </c>
      <c r="BI268" s="1">
        <v>279000</v>
      </c>
      <c r="BJ268" s="3">
        <v>43077</v>
      </c>
      <c r="BK268" t="s">
        <v>123</v>
      </c>
      <c r="BL268" t="str">
        <f>"2017.908066"</f>
        <v>2017.908066</v>
      </c>
      <c r="BM268" t="s">
        <v>724</v>
      </c>
      <c r="BO268" t="s">
        <v>2033</v>
      </c>
      <c r="BP268" t="s">
        <v>2034</v>
      </c>
      <c r="BS268">
        <v>30</v>
      </c>
      <c r="BW268" t="str">
        <f>""</f>
        <v/>
      </c>
      <c r="CH268" t="str">
        <f>""</f>
        <v/>
      </c>
      <c r="CS268" t="str">
        <f>""</f>
        <v/>
      </c>
    </row>
    <row r="269" spans="1:97" x14ac:dyDescent="0.25">
      <c r="B269" t="s">
        <v>2035</v>
      </c>
      <c r="E269" t="s">
        <v>2036</v>
      </c>
      <c r="F269" t="s">
        <v>108</v>
      </c>
      <c r="H269" t="s">
        <v>2037</v>
      </c>
      <c r="I269" t="s">
        <v>453</v>
      </c>
      <c r="J269" t="s">
        <v>111</v>
      </c>
      <c r="K269" t="str">
        <f>"85383"</f>
        <v>85383</v>
      </c>
      <c r="L269" t="s">
        <v>625</v>
      </c>
      <c r="M269" t="s">
        <v>2037</v>
      </c>
      <c r="N269" t="s">
        <v>453</v>
      </c>
      <c r="O269" t="s">
        <v>111</v>
      </c>
      <c r="P269" t="str">
        <f>"85383-8849"</f>
        <v>85383-8849</v>
      </c>
      <c r="Q269" t="s">
        <v>113</v>
      </c>
      <c r="R269" t="str">
        <f>"201-17-567"</f>
        <v>201-17-567</v>
      </c>
      <c r="S269" t="s">
        <v>2032</v>
      </c>
      <c r="U269">
        <v>1959</v>
      </c>
      <c r="W269">
        <v>4</v>
      </c>
      <c r="X269">
        <v>2014</v>
      </c>
      <c r="Z269">
        <v>1</v>
      </c>
      <c r="AC269" t="s">
        <v>115</v>
      </c>
      <c r="AD269">
        <v>3</v>
      </c>
      <c r="AE269" t="s">
        <v>115</v>
      </c>
      <c r="AH269" t="s">
        <v>116</v>
      </c>
      <c r="AI269" s="1">
        <v>63831</v>
      </c>
      <c r="AJ269" s="2">
        <v>0.17</v>
      </c>
      <c r="AK269" s="1">
        <v>380831</v>
      </c>
      <c r="AL269" t="s">
        <v>117</v>
      </c>
      <c r="AM269" t="s">
        <v>118</v>
      </c>
      <c r="AN269">
        <v>7020</v>
      </c>
      <c r="AO269">
        <v>0.16</v>
      </c>
      <c r="AR269">
        <v>1</v>
      </c>
      <c r="AS269" s="1">
        <v>27480</v>
      </c>
      <c r="AT269" s="1">
        <v>5490</v>
      </c>
      <c r="AU269" s="1">
        <v>21990</v>
      </c>
      <c r="AV269">
        <v>80.02</v>
      </c>
      <c r="AX269" s="1">
        <v>2431.92</v>
      </c>
      <c r="AY269" t="s">
        <v>627</v>
      </c>
      <c r="AZ269" t="s">
        <v>627</v>
      </c>
      <c r="BA269" t="s">
        <v>457</v>
      </c>
      <c r="BB269" s="3">
        <v>42720</v>
      </c>
      <c r="BD269" t="s">
        <v>458</v>
      </c>
      <c r="BE269" s="3">
        <v>41877</v>
      </c>
      <c r="BF269" s="1">
        <v>283844</v>
      </c>
      <c r="BG269" t="s">
        <v>275</v>
      </c>
      <c r="BH269" s="1">
        <v>144.88999999999999</v>
      </c>
      <c r="BI269" s="1">
        <v>317000</v>
      </c>
      <c r="BJ269" s="3">
        <v>42720</v>
      </c>
      <c r="BK269" t="s">
        <v>123</v>
      </c>
      <c r="BL269" t="str">
        <f>"2016.929238"</f>
        <v>2016.929238</v>
      </c>
      <c r="BM269" t="s">
        <v>2038</v>
      </c>
      <c r="BO269" t="s">
        <v>2039</v>
      </c>
      <c r="BS269">
        <v>30</v>
      </c>
      <c r="BW269" t="str">
        <f>""</f>
        <v/>
      </c>
      <c r="CH269" t="str">
        <f>""</f>
        <v/>
      </c>
      <c r="CS269" t="str">
        <f>""</f>
        <v/>
      </c>
    </row>
    <row r="270" spans="1:97" x14ac:dyDescent="0.25">
      <c r="B270" t="s">
        <v>236</v>
      </c>
      <c r="E270" t="s">
        <v>237</v>
      </c>
      <c r="F270" t="s">
        <v>108</v>
      </c>
      <c r="H270" t="s">
        <v>2040</v>
      </c>
      <c r="I270" t="s">
        <v>203</v>
      </c>
      <c r="J270" t="s">
        <v>111</v>
      </c>
      <c r="K270" t="str">
        <f>"85298"</f>
        <v>85298</v>
      </c>
      <c r="L270" t="s">
        <v>721</v>
      </c>
      <c r="M270" t="s">
        <v>2040</v>
      </c>
      <c r="N270" t="s">
        <v>203</v>
      </c>
      <c r="O270" t="s">
        <v>111</v>
      </c>
      <c r="P270" t="str">
        <f>"85298"</f>
        <v>85298</v>
      </c>
      <c r="Q270" t="s">
        <v>113</v>
      </c>
      <c r="R270" t="str">
        <f>"304-85-689"</f>
        <v>304-85-689</v>
      </c>
      <c r="S270" t="s">
        <v>722</v>
      </c>
      <c r="U270">
        <v>2675</v>
      </c>
      <c r="W270">
        <v>4</v>
      </c>
      <c r="X270">
        <v>2015</v>
      </c>
      <c r="Z270">
        <v>1</v>
      </c>
      <c r="AA270" t="s">
        <v>26</v>
      </c>
      <c r="AC270" t="s">
        <v>115</v>
      </c>
      <c r="AD270">
        <v>3</v>
      </c>
      <c r="AE270" t="s">
        <v>115</v>
      </c>
      <c r="AH270" t="s">
        <v>116</v>
      </c>
      <c r="AI270" s="1">
        <v>90892</v>
      </c>
      <c r="AJ270" s="2">
        <v>0.2</v>
      </c>
      <c r="AK270" s="1">
        <v>458364</v>
      </c>
      <c r="AL270" t="s">
        <v>117</v>
      </c>
      <c r="AM270" t="s">
        <v>723</v>
      </c>
      <c r="AN270">
        <v>9001</v>
      </c>
      <c r="AO270">
        <v>0.21</v>
      </c>
      <c r="AR270">
        <v>1</v>
      </c>
      <c r="AS270" s="1">
        <v>34480</v>
      </c>
      <c r="AT270" s="1">
        <v>6890</v>
      </c>
      <c r="AU270" s="1">
        <v>27590</v>
      </c>
      <c r="AV270">
        <v>80.02</v>
      </c>
      <c r="AX270" s="1">
        <v>2502.3200000000002</v>
      </c>
      <c r="AY270" t="s">
        <v>272</v>
      </c>
      <c r="AZ270" t="s">
        <v>273</v>
      </c>
      <c r="BA270" t="s">
        <v>274</v>
      </c>
      <c r="BB270" s="3">
        <v>43754</v>
      </c>
      <c r="BC270" s="1">
        <v>0</v>
      </c>
      <c r="BD270" t="s">
        <v>247</v>
      </c>
      <c r="BE270" s="3">
        <v>42426</v>
      </c>
      <c r="BF270" s="1">
        <v>354911</v>
      </c>
      <c r="BG270" t="s">
        <v>645</v>
      </c>
      <c r="BH270" s="1">
        <v>132.68</v>
      </c>
      <c r="BI270" s="1">
        <v>207472</v>
      </c>
      <c r="BJ270" s="3">
        <v>42426</v>
      </c>
      <c r="BK270" t="s">
        <v>123</v>
      </c>
      <c r="BL270" t="str">
        <f>"2016.124449"</f>
        <v>2016.124449</v>
      </c>
      <c r="BM270" t="s">
        <v>594</v>
      </c>
      <c r="BN270" t="s">
        <v>595</v>
      </c>
      <c r="BO270" t="s">
        <v>2041</v>
      </c>
      <c r="BS270">
        <v>30</v>
      </c>
      <c r="BT270" s="1">
        <v>160000</v>
      </c>
      <c r="BU270" s="3">
        <v>43724</v>
      </c>
      <c r="BW270" t="str">
        <f>"2019.723511"</f>
        <v>2019.723511</v>
      </c>
      <c r="BX270" t="s">
        <v>2042</v>
      </c>
      <c r="BY270" t="s">
        <v>1575</v>
      </c>
      <c r="BZ270" t="s">
        <v>2043</v>
      </c>
      <c r="CA270" t="s">
        <v>2044</v>
      </c>
      <c r="CC270" t="s">
        <v>346</v>
      </c>
      <c r="CH270" t="str">
        <f>""</f>
        <v/>
      </c>
      <c r="CS270" t="str">
        <f>""</f>
        <v/>
      </c>
    </row>
    <row r="271" spans="1:97" x14ac:dyDescent="0.25">
      <c r="A271" t="s">
        <v>2045</v>
      </c>
      <c r="B271" t="s">
        <v>2046</v>
      </c>
      <c r="C271" t="s">
        <v>2047</v>
      </c>
      <c r="D271" t="s">
        <v>2046</v>
      </c>
      <c r="E271" t="s">
        <v>2048</v>
      </c>
      <c r="F271" t="s">
        <v>108</v>
      </c>
      <c r="H271" t="s">
        <v>2049</v>
      </c>
      <c r="I271" t="s">
        <v>225</v>
      </c>
      <c r="J271" t="s">
        <v>111</v>
      </c>
      <c r="K271" t="str">
        <f>"85212"</f>
        <v>85212</v>
      </c>
      <c r="L271" t="s">
        <v>558</v>
      </c>
      <c r="M271" t="s">
        <v>2049</v>
      </c>
      <c r="N271" t="s">
        <v>225</v>
      </c>
      <c r="O271" t="s">
        <v>111</v>
      </c>
      <c r="P271" t="str">
        <f>"85212-8063"</f>
        <v>85212-8063</v>
      </c>
      <c r="Q271" t="s">
        <v>113</v>
      </c>
      <c r="R271" t="str">
        <f>"304-50-306"</f>
        <v>304-50-306</v>
      </c>
      <c r="S271" t="s">
        <v>2050</v>
      </c>
      <c r="U271">
        <v>4639</v>
      </c>
      <c r="W271">
        <v>7</v>
      </c>
      <c r="X271">
        <v>2014</v>
      </c>
      <c r="Z271">
        <v>2</v>
      </c>
      <c r="AC271" t="s">
        <v>115</v>
      </c>
      <c r="AD271">
        <v>4</v>
      </c>
      <c r="AE271" t="s">
        <v>115</v>
      </c>
      <c r="AH271" t="s">
        <v>116</v>
      </c>
      <c r="AI271" s="1">
        <v>102625</v>
      </c>
      <c r="AJ271" s="2">
        <v>0.18</v>
      </c>
      <c r="AK271" s="1">
        <v>559668</v>
      </c>
      <c r="AL271" t="s">
        <v>117</v>
      </c>
      <c r="AM271" t="s">
        <v>118</v>
      </c>
      <c r="AN271">
        <v>11288</v>
      </c>
      <c r="AO271">
        <v>0.26</v>
      </c>
      <c r="AR271">
        <v>1</v>
      </c>
      <c r="AS271" s="1">
        <v>41510</v>
      </c>
      <c r="AT271" s="1">
        <v>8300</v>
      </c>
      <c r="AU271" s="1">
        <v>33210</v>
      </c>
      <c r="AV271">
        <v>80</v>
      </c>
      <c r="AX271" s="1">
        <v>6046.94</v>
      </c>
      <c r="AY271" t="s">
        <v>560</v>
      </c>
      <c r="AZ271" t="s">
        <v>561</v>
      </c>
      <c r="BA271" t="s">
        <v>194</v>
      </c>
      <c r="BE271" s="3">
        <v>41666</v>
      </c>
      <c r="BF271" s="1">
        <v>452162</v>
      </c>
      <c r="BG271" t="s">
        <v>209</v>
      </c>
      <c r="BH271" s="1">
        <v>97.47</v>
      </c>
      <c r="BI271" s="1">
        <v>457043</v>
      </c>
      <c r="BJ271" s="3">
        <v>42551</v>
      </c>
      <c r="BK271" t="s">
        <v>123</v>
      </c>
      <c r="BL271" t="str">
        <f>"2016.460371"</f>
        <v>2016.460371</v>
      </c>
      <c r="BM271" t="s">
        <v>2051</v>
      </c>
      <c r="BO271" t="s">
        <v>2052</v>
      </c>
      <c r="BS271">
        <v>30</v>
      </c>
      <c r="BW271" t="str">
        <f>""</f>
        <v/>
      </c>
      <c r="CH271" t="str">
        <f>""</f>
        <v/>
      </c>
      <c r="CS271" t="str">
        <f>""</f>
        <v/>
      </c>
    </row>
    <row r="272" spans="1:97" x14ac:dyDescent="0.25">
      <c r="A272" t="s">
        <v>2053</v>
      </c>
      <c r="B272" t="s">
        <v>2054</v>
      </c>
      <c r="C272" t="s">
        <v>365</v>
      </c>
      <c r="D272" t="s">
        <v>2054</v>
      </c>
      <c r="E272" t="s">
        <v>2055</v>
      </c>
      <c r="F272" t="s">
        <v>108</v>
      </c>
      <c r="H272" t="s">
        <v>2056</v>
      </c>
      <c r="I272" t="s">
        <v>225</v>
      </c>
      <c r="J272" t="s">
        <v>111</v>
      </c>
      <c r="K272" t="str">
        <f>"85212"</f>
        <v>85212</v>
      </c>
      <c r="L272" t="s">
        <v>558</v>
      </c>
      <c r="M272" t="s">
        <v>2056</v>
      </c>
      <c r="N272" t="s">
        <v>225</v>
      </c>
      <c r="O272" t="s">
        <v>111</v>
      </c>
      <c r="P272" t="str">
        <f>"85212-8206"</f>
        <v>85212-8206</v>
      </c>
      <c r="Q272" t="s">
        <v>113</v>
      </c>
      <c r="R272" t="str">
        <f>"304-50-430"</f>
        <v>304-50-430</v>
      </c>
      <c r="S272" t="s">
        <v>1147</v>
      </c>
      <c r="U272">
        <v>5697</v>
      </c>
      <c r="W272">
        <v>8</v>
      </c>
      <c r="X272">
        <v>2015</v>
      </c>
      <c r="Z272">
        <v>2</v>
      </c>
      <c r="AC272" t="s">
        <v>115</v>
      </c>
      <c r="AD272">
        <v>4</v>
      </c>
      <c r="AE272" t="s">
        <v>115</v>
      </c>
      <c r="AH272" t="s">
        <v>116</v>
      </c>
      <c r="AI272" s="1">
        <v>103509</v>
      </c>
      <c r="AJ272" s="2">
        <v>0.17</v>
      </c>
      <c r="AK272" s="1">
        <v>625578</v>
      </c>
      <c r="AL272" t="s">
        <v>117</v>
      </c>
      <c r="AM272" t="s">
        <v>118</v>
      </c>
      <c r="AN272">
        <v>12411</v>
      </c>
      <c r="AO272">
        <v>0.28000000000000003</v>
      </c>
      <c r="AR272">
        <v>1</v>
      </c>
      <c r="AS272" s="1">
        <v>46220</v>
      </c>
      <c r="AT272" s="1">
        <v>9240</v>
      </c>
      <c r="AU272" s="1">
        <v>36980</v>
      </c>
      <c r="AV272">
        <v>80.010000000000005</v>
      </c>
      <c r="AX272" s="1">
        <v>6596.44</v>
      </c>
      <c r="AY272" t="s">
        <v>560</v>
      </c>
      <c r="AZ272" t="s">
        <v>561</v>
      </c>
      <c r="BA272" t="s">
        <v>194</v>
      </c>
      <c r="BE272" s="3">
        <v>42277</v>
      </c>
      <c r="BF272" s="1">
        <v>549553</v>
      </c>
      <c r="BG272" t="s">
        <v>209</v>
      </c>
      <c r="BH272" s="1">
        <v>96.46</v>
      </c>
      <c r="BI272" s="1">
        <v>522069</v>
      </c>
      <c r="BJ272" s="3">
        <v>42277</v>
      </c>
      <c r="BK272" t="s">
        <v>123</v>
      </c>
      <c r="BL272" t="str">
        <f>"2015.707411"</f>
        <v>2015.707411</v>
      </c>
      <c r="BM272" t="s">
        <v>175</v>
      </c>
      <c r="BO272" t="s">
        <v>2057</v>
      </c>
      <c r="BS272">
        <v>30</v>
      </c>
      <c r="BW272" t="str">
        <f>""</f>
        <v/>
      </c>
      <c r="CH272" t="str">
        <f>""</f>
        <v/>
      </c>
      <c r="CS272" t="str">
        <f>""</f>
        <v/>
      </c>
    </row>
    <row r="273" spans="1:97" x14ac:dyDescent="0.25">
      <c r="A273" t="s">
        <v>2058</v>
      </c>
      <c r="B273" t="s">
        <v>2059</v>
      </c>
      <c r="C273" t="s">
        <v>2060</v>
      </c>
      <c r="D273" t="s">
        <v>2061</v>
      </c>
      <c r="E273" t="s">
        <v>2062</v>
      </c>
      <c r="F273" t="s">
        <v>108</v>
      </c>
      <c r="H273" t="s">
        <v>2063</v>
      </c>
      <c r="I273" t="s">
        <v>203</v>
      </c>
      <c r="J273" t="s">
        <v>111</v>
      </c>
      <c r="K273" t="str">
        <f>"85298"</f>
        <v>85298</v>
      </c>
      <c r="L273" t="s">
        <v>681</v>
      </c>
      <c r="M273" t="s">
        <v>2063</v>
      </c>
      <c r="N273" t="s">
        <v>203</v>
      </c>
      <c r="O273" t="s">
        <v>111</v>
      </c>
      <c r="P273" t="str">
        <f>"85298"</f>
        <v>85298</v>
      </c>
      <c r="Q273" t="s">
        <v>113</v>
      </c>
      <c r="R273" t="str">
        <f>"304-88-432"</f>
        <v>304-88-432</v>
      </c>
      <c r="S273" t="s">
        <v>1165</v>
      </c>
      <c r="T273" t="s">
        <v>287</v>
      </c>
      <c r="U273">
        <v>3871</v>
      </c>
      <c r="W273">
        <v>4</v>
      </c>
      <c r="X273">
        <v>2014</v>
      </c>
      <c r="Z273">
        <v>2</v>
      </c>
      <c r="AC273" t="s">
        <v>115</v>
      </c>
      <c r="AD273">
        <v>3</v>
      </c>
      <c r="AE273" t="s">
        <v>115</v>
      </c>
      <c r="AH273" t="s">
        <v>116</v>
      </c>
      <c r="AI273" s="1">
        <v>117010</v>
      </c>
      <c r="AJ273" s="2">
        <v>0.23</v>
      </c>
      <c r="AK273" s="1">
        <v>519360</v>
      </c>
      <c r="AL273" t="s">
        <v>117</v>
      </c>
      <c r="AM273" t="s">
        <v>288</v>
      </c>
      <c r="AN273">
        <v>6710</v>
      </c>
      <c r="AO273">
        <v>0.15</v>
      </c>
      <c r="AR273">
        <v>1</v>
      </c>
      <c r="AS273" s="1">
        <v>36780</v>
      </c>
      <c r="AT273" s="1">
        <v>7350</v>
      </c>
      <c r="AU273" s="1">
        <v>29430</v>
      </c>
      <c r="AV273">
        <v>80.02</v>
      </c>
      <c r="AX273" s="1">
        <v>3123.98</v>
      </c>
      <c r="AY273" t="s">
        <v>289</v>
      </c>
      <c r="AZ273" t="s">
        <v>289</v>
      </c>
      <c r="BA273" t="s">
        <v>290</v>
      </c>
      <c r="BE273" s="3">
        <v>41864</v>
      </c>
      <c r="BF273" s="1">
        <v>389522</v>
      </c>
      <c r="BG273" t="s">
        <v>420</v>
      </c>
      <c r="BH273" s="1">
        <v>100.63</v>
      </c>
      <c r="BI273" s="1">
        <v>402350</v>
      </c>
      <c r="BJ273" s="3">
        <v>41864</v>
      </c>
      <c r="BK273" t="s">
        <v>123</v>
      </c>
      <c r="BL273" t="str">
        <f>"2014.533368"</f>
        <v>2014.533368</v>
      </c>
      <c r="BM273" t="s">
        <v>124</v>
      </c>
      <c r="BO273" t="s">
        <v>2064</v>
      </c>
      <c r="BP273" t="s">
        <v>2065</v>
      </c>
      <c r="BS273">
        <v>30</v>
      </c>
      <c r="BW273" t="str">
        <f>""</f>
        <v/>
      </c>
      <c r="CH273" t="str">
        <f>""</f>
        <v/>
      </c>
      <c r="CS273" t="str">
        <f>""</f>
        <v/>
      </c>
    </row>
    <row r="274" spans="1:97" x14ac:dyDescent="0.25">
      <c r="A274" t="s">
        <v>2066</v>
      </c>
      <c r="B274" t="s">
        <v>2067</v>
      </c>
      <c r="C274" t="s">
        <v>2068</v>
      </c>
      <c r="D274" t="s">
        <v>2067</v>
      </c>
      <c r="E274" t="s">
        <v>2069</v>
      </c>
      <c r="F274" t="s">
        <v>108</v>
      </c>
      <c r="H274" t="s">
        <v>2070</v>
      </c>
      <c r="I274" t="s">
        <v>499</v>
      </c>
      <c r="J274" t="s">
        <v>111</v>
      </c>
      <c r="K274" t="str">
        <f>"85395"</f>
        <v>85395</v>
      </c>
      <c r="L274" t="s">
        <v>500</v>
      </c>
      <c r="M274" t="s">
        <v>2070</v>
      </c>
      <c r="N274" t="s">
        <v>499</v>
      </c>
      <c r="O274" t="s">
        <v>111</v>
      </c>
      <c r="P274" t="str">
        <f>"85395-6464"</f>
        <v>85395-6464</v>
      </c>
      <c r="Q274" t="s">
        <v>113</v>
      </c>
      <c r="R274" t="str">
        <f>"502-30-382"</f>
        <v>502-30-382</v>
      </c>
      <c r="S274" t="s">
        <v>501</v>
      </c>
      <c r="T274" t="s">
        <v>502</v>
      </c>
      <c r="U274">
        <v>3102</v>
      </c>
      <c r="W274">
        <v>5</v>
      </c>
      <c r="X274">
        <v>2016</v>
      </c>
      <c r="Z274">
        <v>1</v>
      </c>
      <c r="AA274" t="s">
        <v>26</v>
      </c>
      <c r="AC274" t="s">
        <v>115</v>
      </c>
      <c r="AD274">
        <v>3</v>
      </c>
      <c r="AE274" t="s">
        <v>115</v>
      </c>
      <c r="AH274" t="s">
        <v>116</v>
      </c>
      <c r="AI274" s="1">
        <v>59053</v>
      </c>
      <c r="AJ274" s="2">
        <v>0.13</v>
      </c>
      <c r="AK274" s="1">
        <v>469853</v>
      </c>
      <c r="AL274" t="s">
        <v>117</v>
      </c>
      <c r="AM274" t="s">
        <v>118</v>
      </c>
      <c r="AN274">
        <v>18009</v>
      </c>
      <c r="AO274">
        <v>0.41</v>
      </c>
      <c r="AR274">
        <v>1</v>
      </c>
      <c r="AS274" s="1">
        <v>36370</v>
      </c>
      <c r="AT274" s="1">
        <v>7270</v>
      </c>
      <c r="AU274" s="1">
        <v>29100</v>
      </c>
      <c r="AV274">
        <v>80.010000000000005</v>
      </c>
      <c r="AX274" s="1">
        <v>2937.9</v>
      </c>
      <c r="AY274" t="s">
        <v>503</v>
      </c>
      <c r="AZ274" t="s">
        <v>504</v>
      </c>
      <c r="BA274" t="s">
        <v>218</v>
      </c>
      <c r="BE274" s="3">
        <v>42460</v>
      </c>
      <c r="BF274" s="1">
        <v>405000</v>
      </c>
      <c r="BG274" t="s">
        <v>209</v>
      </c>
      <c r="BH274" s="1">
        <v>130.56</v>
      </c>
      <c r="BI274" s="1">
        <v>410800</v>
      </c>
      <c r="BJ274" s="3">
        <v>42713</v>
      </c>
      <c r="BK274" t="s">
        <v>123</v>
      </c>
      <c r="BL274" t="str">
        <f>"2016.907695"</f>
        <v>2016.907695</v>
      </c>
      <c r="BM274" t="s">
        <v>425</v>
      </c>
      <c r="BO274" t="s">
        <v>2071</v>
      </c>
      <c r="BS274">
        <v>30</v>
      </c>
      <c r="BW274" t="str">
        <f>""</f>
        <v/>
      </c>
      <c r="CH274" t="str">
        <f>""</f>
        <v/>
      </c>
      <c r="CS274" t="str">
        <f>""</f>
        <v/>
      </c>
    </row>
    <row r="275" spans="1:97" x14ac:dyDescent="0.25">
      <c r="A275" t="s">
        <v>894</v>
      </c>
      <c r="B275" t="s">
        <v>2072</v>
      </c>
      <c r="C275" t="s">
        <v>2073</v>
      </c>
      <c r="D275" t="s">
        <v>2072</v>
      </c>
      <c r="E275" t="s">
        <v>2074</v>
      </c>
      <c r="F275" t="s">
        <v>108</v>
      </c>
      <c r="H275" t="s">
        <v>2075</v>
      </c>
      <c r="I275" t="s">
        <v>225</v>
      </c>
      <c r="J275" t="s">
        <v>111</v>
      </c>
      <c r="K275" t="str">
        <f>"85212"</f>
        <v>85212</v>
      </c>
      <c r="L275" t="s">
        <v>567</v>
      </c>
      <c r="M275" t="s">
        <v>2075</v>
      </c>
      <c r="N275" t="s">
        <v>225</v>
      </c>
      <c r="O275" t="s">
        <v>111</v>
      </c>
      <c r="P275" t="str">
        <f>"85212-9757"</f>
        <v>85212-9757</v>
      </c>
      <c r="Q275" t="s">
        <v>113</v>
      </c>
      <c r="R275" t="str">
        <f>"304-17-489"</f>
        <v>304-17-489</v>
      </c>
      <c r="S275" t="s">
        <v>568</v>
      </c>
      <c r="T275" t="s">
        <v>569</v>
      </c>
      <c r="U275">
        <v>2292</v>
      </c>
      <c r="W275">
        <v>3</v>
      </c>
      <c r="X275">
        <v>2014</v>
      </c>
      <c r="Z275">
        <v>1</v>
      </c>
      <c r="AC275" t="s">
        <v>115</v>
      </c>
      <c r="AD275">
        <v>3</v>
      </c>
      <c r="AE275" t="s">
        <v>115</v>
      </c>
      <c r="AH275" t="s">
        <v>116</v>
      </c>
      <c r="AI275" s="1">
        <v>87020</v>
      </c>
      <c r="AJ275" s="2">
        <v>0.22</v>
      </c>
      <c r="AK275" s="1">
        <v>387259</v>
      </c>
      <c r="AL275" t="s">
        <v>117</v>
      </c>
      <c r="AM275" t="s">
        <v>393</v>
      </c>
      <c r="AN275">
        <v>7200</v>
      </c>
      <c r="AO275">
        <v>0.16</v>
      </c>
      <c r="AR275">
        <v>1</v>
      </c>
      <c r="AS275" s="1">
        <v>28380</v>
      </c>
      <c r="AT275" s="1">
        <v>5670</v>
      </c>
      <c r="AU275" s="1">
        <v>22710</v>
      </c>
      <c r="AV275">
        <v>80.02</v>
      </c>
      <c r="AX275" s="1">
        <v>1986.74</v>
      </c>
      <c r="AY275" t="s">
        <v>570</v>
      </c>
      <c r="AZ275" t="s">
        <v>571</v>
      </c>
      <c r="BA275" t="s">
        <v>572</v>
      </c>
      <c r="BE275" s="3">
        <v>41898</v>
      </c>
      <c r="BF275" s="1">
        <v>300636</v>
      </c>
      <c r="BG275" t="s">
        <v>446</v>
      </c>
      <c r="BH275" s="1">
        <v>131.16999999999999</v>
      </c>
      <c r="BI275" s="1">
        <v>300239</v>
      </c>
      <c r="BJ275" s="3">
        <v>42684</v>
      </c>
      <c r="BK275" t="s">
        <v>123</v>
      </c>
      <c r="BL275" t="str">
        <f>"2016.832297"</f>
        <v>2016.832297</v>
      </c>
      <c r="BM275" t="s">
        <v>1325</v>
      </c>
      <c r="BO275" t="s">
        <v>2076</v>
      </c>
      <c r="BS275">
        <v>30</v>
      </c>
      <c r="BW275" t="str">
        <f>""</f>
        <v/>
      </c>
      <c r="CH275" t="str">
        <f>""</f>
        <v/>
      </c>
      <c r="CS275" t="str">
        <f>""</f>
        <v/>
      </c>
    </row>
    <row r="276" spans="1:97" x14ac:dyDescent="0.25">
      <c r="A276" t="s">
        <v>370</v>
      </c>
      <c r="B276" t="s">
        <v>2077</v>
      </c>
      <c r="E276" t="s">
        <v>2078</v>
      </c>
      <c r="F276" t="s">
        <v>108</v>
      </c>
      <c r="H276" t="s">
        <v>2079</v>
      </c>
      <c r="I276" t="s">
        <v>225</v>
      </c>
      <c r="J276" t="s">
        <v>111</v>
      </c>
      <c r="K276" t="str">
        <f>"85212"</f>
        <v>85212</v>
      </c>
      <c r="L276" t="s">
        <v>567</v>
      </c>
      <c r="M276" t="s">
        <v>2079</v>
      </c>
      <c r="N276" t="s">
        <v>225</v>
      </c>
      <c r="O276" t="s">
        <v>111</v>
      </c>
      <c r="P276" t="str">
        <f>"85212-9745"</f>
        <v>85212-9745</v>
      </c>
      <c r="Q276" t="s">
        <v>113</v>
      </c>
      <c r="R276" t="str">
        <f>"304-17-289"</f>
        <v>304-17-289</v>
      </c>
      <c r="S276" t="s">
        <v>568</v>
      </c>
      <c r="T276" t="s">
        <v>569</v>
      </c>
      <c r="U276">
        <v>2913</v>
      </c>
      <c r="W276">
        <v>4</v>
      </c>
      <c r="X276">
        <v>2014</v>
      </c>
      <c r="Z276">
        <v>2</v>
      </c>
      <c r="AC276" t="s">
        <v>115</v>
      </c>
      <c r="AD276">
        <v>2</v>
      </c>
      <c r="AE276" t="s">
        <v>115</v>
      </c>
      <c r="AH276" t="s">
        <v>116</v>
      </c>
      <c r="AI276" s="1">
        <v>70666</v>
      </c>
      <c r="AJ276" s="2">
        <v>0.17</v>
      </c>
      <c r="AK276" s="1">
        <v>406970</v>
      </c>
      <c r="AL276" t="s">
        <v>117</v>
      </c>
      <c r="AM276" t="s">
        <v>191</v>
      </c>
      <c r="AN276">
        <v>5750</v>
      </c>
      <c r="AO276">
        <v>0.13</v>
      </c>
      <c r="AR276">
        <v>1</v>
      </c>
      <c r="AS276" s="1">
        <v>29010</v>
      </c>
      <c r="AT276" s="1">
        <v>5800</v>
      </c>
      <c r="AU276" s="1">
        <v>23210</v>
      </c>
      <c r="AV276">
        <v>80.010000000000005</v>
      </c>
      <c r="AX276" s="1">
        <v>2524.2399999999998</v>
      </c>
      <c r="AY276" t="s">
        <v>570</v>
      </c>
      <c r="AZ276" t="s">
        <v>571</v>
      </c>
      <c r="BA276" t="s">
        <v>572</v>
      </c>
      <c r="BE276" s="3">
        <v>41894</v>
      </c>
      <c r="BF276" s="1">
        <v>309190</v>
      </c>
      <c r="BG276" t="s">
        <v>195</v>
      </c>
      <c r="BH276" s="1">
        <v>106.14</v>
      </c>
      <c r="BI276" s="1">
        <v>336304</v>
      </c>
      <c r="BJ276" s="3">
        <v>43679</v>
      </c>
      <c r="BK276" t="s">
        <v>134</v>
      </c>
      <c r="BL276" t="str">
        <f>"2019.592549"</f>
        <v>2019.592549</v>
      </c>
      <c r="BM276" t="s">
        <v>2080</v>
      </c>
      <c r="BN276" t="s">
        <v>2081</v>
      </c>
      <c r="BO276" t="s">
        <v>2082</v>
      </c>
      <c r="BR276" t="s">
        <v>2083</v>
      </c>
      <c r="BT276" s="1">
        <v>335000</v>
      </c>
      <c r="BU276" s="3">
        <v>42886</v>
      </c>
      <c r="BV276" t="s">
        <v>123</v>
      </c>
      <c r="BW276" t="str">
        <f>"2017.394724"</f>
        <v>2017.394724</v>
      </c>
      <c r="BX276" t="s">
        <v>2084</v>
      </c>
      <c r="BY276">
        <v>92821</v>
      </c>
      <c r="BZ276" t="s">
        <v>2085</v>
      </c>
      <c r="CD276">
        <v>30</v>
      </c>
      <c r="CE276" s="1">
        <v>336304</v>
      </c>
      <c r="CF276" s="3">
        <v>43679</v>
      </c>
      <c r="CG276" t="s">
        <v>134</v>
      </c>
      <c r="CH276" t="str">
        <f>"2019.592549"</f>
        <v>2019.592549</v>
      </c>
      <c r="CI276" t="s">
        <v>2080</v>
      </c>
      <c r="CJ276" t="s">
        <v>2081</v>
      </c>
      <c r="CK276" t="s">
        <v>2082</v>
      </c>
      <c r="CN276" t="s">
        <v>2083</v>
      </c>
      <c r="CS276" t="str">
        <f>""</f>
        <v/>
      </c>
    </row>
    <row r="277" spans="1:97" x14ac:dyDescent="0.25">
      <c r="A277" t="s">
        <v>639</v>
      </c>
      <c r="B277" t="s">
        <v>2086</v>
      </c>
      <c r="C277" t="s">
        <v>179</v>
      </c>
      <c r="D277" t="s">
        <v>2086</v>
      </c>
      <c r="E277" t="s">
        <v>2087</v>
      </c>
      <c r="F277" t="s">
        <v>108</v>
      </c>
      <c r="H277" t="s">
        <v>2088</v>
      </c>
      <c r="I277" t="s">
        <v>499</v>
      </c>
      <c r="J277" t="s">
        <v>111</v>
      </c>
      <c r="K277" t="str">
        <f>"85395"</f>
        <v>85395</v>
      </c>
      <c r="L277" t="s">
        <v>500</v>
      </c>
      <c r="M277" t="s">
        <v>2088</v>
      </c>
      <c r="N277" t="s">
        <v>499</v>
      </c>
      <c r="O277" t="s">
        <v>111</v>
      </c>
      <c r="P277" t="str">
        <f>"85395-6490"</f>
        <v>85395-6490</v>
      </c>
      <c r="Q277" t="s">
        <v>113</v>
      </c>
      <c r="R277" t="str">
        <f>"502-30-416"</f>
        <v>502-30-416</v>
      </c>
      <c r="S277" t="s">
        <v>501</v>
      </c>
      <c r="T277" t="s">
        <v>502</v>
      </c>
      <c r="U277">
        <v>3245</v>
      </c>
      <c r="W277">
        <v>4</v>
      </c>
      <c r="X277">
        <v>2016</v>
      </c>
      <c r="Z277">
        <v>1</v>
      </c>
      <c r="AC277" t="s">
        <v>115</v>
      </c>
      <c r="AD277">
        <v>4</v>
      </c>
      <c r="AE277" t="s">
        <v>115</v>
      </c>
      <c r="AH277" t="s">
        <v>116</v>
      </c>
      <c r="AI277" s="1">
        <v>30218</v>
      </c>
      <c r="AJ277" s="2">
        <v>7.0000000000000007E-2</v>
      </c>
      <c r="AK277" s="1">
        <v>462438</v>
      </c>
      <c r="AL277" t="s">
        <v>117</v>
      </c>
      <c r="AM277" t="s">
        <v>118</v>
      </c>
      <c r="AN277">
        <v>14500</v>
      </c>
      <c r="AO277">
        <v>0.33</v>
      </c>
      <c r="AR277">
        <v>1</v>
      </c>
      <c r="AS277" s="1">
        <v>36610</v>
      </c>
      <c r="AT277" s="1">
        <v>7320</v>
      </c>
      <c r="AU277" s="1">
        <v>29290</v>
      </c>
      <c r="AV277">
        <v>80.010000000000005</v>
      </c>
      <c r="AX277" s="1">
        <v>3225.4</v>
      </c>
      <c r="AY277" t="s">
        <v>503</v>
      </c>
      <c r="AZ277" t="s">
        <v>504</v>
      </c>
      <c r="BA277" t="s">
        <v>218</v>
      </c>
      <c r="BE277" s="3">
        <v>42551</v>
      </c>
      <c r="BF277" s="1">
        <v>437294</v>
      </c>
      <c r="BG277" t="s">
        <v>209</v>
      </c>
      <c r="BH277" s="1">
        <v>134.76</v>
      </c>
      <c r="BI277" s="1">
        <v>432220</v>
      </c>
      <c r="BJ277" s="3">
        <v>42551</v>
      </c>
      <c r="BK277" t="s">
        <v>123</v>
      </c>
      <c r="BL277" t="str">
        <f>"2016.463800"</f>
        <v>2016.463800</v>
      </c>
      <c r="BM277" t="s">
        <v>175</v>
      </c>
      <c r="BO277" t="s">
        <v>2089</v>
      </c>
      <c r="BS277">
        <v>30</v>
      </c>
      <c r="BW277" t="str">
        <f>""</f>
        <v/>
      </c>
      <c r="CH277" t="str">
        <f>""</f>
        <v/>
      </c>
      <c r="CS277" t="str">
        <f>""</f>
        <v/>
      </c>
    </row>
    <row r="278" spans="1:97" x14ac:dyDescent="0.25">
      <c r="A278" t="s">
        <v>996</v>
      </c>
      <c r="B278" t="s">
        <v>2090</v>
      </c>
      <c r="C278" t="s">
        <v>489</v>
      </c>
      <c r="D278" t="s">
        <v>2091</v>
      </c>
      <c r="E278" t="s">
        <v>2092</v>
      </c>
      <c r="F278" t="s">
        <v>108</v>
      </c>
      <c r="H278" t="s">
        <v>2093</v>
      </c>
      <c r="I278" t="s">
        <v>203</v>
      </c>
      <c r="J278" t="s">
        <v>111</v>
      </c>
      <c r="K278" t="str">
        <f>"85298"</f>
        <v>85298</v>
      </c>
      <c r="L278" t="s">
        <v>681</v>
      </c>
      <c r="M278" t="s">
        <v>2093</v>
      </c>
      <c r="N278" t="s">
        <v>203</v>
      </c>
      <c r="O278" t="s">
        <v>111</v>
      </c>
      <c r="P278" t="str">
        <f>"85298"</f>
        <v>85298</v>
      </c>
      <c r="Q278" t="s">
        <v>113</v>
      </c>
      <c r="R278" t="str">
        <f>"304-88-508"</f>
        <v>304-88-508</v>
      </c>
      <c r="S278" t="s">
        <v>1165</v>
      </c>
      <c r="T278" t="s">
        <v>287</v>
      </c>
      <c r="U278">
        <v>3456</v>
      </c>
      <c r="W278">
        <v>5</v>
      </c>
      <c r="X278">
        <v>2015</v>
      </c>
      <c r="Z278">
        <v>2</v>
      </c>
      <c r="AA278" t="s">
        <v>26</v>
      </c>
      <c r="AC278" t="s">
        <v>115</v>
      </c>
      <c r="AD278">
        <v>2</v>
      </c>
      <c r="AE278" t="s">
        <v>115</v>
      </c>
      <c r="AH278" t="s">
        <v>116</v>
      </c>
      <c r="AI278" s="1">
        <v>7840</v>
      </c>
      <c r="AJ278" s="2">
        <v>0.02</v>
      </c>
      <c r="AK278" s="1">
        <v>485339</v>
      </c>
      <c r="AL278" t="s">
        <v>117</v>
      </c>
      <c r="AM278" t="s">
        <v>288</v>
      </c>
      <c r="AN278">
        <v>5352</v>
      </c>
      <c r="AO278">
        <v>0.12</v>
      </c>
      <c r="AR278">
        <v>1</v>
      </c>
      <c r="AS278" s="1">
        <v>36050</v>
      </c>
      <c r="AT278" s="1">
        <v>7210</v>
      </c>
      <c r="AU278" s="1">
        <v>28840</v>
      </c>
      <c r="AV278">
        <v>80</v>
      </c>
      <c r="AX278" s="1">
        <v>2516.16</v>
      </c>
      <c r="AY278" t="s">
        <v>289</v>
      </c>
      <c r="AZ278" t="s">
        <v>289</v>
      </c>
      <c r="BA278" t="s">
        <v>290</v>
      </c>
      <c r="BB278" s="3">
        <v>43635</v>
      </c>
      <c r="BC278" s="1">
        <v>0</v>
      </c>
      <c r="BD278" t="s">
        <v>247</v>
      </c>
      <c r="BE278" s="3">
        <v>42398</v>
      </c>
      <c r="BF278" s="1">
        <v>382491</v>
      </c>
      <c r="BG278" t="s">
        <v>420</v>
      </c>
      <c r="BH278" s="1">
        <v>110.67</v>
      </c>
      <c r="BI278" s="1">
        <v>477499</v>
      </c>
      <c r="BJ278" s="3">
        <v>43635</v>
      </c>
      <c r="BK278" t="s">
        <v>123</v>
      </c>
      <c r="BL278" t="str">
        <f>"2019.458108"</f>
        <v>2019.458108</v>
      </c>
      <c r="BM278" t="s">
        <v>2094</v>
      </c>
      <c r="BN278" t="s">
        <v>2095</v>
      </c>
      <c r="BO278" t="s">
        <v>2096</v>
      </c>
      <c r="BP278" t="s">
        <v>2097</v>
      </c>
      <c r="BR278" t="s">
        <v>139</v>
      </c>
      <c r="BW278" t="str">
        <f>""</f>
        <v/>
      </c>
      <c r="CH278" t="str">
        <f>""</f>
        <v/>
      </c>
      <c r="CS278" t="str">
        <f>""</f>
        <v/>
      </c>
    </row>
    <row r="279" spans="1:97" x14ac:dyDescent="0.25">
      <c r="A279" t="s">
        <v>815</v>
      </c>
      <c r="B279" t="s">
        <v>2098</v>
      </c>
      <c r="C279" t="s">
        <v>2099</v>
      </c>
      <c r="D279" t="s">
        <v>2098</v>
      </c>
      <c r="E279" t="s">
        <v>2100</v>
      </c>
      <c r="F279" t="s">
        <v>108</v>
      </c>
      <c r="H279" t="s">
        <v>2101</v>
      </c>
      <c r="I279" t="s">
        <v>203</v>
      </c>
      <c r="J279" t="s">
        <v>111</v>
      </c>
      <c r="K279" t="str">
        <f>"85298"</f>
        <v>85298</v>
      </c>
      <c r="L279" t="s">
        <v>681</v>
      </c>
      <c r="M279" t="s">
        <v>2101</v>
      </c>
      <c r="N279" t="s">
        <v>203</v>
      </c>
      <c r="O279" t="s">
        <v>111</v>
      </c>
      <c r="P279" t="str">
        <f>"85298"</f>
        <v>85298</v>
      </c>
      <c r="Q279" t="s">
        <v>113</v>
      </c>
      <c r="R279" t="str">
        <f>"304-87-673"</f>
        <v>304-87-673</v>
      </c>
      <c r="S279" t="s">
        <v>682</v>
      </c>
      <c r="U279">
        <v>3631</v>
      </c>
      <c r="W279">
        <v>5</v>
      </c>
      <c r="X279">
        <v>2014</v>
      </c>
      <c r="Z279">
        <v>2</v>
      </c>
      <c r="AA279" t="s">
        <v>26</v>
      </c>
      <c r="AC279" t="s">
        <v>115</v>
      </c>
      <c r="AD279">
        <v>3</v>
      </c>
      <c r="AE279" t="s">
        <v>115</v>
      </c>
      <c r="AH279" t="s">
        <v>116</v>
      </c>
      <c r="AI279" s="1">
        <v>155461</v>
      </c>
      <c r="AJ279" s="2">
        <v>0.3</v>
      </c>
      <c r="AK279" s="1">
        <v>524500</v>
      </c>
      <c r="AL279" t="s">
        <v>117</v>
      </c>
      <c r="AM279" t="s">
        <v>191</v>
      </c>
      <c r="AN279">
        <v>8122</v>
      </c>
      <c r="AO279">
        <v>0.19</v>
      </c>
      <c r="AR279">
        <v>1</v>
      </c>
      <c r="AS279" s="1">
        <v>39460</v>
      </c>
      <c r="AT279" s="1">
        <v>7890</v>
      </c>
      <c r="AU279" s="1">
        <v>31570</v>
      </c>
      <c r="AV279">
        <v>80.010000000000005</v>
      </c>
      <c r="AX279" s="1">
        <v>3780.24</v>
      </c>
      <c r="AY279" t="s">
        <v>289</v>
      </c>
      <c r="AZ279" t="s">
        <v>289</v>
      </c>
      <c r="BA279" t="s">
        <v>290</v>
      </c>
      <c r="BE279" s="3">
        <v>41808</v>
      </c>
      <c r="BF279" s="1">
        <v>375101</v>
      </c>
      <c r="BG279" t="s">
        <v>209</v>
      </c>
      <c r="BH279" s="1">
        <v>103.31</v>
      </c>
      <c r="BI279" s="1">
        <v>319039</v>
      </c>
      <c r="BJ279" s="3">
        <v>41808</v>
      </c>
      <c r="BK279" t="s">
        <v>123</v>
      </c>
      <c r="BL279" t="str">
        <f>"2014.400949"</f>
        <v>2014.400949</v>
      </c>
      <c r="BM279" t="s">
        <v>175</v>
      </c>
      <c r="BO279" t="s">
        <v>2102</v>
      </c>
      <c r="BS279">
        <v>30</v>
      </c>
      <c r="BT279" s="1">
        <v>50000</v>
      </c>
      <c r="BU279" s="3">
        <v>42626</v>
      </c>
      <c r="BV279" t="s">
        <v>134</v>
      </c>
      <c r="BW279" t="str">
        <f>"2016.661430"</f>
        <v>2016.661430</v>
      </c>
      <c r="BX279" t="s">
        <v>1639</v>
      </c>
      <c r="BZ279" t="s">
        <v>2102</v>
      </c>
      <c r="CC279" t="s">
        <v>1480</v>
      </c>
      <c r="CD279">
        <v>7</v>
      </c>
      <c r="CH279" t="str">
        <f>""</f>
        <v/>
      </c>
      <c r="CS279" t="str">
        <f>""</f>
        <v/>
      </c>
    </row>
    <row r="280" spans="1:97" x14ac:dyDescent="0.25">
      <c r="A280" t="s">
        <v>2103</v>
      </c>
      <c r="B280" t="s">
        <v>2104</v>
      </c>
      <c r="C280" t="s">
        <v>1845</v>
      </c>
      <c r="D280" t="s">
        <v>2104</v>
      </c>
      <c r="E280" t="s">
        <v>2105</v>
      </c>
      <c r="F280" t="s">
        <v>108</v>
      </c>
      <c r="H280" t="s">
        <v>2106</v>
      </c>
      <c r="I280" t="s">
        <v>203</v>
      </c>
      <c r="J280" t="s">
        <v>111</v>
      </c>
      <c r="K280" t="str">
        <f>"85298"</f>
        <v>85298</v>
      </c>
      <c r="L280" t="s">
        <v>284</v>
      </c>
      <c r="M280" t="s">
        <v>2106</v>
      </c>
      <c r="N280" t="s">
        <v>203</v>
      </c>
      <c r="O280" t="s">
        <v>111</v>
      </c>
      <c r="P280" t="str">
        <f>"85298"</f>
        <v>85298</v>
      </c>
      <c r="Q280" t="s">
        <v>113</v>
      </c>
      <c r="R280" t="str">
        <f>"304-75-878"</f>
        <v>304-75-878</v>
      </c>
      <c r="S280" t="s">
        <v>1086</v>
      </c>
      <c r="T280" t="s">
        <v>287</v>
      </c>
      <c r="U280">
        <v>2941</v>
      </c>
      <c r="W280">
        <v>4</v>
      </c>
      <c r="X280">
        <v>2016</v>
      </c>
      <c r="Z280">
        <v>1</v>
      </c>
      <c r="AA280" t="s">
        <v>26</v>
      </c>
      <c r="AC280" t="s">
        <v>115</v>
      </c>
      <c r="AD280">
        <v>3</v>
      </c>
      <c r="AE280" t="s">
        <v>115</v>
      </c>
      <c r="AH280" t="s">
        <v>116</v>
      </c>
      <c r="AI280" s="1">
        <v>120530</v>
      </c>
      <c r="AJ280" s="2">
        <v>0.25</v>
      </c>
      <c r="AK280" s="1">
        <v>486336</v>
      </c>
      <c r="AL280" t="s">
        <v>117</v>
      </c>
      <c r="AM280" t="s">
        <v>1315</v>
      </c>
      <c r="AN280">
        <v>7878</v>
      </c>
      <c r="AO280">
        <v>0.18</v>
      </c>
      <c r="AR280">
        <v>1</v>
      </c>
      <c r="AS280" s="1">
        <v>34880</v>
      </c>
      <c r="AT280" s="1">
        <v>6970</v>
      </c>
      <c r="AU280" s="1">
        <v>27910</v>
      </c>
      <c r="AV280">
        <v>80.02</v>
      </c>
      <c r="AX280" s="1">
        <v>2935.44</v>
      </c>
      <c r="AY280" t="s">
        <v>289</v>
      </c>
      <c r="AZ280" t="s">
        <v>289</v>
      </c>
      <c r="BA280" t="s">
        <v>290</v>
      </c>
      <c r="BE280" s="3">
        <v>42509</v>
      </c>
      <c r="BF280" s="1">
        <v>346402</v>
      </c>
      <c r="BG280" t="s">
        <v>645</v>
      </c>
      <c r="BH280" s="1">
        <v>117.78</v>
      </c>
      <c r="BI280" s="1">
        <v>365806</v>
      </c>
      <c r="BJ280" s="3">
        <v>42509</v>
      </c>
      <c r="BK280" t="s">
        <v>123</v>
      </c>
      <c r="BL280" t="str">
        <f>"2016.345279"</f>
        <v>2016.345279</v>
      </c>
      <c r="BM280" t="s">
        <v>2107</v>
      </c>
      <c r="BO280" t="s">
        <v>2108</v>
      </c>
      <c r="BS280">
        <v>30</v>
      </c>
      <c r="BW280" t="str">
        <f>""</f>
        <v/>
      </c>
      <c r="CH280" t="str">
        <f>""</f>
        <v/>
      </c>
      <c r="CS280" t="str">
        <f>""</f>
        <v/>
      </c>
    </row>
    <row r="281" spans="1:97" x14ac:dyDescent="0.25">
      <c r="B281" t="s">
        <v>2109</v>
      </c>
      <c r="E281" t="s">
        <v>2109</v>
      </c>
      <c r="F281" t="s">
        <v>108</v>
      </c>
      <c r="H281" t="s">
        <v>2110</v>
      </c>
      <c r="I281" t="s">
        <v>188</v>
      </c>
      <c r="J281" t="s">
        <v>111</v>
      </c>
      <c r="K281" t="str">
        <f>"85142"</f>
        <v>85142</v>
      </c>
      <c r="L281" t="s">
        <v>688</v>
      </c>
      <c r="M281" t="s">
        <v>2110</v>
      </c>
      <c r="N281" t="s">
        <v>188</v>
      </c>
      <c r="O281" t="s">
        <v>111</v>
      </c>
      <c r="P281" t="str">
        <f>"85142-9840"</f>
        <v>85142-9840</v>
      </c>
      <c r="Q281" t="s">
        <v>113</v>
      </c>
      <c r="R281" t="str">
        <f>"304-89-689"</f>
        <v>304-89-689</v>
      </c>
      <c r="S281" t="s">
        <v>690</v>
      </c>
      <c r="T281" t="s">
        <v>691</v>
      </c>
      <c r="U281">
        <v>3273</v>
      </c>
      <c r="W281">
        <v>4</v>
      </c>
      <c r="X281">
        <v>2015</v>
      </c>
      <c r="Z281">
        <v>1</v>
      </c>
      <c r="AC281" t="s">
        <v>115</v>
      </c>
      <c r="AD281">
        <v>3</v>
      </c>
      <c r="AE281" t="s">
        <v>115</v>
      </c>
      <c r="AH281" t="s">
        <v>116</v>
      </c>
      <c r="AI281" s="1">
        <v>63160</v>
      </c>
      <c r="AJ281" s="2">
        <v>0.13</v>
      </c>
      <c r="AK281" s="1">
        <v>477809</v>
      </c>
      <c r="AL281" t="s">
        <v>117</v>
      </c>
      <c r="AM281" t="s">
        <v>917</v>
      </c>
      <c r="AN281">
        <v>9889</v>
      </c>
      <c r="AO281">
        <v>0.23</v>
      </c>
      <c r="AR281">
        <v>1</v>
      </c>
      <c r="AS281" s="1">
        <v>32370</v>
      </c>
      <c r="AT281" s="1">
        <v>6470</v>
      </c>
      <c r="AU281" s="1">
        <v>25900</v>
      </c>
      <c r="AV281">
        <v>80.010000000000005</v>
      </c>
      <c r="AX281" s="1">
        <v>3178.76</v>
      </c>
      <c r="AY281" t="s">
        <v>192</v>
      </c>
      <c r="AZ281" t="s">
        <v>193</v>
      </c>
      <c r="BA281" t="s">
        <v>194</v>
      </c>
      <c r="BE281" s="3">
        <v>42468</v>
      </c>
      <c r="BF281" s="1">
        <v>405922</v>
      </c>
      <c r="BG281" t="s">
        <v>209</v>
      </c>
      <c r="BH281" s="1">
        <v>124.02</v>
      </c>
      <c r="BI281" s="1">
        <v>414649</v>
      </c>
      <c r="BJ281" s="3">
        <v>42468</v>
      </c>
      <c r="BK281" t="s">
        <v>123</v>
      </c>
      <c r="BL281" t="str">
        <f>"2016.234541"</f>
        <v>2016.234541</v>
      </c>
      <c r="BM281" t="s">
        <v>175</v>
      </c>
      <c r="BO281" t="s">
        <v>2111</v>
      </c>
      <c r="BS281">
        <v>30</v>
      </c>
      <c r="BW281" t="str">
        <f>""</f>
        <v/>
      </c>
      <c r="CH281" t="str">
        <f>""</f>
        <v/>
      </c>
      <c r="CS281" t="str">
        <f>""</f>
        <v/>
      </c>
    </row>
    <row r="282" spans="1:97" x14ac:dyDescent="0.25">
      <c r="A282" t="s">
        <v>183</v>
      </c>
      <c r="B282" t="s">
        <v>2112</v>
      </c>
      <c r="C282" t="s">
        <v>2113</v>
      </c>
      <c r="D282" t="s">
        <v>2114</v>
      </c>
      <c r="E282" t="s">
        <v>2115</v>
      </c>
      <c r="F282" t="s">
        <v>108</v>
      </c>
      <c r="H282" t="s">
        <v>2116</v>
      </c>
      <c r="I282" t="s">
        <v>225</v>
      </c>
      <c r="J282" t="s">
        <v>111</v>
      </c>
      <c r="K282" t="str">
        <f>"85212"</f>
        <v>85212</v>
      </c>
      <c r="L282" t="s">
        <v>558</v>
      </c>
      <c r="M282" t="s">
        <v>2116</v>
      </c>
      <c r="N282" t="s">
        <v>225</v>
      </c>
      <c r="O282" t="s">
        <v>111</v>
      </c>
      <c r="P282" t="str">
        <f>"85212-8155"</f>
        <v>85212-8155</v>
      </c>
      <c r="R282" t="str">
        <f>"304-50-654"</f>
        <v>304-50-654</v>
      </c>
      <c r="S282" t="s">
        <v>1184</v>
      </c>
      <c r="U282">
        <v>1672</v>
      </c>
      <c r="W282">
        <v>4</v>
      </c>
      <c r="X282">
        <v>2015</v>
      </c>
      <c r="Z282">
        <v>1</v>
      </c>
      <c r="AC282" t="s">
        <v>115</v>
      </c>
      <c r="AD282">
        <v>2</v>
      </c>
      <c r="AE282" t="s">
        <v>115</v>
      </c>
      <c r="AH282" t="s">
        <v>116</v>
      </c>
      <c r="AI282" s="1">
        <v>22689</v>
      </c>
      <c r="AJ282" s="2">
        <v>7.0000000000000007E-2</v>
      </c>
      <c r="AK282" s="1">
        <v>328860</v>
      </c>
      <c r="AL282" t="s">
        <v>117</v>
      </c>
      <c r="AM282" t="s">
        <v>118</v>
      </c>
      <c r="AN282">
        <v>6240</v>
      </c>
      <c r="AO282">
        <v>0.14000000000000001</v>
      </c>
      <c r="AR282">
        <v>1</v>
      </c>
      <c r="AS282" s="1">
        <v>22530</v>
      </c>
      <c r="AT282" s="1">
        <v>4500</v>
      </c>
      <c r="AU282" s="1">
        <v>18030</v>
      </c>
      <c r="AV282">
        <v>80.03</v>
      </c>
      <c r="AX282" s="1">
        <v>2957.48</v>
      </c>
      <c r="AY282" t="s">
        <v>560</v>
      </c>
      <c r="AZ282" t="s">
        <v>561</v>
      </c>
      <c r="BA282" t="s">
        <v>194</v>
      </c>
      <c r="BE282" s="3">
        <v>42122</v>
      </c>
      <c r="BF282" s="1">
        <v>254020</v>
      </c>
      <c r="BG282" t="s">
        <v>636</v>
      </c>
      <c r="BH282" s="1">
        <v>151.93</v>
      </c>
      <c r="BI282" s="1">
        <v>272771</v>
      </c>
      <c r="BJ282" s="3">
        <v>42291</v>
      </c>
      <c r="BK282" t="s">
        <v>123</v>
      </c>
      <c r="BL282" t="str">
        <f>"2015.737333"</f>
        <v>2015.737333</v>
      </c>
      <c r="BM282" t="s">
        <v>2117</v>
      </c>
      <c r="BN282" t="s">
        <v>2118</v>
      </c>
      <c r="BO282" t="s">
        <v>2119</v>
      </c>
      <c r="BP282" t="s">
        <v>2120</v>
      </c>
      <c r="BQ282" t="str">
        <f>"1.7500%"</f>
        <v>1.7500%</v>
      </c>
      <c r="BR282" t="s">
        <v>1480</v>
      </c>
      <c r="BS282">
        <v>30</v>
      </c>
      <c r="BT282" s="1">
        <v>33400</v>
      </c>
      <c r="BU282" s="3">
        <v>43712</v>
      </c>
      <c r="BW282" t="str">
        <f>"2019.687929"</f>
        <v>2019.687929</v>
      </c>
      <c r="BX282" t="s">
        <v>383</v>
      </c>
      <c r="BY282" t="s">
        <v>384</v>
      </c>
      <c r="BZ282" t="s">
        <v>2121</v>
      </c>
      <c r="CA282" t="s">
        <v>2122</v>
      </c>
      <c r="CC282" t="s">
        <v>346</v>
      </c>
      <c r="CH282" t="str">
        <f>""</f>
        <v/>
      </c>
      <c r="CS282" t="str">
        <f>""</f>
        <v/>
      </c>
    </row>
    <row r="283" spans="1:97" x14ac:dyDescent="0.25">
      <c r="A283" t="s">
        <v>2123</v>
      </c>
      <c r="B283" t="s">
        <v>1768</v>
      </c>
      <c r="C283" t="s">
        <v>2124</v>
      </c>
      <c r="D283" t="s">
        <v>1768</v>
      </c>
      <c r="E283" t="s">
        <v>2125</v>
      </c>
      <c r="F283" t="s">
        <v>108</v>
      </c>
      <c r="H283" t="s">
        <v>2126</v>
      </c>
      <c r="I283" t="s">
        <v>203</v>
      </c>
      <c r="J283" t="s">
        <v>111</v>
      </c>
      <c r="K283" t="str">
        <f>"85298"</f>
        <v>85298</v>
      </c>
      <c r="L283" t="s">
        <v>284</v>
      </c>
      <c r="M283" t="s">
        <v>2126</v>
      </c>
      <c r="N283" t="s">
        <v>203</v>
      </c>
      <c r="O283" t="s">
        <v>111</v>
      </c>
      <c r="P283" t="str">
        <f>"85298"</f>
        <v>85298</v>
      </c>
      <c r="Q283" t="s">
        <v>113</v>
      </c>
      <c r="R283" t="str">
        <f>"304-75-870"</f>
        <v>304-75-870</v>
      </c>
      <c r="S283" t="s">
        <v>1086</v>
      </c>
      <c r="T283" t="s">
        <v>287</v>
      </c>
      <c r="U283">
        <v>2941</v>
      </c>
      <c r="W283">
        <v>4</v>
      </c>
      <c r="X283">
        <v>2014</v>
      </c>
      <c r="Z283">
        <v>1</v>
      </c>
      <c r="AA283" t="s">
        <v>26</v>
      </c>
      <c r="AC283" t="s">
        <v>115</v>
      </c>
      <c r="AD283">
        <v>3</v>
      </c>
      <c r="AE283" t="s">
        <v>115</v>
      </c>
      <c r="AH283" t="s">
        <v>116</v>
      </c>
      <c r="AI283" s="1">
        <v>132669</v>
      </c>
      <c r="AJ283" s="2">
        <v>0.27</v>
      </c>
      <c r="AK283" s="1">
        <v>483074</v>
      </c>
      <c r="AL283" t="s">
        <v>117</v>
      </c>
      <c r="AM283" t="s">
        <v>1315</v>
      </c>
      <c r="AN283">
        <v>9599</v>
      </c>
      <c r="AO283">
        <v>0.22</v>
      </c>
      <c r="AR283">
        <v>1</v>
      </c>
      <c r="AS283" s="1">
        <v>36060</v>
      </c>
      <c r="AT283" s="1">
        <v>7210</v>
      </c>
      <c r="AU283" s="1">
        <v>28850</v>
      </c>
      <c r="AV283">
        <v>80.010000000000005</v>
      </c>
      <c r="AX283" s="1">
        <v>3171.02</v>
      </c>
      <c r="AY283" t="s">
        <v>289</v>
      </c>
      <c r="AZ283" t="s">
        <v>289</v>
      </c>
      <c r="BA283" t="s">
        <v>290</v>
      </c>
      <c r="BE283" s="3">
        <v>42032</v>
      </c>
      <c r="BF283" s="1">
        <v>355806</v>
      </c>
      <c r="BG283" t="s">
        <v>645</v>
      </c>
      <c r="BH283" s="1">
        <v>120.98</v>
      </c>
      <c r="BI283" s="1">
        <v>350405</v>
      </c>
      <c r="BJ283" s="3">
        <v>42453</v>
      </c>
      <c r="BK283" t="s">
        <v>123</v>
      </c>
      <c r="BL283" t="str">
        <f>"2016.190399"</f>
        <v>2016.190399</v>
      </c>
      <c r="BM283" t="s">
        <v>2127</v>
      </c>
      <c r="BO283" t="s">
        <v>2128</v>
      </c>
      <c r="BS283">
        <v>30</v>
      </c>
      <c r="BW283" t="str">
        <f>""</f>
        <v/>
      </c>
      <c r="CH283" t="str">
        <f>""</f>
        <v/>
      </c>
      <c r="CS283" t="str">
        <f>""</f>
        <v/>
      </c>
    </row>
    <row r="284" spans="1:97" x14ac:dyDescent="0.25">
      <c r="B284" t="s">
        <v>2129</v>
      </c>
      <c r="E284" t="s">
        <v>2130</v>
      </c>
      <c r="F284" t="s">
        <v>108</v>
      </c>
      <c r="H284" t="s">
        <v>2131</v>
      </c>
      <c r="I284" t="s">
        <v>225</v>
      </c>
      <c r="J284" t="s">
        <v>111</v>
      </c>
      <c r="K284" t="str">
        <f>"85212"</f>
        <v>85212</v>
      </c>
      <c r="L284" t="s">
        <v>567</v>
      </c>
      <c r="M284" t="s">
        <v>2131</v>
      </c>
      <c r="N284" t="s">
        <v>225</v>
      </c>
      <c r="O284" t="s">
        <v>111</v>
      </c>
      <c r="P284" t="str">
        <f>"85212-9715"</f>
        <v>85212-9715</v>
      </c>
      <c r="Q284" t="s">
        <v>113</v>
      </c>
      <c r="R284" t="str">
        <f>"304-17-388"</f>
        <v>304-17-388</v>
      </c>
      <c r="S284" t="s">
        <v>568</v>
      </c>
      <c r="T284" t="s">
        <v>569</v>
      </c>
      <c r="U284">
        <v>3017</v>
      </c>
      <c r="W284">
        <v>5</v>
      </c>
      <c r="X284">
        <v>2015</v>
      </c>
      <c r="Z284">
        <v>1</v>
      </c>
      <c r="AC284" t="s">
        <v>115</v>
      </c>
      <c r="AD284">
        <v>3</v>
      </c>
      <c r="AE284" t="s">
        <v>115</v>
      </c>
      <c r="AH284" t="s">
        <v>116</v>
      </c>
      <c r="AI284" s="1">
        <v>86347</v>
      </c>
      <c r="AJ284" s="2">
        <v>0.19</v>
      </c>
      <c r="AK284" s="1">
        <v>461347</v>
      </c>
      <c r="AL284" t="s">
        <v>117</v>
      </c>
      <c r="AM284" t="s">
        <v>917</v>
      </c>
      <c r="AN284">
        <v>9100</v>
      </c>
      <c r="AO284">
        <v>0.21</v>
      </c>
      <c r="AR284">
        <v>1</v>
      </c>
      <c r="AS284" s="1">
        <v>35260</v>
      </c>
      <c r="AT284" s="1">
        <v>7050</v>
      </c>
      <c r="AU284" s="1">
        <v>28210</v>
      </c>
      <c r="AV284">
        <v>80.010000000000005</v>
      </c>
      <c r="AX284" s="1">
        <v>2423.58</v>
      </c>
      <c r="AY284" t="s">
        <v>570</v>
      </c>
      <c r="AZ284" t="s">
        <v>571</v>
      </c>
      <c r="BA284" t="s">
        <v>572</v>
      </c>
      <c r="BB284" s="3">
        <v>43237</v>
      </c>
      <c r="BC284" s="1">
        <v>0</v>
      </c>
      <c r="BD284" t="s">
        <v>247</v>
      </c>
      <c r="BE284" s="3">
        <v>42186</v>
      </c>
      <c r="BF284" s="1">
        <v>351786</v>
      </c>
      <c r="BG284" t="s">
        <v>420</v>
      </c>
      <c r="BH284" s="1">
        <v>116.6</v>
      </c>
      <c r="BI284" s="1">
        <v>375000</v>
      </c>
      <c r="BJ284" s="3">
        <v>42542</v>
      </c>
      <c r="BK284" t="s">
        <v>123</v>
      </c>
      <c r="BL284" t="str">
        <f>"2016.431949"</f>
        <v>2016.431949</v>
      </c>
      <c r="BM284" t="s">
        <v>361</v>
      </c>
      <c r="BN284" t="s">
        <v>884</v>
      </c>
      <c r="BO284" t="s">
        <v>2132</v>
      </c>
      <c r="BS284">
        <v>30</v>
      </c>
      <c r="BW284" t="str">
        <f>""</f>
        <v/>
      </c>
      <c r="CH284" t="str">
        <f>""</f>
        <v/>
      </c>
      <c r="CS284" t="str">
        <f>""</f>
        <v/>
      </c>
    </row>
    <row r="285" spans="1:97" x14ac:dyDescent="0.25">
      <c r="A285" t="s">
        <v>494</v>
      </c>
      <c r="B285" t="s">
        <v>2133</v>
      </c>
      <c r="C285" t="s">
        <v>179</v>
      </c>
      <c r="D285" t="s">
        <v>2133</v>
      </c>
      <c r="E285" t="s">
        <v>2134</v>
      </c>
      <c r="F285" t="s">
        <v>108</v>
      </c>
      <c r="H285" t="s">
        <v>2135</v>
      </c>
      <c r="I285" t="s">
        <v>225</v>
      </c>
      <c r="J285" t="s">
        <v>111</v>
      </c>
      <c r="K285" t="str">
        <f>"85212"</f>
        <v>85212</v>
      </c>
      <c r="L285" t="s">
        <v>567</v>
      </c>
      <c r="M285" t="s">
        <v>2135</v>
      </c>
      <c r="N285" t="s">
        <v>225</v>
      </c>
      <c r="O285" t="s">
        <v>111</v>
      </c>
      <c r="P285" t="str">
        <f>"85212-9748"</f>
        <v>85212-9748</v>
      </c>
      <c r="Q285" t="s">
        <v>113</v>
      </c>
      <c r="R285" t="str">
        <f>"304-17-521"</f>
        <v>304-17-521</v>
      </c>
      <c r="S285" t="s">
        <v>568</v>
      </c>
      <c r="T285" t="s">
        <v>569</v>
      </c>
      <c r="U285">
        <v>2572</v>
      </c>
      <c r="W285">
        <v>4</v>
      </c>
      <c r="X285">
        <v>2014</v>
      </c>
      <c r="Z285">
        <v>2</v>
      </c>
      <c r="AC285" t="s">
        <v>115</v>
      </c>
      <c r="AD285">
        <v>2</v>
      </c>
      <c r="AE285" t="s">
        <v>115</v>
      </c>
      <c r="AH285" t="s">
        <v>116</v>
      </c>
      <c r="AI285" s="1">
        <v>100315</v>
      </c>
      <c r="AJ285" s="2">
        <v>0.26</v>
      </c>
      <c r="AK285" s="1">
        <v>387995</v>
      </c>
      <c r="AL285" t="s">
        <v>117</v>
      </c>
      <c r="AM285" t="s">
        <v>191</v>
      </c>
      <c r="AN285">
        <v>5750</v>
      </c>
      <c r="AO285">
        <v>0.13</v>
      </c>
      <c r="AR285">
        <v>1</v>
      </c>
      <c r="AS285" s="1">
        <v>27430</v>
      </c>
      <c r="AT285" s="1">
        <v>5480</v>
      </c>
      <c r="AU285" s="1">
        <v>21950</v>
      </c>
      <c r="AV285">
        <v>80.02</v>
      </c>
      <c r="AX285" s="1">
        <v>1965.6</v>
      </c>
      <c r="AY285" t="s">
        <v>570</v>
      </c>
      <c r="AZ285" t="s">
        <v>571</v>
      </c>
      <c r="BA285" t="s">
        <v>572</v>
      </c>
      <c r="BE285" s="3">
        <v>41739</v>
      </c>
      <c r="BF285" s="1">
        <v>278490</v>
      </c>
      <c r="BG285" t="s">
        <v>195</v>
      </c>
      <c r="BH285" s="1">
        <v>108.28</v>
      </c>
      <c r="BI285" s="1">
        <v>287680</v>
      </c>
      <c r="BJ285" s="3">
        <v>41739</v>
      </c>
      <c r="BK285" t="s">
        <v>123</v>
      </c>
      <c r="BL285" t="str">
        <f>"2014.232232"</f>
        <v>2014.232232</v>
      </c>
      <c r="BM285" t="s">
        <v>196</v>
      </c>
      <c r="BO285" t="s">
        <v>2136</v>
      </c>
      <c r="BS285">
        <v>30</v>
      </c>
      <c r="BW285" t="str">
        <f>""</f>
        <v/>
      </c>
      <c r="CH285" t="str">
        <f>""</f>
        <v/>
      </c>
      <c r="CS285" t="str">
        <f>""</f>
        <v/>
      </c>
    </row>
    <row r="286" spans="1:97" x14ac:dyDescent="0.25">
      <c r="A286" t="s">
        <v>2137</v>
      </c>
      <c r="B286" t="s">
        <v>2138</v>
      </c>
      <c r="C286" t="s">
        <v>2139</v>
      </c>
      <c r="D286" t="s">
        <v>2140</v>
      </c>
      <c r="E286" t="s">
        <v>2141</v>
      </c>
      <c r="F286" t="s">
        <v>108</v>
      </c>
      <c r="H286" t="s">
        <v>2142</v>
      </c>
      <c r="I286" t="s">
        <v>632</v>
      </c>
      <c r="J286" t="s">
        <v>111</v>
      </c>
      <c r="K286" t="str">
        <f>"85379"</f>
        <v>85379</v>
      </c>
      <c r="L286" t="s">
        <v>375</v>
      </c>
      <c r="M286" t="s">
        <v>2142</v>
      </c>
      <c r="N286" t="s">
        <v>632</v>
      </c>
      <c r="O286" t="s">
        <v>111</v>
      </c>
      <c r="P286" t="str">
        <f>"85379-4279"</f>
        <v>85379-4279</v>
      </c>
      <c r="Q286" t="s">
        <v>113</v>
      </c>
      <c r="R286" t="str">
        <f>"509-11-714"</f>
        <v>509-11-714</v>
      </c>
      <c r="S286" t="s">
        <v>633</v>
      </c>
      <c r="U286">
        <v>1907</v>
      </c>
      <c r="W286">
        <v>3</v>
      </c>
      <c r="X286">
        <v>2015</v>
      </c>
      <c r="Z286">
        <v>1</v>
      </c>
      <c r="AA286" t="s">
        <v>26</v>
      </c>
      <c r="AC286" t="s">
        <v>115</v>
      </c>
      <c r="AD286">
        <v>2</v>
      </c>
      <c r="AE286" t="s">
        <v>115</v>
      </c>
      <c r="AH286" t="s">
        <v>116</v>
      </c>
      <c r="AI286" s="1">
        <v>21699</v>
      </c>
      <c r="AJ286" s="2">
        <v>7.0000000000000007E-2</v>
      </c>
      <c r="AK286" s="1">
        <v>321269</v>
      </c>
      <c r="AL286" t="s">
        <v>117</v>
      </c>
      <c r="AM286" t="s">
        <v>118</v>
      </c>
      <c r="AN286">
        <v>6969</v>
      </c>
      <c r="AO286">
        <v>0.16</v>
      </c>
      <c r="AR286">
        <v>1</v>
      </c>
      <c r="AS286" s="1">
        <v>24330</v>
      </c>
      <c r="AT286" s="1">
        <v>4860</v>
      </c>
      <c r="AU286" s="1">
        <v>19470</v>
      </c>
      <c r="AV286">
        <v>80.02</v>
      </c>
      <c r="AX286" s="1">
        <v>3100.18</v>
      </c>
      <c r="AY286" t="s">
        <v>634</v>
      </c>
      <c r="AZ286" t="s">
        <v>634</v>
      </c>
      <c r="BA286" t="s">
        <v>635</v>
      </c>
      <c r="BE286" s="3">
        <v>42150</v>
      </c>
      <c r="BF286" s="1">
        <v>244824</v>
      </c>
      <c r="BG286" t="s">
        <v>636</v>
      </c>
      <c r="BH286" s="1">
        <v>128.38</v>
      </c>
      <c r="BI286" s="1">
        <v>299570</v>
      </c>
      <c r="BJ286" s="3">
        <v>42962</v>
      </c>
      <c r="BK286" t="s">
        <v>123</v>
      </c>
      <c r="BL286" t="str">
        <f>"2017.599840"</f>
        <v>2017.599840</v>
      </c>
      <c r="BM286" t="s">
        <v>2143</v>
      </c>
      <c r="BO286" t="s">
        <v>2144</v>
      </c>
      <c r="BP286" t="s">
        <v>2145</v>
      </c>
      <c r="BS286">
        <v>30</v>
      </c>
      <c r="BW286" t="str">
        <f>""</f>
        <v/>
      </c>
      <c r="CH286" t="str">
        <f>""</f>
        <v/>
      </c>
      <c r="CS286" t="str">
        <f>""</f>
        <v/>
      </c>
    </row>
    <row r="287" spans="1:97" x14ac:dyDescent="0.25">
      <c r="B287" t="s">
        <v>2146</v>
      </c>
      <c r="E287" t="s">
        <v>1388</v>
      </c>
      <c r="F287" t="s">
        <v>108</v>
      </c>
      <c r="H287" t="s">
        <v>2147</v>
      </c>
      <c r="I287" t="s">
        <v>225</v>
      </c>
      <c r="J287" t="s">
        <v>111</v>
      </c>
      <c r="K287" t="str">
        <f>"85212"</f>
        <v>85212</v>
      </c>
      <c r="L287" t="s">
        <v>567</v>
      </c>
      <c r="M287" t="s">
        <v>2147</v>
      </c>
      <c r="N287" t="s">
        <v>225</v>
      </c>
      <c r="O287" t="s">
        <v>111</v>
      </c>
      <c r="P287" t="str">
        <f>"85212-9731"</f>
        <v>85212-9731</v>
      </c>
      <c r="Q287" t="s">
        <v>113</v>
      </c>
      <c r="R287" t="str">
        <f>"304-17-337"</f>
        <v>304-17-337</v>
      </c>
      <c r="S287" t="s">
        <v>568</v>
      </c>
      <c r="T287" t="s">
        <v>569</v>
      </c>
      <c r="U287">
        <v>2886</v>
      </c>
      <c r="W287">
        <v>4</v>
      </c>
      <c r="X287">
        <v>2015</v>
      </c>
      <c r="Z287">
        <v>2</v>
      </c>
      <c r="AA287" t="s">
        <v>26</v>
      </c>
      <c r="AC287" t="s">
        <v>115</v>
      </c>
      <c r="AD287">
        <v>3</v>
      </c>
      <c r="AE287" t="s">
        <v>115</v>
      </c>
      <c r="AH287" t="s">
        <v>116</v>
      </c>
      <c r="AI287" s="1">
        <v>46332</v>
      </c>
      <c r="AJ287" s="2">
        <v>0.11</v>
      </c>
      <c r="AK287" s="1">
        <v>432556</v>
      </c>
      <c r="AL287" t="s">
        <v>117</v>
      </c>
      <c r="AM287" t="s">
        <v>393</v>
      </c>
      <c r="AN287">
        <v>7200</v>
      </c>
      <c r="AO287">
        <v>0.16</v>
      </c>
      <c r="AR287">
        <v>1</v>
      </c>
      <c r="AS287" s="1">
        <v>32220</v>
      </c>
      <c r="AT287" s="1">
        <v>6440</v>
      </c>
      <c r="AU287" s="1">
        <v>25780</v>
      </c>
      <c r="AV287">
        <v>80.010000000000005</v>
      </c>
      <c r="AX287" s="1">
        <v>2109.8200000000002</v>
      </c>
      <c r="AY287" t="s">
        <v>570</v>
      </c>
      <c r="AZ287" t="s">
        <v>571</v>
      </c>
      <c r="BA287" t="s">
        <v>572</v>
      </c>
      <c r="BE287" s="3">
        <v>42179</v>
      </c>
      <c r="BF287" s="1">
        <v>378095</v>
      </c>
      <c r="BG287" t="s">
        <v>446</v>
      </c>
      <c r="BH287" s="1">
        <v>131.01</v>
      </c>
      <c r="BI287" s="1">
        <v>386224</v>
      </c>
      <c r="BJ287" s="3">
        <v>42179</v>
      </c>
      <c r="BK287" t="s">
        <v>123</v>
      </c>
      <c r="BL287" t="str">
        <f>"2015.449542"</f>
        <v>2015.449542</v>
      </c>
      <c r="BM287" t="s">
        <v>573</v>
      </c>
      <c r="BO287" t="s">
        <v>2146</v>
      </c>
      <c r="BS287">
        <v>30</v>
      </c>
      <c r="BW287" t="str">
        <f>""</f>
        <v/>
      </c>
      <c r="CH287" t="str">
        <f>""</f>
        <v/>
      </c>
      <c r="CS287" t="str">
        <f>""</f>
        <v/>
      </c>
    </row>
    <row r="288" spans="1:97" x14ac:dyDescent="0.25">
      <c r="A288" t="s">
        <v>1444</v>
      </c>
      <c r="B288" t="s">
        <v>2148</v>
      </c>
      <c r="C288" t="s">
        <v>489</v>
      </c>
      <c r="D288" t="s">
        <v>2148</v>
      </c>
      <c r="E288" t="s">
        <v>2149</v>
      </c>
      <c r="F288" t="s">
        <v>108</v>
      </c>
      <c r="H288" t="s">
        <v>2150</v>
      </c>
      <c r="I288" t="s">
        <v>390</v>
      </c>
      <c r="J288" t="s">
        <v>111</v>
      </c>
      <c r="K288" t="str">
        <f>"85085"</f>
        <v>85085</v>
      </c>
      <c r="L288" t="s">
        <v>1398</v>
      </c>
      <c r="M288" t="s">
        <v>2150</v>
      </c>
      <c r="N288" t="s">
        <v>390</v>
      </c>
      <c r="O288" t="s">
        <v>111</v>
      </c>
      <c r="P288" t="str">
        <f>"85085-5436"</f>
        <v>85085-5436</v>
      </c>
      <c r="Q288" t="s">
        <v>113</v>
      </c>
      <c r="R288" t="str">
        <f>"210-20-619"</f>
        <v>210-20-619</v>
      </c>
      <c r="S288" t="s">
        <v>2151</v>
      </c>
      <c r="U288">
        <v>2914</v>
      </c>
      <c r="W288">
        <v>5</v>
      </c>
      <c r="X288">
        <v>2014</v>
      </c>
      <c r="Z288">
        <v>1</v>
      </c>
      <c r="AC288" t="s">
        <v>115</v>
      </c>
      <c r="AD288">
        <v>2</v>
      </c>
      <c r="AE288" t="s">
        <v>115</v>
      </c>
      <c r="AH288" t="s">
        <v>116</v>
      </c>
      <c r="AI288" s="1">
        <v>54923</v>
      </c>
      <c r="AJ288" s="2">
        <v>0.11</v>
      </c>
      <c r="AK288" s="1">
        <v>511352</v>
      </c>
      <c r="AL288" t="s">
        <v>117</v>
      </c>
      <c r="AM288" t="s">
        <v>1302</v>
      </c>
      <c r="AN288">
        <v>9595</v>
      </c>
      <c r="AO288">
        <v>0.22</v>
      </c>
      <c r="AR288">
        <v>1</v>
      </c>
      <c r="AS288" s="1">
        <v>41420</v>
      </c>
      <c r="AT288" s="1">
        <v>8280</v>
      </c>
      <c r="AU288" s="1">
        <v>33140</v>
      </c>
      <c r="AV288">
        <v>80.010000000000005</v>
      </c>
      <c r="AX288" s="1">
        <v>3967.14</v>
      </c>
      <c r="AY288" t="s">
        <v>1461</v>
      </c>
      <c r="AZ288" t="s">
        <v>1461</v>
      </c>
      <c r="BA288" t="s">
        <v>1462</v>
      </c>
      <c r="BE288" s="3">
        <v>41911</v>
      </c>
      <c r="BF288" s="1">
        <v>488341</v>
      </c>
      <c r="BG288" t="s">
        <v>446</v>
      </c>
      <c r="BH288" s="1">
        <v>167.58</v>
      </c>
      <c r="BI288" s="1">
        <v>456429</v>
      </c>
      <c r="BJ288" s="3">
        <v>42697</v>
      </c>
      <c r="BK288" t="s">
        <v>123</v>
      </c>
      <c r="BL288" t="str">
        <f>"2016.867170"</f>
        <v>2016.867170</v>
      </c>
      <c r="BM288" t="s">
        <v>709</v>
      </c>
      <c r="BO288" t="s">
        <v>2152</v>
      </c>
      <c r="BS288">
        <v>30</v>
      </c>
      <c r="BW288" t="str">
        <f>""</f>
        <v/>
      </c>
      <c r="CH288" t="str">
        <f>""</f>
        <v/>
      </c>
      <c r="CS288" t="str">
        <f>""</f>
        <v/>
      </c>
    </row>
    <row r="289" spans="1:97" x14ac:dyDescent="0.25">
      <c r="A289" t="s">
        <v>222</v>
      </c>
      <c r="B289" t="s">
        <v>2153</v>
      </c>
      <c r="E289" t="s">
        <v>2154</v>
      </c>
      <c r="F289" t="s">
        <v>108</v>
      </c>
      <c r="H289" t="s">
        <v>2155</v>
      </c>
      <c r="I289" t="s">
        <v>203</v>
      </c>
      <c r="J289" t="s">
        <v>111</v>
      </c>
      <c r="K289" t="str">
        <f>"85298"</f>
        <v>85298</v>
      </c>
      <c r="L289" t="s">
        <v>734</v>
      </c>
      <c r="M289" t="s">
        <v>2155</v>
      </c>
      <c r="N289" t="s">
        <v>203</v>
      </c>
      <c r="O289" t="s">
        <v>111</v>
      </c>
      <c r="P289" t="str">
        <f>"85298"</f>
        <v>85298</v>
      </c>
      <c r="Q289" t="s">
        <v>113</v>
      </c>
      <c r="R289" t="str">
        <f>"313-18-284"</f>
        <v>313-18-284</v>
      </c>
      <c r="S289" t="s">
        <v>1983</v>
      </c>
      <c r="U289">
        <v>2948</v>
      </c>
      <c r="W289">
        <v>4</v>
      </c>
      <c r="X289">
        <v>2014</v>
      </c>
      <c r="Z289">
        <v>1</v>
      </c>
      <c r="AC289" t="s">
        <v>115</v>
      </c>
      <c r="AD289">
        <v>3</v>
      </c>
      <c r="AE289" t="s">
        <v>115</v>
      </c>
      <c r="AH289" t="s">
        <v>116</v>
      </c>
      <c r="AI289" s="1">
        <v>133759</v>
      </c>
      <c r="AJ289" s="2">
        <v>0.26</v>
      </c>
      <c r="AK289" s="1">
        <v>523859</v>
      </c>
      <c r="AL289" t="s">
        <v>117</v>
      </c>
      <c r="AM289" t="s">
        <v>171</v>
      </c>
      <c r="AN289">
        <v>9000</v>
      </c>
      <c r="AO289">
        <v>0.21</v>
      </c>
      <c r="AR289">
        <v>1</v>
      </c>
      <c r="AS289" s="1">
        <v>38200</v>
      </c>
      <c r="AT289" s="1">
        <v>7640</v>
      </c>
      <c r="AU289" s="1">
        <v>30560</v>
      </c>
      <c r="AV289">
        <v>80</v>
      </c>
      <c r="AX289" s="1">
        <v>2872.86</v>
      </c>
      <c r="AY289" t="s">
        <v>737</v>
      </c>
      <c r="AZ289" t="s">
        <v>273</v>
      </c>
      <c r="BA289" t="s">
        <v>303</v>
      </c>
      <c r="BE289" s="3">
        <v>41880</v>
      </c>
      <c r="BF289" s="1">
        <v>405065</v>
      </c>
      <c r="BG289" t="s">
        <v>195</v>
      </c>
      <c r="BH289" s="1">
        <v>137.4</v>
      </c>
      <c r="BI289" s="1">
        <v>390100</v>
      </c>
      <c r="BJ289" s="3">
        <v>42697</v>
      </c>
      <c r="BK289" t="s">
        <v>123</v>
      </c>
      <c r="BL289" t="str">
        <f>"2016.866111"</f>
        <v>2016.866111</v>
      </c>
      <c r="BM289" t="s">
        <v>1122</v>
      </c>
      <c r="BO289" t="s">
        <v>2156</v>
      </c>
      <c r="BS289">
        <v>30</v>
      </c>
      <c r="BW289" t="str">
        <f>""</f>
        <v/>
      </c>
      <c r="CH289" t="str">
        <f>""</f>
        <v/>
      </c>
      <c r="CS289" t="str">
        <f>""</f>
        <v/>
      </c>
    </row>
    <row r="290" spans="1:97" x14ac:dyDescent="0.25">
      <c r="A290" t="s">
        <v>2157</v>
      </c>
      <c r="B290" t="s">
        <v>2158</v>
      </c>
      <c r="C290" t="s">
        <v>489</v>
      </c>
      <c r="D290" t="s">
        <v>2158</v>
      </c>
      <c r="E290" t="s">
        <v>2159</v>
      </c>
      <c r="F290" t="s">
        <v>108</v>
      </c>
      <c r="H290" t="s">
        <v>2160</v>
      </c>
      <c r="I290" t="s">
        <v>203</v>
      </c>
      <c r="J290" t="s">
        <v>111</v>
      </c>
      <c r="K290" t="str">
        <f>"85298"</f>
        <v>85298</v>
      </c>
      <c r="L290" t="s">
        <v>734</v>
      </c>
      <c r="M290" t="s">
        <v>2160</v>
      </c>
      <c r="N290" t="s">
        <v>203</v>
      </c>
      <c r="O290" t="s">
        <v>111</v>
      </c>
      <c r="P290" t="str">
        <f>"85298"</f>
        <v>85298</v>
      </c>
      <c r="Q290" t="s">
        <v>113</v>
      </c>
      <c r="R290" t="str">
        <f>"313-18-274"</f>
        <v>313-18-274</v>
      </c>
      <c r="S290" t="s">
        <v>1983</v>
      </c>
      <c r="U290">
        <v>2948</v>
      </c>
      <c r="W290">
        <v>4</v>
      </c>
      <c r="X290">
        <v>2014</v>
      </c>
      <c r="Z290">
        <v>1</v>
      </c>
      <c r="AC290" t="s">
        <v>115</v>
      </c>
      <c r="AD290">
        <v>3</v>
      </c>
      <c r="AE290" t="s">
        <v>115</v>
      </c>
      <c r="AH290" t="s">
        <v>116</v>
      </c>
      <c r="AI290" s="1">
        <v>127557</v>
      </c>
      <c r="AJ290" s="2">
        <v>0.24</v>
      </c>
      <c r="AK290" s="1">
        <v>523873</v>
      </c>
      <c r="AL290" t="s">
        <v>117</v>
      </c>
      <c r="AM290" t="s">
        <v>171</v>
      </c>
      <c r="AN290">
        <v>9000</v>
      </c>
      <c r="AO290">
        <v>0.21</v>
      </c>
      <c r="AR290">
        <v>1</v>
      </c>
      <c r="AS290" s="1">
        <v>38200</v>
      </c>
      <c r="AT290" s="1">
        <v>7640</v>
      </c>
      <c r="AU290" s="1">
        <v>30560</v>
      </c>
      <c r="AV290">
        <v>80</v>
      </c>
      <c r="AX290" s="1">
        <v>2872.86</v>
      </c>
      <c r="AY290" t="s">
        <v>737</v>
      </c>
      <c r="AZ290" t="s">
        <v>273</v>
      </c>
      <c r="BA290" t="s">
        <v>303</v>
      </c>
      <c r="BE290" s="3">
        <v>41939</v>
      </c>
      <c r="BF290" s="1">
        <v>410000</v>
      </c>
      <c r="BG290" t="s">
        <v>195</v>
      </c>
      <c r="BH290" s="1">
        <v>139.08000000000001</v>
      </c>
      <c r="BI290" s="1">
        <v>396316</v>
      </c>
      <c r="BJ290" s="3">
        <v>41939</v>
      </c>
      <c r="BK290" t="s">
        <v>123</v>
      </c>
      <c r="BL290" t="str">
        <f>"2014.709671"</f>
        <v>2014.709671</v>
      </c>
      <c r="BM290" t="s">
        <v>196</v>
      </c>
      <c r="BO290" t="s">
        <v>2161</v>
      </c>
      <c r="BS290">
        <v>30</v>
      </c>
      <c r="BW290" t="str">
        <f>""</f>
        <v/>
      </c>
      <c r="CH290" t="str">
        <f>""</f>
        <v/>
      </c>
      <c r="CS290" t="str">
        <f>""</f>
        <v/>
      </c>
    </row>
    <row r="291" spans="1:97" x14ac:dyDescent="0.25">
      <c r="B291" t="s">
        <v>2162</v>
      </c>
      <c r="E291" t="s">
        <v>2163</v>
      </c>
      <c r="F291" t="s">
        <v>108</v>
      </c>
      <c r="H291" t="s">
        <v>2164</v>
      </c>
      <c r="I291" t="s">
        <v>203</v>
      </c>
      <c r="J291" t="s">
        <v>111</v>
      </c>
      <c r="K291" t="str">
        <f>"85298"</f>
        <v>85298</v>
      </c>
      <c r="L291" t="s">
        <v>734</v>
      </c>
      <c r="M291" t="s">
        <v>2164</v>
      </c>
      <c r="N291" t="s">
        <v>203</v>
      </c>
      <c r="O291" t="s">
        <v>111</v>
      </c>
      <c r="P291" t="str">
        <f>"85298"</f>
        <v>85298</v>
      </c>
      <c r="Q291" t="s">
        <v>113</v>
      </c>
      <c r="R291" t="str">
        <f>"313-18-209"</f>
        <v>313-18-209</v>
      </c>
      <c r="S291" t="s">
        <v>2165</v>
      </c>
      <c r="U291">
        <v>2301</v>
      </c>
      <c r="W291">
        <v>4</v>
      </c>
      <c r="X291">
        <v>2014</v>
      </c>
      <c r="Z291">
        <v>1</v>
      </c>
      <c r="AC291" t="s">
        <v>115</v>
      </c>
      <c r="AD291">
        <v>2</v>
      </c>
      <c r="AE291" t="s">
        <v>115</v>
      </c>
      <c r="AH291" t="s">
        <v>116</v>
      </c>
      <c r="AI291" s="1">
        <v>147526</v>
      </c>
      <c r="AJ291" s="2">
        <v>0.35</v>
      </c>
      <c r="AK291" s="1">
        <v>425401</v>
      </c>
      <c r="AL291" t="s">
        <v>117</v>
      </c>
      <c r="AM291" t="s">
        <v>393</v>
      </c>
      <c r="AN291">
        <v>8369</v>
      </c>
      <c r="AO291">
        <v>0.19</v>
      </c>
      <c r="AR291">
        <v>1</v>
      </c>
      <c r="AS291" s="1">
        <v>30950</v>
      </c>
      <c r="AT291" s="1">
        <v>6190</v>
      </c>
      <c r="AU291" s="1">
        <v>24760</v>
      </c>
      <c r="AV291">
        <v>80</v>
      </c>
      <c r="AX291" s="1">
        <v>2315.7199999999998</v>
      </c>
      <c r="AY291" t="s">
        <v>737</v>
      </c>
      <c r="AZ291" t="s">
        <v>273</v>
      </c>
      <c r="BA291" t="s">
        <v>303</v>
      </c>
      <c r="BB291" s="3">
        <v>43621</v>
      </c>
      <c r="BC291" s="1">
        <v>0</v>
      </c>
      <c r="BD291" t="s">
        <v>247</v>
      </c>
      <c r="BE291" s="3">
        <v>41964</v>
      </c>
      <c r="BF291" s="1">
        <v>315000</v>
      </c>
      <c r="BG291" t="s">
        <v>195</v>
      </c>
      <c r="BH291" s="1">
        <v>136.9</v>
      </c>
      <c r="BI291" s="1">
        <v>277875</v>
      </c>
      <c r="BJ291" s="3">
        <v>41964</v>
      </c>
      <c r="BK291" t="s">
        <v>123</v>
      </c>
      <c r="BL291" t="str">
        <f>"2014.771215"</f>
        <v>2014.771215</v>
      </c>
      <c r="BM291" t="s">
        <v>196</v>
      </c>
      <c r="BN291" t="s">
        <v>1442</v>
      </c>
      <c r="BO291" t="s">
        <v>2166</v>
      </c>
      <c r="BS291">
        <v>30</v>
      </c>
      <c r="BW291" t="str">
        <f>""</f>
        <v/>
      </c>
      <c r="CH291" t="str">
        <f>""</f>
        <v/>
      </c>
      <c r="CS291" t="str">
        <f>""</f>
        <v/>
      </c>
    </row>
    <row r="292" spans="1:97" x14ac:dyDescent="0.25">
      <c r="A292" t="s">
        <v>2167</v>
      </c>
      <c r="B292" t="s">
        <v>1144</v>
      </c>
      <c r="C292" t="s">
        <v>2168</v>
      </c>
      <c r="D292" t="s">
        <v>1144</v>
      </c>
      <c r="E292" t="s">
        <v>2169</v>
      </c>
      <c r="F292" t="s">
        <v>108</v>
      </c>
      <c r="H292" t="s">
        <v>2170</v>
      </c>
      <c r="I292" t="s">
        <v>499</v>
      </c>
      <c r="J292" t="s">
        <v>111</v>
      </c>
      <c r="K292" t="str">
        <f>"85338"</f>
        <v>85338</v>
      </c>
      <c r="L292" t="s">
        <v>1244</v>
      </c>
      <c r="M292" t="s">
        <v>2170</v>
      </c>
      <c r="N292" t="s">
        <v>499</v>
      </c>
      <c r="O292" t="s">
        <v>111</v>
      </c>
      <c r="P292" t="str">
        <f>"85338-7851"</f>
        <v>85338-7851</v>
      </c>
      <c r="Q292" t="s">
        <v>113</v>
      </c>
      <c r="R292" t="str">
        <f>"400-83-656"</f>
        <v>400-83-656</v>
      </c>
      <c r="S292" t="s">
        <v>1245</v>
      </c>
      <c r="U292">
        <v>3413</v>
      </c>
      <c r="W292">
        <v>5</v>
      </c>
      <c r="X292">
        <v>2014</v>
      </c>
      <c r="Z292">
        <v>2</v>
      </c>
      <c r="AA292" t="s">
        <v>26</v>
      </c>
      <c r="AC292" t="s">
        <v>115</v>
      </c>
      <c r="AD292">
        <v>3</v>
      </c>
      <c r="AE292" t="s">
        <v>115</v>
      </c>
      <c r="AH292" t="s">
        <v>116</v>
      </c>
      <c r="AI292" s="1">
        <v>85589</v>
      </c>
      <c r="AJ292" s="2">
        <v>0.16</v>
      </c>
      <c r="AK292" s="1">
        <v>524171</v>
      </c>
      <c r="AL292" t="s">
        <v>117</v>
      </c>
      <c r="AM292" t="s">
        <v>118</v>
      </c>
      <c r="AN292">
        <v>9439</v>
      </c>
      <c r="AO292">
        <v>0.22</v>
      </c>
      <c r="AR292">
        <v>1</v>
      </c>
      <c r="AS292" s="1">
        <v>39510</v>
      </c>
      <c r="AT292" s="1">
        <v>7900</v>
      </c>
      <c r="AU292" s="1">
        <v>31610</v>
      </c>
      <c r="AV292">
        <v>80.010000000000005</v>
      </c>
      <c r="AX292" s="1">
        <v>5085.08</v>
      </c>
      <c r="AY292" t="s">
        <v>1246</v>
      </c>
      <c r="AZ292" t="s">
        <v>1246</v>
      </c>
      <c r="BA292" t="s">
        <v>1247</v>
      </c>
      <c r="BE292" s="3">
        <v>42060</v>
      </c>
      <c r="BF292" s="1">
        <v>410550</v>
      </c>
      <c r="BG292" t="s">
        <v>1238</v>
      </c>
      <c r="BH292" s="1">
        <v>120.29</v>
      </c>
      <c r="BI292" s="1">
        <v>438582</v>
      </c>
      <c r="BJ292" s="3">
        <v>42738</v>
      </c>
      <c r="BK292" t="s">
        <v>123</v>
      </c>
      <c r="BL292" t="str">
        <f>"2017.2264"</f>
        <v>2017.2264</v>
      </c>
      <c r="BM292" t="s">
        <v>673</v>
      </c>
      <c r="BO292" t="s">
        <v>2171</v>
      </c>
      <c r="BS292">
        <v>30</v>
      </c>
      <c r="BW292" t="str">
        <f>""</f>
        <v/>
      </c>
      <c r="CH292" t="str">
        <f>""</f>
        <v/>
      </c>
      <c r="CS292" t="str">
        <f>""</f>
        <v/>
      </c>
    </row>
    <row r="293" spans="1:97" x14ac:dyDescent="0.25">
      <c r="A293" t="s">
        <v>305</v>
      </c>
      <c r="B293" t="s">
        <v>2172</v>
      </c>
      <c r="C293" t="s">
        <v>2173</v>
      </c>
      <c r="D293" t="s">
        <v>2172</v>
      </c>
      <c r="E293" t="s">
        <v>2174</v>
      </c>
      <c r="F293" t="s">
        <v>108</v>
      </c>
      <c r="H293" t="s">
        <v>2175</v>
      </c>
      <c r="I293" t="s">
        <v>225</v>
      </c>
      <c r="J293" t="s">
        <v>111</v>
      </c>
      <c r="K293" t="str">
        <f>"85212"</f>
        <v>85212</v>
      </c>
      <c r="L293" t="s">
        <v>558</v>
      </c>
      <c r="M293" t="s">
        <v>2175</v>
      </c>
      <c r="N293" t="s">
        <v>225</v>
      </c>
      <c r="O293" t="s">
        <v>111</v>
      </c>
      <c r="P293" t="str">
        <f>"85212-8105"</f>
        <v>85212-8105</v>
      </c>
      <c r="Q293" t="s">
        <v>113</v>
      </c>
      <c r="R293" t="str">
        <f>"304-50-707"</f>
        <v>304-50-707</v>
      </c>
      <c r="S293" t="s">
        <v>650</v>
      </c>
      <c r="U293">
        <v>1734</v>
      </c>
      <c r="W293">
        <v>3</v>
      </c>
      <c r="X293">
        <v>2015</v>
      </c>
      <c r="Z293">
        <v>1</v>
      </c>
      <c r="AC293" t="s">
        <v>115</v>
      </c>
      <c r="AD293">
        <v>2</v>
      </c>
      <c r="AE293" t="s">
        <v>115</v>
      </c>
      <c r="AH293" t="s">
        <v>116</v>
      </c>
      <c r="AI293" s="1">
        <v>53028</v>
      </c>
      <c r="AJ293" s="2">
        <v>0.16</v>
      </c>
      <c r="AK293" s="1">
        <v>330253</v>
      </c>
      <c r="AL293" t="s">
        <v>117</v>
      </c>
      <c r="AM293" t="s">
        <v>118</v>
      </c>
      <c r="AN293">
        <v>5971</v>
      </c>
      <c r="AO293">
        <v>0.14000000000000001</v>
      </c>
      <c r="AR293">
        <v>1</v>
      </c>
      <c r="AS293" s="1">
        <v>22510</v>
      </c>
      <c r="AT293" s="1">
        <v>4500</v>
      </c>
      <c r="AU293" s="1">
        <v>18010</v>
      </c>
      <c r="AV293">
        <v>80.010000000000005</v>
      </c>
      <c r="AX293" s="1">
        <v>3009.4</v>
      </c>
      <c r="AY293" t="s">
        <v>560</v>
      </c>
      <c r="AZ293" t="s">
        <v>561</v>
      </c>
      <c r="BA293" t="s">
        <v>194</v>
      </c>
      <c r="BE293" s="3">
        <v>42255</v>
      </c>
      <c r="BF293" s="1">
        <v>263725</v>
      </c>
      <c r="BG293" t="s">
        <v>275</v>
      </c>
      <c r="BH293" s="1">
        <v>152.09</v>
      </c>
      <c r="BI293" s="1">
        <v>277225</v>
      </c>
      <c r="BJ293" s="3">
        <v>42478</v>
      </c>
      <c r="BK293" t="s">
        <v>123</v>
      </c>
      <c r="BL293" t="str">
        <f>"2016.257219"</f>
        <v>2016.257219</v>
      </c>
      <c r="BM293" t="s">
        <v>1695</v>
      </c>
      <c r="BO293" t="s">
        <v>2176</v>
      </c>
      <c r="BS293">
        <v>30</v>
      </c>
      <c r="BW293" t="str">
        <f>""</f>
        <v/>
      </c>
      <c r="CH293" t="str">
        <f>""</f>
        <v/>
      </c>
      <c r="CS293" t="str">
        <f>""</f>
        <v/>
      </c>
    </row>
    <row r="294" spans="1:97" x14ac:dyDescent="0.25">
      <c r="A294" t="s">
        <v>177</v>
      </c>
      <c r="B294" t="s">
        <v>2177</v>
      </c>
      <c r="C294" t="s">
        <v>2178</v>
      </c>
      <c r="D294" t="s">
        <v>2177</v>
      </c>
      <c r="E294" t="s">
        <v>2179</v>
      </c>
      <c r="F294" t="s">
        <v>108</v>
      </c>
      <c r="H294" t="s">
        <v>2180</v>
      </c>
      <c r="I294" t="s">
        <v>453</v>
      </c>
      <c r="J294" t="s">
        <v>111</v>
      </c>
      <c r="K294" t="str">
        <f>"85383"</f>
        <v>85383</v>
      </c>
      <c r="L294" t="s">
        <v>2015</v>
      </c>
      <c r="M294" t="s">
        <v>2180</v>
      </c>
      <c r="N294" t="s">
        <v>453</v>
      </c>
      <c r="O294" t="s">
        <v>111</v>
      </c>
      <c r="P294" t="str">
        <f>"85383-5908"</f>
        <v>85383-5908</v>
      </c>
      <c r="Q294" t="s">
        <v>113</v>
      </c>
      <c r="R294" t="str">
        <f>"201-19-424"</f>
        <v>201-19-424</v>
      </c>
      <c r="S294" t="s">
        <v>2016</v>
      </c>
      <c r="U294">
        <v>2721</v>
      </c>
      <c r="W294">
        <v>5</v>
      </c>
      <c r="X294">
        <v>2014</v>
      </c>
      <c r="Z294">
        <v>2</v>
      </c>
      <c r="AC294" t="s">
        <v>115</v>
      </c>
      <c r="AD294">
        <v>3</v>
      </c>
      <c r="AE294" t="s">
        <v>115</v>
      </c>
      <c r="AH294" t="s">
        <v>116</v>
      </c>
      <c r="AI294" s="1">
        <v>45224</v>
      </c>
      <c r="AJ294" s="2">
        <v>0.11</v>
      </c>
      <c r="AK294" s="1">
        <v>414814</v>
      </c>
      <c r="AL294" t="s">
        <v>117</v>
      </c>
      <c r="AM294" t="s">
        <v>118</v>
      </c>
      <c r="AN294">
        <v>6245</v>
      </c>
      <c r="AO294">
        <v>0.14000000000000001</v>
      </c>
      <c r="AR294">
        <v>1</v>
      </c>
      <c r="AS294" s="1">
        <v>29860</v>
      </c>
      <c r="AT294" s="1">
        <v>5970</v>
      </c>
      <c r="AU294" s="1">
        <v>23890</v>
      </c>
      <c r="AV294">
        <v>80.010000000000005</v>
      </c>
      <c r="AX294" s="1">
        <v>2677.32</v>
      </c>
      <c r="AY294" t="s">
        <v>456</v>
      </c>
      <c r="AZ294" t="s">
        <v>456</v>
      </c>
      <c r="BA294" t="s">
        <v>457</v>
      </c>
      <c r="BE294" s="3">
        <v>41893</v>
      </c>
      <c r="BF294" s="1">
        <v>305789</v>
      </c>
      <c r="BG294" t="s">
        <v>446</v>
      </c>
      <c r="BH294" s="1">
        <v>112.38</v>
      </c>
      <c r="BI294" s="1">
        <v>369590</v>
      </c>
      <c r="BJ294" s="3">
        <v>43621</v>
      </c>
      <c r="BK294" t="s">
        <v>123</v>
      </c>
      <c r="BL294" t="str">
        <f>"2019.418504"</f>
        <v>2019.418504</v>
      </c>
      <c r="BM294" t="s">
        <v>2181</v>
      </c>
      <c r="BN294" t="s">
        <v>1511</v>
      </c>
      <c r="BO294" t="s">
        <v>2182</v>
      </c>
      <c r="BP294" t="s">
        <v>2183</v>
      </c>
      <c r="BR294" t="s">
        <v>139</v>
      </c>
      <c r="BW294" t="str">
        <f>""</f>
        <v/>
      </c>
      <c r="CH294" t="str">
        <f>""</f>
        <v/>
      </c>
      <c r="CS294" t="str">
        <f>""</f>
        <v/>
      </c>
    </row>
    <row r="295" spans="1:97" x14ac:dyDescent="0.25">
      <c r="A295" t="s">
        <v>938</v>
      </c>
      <c r="B295" t="s">
        <v>1099</v>
      </c>
      <c r="C295" t="s">
        <v>2184</v>
      </c>
      <c r="D295" t="s">
        <v>2185</v>
      </c>
      <c r="E295" t="s">
        <v>2186</v>
      </c>
      <c r="F295" t="s">
        <v>108</v>
      </c>
      <c r="H295" t="s">
        <v>2187</v>
      </c>
      <c r="I295" t="s">
        <v>203</v>
      </c>
      <c r="J295" t="s">
        <v>111</v>
      </c>
      <c r="K295" t="str">
        <f>"85298"</f>
        <v>85298</v>
      </c>
      <c r="L295" t="s">
        <v>734</v>
      </c>
      <c r="M295" t="s">
        <v>2187</v>
      </c>
      <c r="N295" t="s">
        <v>203</v>
      </c>
      <c r="O295" t="s">
        <v>111</v>
      </c>
      <c r="P295" t="str">
        <f>"85298"</f>
        <v>85298</v>
      </c>
      <c r="Q295" t="s">
        <v>113</v>
      </c>
      <c r="R295" t="str">
        <f>"313-18-288"</f>
        <v>313-18-288</v>
      </c>
      <c r="S295" t="s">
        <v>1983</v>
      </c>
      <c r="U295">
        <v>2948</v>
      </c>
      <c r="W295">
        <v>4</v>
      </c>
      <c r="X295">
        <v>2014</v>
      </c>
      <c r="Z295">
        <v>1</v>
      </c>
      <c r="AC295" t="s">
        <v>115</v>
      </c>
      <c r="AD295">
        <v>3</v>
      </c>
      <c r="AE295" t="s">
        <v>115</v>
      </c>
      <c r="AH295" t="s">
        <v>116</v>
      </c>
      <c r="AI295" s="1">
        <v>96203</v>
      </c>
      <c r="AJ295" s="2">
        <v>0.18</v>
      </c>
      <c r="AK295" s="1">
        <v>527962</v>
      </c>
      <c r="AL295" t="s">
        <v>117</v>
      </c>
      <c r="AM295" t="s">
        <v>171</v>
      </c>
      <c r="AN295">
        <v>9011</v>
      </c>
      <c r="AO295">
        <v>0.21</v>
      </c>
      <c r="AR295">
        <v>1</v>
      </c>
      <c r="AS295" s="1">
        <v>38210</v>
      </c>
      <c r="AT295" s="1">
        <v>7640</v>
      </c>
      <c r="AU295" s="1">
        <v>30570</v>
      </c>
      <c r="AV295">
        <v>80.010000000000005</v>
      </c>
      <c r="AX295" s="1">
        <v>2837.4</v>
      </c>
      <c r="AY295" t="s">
        <v>737</v>
      </c>
      <c r="AZ295" t="s">
        <v>273</v>
      </c>
      <c r="BA295" t="s">
        <v>303</v>
      </c>
      <c r="BE295" s="3">
        <v>41789</v>
      </c>
      <c r="BF295" s="1">
        <v>418290</v>
      </c>
      <c r="BG295" t="s">
        <v>195</v>
      </c>
      <c r="BH295" s="1">
        <v>141.88999999999999</v>
      </c>
      <c r="BI295" s="1">
        <v>431759</v>
      </c>
      <c r="BJ295" s="3">
        <v>41789</v>
      </c>
      <c r="BK295" t="s">
        <v>123</v>
      </c>
      <c r="BL295" t="str">
        <f>"2014.356429"</f>
        <v>2014.356429</v>
      </c>
      <c r="BM295" t="s">
        <v>820</v>
      </c>
      <c r="BN295" t="s">
        <v>2188</v>
      </c>
      <c r="BO295" t="s">
        <v>2189</v>
      </c>
      <c r="BP295" t="s">
        <v>2190</v>
      </c>
      <c r="BS295">
        <v>30</v>
      </c>
      <c r="BT295" s="1">
        <v>0</v>
      </c>
      <c r="BU295" s="3">
        <v>43699</v>
      </c>
      <c r="BV295" t="s">
        <v>134</v>
      </c>
      <c r="BW295" t="str">
        <f>"2019.650904"</f>
        <v>2019.650904</v>
      </c>
      <c r="BX295" t="s">
        <v>420</v>
      </c>
      <c r="BY295" t="s">
        <v>2191</v>
      </c>
      <c r="BZ295" t="s">
        <v>2192</v>
      </c>
      <c r="CA295" t="s">
        <v>2193</v>
      </c>
      <c r="CC295" t="s">
        <v>139</v>
      </c>
      <c r="CH295" t="str">
        <f>""</f>
        <v/>
      </c>
      <c r="CS295" t="str">
        <f>""</f>
        <v/>
      </c>
    </row>
    <row r="296" spans="1:97" x14ac:dyDescent="0.25">
      <c r="A296" t="s">
        <v>1938</v>
      </c>
      <c r="B296" t="s">
        <v>2194</v>
      </c>
      <c r="C296" t="s">
        <v>179</v>
      </c>
      <c r="D296" t="s">
        <v>2194</v>
      </c>
      <c r="E296" t="s">
        <v>2195</v>
      </c>
      <c r="F296" t="s">
        <v>108</v>
      </c>
      <c r="H296" t="s">
        <v>2196</v>
      </c>
      <c r="I296" t="s">
        <v>188</v>
      </c>
      <c r="J296" t="s">
        <v>111</v>
      </c>
      <c r="K296" t="str">
        <f>"85142"</f>
        <v>85142</v>
      </c>
      <c r="L296" t="s">
        <v>2197</v>
      </c>
      <c r="M296" t="s">
        <v>2196</v>
      </c>
      <c r="N296" t="s">
        <v>188</v>
      </c>
      <c r="O296" t="s">
        <v>111</v>
      </c>
      <c r="P296" t="str">
        <f>"85142-7870"</f>
        <v>85142-7870</v>
      </c>
      <c r="Q296" t="s">
        <v>113</v>
      </c>
      <c r="R296" t="str">
        <f>"304-93-757"</f>
        <v>304-93-757</v>
      </c>
      <c r="S296" t="s">
        <v>2198</v>
      </c>
      <c r="T296" t="s">
        <v>2198</v>
      </c>
      <c r="U296">
        <v>2645</v>
      </c>
      <c r="W296">
        <v>4</v>
      </c>
      <c r="X296">
        <v>2014</v>
      </c>
      <c r="Z296">
        <v>1</v>
      </c>
      <c r="AC296" t="s">
        <v>115</v>
      </c>
      <c r="AD296">
        <v>3</v>
      </c>
      <c r="AE296" t="s">
        <v>115</v>
      </c>
      <c r="AH296" t="s">
        <v>116</v>
      </c>
      <c r="AI296" s="1">
        <v>83577</v>
      </c>
      <c r="AJ296" s="2">
        <v>0.2</v>
      </c>
      <c r="AK296" s="1">
        <v>421759</v>
      </c>
      <c r="AL296" t="s">
        <v>117</v>
      </c>
      <c r="AM296" t="s">
        <v>393</v>
      </c>
      <c r="AN296">
        <v>8125</v>
      </c>
      <c r="AO296">
        <v>0.19</v>
      </c>
      <c r="AR296">
        <v>1</v>
      </c>
      <c r="AS296" s="1">
        <v>29930</v>
      </c>
      <c r="AT296" s="1">
        <v>5980</v>
      </c>
      <c r="AU296" s="1">
        <v>23950</v>
      </c>
      <c r="AV296">
        <v>80.02</v>
      </c>
      <c r="AX296" s="1">
        <v>2623.38</v>
      </c>
      <c r="AY296" t="s">
        <v>192</v>
      </c>
      <c r="AZ296" t="s">
        <v>193</v>
      </c>
      <c r="BA296" t="s">
        <v>194</v>
      </c>
      <c r="BE296" s="3">
        <v>41898</v>
      </c>
      <c r="BF296" s="1">
        <v>333731</v>
      </c>
      <c r="BG296" t="s">
        <v>2199</v>
      </c>
      <c r="BH296" s="1">
        <v>126.17</v>
      </c>
      <c r="BI296" s="1">
        <v>338182</v>
      </c>
      <c r="BJ296" s="3">
        <v>42656</v>
      </c>
      <c r="BK296" t="s">
        <v>123</v>
      </c>
      <c r="BL296" t="str">
        <f>"2016.751339"</f>
        <v>2016.751339</v>
      </c>
      <c r="BM296" t="s">
        <v>1915</v>
      </c>
      <c r="BO296" t="s">
        <v>2200</v>
      </c>
      <c r="BS296">
        <v>30</v>
      </c>
      <c r="BW296" t="str">
        <f>""</f>
        <v/>
      </c>
      <c r="CH296" t="str">
        <f>""</f>
        <v/>
      </c>
      <c r="CS296" t="str">
        <f>""</f>
        <v/>
      </c>
    </row>
    <row r="297" spans="1:97" x14ac:dyDescent="0.25">
      <c r="A297" t="s">
        <v>2201</v>
      </c>
      <c r="B297" t="s">
        <v>371</v>
      </c>
      <c r="C297" t="s">
        <v>2202</v>
      </c>
      <c r="D297" t="s">
        <v>371</v>
      </c>
      <c r="E297" t="s">
        <v>2203</v>
      </c>
      <c r="F297" t="s">
        <v>108</v>
      </c>
      <c r="H297" t="s">
        <v>2204</v>
      </c>
      <c r="I297" t="s">
        <v>203</v>
      </c>
      <c r="J297" t="s">
        <v>111</v>
      </c>
      <c r="K297" t="str">
        <f>"85298"</f>
        <v>85298</v>
      </c>
      <c r="L297" t="s">
        <v>681</v>
      </c>
      <c r="M297" t="s">
        <v>2204</v>
      </c>
      <c r="N297" t="s">
        <v>203</v>
      </c>
      <c r="O297" t="s">
        <v>111</v>
      </c>
      <c r="P297" t="str">
        <f>"85298-3700"</f>
        <v>85298-3700</v>
      </c>
      <c r="Q297" t="s">
        <v>113</v>
      </c>
      <c r="R297" t="str">
        <f>"304-87-611"</f>
        <v>304-87-611</v>
      </c>
      <c r="S297" t="s">
        <v>682</v>
      </c>
      <c r="U297">
        <v>2576</v>
      </c>
      <c r="W297">
        <v>4</v>
      </c>
      <c r="X297">
        <v>2015</v>
      </c>
      <c r="Z297">
        <v>1</v>
      </c>
      <c r="AC297" t="s">
        <v>115</v>
      </c>
      <c r="AD297">
        <v>2</v>
      </c>
      <c r="AE297" t="s">
        <v>115</v>
      </c>
      <c r="AH297" t="s">
        <v>116</v>
      </c>
      <c r="AI297" s="1">
        <v>83122</v>
      </c>
      <c r="AJ297" s="2">
        <v>0.19</v>
      </c>
      <c r="AK297" s="1">
        <v>443899</v>
      </c>
      <c r="AL297" t="s">
        <v>117</v>
      </c>
      <c r="AM297" t="s">
        <v>393</v>
      </c>
      <c r="AN297">
        <v>8400</v>
      </c>
      <c r="AO297">
        <v>0.19</v>
      </c>
      <c r="AR297">
        <v>1</v>
      </c>
      <c r="AS297" s="1">
        <v>31930</v>
      </c>
      <c r="AT297" s="1">
        <v>6380</v>
      </c>
      <c r="AU297" s="1">
        <v>25550</v>
      </c>
      <c r="AV297">
        <v>80.02</v>
      </c>
      <c r="AX297" s="1">
        <v>2737.94</v>
      </c>
      <c r="AY297" t="s">
        <v>289</v>
      </c>
      <c r="AZ297" t="s">
        <v>289</v>
      </c>
      <c r="BA297" t="s">
        <v>290</v>
      </c>
      <c r="BE297" s="3">
        <v>42244</v>
      </c>
      <c r="BF297" s="1">
        <v>360777</v>
      </c>
      <c r="BG297" t="s">
        <v>209</v>
      </c>
      <c r="BH297" s="1">
        <v>140.05000000000001</v>
      </c>
      <c r="BI297" s="1">
        <v>360777</v>
      </c>
      <c r="BJ297" s="3">
        <v>42244</v>
      </c>
      <c r="BK297" t="s">
        <v>123</v>
      </c>
      <c r="BL297" t="str">
        <f>"2015.627921"</f>
        <v>2015.627921</v>
      </c>
      <c r="BM297" t="s">
        <v>175</v>
      </c>
      <c r="BO297" t="s">
        <v>2205</v>
      </c>
      <c r="BS297">
        <v>30</v>
      </c>
      <c r="BW297" t="str">
        <f>""</f>
        <v/>
      </c>
      <c r="CH297" t="str">
        <f>""</f>
        <v/>
      </c>
      <c r="CS297" t="str">
        <f>""</f>
        <v/>
      </c>
    </row>
    <row r="298" spans="1:97" x14ac:dyDescent="0.25">
      <c r="A298" t="s">
        <v>2206</v>
      </c>
      <c r="B298" t="s">
        <v>2207</v>
      </c>
      <c r="C298" t="s">
        <v>2208</v>
      </c>
      <c r="D298" t="s">
        <v>2207</v>
      </c>
      <c r="E298" t="s">
        <v>2209</v>
      </c>
      <c r="F298" t="s">
        <v>108</v>
      </c>
      <c r="H298" t="s">
        <v>2210</v>
      </c>
      <c r="I298" t="s">
        <v>203</v>
      </c>
      <c r="J298" t="s">
        <v>111</v>
      </c>
      <c r="K298" t="str">
        <f>"85298"</f>
        <v>85298</v>
      </c>
      <c r="L298" t="s">
        <v>2211</v>
      </c>
      <c r="M298" t="s">
        <v>2210</v>
      </c>
      <c r="N298" t="s">
        <v>203</v>
      </c>
      <c r="O298" t="s">
        <v>111</v>
      </c>
      <c r="P298" t="str">
        <f>"85298-2313"</f>
        <v>85298-2313</v>
      </c>
      <c r="Q298" t="s">
        <v>113</v>
      </c>
      <c r="R298" t="str">
        <f>"304-81-914"</f>
        <v>304-81-914</v>
      </c>
      <c r="S298" t="s">
        <v>2212</v>
      </c>
      <c r="T298" t="s">
        <v>2213</v>
      </c>
      <c r="U298">
        <v>2339</v>
      </c>
      <c r="W298">
        <v>4</v>
      </c>
      <c r="X298">
        <v>2013</v>
      </c>
      <c r="Z298">
        <v>1</v>
      </c>
      <c r="AC298" t="s">
        <v>115</v>
      </c>
      <c r="AD298">
        <v>2</v>
      </c>
      <c r="AE298" t="s">
        <v>115</v>
      </c>
      <c r="AH298" t="s">
        <v>116</v>
      </c>
      <c r="AI298" s="1">
        <v>51662</v>
      </c>
      <c r="AJ298" s="2">
        <v>0.12</v>
      </c>
      <c r="AK298" s="1">
        <v>418436</v>
      </c>
      <c r="AL298" t="s">
        <v>117</v>
      </c>
      <c r="AM298" t="s">
        <v>191</v>
      </c>
      <c r="AN298">
        <v>7695</v>
      </c>
      <c r="AO298">
        <v>0.18</v>
      </c>
      <c r="AR298">
        <v>1</v>
      </c>
      <c r="AS298" s="1">
        <v>29400</v>
      </c>
      <c r="AT298" s="1">
        <v>5880</v>
      </c>
      <c r="AU298" s="1">
        <v>23520</v>
      </c>
      <c r="AV298">
        <v>80</v>
      </c>
      <c r="AX298" s="1">
        <v>2411.38</v>
      </c>
      <c r="AY298" t="s">
        <v>2214</v>
      </c>
      <c r="AZ298" t="s">
        <v>1134</v>
      </c>
      <c r="BA298" t="s">
        <v>1134</v>
      </c>
      <c r="BE298" s="3">
        <v>41831</v>
      </c>
      <c r="BF298" s="1">
        <v>346564</v>
      </c>
      <c r="BG298" t="s">
        <v>474</v>
      </c>
      <c r="BH298" s="1">
        <v>148.16999999999999</v>
      </c>
      <c r="BI298" s="1">
        <v>366774</v>
      </c>
      <c r="BJ298" s="3">
        <v>42690</v>
      </c>
      <c r="BK298" t="s">
        <v>123</v>
      </c>
      <c r="BL298" t="str">
        <f>"2016.844504"</f>
        <v>2016.844504</v>
      </c>
      <c r="BM298" t="s">
        <v>1707</v>
      </c>
      <c r="BN298" t="s">
        <v>1922</v>
      </c>
      <c r="BO298" t="s">
        <v>2215</v>
      </c>
      <c r="BS298">
        <v>30</v>
      </c>
      <c r="BW298" t="str">
        <f>""</f>
        <v/>
      </c>
      <c r="CH298" t="str">
        <f>""</f>
        <v/>
      </c>
      <c r="CS298" t="str">
        <f>""</f>
        <v/>
      </c>
    </row>
    <row r="299" spans="1:97" x14ac:dyDescent="0.25">
      <c r="A299" t="s">
        <v>1187</v>
      </c>
      <c r="B299" t="s">
        <v>2216</v>
      </c>
      <c r="C299" t="s">
        <v>2217</v>
      </c>
      <c r="D299" t="s">
        <v>2216</v>
      </c>
      <c r="E299" t="s">
        <v>2218</v>
      </c>
      <c r="F299" t="s">
        <v>108</v>
      </c>
      <c r="H299" t="s">
        <v>2219</v>
      </c>
      <c r="I299" t="s">
        <v>453</v>
      </c>
      <c r="J299" t="s">
        <v>111</v>
      </c>
      <c r="K299" t="str">
        <f>"85383"</f>
        <v>85383</v>
      </c>
      <c r="L299" t="s">
        <v>2220</v>
      </c>
      <c r="M299" t="s">
        <v>2219</v>
      </c>
      <c r="N299" t="s">
        <v>453</v>
      </c>
      <c r="O299" t="s">
        <v>111</v>
      </c>
      <c r="P299" t="str">
        <f>"85383-7369"</f>
        <v>85383-7369</v>
      </c>
      <c r="Q299" t="s">
        <v>113</v>
      </c>
      <c r="R299" t="str">
        <f>"201-11-896"</f>
        <v>201-11-896</v>
      </c>
      <c r="S299" t="s">
        <v>2221</v>
      </c>
      <c r="T299" t="s">
        <v>2222</v>
      </c>
      <c r="U299">
        <v>2520</v>
      </c>
      <c r="W299">
        <v>4</v>
      </c>
      <c r="X299">
        <v>2014</v>
      </c>
      <c r="Z299">
        <v>1</v>
      </c>
      <c r="AC299" t="s">
        <v>115</v>
      </c>
      <c r="AD299">
        <v>2</v>
      </c>
      <c r="AE299" t="s">
        <v>115</v>
      </c>
      <c r="AH299" t="s">
        <v>116</v>
      </c>
      <c r="AI299" s="1">
        <v>14183</v>
      </c>
      <c r="AJ299" s="2">
        <v>0.04</v>
      </c>
      <c r="AK299" s="1">
        <v>400183</v>
      </c>
      <c r="AL299" t="s">
        <v>117</v>
      </c>
      <c r="AM299" t="s">
        <v>191</v>
      </c>
      <c r="AN299">
        <v>8471</v>
      </c>
      <c r="AO299">
        <v>0.19</v>
      </c>
      <c r="AR299">
        <v>1</v>
      </c>
      <c r="AS299" s="1">
        <v>30700</v>
      </c>
      <c r="AT299" s="1">
        <v>6140</v>
      </c>
      <c r="AU299" s="1">
        <v>24560</v>
      </c>
      <c r="AV299">
        <v>80</v>
      </c>
      <c r="AX299" s="1">
        <v>2726.42</v>
      </c>
      <c r="AY299" t="s">
        <v>1385</v>
      </c>
      <c r="AZ299" t="s">
        <v>1385</v>
      </c>
      <c r="BA299" t="s">
        <v>2223</v>
      </c>
      <c r="BE299" s="3">
        <v>41991</v>
      </c>
      <c r="BF299" s="1">
        <v>398421</v>
      </c>
      <c r="BG299" t="s">
        <v>275</v>
      </c>
      <c r="BH299" s="1">
        <v>158.1</v>
      </c>
      <c r="BI299" s="1">
        <v>386000</v>
      </c>
      <c r="BJ299" s="3">
        <v>42523</v>
      </c>
      <c r="BK299" t="s">
        <v>123</v>
      </c>
      <c r="BL299" t="str">
        <f>"2016.382419"</f>
        <v>2016.382419</v>
      </c>
      <c r="BM299" t="s">
        <v>2224</v>
      </c>
      <c r="BO299" t="s">
        <v>2225</v>
      </c>
      <c r="BS299">
        <v>30</v>
      </c>
      <c r="BW299" t="str">
        <f>""</f>
        <v/>
      </c>
      <c r="CH299" t="str">
        <f>""</f>
        <v/>
      </c>
      <c r="CS299" t="str">
        <f>""</f>
        <v/>
      </c>
    </row>
    <row r="300" spans="1:97" x14ac:dyDescent="0.25">
      <c r="A300" t="s">
        <v>265</v>
      </c>
      <c r="B300" t="s">
        <v>2226</v>
      </c>
      <c r="C300" t="s">
        <v>2019</v>
      </c>
      <c r="D300" t="s">
        <v>2226</v>
      </c>
      <c r="E300" t="s">
        <v>2227</v>
      </c>
      <c r="F300" t="s">
        <v>108</v>
      </c>
      <c r="H300" t="s">
        <v>2228</v>
      </c>
      <c r="I300" t="s">
        <v>453</v>
      </c>
      <c r="J300" t="s">
        <v>111</v>
      </c>
      <c r="K300" t="str">
        <f>"85383"</f>
        <v>85383</v>
      </c>
      <c r="L300" t="s">
        <v>2015</v>
      </c>
      <c r="M300" t="s">
        <v>2228</v>
      </c>
      <c r="N300" t="s">
        <v>453</v>
      </c>
      <c r="O300" t="s">
        <v>111</v>
      </c>
      <c r="P300" t="str">
        <f>"85383-9693"</f>
        <v>85383-9693</v>
      </c>
      <c r="Q300" t="s">
        <v>113</v>
      </c>
      <c r="R300" t="str">
        <f>"201-19-313"</f>
        <v>201-19-313</v>
      </c>
      <c r="S300" t="s">
        <v>2229</v>
      </c>
      <c r="U300">
        <v>3063</v>
      </c>
      <c r="W300">
        <v>5</v>
      </c>
      <c r="X300">
        <v>2014</v>
      </c>
      <c r="Z300">
        <v>2</v>
      </c>
      <c r="AA300" t="s">
        <v>26</v>
      </c>
      <c r="AC300" t="s">
        <v>115</v>
      </c>
      <c r="AD300">
        <v>4</v>
      </c>
      <c r="AE300" t="s">
        <v>115</v>
      </c>
      <c r="AH300" t="s">
        <v>116</v>
      </c>
      <c r="AI300" s="1">
        <v>126443</v>
      </c>
      <c r="AJ300" s="2">
        <v>0.27</v>
      </c>
      <c r="AK300" s="1">
        <v>466343</v>
      </c>
      <c r="AL300" t="s">
        <v>117</v>
      </c>
      <c r="AM300" t="s">
        <v>118</v>
      </c>
      <c r="AN300">
        <v>7801</v>
      </c>
      <c r="AO300">
        <v>0.18</v>
      </c>
      <c r="AR300">
        <v>1</v>
      </c>
      <c r="AS300" s="1">
        <v>35510</v>
      </c>
      <c r="AT300" s="1">
        <v>7100</v>
      </c>
      <c r="AU300" s="1">
        <v>28410</v>
      </c>
      <c r="AV300">
        <v>80.010000000000005</v>
      </c>
      <c r="AX300" s="1">
        <v>3339.02</v>
      </c>
      <c r="AY300" t="s">
        <v>456</v>
      </c>
      <c r="AZ300" t="s">
        <v>456</v>
      </c>
      <c r="BA300" t="s">
        <v>457</v>
      </c>
      <c r="BB300" s="3">
        <v>42283</v>
      </c>
      <c r="BD300" t="s">
        <v>458</v>
      </c>
      <c r="BE300" s="3">
        <v>41842</v>
      </c>
      <c r="BF300" s="1">
        <v>350106</v>
      </c>
      <c r="BG300" t="s">
        <v>446</v>
      </c>
      <c r="BH300" s="1">
        <v>114.3</v>
      </c>
      <c r="BI300" s="1">
        <v>339900</v>
      </c>
      <c r="BJ300" s="3">
        <v>42450</v>
      </c>
      <c r="BK300" t="s">
        <v>123</v>
      </c>
      <c r="BL300" t="str">
        <f>"2016.180849"</f>
        <v>2016.180849</v>
      </c>
      <c r="BM300" t="s">
        <v>1122</v>
      </c>
      <c r="BO300" t="s">
        <v>2230</v>
      </c>
      <c r="BS300">
        <v>30</v>
      </c>
      <c r="BW300" t="str">
        <f>""</f>
        <v/>
      </c>
      <c r="CH300" t="str">
        <f>""</f>
        <v/>
      </c>
      <c r="CS300" t="str">
        <f>""</f>
        <v/>
      </c>
    </row>
    <row r="301" spans="1:97" x14ac:dyDescent="0.25">
      <c r="A301" t="s">
        <v>1009</v>
      </c>
      <c r="B301" t="s">
        <v>2231</v>
      </c>
      <c r="C301" t="s">
        <v>489</v>
      </c>
      <c r="D301" t="s">
        <v>2231</v>
      </c>
      <c r="E301" t="s">
        <v>2232</v>
      </c>
      <c r="F301" t="s">
        <v>108</v>
      </c>
      <c r="H301" t="s">
        <v>2233</v>
      </c>
      <c r="I301" t="s">
        <v>453</v>
      </c>
      <c r="J301" t="s">
        <v>111</v>
      </c>
      <c r="K301" t="str">
        <f>"85383"</f>
        <v>85383</v>
      </c>
      <c r="L301" t="s">
        <v>2220</v>
      </c>
      <c r="M301" t="s">
        <v>2233</v>
      </c>
      <c r="N301" t="s">
        <v>453</v>
      </c>
      <c r="O301" t="s">
        <v>111</v>
      </c>
      <c r="P301" t="str">
        <f>"85383-7366"</f>
        <v>85383-7366</v>
      </c>
      <c r="Q301" t="s">
        <v>113</v>
      </c>
      <c r="R301" t="str">
        <f>"201-11-871"</f>
        <v>201-11-871</v>
      </c>
      <c r="S301" t="s">
        <v>2221</v>
      </c>
      <c r="T301" t="s">
        <v>2222</v>
      </c>
      <c r="U301">
        <v>2322</v>
      </c>
      <c r="W301">
        <v>4</v>
      </c>
      <c r="X301">
        <v>2014</v>
      </c>
      <c r="Z301">
        <v>1</v>
      </c>
      <c r="AA301" t="s">
        <v>26</v>
      </c>
      <c r="AC301" t="s">
        <v>115</v>
      </c>
      <c r="AD301">
        <v>3</v>
      </c>
      <c r="AE301" t="s">
        <v>115</v>
      </c>
      <c r="AH301" t="s">
        <v>116</v>
      </c>
      <c r="AI301" s="1">
        <v>-5840</v>
      </c>
      <c r="AJ301" s="2">
        <v>-0.01</v>
      </c>
      <c r="AK301" s="1">
        <v>416160</v>
      </c>
      <c r="AL301" t="s">
        <v>117</v>
      </c>
      <c r="AM301" t="s">
        <v>191</v>
      </c>
      <c r="AN301">
        <v>8530</v>
      </c>
      <c r="AO301">
        <v>0.2</v>
      </c>
      <c r="AR301">
        <v>1</v>
      </c>
      <c r="AS301" s="1">
        <v>32800</v>
      </c>
      <c r="AT301" s="1">
        <v>6560</v>
      </c>
      <c r="AU301" s="1">
        <v>26240</v>
      </c>
      <c r="AV301">
        <v>80</v>
      </c>
      <c r="AX301" s="1">
        <v>2644.3</v>
      </c>
      <c r="AY301" t="s">
        <v>1385</v>
      </c>
      <c r="AZ301" t="s">
        <v>1385</v>
      </c>
      <c r="BA301" t="s">
        <v>2223</v>
      </c>
      <c r="BE301" s="3">
        <v>41852</v>
      </c>
      <c r="BF301" s="1">
        <v>376835</v>
      </c>
      <c r="BG301" t="s">
        <v>275</v>
      </c>
      <c r="BH301" s="1">
        <v>162.29</v>
      </c>
      <c r="BI301" s="1">
        <v>422000</v>
      </c>
      <c r="BJ301" s="3">
        <v>43551</v>
      </c>
      <c r="BK301" t="s">
        <v>123</v>
      </c>
      <c r="BL301" t="str">
        <f>"2019.210718"</f>
        <v>2019.210718</v>
      </c>
      <c r="BM301" t="s">
        <v>2234</v>
      </c>
      <c r="BN301" t="s">
        <v>1922</v>
      </c>
      <c r="BO301" t="s">
        <v>2235</v>
      </c>
      <c r="BP301" t="s">
        <v>2236</v>
      </c>
      <c r="BR301" t="s">
        <v>139</v>
      </c>
      <c r="BW301" t="str">
        <f>""</f>
        <v/>
      </c>
      <c r="CH301" t="str">
        <f>""</f>
        <v/>
      </c>
      <c r="CS301" t="str">
        <f>""</f>
        <v/>
      </c>
    </row>
    <row r="302" spans="1:97" x14ac:dyDescent="0.25">
      <c r="A302" t="s">
        <v>685</v>
      </c>
      <c r="B302" t="s">
        <v>2237</v>
      </c>
      <c r="C302" t="s">
        <v>2238</v>
      </c>
      <c r="D302" t="s">
        <v>2237</v>
      </c>
      <c r="E302" t="s">
        <v>2239</v>
      </c>
      <c r="F302" t="s">
        <v>108</v>
      </c>
      <c r="H302" t="s">
        <v>2240</v>
      </c>
      <c r="I302" t="s">
        <v>188</v>
      </c>
      <c r="J302" t="s">
        <v>111</v>
      </c>
      <c r="K302" t="str">
        <f>"85142"</f>
        <v>85142</v>
      </c>
      <c r="L302" t="s">
        <v>2197</v>
      </c>
      <c r="M302" t="s">
        <v>2240</v>
      </c>
      <c r="N302" t="s">
        <v>188</v>
      </c>
      <c r="O302" t="s">
        <v>111</v>
      </c>
      <c r="P302" t="str">
        <f>"85142-7883"</f>
        <v>85142-7883</v>
      </c>
      <c r="Q302" t="s">
        <v>113</v>
      </c>
      <c r="R302" t="str">
        <f>"304-93-787"</f>
        <v>304-93-787</v>
      </c>
      <c r="S302" t="s">
        <v>2198</v>
      </c>
      <c r="T302" t="s">
        <v>2198</v>
      </c>
      <c r="U302">
        <v>4065</v>
      </c>
      <c r="W302">
        <v>4</v>
      </c>
      <c r="X302">
        <v>2014</v>
      </c>
      <c r="Z302">
        <v>2</v>
      </c>
      <c r="AC302" t="s">
        <v>115</v>
      </c>
      <c r="AD302">
        <v>4</v>
      </c>
      <c r="AE302" t="s">
        <v>115</v>
      </c>
      <c r="AH302" t="s">
        <v>116</v>
      </c>
      <c r="AI302" s="1">
        <v>43555</v>
      </c>
      <c r="AJ302" s="2">
        <v>0.09</v>
      </c>
      <c r="AK302" s="1">
        <v>479481</v>
      </c>
      <c r="AL302" t="s">
        <v>117</v>
      </c>
      <c r="AM302" t="s">
        <v>393</v>
      </c>
      <c r="AN302">
        <v>8223</v>
      </c>
      <c r="AO302">
        <v>0.19</v>
      </c>
      <c r="AR302">
        <v>1</v>
      </c>
      <c r="AS302" s="1">
        <v>33680</v>
      </c>
      <c r="AT302" s="1">
        <v>6730</v>
      </c>
      <c r="AU302" s="1">
        <v>26950</v>
      </c>
      <c r="AV302">
        <v>80.02</v>
      </c>
      <c r="AX302" s="1">
        <v>3082.4</v>
      </c>
      <c r="AY302" t="s">
        <v>192</v>
      </c>
      <c r="AZ302" t="s">
        <v>193</v>
      </c>
      <c r="BA302" t="s">
        <v>194</v>
      </c>
      <c r="BE302" s="3">
        <v>41880</v>
      </c>
      <c r="BF302" s="1">
        <v>400625</v>
      </c>
      <c r="BG302" t="s">
        <v>2199</v>
      </c>
      <c r="BH302" s="1">
        <v>98.55</v>
      </c>
      <c r="BI302" s="1">
        <v>435926</v>
      </c>
      <c r="BJ302" s="3">
        <v>42905</v>
      </c>
      <c r="BK302" t="s">
        <v>123</v>
      </c>
      <c r="BL302" t="str">
        <f>"2017.443838"</f>
        <v>2017.443838</v>
      </c>
      <c r="BM302" t="s">
        <v>361</v>
      </c>
      <c r="BO302" t="s">
        <v>2241</v>
      </c>
      <c r="BS302">
        <v>30</v>
      </c>
      <c r="BW302" t="str">
        <f>""</f>
        <v/>
      </c>
      <c r="CH302" t="str">
        <f>""</f>
        <v/>
      </c>
      <c r="CS302" t="str">
        <f>""</f>
        <v/>
      </c>
    </row>
    <row r="303" spans="1:97" x14ac:dyDescent="0.25">
      <c r="A303" t="s">
        <v>894</v>
      </c>
      <c r="B303" t="s">
        <v>2242</v>
      </c>
      <c r="C303" t="s">
        <v>484</v>
      </c>
      <c r="D303" t="s">
        <v>2242</v>
      </c>
      <c r="E303" t="s">
        <v>2243</v>
      </c>
      <c r="F303" t="s">
        <v>108</v>
      </c>
      <c r="H303" t="s">
        <v>2244</v>
      </c>
      <c r="I303" t="s">
        <v>188</v>
      </c>
      <c r="J303" t="s">
        <v>111</v>
      </c>
      <c r="K303" t="str">
        <f>"85142"</f>
        <v>85142</v>
      </c>
      <c r="L303" t="s">
        <v>2197</v>
      </c>
      <c r="M303" t="s">
        <v>2244</v>
      </c>
      <c r="N303" t="s">
        <v>188</v>
      </c>
      <c r="O303" t="s">
        <v>111</v>
      </c>
      <c r="P303" t="str">
        <f>"85142-7870"</f>
        <v>85142-7870</v>
      </c>
      <c r="Q303" t="s">
        <v>113</v>
      </c>
      <c r="R303" t="str">
        <f>"304-93-755"</f>
        <v>304-93-755</v>
      </c>
      <c r="S303" t="s">
        <v>2198</v>
      </c>
      <c r="T303" t="s">
        <v>2198</v>
      </c>
      <c r="U303">
        <v>2645</v>
      </c>
      <c r="W303">
        <v>4</v>
      </c>
      <c r="X303">
        <v>2014</v>
      </c>
      <c r="Z303">
        <v>1</v>
      </c>
      <c r="AC303" t="s">
        <v>115</v>
      </c>
      <c r="AD303">
        <v>3</v>
      </c>
      <c r="AE303" t="s">
        <v>115</v>
      </c>
      <c r="AH303" t="s">
        <v>116</v>
      </c>
      <c r="AI303" s="1">
        <v>69895</v>
      </c>
      <c r="AJ303" s="2">
        <v>0.16</v>
      </c>
      <c r="AK303" s="1">
        <v>428645</v>
      </c>
      <c r="AL303" t="s">
        <v>117</v>
      </c>
      <c r="AM303" t="s">
        <v>393</v>
      </c>
      <c r="AN303">
        <v>8884</v>
      </c>
      <c r="AO303">
        <v>0.2</v>
      </c>
      <c r="AR303">
        <v>1</v>
      </c>
      <c r="AS303" s="1">
        <v>30730</v>
      </c>
      <c r="AT303" s="1">
        <v>6140</v>
      </c>
      <c r="AU303" s="1">
        <v>24590</v>
      </c>
      <c r="AV303">
        <v>80.02</v>
      </c>
      <c r="AX303" s="1">
        <v>2654.1</v>
      </c>
      <c r="AY303" t="s">
        <v>192</v>
      </c>
      <c r="AZ303" t="s">
        <v>193</v>
      </c>
      <c r="BA303" t="s">
        <v>194</v>
      </c>
      <c r="BE303" s="3">
        <v>41900</v>
      </c>
      <c r="BF303" s="1">
        <v>358781</v>
      </c>
      <c r="BG303" t="s">
        <v>2199</v>
      </c>
      <c r="BH303" s="1">
        <v>135.63999999999999</v>
      </c>
      <c r="BI303" s="1">
        <v>358750</v>
      </c>
      <c r="BJ303" s="3">
        <v>41900</v>
      </c>
      <c r="BK303" t="s">
        <v>123</v>
      </c>
      <c r="BL303" t="str">
        <f>"2014.619566"</f>
        <v>2014.619566</v>
      </c>
      <c r="BM303" t="s">
        <v>2245</v>
      </c>
      <c r="BO303" t="s">
        <v>2246</v>
      </c>
      <c r="BS303">
        <v>30</v>
      </c>
      <c r="BW303" t="str">
        <f>""</f>
        <v/>
      </c>
      <c r="CH303" t="str">
        <f>""</f>
        <v/>
      </c>
      <c r="CS303" t="str">
        <f>""</f>
        <v/>
      </c>
    </row>
    <row r="304" spans="1:97" x14ac:dyDescent="0.25">
      <c r="A304" t="s">
        <v>1514</v>
      </c>
      <c r="B304" t="s">
        <v>2247</v>
      </c>
      <c r="E304" t="s">
        <v>2248</v>
      </c>
      <c r="F304" t="s">
        <v>108</v>
      </c>
      <c r="H304" t="s">
        <v>2249</v>
      </c>
      <c r="I304" t="s">
        <v>203</v>
      </c>
      <c r="J304" t="s">
        <v>111</v>
      </c>
      <c r="K304" t="str">
        <f>"85298"</f>
        <v>85298</v>
      </c>
      <c r="L304" t="s">
        <v>734</v>
      </c>
      <c r="M304" t="s">
        <v>2249</v>
      </c>
      <c r="N304" t="s">
        <v>203</v>
      </c>
      <c r="O304" t="s">
        <v>111</v>
      </c>
      <c r="P304" t="str">
        <f>"85298"</f>
        <v>85298</v>
      </c>
      <c r="Q304" t="s">
        <v>113</v>
      </c>
      <c r="R304" t="str">
        <f>"313-18-472"</f>
        <v>313-18-472</v>
      </c>
      <c r="S304" t="s">
        <v>1173</v>
      </c>
      <c r="U304">
        <v>1793</v>
      </c>
      <c r="W304">
        <v>3</v>
      </c>
      <c r="X304">
        <v>2014</v>
      </c>
      <c r="Z304">
        <v>1</v>
      </c>
      <c r="AC304" t="s">
        <v>115</v>
      </c>
      <c r="AD304">
        <v>2</v>
      </c>
      <c r="AE304" t="s">
        <v>115</v>
      </c>
      <c r="AH304" t="s">
        <v>116</v>
      </c>
      <c r="AI304" s="1">
        <v>90469</v>
      </c>
      <c r="AJ304" s="2">
        <v>0.25</v>
      </c>
      <c r="AK304" s="1">
        <v>356878</v>
      </c>
      <c r="AL304" t="s">
        <v>117</v>
      </c>
      <c r="AM304" t="s">
        <v>191</v>
      </c>
      <c r="AN304">
        <v>6330</v>
      </c>
      <c r="AO304">
        <v>0.14000000000000001</v>
      </c>
      <c r="AR304">
        <v>1</v>
      </c>
      <c r="AS304" s="1">
        <v>24720</v>
      </c>
      <c r="AT304" s="1">
        <v>4940</v>
      </c>
      <c r="AU304" s="1">
        <v>19780</v>
      </c>
      <c r="AV304">
        <v>80.02</v>
      </c>
      <c r="AX304" s="1">
        <v>1907.92</v>
      </c>
      <c r="AY304" t="s">
        <v>737</v>
      </c>
      <c r="AZ304" t="s">
        <v>273</v>
      </c>
      <c r="BA304" t="s">
        <v>303</v>
      </c>
      <c r="BE304" s="3">
        <v>41922</v>
      </c>
      <c r="BF304" s="1">
        <v>283990</v>
      </c>
      <c r="BG304" t="s">
        <v>195</v>
      </c>
      <c r="BH304" s="1">
        <v>158.38999999999999</v>
      </c>
      <c r="BI304" s="1">
        <v>266409</v>
      </c>
      <c r="BJ304" s="3">
        <v>41922</v>
      </c>
      <c r="BK304" t="s">
        <v>123</v>
      </c>
      <c r="BL304" t="str">
        <f>"2014.673301"</f>
        <v>2014.673301</v>
      </c>
      <c r="BM304" t="s">
        <v>196</v>
      </c>
      <c r="BO304" t="s">
        <v>2250</v>
      </c>
      <c r="BS304">
        <v>30</v>
      </c>
      <c r="BW304" t="str">
        <f>""</f>
        <v/>
      </c>
      <c r="CH304" t="str">
        <f>""</f>
        <v/>
      </c>
      <c r="CS304" t="str">
        <f>""</f>
        <v/>
      </c>
    </row>
    <row r="305" spans="1:97" x14ac:dyDescent="0.25">
      <c r="A305" t="s">
        <v>1308</v>
      </c>
      <c r="B305" t="s">
        <v>2251</v>
      </c>
      <c r="C305" t="s">
        <v>817</v>
      </c>
      <c r="D305" t="s">
        <v>2251</v>
      </c>
      <c r="E305" t="s">
        <v>2252</v>
      </c>
      <c r="F305" t="s">
        <v>108</v>
      </c>
      <c r="H305" t="s">
        <v>2253</v>
      </c>
      <c r="I305" t="s">
        <v>188</v>
      </c>
      <c r="J305" t="s">
        <v>111</v>
      </c>
      <c r="K305" t="str">
        <f>"85142"</f>
        <v>85142</v>
      </c>
      <c r="L305" t="s">
        <v>688</v>
      </c>
      <c r="M305" t="s">
        <v>2253</v>
      </c>
      <c r="N305" t="s">
        <v>188</v>
      </c>
      <c r="O305" t="s">
        <v>111</v>
      </c>
      <c r="P305" t="str">
        <f>"85142-9820"</f>
        <v>85142-9820</v>
      </c>
      <c r="Q305" t="s">
        <v>113</v>
      </c>
      <c r="R305" t="str">
        <f>"304-89-756"</f>
        <v>304-89-756</v>
      </c>
      <c r="S305" t="s">
        <v>690</v>
      </c>
      <c r="T305" t="s">
        <v>691</v>
      </c>
      <c r="U305">
        <v>3273</v>
      </c>
      <c r="W305">
        <v>4</v>
      </c>
      <c r="X305">
        <v>2014</v>
      </c>
      <c r="Z305">
        <v>1</v>
      </c>
      <c r="AC305" t="s">
        <v>115</v>
      </c>
      <c r="AD305">
        <v>3</v>
      </c>
      <c r="AE305" t="s">
        <v>115</v>
      </c>
      <c r="AH305" t="s">
        <v>116</v>
      </c>
      <c r="AI305" s="1">
        <v>90767</v>
      </c>
      <c r="AJ305" s="2">
        <v>0.19</v>
      </c>
      <c r="AK305" s="1">
        <v>476668</v>
      </c>
      <c r="AL305" t="s">
        <v>117</v>
      </c>
      <c r="AM305" t="str">
        <f>"R1-9"</f>
        <v>R1-9</v>
      </c>
      <c r="AN305">
        <v>9920</v>
      </c>
      <c r="AO305">
        <v>0.23</v>
      </c>
      <c r="AR305">
        <v>1</v>
      </c>
      <c r="AS305" s="1">
        <v>32860</v>
      </c>
      <c r="AT305" s="1">
        <v>6570</v>
      </c>
      <c r="AU305" s="1">
        <v>26290</v>
      </c>
      <c r="AV305">
        <v>80.010000000000005</v>
      </c>
      <c r="AX305" s="1">
        <v>3152.84</v>
      </c>
      <c r="AY305" t="s">
        <v>192</v>
      </c>
      <c r="AZ305" t="s">
        <v>193</v>
      </c>
      <c r="BA305" t="s">
        <v>194</v>
      </c>
      <c r="BE305" s="3">
        <v>41822</v>
      </c>
      <c r="BF305" s="1">
        <v>374552</v>
      </c>
      <c r="BG305" t="s">
        <v>209</v>
      </c>
      <c r="BH305" s="1">
        <v>114.44</v>
      </c>
      <c r="BI305" s="1">
        <v>385901</v>
      </c>
      <c r="BJ305" s="3">
        <v>42312</v>
      </c>
      <c r="BK305" t="s">
        <v>123</v>
      </c>
      <c r="BL305" t="str">
        <f>"2015.794960"</f>
        <v>2015.794960</v>
      </c>
      <c r="BM305" t="s">
        <v>936</v>
      </c>
      <c r="BO305" t="s">
        <v>2254</v>
      </c>
      <c r="BS305">
        <v>30</v>
      </c>
      <c r="BW305" t="str">
        <f>""</f>
        <v/>
      </c>
      <c r="CH305" t="str">
        <f>""</f>
        <v/>
      </c>
      <c r="CS305" t="str">
        <f>""</f>
        <v/>
      </c>
    </row>
    <row r="306" spans="1:97" x14ac:dyDescent="0.25">
      <c r="A306" t="s">
        <v>1109</v>
      </c>
      <c r="B306" t="s">
        <v>2255</v>
      </c>
      <c r="C306" t="s">
        <v>2256</v>
      </c>
      <c r="D306" t="s">
        <v>2255</v>
      </c>
      <c r="E306" t="s">
        <v>2257</v>
      </c>
      <c r="F306" t="s">
        <v>108</v>
      </c>
      <c r="H306" t="s">
        <v>2258</v>
      </c>
      <c r="I306" t="s">
        <v>374</v>
      </c>
      <c r="J306" t="s">
        <v>111</v>
      </c>
      <c r="K306" t="str">
        <f>"85087"</f>
        <v>85087</v>
      </c>
      <c r="L306" t="s">
        <v>375</v>
      </c>
      <c r="M306" t="s">
        <v>2258</v>
      </c>
      <c r="N306" t="s">
        <v>374</v>
      </c>
      <c r="O306" t="s">
        <v>111</v>
      </c>
      <c r="P306" t="str">
        <f>"85087-6214"</f>
        <v>85087-6214</v>
      </c>
      <c r="Q306" t="s">
        <v>113</v>
      </c>
      <c r="R306" t="str">
        <f>"202-23-290"</f>
        <v>202-23-290</v>
      </c>
      <c r="S306" t="s">
        <v>663</v>
      </c>
      <c r="T306" t="s">
        <v>664</v>
      </c>
      <c r="U306">
        <v>4320</v>
      </c>
      <c r="W306">
        <v>7</v>
      </c>
      <c r="X306">
        <v>2014</v>
      </c>
      <c r="Z306">
        <v>2</v>
      </c>
      <c r="AA306" t="s">
        <v>26</v>
      </c>
      <c r="AC306" t="s">
        <v>115</v>
      </c>
      <c r="AD306">
        <v>3</v>
      </c>
      <c r="AE306" t="s">
        <v>115</v>
      </c>
      <c r="AH306" t="s">
        <v>116</v>
      </c>
      <c r="AI306" s="1">
        <v>98920</v>
      </c>
      <c r="AJ306" s="2">
        <v>0.18</v>
      </c>
      <c r="AK306" s="1">
        <v>557572</v>
      </c>
      <c r="AL306" t="s">
        <v>117</v>
      </c>
      <c r="AM306" t="s">
        <v>171</v>
      </c>
      <c r="AN306">
        <v>11937</v>
      </c>
      <c r="AO306">
        <v>0.27</v>
      </c>
      <c r="AR306">
        <v>1</v>
      </c>
      <c r="AS306" s="1">
        <v>43750</v>
      </c>
      <c r="AT306" s="1">
        <v>8750</v>
      </c>
      <c r="AU306" s="1">
        <v>35000</v>
      </c>
      <c r="AV306">
        <v>80</v>
      </c>
      <c r="AX306" s="1">
        <v>3797.56</v>
      </c>
      <c r="AY306" t="s">
        <v>665</v>
      </c>
      <c r="AZ306" t="s">
        <v>665</v>
      </c>
      <c r="BA306" t="s">
        <v>378</v>
      </c>
      <c r="BE306" s="3">
        <v>41984</v>
      </c>
      <c r="BF306" s="1">
        <v>412024</v>
      </c>
      <c r="BG306" t="s">
        <v>158</v>
      </c>
      <c r="BH306" s="1">
        <v>95.38</v>
      </c>
      <c r="BI306" s="1">
        <v>458652</v>
      </c>
      <c r="BJ306" s="3">
        <v>43048</v>
      </c>
      <c r="BK306" t="s">
        <v>123</v>
      </c>
      <c r="BL306" t="str">
        <f>"2017.833132"</f>
        <v>2017.833132</v>
      </c>
      <c r="BM306" t="s">
        <v>980</v>
      </c>
      <c r="BO306" t="s">
        <v>2259</v>
      </c>
      <c r="BS306">
        <v>30</v>
      </c>
      <c r="BW306" t="str">
        <f>""</f>
        <v/>
      </c>
      <c r="CH306" t="str">
        <f>""</f>
        <v/>
      </c>
      <c r="CS306" t="str">
        <f>""</f>
        <v/>
      </c>
    </row>
    <row r="307" spans="1:97" x14ac:dyDescent="0.25">
      <c r="A307" t="s">
        <v>996</v>
      </c>
      <c r="B307" t="s">
        <v>2260</v>
      </c>
      <c r="C307" t="s">
        <v>2261</v>
      </c>
      <c r="D307" t="s">
        <v>2260</v>
      </c>
      <c r="E307" t="s">
        <v>2262</v>
      </c>
      <c r="F307" t="s">
        <v>108</v>
      </c>
      <c r="H307" t="s">
        <v>2263</v>
      </c>
      <c r="I307" t="s">
        <v>225</v>
      </c>
      <c r="J307" t="s">
        <v>111</v>
      </c>
      <c r="K307" t="str">
        <f>"85212"</f>
        <v>85212</v>
      </c>
      <c r="L307" t="s">
        <v>558</v>
      </c>
      <c r="M307" t="s">
        <v>2263</v>
      </c>
      <c r="N307" t="s">
        <v>225</v>
      </c>
      <c r="O307" t="s">
        <v>111</v>
      </c>
      <c r="P307" t="str">
        <f>"85212-8117"</f>
        <v>85212-8117</v>
      </c>
      <c r="Q307" t="s">
        <v>113</v>
      </c>
      <c r="R307" t="str">
        <f>"304-50-752"</f>
        <v>304-50-752</v>
      </c>
      <c r="S307" t="s">
        <v>650</v>
      </c>
      <c r="U307">
        <v>1734</v>
      </c>
      <c r="W307">
        <v>3</v>
      </c>
      <c r="X307">
        <v>2014</v>
      </c>
      <c r="Z307">
        <v>1</v>
      </c>
      <c r="AC307" t="s">
        <v>115</v>
      </c>
      <c r="AD307">
        <v>2</v>
      </c>
      <c r="AE307" t="s">
        <v>115</v>
      </c>
      <c r="AH307" t="s">
        <v>116</v>
      </c>
      <c r="AI307" s="1">
        <v>64975</v>
      </c>
      <c r="AJ307" s="2">
        <v>0.2</v>
      </c>
      <c r="AK307" s="1">
        <v>331514</v>
      </c>
      <c r="AL307" t="s">
        <v>117</v>
      </c>
      <c r="AM307" t="s">
        <v>118</v>
      </c>
      <c r="AN307">
        <v>6271</v>
      </c>
      <c r="AO307">
        <v>0.14000000000000001</v>
      </c>
      <c r="AR307">
        <v>1</v>
      </c>
      <c r="AS307" s="1">
        <v>22650</v>
      </c>
      <c r="AT307" s="1">
        <v>4530</v>
      </c>
      <c r="AU307" s="1">
        <v>18120</v>
      </c>
      <c r="AV307">
        <v>80</v>
      </c>
      <c r="AX307" s="1">
        <v>3154.28</v>
      </c>
      <c r="AY307" t="s">
        <v>560</v>
      </c>
      <c r="AZ307" t="s">
        <v>561</v>
      </c>
      <c r="BA307" t="s">
        <v>194</v>
      </c>
      <c r="BE307" s="3">
        <v>41995</v>
      </c>
      <c r="BF307" s="1">
        <v>258025</v>
      </c>
      <c r="BG307" t="s">
        <v>275</v>
      </c>
      <c r="BH307" s="1">
        <v>148.80000000000001</v>
      </c>
      <c r="BI307" s="1">
        <v>266539</v>
      </c>
      <c r="BJ307" s="3">
        <v>41995</v>
      </c>
      <c r="BK307" t="s">
        <v>123</v>
      </c>
      <c r="BL307" t="str">
        <f>"2014.842688"</f>
        <v>2014.842688</v>
      </c>
      <c r="BM307" t="s">
        <v>651</v>
      </c>
      <c r="BO307" t="s">
        <v>2264</v>
      </c>
      <c r="BS307">
        <v>30</v>
      </c>
      <c r="BW307" t="str">
        <f>""</f>
        <v/>
      </c>
      <c r="CH307" t="str">
        <f>""</f>
        <v/>
      </c>
      <c r="CS307" t="str">
        <f>""</f>
        <v/>
      </c>
    </row>
    <row r="308" spans="1:97" x14ac:dyDescent="0.25">
      <c r="A308" t="s">
        <v>2265</v>
      </c>
      <c r="B308" t="s">
        <v>2266</v>
      </c>
      <c r="C308" t="s">
        <v>1821</v>
      </c>
      <c r="D308" t="s">
        <v>2266</v>
      </c>
      <c r="E308" t="s">
        <v>2267</v>
      </c>
      <c r="F308" t="s">
        <v>108</v>
      </c>
      <c r="H308" t="s">
        <v>2268</v>
      </c>
      <c r="I308" t="s">
        <v>203</v>
      </c>
      <c r="J308" t="s">
        <v>111</v>
      </c>
      <c r="K308" t="str">
        <f>"85298"</f>
        <v>85298</v>
      </c>
      <c r="L308" t="s">
        <v>284</v>
      </c>
      <c r="M308" t="s">
        <v>2268</v>
      </c>
      <c r="N308" t="s">
        <v>203</v>
      </c>
      <c r="O308" t="s">
        <v>111</v>
      </c>
      <c r="P308" t="str">
        <f>"85298"</f>
        <v>85298</v>
      </c>
      <c r="Q308" t="s">
        <v>113</v>
      </c>
      <c r="R308" t="str">
        <f>"304-73-493"</f>
        <v>304-73-493</v>
      </c>
      <c r="S308" t="s">
        <v>874</v>
      </c>
      <c r="T308" t="s">
        <v>287</v>
      </c>
      <c r="U308">
        <v>1940</v>
      </c>
      <c r="W308">
        <v>4</v>
      </c>
      <c r="X308">
        <v>2014</v>
      </c>
      <c r="Z308">
        <v>1</v>
      </c>
      <c r="AC308" t="s">
        <v>115</v>
      </c>
      <c r="AD308">
        <v>2</v>
      </c>
      <c r="AE308" t="s">
        <v>115</v>
      </c>
      <c r="AH308" t="s">
        <v>116</v>
      </c>
      <c r="AI308" s="1">
        <v>59020</v>
      </c>
      <c r="AJ308" s="2">
        <v>0.16</v>
      </c>
      <c r="AK308" s="1">
        <v>363755</v>
      </c>
      <c r="AL308" t="s">
        <v>117</v>
      </c>
      <c r="AM308" t="s">
        <v>288</v>
      </c>
      <c r="AN308">
        <v>5606</v>
      </c>
      <c r="AO308">
        <v>0.13</v>
      </c>
      <c r="AR308">
        <v>1</v>
      </c>
      <c r="AS308" s="1">
        <v>24720</v>
      </c>
      <c r="AT308" s="1">
        <v>4940</v>
      </c>
      <c r="AU308" s="1">
        <v>19780</v>
      </c>
      <c r="AV308">
        <v>80.02</v>
      </c>
      <c r="AX308" s="1">
        <v>2078.14</v>
      </c>
      <c r="AY308" t="s">
        <v>289</v>
      </c>
      <c r="AZ308" t="s">
        <v>289</v>
      </c>
      <c r="BA308" t="s">
        <v>290</v>
      </c>
      <c r="BE308" s="3">
        <v>41701</v>
      </c>
      <c r="BF308" s="1">
        <v>268490</v>
      </c>
      <c r="BG308" t="s">
        <v>195</v>
      </c>
      <c r="BH308" s="1">
        <v>138.4</v>
      </c>
      <c r="BI308" s="1">
        <v>304735</v>
      </c>
      <c r="BJ308" s="3">
        <v>43000</v>
      </c>
      <c r="BK308" t="s">
        <v>123</v>
      </c>
      <c r="BL308" t="str">
        <f>"2017.701441"</f>
        <v>2017.701441</v>
      </c>
      <c r="BM308" t="s">
        <v>135</v>
      </c>
      <c r="BO308" t="s">
        <v>2269</v>
      </c>
      <c r="BS308">
        <v>30</v>
      </c>
      <c r="BW308" t="str">
        <f>""</f>
        <v/>
      </c>
      <c r="CH308" t="str">
        <f>""</f>
        <v/>
      </c>
      <c r="CS308" t="str">
        <f>""</f>
        <v/>
      </c>
    </row>
    <row r="309" spans="1:97" x14ac:dyDescent="0.25">
      <c r="A309" t="s">
        <v>2270</v>
      </c>
      <c r="B309" t="s">
        <v>2271</v>
      </c>
      <c r="C309" t="s">
        <v>908</v>
      </c>
      <c r="D309" t="s">
        <v>2271</v>
      </c>
      <c r="E309" t="s">
        <v>2272</v>
      </c>
      <c r="F309" t="s">
        <v>108</v>
      </c>
      <c r="H309" t="s">
        <v>2273</v>
      </c>
      <c r="I309" t="s">
        <v>453</v>
      </c>
      <c r="J309" t="s">
        <v>111</v>
      </c>
      <c r="K309" t="str">
        <f>"85383"</f>
        <v>85383</v>
      </c>
      <c r="L309" t="s">
        <v>1383</v>
      </c>
      <c r="M309" t="s">
        <v>2273</v>
      </c>
      <c r="N309" t="s">
        <v>453</v>
      </c>
      <c r="O309" t="s">
        <v>111</v>
      </c>
      <c r="P309" t="str">
        <f>"85383-6304"</f>
        <v>85383-6304</v>
      </c>
      <c r="Q309" t="s">
        <v>113</v>
      </c>
      <c r="R309" t="str">
        <f>"201-20-708"</f>
        <v>201-20-708</v>
      </c>
      <c r="S309" t="s">
        <v>1384</v>
      </c>
      <c r="U309">
        <v>2200</v>
      </c>
      <c r="W309">
        <v>4</v>
      </c>
      <c r="X309">
        <v>2014</v>
      </c>
      <c r="Z309">
        <v>1</v>
      </c>
      <c r="AC309" t="s">
        <v>115</v>
      </c>
      <c r="AD309">
        <v>2</v>
      </c>
      <c r="AE309" t="s">
        <v>115</v>
      </c>
      <c r="AH309" t="s">
        <v>116</v>
      </c>
      <c r="AI309" s="1">
        <v>74401</v>
      </c>
      <c r="AJ309" s="2">
        <v>0.2</v>
      </c>
      <c r="AK309" s="1">
        <v>364391</v>
      </c>
      <c r="AL309" t="s">
        <v>117</v>
      </c>
      <c r="AM309" t="s">
        <v>118</v>
      </c>
      <c r="AN309">
        <v>6050</v>
      </c>
      <c r="AO309">
        <v>0.14000000000000001</v>
      </c>
      <c r="AR309">
        <v>1</v>
      </c>
      <c r="AS309" s="1">
        <v>27770</v>
      </c>
      <c r="AT309" s="1">
        <v>5550</v>
      </c>
      <c r="AU309" s="1">
        <v>22220</v>
      </c>
      <c r="AV309">
        <v>80.010000000000005</v>
      </c>
      <c r="AX309" s="1">
        <v>1861.1</v>
      </c>
      <c r="AY309" t="s">
        <v>1385</v>
      </c>
      <c r="AZ309" t="s">
        <v>1385</v>
      </c>
      <c r="BA309" t="s">
        <v>1386</v>
      </c>
      <c r="BE309" s="3">
        <v>42062</v>
      </c>
      <c r="BF309" s="1">
        <v>289990</v>
      </c>
      <c r="BG309" t="s">
        <v>195</v>
      </c>
      <c r="BH309" s="1">
        <v>131.81</v>
      </c>
      <c r="BI309" s="1">
        <v>289990</v>
      </c>
      <c r="BJ309" s="3">
        <v>42062</v>
      </c>
      <c r="BK309" t="s">
        <v>123</v>
      </c>
      <c r="BL309" t="str">
        <f>"2015.133334"</f>
        <v>2015.133334</v>
      </c>
      <c r="BM309" t="s">
        <v>196</v>
      </c>
      <c r="BO309" t="s">
        <v>2274</v>
      </c>
      <c r="BS309">
        <v>30</v>
      </c>
      <c r="BW309" t="str">
        <f>""</f>
        <v/>
      </c>
      <c r="CH309" t="str">
        <f>""</f>
        <v/>
      </c>
      <c r="CS309" t="str">
        <f>""</f>
        <v/>
      </c>
    </row>
    <row r="310" spans="1:97" x14ac:dyDescent="0.25">
      <c r="A310" t="s">
        <v>211</v>
      </c>
      <c r="B310" t="s">
        <v>2275</v>
      </c>
      <c r="C310" t="s">
        <v>2276</v>
      </c>
      <c r="D310" t="s">
        <v>2275</v>
      </c>
      <c r="E310" t="s">
        <v>2277</v>
      </c>
      <c r="F310" t="s">
        <v>108</v>
      </c>
      <c r="H310" t="s">
        <v>2278</v>
      </c>
      <c r="I310" t="s">
        <v>225</v>
      </c>
      <c r="J310" t="s">
        <v>111</v>
      </c>
      <c r="K310" t="str">
        <f>"85212"</f>
        <v>85212</v>
      </c>
      <c r="L310" t="s">
        <v>558</v>
      </c>
      <c r="M310" t="s">
        <v>2278</v>
      </c>
      <c r="N310" t="s">
        <v>225</v>
      </c>
      <c r="O310" t="s">
        <v>111</v>
      </c>
      <c r="P310" t="str">
        <f>"85212-8095"</f>
        <v>85212-8095</v>
      </c>
      <c r="Q310" t="s">
        <v>113</v>
      </c>
      <c r="R310" t="str">
        <f>"304-50-494"</f>
        <v>304-50-494</v>
      </c>
      <c r="S310" t="s">
        <v>1369</v>
      </c>
      <c r="U310">
        <v>3058</v>
      </c>
      <c r="W310">
        <v>5</v>
      </c>
      <c r="X310">
        <v>2014</v>
      </c>
      <c r="Z310">
        <v>1</v>
      </c>
      <c r="AC310" t="s">
        <v>115</v>
      </c>
      <c r="AD310">
        <v>2</v>
      </c>
      <c r="AE310" t="s">
        <v>115</v>
      </c>
      <c r="AH310" t="s">
        <v>116</v>
      </c>
      <c r="AI310" s="1">
        <v>101993</v>
      </c>
      <c r="AJ310" s="2">
        <v>0.22</v>
      </c>
      <c r="AK310" s="1">
        <v>460175</v>
      </c>
      <c r="AL310" t="s">
        <v>117</v>
      </c>
      <c r="AM310" t="s">
        <v>118</v>
      </c>
      <c r="AN310">
        <v>10510</v>
      </c>
      <c r="AO310">
        <v>0.24</v>
      </c>
      <c r="AR310">
        <v>1</v>
      </c>
      <c r="AS310" s="1">
        <v>33660</v>
      </c>
      <c r="AT310" s="1">
        <v>6730</v>
      </c>
      <c r="AU310" s="1">
        <v>26930</v>
      </c>
      <c r="AV310">
        <v>80.010000000000005</v>
      </c>
      <c r="AX310" s="1">
        <v>4683.3999999999996</v>
      </c>
      <c r="AY310" t="s">
        <v>560</v>
      </c>
      <c r="AZ310" t="s">
        <v>561</v>
      </c>
      <c r="BA310" t="s">
        <v>194</v>
      </c>
      <c r="BE310" s="3">
        <v>41834</v>
      </c>
      <c r="BF310" s="1">
        <v>360987</v>
      </c>
      <c r="BG310" t="s">
        <v>562</v>
      </c>
      <c r="BH310" s="1">
        <v>118.05</v>
      </c>
      <c r="BI310" s="1">
        <v>358182</v>
      </c>
      <c r="BJ310" s="3">
        <v>42669</v>
      </c>
      <c r="BK310" t="s">
        <v>123</v>
      </c>
      <c r="BL310" t="str">
        <f>"2016.784554"</f>
        <v>2016.784554</v>
      </c>
      <c r="BM310" t="s">
        <v>2038</v>
      </c>
      <c r="BO310" t="s">
        <v>2279</v>
      </c>
      <c r="BS310">
        <v>30</v>
      </c>
      <c r="BW310" t="str">
        <f>""</f>
        <v/>
      </c>
      <c r="CH310" t="str">
        <f>""</f>
        <v/>
      </c>
      <c r="CS310" t="str">
        <f>""</f>
        <v/>
      </c>
    </row>
    <row r="311" spans="1:97" x14ac:dyDescent="0.25">
      <c r="A311" t="s">
        <v>370</v>
      </c>
      <c r="B311" t="s">
        <v>2280</v>
      </c>
      <c r="C311" t="s">
        <v>2281</v>
      </c>
      <c r="D311" t="s">
        <v>2280</v>
      </c>
      <c r="E311" t="s">
        <v>2282</v>
      </c>
      <c r="F311" t="s">
        <v>108</v>
      </c>
      <c r="H311" t="s">
        <v>2283</v>
      </c>
      <c r="I311" t="s">
        <v>390</v>
      </c>
      <c r="J311" t="s">
        <v>111</v>
      </c>
      <c r="K311" t="str">
        <f>"85085"</f>
        <v>85085</v>
      </c>
      <c r="L311" t="s">
        <v>1398</v>
      </c>
      <c r="M311" t="s">
        <v>2283</v>
      </c>
      <c r="N311" t="s">
        <v>390</v>
      </c>
      <c r="O311" t="s">
        <v>111</v>
      </c>
      <c r="P311" t="str">
        <f>"85085-6392"</f>
        <v>85085-6392</v>
      </c>
      <c r="Q311" t="s">
        <v>113</v>
      </c>
      <c r="R311" t="str">
        <f>"210-02-960"</f>
        <v>210-02-960</v>
      </c>
      <c r="S311" t="s">
        <v>1459</v>
      </c>
      <c r="T311" t="s">
        <v>1460</v>
      </c>
      <c r="U311">
        <v>3468</v>
      </c>
      <c r="W311">
        <v>5</v>
      </c>
      <c r="X311">
        <v>2014</v>
      </c>
      <c r="Z311">
        <v>1</v>
      </c>
      <c r="AA311" t="s">
        <v>26</v>
      </c>
      <c r="AC311" t="s">
        <v>115</v>
      </c>
      <c r="AD311">
        <v>3</v>
      </c>
      <c r="AE311" t="s">
        <v>115</v>
      </c>
      <c r="AH311" t="s">
        <v>116</v>
      </c>
      <c r="AI311" s="1">
        <v>88677</v>
      </c>
      <c r="AJ311" s="2">
        <v>0.13</v>
      </c>
      <c r="AK311" s="1">
        <v>678677</v>
      </c>
      <c r="AL311" t="s">
        <v>117</v>
      </c>
      <c r="AM311" t="s">
        <v>118</v>
      </c>
      <c r="AN311">
        <v>22410</v>
      </c>
      <c r="AO311">
        <v>0.51</v>
      </c>
      <c r="AR311">
        <v>1</v>
      </c>
      <c r="AS311" s="1">
        <v>56660</v>
      </c>
      <c r="AT311" s="1">
        <v>11330</v>
      </c>
      <c r="AU311" s="1">
        <v>45330</v>
      </c>
      <c r="AV311">
        <v>80</v>
      </c>
      <c r="AX311" s="1">
        <v>4325.5</v>
      </c>
      <c r="AY311" t="s">
        <v>1461</v>
      </c>
      <c r="AZ311" t="s">
        <v>1461</v>
      </c>
      <c r="BA311" t="s">
        <v>1462</v>
      </c>
      <c r="BE311" s="3">
        <v>41828</v>
      </c>
      <c r="BF311" s="1">
        <v>545513</v>
      </c>
      <c r="BG311" t="s">
        <v>275</v>
      </c>
      <c r="BH311" s="1">
        <v>157.30000000000001</v>
      </c>
      <c r="BI311" s="1">
        <v>590000</v>
      </c>
      <c r="BJ311" s="3">
        <v>42604</v>
      </c>
      <c r="BK311" t="s">
        <v>123</v>
      </c>
      <c r="BL311" t="str">
        <f>"2016.601298"</f>
        <v>2016.601298</v>
      </c>
      <c r="BM311" t="s">
        <v>2284</v>
      </c>
      <c r="BO311" t="s">
        <v>2285</v>
      </c>
      <c r="BS311">
        <v>30</v>
      </c>
      <c r="BW311" t="str">
        <f>""</f>
        <v/>
      </c>
      <c r="CH311" t="str">
        <f>""</f>
        <v/>
      </c>
      <c r="CS311" t="str">
        <f>""</f>
        <v/>
      </c>
    </row>
    <row r="312" spans="1:97" x14ac:dyDescent="0.25">
      <c r="A312" t="s">
        <v>2286</v>
      </c>
      <c r="B312" t="s">
        <v>1422</v>
      </c>
      <c r="E312" t="s">
        <v>2287</v>
      </c>
      <c r="F312" t="s">
        <v>108</v>
      </c>
      <c r="H312" t="s">
        <v>2288</v>
      </c>
      <c r="I312" t="s">
        <v>374</v>
      </c>
      <c r="J312" t="s">
        <v>111</v>
      </c>
      <c r="K312" t="str">
        <f>"85087"</f>
        <v>85087</v>
      </c>
      <c r="L312" t="s">
        <v>375</v>
      </c>
      <c r="M312" t="s">
        <v>2288</v>
      </c>
      <c r="N312" t="s">
        <v>374</v>
      </c>
      <c r="O312" t="s">
        <v>111</v>
      </c>
      <c r="P312" t="str">
        <f>"85087-6208"</f>
        <v>85087-6208</v>
      </c>
      <c r="R312" t="str">
        <f>"202-23-270"</f>
        <v>202-23-270</v>
      </c>
      <c r="S312" t="s">
        <v>663</v>
      </c>
      <c r="T312" t="s">
        <v>664</v>
      </c>
      <c r="U312">
        <v>2762</v>
      </c>
      <c r="W312">
        <v>3</v>
      </c>
      <c r="X312">
        <v>2016</v>
      </c>
      <c r="Z312">
        <v>1</v>
      </c>
      <c r="AA312" t="s">
        <v>26</v>
      </c>
      <c r="AC312" t="s">
        <v>115</v>
      </c>
      <c r="AD312">
        <v>3</v>
      </c>
      <c r="AE312" t="s">
        <v>115</v>
      </c>
      <c r="AH312" t="s">
        <v>116</v>
      </c>
      <c r="AI312" s="1">
        <v>27618</v>
      </c>
      <c r="AJ312" s="2">
        <v>0.06</v>
      </c>
      <c r="AK312" s="1">
        <v>452486</v>
      </c>
      <c r="AL312" t="s">
        <v>117</v>
      </c>
      <c r="AM312" t="s">
        <v>171</v>
      </c>
      <c r="AN312">
        <v>10913</v>
      </c>
      <c r="AO312">
        <v>0.25</v>
      </c>
      <c r="AR312">
        <v>1</v>
      </c>
      <c r="AS312" s="1">
        <v>35520</v>
      </c>
      <c r="AT312" s="1">
        <v>7100</v>
      </c>
      <c r="AU312" s="1">
        <v>28420</v>
      </c>
      <c r="AV312">
        <v>80.010000000000005</v>
      </c>
      <c r="AX312" s="1">
        <v>3564.78</v>
      </c>
      <c r="AY312" t="s">
        <v>665</v>
      </c>
      <c r="AZ312" t="s">
        <v>665</v>
      </c>
      <c r="BA312" t="s">
        <v>378</v>
      </c>
      <c r="BE312" s="3">
        <v>42452</v>
      </c>
      <c r="BF312" s="1">
        <v>411296</v>
      </c>
      <c r="BG312" t="s">
        <v>2289</v>
      </c>
      <c r="BH312" s="1">
        <v>148.91</v>
      </c>
      <c r="BI312" s="1">
        <v>424868</v>
      </c>
      <c r="BJ312" s="3">
        <v>42452</v>
      </c>
      <c r="BK312" t="s">
        <v>123</v>
      </c>
      <c r="BL312" t="str">
        <f>"2016.188151"</f>
        <v>2016.188151</v>
      </c>
      <c r="BM312" t="s">
        <v>2290</v>
      </c>
      <c r="BN312" t="s">
        <v>2291</v>
      </c>
      <c r="BO312" t="s">
        <v>2292</v>
      </c>
      <c r="BS312">
        <v>30</v>
      </c>
      <c r="BW312" t="str">
        <f>""</f>
        <v/>
      </c>
      <c r="CH312" t="str">
        <f>""</f>
        <v/>
      </c>
      <c r="CS312" t="str">
        <f>""</f>
        <v/>
      </c>
    </row>
    <row r="313" spans="1:97" x14ac:dyDescent="0.25">
      <c r="A313" t="s">
        <v>1344</v>
      </c>
      <c r="B313" t="s">
        <v>2293</v>
      </c>
      <c r="C313" t="s">
        <v>2294</v>
      </c>
      <c r="D313" t="s">
        <v>2293</v>
      </c>
      <c r="E313" t="s">
        <v>2295</v>
      </c>
      <c r="F313" t="s">
        <v>108</v>
      </c>
      <c r="H313" t="s">
        <v>2296</v>
      </c>
      <c r="I313" t="s">
        <v>453</v>
      </c>
      <c r="J313" t="s">
        <v>111</v>
      </c>
      <c r="K313" t="str">
        <f>"85383"</f>
        <v>85383</v>
      </c>
      <c r="L313" t="s">
        <v>454</v>
      </c>
      <c r="M313" t="s">
        <v>2296</v>
      </c>
      <c r="N313" t="s">
        <v>453</v>
      </c>
      <c r="O313" t="s">
        <v>111</v>
      </c>
      <c r="P313" t="str">
        <f>"85383-7961"</f>
        <v>85383-7961</v>
      </c>
      <c r="Q313" t="s">
        <v>113</v>
      </c>
      <c r="R313" t="str">
        <f>"503-80-793"</f>
        <v>503-80-793</v>
      </c>
      <c r="S313" t="s">
        <v>2297</v>
      </c>
      <c r="U313">
        <v>3505</v>
      </c>
      <c r="W313">
        <v>5</v>
      </c>
      <c r="X313">
        <v>2015</v>
      </c>
      <c r="Z313">
        <v>2</v>
      </c>
      <c r="AA313" t="s">
        <v>26</v>
      </c>
      <c r="AC313" t="s">
        <v>115</v>
      </c>
      <c r="AD313">
        <v>3</v>
      </c>
      <c r="AE313" t="s">
        <v>115</v>
      </c>
      <c r="AH313" t="s">
        <v>116</v>
      </c>
      <c r="AI313" s="1">
        <v>90203</v>
      </c>
      <c r="AJ313" s="2">
        <v>0.18</v>
      </c>
      <c r="AK313" s="1">
        <v>490286</v>
      </c>
      <c r="AL313" t="s">
        <v>117</v>
      </c>
      <c r="AM313" t="s">
        <v>118</v>
      </c>
      <c r="AN313">
        <v>8528</v>
      </c>
      <c r="AO313">
        <v>0.2</v>
      </c>
      <c r="AR313">
        <v>1</v>
      </c>
      <c r="AS313" s="1">
        <v>34830</v>
      </c>
      <c r="AT313" s="1">
        <v>6960</v>
      </c>
      <c r="AU313" s="1">
        <v>27870</v>
      </c>
      <c r="AV313">
        <v>80.02</v>
      </c>
      <c r="AX313" s="1">
        <v>3207.88</v>
      </c>
      <c r="AY313" t="s">
        <v>456</v>
      </c>
      <c r="AZ313" t="s">
        <v>456</v>
      </c>
      <c r="BA313" t="s">
        <v>457</v>
      </c>
      <c r="BE313" s="3">
        <v>42522</v>
      </c>
      <c r="BF313" s="1">
        <v>419961</v>
      </c>
      <c r="BG313" t="s">
        <v>636</v>
      </c>
      <c r="BH313" s="1">
        <v>119.82</v>
      </c>
      <c r="BI313" s="1">
        <v>350083</v>
      </c>
      <c r="BJ313" s="3">
        <v>42522</v>
      </c>
      <c r="BK313" t="s">
        <v>123</v>
      </c>
      <c r="BL313" t="str">
        <f>"2016.378156"</f>
        <v>2016.378156</v>
      </c>
      <c r="BM313" t="s">
        <v>637</v>
      </c>
      <c r="BN313" t="s">
        <v>652</v>
      </c>
      <c r="BO313" t="s">
        <v>2298</v>
      </c>
      <c r="BS313">
        <v>30</v>
      </c>
      <c r="BT313" s="1">
        <v>50000</v>
      </c>
      <c r="BU313" s="3">
        <v>43613</v>
      </c>
      <c r="BW313" t="str">
        <f>"2019.386854"</f>
        <v>2019.386854</v>
      </c>
      <c r="BX313" t="s">
        <v>2299</v>
      </c>
      <c r="BY313" t="s">
        <v>2300</v>
      </c>
      <c r="BZ313" t="s">
        <v>2301</v>
      </c>
      <c r="CA313" t="s">
        <v>2302</v>
      </c>
      <c r="CC313" t="s">
        <v>346</v>
      </c>
      <c r="CH313" t="str">
        <f>""</f>
        <v/>
      </c>
      <c r="CS313" t="str">
        <f>""</f>
        <v/>
      </c>
    </row>
    <row r="314" spans="1:97" x14ac:dyDescent="0.25">
      <c r="A314" t="s">
        <v>589</v>
      </c>
      <c r="B314" t="s">
        <v>2303</v>
      </c>
      <c r="E314" t="s">
        <v>2304</v>
      </c>
      <c r="F314" t="s">
        <v>139</v>
      </c>
      <c r="H314" t="s">
        <v>2305</v>
      </c>
      <c r="I314" t="s">
        <v>203</v>
      </c>
      <c r="J314" t="s">
        <v>111</v>
      </c>
      <c r="K314" t="str">
        <f>"85298"</f>
        <v>85298</v>
      </c>
      <c r="L314" t="s">
        <v>284</v>
      </c>
      <c r="M314" t="s">
        <v>2306</v>
      </c>
      <c r="N314" t="s">
        <v>203</v>
      </c>
      <c r="O314" t="s">
        <v>111</v>
      </c>
      <c r="P314" t="str">
        <f>"85298"</f>
        <v>85298</v>
      </c>
      <c r="Q314" t="s">
        <v>113</v>
      </c>
      <c r="R314" t="str">
        <f>"304-73-253"</f>
        <v>304-73-253</v>
      </c>
      <c r="S314" t="s">
        <v>1237</v>
      </c>
      <c r="T314" t="s">
        <v>287</v>
      </c>
      <c r="U314">
        <v>3378</v>
      </c>
      <c r="W314">
        <v>5</v>
      </c>
      <c r="X314">
        <v>2015</v>
      </c>
      <c r="Z314">
        <v>1</v>
      </c>
      <c r="AA314" t="s">
        <v>26</v>
      </c>
      <c r="AC314" t="s">
        <v>115</v>
      </c>
      <c r="AD314">
        <v>3</v>
      </c>
      <c r="AE314" t="s">
        <v>115</v>
      </c>
      <c r="AH314" t="s">
        <v>116</v>
      </c>
      <c r="AI314" s="1">
        <v>63947</v>
      </c>
      <c r="AJ314" s="2">
        <v>0.1</v>
      </c>
      <c r="AK314" s="1">
        <v>655697</v>
      </c>
      <c r="AL314" t="s">
        <v>117</v>
      </c>
      <c r="AM314" t="s">
        <v>393</v>
      </c>
      <c r="AN314">
        <v>10400</v>
      </c>
      <c r="AO314">
        <v>0.24</v>
      </c>
      <c r="AR314">
        <v>1</v>
      </c>
      <c r="AS314" s="1">
        <v>54830</v>
      </c>
      <c r="AT314" s="1">
        <v>10960</v>
      </c>
      <c r="AU314" s="1">
        <v>43870</v>
      </c>
      <c r="AV314">
        <v>80.010000000000005</v>
      </c>
      <c r="AX314" s="1">
        <v>4108.62</v>
      </c>
      <c r="AY314" t="s">
        <v>289</v>
      </c>
      <c r="AZ314" t="s">
        <v>289</v>
      </c>
      <c r="BA314" t="s">
        <v>290</v>
      </c>
      <c r="BE314" s="3">
        <v>42306</v>
      </c>
      <c r="BF314" s="1">
        <v>659929</v>
      </c>
      <c r="BG314" t="s">
        <v>1238</v>
      </c>
      <c r="BH314" s="1">
        <v>195.36</v>
      </c>
      <c r="BI314" s="1">
        <v>591750</v>
      </c>
      <c r="BJ314" s="3">
        <v>42306</v>
      </c>
      <c r="BK314" t="s">
        <v>123</v>
      </c>
      <c r="BL314" t="str">
        <f>"2015.777842"</f>
        <v>2015.777842</v>
      </c>
      <c r="BM314" t="s">
        <v>475</v>
      </c>
      <c r="BO314" t="s">
        <v>2307</v>
      </c>
      <c r="BS314">
        <v>30</v>
      </c>
      <c r="BW314" t="str">
        <f>""</f>
        <v/>
      </c>
      <c r="CH314" t="str">
        <f>""</f>
        <v/>
      </c>
      <c r="CS314" t="str">
        <f>""</f>
        <v/>
      </c>
    </row>
    <row r="315" spans="1:97" x14ac:dyDescent="0.25">
      <c r="A315" t="s">
        <v>548</v>
      </c>
      <c r="B315" t="s">
        <v>2308</v>
      </c>
      <c r="E315" t="s">
        <v>2309</v>
      </c>
      <c r="F315" t="s">
        <v>108</v>
      </c>
      <c r="H315" t="s">
        <v>2310</v>
      </c>
      <c r="I315" t="s">
        <v>453</v>
      </c>
      <c r="J315" t="s">
        <v>111</v>
      </c>
      <c r="K315" t="str">
        <f>"85383"</f>
        <v>85383</v>
      </c>
      <c r="L315" t="s">
        <v>625</v>
      </c>
      <c r="M315" t="s">
        <v>2310</v>
      </c>
      <c r="N315" t="s">
        <v>453</v>
      </c>
      <c r="O315" t="s">
        <v>111</v>
      </c>
      <c r="P315" t="str">
        <f>"85383-3362"</f>
        <v>85383-3362</v>
      </c>
      <c r="Q315" t="s">
        <v>113</v>
      </c>
      <c r="R315" t="str">
        <f>"201-19-076"</f>
        <v>201-19-076</v>
      </c>
      <c r="S315" t="s">
        <v>626</v>
      </c>
      <c r="U315">
        <v>2598</v>
      </c>
      <c r="W315">
        <v>4</v>
      </c>
      <c r="X315">
        <v>2016</v>
      </c>
      <c r="Z315">
        <v>1</v>
      </c>
      <c r="AA315" t="s">
        <v>26</v>
      </c>
      <c r="AC315" t="s">
        <v>115</v>
      </c>
      <c r="AD315">
        <v>4</v>
      </c>
      <c r="AE315" t="s">
        <v>115</v>
      </c>
      <c r="AH315" t="s">
        <v>116</v>
      </c>
      <c r="AI315" s="1">
        <v>62594</v>
      </c>
      <c r="AJ315" s="2">
        <v>0.13</v>
      </c>
      <c r="AK315" s="1">
        <v>472997</v>
      </c>
      <c r="AL315" t="s">
        <v>117</v>
      </c>
      <c r="AM315" t="s">
        <v>118</v>
      </c>
      <c r="AN315">
        <v>9100</v>
      </c>
      <c r="AO315">
        <v>0.21</v>
      </c>
      <c r="AR315">
        <v>1</v>
      </c>
      <c r="AS315" s="1">
        <v>35380</v>
      </c>
      <c r="AT315" s="1">
        <v>7070</v>
      </c>
      <c r="AU315" s="1">
        <v>28310</v>
      </c>
      <c r="AV315">
        <v>80.02</v>
      </c>
      <c r="AX315" s="1">
        <v>2808.72</v>
      </c>
      <c r="AY315" t="s">
        <v>627</v>
      </c>
      <c r="AZ315" t="s">
        <v>627</v>
      </c>
      <c r="BA315" t="s">
        <v>457</v>
      </c>
      <c r="BE315" s="3">
        <v>42445</v>
      </c>
      <c r="BF315" s="1">
        <v>354107</v>
      </c>
      <c r="BG315" t="s">
        <v>275</v>
      </c>
      <c r="BH315" s="1">
        <v>136.30000000000001</v>
      </c>
      <c r="BI315" s="1">
        <v>365792</v>
      </c>
      <c r="BJ315" s="3">
        <v>42445</v>
      </c>
      <c r="BK315" t="s">
        <v>123</v>
      </c>
      <c r="BL315" t="str">
        <f>"2016.170379"</f>
        <v>2016.170379</v>
      </c>
      <c r="BM315" t="s">
        <v>651</v>
      </c>
      <c r="BN315" t="s">
        <v>652</v>
      </c>
      <c r="BO315" t="s">
        <v>2311</v>
      </c>
      <c r="BS315">
        <v>30</v>
      </c>
      <c r="BT315" s="1">
        <v>44611</v>
      </c>
      <c r="BU315" s="3">
        <v>43192</v>
      </c>
      <c r="BV315" t="s">
        <v>134</v>
      </c>
      <c r="BW315" t="str">
        <f>"2018.244178"</f>
        <v>2018.244178</v>
      </c>
      <c r="BX315" t="s">
        <v>198</v>
      </c>
      <c r="BY315" t="s">
        <v>655</v>
      </c>
      <c r="BZ315" t="s">
        <v>2312</v>
      </c>
      <c r="CC315" t="s">
        <v>139</v>
      </c>
      <c r="CH315" t="str">
        <f>""</f>
        <v/>
      </c>
      <c r="CS315" t="str">
        <f>""</f>
        <v/>
      </c>
    </row>
    <row r="316" spans="1:97" x14ac:dyDescent="0.25">
      <c r="A316" t="s">
        <v>305</v>
      </c>
      <c r="B316" t="s">
        <v>2007</v>
      </c>
      <c r="C316" t="s">
        <v>349</v>
      </c>
      <c r="D316" t="s">
        <v>2007</v>
      </c>
      <c r="E316" t="s">
        <v>2313</v>
      </c>
      <c r="F316" t="s">
        <v>108</v>
      </c>
      <c r="H316" t="s">
        <v>2314</v>
      </c>
      <c r="I316" t="s">
        <v>203</v>
      </c>
      <c r="J316" t="s">
        <v>111</v>
      </c>
      <c r="K316" t="str">
        <f>"85298"</f>
        <v>85298</v>
      </c>
      <c r="L316" t="s">
        <v>284</v>
      </c>
      <c r="M316" t="s">
        <v>2314</v>
      </c>
      <c r="N316" t="s">
        <v>203</v>
      </c>
      <c r="O316" t="s">
        <v>111</v>
      </c>
      <c r="P316" t="str">
        <f>"85298"</f>
        <v>85298</v>
      </c>
      <c r="Q316" t="s">
        <v>113</v>
      </c>
      <c r="R316" t="str">
        <f>"304-73-755"</f>
        <v>304-73-755</v>
      </c>
      <c r="S316" t="s">
        <v>1224</v>
      </c>
      <c r="T316" t="s">
        <v>287</v>
      </c>
      <c r="U316">
        <v>2488</v>
      </c>
      <c r="W316">
        <v>4</v>
      </c>
      <c r="X316">
        <v>2014</v>
      </c>
      <c r="Z316">
        <v>1</v>
      </c>
      <c r="AA316" t="s">
        <v>26</v>
      </c>
      <c r="AC316" t="s">
        <v>115</v>
      </c>
      <c r="AD316">
        <v>2</v>
      </c>
      <c r="AE316" t="s">
        <v>115</v>
      </c>
      <c r="AH316" t="s">
        <v>116</v>
      </c>
      <c r="AI316" s="1">
        <v>77206</v>
      </c>
      <c r="AJ316" s="2">
        <v>0.17</v>
      </c>
      <c r="AK316" s="1">
        <v>453740</v>
      </c>
      <c r="AL316" t="s">
        <v>117</v>
      </c>
      <c r="AM316" t="s">
        <v>191</v>
      </c>
      <c r="AN316">
        <v>8694</v>
      </c>
      <c r="AO316">
        <v>0.2</v>
      </c>
      <c r="AR316">
        <v>1</v>
      </c>
      <c r="AS316" s="1">
        <v>32820</v>
      </c>
      <c r="AT316" s="1">
        <v>6560</v>
      </c>
      <c r="AU316" s="1">
        <v>26260</v>
      </c>
      <c r="AV316">
        <v>80.010000000000005</v>
      </c>
      <c r="AX316" s="1">
        <v>3065.92</v>
      </c>
      <c r="AY316" t="s">
        <v>289</v>
      </c>
      <c r="AZ316" t="s">
        <v>289</v>
      </c>
      <c r="BA316" t="s">
        <v>290</v>
      </c>
      <c r="BB316" s="3">
        <v>43006</v>
      </c>
      <c r="BD316" t="s">
        <v>2315</v>
      </c>
      <c r="BE316" s="3">
        <v>41871</v>
      </c>
      <c r="BF316" s="1">
        <v>368609</v>
      </c>
      <c r="BG316" t="s">
        <v>275</v>
      </c>
      <c r="BH316" s="1">
        <v>148.15</v>
      </c>
      <c r="BI316" s="1">
        <v>376534</v>
      </c>
      <c r="BJ316" s="3">
        <v>41871</v>
      </c>
      <c r="BK316" t="s">
        <v>123</v>
      </c>
      <c r="BL316" t="str">
        <f>"2014.550947"</f>
        <v>2014.550947</v>
      </c>
      <c r="BM316" t="s">
        <v>651</v>
      </c>
      <c r="BN316" t="s">
        <v>652</v>
      </c>
      <c r="BO316" t="s">
        <v>2316</v>
      </c>
      <c r="BS316">
        <v>30</v>
      </c>
      <c r="BW316" t="str">
        <f>""</f>
        <v/>
      </c>
      <c r="CH316" t="str">
        <f>""</f>
        <v/>
      </c>
      <c r="CS316" t="str">
        <f>""</f>
        <v/>
      </c>
    </row>
    <row r="317" spans="1:97" x14ac:dyDescent="0.25">
      <c r="A317" t="s">
        <v>2317</v>
      </c>
      <c r="B317" t="s">
        <v>2318</v>
      </c>
      <c r="C317" t="s">
        <v>2319</v>
      </c>
      <c r="D317" t="s">
        <v>2318</v>
      </c>
      <c r="E317" t="s">
        <v>2320</v>
      </c>
      <c r="F317" t="s">
        <v>108</v>
      </c>
      <c r="H317" t="s">
        <v>2321</v>
      </c>
      <c r="I317" t="s">
        <v>390</v>
      </c>
      <c r="J317" t="s">
        <v>111</v>
      </c>
      <c r="K317" t="str">
        <f>"85032"</f>
        <v>85032</v>
      </c>
      <c r="L317" t="s">
        <v>1312</v>
      </c>
      <c r="M317" t="s">
        <v>2321</v>
      </c>
      <c r="N317" t="s">
        <v>390</v>
      </c>
      <c r="O317" t="s">
        <v>111</v>
      </c>
      <c r="P317" t="str">
        <f>"85032-3341"</f>
        <v>85032-3341</v>
      </c>
      <c r="Q317" t="s">
        <v>113</v>
      </c>
      <c r="R317" t="str">
        <f>"215-31-115"</f>
        <v>215-31-115</v>
      </c>
      <c r="S317" t="s">
        <v>1313</v>
      </c>
      <c r="T317" t="s">
        <v>1314</v>
      </c>
      <c r="U317">
        <v>2322</v>
      </c>
      <c r="W317">
        <v>4</v>
      </c>
      <c r="X317">
        <v>2014</v>
      </c>
      <c r="Z317">
        <v>2</v>
      </c>
      <c r="AC317" t="s">
        <v>115</v>
      </c>
      <c r="AD317">
        <v>2</v>
      </c>
      <c r="AE317" t="s">
        <v>115</v>
      </c>
      <c r="AH317" t="s">
        <v>116</v>
      </c>
      <c r="AI317" s="1">
        <v>76674</v>
      </c>
      <c r="AJ317" s="2">
        <v>0.16</v>
      </c>
      <c r="AK317" s="1">
        <v>474789</v>
      </c>
      <c r="AL317" t="s">
        <v>117</v>
      </c>
      <c r="AM317" t="s">
        <v>1315</v>
      </c>
      <c r="AN317">
        <v>3498</v>
      </c>
      <c r="AO317">
        <v>0.8</v>
      </c>
      <c r="AR317">
        <v>1</v>
      </c>
      <c r="AS317" s="1">
        <v>35520</v>
      </c>
      <c r="AT317" s="1">
        <v>7100</v>
      </c>
      <c r="AU317" s="1">
        <v>28420</v>
      </c>
      <c r="AV317">
        <v>80.010000000000005</v>
      </c>
      <c r="AX317" s="1">
        <v>3010.66</v>
      </c>
      <c r="AY317" t="s">
        <v>1316</v>
      </c>
      <c r="AZ317" t="s">
        <v>1317</v>
      </c>
      <c r="BA317" t="s">
        <v>1318</v>
      </c>
      <c r="BE317" s="3">
        <v>42412</v>
      </c>
      <c r="BF317" s="1">
        <v>388000</v>
      </c>
      <c r="BG317" t="s">
        <v>2322</v>
      </c>
      <c r="BH317" s="1">
        <v>167.1</v>
      </c>
      <c r="BI317" s="1">
        <v>398115</v>
      </c>
      <c r="BJ317" s="3">
        <v>42643</v>
      </c>
      <c r="BK317" t="s">
        <v>123</v>
      </c>
      <c r="BL317" t="str">
        <f>"2016.718387"</f>
        <v>2016.718387</v>
      </c>
      <c r="BM317" t="s">
        <v>1154</v>
      </c>
      <c r="BO317" t="s">
        <v>2323</v>
      </c>
      <c r="BS317">
        <v>30</v>
      </c>
      <c r="BW317" t="str">
        <f>""</f>
        <v/>
      </c>
      <c r="CH317" t="str">
        <f>""</f>
        <v/>
      </c>
      <c r="CS317" t="str">
        <f>""</f>
        <v/>
      </c>
    </row>
    <row r="318" spans="1:97" x14ac:dyDescent="0.25">
      <c r="A318" t="s">
        <v>1963</v>
      </c>
      <c r="B318" t="s">
        <v>2324</v>
      </c>
      <c r="C318" t="s">
        <v>767</v>
      </c>
      <c r="D318" t="s">
        <v>2324</v>
      </c>
      <c r="E318" t="s">
        <v>2325</v>
      </c>
      <c r="F318" t="s">
        <v>108</v>
      </c>
      <c r="H318" t="s">
        <v>2326</v>
      </c>
      <c r="I318" t="s">
        <v>188</v>
      </c>
      <c r="J318" t="s">
        <v>111</v>
      </c>
      <c r="K318" t="str">
        <f>"85142"</f>
        <v>85142</v>
      </c>
      <c r="L318" t="s">
        <v>688</v>
      </c>
      <c r="M318" t="s">
        <v>2326</v>
      </c>
      <c r="N318" t="s">
        <v>188</v>
      </c>
      <c r="O318" t="s">
        <v>111</v>
      </c>
      <c r="P318" t="str">
        <f>"85142-9822"</f>
        <v>85142-9822</v>
      </c>
      <c r="Q318" t="s">
        <v>113</v>
      </c>
      <c r="R318" t="str">
        <f>"304-89-747"</f>
        <v>304-89-747</v>
      </c>
      <c r="S318" t="s">
        <v>690</v>
      </c>
      <c r="T318" t="s">
        <v>691</v>
      </c>
      <c r="U318">
        <v>5702</v>
      </c>
      <c r="W318">
        <v>8</v>
      </c>
      <c r="X318">
        <v>2014</v>
      </c>
      <c r="Z318">
        <v>2</v>
      </c>
      <c r="AA318" t="s">
        <v>26</v>
      </c>
      <c r="AC318" t="s">
        <v>115</v>
      </c>
      <c r="AD318">
        <v>4</v>
      </c>
      <c r="AE318" t="s">
        <v>115</v>
      </c>
      <c r="AH318" t="s">
        <v>116</v>
      </c>
      <c r="AI318" s="1">
        <v>108376</v>
      </c>
      <c r="AJ318" s="2">
        <v>0.17</v>
      </c>
      <c r="AK318" s="1">
        <v>621376</v>
      </c>
      <c r="AL318" t="s">
        <v>117</v>
      </c>
      <c r="AM318" t="s">
        <v>917</v>
      </c>
      <c r="AN318">
        <v>9920</v>
      </c>
      <c r="AO318">
        <v>0.23</v>
      </c>
      <c r="AR318">
        <v>1</v>
      </c>
      <c r="AS318" s="1">
        <v>43860</v>
      </c>
      <c r="AT318" s="1">
        <v>8770</v>
      </c>
      <c r="AU318" s="1">
        <v>35090</v>
      </c>
      <c r="AV318">
        <v>80</v>
      </c>
      <c r="AX318" s="1">
        <v>4546.8</v>
      </c>
      <c r="AY318" t="s">
        <v>192</v>
      </c>
      <c r="AZ318" t="s">
        <v>193</v>
      </c>
      <c r="BA318" t="s">
        <v>194</v>
      </c>
      <c r="BE318" s="3">
        <v>41709</v>
      </c>
      <c r="BF318" s="1">
        <v>499269</v>
      </c>
      <c r="BG318" t="s">
        <v>209</v>
      </c>
      <c r="BH318" s="1">
        <v>87.56</v>
      </c>
      <c r="BI318" s="1">
        <v>513000</v>
      </c>
      <c r="BJ318" s="3">
        <v>42688</v>
      </c>
      <c r="BK318" t="s">
        <v>123</v>
      </c>
      <c r="BL318" t="str">
        <f>"2016.835655"</f>
        <v>2016.835655</v>
      </c>
      <c r="BM318" t="s">
        <v>196</v>
      </c>
      <c r="BO318" t="s">
        <v>2327</v>
      </c>
      <c r="BS318">
        <v>30</v>
      </c>
      <c r="BW318" t="str">
        <f>""</f>
        <v/>
      </c>
      <c r="CH318" t="str">
        <f>""</f>
        <v/>
      </c>
      <c r="CS318" t="str">
        <f>""</f>
        <v/>
      </c>
    </row>
    <row r="319" spans="1:97" x14ac:dyDescent="0.25">
      <c r="A319" t="s">
        <v>894</v>
      </c>
      <c r="B319" t="s">
        <v>2328</v>
      </c>
      <c r="C319" t="s">
        <v>1057</v>
      </c>
      <c r="D319" t="s">
        <v>2328</v>
      </c>
      <c r="E319" t="s">
        <v>2329</v>
      </c>
      <c r="F319" t="s">
        <v>108</v>
      </c>
      <c r="H319" t="s">
        <v>2330</v>
      </c>
      <c r="I319" t="s">
        <v>225</v>
      </c>
      <c r="J319" t="s">
        <v>111</v>
      </c>
      <c r="K319" t="str">
        <f>"85212"</f>
        <v>85212</v>
      </c>
      <c r="L319" t="s">
        <v>558</v>
      </c>
      <c r="M319" t="s">
        <v>2330</v>
      </c>
      <c r="N319" t="s">
        <v>225</v>
      </c>
      <c r="O319" t="s">
        <v>111</v>
      </c>
      <c r="P319" t="str">
        <f>"85212-8128"</f>
        <v>85212-8128</v>
      </c>
      <c r="Q319" t="s">
        <v>113</v>
      </c>
      <c r="R319" t="str">
        <f>"304-50-533"</f>
        <v>304-50-533</v>
      </c>
      <c r="S319" t="s">
        <v>559</v>
      </c>
      <c r="U319">
        <v>3657</v>
      </c>
      <c r="W319">
        <v>5</v>
      </c>
      <c r="X319">
        <v>2013</v>
      </c>
      <c r="Z319">
        <v>2</v>
      </c>
      <c r="AC319" t="s">
        <v>115</v>
      </c>
      <c r="AD319">
        <v>3</v>
      </c>
      <c r="AE319" t="s">
        <v>115</v>
      </c>
      <c r="AH319" t="s">
        <v>116</v>
      </c>
      <c r="AI319" s="1">
        <v>90284</v>
      </c>
      <c r="AJ319" s="2">
        <v>0.18</v>
      </c>
      <c r="AK319" s="1">
        <v>496207</v>
      </c>
      <c r="AL319" t="s">
        <v>117</v>
      </c>
      <c r="AM319" t="s">
        <v>118</v>
      </c>
      <c r="AN319">
        <v>9349</v>
      </c>
      <c r="AO319">
        <v>0.22</v>
      </c>
      <c r="AR319">
        <v>1</v>
      </c>
      <c r="AS319" s="1">
        <v>33750</v>
      </c>
      <c r="AT319" s="1">
        <v>6750</v>
      </c>
      <c r="AU319" s="1">
        <v>27000</v>
      </c>
      <c r="AV319">
        <v>80</v>
      </c>
      <c r="AX319" s="1">
        <v>4942.46</v>
      </c>
      <c r="AY319" t="s">
        <v>560</v>
      </c>
      <c r="AZ319" t="s">
        <v>561</v>
      </c>
      <c r="BA319" t="s">
        <v>194</v>
      </c>
      <c r="BE319" s="3">
        <v>41712</v>
      </c>
      <c r="BF319" s="1">
        <v>414290</v>
      </c>
      <c r="BG319" t="s">
        <v>562</v>
      </c>
      <c r="BH319" s="1">
        <v>113.29</v>
      </c>
      <c r="BI319" s="1">
        <v>405923</v>
      </c>
      <c r="BJ319" s="3">
        <v>42682</v>
      </c>
      <c r="BK319" t="s">
        <v>123</v>
      </c>
      <c r="BL319" t="str">
        <f>"2016.823087"</f>
        <v>2016.823087</v>
      </c>
      <c r="BM319" t="s">
        <v>402</v>
      </c>
      <c r="BO319" t="s">
        <v>2331</v>
      </c>
      <c r="BS319">
        <v>30</v>
      </c>
      <c r="BW319" t="str">
        <f>""</f>
        <v/>
      </c>
      <c r="CH319" t="str">
        <f>""</f>
        <v/>
      </c>
      <c r="CS319" t="str">
        <f>""</f>
        <v/>
      </c>
    </row>
    <row r="320" spans="1:97" x14ac:dyDescent="0.25">
      <c r="A320" t="s">
        <v>711</v>
      </c>
      <c r="B320" t="s">
        <v>2332</v>
      </c>
      <c r="C320" t="s">
        <v>2333</v>
      </c>
      <c r="D320" t="s">
        <v>2332</v>
      </c>
      <c r="E320" t="s">
        <v>2334</v>
      </c>
      <c r="F320" t="s">
        <v>108</v>
      </c>
      <c r="H320" t="s">
        <v>2335</v>
      </c>
      <c r="I320" t="s">
        <v>499</v>
      </c>
      <c r="J320" t="s">
        <v>111</v>
      </c>
      <c r="K320" t="str">
        <f>"85395"</f>
        <v>85395</v>
      </c>
      <c r="L320" t="s">
        <v>500</v>
      </c>
      <c r="M320" t="s">
        <v>2335</v>
      </c>
      <c r="N320" t="s">
        <v>499</v>
      </c>
      <c r="O320" t="s">
        <v>111</v>
      </c>
      <c r="P320" t="str">
        <f>"85395-6468"</f>
        <v>85395-6468</v>
      </c>
      <c r="Q320" t="s">
        <v>113</v>
      </c>
      <c r="R320" t="str">
        <f>"502-30-425"</f>
        <v>502-30-425</v>
      </c>
      <c r="S320" t="s">
        <v>501</v>
      </c>
      <c r="T320" t="s">
        <v>502</v>
      </c>
      <c r="U320">
        <v>5082</v>
      </c>
      <c r="W320">
        <v>6</v>
      </c>
      <c r="X320">
        <v>2015</v>
      </c>
      <c r="Z320">
        <v>2</v>
      </c>
      <c r="AA320" t="s">
        <v>26</v>
      </c>
      <c r="AC320" t="s">
        <v>115</v>
      </c>
      <c r="AD320">
        <v>2</v>
      </c>
      <c r="AE320" t="s">
        <v>115</v>
      </c>
      <c r="AH320" t="s">
        <v>116</v>
      </c>
      <c r="AI320" s="1">
        <v>69872</v>
      </c>
      <c r="AJ320" s="2">
        <v>0.13</v>
      </c>
      <c r="AK320" s="1">
        <v>531275</v>
      </c>
      <c r="AL320" t="s">
        <v>117</v>
      </c>
      <c r="AM320" t="s">
        <v>118</v>
      </c>
      <c r="AN320">
        <v>15183</v>
      </c>
      <c r="AO320">
        <v>0.35</v>
      </c>
      <c r="AR320">
        <v>1</v>
      </c>
      <c r="AS320" s="1">
        <v>40770</v>
      </c>
      <c r="AT320" s="1">
        <v>8150</v>
      </c>
      <c r="AU320" s="1">
        <v>32620</v>
      </c>
      <c r="AV320">
        <v>80.010000000000005</v>
      </c>
      <c r="AX320" s="1">
        <v>3249.42</v>
      </c>
      <c r="AY320" t="s">
        <v>503</v>
      </c>
      <c r="AZ320" t="s">
        <v>504</v>
      </c>
      <c r="BA320" t="s">
        <v>218</v>
      </c>
      <c r="BE320" s="3">
        <v>42361</v>
      </c>
      <c r="BF320" s="1">
        <v>481500</v>
      </c>
      <c r="BG320" t="s">
        <v>209</v>
      </c>
      <c r="BH320" s="1">
        <v>94.75</v>
      </c>
      <c r="BI320" s="1">
        <v>461403</v>
      </c>
      <c r="BJ320" s="3">
        <v>42361</v>
      </c>
      <c r="BK320" t="s">
        <v>123</v>
      </c>
      <c r="BL320" t="str">
        <f>"2015.907106"</f>
        <v>2015.907106</v>
      </c>
      <c r="BM320" t="s">
        <v>175</v>
      </c>
      <c r="BO320" t="s">
        <v>2336</v>
      </c>
      <c r="BS320">
        <v>30</v>
      </c>
      <c r="BW320" t="str">
        <f>""</f>
        <v/>
      </c>
      <c r="CH320" t="str">
        <f>""</f>
        <v/>
      </c>
      <c r="CS320" t="str">
        <f>""</f>
        <v/>
      </c>
    </row>
    <row r="321" spans="1:97" x14ac:dyDescent="0.25">
      <c r="A321" t="s">
        <v>1898</v>
      </c>
      <c r="B321" t="s">
        <v>2337</v>
      </c>
      <c r="C321" t="s">
        <v>2338</v>
      </c>
      <c r="D321" t="s">
        <v>2339</v>
      </c>
      <c r="E321" t="s">
        <v>2340</v>
      </c>
      <c r="F321" t="s">
        <v>108</v>
      </c>
      <c r="H321" t="s">
        <v>2341</v>
      </c>
      <c r="I321" t="s">
        <v>203</v>
      </c>
      <c r="J321" t="s">
        <v>111</v>
      </c>
      <c r="K321" t="str">
        <f>"85298"</f>
        <v>85298</v>
      </c>
      <c r="L321" t="s">
        <v>284</v>
      </c>
      <c r="M321" t="s">
        <v>2341</v>
      </c>
      <c r="N321" t="s">
        <v>203</v>
      </c>
      <c r="O321" t="s">
        <v>111</v>
      </c>
      <c r="P321" t="str">
        <f>"85298"</f>
        <v>85298</v>
      </c>
      <c r="Q321" t="s">
        <v>113</v>
      </c>
      <c r="R321" t="str">
        <f>"304-73-238"</f>
        <v>304-73-238</v>
      </c>
      <c r="S321" t="s">
        <v>1237</v>
      </c>
      <c r="T321" t="s">
        <v>287</v>
      </c>
      <c r="U321">
        <v>3501</v>
      </c>
      <c r="W321">
        <v>5</v>
      </c>
      <c r="X321">
        <v>2014</v>
      </c>
      <c r="Z321">
        <v>1</v>
      </c>
      <c r="AC321" t="s">
        <v>115</v>
      </c>
      <c r="AD321">
        <v>3</v>
      </c>
      <c r="AE321" t="s">
        <v>115</v>
      </c>
      <c r="AH321" t="s">
        <v>116</v>
      </c>
      <c r="AI321" s="1">
        <v>134411</v>
      </c>
      <c r="AJ321" s="2">
        <v>0.21</v>
      </c>
      <c r="AK321" s="1">
        <v>651078</v>
      </c>
      <c r="AL321" t="s">
        <v>117</v>
      </c>
      <c r="AM321" t="s">
        <v>393</v>
      </c>
      <c r="AN321">
        <v>10400</v>
      </c>
      <c r="AO321">
        <v>0.24</v>
      </c>
      <c r="AR321">
        <v>1</v>
      </c>
      <c r="AS321" s="1">
        <v>51850</v>
      </c>
      <c r="AT321" s="1">
        <v>10370</v>
      </c>
      <c r="AU321" s="1">
        <v>41480</v>
      </c>
      <c r="AV321">
        <v>80</v>
      </c>
      <c r="AX321" s="1">
        <v>4200.22</v>
      </c>
      <c r="AY321" t="s">
        <v>289</v>
      </c>
      <c r="AZ321" t="s">
        <v>289</v>
      </c>
      <c r="BA321" t="s">
        <v>290</v>
      </c>
      <c r="BB321" s="3">
        <v>43209</v>
      </c>
      <c r="BC321" s="1">
        <v>0</v>
      </c>
      <c r="BD321" t="s">
        <v>247</v>
      </c>
      <c r="BE321" s="3">
        <v>42027</v>
      </c>
      <c r="BF321" s="1">
        <v>566988</v>
      </c>
      <c r="BG321" t="s">
        <v>2342</v>
      </c>
      <c r="BH321" s="1">
        <v>161.94999999999999</v>
      </c>
      <c r="BI321" s="1">
        <v>516667</v>
      </c>
      <c r="BJ321" s="3">
        <v>42027</v>
      </c>
      <c r="BK321" t="s">
        <v>123</v>
      </c>
      <c r="BL321" t="str">
        <f>"2015.45246"</f>
        <v>2015.45246</v>
      </c>
      <c r="BM321" t="s">
        <v>475</v>
      </c>
      <c r="BN321" t="s">
        <v>1282</v>
      </c>
      <c r="BO321" t="s">
        <v>2343</v>
      </c>
      <c r="BS321">
        <v>30</v>
      </c>
      <c r="BW321" t="str">
        <f>""</f>
        <v/>
      </c>
      <c r="CH321" t="str">
        <f>""</f>
        <v/>
      </c>
      <c r="CS321" t="str">
        <f>""</f>
        <v/>
      </c>
    </row>
    <row r="322" spans="1:97" x14ac:dyDescent="0.25">
      <c r="A322" t="s">
        <v>2344</v>
      </c>
      <c r="B322" t="s">
        <v>2345</v>
      </c>
      <c r="C322" t="s">
        <v>2346</v>
      </c>
      <c r="D322" t="s">
        <v>2345</v>
      </c>
      <c r="E322" t="s">
        <v>2347</v>
      </c>
      <c r="F322" t="s">
        <v>108</v>
      </c>
      <c r="H322" t="s">
        <v>2348</v>
      </c>
      <c r="I322" t="s">
        <v>203</v>
      </c>
      <c r="J322" t="s">
        <v>111</v>
      </c>
      <c r="K322" t="str">
        <f>"85298"</f>
        <v>85298</v>
      </c>
      <c r="L322" t="s">
        <v>681</v>
      </c>
      <c r="M322" t="s">
        <v>2348</v>
      </c>
      <c r="N322" t="s">
        <v>203</v>
      </c>
      <c r="O322" t="s">
        <v>111</v>
      </c>
      <c r="P322" t="str">
        <f>"85298"</f>
        <v>85298</v>
      </c>
      <c r="Q322" t="s">
        <v>113</v>
      </c>
      <c r="R322" t="str">
        <f>"304-88-436"</f>
        <v>304-88-436</v>
      </c>
      <c r="S322" t="s">
        <v>1165</v>
      </c>
      <c r="T322" t="s">
        <v>287</v>
      </c>
      <c r="U322">
        <v>3871</v>
      </c>
      <c r="W322">
        <v>4</v>
      </c>
      <c r="X322">
        <v>2014</v>
      </c>
      <c r="Z322">
        <v>2</v>
      </c>
      <c r="AC322" t="s">
        <v>115</v>
      </c>
      <c r="AD322">
        <v>3</v>
      </c>
      <c r="AE322" t="s">
        <v>115</v>
      </c>
      <c r="AH322" t="s">
        <v>116</v>
      </c>
      <c r="AI322" s="1">
        <v>117857</v>
      </c>
      <c r="AJ322" s="2">
        <v>0.23</v>
      </c>
      <c r="AK322" s="1">
        <v>519354</v>
      </c>
      <c r="AL322" t="s">
        <v>117</v>
      </c>
      <c r="AM322" t="s">
        <v>288</v>
      </c>
      <c r="AN322">
        <v>6710</v>
      </c>
      <c r="AO322">
        <v>0.15</v>
      </c>
      <c r="AR322">
        <v>1</v>
      </c>
      <c r="AS322" s="1">
        <v>36780</v>
      </c>
      <c r="AT322" s="1">
        <v>7350</v>
      </c>
      <c r="AU322" s="1">
        <v>29430</v>
      </c>
      <c r="AV322">
        <v>80.02</v>
      </c>
      <c r="AX322" s="1">
        <v>2885.4</v>
      </c>
      <c r="AY322" t="s">
        <v>289</v>
      </c>
      <c r="AZ322" t="s">
        <v>289</v>
      </c>
      <c r="BA322" t="s">
        <v>290</v>
      </c>
      <c r="BE322" s="3">
        <v>41988</v>
      </c>
      <c r="BF322" s="1">
        <v>401497</v>
      </c>
      <c r="BG322" t="s">
        <v>420</v>
      </c>
      <c r="BH322" s="1">
        <v>103.72</v>
      </c>
      <c r="BI322" s="1">
        <v>401497</v>
      </c>
      <c r="BJ322" s="3">
        <v>41988</v>
      </c>
      <c r="BK322" t="s">
        <v>123</v>
      </c>
      <c r="BL322" t="str">
        <f>"2014.823291"</f>
        <v>2014.823291</v>
      </c>
      <c r="BM322" t="s">
        <v>135</v>
      </c>
      <c r="BO322" t="s">
        <v>2349</v>
      </c>
      <c r="BS322">
        <v>30</v>
      </c>
      <c r="BW322" t="str">
        <f>""</f>
        <v/>
      </c>
      <c r="CH322" t="str">
        <f>""</f>
        <v/>
      </c>
      <c r="CS322" t="str">
        <f>""</f>
        <v/>
      </c>
    </row>
    <row r="323" spans="1:97" x14ac:dyDescent="0.25">
      <c r="A323" t="s">
        <v>2350</v>
      </c>
      <c r="B323" t="s">
        <v>2351</v>
      </c>
      <c r="E323" t="s">
        <v>2352</v>
      </c>
      <c r="F323" t="s">
        <v>108</v>
      </c>
      <c r="H323" t="s">
        <v>2353</v>
      </c>
      <c r="I323" t="s">
        <v>390</v>
      </c>
      <c r="J323" t="s">
        <v>111</v>
      </c>
      <c r="K323" t="str">
        <f>"85023"</f>
        <v>85023</v>
      </c>
      <c r="L323" t="s">
        <v>2354</v>
      </c>
      <c r="M323" t="s">
        <v>2353</v>
      </c>
      <c r="N323" t="s">
        <v>390</v>
      </c>
      <c r="O323" t="s">
        <v>111</v>
      </c>
      <c r="P323" t="str">
        <f>"85023-2524"</f>
        <v>85023-2524</v>
      </c>
      <c r="Q323" t="s">
        <v>113</v>
      </c>
      <c r="R323" t="str">
        <f>"208-08-598"</f>
        <v>208-08-598</v>
      </c>
      <c r="S323" t="s">
        <v>2355</v>
      </c>
      <c r="U323">
        <v>1580</v>
      </c>
      <c r="W323">
        <v>2</v>
      </c>
      <c r="X323">
        <v>2014</v>
      </c>
      <c r="Z323">
        <v>1</v>
      </c>
      <c r="AC323" t="s">
        <v>115</v>
      </c>
      <c r="AD323">
        <v>2</v>
      </c>
      <c r="AE323" t="s">
        <v>115</v>
      </c>
      <c r="AH323" t="s">
        <v>116</v>
      </c>
      <c r="AI323" s="1">
        <v>69577</v>
      </c>
      <c r="AJ323" s="2">
        <v>0.25</v>
      </c>
      <c r="AK323" s="1">
        <v>276421</v>
      </c>
      <c r="AL323" t="s">
        <v>117</v>
      </c>
      <c r="AM323" t="s">
        <v>171</v>
      </c>
      <c r="AN323">
        <v>5022</v>
      </c>
      <c r="AO323">
        <v>0.12</v>
      </c>
      <c r="AR323">
        <v>1</v>
      </c>
      <c r="AS323" s="1">
        <v>19280</v>
      </c>
      <c r="AT323" s="1">
        <v>3850</v>
      </c>
      <c r="AU323" s="1">
        <v>15430</v>
      </c>
      <c r="AV323">
        <v>80.03</v>
      </c>
      <c r="AX323" s="1">
        <v>1434.9</v>
      </c>
      <c r="AY323" t="s">
        <v>2356</v>
      </c>
      <c r="AZ323" t="s">
        <v>2357</v>
      </c>
      <c r="BA323" t="s">
        <v>1462</v>
      </c>
      <c r="BE323" s="3">
        <v>41992</v>
      </c>
      <c r="BF323" s="1">
        <v>200237</v>
      </c>
      <c r="BG323" t="s">
        <v>2358</v>
      </c>
      <c r="BH323" s="1">
        <v>126.73</v>
      </c>
      <c r="BI323" s="1">
        <v>206844</v>
      </c>
      <c r="BJ323" s="3">
        <v>41992</v>
      </c>
      <c r="BK323" t="s">
        <v>123</v>
      </c>
      <c r="BL323" t="str">
        <f>"2014.834199"</f>
        <v>2014.834199</v>
      </c>
      <c r="BM323" t="s">
        <v>2359</v>
      </c>
      <c r="BO323" t="s">
        <v>2360</v>
      </c>
      <c r="BS323">
        <v>30</v>
      </c>
      <c r="BW323" t="str">
        <f>""</f>
        <v/>
      </c>
      <c r="CH323" t="str">
        <f>""</f>
        <v/>
      </c>
      <c r="CS323" t="str">
        <f>""</f>
        <v/>
      </c>
    </row>
    <row r="324" spans="1:97" x14ac:dyDescent="0.25">
      <c r="A324" t="s">
        <v>610</v>
      </c>
      <c r="B324" t="s">
        <v>2361</v>
      </c>
      <c r="C324" t="s">
        <v>2019</v>
      </c>
      <c r="D324" t="s">
        <v>2361</v>
      </c>
      <c r="E324" t="s">
        <v>2362</v>
      </c>
      <c r="F324" t="s">
        <v>108</v>
      </c>
      <c r="H324" t="s">
        <v>2363</v>
      </c>
      <c r="I324" t="s">
        <v>203</v>
      </c>
      <c r="J324" t="s">
        <v>111</v>
      </c>
      <c r="K324" t="str">
        <f>"85298"</f>
        <v>85298</v>
      </c>
      <c r="L324" t="s">
        <v>681</v>
      </c>
      <c r="M324" t="s">
        <v>2363</v>
      </c>
      <c r="N324" t="s">
        <v>203</v>
      </c>
      <c r="O324" t="s">
        <v>111</v>
      </c>
      <c r="P324" t="str">
        <f>"85298"</f>
        <v>85298</v>
      </c>
      <c r="Q324" t="s">
        <v>113</v>
      </c>
      <c r="R324" t="str">
        <f>"304-87-574"</f>
        <v>304-87-574</v>
      </c>
      <c r="S324" t="s">
        <v>682</v>
      </c>
      <c r="U324">
        <v>3246</v>
      </c>
      <c r="W324">
        <v>4</v>
      </c>
      <c r="X324">
        <v>2014</v>
      </c>
      <c r="Z324">
        <v>1</v>
      </c>
      <c r="AC324" t="s">
        <v>115</v>
      </c>
      <c r="AD324">
        <v>2</v>
      </c>
      <c r="AE324" t="s">
        <v>115</v>
      </c>
      <c r="AH324" t="s">
        <v>116</v>
      </c>
      <c r="AI324" s="1">
        <v>104318</v>
      </c>
      <c r="AJ324" s="2">
        <v>0.2</v>
      </c>
      <c r="AK324" s="1">
        <v>516918</v>
      </c>
      <c r="AL324" t="s">
        <v>117</v>
      </c>
      <c r="AM324" t="s">
        <v>393</v>
      </c>
      <c r="AN324">
        <v>14010</v>
      </c>
      <c r="AO324">
        <v>0.32</v>
      </c>
      <c r="AR324">
        <v>1</v>
      </c>
      <c r="AS324" s="1">
        <v>42250</v>
      </c>
      <c r="AT324" s="1">
        <v>8450</v>
      </c>
      <c r="AU324" s="1">
        <v>33800</v>
      </c>
      <c r="AV324">
        <v>80</v>
      </c>
      <c r="AX324" s="1">
        <v>3842.18</v>
      </c>
      <c r="AY324" t="s">
        <v>289</v>
      </c>
      <c r="AZ324" t="s">
        <v>289</v>
      </c>
      <c r="BA324" t="s">
        <v>290</v>
      </c>
      <c r="BE324" s="3">
        <v>41796</v>
      </c>
      <c r="BF324" s="1">
        <v>414053</v>
      </c>
      <c r="BG324" t="s">
        <v>209</v>
      </c>
      <c r="BH324" s="1">
        <v>127.56</v>
      </c>
      <c r="BI324" s="1">
        <v>412600</v>
      </c>
      <c r="BJ324" s="3">
        <v>41981</v>
      </c>
      <c r="BK324" t="s">
        <v>123</v>
      </c>
      <c r="BL324" t="str">
        <f>"2014.804882"</f>
        <v>2014.804882</v>
      </c>
      <c r="BM324" t="s">
        <v>402</v>
      </c>
      <c r="BN324" t="s">
        <v>461</v>
      </c>
      <c r="BO324" t="s">
        <v>2364</v>
      </c>
      <c r="BS324">
        <v>30</v>
      </c>
      <c r="BW324" t="str">
        <f>""</f>
        <v/>
      </c>
      <c r="CH324" t="str">
        <f>""</f>
        <v/>
      </c>
      <c r="CS324" t="str">
        <f>""</f>
        <v/>
      </c>
    </row>
    <row r="325" spans="1:97" x14ac:dyDescent="0.25">
      <c r="A325" t="s">
        <v>257</v>
      </c>
      <c r="B325" t="s">
        <v>2365</v>
      </c>
      <c r="C325" t="s">
        <v>970</v>
      </c>
      <c r="D325" t="s">
        <v>2365</v>
      </c>
      <c r="E325" t="s">
        <v>2366</v>
      </c>
      <c r="F325" t="s">
        <v>108</v>
      </c>
      <c r="H325" t="s">
        <v>2367</v>
      </c>
      <c r="I325" t="s">
        <v>632</v>
      </c>
      <c r="J325" t="s">
        <v>111</v>
      </c>
      <c r="K325" t="str">
        <f>"85379"</f>
        <v>85379</v>
      </c>
      <c r="L325" t="s">
        <v>375</v>
      </c>
      <c r="M325" t="s">
        <v>2367</v>
      </c>
      <c r="N325" t="s">
        <v>632</v>
      </c>
      <c r="O325" t="s">
        <v>111</v>
      </c>
      <c r="P325" t="str">
        <f>"85379-4279"</f>
        <v>85379-4279</v>
      </c>
      <c r="Q325" t="s">
        <v>113</v>
      </c>
      <c r="R325" t="str">
        <f>"509-11-713"</f>
        <v>509-11-713</v>
      </c>
      <c r="S325" t="s">
        <v>633</v>
      </c>
      <c r="U325">
        <v>3505</v>
      </c>
      <c r="W325">
        <v>5</v>
      </c>
      <c r="X325">
        <v>2015</v>
      </c>
      <c r="Z325">
        <v>2</v>
      </c>
      <c r="AC325" t="s">
        <v>115</v>
      </c>
      <c r="AD325">
        <v>3</v>
      </c>
      <c r="AE325" t="s">
        <v>115</v>
      </c>
      <c r="AH325" t="s">
        <v>116</v>
      </c>
      <c r="AI325" s="1">
        <v>42792</v>
      </c>
      <c r="AJ325" s="2">
        <v>0.11</v>
      </c>
      <c r="AK325" s="1">
        <v>391246</v>
      </c>
      <c r="AL325" t="s">
        <v>117</v>
      </c>
      <c r="AM325" t="s">
        <v>118</v>
      </c>
      <c r="AN325">
        <v>7097</v>
      </c>
      <c r="AO325">
        <v>0.16</v>
      </c>
      <c r="AR325">
        <v>1</v>
      </c>
      <c r="AS325" s="1">
        <v>29630</v>
      </c>
      <c r="AT325" s="1">
        <v>5920</v>
      </c>
      <c r="AU325" s="1">
        <v>23710</v>
      </c>
      <c r="AV325">
        <v>80.02</v>
      </c>
      <c r="AX325" s="1">
        <v>3787.68</v>
      </c>
      <c r="AY325" t="s">
        <v>634</v>
      </c>
      <c r="AZ325" t="s">
        <v>634</v>
      </c>
      <c r="BA325" t="s">
        <v>635</v>
      </c>
      <c r="BE325" s="3">
        <v>42156</v>
      </c>
      <c r="BF325" s="1">
        <v>337323</v>
      </c>
      <c r="BG325" t="s">
        <v>636</v>
      </c>
      <c r="BH325" s="1">
        <v>96.24</v>
      </c>
      <c r="BI325" s="1">
        <v>348454</v>
      </c>
      <c r="BJ325" s="3">
        <v>42156</v>
      </c>
      <c r="BK325" t="s">
        <v>123</v>
      </c>
      <c r="BL325" t="str">
        <f>"2015.390404"</f>
        <v>2015.390404</v>
      </c>
      <c r="BM325" t="s">
        <v>2368</v>
      </c>
      <c r="BO325" t="s">
        <v>2369</v>
      </c>
      <c r="BS325">
        <v>30</v>
      </c>
      <c r="BW325" t="str">
        <f>""</f>
        <v/>
      </c>
      <c r="CH325" t="str">
        <f>""</f>
        <v/>
      </c>
      <c r="CS325" t="str">
        <f>""</f>
        <v/>
      </c>
    </row>
    <row r="326" spans="1:97" x14ac:dyDescent="0.25">
      <c r="A326" t="s">
        <v>1393</v>
      </c>
      <c r="B326" t="s">
        <v>2370</v>
      </c>
      <c r="C326" t="s">
        <v>1735</v>
      </c>
      <c r="D326" t="s">
        <v>2370</v>
      </c>
      <c r="E326" t="s">
        <v>2371</v>
      </c>
      <c r="F326" t="s">
        <v>108</v>
      </c>
      <c r="H326" t="s">
        <v>2372</v>
      </c>
      <c r="I326" t="s">
        <v>225</v>
      </c>
      <c r="J326" t="s">
        <v>111</v>
      </c>
      <c r="K326" t="str">
        <f>"85212"</f>
        <v>85212</v>
      </c>
      <c r="L326" t="s">
        <v>558</v>
      </c>
      <c r="M326" t="s">
        <v>2372</v>
      </c>
      <c r="N326" t="s">
        <v>225</v>
      </c>
      <c r="O326" t="s">
        <v>111</v>
      </c>
      <c r="P326" t="str">
        <f>"85212-8095"</f>
        <v>85212-8095</v>
      </c>
      <c r="Q326" t="s">
        <v>113</v>
      </c>
      <c r="R326" t="str">
        <f>"304-50-499"</f>
        <v>304-50-499</v>
      </c>
      <c r="S326" t="s">
        <v>1369</v>
      </c>
      <c r="U326">
        <v>2982</v>
      </c>
      <c r="W326">
        <v>4</v>
      </c>
      <c r="X326">
        <v>2015</v>
      </c>
      <c r="Z326">
        <v>1</v>
      </c>
      <c r="AC326" t="s">
        <v>115</v>
      </c>
      <c r="AD326">
        <v>3</v>
      </c>
      <c r="AE326" t="s">
        <v>115</v>
      </c>
      <c r="AH326" t="s">
        <v>116</v>
      </c>
      <c r="AI326" s="1">
        <v>126090</v>
      </c>
      <c r="AJ326" s="2">
        <v>0.27</v>
      </c>
      <c r="AK326" s="1">
        <v>465195</v>
      </c>
      <c r="AL326" t="s">
        <v>117</v>
      </c>
      <c r="AM326" t="s">
        <v>118</v>
      </c>
      <c r="AN326">
        <v>9747</v>
      </c>
      <c r="AO326">
        <v>0.22</v>
      </c>
      <c r="AR326">
        <v>1</v>
      </c>
      <c r="AS326" s="1">
        <v>33680</v>
      </c>
      <c r="AT326" s="1">
        <v>6730</v>
      </c>
      <c r="AU326" s="1">
        <v>26950</v>
      </c>
      <c r="AV326">
        <v>80.02</v>
      </c>
      <c r="AX326" s="1">
        <v>4245.12</v>
      </c>
      <c r="AY326" t="s">
        <v>560</v>
      </c>
      <c r="AZ326" t="s">
        <v>561</v>
      </c>
      <c r="BA326" t="s">
        <v>194</v>
      </c>
      <c r="BE326" s="3">
        <v>42517</v>
      </c>
      <c r="BF326" s="1">
        <v>398947</v>
      </c>
      <c r="BG326" t="s">
        <v>562</v>
      </c>
      <c r="BH326" s="1">
        <v>133.79</v>
      </c>
      <c r="BI326" s="1">
        <v>339105</v>
      </c>
      <c r="BJ326" s="3">
        <v>42517</v>
      </c>
      <c r="BK326" t="s">
        <v>123</v>
      </c>
      <c r="BL326" t="str">
        <f>"2016.368535"</f>
        <v>2016.368535</v>
      </c>
      <c r="BM326" t="s">
        <v>1998</v>
      </c>
      <c r="BO326" t="s">
        <v>2373</v>
      </c>
      <c r="BS326">
        <v>30</v>
      </c>
      <c r="BW326" t="str">
        <f>""</f>
        <v/>
      </c>
      <c r="CH326" t="str">
        <f>""</f>
        <v/>
      </c>
      <c r="CS326" t="str">
        <f>""</f>
        <v/>
      </c>
    </row>
    <row r="327" spans="1:97" x14ac:dyDescent="0.25">
      <c r="A327" t="s">
        <v>2374</v>
      </c>
      <c r="B327" t="s">
        <v>2375</v>
      </c>
      <c r="C327" t="s">
        <v>2002</v>
      </c>
      <c r="D327" t="s">
        <v>2375</v>
      </c>
      <c r="E327" t="s">
        <v>2376</v>
      </c>
      <c r="F327" t="s">
        <v>108</v>
      </c>
      <c r="H327" t="s">
        <v>2377</v>
      </c>
      <c r="I327" t="s">
        <v>203</v>
      </c>
      <c r="J327" t="s">
        <v>111</v>
      </c>
      <c r="K327" t="str">
        <f>"85298"</f>
        <v>85298</v>
      </c>
      <c r="L327" t="s">
        <v>681</v>
      </c>
      <c r="M327" t="s">
        <v>2377</v>
      </c>
      <c r="N327" t="s">
        <v>203</v>
      </c>
      <c r="O327" t="s">
        <v>111</v>
      </c>
      <c r="P327" t="str">
        <f>"85298"</f>
        <v>85298</v>
      </c>
      <c r="Q327" t="s">
        <v>113</v>
      </c>
      <c r="R327" t="str">
        <f>"304-87-625"</f>
        <v>304-87-625</v>
      </c>
      <c r="S327" t="s">
        <v>682</v>
      </c>
      <c r="U327">
        <v>3780</v>
      </c>
      <c r="W327">
        <v>5</v>
      </c>
      <c r="X327">
        <v>2015</v>
      </c>
      <c r="Z327">
        <v>2</v>
      </c>
      <c r="AA327" t="s">
        <v>26</v>
      </c>
      <c r="AC327" t="s">
        <v>115</v>
      </c>
      <c r="AD327">
        <v>4</v>
      </c>
      <c r="AE327" t="s">
        <v>115</v>
      </c>
      <c r="AH327" t="s">
        <v>116</v>
      </c>
      <c r="AI327" s="1">
        <v>157295</v>
      </c>
      <c r="AJ327" s="2">
        <v>0.28999999999999998</v>
      </c>
      <c r="AK327" s="1">
        <v>546695</v>
      </c>
      <c r="AL327" t="s">
        <v>117</v>
      </c>
      <c r="AM327" t="s">
        <v>393</v>
      </c>
      <c r="AN327">
        <v>8160</v>
      </c>
      <c r="AO327">
        <v>0.19</v>
      </c>
      <c r="AR327">
        <v>1</v>
      </c>
      <c r="AS327" s="1">
        <v>40750</v>
      </c>
      <c r="AT327" s="1">
        <v>8150</v>
      </c>
      <c r="AU327" s="1">
        <v>32600</v>
      </c>
      <c r="AV327">
        <v>80</v>
      </c>
      <c r="AX327" s="1">
        <v>3278.9</v>
      </c>
      <c r="AY327" t="s">
        <v>289</v>
      </c>
      <c r="AZ327" t="s">
        <v>289</v>
      </c>
      <c r="BA327" t="s">
        <v>290</v>
      </c>
      <c r="BE327" s="3">
        <v>42090</v>
      </c>
      <c r="BF327" s="1">
        <v>435887</v>
      </c>
      <c r="BG327" t="s">
        <v>209</v>
      </c>
      <c r="BH327" s="1">
        <v>115.31</v>
      </c>
      <c r="BI327" s="1">
        <v>389400</v>
      </c>
      <c r="BJ327" s="3">
        <v>42625</v>
      </c>
      <c r="BK327" t="s">
        <v>123</v>
      </c>
      <c r="BL327" t="str">
        <f>"2016.658053"</f>
        <v>2016.658053</v>
      </c>
      <c r="BM327" t="s">
        <v>2378</v>
      </c>
      <c r="BO327" t="s">
        <v>2379</v>
      </c>
      <c r="BS327">
        <v>30</v>
      </c>
      <c r="BW327" t="str">
        <f>""</f>
        <v/>
      </c>
      <c r="CH327" t="str">
        <f>""</f>
        <v/>
      </c>
      <c r="CS327" t="str">
        <f>""</f>
        <v/>
      </c>
    </row>
    <row r="328" spans="1:97" x14ac:dyDescent="0.25">
      <c r="A328" t="s">
        <v>141</v>
      </c>
      <c r="B328" t="s">
        <v>2380</v>
      </c>
      <c r="C328" t="s">
        <v>2184</v>
      </c>
      <c r="D328" t="s">
        <v>2380</v>
      </c>
      <c r="E328" t="s">
        <v>2381</v>
      </c>
      <c r="F328" t="s">
        <v>108</v>
      </c>
      <c r="H328" t="s">
        <v>2382</v>
      </c>
      <c r="I328" t="s">
        <v>225</v>
      </c>
      <c r="J328" t="s">
        <v>111</v>
      </c>
      <c r="K328" t="str">
        <f>"85212"</f>
        <v>85212</v>
      </c>
      <c r="L328" t="s">
        <v>567</v>
      </c>
      <c r="M328" t="s">
        <v>2382</v>
      </c>
      <c r="N328" t="s">
        <v>225</v>
      </c>
      <c r="O328" t="s">
        <v>111</v>
      </c>
      <c r="P328" t="str">
        <f>"85212-9713"</f>
        <v>85212-9713</v>
      </c>
      <c r="Q328" t="s">
        <v>113</v>
      </c>
      <c r="R328" t="str">
        <f>"304-17-429"</f>
        <v>304-17-429</v>
      </c>
      <c r="S328" t="s">
        <v>568</v>
      </c>
      <c r="T328" t="s">
        <v>569</v>
      </c>
      <c r="U328">
        <v>3758</v>
      </c>
      <c r="W328">
        <v>5</v>
      </c>
      <c r="X328">
        <v>2014</v>
      </c>
      <c r="Z328">
        <v>2</v>
      </c>
      <c r="AA328" t="s">
        <v>26</v>
      </c>
      <c r="AC328" t="s">
        <v>115</v>
      </c>
      <c r="AD328">
        <v>3</v>
      </c>
      <c r="AE328" t="s">
        <v>115</v>
      </c>
      <c r="AH328" t="s">
        <v>116</v>
      </c>
      <c r="AI328" s="1">
        <v>100796</v>
      </c>
      <c r="AJ328" s="2">
        <v>0.19</v>
      </c>
      <c r="AK328" s="1">
        <v>523139</v>
      </c>
      <c r="AL328" t="s">
        <v>117</v>
      </c>
      <c r="AM328" t="s">
        <v>917</v>
      </c>
      <c r="AN328">
        <v>9100</v>
      </c>
      <c r="AO328">
        <v>0.21</v>
      </c>
      <c r="AR328">
        <v>1</v>
      </c>
      <c r="AS328" s="1">
        <v>39330</v>
      </c>
      <c r="AT328" s="1">
        <v>7860</v>
      </c>
      <c r="AU328" s="1">
        <v>31470</v>
      </c>
      <c r="AV328">
        <v>80.02</v>
      </c>
      <c r="AX328" s="1">
        <v>2780.96</v>
      </c>
      <c r="AY328" t="s">
        <v>570</v>
      </c>
      <c r="AZ328" t="s">
        <v>571</v>
      </c>
      <c r="BA328" t="s">
        <v>572</v>
      </c>
      <c r="BE328" s="3">
        <v>41906</v>
      </c>
      <c r="BF328" s="1">
        <v>385000</v>
      </c>
      <c r="BG328" t="s">
        <v>420</v>
      </c>
      <c r="BH328" s="1">
        <v>102.45</v>
      </c>
      <c r="BI328" s="1">
        <v>384095</v>
      </c>
      <c r="BJ328" s="3">
        <v>42703</v>
      </c>
      <c r="BK328" t="s">
        <v>123</v>
      </c>
      <c r="BL328" t="str">
        <f>"2016.874058"</f>
        <v>2016.874058</v>
      </c>
      <c r="BM328" t="s">
        <v>2383</v>
      </c>
      <c r="BO328" t="s">
        <v>2384</v>
      </c>
      <c r="BS328">
        <v>30</v>
      </c>
      <c r="BT328" s="1">
        <v>38248</v>
      </c>
      <c r="BU328" s="3">
        <v>42186</v>
      </c>
      <c r="BV328" t="s">
        <v>134</v>
      </c>
      <c r="BW328" t="str">
        <f>"2015.475696"</f>
        <v>2015.475696</v>
      </c>
      <c r="BX328" t="s">
        <v>198</v>
      </c>
      <c r="BZ328" t="s">
        <v>2384</v>
      </c>
      <c r="CD328">
        <v>15</v>
      </c>
      <c r="CH328" t="str">
        <f>""</f>
        <v/>
      </c>
      <c r="CS328" t="str">
        <f>""</f>
        <v/>
      </c>
    </row>
    <row r="329" spans="1:97" x14ac:dyDescent="0.25">
      <c r="A329" t="s">
        <v>325</v>
      </c>
      <c r="B329" t="s">
        <v>1949</v>
      </c>
      <c r="E329" t="s">
        <v>2385</v>
      </c>
      <c r="F329" t="s">
        <v>108</v>
      </c>
      <c r="H329" t="s">
        <v>2386</v>
      </c>
      <c r="I329" t="s">
        <v>374</v>
      </c>
      <c r="J329" t="s">
        <v>111</v>
      </c>
      <c r="K329" t="str">
        <f>"85087"</f>
        <v>85087</v>
      </c>
      <c r="L329" t="s">
        <v>375</v>
      </c>
      <c r="M329" t="s">
        <v>2386</v>
      </c>
      <c r="N329" t="s">
        <v>374</v>
      </c>
      <c r="O329" t="s">
        <v>111</v>
      </c>
      <c r="P329" t="str">
        <f>"85087-6214"</f>
        <v>85087-6214</v>
      </c>
      <c r="Q329" t="s">
        <v>113</v>
      </c>
      <c r="R329" t="str">
        <f>"202-23-348"</f>
        <v>202-23-348</v>
      </c>
      <c r="S329" t="s">
        <v>663</v>
      </c>
      <c r="T329" t="s">
        <v>664</v>
      </c>
      <c r="U329">
        <v>4320</v>
      </c>
      <c r="W329">
        <v>6</v>
      </c>
      <c r="X329">
        <v>2015</v>
      </c>
      <c r="Z329">
        <v>2</v>
      </c>
      <c r="AC329" t="s">
        <v>115</v>
      </c>
      <c r="AD329">
        <v>3</v>
      </c>
      <c r="AE329" t="s">
        <v>115</v>
      </c>
      <c r="AH329" t="s">
        <v>116</v>
      </c>
      <c r="AI329" s="1">
        <v>88727</v>
      </c>
      <c r="AJ329" s="2">
        <v>0.17</v>
      </c>
      <c r="AK329" s="1">
        <v>519152</v>
      </c>
      <c r="AL329" t="s">
        <v>117</v>
      </c>
      <c r="AM329" t="s">
        <v>1302</v>
      </c>
      <c r="AN329">
        <v>10500</v>
      </c>
      <c r="AO329">
        <v>0.24</v>
      </c>
      <c r="AR329">
        <v>1</v>
      </c>
      <c r="AS329" s="1">
        <v>38780</v>
      </c>
      <c r="AT329" s="1">
        <v>7750</v>
      </c>
      <c r="AU329" s="1">
        <v>31030</v>
      </c>
      <c r="AV329">
        <v>80.02</v>
      </c>
      <c r="AX329" s="1">
        <v>3541.18</v>
      </c>
      <c r="AY329" t="s">
        <v>665</v>
      </c>
      <c r="AZ329" t="s">
        <v>665</v>
      </c>
      <c r="BA329" t="s">
        <v>378</v>
      </c>
      <c r="BE329" s="3">
        <v>42069</v>
      </c>
      <c r="BF329" s="1">
        <v>416675</v>
      </c>
      <c r="BG329" t="s">
        <v>2387</v>
      </c>
      <c r="BH329" s="1">
        <v>96.45</v>
      </c>
      <c r="BI329" s="1">
        <v>430425</v>
      </c>
      <c r="BJ329" s="3">
        <v>42069</v>
      </c>
      <c r="BK329" t="s">
        <v>123</v>
      </c>
      <c r="BL329" t="str">
        <f>"2015.153114"</f>
        <v>2015.153114</v>
      </c>
      <c r="BM329" t="s">
        <v>820</v>
      </c>
      <c r="BO329" t="s">
        <v>2388</v>
      </c>
      <c r="BS329">
        <v>30</v>
      </c>
      <c r="BW329" t="str">
        <f>""</f>
        <v/>
      </c>
      <c r="CH329" t="str">
        <f>""</f>
        <v/>
      </c>
      <c r="CS329" t="str">
        <f>""</f>
        <v/>
      </c>
    </row>
    <row r="330" spans="1:97" x14ac:dyDescent="0.25">
      <c r="A330" t="s">
        <v>179</v>
      </c>
      <c r="B330" t="s">
        <v>2389</v>
      </c>
      <c r="C330" t="s">
        <v>1067</v>
      </c>
      <c r="D330" t="s">
        <v>2389</v>
      </c>
      <c r="E330" t="s">
        <v>2390</v>
      </c>
      <c r="F330" t="s">
        <v>108</v>
      </c>
      <c r="H330" t="s">
        <v>2391</v>
      </c>
      <c r="I330" t="s">
        <v>144</v>
      </c>
      <c r="J330" t="s">
        <v>111</v>
      </c>
      <c r="K330" t="str">
        <f>"85396"</f>
        <v>85396</v>
      </c>
      <c r="L330" t="s">
        <v>439</v>
      </c>
      <c r="M330" t="s">
        <v>2391</v>
      </c>
      <c r="N330" t="s">
        <v>144</v>
      </c>
      <c r="O330" t="s">
        <v>111</v>
      </c>
      <c r="P330" t="str">
        <f>"85396-2332"</f>
        <v>85396-2332</v>
      </c>
      <c r="R330" t="str">
        <f>"510-07-418"</f>
        <v>510-07-418</v>
      </c>
      <c r="S330" t="s">
        <v>1896</v>
      </c>
      <c r="U330">
        <v>2514</v>
      </c>
      <c r="W330">
        <v>3</v>
      </c>
      <c r="X330">
        <v>2015</v>
      </c>
      <c r="Z330">
        <v>1</v>
      </c>
      <c r="AC330" t="s">
        <v>115</v>
      </c>
      <c r="AD330">
        <v>3</v>
      </c>
      <c r="AE330" t="s">
        <v>115</v>
      </c>
      <c r="AH330" t="s">
        <v>116</v>
      </c>
      <c r="AI330" s="1">
        <v>85472</v>
      </c>
      <c r="AJ330" s="2">
        <v>0.2</v>
      </c>
      <c r="AK330" s="1">
        <v>420449</v>
      </c>
      <c r="AL330" t="s">
        <v>117</v>
      </c>
      <c r="AM330" t="s">
        <v>118</v>
      </c>
      <c r="AN330">
        <v>8394</v>
      </c>
      <c r="AO330">
        <v>0.19</v>
      </c>
      <c r="AR330">
        <v>1</v>
      </c>
      <c r="AS330" s="1">
        <v>30310</v>
      </c>
      <c r="AT330" s="1">
        <v>6060</v>
      </c>
      <c r="AU330" s="1">
        <v>24250</v>
      </c>
      <c r="AV330">
        <v>80.010000000000005</v>
      </c>
      <c r="AX330" s="1">
        <v>3050.68</v>
      </c>
      <c r="AY330" t="s">
        <v>444</v>
      </c>
      <c r="AZ330" t="s">
        <v>444</v>
      </c>
      <c r="BA330" t="s">
        <v>445</v>
      </c>
      <c r="BE330" s="3">
        <v>42352</v>
      </c>
      <c r="BF330" s="1">
        <v>325564</v>
      </c>
      <c r="BG330" t="s">
        <v>446</v>
      </c>
      <c r="BH330" s="1">
        <v>129.5</v>
      </c>
      <c r="BI330" s="1">
        <v>334977</v>
      </c>
      <c r="BJ330" s="3">
        <v>42599</v>
      </c>
      <c r="BK330" t="s">
        <v>123</v>
      </c>
      <c r="BL330" t="str">
        <f>"2016.587628"</f>
        <v>2016.587628</v>
      </c>
      <c r="BM330" t="s">
        <v>709</v>
      </c>
      <c r="BN330" t="s">
        <v>863</v>
      </c>
      <c r="BO330" t="s">
        <v>2392</v>
      </c>
      <c r="BS330">
        <v>30</v>
      </c>
      <c r="BW330" t="str">
        <f>""</f>
        <v/>
      </c>
      <c r="CH330" t="str">
        <f>""</f>
        <v/>
      </c>
      <c r="CS330" t="str">
        <f>""</f>
        <v/>
      </c>
    </row>
    <row r="331" spans="1:97" x14ac:dyDescent="0.25">
      <c r="A331" t="s">
        <v>2393</v>
      </c>
      <c r="B331" t="s">
        <v>2394</v>
      </c>
      <c r="C331" t="s">
        <v>2395</v>
      </c>
      <c r="D331" t="s">
        <v>2394</v>
      </c>
      <c r="E331" t="s">
        <v>2396</v>
      </c>
      <c r="F331" t="s">
        <v>108</v>
      </c>
      <c r="H331" t="s">
        <v>2397</v>
      </c>
      <c r="I331" t="s">
        <v>203</v>
      </c>
      <c r="J331" t="s">
        <v>111</v>
      </c>
      <c r="K331" t="str">
        <f>"85298"</f>
        <v>85298</v>
      </c>
      <c r="L331" t="s">
        <v>284</v>
      </c>
      <c r="M331" t="s">
        <v>2397</v>
      </c>
      <c r="N331" t="s">
        <v>203</v>
      </c>
      <c r="O331" t="s">
        <v>111</v>
      </c>
      <c r="P331" t="str">
        <f>"85298"</f>
        <v>85298</v>
      </c>
      <c r="R331" t="str">
        <f>"304-73-396"</f>
        <v>304-73-396</v>
      </c>
      <c r="S331" t="s">
        <v>953</v>
      </c>
      <c r="T331" t="s">
        <v>287</v>
      </c>
      <c r="U331">
        <v>2173</v>
      </c>
      <c r="W331">
        <v>3</v>
      </c>
      <c r="X331">
        <v>2015</v>
      </c>
      <c r="Z331">
        <v>1</v>
      </c>
      <c r="AC331" t="s">
        <v>115</v>
      </c>
      <c r="AD331">
        <v>3</v>
      </c>
      <c r="AE331" t="s">
        <v>115</v>
      </c>
      <c r="AH331" t="s">
        <v>116</v>
      </c>
      <c r="AI331" s="1">
        <v>40673</v>
      </c>
      <c r="AJ331" s="2">
        <v>0.1</v>
      </c>
      <c r="AK331" s="1">
        <v>403159</v>
      </c>
      <c r="AL331" t="s">
        <v>117</v>
      </c>
      <c r="AM331" t="s">
        <v>288</v>
      </c>
      <c r="AN331">
        <v>5840</v>
      </c>
      <c r="AO331">
        <v>0.13</v>
      </c>
      <c r="AR331">
        <v>1</v>
      </c>
      <c r="AS331" s="1">
        <v>28020</v>
      </c>
      <c r="AT331" s="1">
        <v>5600</v>
      </c>
      <c r="AU331" s="1">
        <v>22420</v>
      </c>
      <c r="AV331">
        <v>80.010000000000005</v>
      </c>
      <c r="AX331" s="1">
        <v>2303.7600000000002</v>
      </c>
      <c r="AY331" t="s">
        <v>289</v>
      </c>
      <c r="AZ331" t="s">
        <v>289</v>
      </c>
      <c r="BA331" t="s">
        <v>290</v>
      </c>
      <c r="BE331" s="3">
        <v>42317</v>
      </c>
      <c r="BF331" s="1">
        <v>321539</v>
      </c>
      <c r="BG331" t="s">
        <v>954</v>
      </c>
      <c r="BH331" s="1">
        <v>147.97</v>
      </c>
      <c r="BI331" s="1">
        <v>300850</v>
      </c>
      <c r="BJ331" s="3">
        <v>42598</v>
      </c>
      <c r="BK331" t="s">
        <v>123</v>
      </c>
      <c r="BL331" t="str">
        <f>"2016.586437"</f>
        <v>2016.586437</v>
      </c>
      <c r="BM331" t="s">
        <v>255</v>
      </c>
      <c r="BN331" t="s">
        <v>2398</v>
      </c>
      <c r="BO331" t="s">
        <v>2399</v>
      </c>
      <c r="BS331">
        <v>30</v>
      </c>
      <c r="BT331" s="1">
        <v>61636</v>
      </c>
      <c r="BU331" s="3">
        <v>43738</v>
      </c>
      <c r="BW331" t="str">
        <f>"2019.770907"</f>
        <v>2019.770907</v>
      </c>
      <c r="BX331" t="s">
        <v>383</v>
      </c>
      <c r="BY331" t="s">
        <v>384</v>
      </c>
      <c r="BZ331" t="s">
        <v>2400</v>
      </c>
      <c r="CA331" t="s">
        <v>2401</v>
      </c>
      <c r="CC331" t="s">
        <v>346</v>
      </c>
      <c r="CH331" t="str">
        <f>""</f>
        <v/>
      </c>
      <c r="CS331" t="str">
        <f>""</f>
        <v/>
      </c>
    </row>
    <row r="332" spans="1:97" x14ac:dyDescent="0.25">
      <c r="A332" t="s">
        <v>2402</v>
      </c>
      <c r="B332" t="s">
        <v>2403</v>
      </c>
      <c r="C332" t="s">
        <v>1906</v>
      </c>
      <c r="D332" t="s">
        <v>2403</v>
      </c>
      <c r="E332" t="s">
        <v>2404</v>
      </c>
      <c r="F332" t="s">
        <v>108</v>
      </c>
      <c r="H332" t="s">
        <v>2405</v>
      </c>
      <c r="I332" t="s">
        <v>203</v>
      </c>
      <c r="J332" t="s">
        <v>111</v>
      </c>
      <c r="K332" t="str">
        <f>"85298"</f>
        <v>85298</v>
      </c>
      <c r="L332" t="s">
        <v>284</v>
      </c>
      <c r="M332" t="s">
        <v>2405</v>
      </c>
      <c r="N332" t="s">
        <v>203</v>
      </c>
      <c r="O332" t="s">
        <v>111</v>
      </c>
      <c r="P332" t="str">
        <f>"85298"</f>
        <v>85298</v>
      </c>
      <c r="Q332" t="s">
        <v>113</v>
      </c>
      <c r="R332" t="str">
        <f>"304-73-499"</f>
        <v>304-73-499</v>
      </c>
      <c r="S332" t="s">
        <v>874</v>
      </c>
      <c r="T332" t="s">
        <v>287</v>
      </c>
      <c r="U332">
        <v>1940</v>
      </c>
      <c r="W332">
        <v>4</v>
      </c>
      <c r="X332">
        <v>2014</v>
      </c>
      <c r="Z332">
        <v>1</v>
      </c>
      <c r="AC332" t="s">
        <v>115</v>
      </c>
      <c r="AD332">
        <v>2</v>
      </c>
      <c r="AE332" t="s">
        <v>115</v>
      </c>
      <c r="AH332" t="s">
        <v>116</v>
      </c>
      <c r="AI332" s="1">
        <v>92776</v>
      </c>
      <c r="AJ332" s="2">
        <v>0.26</v>
      </c>
      <c r="AK332" s="1">
        <v>362766</v>
      </c>
      <c r="AL332" t="s">
        <v>117</v>
      </c>
      <c r="AM332" t="s">
        <v>288</v>
      </c>
      <c r="AN332">
        <v>5228</v>
      </c>
      <c r="AO332">
        <v>0.12</v>
      </c>
      <c r="AR332">
        <v>1</v>
      </c>
      <c r="AS332" s="1">
        <v>24870</v>
      </c>
      <c r="AT332" s="1">
        <v>4970</v>
      </c>
      <c r="AU332" s="1">
        <v>19900</v>
      </c>
      <c r="AV332">
        <v>80.02</v>
      </c>
      <c r="AX332" s="1">
        <v>2134.3000000000002</v>
      </c>
      <c r="AY332" t="s">
        <v>289</v>
      </c>
      <c r="AZ332" t="s">
        <v>289</v>
      </c>
      <c r="BA332" t="s">
        <v>290</v>
      </c>
      <c r="BE332" s="3">
        <v>42124</v>
      </c>
      <c r="BF332" s="1">
        <v>269990</v>
      </c>
      <c r="BG332" t="s">
        <v>195</v>
      </c>
      <c r="BH332" s="1">
        <v>139.16999999999999</v>
      </c>
      <c r="BI332" s="1">
        <v>269990</v>
      </c>
      <c r="BJ332" s="3">
        <v>42124</v>
      </c>
      <c r="BK332" t="s">
        <v>123</v>
      </c>
      <c r="BL332" t="str">
        <f>"2015.304039"</f>
        <v>2015.304039</v>
      </c>
      <c r="BM332" t="s">
        <v>196</v>
      </c>
      <c r="BO332" t="s">
        <v>2406</v>
      </c>
      <c r="BS332">
        <v>30</v>
      </c>
      <c r="BW332" t="str">
        <f>""</f>
        <v/>
      </c>
      <c r="CH332" t="str">
        <f>""</f>
        <v/>
      </c>
      <c r="CS332" t="str">
        <f>""</f>
        <v/>
      </c>
    </row>
    <row r="333" spans="1:97" x14ac:dyDescent="0.25">
      <c r="A333" t="s">
        <v>2407</v>
      </c>
      <c r="B333" t="s">
        <v>2408</v>
      </c>
      <c r="C333" t="s">
        <v>2409</v>
      </c>
      <c r="D333" t="s">
        <v>2410</v>
      </c>
      <c r="E333" t="s">
        <v>2411</v>
      </c>
      <c r="F333" t="s">
        <v>108</v>
      </c>
      <c r="H333" t="s">
        <v>2412</v>
      </c>
      <c r="I333" t="s">
        <v>203</v>
      </c>
      <c r="J333" t="s">
        <v>111</v>
      </c>
      <c r="K333" t="str">
        <f>"85297"</f>
        <v>85297</v>
      </c>
      <c r="L333" t="s">
        <v>901</v>
      </c>
      <c r="M333" t="s">
        <v>2412</v>
      </c>
      <c r="N333" t="s">
        <v>203</v>
      </c>
      <c r="O333" t="s">
        <v>111</v>
      </c>
      <c r="P333" t="str">
        <f>"85297-3122"</f>
        <v>85297-3122</v>
      </c>
      <c r="Q333" t="s">
        <v>113</v>
      </c>
      <c r="R333" t="str">
        <f>"304-73-915"</f>
        <v>304-73-915</v>
      </c>
      <c r="S333" t="s">
        <v>902</v>
      </c>
      <c r="T333" t="s">
        <v>902</v>
      </c>
      <c r="U333">
        <v>2469</v>
      </c>
      <c r="W333">
        <v>4</v>
      </c>
      <c r="X333">
        <v>2015</v>
      </c>
      <c r="Z333">
        <v>1</v>
      </c>
      <c r="AC333" t="s">
        <v>115</v>
      </c>
      <c r="AD333">
        <v>3</v>
      </c>
      <c r="AE333" t="s">
        <v>115</v>
      </c>
      <c r="AH333" t="s">
        <v>116</v>
      </c>
      <c r="AI333" s="1">
        <v>74590</v>
      </c>
      <c r="AJ333" s="2">
        <v>0.17</v>
      </c>
      <c r="AK333" s="1">
        <v>437590</v>
      </c>
      <c r="AL333" t="s">
        <v>117</v>
      </c>
      <c r="AM333" t="s">
        <v>979</v>
      </c>
      <c r="AN333">
        <v>7800</v>
      </c>
      <c r="AO333">
        <v>0.18</v>
      </c>
      <c r="AR333">
        <v>1</v>
      </c>
      <c r="AS333" s="1">
        <v>32430</v>
      </c>
      <c r="AT333" s="1">
        <v>6480</v>
      </c>
      <c r="AU333" s="1">
        <v>25950</v>
      </c>
      <c r="AV333">
        <v>80.02</v>
      </c>
      <c r="AX333" s="1">
        <v>2383.9</v>
      </c>
      <c r="AY333" t="s">
        <v>302</v>
      </c>
      <c r="AZ333" t="s">
        <v>273</v>
      </c>
      <c r="BA333" t="s">
        <v>303</v>
      </c>
      <c r="BE333" s="3">
        <v>42165</v>
      </c>
      <c r="BF333" s="1">
        <v>369388</v>
      </c>
      <c r="BG333" t="s">
        <v>275</v>
      </c>
      <c r="BH333" s="1">
        <v>149.61000000000001</v>
      </c>
      <c r="BI333" s="1">
        <v>363000</v>
      </c>
      <c r="BJ333" s="3">
        <v>42706</v>
      </c>
      <c r="BK333" t="s">
        <v>123</v>
      </c>
      <c r="BL333" t="str">
        <f>"2016.889393"</f>
        <v>2016.889393</v>
      </c>
      <c r="BM333" t="s">
        <v>425</v>
      </c>
      <c r="BO333" t="s">
        <v>2413</v>
      </c>
      <c r="BS333">
        <v>30</v>
      </c>
      <c r="BW333" t="str">
        <f>""</f>
        <v/>
      </c>
      <c r="CH333" t="str">
        <f>""</f>
        <v/>
      </c>
      <c r="CS333" t="str">
        <f>""</f>
        <v/>
      </c>
    </row>
    <row r="334" spans="1:97" x14ac:dyDescent="0.25">
      <c r="A334" t="s">
        <v>1144</v>
      </c>
      <c r="B334" t="s">
        <v>2414</v>
      </c>
      <c r="C334" t="s">
        <v>2008</v>
      </c>
      <c r="D334" t="s">
        <v>2414</v>
      </c>
      <c r="E334" t="s">
        <v>2415</v>
      </c>
      <c r="F334" t="s">
        <v>108</v>
      </c>
      <c r="H334" t="s">
        <v>2416</v>
      </c>
      <c r="I334" t="s">
        <v>188</v>
      </c>
      <c r="J334" t="s">
        <v>111</v>
      </c>
      <c r="K334" t="str">
        <f>"85142"</f>
        <v>85142</v>
      </c>
      <c r="L334" t="s">
        <v>688</v>
      </c>
      <c r="M334" t="s">
        <v>2416</v>
      </c>
      <c r="N334" t="s">
        <v>188</v>
      </c>
      <c r="O334" t="s">
        <v>111</v>
      </c>
      <c r="P334" t="str">
        <f>"85142-9842"</f>
        <v>85142-9842</v>
      </c>
      <c r="Q334" t="s">
        <v>113</v>
      </c>
      <c r="R334" t="str">
        <f>"304-89-693"</f>
        <v>304-89-693</v>
      </c>
      <c r="S334" t="s">
        <v>690</v>
      </c>
      <c r="T334" t="s">
        <v>691</v>
      </c>
      <c r="U334">
        <v>3273</v>
      </c>
      <c r="W334">
        <v>4</v>
      </c>
      <c r="X334">
        <v>2014</v>
      </c>
      <c r="Z334">
        <v>1</v>
      </c>
      <c r="AA334" t="s">
        <v>26</v>
      </c>
      <c r="AC334" t="s">
        <v>115</v>
      </c>
      <c r="AD334">
        <v>3</v>
      </c>
      <c r="AE334" t="s">
        <v>115</v>
      </c>
      <c r="AH334" t="s">
        <v>116</v>
      </c>
      <c r="AI334" s="1">
        <v>102498</v>
      </c>
      <c r="AJ334" s="2">
        <v>0.21</v>
      </c>
      <c r="AK334" s="1">
        <v>480576</v>
      </c>
      <c r="AL334" t="s">
        <v>117</v>
      </c>
      <c r="AM334" t="s">
        <v>917</v>
      </c>
      <c r="AN334">
        <v>9920</v>
      </c>
      <c r="AO334">
        <v>0.23</v>
      </c>
      <c r="AR334">
        <v>1</v>
      </c>
      <c r="AS334" s="1">
        <v>34580</v>
      </c>
      <c r="AT334" s="1">
        <v>6910</v>
      </c>
      <c r="AU334" s="1">
        <v>27670</v>
      </c>
      <c r="AV334">
        <v>80.02</v>
      </c>
      <c r="AX334" s="1">
        <v>3357.78</v>
      </c>
      <c r="AY334" t="s">
        <v>192</v>
      </c>
      <c r="AZ334" t="s">
        <v>193</v>
      </c>
      <c r="BA334" t="s">
        <v>194</v>
      </c>
      <c r="BE334" s="3">
        <v>42216</v>
      </c>
      <c r="BF334" s="1">
        <v>366000</v>
      </c>
      <c r="BG334" t="s">
        <v>209</v>
      </c>
      <c r="BH334" s="1">
        <v>111.82</v>
      </c>
      <c r="BI334" s="1">
        <v>378078</v>
      </c>
      <c r="BJ334" s="3">
        <v>42216</v>
      </c>
      <c r="BK334" t="s">
        <v>123</v>
      </c>
      <c r="BL334" t="str">
        <f>"2015.558215"</f>
        <v>2015.558215</v>
      </c>
      <c r="BM334" t="s">
        <v>175</v>
      </c>
      <c r="BO334" t="s">
        <v>2417</v>
      </c>
      <c r="BS334">
        <v>30</v>
      </c>
      <c r="BW334" t="str">
        <f>""</f>
        <v/>
      </c>
      <c r="CH334" t="str">
        <f>""</f>
        <v/>
      </c>
      <c r="CS334" t="str">
        <f>""</f>
        <v/>
      </c>
    </row>
    <row r="335" spans="1:97" x14ac:dyDescent="0.25">
      <c r="A335" t="s">
        <v>1140</v>
      </c>
      <c r="B335" t="s">
        <v>2418</v>
      </c>
      <c r="C335" t="s">
        <v>211</v>
      </c>
      <c r="D335" t="s">
        <v>2418</v>
      </c>
      <c r="E335" t="s">
        <v>2419</v>
      </c>
      <c r="F335" t="s">
        <v>108</v>
      </c>
      <c r="H335" t="s">
        <v>2420</v>
      </c>
      <c r="I335" t="s">
        <v>453</v>
      </c>
      <c r="J335" t="s">
        <v>111</v>
      </c>
      <c r="K335" t="str">
        <f>"85383"</f>
        <v>85383</v>
      </c>
      <c r="L335" t="s">
        <v>625</v>
      </c>
      <c r="M335" t="s">
        <v>2420</v>
      </c>
      <c r="N335" t="s">
        <v>453</v>
      </c>
      <c r="O335" t="s">
        <v>111</v>
      </c>
      <c r="P335" t="str">
        <f>"85383-3361"</f>
        <v>85383-3361</v>
      </c>
      <c r="Q335" t="s">
        <v>113</v>
      </c>
      <c r="R335" t="str">
        <f>"201-19-081"</f>
        <v>201-19-081</v>
      </c>
      <c r="S335" t="s">
        <v>626</v>
      </c>
      <c r="U335">
        <v>4127</v>
      </c>
      <c r="W335">
        <v>5</v>
      </c>
      <c r="X335">
        <v>2014</v>
      </c>
      <c r="Z335">
        <v>2</v>
      </c>
      <c r="AA335" t="s">
        <v>26</v>
      </c>
      <c r="AC335" t="s">
        <v>115</v>
      </c>
      <c r="AD335">
        <v>4</v>
      </c>
      <c r="AE335" t="s">
        <v>115</v>
      </c>
      <c r="AH335" t="s">
        <v>116</v>
      </c>
      <c r="AI335" s="1">
        <v>116801</v>
      </c>
      <c r="AJ335" s="2">
        <v>0.21</v>
      </c>
      <c r="AK335" s="1">
        <v>568051</v>
      </c>
      <c r="AL335" t="s">
        <v>117</v>
      </c>
      <c r="AM335" t="s">
        <v>118</v>
      </c>
      <c r="AN335">
        <v>9100</v>
      </c>
      <c r="AO335">
        <v>0.21</v>
      </c>
      <c r="AR335">
        <v>1</v>
      </c>
      <c r="AS335" s="1">
        <v>41210</v>
      </c>
      <c r="AT335" s="1">
        <v>8240</v>
      </c>
      <c r="AU335" s="1">
        <v>32970</v>
      </c>
      <c r="AV335">
        <v>80</v>
      </c>
      <c r="AX335" s="1">
        <v>3615.26</v>
      </c>
      <c r="AY335" t="s">
        <v>627</v>
      </c>
      <c r="AZ335" t="s">
        <v>627</v>
      </c>
      <c r="BA335" t="s">
        <v>457</v>
      </c>
      <c r="BE335" s="3">
        <v>42121</v>
      </c>
      <c r="BF335" s="1">
        <v>475000</v>
      </c>
      <c r="BG335" t="s">
        <v>562</v>
      </c>
      <c r="BH335" s="1">
        <v>115.1</v>
      </c>
      <c r="BI335" s="1">
        <v>451250</v>
      </c>
      <c r="BJ335" s="3">
        <v>42121</v>
      </c>
      <c r="BK335" t="s">
        <v>123</v>
      </c>
      <c r="BL335" t="str">
        <f>"2015.289434"</f>
        <v>2015.289434</v>
      </c>
      <c r="BM335" t="s">
        <v>175</v>
      </c>
      <c r="BO335" t="s">
        <v>2421</v>
      </c>
      <c r="BS335">
        <v>30</v>
      </c>
      <c r="BW335" t="str">
        <f>""</f>
        <v/>
      </c>
      <c r="CH335" t="str">
        <f>""</f>
        <v/>
      </c>
      <c r="CS335" t="str">
        <f>""</f>
        <v/>
      </c>
    </row>
    <row r="336" spans="1:97" x14ac:dyDescent="0.25">
      <c r="A336" t="s">
        <v>996</v>
      </c>
      <c r="B336" t="s">
        <v>2422</v>
      </c>
      <c r="C336" t="s">
        <v>639</v>
      </c>
      <c r="D336" t="s">
        <v>2423</v>
      </c>
      <c r="E336" t="s">
        <v>2424</v>
      </c>
      <c r="F336" t="s">
        <v>108</v>
      </c>
      <c r="H336" t="s">
        <v>2425</v>
      </c>
      <c r="I336" t="s">
        <v>225</v>
      </c>
      <c r="J336" t="s">
        <v>111</v>
      </c>
      <c r="K336" t="str">
        <f>"85212"</f>
        <v>85212</v>
      </c>
      <c r="L336" t="s">
        <v>558</v>
      </c>
      <c r="M336" t="s">
        <v>2425</v>
      </c>
      <c r="N336" t="s">
        <v>225</v>
      </c>
      <c r="O336" t="s">
        <v>111</v>
      </c>
      <c r="P336" t="str">
        <f>"85212-8032"</f>
        <v>85212-8032</v>
      </c>
      <c r="Q336" t="s">
        <v>113</v>
      </c>
      <c r="R336" t="str">
        <f>"304-50-161"</f>
        <v>304-50-161</v>
      </c>
      <c r="S336" t="s">
        <v>1014</v>
      </c>
      <c r="U336">
        <v>3184</v>
      </c>
      <c r="W336">
        <v>4</v>
      </c>
      <c r="X336">
        <v>2015</v>
      </c>
      <c r="Z336">
        <v>2</v>
      </c>
      <c r="AC336" t="s">
        <v>115</v>
      </c>
      <c r="AD336">
        <v>3</v>
      </c>
      <c r="AE336" t="s">
        <v>115</v>
      </c>
      <c r="AH336" t="s">
        <v>116</v>
      </c>
      <c r="AI336" s="1">
        <v>165582</v>
      </c>
      <c r="AJ336" s="2">
        <v>0.39</v>
      </c>
      <c r="AK336" s="1">
        <v>428683</v>
      </c>
      <c r="AL336" t="s">
        <v>117</v>
      </c>
      <c r="AM336" t="s">
        <v>118</v>
      </c>
      <c r="AN336">
        <v>7491</v>
      </c>
      <c r="AO336">
        <v>0.17</v>
      </c>
      <c r="AR336">
        <v>1</v>
      </c>
      <c r="AS336" s="1">
        <v>29460</v>
      </c>
      <c r="AT336" s="1">
        <v>5890</v>
      </c>
      <c r="AU336" s="1">
        <v>23570</v>
      </c>
      <c r="AV336">
        <v>80.010000000000005</v>
      </c>
      <c r="AX336" s="1">
        <v>4215.62</v>
      </c>
      <c r="AY336" t="s">
        <v>560</v>
      </c>
      <c r="AZ336" t="s">
        <v>561</v>
      </c>
      <c r="BA336" t="s">
        <v>194</v>
      </c>
      <c r="BB336" s="3">
        <v>42111</v>
      </c>
      <c r="BD336" t="s">
        <v>458</v>
      </c>
      <c r="BE336" s="3">
        <v>42052</v>
      </c>
      <c r="BF336" s="1">
        <v>369853</v>
      </c>
      <c r="BG336" t="s">
        <v>636</v>
      </c>
      <c r="BH336" s="1">
        <v>116.16</v>
      </c>
      <c r="BI336" s="1">
        <v>263101</v>
      </c>
      <c r="BJ336" s="3">
        <v>42052</v>
      </c>
      <c r="BK336" t="s">
        <v>123</v>
      </c>
      <c r="BL336" t="str">
        <f>"2015.97997"</f>
        <v>2015.97997</v>
      </c>
      <c r="BM336" t="s">
        <v>637</v>
      </c>
      <c r="BO336" t="s">
        <v>2426</v>
      </c>
      <c r="BS336">
        <v>30</v>
      </c>
      <c r="BW336" t="str">
        <f>""</f>
        <v/>
      </c>
      <c r="CH336" t="str">
        <f>""</f>
        <v/>
      </c>
      <c r="CS336" t="str">
        <f>""</f>
        <v/>
      </c>
    </row>
    <row r="337" spans="1:97" x14ac:dyDescent="0.25">
      <c r="A337" t="s">
        <v>2427</v>
      </c>
      <c r="B337" t="s">
        <v>2428</v>
      </c>
      <c r="C337" t="s">
        <v>2429</v>
      </c>
      <c r="D337" t="s">
        <v>2428</v>
      </c>
      <c r="E337" t="s">
        <v>2430</v>
      </c>
      <c r="F337" t="s">
        <v>108</v>
      </c>
      <c r="H337" t="s">
        <v>2431</v>
      </c>
      <c r="I337" t="s">
        <v>225</v>
      </c>
      <c r="J337" t="s">
        <v>111</v>
      </c>
      <c r="K337" t="str">
        <f>"85212"</f>
        <v>85212</v>
      </c>
      <c r="L337" t="s">
        <v>558</v>
      </c>
      <c r="M337" t="s">
        <v>2431</v>
      </c>
      <c r="N337" t="s">
        <v>225</v>
      </c>
      <c r="O337" t="s">
        <v>111</v>
      </c>
      <c r="P337" t="str">
        <f>"85212-8082"</f>
        <v>85212-8082</v>
      </c>
      <c r="Q337" t="s">
        <v>113</v>
      </c>
      <c r="R337" t="str">
        <f>"304-50-453"</f>
        <v>304-50-453</v>
      </c>
      <c r="S337" t="s">
        <v>1369</v>
      </c>
      <c r="U337">
        <v>2561</v>
      </c>
      <c r="W337">
        <v>4</v>
      </c>
      <c r="X337">
        <v>2015</v>
      </c>
      <c r="Z337">
        <v>1</v>
      </c>
      <c r="AC337" t="s">
        <v>115</v>
      </c>
      <c r="AD337">
        <v>3</v>
      </c>
      <c r="AE337" t="s">
        <v>115</v>
      </c>
      <c r="AH337" t="s">
        <v>116</v>
      </c>
      <c r="AI337" s="1">
        <v>58690</v>
      </c>
      <c r="AJ337" s="2">
        <v>0.14000000000000001</v>
      </c>
      <c r="AK337" s="1">
        <v>432349</v>
      </c>
      <c r="AL337" t="s">
        <v>117</v>
      </c>
      <c r="AM337" t="s">
        <v>118</v>
      </c>
      <c r="AN337">
        <v>11263</v>
      </c>
      <c r="AO337">
        <v>0.26</v>
      </c>
      <c r="AR337">
        <v>1</v>
      </c>
      <c r="AS337" s="1">
        <v>31550</v>
      </c>
      <c r="AT337" s="1">
        <v>6310</v>
      </c>
      <c r="AU337" s="1">
        <v>25240</v>
      </c>
      <c r="AV337">
        <v>80</v>
      </c>
      <c r="AX337" s="1">
        <v>3626.26</v>
      </c>
      <c r="AY337" t="s">
        <v>560</v>
      </c>
      <c r="AZ337" t="s">
        <v>561</v>
      </c>
      <c r="BA337" t="s">
        <v>194</v>
      </c>
      <c r="BB337" s="3">
        <v>43294</v>
      </c>
      <c r="BC337" s="1">
        <v>0</v>
      </c>
      <c r="BD337" t="s">
        <v>247</v>
      </c>
      <c r="BE337" s="3">
        <v>42338</v>
      </c>
      <c r="BF337" s="1">
        <v>352648</v>
      </c>
      <c r="BG337" t="s">
        <v>562</v>
      </c>
      <c r="BH337" s="1">
        <v>137.69999999999999</v>
      </c>
      <c r="BI337" s="1">
        <v>373659</v>
      </c>
      <c r="BJ337" s="3">
        <v>42620</v>
      </c>
      <c r="BK337" t="s">
        <v>123</v>
      </c>
      <c r="BL337" t="str">
        <f>"2016.648298"</f>
        <v>2016.648298</v>
      </c>
      <c r="BM337" t="s">
        <v>673</v>
      </c>
      <c r="BN337" t="s">
        <v>674</v>
      </c>
      <c r="BO337" t="s">
        <v>2432</v>
      </c>
      <c r="BS337">
        <v>30</v>
      </c>
      <c r="BW337" t="str">
        <f>""</f>
        <v/>
      </c>
      <c r="CH337" t="str">
        <f>""</f>
        <v/>
      </c>
      <c r="CS337" t="str">
        <f>""</f>
        <v/>
      </c>
    </row>
    <row r="338" spans="1:97" x14ac:dyDescent="0.25">
      <c r="A338" t="s">
        <v>2433</v>
      </c>
      <c r="B338" t="s">
        <v>2434</v>
      </c>
      <c r="C338" t="s">
        <v>2435</v>
      </c>
      <c r="D338" t="s">
        <v>2434</v>
      </c>
      <c r="E338" t="s">
        <v>2436</v>
      </c>
      <c r="F338" t="s">
        <v>108</v>
      </c>
      <c r="H338" t="s">
        <v>2437</v>
      </c>
      <c r="I338" t="s">
        <v>225</v>
      </c>
      <c r="J338" t="s">
        <v>111</v>
      </c>
      <c r="K338" t="str">
        <f>"85212"</f>
        <v>85212</v>
      </c>
      <c r="L338" t="s">
        <v>567</v>
      </c>
      <c r="M338" t="s">
        <v>2437</v>
      </c>
      <c r="N338" t="s">
        <v>225</v>
      </c>
      <c r="O338" t="s">
        <v>111</v>
      </c>
      <c r="P338" t="str">
        <f>"85212-9703"</f>
        <v>85212-9703</v>
      </c>
      <c r="Q338" t="s">
        <v>113</v>
      </c>
      <c r="R338" t="str">
        <f>"304-17-370"</f>
        <v>304-17-370</v>
      </c>
      <c r="S338" t="s">
        <v>568</v>
      </c>
      <c r="T338" t="s">
        <v>569</v>
      </c>
      <c r="U338">
        <v>3758</v>
      </c>
      <c r="W338">
        <v>5</v>
      </c>
      <c r="X338">
        <v>2014</v>
      </c>
      <c r="Z338">
        <v>2</v>
      </c>
      <c r="AC338" t="s">
        <v>115</v>
      </c>
      <c r="AD338">
        <v>3</v>
      </c>
      <c r="AE338" t="s">
        <v>115</v>
      </c>
      <c r="AH338" t="s">
        <v>116</v>
      </c>
      <c r="AI338" s="1">
        <v>114710</v>
      </c>
      <c r="AJ338" s="2">
        <v>0.23</v>
      </c>
      <c r="AK338" s="1">
        <v>506610</v>
      </c>
      <c r="AL338" t="s">
        <v>117</v>
      </c>
      <c r="AM338" t="s">
        <v>917</v>
      </c>
      <c r="AN338">
        <v>9100</v>
      </c>
      <c r="AO338">
        <v>0.21</v>
      </c>
      <c r="AR338">
        <v>1</v>
      </c>
      <c r="AS338" s="1">
        <v>37280</v>
      </c>
      <c r="AT338" s="1">
        <v>7450</v>
      </c>
      <c r="AU338" s="1">
        <v>29830</v>
      </c>
      <c r="AV338">
        <v>80.02</v>
      </c>
      <c r="AX338" s="1">
        <v>2745.4</v>
      </c>
      <c r="AY338" t="s">
        <v>570</v>
      </c>
      <c r="AZ338" t="s">
        <v>571</v>
      </c>
      <c r="BA338" t="s">
        <v>572</v>
      </c>
      <c r="BE338" s="3">
        <v>41843</v>
      </c>
      <c r="BF338" s="1">
        <v>383500</v>
      </c>
      <c r="BG338" t="s">
        <v>420</v>
      </c>
      <c r="BH338" s="1">
        <v>102.05</v>
      </c>
      <c r="BI338" s="1">
        <v>391900</v>
      </c>
      <c r="BJ338" s="3">
        <v>42527</v>
      </c>
      <c r="BK338" t="s">
        <v>123</v>
      </c>
      <c r="BL338" t="str">
        <f>"2016.387866"</f>
        <v>2016.387866</v>
      </c>
      <c r="BM338" t="s">
        <v>255</v>
      </c>
      <c r="BO338" t="s">
        <v>2438</v>
      </c>
      <c r="BS338">
        <v>30</v>
      </c>
      <c r="BW338" t="str">
        <f>""</f>
        <v/>
      </c>
      <c r="CH338" t="str">
        <f>""</f>
        <v/>
      </c>
      <c r="CS338" t="str">
        <f>""</f>
        <v/>
      </c>
    </row>
    <row r="339" spans="1:97" x14ac:dyDescent="0.25">
      <c r="B339" t="s">
        <v>2439</v>
      </c>
      <c r="C339" t="s">
        <v>484</v>
      </c>
      <c r="E339" t="s">
        <v>2440</v>
      </c>
      <c r="F339" t="s">
        <v>108</v>
      </c>
      <c r="H339" t="s">
        <v>2441</v>
      </c>
      <c r="I339" t="s">
        <v>203</v>
      </c>
      <c r="J339" t="s">
        <v>111</v>
      </c>
      <c r="K339" t="str">
        <f>"85298"</f>
        <v>85298</v>
      </c>
      <c r="L339" t="s">
        <v>681</v>
      </c>
      <c r="M339" t="s">
        <v>2441</v>
      </c>
      <c r="N339" t="s">
        <v>203</v>
      </c>
      <c r="O339" t="s">
        <v>111</v>
      </c>
      <c r="P339" t="str">
        <f>"85298-3395"</f>
        <v>85298-3395</v>
      </c>
      <c r="Q339" t="s">
        <v>113</v>
      </c>
      <c r="R339" t="str">
        <f>"304-88-485"</f>
        <v>304-88-485</v>
      </c>
      <c r="S339" t="s">
        <v>1165</v>
      </c>
      <c r="T339" t="s">
        <v>287</v>
      </c>
      <c r="U339">
        <v>1910</v>
      </c>
      <c r="W339">
        <v>4</v>
      </c>
      <c r="X339">
        <v>2014</v>
      </c>
      <c r="Z339">
        <v>1</v>
      </c>
      <c r="AC339" t="s">
        <v>115</v>
      </c>
      <c r="AD339">
        <v>3</v>
      </c>
      <c r="AE339" t="s">
        <v>115</v>
      </c>
      <c r="AH339" t="s">
        <v>116</v>
      </c>
      <c r="AI339" s="1">
        <v>157385</v>
      </c>
      <c r="AJ339" s="2">
        <v>0.42</v>
      </c>
      <c r="AK339" s="1">
        <v>377480</v>
      </c>
      <c r="AL339" t="s">
        <v>117</v>
      </c>
      <c r="AM339" t="s">
        <v>288</v>
      </c>
      <c r="AN339">
        <v>4950</v>
      </c>
      <c r="AO339">
        <v>0.11</v>
      </c>
      <c r="AR339">
        <v>1</v>
      </c>
      <c r="AS339" s="1">
        <v>27080</v>
      </c>
      <c r="AT339" s="1">
        <v>5410</v>
      </c>
      <c r="AU339" s="1">
        <v>21670</v>
      </c>
      <c r="AV339">
        <v>80.02</v>
      </c>
      <c r="AX339" s="1">
        <v>2098.8000000000002</v>
      </c>
      <c r="AY339" t="s">
        <v>289</v>
      </c>
      <c r="AZ339" t="s">
        <v>289</v>
      </c>
      <c r="BA339" t="s">
        <v>290</v>
      </c>
      <c r="BB339" s="3">
        <v>43656</v>
      </c>
      <c r="BC339" s="1">
        <v>0</v>
      </c>
      <c r="BD339" t="s">
        <v>247</v>
      </c>
      <c r="BE339" s="3">
        <v>41831</v>
      </c>
      <c r="BF339" s="1">
        <v>259103</v>
      </c>
      <c r="BG339" t="s">
        <v>420</v>
      </c>
      <c r="BH339" s="1">
        <v>135.66</v>
      </c>
      <c r="BI339" s="1">
        <v>220095</v>
      </c>
      <c r="BJ339" s="3">
        <v>42495</v>
      </c>
      <c r="BK339" t="s">
        <v>123</v>
      </c>
      <c r="BL339" t="str">
        <f>"2016.307351"</f>
        <v>2016.307351</v>
      </c>
      <c r="BM339" t="s">
        <v>709</v>
      </c>
      <c r="BN339" t="s">
        <v>863</v>
      </c>
      <c r="BO339" t="s">
        <v>2442</v>
      </c>
      <c r="BS339">
        <v>30</v>
      </c>
      <c r="BW339" t="str">
        <f>""</f>
        <v/>
      </c>
      <c r="CH339" t="str">
        <f>""</f>
        <v/>
      </c>
      <c r="CS339" t="str">
        <f>""</f>
        <v/>
      </c>
    </row>
    <row r="340" spans="1:97" x14ac:dyDescent="0.25">
      <c r="A340" t="s">
        <v>2099</v>
      </c>
      <c r="B340" t="s">
        <v>2443</v>
      </c>
      <c r="C340" t="s">
        <v>370</v>
      </c>
      <c r="D340" t="s">
        <v>2443</v>
      </c>
      <c r="E340" t="s">
        <v>2444</v>
      </c>
      <c r="F340" t="s">
        <v>108</v>
      </c>
      <c r="H340" t="s">
        <v>2445</v>
      </c>
      <c r="I340" t="s">
        <v>188</v>
      </c>
      <c r="J340" t="s">
        <v>111</v>
      </c>
      <c r="K340" t="str">
        <f>"85142"</f>
        <v>85142</v>
      </c>
      <c r="L340" t="s">
        <v>688</v>
      </c>
      <c r="M340" t="s">
        <v>2445</v>
      </c>
      <c r="N340" t="s">
        <v>188</v>
      </c>
      <c r="O340" t="s">
        <v>111</v>
      </c>
      <c r="P340" t="str">
        <f>"85142-9815"</f>
        <v>85142-9815</v>
      </c>
      <c r="Q340" t="s">
        <v>113</v>
      </c>
      <c r="R340" t="str">
        <f>"304-89-778"</f>
        <v>304-89-778</v>
      </c>
      <c r="S340" t="s">
        <v>690</v>
      </c>
      <c r="T340" t="s">
        <v>691</v>
      </c>
      <c r="U340">
        <v>4402</v>
      </c>
      <c r="W340">
        <v>6</v>
      </c>
      <c r="X340">
        <v>2014</v>
      </c>
      <c r="Z340">
        <v>2</v>
      </c>
      <c r="AA340" t="s">
        <v>26</v>
      </c>
      <c r="AC340" t="s">
        <v>115</v>
      </c>
      <c r="AD340">
        <v>4</v>
      </c>
      <c r="AE340" t="s">
        <v>115</v>
      </c>
      <c r="AH340" t="s">
        <v>116</v>
      </c>
      <c r="AI340" s="1">
        <v>113639</v>
      </c>
      <c r="AJ340" s="2">
        <v>0.26</v>
      </c>
      <c r="AK340" s="1">
        <v>439984</v>
      </c>
      <c r="AL340" t="s">
        <v>117</v>
      </c>
      <c r="AM340" t="s">
        <v>393</v>
      </c>
      <c r="AN340">
        <v>8400</v>
      </c>
      <c r="AO340">
        <v>0.19</v>
      </c>
      <c r="AR340">
        <v>1</v>
      </c>
      <c r="AS340" s="1">
        <v>36960</v>
      </c>
      <c r="AT340" s="1">
        <v>7390</v>
      </c>
      <c r="AU340" s="1">
        <v>29570</v>
      </c>
      <c r="AV340">
        <v>80.010000000000005</v>
      </c>
      <c r="AX340" s="1">
        <v>3801.08</v>
      </c>
      <c r="AY340" t="s">
        <v>192</v>
      </c>
      <c r="AZ340" t="s">
        <v>193</v>
      </c>
      <c r="BA340" t="s">
        <v>194</v>
      </c>
      <c r="BE340" s="3">
        <v>42062</v>
      </c>
      <c r="BF340" s="1">
        <v>368936</v>
      </c>
      <c r="BG340" t="s">
        <v>209</v>
      </c>
      <c r="BH340" s="1">
        <v>83.81</v>
      </c>
      <c r="BI340" s="1">
        <v>326345</v>
      </c>
      <c r="BJ340" s="3">
        <v>43467</v>
      </c>
      <c r="BK340" t="s">
        <v>123</v>
      </c>
      <c r="BL340" t="str">
        <f>"2019.1920"</f>
        <v>2019.1920</v>
      </c>
      <c r="BM340" t="s">
        <v>1809</v>
      </c>
      <c r="BN340" t="s">
        <v>1810</v>
      </c>
      <c r="BO340" t="s">
        <v>2446</v>
      </c>
      <c r="BP340" t="s">
        <v>2447</v>
      </c>
      <c r="BR340" t="s">
        <v>139</v>
      </c>
      <c r="BW340" t="str">
        <f>""</f>
        <v/>
      </c>
      <c r="CH340" t="str">
        <f>""</f>
        <v/>
      </c>
      <c r="CS340" t="str">
        <f>""</f>
        <v/>
      </c>
    </row>
    <row r="341" spans="1:97" x14ac:dyDescent="0.25">
      <c r="A341" t="s">
        <v>1768</v>
      </c>
      <c r="B341" t="s">
        <v>1047</v>
      </c>
      <c r="C341" t="s">
        <v>2281</v>
      </c>
      <c r="D341" t="s">
        <v>1047</v>
      </c>
      <c r="E341" t="s">
        <v>2448</v>
      </c>
      <c r="F341" t="s">
        <v>108</v>
      </c>
      <c r="H341" t="s">
        <v>2449</v>
      </c>
      <c r="I341" t="s">
        <v>203</v>
      </c>
      <c r="J341" t="s">
        <v>111</v>
      </c>
      <c r="K341" t="str">
        <f>"85298"</f>
        <v>85298</v>
      </c>
      <c r="L341" t="s">
        <v>284</v>
      </c>
      <c r="M341" t="s">
        <v>2449</v>
      </c>
      <c r="N341" t="s">
        <v>203</v>
      </c>
      <c r="O341" t="s">
        <v>111</v>
      </c>
      <c r="P341" t="str">
        <f>"85298"</f>
        <v>85298</v>
      </c>
      <c r="Q341" t="s">
        <v>113</v>
      </c>
      <c r="R341" t="str">
        <f>"304-75-869"</f>
        <v>304-75-869</v>
      </c>
      <c r="S341" t="s">
        <v>1086</v>
      </c>
      <c r="T341" t="s">
        <v>287</v>
      </c>
      <c r="U341">
        <v>2941</v>
      </c>
      <c r="W341">
        <v>4</v>
      </c>
      <c r="X341">
        <v>2014</v>
      </c>
      <c r="Z341">
        <v>1</v>
      </c>
      <c r="AC341" t="s">
        <v>115</v>
      </c>
      <c r="AD341">
        <v>3</v>
      </c>
      <c r="AE341" t="s">
        <v>115</v>
      </c>
      <c r="AH341" t="s">
        <v>116</v>
      </c>
      <c r="AI341" s="1">
        <v>120036</v>
      </c>
      <c r="AJ341" s="2">
        <v>0.26</v>
      </c>
      <c r="AK341" s="1">
        <v>467046</v>
      </c>
      <c r="AL341" t="s">
        <v>117</v>
      </c>
      <c r="AM341" t="s">
        <v>1315</v>
      </c>
      <c r="AN341">
        <v>9249</v>
      </c>
      <c r="AO341">
        <v>0.21</v>
      </c>
      <c r="AR341">
        <v>1</v>
      </c>
      <c r="AS341" s="1">
        <v>33610</v>
      </c>
      <c r="AT341" s="1">
        <v>6720</v>
      </c>
      <c r="AU341" s="1">
        <v>26890</v>
      </c>
      <c r="AV341">
        <v>80.010000000000005</v>
      </c>
      <c r="AX341" s="1">
        <v>2960.86</v>
      </c>
      <c r="AY341" t="s">
        <v>289</v>
      </c>
      <c r="AZ341" t="s">
        <v>289</v>
      </c>
      <c r="BA341" t="s">
        <v>290</v>
      </c>
      <c r="BE341" s="3">
        <v>42033</v>
      </c>
      <c r="BF341" s="1">
        <v>352395</v>
      </c>
      <c r="BG341" t="s">
        <v>645</v>
      </c>
      <c r="BH341" s="1">
        <v>119.82</v>
      </c>
      <c r="BI341" s="1">
        <v>347010</v>
      </c>
      <c r="BJ341" s="3">
        <v>42452</v>
      </c>
      <c r="BK341" t="s">
        <v>123</v>
      </c>
      <c r="BL341" t="str">
        <f>"2016.188458"</f>
        <v>2016.188458</v>
      </c>
      <c r="BM341" t="s">
        <v>2127</v>
      </c>
      <c r="BO341" t="s">
        <v>2450</v>
      </c>
      <c r="BS341">
        <v>30</v>
      </c>
      <c r="BW341" t="str">
        <f>""</f>
        <v/>
      </c>
      <c r="CH341" t="str">
        <f>""</f>
        <v/>
      </c>
      <c r="CS341" t="str">
        <f>""</f>
        <v/>
      </c>
    </row>
    <row r="342" spans="1:97" x14ac:dyDescent="0.25">
      <c r="A342" t="s">
        <v>548</v>
      </c>
      <c r="B342" t="s">
        <v>2451</v>
      </c>
      <c r="C342" t="s">
        <v>1888</v>
      </c>
      <c r="D342" t="s">
        <v>2451</v>
      </c>
      <c r="E342" t="s">
        <v>2452</v>
      </c>
      <c r="F342" t="s">
        <v>108</v>
      </c>
      <c r="H342" t="s">
        <v>2453</v>
      </c>
      <c r="I342" t="s">
        <v>203</v>
      </c>
      <c r="J342" t="s">
        <v>111</v>
      </c>
      <c r="K342" t="str">
        <f>"85298"</f>
        <v>85298</v>
      </c>
      <c r="L342" t="s">
        <v>269</v>
      </c>
      <c r="M342" t="s">
        <v>2453</v>
      </c>
      <c r="N342" t="s">
        <v>203</v>
      </c>
      <c r="O342" t="s">
        <v>111</v>
      </c>
      <c r="P342" t="str">
        <f>"85298"</f>
        <v>85298</v>
      </c>
      <c r="Q342" t="s">
        <v>113</v>
      </c>
      <c r="R342" t="str">
        <f>"304-86-568"</f>
        <v>304-86-568</v>
      </c>
      <c r="S342" t="s">
        <v>1031</v>
      </c>
      <c r="T342" t="s">
        <v>271</v>
      </c>
      <c r="U342">
        <v>2967</v>
      </c>
      <c r="W342">
        <v>4</v>
      </c>
      <c r="X342">
        <v>2014</v>
      </c>
      <c r="Z342">
        <v>2</v>
      </c>
      <c r="AC342" t="s">
        <v>115</v>
      </c>
      <c r="AD342">
        <v>2</v>
      </c>
      <c r="AE342" t="s">
        <v>115</v>
      </c>
      <c r="AH342" t="s">
        <v>116</v>
      </c>
      <c r="AI342" s="1">
        <v>107494</v>
      </c>
      <c r="AJ342" s="2">
        <v>0.24</v>
      </c>
      <c r="AK342" s="1">
        <v>455681</v>
      </c>
      <c r="AL342" t="s">
        <v>117</v>
      </c>
      <c r="AM342" t="s">
        <v>171</v>
      </c>
      <c r="AN342">
        <v>8922</v>
      </c>
      <c r="AO342">
        <v>0.2</v>
      </c>
      <c r="AR342">
        <v>1</v>
      </c>
      <c r="AS342" s="1">
        <v>32400</v>
      </c>
      <c r="AT342" s="1">
        <v>6480</v>
      </c>
      <c r="AU342" s="1">
        <v>25920</v>
      </c>
      <c r="AV342">
        <v>80</v>
      </c>
      <c r="AX342" s="1">
        <v>2640.34</v>
      </c>
      <c r="AY342" t="s">
        <v>272</v>
      </c>
      <c r="AZ342" t="s">
        <v>273</v>
      </c>
      <c r="BA342" t="s">
        <v>274</v>
      </c>
      <c r="BB342" s="3">
        <v>42305</v>
      </c>
      <c r="BD342" t="s">
        <v>842</v>
      </c>
      <c r="BE342" s="3">
        <v>42180</v>
      </c>
      <c r="BF342" s="1">
        <v>337064</v>
      </c>
      <c r="BG342" t="s">
        <v>275</v>
      </c>
      <c r="BH342" s="1">
        <v>113.6</v>
      </c>
      <c r="BI342" s="1">
        <v>348187</v>
      </c>
      <c r="BJ342" s="3">
        <v>42180</v>
      </c>
      <c r="BK342" t="s">
        <v>123</v>
      </c>
      <c r="BL342" t="str">
        <f>"2015.456698"</f>
        <v>2015.456698</v>
      </c>
      <c r="BM342" t="s">
        <v>651</v>
      </c>
      <c r="BO342" t="s">
        <v>2454</v>
      </c>
      <c r="BS342">
        <v>30</v>
      </c>
      <c r="BW342" t="str">
        <f>""</f>
        <v/>
      </c>
      <c r="CH342" t="str">
        <f>""</f>
        <v/>
      </c>
      <c r="CS342" t="str">
        <f>""</f>
        <v/>
      </c>
    </row>
    <row r="343" spans="1:97" x14ac:dyDescent="0.25">
      <c r="B343" t="s">
        <v>2455</v>
      </c>
      <c r="C343" t="s">
        <v>703</v>
      </c>
      <c r="E343" t="s">
        <v>2456</v>
      </c>
      <c r="F343" t="s">
        <v>108</v>
      </c>
      <c r="H343" t="s">
        <v>2457</v>
      </c>
      <c r="I343" t="s">
        <v>188</v>
      </c>
      <c r="J343" t="s">
        <v>111</v>
      </c>
      <c r="K343" t="str">
        <f>"85142"</f>
        <v>85142</v>
      </c>
      <c r="L343" t="s">
        <v>688</v>
      </c>
      <c r="M343" t="s">
        <v>2457</v>
      </c>
      <c r="N343" t="s">
        <v>188</v>
      </c>
      <c r="O343" t="s">
        <v>111</v>
      </c>
      <c r="P343" t="str">
        <f>"85142-9841"</f>
        <v>85142-9841</v>
      </c>
      <c r="Q343" t="s">
        <v>113</v>
      </c>
      <c r="R343" t="str">
        <f>"304-89-711"</f>
        <v>304-89-711</v>
      </c>
      <c r="S343" t="s">
        <v>690</v>
      </c>
      <c r="T343" t="s">
        <v>691</v>
      </c>
      <c r="U343">
        <v>4396</v>
      </c>
      <c r="W343">
        <v>6</v>
      </c>
      <c r="X343">
        <v>2014</v>
      </c>
      <c r="Z343">
        <v>2</v>
      </c>
      <c r="AA343" t="s">
        <v>26</v>
      </c>
      <c r="AC343" t="s">
        <v>115</v>
      </c>
      <c r="AD343">
        <v>4</v>
      </c>
      <c r="AE343" t="s">
        <v>115</v>
      </c>
      <c r="AH343" t="s">
        <v>116</v>
      </c>
      <c r="AI343" s="1">
        <v>182628</v>
      </c>
      <c r="AJ343" s="2">
        <v>0.33</v>
      </c>
      <c r="AK343" s="1">
        <v>554277</v>
      </c>
      <c r="AL343" t="s">
        <v>117</v>
      </c>
      <c r="AM343" t="s">
        <v>917</v>
      </c>
      <c r="AN343">
        <v>9920</v>
      </c>
      <c r="AO343">
        <v>0.23</v>
      </c>
      <c r="AR343">
        <v>1</v>
      </c>
      <c r="AS343" s="1">
        <v>38370</v>
      </c>
      <c r="AT343" s="1">
        <v>7670</v>
      </c>
      <c r="AU343" s="1">
        <v>30700</v>
      </c>
      <c r="AV343">
        <v>80.010000000000005</v>
      </c>
      <c r="AX343" s="1">
        <v>3596.62</v>
      </c>
      <c r="AY343" t="s">
        <v>192</v>
      </c>
      <c r="AZ343" t="s">
        <v>193</v>
      </c>
      <c r="BA343" t="s">
        <v>194</v>
      </c>
      <c r="BB343" s="3">
        <v>43731</v>
      </c>
      <c r="BC343" s="1">
        <v>0</v>
      </c>
      <c r="BD343" t="s">
        <v>247</v>
      </c>
      <c r="BE343" s="3">
        <v>41865</v>
      </c>
      <c r="BF343" s="1">
        <v>415995</v>
      </c>
      <c r="BG343" t="s">
        <v>209</v>
      </c>
      <c r="BH343" s="1">
        <v>94.63</v>
      </c>
      <c r="BI343" s="1">
        <v>371649</v>
      </c>
      <c r="BJ343" s="3">
        <v>42684</v>
      </c>
      <c r="BK343" t="s">
        <v>123</v>
      </c>
      <c r="BL343" t="str">
        <f>"2016.830750"</f>
        <v>2016.830750</v>
      </c>
      <c r="BM343" t="s">
        <v>2458</v>
      </c>
      <c r="BN343" t="s">
        <v>904</v>
      </c>
      <c r="BO343" t="s">
        <v>2459</v>
      </c>
      <c r="BS343">
        <v>28</v>
      </c>
      <c r="BW343" t="str">
        <f>""</f>
        <v/>
      </c>
      <c r="CH343" t="str">
        <f>""</f>
        <v/>
      </c>
      <c r="CS343" t="str">
        <f>""</f>
        <v/>
      </c>
    </row>
    <row r="344" spans="1:97" x14ac:dyDescent="0.25">
      <c r="A344" t="s">
        <v>1735</v>
      </c>
      <c r="B344" t="s">
        <v>1768</v>
      </c>
      <c r="E344" t="s">
        <v>2460</v>
      </c>
      <c r="F344" t="s">
        <v>108</v>
      </c>
      <c r="H344" t="s">
        <v>2461</v>
      </c>
      <c r="I344" t="s">
        <v>110</v>
      </c>
      <c r="J344" t="s">
        <v>111</v>
      </c>
      <c r="K344" t="str">
        <f>"85249"</f>
        <v>85249</v>
      </c>
      <c r="L344" t="s">
        <v>417</v>
      </c>
      <c r="M344" t="s">
        <v>2461</v>
      </c>
      <c r="N344" t="s">
        <v>110</v>
      </c>
      <c r="O344" t="s">
        <v>111</v>
      </c>
      <c r="P344" t="str">
        <f>"85249-9722"</f>
        <v>85249-9722</v>
      </c>
      <c r="Q344" t="s">
        <v>113</v>
      </c>
      <c r="R344" t="str">
        <f>"304-75-777"</f>
        <v>304-75-777</v>
      </c>
      <c r="S344" t="s">
        <v>706</v>
      </c>
      <c r="T344" t="s">
        <v>707</v>
      </c>
      <c r="U344">
        <v>2178</v>
      </c>
      <c r="W344">
        <v>4</v>
      </c>
      <c r="X344">
        <v>2014</v>
      </c>
      <c r="Z344">
        <v>1</v>
      </c>
      <c r="AA344" t="s">
        <v>26</v>
      </c>
      <c r="AC344" t="s">
        <v>115</v>
      </c>
      <c r="AD344">
        <v>2</v>
      </c>
      <c r="AE344" t="s">
        <v>115</v>
      </c>
      <c r="AH344" t="s">
        <v>116</v>
      </c>
      <c r="AI344" s="1">
        <v>90174</v>
      </c>
      <c r="AJ344" s="2">
        <v>0.21</v>
      </c>
      <c r="AK344" s="1">
        <v>425765</v>
      </c>
      <c r="AL344" t="s">
        <v>117</v>
      </c>
      <c r="AM344" t="s">
        <v>118</v>
      </c>
      <c r="AN344">
        <v>7537</v>
      </c>
      <c r="AO344">
        <v>0.17</v>
      </c>
      <c r="AR344">
        <v>1</v>
      </c>
      <c r="AS344" s="1">
        <v>30570</v>
      </c>
      <c r="AT344" s="1">
        <v>6110</v>
      </c>
      <c r="AU344" s="1">
        <v>24460</v>
      </c>
      <c r="AV344">
        <v>80.010000000000005</v>
      </c>
      <c r="AX344" s="1">
        <v>2541.34</v>
      </c>
      <c r="AY344" t="s">
        <v>419</v>
      </c>
      <c r="AZ344" t="s">
        <v>273</v>
      </c>
      <c r="BA344" t="s">
        <v>303</v>
      </c>
      <c r="BE344" s="3">
        <v>41989</v>
      </c>
      <c r="BF344" s="1">
        <v>335591</v>
      </c>
      <c r="BG344" t="s">
        <v>708</v>
      </c>
      <c r="BH344" s="1">
        <v>154.08000000000001</v>
      </c>
      <c r="BI344" s="1">
        <v>335591</v>
      </c>
      <c r="BJ344" s="3">
        <v>41989</v>
      </c>
      <c r="BK344" t="s">
        <v>123</v>
      </c>
      <c r="BL344" t="str">
        <f>"2014.826979"</f>
        <v>2014.826979</v>
      </c>
      <c r="BM344" t="s">
        <v>1038</v>
      </c>
      <c r="BO344" t="s">
        <v>2462</v>
      </c>
      <c r="BS344">
        <v>30</v>
      </c>
      <c r="BW344" t="str">
        <f>""</f>
        <v/>
      </c>
      <c r="CH344" t="str">
        <f>""</f>
        <v/>
      </c>
      <c r="CS344" t="str">
        <f>""</f>
        <v/>
      </c>
    </row>
    <row r="345" spans="1:97" x14ac:dyDescent="0.25">
      <c r="A345" t="s">
        <v>2463</v>
      </c>
      <c r="B345" t="s">
        <v>2464</v>
      </c>
      <c r="E345" t="s">
        <v>2465</v>
      </c>
      <c r="F345" t="s">
        <v>108</v>
      </c>
      <c r="H345" t="s">
        <v>2466</v>
      </c>
      <c r="I345" t="s">
        <v>374</v>
      </c>
      <c r="J345" t="s">
        <v>111</v>
      </c>
      <c r="K345" t="str">
        <f>"85087"</f>
        <v>85087</v>
      </c>
      <c r="L345" t="s">
        <v>375</v>
      </c>
      <c r="M345" t="s">
        <v>2466</v>
      </c>
      <c r="N345" t="s">
        <v>374</v>
      </c>
      <c r="O345" t="s">
        <v>111</v>
      </c>
      <c r="P345" t="str">
        <f>"85087-6216"</f>
        <v>85087-6216</v>
      </c>
      <c r="Q345" t="s">
        <v>113</v>
      </c>
      <c r="R345" t="str">
        <f>"202-23-366"</f>
        <v>202-23-366</v>
      </c>
      <c r="S345" t="s">
        <v>663</v>
      </c>
      <c r="T345" t="s">
        <v>664</v>
      </c>
      <c r="U345">
        <v>3490</v>
      </c>
      <c r="W345">
        <v>4</v>
      </c>
      <c r="X345">
        <v>2014</v>
      </c>
      <c r="Z345">
        <v>2</v>
      </c>
      <c r="AC345" t="s">
        <v>115</v>
      </c>
      <c r="AD345">
        <v>3</v>
      </c>
      <c r="AE345" t="s">
        <v>115</v>
      </c>
      <c r="AH345" t="s">
        <v>116</v>
      </c>
      <c r="AI345" s="1">
        <v>36910</v>
      </c>
      <c r="AJ345" s="2">
        <v>0.08</v>
      </c>
      <c r="AK345" s="1">
        <v>453910</v>
      </c>
      <c r="AL345" t="s">
        <v>117</v>
      </c>
      <c r="AM345" t="s">
        <v>1302</v>
      </c>
      <c r="AN345">
        <v>10500</v>
      </c>
      <c r="AO345">
        <v>0.24</v>
      </c>
      <c r="AR345">
        <v>1</v>
      </c>
      <c r="AS345" s="1">
        <v>33130</v>
      </c>
      <c r="AT345" s="1">
        <v>6620</v>
      </c>
      <c r="AU345" s="1">
        <v>26510</v>
      </c>
      <c r="AV345">
        <v>80.02</v>
      </c>
      <c r="AX345" s="1">
        <v>2975.28</v>
      </c>
      <c r="AY345" t="s">
        <v>665</v>
      </c>
      <c r="AZ345" t="s">
        <v>665</v>
      </c>
      <c r="BA345" t="s">
        <v>378</v>
      </c>
      <c r="BE345" s="3">
        <v>42002</v>
      </c>
      <c r="BF345" s="1">
        <v>420043</v>
      </c>
      <c r="BG345" t="s">
        <v>158</v>
      </c>
      <c r="BH345" s="1">
        <v>120.36</v>
      </c>
      <c r="BI345" s="1">
        <v>417000</v>
      </c>
      <c r="BJ345" s="3">
        <v>42671</v>
      </c>
      <c r="BK345" t="s">
        <v>123</v>
      </c>
      <c r="BL345" t="str">
        <f>"2016.795263"</f>
        <v>2016.795263</v>
      </c>
      <c r="BM345" t="s">
        <v>544</v>
      </c>
      <c r="BO345" t="s">
        <v>2467</v>
      </c>
      <c r="BS345">
        <v>30</v>
      </c>
      <c r="BW345" t="str">
        <f>""</f>
        <v/>
      </c>
      <c r="CH345" t="str">
        <f>""</f>
        <v/>
      </c>
      <c r="CS345" t="str">
        <f>""</f>
        <v/>
      </c>
    </row>
    <row r="346" spans="1:97" x14ac:dyDescent="0.25">
      <c r="A346" t="s">
        <v>1160</v>
      </c>
      <c r="B346" t="s">
        <v>2468</v>
      </c>
      <c r="C346" t="s">
        <v>2469</v>
      </c>
      <c r="D346" t="s">
        <v>2468</v>
      </c>
      <c r="E346" t="s">
        <v>2470</v>
      </c>
      <c r="F346" t="s">
        <v>108</v>
      </c>
      <c r="H346" t="s">
        <v>2471</v>
      </c>
      <c r="I346" t="s">
        <v>203</v>
      </c>
      <c r="J346" t="s">
        <v>111</v>
      </c>
      <c r="K346" t="str">
        <f>"85298"</f>
        <v>85298</v>
      </c>
      <c r="L346" t="s">
        <v>681</v>
      </c>
      <c r="M346" t="s">
        <v>2471</v>
      </c>
      <c r="N346" t="s">
        <v>203</v>
      </c>
      <c r="O346" t="s">
        <v>111</v>
      </c>
      <c r="P346" t="str">
        <f>"85298"</f>
        <v>85298</v>
      </c>
      <c r="Q346" t="s">
        <v>113</v>
      </c>
      <c r="R346" t="str">
        <f>"304-87-708"</f>
        <v>304-87-708</v>
      </c>
      <c r="S346" t="s">
        <v>682</v>
      </c>
      <c r="U346">
        <v>3774</v>
      </c>
      <c r="W346">
        <v>5</v>
      </c>
      <c r="X346">
        <v>2014</v>
      </c>
      <c r="Z346">
        <v>1</v>
      </c>
      <c r="AA346" t="s">
        <v>26</v>
      </c>
      <c r="AC346" t="s">
        <v>115</v>
      </c>
      <c r="AD346">
        <v>3</v>
      </c>
      <c r="AE346" t="s">
        <v>115</v>
      </c>
      <c r="AH346" t="s">
        <v>116</v>
      </c>
      <c r="AI346" s="1">
        <v>130573</v>
      </c>
      <c r="AJ346" s="2">
        <v>0.21</v>
      </c>
      <c r="AK346" s="1">
        <v>615369</v>
      </c>
      <c r="AL346" t="s">
        <v>117</v>
      </c>
      <c r="AM346" t="s">
        <v>1302</v>
      </c>
      <c r="AN346">
        <v>11700</v>
      </c>
      <c r="AO346">
        <v>0.27</v>
      </c>
      <c r="AR346">
        <v>1</v>
      </c>
      <c r="AS346" s="1">
        <v>50130</v>
      </c>
      <c r="AT346" s="1">
        <v>10020</v>
      </c>
      <c r="AU346" s="1">
        <v>40110</v>
      </c>
      <c r="AV346">
        <v>80.010000000000005</v>
      </c>
      <c r="AX346" s="1">
        <v>3726.04</v>
      </c>
      <c r="AY346" t="s">
        <v>289</v>
      </c>
      <c r="AZ346" t="s">
        <v>289</v>
      </c>
      <c r="BA346" t="s">
        <v>290</v>
      </c>
      <c r="BE346" s="3">
        <v>42082</v>
      </c>
      <c r="BF346" s="1">
        <v>475000</v>
      </c>
      <c r="BG346" t="s">
        <v>209</v>
      </c>
      <c r="BH346" s="1">
        <v>125.86</v>
      </c>
      <c r="BI346" s="1">
        <v>460500</v>
      </c>
      <c r="BJ346" s="3">
        <v>42082</v>
      </c>
      <c r="BK346" t="s">
        <v>123</v>
      </c>
      <c r="BL346" t="str">
        <f>"2015.186010"</f>
        <v>2015.186010</v>
      </c>
      <c r="BM346" t="s">
        <v>2472</v>
      </c>
      <c r="BN346" t="s">
        <v>2473</v>
      </c>
      <c r="BO346" t="s">
        <v>2474</v>
      </c>
      <c r="BS346">
        <v>30</v>
      </c>
      <c r="BT346" s="1">
        <v>24296</v>
      </c>
      <c r="BU346" s="3">
        <v>43152</v>
      </c>
      <c r="BW346" t="str">
        <f>"2018.128107"</f>
        <v>2018.128107</v>
      </c>
      <c r="BX346" t="s">
        <v>2475</v>
      </c>
      <c r="BY346" t="s">
        <v>2476</v>
      </c>
      <c r="BZ346" t="s">
        <v>2477</v>
      </c>
      <c r="CA346" t="s">
        <v>2478</v>
      </c>
      <c r="CC346" t="s">
        <v>346</v>
      </c>
      <c r="CH346" t="str">
        <f>""</f>
        <v/>
      </c>
      <c r="CS346" t="str">
        <f>""</f>
        <v/>
      </c>
    </row>
    <row r="347" spans="1:97" x14ac:dyDescent="0.25">
      <c r="B347" t="s">
        <v>2479</v>
      </c>
      <c r="C347" t="s">
        <v>2480</v>
      </c>
      <c r="E347" t="s">
        <v>2481</v>
      </c>
      <c r="F347" t="s">
        <v>108</v>
      </c>
      <c r="H347" t="s">
        <v>2482</v>
      </c>
      <c r="I347" t="s">
        <v>225</v>
      </c>
      <c r="J347" t="s">
        <v>111</v>
      </c>
      <c r="K347" t="str">
        <f>"85212"</f>
        <v>85212</v>
      </c>
      <c r="L347" t="s">
        <v>558</v>
      </c>
      <c r="M347" t="s">
        <v>2482</v>
      </c>
      <c r="N347" t="s">
        <v>225</v>
      </c>
      <c r="O347" t="s">
        <v>111</v>
      </c>
      <c r="P347" t="str">
        <f>"85212-8049"</f>
        <v>85212-8049</v>
      </c>
      <c r="Q347" t="s">
        <v>113</v>
      </c>
      <c r="R347" t="str">
        <f>"304-50-254"</f>
        <v>304-50-254</v>
      </c>
      <c r="S347" t="s">
        <v>644</v>
      </c>
      <c r="U347">
        <v>2845</v>
      </c>
      <c r="W347">
        <v>4</v>
      </c>
      <c r="X347">
        <v>2014</v>
      </c>
      <c r="Z347">
        <v>1</v>
      </c>
      <c r="AA347" t="s">
        <v>26</v>
      </c>
      <c r="AC347" t="s">
        <v>115</v>
      </c>
      <c r="AD347">
        <v>3</v>
      </c>
      <c r="AE347" t="s">
        <v>115</v>
      </c>
      <c r="AH347" t="s">
        <v>116</v>
      </c>
      <c r="AI347" s="1">
        <v>100739</v>
      </c>
      <c r="AJ347" s="2">
        <v>0.23</v>
      </c>
      <c r="AK347" s="1">
        <v>442439</v>
      </c>
      <c r="AL347" t="s">
        <v>117</v>
      </c>
      <c r="AM347" t="s">
        <v>118</v>
      </c>
      <c r="AN347">
        <v>8160</v>
      </c>
      <c r="AO347">
        <v>0.19</v>
      </c>
      <c r="AR347">
        <v>1</v>
      </c>
      <c r="AS347" s="1">
        <v>31650</v>
      </c>
      <c r="AT347" s="1">
        <v>6330</v>
      </c>
      <c r="AU347" s="1">
        <v>25320</v>
      </c>
      <c r="AV347">
        <v>80</v>
      </c>
      <c r="AX347" s="1">
        <v>4495.5</v>
      </c>
      <c r="AY347" t="s">
        <v>560</v>
      </c>
      <c r="AZ347" t="s">
        <v>561</v>
      </c>
      <c r="BA347" t="s">
        <v>194</v>
      </c>
      <c r="BB347" s="3">
        <v>43691</v>
      </c>
      <c r="BC347" s="1">
        <v>0</v>
      </c>
      <c r="BD347" t="s">
        <v>247</v>
      </c>
      <c r="BE347" s="3">
        <v>41912</v>
      </c>
      <c r="BF347" s="1">
        <v>333572</v>
      </c>
      <c r="BG347" t="s">
        <v>645</v>
      </c>
      <c r="BH347" s="1">
        <v>117.25</v>
      </c>
      <c r="BI347" s="1">
        <v>341700</v>
      </c>
      <c r="BJ347" s="3">
        <v>42632</v>
      </c>
      <c r="BK347" t="s">
        <v>123</v>
      </c>
      <c r="BL347" t="str">
        <f>"2016.680215"</f>
        <v>2016.680215</v>
      </c>
      <c r="BM347" t="s">
        <v>544</v>
      </c>
      <c r="BN347" t="s">
        <v>545</v>
      </c>
      <c r="BO347" t="s">
        <v>2483</v>
      </c>
      <c r="BP347" t="s">
        <v>2484</v>
      </c>
      <c r="BS347">
        <v>30</v>
      </c>
      <c r="BW347" t="str">
        <f>""</f>
        <v/>
      </c>
      <c r="CH347" t="str">
        <f>""</f>
        <v/>
      </c>
      <c r="CS347" t="str">
        <f>""</f>
        <v/>
      </c>
    </row>
    <row r="348" spans="1:97" x14ac:dyDescent="0.25">
      <c r="A348" t="s">
        <v>2485</v>
      </c>
      <c r="B348" t="s">
        <v>2486</v>
      </c>
      <c r="C348" t="s">
        <v>489</v>
      </c>
      <c r="D348" t="s">
        <v>2486</v>
      </c>
      <c r="E348" t="s">
        <v>2487</v>
      </c>
      <c r="F348" t="s">
        <v>108</v>
      </c>
      <c r="H348" t="s">
        <v>2488</v>
      </c>
      <c r="I348" t="s">
        <v>203</v>
      </c>
      <c r="J348" t="s">
        <v>111</v>
      </c>
      <c r="K348" t="str">
        <f>"85298"</f>
        <v>85298</v>
      </c>
      <c r="L348" t="s">
        <v>681</v>
      </c>
      <c r="M348" t="s">
        <v>2488</v>
      </c>
      <c r="N348" t="s">
        <v>203</v>
      </c>
      <c r="O348" t="s">
        <v>111</v>
      </c>
      <c r="P348" t="str">
        <f>"85298"</f>
        <v>85298</v>
      </c>
      <c r="Q348" t="s">
        <v>113</v>
      </c>
      <c r="R348" t="str">
        <f>"304-88-454"</f>
        <v>304-88-454</v>
      </c>
      <c r="S348" t="s">
        <v>1165</v>
      </c>
      <c r="T348" t="s">
        <v>287</v>
      </c>
      <c r="U348">
        <v>2381</v>
      </c>
      <c r="W348">
        <v>4</v>
      </c>
      <c r="X348">
        <v>2015</v>
      </c>
      <c r="Z348">
        <v>1</v>
      </c>
      <c r="AC348" t="s">
        <v>115</v>
      </c>
      <c r="AD348">
        <v>3</v>
      </c>
      <c r="AE348" t="s">
        <v>115</v>
      </c>
      <c r="AH348" t="s">
        <v>116</v>
      </c>
      <c r="AI348" s="1">
        <v>71388</v>
      </c>
      <c r="AJ348" s="2">
        <v>0.16</v>
      </c>
      <c r="AK348" s="1">
        <v>434110</v>
      </c>
      <c r="AL348" t="s">
        <v>117</v>
      </c>
      <c r="AM348" t="s">
        <v>288</v>
      </c>
      <c r="AN348">
        <v>6600</v>
      </c>
      <c r="AO348">
        <v>0.15</v>
      </c>
      <c r="AR348">
        <v>1</v>
      </c>
      <c r="AS348" s="1">
        <v>31920</v>
      </c>
      <c r="AT348" s="1">
        <v>6380</v>
      </c>
      <c r="AU348" s="1">
        <v>25540</v>
      </c>
      <c r="AV348">
        <v>80.010000000000005</v>
      </c>
      <c r="AX348" s="1">
        <v>2281.58</v>
      </c>
      <c r="AY348" t="s">
        <v>289</v>
      </c>
      <c r="AZ348" t="s">
        <v>289</v>
      </c>
      <c r="BA348" t="s">
        <v>290</v>
      </c>
      <c r="BE348" s="3">
        <v>42328</v>
      </c>
      <c r="BF348" s="1">
        <v>351135</v>
      </c>
      <c r="BG348" t="s">
        <v>420</v>
      </c>
      <c r="BH348" s="1">
        <v>147.47</v>
      </c>
      <c r="BI348" s="1">
        <v>362722</v>
      </c>
      <c r="BJ348" s="3">
        <v>42328</v>
      </c>
      <c r="BK348" t="s">
        <v>123</v>
      </c>
      <c r="BL348" t="str">
        <f>"2015.830572"</f>
        <v>2015.830572</v>
      </c>
      <c r="BM348" t="s">
        <v>2489</v>
      </c>
      <c r="BO348" t="s">
        <v>2490</v>
      </c>
      <c r="BS348">
        <v>30</v>
      </c>
      <c r="BW348" t="str">
        <f>""</f>
        <v/>
      </c>
      <c r="CH348" t="str">
        <f>""</f>
        <v/>
      </c>
      <c r="CS348" t="str">
        <f>""</f>
        <v/>
      </c>
    </row>
    <row r="349" spans="1:97" x14ac:dyDescent="0.25">
      <c r="A349" t="s">
        <v>370</v>
      </c>
      <c r="B349" t="s">
        <v>2491</v>
      </c>
      <c r="C349" t="s">
        <v>970</v>
      </c>
      <c r="D349" t="s">
        <v>2491</v>
      </c>
      <c r="E349" t="s">
        <v>2492</v>
      </c>
      <c r="F349" t="s">
        <v>108</v>
      </c>
      <c r="H349" t="s">
        <v>2493</v>
      </c>
      <c r="I349" t="s">
        <v>203</v>
      </c>
      <c r="J349" t="s">
        <v>111</v>
      </c>
      <c r="K349" t="str">
        <f>"85298"</f>
        <v>85298</v>
      </c>
      <c r="L349" t="s">
        <v>681</v>
      </c>
      <c r="M349" t="s">
        <v>2493</v>
      </c>
      <c r="N349" t="s">
        <v>203</v>
      </c>
      <c r="O349" t="s">
        <v>111</v>
      </c>
      <c r="P349" t="str">
        <f>"85298"</f>
        <v>85298</v>
      </c>
      <c r="Q349" t="s">
        <v>113</v>
      </c>
      <c r="R349" t="str">
        <f>"304-87-665"</f>
        <v>304-87-665</v>
      </c>
      <c r="S349" t="s">
        <v>682</v>
      </c>
      <c r="U349">
        <v>2576</v>
      </c>
      <c r="W349">
        <v>4</v>
      </c>
      <c r="X349">
        <v>2015</v>
      </c>
      <c r="Z349">
        <v>1</v>
      </c>
      <c r="AA349" t="s">
        <v>26</v>
      </c>
      <c r="AC349" t="s">
        <v>115</v>
      </c>
      <c r="AD349">
        <v>2</v>
      </c>
      <c r="AE349" t="s">
        <v>115</v>
      </c>
      <c r="AH349" t="s">
        <v>116</v>
      </c>
      <c r="AI349" s="1">
        <v>106939</v>
      </c>
      <c r="AJ349" s="2">
        <v>0.23</v>
      </c>
      <c r="AK349" s="1">
        <v>470784</v>
      </c>
      <c r="AL349" t="s">
        <v>117</v>
      </c>
      <c r="AM349" t="s">
        <v>393</v>
      </c>
      <c r="AN349">
        <v>7869</v>
      </c>
      <c r="AO349">
        <v>0.18</v>
      </c>
      <c r="AR349">
        <v>1</v>
      </c>
      <c r="AS349" s="1">
        <v>34860</v>
      </c>
      <c r="AT349" s="1">
        <v>6970</v>
      </c>
      <c r="AU349" s="1">
        <v>27890</v>
      </c>
      <c r="AV349">
        <v>80.010000000000005</v>
      </c>
      <c r="AX349" s="1">
        <v>2709.38</v>
      </c>
      <c r="AY349" t="s">
        <v>289</v>
      </c>
      <c r="AZ349" t="s">
        <v>289</v>
      </c>
      <c r="BA349" t="s">
        <v>290</v>
      </c>
      <c r="BE349" s="3">
        <v>42349</v>
      </c>
      <c r="BF349" s="1">
        <v>363845</v>
      </c>
      <c r="BG349" t="s">
        <v>209</v>
      </c>
      <c r="BH349" s="1">
        <v>141.24</v>
      </c>
      <c r="BI349" s="1">
        <v>363845</v>
      </c>
      <c r="BJ349" s="3">
        <v>42349</v>
      </c>
      <c r="BK349" t="s">
        <v>123</v>
      </c>
      <c r="BL349" t="str">
        <f>"2015.877805"</f>
        <v>2015.877805</v>
      </c>
      <c r="BM349" t="s">
        <v>175</v>
      </c>
      <c r="BO349" t="s">
        <v>2494</v>
      </c>
      <c r="BS349">
        <v>15</v>
      </c>
      <c r="BW349" t="str">
        <f>""</f>
        <v/>
      </c>
      <c r="CH349" t="str">
        <f>""</f>
        <v/>
      </c>
      <c r="CS349" t="str">
        <f>""</f>
        <v/>
      </c>
    </row>
    <row r="350" spans="1:97" x14ac:dyDescent="0.25">
      <c r="A350" t="s">
        <v>1774</v>
      </c>
      <c r="B350" t="s">
        <v>2495</v>
      </c>
      <c r="C350" t="s">
        <v>328</v>
      </c>
      <c r="D350" t="s">
        <v>2495</v>
      </c>
      <c r="E350" t="s">
        <v>2496</v>
      </c>
      <c r="F350" t="s">
        <v>108</v>
      </c>
      <c r="H350" t="s">
        <v>2497</v>
      </c>
      <c r="I350" t="s">
        <v>110</v>
      </c>
      <c r="J350" t="s">
        <v>111</v>
      </c>
      <c r="K350" t="str">
        <f>"85249"</f>
        <v>85249</v>
      </c>
      <c r="L350" t="s">
        <v>417</v>
      </c>
      <c r="M350" t="s">
        <v>2497</v>
      </c>
      <c r="N350" t="s">
        <v>110</v>
      </c>
      <c r="O350" t="s">
        <v>111</v>
      </c>
      <c r="P350" t="str">
        <f>"85249"</f>
        <v>85249</v>
      </c>
      <c r="Q350" t="s">
        <v>113</v>
      </c>
      <c r="R350" t="str">
        <f>"304-76-926"</f>
        <v>304-76-926</v>
      </c>
      <c r="S350" t="s">
        <v>614</v>
      </c>
      <c r="T350" t="s">
        <v>615</v>
      </c>
      <c r="U350">
        <v>4502</v>
      </c>
      <c r="W350">
        <v>6</v>
      </c>
      <c r="X350">
        <v>2016</v>
      </c>
      <c r="Z350">
        <v>2</v>
      </c>
      <c r="AC350" t="s">
        <v>115</v>
      </c>
      <c r="AD350">
        <v>3</v>
      </c>
      <c r="AE350" t="s">
        <v>115</v>
      </c>
      <c r="AH350" t="s">
        <v>116</v>
      </c>
      <c r="AI350" s="1">
        <v>-8653</v>
      </c>
      <c r="AJ350" s="2">
        <v>-0.01</v>
      </c>
      <c r="AK350" s="1">
        <v>597523</v>
      </c>
      <c r="AL350" t="s">
        <v>117</v>
      </c>
      <c r="AM350" t="s">
        <v>616</v>
      </c>
      <c r="AN350">
        <v>7230</v>
      </c>
      <c r="AO350">
        <v>0.17</v>
      </c>
      <c r="AR350">
        <v>1</v>
      </c>
      <c r="AS350" s="1">
        <v>42060</v>
      </c>
      <c r="AT350" s="1">
        <v>8410</v>
      </c>
      <c r="AU350" s="1">
        <v>33650</v>
      </c>
      <c r="AV350">
        <v>80</v>
      </c>
      <c r="AX350" s="1">
        <v>3109.52</v>
      </c>
      <c r="AY350" t="s">
        <v>419</v>
      </c>
      <c r="AZ350" t="s">
        <v>273</v>
      </c>
      <c r="BA350" t="s">
        <v>303</v>
      </c>
      <c r="BE350" s="3">
        <v>42459</v>
      </c>
      <c r="BF350" s="1">
        <v>526524</v>
      </c>
      <c r="BG350" t="s">
        <v>1079</v>
      </c>
      <c r="BH350" s="1">
        <v>116.95</v>
      </c>
      <c r="BI350" s="1">
        <v>507878</v>
      </c>
      <c r="BJ350" s="3">
        <v>42459</v>
      </c>
      <c r="BK350" t="s">
        <v>123</v>
      </c>
      <c r="BL350" t="str">
        <f>"2016.207544"</f>
        <v>2016.207544</v>
      </c>
      <c r="BM350" t="s">
        <v>544</v>
      </c>
      <c r="BO350" t="s">
        <v>2498</v>
      </c>
      <c r="BS350">
        <v>30</v>
      </c>
      <c r="BT350" s="1">
        <v>49149</v>
      </c>
      <c r="BU350" s="3">
        <v>42599</v>
      </c>
      <c r="BV350" t="s">
        <v>134</v>
      </c>
      <c r="BW350" t="str">
        <f>"2016.589299"</f>
        <v>2016.589299</v>
      </c>
      <c r="BX350" t="s">
        <v>198</v>
      </c>
      <c r="BZ350" t="s">
        <v>2498</v>
      </c>
      <c r="CD350">
        <v>15</v>
      </c>
      <c r="CE350" s="1">
        <v>49149</v>
      </c>
      <c r="CF350" s="3">
        <v>42601</v>
      </c>
      <c r="CG350" t="s">
        <v>134</v>
      </c>
      <c r="CH350" t="str">
        <f>"2016.594912"</f>
        <v>2016.594912</v>
      </c>
      <c r="CI350" t="s">
        <v>198</v>
      </c>
      <c r="CK350" t="s">
        <v>2498</v>
      </c>
      <c r="CO350">
        <v>15</v>
      </c>
      <c r="CS350" t="str">
        <f>""</f>
        <v/>
      </c>
    </row>
    <row r="351" spans="1:97" x14ac:dyDescent="0.25">
      <c r="A351" t="s">
        <v>2499</v>
      </c>
      <c r="B351" t="s">
        <v>2500</v>
      </c>
      <c r="C351" t="s">
        <v>2501</v>
      </c>
      <c r="D351" t="s">
        <v>2502</v>
      </c>
      <c r="E351" t="s">
        <v>2503</v>
      </c>
      <c r="F351" t="s">
        <v>108</v>
      </c>
      <c r="H351" t="s">
        <v>2504</v>
      </c>
      <c r="I351" t="s">
        <v>499</v>
      </c>
      <c r="J351" t="s">
        <v>111</v>
      </c>
      <c r="K351" t="str">
        <f>"85395"</f>
        <v>85395</v>
      </c>
      <c r="L351" t="s">
        <v>500</v>
      </c>
      <c r="M351" t="s">
        <v>2504</v>
      </c>
      <c r="N351" t="s">
        <v>499</v>
      </c>
      <c r="O351" t="s">
        <v>111</v>
      </c>
      <c r="P351" t="str">
        <f>"85395-6451"</f>
        <v>85395-6451</v>
      </c>
      <c r="Q351" t="s">
        <v>113</v>
      </c>
      <c r="R351" t="str">
        <f>"502-30-498"</f>
        <v>502-30-498</v>
      </c>
      <c r="S351" t="s">
        <v>1265</v>
      </c>
      <c r="T351" t="s">
        <v>502</v>
      </c>
      <c r="U351">
        <v>2279</v>
      </c>
      <c r="W351">
        <v>3</v>
      </c>
      <c r="X351">
        <v>2016</v>
      </c>
      <c r="Z351">
        <v>1</v>
      </c>
      <c r="AC351" t="s">
        <v>115</v>
      </c>
      <c r="AD351">
        <v>3</v>
      </c>
      <c r="AE351" t="s">
        <v>115</v>
      </c>
      <c r="AH351" t="s">
        <v>116</v>
      </c>
      <c r="AI351" s="1">
        <v>10151</v>
      </c>
      <c r="AJ351" s="2">
        <v>0.03</v>
      </c>
      <c r="AK351" s="1">
        <v>356260</v>
      </c>
      <c r="AL351" t="s">
        <v>117</v>
      </c>
      <c r="AM351" t="s">
        <v>118</v>
      </c>
      <c r="AN351">
        <v>10612</v>
      </c>
      <c r="AO351">
        <v>0.24</v>
      </c>
      <c r="AR351">
        <v>1</v>
      </c>
      <c r="AS351" s="1">
        <v>25010</v>
      </c>
      <c r="AT351" s="1">
        <v>5000</v>
      </c>
      <c r="AU351" s="1">
        <v>20010</v>
      </c>
      <c r="AV351">
        <v>80.010000000000005</v>
      </c>
      <c r="AX351" s="1">
        <v>2159.8000000000002</v>
      </c>
      <c r="AY351" t="s">
        <v>503</v>
      </c>
      <c r="AZ351" t="s">
        <v>504</v>
      </c>
      <c r="BA351" t="s">
        <v>218</v>
      </c>
      <c r="BE351" s="3">
        <v>42531</v>
      </c>
      <c r="BF351" s="1">
        <v>346109</v>
      </c>
      <c r="BG351" t="s">
        <v>209</v>
      </c>
      <c r="BH351" s="1">
        <v>151.87</v>
      </c>
      <c r="BI351" s="1">
        <v>346109</v>
      </c>
      <c r="BJ351" s="3">
        <v>42531</v>
      </c>
      <c r="BK351" t="s">
        <v>123</v>
      </c>
      <c r="BL351" t="str">
        <f>"2016.404377"</f>
        <v>2016.404377</v>
      </c>
      <c r="BM351" t="s">
        <v>175</v>
      </c>
      <c r="BO351" t="s">
        <v>2505</v>
      </c>
      <c r="BP351" t="s">
        <v>2506</v>
      </c>
      <c r="BS351">
        <v>30</v>
      </c>
      <c r="BW351" t="str">
        <f>""</f>
        <v/>
      </c>
      <c r="CH351" t="str">
        <f>""</f>
        <v/>
      </c>
      <c r="CS351" t="str">
        <f>""</f>
        <v/>
      </c>
    </row>
    <row r="352" spans="1:97" x14ac:dyDescent="0.25">
      <c r="A352" t="s">
        <v>2507</v>
      </c>
      <c r="B352" t="s">
        <v>2508</v>
      </c>
      <c r="C352" t="s">
        <v>2509</v>
      </c>
      <c r="D352" t="s">
        <v>2508</v>
      </c>
      <c r="E352" t="s">
        <v>2510</v>
      </c>
      <c r="F352" t="s">
        <v>108</v>
      </c>
      <c r="H352" t="s">
        <v>2511</v>
      </c>
      <c r="I352" t="s">
        <v>374</v>
      </c>
      <c r="J352" t="s">
        <v>111</v>
      </c>
      <c r="K352" t="str">
        <f>"85087"</f>
        <v>85087</v>
      </c>
      <c r="L352" t="s">
        <v>375</v>
      </c>
      <c r="M352" t="s">
        <v>2511</v>
      </c>
      <c r="N352" t="s">
        <v>374</v>
      </c>
      <c r="O352" t="s">
        <v>111</v>
      </c>
      <c r="P352" t="str">
        <f>"85087-6207"</f>
        <v>85087-6207</v>
      </c>
      <c r="Q352" t="s">
        <v>113</v>
      </c>
      <c r="R352" t="str">
        <f>"202-23-297"</f>
        <v>202-23-297</v>
      </c>
      <c r="S352" t="s">
        <v>663</v>
      </c>
      <c r="T352" t="s">
        <v>664</v>
      </c>
      <c r="U352">
        <v>4320</v>
      </c>
      <c r="W352">
        <v>7</v>
      </c>
      <c r="X352">
        <v>2015</v>
      </c>
      <c r="Z352">
        <v>2</v>
      </c>
      <c r="AA352" t="s">
        <v>26</v>
      </c>
      <c r="AC352" t="s">
        <v>115</v>
      </c>
      <c r="AD352">
        <v>3</v>
      </c>
      <c r="AE352" t="s">
        <v>115</v>
      </c>
      <c r="AH352" t="s">
        <v>116</v>
      </c>
      <c r="AI352" s="1">
        <v>124517</v>
      </c>
      <c r="AJ352" s="2">
        <v>0.23</v>
      </c>
      <c r="AK352" s="1">
        <v>541435</v>
      </c>
      <c r="AL352" t="s">
        <v>117</v>
      </c>
      <c r="AM352" t="s">
        <v>171</v>
      </c>
      <c r="AN352">
        <v>8750</v>
      </c>
      <c r="AO352">
        <v>0.2</v>
      </c>
      <c r="AR352">
        <v>1</v>
      </c>
      <c r="AS352" s="1">
        <v>41710</v>
      </c>
      <c r="AT352" s="1">
        <v>8340</v>
      </c>
      <c r="AU352" s="1">
        <v>33370</v>
      </c>
      <c r="AV352">
        <v>80</v>
      </c>
      <c r="AX352" s="1">
        <v>3585.24</v>
      </c>
      <c r="AY352" t="s">
        <v>665</v>
      </c>
      <c r="AZ352" t="s">
        <v>665</v>
      </c>
      <c r="BA352" t="s">
        <v>378</v>
      </c>
      <c r="BE352" s="3">
        <v>42103</v>
      </c>
      <c r="BF352" s="1">
        <v>420058</v>
      </c>
      <c r="BG352" t="s">
        <v>158</v>
      </c>
      <c r="BH352" s="1">
        <v>97.24</v>
      </c>
      <c r="BI352" s="1">
        <v>416918</v>
      </c>
      <c r="BJ352" s="3">
        <v>42103</v>
      </c>
      <c r="BK352" t="s">
        <v>123</v>
      </c>
      <c r="BL352" t="str">
        <f>"2015.242033"</f>
        <v>2015.242033</v>
      </c>
      <c r="BM352" t="s">
        <v>241</v>
      </c>
      <c r="BO352" t="s">
        <v>2512</v>
      </c>
      <c r="BS352">
        <v>30</v>
      </c>
      <c r="BW352" t="str">
        <f>""</f>
        <v/>
      </c>
      <c r="CH352" t="str">
        <f>""</f>
        <v/>
      </c>
      <c r="CS352" t="str">
        <f>""</f>
        <v/>
      </c>
    </row>
    <row r="353" spans="1:97" x14ac:dyDescent="0.25">
      <c r="A353" t="s">
        <v>2513</v>
      </c>
      <c r="B353" t="s">
        <v>348</v>
      </c>
      <c r="C353" t="s">
        <v>2099</v>
      </c>
      <c r="D353" t="s">
        <v>348</v>
      </c>
      <c r="E353" t="s">
        <v>2514</v>
      </c>
      <c r="F353" t="s">
        <v>108</v>
      </c>
      <c r="H353" t="s">
        <v>2515</v>
      </c>
      <c r="I353" t="s">
        <v>203</v>
      </c>
      <c r="J353" t="s">
        <v>111</v>
      </c>
      <c r="K353" t="str">
        <f>"85298"</f>
        <v>85298</v>
      </c>
      <c r="L353" t="s">
        <v>284</v>
      </c>
      <c r="M353" t="s">
        <v>2515</v>
      </c>
      <c r="N353" t="s">
        <v>203</v>
      </c>
      <c r="O353" t="s">
        <v>111</v>
      </c>
      <c r="P353" t="str">
        <f>"85298-3000"</f>
        <v>85298-3000</v>
      </c>
      <c r="Q353" t="s">
        <v>113</v>
      </c>
      <c r="R353" t="str">
        <f>"304-88-266"</f>
        <v>304-88-266</v>
      </c>
      <c r="S353" t="s">
        <v>1131</v>
      </c>
      <c r="T353" t="s">
        <v>1132</v>
      </c>
      <c r="U353">
        <v>2079</v>
      </c>
      <c r="W353">
        <v>3</v>
      </c>
      <c r="X353">
        <v>2015</v>
      </c>
      <c r="Z353">
        <v>1</v>
      </c>
      <c r="AC353" t="s">
        <v>115</v>
      </c>
      <c r="AD353">
        <v>2</v>
      </c>
      <c r="AE353" t="s">
        <v>115</v>
      </c>
      <c r="AH353" t="s">
        <v>116</v>
      </c>
      <c r="AI353" s="1">
        <v>70359</v>
      </c>
      <c r="AJ353" s="2">
        <v>0.17</v>
      </c>
      <c r="AK353" s="1">
        <v>407484</v>
      </c>
      <c r="AL353" t="s">
        <v>117</v>
      </c>
      <c r="AM353" t="s">
        <v>171</v>
      </c>
      <c r="AN353">
        <v>6499</v>
      </c>
      <c r="AO353">
        <v>0.15</v>
      </c>
      <c r="AR353">
        <v>1</v>
      </c>
      <c r="AS353" s="1">
        <v>29060</v>
      </c>
      <c r="AT353" s="1">
        <v>5810</v>
      </c>
      <c r="AU353" s="1">
        <v>23250</v>
      </c>
      <c r="AV353">
        <v>80.010000000000005</v>
      </c>
      <c r="AX353" s="1">
        <v>2147.44</v>
      </c>
      <c r="AY353" t="s">
        <v>1133</v>
      </c>
      <c r="AZ353" t="s">
        <v>1134</v>
      </c>
      <c r="BA353" t="s">
        <v>1134</v>
      </c>
      <c r="BE353" s="3">
        <v>42360</v>
      </c>
      <c r="BF353" s="1">
        <v>326356</v>
      </c>
      <c r="BG353" t="s">
        <v>292</v>
      </c>
      <c r="BH353" s="1">
        <v>156.97999999999999</v>
      </c>
      <c r="BI353" s="1">
        <v>337125</v>
      </c>
      <c r="BJ353" s="3">
        <v>42360</v>
      </c>
      <c r="BK353" t="s">
        <v>123</v>
      </c>
      <c r="BL353" t="str">
        <f>"2015.900441"</f>
        <v>2015.900441</v>
      </c>
      <c r="BM353" t="s">
        <v>1831</v>
      </c>
      <c r="BO353" t="s">
        <v>2516</v>
      </c>
      <c r="BS353">
        <v>30</v>
      </c>
      <c r="BW353" t="str">
        <f>""</f>
        <v/>
      </c>
      <c r="CH353" t="str">
        <f>""</f>
        <v/>
      </c>
      <c r="CS353" t="str">
        <f>""</f>
        <v/>
      </c>
    </row>
    <row r="354" spans="1:97" x14ac:dyDescent="0.25">
      <c r="A354" t="s">
        <v>370</v>
      </c>
      <c r="B354" t="s">
        <v>1768</v>
      </c>
      <c r="C354" t="s">
        <v>2517</v>
      </c>
      <c r="D354" t="s">
        <v>1768</v>
      </c>
      <c r="E354" t="s">
        <v>2518</v>
      </c>
      <c r="F354" t="s">
        <v>108</v>
      </c>
      <c r="H354" t="s">
        <v>2519</v>
      </c>
      <c r="I354" t="s">
        <v>225</v>
      </c>
      <c r="J354" t="s">
        <v>111</v>
      </c>
      <c r="K354" t="str">
        <f>"85212"</f>
        <v>85212</v>
      </c>
      <c r="L354" t="s">
        <v>558</v>
      </c>
      <c r="M354" t="s">
        <v>2519</v>
      </c>
      <c r="N354" t="s">
        <v>225</v>
      </c>
      <c r="O354" t="s">
        <v>111</v>
      </c>
      <c r="P354" t="str">
        <f>"85212-8036"</f>
        <v>85212-8036</v>
      </c>
      <c r="Q354" t="s">
        <v>113</v>
      </c>
      <c r="R354" t="str">
        <f>"304-50-179"</f>
        <v>304-50-179</v>
      </c>
      <c r="S354" t="s">
        <v>748</v>
      </c>
      <c r="U354">
        <v>2697</v>
      </c>
      <c r="W354">
        <v>5</v>
      </c>
      <c r="X354">
        <v>2014</v>
      </c>
      <c r="Z354">
        <v>1</v>
      </c>
      <c r="AA354" t="s">
        <v>26</v>
      </c>
      <c r="AC354" t="s">
        <v>115</v>
      </c>
      <c r="AD354">
        <v>3</v>
      </c>
      <c r="AE354" t="s">
        <v>115</v>
      </c>
      <c r="AH354" t="s">
        <v>116</v>
      </c>
      <c r="AI354" s="1">
        <v>52733</v>
      </c>
      <c r="AJ354" s="2">
        <v>0.12</v>
      </c>
      <c r="AK354" s="1">
        <v>439733</v>
      </c>
      <c r="AL354" t="s">
        <v>117</v>
      </c>
      <c r="AM354" t="s">
        <v>118</v>
      </c>
      <c r="AN354">
        <v>9082</v>
      </c>
      <c r="AO354">
        <v>0.21</v>
      </c>
      <c r="AR354">
        <v>1</v>
      </c>
      <c r="AS354" s="1">
        <v>31780</v>
      </c>
      <c r="AT354" s="1">
        <v>6350</v>
      </c>
      <c r="AU354" s="1">
        <v>25430</v>
      </c>
      <c r="AV354">
        <v>80.02</v>
      </c>
      <c r="AX354" s="1">
        <v>4252.72</v>
      </c>
      <c r="AY354" t="s">
        <v>560</v>
      </c>
      <c r="AZ354" t="s">
        <v>561</v>
      </c>
      <c r="BA354" t="s">
        <v>194</v>
      </c>
      <c r="BB354" s="3">
        <v>42531</v>
      </c>
      <c r="BD354" t="s">
        <v>458</v>
      </c>
      <c r="BE354" s="3">
        <v>42034</v>
      </c>
      <c r="BF354" s="1">
        <v>349561</v>
      </c>
      <c r="BG354" t="s">
        <v>749</v>
      </c>
      <c r="BH354" s="1">
        <v>129.61000000000001</v>
      </c>
      <c r="BI354" s="1">
        <v>387000</v>
      </c>
      <c r="BJ354" s="3">
        <v>42531</v>
      </c>
      <c r="BK354" t="s">
        <v>123</v>
      </c>
      <c r="BL354" t="str">
        <f>"2016.403536"</f>
        <v>2016.403536</v>
      </c>
      <c r="BM354" t="s">
        <v>2127</v>
      </c>
      <c r="BO354" t="s">
        <v>2520</v>
      </c>
      <c r="BS354">
        <v>30</v>
      </c>
      <c r="BW354" t="str">
        <f>""</f>
        <v/>
      </c>
      <c r="CH354" t="str">
        <f>""</f>
        <v/>
      </c>
      <c r="CS354" t="str">
        <f>""</f>
        <v/>
      </c>
    </row>
    <row r="355" spans="1:97" x14ac:dyDescent="0.25">
      <c r="A355" t="s">
        <v>2521</v>
      </c>
      <c r="B355" t="s">
        <v>2522</v>
      </c>
      <c r="C355" t="s">
        <v>2523</v>
      </c>
      <c r="D355" t="s">
        <v>2522</v>
      </c>
      <c r="E355" t="s">
        <v>2524</v>
      </c>
      <c r="F355" t="s">
        <v>108</v>
      </c>
      <c r="H355" t="s">
        <v>2525</v>
      </c>
      <c r="I355" t="s">
        <v>225</v>
      </c>
      <c r="J355" t="s">
        <v>111</v>
      </c>
      <c r="K355" t="str">
        <f>"85212"</f>
        <v>85212</v>
      </c>
      <c r="L355" t="s">
        <v>567</v>
      </c>
      <c r="M355" t="s">
        <v>2525</v>
      </c>
      <c r="N355" t="s">
        <v>225</v>
      </c>
      <c r="O355" t="s">
        <v>111</v>
      </c>
      <c r="P355" t="str">
        <f>"85212-9723"</f>
        <v>85212-9723</v>
      </c>
      <c r="Q355" t="s">
        <v>113</v>
      </c>
      <c r="R355" t="str">
        <f>"304-17-402"</f>
        <v>304-17-402</v>
      </c>
      <c r="S355" t="s">
        <v>568</v>
      </c>
      <c r="T355" t="s">
        <v>569</v>
      </c>
      <c r="U355">
        <v>3017</v>
      </c>
      <c r="W355">
        <v>5</v>
      </c>
      <c r="X355">
        <v>2015</v>
      </c>
      <c r="Z355">
        <v>1</v>
      </c>
      <c r="AA355" t="s">
        <v>26</v>
      </c>
      <c r="AC355" t="s">
        <v>115</v>
      </c>
      <c r="AD355">
        <v>3</v>
      </c>
      <c r="AE355" t="s">
        <v>115</v>
      </c>
      <c r="AH355" t="s">
        <v>116</v>
      </c>
      <c r="AI355" s="1">
        <v>128278</v>
      </c>
      <c r="AJ355" s="2">
        <v>0.26</v>
      </c>
      <c r="AK355" s="1">
        <v>499693</v>
      </c>
      <c r="AL355" t="s">
        <v>117</v>
      </c>
      <c r="AM355" t="s">
        <v>917</v>
      </c>
      <c r="AN355">
        <v>9100</v>
      </c>
      <c r="AO355">
        <v>0.21</v>
      </c>
      <c r="AR355">
        <v>1</v>
      </c>
      <c r="AS355" s="1">
        <v>36350</v>
      </c>
      <c r="AT355" s="1">
        <v>7270</v>
      </c>
      <c r="AU355" s="1">
        <v>29080</v>
      </c>
      <c r="AV355">
        <v>80</v>
      </c>
      <c r="AX355" s="1">
        <v>2575.04</v>
      </c>
      <c r="AY355" t="s">
        <v>570</v>
      </c>
      <c r="AZ355" t="s">
        <v>571</v>
      </c>
      <c r="BA355" t="s">
        <v>572</v>
      </c>
      <c r="BE355" s="3">
        <v>42380</v>
      </c>
      <c r="BF355" s="1">
        <v>359550</v>
      </c>
      <c r="BG355" t="s">
        <v>420</v>
      </c>
      <c r="BH355" s="1">
        <v>119.17</v>
      </c>
      <c r="BI355" s="1">
        <v>371415</v>
      </c>
      <c r="BJ355" s="3">
        <v>42380</v>
      </c>
      <c r="BK355" t="s">
        <v>123</v>
      </c>
      <c r="BL355" t="str">
        <f>"2016.15128"</f>
        <v>2016.15128</v>
      </c>
      <c r="BM355" t="s">
        <v>2526</v>
      </c>
      <c r="BO355" t="s">
        <v>2527</v>
      </c>
      <c r="BS355">
        <v>30</v>
      </c>
      <c r="BW355" t="str">
        <f>""</f>
        <v/>
      </c>
      <c r="CH355" t="str">
        <f>""</f>
        <v/>
      </c>
      <c r="CS355" t="str">
        <f>""</f>
        <v/>
      </c>
    </row>
    <row r="356" spans="1:97" x14ac:dyDescent="0.25">
      <c r="A356" t="s">
        <v>2528</v>
      </c>
      <c r="B356" t="s">
        <v>2529</v>
      </c>
      <c r="C356" t="s">
        <v>2530</v>
      </c>
      <c r="D356" t="s">
        <v>2529</v>
      </c>
      <c r="E356" t="s">
        <v>2531</v>
      </c>
      <c r="F356" t="s">
        <v>108</v>
      </c>
      <c r="H356" t="s">
        <v>2532</v>
      </c>
      <c r="I356" t="s">
        <v>203</v>
      </c>
      <c r="J356" t="s">
        <v>111</v>
      </c>
      <c r="K356" t="str">
        <f>"85298"</f>
        <v>85298</v>
      </c>
      <c r="L356" t="s">
        <v>734</v>
      </c>
      <c r="M356" t="s">
        <v>2532</v>
      </c>
      <c r="N356" t="s">
        <v>203</v>
      </c>
      <c r="O356" t="s">
        <v>111</v>
      </c>
      <c r="P356" t="str">
        <f>"85298"</f>
        <v>85298</v>
      </c>
      <c r="Q356" t="s">
        <v>113</v>
      </c>
      <c r="R356" t="str">
        <f>"313-18-454"</f>
        <v>313-18-454</v>
      </c>
      <c r="S356" t="s">
        <v>1173</v>
      </c>
      <c r="U356">
        <v>2898</v>
      </c>
      <c r="W356">
        <v>4</v>
      </c>
      <c r="X356">
        <v>2014</v>
      </c>
      <c r="Z356">
        <v>2</v>
      </c>
      <c r="AC356" t="s">
        <v>115</v>
      </c>
      <c r="AD356">
        <v>2</v>
      </c>
      <c r="AE356" t="s">
        <v>115</v>
      </c>
      <c r="AH356" t="s">
        <v>116</v>
      </c>
      <c r="AI356" s="1">
        <v>47371</v>
      </c>
      <c r="AJ356" s="2">
        <v>0.11</v>
      </c>
      <c r="AK356" s="1">
        <v>425721</v>
      </c>
      <c r="AL356" t="s">
        <v>117</v>
      </c>
      <c r="AM356" t="s">
        <v>191</v>
      </c>
      <c r="AN356">
        <v>6325</v>
      </c>
      <c r="AO356">
        <v>0.14000000000000001</v>
      </c>
      <c r="AR356">
        <v>1</v>
      </c>
      <c r="AS356" s="1">
        <v>29550</v>
      </c>
      <c r="AT356" s="1">
        <v>5910</v>
      </c>
      <c r="AU356" s="1">
        <v>23640</v>
      </c>
      <c r="AV356">
        <v>80</v>
      </c>
      <c r="AX356" s="1">
        <v>2393.34</v>
      </c>
      <c r="AY356" t="s">
        <v>737</v>
      </c>
      <c r="AZ356" t="s">
        <v>273</v>
      </c>
      <c r="BA356" t="s">
        <v>303</v>
      </c>
      <c r="BE356" s="3">
        <v>41978</v>
      </c>
      <c r="BF356" s="1">
        <v>319000</v>
      </c>
      <c r="BG356" t="s">
        <v>195</v>
      </c>
      <c r="BH356" s="1">
        <v>110.08</v>
      </c>
      <c r="BI356" s="1">
        <v>329527</v>
      </c>
      <c r="BJ356" s="3">
        <v>41978</v>
      </c>
      <c r="BK356" t="s">
        <v>123</v>
      </c>
      <c r="BL356" t="str">
        <f>"2014.802128"</f>
        <v>2014.802128</v>
      </c>
      <c r="BM356" t="s">
        <v>196</v>
      </c>
      <c r="BN356" t="s">
        <v>1442</v>
      </c>
      <c r="BO356" t="s">
        <v>2533</v>
      </c>
      <c r="BS356">
        <v>30</v>
      </c>
      <c r="BT356" s="1">
        <v>48823</v>
      </c>
      <c r="BU356" s="3">
        <v>43573</v>
      </c>
      <c r="BV356" t="s">
        <v>134</v>
      </c>
      <c r="BW356" t="str">
        <f>"2019.272624"</f>
        <v>2019.272624</v>
      </c>
      <c r="BX356" t="s">
        <v>1639</v>
      </c>
      <c r="BY356" t="s">
        <v>1640</v>
      </c>
      <c r="BZ356" t="s">
        <v>2534</v>
      </c>
      <c r="CA356" t="s">
        <v>2535</v>
      </c>
      <c r="CC356" t="s">
        <v>139</v>
      </c>
      <c r="CH356" t="str">
        <f>""</f>
        <v/>
      </c>
      <c r="CS356" t="str">
        <f>""</f>
        <v/>
      </c>
    </row>
    <row r="357" spans="1:97" x14ac:dyDescent="0.25">
      <c r="A357" t="s">
        <v>2536</v>
      </c>
      <c r="B357" t="s">
        <v>2537</v>
      </c>
      <c r="C357" t="s">
        <v>2538</v>
      </c>
      <c r="D357" t="s">
        <v>2537</v>
      </c>
      <c r="E357" t="s">
        <v>2539</v>
      </c>
      <c r="F357" t="s">
        <v>108</v>
      </c>
      <c r="H357" t="s">
        <v>2540</v>
      </c>
      <c r="I357" t="s">
        <v>203</v>
      </c>
      <c r="J357" t="s">
        <v>111</v>
      </c>
      <c r="K357" t="str">
        <f>"85298"</f>
        <v>85298</v>
      </c>
      <c r="L357" t="s">
        <v>681</v>
      </c>
      <c r="M357" t="s">
        <v>2540</v>
      </c>
      <c r="N357" t="s">
        <v>203</v>
      </c>
      <c r="O357" t="s">
        <v>111</v>
      </c>
      <c r="P357" t="str">
        <f>"85298"</f>
        <v>85298</v>
      </c>
      <c r="Q357" t="s">
        <v>113</v>
      </c>
      <c r="R357" t="str">
        <f>"304-87-670"</f>
        <v>304-87-670</v>
      </c>
      <c r="S357" t="s">
        <v>682</v>
      </c>
      <c r="U357">
        <v>3631</v>
      </c>
      <c r="W357">
        <v>5</v>
      </c>
      <c r="X357">
        <v>2014</v>
      </c>
      <c r="Z357">
        <v>2</v>
      </c>
      <c r="AA357" t="s">
        <v>26</v>
      </c>
      <c r="AC357" t="s">
        <v>115</v>
      </c>
      <c r="AD357">
        <v>3</v>
      </c>
      <c r="AE357" t="s">
        <v>115</v>
      </c>
      <c r="AH357" t="s">
        <v>116</v>
      </c>
      <c r="AI357" s="1">
        <v>75249</v>
      </c>
      <c r="AJ357" s="2">
        <v>0.14000000000000001</v>
      </c>
      <c r="AK357" s="1">
        <v>539061</v>
      </c>
      <c r="AL357" t="s">
        <v>117</v>
      </c>
      <c r="AM357" t="s">
        <v>393</v>
      </c>
      <c r="AN357">
        <v>8027</v>
      </c>
      <c r="AO357">
        <v>0.18</v>
      </c>
      <c r="AR357">
        <v>1</v>
      </c>
      <c r="AS357" s="1">
        <v>39780</v>
      </c>
      <c r="AT357" s="1">
        <v>7950</v>
      </c>
      <c r="AU357" s="1">
        <v>31830</v>
      </c>
      <c r="AV357">
        <v>80.02</v>
      </c>
      <c r="AX357" s="1">
        <v>3419.32</v>
      </c>
      <c r="AY357" t="s">
        <v>289</v>
      </c>
      <c r="AZ357" t="s">
        <v>289</v>
      </c>
      <c r="BA357" t="s">
        <v>290</v>
      </c>
      <c r="BE357" s="3">
        <v>42076</v>
      </c>
      <c r="BF357" s="1">
        <v>424294</v>
      </c>
      <c r="BG357" t="s">
        <v>209</v>
      </c>
      <c r="BH357" s="1">
        <v>116.85</v>
      </c>
      <c r="BI357" s="1">
        <v>463812</v>
      </c>
      <c r="BJ357" s="3">
        <v>42076</v>
      </c>
      <c r="BK357" t="s">
        <v>123</v>
      </c>
      <c r="BL357" t="str">
        <f>"2015.171537"</f>
        <v>2015.171537</v>
      </c>
      <c r="BM357" t="s">
        <v>175</v>
      </c>
      <c r="BO357" t="s">
        <v>2541</v>
      </c>
      <c r="BS357">
        <v>30</v>
      </c>
      <c r="BW357" t="str">
        <f>""</f>
        <v/>
      </c>
      <c r="CH357" t="str">
        <f>""</f>
        <v/>
      </c>
      <c r="CS357" t="str">
        <f>""</f>
        <v/>
      </c>
    </row>
    <row r="358" spans="1:97" x14ac:dyDescent="0.25">
      <c r="A358" t="s">
        <v>2542</v>
      </c>
      <c r="B358" t="s">
        <v>2543</v>
      </c>
      <c r="C358" t="s">
        <v>2544</v>
      </c>
      <c r="D358" t="s">
        <v>2543</v>
      </c>
      <c r="E358" t="s">
        <v>2545</v>
      </c>
      <c r="F358" t="s">
        <v>108</v>
      </c>
      <c r="H358" t="s">
        <v>2546</v>
      </c>
      <c r="I358" t="s">
        <v>390</v>
      </c>
      <c r="J358" t="s">
        <v>111</v>
      </c>
      <c r="K358" t="str">
        <f>"85022"</f>
        <v>85022</v>
      </c>
      <c r="L358" t="s">
        <v>2547</v>
      </c>
      <c r="M358" t="s">
        <v>2546</v>
      </c>
      <c r="N358" t="s">
        <v>390</v>
      </c>
      <c r="O358" t="s">
        <v>111</v>
      </c>
      <c r="P358" t="str">
        <f>"85022-2244"</f>
        <v>85022-2244</v>
      </c>
      <c r="Q358" t="s">
        <v>113</v>
      </c>
      <c r="R358" t="str">
        <f>"214-08-686"</f>
        <v>214-08-686</v>
      </c>
      <c r="S358" t="s">
        <v>2548</v>
      </c>
      <c r="T358" t="s">
        <v>2548</v>
      </c>
      <c r="U358">
        <v>1569</v>
      </c>
      <c r="W358">
        <v>3</v>
      </c>
      <c r="X358">
        <v>2014</v>
      </c>
      <c r="Z358">
        <v>1</v>
      </c>
      <c r="AC358" t="s">
        <v>115</v>
      </c>
      <c r="AD358">
        <v>2</v>
      </c>
      <c r="AE358" t="s">
        <v>115</v>
      </c>
      <c r="AH358" t="s">
        <v>116</v>
      </c>
      <c r="AI358" s="1">
        <v>76176</v>
      </c>
      <c r="AJ358" s="2">
        <v>0.24</v>
      </c>
      <c r="AK358" s="1">
        <v>316190</v>
      </c>
      <c r="AL358" t="s">
        <v>117</v>
      </c>
      <c r="AM358" t="s">
        <v>191</v>
      </c>
      <c r="AN358">
        <v>4952</v>
      </c>
      <c r="AO358">
        <v>0.11</v>
      </c>
      <c r="AR358">
        <v>1</v>
      </c>
      <c r="AS358" s="1">
        <v>23330</v>
      </c>
      <c r="AT358" s="1">
        <v>4660</v>
      </c>
      <c r="AU358" s="1">
        <v>18670</v>
      </c>
      <c r="AV358">
        <v>80.03</v>
      </c>
      <c r="AX358" s="1">
        <v>1637.58</v>
      </c>
      <c r="AY358" t="s">
        <v>2549</v>
      </c>
      <c r="AZ358" t="s">
        <v>2550</v>
      </c>
      <c r="BA358" t="s">
        <v>2551</v>
      </c>
      <c r="BE358" s="3">
        <v>41863</v>
      </c>
      <c r="BF358" s="1">
        <v>234963</v>
      </c>
      <c r="BG358" t="s">
        <v>275</v>
      </c>
      <c r="BH358" s="1">
        <v>149.75</v>
      </c>
      <c r="BI358" s="1">
        <v>240014</v>
      </c>
      <c r="BJ358" s="3">
        <v>41863</v>
      </c>
      <c r="BK358" t="s">
        <v>123</v>
      </c>
      <c r="BL358" t="str">
        <f>"2014.530793"</f>
        <v>2014.530793</v>
      </c>
      <c r="BM358" t="s">
        <v>628</v>
      </c>
      <c r="BO358" t="s">
        <v>2552</v>
      </c>
      <c r="BS358">
        <v>30</v>
      </c>
      <c r="BW358" t="str">
        <f>""</f>
        <v/>
      </c>
      <c r="CH358" t="str">
        <f>""</f>
        <v/>
      </c>
      <c r="CS358" t="str">
        <f>""</f>
        <v/>
      </c>
    </row>
    <row r="359" spans="1:97" x14ac:dyDescent="0.25">
      <c r="B359" t="s">
        <v>2553</v>
      </c>
      <c r="E359" t="s">
        <v>2554</v>
      </c>
      <c r="F359" t="s">
        <v>139</v>
      </c>
      <c r="H359" t="s">
        <v>2555</v>
      </c>
      <c r="I359" t="s">
        <v>499</v>
      </c>
      <c r="J359" t="s">
        <v>111</v>
      </c>
      <c r="K359" t="str">
        <f>"85395"</f>
        <v>85395</v>
      </c>
      <c r="L359" t="s">
        <v>500</v>
      </c>
      <c r="M359" t="s">
        <v>2555</v>
      </c>
      <c r="N359" t="s">
        <v>499</v>
      </c>
      <c r="O359" t="s">
        <v>111</v>
      </c>
      <c r="P359" t="str">
        <f>"85395-6451"</f>
        <v>85395-6451</v>
      </c>
      <c r="Q359" t="s">
        <v>113</v>
      </c>
      <c r="R359" t="str">
        <f>"502-30-500"</f>
        <v>502-30-500</v>
      </c>
      <c r="S359" t="s">
        <v>1265</v>
      </c>
      <c r="T359" t="s">
        <v>502</v>
      </c>
      <c r="U359">
        <v>2099</v>
      </c>
      <c r="W359">
        <v>3</v>
      </c>
      <c r="X359">
        <v>2016</v>
      </c>
      <c r="Z359">
        <v>1</v>
      </c>
      <c r="AC359" t="s">
        <v>115</v>
      </c>
      <c r="AD359">
        <v>2</v>
      </c>
      <c r="AE359" t="s">
        <v>115</v>
      </c>
      <c r="AI359" s="1">
        <v>72782</v>
      </c>
      <c r="AJ359" s="2">
        <v>0.22</v>
      </c>
      <c r="AK359" s="1">
        <v>336387</v>
      </c>
      <c r="AL359" t="s">
        <v>117</v>
      </c>
      <c r="AM359" t="s">
        <v>118</v>
      </c>
      <c r="AN359">
        <v>11017</v>
      </c>
      <c r="AO359">
        <v>0.25</v>
      </c>
      <c r="AS359" s="1">
        <v>23750</v>
      </c>
      <c r="AT359" s="1">
        <v>4750</v>
      </c>
      <c r="AU359" s="1">
        <v>19000</v>
      </c>
      <c r="AV359">
        <v>80</v>
      </c>
      <c r="AX359" s="1">
        <v>1942.64</v>
      </c>
      <c r="AY359" t="s">
        <v>503</v>
      </c>
      <c r="AZ359" t="s">
        <v>504</v>
      </c>
      <c r="BA359" t="s">
        <v>218</v>
      </c>
      <c r="BB359" s="3">
        <v>43243</v>
      </c>
      <c r="BC359" s="1">
        <v>0</v>
      </c>
      <c r="BD359" t="s">
        <v>247</v>
      </c>
      <c r="BE359" s="3">
        <v>42545</v>
      </c>
      <c r="BF359" s="1">
        <v>340351</v>
      </c>
      <c r="BG359" t="s">
        <v>209</v>
      </c>
      <c r="BI359" s="1">
        <v>263605</v>
      </c>
      <c r="BJ359" s="3">
        <v>42545</v>
      </c>
      <c r="BK359" t="s">
        <v>123</v>
      </c>
      <c r="BL359" t="str">
        <f>"2016.445209"</f>
        <v>2016.445209</v>
      </c>
      <c r="BM359" t="s">
        <v>175</v>
      </c>
      <c r="BN359" t="s">
        <v>132</v>
      </c>
      <c r="BO359" t="s">
        <v>2556</v>
      </c>
      <c r="BS359">
        <v>30</v>
      </c>
      <c r="BW359" t="str">
        <f>""</f>
        <v/>
      </c>
      <c r="CH359" t="str">
        <f>""</f>
        <v/>
      </c>
      <c r="CS359" t="str">
        <f>""</f>
        <v/>
      </c>
    </row>
    <row r="360" spans="1:97" x14ac:dyDescent="0.25">
      <c r="A360" t="s">
        <v>2557</v>
      </c>
      <c r="B360" t="s">
        <v>2558</v>
      </c>
      <c r="E360" t="s">
        <v>2559</v>
      </c>
      <c r="F360" t="s">
        <v>108</v>
      </c>
      <c r="H360" t="s">
        <v>2560</v>
      </c>
      <c r="I360" t="s">
        <v>374</v>
      </c>
      <c r="J360" t="s">
        <v>111</v>
      </c>
      <c r="K360" t="str">
        <f>"85087"</f>
        <v>85087</v>
      </c>
      <c r="L360" t="s">
        <v>375</v>
      </c>
      <c r="M360" t="s">
        <v>2560</v>
      </c>
      <c r="N360" t="s">
        <v>374</v>
      </c>
      <c r="O360" t="s">
        <v>111</v>
      </c>
      <c r="P360" t="str">
        <f>"85087-6200"</f>
        <v>85087-6200</v>
      </c>
      <c r="Q360" t="s">
        <v>113</v>
      </c>
      <c r="R360" t="str">
        <f>"202-23-252"</f>
        <v>202-23-252</v>
      </c>
      <c r="S360" t="s">
        <v>663</v>
      </c>
      <c r="T360" t="s">
        <v>664</v>
      </c>
      <c r="U360">
        <v>3552</v>
      </c>
      <c r="W360">
        <v>5</v>
      </c>
      <c r="X360">
        <v>2015</v>
      </c>
      <c r="Z360">
        <v>2</v>
      </c>
      <c r="AC360" t="s">
        <v>115</v>
      </c>
      <c r="AD360">
        <v>3</v>
      </c>
      <c r="AE360" t="s">
        <v>115</v>
      </c>
      <c r="AH360" t="s">
        <v>116</v>
      </c>
      <c r="AI360" s="1">
        <v>-3385</v>
      </c>
      <c r="AJ360" s="2">
        <v>-0.01</v>
      </c>
      <c r="AK360" s="1">
        <v>411615</v>
      </c>
      <c r="AL360" t="s">
        <v>117</v>
      </c>
      <c r="AM360" t="s">
        <v>171</v>
      </c>
      <c r="AN360">
        <v>10191</v>
      </c>
      <c r="AO360">
        <v>0.23</v>
      </c>
      <c r="AR360">
        <v>1</v>
      </c>
      <c r="AS360" s="1">
        <v>34760</v>
      </c>
      <c r="AT360" s="1">
        <v>6950</v>
      </c>
      <c r="AU360" s="1">
        <v>27810</v>
      </c>
      <c r="AV360">
        <v>80.010000000000005</v>
      </c>
      <c r="AX360" s="1">
        <v>3342.86</v>
      </c>
      <c r="AY360" t="s">
        <v>665</v>
      </c>
      <c r="AZ360" t="s">
        <v>665</v>
      </c>
      <c r="BA360" t="s">
        <v>378</v>
      </c>
      <c r="BE360" s="3">
        <v>42424</v>
      </c>
      <c r="BF360" s="1">
        <v>399478</v>
      </c>
      <c r="BG360" t="s">
        <v>158</v>
      </c>
      <c r="BH360" s="1">
        <v>112.47</v>
      </c>
      <c r="BI360" s="1">
        <v>415000</v>
      </c>
      <c r="BJ360" s="3">
        <v>43585</v>
      </c>
      <c r="BK360" t="s">
        <v>123</v>
      </c>
      <c r="BL360" t="str">
        <f>"2019.305844"</f>
        <v>2019.305844</v>
      </c>
      <c r="BM360" t="s">
        <v>533</v>
      </c>
      <c r="BN360" t="s">
        <v>534</v>
      </c>
      <c r="BO360" t="s">
        <v>2561</v>
      </c>
      <c r="BR360" t="s">
        <v>139</v>
      </c>
      <c r="BW360" t="str">
        <f>""</f>
        <v/>
      </c>
      <c r="CH360" t="str">
        <f>""</f>
        <v/>
      </c>
      <c r="CS360" t="str">
        <f>""</f>
        <v/>
      </c>
    </row>
    <row r="361" spans="1:97" x14ac:dyDescent="0.25">
      <c r="A361" t="s">
        <v>1465</v>
      </c>
      <c r="B361" t="s">
        <v>2562</v>
      </c>
      <c r="C361" t="s">
        <v>2563</v>
      </c>
      <c r="D361" t="s">
        <v>2562</v>
      </c>
      <c r="E361" t="s">
        <v>2564</v>
      </c>
      <c r="F361" t="s">
        <v>108</v>
      </c>
      <c r="H361" t="s">
        <v>2565</v>
      </c>
      <c r="I361" t="s">
        <v>203</v>
      </c>
      <c r="J361" t="s">
        <v>111</v>
      </c>
      <c r="K361" t="str">
        <f>"85298"</f>
        <v>85298</v>
      </c>
      <c r="L361" t="s">
        <v>681</v>
      </c>
      <c r="M361" t="s">
        <v>2565</v>
      </c>
      <c r="N361" t="s">
        <v>203</v>
      </c>
      <c r="O361" t="s">
        <v>111</v>
      </c>
      <c r="P361" t="str">
        <f>"85298"</f>
        <v>85298</v>
      </c>
      <c r="Q361" t="s">
        <v>113</v>
      </c>
      <c r="R361" t="str">
        <f>"304-87-722"</f>
        <v>304-87-722</v>
      </c>
      <c r="S361" t="s">
        <v>682</v>
      </c>
      <c r="U361">
        <v>4359</v>
      </c>
      <c r="W361">
        <v>5</v>
      </c>
      <c r="X361">
        <v>2014</v>
      </c>
      <c r="Z361">
        <v>2</v>
      </c>
      <c r="AC361" t="s">
        <v>115</v>
      </c>
      <c r="AD361">
        <v>3</v>
      </c>
      <c r="AE361" t="s">
        <v>115</v>
      </c>
      <c r="AH361" t="s">
        <v>116</v>
      </c>
      <c r="AI361" s="1">
        <v>140449</v>
      </c>
      <c r="AJ361" s="2">
        <v>0.22</v>
      </c>
      <c r="AK361" s="1">
        <v>647989</v>
      </c>
      <c r="AL361" t="s">
        <v>117</v>
      </c>
      <c r="AM361" t="s">
        <v>393</v>
      </c>
      <c r="AN361">
        <v>12600</v>
      </c>
      <c r="AO361">
        <v>0.28999999999999998</v>
      </c>
      <c r="AR361">
        <v>1</v>
      </c>
      <c r="AS361" s="1">
        <v>47220</v>
      </c>
      <c r="AT361" s="1">
        <v>9440</v>
      </c>
      <c r="AU361" s="1">
        <v>37780</v>
      </c>
      <c r="AV361">
        <v>80.010000000000005</v>
      </c>
      <c r="AX361" s="1">
        <v>3834.04</v>
      </c>
      <c r="AY361" t="s">
        <v>289</v>
      </c>
      <c r="AZ361" t="s">
        <v>289</v>
      </c>
      <c r="BA361" t="s">
        <v>290</v>
      </c>
      <c r="BE361" s="3">
        <v>42061</v>
      </c>
      <c r="BF361" s="1">
        <v>543701</v>
      </c>
      <c r="BG361" t="s">
        <v>209</v>
      </c>
      <c r="BH361" s="1">
        <v>124.73</v>
      </c>
      <c r="BI361" s="1">
        <v>507540</v>
      </c>
      <c r="BJ361" s="3">
        <v>42061</v>
      </c>
      <c r="BK361" t="s">
        <v>123</v>
      </c>
      <c r="BL361" t="str">
        <f>"2015.127887"</f>
        <v>2015.127887</v>
      </c>
      <c r="BM361" t="s">
        <v>175</v>
      </c>
      <c r="BO361" t="s">
        <v>2566</v>
      </c>
      <c r="BS361">
        <v>30</v>
      </c>
      <c r="BW361" t="str">
        <f>""</f>
        <v/>
      </c>
      <c r="CH361" t="str">
        <f>""</f>
        <v/>
      </c>
      <c r="CS361" t="str">
        <f>""</f>
        <v/>
      </c>
    </row>
    <row r="362" spans="1:97" x14ac:dyDescent="0.25">
      <c r="A362" t="s">
        <v>589</v>
      </c>
      <c r="B362" t="s">
        <v>2567</v>
      </c>
      <c r="C362" t="s">
        <v>2568</v>
      </c>
      <c r="D362" t="s">
        <v>2569</v>
      </c>
      <c r="E362" t="s">
        <v>2570</v>
      </c>
      <c r="F362" t="s">
        <v>108</v>
      </c>
      <c r="H362" t="s">
        <v>2571</v>
      </c>
      <c r="I362" t="s">
        <v>188</v>
      </c>
      <c r="J362" t="s">
        <v>111</v>
      </c>
      <c r="K362" t="str">
        <f>"85142"</f>
        <v>85142</v>
      </c>
      <c r="L362" t="s">
        <v>688</v>
      </c>
      <c r="M362" t="s">
        <v>2571</v>
      </c>
      <c r="N362" t="s">
        <v>188</v>
      </c>
      <c r="O362" t="s">
        <v>111</v>
      </c>
      <c r="P362" t="str">
        <f>"85142-9824"</f>
        <v>85142-9824</v>
      </c>
      <c r="Q362" t="s">
        <v>113</v>
      </c>
      <c r="R362" t="str">
        <f>"304-89-751"</f>
        <v>304-89-751</v>
      </c>
      <c r="S362" t="s">
        <v>690</v>
      </c>
      <c r="T362" t="s">
        <v>691</v>
      </c>
      <c r="U362">
        <v>3273</v>
      </c>
      <c r="W362">
        <v>4</v>
      </c>
      <c r="X362">
        <v>2014</v>
      </c>
      <c r="Z362">
        <v>1</v>
      </c>
      <c r="AA362" t="s">
        <v>26</v>
      </c>
      <c r="AC362" t="s">
        <v>115</v>
      </c>
      <c r="AD362">
        <v>3</v>
      </c>
      <c r="AE362" t="s">
        <v>115</v>
      </c>
      <c r="AH362" t="s">
        <v>116</v>
      </c>
      <c r="AI362" s="1">
        <v>124498</v>
      </c>
      <c r="AJ362" s="2">
        <v>0.25</v>
      </c>
      <c r="AK362" s="1">
        <v>497318</v>
      </c>
      <c r="AL362" t="s">
        <v>117</v>
      </c>
      <c r="AM362" t="s">
        <v>917</v>
      </c>
      <c r="AN362">
        <v>10942</v>
      </c>
      <c r="AO362">
        <v>0.25</v>
      </c>
      <c r="AR362">
        <v>1</v>
      </c>
      <c r="AS362" s="1">
        <v>35050</v>
      </c>
      <c r="AT362" s="1">
        <v>7010</v>
      </c>
      <c r="AU362" s="1">
        <v>28040</v>
      </c>
      <c r="AV362">
        <v>80</v>
      </c>
      <c r="AX362" s="1">
        <v>3264.1</v>
      </c>
      <c r="AY362" t="s">
        <v>192</v>
      </c>
      <c r="AZ362" t="s">
        <v>193</v>
      </c>
      <c r="BA362" t="s">
        <v>194</v>
      </c>
      <c r="BE362" s="3">
        <v>41695</v>
      </c>
      <c r="BF362" s="1">
        <v>364974</v>
      </c>
      <c r="BG362" t="s">
        <v>209</v>
      </c>
      <c r="BH362" s="1">
        <v>111.51</v>
      </c>
      <c r="BI362" s="1">
        <v>372820</v>
      </c>
      <c r="BJ362" s="3">
        <v>41695</v>
      </c>
      <c r="BK362" t="s">
        <v>123</v>
      </c>
      <c r="BL362" t="str">
        <f>"2014.121764"</f>
        <v>2014.121764</v>
      </c>
      <c r="BM362" t="s">
        <v>594</v>
      </c>
      <c r="BO362" t="s">
        <v>2572</v>
      </c>
      <c r="BP362" t="s">
        <v>2573</v>
      </c>
      <c r="BS362">
        <v>30</v>
      </c>
      <c r="BW362" t="str">
        <f>""</f>
        <v/>
      </c>
      <c r="CH362" t="str">
        <f>""</f>
        <v/>
      </c>
      <c r="CS362" t="str">
        <f>""</f>
        <v/>
      </c>
    </row>
    <row r="363" spans="1:97" x14ac:dyDescent="0.25">
      <c r="A363" t="s">
        <v>2574</v>
      </c>
      <c r="B363" t="s">
        <v>348</v>
      </c>
      <c r="C363" t="s">
        <v>2575</v>
      </c>
      <c r="D363" t="s">
        <v>348</v>
      </c>
      <c r="E363" t="s">
        <v>2576</v>
      </c>
      <c r="F363" t="s">
        <v>108</v>
      </c>
      <c r="H363" t="s">
        <v>2577</v>
      </c>
      <c r="I363" t="s">
        <v>390</v>
      </c>
      <c r="J363" t="s">
        <v>111</v>
      </c>
      <c r="K363" t="str">
        <f>"85022"</f>
        <v>85022</v>
      </c>
      <c r="L363" t="s">
        <v>2547</v>
      </c>
      <c r="M363" t="s">
        <v>2577</v>
      </c>
      <c r="N363" t="s">
        <v>390</v>
      </c>
      <c r="O363" t="s">
        <v>111</v>
      </c>
      <c r="P363" t="str">
        <f>"85022-2217"</f>
        <v>85022-2217</v>
      </c>
      <c r="Q363" t="s">
        <v>113</v>
      </c>
      <c r="R363" t="str">
        <f>"214-08-678"</f>
        <v>214-08-678</v>
      </c>
      <c r="S363" t="s">
        <v>2548</v>
      </c>
      <c r="T363" t="s">
        <v>2548</v>
      </c>
      <c r="U363">
        <v>1754</v>
      </c>
      <c r="W363">
        <v>3</v>
      </c>
      <c r="X363">
        <v>2014</v>
      </c>
      <c r="Z363">
        <v>1</v>
      </c>
      <c r="AC363" t="s">
        <v>115</v>
      </c>
      <c r="AD363">
        <v>2</v>
      </c>
      <c r="AE363" t="s">
        <v>115</v>
      </c>
      <c r="AH363" t="s">
        <v>116</v>
      </c>
      <c r="AI363" s="1">
        <v>44033</v>
      </c>
      <c r="AJ363" s="2">
        <v>0.13</v>
      </c>
      <c r="AK363" s="1">
        <v>337405</v>
      </c>
      <c r="AL363" t="s">
        <v>117</v>
      </c>
      <c r="AM363" t="s">
        <v>191</v>
      </c>
      <c r="AN363">
        <v>5490</v>
      </c>
      <c r="AO363">
        <v>0.13</v>
      </c>
      <c r="AR363">
        <v>1</v>
      </c>
      <c r="AS363" s="1">
        <v>25200</v>
      </c>
      <c r="AT363" s="1">
        <v>5040</v>
      </c>
      <c r="AU363" s="1">
        <v>20160</v>
      </c>
      <c r="AV363">
        <v>80</v>
      </c>
      <c r="AX363" s="1">
        <v>1784.08</v>
      </c>
      <c r="AY363" t="s">
        <v>2549</v>
      </c>
      <c r="AZ363" t="s">
        <v>2550</v>
      </c>
      <c r="BA363" t="s">
        <v>2551</v>
      </c>
      <c r="BE363" s="3">
        <v>41837</v>
      </c>
      <c r="BF363" s="1">
        <v>238060</v>
      </c>
      <c r="BG363" t="s">
        <v>275</v>
      </c>
      <c r="BH363" s="1">
        <v>135.72</v>
      </c>
      <c r="BI363" s="1">
        <v>293372</v>
      </c>
      <c r="BJ363" s="3">
        <v>42513</v>
      </c>
      <c r="BK363" t="s">
        <v>123</v>
      </c>
      <c r="BL363" t="str">
        <f>"2016.352528"</f>
        <v>2016.352528</v>
      </c>
      <c r="BM363" t="s">
        <v>2578</v>
      </c>
      <c r="BO363" t="s">
        <v>2579</v>
      </c>
      <c r="BS363">
        <v>30</v>
      </c>
      <c r="BW363" t="str">
        <f>""</f>
        <v/>
      </c>
      <c r="CH363" t="str">
        <f>""</f>
        <v/>
      </c>
      <c r="CS363" t="str">
        <f>""</f>
        <v/>
      </c>
    </row>
    <row r="364" spans="1:97" x14ac:dyDescent="0.25">
      <c r="A364" t="s">
        <v>2580</v>
      </c>
      <c r="B364" t="s">
        <v>2581</v>
      </c>
      <c r="C364" t="s">
        <v>2582</v>
      </c>
      <c r="D364" t="s">
        <v>2581</v>
      </c>
      <c r="E364" t="s">
        <v>2583</v>
      </c>
      <c r="F364" t="s">
        <v>108</v>
      </c>
      <c r="H364" t="s">
        <v>2584</v>
      </c>
      <c r="I364" t="s">
        <v>225</v>
      </c>
      <c r="J364" t="s">
        <v>111</v>
      </c>
      <c r="K364" t="str">
        <f>"85212"</f>
        <v>85212</v>
      </c>
      <c r="L364" t="s">
        <v>567</v>
      </c>
      <c r="M364" t="s">
        <v>2584</v>
      </c>
      <c r="N364" t="s">
        <v>225</v>
      </c>
      <c r="O364" t="s">
        <v>111</v>
      </c>
      <c r="P364" t="str">
        <f>"85212-9745"</f>
        <v>85212-9745</v>
      </c>
      <c r="Q364" t="s">
        <v>113</v>
      </c>
      <c r="R364" t="str">
        <f>"304-17-286"</f>
        <v>304-17-286</v>
      </c>
      <c r="S364" t="s">
        <v>568</v>
      </c>
      <c r="T364" t="s">
        <v>569</v>
      </c>
      <c r="U364">
        <v>1947</v>
      </c>
      <c r="W364">
        <v>4</v>
      </c>
      <c r="X364">
        <v>2014</v>
      </c>
      <c r="Z364">
        <v>1</v>
      </c>
      <c r="AC364" t="s">
        <v>115</v>
      </c>
      <c r="AD364">
        <v>2</v>
      </c>
      <c r="AE364" t="s">
        <v>115</v>
      </c>
      <c r="AH364" t="s">
        <v>116</v>
      </c>
      <c r="AI364" s="1">
        <v>74116</v>
      </c>
      <c r="AJ364" s="2">
        <v>0.21</v>
      </c>
      <c r="AK364" s="1">
        <v>352292</v>
      </c>
      <c r="AL364" t="s">
        <v>117</v>
      </c>
      <c r="AM364" t="s">
        <v>191</v>
      </c>
      <c r="AN364">
        <v>5750</v>
      </c>
      <c r="AO364">
        <v>0.13</v>
      </c>
      <c r="AR364">
        <v>1</v>
      </c>
      <c r="AS364" s="1">
        <v>25020</v>
      </c>
      <c r="AT364" s="1">
        <v>5000</v>
      </c>
      <c r="AU364" s="1">
        <v>20020</v>
      </c>
      <c r="AV364">
        <v>80.02</v>
      </c>
      <c r="AX364" s="1">
        <v>2046.22</v>
      </c>
      <c r="AY364" t="s">
        <v>570</v>
      </c>
      <c r="AZ364" t="s">
        <v>571</v>
      </c>
      <c r="BA364" t="s">
        <v>572</v>
      </c>
      <c r="BE364" s="3">
        <v>41912</v>
      </c>
      <c r="BF364" s="1">
        <v>267890</v>
      </c>
      <c r="BG364" t="s">
        <v>195</v>
      </c>
      <c r="BH364" s="1">
        <v>137.59</v>
      </c>
      <c r="BI364" s="1">
        <v>278176</v>
      </c>
      <c r="BJ364" s="3">
        <v>42088</v>
      </c>
      <c r="BK364" t="s">
        <v>123</v>
      </c>
      <c r="BL364" t="str">
        <f>"2015.197525"</f>
        <v>2015.197525</v>
      </c>
      <c r="BM364" t="s">
        <v>255</v>
      </c>
      <c r="BO364" t="s">
        <v>2585</v>
      </c>
      <c r="BS364">
        <v>30</v>
      </c>
      <c r="BW364" t="str">
        <f>""</f>
        <v/>
      </c>
      <c r="CH364" t="str">
        <f>""</f>
        <v/>
      </c>
      <c r="CS364" t="str">
        <f>""</f>
        <v/>
      </c>
    </row>
    <row r="365" spans="1:97" x14ac:dyDescent="0.25">
      <c r="A365" t="s">
        <v>894</v>
      </c>
      <c r="B365" t="s">
        <v>2586</v>
      </c>
      <c r="C365" t="s">
        <v>986</v>
      </c>
      <c r="D365" t="s">
        <v>2586</v>
      </c>
      <c r="E365" t="s">
        <v>2587</v>
      </c>
      <c r="F365" t="s">
        <v>108</v>
      </c>
      <c r="H365" t="s">
        <v>2588</v>
      </c>
      <c r="I365" t="s">
        <v>188</v>
      </c>
      <c r="J365" t="s">
        <v>111</v>
      </c>
      <c r="K365" t="str">
        <f>"85142"</f>
        <v>85142</v>
      </c>
      <c r="L365" t="s">
        <v>2197</v>
      </c>
      <c r="M365" t="s">
        <v>2588</v>
      </c>
      <c r="N365" t="s">
        <v>188</v>
      </c>
      <c r="O365" t="s">
        <v>111</v>
      </c>
      <c r="P365" t="str">
        <f>"85142-7854"</f>
        <v>85142-7854</v>
      </c>
      <c r="Q365" t="s">
        <v>113</v>
      </c>
      <c r="R365" t="str">
        <f>"304-93-724"</f>
        <v>304-93-724</v>
      </c>
      <c r="S365" t="s">
        <v>2198</v>
      </c>
      <c r="T365" t="s">
        <v>2198</v>
      </c>
      <c r="U365">
        <v>2645</v>
      </c>
      <c r="W365">
        <v>4</v>
      </c>
      <c r="X365">
        <v>2014</v>
      </c>
      <c r="Z365">
        <v>1</v>
      </c>
      <c r="AC365" t="s">
        <v>115</v>
      </c>
      <c r="AD365">
        <v>3</v>
      </c>
      <c r="AE365" t="s">
        <v>115</v>
      </c>
      <c r="AH365" t="s">
        <v>116</v>
      </c>
      <c r="AI365" s="1">
        <v>74213</v>
      </c>
      <c r="AJ365" s="2">
        <v>0.17</v>
      </c>
      <c r="AK365" s="1">
        <v>426763</v>
      </c>
      <c r="AL365" t="s">
        <v>117</v>
      </c>
      <c r="AM365" t="s">
        <v>393</v>
      </c>
      <c r="AN365">
        <v>8450</v>
      </c>
      <c r="AO365">
        <v>0.19</v>
      </c>
      <c r="AR365">
        <v>1</v>
      </c>
      <c r="AS365" s="1">
        <v>30520</v>
      </c>
      <c r="AT365" s="1">
        <v>6100</v>
      </c>
      <c r="AU365" s="1">
        <v>24420</v>
      </c>
      <c r="AV365">
        <v>80.010000000000005</v>
      </c>
      <c r="AX365" s="1">
        <v>2663.86</v>
      </c>
      <c r="AY365" t="s">
        <v>192</v>
      </c>
      <c r="AZ365" t="s">
        <v>193</v>
      </c>
      <c r="BA365" t="s">
        <v>194</v>
      </c>
      <c r="BE365" s="3">
        <v>41789</v>
      </c>
      <c r="BF365" s="1">
        <v>352554</v>
      </c>
      <c r="BG365" t="s">
        <v>2199</v>
      </c>
      <c r="BH365" s="1">
        <v>133.29</v>
      </c>
      <c r="BI365" s="1">
        <v>352550</v>
      </c>
      <c r="BJ365" s="3">
        <v>41789</v>
      </c>
      <c r="BK365" t="s">
        <v>123</v>
      </c>
      <c r="BL365" t="str">
        <f>"2014.351078"</f>
        <v>2014.351078</v>
      </c>
      <c r="BM365" t="s">
        <v>2589</v>
      </c>
      <c r="BO365" t="s">
        <v>2590</v>
      </c>
      <c r="BS365">
        <v>30</v>
      </c>
      <c r="BW365" t="str">
        <f>""</f>
        <v/>
      </c>
      <c r="CH365" t="str">
        <f>""</f>
        <v/>
      </c>
      <c r="CS365" t="str">
        <f>""</f>
        <v/>
      </c>
    </row>
    <row r="366" spans="1:97" x14ac:dyDescent="0.25">
      <c r="A366" t="s">
        <v>2591</v>
      </c>
      <c r="B366" t="s">
        <v>2592</v>
      </c>
      <c r="C366" t="s">
        <v>2593</v>
      </c>
      <c r="D366" t="s">
        <v>2594</v>
      </c>
      <c r="E366" t="s">
        <v>2595</v>
      </c>
      <c r="F366" t="s">
        <v>108</v>
      </c>
      <c r="H366" t="s">
        <v>2596</v>
      </c>
      <c r="I366" t="s">
        <v>110</v>
      </c>
      <c r="J366" t="s">
        <v>111</v>
      </c>
      <c r="K366" t="str">
        <f>"85248"</f>
        <v>85248</v>
      </c>
      <c r="L366" t="s">
        <v>1789</v>
      </c>
      <c r="M366" t="s">
        <v>2596</v>
      </c>
      <c r="N366" t="s">
        <v>110</v>
      </c>
      <c r="O366" t="s">
        <v>111</v>
      </c>
      <c r="P366" t="str">
        <f>"85248-3570"</f>
        <v>85248-3570</v>
      </c>
      <c r="Q366" t="s">
        <v>113</v>
      </c>
      <c r="R366" t="str">
        <f>"303-55-741"</f>
        <v>303-55-741</v>
      </c>
      <c r="S366" t="s">
        <v>1880</v>
      </c>
      <c r="U366">
        <v>2689</v>
      </c>
      <c r="W366">
        <v>4</v>
      </c>
      <c r="X366">
        <v>2014</v>
      </c>
      <c r="Z366">
        <v>2</v>
      </c>
      <c r="AA366" t="s">
        <v>26</v>
      </c>
      <c r="AC366" t="s">
        <v>115</v>
      </c>
      <c r="AD366">
        <v>3</v>
      </c>
      <c r="AE366" t="s">
        <v>115</v>
      </c>
      <c r="AH366" t="s">
        <v>116</v>
      </c>
      <c r="AI366" s="1">
        <v>111198</v>
      </c>
      <c r="AJ366" s="2">
        <v>0.21</v>
      </c>
      <c r="AK366" s="1">
        <v>518298</v>
      </c>
      <c r="AL366" t="s">
        <v>117</v>
      </c>
      <c r="AM366" t="s">
        <v>118</v>
      </c>
      <c r="AN366">
        <v>6151</v>
      </c>
      <c r="AO366">
        <v>0.14000000000000001</v>
      </c>
      <c r="AR366">
        <v>1</v>
      </c>
      <c r="AS366" s="1">
        <v>38930</v>
      </c>
      <c r="AT366" s="1">
        <v>7780</v>
      </c>
      <c r="AU366" s="1">
        <v>31150</v>
      </c>
      <c r="AV366">
        <v>80.02</v>
      </c>
      <c r="AX366" s="1">
        <v>2871.18</v>
      </c>
      <c r="AY366" t="s">
        <v>1881</v>
      </c>
      <c r="AZ366" t="s">
        <v>1882</v>
      </c>
      <c r="BA366" t="s">
        <v>121</v>
      </c>
      <c r="BE366" s="3">
        <v>41912</v>
      </c>
      <c r="BF366" s="1">
        <v>412766</v>
      </c>
      <c r="BG366" t="s">
        <v>446</v>
      </c>
      <c r="BH366" s="1">
        <v>153.5</v>
      </c>
      <c r="BI366" s="1">
        <v>407100</v>
      </c>
      <c r="BJ366" s="3">
        <v>42619</v>
      </c>
      <c r="BK366" t="s">
        <v>123</v>
      </c>
      <c r="BL366" t="str">
        <f>"2016.642378"</f>
        <v>2016.642378</v>
      </c>
      <c r="BM366" t="s">
        <v>248</v>
      </c>
      <c r="BO366" t="s">
        <v>2597</v>
      </c>
      <c r="BP366" t="s">
        <v>2598</v>
      </c>
      <c r="BS366">
        <v>30</v>
      </c>
      <c r="BW366" t="str">
        <f>""</f>
        <v/>
      </c>
      <c r="CH366" t="str">
        <f>""</f>
        <v/>
      </c>
      <c r="CS366" t="str">
        <f>""</f>
        <v/>
      </c>
    </row>
    <row r="367" spans="1:97" x14ac:dyDescent="0.25">
      <c r="A367" t="s">
        <v>2599</v>
      </c>
      <c r="B367" t="s">
        <v>364</v>
      </c>
      <c r="C367" t="s">
        <v>2600</v>
      </c>
      <c r="D367" t="s">
        <v>364</v>
      </c>
      <c r="E367" t="s">
        <v>2601</v>
      </c>
      <c r="F367" t="s">
        <v>108</v>
      </c>
      <c r="H367" t="s">
        <v>2602</v>
      </c>
      <c r="I367" t="s">
        <v>453</v>
      </c>
      <c r="J367" t="s">
        <v>111</v>
      </c>
      <c r="K367" t="str">
        <f>"85383"</f>
        <v>85383</v>
      </c>
      <c r="L367" t="s">
        <v>625</v>
      </c>
      <c r="M367" t="s">
        <v>2602</v>
      </c>
      <c r="N367" t="s">
        <v>453</v>
      </c>
      <c r="O367" t="s">
        <v>111</v>
      </c>
      <c r="P367" t="str">
        <f>"85383-8877"</f>
        <v>85383-8877</v>
      </c>
      <c r="Q367" t="s">
        <v>113</v>
      </c>
      <c r="R367" t="str">
        <f>"201-19-114"</f>
        <v>201-19-114</v>
      </c>
      <c r="S367" t="s">
        <v>626</v>
      </c>
      <c r="U367">
        <v>2312</v>
      </c>
      <c r="W367">
        <v>4</v>
      </c>
      <c r="X367">
        <v>2015</v>
      </c>
      <c r="Z367">
        <v>1</v>
      </c>
      <c r="AA367" t="s">
        <v>26</v>
      </c>
      <c r="AC367" t="s">
        <v>115</v>
      </c>
      <c r="AD367">
        <v>3</v>
      </c>
      <c r="AE367" t="s">
        <v>115</v>
      </c>
      <c r="AH367" t="s">
        <v>116</v>
      </c>
      <c r="AI367" s="1">
        <v>105110</v>
      </c>
      <c r="AJ367" s="2">
        <v>0.25</v>
      </c>
      <c r="AK367" s="1">
        <v>424863</v>
      </c>
      <c r="AL367" t="s">
        <v>117</v>
      </c>
      <c r="AM367" t="s">
        <v>118</v>
      </c>
      <c r="AN367">
        <v>9554</v>
      </c>
      <c r="AO367">
        <v>0.22</v>
      </c>
      <c r="AR367">
        <v>1</v>
      </c>
      <c r="AS367" s="1">
        <v>32550</v>
      </c>
      <c r="AT367" s="1">
        <v>6510</v>
      </c>
      <c r="AU367" s="1">
        <v>26040</v>
      </c>
      <c r="AV367">
        <v>80</v>
      </c>
      <c r="AX367" s="1">
        <v>2526.7600000000002</v>
      </c>
      <c r="AY367" t="s">
        <v>627</v>
      </c>
      <c r="AZ367" t="s">
        <v>627</v>
      </c>
      <c r="BA367" t="s">
        <v>457</v>
      </c>
      <c r="BE367" s="3">
        <v>42159</v>
      </c>
      <c r="BF367" s="1">
        <v>350896</v>
      </c>
      <c r="BG367" t="s">
        <v>275</v>
      </c>
      <c r="BH367" s="1">
        <v>151.77000000000001</v>
      </c>
      <c r="BI367" s="1">
        <v>319753</v>
      </c>
      <c r="BJ367" s="3">
        <v>42159</v>
      </c>
      <c r="BK367" t="s">
        <v>123</v>
      </c>
      <c r="BL367" t="str">
        <f>"2015.398700"</f>
        <v>2015.398700</v>
      </c>
      <c r="BM367" t="s">
        <v>651</v>
      </c>
      <c r="BO367" t="s">
        <v>2603</v>
      </c>
      <c r="BS367">
        <v>30</v>
      </c>
      <c r="BW367" t="str">
        <f>""</f>
        <v/>
      </c>
      <c r="CH367" t="str">
        <f>""</f>
        <v/>
      </c>
      <c r="CS367" t="str">
        <f>""</f>
        <v/>
      </c>
    </row>
    <row r="368" spans="1:97" x14ac:dyDescent="0.25">
      <c r="A368" t="s">
        <v>2604</v>
      </c>
      <c r="B368" t="s">
        <v>1295</v>
      </c>
      <c r="C368" t="s">
        <v>2605</v>
      </c>
      <c r="D368" t="s">
        <v>2606</v>
      </c>
      <c r="E368" t="s">
        <v>2607</v>
      </c>
      <c r="F368" t="s">
        <v>108</v>
      </c>
      <c r="H368" t="s">
        <v>2608</v>
      </c>
      <c r="I368" t="s">
        <v>203</v>
      </c>
      <c r="J368" t="s">
        <v>111</v>
      </c>
      <c r="K368" t="str">
        <f>"85298"</f>
        <v>85298</v>
      </c>
      <c r="L368" t="s">
        <v>1130</v>
      </c>
      <c r="M368" t="s">
        <v>2608</v>
      </c>
      <c r="N368" t="s">
        <v>203</v>
      </c>
      <c r="O368" t="s">
        <v>111</v>
      </c>
      <c r="P368" t="str">
        <f>"85298"</f>
        <v>85298</v>
      </c>
      <c r="Q368" t="s">
        <v>113</v>
      </c>
      <c r="R368" t="str">
        <f>"304-88-192"</f>
        <v>304-88-192</v>
      </c>
      <c r="S368" t="s">
        <v>1131</v>
      </c>
      <c r="T368" t="s">
        <v>1132</v>
      </c>
      <c r="U368">
        <v>4491</v>
      </c>
      <c r="W368">
        <v>6</v>
      </c>
      <c r="X368">
        <v>2014</v>
      </c>
      <c r="Z368">
        <v>2</v>
      </c>
      <c r="AC368" t="s">
        <v>115</v>
      </c>
      <c r="AD368">
        <v>4</v>
      </c>
      <c r="AE368" t="s">
        <v>115</v>
      </c>
      <c r="AH368" t="s">
        <v>116</v>
      </c>
      <c r="AI368" s="1">
        <v>13105</v>
      </c>
      <c r="AJ368" s="2">
        <v>0.02</v>
      </c>
      <c r="AK368" s="1">
        <v>611105</v>
      </c>
      <c r="AL368" t="s">
        <v>117</v>
      </c>
      <c r="AM368" t="s">
        <v>171</v>
      </c>
      <c r="AN368">
        <v>9375</v>
      </c>
      <c r="AO368">
        <v>0.22</v>
      </c>
      <c r="AR368">
        <v>1</v>
      </c>
      <c r="AS368" s="1">
        <v>44630</v>
      </c>
      <c r="AT368" s="1">
        <v>8920</v>
      </c>
      <c r="AU368" s="1">
        <v>35710</v>
      </c>
      <c r="AV368">
        <v>80.010000000000005</v>
      </c>
      <c r="AX368" s="1">
        <v>3554.2</v>
      </c>
      <c r="AY368" t="s">
        <v>1133</v>
      </c>
      <c r="AZ368" t="s">
        <v>1134</v>
      </c>
      <c r="BA368" t="s">
        <v>1134</v>
      </c>
      <c r="BB368" s="3">
        <v>42670</v>
      </c>
      <c r="BD368" t="s">
        <v>458</v>
      </c>
      <c r="BE368" s="3">
        <v>42165</v>
      </c>
      <c r="BF368" s="1">
        <v>484670</v>
      </c>
      <c r="BG368" t="s">
        <v>292</v>
      </c>
      <c r="BH368" s="1">
        <v>107.92</v>
      </c>
      <c r="BI368" s="1">
        <v>598000</v>
      </c>
      <c r="BJ368" s="3">
        <v>43592</v>
      </c>
      <c r="BK368" t="s">
        <v>123</v>
      </c>
      <c r="BL368" t="str">
        <f>"2019.327919"</f>
        <v>2019.327919</v>
      </c>
      <c r="BM368" t="s">
        <v>673</v>
      </c>
      <c r="BN368" t="s">
        <v>674</v>
      </c>
      <c r="BO368" t="s">
        <v>2609</v>
      </c>
      <c r="BP368" t="s">
        <v>2610</v>
      </c>
      <c r="BR368" t="s">
        <v>139</v>
      </c>
      <c r="BW368" t="str">
        <f>""</f>
        <v/>
      </c>
      <c r="CH368" t="str">
        <f>""</f>
        <v/>
      </c>
      <c r="CS368" t="str">
        <f>""</f>
        <v/>
      </c>
    </row>
    <row r="369" spans="1:97" x14ac:dyDescent="0.25">
      <c r="A369" t="s">
        <v>177</v>
      </c>
      <c r="B369" t="s">
        <v>2611</v>
      </c>
      <c r="C369" t="s">
        <v>489</v>
      </c>
      <c r="D369" t="s">
        <v>2611</v>
      </c>
      <c r="E369" t="s">
        <v>2612</v>
      </c>
      <c r="F369" t="s">
        <v>108</v>
      </c>
      <c r="H369" t="s">
        <v>2613</v>
      </c>
      <c r="I369" t="s">
        <v>499</v>
      </c>
      <c r="J369" t="s">
        <v>111</v>
      </c>
      <c r="K369" t="str">
        <f>"85395"</f>
        <v>85395</v>
      </c>
      <c r="L369" t="s">
        <v>500</v>
      </c>
      <c r="M369" t="s">
        <v>2613</v>
      </c>
      <c r="N369" t="s">
        <v>499</v>
      </c>
      <c r="O369" t="s">
        <v>111</v>
      </c>
      <c r="P369" t="str">
        <f>"85395-6466"</f>
        <v>85395-6466</v>
      </c>
      <c r="Q369" t="s">
        <v>113</v>
      </c>
      <c r="R369" t="str">
        <f>"502-30-385"</f>
        <v>502-30-385</v>
      </c>
      <c r="S369" t="s">
        <v>501</v>
      </c>
      <c r="T369" t="s">
        <v>502</v>
      </c>
      <c r="U369">
        <v>3245</v>
      </c>
      <c r="W369">
        <v>4</v>
      </c>
      <c r="X369">
        <v>2015</v>
      </c>
      <c r="Z369">
        <v>1</v>
      </c>
      <c r="AC369" t="s">
        <v>115</v>
      </c>
      <c r="AD369">
        <v>4</v>
      </c>
      <c r="AE369" t="s">
        <v>115</v>
      </c>
      <c r="AH369" t="s">
        <v>116</v>
      </c>
      <c r="AI369" s="1">
        <v>92911</v>
      </c>
      <c r="AJ369" s="2">
        <v>0.2</v>
      </c>
      <c r="AK369" s="1">
        <v>470737</v>
      </c>
      <c r="AL369" t="s">
        <v>117</v>
      </c>
      <c r="AM369" t="s">
        <v>118</v>
      </c>
      <c r="AN369">
        <v>14597</v>
      </c>
      <c r="AO369">
        <v>0.34</v>
      </c>
      <c r="AR369">
        <v>1</v>
      </c>
      <c r="AS369" s="1">
        <v>36170</v>
      </c>
      <c r="AT369" s="1">
        <v>7230</v>
      </c>
      <c r="AU369" s="1">
        <v>28940</v>
      </c>
      <c r="AV369">
        <v>80.010000000000005</v>
      </c>
      <c r="AX369" s="1">
        <v>3126.38</v>
      </c>
      <c r="AY369" t="s">
        <v>503</v>
      </c>
      <c r="AZ369" t="s">
        <v>504</v>
      </c>
      <c r="BA369" t="s">
        <v>218</v>
      </c>
      <c r="BE369" s="3">
        <v>42361</v>
      </c>
      <c r="BF369" s="1">
        <v>423162</v>
      </c>
      <c r="BG369" t="s">
        <v>209</v>
      </c>
      <c r="BH369" s="1">
        <v>130.4</v>
      </c>
      <c r="BI369" s="1">
        <v>377826</v>
      </c>
      <c r="BJ369" s="3">
        <v>42361</v>
      </c>
      <c r="BK369" t="s">
        <v>123</v>
      </c>
      <c r="BL369" t="str">
        <f>"2015.906904"</f>
        <v>2015.906904</v>
      </c>
      <c r="BM369" t="s">
        <v>175</v>
      </c>
      <c r="BO369" t="s">
        <v>2614</v>
      </c>
      <c r="BS369">
        <v>30</v>
      </c>
      <c r="BW369" t="str">
        <f>""</f>
        <v/>
      </c>
      <c r="CH369" t="str">
        <f>""</f>
        <v/>
      </c>
      <c r="CS369" t="str">
        <f>""</f>
        <v/>
      </c>
    </row>
    <row r="370" spans="1:97" x14ac:dyDescent="0.25">
      <c r="A370" t="s">
        <v>243</v>
      </c>
      <c r="B370" t="s">
        <v>2615</v>
      </c>
      <c r="C370" t="s">
        <v>2616</v>
      </c>
      <c r="D370" t="s">
        <v>2615</v>
      </c>
      <c r="E370" t="s">
        <v>2617</v>
      </c>
      <c r="F370" t="s">
        <v>108</v>
      </c>
      <c r="H370" t="s">
        <v>2618</v>
      </c>
      <c r="I370" t="s">
        <v>453</v>
      </c>
      <c r="J370" t="s">
        <v>111</v>
      </c>
      <c r="K370" t="str">
        <f>"85383"</f>
        <v>85383</v>
      </c>
      <c r="L370" t="s">
        <v>625</v>
      </c>
      <c r="M370" t="s">
        <v>2618</v>
      </c>
      <c r="N370" t="s">
        <v>453</v>
      </c>
      <c r="O370" t="s">
        <v>111</v>
      </c>
      <c r="P370" t="str">
        <f>"85383-1463"</f>
        <v>85383-1463</v>
      </c>
      <c r="Q370" t="s">
        <v>113</v>
      </c>
      <c r="R370" t="str">
        <f>"201-19-204"</f>
        <v>201-19-204</v>
      </c>
      <c r="S370" t="s">
        <v>626</v>
      </c>
      <c r="U370">
        <v>3057</v>
      </c>
      <c r="W370">
        <v>4</v>
      </c>
      <c r="X370">
        <v>2015</v>
      </c>
      <c r="Z370">
        <v>1</v>
      </c>
      <c r="AC370" t="s">
        <v>115</v>
      </c>
      <c r="AD370">
        <v>3</v>
      </c>
      <c r="AE370" t="s">
        <v>115</v>
      </c>
      <c r="AH370" t="s">
        <v>116</v>
      </c>
      <c r="AI370" s="1">
        <v>77160</v>
      </c>
      <c r="AJ370" s="2">
        <v>0.17</v>
      </c>
      <c r="AK370" s="1">
        <v>462180</v>
      </c>
      <c r="AL370" t="s">
        <v>117</v>
      </c>
      <c r="AM370" t="s">
        <v>118</v>
      </c>
      <c r="AN370">
        <v>9100</v>
      </c>
      <c r="AO370">
        <v>0.21</v>
      </c>
      <c r="AR370">
        <v>1</v>
      </c>
      <c r="AS370" s="1">
        <v>36960</v>
      </c>
      <c r="AT370" s="1">
        <v>7390</v>
      </c>
      <c r="AU370" s="1">
        <v>29570</v>
      </c>
      <c r="AV370">
        <v>80.010000000000005</v>
      </c>
      <c r="AX370" s="1">
        <v>3129.5</v>
      </c>
      <c r="AY370" t="s">
        <v>627</v>
      </c>
      <c r="AZ370" t="s">
        <v>627</v>
      </c>
      <c r="BA370" t="s">
        <v>457</v>
      </c>
      <c r="BE370" s="3">
        <v>42108</v>
      </c>
      <c r="BF370" s="1">
        <v>385020</v>
      </c>
      <c r="BG370" t="s">
        <v>562</v>
      </c>
      <c r="BH370" s="1">
        <v>125.95</v>
      </c>
      <c r="BI370" s="1">
        <v>385020</v>
      </c>
      <c r="BJ370" s="3">
        <v>42108</v>
      </c>
      <c r="BK370" t="s">
        <v>123</v>
      </c>
      <c r="BL370" t="str">
        <f>"2015.254552"</f>
        <v>2015.254552</v>
      </c>
      <c r="BM370" t="s">
        <v>131</v>
      </c>
      <c r="BO370" t="s">
        <v>2619</v>
      </c>
      <c r="BS370">
        <v>30</v>
      </c>
      <c r="BW370" t="str">
        <f>""</f>
        <v/>
      </c>
      <c r="CH370" t="str">
        <f>""</f>
        <v/>
      </c>
      <c r="CS370" t="str">
        <f>""</f>
        <v/>
      </c>
    </row>
    <row r="371" spans="1:97" x14ac:dyDescent="0.25">
      <c r="A371" t="s">
        <v>2620</v>
      </c>
      <c r="B371" t="s">
        <v>2621</v>
      </c>
      <c r="C371" t="s">
        <v>2622</v>
      </c>
      <c r="D371" t="s">
        <v>2621</v>
      </c>
      <c r="E371" t="s">
        <v>2623</v>
      </c>
      <c r="F371" t="s">
        <v>282</v>
      </c>
      <c r="H371" t="s">
        <v>2624</v>
      </c>
      <c r="I371" t="s">
        <v>225</v>
      </c>
      <c r="J371" t="s">
        <v>111</v>
      </c>
      <c r="K371" t="str">
        <f>"85212"</f>
        <v>85212</v>
      </c>
      <c r="L371" t="s">
        <v>558</v>
      </c>
      <c r="M371" t="s">
        <v>2625</v>
      </c>
      <c r="N371" t="s">
        <v>225</v>
      </c>
      <c r="O371" t="s">
        <v>111</v>
      </c>
      <c r="P371" t="str">
        <f>"85212-8032"</f>
        <v>85212-8032</v>
      </c>
      <c r="Q371" t="s">
        <v>113</v>
      </c>
      <c r="R371" t="str">
        <f>"304-50-163"</f>
        <v>304-50-163</v>
      </c>
      <c r="S371" t="s">
        <v>1014</v>
      </c>
      <c r="U371">
        <v>2104</v>
      </c>
      <c r="W371">
        <v>4</v>
      </c>
      <c r="X371">
        <v>2013</v>
      </c>
      <c r="Z371">
        <v>1</v>
      </c>
      <c r="AC371" t="s">
        <v>115</v>
      </c>
      <c r="AD371">
        <v>3</v>
      </c>
      <c r="AE371" t="s">
        <v>115</v>
      </c>
      <c r="AH371" t="s">
        <v>116</v>
      </c>
      <c r="AI371" s="1">
        <v>57797</v>
      </c>
      <c r="AJ371" s="2">
        <v>0.16</v>
      </c>
      <c r="AK371" s="1">
        <v>364121</v>
      </c>
      <c r="AL371" t="s">
        <v>117</v>
      </c>
      <c r="AM371" t="s">
        <v>118</v>
      </c>
      <c r="AN371">
        <v>7493</v>
      </c>
      <c r="AO371">
        <v>0.17</v>
      </c>
      <c r="AR371">
        <v>1</v>
      </c>
      <c r="AS371" s="1">
        <v>25530</v>
      </c>
      <c r="AT371" s="1">
        <v>5100</v>
      </c>
      <c r="AU371" s="1">
        <v>20430</v>
      </c>
      <c r="AV371">
        <v>80.02</v>
      </c>
      <c r="AX371" s="1">
        <v>3784.52</v>
      </c>
      <c r="AY371" t="s">
        <v>560</v>
      </c>
      <c r="AZ371" t="s">
        <v>561</v>
      </c>
      <c r="BA371" t="s">
        <v>194</v>
      </c>
      <c r="BE371" s="3">
        <v>41988</v>
      </c>
      <c r="BF371" s="1">
        <v>290000</v>
      </c>
      <c r="BG371" t="s">
        <v>636</v>
      </c>
      <c r="BH371" s="1">
        <v>137.83000000000001</v>
      </c>
      <c r="BI371" s="1">
        <v>306324</v>
      </c>
      <c r="BJ371" s="3">
        <v>43010</v>
      </c>
      <c r="BK371" t="s">
        <v>123</v>
      </c>
      <c r="BL371" t="str">
        <f>"2017.726889"</f>
        <v>2017.726889</v>
      </c>
      <c r="BM371" t="s">
        <v>807</v>
      </c>
      <c r="BO371" t="s">
        <v>2626</v>
      </c>
      <c r="BQ371" t="str">
        <f>"2.3700%"</f>
        <v>2.3700%</v>
      </c>
      <c r="BR371" t="s">
        <v>1480</v>
      </c>
      <c r="BS371">
        <v>30</v>
      </c>
      <c r="BW371" t="str">
        <f>""</f>
        <v/>
      </c>
      <c r="CH371" t="str">
        <f>""</f>
        <v/>
      </c>
      <c r="CS371" t="str">
        <f>""</f>
        <v/>
      </c>
    </row>
    <row r="372" spans="1:97" x14ac:dyDescent="0.25">
      <c r="A372" t="s">
        <v>894</v>
      </c>
      <c r="B372" t="s">
        <v>2627</v>
      </c>
      <c r="C372" t="s">
        <v>2628</v>
      </c>
      <c r="D372" t="s">
        <v>2627</v>
      </c>
      <c r="E372" t="s">
        <v>2629</v>
      </c>
      <c r="F372" t="s">
        <v>108</v>
      </c>
      <c r="H372" t="s">
        <v>2630</v>
      </c>
      <c r="I372" t="s">
        <v>499</v>
      </c>
      <c r="J372" t="s">
        <v>111</v>
      </c>
      <c r="K372" t="str">
        <f>"85395"</f>
        <v>85395</v>
      </c>
      <c r="L372" t="s">
        <v>500</v>
      </c>
      <c r="M372" t="s">
        <v>2630</v>
      </c>
      <c r="N372" t="s">
        <v>499</v>
      </c>
      <c r="O372" t="s">
        <v>111</v>
      </c>
      <c r="P372" t="str">
        <f>"85395-6453"</f>
        <v>85395-6453</v>
      </c>
      <c r="Q372" t="s">
        <v>113</v>
      </c>
      <c r="R372" t="str">
        <f>"502-30-504"</f>
        <v>502-30-504</v>
      </c>
      <c r="S372" t="s">
        <v>1265</v>
      </c>
      <c r="T372" t="s">
        <v>502</v>
      </c>
      <c r="U372">
        <v>3110</v>
      </c>
      <c r="W372">
        <v>4</v>
      </c>
      <c r="X372">
        <v>2016</v>
      </c>
      <c r="Z372">
        <v>1</v>
      </c>
      <c r="AC372" t="s">
        <v>115</v>
      </c>
      <c r="AD372">
        <v>3</v>
      </c>
      <c r="AE372" t="s">
        <v>115</v>
      </c>
      <c r="AH372" t="s">
        <v>116</v>
      </c>
      <c r="AI372" s="1">
        <v>112607</v>
      </c>
      <c r="AJ372" s="2">
        <v>0.26</v>
      </c>
      <c r="AK372" s="1">
        <v>431526</v>
      </c>
      <c r="AL372" t="s">
        <v>117</v>
      </c>
      <c r="AM372" t="s">
        <v>118</v>
      </c>
      <c r="AN372">
        <v>13431</v>
      </c>
      <c r="AO372">
        <v>0.31</v>
      </c>
      <c r="AR372">
        <v>1</v>
      </c>
      <c r="AS372" s="1">
        <v>31210</v>
      </c>
      <c r="AT372" s="1">
        <v>6240</v>
      </c>
      <c r="AU372" s="1">
        <v>24970</v>
      </c>
      <c r="AV372">
        <v>80.010000000000005</v>
      </c>
      <c r="AX372" s="1">
        <v>2672.66</v>
      </c>
      <c r="AY372" t="s">
        <v>503</v>
      </c>
      <c r="AZ372" t="s">
        <v>504</v>
      </c>
      <c r="BA372" t="s">
        <v>218</v>
      </c>
      <c r="BE372" s="3">
        <v>42307</v>
      </c>
      <c r="BF372" s="1">
        <v>331589</v>
      </c>
      <c r="BG372" t="s">
        <v>209</v>
      </c>
      <c r="BH372" s="1">
        <v>106.62</v>
      </c>
      <c r="BI372" s="1">
        <v>318919</v>
      </c>
      <c r="BJ372" s="3">
        <v>42307</v>
      </c>
      <c r="BK372" t="s">
        <v>123</v>
      </c>
      <c r="BL372" t="str">
        <f>"2015.784759"</f>
        <v>2015.784759</v>
      </c>
      <c r="BM372" t="s">
        <v>175</v>
      </c>
      <c r="BO372" t="s">
        <v>2631</v>
      </c>
      <c r="BS372">
        <v>30</v>
      </c>
      <c r="BW372" t="str">
        <f>""</f>
        <v/>
      </c>
      <c r="CH372" t="str">
        <f>""</f>
        <v/>
      </c>
      <c r="CS372" t="str">
        <f>""</f>
        <v/>
      </c>
    </row>
    <row r="373" spans="1:97" x14ac:dyDescent="0.25">
      <c r="A373" t="s">
        <v>2374</v>
      </c>
      <c r="B373" t="s">
        <v>2632</v>
      </c>
      <c r="E373" t="s">
        <v>2633</v>
      </c>
      <c r="F373" t="s">
        <v>108</v>
      </c>
      <c r="H373" t="s">
        <v>2634</v>
      </c>
      <c r="I373" t="s">
        <v>453</v>
      </c>
      <c r="J373" t="s">
        <v>111</v>
      </c>
      <c r="K373" t="str">
        <f>"85383"</f>
        <v>85383</v>
      </c>
      <c r="L373" t="s">
        <v>688</v>
      </c>
      <c r="M373" t="s">
        <v>2635</v>
      </c>
      <c r="N373" t="s">
        <v>453</v>
      </c>
      <c r="O373" t="s">
        <v>111</v>
      </c>
      <c r="P373" t="str">
        <f>"85383"</f>
        <v>85383</v>
      </c>
      <c r="Q373" t="s">
        <v>113</v>
      </c>
      <c r="R373" t="str">
        <f>"200-13-418"</f>
        <v>200-13-418</v>
      </c>
      <c r="S373" t="s">
        <v>1806</v>
      </c>
      <c r="T373" t="s">
        <v>1807</v>
      </c>
      <c r="U373">
        <v>3127</v>
      </c>
      <c r="W373">
        <v>4</v>
      </c>
      <c r="X373">
        <v>2014</v>
      </c>
      <c r="Z373">
        <v>1</v>
      </c>
      <c r="AA373" t="s">
        <v>26</v>
      </c>
      <c r="AC373" t="s">
        <v>115</v>
      </c>
      <c r="AD373">
        <v>3</v>
      </c>
      <c r="AE373" t="s">
        <v>115</v>
      </c>
      <c r="AH373" t="s">
        <v>116</v>
      </c>
      <c r="AI373" s="1">
        <v>44586</v>
      </c>
      <c r="AJ373" s="2">
        <v>0.08</v>
      </c>
      <c r="AK373" s="1">
        <v>535246</v>
      </c>
      <c r="AL373" t="s">
        <v>117</v>
      </c>
      <c r="AM373" t="s">
        <v>118</v>
      </c>
      <c r="AN373">
        <v>10262</v>
      </c>
      <c r="AO373">
        <v>0.24</v>
      </c>
      <c r="AR373">
        <v>1</v>
      </c>
      <c r="AS373" s="1">
        <v>42620</v>
      </c>
      <c r="AT373" s="1">
        <v>8520</v>
      </c>
      <c r="AU373" s="1">
        <v>34100</v>
      </c>
      <c r="AV373">
        <v>80.010000000000005</v>
      </c>
      <c r="AX373" s="1">
        <v>3322.08</v>
      </c>
      <c r="AY373" t="s">
        <v>1808</v>
      </c>
      <c r="AZ373" t="s">
        <v>1808</v>
      </c>
      <c r="BA373" t="s">
        <v>457</v>
      </c>
      <c r="BB373" s="3">
        <v>43046</v>
      </c>
      <c r="BD373" t="s">
        <v>157</v>
      </c>
      <c r="BE373" s="3">
        <v>41705</v>
      </c>
      <c r="BF373" s="1">
        <v>429235</v>
      </c>
      <c r="BG373" t="s">
        <v>209</v>
      </c>
      <c r="BH373" s="1">
        <v>137.27000000000001</v>
      </c>
      <c r="BI373" s="1">
        <v>64440</v>
      </c>
      <c r="BJ373" s="3">
        <v>42216</v>
      </c>
      <c r="BK373" t="s">
        <v>134</v>
      </c>
      <c r="BL373" t="str">
        <f>"2015.556956"</f>
        <v>2015.556956</v>
      </c>
      <c r="BM373" t="s">
        <v>198</v>
      </c>
      <c r="BO373" t="s">
        <v>2636</v>
      </c>
      <c r="BS373">
        <v>15</v>
      </c>
      <c r="BT373" s="1">
        <v>426220</v>
      </c>
      <c r="BU373" s="3">
        <v>43046</v>
      </c>
      <c r="BV373" t="s">
        <v>123</v>
      </c>
      <c r="BW373" t="str">
        <f>"2017.827560"</f>
        <v>2017.827560</v>
      </c>
      <c r="BX373" t="s">
        <v>2637</v>
      </c>
      <c r="BZ373" t="s">
        <v>2638</v>
      </c>
      <c r="CD373">
        <v>30</v>
      </c>
      <c r="CH373" t="str">
        <f>""</f>
        <v/>
      </c>
      <c r="CS373" t="str">
        <f>""</f>
        <v/>
      </c>
    </row>
    <row r="374" spans="1:97" x14ac:dyDescent="0.25">
      <c r="A374" t="s">
        <v>370</v>
      </c>
      <c r="B374" t="s">
        <v>2639</v>
      </c>
      <c r="C374" t="s">
        <v>2640</v>
      </c>
      <c r="D374" t="s">
        <v>2639</v>
      </c>
      <c r="E374" t="s">
        <v>2641</v>
      </c>
      <c r="F374" t="s">
        <v>108</v>
      </c>
      <c r="H374" t="s">
        <v>2642</v>
      </c>
      <c r="I374" t="s">
        <v>390</v>
      </c>
      <c r="J374" t="s">
        <v>111</v>
      </c>
      <c r="K374" t="str">
        <f>"85085"</f>
        <v>85085</v>
      </c>
      <c r="L374" t="s">
        <v>1398</v>
      </c>
      <c r="M374" t="s">
        <v>2642</v>
      </c>
      <c r="N374" t="s">
        <v>390</v>
      </c>
      <c r="O374" t="s">
        <v>111</v>
      </c>
      <c r="P374" t="str">
        <f>"85085-6364"</f>
        <v>85085-6364</v>
      </c>
      <c r="Q374" t="s">
        <v>113</v>
      </c>
      <c r="R374" t="str">
        <f>"210-20-477"</f>
        <v>210-20-477</v>
      </c>
      <c r="S374" t="s">
        <v>1459</v>
      </c>
      <c r="T374" t="s">
        <v>1460</v>
      </c>
      <c r="U374">
        <v>2152</v>
      </c>
      <c r="W374">
        <v>3</v>
      </c>
      <c r="X374">
        <v>2013</v>
      </c>
      <c r="Z374">
        <v>1</v>
      </c>
      <c r="AC374" t="s">
        <v>115</v>
      </c>
      <c r="AD374">
        <v>2</v>
      </c>
      <c r="AE374" t="s">
        <v>115</v>
      </c>
      <c r="AH374" t="s">
        <v>116</v>
      </c>
      <c r="AI374" s="1">
        <v>37418</v>
      </c>
      <c r="AJ374" s="2">
        <v>0.09</v>
      </c>
      <c r="AK374" s="1">
        <v>434270</v>
      </c>
      <c r="AL374" t="s">
        <v>117</v>
      </c>
      <c r="AM374" t="s">
        <v>118</v>
      </c>
      <c r="AN374">
        <v>7427</v>
      </c>
      <c r="AO374">
        <v>0.17</v>
      </c>
      <c r="AR374">
        <v>1</v>
      </c>
      <c r="AS374" s="1">
        <v>32980</v>
      </c>
      <c r="AT374" s="1">
        <v>6590</v>
      </c>
      <c r="AU374" s="1">
        <v>26390</v>
      </c>
      <c r="AV374">
        <v>80.02</v>
      </c>
      <c r="AX374" s="1">
        <v>3023.5</v>
      </c>
      <c r="AY374" t="s">
        <v>1461</v>
      </c>
      <c r="AZ374" t="s">
        <v>1461</v>
      </c>
      <c r="BA374" t="s">
        <v>1462</v>
      </c>
      <c r="BB374" s="3">
        <v>42963</v>
      </c>
      <c r="BD374" t="s">
        <v>458</v>
      </c>
      <c r="BE374" s="3">
        <v>41694</v>
      </c>
      <c r="BF374" s="1">
        <v>365392</v>
      </c>
      <c r="BG374" t="s">
        <v>446</v>
      </c>
      <c r="BH374" s="1">
        <v>169.79</v>
      </c>
      <c r="BI374" s="1">
        <v>396852</v>
      </c>
      <c r="BJ374" s="3">
        <v>42963</v>
      </c>
      <c r="BK374" t="s">
        <v>123</v>
      </c>
      <c r="BL374" t="str">
        <f>"2017.604285"</f>
        <v>2017.604285</v>
      </c>
      <c r="BM374" t="s">
        <v>2643</v>
      </c>
      <c r="BO374" t="s">
        <v>2644</v>
      </c>
      <c r="BS374">
        <v>30</v>
      </c>
      <c r="BW374" t="str">
        <f>""</f>
        <v/>
      </c>
      <c r="CH374" t="str">
        <f>""</f>
        <v/>
      </c>
      <c r="CS374" t="str">
        <f>""</f>
        <v/>
      </c>
    </row>
    <row r="375" spans="1:97" x14ac:dyDescent="0.25">
      <c r="A375" t="s">
        <v>852</v>
      </c>
      <c r="B375" t="s">
        <v>2645</v>
      </c>
      <c r="C375" t="s">
        <v>2646</v>
      </c>
      <c r="D375" t="s">
        <v>2647</v>
      </c>
      <c r="E375" t="s">
        <v>2648</v>
      </c>
      <c r="F375" t="s">
        <v>108</v>
      </c>
      <c r="H375" t="s">
        <v>2649</v>
      </c>
      <c r="I375" t="s">
        <v>390</v>
      </c>
      <c r="J375" t="s">
        <v>111</v>
      </c>
      <c r="K375" t="str">
        <f>"85085"</f>
        <v>85085</v>
      </c>
      <c r="L375" t="s">
        <v>145</v>
      </c>
      <c r="M375" t="s">
        <v>2649</v>
      </c>
      <c r="N375" t="s">
        <v>390</v>
      </c>
      <c r="O375" t="s">
        <v>111</v>
      </c>
      <c r="P375" t="str">
        <f>"85085-7141"</f>
        <v>85085-7141</v>
      </c>
      <c r="Q375" t="s">
        <v>113</v>
      </c>
      <c r="R375" t="str">
        <f>"204-13-123"</f>
        <v>204-13-123</v>
      </c>
      <c r="S375" t="s">
        <v>2650</v>
      </c>
      <c r="U375">
        <v>2033</v>
      </c>
      <c r="W375">
        <v>3</v>
      </c>
      <c r="X375">
        <v>2016</v>
      </c>
      <c r="Z375">
        <v>1</v>
      </c>
      <c r="AC375" t="s">
        <v>115</v>
      </c>
      <c r="AD375">
        <v>2</v>
      </c>
      <c r="AE375" t="s">
        <v>115</v>
      </c>
      <c r="AH375" t="s">
        <v>116</v>
      </c>
      <c r="AI375" s="1">
        <v>32619</v>
      </c>
      <c r="AJ375" s="2">
        <v>0.09</v>
      </c>
      <c r="AK375" s="1">
        <v>361219</v>
      </c>
      <c r="AL375" t="s">
        <v>117</v>
      </c>
      <c r="AM375" t="s">
        <v>229</v>
      </c>
      <c r="AN375">
        <v>7410</v>
      </c>
      <c r="AO375">
        <v>0.17</v>
      </c>
      <c r="AR375">
        <v>1</v>
      </c>
      <c r="AS375" s="1">
        <v>28510</v>
      </c>
      <c r="AT375" s="1">
        <v>5700</v>
      </c>
      <c r="AU375" s="1">
        <v>22810</v>
      </c>
      <c r="AV375">
        <v>80.010000000000005</v>
      </c>
      <c r="AX375" s="1">
        <v>2434.94</v>
      </c>
      <c r="AY375" t="s">
        <v>2651</v>
      </c>
      <c r="AZ375" t="s">
        <v>2651</v>
      </c>
      <c r="BA375" t="s">
        <v>1462</v>
      </c>
      <c r="BE375" s="3">
        <v>42362</v>
      </c>
      <c r="BF375" s="1">
        <v>328600</v>
      </c>
      <c r="BG375" t="s">
        <v>275</v>
      </c>
      <c r="BH375" s="1">
        <v>161.63</v>
      </c>
      <c r="BI375" s="1">
        <v>328600</v>
      </c>
      <c r="BJ375" s="3">
        <v>42362</v>
      </c>
      <c r="BK375" t="s">
        <v>123</v>
      </c>
      <c r="BL375" t="str">
        <f>"2015.909078"</f>
        <v>2015.909078</v>
      </c>
      <c r="BM375" t="s">
        <v>651</v>
      </c>
      <c r="BO375" t="s">
        <v>2652</v>
      </c>
      <c r="BP375" t="s">
        <v>2653</v>
      </c>
      <c r="BS375">
        <v>30</v>
      </c>
      <c r="BW375" t="str">
        <f>""</f>
        <v/>
      </c>
      <c r="CH375" t="str">
        <f>""</f>
        <v/>
      </c>
      <c r="CS375" t="str">
        <f>""</f>
        <v/>
      </c>
    </row>
    <row r="376" spans="1:97" x14ac:dyDescent="0.25">
      <c r="A376" t="s">
        <v>894</v>
      </c>
      <c r="B376" t="s">
        <v>2654</v>
      </c>
      <c r="E376" t="s">
        <v>2655</v>
      </c>
      <c r="F376" t="s">
        <v>108</v>
      </c>
      <c r="H376" t="s">
        <v>2656</v>
      </c>
      <c r="I376" t="s">
        <v>225</v>
      </c>
      <c r="J376" t="s">
        <v>111</v>
      </c>
      <c r="K376" t="str">
        <f>"85212"</f>
        <v>85212</v>
      </c>
      <c r="L376" t="s">
        <v>558</v>
      </c>
      <c r="M376" t="s">
        <v>2656</v>
      </c>
      <c r="N376" t="s">
        <v>225</v>
      </c>
      <c r="O376" t="s">
        <v>111</v>
      </c>
      <c r="P376" t="str">
        <f>"85212-8101"</f>
        <v>85212-8101</v>
      </c>
      <c r="Q376" t="s">
        <v>113</v>
      </c>
      <c r="R376" t="str">
        <f>"304-50-523"</f>
        <v>304-50-523</v>
      </c>
      <c r="S376" t="s">
        <v>1369</v>
      </c>
      <c r="U376">
        <v>2433</v>
      </c>
      <c r="W376">
        <v>4</v>
      </c>
      <c r="X376">
        <v>2014</v>
      </c>
      <c r="Z376">
        <v>1</v>
      </c>
      <c r="AC376" t="s">
        <v>115</v>
      </c>
      <c r="AD376">
        <v>3</v>
      </c>
      <c r="AE376" t="s">
        <v>115</v>
      </c>
      <c r="AH376" t="s">
        <v>116</v>
      </c>
      <c r="AI376" s="1">
        <v>31614</v>
      </c>
      <c r="AJ376" s="2">
        <v>0.08</v>
      </c>
      <c r="AK376" s="1">
        <v>414614</v>
      </c>
      <c r="AL376" t="s">
        <v>117</v>
      </c>
      <c r="AM376" t="s">
        <v>118</v>
      </c>
      <c r="AN376">
        <v>9799</v>
      </c>
      <c r="AO376">
        <v>0.22</v>
      </c>
      <c r="AR376">
        <v>1</v>
      </c>
      <c r="AS376" s="1">
        <v>30050</v>
      </c>
      <c r="AT376" s="1">
        <v>6010</v>
      </c>
      <c r="AU376" s="1">
        <v>24040</v>
      </c>
      <c r="AV376">
        <v>80</v>
      </c>
      <c r="AX376" s="1">
        <v>4150.9399999999996</v>
      </c>
      <c r="AY376" t="s">
        <v>560</v>
      </c>
      <c r="AZ376" t="s">
        <v>561</v>
      </c>
      <c r="BA376" t="s">
        <v>194</v>
      </c>
      <c r="BE376" s="3">
        <v>41674</v>
      </c>
      <c r="BF376" s="1">
        <v>359843</v>
      </c>
      <c r="BG376" t="s">
        <v>562</v>
      </c>
      <c r="BH376" s="1">
        <v>147.9</v>
      </c>
      <c r="BI376" s="1">
        <v>383000</v>
      </c>
      <c r="BJ376" s="3">
        <v>42940</v>
      </c>
      <c r="BK376" t="s">
        <v>123</v>
      </c>
      <c r="BL376" t="str">
        <f>"2017.538508"</f>
        <v>2017.538508</v>
      </c>
      <c r="BM376" t="s">
        <v>2657</v>
      </c>
      <c r="BN376">
        <v>92612</v>
      </c>
      <c r="BO376" t="s">
        <v>2658</v>
      </c>
      <c r="BQ376" t="str">
        <f>"2.7500%"</f>
        <v>2.7500%</v>
      </c>
      <c r="BR376" t="s">
        <v>1480</v>
      </c>
      <c r="BS376">
        <v>30</v>
      </c>
      <c r="BW376" t="str">
        <f>""</f>
        <v/>
      </c>
      <c r="CH376" t="str">
        <f>""</f>
        <v/>
      </c>
      <c r="CS376" t="str">
        <f>""</f>
        <v/>
      </c>
    </row>
    <row r="377" spans="1:97" x14ac:dyDescent="0.25">
      <c r="A377" t="s">
        <v>2659</v>
      </c>
      <c r="B377" t="s">
        <v>2660</v>
      </c>
      <c r="E377" t="s">
        <v>2661</v>
      </c>
      <c r="F377" t="s">
        <v>108</v>
      </c>
      <c r="H377" t="s">
        <v>2662</v>
      </c>
      <c r="I377" t="s">
        <v>390</v>
      </c>
      <c r="J377" t="s">
        <v>111</v>
      </c>
      <c r="K377" t="str">
        <f>"85048"</f>
        <v>85048</v>
      </c>
      <c r="L377" t="s">
        <v>926</v>
      </c>
      <c r="M377" t="s">
        <v>2662</v>
      </c>
      <c r="N377" t="s">
        <v>390</v>
      </c>
      <c r="O377" t="s">
        <v>111</v>
      </c>
      <c r="P377" t="str">
        <f>"85048"</f>
        <v>85048</v>
      </c>
      <c r="Q377" t="s">
        <v>113</v>
      </c>
      <c r="R377" t="str">
        <f>"301-90-539"</f>
        <v>301-90-539</v>
      </c>
      <c r="S377" t="s">
        <v>927</v>
      </c>
      <c r="T377" t="s">
        <v>927</v>
      </c>
      <c r="U377">
        <v>2574</v>
      </c>
      <c r="W377">
        <v>4</v>
      </c>
      <c r="X377">
        <v>2013</v>
      </c>
      <c r="Z377">
        <v>2</v>
      </c>
      <c r="AC377" t="s">
        <v>115</v>
      </c>
      <c r="AD377">
        <v>2</v>
      </c>
      <c r="AE377" t="s">
        <v>115</v>
      </c>
      <c r="AH377" t="s">
        <v>116</v>
      </c>
      <c r="AI377" s="1">
        <v>71724</v>
      </c>
      <c r="AJ377" s="2">
        <v>0.17</v>
      </c>
      <c r="AK377" s="1">
        <v>417779</v>
      </c>
      <c r="AL377" t="s">
        <v>117</v>
      </c>
      <c r="AM377" t="s">
        <v>191</v>
      </c>
      <c r="AN377">
        <v>4365</v>
      </c>
      <c r="AO377">
        <v>0.1</v>
      </c>
      <c r="AR377">
        <v>1</v>
      </c>
      <c r="AS377" s="1">
        <v>29550</v>
      </c>
      <c r="AT377" s="1">
        <v>5910</v>
      </c>
      <c r="AU377" s="1">
        <v>23640</v>
      </c>
      <c r="AV377">
        <v>80</v>
      </c>
      <c r="AX377" s="1">
        <v>2746.9</v>
      </c>
      <c r="AY377" t="s">
        <v>928</v>
      </c>
      <c r="AZ377" t="s">
        <v>929</v>
      </c>
      <c r="BA377" t="s">
        <v>930</v>
      </c>
      <c r="BE377" s="3">
        <v>41878</v>
      </c>
      <c r="BF377" s="1">
        <v>335000</v>
      </c>
      <c r="BG377" t="s">
        <v>195</v>
      </c>
      <c r="BH377" s="1">
        <v>130.15</v>
      </c>
      <c r="BI377" s="1">
        <v>346055</v>
      </c>
      <c r="BJ377" s="3">
        <v>41878</v>
      </c>
      <c r="BK377" t="s">
        <v>123</v>
      </c>
      <c r="BL377" t="str">
        <f>"2014.568196"</f>
        <v>2014.568196</v>
      </c>
      <c r="BM377" t="s">
        <v>820</v>
      </c>
      <c r="BO377" t="s">
        <v>2663</v>
      </c>
      <c r="BS377">
        <v>30</v>
      </c>
      <c r="BW377" t="str">
        <f>""</f>
        <v/>
      </c>
      <c r="CH377" t="str">
        <f>""</f>
        <v/>
      </c>
      <c r="CS377" t="str">
        <f>""</f>
        <v/>
      </c>
    </row>
    <row r="378" spans="1:97" x14ac:dyDescent="0.25">
      <c r="B378" t="s">
        <v>2664</v>
      </c>
      <c r="E378" t="s">
        <v>2665</v>
      </c>
      <c r="F378" t="s">
        <v>108</v>
      </c>
      <c r="H378" t="s">
        <v>2666</v>
      </c>
      <c r="I378" t="s">
        <v>188</v>
      </c>
      <c r="J378" t="s">
        <v>111</v>
      </c>
      <c r="K378" t="str">
        <f>"85142"</f>
        <v>85142</v>
      </c>
      <c r="L378" t="s">
        <v>688</v>
      </c>
      <c r="M378" t="s">
        <v>2666</v>
      </c>
      <c r="N378" t="s">
        <v>188</v>
      </c>
      <c r="O378" t="s">
        <v>111</v>
      </c>
      <c r="P378" t="str">
        <f>"85142-9817"</f>
        <v>85142-9817</v>
      </c>
      <c r="Q378" t="s">
        <v>113</v>
      </c>
      <c r="R378" t="str">
        <f>"304-89-777"</f>
        <v>304-89-777</v>
      </c>
      <c r="S378" t="s">
        <v>690</v>
      </c>
      <c r="T378" t="s">
        <v>691</v>
      </c>
      <c r="U378">
        <v>2743</v>
      </c>
      <c r="W378">
        <v>4</v>
      </c>
      <c r="X378">
        <v>2016</v>
      </c>
      <c r="Z378">
        <v>1</v>
      </c>
      <c r="AC378" t="s">
        <v>115</v>
      </c>
      <c r="AD378">
        <v>3</v>
      </c>
      <c r="AE378" t="s">
        <v>115</v>
      </c>
      <c r="AH378" t="s">
        <v>116</v>
      </c>
      <c r="AI378" s="1">
        <v>74401</v>
      </c>
      <c r="AJ378" s="2">
        <v>0.18</v>
      </c>
      <c r="AK378" s="1">
        <v>413995</v>
      </c>
      <c r="AL378" t="s">
        <v>117</v>
      </c>
      <c r="AM378" t="s">
        <v>393</v>
      </c>
      <c r="AN378">
        <v>8400</v>
      </c>
      <c r="AO378">
        <v>0.19</v>
      </c>
      <c r="AR378">
        <v>1</v>
      </c>
      <c r="AS378" s="1">
        <v>28680</v>
      </c>
      <c r="AT378" s="1">
        <v>5730</v>
      </c>
      <c r="AU378" s="1">
        <v>22950</v>
      </c>
      <c r="AV378">
        <v>80.02</v>
      </c>
      <c r="AX378" s="1">
        <v>2745.68</v>
      </c>
      <c r="AY378" t="s">
        <v>192</v>
      </c>
      <c r="AZ378" t="s">
        <v>193</v>
      </c>
      <c r="BA378" t="s">
        <v>194</v>
      </c>
      <c r="BB378" s="3">
        <v>42843</v>
      </c>
      <c r="BD378" t="s">
        <v>240</v>
      </c>
      <c r="BE378" s="3">
        <v>42488</v>
      </c>
      <c r="BF378" s="1">
        <v>335995</v>
      </c>
      <c r="BG378" t="s">
        <v>209</v>
      </c>
      <c r="BH378" s="1">
        <v>122.49</v>
      </c>
      <c r="BI378" s="1">
        <v>339594</v>
      </c>
      <c r="BJ378" s="3">
        <v>42488</v>
      </c>
      <c r="BK378" t="s">
        <v>123</v>
      </c>
      <c r="BL378" t="str">
        <f>"2016.286322"</f>
        <v>2016.286322</v>
      </c>
      <c r="BM378" t="s">
        <v>175</v>
      </c>
      <c r="BN378" t="s">
        <v>132</v>
      </c>
      <c r="BO378" t="s">
        <v>2667</v>
      </c>
      <c r="BS378">
        <v>30</v>
      </c>
      <c r="BW378" t="str">
        <f>""</f>
        <v/>
      </c>
      <c r="CH378" t="str">
        <f>""</f>
        <v/>
      </c>
      <c r="CS378" t="str">
        <f>""</f>
        <v/>
      </c>
    </row>
    <row r="379" spans="1:97" x14ac:dyDescent="0.25">
      <c r="A379" t="s">
        <v>2668</v>
      </c>
      <c r="B379" t="s">
        <v>999</v>
      </c>
      <c r="C379" t="s">
        <v>1769</v>
      </c>
      <c r="D379" t="s">
        <v>999</v>
      </c>
      <c r="E379" t="s">
        <v>2669</v>
      </c>
      <c r="F379" t="s">
        <v>108</v>
      </c>
      <c r="H379" t="s">
        <v>2670</v>
      </c>
      <c r="I379" t="s">
        <v>453</v>
      </c>
      <c r="J379" t="s">
        <v>111</v>
      </c>
      <c r="K379" t="str">
        <f>"85383"</f>
        <v>85383</v>
      </c>
      <c r="L379" t="s">
        <v>625</v>
      </c>
      <c r="M379" t="s">
        <v>2670</v>
      </c>
      <c r="N379" t="s">
        <v>453</v>
      </c>
      <c r="O379" t="s">
        <v>111</v>
      </c>
      <c r="P379" t="str">
        <f>"85383-3368"</f>
        <v>85383-3368</v>
      </c>
      <c r="Q379" t="s">
        <v>113</v>
      </c>
      <c r="R379" t="str">
        <f>"201-19-184"</f>
        <v>201-19-184</v>
      </c>
      <c r="S379" t="s">
        <v>626</v>
      </c>
      <c r="U379">
        <v>2598</v>
      </c>
      <c r="W379">
        <v>4</v>
      </c>
      <c r="X379">
        <v>2015</v>
      </c>
      <c r="Z379">
        <v>1</v>
      </c>
      <c r="AA379" t="s">
        <v>26</v>
      </c>
      <c r="AC379" t="s">
        <v>115</v>
      </c>
      <c r="AD379">
        <v>4</v>
      </c>
      <c r="AE379" t="s">
        <v>115</v>
      </c>
      <c r="AH379" t="s">
        <v>116</v>
      </c>
      <c r="AI379" s="1">
        <v>85725</v>
      </c>
      <c r="AJ379" s="2">
        <v>0.18</v>
      </c>
      <c r="AK379" s="1">
        <v>480725</v>
      </c>
      <c r="AL379" t="s">
        <v>117</v>
      </c>
      <c r="AM379" t="s">
        <v>118</v>
      </c>
      <c r="AN379">
        <v>9100</v>
      </c>
      <c r="AO379">
        <v>0.21</v>
      </c>
      <c r="AR379">
        <v>1</v>
      </c>
      <c r="AS379" s="1">
        <v>36320</v>
      </c>
      <c r="AT379" s="1">
        <v>7260</v>
      </c>
      <c r="AU379" s="1">
        <v>29060</v>
      </c>
      <c r="AV379">
        <v>80.010000000000005</v>
      </c>
      <c r="AX379" s="1">
        <v>2868.94</v>
      </c>
      <c r="AY379" t="s">
        <v>627</v>
      </c>
      <c r="AZ379" t="s">
        <v>627</v>
      </c>
      <c r="BA379" t="s">
        <v>457</v>
      </c>
      <c r="BB379" s="3">
        <v>42521</v>
      </c>
      <c r="BD379" t="s">
        <v>240</v>
      </c>
      <c r="BE379" s="3">
        <v>42215</v>
      </c>
      <c r="BF379" s="1">
        <v>366125</v>
      </c>
      <c r="BG379" t="s">
        <v>275</v>
      </c>
      <c r="BH379" s="1">
        <v>140.93</v>
      </c>
      <c r="BI379" s="1">
        <v>395000</v>
      </c>
      <c r="BJ379" s="3">
        <v>43640</v>
      </c>
      <c r="BK379" t="s">
        <v>123</v>
      </c>
      <c r="BL379" t="str">
        <f>"2019.474303"</f>
        <v>2019.474303</v>
      </c>
      <c r="BM379" t="s">
        <v>2671</v>
      </c>
      <c r="BN379" t="s">
        <v>2672</v>
      </c>
      <c r="BO379" t="s">
        <v>2673</v>
      </c>
      <c r="BP379" t="s">
        <v>2674</v>
      </c>
      <c r="BR379" t="s">
        <v>139</v>
      </c>
      <c r="BW379" t="str">
        <f>""</f>
        <v/>
      </c>
      <c r="CH379" t="str">
        <f>""</f>
        <v/>
      </c>
      <c r="CS379" t="str">
        <f>""</f>
        <v/>
      </c>
    </row>
    <row r="380" spans="1:97" x14ac:dyDescent="0.25">
      <c r="A380" t="s">
        <v>2675</v>
      </c>
      <c r="B380" t="s">
        <v>2676</v>
      </c>
      <c r="C380" t="s">
        <v>1162</v>
      </c>
      <c r="D380" t="s">
        <v>2676</v>
      </c>
      <c r="E380" t="s">
        <v>2677</v>
      </c>
      <c r="F380" t="s">
        <v>108</v>
      </c>
      <c r="H380" t="s">
        <v>2678</v>
      </c>
      <c r="I380" t="s">
        <v>110</v>
      </c>
      <c r="J380" t="s">
        <v>111</v>
      </c>
      <c r="K380" t="str">
        <f>"85249"</f>
        <v>85249</v>
      </c>
      <c r="L380" t="s">
        <v>417</v>
      </c>
      <c r="M380" t="s">
        <v>2678</v>
      </c>
      <c r="N380" t="s">
        <v>110</v>
      </c>
      <c r="O380" t="s">
        <v>111</v>
      </c>
      <c r="P380" t="str">
        <f>"85249"</f>
        <v>85249</v>
      </c>
      <c r="Q380" t="s">
        <v>113</v>
      </c>
      <c r="R380" t="str">
        <f>"304-76-899"</f>
        <v>304-76-899</v>
      </c>
      <c r="S380" t="s">
        <v>614</v>
      </c>
      <c r="T380" t="s">
        <v>615</v>
      </c>
      <c r="U380">
        <v>4502</v>
      </c>
      <c r="W380">
        <v>6</v>
      </c>
      <c r="X380">
        <v>2015</v>
      </c>
      <c r="Z380">
        <v>2</v>
      </c>
      <c r="AA380" t="s">
        <v>26</v>
      </c>
      <c r="AC380" t="s">
        <v>115</v>
      </c>
      <c r="AD380">
        <v>3</v>
      </c>
      <c r="AE380" t="s">
        <v>115</v>
      </c>
      <c r="AH380" t="s">
        <v>116</v>
      </c>
      <c r="AI380" s="1">
        <v>61520</v>
      </c>
      <c r="AJ380" s="2">
        <v>0.1</v>
      </c>
      <c r="AK380" s="1">
        <v>635893</v>
      </c>
      <c r="AL380" t="s">
        <v>117</v>
      </c>
      <c r="AM380" t="s">
        <v>616</v>
      </c>
      <c r="AN380">
        <v>9464</v>
      </c>
      <c r="AO380">
        <v>0.22</v>
      </c>
      <c r="AR380">
        <v>1</v>
      </c>
      <c r="AS380" s="1">
        <v>46810</v>
      </c>
      <c r="AT380" s="1">
        <v>9360</v>
      </c>
      <c r="AU380" s="1">
        <v>37450</v>
      </c>
      <c r="AV380">
        <v>80</v>
      </c>
      <c r="AX380" s="1">
        <v>3316.62</v>
      </c>
      <c r="AY380" t="s">
        <v>419</v>
      </c>
      <c r="AZ380" t="s">
        <v>273</v>
      </c>
      <c r="BA380" t="s">
        <v>303</v>
      </c>
      <c r="BE380" s="3">
        <v>42153</v>
      </c>
      <c r="BF380" s="1">
        <v>422848</v>
      </c>
      <c r="BG380" t="s">
        <v>617</v>
      </c>
      <c r="BH380" s="1">
        <v>93.92</v>
      </c>
      <c r="BI380" s="1">
        <v>574373</v>
      </c>
      <c r="BJ380" s="3">
        <v>42803</v>
      </c>
      <c r="BK380" t="s">
        <v>123</v>
      </c>
      <c r="BL380" t="str">
        <f>"2017.167876"</f>
        <v>2017.167876</v>
      </c>
      <c r="BM380" t="s">
        <v>2679</v>
      </c>
      <c r="BO380" t="s">
        <v>2680</v>
      </c>
      <c r="BS380">
        <v>30</v>
      </c>
      <c r="BW380" t="str">
        <f>""</f>
        <v/>
      </c>
      <c r="CH380" t="str">
        <f>""</f>
        <v/>
      </c>
      <c r="CS380" t="str">
        <f>""</f>
        <v/>
      </c>
    </row>
    <row r="381" spans="1:97" x14ac:dyDescent="0.25">
      <c r="A381" t="s">
        <v>767</v>
      </c>
      <c r="B381" t="s">
        <v>141</v>
      </c>
      <c r="C381" t="s">
        <v>701</v>
      </c>
      <c r="D381" t="s">
        <v>141</v>
      </c>
      <c r="E381" t="s">
        <v>2681</v>
      </c>
      <c r="F381" t="s">
        <v>108</v>
      </c>
      <c r="H381" t="s">
        <v>2682</v>
      </c>
      <c r="I381" t="s">
        <v>203</v>
      </c>
      <c r="J381" t="s">
        <v>111</v>
      </c>
      <c r="K381" t="str">
        <f>"85298"</f>
        <v>85298</v>
      </c>
      <c r="L381" t="s">
        <v>284</v>
      </c>
      <c r="M381" t="s">
        <v>2682</v>
      </c>
      <c r="N381" t="s">
        <v>203</v>
      </c>
      <c r="O381" t="s">
        <v>111</v>
      </c>
      <c r="P381" t="str">
        <f>"85298-8511"</f>
        <v>85298-8511</v>
      </c>
      <c r="Q381" t="s">
        <v>113</v>
      </c>
      <c r="R381" t="str">
        <f>"304-73-316"</f>
        <v>304-73-316</v>
      </c>
      <c r="S381" t="s">
        <v>1255</v>
      </c>
      <c r="T381" t="s">
        <v>287</v>
      </c>
      <c r="U381">
        <v>2964</v>
      </c>
      <c r="W381">
        <v>4</v>
      </c>
      <c r="X381">
        <v>2015</v>
      </c>
      <c r="Z381">
        <v>1</v>
      </c>
      <c r="AC381" t="s">
        <v>115</v>
      </c>
      <c r="AD381">
        <v>3</v>
      </c>
      <c r="AE381" t="s">
        <v>115</v>
      </c>
      <c r="AH381" t="s">
        <v>116</v>
      </c>
      <c r="AI381" s="1">
        <v>84357</v>
      </c>
      <c r="AJ381" s="2">
        <v>0.17</v>
      </c>
      <c r="AK381" s="1">
        <v>501357</v>
      </c>
      <c r="AL381" t="s">
        <v>117</v>
      </c>
      <c r="AM381" t="s">
        <v>393</v>
      </c>
      <c r="AN381">
        <v>9100</v>
      </c>
      <c r="AO381">
        <v>0.21</v>
      </c>
      <c r="AR381">
        <v>1</v>
      </c>
      <c r="AS381" s="1">
        <v>37370</v>
      </c>
      <c r="AT381" s="1">
        <v>7470</v>
      </c>
      <c r="AU381" s="1">
        <v>29900</v>
      </c>
      <c r="AV381">
        <v>80.010000000000005</v>
      </c>
      <c r="AX381" s="1">
        <v>3011.98</v>
      </c>
      <c r="AY381" t="s">
        <v>289</v>
      </c>
      <c r="AZ381" t="s">
        <v>289</v>
      </c>
      <c r="BA381" t="s">
        <v>290</v>
      </c>
      <c r="BE381" s="3">
        <v>42220</v>
      </c>
      <c r="BF381" s="1">
        <v>420493</v>
      </c>
      <c r="BG381" t="s">
        <v>954</v>
      </c>
      <c r="BH381" s="1">
        <v>141.87</v>
      </c>
      <c r="BI381" s="1">
        <v>417000</v>
      </c>
      <c r="BJ381" s="3">
        <v>42220</v>
      </c>
      <c r="BK381" t="s">
        <v>123</v>
      </c>
      <c r="BL381" t="str">
        <f>"2015.564092"</f>
        <v>2015.564092</v>
      </c>
      <c r="BM381" t="s">
        <v>2683</v>
      </c>
      <c r="BO381" t="s">
        <v>2684</v>
      </c>
      <c r="BS381">
        <v>30</v>
      </c>
      <c r="BW381" t="str">
        <f>""</f>
        <v/>
      </c>
      <c r="CH381" t="str">
        <f>""</f>
        <v/>
      </c>
      <c r="CS381" t="str">
        <f>""</f>
        <v/>
      </c>
    </row>
    <row r="382" spans="1:97" x14ac:dyDescent="0.25">
      <c r="A382" t="s">
        <v>2685</v>
      </c>
      <c r="B382" t="s">
        <v>2686</v>
      </c>
      <c r="C382" t="s">
        <v>2687</v>
      </c>
      <c r="D382" t="s">
        <v>2686</v>
      </c>
      <c r="E382" t="s">
        <v>2688</v>
      </c>
      <c r="F382" t="s">
        <v>108</v>
      </c>
      <c r="H382" t="s">
        <v>2689</v>
      </c>
      <c r="I382" t="s">
        <v>203</v>
      </c>
      <c r="J382" t="s">
        <v>111</v>
      </c>
      <c r="K382" t="str">
        <f>"85298"</f>
        <v>85298</v>
      </c>
      <c r="L382" t="s">
        <v>269</v>
      </c>
      <c r="M382" t="s">
        <v>2689</v>
      </c>
      <c r="N382" t="s">
        <v>203</v>
      </c>
      <c r="O382" t="s">
        <v>111</v>
      </c>
      <c r="P382" t="str">
        <f>"85298"</f>
        <v>85298</v>
      </c>
      <c r="Q382" t="s">
        <v>113</v>
      </c>
      <c r="R382" t="str">
        <f>"304-86-613"</f>
        <v>304-86-613</v>
      </c>
      <c r="S382" t="s">
        <v>1031</v>
      </c>
      <c r="T382" t="s">
        <v>271</v>
      </c>
      <c r="U382">
        <v>3687</v>
      </c>
      <c r="W382">
        <v>5</v>
      </c>
      <c r="X382">
        <v>2015</v>
      </c>
      <c r="Z382">
        <v>2</v>
      </c>
      <c r="AC382" t="s">
        <v>115</v>
      </c>
      <c r="AD382">
        <v>3</v>
      </c>
      <c r="AE382" t="s">
        <v>115</v>
      </c>
      <c r="AH382" t="s">
        <v>116</v>
      </c>
      <c r="AI382" s="1">
        <v>65235</v>
      </c>
      <c r="AJ382" s="2">
        <v>0.13</v>
      </c>
      <c r="AK382" s="1">
        <v>488235</v>
      </c>
      <c r="AL382" t="s">
        <v>117</v>
      </c>
      <c r="AM382" t="s">
        <v>393</v>
      </c>
      <c r="AN382">
        <v>8800</v>
      </c>
      <c r="AO382">
        <v>0.2</v>
      </c>
      <c r="AR382">
        <v>1</v>
      </c>
      <c r="AS382" s="1">
        <v>35480</v>
      </c>
      <c r="AT382" s="1">
        <v>7090</v>
      </c>
      <c r="AU382" s="1">
        <v>28390</v>
      </c>
      <c r="AV382">
        <v>80.02</v>
      </c>
      <c r="AX382" s="1">
        <v>2644</v>
      </c>
      <c r="AY382" t="s">
        <v>272</v>
      </c>
      <c r="AZ382" t="s">
        <v>273</v>
      </c>
      <c r="BA382" t="s">
        <v>274</v>
      </c>
      <c r="BE382" s="3">
        <v>42369</v>
      </c>
      <c r="BF382" s="1">
        <v>384559</v>
      </c>
      <c r="BG382" t="s">
        <v>275</v>
      </c>
      <c r="BH382" s="1">
        <v>104.3</v>
      </c>
      <c r="BI382" s="1">
        <v>423000</v>
      </c>
      <c r="BJ382" s="3">
        <v>43574</v>
      </c>
      <c r="BK382" t="s">
        <v>123</v>
      </c>
      <c r="BL382" t="str">
        <f>"2019.276262"</f>
        <v>2019.276262</v>
      </c>
      <c r="BM382" t="s">
        <v>2080</v>
      </c>
      <c r="BN382" t="s">
        <v>426</v>
      </c>
      <c r="BO382" t="s">
        <v>2690</v>
      </c>
      <c r="BP382" t="s">
        <v>2691</v>
      </c>
      <c r="BR382" t="s">
        <v>139</v>
      </c>
      <c r="BW382" t="str">
        <f>""</f>
        <v/>
      </c>
      <c r="CH382" t="str">
        <f>""</f>
        <v/>
      </c>
      <c r="CS382" t="str">
        <f>""</f>
        <v/>
      </c>
    </row>
    <row r="383" spans="1:97" x14ac:dyDescent="0.25">
      <c r="A383" t="s">
        <v>1514</v>
      </c>
      <c r="B383" t="s">
        <v>2692</v>
      </c>
      <c r="C383" t="s">
        <v>2693</v>
      </c>
      <c r="D383" t="s">
        <v>2692</v>
      </c>
      <c r="E383" t="s">
        <v>2694</v>
      </c>
      <c r="F383" t="s">
        <v>108</v>
      </c>
      <c r="H383" t="s">
        <v>2695</v>
      </c>
      <c r="I383" t="s">
        <v>225</v>
      </c>
      <c r="J383" t="s">
        <v>111</v>
      </c>
      <c r="K383" t="str">
        <f>"85212"</f>
        <v>85212</v>
      </c>
      <c r="L383" t="s">
        <v>558</v>
      </c>
      <c r="M383" t="s">
        <v>2695</v>
      </c>
      <c r="N383" t="s">
        <v>225</v>
      </c>
      <c r="O383" t="s">
        <v>111</v>
      </c>
      <c r="P383" t="str">
        <f>"85212-8015"</f>
        <v>85212-8015</v>
      </c>
      <c r="Q383" t="s">
        <v>113</v>
      </c>
      <c r="R383" t="str">
        <f>"304-50-075"</f>
        <v>304-50-075</v>
      </c>
      <c r="S383" t="s">
        <v>883</v>
      </c>
      <c r="U383">
        <v>1743</v>
      </c>
      <c r="W383">
        <v>3</v>
      </c>
      <c r="X383">
        <v>2013</v>
      </c>
      <c r="Z383">
        <v>1</v>
      </c>
      <c r="AC383" t="s">
        <v>115</v>
      </c>
      <c r="AD383">
        <v>2</v>
      </c>
      <c r="AE383" t="s">
        <v>115</v>
      </c>
      <c r="AH383" t="s">
        <v>116</v>
      </c>
      <c r="AI383" s="1">
        <v>62507</v>
      </c>
      <c r="AJ383" s="2">
        <v>0.18</v>
      </c>
      <c r="AK383" s="1">
        <v>341093</v>
      </c>
      <c r="AL383" t="s">
        <v>117</v>
      </c>
      <c r="AM383" t="s">
        <v>118</v>
      </c>
      <c r="AN383">
        <v>6604</v>
      </c>
      <c r="AO383">
        <v>0.15</v>
      </c>
      <c r="AR383">
        <v>1</v>
      </c>
      <c r="AS383" s="1">
        <v>22770</v>
      </c>
      <c r="AT383" s="1">
        <v>4550</v>
      </c>
      <c r="AU383" s="1">
        <v>18220</v>
      </c>
      <c r="AV383">
        <v>80.02</v>
      </c>
      <c r="AX383" s="1">
        <v>3147.88</v>
      </c>
      <c r="AY383" t="s">
        <v>560</v>
      </c>
      <c r="AZ383" t="s">
        <v>561</v>
      </c>
      <c r="BA383" t="s">
        <v>194</v>
      </c>
      <c r="BE383" s="3">
        <v>42153</v>
      </c>
      <c r="BF383" s="1">
        <v>274500</v>
      </c>
      <c r="BG383" t="s">
        <v>2696</v>
      </c>
      <c r="BH383" s="1">
        <v>157.49</v>
      </c>
      <c r="BI383" s="1">
        <v>278586</v>
      </c>
      <c r="BJ383" s="3">
        <v>42675</v>
      </c>
      <c r="BK383" t="s">
        <v>123</v>
      </c>
      <c r="BL383" t="str">
        <f>"2016.804279"</f>
        <v>2016.804279</v>
      </c>
      <c r="BM383" t="s">
        <v>425</v>
      </c>
      <c r="BO383" t="s">
        <v>2697</v>
      </c>
      <c r="BS383">
        <v>30</v>
      </c>
      <c r="BW383" t="str">
        <f>""</f>
        <v/>
      </c>
      <c r="CH383" t="str">
        <f>""</f>
        <v/>
      </c>
      <c r="CS383" t="str">
        <f>""</f>
        <v/>
      </c>
    </row>
    <row r="384" spans="1:97" x14ac:dyDescent="0.25">
      <c r="A384" t="s">
        <v>2698</v>
      </c>
      <c r="B384" t="s">
        <v>2699</v>
      </c>
      <c r="C384" t="s">
        <v>2700</v>
      </c>
      <c r="D384" t="s">
        <v>2699</v>
      </c>
      <c r="E384" t="s">
        <v>2701</v>
      </c>
      <c r="F384" t="s">
        <v>108</v>
      </c>
      <c r="H384" t="s">
        <v>2702</v>
      </c>
      <c r="I384" t="s">
        <v>203</v>
      </c>
      <c r="J384" t="s">
        <v>111</v>
      </c>
      <c r="K384" t="str">
        <f>"85298"</f>
        <v>85298</v>
      </c>
      <c r="L384" t="s">
        <v>284</v>
      </c>
      <c r="M384" t="s">
        <v>2702</v>
      </c>
      <c r="N384" t="s">
        <v>203</v>
      </c>
      <c r="O384" t="s">
        <v>111</v>
      </c>
      <c r="P384" t="str">
        <f>"85298-8504"</f>
        <v>85298-8504</v>
      </c>
      <c r="Q384" t="s">
        <v>113</v>
      </c>
      <c r="R384" t="str">
        <f>"304-73-345"</f>
        <v>304-73-345</v>
      </c>
      <c r="S384" t="s">
        <v>1255</v>
      </c>
      <c r="T384" t="s">
        <v>287</v>
      </c>
      <c r="U384">
        <v>2302</v>
      </c>
      <c r="W384">
        <v>4</v>
      </c>
      <c r="X384">
        <v>2014</v>
      </c>
      <c r="Z384">
        <v>1</v>
      </c>
      <c r="AC384" t="s">
        <v>115</v>
      </c>
      <c r="AD384">
        <v>3</v>
      </c>
      <c r="AE384" t="s">
        <v>115</v>
      </c>
      <c r="AH384" t="s">
        <v>116</v>
      </c>
      <c r="AI384" s="1">
        <v>10323</v>
      </c>
      <c r="AJ384" s="2">
        <v>0.03</v>
      </c>
      <c r="AK384" s="1">
        <v>369874</v>
      </c>
      <c r="AL384" t="s">
        <v>117</v>
      </c>
      <c r="AM384" t="s">
        <v>393</v>
      </c>
      <c r="AN384">
        <v>9450</v>
      </c>
      <c r="AO384">
        <v>0.22</v>
      </c>
      <c r="AR384">
        <v>1</v>
      </c>
      <c r="AS384" s="1">
        <v>32760</v>
      </c>
      <c r="AT384" s="1">
        <v>6550</v>
      </c>
      <c r="AU384" s="1">
        <v>26210</v>
      </c>
      <c r="AV384">
        <v>80.010000000000005</v>
      </c>
      <c r="AX384" s="1">
        <v>2608.34</v>
      </c>
      <c r="AY384" t="s">
        <v>289</v>
      </c>
      <c r="AZ384" t="s">
        <v>289</v>
      </c>
      <c r="BA384" t="s">
        <v>290</v>
      </c>
      <c r="BE384" s="3">
        <v>41880</v>
      </c>
      <c r="BF384" s="1">
        <v>359551</v>
      </c>
      <c r="BG384" t="s">
        <v>954</v>
      </c>
      <c r="BH384" s="1">
        <v>156.19</v>
      </c>
      <c r="BI384" s="1">
        <v>359551</v>
      </c>
      <c r="BJ384" s="3">
        <v>41880</v>
      </c>
      <c r="BK384" t="s">
        <v>123</v>
      </c>
      <c r="BL384" t="str">
        <f>"2014.576286"</f>
        <v>2014.576286</v>
      </c>
      <c r="BM384" t="s">
        <v>131</v>
      </c>
      <c r="BO384" t="s">
        <v>2703</v>
      </c>
      <c r="BS384">
        <v>30</v>
      </c>
      <c r="BW384" t="str">
        <f>""</f>
        <v/>
      </c>
      <c r="CH384" t="str">
        <f>""</f>
        <v/>
      </c>
      <c r="CS384" t="str">
        <f>""</f>
        <v/>
      </c>
    </row>
    <row r="385" spans="1:97" x14ac:dyDescent="0.25">
      <c r="A385" t="s">
        <v>2704</v>
      </c>
      <c r="B385" t="s">
        <v>2705</v>
      </c>
      <c r="C385" t="s">
        <v>1407</v>
      </c>
      <c r="D385" t="s">
        <v>2705</v>
      </c>
      <c r="E385" t="s">
        <v>2706</v>
      </c>
      <c r="F385" t="s">
        <v>108</v>
      </c>
      <c r="H385" t="s">
        <v>2707</v>
      </c>
      <c r="I385" t="s">
        <v>203</v>
      </c>
      <c r="J385" t="s">
        <v>111</v>
      </c>
      <c r="K385" t="str">
        <f>"85298"</f>
        <v>85298</v>
      </c>
      <c r="L385" t="s">
        <v>681</v>
      </c>
      <c r="M385" t="s">
        <v>2707</v>
      </c>
      <c r="N385" t="s">
        <v>203</v>
      </c>
      <c r="O385" t="s">
        <v>111</v>
      </c>
      <c r="P385" t="str">
        <f>"85298"</f>
        <v>85298</v>
      </c>
      <c r="Q385" t="s">
        <v>113</v>
      </c>
      <c r="R385" t="str">
        <f>"304-88-443"</f>
        <v>304-88-443</v>
      </c>
      <c r="S385" t="s">
        <v>1165</v>
      </c>
      <c r="T385" t="s">
        <v>287</v>
      </c>
      <c r="U385">
        <v>1910</v>
      </c>
      <c r="W385">
        <v>4</v>
      </c>
      <c r="X385">
        <v>2015</v>
      </c>
      <c r="Z385">
        <v>1</v>
      </c>
      <c r="AC385" t="s">
        <v>115</v>
      </c>
      <c r="AD385">
        <v>3</v>
      </c>
      <c r="AE385" t="s">
        <v>115</v>
      </c>
      <c r="AH385" t="s">
        <v>116</v>
      </c>
      <c r="AI385" s="1">
        <v>70136</v>
      </c>
      <c r="AJ385" s="2">
        <v>0.18</v>
      </c>
      <c r="AK385" s="1">
        <v>391589</v>
      </c>
      <c r="AL385" t="s">
        <v>117</v>
      </c>
      <c r="AM385" t="s">
        <v>288</v>
      </c>
      <c r="AN385">
        <v>6600</v>
      </c>
      <c r="AO385">
        <v>0.15</v>
      </c>
      <c r="AR385">
        <v>1</v>
      </c>
      <c r="AS385" s="1">
        <v>28450</v>
      </c>
      <c r="AT385" s="1">
        <v>5690</v>
      </c>
      <c r="AU385" s="1">
        <v>22760</v>
      </c>
      <c r="AV385">
        <v>80</v>
      </c>
      <c r="AX385" s="1">
        <v>1994.08</v>
      </c>
      <c r="AY385" t="s">
        <v>289</v>
      </c>
      <c r="AZ385" t="s">
        <v>289</v>
      </c>
      <c r="BA385" t="s">
        <v>290</v>
      </c>
      <c r="BE385" s="3">
        <v>42230</v>
      </c>
      <c r="BF385" s="1">
        <v>314688</v>
      </c>
      <c r="BG385" t="s">
        <v>420</v>
      </c>
      <c r="BH385" s="1">
        <v>164.76</v>
      </c>
      <c r="BI385" s="1">
        <v>321453</v>
      </c>
      <c r="BJ385" s="3">
        <v>42230</v>
      </c>
      <c r="BK385" t="s">
        <v>123</v>
      </c>
      <c r="BL385" t="str">
        <f>"2015.591327"</f>
        <v>2015.591327</v>
      </c>
      <c r="BM385" t="s">
        <v>594</v>
      </c>
      <c r="BO385" t="s">
        <v>2708</v>
      </c>
      <c r="BS385">
        <v>30</v>
      </c>
      <c r="BW385" t="str">
        <f>""</f>
        <v/>
      </c>
      <c r="CH385" t="str">
        <f>""</f>
        <v/>
      </c>
      <c r="CS385" t="str">
        <f>""</f>
        <v/>
      </c>
    </row>
    <row r="386" spans="1:97" x14ac:dyDescent="0.25">
      <c r="A386" t="s">
        <v>1295</v>
      </c>
      <c r="B386" t="s">
        <v>2709</v>
      </c>
      <c r="C386" t="s">
        <v>2710</v>
      </c>
      <c r="D386" t="s">
        <v>2709</v>
      </c>
      <c r="E386" t="s">
        <v>2711</v>
      </c>
      <c r="F386" t="s">
        <v>108</v>
      </c>
      <c r="H386" t="s">
        <v>2712</v>
      </c>
      <c r="I386" t="s">
        <v>453</v>
      </c>
      <c r="J386" t="s">
        <v>111</v>
      </c>
      <c r="K386" t="str">
        <f>"85383"</f>
        <v>85383</v>
      </c>
      <c r="L386" t="s">
        <v>688</v>
      </c>
      <c r="M386" t="s">
        <v>2712</v>
      </c>
      <c r="N386" t="s">
        <v>453</v>
      </c>
      <c r="O386" t="s">
        <v>111</v>
      </c>
      <c r="P386" t="str">
        <f>"85383-2959"</f>
        <v>85383-2959</v>
      </c>
      <c r="Q386" t="s">
        <v>113</v>
      </c>
      <c r="R386" t="str">
        <f>"200-13-513"</f>
        <v>200-13-513</v>
      </c>
      <c r="S386" t="s">
        <v>1806</v>
      </c>
      <c r="T386" t="s">
        <v>1807</v>
      </c>
      <c r="U386">
        <v>3729</v>
      </c>
      <c r="W386">
        <v>5</v>
      </c>
      <c r="X386">
        <v>2014</v>
      </c>
      <c r="Z386">
        <v>1</v>
      </c>
      <c r="AA386" t="s">
        <v>26</v>
      </c>
      <c r="AC386" t="s">
        <v>115</v>
      </c>
      <c r="AD386">
        <v>3</v>
      </c>
      <c r="AE386" t="s">
        <v>115</v>
      </c>
      <c r="AH386" t="s">
        <v>116</v>
      </c>
      <c r="AI386" s="1">
        <v>121817</v>
      </c>
      <c r="AJ386" s="2">
        <v>0.2</v>
      </c>
      <c r="AK386" s="1">
        <v>600046</v>
      </c>
      <c r="AL386" t="s">
        <v>117</v>
      </c>
      <c r="AM386" t="s">
        <v>118</v>
      </c>
      <c r="AN386">
        <v>12717</v>
      </c>
      <c r="AO386">
        <v>0.28999999999999998</v>
      </c>
      <c r="AR386">
        <v>1</v>
      </c>
      <c r="AS386" s="1">
        <v>48980</v>
      </c>
      <c r="AT386" s="1">
        <v>9790</v>
      </c>
      <c r="AU386" s="1">
        <v>39190</v>
      </c>
      <c r="AV386">
        <v>80.010000000000005</v>
      </c>
      <c r="AX386" s="1">
        <v>3857</v>
      </c>
      <c r="AY386" t="s">
        <v>1808</v>
      </c>
      <c r="AZ386" t="s">
        <v>1808</v>
      </c>
      <c r="BA386" t="s">
        <v>457</v>
      </c>
      <c r="BE386" s="3">
        <v>41999</v>
      </c>
      <c r="BF386" s="1">
        <v>511162</v>
      </c>
      <c r="BG386" t="s">
        <v>209</v>
      </c>
      <c r="BH386" s="1">
        <v>137.08000000000001</v>
      </c>
      <c r="BI386" s="1">
        <v>478229</v>
      </c>
      <c r="BJ386" s="3">
        <v>41999</v>
      </c>
      <c r="BK386" t="s">
        <v>123</v>
      </c>
      <c r="BL386" t="str">
        <f>"2014.850989"</f>
        <v>2014.850989</v>
      </c>
      <c r="BM386" t="s">
        <v>175</v>
      </c>
      <c r="BO386" t="s">
        <v>2713</v>
      </c>
      <c r="BS386">
        <v>30</v>
      </c>
      <c r="BW386" t="str">
        <f>""</f>
        <v/>
      </c>
      <c r="CH386" t="str">
        <f>""</f>
        <v/>
      </c>
      <c r="CS386" t="str">
        <f>""</f>
        <v/>
      </c>
    </row>
    <row r="387" spans="1:97" x14ac:dyDescent="0.25">
      <c r="A387" t="s">
        <v>1444</v>
      </c>
      <c r="B387" t="s">
        <v>141</v>
      </c>
      <c r="C387" t="s">
        <v>1995</v>
      </c>
      <c r="D387" t="s">
        <v>141</v>
      </c>
      <c r="E387" t="s">
        <v>2714</v>
      </c>
      <c r="F387" t="s">
        <v>108</v>
      </c>
      <c r="H387" t="s">
        <v>2715</v>
      </c>
      <c r="I387" t="s">
        <v>225</v>
      </c>
      <c r="J387" t="s">
        <v>111</v>
      </c>
      <c r="K387" t="str">
        <f>"85212"</f>
        <v>85212</v>
      </c>
      <c r="L387" t="s">
        <v>558</v>
      </c>
      <c r="M387" t="s">
        <v>2715</v>
      </c>
      <c r="N387" t="s">
        <v>225</v>
      </c>
      <c r="O387" t="s">
        <v>111</v>
      </c>
      <c r="P387" t="str">
        <f>"85212-8150"</f>
        <v>85212-8150</v>
      </c>
      <c r="Q387" t="s">
        <v>113</v>
      </c>
      <c r="R387" t="str">
        <f>"304-50-634"</f>
        <v>304-50-634</v>
      </c>
      <c r="S387" t="s">
        <v>1184</v>
      </c>
      <c r="U387">
        <v>2542</v>
      </c>
      <c r="W387">
        <v>4</v>
      </c>
      <c r="X387">
        <v>2013</v>
      </c>
      <c r="Z387">
        <v>2</v>
      </c>
      <c r="AA387" t="s">
        <v>26</v>
      </c>
      <c r="AC387" t="s">
        <v>115</v>
      </c>
      <c r="AD387">
        <v>2</v>
      </c>
      <c r="AE387" t="s">
        <v>115</v>
      </c>
      <c r="AH387" t="s">
        <v>116</v>
      </c>
      <c r="AI387" s="1">
        <v>73164</v>
      </c>
      <c r="AJ387" s="2">
        <v>0.18</v>
      </c>
      <c r="AK387" s="1">
        <v>402264</v>
      </c>
      <c r="AL387" t="s">
        <v>117</v>
      </c>
      <c r="AM387" t="s">
        <v>118</v>
      </c>
      <c r="AN387">
        <v>6646</v>
      </c>
      <c r="AO387">
        <v>0.15</v>
      </c>
      <c r="AR387">
        <v>1</v>
      </c>
      <c r="AS387" s="1">
        <v>27570</v>
      </c>
      <c r="AT387" s="1">
        <v>5510</v>
      </c>
      <c r="AU387" s="1">
        <v>22060</v>
      </c>
      <c r="AV387">
        <v>80.010000000000005</v>
      </c>
      <c r="AX387" s="1">
        <v>3673.4</v>
      </c>
      <c r="AY387" t="s">
        <v>560</v>
      </c>
      <c r="AZ387" t="s">
        <v>561</v>
      </c>
      <c r="BA387" t="s">
        <v>194</v>
      </c>
      <c r="BE387" s="3">
        <v>41663</v>
      </c>
      <c r="BF387" s="1">
        <v>322174</v>
      </c>
      <c r="BG387" t="s">
        <v>636</v>
      </c>
      <c r="BH387" s="1">
        <v>126.74</v>
      </c>
      <c r="BI387" s="1">
        <v>329100</v>
      </c>
      <c r="BJ387" s="3">
        <v>41663</v>
      </c>
      <c r="BK387" t="s">
        <v>123</v>
      </c>
      <c r="BL387" t="str">
        <f>"2014.49637"</f>
        <v>2014.49637</v>
      </c>
      <c r="BM387" t="s">
        <v>2716</v>
      </c>
      <c r="BO387" t="s">
        <v>2717</v>
      </c>
      <c r="BS387">
        <v>30</v>
      </c>
      <c r="BW387" t="str">
        <f>""</f>
        <v/>
      </c>
      <c r="CH387" t="str">
        <f>""</f>
        <v/>
      </c>
      <c r="CS387" t="str">
        <f>""</f>
        <v/>
      </c>
    </row>
    <row r="388" spans="1:97" x14ac:dyDescent="0.25">
      <c r="A388" t="s">
        <v>1009</v>
      </c>
      <c r="B388" t="s">
        <v>2718</v>
      </c>
      <c r="C388" t="s">
        <v>2719</v>
      </c>
      <c r="D388" t="s">
        <v>2718</v>
      </c>
      <c r="E388" t="s">
        <v>2720</v>
      </c>
      <c r="F388" t="s">
        <v>108</v>
      </c>
      <c r="H388" t="s">
        <v>2721</v>
      </c>
      <c r="I388" t="s">
        <v>203</v>
      </c>
      <c r="J388" t="s">
        <v>111</v>
      </c>
      <c r="K388" t="str">
        <f>"85298"</f>
        <v>85298</v>
      </c>
      <c r="L388" t="s">
        <v>721</v>
      </c>
      <c r="M388" t="s">
        <v>2721</v>
      </c>
      <c r="N388" t="s">
        <v>203</v>
      </c>
      <c r="O388" t="s">
        <v>111</v>
      </c>
      <c r="P388" t="str">
        <f>"85298"</f>
        <v>85298</v>
      </c>
      <c r="Q388" t="s">
        <v>113</v>
      </c>
      <c r="R388" t="str">
        <f>"304-85-665"</f>
        <v>304-85-665</v>
      </c>
      <c r="S388" t="s">
        <v>722</v>
      </c>
      <c r="U388">
        <v>3908</v>
      </c>
      <c r="W388">
        <v>5</v>
      </c>
      <c r="X388">
        <v>2015</v>
      </c>
      <c r="Z388">
        <v>2</v>
      </c>
      <c r="AA388" t="s">
        <v>26</v>
      </c>
      <c r="AC388" t="s">
        <v>115</v>
      </c>
      <c r="AD388">
        <v>3</v>
      </c>
      <c r="AE388" t="s">
        <v>115</v>
      </c>
      <c r="AH388" t="s">
        <v>116</v>
      </c>
      <c r="AI388" s="1">
        <v>167744</v>
      </c>
      <c r="AJ388" s="2">
        <v>0.32</v>
      </c>
      <c r="AK388" s="1">
        <v>526529</v>
      </c>
      <c r="AL388" t="s">
        <v>117</v>
      </c>
      <c r="AM388" t="s">
        <v>723</v>
      </c>
      <c r="AN388">
        <v>7826</v>
      </c>
      <c r="AO388">
        <v>0.18</v>
      </c>
      <c r="AR388">
        <v>1</v>
      </c>
      <c r="AS388" s="1">
        <v>37900</v>
      </c>
      <c r="AT388" s="1">
        <v>7580</v>
      </c>
      <c r="AU388" s="1">
        <v>30320</v>
      </c>
      <c r="AV388">
        <v>80</v>
      </c>
      <c r="AX388" s="1">
        <v>3020.42</v>
      </c>
      <c r="AY388" t="s">
        <v>272</v>
      </c>
      <c r="AZ388" t="s">
        <v>273</v>
      </c>
      <c r="BA388" t="s">
        <v>274</v>
      </c>
      <c r="BB388" s="3">
        <v>43031</v>
      </c>
      <c r="BD388" t="s">
        <v>2315</v>
      </c>
      <c r="BE388" s="3">
        <v>42276</v>
      </c>
      <c r="BF388" s="1">
        <v>354385</v>
      </c>
      <c r="BG388" t="s">
        <v>645</v>
      </c>
      <c r="BH388" s="1">
        <v>90.68</v>
      </c>
      <c r="BI388" s="1">
        <v>358785</v>
      </c>
      <c r="BJ388" s="3">
        <v>42594</v>
      </c>
      <c r="BK388" t="s">
        <v>123</v>
      </c>
      <c r="BL388" t="str">
        <f>"2016.576772"</f>
        <v>2016.576772</v>
      </c>
      <c r="BM388" t="s">
        <v>425</v>
      </c>
      <c r="BN388" t="s">
        <v>426</v>
      </c>
      <c r="BO388" t="s">
        <v>2722</v>
      </c>
      <c r="BS388">
        <v>30</v>
      </c>
      <c r="BW388" t="str">
        <f>""</f>
        <v/>
      </c>
      <c r="CH388" t="str">
        <f>""</f>
        <v/>
      </c>
      <c r="CS388" t="str">
        <f>""</f>
        <v/>
      </c>
    </row>
    <row r="389" spans="1:97" x14ac:dyDescent="0.25">
      <c r="A389" t="s">
        <v>2723</v>
      </c>
      <c r="B389" t="s">
        <v>2724</v>
      </c>
      <c r="C389" t="s">
        <v>2725</v>
      </c>
      <c r="D389" t="s">
        <v>2724</v>
      </c>
      <c r="E389" t="s">
        <v>2726</v>
      </c>
      <c r="F389" t="s">
        <v>108</v>
      </c>
      <c r="H389" t="s">
        <v>2727</v>
      </c>
      <c r="I389" t="s">
        <v>499</v>
      </c>
      <c r="J389" t="s">
        <v>111</v>
      </c>
      <c r="K389" t="str">
        <f>"85395"</f>
        <v>85395</v>
      </c>
      <c r="L389" t="s">
        <v>500</v>
      </c>
      <c r="M389" t="s">
        <v>2727</v>
      </c>
      <c r="N389" t="s">
        <v>499</v>
      </c>
      <c r="O389" t="s">
        <v>111</v>
      </c>
      <c r="P389" t="str">
        <f>"85395-6488"</f>
        <v>85395-6488</v>
      </c>
      <c r="Q389" t="s">
        <v>113</v>
      </c>
      <c r="R389" t="str">
        <f>"502-30-414"</f>
        <v>502-30-414</v>
      </c>
      <c r="S389" t="s">
        <v>501</v>
      </c>
      <c r="T389" t="s">
        <v>502</v>
      </c>
      <c r="U389">
        <v>3419</v>
      </c>
      <c r="W389">
        <v>5</v>
      </c>
      <c r="X389">
        <v>2015</v>
      </c>
      <c r="Z389">
        <v>1</v>
      </c>
      <c r="AA389" t="s">
        <v>26</v>
      </c>
      <c r="AC389" t="s">
        <v>115</v>
      </c>
      <c r="AD389">
        <v>3</v>
      </c>
      <c r="AE389" t="s">
        <v>115</v>
      </c>
      <c r="AH389" t="s">
        <v>116</v>
      </c>
      <c r="AI389" s="1">
        <v>76835</v>
      </c>
      <c r="AJ389" s="2">
        <v>0.16</v>
      </c>
      <c r="AK389" s="1">
        <v>482754</v>
      </c>
      <c r="AL389" t="s">
        <v>117</v>
      </c>
      <c r="AM389" t="s">
        <v>118</v>
      </c>
      <c r="AN389">
        <v>14500</v>
      </c>
      <c r="AO389">
        <v>0.33</v>
      </c>
      <c r="AR389">
        <v>1</v>
      </c>
      <c r="AS389" s="1">
        <v>38280</v>
      </c>
      <c r="AT389" s="1">
        <v>7650</v>
      </c>
      <c r="AU389" s="1">
        <v>30630</v>
      </c>
      <c r="AV389">
        <v>80.02</v>
      </c>
      <c r="AX389" s="1">
        <v>3271.12</v>
      </c>
      <c r="AY389" t="s">
        <v>503</v>
      </c>
      <c r="AZ389" t="s">
        <v>504</v>
      </c>
      <c r="BA389" t="s">
        <v>218</v>
      </c>
      <c r="BE389" s="3">
        <v>42297</v>
      </c>
      <c r="BF389" s="1">
        <v>416186</v>
      </c>
      <c r="BG389" t="s">
        <v>209</v>
      </c>
      <c r="BH389" s="1">
        <v>121.73</v>
      </c>
      <c r="BI389" s="1">
        <v>405919</v>
      </c>
      <c r="BJ389" s="3">
        <v>42426</v>
      </c>
      <c r="BK389" t="s">
        <v>123</v>
      </c>
      <c r="BL389" t="str">
        <f>"2016.121641"</f>
        <v>2016.121641</v>
      </c>
      <c r="BM389" t="s">
        <v>2224</v>
      </c>
      <c r="BO389" t="s">
        <v>2728</v>
      </c>
      <c r="BS389">
        <v>30</v>
      </c>
      <c r="BW389" t="str">
        <f>""</f>
        <v/>
      </c>
      <c r="CH389" t="str">
        <f>""</f>
        <v/>
      </c>
      <c r="CS389" t="str">
        <f>""</f>
        <v/>
      </c>
    </row>
    <row r="390" spans="1:97" x14ac:dyDescent="0.25">
      <c r="A390" t="s">
        <v>2729</v>
      </c>
      <c r="B390" t="s">
        <v>2730</v>
      </c>
      <c r="C390" t="s">
        <v>2731</v>
      </c>
      <c r="D390" t="s">
        <v>2730</v>
      </c>
      <c r="E390" t="s">
        <v>2732</v>
      </c>
      <c r="F390" t="s">
        <v>108</v>
      </c>
      <c r="H390" t="s">
        <v>2733</v>
      </c>
      <c r="I390" t="s">
        <v>453</v>
      </c>
      <c r="J390" t="s">
        <v>111</v>
      </c>
      <c r="K390" t="str">
        <f>"85383"</f>
        <v>85383</v>
      </c>
      <c r="L390" t="s">
        <v>625</v>
      </c>
      <c r="M390" t="s">
        <v>2733</v>
      </c>
      <c r="N390" t="s">
        <v>453</v>
      </c>
      <c r="O390" t="s">
        <v>111</v>
      </c>
      <c r="P390" t="str">
        <f>"85383-1462"</f>
        <v>85383-1462</v>
      </c>
      <c r="Q390" t="s">
        <v>113</v>
      </c>
      <c r="R390" t="str">
        <f>"201-19-209"</f>
        <v>201-19-209</v>
      </c>
      <c r="S390" t="s">
        <v>626</v>
      </c>
      <c r="U390">
        <v>3057</v>
      </c>
      <c r="W390">
        <v>4</v>
      </c>
      <c r="X390">
        <v>2014</v>
      </c>
      <c r="Z390">
        <v>1</v>
      </c>
      <c r="AA390" t="s">
        <v>26</v>
      </c>
      <c r="AC390" t="s">
        <v>115</v>
      </c>
      <c r="AD390">
        <v>3</v>
      </c>
      <c r="AE390" t="s">
        <v>115</v>
      </c>
      <c r="AH390" t="s">
        <v>116</v>
      </c>
      <c r="AI390" s="1">
        <v>100004</v>
      </c>
      <c r="AJ390" s="2">
        <v>0.2</v>
      </c>
      <c r="AK390" s="1">
        <v>499309</v>
      </c>
      <c r="AL390" t="s">
        <v>117</v>
      </c>
      <c r="AM390" t="s">
        <v>118</v>
      </c>
      <c r="AN390">
        <v>8939</v>
      </c>
      <c r="AO390">
        <v>0.2</v>
      </c>
      <c r="AR390">
        <v>1</v>
      </c>
      <c r="AS390" s="1">
        <v>39150</v>
      </c>
      <c r="AT390" s="1">
        <v>7830</v>
      </c>
      <c r="AU390" s="1">
        <v>31320</v>
      </c>
      <c r="AV390">
        <v>80</v>
      </c>
      <c r="AX390" s="1">
        <v>3125.72</v>
      </c>
      <c r="AY390" t="s">
        <v>627</v>
      </c>
      <c r="AZ390" t="s">
        <v>627</v>
      </c>
      <c r="BA390" t="s">
        <v>457</v>
      </c>
      <c r="BE390" s="3">
        <v>41964</v>
      </c>
      <c r="BF390" s="1">
        <v>427281</v>
      </c>
      <c r="BG390" t="s">
        <v>562</v>
      </c>
      <c r="BH390" s="1">
        <v>139.77000000000001</v>
      </c>
      <c r="BI390" s="1">
        <v>399305</v>
      </c>
      <c r="BJ390" s="3">
        <v>43014</v>
      </c>
      <c r="BK390" t="s">
        <v>123</v>
      </c>
      <c r="BL390" t="str">
        <f>"2017.741634"</f>
        <v>2017.741634</v>
      </c>
      <c r="BM390" t="s">
        <v>340</v>
      </c>
      <c r="BO390" t="s">
        <v>2734</v>
      </c>
      <c r="BS390">
        <v>28</v>
      </c>
      <c r="BW390" t="str">
        <f>""</f>
        <v/>
      </c>
      <c r="CH390" t="str">
        <f>""</f>
        <v/>
      </c>
      <c r="CS390" t="str">
        <f>""</f>
        <v/>
      </c>
    </row>
    <row r="391" spans="1:97" x14ac:dyDescent="0.25">
      <c r="A391" t="s">
        <v>1109</v>
      </c>
      <c r="B391" t="s">
        <v>2735</v>
      </c>
      <c r="E391" t="s">
        <v>2736</v>
      </c>
      <c r="F391" t="s">
        <v>108</v>
      </c>
      <c r="H391" t="s">
        <v>2737</v>
      </c>
      <c r="I391" t="s">
        <v>499</v>
      </c>
      <c r="J391" t="s">
        <v>111</v>
      </c>
      <c r="K391" t="str">
        <f>"85395"</f>
        <v>85395</v>
      </c>
      <c r="L391" t="s">
        <v>500</v>
      </c>
      <c r="M391" t="s">
        <v>2737</v>
      </c>
      <c r="N391" t="s">
        <v>499</v>
      </c>
      <c r="O391" t="s">
        <v>111</v>
      </c>
      <c r="P391" t="str">
        <f>"85395-6463"</f>
        <v>85395-6463</v>
      </c>
      <c r="Q391" t="s">
        <v>113</v>
      </c>
      <c r="R391" t="str">
        <f>"502-30-392"</f>
        <v>502-30-392</v>
      </c>
      <c r="S391" t="s">
        <v>501</v>
      </c>
      <c r="T391" t="s">
        <v>502</v>
      </c>
      <c r="U391">
        <v>3245</v>
      </c>
      <c r="W391">
        <v>4</v>
      </c>
      <c r="X391">
        <v>2015</v>
      </c>
      <c r="Z391">
        <v>1</v>
      </c>
      <c r="AA391" t="s">
        <v>26</v>
      </c>
      <c r="AC391" t="s">
        <v>115</v>
      </c>
      <c r="AD391">
        <v>3</v>
      </c>
      <c r="AE391" t="s">
        <v>115</v>
      </c>
      <c r="AH391" t="s">
        <v>116</v>
      </c>
      <c r="AI391" s="1">
        <v>93799</v>
      </c>
      <c r="AJ391" s="2">
        <v>0.2</v>
      </c>
      <c r="AK391" s="1">
        <v>477561</v>
      </c>
      <c r="AL391" t="s">
        <v>117</v>
      </c>
      <c r="AM391" t="s">
        <v>118</v>
      </c>
      <c r="AN391">
        <v>15333</v>
      </c>
      <c r="AO391">
        <v>0.35</v>
      </c>
      <c r="AR391">
        <v>1</v>
      </c>
      <c r="AS391" s="1">
        <v>36310</v>
      </c>
      <c r="AT391" s="1">
        <v>7260</v>
      </c>
      <c r="AU391" s="1">
        <v>29050</v>
      </c>
      <c r="AV391">
        <v>80.010000000000005</v>
      </c>
      <c r="AX391" s="1">
        <v>3159.1</v>
      </c>
      <c r="AY391" t="s">
        <v>503</v>
      </c>
      <c r="AZ391" t="s">
        <v>504</v>
      </c>
      <c r="BA391" t="s">
        <v>218</v>
      </c>
      <c r="BE391" s="3">
        <v>42460</v>
      </c>
      <c r="BF391" s="1">
        <v>397991</v>
      </c>
      <c r="BG391" t="s">
        <v>209</v>
      </c>
      <c r="BH391" s="1">
        <v>122.65</v>
      </c>
      <c r="BI391" s="1">
        <v>383762</v>
      </c>
      <c r="BJ391" s="3">
        <v>42460</v>
      </c>
      <c r="BK391" t="s">
        <v>123</v>
      </c>
      <c r="BL391" t="str">
        <f>"2016.212326"</f>
        <v>2016.212326</v>
      </c>
      <c r="BM391" t="s">
        <v>175</v>
      </c>
      <c r="BO391" t="s">
        <v>2738</v>
      </c>
      <c r="BS391">
        <v>30</v>
      </c>
      <c r="BW391" t="str">
        <f>""</f>
        <v/>
      </c>
      <c r="CH391" t="str">
        <f>""</f>
        <v/>
      </c>
      <c r="CS391" t="str">
        <f>""</f>
        <v/>
      </c>
    </row>
    <row r="392" spans="1:97" x14ac:dyDescent="0.25">
      <c r="A392" t="s">
        <v>325</v>
      </c>
      <c r="B392" t="s">
        <v>2739</v>
      </c>
      <c r="C392" t="s">
        <v>2568</v>
      </c>
      <c r="D392" t="s">
        <v>2739</v>
      </c>
      <c r="E392" t="s">
        <v>2740</v>
      </c>
      <c r="F392" t="s">
        <v>108</v>
      </c>
      <c r="H392" t="s">
        <v>2741</v>
      </c>
      <c r="I392" t="s">
        <v>188</v>
      </c>
      <c r="J392" t="s">
        <v>111</v>
      </c>
      <c r="K392" t="str">
        <f>"85142"</f>
        <v>85142</v>
      </c>
      <c r="L392" t="s">
        <v>688</v>
      </c>
      <c r="M392" t="s">
        <v>2741</v>
      </c>
      <c r="N392" t="s">
        <v>188</v>
      </c>
      <c r="O392" t="s">
        <v>111</v>
      </c>
      <c r="P392" t="str">
        <f>"85142-9816"</f>
        <v>85142-9816</v>
      </c>
      <c r="Q392" t="s">
        <v>113</v>
      </c>
      <c r="R392" t="str">
        <f>"304-89-767"</f>
        <v>304-89-767</v>
      </c>
      <c r="S392" t="s">
        <v>690</v>
      </c>
      <c r="T392" t="s">
        <v>691</v>
      </c>
      <c r="U392">
        <v>2459</v>
      </c>
      <c r="W392">
        <v>4</v>
      </c>
      <c r="X392">
        <v>2014</v>
      </c>
      <c r="Z392">
        <v>1</v>
      </c>
      <c r="AA392" t="s">
        <v>26</v>
      </c>
      <c r="AC392" t="s">
        <v>115</v>
      </c>
      <c r="AD392">
        <v>3</v>
      </c>
      <c r="AE392" t="s">
        <v>115</v>
      </c>
      <c r="AH392" t="s">
        <v>116</v>
      </c>
      <c r="AI392" s="1">
        <v>142682</v>
      </c>
      <c r="AJ392" s="2">
        <v>0.35</v>
      </c>
      <c r="AK392" s="1">
        <v>407014</v>
      </c>
      <c r="AL392" t="s">
        <v>117</v>
      </c>
      <c r="AM392" t="s">
        <v>393</v>
      </c>
      <c r="AN392">
        <v>8400</v>
      </c>
      <c r="AO392">
        <v>0.19</v>
      </c>
      <c r="AR392">
        <v>1</v>
      </c>
      <c r="AS392" s="1">
        <v>29000</v>
      </c>
      <c r="AT392" s="1">
        <v>5800</v>
      </c>
      <c r="AU392" s="1">
        <v>23200</v>
      </c>
      <c r="AV392">
        <v>80</v>
      </c>
      <c r="AX392" s="1">
        <v>2606.2399999999998</v>
      </c>
      <c r="AY392" t="s">
        <v>192</v>
      </c>
      <c r="AZ392" t="s">
        <v>193</v>
      </c>
      <c r="BA392" t="s">
        <v>194</v>
      </c>
      <c r="BE392" s="3">
        <v>41695</v>
      </c>
      <c r="BF392" s="1">
        <v>304069</v>
      </c>
      <c r="BG392" t="s">
        <v>209</v>
      </c>
      <c r="BH392" s="1">
        <v>123.66</v>
      </c>
      <c r="BI392" s="1">
        <v>264332</v>
      </c>
      <c r="BJ392" s="3">
        <v>42702</v>
      </c>
      <c r="BK392" t="s">
        <v>123</v>
      </c>
      <c r="BL392" t="str">
        <f>"2016.869719"</f>
        <v>2016.869719</v>
      </c>
      <c r="BM392" t="s">
        <v>402</v>
      </c>
      <c r="BO392" t="s">
        <v>2742</v>
      </c>
      <c r="BS392">
        <v>30</v>
      </c>
      <c r="BW392" t="str">
        <f>""</f>
        <v/>
      </c>
      <c r="CH392" t="str">
        <f>""</f>
        <v/>
      </c>
      <c r="CS392" t="str">
        <f>""</f>
        <v/>
      </c>
    </row>
    <row r="393" spans="1:97" x14ac:dyDescent="0.25">
      <c r="A393" t="s">
        <v>2743</v>
      </c>
      <c r="B393" t="s">
        <v>465</v>
      </c>
      <c r="C393" t="s">
        <v>1734</v>
      </c>
      <c r="D393" t="s">
        <v>2744</v>
      </c>
      <c r="E393" t="s">
        <v>2745</v>
      </c>
      <c r="F393" t="s">
        <v>108</v>
      </c>
      <c r="H393" t="s">
        <v>2746</v>
      </c>
      <c r="I393" t="s">
        <v>390</v>
      </c>
      <c r="J393" t="s">
        <v>111</v>
      </c>
      <c r="K393" t="str">
        <f>"85086"</f>
        <v>85086</v>
      </c>
      <c r="L393" t="s">
        <v>1586</v>
      </c>
      <c r="M393" t="s">
        <v>2746</v>
      </c>
      <c r="N393" t="s">
        <v>390</v>
      </c>
      <c r="O393" t="s">
        <v>111</v>
      </c>
      <c r="P393" t="str">
        <f>"85086-9154"</f>
        <v>85086-9154</v>
      </c>
      <c r="Q393" t="s">
        <v>113</v>
      </c>
      <c r="R393" t="str">
        <f>"211-51-075"</f>
        <v>211-51-075</v>
      </c>
      <c r="U393">
        <v>3099</v>
      </c>
      <c r="W393">
        <v>5</v>
      </c>
      <c r="X393">
        <v>2014</v>
      </c>
      <c r="Z393">
        <v>1</v>
      </c>
      <c r="AC393" t="s">
        <v>115</v>
      </c>
      <c r="AD393">
        <v>4</v>
      </c>
      <c r="AE393" t="s">
        <v>115</v>
      </c>
      <c r="AH393" t="s">
        <v>116</v>
      </c>
      <c r="AI393" s="1">
        <v>187652</v>
      </c>
      <c r="AJ393" s="2">
        <v>0.31</v>
      </c>
      <c r="AK393" s="1">
        <v>609864</v>
      </c>
      <c r="AL393" t="s">
        <v>117</v>
      </c>
      <c r="AM393" t="s">
        <v>376</v>
      </c>
      <c r="AN393">
        <v>53241</v>
      </c>
      <c r="AO393">
        <v>1.22</v>
      </c>
      <c r="AR393">
        <v>1</v>
      </c>
      <c r="AS393" s="1">
        <v>47970</v>
      </c>
      <c r="AT393" s="1">
        <v>9590</v>
      </c>
      <c r="AU393" s="1">
        <v>38380</v>
      </c>
      <c r="AV393">
        <v>80.010000000000005</v>
      </c>
      <c r="AX393" s="1">
        <v>4302.3599999999997</v>
      </c>
      <c r="AY393" t="s">
        <v>1587</v>
      </c>
      <c r="AZ393" t="s">
        <v>1587</v>
      </c>
      <c r="BA393" t="s">
        <v>378</v>
      </c>
      <c r="BB393" s="3">
        <v>42193</v>
      </c>
      <c r="BD393" t="s">
        <v>1830</v>
      </c>
      <c r="BE393" s="3">
        <v>42097</v>
      </c>
      <c r="BF393" s="1">
        <v>476250</v>
      </c>
      <c r="BG393" t="s">
        <v>2747</v>
      </c>
      <c r="BH393" s="1">
        <v>153.68</v>
      </c>
      <c r="BI393" s="1">
        <v>422212</v>
      </c>
      <c r="BJ393" s="3">
        <v>42097</v>
      </c>
      <c r="BK393" t="s">
        <v>123</v>
      </c>
      <c r="BL393" t="str">
        <f>"2015.229795"</f>
        <v>2015.229795</v>
      </c>
      <c r="BM393" t="s">
        <v>2748</v>
      </c>
      <c r="BO393" t="s">
        <v>2749</v>
      </c>
      <c r="BS393">
        <v>30</v>
      </c>
      <c r="BW393" t="str">
        <f>""</f>
        <v/>
      </c>
      <c r="CH393" t="str">
        <f>""</f>
        <v/>
      </c>
      <c r="CS393" t="str">
        <f>""</f>
        <v/>
      </c>
    </row>
    <row r="394" spans="1:97" x14ac:dyDescent="0.25">
      <c r="A394" t="s">
        <v>2750</v>
      </c>
      <c r="B394" t="s">
        <v>2751</v>
      </c>
      <c r="E394" t="s">
        <v>2752</v>
      </c>
      <c r="F394" t="s">
        <v>108</v>
      </c>
      <c r="H394" t="s">
        <v>2753</v>
      </c>
      <c r="I394" t="s">
        <v>390</v>
      </c>
      <c r="J394" t="s">
        <v>111</v>
      </c>
      <c r="K394" t="str">
        <f>"85086"</f>
        <v>85086</v>
      </c>
      <c r="L394" t="s">
        <v>1586</v>
      </c>
      <c r="M394" t="s">
        <v>2753</v>
      </c>
      <c r="N394" t="s">
        <v>390</v>
      </c>
      <c r="O394" t="s">
        <v>111</v>
      </c>
      <c r="P394" t="str">
        <f>"85086"</f>
        <v>85086</v>
      </c>
      <c r="Q394" t="s">
        <v>113</v>
      </c>
      <c r="R394" t="str">
        <f>"211-50-060-C"</f>
        <v>211-50-060-C</v>
      </c>
      <c r="U394">
        <v>2420</v>
      </c>
      <c r="W394">
        <v>3</v>
      </c>
      <c r="X394">
        <v>2014</v>
      </c>
      <c r="Z394">
        <v>1</v>
      </c>
      <c r="AC394" t="s">
        <v>115</v>
      </c>
      <c r="AD394">
        <v>4</v>
      </c>
      <c r="AE394" t="s">
        <v>115</v>
      </c>
      <c r="AH394" t="s">
        <v>116</v>
      </c>
      <c r="AI394" s="1">
        <v>89949</v>
      </c>
      <c r="AJ394" s="2">
        <v>0.18</v>
      </c>
      <c r="AK394" s="1">
        <v>500678</v>
      </c>
      <c r="AL394" t="s">
        <v>117</v>
      </c>
      <c r="AM394" t="s">
        <v>376</v>
      </c>
      <c r="AN394">
        <v>49500</v>
      </c>
      <c r="AO394">
        <v>1.1399999999999999</v>
      </c>
      <c r="AR394">
        <v>1</v>
      </c>
      <c r="AS394" s="1">
        <v>38710</v>
      </c>
      <c r="AT394" s="1">
        <v>7740</v>
      </c>
      <c r="AU394" s="1">
        <v>30970</v>
      </c>
      <c r="AV394">
        <v>80.010000000000005</v>
      </c>
      <c r="AX394" s="1">
        <v>3544.38</v>
      </c>
      <c r="AY394" t="s">
        <v>1587</v>
      </c>
      <c r="AZ394" t="s">
        <v>1587</v>
      </c>
      <c r="BA394" t="s">
        <v>378</v>
      </c>
      <c r="BE394" s="3">
        <v>42185</v>
      </c>
      <c r="BF394" s="1">
        <v>406000</v>
      </c>
      <c r="BG394" t="s">
        <v>2754</v>
      </c>
      <c r="BH394" s="1">
        <v>167.77</v>
      </c>
      <c r="BI394" s="1">
        <v>410729</v>
      </c>
      <c r="BJ394" s="3">
        <v>42185</v>
      </c>
      <c r="BK394" t="s">
        <v>123</v>
      </c>
      <c r="BL394" t="str">
        <f>"2015.472870"</f>
        <v>2015.472870</v>
      </c>
      <c r="BM394" t="s">
        <v>1791</v>
      </c>
      <c r="BO394" t="s">
        <v>2755</v>
      </c>
      <c r="BS394">
        <v>30</v>
      </c>
      <c r="BW394" t="str">
        <f>""</f>
        <v/>
      </c>
      <c r="CH394" t="str">
        <f>""</f>
        <v/>
      </c>
      <c r="CS394" t="str">
        <f>""</f>
        <v/>
      </c>
    </row>
    <row r="395" spans="1:97" x14ac:dyDescent="0.25">
      <c r="A395" t="s">
        <v>1187</v>
      </c>
      <c r="B395" t="s">
        <v>2756</v>
      </c>
      <c r="C395" t="s">
        <v>328</v>
      </c>
      <c r="D395" t="s">
        <v>2756</v>
      </c>
      <c r="E395" t="s">
        <v>2757</v>
      </c>
      <c r="F395" t="s">
        <v>108</v>
      </c>
      <c r="H395" t="s">
        <v>2758</v>
      </c>
      <c r="I395" t="s">
        <v>203</v>
      </c>
      <c r="J395" t="s">
        <v>111</v>
      </c>
      <c r="K395" t="str">
        <f>"85296"</f>
        <v>85296</v>
      </c>
      <c r="L395" t="s">
        <v>469</v>
      </c>
      <c r="M395" t="s">
        <v>2758</v>
      </c>
      <c r="N395" t="s">
        <v>203</v>
      </c>
      <c r="O395" t="s">
        <v>111</v>
      </c>
      <c r="P395" t="str">
        <f>"85296-1470"</f>
        <v>85296-1470</v>
      </c>
      <c r="Q395" t="s">
        <v>113</v>
      </c>
      <c r="R395" t="str">
        <f>"313-18-653"</f>
        <v>313-18-653</v>
      </c>
      <c r="S395" t="s">
        <v>1645</v>
      </c>
      <c r="T395" t="s">
        <v>471</v>
      </c>
      <c r="U395">
        <v>2015</v>
      </c>
      <c r="W395">
        <v>5</v>
      </c>
      <c r="X395">
        <v>2014</v>
      </c>
      <c r="Z395">
        <v>2</v>
      </c>
      <c r="AC395" t="s">
        <v>115</v>
      </c>
      <c r="AD395">
        <v>2</v>
      </c>
      <c r="AE395" t="s">
        <v>115</v>
      </c>
      <c r="AH395" t="s">
        <v>116</v>
      </c>
      <c r="AI395" s="1">
        <v>48755</v>
      </c>
      <c r="AJ395" s="2">
        <v>0.14000000000000001</v>
      </c>
      <c r="AK395" s="1">
        <v>352925</v>
      </c>
      <c r="AL395" t="s">
        <v>117</v>
      </c>
      <c r="AM395" t="s">
        <v>288</v>
      </c>
      <c r="AN395">
        <v>2925</v>
      </c>
      <c r="AO395">
        <v>0.67</v>
      </c>
      <c r="AR395">
        <v>1</v>
      </c>
      <c r="AS395" s="1">
        <v>23210</v>
      </c>
      <c r="AT395" s="1">
        <v>4640</v>
      </c>
      <c r="AU395" s="1">
        <v>18570</v>
      </c>
      <c r="AV395">
        <v>80.010000000000005</v>
      </c>
      <c r="AX395" s="1">
        <v>1717.64</v>
      </c>
      <c r="AY395" t="s">
        <v>472</v>
      </c>
      <c r="AZ395" t="s">
        <v>472</v>
      </c>
      <c r="BA395" t="s">
        <v>473</v>
      </c>
      <c r="BE395" s="3">
        <v>42038</v>
      </c>
      <c r="BF395" s="1">
        <v>328397</v>
      </c>
      <c r="BG395" t="s">
        <v>617</v>
      </c>
      <c r="BH395" s="1">
        <v>162.97999999999999</v>
      </c>
      <c r="BI395" s="1">
        <v>304170</v>
      </c>
      <c r="BJ395" s="3">
        <v>42683</v>
      </c>
      <c r="BK395" t="s">
        <v>123</v>
      </c>
      <c r="BL395" t="str">
        <f>"2016.826236"</f>
        <v>2016.826236</v>
      </c>
      <c r="BM395" t="s">
        <v>425</v>
      </c>
      <c r="BO395" t="s">
        <v>2759</v>
      </c>
      <c r="BS395">
        <v>30</v>
      </c>
      <c r="BW395" t="str">
        <f>""</f>
        <v/>
      </c>
      <c r="CH395" t="str">
        <f>""</f>
        <v/>
      </c>
      <c r="CS395" t="str">
        <f>""</f>
        <v/>
      </c>
    </row>
    <row r="396" spans="1:97" x14ac:dyDescent="0.25">
      <c r="A396" t="s">
        <v>765</v>
      </c>
      <c r="B396" t="s">
        <v>2760</v>
      </c>
      <c r="C396" t="s">
        <v>2761</v>
      </c>
      <c r="D396" t="s">
        <v>2762</v>
      </c>
      <c r="E396" t="s">
        <v>2763</v>
      </c>
      <c r="F396" t="s">
        <v>108</v>
      </c>
      <c r="H396" t="s">
        <v>2764</v>
      </c>
      <c r="I396" t="s">
        <v>499</v>
      </c>
      <c r="J396" t="s">
        <v>111</v>
      </c>
      <c r="K396" t="str">
        <f>"85338"</f>
        <v>85338</v>
      </c>
      <c r="L396" t="s">
        <v>2765</v>
      </c>
      <c r="M396" t="s">
        <v>2764</v>
      </c>
      <c r="N396" t="s">
        <v>499</v>
      </c>
      <c r="O396" t="s">
        <v>111</v>
      </c>
      <c r="P396" t="str">
        <f>"85338-7819"</f>
        <v>85338-7819</v>
      </c>
      <c r="Q396" t="s">
        <v>113</v>
      </c>
      <c r="R396" t="str">
        <f>"502-48-044"</f>
        <v>502-48-044</v>
      </c>
      <c r="S396" t="s">
        <v>2766</v>
      </c>
      <c r="U396">
        <v>2979</v>
      </c>
      <c r="W396">
        <v>4</v>
      </c>
      <c r="X396">
        <v>2014</v>
      </c>
      <c r="Z396">
        <v>2</v>
      </c>
      <c r="AA396" t="s">
        <v>26</v>
      </c>
      <c r="AC396" t="s">
        <v>115</v>
      </c>
      <c r="AD396">
        <v>3</v>
      </c>
      <c r="AE396" t="s">
        <v>115</v>
      </c>
      <c r="AH396" t="s">
        <v>116</v>
      </c>
      <c r="AI396" s="1">
        <v>82133</v>
      </c>
      <c r="AJ396" s="2">
        <v>0.22</v>
      </c>
      <c r="AK396" s="1">
        <v>372604</v>
      </c>
      <c r="AL396" t="s">
        <v>117</v>
      </c>
      <c r="AM396" t="s">
        <v>118</v>
      </c>
      <c r="AN396">
        <v>12222</v>
      </c>
      <c r="AO396">
        <v>0.28000000000000003</v>
      </c>
      <c r="AR396">
        <v>1</v>
      </c>
      <c r="AS396" s="1">
        <v>28020</v>
      </c>
      <c r="AT396" s="1">
        <v>5600</v>
      </c>
      <c r="AU396" s="1">
        <v>22420</v>
      </c>
      <c r="AV396">
        <v>80.010000000000005</v>
      </c>
      <c r="AX396" s="1">
        <v>2152.7399999999998</v>
      </c>
      <c r="AY396" t="s">
        <v>2767</v>
      </c>
      <c r="AZ396" t="s">
        <v>2767</v>
      </c>
      <c r="BA396" t="s">
        <v>1247</v>
      </c>
      <c r="BE396" s="3">
        <v>41946</v>
      </c>
      <c r="BF396" s="1">
        <v>256034</v>
      </c>
      <c r="BG396" t="s">
        <v>275</v>
      </c>
      <c r="BH396" s="1">
        <v>85.95</v>
      </c>
      <c r="BI396" s="1">
        <v>257221</v>
      </c>
      <c r="BJ396" s="3">
        <v>41946</v>
      </c>
      <c r="BK396" t="s">
        <v>123</v>
      </c>
      <c r="BL396" t="str">
        <f>"2014.728498"</f>
        <v>2014.728498</v>
      </c>
      <c r="BM396" t="s">
        <v>651</v>
      </c>
      <c r="BO396" t="s">
        <v>2768</v>
      </c>
      <c r="BS396">
        <v>30</v>
      </c>
      <c r="BT396" s="1">
        <v>33250</v>
      </c>
      <c r="BU396" s="3">
        <v>42523</v>
      </c>
      <c r="BV396" t="s">
        <v>134</v>
      </c>
      <c r="BW396" t="str">
        <f>"2016.381554"</f>
        <v>2016.381554</v>
      </c>
      <c r="BX396" t="s">
        <v>198</v>
      </c>
      <c r="BZ396" t="s">
        <v>2769</v>
      </c>
      <c r="CD396">
        <v>15</v>
      </c>
      <c r="CH396" t="str">
        <f>""</f>
        <v/>
      </c>
      <c r="CS396" t="str">
        <f>""</f>
        <v/>
      </c>
    </row>
    <row r="397" spans="1:97" x14ac:dyDescent="0.25">
      <c r="A397" t="s">
        <v>2770</v>
      </c>
      <c r="B397" t="s">
        <v>2771</v>
      </c>
      <c r="E397" t="s">
        <v>2772</v>
      </c>
      <c r="F397" t="s">
        <v>108</v>
      </c>
      <c r="H397" t="s">
        <v>2773</v>
      </c>
      <c r="I397" t="s">
        <v>144</v>
      </c>
      <c r="J397" t="s">
        <v>111</v>
      </c>
      <c r="K397" t="str">
        <f>"85396"</f>
        <v>85396</v>
      </c>
      <c r="L397" t="s">
        <v>541</v>
      </c>
      <c r="M397" t="s">
        <v>2773</v>
      </c>
      <c r="N397" t="s">
        <v>144</v>
      </c>
      <c r="O397" t="s">
        <v>111</v>
      </c>
      <c r="P397" t="str">
        <f>"85396-7941"</f>
        <v>85396-7941</v>
      </c>
      <c r="Q397" t="s">
        <v>113</v>
      </c>
      <c r="R397" t="str">
        <f>"502-82-304"</f>
        <v>502-82-304</v>
      </c>
      <c r="S397" t="s">
        <v>1701</v>
      </c>
      <c r="U397">
        <v>1801</v>
      </c>
      <c r="W397">
        <v>3</v>
      </c>
      <c r="X397">
        <v>2014</v>
      </c>
      <c r="Z397">
        <v>1</v>
      </c>
      <c r="AC397" t="s">
        <v>115</v>
      </c>
      <c r="AD397">
        <v>2</v>
      </c>
      <c r="AE397" t="s">
        <v>115</v>
      </c>
      <c r="AH397" t="s">
        <v>116</v>
      </c>
      <c r="AI397" s="1">
        <v>18204</v>
      </c>
      <c r="AJ397" s="2">
        <v>0.06</v>
      </c>
      <c r="AK397" s="1">
        <v>310289</v>
      </c>
      <c r="AL397" t="s">
        <v>117</v>
      </c>
      <c r="AM397" t="s">
        <v>118</v>
      </c>
      <c r="AN397">
        <v>6932</v>
      </c>
      <c r="AO397">
        <v>0.16</v>
      </c>
      <c r="AR397">
        <v>1</v>
      </c>
      <c r="AS397" s="1">
        <v>20700</v>
      </c>
      <c r="AT397" s="1">
        <v>4140</v>
      </c>
      <c r="AU397" s="1">
        <v>16560</v>
      </c>
      <c r="AV397">
        <v>80</v>
      </c>
      <c r="AX397" s="1">
        <v>2781.24</v>
      </c>
      <c r="AY397" t="s">
        <v>543</v>
      </c>
      <c r="AZ397" t="s">
        <v>504</v>
      </c>
      <c r="BA397" t="s">
        <v>218</v>
      </c>
      <c r="BE397" s="3">
        <v>41969</v>
      </c>
      <c r="BF397" s="1">
        <v>253000</v>
      </c>
      <c r="BG397" t="s">
        <v>195</v>
      </c>
      <c r="BH397" s="1">
        <v>140.47999999999999</v>
      </c>
      <c r="BI397" s="1">
        <v>292085</v>
      </c>
      <c r="BJ397" s="3">
        <v>43146</v>
      </c>
      <c r="BK397" t="s">
        <v>123</v>
      </c>
      <c r="BL397" t="str">
        <f>"2018.115828"</f>
        <v>2018.115828</v>
      </c>
      <c r="BM397" t="s">
        <v>2774</v>
      </c>
      <c r="BN397" t="s">
        <v>2775</v>
      </c>
      <c r="BO397" t="s">
        <v>2772</v>
      </c>
      <c r="BR397" t="s">
        <v>346</v>
      </c>
      <c r="BW397" t="str">
        <f>""</f>
        <v/>
      </c>
      <c r="CH397" t="str">
        <f>""</f>
        <v/>
      </c>
      <c r="CS397" t="str">
        <f>""</f>
        <v/>
      </c>
    </row>
    <row r="398" spans="1:97" x14ac:dyDescent="0.25">
      <c r="A398" t="s">
        <v>2776</v>
      </c>
      <c r="B398" t="s">
        <v>2777</v>
      </c>
      <c r="C398" t="s">
        <v>2719</v>
      </c>
      <c r="D398" t="s">
        <v>2777</v>
      </c>
      <c r="E398" t="s">
        <v>2778</v>
      </c>
      <c r="F398" t="s">
        <v>108</v>
      </c>
      <c r="H398" t="s">
        <v>2779</v>
      </c>
      <c r="I398" t="s">
        <v>144</v>
      </c>
      <c r="J398" t="s">
        <v>111</v>
      </c>
      <c r="K398" t="str">
        <f>"85396"</f>
        <v>85396</v>
      </c>
      <c r="L398" t="s">
        <v>145</v>
      </c>
      <c r="M398" t="s">
        <v>2779</v>
      </c>
      <c r="N398" t="s">
        <v>144</v>
      </c>
      <c r="O398" t="s">
        <v>111</v>
      </c>
      <c r="P398" t="str">
        <f>"85396-1727"</f>
        <v>85396-1727</v>
      </c>
      <c r="Q398" t="s">
        <v>113</v>
      </c>
      <c r="R398" t="str">
        <f>"502-83-502"</f>
        <v>502-83-502</v>
      </c>
      <c r="S398" t="s">
        <v>1652</v>
      </c>
      <c r="U398">
        <v>2240</v>
      </c>
      <c r="W398">
        <v>4</v>
      </c>
      <c r="X398">
        <v>2014</v>
      </c>
      <c r="Z398">
        <v>1</v>
      </c>
      <c r="AC398" t="s">
        <v>115</v>
      </c>
      <c r="AD398">
        <v>3</v>
      </c>
      <c r="AE398" t="s">
        <v>115</v>
      </c>
      <c r="AH398" t="s">
        <v>116</v>
      </c>
      <c r="AI398" s="1">
        <v>31669</v>
      </c>
      <c r="AJ398" s="2">
        <v>0.09</v>
      </c>
      <c r="AK398" s="1">
        <v>336238</v>
      </c>
      <c r="AL398" t="s">
        <v>117</v>
      </c>
      <c r="AM398" t="s">
        <v>118</v>
      </c>
      <c r="AN398">
        <v>7580</v>
      </c>
      <c r="AO398">
        <v>0.17</v>
      </c>
      <c r="AR398">
        <v>1</v>
      </c>
      <c r="AS398" s="1">
        <v>24450</v>
      </c>
      <c r="AT398" s="1">
        <v>4890</v>
      </c>
      <c r="AU398" s="1">
        <v>19560</v>
      </c>
      <c r="AV398">
        <v>80</v>
      </c>
      <c r="AX398" s="1">
        <v>3129.46</v>
      </c>
      <c r="AY398" t="s">
        <v>217</v>
      </c>
      <c r="AZ398" t="s">
        <v>217</v>
      </c>
      <c r="BA398" t="s">
        <v>218</v>
      </c>
      <c r="BE398" s="3">
        <v>42552</v>
      </c>
      <c r="BF398" s="1">
        <v>304569</v>
      </c>
      <c r="BG398" t="s">
        <v>2780</v>
      </c>
      <c r="BH398" s="1">
        <v>135.97</v>
      </c>
      <c r="BI398" s="1">
        <v>304569</v>
      </c>
      <c r="BJ398" s="3">
        <v>42552</v>
      </c>
      <c r="BK398" t="s">
        <v>123</v>
      </c>
      <c r="BL398" t="str">
        <f>"2016.465123"</f>
        <v>2016.465123</v>
      </c>
      <c r="BM398" t="s">
        <v>175</v>
      </c>
      <c r="BO398" t="s">
        <v>2781</v>
      </c>
      <c r="BS398">
        <v>30</v>
      </c>
      <c r="BW398" t="str">
        <f>""</f>
        <v/>
      </c>
      <c r="CH398" t="str">
        <f>""</f>
        <v/>
      </c>
      <c r="CS398" t="str">
        <f>""</f>
        <v/>
      </c>
    </row>
    <row r="399" spans="1:97" x14ac:dyDescent="0.25">
      <c r="A399" t="s">
        <v>2429</v>
      </c>
      <c r="B399" t="s">
        <v>2782</v>
      </c>
      <c r="C399" t="s">
        <v>1821</v>
      </c>
      <c r="D399" t="s">
        <v>2783</v>
      </c>
      <c r="E399" t="s">
        <v>2784</v>
      </c>
      <c r="F399" t="s">
        <v>108</v>
      </c>
      <c r="H399" t="s">
        <v>2785</v>
      </c>
      <c r="I399" t="s">
        <v>144</v>
      </c>
      <c r="J399" t="s">
        <v>111</v>
      </c>
      <c r="K399" t="str">
        <f>"85396"</f>
        <v>85396</v>
      </c>
      <c r="L399" t="s">
        <v>145</v>
      </c>
      <c r="M399" t="s">
        <v>2785</v>
      </c>
      <c r="N399" t="s">
        <v>144</v>
      </c>
      <c r="O399" t="s">
        <v>111</v>
      </c>
      <c r="P399" t="str">
        <f>"85396-1703"</f>
        <v>85396-1703</v>
      </c>
      <c r="Q399" t="s">
        <v>113</v>
      </c>
      <c r="R399" t="str">
        <f>"502-83-580"</f>
        <v>502-83-580</v>
      </c>
      <c r="S399" t="s">
        <v>1652</v>
      </c>
      <c r="U399">
        <v>2876</v>
      </c>
      <c r="W399">
        <v>5</v>
      </c>
      <c r="X399">
        <v>2014</v>
      </c>
      <c r="Z399">
        <v>2</v>
      </c>
      <c r="AC399" t="s">
        <v>115</v>
      </c>
      <c r="AD399">
        <v>3</v>
      </c>
      <c r="AE399" t="s">
        <v>115</v>
      </c>
      <c r="AH399" t="s">
        <v>116</v>
      </c>
      <c r="AI399" s="1">
        <v>36903</v>
      </c>
      <c r="AJ399" s="2">
        <v>0.1</v>
      </c>
      <c r="AK399" s="1">
        <v>355299</v>
      </c>
      <c r="AL399" t="s">
        <v>117</v>
      </c>
      <c r="AM399" t="s">
        <v>118</v>
      </c>
      <c r="AN399">
        <v>5400</v>
      </c>
      <c r="AO399">
        <v>0.12</v>
      </c>
      <c r="AR399">
        <v>1</v>
      </c>
      <c r="AS399" s="1">
        <v>24510</v>
      </c>
      <c r="AT399" s="1">
        <v>4900</v>
      </c>
      <c r="AU399" s="1">
        <v>19610</v>
      </c>
      <c r="AV399">
        <v>80.010000000000005</v>
      </c>
      <c r="AX399" s="1">
        <v>3171.04</v>
      </c>
      <c r="AY399" t="s">
        <v>217</v>
      </c>
      <c r="AZ399" t="s">
        <v>217</v>
      </c>
      <c r="BA399" t="s">
        <v>218</v>
      </c>
      <c r="BE399" s="3">
        <v>41967</v>
      </c>
      <c r="BF399" s="1">
        <v>311695</v>
      </c>
      <c r="BG399" t="s">
        <v>636</v>
      </c>
      <c r="BH399" s="1">
        <v>108.38</v>
      </c>
      <c r="BI399" s="1">
        <v>318396</v>
      </c>
      <c r="BJ399" s="3">
        <v>41967</v>
      </c>
      <c r="BK399" t="s">
        <v>123</v>
      </c>
      <c r="BL399" t="str">
        <f>"2014.778621"</f>
        <v>2014.778621</v>
      </c>
      <c r="BM399" t="s">
        <v>637</v>
      </c>
      <c r="BO399" t="s">
        <v>2786</v>
      </c>
      <c r="BP399" t="s">
        <v>2787</v>
      </c>
      <c r="BS399">
        <v>30</v>
      </c>
      <c r="BW399" t="str">
        <f>""</f>
        <v/>
      </c>
      <c r="CH399" t="str">
        <f>""</f>
        <v/>
      </c>
      <c r="CS399" t="str">
        <f>""</f>
        <v/>
      </c>
    </row>
    <row r="400" spans="1:97" x14ac:dyDescent="0.25">
      <c r="A400" t="s">
        <v>140</v>
      </c>
      <c r="B400" t="s">
        <v>2788</v>
      </c>
      <c r="C400" t="s">
        <v>767</v>
      </c>
      <c r="D400" t="s">
        <v>2788</v>
      </c>
      <c r="E400" t="s">
        <v>2789</v>
      </c>
      <c r="F400" t="s">
        <v>108</v>
      </c>
      <c r="H400" t="s">
        <v>2790</v>
      </c>
      <c r="I400" t="s">
        <v>144</v>
      </c>
      <c r="J400" t="s">
        <v>111</v>
      </c>
      <c r="K400" t="str">
        <f>"85396"</f>
        <v>85396</v>
      </c>
      <c r="L400" t="s">
        <v>145</v>
      </c>
      <c r="M400" t="s">
        <v>2790</v>
      </c>
      <c r="N400" t="s">
        <v>144</v>
      </c>
      <c r="O400" t="s">
        <v>111</v>
      </c>
      <c r="P400" t="str">
        <f>"85396-1702"</f>
        <v>85396-1702</v>
      </c>
      <c r="Q400" t="s">
        <v>113</v>
      </c>
      <c r="R400" t="str">
        <f>"502-83-608"</f>
        <v>502-83-608</v>
      </c>
      <c r="S400" t="s">
        <v>1652</v>
      </c>
      <c r="U400">
        <v>1623</v>
      </c>
      <c r="W400">
        <v>3</v>
      </c>
      <c r="X400">
        <v>2014</v>
      </c>
      <c r="Z400">
        <v>1</v>
      </c>
      <c r="AC400" t="s">
        <v>115</v>
      </c>
      <c r="AD400">
        <v>2</v>
      </c>
      <c r="AE400" t="s">
        <v>115</v>
      </c>
      <c r="AH400" t="s">
        <v>116</v>
      </c>
      <c r="AI400" s="1">
        <v>39327</v>
      </c>
      <c r="AJ400" s="2">
        <v>0.14000000000000001</v>
      </c>
      <c r="AK400" s="1">
        <v>277923</v>
      </c>
      <c r="AL400" t="s">
        <v>117</v>
      </c>
      <c r="AM400" t="s">
        <v>118</v>
      </c>
      <c r="AN400">
        <v>5625</v>
      </c>
      <c r="AO400">
        <v>0.13</v>
      </c>
      <c r="AR400">
        <v>1</v>
      </c>
      <c r="AS400" s="1">
        <v>19470</v>
      </c>
      <c r="AT400" s="1">
        <v>3890</v>
      </c>
      <c r="AU400" s="1">
        <v>15580</v>
      </c>
      <c r="AV400">
        <v>80.02</v>
      </c>
      <c r="AX400" s="1">
        <v>2436.56</v>
      </c>
      <c r="AY400" t="s">
        <v>217</v>
      </c>
      <c r="AZ400" t="s">
        <v>217</v>
      </c>
      <c r="BA400" t="s">
        <v>218</v>
      </c>
      <c r="BE400" s="3">
        <v>41908</v>
      </c>
      <c r="BF400" s="1">
        <v>233575</v>
      </c>
      <c r="BG400" t="s">
        <v>636</v>
      </c>
      <c r="BH400" s="1">
        <v>143.91999999999999</v>
      </c>
      <c r="BI400" s="1">
        <v>238596</v>
      </c>
      <c r="BJ400" s="3">
        <v>41908</v>
      </c>
      <c r="BK400" t="s">
        <v>123</v>
      </c>
      <c r="BL400" t="str">
        <f>"2014.640327"</f>
        <v>2014.640327</v>
      </c>
      <c r="BM400" t="s">
        <v>637</v>
      </c>
      <c r="BO400" t="s">
        <v>2791</v>
      </c>
      <c r="BS400">
        <v>30</v>
      </c>
      <c r="BW400" t="str">
        <f>""</f>
        <v/>
      </c>
      <c r="CH400" t="str">
        <f>""</f>
        <v/>
      </c>
      <c r="CS400" t="str">
        <f>""</f>
        <v/>
      </c>
    </row>
    <row r="401" spans="1:97" x14ac:dyDescent="0.25">
      <c r="A401" t="s">
        <v>464</v>
      </c>
      <c r="B401" t="s">
        <v>2792</v>
      </c>
      <c r="C401" t="s">
        <v>2793</v>
      </c>
      <c r="D401" t="s">
        <v>2792</v>
      </c>
      <c r="E401" t="s">
        <v>2794</v>
      </c>
      <c r="F401" t="s">
        <v>108</v>
      </c>
      <c r="H401" t="s">
        <v>2795</v>
      </c>
      <c r="I401" t="s">
        <v>499</v>
      </c>
      <c r="J401" t="s">
        <v>111</v>
      </c>
      <c r="K401" t="str">
        <f>"85338"</f>
        <v>85338</v>
      </c>
      <c r="L401" t="s">
        <v>1244</v>
      </c>
      <c r="M401" t="s">
        <v>2795</v>
      </c>
      <c r="N401" t="s">
        <v>499</v>
      </c>
      <c r="O401" t="s">
        <v>111</v>
      </c>
      <c r="P401" t="str">
        <f>"85338-7876"</f>
        <v>85338-7876</v>
      </c>
      <c r="Q401" t="s">
        <v>113</v>
      </c>
      <c r="R401" t="str">
        <f>"400-83-733"</f>
        <v>400-83-733</v>
      </c>
      <c r="S401" t="s">
        <v>2796</v>
      </c>
      <c r="U401">
        <v>1899</v>
      </c>
      <c r="W401">
        <v>3</v>
      </c>
      <c r="X401">
        <v>2016</v>
      </c>
      <c r="Z401">
        <v>1</v>
      </c>
      <c r="AA401" t="s">
        <v>26</v>
      </c>
      <c r="AC401" t="s">
        <v>115</v>
      </c>
      <c r="AD401">
        <v>3</v>
      </c>
      <c r="AE401" t="s">
        <v>115</v>
      </c>
      <c r="AH401" t="s">
        <v>116</v>
      </c>
      <c r="AI401" s="1">
        <v>74779</v>
      </c>
      <c r="AJ401" s="2">
        <v>0.2</v>
      </c>
      <c r="AK401" s="1">
        <v>364779</v>
      </c>
      <c r="AL401" t="s">
        <v>117</v>
      </c>
      <c r="AM401" t="s">
        <v>118</v>
      </c>
      <c r="AN401">
        <v>7486</v>
      </c>
      <c r="AO401">
        <v>0.17</v>
      </c>
      <c r="AR401">
        <v>1</v>
      </c>
      <c r="AS401" s="1">
        <v>27760</v>
      </c>
      <c r="AT401" s="1">
        <v>5550</v>
      </c>
      <c r="AU401" s="1">
        <v>22210</v>
      </c>
      <c r="AV401">
        <v>80.010000000000005</v>
      </c>
      <c r="AX401" s="1">
        <v>3341.28</v>
      </c>
      <c r="AY401" t="s">
        <v>1246</v>
      </c>
      <c r="AZ401" t="s">
        <v>1246</v>
      </c>
      <c r="BA401" t="s">
        <v>1247</v>
      </c>
      <c r="BE401" s="3">
        <v>42485</v>
      </c>
      <c r="BF401" s="1">
        <v>314748</v>
      </c>
      <c r="BG401" t="s">
        <v>2797</v>
      </c>
      <c r="BH401" s="1">
        <v>165.74</v>
      </c>
      <c r="BI401" s="1">
        <v>290000</v>
      </c>
      <c r="BJ401" s="3">
        <v>42797</v>
      </c>
      <c r="BK401" t="s">
        <v>123</v>
      </c>
      <c r="BL401" t="str">
        <f>"2017.153822"</f>
        <v>2017.153822</v>
      </c>
      <c r="BM401" t="s">
        <v>2798</v>
      </c>
      <c r="BO401" t="s">
        <v>2799</v>
      </c>
      <c r="BS401">
        <v>30</v>
      </c>
      <c r="BW401" t="str">
        <f>""</f>
        <v/>
      </c>
      <c r="CH401" t="str">
        <f>""</f>
        <v/>
      </c>
      <c r="CS401" t="str">
        <f>""</f>
        <v/>
      </c>
    </row>
    <row r="402" spans="1:97" x14ac:dyDescent="0.25">
      <c r="A402" t="s">
        <v>2184</v>
      </c>
      <c r="B402" t="s">
        <v>2800</v>
      </c>
      <c r="E402" t="s">
        <v>2801</v>
      </c>
      <c r="F402" t="s">
        <v>108</v>
      </c>
      <c r="H402" t="s">
        <v>2802</v>
      </c>
      <c r="I402" t="s">
        <v>203</v>
      </c>
      <c r="J402" t="s">
        <v>111</v>
      </c>
      <c r="K402" t="str">
        <f>"85298"</f>
        <v>85298</v>
      </c>
      <c r="L402" t="s">
        <v>269</v>
      </c>
      <c r="M402" t="s">
        <v>2802</v>
      </c>
      <c r="N402" t="s">
        <v>203</v>
      </c>
      <c r="O402" t="s">
        <v>111</v>
      </c>
      <c r="P402" t="str">
        <f>"85298"</f>
        <v>85298</v>
      </c>
      <c r="Q402" t="s">
        <v>113</v>
      </c>
      <c r="R402" t="str">
        <f>"313-19-172"</f>
        <v>313-19-172</v>
      </c>
      <c r="S402" t="s">
        <v>2803</v>
      </c>
      <c r="T402" t="s">
        <v>271</v>
      </c>
      <c r="U402">
        <v>2873</v>
      </c>
      <c r="W402">
        <v>3</v>
      </c>
      <c r="X402">
        <v>2015</v>
      </c>
      <c r="Z402">
        <v>2</v>
      </c>
      <c r="AC402" t="s">
        <v>115</v>
      </c>
      <c r="AD402">
        <v>3</v>
      </c>
      <c r="AE402" t="s">
        <v>115</v>
      </c>
      <c r="AH402" t="s">
        <v>116</v>
      </c>
      <c r="AI402" s="1">
        <v>94039</v>
      </c>
      <c r="AJ402" s="2">
        <v>0.23</v>
      </c>
      <c r="AK402" s="1">
        <v>414999</v>
      </c>
      <c r="AL402" t="s">
        <v>117</v>
      </c>
      <c r="AM402" t="s">
        <v>191</v>
      </c>
      <c r="AN402">
        <v>5750</v>
      </c>
      <c r="AO402">
        <v>0.13</v>
      </c>
      <c r="AR402">
        <v>1</v>
      </c>
      <c r="AS402" s="1">
        <v>28910</v>
      </c>
      <c r="AT402" s="1">
        <v>5780</v>
      </c>
      <c r="AU402" s="1">
        <v>23130</v>
      </c>
      <c r="AV402">
        <v>80.010000000000005</v>
      </c>
      <c r="AX402" s="1">
        <v>2175.38</v>
      </c>
      <c r="AY402" t="s">
        <v>272</v>
      </c>
      <c r="AZ402" t="s">
        <v>273</v>
      </c>
      <c r="BA402" t="s">
        <v>274</v>
      </c>
      <c r="BE402" s="3">
        <v>42369</v>
      </c>
      <c r="BF402" s="1">
        <v>311894</v>
      </c>
      <c r="BG402" t="s">
        <v>275</v>
      </c>
      <c r="BH402" s="1">
        <v>108.56</v>
      </c>
      <c r="BI402" s="1">
        <v>320960</v>
      </c>
      <c r="BJ402" s="3">
        <v>42475</v>
      </c>
      <c r="BK402" t="s">
        <v>123</v>
      </c>
      <c r="BL402" t="str">
        <f>"2016.249847"</f>
        <v>2016.249847</v>
      </c>
      <c r="BM402" t="s">
        <v>724</v>
      </c>
      <c r="BO402" t="s">
        <v>2804</v>
      </c>
      <c r="BS402">
        <v>30</v>
      </c>
      <c r="BW402" t="str">
        <f>""</f>
        <v/>
      </c>
      <c r="CH402" t="str">
        <f>""</f>
        <v/>
      </c>
      <c r="CS402" t="str">
        <f>""</f>
        <v/>
      </c>
    </row>
    <row r="403" spans="1:97" x14ac:dyDescent="0.25">
      <c r="A403" t="s">
        <v>2104</v>
      </c>
      <c r="B403" t="s">
        <v>2805</v>
      </c>
      <c r="C403" t="s">
        <v>2806</v>
      </c>
      <c r="D403" t="s">
        <v>2805</v>
      </c>
      <c r="E403" t="s">
        <v>2807</v>
      </c>
      <c r="F403" t="s">
        <v>108</v>
      </c>
      <c r="H403" t="s">
        <v>2808</v>
      </c>
      <c r="I403" t="s">
        <v>203</v>
      </c>
      <c r="J403" t="s">
        <v>111</v>
      </c>
      <c r="K403" t="str">
        <f>"85298"</f>
        <v>85298</v>
      </c>
      <c r="L403" t="s">
        <v>269</v>
      </c>
      <c r="M403" t="s">
        <v>2808</v>
      </c>
      <c r="N403" t="s">
        <v>203</v>
      </c>
      <c r="O403" t="s">
        <v>111</v>
      </c>
      <c r="P403" t="str">
        <f>"85298-9770"</f>
        <v>85298-9770</v>
      </c>
      <c r="Q403" t="s">
        <v>113</v>
      </c>
      <c r="R403" t="str">
        <f>"313-19-018"</f>
        <v>313-19-018</v>
      </c>
      <c r="S403" t="s">
        <v>2803</v>
      </c>
      <c r="T403" t="s">
        <v>271</v>
      </c>
      <c r="U403">
        <v>1759</v>
      </c>
      <c r="W403">
        <v>2</v>
      </c>
      <c r="X403">
        <v>2015</v>
      </c>
      <c r="Z403">
        <v>1</v>
      </c>
      <c r="AC403" t="s">
        <v>115</v>
      </c>
      <c r="AD403">
        <v>2</v>
      </c>
      <c r="AE403" t="s">
        <v>115</v>
      </c>
      <c r="AH403" t="s">
        <v>116</v>
      </c>
      <c r="AI403" s="1">
        <v>16124</v>
      </c>
      <c r="AJ403" s="2">
        <v>0.05</v>
      </c>
      <c r="AK403" s="1">
        <v>341519</v>
      </c>
      <c r="AL403" t="s">
        <v>117</v>
      </c>
      <c r="AM403" t="s">
        <v>191</v>
      </c>
      <c r="AN403">
        <v>5854</v>
      </c>
      <c r="AO403">
        <v>0.13</v>
      </c>
      <c r="AR403">
        <v>1</v>
      </c>
      <c r="AS403" s="1">
        <v>23600</v>
      </c>
      <c r="AT403" s="1">
        <v>4720</v>
      </c>
      <c r="AU403" s="1">
        <v>18880</v>
      </c>
      <c r="AV403">
        <v>80</v>
      </c>
      <c r="AX403" s="1">
        <v>1763.32</v>
      </c>
      <c r="AY403" t="s">
        <v>272</v>
      </c>
      <c r="AZ403" t="s">
        <v>273</v>
      </c>
      <c r="BA403" t="s">
        <v>274</v>
      </c>
      <c r="BE403" s="3">
        <v>42248</v>
      </c>
      <c r="BF403" s="1">
        <v>257990</v>
      </c>
      <c r="BG403" t="s">
        <v>275</v>
      </c>
      <c r="BH403" s="1">
        <v>146.66999999999999</v>
      </c>
      <c r="BI403" s="1">
        <v>325395</v>
      </c>
      <c r="BJ403" s="3">
        <v>43608</v>
      </c>
      <c r="BK403" t="s">
        <v>123</v>
      </c>
      <c r="BL403" t="str">
        <f>"2019.378203"</f>
        <v>2019.378203</v>
      </c>
      <c r="BM403" t="s">
        <v>533</v>
      </c>
      <c r="BN403" t="s">
        <v>534</v>
      </c>
      <c r="BO403" t="s">
        <v>2809</v>
      </c>
      <c r="BP403" t="s">
        <v>2810</v>
      </c>
      <c r="BR403" t="s">
        <v>139</v>
      </c>
      <c r="BW403" t="str">
        <f>""</f>
        <v/>
      </c>
      <c r="CH403" t="str">
        <f>""</f>
        <v/>
      </c>
      <c r="CS403" t="str">
        <f>""</f>
        <v/>
      </c>
    </row>
    <row r="404" spans="1:97" x14ac:dyDescent="0.25">
      <c r="A404" t="s">
        <v>2811</v>
      </c>
      <c r="B404" t="s">
        <v>2812</v>
      </c>
      <c r="C404" t="s">
        <v>179</v>
      </c>
      <c r="D404" t="s">
        <v>2812</v>
      </c>
      <c r="E404" t="s">
        <v>2813</v>
      </c>
      <c r="F404" t="s">
        <v>108</v>
      </c>
      <c r="H404" t="s">
        <v>2814</v>
      </c>
      <c r="I404" t="s">
        <v>499</v>
      </c>
      <c r="J404" t="s">
        <v>111</v>
      </c>
      <c r="K404" t="str">
        <f>"85338"</f>
        <v>85338</v>
      </c>
      <c r="L404" t="s">
        <v>2765</v>
      </c>
      <c r="M404" t="s">
        <v>2814</v>
      </c>
      <c r="N404" t="s">
        <v>499</v>
      </c>
      <c r="O404" t="s">
        <v>111</v>
      </c>
      <c r="P404" t="str">
        <f>"85338-7821"</f>
        <v>85338-7821</v>
      </c>
      <c r="Q404" t="s">
        <v>113</v>
      </c>
      <c r="R404" t="str">
        <f>"502-48-080"</f>
        <v>502-48-080</v>
      </c>
      <c r="S404" t="s">
        <v>2766</v>
      </c>
      <c r="U404">
        <v>3539</v>
      </c>
      <c r="W404">
        <v>5</v>
      </c>
      <c r="X404">
        <v>2015</v>
      </c>
      <c r="Z404">
        <v>2</v>
      </c>
      <c r="AC404" t="s">
        <v>115</v>
      </c>
      <c r="AD404">
        <v>3</v>
      </c>
      <c r="AE404" t="s">
        <v>115</v>
      </c>
      <c r="AH404" t="s">
        <v>116</v>
      </c>
      <c r="AI404" s="1">
        <v>105291</v>
      </c>
      <c r="AJ404" s="2">
        <v>0.28000000000000003</v>
      </c>
      <c r="AK404" s="1">
        <v>376966</v>
      </c>
      <c r="AL404" t="s">
        <v>117</v>
      </c>
      <c r="AM404" t="s">
        <v>118</v>
      </c>
      <c r="AN404">
        <v>6410</v>
      </c>
      <c r="AO404">
        <v>0.15</v>
      </c>
      <c r="AR404">
        <v>1</v>
      </c>
      <c r="AS404" s="1">
        <v>26870</v>
      </c>
      <c r="AT404" s="1">
        <v>5370</v>
      </c>
      <c r="AU404" s="1">
        <v>21500</v>
      </c>
      <c r="AV404">
        <v>80.010000000000005</v>
      </c>
      <c r="AX404" s="1">
        <v>2224.66</v>
      </c>
      <c r="AY404" t="s">
        <v>2767</v>
      </c>
      <c r="AZ404" t="s">
        <v>2767</v>
      </c>
      <c r="BA404" t="s">
        <v>1247</v>
      </c>
      <c r="BE404" s="3">
        <v>42191</v>
      </c>
      <c r="BF404" s="1">
        <v>288278</v>
      </c>
      <c r="BG404" t="s">
        <v>275</v>
      </c>
      <c r="BH404" s="1">
        <v>81.459999999999994</v>
      </c>
      <c r="BI404" s="1">
        <v>271675</v>
      </c>
      <c r="BJ404" s="3">
        <v>42565</v>
      </c>
      <c r="BK404" t="s">
        <v>123</v>
      </c>
      <c r="BL404" t="str">
        <f>"2016.494576"</f>
        <v>2016.494576</v>
      </c>
      <c r="BM404" t="s">
        <v>248</v>
      </c>
      <c r="BO404" t="s">
        <v>2815</v>
      </c>
      <c r="BS404">
        <v>30</v>
      </c>
      <c r="BW404" t="str">
        <f>""</f>
        <v/>
      </c>
      <c r="CH404" t="str">
        <f>""</f>
        <v/>
      </c>
      <c r="CS404" t="str">
        <f>""</f>
        <v/>
      </c>
    </row>
    <row r="405" spans="1:97" x14ac:dyDescent="0.25">
      <c r="A405" t="s">
        <v>1465</v>
      </c>
      <c r="B405" t="s">
        <v>2816</v>
      </c>
      <c r="C405" t="s">
        <v>2817</v>
      </c>
      <c r="D405" t="s">
        <v>2816</v>
      </c>
      <c r="E405" t="s">
        <v>2818</v>
      </c>
      <c r="F405" t="s">
        <v>108</v>
      </c>
      <c r="H405" t="s">
        <v>2819</v>
      </c>
      <c r="I405" t="s">
        <v>144</v>
      </c>
      <c r="J405" t="s">
        <v>111</v>
      </c>
      <c r="K405" t="str">
        <f>"85396"</f>
        <v>85396</v>
      </c>
      <c r="L405" t="s">
        <v>2820</v>
      </c>
      <c r="M405" t="s">
        <v>2819</v>
      </c>
      <c r="N405" t="s">
        <v>144</v>
      </c>
      <c r="O405" t="s">
        <v>111</v>
      </c>
      <c r="P405" t="str">
        <f>"85396-1811"</f>
        <v>85396-1811</v>
      </c>
      <c r="Q405" t="s">
        <v>113</v>
      </c>
      <c r="R405" t="str">
        <f>"502-86-216"</f>
        <v>502-86-216</v>
      </c>
      <c r="S405" t="s">
        <v>2821</v>
      </c>
      <c r="U405">
        <v>2999</v>
      </c>
      <c r="W405">
        <v>4</v>
      </c>
      <c r="X405">
        <v>2015</v>
      </c>
      <c r="Z405">
        <v>1</v>
      </c>
      <c r="AC405" t="s">
        <v>115</v>
      </c>
      <c r="AD405">
        <v>3</v>
      </c>
      <c r="AE405" t="s">
        <v>115</v>
      </c>
      <c r="AH405" t="s">
        <v>116</v>
      </c>
      <c r="AI405" s="1">
        <v>11112</v>
      </c>
      <c r="AJ405" s="2">
        <v>0.03</v>
      </c>
      <c r="AK405" s="1">
        <v>422387</v>
      </c>
      <c r="AL405" t="s">
        <v>117</v>
      </c>
      <c r="AM405" t="s">
        <v>118</v>
      </c>
      <c r="AN405">
        <v>10273</v>
      </c>
      <c r="AO405">
        <v>0.24</v>
      </c>
      <c r="AR405">
        <v>1</v>
      </c>
      <c r="AS405" s="1">
        <v>30670</v>
      </c>
      <c r="AT405" s="1">
        <v>6130</v>
      </c>
      <c r="AU405" s="1">
        <v>24540</v>
      </c>
      <c r="AV405">
        <v>80.010000000000005</v>
      </c>
      <c r="AX405" s="1">
        <v>4305.22</v>
      </c>
      <c r="AY405" t="s">
        <v>217</v>
      </c>
      <c r="AZ405" t="s">
        <v>217</v>
      </c>
      <c r="BA405" t="s">
        <v>218</v>
      </c>
      <c r="BE405" s="3">
        <v>42247</v>
      </c>
      <c r="BF405" s="1">
        <v>402619</v>
      </c>
      <c r="BG405" t="s">
        <v>562</v>
      </c>
      <c r="BH405" s="1">
        <v>134.25</v>
      </c>
      <c r="BI405" s="1">
        <v>411275</v>
      </c>
      <c r="BJ405" s="3">
        <v>42247</v>
      </c>
      <c r="BK405" t="s">
        <v>123</v>
      </c>
      <c r="BL405" t="str">
        <f>"2015.632299"</f>
        <v>2015.632299</v>
      </c>
      <c r="BM405" t="s">
        <v>175</v>
      </c>
      <c r="BO405" t="s">
        <v>2822</v>
      </c>
      <c r="BS405">
        <v>30</v>
      </c>
      <c r="BW405" t="str">
        <f>""</f>
        <v/>
      </c>
      <c r="CH405" t="str">
        <f>""</f>
        <v/>
      </c>
      <c r="CS405" t="str">
        <f>""</f>
        <v/>
      </c>
    </row>
    <row r="406" spans="1:97" x14ac:dyDescent="0.25">
      <c r="A406" t="s">
        <v>370</v>
      </c>
      <c r="B406" t="s">
        <v>2823</v>
      </c>
      <c r="C406" t="s">
        <v>2824</v>
      </c>
      <c r="D406" t="s">
        <v>2823</v>
      </c>
      <c r="E406" t="s">
        <v>2825</v>
      </c>
      <c r="F406" t="s">
        <v>108</v>
      </c>
      <c r="H406" t="s">
        <v>2826</v>
      </c>
      <c r="I406" t="s">
        <v>499</v>
      </c>
      <c r="J406" t="s">
        <v>111</v>
      </c>
      <c r="K406" t="str">
        <f>"85338"</f>
        <v>85338</v>
      </c>
      <c r="L406" t="s">
        <v>1244</v>
      </c>
      <c r="M406" t="s">
        <v>2826</v>
      </c>
      <c r="N406" t="s">
        <v>499</v>
      </c>
      <c r="O406" t="s">
        <v>111</v>
      </c>
      <c r="P406" t="str">
        <f>"85338-7876"</f>
        <v>85338-7876</v>
      </c>
      <c r="Q406" t="s">
        <v>113</v>
      </c>
      <c r="R406" t="str">
        <f>"400-83-734"</f>
        <v>400-83-734</v>
      </c>
      <c r="S406" t="s">
        <v>2796</v>
      </c>
      <c r="U406">
        <v>2904</v>
      </c>
      <c r="W406">
        <v>4</v>
      </c>
      <c r="X406">
        <v>2015</v>
      </c>
      <c r="Z406">
        <v>2</v>
      </c>
      <c r="AC406" t="s">
        <v>115</v>
      </c>
      <c r="AD406">
        <v>3</v>
      </c>
      <c r="AE406" t="s">
        <v>115</v>
      </c>
      <c r="AH406" t="s">
        <v>116</v>
      </c>
      <c r="AI406" s="1">
        <v>130306</v>
      </c>
      <c r="AJ406" s="2">
        <v>0.31</v>
      </c>
      <c r="AK406" s="1">
        <v>416306</v>
      </c>
      <c r="AL406" t="s">
        <v>117</v>
      </c>
      <c r="AM406" t="s">
        <v>118</v>
      </c>
      <c r="AN406">
        <v>6447</v>
      </c>
      <c r="AO406">
        <v>0.15</v>
      </c>
      <c r="AR406">
        <v>1</v>
      </c>
      <c r="AS406" s="1">
        <v>31120</v>
      </c>
      <c r="AT406" s="1">
        <v>6220</v>
      </c>
      <c r="AU406" s="1">
        <v>24900</v>
      </c>
      <c r="AV406">
        <v>80.010000000000005</v>
      </c>
      <c r="AX406" s="1">
        <v>3799.46</v>
      </c>
      <c r="AY406" t="s">
        <v>1246</v>
      </c>
      <c r="AZ406" t="s">
        <v>1246</v>
      </c>
      <c r="BA406" t="s">
        <v>1247</v>
      </c>
      <c r="BE406" s="3">
        <v>42185</v>
      </c>
      <c r="BF406" s="1">
        <v>361386</v>
      </c>
      <c r="BG406" t="s">
        <v>2797</v>
      </c>
      <c r="BH406" s="1">
        <v>124.44</v>
      </c>
      <c r="BI406" s="1">
        <v>286000</v>
      </c>
      <c r="BJ406" s="3">
        <v>42689</v>
      </c>
      <c r="BK406" t="s">
        <v>123</v>
      </c>
      <c r="BL406" t="str">
        <f>"2016.839909"</f>
        <v>2016.839909</v>
      </c>
      <c r="BM406" t="s">
        <v>948</v>
      </c>
      <c r="BO406" t="s">
        <v>2827</v>
      </c>
      <c r="BS406">
        <v>30</v>
      </c>
      <c r="BW406" t="str">
        <f>""</f>
        <v/>
      </c>
      <c r="CH406" t="str">
        <f>""</f>
        <v/>
      </c>
      <c r="CS406" t="str">
        <f>""</f>
        <v/>
      </c>
    </row>
    <row r="407" spans="1:97" x14ac:dyDescent="0.25">
      <c r="A407" t="s">
        <v>2828</v>
      </c>
      <c r="B407" t="s">
        <v>2829</v>
      </c>
      <c r="C407" t="s">
        <v>2830</v>
      </c>
      <c r="D407" t="s">
        <v>2829</v>
      </c>
      <c r="E407" t="s">
        <v>2831</v>
      </c>
      <c r="F407" t="s">
        <v>108</v>
      </c>
      <c r="H407" t="s">
        <v>2832</v>
      </c>
      <c r="I407" t="s">
        <v>390</v>
      </c>
      <c r="J407" t="s">
        <v>111</v>
      </c>
      <c r="K407" t="str">
        <f>"85022"</f>
        <v>85022</v>
      </c>
      <c r="L407" t="s">
        <v>2547</v>
      </c>
      <c r="M407" t="s">
        <v>2832</v>
      </c>
      <c r="N407" t="s">
        <v>390</v>
      </c>
      <c r="O407" t="s">
        <v>111</v>
      </c>
      <c r="P407" t="str">
        <f>"85022-2282"</f>
        <v>85022-2282</v>
      </c>
      <c r="Q407" t="s">
        <v>113</v>
      </c>
      <c r="R407" t="str">
        <f>"214-08-703"</f>
        <v>214-08-703</v>
      </c>
      <c r="S407" t="s">
        <v>2833</v>
      </c>
      <c r="U407">
        <v>2223</v>
      </c>
      <c r="W407">
        <v>4</v>
      </c>
      <c r="X407">
        <v>2016</v>
      </c>
      <c r="Z407">
        <v>2</v>
      </c>
      <c r="AC407" t="s">
        <v>115</v>
      </c>
      <c r="AD407">
        <v>2</v>
      </c>
      <c r="AE407" t="s">
        <v>115</v>
      </c>
      <c r="AH407" t="s">
        <v>116</v>
      </c>
      <c r="AI407" s="1">
        <v>81762</v>
      </c>
      <c r="AJ407" s="2">
        <v>0.23</v>
      </c>
      <c r="AK407" s="1">
        <v>354062</v>
      </c>
      <c r="AL407" t="s">
        <v>117</v>
      </c>
      <c r="AM407" t="s">
        <v>191</v>
      </c>
      <c r="AN407">
        <v>8384</v>
      </c>
      <c r="AO407">
        <v>0.19</v>
      </c>
      <c r="AR407">
        <v>1</v>
      </c>
      <c r="AS407" s="1">
        <v>25360</v>
      </c>
      <c r="AT407" s="1">
        <v>5070</v>
      </c>
      <c r="AU407" s="1">
        <v>20290</v>
      </c>
      <c r="AV407">
        <v>80.010000000000005</v>
      </c>
      <c r="AX407" s="1">
        <v>1940.8</v>
      </c>
      <c r="AY407" t="s">
        <v>2549</v>
      </c>
      <c r="AZ407" t="s">
        <v>2550</v>
      </c>
      <c r="BA407" t="s">
        <v>2551</v>
      </c>
      <c r="BE407" s="3">
        <v>42501</v>
      </c>
      <c r="BF407" s="1">
        <v>289905</v>
      </c>
      <c r="BG407" t="s">
        <v>2834</v>
      </c>
      <c r="BH407" s="1">
        <v>130.41</v>
      </c>
      <c r="BI407" s="1">
        <v>272300</v>
      </c>
      <c r="BJ407" s="3">
        <v>43578</v>
      </c>
      <c r="BK407" t="s">
        <v>123</v>
      </c>
      <c r="BL407" t="str">
        <f>"2019.284275"</f>
        <v>2019.284275</v>
      </c>
      <c r="BM407" t="s">
        <v>361</v>
      </c>
      <c r="BN407" t="s">
        <v>884</v>
      </c>
      <c r="BO407" t="s">
        <v>2835</v>
      </c>
      <c r="BP407" t="s">
        <v>2836</v>
      </c>
      <c r="BR407" t="s">
        <v>139</v>
      </c>
      <c r="BW407" t="str">
        <f>""</f>
        <v/>
      </c>
      <c r="CH407" t="str">
        <f>""</f>
        <v/>
      </c>
      <c r="CS407" t="str">
        <f>""</f>
        <v/>
      </c>
    </row>
    <row r="408" spans="1:97" x14ac:dyDescent="0.25">
      <c r="A408" t="s">
        <v>305</v>
      </c>
      <c r="B408" t="s">
        <v>1438</v>
      </c>
      <c r="C408" t="s">
        <v>2837</v>
      </c>
      <c r="D408" t="s">
        <v>1438</v>
      </c>
      <c r="E408" t="s">
        <v>2838</v>
      </c>
      <c r="F408" t="s">
        <v>108</v>
      </c>
      <c r="H408" t="s">
        <v>2839</v>
      </c>
      <c r="I408" t="s">
        <v>188</v>
      </c>
      <c r="J408" t="s">
        <v>111</v>
      </c>
      <c r="K408" t="str">
        <f>"85142"</f>
        <v>85142</v>
      </c>
      <c r="L408" t="s">
        <v>625</v>
      </c>
      <c r="M408" t="s">
        <v>2839</v>
      </c>
      <c r="N408" t="s">
        <v>188</v>
      </c>
      <c r="O408" t="s">
        <v>111</v>
      </c>
      <c r="P408" t="str">
        <f>"85142-9191"</f>
        <v>85142-9191</v>
      </c>
      <c r="Q408" t="s">
        <v>113</v>
      </c>
      <c r="R408" t="str">
        <f>"312-07-226"</f>
        <v>312-07-226</v>
      </c>
      <c r="S408" t="s">
        <v>2840</v>
      </c>
      <c r="T408" t="s">
        <v>2841</v>
      </c>
      <c r="U408">
        <v>2308</v>
      </c>
      <c r="W408">
        <v>4</v>
      </c>
      <c r="X408">
        <v>2015</v>
      </c>
      <c r="Z408">
        <v>1</v>
      </c>
      <c r="AC408" t="s">
        <v>115</v>
      </c>
      <c r="AD408">
        <v>2</v>
      </c>
      <c r="AE408" t="s">
        <v>115</v>
      </c>
      <c r="AH408" t="s">
        <v>116</v>
      </c>
      <c r="AI408" s="1">
        <v>72420</v>
      </c>
      <c r="AJ408" s="2">
        <v>0.22</v>
      </c>
      <c r="AK408" s="1">
        <v>333634</v>
      </c>
      <c r="AL408" t="s">
        <v>117</v>
      </c>
      <c r="AM408" t="s">
        <v>118</v>
      </c>
      <c r="AN408">
        <v>5500</v>
      </c>
      <c r="AO408">
        <v>0.13</v>
      </c>
      <c r="AR408">
        <v>1</v>
      </c>
      <c r="AS408" s="1">
        <v>23300</v>
      </c>
      <c r="AT408" s="1">
        <v>4660</v>
      </c>
      <c r="AU408" s="1">
        <v>18640</v>
      </c>
      <c r="AV408">
        <v>80</v>
      </c>
      <c r="AX408" s="1">
        <v>2296.58</v>
      </c>
      <c r="AY408" t="s">
        <v>560</v>
      </c>
      <c r="AZ408" t="s">
        <v>561</v>
      </c>
      <c r="BA408" t="s">
        <v>194</v>
      </c>
      <c r="BE408" s="3">
        <v>42426</v>
      </c>
      <c r="BF408" s="1">
        <v>252870</v>
      </c>
      <c r="BG408" t="s">
        <v>2842</v>
      </c>
      <c r="BH408" s="1">
        <v>109.56</v>
      </c>
      <c r="BI408" s="1">
        <v>261214</v>
      </c>
      <c r="BJ408" s="3">
        <v>42426</v>
      </c>
      <c r="BK408" t="s">
        <v>123</v>
      </c>
      <c r="BL408" t="str">
        <f>"2016.121952"</f>
        <v>2016.121952</v>
      </c>
      <c r="BM408" t="s">
        <v>820</v>
      </c>
      <c r="BO408" t="s">
        <v>2843</v>
      </c>
      <c r="BS408">
        <v>30</v>
      </c>
      <c r="BW408" t="str">
        <f>""</f>
        <v/>
      </c>
      <c r="CH408" t="str">
        <f>""</f>
        <v/>
      </c>
      <c r="CS408" t="str">
        <f>""</f>
        <v/>
      </c>
    </row>
    <row r="409" spans="1:97" x14ac:dyDescent="0.25">
      <c r="A409" t="s">
        <v>2255</v>
      </c>
      <c r="B409" t="s">
        <v>641</v>
      </c>
      <c r="C409" t="s">
        <v>2844</v>
      </c>
      <c r="D409" t="s">
        <v>641</v>
      </c>
      <c r="E409" t="s">
        <v>2845</v>
      </c>
      <c r="F409" t="s">
        <v>108</v>
      </c>
      <c r="H409" t="s">
        <v>2846</v>
      </c>
      <c r="I409" t="s">
        <v>499</v>
      </c>
      <c r="J409" t="s">
        <v>111</v>
      </c>
      <c r="K409" t="str">
        <f>"85338"</f>
        <v>85338</v>
      </c>
      <c r="L409" t="s">
        <v>2765</v>
      </c>
      <c r="M409" t="s">
        <v>2846</v>
      </c>
      <c r="N409" t="s">
        <v>499</v>
      </c>
      <c r="O409" t="s">
        <v>111</v>
      </c>
      <c r="P409" t="str">
        <f>"85338-7833"</f>
        <v>85338-7833</v>
      </c>
      <c r="Q409" t="s">
        <v>113</v>
      </c>
      <c r="R409" t="str">
        <f>"502-48-023"</f>
        <v>502-48-023</v>
      </c>
      <c r="S409" t="s">
        <v>2766</v>
      </c>
      <c r="U409">
        <v>1971</v>
      </c>
      <c r="W409">
        <v>4</v>
      </c>
      <c r="X409">
        <v>2015</v>
      </c>
      <c r="Z409">
        <v>1</v>
      </c>
      <c r="AC409" t="s">
        <v>115</v>
      </c>
      <c r="AD409">
        <v>3</v>
      </c>
      <c r="AE409" t="s">
        <v>115</v>
      </c>
      <c r="AH409" t="s">
        <v>116</v>
      </c>
      <c r="AI409" s="1">
        <v>63430</v>
      </c>
      <c r="AJ409" s="2">
        <v>0.21</v>
      </c>
      <c r="AK409" s="1">
        <v>297897</v>
      </c>
      <c r="AL409" t="s">
        <v>117</v>
      </c>
      <c r="AM409" t="s">
        <v>118</v>
      </c>
      <c r="AN409">
        <v>7004</v>
      </c>
      <c r="AO409">
        <v>0.16</v>
      </c>
      <c r="AR409">
        <v>1</v>
      </c>
      <c r="AS409" s="1">
        <v>22380</v>
      </c>
      <c r="AT409" s="1">
        <v>4470</v>
      </c>
      <c r="AU409" s="1">
        <v>17910</v>
      </c>
      <c r="AV409">
        <v>80.03</v>
      </c>
      <c r="AX409" s="1">
        <v>1692.3</v>
      </c>
      <c r="AY409" t="s">
        <v>2767</v>
      </c>
      <c r="AZ409" t="s">
        <v>2767</v>
      </c>
      <c r="BA409" t="s">
        <v>1247</v>
      </c>
      <c r="BE409" s="3">
        <v>42429</v>
      </c>
      <c r="BF409" s="1">
        <v>234467</v>
      </c>
      <c r="BG409" t="s">
        <v>275</v>
      </c>
      <c r="BH409" s="1">
        <v>118.96</v>
      </c>
      <c r="BI409" s="1">
        <v>234467</v>
      </c>
      <c r="BJ409" s="3">
        <v>42429</v>
      </c>
      <c r="BK409" t="s">
        <v>123</v>
      </c>
      <c r="BL409" t="str">
        <f>"2016.129670"</f>
        <v>2016.129670</v>
      </c>
      <c r="BM409" t="s">
        <v>651</v>
      </c>
      <c r="BO409" t="s">
        <v>2847</v>
      </c>
      <c r="BS409">
        <v>30</v>
      </c>
      <c r="BW409" t="str">
        <f>""</f>
        <v/>
      </c>
      <c r="CH409" t="str">
        <f>""</f>
        <v/>
      </c>
      <c r="CS409" t="str">
        <f>""</f>
        <v/>
      </c>
    </row>
    <row r="410" spans="1:97" x14ac:dyDescent="0.25">
      <c r="A410" t="s">
        <v>2848</v>
      </c>
      <c r="B410" t="s">
        <v>1704</v>
      </c>
      <c r="C410" t="s">
        <v>713</v>
      </c>
      <c r="D410" t="s">
        <v>1704</v>
      </c>
      <c r="E410" t="s">
        <v>2849</v>
      </c>
      <c r="F410" t="s">
        <v>108</v>
      </c>
      <c r="H410" t="s">
        <v>2850</v>
      </c>
      <c r="I410" t="s">
        <v>203</v>
      </c>
      <c r="J410" t="s">
        <v>111</v>
      </c>
      <c r="K410" t="str">
        <f>"85298"</f>
        <v>85298</v>
      </c>
      <c r="L410" t="s">
        <v>269</v>
      </c>
      <c r="M410" t="s">
        <v>2850</v>
      </c>
      <c r="N410" t="s">
        <v>203</v>
      </c>
      <c r="O410" t="s">
        <v>111</v>
      </c>
      <c r="P410" t="str">
        <f>"85298-9774"</f>
        <v>85298-9774</v>
      </c>
      <c r="Q410" t="s">
        <v>113</v>
      </c>
      <c r="R410" t="str">
        <f>"313-19-027"</f>
        <v>313-19-027</v>
      </c>
      <c r="S410" t="s">
        <v>2803</v>
      </c>
      <c r="T410" t="s">
        <v>271</v>
      </c>
      <c r="U410">
        <v>3176</v>
      </c>
      <c r="W410">
        <v>4</v>
      </c>
      <c r="X410">
        <v>2015</v>
      </c>
      <c r="Z410">
        <v>2</v>
      </c>
      <c r="AA410" t="s">
        <v>26</v>
      </c>
      <c r="AC410" t="s">
        <v>115</v>
      </c>
      <c r="AD410">
        <v>2</v>
      </c>
      <c r="AE410" t="s">
        <v>115</v>
      </c>
      <c r="AH410" t="s">
        <v>116</v>
      </c>
      <c r="AI410" s="1">
        <v>78039</v>
      </c>
      <c r="AJ410" s="2">
        <v>0.17</v>
      </c>
      <c r="AK410" s="1">
        <v>448261</v>
      </c>
      <c r="AL410" t="s">
        <v>117</v>
      </c>
      <c r="AM410" t="s">
        <v>191</v>
      </c>
      <c r="AN410">
        <v>5792</v>
      </c>
      <c r="AO410">
        <v>0.13</v>
      </c>
      <c r="AR410">
        <v>1</v>
      </c>
      <c r="AS410" s="1">
        <v>32300</v>
      </c>
      <c r="AT410" s="1">
        <v>6460</v>
      </c>
      <c r="AU410" s="1">
        <v>25840</v>
      </c>
      <c r="AV410">
        <v>80</v>
      </c>
      <c r="AX410" s="1">
        <v>2319.2199999999998</v>
      </c>
      <c r="AY410" t="s">
        <v>272</v>
      </c>
      <c r="AZ410" t="s">
        <v>273</v>
      </c>
      <c r="BA410" t="s">
        <v>274</v>
      </c>
      <c r="BE410" s="3">
        <v>42202</v>
      </c>
      <c r="BF410" s="1">
        <v>323189</v>
      </c>
      <c r="BG410" t="s">
        <v>275</v>
      </c>
      <c r="BH410" s="1">
        <v>101.76</v>
      </c>
      <c r="BI410" s="1">
        <v>333854</v>
      </c>
      <c r="BJ410" s="3">
        <v>42202</v>
      </c>
      <c r="BK410" t="s">
        <v>123</v>
      </c>
      <c r="BL410" t="str">
        <f>"2015.515639"</f>
        <v>2015.515639</v>
      </c>
      <c r="BM410" t="s">
        <v>651</v>
      </c>
      <c r="BO410" t="s">
        <v>2851</v>
      </c>
      <c r="BS410">
        <v>30</v>
      </c>
      <c r="BT410" s="1">
        <v>36368</v>
      </c>
      <c r="BU410" s="3">
        <v>42247</v>
      </c>
      <c r="BV410" t="s">
        <v>134</v>
      </c>
      <c r="BW410" t="str">
        <f>"2015.631072"</f>
        <v>2015.631072</v>
      </c>
      <c r="BX410" t="s">
        <v>198</v>
      </c>
      <c r="BZ410" t="s">
        <v>2851</v>
      </c>
      <c r="CD410">
        <v>15</v>
      </c>
      <c r="CH410" t="str">
        <f>""</f>
        <v/>
      </c>
      <c r="CS410" t="str">
        <f>""</f>
        <v/>
      </c>
    </row>
    <row r="411" spans="1:97" x14ac:dyDescent="0.25">
      <c r="A411" t="s">
        <v>2852</v>
      </c>
      <c r="B411" t="s">
        <v>2434</v>
      </c>
      <c r="C411" t="s">
        <v>2853</v>
      </c>
      <c r="D411" t="s">
        <v>2854</v>
      </c>
      <c r="E411" t="s">
        <v>2855</v>
      </c>
      <c r="F411" t="s">
        <v>108</v>
      </c>
      <c r="H411" t="s">
        <v>2856</v>
      </c>
      <c r="I411" t="s">
        <v>390</v>
      </c>
      <c r="J411" t="s">
        <v>111</v>
      </c>
      <c r="K411" t="str">
        <f>"85042"</f>
        <v>85042</v>
      </c>
      <c r="L411" t="s">
        <v>2857</v>
      </c>
      <c r="M411" t="s">
        <v>2856</v>
      </c>
      <c r="N411" t="s">
        <v>390</v>
      </c>
      <c r="O411" t="s">
        <v>111</v>
      </c>
      <c r="P411" t="str">
        <f>"85042-6654"</f>
        <v>85042-6654</v>
      </c>
      <c r="Q411" t="s">
        <v>113</v>
      </c>
      <c r="R411" t="str">
        <f>"300-19-090"</f>
        <v>300-19-090</v>
      </c>
      <c r="S411" t="s">
        <v>2858</v>
      </c>
      <c r="T411" t="s">
        <v>2858</v>
      </c>
      <c r="U411">
        <v>1734</v>
      </c>
      <c r="W411">
        <v>3</v>
      </c>
      <c r="X411">
        <v>2015</v>
      </c>
      <c r="Z411">
        <v>1</v>
      </c>
      <c r="AC411" t="s">
        <v>115</v>
      </c>
      <c r="AD411">
        <v>2</v>
      </c>
      <c r="AE411" t="s">
        <v>115</v>
      </c>
      <c r="AH411" t="s">
        <v>116</v>
      </c>
      <c r="AI411" s="1">
        <v>76840</v>
      </c>
      <c r="AJ411" s="2">
        <v>0.26</v>
      </c>
      <c r="AK411" s="1">
        <v>296840</v>
      </c>
      <c r="AL411" t="s">
        <v>117</v>
      </c>
      <c r="AM411" t="s">
        <v>1302</v>
      </c>
      <c r="AN411">
        <v>5112</v>
      </c>
      <c r="AO411">
        <v>0.12</v>
      </c>
      <c r="AR411">
        <v>1</v>
      </c>
      <c r="AS411" s="1">
        <v>22650</v>
      </c>
      <c r="AT411" s="1">
        <v>4530</v>
      </c>
      <c r="AU411" s="1">
        <v>18120</v>
      </c>
      <c r="AV411">
        <v>80</v>
      </c>
      <c r="AX411" s="1">
        <v>2742.9</v>
      </c>
      <c r="AY411" t="s">
        <v>2859</v>
      </c>
      <c r="AZ411" t="s">
        <v>2859</v>
      </c>
      <c r="BA411" t="s">
        <v>2860</v>
      </c>
      <c r="BE411" s="3">
        <v>42276</v>
      </c>
      <c r="BF411" s="1">
        <v>250385</v>
      </c>
      <c r="BG411" t="s">
        <v>617</v>
      </c>
      <c r="BH411" s="1">
        <v>144.4</v>
      </c>
      <c r="BI411" s="1">
        <v>220000</v>
      </c>
      <c r="BJ411" s="3">
        <v>42276</v>
      </c>
      <c r="BK411" t="s">
        <v>123</v>
      </c>
      <c r="BL411" t="str">
        <f>"2015.699290"</f>
        <v>2015.699290</v>
      </c>
      <c r="BM411" t="s">
        <v>618</v>
      </c>
      <c r="BO411" t="s">
        <v>2861</v>
      </c>
      <c r="BP411" t="s">
        <v>2862</v>
      </c>
      <c r="BS411">
        <v>30</v>
      </c>
      <c r="BW411" t="str">
        <f>""</f>
        <v/>
      </c>
      <c r="CH411" t="str">
        <f>""</f>
        <v/>
      </c>
      <c r="CS411" t="str">
        <f>""</f>
        <v/>
      </c>
    </row>
    <row r="412" spans="1:97" x14ac:dyDescent="0.25">
      <c r="A412" t="s">
        <v>2863</v>
      </c>
      <c r="B412" t="s">
        <v>2864</v>
      </c>
      <c r="C412" t="s">
        <v>513</v>
      </c>
      <c r="D412" t="s">
        <v>2864</v>
      </c>
      <c r="E412" t="s">
        <v>2865</v>
      </c>
      <c r="F412" t="s">
        <v>108</v>
      </c>
      <c r="H412" t="s">
        <v>2866</v>
      </c>
      <c r="I412" t="s">
        <v>144</v>
      </c>
      <c r="J412" t="s">
        <v>111</v>
      </c>
      <c r="K412" t="str">
        <f>"85396"</f>
        <v>85396</v>
      </c>
      <c r="L412" t="s">
        <v>215</v>
      </c>
      <c r="M412" t="s">
        <v>2866</v>
      </c>
      <c r="N412" t="s">
        <v>144</v>
      </c>
      <c r="O412" t="s">
        <v>111</v>
      </c>
      <c r="P412" t="str">
        <f>"85396"</f>
        <v>85396</v>
      </c>
      <c r="Q412" t="s">
        <v>113</v>
      </c>
      <c r="R412" t="str">
        <f>"502-82-277"</f>
        <v>502-82-277</v>
      </c>
      <c r="S412" t="s">
        <v>216</v>
      </c>
      <c r="U412">
        <v>1639</v>
      </c>
      <c r="W412">
        <v>3</v>
      </c>
      <c r="X412">
        <v>2016</v>
      </c>
      <c r="Z412">
        <v>1</v>
      </c>
      <c r="AC412" t="s">
        <v>115</v>
      </c>
      <c r="AD412">
        <v>2</v>
      </c>
      <c r="AE412" t="s">
        <v>115</v>
      </c>
      <c r="AH412" t="s">
        <v>116</v>
      </c>
      <c r="AI412" s="1">
        <v>21340</v>
      </c>
      <c r="AJ412" s="2">
        <v>0.08</v>
      </c>
      <c r="AK412" s="1">
        <v>270293</v>
      </c>
      <c r="AL412" t="s">
        <v>117</v>
      </c>
      <c r="AM412" t="s">
        <v>118</v>
      </c>
      <c r="AN412">
        <v>5400</v>
      </c>
      <c r="AO412">
        <v>0.12</v>
      </c>
      <c r="AR412">
        <v>1</v>
      </c>
      <c r="AS412" s="1">
        <v>18980</v>
      </c>
      <c r="AT412" s="1">
        <v>3790</v>
      </c>
      <c r="AU412" s="1">
        <v>15190</v>
      </c>
      <c r="AV412">
        <v>80.03</v>
      </c>
      <c r="AX412" s="1">
        <v>2324.7199999999998</v>
      </c>
      <c r="AY412" t="s">
        <v>217</v>
      </c>
      <c r="AZ412" t="s">
        <v>217</v>
      </c>
      <c r="BA412" t="s">
        <v>218</v>
      </c>
      <c r="BE412" s="3">
        <v>42447</v>
      </c>
      <c r="BF412" s="1">
        <v>241000</v>
      </c>
      <c r="BG412" t="s">
        <v>195</v>
      </c>
      <c r="BH412" s="1">
        <v>147.04</v>
      </c>
      <c r="BI412" s="1">
        <v>248953</v>
      </c>
      <c r="BJ412" s="3">
        <v>42447</v>
      </c>
      <c r="BK412" t="s">
        <v>123</v>
      </c>
      <c r="BL412" t="str">
        <f>"2016.176818"</f>
        <v>2016.176818</v>
      </c>
      <c r="BM412" t="s">
        <v>196</v>
      </c>
      <c r="BO412" t="s">
        <v>2867</v>
      </c>
      <c r="BS412">
        <v>30</v>
      </c>
      <c r="BW412" t="str">
        <f>""</f>
        <v/>
      </c>
      <c r="CH412" t="str">
        <f>""</f>
        <v/>
      </c>
      <c r="CS412" t="str">
        <f>""</f>
        <v/>
      </c>
    </row>
    <row r="413" spans="1:97" x14ac:dyDescent="0.25">
      <c r="A413" t="s">
        <v>1344</v>
      </c>
      <c r="B413" t="s">
        <v>2868</v>
      </c>
      <c r="E413" t="s">
        <v>2869</v>
      </c>
      <c r="F413" t="s">
        <v>108</v>
      </c>
      <c r="H413" t="s">
        <v>2870</v>
      </c>
      <c r="I413" t="s">
        <v>144</v>
      </c>
      <c r="J413" t="s">
        <v>111</v>
      </c>
      <c r="K413" t="str">
        <f>"85396"</f>
        <v>85396</v>
      </c>
      <c r="L413" t="s">
        <v>541</v>
      </c>
      <c r="M413" t="s">
        <v>2870</v>
      </c>
      <c r="N413" t="s">
        <v>144</v>
      </c>
      <c r="O413" t="s">
        <v>111</v>
      </c>
      <c r="P413" t="str">
        <f>"85396-7935"</f>
        <v>85396-7935</v>
      </c>
      <c r="Q413" t="s">
        <v>113</v>
      </c>
      <c r="R413" t="str">
        <f>"502-82-317"</f>
        <v>502-82-317</v>
      </c>
      <c r="S413" t="s">
        <v>1701</v>
      </c>
      <c r="U413">
        <v>1801</v>
      </c>
      <c r="W413">
        <v>3</v>
      </c>
      <c r="X413">
        <v>2015</v>
      </c>
      <c r="Z413">
        <v>1</v>
      </c>
      <c r="AC413" t="s">
        <v>115</v>
      </c>
      <c r="AD413">
        <v>2</v>
      </c>
      <c r="AE413" t="s">
        <v>115</v>
      </c>
      <c r="AH413" t="s">
        <v>116</v>
      </c>
      <c r="AI413" s="1">
        <v>70376</v>
      </c>
      <c r="AJ413" s="2">
        <v>0.22</v>
      </c>
      <c r="AK413" s="1">
        <v>318285</v>
      </c>
      <c r="AL413" t="s">
        <v>117</v>
      </c>
      <c r="AM413" t="s">
        <v>118</v>
      </c>
      <c r="AN413">
        <v>8293</v>
      </c>
      <c r="AO413">
        <v>0.19</v>
      </c>
      <c r="AR413">
        <v>1</v>
      </c>
      <c r="AS413" s="1">
        <v>21670</v>
      </c>
      <c r="AT413" s="1">
        <v>4330</v>
      </c>
      <c r="AU413" s="1">
        <v>17340</v>
      </c>
      <c r="AV413">
        <v>80.02</v>
      </c>
      <c r="AX413" s="1">
        <v>2956.92</v>
      </c>
      <c r="AY413" t="s">
        <v>543</v>
      </c>
      <c r="AZ413" t="s">
        <v>504</v>
      </c>
      <c r="BA413" t="s">
        <v>218</v>
      </c>
      <c r="BE413" s="3">
        <v>42333</v>
      </c>
      <c r="BF413" s="1">
        <v>239990</v>
      </c>
      <c r="BG413" t="s">
        <v>195</v>
      </c>
      <c r="BH413" s="1">
        <v>133.25</v>
      </c>
      <c r="BI413" s="1">
        <v>247909</v>
      </c>
      <c r="BJ413" s="3">
        <v>42333</v>
      </c>
      <c r="BK413" t="s">
        <v>123</v>
      </c>
      <c r="BL413" t="str">
        <f>"2015.843788"</f>
        <v>2015.843788</v>
      </c>
      <c r="BM413" t="s">
        <v>196</v>
      </c>
      <c r="BO413" t="s">
        <v>2871</v>
      </c>
      <c r="BS413">
        <v>30</v>
      </c>
      <c r="BW413" t="str">
        <f>""</f>
        <v/>
      </c>
      <c r="CH413" t="str">
        <f>""</f>
        <v/>
      </c>
      <c r="CS413" t="str">
        <f>""</f>
        <v/>
      </c>
    </row>
    <row r="414" spans="1:97" x14ac:dyDescent="0.25">
      <c r="A414" t="s">
        <v>1755</v>
      </c>
      <c r="B414" t="s">
        <v>1577</v>
      </c>
      <c r="E414" t="s">
        <v>2872</v>
      </c>
      <c r="F414" t="s">
        <v>108</v>
      </c>
      <c r="H414" t="s">
        <v>2873</v>
      </c>
      <c r="I414" t="s">
        <v>2874</v>
      </c>
      <c r="J414" t="s">
        <v>111</v>
      </c>
      <c r="K414" t="str">
        <f>"85303"</f>
        <v>85303</v>
      </c>
      <c r="L414" t="s">
        <v>2875</v>
      </c>
      <c r="M414" t="s">
        <v>2873</v>
      </c>
      <c r="N414" t="s">
        <v>2874</v>
      </c>
      <c r="O414" t="s">
        <v>111</v>
      </c>
      <c r="P414" t="str">
        <f>"85303-3243"</f>
        <v>85303-3243</v>
      </c>
      <c r="Q414" t="s">
        <v>113</v>
      </c>
      <c r="R414" t="str">
        <f>"102-05-453"</f>
        <v>102-05-453</v>
      </c>
      <c r="S414" t="s">
        <v>2876</v>
      </c>
      <c r="T414" t="s">
        <v>2876</v>
      </c>
      <c r="U414">
        <v>2035</v>
      </c>
      <c r="W414">
        <v>4</v>
      </c>
      <c r="X414">
        <v>2015</v>
      </c>
      <c r="Z414">
        <v>1</v>
      </c>
      <c r="AC414" t="s">
        <v>115</v>
      </c>
      <c r="AD414">
        <v>3</v>
      </c>
      <c r="AE414" t="s">
        <v>115</v>
      </c>
      <c r="AH414" t="s">
        <v>116</v>
      </c>
      <c r="AI414" s="1">
        <v>86520</v>
      </c>
      <c r="AJ414" s="2">
        <v>0.27</v>
      </c>
      <c r="AK414" s="1">
        <v>321520</v>
      </c>
      <c r="AL414" t="s">
        <v>117</v>
      </c>
      <c r="AM414" t="s">
        <v>393</v>
      </c>
      <c r="AN414">
        <v>7069</v>
      </c>
      <c r="AO414">
        <v>0.16</v>
      </c>
      <c r="AR414">
        <v>1</v>
      </c>
      <c r="AS414" s="1">
        <v>24570</v>
      </c>
      <c r="AT414" s="1">
        <v>4910</v>
      </c>
      <c r="AU414" s="1">
        <v>19660</v>
      </c>
      <c r="AV414">
        <v>80.02</v>
      </c>
      <c r="AX414" s="1">
        <v>1939.84</v>
      </c>
      <c r="AY414" t="s">
        <v>2877</v>
      </c>
      <c r="AZ414" t="s">
        <v>2877</v>
      </c>
      <c r="BA414" t="s">
        <v>2878</v>
      </c>
      <c r="BE414" s="3">
        <v>42201</v>
      </c>
      <c r="BF414" s="1">
        <v>283435</v>
      </c>
      <c r="BG414" t="s">
        <v>2879</v>
      </c>
      <c r="BH414" s="1">
        <v>139.28</v>
      </c>
      <c r="BI414" s="1">
        <v>235000</v>
      </c>
      <c r="BJ414" s="3">
        <v>42201</v>
      </c>
      <c r="BK414" t="s">
        <v>123</v>
      </c>
      <c r="BL414" t="str">
        <f>"2015.512760"</f>
        <v>2015.512760</v>
      </c>
      <c r="BM414" t="s">
        <v>135</v>
      </c>
      <c r="BO414" t="s">
        <v>2880</v>
      </c>
      <c r="BS414">
        <v>30</v>
      </c>
      <c r="BW414" t="str">
        <f>""</f>
        <v/>
      </c>
      <c r="CH414" t="str">
        <f>""</f>
        <v/>
      </c>
      <c r="CS414" t="str">
        <f>""</f>
        <v/>
      </c>
    </row>
    <row r="415" spans="1:97" x14ac:dyDescent="0.25">
      <c r="A415" t="s">
        <v>1119</v>
      </c>
      <c r="B415" t="s">
        <v>2077</v>
      </c>
      <c r="E415" t="s">
        <v>2881</v>
      </c>
      <c r="F415" t="s">
        <v>108</v>
      </c>
      <c r="H415" t="s">
        <v>2882</v>
      </c>
      <c r="I415" t="s">
        <v>225</v>
      </c>
      <c r="J415" t="s">
        <v>111</v>
      </c>
      <c r="K415" t="str">
        <f>"85212"</f>
        <v>85212</v>
      </c>
      <c r="L415" t="s">
        <v>774</v>
      </c>
      <c r="M415" t="s">
        <v>2882</v>
      </c>
      <c r="N415" t="s">
        <v>225</v>
      </c>
      <c r="O415" t="s">
        <v>111</v>
      </c>
      <c r="P415" t="str">
        <f>"85212-2272"</f>
        <v>85212-2272</v>
      </c>
      <c r="Q415" t="s">
        <v>113</v>
      </c>
      <c r="R415" t="str">
        <f>"304-16-720"</f>
        <v>304-16-720</v>
      </c>
      <c r="S415" t="s">
        <v>2883</v>
      </c>
      <c r="U415">
        <v>1861</v>
      </c>
      <c r="W415">
        <v>3</v>
      </c>
      <c r="X415">
        <v>2015</v>
      </c>
      <c r="Z415">
        <v>1</v>
      </c>
      <c r="AC415" t="s">
        <v>115</v>
      </c>
      <c r="AD415">
        <v>2</v>
      </c>
      <c r="AE415" t="s">
        <v>115</v>
      </c>
      <c r="AH415" t="s">
        <v>116</v>
      </c>
      <c r="AI415" s="1">
        <v>61966</v>
      </c>
      <c r="AJ415" s="2">
        <v>0.17</v>
      </c>
      <c r="AK415" s="1">
        <v>362942</v>
      </c>
      <c r="AL415" t="s">
        <v>117</v>
      </c>
      <c r="AM415" t="s">
        <v>191</v>
      </c>
      <c r="AN415">
        <v>7043</v>
      </c>
      <c r="AO415">
        <v>0.16</v>
      </c>
      <c r="AR415">
        <v>1</v>
      </c>
      <c r="AS415" s="1">
        <v>26770</v>
      </c>
      <c r="AT415" s="1">
        <v>5350</v>
      </c>
      <c r="AU415" s="1">
        <v>21420</v>
      </c>
      <c r="AV415">
        <v>80.010000000000005</v>
      </c>
      <c r="AX415" s="1">
        <v>1898.96</v>
      </c>
      <c r="AY415" t="s">
        <v>776</v>
      </c>
      <c r="AZ415" t="s">
        <v>777</v>
      </c>
      <c r="BA415" t="s">
        <v>572</v>
      </c>
      <c r="BE415" s="3">
        <v>42181</v>
      </c>
      <c r="BF415" s="1">
        <v>300976</v>
      </c>
      <c r="BG415" t="s">
        <v>2884</v>
      </c>
      <c r="BH415" s="1">
        <v>161.72999999999999</v>
      </c>
      <c r="BI415" s="1">
        <v>300976</v>
      </c>
      <c r="BJ415" s="3">
        <v>42181</v>
      </c>
      <c r="BK415" t="s">
        <v>123</v>
      </c>
      <c r="BL415" t="str">
        <f>"2015.457946"</f>
        <v>2015.457946</v>
      </c>
      <c r="BM415" t="s">
        <v>2885</v>
      </c>
      <c r="BO415" t="s">
        <v>2886</v>
      </c>
      <c r="BS415">
        <v>30</v>
      </c>
      <c r="BW415" t="str">
        <f>""</f>
        <v/>
      </c>
      <c r="CH415" t="str">
        <f>""</f>
        <v/>
      </c>
      <c r="CS415" t="str">
        <f>""</f>
        <v/>
      </c>
    </row>
    <row r="416" spans="1:97" x14ac:dyDescent="0.25">
      <c r="A416" t="s">
        <v>1465</v>
      </c>
      <c r="B416" t="s">
        <v>2887</v>
      </c>
      <c r="C416" t="s">
        <v>2888</v>
      </c>
      <c r="D416" t="s">
        <v>2887</v>
      </c>
      <c r="E416" t="s">
        <v>2889</v>
      </c>
      <c r="F416" t="s">
        <v>108</v>
      </c>
      <c r="H416" t="s">
        <v>2890</v>
      </c>
      <c r="I416" t="s">
        <v>144</v>
      </c>
      <c r="J416" t="s">
        <v>111</v>
      </c>
      <c r="K416" t="str">
        <f>"85396"</f>
        <v>85396</v>
      </c>
      <c r="L416" t="s">
        <v>2820</v>
      </c>
      <c r="M416" t="s">
        <v>2890</v>
      </c>
      <c r="N416" t="s">
        <v>144</v>
      </c>
      <c r="O416" t="s">
        <v>111</v>
      </c>
      <c r="P416" t="str">
        <f>"85396-1760"</f>
        <v>85396-1760</v>
      </c>
      <c r="Q416" t="s">
        <v>113</v>
      </c>
      <c r="R416" t="str">
        <f>"502-86-013"</f>
        <v>502-86-013</v>
      </c>
      <c r="S416" t="s">
        <v>2821</v>
      </c>
      <c r="U416">
        <v>3676</v>
      </c>
      <c r="W416">
        <v>5</v>
      </c>
      <c r="X416">
        <v>2014</v>
      </c>
      <c r="Z416">
        <v>2</v>
      </c>
      <c r="AA416" t="s">
        <v>26</v>
      </c>
      <c r="AC416" t="s">
        <v>115</v>
      </c>
      <c r="AD416">
        <v>3</v>
      </c>
      <c r="AE416" t="s">
        <v>115</v>
      </c>
      <c r="AH416" t="s">
        <v>116</v>
      </c>
      <c r="AI416" s="1">
        <v>17300</v>
      </c>
      <c r="AJ416" s="2">
        <v>0.04</v>
      </c>
      <c r="AK416" s="1">
        <v>423300</v>
      </c>
      <c r="AL416" t="s">
        <v>117</v>
      </c>
      <c r="AM416" t="s">
        <v>118</v>
      </c>
      <c r="AN416">
        <v>7129</v>
      </c>
      <c r="AO416">
        <v>0.16</v>
      </c>
      <c r="AR416">
        <v>1</v>
      </c>
      <c r="AS416" s="1">
        <v>30630</v>
      </c>
      <c r="AT416" s="1">
        <v>6120</v>
      </c>
      <c r="AU416" s="1">
        <v>24510</v>
      </c>
      <c r="AV416">
        <v>80.02</v>
      </c>
      <c r="AX416" s="1">
        <v>3845.38</v>
      </c>
      <c r="AY416" t="s">
        <v>217</v>
      </c>
      <c r="AZ416" t="s">
        <v>217</v>
      </c>
      <c r="BA416" t="s">
        <v>218</v>
      </c>
      <c r="BB416" s="3">
        <v>42711</v>
      </c>
      <c r="BD416" t="s">
        <v>458</v>
      </c>
      <c r="BE416" s="3">
        <v>41988</v>
      </c>
      <c r="BF416" s="1">
        <v>349687</v>
      </c>
      <c r="BG416" t="s">
        <v>209</v>
      </c>
      <c r="BH416" s="1">
        <v>95.13</v>
      </c>
      <c r="BI416" s="1">
        <v>406000</v>
      </c>
      <c r="BJ416" s="3">
        <v>43160</v>
      </c>
      <c r="BK416" t="s">
        <v>123</v>
      </c>
      <c r="BL416" t="str">
        <f>"2018.154925"</f>
        <v>2018.154925</v>
      </c>
      <c r="BM416" t="s">
        <v>2891</v>
      </c>
      <c r="BN416" t="s">
        <v>381</v>
      </c>
      <c r="BO416" t="s">
        <v>2892</v>
      </c>
      <c r="BP416" t="s">
        <v>2893</v>
      </c>
      <c r="BR416" t="s">
        <v>139</v>
      </c>
      <c r="BW416" t="str">
        <f>""</f>
        <v/>
      </c>
      <c r="CH416" t="str">
        <f>""</f>
        <v/>
      </c>
      <c r="CS416" t="str">
        <f>""</f>
        <v/>
      </c>
    </row>
    <row r="417" spans="1:97" x14ac:dyDescent="0.25">
      <c r="A417" t="s">
        <v>1755</v>
      </c>
      <c r="B417" t="s">
        <v>2894</v>
      </c>
      <c r="E417" t="s">
        <v>2895</v>
      </c>
      <c r="F417" t="s">
        <v>108</v>
      </c>
      <c r="H417" t="s">
        <v>2896</v>
      </c>
      <c r="I417" t="s">
        <v>144</v>
      </c>
      <c r="J417" t="s">
        <v>111</v>
      </c>
      <c r="K417" t="str">
        <f>"85396"</f>
        <v>85396</v>
      </c>
      <c r="L417" t="s">
        <v>2820</v>
      </c>
      <c r="M417" t="s">
        <v>2896</v>
      </c>
      <c r="N417" t="s">
        <v>144</v>
      </c>
      <c r="O417" t="s">
        <v>111</v>
      </c>
      <c r="P417" t="str">
        <f>"85396-1752"</f>
        <v>85396-1752</v>
      </c>
      <c r="Q417" t="s">
        <v>113</v>
      </c>
      <c r="R417" t="str">
        <f>"502-83-664"</f>
        <v>502-83-664</v>
      </c>
      <c r="S417" t="s">
        <v>1652</v>
      </c>
      <c r="U417">
        <v>2064</v>
      </c>
      <c r="W417">
        <v>4</v>
      </c>
      <c r="X417">
        <v>2014</v>
      </c>
      <c r="Z417">
        <v>1</v>
      </c>
      <c r="AC417" t="s">
        <v>115</v>
      </c>
      <c r="AD417">
        <v>3</v>
      </c>
      <c r="AE417" t="s">
        <v>115</v>
      </c>
      <c r="AH417" t="s">
        <v>116</v>
      </c>
      <c r="AI417" s="1">
        <v>77453</v>
      </c>
      <c r="AJ417" s="2">
        <v>0.23</v>
      </c>
      <c r="AK417" s="1">
        <v>340361</v>
      </c>
      <c r="AL417" t="s">
        <v>117</v>
      </c>
      <c r="AM417" t="s">
        <v>118</v>
      </c>
      <c r="AN417">
        <v>9140</v>
      </c>
      <c r="AO417">
        <v>0.21</v>
      </c>
      <c r="AR417">
        <v>1</v>
      </c>
      <c r="AS417" s="1">
        <v>24480</v>
      </c>
      <c r="AT417" s="1">
        <v>4890</v>
      </c>
      <c r="AU417" s="1">
        <v>19590</v>
      </c>
      <c r="AV417">
        <v>80.02</v>
      </c>
      <c r="AX417" s="1">
        <v>3085.26</v>
      </c>
      <c r="AY417" t="s">
        <v>217</v>
      </c>
      <c r="AZ417" t="s">
        <v>217</v>
      </c>
      <c r="BA417" t="s">
        <v>218</v>
      </c>
      <c r="BE417" s="3">
        <v>42216</v>
      </c>
      <c r="BF417" s="1">
        <v>254843</v>
      </c>
      <c r="BG417" t="s">
        <v>2797</v>
      </c>
      <c r="BH417" s="1">
        <v>123.47</v>
      </c>
      <c r="BI417" s="1">
        <v>262908</v>
      </c>
      <c r="BJ417" s="3">
        <v>42585</v>
      </c>
      <c r="BK417" t="s">
        <v>123</v>
      </c>
      <c r="BL417" t="str">
        <f>"2016.551304"</f>
        <v>2016.551304</v>
      </c>
      <c r="BM417" t="s">
        <v>673</v>
      </c>
      <c r="BO417" t="s">
        <v>2897</v>
      </c>
      <c r="BS417">
        <v>30</v>
      </c>
      <c r="BW417" t="str">
        <f>""</f>
        <v/>
      </c>
      <c r="CH417" t="str">
        <f>""</f>
        <v/>
      </c>
      <c r="CS417" t="str">
        <f>""</f>
        <v/>
      </c>
    </row>
    <row r="418" spans="1:97" x14ac:dyDescent="0.25">
      <c r="A418" t="s">
        <v>370</v>
      </c>
      <c r="B418" t="s">
        <v>2898</v>
      </c>
      <c r="C418" t="s">
        <v>2899</v>
      </c>
      <c r="D418" t="s">
        <v>2900</v>
      </c>
      <c r="E418" t="s">
        <v>2901</v>
      </c>
      <c r="F418" t="s">
        <v>108</v>
      </c>
      <c r="H418" t="s">
        <v>2902</v>
      </c>
      <c r="I418" t="s">
        <v>110</v>
      </c>
      <c r="J418" t="s">
        <v>111</v>
      </c>
      <c r="K418" t="str">
        <f>"85225"</f>
        <v>85225</v>
      </c>
      <c r="L418" t="s">
        <v>2903</v>
      </c>
      <c r="M418" t="s">
        <v>2902</v>
      </c>
      <c r="N418" t="s">
        <v>110</v>
      </c>
      <c r="O418" t="s">
        <v>111</v>
      </c>
      <c r="P418" t="str">
        <f>"85225-3016"</f>
        <v>85225-3016</v>
      </c>
      <c r="Q418" t="s">
        <v>113</v>
      </c>
      <c r="R418" t="str">
        <f>"310-12-217"</f>
        <v>310-12-217</v>
      </c>
      <c r="S418" t="s">
        <v>2904</v>
      </c>
      <c r="T418" t="s">
        <v>2904</v>
      </c>
      <c r="U418">
        <v>2110</v>
      </c>
      <c r="W418">
        <v>3</v>
      </c>
      <c r="X418">
        <v>2015</v>
      </c>
      <c r="Z418">
        <v>1</v>
      </c>
      <c r="AC418" t="s">
        <v>115</v>
      </c>
      <c r="AD418">
        <v>2</v>
      </c>
      <c r="AE418" t="s">
        <v>115</v>
      </c>
      <c r="AH418" t="s">
        <v>116</v>
      </c>
      <c r="AI418" s="1">
        <v>104756</v>
      </c>
      <c r="AJ418" s="2">
        <v>0.25</v>
      </c>
      <c r="AK418" s="1">
        <v>418019</v>
      </c>
      <c r="AL418" t="s">
        <v>117</v>
      </c>
      <c r="AM418" t="s">
        <v>118</v>
      </c>
      <c r="AN418">
        <v>11475</v>
      </c>
      <c r="AO418">
        <v>0.26</v>
      </c>
      <c r="AR418">
        <v>1</v>
      </c>
      <c r="AS418" s="1">
        <v>31270</v>
      </c>
      <c r="AT418" s="1">
        <v>6250</v>
      </c>
      <c r="AU418" s="1">
        <v>25020</v>
      </c>
      <c r="AV418">
        <v>80.010000000000005</v>
      </c>
      <c r="AX418" s="1">
        <v>2329.2399999999998</v>
      </c>
      <c r="AY418" t="s">
        <v>2905</v>
      </c>
      <c r="AZ418" t="s">
        <v>2906</v>
      </c>
      <c r="BA418" t="s">
        <v>303</v>
      </c>
      <c r="BE418" s="3">
        <v>42205</v>
      </c>
      <c r="BF418" s="1">
        <v>343774</v>
      </c>
      <c r="BG418" t="s">
        <v>233</v>
      </c>
      <c r="BH418" s="1">
        <v>162.93</v>
      </c>
      <c r="BI418" s="1">
        <v>313263</v>
      </c>
      <c r="BJ418" s="3">
        <v>42205</v>
      </c>
      <c r="BK418" t="s">
        <v>123</v>
      </c>
      <c r="BL418" t="str">
        <f>"2015.520240"</f>
        <v>2015.520240</v>
      </c>
      <c r="BM418" t="s">
        <v>2368</v>
      </c>
      <c r="BO418" t="s">
        <v>2907</v>
      </c>
      <c r="BP418" t="s">
        <v>2908</v>
      </c>
      <c r="BS418">
        <v>30</v>
      </c>
      <c r="BW418" t="str">
        <f>""</f>
        <v/>
      </c>
      <c r="CH418" t="str">
        <f>""</f>
        <v/>
      </c>
      <c r="CS418" t="str">
        <f>""</f>
        <v/>
      </c>
    </row>
    <row r="419" spans="1:97" x14ac:dyDescent="0.25">
      <c r="B419" t="s">
        <v>2909</v>
      </c>
      <c r="E419" t="s">
        <v>2910</v>
      </c>
      <c r="F419" t="s">
        <v>108</v>
      </c>
      <c r="H419" t="s">
        <v>2911</v>
      </c>
      <c r="I419" t="s">
        <v>188</v>
      </c>
      <c r="J419" t="s">
        <v>111</v>
      </c>
      <c r="K419" t="str">
        <f>"85142"</f>
        <v>85142</v>
      </c>
      <c r="L419" t="s">
        <v>625</v>
      </c>
      <c r="M419" t="s">
        <v>2911</v>
      </c>
      <c r="N419" t="s">
        <v>188</v>
      </c>
      <c r="O419" t="s">
        <v>111</v>
      </c>
      <c r="P419" t="str">
        <f>"85142-9191"</f>
        <v>85142-9191</v>
      </c>
      <c r="Q419" t="s">
        <v>113</v>
      </c>
      <c r="R419" t="str">
        <f>"312-07-221"</f>
        <v>312-07-221</v>
      </c>
      <c r="S419" t="s">
        <v>2840</v>
      </c>
      <c r="T419" t="s">
        <v>2841</v>
      </c>
      <c r="U419">
        <v>1506</v>
      </c>
      <c r="W419">
        <v>3</v>
      </c>
      <c r="X419">
        <v>2015</v>
      </c>
      <c r="Z419">
        <v>1</v>
      </c>
      <c r="AC419" t="s">
        <v>115</v>
      </c>
      <c r="AD419">
        <v>2</v>
      </c>
      <c r="AE419" t="s">
        <v>115</v>
      </c>
      <c r="AH419" t="s">
        <v>116</v>
      </c>
      <c r="AI419" s="1">
        <v>53131</v>
      </c>
      <c r="AJ419" s="2">
        <v>0.2</v>
      </c>
      <c r="AK419" s="1">
        <v>270450</v>
      </c>
      <c r="AL419" t="s">
        <v>117</v>
      </c>
      <c r="AM419" t="s">
        <v>118</v>
      </c>
      <c r="AN419">
        <v>5500</v>
      </c>
      <c r="AO419">
        <v>0.13</v>
      </c>
      <c r="AR419">
        <v>1</v>
      </c>
      <c r="AS419" s="1">
        <v>18570</v>
      </c>
      <c r="AT419" s="1">
        <v>3710</v>
      </c>
      <c r="AU419" s="1">
        <v>14860</v>
      </c>
      <c r="AV419">
        <v>80.02</v>
      </c>
      <c r="AX419" s="1">
        <v>1869.16</v>
      </c>
      <c r="AY419" t="s">
        <v>560</v>
      </c>
      <c r="AZ419" t="s">
        <v>561</v>
      </c>
      <c r="BA419" t="s">
        <v>194</v>
      </c>
      <c r="BB419" s="3">
        <v>42703</v>
      </c>
      <c r="BD419" t="s">
        <v>240</v>
      </c>
      <c r="BE419" s="3">
        <v>42333</v>
      </c>
      <c r="BF419" s="1">
        <v>212745</v>
      </c>
      <c r="BG419" t="s">
        <v>2842</v>
      </c>
      <c r="BH419" s="1">
        <v>141.26</v>
      </c>
      <c r="BI419" s="1">
        <v>217319</v>
      </c>
      <c r="BJ419" s="3">
        <v>42333</v>
      </c>
      <c r="BK419" t="s">
        <v>123</v>
      </c>
      <c r="BL419" t="str">
        <f>"2015.842484"</f>
        <v>2015.842484</v>
      </c>
      <c r="BM419" t="s">
        <v>2912</v>
      </c>
      <c r="BO419" t="s">
        <v>2913</v>
      </c>
      <c r="BP419" t="s">
        <v>2914</v>
      </c>
      <c r="BS419">
        <v>30</v>
      </c>
      <c r="BW419" t="str">
        <f>""</f>
        <v/>
      </c>
      <c r="CH419" t="str">
        <f>""</f>
        <v/>
      </c>
      <c r="CS419" t="str">
        <f>""</f>
        <v/>
      </c>
    </row>
    <row r="420" spans="1:97" x14ac:dyDescent="0.25">
      <c r="A420" t="s">
        <v>2915</v>
      </c>
      <c r="B420" t="s">
        <v>2916</v>
      </c>
      <c r="C420" t="s">
        <v>513</v>
      </c>
      <c r="D420" t="s">
        <v>2917</v>
      </c>
      <c r="E420" t="s">
        <v>2918</v>
      </c>
      <c r="F420" t="s">
        <v>108</v>
      </c>
      <c r="H420" t="s">
        <v>2919</v>
      </c>
      <c r="I420" t="s">
        <v>144</v>
      </c>
      <c r="J420" t="s">
        <v>111</v>
      </c>
      <c r="K420" t="str">
        <f>"85396"</f>
        <v>85396</v>
      </c>
      <c r="L420" t="s">
        <v>145</v>
      </c>
      <c r="M420" t="s">
        <v>2919</v>
      </c>
      <c r="N420" t="s">
        <v>144</v>
      </c>
      <c r="O420" t="s">
        <v>111</v>
      </c>
      <c r="P420" t="str">
        <f>"85396-1707"</f>
        <v>85396-1707</v>
      </c>
      <c r="Q420" t="s">
        <v>113</v>
      </c>
      <c r="R420" t="str">
        <f>"502-83-627"</f>
        <v>502-83-627</v>
      </c>
      <c r="S420" t="s">
        <v>1652</v>
      </c>
      <c r="U420">
        <v>2172</v>
      </c>
      <c r="W420">
        <v>3</v>
      </c>
      <c r="X420">
        <v>2015</v>
      </c>
      <c r="Z420">
        <v>1</v>
      </c>
      <c r="AC420" t="s">
        <v>115</v>
      </c>
      <c r="AD420">
        <v>3</v>
      </c>
      <c r="AE420" t="s">
        <v>115</v>
      </c>
      <c r="AH420" t="s">
        <v>116</v>
      </c>
      <c r="AI420" s="1">
        <v>62184</v>
      </c>
      <c r="AJ420" s="2">
        <v>0.19</v>
      </c>
      <c r="AK420" s="1">
        <v>324300</v>
      </c>
      <c r="AL420" t="s">
        <v>117</v>
      </c>
      <c r="AM420" t="s">
        <v>118</v>
      </c>
      <c r="AN420">
        <v>6066</v>
      </c>
      <c r="AO420">
        <v>0.14000000000000001</v>
      </c>
      <c r="AR420">
        <v>1</v>
      </c>
      <c r="AS420" s="1">
        <v>22950</v>
      </c>
      <c r="AT420" s="1">
        <v>4590</v>
      </c>
      <c r="AU420" s="1">
        <v>18360</v>
      </c>
      <c r="AV420">
        <v>80</v>
      </c>
      <c r="AX420" s="1">
        <v>2876.2</v>
      </c>
      <c r="AY420" t="s">
        <v>217</v>
      </c>
      <c r="AZ420" t="s">
        <v>217</v>
      </c>
      <c r="BA420" t="s">
        <v>218</v>
      </c>
      <c r="BE420" s="3">
        <v>42172</v>
      </c>
      <c r="BF420" s="1">
        <v>262116</v>
      </c>
      <c r="BG420" t="s">
        <v>562</v>
      </c>
      <c r="BH420" s="1">
        <v>120.68</v>
      </c>
      <c r="BI420" s="1">
        <v>262116</v>
      </c>
      <c r="BJ420" s="3">
        <v>42172</v>
      </c>
      <c r="BK420" t="s">
        <v>123</v>
      </c>
      <c r="BL420" t="str">
        <f>"2015.432480"</f>
        <v>2015.432480</v>
      </c>
      <c r="BM420" t="s">
        <v>131</v>
      </c>
      <c r="BO420" t="s">
        <v>2920</v>
      </c>
      <c r="BP420" t="s">
        <v>2921</v>
      </c>
      <c r="BS420">
        <v>30</v>
      </c>
      <c r="BW420" t="str">
        <f>""</f>
        <v/>
      </c>
      <c r="CH420" t="str">
        <f>""</f>
        <v/>
      </c>
      <c r="CS420" t="str">
        <f>""</f>
        <v/>
      </c>
    </row>
    <row r="421" spans="1:97" x14ac:dyDescent="0.25">
      <c r="A421" t="s">
        <v>257</v>
      </c>
      <c r="B421" t="s">
        <v>2922</v>
      </c>
      <c r="C421" t="s">
        <v>713</v>
      </c>
      <c r="D421" t="s">
        <v>2923</v>
      </c>
      <c r="E421" t="s">
        <v>2924</v>
      </c>
      <c r="F421" t="s">
        <v>108</v>
      </c>
      <c r="H421" t="s">
        <v>2925</v>
      </c>
      <c r="I421" t="s">
        <v>203</v>
      </c>
      <c r="J421" t="s">
        <v>111</v>
      </c>
      <c r="K421" t="str">
        <f>"85298"</f>
        <v>85298</v>
      </c>
      <c r="L421" t="s">
        <v>269</v>
      </c>
      <c r="M421" t="s">
        <v>2925</v>
      </c>
      <c r="N421" t="s">
        <v>203</v>
      </c>
      <c r="O421" t="s">
        <v>111</v>
      </c>
      <c r="P421" t="str">
        <f>"85298-9770"</f>
        <v>85298-9770</v>
      </c>
      <c r="Q421" t="s">
        <v>113</v>
      </c>
      <c r="R421" t="str">
        <f>"313-19-022"</f>
        <v>313-19-022</v>
      </c>
      <c r="S421" t="s">
        <v>2803</v>
      </c>
      <c r="T421" t="s">
        <v>271</v>
      </c>
      <c r="U421">
        <v>1759</v>
      </c>
      <c r="W421">
        <v>2</v>
      </c>
      <c r="X421">
        <v>2015</v>
      </c>
      <c r="Z421">
        <v>1</v>
      </c>
      <c r="AC421" t="s">
        <v>115</v>
      </c>
      <c r="AD421">
        <v>2</v>
      </c>
      <c r="AE421" t="s">
        <v>115</v>
      </c>
      <c r="AH421" t="s">
        <v>116</v>
      </c>
      <c r="AI421" s="1">
        <v>62422</v>
      </c>
      <c r="AJ421" s="2">
        <v>0.18</v>
      </c>
      <c r="AK421" s="1">
        <v>342013</v>
      </c>
      <c r="AL421" t="s">
        <v>117</v>
      </c>
      <c r="AM421" t="s">
        <v>191</v>
      </c>
      <c r="AN421">
        <v>5953</v>
      </c>
      <c r="AO421">
        <v>0.14000000000000001</v>
      </c>
      <c r="AR421">
        <v>1</v>
      </c>
      <c r="AS421" s="1">
        <v>23650</v>
      </c>
      <c r="AT421" s="1">
        <v>4730</v>
      </c>
      <c r="AU421" s="1">
        <v>18920</v>
      </c>
      <c r="AV421">
        <v>80</v>
      </c>
      <c r="AX421" s="1">
        <v>1746.54</v>
      </c>
      <c r="AY421" t="s">
        <v>272</v>
      </c>
      <c r="AZ421" t="s">
        <v>273</v>
      </c>
      <c r="BA421" t="s">
        <v>274</v>
      </c>
      <c r="BB421" s="3">
        <v>42632</v>
      </c>
      <c r="BD421" t="s">
        <v>480</v>
      </c>
      <c r="BE421" s="3">
        <v>42151</v>
      </c>
      <c r="BF421" s="1">
        <v>254259</v>
      </c>
      <c r="BG421" t="s">
        <v>275</v>
      </c>
      <c r="BH421" s="1">
        <v>144.55000000000001</v>
      </c>
      <c r="BI421" s="1">
        <v>279591</v>
      </c>
      <c r="BJ421" s="3">
        <v>43644</v>
      </c>
      <c r="BK421" t="s">
        <v>123</v>
      </c>
      <c r="BL421" t="str">
        <f>"2019.497417"</f>
        <v>2019.497417</v>
      </c>
      <c r="BM421" t="s">
        <v>2926</v>
      </c>
      <c r="BN421" t="s">
        <v>545</v>
      </c>
      <c r="BO421" t="s">
        <v>2927</v>
      </c>
      <c r="BP421" t="s">
        <v>2928</v>
      </c>
      <c r="BR421" t="s">
        <v>139</v>
      </c>
      <c r="BW421" t="str">
        <f>""</f>
        <v/>
      </c>
      <c r="CH421" t="str">
        <f>""</f>
        <v/>
      </c>
      <c r="CS421" t="str">
        <f>""</f>
        <v/>
      </c>
    </row>
    <row r="422" spans="1:97" x14ac:dyDescent="0.25">
      <c r="B422" t="s">
        <v>2929</v>
      </c>
      <c r="C422" t="s">
        <v>2930</v>
      </c>
      <c r="E422" t="s">
        <v>969</v>
      </c>
      <c r="F422" t="s">
        <v>108</v>
      </c>
      <c r="H422" t="s">
        <v>2931</v>
      </c>
      <c r="I422" t="s">
        <v>225</v>
      </c>
      <c r="J422" t="s">
        <v>111</v>
      </c>
      <c r="K422" t="str">
        <f>"85212"</f>
        <v>85212</v>
      </c>
      <c r="L422" t="s">
        <v>774</v>
      </c>
      <c r="M422" t="s">
        <v>2931</v>
      </c>
      <c r="N422" t="s">
        <v>225</v>
      </c>
      <c r="O422" t="s">
        <v>111</v>
      </c>
      <c r="P422" t="str">
        <f>"85212-2273"</f>
        <v>85212-2273</v>
      </c>
      <c r="Q422" t="s">
        <v>113</v>
      </c>
      <c r="R422" t="str">
        <f>"304-16-777"</f>
        <v>304-16-777</v>
      </c>
      <c r="S422" t="s">
        <v>2883</v>
      </c>
      <c r="U422">
        <v>2412</v>
      </c>
      <c r="W422">
        <v>3</v>
      </c>
      <c r="X422">
        <v>2015</v>
      </c>
      <c r="Z422">
        <v>1</v>
      </c>
      <c r="AC422" t="s">
        <v>115</v>
      </c>
      <c r="AD422">
        <v>3</v>
      </c>
      <c r="AE422" t="s">
        <v>115</v>
      </c>
      <c r="AH422" t="s">
        <v>116</v>
      </c>
      <c r="AI422" s="1">
        <v>128866</v>
      </c>
      <c r="AJ422" s="2">
        <v>0.28999999999999998</v>
      </c>
      <c r="AK422" s="1">
        <v>451366</v>
      </c>
      <c r="AL422" t="s">
        <v>117</v>
      </c>
      <c r="AN422">
        <v>10062</v>
      </c>
      <c r="AO422">
        <v>0.23</v>
      </c>
      <c r="AR422">
        <v>1</v>
      </c>
      <c r="AS422" s="1">
        <v>33960</v>
      </c>
      <c r="AT422" s="1">
        <v>6790</v>
      </c>
      <c r="AU422" s="1">
        <v>27170</v>
      </c>
      <c r="AV422">
        <v>80.010000000000005</v>
      </c>
      <c r="AX422" s="1">
        <v>2483.12</v>
      </c>
      <c r="AY422" t="s">
        <v>776</v>
      </c>
      <c r="AZ422" t="s">
        <v>777</v>
      </c>
      <c r="BA422" t="s">
        <v>572</v>
      </c>
      <c r="BB422" s="3">
        <v>43565</v>
      </c>
      <c r="BC422" s="1">
        <v>0</v>
      </c>
      <c r="BD422" t="s">
        <v>247</v>
      </c>
      <c r="BE422" s="3">
        <v>42207</v>
      </c>
      <c r="BF422" s="1">
        <v>350355</v>
      </c>
      <c r="BG422" t="s">
        <v>2884</v>
      </c>
      <c r="BH422" s="1">
        <v>145.25</v>
      </c>
      <c r="BI422" s="1">
        <v>322500</v>
      </c>
      <c r="BJ422" s="3">
        <v>42506</v>
      </c>
      <c r="BK422" t="s">
        <v>123</v>
      </c>
      <c r="BL422" t="str">
        <f>"2016.333952"</f>
        <v>2016.333952</v>
      </c>
      <c r="BM422" t="s">
        <v>1122</v>
      </c>
      <c r="BN422" t="s">
        <v>1624</v>
      </c>
      <c r="BO422" t="s">
        <v>2932</v>
      </c>
      <c r="BS422">
        <v>30</v>
      </c>
      <c r="BW422" t="str">
        <f>""</f>
        <v/>
      </c>
      <c r="CH422" t="str">
        <f>""</f>
        <v/>
      </c>
      <c r="CS422" t="str">
        <f>""</f>
        <v/>
      </c>
    </row>
    <row r="423" spans="1:97" x14ac:dyDescent="0.25">
      <c r="A423" t="s">
        <v>2933</v>
      </c>
      <c r="B423" t="s">
        <v>2934</v>
      </c>
      <c r="C423" t="s">
        <v>1057</v>
      </c>
      <c r="D423" t="s">
        <v>2934</v>
      </c>
      <c r="E423" t="s">
        <v>2935</v>
      </c>
      <c r="F423" t="s">
        <v>108</v>
      </c>
      <c r="H423" t="s">
        <v>2936</v>
      </c>
      <c r="I423" t="s">
        <v>144</v>
      </c>
      <c r="J423" t="s">
        <v>111</v>
      </c>
      <c r="K423" t="str">
        <f>"85396"</f>
        <v>85396</v>
      </c>
      <c r="L423" t="s">
        <v>145</v>
      </c>
      <c r="M423" t="s">
        <v>2936</v>
      </c>
      <c r="N423" t="s">
        <v>144</v>
      </c>
      <c r="O423" t="s">
        <v>111</v>
      </c>
      <c r="P423" t="str">
        <f>"85396-1704"</f>
        <v>85396-1704</v>
      </c>
      <c r="Q423" t="s">
        <v>113</v>
      </c>
      <c r="R423" t="str">
        <f>"502-83-614"</f>
        <v>502-83-614</v>
      </c>
      <c r="S423" t="s">
        <v>1652</v>
      </c>
      <c r="U423">
        <v>1860</v>
      </c>
      <c r="W423">
        <v>4</v>
      </c>
      <c r="X423">
        <v>2015</v>
      </c>
      <c r="Z423">
        <v>1</v>
      </c>
      <c r="AC423" t="s">
        <v>115</v>
      </c>
      <c r="AD423">
        <v>2</v>
      </c>
      <c r="AE423" t="s">
        <v>115</v>
      </c>
      <c r="AH423" t="s">
        <v>116</v>
      </c>
      <c r="AI423" s="1">
        <v>49970</v>
      </c>
      <c r="AJ423" s="2">
        <v>0.16</v>
      </c>
      <c r="AK423" s="1">
        <v>312446</v>
      </c>
      <c r="AL423" t="s">
        <v>117</v>
      </c>
      <c r="AM423" t="s">
        <v>118</v>
      </c>
      <c r="AN423">
        <v>8236</v>
      </c>
      <c r="AO423">
        <v>0.19</v>
      </c>
      <c r="AR423">
        <v>1</v>
      </c>
      <c r="AS423" s="1">
        <v>22500</v>
      </c>
      <c r="AT423" s="1">
        <v>4500</v>
      </c>
      <c r="AU423" s="1">
        <v>18000</v>
      </c>
      <c r="AV423">
        <v>80</v>
      </c>
      <c r="AX423" s="1">
        <v>2808.14</v>
      </c>
      <c r="AY423" t="s">
        <v>217</v>
      </c>
      <c r="AZ423" t="s">
        <v>217</v>
      </c>
      <c r="BA423" t="s">
        <v>218</v>
      </c>
      <c r="BE423" s="3">
        <v>42151</v>
      </c>
      <c r="BF423" s="1">
        <v>270935</v>
      </c>
      <c r="BG423" t="s">
        <v>636</v>
      </c>
      <c r="BH423" s="1">
        <v>145.66</v>
      </c>
      <c r="BI423" s="1">
        <v>262476</v>
      </c>
      <c r="BJ423" s="3">
        <v>42934</v>
      </c>
      <c r="BK423" t="s">
        <v>123</v>
      </c>
      <c r="BL423" t="str">
        <f>"2017.521893"</f>
        <v>2017.521893</v>
      </c>
      <c r="BM423" t="s">
        <v>340</v>
      </c>
      <c r="BO423" t="s">
        <v>2937</v>
      </c>
      <c r="BS423">
        <v>28</v>
      </c>
      <c r="BW423" t="str">
        <f>""</f>
        <v/>
      </c>
      <c r="CH423" t="str">
        <f>""</f>
        <v/>
      </c>
      <c r="CS423" t="str">
        <f>""</f>
        <v/>
      </c>
    </row>
    <row r="424" spans="1:97" x14ac:dyDescent="0.25">
      <c r="A424" t="s">
        <v>177</v>
      </c>
      <c r="B424" t="s">
        <v>2938</v>
      </c>
      <c r="C424" t="s">
        <v>2939</v>
      </c>
      <c r="D424" t="s">
        <v>2940</v>
      </c>
      <c r="E424" t="s">
        <v>2941</v>
      </c>
      <c r="F424" t="s">
        <v>108</v>
      </c>
      <c r="H424" t="s">
        <v>2942</v>
      </c>
      <c r="I424" t="s">
        <v>144</v>
      </c>
      <c r="J424" t="s">
        <v>111</v>
      </c>
      <c r="K424" t="str">
        <f>"85396"</f>
        <v>85396</v>
      </c>
      <c r="L424" t="s">
        <v>145</v>
      </c>
      <c r="M424" t="s">
        <v>2942</v>
      </c>
      <c r="N424" t="s">
        <v>144</v>
      </c>
      <c r="O424" t="s">
        <v>111</v>
      </c>
      <c r="P424" t="str">
        <f>"85396-1703"</f>
        <v>85396-1703</v>
      </c>
      <c r="Q424" t="s">
        <v>113</v>
      </c>
      <c r="R424" t="str">
        <f>"502-83-577"</f>
        <v>502-83-577</v>
      </c>
      <c r="S424" t="s">
        <v>1652</v>
      </c>
      <c r="U424">
        <v>3051</v>
      </c>
      <c r="W424">
        <v>5</v>
      </c>
      <c r="X424">
        <v>2015</v>
      </c>
      <c r="Z424">
        <v>2</v>
      </c>
      <c r="AC424" t="s">
        <v>115</v>
      </c>
      <c r="AD424">
        <v>2</v>
      </c>
      <c r="AE424" t="s">
        <v>115</v>
      </c>
      <c r="AH424" t="s">
        <v>116</v>
      </c>
      <c r="AI424" s="1">
        <v>56355</v>
      </c>
      <c r="AJ424" s="2">
        <v>0.15</v>
      </c>
      <c r="AK424" s="1">
        <v>370337</v>
      </c>
      <c r="AL424" t="s">
        <v>117</v>
      </c>
      <c r="AM424" t="s">
        <v>118</v>
      </c>
      <c r="AN424">
        <v>7392</v>
      </c>
      <c r="AO424">
        <v>0.17</v>
      </c>
      <c r="AR424">
        <v>1</v>
      </c>
      <c r="AS424" s="1">
        <v>25800</v>
      </c>
      <c r="AT424" s="1">
        <v>5160</v>
      </c>
      <c r="AU424" s="1">
        <v>20640</v>
      </c>
      <c r="AV424">
        <v>80</v>
      </c>
      <c r="AX424" s="1">
        <v>3264.68</v>
      </c>
      <c r="AY424" t="s">
        <v>217</v>
      </c>
      <c r="AZ424" t="s">
        <v>217</v>
      </c>
      <c r="BA424" t="s">
        <v>218</v>
      </c>
      <c r="BE424" s="3">
        <v>42157</v>
      </c>
      <c r="BF424" s="1">
        <v>324482</v>
      </c>
      <c r="BG424" t="s">
        <v>636</v>
      </c>
      <c r="BH424" s="1">
        <v>106.35</v>
      </c>
      <c r="BI424" s="1">
        <v>313982</v>
      </c>
      <c r="BJ424" s="3">
        <v>42157</v>
      </c>
      <c r="BK424" t="s">
        <v>123</v>
      </c>
      <c r="BL424" t="str">
        <f>"2015.391390"</f>
        <v>2015.391390</v>
      </c>
      <c r="BM424" t="s">
        <v>637</v>
      </c>
      <c r="BO424" t="s">
        <v>2943</v>
      </c>
      <c r="BP424" t="s">
        <v>2944</v>
      </c>
      <c r="BS424">
        <v>30</v>
      </c>
      <c r="BW424" t="str">
        <f>""</f>
        <v/>
      </c>
      <c r="CH424" t="str">
        <f>""</f>
        <v/>
      </c>
      <c r="CS424" t="str">
        <f>""</f>
        <v/>
      </c>
    </row>
    <row r="425" spans="1:97" x14ac:dyDescent="0.25">
      <c r="B425" t="s">
        <v>2945</v>
      </c>
      <c r="E425" t="s">
        <v>2946</v>
      </c>
      <c r="F425" t="s">
        <v>108</v>
      </c>
      <c r="H425" t="s">
        <v>2947</v>
      </c>
      <c r="I425" t="s">
        <v>225</v>
      </c>
      <c r="J425" t="s">
        <v>111</v>
      </c>
      <c r="K425" t="str">
        <f>"85212"</f>
        <v>85212</v>
      </c>
      <c r="L425" t="s">
        <v>774</v>
      </c>
      <c r="M425" t="s">
        <v>2947</v>
      </c>
      <c r="N425" t="s">
        <v>225</v>
      </c>
      <c r="O425" t="s">
        <v>111</v>
      </c>
      <c r="P425" t="str">
        <f>"85212-2270"</f>
        <v>85212-2270</v>
      </c>
      <c r="Q425" t="s">
        <v>113</v>
      </c>
      <c r="R425" t="str">
        <f>"304-16-715"</f>
        <v>304-16-715</v>
      </c>
      <c r="S425" t="s">
        <v>2883</v>
      </c>
      <c r="U425">
        <v>1832</v>
      </c>
      <c r="W425">
        <v>3</v>
      </c>
      <c r="X425">
        <v>2015</v>
      </c>
      <c r="Z425">
        <v>1</v>
      </c>
      <c r="AC425" t="s">
        <v>115</v>
      </c>
      <c r="AD425">
        <v>3</v>
      </c>
      <c r="AE425" t="s">
        <v>115</v>
      </c>
      <c r="AH425" t="s">
        <v>116</v>
      </c>
      <c r="AI425" s="1">
        <v>142591</v>
      </c>
      <c r="AJ425" s="2">
        <v>0.39</v>
      </c>
      <c r="AK425" s="1">
        <v>364491</v>
      </c>
      <c r="AL425" t="s">
        <v>117</v>
      </c>
      <c r="AN425">
        <v>6750</v>
      </c>
      <c r="AO425">
        <v>0.16</v>
      </c>
      <c r="AR425">
        <v>1</v>
      </c>
      <c r="AS425" s="1">
        <v>26700</v>
      </c>
      <c r="AT425" s="1">
        <v>5340</v>
      </c>
      <c r="AU425" s="1">
        <v>21360</v>
      </c>
      <c r="AV425">
        <v>80</v>
      </c>
      <c r="AX425" s="1">
        <v>1887.66</v>
      </c>
      <c r="AY425" t="s">
        <v>776</v>
      </c>
      <c r="AZ425" t="s">
        <v>777</v>
      </c>
      <c r="BA425" t="s">
        <v>572</v>
      </c>
      <c r="BB425" s="3">
        <v>42866</v>
      </c>
      <c r="BD425" t="s">
        <v>240</v>
      </c>
      <c r="BE425" s="3">
        <v>42163</v>
      </c>
      <c r="BF425" s="1">
        <v>277411</v>
      </c>
      <c r="BG425" t="s">
        <v>2884</v>
      </c>
      <c r="BH425" s="1">
        <v>151.43</v>
      </c>
      <c r="BI425" s="1">
        <v>221900</v>
      </c>
      <c r="BJ425" s="3">
        <v>42163</v>
      </c>
      <c r="BK425" t="s">
        <v>123</v>
      </c>
      <c r="BL425" t="str">
        <f>"2015.406312"</f>
        <v>2015.406312</v>
      </c>
      <c r="BM425" t="s">
        <v>2885</v>
      </c>
      <c r="BN425" t="s">
        <v>2948</v>
      </c>
      <c r="BO425" t="s">
        <v>2949</v>
      </c>
      <c r="BS425">
        <v>30</v>
      </c>
      <c r="BW425" t="str">
        <f>""</f>
        <v/>
      </c>
      <c r="CH425" t="str">
        <f>""</f>
        <v/>
      </c>
      <c r="CS425" t="str">
        <f>""</f>
        <v/>
      </c>
    </row>
    <row r="426" spans="1:97" x14ac:dyDescent="0.25">
      <c r="A426" t="s">
        <v>2950</v>
      </c>
      <c r="B426" t="s">
        <v>2951</v>
      </c>
      <c r="C426" t="s">
        <v>815</v>
      </c>
      <c r="D426" t="s">
        <v>2951</v>
      </c>
      <c r="E426" t="s">
        <v>2952</v>
      </c>
      <c r="F426" t="s">
        <v>108</v>
      </c>
      <c r="H426" t="s">
        <v>2953</v>
      </c>
      <c r="I426" t="s">
        <v>110</v>
      </c>
      <c r="J426" t="s">
        <v>111</v>
      </c>
      <c r="K426" t="str">
        <f>"85225"</f>
        <v>85225</v>
      </c>
      <c r="L426" t="s">
        <v>1300</v>
      </c>
      <c r="M426" t="s">
        <v>2953</v>
      </c>
      <c r="N426" t="s">
        <v>110</v>
      </c>
      <c r="O426" t="s">
        <v>111</v>
      </c>
      <c r="P426" t="str">
        <f>"85225-1495"</f>
        <v>85225-1495</v>
      </c>
      <c r="Q426" t="s">
        <v>113</v>
      </c>
      <c r="R426" t="str">
        <f>"302-95-497"</f>
        <v>302-95-497</v>
      </c>
      <c r="S426" t="s">
        <v>2954</v>
      </c>
      <c r="T426" t="s">
        <v>2955</v>
      </c>
      <c r="U426">
        <v>1842</v>
      </c>
      <c r="W426">
        <v>3</v>
      </c>
      <c r="X426">
        <v>2014</v>
      </c>
      <c r="Z426">
        <v>1</v>
      </c>
      <c r="AC426" t="s">
        <v>115</v>
      </c>
      <c r="AD426">
        <v>2</v>
      </c>
      <c r="AE426" t="s">
        <v>115</v>
      </c>
      <c r="AH426" t="s">
        <v>116</v>
      </c>
      <c r="AI426" s="1">
        <v>39537</v>
      </c>
      <c r="AJ426" s="2">
        <v>0.11</v>
      </c>
      <c r="AK426" s="1">
        <v>353537</v>
      </c>
      <c r="AL426" t="s">
        <v>117</v>
      </c>
      <c r="AM426" t="s">
        <v>118</v>
      </c>
      <c r="AN426">
        <v>5000</v>
      </c>
      <c r="AO426">
        <v>0.12</v>
      </c>
      <c r="AR426">
        <v>1</v>
      </c>
      <c r="AS426" s="1">
        <v>25420</v>
      </c>
      <c r="AT426" s="1">
        <v>5080</v>
      </c>
      <c r="AU426" s="1">
        <v>20340</v>
      </c>
      <c r="AV426">
        <v>80.02</v>
      </c>
      <c r="AX426" s="1">
        <v>1646.96</v>
      </c>
      <c r="AY426" t="s">
        <v>2956</v>
      </c>
      <c r="AZ426" t="s">
        <v>2906</v>
      </c>
      <c r="BA426" t="s">
        <v>2957</v>
      </c>
      <c r="BE426" s="3">
        <v>41996</v>
      </c>
      <c r="BF426" s="1">
        <v>319000</v>
      </c>
      <c r="BG426" t="s">
        <v>209</v>
      </c>
      <c r="BH426" s="1">
        <v>173.18</v>
      </c>
      <c r="BI426" s="1">
        <v>314000</v>
      </c>
      <c r="BJ426" s="3">
        <v>41996</v>
      </c>
      <c r="BK426" t="s">
        <v>123</v>
      </c>
      <c r="BL426" t="str">
        <f>"2014.846100"</f>
        <v>2014.846100</v>
      </c>
      <c r="BM426" t="s">
        <v>175</v>
      </c>
      <c r="BO426" t="s">
        <v>2958</v>
      </c>
      <c r="BS426">
        <v>30</v>
      </c>
      <c r="BW426" t="str">
        <f>""</f>
        <v/>
      </c>
      <c r="CH426" t="str">
        <f>""</f>
        <v/>
      </c>
      <c r="CS426" t="str">
        <f>""</f>
        <v/>
      </c>
    </row>
    <row r="427" spans="1:97" x14ac:dyDescent="0.25">
      <c r="A427" t="s">
        <v>2959</v>
      </c>
      <c r="B427" t="s">
        <v>2960</v>
      </c>
      <c r="C427" t="s">
        <v>2852</v>
      </c>
      <c r="D427" t="s">
        <v>2960</v>
      </c>
      <c r="E427" t="s">
        <v>2961</v>
      </c>
      <c r="F427" t="s">
        <v>108</v>
      </c>
      <c r="H427" t="s">
        <v>2962</v>
      </c>
      <c r="I427" t="s">
        <v>390</v>
      </c>
      <c r="J427" t="s">
        <v>111</v>
      </c>
      <c r="K427" t="str">
        <f>"85048"</f>
        <v>85048</v>
      </c>
      <c r="L427" t="s">
        <v>2963</v>
      </c>
      <c r="M427" t="s">
        <v>2962</v>
      </c>
      <c r="N427" t="s">
        <v>390</v>
      </c>
      <c r="O427" t="s">
        <v>111</v>
      </c>
      <c r="P427" t="str">
        <f>"85048-1107"</f>
        <v>85048-1107</v>
      </c>
      <c r="Q427" t="s">
        <v>113</v>
      </c>
      <c r="R427" t="str">
        <f>"300-97-888"</f>
        <v>300-97-888</v>
      </c>
      <c r="S427" t="s">
        <v>2964</v>
      </c>
      <c r="T427" t="s">
        <v>2965</v>
      </c>
      <c r="U427">
        <v>2388</v>
      </c>
      <c r="W427">
        <v>3</v>
      </c>
      <c r="X427">
        <v>2015</v>
      </c>
      <c r="Z427">
        <v>2</v>
      </c>
      <c r="AC427" t="s">
        <v>115</v>
      </c>
      <c r="AD427">
        <v>2</v>
      </c>
      <c r="AE427" t="s">
        <v>115</v>
      </c>
      <c r="AH427" t="s">
        <v>116</v>
      </c>
      <c r="AI427" s="1">
        <v>134466</v>
      </c>
      <c r="AJ427" s="2">
        <v>0.3</v>
      </c>
      <c r="AK427" s="1">
        <v>444908</v>
      </c>
      <c r="AL427" t="s">
        <v>117</v>
      </c>
      <c r="AM427" t="s">
        <v>118</v>
      </c>
      <c r="AN427">
        <v>4532</v>
      </c>
      <c r="AO427">
        <v>0.1</v>
      </c>
      <c r="AR427">
        <v>1</v>
      </c>
      <c r="AS427" s="1">
        <v>34110</v>
      </c>
      <c r="AT427" s="1">
        <v>6820</v>
      </c>
      <c r="AU427" s="1">
        <v>27290</v>
      </c>
      <c r="AV427">
        <v>80.010000000000005</v>
      </c>
      <c r="AX427" s="1">
        <v>3025.52</v>
      </c>
      <c r="AY427" t="s">
        <v>2966</v>
      </c>
      <c r="AZ427" t="s">
        <v>2967</v>
      </c>
      <c r="BA427" t="s">
        <v>930</v>
      </c>
      <c r="BE427" s="3">
        <v>42216</v>
      </c>
      <c r="BF427" s="1">
        <v>376700</v>
      </c>
      <c r="BG427" t="s">
        <v>2968</v>
      </c>
      <c r="BH427" s="1">
        <v>157.75</v>
      </c>
      <c r="BI427" s="1">
        <v>310442</v>
      </c>
      <c r="BJ427" s="3">
        <v>42433</v>
      </c>
      <c r="BK427" t="s">
        <v>123</v>
      </c>
      <c r="BL427" t="str">
        <f>"2016.141660"</f>
        <v>2016.141660</v>
      </c>
      <c r="BM427" t="s">
        <v>475</v>
      </c>
      <c r="BO427" t="s">
        <v>2969</v>
      </c>
      <c r="BQ427" t="str">
        <f>"2.7500%"</f>
        <v>2.7500%</v>
      </c>
      <c r="BR427" t="s">
        <v>1480</v>
      </c>
      <c r="BS427">
        <v>30</v>
      </c>
      <c r="BW427" t="str">
        <f>""</f>
        <v/>
      </c>
      <c r="CH427" t="str">
        <f>""</f>
        <v/>
      </c>
      <c r="CS427" t="str">
        <f>""</f>
        <v/>
      </c>
    </row>
    <row r="428" spans="1:97" x14ac:dyDescent="0.25">
      <c r="A428" t="s">
        <v>365</v>
      </c>
      <c r="B428" t="s">
        <v>2970</v>
      </c>
      <c r="C428" t="s">
        <v>370</v>
      </c>
      <c r="D428" t="s">
        <v>2970</v>
      </c>
      <c r="E428" t="s">
        <v>2971</v>
      </c>
      <c r="F428" t="s">
        <v>108</v>
      </c>
      <c r="H428" t="s">
        <v>2972</v>
      </c>
      <c r="I428" t="s">
        <v>499</v>
      </c>
      <c r="J428" t="s">
        <v>111</v>
      </c>
      <c r="K428" t="str">
        <f>"85338"</f>
        <v>85338</v>
      </c>
      <c r="L428" t="s">
        <v>1244</v>
      </c>
      <c r="M428" t="s">
        <v>2972</v>
      </c>
      <c r="N428" t="s">
        <v>499</v>
      </c>
      <c r="O428" t="s">
        <v>111</v>
      </c>
      <c r="P428" t="str">
        <f>"85338-7881"</f>
        <v>85338-7881</v>
      </c>
      <c r="Q428" t="s">
        <v>113</v>
      </c>
      <c r="R428" t="str">
        <f>"400-83-696"</f>
        <v>400-83-696</v>
      </c>
      <c r="S428" t="s">
        <v>2796</v>
      </c>
      <c r="U428">
        <v>2904</v>
      </c>
      <c r="W428">
        <v>4</v>
      </c>
      <c r="X428">
        <v>2014</v>
      </c>
      <c r="Z428">
        <v>2</v>
      </c>
      <c r="AC428" t="s">
        <v>115</v>
      </c>
      <c r="AD428">
        <v>3</v>
      </c>
      <c r="AE428" t="s">
        <v>115</v>
      </c>
      <c r="AH428" t="s">
        <v>116</v>
      </c>
      <c r="AI428" s="1">
        <v>54701</v>
      </c>
      <c r="AJ428" s="2">
        <v>0.14000000000000001</v>
      </c>
      <c r="AK428" s="1">
        <v>392001</v>
      </c>
      <c r="AL428" t="s">
        <v>117</v>
      </c>
      <c r="AM428" t="s">
        <v>118</v>
      </c>
      <c r="AN428">
        <v>6900</v>
      </c>
      <c r="AO428">
        <v>0.16</v>
      </c>
      <c r="AR428">
        <v>1</v>
      </c>
      <c r="AS428" s="1">
        <v>26570</v>
      </c>
      <c r="AT428" s="1">
        <v>5310</v>
      </c>
      <c r="AU428" s="1">
        <v>21260</v>
      </c>
      <c r="AV428">
        <v>80.02</v>
      </c>
      <c r="AX428" s="1">
        <v>3429.22</v>
      </c>
      <c r="AY428" t="s">
        <v>1246</v>
      </c>
      <c r="AZ428" t="s">
        <v>1246</v>
      </c>
      <c r="BA428" t="s">
        <v>1247</v>
      </c>
      <c r="BE428" s="3">
        <v>42215</v>
      </c>
      <c r="BF428" s="1">
        <v>335000</v>
      </c>
      <c r="BG428" t="s">
        <v>2797</v>
      </c>
      <c r="BH428" s="1">
        <v>115.36</v>
      </c>
      <c r="BI428" s="1">
        <v>337300</v>
      </c>
      <c r="BJ428" s="3">
        <v>42466</v>
      </c>
      <c r="BK428" t="s">
        <v>123</v>
      </c>
      <c r="BL428" t="str">
        <f>"2016.226310"</f>
        <v>2016.226310</v>
      </c>
      <c r="BM428" t="s">
        <v>1287</v>
      </c>
      <c r="BO428" t="s">
        <v>2973</v>
      </c>
      <c r="BS428">
        <v>30</v>
      </c>
      <c r="BW428" t="str">
        <f>""</f>
        <v/>
      </c>
      <c r="CH428" t="str">
        <f>""</f>
        <v/>
      </c>
      <c r="CS428" t="str">
        <f>""</f>
        <v/>
      </c>
    </row>
    <row r="429" spans="1:97" x14ac:dyDescent="0.25">
      <c r="A429" t="s">
        <v>2974</v>
      </c>
      <c r="B429" t="s">
        <v>2975</v>
      </c>
      <c r="C429" t="s">
        <v>2976</v>
      </c>
      <c r="D429" t="s">
        <v>2977</v>
      </c>
      <c r="E429" t="s">
        <v>2978</v>
      </c>
      <c r="F429" t="s">
        <v>108</v>
      </c>
      <c r="H429" t="s">
        <v>2979</v>
      </c>
      <c r="I429" t="s">
        <v>2874</v>
      </c>
      <c r="J429" t="s">
        <v>111</v>
      </c>
      <c r="K429" t="str">
        <f>"85303"</f>
        <v>85303</v>
      </c>
      <c r="L429" t="s">
        <v>2875</v>
      </c>
      <c r="M429" t="s">
        <v>2979</v>
      </c>
      <c r="N429" t="s">
        <v>2874</v>
      </c>
      <c r="O429" t="s">
        <v>111</v>
      </c>
      <c r="P429" t="str">
        <f>"85303-3201"</f>
        <v>85303-3201</v>
      </c>
      <c r="Q429" t="s">
        <v>113</v>
      </c>
      <c r="R429" t="str">
        <f>"102-05-442"</f>
        <v>102-05-442</v>
      </c>
      <c r="S429" t="s">
        <v>2876</v>
      </c>
      <c r="T429" t="s">
        <v>2876</v>
      </c>
      <c r="U429">
        <v>1629</v>
      </c>
      <c r="W429">
        <v>3</v>
      </c>
      <c r="X429">
        <v>2015</v>
      </c>
      <c r="Z429">
        <v>1</v>
      </c>
      <c r="AA429" t="s">
        <v>26</v>
      </c>
      <c r="AC429" t="s">
        <v>115</v>
      </c>
      <c r="AD429">
        <v>3</v>
      </c>
      <c r="AE429" t="s">
        <v>115</v>
      </c>
      <c r="AH429" t="s">
        <v>116</v>
      </c>
      <c r="AI429" s="1">
        <v>69775</v>
      </c>
      <c r="AJ429" s="2">
        <v>0.23</v>
      </c>
      <c r="AK429" s="1">
        <v>297905</v>
      </c>
      <c r="AL429" t="s">
        <v>117</v>
      </c>
      <c r="AM429" t="s">
        <v>393</v>
      </c>
      <c r="AN429">
        <v>7200</v>
      </c>
      <c r="AO429">
        <v>0.16</v>
      </c>
      <c r="AR429">
        <v>1</v>
      </c>
      <c r="AS429" s="1">
        <v>23050</v>
      </c>
      <c r="AT429" s="1">
        <v>4610</v>
      </c>
      <c r="AU429" s="1">
        <v>18440</v>
      </c>
      <c r="AV429">
        <v>80</v>
      </c>
      <c r="AX429" s="1">
        <v>2169.7800000000002</v>
      </c>
      <c r="AY429" t="s">
        <v>2877</v>
      </c>
      <c r="AZ429" t="s">
        <v>2877</v>
      </c>
      <c r="BA429" t="s">
        <v>2878</v>
      </c>
      <c r="BE429" s="3">
        <v>42213</v>
      </c>
      <c r="BF429" s="1">
        <v>229085</v>
      </c>
      <c r="BG429" t="s">
        <v>2879</v>
      </c>
      <c r="BH429" s="1">
        <v>140.63</v>
      </c>
      <c r="BI429" s="1">
        <v>228130</v>
      </c>
      <c r="BJ429" s="3">
        <v>42466</v>
      </c>
      <c r="BK429" t="s">
        <v>123</v>
      </c>
      <c r="BL429" t="str">
        <f>"2016.227676"</f>
        <v>2016.227676</v>
      </c>
      <c r="BM429" t="s">
        <v>2980</v>
      </c>
      <c r="BO429" t="s">
        <v>2981</v>
      </c>
      <c r="BP429" t="s">
        <v>2982</v>
      </c>
      <c r="BS429">
        <v>30</v>
      </c>
      <c r="BW429" t="str">
        <f>""</f>
        <v/>
      </c>
      <c r="CH429" t="str">
        <f>""</f>
        <v/>
      </c>
      <c r="CS429" t="str">
        <f>""</f>
        <v/>
      </c>
    </row>
    <row r="430" spans="1:97" x14ac:dyDescent="0.25">
      <c r="A430" t="s">
        <v>2983</v>
      </c>
      <c r="B430" t="s">
        <v>1715</v>
      </c>
      <c r="C430" t="s">
        <v>2984</v>
      </c>
      <c r="D430" t="s">
        <v>1715</v>
      </c>
      <c r="E430" t="s">
        <v>2985</v>
      </c>
      <c r="F430" t="s">
        <v>108</v>
      </c>
      <c r="H430" t="s">
        <v>2986</v>
      </c>
      <c r="I430" t="s">
        <v>203</v>
      </c>
      <c r="J430" t="s">
        <v>111</v>
      </c>
      <c r="K430" t="str">
        <f>"85298"</f>
        <v>85298</v>
      </c>
      <c r="L430" t="s">
        <v>269</v>
      </c>
      <c r="M430" t="s">
        <v>2986</v>
      </c>
      <c r="N430" t="s">
        <v>203</v>
      </c>
      <c r="O430" t="s">
        <v>111</v>
      </c>
      <c r="P430" t="str">
        <f>"85298"</f>
        <v>85298</v>
      </c>
      <c r="Q430" t="s">
        <v>113</v>
      </c>
      <c r="R430" t="str">
        <f>"313-19-007"</f>
        <v>313-19-007</v>
      </c>
      <c r="S430" t="s">
        <v>2803</v>
      </c>
      <c r="T430" t="s">
        <v>271</v>
      </c>
      <c r="U430">
        <v>1759</v>
      </c>
      <c r="W430">
        <v>2</v>
      </c>
      <c r="X430">
        <v>2015</v>
      </c>
      <c r="Z430">
        <v>1</v>
      </c>
      <c r="AC430" t="s">
        <v>115</v>
      </c>
      <c r="AD430">
        <v>2</v>
      </c>
      <c r="AE430" t="s">
        <v>115</v>
      </c>
      <c r="AH430" t="s">
        <v>116</v>
      </c>
      <c r="AI430" s="1">
        <v>58723</v>
      </c>
      <c r="AJ430" s="2">
        <v>0.17</v>
      </c>
      <c r="AK430" s="1">
        <v>342087</v>
      </c>
      <c r="AL430" t="s">
        <v>117</v>
      </c>
      <c r="AM430" t="s">
        <v>191</v>
      </c>
      <c r="AN430">
        <v>5987</v>
      </c>
      <c r="AO430">
        <v>0.14000000000000001</v>
      </c>
      <c r="AR430">
        <v>1</v>
      </c>
      <c r="AS430" s="1">
        <v>23660</v>
      </c>
      <c r="AT430" s="1">
        <v>4730</v>
      </c>
      <c r="AU430" s="1">
        <v>18930</v>
      </c>
      <c r="AV430">
        <v>80.010000000000005</v>
      </c>
      <c r="AX430" s="1">
        <v>1747.38</v>
      </c>
      <c r="AY430" t="s">
        <v>272</v>
      </c>
      <c r="AZ430" t="s">
        <v>273</v>
      </c>
      <c r="BA430" t="s">
        <v>274</v>
      </c>
      <c r="BE430" s="3">
        <v>42079</v>
      </c>
      <c r="BF430" s="1">
        <v>254951</v>
      </c>
      <c r="BG430" t="s">
        <v>275</v>
      </c>
      <c r="BH430" s="1">
        <v>144.94</v>
      </c>
      <c r="BI430" s="1">
        <v>263364</v>
      </c>
      <c r="BJ430" s="3">
        <v>42079</v>
      </c>
      <c r="BK430" t="s">
        <v>123</v>
      </c>
      <c r="BL430" t="str">
        <f>"2015.173380"</f>
        <v>2015.173380</v>
      </c>
      <c r="BM430" t="s">
        <v>651</v>
      </c>
      <c r="BN430" t="s">
        <v>652</v>
      </c>
      <c r="BO430" t="s">
        <v>2987</v>
      </c>
      <c r="BS430">
        <v>30</v>
      </c>
      <c r="BT430" s="1">
        <v>20000</v>
      </c>
      <c r="BU430" s="3">
        <v>43159</v>
      </c>
      <c r="BV430" t="s">
        <v>134</v>
      </c>
      <c r="BW430" t="str">
        <f>"2018.152386"</f>
        <v>2018.152386</v>
      </c>
      <c r="BX430" t="s">
        <v>1948</v>
      </c>
      <c r="BY430" t="s">
        <v>2988</v>
      </c>
      <c r="BZ430" t="s">
        <v>2989</v>
      </c>
      <c r="CA430" t="s">
        <v>2990</v>
      </c>
      <c r="CC430" t="s">
        <v>139</v>
      </c>
      <c r="CH430" t="str">
        <f>""</f>
        <v/>
      </c>
      <c r="CS430" t="str">
        <f>""</f>
        <v/>
      </c>
    </row>
    <row r="431" spans="1:97" x14ac:dyDescent="0.25">
      <c r="A431" t="s">
        <v>2991</v>
      </c>
      <c r="B431" t="s">
        <v>2599</v>
      </c>
      <c r="C431" t="s">
        <v>2992</v>
      </c>
      <c r="D431" t="s">
        <v>2599</v>
      </c>
      <c r="E431" t="s">
        <v>2993</v>
      </c>
      <c r="F431" t="s">
        <v>108</v>
      </c>
      <c r="H431" t="s">
        <v>2994</v>
      </c>
      <c r="I431" t="s">
        <v>2874</v>
      </c>
      <c r="J431" t="s">
        <v>111</v>
      </c>
      <c r="K431" t="str">
        <f>"85306"</f>
        <v>85306</v>
      </c>
      <c r="L431" t="s">
        <v>2963</v>
      </c>
      <c r="M431" t="s">
        <v>2994</v>
      </c>
      <c r="N431" t="s">
        <v>2874</v>
      </c>
      <c r="O431" t="s">
        <v>111</v>
      </c>
      <c r="P431" t="str">
        <f>"85306-4444"</f>
        <v>85306-4444</v>
      </c>
      <c r="Q431" t="s">
        <v>113</v>
      </c>
      <c r="R431" t="str">
        <f>"207-33-589"</f>
        <v>207-33-589</v>
      </c>
      <c r="S431" t="s">
        <v>2995</v>
      </c>
      <c r="T431" t="s">
        <v>2995</v>
      </c>
      <c r="U431">
        <v>2647</v>
      </c>
      <c r="W431">
        <v>3</v>
      </c>
      <c r="X431">
        <v>2014</v>
      </c>
      <c r="Z431">
        <v>2</v>
      </c>
      <c r="AC431" t="s">
        <v>115</v>
      </c>
      <c r="AD431">
        <v>2</v>
      </c>
      <c r="AE431" t="s">
        <v>115</v>
      </c>
      <c r="AH431" t="s">
        <v>116</v>
      </c>
      <c r="AI431" s="1">
        <v>88906</v>
      </c>
      <c r="AJ431" s="2">
        <v>0.26</v>
      </c>
      <c r="AK431" s="1">
        <v>345183</v>
      </c>
      <c r="AL431" t="s">
        <v>117</v>
      </c>
      <c r="AM431" t="s">
        <v>171</v>
      </c>
      <c r="AN431">
        <v>4918</v>
      </c>
      <c r="AO431">
        <v>0.11</v>
      </c>
      <c r="AR431">
        <v>1</v>
      </c>
      <c r="AS431" s="1">
        <v>24830</v>
      </c>
      <c r="AT431" s="1">
        <v>4960</v>
      </c>
      <c r="AU431" s="1">
        <v>19870</v>
      </c>
      <c r="AV431">
        <v>80.02</v>
      </c>
      <c r="AX431" s="1">
        <v>2347.1799999999998</v>
      </c>
      <c r="AY431" t="s">
        <v>2996</v>
      </c>
      <c r="AZ431" t="s">
        <v>2997</v>
      </c>
      <c r="BA431" t="s">
        <v>2998</v>
      </c>
      <c r="BE431" s="3">
        <v>42011</v>
      </c>
      <c r="BF431" s="1">
        <v>251848</v>
      </c>
      <c r="BG431" t="s">
        <v>2358</v>
      </c>
      <c r="BH431" s="1">
        <v>93.83</v>
      </c>
      <c r="BI431" s="1">
        <v>256277</v>
      </c>
      <c r="BJ431" s="3">
        <v>42471</v>
      </c>
      <c r="BK431" t="s">
        <v>123</v>
      </c>
      <c r="BL431" t="str">
        <f>"2016.235757"</f>
        <v>2016.235757</v>
      </c>
      <c r="BM431" t="s">
        <v>402</v>
      </c>
      <c r="BO431" t="s">
        <v>2999</v>
      </c>
      <c r="BS431">
        <v>30</v>
      </c>
      <c r="BW431" t="str">
        <f>""</f>
        <v/>
      </c>
      <c r="CH431" t="str">
        <f>""</f>
        <v/>
      </c>
      <c r="CS431" t="str">
        <f>""</f>
        <v/>
      </c>
    </row>
    <row r="432" spans="1:97" x14ac:dyDescent="0.25">
      <c r="A432" t="s">
        <v>3000</v>
      </c>
      <c r="B432" t="s">
        <v>3001</v>
      </c>
      <c r="E432" t="s">
        <v>3002</v>
      </c>
      <c r="F432" t="s">
        <v>108</v>
      </c>
      <c r="H432" t="s">
        <v>3003</v>
      </c>
      <c r="I432" t="s">
        <v>144</v>
      </c>
      <c r="J432" t="s">
        <v>111</v>
      </c>
      <c r="K432" t="str">
        <f>"85396"</f>
        <v>85396</v>
      </c>
      <c r="L432" t="s">
        <v>145</v>
      </c>
      <c r="M432" t="s">
        <v>3003</v>
      </c>
      <c r="N432" t="s">
        <v>144</v>
      </c>
      <c r="O432" t="s">
        <v>111</v>
      </c>
      <c r="P432" t="str">
        <f>"85396-1706"</f>
        <v>85396-1706</v>
      </c>
      <c r="Q432" t="s">
        <v>113</v>
      </c>
      <c r="R432" t="str">
        <f>"502-83-635"</f>
        <v>502-83-635</v>
      </c>
      <c r="S432" t="s">
        <v>1652</v>
      </c>
      <c r="U432">
        <v>3848</v>
      </c>
      <c r="W432">
        <v>5</v>
      </c>
      <c r="X432">
        <v>2014</v>
      </c>
      <c r="Z432">
        <v>2</v>
      </c>
      <c r="AC432" t="s">
        <v>115</v>
      </c>
      <c r="AD432">
        <v>3</v>
      </c>
      <c r="AE432" t="s">
        <v>115</v>
      </c>
      <c r="AH432" t="s">
        <v>116</v>
      </c>
      <c r="AI432" s="1">
        <v>67268</v>
      </c>
      <c r="AJ432" s="2">
        <v>0.16</v>
      </c>
      <c r="AK432" s="1">
        <v>424878</v>
      </c>
      <c r="AL432" t="s">
        <v>117</v>
      </c>
      <c r="AM432" t="s">
        <v>118</v>
      </c>
      <c r="AN432">
        <v>8193</v>
      </c>
      <c r="AO432">
        <v>0.19</v>
      </c>
      <c r="AR432">
        <v>1</v>
      </c>
      <c r="AS432" s="1">
        <v>29030</v>
      </c>
      <c r="AT432" s="1">
        <v>5800</v>
      </c>
      <c r="AU432" s="1">
        <v>23230</v>
      </c>
      <c r="AV432">
        <v>80.02</v>
      </c>
      <c r="AX432" s="1">
        <v>3978.7</v>
      </c>
      <c r="AY432" t="s">
        <v>217</v>
      </c>
      <c r="AZ432" t="s">
        <v>217</v>
      </c>
      <c r="BA432" t="s">
        <v>218</v>
      </c>
      <c r="BE432" s="3">
        <v>41920</v>
      </c>
      <c r="BF432" s="1">
        <v>364046</v>
      </c>
      <c r="BG432" t="s">
        <v>562</v>
      </c>
      <c r="BH432" s="1">
        <v>94.61</v>
      </c>
      <c r="BI432" s="1">
        <v>357610</v>
      </c>
      <c r="BJ432" s="3">
        <v>42711</v>
      </c>
      <c r="BK432" t="s">
        <v>123</v>
      </c>
      <c r="BL432" t="str">
        <f>"2016.902209"</f>
        <v>2016.902209</v>
      </c>
      <c r="BM432" t="s">
        <v>3004</v>
      </c>
      <c r="BO432" t="s">
        <v>3005</v>
      </c>
      <c r="BS432">
        <v>30</v>
      </c>
      <c r="BW432" t="str">
        <f>""</f>
        <v/>
      </c>
      <c r="CH432" t="str">
        <f>""</f>
        <v/>
      </c>
      <c r="CS432" t="str">
        <f>""</f>
        <v/>
      </c>
    </row>
    <row r="433" spans="1:97" x14ac:dyDescent="0.25">
      <c r="A433" t="s">
        <v>2828</v>
      </c>
      <c r="B433" t="s">
        <v>3006</v>
      </c>
      <c r="E433" t="s">
        <v>3007</v>
      </c>
      <c r="F433" t="s">
        <v>108</v>
      </c>
      <c r="H433" t="s">
        <v>3008</v>
      </c>
      <c r="I433" t="s">
        <v>144</v>
      </c>
      <c r="J433" t="s">
        <v>111</v>
      </c>
      <c r="K433" t="str">
        <f>"85396"</f>
        <v>85396</v>
      </c>
      <c r="L433" t="s">
        <v>145</v>
      </c>
      <c r="M433" t="s">
        <v>3008</v>
      </c>
      <c r="N433" t="s">
        <v>144</v>
      </c>
      <c r="O433" t="s">
        <v>111</v>
      </c>
      <c r="P433" t="str">
        <f>"85396-1762"</f>
        <v>85396-1762</v>
      </c>
      <c r="Q433" t="s">
        <v>113</v>
      </c>
      <c r="R433" t="str">
        <f>"502-83-638"</f>
        <v>502-83-638</v>
      </c>
      <c r="S433" t="s">
        <v>1652</v>
      </c>
      <c r="U433">
        <v>3084</v>
      </c>
      <c r="W433">
        <v>4</v>
      </c>
      <c r="X433">
        <v>2014</v>
      </c>
      <c r="Z433">
        <v>2</v>
      </c>
      <c r="AC433" t="s">
        <v>115</v>
      </c>
      <c r="AD433">
        <v>3</v>
      </c>
      <c r="AE433" t="s">
        <v>115</v>
      </c>
      <c r="AH433" t="s">
        <v>116</v>
      </c>
      <c r="AI433" s="1">
        <v>45540</v>
      </c>
      <c r="AJ433" s="2">
        <v>0.12</v>
      </c>
      <c r="AK433" s="1">
        <v>375582</v>
      </c>
      <c r="AL433" t="s">
        <v>117</v>
      </c>
      <c r="AM433" t="s">
        <v>118</v>
      </c>
      <c r="AN433">
        <v>6287</v>
      </c>
      <c r="AO433">
        <v>0.14000000000000001</v>
      </c>
      <c r="AR433">
        <v>1</v>
      </c>
      <c r="AS433" s="1">
        <v>25300</v>
      </c>
      <c r="AT433" s="1">
        <v>5060</v>
      </c>
      <c r="AU433" s="1">
        <v>20240</v>
      </c>
      <c r="AV433">
        <v>80</v>
      </c>
      <c r="AX433" s="1">
        <v>3333.72</v>
      </c>
      <c r="AY433" t="s">
        <v>217</v>
      </c>
      <c r="AZ433" t="s">
        <v>217</v>
      </c>
      <c r="BA433" t="s">
        <v>218</v>
      </c>
      <c r="BE433" s="3">
        <v>42243</v>
      </c>
      <c r="BF433" s="1">
        <v>328042</v>
      </c>
      <c r="BG433" t="s">
        <v>562</v>
      </c>
      <c r="BH433" s="1">
        <v>106.37</v>
      </c>
      <c r="BI433" s="1">
        <v>330042</v>
      </c>
      <c r="BJ433" s="3">
        <v>42964</v>
      </c>
      <c r="BK433" t="s">
        <v>123</v>
      </c>
      <c r="BL433" t="str">
        <f>"2017.606758"</f>
        <v>2017.606758</v>
      </c>
      <c r="BM433" t="s">
        <v>361</v>
      </c>
      <c r="BO433" t="s">
        <v>3009</v>
      </c>
      <c r="BS433">
        <v>30</v>
      </c>
      <c r="BW433" t="str">
        <f>""</f>
        <v/>
      </c>
      <c r="CH433" t="str">
        <f>""</f>
        <v/>
      </c>
      <c r="CS433" t="str">
        <f>""</f>
        <v/>
      </c>
    </row>
    <row r="434" spans="1:97" x14ac:dyDescent="0.25">
      <c r="A434" t="s">
        <v>753</v>
      </c>
      <c r="B434" t="s">
        <v>3010</v>
      </c>
      <c r="C434" t="s">
        <v>945</v>
      </c>
      <c r="D434" t="s">
        <v>3010</v>
      </c>
      <c r="E434" t="s">
        <v>3011</v>
      </c>
      <c r="F434" t="s">
        <v>108</v>
      </c>
      <c r="H434" t="s">
        <v>3012</v>
      </c>
      <c r="I434" t="s">
        <v>144</v>
      </c>
      <c r="J434" t="s">
        <v>111</v>
      </c>
      <c r="K434" t="str">
        <f>"85396"</f>
        <v>85396</v>
      </c>
      <c r="L434" t="s">
        <v>145</v>
      </c>
      <c r="M434" t="s">
        <v>3012</v>
      </c>
      <c r="N434" t="s">
        <v>144</v>
      </c>
      <c r="O434" t="s">
        <v>111</v>
      </c>
      <c r="P434" t="str">
        <f>"85396-1709"</f>
        <v>85396-1709</v>
      </c>
      <c r="Q434" t="s">
        <v>113</v>
      </c>
      <c r="R434" t="str">
        <f>"502-83-647"</f>
        <v>502-83-647</v>
      </c>
      <c r="S434" t="s">
        <v>1652</v>
      </c>
      <c r="U434">
        <v>2058</v>
      </c>
      <c r="W434">
        <v>3</v>
      </c>
      <c r="X434">
        <v>2014</v>
      </c>
      <c r="Z434">
        <v>1</v>
      </c>
      <c r="AC434" t="s">
        <v>115</v>
      </c>
      <c r="AD434">
        <v>3</v>
      </c>
      <c r="AE434" t="s">
        <v>115</v>
      </c>
      <c r="AH434" t="s">
        <v>116</v>
      </c>
      <c r="AI434" s="1">
        <v>24295</v>
      </c>
      <c r="AJ434" s="2">
        <v>0.08</v>
      </c>
      <c r="AK434" s="1">
        <v>322380</v>
      </c>
      <c r="AL434" t="s">
        <v>117</v>
      </c>
      <c r="AM434" t="s">
        <v>118</v>
      </c>
      <c r="AN434">
        <v>6000</v>
      </c>
      <c r="AO434">
        <v>0.14000000000000001</v>
      </c>
      <c r="AR434">
        <v>1</v>
      </c>
      <c r="AS434" s="1">
        <v>22300</v>
      </c>
      <c r="AT434" s="1">
        <v>4460</v>
      </c>
      <c r="AU434" s="1">
        <v>17840</v>
      </c>
      <c r="AV434">
        <v>80</v>
      </c>
      <c r="AX434" s="1">
        <v>2888.3</v>
      </c>
      <c r="AY434" t="s">
        <v>217</v>
      </c>
      <c r="AZ434" t="s">
        <v>217</v>
      </c>
      <c r="BA434" t="s">
        <v>218</v>
      </c>
      <c r="BE434" s="3">
        <v>41962</v>
      </c>
      <c r="BF434" s="1">
        <v>288563</v>
      </c>
      <c r="BG434" t="s">
        <v>562</v>
      </c>
      <c r="BH434" s="1">
        <v>140.22</v>
      </c>
      <c r="BI434" s="1">
        <v>298085</v>
      </c>
      <c r="BJ434" s="3">
        <v>41962</v>
      </c>
      <c r="BK434" t="s">
        <v>123</v>
      </c>
      <c r="BL434" t="str">
        <f>"2014.765824"</f>
        <v>2014.765824</v>
      </c>
      <c r="BM434" t="s">
        <v>131</v>
      </c>
      <c r="BO434" t="s">
        <v>3013</v>
      </c>
      <c r="BS434">
        <v>30</v>
      </c>
      <c r="BW434" t="str">
        <f>""</f>
        <v/>
      </c>
      <c r="CH434" t="str">
        <f>""</f>
        <v/>
      </c>
      <c r="CS434" t="str">
        <f>""</f>
        <v/>
      </c>
    </row>
    <row r="435" spans="1:97" x14ac:dyDescent="0.25">
      <c r="A435" t="s">
        <v>152</v>
      </c>
      <c r="B435" t="s">
        <v>3014</v>
      </c>
      <c r="E435" t="s">
        <v>3015</v>
      </c>
      <c r="F435" t="s">
        <v>108</v>
      </c>
      <c r="H435" t="s">
        <v>3016</v>
      </c>
      <c r="I435" t="s">
        <v>499</v>
      </c>
      <c r="J435" t="s">
        <v>111</v>
      </c>
      <c r="K435" t="str">
        <f>"85395"</f>
        <v>85395</v>
      </c>
      <c r="L435" t="s">
        <v>541</v>
      </c>
      <c r="M435" t="s">
        <v>3016</v>
      </c>
      <c r="N435" t="s">
        <v>499</v>
      </c>
      <c r="O435" t="s">
        <v>111</v>
      </c>
      <c r="P435" t="str">
        <f>"85395-7175"</f>
        <v>85395-7175</v>
      </c>
      <c r="Q435" t="s">
        <v>113</v>
      </c>
      <c r="R435" t="str">
        <f>"508-14-970"</f>
        <v>508-14-970</v>
      </c>
      <c r="S435" t="s">
        <v>3017</v>
      </c>
      <c r="T435" t="s">
        <v>3018</v>
      </c>
      <c r="U435">
        <v>2289</v>
      </c>
      <c r="W435">
        <v>3</v>
      </c>
      <c r="X435">
        <v>2014</v>
      </c>
      <c r="Z435">
        <v>1</v>
      </c>
      <c r="AA435" t="s">
        <v>26</v>
      </c>
      <c r="AC435" t="s">
        <v>115</v>
      </c>
      <c r="AD435">
        <v>3</v>
      </c>
      <c r="AE435" t="s">
        <v>115</v>
      </c>
      <c r="AH435" t="s">
        <v>116</v>
      </c>
      <c r="AI435" s="1">
        <v>1875</v>
      </c>
      <c r="AJ435" s="2">
        <v>0</v>
      </c>
      <c r="AK435" s="1">
        <v>384313</v>
      </c>
      <c r="AL435" t="s">
        <v>117</v>
      </c>
      <c r="AM435" t="s">
        <v>118</v>
      </c>
      <c r="AN435">
        <v>8100</v>
      </c>
      <c r="AO435">
        <v>0.19</v>
      </c>
      <c r="AR435">
        <v>1</v>
      </c>
      <c r="AS435" s="1">
        <v>28010</v>
      </c>
      <c r="AT435" s="1">
        <v>5600</v>
      </c>
      <c r="AU435" s="1">
        <v>22410</v>
      </c>
      <c r="AV435">
        <v>80.010000000000005</v>
      </c>
      <c r="AX435" s="1">
        <v>3678.24</v>
      </c>
      <c r="AY435" t="s">
        <v>3019</v>
      </c>
      <c r="AZ435" t="s">
        <v>3020</v>
      </c>
      <c r="BA435" t="s">
        <v>218</v>
      </c>
      <c r="BE435" s="3">
        <v>41960</v>
      </c>
      <c r="BF435" s="1">
        <v>339293</v>
      </c>
      <c r="BG435" t="s">
        <v>3021</v>
      </c>
      <c r="BH435" s="1">
        <v>148.22999999999999</v>
      </c>
      <c r="BI435" s="1">
        <v>344516</v>
      </c>
      <c r="BJ435" s="3">
        <v>42718</v>
      </c>
      <c r="BK435" t="s">
        <v>123</v>
      </c>
      <c r="BL435" t="str">
        <f>"2016.918222"</f>
        <v>2016.918222</v>
      </c>
      <c r="BM435" t="s">
        <v>402</v>
      </c>
      <c r="BO435" t="s">
        <v>3022</v>
      </c>
      <c r="BS435">
        <v>30</v>
      </c>
      <c r="BT435" s="1">
        <v>37922</v>
      </c>
      <c r="BU435" s="3">
        <v>42003</v>
      </c>
      <c r="BV435" t="s">
        <v>134</v>
      </c>
      <c r="BW435" t="str">
        <f>"2014.855856"</f>
        <v>2014.855856</v>
      </c>
      <c r="BX435" t="s">
        <v>198</v>
      </c>
      <c r="BZ435" t="s">
        <v>3022</v>
      </c>
      <c r="CD435">
        <v>15</v>
      </c>
      <c r="CH435" t="str">
        <f>""</f>
        <v/>
      </c>
      <c r="CS435" t="str">
        <f>""</f>
        <v/>
      </c>
    </row>
    <row r="436" spans="1:97" x14ac:dyDescent="0.25">
      <c r="A436" t="s">
        <v>3023</v>
      </c>
      <c r="B436" t="s">
        <v>3024</v>
      </c>
      <c r="C436" t="s">
        <v>870</v>
      </c>
      <c r="D436" t="s">
        <v>3024</v>
      </c>
      <c r="E436" t="s">
        <v>3025</v>
      </c>
      <c r="F436" t="s">
        <v>108</v>
      </c>
      <c r="H436" t="s">
        <v>3026</v>
      </c>
      <c r="I436" t="s">
        <v>2874</v>
      </c>
      <c r="J436" t="s">
        <v>111</v>
      </c>
      <c r="K436" t="str">
        <f>"85303"</f>
        <v>85303</v>
      </c>
      <c r="L436" t="s">
        <v>2875</v>
      </c>
      <c r="M436" t="s">
        <v>3026</v>
      </c>
      <c r="N436" t="s">
        <v>2874</v>
      </c>
      <c r="O436" t="s">
        <v>111</v>
      </c>
      <c r="P436" t="str">
        <f>"85303-3243"</f>
        <v>85303-3243</v>
      </c>
      <c r="Q436" t="s">
        <v>113</v>
      </c>
      <c r="R436" t="str">
        <f>"102-05-454"</f>
        <v>102-05-454</v>
      </c>
      <c r="S436" t="s">
        <v>2876</v>
      </c>
      <c r="T436" t="s">
        <v>2876</v>
      </c>
      <c r="U436">
        <v>3183</v>
      </c>
      <c r="W436">
        <v>5</v>
      </c>
      <c r="X436">
        <v>2014</v>
      </c>
      <c r="Z436">
        <v>2</v>
      </c>
      <c r="AC436" t="s">
        <v>115</v>
      </c>
      <c r="AD436">
        <v>2</v>
      </c>
      <c r="AE436" t="s">
        <v>115</v>
      </c>
      <c r="AH436" t="s">
        <v>116</v>
      </c>
      <c r="AI436" s="1">
        <v>77380</v>
      </c>
      <c r="AJ436" s="2">
        <v>0.2</v>
      </c>
      <c r="AK436" s="1">
        <v>388659</v>
      </c>
      <c r="AL436" t="s">
        <v>117</v>
      </c>
      <c r="AM436" t="s">
        <v>393</v>
      </c>
      <c r="AN436">
        <v>7200</v>
      </c>
      <c r="AO436">
        <v>0.16</v>
      </c>
      <c r="AR436">
        <v>1</v>
      </c>
      <c r="AS436" s="1">
        <v>28200</v>
      </c>
      <c r="AT436" s="1">
        <v>5640</v>
      </c>
      <c r="AU436" s="1">
        <v>22560</v>
      </c>
      <c r="AV436">
        <v>80</v>
      </c>
      <c r="AX436" s="1">
        <v>3560.62</v>
      </c>
      <c r="AY436" t="s">
        <v>2877</v>
      </c>
      <c r="AZ436" t="s">
        <v>2877</v>
      </c>
      <c r="BA436" t="s">
        <v>2878</v>
      </c>
      <c r="BE436" s="3">
        <v>42187</v>
      </c>
      <c r="BF436" s="1">
        <v>308250</v>
      </c>
      <c r="BG436" t="s">
        <v>2879</v>
      </c>
      <c r="BH436" s="1">
        <v>96.84</v>
      </c>
      <c r="BI436" s="1">
        <v>311279</v>
      </c>
      <c r="BJ436" s="3">
        <v>42670</v>
      </c>
      <c r="BK436" t="s">
        <v>123</v>
      </c>
      <c r="BL436" t="str">
        <f>"2016.787865"</f>
        <v>2016.787865</v>
      </c>
      <c r="BM436" t="s">
        <v>402</v>
      </c>
      <c r="BO436" t="s">
        <v>3027</v>
      </c>
      <c r="BS436">
        <v>30</v>
      </c>
      <c r="BW436" t="str">
        <f>""</f>
        <v/>
      </c>
      <c r="CH436" t="str">
        <f>""</f>
        <v/>
      </c>
      <c r="CS436" t="str">
        <f>""</f>
        <v/>
      </c>
    </row>
    <row r="437" spans="1:97" x14ac:dyDescent="0.25">
      <c r="A437" t="s">
        <v>3028</v>
      </c>
      <c r="B437" t="s">
        <v>3029</v>
      </c>
      <c r="C437" t="s">
        <v>355</v>
      </c>
      <c r="D437" t="s">
        <v>3029</v>
      </c>
      <c r="E437" t="s">
        <v>3030</v>
      </c>
      <c r="F437" t="s">
        <v>108</v>
      </c>
      <c r="H437" t="s">
        <v>3031</v>
      </c>
      <c r="I437" t="s">
        <v>144</v>
      </c>
      <c r="J437" t="s">
        <v>111</v>
      </c>
      <c r="K437" t="str">
        <f>"85396"</f>
        <v>85396</v>
      </c>
      <c r="L437" t="s">
        <v>145</v>
      </c>
      <c r="M437" t="s">
        <v>3031</v>
      </c>
      <c r="N437" t="s">
        <v>144</v>
      </c>
      <c r="O437" t="s">
        <v>111</v>
      </c>
      <c r="P437" t="str">
        <f>"85396-1704"</f>
        <v>85396-1704</v>
      </c>
      <c r="Q437" t="s">
        <v>113</v>
      </c>
      <c r="R437" t="str">
        <f>"502-83-617"</f>
        <v>502-83-617</v>
      </c>
      <c r="S437" t="s">
        <v>1652</v>
      </c>
      <c r="U437">
        <v>1860</v>
      </c>
      <c r="W437">
        <v>4</v>
      </c>
      <c r="X437">
        <v>2015</v>
      </c>
      <c r="Z437">
        <v>1</v>
      </c>
      <c r="AC437" t="s">
        <v>115</v>
      </c>
      <c r="AD437">
        <v>2</v>
      </c>
      <c r="AE437" t="s">
        <v>115</v>
      </c>
      <c r="AH437" t="s">
        <v>116</v>
      </c>
      <c r="AI437" s="1">
        <v>22313</v>
      </c>
      <c r="AJ437" s="2">
        <v>7.0000000000000007E-2</v>
      </c>
      <c r="AK437" s="1">
        <v>299157</v>
      </c>
      <c r="AL437" t="s">
        <v>117</v>
      </c>
      <c r="AM437" t="s">
        <v>118</v>
      </c>
      <c r="AN437">
        <v>5860</v>
      </c>
      <c r="AO437">
        <v>0.14000000000000001</v>
      </c>
      <c r="AR437">
        <v>1</v>
      </c>
      <c r="AS437" s="1">
        <v>21460</v>
      </c>
      <c r="AT437" s="1">
        <v>4290</v>
      </c>
      <c r="AU437" s="1">
        <v>17170</v>
      </c>
      <c r="AV437">
        <v>80.010000000000005</v>
      </c>
      <c r="AX437" s="1">
        <v>2808.86</v>
      </c>
      <c r="AY437" t="s">
        <v>217</v>
      </c>
      <c r="AZ437" t="s">
        <v>217</v>
      </c>
      <c r="BA437" t="s">
        <v>218</v>
      </c>
      <c r="BE437" s="3">
        <v>42142</v>
      </c>
      <c r="BF437" s="1">
        <v>256626</v>
      </c>
      <c r="BG437" t="s">
        <v>636</v>
      </c>
      <c r="BH437" s="1">
        <v>137.97</v>
      </c>
      <c r="BI437" s="1">
        <v>276844</v>
      </c>
      <c r="BJ437" s="3">
        <v>43605</v>
      </c>
      <c r="BK437" t="s">
        <v>123</v>
      </c>
      <c r="BL437" t="str">
        <f>"2019.368725"</f>
        <v>2019.368725</v>
      </c>
      <c r="BM437" t="s">
        <v>159</v>
      </c>
      <c r="BN437" t="s">
        <v>160</v>
      </c>
      <c r="BO437" t="s">
        <v>3032</v>
      </c>
      <c r="BP437" t="s">
        <v>3033</v>
      </c>
      <c r="BR437" t="s">
        <v>139</v>
      </c>
      <c r="BW437" t="str">
        <f>""</f>
        <v/>
      </c>
      <c r="CH437" t="str">
        <f>""</f>
        <v/>
      </c>
      <c r="CS437" t="str">
        <f>""</f>
        <v/>
      </c>
    </row>
    <row r="438" spans="1:97" x14ac:dyDescent="0.25">
      <c r="A438" t="s">
        <v>996</v>
      </c>
      <c r="B438" t="s">
        <v>3034</v>
      </c>
      <c r="C438" t="s">
        <v>970</v>
      </c>
      <c r="D438" t="s">
        <v>3034</v>
      </c>
      <c r="E438" t="s">
        <v>3035</v>
      </c>
      <c r="F438" t="s">
        <v>108</v>
      </c>
      <c r="H438" t="s">
        <v>3036</v>
      </c>
      <c r="I438" t="s">
        <v>144</v>
      </c>
      <c r="J438" t="s">
        <v>111</v>
      </c>
      <c r="K438" t="str">
        <f>"85326"</f>
        <v>85326</v>
      </c>
      <c r="L438" t="s">
        <v>3037</v>
      </c>
      <c r="M438" t="s">
        <v>3036</v>
      </c>
      <c r="N438" t="s">
        <v>144</v>
      </c>
      <c r="O438" t="s">
        <v>111</v>
      </c>
      <c r="P438" t="str">
        <f>"85326-4772"</f>
        <v>85326-4772</v>
      </c>
      <c r="Q438" t="s">
        <v>113</v>
      </c>
      <c r="R438" t="str">
        <f>"400-58-116-D"</f>
        <v>400-58-116-D</v>
      </c>
      <c r="U438">
        <v>1984</v>
      </c>
      <c r="W438">
        <v>3</v>
      </c>
      <c r="X438">
        <v>2015</v>
      </c>
      <c r="Z438">
        <v>1</v>
      </c>
      <c r="AC438" t="s">
        <v>115</v>
      </c>
      <c r="AD438">
        <v>3</v>
      </c>
      <c r="AE438" t="s">
        <v>115</v>
      </c>
      <c r="AH438" t="s">
        <v>116</v>
      </c>
      <c r="AI438" s="1">
        <v>-37706</v>
      </c>
      <c r="AJ438" s="2">
        <v>-0.14000000000000001</v>
      </c>
      <c r="AK438" s="1">
        <v>274293</v>
      </c>
      <c r="AL438" t="s">
        <v>117</v>
      </c>
      <c r="AM438" t="s">
        <v>376</v>
      </c>
      <c r="AN438">
        <v>43570</v>
      </c>
      <c r="AO438">
        <v>1</v>
      </c>
      <c r="AR438">
        <v>1</v>
      </c>
      <c r="AS438" s="1">
        <v>21470</v>
      </c>
      <c r="AT438" s="1">
        <v>4290</v>
      </c>
      <c r="AU438" s="1">
        <v>17180</v>
      </c>
      <c r="AV438">
        <v>80.02</v>
      </c>
      <c r="AX438" s="1">
        <v>2109.7399999999998</v>
      </c>
      <c r="AY438" t="s">
        <v>3038</v>
      </c>
      <c r="AZ438" t="s">
        <v>3038</v>
      </c>
      <c r="BA438" t="s">
        <v>1247</v>
      </c>
      <c r="BE438" s="3">
        <v>42076</v>
      </c>
      <c r="BF438" s="1">
        <v>239000</v>
      </c>
      <c r="BG438" t="s">
        <v>3039</v>
      </c>
      <c r="BH438" s="1">
        <v>120.46</v>
      </c>
      <c r="BI438" s="1">
        <v>311999</v>
      </c>
      <c r="BJ438" s="3">
        <v>43609</v>
      </c>
      <c r="BK438" t="s">
        <v>123</v>
      </c>
      <c r="BL438" t="str">
        <f>"2019.384122"</f>
        <v>2019.384122</v>
      </c>
      <c r="BM438" t="s">
        <v>3040</v>
      </c>
      <c r="BN438" t="s">
        <v>3041</v>
      </c>
      <c r="BO438" t="s">
        <v>3042</v>
      </c>
      <c r="BP438" t="s">
        <v>3043</v>
      </c>
      <c r="BR438" t="s">
        <v>139</v>
      </c>
      <c r="BW438" t="str">
        <f>""</f>
        <v/>
      </c>
      <c r="CH438" t="str">
        <f>""</f>
        <v/>
      </c>
      <c r="CS438" t="str">
        <f>""</f>
        <v/>
      </c>
    </row>
    <row r="439" spans="1:97" x14ac:dyDescent="0.25">
      <c r="A439" t="s">
        <v>1850</v>
      </c>
      <c r="B439" t="s">
        <v>3044</v>
      </c>
      <c r="C439" t="s">
        <v>1126</v>
      </c>
      <c r="D439" t="s">
        <v>3044</v>
      </c>
      <c r="E439" t="s">
        <v>3045</v>
      </c>
      <c r="F439" t="s">
        <v>108</v>
      </c>
      <c r="H439" t="s">
        <v>3046</v>
      </c>
      <c r="I439" t="s">
        <v>2874</v>
      </c>
      <c r="J439" t="s">
        <v>111</v>
      </c>
      <c r="K439" t="str">
        <f>"85310"</f>
        <v>85310</v>
      </c>
      <c r="L439" t="s">
        <v>2765</v>
      </c>
      <c r="M439" t="s">
        <v>3046</v>
      </c>
      <c r="N439" t="s">
        <v>2874</v>
      </c>
      <c r="O439" t="s">
        <v>111</v>
      </c>
      <c r="P439" t="str">
        <f>"85310-2774"</f>
        <v>85310-2774</v>
      </c>
      <c r="Q439" t="s">
        <v>113</v>
      </c>
      <c r="R439" t="str">
        <f>"201-12-916"</f>
        <v>201-12-916</v>
      </c>
      <c r="S439" t="s">
        <v>3047</v>
      </c>
      <c r="U439">
        <v>1849</v>
      </c>
      <c r="W439">
        <v>2</v>
      </c>
      <c r="X439">
        <v>2014</v>
      </c>
      <c r="Z439">
        <v>1</v>
      </c>
      <c r="AC439" t="s">
        <v>115</v>
      </c>
      <c r="AD439">
        <v>2</v>
      </c>
      <c r="AE439" t="s">
        <v>115</v>
      </c>
      <c r="AH439" t="s">
        <v>116</v>
      </c>
      <c r="AI439" s="1">
        <v>58536</v>
      </c>
      <c r="AJ439" s="2">
        <v>0.17</v>
      </c>
      <c r="AK439" s="1">
        <v>338659</v>
      </c>
      <c r="AL439" t="s">
        <v>117</v>
      </c>
      <c r="AM439" t="s">
        <v>191</v>
      </c>
      <c r="AN439">
        <v>5572</v>
      </c>
      <c r="AO439">
        <v>0.13</v>
      </c>
      <c r="AR439">
        <v>1</v>
      </c>
      <c r="AS439" s="1">
        <v>24750</v>
      </c>
      <c r="AT439" s="1">
        <v>4950</v>
      </c>
      <c r="AU439" s="1">
        <v>19800</v>
      </c>
      <c r="AV439">
        <v>80</v>
      </c>
      <c r="AX439" s="1">
        <v>2266.8200000000002</v>
      </c>
      <c r="AY439" t="s">
        <v>3048</v>
      </c>
      <c r="AZ439" t="s">
        <v>3049</v>
      </c>
      <c r="BA439" t="s">
        <v>2223</v>
      </c>
      <c r="BE439" s="3">
        <v>41786</v>
      </c>
      <c r="BF439" s="1">
        <v>277262</v>
      </c>
      <c r="BG439" t="s">
        <v>1975</v>
      </c>
      <c r="BH439" s="1">
        <v>149.94999999999999</v>
      </c>
      <c r="BI439" s="1">
        <v>280123</v>
      </c>
      <c r="BJ439" s="3">
        <v>41786</v>
      </c>
      <c r="BK439" t="s">
        <v>123</v>
      </c>
      <c r="BL439" t="str">
        <f>"2014.341314"</f>
        <v>2014.341314</v>
      </c>
      <c r="BM439" t="s">
        <v>724</v>
      </c>
      <c r="BO439" t="s">
        <v>3050</v>
      </c>
      <c r="BS439">
        <v>30</v>
      </c>
      <c r="BW439" t="str">
        <f>""</f>
        <v/>
      </c>
      <c r="CH439" t="str">
        <f>""</f>
        <v/>
      </c>
      <c r="CS439" t="str">
        <f>""</f>
        <v/>
      </c>
    </row>
    <row r="440" spans="1:97" x14ac:dyDescent="0.25">
      <c r="A440" t="s">
        <v>3051</v>
      </c>
      <c r="B440" t="s">
        <v>3052</v>
      </c>
      <c r="E440" t="s">
        <v>3053</v>
      </c>
      <c r="F440" t="s">
        <v>108</v>
      </c>
      <c r="H440" t="s">
        <v>3054</v>
      </c>
      <c r="I440" t="s">
        <v>203</v>
      </c>
      <c r="J440" t="s">
        <v>111</v>
      </c>
      <c r="K440" t="str">
        <f>"85298"</f>
        <v>85298</v>
      </c>
      <c r="L440" t="s">
        <v>734</v>
      </c>
      <c r="M440" t="s">
        <v>3054</v>
      </c>
      <c r="N440" t="s">
        <v>203</v>
      </c>
      <c r="O440" t="s">
        <v>111</v>
      </c>
      <c r="P440" t="str">
        <f>"85298"</f>
        <v>85298</v>
      </c>
      <c r="Q440" t="s">
        <v>113</v>
      </c>
      <c r="R440" t="str">
        <f>"313-18-270"</f>
        <v>313-18-270</v>
      </c>
      <c r="S440" t="s">
        <v>1983</v>
      </c>
      <c r="U440">
        <v>2948</v>
      </c>
      <c r="W440">
        <v>4</v>
      </c>
      <c r="X440">
        <v>2014</v>
      </c>
      <c r="Z440">
        <v>1</v>
      </c>
      <c r="AC440" t="s">
        <v>115</v>
      </c>
      <c r="AD440">
        <v>3</v>
      </c>
      <c r="AE440" t="s">
        <v>115</v>
      </c>
      <c r="AH440" t="s">
        <v>116</v>
      </c>
      <c r="AI440" s="1">
        <v>197177</v>
      </c>
      <c r="AJ440" s="2">
        <v>0.37</v>
      </c>
      <c r="AK440" s="1">
        <v>528377</v>
      </c>
      <c r="AL440" t="s">
        <v>117</v>
      </c>
      <c r="AM440" t="s">
        <v>171</v>
      </c>
      <c r="AN440">
        <v>9000</v>
      </c>
      <c r="AO440">
        <v>0.21</v>
      </c>
      <c r="AR440">
        <v>1</v>
      </c>
      <c r="AS440" s="1">
        <v>38750</v>
      </c>
      <c r="AT440" s="1">
        <v>7750</v>
      </c>
      <c r="AU440" s="1">
        <v>31000</v>
      </c>
      <c r="AV440">
        <v>80</v>
      </c>
      <c r="AX440" s="1">
        <v>2872.86</v>
      </c>
      <c r="AY440" t="s">
        <v>737</v>
      </c>
      <c r="AZ440" t="s">
        <v>273</v>
      </c>
      <c r="BA440" t="s">
        <v>303</v>
      </c>
      <c r="BE440" s="3">
        <v>41921</v>
      </c>
      <c r="BF440" s="1">
        <v>414000</v>
      </c>
      <c r="BG440" t="s">
        <v>195</v>
      </c>
      <c r="BH440" s="1">
        <v>140.43</v>
      </c>
      <c r="BI440" s="1">
        <v>331200</v>
      </c>
      <c r="BJ440" s="3">
        <v>41921</v>
      </c>
      <c r="BK440" t="s">
        <v>123</v>
      </c>
      <c r="BL440" t="str">
        <f>"2014.670213"</f>
        <v>2014.670213</v>
      </c>
      <c r="BM440" t="s">
        <v>196</v>
      </c>
      <c r="BO440" t="s">
        <v>3055</v>
      </c>
      <c r="BS440">
        <v>30</v>
      </c>
      <c r="BW440" t="str">
        <f>""</f>
        <v/>
      </c>
      <c r="CH440" t="str">
        <f>""</f>
        <v/>
      </c>
      <c r="CS440" t="str">
        <f>""</f>
        <v/>
      </c>
    </row>
    <row r="441" spans="1:97" x14ac:dyDescent="0.25">
      <c r="A441" t="s">
        <v>894</v>
      </c>
      <c r="B441" t="s">
        <v>3056</v>
      </c>
      <c r="C441" t="s">
        <v>3057</v>
      </c>
      <c r="D441" t="s">
        <v>3056</v>
      </c>
      <c r="E441" t="s">
        <v>3058</v>
      </c>
      <c r="F441" t="s">
        <v>108</v>
      </c>
      <c r="H441" t="s">
        <v>3059</v>
      </c>
      <c r="I441" t="s">
        <v>453</v>
      </c>
      <c r="J441" t="s">
        <v>111</v>
      </c>
      <c r="K441" t="str">
        <f>"85383"</f>
        <v>85383</v>
      </c>
      <c r="L441" t="s">
        <v>688</v>
      </c>
      <c r="M441" t="s">
        <v>3059</v>
      </c>
      <c r="N441" t="s">
        <v>453</v>
      </c>
      <c r="O441" t="s">
        <v>111</v>
      </c>
      <c r="P441" t="str">
        <f>"85383-3317"</f>
        <v>85383-3317</v>
      </c>
      <c r="Q441" t="s">
        <v>113</v>
      </c>
      <c r="R441" t="str">
        <f>"200-19-711"</f>
        <v>200-19-711</v>
      </c>
      <c r="S441" t="s">
        <v>3060</v>
      </c>
      <c r="T441" t="s">
        <v>3061</v>
      </c>
      <c r="U441">
        <v>1940</v>
      </c>
      <c r="W441">
        <v>3</v>
      </c>
      <c r="X441">
        <v>2014</v>
      </c>
      <c r="Z441">
        <v>1</v>
      </c>
      <c r="AA441" t="s">
        <v>26</v>
      </c>
      <c r="AC441" t="s">
        <v>115</v>
      </c>
      <c r="AD441">
        <v>2</v>
      </c>
      <c r="AE441" t="s">
        <v>115</v>
      </c>
      <c r="AH441" t="s">
        <v>116</v>
      </c>
      <c r="AI441" s="1">
        <v>73408</v>
      </c>
      <c r="AJ441" s="2">
        <v>0.2</v>
      </c>
      <c r="AK441" s="1">
        <v>363332</v>
      </c>
      <c r="AL441" t="s">
        <v>117</v>
      </c>
      <c r="AM441" t="s">
        <v>118</v>
      </c>
      <c r="AN441">
        <v>5535</v>
      </c>
      <c r="AO441">
        <v>0.13</v>
      </c>
      <c r="AR441">
        <v>1</v>
      </c>
      <c r="AS441" s="1">
        <v>27730</v>
      </c>
      <c r="AT441" s="1">
        <v>5540</v>
      </c>
      <c r="AU441" s="1">
        <v>22190</v>
      </c>
      <c r="AV441">
        <v>80.02</v>
      </c>
      <c r="AX441" s="1">
        <v>1762.08</v>
      </c>
      <c r="AY441" t="s">
        <v>1808</v>
      </c>
      <c r="AZ441" t="s">
        <v>1808</v>
      </c>
      <c r="BA441" t="s">
        <v>457</v>
      </c>
      <c r="BE441" s="3">
        <v>41912</v>
      </c>
      <c r="BF441" s="1">
        <v>281166</v>
      </c>
      <c r="BG441" t="s">
        <v>3062</v>
      </c>
      <c r="BH441" s="1">
        <v>144.93</v>
      </c>
      <c r="BI441" s="1">
        <v>289924</v>
      </c>
      <c r="BJ441" s="3">
        <v>42668</v>
      </c>
      <c r="BK441" t="s">
        <v>123</v>
      </c>
      <c r="BL441" t="str">
        <f>"2016.781523"</f>
        <v>2016.781523</v>
      </c>
      <c r="BM441" t="s">
        <v>3063</v>
      </c>
      <c r="BO441" t="s">
        <v>3064</v>
      </c>
      <c r="BS441">
        <v>28</v>
      </c>
      <c r="BW441" t="str">
        <f>""</f>
        <v/>
      </c>
      <c r="CH441" t="str">
        <f>""</f>
        <v/>
      </c>
      <c r="CS441" t="str">
        <f>""</f>
        <v/>
      </c>
    </row>
    <row r="442" spans="1:97" x14ac:dyDescent="0.25">
      <c r="A442" t="s">
        <v>3065</v>
      </c>
      <c r="B442" t="s">
        <v>3066</v>
      </c>
      <c r="C442" t="s">
        <v>3067</v>
      </c>
      <c r="D442" t="s">
        <v>3066</v>
      </c>
      <c r="E442" t="s">
        <v>3068</v>
      </c>
      <c r="F442" t="s">
        <v>108</v>
      </c>
      <c r="H442" t="s">
        <v>3069</v>
      </c>
      <c r="I442" t="s">
        <v>453</v>
      </c>
      <c r="J442" t="s">
        <v>111</v>
      </c>
      <c r="K442" t="str">
        <f>"85383"</f>
        <v>85383</v>
      </c>
      <c r="L442" t="s">
        <v>688</v>
      </c>
      <c r="M442" t="s">
        <v>3069</v>
      </c>
      <c r="N442" t="s">
        <v>453</v>
      </c>
      <c r="O442" t="s">
        <v>111</v>
      </c>
      <c r="P442" t="str">
        <f>"85383-3323"</f>
        <v>85383-3323</v>
      </c>
      <c r="Q442" t="s">
        <v>113</v>
      </c>
      <c r="R442" t="str">
        <f>"200-19-735"</f>
        <v>200-19-735</v>
      </c>
      <c r="S442" t="s">
        <v>3060</v>
      </c>
      <c r="T442" t="s">
        <v>3061</v>
      </c>
      <c r="U442">
        <v>3047</v>
      </c>
      <c r="W442">
        <v>5</v>
      </c>
      <c r="X442">
        <v>2014</v>
      </c>
      <c r="Z442">
        <v>2</v>
      </c>
      <c r="AC442" t="s">
        <v>115</v>
      </c>
      <c r="AD442">
        <v>2</v>
      </c>
      <c r="AE442" t="s">
        <v>115</v>
      </c>
      <c r="AH442" t="s">
        <v>116</v>
      </c>
      <c r="AI442" s="1">
        <v>19259</v>
      </c>
      <c r="AJ442" s="2">
        <v>0.05</v>
      </c>
      <c r="AK442" s="1">
        <v>406634</v>
      </c>
      <c r="AL442" t="s">
        <v>117</v>
      </c>
      <c r="AM442" t="s">
        <v>118</v>
      </c>
      <c r="AN442">
        <v>6634</v>
      </c>
      <c r="AO442">
        <v>0.15</v>
      </c>
      <c r="AR442">
        <v>1</v>
      </c>
      <c r="AS442" s="1">
        <v>31710</v>
      </c>
      <c r="AT442" s="1">
        <v>6340</v>
      </c>
      <c r="AU442" s="1">
        <v>25370</v>
      </c>
      <c r="AV442">
        <v>80.010000000000005</v>
      </c>
      <c r="AX442" s="1">
        <v>2194.1999999999998</v>
      </c>
      <c r="AY442" t="s">
        <v>1808</v>
      </c>
      <c r="AZ442" t="s">
        <v>1808</v>
      </c>
      <c r="BA442" t="s">
        <v>457</v>
      </c>
      <c r="BE442" s="3">
        <v>42018</v>
      </c>
      <c r="BF442" s="1">
        <v>329876</v>
      </c>
      <c r="BG442" t="s">
        <v>3062</v>
      </c>
      <c r="BH442" s="1">
        <v>108.26</v>
      </c>
      <c r="BI442" s="1">
        <v>387375</v>
      </c>
      <c r="BJ442" s="3">
        <v>43298</v>
      </c>
      <c r="BK442" t="s">
        <v>123</v>
      </c>
      <c r="BL442" t="str">
        <f>"2018.538661"</f>
        <v>2018.538661</v>
      </c>
      <c r="BM442" t="s">
        <v>1915</v>
      </c>
      <c r="BN442" t="s">
        <v>1916</v>
      </c>
      <c r="BO442" t="s">
        <v>3070</v>
      </c>
      <c r="BP442" t="s">
        <v>3071</v>
      </c>
      <c r="BR442" t="s">
        <v>139</v>
      </c>
      <c r="BW442" t="str">
        <f>""</f>
        <v/>
      </c>
      <c r="CH442" t="str">
        <f>""</f>
        <v/>
      </c>
      <c r="CS442" t="str">
        <f>""</f>
        <v/>
      </c>
    </row>
    <row r="443" spans="1:97" x14ac:dyDescent="0.25">
      <c r="A443" t="s">
        <v>639</v>
      </c>
      <c r="B443" t="s">
        <v>3072</v>
      </c>
      <c r="C443" t="s">
        <v>3073</v>
      </c>
      <c r="D443" t="s">
        <v>3072</v>
      </c>
      <c r="E443" t="s">
        <v>3074</v>
      </c>
      <c r="F443" t="s">
        <v>108</v>
      </c>
      <c r="H443" t="s">
        <v>3075</v>
      </c>
      <c r="I443" t="s">
        <v>453</v>
      </c>
      <c r="J443" t="s">
        <v>111</v>
      </c>
      <c r="K443" t="str">
        <f>"85383"</f>
        <v>85383</v>
      </c>
      <c r="L443" t="s">
        <v>688</v>
      </c>
      <c r="M443" t="s">
        <v>3075</v>
      </c>
      <c r="N443" t="s">
        <v>453</v>
      </c>
      <c r="O443" t="s">
        <v>111</v>
      </c>
      <c r="P443" t="str">
        <f>"85383-3329"</f>
        <v>85383-3329</v>
      </c>
      <c r="Q443" t="s">
        <v>113</v>
      </c>
      <c r="R443" t="str">
        <f>"200-19-802"</f>
        <v>200-19-802</v>
      </c>
      <c r="S443" t="s">
        <v>3060</v>
      </c>
      <c r="T443" t="s">
        <v>3061</v>
      </c>
      <c r="U443">
        <v>2201</v>
      </c>
      <c r="W443">
        <v>3</v>
      </c>
      <c r="X443">
        <v>2014</v>
      </c>
      <c r="Z443">
        <v>1</v>
      </c>
      <c r="AC443" t="s">
        <v>115</v>
      </c>
      <c r="AD443">
        <v>3</v>
      </c>
      <c r="AE443" t="s">
        <v>115</v>
      </c>
      <c r="AH443" t="s">
        <v>116</v>
      </c>
      <c r="AI443" s="1">
        <v>49044</v>
      </c>
      <c r="AJ443" s="2">
        <v>0.13</v>
      </c>
      <c r="AK443" s="1">
        <v>384747</v>
      </c>
      <c r="AL443" t="s">
        <v>117</v>
      </c>
      <c r="AM443" t="s">
        <v>118</v>
      </c>
      <c r="AN443">
        <v>6100</v>
      </c>
      <c r="AO443">
        <v>0.14000000000000001</v>
      </c>
      <c r="AR443">
        <v>1</v>
      </c>
      <c r="AS443" s="1">
        <v>29220</v>
      </c>
      <c r="AT443" s="1">
        <v>5840</v>
      </c>
      <c r="AU443" s="1">
        <v>23380</v>
      </c>
      <c r="AV443">
        <v>80.010000000000005</v>
      </c>
      <c r="AX443" s="1">
        <v>2006.06</v>
      </c>
      <c r="AY443" t="s">
        <v>1808</v>
      </c>
      <c r="AZ443" t="s">
        <v>1808</v>
      </c>
      <c r="BA443" t="s">
        <v>457</v>
      </c>
      <c r="BB443" s="3">
        <v>43602</v>
      </c>
      <c r="BC443" s="1">
        <v>0</v>
      </c>
      <c r="BD443" t="s">
        <v>247</v>
      </c>
      <c r="BE443" s="3">
        <v>41932</v>
      </c>
      <c r="BF443" s="1">
        <v>337452</v>
      </c>
      <c r="BG443" t="s">
        <v>3062</v>
      </c>
      <c r="BH443" s="1">
        <v>153.32</v>
      </c>
      <c r="BI443" s="1">
        <v>335703</v>
      </c>
      <c r="BJ443" s="3">
        <v>42468</v>
      </c>
      <c r="BK443" t="s">
        <v>123</v>
      </c>
      <c r="BL443" t="str">
        <f>"2016.232583"</f>
        <v>2016.232583</v>
      </c>
      <c r="BM443" t="s">
        <v>544</v>
      </c>
      <c r="BN443" t="s">
        <v>545</v>
      </c>
      <c r="BO443" t="s">
        <v>3076</v>
      </c>
      <c r="BS443">
        <v>30</v>
      </c>
      <c r="BW443" t="str">
        <f>""</f>
        <v/>
      </c>
      <c r="CH443" t="str">
        <f>""</f>
        <v/>
      </c>
      <c r="CS443" t="str">
        <f>""</f>
        <v/>
      </c>
    </row>
    <row r="444" spans="1:97" x14ac:dyDescent="0.25">
      <c r="A444" t="s">
        <v>1514</v>
      </c>
      <c r="B444" t="s">
        <v>3077</v>
      </c>
      <c r="C444" t="s">
        <v>3078</v>
      </c>
      <c r="D444" t="s">
        <v>1374</v>
      </c>
      <c r="E444" t="s">
        <v>3079</v>
      </c>
      <c r="F444" t="s">
        <v>108</v>
      </c>
      <c r="H444" t="s">
        <v>3080</v>
      </c>
      <c r="I444" t="s">
        <v>453</v>
      </c>
      <c r="J444" t="s">
        <v>111</v>
      </c>
      <c r="K444" t="str">
        <f>"85383"</f>
        <v>85383</v>
      </c>
      <c r="L444" t="s">
        <v>688</v>
      </c>
      <c r="M444" t="s">
        <v>3080</v>
      </c>
      <c r="N444" t="s">
        <v>453</v>
      </c>
      <c r="O444" t="s">
        <v>111</v>
      </c>
      <c r="P444" t="str">
        <f>"85383-3329"</f>
        <v>85383-3329</v>
      </c>
      <c r="Q444" t="s">
        <v>113</v>
      </c>
      <c r="R444" t="str">
        <f>"200-19-806"</f>
        <v>200-19-806</v>
      </c>
      <c r="S444" t="s">
        <v>3060</v>
      </c>
      <c r="T444" t="s">
        <v>3061</v>
      </c>
      <c r="U444">
        <v>2884</v>
      </c>
      <c r="W444">
        <v>4</v>
      </c>
      <c r="X444">
        <v>2014</v>
      </c>
      <c r="Z444">
        <v>2</v>
      </c>
      <c r="AC444" t="s">
        <v>115</v>
      </c>
      <c r="AD444">
        <v>3</v>
      </c>
      <c r="AE444" t="s">
        <v>115</v>
      </c>
      <c r="AH444" t="s">
        <v>116</v>
      </c>
      <c r="AI444" s="1">
        <v>63756</v>
      </c>
      <c r="AJ444" s="2">
        <v>0.15</v>
      </c>
      <c r="AK444" s="1">
        <v>419713</v>
      </c>
      <c r="AL444" t="s">
        <v>117</v>
      </c>
      <c r="AM444" t="s">
        <v>118</v>
      </c>
      <c r="AN444">
        <v>5843</v>
      </c>
      <c r="AO444">
        <v>0.13</v>
      </c>
      <c r="AR444">
        <v>1</v>
      </c>
      <c r="AS444" s="1">
        <v>31020</v>
      </c>
      <c r="AT444" s="1">
        <v>6200</v>
      </c>
      <c r="AU444" s="1">
        <v>24820</v>
      </c>
      <c r="AV444">
        <v>80.010000000000005</v>
      </c>
      <c r="AX444" s="1">
        <v>2151.5</v>
      </c>
      <c r="AY444" t="s">
        <v>1808</v>
      </c>
      <c r="AZ444" t="s">
        <v>1808</v>
      </c>
      <c r="BA444" t="s">
        <v>457</v>
      </c>
      <c r="BB444" s="3">
        <v>43763</v>
      </c>
      <c r="BC444" s="1">
        <v>0</v>
      </c>
      <c r="BD444" t="s">
        <v>247</v>
      </c>
      <c r="BE444" s="3">
        <v>42026</v>
      </c>
      <c r="BF444" s="1">
        <v>349986</v>
      </c>
      <c r="BG444" t="s">
        <v>3081</v>
      </c>
      <c r="BH444" s="1">
        <v>121.35</v>
      </c>
      <c r="BI444" s="1">
        <v>355957</v>
      </c>
      <c r="BJ444" s="3">
        <v>42754</v>
      </c>
      <c r="BK444" t="s">
        <v>123</v>
      </c>
      <c r="BL444" t="str">
        <f>"2017.40829"</f>
        <v>2017.40829</v>
      </c>
      <c r="BM444" t="s">
        <v>1695</v>
      </c>
      <c r="BN444" t="s">
        <v>3082</v>
      </c>
      <c r="BO444" t="s">
        <v>3083</v>
      </c>
      <c r="BS444">
        <v>30</v>
      </c>
      <c r="BW444" t="str">
        <f>""</f>
        <v/>
      </c>
      <c r="CH444" t="str">
        <f>""</f>
        <v/>
      </c>
      <c r="CS444" t="str">
        <f>""</f>
        <v/>
      </c>
    </row>
    <row r="445" spans="1:97" x14ac:dyDescent="0.25">
      <c r="A445" t="s">
        <v>2402</v>
      </c>
      <c r="B445" t="s">
        <v>3084</v>
      </c>
      <c r="C445" t="s">
        <v>3085</v>
      </c>
      <c r="D445" t="s">
        <v>3084</v>
      </c>
      <c r="E445" t="s">
        <v>3086</v>
      </c>
      <c r="F445" t="s">
        <v>108</v>
      </c>
      <c r="H445" t="s">
        <v>3087</v>
      </c>
      <c r="I445" t="s">
        <v>203</v>
      </c>
      <c r="J445" t="s">
        <v>111</v>
      </c>
      <c r="K445" t="str">
        <f>"85298"</f>
        <v>85298</v>
      </c>
      <c r="L445" t="s">
        <v>734</v>
      </c>
      <c r="M445" t="s">
        <v>3087</v>
      </c>
      <c r="N445" t="s">
        <v>203</v>
      </c>
      <c r="O445" t="s">
        <v>111</v>
      </c>
      <c r="P445" t="str">
        <f>"85298"</f>
        <v>85298</v>
      </c>
      <c r="Q445" t="s">
        <v>113</v>
      </c>
      <c r="R445" t="str">
        <f>"313-18-425"</f>
        <v>313-18-425</v>
      </c>
      <c r="S445" t="s">
        <v>1173</v>
      </c>
      <c r="U445">
        <v>1793</v>
      </c>
      <c r="W445">
        <v>3</v>
      </c>
      <c r="X445">
        <v>2015</v>
      </c>
      <c r="Z445">
        <v>1</v>
      </c>
      <c r="AC445" t="s">
        <v>115</v>
      </c>
      <c r="AD445">
        <v>2</v>
      </c>
      <c r="AE445" t="s">
        <v>115</v>
      </c>
      <c r="AH445" t="s">
        <v>116</v>
      </c>
      <c r="AI445" s="1">
        <v>58525</v>
      </c>
      <c r="AJ445" s="2">
        <v>0.16</v>
      </c>
      <c r="AK445" s="1">
        <v>363260</v>
      </c>
      <c r="AL445" t="s">
        <v>117</v>
      </c>
      <c r="AM445" t="s">
        <v>191</v>
      </c>
      <c r="AN445">
        <v>6600</v>
      </c>
      <c r="AO445">
        <v>0.15</v>
      </c>
      <c r="AR445">
        <v>1</v>
      </c>
      <c r="AS445" s="1">
        <v>25210</v>
      </c>
      <c r="AT445" s="1">
        <v>5040</v>
      </c>
      <c r="AU445" s="1">
        <v>20170</v>
      </c>
      <c r="AV445">
        <v>80.010000000000005</v>
      </c>
      <c r="AX445" s="1">
        <v>1947.22</v>
      </c>
      <c r="AY445" t="s">
        <v>737</v>
      </c>
      <c r="AZ445" t="s">
        <v>273</v>
      </c>
      <c r="BA445" t="s">
        <v>303</v>
      </c>
      <c r="BE445" s="3">
        <v>42314</v>
      </c>
      <c r="BF445" s="1">
        <v>295000</v>
      </c>
      <c r="BG445" t="s">
        <v>195</v>
      </c>
      <c r="BH445" s="1">
        <v>164.53</v>
      </c>
      <c r="BI445" s="1">
        <v>304735</v>
      </c>
      <c r="BJ445" s="3">
        <v>42314</v>
      </c>
      <c r="BK445" t="s">
        <v>123</v>
      </c>
      <c r="BL445" t="str">
        <f>"2015.800475"</f>
        <v>2015.800475</v>
      </c>
      <c r="BM445" t="s">
        <v>820</v>
      </c>
      <c r="BO445" t="s">
        <v>3088</v>
      </c>
      <c r="BS445">
        <v>30</v>
      </c>
      <c r="BW445" t="str">
        <f>""</f>
        <v/>
      </c>
      <c r="CH445" t="str">
        <f>""</f>
        <v/>
      </c>
      <c r="CS445" t="str">
        <f>""</f>
        <v/>
      </c>
    </row>
    <row r="446" spans="1:97" x14ac:dyDescent="0.25">
      <c r="A446" t="s">
        <v>3089</v>
      </c>
      <c r="B446" t="s">
        <v>3090</v>
      </c>
      <c r="C446" t="s">
        <v>3091</v>
      </c>
      <c r="D446" t="s">
        <v>3090</v>
      </c>
      <c r="E446" t="s">
        <v>3092</v>
      </c>
      <c r="F446" t="s">
        <v>108</v>
      </c>
      <c r="H446" t="s">
        <v>3093</v>
      </c>
      <c r="I446" t="s">
        <v>144</v>
      </c>
      <c r="J446" t="s">
        <v>111</v>
      </c>
      <c r="K446" t="str">
        <f>"85396"</f>
        <v>85396</v>
      </c>
      <c r="L446" t="s">
        <v>3094</v>
      </c>
      <c r="M446" t="s">
        <v>3093</v>
      </c>
      <c r="N446" t="s">
        <v>144</v>
      </c>
      <c r="O446" t="s">
        <v>111</v>
      </c>
      <c r="P446" t="str">
        <f>"85396-6517"</f>
        <v>85396-6517</v>
      </c>
      <c r="Q446" t="s">
        <v>113</v>
      </c>
      <c r="R446" t="str">
        <f>"502-82-536"</f>
        <v>502-82-536</v>
      </c>
      <c r="S446" t="s">
        <v>3095</v>
      </c>
      <c r="U446">
        <v>2534</v>
      </c>
      <c r="W446">
        <v>4</v>
      </c>
      <c r="X446">
        <v>2015</v>
      </c>
      <c r="Z446">
        <v>1</v>
      </c>
      <c r="AC446" t="s">
        <v>115</v>
      </c>
      <c r="AD446">
        <v>2</v>
      </c>
      <c r="AE446" t="s">
        <v>115</v>
      </c>
      <c r="AH446" t="s">
        <v>116</v>
      </c>
      <c r="AI446" s="1">
        <v>239701</v>
      </c>
      <c r="AJ446" s="2">
        <v>0.5</v>
      </c>
      <c r="AK446" s="1">
        <v>474699</v>
      </c>
      <c r="AL446" t="s">
        <v>117</v>
      </c>
      <c r="AM446" t="s">
        <v>118</v>
      </c>
      <c r="AN446">
        <v>8160</v>
      </c>
      <c r="AO446">
        <v>0.19</v>
      </c>
      <c r="AR446">
        <v>1</v>
      </c>
      <c r="AS446" s="1">
        <v>39410</v>
      </c>
      <c r="AT446" s="1">
        <v>7880</v>
      </c>
      <c r="AU446" s="1">
        <v>31530</v>
      </c>
      <c r="AV446">
        <v>80.010000000000005</v>
      </c>
      <c r="AX446" s="1">
        <v>4566.66</v>
      </c>
      <c r="AY446" t="s">
        <v>543</v>
      </c>
      <c r="AZ446" t="s">
        <v>504</v>
      </c>
      <c r="BA446" t="s">
        <v>218</v>
      </c>
      <c r="BE446" s="3">
        <v>42321</v>
      </c>
      <c r="BF446" s="1">
        <v>457756</v>
      </c>
      <c r="BG446" t="s">
        <v>562</v>
      </c>
      <c r="BH446" s="1">
        <v>180.65</v>
      </c>
      <c r="BI446" s="1">
        <v>234998</v>
      </c>
      <c r="BJ446" s="3">
        <v>42321</v>
      </c>
      <c r="BK446" t="s">
        <v>123</v>
      </c>
      <c r="BL446" t="str">
        <f>"2015.815242"</f>
        <v>2015.815242</v>
      </c>
      <c r="BM446" t="s">
        <v>175</v>
      </c>
      <c r="BO446" t="s">
        <v>3096</v>
      </c>
      <c r="BS446">
        <v>30</v>
      </c>
      <c r="BW446" t="str">
        <f>""</f>
        <v/>
      </c>
      <c r="CH446" t="str">
        <f>""</f>
        <v/>
      </c>
      <c r="CS446" t="str">
        <f>""</f>
        <v/>
      </c>
    </row>
    <row r="447" spans="1:97" x14ac:dyDescent="0.25">
      <c r="A447" t="s">
        <v>3097</v>
      </c>
      <c r="B447" t="s">
        <v>327</v>
      </c>
      <c r="C447" t="s">
        <v>3098</v>
      </c>
      <c r="D447" t="s">
        <v>327</v>
      </c>
      <c r="E447" t="s">
        <v>3099</v>
      </c>
      <c r="F447" t="s">
        <v>108</v>
      </c>
      <c r="H447" t="s">
        <v>3100</v>
      </c>
      <c r="I447" t="s">
        <v>390</v>
      </c>
      <c r="J447" t="s">
        <v>111</v>
      </c>
      <c r="K447" t="str">
        <f>"85085"</f>
        <v>85085</v>
      </c>
      <c r="L447" t="s">
        <v>3101</v>
      </c>
      <c r="M447" t="s">
        <v>3100</v>
      </c>
      <c r="N447" t="s">
        <v>390</v>
      </c>
      <c r="O447" t="s">
        <v>111</v>
      </c>
      <c r="P447" t="str">
        <f>"85085-5458"</f>
        <v>85085-5458</v>
      </c>
      <c r="Q447" t="s">
        <v>113</v>
      </c>
      <c r="R447" t="str">
        <f>"210-20-667"</f>
        <v>210-20-667</v>
      </c>
      <c r="S447" t="s">
        <v>3102</v>
      </c>
      <c r="U447">
        <v>3506</v>
      </c>
      <c r="W447">
        <v>6</v>
      </c>
      <c r="X447">
        <v>2015</v>
      </c>
      <c r="Z447">
        <v>2</v>
      </c>
      <c r="AC447" t="s">
        <v>115</v>
      </c>
      <c r="AD447">
        <v>2</v>
      </c>
      <c r="AE447" t="s">
        <v>115</v>
      </c>
      <c r="AH447" t="s">
        <v>116</v>
      </c>
      <c r="AI447" s="1">
        <v>83479</v>
      </c>
      <c r="AJ447" s="2">
        <v>0.16</v>
      </c>
      <c r="AK447" s="1">
        <v>531904</v>
      </c>
      <c r="AL447" t="s">
        <v>117</v>
      </c>
      <c r="AM447" t="s">
        <v>118</v>
      </c>
      <c r="AN447">
        <v>6600</v>
      </c>
      <c r="AO447">
        <v>0.15</v>
      </c>
      <c r="AR447">
        <v>1</v>
      </c>
      <c r="AS447" s="1">
        <v>41710</v>
      </c>
      <c r="AT447" s="1">
        <v>8340</v>
      </c>
      <c r="AU447" s="1">
        <v>33370</v>
      </c>
      <c r="AV447">
        <v>80</v>
      </c>
      <c r="AX447" s="1">
        <v>3603.4</v>
      </c>
      <c r="AY447" t="s">
        <v>1461</v>
      </c>
      <c r="AZ447" t="s">
        <v>1461</v>
      </c>
      <c r="BA447" t="s">
        <v>1462</v>
      </c>
      <c r="BE447" s="3">
        <v>42447</v>
      </c>
      <c r="BF447" s="1">
        <v>439800</v>
      </c>
      <c r="BG447" t="s">
        <v>275</v>
      </c>
      <c r="BH447" s="1">
        <v>125.44</v>
      </c>
      <c r="BI447" s="1">
        <v>448425</v>
      </c>
      <c r="BJ447" s="3">
        <v>42447</v>
      </c>
      <c r="BK447" t="s">
        <v>123</v>
      </c>
      <c r="BL447" t="str">
        <f>"2016.177373"</f>
        <v>2016.177373</v>
      </c>
      <c r="BM447" t="s">
        <v>651</v>
      </c>
      <c r="BO447" t="s">
        <v>3103</v>
      </c>
      <c r="BS447">
        <v>30</v>
      </c>
      <c r="BW447" t="str">
        <f>""</f>
        <v/>
      </c>
      <c r="CH447" t="str">
        <f>""</f>
        <v/>
      </c>
      <c r="CS447" t="str">
        <f>""</f>
        <v/>
      </c>
    </row>
    <row r="448" spans="1:97" x14ac:dyDescent="0.25">
      <c r="A448" t="s">
        <v>3104</v>
      </c>
      <c r="B448" t="s">
        <v>353</v>
      </c>
      <c r="C448" t="s">
        <v>3105</v>
      </c>
      <c r="D448" t="s">
        <v>353</v>
      </c>
      <c r="E448" t="s">
        <v>3106</v>
      </c>
      <c r="F448" t="s">
        <v>108</v>
      </c>
      <c r="H448" t="s">
        <v>3107</v>
      </c>
      <c r="I448" t="s">
        <v>110</v>
      </c>
      <c r="J448" t="s">
        <v>111</v>
      </c>
      <c r="K448" t="str">
        <f>"85286"</f>
        <v>85286</v>
      </c>
      <c r="L448" t="s">
        <v>3108</v>
      </c>
      <c r="M448" t="s">
        <v>3107</v>
      </c>
      <c r="N448" t="s">
        <v>110</v>
      </c>
      <c r="O448" t="s">
        <v>111</v>
      </c>
      <c r="P448" t="str">
        <f>"85286"</f>
        <v>85286</v>
      </c>
      <c r="Q448" t="s">
        <v>113</v>
      </c>
      <c r="R448" t="str">
        <f>"303-63-492"</f>
        <v>303-63-492</v>
      </c>
      <c r="S448" t="s">
        <v>3109</v>
      </c>
      <c r="T448" t="s">
        <v>3110</v>
      </c>
      <c r="U448">
        <v>1405</v>
      </c>
      <c r="W448">
        <v>3</v>
      </c>
      <c r="X448">
        <v>2015</v>
      </c>
      <c r="Z448">
        <v>1</v>
      </c>
      <c r="AC448" t="s">
        <v>115</v>
      </c>
      <c r="AD448">
        <v>2</v>
      </c>
      <c r="AE448" t="s">
        <v>115</v>
      </c>
      <c r="AH448" t="s">
        <v>116</v>
      </c>
      <c r="AI448" s="1">
        <v>58840</v>
      </c>
      <c r="AJ448" s="2">
        <v>0.17</v>
      </c>
      <c r="AK448" s="1">
        <v>345797</v>
      </c>
      <c r="AL448" t="s">
        <v>117</v>
      </c>
      <c r="AM448" t="s">
        <v>3111</v>
      </c>
      <c r="AN448">
        <v>4450</v>
      </c>
      <c r="AO448">
        <v>0.1</v>
      </c>
      <c r="AR448">
        <v>1</v>
      </c>
      <c r="AS448" s="1">
        <v>25160</v>
      </c>
      <c r="AT448" s="1">
        <v>5030</v>
      </c>
      <c r="AU448" s="1">
        <v>20130</v>
      </c>
      <c r="AV448">
        <v>80.010000000000005</v>
      </c>
      <c r="AX448" s="1">
        <v>1792.24</v>
      </c>
      <c r="AY448" t="s">
        <v>737</v>
      </c>
      <c r="AZ448" t="s">
        <v>120</v>
      </c>
      <c r="BA448" t="s">
        <v>303</v>
      </c>
      <c r="BE448" s="3">
        <v>42247</v>
      </c>
      <c r="BF448" s="1">
        <v>277790</v>
      </c>
      <c r="BG448" t="s">
        <v>562</v>
      </c>
      <c r="BH448" s="1">
        <v>197.72</v>
      </c>
      <c r="BI448" s="1">
        <v>286957</v>
      </c>
      <c r="BJ448" s="3">
        <v>42247</v>
      </c>
      <c r="BK448" t="s">
        <v>123</v>
      </c>
      <c r="BL448" t="str">
        <f>"2015.630696"</f>
        <v>2015.630696</v>
      </c>
      <c r="BM448" t="s">
        <v>175</v>
      </c>
      <c r="BO448" t="s">
        <v>3112</v>
      </c>
      <c r="BS448">
        <v>30</v>
      </c>
      <c r="BW448" t="str">
        <f>""</f>
        <v/>
      </c>
      <c r="CH448" t="str">
        <f>""</f>
        <v/>
      </c>
      <c r="CS448" t="str">
        <f>""</f>
        <v/>
      </c>
    </row>
    <row r="449" spans="1:97" x14ac:dyDescent="0.25">
      <c r="A449" t="s">
        <v>494</v>
      </c>
      <c r="B449" t="s">
        <v>3113</v>
      </c>
      <c r="C449" t="s">
        <v>2002</v>
      </c>
      <c r="D449" t="s">
        <v>3113</v>
      </c>
      <c r="E449" t="s">
        <v>3114</v>
      </c>
      <c r="F449" t="s">
        <v>108</v>
      </c>
      <c r="H449" t="s">
        <v>3115</v>
      </c>
      <c r="I449" t="s">
        <v>225</v>
      </c>
      <c r="J449" t="s">
        <v>111</v>
      </c>
      <c r="K449" t="str">
        <f>"85207"</f>
        <v>85207</v>
      </c>
      <c r="L449" t="s">
        <v>3116</v>
      </c>
      <c r="M449" t="s">
        <v>3115</v>
      </c>
      <c r="N449" t="s">
        <v>225</v>
      </c>
      <c r="O449" t="s">
        <v>111</v>
      </c>
      <c r="P449" t="str">
        <f>"85207-4053"</f>
        <v>85207-4053</v>
      </c>
      <c r="Q449" t="s">
        <v>113</v>
      </c>
      <c r="R449" t="str">
        <f>"219-49-523"</f>
        <v>219-49-523</v>
      </c>
      <c r="S449" t="s">
        <v>3117</v>
      </c>
      <c r="U449">
        <v>2375</v>
      </c>
      <c r="W449">
        <v>4</v>
      </c>
      <c r="X449">
        <v>2016</v>
      </c>
      <c r="Z449">
        <v>1</v>
      </c>
      <c r="AC449" t="s">
        <v>115</v>
      </c>
      <c r="AD449">
        <v>3</v>
      </c>
      <c r="AE449" t="s">
        <v>115</v>
      </c>
      <c r="AH449" t="s">
        <v>116</v>
      </c>
      <c r="AI449" s="1">
        <v>162537</v>
      </c>
      <c r="AJ449" s="2">
        <v>0.31</v>
      </c>
      <c r="AK449" s="1">
        <v>518537</v>
      </c>
      <c r="AL449" t="s">
        <v>117</v>
      </c>
      <c r="AM449" t="s">
        <v>1521</v>
      </c>
      <c r="AN449">
        <v>7150</v>
      </c>
      <c r="AO449">
        <v>0.16</v>
      </c>
      <c r="AR449">
        <v>1</v>
      </c>
      <c r="AS449" s="1">
        <v>39530</v>
      </c>
      <c r="AT449" s="1">
        <v>7900</v>
      </c>
      <c r="AU449" s="1">
        <v>31630</v>
      </c>
      <c r="AV449">
        <v>80.02</v>
      </c>
      <c r="AX449" s="1">
        <v>3173.28</v>
      </c>
      <c r="AY449" t="s">
        <v>3118</v>
      </c>
      <c r="AZ449" t="s">
        <v>231</v>
      </c>
      <c r="BA449" t="s">
        <v>3119</v>
      </c>
      <c r="BB449" s="3">
        <v>42892</v>
      </c>
      <c r="BD449" t="s">
        <v>157</v>
      </c>
      <c r="BE449" s="3">
        <v>42342</v>
      </c>
      <c r="BF449" s="1">
        <v>459010</v>
      </c>
      <c r="BG449" t="s">
        <v>3120</v>
      </c>
      <c r="BH449" s="1">
        <v>193.27</v>
      </c>
      <c r="BI449" s="1">
        <v>356000</v>
      </c>
      <c r="BJ449" s="3">
        <v>42499</v>
      </c>
      <c r="BK449" t="s">
        <v>123</v>
      </c>
      <c r="BL449" t="str">
        <f>"2016.315525"</f>
        <v>2016.315525</v>
      </c>
      <c r="BM449" t="s">
        <v>3121</v>
      </c>
      <c r="BN449" t="s">
        <v>3122</v>
      </c>
      <c r="BO449" t="s">
        <v>3123</v>
      </c>
      <c r="BS449">
        <v>30</v>
      </c>
      <c r="BW449" t="str">
        <f>""</f>
        <v/>
      </c>
      <c r="CH449" t="str">
        <f>""</f>
        <v/>
      </c>
      <c r="CS449" t="str">
        <f>""</f>
        <v/>
      </c>
    </row>
    <row r="450" spans="1:97" x14ac:dyDescent="0.25">
      <c r="A450" t="s">
        <v>1009</v>
      </c>
      <c r="B450" t="s">
        <v>3124</v>
      </c>
      <c r="C450" t="s">
        <v>3125</v>
      </c>
      <c r="D450" t="s">
        <v>3124</v>
      </c>
      <c r="E450" t="s">
        <v>3126</v>
      </c>
      <c r="F450" t="s">
        <v>108</v>
      </c>
      <c r="H450" t="s">
        <v>3127</v>
      </c>
      <c r="I450" t="s">
        <v>203</v>
      </c>
      <c r="J450" t="s">
        <v>111</v>
      </c>
      <c r="K450" t="str">
        <f>"85298"</f>
        <v>85298</v>
      </c>
      <c r="L450" t="s">
        <v>284</v>
      </c>
      <c r="M450" t="s">
        <v>3127</v>
      </c>
      <c r="N450" t="s">
        <v>203</v>
      </c>
      <c r="O450" t="s">
        <v>111</v>
      </c>
      <c r="P450" t="str">
        <f>"85298"</f>
        <v>85298</v>
      </c>
      <c r="Q450" t="s">
        <v>113</v>
      </c>
      <c r="R450" t="str">
        <f>"313-18-810"</f>
        <v>313-18-810</v>
      </c>
      <c r="S450" t="s">
        <v>3128</v>
      </c>
      <c r="T450" t="s">
        <v>1132</v>
      </c>
      <c r="U450">
        <v>4289</v>
      </c>
      <c r="W450">
        <v>6</v>
      </c>
      <c r="X450">
        <v>2015</v>
      </c>
      <c r="Z450">
        <v>2</v>
      </c>
      <c r="AA450" t="s">
        <v>26</v>
      </c>
      <c r="AC450" t="s">
        <v>115</v>
      </c>
      <c r="AD450">
        <v>4</v>
      </c>
      <c r="AE450" t="s">
        <v>115</v>
      </c>
      <c r="AH450" t="s">
        <v>116</v>
      </c>
      <c r="AI450" s="1">
        <v>9894</v>
      </c>
      <c r="AJ450" s="2">
        <v>0.02</v>
      </c>
      <c r="AK450" s="1">
        <v>652994</v>
      </c>
      <c r="AL450" t="s">
        <v>117</v>
      </c>
      <c r="AM450" t="s">
        <v>171</v>
      </c>
      <c r="AN450">
        <v>10311</v>
      </c>
      <c r="AO450">
        <v>0.24</v>
      </c>
      <c r="AR450">
        <v>1</v>
      </c>
      <c r="AS450" s="1">
        <v>46050</v>
      </c>
      <c r="AT450" s="1">
        <v>9210</v>
      </c>
      <c r="AU450" s="1">
        <v>36840</v>
      </c>
      <c r="AV450">
        <v>80</v>
      </c>
      <c r="AX450" s="1">
        <v>3397.24</v>
      </c>
      <c r="AY450" t="s">
        <v>1133</v>
      </c>
      <c r="AZ450" t="s">
        <v>1134</v>
      </c>
      <c r="BA450" t="s">
        <v>1134</v>
      </c>
      <c r="BE450" s="3">
        <v>42390</v>
      </c>
      <c r="BF450" s="1">
        <v>605874</v>
      </c>
      <c r="BG450" t="s">
        <v>292</v>
      </c>
      <c r="BH450" s="1">
        <v>141.26</v>
      </c>
      <c r="BI450" s="1">
        <v>543100</v>
      </c>
      <c r="BJ450" s="3">
        <v>42496</v>
      </c>
      <c r="BK450" t="s">
        <v>123</v>
      </c>
      <c r="BL450" t="str">
        <f>"2016.309744"</f>
        <v>2016.309744</v>
      </c>
      <c r="BM450" t="s">
        <v>1122</v>
      </c>
      <c r="BO450" t="s">
        <v>3129</v>
      </c>
      <c r="BS450">
        <v>30</v>
      </c>
      <c r="BT450" s="1">
        <v>100000</v>
      </c>
      <c r="BU450" s="3">
        <v>42576</v>
      </c>
      <c r="BV450" t="s">
        <v>134</v>
      </c>
      <c r="BW450" t="str">
        <f>"2016.522507"</f>
        <v>2016.522507</v>
      </c>
      <c r="BX450" t="s">
        <v>198</v>
      </c>
      <c r="BZ450" t="s">
        <v>3129</v>
      </c>
      <c r="CD450">
        <v>15</v>
      </c>
      <c r="CH450" t="str">
        <f>""</f>
        <v/>
      </c>
      <c r="CS450" t="str">
        <f>""</f>
        <v/>
      </c>
    </row>
    <row r="451" spans="1:97" x14ac:dyDescent="0.25">
      <c r="A451" t="s">
        <v>3130</v>
      </c>
      <c r="B451" t="s">
        <v>3131</v>
      </c>
      <c r="C451" t="s">
        <v>703</v>
      </c>
      <c r="D451" t="s">
        <v>3131</v>
      </c>
      <c r="E451" t="s">
        <v>3132</v>
      </c>
      <c r="F451" t="s">
        <v>108</v>
      </c>
      <c r="H451" t="s">
        <v>3133</v>
      </c>
      <c r="I451" t="s">
        <v>188</v>
      </c>
      <c r="J451" t="s">
        <v>111</v>
      </c>
      <c r="K451" t="str">
        <f>"85142"</f>
        <v>85142</v>
      </c>
      <c r="L451" t="s">
        <v>1070</v>
      </c>
      <c r="M451" t="s">
        <v>3133</v>
      </c>
      <c r="N451" t="s">
        <v>188</v>
      </c>
      <c r="O451" t="s">
        <v>111</v>
      </c>
      <c r="P451" t="str">
        <f>"85142-5455"</f>
        <v>85142-5455</v>
      </c>
      <c r="Q451" t="s">
        <v>113</v>
      </c>
      <c r="R451" t="str">
        <f>"304-94-698"</f>
        <v>304-94-698</v>
      </c>
      <c r="S451" t="s">
        <v>3134</v>
      </c>
      <c r="T451" t="s">
        <v>1073</v>
      </c>
      <c r="U451">
        <v>2727</v>
      </c>
      <c r="W451">
        <v>4</v>
      </c>
      <c r="X451">
        <v>2016</v>
      </c>
      <c r="Z451">
        <v>1</v>
      </c>
      <c r="AC451" t="s">
        <v>115</v>
      </c>
      <c r="AD451">
        <v>3</v>
      </c>
      <c r="AE451" t="s">
        <v>115</v>
      </c>
      <c r="AH451" t="s">
        <v>116</v>
      </c>
      <c r="AI451" s="1">
        <v>-7019</v>
      </c>
      <c r="AJ451" s="2">
        <v>-0.02</v>
      </c>
      <c r="AK451" s="1">
        <v>417081</v>
      </c>
      <c r="AL451" t="s">
        <v>117</v>
      </c>
      <c r="AM451" t="str">
        <f>"R1-7"</f>
        <v>R1-7</v>
      </c>
      <c r="AN451">
        <v>10605</v>
      </c>
      <c r="AO451">
        <v>0.24</v>
      </c>
      <c r="AR451">
        <v>1</v>
      </c>
      <c r="AS451" s="1">
        <v>31650</v>
      </c>
      <c r="AT451" s="1">
        <v>6330</v>
      </c>
      <c r="AU451" s="1">
        <v>25320</v>
      </c>
      <c r="AV451">
        <v>80</v>
      </c>
      <c r="AX451" s="1">
        <v>2938.42</v>
      </c>
      <c r="AY451" t="s">
        <v>1074</v>
      </c>
      <c r="AZ451" t="s">
        <v>193</v>
      </c>
      <c r="BA451" t="s">
        <v>194</v>
      </c>
      <c r="BE451" s="3">
        <v>42551</v>
      </c>
      <c r="BF451" s="1">
        <v>380020</v>
      </c>
      <c r="BG451" t="s">
        <v>562</v>
      </c>
      <c r="BH451" s="1">
        <v>139.35</v>
      </c>
      <c r="BI451" s="1">
        <v>424100</v>
      </c>
      <c r="BJ451" s="3">
        <v>43097</v>
      </c>
      <c r="BK451" t="s">
        <v>123</v>
      </c>
      <c r="BL451" t="str">
        <f>"2017.959332"</f>
        <v>2017.959332</v>
      </c>
      <c r="BM451" t="s">
        <v>361</v>
      </c>
      <c r="BO451" t="s">
        <v>3135</v>
      </c>
      <c r="BS451">
        <v>31</v>
      </c>
      <c r="BW451" t="str">
        <f>""</f>
        <v/>
      </c>
      <c r="CH451" t="str">
        <f>""</f>
        <v/>
      </c>
      <c r="CS451" t="str">
        <f>""</f>
        <v/>
      </c>
    </row>
    <row r="452" spans="1:97" x14ac:dyDescent="0.25">
      <c r="A452" t="s">
        <v>211</v>
      </c>
      <c r="B452" t="s">
        <v>3136</v>
      </c>
      <c r="C452" t="s">
        <v>3137</v>
      </c>
      <c r="D452" t="s">
        <v>3136</v>
      </c>
      <c r="E452" t="s">
        <v>3138</v>
      </c>
      <c r="F452" t="s">
        <v>108</v>
      </c>
      <c r="H452" t="s">
        <v>3139</v>
      </c>
      <c r="I452" t="s">
        <v>225</v>
      </c>
      <c r="J452" t="s">
        <v>111</v>
      </c>
      <c r="K452" t="str">
        <f>"85212"</f>
        <v>85212</v>
      </c>
      <c r="L452" t="s">
        <v>3140</v>
      </c>
      <c r="M452" t="s">
        <v>3139</v>
      </c>
      <c r="N452" t="s">
        <v>225</v>
      </c>
      <c r="O452" t="s">
        <v>111</v>
      </c>
      <c r="P452" t="str">
        <f>"85212-8166"</f>
        <v>85212-8166</v>
      </c>
      <c r="Q452" t="s">
        <v>113</v>
      </c>
      <c r="R452" t="str">
        <f>"304-50-820"</f>
        <v>304-50-820</v>
      </c>
      <c r="S452" t="s">
        <v>3141</v>
      </c>
      <c r="T452" t="s">
        <v>3142</v>
      </c>
      <c r="U452">
        <v>3858</v>
      </c>
      <c r="W452">
        <v>4</v>
      </c>
      <c r="X452">
        <v>2015</v>
      </c>
      <c r="Z452">
        <v>2</v>
      </c>
      <c r="AA452" t="s">
        <v>26</v>
      </c>
      <c r="AC452" t="s">
        <v>115</v>
      </c>
      <c r="AD452">
        <v>3</v>
      </c>
      <c r="AE452" t="s">
        <v>115</v>
      </c>
      <c r="AH452" t="s">
        <v>116</v>
      </c>
      <c r="AI452" s="1">
        <v>16530</v>
      </c>
      <c r="AJ452" s="2">
        <v>0.03</v>
      </c>
      <c r="AK452" s="1">
        <v>478178</v>
      </c>
      <c r="AL452" t="s">
        <v>117</v>
      </c>
      <c r="AM452" t="s">
        <v>191</v>
      </c>
      <c r="AN452">
        <v>6250</v>
      </c>
      <c r="AO452">
        <v>0.14000000000000001</v>
      </c>
      <c r="AR452">
        <v>1</v>
      </c>
      <c r="AS452" s="1">
        <v>35050</v>
      </c>
      <c r="AT452" s="1">
        <v>7010</v>
      </c>
      <c r="AU452" s="1">
        <v>28040</v>
      </c>
      <c r="AV452">
        <v>80</v>
      </c>
      <c r="AX452" s="1">
        <v>2920.32</v>
      </c>
      <c r="AY452" t="s">
        <v>560</v>
      </c>
      <c r="AZ452" t="s">
        <v>561</v>
      </c>
      <c r="BA452" t="s">
        <v>194</v>
      </c>
      <c r="BE452" s="3">
        <v>42291</v>
      </c>
      <c r="BF452" s="1">
        <v>388818</v>
      </c>
      <c r="BG452" t="s">
        <v>446</v>
      </c>
      <c r="BH452" s="1">
        <v>100.78</v>
      </c>
      <c r="BI452" s="1">
        <v>401648</v>
      </c>
      <c r="BJ452" s="3">
        <v>42291</v>
      </c>
      <c r="BK452" t="s">
        <v>123</v>
      </c>
      <c r="BL452" t="str">
        <f>"2015.737394"</f>
        <v>2015.737394</v>
      </c>
      <c r="BM452" t="s">
        <v>573</v>
      </c>
      <c r="BO452" t="s">
        <v>3143</v>
      </c>
      <c r="BS452">
        <v>30</v>
      </c>
      <c r="BT452" s="1">
        <v>60000</v>
      </c>
      <c r="BU452" s="3">
        <v>42396</v>
      </c>
      <c r="BV452" t="s">
        <v>134</v>
      </c>
      <c r="BW452" t="str">
        <f>"2016.56084"</f>
        <v>2016.56084</v>
      </c>
      <c r="BX452" t="s">
        <v>369</v>
      </c>
      <c r="BZ452" t="s">
        <v>3144</v>
      </c>
      <c r="CD452">
        <v>15</v>
      </c>
      <c r="CH452" t="str">
        <f>""</f>
        <v/>
      </c>
      <c r="CS452" t="str">
        <f>""</f>
        <v/>
      </c>
    </row>
    <row r="453" spans="1:97" x14ac:dyDescent="0.25">
      <c r="A453" t="s">
        <v>177</v>
      </c>
      <c r="B453" t="s">
        <v>3145</v>
      </c>
      <c r="C453" t="s">
        <v>3146</v>
      </c>
      <c r="D453" t="s">
        <v>3147</v>
      </c>
      <c r="E453" t="s">
        <v>3148</v>
      </c>
      <c r="F453" t="s">
        <v>108</v>
      </c>
      <c r="H453" t="s">
        <v>3149</v>
      </c>
      <c r="I453" t="s">
        <v>3150</v>
      </c>
      <c r="J453" t="s">
        <v>111</v>
      </c>
      <c r="K453" t="str">
        <f>"85340"</f>
        <v>85340</v>
      </c>
      <c r="L453" t="s">
        <v>3151</v>
      </c>
      <c r="M453" t="s">
        <v>3149</v>
      </c>
      <c r="N453" t="s">
        <v>3150</v>
      </c>
      <c r="O453" t="s">
        <v>111</v>
      </c>
      <c r="P453" t="str">
        <f>"85340-2817"</f>
        <v>85340-2817</v>
      </c>
      <c r="Q453" t="s">
        <v>113</v>
      </c>
      <c r="R453" t="str">
        <f>"501-73-844"</f>
        <v>501-73-844</v>
      </c>
      <c r="S453" t="s">
        <v>3152</v>
      </c>
      <c r="U453">
        <v>3823</v>
      </c>
      <c r="W453">
        <v>7</v>
      </c>
      <c r="X453">
        <v>2015</v>
      </c>
      <c r="Z453">
        <v>1</v>
      </c>
      <c r="AC453" t="s">
        <v>115</v>
      </c>
      <c r="AD453">
        <v>2</v>
      </c>
      <c r="AE453" t="s">
        <v>115</v>
      </c>
      <c r="AH453" t="s">
        <v>116</v>
      </c>
      <c r="AI453" s="1">
        <v>25683</v>
      </c>
      <c r="AJ453" s="2">
        <v>0.05</v>
      </c>
      <c r="AK453" s="1">
        <v>557383</v>
      </c>
      <c r="AL453" t="s">
        <v>117</v>
      </c>
      <c r="AM453" t="s">
        <v>118</v>
      </c>
      <c r="AN453">
        <v>11656</v>
      </c>
      <c r="AO453">
        <v>0.27</v>
      </c>
      <c r="AR453">
        <v>1</v>
      </c>
      <c r="AS453" s="1">
        <v>39160</v>
      </c>
      <c r="AT453" s="1">
        <v>7830</v>
      </c>
      <c r="AU453" s="1">
        <v>31330</v>
      </c>
      <c r="AV453">
        <v>80.010000000000005</v>
      </c>
      <c r="AX453" s="1">
        <v>3446.86</v>
      </c>
      <c r="AY453" t="s">
        <v>3019</v>
      </c>
      <c r="AZ453" t="s">
        <v>3153</v>
      </c>
      <c r="BA453" t="s">
        <v>3154</v>
      </c>
      <c r="BE453" s="3">
        <v>42472</v>
      </c>
      <c r="BF453" s="1">
        <v>555369</v>
      </c>
      <c r="BG453" t="s">
        <v>636</v>
      </c>
      <c r="BH453" s="1">
        <v>145.27000000000001</v>
      </c>
      <c r="BI453" s="1">
        <v>531700</v>
      </c>
      <c r="BJ453" s="3">
        <v>42898</v>
      </c>
      <c r="BK453" t="s">
        <v>123</v>
      </c>
      <c r="BL453" t="str">
        <f>"2017.426197"</f>
        <v>2017.426197</v>
      </c>
      <c r="BM453" t="s">
        <v>807</v>
      </c>
      <c r="BO453" t="s">
        <v>3155</v>
      </c>
      <c r="BP453" t="s">
        <v>3156</v>
      </c>
      <c r="BQ453" t="str">
        <f>"2.6200%"</f>
        <v>2.6200%</v>
      </c>
      <c r="BR453" t="s">
        <v>1480</v>
      </c>
      <c r="BS453">
        <v>30</v>
      </c>
      <c r="BW453" t="str">
        <f>""</f>
        <v/>
      </c>
      <c r="CH453" t="str">
        <f>""</f>
        <v/>
      </c>
      <c r="CS453" t="str">
        <f>""</f>
        <v/>
      </c>
    </row>
    <row r="454" spans="1:97" x14ac:dyDescent="0.25">
      <c r="A454" t="s">
        <v>1444</v>
      </c>
      <c r="B454" t="s">
        <v>3157</v>
      </c>
      <c r="C454" t="s">
        <v>3158</v>
      </c>
      <c r="D454" t="s">
        <v>3157</v>
      </c>
      <c r="E454" t="s">
        <v>3159</v>
      </c>
      <c r="F454" t="s">
        <v>108</v>
      </c>
      <c r="H454" t="s">
        <v>3160</v>
      </c>
      <c r="I454" t="s">
        <v>188</v>
      </c>
      <c r="J454" t="s">
        <v>111</v>
      </c>
      <c r="K454" t="str">
        <f>"85142"</f>
        <v>85142</v>
      </c>
      <c r="L454" t="s">
        <v>3161</v>
      </c>
      <c r="M454" t="s">
        <v>3160</v>
      </c>
      <c r="N454" t="s">
        <v>188</v>
      </c>
      <c r="O454" t="s">
        <v>111</v>
      </c>
      <c r="P454" t="str">
        <f>"85142-7895"</f>
        <v>85142-7895</v>
      </c>
      <c r="Q454" t="s">
        <v>113</v>
      </c>
      <c r="R454" t="str">
        <f>"304-87-780"</f>
        <v>304-87-780</v>
      </c>
      <c r="S454" t="s">
        <v>3162</v>
      </c>
      <c r="T454" t="s">
        <v>3162</v>
      </c>
      <c r="U454">
        <v>4022</v>
      </c>
      <c r="W454">
        <v>6</v>
      </c>
      <c r="X454">
        <v>2015</v>
      </c>
      <c r="Z454">
        <v>1</v>
      </c>
      <c r="AA454" t="s">
        <v>26</v>
      </c>
      <c r="AC454" t="s">
        <v>115</v>
      </c>
      <c r="AD454">
        <v>3</v>
      </c>
      <c r="AE454" t="s">
        <v>115</v>
      </c>
      <c r="AH454" t="s">
        <v>116</v>
      </c>
      <c r="AI454" s="1">
        <v>211</v>
      </c>
      <c r="AJ454" s="2">
        <v>0</v>
      </c>
      <c r="AK454" s="1">
        <v>620369</v>
      </c>
      <c r="AL454" t="s">
        <v>117</v>
      </c>
      <c r="AM454" t="s">
        <v>917</v>
      </c>
      <c r="AN454">
        <v>17985</v>
      </c>
      <c r="AO454">
        <v>0.41</v>
      </c>
      <c r="AR454">
        <v>1</v>
      </c>
      <c r="AS454" s="1">
        <v>49360</v>
      </c>
      <c r="AT454" s="1">
        <v>9870</v>
      </c>
      <c r="AU454" s="1">
        <v>39490</v>
      </c>
      <c r="AV454">
        <v>80</v>
      </c>
      <c r="AX454" s="1">
        <v>4448.92</v>
      </c>
      <c r="AY454" t="s">
        <v>192</v>
      </c>
      <c r="AZ454" t="s">
        <v>193</v>
      </c>
      <c r="BA454" t="s">
        <v>194</v>
      </c>
      <c r="BE454" s="3">
        <v>42237</v>
      </c>
      <c r="BF454" s="1">
        <v>555440</v>
      </c>
      <c r="BG454" t="s">
        <v>3163</v>
      </c>
      <c r="BH454" s="1">
        <v>138.1</v>
      </c>
      <c r="BI454" s="1">
        <v>520158</v>
      </c>
      <c r="BJ454" s="3">
        <v>42643</v>
      </c>
      <c r="BK454" t="s">
        <v>123</v>
      </c>
      <c r="BL454" t="str">
        <f>"2016.713740"</f>
        <v>2016.713740</v>
      </c>
      <c r="BM454" t="s">
        <v>709</v>
      </c>
      <c r="BN454" t="s">
        <v>863</v>
      </c>
      <c r="BO454" t="s">
        <v>3164</v>
      </c>
      <c r="BS454">
        <v>30</v>
      </c>
      <c r="BT454" s="1">
        <v>50000</v>
      </c>
      <c r="BU454" s="3">
        <v>43088</v>
      </c>
      <c r="BW454" t="str">
        <f>"2017.936596"</f>
        <v>2017.936596</v>
      </c>
      <c r="BX454" t="s">
        <v>135</v>
      </c>
      <c r="BY454">
        <v>22180</v>
      </c>
      <c r="BZ454" t="s">
        <v>3164</v>
      </c>
      <c r="CD454">
        <v>16</v>
      </c>
      <c r="CE454" s="1">
        <v>50000</v>
      </c>
      <c r="CF454" s="3">
        <v>43458</v>
      </c>
      <c r="CG454" t="s">
        <v>134</v>
      </c>
      <c r="CH454" t="str">
        <f>"2018.939874"</f>
        <v>2018.939874</v>
      </c>
      <c r="CI454" t="s">
        <v>135</v>
      </c>
      <c r="CJ454" t="s">
        <v>136</v>
      </c>
      <c r="CK454" t="s">
        <v>3165</v>
      </c>
      <c r="CL454" t="s">
        <v>3166</v>
      </c>
      <c r="CN454" t="s">
        <v>139</v>
      </c>
      <c r="CS454" t="str">
        <f>""</f>
        <v/>
      </c>
    </row>
    <row r="455" spans="1:97" x14ac:dyDescent="0.25">
      <c r="A455" t="s">
        <v>3051</v>
      </c>
      <c r="B455" t="s">
        <v>3167</v>
      </c>
      <c r="C455" t="s">
        <v>3168</v>
      </c>
      <c r="D455" t="s">
        <v>3167</v>
      </c>
      <c r="E455" t="s">
        <v>3169</v>
      </c>
      <c r="F455" t="s">
        <v>108</v>
      </c>
      <c r="H455" t="s">
        <v>3170</v>
      </c>
      <c r="I455" t="s">
        <v>203</v>
      </c>
      <c r="J455" t="s">
        <v>111</v>
      </c>
      <c r="K455" t="str">
        <f>"85298"</f>
        <v>85298</v>
      </c>
      <c r="L455" t="s">
        <v>734</v>
      </c>
      <c r="M455" t="s">
        <v>3170</v>
      </c>
      <c r="N455" t="s">
        <v>203</v>
      </c>
      <c r="O455" t="s">
        <v>111</v>
      </c>
      <c r="P455" t="str">
        <f>"85298"</f>
        <v>85298</v>
      </c>
      <c r="Q455" t="s">
        <v>113</v>
      </c>
      <c r="R455" t="str">
        <f>"313-18-321"</f>
        <v>313-18-321</v>
      </c>
      <c r="S455" t="s">
        <v>1983</v>
      </c>
      <c r="U455">
        <v>3172</v>
      </c>
      <c r="W455">
        <v>5</v>
      </c>
      <c r="X455">
        <v>2015</v>
      </c>
      <c r="Z455">
        <v>1</v>
      </c>
      <c r="AC455" t="s">
        <v>115</v>
      </c>
      <c r="AD455">
        <v>3</v>
      </c>
      <c r="AE455" t="s">
        <v>115</v>
      </c>
      <c r="AH455" t="s">
        <v>116</v>
      </c>
      <c r="AI455" s="1">
        <v>98970</v>
      </c>
      <c r="AJ455" s="2">
        <v>0.18</v>
      </c>
      <c r="AK455" s="1">
        <v>536370</v>
      </c>
      <c r="AL455" t="s">
        <v>117</v>
      </c>
      <c r="AM455" t="s">
        <v>171</v>
      </c>
      <c r="AN455">
        <v>9000</v>
      </c>
      <c r="AO455">
        <v>0.21</v>
      </c>
      <c r="AR455">
        <v>1</v>
      </c>
      <c r="AS455" s="1">
        <v>40360</v>
      </c>
      <c r="AT455" s="1">
        <v>8070</v>
      </c>
      <c r="AU455" s="1">
        <v>32290</v>
      </c>
      <c r="AV455">
        <v>80</v>
      </c>
      <c r="AX455" s="1">
        <v>3033.06</v>
      </c>
      <c r="AY455" t="s">
        <v>737</v>
      </c>
      <c r="AZ455" t="s">
        <v>273</v>
      </c>
      <c r="BA455" t="s">
        <v>303</v>
      </c>
      <c r="BE455" s="3">
        <v>42328</v>
      </c>
      <c r="BF455" s="1">
        <v>482000</v>
      </c>
      <c r="BG455" t="s">
        <v>195</v>
      </c>
      <c r="BH455" s="1">
        <v>151.94999999999999</v>
      </c>
      <c r="BI455" s="1">
        <v>437400</v>
      </c>
      <c r="BJ455" s="3">
        <v>42328</v>
      </c>
      <c r="BK455" t="s">
        <v>123</v>
      </c>
      <c r="BL455" t="str">
        <f>"2015.831993"</f>
        <v>2015.831993</v>
      </c>
      <c r="BM455" t="s">
        <v>196</v>
      </c>
      <c r="BO455" t="s">
        <v>3171</v>
      </c>
      <c r="BS455">
        <v>30</v>
      </c>
      <c r="BW455" t="str">
        <f>""</f>
        <v/>
      </c>
      <c r="CH455" t="str">
        <f>""</f>
        <v/>
      </c>
      <c r="CS455" t="str">
        <f>""</f>
        <v/>
      </c>
    </row>
    <row r="456" spans="1:97" x14ac:dyDescent="0.25">
      <c r="A456" t="s">
        <v>3172</v>
      </c>
      <c r="B456" t="s">
        <v>3173</v>
      </c>
      <c r="C456" t="s">
        <v>3174</v>
      </c>
      <c r="D456" t="s">
        <v>465</v>
      </c>
      <c r="E456" t="s">
        <v>3175</v>
      </c>
      <c r="F456" t="s">
        <v>108</v>
      </c>
      <c r="H456" t="s">
        <v>3176</v>
      </c>
      <c r="I456" t="s">
        <v>453</v>
      </c>
      <c r="J456" t="s">
        <v>111</v>
      </c>
      <c r="K456" t="str">
        <f>"85383"</f>
        <v>85383</v>
      </c>
      <c r="L456" t="s">
        <v>688</v>
      </c>
      <c r="M456" t="s">
        <v>3176</v>
      </c>
      <c r="N456" t="s">
        <v>453</v>
      </c>
      <c r="O456" t="s">
        <v>111</v>
      </c>
      <c r="P456" t="str">
        <f>"85383-3335"</f>
        <v>85383-3335</v>
      </c>
      <c r="Q456" t="s">
        <v>113</v>
      </c>
      <c r="R456" t="str">
        <f>"200-19-881"</f>
        <v>200-19-881</v>
      </c>
      <c r="S456" t="s">
        <v>3060</v>
      </c>
      <c r="T456" t="s">
        <v>3061</v>
      </c>
      <c r="U456">
        <v>3286</v>
      </c>
      <c r="W456">
        <v>5</v>
      </c>
      <c r="X456">
        <v>2015</v>
      </c>
      <c r="Z456">
        <v>2</v>
      </c>
      <c r="AC456" t="s">
        <v>115</v>
      </c>
      <c r="AD456">
        <v>3</v>
      </c>
      <c r="AE456" t="s">
        <v>115</v>
      </c>
      <c r="AH456" t="s">
        <v>116</v>
      </c>
      <c r="AI456" s="1">
        <v>34146</v>
      </c>
      <c r="AJ456" s="2">
        <v>7.0000000000000007E-2</v>
      </c>
      <c r="AK456" s="1">
        <v>460979</v>
      </c>
      <c r="AL456" t="s">
        <v>117</v>
      </c>
      <c r="AM456" t="s">
        <v>118</v>
      </c>
      <c r="AN456">
        <v>9487</v>
      </c>
      <c r="AO456">
        <v>0.22</v>
      </c>
      <c r="AR456">
        <v>1</v>
      </c>
      <c r="AS456" s="1">
        <v>35220</v>
      </c>
      <c r="AT456" s="1">
        <v>7040</v>
      </c>
      <c r="AU456" s="1">
        <v>28180</v>
      </c>
      <c r="AV456">
        <v>80.010000000000005</v>
      </c>
      <c r="AX456" s="1">
        <v>3288.2</v>
      </c>
      <c r="AY456" t="s">
        <v>1808</v>
      </c>
      <c r="AZ456" t="s">
        <v>1808</v>
      </c>
      <c r="BA456" t="s">
        <v>457</v>
      </c>
      <c r="BE456" s="3">
        <v>42326</v>
      </c>
      <c r="BF456" s="1">
        <v>422694</v>
      </c>
      <c r="BG456" t="s">
        <v>3062</v>
      </c>
      <c r="BH456" s="1">
        <v>128.63</v>
      </c>
      <c r="BI456" s="1">
        <v>426833</v>
      </c>
      <c r="BJ456" s="3">
        <v>42326</v>
      </c>
      <c r="BK456" t="s">
        <v>123</v>
      </c>
      <c r="BL456" t="str">
        <f>"2015.824036"</f>
        <v>2015.824036</v>
      </c>
      <c r="BM456" t="s">
        <v>2245</v>
      </c>
      <c r="BO456" t="s">
        <v>3177</v>
      </c>
      <c r="BP456" t="s">
        <v>3178</v>
      </c>
      <c r="BS456">
        <v>30</v>
      </c>
      <c r="BW456" t="str">
        <f>""</f>
        <v/>
      </c>
      <c r="CH456" t="str">
        <f>""</f>
        <v/>
      </c>
      <c r="CS456" t="str">
        <f>""</f>
        <v/>
      </c>
    </row>
    <row r="457" spans="1:97" x14ac:dyDescent="0.25">
      <c r="A457" t="s">
        <v>589</v>
      </c>
      <c r="B457" t="s">
        <v>3179</v>
      </c>
      <c r="C457" t="s">
        <v>3180</v>
      </c>
      <c r="D457" t="s">
        <v>3179</v>
      </c>
      <c r="E457" t="s">
        <v>3181</v>
      </c>
      <c r="F457" t="s">
        <v>108</v>
      </c>
      <c r="H457" t="s">
        <v>3182</v>
      </c>
      <c r="I457" t="s">
        <v>110</v>
      </c>
      <c r="J457" t="s">
        <v>111</v>
      </c>
      <c r="K457" t="str">
        <f>"85225"</f>
        <v>85225</v>
      </c>
      <c r="L457" t="s">
        <v>1244</v>
      </c>
      <c r="M457" t="s">
        <v>3182</v>
      </c>
      <c r="N457" t="s">
        <v>110</v>
      </c>
      <c r="O457" t="s">
        <v>111</v>
      </c>
      <c r="P457" t="str">
        <f>"85225-1486"</f>
        <v>85225-1486</v>
      </c>
      <c r="Q457" t="s">
        <v>113</v>
      </c>
      <c r="R457" t="str">
        <f>"303-71-678"</f>
        <v>303-71-678</v>
      </c>
      <c r="S457" t="s">
        <v>3183</v>
      </c>
      <c r="T457" t="s">
        <v>3184</v>
      </c>
      <c r="U457">
        <v>4404</v>
      </c>
      <c r="W457">
        <v>7</v>
      </c>
      <c r="X457">
        <v>2016</v>
      </c>
      <c r="Z457">
        <v>2</v>
      </c>
      <c r="AC457" t="s">
        <v>115</v>
      </c>
      <c r="AD457">
        <v>4</v>
      </c>
      <c r="AE457" t="s">
        <v>115</v>
      </c>
      <c r="AH457" t="s">
        <v>116</v>
      </c>
      <c r="AI457" s="1">
        <v>119375</v>
      </c>
      <c r="AJ457" s="2">
        <v>0.2</v>
      </c>
      <c r="AK457" s="1">
        <v>607005</v>
      </c>
      <c r="AL457" t="s">
        <v>117</v>
      </c>
      <c r="AM457" t="s">
        <v>118</v>
      </c>
      <c r="AN457">
        <v>6897</v>
      </c>
      <c r="AO457">
        <v>0.16</v>
      </c>
      <c r="AR457">
        <v>1</v>
      </c>
      <c r="AS457" s="1">
        <v>46760</v>
      </c>
      <c r="AT457" s="1">
        <v>9350</v>
      </c>
      <c r="AU457" s="1">
        <v>37410</v>
      </c>
      <c r="AV457">
        <v>80</v>
      </c>
      <c r="AX457" s="1">
        <v>3130.56</v>
      </c>
      <c r="AY457" t="s">
        <v>3185</v>
      </c>
      <c r="AZ457" t="s">
        <v>2906</v>
      </c>
      <c r="BA457" t="s">
        <v>303</v>
      </c>
      <c r="BE457" s="3">
        <v>42510</v>
      </c>
      <c r="BF457" s="1">
        <v>504468</v>
      </c>
      <c r="BG457" t="s">
        <v>1079</v>
      </c>
      <c r="BH457" s="1">
        <v>114.55</v>
      </c>
      <c r="BI457" s="1">
        <v>487630</v>
      </c>
      <c r="BJ457" s="3">
        <v>42510</v>
      </c>
      <c r="BK457" t="s">
        <v>123</v>
      </c>
      <c r="BL457" t="str">
        <f>"2016.348043"</f>
        <v>2016.348043</v>
      </c>
      <c r="BM457" t="s">
        <v>1080</v>
      </c>
      <c r="BO457" t="s">
        <v>3186</v>
      </c>
      <c r="BS457">
        <v>30</v>
      </c>
      <c r="BW457" t="str">
        <f>""</f>
        <v/>
      </c>
      <c r="CH457" t="str">
        <f>""</f>
        <v/>
      </c>
      <c r="CS457" t="str">
        <f>""</f>
        <v/>
      </c>
    </row>
    <row r="458" spans="1:97" x14ac:dyDescent="0.25">
      <c r="A458" t="s">
        <v>3187</v>
      </c>
      <c r="B458" t="s">
        <v>3188</v>
      </c>
      <c r="C458" t="s">
        <v>2530</v>
      </c>
      <c r="D458" t="s">
        <v>3188</v>
      </c>
      <c r="E458" t="s">
        <v>3189</v>
      </c>
      <c r="F458" t="s">
        <v>108</v>
      </c>
      <c r="H458" t="s">
        <v>3190</v>
      </c>
      <c r="I458" t="s">
        <v>453</v>
      </c>
      <c r="J458" t="s">
        <v>111</v>
      </c>
      <c r="K458" t="str">
        <f>"85383"</f>
        <v>85383</v>
      </c>
      <c r="L458" t="s">
        <v>688</v>
      </c>
      <c r="M458" t="s">
        <v>3190</v>
      </c>
      <c r="N458" t="s">
        <v>453</v>
      </c>
      <c r="O458" t="s">
        <v>111</v>
      </c>
      <c r="P458" t="str">
        <f>"85383-3344"</f>
        <v>85383-3344</v>
      </c>
      <c r="Q458" t="s">
        <v>113</v>
      </c>
      <c r="R458" t="str">
        <f>"200-19-588"</f>
        <v>200-19-588</v>
      </c>
      <c r="S458" t="s">
        <v>3191</v>
      </c>
      <c r="T458" t="s">
        <v>3061</v>
      </c>
      <c r="U458">
        <v>3286</v>
      </c>
      <c r="W458">
        <v>5</v>
      </c>
      <c r="X458">
        <v>2015</v>
      </c>
      <c r="Z458">
        <v>2</v>
      </c>
      <c r="AA458" t="s">
        <v>26</v>
      </c>
      <c r="AC458" t="s">
        <v>115</v>
      </c>
      <c r="AD458">
        <v>3</v>
      </c>
      <c r="AE458" t="s">
        <v>115</v>
      </c>
      <c r="AH458" t="s">
        <v>116</v>
      </c>
      <c r="AI458" s="1">
        <v>41327</v>
      </c>
      <c r="AJ458" s="2">
        <v>0.08</v>
      </c>
      <c r="AK458" s="1">
        <v>487057</v>
      </c>
      <c r="AL458" t="s">
        <v>117</v>
      </c>
      <c r="AM458" t="s">
        <v>118</v>
      </c>
      <c r="AN458">
        <v>7224</v>
      </c>
      <c r="AO458">
        <v>0.17</v>
      </c>
      <c r="AR458">
        <v>1</v>
      </c>
      <c r="AS458" s="1">
        <v>36930</v>
      </c>
      <c r="AT458" s="1">
        <v>7380</v>
      </c>
      <c r="AU458" s="1">
        <v>29550</v>
      </c>
      <c r="AV458">
        <v>80.02</v>
      </c>
      <c r="AX458" s="1">
        <v>2962.38</v>
      </c>
      <c r="AY458" t="s">
        <v>1808</v>
      </c>
      <c r="AZ458" t="s">
        <v>1808</v>
      </c>
      <c r="BA458" t="s">
        <v>457</v>
      </c>
      <c r="BE458" s="3">
        <v>42439</v>
      </c>
      <c r="BF458" s="1">
        <v>441542</v>
      </c>
      <c r="BG458" t="s">
        <v>3062</v>
      </c>
      <c r="BH458" s="1">
        <v>134.37</v>
      </c>
      <c r="BI458" s="1">
        <v>445730</v>
      </c>
      <c r="BJ458" s="3">
        <v>42677</v>
      </c>
      <c r="BK458" t="s">
        <v>123</v>
      </c>
      <c r="BL458" t="str">
        <f>"2016.814173"</f>
        <v>2016.814173</v>
      </c>
      <c r="BM458" t="s">
        <v>402</v>
      </c>
      <c r="BO458" t="s">
        <v>3192</v>
      </c>
      <c r="BS458">
        <v>30</v>
      </c>
      <c r="BW458" t="str">
        <f>""</f>
        <v/>
      </c>
      <c r="CH458" t="str">
        <f>""</f>
        <v/>
      </c>
      <c r="CS458" t="str">
        <f>""</f>
        <v/>
      </c>
    </row>
    <row r="459" spans="1:97" x14ac:dyDescent="0.25">
      <c r="A459" t="s">
        <v>1850</v>
      </c>
      <c r="B459" t="s">
        <v>1388</v>
      </c>
      <c r="C459" t="s">
        <v>489</v>
      </c>
      <c r="D459" t="s">
        <v>1388</v>
      </c>
      <c r="E459" t="s">
        <v>3193</v>
      </c>
      <c r="F459" t="s">
        <v>108</v>
      </c>
      <c r="H459" t="s">
        <v>3194</v>
      </c>
      <c r="I459" t="s">
        <v>203</v>
      </c>
      <c r="J459" t="s">
        <v>111</v>
      </c>
      <c r="K459" t="str">
        <f>"85296"</f>
        <v>85296</v>
      </c>
      <c r="L459" t="s">
        <v>516</v>
      </c>
      <c r="M459" t="s">
        <v>3194</v>
      </c>
      <c r="N459" t="s">
        <v>203</v>
      </c>
      <c r="O459" t="s">
        <v>111</v>
      </c>
      <c r="P459" t="str">
        <f>"85296-1582"</f>
        <v>85296-1582</v>
      </c>
      <c r="Q459" t="s">
        <v>113</v>
      </c>
      <c r="R459" t="str">
        <f>"304-18-159"</f>
        <v>304-18-159</v>
      </c>
      <c r="S459" t="s">
        <v>3195</v>
      </c>
      <c r="U459">
        <v>1576</v>
      </c>
      <c r="W459">
        <v>3</v>
      </c>
      <c r="X459">
        <v>2016</v>
      </c>
      <c r="Z459">
        <v>1</v>
      </c>
      <c r="AC459" t="s">
        <v>115</v>
      </c>
      <c r="AD459">
        <v>2</v>
      </c>
      <c r="AE459" t="s">
        <v>115</v>
      </c>
      <c r="AH459" t="s">
        <v>116</v>
      </c>
      <c r="AI459" s="1">
        <v>22324</v>
      </c>
      <c r="AJ459" s="2">
        <v>7.0000000000000007E-2</v>
      </c>
      <c r="AK459" s="1">
        <v>331012</v>
      </c>
      <c r="AL459" t="s">
        <v>117</v>
      </c>
      <c r="AM459" t="s">
        <v>288</v>
      </c>
      <c r="AN459">
        <v>5750</v>
      </c>
      <c r="AO459">
        <v>0.13</v>
      </c>
      <c r="AR459">
        <v>1</v>
      </c>
      <c r="AS459" s="1">
        <v>24560</v>
      </c>
      <c r="AT459" s="1">
        <v>4910</v>
      </c>
      <c r="AU459" s="1">
        <v>19650</v>
      </c>
      <c r="AV459">
        <v>80.010000000000005</v>
      </c>
      <c r="AX459" s="1">
        <v>1793.82</v>
      </c>
      <c r="AY459" t="s">
        <v>519</v>
      </c>
      <c r="AZ459" t="s">
        <v>520</v>
      </c>
      <c r="BA459" t="s">
        <v>521</v>
      </c>
      <c r="BE459" s="3">
        <v>42513</v>
      </c>
      <c r="BF459" s="1">
        <v>298827</v>
      </c>
      <c r="BG459" t="s">
        <v>275</v>
      </c>
      <c r="BH459" s="1">
        <v>189.61</v>
      </c>
      <c r="BI459" s="1">
        <v>308688</v>
      </c>
      <c r="BJ459" s="3">
        <v>42513</v>
      </c>
      <c r="BK459" t="s">
        <v>123</v>
      </c>
      <c r="BL459" t="str">
        <f>"2016.350241"</f>
        <v>2016.350241</v>
      </c>
      <c r="BM459" t="s">
        <v>651</v>
      </c>
      <c r="BO459" t="s">
        <v>3196</v>
      </c>
      <c r="BS459">
        <v>30</v>
      </c>
      <c r="BW459" t="str">
        <f>""</f>
        <v/>
      </c>
      <c r="CH459" t="str">
        <f>""</f>
        <v/>
      </c>
      <c r="CS459" t="str">
        <f>""</f>
        <v/>
      </c>
    </row>
    <row r="460" spans="1:97" x14ac:dyDescent="0.25">
      <c r="A460" t="s">
        <v>3197</v>
      </c>
      <c r="B460" t="s">
        <v>1697</v>
      </c>
      <c r="E460" t="s">
        <v>3198</v>
      </c>
      <c r="F460" t="s">
        <v>108</v>
      </c>
      <c r="H460" t="s">
        <v>3199</v>
      </c>
      <c r="I460" t="s">
        <v>225</v>
      </c>
      <c r="J460" t="s">
        <v>111</v>
      </c>
      <c r="K460" t="str">
        <f>"85212"</f>
        <v>85212</v>
      </c>
      <c r="L460" t="s">
        <v>3140</v>
      </c>
      <c r="M460" t="s">
        <v>3199</v>
      </c>
      <c r="N460" t="s">
        <v>225</v>
      </c>
      <c r="O460" t="s">
        <v>111</v>
      </c>
      <c r="P460" t="str">
        <f>"85212-8242"</f>
        <v>85212-8242</v>
      </c>
      <c r="Q460" t="s">
        <v>113</v>
      </c>
      <c r="R460" t="str">
        <f>"312-13-422"</f>
        <v>312-13-422</v>
      </c>
      <c r="S460" t="s">
        <v>3200</v>
      </c>
      <c r="T460" t="s">
        <v>3142</v>
      </c>
      <c r="U460">
        <v>2020</v>
      </c>
      <c r="W460">
        <v>3</v>
      </c>
      <c r="X460">
        <v>2015</v>
      </c>
      <c r="Z460">
        <v>1</v>
      </c>
      <c r="AC460" t="s">
        <v>115</v>
      </c>
      <c r="AD460">
        <v>2</v>
      </c>
      <c r="AE460" t="s">
        <v>115</v>
      </c>
      <c r="AH460" t="s">
        <v>116</v>
      </c>
      <c r="AI460" s="1">
        <v>102348</v>
      </c>
      <c r="AJ460" s="2">
        <v>0.28999999999999998</v>
      </c>
      <c r="AK460" s="1">
        <v>357629</v>
      </c>
      <c r="AL460" t="s">
        <v>117</v>
      </c>
      <c r="AM460" t="s">
        <v>191</v>
      </c>
      <c r="AN460">
        <v>7176</v>
      </c>
      <c r="AO460">
        <v>0.16</v>
      </c>
      <c r="AR460">
        <v>1</v>
      </c>
      <c r="AS460" s="1">
        <v>25410</v>
      </c>
      <c r="AT460" s="1">
        <v>5080</v>
      </c>
      <c r="AU460" s="1">
        <v>20330</v>
      </c>
      <c r="AV460">
        <v>80.010000000000005</v>
      </c>
      <c r="AX460" s="1">
        <v>2178.88</v>
      </c>
      <c r="AY460" t="s">
        <v>560</v>
      </c>
      <c r="AZ460" t="s">
        <v>561</v>
      </c>
      <c r="BA460" t="s">
        <v>194</v>
      </c>
      <c r="BE460" s="3">
        <v>42321</v>
      </c>
      <c r="BF460" s="1">
        <v>273595</v>
      </c>
      <c r="BG460" t="s">
        <v>446</v>
      </c>
      <c r="BH460" s="1">
        <v>135.44</v>
      </c>
      <c r="BI460" s="1">
        <v>255281</v>
      </c>
      <c r="BJ460" s="3">
        <v>42321</v>
      </c>
      <c r="BK460" t="s">
        <v>123</v>
      </c>
      <c r="BL460" t="str">
        <f>"2015.813315"</f>
        <v>2015.813315</v>
      </c>
      <c r="BM460" t="s">
        <v>573</v>
      </c>
      <c r="BO460" t="s">
        <v>3201</v>
      </c>
      <c r="BS460">
        <v>30</v>
      </c>
      <c r="BW460" t="str">
        <f>""</f>
        <v/>
      </c>
      <c r="CH460" t="str">
        <f>""</f>
        <v/>
      </c>
      <c r="CS460" t="str">
        <f>""</f>
        <v/>
      </c>
    </row>
    <row r="461" spans="1:97" x14ac:dyDescent="0.25">
      <c r="A461" t="s">
        <v>2743</v>
      </c>
      <c r="B461" t="s">
        <v>1251</v>
      </c>
      <c r="C461" t="s">
        <v>2178</v>
      </c>
      <c r="D461" t="s">
        <v>1251</v>
      </c>
      <c r="E461" t="s">
        <v>3202</v>
      </c>
      <c r="F461" t="s">
        <v>108</v>
      </c>
      <c r="H461" t="s">
        <v>3203</v>
      </c>
      <c r="I461" t="s">
        <v>188</v>
      </c>
      <c r="J461" t="s">
        <v>111</v>
      </c>
      <c r="K461" t="str">
        <f>"85142"</f>
        <v>85142</v>
      </c>
      <c r="L461" t="s">
        <v>625</v>
      </c>
      <c r="M461" t="s">
        <v>3203</v>
      </c>
      <c r="N461" t="s">
        <v>188</v>
      </c>
      <c r="O461" t="s">
        <v>111</v>
      </c>
      <c r="P461" t="str">
        <f>"85142-7986"</f>
        <v>85142-7986</v>
      </c>
      <c r="Q461" t="s">
        <v>113</v>
      </c>
      <c r="R461" t="str">
        <f>"304-88-622"</f>
        <v>304-88-622</v>
      </c>
      <c r="S461" t="s">
        <v>3204</v>
      </c>
      <c r="U461">
        <v>3481</v>
      </c>
      <c r="W461">
        <v>4</v>
      </c>
      <c r="X461">
        <v>2015</v>
      </c>
      <c r="Z461">
        <v>2</v>
      </c>
      <c r="AC461" t="s">
        <v>115</v>
      </c>
      <c r="AD461">
        <v>3</v>
      </c>
      <c r="AE461" t="s">
        <v>115</v>
      </c>
      <c r="AH461" t="s">
        <v>116</v>
      </c>
      <c r="AI461" s="1">
        <v>117186</v>
      </c>
      <c r="AJ461" s="2">
        <v>0.27</v>
      </c>
      <c r="AK461" s="1">
        <v>430446</v>
      </c>
      <c r="AL461" t="s">
        <v>117</v>
      </c>
      <c r="AM461" t="s">
        <v>393</v>
      </c>
      <c r="AN461">
        <v>8400</v>
      </c>
      <c r="AO461">
        <v>0.19</v>
      </c>
      <c r="AR461">
        <v>1</v>
      </c>
      <c r="AS461" s="1">
        <v>29670</v>
      </c>
      <c r="AT461" s="1">
        <v>5930</v>
      </c>
      <c r="AU461" s="1">
        <v>23740</v>
      </c>
      <c r="AV461">
        <v>80.010000000000005</v>
      </c>
      <c r="AX461" s="1">
        <v>2983.9</v>
      </c>
      <c r="AY461" t="s">
        <v>560</v>
      </c>
      <c r="AZ461" t="s">
        <v>561</v>
      </c>
      <c r="BA461" t="s">
        <v>194</v>
      </c>
      <c r="BE461" s="3">
        <v>42276</v>
      </c>
      <c r="BF461" s="1">
        <v>306667</v>
      </c>
      <c r="BG461" t="s">
        <v>1975</v>
      </c>
      <c r="BH461" s="1">
        <v>88.1</v>
      </c>
      <c r="BI461" s="1">
        <v>313260</v>
      </c>
      <c r="BJ461" s="3">
        <v>42276</v>
      </c>
      <c r="BK461" t="s">
        <v>123</v>
      </c>
      <c r="BL461" t="str">
        <f>"2015.698809"</f>
        <v>2015.698809</v>
      </c>
      <c r="BM461" t="s">
        <v>724</v>
      </c>
      <c r="BO461" t="s">
        <v>3205</v>
      </c>
      <c r="BS461">
        <v>30</v>
      </c>
      <c r="BW461" t="str">
        <f>""</f>
        <v/>
      </c>
      <c r="CH461" t="str">
        <f>""</f>
        <v/>
      </c>
      <c r="CS461" t="str">
        <f>""</f>
        <v/>
      </c>
    </row>
    <row r="462" spans="1:97" x14ac:dyDescent="0.25">
      <c r="B462" t="s">
        <v>3206</v>
      </c>
      <c r="E462" t="s">
        <v>3207</v>
      </c>
      <c r="F462" t="s">
        <v>139</v>
      </c>
      <c r="H462" t="s">
        <v>3208</v>
      </c>
      <c r="I462" t="s">
        <v>390</v>
      </c>
      <c r="J462" t="s">
        <v>111</v>
      </c>
      <c r="K462" t="str">
        <f>"85085"</f>
        <v>85085</v>
      </c>
      <c r="L462" t="s">
        <v>500</v>
      </c>
      <c r="M462" t="s">
        <v>3208</v>
      </c>
      <c r="N462" t="s">
        <v>390</v>
      </c>
      <c r="O462" t="s">
        <v>111</v>
      </c>
      <c r="P462" t="str">
        <f>"85085-1739"</f>
        <v>85085-1739</v>
      </c>
      <c r="Q462" t="s">
        <v>113</v>
      </c>
      <c r="R462" t="str">
        <f>"210-20-735"</f>
        <v>210-20-735</v>
      </c>
      <c r="S462" t="s">
        <v>3209</v>
      </c>
      <c r="T462" t="s">
        <v>3210</v>
      </c>
      <c r="U462">
        <v>1754</v>
      </c>
      <c r="W462">
        <v>3</v>
      </c>
      <c r="X462">
        <v>2015</v>
      </c>
      <c r="Z462">
        <v>1</v>
      </c>
      <c r="AC462" t="s">
        <v>115</v>
      </c>
      <c r="AD462">
        <v>2</v>
      </c>
      <c r="AE462" t="s">
        <v>115</v>
      </c>
      <c r="AH462" t="s">
        <v>116</v>
      </c>
      <c r="AI462" s="1">
        <v>48482</v>
      </c>
      <c r="AJ462" s="2">
        <v>0.13</v>
      </c>
      <c r="AK462" s="1">
        <v>373877</v>
      </c>
      <c r="AL462" t="s">
        <v>117</v>
      </c>
      <c r="AM462" t="s">
        <v>760</v>
      </c>
      <c r="AN462">
        <v>5175</v>
      </c>
      <c r="AO462">
        <v>0.12</v>
      </c>
      <c r="AR462">
        <v>1</v>
      </c>
      <c r="AS462" s="1">
        <v>27360</v>
      </c>
      <c r="AT462" s="1">
        <v>5470</v>
      </c>
      <c r="AU462" s="1">
        <v>21890</v>
      </c>
      <c r="AV462">
        <v>80.010000000000005</v>
      </c>
      <c r="AX462" s="1">
        <v>2753.56</v>
      </c>
      <c r="AY462" t="s">
        <v>1461</v>
      </c>
      <c r="AZ462" t="s">
        <v>1461</v>
      </c>
      <c r="BA462" t="s">
        <v>1462</v>
      </c>
      <c r="BB462" s="3">
        <v>43209</v>
      </c>
      <c r="BC462" s="1">
        <v>0</v>
      </c>
      <c r="BD462" t="s">
        <v>247</v>
      </c>
      <c r="BE462" s="3">
        <v>42425</v>
      </c>
      <c r="BF462" s="1">
        <v>315000</v>
      </c>
      <c r="BG462" t="s">
        <v>275</v>
      </c>
      <c r="BH462" s="1">
        <v>179.59</v>
      </c>
      <c r="BI462" s="1">
        <v>325395</v>
      </c>
      <c r="BJ462" s="3">
        <v>42425</v>
      </c>
      <c r="BK462" t="s">
        <v>123</v>
      </c>
      <c r="BL462" t="str">
        <f>"2016.120170"</f>
        <v>2016.120170</v>
      </c>
      <c r="BM462" t="s">
        <v>651</v>
      </c>
      <c r="BN462" t="s">
        <v>652</v>
      </c>
      <c r="BO462" t="s">
        <v>3211</v>
      </c>
      <c r="BS462">
        <v>30</v>
      </c>
      <c r="BW462" t="str">
        <f>""</f>
        <v/>
      </c>
      <c r="CH462" t="str">
        <f>""</f>
        <v/>
      </c>
      <c r="CS462" t="str">
        <f>""</f>
        <v/>
      </c>
    </row>
    <row r="463" spans="1:97" x14ac:dyDescent="0.25">
      <c r="A463" t="s">
        <v>3212</v>
      </c>
      <c r="B463" t="s">
        <v>3213</v>
      </c>
      <c r="C463" t="s">
        <v>727</v>
      </c>
      <c r="D463" t="s">
        <v>3214</v>
      </c>
      <c r="E463" t="s">
        <v>3215</v>
      </c>
      <c r="F463" t="s">
        <v>108</v>
      </c>
      <c r="H463" t="s">
        <v>3216</v>
      </c>
      <c r="I463" t="s">
        <v>203</v>
      </c>
      <c r="J463" t="s">
        <v>111</v>
      </c>
      <c r="K463" t="str">
        <f>"85298"</f>
        <v>85298</v>
      </c>
      <c r="L463" t="s">
        <v>734</v>
      </c>
      <c r="M463" t="s">
        <v>3216</v>
      </c>
      <c r="N463" t="s">
        <v>203</v>
      </c>
      <c r="O463" t="s">
        <v>111</v>
      </c>
      <c r="P463" t="str">
        <f>"85298"</f>
        <v>85298</v>
      </c>
      <c r="Q463" t="s">
        <v>113</v>
      </c>
      <c r="R463" t="str">
        <f>"313-18-310"</f>
        <v>313-18-310</v>
      </c>
      <c r="S463" t="s">
        <v>1983</v>
      </c>
      <c r="U463">
        <v>2867</v>
      </c>
      <c r="W463">
        <v>4</v>
      </c>
      <c r="X463">
        <v>2016</v>
      </c>
      <c r="Z463">
        <v>1</v>
      </c>
      <c r="AC463" t="s">
        <v>115</v>
      </c>
      <c r="AD463">
        <v>3</v>
      </c>
      <c r="AE463" t="s">
        <v>115</v>
      </c>
      <c r="AH463" t="s">
        <v>116</v>
      </c>
      <c r="AI463" s="1">
        <v>53414</v>
      </c>
      <c r="AJ463" s="2">
        <v>0.11</v>
      </c>
      <c r="AK463" s="1">
        <v>496127</v>
      </c>
      <c r="AL463" t="s">
        <v>117</v>
      </c>
      <c r="AM463" t="s">
        <v>171</v>
      </c>
      <c r="AN463">
        <v>9131</v>
      </c>
      <c r="AO463">
        <v>0.21</v>
      </c>
      <c r="AR463">
        <v>1</v>
      </c>
      <c r="AS463" s="1">
        <v>37480</v>
      </c>
      <c r="AT463" s="1">
        <v>7490</v>
      </c>
      <c r="AU463" s="1">
        <v>29990</v>
      </c>
      <c r="AV463">
        <v>80.02</v>
      </c>
      <c r="AX463" s="1">
        <v>2752.9</v>
      </c>
      <c r="AY463" t="s">
        <v>737</v>
      </c>
      <c r="AZ463" t="s">
        <v>273</v>
      </c>
      <c r="BA463" t="s">
        <v>303</v>
      </c>
      <c r="BE463" s="3">
        <v>42545</v>
      </c>
      <c r="BF463" s="1">
        <v>435000</v>
      </c>
      <c r="BG463" t="s">
        <v>195</v>
      </c>
      <c r="BH463" s="1">
        <v>151.72999999999999</v>
      </c>
      <c r="BI463" s="1">
        <v>442713</v>
      </c>
      <c r="BJ463" s="3">
        <v>42545</v>
      </c>
      <c r="BK463" t="s">
        <v>123</v>
      </c>
      <c r="BL463" t="str">
        <f>"2016.445240"</f>
        <v>2016.445240</v>
      </c>
      <c r="BM463" t="s">
        <v>196</v>
      </c>
      <c r="BO463" t="s">
        <v>3217</v>
      </c>
      <c r="BP463" t="s">
        <v>3218</v>
      </c>
      <c r="BS463">
        <v>30</v>
      </c>
      <c r="BW463" t="str">
        <f>""</f>
        <v/>
      </c>
      <c r="CH463" t="str">
        <f>""</f>
        <v/>
      </c>
      <c r="CS463" t="str">
        <f>""</f>
        <v/>
      </c>
    </row>
    <row r="464" spans="1:97" x14ac:dyDescent="0.25">
      <c r="A464" t="s">
        <v>3219</v>
      </c>
      <c r="B464" t="s">
        <v>3220</v>
      </c>
      <c r="C464" t="s">
        <v>3221</v>
      </c>
      <c r="D464" t="s">
        <v>3222</v>
      </c>
      <c r="E464" t="s">
        <v>3223</v>
      </c>
      <c r="F464" t="s">
        <v>108</v>
      </c>
      <c r="H464" t="s">
        <v>3224</v>
      </c>
      <c r="I464" t="s">
        <v>453</v>
      </c>
      <c r="J464" t="s">
        <v>111</v>
      </c>
      <c r="K464" t="str">
        <f>"85383"</f>
        <v>85383</v>
      </c>
      <c r="L464" t="s">
        <v>3225</v>
      </c>
      <c r="M464" t="s">
        <v>3224</v>
      </c>
      <c r="N464" t="s">
        <v>453</v>
      </c>
      <c r="O464" t="s">
        <v>111</v>
      </c>
      <c r="P464" t="str">
        <f>"85383-5778"</f>
        <v>85383-5778</v>
      </c>
      <c r="Q464" t="s">
        <v>113</v>
      </c>
      <c r="R464" t="str">
        <f>"201-19-511"</f>
        <v>201-19-511</v>
      </c>
      <c r="S464" t="s">
        <v>3226</v>
      </c>
      <c r="T464" t="s">
        <v>3227</v>
      </c>
      <c r="U464">
        <v>2933</v>
      </c>
      <c r="W464">
        <v>6</v>
      </c>
      <c r="X464">
        <v>2016</v>
      </c>
      <c r="Z464">
        <v>2</v>
      </c>
      <c r="AA464" t="s">
        <v>26</v>
      </c>
      <c r="AC464" t="s">
        <v>115</v>
      </c>
      <c r="AD464">
        <v>2</v>
      </c>
      <c r="AE464" t="s">
        <v>115</v>
      </c>
      <c r="AH464" t="s">
        <v>116</v>
      </c>
      <c r="AI464" s="1">
        <v>68265</v>
      </c>
      <c r="AJ464" s="2">
        <v>0.16</v>
      </c>
      <c r="AK464" s="1">
        <v>435084</v>
      </c>
      <c r="AL464" t="s">
        <v>117</v>
      </c>
      <c r="AM464" t="s">
        <v>118</v>
      </c>
      <c r="AN464">
        <v>6368</v>
      </c>
      <c r="AO464">
        <v>0.15</v>
      </c>
      <c r="AR464">
        <v>1</v>
      </c>
      <c r="AS464" s="1">
        <v>32550</v>
      </c>
      <c r="AT464" s="1">
        <v>6510</v>
      </c>
      <c r="AU464" s="1">
        <v>26040</v>
      </c>
      <c r="AV464">
        <v>80</v>
      </c>
      <c r="AX464" s="1">
        <v>2750.42</v>
      </c>
      <c r="AY464" t="s">
        <v>3228</v>
      </c>
      <c r="AZ464" t="s">
        <v>3228</v>
      </c>
      <c r="BA464" t="s">
        <v>457</v>
      </c>
      <c r="BE464" s="3">
        <v>42527</v>
      </c>
      <c r="BF464" s="1">
        <v>314543</v>
      </c>
      <c r="BG464" t="s">
        <v>446</v>
      </c>
      <c r="BH464" s="1">
        <v>107.24</v>
      </c>
      <c r="BI464" s="1">
        <v>366819</v>
      </c>
      <c r="BJ464" s="3">
        <v>42712</v>
      </c>
      <c r="BK464" t="s">
        <v>123</v>
      </c>
      <c r="BL464" t="str">
        <f>"2016.905324"</f>
        <v>2016.905324</v>
      </c>
      <c r="BM464" t="s">
        <v>1695</v>
      </c>
      <c r="BO464" t="s">
        <v>3229</v>
      </c>
      <c r="BP464" t="s">
        <v>3230</v>
      </c>
      <c r="BS464">
        <v>30</v>
      </c>
      <c r="BW464" t="str">
        <f>""</f>
        <v/>
      </c>
      <c r="CH464" t="str">
        <f>""</f>
        <v/>
      </c>
      <c r="CS464" t="str">
        <f>""</f>
        <v/>
      </c>
    </row>
    <row r="465" spans="1:97" x14ac:dyDescent="0.25">
      <c r="A465" t="s">
        <v>1963</v>
      </c>
      <c r="B465" t="s">
        <v>788</v>
      </c>
      <c r="C465" t="s">
        <v>3231</v>
      </c>
      <c r="D465" t="s">
        <v>788</v>
      </c>
      <c r="E465" t="s">
        <v>3232</v>
      </c>
      <c r="F465" t="s">
        <v>108</v>
      </c>
      <c r="H465" t="s">
        <v>3233</v>
      </c>
      <c r="I465" t="s">
        <v>225</v>
      </c>
      <c r="J465" t="s">
        <v>111</v>
      </c>
      <c r="K465" t="str">
        <f>"85212"</f>
        <v>85212</v>
      </c>
      <c r="L465" t="s">
        <v>3234</v>
      </c>
      <c r="M465" t="s">
        <v>3233</v>
      </c>
      <c r="N465" t="s">
        <v>225</v>
      </c>
      <c r="O465" t="s">
        <v>111</v>
      </c>
      <c r="P465" t="str">
        <f>"85212-8438"</f>
        <v>85212-8438</v>
      </c>
      <c r="Q465" t="s">
        <v>113</v>
      </c>
      <c r="R465" t="str">
        <f>"304-35-177"</f>
        <v>304-35-177</v>
      </c>
      <c r="S465" t="s">
        <v>3235</v>
      </c>
      <c r="U465">
        <v>2314</v>
      </c>
      <c r="W465">
        <v>4</v>
      </c>
      <c r="X465">
        <v>2016</v>
      </c>
      <c r="Z465">
        <v>1</v>
      </c>
      <c r="AC465" t="s">
        <v>115</v>
      </c>
      <c r="AD465">
        <v>2</v>
      </c>
      <c r="AE465" t="s">
        <v>115</v>
      </c>
      <c r="AH465" t="s">
        <v>116</v>
      </c>
      <c r="AI465" s="1">
        <v>161326</v>
      </c>
      <c r="AJ465" s="2">
        <v>0.39</v>
      </c>
      <c r="AK465" s="1">
        <v>415250</v>
      </c>
      <c r="AL465" t="s">
        <v>117</v>
      </c>
      <c r="AM465" t="s">
        <v>118</v>
      </c>
      <c r="AN465">
        <v>9085</v>
      </c>
      <c r="AO465">
        <v>0.21</v>
      </c>
      <c r="AR465">
        <v>1</v>
      </c>
      <c r="AS465" s="1">
        <v>31510</v>
      </c>
      <c r="AT465" s="1">
        <v>6300</v>
      </c>
      <c r="AU465" s="1">
        <v>25210</v>
      </c>
      <c r="AV465">
        <v>80.010000000000005</v>
      </c>
      <c r="AX465" s="1">
        <v>3747.78</v>
      </c>
      <c r="AY465" t="s">
        <v>560</v>
      </c>
      <c r="AZ465" t="s">
        <v>561</v>
      </c>
      <c r="BA465" t="s">
        <v>194</v>
      </c>
      <c r="BE465" s="3">
        <v>42541</v>
      </c>
      <c r="BF465" s="1">
        <v>353924</v>
      </c>
      <c r="BG465" t="s">
        <v>3236</v>
      </c>
      <c r="BH465" s="1">
        <v>152.94999999999999</v>
      </c>
      <c r="BI465" s="1">
        <v>253924</v>
      </c>
      <c r="BJ465" s="3">
        <v>42541</v>
      </c>
      <c r="BK465" t="s">
        <v>123</v>
      </c>
      <c r="BL465" t="str">
        <f>"2016.427657"</f>
        <v>2016.427657</v>
      </c>
      <c r="BM465" t="s">
        <v>175</v>
      </c>
      <c r="BO465" t="s">
        <v>3237</v>
      </c>
      <c r="BS465">
        <v>30</v>
      </c>
      <c r="BW465" t="str">
        <f>""</f>
        <v/>
      </c>
      <c r="CH465" t="str">
        <f>""</f>
        <v/>
      </c>
      <c r="CS465" t="str">
        <f>""</f>
        <v/>
      </c>
    </row>
    <row r="466" spans="1:97" x14ac:dyDescent="0.25">
      <c r="A466" t="s">
        <v>1850</v>
      </c>
      <c r="B466" t="s">
        <v>1697</v>
      </c>
      <c r="E466" t="s">
        <v>3238</v>
      </c>
      <c r="F466" t="s">
        <v>108</v>
      </c>
      <c r="H466" t="s">
        <v>3239</v>
      </c>
      <c r="I466" t="s">
        <v>3150</v>
      </c>
      <c r="J466" t="s">
        <v>111</v>
      </c>
      <c r="K466" t="str">
        <f>"85340"</f>
        <v>85340</v>
      </c>
      <c r="L466" t="s">
        <v>3151</v>
      </c>
      <c r="M466" t="s">
        <v>3239</v>
      </c>
      <c r="N466" t="s">
        <v>3150</v>
      </c>
      <c r="O466" t="s">
        <v>111</v>
      </c>
      <c r="P466" t="str">
        <f>"85340-2838"</f>
        <v>85340-2838</v>
      </c>
      <c r="Q466" t="s">
        <v>113</v>
      </c>
      <c r="R466" t="str">
        <f>"501-73-841"</f>
        <v>501-73-841</v>
      </c>
      <c r="S466" t="s">
        <v>3152</v>
      </c>
      <c r="U466">
        <v>3022</v>
      </c>
      <c r="W466">
        <v>5</v>
      </c>
      <c r="X466">
        <v>2015</v>
      </c>
      <c r="Z466">
        <v>1</v>
      </c>
      <c r="AA466" t="s">
        <v>26</v>
      </c>
      <c r="AC466" t="s">
        <v>115</v>
      </c>
      <c r="AD466">
        <v>3</v>
      </c>
      <c r="AE466" t="s">
        <v>115</v>
      </c>
      <c r="AH466" t="s">
        <v>116</v>
      </c>
      <c r="AI466" s="1">
        <v>93109</v>
      </c>
      <c r="AJ466" s="2">
        <v>0.19</v>
      </c>
      <c r="AK466" s="1">
        <v>495460</v>
      </c>
      <c r="AL466" t="s">
        <v>117</v>
      </c>
      <c r="AM466" t="s">
        <v>118</v>
      </c>
      <c r="AN466">
        <v>14641</v>
      </c>
      <c r="AO466">
        <v>0.34</v>
      </c>
      <c r="AR466">
        <v>1</v>
      </c>
      <c r="AS466" s="1">
        <v>39900</v>
      </c>
      <c r="AT466" s="1">
        <v>7980</v>
      </c>
      <c r="AU466" s="1">
        <v>31920</v>
      </c>
      <c r="AV466">
        <v>80</v>
      </c>
      <c r="AX466" s="1">
        <v>3257.72</v>
      </c>
      <c r="AY466" t="s">
        <v>3019</v>
      </c>
      <c r="AZ466" t="s">
        <v>3153</v>
      </c>
      <c r="BA466" t="s">
        <v>3154</v>
      </c>
      <c r="BE466" s="3">
        <v>42460</v>
      </c>
      <c r="BF466" s="1">
        <v>402351</v>
      </c>
      <c r="BG466" t="s">
        <v>636</v>
      </c>
      <c r="BH466" s="1">
        <v>133.13999999999999</v>
      </c>
      <c r="BI466" s="1">
        <v>402351</v>
      </c>
      <c r="BJ466" s="3">
        <v>42460</v>
      </c>
      <c r="BK466" t="s">
        <v>123</v>
      </c>
      <c r="BL466" t="str">
        <f>"2016.212770"</f>
        <v>2016.212770</v>
      </c>
      <c r="BM466" t="s">
        <v>1791</v>
      </c>
      <c r="BO466" t="s">
        <v>3240</v>
      </c>
      <c r="BS466">
        <v>30</v>
      </c>
      <c r="BW466" t="str">
        <f>""</f>
        <v/>
      </c>
      <c r="CH466" t="str">
        <f>""</f>
        <v/>
      </c>
      <c r="CS466" t="str">
        <f>""</f>
        <v/>
      </c>
    </row>
    <row r="467" spans="1:97" x14ac:dyDescent="0.25">
      <c r="A467" t="s">
        <v>894</v>
      </c>
      <c r="B467" t="s">
        <v>1099</v>
      </c>
      <c r="C467" t="s">
        <v>3241</v>
      </c>
      <c r="D467" t="s">
        <v>3242</v>
      </c>
      <c r="E467" t="s">
        <v>3243</v>
      </c>
      <c r="F467" t="s">
        <v>108</v>
      </c>
      <c r="H467" t="s">
        <v>3244</v>
      </c>
      <c r="I467" t="s">
        <v>453</v>
      </c>
      <c r="J467" t="s">
        <v>111</v>
      </c>
      <c r="K467" t="str">
        <f>"85383"</f>
        <v>85383</v>
      </c>
      <c r="L467" t="s">
        <v>688</v>
      </c>
      <c r="M467" t="s">
        <v>3244</v>
      </c>
      <c r="N467" t="s">
        <v>453</v>
      </c>
      <c r="O467" t="s">
        <v>111</v>
      </c>
      <c r="P467" t="str">
        <f>"85383-2991"</f>
        <v>85383-2991</v>
      </c>
      <c r="Q467" t="s">
        <v>113</v>
      </c>
      <c r="R467" t="str">
        <f>"200-17-884"</f>
        <v>200-17-884</v>
      </c>
      <c r="S467" t="s">
        <v>3245</v>
      </c>
      <c r="T467" t="s">
        <v>1807</v>
      </c>
      <c r="U467">
        <v>3749</v>
      </c>
      <c r="W467">
        <v>4</v>
      </c>
      <c r="X467">
        <v>2015</v>
      </c>
      <c r="Z467">
        <v>1</v>
      </c>
      <c r="AA467" t="s">
        <v>26</v>
      </c>
      <c r="AC467" t="s">
        <v>115</v>
      </c>
      <c r="AD467">
        <v>3</v>
      </c>
      <c r="AE467" t="s">
        <v>115</v>
      </c>
      <c r="AH467" t="s">
        <v>116</v>
      </c>
      <c r="AI467" s="1">
        <v>96715</v>
      </c>
      <c r="AJ467" s="2">
        <v>0.16</v>
      </c>
      <c r="AK467" s="1">
        <v>605108</v>
      </c>
      <c r="AL467" t="s">
        <v>117</v>
      </c>
      <c r="AM467" t="s">
        <v>118</v>
      </c>
      <c r="AN467">
        <v>13580</v>
      </c>
      <c r="AO467">
        <v>0.31</v>
      </c>
      <c r="AR467">
        <v>1</v>
      </c>
      <c r="AS467" s="1">
        <v>49250</v>
      </c>
      <c r="AT467" s="1">
        <v>9850</v>
      </c>
      <c r="AU467" s="1">
        <v>39400</v>
      </c>
      <c r="AV467">
        <v>80</v>
      </c>
      <c r="AX467" s="1">
        <v>4355.28</v>
      </c>
      <c r="AY467" t="s">
        <v>1808</v>
      </c>
      <c r="AZ467" t="s">
        <v>1808</v>
      </c>
      <c r="BA467" t="s">
        <v>457</v>
      </c>
      <c r="BE467" s="3">
        <v>42299</v>
      </c>
      <c r="BF467" s="1">
        <v>531497</v>
      </c>
      <c r="BG467" t="s">
        <v>209</v>
      </c>
      <c r="BH467" s="1">
        <v>141.77000000000001</v>
      </c>
      <c r="BI467" s="1">
        <v>508393</v>
      </c>
      <c r="BJ467" s="3">
        <v>42299</v>
      </c>
      <c r="BK467" t="s">
        <v>123</v>
      </c>
      <c r="BL467" t="str">
        <f>"2015.759976"</f>
        <v>2015.759976</v>
      </c>
      <c r="BM467" t="s">
        <v>175</v>
      </c>
      <c r="BO467" t="s">
        <v>3246</v>
      </c>
      <c r="BP467" t="s">
        <v>3247</v>
      </c>
      <c r="BS467">
        <v>30</v>
      </c>
      <c r="BW467" t="str">
        <f>""</f>
        <v/>
      </c>
      <c r="CH467" t="str">
        <f>""</f>
        <v/>
      </c>
      <c r="CS467" t="str">
        <f>""</f>
        <v/>
      </c>
    </row>
    <row r="468" spans="1:97" x14ac:dyDescent="0.25">
      <c r="A468" t="s">
        <v>894</v>
      </c>
      <c r="B468" t="s">
        <v>3248</v>
      </c>
      <c r="C468" t="s">
        <v>767</v>
      </c>
      <c r="D468" t="s">
        <v>3248</v>
      </c>
      <c r="E468" t="s">
        <v>3249</v>
      </c>
      <c r="F468" t="s">
        <v>108</v>
      </c>
      <c r="H468" t="s">
        <v>3250</v>
      </c>
      <c r="I468" t="s">
        <v>499</v>
      </c>
      <c r="J468" t="s">
        <v>111</v>
      </c>
      <c r="K468" t="str">
        <f>"85338"</f>
        <v>85338</v>
      </c>
      <c r="L468" t="s">
        <v>1244</v>
      </c>
      <c r="M468" t="s">
        <v>3250</v>
      </c>
      <c r="N468" t="s">
        <v>499</v>
      </c>
      <c r="O468" t="s">
        <v>111</v>
      </c>
      <c r="P468" t="str">
        <f>"85338-7860"</f>
        <v>85338-7860</v>
      </c>
      <c r="Q468" t="s">
        <v>113</v>
      </c>
      <c r="R468" t="str">
        <f>"400-83-795"</f>
        <v>400-83-795</v>
      </c>
      <c r="S468" t="s">
        <v>3251</v>
      </c>
      <c r="U468">
        <v>3500</v>
      </c>
      <c r="W468">
        <v>5</v>
      </c>
      <c r="X468">
        <v>2015</v>
      </c>
      <c r="Z468">
        <v>1</v>
      </c>
      <c r="AC468" t="s">
        <v>115</v>
      </c>
      <c r="AD468">
        <v>3</v>
      </c>
      <c r="AE468" t="s">
        <v>115</v>
      </c>
      <c r="AH468" t="s">
        <v>116</v>
      </c>
      <c r="AI468" s="1">
        <v>28784</v>
      </c>
      <c r="AJ468" s="2">
        <v>0.05</v>
      </c>
      <c r="AK468" s="1">
        <v>591077</v>
      </c>
      <c r="AL468" t="s">
        <v>117</v>
      </c>
      <c r="AM468" t="s">
        <v>118</v>
      </c>
      <c r="AN468">
        <v>11268</v>
      </c>
      <c r="AO468">
        <v>0.26</v>
      </c>
      <c r="AR468">
        <v>1</v>
      </c>
      <c r="AS468" s="1">
        <v>48170</v>
      </c>
      <c r="AT468" s="1">
        <v>9630</v>
      </c>
      <c r="AU468" s="1">
        <v>38540</v>
      </c>
      <c r="AV468">
        <v>80.010000000000005</v>
      </c>
      <c r="AX468" s="1">
        <v>5329.74</v>
      </c>
      <c r="AY468" t="s">
        <v>1246</v>
      </c>
      <c r="AZ468" t="s">
        <v>1246</v>
      </c>
      <c r="BA468" t="s">
        <v>1247</v>
      </c>
      <c r="BB468" s="3">
        <v>43067</v>
      </c>
      <c r="BD468" t="s">
        <v>157</v>
      </c>
      <c r="BE468" s="3">
        <v>42376</v>
      </c>
      <c r="BF468" s="1">
        <v>636508</v>
      </c>
      <c r="BG468" t="s">
        <v>1238</v>
      </c>
      <c r="BH468" s="1">
        <v>181.86</v>
      </c>
      <c r="BI468" s="1">
        <v>562293</v>
      </c>
      <c r="BJ468" s="3">
        <v>43067</v>
      </c>
      <c r="BK468" t="s">
        <v>123</v>
      </c>
      <c r="BL468" t="str">
        <f>"2017.880059"</f>
        <v>2017.880059</v>
      </c>
      <c r="BM468" t="s">
        <v>3252</v>
      </c>
      <c r="BO468" t="s">
        <v>3253</v>
      </c>
      <c r="BS468">
        <v>25</v>
      </c>
      <c r="BW468" t="str">
        <f>""</f>
        <v/>
      </c>
      <c r="CH468" t="str">
        <f>""</f>
        <v/>
      </c>
      <c r="CS468" t="str">
        <f>""</f>
        <v/>
      </c>
    </row>
    <row r="469" spans="1:97" x14ac:dyDescent="0.25">
      <c r="A469" t="s">
        <v>1187</v>
      </c>
      <c r="B469" t="s">
        <v>3254</v>
      </c>
      <c r="C469" t="s">
        <v>1930</v>
      </c>
      <c r="D469" t="s">
        <v>3254</v>
      </c>
      <c r="E469" t="s">
        <v>3255</v>
      </c>
      <c r="F469" t="s">
        <v>108</v>
      </c>
      <c r="H469" t="s">
        <v>3256</v>
      </c>
      <c r="I469" t="s">
        <v>144</v>
      </c>
      <c r="J469" t="s">
        <v>111</v>
      </c>
      <c r="K469" t="str">
        <f>"85396"</f>
        <v>85396</v>
      </c>
      <c r="L469" t="s">
        <v>3094</v>
      </c>
      <c r="M469" t="s">
        <v>3256</v>
      </c>
      <c r="N469" t="s">
        <v>144</v>
      </c>
      <c r="O469" t="s">
        <v>111</v>
      </c>
      <c r="P469" t="str">
        <f>"85396-6528"</f>
        <v>85396-6528</v>
      </c>
      <c r="Q469" t="s">
        <v>113</v>
      </c>
      <c r="R469" t="str">
        <f>"502-82-691"</f>
        <v>502-82-691</v>
      </c>
      <c r="S469" t="s">
        <v>3095</v>
      </c>
      <c r="U469">
        <v>1988</v>
      </c>
      <c r="W469">
        <v>3</v>
      </c>
      <c r="X469">
        <v>2016</v>
      </c>
      <c r="Z469">
        <v>1</v>
      </c>
      <c r="AC469" t="s">
        <v>115</v>
      </c>
      <c r="AD469">
        <v>2</v>
      </c>
      <c r="AE469" t="s">
        <v>115</v>
      </c>
      <c r="AH469" t="s">
        <v>116</v>
      </c>
      <c r="AI469" s="1">
        <v>1772</v>
      </c>
      <c r="AJ469" s="2">
        <v>0</v>
      </c>
      <c r="AK469" s="1">
        <v>416762</v>
      </c>
      <c r="AL469" t="s">
        <v>117</v>
      </c>
      <c r="AM469" t="s">
        <v>118</v>
      </c>
      <c r="AN469">
        <v>6704</v>
      </c>
      <c r="AO469">
        <v>0.15</v>
      </c>
      <c r="AR469">
        <v>1</v>
      </c>
      <c r="AS469" s="1">
        <v>32910</v>
      </c>
      <c r="AT469" s="1">
        <v>6580</v>
      </c>
      <c r="AU469" s="1">
        <v>26330</v>
      </c>
      <c r="AV469">
        <v>80.010000000000005</v>
      </c>
      <c r="AX469" s="1">
        <v>3775.4</v>
      </c>
      <c r="AY469" t="s">
        <v>543</v>
      </c>
      <c r="AZ469" t="s">
        <v>504</v>
      </c>
      <c r="BA469" t="s">
        <v>218</v>
      </c>
      <c r="BE469" s="3">
        <v>42429</v>
      </c>
      <c r="BF469" s="1">
        <v>414990</v>
      </c>
      <c r="BG469" t="s">
        <v>195</v>
      </c>
      <c r="BH469" s="1">
        <v>208.75</v>
      </c>
      <c r="BI469" s="1">
        <v>414990</v>
      </c>
      <c r="BJ469" s="3">
        <v>42429</v>
      </c>
      <c r="BK469" t="s">
        <v>123</v>
      </c>
      <c r="BL469" t="str">
        <f>"2016.130084"</f>
        <v>2016.130084</v>
      </c>
      <c r="BM469" t="s">
        <v>196</v>
      </c>
      <c r="BO469" t="s">
        <v>3257</v>
      </c>
      <c r="BS469">
        <v>30</v>
      </c>
      <c r="BW469" t="str">
        <f>""</f>
        <v/>
      </c>
      <c r="CH469" t="str">
        <f>""</f>
        <v/>
      </c>
      <c r="CS469" t="str">
        <f>""</f>
        <v/>
      </c>
    </row>
    <row r="470" spans="1:97" x14ac:dyDescent="0.25">
      <c r="A470" t="s">
        <v>3258</v>
      </c>
      <c r="B470" t="s">
        <v>3259</v>
      </c>
      <c r="C470" t="s">
        <v>3260</v>
      </c>
      <c r="D470" t="s">
        <v>3259</v>
      </c>
      <c r="E470" t="s">
        <v>3261</v>
      </c>
      <c r="F470" t="s">
        <v>108</v>
      </c>
      <c r="H470" t="s">
        <v>3262</v>
      </c>
      <c r="I470" t="s">
        <v>499</v>
      </c>
      <c r="J470" t="s">
        <v>111</v>
      </c>
      <c r="K470" t="str">
        <f>"85395"</f>
        <v>85395</v>
      </c>
      <c r="L470" t="s">
        <v>500</v>
      </c>
      <c r="M470" t="s">
        <v>3262</v>
      </c>
      <c r="N470" t="s">
        <v>499</v>
      </c>
      <c r="O470" t="s">
        <v>111</v>
      </c>
      <c r="P470" t="str">
        <f>"85395-6481"</f>
        <v>85395-6481</v>
      </c>
      <c r="Q470" t="s">
        <v>113</v>
      </c>
      <c r="R470" t="str">
        <f>"502-30-544"</f>
        <v>502-30-544</v>
      </c>
      <c r="S470" t="s">
        <v>3263</v>
      </c>
      <c r="T470" t="s">
        <v>502</v>
      </c>
      <c r="U470">
        <v>3509</v>
      </c>
      <c r="W470">
        <v>6</v>
      </c>
      <c r="X470">
        <v>2015</v>
      </c>
      <c r="Z470">
        <v>2</v>
      </c>
      <c r="AA470" t="s">
        <v>26</v>
      </c>
      <c r="AC470" t="s">
        <v>115</v>
      </c>
      <c r="AD470">
        <v>2</v>
      </c>
      <c r="AE470" t="s">
        <v>115</v>
      </c>
      <c r="AH470" t="s">
        <v>116</v>
      </c>
      <c r="AI470" s="1">
        <v>84828</v>
      </c>
      <c r="AJ470" s="2">
        <v>0.19</v>
      </c>
      <c r="AK470" s="1">
        <v>447328</v>
      </c>
      <c r="AL470" t="s">
        <v>117</v>
      </c>
      <c r="AM470" t="s">
        <v>118</v>
      </c>
      <c r="AN470">
        <v>9950</v>
      </c>
      <c r="AO470">
        <v>0.23</v>
      </c>
      <c r="AR470">
        <v>1</v>
      </c>
      <c r="AS470" s="1">
        <v>32710</v>
      </c>
      <c r="AT470" s="1">
        <v>6540</v>
      </c>
      <c r="AU470" s="1">
        <v>26170</v>
      </c>
      <c r="AV470">
        <v>80.010000000000005</v>
      </c>
      <c r="AX470" s="1">
        <v>2508.04</v>
      </c>
      <c r="AY470" t="s">
        <v>503</v>
      </c>
      <c r="AZ470" t="s">
        <v>504</v>
      </c>
      <c r="BA470" t="s">
        <v>218</v>
      </c>
      <c r="BE470" s="3">
        <v>42320</v>
      </c>
      <c r="BF470" s="1">
        <v>358011</v>
      </c>
      <c r="BG470" t="s">
        <v>209</v>
      </c>
      <c r="BH470" s="1">
        <v>102.03</v>
      </c>
      <c r="BI470" s="1">
        <v>362500</v>
      </c>
      <c r="BJ470" s="3">
        <v>42657</v>
      </c>
      <c r="BK470" t="s">
        <v>123</v>
      </c>
      <c r="BL470" t="str">
        <f>"2016.755617"</f>
        <v>2016.755617</v>
      </c>
      <c r="BM470" t="s">
        <v>425</v>
      </c>
      <c r="BO470" t="s">
        <v>3264</v>
      </c>
      <c r="BS470">
        <v>30</v>
      </c>
      <c r="BW470" t="str">
        <f>""</f>
        <v/>
      </c>
      <c r="CH470" t="str">
        <f>""</f>
        <v/>
      </c>
      <c r="CS470" t="str">
        <f>""</f>
        <v/>
      </c>
    </row>
    <row r="471" spans="1:97" x14ac:dyDescent="0.25">
      <c r="A471" t="s">
        <v>3265</v>
      </c>
      <c r="B471" t="s">
        <v>3266</v>
      </c>
      <c r="C471" t="s">
        <v>3105</v>
      </c>
      <c r="D471" t="s">
        <v>3266</v>
      </c>
      <c r="E471" t="s">
        <v>3267</v>
      </c>
      <c r="F471" t="s">
        <v>108</v>
      </c>
      <c r="H471" t="s">
        <v>3268</v>
      </c>
      <c r="I471" t="s">
        <v>110</v>
      </c>
      <c r="J471" t="s">
        <v>111</v>
      </c>
      <c r="K471" t="str">
        <f>"85249"</f>
        <v>85249</v>
      </c>
      <c r="L471" t="s">
        <v>3269</v>
      </c>
      <c r="M471" t="s">
        <v>3268</v>
      </c>
      <c r="N471" t="s">
        <v>110</v>
      </c>
      <c r="O471" t="s">
        <v>111</v>
      </c>
      <c r="P471" t="str">
        <f>"85249-2094"</f>
        <v>85249-2094</v>
      </c>
      <c r="Q471" t="s">
        <v>113</v>
      </c>
      <c r="R471" t="str">
        <f>"303-65-813"</f>
        <v>303-65-813</v>
      </c>
      <c r="S471" t="s">
        <v>3270</v>
      </c>
      <c r="T471" t="s">
        <v>3270</v>
      </c>
      <c r="U471">
        <v>3485</v>
      </c>
      <c r="W471">
        <v>6</v>
      </c>
      <c r="X471">
        <v>2015</v>
      </c>
      <c r="Z471">
        <v>2</v>
      </c>
      <c r="AA471" t="s">
        <v>26</v>
      </c>
      <c r="AC471" t="s">
        <v>115</v>
      </c>
      <c r="AD471">
        <v>3</v>
      </c>
      <c r="AE471" t="s">
        <v>115</v>
      </c>
      <c r="AH471" t="s">
        <v>116</v>
      </c>
      <c r="AI471" s="1">
        <v>76577</v>
      </c>
      <c r="AJ471" s="2">
        <v>0.13</v>
      </c>
      <c r="AK471" s="1">
        <v>577727</v>
      </c>
      <c r="AL471" t="s">
        <v>117</v>
      </c>
      <c r="AM471" t="s">
        <v>118</v>
      </c>
      <c r="AN471">
        <v>7562</v>
      </c>
      <c r="AO471">
        <v>0.17</v>
      </c>
      <c r="AR471">
        <v>1</v>
      </c>
      <c r="AS471" s="1">
        <v>44760</v>
      </c>
      <c r="AT471" s="1">
        <v>8950</v>
      </c>
      <c r="AU471" s="1">
        <v>35810</v>
      </c>
      <c r="AV471">
        <v>80</v>
      </c>
      <c r="AX471" s="1">
        <v>2995.64</v>
      </c>
      <c r="AY471" t="s">
        <v>119</v>
      </c>
      <c r="AZ471" t="s">
        <v>120</v>
      </c>
      <c r="BA471" t="s">
        <v>121</v>
      </c>
      <c r="BE471" s="3">
        <v>42244</v>
      </c>
      <c r="BF471" s="1">
        <v>529310</v>
      </c>
      <c r="BG471" t="s">
        <v>3062</v>
      </c>
      <c r="BH471" s="1">
        <v>151.88</v>
      </c>
      <c r="BI471" s="1">
        <v>501150</v>
      </c>
      <c r="BJ471" s="3">
        <v>42244</v>
      </c>
      <c r="BK471" t="s">
        <v>123</v>
      </c>
      <c r="BL471" t="str">
        <f>"2015.624839"</f>
        <v>2015.624839</v>
      </c>
      <c r="BM471" t="s">
        <v>2245</v>
      </c>
      <c r="BO471" t="s">
        <v>3271</v>
      </c>
      <c r="BS471">
        <v>15</v>
      </c>
      <c r="BW471" t="str">
        <f>""</f>
        <v/>
      </c>
      <c r="CH471" t="str">
        <f>""</f>
        <v/>
      </c>
      <c r="CS471" t="str">
        <f>""</f>
        <v/>
      </c>
    </row>
    <row r="472" spans="1:97" x14ac:dyDescent="0.25">
      <c r="A472" t="s">
        <v>3272</v>
      </c>
      <c r="B472" t="s">
        <v>3273</v>
      </c>
      <c r="C472" t="s">
        <v>3274</v>
      </c>
      <c r="D472" t="s">
        <v>3273</v>
      </c>
      <c r="E472" t="s">
        <v>3275</v>
      </c>
      <c r="F472" t="s">
        <v>108</v>
      </c>
      <c r="H472" t="s">
        <v>3276</v>
      </c>
      <c r="I472" t="s">
        <v>203</v>
      </c>
      <c r="J472" t="s">
        <v>111</v>
      </c>
      <c r="K472" t="str">
        <f>"85298"</f>
        <v>85298</v>
      </c>
      <c r="L472" t="s">
        <v>734</v>
      </c>
      <c r="M472" t="s">
        <v>3276</v>
      </c>
      <c r="N472" t="s">
        <v>203</v>
      </c>
      <c r="O472" t="s">
        <v>111</v>
      </c>
      <c r="P472" t="str">
        <f>"85298"</f>
        <v>85298</v>
      </c>
      <c r="Q472" t="s">
        <v>113</v>
      </c>
      <c r="R472" t="str">
        <f>"313-18-329"</f>
        <v>313-18-329</v>
      </c>
      <c r="S472" t="s">
        <v>1983</v>
      </c>
      <c r="U472">
        <v>2867</v>
      </c>
      <c r="W472">
        <v>4</v>
      </c>
      <c r="X472">
        <v>2015</v>
      </c>
      <c r="Z472">
        <v>1</v>
      </c>
      <c r="AA472" t="s">
        <v>26</v>
      </c>
      <c r="AC472" t="s">
        <v>115</v>
      </c>
      <c r="AD472">
        <v>3</v>
      </c>
      <c r="AE472" t="s">
        <v>115</v>
      </c>
      <c r="AH472" t="s">
        <v>116</v>
      </c>
      <c r="AI472" s="1">
        <v>59242</v>
      </c>
      <c r="AJ472" s="2">
        <v>0.11</v>
      </c>
      <c r="AK472" s="1">
        <v>515231</v>
      </c>
      <c r="AL472" t="s">
        <v>117</v>
      </c>
      <c r="AM472" t="s">
        <v>171</v>
      </c>
      <c r="AN472">
        <v>9011</v>
      </c>
      <c r="AO472">
        <v>0.21</v>
      </c>
      <c r="AR472">
        <v>1</v>
      </c>
      <c r="AS472" s="1">
        <v>39460</v>
      </c>
      <c r="AT472" s="1">
        <v>7890</v>
      </c>
      <c r="AU472" s="1">
        <v>31570</v>
      </c>
      <c r="AV472">
        <v>80.010000000000005</v>
      </c>
      <c r="AX472" s="1">
        <v>2748.8</v>
      </c>
      <c r="AY472" t="s">
        <v>737</v>
      </c>
      <c r="AZ472" t="s">
        <v>273</v>
      </c>
      <c r="BA472" t="s">
        <v>303</v>
      </c>
      <c r="BE472" s="3">
        <v>42429</v>
      </c>
      <c r="BF472" s="1">
        <v>429990</v>
      </c>
      <c r="BG472" t="s">
        <v>195</v>
      </c>
      <c r="BH472" s="1">
        <v>149.97999999999999</v>
      </c>
      <c r="BI472" s="1">
        <v>405989</v>
      </c>
      <c r="BJ472" s="3">
        <v>42429</v>
      </c>
      <c r="BK472" t="s">
        <v>123</v>
      </c>
      <c r="BL472" t="str">
        <f>"2016.130163"</f>
        <v>2016.130163</v>
      </c>
      <c r="BM472" t="s">
        <v>196</v>
      </c>
      <c r="BN472" t="s">
        <v>1442</v>
      </c>
      <c r="BO472" t="s">
        <v>3277</v>
      </c>
      <c r="BS472">
        <v>30</v>
      </c>
      <c r="BT472" s="1">
        <v>50000</v>
      </c>
      <c r="BU472" s="3">
        <v>43684</v>
      </c>
      <c r="BW472" t="str">
        <f>"2019.602339"</f>
        <v>2019.602339</v>
      </c>
      <c r="BX472" t="s">
        <v>1214</v>
      </c>
      <c r="BY472" t="s">
        <v>1215</v>
      </c>
      <c r="BZ472" t="s">
        <v>3278</v>
      </c>
      <c r="CA472" t="s">
        <v>3279</v>
      </c>
      <c r="CC472" t="s">
        <v>346</v>
      </c>
      <c r="CH472" t="str">
        <f>""</f>
        <v/>
      </c>
      <c r="CS472" t="str">
        <f>""</f>
        <v/>
      </c>
    </row>
    <row r="473" spans="1:97" x14ac:dyDescent="0.25">
      <c r="A473" t="s">
        <v>3280</v>
      </c>
      <c r="B473" t="s">
        <v>3281</v>
      </c>
      <c r="C473" t="s">
        <v>3282</v>
      </c>
      <c r="D473" t="s">
        <v>3281</v>
      </c>
      <c r="E473" t="s">
        <v>3283</v>
      </c>
      <c r="F473" t="s">
        <v>108</v>
      </c>
      <c r="H473" t="s">
        <v>3284</v>
      </c>
      <c r="I473" t="s">
        <v>225</v>
      </c>
      <c r="J473" t="s">
        <v>111</v>
      </c>
      <c r="K473" t="str">
        <f>"85212"</f>
        <v>85212</v>
      </c>
      <c r="L473" t="s">
        <v>3285</v>
      </c>
      <c r="M473" t="s">
        <v>3284</v>
      </c>
      <c r="N473" t="s">
        <v>225</v>
      </c>
      <c r="O473" t="s">
        <v>111</v>
      </c>
      <c r="P473" t="str">
        <f>"85212-9441"</f>
        <v>85212-9441</v>
      </c>
      <c r="R473" t="str">
        <f>"304-94-290"</f>
        <v>304-94-290</v>
      </c>
      <c r="S473" t="s">
        <v>3286</v>
      </c>
      <c r="U473">
        <v>3134</v>
      </c>
      <c r="W473">
        <v>4</v>
      </c>
      <c r="X473">
        <v>2015</v>
      </c>
      <c r="Z473">
        <v>2</v>
      </c>
      <c r="AC473" t="s">
        <v>115</v>
      </c>
      <c r="AD473">
        <v>2</v>
      </c>
      <c r="AE473" t="s">
        <v>115</v>
      </c>
      <c r="AH473" t="s">
        <v>116</v>
      </c>
      <c r="AI473" s="1">
        <v>76742</v>
      </c>
      <c r="AJ473" s="2">
        <v>0.19</v>
      </c>
      <c r="AK473" s="1">
        <v>402893</v>
      </c>
      <c r="AL473" t="s">
        <v>117</v>
      </c>
      <c r="AM473" t="s">
        <v>118</v>
      </c>
      <c r="AN473">
        <v>6000</v>
      </c>
      <c r="AO473">
        <v>0.14000000000000001</v>
      </c>
      <c r="AR473">
        <v>1</v>
      </c>
      <c r="AS473" s="1">
        <v>28900</v>
      </c>
      <c r="AT473" s="1">
        <v>5780</v>
      </c>
      <c r="AU473" s="1">
        <v>23120</v>
      </c>
      <c r="AV473">
        <v>80</v>
      </c>
      <c r="AX473" s="1">
        <v>3569.96</v>
      </c>
      <c r="AY473" t="s">
        <v>560</v>
      </c>
      <c r="AZ473" t="s">
        <v>561</v>
      </c>
      <c r="BA473" t="s">
        <v>194</v>
      </c>
      <c r="BE473" s="3">
        <v>42551</v>
      </c>
      <c r="BF473" s="1">
        <v>326151</v>
      </c>
      <c r="BG473" t="s">
        <v>2797</v>
      </c>
      <c r="BH473" s="1">
        <v>104.07</v>
      </c>
      <c r="BI473" s="1">
        <v>326151</v>
      </c>
      <c r="BJ473" s="3">
        <v>42551</v>
      </c>
      <c r="BK473" t="s">
        <v>123</v>
      </c>
      <c r="BL473" t="str">
        <f>"2016.463682"</f>
        <v>2016.463682</v>
      </c>
      <c r="BM473" t="s">
        <v>594</v>
      </c>
      <c r="BN473" t="s">
        <v>595</v>
      </c>
      <c r="BO473" t="s">
        <v>3287</v>
      </c>
      <c r="BS473">
        <v>30</v>
      </c>
      <c r="BW473" t="str">
        <f>""</f>
        <v/>
      </c>
      <c r="CH473" t="str">
        <f>""</f>
        <v/>
      </c>
      <c r="CS473" t="str">
        <f>""</f>
        <v/>
      </c>
    </row>
    <row r="474" spans="1:97" x14ac:dyDescent="0.25">
      <c r="A474" t="s">
        <v>753</v>
      </c>
      <c r="B474" t="s">
        <v>802</v>
      </c>
      <c r="C474" t="s">
        <v>1674</v>
      </c>
      <c r="D474" t="s">
        <v>802</v>
      </c>
      <c r="E474" t="s">
        <v>3288</v>
      </c>
      <c r="F474" t="s">
        <v>108</v>
      </c>
      <c r="H474" t="s">
        <v>3289</v>
      </c>
      <c r="I474" t="s">
        <v>499</v>
      </c>
      <c r="J474" t="s">
        <v>111</v>
      </c>
      <c r="K474" t="str">
        <f>"85395"</f>
        <v>85395</v>
      </c>
      <c r="L474" t="s">
        <v>500</v>
      </c>
      <c r="M474" t="s">
        <v>3289</v>
      </c>
      <c r="N474" t="s">
        <v>499</v>
      </c>
      <c r="O474" t="s">
        <v>111</v>
      </c>
      <c r="P474" t="str">
        <f>"85395-6484"</f>
        <v>85395-6484</v>
      </c>
      <c r="Q474" t="s">
        <v>113</v>
      </c>
      <c r="R474" t="str">
        <f>"502-30-524"</f>
        <v>502-30-524</v>
      </c>
      <c r="S474" t="s">
        <v>3263</v>
      </c>
      <c r="T474" t="s">
        <v>502</v>
      </c>
      <c r="U474">
        <v>3174</v>
      </c>
      <c r="W474">
        <v>5</v>
      </c>
      <c r="X474">
        <v>2016</v>
      </c>
      <c r="Z474">
        <v>2</v>
      </c>
      <c r="AA474" t="s">
        <v>26</v>
      </c>
      <c r="AC474" t="s">
        <v>115</v>
      </c>
      <c r="AD474">
        <v>3</v>
      </c>
      <c r="AE474" t="s">
        <v>115</v>
      </c>
      <c r="AH474" t="s">
        <v>116</v>
      </c>
      <c r="AI474" s="1">
        <v>81920</v>
      </c>
      <c r="AJ474" s="2">
        <v>0.19</v>
      </c>
      <c r="AK474" s="1">
        <v>426813</v>
      </c>
      <c r="AL474" t="s">
        <v>117</v>
      </c>
      <c r="AM474" t="s">
        <v>118</v>
      </c>
      <c r="AN474">
        <v>8515</v>
      </c>
      <c r="AO474">
        <v>0.2</v>
      </c>
      <c r="AR474">
        <v>1</v>
      </c>
      <c r="AS474" s="1">
        <v>31420</v>
      </c>
      <c r="AT474" s="1">
        <v>6280</v>
      </c>
      <c r="AU474" s="1">
        <v>25140</v>
      </c>
      <c r="AV474">
        <v>80.010000000000005</v>
      </c>
      <c r="AX474" s="1">
        <v>2344.8200000000002</v>
      </c>
      <c r="AY474" t="s">
        <v>503</v>
      </c>
      <c r="AZ474" t="s">
        <v>504</v>
      </c>
      <c r="BA474" t="s">
        <v>218</v>
      </c>
      <c r="BE474" s="3">
        <v>42521</v>
      </c>
      <c r="BF474" s="1">
        <v>333876</v>
      </c>
      <c r="BG474" t="s">
        <v>209</v>
      </c>
      <c r="BH474" s="1">
        <v>105.19</v>
      </c>
      <c r="BI474" s="1">
        <v>344893</v>
      </c>
      <c r="BJ474" s="3">
        <v>42521</v>
      </c>
      <c r="BK474" t="s">
        <v>123</v>
      </c>
      <c r="BL474" t="str">
        <f>"2016.376556"</f>
        <v>2016.376556</v>
      </c>
      <c r="BM474" t="s">
        <v>175</v>
      </c>
      <c r="BO474" t="s">
        <v>3290</v>
      </c>
      <c r="BS474">
        <v>30</v>
      </c>
      <c r="BW474" t="str">
        <f>""</f>
        <v/>
      </c>
      <c r="CH474" t="str">
        <f>""</f>
        <v/>
      </c>
      <c r="CS474" t="str">
        <f>""</f>
        <v/>
      </c>
    </row>
    <row r="475" spans="1:97" x14ac:dyDescent="0.25">
      <c r="A475" t="s">
        <v>265</v>
      </c>
      <c r="B475" t="s">
        <v>3291</v>
      </c>
      <c r="C475" t="s">
        <v>2008</v>
      </c>
      <c r="D475" t="s">
        <v>3291</v>
      </c>
      <c r="E475" t="s">
        <v>3292</v>
      </c>
      <c r="F475" t="s">
        <v>108</v>
      </c>
      <c r="H475" t="s">
        <v>3293</v>
      </c>
      <c r="I475" t="s">
        <v>188</v>
      </c>
      <c r="J475" t="s">
        <v>111</v>
      </c>
      <c r="K475" t="str">
        <f>"85142"</f>
        <v>85142</v>
      </c>
      <c r="L475" t="s">
        <v>625</v>
      </c>
      <c r="M475" t="s">
        <v>3293</v>
      </c>
      <c r="N475" t="s">
        <v>188</v>
      </c>
      <c r="O475" t="s">
        <v>111</v>
      </c>
      <c r="P475" t="str">
        <f>"85142-8213"</f>
        <v>85142-8213</v>
      </c>
      <c r="Q475" t="s">
        <v>113</v>
      </c>
      <c r="R475" t="str">
        <f>"304-88-608"</f>
        <v>304-88-608</v>
      </c>
      <c r="S475" t="s">
        <v>3204</v>
      </c>
      <c r="U475">
        <v>3897</v>
      </c>
      <c r="W475">
        <v>3</v>
      </c>
      <c r="X475">
        <v>2015</v>
      </c>
      <c r="Z475">
        <v>2</v>
      </c>
      <c r="AC475" t="s">
        <v>115</v>
      </c>
      <c r="AD475">
        <v>4</v>
      </c>
      <c r="AE475" t="s">
        <v>115</v>
      </c>
      <c r="AH475" t="s">
        <v>116</v>
      </c>
      <c r="AI475" s="1">
        <v>106783</v>
      </c>
      <c r="AJ475" s="2">
        <v>0.24</v>
      </c>
      <c r="AK475" s="1">
        <v>443805</v>
      </c>
      <c r="AL475" t="s">
        <v>117</v>
      </c>
      <c r="AM475" t="s">
        <v>393</v>
      </c>
      <c r="AN475">
        <v>8402</v>
      </c>
      <c r="AO475">
        <v>0.19</v>
      </c>
      <c r="AR475">
        <v>1</v>
      </c>
      <c r="AS475" s="1">
        <v>31160</v>
      </c>
      <c r="AT475" s="1">
        <v>6230</v>
      </c>
      <c r="AU475" s="1">
        <v>24930</v>
      </c>
      <c r="AV475">
        <v>80.010000000000005</v>
      </c>
      <c r="AX475" s="1">
        <v>2776.24</v>
      </c>
      <c r="AY475" t="s">
        <v>560</v>
      </c>
      <c r="AZ475" t="s">
        <v>561</v>
      </c>
      <c r="BA475" t="s">
        <v>194</v>
      </c>
      <c r="BE475" s="3">
        <v>42460</v>
      </c>
      <c r="BF475" s="1">
        <v>329929</v>
      </c>
      <c r="BG475" t="s">
        <v>1975</v>
      </c>
      <c r="BH475" s="1">
        <v>84.66</v>
      </c>
      <c r="BI475" s="1">
        <v>337022</v>
      </c>
      <c r="BJ475" s="3">
        <v>42460</v>
      </c>
      <c r="BK475" t="s">
        <v>123</v>
      </c>
      <c r="BL475" t="str">
        <f>"2016.209795"</f>
        <v>2016.209795</v>
      </c>
      <c r="BM475" t="s">
        <v>3294</v>
      </c>
      <c r="BO475" t="s">
        <v>3295</v>
      </c>
      <c r="BS475">
        <v>30</v>
      </c>
      <c r="BW475" t="str">
        <f>""</f>
        <v/>
      </c>
      <c r="CH475" t="str">
        <f>""</f>
        <v/>
      </c>
      <c r="CS475" t="str">
        <f>""</f>
        <v/>
      </c>
    </row>
    <row r="476" spans="1:97" x14ac:dyDescent="0.25">
      <c r="A476" t="s">
        <v>3089</v>
      </c>
      <c r="B476" t="s">
        <v>3296</v>
      </c>
      <c r="C476" t="s">
        <v>1620</v>
      </c>
      <c r="D476" t="s">
        <v>3297</v>
      </c>
      <c r="E476" t="s">
        <v>3298</v>
      </c>
      <c r="F476" t="s">
        <v>108</v>
      </c>
      <c r="H476" t="s">
        <v>3299</v>
      </c>
      <c r="I476" t="s">
        <v>225</v>
      </c>
      <c r="J476" t="s">
        <v>111</v>
      </c>
      <c r="K476" t="str">
        <f>"85207"</f>
        <v>85207</v>
      </c>
      <c r="L476" t="s">
        <v>3300</v>
      </c>
      <c r="M476" t="s">
        <v>3299</v>
      </c>
      <c r="N476" t="s">
        <v>225</v>
      </c>
      <c r="O476" t="s">
        <v>111</v>
      </c>
      <c r="P476" t="str">
        <f>"85207-2464"</f>
        <v>85207-2464</v>
      </c>
      <c r="Q476" t="s">
        <v>113</v>
      </c>
      <c r="R476" t="str">
        <f>"219-49-577"</f>
        <v>219-49-577</v>
      </c>
      <c r="S476" t="s">
        <v>3301</v>
      </c>
      <c r="T476" t="s">
        <v>3302</v>
      </c>
      <c r="U476">
        <v>3204</v>
      </c>
      <c r="W476">
        <v>6</v>
      </c>
      <c r="X476">
        <v>2016</v>
      </c>
      <c r="Z476">
        <v>1</v>
      </c>
      <c r="AC476" t="s">
        <v>115</v>
      </c>
      <c r="AD476">
        <v>3</v>
      </c>
      <c r="AE476" t="s">
        <v>115</v>
      </c>
      <c r="AH476" t="s">
        <v>116</v>
      </c>
      <c r="AI476" s="1">
        <v>274026</v>
      </c>
      <c r="AJ476" s="2">
        <v>0.4</v>
      </c>
      <c r="AK476" s="1">
        <v>691026</v>
      </c>
      <c r="AL476" t="s">
        <v>117</v>
      </c>
      <c r="AM476" t="s">
        <v>1521</v>
      </c>
      <c r="AN476">
        <v>10567</v>
      </c>
      <c r="AO476">
        <v>0.24</v>
      </c>
      <c r="AR476">
        <v>1</v>
      </c>
      <c r="AS476" s="1">
        <v>54700</v>
      </c>
      <c r="AT476" s="1">
        <v>10940</v>
      </c>
      <c r="AU476" s="1">
        <v>43760</v>
      </c>
      <c r="AV476">
        <v>80</v>
      </c>
      <c r="AX476" s="1">
        <v>4515.22</v>
      </c>
      <c r="AY476" t="s">
        <v>3118</v>
      </c>
      <c r="AZ476" t="s">
        <v>231</v>
      </c>
      <c r="BA476" t="s">
        <v>3119</v>
      </c>
      <c r="BE476" s="3">
        <v>42360</v>
      </c>
      <c r="BF476" s="1">
        <v>550162</v>
      </c>
      <c r="BG476" t="s">
        <v>3120</v>
      </c>
      <c r="BH476" s="1">
        <v>171.71</v>
      </c>
      <c r="BI476" s="1">
        <v>417000</v>
      </c>
      <c r="BJ476" s="3">
        <v>42620</v>
      </c>
      <c r="BK476" t="s">
        <v>123</v>
      </c>
      <c r="BL476" t="str">
        <f>"2016.648105"</f>
        <v>2016.648105</v>
      </c>
      <c r="BM476" t="s">
        <v>248</v>
      </c>
      <c r="BN476" t="s">
        <v>249</v>
      </c>
      <c r="BO476" t="s">
        <v>3303</v>
      </c>
      <c r="BP476" t="s">
        <v>3304</v>
      </c>
      <c r="BS476">
        <v>30</v>
      </c>
      <c r="BW476" t="str">
        <f>""</f>
        <v/>
      </c>
      <c r="CH476" t="str">
        <f>""</f>
        <v/>
      </c>
      <c r="CS476" t="str">
        <f>""</f>
        <v/>
      </c>
    </row>
    <row r="477" spans="1:97" x14ac:dyDescent="0.25">
      <c r="A477" t="s">
        <v>938</v>
      </c>
      <c r="B477" t="s">
        <v>3305</v>
      </c>
      <c r="C477" t="s">
        <v>3306</v>
      </c>
      <c r="D477" t="s">
        <v>3305</v>
      </c>
      <c r="E477" t="s">
        <v>3307</v>
      </c>
      <c r="F477" t="s">
        <v>108</v>
      </c>
      <c r="H477" t="s">
        <v>3308</v>
      </c>
      <c r="I477" t="s">
        <v>3150</v>
      </c>
      <c r="J477" t="s">
        <v>111</v>
      </c>
      <c r="K477" t="str">
        <f>"85340"</f>
        <v>85340</v>
      </c>
      <c r="L477" t="s">
        <v>3151</v>
      </c>
      <c r="M477" t="s">
        <v>3308</v>
      </c>
      <c r="N477" t="s">
        <v>3150</v>
      </c>
      <c r="O477" t="s">
        <v>111</v>
      </c>
      <c r="P477" t="str">
        <f>"85340-2837"</f>
        <v>85340-2837</v>
      </c>
      <c r="Q477" t="s">
        <v>113</v>
      </c>
      <c r="R477" t="str">
        <f>"501-73-770"</f>
        <v>501-73-770</v>
      </c>
      <c r="S477" t="s">
        <v>3152</v>
      </c>
      <c r="U477">
        <v>2638</v>
      </c>
      <c r="W477">
        <v>4</v>
      </c>
      <c r="X477">
        <v>2015</v>
      </c>
      <c r="Z477">
        <v>1</v>
      </c>
      <c r="AA477" t="s">
        <v>26</v>
      </c>
      <c r="AC477" t="s">
        <v>115</v>
      </c>
      <c r="AD477">
        <v>2</v>
      </c>
      <c r="AE477" t="s">
        <v>115</v>
      </c>
      <c r="AH477" t="s">
        <v>116</v>
      </c>
      <c r="AI477" s="1">
        <v>107712</v>
      </c>
      <c r="AJ477" s="2">
        <v>0.23</v>
      </c>
      <c r="AK477" s="1">
        <v>467825</v>
      </c>
      <c r="AL477" t="s">
        <v>117</v>
      </c>
      <c r="AM477" t="s">
        <v>118</v>
      </c>
      <c r="AN477">
        <v>10079</v>
      </c>
      <c r="AO477">
        <v>0.23</v>
      </c>
      <c r="AR477">
        <v>1</v>
      </c>
      <c r="AS477" s="1">
        <v>33960</v>
      </c>
      <c r="AT477" s="1">
        <v>6790</v>
      </c>
      <c r="AU477" s="1">
        <v>27170</v>
      </c>
      <c r="AV477">
        <v>80.010000000000005</v>
      </c>
      <c r="AX477" s="1">
        <v>2795.42</v>
      </c>
      <c r="AY477" t="s">
        <v>3019</v>
      </c>
      <c r="AZ477" t="s">
        <v>3153</v>
      </c>
      <c r="BA477" t="s">
        <v>3154</v>
      </c>
      <c r="BE477" s="3">
        <v>42212</v>
      </c>
      <c r="BF477" s="1">
        <v>348609</v>
      </c>
      <c r="BG477" t="s">
        <v>636</v>
      </c>
      <c r="BH477" s="1">
        <v>132.15</v>
      </c>
      <c r="BI477" s="1">
        <v>360113</v>
      </c>
      <c r="BJ477" s="3">
        <v>42212</v>
      </c>
      <c r="BK477" t="s">
        <v>123</v>
      </c>
      <c r="BL477" t="str">
        <f>"2015.540509"</f>
        <v>2015.540509</v>
      </c>
      <c r="BM477" t="s">
        <v>135</v>
      </c>
      <c r="BO477" t="s">
        <v>3309</v>
      </c>
      <c r="BS477">
        <v>30</v>
      </c>
      <c r="BW477" t="str">
        <f>""</f>
        <v/>
      </c>
      <c r="CH477" t="str">
        <f>""</f>
        <v/>
      </c>
      <c r="CS477" t="str">
        <f>""</f>
        <v/>
      </c>
    </row>
    <row r="478" spans="1:97" x14ac:dyDescent="0.25">
      <c r="A478" t="s">
        <v>1514</v>
      </c>
      <c r="B478" t="s">
        <v>1099</v>
      </c>
      <c r="C478" t="s">
        <v>3310</v>
      </c>
      <c r="D478" t="s">
        <v>1099</v>
      </c>
      <c r="E478" t="s">
        <v>3311</v>
      </c>
      <c r="F478" t="s">
        <v>108</v>
      </c>
      <c r="H478" t="s">
        <v>3312</v>
      </c>
      <c r="I478" t="s">
        <v>188</v>
      </c>
      <c r="J478" t="s">
        <v>111</v>
      </c>
      <c r="K478" t="str">
        <f>"85142"</f>
        <v>85142</v>
      </c>
      <c r="L478" t="s">
        <v>2197</v>
      </c>
      <c r="M478" t="s">
        <v>3312</v>
      </c>
      <c r="N478" t="s">
        <v>188</v>
      </c>
      <c r="O478" t="s">
        <v>111</v>
      </c>
      <c r="P478" t="str">
        <f>"85142-7868"</f>
        <v>85142-7868</v>
      </c>
      <c r="Q478" t="s">
        <v>113</v>
      </c>
      <c r="R478" t="str">
        <f>"304-93-747"</f>
        <v>304-93-747</v>
      </c>
      <c r="S478" t="s">
        <v>2198</v>
      </c>
      <c r="T478" t="s">
        <v>2198</v>
      </c>
      <c r="U478">
        <v>2191</v>
      </c>
      <c r="W478">
        <v>3</v>
      </c>
      <c r="X478">
        <v>2015</v>
      </c>
      <c r="Z478">
        <v>1</v>
      </c>
      <c r="AA478" t="s">
        <v>26</v>
      </c>
      <c r="AC478" t="s">
        <v>115</v>
      </c>
      <c r="AD478">
        <v>3</v>
      </c>
      <c r="AE478" t="s">
        <v>115</v>
      </c>
      <c r="AH478" t="s">
        <v>116</v>
      </c>
      <c r="AI478" s="1">
        <v>152634</v>
      </c>
      <c r="AJ478" s="2">
        <v>0.39</v>
      </c>
      <c r="AK478" s="1">
        <v>391533</v>
      </c>
      <c r="AL478" t="s">
        <v>117</v>
      </c>
      <c r="AM478" t="s">
        <v>393</v>
      </c>
      <c r="AN478">
        <v>8205</v>
      </c>
      <c r="AO478">
        <v>0.19</v>
      </c>
      <c r="AR478">
        <v>1</v>
      </c>
      <c r="AS478" s="1">
        <v>28920</v>
      </c>
      <c r="AT478" s="1">
        <v>5780</v>
      </c>
      <c r="AU478" s="1">
        <v>23140</v>
      </c>
      <c r="AV478">
        <v>80.010000000000005</v>
      </c>
      <c r="AX478" s="1">
        <v>2449.9</v>
      </c>
      <c r="AY478" t="s">
        <v>192</v>
      </c>
      <c r="AZ478" t="s">
        <v>193</v>
      </c>
      <c r="BA478" t="s">
        <v>194</v>
      </c>
      <c r="BE478" s="3">
        <v>42389</v>
      </c>
      <c r="BF478" s="1">
        <v>294988</v>
      </c>
      <c r="BG478" t="s">
        <v>2199</v>
      </c>
      <c r="BH478" s="1">
        <v>134.63999999999999</v>
      </c>
      <c r="BI478" s="1">
        <v>238899</v>
      </c>
      <c r="BJ478" s="3">
        <v>42389</v>
      </c>
      <c r="BK478" t="s">
        <v>123</v>
      </c>
      <c r="BL478" t="str">
        <f>"2016.38994"</f>
        <v>2016.38994</v>
      </c>
      <c r="BM478" t="s">
        <v>2245</v>
      </c>
      <c r="BO478" t="s">
        <v>3313</v>
      </c>
      <c r="BS478">
        <v>30</v>
      </c>
      <c r="BW478" t="str">
        <f>""</f>
        <v/>
      </c>
      <c r="CH478" t="str">
        <f>""</f>
        <v/>
      </c>
      <c r="CS478" t="str">
        <f>""</f>
        <v/>
      </c>
    </row>
    <row r="479" spans="1:97" x14ac:dyDescent="0.25">
      <c r="A479" t="s">
        <v>3221</v>
      </c>
      <c r="B479" t="s">
        <v>3314</v>
      </c>
      <c r="C479" t="s">
        <v>1021</v>
      </c>
      <c r="D479" t="s">
        <v>3315</v>
      </c>
      <c r="E479" t="s">
        <v>3316</v>
      </c>
      <c r="F479" t="s">
        <v>108</v>
      </c>
      <c r="H479" t="s">
        <v>3317</v>
      </c>
      <c r="I479" t="s">
        <v>390</v>
      </c>
      <c r="J479" t="s">
        <v>111</v>
      </c>
      <c r="K479" t="str">
        <f>"85085"</f>
        <v>85085</v>
      </c>
      <c r="L479" t="s">
        <v>3318</v>
      </c>
      <c r="M479" t="s">
        <v>3317</v>
      </c>
      <c r="N479" t="s">
        <v>390</v>
      </c>
      <c r="O479" t="s">
        <v>111</v>
      </c>
      <c r="P479" t="str">
        <f>"85085-7150"</f>
        <v>85085-7150</v>
      </c>
      <c r="Q479" t="s">
        <v>113</v>
      </c>
      <c r="R479" t="str">
        <f>"204-25-743"</f>
        <v>204-25-743</v>
      </c>
      <c r="S479" t="s">
        <v>3319</v>
      </c>
      <c r="T479" t="s">
        <v>3319</v>
      </c>
      <c r="U479">
        <v>1679</v>
      </c>
      <c r="W479">
        <v>3</v>
      </c>
      <c r="X479">
        <v>2015</v>
      </c>
      <c r="Z479">
        <v>1</v>
      </c>
      <c r="AA479" t="s">
        <v>26</v>
      </c>
      <c r="AC479" t="s">
        <v>115</v>
      </c>
      <c r="AD479">
        <v>3</v>
      </c>
      <c r="AE479" t="s">
        <v>115</v>
      </c>
      <c r="AH479" t="s">
        <v>116</v>
      </c>
      <c r="AI479" s="1">
        <v>68962</v>
      </c>
      <c r="AJ479" s="2">
        <v>0.17</v>
      </c>
      <c r="AK479" s="1">
        <v>394412</v>
      </c>
      <c r="AL479" t="s">
        <v>117</v>
      </c>
      <c r="AM479" t="s">
        <v>229</v>
      </c>
      <c r="AN479">
        <v>5750</v>
      </c>
      <c r="AO479">
        <v>0.13</v>
      </c>
      <c r="AR479">
        <v>1</v>
      </c>
      <c r="AS479" s="1">
        <v>31120</v>
      </c>
      <c r="AT479" s="1">
        <v>6220</v>
      </c>
      <c r="AU479" s="1">
        <v>24900</v>
      </c>
      <c r="AV479">
        <v>80.010000000000005</v>
      </c>
      <c r="AX479" s="1">
        <v>2305.36</v>
      </c>
      <c r="AY479" t="s">
        <v>2651</v>
      </c>
      <c r="AZ479" t="s">
        <v>2651</v>
      </c>
      <c r="BA479" t="s">
        <v>1462</v>
      </c>
      <c r="BE479" s="3">
        <v>42209</v>
      </c>
      <c r="BF479" s="1">
        <v>315065</v>
      </c>
      <c r="BG479" t="s">
        <v>420</v>
      </c>
      <c r="BH479" s="1">
        <v>187.65</v>
      </c>
      <c r="BI479" s="1">
        <v>325450</v>
      </c>
      <c r="BJ479" s="3">
        <v>42209</v>
      </c>
      <c r="BK479" t="s">
        <v>123</v>
      </c>
      <c r="BL479" t="str">
        <f>"2015.535029"</f>
        <v>2015.535029</v>
      </c>
      <c r="BM479" t="s">
        <v>124</v>
      </c>
      <c r="BO479" t="s">
        <v>3320</v>
      </c>
      <c r="BP479" t="s">
        <v>3321</v>
      </c>
      <c r="BS479">
        <v>30</v>
      </c>
      <c r="BW479" t="str">
        <f>""</f>
        <v/>
      </c>
      <c r="CH479" t="str">
        <f>""</f>
        <v/>
      </c>
      <c r="CS479" t="str">
        <f>""</f>
        <v/>
      </c>
    </row>
    <row r="480" spans="1:97" x14ac:dyDescent="0.25">
      <c r="B480" t="s">
        <v>3322</v>
      </c>
      <c r="C480" t="s">
        <v>3323</v>
      </c>
      <c r="E480" t="s">
        <v>3324</v>
      </c>
      <c r="F480" t="s">
        <v>108</v>
      </c>
      <c r="H480" t="s">
        <v>3325</v>
      </c>
      <c r="I480" t="s">
        <v>453</v>
      </c>
      <c r="J480" t="s">
        <v>111</v>
      </c>
      <c r="K480" t="str">
        <f>"85383"</f>
        <v>85383</v>
      </c>
      <c r="L480" t="s">
        <v>3326</v>
      </c>
      <c r="M480" t="s">
        <v>3325</v>
      </c>
      <c r="N480" t="s">
        <v>453</v>
      </c>
      <c r="O480" t="s">
        <v>111</v>
      </c>
      <c r="P480" t="str">
        <f>"85383-1472"</f>
        <v>85383-1472</v>
      </c>
      <c r="Q480" t="s">
        <v>113</v>
      </c>
      <c r="R480" t="str">
        <f>"200-13-604"</f>
        <v>200-13-604</v>
      </c>
      <c r="S480" t="s">
        <v>3327</v>
      </c>
      <c r="U480">
        <v>2549</v>
      </c>
      <c r="W480">
        <v>3</v>
      </c>
      <c r="X480">
        <v>2015</v>
      </c>
      <c r="Z480">
        <v>1</v>
      </c>
      <c r="AC480" t="s">
        <v>115</v>
      </c>
      <c r="AD480">
        <v>3</v>
      </c>
      <c r="AE480" t="s">
        <v>115</v>
      </c>
      <c r="AH480" t="s">
        <v>116</v>
      </c>
      <c r="AI480" s="1">
        <v>72550</v>
      </c>
      <c r="AJ480" s="2">
        <v>0.17</v>
      </c>
      <c r="AK480" s="1">
        <v>432388</v>
      </c>
      <c r="AL480" t="s">
        <v>117</v>
      </c>
      <c r="AM480" t="s">
        <v>3111</v>
      </c>
      <c r="AN480">
        <v>10253</v>
      </c>
      <c r="AO480">
        <v>0.24</v>
      </c>
      <c r="AR480">
        <v>1</v>
      </c>
      <c r="AS480" s="1">
        <v>31810</v>
      </c>
      <c r="AT480" s="1">
        <v>6360</v>
      </c>
      <c r="AU480" s="1">
        <v>25450</v>
      </c>
      <c r="AV480">
        <v>80.010000000000005</v>
      </c>
      <c r="AX480" s="1">
        <v>2657.22</v>
      </c>
      <c r="AY480" t="s">
        <v>1808</v>
      </c>
      <c r="AZ480" t="s">
        <v>1808</v>
      </c>
      <c r="BA480" t="s">
        <v>457</v>
      </c>
      <c r="BB480" s="3">
        <v>43781</v>
      </c>
      <c r="BC480" s="1">
        <v>0</v>
      </c>
      <c r="BD480" t="s">
        <v>247</v>
      </c>
      <c r="BE480" s="3">
        <v>42489</v>
      </c>
      <c r="BF480" s="1">
        <v>348230</v>
      </c>
      <c r="BG480" t="s">
        <v>3328</v>
      </c>
      <c r="BH480" s="1">
        <v>136.61000000000001</v>
      </c>
      <c r="BI480" s="1">
        <v>311838</v>
      </c>
      <c r="BJ480" s="3">
        <v>42489</v>
      </c>
      <c r="BK480" t="s">
        <v>123</v>
      </c>
      <c r="BL480" t="str">
        <f>"2016.290954"</f>
        <v>2016.290954</v>
      </c>
      <c r="BM480" t="s">
        <v>594</v>
      </c>
      <c r="BN480" t="s">
        <v>595</v>
      </c>
      <c r="BO480" t="s">
        <v>3329</v>
      </c>
      <c r="BS480">
        <v>30</v>
      </c>
      <c r="BT480" s="1">
        <v>48000</v>
      </c>
      <c r="BU480" s="3">
        <v>43376</v>
      </c>
      <c r="BW480" t="str">
        <f>"2018.742926"</f>
        <v>2018.742926</v>
      </c>
      <c r="BX480" t="s">
        <v>342</v>
      </c>
      <c r="BY480" t="s">
        <v>343</v>
      </c>
      <c r="BZ480" t="s">
        <v>3330</v>
      </c>
      <c r="CA480" t="s">
        <v>3331</v>
      </c>
      <c r="CC480" t="s">
        <v>346</v>
      </c>
      <c r="CH480" t="str">
        <f>""</f>
        <v/>
      </c>
      <c r="CS480" t="str">
        <f>""</f>
        <v/>
      </c>
    </row>
    <row r="481" spans="1:97" x14ac:dyDescent="0.25">
      <c r="A481" t="s">
        <v>3332</v>
      </c>
      <c r="B481" t="s">
        <v>3333</v>
      </c>
      <c r="E481" t="s">
        <v>3334</v>
      </c>
      <c r="F481" t="s">
        <v>108</v>
      </c>
      <c r="H481" t="s">
        <v>3335</v>
      </c>
      <c r="I481" t="s">
        <v>3150</v>
      </c>
      <c r="J481" t="s">
        <v>111</v>
      </c>
      <c r="K481" t="str">
        <f>"85340"</f>
        <v>85340</v>
      </c>
      <c r="L481" t="s">
        <v>3151</v>
      </c>
      <c r="M481" t="s">
        <v>3335</v>
      </c>
      <c r="N481" t="s">
        <v>3150</v>
      </c>
      <c r="O481" t="s">
        <v>111</v>
      </c>
      <c r="P481" t="str">
        <f>"85340-2811"</f>
        <v>85340-2811</v>
      </c>
      <c r="Q481" t="s">
        <v>113</v>
      </c>
      <c r="R481" t="str">
        <f>"501-73-877"</f>
        <v>501-73-877</v>
      </c>
      <c r="S481" t="s">
        <v>3152</v>
      </c>
      <c r="U481">
        <v>4473</v>
      </c>
      <c r="W481">
        <v>6</v>
      </c>
      <c r="X481">
        <v>2015</v>
      </c>
      <c r="Z481">
        <v>2</v>
      </c>
      <c r="AA481" t="s">
        <v>26</v>
      </c>
      <c r="AC481" t="s">
        <v>115</v>
      </c>
      <c r="AD481">
        <v>2</v>
      </c>
      <c r="AE481" t="s">
        <v>115</v>
      </c>
      <c r="AH481" t="s">
        <v>116</v>
      </c>
      <c r="AI481" s="1">
        <v>103225</v>
      </c>
      <c r="AJ481" s="2">
        <v>0.19</v>
      </c>
      <c r="AK481" s="1">
        <v>553199</v>
      </c>
      <c r="AL481" t="s">
        <v>117</v>
      </c>
      <c r="AM481" t="s">
        <v>118</v>
      </c>
      <c r="AN481">
        <v>10247</v>
      </c>
      <c r="AO481">
        <v>0.24</v>
      </c>
      <c r="AR481">
        <v>1</v>
      </c>
      <c r="AS481" s="1">
        <v>42230</v>
      </c>
      <c r="AT481" s="1">
        <v>8440</v>
      </c>
      <c r="AU481" s="1">
        <v>33790</v>
      </c>
      <c r="AV481">
        <v>80.010000000000005</v>
      </c>
      <c r="AX481" s="1">
        <v>3569.9</v>
      </c>
      <c r="AY481" t="s">
        <v>3019</v>
      </c>
      <c r="AZ481" t="s">
        <v>3153</v>
      </c>
      <c r="BA481" t="s">
        <v>3154</v>
      </c>
      <c r="BE481" s="3">
        <v>42503</v>
      </c>
      <c r="BF481" s="1">
        <v>460966</v>
      </c>
      <c r="BG481" t="s">
        <v>636</v>
      </c>
      <c r="BH481" s="1">
        <v>103.06</v>
      </c>
      <c r="BI481" s="1">
        <v>449974</v>
      </c>
      <c r="BJ481" s="3">
        <v>42503</v>
      </c>
      <c r="BK481" t="s">
        <v>123</v>
      </c>
      <c r="BL481" t="str">
        <f>"2016.331442"</f>
        <v>2016.331442</v>
      </c>
      <c r="BM481" t="s">
        <v>594</v>
      </c>
      <c r="BN481" t="s">
        <v>595</v>
      </c>
      <c r="BO481" t="s">
        <v>3336</v>
      </c>
      <c r="BS481">
        <v>30</v>
      </c>
      <c r="BW481" t="str">
        <f>""</f>
        <v/>
      </c>
      <c r="CH481" t="str">
        <f>""</f>
        <v/>
      </c>
      <c r="CS481" t="str">
        <f>""</f>
        <v/>
      </c>
    </row>
    <row r="482" spans="1:97" x14ac:dyDescent="0.25">
      <c r="A482" t="s">
        <v>3221</v>
      </c>
      <c r="B482" t="s">
        <v>3337</v>
      </c>
      <c r="C482" t="s">
        <v>976</v>
      </c>
      <c r="D482" t="s">
        <v>3337</v>
      </c>
      <c r="E482" t="s">
        <v>3338</v>
      </c>
      <c r="F482" t="s">
        <v>108</v>
      </c>
      <c r="H482" t="s">
        <v>3339</v>
      </c>
      <c r="I482" t="s">
        <v>390</v>
      </c>
      <c r="J482" t="s">
        <v>111</v>
      </c>
      <c r="K482" t="str">
        <f>"85085"</f>
        <v>85085</v>
      </c>
      <c r="L482" t="s">
        <v>3101</v>
      </c>
      <c r="M482" t="s">
        <v>3339</v>
      </c>
      <c r="N482" t="s">
        <v>390</v>
      </c>
      <c r="O482" t="s">
        <v>111</v>
      </c>
      <c r="P482" t="str">
        <f>"85085-5456"</f>
        <v>85085-5456</v>
      </c>
      <c r="Q482" t="s">
        <v>113</v>
      </c>
      <c r="R482" t="str">
        <f>"210-20-682"</f>
        <v>210-20-682</v>
      </c>
      <c r="S482" t="s">
        <v>3102</v>
      </c>
      <c r="U482">
        <v>2199</v>
      </c>
      <c r="W482">
        <v>4</v>
      </c>
      <c r="X482">
        <v>2016</v>
      </c>
      <c r="Z482">
        <v>1</v>
      </c>
      <c r="AC482" t="s">
        <v>115</v>
      </c>
      <c r="AD482">
        <v>3</v>
      </c>
      <c r="AE482" t="s">
        <v>115</v>
      </c>
      <c r="AH482" t="s">
        <v>116</v>
      </c>
      <c r="AI482" s="1">
        <v>30464</v>
      </c>
      <c r="AJ482" s="2">
        <v>7.0000000000000007E-2</v>
      </c>
      <c r="AK482" s="1">
        <v>428757</v>
      </c>
      <c r="AL482" t="s">
        <v>117</v>
      </c>
      <c r="AM482" t="s">
        <v>118</v>
      </c>
      <c r="AN482">
        <v>6844</v>
      </c>
      <c r="AO482">
        <v>0.16</v>
      </c>
      <c r="AR482">
        <v>1</v>
      </c>
      <c r="AS482" s="1">
        <v>35900</v>
      </c>
      <c r="AT482" s="1">
        <v>7180</v>
      </c>
      <c r="AU482" s="1">
        <v>28720</v>
      </c>
      <c r="AV482">
        <v>80</v>
      </c>
      <c r="AX482" s="1">
        <v>3045.94</v>
      </c>
      <c r="AY482" t="s">
        <v>1461</v>
      </c>
      <c r="AZ482" t="s">
        <v>1461</v>
      </c>
      <c r="BA482" t="s">
        <v>1462</v>
      </c>
      <c r="BE482" s="3">
        <v>42492</v>
      </c>
      <c r="BF482" s="1">
        <v>389910</v>
      </c>
      <c r="BG482" t="s">
        <v>275</v>
      </c>
      <c r="BH482" s="1">
        <v>177.31</v>
      </c>
      <c r="BI482" s="1">
        <v>398293</v>
      </c>
      <c r="BJ482" s="3">
        <v>42492</v>
      </c>
      <c r="BK482" t="s">
        <v>123</v>
      </c>
      <c r="BL482" t="str">
        <f>"2016.295768"</f>
        <v>2016.295768</v>
      </c>
      <c r="BM482" t="s">
        <v>651</v>
      </c>
      <c r="BO482" t="s">
        <v>3340</v>
      </c>
      <c r="BS482">
        <v>30</v>
      </c>
      <c r="BW482" t="str">
        <f>""</f>
        <v/>
      </c>
      <c r="CH482" t="str">
        <f>""</f>
        <v/>
      </c>
      <c r="CS482" t="str">
        <f>""</f>
        <v/>
      </c>
    </row>
    <row r="483" spans="1:97" x14ac:dyDescent="0.25">
      <c r="A483" t="s">
        <v>265</v>
      </c>
      <c r="B483" t="s">
        <v>3341</v>
      </c>
      <c r="C483" t="s">
        <v>1119</v>
      </c>
      <c r="D483" t="s">
        <v>3341</v>
      </c>
      <c r="E483" t="s">
        <v>3342</v>
      </c>
      <c r="F483" t="s">
        <v>108</v>
      </c>
      <c r="H483" t="s">
        <v>3343</v>
      </c>
      <c r="I483" t="s">
        <v>390</v>
      </c>
      <c r="J483" t="s">
        <v>111</v>
      </c>
      <c r="K483" t="str">
        <f>"85085"</f>
        <v>85085</v>
      </c>
      <c r="L483" t="s">
        <v>145</v>
      </c>
      <c r="M483" t="s">
        <v>3343</v>
      </c>
      <c r="N483" t="s">
        <v>390</v>
      </c>
      <c r="O483" t="s">
        <v>111</v>
      </c>
      <c r="P483" t="str">
        <f>"85085-8908"</f>
        <v>85085-8908</v>
      </c>
      <c r="Q483" t="s">
        <v>113</v>
      </c>
      <c r="R483" t="str">
        <f>"204-02-085"</f>
        <v>204-02-085</v>
      </c>
      <c r="S483" t="s">
        <v>3344</v>
      </c>
      <c r="T483" t="s">
        <v>3344</v>
      </c>
      <c r="U483">
        <v>2539</v>
      </c>
      <c r="W483">
        <v>5</v>
      </c>
      <c r="X483">
        <v>2016</v>
      </c>
      <c r="Z483">
        <v>1</v>
      </c>
      <c r="AC483" t="s">
        <v>115</v>
      </c>
      <c r="AD483">
        <v>2</v>
      </c>
      <c r="AE483" t="s">
        <v>115</v>
      </c>
      <c r="AH483" t="s">
        <v>116</v>
      </c>
      <c r="AI483" s="1">
        <v>94479</v>
      </c>
      <c r="AJ483" s="2">
        <v>0.22</v>
      </c>
      <c r="AK483" s="1">
        <v>435394</v>
      </c>
      <c r="AL483" t="s">
        <v>117</v>
      </c>
      <c r="AM483" t="s">
        <v>3345</v>
      </c>
      <c r="AN483">
        <v>7500</v>
      </c>
      <c r="AO483">
        <v>0.17</v>
      </c>
      <c r="AR483">
        <v>1</v>
      </c>
      <c r="AS483" s="1">
        <v>34880</v>
      </c>
      <c r="AT483" s="1">
        <v>6970</v>
      </c>
      <c r="AU483" s="1">
        <v>27910</v>
      </c>
      <c r="AV483">
        <v>80.02</v>
      </c>
      <c r="AX483" s="1">
        <v>2987.68</v>
      </c>
      <c r="AY483" t="s">
        <v>1587</v>
      </c>
      <c r="AZ483" t="s">
        <v>1587</v>
      </c>
      <c r="BA483" t="s">
        <v>1462</v>
      </c>
      <c r="BE483" s="3">
        <v>42303</v>
      </c>
      <c r="BF483" s="1">
        <v>425097</v>
      </c>
      <c r="BG483" t="s">
        <v>446</v>
      </c>
      <c r="BH483" s="1">
        <v>167.43</v>
      </c>
      <c r="BI483" s="1">
        <v>340915</v>
      </c>
      <c r="BJ483" s="3">
        <v>42550</v>
      </c>
      <c r="BK483" t="s">
        <v>123</v>
      </c>
      <c r="BL483" t="str">
        <f>"2016.454010"</f>
        <v>2016.454010</v>
      </c>
      <c r="BM483" t="s">
        <v>492</v>
      </c>
      <c r="BO483" t="s">
        <v>3346</v>
      </c>
      <c r="BS483">
        <v>30</v>
      </c>
      <c r="BW483" t="str">
        <f>""</f>
        <v/>
      </c>
      <c r="CH483" t="str">
        <f>""</f>
        <v/>
      </c>
      <c r="CS483" t="str">
        <f>""</f>
        <v/>
      </c>
    </row>
    <row r="484" spans="1:97" x14ac:dyDescent="0.25">
      <c r="A484" t="s">
        <v>3347</v>
      </c>
      <c r="B484" t="s">
        <v>327</v>
      </c>
      <c r="C484" t="s">
        <v>3282</v>
      </c>
      <c r="D484" t="s">
        <v>327</v>
      </c>
      <c r="E484" t="s">
        <v>3348</v>
      </c>
      <c r="F484" t="s">
        <v>108</v>
      </c>
      <c r="H484" t="s">
        <v>3349</v>
      </c>
      <c r="I484" t="s">
        <v>110</v>
      </c>
      <c r="J484" t="s">
        <v>111</v>
      </c>
      <c r="K484" t="str">
        <f>"85248"</f>
        <v>85248</v>
      </c>
      <c r="L484" t="s">
        <v>516</v>
      </c>
      <c r="M484" t="s">
        <v>3349</v>
      </c>
      <c r="N484" t="s">
        <v>110</v>
      </c>
      <c r="O484" t="s">
        <v>111</v>
      </c>
      <c r="P484" t="str">
        <f>"85248-4298"</f>
        <v>85248-4298</v>
      </c>
      <c r="Q484" t="s">
        <v>113</v>
      </c>
      <c r="R484" t="str">
        <f>"303-65-429"</f>
        <v>303-65-429</v>
      </c>
      <c r="S484" t="s">
        <v>3350</v>
      </c>
      <c r="U484">
        <v>2363</v>
      </c>
      <c r="W484">
        <v>4</v>
      </c>
      <c r="X484">
        <v>2016</v>
      </c>
      <c r="Z484">
        <v>2</v>
      </c>
      <c r="AC484" t="s">
        <v>115</v>
      </c>
      <c r="AD484">
        <v>2</v>
      </c>
      <c r="AE484" t="s">
        <v>115</v>
      </c>
      <c r="AH484" t="s">
        <v>116</v>
      </c>
      <c r="AI484" s="1">
        <v>30272</v>
      </c>
      <c r="AJ484" s="2">
        <v>0.06</v>
      </c>
      <c r="AK484" s="1">
        <v>466752</v>
      </c>
      <c r="AL484" t="s">
        <v>117</v>
      </c>
      <c r="AM484" t="s">
        <v>118</v>
      </c>
      <c r="AN484">
        <v>3429</v>
      </c>
      <c r="AO484">
        <v>0.79</v>
      </c>
      <c r="AR484">
        <v>1</v>
      </c>
      <c r="AS484" s="1">
        <v>33450</v>
      </c>
      <c r="AT484" s="1">
        <v>6690</v>
      </c>
      <c r="AU484" s="1">
        <v>26760</v>
      </c>
      <c r="AV484">
        <v>80</v>
      </c>
      <c r="AX484" s="1">
        <v>2343.6</v>
      </c>
      <c r="AY484" t="s">
        <v>3351</v>
      </c>
      <c r="AZ484" t="s">
        <v>1882</v>
      </c>
      <c r="BA484" t="s">
        <v>121</v>
      </c>
      <c r="BE484" s="3">
        <v>42551</v>
      </c>
      <c r="BF484" s="1">
        <v>400810</v>
      </c>
      <c r="BG484" t="s">
        <v>1079</v>
      </c>
      <c r="BH484" s="1">
        <v>169.62</v>
      </c>
      <c r="BI484" s="1">
        <v>386480</v>
      </c>
      <c r="BJ484" s="3">
        <v>42551</v>
      </c>
      <c r="BK484" t="s">
        <v>123</v>
      </c>
      <c r="BL484" t="str">
        <f>"2016.459640"</f>
        <v>2016.459640</v>
      </c>
      <c r="BM484" t="s">
        <v>1080</v>
      </c>
      <c r="BO484" t="s">
        <v>3352</v>
      </c>
      <c r="BQ484" t="str">
        <f>"2.7500%"</f>
        <v>2.7500%</v>
      </c>
      <c r="BR484" t="s">
        <v>1480</v>
      </c>
      <c r="BS484">
        <v>30</v>
      </c>
      <c r="BT484" s="1">
        <v>50000</v>
      </c>
      <c r="BU484" s="3">
        <v>42972</v>
      </c>
      <c r="BW484" t="str">
        <f>"2017.627955"</f>
        <v>2017.627955</v>
      </c>
      <c r="BX484" t="s">
        <v>135</v>
      </c>
      <c r="BZ484" t="s">
        <v>3353</v>
      </c>
      <c r="CD484">
        <v>15</v>
      </c>
      <c r="CH484" t="str">
        <f>""</f>
        <v/>
      </c>
      <c r="CS484" t="str">
        <f>""</f>
        <v/>
      </c>
    </row>
    <row r="485" spans="1:97" x14ac:dyDescent="0.25">
      <c r="A485" t="s">
        <v>701</v>
      </c>
      <c r="B485" t="s">
        <v>3354</v>
      </c>
      <c r="C485" t="s">
        <v>3355</v>
      </c>
      <c r="D485" t="s">
        <v>3354</v>
      </c>
      <c r="E485" t="s">
        <v>3356</v>
      </c>
      <c r="F485" t="s">
        <v>108</v>
      </c>
      <c r="H485" t="s">
        <v>3357</v>
      </c>
      <c r="I485" t="s">
        <v>453</v>
      </c>
      <c r="J485" t="s">
        <v>111</v>
      </c>
      <c r="K485" t="str">
        <f>"85381"</f>
        <v>85381</v>
      </c>
      <c r="L485" t="s">
        <v>1300</v>
      </c>
      <c r="M485" t="s">
        <v>3357</v>
      </c>
      <c r="N485" t="s">
        <v>453</v>
      </c>
      <c r="O485" t="s">
        <v>111</v>
      </c>
      <c r="P485" t="str">
        <f>"85381-9505"</f>
        <v>85381-9505</v>
      </c>
      <c r="Q485" t="s">
        <v>113</v>
      </c>
      <c r="R485" t="str">
        <f>"200-83-555"</f>
        <v>200-83-555</v>
      </c>
      <c r="S485" t="s">
        <v>3358</v>
      </c>
      <c r="T485" t="s">
        <v>3358</v>
      </c>
      <c r="U485">
        <v>1578</v>
      </c>
      <c r="W485">
        <v>2</v>
      </c>
      <c r="X485">
        <v>2015</v>
      </c>
      <c r="Z485">
        <v>1</v>
      </c>
      <c r="AC485" t="s">
        <v>115</v>
      </c>
      <c r="AD485">
        <v>2</v>
      </c>
      <c r="AE485" t="s">
        <v>115</v>
      </c>
      <c r="AH485" t="s">
        <v>116</v>
      </c>
      <c r="AI485" s="1">
        <v>66831</v>
      </c>
      <c r="AJ485" s="2">
        <v>0.24</v>
      </c>
      <c r="AK485" s="1">
        <v>282471</v>
      </c>
      <c r="AL485" t="s">
        <v>117</v>
      </c>
      <c r="AM485" t="s">
        <v>118</v>
      </c>
      <c r="AN485">
        <v>4704</v>
      </c>
      <c r="AO485">
        <v>0.11</v>
      </c>
      <c r="AR485">
        <v>1</v>
      </c>
      <c r="AS485" s="1">
        <v>20230</v>
      </c>
      <c r="AT485" s="1">
        <v>4040</v>
      </c>
      <c r="AU485" s="1">
        <v>16190</v>
      </c>
      <c r="AV485">
        <v>80.03</v>
      </c>
      <c r="AX485" s="1">
        <v>1639.8</v>
      </c>
      <c r="AY485" t="s">
        <v>3359</v>
      </c>
      <c r="AZ485" t="s">
        <v>3359</v>
      </c>
      <c r="BA485" t="s">
        <v>3360</v>
      </c>
      <c r="BE485" s="3">
        <v>42242</v>
      </c>
      <c r="BF485" s="1">
        <v>215607</v>
      </c>
      <c r="BG485" t="s">
        <v>3361</v>
      </c>
      <c r="BH485" s="1">
        <v>136.63</v>
      </c>
      <c r="BI485" s="1">
        <v>215640</v>
      </c>
      <c r="BJ485" s="3">
        <v>42607</v>
      </c>
      <c r="BK485" t="s">
        <v>123</v>
      </c>
      <c r="BL485" t="str">
        <f>"2016.612233"</f>
        <v>2016.612233</v>
      </c>
      <c r="BM485" t="s">
        <v>475</v>
      </c>
      <c r="BO485" t="s">
        <v>3362</v>
      </c>
      <c r="BS485">
        <v>30</v>
      </c>
      <c r="BW485" t="str">
        <f>""</f>
        <v/>
      </c>
      <c r="CH485" t="str">
        <f>""</f>
        <v/>
      </c>
      <c r="CS485" t="str">
        <f>""</f>
        <v/>
      </c>
    </row>
    <row r="486" spans="1:97" x14ac:dyDescent="0.25">
      <c r="A486" t="s">
        <v>639</v>
      </c>
      <c r="B486" t="s">
        <v>3363</v>
      </c>
      <c r="C486" t="s">
        <v>933</v>
      </c>
      <c r="D486" t="s">
        <v>3363</v>
      </c>
      <c r="E486" t="s">
        <v>3364</v>
      </c>
      <c r="F486" t="s">
        <v>108</v>
      </c>
      <c r="H486" t="s">
        <v>3365</v>
      </c>
      <c r="I486" t="s">
        <v>188</v>
      </c>
      <c r="J486" t="s">
        <v>111</v>
      </c>
      <c r="K486" t="str">
        <f>"85142"</f>
        <v>85142</v>
      </c>
      <c r="L486" t="s">
        <v>625</v>
      </c>
      <c r="M486" t="s">
        <v>3365</v>
      </c>
      <c r="N486" t="s">
        <v>188</v>
      </c>
      <c r="O486" t="s">
        <v>111</v>
      </c>
      <c r="P486" t="str">
        <f>"85142-8216"</f>
        <v>85142-8216</v>
      </c>
      <c r="Q486" t="s">
        <v>113</v>
      </c>
      <c r="R486" t="str">
        <f>"304-88-632"</f>
        <v>304-88-632</v>
      </c>
      <c r="S486" t="s">
        <v>3204</v>
      </c>
      <c r="U486">
        <v>3826</v>
      </c>
      <c r="W486">
        <v>4</v>
      </c>
      <c r="X486">
        <v>2015</v>
      </c>
      <c r="Z486">
        <v>2</v>
      </c>
      <c r="AC486" t="s">
        <v>115</v>
      </c>
      <c r="AD486">
        <v>3</v>
      </c>
      <c r="AE486" t="s">
        <v>115</v>
      </c>
      <c r="AH486" t="s">
        <v>116</v>
      </c>
      <c r="AI486" s="1">
        <v>126676</v>
      </c>
      <c r="AJ486" s="2">
        <v>0.28000000000000003</v>
      </c>
      <c r="AK486" s="1">
        <v>452541</v>
      </c>
      <c r="AL486" t="s">
        <v>117</v>
      </c>
      <c r="AM486" t="s">
        <v>393</v>
      </c>
      <c r="AN486">
        <v>8400</v>
      </c>
      <c r="AO486">
        <v>0.19</v>
      </c>
      <c r="AR486">
        <v>1</v>
      </c>
      <c r="AS486" s="1">
        <v>30780</v>
      </c>
      <c r="AT486" s="1">
        <v>6150</v>
      </c>
      <c r="AU486" s="1">
        <v>24630</v>
      </c>
      <c r="AV486">
        <v>80.02</v>
      </c>
      <c r="AX486" s="1">
        <v>2930.2</v>
      </c>
      <c r="AY486" t="s">
        <v>560</v>
      </c>
      <c r="AZ486" t="s">
        <v>561</v>
      </c>
      <c r="BA486" t="s">
        <v>194</v>
      </c>
      <c r="BE486" s="3">
        <v>42403</v>
      </c>
      <c r="BF486" s="1">
        <v>319007</v>
      </c>
      <c r="BG486" t="s">
        <v>1975</v>
      </c>
      <c r="BH486" s="1">
        <v>83.38</v>
      </c>
      <c r="BI486" s="1">
        <v>325865</v>
      </c>
      <c r="BJ486" s="3">
        <v>42403</v>
      </c>
      <c r="BK486" t="s">
        <v>123</v>
      </c>
      <c r="BL486" t="str">
        <f>"2016.70713"</f>
        <v>2016.70713</v>
      </c>
      <c r="BM486" t="s">
        <v>135</v>
      </c>
      <c r="BO486" t="s">
        <v>3366</v>
      </c>
      <c r="BS486">
        <v>30</v>
      </c>
      <c r="BW486" t="str">
        <f>""</f>
        <v/>
      </c>
      <c r="CH486" t="str">
        <f>""</f>
        <v/>
      </c>
      <c r="CS486" t="str">
        <f>""</f>
        <v/>
      </c>
    </row>
    <row r="487" spans="1:97" x14ac:dyDescent="0.25">
      <c r="B487" t="s">
        <v>3367</v>
      </c>
      <c r="E487" t="s">
        <v>3368</v>
      </c>
      <c r="F487" t="s">
        <v>282</v>
      </c>
      <c r="H487" t="s">
        <v>3369</v>
      </c>
      <c r="I487" t="s">
        <v>453</v>
      </c>
      <c r="J487" t="s">
        <v>111</v>
      </c>
      <c r="K487" t="str">
        <f>"85383"</f>
        <v>85383</v>
      </c>
      <c r="L487" t="s">
        <v>688</v>
      </c>
      <c r="M487" t="s">
        <v>3370</v>
      </c>
      <c r="N487" t="s">
        <v>2874</v>
      </c>
      <c r="O487" t="s">
        <v>111</v>
      </c>
      <c r="P487" t="str">
        <f>"85308-9448"</f>
        <v>85308-9448</v>
      </c>
      <c r="Q487" t="s">
        <v>113</v>
      </c>
      <c r="R487" t="str">
        <f>"200-17-940"</f>
        <v>200-17-940</v>
      </c>
      <c r="S487" t="s">
        <v>3245</v>
      </c>
      <c r="T487" t="s">
        <v>1807</v>
      </c>
      <c r="U487">
        <v>3318</v>
      </c>
      <c r="W487">
        <v>4</v>
      </c>
      <c r="X487">
        <v>2016</v>
      </c>
      <c r="Z487">
        <v>1</v>
      </c>
      <c r="AA487" t="s">
        <v>26</v>
      </c>
      <c r="AC487" t="s">
        <v>115</v>
      </c>
      <c r="AD487">
        <v>2</v>
      </c>
      <c r="AE487" t="s">
        <v>115</v>
      </c>
      <c r="AH487" t="s">
        <v>116</v>
      </c>
      <c r="AI487" s="1">
        <v>88038</v>
      </c>
      <c r="AJ487" s="2">
        <v>0.16</v>
      </c>
      <c r="AK487" s="1">
        <v>535387</v>
      </c>
      <c r="AL487" t="s">
        <v>117</v>
      </c>
      <c r="AM487" t="s">
        <v>118</v>
      </c>
      <c r="AN487">
        <v>11128</v>
      </c>
      <c r="AO487">
        <v>0.26</v>
      </c>
      <c r="AR487">
        <v>1</v>
      </c>
      <c r="AS487" s="1">
        <v>43160</v>
      </c>
      <c r="AT487" s="1">
        <v>8630</v>
      </c>
      <c r="AU487" s="1">
        <v>34530</v>
      </c>
      <c r="AV487">
        <v>80</v>
      </c>
      <c r="AX487" s="1">
        <v>3284.7</v>
      </c>
      <c r="AY487" t="s">
        <v>1808</v>
      </c>
      <c r="AZ487" t="s">
        <v>1808</v>
      </c>
      <c r="BA487" t="s">
        <v>457</v>
      </c>
      <c r="BB487" s="3">
        <v>42828</v>
      </c>
      <c r="BD487" t="s">
        <v>458</v>
      </c>
      <c r="BE487" s="3">
        <v>42468</v>
      </c>
      <c r="BF487" s="1">
        <v>457472</v>
      </c>
      <c r="BG487" t="s">
        <v>209</v>
      </c>
      <c r="BH487" s="1">
        <v>137.88</v>
      </c>
      <c r="BI487" s="1">
        <v>447349</v>
      </c>
      <c r="BJ487" s="3">
        <v>42468</v>
      </c>
      <c r="BK487" t="s">
        <v>123</v>
      </c>
      <c r="BL487" t="str">
        <f>"2016.234674"</f>
        <v>2016.234674</v>
      </c>
      <c r="BM487" t="s">
        <v>936</v>
      </c>
      <c r="BO487" t="s">
        <v>3371</v>
      </c>
      <c r="BS487">
        <v>30</v>
      </c>
      <c r="BW487" t="str">
        <f>""</f>
        <v/>
      </c>
      <c r="CH487" t="str">
        <f>""</f>
        <v/>
      </c>
      <c r="CS487" t="str">
        <f>""</f>
        <v/>
      </c>
    </row>
    <row r="488" spans="1:97" x14ac:dyDescent="0.25">
      <c r="A488" t="s">
        <v>548</v>
      </c>
      <c r="B488" t="s">
        <v>3372</v>
      </c>
      <c r="E488" t="s">
        <v>3373</v>
      </c>
      <c r="F488" t="s">
        <v>108</v>
      </c>
      <c r="H488" t="s">
        <v>3374</v>
      </c>
      <c r="I488" t="s">
        <v>453</v>
      </c>
      <c r="J488" t="s">
        <v>111</v>
      </c>
      <c r="K488" t="str">
        <f>"85383"</f>
        <v>85383</v>
      </c>
      <c r="L488" t="s">
        <v>3225</v>
      </c>
      <c r="M488" t="s">
        <v>3374</v>
      </c>
      <c r="N488" t="s">
        <v>453</v>
      </c>
      <c r="O488" t="s">
        <v>111</v>
      </c>
      <c r="P488" t="str">
        <f>"85383-5772"</f>
        <v>85383-5772</v>
      </c>
      <c r="Q488" t="s">
        <v>113</v>
      </c>
      <c r="R488" t="str">
        <f>"201-19-577"</f>
        <v>201-19-577</v>
      </c>
      <c r="S488" t="s">
        <v>3226</v>
      </c>
      <c r="T488" t="s">
        <v>3227</v>
      </c>
      <c r="U488">
        <v>2112</v>
      </c>
      <c r="W488">
        <v>3</v>
      </c>
      <c r="X488">
        <v>2016</v>
      </c>
      <c r="Z488">
        <v>1</v>
      </c>
      <c r="AC488" t="s">
        <v>115</v>
      </c>
      <c r="AD488">
        <v>2</v>
      </c>
      <c r="AE488" t="s">
        <v>115</v>
      </c>
      <c r="AH488" t="s">
        <v>116</v>
      </c>
      <c r="AI488" s="1">
        <v>99637</v>
      </c>
      <c r="AJ488" s="2">
        <v>0.28000000000000003</v>
      </c>
      <c r="AK488" s="1">
        <v>362067</v>
      </c>
      <c r="AL488" t="s">
        <v>117</v>
      </c>
      <c r="AM488" t="s">
        <v>118</v>
      </c>
      <c r="AN488">
        <v>5760</v>
      </c>
      <c r="AO488">
        <v>0.13</v>
      </c>
      <c r="AR488">
        <v>1</v>
      </c>
      <c r="AS488" s="1">
        <v>25770</v>
      </c>
      <c r="AT488" s="1">
        <v>5150</v>
      </c>
      <c r="AU488" s="1">
        <v>20620</v>
      </c>
      <c r="AV488">
        <v>80.02</v>
      </c>
      <c r="AX488" s="1">
        <v>2108.92</v>
      </c>
      <c r="AY488" t="s">
        <v>3228</v>
      </c>
      <c r="AZ488" t="s">
        <v>3228</v>
      </c>
      <c r="BA488" t="s">
        <v>457</v>
      </c>
      <c r="BE488" s="3">
        <v>42488</v>
      </c>
      <c r="BF488" s="1">
        <v>287990</v>
      </c>
      <c r="BG488" t="s">
        <v>446</v>
      </c>
      <c r="BH488" s="1">
        <v>136.36000000000001</v>
      </c>
      <c r="BI488" s="1">
        <v>262430</v>
      </c>
      <c r="BJ488" s="3">
        <v>42488</v>
      </c>
      <c r="BK488" t="s">
        <v>123</v>
      </c>
      <c r="BL488" t="str">
        <f>"2016.284452"</f>
        <v>2016.284452</v>
      </c>
      <c r="BM488" t="s">
        <v>573</v>
      </c>
      <c r="BO488" t="s">
        <v>3375</v>
      </c>
      <c r="BS488">
        <v>30</v>
      </c>
      <c r="BW488" t="str">
        <f>""</f>
        <v/>
      </c>
      <c r="CH488" t="str">
        <f>""</f>
        <v/>
      </c>
      <c r="CS488" t="str">
        <f>""</f>
        <v/>
      </c>
    </row>
    <row r="489" spans="1:97" x14ac:dyDescent="0.25">
      <c r="A489" t="s">
        <v>177</v>
      </c>
      <c r="B489" t="s">
        <v>3376</v>
      </c>
      <c r="C489" t="s">
        <v>3377</v>
      </c>
      <c r="D489" t="s">
        <v>3378</v>
      </c>
      <c r="E489" t="s">
        <v>3379</v>
      </c>
      <c r="F489" t="s">
        <v>108</v>
      </c>
      <c r="H489" t="s">
        <v>3380</v>
      </c>
      <c r="I489" t="s">
        <v>203</v>
      </c>
      <c r="J489" t="s">
        <v>111</v>
      </c>
      <c r="K489" t="str">
        <f>"85298"</f>
        <v>85298</v>
      </c>
      <c r="L489" t="s">
        <v>3318</v>
      </c>
      <c r="M489" t="s">
        <v>3380</v>
      </c>
      <c r="N489" t="s">
        <v>203</v>
      </c>
      <c r="O489" t="s">
        <v>111</v>
      </c>
      <c r="P489" t="str">
        <f>"85298-1002"</f>
        <v>85298-1002</v>
      </c>
      <c r="Q489" t="s">
        <v>113</v>
      </c>
      <c r="R489" t="str">
        <f>"304-88-803"</f>
        <v>304-88-803</v>
      </c>
      <c r="S489" t="s">
        <v>3381</v>
      </c>
      <c r="T489" t="s">
        <v>3381</v>
      </c>
      <c r="U489">
        <v>3532</v>
      </c>
      <c r="W489">
        <v>5</v>
      </c>
      <c r="X489">
        <v>2016</v>
      </c>
      <c r="Z489">
        <v>1</v>
      </c>
      <c r="AC489" t="s">
        <v>115</v>
      </c>
      <c r="AD489">
        <v>3</v>
      </c>
      <c r="AE489" t="s">
        <v>115</v>
      </c>
      <c r="AH489" t="s">
        <v>116</v>
      </c>
      <c r="AI489" s="1">
        <v>159199</v>
      </c>
      <c r="AJ489" s="2">
        <v>0.28999999999999998</v>
      </c>
      <c r="AK489" s="1">
        <v>543884</v>
      </c>
      <c r="AL489" t="s">
        <v>117</v>
      </c>
      <c r="AM489" t="s">
        <v>1302</v>
      </c>
      <c r="AN489">
        <v>12255</v>
      </c>
      <c r="AO489">
        <v>0.28000000000000003</v>
      </c>
      <c r="AR489">
        <v>1</v>
      </c>
      <c r="AS489" s="1">
        <v>42370</v>
      </c>
      <c r="AT489" s="1">
        <v>8470</v>
      </c>
      <c r="AU489" s="1">
        <v>33900</v>
      </c>
      <c r="AV489">
        <v>80.010000000000005</v>
      </c>
      <c r="AX489" s="1">
        <v>3048.02</v>
      </c>
      <c r="AY489" t="s">
        <v>272</v>
      </c>
      <c r="AZ489" t="s">
        <v>273</v>
      </c>
      <c r="BA489" t="s">
        <v>274</v>
      </c>
      <c r="BE489" s="3">
        <v>42545</v>
      </c>
      <c r="BF489" s="1">
        <v>508668</v>
      </c>
      <c r="BG489" t="s">
        <v>275</v>
      </c>
      <c r="BH489" s="1">
        <v>144.02000000000001</v>
      </c>
      <c r="BI489" s="1">
        <v>384685</v>
      </c>
      <c r="BJ489" s="3">
        <v>42545</v>
      </c>
      <c r="BK489" t="s">
        <v>123</v>
      </c>
      <c r="BL489" t="str">
        <f>"2016.445534"</f>
        <v>2016.445534</v>
      </c>
      <c r="BM489" t="s">
        <v>651</v>
      </c>
      <c r="BO489" t="s">
        <v>3382</v>
      </c>
      <c r="BP489" t="s">
        <v>3383</v>
      </c>
      <c r="BS489">
        <v>30</v>
      </c>
      <c r="BW489" t="str">
        <f>""</f>
        <v/>
      </c>
      <c r="CH489" t="str">
        <f>""</f>
        <v/>
      </c>
      <c r="CS489" t="str">
        <f>""</f>
        <v/>
      </c>
    </row>
    <row r="490" spans="1:97" x14ac:dyDescent="0.25">
      <c r="B490" t="s">
        <v>3384</v>
      </c>
      <c r="C490" t="s">
        <v>2761</v>
      </c>
      <c r="E490" t="s">
        <v>3385</v>
      </c>
      <c r="F490" t="s">
        <v>108</v>
      </c>
      <c r="H490" t="s">
        <v>3386</v>
      </c>
      <c r="I490" t="s">
        <v>203</v>
      </c>
      <c r="J490" t="s">
        <v>111</v>
      </c>
      <c r="K490" t="str">
        <f>"85298"</f>
        <v>85298</v>
      </c>
      <c r="L490" t="s">
        <v>734</v>
      </c>
      <c r="M490" t="s">
        <v>3386</v>
      </c>
      <c r="N490" t="s">
        <v>203</v>
      </c>
      <c r="O490" t="s">
        <v>111</v>
      </c>
      <c r="P490" t="str">
        <f>"85298"</f>
        <v>85298</v>
      </c>
      <c r="Q490" t="s">
        <v>113</v>
      </c>
      <c r="R490" t="str">
        <f>"313-18-309"</f>
        <v>313-18-309</v>
      </c>
      <c r="S490" t="s">
        <v>1983</v>
      </c>
      <c r="U490">
        <v>4110</v>
      </c>
      <c r="W490">
        <v>6</v>
      </c>
      <c r="X490">
        <v>2015</v>
      </c>
      <c r="Z490">
        <v>2</v>
      </c>
      <c r="AC490" t="s">
        <v>115</v>
      </c>
      <c r="AD490">
        <v>4</v>
      </c>
      <c r="AE490" t="s">
        <v>115</v>
      </c>
      <c r="AH490" t="s">
        <v>116</v>
      </c>
      <c r="AI490" s="1">
        <v>85775</v>
      </c>
      <c r="AJ490" s="2">
        <v>0.14000000000000001</v>
      </c>
      <c r="AK490" s="1">
        <v>602775</v>
      </c>
      <c r="AL490" t="s">
        <v>117</v>
      </c>
      <c r="AM490" t="s">
        <v>171</v>
      </c>
      <c r="AN490">
        <v>14164</v>
      </c>
      <c r="AO490">
        <v>0.32</v>
      </c>
      <c r="AR490">
        <v>1</v>
      </c>
      <c r="AS490" s="1">
        <v>45520</v>
      </c>
      <c r="AT490" s="1">
        <v>9100</v>
      </c>
      <c r="AU490" s="1">
        <v>36420</v>
      </c>
      <c r="AV490">
        <v>80.010000000000005</v>
      </c>
      <c r="AX490" s="1">
        <v>3440.74</v>
      </c>
      <c r="AY490" t="s">
        <v>737</v>
      </c>
      <c r="AZ490" t="s">
        <v>273</v>
      </c>
      <c r="BA490" t="s">
        <v>303</v>
      </c>
      <c r="BB490" s="3">
        <v>43539</v>
      </c>
      <c r="BC490" s="1">
        <v>0</v>
      </c>
      <c r="BD490" t="s">
        <v>247</v>
      </c>
      <c r="BE490" s="3">
        <v>42489</v>
      </c>
      <c r="BF490" s="1">
        <v>499990</v>
      </c>
      <c r="BG490" t="s">
        <v>195</v>
      </c>
      <c r="BH490" s="1">
        <v>121.65</v>
      </c>
      <c r="BI490" s="1">
        <v>417000</v>
      </c>
      <c r="BJ490" s="3">
        <v>42489</v>
      </c>
      <c r="BK490" t="s">
        <v>123</v>
      </c>
      <c r="BL490" t="str">
        <f>"2016.290352"</f>
        <v>2016.290352</v>
      </c>
      <c r="BM490" t="s">
        <v>196</v>
      </c>
      <c r="BN490" t="s">
        <v>1442</v>
      </c>
      <c r="BO490" t="s">
        <v>3387</v>
      </c>
      <c r="BS490">
        <v>30</v>
      </c>
      <c r="BT490" s="1">
        <v>100000</v>
      </c>
      <c r="BU490" s="3">
        <v>43530</v>
      </c>
      <c r="BW490" t="str">
        <f>"2019.154444"</f>
        <v>2019.154444</v>
      </c>
      <c r="BX490" t="s">
        <v>2042</v>
      </c>
      <c r="BY490" t="s">
        <v>1575</v>
      </c>
      <c r="BZ490" t="s">
        <v>3388</v>
      </c>
      <c r="CA490" t="s">
        <v>3389</v>
      </c>
      <c r="CC490" t="s">
        <v>346</v>
      </c>
      <c r="CH490" t="str">
        <f>""</f>
        <v/>
      </c>
      <c r="CS490" t="str">
        <f>""</f>
        <v/>
      </c>
    </row>
    <row r="491" spans="1:97" x14ac:dyDescent="0.25">
      <c r="A491" t="s">
        <v>1124</v>
      </c>
      <c r="B491" t="s">
        <v>3390</v>
      </c>
      <c r="C491" t="s">
        <v>3391</v>
      </c>
      <c r="D491" t="s">
        <v>3390</v>
      </c>
      <c r="E491" t="s">
        <v>3392</v>
      </c>
      <c r="F491" t="s">
        <v>108</v>
      </c>
      <c r="H491" t="s">
        <v>3393</v>
      </c>
      <c r="I491" t="s">
        <v>188</v>
      </c>
      <c r="J491" t="s">
        <v>111</v>
      </c>
      <c r="K491" t="str">
        <f>"85142"</f>
        <v>85142</v>
      </c>
      <c r="L491" t="s">
        <v>2197</v>
      </c>
      <c r="M491" t="s">
        <v>3393</v>
      </c>
      <c r="N491" t="s">
        <v>188</v>
      </c>
      <c r="O491" t="s">
        <v>111</v>
      </c>
      <c r="P491" t="str">
        <f>"85142-7868"</f>
        <v>85142-7868</v>
      </c>
      <c r="Q491" t="s">
        <v>113</v>
      </c>
      <c r="R491" t="str">
        <f>"304-93-751"</f>
        <v>304-93-751</v>
      </c>
      <c r="S491" t="s">
        <v>2198</v>
      </c>
      <c r="T491" t="s">
        <v>2198</v>
      </c>
      <c r="U491">
        <v>2191</v>
      </c>
      <c r="W491">
        <v>3</v>
      </c>
      <c r="X491">
        <v>2014</v>
      </c>
      <c r="Z491">
        <v>1</v>
      </c>
      <c r="AC491" t="s">
        <v>115</v>
      </c>
      <c r="AD491">
        <v>3</v>
      </c>
      <c r="AE491" t="s">
        <v>115</v>
      </c>
      <c r="AH491" t="s">
        <v>116</v>
      </c>
      <c r="AI491" s="1">
        <v>80763</v>
      </c>
      <c r="AJ491" s="2">
        <v>0.22</v>
      </c>
      <c r="AK491" s="1">
        <v>369763</v>
      </c>
      <c r="AL491" t="s">
        <v>117</v>
      </c>
      <c r="AM491" t="s">
        <v>393</v>
      </c>
      <c r="AN491">
        <v>8450</v>
      </c>
      <c r="AO491">
        <v>0.19</v>
      </c>
      <c r="AR491">
        <v>1</v>
      </c>
      <c r="AS491" s="1">
        <v>27270</v>
      </c>
      <c r="AT491" s="1">
        <v>5450</v>
      </c>
      <c r="AU491" s="1">
        <v>21820</v>
      </c>
      <c r="AV491">
        <v>80.010000000000005</v>
      </c>
      <c r="AX491" s="1">
        <v>2498.34</v>
      </c>
      <c r="AY491" t="s">
        <v>192</v>
      </c>
      <c r="AZ491" t="s">
        <v>193</v>
      </c>
      <c r="BA491" t="s">
        <v>194</v>
      </c>
      <c r="BE491" s="3">
        <v>42075</v>
      </c>
      <c r="BF491" s="1">
        <v>289000</v>
      </c>
      <c r="BG491" t="s">
        <v>2199</v>
      </c>
      <c r="BH491" s="1">
        <v>131.9</v>
      </c>
      <c r="BI491" s="1">
        <v>289000</v>
      </c>
      <c r="BJ491" s="3">
        <v>42075</v>
      </c>
      <c r="BK491" t="s">
        <v>123</v>
      </c>
      <c r="BL491" t="str">
        <f>"2015.166211"</f>
        <v>2015.166211</v>
      </c>
      <c r="BM491" t="s">
        <v>2245</v>
      </c>
      <c r="BO491" t="s">
        <v>3394</v>
      </c>
      <c r="BS491">
        <v>30</v>
      </c>
      <c r="BW491" t="str">
        <f>""</f>
        <v/>
      </c>
      <c r="CH491" t="str">
        <f>""</f>
        <v/>
      </c>
      <c r="CS491" t="str">
        <f>""</f>
        <v/>
      </c>
    </row>
    <row r="492" spans="1:97" x14ac:dyDescent="0.25">
      <c r="A492" t="s">
        <v>305</v>
      </c>
      <c r="B492" t="s">
        <v>3395</v>
      </c>
      <c r="C492" t="s">
        <v>3396</v>
      </c>
      <c r="D492" t="s">
        <v>3395</v>
      </c>
      <c r="E492" t="s">
        <v>3397</v>
      </c>
      <c r="F492" t="s">
        <v>108</v>
      </c>
      <c r="H492" t="s">
        <v>3398</v>
      </c>
      <c r="I492" t="s">
        <v>203</v>
      </c>
      <c r="J492" t="s">
        <v>111</v>
      </c>
      <c r="K492" t="str">
        <f>"85298"</f>
        <v>85298</v>
      </c>
      <c r="L492" t="s">
        <v>681</v>
      </c>
      <c r="M492" t="s">
        <v>3398</v>
      </c>
      <c r="N492" t="s">
        <v>203</v>
      </c>
      <c r="O492" t="s">
        <v>111</v>
      </c>
      <c r="P492" t="str">
        <f>"85298"</f>
        <v>85298</v>
      </c>
      <c r="Q492" t="s">
        <v>113</v>
      </c>
      <c r="R492" t="str">
        <f>"304-75-918"</f>
        <v>304-75-918</v>
      </c>
      <c r="S492" t="s">
        <v>3399</v>
      </c>
      <c r="T492" t="s">
        <v>287</v>
      </c>
      <c r="U492">
        <v>4036</v>
      </c>
      <c r="W492">
        <v>5</v>
      </c>
      <c r="X492">
        <v>2015</v>
      </c>
      <c r="Z492">
        <v>2</v>
      </c>
      <c r="AC492" t="s">
        <v>115</v>
      </c>
      <c r="AD492">
        <v>4</v>
      </c>
      <c r="AE492" t="s">
        <v>115</v>
      </c>
      <c r="AH492" t="s">
        <v>116</v>
      </c>
      <c r="AI492" s="1">
        <v>68018</v>
      </c>
      <c r="AJ492" s="2">
        <v>0.12</v>
      </c>
      <c r="AK492" s="1">
        <v>573210</v>
      </c>
      <c r="AL492" t="s">
        <v>117</v>
      </c>
      <c r="AM492" t="s">
        <v>288</v>
      </c>
      <c r="AN492">
        <v>10252</v>
      </c>
      <c r="AO492">
        <v>0.24</v>
      </c>
      <c r="AR492">
        <v>1</v>
      </c>
      <c r="AS492" s="1">
        <v>43010</v>
      </c>
      <c r="AT492" s="1">
        <v>8600</v>
      </c>
      <c r="AU492" s="1">
        <v>34410</v>
      </c>
      <c r="AV492">
        <v>80</v>
      </c>
      <c r="AX492" s="1">
        <v>3580.82</v>
      </c>
      <c r="AY492" t="s">
        <v>289</v>
      </c>
      <c r="AZ492" t="s">
        <v>289</v>
      </c>
      <c r="BA492" t="s">
        <v>290</v>
      </c>
      <c r="BE492" s="3">
        <v>42221</v>
      </c>
      <c r="BF492" s="1">
        <v>458420</v>
      </c>
      <c r="BG492" t="s">
        <v>446</v>
      </c>
      <c r="BH492" s="1">
        <v>113.58</v>
      </c>
      <c r="BI492" s="1">
        <v>457452</v>
      </c>
      <c r="BJ492" s="3">
        <v>42635</v>
      </c>
      <c r="BK492" t="s">
        <v>123</v>
      </c>
      <c r="BL492" t="str">
        <f>"2016.690900"</f>
        <v>2016.690900</v>
      </c>
      <c r="BM492" t="s">
        <v>3400</v>
      </c>
      <c r="BO492" t="s">
        <v>3401</v>
      </c>
      <c r="BS492">
        <v>30</v>
      </c>
      <c r="BT492" s="1">
        <v>47740</v>
      </c>
      <c r="BU492" s="3">
        <v>42893</v>
      </c>
      <c r="BW492" t="str">
        <f>"2017.413802"</f>
        <v>2017.413802</v>
      </c>
      <c r="BX492" t="s">
        <v>135</v>
      </c>
      <c r="BZ492" t="s">
        <v>3402</v>
      </c>
      <c r="CC492" t="s">
        <v>1633</v>
      </c>
      <c r="CD492">
        <v>40</v>
      </c>
      <c r="CH492" t="str">
        <f>""</f>
        <v/>
      </c>
      <c r="CS492" t="str">
        <f>""</f>
        <v/>
      </c>
    </row>
    <row r="493" spans="1:97" x14ac:dyDescent="0.25">
      <c r="A493" t="s">
        <v>3403</v>
      </c>
      <c r="B493" t="s">
        <v>3404</v>
      </c>
      <c r="C493" t="s">
        <v>3405</v>
      </c>
      <c r="D493" t="s">
        <v>3404</v>
      </c>
      <c r="E493" t="s">
        <v>3406</v>
      </c>
      <c r="F493" t="s">
        <v>108</v>
      </c>
      <c r="H493" t="s">
        <v>3407</v>
      </c>
      <c r="I493" t="s">
        <v>203</v>
      </c>
      <c r="J493" t="s">
        <v>111</v>
      </c>
      <c r="K493" t="str">
        <f>"85298"</f>
        <v>85298</v>
      </c>
      <c r="L493" t="s">
        <v>721</v>
      </c>
      <c r="M493" t="s">
        <v>3407</v>
      </c>
      <c r="N493" t="s">
        <v>203</v>
      </c>
      <c r="O493" t="s">
        <v>111</v>
      </c>
      <c r="P493" t="str">
        <f>"85298-1007"</f>
        <v>85298-1007</v>
      </c>
      <c r="Q493" t="s">
        <v>113</v>
      </c>
      <c r="R493" t="str">
        <f>"304-88-833"</f>
        <v>304-88-833</v>
      </c>
      <c r="S493" t="s">
        <v>3381</v>
      </c>
      <c r="T493" t="s">
        <v>3381</v>
      </c>
      <c r="U493">
        <v>2709</v>
      </c>
      <c r="W493">
        <v>5</v>
      </c>
      <c r="X493">
        <v>2015</v>
      </c>
      <c r="Z493">
        <v>1</v>
      </c>
      <c r="AC493" t="s">
        <v>115</v>
      </c>
      <c r="AD493">
        <v>3</v>
      </c>
      <c r="AE493" t="s">
        <v>115</v>
      </c>
      <c r="AH493" t="s">
        <v>116</v>
      </c>
      <c r="AI493" s="1">
        <v>171011</v>
      </c>
      <c r="AJ493" s="2">
        <v>0.34</v>
      </c>
      <c r="AK493" s="1">
        <v>496011</v>
      </c>
      <c r="AL493" t="s">
        <v>117</v>
      </c>
      <c r="AM493" t="s">
        <v>1302</v>
      </c>
      <c r="AN493">
        <v>12367</v>
      </c>
      <c r="AO493">
        <v>0.28000000000000003</v>
      </c>
      <c r="AR493">
        <v>1</v>
      </c>
      <c r="AS493" s="1">
        <v>36950</v>
      </c>
      <c r="AT493" s="1">
        <v>7390</v>
      </c>
      <c r="AU493" s="1">
        <v>29560</v>
      </c>
      <c r="AV493">
        <v>80</v>
      </c>
      <c r="AX493" s="1">
        <v>2706.78</v>
      </c>
      <c r="AY493" t="s">
        <v>272</v>
      </c>
      <c r="AZ493" t="s">
        <v>273</v>
      </c>
      <c r="BA493" t="s">
        <v>274</v>
      </c>
      <c r="BE493" s="3">
        <v>42233</v>
      </c>
      <c r="BF493" s="1">
        <v>399363</v>
      </c>
      <c r="BG493" t="s">
        <v>275</v>
      </c>
      <c r="BH493" s="1">
        <v>147.41999999999999</v>
      </c>
      <c r="BI493" s="1">
        <v>325000</v>
      </c>
      <c r="BJ493" s="3">
        <v>42577</v>
      </c>
      <c r="BK493" t="s">
        <v>123</v>
      </c>
      <c r="BL493" t="str">
        <f>"2016.524779"</f>
        <v>2016.524779</v>
      </c>
      <c r="BM493" t="s">
        <v>248</v>
      </c>
      <c r="BO493" t="s">
        <v>3408</v>
      </c>
      <c r="BS493">
        <v>30</v>
      </c>
      <c r="BW493" t="str">
        <f>""</f>
        <v/>
      </c>
      <c r="CH493" t="str">
        <f>""</f>
        <v/>
      </c>
      <c r="CS493" t="str">
        <f>""</f>
        <v/>
      </c>
    </row>
    <row r="494" spans="1:97" x14ac:dyDescent="0.25">
      <c r="A494" t="s">
        <v>211</v>
      </c>
      <c r="B494" t="s">
        <v>3409</v>
      </c>
      <c r="C494" t="s">
        <v>3410</v>
      </c>
      <c r="D494" t="s">
        <v>3411</v>
      </c>
      <c r="E494" t="s">
        <v>3412</v>
      </c>
      <c r="F494" t="s">
        <v>139</v>
      </c>
      <c r="H494" t="s">
        <v>3413</v>
      </c>
      <c r="I494" t="s">
        <v>203</v>
      </c>
      <c r="J494" t="s">
        <v>111</v>
      </c>
      <c r="K494" t="str">
        <f>"85298"</f>
        <v>85298</v>
      </c>
      <c r="L494" t="s">
        <v>721</v>
      </c>
      <c r="M494" t="s">
        <v>3413</v>
      </c>
      <c r="N494" t="s">
        <v>203</v>
      </c>
      <c r="O494" t="s">
        <v>111</v>
      </c>
      <c r="P494" t="str">
        <f>"85298-1005"</f>
        <v>85298-1005</v>
      </c>
      <c r="Q494" t="s">
        <v>113</v>
      </c>
      <c r="R494" t="str">
        <f>"304-88-844"</f>
        <v>304-88-844</v>
      </c>
      <c r="S494" t="s">
        <v>3381</v>
      </c>
      <c r="T494" t="s">
        <v>3381</v>
      </c>
      <c r="U494">
        <v>3180</v>
      </c>
      <c r="W494">
        <v>5</v>
      </c>
      <c r="X494">
        <v>2015</v>
      </c>
      <c r="Z494">
        <v>1</v>
      </c>
      <c r="AA494" t="s">
        <v>26</v>
      </c>
      <c r="AC494" t="s">
        <v>115</v>
      </c>
      <c r="AD494">
        <v>3</v>
      </c>
      <c r="AE494" t="s">
        <v>115</v>
      </c>
      <c r="AH494" t="s">
        <v>116</v>
      </c>
      <c r="AI494" s="1">
        <v>220420</v>
      </c>
      <c r="AJ494" s="2">
        <v>0.38</v>
      </c>
      <c r="AK494" s="1">
        <v>585637</v>
      </c>
      <c r="AL494" t="s">
        <v>117</v>
      </c>
      <c r="AM494" t="s">
        <v>1302</v>
      </c>
      <c r="AN494">
        <v>12194</v>
      </c>
      <c r="AO494">
        <v>0.28000000000000003</v>
      </c>
      <c r="AR494">
        <v>1</v>
      </c>
      <c r="AS494" s="1">
        <v>44530</v>
      </c>
      <c r="AT494" s="1">
        <v>8900</v>
      </c>
      <c r="AU494" s="1">
        <v>35630</v>
      </c>
      <c r="AV494">
        <v>80.010000000000005</v>
      </c>
      <c r="AX494" s="1">
        <v>2905.96</v>
      </c>
      <c r="AY494" t="s">
        <v>272</v>
      </c>
      <c r="AZ494" t="s">
        <v>273</v>
      </c>
      <c r="BA494" t="s">
        <v>274</v>
      </c>
      <c r="BB494" s="3">
        <v>43236</v>
      </c>
      <c r="BC494" s="1">
        <v>0</v>
      </c>
      <c r="BD494" t="s">
        <v>247</v>
      </c>
      <c r="BE494" s="3">
        <v>42158</v>
      </c>
      <c r="BF494" s="1">
        <v>424363</v>
      </c>
      <c r="BG494" t="s">
        <v>275</v>
      </c>
      <c r="BH494" s="1">
        <v>133.44999999999999</v>
      </c>
      <c r="BI494" s="1">
        <v>365217</v>
      </c>
      <c r="BJ494" s="3">
        <v>42158</v>
      </c>
      <c r="BK494" t="s">
        <v>123</v>
      </c>
      <c r="BL494" t="str">
        <f>"2015.396478"</f>
        <v>2015.396478</v>
      </c>
      <c r="BM494" t="s">
        <v>651</v>
      </c>
      <c r="BN494" t="s">
        <v>652</v>
      </c>
      <c r="BO494" t="s">
        <v>3414</v>
      </c>
      <c r="BS494">
        <v>30</v>
      </c>
      <c r="BW494" t="str">
        <f>""</f>
        <v/>
      </c>
      <c r="CH494" t="str">
        <f>""</f>
        <v/>
      </c>
      <c r="CS494" t="str">
        <f>""</f>
        <v/>
      </c>
    </row>
    <row r="495" spans="1:97" x14ac:dyDescent="0.25">
      <c r="A495" t="s">
        <v>1083</v>
      </c>
      <c r="B495" t="s">
        <v>3415</v>
      </c>
      <c r="C495" t="s">
        <v>3416</v>
      </c>
      <c r="D495" t="s">
        <v>3415</v>
      </c>
      <c r="E495" t="s">
        <v>3417</v>
      </c>
      <c r="F495" t="s">
        <v>108</v>
      </c>
      <c r="H495" t="s">
        <v>3418</v>
      </c>
      <c r="I495" t="s">
        <v>453</v>
      </c>
      <c r="J495" t="s">
        <v>111</v>
      </c>
      <c r="K495" t="str">
        <f>"85383"</f>
        <v>85383</v>
      </c>
      <c r="L495" t="s">
        <v>3326</v>
      </c>
      <c r="M495" t="s">
        <v>3418</v>
      </c>
      <c r="N495" t="s">
        <v>453</v>
      </c>
      <c r="O495" t="s">
        <v>111</v>
      </c>
      <c r="P495" t="str">
        <f>"85383-1476"</f>
        <v>85383-1476</v>
      </c>
      <c r="Q495" t="s">
        <v>113</v>
      </c>
      <c r="R495" t="str">
        <f>"200-13-593"</f>
        <v>200-13-593</v>
      </c>
      <c r="S495" t="s">
        <v>3327</v>
      </c>
      <c r="U495">
        <v>2549</v>
      </c>
      <c r="W495">
        <v>4</v>
      </c>
      <c r="X495">
        <v>2015</v>
      </c>
      <c r="Z495">
        <v>1</v>
      </c>
      <c r="AC495" t="s">
        <v>115</v>
      </c>
      <c r="AD495">
        <v>3</v>
      </c>
      <c r="AE495" t="s">
        <v>115</v>
      </c>
      <c r="AH495" t="s">
        <v>116</v>
      </c>
      <c r="AI495" s="1">
        <v>42561</v>
      </c>
      <c r="AJ495" s="2">
        <v>0.1</v>
      </c>
      <c r="AK495" s="1">
        <v>446561</v>
      </c>
      <c r="AL495" t="s">
        <v>117</v>
      </c>
      <c r="AM495" t="s">
        <v>3111</v>
      </c>
      <c r="AN495">
        <v>10580</v>
      </c>
      <c r="AO495">
        <v>0.24</v>
      </c>
      <c r="AR495">
        <v>1</v>
      </c>
      <c r="AS495" s="1">
        <v>32500</v>
      </c>
      <c r="AT495" s="1">
        <v>6500</v>
      </c>
      <c r="AU495" s="1">
        <v>26000</v>
      </c>
      <c r="AV495">
        <v>80</v>
      </c>
      <c r="AX495" s="1">
        <v>2685.14</v>
      </c>
      <c r="AY495" t="s">
        <v>1808</v>
      </c>
      <c r="AZ495" t="s">
        <v>1808</v>
      </c>
      <c r="BA495" t="s">
        <v>457</v>
      </c>
      <c r="BE495" s="3">
        <v>42222</v>
      </c>
      <c r="BF495" s="1">
        <v>382311</v>
      </c>
      <c r="BG495" t="s">
        <v>3328</v>
      </c>
      <c r="BH495" s="1">
        <v>149.97999999999999</v>
      </c>
      <c r="BI495" s="1">
        <v>404000</v>
      </c>
      <c r="BJ495" s="3">
        <v>43269</v>
      </c>
      <c r="BK495" t="s">
        <v>123</v>
      </c>
      <c r="BL495" t="str">
        <f>"2018.463359"</f>
        <v>2018.463359</v>
      </c>
      <c r="BM495" t="s">
        <v>3040</v>
      </c>
      <c r="BN495" t="s">
        <v>3041</v>
      </c>
      <c r="BO495" t="s">
        <v>3419</v>
      </c>
      <c r="BP495" t="s">
        <v>3420</v>
      </c>
      <c r="BR495" t="s">
        <v>139</v>
      </c>
      <c r="BW495" t="str">
        <f>""</f>
        <v/>
      </c>
      <c r="CH495" t="str">
        <f>""</f>
        <v/>
      </c>
      <c r="CS495" t="str">
        <f>""</f>
        <v/>
      </c>
    </row>
    <row r="496" spans="1:97" x14ac:dyDescent="0.25">
      <c r="B496" t="s">
        <v>3421</v>
      </c>
      <c r="E496" t="s">
        <v>659</v>
      </c>
      <c r="F496" t="s">
        <v>108</v>
      </c>
      <c r="H496" t="s">
        <v>3422</v>
      </c>
      <c r="I496" t="s">
        <v>453</v>
      </c>
      <c r="J496" t="s">
        <v>111</v>
      </c>
      <c r="K496" t="str">
        <f>"85383"</f>
        <v>85383</v>
      </c>
      <c r="L496" t="s">
        <v>688</v>
      </c>
      <c r="M496" t="s">
        <v>3422</v>
      </c>
      <c r="N496" t="s">
        <v>453</v>
      </c>
      <c r="O496" t="s">
        <v>111</v>
      </c>
      <c r="P496" t="str">
        <f>"85383-3323"</f>
        <v>85383-3323</v>
      </c>
      <c r="Q496" t="s">
        <v>113</v>
      </c>
      <c r="R496" t="str">
        <f>"200-19-730"</f>
        <v>200-19-730</v>
      </c>
      <c r="S496" t="s">
        <v>3060</v>
      </c>
      <c r="T496" t="s">
        <v>3061</v>
      </c>
      <c r="U496">
        <v>2974</v>
      </c>
      <c r="W496">
        <v>5</v>
      </c>
      <c r="X496">
        <v>2015</v>
      </c>
      <c r="Z496">
        <v>2</v>
      </c>
      <c r="AC496" t="s">
        <v>115</v>
      </c>
      <c r="AD496">
        <v>2</v>
      </c>
      <c r="AE496" t="s">
        <v>115</v>
      </c>
      <c r="AH496" t="s">
        <v>116</v>
      </c>
      <c r="AI496" s="1">
        <v>91879</v>
      </c>
      <c r="AJ496" s="2">
        <v>0.22</v>
      </c>
      <c r="AK496" s="1">
        <v>416129</v>
      </c>
      <c r="AL496" t="s">
        <v>117</v>
      </c>
      <c r="AM496" t="s">
        <v>118</v>
      </c>
      <c r="AN496">
        <v>5175</v>
      </c>
      <c r="AO496">
        <v>0.12</v>
      </c>
      <c r="AR496">
        <v>1</v>
      </c>
      <c r="AS496" s="1">
        <v>31420</v>
      </c>
      <c r="AT496" s="1">
        <v>6280</v>
      </c>
      <c r="AU496" s="1">
        <v>25140</v>
      </c>
      <c r="AV496">
        <v>80.010000000000005</v>
      </c>
      <c r="AX496" s="1">
        <v>2135.2199999999998</v>
      </c>
      <c r="AY496" t="s">
        <v>1808</v>
      </c>
      <c r="AZ496" t="s">
        <v>1808</v>
      </c>
      <c r="BA496" t="s">
        <v>457</v>
      </c>
      <c r="BB496" s="3">
        <v>42627</v>
      </c>
      <c r="BD496" t="s">
        <v>480</v>
      </c>
      <c r="BE496" s="3">
        <v>42424</v>
      </c>
      <c r="BF496" s="1">
        <v>344303</v>
      </c>
      <c r="BG496" t="s">
        <v>3062</v>
      </c>
      <c r="BH496" s="1">
        <v>115.77</v>
      </c>
      <c r="BI496" s="1">
        <v>324250</v>
      </c>
      <c r="BJ496" s="3">
        <v>42424</v>
      </c>
      <c r="BK496" t="s">
        <v>123</v>
      </c>
      <c r="BL496" t="str">
        <f>"2016.115511"</f>
        <v>2016.115511</v>
      </c>
      <c r="BM496" t="s">
        <v>2245</v>
      </c>
      <c r="BO496" t="s">
        <v>3423</v>
      </c>
      <c r="BS496">
        <v>30</v>
      </c>
      <c r="BW496" t="str">
        <f>""</f>
        <v/>
      </c>
      <c r="CH496" t="str">
        <f>""</f>
        <v/>
      </c>
      <c r="CS496" t="str">
        <f>""</f>
        <v/>
      </c>
    </row>
    <row r="497" spans="1:97" x14ac:dyDescent="0.25">
      <c r="A497" t="s">
        <v>3089</v>
      </c>
      <c r="B497" t="s">
        <v>3424</v>
      </c>
      <c r="C497" t="s">
        <v>365</v>
      </c>
      <c r="D497" t="s">
        <v>3424</v>
      </c>
      <c r="E497" t="s">
        <v>3425</v>
      </c>
      <c r="F497" t="s">
        <v>108</v>
      </c>
      <c r="H497" t="s">
        <v>3426</v>
      </c>
      <c r="I497" t="s">
        <v>144</v>
      </c>
      <c r="J497" t="s">
        <v>111</v>
      </c>
      <c r="K497" t="str">
        <f>"85396"</f>
        <v>85396</v>
      </c>
      <c r="L497" t="s">
        <v>3094</v>
      </c>
      <c r="M497" t="s">
        <v>3426</v>
      </c>
      <c r="N497" t="s">
        <v>144</v>
      </c>
      <c r="O497" t="s">
        <v>111</v>
      </c>
      <c r="P497" t="str">
        <f>"85396-6562"</f>
        <v>85396-6562</v>
      </c>
      <c r="Q497" t="s">
        <v>113</v>
      </c>
      <c r="R497" t="str">
        <f>"502-82-597"</f>
        <v>502-82-597</v>
      </c>
      <c r="S497" t="s">
        <v>3095</v>
      </c>
      <c r="U497">
        <v>3188</v>
      </c>
      <c r="W497">
        <v>5</v>
      </c>
      <c r="X497">
        <v>2015</v>
      </c>
      <c r="Z497">
        <v>1</v>
      </c>
      <c r="AC497" t="s">
        <v>115</v>
      </c>
      <c r="AD497">
        <v>3</v>
      </c>
      <c r="AE497" t="s">
        <v>115</v>
      </c>
      <c r="AH497" t="s">
        <v>116</v>
      </c>
      <c r="AI497" s="1">
        <v>-100503</v>
      </c>
      <c r="AJ497" s="2">
        <v>-0.18</v>
      </c>
      <c r="AK497" s="1">
        <v>573747</v>
      </c>
      <c r="AL497" t="s">
        <v>117</v>
      </c>
      <c r="AM497" t="s">
        <v>118</v>
      </c>
      <c r="AN497">
        <v>13305</v>
      </c>
      <c r="AO497">
        <v>0.3</v>
      </c>
      <c r="AR497">
        <v>1</v>
      </c>
      <c r="AS497" s="1">
        <v>48180</v>
      </c>
      <c r="AT497" s="1">
        <v>9630</v>
      </c>
      <c r="AU497" s="1">
        <v>38550</v>
      </c>
      <c r="AV497">
        <v>80.010000000000005</v>
      </c>
      <c r="AX497" s="1">
        <v>5643.28</v>
      </c>
      <c r="AY497" t="s">
        <v>543</v>
      </c>
      <c r="AZ497" t="s">
        <v>504</v>
      </c>
      <c r="BA497" t="s">
        <v>218</v>
      </c>
      <c r="BE497" s="3">
        <v>42199</v>
      </c>
      <c r="BF497" s="1">
        <v>806548</v>
      </c>
      <c r="BG497" t="s">
        <v>1238</v>
      </c>
      <c r="BH497" s="1">
        <v>252.99</v>
      </c>
      <c r="BI497" s="1">
        <v>674250</v>
      </c>
      <c r="BJ497" s="3">
        <v>42199</v>
      </c>
      <c r="BK497" t="s">
        <v>123</v>
      </c>
      <c r="BL497" t="str">
        <f>"2015.506144"</f>
        <v>2015.506144</v>
      </c>
      <c r="BM497" t="s">
        <v>475</v>
      </c>
      <c r="BO497" t="s">
        <v>3427</v>
      </c>
      <c r="BS497">
        <v>30</v>
      </c>
      <c r="BW497" t="str">
        <f>""</f>
        <v/>
      </c>
      <c r="CH497" t="str">
        <f>""</f>
        <v/>
      </c>
      <c r="CS497" t="str">
        <f>""</f>
        <v/>
      </c>
    </row>
    <row r="498" spans="1:97" x14ac:dyDescent="0.25">
      <c r="B498" t="s">
        <v>3428</v>
      </c>
      <c r="E498" t="s">
        <v>371</v>
      </c>
      <c r="F498" t="s">
        <v>108</v>
      </c>
      <c r="H498" t="s">
        <v>3429</v>
      </c>
      <c r="I498" t="s">
        <v>390</v>
      </c>
      <c r="J498" t="s">
        <v>111</v>
      </c>
      <c r="K498" t="str">
        <f>"85045"</f>
        <v>85045</v>
      </c>
      <c r="L498" t="s">
        <v>3430</v>
      </c>
      <c r="M498" t="s">
        <v>3429</v>
      </c>
      <c r="N498" t="s">
        <v>390</v>
      </c>
      <c r="O498" t="s">
        <v>111</v>
      </c>
      <c r="P498" t="str">
        <f>"85045"</f>
        <v>85045</v>
      </c>
      <c r="Q498" t="s">
        <v>113</v>
      </c>
      <c r="R498" t="str">
        <f>"311-02-861"</f>
        <v>311-02-861</v>
      </c>
      <c r="S498" t="s">
        <v>3431</v>
      </c>
      <c r="U498">
        <v>2904</v>
      </c>
      <c r="W498">
        <v>4</v>
      </c>
      <c r="X498">
        <v>2015</v>
      </c>
      <c r="Z498">
        <v>2</v>
      </c>
      <c r="AC498" t="s">
        <v>115</v>
      </c>
      <c r="AD498">
        <v>2</v>
      </c>
      <c r="AE498" t="s">
        <v>115</v>
      </c>
      <c r="AH498" t="s">
        <v>116</v>
      </c>
      <c r="AI498" s="1">
        <v>119076</v>
      </c>
      <c r="AJ498" s="2">
        <v>0.28000000000000003</v>
      </c>
      <c r="AK498" s="1">
        <v>428901</v>
      </c>
      <c r="AL498" t="s">
        <v>117</v>
      </c>
      <c r="AM498" t="s">
        <v>118</v>
      </c>
      <c r="AN498">
        <v>4725</v>
      </c>
      <c r="AO498">
        <v>0.11</v>
      </c>
      <c r="AR498">
        <v>1</v>
      </c>
      <c r="AS498" s="1">
        <v>30620</v>
      </c>
      <c r="AT498" s="1">
        <v>6120</v>
      </c>
      <c r="AU498" s="1">
        <v>24500</v>
      </c>
      <c r="AV498">
        <v>80.010000000000005</v>
      </c>
      <c r="AX498" s="1">
        <v>2831.9</v>
      </c>
      <c r="AY498" t="s">
        <v>2966</v>
      </c>
      <c r="AZ498" t="s">
        <v>2967</v>
      </c>
      <c r="BA498" t="s">
        <v>930</v>
      </c>
      <c r="BB498" s="3">
        <v>42433</v>
      </c>
      <c r="BD498" t="s">
        <v>480</v>
      </c>
      <c r="BE498" s="3">
        <v>42117</v>
      </c>
      <c r="BF498" s="1">
        <v>356490</v>
      </c>
      <c r="BG498" t="s">
        <v>195</v>
      </c>
      <c r="BH498" s="1">
        <v>122.76</v>
      </c>
      <c r="BI498" s="1">
        <v>309825</v>
      </c>
      <c r="BJ498" s="3">
        <v>42117</v>
      </c>
      <c r="BK498" t="s">
        <v>123</v>
      </c>
      <c r="BL498" t="str">
        <f>"2015.280479"</f>
        <v>2015.280479</v>
      </c>
      <c r="BM498" t="s">
        <v>196</v>
      </c>
      <c r="BO498" t="s">
        <v>3432</v>
      </c>
      <c r="BS498">
        <v>30</v>
      </c>
      <c r="BW498" t="str">
        <f>""</f>
        <v/>
      </c>
      <c r="CH498" t="str">
        <f>""</f>
        <v/>
      </c>
      <c r="CS498" t="str">
        <f>""</f>
        <v/>
      </c>
    </row>
    <row r="499" spans="1:97" x14ac:dyDescent="0.25">
      <c r="B499" t="s">
        <v>3433</v>
      </c>
      <c r="E499" t="s">
        <v>3433</v>
      </c>
      <c r="F499" t="s">
        <v>108</v>
      </c>
      <c r="H499" t="s">
        <v>3434</v>
      </c>
      <c r="I499" t="s">
        <v>453</v>
      </c>
      <c r="J499" t="s">
        <v>111</v>
      </c>
      <c r="K499" t="str">
        <f>"85383"</f>
        <v>85383</v>
      </c>
      <c r="L499" t="s">
        <v>688</v>
      </c>
      <c r="M499" t="s">
        <v>3434</v>
      </c>
      <c r="N499" t="s">
        <v>453</v>
      </c>
      <c r="O499" t="s">
        <v>111</v>
      </c>
      <c r="P499" t="str">
        <f>"85383-2986"</f>
        <v>85383-2986</v>
      </c>
      <c r="Q499" t="s">
        <v>113</v>
      </c>
      <c r="R499" t="str">
        <f>"200-17-903"</f>
        <v>200-17-903</v>
      </c>
      <c r="S499" t="s">
        <v>3245</v>
      </c>
      <c r="T499" t="s">
        <v>1807</v>
      </c>
      <c r="U499">
        <v>4261</v>
      </c>
      <c r="W499">
        <v>5</v>
      </c>
      <c r="X499">
        <v>2015</v>
      </c>
      <c r="Z499">
        <v>2</v>
      </c>
      <c r="AA499" t="s">
        <v>26</v>
      </c>
      <c r="AC499" t="s">
        <v>115</v>
      </c>
      <c r="AD499">
        <v>3</v>
      </c>
      <c r="AE499" t="s">
        <v>115</v>
      </c>
      <c r="AH499" t="s">
        <v>116</v>
      </c>
      <c r="AI499" s="1">
        <v>67854</v>
      </c>
      <c r="AJ499" s="2">
        <v>0.11</v>
      </c>
      <c r="AK499" s="1">
        <v>620509</v>
      </c>
      <c r="AL499" t="s">
        <v>117</v>
      </c>
      <c r="AM499" t="s">
        <v>118</v>
      </c>
      <c r="AN499">
        <v>13477</v>
      </c>
      <c r="AO499">
        <v>0.31</v>
      </c>
      <c r="AR499">
        <v>1</v>
      </c>
      <c r="AS499" s="1">
        <v>48500</v>
      </c>
      <c r="AT499" s="1">
        <v>9700</v>
      </c>
      <c r="AU499" s="1">
        <v>38800</v>
      </c>
      <c r="AV499">
        <v>80</v>
      </c>
      <c r="AX499" s="1">
        <v>3548.96</v>
      </c>
      <c r="AY499" t="s">
        <v>1808</v>
      </c>
      <c r="AZ499" t="s">
        <v>1808</v>
      </c>
      <c r="BA499" t="s">
        <v>457</v>
      </c>
      <c r="BE499" s="3">
        <v>42122</v>
      </c>
      <c r="BF499" s="1">
        <v>498397</v>
      </c>
      <c r="BG499" t="s">
        <v>209</v>
      </c>
      <c r="BH499" s="1">
        <v>116.97</v>
      </c>
      <c r="BI499" s="1">
        <v>552655</v>
      </c>
      <c r="BJ499" s="3">
        <v>43640</v>
      </c>
      <c r="BK499" t="s">
        <v>123</v>
      </c>
      <c r="BL499" t="str">
        <f>"2019.471820"</f>
        <v>2019.471820</v>
      </c>
      <c r="BM499" t="s">
        <v>1809</v>
      </c>
      <c r="BN499" t="s">
        <v>1810</v>
      </c>
      <c r="BO499" t="s">
        <v>3435</v>
      </c>
      <c r="BP499" t="s">
        <v>3436</v>
      </c>
      <c r="BR499" t="s">
        <v>139</v>
      </c>
      <c r="BW499" t="str">
        <f>""</f>
        <v/>
      </c>
      <c r="CH499" t="str">
        <f>""</f>
        <v/>
      </c>
      <c r="CS499" t="str">
        <f>""</f>
        <v/>
      </c>
    </row>
    <row r="500" spans="1:97" x14ac:dyDescent="0.25">
      <c r="B500" t="s">
        <v>3437</v>
      </c>
      <c r="E500" t="s">
        <v>3438</v>
      </c>
      <c r="F500" t="s">
        <v>108</v>
      </c>
      <c r="H500" t="s">
        <v>3439</v>
      </c>
      <c r="I500" t="s">
        <v>225</v>
      </c>
      <c r="J500" t="s">
        <v>111</v>
      </c>
      <c r="K500" t="str">
        <f>"85207"</f>
        <v>85207</v>
      </c>
      <c r="L500" t="s">
        <v>3116</v>
      </c>
      <c r="M500" t="s">
        <v>3439</v>
      </c>
      <c r="N500" t="s">
        <v>225</v>
      </c>
      <c r="O500" t="s">
        <v>111</v>
      </c>
      <c r="P500" t="str">
        <f>"85207-4044"</f>
        <v>85207-4044</v>
      </c>
      <c r="Q500" t="s">
        <v>113</v>
      </c>
      <c r="R500" t="str">
        <f>"219-49-513"</f>
        <v>219-49-513</v>
      </c>
      <c r="S500" t="s">
        <v>3117</v>
      </c>
      <c r="U500">
        <v>2375</v>
      </c>
      <c r="W500">
        <v>4</v>
      </c>
      <c r="X500">
        <v>2014</v>
      </c>
      <c r="Z500">
        <v>1</v>
      </c>
      <c r="AC500" t="s">
        <v>115</v>
      </c>
      <c r="AD500">
        <v>3</v>
      </c>
      <c r="AE500" t="s">
        <v>115</v>
      </c>
      <c r="AH500" t="s">
        <v>116</v>
      </c>
      <c r="AI500" s="1">
        <v>90874</v>
      </c>
      <c r="AJ500" s="2">
        <v>0.17</v>
      </c>
      <c r="AK500" s="1">
        <v>549782</v>
      </c>
      <c r="AL500" t="s">
        <v>117</v>
      </c>
      <c r="AM500" t="s">
        <v>1521</v>
      </c>
      <c r="AN500">
        <v>7778</v>
      </c>
      <c r="AO500">
        <v>0.18</v>
      </c>
      <c r="AR500">
        <v>1</v>
      </c>
      <c r="AS500" s="1">
        <v>40020</v>
      </c>
      <c r="AT500" s="1">
        <v>8000</v>
      </c>
      <c r="AU500" s="1">
        <v>32020</v>
      </c>
      <c r="AV500">
        <v>80.010000000000005</v>
      </c>
      <c r="AX500" s="1">
        <v>3415.48</v>
      </c>
      <c r="AY500" t="s">
        <v>3118</v>
      </c>
      <c r="AZ500" t="s">
        <v>231</v>
      </c>
      <c r="BA500" t="s">
        <v>3119</v>
      </c>
      <c r="BB500" s="3">
        <v>43395</v>
      </c>
      <c r="BC500" s="1">
        <v>0</v>
      </c>
      <c r="BD500" t="s">
        <v>247</v>
      </c>
      <c r="BE500" s="3">
        <v>42117</v>
      </c>
      <c r="BF500" s="1">
        <v>440739</v>
      </c>
      <c r="BG500" t="s">
        <v>3120</v>
      </c>
      <c r="BH500" s="1">
        <v>185.57</v>
      </c>
      <c r="BI500" s="1">
        <v>458908</v>
      </c>
      <c r="BJ500" s="3">
        <v>42647</v>
      </c>
      <c r="BK500" t="s">
        <v>123</v>
      </c>
      <c r="BL500" t="str">
        <f>"2016.724437"</f>
        <v>2016.724437</v>
      </c>
      <c r="BM500" t="s">
        <v>1038</v>
      </c>
      <c r="BN500" t="s">
        <v>3440</v>
      </c>
      <c r="BO500" t="s">
        <v>3441</v>
      </c>
      <c r="BP500" t="s">
        <v>3442</v>
      </c>
      <c r="BS500">
        <v>30</v>
      </c>
      <c r="BW500" t="str">
        <f>""</f>
        <v/>
      </c>
      <c r="CH500" t="str">
        <f>""</f>
        <v/>
      </c>
      <c r="CS500" t="str">
        <f>""</f>
        <v/>
      </c>
    </row>
    <row r="501" spans="1:97" x14ac:dyDescent="0.25">
      <c r="A501" t="s">
        <v>3221</v>
      </c>
      <c r="B501" t="s">
        <v>3443</v>
      </c>
      <c r="C501" t="s">
        <v>3444</v>
      </c>
      <c r="D501" t="s">
        <v>3445</v>
      </c>
      <c r="E501" t="s">
        <v>3446</v>
      </c>
      <c r="F501" t="s">
        <v>108</v>
      </c>
      <c r="H501" t="s">
        <v>3447</v>
      </c>
      <c r="I501" t="s">
        <v>225</v>
      </c>
      <c r="J501" t="s">
        <v>111</v>
      </c>
      <c r="K501" t="str">
        <f>"85212"</f>
        <v>85212</v>
      </c>
      <c r="L501" t="s">
        <v>3140</v>
      </c>
      <c r="M501" t="s">
        <v>3447</v>
      </c>
      <c r="N501" t="s">
        <v>225</v>
      </c>
      <c r="O501" t="s">
        <v>111</v>
      </c>
      <c r="P501" t="str">
        <f>"85212-8236"</f>
        <v>85212-8236</v>
      </c>
      <c r="Q501" t="s">
        <v>113</v>
      </c>
      <c r="R501" t="str">
        <f>"312-13-397"</f>
        <v>312-13-397</v>
      </c>
      <c r="S501" t="s">
        <v>3200</v>
      </c>
      <c r="T501" t="s">
        <v>3142</v>
      </c>
      <c r="U501">
        <v>2668</v>
      </c>
      <c r="W501">
        <v>4</v>
      </c>
      <c r="X501">
        <v>2015</v>
      </c>
      <c r="Z501">
        <v>1</v>
      </c>
      <c r="AC501" t="s">
        <v>115</v>
      </c>
      <c r="AD501">
        <v>3</v>
      </c>
      <c r="AE501" t="s">
        <v>115</v>
      </c>
      <c r="AH501" t="s">
        <v>116</v>
      </c>
      <c r="AI501" s="1">
        <v>87507</v>
      </c>
      <c r="AJ501" s="2">
        <v>0.2</v>
      </c>
      <c r="AK501" s="1">
        <v>428608</v>
      </c>
      <c r="AL501" t="s">
        <v>117</v>
      </c>
      <c r="AM501" t="s">
        <v>191</v>
      </c>
      <c r="AN501">
        <v>9147</v>
      </c>
      <c r="AO501">
        <v>0.21</v>
      </c>
      <c r="AR501">
        <v>1</v>
      </c>
      <c r="AS501" s="1">
        <v>30900</v>
      </c>
      <c r="AT501" s="1">
        <v>6180</v>
      </c>
      <c r="AU501" s="1">
        <v>24720</v>
      </c>
      <c r="AV501">
        <v>80</v>
      </c>
      <c r="AX501" s="1">
        <v>2692.42</v>
      </c>
      <c r="AY501" t="s">
        <v>560</v>
      </c>
      <c r="AZ501" t="s">
        <v>561</v>
      </c>
      <c r="BA501" t="s">
        <v>194</v>
      </c>
      <c r="BE501" s="3">
        <v>42136</v>
      </c>
      <c r="BF501" s="1">
        <v>385390</v>
      </c>
      <c r="BG501" t="s">
        <v>446</v>
      </c>
      <c r="BH501" s="1">
        <v>144.44999999999999</v>
      </c>
      <c r="BI501" s="1">
        <v>341101</v>
      </c>
      <c r="BJ501" s="3">
        <v>42136</v>
      </c>
      <c r="BK501" t="s">
        <v>123</v>
      </c>
      <c r="BL501" t="str">
        <f>"2015.331402"</f>
        <v>2015.331402</v>
      </c>
      <c r="BM501" t="s">
        <v>573</v>
      </c>
      <c r="BO501" t="s">
        <v>3448</v>
      </c>
      <c r="BP501" t="s">
        <v>3449</v>
      </c>
      <c r="BS501">
        <v>30</v>
      </c>
      <c r="BW501" t="str">
        <f>""</f>
        <v/>
      </c>
      <c r="CH501" t="str">
        <f>""</f>
        <v/>
      </c>
      <c r="CS501" t="str">
        <f>""</f>
        <v/>
      </c>
    </row>
    <row r="502" spans="1:97" x14ac:dyDescent="0.25">
      <c r="B502" t="s">
        <v>3450</v>
      </c>
      <c r="E502" t="s">
        <v>3451</v>
      </c>
      <c r="F502" t="s">
        <v>108</v>
      </c>
      <c r="H502" t="s">
        <v>3452</v>
      </c>
      <c r="I502" t="s">
        <v>390</v>
      </c>
      <c r="J502" t="s">
        <v>111</v>
      </c>
      <c r="K502" t="str">
        <f>"85045"</f>
        <v>85045</v>
      </c>
      <c r="L502" t="s">
        <v>3430</v>
      </c>
      <c r="M502" t="s">
        <v>3452</v>
      </c>
      <c r="N502" t="s">
        <v>390</v>
      </c>
      <c r="O502" t="s">
        <v>111</v>
      </c>
      <c r="P502" t="str">
        <f>"85045"</f>
        <v>85045</v>
      </c>
      <c r="Q502" t="s">
        <v>113</v>
      </c>
      <c r="R502" t="str">
        <f>"311-02-851"</f>
        <v>311-02-851</v>
      </c>
      <c r="S502" t="s">
        <v>3431</v>
      </c>
      <c r="U502">
        <v>1937</v>
      </c>
      <c r="W502">
        <v>4</v>
      </c>
      <c r="X502">
        <v>2014</v>
      </c>
      <c r="Z502">
        <v>1</v>
      </c>
      <c r="AC502" t="s">
        <v>115</v>
      </c>
      <c r="AD502">
        <v>2</v>
      </c>
      <c r="AE502" t="s">
        <v>115</v>
      </c>
      <c r="AH502" t="s">
        <v>116</v>
      </c>
      <c r="AI502" s="1">
        <v>28043</v>
      </c>
      <c r="AJ502" s="2">
        <v>0.08</v>
      </c>
      <c r="AK502" s="1">
        <v>354923</v>
      </c>
      <c r="AL502" t="s">
        <v>117</v>
      </c>
      <c r="AM502" t="s">
        <v>118</v>
      </c>
      <c r="AN502">
        <v>4815</v>
      </c>
      <c r="AO502">
        <v>0.11</v>
      </c>
      <c r="AR502">
        <v>1</v>
      </c>
      <c r="AS502" s="1">
        <v>26110</v>
      </c>
      <c r="AT502" s="1">
        <v>5220</v>
      </c>
      <c r="AU502" s="1">
        <v>20890</v>
      </c>
      <c r="AV502">
        <v>80.010000000000005</v>
      </c>
      <c r="AX502" s="1">
        <v>2323.6799999999998</v>
      </c>
      <c r="AY502" t="s">
        <v>2966</v>
      </c>
      <c r="AZ502" t="s">
        <v>2967</v>
      </c>
      <c r="BA502" t="s">
        <v>930</v>
      </c>
      <c r="BB502" s="3">
        <v>42453</v>
      </c>
      <c r="BD502" t="s">
        <v>480</v>
      </c>
      <c r="BE502" s="3">
        <v>42033</v>
      </c>
      <c r="BF502" s="1">
        <v>324195</v>
      </c>
      <c r="BG502" t="s">
        <v>195</v>
      </c>
      <c r="BH502" s="1">
        <v>167.37</v>
      </c>
      <c r="BI502" s="1">
        <v>326880</v>
      </c>
      <c r="BJ502" s="3">
        <v>42033</v>
      </c>
      <c r="BK502" t="s">
        <v>123</v>
      </c>
      <c r="BL502" t="str">
        <f>"2015.60322"</f>
        <v>2015.60322</v>
      </c>
      <c r="BM502" t="s">
        <v>3453</v>
      </c>
      <c r="BO502" t="s">
        <v>3454</v>
      </c>
      <c r="BP502" t="s">
        <v>3455</v>
      </c>
      <c r="BS502">
        <v>30</v>
      </c>
      <c r="BW502" t="str">
        <f>""</f>
        <v/>
      </c>
      <c r="CH502" t="str">
        <f>""</f>
        <v/>
      </c>
      <c r="CS502" t="str">
        <f>""</f>
        <v/>
      </c>
    </row>
    <row r="503" spans="1:97" x14ac:dyDescent="0.25">
      <c r="A503" t="s">
        <v>3456</v>
      </c>
      <c r="B503" t="s">
        <v>3457</v>
      </c>
      <c r="C503" t="s">
        <v>3458</v>
      </c>
      <c r="D503" t="s">
        <v>1667</v>
      </c>
      <c r="E503" t="s">
        <v>3459</v>
      </c>
      <c r="F503" t="s">
        <v>108</v>
      </c>
      <c r="H503" t="s">
        <v>3460</v>
      </c>
      <c r="I503" t="s">
        <v>453</v>
      </c>
      <c r="J503" t="s">
        <v>111</v>
      </c>
      <c r="K503" t="str">
        <f>"85383"</f>
        <v>85383</v>
      </c>
      <c r="L503" t="s">
        <v>2015</v>
      </c>
      <c r="M503" t="s">
        <v>3460</v>
      </c>
      <c r="N503" t="s">
        <v>453</v>
      </c>
      <c r="O503" t="s">
        <v>111</v>
      </c>
      <c r="P503" t="str">
        <f>"85383-5914"</f>
        <v>85383-5914</v>
      </c>
      <c r="Q503" t="s">
        <v>113</v>
      </c>
      <c r="R503" t="str">
        <f>"201-19-480"</f>
        <v>201-19-480</v>
      </c>
      <c r="S503" t="s">
        <v>2016</v>
      </c>
      <c r="U503">
        <v>2923</v>
      </c>
      <c r="W503">
        <v>4</v>
      </c>
      <c r="X503">
        <v>2014</v>
      </c>
      <c r="Z503">
        <v>2</v>
      </c>
      <c r="AC503" t="s">
        <v>115</v>
      </c>
      <c r="AD503">
        <v>2</v>
      </c>
      <c r="AE503" t="s">
        <v>115</v>
      </c>
      <c r="AH503" t="s">
        <v>116</v>
      </c>
      <c r="AI503" s="1">
        <v>206552</v>
      </c>
      <c r="AJ503" s="2">
        <v>0.5</v>
      </c>
      <c r="AK503" s="1">
        <v>411140</v>
      </c>
      <c r="AL503" t="s">
        <v>117</v>
      </c>
      <c r="AM503" t="s">
        <v>118</v>
      </c>
      <c r="AN503">
        <v>5973</v>
      </c>
      <c r="AO503">
        <v>0.14000000000000001</v>
      </c>
      <c r="AR503">
        <v>1</v>
      </c>
      <c r="AS503" s="1">
        <v>29620</v>
      </c>
      <c r="AT503" s="1">
        <v>5920</v>
      </c>
      <c r="AU503" s="1">
        <v>23700</v>
      </c>
      <c r="AV503">
        <v>80.010000000000005</v>
      </c>
      <c r="AX503" s="1">
        <v>2532.7199999999998</v>
      </c>
      <c r="AY503" t="s">
        <v>456</v>
      </c>
      <c r="AZ503" t="s">
        <v>456</v>
      </c>
      <c r="BA503" t="s">
        <v>457</v>
      </c>
      <c r="BE503" s="3">
        <v>42031</v>
      </c>
      <c r="BF503" s="1">
        <v>288662</v>
      </c>
      <c r="BG503" t="s">
        <v>446</v>
      </c>
      <c r="BH503" s="1">
        <v>98.76</v>
      </c>
      <c r="BI503" s="1">
        <v>204588</v>
      </c>
      <c r="BJ503" s="3">
        <v>42031</v>
      </c>
      <c r="BK503" t="s">
        <v>123</v>
      </c>
      <c r="BL503" t="str">
        <f>"2015.52009"</f>
        <v>2015.52009</v>
      </c>
      <c r="BM503" t="s">
        <v>573</v>
      </c>
      <c r="BO503" t="s">
        <v>3461</v>
      </c>
      <c r="BP503" t="s">
        <v>3462</v>
      </c>
      <c r="BS503">
        <v>30</v>
      </c>
      <c r="BW503" t="str">
        <f>""</f>
        <v/>
      </c>
      <c r="CH503" t="str">
        <f>""</f>
        <v/>
      </c>
      <c r="CS503" t="str">
        <f>""</f>
        <v/>
      </c>
    </row>
    <row r="504" spans="1:97" x14ac:dyDescent="0.25">
      <c r="A504" t="s">
        <v>3463</v>
      </c>
      <c r="B504" t="s">
        <v>1704</v>
      </c>
      <c r="C504" t="s">
        <v>3464</v>
      </c>
      <c r="D504" t="s">
        <v>1704</v>
      </c>
      <c r="E504" t="s">
        <v>3465</v>
      </c>
      <c r="F504" t="s">
        <v>108</v>
      </c>
      <c r="H504" t="s">
        <v>3466</v>
      </c>
      <c r="I504" t="s">
        <v>390</v>
      </c>
      <c r="J504" t="s">
        <v>111</v>
      </c>
      <c r="K504" t="str">
        <f>"85085"</f>
        <v>85085</v>
      </c>
      <c r="L504" t="s">
        <v>3318</v>
      </c>
      <c r="M504" t="s">
        <v>3466</v>
      </c>
      <c r="N504" t="s">
        <v>390</v>
      </c>
      <c r="O504" t="s">
        <v>111</v>
      </c>
      <c r="P504" t="str">
        <f>"85085-7155"</f>
        <v>85085-7155</v>
      </c>
      <c r="Q504" t="s">
        <v>113</v>
      </c>
      <c r="R504" t="str">
        <f>"204-25-746"</f>
        <v>204-25-746</v>
      </c>
      <c r="S504" t="s">
        <v>3319</v>
      </c>
      <c r="T504" t="s">
        <v>3319</v>
      </c>
      <c r="U504">
        <v>2347</v>
      </c>
      <c r="W504">
        <v>4</v>
      </c>
      <c r="X504">
        <v>2015</v>
      </c>
      <c r="Z504">
        <v>2</v>
      </c>
      <c r="AA504" t="s">
        <v>26</v>
      </c>
      <c r="AC504" t="s">
        <v>115</v>
      </c>
      <c r="AD504">
        <v>4</v>
      </c>
      <c r="AE504" t="s">
        <v>115</v>
      </c>
      <c r="AH504" t="s">
        <v>116</v>
      </c>
      <c r="AI504" s="1">
        <v>60414</v>
      </c>
      <c r="AJ504" s="2">
        <v>0.13</v>
      </c>
      <c r="AK504" s="1">
        <v>450740</v>
      </c>
      <c r="AL504" t="s">
        <v>117</v>
      </c>
      <c r="AM504" t="s">
        <v>229</v>
      </c>
      <c r="AN504">
        <v>6656</v>
      </c>
      <c r="AO504">
        <v>0.15</v>
      </c>
      <c r="AR504">
        <v>1</v>
      </c>
      <c r="AS504" s="1">
        <v>35850</v>
      </c>
      <c r="AT504" s="1">
        <v>7170</v>
      </c>
      <c r="AU504" s="1">
        <v>28680</v>
      </c>
      <c r="AV504">
        <v>80</v>
      </c>
      <c r="AX504" s="1">
        <v>2714.24</v>
      </c>
      <c r="AY504" t="s">
        <v>2651</v>
      </c>
      <c r="AZ504" t="s">
        <v>2651</v>
      </c>
      <c r="BA504" t="s">
        <v>1462</v>
      </c>
      <c r="BE504" s="3">
        <v>42152</v>
      </c>
      <c r="BF504" s="1">
        <v>377857</v>
      </c>
      <c r="BG504" t="s">
        <v>420</v>
      </c>
      <c r="BH504" s="1">
        <v>161</v>
      </c>
      <c r="BI504" s="1">
        <v>390326</v>
      </c>
      <c r="BJ504" s="3">
        <v>42152</v>
      </c>
      <c r="BK504" t="s">
        <v>123</v>
      </c>
      <c r="BL504" t="str">
        <f>"2015.378617"</f>
        <v>2015.378617</v>
      </c>
      <c r="BM504" t="s">
        <v>2489</v>
      </c>
      <c r="BO504" t="s">
        <v>3467</v>
      </c>
      <c r="BS504">
        <v>30</v>
      </c>
      <c r="BW504" t="str">
        <f>""</f>
        <v/>
      </c>
      <c r="CH504" t="str">
        <f>""</f>
        <v/>
      </c>
      <c r="CS504" t="str">
        <f>""</f>
        <v/>
      </c>
    </row>
    <row r="505" spans="1:97" x14ac:dyDescent="0.25">
      <c r="A505" t="s">
        <v>3468</v>
      </c>
      <c r="B505" t="s">
        <v>3469</v>
      </c>
      <c r="C505" t="s">
        <v>3470</v>
      </c>
      <c r="D505" t="s">
        <v>3469</v>
      </c>
      <c r="E505" t="s">
        <v>3471</v>
      </c>
      <c r="F505" t="s">
        <v>108</v>
      </c>
      <c r="H505" t="s">
        <v>3472</v>
      </c>
      <c r="I505" t="s">
        <v>110</v>
      </c>
      <c r="J505" t="s">
        <v>111</v>
      </c>
      <c r="K505" t="str">
        <f>"85248"</f>
        <v>85248</v>
      </c>
      <c r="L505" t="s">
        <v>516</v>
      </c>
      <c r="M505" t="s">
        <v>3472</v>
      </c>
      <c r="N505" t="s">
        <v>110</v>
      </c>
      <c r="O505" t="s">
        <v>111</v>
      </c>
      <c r="P505" t="str">
        <f>"85248-4296"</f>
        <v>85248-4296</v>
      </c>
      <c r="Q505" t="s">
        <v>113</v>
      </c>
      <c r="R505" t="str">
        <f>"303-65-408"</f>
        <v>303-65-408</v>
      </c>
      <c r="S505" t="s">
        <v>3350</v>
      </c>
      <c r="U505">
        <v>2363</v>
      </c>
      <c r="W505">
        <v>4</v>
      </c>
      <c r="X505">
        <v>2014</v>
      </c>
      <c r="Z505">
        <v>2</v>
      </c>
      <c r="AC505" t="s">
        <v>115</v>
      </c>
      <c r="AD505">
        <v>2</v>
      </c>
      <c r="AE505" t="s">
        <v>115</v>
      </c>
      <c r="AH505" t="s">
        <v>116</v>
      </c>
      <c r="AI505" s="1">
        <v>52177</v>
      </c>
      <c r="AJ505" s="2">
        <v>0.13</v>
      </c>
      <c r="AK505" s="1">
        <v>416777</v>
      </c>
      <c r="AL505" t="s">
        <v>117</v>
      </c>
      <c r="AM505" t="s">
        <v>118</v>
      </c>
      <c r="AN505">
        <v>3354</v>
      </c>
      <c r="AO505">
        <v>0.77</v>
      </c>
      <c r="AR505">
        <v>1</v>
      </c>
      <c r="AS505" s="1">
        <v>33350</v>
      </c>
      <c r="AT505" s="1">
        <v>6670</v>
      </c>
      <c r="AU505" s="1">
        <v>26680</v>
      </c>
      <c r="AV505">
        <v>80</v>
      </c>
      <c r="AX505" s="1">
        <v>2429.04</v>
      </c>
      <c r="AY505" t="s">
        <v>3351</v>
      </c>
      <c r="AZ505" t="s">
        <v>1882</v>
      </c>
      <c r="BA505" t="s">
        <v>121</v>
      </c>
      <c r="BE505" s="3">
        <v>42551</v>
      </c>
      <c r="BF505" s="1">
        <v>356990</v>
      </c>
      <c r="BG505" t="s">
        <v>1079</v>
      </c>
      <c r="BH505" s="1">
        <v>151.07</v>
      </c>
      <c r="BI505" s="1">
        <v>364600</v>
      </c>
      <c r="BJ505" s="3">
        <v>42551</v>
      </c>
      <c r="BK505" t="s">
        <v>123</v>
      </c>
      <c r="BL505" t="str">
        <f>"2016.460725"</f>
        <v>2016.460725</v>
      </c>
      <c r="BM505" t="s">
        <v>1192</v>
      </c>
      <c r="BO505" t="s">
        <v>3473</v>
      </c>
      <c r="BS505">
        <v>30</v>
      </c>
      <c r="BW505" t="str">
        <f>""</f>
        <v/>
      </c>
      <c r="CH505" t="str">
        <f>""</f>
        <v/>
      </c>
      <c r="CS505" t="str">
        <f>""</f>
        <v/>
      </c>
    </row>
    <row r="506" spans="1:97" x14ac:dyDescent="0.25">
      <c r="B506" t="s">
        <v>3474</v>
      </c>
      <c r="E506" t="s">
        <v>3475</v>
      </c>
      <c r="F506" t="s">
        <v>108</v>
      </c>
      <c r="H506" t="s">
        <v>3476</v>
      </c>
      <c r="I506" t="s">
        <v>390</v>
      </c>
      <c r="J506" t="s">
        <v>111</v>
      </c>
      <c r="K506" t="str">
        <f>"85045"</f>
        <v>85045</v>
      </c>
      <c r="L506" t="s">
        <v>3430</v>
      </c>
      <c r="M506" t="s">
        <v>3476</v>
      </c>
      <c r="N506" t="s">
        <v>390</v>
      </c>
      <c r="O506" t="s">
        <v>111</v>
      </c>
      <c r="P506" t="str">
        <f>"85045"</f>
        <v>85045</v>
      </c>
      <c r="Q506" t="s">
        <v>113</v>
      </c>
      <c r="R506" t="str">
        <f>"311-02-865"</f>
        <v>311-02-865</v>
      </c>
      <c r="S506" t="s">
        <v>3431</v>
      </c>
      <c r="U506">
        <v>1799</v>
      </c>
      <c r="W506">
        <v>3</v>
      </c>
      <c r="X506">
        <v>2015</v>
      </c>
      <c r="Z506">
        <v>1</v>
      </c>
      <c r="AA506" t="s">
        <v>26</v>
      </c>
      <c r="AC506" t="s">
        <v>115</v>
      </c>
      <c r="AD506">
        <v>2</v>
      </c>
      <c r="AE506" t="s">
        <v>115</v>
      </c>
      <c r="AH506" t="s">
        <v>116</v>
      </c>
      <c r="AI506" s="1">
        <v>2998</v>
      </c>
      <c r="AJ506" s="2">
        <v>0.01</v>
      </c>
      <c r="AK506" s="1">
        <v>338723</v>
      </c>
      <c r="AL506" t="s">
        <v>117</v>
      </c>
      <c r="AM506" t="s">
        <v>118</v>
      </c>
      <c r="AN506">
        <v>4715</v>
      </c>
      <c r="AO506">
        <v>0.11</v>
      </c>
      <c r="AR506">
        <v>1</v>
      </c>
      <c r="AS506" s="1">
        <v>25780</v>
      </c>
      <c r="AT506" s="1">
        <v>5150</v>
      </c>
      <c r="AU506" s="1">
        <v>20630</v>
      </c>
      <c r="AV506">
        <v>80.02</v>
      </c>
      <c r="AX506" s="1">
        <v>2127.2399999999998</v>
      </c>
      <c r="AY506" t="s">
        <v>2966</v>
      </c>
      <c r="AZ506" t="s">
        <v>2967</v>
      </c>
      <c r="BA506" t="s">
        <v>930</v>
      </c>
      <c r="BB506" s="3">
        <v>42625</v>
      </c>
      <c r="BD506" t="s">
        <v>291</v>
      </c>
      <c r="BE506" s="3">
        <v>42143</v>
      </c>
      <c r="BF506" s="1">
        <v>294740</v>
      </c>
      <c r="BG506" t="s">
        <v>195</v>
      </c>
      <c r="BH506" s="1">
        <v>163.84</v>
      </c>
      <c r="BI506" s="1">
        <v>335725</v>
      </c>
      <c r="BJ506" s="3">
        <v>42724</v>
      </c>
      <c r="BK506" t="s">
        <v>123</v>
      </c>
      <c r="BL506" t="str">
        <f>"2016.935624"</f>
        <v>2016.935624</v>
      </c>
      <c r="BM506" t="s">
        <v>2472</v>
      </c>
      <c r="BO506" t="s">
        <v>3477</v>
      </c>
      <c r="BS506">
        <v>30</v>
      </c>
      <c r="BW506" t="str">
        <f>""</f>
        <v/>
      </c>
      <c r="CH506" t="str">
        <f>""</f>
        <v/>
      </c>
      <c r="CS506" t="str">
        <f>""</f>
        <v/>
      </c>
    </row>
    <row r="507" spans="1:97" x14ac:dyDescent="0.25">
      <c r="A507" t="s">
        <v>765</v>
      </c>
      <c r="B507" t="s">
        <v>2692</v>
      </c>
      <c r="C507" t="s">
        <v>3478</v>
      </c>
      <c r="D507" t="s">
        <v>2692</v>
      </c>
      <c r="E507" t="s">
        <v>3479</v>
      </c>
      <c r="F507" t="s">
        <v>108</v>
      </c>
      <c r="H507" t="s">
        <v>3480</v>
      </c>
      <c r="I507" t="s">
        <v>110</v>
      </c>
      <c r="J507" t="s">
        <v>111</v>
      </c>
      <c r="K507" t="str">
        <f>"85249"</f>
        <v>85249</v>
      </c>
      <c r="L507" t="s">
        <v>112</v>
      </c>
      <c r="M507" t="s">
        <v>3480</v>
      </c>
      <c r="N507" t="s">
        <v>110</v>
      </c>
      <c r="O507" t="s">
        <v>111</v>
      </c>
      <c r="P507" t="str">
        <f>"85249-1202"</f>
        <v>85249-1202</v>
      </c>
      <c r="Q507" t="s">
        <v>113</v>
      </c>
      <c r="R507" t="str">
        <f>"303-55-841"</f>
        <v>303-55-841</v>
      </c>
      <c r="S507" t="s">
        <v>1974</v>
      </c>
      <c r="T507" t="s">
        <v>1974</v>
      </c>
      <c r="U507">
        <v>2534</v>
      </c>
      <c r="W507">
        <v>4</v>
      </c>
      <c r="X507">
        <v>2014</v>
      </c>
      <c r="Z507">
        <v>1</v>
      </c>
      <c r="AC507" t="s">
        <v>115</v>
      </c>
      <c r="AD507">
        <v>3</v>
      </c>
      <c r="AE507" t="s">
        <v>115</v>
      </c>
      <c r="AH507" t="s">
        <v>116</v>
      </c>
      <c r="AI507" s="1">
        <v>75644</v>
      </c>
      <c r="AJ507" s="2">
        <v>0.15</v>
      </c>
      <c r="AK507" s="1">
        <v>489690</v>
      </c>
      <c r="AL507" t="s">
        <v>117</v>
      </c>
      <c r="AM507" t="s">
        <v>118</v>
      </c>
      <c r="AN507">
        <v>8125</v>
      </c>
      <c r="AO507">
        <v>0.19</v>
      </c>
      <c r="AR507">
        <v>1</v>
      </c>
      <c r="AS507" s="1">
        <v>35150</v>
      </c>
      <c r="AT507" s="1">
        <v>7030</v>
      </c>
      <c r="AU507" s="1">
        <v>28120</v>
      </c>
      <c r="AV507">
        <v>80</v>
      </c>
      <c r="AX507" s="1">
        <v>2802.18</v>
      </c>
      <c r="AY507" t="s">
        <v>119</v>
      </c>
      <c r="AZ507" t="s">
        <v>120</v>
      </c>
      <c r="BA507" t="s">
        <v>121</v>
      </c>
      <c r="BE507" s="3">
        <v>42075</v>
      </c>
      <c r="BF507" s="1">
        <v>397865</v>
      </c>
      <c r="BG507" t="s">
        <v>1404</v>
      </c>
      <c r="BH507" s="1">
        <v>157.01</v>
      </c>
      <c r="BI507" s="1">
        <v>414046</v>
      </c>
      <c r="BJ507" s="3">
        <v>42075</v>
      </c>
      <c r="BK507" t="s">
        <v>123</v>
      </c>
      <c r="BL507" t="str">
        <f>"2015.167536"</f>
        <v>2015.167536</v>
      </c>
      <c r="BM507" t="s">
        <v>594</v>
      </c>
      <c r="BO507" t="s">
        <v>3481</v>
      </c>
      <c r="BS507">
        <v>30</v>
      </c>
      <c r="BW507" t="str">
        <f>""</f>
        <v/>
      </c>
      <c r="CH507" t="str">
        <f>""</f>
        <v/>
      </c>
      <c r="CS507" t="str">
        <f>""</f>
        <v/>
      </c>
    </row>
    <row r="508" spans="1:97" x14ac:dyDescent="0.25">
      <c r="A508" t="s">
        <v>894</v>
      </c>
      <c r="B508" t="s">
        <v>3482</v>
      </c>
      <c r="C508" t="s">
        <v>852</v>
      </c>
      <c r="D508" t="s">
        <v>3482</v>
      </c>
      <c r="E508" t="s">
        <v>3483</v>
      </c>
      <c r="F508" t="s">
        <v>108</v>
      </c>
      <c r="H508" t="s">
        <v>3484</v>
      </c>
      <c r="I508" t="s">
        <v>225</v>
      </c>
      <c r="J508" t="s">
        <v>111</v>
      </c>
      <c r="K508" t="str">
        <f>"85212"</f>
        <v>85212</v>
      </c>
      <c r="L508" t="s">
        <v>3140</v>
      </c>
      <c r="M508" t="s">
        <v>3484</v>
      </c>
      <c r="N508" t="s">
        <v>225</v>
      </c>
      <c r="O508" t="s">
        <v>111</v>
      </c>
      <c r="P508" t="str">
        <f>"85212-8233"</f>
        <v>85212-8233</v>
      </c>
      <c r="Q508" t="s">
        <v>113</v>
      </c>
      <c r="R508" t="str">
        <f>"312-13-386"</f>
        <v>312-13-386</v>
      </c>
      <c r="S508" t="s">
        <v>3200</v>
      </c>
      <c r="T508" t="s">
        <v>3142</v>
      </c>
      <c r="U508">
        <v>4040</v>
      </c>
      <c r="W508">
        <v>5</v>
      </c>
      <c r="X508">
        <v>2015</v>
      </c>
      <c r="Z508">
        <v>2</v>
      </c>
      <c r="AC508" t="s">
        <v>115</v>
      </c>
      <c r="AD508">
        <v>3</v>
      </c>
      <c r="AE508" t="s">
        <v>115</v>
      </c>
      <c r="AH508" t="s">
        <v>116</v>
      </c>
      <c r="AI508" s="1">
        <v>58331</v>
      </c>
      <c r="AJ508" s="2">
        <v>0.12</v>
      </c>
      <c r="AK508" s="1">
        <v>502333</v>
      </c>
      <c r="AL508" t="s">
        <v>117</v>
      </c>
      <c r="AM508" t="s">
        <v>191</v>
      </c>
      <c r="AN508">
        <v>8428</v>
      </c>
      <c r="AO508">
        <v>0.19</v>
      </c>
      <c r="AR508">
        <v>1</v>
      </c>
      <c r="AS508" s="1">
        <v>37900</v>
      </c>
      <c r="AT508" s="1">
        <v>7580</v>
      </c>
      <c r="AU508" s="1">
        <v>30320</v>
      </c>
      <c r="AV508">
        <v>80</v>
      </c>
      <c r="AX508" s="1">
        <v>3417.58</v>
      </c>
      <c r="AY508" t="s">
        <v>560</v>
      </c>
      <c r="AZ508" t="s">
        <v>561</v>
      </c>
      <c r="BA508" t="s">
        <v>194</v>
      </c>
      <c r="BE508" s="3">
        <v>42247</v>
      </c>
      <c r="BF508" s="1">
        <v>440542</v>
      </c>
      <c r="BG508" t="s">
        <v>446</v>
      </c>
      <c r="BH508" s="1">
        <v>109.05</v>
      </c>
      <c r="BI508" s="1">
        <v>444002</v>
      </c>
      <c r="BJ508" s="3">
        <v>43644</v>
      </c>
      <c r="BK508" t="s">
        <v>123</v>
      </c>
      <c r="BL508" t="str">
        <f>"2019.491335"</f>
        <v>2019.491335</v>
      </c>
      <c r="BM508" t="s">
        <v>1370</v>
      </c>
      <c r="BN508" t="s">
        <v>1371</v>
      </c>
      <c r="BO508" t="s">
        <v>3485</v>
      </c>
      <c r="BP508" t="s">
        <v>3486</v>
      </c>
      <c r="BR508" t="s">
        <v>139</v>
      </c>
      <c r="BT508" s="1">
        <v>453131</v>
      </c>
      <c r="BU508" s="3">
        <v>43194</v>
      </c>
      <c r="BV508" t="s">
        <v>134</v>
      </c>
      <c r="BW508" t="str">
        <f>"2018.252110"</f>
        <v>2018.252110</v>
      </c>
      <c r="BX508" t="s">
        <v>843</v>
      </c>
      <c r="BY508" t="s">
        <v>3487</v>
      </c>
      <c r="BZ508" t="s">
        <v>3485</v>
      </c>
      <c r="CA508" t="s">
        <v>3486</v>
      </c>
      <c r="CC508" t="s">
        <v>2083</v>
      </c>
      <c r="CE508" s="1">
        <v>444002</v>
      </c>
      <c r="CF508" s="3">
        <v>43644</v>
      </c>
      <c r="CG508" t="s">
        <v>123</v>
      </c>
      <c r="CH508" t="str">
        <f>"2019.491335"</f>
        <v>2019.491335</v>
      </c>
      <c r="CI508" t="s">
        <v>1370</v>
      </c>
      <c r="CJ508" t="s">
        <v>1371</v>
      </c>
      <c r="CK508" t="s">
        <v>3485</v>
      </c>
      <c r="CL508" t="s">
        <v>3486</v>
      </c>
      <c r="CN508" t="s">
        <v>139</v>
      </c>
      <c r="CS508" t="str">
        <f>""</f>
        <v/>
      </c>
    </row>
    <row r="509" spans="1:97" x14ac:dyDescent="0.25">
      <c r="A509" t="s">
        <v>1393</v>
      </c>
      <c r="B509" t="s">
        <v>3488</v>
      </c>
      <c r="E509" t="s">
        <v>3489</v>
      </c>
      <c r="F509" t="s">
        <v>108</v>
      </c>
      <c r="H509" t="s">
        <v>3490</v>
      </c>
      <c r="I509" t="s">
        <v>390</v>
      </c>
      <c r="J509" t="s">
        <v>111</v>
      </c>
      <c r="K509" t="str">
        <f>"85045"</f>
        <v>85045</v>
      </c>
      <c r="L509" t="s">
        <v>3430</v>
      </c>
      <c r="M509" t="s">
        <v>3490</v>
      </c>
      <c r="N509" t="s">
        <v>390</v>
      </c>
      <c r="O509" t="s">
        <v>111</v>
      </c>
      <c r="P509" t="str">
        <f>"85045"</f>
        <v>85045</v>
      </c>
      <c r="Q509" t="s">
        <v>113</v>
      </c>
      <c r="R509" t="str">
        <f>"311-02-854"</f>
        <v>311-02-854</v>
      </c>
      <c r="S509" t="s">
        <v>3431</v>
      </c>
      <c r="U509">
        <v>2904</v>
      </c>
      <c r="W509">
        <v>4</v>
      </c>
      <c r="X509">
        <v>2014</v>
      </c>
      <c r="Z509">
        <v>2</v>
      </c>
      <c r="AA509" t="s">
        <v>26</v>
      </c>
      <c r="AC509" t="s">
        <v>115</v>
      </c>
      <c r="AD509">
        <v>2</v>
      </c>
      <c r="AE509" t="s">
        <v>115</v>
      </c>
      <c r="AH509" t="s">
        <v>116</v>
      </c>
      <c r="AI509" s="1">
        <v>37874</v>
      </c>
      <c r="AJ509" s="2">
        <v>0.09</v>
      </c>
      <c r="AK509" s="1">
        <v>440434</v>
      </c>
      <c r="AL509" t="s">
        <v>117</v>
      </c>
      <c r="AM509" t="s">
        <v>118</v>
      </c>
      <c r="AN509">
        <v>4725</v>
      </c>
      <c r="AO509">
        <v>0.11</v>
      </c>
      <c r="AR509">
        <v>1</v>
      </c>
      <c r="AS509" s="1">
        <v>32160</v>
      </c>
      <c r="AT509" s="1">
        <v>6430</v>
      </c>
      <c r="AU509" s="1">
        <v>25730</v>
      </c>
      <c r="AV509">
        <v>80.010000000000005</v>
      </c>
      <c r="AX509" s="1">
        <v>2976.26</v>
      </c>
      <c r="AY509" t="s">
        <v>2966</v>
      </c>
      <c r="AZ509" t="s">
        <v>2967</v>
      </c>
      <c r="BA509" t="s">
        <v>930</v>
      </c>
      <c r="BE509" s="3">
        <v>42090</v>
      </c>
      <c r="BF509" s="1">
        <v>352990</v>
      </c>
      <c r="BG509" t="s">
        <v>195</v>
      </c>
      <c r="BH509" s="1">
        <v>121.55</v>
      </c>
      <c r="BI509" s="1">
        <v>402560</v>
      </c>
      <c r="BJ509" s="3">
        <v>43216</v>
      </c>
      <c r="BK509" t="s">
        <v>123</v>
      </c>
      <c r="BL509" t="str">
        <f>"2018.317031"</f>
        <v>2018.317031</v>
      </c>
      <c r="BM509" t="s">
        <v>3491</v>
      </c>
      <c r="BN509" t="s">
        <v>1624</v>
      </c>
      <c r="BO509" t="s">
        <v>3492</v>
      </c>
      <c r="BR509" t="s">
        <v>139</v>
      </c>
      <c r="BW509" t="str">
        <f>""</f>
        <v/>
      </c>
      <c r="CH509" t="str">
        <f>""</f>
        <v/>
      </c>
      <c r="CS509" t="str">
        <f>""</f>
        <v/>
      </c>
    </row>
    <row r="510" spans="1:97" x14ac:dyDescent="0.25">
      <c r="B510" t="s">
        <v>3493</v>
      </c>
      <c r="E510" t="s">
        <v>3494</v>
      </c>
      <c r="F510" t="s">
        <v>108</v>
      </c>
      <c r="H510" t="s">
        <v>3495</v>
      </c>
      <c r="I510" t="s">
        <v>225</v>
      </c>
      <c r="J510" t="s">
        <v>111</v>
      </c>
      <c r="K510" t="str">
        <f>"85207"</f>
        <v>85207</v>
      </c>
      <c r="L510" t="s">
        <v>3300</v>
      </c>
      <c r="M510" t="s">
        <v>3495</v>
      </c>
      <c r="N510" t="s">
        <v>225</v>
      </c>
      <c r="O510" t="s">
        <v>111</v>
      </c>
      <c r="P510" t="str">
        <f>"85207-2458"</f>
        <v>85207-2458</v>
      </c>
      <c r="Q510" t="s">
        <v>113</v>
      </c>
      <c r="R510" t="str">
        <f>"219-49-551"</f>
        <v>219-49-551</v>
      </c>
      <c r="S510" t="s">
        <v>3301</v>
      </c>
      <c r="T510" t="s">
        <v>3302</v>
      </c>
      <c r="U510">
        <v>2709</v>
      </c>
      <c r="W510">
        <v>4</v>
      </c>
      <c r="X510">
        <v>2014</v>
      </c>
      <c r="Z510">
        <v>1</v>
      </c>
      <c r="AA510" t="s">
        <v>26</v>
      </c>
      <c r="AC510" t="s">
        <v>115</v>
      </c>
      <c r="AD510">
        <v>3</v>
      </c>
      <c r="AE510" t="s">
        <v>115</v>
      </c>
      <c r="AH510" t="s">
        <v>116</v>
      </c>
      <c r="AI510" s="1">
        <v>42413</v>
      </c>
      <c r="AJ510" s="2">
        <v>0.06</v>
      </c>
      <c r="AK510" s="1">
        <v>673813</v>
      </c>
      <c r="AL510" t="s">
        <v>117</v>
      </c>
      <c r="AM510" t="s">
        <v>1521</v>
      </c>
      <c r="AN510">
        <v>9496</v>
      </c>
      <c r="AO510">
        <v>0.22</v>
      </c>
      <c r="AR510">
        <v>1</v>
      </c>
      <c r="AS510" s="1">
        <v>50370</v>
      </c>
      <c r="AT510" s="1">
        <v>10070</v>
      </c>
      <c r="AU510" s="1">
        <v>40300</v>
      </c>
      <c r="AV510">
        <v>80.010000000000005</v>
      </c>
      <c r="AX510" s="1">
        <v>4013.02</v>
      </c>
      <c r="AY510" t="s">
        <v>3118</v>
      </c>
      <c r="AZ510" t="s">
        <v>231</v>
      </c>
      <c r="BA510" t="s">
        <v>3119</v>
      </c>
      <c r="BB510" s="3">
        <v>42534</v>
      </c>
      <c r="BD510" t="s">
        <v>458</v>
      </c>
      <c r="BE510" s="3">
        <v>42037</v>
      </c>
      <c r="BF510" s="1">
        <v>705850</v>
      </c>
      <c r="BG510" t="s">
        <v>3120</v>
      </c>
      <c r="BH510" s="1">
        <v>260.56</v>
      </c>
      <c r="BI510" s="1">
        <v>631400</v>
      </c>
      <c r="BJ510" s="3">
        <v>42534</v>
      </c>
      <c r="BK510" t="s">
        <v>123</v>
      </c>
      <c r="BL510" t="str">
        <f>"2016.406823"</f>
        <v>2016.406823</v>
      </c>
      <c r="BM510" t="s">
        <v>3496</v>
      </c>
      <c r="BO510" t="s">
        <v>3497</v>
      </c>
      <c r="BS510">
        <v>30</v>
      </c>
      <c r="BW510" t="str">
        <f>""</f>
        <v/>
      </c>
      <c r="CH510" t="str">
        <f>""</f>
        <v/>
      </c>
      <c r="CS510" t="str">
        <f>""</f>
        <v/>
      </c>
    </row>
    <row r="511" spans="1:97" x14ac:dyDescent="0.25">
      <c r="B511" t="s">
        <v>3498</v>
      </c>
      <c r="E511" t="s">
        <v>3499</v>
      </c>
      <c r="F511" t="s">
        <v>108</v>
      </c>
      <c r="H511" t="s">
        <v>3500</v>
      </c>
      <c r="I511" t="s">
        <v>453</v>
      </c>
      <c r="J511" t="s">
        <v>111</v>
      </c>
      <c r="K511" t="str">
        <f>"85383"</f>
        <v>85383</v>
      </c>
      <c r="L511" t="s">
        <v>688</v>
      </c>
      <c r="M511" t="s">
        <v>3500</v>
      </c>
      <c r="N511" t="s">
        <v>390</v>
      </c>
      <c r="O511" t="s">
        <v>111</v>
      </c>
      <c r="P511" t="str">
        <f>"85030"</f>
        <v>85030</v>
      </c>
      <c r="Q511" t="s">
        <v>113</v>
      </c>
      <c r="R511" t="str">
        <f>"200-17-879"</f>
        <v>200-17-879</v>
      </c>
      <c r="S511" t="s">
        <v>3245</v>
      </c>
      <c r="T511" t="s">
        <v>1807</v>
      </c>
      <c r="U511">
        <v>3749</v>
      </c>
      <c r="W511">
        <v>4</v>
      </c>
      <c r="X511">
        <v>2014</v>
      </c>
      <c r="Z511">
        <v>1</v>
      </c>
      <c r="AA511" t="s">
        <v>26</v>
      </c>
      <c r="AC511" t="s">
        <v>115</v>
      </c>
      <c r="AD511">
        <v>3</v>
      </c>
      <c r="AE511" t="s">
        <v>115</v>
      </c>
      <c r="AH511" t="s">
        <v>116</v>
      </c>
      <c r="AI511" s="1">
        <v>104045</v>
      </c>
      <c r="AJ511" s="2">
        <v>0.16</v>
      </c>
      <c r="AK511" s="1">
        <v>637113</v>
      </c>
      <c r="AL511" t="s">
        <v>117</v>
      </c>
      <c r="AM511" t="s">
        <v>118</v>
      </c>
      <c r="AN511">
        <v>12150</v>
      </c>
      <c r="AO511">
        <v>0.28000000000000003</v>
      </c>
      <c r="AR511">
        <v>1</v>
      </c>
      <c r="AS511" s="1">
        <v>48620</v>
      </c>
      <c r="AT511" s="1">
        <v>9720</v>
      </c>
      <c r="AU511" s="1">
        <v>38900</v>
      </c>
      <c r="AV511">
        <v>80.010000000000005</v>
      </c>
      <c r="AX511" s="1">
        <v>3565.72</v>
      </c>
      <c r="AY511" t="s">
        <v>1808</v>
      </c>
      <c r="AZ511" t="s">
        <v>1808</v>
      </c>
      <c r="BA511" t="s">
        <v>457</v>
      </c>
      <c r="BB511" s="3">
        <v>43754</v>
      </c>
      <c r="BC511" s="1">
        <v>0</v>
      </c>
      <c r="BD511" t="s">
        <v>247</v>
      </c>
      <c r="BE511" s="3">
        <v>42093</v>
      </c>
      <c r="BF511" s="1">
        <v>599312</v>
      </c>
      <c r="BG511" t="s">
        <v>209</v>
      </c>
      <c r="BH511" s="1">
        <v>159.86000000000001</v>
      </c>
      <c r="BI511" s="1">
        <v>533068</v>
      </c>
      <c r="BJ511" s="3">
        <v>42093</v>
      </c>
      <c r="BK511" t="s">
        <v>123</v>
      </c>
      <c r="BL511" t="str">
        <f>"2015.210872"</f>
        <v>2015.210872</v>
      </c>
      <c r="BM511" t="s">
        <v>175</v>
      </c>
      <c r="BN511" t="s">
        <v>3501</v>
      </c>
      <c r="BO511" t="s">
        <v>3502</v>
      </c>
      <c r="BS511">
        <v>30</v>
      </c>
      <c r="BW511" t="str">
        <f>""</f>
        <v/>
      </c>
      <c r="CH511" t="str">
        <f>""</f>
        <v/>
      </c>
      <c r="CS511" t="str">
        <f>""</f>
        <v/>
      </c>
    </row>
    <row r="512" spans="1:97" x14ac:dyDescent="0.25">
      <c r="A512" t="s">
        <v>3503</v>
      </c>
      <c r="B512" t="s">
        <v>3504</v>
      </c>
      <c r="C512" t="s">
        <v>3505</v>
      </c>
      <c r="D512" t="s">
        <v>3504</v>
      </c>
      <c r="E512" t="s">
        <v>3506</v>
      </c>
      <c r="F512" t="s">
        <v>108</v>
      </c>
      <c r="H512" t="s">
        <v>3507</v>
      </c>
      <c r="I512" t="s">
        <v>3150</v>
      </c>
      <c r="J512" t="s">
        <v>111</v>
      </c>
      <c r="K512" t="str">
        <f>"85340"</f>
        <v>85340</v>
      </c>
      <c r="L512" t="s">
        <v>3151</v>
      </c>
      <c r="M512" t="s">
        <v>3507</v>
      </c>
      <c r="N512" t="s">
        <v>3150</v>
      </c>
      <c r="O512" t="s">
        <v>111</v>
      </c>
      <c r="P512" t="str">
        <f>"85340-2841"</f>
        <v>85340-2841</v>
      </c>
      <c r="Q512" t="s">
        <v>113</v>
      </c>
      <c r="R512" t="str">
        <f>"501-73-746"</f>
        <v>501-73-746</v>
      </c>
      <c r="S512" t="s">
        <v>3152</v>
      </c>
      <c r="U512">
        <v>2638</v>
      </c>
      <c r="W512">
        <v>4</v>
      </c>
      <c r="X512">
        <v>2015</v>
      </c>
      <c r="Z512">
        <v>1</v>
      </c>
      <c r="AC512" t="s">
        <v>115</v>
      </c>
      <c r="AD512">
        <v>2</v>
      </c>
      <c r="AE512" t="s">
        <v>115</v>
      </c>
      <c r="AH512" t="s">
        <v>116</v>
      </c>
      <c r="AI512" s="1">
        <v>96194</v>
      </c>
      <c r="AJ512" s="2">
        <v>0.22</v>
      </c>
      <c r="AK512" s="1">
        <v>441535</v>
      </c>
      <c r="AL512" t="s">
        <v>117</v>
      </c>
      <c r="AM512" t="s">
        <v>118</v>
      </c>
      <c r="AN512">
        <v>9574</v>
      </c>
      <c r="AO512">
        <v>0.22</v>
      </c>
      <c r="AR512">
        <v>1</v>
      </c>
      <c r="AS512" s="1">
        <v>31080</v>
      </c>
      <c r="AT512" s="1">
        <v>6210</v>
      </c>
      <c r="AU512" s="1">
        <v>24870</v>
      </c>
      <c r="AV512">
        <v>80.02</v>
      </c>
      <c r="AX512" s="1">
        <v>2694.64</v>
      </c>
      <c r="AY512" t="s">
        <v>3019</v>
      </c>
      <c r="AZ512" t="s">
        <v>3153</v>
      </c>
      <c r="BA512" t="s">
        <v>3154</v>
      </c>
      <c r="BE512" s="3">
        <v>42151</v>
      </c>
      <c r="BF512" s="1">
        <v>345341</v>
      </c>
      <c r="BG512" t="s">
        <v>636</v>
      </c>
      <c r="BH512" s="1">
        <v>130.91</v>
      </c>
      <c r="BI512" s="1">
        <v>345341</v>
      </c>
      <c r="BJ512" s="3">
        <v>42151</v>
      </c>
      <c r="BK512" t="s">
        <v>123</v>
      </c>
      <c r="BL512" t="str">
        <f>"2015.374860"</f>
        <v>2015.374860</v>
      </c>
      <c r="BM512" t="s">
        <v>637</v>
      </c>
      <c r="BO512" t="s">
        <v>3508</v>
      </c>
      <c r="BS512">
        <v>30</v>
      </c>
      <c r="BW512" t="str">
        <f>""</f>
        <v/>
      </c>
      <c r="CH512" t="str">
        <f>""</f>
        <v/>
      </c>
      <c r="CS512" t="str">
        <f>""</f>
        <v/>
      </c>
    </row>
    <row r="513" spans="1:97" x14ac:dyDescent="0.25">
      <c r="A513" t="s">
        <v>1109</v>
      </c>
      <c r="B513" t="s">
        <v>3509</v>
      </c>
      <c r="E513" t="s">
        <v>3510</v>
      </c>
      <c r="F513" t="s">
        <v>108</v>
      </c>
      <c r="H513" t="s">
        <v>3511</v>
      </c>
      <c r="I513" t="s">
        <v>188</v>
      </c>
      <c r="J513" t="s">
        <v>111</v>
      </c>
      <c r="K513" t="str">
        <f>"85142"</f>
        <v>85142</v>
      </c>
      <c r="L513" t="s">
        <v>625</v>
      </c>
      <c r="M513" t="s">
        <v>3511</v>
      </c>
      <c r="N513" t="s">
        <v>188</v>
      </c>
      <c r="O513" t="s">
        <v>111</v>
      </c>
      <c r="P513" t="str">
        <f>"85142-9134"</f>
        <v>85142-9134</v>
      </c>
      <c r="Q513" t="s">
        <v>113</v>
      </c>
      <c r="R513" t="str">
        <f>"312-07-830"</f>
        <v>312-07-830</v>
      </c>
      <c r="S513" t="s">
        <v>3512</v>
      </c>
      <c r="T513" t="s">
        <v>3513</v>
      </c>
      <c r="U513">
        <v>2303</v>
      </c>
      <c r="W513">
        <v>3</v>
      </c>
      <c r="X513">
        <v>2015</v>
      </c>
      <c r="Z513">
        <v>1</v>
      </c>
      <c r="AC513" t="s">
        <v>115</v>
      </c>
      <c r="AD513">
        <v>2</v>
      </c>
      <c r="AE513" t="s">
        <v>115</v>
      </c>
      <c r="AH513" t="s">
        <v>116</v>
      </c>
      <c r="AI513" s="1">
        <v>74685</v>
      </c>
      <c r="AJ513" s="2">
        <v>0.21</v>
      </c>
      <c r="AK513" s="1">
        <v>348523</v>
      </c>
      <c r="AL513" t="s">
        <v>117</v>
      </c>
      <c r="AM513" t="s">
        <v>118</v>
      </c>
      <c r="AN513">
        <v>7150</v>
      </c>
      <c r="AO513">
        <v>0.16</v>
      </c>
      <c r="AR513">
        <v>1</v>
      </c>
      <c r="AS513" s="1">
        <v>23780</v>
      </c>
      <c r="AT513" s="1">
        <v>4750</v>
      </c>
      <c r="AU513" s="1">
        <v>19030</v>
      </c>
      <c r="AV513">
        <v>80.03</v>
      </c>
      <c r="AX513" s="1">
        <v>2433.8200000000002</v>
      </c>
      <c r="AY513" t="s">
        <v>560</v>
      </c>
      <c r="AZ513" t="s">
        <v>561</v>
      </c>
      <c r="BA513" t="s">
        <v>194</v>
      </c>
      <c r="BE513" s="3">
        <v>42262</v>
      </c>
      <c r="BF513" s="1">
        <v>264880</v>
      </c>
      <c r="BG513" t="s">
        <v>2842</v>
      </c>
      <c r="BH513" s="1">
        <v>115.02</v>
      </c>
      <c r="BI513" s="1">
        <v>273838</v>
      </c>
      <c r="BJ513" s="3">
        <v>42453</v>
      </c>
      <c r="BK513" t="s">
        <v>123</v>
      </c>
      <c r="BL513" t="str">
        <f>"2016.190395"</f>
        <v>2016.190395</v>
      </c>
      <c r="BM513" t="s">
        <v>2051</v>
      </c>
      <c r="BO513" t="s">
        <v>3514</v>
      </c>
      <c r="BS513">
        <v>30</v>
      </c>
      <c r="BW513" t="str">
        <f>""</f>
        <v/>
      </c>
      <c r="CH513" t="str">
        <f>""</f>
        <v/>
      </c>
      <c r="CS513" t="str">
        <f>""</f>
        <v/>
      </c>
    </row>
    <row r="514" spans="1:97" x14ac:dyDescent="0.25">
      <c r="A514" t="s">
        <v>3515</v>
      </c>
      <c r="B514" t="s">
        <v>3516</v>
      </c>
      <c r="C514" t="s">
        <v>3517</v>
      </c>
      <c r="D514" t="s">
        <v>3516</v>
      </c>
      <c r="E514" t="s">
        <v>3518</v>
      </c>
      <c r="F514" t="s">
        <v>108</v>
      </c>
      <c r="H514" t="s">
        <v>3519</v>
      </c>
      <c r="I514" t="s">
        <v>390</v>
      </c>
      <c r="J514" t="s">
        <v>111</v>
      </c>
      <c r="K514" t="str">
        <f>"85083"</f>
        <v>85083</v>
      </c>
      <c r="L514" t="s">
        <v>3520</v>
      </c>
      <c r="M514" t="s">
        <v>3519</v>
      </c>
      <c r="N514" t="s">
        <v>390</v>
      </c>
      <c r="O514" t="s">
        <v>111</v>
      </c>
      <c r="P514" t="str">
        <f>"85083-8642"</f>
        <v>85083-8642</v>
      </c>
      <c r="Q514" t="s">
        <v>113</v>
      </c>
      <c r="R514" t="str">
        <f>"205-03-255"</f>
        <v>205-03-255</v>
      </c>
      <c r="S514" t="s">
        <v>3521</v>
      </c>
      <c r="U514">
        <v>3207</v>
      </c>
      <c r="W514">
        <v>5</v>
      </c>
      <c r="X514">
        <v>2015</v>
      </c>
      <c r="Z514">
        <v>2</v>
      </c>
      <c r="AA514" t="s">
        <v>26</v>
      </c>
      <c r="AC514" t="s">
        <v>115</v>
      </c>
      <c r="AD514">
        <v>3</v>
      </c>
      <c r="AE514" t="s">
        <v>115</v>
      </c>
      <c r="AH514" t="s">
        <v>116</v>
      </c>
      <c r="AI514" s="1">
        <v>141652</v>
      </c>
      <c r="AJ514" s="2">
        <v>0.31</v>
      </c>
      <c r="AK514" s="1">
        <v>451652</v>
      </c>
      <c r="AL514" t="s">
        <v>117</v>
      </c>
      <c r="AM514" t="s">
        <v>171</v>
      </c>
      <c r="AN514">
        <v>7988</v>
      </c>
      <c r="AO514">
        <v>0.18</v>
      </c>
      <c r="AR514">
        <v>1</v>
      </c>
      <c r="AS514" s="1">
        <v>37100</v>
      </c>
      <c r="AT514" s="1">
        <v>7420</v>
      </c>
      <c r="AU514" s="1">
        <v>29680</v>
      </c>
      <c r="AV514">
        <v>80</v>
      </c>
      <c r="AX514" s="1">
        <v>3097.74</v>
      </c>
      <c r="AY514" t="s">
        <v>3522</v>
      </c>
      <c r="AZ514" t="s">
        <v>3522</v>
      </c>
      <c r="BA514" t="s">
        <v>1386</v>
      </c>
      <c r="BB514" s="3">
        <v>42352</v>
      </c>
      <c r="BD514" t="s">
        <v>3523</v>
      </c>
      <c r="BE514" s="3">
        <v>42138</v>
      </c>
      <c r="BF514" s="1">
        <v>347130</v>
      </c>
      <c r="BG514" t="s">
        <v>3524</v>
      </c>
      <c r="BH514" s="1">
        <v>108.24</v>
      </c>
      <c r="BI514" s="1">
        <v>310000</v>
      </c>
      <c r="BJ514" s="3">
        <v>42138</v>
      </c>
      <c r="BK514" t="s">
        <v>123</v>
      </c>
      <c r="BL514" t="str">
        <f>"2015.340844"</f>
        <v>2015.340844</v>
      </c>
      <c r="BM514" t="s">
        <v>3453</v>
      </c>
      <c r="BO514" t="s">
        <v>3525</v>
      </c>
      <c r="BS514">
        <v>30</v>
      </c>
      <c r="BW514" t="str">
        <f>""</f>
        <v/>
      </c>
      <c r="CH514" t="str">
        <f>""</f>
        <v/>
      </c>
      <c r="CS514" t="str">
        <f>""</f>
        <v/>
      </c>
    </row>
    <row r="515" spans="1:97" x14ac:dyDescent="0.25">
      <c r="A515" t="s">
        <v>3526</v>
      </c>
      <c r="B515" t="s">
        <v>3527</v>
      </c>
      <c r="E515" t="s">
        <v>3528</v>
      </c>
      <c r="F515" t="s">
        <v>108</v>
      </c>
      <c r="H515" t="s">
        <v>3529</v>
      </c>
      <c r="I515" t="s">
        <v>390</v>
      </c>
      <c r="J515" t="s">
        <v>111</v>
      </c>
      <c r="K515" t="str">
        <f>"85085"</f>
        <v>85085</v>
      </c>
      <c r="L515" t="s">
        <v>3530</v>
      </c>
      <c r="M515" t="s">
        <v>3529</v>
      </c>
      <c r="N515" t="s">
        <v>390</v>
      </c>
      <c r="O515" t="s">
        <v>111</v>
      </c>
      <c r="P515" t="str">
        <f>"85085-5515"</f>
        <v>85085-5515</v>
      </c>
      <c r="Q515" t="s">
        <v>113</v>
      </c>
      <c r="R515" t="str">
        <f>"204-02-287"</f>
        <v>204-02-287</v>
      </c>
      <c r="S515" t="s">
        <v>3531</v>
      </c>
      <c r="U515">
        <v>2363</v>
      </c>
      <c r="W515">
        <v>4</v>
      </c>
      <c r="X515">
        <v>2014</v>
      </c>
      <c r="Z515">
        <v>2</v>
      </c>
      <c r="AC515" t="s">
        <v>115</v>
      </c>
      <c r="AD515">
        <v>2</v>
      </c>
      <c r="AE515" t="s">
        <v>115</v>
      </c>
      <c r="AH515" t="s">
        <v>116</v>
      </c>
      <c r="AI515" s="1">
        <v>63652</v>
      </c>
      <c r="AJ515" s="2">
        <v>0.17</v>
      </c>
      <c r="AK515" s="1">
        <v>383647</v>
      </c>
      <c r="AL515" t="s">
        <v>117</v>
      </c>
      <c r="AM515" t="s">
        <v>118</v>
      </c>
      <c r="AN515">
        <v>5750</v>
      </c>
      <c r="AO515">
        <v>0.13</v>
      </c>
      <c r="AR515">
        <v>1</v>
      </c>
      <c r="AS515" s="1">
        <v>29560</v>
      </c>
      <c r="AT515" s="1">
        <v>5910</v>
      </c>
      <c r="AU515" s="1">
        <v>23650</v>
      </c>
      <c r="AV515">
        <v>80.010000000000005</v>
      </c>
      <c r="AX515" s="1">
        <v>2460.1799999999998</v>
      </c>
      <c r="AY515" t="s">
        <v>1587</v>
      </c>
      <c r="AZ515" t="s">
        <v>1587</v>
      </c>
      <c r="BA515" t="s">
        <v>1462</v>
      </c>
      <c r="BE515" s="3">
        <v>42459</v>
      </c>
      <c r="BF515" s="1">
        <v>319995</v>
      </c>
      <c r="BG515" t="s">
        <v>209</v>
      </c>
      <c r="BH515" s="1">
        <v>135.41999999999999</v>
      </c>
      <c r="BI515" s="1">
        <v>319995</v>
      </c>
      <c r="BJ515" s="3">
        <v>42459</v>
      </c>
      <c r="BK515" t="s">
        <v>123</v>
      </c>
      <c r="BL515" t="str">
        <f>"2016.207531"</f>
        <v>2016.207531</v>
      </c>
      <c r="BM515" t="s">
        <v>175</v>
      </c>
      <c r="BO515" t="s">
        <v>3532</v>
      </c>
      <c r="BS515">
        <v>30</v>
      </c>
      <c r="BW515" t="str">
        <f>""</f>
        <v/>
      </c>
      <c r="CH515" t="str">
        <f>""</f>
        <v/>
      </c>
      <c r="CS515" t="str">
        <f>""</f>
        <v/>
      </c>
    </row>
    <row r="516" spans="1:97" x14ac:dyDescent="0.25">
      <c r="A516" t="s">
        <v>826</v>
      </c>
      <c r="B516" t="s">
        <v>3533</v>
      </c>
      <c r="C516" t="s">
        <v>3534</v>
      </c>
      <c r="D516" t="s">
        <v>3533</v>
      </c>
      <c r="E516" t="s">
        <v>3535</v>
      </c>
      <c r="F516" t="s">
        <v>108</v>
      </c>
      <c r="H516" t="s">
        <v>3536</v>
      </c>
      <c r="I516" t="s">
        <v>3150</v>
      </c>
      <c r="J516" t="s">
        <v>111</v>
      </c>
      <c r="K516" t="str">
        <f>"85340"</f>
        <v>85340</v>
      </c>
      <c r="L516" t="s">
        <v>3151</v>
      </c>
      <c r="M516" t="s">
        <v>3536</v>
      </c>
      <c r="N516" t="s">
        <v>3150</v>
      </c>
      <c r="O516" t="s">
        <v>111</v>
      </c>
      <c r="P516" t="str">
        <f>"85340-2811"</f>
        <v>85340-2811</v>
      </c>
      <c r="Q516" t="s">
        <v>113</v>
      </c>
      <c r="R516" t="str">
        <f>"501-73-879"</f>
        <v>501-73-879</v>
      </c>
      <c r="S516" t="s">
        <v>3152</v>
      </c>
      <c r="U516">
        <v>3419</v>
      </c>
      <c r="W516">
        <v>5</v>
      </c>
      <c r="X516">
        <v>2014</v>
      </c>
      <c r="Z516">
        <v>1</v>
      </c>
      <c r="AC516" t="s">
        <v>115</v>
      </c>
      <c r="AD516">
        <v>3</v>
      </c>
      <c r="AE516" t="s">
        <v>115</v>
      </c>
      <c r="AH516" t="s">
        <v>116</v>
      </c>
      <c r="AI516" s="1">
        <v>79499</v>
      </c>
      <c r="AJ516" s="2">
        <v>0.16</v>
      </c>
      <c r="AK516" s="1">
        <v>486299</v>
      </c>
      <c r="AL516" t="s">
        <v>117</v>
      </c>
      <c r="AM516" t="s">
        <v>118</v>
      </c>
      <c r="AN516">
        <v>10247</v>
      </c>
      <c r="AO516">
        <v>0.24</v>
      </c>
      <c r="AR516">
        <v>1</v>
      </c>
      <c r="AS516" s="1">
        <v>36380</v>
      </c>
      <c r="AT516" s="1">
        <v>7270</v>
      </c>
      <c r="AU516" s="1">
        <v>29110</v>
      </c>
      <c r="AV516">
        <v>80.02</v>
      </c>
      <c r="AX516" s="1">
        <v>3046.7</v>
      </c>
      <c r="AY516" t="s">
        <v>3019</v>
      </c>
      <c r="AZ516" t="s">
        <v>3153</v>
      </c>
      <c r="BA516" t="s">
        <v>3154</v>
      </c>
      <c r="BE516" s="3">
        <v>42076</v>
      </c>
      <c r="BF516" s="1">
        <v>356800</v>
      </c>
      <c r="BG516" t="s">
        <v>636</v>
      </c>
      <c r="BH516" s="1">
        <v>104.36</v>
      </c>
      <c r="BI516" s="1">
        <v>356800</v>
      </c>
      <c r="BJ516" s="3">
        <v>42076</v>
      </c>
      <c r="BK516" t="s">
        <v>123</v>
      </c>
      <c r="BL516" t="str">
        <f>"2015.171937"</f>
        <v>2015.171937</v>
      </c>
      <c r="BM516" t="s">
        <v>637</v>
      </c>
      <c r="BN516" t="s">
        <v>652</v>
      </c>
      <c r="BO516" t="s">
        <v>3537</v>
      </c>
      <c r="BS516">
        <v>30</v>
      </c>
      <c r="BT516" s="1">
        <v>50000</v>
      </c>
      <c r="BU516" s="3">
        <v>43629</v>
      </c>
      <c r="BV516" t="s">
        <v>134</v>
      </c>
      <c r="BW516" t="str">
        <f>"2019.442609"</f>
        <v>2019.442609</v>
      </c>
      <c r="BX516" t="s">
        <v>3538</v>
      </c>
      <c r="BY516" t="s">
        <v>3539</v>
      </c>
      <c r="BZ516" t="s">
        <v>3540</v>
      </c>
      <c r="CA516" t="s">
        <v>3541</v>
      </c>
      <c r="CC516" t="s">
        <v>139</v>
      </c>
      <c r="CH516" t="str">
        <f>""</f>
        <v/>
      </c>
      <c r="CS516" t="str">
        <f>""</f>
        <v/>
      </c>
    </row>
    <row r="517" spans="1:97" x14ac:dyDescent="0.25">
      <c r="A517" t="s">
        <v>3542</v>
      </c>
      <c r="B517" t="s">
        <v>3543</v>
      </c>
      <c r="C517" t="s">
        <v>3544</v>
      </c>
      <c r="D517" t="s">
        <v>3543</v>
      </c>
      <c r="E517" t="s">
        <v>3545</v>
      </c>
      <c r="F517" t="s">
        <v>108</v>
      </c>
      <c r="H517" t="s">
        <v>3546</v>
      </c>
      <c r="I517" t="s">
        <v>453</v>
      </c>
      <c r="J517" t="s">
        <v>111</v>
      </c>
      <c r="K517" t="str">
        <f>"85383"</f>
        <v>85383</v>
      </c>
      <c r="L517" t="s">
        <v>688</v>
      </c>
      <c r="M517" t="s">
        <v>3546</v>
      </c>
      <c r="N517" t="s">
        <v>453</v>
      </c>
      <c r="O517" t="s">
        <v>111</v>
      </c>
      <c r="P517" t="str">
        <f>"85383-2986"</f>
        <v>85383-2986</v>
      </c>
      <c r="Q517" t="s">
        <v>113</v>
      </c>
      <c r="R517" t="str">
        <f>"200-17-905"</f>
        <v>200-17-905</v>
      </c>
      <c r="S517" t="s">
        <v>3245</v>
      </c>
      <c r="T517" t="s">
        <v>1807</v>
      </c>
      <c r="U517">
        <v>3318</v>
      </c>
      <c r="W517">
        <v>4</v>
      </c>
      <c r="X517">
        <v>2014</v>
      </c>
      <c r="Z517">
        <v>1</v>
      </c>
      <c r="AC517" t="s">
        <v>115</v>
      </c>
      <c r="AD517">
        <v>2</v>
      </c>
      <c r="AE517" t="s">
        <v>115</v>
      </c>
      <c r="AH517" t="s">
        <v>116</v>
      </c>
      <c r="AI517" s="1">
        <v>96905</v>
      </c>
      <c r="AJ517" s="2">
        <v>0.18</v>
      </c>
      <c r="AK517" s="1">
        <v>536793</v>
      </c>
      <c r="AL517" t="s">
        <v>117</v>
      </c>
      <c r="AM517" t="s">
        <v>118</v>
      </c>
      <c r="AN517">
        <v>13296</v>
      </c>
      <c r="AO517">
        <v>0.3</v>
      </c>
      <c r="AR517">
        <v>1</v>
      </c>
      <c r="AS517" s="1">
        <v>41220</v>
      </c>
      <c r="AT517" s="1">
        <v>8240</v>
      </c>
      <c r="AU517" s="1">
        <v>32980</v>
      </c>
      <c r="AV517">
        <v>80.010000000000005</v>
      </c>
      <c r="AX517" s="1">
        <v>3148.24</v>
      </c>
      <c r="AY517" t="s">
        <v>1808</v>
      </c>
      <c r="AZ517" t="s">
        <v>1808</v>
      </c>
      <c r="BA517" t="s">
        <v>457</v>
      </c>
      <c r="BE517" s="3">
        <v>41984</v>
      </c>
      <c r="BF517" s="1">
        <v>433330</v>
      </c>
      <c r="BG517" t="s">
        <v>209</v>
      </c>
      <c r="BH517" s="1">
        <v>130.6</v>
      </c>
      <c r="BI517" s="1">
        <v>439888</v>
      </c>
      <c r="BJ517" s="3">
        <v>41984</v>
      </c>
      <c r="BK517" t="s">
        <v>123</v>
      </c>
      <c r="BL517" t="str">
        <f>"2014.815265"</f>
        <v>2014.815265</v>
      </c>
      <c r="BM517" t="s">
        <v>175</v>
      </c>
      <c r="BO517" t="s">
        <v>3547</v>
      </c>
      <c r="BS517">
        <v>30</v>
      </c>
      <c r="BW517" t="str">
        <f>""</f>
        <v/>
      </c>
      <c r="CH517" t="str">
        <f>""</f>
        <v/>
      </c>
      <c r="CS517" t="str">
        <f>""</f>
        <v/>
      </c>
    </row>
    <row r="518" spans="1:97" x14ac:dyDescent="0.25">
      <c r="A518" t="s">
        <v>305</v>
      </c>
      <c r="B518" t="s">
        <v>3548</v>
      </c>
      <c r="C518" t="s">
        <v>3549</v>
      </c>
      <c r="D518" t="s">
        <v>3548</v>
      </c>
      <c r="E518" t="s">
        <v>3550</v>
      </c>
      <c r="F518" t="s">
        <v>108</v>
      </c>
      <c r="H518" t="s">
        <v>3551</v>
      </c>
      <c r="I518" t="s">
        <v>3150</v>
      </c>
      <c r="J518" t="s">
        <v>111</v>
      </c>
      <c r="K518" t="str">
        <f>"85340"</f>
        <v>85340</v>
      </c>
      <c r="L518" t="s">
        <v>3151</v>
      </c>
      <c r="M518" t="s">
        <v>3551</v>
      </c>
      <c r="N518" t="s">
        <v>3150</v>
      </c>
      <c r="O518" t="s">
        <v>111</v>
      </c>
      <c r="P518" t="str">
        <f>"85340-2805"</f>
        <v>85340-2805</v>
      </c>
      <c r="Q518" t="s">
        <v>113</v>
      </c>
      <c r="R518" t="str">
        <f>"501-73-862"</f>
        <v>501-73-862</v>
      </c>
      <c r="S518" t="s">
        <v>3152</v>
      </c>
      <c r="U518">
        <v>3419</v>
      </c>
      <c r="W518">
        <v>5</v>
      </c>
      <c r="X518">
        <v>2014</v>
      </c>
      <c r="Z518">
        <v>1</v>
      </c>
      <c r="AA518" t="s">
        <v>26</v>
      </c>
      <c r="AC518" t="s">
        <v>115</v>
      </c>
      <c r="AD518">
        <v>3</v>
      </c>
      <c r="AE518" t="s">
        <v>115</v>
      </c>
      <c r="AH518" t="s">
        <v>116</v>
      </c>
      <c r="AI518" s="1">
        <v>126337</v>
      </c>
      <c r="AJ518" s="2">
        <v>0.23</v>
      </c>
      <c r="AK518" s="1">
        <v>540098</v>
      </c>
      <c r="AL518" t="s">
        <v>117</v>
      </c>
      <c r="AM518" t="s">
        <v>118</v>
      </c>
      <c r="AN518">
        <v>12928</v>
      </c>
      <c r="AO518">
        <v>0.3</v>
      </c>
      <c r="AR518">
        <v>1</v>
      </c>
      <c r="AS518" s="1">
        <v>40650</v>
      </c>
      <c r="AT518" s="1">
        <v>8130</v>
      </c>
      <c r="AU518" s="1">
        <v>32520</v>
      </c>
      <c r="AV518">
        <v>80</v>
      </c>
      <c r="AX518" s="1">
        <v>3514.6</v>
      </c>
      <c r="AY518" t="s">
        <v>3019</v>
      </c>
      <c r="AZ518" t="s">
        <v>3153</v>
      </c>
      <c r="BA518" t="s">
        <v>3154</v>
      </c>
      <c r="BE518" s="3">
        <v>42032</v>
      </c>
      <c r="BF518" s="1">
        <v>423396</v>
      </c>
      <c r="BG518" t="s">
        <v>636</v>
      </c>
      <c r="BH518" s="1">
        <v>123.84</v>
      </c>
      <c r="BI518" s="1">
        <v>413761</v>
      </c>
      <c r="BJ518" s="3">
        <v>42359</v>
      </c>
      <c r="BK518" t="s">
        <v>123</v>
      </c>
      <c r="BL518" t="str">
        <f>"2015.896833"</f>
        <v>2015.896833</v>
      </c>
      <c r="BM518" t="s">
        <v>309</v>
      </c>
      <c r="BO518" t="s">
        <v>3552</v>
      </c>
      <c r="BS518">
        <v>30</v>
      </c>
      <c r="BW518" t="str">
        <f>""</f>
        <v/>
      </c>
      <c r="CH518" t="str">
        <f>""</f>
        <v/>
      </c>
      <c r="CS518" t="str">
        <f>""</f>
        <v/>
      </c>
    </row>
    <row r="519" spans="1:97" x14ac:dyDescent="0.25">
      <c r="A519" t="s">
        <v>894</v>
      </c>
      <c r="B519" t="s">
        <v>3553</v>
      </c>
      <c r="E519" t="s">
        <v>3554</v>
      </c>
      <c r="F519" t="s">
        <v>108</v>
      </c>
      <c r="H519" t="s">
        <v>3555</v>
      </c>
      <c r="I519" t="s">
        <v>390</v>
      </c>
      <c r="J519" t="s">
        <v>111</v>
      </c>
      <c r="K519" t="str">
        <f>"85045"</f>
        <v>85045</v>
      </c>
      <c r="L519" t="s">
        <v>3430</v>
      </c>
      <c r="M519" t="s">
        <v>3555</v>
      </c>
      <c r="N519" t="s">
        <v>390</v>
      </c>
      <c r="O519" t="s">
        <v>111</v>
      </c>
      <c r="P519" t="str">
        <f>"85045"</f>
        <v>85045</v>
      </c>
      <c r="Q519" t="s">
        <v>113</v>
      </c>
      <c r="R519" t="str">
        <f>"311-02-897"</f>
        <v>311-02-897</v>
      </c>
      <c r="S519" t="s">
        <v>3431</v>
      </c>
      <c r="U519">
        <v>2904</v>
      </c>
      <c r="W519">
        <v>4</v>
      </c>
      <c r="X519">
        <v>2015</v>
      </c>
      <c r="Z519">
        <v>2</v>
      </c>
      <c r="AC519" t="s">
        <v>115</v>
      </c>
      <c r="AD519">
        <v>2</v>
      </c>
      <c r="AE519" t="s">
        <v>115</v>
      </c>
      <c r="AH519" t="s">
        <v>116</v>
      </c>
      <c r="AI519" s="1">
        <v>141417</v>
      </c>
      <c r="AJ519" s="2">
        <v>0.33</v>
      </c>
      <c r="AK519" s="1">
        <v>428958</v>
      </c>
      <c r="AL519" t="s">
        <v>117</v>
      </c>
      <c r="AM519" t="s">
        <v>118</v>
      </c>
      <c r="AN519">
        <v>4710</v>
      </c>
      <c r="AO519">
        <v>0.11</v>
      </c>
      <c r="AR519">
        <v>1</v>
      </c>
      <c r="AS519" s="1">
        <v>30610</v>
      </c>
      <c r="AT519" s="1">
        <v>6120</v>
      </c>
      <c r="AU519" s="1">
        <v>24490</v>
      </c>
      <c r="AV519">
        <v>80.010000000000005</v>
      </c>
      <c r="AX519" s="1">
        <v>2831.08</v>
      </c>
      <c r="AY519" t="s">
        <v>2966</v>
      </c>
      <c r="AZ519" t="s">
        <v>2967</v>
      </c>
      <c r="BA519" t="s">
        <v>930</v>
      </c>
      <c r="BE519" s="3">
        <v>42185</v>
      </c>
      <c r="BF519" s="1">
        <v>354990</v>
      </c>
      <c r="BG519" t="s">
        <v>195</v>
      </c>
      <c r="BH519" s="1">
        <v>122.24</v>
      </c>
      <c r="BI519" s="1">
        <v>287541</v>
      </c>
      <c r="BJ519" s="3">
        <v>42185</v>
      </c>
      <c r="BK519" t="s">
        <v>123</v>
      </c>
      <c r="BL519" t="str">
        <f>"2015.472627"</f>
        <v>2015.472627</v>
      </c>
      <c r="BM519" t="s">
        <v>196</v>
      </c>
      <c r="BO519" t="s">
        <v>3556</v>
      </c>
      <c r="BS519">
        <v>30</v>
      </c>
      <c r="BW519" t="str">
        <f>""</f>
        <v/>
      </c>
      <c r="CH519" t="str">
        <f>""</f>
        <v/>
      </c>
      <c r="CS519" t="str">
        <f>""</f>
        <v/>
      </c>
    </row>
    <row r="520" spans="1:97" x14ac:dyDescent="0.25">
      <c r="A520" t="s">
        <v>589</v>
      </c>
      <c r="B520" t="s">
        <v>3557</v>
      </c>
      <c r="C520" t="s">
        <v>3558</v>
      </c>
      <c r="D520" t="s">
        <v>1233</v>
      </c>
      <c r="E520" t="s">
        <v>3559</v>
      </c>
      <c r="F520" t="s">
        <v>108</v>
      </c>
      <c r="H520" t="s">
        <v>3560</v>
      </c>
      <c r="I520" t="s">
        <v>188</v>
      </c>
      <c r="J520" t="s">
        <v>111</v>
      </c>
      <c r="K520" t="str">
        <f>"85142"</f>
        <v>85142</v>
      </c>
      <c r="L520" t="s">
        <v>516</v>
      </c>
      <c r="M520" t="s">
        <v>3560</v>
      </c>
      <c r="N520" t="s">
        <v>188</v>
      </c>
      <c r="O520" t="s">
        <v>111</v>
      </c>
      <c r="P520" t="str">
        <f>"85142-5307"</f>
        <v>85142-5307</v>
      </c>
      <c r="Q520" t="s">
        <v>113</v>
      </c>
      <c r="R520" t="str">
        <f>"304-91-961-T"</f>
        <v>304-91-961-T</v>
      </c>
      <c r="U520">
        <v>3355</v>
      </c>
      <c r="W520">
        <v>4</v>
      </c>
      <c r="X520">
        <v>2015</v>
      </c>
      <c r="Z520">
        <v>1</v>
      </c>
      <c r="AC520" t="s">
        <v>115</v>
      </c>
      <c r="AD520">
        <v>3</v>
      </c>
      <c r="AE520" t="s">
        <v>115</v>
      </c>
      <c r="AH520" t="s">
        <v>116</v>
      </c>
      <c r="AI520" s="1">
        <v>200068</v>
      </c>
      <c r="AJ520" s="2">
        <v>0.32</v>
      </c>
      <c r="AK520" s="1">
        <v>619317</v>
      </c>
      <c r="AL520" t="s">
        <v>117</v>
      </c>
      <c r="AM520" t="s">
        <v>376</v>
      </c>
      <c r="AN520">
        <v>43560</v>
      </c>
      <c r="AO520">
        <v>1</v>
      </c>
      <c r="AR520">
        <v>1</v>
      </c>
      <c r="AS520" s="1">
        <v>44810</v>
      </c>
      <c r="AT520" s="1">
        <v>8960</v>
      </c>
      <c r="AU520" s="1">
        <v>35850</v>
      </c>
      <c r="AV520">
        <v>80</v>
      </c>
      <c r="AX520" s="1">
        <v>3820.88</v>
      </c>
      <c r="AY520" t="s">
        <v>1074</v>
      </c>
      <c r="AZ520" t="s">
        <v>193</v>
      </c>
      <c r="BA520" t="s">
        <v>194</v>
      </c>
      <c r="BE520" s="3">
        <v>42313</v>
      </c>
      <c r="BF520" s="1">
        <v>420000</v>
      </c>
      <c r="BG520" t="s">
        <v>3561</v>
      </c>
      <c r="BH520" s="1">
        <v>125.19</v>
      </c>
      <c r="BI520" s="1">
        <v>419249</v>
      </c>
      <c r="BJ520" s="3">
        <v>42313</v>
      </c>
      <c r="BK520" t="s">
        <v>123</v>
      </c>
      <c r="BL520" t="str">
        <f>"2015.796243"</f>
        <v>2015.796243</v>
      </c>
      <c r="BM520" t="s">
        <v>3562</v>
      </c>
      <c r="BO520" t="s">
        <v>3563</v>
      </c>
      <c r="BP520" t="s">
        <v>3564</v>
      </c>
      <c r="BS520">
        <v>30</v>
      </c>
      <c r="BW520" t="str">
        <f>""</f>
        <v/>
      </c>
      <c r="CH520" t="str">
        <f>""</f>
        <v/>
      </c>
      <c r="CS520" t="str">
        <f>""</f>
        <v/>
      </c>
    </row>
    <row r="521" spans="1:97" x14ac:dyDescent="0.25">
      <c r="A521" t="s">
        <v>3565</v>
      </c>
      <c r="B521" t="s">
        <v>2167</v>
      </c>
      <c r="E521" t="s">
        <v>3566</v>
      </c>
      <c r="F521" t="s">
        <v>108</v>
      </c>
      <c r="H521" t="s">
        <v>3567</v>
      </c>
      <c r="I521" t="s">
        <v>188</v>
      </c>
      <c r="J521" t="s">
        <v>111</v>
      </c>
      <c r="K521" t="str">
        <f>"85142"</f>
        <v>85142</v>
      </c>
      <c r="L521" t="s">
        <v>189</v>
      </c>
      <c r="M521" t="s">
        <v>3567</v>
      </c>
      <c r="N521" t="s">
        <v>188</v>
      </c>
      <c r="O521" t="s">
        <v>111</v>
      </c>
      <c r="P521" t="str">
        <f>"85142-8730"</f>
        <v>85142-8730</v>
      </c>
      <c r="Q521" t="s">
        <v>113</v>
      </c>
      <c r="R521" t="str">
        <f>"304-87-901"</f>
        <v>304-87-901</v>
      </c>
      <c r="S521" t="s">
        <v>3568</v>
      </c>
      <c r="U521">
        <v>2527</v>
      </c>
      <c r="W521">
        <v>4</v>
      </c>
      <c r="X521">
        <v>2015</v>
      </c>
      <c r="Z521">
        <v>1</v>
      </c>
      <c r="AC521" t="s">
        <v>115</v>
      </c>
      <c r="AD521">
        <v>3</v>
      </c>
      <c r="AE521" t="s">
        <v>115</v>
      </c>
      <c r="AH521" t="s">
        <v>116</v>
      </c>
      <c r="AI521" s="1">
        <v>104501</v>
      </c>
      <c r="AJ521" s="2">
        <v>0.24</v>
      </c>
      <c r="AK521" s="1">
        <v>429345</v>
      </c>
      <c r="AL521" t="s">
        <v>117</v>
      </c>
      <c r="AM521" t="s">
        <v>393</v>
      </c>
      <c r="AN521">
        <v>9230</v>
      </c>
      <c r="AO521">
        <v>0.21</v>
      </c>
      <c r="AR521">
        <v>1</v>
      </c>
      <c r="AS521" s="1">
        <v>31050</v>
      </c>
      <c r="AT521" s="1">
        <v>6210</v>
      </c>
      <c r="AU521" s="1">
        <v>24840</v>
      </c>
      <c r="AV521">
        <v>80</v>
      </c>
      <c r="AX521" s="1">
        <v>2922.44</v>
      </c>
      <c r="AY521" t="s">
        <v>192</v>
      </c>
      <c r="AZ521" t="s">
        <v>193</v>
      </c>
      <c r="BA521" t="s">
        <v>194</v>
      </c>
      <c r="BB521" s="3">
        <v>43551</v>
      </c>
      <c r="BC521" s="1">
        <v>0</v>
      </c>
      <c r="BD521" t="s">
        <v>247</v>
      </c>
      <c r="BE521" s="3">
        <v>42276</v>
      </c>
      <c r="BF521" s="1">
        <v>318007</v>
      </c>
      <c r="BG521" t="s">
        <v>1975</v>
      </c>
      <c r="BH521" s="1">
        <v>125.84</v>
      </c>
      <c r="BI521" s="1">
        <v>324844</v>
      </c>
      <c r="BJ521" s="3">
        <v>42276</v>
      </c>
      <c r="BK521" t="s">
        <v>123</v>
      </c>
      <c r="BL521" t="str">
        <f>"2015.698203"</f>
        <v>2015.698203</v>
      </c>
      <c r="BM521" t="s">
        <v>3294</v>
      </c>
      <c r="BN521" t="s">
        <v>3569</v>
      </c>
      <c r="BO521" t="s">
        <v>3570</v>
      </c>
      <c r="BS521">
        <v>30</v>
      </c>
      <c r="BW521" t="str">
        <f>""</f>
        <v/>
      </c>
      <c r="CH521" t="str">
        <f>""</f>
        <v/>
      </c>
      <c r="CS521" t="str">
        <f>""</f>
        <v/>
      </c>
    </row>
    <row r="522" spans="1:97" x14ac:dyDescent="0.25">
      <c r="A522" t="s">
        <v>3571</v>
      </c>
      <c r="B522" t="s">
        <v>3572</v>
      </c>
      <c r="E522" t="s">
        <v>3573</v>
      </c>
      <c r="F522" t="s">
        <v>108</v>
      </c>
      <c r="H522" t="s">
        <v>3574</v>
      </c>
      <c r="I522" t="s">
        <v>453</v>
      </c>
      <c r="J522" t="s">
        <v>111</v>
      </c>
      <c r="K522" t="str">
        <f>"85383"</f>
        <v>85383</v>
      </c>
      <c r="L522" t="s">
        <v>1383</v>
      </c>
      <c r="M522" t="s">
        <v>3574</v>
      </c>
      <c r="N522" t="s">
        <v>453</v>
      </c>
      <c r="O522" t="s">
        <v>111</v>
      </c>
      <c r="P522" t="str">
        <f>"85383-6305"</f>
        <v>85383-6305</v>
      </c>
      <c r="Q522" t="s">
        <v>113</v>
      </c>
      <c r="R522" t="str">
        <f>"201-20-632"</f>
        <v>201-20-632</v>
      </c>
      <c r="S522" t="s">
        <v>1384</v>
      </c>
      <c r="U522">
        <v>2555</v>
      </c>
      <c r="W522">
        <v>4</v>
      </c>
      <c r="X522">
        <v>2015</v>
      </c>
      <c r="Z522">
        <v>2</v>
      </c>
      <c r="AC522" t="s">
        <v>115</v>
      </c>
      <c r="AD522">
        <v>2</v>
      </c>
      <c r="AE522" t="s">
        <v>115</v>
      </c>
      <c r="AH522" t="s">
        <v>116</v>
      </c>
      <c r="AI522" s="1">
        <v>69616</v>
      </c>
      <c r="AJ522" s="2">
        <v>0.19</v>
      </c>
      <c r="AK522" s="1">
        <v>374023</v>
      </c>
      <c r="AL522" t="s">
        <v>117</v>
      </c>
      <c r="AM522" t="s">
        <v>118</v>
      </c>
      <c r="AN522">
        <v>6292</v>
      </c>
      <c r="AO522">
        <v>0.14000000000000001</v>
      </c>
      <c r="AR522">
        <v>1</v>
      </c>
      <c r="AS522" s="1">
        <v>27820</v>
      </c>
      <c r="AT522" s="1">
        <v>5560</v>
      </c>
      <c r="AU522" s="1">
        <v>22260</v>
      </c>
      <c r="AV522">
        <v>80.010000000000005</v>
      </c>
      <c r="AX522" s="1">
        <v>2172.96</v>
      </c>
      <c r="AY522" t="s">
        <v>1385</v>
      </c>
      <c r="AZ522" t="s">
        <v>1385</v>
      </c>
      <c r="BA522" t="s">
        <v>1386</v>
      </c>
      <c r="BE522" s="3">
        <v>42201</v>
      </c>
      <c r="BF522" s="1">
        <v>298000</v>
      </c>
      <c r="BG522" t="s">
        <v>195</v>
      </c>
      <c r="BH522" s="1">
        <v>116.63</v>
      </c>
      <c r="BI522" s="1">
        <v>304407</v>
      </c>
      <c r="BJ522" s="3">
        <v>42201</v>
      </c>
      <c r="BK522" t="s">
        <v>123</v>
      </c>
      <c r="BL522" t="str">
        <f>"2015.513756"</f>
        <v>2015.513756</v>
      </c>
      <c r="BM522" t="s">
        <v>196</v>
      </c>
      <c r="BO522" t="s">
        <v>3575</v>
      </c>
      <c r="BS522">
        <v>30</v>
      </c>
      <c r="BW522" t="str">
        <f>""</f>
        <v/>
      </c>
      <c r="CH522" t="str">
        <f>""</f>
        <v/>
      </c>
      <c r="CS522" t="str">
        <f>""</f>
        <v/>
      </c>
    </row>
    <row r="523" spans="1:97" x14ac:dyDescent="0.25">
      <c r="A523" t="s">
        <v>2123</v>
      </c>
      <c r="B523" t="s">
        <v>3576</v>
      </c>
      <c r="C523" t="s">
        <v>2395</v>
      </c>
      <c r="D523" t="s">
        <v>3576</v>
      </c>
      <c r="E523" t="s">
        <v>3577</v>
      </c>
      <c r="F523" t="s">
        <v>108</v>
      </c>
      <c r="H523" t="s">
        <v>3578</v>
      </c>
      <c r="I523" t="s">
        <v>3150</v>
      </c>
      <c r="J523" t="s">
        <v>111</v>
      </c>
      <c r="K523" t="str">
        <f>"85340"</f>
        <v>85340</v>
      </c>
      <c r="L523" t="s">
        <v>3151</v>
      </c>
      <c r="M523" t="s">
        <v>3578</v>
      </c>
      <c r="N523" t="s">
        <v>3150</v>
      </c>
      <c r="O523" t="s">
        <v>111</v>
      </c>
      <c r="P523" t="str">
        <f>"85340-2806"</f>
        <v>85340-2806</v>
      </c>
      <c r="Q523" t="s">
        <v>113</v>
      </c>
      <c r="R523" t="str">
        <f>"501-73-869"</f>
        <v>501-73-869</v>
      </c>
      <c r="S523" t="s">
        <v>3152</v>
      </c>
      <c r="U523">
        <v>2868</v>
      </c>
      <c r="W523">
        <v>4</v>
      </c>
      <c r="X523">
        <v>2015</v>
      </c>
      <c r="Z523">
        <v>1</v>
      </c>
      <c r="AC523" t="s">
        <v>115</v>
      </c>
      <c r="AD523">
        <v>4</v>
      </c>
      <c r="AE523" t="s">
        <v>115</v>
      </c>
      <c r="AH523" t="s">
        <v>116</v>
      </c>
      <c r="AI523" s="1">
        <v>117118</v>
      </c>
      <c r="AJ523" s="2">
        <v>0.25</v>
      </c>
      <c r="AK523" s="1">
        <v>473968</v>
      </c>
      <c r="AL523" t="s">
        <v>117</v>
      </c>
      <c r="AM523" t="s">
        <v>118</v>
      </c>
      <c r="AN523">
        <v>10104</v>
      </c>
      <c r="AO523">
        <v>0.23</v>
      </c>
      <c r="AR523">
        <v>1</v>
      </c>
      <c r="AS523" s="1">
        <v>33080</v>
      </c>
      <c r="AT523" s="1">
        <v>6610</v>
      </c>
      <c r="AU523" s="1">
        <v>26470</v>
      </c>
      <c r="AV523">
        <v>80.02</v>
      </c>
      <c r="AX523" s="1">
        <v>2845.72</v>
      </c>
      <c r="AY523" t="s">
        <v>3019</v>
      </c>
      <c r="AZ523" t="s">
        <v>3153</v>
      </c>
      <c r="BA523" t="s">
        <v>3154</v>
      </c>
      <c r="BE523" s="3">
        <v>42156</v>
      </c>
      <c r="BF523" s="1">
        <v>356850</v>
      </c>
      <c r="BG523" t="s">
        <v>636</v>
      </c>
      <c r="BH523" s="1">
        <v>124.42</v>
      </c>
      <c r="BI523" s="1">
        <v>356850</v>
      </c>
      <c r="BJ523" s="3">
        <v>42156</v>
      </c>
      <c r="BK523" t="s">
        <v>123</v>
      </c>
      <c r="BL523" t="str">
        <f>"2015.389287"</f>
        <v>2015.389287</v>
      </c>
      <c r="BM523" t="s">
        <v>637</v>
      </c>
      <c r="BO523" t="s">
        <v>3579</v>
      </c>
      <c r="BS523">
        <v>30</v>
      </c>
      <c r="BW523" t="str">
        <f>""</f>
        <v/>
      </c>
      <c r="CH523" t="str">
        <f>""</f>
        <v/>
      </c>
      <c r="CS523" t="str">
        <f>""</f>
        <v/>
      </c>
    </row>
    <row r="524" spans="1:97" x14ac:dyDescent="0.25">
      <c r="A524" t="s">
        <v>3580</v>
      </c>
      <c r="B524" t="s">
        <v>3581</v>
      </c>
      <c r="C524" t="s">
        <v>2019</v>
      </c>
      <c r="D524" t="s">
        <v>3582</v>
      </c>
      <c r="E524" t="s">
        <v>3583</v>
      </c>
      <c r="F524" t="s">
        <v>108</v>
      </c>
      <c r="H524" t="s">
        <v>3584</v>
      </c>
      <c r="I524" t="s">
        <v>188</v>
      </c>
      <c r="J524" t="s">
        <v>111</v>
      </c>
      <c r="K524" t="str">
        <f>"85142"</f>
        <v>85142</v>
      </c>
      <c r="L524" t="s">
        <v>2197</v>
      </c>
      <c r="M524" t="s">
        <v>3584</v>
      </c>
      <c r="N524" t="s">
        <v>188</v>
      </c>
      <c r="O524" t="s">
        <v>111</v>
      </c>
      <c r="P524" t="str">
        <f>"85142-7861"</f>
        <v>85142-7861</v>
      </c>
      <c r="Q524" t="s">
        <v>113</v>
      </c>
      <c r="R524" t="str">
        <f>"304-93-730"</f>
        <v>304-93-730</v>
      </c>
      <c r="S524" t="s">
        <v>2198</v>
      </c>
      <c r="T524" t="s">
        <v>2198</v>
      </c>
      <c r="U524">
        <v>3742</v>
      </c>
      <c r="W524">
        <v>6</v>
      </c>
      <c r="X524">
        <v>2014</v>
      </c>
      <c r="Z524">
        <v>2</v>
      </c>
      <c r="AC524" t="s">
        <v>115</v>
      </c>
      <c r="AD524">
        <v>3</v>
      </c>
      <c r="AE524" t="s">
        <v>115</v>
      </c>
      <c r="AH524" t="s">
        <v>116</v>
      </c>
      <c r="AI524" s="1">
        <v>70187</v>
      </c>
      <c r="AJ524" s="2">
        <v>0.15</v>
      </c>
      <c r="AK524" s="1">
        <v>461137</v>
      </c>
      <c r="AL524" t="s">
        <v>117</v>
      </c>
      <c r="AM524" t="s">
        <v>393</v>
      </c>
      <c r="AN524">
        <v>8450</v>
      </c>
      <c r="AO524">
        <v>0.19</v>
      </c>
      <c r="AR524">
        <v>1</v>
      </c>
      <c r="AS524" s="1">
        <v>34160</v>
      </c>
      <c r="AT524" s="1">
        <v>6830</v>
      </c>
      <c r="AU524" s="1">
        <v>27330</v>
      </c>
      <c r="AV524">
        <v>80.010000000000005</v>
      </c>
      <c r="AX524" s="1">
        <v>3249.4</v>
      </c>
      <c r="AY524" t="s">
        <v>192</v>
      </c>
      <c r="AZ524" t="s">
        <v>193</v>
      </c>
      <c r="BA524" t="s">
        <v>194</v>
      </c>
      <c r="BE524" s="3">
        <v>42192</v>
      </c>
      <c r="BF524" s="1">
        <v>375659</v>
      </c>
      <c r="BG524" t="s">
        <v>2199</v>
      </c>
      <c r="BH524" s="1">
        <v>100.39</v>
      </c>
      <c r="BI524" s="1">
        <v>390950</v>
      </c>
      <c r="BJ524" s="3">
        <v>42697</v>
      </c>
      <c r="BK524" t="s">
        <v>123</v>
      </c>
      <c r="BL524" t="str">
        <f>"2016.867369"</f>
        <v>2016.867369</v>
      </c>
      <c r="BM524" t="s">
        <v>255</v>
      </c>
      <c r="BO524" t="s">
        <v>3585</v>
      </c>
      <c r="BS524">
        <v>30</v>
      </c>
      <c r="BW524" t="str">
        <f>""</f>
        <v/>
      </c>
      <c r="CH524" t="str">
        <f>""</f>
        <v/>
      </c>
      <c r="CS524" t="str">
        <f>""</f>
        <v/>
      </c>
    </row>
    <row r="525" spans="1:97" x14ac:dyDescent="0.25">
      <c r="A525" t="s">
        <v>996</v>
      </c>
      <c r="B525" t="s">
        <v>3586</v>
      </c>
      <c r="C525" t="s">
        <v>3587</v>
      </c>
      <c r="D525" t="s">
        <v>3586</v>
      </c>
      <c r="E525" t="s">
        <v>3588</v>
      </c>
      <c r="F525" t="s">
        <v>108</v>
      </c>
      <c r="H525" t="s">
        <v>3589</v>
      </c>
      <c r="I525" t="s">
        <v>453</v>
      </c>
      <c r="J525" t="s">
        <v>111</v>
      </c>
      <c r="K525" t="str">
        <f>"85383"</f>
        <v>85383</v>
      </c>
      <c r="L525" t="s">
        <v>2015</v>
      </c>
      <c r="M525" t="s">
        <v>3589</v>
      </c>
      <c r="N525" t="s">
        <v>453</v>
      </c>
      <c r="O525" t="s">
        <v>111</v>
      </c>
      <c r="P525" t="str">
        <f>"85383-9799"</f>
        <v>85383-9799</v>
      </c>
      <c r="Q525" t="s">
        <v>113</v>
      </c>
      <c r="R525" t="str">
        <f>"201-19-330"</f>
        <v>201-19-330</v>
      </c>
      <c r="S525" t="s">
        <v>2229</v>
      </c>
      <c r="U525">
        <v>3348</v>
      </c>
      <c r="W525">
        <v>6</v>
      </c>
      <c r="X525">
        <v>2014</v>
      </c>
      <c r="Z525">
        <v>2</v>
      </c>
      <c r="AA525" t="s">
        <v>26</v>
      </c>
      <c r="AC525" t="s">
        <v>115</v>
      </c>
      <c r="AD525">
        <v>3</v>
      </c>
      <c r="AE525" t="s">
        <v>115</v>
      </c>
      <c r="AH525" t="s">
        <v>116</v>
      </c>
      <c r="AI525" s="1">
        <v>74318</v>
      </c>
      <c r="AJ525" s="2">
        <v>0.15</v>
      </c>
      <c r="AK525" s="1">
        <v>503654</v>
      </c>
      <c r="AL525" t="s">
        <v>117</v>
      </c>
      <c r="AM525" t="s">
        <v>118</v>
      </c>
      <c r="AN525">
        <v>10104</v>
      </c>
      <c r="AO525">
        <v>0.23</v>
      </c>
      <c r="AR525">
        <v>1</v>
      </c>
      <c r="AS525" s="1">
        <v>37460</v>
      </c>
      <c r="AT525" s="1">
        <v>7490</v>
      </c>
      <c r="AU525" s="1">
        <v>29970</v>
      </c>
      <c r="AV525">
        <v>80.010000000000005</v>
      </c>
      <c r="AX525" s="1">
        <v>3471.1</v>
      </c>
      <c r="AY525" t="s">
        <v>456</v>
      </c>
      <c r="AZ525" t="s">
        <v>456</v>
      </c>
      <c r="BA525" t="s">
        <v>457</v>
      </c>
      <c r="BE525" s="3">
        <v>42109</v>
      </c>
      <c r="BF525" s="1">
        <v>425315</v>
      </c>
      <c r="BG525" t="s">
        <v>446</v>
      </c>
      <c r="BH525" s="1">
        <v>127.04</v>
      </c>
      <c r="BI525" s="1">
        <v>429336</v>
      </c>
      <c r="BJ525" s="3">
        <v>42622</v>
      </c>
      <c r="BK525" t="s">
        <v>123</v>
      </c>
      <c r="BL525" t="str">
        <f>"2016.656681"</f>
        <v>2016.656681</v>
      </c>
      <c r="BM525" t="s">
        <v>673</v>
      </c>
      <c r="BO525" t="s">
        <v>3590</v>
      </c>
      <c r="BS525">
        <v>30</v>
      </c>
      <c r="BW525" t="str">
        <f>""</f>
        <v/>
      </c>
      <c r="CH525" t="str">
        <f>""</f>
        <v/>
      </c>
      <c r="CS525" t="str">
        <f>""</f>
        <v/>
      </c>
    </row>
    <row r="526" spans="1:97" x14ac:dyDescent="0.25">
      <c r="A526" t="s">
        <v>3591</v>
      </c>
      <c r="B526" t="s">
        <v>3592</v>
      </c>
      <c r="C526" t="s">
        <v>3593</v>
      </c>
      <c r="D526" t="s">
        <v>3592</v>
      </c>
      <c r="E526" t="s">
        <v>3594</v>
      </c>
      <c r="F526" t="s">
        <v>108</v>
      </c>
      <c r="H526" t="s">
        <v>3595</v>
      </c>
      <c r="I526" t="s">
        <v>3150</v>
      </c>
      <c r="J526" t="s">
        <v>111</v>
      </c>
      <c r="K526" t="str">
        <f>"85340"</f>
        <v>85340</v>
      </c>
      <c r="L526" t="s">
        <v>3151</v>
      </c>
      <c r="M526" t="s">
        <v>3595</v>
      </c>
      <c r="N526" t="s">
        <v>3150</v>
      </c>
      <c r="O526" t="s">
        <v>111</v>
      </c>
      <c r="P526" t="str">
        <f>"85340-2812"</f>
        <v>85340-2812</v>
      </c>
      <c r="Q526" t="s">
        <v>113</v>
      </c>
      <c r="R526" t="str">
        <f>"501-73-899"</f>
        <v>501-73-899</v>
      </c>
      <c r="S526" t="s">
        <v>3152</v>
      </c>
      <c r="U526">
        <v>2868</v>
      </c>
      <c r="W526">
        <v>4</v>
      </c>
      <c r="X526">
        <v>2014</v>
      </c>
      <c r="Z526">
        <v>1</v>
      </c>
      <c r="AC526" t="s">
        <v>115</v>
      </c>
      <c r="AD526">
        <v>4</v>
      </c>
      <c r="AE526" t="s">
        <v>115</v>
      </c>
      <c r="AH526" t="s">
        <v>116</v>
      </c>
      <c r="AI526" s="1">
        <v>40355</v>
      </c>
      <c r="AJ526" s="2">
        <v>0.08</v>
      </c>
      <c r="AK526" s="1">
        <v>480305</v>
      </c>
      <c r="AL526" t="s">
        <v>117</v>
      </c>
      <c r="AM526" t="s">
        <v>118</v>
      </c>
      <c r="AN526">
        <v>10040</v>
      </c>
      <c r="AO526">
        <v>0.23</v>
      </c>
      <c r="AR526">
        <v>1</v>
      </c>
      <c r="AS526" s="1">
        <v>33060</v>
      </c>
      <c r="AT526" s="1">
        <v>6610</v>
      </c>
      <c r="AU526" s="1">
        <v>26450</v>
      </c>
      <c r="AV526">
        <v>80.010000000000005</v>
      </c>
      <c r="AX526" s="1">
        <v>2777.42</v>
      </c>
      <c r="AY526" t="s">
        <v>3019</v>
      </c>
      <c r="AZ526" t="s">
        <v>3153</v>
      </c>
      <c r="BA526" t="s">
        <v>3154</v>
      </c>
      <c r="BE526" s="3">
        <v>42124</v>
      </c>
      <c r="BF526" s="1">
        <v>400540</v>
      </c>
      <c r="BG526" t="s">
        <v>636</v>
      </c>
      <c r="BH526" s="1">
        <v>139.66</v>
      </c>
      <c r="BI526" s="1">
        <v>439950</v>
      </c>
      <c r="BJ526" s="3">
        <v>43558</v>
      </c>
      <c r="BK526" t="s">
        <v>123</v>
      </c>
      <c r="BL526" t="str">
        <f>"2019.231256"</f>
        <v>2019.231256</v>
      </c>
      <c r="BM526" t="s">
        <v>248</v>
      </c>
      <c r="BN526" t="s">
        <v>249</v>
      </c>
      <c r="BO526" t="s">
        <v>3596</v>
      </c>
      <c r="BP526" t="s">
        <v>3597</v>
      </c>
      <c r="BR526" t="s">
        <v>139</v>
      </c>
      <c r="BW526" t="str">
        <f>""</f>
        <v/>
      </c>
      <c r="CH526" t="str">
        <f>""</f>
        <v/>
      </c>
      <c r="CS526" t="str">
        <f>""</f>
        <v/>
      </c>
    </row>
    <row r="527" spans="1:97" x14ac:dyDescent="0.25">
      <c r="B527" t="s">
        <v>3598</v>
      </c>
      <c r="E527" t="s">
        <v>3599</v>
      </c>
      <c r="F527" t="s">
        <v>108</v>
      </c>
      <c r="H527" t="s">
        <v>3600</v>
      </c>
      <c r="I527" t="s">
        <v>203</v>
      </c>
      <c r="J527" t="s">
        <v>111</v>
      </c>
      <c r="K527" t="str">
        <f>"85295"</f>
        <v>85295</v>
      </c>
      <c r="L527" t="s">
        <v>1815</v>
      </c>
      <c r="M527" t="s">
        <v>3600</v>
      </c>
      <c r="N527" t="s">
        <v>203</v>
      </c>
      <c r="O527" t="s">
        <v>111</v>
      </c>
      <c r="P527" t="str">
        <f>"85295-1123"</f>
        <v>85295-1123</v>
      </c>
      <c r="Q527" t="s">
        <v>113</v>
      </c>
      <c r="R527" t="str">
        <f>"304-86-738"</f>
        <v>304-86-738</v>
      </c>
      <c r="S527" t="s">
        <v>3601</v>
      </c>
      <c r="T527" t="s">
        <v>1817</v>
      </c>
      <c r="U527">
        <v>3771</v>
      </c>
      <c r="W527">
        <v>5</v>
      </c>
      <c r="X527">
        <v>2015</v>
      </c>
      <c r="Z527">
        <v>1</v>
      </c>
      <c r="AA527" t="s">
        <v>26</v>
      </c>
      <c r="AC527" t="s">
        <v>115</v>
      </c>
      <c r="AD527">
        <v>3</v>
      </c>
      <c r="AE527" t="s">
        <v>115</v>
      </c>
      <c r="AH527" t="s">
        <v>116</v>
      </c>
      <c r="AI527" s="1">
        <v>155628</v>
      </c>
      <c r="AJ527" s="2">
        <v>0.23</v>
      </c>
      <c r="AK527" s="1">
        <v>663966</v>
      </c>
      <c r="AL527" t="s">
        <v>117</v>
      </c>
      <c r="AM527" t="s">
        <v>1302</v>
      </c>
      <c r="AN527">
        <v>12600</v>
      </c>
      <c r="AO527">
        <v>0.28999999999999998</v>
      </c>
      <c r="AR527">
        <v>1</v>
      </c>
      <c r="AS527" s="1">
        <v>52580</v>
      </c>
      <c r="AT527" s="1">
        <v>10510</v>
      </c>
      <c r="AU527" s="1">
        <v>42070</v>
      </c>
      <c r="AV527">
        <v>80.010000000000005</v>
      </c>
      <c r="AX527" s="1">
        <v>3831.76</v>
      </c>
      <c r="AY527" t="s">
        <v>1818</v>
      </c>
      <c r="AZ527" t="s">
        <v>207</v>
      </c>
      <c r="BA527" t="s">
        <v>208</v>
      </c>
      <c r="BB527" s="3">
        <v>42212</v>
      </c>
      <c r="BD527" t="s">
        <v>480</v>
      </c>
      <c r="BE527" s="3">
        <v>42032</v>
      </c>
      <c r="BF527" s="1">
        <v>538784</v>
      </c>
      <c r="BG527" t="s">
        <v>209</v>
      </c>
      <c r="BH527" s="1">
        <v>142.88</v>
      </c>
      <c r="BI527" s="1">
        <v>508338</v>
      </c>
      <c r="BJ527" s="3">
        <v>42032</v>
      </c>
      <c r="BK527" t="s">
        <v>123</v>
      </c>
      <c r="BL527" t="str">
        <f>"2015.56742"</f>
        <v>2015.56742</v>
      </c>
      <c r="BM527" t="s">
        <v>175</v>
      </c>
      <c r="BO527" t="s">
        <v>3602</v>
      </c>
      <c r="BS527">
        <v>30</v>
      </c>
      <c r="BW527" t="str">
        <f>""</f>
        <v/>
      </c>
      <c r="CH527" t="str">
        <f>""</f>
        <v/>
      </c>
      <c r="CS527" t="str">
        <f>""</f>
        <v/>
      </c>
    </row>
    <row r="528" spans="1:97" x14ac:dyDescent="0.25">
      <c r="A528" t="s">
        <v>177</v>
      </c>
      <c r="B528" t="s">
        <v>3603</v>
      </c>
      <c r="C528" t="s">
        <v>3604</v>
      </c>
      <c r="D528" t="s">
        <v>3603</v>
      </c>
      <c r="E528" t="s">
        <v>3605</v>
      </c>
      <c r="F528" t="s">
        <v>108</v>
      </c>
      <c r="H528" t="s">
        <v>3606</v>
      </c>
      <c r="I528" t="s">
        <v>390</v>
      </c>
      <c r="J528" t="s">
        <v>111</v>
      </c>
      <c r="K528" t="str">
        <f>"85045"</f>
        <v>85045</v>
      </c>
      <c r="L528" t="s">
        <v>3430</v>
      </c>
      <c r="M528" t="s">
        <v>3606</v>
      </c>
      <c r="N528" t="s">
        <v>390</v>
      </c>
      <c r="O528" t="s">
        <v>111</v>
      </c>
      <c r="P528" t="str">
        <f>"85045"</f>
        <v>85045</v>
      </c>
      <c r="Q528" t="s">
        <v>113</v>
      </c>
      <c r="R528" t="str">
        <f>"311-02-859"</f>
        <v>311-02-859</v>
      </c>
      <c r="S528" t="s">
        <v>3431</v>
      </c>
      <c r="U528">
        <v>2904</v>
      </c>
      <c r="W528">
        <v>4</v>
      </c>
      <c r="X528">
        <v>2014</v>
      </c>
      <c r="Z528">
        <v>2</v>
      </c>
      <c r="AC528" t="s">
        <v>115</v>
      </c>
      <c r="AD528">
        <v>2</v>
      </c>
      <c r="AE528" t="s">
        <v>115</v>
      </c>
      <c r="AH528" t="s">
        <v>116</v>
      </c>
      <c r="AI528" s="1">
        <v>66987</v>
      </c>
      <c r="AJ528" s="2">
        <v>0.16</v>
      </c>
      <c r="AK528" s="1">
        <v>429043</v>
      </c>
      <c r="AL528" t="s">
        <v>117</v>
      </c>
      <c r="AM528" t="s">
        <v>118</v>
      </c>
      <c r="AN528">
        <v>4725</v>
      </c>
      <c r="AO528">
        <v>0.11</v>
      </c>
      <c r="AR528">
        <v>1</v>
      </c>
      <c r="AS528" s="1">
        <v>30620</v>
      </c>
      <c r="AT528" s="1">
        <v>6120</v>
      </c>
      <c r="AU528" s="1">
        <v>24500</v>
      </c>
      <c r="AV528">
        <v>80.010000000000005</v>
      </c>
      <c r="AX528" s="1">
        <v>2831.9</v>
      </c>
      <c r="AY528" t="s">
        <v>2966</v>
      </c>
      <c r="AZ528" t="s">
        <v>2967</v>
      </c>
      <c r="BA528" t="s">
        <v>930</v>
      </c>
      <c r="BE528" s="3">
        <v>41991</v>
      </c>
      <c r="BF528" s="1">
        <v>350490</v>
      </c>
      <c r="BG528" t="s">
        <v>195</v>
      </c>
      <c r="BH528" s="1">
        <v>120.69</v>
      </c>
      <c r="BI528" s="1">
        <v>362056</v>
      </c>
      <c r="BJ528" s="3">
        <v>41991</v>
      </c>
      <c r="BK528" t="s">
        <v>123</v>
      </c>
      <c r="BL528" t="str">
        <f>"2014.833236"</f>
        <v>2014.833236</v>
      </c>
      <c r="BM528" t="s">
        <v>196</v>
      </c>
      <c r="BO528" t="s">
        <v>3607</v>
      </c>
      <c r="BS528">
        <v>30</v>
      </c>
      <c r="BW528" t="str">
        <f>""</f>
        <v/>
      </c>
      <c r="CH528" t="str">
        <f>""</f>
        <v/>
      </c>
      <c r="CS528" t="str">
        <f>""</f>
        <v/>
      </c>
    </row>
    <row r="529" spans="1:97" x14ac:dyDescent="0.25">
      <c r="A529" t="s">
        <v>325</v>
      </c>
      <c r="B529" t="s">
        <v>3608</v>
      </c>
      <c r="C529" t="s">
        <v>2950</v>
      </c>
      <c r="D529" t="s">
        <v>3608</v>
      </c>
      <c r="E529" t="s">
        <v>3609</v>
      </c>
      <c r="F529" t="s">
        <v>108</v>
      </c>
      <c r="H529" t="s">
        <v>3610</v>
      </c>
      <c r="I529" t="s">
        <v>225</v>
      </c>
      <c r="J529" t="s">
        <v>111</v>
      </c>
      <c r="K529" t="str">
        <f>"85207"</f>
        <v>85207</v>
      </c>
      <c r="L529" t="s">
        <v>3116</v>
      </c>
      <c r="M529" t="s">
        <v>3610</v>
      </c>
      <c r="N529" t="s">
        <v>225</v>
      </c>
      <c r="O529" t="s">
        <v>111</v>
      </c>
      <c r="P529" t="str">
        <f>"85207-4044"</f>
        <v>85207-4044</v>
      </c>
      <c r="Q529" t="s">
        <v>113</v>
      </c>
      <c r="R529" t="str">
        <f>"219-49-511"</f>
        <v>219-49-511</v>
      </c>
      <c r="S529" t="s">
        <v>3117</v>
      </c>
      <c r="U529">
        <v>2375</v>
      </c>
      <c r="W529">
        <v>4</v>
      </c>
      <c r="X529">
        <v>2014</v>
      </c>
      <c r="Z529">
        <v>1</v>
      </c>
      <c r="AA529" t="s">
        <v>26</v>
      </c>
      <c r="AC529" t="s">
        <v>115</v>
      </c>
      <c r="AD529">
        <v>3</v>
      </c>
      <c r="AE529" t="s">
        <v>115</v>
      </c>
      <c r="AH529" t="s">
        <v>116</v>
      </c>
      <c r="AI529" s="1">
        <v>144062</v>
      </c>
      <c r="AJ529" s="2">
        <v>0.25</v>
      </c>
      <c r="AK529" s="1">
        <v>567317</v>
      </c>
      <c r="AL529" t="s">
        <v>117</v>
      </c>
      <c r="AM529" t="s">
        <v>1521</v>
      </c>
      <c r="AN529">
        <v>7778</v>
      </c>
      <c r="AO529">
        <v>0.18</v>
      </c>
      <c r="AR529">
        <v>1</v>
      </c>
      <c r="AS529" s="1">
        <v>42420</v>
      </c>
      <c r="AT529" s="1">
        <v>8480</v>
      </c>
      <c r="AU529" s="1">
        <v>33940</v>
      </c>
      <c r="AV529">
        <v>80.010000000000005</v>
      </c>
      <c r="AX529" s="1">
        <v>3683.6</v>
      </c>
      <c r="AY529" t="s">
        <v>3118</v>
      </c>
      <c r="AZ529" t="s">
        <v>231</v>
      </c>
      <c r="BA529" t="s">
        <v>3119</v>
      </c>
      <c r="BE529" s="3">
        <v>42033</v>
      </c>
      <c r="BF529" s="1">
        <v>444891</v>
      </c>
      <c r="BG529" t="s">
        <v>3120</v>
      </c>
      <c r="BH529" s="1">
        <v>187.32</v>
      </c>
      <c r="BI529" s="1">
        <v>423255</v>
      </c>
      <c r="BJ529" s="3">
        <v>42033</v>
      </c>
      <c r="BK529" t="s">
        <v>123</v>
      </c>
      <c r="BL529" t="str">
        <f>"2015.58470"</f>
        <v>2015.58470</v>
      </c>
      <c r="BM529" t="s">
        <v>3611</v>
      </c>
      <c r="BO529" t="s">
        <v>3612</v>
      </c>
      <c r="BS529">
        <v>30</v>
      </c>
      <c r="BW529" t="str">
        <f>""</f>
        <v/>
      </c>
      <c r="CH529" t="str">
        <f>""</f>
        <v/>
      </c>
      <c r="CS529" t="str">
        <f>""</f>
        <v/>
      </c>
    </row>
    <row r="530" spans="1:97" x14ac:dyDescent="0.25">
      <c r="A530" t="s">
        <v>3613</v>
      </c>
      <c r="B530" t="s">
        <v>3614</v>
      </c>
      <c r="C530" t="s">
        <v>489</v>
      </c>
      <c r="D530" t="s">
        <v>3614</v>
      </c>
      <c r="E530" t="s">
        <v>3615</v>
      </c>
      <c r="F530" t="s">
        <v>108</v>
      </c>
      <c r="H530" t="s">
        <v>3616</v>
      </c>
      <c r="I530" t="s">
        <v>188</v>
      </c>
      <c r="J530" t="s">
        <v>111</v>
      </c>
      <c r="K530" t="str">
        <f>"85142"</f>
        <v>85142</v>
      </c>
      <c r="L530" t="s">
        <v>3161</v>
      </c>
      <c r="M530" t="s">
        <v>3616</v>
      </c>
      <c r="N530" t="s">
        <v>188</v>
      </c>
      <c r="O530" t="s">
        <v>111</v>
      </c>
      <c r="P530" t="str">
        <f>"85142-7897"</f>
        <v>85142-7897</v>
      </c>
      <c r="Q530" t="s">
        <v>113</v>
      </c>
      <c r="R530" t="str">
        <f>"304-87-774"</f>
        <v>304-87-774</v>
      </c>
      <c r="S530" t="s">
        <v>3162</v>
      </c>
      <c r="T530" t="s">
        <v>3162</v>
      </c>
      <c r="U530">
        <v>4022</v>
      </c>
      <c r="W530">
        <v>6</v>
      </c>
      <c r="X530">
        <v>2014</v>
      </c>
      <c r="Z530">
        <v>1</v>
      </c>
      <c r="AA530" t="s">
        <v>26</v>
      </c>
      <c r="AC530" t="s">
        <v>115</v>
      </c>
      <c r="AD530">
        <v>3</v>
      </c>
      <c r="AE530" t="s">
        <v>115</v>
      </c>
      <c r="AH530" t="s">
        <v>116</v>
      </c>
      <c r="AI530" s="1">
        <v>127150</v>
      </c>
      <c r="AJ530" s="2">
        <v>0.19</v>
      </c>
      <c r="AK530" s="1">
        <v>667053</v>
      </c>
      <c r="AL530" t="s">
        <v>117</v>
      </c>
      <c r="AM530" t="s">
        <v>917</v>
      </c>
      <c r="AN530">
        <v>18693</v>
      </c>
      <c r="AO530">
        <v>0.43</v>
      </c>
      <c r="AR530">
        <v>1</v>
      </c>
      <c r="AS530" s="1">
        <v>50610</v>
      </c>
      <c r="AT530" s="1">
        <v>10120</v>
      </c>
      <c r="AU530" s="1">
        <v>40490</v>
      </c>
      <c r="AV530">
        <v>80</v>
      </c>
      <c r="AX530" s="1">
        <v>4360.6000000000004</v>
      </c>
      <c r="AY530" t="s">
        <v>192</v>
      </c>
      <c r="AZ530" t="s">
        <v>193</v>
      </c>
      <c r="BA530" t="s">
        <v>194</v>
      </c>
      <c r="BE530" s="3">
        <v>42047</v>
      </c>
      <c r="BF530" s="1">
        <v>522398</v>
      </c>
      <c r="BG530" t="s">
        <v>3163</v>
      </c>
      <c r="BH530" s="1">
        <v>129.88999999999999</v>
      </c>
      <c r="BI530" s="1">
        <v>49067</v>
      </c>
      <c r="BJ530" s="3">
        <v>42345</v>
      </c>
      <c r="BK530" t="s">
        <v>134</v>
      </c>
      <c r="BL530" t="str">
        <f>"2015.864832"</f>
        <v>2015.864832</v>
      </c>
      <c r="BM530" t="s">
        <v>198</v>
      </c>
      <c r="BO530" t="s">
        <v>3617</v>
      </c>
      <c r="BS530">
        <v>15</v>
      </c>
      <c r="BT530" s="1">
        <v>490836</v>
      </c>
      <c r="BU530" s="3">
        <v>42502</v>
      </c>
      <c r="BV530" t="s">
        <v>123</v>
      </c>
      <c r="BW530" t="str">
        <f>"2016.326560"</f>
        <v>2016.326560</v>
      </c>
      <c r="BX530" t="s">
        <v>699</v>
      </c>
      <c r="BZ530" t="s">
        <v>3617</v>
      </c>
      <c r="CD530">
        <v>30</v>
      </c>
      <c r="CH530" t="str">
        <f>""</f>
        <v/>
      </c>
      <c r="CS530" t="str">
        <f>""</f>
        <v/>
      </c>
    </row>
    <row r="531" spans="1:97" x14ac:dyDescent="0.25">
      <c r="A531" t="s">
        <v>610</v>
      </c>
      <c r="B531" t="s">
        <v>3618</v>
      </c>
      <c r="C531" t="s">
        <v>3057</v>
      </c>
      <c r="D531" t="s">
        <v>3618</v>
      </c>
      <c r="E531" t="s">
        <v>3619</v>
      </c>
      <c r="F531" t="s">
        <v>108</v>
      </c>
      <c r="H531" t="s">
        <v>3620</v>
      </c>
      <c r="I531" t="s">
        <v>3150</v>
      </c>
      <c r="J531" t="s">
        <v>111</v>
      </c>
      <c r="K531" t="str">
        <f>"85340"</f>
        <v>85340</v>
      </c>
      <c r="L531" t="s">
        <v>3151</v>
      </c>
      <c r="M531" t="s">
        <v>3620</v>
      </c>
      <c r="N531" t="s">
        <v>3150</v>
      </c>
      <c r="O531" t="s">
        <v>111</v>
      </c>
      <c r="P531" t="str">
        <f>"85340-2825"</f>
        <v>85340-2825</v>
      </c>
      <c r="Q531" t="s">
        <v>113</v>
      </c>
      <c r="R531" t="str">
        <f>"501-73-705"</f>
        <v>501-73-705</v>
      </c>
      <c r="S531" t="s">
        <v>3152</v>
      </c>
      <c r="U531">
        <v>3910</v>
      </c>
      <c r="W531">
        <v>6</v>
      </c>
      <c r="X531">
        <v>2015</v>
      </c>
      <c r="Z531">
        <v>2</v>
      </c>
      <c r="AA531" t="s">
        <v>26</v>
      </c>
      <c r="AC531" t="s">
        <v>115</v>
      </c>
      <c r="AD531">
        <v>2</v>
      </c>
      <c r="AE531" t="s">
        <v>115</v>
      </c>
      <c r="AH531" t="s">
        <v>116</v>
      </c>
      <c r="AI531" s="1">
        <v>85226</v>
      </c>
      <c r="AJ531" s="2">
        <v>0.16</v>
      </c>
      <c r="AK531" s="1">
        <v>518743</v>
      </c>
      <c r="AL531" t="s">
        <v>117</v>
      </c>
      <c r="AM531" t="s">
        <v>118</v>
      </c>
      <c r="AN531">
        <v>10869</v>
      </c>
      <c r="AO531">
        <v>0.25</v>
      </c>
      <c r="AR531">
        <v>1</v>
      </c>
      <c r="AS531" s="1">
        <v>37780</v>
      </c>
      <c r="AT531" s="1">
        <v>7550</v>
      </c>
      <c r="AU531" s="1">
        <v>30230</v>
      </c>
      <c r="AV531">
        <v>80.02</v>
      </c>
      <c r="AX531" s="1">
        <v>3077.34</v>
      </c>
      <c r="AY531" t="s">
        <v>3019</v>
      </c>
      <c r="AZ531" t="s">
        <v>3153</v>
      </c>
      <c r="BA531" t="s">
        <v>3154</v>
      </c>
      <c r="BE531" s="3">
        <v>42146</v>
      </c>
      <c r="BF531" s="1">
        <v>399308</v>
      </c>
      <c r="BG531" t="s">
        <v>636</v>
      </c>
      <c r="BH531" s="1">
        <v>102.12</v>
      </c>
      <c r="BI531" s="1">
        <v>402870</v>
      </c>
      <c r="BJ531" s="3">
        <v>42146</v>
      </c>
      <c r="BK531" t="s">
        <v>123</v>
      </c>
      <c r="BL531" t="str">
        <f>"2015.365970"</f>
        <v>2015.365970</v>
      </c>
      <c r="BM531" t="s">
        <v>637</v>
      </c>
      <c r="BO531" t="s">
        <v>3621</v>
      </c>
      <c r="BS531">
        <v>30</v>
      </c>
      <c r="BT531" s="1">
        <v>30647</v>
      </c>
      <c r="BU531" s="3">
        <v>42256</v>
      </c>
      <c r="BV531" t="s">
        <v>134</v>
      </c>
      <c r="BW531" t="str">
        <f>"2015.652281"</f>
        <v>2015.652281</v>
      </c>
      <c r="BX531" t="s">
        <v>198</v>
      </c>
      <c r="BZ531" t="s">
        <v>3621</v>
      </c>
      <c r="CD531">
        <v>15</v>
      </c>
      <c r="CH531" t="str">
        <f>""</f>
        <v/>
      </c>
      <c r="CS531" t="str">
        <f>""</f>
        <v/>
      </c>
    </row>
    <row r="532" spans="1:97" x14ac:dyDescent="0.25">
      <c r="A532" t="s">
        <v>753</v>
      </c>
      <c r="B532" t="s">
        <v>3622</v>
      </c>
      <c r="C532" t="s">
        <v>220</v>
      </c>
      <c r="D532" t="s">
        <v>3622</v>
      </c>
      <c r="E532" t="s">
        <v>3623</v>
      </c>
      <c r="F532" t="s">
        <v>108</v>
      </c>
      <c r="H532" t="s">
        <v>3624</v>
      </c>
      <c r="I532" t="s">
        <v>390</v>
      </c>
      <c r="J532" t="s">
        <v>111</v>
      </c>
      <c r="K532" t="str">
        <f>"85085"</f>
        <v>85085</v>
      </c>
      <c r="L532" t="s">
        <v>3530</v>
      </c>
      <c r="M532" t="s">
        <v>3624</v>
      </c>
      <c r="N532" t="s">
        <v>390</v>
      </c>
      <c r="O532" t="s">
        <v>111</v>
      </c>
      <c r="P532" t="str">
        <f>"85085-5508"</f>
        <v>85085-5508</v>
      </c>
      <c r="Q532" t="s">
        <v>113</v>
      </c>
      <c r="R532" t="str">
        <f>"204-02-280"</f>
        <v>204-02-280</v>
      </c>
      <c r="S532" t="s">
        <v>3531</v>
      </c>
      <c r="U532">
        <v>1788</v>
      </c>
      <c r="W532">
        <v>3</v>
      </c>
      <c r="X532">
        <v>2015</v>
      </c>
      <c r="Z532">
        <v>1</v>
      </c>
      <c r="AC532" t="s">
        <v>115</v>
      </c>
      <c r="AD532">
        <v>2</v>
      </c>
      <c r="AE532" t="s">
        <v>115</v>
      </c>
      <c r="AH532" t="s">
        <v>116</v>
      </c>
      <c r="AI532" s="1">
        <v>-1838</v>
      </c>
      <c r="AJ532" s="2">
        <v>-0.01</v>
      </c>
      <c r="AK532" s="1">
        <v>340912</v>
      </c>
      <c r="AL532" t="s">
        <v>117</v>
      </c>
      <c r="AM532" t="s">
        <v>118</v>
      </c>
      <c r="AN532">
        <v>5750</v>
      </c>
      <c r="AO532">
        <v>0.13</v>
      </c>
      <c r="AR532">
        <v>1</v>
      </c>
      <c r="AS532" s="1">
        <v>26630</v>
      </c>
      <c r="AT532" s="1">
        <v>5320</v>
      </c>
      <c r="AU532" s="1">
        <v>21310</v>
      </c>
      <c r="AV532">
        <v>80.02</v>
      </c>
      <c r="AX532" s="1">
        <v>2138.6999999999998</v>
      </c>
      <c r="AY532" t="s">
        <v>1587</v>
      </c>
      <c r="AZ532" t="s">
        <v>1587</v>
      </c>
      <c r="BA532" t="s">
        <v>1462</v>
      </c>
      <c r="BE532" s="3">
        <v>42143</v>
      </c>
      <c r="BF532" s="1">
        <v>291786</v>
      </c>
      <c r="BG532" t="s">
        <v>209</v>
      </c>
      <c r="BH532" s="1">
        <v>163.19</v>
      </c>
      <c r="BI532" s="1">
        <v>342750</v>
      </c>
      <c r="BJ532" s="3">
        <v>43594</v>
      </c>
      <c r="BK532" t="s">
        <v>123</v>
      </c>
      <c r="BL532" t="str">
        <f>"2019.335462"</f>
        <v>2019.335462</v>
      </c>
      <c r="BM532" t="s">
        <v>1809</v>
      </c>
      <c r="BN532" t="s">
        <v>1810</v>
      </c>
      <c r="BO532" t="s">
        <v>3625</v>
      </c>
      <c r="BP532" t="s">
        <v>3626</v>
      </c>
      <c r="BR532" t="s">
        <v>139</v>
      </c>
      <c r="BW532" t="str">
        <f>""</f>
        <v/>
      </c>
      <c r="CH532" t="str">
        <f>""</f>
        <v/>
      </c>
      <c r="CS532" t="str">
        <f>""</f>
        <v/>
      </c>
    </row>
    <row r="533" spans="1:97" x14ac:dyDescent="0.25">
      <c r="A533" t="s">
        <v>325</v>
      </c>
      <c r="B533" t="s">
        <v>3627</v>
      </c>
      <c r="C533" t="s">
        <v>2427</v>
      </c>
      <c r="D533" t="s">
        <v>3627</v>
      </c>
      <c r="E533" t="s">
        <v>3628</v>
      </c>
      <c r="F533" t="s">
        <v>108</v>
      </c>
      <c r="H533" t="s">
        <v>3629</v>
      </c>
      <c r="I533" t="s">
        <v>3150</v>
      </c>
      <c r="J533" t="s">
        <v>111</v>
      </c>
      <c r="K533" t="str">
        <f>"85340"</f>
        <v>85340</v>
      </c>
      <c r="L533" t="s">
        <v>3151</v>
      </c>
      <c r="M533" t="s">
        <v>3629</v>
      </c>
      <c r="N533" t="s">
        <v>3150</v>
      </c>
      <c r="O533" t="s">
        <v>111</v>
      </c>
      <c r="P533" t="str">
        <f>"85340-2812"</f>
        <v>85340-2812</v>
      </c>
      <c r="Q533" t="s">
        <v>113</v>
      </c>
      <c r="R533" t="str">
        <f>"501-73-894"</f>
        <v>501-73-894</v>
      </c>
      <c r="S533" t="s">
        <v>3152</v>
      </c>
      <c r="U533">
        <v>3419</v>
      </c>
      <c r="W533">
        <v>5</v>
      </c>
      <c r="X533">
        <v>2015</v>
      </c>
      <c r="Z533">
        <v>1</v>
      </c>
      <c r="AA533" t="s">
        <v>26</v>
      </c>
      <c r="AC533" t="s">
        <v>115</v>
      </c>
      <c r="AD533">
        <v>3</v>
      </c>
      <c r="AE533" t="s">
        <v>115</v>
      </c>
      <c r="AH533" t="s">
        <v>116</v>
      </c>
      <c r="AI533" s="1">
        <v>267520</v>
      </c>
      <c r="AJ533" s="2">
        <v>0.48</v>
      </c>
      <c r="AK533" s="1">
        <v>554541</v>
      </c>
      <c r="AL533" t="s">
        <v>117</v>
      </c>
      <c r="AM533" t="s">
        <v>118</v>
      </c>
      <c r="AN533">
        <v>16349</v>
      </c>
      <c r="AO533">
        <v>0.38</v>
      </c>
      <c r="AR533">
        <v>1</v>
      </c>
      <c r="AS533" s="1">
        <v>42660</v>
      </c>
      <c r="AT533" s="1">
        <v>8530</v>
      </c>
      <c r="AU533" s="1">
        <v>34130</v>
      </c>
      <c r="AV533">
        <v>80</v>
      </c>
      <c r="AX533" s="1">
        <v>3566.18</v>
      </c>
      <c r="AY533" t="s">
        <v>3019</v>
      </c>
      <c r="AZ533" t="s">
        <v>3153</v>
      </c>
      <c r="BA533" t="s">
        <v>3154</v>
      </c>
      <c r="BE533" s="3">
        <v>42156</v>
      </c>
      <c r="BF533" s="1">
        <v>363021</v>
      </c>
      <c r="BG533" t="s">
        <v>636</v>
      </c>
      <c r="BH533" s="1">
        <v>106.18</v>
      </c>
      <c r="BI533" s="1">
        <v>287021</v>
      </c>
      <c r="BJ533" s="3">
        <v>42156</v>
      </c>
      <c r="BK533" t="s">
        <v>123</v>
      </c>
      <c r="BL533" t="str">
        <f>"2015.390439"</f>
        <v>2015.390439</v>
      </c>
      <c r="BM533" t="s">
        <v>637</v>
      </c>
      <c r="BO533" t="s">
        <v>3630</v>
      </c>
      <c r="BS533">
        <v>30</v>
      </c>
      <c r="BW533" t="str">
        <f>""</f>
        <v/>
      </c>
      <c r="CH533" t="str">
        <f>""</f>
        <v/>
      </c>
      <c r="CS533" t="str">
        <f>""</f>
        <v/>
      </c>
    </row>
    <row r="534" spans="1:97" x14ac:dyDescent="0.25">
      <c r="A534" t="s">
        <v>2435</v>
      </c>
      <c r="B534" t="s">
        <v>3631</v>
      </c>
      <c r="E534" t="s">
        <v>3632</v>
      </c>
      <c r="F534" t="s">
        <v>108</v>
      </c>
      <c r="H534" t="s">
        <v>3633</v>
      </c>
      <c r="I534" t="s">
        <v>453</v>
      </c>
      <c r="J534" t="s">
        <v>111</v>
      </c>
      <c r="K534" t="str">
        <f>"85383"</f>
        <v>85383</v>
      </c>
      <c r="L534" t="s">
        <v>2015</v>
      </c>
      <c r="M534" t="s">
        <v>3633</v>
      </c>
      <c r="N534" t="s">
        <v>453</v>
      </c>
      <c r="O534" t="s">
        <v>111</v>
      </c>
      <c r="P534" t="str">
        <f>"85383-9809"</f>
        <v>85383-9809</v>
      </c>
      <c r="Q534" t="s">
        <v>113</v>
      </c>
      <c r="R534" t="str">
        <f>"201-19-408"</f>
        <v>201-19-408</v>
      </c>
      <c r="S534" t="s">
        <v>2016</v>
      </c>
      <c r="U534">
        <v>2160</v>
      </c>
      <c r="W534">
        <v>3</v>
      </c>
      <c r="X534">
        <v>2014</v>
      </c>
      <c r="Z534">
        <v>1</v>
      </c>
      <c r="AA534" t="s">
        <v>26</v>
      </c>
      <c r="AC534" t="s">
        <v>115</v>
      </c>
      <c r="AD534">
        <v>2</v>
      </c>
      <c r="AE534" t="s">
        <v>115</v>
      </c>
      <c r="AH534" t="s">
        <v>116</v>
      </c>
      <c r="AI534" s="1">
        <v>47944</v>
      </c>
      <c r="AJ534" s="2">
        <v>0.13</v>
      </c>
      <c r="AK534" s="1">
        <v>360184</v>
      </c>
      <c r="AL534" t="s">
        <v>117</v>
      </c>
      <c r="AM534" t="s">
        <v>118</v>
      </c>
      <c r="AN534">
        <v>5750</v>
      </c>
      <c r="AO534">
        <v>0.13</v>
      </c>
      <c r="AR534">
        <v>1</v>
      </c>
      <c r="AS534" s="1">
        <v>27450</v>
      </c>
      <c r="AT534" s="1">
        <v>5490</v>
      </c>
      <c r="AU534" s="1">
        <v>21960</v>
      </c>
      <c r="AV534">
        <v>80</v>
      </c>
      <c r="AX534" s="1">
        <v>2311.3000000000002</v>
      </c>
      <c r="AY534" t="s">
        <v>456</v>
      </c>
      <c r="AZ534" t="s">
        <v>456</v>
      </c>
      <c r="BA534" t="s">
        <v>457</v>
      </c>
      <c r="BE534" s="3">
        <v>42013</v>
      </c>
      <c r="BF534" s="1">
        <v>283944</v>
      </c>
      <c r="BG534" t="s">
        <v>446</v>
      </c>
      <c r="BH534" s="1">
        <v>131.46</v>
      </c>
      <c r="BI534" s="1">
        <v>312240</v>
      </c>
      <c r="BJ534" s="3">
        <v>42643</v>
      </c>
      <c r="BK534" t="s">
        <v>123</v>
      </c>
      <c r="BL534" t="str">
        <f>"2016.717409"</f>
        <v>2016.717409</v>
      </c>
      <c r="BM534" t="s">
        <v>724</v>
      </c>
      <c r="BO534" t="s">
        <v>3634</v>
      </c>
      <c r="BS534">
        <v>30</v>
      </c>
      <c r="BW534" t="str">
        <f>""</f>
        <v/>
      </c>
      <c r="CH534" t="str">
        <f>""</f>
        <v/>
      </c>
      <c r="CS534" t="str">
        <f>""</f>
        <v/>
      </c>
    </row>
    <row r="535" spans="1:97" x14ac:dyDescent="0.25">
      <c r="A535" t="s">
        <v>305</v>
      </c>
      <c r="B535" t="s">
        <v>1607</v>
      </c>
      <c r="C535" t="s">
        <v>3635</v>
      </c>
      <c r="D535" t="s">
        <v>1607</v>
      </c>
      <c r="E535" t="s">
        <v>3636</v>
      </c>
      <c r="F535" t="s">
        <v>108</v>
      </c>
      <c r="H535" t="s">
        <v>3637</v>
      </c>
      <c r="I535" t="s">
        <v>390</v>
      </c>
      <c r="J535" t="s">
        <v>111</v>
      </c>
      <c r="K535" t="str">
        <f>"85045"</f>
        <v>85045</v>
      </c>
      <c r="L535" t="s">
        <v>3430</v>
      </c>
      <c r="M535" t="s">
        <v>3637</v>
      </c>
      <c r="N535" t="s">
        <v>390</v>
      </c>
      <c r="O535" t="s">
        <v>111</v>
      </c>
      <c r="P535" t="str">
        <f>"85045"</f>
        <v>85045</v>
      </c>
      <c r="Q535" t="s">
        <v>113</v>
      </c>
      <c r="R535" t="str">
        <f>"311-02-908"</f>
        <v>311-02-908</v>
      </c>
      <c r="S535" t="s">
        <v>3431</v>
      </c>
      <c r="U535">
        <v>2904</v>
      </c>
      <c r="W535">
        <v>4</v>
      </c>
      <c r="X535">
        <v>2014</v>
      </c>
      <c r="Z535">
        <v>2</v>
      </c>
      <c r="AC535" t="s">
        <v>115</v>
      </c>
      <c r="AD535">
        <v>2</v>
      </c>
      <c r="AE535" t="s">
        <v>115</v>
      </c>
      <c r="AH535" t="s">
        <v>116</v>
      </c>
      <c r="AI535" s="1">
        <v>55230</v>
      </c>
      <c r="AJ535" s="2">
        <v>0.13</v>
      </c>
      <c r="AK535" s="1">
        <v>418135</v>
      </c>
      <c r="AL535" t="s">
        <v>117</v>
      </c>
      <c r="AM535" t="s">
        <v>118</v>
      </c>
      <c r="AN535">
        <v>5109</v>
      </c>
      <c r="AO535">
        <v>0.12</v>
      </c>
      <c r="AR535">
        <v>1</v>
      </c>
      <c r="AS535" s="1">
        <v>30930</v>
      </c>
      <c r="AT535" s="1">
        <v>6180</v>
      </c>
      <c r="AU535" s="1">
        <v>24750</v>
      </c>
      <c r="AV535">
        <v>80.02</v>
      </c>
      <c r="AX535" s="1">
        <v>2900.84</v>
      </c>
      <c r="AY535" t="s">
        <v>2966</v>
      </c>
      <c r="AZ535" t="s">
        <v>2967</v>
      </c>
      <c r="BA535" t="s">
        <v>930</v>
      </c>
      <c r="BE535" s="3">
        <v>42517</v>
      </c>
      <c r="BF535" s="1">
        <v>355000</v>
      </c>
      <c r="BG535" t="s">
        <v>195</v>
      </c>
      <c r="BH535" s="1">
        <v>122.25</v>
      </c>
      <c r="BI535" s="1">
        <v>362905</v>
      </c>
      <c r="BJ535" s="3">
        <v>42898</v>
      </c>
      <c r="BK535" t="s">
        <v>123</v>
      </c>
      <c r="BL535" t="str">
        <f>"2017.424102"</f>
        <v>2017.424102</v>
      </c>
      <c r="BM535" t="s">
        <v>3638</v>
      </c>
      <c r="BO535" t="s">
        <v>3639</v>
      </c>
      <c r="BP535" t="s">
        <v>3640</v>
      </c>
      <c r="BS535">
        <v>30</v>
      </c>
      <c r="BW535" t="str">
        <f>""</f>
        <v/>
      </c>
      <c r="CH535" t="str">
        <f>""</f>
        <v/>
      </c>
      <c r="CS535" t="str">
        <f>""</f>
        <v/>
      </c>
    </row>
    <row r="536" spans="1:97" x14ac:dyDescent="0.25">
      <c r="A536" t="s">
        <v>3641</v>
      </c>
      <c r="B536" t="s">
        <v>3642</v>
      </c>
      <c r="C536" t="s">
        <v>1252</v>
      </c>
      <c r="D536" t="s">
        <v>3642</v>
      </c>
      <c r="E536" t="s">
        <v>3643</v>
      </c>
      <c r="F536" t="s">
        <v>108</v>
      </c>
      <c r="H536" t="s">
        <v>3644</v>
      </c>
      <c r="I536" t="s">
        <v>188</v>
      </c>
      <c r="J536" t="s">
        <v>111</v>
      </c>
      <c r="K536" t="str">
        <f>"85142"</f>
        <v>85142</v>
      </c>
      <c r="L536" t="s">
        <v>3645</v>
      </c>
      <c r="M536" t="s">
        <v>3644</v>
      </c>
      <c r="N536" t="s">
        <v>188</v>
      </c>
      <c r="O536" t="s">
        <v>111</v>
      </c>
      <c r="P536" t="str">
        <f>"85142-9084"</f>
        <v>85142-9084</v>
      </c>
      <c r="Q536" t="s">
        <v>113</v>
      </c>
      <c r="R536" t="str">
        <f>"312-07-564"</f>
        <v>312-07-564</v>
      </c>
      <c r="S536" t="s">
        <v>3646</v>
      </c>
      <c r="T536" t="s">
        <v>3647</v>
      </c>
      <c r="U536">
        <v>2786</v>
      </c>
      <c r="W536">
        <v>4</v>
      </c>
      <c r="X536">
        <v>2015</v>
      </c>
      <c r="Z536">
        <v>1</v>
      </c>
      <c r="AC536" t="s">
        <v>115</v>
      </c>
      <c r="AD536">
        <v>3</v>
      </c>
      <c r="AE536" t="s">
        <v>115</v>
      </c>
      <c r="AH536" t="s">
        <v>116</v>
      </c>
      <c r="AI536" s="1">
        <v>78291</v>
      </c>
      <c r="AJ536" s="2">
        <v>0.2</v>
      </c>
      <c r="AK536" s="1">
        <v>392375</v>
      </c>
      <c r="AL536" t="s">
        <v>117</v>
      </c>
      <c r="AM536" t="s">
        <v>376</v>
      </c>
      <c r="AN536">
        <v>8543</v>
      </c>
      <c r="AO536">
        <v>0.2</v>
      </c>
      <c r="AR536">
        <v>1</v>
      </c>
      <c r="AS536" s="1">
        <v>27830</v>
      </c>
      <c r="AT536" s="1">
        <v>5560</v>
      </c>
      <c r="AU536" s="1">
        <v>22270</v>
      </c>
      <c r="AV536">
        <v>80.02</v>
      </c>
      <c r="AX536" s="1">
        <v>2952.2</v>
      </c>
      <c r="AY536" t="s">
        <v>560</v>
      </c>
      <c r="AZ536" t="s">
        <v>561</v>
      </c>
      <c r="BA536" t="s">
        <v>194</v>
      </c>
      <c r="BB536" s="3">
        <v>42487</v>
      </c>
      <c r="BD536" t="s">
        <v>458</v>
      </c>
      <c r="BE536" s="3">
        <v>42244</v>
      </c>
      <c r="BF536" s="1">
        <v>294900</v>
      </c>
      <c r="BG536" t="s">
        <v>2842</v>
      </c>
      <c r="BH536" s="1">
        <v>105.85</v>
      </c>
      <c r="BI536" s="1">
        <v>314084</v>
      </c>
      <c r="BJ536" s="3">
        <v>42487</v>
      </c>
      <c r="BK536" t="s">
        <v>123</v>
      </c>
      <c r="BL536" t="str">
        <f>"2016.283473"</f>
        <v>2016.283473</v>
      </c>
      <c r="BM536" t="s">
        <v>2051</v>
      </c>
      <c r="BO536" t="s">
        <v>3648</v>
      </c>
      <c r="BS536">
        <v>30</v>
      </c>
      <c r="BW536" t="str">
        <f>""</f>
        <v/>
      </c>
      <c r="CH536" t="str">
        <f>""</f>
        <v/>
      </c>
      <c r="CS536" t="str">
        <f>""</f>
        <v/>
      </c>
    </row>
    <row r="537" spans="1:97" x14ac:dyDescent="0.25">
      <c r="A537" t="s">
        <v>1374</v>
      </c>
      <c r="B537" t="s">
        <v>3649</v>
      </c>
      <c r="C537" t="s">
        <v>976</v>
      </c>
      <c r="D537" t="s">
        <v>3649</v>
      </c>
      <c r="E537" t="s">
        <v>3650</v>
      </c>
      <c r="F537" t="s">
        <v>108</v>
      </c>
      <c r="H537" t="s">
        <v>3651</v>
      </c>
      <c r="I537" t="s">
        <v>188</v>
      </c>
      <c r="J537" t="s">
        <v>111</v>
      </c>
      <c r="K537" t="str">
        <f>"85142"</f>
        <v>85142</v>
      </c>
      <c r="L537" t="s">
        <v>625</v>
      </c>
      <c r="M537" t="s">
        <v>3651</v>
      </c>
      <c r="N537" t="s">
        <v>188</v>
      </c>
      <c r="O537" t="s">
        <v>111</v>
      </c>
      <c r="P537" t="str">
        <f>"85142-8216"</f>
        <v>85142-8216</v>
      </c>
      <c r="Q537" t="s">
        <v>113</v>
      </c>
      <c r="R537" t="str">
        <f>"304-88-633"</f>
        <v>304-88-633</v>
      </c>
      <c r="S537" t="s">
        <v>3204</v>
      </c>
      <c r="U537">
        <v>3897</v>
      </c>
      <c r="W537">
        <v>3</v>
      </c>
      <c r="X537">
        <v>2014</v>
      </c>
      <c r="Z537">
        <v>2</v>
      </c>
      <c r="AC537" t="s">
        <v>115</v>
      </c>
      <c r="AD537">
        <v>4</v>
      </c>
      <c r="AE537" t="s">
        <v>115</v>
      </c>
      <c r="AH537" t="s">
        <v>116</v>
      </c>
      <c r="AI537" s="1">
        <v>124904</v>
      </c>
      <c r="AJ537" s="2">
        <v>0.28000000000000003</v>
      </c>
      <c r="AK537" s="1">
        <v>446705</v>
      </c>
      <c r="AL537" t="s">
        <v>117</v>
      </c>
      <c r="AM537" t="s">
        <v>393</v>
      </c>
      <c r="AN537">
        <v>8554</v>
      </c>
      <c r="AO537">
        <v>0.2</v>
      </c>
      <c r="AR537">
        <v>1</v>
      </c>
      <c r="AS537" s="1">
        <v>31230</v>
      </c>
      <c r="AT537" s="1">
        <v>6240</v>
      </c>
      <c r="AU537" s="1">
        <v>24990</v>
      </c>
      <c r="AV537">
        <v>80.02</v>
      </c>
      <c r="AX537" s="1">
        <v>3173.44</v>
      </c>
      <c r="AY537" t="s">
        <v>560</v>
      </c>
      <c r="AZ537" t="s">
        <v>561</v>
      </c>
      <c r="BA537" t="s">
        <v>194</v>
      </c>
      <c r="BE537" s="3">
        <v>42067</v>
      </c>
      <c r="BF537" s="1">
        <v>318944</v>
      </c>
      <c r="BG537" t="s">
        <v>1404</v>
      </c>
      <c r="BH537" s="1">
        <v>81.84</v>
      </c>
      <c r="BI537" s="1">
        <v>321801</v>
      </c>
      <c r="BJ537" s="3">
        <v>42619</v>
      </c>
      <c r="BK537" t="s">
        <v>123</v>
      </c>
      <c r="BL537" t="str">
        <f>"2016.644408"</f>
        <v>2016.644408</v>
      </c>
      <c r="BM537" t="s">
        <v>1135</v>
      </c>
      <c r="BO537" t="s">
        <v>3652</v>
      </c>
      <c r="BS537">
        <v>30</v>
      </c>
      <c r="BW537" t="str">
        <f>""</f>
        <v/>
      </c>
      <c r="CH537" t="str">
        <f>""</f>
        <v/>
      </c>
      <c r="CS537" t="str">
        <f>""</f>
        <v/>
      </c>
    </row>
    <row r="538" spans="1:97" x14ac:dyDescent="0.25">
      <c r="A538" t="s">
        <v>711</v>
      </c>
      <c r="B538" t="s">
        <v>3653</v>
      </c>
      <c r="E538" t="s">
        <v>3654</v>
      </c>
      <c r="F538" t="s">
        <v>108</v>
      </c>
      <c r="H538" t="s">
        <v>3655</v>
      </c>
      <c r="I538" t="s">
        <v>203</v>
      </c>
      <c r="J538" t="s">
        <v>111</v>
      </c>
      <c r="K538" t="str">
        <f>"85295"</f>
        <v>85295</v>
      </c>
      <c r="L538" t="s">
        <v>1815</v>
      </c>
      <c r="M538" t="s">
        <v>3655</v>
      </c>
      <c r="N538" t="s">
        <v>203</v>
      </c>
      <c r="O538" t="s">
        <v>111</v>
      </c>
      <c r="P538" t="str">
        <f>"85295-1127"</f>
        <v>85295-1127</v>
      </c>
      <c r="Q538" t="s">
        <v>113</v>
      </c>
      <c r="R538" t="str">
        <f>"304-86-784"</f>
        <v>304-86-784</v>
      </c>
      <c r="S538" t="s">
        <v>3601</v>
      </c>
      <c r="T538" t="s">
        <v>1817</v>
      </c>
      <c r="U538">
        <v>4271</v>
      </c>
      <c r="W538">
        <v>5</v>
      </c>
      <c r="X538">
        <v>2015</v>
      </c>
      <c r="Z538">
        <v>2</v>
      </c>
      <c r="AA538" t="s">
        <v>26</v>
      </c>
      <c r="AC538" t="s">
        <v>115</v>
      </c>
      <c r="AD538">
        <v>4</v>
      </c>
      <c r="AE538" t="s">
        <v>115</v>
      </c>
      <c r="AH538" t="s">
        <v>116</v>
      </c>
      <c r="AI538" s="1">
        <v>73297</v>
      </c>
      <c r="AJ538" s="2">
        <v>0.12</v>
      </c>
      <c r="AK538" s="1">
        <v>635334</v>
      </c>
      <c r="AL538" t="s">
        <v>117</v>
      </c>
      <c r="AM538" t="s">
        <v>393</v>
      </c>
      <c r="AN538">
        <v>8750</v>
      </c>
      <c r="AO538">
        <v>0.2</v>
      </c>
      <c r="AR538">
        <v>1</v>
      </c>
      <c r="AS538" s="1">
        <v>49730</v>
      </c>
      <c r="AT538" s="1">
        <v>9940</v>
      </c>
      <c r="AU538" s="1">
        <v>39790</v>
      </c>
      <c r="AV538">
        <v>80.010000000000005</v>
      </c>
      <c r="AX538" s="1">
        <v>3346.44</v>
      </c>
      <c r="AY538" t="s">
        <v>1818</v>
      </c>
      <c r="AZ538" t="s">
        <v>207</v>
      </c>
      <c r="BA538" t="s">
        <v>208</v>
      </c>
      <c r="BB538" s="3">
        <v>42951</v>
      </c>
      <c r="BD538" t="s">
        <v>157</v>
      </c>
      <c r="BE538" s="3">
        <v>41964</v>
      </c>
      <c r="BF538" s="1">
        <v>535760</v>
      </c>
      <c r="BG538" t="s">
        <v>209</v>
      </c>
      <c r="BH538" s="1">
        <v>125.44</v>
      </c>
      <c r="BI538" s="1">
        <v>505137</v>
      </c>
      <c r="BJ538" s="3">
        <v>42598</v>
      </c>
      <c r="BK538" t="s">
        <v>123</v>
      </c>
      <c r="BL538" t="str">
        <f>"2016.583429"</f>
        <v>2016.583429</v>
      </c>
      <c r="BM538" t="s">
        <v>361</v>
      </c>
      <c r="BN538" t="s">
        <v>884</v>
      </c>
      <c r="BO538" t="s">
        <v>3656</v>
      </c>
      <c r="BS538">
        <v>30</v>
      </c>
      <c r="BT538" s="1">
        <v>56900</v>
      </c>
      <c r="BU538" s="3">
        <v>42863</v>
      </c>
      <c r="BV538" t="s">
        <v>134</v>
      </c>
      <c r="BW538" t="str">
        <f>"2017.329897"</f>
        <v>2017.329897</v>
      </c>
      <c r="BX538" t="s">
        <v>361</v>
      </c>
      <c r="BY538" t="s">
        <v>884</v>
      </c>
      <c r="BZ538" t="s">
        <v>3657</v>
      </c>
      <c r="CD538">
        <v>15</v>
      </c>
      <c r="CH538" t="str">
        <f>""</f>
        <v/>
      </c>
      <c r="CS538" t="str">
        <f>""</f>
        <v/>
      </c>
    </row>
    <row r="539" spans="1:97" x14ac:dyDescent="0.25">
      <c r="A539" t="s">
        <v>589</v>
      </c>
      <c r="B539" t="s">
        <v>3658</v>
      </c>
      <c r="C539" t="s">
        <v>3659</v>
      </c>
      <c r="D539" t="s">
        <v>3658</v>
      </c>
      <c r="E539" t="s">
        <v>3660</v>
      </c>
      <c r="F539" t="s">
        <v>282</v>
      </c>
      <c r="H539" t="s">
        <v>3661</v>
      </c>
      <c r="I539" t="s">
        <v>453</v>
      </c>
      <c r="J539" t="s">
        <v>111</v>
      </c>
      <c r="K539" t="str">
        <f>"85383"</f>
        <v>85383</v>
      </c>
      <c r="L539" t="s">
        <v>2015</v>
      </c>
      <c r="M539" t="s">
        <v>3662</v>
      </c>
      <c r="N539" t="s">
        <v>3663</v>
      </c>
      <c r="O539" t="s">
        <v>360</v>
      </c>
      <c r="P539" t="str">
        <f>"91606-5172"</f>
        <v>91606-5172</v>
      </c>
      <c r="Q539" t="s">
        <v>113</v>
      </c>
      <c r="R539" t="str">
        <f>"201-19-484"</f>
        <v>201-19-484</v>
      </c>
      <c r="S539" t="s">
        <v>2016</v>
      </c>
      <c r="U539">
        <v>2018</v>
      </c>
      <c r="W539">
        <v>3</v>
      </c>
      <c r="X539">
        <v>2014</v>
      </c>
      <c r="Z539">
        <v>1</v>
      </c>
      <c r="AC539" t="s">
        <v>115</v>
      </c>
      <c r="AD539">
        <v>2</v>
      </c>
      <c r="AE539" t="s">
        <v>115</v>
      </c>
      <c r="AH539" t="s">
        <v>116</v>
      </c>
      <c r="AI539" s="1">
        <v>36862</v>
      </c>
      <c r="AJ539" s="2">
        <v>0.1</v>
      </c>
      <c r="AK539" s="1">
        <v>356372</v>
      </c>
      <c r="AL539" t="s">
        <v>117</v>
      </c>
      <c r="AM539" t="s">
        <v>118</v>
      </c>
      <c r="AN539">
        <v>5973</v>
      </c>
      <c r="AO539">
        <v>0.14000000000000001</v>
      </c>
      <c r="AR539">
        <v>1</v>
      </c>
      <c r="AS539" s="1">
        <v>25600</v>
      </c>
      <c r="AT539" s="1">
        <v>5120</v>
      </c>
      <c r="AU539" s="1">
        <v>20480</v>
      </c>
      <c r="AV539">
        <v>80</v>
      </c>
      <c r="AX539" s="1">
        <v>2560.12</v>
      </c>
      <c r="AY539" t="s">
        <v>456</v>
      </c>
      <c r="AZ539" t="s">
        <v>456</v>
      </c>
      <c r="BA539" t="s">
        <v>457</v>
      </c>
      <c r="BE539" s="3">
        <v>42110</v>
      </c>
      <c r="BF539" s="1">
        <v>277000</v>
      </c>
      <c r="BG539" t="s">
        <v>446</v>
      </c>
      <c r="BH539" s="1">
        <v>137.26</v>
      </c>
      <c r="BI539" s="1">
        <v>319510</v>
      </c>
      <c r="BJ539" s="3">
        <v>42976</v>
      </c>
      <c r="BK539" t="s">
        <v>123</v>
      </c>
      <c r="BL539" t="str">
        <f>"2017.635761"</f>
        <v>2017.635761</v>
      </c>
      <c r="BM539" t="s">
        <v>3664</v>
      </c>
      <c r="BO539" t="s">
        <v>3665</v>
      </c>
      <c r="BS539">
        <v>29</v>
      </c>
      <c r="BW539" t="str">
        <f>""</f>
        <v/>
      </c>
      <c r="CH539" t="str">
        <f>""</f>
        <v/>
      </c>
      <c r="CS539" t="str">
        <f>""</f>
        <v/>
      </c>
    </row>
    <row r="540" spans="1:97" x14ac:dyDescent="0.25">
      <c r="A540" t="s">
        <v>2507</v>
      </c>
      <c r="B540" t="s">
        <v>3666</v>
      </c>
      <c r="C540" t="s">
        <v>3667</v>
      </c>
      <c r="D540" t="s">
        <v>3666</v>
      </c>
      <c r="E540" t="s">
        <v>3668</v>
      </c>
      <c r="F540" t="s">
        <v>108</v>
      </c>
      <c r="H540" t="s">
        <v>3669</v>
      </c>
      <c r="I540" t="s">
        <v>3150</v>
      </c>
      <c r="J540" t="s">
        <v>111</v>
      </c>
      <c r="K540" t="str">
        <f>"85340"</f>
        <v>85340</v>
      </c>
      <c r="L540" t="s">
        <v>3151</v>
      </c>
      <c r="M540" t="s">
        <v>3669</v>
      </c>
      <c r="N540" t="s">
        <v>3150</v>
      </c>
      <c r="O540" t="s">
        <v>111</v>
      </c>
      <c r="P540" t="str">
        <f>"85340-2815"</f>
        <v>85340-2815</v>
      </c>
      <c r="Q540" t="s">
        <v>113</v>
      </c>
      <c r="R540" t="str">
        <f>"501-73-777"</f>
        <v>501-73-777</v>
      </c>
      <c r="S540" t="s">
        <v>3152</v>
      </c>
      <c r="U540">
        <v>2375</v>
      </c>
      <c r="W540">
        <v>4</v>
      </c>
      <c r="X540">
        <v>2014</v>
      </c>
      <c r="Z540">
        <v>1</v>
      </c>
      <c r="AC540" t="s">
        <v>115</v>
      </c>
      <c r="AD540">
        <v>3</v>
      </c>
      <c r="AE540" t="s">
        <v>115</v>
      </c>
      <c r="AH540" t="s">
        <v>116</v>
      </c>
      <c r="AI540" s="1">
        <v>106510</v>
      </c>
      <c r="AJ540" s="2">
        <v>0.27</v>
      </c>
      <c r="AK540" s="1">
        <v>394423</v>
      </c>
      <c r="AL540" t="s">
        <v>117</v>
      </c>
      <c r="AM540" t="s">
        <v>118</v>
      </c>
      <c r="AN540">
        <v>7645</v>
      </c>
      <c r="AO540">
        <v>0.18</v>
      </c>
      <c r="AR540">
        <v>1</v>
      </c>
      <c r="AS540" s="1">
        <v>27750</v>
      </c>
      <c r="AT540" s="1">
        <v>5550</v>
      </c>
      <c r="AU540" s="1">
        <v>22200</v>
      </c>
      <c r="AV540">
        <v>80</v>
      </c>
      <c r="AX540" s="1">
        <v>2325.6799999999998</v>
      </c>
      <c r="AY540" t="s">
        <v>3019</v>
      </c>
      <c r="AZ540" t="s">
        <v>3153</v>
      </c>
      <c r="BA540" t="s">
        <v>3154</v>
      </c>
      <c r="BE540" s="3">
        <v>42048</v>
      </c>
      <c r="BF540" s="1">
        <v>278716</v>
      </c>
      <c r="BG540" t="s">
        <v>636</v>
      </c>
      <c r="BH540" s="1">
        <v>117.35</v>
      </c>
      <c r="BI540" s="1">
        <v>287913</v>
      </c>
      <c r="BJ540" s="3">
        <v>42048</v>
      </c>
      <c r="BK540" t="s">
        <v>123</v>
      </c>
      <c r="BL540" t="str">
        <f>"2015.96319"</f>
        <v>2015.96319</v>
      </c>
      <c r="BM540" t="s">
        <v>637</v>
      </c>
      <c r="BO540" t="s">
        <v>3670</v>
      </c>
      <c r="BS540">
        <v>30</v>
      </c>
      <c r="BW540" t="str">
        <f>""</f>
        <v/>
      </c>
      <c r="CH540" t="str">
        <f>""</f>
        <v/>
      </c>
      <c r="CS540" t="str">
        <f>""</f>
        <v/>
      </c>
    </row>
    <row r="541" spans="1:97" x14ac:dyDescent="0.25">
      <c r="A541" t="s">
        <v>305</v>
      </c>
      <c r="B541" t="s">
        <v>3671</v>
      </c>
      <c r="C541" t="s">
        <v>713</v>
      </c>
      <c r="D541" t="s">
        <v>3671</v>
      </c>
      <c r="E541" t="s">
        <v>3672</v>
      </c>
      <c r="F541" t="s">
        <v>108</v>
      </c>
      <c r="H541" t="s">
        <v>3673</v>
      </c>
      <c r="I541" t="s">
        <v>188</v>
      </c>
      <c r="J541" t="s">
        <v>111</v>
      </c>
      <c r="K541" t="str">
        <f>"85142"</f>
        <v>85142</v>
      </c>
      <c r="L541" t="s">
        <v>3161</v>
      </c>
      <c r="M541" t="s">
        <v>3673</v>
      </c>
      <c r="N541" t="s">
        <v>188</v>
      </c>
      <c r="O541" t="s">
        <v>111</v>
      </c>
      <c r="P541" t="str">
        <f>"85142-7902"</f>
        <v>85142-7902</v>
      </c>
      <c r="Q541" t="s">
        <v>113</v>
      </c>
      <c r="R541" t="str">
        <f>"304-87-802"</f>
        <v>304-87-802</v>
      </c>
      <c r="S541" t="s">
        <v>3162</v>
      </c>
      <c r="T541" t="s">
        <v>3162</v>
      </c>
      <c r="U541">
        <v>4022</v>
      </c>
      <c r="W541">
        <v>6</v>
      </c>
      <c r="X541">
        <v>2014</v>
      </c>
      <c r="Z541">
        <v>1</v>
      </c>
      <c r="AA541" t="s">
        <v>26</v>
      </c>
      <c r="AC541" t="s">
        <v>115</v>
      </c>
      <c r="AD541">
        <v>3</v>
      </c>
      <c r="AE541" t="s">
        <v>115</v>
      </c>
      <c r="AH541" t="s">
        <v>116</v>
      </c>
      <c r="AI541" s="1">
        <v>89705</v>
      </c>
      <c r="AJ541" s="2">
        <v>0.15</v>
      </c>
      <c r="AK541" s="1">
        <v>603305</v>
      </c>
      <c r="AL541" t="s">
        <v>117</v>
      </c>
      <c r="AM541" t="s">
        <v>917</v>
      </c>
      <c r="AN541">
        <v>13775</v>
      </c>
      <c r="AO541">
        <v>0.32</v>
      </c>
      <c r="AR541">
        <v>1</v>
      </c>
      <c r="AS541" s="1">
        <v>47920</v>
      </c>
      <c r="AT541" s="1">
        <v>9580</v>
      </c>
      <c r="AU541" s="1">
        <v>38340</v>
      </c>
      <c r="AV541">
        <v>80.010000000000005</v>
      </c>
      <c r="AX541" s="1">
        <v>4180.0600000000004</v>
      </c>
      <c r="AY541" t="s">
        <v>192</v>
      </c>
      <c r="AZ541" t="s">
        <v>193</v>
      </c>
      <c r="BA541" t="s">
        <v>194</v>
      </c>
      <c r="BE541" s="3">
        <v>42079</v>
      </c>
      <c r="BF541" s="1">
        <v>474997</v>
      </c>
      <c r="BG541" t="s">
        <v>3163</v>
      </c>
      <c r="BH541" s="1">
        <v>118.1</v>
      </c>
      <c r="BI541" s="1">
        <v>471600</v>
      </c>
      <c r="BJ541" s="3">
        <v>42696</v>
      </c>
      <c r="BK541" t="s">
        <v>123</v>
      </c>
      <c r="BL541" t="str">
        <f>"2016.863745"</f>
        <v>2016.863745</v>
      </c>
      <c r="BM541" t="s">
        <v>724</v>
      </c>
      <c r="BO541" t="s">
        <v>3674</v>
      </c>
      <c r="BP541" t="s">
        <v>3675</v>
      </c>
      <c r="BS541">
        <v>30</v>
      </c>
      <c r="BT541" s="1">
        <v>42000</v>
      </c>
      <c r="BU541" s="3">
        <v>42569</v>
      </c>
      <c r="BV541" t="s">
        <v>134</v>
      </c>
      <c r="BW541" t="str">
        <f>"2016.502780"</f>
        <v>2016.502780</v>
      </c>
      <c r="BX541" t="s">
        <v>198</v>
      </c>
      <c r="BZ541" t="s">
        <v>3676</v>
      </c>
      <c r="CD541">
        <v>15</v>
      </c>
      <c r="CH541" t="str">
        <f>""</f>
        <v/>
      </c>
      <c r="CS541" t="str">
        <f>""</f>
        <v/>
      </c>
    </row>
    <row r="542" spans="1:97" x14ac:dyDescent="0.25">
      <c r="A542" t="s">
        <v>943</v>
      </c>
      <c r="B542" t="s">
        <v>3677</v>
      </c>
      <c r="C542" t="s">
        <v>496</v>
      </c>
      <c r="D542" t="s">
        <v>3677</v>
      </c>
      <c r="E542" t="s">
        <v>3678</v>
      </c>
      <c r="F542" t="s">
        <v>108</v>
      </c>
      <c r="H542" t="s">
        <v>3679</v>
      </c>
      <c r="I542" t="s">
        <v>225</v>
      </c>
      <c r="J542" t="s">
        <v>111</v>
      </c>
      <c r="K542" t="str">
        <f>"85212"</f>
        <v>85212</v>
      </c>
      <c r="L542" t="s">
        <v>3140</v>
      </c>
      <c r="M542" t="s">
        <v>3679</v>
      </c>
      <c r="N542" t="s">
        <v>225</v>
      </c>
      <c r="O542" t="s">
        <v>111</v>
      </c>
      <c r="P542" t="str">
        <f>"85212-8237"</f>
        <v>85212-8237</v>
      </c>
      <c r="Q542" t="s">
        <v>113</v>
      </c>
      <c r="R542" t="str">
        <f>"312-13-403"</f>
        <v>312-13-403</v>
      </c>
      <c r="S542" t="s">
        <v>3200</v>
      </c>
      <c r="T542" t="s">
        <v>3142</v>
      </c>
      <c r="U542">
        <v>2668</v>
      </c>
      <c r="W542">
        <v>4</v>
      </c>
      <c r="X542">
        <v>2015</v>
      </c>
      <c r="Z542">
        <v>1</v>
      </c>
      <c r="AC542" t="s">
        <v>115</v>
      </c>
      <c r="AD542">
        <v>3</v>
      </c>
      <c r="AE542" t="s">
        <v>115</v>
      </c>
      <c r="AH542" t="s">
        <v>116</v>
      </c>
      <c r="AI542" s="1">
        <v>129814</v>
      </c>
      <c r="AJ542" s="2">
        <v>0.3</v>
      </c>
      <c r="AK542" s="1">
        <v>429304</v>
      </c>
      <c r="AL542" t="s">
        <v>117</v>
      </c>
      <c r="AM542" t="s">
        <v>191</v>
      </c>
      <c r="AN542">
        <v>8322</v>
      </c>
      <c r="AO542">
        <v>0.19</v>
      </c>
      <c r="AR542">
        <v>1</v>
      </c>
      <c r="AS542" s="1">
        <v>30980</v>
      </c>
      <c r="AT542" s="1">
        <v>6190</v>
      </c>
      <c r="AU542" s="1">
        <v>24790</v>
      </c>
      <c r="AV542">
        <v>80.02</v>
      </c>
      <c r="AX542" s="1">
        <v>2659.56</v>
      </c>
      <c r="AY542" t="s">
        <v>560</v>
      </c>
      <c r="AZ542" t="s">
        <v>561</v>
      </c>
      <c r="BA542" t="s">
        <v>194</v>
      </c>
      <c r="BE542" s="3">
        <v>42114</v>
      </c>
      <c r="BF542" s="1">
        <v>344679</v>
      </c>
      <c r="BG542" t="s">
        <v>446</v>
      </c>
      <c r="BH542" s="1">
        <v>129.19</v>
      </c>
      <c r="BI542" s="1">
        <v>299490</v>
      </c>
      <c r="BJ542" s="3">
        <v>42384</v>
      </c>
      <c r="BK542" t="s">
        <v>123</v>
      </c>
      <c r="BL542" t="str">
        <f>"2016.29264"</f>
        <v>2016.29264</v>
      </c>
      <c r="BM542" t="s">
        <v>955</v>
      </c>
      <c r="BO542" t="s">
        <v>3680</v>
      </c>
      <c r="BS542">
        <v>30</v>
      </c>
      <c r="BW542" t="str">
        <f>""</f>
        <v/>
      </c>
      <c r="CH542" t="str">
        <f>""</f>
        <v/>
      </c>
      <c r="CS542" t="str">
        <f>""</f>
        <v/>
      </c>
    </row>
    <row r="543" spans="1:97" x14ac:dyDescent="0.25">
      <c r="B543" t="s">
        <v>3681</v>
      </c>
      <c r="C543" t="s">
        <v>3682</v>
      </c>
      <c r="D543" t="s">
        <v>3683</v>
      </c>
      <c r="E543" t="s">
        <v>3683</v>
      </c>
      <c r="F543" t="s">
        <v>108</v>
      </c>
      <c r="H543" t="s">
        <v>3684</v>
      </c>
      <c r="I543" t="s">
        <v>390</v>
      </c>
      <c r="J543" t="s">
        <v>111</v>
      </c>
      <c r="K543" t="str">
        <f>"85085"</f>
        <v>85085</v>
      </c>
      <c r="L543" t="s">
        <v>145</v>
      </c>
      <c r="M543" t="s">
        <v>3684</v>
      </c>
      <c r="N543" t="s">
        <v>390</v>
      </c>
      <c r="O543" t="s">
        <v>111</v>
      </c>
      <c r="P543" t="str">
        <f>"85085-8928"</f>
        <v>85085-8928</v>
      </c>
      <c r="Q543" t="s">
        <v>113</v>
      </c>
      <c r="R543" t="str">
        <f>"204-02-122"</f>
        <v>204-02-122</v>
      </c>
      <c r="S543" t="s">
        <v>3344</v>
      </c>
      <c r="T543" t="s">
        <v>3344</v>
      </c>
      <c r="U543">
        <v>1895</v>
      </c>
      <c r="W543">
        <v>3</v>
      </c>
      <c r="X543">
        <v>2014</v>
      </c>
      <c r="Z543">
        <v>1</v>
      </c>
      <c r="AC543" t="s">
        <v>115</v>
      </c>
      <c r="AD543">
        <v>3</v>
      </c>
      <c r="AE543" t="s">
        <v>115</v>
      </c>
      <c r="AH543" t="s">
        <v>116</v>
      </c>
      <c r="AI543" s="1">
        <v>11663</v>
      </c>
      <c r="AJ543" s="2">
        <v>0.03</v>
      </c>
      <c r="AK543" s="1">
        <v>382663</v>
      </c>
      <c r="AL543" t="s">
        <v>117</v>
      </c>
      <c r="AM543" t="s">
        <v>3345</v>
      </c>
      <c r="AN543">
        <v>6000</v>
      </c>
      <c r="AO543">
        <v>0.14000000000000001</v>
      </c>
      <c r="AR543">
        <v>1</v>
      </c>
      <c r="AS543" s="1">
        <v>28470</v>
      </c>
      <c r="AT543" s="1">
        <v>5690</v>
      </c>
      <c r="AU543" s="1">
        <v>22780</v>
      </c>
      <c r="AV543">
        <v>80.010000000000005</v>
      </c>
      <c r="AX543" s="1">
        <v>2361.02</v>
      </c>
      <c r="AY543" t="s">
        <v>1587</v>
      </c>
      <c r="AZ543" t="s">
        <v>1587</v>
      </c>
      <c r="BA543" t="s">
        <v>1462</v>
      </c>
      <c r="BB543" s="3">
        <v>43640</v>
      </c>
      <c r="BC543" s="1">
        <v>0</v>
      </c>
      <c r="BD543" t="s">
        <v>247</v>
      </c>
      <c r="BE543" s="3">
        <v>42055</v>
      </c>
      <c r="BF543" s="1">
        <v>300066</v>
      </c>
      <c r="BG543" t="s">
        <v>446</v>
      </c>
      <c r="BH543" s="1">
        <v>158.35</v>
      </c>
      <c r="BI543" s="1">
        <v>344450</v>
      </c>
      <c r="BJ543" s="3">
        <v>42640</v>
      </c>
      <c r="BK543" t="s">
        <v>123</v>
      </c>
      <c r="BL543" t="str">
        <f>"2016.701579"</f>
        <v>2016.701579</v>
      </c>
      <c r="BM543" t="s">
        <v>402</v>
      </c>
      <c r="BN543" t="s">
        <v>461</v>
      </c>
      <c r="BO543" t="s">
        <v>3685</v>
      </c>
      <c r="BS543">
        <v>30</v>
      </c>
      <c r="BT543" s="1">
        <v>371000</v>
      </c>
      <c r="BU543" s="3">
        <v>43640</v>
      </c>
      <c r="BV543" t="s">
        <v>123</v>
      </c>
      <c r="BW543" t="str">
        <f>"2019.474438"</f>
        <v>2019.474438</v>
      </c>
      <c r="BX543" t="s">
        <v>3562</v>
      </c>
      <c r="BY543" t="s">
        <v>3686</v>
      </c>
      <c r="BZ543" t="s">
        <v>3687</v>
      </c>
      <c r="CA543" t="s">
        <v>3688</v>
      </c>
      <c r="CC543" t="s">
        <v>139</v>
      </c>
      <c r="CH543" t="str">
        <f>""</f>
        <v/>
      </c>
      <c r="CS543" t="str">
        <f>""</f>
        <v/>
      </c>
    </row>
    <row r="544" spans="1:97" x14ac:dyDescent="0.25">
      <c r="A544" t="s">
        <v>1664</v>
      </c>
      <c r="B544" t="s">
        <v>3689</v>
      </c>
      <c r="C544" t="s">
        <v>2286</v>
      </c>
      <c r="D544" t="s">
        <v>3689</v>
      </c>
      <c r="E544" t="s">
        <v>3690</v>
      </c>
      <c r="F544" t="s">
        <v>108</v>
      </c>
      <c r="H544" t="s">
        <v>3691</v>
      </c>
      <c r="I544" t="s">
        <v>453</v>
      </c>
      <c r="J544" t="s">
        <v>111</v>
      </c>
      <c r="K544" t="str">
        <f>"85383"</f>
        <v>85383</v>
      </c>
      <c r="L544" t="s">
        <v>3326</v>
      </c>
      <c r="M544" t="s">
        <v>3691</v>
      </c>
      <c r="N544" t="s">
        <v>453</v>
      </c>
      <c r="O544" t="s">
        <v>111</v>
      </c>
      <c r="P544" t="str">
        <f>"85383-1472"</f>
        <v>85383-1472</v>
      </c>
      <c r="Q544" t="s">
        <v>113</v>
      </c>
      <c r="R544" t="str">
        <f>"200-13-601"</f>
        <v>200-13-601</v>
      </c>
      <c r="S544" t="s">
        <v>3327</v>
      </c>
      <c r="U544">
        <v>2549</v>
      </c>
      <c r="W544">
        <v>4</v>
      </c>
      <c r="X544">
        <v>2015</v>
      </c>
      <c r="Z544">
        <v>1</v>
      </c>
      <c r="AC544" t="s">
        <v>115</v>
      </c>
      <c r="AD544">
        <v>3</v>
      </c>
      <c r="AE544" t="s">
        <v>115</v>
      </c>
      <c r="AH544" t="s">
        <v>116</v>
      </c>
      <c r="AI544" s="1">
        <v>66429</v>
      </c>
      <c r="AJ544" s="2">
        <v>0.15</v>
      </c>
      <c r="AK544" s="1">
        <v>429929</v>
      </c>
      <c r="AL544" t="s">
        <v>117</v>
      </c>
      <c r="AM544" t="s">
        <v>3111</v>
      </c>
      <c r="AN544">
        <v>10087</v>
      </c>
      <c r="AO544">
        <v>0.23</v>
      </c>
      <c r="AR544">
        <v>1</v>
      </c>
      <c r="AS544" s="1">
        <v>33800</v>
      </c>
      <c r="AT544" s="1">
        <v>6760</v>
      </c>
      <c r="AU544" s="1">
        <v>27040</v>
      </c>
      <c r="AV544">
        <v>80</v>
      </c>
      <c r="AX544" s="1">
        <v>2691.66</v>
      </c>
      <c r="AY544" t="s">
        <v>1808</v>
      </c>
      <c r="AZ544" t="s">
        <v>1808</v>
      </c>
      <c r="BA544" t="s">
        <v>457</v>
      </c>
      <c r="BE544" s="3">
        <v>42164</v>
      </c>
      <c r="BF544" s="1">
        <v>372900</v>
      </c>
      <c r="BG544" t="s">
        <v>3328</v>
      </c>
      <c r="BH544" s="1">
        <v>146.29</v>
      </c>
      <c r="BI544" s="1">
        <v>363500</v>
      </c>
      <c r="BJ544" s="3">
        <v>42500</v>
      </c>
      <c r="BK544" t="s">
        <v>123</v>
      </c>
      <c r="BL544" t="str">
        <f>"2016.317824"</f>
        <v>2016.317824</v>
      </c>
      <c r="BM544" t="s">
        <v>1122</v>
      </c>
      <c r="BO544" t="s">
        <v>3692</v>
      </c>
      <c r="BS544">
        <v>30</v>
      </c>
      <c r="BW544" t="str">
        <f>""</f>
        <v/>
      </c>
      <c r="CH544" t="str">
        <f>""</f>
        <v/>
      </c>
      <c r="CS544" t="str">
        <f>""</f>
        <v/>
      </c>
    </row>
    <row r="545" spans="1:97" x14ac:dyDescent="0.25">
      <c r="A545" t="s">
        <v>1160</v>
      </c>
      <c r="B545" t="s">
        <v>3693</v>
      </c>
      <c r="C545" t="s">
        <v>1340</v>
      </c>
      <c r="D545" t="s">
        <v>3693</v>
      </c>
      <c r="E545" t="s">
        <v>3694</v>
      </c>
      <c r="F545" t="s">
        <v>108</v>
      </c>
      <c r="H545" t="s">
        <v>3695</v>
      </c>
      <c r="I545" t="s">
        <v>110</v>
      </c>
      <c r="J545" t="s">
        <v>111</v>
      </c>
      <c r="K545" t="str">
        <f>"85249"</f>
        <v>85249</v>
      </c>
      <c r="L545" t="s">
        <v>3696</v>
      </c>
      <c r="M545" t="s">
        <v>3695</v>
      </c>
      <c r="N545" t="s">
        <v>110</v>
      </c>
      <c r="O545" t="s">
        <v>111</v>
      </c>
      <c r="P545" t="str">
        <f>"85249"</f>
        <v>85249</v>
      </c>
      <c r="Q545" t="s">
        <v>113</v>
      </c>
      <c r="R545" t="str">
        <f>"304-88-750"</f>
        <v>304-88-750</v>
      </c>
      <c r="S545" t="s">
        <v>3697</v>
      </c>
      <c r="T545" t="s">
        <v>3698</v>
      </c>
      <c r="U545">
        <v>3989</v>
      </c>
      <c r="W545">
        <v>5</v>
      </c>
      <c r="X545">
        <v>2015</v>
      </c>
      <c r="Z545">
        <v>1</v>
      </c>
      <c r="AC545" t="s">
        <v>115</v>
      </c>
      <c r="AD545">
        <v>3</v>
      </c>
      <c r="AE545" t="s">
        <v>115</v>
      </c>
      <c r="AH545" t="s">
        <v>116</v>
      </c>
      <c r="AI545" s="1">
        <v>163617</v>
      </c>
      <c r="AJ545" s="2">
        <v>0.24</v>
      </c>
      <c r="AK545" s="1">
        <v>672885</v>
      </c>
      <c r="AL545" t="s">
        <v>117</v>
      </c>
      <c r="AM545" t="s">
        <v>118</v>
      </c>
      <c r="AN545">
        <v>10800</v>
      </c>
      <c r="AO545">
        <v>0.25</v>
      </c>
      <c r="AR545">
        <v>1</v>
      </c>
      <c r="AS545" s="1">
        <v>52730</v>
      </c>
      <c r="AT545" s="1">
        <v>10540</v>
      </c>
      <c r="AU545" s="1">
        <v>42190</v>
      </c>
      <c r="AV545">
        <v>80.010000000000005</v>
      </c>
      <c r="AX545" s="1">
        <v>3956.3</v>
      </c>
      <c r="AY545" t="s">
        <v>3699</v>
      </c>
      <c r="AZ545" t="s">
        <v>273</v>
      </c>
      <c r="BA545" t="s">
        <v>274</v>
      </c>
      <c r="BE545" s="3">
        <v>42152</v>
      </c>
      <c r="BF545" s="1">
        <v>529990</v>
      </c>
      <c r="BG545" t="s">
        <v>420</v>
      </c>
      <c r="BH545" s="1">
        <v>132.86000000000001</v>
      </c>
      <c r="BI545" s="1">
        <v>509268</v>
      </c>
      <c r="BJ545" s="3">
        <v>42152</v>
      </c>
      <c r="BK545" t="s">
        <v>123</v>
      </c>
      <c r="BL545" t="str">
        <f>"2015.379370"</f>
        <v>2015.379370</v>
      </c>
      <c r="BM545" t="s">
        <v>594</v>
      </c>
      <c r="BO545" t="s">
        <v>3700</v>
      </c>
      <c r="BS545">
        <v>30</v>
      </c>
      <c r="BW545" t="str">
        <f>""</f>
        <v/>
      </c>
      <c r="CH545" t="str">
        <f>""</f>
        <v/>
      </c>
      <c r="CS545" t="str">
        <f>""</f>
        <v/>
      </c>
    </row>
    <row r="546" spans="1:97" x14ac:dyDescent="0.25">
      <c r="A546" t="s">
        <v>328</v>
      </c>
      <c r="B546" t="s">
        <v>3701</v>
      </c>
      <c r="C546" t="s">
        <v>3702</v>
      </c>
      <c r="D546" t="s">
        <v>3701</v>
      </c>
      <c r="E546" t="s">
        <v>3703</v>
      </c>
      <c r="F546" t="s">
        <v>108</v>
      </c>
      <c r="H546" t="s">
        <v>3704</v>
      </c>
      <c r="I546" t="s">
        <v>499</v>
      </c>
      <c r="J546" t="s">
        <v>111</v>
      </c>
      <c r="K546" t="str">
        <f>"85395"</f>
        <v>85395</v>
      </c>
      <c r="L546" t="s">
        <v>500</v>
      </c>
      <c r="M546" t="s">
        <v>3704</v>
      </c>
      <c r="N546" t="s">
        <v>499</v>
      </c>
      <c r="O546" t="s">
        <v>111</v>
      </c>
      <c r="P546" t="str">
        <f>"85395-6447"</f>
        <v>85395-6447</v>
      </c>
      <c r="Q546" t="s">
        <v>113</v>
      </c>
      <c r="R546" t="str">
        <f>"502-30-551"</f>
        <v>502-30-551</v>
      </c>
      <c r="S546" t="s">
        <v>3263</v>
      </c>
      <c r="T546" t="s">
        <v>502</v>
      </c>
      <c r="U546">
        <v>2414</v>
      </c>
      <c r="W546">
        <v>4</v>
      </c>
      <c r="X546">
        <v>2014</v>
      </c>
      <c r="Z546">
        <v>1</v>
      </c>
      <c r="AA546" t="s">
        <v>26</v>
      </c>
      <c r="AC546" t="s">
        <v>115</v>
      </c>
      <c r="AD546">
        <v>3</v>
      </c>
      <c r="AE546" t="s">
        <v>115</v>
      </c>
      <c r="AH546" t="s">
        <v>116</v>
      </c>
      <c r="AI546" s="1">
        <v>81319</v>
      </c>
      <c r="AJ546" s="2">
        <v>0.21</v>
      </c>
      <c r="AK546" s="1">
        <v>383363</v>
      </c>
      <c r="AL546" t="s">
        <v>117</v>
      </c>
      <c r="AM546" t="s">
        <v>118</v>
      </c>
      <c r="AN546">
        <v>8515</v>
      </c>
      <c r="AO546">
        <v>0.2</v>
      </c>
      <c r="AR546">
        <v>1</v>
      </c>
      <c r="AS546" s="1">
        <v>27750</v>
      </c>
      <c r="AT546" s="1">
        <v>5550</v>
      </c>
      <c r="AU546" s="1">
        <v>22200</v>
      </c>
      <c r="AV546">
        <v>80</v>
      </c>
      <c r="AX546" s="1">
        <v>2206.3000000000002</v>
      </c>
      <c r="AY546" t="s">
        <v>503</v>
      </c>
      <c r="AZ546" t="s">
        <v>504</v>
      </c>
      <c r="BA546" t="s">
        <v>218</v>
      </c>
      <c r="BE546" s="3">
        <v>42236</v>
      </c>
      <c r="BF546" s="1">
        <v>292395</v>
      </c>
      <c r="BG546" t="s">
        <v>209</v>
      </c>
      <c r="BH546" s="1">
        <v>121.12</v>
      </c>
      <c r="BI546" s="1">
        <v>302044</v>
      </c>
      <c r="BJ546" s="3">
        <v>42236</v>
      </c>
      <c r="BK546" t="s">
        <v>123</v>
      </c>
      <c r="BL546" t="str">
        <f>"2015.605773"</f>
        <v>2015.605773</v>
      </c>
      <c r="BM546" t="s">
        <v>175</v>
      </c>
      <c r="BO546" t="s">
        <v>3705</v>
      </c>
      <c r="BS546">
        <v>30</v>
      </c>
      <c r="BW546" t="str">
        <f>""</f>
        <v/>
      </c>
      <c r="CH546" t="str">
        <f>""</f>
        <v/>
      </c>
      <c r="CS546" t="str">
        <f>""</f>
        <v/>
      </c>
    </row>
    <row r="547" spans="1:97" x14ac:dyDescent="0.25">
      <c r="A547" t="s">
        <v>1067</v>
      </c>
      <c r="B547" t="s">
        <v>3706</v>
      </c>
      <c r="C547" t="s">
        <v>3707</v>
      </c>
      <c r="D547" t="s">
        <v>3706</v>
      </c>
      <c r="E547" t="s">
        <v>3708</v>
      </c>
      <c r="F547" t="s">
        <v>108</v>
      </c>
      <c r="H547" t="s">
        <v>3709</v>
      </c>
      <c r="I547" t="s">
        <v>390</v>
      </c>
      <c r="J547" t="s">
        <v>111</v>
      </c>
      <c r="K547" t="str">
        <f>"85045"</f>
        <v>85045</v>
      </c>
      <c r="L547" t="s">
        <v>3430</v>
      </c>
      <c r="M547" t="s">
        <v>3709</v>
      </c>
      <c r="N547" t="s">
        <v>390</v>
      </c>
      <c r="O547" t="s">
        <v>111</v>
      </c>
      <c r="P547" t="str">
        <f>"85045"</f>
        <v>85045</v>
      </c>
      <c r="Q547" t="s">
        <v>113</v>
      </c>
      <c r="R547" t="str">
        <f>"311-02-864"</f>
        <v>311-02-864</v>
      </c>
      <c r="S547" t="s">
        <v>3431</v>
      </c>
      <c r="U547">
        <v>1799</v>
      </c>
      <c r="W547">
        <v>3</v>
      </c>
      <c r="X547">
        <v>2015</v>
      </c>
      <c r="Z547">
        <v>1</v>
      </c>
      <c r="AC547" t="s">
        <v>115</v>
      </c>
      <c r="AD547">
        <v>2</v>
      </c>
      <c r="AE547" t="s">
        <v>115</v>
      </c>
      <c r="AH547" t="s">
        <v>116</v>
      </c>
      <c r="AI547" s="1">
        <v>-25535</v>
      </c>
      <c r="AJ547" s="2">
        <v>-0.08</v>
      </c>
      <c r="AK547" s="1">
        <v>332916</v>
      </c>
      <c r="AL547" t="s">
        <v>117</v>
      </c>
      <c r="AM547" t="s">
        <v>118</v>
      </c>
      <c r="AN547">
        <v>4680</v>
      </c>
      <c r="AO547">
        <v>0.11</v>
      </c>
      <c r="AR547">
        <v>1</v>
      </c>
      <c r="AS547" s="1">
        <v>24280</v>
      </c>
      <c r="AT547" s="1">
        <v>4850</v>
      </c>
      <c r="AU547" s="1">
        <v>19430</v>
      </c>
      <c r="AV547">
        <v>80.02</v>
      </c>
      <c r="AX547" s="1">
        <v>2124.44</v>
      </c>
      <c r="AY547" t="s">
        <v>2966</v>
      </c>
      <c r="AZ547" t="s">
        <v>2967</v>
      </c>
      <c r="BA547" t="s">
        <v>930</v>
      </c>
      <c r="BE547" s="3">
        <v>42151</v>
      </c>
      <c r="BF547" s="1">
        <v>299990</v>
      </c>
      <c r="BG547" t="s">
        <v>195</v>
      </c>
      <c r="BH547" s="1">
        <v>166.75</v>
      </c>
      <c r="BI547" s="1">
        <v>358451</v>
      </c>
      <c r="BJ547" s="3">
        <v>42688</v>
      </c>
      <c r="BK547" t="s">
        <v>123</v>
      </c>
      <c r="BL547" t="str">
        <f>"2016.833982"</f>
        <v>2016.833982</v>
      </c>
      <c r="BM547" t="s">
        <v>3710</v>
      </c>
      <c r="BO547" t="s">
        <v>3711</v>
      </c>
      <c r="BS547">
        <v>30</v>
      </c>
      <c r="BW547" t="str">
        <f>""</f>
        <v/>
      </c>
      <c r="CH547" t="str">
        <f>""</f>
        <v/>
      </c>
      <c r="CS547" t="str">
        <f>""</f>
        <v/>
      </c>
    </row>
    <row r="548" spans="1:97" x14ac:dyDescent="0.25">
      <c r="A548" t="s">
        <v>3712</v>
      </c>
      <c r="B548" t="s">
        <v>3713</v>
      </c>
      <c r="C548" t="s">
        <v>3714</v>
      </c>
      <c r="D548" t="s">
        <v>3713</v>
      </c>
      <c r="E548" t="s">
        <v>3715</v>
      </c>
      <c r="F548" t="s">
        <v>108</v>
      </c>
      <c r="H548" t="s">
        <v>3716</v>
      </c>
      <c r="I548" t="s">
        <v>110</v>
      </c>
      <c r="J548" t="s">
        <v>111</v>
      </c>
      <c r="K548" t="str">
        <f>"85249"</f>
        <v>85249</v>
      </c>
      <c r="L548" t="s">
        <v>3269</v>
      </c>
      <c r="M548" t="s">
        <v>3716</v>
      </c>
      <c r="N548" t="s">
        <v>110</v>
      </c>
      <c r="O548" t="s">
        <v>111</v>
      </c>
      <c r="P548" t="str">
        <f>"85249-2094"</f>
        <v>85249-2094</v>
      </c>
      <c r="Q548" t="s">
        <v>113</v>
      </c>
      <c r="R548" t="str">
        <f>"303-65-810"</f>
        <v>303-65-810</v>
      </c>
      <c r="S548" t="s">
        <v>3270</v>
      </c>
      <c r="T548" t="s">
        <v>3270</v>
      </c>
      <c r="U548">
        <v>2297</v>
      </c>
      <c r="W548">
        <v>3</v>
      </c>
      <c r="X548">
        <v>2015</v>
      </c>
      <c r="Z548">
        <v>1</v>
      </c>
      <c r="AC548" t="s">
        <v>115</v>
      </c>
      <c r="AD548">
        <v>3</v>
      </c>
      <c r="AE548" t="s">
        <v>115</v>
      </c>
      <c r="AH548" t="s">
        <v>116</v>
      </c>
      <c r="AI548" s="1">
        <v>172799</v>
      </c>
      <c r="AJ548" s="2">
        <v>0.36</v>
      </c>
      <c r="AK548" s="1">
        <v>474625</v>
      </c>
      <c r="AL548" t="s">
        <v>117</v>
      </c>
      <c r="AM548" t="s">
        <v>118</v>
      </c>
      <c r="AN548">
        <v>7800</v>
      </c>
      <c r="AO548">
        <v>0.18</v>
      </c>
      <c r="AR548">
        <v>1</v>
      </c>
      <c r="AS548" s="1">
        <v>35380</v>
      </c>
      <c r="AT548" s="1">
        <v>7070</v>
      </c>
      <c r="AU548" s="1">
        <v>28310</v>
      </c>
      <c r="AV548">
        <v>80.02</v>
      </c>
      <c r="AX548" s="1">
        <v>2471.6999999999998</v>
      </c>
      <c r="AY548" t="s">
        <v>119</v>
      </c>
      <c r="AZ548" t="s">
        <v>120</v>
      </c>
      <c r="BA548" t="s">
        <v>121</v>
      </c>
      <c r="BE548" s="3">
        <v>42139</v>
      </c>
      <c r="BF548" s="1">
        <v>383157</v>
      </c>
      <c r="BG548" t="s">
        <v>3062</v>
      </c>
      <c r="BH548" s="1">
        <v>166.81</v>
      </c>
      <c r="BI548" s="1">
        <v>301826</v>
      </c>
      <c r="BJ548" s="3">
        <v>42139</v>
      </c>
      <c r="BK548" t="s">
        <v>123</v>
      </c>
      <c r="BL548" t="str">
        <f>"2015.342371"</f>
        <v>2015.342371</v>
      </c>
      <c r="BM548" t="s">
        <v>2245</v>
      </c>
      <c r="BO548" t="s">
        <v>3717</v>
      </c>
      <c r="BS548">
        <v>30</v>
      </c>
      <c r="BW548" t="str">
        <f>""</f>
        <v/>
      </c>
      <c r="CH548" t="str">
        <f>""</f>
        <v/>
      </c>
      <c r="CS548" t="str">
        <f>""</f>
        <v/>
      </c>
    </row>
    <row r="549" spans="1:97" x14ac:dyDescent="0.25">
      <c r="A549" t="s">
        <v>3718</v>
      </c>
      <c r="B549" t="s">
        <v>3719</v>
      </c>
      <c r="C549" t="s">
        <v>1394</v>
      </c>
      <c r="D549" t="s">
        <v>3719</v>
      </c>
      <c r="E549" t="s">
        <v>3720</v>
      </c>
      <c r="F549" t="s">
        <v>108</v>
      </c>
      <c r="H549" t="s">
        <v>3721</v>
      </c>
      <c r="I549" t="s">
        <v>188</v>
      </c>
      <c r="J549" t="s">
        <v>111</v>
      </c>
      <c r="K549" t="str">
        <f>"85142"</f>
        <v>85142</v>
      </c>
      <c r="L549" t="s">
        <v>625</v>
      </c>
      <c r="M549" t="s">
        <v>3721</v>
      </c>
      <c r="N549" t="s">
        <v>188</v>
      </c>
      <c r="O549" t="s">
        <v>111</v>
      </c>
      <c r="P549" t="str">
        <f>"85142-8142"</f>
        <v>85142-8142</v>
      </c>
      <c r="Q549" t="s">
        <v>113</v>
      </c>
      <c r="R549" t="str">
        <f>"304-88-687"</f>
        <v>304-88-687</v>
      </c>
      <c r="S549" t="s">
        <v>3204</v>
      </c>
      <c r="U549">
        <v>2809</v>
      </c>
      <c r="W549">
        <v>4</v>
      </c>
      <c r="X549">
        <v>2014</v>
      </c>
      <c r="Z549">
        <v>1</v>
      </c>
      <c r="AA549" t="s">
        <v>26</v>
      </c>
      <c r="AC549" t="s">
        <v>115</v>
      </c>
      <c r="AD549">
        <v>2</v>
      </c>
      <c r="AE549" t="s">
        <v>115</v>
      </c>
      <c r="AH549" t="s">
        <v>116</v>
      </c>
      <c r="AI549" s="1">
        <v>124617</v>
      </c>
      <c r="AJ549" s="2">
        <v>0.31</v>
      </c>
      <c r="AK549" s="1">
        <v>406117</v>
      </c>
      <c r="AL549" t="s">
        <v>117</v>
      </c>
      <c r="AM549" t="s">
        <v>393</v>
      </c>
      <c r="AN549">
        <v>10395</v>
      </c>
      <c r="AO549">
        <v>0.24</v>
      </c>
      <c r="AR549">
        <v>1</v>
      </c>
      <c r="AS549" s="1">
        <v>30930</v>
      </c>
      <c r="AT549" s="1">
        <v>6180</v>
      </c>
      <c r="AU549" s="1">
        <v>24750</v>
      </c>
      <c r="AV549">
        <v>80.02</v>
      </c>
      <c r="AX549" s="1">
        <v>3001.76</v>
      </c>
      <c r="AY549" t="s">
        <v>560</v>
      </c>
      <c r="AZ549" t="s">
        <v>561</v>
      </c>
      <c r="BA549" t="s">
        <v>194</v>
      </c>
      <c r="BE549" s="3">
        <v>42090</v>
      </c>
      <c r="BF549" s="1">
        <v>284994</v>
      </c>
      <c r="BG549" t="s">
        <v>1404</v>
      </c>
      <c r="BH549" s="1">
        <v>101.46</v>
      </c>
      <c r="BI549" s="1">
        <v>281500</v>
      </c>
      <c r="BJ549" s="3">
        <v>42601</v>
      </c>
      <c r="BK549" t="s">
        <v>123</v>
      </c>
      <c r="BL549" t="str">
        <f>"2016.594021"</f>
        <v>2016.594021</v>
      </c>
      <c r="BM549" t="s">
        <v>3496</v>
      </c>
      <c r="BO549" t="s">
        <v>3722</v>
      </c>
      <c r="BS549">
        <v>30</v>
      </c>
      <c r="BW549" t="str">
        <f>""</f>
        <v/>
      </c>
      <c r="CH549" t="str">
        <f>""</f>
        <v/>
      </c>
      <c r="CS549" t="str">
        <f>""</f>
        <v/>
      </c>
    </row>
    <row r="550" spans="1:97" x14ac:dyDescent="0.25">
      <c r="A550" t="s">
        <v>3315</v>
      </c>
      <c r="B550" t="s">
        <v>3723</v>
      </c>
      <c r="C550" t="s">
        <v>3724</v>
      </c>
      <c r="D550" t="s">
        <v>3723</v>
      </c>
      <c r="E550" t="s">
        <v>3725</v>
      </c>
      <c r="F550" t="s">
        <v>108</v>
      </c>
      <c r="H550" t="s">
        <v>3726</v>
      </c>
      <c r="I550" t="s">
        <v>453</v>
      </c>
      <c r="J550" t="s">
        <v>111</v>
      </c>
      <c r="K550" t="str">
        <f>"85383"</f>
        <v>85383</v>
      </c>
      <c r="L550" t="s">
        <v>2015</v>
      </c>
      <c r="M550" t="s">
        <v>3726</v>
      </c>
      <c r="N550" t="s">
        <v>453</v>
      </c>
      <c r="O550" t="s">
        <v>111</v>
      </c>
      <c r="P550" t="str">
        <f>"85383-5915"</f>
        <v>85383-5915</v>
      </c>
      <c r="Q550" t="s">
        <v>113</v>
      </c>
      <c r="R550" t="str">
        <f>"201-19-478"</f>
        <v>201-19-478</v>
      </c>
      <c r="S550" t="s">
        <v>2016</v>
      </c>
      <c r="U550">
        <v>2018</v>
      </c>
      <c r="W550">
        <v>3</v>
      </c>
      <c r="X550">
        <v>2014</v>
      </c>
      <c r="Z550">
        <v>1</v>
      </c>
      <c r="AA550" t="s">
        <v>26</v>
      </c>
      <c r="AC550" t="s">
        <v>115</v>
      </c>
      <c r="AD550">
        <v>2</v>
      </c>
      <c r="AE550" t="s">
        <v>115</v>
      </c>
      <c r="AH550" t="s">
        <v>116</v>
      </c>
      <c r="AI550" s="1">
        <v>41169</v>
      </c>
      <c r="AJ550" s="2">
        <v>0.11</v>
      </c>
      <c r="AK550" s="1">
        <v>371729</v>
      </c>
      <c r="AL550" t="s">
        <v>117</v>
      </c>
      <c r="AM550" t="s">
        <v>118</v>
      </c>
      <c r="AN550">
        <v>5973</v>
      </c>
      <c r="AO550">
        <v>0.14000000000000001</v>
      </c>
      <c r="AR550">
        <v>1</v>
      </c>
      <c r="AS550" s="1">
        <v>27160</v>
      </c>
      <c r="AT550" s="1">
        <v>5430</v>
      </c>
      <c r="AU550" s="1">
        <v>21730</v>
      </c>
      <c r="AV550">
        <v>80.010000000000005</v>
      </c>
      <c r="AX550" s="1">
        <v>2297.86</v>
      </c>
      <c r="AY550" t="s">
        <v>456</v>
      </c>
      <c r="AZ550" t="s">
        <v>456</v>
      </c>
      <c r="BA550" t="s">
        <v>457</v>
      </c>
      <c r="BE550" s="3">
        <v>42003</v>
      </c>
      <c r="BF550" s="1">
        <v>278938</v>
      </c>
      <c r="BG550" t="s">
        <v>446</v>
      </c>
      <c r="BH550" s="1">
        <v>138.22</v>
      </c>
      <c r="BI550" s="1">
        <v>330560</v>
      </c>
      <c r="BJ550" s="3">
        <v>42934</v>
      </c>
      <c r="BK550" t="s">
        <v>123</v>
      </c>
      <c r="BL550" t="str">
        <f>"2017.524130"</f>
        <v>2017.524130</v>
      </c>
      <c r="BM550" t="s">
        <v>3727</v>
      </c>
      <c r="BO550" t="s">
        <v>3728</v>
      </c>
      <c r="BS550">
        <v>30</v>
      </c>
      <c r="BW550" t="str">
        <f>""</f>
        <v/>
      </c>
      <c r="CH550" t="str">
        <f>""</f>
        <v/>
      </c>
      <c r="CS550" t="str">
        <f>""</f>
        <v/>
      </c>
    </row>
    <row r="551" spans="1:97" x14ac:dyDescent="0.25">
      <c r="A551" t="s">
        <v>3729</v>
      </c>
      <c r="B551" t="s">
        <v>3730</v>
      </c>
      <c r="E551" t="s">
        <v>3731</v>
      </c>
      <c r="F551" t="s">
        <v>108</v>
      </c>
      <c r="H551" t="s">
        <v>3732</v>
      </c>
      <c r="I551" t="s">
        <v>3150</v>
      </c>
      <c r="J551" t="s">
        <v>111</v>
      </c>
      <c r="K551" t="str">
        <f>"85340"</f>
        <v>85340</v>
      </c>
      <c r="L551" t="s">
        <v>3151</v>
      </c>
      <c r="M551" t="s">
        <v>3732</v>
      </c>
      <c r="N551" t="s">
        <v>3150</v>
      </c>
      <c r="O551" t="s">
        <v>111</v>
      </c>
      <c r="P551" t="str">
        <f>"85340-2843"</f>
        <v>85340-2843</v>
      </c>
      <c r="R551" t="str">
        <f>"501-73-752"</f>
        <v>501-73-752</v>
      </c>
      <c r="S551" t="s">
        <v>3152</v>
      </c>
      <c r="U551">
        <v>2375</v>
      </c>
      <c r="W551">
        <v>4</v>
      </c>
      <c r="X551">
        <v>2015</v>
      </c>
      <c r="Z551">
        <v>1</v>
      </c>
      <c r="AA551" t="s">
        <v>26</v>
      </c>
      <c r="AC551" t="s">
        <v>115</v>
      </c>
      <c r="AD551">
        <v>3</v>
      </c>
      <c r="AE551" t="s">
        <v>115</v>
      </c>
      <c r="AH551" t="s">
        <v>116</v>
      </c>
      <c r="AI551" s="1">
        <v>123813</v>
      </c>
      <c r="AJ551" s="2">
        <v>0.28000000000000003</v>
      </c>
      <c r="AK551" s="1">
        <v>435998</v>
      </c>
      <c r="AL551" t="s">
        <v>117</v>
      </c>
      <c r="AM551" t="s">
        <v>118</v>
      </c>
      <c r="AN551">
        <v>8893</v>
      </c>
      <c r="AO551">
        <v>0.2</v>
      </c>
      <c r="AR551">
        <v>1</v>
      </c>
      <c r="AS551" s="1">
        <v>31070</v>
      </c>
      <c r="AT551" s="1">
        <v>6210</v>
      </c>
      <c r="AU551" s="1">
        <v>24860</v>
      </c>
      <c r="AV551">
        <v>80.010000000000005</v>
      </c>
      <c r="AX551" s="1">
        <v>2444.14</v>
      </c>
      <c r="AY551" t="s">
        <v>3019</v>
      </c>
      <c r="AZ551" t="s">
        <v>3153</v>
      </c>
      <c r="BA551" t="s">
        <v>3154</v>
      </c>
      <c r="BE551" s="3">
        <v>42272</v>
      </c>
      <c r="BF551" s="1">
        <v>314554</v>
      </c>
      <c r="BG551" t="s">
        <v>636</v>
      </c>
      <c r="BH551" s="1">
        <v>132.44</v>
      </c>
      <c r="BI551" s="1">
        <v>312185</v>
      </c>
      <c r="BJ551" s="3">
        <v>42272</v>
      </c>
      <c r="BK551" t="s">
        <v>123</v>
      </c>
      <c r="BL551" t="str">
        <f>"2015.692252"</f>
        <v>2015.692252</v>
      </c>
      <c r="BM551" t="s">
        <v>196</v>
      </c>
      <c r="BN551" t="s">
        <v>1442</v>
      </c>
      <c r="BO551" t="s">
        <v>3733</v>
      </c>
      <c r="BS551">
        <v>30</v>
      </c>
      <c r="BW551" t="str">
        <f>""</f>
        <v/>
      </c>
      <c r="CH551" t="str">
        <f>""</f>
        <v/>
      </c>
      <c r="CS551" t="str">
        <f>""</f>
        <v/>
      </c>
    </row>
    <row r="552" spans="1:97" x14ac:dyDescent="0.25">
      <c r="A552" t="s">
        <v>2168</v>
      </c>
      <c r="B552" t="s">
        <v>3734</v>
      </c>
      <c r="C552" t="s">
        <v>3735</v>
      </c>
      <c r="D552" t="s">
        <v>3734</v>
      </c>
      <c r="E552" t="s">
        <v>3736</v>
      </c>
      <c r="F552" t="s">
        <v>108</v>
      </c>
      <c r="H552" t="s">
        <v>3737</v>
      </c>
      <c r="I552" t="s">
        <v>3150</v>
      </c>
      <c r="J552" t="s">
        <v>111</v>
      </c>
      <c r="K552" t="str">
        <f>"85340"</f>
        <v>85340</v>
      </c>
      <c r="L552" t="s">
        <v>3151</v>
      </c>
      <c r="M552" t="s">
        <v>3737</v>
      </c>
      <c r="N552" t="s">
        <v>3150</v>
      </c>
      <c r="O552" t="s">
        <v>111</v>
      </c>
      <c r="P552" t="str">
        <f>"85340-2839"</f>
        <v>85340-2839</v>
      </c>
      <c r="Q552" t="s">
        <v>113</v>
      </c>
      <c r="R552" t="str">
        <f>"501-73-741"</f>
        <v>501-73-741</v>
      </c>
      <c r="S552" t="s">
        <v>3152</v>
      </c>
      <c r="U552">
        <v>3384</v>
      </c>
      <c r="W552">
        <v>5</v>
      </c>
      <c r="X552">
        <v>2014</v>
      </c>
      <c r="Z552">
        <v>2</v>
      </c>
      <c r="AA552" t="s">
        <v>26</v>
      </c>
      <c r="AC552" t="s">
        <v>115</v>
      </c>
      <c r="AD552">
        <v>3</v>
      </c>
      <c r="AE552" t="s">
        <v>115</v>
      </c>
      <c r="AH552" t="s">
        <v>116</v>
      </c>
      <c r="AI552" s="1">
        <v>102284</v>
      </c>
      <c r="AJ552" s="2">
        <v>0.21</v>
      </c>
      <c r="AK552" s="1">
        <v>485385</v>
      </c>
      <c r="AL552" t="s">
        <v>117</v>
      </c>
      <c r="AM552" t="s">
        <v>118</v>
      </c>
      <c r="AN552">
        <v>8043</v>
      </c>
      <c r="AO552">
        <v>0.18</v>
      </c>
      <c r="AR552">
        <v>1</v>
      </c>
      <c r="AS552" s="1">
        <v>35250</v>
      </c>
      <c r="AT552" s="1">
        <v>7050</v>
      </c>
      <c r="AU552" s="1">
        <v>28200</v>
      </c>
      <c r="AV552">
        <v>80</v>
      </c>
      <c r="AX552" s="1">
        <v>2830.18</v>
      </c>
      <c r="AY552" t="s">
        <v>3019</v>
      </c>
      <c r="AZ552" t="s">
        <v>3153</v>
      </c>
      <c r="BA552" t="s">
        <v>3154</v>
      </c>
      <c r="BE552" s="3">
        <v>42177</v>
      </c>
      <c r="BF552" s="1">
        <v>383101</v>
      </c>
      <c r="BG552" t="s">
        <v>636</v>
      </c>
      <c r="BH552" s="1">
        <v>113.21</v>
      </c>
      <c r="BI552" s="1">
        <v>383101</v>
      </c>
      <c r="BJ552" s="3">
        <v>42177</v>
      </c>
      <c r="BK552" t="s">
        <v>123</v>
      </c>
      <c r="BL552" t="str">
        <f>"2015.443320"</f>
        <v>2015.443320</v>
      </c>
      <c r="BM552" t="s">
        <v>135</v>
      </c>
      <c r="BO552" t="s">
        <v>3738</v>
      </c>
      <c r="BS552">
        <v>30</v>
      </c>
      <c r="BW552" t="str">
        <f>""</f>
        <v/>
      </c>
      <c r="CH552" t="str">
        <f>""</f>
        <v/>
      </c>
      <c r="CS552" t="str">
        <f>""</f>
        <v/>
      </c>
    </row>
    <row r="553" spans="1:97" x14ac:dyDescent="0.25">
      <c r="A553" t="s">
        <v>3739</v>
      </c>
      <c r="B553" t="s">
        <v>3740</v>
      </c>
      <c r="C553" t="s">
        <v>3741</v>
      </c>
      <c r="D553" t="s">
        <v>3740</v>
      </c>
      <c r="E553" t="s">
        <v>3742</v>
      </c>
      <c r="F553" t="s">
        <v>108</v>
      </c>
      <c r="H553" t="s">
        <v>3743</v>
      </c>
      <c r="I553" t="s">
        <v>3150</v>
      </c>
      <c r="J553" t="s">
        <v>111</v>
      </c>
      <c r="K553" t="str">
        <f>"85340"</f>
        <v>85340</v>
      </c>
      <c r="L553" t="s">
        <v>3151</v>
      </c>
      <c r="M553" t="s">
        <v>3743</v>
      </c>
      <c r="N553" t="s">
        <v>3150</v>
      </c>
      <c r="O553" t="s">
        <v>111</v>
      </c>
      <c r="P553" t="str">
        <f>"85340-2835"</f>
        <v>85340-2835</v>
      </c>
      <c r="Q553" t="s">
        <v>113</v>
      </c>
      <c r="R553" t="str">
        <f>"501-73-786"</f>
        <v>501-73-786</v>
      </c>
      <c r="S553" t="s">
        <v>3152</v>
      </c>
      <c r="U553">
        <v>4148</v>
      </c>
      <c r="W553">
        <v>5</v>
      </c>
      <c r="X553">
        <v>2015</v>
      </c>
      <c r="Z553">
        <v>2</v>
      </c>
      <c r="AA553" t="s">
        <v>26</v>
      </c>
      <c r="AC553" t="s">
        <v>115</v>
      </c>
      <c r="AD553">
        <v>3</v>
      </c>
      <c r="AE553" t="s">
        <v>115</v>
      </c>
      <c r="AH553" t="s">
        <v>116</v>
      </c>
      <c r="AI553" s="1">
        <v>138340</v>
      </c>
      <c r="AJ553" s="2">
        <v>0.25</v>
      </c>
      <c r="AK553" s="1">
        <v>560552</v>
      </c>
      <c r="AL553" t="s">
        <v>117</v>
      </c>
      <c r="AM553" t="s">
        <v>118</v>
      </c>
      <c r="AN553">
        <v>12207</v>
      </c>
      <c r="AO553">
        <v>0.28000000000000003</v>
      </c>
      <c r="AR553">
        <v>1</v>
      </c>
      <c r="AS553" s="1">
        <v>42380</v>
      </c>
      <c r="AT553" s="1">
        <v>8470</v>
      </c>
      <c r="AU553" s="1">
        <v>33910</v>
      </c>
      <c r="AV553">
        <v>80.010000000000005</v>
      </c>
      <c r="AX553" s="1">
        <v>3712.98</v>
      </c>
      <c r="AY553" t="s">
        <v>3019</v>
      </c>
      <c r="AZ553" t="s">
        <v>3153</v>
      </c>
      <c r="BA553" t="s">
        <v>3154</v>
      </c>
      <c r="BE553" s="3">
        <v>42153</v>
      </c>
      <c r="BF553" s="1">
        <v>495585</v>
      </c>
      <c r="BG553" t="s">
        <v>636</v>
      </c>
      <c r="BH553" s="1">
        <v>119.48</v>
      </c>
      <c r="BI553" s="1">
        <v>422212</v>
      </c>
      <c r="BJ553" s="3">
        <v>42153</v>
      </c>
      <c r="BK553" t="s">
        <v>123</v>
      </c>
      <c r="BL553" t="str">
        <f>"2015.379615"</f>
        <v>2015.379615</v>
      </c>
      <c r="BM553" t="s">
        <v>637</v>
      </c>
      <c r="BO553" t="s">
        <v>3744</v>
      </c>
      <c r="BS553">
        <v>30</v>
      </c>
      <c r="BW553" t="str">
        <f>""</f>
        <v/>
      </c>
      <c r="CH553" t="str">
        <f>""</f>
        <v/>
      </c>
      <c r="CS553" t="str">
        <f>""</f>
        <v/>
      </c>
    </row>
    <row r="554" spans="1:97" x14ac:dyDescent="0.25">
      <c r="A554" t="s">
        <v>610</v>
      </c>
      <c r="B554" t="s">
        <v>3745</v>
      </c>
      <c r="C554" t="s">
        <v>1729</v>
      </c>
      <c r="D554" t="s">
        <v>3745</v>
      </c>
      <c r="E554" t="s">
        <v>3746</v>
      </c>
      <c r="F554" t="s">
        <v>108</v>
      </c>
      <c r="H554" t="s">
        <v>3747</v>
      </c>
      <c r="I554" t="s">
        <v>3150</v>
      </c>
      <c r="J554" t="s">
        <v>111</v>
      </c>
      <c r="K554" t="str">
        <f>"85340"</f>
        <v>85340</v>
      </c>
      <c r="L554" t="s">
        <v>3151</v>
      </c>
      <c r="M554" t="s">
        <v>3747</v>
      </c>
      <c r="N554" t="s">
        <v>3150</v>
      </c>
      <c r="O554" t="s">
        <v>111</v>
      </c>
      <c r="P554" t="str">
        <f>"85340-2839"</f>
        <v>85340-2839</v>
      </c>
      <c r="Q554" t="s">
        <v>113</v>
      </c>
      <c r="R554" t="str">
        <f>"501-73-740"</f>
        <v>501-73-740</v>
      </c>
      <c r="S554" t="s">
        <v>3152</v>
      </c>
      <c r="U554">
        <v>2855</v>
      </c>
      <c r="W554">
        <v>5</v>
      </c>
      <c r="X554">
        <v>2014</v>
      </c>
      <c r="Z554">
        <v>1</v>
      </c>
      <c r="AC554" t="s">
        <v>115</v>
      </c>
      <c r="AD554">
        <v>3</v>
      </c>
      <c r="AE554" t="s">
        <v>115</v>
      </c>
      <c r="AH554" t="s">
        <v>116</v>
      </c>
      <c r="AI554" s="1">
        <v>102583</v>
      </c>
      <c r="AJ554" s="2">
        <v>0.24</v>
      </c>
      <c r="AK554" s="1">
        <v>425612</v>
      </c>
      <c r="AL554" t="s">
        <v>117</v>
      </c>
      <c r="AM554" t="s">
        <v>118</v>
      </c>
      <c r="AN554">
        <v>7837</v>
      </c>
      <c r="AO554">
        <v>0.18</v>
      </c>
      <c r="AR554">
        <v>1</v>
      </c>
      <c r="AS554" s="1">
        <v>31500</v>
      </c>
      <c r="AT554" s="1">
        <v>6300</v>
      </c>
      <c r="AU554" s="1">
        <v>25200</v>
      </c>
      <c r="AV554">
        <v>80</v>
      </c>
      <c r="AX554" s="1">
        <v>2682.7</v>
      </c>
      <c r="AY554" t="s">
        <v>3019</v>
      </c>
      <c r="AZ554" t="s">
        <v>3153</v>
      </c>
      <c r="BA554" t="s">
        <v>3154</v>
      </c>
      <c r="BB554" s="3">
        <v>43084</v>
      </c>
      <c r="BD554" t="s">
        <v>157</v>
      </c>
      <c r="BE554" s="3">
        <v>42157</v>
      </c>
      <c r="BF554" s="1">
        <v>333029</v>
      </c>
      <c r="BG554" t="s">
        <v>636</v>
      </c>
      <c r="BH554" s="1">
        <v>116.65</v>
      </c>
      <c r="BI554" s="1">
        <v>288029</v>
      </c>
      <c r="BJ554" s="3">
        <v>42157</v>
      </c>
      <c r="BK554" t="s">
        <v>123</v>
      </c>
      <c r="BL554" t="str">
        <f>"2015.390883"</f>
        <v>2015.390883</v>
      </c>
      <c r="BM554" t="s">
        <v>637</v>
      </c>
      <c r="BN554" t="s">
        <v>652</v>
      </c>
      <c r="BO554" t="s">
        <v>3748</v>
      </c>
      <c r="BP554" t="s">
        <v>3749</v>
      </c>
      <c r="BS554">
        <v>30</v>
      </c>
      <c r="BT554" s="1">
        <v>35000</v>
      </c>
      <c r="BU554" s="3">
        <v>42465</v>
      </c>
      <c r="BV554" t="s">
        <v>134</v>
      </c>
      <c r="BW554" t="str">
        <f>"2016.224520"</f>
        <v>2016.224520</v>
      </c>
      <c r="BX554" t="s">
        <v>369</v>
      </c>
      <c r="BY554" t="s">
        <v>3539</v>
      </c>
      <c r="BZ554" t="s">
        <v>3748</v>
      </c>
      <c r="CA554" t="s">
        <v>3749</v>
      </c>
      <c r="CD554">
        <v>15</v>
      </c>
      <c r="CH554" t="str">
        <f>""</f>
        <v/>
      </c>
      <c r="CS554" t="str">
        <f>""</f>
        <v/>
      </c>
    </row>
    <row r="555" spans="1:97" x14ac:dyDescent="0.25">
      <c r="A555" t="s">
        <v>328</v>
      </c>
      <c r="B555" t="s">
        <v>3750</v>
      </c>
      <c r="E555" t="s">
        <v>3751</v>
      </c>
      <c r="F555" t="s">
        <v>108</v>
      </c>
      <c r="H555" t="s">
        <v>3752</v>
      </c>
      <c r="I555" t="s">
        <v>453</v>
      </c>
      <c r="J555" t="s">
        <v>111</v>
      </c>
      <c r="K555" t="str">
        <f>"85383"</f>
        <v>85383</v>
      </c>
      <c r="L555" t="s">
        <v>1383</v>
      </c>
      <c r="M555" t="s">
        <v>3752</v>
      </c>
      <c r="N555" t="s">
        <v>453</v>
      </c>
      <c r="O555" t="s">
        <v>111</v>
      </c>
      <c r="P555" t="str">
        <f>"85383-6303"</f>
        <v>85383-6303</v>
      </c>
      <c r="Q555" t="s">
        <v>113</v>
      </c>
      <c r="R555" t="str">
        <f>"201-20-633"</f>
        <v>201-20-633</v>
      </c>
      <c r="S555" t="s">
        <v>1384</v>
      </c>
      <c r="U555">
        <v>1772</v>
      </c>
      <c r="W555">
        <v>3</v>
      </c>
      <c r="X555">
        <v>2015</v>
      </c>
      <c r="Z555">
        <v>1</v>
      </c>
      <c r="AC555" t="s">
        <v>115</v>
      </c>
      <c r="AD555">
        <v>2</v>
      </c>
      <c r="AE555" t="s">
        <v>115</v>
      </c>
      <c r="AH555" t="s">
        <v>116</v>
      </c>
      <c r="AI555" s="1">
        <v>72974</v>
      </c>
      <c r="AJ555" s="2">
        <v>0.22</v>
      </c>
      <c r="AK555" s="1">
        <v>327043</v>
      </c>
      <c r="AL555" t="s">
        <v>117</v>
      </c>
      <c r="AM555" t="s">
        <v>118</v>
      </c>
      <c r="AN555">
        <v>6292</v>
      </c>
      <c r="AO555">
        <v>0.14000000000000001</v>
      </c>
      <c r="AR555">
        <v>1</v>
      </c>
      <c r="AS555" s="1">
        <v>24310</v>
      </c>
      <c r="AT555" s="1">
        <v>4860</v>
      </c>
      <c r="AU555" s="1">
        <v>19450</v>
      </c>
      <c r="AV555">
        <v>80.010000000000005</v>
      </c>
      <c r="AX555" s="1">
        <v>1845.64</v>
      </c>
      <c r="AY555" t="s">
        <v>1385</v>
      </c>
      <c r="AZ555" t="s">
        <v>1385</v>
      </c>
      <c r="BA555" t="s">
        <v>1386</v>
      </c>
      <c r="BE555" s="3">
        <v>42153</v>
      </c>
      <c r="BF555" s="1">
        <v>263490</v>
      </c>
      <c r="BG555" t="s">
        <v>195</v>
      </c>
      <c r="BH555" s="1">
        <v>148.69999999999999</v>
      </c>
      <c r="BI555" s="1">
        <v>254069</v>
      </c>
      <c r="BJ555" s="3">
        <v>42153</v>
      </c>
      <c r="BK555" t="s">
        <v>123</v>
      </c>
      <c r="BL555" t="str">
        <f>"2015.383448"</f>
        <v>2015.383448</v>
      </c>
      <c r="BM555" t="s">
        <v>196</v>
      </c>
      <c r="BO555" t="s">
        <v>3753</v>
      </c>
      <c r="BS555">
        <v>30</v>
      </c>
      <c r="BW555" t="str">
        <f>""</f>
        <v/>
      </c>
      <c r="CH555" t="str">
        <f>""</f>
        <v/>
      </c>
      <c r="CS555" t="str">
        <f>""</f>
        <v/>
      </c>
    </row>
    <row r="556" spans="1:97" x14ac:dyDescent="0.25">
      <c r="A556" t="s">
        <v>211</v>
      </c>
      <c r="B556" t="s">
        <v>3754</v>
      </c>
      <c r="C556" t="s">
        <v>3755</v>
      </c>
      <c r="D556" t="s">
        <v>3754</v>
      </c>
      <c r="E556" t="s">
        <v>3756</v>
      </c>
      <c r="F556" t="s">
        <v>108</v>
      </c>
      <c r="H556" t="s">
        <v>3757</v>
      </c>
      <c r="I556" t="s">
        <v>225</v>
      </c>
      <c r="J556" t="s">
        <v>111</v>
      </c>
      <c r="K556" t="str">
        <f>"85207"</f>
        <v>85207</v>
      </c>
      <c r="L556" t="s">
        <v>3758</v>
      </c>
      <c r="M556" t="s">
        <v>3757</v>
      </c>
      <c r="N556" t="s">
        <v>225</v>
      </c>
      <c r="O556" t="s">
        <v>111</v>
      </c>
      <c r="P556" t="str">
        <f>"85207-4472"</f>
        <v>85207-4472</v>
      </c>
      <c r="R556" t="str">
        <f>"220-05-063"</f>
        <v>220-05-063</v>
      </c>
      <c r="S556" t="s">
        <v>3759</v>
      </c>
      <c r="T556" t="s">
        <v>3760</v>
      </c>
      <c r="U556">
        <v>3535</v>
      </c>
      <c r="W556">
        <v>5</v>
      </c>
      <c r="X556">
        <v>2014</v>
      </c>
      <c r="Z556">
        <v>1</v>
      </c>
      <c r="AC556" t="s">
        <v>115</v>
      </c>
      <c r="AD556">
        <v>3</v>
      </c>
      <c r="AE556" t="s">
        <v>115</v>
      </c>
      <c r="AH556" t="s">
        <v>116</v>
      </c>
      <c r="AI556" s="1">
        <v>207792</v>
      </c>
      <c r="AJ556" s="2">
        <v>0.32</v>
      </c>
      <c r="AK556" s="1">
        <v>658192</v>
      </c>
      <c r="AL556" t="s">
        <v>117</v>
      </c>
      <c r="AM556" t="s">
        <v>1521</v>
      </c>
      <c r="AN556">
        <v>15300</v>
      </c>
      <c r="AO556">
        <v>0.35</v>
      </c>
      <c r="AR556">
        <v>1</v>
      </c>
      <c r="AS556" s="1">
        <v>49930</v>
      </c>
      <c r="AT556" s="1">
        <v>9980</v>
      </c>
      <c r="AU556" s="1">
        <v>39950</v>
      </c>
      <c r="AV556">
        <v>80.010000000000005</v>
      </c>
      <c r="AX556" s="1">
        <v>3274.2</v>
      </c>
      <c r="AY556" t="s">
        <v>3118</v>
      </c>
      <c r="AZ556" t="s">
        <v>3761</v>
      </c>
      <c r="BA556" t="s">
        <v>232</v>
      </c>
      <c r="BE556" s="3">
        <v>42124</v>
      </c>
      <c r="BF556" s="1">
        <v>528357</v>
      </c>
      <c r="BG556" t="s">
        <v>3762</v>
      </c>
      <c r="BH556" s="1">
        <v>149.46</v>
      </c>
      <c r="BI556" s="1">
        <v>417000</v>
      </c>
      <c r="BJ556" s="3">
        <v>42124</v>
      </c>
      <c r="BK556" t="s">
        <v>123</v>
      </c>
      <c r="BL556" t="str">
        <f>"2015.305724"</f>
        <v>2015.305724</v>
      </c>
      <c r="BM556" t="s">
        <v>1998</v>
      </c>
      <c r="BN556" t="s">
        <v>3763</v>
      </c>
      <c r="BO556" t="s">
        <v>3764</v>
      </c>
      <c r="BS556">
        <v>30</v>
      </c>
      <c r="BT556" s="1">
        <v>33400</v>
      </c>
      <c r="BU556" s="3">
        <v>43609</v>
      </c>
      <c r="BV556" t="s">
        <v>134</v>
      </c>
      <c r="BW556" t="str">
        <f>"2019.386467"</f>
        <v>2019.386467</v>
      </c>
      <c r="BX556" t="s">
        <v>3765</v>
      </c>
      <c r="BY556" t="s">
        <v>3766</v>
      </c>
      <c r="BZ556" t="s">
        <v>3767</v>
      </c>
      <c r="CC556" t="s">
        <v>2083</v>
      </c>
      <c r="CH556" t="str">
        <f>""</f>
        <v/>
      </c>
      <c r="CS556" t="str">
        <f>""</f>
        <v/>
      </c>
    </row>
    <row r="557" spans="1:97" x14ac:dyDescent="0.25">
      <c r="A557" t="s">
        <v>3768</v>
      </c>
      <c r="B557" t="s">
        <v>3769</v>
      </c>
      <c r="C557" t="s">
        <v>3770</v>
      </c>
      <c r="D557" t="s">
        <v>3771</v>
      </c>
      <c r="E557" t="s">
        <v>3772</v>
      </c>
      <c r="F557" t="s">
        <v>108</v>
      </c>
      <c r="H557" t="s">
        <v>3773</v>
      </c>
      <c r="I557" t="s">
        <v>453</v>
      </c>
      <c r="J557" t="s">
        <v>111</v>
      </c>
      <c r="K557" t="str">
        <f>"85383"</f>
        <v>85383</v>
      </c>
      <c r="L557" t="s">
        <v>189</v>
      </c>
      <c r="M557" t="s">
        <v>3773</v>
      </c>
      <c r="N557" t="s">
        <v>453</v>
      </c>
      <c r="O557" t="s">
        <v>111</v>
      </c>
      <c r="P557" t="str">
        <f>"85383-5082"</f>
        <v>85383-5082</v>
      </c>
      <c r="Q557" t="s">
        <v>113</v>
      </c>
      <c r="R557" t="str">
        <f>"510-07-596"</f>
        <v>510-07-596</v>
      </c>
      <c r="S557" t="s">
        <v>3774</v>
      </c>
      <c r="U557">
        <v>2082</v>
      </c>
      <c r="W557">
        <v>3</v>
      </c>
      <c r="X557">
        <v>2014</v>
      </c>
      <c r="Z557">
        <v>1</v>
      </c>
      <c r="AC557" t="s">
        <v>115</v>
      </c>
      <c r="AD557">
        <v>2</v>
      </c>
      <c r="AE557" t="s">
        <v>115</v>
      </c>
      <c r="AH557" t="s">
        <v>116</v>
      </c>
      <c r="AI557" s="1">
        <v>81388</v>
      </c>
      <c r="AJ557" s="2">
        <v>0.22</v>
      </c>
      <c r="AK557" s="1">
        <v>362029</v>
      </c>
      <c r="AL557" t="s">
        <v>117</v>
      </c>
      <c r="AM557" t="s">
        <v>118</v>
      </c>
      <c r="AN557">
        <v>7220</v>
      </c>
      <c r="AO557">
        <v>0.17</v>
      </c>
      <c r="AR557">
        <v>1</v>
      </c>
      <c r="AS557" s="1">
        <v>26070</v>
      </c>
      <c r="AT557" s="1">
        <v>5210</v>
      </c>
      <c r="AU557" s="1">
        <v>20860</v>
      </c>
      <c r="AV557">
        <v>80.02</v>
      </c>
      <c r="AX557" s="1">
        <v>3041.6</v>
      </c>
      <c r="AY557" t="s">
        <v>456</v>
      </c>
      <c r="AZ557" t="s">
        <v>456</v>
      </c>
      <c r="BA557" t="s">
        <v>457</v>
      </c>
      <c r="BE557" s="3">
        <v>41985</v>
      </c>
      <c r="BF557" s="1">
        <v>281500</v>
      </c>
      <c r="BG557" t="s">
        <v>292</v>
      </c>
      <c r="BH557" s="1">
        <v>135.21</v>
      </c>
      <c r="BI557" s="1">
        <v>280641</v>
      </c>
      <c r="BJ557" s="3">
        <v>42633</v>
      </c>
      <c r="BK557" t="s">
        <v>123</v>
      </c>
      <c r="BL557" t="str">
        <f>"2016.681421"</f>
        <v>2016.681421</v>
      </c>
      <c r="BM557" t="s">
        <v>843</v>
      </c>
      <c r="BO557" t="s">
        <v>3775</v>
      </c>
      <c r="BP557" t="s">
        <v>3776</v>
      </c>
      <c r="BS557">
        <v>30</v>
      </c>
      <c r="BW557" t="str">
        <f>""</f>
        <v/>
      </c>
      <c r="CH557" t="str">
        <f>""</f>
        <v/>
      </c>
      <c r="CS557" t="str">
        <f>""</f>
        <v/>
      </c>
    </row>
    <row r="558" spans="1:97" x14ac:dyDescent="0.25">
      <c r="A558" t="s">
        <v>3777</v>
      </c>
      <c r="B558" t="s">
        <v>364</v>
      </c>
      <c r="C558" t="s">
        <v>1496</v>
      </c>
      <c r="D558" t="s">
        <v>364</v>
      </c>
      <c r="E558" t="s">
        <v>3778</v>
      </c>
      <c r="F558" t="s">
        <v>108</v>
      </c>
      <c r="H558" t="s">
        <v>3779</v>
      </c>
      <c r="I558" t="s">
        <v>390</v>
      </c>
      <c r="J558" t="s">
        <v>111</v>
      </c>
      <c r="K558" t="str">
        <f>"85045"</f>
        <v>85045</v>
      </c>
      <c r="L558" t="s">
        <v>3430</v>
      </c>
      <c r="M558" t="s">
        <v>3779</v>
      </c>
      <c r="N558" t="s">
        <v>390</v>
      </c>
      <c r="O558" t="s">
        <v>111</v>
      </c>
      <c r="P558" t="str">
        <f>"85045"</f>
        <v>85045</v>
      </c>
      <c r="Q558" t="s">
        <v>113</v>
      </c>
      <c r="R558" t="str">
        <f>"311-02-862"</f>
        <v>311-02-862</v>
      </c>
      <c r="S558" t="s">
        <v>3431</v>
      </c>
      <c r="U558">
        <v>1937</v>
      </c>
      <c r="W558">
        <v>4</v>
      </c>
      <c r="X558">
        <v>2015</v>
      </c>
      <c r="Z558">
        <v>1</v>
      </c>
      <c r="AC558" t="s">
        <v>115</v>
      </c>
      <c r="AD558">
        <v>2</v>
      </c>
      <c r="AE558" t="s">
        <v>115</v>
      </c>
      <c r="AH558" t="s">
        <v>116</v>
      </c>
      <c r="AI558" s="1">
        <v>33874</v>
      </c>
      <c r="AJ558" s="2">
        <v>0.1</v>
      </c>
      <c r="AK558" s="1">
        <v>352854</v>
      </c>
      <c r="AL558" t="s">
        <v>117</v>
      </c>
      <c r="AM558" t="s">
        <v>118</v>
      </c>
      <c r="AN558">
        <v>4735</v>
      </c>
      <c r="AO558">
        <v>0.11</v>
      </c>
      <c r="AR558">
        <v>1</v>
      </c>
      <c r="AS558" s="1">
        <v>26060</v>
      </c>
      <c r="AT558" s="1">
        <v>5210</v>
      </c>
      <c r="AU558" s="1">
        <v>20850</v>
      </c>
      <c r="AV558">
        <v>80.010000000000005</v>
      </c>
      <c r="AX558" s="1">
        <v>2318.96</v>
      </c>
      <c r="AY558" t="s">
        <v>2966</v>
      </c>
      <c r="AZ558" t="s">
        <v>2967</v>
      </c>
      <c r="BA558" t="s">
        <v>930</v>
      </c>
      <c r="BE558" s="3">
        <v>42152</v>
      </c>
      <c r="BF558" s="1">
        <v>308790</v>
      </c>
      <c r="BG558" t="s">
        <v>195</v>
      </c>
      <c r="BH558" s="1">
        <v>159.41999999999999</v>
      </c>
      <c r="BI558" s="1">
        <v>318980</v>
      </c>
      <c r="BJ558" s="3">
        <v>42152</v>
      </c>
      <c r="BK558" t="s">
        <v>123</v>
      </c>
      <c r="BL558" t="str">
        <f>"2015.378226"</f>
        <v>2015.378226</v>
      </c>
      <c r="BM558" t="s">
        <v>196</v>
      </c>
      <c r="BO558" t="s">
        <v>3780</v>
      </c>
      <c r="BS558">
        <v>30</v>
      </c>
      <c r="BW558" t="str">
        <f>""</f>
        <v/>
      </c>
      <c r="CH558" t="str">
        <f>""</f>
        <v/>
      </c>
      <c r="CS558" t="str">
        <f>""</f>
        <v/>
      </c>
    </row>
    <row r="559" spans="1:97" x14ac:dyDescent="0.25">
      <c r="A559" t="s">
        <v>1393</v>
      </c>
      <c r="B559" t="s">
        <v>3781</v>
      </c>
      <c r="C559" t="s">
        <v>3782</v>
      </c>
      <c r="D559" t="s">
        <v>3781</v>
      </c>
      <c r="E559" t="s">
        <v>3783</v>
      </c>
      <c r="F559" t="s">
        <v>108</v>
      </c>
      <c r="H559" t="s">
        <v>3784</v>
      </c>
      <c r="I559" t="s">
        <v>390</v>
      </c>
      <c r="J559" t="s">
        <v>111</v>
      </c>
      <c r="K559" t="str">
        <f>"85045"</f>
        <v>85045</v>
      </c>
      <c r="L559" t="s">
        <v>3430</v>
      </c>
      <c r="M559" t="s">
        <v>3784</v>
      </c>
      <c r="N559" t="s">
        <v>390</v>
      </c>
      <c r="O559" t="s">
        <v>111</v>
      </c>
      <c r="P559" t="str">
        <f>"85045"</f>
        <v>85045</v>
      </c>
      <c r="Q559" t="s">
        <v>113</v>
      </c>
      <c r="R559" t="str">
        <f>"311-02-877"</f>
        <v>311-02-877</v>
      </c>
      <c r="S559" t="s">
        <v>3431</v>
      </c>
      <c r="U559">
        <v>1837</v>
      </c>
      <c r="W559">
        <v>4</v>
      </c>
      <c r="X559">
        <v>2015</v>
      </c>
      <c r="Z559">
        <v>1</v>
      </c>
      <c r="AC559" t="s">
        <v>115</v>
      </c>
      <c r="AD559">
        <v>3</v>
      </c>
      <c r="AE559" t="s">
        <v>115</v>
      </c>
      <c r="AH559" t="s">
        <v>116</v>
      </c>
      <c r="AI559" s="1">
        <v>44802</v>
      </c>
      <c r="AJ559" s="2">
        <v>0.13</v>
      </c>
      <c r="AK559" s="1">
        <v>349802</v>
      </c>
      <c r="AL559" t="s">
        <v>117</v>
      </c>
      <c r="AM559" t="s">
        <v>118</v>
      </c>
      <c r="AN559">
        <v>4725</v>
      </c>
      <c r="AO559">
        <v>0.11</v>
      </c>
      <c r="AR559">
        <v>1</v>
      </c>
      <c r="AS559" s="1">
        <v>25610</v>
      </c>
      <c r="AT559" s="1">
        <v>5120</v>
      </c>
      <c r="AU559" s="1">
        <v>20490</v>
      </c>
      <c r="AV559">
        <v>80.010000000000005</v>
      </c>
      <c r="AX559" s="1">
        <v>2299.86</v>
      </c>
      <c r="AY559" t="s">
        <v>2966</v>
      </c>
      <c r="AZ559" t="s">
        <v>2967</v>
      </c>
      <c r="BA559" t="s">
        <v>930</v>
      </c>
      <c r="BB559" s="3">
        <v>42990</v>
      </c>
      <c r="BD559" t="s">
        <v>157</v>
      </c>
      <c r="BE559" s="3">
        <v>42230</v>
      </c>
      <c r="BF559" s="1">
        <v>310000</v>
      </c>
      <c r="BG559" t="s">
        <v>195</v>
      </c>
      <c r="BH559" s="1">
        <v>168.75</v>
      </c>
      <c r="BI559" s="1">
        <v>305000</v>
      </c>
      <c r="BJ559" s="3">
        <v>42230</v>
      </c>
      <c r="BK559" t="s">
        <v>123</v>
      </c>
      <c r="BL559" t="str">
        <f>"2015.591535"</f>
        <v>2015.591535</v>
      </c>
      <c r="BM559" t="s">
        <v>196</v>
      </c>
      <c r="BO559" t="s">
        <v>3785</v>
      </c>
      <c r="BS559">
        <v>30</v>
      </c>
      <c r="BW559" t="str">
        <f>""</f>
        <v/>
      </c>
      <c r="CH559" t="str">
        <f>""</f>
        <v/>
      </c>
      <c r="CS559" t="str">
        <f>""</f>
        <v/>
      </c>
    </row>
    <row r="560" spans="1:97" x14ac:dyDescent="0.25">
      <c r="A560" t="s">
        <v>3786</v>
      </c>
      <c r="B560" t="s">
        <v>3787</v>
      </c>
      <c r="E560" t="s">
        <v>3788</v>
      </c>
      <c r="F560" t="s">
        <v>282</v>
      </c>
      <c r="H560" t="s">
        <v>3789</v>
      </c>
      <c r="I560" t="s">
        <v>3150</v>
      </c>
      <c r="J560" t="s">
        <v>111</v>
      </c>
      <c r="K560" t="str">
        <f>"85340"</f>
        <v>85340</v>
      </c>
      <c r="L560" t="s">
        <v>3151</v>
      </c>
      <c r="M560" t="s">
        <v>3790</v>
      </c>
      <c r="N560" t="s">
        <v>3150</v>
      </c>
      <c r="O560" t="s">
        <v>111</v>
      </c>
      <c r="P560" t="str">
        <f>"85340"</f>
        <v>85340</v>
      </c>
      <c r="Q560" t="s">
        <v>113</v>
      </c>
      <c r="R560" t="str">
        <f>"501-73-771"</f>
        <v>501-73-771</v>
      </c>
      <c r="S560" t="s">
        <v>3152</v>
      </c>
      <c r="U560">
        <v>2609</v>
      </c>
      <c r="W560">
        <v>5</v>
      </c>
      <c r="X560">
        <v>2014</v>
      </c>
      <c r="Z560">
        <v>1</v>
      </c>
      <c r="AA560" t="s">
        <v>26</v>
      </c>
      <c r="AC560" t="s">
        <v>115</v>
      </c>
      <c r="AD560">
        <v>2</v>
      </c>
      <c r="AE560" t="s">
        <v>115</v>
      </c>
      <c r="AH560" t="s">
        <v>116</v>
      </c>
      <c r="AI560" s="1">
        <v>75241</v>
      </c>
      <c r="AJ560" s="2">
        <v>0.17</v>
      </c>
      <c r="AK560" s="1">
        <v>448225</v>
      </c>
      <c r="AL560" t="s">
        <v>117</v>
      </c>
      <c r="AM560" t="s">
        <v>118</v>
      </c>
      <c r="AN560">
        <v>10416</v>
      </c>
      <c r="AO560">
        <v>0.24</v>
      </c>
      <c r="AR560">
        <v>1</v>
      </c>
      <c r="AS560" s="1">
        <v>32370</v>
      </c>
      <c r="AT560" s="1">
        <v>6470</v>
      </c>
      <c r="AU560" s="1">
        <v>25900</v>
      </c>
      <c r="AV560">
        <v>80.010000000000005</v>
      </c>
      <c r="AX560" s="1">
        <v>2528.86</v>
      </c>
      <c r="AY560" t="s">
        <v>3019</v>
      </c>
      <c r="AZ560" t="s">
        <v>3153</v>
      </c>
      <c r="BA560" t="s">
        <v>3154</v>
      </c>
      <c r="BE560" s="3">
        <v>41995</v>
      </c>
      <c r="BF560" s="1">
        <v>309260</v>
      </c>
      <c r="BG560" t="s">
        <v>636</v>
      </c>
      <c r="BH560" s="1">
        <v>118.54</v>
      </c>
      <c r="BI560" s="1">
        <v>332984</v>
      </c>
      <c r="BJ560" s="3">
        <v>42643</v>
      </c>
      <c r="BK560" t="s">
        <v>123</v>
      </c>
      <c r="BL560" t="str">
        <f>"2016.715645"</f>
        <v>2016.715645</v>
      </c>
      <c r="BM560" t="s">
        <v>475</v>
      </c>
      <c r="BO560" t="s">
        <v>3791</v>
      </c>
      <c r="BS560">
        <v>30</v>
      </c>
      <c r="BT560" s="1">
        <v>40000</v>
      </c>
      <c r="BU560" s="3">
        <v>42486</v>
      </c>
      <c r="BV560" t="s">
        <v>134</v>
      </c>
      <c r="BW560" t="str">
        <f>"2016.279104"</f>
        <v>2016.279104</v>
      </c>
      <c r="BX560" t="s">
        <v>369</v>
      </c>
      <c r="BZ560" t="s">
        <v>3791</v>
      </c>
      <c r="CD560">
        <v>15</v>
      </c>
      <c r="CH560" t="str">
        <f>""</f>
        <v/>
      </c>
      <c r="CS560" t="str">
        <f>""</f>
        <v/>
      </c>
    </row>
    <row r="561" spans="1:97" x14ac:dyDescent="0.25">
      <c r="A561" t="s">
        <v>1979</v>
      </c>
      <c r="B561" t="s">
        <v>3792</v>
      </c>
      <c r="E561" t="s">
        <v>3793</v>
      </c>
      <c r="F561" t="s">
        <v>108</v>
      </c>
      <c r="H561" t="s">
        <v>3794</v>
      </c>
      <c r="I561" t="s">
        <v>203</v>
      </c>
      <c r="J561" t="s">
        <v>111</v>
      </c>
      <c r="K561" t="str">
        <f>"85298"</f>
        <v>85298</v>
      </c>
      <c r="L561" t="s">
        <v>284</v>
      </c>
      <c r="M561" t="s">
        <v>3794</v>
      </c>
      <c r="N561" t="s">
        <v>203</v>
      </c>
      <c r="O561" t="s">
        <v>111</v>
      </c>
      <c r="P561" t="str">
        <f>"85298"</f>
        <v>85298</v>
      </c>
      <c r="R561" t="str">
        <f>"313-18-829"</f>
        <v>313-18-829</v>
      </c>
      <c r="S561" t="s">
        <v>3128</v>
      </c>
      <c r="T561" t="s">
        <v>1132</v>
      </c>
      <c r="U561">
        <v>2543</v>
      </c>
      <c r="W561">
        <v>4</v>
      </c>
      <c r="X561">
        <v>2014</v>
      </c>
      <c r="Z561">
        <v>1</v>
      </c>
      <c r="AA561" t="s">
        <v>26</v>
      </c>
      <c r="AC561" t="s">
        <v>115</v>
      </c>
      <c r="AD561">
        <v>2</v>
      </c>
      <c r="AE561" t="s">
        <v>115</v>
      </c>
      <c r="AH561" t="s">
        <v>116</v>
      </c>
      <c r="AI561" s="1">
        <v>47979</v>
      </c>
      <c r="AJ561" s="2">
        <v>0.11</v>
      </c>
      <c r="AK561" s="1">
        <v>456323</v>
      </c>
      <c r="AL561" t="s">
        <v>117</v>
      </c>
      <c r="AM561" t="s">
        <v>393</v>
      </c>
      <c r="AN561">
        <v>8791</v>
      </c>
      <c r="AO561">
        <v>0.2</v>
      </c>
      <c r="AR561">
        <v>1</v>
      </c>
      <c r="AS561" s="1">
        <v>34700</v>
      </c>
      <c r="AT561" s="1">
        <v>6940</v>
      </c>
      <c r="AU561" s="1">
        <v>27760</v>
      </c>
      <c r="AV561">
        <v>80</v>
      </c>
      <c r="AX561" s="1">
        <v>2562.6799999999998</v>
      </c>
      <c r="AY561" t="s">
        <v>1133</v>
      </c>
      <c r="AZ561" t="s">
        <v>1134</v>
      </c>
      <c r="BA561" t="s">
        <v>1134</v>
      </c>
      <c r="BE561" s="3">
        <v>42059</v>
      </c>
      <c r="BF561" s="1">
        <v>324782</v>
      </c>
      <c r="BG561" t="s">
        <v>292</v>
      </c>
      <c r="BH561" s="1">
        <v>127.72</v>
      </c>
      <c r="BI561" s="1">
        <v>310344</v>
      </c>
      <c r="BJ561" s="3">
        <v>42509</v>
      </c>
      <c r="BK561" t="s">
        <v>123</v>
      </c>
      <c r="BL561" t="str">
        <f>"2016.343221"</f>
        <v>2016.343221</v>
      </c>
      <c r="BM561" t="s">
        <v>248</v>
      </c>
      <c r="BN561" t="s">
        <v>249</v>
      </c>
      <c r="BO561" t="s">
        <v>3795</v>
      </c>
      <c r="BS561">
        <v>30</v>
      </c>
      <c r="BT561" s="1">
        <v>98000</v>
      </c>
      <c r="BU561" s="3">
        <v>43721</v>
      </c>
      <c r="BW561" t="str">
        <f>"2019.720120"</f>
        <v>2019.720120</v>
      </c>
      <c r="BX561" t="s">
        <v>1948</v>
      </c>
      <c r="BY561" t="s">
        <v>2988</v>
      </c>
      <c r="BZ561" t="s">
        <v>3796</v>
      </c>
      <c r="CC561" t="s">
        <v>346</v>
      </c>
      <c r="CH561" t="str">
        <f>""</f>
        <v/>
      </c>
      <c r="CS561" t="str">
        <f>""</f>
        <v/>
      </c>
    </row>
    <row r="562" spans="1:97" x14ac:dyDescent="0.25">
      <c r="B562" t="s">
        <v>3797</v>
      </c>
      <c r="C562" t="s">
        <v>817</v>
      </c>
      <c r="E562" t="s">
        <v>3797</v>
      </c>
      <c r="F562" t="s">
        <v>282</v>
      </c>
      <c r="H562" t="s">
        <v>3798</v>
      </c>
      <c r="I562" t="s">
        <v>144</v>
      </c>
      <c r="J562" t="s">
        <v>111</v>
      </c>
      <c r="K562" t="str">
        <f>"85396"</f>
        <v>85396</v>
      </c>
      <c r="L562" t="s">
        <v>3094</v>
      </c>
      <c r="M562" t="s">
        <v>3799</v>
      </c>
      <c r="N562" t="s">
        <v>3800</v>
      </c>
      <c r="O562" t="s">
        <v>3801</v>
      </c>
      <c r="P562" t="str">
        <f>"57332-2124"</f>
        <v>57332-2124</v>
      </c>
      <c r="Q562" t="s">
        <v>113</v>
      </c>
      <c r="R562" t="str">
        <f>"502-82-701"</f>
        <v>502-82-701</v>
      </c>
      <c r="S562" t="s">
        <v>3095</v>
      </c>
      <c r="U562">
        <v>1988</v>
      </c>
      <c r="W562">
        <v>3</v>
      </c>
      <c r="X562">
        <v>2015</v>
      </c>
      <c r="Z562">
        <v>1</v>
      </c>
      <c r="AC562" t="s">
        <v>115</v>
      </c>
      <c r="AD562">
        <v>2</v>
      </c>
      <c r="AE562" t="s">
        <v>115</v>
      </c>
      <c r="AH562" t="s">
        <v>116</v>
      </c>
      <c r="AI562" s="1">
        <v>98467</v>
      </c>
      <c r="AJ562" s="2">
        <v>0.23</v>
      </c>
      <c r="AK562" s="1">
        <v>423467</v>
      </c>
      <c r="AL562" t="s">
        <v>117</v>
      </c>
      <c r="AM562" t="s">
        <v>118</v>
      </c>
      <c r="AN562">
        <v>8003</v>
      </c>
      <c r="AO562">
        <v>0.18</v>
      </c>
      <c r="AR562">
        <v>1</v>
      </c>
      <c r="AS562" s="1">
        <v>33730</v>
      </c>
      <c r="AT562" s="1">
        <v>6740</v>
      </c>
      <c r="AU562" s="1">
        <v>26990</v>
      </c>
      <c r="AV562">
        <v>80.02</v>
      </c>
      <c r="AX562" s="1">
        <v>4162.22</v>
      </c>
      <c r="AY562" t="s">
        <v>543</v>
      </c>
      <c r="AZ562" t="s">
        <v>504</v>
      </c>
      <c r="BA562" t="s">
        <v>218</v>
      </c>
      <c r="BB562" s="3">
        <v>43781</v>
      </c>
      <c r="BC562" s="1">
        <v>0</v>
      </c>
      <c r="BD562" t="s">
        <v>291</v>
      </c>
      <c r="BE562" s="3">
        <v>42172</v>
      </c>
      <c r="BF562" s="1">
        <v>439790</v>
      </c>
      <c r="BG562" t="s">
        <v>195</v>
      </c>
      <c r="BH562" s="1">
        <v>221.22</v>
      </c>
      <c r="BI562" s="1">
        <v>325000</v>
      </c>
      <c r="BJ562" s="3">
        <v>42172</v>
      </c>
      <c r="BK562" t="s">
        <v>123</v>
      </c>
      <c r="BL562" t="str">
        <f>"2015.432714"</f>
        <v>2015.432714</v>
      </c>
      <c r="BM562" t="s">
        <v>196</v>
      </c>
      <c r="BN562" t="s">
        <v>1442</v>
      </c>
      <c r="BO562" t="s">
        <v>3802</v>
      </c>
      <c r="BS562">
        <v>30</v>
      </c>
      <c r="BW562" t="str">
        <f>""</f>
        <v/>
      </c>
      <c r="CH562" t="str">
        <f>""</f>
        <v/>
      </c>
      <c r="CS562" t="str">
        <f>""</f>
        <v/>
      </c>
    </row>
    <row r="563" spans="1:97" x14ac:dyDescent="0.25">
      <c r="A563" t="s">
        <v>996</v>
      </c>
      <c r="B563" t="s">
        <v>478</v>
      </c>
      <c r="C563" t="s">
        <v>3803</v>
      </c>
      <c r="D563" t="s">
        <v>478</v>
      </c>
      <c r="E563" t="s">
        <v>3804</v>
      </c>
      <c r="F563" t="s">
        <v>108</v>
      </c>
      <c r="H563" t="s">
        <v>3805</v>
      </c>
      <c r="I563" t="s">
        <v>453</v>
      </c>
      <c r="J563" t="s">
        <v>111</v>
      </c>
      <c r="K563" t="str">
        <f>"85383"</f>
        <v>85383</v>
      </c>
      <c r="L563" t="s">
        <v>2015</v>
      </c>
      <c r="M563" t="s">
        <v>3805</v>
      </c>
      <c r="N563" t="s">
        <v>453</v>
      </c>
      <c r="O563" t="s">
        <v>111</v>
      </c>
      <c r="P563" t="str">
        <f>"85383-5919"</f>
        <v>85383-5919</v>
      </c>
      <c r="Q563" t="s">
        <v>113</v>
      </c>
      <c r="R563" t="str">
        <f>"201-19-462"</f>
        <v>201-19-462</v>
      </c>
      <c r="S563" t="s">
        <v>2016</v>
      </c>
      <c r="U563">
        <v>1921</v>
      </c>
      <c r="W563">
        <v>3</v>
      </c>
      <c r="X563">
        <v>2014</v>
      </c>
      <c r="Z563">
        <v>1</v>
      </c>
      <c r="AC563" t="s">
        <v>115</v>
      </c>
      <c r="AD563">
        <v>2</v>
      </c>
      <c r="AE563" t="s">
        <v>115</v>
      </c>
      <c r="AH563" t="s">
        <v>116</v>
      </c>
      <c r="AI563" s="1">
        <v>84707</v>
      </c>
      <c r="AJ563" s="2">
        <v>0.24</v>
      </c>
      <c r="AK563" s="1">
        <v>351866</v>
      </c>
      <c r="AL563" t="s">
        <v>117</v>
      </c>
      <c r="AM563" t="s">
        <v>118</v>
      </c>
      <c r="AN563">
        <v>5750</v>
      </c>
      <c r="AO563">
        <v>0.13</v>
      </c>
      <c r="AR563">
        <v>1</v>
      </c>
      <c r="AS563" s="1">
        <v>24930</v>
      </c>
      <c r="AT563" s="1">
        <v>4980</v>
      </c>
      <c r="AU563" s="1">
        <v>19950</v>
      </c>
      <c r="AV563">
        <v>80.02</v>
      </c>
      <c r="AX563" s="1">
        <v>2085.1799999999998</v>
      </c>
      <c r="AY563" t="s">
        <v>456</v>
      </c>
      <c r="AZ563" t="s">
        <v>456</v>
      </c>
      <c r="BA563" t="s">
        <v>457</v>
      </c>
      <c r="BE563" s="3">
        <v>42090</v>
      </c>
      <c r="BF563" s="1">
        <v>260640</v>
      </c>
      <c r="BG563" t="s">
        <v>446</v>
      </c>
      <c r="BH563" s="1">
        <v>135.68</v>
      </c>
      <c r="BI563" s="1">
        <v>267159</v>
      </c>
      <c r="BJ563" s="3">
        <v>42717</v>
      </c>
      <c r="BK563" t="s">
        <v>123</v>
      </c>
      <c r="BL563" t="str">
        <f>"2016.915422"</f>
        <v>2016.915422</v>
      </c>
      <c r="BM563" t="s">
        <v>492</v>
      </c>
      <c r="BO563" t="s">
        <v>3806</v>
      </c>
      <c r="BP563" t="s">
        <v>3807</v>
      </c>
      <c r="BS563">
        <v>30</v>
      </c>
      <c r="BW563" t="str">
        <f>""</f>
        <v/>
      </c>
      <c r="CH563" t="str">
        <f>""</f>
        <v/>
      </c>
      <c r="CS563" t="str">
        <f>""</f>
        <v/>
      </c>
    </row>
    <row r="564" spans="1:97" x14ac:dyDescent="0.25">
      <c r="A564" t="s">
        <v>1938</v>
      </c>
      <c r="B564" t="s">
        <v>3333</v>
      </c>
      <c r="E564" t="s">
        <v>3808</v>
      </c>
      <c r="F564" t="s">
        <v>108</v>
      </c>
      <c r="H564" t="s">
        <v>3809</v>
      </c>
      <c r="I564" t="s">
        <v>390</v>
      </c>
      <c r="J564" t="s">
        <v>111</v>
      </c>
      <c r="K564" t="str">
        <f>"85085"</f>
        <v>85085</v>
      </c>
      <c r="L564" t="s">
        <v>145</v>
      </c>
      <c r="M564" t="s">
        <v>3809</v>
      </c>
      <c r="N564" t="s">
        <v>390</v>
      </c>
      <c r="O564" t="s">
        <v>111</v>
      </c>
      <c r="P564" t="str">
        <f>"85085-8924"</f>
        <v>85085-8924</v>
      </c>
      <c r="Q564" t="s">
        <v>113</v>
      </c>
      <c r="R564" t="str">
        <f>"204-02-089"</f>
        <v>204-02-089</v>
      </c>
      <c r="S564" t="s">
        <v>3344</v>
      </c>
      <c r="T564" t="s">
        <v>3344</v>
      </c>
      <c r="U564">
        <v>2329</v>
      </c>
      <c r="W564">
        <v>4</v>
      </c>
      <c r="X564">
        <v>2014</v>
      </c>
      <c r="Z564">
        <v>1</v>
      </c>
      <c r="AA564" t="s">
        <v>26</v>
      </c>
      <c r="AC564" t="s">
        <v>115</v>
      </c>
      <c r="AD564">
        <v>3</v>
      </c>
      <c r="AE564" t="s">
        <v>115</v>
      </c>
      <c r="AH564" t="s">
        <v>116</v>
      </c>
      <c r="AI564" s="1">
        <v>24709</v>
      </c>
      <c r="AJ564" s="2">
        <v>0.06</v>
      </c>
      <c r="AK564" s="1">
        <v>434283</v>
      </c>
      <c r="AL564" t="s">
        <v>117</v>
      </c>
      <c r="AM564" t="s">
        <v>3345</v>
      </c>
      <c r="AN564">
        <v>7229</v>
      </c>
      <c r="AO564">
        <v>0.17</v>
      </c>
      <c r="AR564">
        <v>1</v>
      </c>
      <c r="AS564" s="1">
        <v>36030</v>
      </c>
      <c r="AT564" s="1">
        <v>7200</v>
      </c>
      <c r="AU564" s="1">
        <v>28830</v>
      </c>
      <c r="AV564">
        <v>80.02</v>
      </c>
      <c r="AX564" s="1">
        <v>2866.06</v>
      </c>
      <c r="AY564" t="s">
        <v>1587</v>
      </c>
      <c r="AZ564" t="s">
        <v>1587</v>
      </c>
      <c r="BA564" t="s">
        <v>1462</v>
      </c>
      <c r="BE564" s="3">
        <v>41992</v>
      </c>
      <c r="BF564" s="1">
        <v>396490</v>
      </c>
      <c r="BG564" t="s">
        <v>446</v>
      </c>
      <c r="BH564" s="1">
        <v>170.24</v>
      </c>
      <c r="BI564" s="1">
        <v>409574</v>
      </c>
      <c r="BJ564" s="3">
        <v>41992</v>
      </c>
      <c r="BK564" t="s">
        <v>123</v>
      </c>
      <c r="BL564" t="str">
        <f>"2014.838534"</f>
        <v>2014.838534</v>
      </c>
      <c r="BM564" t="s">
        <v>3810</v>
      </c>
      <c r="BO564" t="s">
        <v>3811</v>
      </c>
      <c r="BS564">
        <v>30</v>
      </c>
      <c r="BW564" t="str">
        <f>""</f>
        <v/>
      </c>
      <c r="CH564" t="str">
        <f>""</f>
        <v/>
      </c>
      <c r="CS564" t="str">
        <f>""</f>
        <v/>
      </c>
    </row>
    <row r="565" spans="1:97" x14ac:dyDescent="0.25">
      <c r="B565" t="s">
        <v>3812</v>
      </c>
      <c r="E565" t="s">
        <v>3813</v>
      </c>
      <c r="F565" t="s">
        <v>108</v>
      </c>
      <c r="H565" t="s">
        <v>3814</v>
      </c>
      <c r="I565" t="s">
        <v>390</v>
      </c>
      <c r="J565" t="s">
        <v>111</v>
      </c>
      <c r="K565" t="str">
        <f>"85085"</f>
        <v>85085</v>
      </c>
      <c r="L565" t="s">
        <v>145</v>
      </c>
      <c r="M565" t="s">
        <v>3814</v>
      </c>
      <c r="N565" t="s">
        <v>390</v>
      </c>
      <c r="O565" t="s">
        <v>111</v>
      </c>
      <c r="P565" t="str">
        <f>"85085-8910"</f>
        <v>85085-8910</v>
      </c>
      <c r="Q565" t="s">
        <v>113</v>
      </c>
      <c r="R565" t="str">
        <f>"204-02-154"</f>
        <v>204-02-154</v>
      </c>
      <c r="S565" t="s">
        <v>3344</v>
      </c>
      <c r="T565" t="s">
        <v>3344</v>
      </c>
      <c r="U565">
        <v>2329</v>
      </c>
      <c r="W565">
        <v>4</v>
      </c>
      <c r="X565">
        <v>2014</v>
      </c>
      <c r="Z565">
        <v>1</v>
      </c>
      <c r="AC565" t="s">
        <v>115</v>
      </c>
      <c r="AD565">
        <v>3</v>
      </c>
      <c r="AE565" t="s">
        <v>115</v>
      </c>
      <c r="AH565" t="s">
        <v>116</v>
      </c>
      <c r="AI565" s="1">
        <v>133518</v>
      </c>
      <c r="AJ565" s="2">
        <v>0.3</v>
      </c>
      <c r="AK565" s="1">
        <v>439282</v>
      </c>
      <c r="AL565" t="s">
        <v>117</v>
      </c>
      <c r="AM565" t="s">
        <v>3345</v>
      </c>
      <c r="AN565">
        <v>7200</v>
      </c>
      <c r="AO565">
        <v>0.16</v>
      </c>
      <c r="AR565">
        <v>1</v>
      </c>
      <c r="AS565" s="1">
        <v>33380</v>
      </c>
      <c r="AT565" s="1">
        <v>6670</v>
      </c>
      <c r="AU565" s="1">
        <v>26710</v>
      </c>
      <c r="AV565">
        <v>80.02</v>
      </c>
      <c r="AX565" s="1">
        <v>2865.08</v>
      </c>
      <c r="AY565" t="s">
        <v>1587</v>
      </c>
      <c r="AZ565" t="s">
        <v>1587</v>
      </c>
      <c r="BA565" t="s">
        <v>1462</v>
      </c>
      <c r="BB565" s="3">
        <v>43452</v>
      </c>
      <c r="BC565" s="1">
        <v>0</v>
      </c>
      <c r="BD565" t="s">
        <v>247</v>
      </c>
      <c r="BE565" s="3">
        <v>42391</v>
      </c>
      <c r="BF565" s="1">
        <v>361990</v>
      </c>
      <c r="BG565" t="s">
        <v>446</v>
      </c>
      <c r="BH565" s="1">
        <v>155.43</v>
      </c>
      <c r="BI565" s="1">
        <v>305764</v>
      </c>
      <c r="BJ565" s="3">
        <v>42391</v>
      </c>
      <c r="BK565" t="s">
        <v>123</v>
      </c>
      <c r="BL565" t="str">
        <f>"2016.45605"</f>
        <v>2016.45605</v>
      </c>
      <c r="BM565" t="s">
        <v>573</v>
      </c>
      <c r="BN565" t="s">
        <v>3815</v>
      </c>
      <c r="BO565" t="s">
        <v>3816</v>
      </c>
      <c r="BS565">
        <v>30</v>
      </c>
      <c r="BW565" t="str">
        <f>""</f>
        <v/>
      </c>
      <c r="CH565" t="str">
        <f>""</f>
        <v/>
      </c>
      <c r="CS565" t="str">
        <f>""</f>
        <v/>
      </c>
    </row>
    <row r="566" spans="1:97" x14ac:dyDescent="0.25">
      <c r="A566" t="s">
        <v>3817</v>
      </c>
      <c r="B566" t="s">
        <v>3818</v>
      </c>
      <c r="C566" t="s">
        <v>1335</v>
      </c>
      <c r="D566" t="s">
        <v>3818</v>
      </c>
      <c r="E566" t="s">
        <v>3819</v>
      </c>
      <c r="F566" t="s">
        <v>108</v>
      </c>
      <c r="H566" t="s">
        <v>3820</v>
      </c>
      <c r="I566" t="s">
        <v>390</v>
      </c>
      <c r="J566" t="s">
        <v>111</v>
      </c>
      <c r="K566" t="str">
        <f>"85085"</f>
        <v>85085</v>
      </c>
      <c r="L566" t="s">
        <v>145</v>
      </c>
      <c r="M566" t="s">
        <v>3820</v>
      </c>
      <c r="N566" t="s">
        <v>390</v>
      </c>
      <c r="O566" t="s">
        <v>111</v>
      </c>
      <c r="P566" t="str">
        <f>"85085-8902"</f>
        <v>85085-8902</v>
      </c>
      <c r="Q566" t="s">
        <v>113</v>
      </c>
      <c r="R566" t="str">
        <f>"204-02-165"</f>
        <v>204-02-165</v>
      </c>
      <c r="S566" t="s">
        <v>3344</v>
      </c>
      <c r="T566" t="s">
        <v>3344</v>
      </c>
      <c r="U566">
        <v>2032</v>
      </c>
      <c r="W566">
        <v>3</v>
      </c>
      <c r="X566">
        <v>2014</v>
      </c>
      <c r="Z566">
        <v>1</v>
      </c>
      <c r="AA566" t="s">
        <v>26</v>
      </c>
      <c r="AC566" t="s">
        <v>115</v>
      </c>
      <c r="AD566">
        <v>2</v>
      </c>
      <c r="AE566" t="s">
        <v>115</v>
      </c>
      <c r="AH566" t="s">
        <v>116</v>
      </c>
      <c r="AI566" s="1">
        <v>49663</v>
      </c>
      <c r="AJ566" s="2">
        <v>0.13</v>
      </c>
      <c r="AK566" s="1">
        <v>383122</v>
      </c>
      <c r="AL566" t="s">
        <v>117</v>
      </c>
      <c r="AM566" t="s">
        <v>3345</v>
      </c>
      <c r="AN566">
        <v>6000</v>
      </c>
      <c r="AO566">
        <v>0.14000000000000001</v>
      </c>
      <c r="AR566">
        <v>1</v>
      </c>
      <c r="AS566" s="1">
        <v>30800</v>
      </c>
      <c r="AT566" s="1">
        <v>6160</v>
      </c>
      <c r="AU566" s="1">
        <v>24640</v>
      </c>
      <c r="AV566">
        <v>80</v>
      </c>
      <c r="AX566" s="1">
        <v>2410.62</v>
      </c>
      <c r="AY566" t="s">
        <v>1587</v>
      </c>
      <c r="AZ566" t="s">
        <v>1587</v>
      </c>
      <c r="BA566" t="s">
        <v>1462</v>
      </c>
      <c r="BE566" s="3">
        <v>42177</v>
      </c>
      <c r="BF566" s="1">
        <v>315490</v>
      </c>
      <c r="BG566" t="s">
        <v>446</v>
      </c>
      <c r="BH566" s="1">
        <v>155.26</v>
      </c>
      <c r="BI566" s="1">
        <v>333459</v>
      </c>
      <c r="BJ566" s="3">
        <v>42592</v>
      </c>
      <c r="BK566" t="s">
        <v>123</v>
      </c>
      <c r="BL566" t="str">
        <f>"2016.568380"</f>
        <v>2016.568380</v>
      </c>
      <c r="BM566" t="s">
        <v>248</v>
      </c>
      <c r="BO566" t="s">
        <v>3821</v>
      </c>
      <c r="BS566">
        <v>30</v>
      </c>
      <c r="BW566" t="str">
        <f>""</f>
        <v/>
      </c>
      <c r="CH566" t="str">
        <f>""</f>
        <v/>
      </c>
      <c r="CS566" t="str">
        <f>""</f>
        <v/>
      </c>
    </row>
    <row r="567" spans="1:97" x14ac:dyDescent="0.25">
      <c r="A567" t="s">
        <v>1444</v>
      </c>
      <c r="B567" t="s">
        <v>3822</v>
      </c>
      <c r="C567" t="s">
        <v>3823</v>
      </c>
      <c r="D567" t="s">
        <v>3822</v>
      </c>
      <c r="E567" t="s">
        <v>3824</v>
      </c>
      <c r="F567" t="s">
        <v>108</v>
      </c>
      <c r="H567" t="s">
        <v>3825</v>
      </c>
      <c r="I567" t="s">
        <v>499</v>
      </c>
      <c r="J567" t="s">
        <v>111</v>
      </c>
      <c r="K567" t="str">
        <f>"85395"</f>
        <v>85395</v>
      </c>
      <c r="L567" t="s">
        <v>500</v>
      </c>
      <c r="M567" t="s">
        <v>3825</v>
      </c>
      <c r="N567" t="s">
        <v>499</v>
      </c>
      <c r="O567" t="s">
        <v>111</v>
      </c>
      <c r="P567" t="str">
        <f>"85395-6485"</f>
        <v>85395-6485</v>
      </c>
      <c r="Q567" t="s">
        <v>113</v>
      </c>
      <c r="R567" t="str">
        <f>"502-30-518"</f>
        <v>502-30-518</v>
      </c>
      <c r="S567" t="s">
        <v>3263</v>
      </c>
      <c r="T567" t="s">
        <v>502</v>
      </c>
      <c r="U567">
        <v>2557</v>
      </c>
      <c r="W567">
        <v>4</v>
      </c>
      <c r="X567">
        <v>2014</v>
      </c>
      <c r="Z567">
        <v>1</v>
      </c>
      <c r="AA567" t="s">
        <v>26</v>
      </c>
      <c r="AC567" t="s">
        <v>115</v>
      </c>
      <c r="AD567">
        <v>2</v>
      </c>
      <c r="AE567" t="s">
        <v>115</v>
      </c>
      <c r="AH567" t="s">
        <v>116</v>
      </c>
      <c r="AI567" s="1">
        <v>96469</v>
      </c>
      <c r="AJ567" s="2">
        <v>0.25</v>
      </c>
      <c r="AK567" s="1">
        <v>390069</v>
      </c>
      <c r="AL567" t="s">
        <v>117</v>
      </c>
      <c r="AM567" t="s">
        <v>118</v>
      </c>
      <c r="AN567">
        <v>9545</v>
      </c>
      <c r="AO567">
        <v>0.22</v>
      </c>
      <c r="AR567">
        <v>1</v>
      </c>
      <c r="AS567" s="1">
        <v>28300</v>
      </c>
      <c r="AT567" s="1">
        <v>5660</v>
      </c>
      <c r="AU567" s="1">
        <v>22640</v>
      </c>
      <c r="AV567">
        <v>80</v>
      </c>
      <c r="AX567" s="1">
        <v>2125.02</v>
      </c>
      <c r="AY567" t="s">
        <v>503</v>
      </c>
      <c r="AZ567" t="s">
        <v>504</v>
      </c>
      <c r="BA567" t="s">
        <v>218</v>
      </c>
      <c r="BE567" s="3">
        <v>41906</v>
      </c>
      <c r="BF567" s="1">
        <v>296569</v>
      </c>
      <c r="BG567" t="s">
        <v>209</v>
      </c>
      <c r="BH567" s="1">
        <v>115.98</v>
      </c>
      <c r="BI567" s="1">
        <v>293600</v>
      </c>
      <c r="BJ567" s="3">
        <v>42576</v>
      </c>
      <c r="BK567" t="s">
        <v>123</v>
      </c>
      <c r="BL567" t="str">
        <f>"2016.521481"</f>
        <v>2016.521481</v>
      </c>
      <c r="BM567" t="s">
        <v>361</v>
      </c>
      <c r="BO567" t="s">
        <v>3826</v>
      </c>
      <c r="BS567">
        <v>30</v>
      </c>
      <c r="BW567" t="str">
        <f>""</f>
        <v/>
      </c>
      <c r="CH567" t="str">
        <f>""</f>
        <v/>
      </c>
      <c r="CS567" t="str">
        <f>""</f>
        <v/>
      </c>
    </row>
    <row r="568" spans="1:97" x14ac:dyDescent="0.25">
      <c r="A568" t="s">
        <v>265</v>
      </c>
      <c r="B568" t="s">
        <v>3827</v>
      </c>
      <c r="C568" t="s">
        <v>1900</v>
      </c>
      <c r="D568" t="s">
        <v>3827</v>
      </c>
      <c r="E568" t="s">
        <v>3828</v>
      </c>
      <c r="F568" t="s">
        <v>108</v>
      </c>
      <c r="H568" t="s">
        <v>3829</v>
      </c>
      <c r="I568" t="s">
        <v>499</v>
      </c>
      <c r="J568" t="s">
        <v>111</v>
      </c>
      <c r="K568" t="str">
        <f>"85395"</f>
        <v>85395</v>
      </c>
      <c r="L568" t="s">
        <v>500</v>
      </c>
      <c r="M568" t="s">
        <v>3829</v>
      </c>
      <c r="N568" t="s">
        <v>499</v>
      </c>
      <c r="O568" t="s">
        <v>111</v>
      </c>
      <c r="P568" t="str">
        <f>"85395-6447"</f>
        <v>85395-6447</v>
      </c>
      <c r="Q568" t="s">
        <v>113</v>
      </c>
      <c r="R568" t="str">
        <f>"502-30-549"</f>
        <v>502-30-549</v>
      </c>
      <c r="S568" t="s">
        <v>3263</v>
      </c>
      <c r="T568" t="s">
        <v>502</v>
      </c>
      <c r="U568">
        <v>3784</v>
      </c>
      <c r="W568">
        <v>5</v>
      </c>
      <c r="X568">
        <v>2014</v>
      </c>
      <c r="Z568">
        <v>2</v>
      </c>
      <c r="AA568" t="s">
        <v>26</v>
      </c>
      <c r="AC568" t="s">
        <v>115</v>
      </c>
      <c r="AD568">
        <v>4</v>
      </c>
      <c r="AE568" t="s">
        <v>115</v>
      </c>
      <c r="AH568" t="s">
        <v>116</v>
      </c>
      <c r="AI568" s="1">
        <v>83187</v>
      </c>
      <c r="AJ568" s="2">
        <v>0.17</v>
      </c>
      <c r="AK568" s="1">
        <v>481108</v>
      </c>
      <c r="AL568" t="s">
        <v>117</v>
      </c>
      <c r="AM568" t="s">
        <v>118</v>
      </c>
      <c r="AN568">
        <v>12014</v>
      </c>
      <c r="AO568">
        <v>0.28000000000000003</v>
      </c>
      <c r="AR568">
        <v>1</v>
      </c>
      <c r="AS568" s="1">
        <v>34970</v>
      </c>
      <c r="AT568" s="1">
        <v>6990</v>
      </c>
      <c r="AU568" s="1">
        <v>27980</v>
      </c>
      <c r="AV568">
        <v>80.010000000000005</v>
      </c>
      <c r="AX568" s="1">
        <v>2924.16</v>
      </c>
      <c r="AY568" t="s">
        <v>503</v>
      </c>
      <c r="AZ568" t="s">
        <v>504</v>
      </c>
      <c r="BA568" t="s">
        <v>218</v>
      </c>
      <c r="BB568" s="3">
        <v>43035</v>
      </c>
      <c r="BD568" t="s">
        <v>157</v>
      </c>
      <c r="BE568" s="3">
        <v>41964</v>
      </c>
      <c r="BF568" s="1">
        <v>343045</v>
      </c>
      <c r="BG568" t="s">
        <v>209</v>
      </c>
      <c r="BH568" s="1">
        <v>90.66</v>
      </c>
      <c r="BI568" s="1">
        <v>350421</v>
      </c>
      <c r="BJ568" s="3">
        <v>41964</v>
      </c>
      <c r="BK568" t="s">
        <v>123</v>
      </c>
      <c r="BL568" t="str">
        <f>"2014.774575"</f>
        <v>2014.774575</v>
      </c>
      <c r="BM568" t="s">
        <v>175</v>
      </c>
      <c r="BO568" t="s">
        <v>3830</v>
      </c>
      <c r="BS568">
        <v>30</v>
      </c>
      <c r="BT568" s="1">
        <v>47500</v>
      </c>
      <c r="BU568" s="3">
        <v>42026</v>
      </c>
      <c r="BV568" t="s">
        <v>134</v>
      </c>
      <c r="BW568" t="str">
        <f>"2015.42017"</f>
        <v>2015.42017</v>
      </c>
      <c r="BX568" t="s">
        <v>583</v>
      </c>
      <c r="BZ568" t="s">
        <v>3830</v>
      </c>
      <c r="CD568">
        <v>10</v>
      </c>
      <c r="CH568" t="str">
        <f>""</f>
        <v/>
      </c>
      <c r="CS568" t="str">
        <f>""</f>
        <v/>
      </c>
    </row>
    <row r="569" spans="1:97" x14ac:dyDescent="0.25">
      <c r="A569" t="s">
        <v>2991</v>
      </c>
      <c r="B569" t="s">
        <v>1208</v>
      </c>
      <c r="C569" t="s">
        <v>3831</v>
      </c>
      <c r="D569" t="s">
        <v>1208</v>
      </c>
      <c r="E569" t="s">
        <v>3832</v>
      </c>
      <c r="F569" t="s">
        <v>108</v>
      </c>
      <c r="H569" t="s">
        <v>3833</v>
      </c>
      <c r="I569" t="s">
        <v>188</v>
      </c>
      <c r="J569" t="s">
        <v>111</v>
      </c>
      <c r="K569" t="str">
        <f>"85142"</f>
        <v>85142</v>
      </c>
      <c r="L569" t="s">
        <v>3326</v>
      </c>
      <c r="M569" t="s">
        <v>3833</v>
      </c>
      <c r="N569" t="s">
        <v>188</v>
      </c>
      <c r="O569" t="s">
        <v>111</v>
      </c>
      <c r="P569" t="str">
        <f>"85142-8513"</f>
        <v>85142-8513</v>
      </c>
      <c r="Q569" t="s">
        <v>113</v>
      </c>
      <c r="R569" t="str">
        <f>"304-88-785"</f>
        <v>304-88-785</v>
      </c>
      <c r="S569" t="s">
        <v>3834</v>
      </c>
      <c r="U569">
        <v>2291</v>
      </c>
      <c r="W569">
        <v>4</v>
      </c>
      <c r="X569">
        <v>2014</v>
      </c>
      <c r="Z569">
        <v>1</v>
      </c>
      <c r="AA569" t="s">
        <v>26</v>
      </c>
      <c r="AC569" t="s">
        <v>115</v>
      </c>
      <c r="AD569">
        <v>3</v>
      </c>
      <c r="AE569" t="s">
        <v>115</v>
      </c>
      <c r="AH569" t="s">
        <v>116</v>
      </c>
      <c r="AI569" s="1">
        <v>206268</v>
      </c>
      <c r="AJ569" s="2">
        <v>0.45</v>
      </c>
      <c r="AK569" s="1">
        <v>456355</v>
      </c>
      <c r="AL569" t="s">
        <v>117</v>
      </c>
      <c r="AM569" t="s">
        <v>229</v>
      </c>
      <c r="AN569">
        <v>23878</v>
      </c>
      <c r="AO569">
        <v>0.55000000000000004</v>
      </c>
      <c r="AR569">
        <v>1</v>
      </c>
      <c r="AS569" s="1">
        <v>33670</v>
      </c>
      <c r="AT569" s="1">
        <v>6730</v>
      </c>
      <c r="AU569" s="1">
        <v>26940</v>
      </c>
      <c r="AV569">
        <v>80.010000000000005</v>
      </c>
      <c r="AX569" s="1">
        <v>2528.7600000000002</v>
      </c>
      <c r="AY569" t="s">
        <v>1133</v>
      </c>
      <c r="AZ569" t="s">
        <v>1134</v>
      </c>
      <c r="BA569" t="s">
        <v>1134</v>
      </c>
      <c r="BE569" s="3">
        <v>42135</v>
      </c>
      <c r="BF569" s="1">
        <v>320000</v>
      </c>
      <c r="BG569" t="s">
        <v>3835</v>
      </c>
      <c r="BH569" s="1">
        <v>139.68</v>
      </c>
      <c r="BI569" s="1">
        <v>250087</v>
      </c>
      <c r="BJ569" s="3">
        <v>42135</v>
      </c>
      <c r="BK569" t="s">
        <v>123</v>
      </c>
      <c r="BL569" t="str">
        <f>"2015.330313"</f>
        <v>2015.330313</v>
      </c>
      <c r="BM569" t="s">
        <v>1185</v>
      </c>
      <c r="BO569" t="s">
        <v>3836</v>
      </c>
      <c r="BS569">
        <v>30</v>
      </c>
      <c r="BW569" t="str">
        <f>""</f>
        <v/>
      </c>
      <c r="CH569" t="str">
        <f>""</f>
        <v/>
      </c>
      <c r="CS569" t="str">
        <f>""</f>
        <v/>
      </c>
    </row>
    <row r="570" spans="1:97" x14ac:dyDescent="0.25">
      <c r="B570" t="s">
        <v>3837</v>
      </c>
      <c r="C570" t="s">
        <v>3838</v>
      </c>
      <c r="E570" t="s">
        <v>3839</v>
      </c>
      <c r="F570" t="s">
        <v>108</v>
      </c>
      <c r="H570" t="s">
        <v>3840</v>
      </c>
      <c r="I570" t="s">
        <v>453</v>
      </c>
      <c r="J570" t="s">
        <v>111</v>
      </c>
      <c r="K570" t="str">
        <f>"85383"</f>
        <v>85383</v>
      </c>
      <c r="L570" t="s">
        <v>3326</v>
      </c>
      <c r="M570" t="s">
        <v>3840</v>
      </c>
      <c r="N570" t="s">
        <v>453</v>
      </c>
      <c r="O570" t="s">
        <v>111</v>
      </c>
      <c r="P570" t="str">
        <f>"85383-1411"</f>
        <v>85383-1411</v>
      </c>
      <c r="Q570" t="s">
        <v>113</v>
      </c>
      <c r="R570" t="str">
        <f>"200-13-568"</f>
        <v>200-13-568</v>
      </c>
      <c r="S570" t="s">
        <v>3841</v>
      </c>
      <c r="U570">
        <v>2142</v>
      </c>
      <c r="W570">
        <v>3</v>
      </c>
      <c r="X570">
        <v>2014</v>
      </c>
      <c r="Z570">
        <v>1</v>
      </c>
      <c r="AC570" t="s">
        <v>115</v>
      </c>
      <c r="AD570">
        <v>3</v>
      </c>
      <c r="AE570" t="s">
        <v>115</v>
      </c>
      <c r="AH570" t="s">
        <v>116</v>
      </c>
      <c r="AI570" s="1">
        <v>100664</v>
      </c>
      <c r="AJ570" s="2">
        <v>0.26</v>
      </c>
      <c r="AK570" s="1">
        <v>380604</v>
      </c>
      <c r="AL570" t="s">
        <v>117</v>
      </c>
      <c r="AM570" t="s">
        <v>118</v>
      </c>
      <c r="AN570">
        <v>8529</v>
      </c>
      <c r="AO570">
        <v>0.2</v>
      </c>
      <c r="AR570">
        <v>1</v>
      </c>
      <c r="AS570" s="1">
        <v>28820</v>
      </c>
      <c r="AT570" s="1">
        <v>5760</v>
      </c>
      <c r="AU570" s="1">
        <v>23060</v>
      </c>
      <c r="AV570">
        <v>80.010000000000005</v>
      </c>
      <c r="AX570" s="1">
        <v>2385.7199999999998</v>
      </c>
      <c r="AY570" t="s">
        <v>1808</v>
      </c>
      <c r="AZ570" t="s">
        <v>1808</v>
      </c>
      <c r="BA570" t="s">
        <v>457</v>
      </c>
      <c r="BB570" s="3">
        <v>43678</v>
      </c>
      <c r="BC570" s="1">
        <v>0</v>
      </c>
      <c r="BD570" t="s">
        <v>247</v>
      </c>
      <c r="BE570" s="3">
        <v>41982</v>
      </c>
      <c r="BF570" s="1">
        <v>302664</v>
      </c>
      <c r="BG570" t="s">
        <v>3328</v>
      </c>
      <c r="BH570" s="1">
        <v>141.30000000000001</v>
      </c>
      <c r="BI570" s="1">
        <v>259940</v>
      </c>
      <c r="BJ570" s="3">
        <v>42649</v>
      </c>
      <c r="BK570" t="s">
        <v>123</v>
      </c>
      <c r="BL570" t="str">
        <f>"2016.733963"</f>
        <v>2016.733963</v>
      </c>
      <c r="BM570" t="s">
        <v>402</v>
      </c>
      <c r="BN570" t="s">
        <v>461</v>
      </c>
      <c r="BO570" t="s">
        <v>3842</v>
      </c>
      <c r="BS570">
        <v>30</v>
      </c>
      <c r="BT570" s="1">
        <v>20000</v>
      </c>
      <c r="BU570" s="3">
        <v>42696</v>
      </c>
      <c r="BV570" t="s">
        <v>134</v>
      </c>
      <c r="BW570" t="str">
        <f>"2016.860993"</f>
        <v>2016.860993</v>
      </c>
      <c r="BX570" t="s">
        <v>3843</v>
      </c>
      <c r="BY570" t="s">
        <v>343</v>
      </c>
      <c r="BZ570" t="s">
        <v>3842</v>
      </c>
      <c r="CD570">
        <v>25</v>
      </c>
      <c r="CH570" t="str">
        <f>""</f>
        <v/>
      </c>
      <c r="CS570" t="str">
        <f>""</f>
        <v/>
      </c>
    </row>
    <row r="571" spans="1:97" x14ac:dyDescent="0.25">
      <c r="A571" t="s">
        <v>1344</v>
      </c>
      <c r="B571" t="s">
        <v>1089</v>
      </c>
      <c r="C571" t="s">
        <v>3844</v>
      </c>
      <c r="D571" t="s">
        <v>1089</v>
      </c>
      <c r="E571" t="s">
        <v>3845</v>
      </c>
      <c r="F571" t="s">
        <v>108</v>
      </c>
      <c r="H571" t="s">
        <v>3846</v>
      </c>
      <c r="I571" t="s">
        <v>453</v>
      </c>
      <c r="J571" t="s">
        <v>111</v>
      </c>
      <c r="K571" t="str">
        <f>"85383"</f>
        <v>85383</v>
      </c>
      <c r="L571" t="s">
        <v>3326</v>
      </c>
      <c r="M571" t="s">
        <v>3846</v>
      </c>
      <c r="N571" t="s">
        <v>453</v>
      </c>
      <c r="O571" t="s">
        <v>111</v>
      </c>
      <c r="P571" t="str">
        <f>"85383-1411"</f>
        <v>85383-1411</v>
      </c>
      <c r="Q571" t="s">
        <v>113</v>
      </c>
      <c r="R571" t="str">
        <f>"200-13-574"</f>
        <v>200-13-574</v>
      </c>
      <c r="S571" t="s">
        <v>3841</v>
      </c>
      <c r="U571">
        <v>2142</v>
      </c>
      <c r="W571">
        <v>3</v>
      </c>
      <c r="X571">
        <v>2014</v>
      </c>
      <c r="Z571">
        <v>1</v>
      </c>
      <c r="AC571" t="s">
        <v>115</v>
      </c>
      <c r="AD571">
        <v>3</v>
      </c>
      <c r="AE571" t="s">
        <v>115</v>
      </c>
      <c r="AH571" t="s">
        <v>116</v>
      </c>
      <c r="AI571" s="1">
        <v>57115</v>
      </c>
      <c r="AJ571" s="2">
        <v>0.15</v>
      </c>
      <c r="AK571" s="1">
        <v>383315</v>
      </c>
      <c r="AL571" t="s">
        <v>117</v>
      </c>
      <c r="AM571" t="s">
        <v>118</v>
      </c>
      <c r="AN571">
        <v>9742</v>
      </c>
      <c r="AO571">
        <v>0.22</v>
      </c>
      <c r="AR571">
        <v>1</v>
      </c>
      <c r="AS571" s="1">
        <v>29150</v>
      </c>
      <c r="AT571" s="1">
        <v>5830</v>
      </c>
      <c r="AU571" s="1">
        <v>23320</v>
      </c>
      <c r="AV571">
        <v>80</v>
      </c>
      <c r="AX571" s="1">
        <v>2409.16</v>
      </c>
      <c r="AY571" t="s">
        <v>1808</v>
      </c>
      <c r="AZ571" t="s">
        <v>1808</v>
      </c>
      <c r="BA571" t="s">
        <v>457</v>
      </c>
      <c r="BE571" s="3">
        <v>41992</v>
      </c>
      <c r="BF571" s="1">
        <v>301521</v>
      </c>
      <c r="BG571" t="s">
        <v>3328</v>
      </c>
      <c r="BH571" s="1">
        <v>140.77000000000001</v>
      </c>
      <c r="BI571" s="1">
        <v>295200</v>
      </c>
      <c r="BJ571" s="3">
        <v>42712</v>
      </c>
      <c r="BK571" t="s">
        <v>123</v>
      </c>
      <c r="BL571" t="str">
        <f>"2016.905190"</f>
        <v>2016.905190</v>
      </c>
      <c r="BM571" t="s">
        <v>1154</v>
      </c>
      <c r="BN571" t="s">
        <v>1136</v>
      </c>
      <c r="BO571" t="s">
        <v>3847</v>
      </c>
      <c r="BS571">
        <v>30</v>
      </c>
      <c r="BT571" s="1">
        <v>31000</v>
      </c>
      <c r="BU571" s="3">
        <v>43322</v>
      </c>
      <c r="BV571" t="s">
        <v>134</v>
      </c>
      <c r="BW571" t="str">
        <f>"2018.609488"</f>
        <v>2018.609488</v>
      </c>
      <c r="BX571" t="s">
        <v>1156</v>
      </c>
      <c r="BY571" t="s">
        <v>1157</v>
      </c>
      <c r="BZ571" t="s">
        <v>3848</v>
      </c>
      <c r="CA571" t="s">
        <v>3849</v>
      </c>
      <c r="CC571" t="s">
        <v>139</v>
      </c>
      <c r="CH571" t="str">
        <f>""</f>
        <v/>
      </c>
      <c r="CS571" t="str">
        <f>""</f>
        <v/>
      </c>
    </row>
    <row r="572" spans="1:97" x14ac:dyDescent="0.25">
      <c r="A572" t="s">
        <v>3850</v>
      </c>
      <c r="B572" t="s">
        <v>3851</v>
      </c>
      <c r="C572" t="s">
        <v>3852</v>
      </c>
      <c r="D572" t="s">
        <v>3851</v>
      </c>
      <c r="E572" t="s">
        <v>3853</v>
      </c>
      <c r="F572" t="s">
        <v>108</v>
      </c>
      <c r="H572" t="s">
        <v>3854</v>
      </c>
      <c r="I572" t="s">
        <v>453</v>
      </c>
      <c r="J572" t="s">
        <v>111</v>
      </c>
      <c r="K572" t="str">
        <f>"85383"</f>
        <v>85383</v>
      </c>
      <c r="L572" t="s">
        <v>688</v>
      </c>
      <c r="M572" t="s">
        <v>3854</v>
      </c>
      <c r="N572" t="s">
        <v>453</v>
      </c>
      <c r="O572" t="s">
        <v>111</v>
      </c>
      <c r="P572" t="str">
        <f>"85383-3325"</f>
        <v>85383-3325</v>
      </c>
      <c r="Q572" t="s">
        <v>113</v>
      </c>
      <c r="R572" t="str">
        <f>"200-19-887"</f>
        <v>200-19-887</v>
      </c>
      <c r="S572" t="s">
        <v>3060</v>
      </c>
      <c r="T572" t="s">
        <v>3061</v>
      </c>
      <c r="U572">
        <v>3272</v>
      </c>
      <c r="W572">
        <v>5</v>
      </c>
      <c r="X572">
        <v>2014</v>
      </c>
      <c r="Z572">
        <v>2</v>
      </c>
      <c r="AC572" t="s">
        <v>115</v>
      </c>
      <c r="AD572">
        <v>3</v>
      </c>
      <c r="AE572" t="s">
        <v>115</v>
      </c>
      <c r="AH572" t="s">
        <v>116</v>
      </c>
      <c r="AI572" s="1">
        <v>35368</v>
      </c>
      <c r="AJ572" s="2">
        <v>0.08</v>
      </c>
      <c r="AK572" s="1">
        <v>459368</v>
      </c>
      <c r="AL572" t="s">
        <v>117</v>
      </c>
      <c r="AM572" t="s">
        <v>118</v>
      </c>
      <c r="AN572">
        <v>6014</v>
      </c>
      <c r="AO572">
        <v>0.14000000000000001</v>
      </c>
      <c r="AR572">
        <v>1</v>
      </c>
      <c r="AS572" s="1">
        <v>34530</v>
      </c>
      <c r="AT572" s="1">
        <v>6900</v>
      </c>
      <c r="AU572" s="1">
        <v>27630</v>
      </c>
      <c r="AV572">
        <v>80.02</v>
      </c>
      <c r="AX572" s="1">
        <v>2429.58</v>
      </c>
      <c r="AY572" t="s">
        <v>1808</v>
      </c>
      <c r="AZ572" t="s">
        <v>1808</v>
      </c>
      <c r="BA572" t="s">
        <v>457</v>
      </c>
      <c r="BE572" s="3">
        <v>42298</v>
      </c>
      <c r="BF572" s="1">
        <v>391598</v>
      </c>
      <c r="BG572" t="s">
        <v>3062</v>
      </c>
      <c r="BH572" s="1">
        <v>119.68</v>
      </c>
      <c r="BI572" s="1">
        <v>424000</v>
      </c>
      <c r="BJ572" s="3">
        <v>43077</v>
      </c>
      <c r="BK572" t="s">
        <v>123</v>
      </c>
      <c r="BL572" t="str">
        <f>"2017.909524"</f>
        <v>2017.909524</v>
      </c>
      <c r="BM572" t="s">
        <v>3855</v>
      </c>
      <c r="BO572" t="s">
        <v>3856</v>
      </c>
      <c r="BS572">
        <v>31</v>
      </c>
      <c r="BW572" t="str">
        <f>""</f>
        <v/>
      </c>
      <c r="CH572" t="str">
        <f>""</f>
        <v/>
      </c>
      <c r="CS572" t="str">
        <f>""</f>
        <v/>
      </c>
    </row>
    <row r="573" spans="1:97" x14ac:dyDescent="0.25">
      <c r="A573" t="s">
        <v>753</v>
      </c>
      <c r="B573" t="s">
        <v>659</v>
      </c>
      <c r="C573" t="s">
        <v>507</v>
      </c>
      <c r="D573" t="s">
        <v>659</v>
      </c>
      <c r="E573" t="s">
        <v>3857</v>
      </c>
      <c r="F573" t="s">
        <v>108</v>
      </c>
      <c r="H573" t="s">
        <v>3858</v>
      </c>
      <c r="I573" t="s">
        <v>453</v>
      </c>
      <c r="J573" t="s">
        <v>111</v>
      </c>
      <c r="K573" t="str">
        <f>"85383"</f>
        <v>85383</v>
      </c>
      <c r="L573" t="s">
        <v>2015</v>
      </c>
      <c r="M573" t="s">
        <v>3858</v>
      </c>
      <c r="N573" t="s">
        <v>453</v>
      </c>
      <c r="O573" t="s">
        <v>111</v>
      </c>
      <c r="P573" t="str">
        <f>"85383-5916"</f>
        <v>85383-5916</v>
      </c>
      <c r="Q573" t="s">
        <v>113</v>
      </c>
      <c r="R573" t="str">
        <f>"201-19-388"</f>
        <v>201-19-388</v>
      </c>
      <c r="S573" t="s">
        <v>2016</v>
      </c>
      <c r="U573">
        <v>3118</v>
      </c>
      <c r="W573">
        <v>4</v>
      </c>
      <c r="X573">
        <v>2014</v>
      </c>
      <c r="Z573">
        <v>2</v>
      </c>
      <c r="AC573" t="s">
        <v>115</v>
      </c>
      <c r="AD573">
        <v>3</v>
      </c>
      <c r="AE573" t="s">
        <v>115</v>
      </c>
      <c r="AH573" t="s">
        <v>116</v>
      </c>
      <c r="AI573" s="1">
        <v>126248</v>
      </c>
      <c r="AJ573" s="2">
        <v>0.28999999999999998</v>
      </c>
      <c r="AK573" s="1">
        <v>429560</v>
      </c>
      <c r="AL573" t="s">
        <v>117</v>
      </c>
      <c r="AM573" t="s">
        <v>118</v>
      </c>
      <c r="AN573">
        <v>6187</v>
      </c>
      <c r="AO573">
        <v>0.14000000000000001</v>
      </c>
      <c r="AR573">
        <v>1</v>
      </c>
      <c r="AS573" s="1">
        <v>31130</v>
      </c>
      <c r="AT573" s="1">
        <v>6220</v>
      </c>
      <c r="AU573" s="1">
        <v>24910</v>
      </c>
      <c r="AV573">
        <v>80.02</v>
      </c>
      <c r="AX573" s="1">
        <v>2746.76</v>
      </c>
      <c r="AY573" t="s">
        <v>456</v>
      </c>
      <c r="AZ573" t="s">
        <v>456</v>
      </c>
      <c r="BA573" t="s">
        <v>457</v>
      </c>
      <c r="BB573" s="3">
        <v>42650</v>
      </c>
      <c r="BD573" t="s">
        <v>458</v>
      </c>
      <c r="BE573" s="3">
        <v>41990</v>
      </c>
      <c r="BF573" s="1">
        <v>300385</v>
      </c>
      <c r="BG573" t="s">
        <v>446</v>
      </c>
      <c r="BH573" s="1">
        <v>96.34</v>
      </c>
      <c r="BI573" s="1">
        <v>303312</v>
      </c>
      <c r="BJ573" s="3">
        <v>42650</v>
      </c>
      <c r="BK573" t="s">
        <v>123</v>
      </c>
      <c r="BL573" t="str">
        <f>"2016.737066"</f>
        <v>2016.737066</v>
      </c>
      <c r="BM573" t="s">
        <v>322</v>
      </c>
      <c r="BO573" t="s">
        <v>3859</v>
      </c>
      <c r="BS573">
        <v>30</v>
      </c>
      <c r="BW573" t="str">
        <f>""</f>
        <v/>
      </c>
      <c r="CH573" t="str">
        <f>""</f>
        <v/>
      </c>
      <c r="CS573" t="str">
        <f>""</f>
        <v/>
      </c>
    </row>
    <row r="574" spans="1:97" x14ac:dyDescent="0.25">
      <c r="A574" t="s">
        <v>3860</v>
      </c>
      <c r="B574" t="s">
        <v>3861</v>
      </c>
      <c r="C574" t="s">
        <v>3862</v>
      </c>
      <c r="D574" t="s">
        <v>3863</v>
      </c>
      <c r="E574" t="s">
        <v>3864</v>
      </c>
      <c r="F574" t="s">
        <v>108</v>
      </c>
      <c r="H574" t="s">
        <v>3865</v>
      </c>
      <c r="I574" t="s">
        <v>453</v>
      </c>
      <c r="J574" t="s">
        <v>111</v>
      </c>
      <c r="K574" t="str">
        <f>"85383"</f>
        <v>85383</v>
      </c>
      <c r="L574" t="s">
        <v>2015</v>
      </c>
      <c r="M574" t="s">
        <v>3865</v>
      </c>
      <c r="N574" t="s">
        <v>453</v>
      </c>
      <c r="O574" t="s">
        <v>111</v>
      </c>
      <c r="P574" t="str">
        <f>"85383-5913"</f>
        <v>85383-5913</v>
      </c>
      <c r="Q574" t="s">
        <v>113</v>
      </c>
      <c r="R574" t="str">
        <f>"201-19-392"</f>
        <v>201-19-392</v>
      </c>
      <c r="S574" t="s">
        <v>2016</v>
      </c>
      <c r="U574">
        <v>2923</v>
      </c>
      <c r="W574">
        <v>4</v>
      </c>
      <c r="X574">
        <v>2014</v>
      </c>
      <c r="Z574">
        <v>2</v>
      </c>
      <c r="AA574" t="s">
        <v>26</v>
      </c>
      <c r="AC574" t="s">
        <v>115</v>
      </c>
      <c r="AD574">
        <v>2</v>
      </c>
      <c r="AE574" t="s">
        <v>115</v>
      </c>
      <c r="AH574" t="s">
        <v>116</v>
      </c>
      <c r="AI574" s="1">
        <v>58810</v>
      </c>
      <c r="AJ574" s="2">
        <v>0.15</v>
      </c>
      <c r="AK574" s="1">
        <v>386599</v>
      </c>
      <c r="AL574" t="s">
        <v>117</v>
      </c>
      <c r="AM574" t="s">
        <v>118</v>
      </c>
      <c r="AN574">
        <v>6229</v>
      </c>
      <c r="AO574">
        <v>0.14000000000000001</v>
      </c>
      <c r="AR574">
        <v>1</v>
      </c>
      <c r="AS574" s="1">
        <v>31500</v>
      </c>
      <c r="AT574" s="1">
        <v>6300</v>
      </c>
      <c r="AU574" s="1">
        <v>25200</v>
      </c>
      <c r="AV574">
        <v>80</v>
      </c>
      <c r="AX574" s="1">
        <v>2644.38</v>
      </c>
      <c r="AY574" t="s">
        <v>456</v>
      </c>
      <c r="AZ574" t="s">
        <v>456</v>
      </c>
      <c r="BA574" t="s">
        <v>457</v>
      </c>
      <c r="BE574" s="3">
        <v>41988</v>
      </c>
      <c r="BF574" s="1">
        <v>320890</v>
      </c>
      <c r="BG574" t="s">
        <v>446</v>
      </c>
      <c r="BH574" s="1">
        <v>109.78</v>
      </c>
      <c r="BI574" s="1">
        <v>327789</v>
      </c>
      <c r="BJ574" s="3">
        <v>41988</v>
      </c>
      <c r="BK574" t="s">
        <v>123</v>
      </c>
      <c r="BL574" t="str">
        <f>"2014.821171"</f>
        <v>2014.821171</v>
      </c>
      <c r="BM574" t="s">
        <v>573</v>
      </c>
      <c r="BO574" t="s">
        <v>3866</v>
      </c>
      <c r="BS574">
        <v>30</v>
      </c>
      <c r="BW574" t="str">
        <f>""</f>
        <v/>
      </c>
      <c r="CH574" t="str">
        <f>""</f>
        <v/>
      </c>
      <c r="CS574" t="str">
        <f>""</f>
        <v/>
      </c>
    </row>
    <row r="575" spans="1:97" x14ac:dyDescent="0.25">
      <c r="A575" t="s">
        <v>996</v>
      </c>
      <c r="B575" t="s">
        <v>3867</v>
      </c>
      <c r="E575" t="s">
        <v>3868</v>
      </c>
      <c r="F575" t="s">
        <v>108</v>
      </c>
      <c r="H575" t="s">
        <v>3869</v>
      </c>
      <c r="I575" t="s">
        <v>225</v>
      </c>
      <c r="J575" t="s">
        <v>111</v>
      </c>
      <c r="K575" t="str">
        <f>"85212"</f>
        <v>85212</v>
      </c>
      <c r="L575" t="s">
        <v>3140</v>
      </c>
      <c r="M575" t="s">
        <v>3869</v>
      </c>
      <c r="N575" t="s">
        <v>225</v>
      </c>
      <c r="O575" t="s">
        <v>111</v>
      </c>
      <c r="P575" t="str">
        <f>"85212-8178"</f>
        <v>85212-8178</v>
      </c>
      <c r="Q575" t="s">
        <v>113</v>
      </c>
      <c r="R575" t="str">
        <f>"304-50-859"</f>
        <v>304-50-859</v>
      </c>
      <c r="S575" t="s">
        <v>3141</v>
      </c>
      <c r="T575" t="s">
        <v>3142</v>
      </c>
      <c r="U575">
        <v>2668</v>
      </c>
      <c r="W575">
        <v>4</v>
      </c>
      <c r="X575">
        <v>2014</v>
      </c>
      <c r="Z575">
        <v>1</v>
      </c>
      <c r="AA575" t="s">
        <v>26</v>
      </c>
      <c r="AC575" t="s">
        <v>115</v>
      </c>
      <c r="AD575">
        <v>3</v>
      </c>
      <c r="AE575" t="s">
        <v>115</v>
      </c>
      <c r="AH575" t="s">
        <v>116</v>
      </c>
      <c r="AI575" s="1">
        <v>74485</v>
      </c>
      <c r="AJ575" s="2">
        <v>0.17</v>
      </c>
      <c r="AK575" s="1">
        <v>444485</v>
      </c>
      <c r="AL575" t="s">
        <v>117</v>
      </c>
      <c r="AM575" t="s">
        <v>191</v>
      </c>
      <c r="AN575">
        <v>9429</v>
      </c>
      <c r="AO575">
        <v>0.22</v>
      </c>
      <c r="AR575">
        <v>1</v>
      </c>
      <c r="AS575" s="1">
        <v>32900</v>
      </c>
      <c r="AT575" s="1">
        <v>6580</v>
      </c>
      <c r="AU575" s="1">
        <v>26320</v>
      </c>
      <c r="AV575">
        <v>80</v>
      </c>
      <c r="AX575" s="1">
        <v>2543.66</v>
      </c>
      <c r="AY575" t="s">
        <v>560</v>
      </c>
      <c r="AZ575" t="s">
        <v>561</v>
      </c>
      <c r="BA575" t="s">
        <v>194</v>
      </c>
      <c r="BE575" s="3">
        <v>42123</v>
      </c>
      <c r="BF575" s="1">
        <v>349971</v>
      </c>
      <c r="BG575" t="s">
        <v>446</v>
      </c>
      <c r="BH575" s="1">
        <v>131.16999999999999</v>
      </c>
      <c r="BI575" s="1">
        <v>370000</v>
      </c>
      <c r="BJ575" s="3">
        <v>42123</v>
      </c>
      <c r="BK575" t="s">
        <v>123</v>
      </c>
      <c r="BL575" t="str">
        <f>"2015.295400"</f>
        <v>2015.295400</v>
      </c>
      <c r="BM575" t="s">
        <v>573</v>
      </c>
      <c r="BO575" t="s">
        <v>3870</v>
      </c>
      <c r="BS575">
        <v>30</v>
      </c>
      <c r="BW575" t="str">
        <f>""</f>
        <v/>
      </c>
      <c r="CH575" t="str">
        <f>""</f>
        <v/>
      </c>
      <c r="CS575" t="str">
        <f>""</f>
        <v/>
      </c>
    </row>
    <row r="576" spans="1:97" x14ac:dyDescent="0.25">
      <c r="A576" t="s">
        <v>992</v>
      </c>
      <c r="B576" t="s">
        <v>3871</v>
      </c>
      <c r="E576" t="s">
        <v>3872</v>
      </c>
      <c r="F576" t="s">
        <v>108</v>
      </c>
      <c r="H576" t="s">
        <v>3873</v>
      </c>
      <c r="I576" t="s">
        <v>225</v>
      </c>
      <c r="J576" t="s">
        <v>111</v>
      </c>
      <c r="K576" t="str">
        <f>"85212"</f>
        <v>85212</v>
      </c>
      <c r="L576" t="s">
        <v>3140</v>
      </c>
      <c r="M576" t="s">
        <v>3873</v>
      </c>
      <c r="N576" t="s">
        <v>225</v>
      </c>
      <c r="O576" t="s">
        <v>111</v>
      </c>
      <c r="P576" t="str">
        <f>"85212-8169"</f>
        <v>85212-8169</v>
      </c>
      <c r="Q576" t="s">
        <v>113</v>
      </c>
      <c r="R576" t="str">
        <f>"304-50-874"</f>
        <v>304-50-874</v>
      </c>
      <c r="S576" t="s">
        <v>3141</v>
      </c>
      <c r="T576" t="s">
        <v>3142</v>
      </c>
      <c r="U576">
        <v>2020</v>
      </c>
      <c r="W576">
        <v>3</v>
      </c>
      <c r="X576">
        <v>2014</v>
      </c>
      <c r="Z576">
        <v>1</v>
      </c>
      <c r="AC576" t="s">
        <v>115</v>
      </c>
      <c r="AD576">
        <v>2</v>
      </c>
      <c r="AE576" t="s">
        <v>115</v>
      </c>
      <c r="AH576" t="s">
        <v>116</v>
      </c>
      <c r="AI576" s="1">
        <v>43497</v>
      </c>
      <c r="AJ576" s="2">
        <v>0.12</v>
      </c>
      <c r="AK576" s="1">
        <v>365497</v>
      </c>
      <c r="AL576" t="s">
        <v>117</v>
      </c>
      <c r="AM576" t="s">
        <v>191</v>
      </c>
      <c r="AN576">
        <v>8579</v>
      </c>
      <c r="AO576">
        <v>0.2</v>
      </c>
      <c r="AR576">
        <v>1</v>
      </c>
      <c r="AS576" s="1">
        <v>26320</v>
      </c>
      <c r="AT576" s="1">
        <v>5260</v>
      </c>
      <c r="AU576" s="1">
        <v>21060</v>
      </c>
      <c r="AV576">
        <v>80.02</v>
      </c>
      <c r="AX576" s="1">
        <v>2070.38</v>
      </c>
      <c r="AY576" t="s">
        <v>560</v>
      </c>
      <c r="AZ576" t="s">
        <v>561</v>
      </c>
      <c r="BA576" t="s">
        <v>194</v>
      </c>
      <c r="BE576" s="3">
        <v>41911</v>
      </c>
      <c r="BF576" s="1">
        <v>276959</v>
      </c>
      <c r="BG576" t="s">
        <v>446</v>
      </c>
      <c r="BH576" s="1">
        <v>137.11000000000001</v>
      </c>
      <c r="BI576" s="1">
        <v>322000</v>
      </c>
      <c r="BJ576" s="3">
        <v>43532</v>
      </c>
      <c r="BK576" t="s">
        <v>123</v>
      </c>
      <c r="BL576" t="str">
        <f>"2019.161423"</f>
        <v>2019.161423</v>
      </c>
      <c r="BM576" t="s">
        <v>3040</v>
      </c>
      <c r="BN576" t="s">
        <v>3041</v>
      </c>
      <c r="BO576" t="s">
        <v>3872</v>
      </c>
      <c r="BR576" t="s">
        <v>139</v>
      </c>
      <c r="BW576" t="str">
        <f>""</f>
        <v/>
      </c>
      <c r="CH576" t="str">
        <f>""</f>
        <v/>
      </c>
      <c r="CS576" t="str">
        <f>""</f>
        <v/>
      </c>
    </row>
    <row r="577" spans="1:97" x14ac:dyDescent="0.25">
      <c r="A577" t="s">
        <v>177</v>
      </c>
      <c r="B577" t="s">
        <v>3874</v>
      </c>
      <c r="C577" t="s">
        <v>3875</v>
      </c>
      <c r="D577" t="s">
        <v>3874</v>
      </c>
      <c r="E577" t="s">
        <v>3876</v>
      </c>
      <c r="F577" t="s">
        <v>108</v>
      </c>
      <c r="H577" t="s">
        <v>3877</v>
      </c>
      <c r="I577" t="s">
        <v>203</v>
      </c>
      <c r="J577" t="s">
        <v>111</v>
      </c>
      <c r="K577" t="str">
        <f>"85298"</f>
        <v>85298</v>
      </c>
      <c r="L577" t="s">
        <v>681</v>
      </c>
      <c r="M577" t="s">
        <v>3877</v>
      </c>
      <c r="N577" t="s">
        <v>203</v>
      </c>
      <c r="O577" t="s">
        <v>111</v>
      </c>
      <c r="P577" t="str">
        <f>"85298"</f>
        <v>85298</v>
      </c>
      <c r="Q577" t="s">
        <v>113</v>
      </c>
      <c r="R577" t="str">
        <f>"304-75-916"</f>
        <v>304-75-916</v>
      </c>
      <c r="S577" t="s">
        <v>3399</v>
      </c>
      <c r="T577" t="s">
        <v>287</v>
      </c>
      <c r="U577">
        <v>2374</v>
      </c>
      <c r="W577">
        <v>4</v>
      </c>
      <c r="X577">
        <v>2014</v>
      </c>
      <c r="Z577">
        <v>1</v>
      </c>
      <c r="AA577" t="s">
        <v>26</v>
      </c>
      <c r="AC577" t="s">
        <v>115</v>
      </c>
      <c r="AD577">
        <v>2</v>
      </c>
      <c r="AE577" t="s">
        <v>115</v>
      </c>
      <c r="AH577" t="s">
        <v>116</v>
      </c>
      <c r="AI577" s="1">
        <v>46441</v>
      </c>
      <c r="AJ577" s="2">
        <v>0.1</v>
      </c>
      <c r="AK577" s="1">
        <v>442751</v>
      </c>
      <c r="AL577" t="s">
        <v>117</v>
      </c>
      <c r="AM577" t="s">
        <v>288</v>
      </c>
      <c r="AN577">
        <v>8246</v>
      </c>
      <c r="AO577">
        <v>0.19</v>
      </c>
      <c r="AR577">
        <v>1</v>
      </c>
      <c r="AS577" s="1">
        <v>33260</v>
      </c>
      <c r="AT577" s="1">
        <v>6650</v>
      </c>
      <c r="AU577" s="1">
        <v>26610</v>
      </c>
      <c r="AV577">
        <v>80.010000000000005</v>
      </c>
      <c r="AX577" s="1">
        <v>2525.7600000000002</v>
      </c>
      <c r="AY577" t="s">
        <v>289</v>
      </c>
      <c r="AZ577" t="s">
        <v>289</v>
      </c>
      <c r="BA577" t="s">
        <v>290</v>
      </c>
      <c r="BE577" s="3">
        <v>42150</v>
      </c>
      <c r="BF577" s="1">
        <v>343740</v>
      </c>
      <c r="BG577" t="s">
        <v>446</v>
      </c>
      <c r="BH577" s="1">
        <v>144.79</v>
      </c>
      <c r="BI577" s="1">
        <v>396310</v>
      </c>
      <c r="BJ577" s="3">
        <v>42779</v>
      </c>
      <c r="BK577" t="s">
        <v>123</v>
      </c>
      <c r="BL577" t="str">
        <f>"2017.104190"</f>
        <v>2017.104190</v>
      </c>
      <c r="BM577" t="s">
        <v>1707</v>
      </c>
      <c r="BO577" t="s">
        <v>3878</v>
      </c>
      <c r="BS577">
        <v>30</v>
      </c>
      <c r="BW577" t="str">
        <f>""</f>
        <v/>
      </c>
      <c r="CH577" t="str">
        <f>""</f>
        <v/>
      </c>
      <c r="CS577" t="str">
        <f>""</f>
        <v/>
      </c>
    </row>
    <row r="578" spans="1:97" x14ac:dyDescent="0.25">
      <c r="A578" t="s">
        <v>2374</v>
      </c>
      <c r="B578" t="s">
        <v>3879</v>
      </c>
      <c r="C578" t="s">
        <v>1057</v>
      </c>
      <c r="D578" t="s">
        <v>3879</v>
      </c>
      <c r="E578" t="s">
        <v>3880</v>
      </c>
      <c r="F578" t="s">
        <v>108</v>
      </c>
      <c r="H578" t="s">
        <v>3881</v>
      </c>
      <c r="I578" t="s">
        <v>203</v>
      </c>
      <c r="J578" t="s">
        <v>111</v>
      </c>
      <c r="K578" t="str">
        <f>"85298"</f>
        <v>85298</v>
      </c>
      <c r="L578" t="s">
        <v>681</v>
      </c>
      <c r="M578" t="s">
        <v>3881</v>
      </c>
      <c r="N578" t="s">
        <v>203</v>
      </c>
      <c r="O578" t="s">
        <v>111</v>
      </c>
      <c r="P578" t="str">
        <f>"85298"</f>
        <v>85298</v>
      </c>
      <c r="Q578" t="s">
        <v>113</v>
      </c>
      <c r="R578" t="str">
        <f>"304-75-937"</f>
        <v>304-75-937</v>
      </c>
      <c r="S578" t="s">
        <v>3399</v>
      </c>
      <c r="T578" t="s">
        <v>287</v>
      </c>
      <c r="U578">
        <v>3236</v>
      </c>
      <c r="W578">
        <v>5</v>
      </c>
      <c r="X578">
        <v>2014</v>
      </c>
      <c r="Z578">
        <v>1</v>
      </c>
      <c r="AA578" t="s">
        <v>26</v>
      </c>
      <c r="AC578" t="s">
        <v>115</v>
      </c>
      <c r="AD578">
        <v>3</v>
      </c>
      <c r="AE578" t="s">
        <v>115</v>
      </c>
      <c r="AH578" t="s">
        <v>116</v>
      </c>
      <c r="AI578" s="1">
        <v>188234</v>
      </c>
      <c r="AJ578" s="2">
        <v>0.35</v>
      </c>
      <c r="AK578" s="1">
        <v>537157</v>
      </c>
      <c r="AL578" t="s">
        <v>117</v>
      </c>
      <c r="AM578" t="s">
        <v>288</v>
      </c>
      <c r="AN578">
        <v>9337</v>
      </c>
      <c r="AO578">
        <v>0.21</v>
      </c>
      <c r="AR578">
        <v>1</v>
      </c>
      <c r="AS578" s="1">
        <v>41330</v>
      </c>
      <c r="AT578" s="1">
        <v>8260</v>
      </c>
      <c r="AU578" s="1">
        <v>33070</v>
      </c>
      <c r="AV578">
        <v>80.010000000000005</v>
      </c>
      <c r="AX578" s="1">
        <v>3252.74</v>
      </c>
      <c r="AY578" t="s">
        <v>289</v>
      </c>
      <c r="AZ578" t="s">
        <v>289</v>
      </c>
      <c r="BA578" t="s">
        <v>290</v>
      </c>
      <c r="BE578" s="3">
        <v>41957</v>
      </c>
      <c r="BF578" s="1">
        <v>400880</v>
      </c>
      <c r="BG578" t="s">
        <v>446</v>
      </c>
      <c r="BH578" s="1">
        <v>123.88</v>
      </c>
      <c r="BI578" s="1">
        <v>348923</v>
      </c>
      <c r="BJ578" s="3">
        <v>42611</v>
      </c>
      <c r="BK578" t="s">
        <v>123</v>
      </c>
      <c r="BL578" t="str">
        <f>"2016.618158"</f>
        <v>2016.618158</v>
      </c>
      <c r="BM578" t="s">
        <v>1325</v>
      </c>
      <c r="BO578" t="s">
        <v>3882</v>
      </c>
      <c r="BS578">
        <v>30</v>
      </c>
      <c r="BW578" t="str">
        <f>""</f>
        <v/>
      </c>
      <c r="CH578" t="str">
        <f>""</f>
        <v/>
      </c>
      <c r="CS578" t="str">
        <f>""</f>
        <v/>
      </c>
    </row>
    <row r="579" spans="1:97" x14ac:dyDescent="0.25">
      <c r="A579" t="s">
        <v>325</v>
      </c>
      <c r="B579" t="s">
        <v>1552</v>
      </c>
      <c r="C579" t="s">
        <v>2762</v>
      </c>
      <c r="D579" t="s">
        <v>1552</v>
      </c>
      <c r="E579" t="s">
        <v>3883</v>
      </c>
      <c r="F579" t="s">
        <v>108</v>
      </c>
      <c r="H579" t="s">
        <v>3884</v>
      </c>
      <c r="I579" t="s">
        <v>188</v>
      </c>
      <c r="J579" t="s">
        <v>111</v>
      </c>
      <c r="K579" t="str">
        <f>"85142"</f>
        <v>85142</v>
      </c>
      <c r="L579" t="s">
        <v>3885</v>
      </c>
      <c r="M579" t="s">
        <v>3884</v>
      </c>
      <c r="N579" t="s">
        <v>188</v>
      </c>
      <c r="O579" t="s">
        <v>111</v>
      </c>
      <c r="P579" t="str">
        <f>"85142-5436"</f>
        <v>85142-5436</v>
      </c>
      <c r="Q579" t="s">
        <v>113</v>
      </c>
      <c r="R579" t="str">
        <f>"304-93-940"</f>
        <v>304-93-940</v>
      </c>
      <c r="S579" t="s">
        <v>3886</v>
      </c>
      <c r="T579" t="s">
        <v>3887</v>
      </c>
      <c r="U579">
        <v>4007</v>
      </c>
      <c r="W579">
        <v>5</v>
      </c>
      <c r="X579">
        <v>2014</v>
      </c>
      <c r="Z579">
        <v>1</v>
      </c>
      <c r="AC579" t="s">
        <v>115</v>
      </c>
      <c r="AD579">
        <v>4</v>
      </c>
      <c r="AE579" t="s">
        <v>115</v>
      </c>
      <c r="AH579" t="s">
        <v>116</v>
      </c>
      <c r="AI579" s="1">
        <v>112689</v>
      </c>
      <c r="AJ579" s="2">
        <v>0.15</v>
      </c>
      <c r="AK579" s="1">
        <v>760939</v>
      </c>
      <c r="AL579" t="s">
        <v>117</v>
      </c>
      <c r="AM579" t="s">
        <v>616</v>
      </c>
      <c r="AN579">
        <v>30061</v>
      </c>
      <c r="AO579">
        <v>0.69</v>
      </c>
      <c r="AR579">
        <v>1</v>
      </c>
      <c r="AS579" s="1">
        <v>57580</v>
      </c>
      <c r="AT579" s="1">
        <v>11510</v>
      </c>
      <c r="AU579" s="1">
        <v>46070</v>
      </c>
      <c r="AV579">
        <v>80.010000000000005</v>
      </c>
      <c r="AX579" s="1">
        <v>5780.94</v>
      </c>
      <c r="AY579" t="s">
        <v>1074</v>
      </c>
      <c r="AZ579" t="s">
        <v>193</v>
      </c>
      <c r="BA579" t="s">
        <v>194</v>
      </c>
      <c r="BE579" s="3">
        <v>41983</v>
      </c>
      <c r="BF579" s="1">
        <v>616268</v>
      </c>
      <c r="BG579" t="s">
        <v>3120</v>
      </c>
      <c r="BH579" s="1">
        <v>153.80000000000001</v>
      </c>
      <c r="BI579" s="1">
        <v>528250</v>
      </c>
      <c r="BJ579" s="3">
        <v>42580</v>
      </c>
      <c r="BK579" t="s">
        <v>123</v>
      </c>
      <c r="BL579" t="str">
        <f>"2016.537661"</f>
        <v>2016.537661</v>
      </c>
      <c r="BM579" t="s">
        <v>124</v>
      </c>
      <c r="BN579" t="s">
        <v>1575</v>
      </c>
      <c r="BO579" t="s">
        <v>3888</v>
      </c>
      <c r="BS579">
        <v>30</v>
      </c>
      <c r="BT579" s="1">
        <v>120000</v>
      </c>
      <c r="BU579" s="3">
        <v>43518</v>
      </c>
      <c r="BW579" t="str">
        <f>"2019.120351"</f>
        <v>2019.120351</v>
      </c>
      <c r="BX579" t="s">
        <v>2042</v>
      </c>
      <c r="BY579" t="s">
        <v>1575</v>
      </c>
      <c r="BZ579" t="s">
        <v>3889</v>
      </c>
      <c r="CA579" t="s">
        <v>3890</v>
      </c>
      <c r="CC579" t="s">
        <v>346</v>
      </c>
      <c r="CH579" t="str">
        <f>""</f>
        <v/>
      </c>
      <c r="CS579" t="str">
        <f>""</f>
        <v/>
      </c>
    </row>
    <row r="580" spans="1:97" x14ac:dyDescent="0.25">
      <c r="A580" t="s">
        <v>211</v>
      </c>
      <c r="B580" t="s">
        <v>482</v>
      </c>
      <c r="C580" t="s">
        <v>1496</v>
      </c>
      <c r="D580" t="s">
        <v>482</v>
      </c>
      <c r="E580" t="s">
        <v>3891</v>
      </c>
      <c r="F580" t="s">
        <v>108</v>
      </c>
      <c r="H580" t="s">
        <v>3892</v>
      </c>
      <c r="I580" t="s">
        <v>499</v>
      </c>
      <c r="J580" t="s">
        <v>111</v>
      </c>
      <c r="K580" t="str">
        <f>"85338"</f>
        <v>85338</v>
      </c>
      <c r="L580" t="s">
        <v>1244</v>
      </c>
      <c r="M580" t="s">
        <v>3892</v>
      </c>
      <c r="N580" t="s">
        <v>499</v>
      </c>
      <c r="O580" t="s">
        <v>111</v>
      </c>
      <c r="P580" t="str">
        <f>"85338-7844"</f>
        <v>85338-7844</v>
      </c>
      <c r="Q580" t="s">
        <v>113</v>
      </c>
      <c r="R580" t="str">
        <f>"400-83-844"</f>
        <v>400-83-844</v>
      </c>
      <c r="S580" t="s">
        <v>3251</v>
      </c>
      <c r="U580">
        <v>3825</v>
      </c>
      <c r="W580">
        <v>5</v>
      </c>
      <c r="X580">
        <v>2014</v>
      </c>
      <c r="Z580">
        <v>1</v>
      </c>
      <c r="AA580" t="s">
        <v>26</v>
      </c>
      <c r="AC580" t="s">
        <v>115</v>
      </c>
      <c r="AD580">
        <v>4</v>
      </c>
      <c r="AE580" t="s">
        <v>115</v>
      </c>
      <c r="AH580" t="s">
        <v>116</v>
      </c>
      <c r="AI580" s="1">
        <v>229485</v>
      </c>
      <c r="AJ580" s="2">
        <v>0.39</v>
      </c>
      <c r="AK580" s="1">
        <v>592792</v>
      </c>
      <c r="AL580" t="s">
        <v>117</v>
      </c>
      <c r="AM580" t="s">
        <v>118</v>
      </c>
      <c r="AN580">
        <v>11834</v>
      </c>
      <c r="AO580">
        <v>0.27</v>
      </c>
      <c r="AR580">
        <v>1</v>
      </c>
      <c r="AS580" s="1">
        <v>48500</v>
      </c>
      <c r="AT580" s="1">
        <v>9700</v>
      </c>
      <c r="AU580" s="1">
        <v>38800</v>
      </c>
      <c r="AV580">
        <v>80</v>
      </c>
      <c r="AX580" s="1">
        <v>4232.6000000000004</v>
      </c>
      <c r="AY580" t="s">
        <v>1246</v>
      </c>
      <c r="AZ580" t="s">
        <v>1246</v>
      </c>
      <c r="BA580" t="s">
        <v>1247</v>
      </c>
      <c r="BE580" s="3">
        <v>42356</v>
      </c>
      <c r="BF580" s="1">
        <v>441500</v>
      </c>
      <c r="BG580" t="s">
        <v>1238</v>
      </c>
      <c r="BH580" s="1">
        <v>115.42</v>
      </c>
      <c r="BI580" s="1">
        <v>363307</v>
      </c>
      <c r="BJ580" s="3">
        <v>42430</v>
      </c>
      <c r="BK580" t="s">
        <v>123</v>
      </c>
      <c r="BL580" t="str">
        <f>"2016.131094"</f>
        <v>2016.131094</v>
      </c>
      <c r="BM580" t="s">
        <v>248</v>
      </c>
      <c r="BN580" t="s">
        <v>249</v>
      </c>
      <c r="BO580" t="s">
        <v>3893</v>
      </c>
      <c r="BS580">
        <v>30</v>
      </c>
      <c r="BW580" t="str">
        <f>""</f>
        <v/>
      </c>
      <c r="CH580" t="str">
        <f>""</f>
        <v/>
      </c>
      <c r="CS580" t="str">
        <f>""</f>
        <v/>
      </c>
    </row>
    <row r="581" spans="1:97" x14ac:dyDescent="0.25">
      <c r="A581" t="s">
        <v>2374</v>
      </c>
      <c r="B581" t="s">
        <v>3894</v>
      </c>
      <c r="C581" t="s">
        <v>548</v>
      </c>
      <c r="D581" t="s">
        <v>3894</v>
      </c>
      <c r="E581" t="s">
        <v>3895</v>
      </c>
      <c r="F581" t="s">
        <v>108</v>
      </c>
      <c r="H581" t="s">
        <v>3896</v>
      </c>
      <c r="I581" t="s">
        <v>110</v>
      </c>
      <c r="J581" t="s">
        <v>111</v>
      </c>
      <c r="K581" t="str">
        <f>"85286"</f>
        <v>85286</v>
      </c>
      <c r="L581" t="s">
        <v>3758</v>
      </c>
      <c r="M581" t="s">
        <v>3896</v>
      </c>
      <c r="N581" t="s">
        <v>110</v>
      </c>
      <c r="O581" t="s">
        <v>111</v>
      </c>
      <c r="P581" t="str">
        <f>"85286-1666"</f>
        <v>85286-1666</v>
      </c>
      <c r="Q581" t="s">
        <v>113</v>
      </c>
      <c r="R581" t="str">
        <f>"303-77-585"</f>
        <v>303-77-585</v>
      </c>
      <c r="S581" t="s">
        <v>3897</v>
      </c>
      <c r="T581" t="s">
        <v>3897</v>
      </c>
      <c r="U581">
        <v>3375</v>
      </c>
      <c r="W581">
        <v>4</v>
      </c>
      <c r="X581">
        <v>2014</v>
      </c>
      <c r="Z581">
        <v>1</v>
      </c>
      <c r="AA581" t="s">
        <v>26</v>
      </c>
      <c r="AC581" t="s">
        <v>115</v>
      </c>
      <c r="AD581">
        <v>3</v>
      </c>
      <c r="AE581" t="s">
        <v>115</v>
      </c>
      <c r="AH581" t="s">
        <v>116</v>
      </c>
      <c r="AI581" s="1">
        <v>19480</v>
      </c>
      <c r="AJ581" s="2">
        <v>0.03</v>
      </c>
      <c r="AK581" s="1">
        <v>582344</v>
      </c>
      <c r="AL581" t="s">
        <v>117</v>
      </c>
      <c r="AM581" t="s">
        <v>118</v>
      </c>
      <c r="AN581">
        <v>10274</v>
      </c>
      <c r="AO581">
        <v>0.24</v>
      </c>
      <c r="AR581">
        <v>1</v>
      </c>
      <c r="AS581" s="1">
        <v>45910</v>
      </c>
      <c r="AT581" s="1">
        <v>9180</v>
      </c>
      <c r="AU581" s="1">
        <v>36730</v>
      </c>
      <c r="AV581">
        <v>80</v>
      </c>
      <c r="AX581" s="1">
        <v>3109.62</v>
      </c>
      <c r="AY581" t="s">
        <v>737</v>
      </c>
      <c r="AZ581" t="s">
        <v>120</v>
      </c>
      <c r="BA581" t="s">
        <v>303</v>
      </c>
      <c r="BE581" s="3">
        <v>41969</v>
      </c>
      <c r="BF581" s="1">
        <v>518804</v>
      </c>
      <c r="BG581" t="s">
        <v>420</v>
      </c>
      <c r="BH581" s="1">
        <v>153.72</v>
      </c>
      <c r="BI581" s="1">
        <v>492864</v>
      </c>
      <c r="BJ581" s="3">
        <v>41969</v>
      </c>
      <c r="BK581" t="s">
        <v>123</v>
      </c>
      <c r="BL581" t="str">
        <f>"2014.785042"</f>
        <v>2014.785042</v>
      </c>
      <c r="BM581" t="s">
        <v>724</v>
      </c>
      <c r="BO581" t="s">
        <v>3898</v>
      </c>
      <c r="BP581" t="s">
        <v>3899</v>
      </c>
      <c r="BS581">
        <v>30</v>
      </c>
      <c r="BT581" s="1">
        <v>70000</v>
      </c>
      <c r="BU581" s="3">
        <v>42020</v>
      </c>
      <c r="BV581" t="s">
        <v>134</v>
      </c>
      <c r="BW581" t="str">
        <f>"2015.30867"</f>
        <v>2015.30867</v>
      </c>
      <c r="BX581" t="s">
        <v>583</v>
      </c>
      <c r="BZ581" t="s">
        <v>3900</v>
      </c>
      <c r="CA581" t="s">
        <v>3899</v>
      </c>
      <c r="CD581">
        <v>10</v>
      </c>
      <c r="CH581" t="str">
        <f>""</f>
        <v/>
      </c>
      <c r="CS581" t="str">
        <f>""</f>
        <v/>
      </c>
    </row>
    <row r="582" spans="1:97" x14ac:dyDescent="0.25">
      <c r="A582" t="s">
        <v>3613</v>
      </c>
      <c r="B582" t="s">
        <v>3901</v>
      </c>
      <c r="C582" t="s">
        <v>3902</v>
      </c>
      <c r="D582" t="s">
        <v>3901</v>
      </c>
      <c r="E582" t="s">
        <v>3903</v>
      </c>
      <c r="F582" t="s">
        <v>108</v>
      </c>
      <c r="H582" t="s">
        <v>3904</v>
      </c>
      <c r="I582" t="s">
        <v>225</v>
      </c>
      <c r="J582" t="s">
        <v>111</v>
      </c>
      <c r="K582" t="str">
        <f>"85212"</f>
        <v>85212</v>
      </c>
      <c r="L582" t="s">
        <v>3140</v>
      </c>
      <c r="M582" t="s">
        <v>3904</v>
      </c>
      <c r="N582" t="s">
        <v>225</v>
      </c>
      <c r="O582" t="s">
        <v>111</v>
      </c>
      <c r="P582" t="str">
        <f>"85212-8168"</f>
        <v>85212-8168</v>
      </c>
      <c r="Q582" t="s">
        <v>113</v>
      </c>
      <c r="R582" t="str">
        <f>"304-50-833"</f>
        <v>304-50-833</v>
      </c>
      <c r="S582" t="s">
        <v>3141</v>
      </c>
      <c r="T582" t="s">
        <v>3142</v>
      </c>
      <c r="U582">
        <v>2896</v>
      </c>
      <c r="W582">
        <v>3</v>
      </c>
      <c r="X582">
        <v>2014</v>
      </c>
      <c r="Z582">
        <v>2</v>
      </c>
      <c r="AC582" t="s">
        <v>115</v>
      </c>
      <c r="AD582">
        <v>2</v>
      </c>
      <c r="AE582" t="s">
        <v>115</v>
      </c>
      <c r="AH582" t="s">
        <v>116</v>
      </c>
      <c r="AI582" s="1">
        <v>90676</v>
      </c>
      <c r="AJ582" s="2">
        <v>0.23</v>
      </c>
      <c r="AK582" s="1">
        <v>398076</v>
      </c>
      <c r="AL582" t="s">
        <v>117</v>
      </c>
      <c r="AM582" t="s">
        <v>191</v>
      </c>
      <c r="AN582">
        <v>6916</v>
      </c>
      <c r="AO582">
        <v>0.16</v>
      </c>
      <c r="AR582">
        <v>1</v>
      </c>
      <c r="AS582" s="1">
        <v>28550</v>
      </c>
      <c r="AT582" s="1">
        <v>5710</v>
      </c>
      <c r="AU582" s="1">
        <v>22840</v>
      </c>
      <c r="AV582">
        <v>80</v>
      </c>
      <c r="AX582" s="1">
        <v>2357.2600000000002</v>
      </c>
      <c r="AY582" t="s">
        <v>560</v>
      </c>
      <c r="AZ582" t="s">
        <v>561</v>
      </c>
      <c r="BA582" t="s">
        <v>194</v>
      </c>
      <c r="BE582" s="3">
        <v>41887</v>
      </c>
      <c r="BF582" s="1">
        <v>312198</v>
      </c>
      <c r="BG582" t="s">
        <v>446</v>
      </c>
      <c r="BH582" s="1">
        <v>107.8</v>
      </c>
      <c r="BI582" s="1">
        <v>307400</v>
      </c>
      <c r="BJ582" s="3">
        <v>42660</v>
      </c>
      <c r="BK582" t="s">
        <v>123</v>
      </c>
      <c r="BL582" t="str">
        <f>"2016.761344"</f>
        <v>2016.761344</v>
      </c>
      <c r="BM582" t="s">
        <v>3905</v>
      </c>
      <c r="BO582" t="s">
        <v>3906</v>
      </c>
      <c r="BS582">
        <v>30</v>
      </c>
      <c r="BW582" t="str">
        <f>""</f>
        <v/>
      </c>
      <c r="CH582" t="str">
        <f>""</f>
        <v/>
      </c>
      <c r="CS582" t="str">
        <f>""</f>
        <v/>
      </c>
    </row>
    <row r="583" spans="1:97" x14ac:dyDescent="0.25">
      <c r="A583" t="s">
        <v>1009</v>
      </c>
      <c r="B583" t="s">
        <v>3907</v>
      </c>
      <c r="C583" t="s">
        <v>2319</v>
      </c>
      <c r="D583" t="s">
        <v>3907</v>
      </c>
      <c r="E583" t="s">
        <v>3908</v>
      </c>
      <c r="F583" t="s">
        <v>108</v>
      </c>
      <c r="H583" t="s">
        <v>3909</v>
      </c>
      <c r="I583" t="s">
        <v>225</v>
      </c>
      <c r="J583" t="s">
        <v>111</v>
      </c>
      <c r="K583" t="str">
        <f>"85212"</f>
        <v>85212</v>
      </c>
      <c r="L583" t="s">
        <v>3140</v>
      </c>
      <c r="M583" t="s">
        <v>3909</v>
      </c>
      <c r="N583" t="s">
        <v>225</v>
      </c>
      <c r="O583" t="s">
        <v>111</v>
      </c>
      <c r="P583" t="str">
        <f>"85212-8173"</f>
        <v>85212-8173</v>
      </c>
      <c r="Q583" t="s">
        <v>113</v>
      </c>
      <c r="R583" t="str">
        <f>"304-50-835"</f>
        <v>304-50-835</v>
      </c>
      <c r="S583" t="s">
        <v>3141</v>
      </c>
      <c r="T583" t="s">
        <v>3142</v>
      </c>
      <c r="U583">
        <v>3443</v>
      </c>
      <c r="W583">
        <v>4</v>
      </c>
      <c r="X583">
        <v>2014</v>
      </c>
      <c r="Z583">
        <v>2</v>
      </c>
      <c r="AA583" t="s">
        <v>26</v>
      </c>
      <c r="AC583" t="s">
        <v>115</v>
      </c>
      <c r="AD583">
        <v>3</v>
      </c>
      <c r="AE583" t="s">
        <v>115</v>
      </c>
      <c r="AH583" t="s">
        <v>116</v>
      </c>
      <c r="AI583" s="1">
        <v>46762</v>
      </c>
      <c r="AJ583" s="2">
        <v>0.1</v>
      </c>
      <c r="AK583" s="1">
        <v>457276</v>
      </c>
      <c r="AL583" t="s">
        <v>117</v>
      </c>
      <c r="AM583" t="s">
        <v>191</v>
      </c>
      <c r="AN583">
        <v>8325</v>
      </c>
      <c r="AO583">
        <v>0.19</v>
      </c>
      <c r="AR583">
        <v>1</v>
      </c>
      <c r="AS583" s="1">
        <v>33300</v>
      </c>
      <c r="AT583" s="1">
        <v>6660</v>
      </c>
      <c r="AU583" s="1">
        <v>26640</v>
      </c>
      <c r="AV583">
        <v>80</v>
      </c>
      <c r="AX583" s="1">
        <v>2650.24</v>
      </c>
      <c r="AY583" t="s">
        <v>560</v>
      </c>
      <c r="AZ583" t="s">
        <v>561</v>
      </c>
      <c r="BA583" t="s">
        <v>194</v>
      </c>
      <c r="BE583" s="3">
        <v>41887</v>
      </c>
      <c r="BF583" s="1">
        <v>350404</v>
      </c>
      <c r="BG583" t="s">
        <v>446</v>
      </c>
      <c r="BH583" s="1">
        <v>101.77</v>
      </c>
      <c r="BI583" s="1">
        <v>410514</v>
      </c>
      <c r="BJ583" s="3">
        <v>43559</v>
      </c>
      <c r="BK583" t="s">
        <v>123</v>
      </c>
      <c r="BL583" t="str">
        <f>"2019.234609"</f>
        <v>2019.234609</v>
      </c>
      <c r="BM583" t="s">
        <v>1915</v>
      </c>
      <c r="BN583" t="s">
        <v>1916</v>
      </c>
      <c r="BO583" t="s">
        <v>3910</v>
      </c>
      <c r="BP583" t="s">
        <v>3911</v>
      </c>
      <c r="BR583" t="s">
        <v>139</v>
      </c>
      <c r="BW583" t="str">
        <f>""</f>
        <v/>
      </c>
      <c r="CH583" t="str">
        <f>""</f>
        <v/>
      </c>
      <c r="CS583" t="str">
        <f>""</f>
        <v/>
      </c>
    </row>
    <row r="584" spans="1:97" x14ac:dyDescent="0.25">
      <c r="A584" t="s">
        <v>589</v>
      </c>
      <c r="B584" t="s">
        <v>3912</v>
      </c>
      <c r="C584" t="s">
        <v>3913</v>
      </c>
      <c r="D584" t="s">
        <v>3912</v>
      </c>
      <c r="E584" t="s">
        <v>3914</v>
      </c>
      <c r="F584" t="s">
        <v>108</v>
      </c>
      <c r="H584" t="s">
        <v>3915</v>
      </c>
      <c r="I584" t="s">
        <v>225</v>
      </c>
      <c r="J584" t="s">
        <v>111</v>
      </c>
      <c r="K584" t="str">
        <f>"85212"</f>
        <v>85212</v>
      </c>
      <c r="L584" t="s">
        <v>3140</v>
      </c>
      <c r="M584" t="s">
        <v>3915</v>
      </c>
      <c r="N584" t="s">
        <v>225</v>
      </c>
      <c r="O584" t="s">
        <v>111</v>
      </c>
      <c r="P584" t="str">
        <f>"85212-8173"</f>
        <v>85212-8173</v>
      </c>
      <c r="Q584" t="s">
        <v>113</v>
      </c>
      <c r="R584" t="str">
        <f>"304-50-838"</f>
        <v>304-50-838</v>
      </c>
      <c r="S584" t="s">
        <v>3141</v>
      </c>
      <c r="T584" t="s">
        <v>3142</v>
      </c>
      <c r="U584">
        <v>2896</v>
      </c>
      <c r="W584">
        <v>3</v>
      </c>
      <c r="X584">
        <v>2014</v>
      </c>
      <c r="Z584">
        <v>2</v>
      </c>
      <c r="AC584" t="s">
        <v>115</v>
      </c>
      <c r="AD584">
        <v>2</v>
      </c>
      <c r="AE584" t="s">
        <v>115</v>
      </c>
      <c r="AH584" t="s">
        <v>116</v>
      </c>
      <c r="AI584" s="1">
        <v>50326</v>
      </c>
      <c r="AJ584" s="2">
        <v>0.13</v>
      </c>
      <c r="AK584" s="1">
        <v>397335</v>
      </c>
      <c r="AL584" t="s">
        <v>117</v>
      </c>
      <c r="AM584" t="s">
        <v>191</v>
      </c>
      <c r="AN584">
        <v>6000</v>
      </c>
      <c r="AO584">
        <v>0.14000000000000001</v>
      </c>
      <c r="AR584">
        <v>1</v>
      </c>
      <c r="AS584" s="1">
        <v>28070</v>
      </c>
      <c r="AT584" s="1">
        <v>5610</v>
      </c>
      <c r="AU584" s="1">
        <v>22460</v>
      </c>
      <c r="AV584">
        <v>80.010000000000005</v>
      </c>
      <c r="AX584" s="1">
        <v>2315.2600000000002</v>
      </c>
      <c r="AY584" t="s">
        <v>560</v>
      </c>
      <c r="AZ584" t="s">
        <v>561</v>
      </c>
      <c r="BA584" t="s">
        <v>194</v>
      </c>
      <c r="BE584" s="3">
        <v>42142</v>
      </c>
      <c r="BF584" s="1">
        <v>325854</v>
      </c>
      <c r="BG584" t="s">
        <v>446</v>
      </c>
      <c r="BH584" s="1">
        <v>112.52</v>
      </c>
      <c r="BI584" s="1">
        <v>347009</v>
      </c>
      <c r="BJ584" s="3">
        <v>42670</v>
      </c>
      <c r="BK584" t="s">
        <v>123</v>
      </c>
      <c r="BL584" t="str">
        <f>"2016.787849"</f>
        <v>2016.787849</v>
      </c>
      <c r="BM584" t="s">
        <v>402</v>
      </c>
      <c r="BO584" t="s">
        <v>3916</v>
      </c>
      <c r="BS584">
        <v>30</v>
      </c>
      <c r="BW584" t="str">
        <f>""</f>
        <v/>
      </c>
      <c r="CH584" t="str">
        <f>""</f>
        <v/>
      </c>
      <c r="CS584" t="str">
        <f>""</f>
        <v/>
      </c>
    </row>
    <row r="585" spans="1:97" x14ac:dyDescent="0.25">
      <c r="A585" t="s">
        <v>222</v>
      </c>
      <c r="B585" t="s">
        <v>3917</v>
      </c>
      <c r="C585" t="s">
        <v>220</v>
      </c>
      <c r="D585" t="s">
        <v>3917</v>
      </c>
      <c r="E585" t="s">
        <v>3918</v>
      </c>
      <c r="F585" t="s">
        <v>108</v>
      </c>
      <c r="H585" t="s">
        <v>3919</v>
      </c>
      <c r="I585" t="s">
        <v>225</v>
      </c>
      <c r="J585" t="s">
        <v>111</v>
      </c>
      <c r="K585" t="str">
        <f>"85212"</f>
        <v>85212</v>
      </c>
      <c r="L585" t="s">
        <v>3140</v>
      </c>
      <c r="M585" t="s">
        <v>3919</v>
      </c>
      <c r="N585" t="s">
        <v>225</v>
      </c>
      <c r="O585" t="s">
        <v>111</v>
      </c>
      <c r="P585" t="str">
        <f>"85212-8178"</f>
        <v>85212-8178</v>
      </c>
      <c r="Q585" t="s">
        <v>113</v>
      </c>
      <c r="R585" t="str">
        <f>"304-50-857"</f>
        <v>304-50-857</v>
      </c>
      <c r="S585" t="s">
        <v>3141</v>
      </c>
      <c r="T585" t="s">
        <v>3142</v>
      </c>
      <c r="U585">
        <v>3502</v>
      </c>
      <c r="W585">
        <v>5</v>
      </c>
      <c r="X585">
        <v>2014</v>
      </c>
      <c r="Z585">
        <v>2</v>
      </c>
      <c r="AC585" t="s">
        <v>115</v>
      </c>
      <c r="AD585">
        <v>3</v>
      </c>
      <c r="AE585" t="s">
        <v>115</v>
      </c>
      <c r="AH585" t="s">
        <v>116</v>
      </c>
      <c r="AI585" s="1">
        <v>59002</v>
      </c>
      <c r="AJ585" s="2">
        <v>0.12</v>
      </c>
      <c r="AK585" s="1">
        <v>473002</v>
      </c>
      <c r="AL585" t="s">
        <v>117</v>
      </c>
      <c r="AM585" t="s">
        <v>191</v>
      </c>
      <c r="AN585">
        <v>9065</v>
      </c>
      <c r="AO585">
        <v>0.21</v>
      </c>
      <c r="AR585">
        <v>1</v>
      </c>
      <c r="AS585" s="1">
        <v>34650</v>
      </c>
      <c r="AT585" s="1">
        <v>6930</v>
      </c>
      <c r="AU585" s="1">
        <v>27720</v>
      </c>
      <c r="AV585">
        <v>80</v>
      </c>
      <c r="AX585" s="1">
        <v>2897.06</v>
      </c>
      <c r="AY585" t="s">
        <v>560</v>
      </c>
      <c r="AZ585" t="s">
        <v>561</v>
      </c>
      <c r="BA585" t="s">
        <v>194</v>
      </c>
      <c r="BB585" s="3">
        <v>43312</v>
      </c>
      <c r="BC585" s="1">
        <v>0</v>
      </c>
      <c r="BD585" t="s">
        <v>291</v>
      </c>
      <c r="BE585" s="3">
        <v>41921</v>
      </c>
      <c r="BF585" s="1">
        <v>388282</v>
      </c>
      <c r="BG585" t="s">
        <v>446</v>
      </c>
      <c r="BH585" s="1">
        <v>110.87</v>
      </c>
      <c r="BI585" s="1">
        <v>414000</v>
      </c>
      <c r="BJ585" s="3">
        <v>43585</v>
      </c>
      <c r="BK585" t="s">
        <v>123</v>
      </c>
      <c r="BL585" t="str">
        <f>"2019.310098"</f>
        <v>2019.310098</v>
      </c>
      <c r="BM585" t="s">
        <v>3920</v>
      </c>
      <c r="BN585" t="s">
        <v>3921</v>
      </c>
      <c r="BO585" t="s">
        <v>3922</v>
      </c>
      <c r="BP585" t="s">
        <v>3923</v>
      </c>
      <c r="BR585" t="s">
        <v>139</v>
      </c>
      <c r="BW585" t="str">
        <f>""</f>
        <v/>
      </c>
      <c r="CH585" t="str">
        <f>""</f>
        <v/>
      </c>
      <c r="CS585" t="str">
        <f>""</f>
        <v/>
      </c>
    </row>
    <row r="586" spans="1:97" x14ac:dyDescent="0.25">
      <c r="A586" t="s">
        <v>3924</v>
      </c>
      <c r="B586" t="s">
        <v>3925</v>
      </c>
      <c r="C586" t="s">
        <v>3926</v>
      </c>
      <c r="D586" t="s">
        <v>3925</v>
      </c>
      <c r="E586" t="s">
        <v>3927</v>
      </c>
      <c r="F586" t="s">
        <v>108</v>
      </c>
      <c r="H586" t="s">
        <v>3928</v>
      </c>
      <c r="I586" t="s">
        <v>225</v>
      </c>
      <c r="J586" t="s">
        <v>111</v>
      </c>
      <c r="K586" t="str">
        <f>"85212"</f>
        <v>85212</v>
      </c>
      <c r="L586" t="s">
        <v>3140</v>
      </c>
      <c r="M586" t="s">
        <v>3928</v>
      </c>
      <c r="N586" t="s">
        <v>225</v>
      </c>
      <c r="O586" t="s">
        <v>111</v>
      </c>
      <c r="P586" t="str">
        <f>"85212-8178"</f>
        <v>85212-8178</v>
      </c>
      <c r="Q586" t="s">
        <v>113</v>
      </c>
      <c r="R586" t="str">
        <f>"304-50-858"</f>
        <v>304-50-858</v>
      </c>
      <c r="S586" t="s">
        <v>3141</v>
      </c>
      <c r="T586" t="s">
        <v>3142</v>
      </c>
      <c r="U586">
        <v>3139</v>
      </c>
      <c r="W586">
        <v>4</v>
      </c>
      <c r="X586">
        <v>2014</v>
      </c>
      <c r="Z586">
        <v>1</v>
      </c>
      <c r="AC586" t="s">
        <v>115</v>
      </c>
      <c r="AD586">
        <v>3</v>
      </c>
      <c r="AE586" t="s">
        <v>115</v>
      </c>
      <c r="AH586" t="s">
        <v>116</v>
      </c>
      <c r="AI586" s="1">
        <v>-2456</v>
      </c>
      <c r="AJ586" s="2">
        <v>-0.01</v>
      </c>
      <c r="AK586" s="1">
        <v>447544</v>
      </c>
      <c r="AL586" t="s">
        <v>117</v>
      </c>
      <c r="AM586" t="s">
        <v>191</v>
      </c>
      <c r="AN586">
        <v>9387</v>
      </c>
      <c r="AO586">
        <v>0.22</v>
      </c>
      <c r="AR586">
        <v>1</v>
      </c>
      <c r="AS586" s="1">
        <v>33970</v>
      </c>
      <c r="AT586" s="1">
        <v>6790</v>
      </c>
      <c r="AU586" s="1">
        <v>27180</v>
      </c>
      <c r="AV586">
        <v>80.010000000000005</v>
      </c>
      <c r="AX586" s="1">
        <v>2851.06</v>
      </c>
      <c r="AY586" t="s">
        <v>560</v>
      </c>
      <c r="AZ586" t="s">
        <v>561</v>
      </c>
      <c r="BA586" t="s">
        <v>194</v>
      </c>
      <c r="BE586" s="3">
        <v>41894</v>
      </c>
      <c r="BF586" s="1">
        <v>371690</v>
      </c>
      <c r="BG586" t="s">
        <v>446</v>
      </c>
      <c r="BH586" s="1">
        <v>118.41</v>
      </c>
      <c r="BI586" s="1">
        <v>450000</v>
      </c>
      <c r="BJ586" s="3">
        <v>43557</v>
      </c>
      <c r="BK586" t="s">
        <v>123</v>
      </c>
      <c r="BL586" t="str">
        <f>"2019.228078"</f>
        <v>2019.228078</v>
      </c>
      <c r="BM586" t="s">
        <v>3929</v>
      </c>
      <c r="BN586" t="s">
        <v>3930</v>
      </c>
      <c r="BO586" t="s">
        <v>3931</v>
      </c>
      <c r="BP586" t="s">
        <v>3932</v>
      </c>
      <c r="BR586" t="s">
        <v>139</v>
      </c>
      <c r="BT586" s="1">
        <v>450000</v>
      </c>
      <c r="BU586" s="3">
        <v>43557</v>
      </c>
      <c r="BV586" t="s">
        <v>123</v>
      </c>
      <c r="BW586" t="str">
        <f>"2019.228078"</f>
        <v>2019.228078</v>
      </c>
      <c r="BX586" t="s">
        <v>3929</v>
      </c>
      <c r="BY586" t="s">
        <v>3930</v>
      </c>
      <c r="BZ586" t="s">
        <v>3931</v>
      </c>
      <c r="CA586" t="s">
        <v>3932</v>
      </c>
      <c r="CC586" t="s">
        <v>139</v>
      </c>
      <c r="CH586" t="str">
        <f>""</f>
        <v/>
      </c>
      <c r="CS586" t="str">
        <f>""</f>
        <v/>
      </c>
    </row>
    <row r="587" spans="1:97" x14ac:dyDescent="0.25">
      <c r="A587" t="s">
        <v>126</v>
      </c>
      <c r="B587" t="s">
        <v>3933</v>
      </c>
      <c r="C587" t="s">
        <v>1474</v>
      </c>
      <c r="D587" t="s">
        <v>3933</v>
      </c>
      <c r="E587" t="s">
        <v>3934</v>
      </c>
      <c r="F587" t="s">
        <v>108</v>
      </c>
      <c r="H587" t="s">
        <v>3935</v>
      </c>
      <c r="I587" t="s">
        <v>453</v>
      </c>
      <c r="J587" t="s">
        <v>111</v>
      </c>
      <c r="K587" t="str">
        <f>"85383"</f>
        <v>85383</v>
      </c>
      <c r="L587" t="s">
        <v>1383</v>
      </c>
      <c r="M587" t="s">
        <v>3935</v>
      </c>
      <c r="N587" t="s">
        <v>453</v>
      </c>
      <c r="O587" t="s">
        <v>111</v>
      </c>
      <c r="P587" t="str">
        <f>"85383-6315"</f>
        <v>85383-6315</v>
      </c>
      <c r="Q587" t="s">
        <v>113</v>
      </c>
      <c r="R587" t="str">
        <f>"201-20-646"</f>
        <v>201-20-646</v>
      </c>
      <c r="S587" t="s">
        <v>1384</v>
      </c>
      <c r="U587">
        <v>2891</v>
      </c>
      <c r="W587">
        <v>4</v>
      </c>
      <c r="X587">
        <v>2014</v>
      </c>
      <c r="Z587">
        <v>2</v>
      </c>
      <c r="AC587" t="s">
        <v>115</v>
      </c>
      <c r="AD587">
        <v>2</v>
      </c>
      <c r="AE587" t="s">
        <v>115</v>
      </c>
      <c r="AH587" t="s">
        <v>116</v>
      </c>
      <c r="AI587" s="1">
        <v>62362</v>
      </c>
      <c r="AJ587" s="2">
        <v>0.16</v>
      </c>
      <c r="AK587" s="1">
        <v>392911</v>
      </c>
      <c r="AL587" t="s">
        <v>117</v>
      </c>
      <c r="AM587" t="s">
        <v>118</v>
      </c>
      <c r="AN587">
        <v>6000</v>
      </c>
      <c r="AO587">
        <v>0.14000000000000001</v>
      </c>
      <c r="AR587">
        <v>1</v>
      </c>
      <c r="AS587" s="1">
        <v>29410</v>
      </c>
      <c r="AT587" s="1">
        <v>5880</v>
      </c>
      <c r="AU587" s="1">
        <v>23530</v>
      </c>
      <c r="AV587">
        <v>80.010000000000005</v>
      </c>
      <c r="AX587" s="1">
        <v>2438.4</v>
      </c>
      <c r="AY587" t="s">
        <v>1385</v>
      </c>
      <c r="AZ587" t="s">
        <v>1385</v>
      </c>
      <c r="BA587" t="s">
        <v>1386</v>
      </c>
      <c r="BE587" s="3">
        <v>42151</v>
      </c>
      <c r="BF587" s="1">
        <v>319990</v>
      </c>
      <c r="BG587" t="s">
        <v>195</v>
      </c>
      <c r="BH587" s="1">
        <v>110.68</v>
      </c>
      <c r="BI587" s="1">
        <v>330549</v>
      </c>
      <c r="BJ587" s="3">
        <v>42151</v>
      </c>
      <c r="BK587" t="s">
        <v>123</v>
      </c>
      <c r="BL587" t="str">
        <f>"2015.373647"</f>
        <v>2015.373647</v>
      </c>
      <c r="BM587" t="s">
        <v>196</v>
      </c>
      <c r="BO587" t="s">
        <v>3936</v>
      </c>
      <c r="BS587">
        <v>30</v>
      </c>
      <c r="BW587" t="str">
        <f>""</f>
        <v/>
      </c>
      <c r="CH587" t="str">
        <f>""</f>
        <v/>
      </c>
      <c r="CS587" t="str">
        <f>""</f>
        <v/>
      </c>
    </row>
    <row r="588" spans="1:97" x14ac:dyDescent="0.25">
      <c r="A588" t="s">
        <v>3315</v>
      </c>
      <c r="B588" t="s">
        <v>3937</v>
      </c>
      <c r="C588" t="s">
        <v>3938</v>
      </c>
      <c r="D588" t="s">
        <v>3937</v>
      </c>
      <c r="E588" t="s">
        <v>3939</v>
      </c>
      <c r="F588" t="s">
        <v>108</v>
      </c>
      <c r="H588" t="s">
        <v>3940</v>
      </c>
      <c r="I588" t="s">
        <v>453</v>
      </c>
      <c r="J588" t="s">
        <v>111</v>
      </c>
      <c r="K588" t="str">
        <f>"85383"</f>
        <v>85383</v>
      </c>
      <c r="L588" t="s">
        <v>1383</v>
      </c>
      <c r="M588" t="s">
        <v>3940</v>
      </c>
      <c r="N588" t="s">
        <v>453</v>
      </c>
      <c r="O588" t="s">
        <v>111</v>
      </c>
      <c r="P588" t="str">
        <f>"85383-6309"</f>
        <v>85383-6309</v>
      </c>
      <c r="Q588" t="s">
        <v>113</v>
      </c>
      <c r="R588" t="str">
        <f>"201-20-703"</f>
        <v>201-20-703</v>
      </c>
      <c r="S588" t="s">
        <v>1384</v>
      </c>
      <c r="U588">
        <v>2200</v>
      </c>
      <c r="W588">
        <v>4</v>
      </c>
      <c r="X588">
        <v>2014</v>
      </c>
      <c r="Z588">
        <v>1</v>
      </c>
      <c r="AC588" t="s">
        <v>115</v>
      </c>
      <c r="AD588">
        <v>2</v>
      </c>
      <c r="AE588" t="s">
        <v>115</v>
      </c>
      <c r="AH588" t="s">
        <v>116</v>
      </c>
      <c r="AI588" s="1">
        <v>79202</v>
      </c>
      <c r="AJ588" s="2">
        <v>0.22</v>
      </c>
      <c r="AK588" s="1">
        <v>365222</v>
      </c>
      <c r="AL588" t="s">
        <v>117</v>
      </c>
      <c r="AM588" t="s">
        <v>118</v>
      </c>
      <c r="AN588">
        <v>6039</v>
      </c>
      <c r="AO588">
        <v>0.14000000000000001</v>
      </c>
      <c r="AR588">
        <v>1</v>
      </c>
      <c r="AS588" s="1">
        <v>27600</v>
      </c>
      <c r="AT588" s="1">
        <v>5520</v>
      </c>
      <c r="AU588" s="1">
        <v>22080</v>
      </c>
      <c r="AV588">
        <v>80</v>
      </c>
      <c r="AX588" s="1">
        <v>2246.7600000000002</v>
      </c>
      <c r="AY588" t="s">
        <v>1385</v>
      </c>
      <c r="AZ588" t="s">
        <v>1385</v>
      </c>
      <c r="BA588" t="s">
        <v>1386</v>
      </c>
      <c r="BE588" s="3">
        <v>42003</v>
      </c>
      <c r="BF588" s="1">
        <v>280000</v>
      </c>
      <c r="BG588" t="s">
        <v>195</v>
      </c>
      <c r="BH588" s="1">
        <v>127.27</v>
      </c>
      <c r="BI588" s="1">
        <v>286020</v>
      </c>
      <c r="BJ588" s="3">
        <v>42003</v>
      </c>
      <c r="BK588" t="s">
        <v>123</v>
      </c>
      <c r="BL588" t="str">
        <f>"2014.857597"</f>
        <v>2014.857597</v>
      </c>
      <c r="BM588" t="s">
        <v>196</v>
      </c>
      <c r="BO588" t="s">
        <v>3941</v>
      </c>
      <c r="BS588">
        <v>30</v>
      </c>
      <c r="BW588" t="str">
        <f>""</f>
        <v/>
      </c>
      <c r="CH588" t="str">
        <f>""</f>
        <v/>
      </c>
      <c r="CS588" t="str">
        <f>""</f>
        <v/>
      </c>
    </row>
    <row r="589" spans="1:97" x14ac:dyDescent="0.25">
      <c r="A589" t="s">
        <v>3942</v>
      </c>
      <c r="B589" t="s">
        <v>3943</v>
      </c>
      <c r="C589" t="s">
        <v>1366</v>
      </c>
      <c r="D589" t="s">
        <v>3943</v>
      </c>
      <c r="E589" t="s">
        <v>3944</v>
      </c>
      <c r="F589" t="s">
        <v>108</v>
      </c>
      <c r="H589" t="s">
        <v>3945</v>
      </c>
      <c r="I589" t="s">
        <v>390</v>
      </c>
      <c r="J589" t="s">
        <v>111</v>
      </c>
      <c r="K589" t="str">
        <f>"85085"</f>
        <v>85085</v>
      </c>
      <c r="L589" t="s">
        <v>145</v>
      </c>
      <c r="M589" t="s">
        <v>3945</v>
      </c>
      <c r="N589" t="s">
        <v>390</v>
      </c>
      <c r="O589" t="s">
        <v>111</v>
      </c>
      <c r="P589" t="str">
        <f>"85085-7133"</f>
        <v>85085-7133</v>
      </c>
      <c r="Q589" t="s">
        <v>113</v>
      </c>
      <c r="R589" t="str">
        <f>"204-13-140"</f>
        <v>204-13-140</v>
      </c>
      <c r="S589" t="s">
        <v>2650</v>
      </c>
      <c r="U589">
        <v>3536</v>
      </c>
      <c r="W589">
        <v>5</v>
      </c>
      <c r="X589">
        <v>2014</v>
      </c>
      <c r="Z589">
        <v>2</v>
      </c>
      <c r="AC589" t="s">
        <v>115</v>
      </c>
      <c r="AD589">
        <v>3</v>
      </c>
      <c r="AE589" t="s">
        <v>115</v>
      </c>
      <c r="AH589" t="s">
        <v>116</v>
      </c>
      <c r="AI589" s="1">
        <v>103734</v>
      </c>
      <c r="AJ589" s="2">
        <v>0.21</v>
      </c>
      <c r="AK589" s="1">
        <v>483732</v>
      </c>
      <c r="AL589" t="s">
        <v>117</v>
      </c>
      <c r="AM589" t="s">
        <v>229</v>
      </c>
      <c r="AN589">
        <v>9171</v>
      </c>
      <c r="AO589">
        <v>0.21</v>
      </c>
      <c r="AR589">
        <v>1</v>
      </c>
      <c r="AS589" s="1">
        <v>37410</v>
      </c>
      <c r="AT589" s="1">
        <v>7480</v>
      </c>
      <c r="AU589" s="1">
        <v>29930</v>
      </c>
      <c r="AV589">
        <v>80.010000000000005</v>
      </c>
      <c r="AX589" s="1">
        <v>3463.62</v>
      </c>
      <c r="AY589" t="s">
        <v>2651</v>
      </c>
      <c r="AZ589" t="s">
        <v>2651</v>
      </c>
      <c r="BA589" t="s">
        <v>1462</v>
      </c>
      <c r="BE589" s="3">
        <v>42236</v>
      </c>
      <c r="BF589" s="1">
        <v>372000</v>
      </c>
      <c r="BG589" t="s">
        <v>275</v>
      </c>
      <c r="BH589" s="1">
        <v>105.2</v>
      </c>
      <c r="BI589" s="1">
        <v>379998</v>
      </c>
      <c r="BJ589" s="3">
        <v>42236</v>
      </c>
      <c r="BK589" t="s">
        <v>123</v>
      </c>
      <c r="BL589" t="str">
        <f>"2015.603126"</f>
        <v>2015.603126</v>
      </c>
      <c r="BM589" t="s">
        <v>2368</v>
      </c>
      <c r="BO589" t="s">
        <v>3946</v>
      </c>
      <c r="BS589">
        <v>30</v>
      </c>
      <c r="BW589" t="str">
        <f>""</f>
        <v/>
      </c>
      <c r="CH589" t="str">
        <f>""</f>
        <v/>
      </c>
      <c r="CS589" t="str">
        <f>""</f>
        <v/>
      </c>
    </row>
    <row r="590" spans="1:97" x14ac:dyDescent="0.25">
      <c r="A590" t="s">
        <v>589</v>
      </c>
      <c r="B590" t="s">
        <v>3265</v>
      </c>
      <c r="C590" t="s">
        <v>3947</v>
      </c>
      <c r="D590" t="s">
        <v>3265</v>
      </c>
      <c r="E590" t="s">
        <v>3948</v>
      </c>
      <c r="F590" t="s">
        <v>108</v>
      </c>
      <c r="H590" t="s">
        <v>3949</v>
      </c>
      <c r="I590" t="s">
        <v>390</v>
      </c>
      <c r="J590" t="s">
        <v>111</v>
      </c>
      <c r="K590" t="str">
        <f>"85085"</f>
        <v>85085</v>
      </c>
      <c r="L590" t="s">
        <v>145</v>
      </c>
      <c r="M590" t="s">
        <v>3949</v>
      </c>
      <c r="N590" t="s">
        <v>390</v>
      </c>
      <c r="O590" t="s">
        <v>111</v>
      </c>
      <c r="P590" t="str">
        <f>"85085-7114"</f>
        <v>85085-7114</v>
      </c>
      <c r="Q590" t="s">
        <v>113</v>
      </c>
      <c r="R590" t="str">
        <f>"204-13-184"</f>
        <v>204-13-184</v>
      </c>
      <c r="S590" t="s">
        <v>2650</v>
      </c>
      <c r="U590">
        <v>2276</v>
      </c>
      <c r="W590">
        <v>3</v>
      </c>
      <c r="X590">
        <v>2014</v>
      </c>
      <c r="Z590">
        <v>1</v>
      </c>
      <c r="AC590" t="s">
        <v>115</v>
      </c>
      <c r="AD590">
        <v>3</v>
      </c>
      <c r="AE590" t="s">
        <v>115</v>
      </c>
      <c r="AH590" t="s">
        <v>116</v>
      </c>
      <c r="AI590" s="1">
        <v>49966</v>
      </c>
      <c r="AJ590" s="2">
        <v>0.12</v>
      </c>
      <c r="AK590" s="1">
        <v>399966</v>
      </c>
      <c r="AL590" t="s">
        <v>117</v>
      </c>
      <c r="AM590" t="s">
        <v>229</v>
      </c>
      <c r="AN590">
        <v>7200</v>
      </c>
      <c r="AO590">
        <v>0.16</v>
      </c>
      <c r="AR590">
        <v>1</v>
      </c>
      <c r="AS590" s="1">
        <v>30630</v>
      </c>
      <c r="AT590" s="1">
        <v>6120</v>
      </c>
      <c r="AU590" s="1">
        <v>24510</v>
      </c>
      <c r="AV590">
        <v>80.02</v>
      </c>
      <c r="AX590" s="1">
        <v>2821.98</v>
      </c>
      <c r="AY590" t="s">
        <v>2651</v>
      </c>
      <c r="AZ590" t="s">
        <v>2651</v>
      </c>
      <c r="BA590" t="s">
        <v>1462</v>
      </c>
      <c r="BE590" s="3">
        <v>42151</v>
      </c>
      <c r="BF590" s="1">
        <v>350000</v>
      </c>
      <c r="BG590" t="s">
        <v>275</v>
      </c>
      <c r="BH590" s="1">
        <v>153.78</v>
      </c>
      <c r="BI590" s="1">
        <v>350000</v>
      </c>
      <c r="BJ590" s="3">
        <v>42151</v>
      </c>
      <c r="BK590" t="s">
        <v>123</v>
      </c>
      <c r="BL590" t="str">
        <f>"2015.372316"</f>
        <v>2015.372316</v>
      </c>
      <c r="BM590" t="s">
        <v>651</v>
      </c>
      <c r="BO590" t="s">
        <v>3950</v>
      </c>
      <c r="BS590">
        <v>30</v>
      </c>
      <c r="BW590" t="str">
        <f>""</f>
        <v/>
      </c>
      <c r="CH590" t="str">
        <f>""</f>
        <v/>
      </c>
      <c r="CS590" t="str">
        <f>""</f>
        <v/>
      </c>
    </row>
    <row r="591" spans="1:97" x14ac:dyDescent="0.25">
      <c r="A591" t="s">
        <v>3951</v>
      </c>
      <c r="B591" t="s">
        <v>3952</v>
      </c>
      <c r="C591" t="s">
        <v>3953</v>
      </c>
      <c r="D591" t="s">
        <v>3952</v>
      </c>
      <c r="E591" t="s">
        <v>3954</v>
      </c>
      <c r="F591" t="s">
        <v>108</v>
      </c>
      <c r="H591" t="s">
        <v>3955</v>
      </c>
      <c r="I591" t="s">
        <v>390</v>
      </c>
      <c r="J591" t="s">
        <v>111</v>
      </c>
      <c r="K591" t="str">
        <f>"85085"</f>
        <v>85085</v>
      </c>
      <c r="L591" t="s">
        <v>1398</v>
      </c>
      <c r="M591" t="s">
        <v>3955</v>
      </c>
      <c r="N591" t="s">
        <v>390</v>
      </c>
      <c r="O591" t="s">
        <v>111</v>
      </c>
      <c r="P591" t="str">
        <f>"85085-5444"</f>
        <v>85085-5444</v>
      </c>
      <c r="Q591" t="s">
        <v>113</v>
      </c>
      <c r="R591" t="str">
        <f>"210-20-581"</f>
        <v>210-20-581</v>
      </c>
      <c r="S591" t="s">
        <v>2151</v>
      </c>
      <c r="U591">
        <v>2950</v>
      </c>
      <c r="W591">
        <v>5</v>
      </c>
      <c r="X591">
        <v>2014</v>
      </c>
      <c r="Z591">
        <v>1</v>
      </c>
      <c r="AC591" t="s">
        <v>115</v>
      </c>
      <c r="AD591">
        <v>2</v>
      </c>
      <c r="AE591" t="s">
        <v>115</v>
      </c>
      <c r="AH591" t="s">
        <v>116</v>
      </c>
      <c r="AI591" s="1">
        <v>80771</v>
      </c>
      <c r="AJ591" s="2">
        <v>0.16</v>
      </c>
      <c r="AK591" s="1">
        <v>518663</v>
      </c>
      <c r="AL591" t="s">
        <v>117</v>
      </c>
      <c r="AM591" t="s">
        <v>1302</v>
      </c>
      <c r="AN591">
        <v>10171</v>
      </c>
      <c r="AO591">
        <v>0.23</v>
      </c>
      <c r="AR591">
        <v>1</v>
      </c>
      <c r="AS591" s="1">
        <v>41920</v>
      </c>
      <c r="AT591" s="1">
        <v>8380</v>
      </c>
      <c r="AU591" s="1">
        <v>33540</v>
      </c>
      <c r="AV591">
        <v>80.010000000000005</v>
      </c>
      <c r="AX591" s="1">
        <v>4025.94</v>
      </c>
      <c r="AY591" t="s">
        <v>1461</v>
      </c>
      <c r="AZ591" t="s">
        <v>1461</v>
      </c>
      <c r="BA591" t="s">
        <v>1462</v>
      </c>
      <c r="BB591" s="3">
        <v>42506</v>
      </c>
      <c r="BD591" t="s">
        <v>458</v>
      </c>
      <c r="BE591" s="3">
        <v>41982</v>
      </c>
      <c r="BF591" s="1">
        <v>417000</v>
      </c>
      <c r="BG591" t="s">
        <v>446</v>
      </c>
      <c r="BH591" s="1">
        <v>141.36000000000001</v>
      </c>
      <c r="BI591" s="1">
        <v>437892</v>
      </c>
      <c r="BJ591" s="3">
        <v>42506</v>
      </c>
      <c r="BK591" t="s">
        <v>123</v>
      </c>
      <c r="BL591" t="str">
        <f>"2016.331735"</f>
        <v>2016.331735</v>
      </c>
      <c r="BM591" t="s">
        <v>2117</v>
      </c>
      <c r="BO591" t="s">
        <v>3956</v>
      </c>
      <c r="BQ591" t="str">
        <f>"1.7500%"</f>
        <v>1.7500%</v>
      </c>
      <c r="BR591" t="s">
        <v>1480</v>
      </c>
      <c r="BS591">
        <v>30</v>
      </c>
      <c r="BW591" t="str">
        <f>""</f>
        <v/>
      </c>
      <c r="CH591" t="str">
        <f>""</f>
        <v/>
      </c>
      <c r="CS591" t="str">
        <f>""</f>
        <v/>
      </c>
    </row>
    <row r="592" spans="1:97" x14ac:dyDescent="0.25">
      <c r="A592" t="s">
        <v>996</v>
      </c>
      <c r="B592" t="s">
        <v>3957</v>
      </c>
      <c r="C592" t="s">
        <v>3958</v>
      </c>
      <c r="D592" t="s">
        <v>3957</v>
      </c>
      <c r="E592" t="s">
        <v>3959</v>
      </c>
      <c r="F592" t="s">
        <v>108</v>
      </c>
      <c r="H592" t="s">
        <v>3960</v>
      </c>
      <c r="I592" t="s">
        <v>390</v>
      </c>
      <c r="J592" t="s">
        <v>111</v>
      </c>
      <c r="K592" t="str">
        <f>"85085"</f>
        <v>85085</v>
      </c>
      <c r="L592" t="s">
        <v>1398</v>
      </c>
      <c r="M592" t="s">
        <v>3960</v>
      </c>
      <c r="N592" t="s">
        <v>390</v>
      </c>
      <c r="O592" t="s">
        <v>111</v>
      </c>
      <c r="P592" t="str">
        <f>"85085-5439"</f>
        <v>85085-5439</v>
      </c>
      <c r="Q592" t="s">
        <v>113</v>
      </c>
      <c r="R592" t="str">
        <f>"210-20-606"</f>
        <v>210-20-606</v>
      </c>
      <c r="S592" t="s">
        <v>2151</v>
      </c>
      <c r="U592">
        <v>3424</v>
      </c>
      <c r="W592">
        <v>5</v>
      </c>
      <c r="X592">
        <v>2014</v>
      </c>
      <c r="Z592">
        <v>1</v>
      </c>
      <c r="AA592" t="s">
        <v>26</v>
      </c>
      <c r="AC592" t="s">
        <v>115</v>
      </c>
      <c r="AD592">
        <v>2</v>
      </c>
      <c r="AE592" t="s">
        <v>115</v>
      </c>
      <c r="AH592" t="s">
        <v>116</v>
      </c>
      <c r="AI592" s="1">
        <v>203360</v>
      </c>
      <c r="AJ592" s="2">
        <v>0.34</v>
      </c>
      <c r="AK592" s="1">
        <v>593688</v>
      </c>
      <c r="AL592" t="s">
        <v>117</v>
      </c>
      <c r="AM592" t="s">
        <v>1302</v>
      </c>
      <c r="AN592">
        <v>8779</v>
      </c>
      <c r="AO592">
        <v>0.2</v>
      </c>
      <c r="AR592">
        <v>1</v>
      </c>
      <c r="AS592" s="1">
        <v>48750</v>
      </c>
      <c r="AT592" s="1">
        <v>9750</v>
      </c>
      <c r="AU592" s="1">
        <v>39000</v>
      </c>
      <c r="AV592">
        <v>80</v>
      </c>
      <c r="AX592" s="1">
        <v>4554.4399999999996</v>
      </c>
      <c r="AY592" t="s">
        <v>1461</v>
      </c>
      <c r="AZ592" t="s">
        <v>1461</v>
      </c>
      <c r="BA592" t="s">
        <v>1462</v>
      </c>
      <c r="BE592" s="3">
        <v>41955</v>
      </c>
      <c r="BF592" s="1">
        <v>450328</v>
      </c>
      <c r="BG592" t="s">
        <v>446</v>
      </c>
      <c r="BH592" s="1">
        <v>131.52000000000001</v>
      </c>
      <c r="BI592" s="1">
        <v>390328</v>
      </c>
      <c r="BJ592" s="3">
        <v>41955</v>
      </c>
      <c r="BK592" t="s">
        <v>123</v>
      </c>
      <c r="BL592" t="str">
        <f>"2014.746543"</f>
        <v>2014.746543</v>
      </c>
      <c r="BM592" t="s">
        <v>573</v>
      </c>
      <c r="BN592" t="s">
        <v>3815</v>
      </c>
      <c r="BO592" t="s">
        <v>3961</v>
      </c>
      <c r="BS592">
        <v>30</v>
      </c>
      <c r="BW592" t="str">
        <f>""</f>
        <v/>
      </c>
      <c r="CH592" t="str">
        <f>""</f>
        <v/>
      </c>
      <c r="CS592" t="str">
        <f>""</f>
        <v/>
      </c>
    </row>
    <row r="593" spans="1:97" x14ac:dyDescent="0.25">
      <c r="A593" t="s">
        <v>489</v>
      </c>
      <c r="B593" t="s">
        <v>3754</v>
      </c>
      <c r="C593" t="s">
        <v>2704</v>
      </c>
      <c r="D593" t="s">
        <v>3754</v>
      </c>
      <c r="E593" t="s">
        <v>3962</v>
      </c>
      <c r="F593" t="s">
        <v>108</v>
      </c>
      <c r="H593" t="s">
        <v>3963</v>
      </c>
      <c r="I593" t="s">
        <v>144</v>
      </c>
      <c r="J593" t="s">
        <v>111</v>
      </c>
      <c r="K593" t="str">
        <f>"85326"</f>
        <v>85326</v>
      </c>
      <c r="L593" t="s">
        <v>3151</v>
      </c>
      <c r="M593" t="s">
        <v>3963</v>
      </c>
      <c r="N593" t="s">
        <v>144</v>
      </c>
      <c r="O593" t="s">
        <v>111</v>
      </c>
      <c r="P593" t="str">
        <f>"85326-9030"</f>
        <v>85326-9030</v>
      </c>
      <c r="Q593" t="s">
        <v>113</v>
      </c>
      <c r="R593" t="str">
        <f>"502-46-496"</f>
        <v>502-46-496</v>
      </c>
      <c r="U593">
        <v>3149</v>
      </c>
      <c r="W593">
        <v>4</v>
      </c>
      <c r="X593">
        <v>2014</v>
      </c>
      <c r="Z593">
        <v>1</v>
      </c>
      <c r="AC593" t="s">
        <v>115</v>
      </c>
      <c r="AD593">
        <v>4</v>
      </c>
      <c r="AE593" t="s">
        <v>115</v>
      </c>
      <c r="AH593" t="s">
        <v>116</v>
      </c>
      <c r="AI593" s="1">
        <v>58368</v>
      </c>
      <c r="AJ593" s="2">
        <v>0.11</v>
      </c>
      <c r="AK593" s="1">
        <v>515368</v>
      </c>
      <c r="AL593" t="s">
        <v>117</v>
      </c>
      <c r="AM593" t="s">
        <v>376</v>
      </c>
      <c r="AN593">
        <v>44402</v>
      </c>
      <c r="AO593">
        <v>1.02</v>
      </c>
      <c r="AR593">
        <v>1</v>
      </c>
      <c r="AS593" s="1">
        <v>37100</v>
      </c>
      <c r="AT593" s="1">
        <v>7420</v>
      </c>
      <c r="AU593" s="1">
        <v>29680</v>
      </c>
      <c r="AV593">
        <v>80</v>
      </c>
      <c r="AX593" s="1">
        <v>3484.66</v>
      </c>
      <c r="AY593" t="s">
        <v>2767</v>
      </c>
      <c r="AZ593" t="s">
        <v>2767</v>
      </c>
      <c r="BA593" t="s">
        <v>1247</v>
      </c>
      <c r="BE593" s="3">
        <v>42097</v>
      </c>
      <c r="BF593" s="1">
        <v>414000</v>
      </c>
      <c r="BG593" t="s">
        <v>3964</v>
      </c>
      <c r="BH593" s="1">
        <v>131.47</v>
      </c>
      <c r="BI593" s="1">
        <v>457000</v>
      </c>
      <c r="BJ593" s="3">
        <v>43616</v>
      </c>
      <c r="BK593" t="s">
        <v>123</v>
      </c>
      <c r="BL593" t="str">
        <f>"2019.400652"</f>
        <v>2019.400652</v>
      </c>
      <c r="BM593" t="s">
        <v>2383</v>
      </c>
      <c r="BN593" t="s">
        <v>3965</v>
      </c>
      <c r="BO593" t="s">
        <v>3966</v>
      </c>
      <c r="BP593" t="s">
        <v>3967</v>
      </c>
      <c r="BR593" t="s">
        <v>139</v>
      </c>
      <c r="BW593" t="str">
        <f>""</f>
        <v/>
      </c>
      <c r="CH593" t="str">
        <f>""</f>
        <v/>
      </c>
      <c r="CS593" t="str">
        <f>""</f>
        <v/>
      </c>
    </row>
    <row r="594" spans="1:97" x14ac:dyDescent="0.25">
      <c r="A594" t="s">
        <v>370</v>
      </c>
      <c r="B594" t="s">
        <v>3968</v>
      </c>
      <c r="C594" t="s">
        <v>1252</v>
      </c>
      <c r="D594" t="s">
        <v>3968</v>
      </c>
      <c r="E594" t="s">
        <v>3969</v>
      </c>
      <c r="F594" t="s">
        <v>108</v>
      </c>
      <c r="H594" t="s">
        <v>3970</v>
      </c>
      <c r="I594" t="s">
        <v>225</v>
      </c>
      <c r="J594" t="s">
        <v>111</v>
      </c>
      <c r="K594" t="str">
        <f>"85207"</f>
        <v>85207</v>
      </c>
      <c r="L594" t="s">
        <v>3300</v>
      </c>
      <c r="M594" t="s">
        <v>3970</v>
      </c>
      <c r="N594" t="s">
        <v>225</v>
      </c>
      <c r="O594" t="s">
        <v>111</v>
      </c>
      <c r="P594" t="str">
        <f>"85207-2490"</f>
        <v>85207-2490</v>
      </c>
      <c r="Q594" t="s">
        <v>113</v>
      </c>
      <c r="R594" t="str">
        <f>"219-49-605"</f>
        <v>219-49-605</v>
      </c>
      <c r="S594" t="s">
        <v>3971</v>
      </c>
      <c r="T594" t="s">
        <v>3972</v>
      </c>
      <c r="U594">
        <v>4952</v>
      </c>
      <c r="W594">
        <v>6</v>
      </c>
      <c r="X594">
        <v>2014</v>
      </c>
      <c r="Z594">
        <v>1</v>
      </c>
      <c r="AC594" t="s">
        <v>115</v>
      </c>
      <c r="AD594">
        <v>3</v>
      </c>
      <c r="AE594" t="s">
        <v>115</v>
      </c>
      <c r="AH594" t="s">
        <v>116</v>
      </c>
      <c r="AI594" s="1">
        <v>299672</v>
      </c>
      <c r="AJ594" s="2">
        <v>0.32</v>
      </c>
      <c r="AK594" s="1">
        <v>944626</v>
      </c>
      <c r="AL594" t="s">
        <v>117</v>
      </c>
      <c r="AM594" t="s">
        <v>3973</v>
      </c>
      <c r="AN594">
        <v>17108</v>
      </c>
      <c r="AO594">
        <v>0.39</v>
      </c>
      <c r="AR594">
        <v>1</v>
      </c>
      <c r="AS594" s="1">
        <v>79560</v>
      </c>
      <c r="AT594" s="1">
        <v>15910</v>
      </c>
      <c r="AU594" s="1">
        <v>63650</v>
      </c>
      <c r="AV594">
        <v>80</v>
      </c>
      <c r="AX594" s="1">
        <v>7620.88</v>
      </c>
      <c r="AY594" t="s">
        <v>3118</v>
      </c>
      <c r="AZ594" t="s">
        <v>231</v>
      </c>
      <c r="BA594" t="s">
        <v>3119</v>
      </c>
      <c r="BB594" s="3">
        <v>42368</v>
      </c>
      <c r="BD594" t="s">
        <v>240</v>
      </c>
      <c r="BE594" s="3">
        <v>42090</v>
      </c>
      <c r="BF594" s="1">
        <v>706240</v>
      </c>
      <c r="BG594" t="s">
        <v>3120</v>
      </c>
      <c r="BH594" s="1">
        <v>142.62</v>
      </c>
      <c r="BI594" s="1">
        <v>644954</v>
      </c>
      <c r="BJ594" s="3">
        <v>42531</v>
      </c>
      <c r="BK594" t="s">
        <v>123</v>
      </c>
      <c r="BL594" t="str">
        <f>"2016.401994"</f>
        <v>2016.401994</v>
      </c>
      <c r="BM594" t="s">
        <v>361</v>
      </c>
      <c r="BO594" t="s">
        <v>3974</v>
      </c>
      <c r="BS594">
        <v>30</v>
      </c>
      <c r="BW594" t="str">
        <f>""</f>
        <v/>
      </c>
      <c r="CH594" t="str">
        <f>""</f>
        <v/>
      </c>
      <c r="CS594" t="str">
        <f>""</f>
        <v/>
      </c>
    </row>
    <row r="595" spans="1:97" x14ac:dyDescent="0.25">
      <c r="A595" t="s">
        <v>701</v>
      </c>
      <c r="B595" t="s">
        <v>2894</v>
      </c>
      <c r="E595" t="s">
        <v>3975</v>
      </c>
      <c r="F595" t="s">
        <v>108</v>
      </c>
      <c r="H595" t="s">
        <v>3976</v>
      </c>
      <c r="I595" t="s">
        <v>110</v>
      </c>
      <c r="J595" t="s">
        <v>111</v>
      </c>
      <c r="K595" t="str">
        <f>"85225"</f>
        <v>85225</v>
      </c>
      <c r="L595" t="s">
        <v>1300</v>
      </c>
      <c r="M595" t="s">
        <v>3976</v>
      </c>
      <c r="N595" t="s">
        <v>110</v>
      </c>
      <c r="O595" t="s">
        <v>111</v>
      </c>
      <c r="P595" t="str">
        <f>"85225-1491"</f>
        <v>85225-1491</v>
      </c>
      <c r="Q595" t="s">
        <v>113</v>
      </c>
      <c r="R595" t="str">
        <f>"302-95-478"</f>
        <v>302-95-478</v>
      </c>
      <c r="S595" t="s">
        <v>2954</v>
      </c>
      <c r="T595" t="s">
        <v>2955</v>
      </c>
      <c r="U595">
        <v>2412</v>
      </c>
      <c r="W595">
        <v>4</v>
      </c>
      <c r="X595">
        <v>2015</v>
      </c>
      <c r="Z595">
        <v>2</v>
      </c>
      <c r="AC595" t="s">
        <v>115</v>
      </c>
      <c r="AD595">
        <v>2</v>
      </c>
      <c r="AE595" t="s">
        <v>115</v>
      </c>
      <c r="AH595" t="s">
        <v>116</v>
      </c>
      <c r="AI595" s="1">
        <v>15017</v>
      </c>
      <c r="AJ595" s="2">
        <v>0.04</v>
      </c>
      <c r="AK595" s="1">
        <v>377144</v>
      </c>
      <c r="AL595" t="s">
        <v>117</v>
      </c>
      <c r="AM595" t="s">
        <v>118</v>
      </c>
      <c r="AN595">
        <v>5000</v>
      </c>
      <c r="AO595">
        <v>0.12</v>
      </c>
      <c r="AR595">
        <v>1</v>
      </c>
      <c r="AS595" s="1">
        <v>28020</v>
      </c>
      <c r="AT595" s="1">
        <v>5600</v>
      </c>
      <c r="AU595" s="1">
        <v>22420</v>
      </c>
      <c r="AV595">
        <v>80.010000000000005</v>
      </c>
      <c r="AX595" s="1">
        <v>1879.94</v>
      </c>
      <c r="AY595" t="s">
        <v>2956</v>
      </c>
      <c r="AZ595" t="s">
        <v>2906</v>
      </c>
      <c r="BA595" t="s">
        <v>2957</v>
      </c>
      <c r="BE595" s="3">
        <v>42200</v>
      </c>
      <c r="BF595" s="1">
        <v>353640</v>
      </c>
      <c r="BG595" t="s">
        <v>209</v>
      </c>
      <c r="BH595" s="1">
        <v>146.62</v>
      </c>
      <c r="BI595" s="1">
        <v>362127</v>
      </c>
      <c r="BJ595" s="3">
        <v>42200</v>
      </c>
      <c r="BK595" t="s">
        <v>123</v>
      </c>
      <c r="BL595" t="str">
        <f>"2015.509793"</f>
        <v>2015.509793</v>
      </c>
      <c r="BM595" t="s">
        <v>175</v>
      </c>
      <c r="BO595" t="s">
        <v>3977</v>
      </c>
      <c r="BS595">
        <v>30</v>
      </c>
      <c r="BW595" t="str">
        <f>""</f>
        <v/>
      </c>
      <c r="CH595" t="str">
        <f>""</f>
        <v/>
      </c>
      <c r="CS595" t="str">
        <f>""</f>
        <v/>
      </c>
    </row>
    <row r="596" spans="1:97" x14ac:dyDescent="0.25">
      <c r="A596" t="s">
        <v>1109</v>
      </c>
      <c r="B596" t="s">
        <v>3978</v>
      </c>
      <c r="C596" t="s">
        <v>3979</v>
      </c>
      <c r="D596" t="s">
        <v>3978</v>
      </c>
      <c r="E596" t="s">
        <v>3980</v>
      </c>
      <c r="F596" t="s">
        <v>108</v>
      </c>
      <c r="H596" t="s">
        <v>3981</v>
      </c>
      <c r="I596" t="s">
        <v>225</v>
      </c>
      <c r="J596" t="s">
        <v>111</v>
      </c>
      <c r="K596" t="str">
        <f>"85208"</f>
        <v>85208</v>
      </c>
      <c r="L596" t="s">
        <v>3982</v>
      </c>
      <c r="M596" t="s">
        <v>3981</v>
      </c>
      <c r="N596" t="s">
        <v>225</v>
      </c>
      <c r="O596" t="s">
        <v>111</v>
      </c>
      <c r="P596" t="str">
        <f>"85208-2668"</f>
        <v>85208-2668</v>
      </c>
      <c r="Q596" t="s">
        <v>113</v>
      </c>
      <c r="R596" t="str">
        <f>"220-73-844"</f>
        <v>220-73-844</v>
      </c>
      <c r="S596" t="s">
        <v>3983</v>
      </c>
      <c r="T596" t="s">
        <v>3984</v>
      </c>
      <c r="U596">
        <v>1993</v>
      </c>
      <c r="W596">
        <v>3</v>
      </c>
      <c r="X596">
        <v>2016</v>
      </c>
      <c r="Z596">
        <v>1</v>
      </c>
      <c r="AC596" t="s">
        <v>115</v>
      </c>
      <c r="AD596">
        <v>2</v>
      </c>
      <c r="AE596" t="s">
        <v>115</v>
      </c>
      <c r="AH596" t="s">
        <v>116</v>
      </c>
      <c r="AI596" s="1">
        <v>23548</v>
      </c>
      <c r="AJ596" s="2">
        <v>0.08</v>
      </c>
      <c r="AK596" s="1">
        <v>297610</v>
      </c>
      <c r="AL596" t="s">
        <v>117</v>
      </c>
      <c r="AM596" t="s">
        <v>191</v>
      </c>
      <c r="AN596">
        <v>5175</v>
      </c>
      <c r="AO596">
        <v>0.12</v>
      </c>
      <c r="AR596">
        <v>1</v>
      </c>
      <c r="AS596" s="1">
        <v>21680</v>
      </c>
      <c r="AT596" s="1">
        <v>4330</v>
      </c>
      <c r="AU596" s="1">
        <v>17350</v>
      </c>
      <c r="AV596">
        <v>80.03</v>
      </c>
      <c r="AX596" s="1">
        <v>1830.14</v>
      </c>
      <c r="AY596" t="s">
        <v>3985</v>
      </c>
      <c r="AZ596" t="s">
        <v>3761</v>
      </c>
      <c r="BA596" t="s">
        <v>232</v>
      </c>
      <c r="BE596" s="3">
        <v>42516</v>
      </c>
      <c r="BF596" s="1">
        <v>274062</v>
      </c>
      <c r="BG596" t="s">
        <v>233</v>
      </c>
      <c r="BH596" s="1">
        <v>137.51</v>
      </c>
      <c r="BI596" s="1">
        <v>274062</v>
      </c>
      <c r="BJ596" s="3">
        <v>42516</v>
      </c>
      <c r="BK596" t="s">
        <v>123</v>
      </c>
      <c r="BL596" t="str">
        <f>"2016.364762"</f>
        <v>2016.364762</v>
      </c>
      <c r="BM596" t="s">
        <v>2368</v>
      </c>
      <c r="BO596" t="s">
        <v>3986</v>
      </c>
      <c r="BS596">
        <v>30</v>
      </c>
      <c r="BW596" t="str">
        <f>""</f>
        <v/>
      </c>
      <c r="CH596" t="str">
        <f>""</f>
        <v/>
      </c>
      <c r="CS596" t="str">
        <f>""</f>
        <v/>
      </c>
    </row>
    <row r="597" spans="1:97" x14ac:dyDescent="0.25">
      <c r="A597" t="s">
        <v>325</v>
      </c>
      <c r="B597" t="s">
        <v>3258</v>
      </c>
      <c r="E597" t="s">
        <v>3987</v>
      </c>
      <c r="F597" t="s">
        <v>108</v>
      </c>
      <c r="H597" t="s">
        <v>3988</v>
      </c>
      <c r="I597" t="s">
        <v>225</v>
      </c>
      <c r="J597" t="s">
        <v>111</v>
      </c>
      <c r="K597" t="str">
        <f>"85208"</f>
        <v>85208</v>
      </c>
      <c r="L597" t="s">
        <v>3982</v>
      </c>
      <c r="M597" t="s">
        <v>3988</v>
      </c>
      <c r="N597" t="s">
        <v>225</v>
      </c>
      <c r="O597" t="s">
        <v>111</v>
      </c>
      <c r="P597" t="str">
        <f>"85208-2671"</f>
        <v>85208-2671</v>
      </c>
      <c r="Q597" t="s">
        <v>113</v>
      </c>
      <c r="R597" t="str">
        <f>"220-73-819"</f>
        <v>220-73-819</v>
      </c>
      <c r="S597" t="s">
        <v>3983</v>
      </c>
      <c r="T597" t="s">
        <v>3984</v>
      </c>
      <c r="U597">
        <v>1671</v>
      </c>
      <c r="W597">
        <v>3</v>
      </c>
      <c r="X597">
        <v>2016</v>
      </c>
      <c r="Z597">
        <v>1</v>
      </c>
      <c r="AC597" t="s">
        <v>115</v>
      </c>
      <c r="AD597">
        <v>2</v>
      </c>
      <c r="AE597" t="s">
        <v>115</v>
      </c>
      <c r="AH597" t="s">
        <v>116</v>
      </c>
      <c r="AI597" s="1">
        <v>38968</v>
      </c>
      <c r="AJ597" s="2">
        <v>0.13</v>
      </c>
      <c r="AK597" s="1">
        <v>288675</v>
      </c>
      <c r="AL597" t="s">
        <v>117</v>
      </c>
      <c r="AM597" t="s">
        <v>191</v>
      </c>
      <c r="AN597">
        <v>6512</v>
      </c>
      <c r="AO597">
        <v>0.15</v>
      </c>
      <c r="AR597">
        <v>1</v>
      </c>
      <c r="AS597" s="1">
        <v>20630</v>
      </c>
      <c r="AT597" s="1">
        <v>4120</v>
      </c>
      <c r="AU597" s="1">
        <v>16510</v>
      </c>
      <c r="AV597">
        <v>80.03</v>
      </c>
      <c r="AX597" s="1">
        <v>1762.66</v>
      </c>
      <c r="AY597" t="s">
        <v>3985</v>
      </c>
      <c r="AZ597" t="s">
        <v>3761</v>
      </c>
      <c r="BA597" t="s">
        <v>232</v>
      </c>
      <c r="BE597" s="3">
        <v>42459</v>
      </c>
      <c r="BF597" s="1">
        <v>244452</v>
      </c>
      <c r="BG597" t="s">
        <v>233</v>
      </c>
      <c r="BH597" s="1">
        <v>146.29</v>
      </c>
      <c r="BI597" s="1">
        <v>249707</v>
      </c>
      <c r="BJ597" s="3">
        <v>42459</v>
      </c>
      <c r="BK597" t="s">
        <v>123</v>
      </c>
      <c r="BL597" t="str">
        <f>"2016.206504"</f>
        <v>2016.206504</v>
      </c>
      <c r="BM597" t="s">
        <v>234</v>
      </c>
      <c r="BO597" t="s">
        <v>3989</v>
      </c>
      <c r="BS597">
        <v>30</v>
      </c>
      <c r="BW597" t="str">
        <f>""</f>
        <v/>
      </c>
      <c r="CH597" t="str">
        <f>""</f>
        <v/>
      </c>
      <c r="CS597" t="str">
        <f>""</f>
        <v/>
      </c>
    </row>
    <row r="598" spans="1:97" x14ac:dyDescent="0.25">
      <c r="A598" t="s">
        <v>3990</v>
      </c>
      <c r="B598" t="s">
        <v>3991</v>
      </c>
      <c r="C598" t="s">
        <v>2374</v>
      </c>
      <c r="D598" t="s">
        <v>3991</v>
      </c>
      <c r="E598" t="s">
        <v>3992</v>
      </c>
      <c r="F598" t="s">
        <v>108</v>
      </c>
      <c r="H598" t="s">
        <v>3993</v>
      </c>
      <c r="I598" t="s">
        <v>144</v>
      </c>
      <c r="J598" t="s">
        <v>111</v>
      </c>
      <c r="K598" t="str">
        <f>"85396"</f>
        <v>85396</v>
      </c>
      <c r="L598" t="s">
        <v>541</v>
      </c>
      <c r="M598" t="s">
        <v>3993</v>
      </c>
      <c r="N598" t="s">
        <v>144</v>
      </c>
      <c r="O598" t="s">
        <v>111</v>
      </c>
      <c r="P598" t="str">
        <f>"85396-7935"</f>
        <v>85396-7935</v>
      </c>
      <c r="Q598" t="s">
        <v>113</v>
      </c>
      <c r="R598" t="str">
        <f>"502-82-322"</f>
        <v>502-82-322</v>
      </c>
      <c r="S598" t="s">
        <v>1701</v>
      </c>
      <c r="U598">
        <v>1801</v>
      </c>
      <c r="W598">
        <v>3</v>
      </c>
      <c r="X598">
        <v>2015</v>
      </c>
      <c r="Z598">
        <v>1</v>
      </c>
      <c r="AC598" t="s">
        <v>115</v>
      </c>
      <c r="AD598">
        <v>2</v>
      </c>
      <c r="AE598" t="s">
        <v>115</v>
      </c>
      <c r="AH598" t="s">
        <v>116</v>
      </c>
      <c r="AI598" s="1">
        <v>35686</v>
      </c>
      <c r="AJ598" s="2">
        <v>0.12</v>
      </c>
      <c r="AK598" s="1">
        <v>304676</v>
      </c>
      <c r="AL598" t="s">
        <v>117</v>
      </c>
      <c r="AM598" t="s">
        <v>118</v>
      </c>
      <c r="AN598">
        <v>5850</v>
      </c>
      <c r="AO598">
        <v>0.13</v>
      </c>
      <c r="AR598">
        <v>1</v>
      </c>
      <c r="AS598" s="1">
        <v>20650</v>
      </c>
      <c r="AT598" s="1">
        <v>4130</v>
      </c>
      <c r="AU598" s="1">
        <v>16520</v>
      </c>
      <c r="AV598">
        <v>80</v>
      </c>
      <c r="AX598" s="1">
        <v>2576.94</v>
      </c>
      <c r="AY598" t="s">
        <v>543</v>
      </c>
      <c r="AZ598" t="s">
        <v>504</v>
      </c>
      <c r="BA598" t="s">
        <v>218</v>
      </c>
      <c r="BE598" s="3">
        <v>42331</v>
      </c>
      <c r="BF598" s="1">
        <v>268990</v>
      </c>
      <c r="BG598" t="s">
        <v>195</v>
      </c>
      <c r="BH598" s="1">
        <v>149.36000000000001</v>
      </c>
      <c r="BI598" s="1">
        <v>268990</v>
      </c>
      <c r="BJ598" s="3">
        <v>42331</v>
      </c>
      <c r="BK598" t="s">
        <v>123</v>
      </c>
      <c r="BL598" t="str">
        <f>"2015.835614"</f>
        <v>2015.835614</v>
      </c>
      <c r="BM598" t="s">
        <v>196</v>
      </c>
      <c r="BO598" t="s">
        <v>3994</v>
      </c>
      <c r="BS598">
        <v>30</v>
      </c>
      <c r="BW598" t="str">
        <f>""</f>
        <v/>
      </c>
      <c r="CH598" t="str">
        <f>""</f>
        <v/>
      </c>
      <c r="CS598" t="str">
        <f>""</f>
        <v/>
      </c>
    </row>
    <row r="599" spans="1:97" x14ac:dyDescent="0.25">
      <c r="A599" t="s">
        <v>1444</v>
      </c>
      <c r="B599" t="s">
        <v>3995</v>
      </c>
      <c r="C599" t="s">
        <v>3996</v>
      </c>
      <c r="D599" t="s">
        <v>3995</v>
      </c>
      <c r="E599" t="s">
        <v>3997</v>
      </c>
      <c r="F599" t="s">
        <v>108</v>
      </c>
      <c r="H599" t="s">
        <v>3998</v>
      </c>
      <c r="I599" t="s">
        <v>144</v>
      </c>
      <c r="J599" t="s">
        <v>111</v>
      </c>
      <c r="K599" t="str">
        <f>"85396"</f>
        <v>85396</v>
      </c>
      <c r="L599" t="s">
        <v>2820</v>
      </c>
      <c r="M599" t="s">
        <v>3998</v>
      </c>
      <c r="N599" t="s">
        <v>144</v>
      </c>
      <c r="O599" t="s">
        <v>111</v>
      </c>
      <c r="P599" t="str">
        <f>"85396-1802"</f>
        <v>85396-1802</v>
      </c>
      <c r="Q599" t="s">
        <v>113</v>
      </c>
      <c r="R599" t="str">
        <f>"502-86-027"</f>
        <v>502-86-027</v>
      </c>
      <c r="S599" t="s">
        <v>2821</v>
      </c>
      <c r="U599">
        <v>3222</v>
      </c>
      <c r="W599">
        <v>5</v>
      </c>
      <c r="X599">
        <v>2016</v>
      </c>
      <c r="Z599">
        <v>2</v>
      </c>
      <c r="AA599" t="s">
        <v>26</v>
      </c>
      <c r="AC599" t="s">
        <v>115</v>
      </c>
      <c r="AD599">
        <v>3</v>
      </c>
      <c r="AE599" t="s">
        <v>115</v>
      </c>
      <c r="AH599" t="s">
        <v>116</v>
      </c>
      <c r="AI599" s="1">
        <v>5226</v>
      </c>
      <c r="AJ599" s="2">
        <v>0.01</v>
      </c>
      <c r="AK599" s="1">
        <v>412167</v>
      </c>
      <c r="AL599" t="s">
        <v>117</v>
      </c>
      <c r="AM599" t="s">
        <v>118</v>
      </c>
      <c r="AN599">
        <v>8149</v>
      </c>
      <c r="AO599">
        <v>0.19</v>
      </c>
      <c r="AR599">
        <v>1</v>
      </c>
      <c r="AS599" s="1">
        <v>30320</v>
      </c>
      <c r="AT599" s="1">
        <v>6060</v>
      </c>
      <c r="AU599" s="1">
        <v>24260</v>
      </c>
      <c r="AV599">
        <v>80.010000000000005</v>
      </c>
      <c r="AX599" s="1">
        <v>3584.9</v>
      </c>
      <c r="AY599" t="s">
        <v>217</v>
      </c>
      <c r="AZ599" t="s">
        <v>217</v>
      </c>
      <c r="BA599" t="s">
        <v>218</v>
      </c>
      <c r="BE599" s="3">
        <v>42544</v>
      </c>
      <c r="BF599" s="1">
        <v>350215</v>
      </c>
      <c r="BG599" t="s">
        <v>209</v>
      </c>
      <c r="BH599" s="1">
        <v>108.69</v>
      </c>
      <c r="BI599" s="1">
        <v>357744</v>
      </c>
      <c r="BJ599" s="3">
        <v>42544</v>
      </c>
      <c r="BK599" t="s">
        <v>123</v>
      </c>
      <c r="BL599" t="str">
        <f>"2016.439953"</f>
        <v>2016.439953</v>
      </c>
      <c r="BM599" t="s">
        <v>175</v>
      </c>
      <c r="BO599" t="s">
        <v>3999</v>
      </c>
      <c r="BS599">
        <v>30</v>
      </c>
      <c r="BT599" s="1">
        <v>49197</v>
      </c>
      <c r="BU599" s="3">
        <v>43083</v>
      </c>
      <c r="BW599" t="str">
        <f>"2017.924216"</f>
        <v>2017.924216</v>
      </c>
      <c r="BX599" t="s">
        <v>198</v>
      </c>
      <c r="BZ599" t="s">
        <v>3999</v>
      </c>
      <c r="CD599">
        <v>16</v>
      </c>
      <c r="CH599" t="str">
        <f>""</f>
        <v/>
      </c>
      <c r="CS599" t="str">
        <f>""</f>
        <v/>
      </c>
    </row>
    <row r="600" spans="1:97" x14ac:dyDescent="0.25">
      <c r="A600" t="s">
        <v>177</v>
      </c>
      <c r="B600" t="s">
        <v>4000</v>
      </c>
      <c r="E600" t="s">
        <v>4001</v>
      </c>
      <c r="F600" t="s">
        <v>108</v>
      </c>
      <c r="H600" t="s">
        <v>4002</v>
      </c>
      <c r="I600" t="s">
        <v>453</v>
      </c>
      <c r="J600" t="s">
        <v>111</v>
      </c>
      <c r="K600" t="str">
        <f>"85345"</f>
        <v>85345</v>
      </c>
      <c r="L600" t="s">
        <v>4003</v>
      </c>
      <c r="M600" t="s">
        <v>4002</v>
      </c>
      <c r="N600" t="s">
        <v>453</v>
      </c>
      <c r="O600" t="s">
        <v>111</v>
      </c>
      <c r="P600" t="str">
        <f>"85345-5509"</f>
        <v>85345-5509</v>
      </c>
      <c r="Q600" t="s">
        <v>113</v>
      </c>
      <c r="R600" t="str">
        <f>"142-52-399"</f>
        <v>142-52-399</v>
      </c>
      <c r="S600" t="s">
        <v>4004</v>
      </c>
      <c r="T600" t="s">
        <v>4005</v>
      </c>
      <c r="U600">
        <v>1582</v>
      </c>
      <c r="W600">
        <v>2</v>
      </c>
      <c r="X600">
        <v>2015</v>
      </c>
      <c r="Z600">
        <v>1</v>
      </c>
      <c r="AC600" t="s">
        <v>115</v>
      </c>
      <c r="AD600">
        <v>2</v>
      </c>
      <c r="AE600" t="s">
        <v>115</v>
      </c>
      <c r="AH600" t="s">
        <v>116</v>
      </c>
      <c r="AI600" s="1">
        <v>42206</v>
      </c>
      <c r="AJ600" s="2">
        <v>0.16</v>
      </c>
      <c r="AK600" s="1">
        <v>261575</v>
      </c>
      <c r="AL600" t="s">
        <v>117</v>
      </c>
      <c r="AM600" t="s">
        <v>118</v>
      </c>
      <c r="AN600">
        <v>4699</v>
      </c>
      <c r="AO600">
        <v>0.11</v>
      </c>
      <c r="AR600">
        <v>1</v>
      </c>
      <c r="AS600" s="1">
        <v>17600</v>
      </c>
      <c r="AT600" s="1">
        <v>3520</v>
      </c>
      <c r="AU600" s="1">
        <v>14080</v>
      </c>
      <c r="AV600">
        <v>80</v>
      </c>
      <c r="AX600" s="1">
        <v>1365.98</v>
      </c>
      <c r="AY600" t="s">
        <v>4006</v>
      </c>
      <c r="AZ600" t="s">
        <v>4006</v>
      </c>
      <c r="BA600" t="s">
        <v>4007</v>
      </c>
      <c r="BE600" s="3">
        <v>42481</v>
      </c>
      <c r="BF600" s="1">
        <v>214752</v>
      </c>
      <c r="BG600" t="s">
        <v>4008</v>
      </c>
      <c r="BH600" s="1">
        <v>135.75</v>
      </c>
      <c r="BI600" s="1">
        <v>219369</v>
      </c>
      <c r="BJ600" s="3">
        <v>42481</v>
      </c>
      <c r="BK600" t="s">
        <v>123</v>
      </c>
      <c r="BL600" t="str">
        <f>"2016.268899"</f>
        <v>2016.268899</v>
      </c>
      <c r="BM600" t="s">
        <v>4009</v>
      </c>
      <c r="BO600" t="s">
        <v>4010</v>
      </c>
      <c r="BS600">
        <v>30</v>
      </c>
      <c r="BW600" t="str">
        <f>""</f>
        <v/>
      </c>
      <c r="CH600" t="str">
        <f>""</f>
        <v/>
      </c>
      <c r="CS600" t="str">
        <f>""</f>
        <v/>
      </c>
    </row>
    <row r="601" spans="1:97" x14ac:dyDescent="0.25">
      <c r="A601" t="s">
        <v>4011</v>
      </c>
      <c r="B601" t="s">
        <v>2522</v>
      </c>
      <c r="E601" t="s">
        <v>4012</v>
      </c>
      <c r="F601" t="s">
        <v>108</v>
      </c>
      <c r="H601" t="s">
        <v>4013</v>
      </c>
      <c r="I601" t="s">
        <v>110</v>
      </c>
      <c r="J601" t="s">
        <v>111</v>
      </c>
      <c r="K601" t="str">
        <f>"85225"</f>
        <v>85225</v>
      </c>
      <c r="L601" t="s">
        <v>2903</v>
      </c>
      <c r="M601" t="s">
        <v>4013</v>
      </c>
      <c r="N601" t="s">
        <v>110</v>
      </c>
      <c r="O601" t="s">
        <v>111</v>
      </c>
      <c r="P601" t="str">
        <f>"85225-3020"</f>
        <v>85225-3020</v>
      </c>
      <c r="Q601" t="s">
        <v>113</v>
      </c>
      <c r="R601" t="str">
        <f>"310-12-261"</f>
        <v>310-12-261</v>
      </c>
      <c r="S601" t="s">
        <v>2904</v>
      </c>
      <c r="T601" t="s">
        <v>2904</v>
      </c>
      <c r="U601">
        <v>1923</v>
      </c>
      <c r="W601">
        <v>3</v>
      </c>
      <c r="X601">
        <v>2015</v>
      </c>
      <c r="Z601">
        <v>2</v>
      </c>
      <c r="AC601" t="s">
        <v>115</v>
      </c>
      <c r="AD601">
        <v>2</v>
      </c>
      <c r="AE601" t="s">
        <v>115</v>
      </c>
      <c r="AH601" t="s">
        <v>116</v>
      </c>
      <c r="AI601" s="1">
        <v>61834</v>
      </c>
      <c r="AJ601" s="2">
        <v>0.19</v>
      </c>
      <c r="AK601" s="1">
        <v>325802</v>
      </c>
      <c r="AL601" t="s">
        <v>117</v>
      </c>
      <c r="AM601" t="s">
        <v>118</v>
      </c>
      <c r="AN601">
        <v>2442</v>
      </c>
      <c r="AO601">
        <v>0.56000000000000005</v>
      </c>
      <c r="AR601">
        <v>1</v>
      </c>
      <c r="AS601" s="1">
        <v>22280</v>
      </c>
      <c r="AT601" s="1">
        <v>4450</v>
      </c>
      <c r="AU601" s="1">
        <v>17830</v>
      </c>
      <c r="AV601">
        <v>80.03</v>
      </c>
      <c r="AX601" s="1">
        <v>1610.42</v>
      </c>
      <c r="AY601" t="s">
        <v>2905</v>
      </c>
      <c r="AZ601" t="s">
        <v>2906</v>
      </c>
      <c r="BA601" t="s">
        <v>303</v>
      </c>
      <c r="BE601" s="3">
        <v>42268</v>
      </c>
      <c r="BF601" s="1">
        <v>267910</v>
      </c>
      <c r="BG601" t="s">
        <v>233</v>
      </c>
      <c r="BH601" s="1">
        <v>139.32</v>
      </c>
      <c r="BI601" s="1">
        <v>263968</v>
      </c>
      <c r="BJ601" s="3">
        <v>42366</v>
      </c>
      <c r="BK601" t="s">
        <v>123</v>
      </c>
      <c r="BL601" t="str">
        <f>"2015.910644"</f>
        <v>2015.910644</v>
      </c>
      <c r="BM601" t="s">
        <v>4014</v>
      </c>
      <c r="BO601" t="s">
        <v>4015</v>
      </c>
      <c r="BS601">
        <v>30</v>
      </c>
      <c r="BW601" t="str">
        <f>""</f>
        <v/>
      </c>
      <c r="CH601" t="str">
        <f>""</f>
        <v/>
      </c>
      <c r="CS601" t="str">
        <f>""</f>
        <v/>
      </c>
    </row>
    <row r="602" spans="1:97" x14ac:dyDescent="0.25">
      <c r="A602" t="s">
        <v>2123</v>
      </c>
      <c r="B602" t="s">
        <v>4016</v>
      </c>
      <c r="C602" t="s">
        <v>1821</v>
      </c>
      <c r="D602" t="s">
        <v>4016</v>
      </c>
      <c r="E602" t="s">
        <v>4017</v>
      </c>
      <c r="F602" t="s">
        <v>108</v>
      </c>
      <c r="H602" t="s">
        <v>4018</v>
      </c>
      <c r="I602" t="s">
        <v>188</v>
      </c>
      <c r="J602" t="s">
        <v>111</v>
      </c>
      <c r="K602" t="str">
        <f>"85142"</f>
        <v>85142</v>
      </c>
      <c r="L602" t="s">
        <v>625</v>
      </c>
      <c r="M602" t="s">
        <v>4018</v>
      </c>
      <c r="N602" t="s">
        <v>188</v>
      </c>
      <c r="O602" t="s">
        <v>111</v>
      </c>
      <c r="P602" t="str">
        <f>"85142-8527"</f>
        <v>85142-8527</v>
      </c>
      <c r="Q602" t="s">
        <v>113</v>
      </c>
      <c r="R602" t="str">
        <f>"312-07-198"</f>
        <v>312-07-198</v>
      </c>
      <c r="S602" t="s">
        <v>2840</v>
      </c>
      <c r="T602" t="s">
        <v>2841</v>
      </c>
      <c r="U602">
        <v>1942</v>
      </c>
      <c r="W602">
        <v>3</v>
      </c>
      <c r="X602">
        <v>2015</v>
      </c>
      <c r="Z602">
        <v>1</v>
      </c>
      <c r="AC602" t="s">
        <v>115</v>
      </c>
      <c r="AD602">
        <v>2</v>
      </c>
      <c r="AE602" t="s">
        <v>115</v>
      </c>
      <c r="AH602" t="s">
        <v>116</v>
      </c>
      <c r="AI602" s="1">
        <v>62626</v>
      </c>
      <c r="AJ602" s="2">
        <v>0.2</v>
      </c>
      <c r="AK602" s="1">
        <v>309729</v>
      </c>
      <c r="AL602" t="s">
        <v>117</v>
      </c>
      <c r="AM602" t="s">
        <v>118</v>
      </c>
      <c r="AN602">
        <v>5500</v>
      </c>
      <c r="AO602">
        <v>0.13</v>
      </c>
      <c r="AR602">
        <v>1</v>
      </c>
      <c r="AS602" s="1">
        <v>21220</v>
      </c>
      <c r="AT602" s="1">
        <v>4240</v>
      </c>
      <c r="AU602" s="1">
        <v>16980</v>
      </c>
      <c r="AV602">
        <v>80.02</v>
      </c>
      <c r="AX602" s="1">
        <v>2110.6999999999998</v>
      </c>
      <c r="AY602" t="s">
        <v>560</v>
      </c>
      <c r="AZ602" t="s">
        <v>561</v>
      </c>
      <c r="BA602" t="s">
        <v>194</v>
      </c>
      <c r="BE602" s="3">
        <v>42311</v>
      </c>
      <c r="BF602" s="1">
        <v>242911</v>
      </c>
      <c r="BG602" t="s">
        <v>2842</v>
      </c>
      <c r="BH602" s="1">
        <v>125.08</v>
      </c>
      <c r="BI602" s="1">
        <v>247103</v>
      </c>
      <c r="BJ602" s="3">
        <v>42538</v>
      </c>
      <c r="BK602" t="s">
        <v>123</v>
      </c>
      <c r="BL602" t="str">
        <f>"2016.422705"</f>
        <v>2016.422705</v>
      </c>
      <c r="BM602" t="s">
        <v>2117</v>
      </c>
      <c r="BO602" t="s">
        <v>4019</v>
      </c>
      <c r="BS602">
        <v>30</v>
      </c>
      <c r="BW602" t="str">
        <f>""</f>
        <v/>
      </c>
      <c r="CH602" t="str">
        <f>""</f>
        <v/>
      </c>
      <c r="CS602" t="str">
        <f>""</f>
        <v/>
      </c>
    </row>
    <row r="603" spans="1:97" x14ac:dyDescent="0.25">
      <c r="A603" t="s">
        <v>894</v>
      </c>
      <c r="B603" t="s">
        <v>4020</v>
      </c>
      <c r="C603" t="s">
        <v>767</v>
      </c>
      <c r="D603" t="s">
        <v>4020</v>
      </c>
      <c r="E603" t="s">
        <v>4021</v>
      </c>
      <c r="F603" t="s">
        <v>108</v>
      </c>
      <c r="H603" t="s">
        <v>4022</v>
      </c>
      <c r="I603" t="s">
        <v>188</v>
      </c>
      <c r="J603" t="s">
        <v>111</v>
      </c>
      <c r="K603" t="str">
        <f>"85142"</f>
        <v>85142</v>
      </c>
      <c r="L603" t="s">
        <v>625</v>
      </c>
      <c r="M603" t="s">
        <v>4022</v>
      </c>
      <c r="N603" t="s">
        <v>188</v>
      </c>
      <c r="O603" t="s">
        <v>111</v>
      </c>
      <c r="P603" t="str">
        <f>"85142-8516"</f>
        <v>85142-8516</v>
      </c>
      <c r="Q603" t="s">
        <v>113</v>
      </c>
      <c r="R603" t="str">
        <f>"312-07-229"</f>
        <v>312-07-229</v>
      </c>
      <c r="S603" t="s">
        <v>2840</v>
      </c>
      <c r="T603" t="s">
        <v>2841</v>
      </c>
      <c r="U603">
        <v>1710</v>
      </c>
      <c r="W603">
        <v>3</v>
      </c>
      <c r="X603">
        <v>2015</v>
      </c>
      <c r="Z603">
        <v>1</v>
      </c>
      <c r="AA603" t="s">
        <v>26</v>
      </c>
      <c r="AC603" t="s">
        <v>115</v>
      </c>
      <c r="AD603">
        <v>2</v>
      </c>
      <c r="AE603" t="s">
        <v>115</v>
      </c>
      <c r="AH603" t="s">
        <v>116</v>
      </c>
      <c r="AI603" s="1">
        <v>68700</v>
      </c>
      <c r="AJ603" s="2">
        <v>0.23</v>
      </c>
      <c r="AK603" s="1">
        <v>301388</v>
      </c>
      <c r="AL603" t="s">
        <v>117</v>
      </c>
      <c r="AM603" t="s">
        <v>118</v>
      </c>
      <c r="AN603">
        <v>5500</v>
      </c>
      <c r="AO603">
        <v>0.13</v>
      </c>
      <c r="AR603">
        <v>1</v>
      </c>
      <c r="AS603" s="1">
        <v>21010</v>
      </c>
      <c r="AT603" s="1">
        <v>4200</v>
      </c>
      <c r="AU603" s="1">
        <v>16810</v>
      </c>
      <c r="AV603">
        <v>80.010000000000005</v>
      </c>
      <c r="AX603" s="1">
        <v>1936.1</v>
      </c>
      <c r="AY603" t="s">
        <v>560</v>
      </c>
      <c r="AZ603" t="s">
        <v>561</v>
      </c>
      <c r="BA603" t="s">
        <v>194</v>
      </c>
      <c r="BE603" s="3">
        <v>42277</v>
      </c>
      <c r="BF603" s="1">
        <v>225255</v>
      </c>
      <c r="BG603" t="s">
        <v>2842</v>
      </c>
      <c r="BH603" s="1">
        <v>131.72999999999999</v>
      </c>
      <c r="BI603" s="1">
        <v>232688</v>
      </c>
      <c r="BJ603" s="3">
        <v>42277</v>
      </c>
      <c r="BK603" t="s">
        <v>123</v>
      </c>
      <c r="BL603" t="str">
        <f>"2015.706335"</f>
        <v>2015.706335</v>
      </c>
      <c r="BM603" t="s">
        <v>2912</v>
      </c>
      <c r="BO603" t="s">
        <v>4023</v>
      </c>
      <c r="BS603">
        <v>30</v>
      </c>
      <c r="BW603" t="str">
        <f>""</f>
        <v/>
      </c>
      <c r="CH603" t="str">
        <f>""</f>
        <v/>
      </c>
      <c r="CS603" t="str">
        <f>""</f>
        <v/>
      </c>
    </row>
    <row r="604" spans="1:97" x14ac:dyDescent="0.25">
      <c r="A604" t="s">
        <v>4024</v>
      </c>
      <c r="B604" t="s">
        <v>4025</v>
      </c>
      <c r="C604" t="s">
        <v>4026</v>
      </c>
      <c r="D604" t="s">
        <v>4025</v>
      </c>
      <c r="E604" t="s">
        <v>4027</v>
      </c>
      <c r="F604" t="s">
        <v>108</v>
      </c>
      <c r="H604" t="s">
        <v>4028</v>
      </c>
      <c r="I604" t="s">
        <v>225</v>
      </c>
      <c r="J604" t="s">
        <v>111</v>
      </c>
      <c r="K604" t="str">
        <f>"85209"</f>
        <v>85209</v>
      </c>
      <c r="L604" t="s">
        <v>189</v>
      </c>
      <c r="M604" t="s">
        <v>4028</v>
      </c>
      <c r="N604" t="s">
        <v>225</v>
      </c>
      <c r="O604" t="s">
        <v>111</v>
      </c>
      <c r="P604" t="str">
        <f>"85209-5378"</f>
        <v>85209-5378</v>
      </c>
      <c r="Q604" t="s">
        <v>113</v>
      </c>
      <c r="R604" t="str">
        <f>"304-04-954"</f>
        <v>304-04-954</v>
      </c>
      <c r="S604" t="s">
        <v>4029</v>
      </c>
      <c r="U604">
        <v>1616</v>
      </c>
      <c r="W604">
        <v>3</v>
      </c>
      <c r="X604">
        <v>2016</v>
      </c>
      <c r="Z604">
        <v>1</v>
      </c>
      <c r="AC604" t="s">
        <v>115</v>
      </c>
      <c r="AD604">
        <v>2</v>
      </c>
      <c r="AE604" t="s">
        <v>115</v>
      </c>
      <c r="AH604" t="s">
        <v>116</v>
      </c>
      <c r="AI604" s="1">
        <v>68964</v>
      </c>
      <c r="AJ604" s="2">
        <v>0.24</v>
      </c>
      <c r="AK604" s="1">
        <v>285431</v>
      </c>
      <c r="AL604" t="s">
        <v>117</v>
      </c>
      <c r="AM604" t="s">
        <v>3111</v>
      </c>
      <c r="AN604">
        <v>4506</v>
      </c>
      <c r="AO604">
        <v>0.1</v>
      </c>
      <c r="AR604">
        <v>1</v>
      </c>
      <c r="AS604" s="1">
        <v>19730</v>
      </c>
      <c r="AT604" s="1">
        <v>3940</v>
      </c>
      <c r="AU604" s="1">
        <v>15790</v>
      </c>
      <c r="AV604">
        <v>80.03</v>
      </c>
      <c r="AX604" s="1">
        <v>1255.68</v>
      </c>
      <c r="AY604" t="s">
        <v>570</v>
      </c>
      <c r="AZ604" t="s">
        <v>777</v>
      </c>
      <c r="BA604" t="s">
        <v>572</v>
      </c>
      <c r="BE604" s="3">
        <v>42515</v>
      </c>
      <c r="BF604" s="1">
        <v>211911</v>
      </c>
      <c r="BG604" t="s">
        <v>4030</v>
      </c>
      <c r="BH604" s="1">
        <v>131.13</v>
      </c>
      <c r="BI604" s="1">
        <v>216467</v>
      </c>
      <c r="BJ604" s="3">
        <v>42515</v>
      </c>
      <c r="BK604" t="s">
        <v>123</v>
      </c>
      <c r="BL604" t="str">
        <f>"2016.361583"</f>
        <v>2016.361583</v>
      </c>
      <c r="BM604" t="s">
        <v>1287</v>
      </c>
      <c r="BO604" t="s">
        <v>4031</v>
      </c>
      <c r="BS604">
        <v>30</v>
      </c>
      <c r="BW604" t="str">
        <f>""</f>
        <v/>
      </c>
      <c r="CH604" t="str">
        <f>""</f>
        <v/>
      </c>
      <c r="CS604" t="str">
        <f>""</f>
        <v/>
      </c>
    </row>
    <row r="605" spans="1:97" x14ac:dyDescent="0.25">
      <c r="A605" t="s">
        <v>2123</v>
      </c>
      <c r="B605" t="s">
        <v>4032</v>
      </c>
      <c r="E605" t="s">
        <v>4033</v>
      </c>
      <c r="F605" t="s">
        <v>108</v>
      </c>
      <c r="H605" t="s">
        <v>4034</v>
      </c>
      <c r="I605" t="s">
        <v>203</v>
      </c>
      <c r="J605" t="s">
        <v>111</v>
      </c>
      <c r="K605" t="str">
        <f>"85296"</f>
        <v>85296</v>
      </c>
      <c r="L605" t="s">
        <v>4035</v>
      </c>
      <c r="M605" t="s">
        <v>4034</v>
      </c>
      <c r="N605" t="s">
        <v>203</v>
      </c>
      <c r="O605" t="s">
        <v>111</v>
      </c>
      <c r="P605" t="str">
        <f>"85296"</f>
        <v>85296</v>
      </c>
      <c r="Q605" t="s">
        <v>113</v>
      </c>
      <c r="R605" t="str">
        <f>"314-07-645"</f>
        <v>314-07-645</v>
      </c>
      <c r="S605" t="s">
        <v>4036</v>
      </c>
      <c r="T605" t="s">
        <v>4037</v>
      </c>
      <c r="U605">
        <v>2563</v>
      </c>
      <c r="W605">
        <v>2</v>
      </c>
      <c r="X605">
        <v>2015</v>
      </c>
      <c r="Z605">
        <v>2</v>
      </c>
      <c r="AC605" t="s">
        <v>115</v>
      </c>
      <c r="AD605">
        <v>2</v>
      </c>
      <c r="AE605" t="s">
        <v>115</v>
      </c>
      <c r="AH605" t="s">
        <v>116</v>
      </c>
      <c r="AI605" s="1">
        <v>69020</v>
      </c>
      <c r="AJ605" s="2">
        <v>0.2</v>
      </c>
      <c r="AK605" s="1">
        <v>349922</v>
      </c>
      <c r="AL605" t="s">
        <v>117</v>
      </c>
      <c r="AM605" t="s">
        <v>3345</v>
      </c>
      <c r="AN605">
        <v>3471</v>
      </c>
      <c r="AO605">
        <v>0.8</v>
      </c>
      <c r="AR605">
        <v>1</v>
      </c>
      <c r="AS605" s="1">
        <v>25600</v>
      </c>
      <c r="AT605" s="1">
        <v>5120</v>
      </c>
      <c r="AU605" s="1">
        <v>20480</v>
      </c>
      <c r="AV605">
        <v>80</v>
      </c>
      <c r="AX605" s="1">
        <v>2124.5</v>
      </c>
      <c r="AY605" t="s">
        <v>472</v>
      </c>
      <c r="AZ605" t="s">
        <v>472</v>
      </c>
      <c r="BA605" t="s">
        <v>473</v>
      </c>
      <c r="BE605" s="3">
        <v>42516</v>
      </c>
      <c r="BF605" s="1">
        <v>274990</v>
      </c>
      <c r="BG605" t="s">
        <v>233</v>
      </c>
      <c r="BH605" s="1">
        <v>107.29</v>
      </c>
      <c r="BI605" s="1">
        <v>280902</v>
      </c>
      <c r="BJ605" s="3">
        <v>42516</v>
      </c>
      <c r="BK605" t="s">
        <v>123</v>
      </c>
      <c r="BL605" t="str">
        <f>"2016.364524"</f>
        <v>2016.364524</v>
      </c>
      <c r="BM605" t="s">
        <v>234</v>
      </c>
      <c r="BO605" t="s">
        <v>4038</v>
      </c>
      <c r="BS605">
        <v>30</v>
      </c>
      <c r="BW605" t="str">
        <f>""</f>
        <v/>
      </c>
      <c r="CH605" t="str">
        <f>""</f>
        <v/>
      </c>
      <c r="CS605" t="str">
        <f>""</f>
        <v/>
      </c>
    </row>
    <row r="606" spans="1:97" x14ac:dyDescent="0.25">
      <c r="A606" t="s">
        <v>3089</v>
      </c>
      <c r="B606" t="s">
        <v>1144</v>
      </c>
      <c r="C606" t="s">
        <v>537</v>
      </c>
      <c r="D606" t="s">
        <v>1144</v>
      </c>
      <c r="E606" t="s">
        <v>4039</v>
      </c>
      <c r="F606" t="s">
        <v>108</v>
      </c>
      <c r="H606" t="s">
        <v>4040</v>
      </c>
      <c r="I606" t="s">
        <v>225</v>
      </c>
      <c r="J606" t="s">
        <v>111</v>
      </c>
      <c r="K606" t="str">
        <f>"85212"</f>
        <v>85212</v>
      </c>
      <c r="L606" t="s">
        <v>774</v>
      </c>
      <c r="M606" t="s">
        <v>4040</v>
      </c>
      <c r="N606" t="s">
        <v>225</v>
      </c>
      <c r="O606" t="s">
        <v>111</v>
      </c>
      <c r="P606" t="str">
        <f>"85212-2238"</f>
        <v>85212-2238</v>
      </c>
      <c r="Q606" t="s">
        <v>113</v>
      </c>
      <c r="R606" t="str">
        <f>"304-16-763"</f>
        <v>304-16-763</v>
      </c>
      <c r="S606" t="s">
        <v>2883</v>
      </c>
      <c r="U606">
        <v>1405</v>
      </c>
      <c r="W606">
        <v>3</v>
      </c>
      <c r="X606">
        <v>2017</v>
      </c>
      <c r="Z606">
        <v>1</v>
      </c>
      <c r="AC606" t="s">
        <v>115</v>
      </c>
      <c r="AD606">
        <v>3</v>
      </c>
      <c r="AE606" t="s">
        <v>115</v>
      </c>
      <c r="AI606" s="1">
        <v>2317</v>
      </c>
      <c r="AJ606" s="2">
        <v>0.01</v>
      </c>
      <c r="AK606" s="1">
        <v>326077</v>
      </c>
      <c r="AL606" t="s">
        <v>117</v>
      </c>
      <c r="AN606">
        <v>8275</v>
      </c>
      <c r="AO606">
        <v>0.19</v>
      </c>
      <c r="AS606" s="1">
        <v>24300</v>
      </c>
      <c r="AT606" s="1">
        <v>4860</v>
      </c>
      <c r="AU606" s="1">
        <v>19440</v>
      </c>
      <c r="AV606">
        <v>80</v>
      </c>
      <c r="AX606" s="1">
        <v>1678.6</v>
      </c>
      <c r="AY606" t="s">
        <v>776</v>
      </c>
      <c r="AZ606" t="s">
        <v>777</v>
      </c>
      <c r="BA606" t="s">
        <v>572</v>
      </c>
      <c r="BE606" s="3">
        <v>42541</v>
      </c>
      <c r="BF606" s="1">
        <v>271723</v>
      </c>
      <c r="BG606" t="s">
        <v>2884</v>
      </c>
      <c r="BI606" s="1">
        <v>323760</v>
      </c>
      <c r="BJ606" s="3">
        <v>43605</v>
      </c>
      <c r="BK606" t="s">
        <v>123</v>
      </c>
      <c r="BL606" t="str">
        <f>"2019.368035"</f>
        <v>2019.368035</v>
      </c>
      <c r="BM606" t="s">
        <v>4041</v>
      </c>
      <c r="BN606" t="s">
        <v>4042</v>
      </c>
      <c r="BO606" t="s">
        <v>4043</v>
      </c>
      <c r="BP606" t="s">
        <v>4044</v>
      </c>
      <c r="BR606" t="s">
        <v>139</v>
      </c>
      <c r="BW606" t="str">
        <f>""</f>
        <v/>
      </c>
      <c r="CH606" t="str">
        <f>""</f>
        <v/>
      </c>
      <c r="CS606" t="str">
        <f>""</f>
        <v/>
      </c>
    </row>
    <row r="607" spans="1:97" x14ac:dyDescent="0.25">
      <c r="A607" t="s">
        <v>4045</v>
      </c>
      <c r="B607" t="s">
        <v>4046</v>
      </c>
      <c r="C607" t="s">
        <v>1140</v>
      </c>
      <c r="D607" t="s">
        <v>4046</v>
      </c>
      <c r="E607" t="s">
        <v>4047</v>
      </c>
      <c r="F607" t="s">
        <v>108</v>
      </c>
      <c r="H607" t="s">
        <v>4048</v>
      </c>
      <c r="I607" t="s">
        <v>225</v>
      </c>
      <c r="J607" t="s">
        <v>111</v>
      </c>
      <c r="K607" t="str">
        <f>"85208"</f>
        <v>85208</v>
      </c>
      <c r="L607" t="s">
        <v>3982</v>
      </c>
      <c r="M607" t="s">
        <v>4048</v>
      </c>
      <c r="N607" t="s">
        <v>225</v>
      </c>
      <c r="O607" t="s">
        <v>111</v>
      </c>
      <c r="P607" t="str">
        <f>"85208-2669"</f>
        <v>85208-2669</v>
      </c>
      <c r="Q607" t="s">
        <v>113</v>
      </c>
      <c r="R607" t="str">
        <f>"220-73-832"</f>
        <v>220-73-832</v>
      </c>
      <c r="S607" t="s">
        <v>3983</v>
      </c>
      <c r="T607" t="s">
        <v>3984</v>
      </c>
      <c r="U607">
        <v>2580</v>
      </c>
      <c r="W607">
        <v>3</v>
      </c>
      <c r="X607">
        <v>2015</v>
      </c>
      <c r="Z607">
        <v>2</v>
      </c>
      <c r="AC607" t="s">
        <v>115</v>
      </c>
      <c r="AD607">
        <v>2</v>
      </c>
      <c r="AE607" t="s">
        <v>115</v>
      </c>
      <c r="AH607" t="s">
        <v>116</v>
      </c>
      <c r="AI607" s="1">
        <v>53500</v>
      </c>
      <c r="AJ607" s="2">
        <v>0.16</v>
      </c>
      <c r="AK607" s="1">
        <v>324600</v>
      </c>
      <c r="AL607" t="s">
        <v>117</v>
      </c>
      <c r="AM607" t="s">
        <v>191</v>
      </c>
      <c r="AN607">
        <v>5190</v>
      </c>
      <c r="AO607">
        <v>0.12</v>
      </c>
      <c r="AR607">
        <v>1</v>
      </c>
      <c r="AS607" s="1">
        <v>23120</v>
      </c>
      <c r="AT607" s="1">
        <v>4620</v>
      </c>
      <c r="AU607" s="1">
        <v>18500</v>
      </c>
      <c r="AV607">
        <v>80.02</v>
      </c>
      <c r="AX607" s="1">
        <v>1832.66</v>
      </c>
      <c r="AY607" t="s">
        <v>3985</v>
      </c>
      <c r="AZ607" t="s">
        <v>3761</v>
      </c>
      <c r="BA607" t="s">
        <v>232</v>
      </c>
      <c r="BE607" s="3">
        <v>42174</v>
      </c>
      <c r="BF607" s="1">
        <v>269804</v>
      </c>
      <c r="BG607" t="s">
        <v>233</v>
      </c>
      <c r="BH607" s="1">
        <v>104.58</v>
      </c>
      <c r="BI607" s="1">
        <v>271100</v>
      </c>
      <c r="BJ607" s="3">
        <v>42643</v>
      </c>
      <c r="BK607" t="s">
        <v>123</v>
      </c>
      <c r="BL607" t="str">
        <f>"2016.717614"</f>
        <v>2016.717614</v>
      </c>
      <c r="BM607" t="s">
        <v>4049</v>
      </c>
      <c r="BO607" t="s">
        <v>4050</v>
      </c>
      <c r="BS607">
        <v>30</v>
      </c>
      <c r="BW607" t="str">
        <f>""</f>
        <v/>
      </c>
      <c r="CH607" t="str">
        <f>""</f>
        <v/>
      </c>
      <c r="CS607" t="str">
        <f>""</f>
        <v/>
      </c>
    </row>
    <row r="608" spans="1:97" x14ac:dyDescent="0.25">
      <c r="A608" t="s">
        <v>4051</v>
      </c>
      <c r="B608" t="s">
        <v>4052</v>
      </c>
      <c r="E608" t="s">
        <v>4053</v>
      </c>
      <c r="F608" t="s">
        <v>108</v>
      </c>
      <c r="H608" t="s">
        <v>4054</v>
      </c>
      <c r="I608" t="s">
        <v>390</v>
      </c>
      <c r="J608" t="s">
        <v>111</v>
      </c>
      <c r="K608" t="str">
        <f>"85042"</f>
        <v>85042</v>
      </c>
      <c r="L608" t="s">
        <v>2857</v>
      </c>
      <c r="M608" t="s">
        <v>4054</v>
      </c>
      <c r="N608" t="s">
        <v>390</v>
      </c>
      <c r="O608" t="s">
        <v>111</v>
      </c>
      <c r="P608" t="str">
        <f>"85042-6656"</f>
        <v>85042-6656</v>
      </c>
      <c r="Q608" t="s">
        <v>113</v>
      </c>
      <c r="R608" t="str">
        <f>"300-19-092"</f>
        <v>300-19-092</v>
      </c>
      <c r="S608" t="s">
        <v>2858</v>
      </c>
      <c r="T608" t="s">
        <v>2858</v>
      </c>
      <c r="U608">
        <v>1499</v>
      </c>
      <c r="W608">
        <v>3</v>
      </c>
      <c r="X608">
        <v>2015</v>
      </c>
      <c r="Z608">
        <v>2</v>
      </c>
      <c r="AC608" t="s">
        <v>115</v>
      </c>
      <c r="AD608">
        <v>2</v>
      </c>
      <c r="AE608" t="s">
        <v>115</v>
      </c>
      <c r="AH608" t="s">
        <v>116</v>
      </c>
      <c r="AI608" s="1">
        <v>13407</v>
      </c>
      <c r="AJ608" s="2">
        <v>0.05</v>
      </c>
      <c r="AK608" s="1">
        <v>261773</v>
      </c>
      <c r="AL608" t="s">
        <v>117</v>
      </c>
      <c r="AM608" t="s">
        <v>1302</v>
      </c>
      <c r="AN608">
        <v>5508</v>
      </c>
      <c r="AO608">
        <v>0.13</v>
      </c>
      <c r="AR608">
        <v>1</v>
      </c>
      <c r="AS608" s="1">
        <v>20910</v>
      </c>
      <c r="AT608" s="1">
        <v>4180</v>
      </c>
      <c r="AU608" s="1">
        <v>16730</v>
      </c>
      <c r="AV608">
        <v>80.010000000000005</v>
      </c>
      <c r="AX608" s="1">
        <v>2423.7199999999998</v>
      </c>
      <c r="AY608" t="s">
        <v>2859</v>
      </c>
      <c r="AZ608" t="s">
        <v>2859</v>
      </c>
      <c r="BA608" t="s">
        <v>2860</v>
      </c>
      <c r="BE608" s="3">
        <v>42289</v>
      </c>
      <c r="BF608" s="1">
        <v>223456</v>
      </c>
      <c r="BG608" t="s">
        <v>617</v>
      </c>
      <c r="BH608" s="1">
        <v>149.07</v>
      </c>
      <c r="BI608" s="1">
        <v>248366</v>
      </c>
      <c r="BJ608" s="3">
        <v>43607</v>
      </c>
      <c r="BK608" t="s">
        <v>123</v>
      </c>
      <c r="BL608" t="str">
        <f>"2019.375319"</f>
        <v>2019.375319</v>
      </c>
      <c r="BM608" t="s">
        <v>248</v>
      </c>
      <c r="BN608" t="s">
        <v>249</v>
      </c>
      <c r="BO608" t="s">
        <v>4053</v>
      </c>
      <c r="BR608" t="s">
        <v>139</v>
      </c>
      <c r="BW608" t="str">
        <f>""</f>
        <v/>
      </c>
      <c r="CH608" t="str">
        <f>""</f>
        <v/>
      </c>
      <c r="CS608" t="str">
        <f>""</f>
        <v/>
      </c>
    </row>
    <row r="609" spans="1:97" x14ac:dyDescent="0.25">
      <c r="A609" t="s">
        <v>3077</v>
      </c>
      <c r="B609" t="s">
        <v>4055</v>
      </c>
      <c r="E609" t="s">
        <v>4056</v>
      </c>
      <c r="F609" t="s">
        <v>108</v>
      </c>
      <c r="H609" t="s">
        <v>4057</v>
      </c>
      <c r="I609" t="s">
        <v>4058</v>
      </c>
      <c r="J609" t="s">
        <v>111</v>
      </c>
      <c r="K609" t="str">
        <f>"85390"</f>
        <v>85390</v>
      </c>
      <c r="L609" t="s">
        <v>3885</v>
      </c>
      <c r="M609" t="s">
        <v>4057</v>
      </c>
      <c r="N609" t="s">
        <v>4058</v>
      </c>
      <c r="O609" t="s">
        <v>111</v>
      </c>
      <c r="P609" t="str">
        <f>"85390-1374"</f>
        <v>85390-1374</v>
      </c>
      <c r="Q609" t="s">
        <v>113</v>
      </c>
      <c r="R609" t="str">
        <f>"505-51-056-A"</f>
        <v>505-51-056-A</v>
      </c>
      <c r="S609" t="s">
        <v>4059</v>
      </c>
      <c r="T609" t="s">
        <v>4060</v>
      </c>
      <c r="U609">
        <v>1715</v>
      </c>
      <c r="W609">
        <v>2</v>
      </c>
      <c r="X609">
        <v>1980</v>
      </c>
      <c r="Z609">
        <v>1</v>
      </c>
      <c r="AA609" t="s">
        <v>26</v>
      </c>
      <c r="AH609" t="s">
        <v>116</v>
      </c>
      <c r="AI609" s="1">
        <v>65736</v>
      </c>
      <c r="AJ609" s="2">
        <v>0.22</v>
      </c>
      <c r="AK609" s="1">
        <v>301710</v>
      </c>
      <c r="AL609" t="s">
        <v>117</v>
      </c>
      <c r="AM609" t="s">
        <v>191</v>
      </c>
      <c r="AN609">
        <v>12000</v>
      </c>
      <c r="AO609">
        <v>0.28000000000000003</v>
      </c>
      <c r="AR609">
        <v>1</v>
      </c>
      <c r="AS609" s="1">
        <v>21520</v>
      </c>
      <c r="AT609" s="1">
        <v>4300</v>
      </c>
      <c r="AU609" s="1">
        <v>17220</v>
      </c>
      <c r="AV609">
        <v>80.02</v>
      </c>
      <c r="AX609" s="1">
        <v>861.84</v>
      </c>
      <c r="AY609" t="s">
        <v>4061</v>
      </c>
      <c r="AZ609" t="s">
        <v>4062</v>
      </c>
      <c r="BA609" t="s">
        <v>445</v>
      </c>
      <c r="BB609" s="3">
        <v>42759</v>
      </c>
      <c r="BD609" t="s">
        <v>4063</v>
      </c>
      <c r="BE609" s="3">
        <v>42129</v>
      </c>
      <c r="BF609" s="1">
        <v>225000</v>
      </c>
      <c r="BG609" t="s">
        <v>4064</v>
      </c>
      <c r="BH609" s="1">
        <v>131.19999999999999</v>
      </c>
      <c r="BI609" s="1">
        <v>235974</v>
      </c>
      <c r="BJ609" s="3">
        <v>43007</v>
      </c>
      <c r="BK609" t="s">
        <v>123</v>
      </c>
      <c r="BL609" t="str">
        <f>"2017.722771"</f>
        <v>2017.722771</v>
      </c>
      <c r="BM609" t="s">
        <v>807</v>
      </c>
      <c r="BN609">
        <v>92618</v>
      </c>
      <c r="BO609" t="s">
        <v>4065</v>
      </c>
      <c r="BQ609" t="str">
        <f>"2.2500%"</f>
        <v>2.2500%</v>
      </c>
      <c r="BR609" t="s">
        <v>1480</v>
      </c>
      <c r="BS609">
        <v>30</v>
      </c>
      <c r="BT609" s="1">
        <v>235974</v>
      </c>
      <c r="BU609" s="3">
        <v>43007</v>
      </c>
      <c r="BV609" t="s">
        <v>123</v>
      </c>
      <c r="BW609" t="str">
        <f>"2017.722771"</f>
        <v>2017.722771</v>
      </c>
      <c r="BX609" t="s">
        <v>807</v>
      </c>
      <c r="BY609">
        <v>92618</v>
      </c>
      <c r="BZ609" t="s">
        <v>4065</v>
      </c>
      <c r="CB609" t="str">
        <f>"2.2500%"</f>
        <v>2.2500%</v>
      </c>
      <c r="CC609" t="s">
        <v>1480</v>
      </c>
      <c r="CD609">
        <v>30</v>
      </c>
      <c r="CH609" t="str">
        <f>""</f>
        <v/>
      </c>
      <c r="CS609" t="str">
        <f>""</f>
        <v/>
      </c>
    </row>
    <row r="610" spans="1:97" x14ac:dyDescent="0.25">
      <c r="A610" t="s">
        <v>701</v>
      </c>
      <c r="B610" t="s">
        <v>4066</v>
      </c>
      <c r="E610" t="s">
        <v>4067</v>
      </c>
      <c r="F610" t="s">
        <v>108</v>
      </c>
      <c r="H610" t="s">
        <v>4068</v>
      </c>
      <c r="I610" t="s">
        <v>225</v>
      </c>
      <c r="J610" t="s">
        <v>111</v>
      </c>
      <c r="K610" t="str">
        <f>"85212"</f>
        <v>85212</v>
      </c>
      <c r="L610" t="s">
        <v>774</v>
      </c>
      <c r="M610" t="s">
        <v>4068</v>
      </c>
      <c r="N610" t="s">
        <v>225</v>
      </c>
      <c r="O610" t="s">
        <v>111</v>
      </c>
      <c r="P610" t="str">
        <f>"85212-2248"</f>
        <v>85212-2248</v>
      </c>
      <c r="Q610" t="s">
        <v>113</v>
      </c>
      <c r="R610" t="str">
        <f>"304-16-761"</f>
        <v>304-16-761</v>
      </c>
      <c r="S610" t="s">
        <v>2883</v>
      </c>
      <c r="U610">
        <v>1238</v>
      </c>
      <c r="W610">
        <v>2</v>
      </c>
      <c r="X610">
        <v>2015</v>
      </c>
      <c r="Z610">
        <v>1</v>
      </c>
      <c r="AC610" t="s">
        <v>115</v>
      </c>
      <c r="AD610">
        <v>3</v>
      </c>
      <c r="AE610" t="s">
        <v>115</v>
      </c>
      <c r="AH610" t="s">
        <v>116</v>
      </c>
      <c r="AI610" s="1">
        <v>61857</v>
      </c>
      <c r="AJ610" s="2">
        <v>0.2</v>
      </c>
      <c r="AK610" s="1">
        <v>303857</v>
      </c>
      <c r="AL610" t="s">
        <v>117</v>
      </c>
      <c r="AN610">
        <v>10121</v>
      </c>
      <c r="AO610">
        <v>0.23</v>
      </c>
      <c r="AR610">
        <v>1</v>
      </c>
      <c r="AS610" s="1">
        <v>22920</v>
      </c>
      <c r="AT610" s="1">
        <v>4580</v>
      </c>
      <c r="AU610" s="1">
        <v>18340</v>
      </c>
      <c r="AV610">
        <v>80.02</v>
      </c>
      <c r="AX610" s="1">
        <v>1598.98</v>
      </c>
      <c r="AY610" t="s">
        <v>776</v>
      </c>
      <c r="AZ610" t="s">
        <v>777</v>
      </c>
      <c r="BA610" t="s">
        <v>572</v>
      </c>
      <c r="BE610" s="3">
        <v>42306</v>
      </c>
      <c r="BF610" s="1">
        <v>242921</v>
      </c>
      <c r="BG610" t="s">
        <v>2884</v>
      </c>
      <c r="BH610" s="1">
        <v>196.22</v>
      </c>
      <c r="BI610" s="1">
        <v>242000</v>
      </c>
      <c r="BJ610" s="3">
        <v>42306</v>
      </c>
      <c r="BK610" t="s">
        <v>123</v>
      </c>
      <c r="BL610" t="str">
        <f>"2015.777021"</f>
        <v>2015.777021</v>
      </c>
      <c r="BM610" t="s">
        <v>4069</v>
      </c>
      <c r="BO610" t="s">
        <v>4070</v>
      </c>
      <c r="BS610">
        <v>30</v>
      </c>
      <c r="BW610" t="str">
        <f>""</f>
        <v/>
      </c>
      <c r="CH610" t="str">
        <f>""</f>
        <v/>
      </c>
      <c r="CS610" t="str">
        <f>""</f>
        <v/>
      </c>
    </row>
    <row r="611" spans="1:97" x14ac:dyDescent="0.25">
      <c r="B611" t="s">
        <v>4071</v>
      </c>
      <c r="C611" t="s">
        <v>4072</v>
      </c>
      <c r="E611" t="s">
        <v>4073</v>
      </c>
      <c r="F611" t="s">
        <v>282</v>
      </c>
      <c r="H611" t="s">
        <v>4074</v>
      </c>
      <c r="I611" t="s">
        <v>110</v>
      </c>
      <c r="J611" t="s">
        <v>111</v>
      </c>
      <c r="K611" t="str">
        <f>"85225"</f>
        <v>85225</v>
      </c>
      <c r="L611" t="s">
        <v>2903</v>
      </c>
      <c r="M611" t="s">
        <v>4075</v>
      </c>
      <c r="N611" t="s">
        <v>110</v>
      </c>
      <c r="O611" t="s">
        <v>111</v>
      </c>
      <c r="P611" t="str">
        <f>"85224-3525"</f>
        <v>85224-3525</v>
      </c>
      <c r="Q611" t="s">
        <v>113</v>
      </c>
      <c r="R611" t="str">
        <f>"310-12-191"</f>
        <v>310-12-191</v>
      </c>
      <c r="S611" t="s">
        <v>2904</v>
      </c>
      <c r="T611" t="s">
        <v>2904</v>
      </c>
      <c r="U611">
        <v>1676</v>
      </c>
      <c r="W611">
        <v>3</v>
      </c>
      <c r="X611">
        <v>2015</v>
      </c>
      <c r="Z611">
        <v>1</v>
      </c>
      <c r="AC611" t="s">
        <v>115</v>
      </c>
      <c r="AD611">
        <v>2</v>
      </c>
      <c r="AE611" t="s">
        <v>115</v>
      </c>
      <c r="AH611" t="s">
        <v>116</v>
      </c>
      <c r="AI611" s="1">
        <v>54863</v>
      </c>
      <c r="AJ611" s="2">
        <v>0.15</v>
      </c>
      <c r="AK611" s="1">
        <v>377870</v>
      </c>
      <c r="AL611" t="s">
        <v>117</v>
      </c>
      <c r="AM611" t="s">
        <v>118</v>
      </c>
      <c r="AN611">
        <v>13011</v>
      </c>
      <c r="AO611">
        <v>0.3</v>
      </c>
      <c r="AR611">
        <v>1</v>
      </c>
      <c r="AS611" s="1">
        <v>28410</v>
      </c>
      <c r="AT611" s="1">
        <v>5680</v>
      </c>
      <c r="AU611" s="1">
        <v>22730</v>
      </c>
      <c r="AV611">
        <v>80.010000000000005</v>
      </c>
      <c r="AX611" s="1">
        <v>2101.7800000000002</v>
      </c>
      <c r="AY611" t="s">
        <v>2905</v>
      </c>
      <c r="AZ611" t="s">
        <v>2906</v>
      </c>
      <c r="BA611" t="s">
        <v>303</v>
      </c>
      <c r="BB611" s="3">
        <v>43536</v>
      </c>
      <c r="BC611" s="1">
        <v>0</v>
      </c>
      <c r="BD611" t="s">
        <v>247</v>
      </c>
      <c r="BE611" s="3">
        <v>42305</v>
      </c>
      <c r="BF611" s="1">
        <v>315345</v>
      </c>
      <c r="BG611" t="s">
        <v>233</v>
      </c>
      <c r="BH611" s="1">
        <v>188.15</v>
      </c>
      <c r="BI611" s="1">
        <v>323007</v>
      </c>
      <c r="BJ611" s="3">
        <v>42821</v>
      </c>
      <c r="BK611" t="s">
        <v>123</v>
      </c>
      <c r="BL611" t="str">
        <f>"2017.211771"</f>
        <v>2017.211771</v>
      </c>
      <c r="BM611" t="s">
        <v>4076</v>
      </c>
      <c r="BN611" t="s">
        <v>4077</v>
      </c>
      <c r="BO611" t="s">
        <v>4078</v>
      </c>
      <c r="BS611">
        <v>25</v>
      </c>
      <c r="BW611" t="str">
        <f>""</f>
        <v/>
      </c>
      <c r="CH611" t="str">
        <f>""</f>
        <v/>
      </c>
      <c r="CS611" t="str">
        <f>""</f>
        <v/>
      </c>
    </row>
    <row r="612" spans="1:97" x14ac:dyDescent="0.25">
      <c r="A612" t="s">
        <v>4079</v>
      </c>
      <c r="B612" t="s">
        <v>2854</v>
      </c>
      <c r="C612" t="s">
        <v>3831</v>
      </c>
      <c r="D612" t="s">
        <v>2854</v>
      </c>
      <c r="E612" t="s">
        <v>4080</v>
      </c>
      <c r="F612" t="s">
        <v>108</v>
      </c>
      <c r="H612" t="s">
        <v>4081</v>
      </c>
      <c r="I612" t="s">
        <v>2874</v>
      </c>
      <c r="J612" t="s">
        <v>111</v>
      </c>
      <c r="K612" t="str">
        <f>"85303"</f>
        <v>85303</v>
      </c>
      <c r="L612" t="s">
        <v>2875</v>
      </c>
      <c r="M612" t="s">
        <v>4081</v>
      </c>
      <c r="N612" t="s">
        <v>2874</v>
      </c>
      <c r="O612" t="s">
        <v>111</v>
      </c>
      <c r="P612" t="str">
        <f>"85303-3242"</f>
        <v>85303-3242</v>
      </c>
      <c r="Q612" t="s">
        <v>113</v>
      </c>
      <c r="R612" t="str">
        <f>"102-05-471"</f>
        <v>102-05-471</v>
      </c>
      <c r="S612" t="s">
        <v>2876</v>
      </c>
      <c r="T612" t="s">
        <v>2876</v>
      </c>
      <c r="U612">
        <v>2140</v>
      </c>
      <c r="W612">
        <v>4</v>
      </c>
      <c r="X612">
        <v>2015</v>
      </c>
      <c r="Z612">
        <v>1</v>
      </c>
      <c r="AC612" t="s">
        <v>115</v>
      </c>
      <c r="AD612">
        <v>2</v>
      </c>
      <c r="AE612" t="s">
        <v>115</v>
      </c>
      <c r="AH612" t="s">
        <v>116</v>
      </c>
      <c r="AI612" s="1">
        <v>65612</v>
      </c>
      <c r="AJ612" s="2">
        <v>0.2</v>
      </c>
      <c r="AK612" s="1">
        <v>323887</v>
      </c>
      <c r="AL612" t="s">
        <v>117</v>
      </c>
      <c r="AM612" t="s">
        <v>393</v>
      </c>
      <c r="AN612">
        <v>6600</v>
      </c>
      <c r="AO612">
        <v>0.15</v>
      </c>
      <c r="AR612">
        <v>1</v>
      </c>
      <c r="AS612" s="1">
        <v>24510</v>
      </c>
      <c r="AT612" s="1">
        <v>4900</v>
      </c>
      <c r="AU612" s="1">
        <v>19610</v>
      </c>
      <c r="AV612">
        <v>80.010000000000005</v>
      </c>
      <c r="AX612" s="1">
        <v>2547.7800000000002</v>
      </c>
      <c r="AY612" t="s">
        <v>2877</v>
      </c>
      <c r="AZ612" t="s">
        <v>2877</v>
      </c>
      <c r="BA612" t="s">
        <v>2878</v>
      </c>
      <c r="BE612" s="3">
        <v>42361</v>
      </c>
      <c r="BF612" s="1">
        <v>253222</v>
      </c>
      <c r="BG612" t="s">
        <v>2879</v>
      </c>
      <c r="BH612" s="1">
        <v>118.33</v>
      </c>
      <c r="BI612" s="1">
        <v>258275</v>
      </c>
      <c r="BJ612" s="3">
        <v>42361</v>
      </c>
      <c r="BK612" t="s">
        <v>123</v>
      </c>
      <c r="BL612" t="str">
        <f>"2015.906941"</f>
        <v>2015.906941</v>
      </c>
      <c r="BM612" t="s">
        <v>2980</v>
      </c>
      <c r="BO612" t="s">
        <v>4082</v>
      </c>
      <c r="BS612">
        <v>30</v>
      </c>
      <c r="BW612" t="str">
        <f>""</f>
        <v/>
      </c>
      <c r="CH612" t="str">
        <f>""</f>
        <v/>
      </c>
      <c r="CS612" t="str">
        <f>""</f>
        <v/>
      </c>
    </row>
    <row r="613" spans="1:97" x14ac:dyDescent="0.25">
      <c r="A613" t="s">
        <v>370</v>
      </c>
      <c r="B613" t="s">
        <v>3248</v>
      </c>
      <c r="C613" t="s">
        <v>727</v>
      </c>
      <c r="D613" t="s">
        <v>3248</v>
      </c>
      <c r="E613" t="s">
        <v>4083</v>
      </c>
      <c r="F613" t="s">
        <v>108</v>
      </c>
      <c r="H613" t="s">
        <v>4084</v>
      </c>
      <c r="I613" t="s">
        <v>203</v>
      </c>
      <c r="J613" t="s">
        <v>111</v>
      </c>
      <c r="K613" t="str">
        <f>"85298"</f>
        <v>85298</v>
      </c>
      <c r="L613" t="s">
        <v>269</v>
      </c>
      <c r="M613" t="s">
        <v>4084</v>
      </c>
      <c r="N613" t="s">
        <v>203</v>
      </c>
      <c r="O613" t="s">
        <v>111</v>
      </c>
      <c r="P613" t="str">
        <f>"85298-9771"</f>
        <v>85298-9771</v>
      </c>
      <c r="Q613" t="s">
        <v>113</v>
      </c>
      <c r="R613" t="str">
        <f>"313-19-133"</f>
        <v>313-19-133</v>
      </c>
      <c r="S613" t="s">
        <v>2803</v>
      </c>
      <c r="T613" t="s">
        <v>271</v>
      </c>
      <c r="U613">
        <v>3176</v>
      </c>
      <c r="W613">
        <v>4</v>
      </c>
      <c r="X613">
        <v>2015</v>
      </c>
      <c r="Z613">
        <v>2</v>
      </c>
      <c r="AC613" t="s">
        <v>115</v>
      </c>
      <c r="AD613">
        <v>2</v>
      </c>
      <c r="AE613" t="s">
        <v>115</v>
      </c>
      <c r="AH613" t="s">
        <v>116</v>
      </c>
      <c r="AI613" s="1">
        <v>131379</v>
      </c>
      <c r="AJ613" s="2">
        <v>0.31</v>
      </c>
      <c r="AK613" s="1">
        <v>428479</v>
      </c>
      <c r="AL613" t="s">
        <v>117</v>
      </c>
      <c r="AM613" t="s">
        <v>191</v>
      </c>
      <c r="AN613">
        <v>5828</v>
      </c>
      <c r="AO613">
        <v>0.13</v>
      </c>
      <c r="AR613">
        <v>1</v>
      </c>
      <c r="AS613" s="1">
        <v>29970</v>
      </c>
      <c r="AT613" s="1">
        <v>5990</v>
      </c>
      <c r="AU613" s="1">
        <v>23980</v>
      </c>
      <c r="AV613">
        <v>80.010000000000005</v>
      </c>
      <c r="AX613" s="1">
        <v>2351.58</v>
      </c>
      <c r="AY613" t="s">
        <v>272</v>
      </c>
      <c r="AZ613" t="s">
        <v>273</v>
      </c>
      <c r="BA613" t="s">
        <v>274</v>
      </c>
      <c r="BE613" s="3">
        <v>42248</v>
      </c>
      <c r="BF613" s="1">
        <v>300261</v>
      </c>
      <c r="BG613" t="s">
        <v>275</v>
      </c>
      <c r="BH613" s="1">
        <v>94.54</v>
      </c>
      <c r="BI613" s="1">
        <v>297100</v>
      </c>
      <c r="BJ613" s="3">
        <v>42754</v>
      </c>
      <c r="BK613" t="s">
        <v>123</v>
      </c>
      <c r="BL613" t="str">
        <f>"2017.40678"</f>
        <v>2017.40678</v>
      </c>
      <c r="BM613" t="s">
        <v>425</v>
      </c>
      <c r="BO613" t="s">
        <v>4085</v>
      </c>
      <c r="BS613">
        <v>30</v>
      </c>
      <c r="BW613" t="str">
        <f>""</f>
        <v/>
      </c>
      <c r="CH613" t="str">
        <f>""</f>
        <v/>
      </c>
      <c r="CS613" t="str">
        <f>""</f>
        <v/>
      </c>
    </row>
    <row r="614" spans="1:97" x14ac:dyDescent="0.25">
      <c r="A614" t="s">
        <v>4086</v>
      </c>
      <c r="B614" t="s">
        <v>4087</v>
      </c>
      <c r="C614" t="s">
        <v>2008</v>
      </c>
      <c r="D614" t="s">
        <v>4087</v>
      </c>
      <c r="E614" t="s">
        <v>4088</v>
      </c>
      <c r="F614" t="s">
        <v>108</v>
      </c>
      <c r="H614" t="s">
        <v>4089</v>
      </c>
      <c r="I614" t="s">
        <v>203</v>
      </c>
      <c r="J614" t="s">
        <v>111</v>
      </c>
      <c r="K614" t="str">
        <f>"85298"</f>
        <v>85298</v>
      </c>
      <c r="L614" t="s">
        <v>269</v>
      </c>
      <c r="M614" t="s">
        <v>4089</v>
      </c>
      <c r="N614" t="s">
        <v>203</v>
      </c>
      <c r="O614" t="s">
        <v>111</v>
      </c>
      <c r="P614" t="str">
        <f>"85298"</f>
        <v>85298</v>
      </c>
      <c r="Q614" t="s">
        <v>113</v>
      </c>
      <c r="R614" t="str">
        <f>"313-19-005"</f>
        <v>313-19-005</v>
      </c>
      <c r="S614" t="s">
        <v>2803</v>
      </c>
      <c r="T614" t="s">
        <v>271</v>
      </c>
      <c r="U614">
        <v>2658</v>
      </c>
      <c r="W614">
        <v>3</v>
      </c>
      <c r="X614">
        <v>2015</v>
      </c>
      <c r="Z614">
        <v>2</v>
      </c>
      <c r="AC614" t="s">
        <v>115</v>
      </c>
      <c r="AD614">
        <v>2</v>
      </c>
      <c r="AE614" t="s">
        <v>115</v>
      </c>
      <c r="AH614" t="s">
        <v>116</v>
      </c>
      <c r="AI614" s="1">
        <v>120475</v>
      </c>
      <c r="AJ614" s="2">
        <v>0.3</v>
      </c>
      <c r="AK614" s="1">
        <v>398281</v>
      </c>
      <c r="AL614" t="s">
        <v>117</v>
      </c>
      <c r="AM614" t="s">
        <v>191</v>
      </c>
      <c r="AN614">
        <v>5750</v>
      </c>
      <c r="AO614">
        <v>0.13</v>
      </c>
      <c r="AR614">
        <v>1</v>
      </c>
      <c r="AS614" s="1">
        <v>27320</v>
      </c>
      <c r="AT614" s="1">
        <v>5460</v>
      </c>
      <c r="AU614" s="1">
        <v>21860</v>
      </c>
      <c r="AV614">
        <v>80.010000000000005</v>
      </c>
      <c r="AX614" s="1">
        <v>2116.12</v>
      </c>
      <c r="AY614" t="s">
        <v>272</v>
      </c>
      <c r="AZ614" t="s">
        <v>273</v>
      </c>
      <c r="BA614" t="s">
        <v>274</v>
      </c>
      <c r="BE614" s="3">
        <v>42234</v>
      </c>
      <c r="BF614" s="1">
        <v>279408</v>
      </c>
      <c r="BG614" t="s">
        <v>275</v>
      </c>
      <c r="BH614" s="1">
        <v>105.12</v>
      </c>
      <c r="BI614" s="1">
        <v>277806</v>
      </c>
      <c r="BJ614" s="3">
        <v>42234</v>
      </c>
      <c r="BK614" t="s">
        <v>123</v>
      </c>
      <c r="BL614" t="str">
        <f>"2015.598812"</f>
        <v>2015.598812</v>
      </c>
      <c r="BM614" t="s">
        <v>651</v>
      </c>
      <c r="BO614" t="s">
        <v>4090</v>
      </c>
      <c r="BS614">
        <v>30</v>
      </c>
      <c r="BW614" t="str">
        <f>""</f>
        <v/>
      </c>
      <c r="CH614" t="str">
        <f>""</f>
        <v/>
      </c>
      <c r="CS614" t="str">
        <f>""</f>
        <v/>
      </c>
    </row>
    <row r="615" spans="1:97" x14ac:dyDescent="0.25">
      <c r="A615" t="s">
        <v>222</v>
      </c>
      <c r="B615" t="s">
        <v>4091</v>
      </c>
      <c r="C615" t="s">
        <v>2852</v>
      </c>
      <c r="D615" t="s">
        <v>4091</v>
      </c>
      <c r="E615" t="s">
        <v>4092</v>
      </c>
      <c r="F615" t="s">
        <v>108</v>
      </c>
      <c r="H615" t="s">
        <v>4093</v>
      </c>
      <c r="I615" t="s">
        <v>225</v>
      </c>
      <c r="J615" t="s">
        <v>111</v>
      </c>
      <c r="K615" t="str">
        <f>"85208"</f>
        <v>85208</v>
      </c>
      <c r="L615" t="s">
        <v>3982</v>
      </c>
      <c r="M615" t="s">
        <v>4093</v>
      </c>
      <c r="N615" t="s">
        <v>225</v>
      </c>
      <c r="O615" t="s">
        <v>111</v>
      </c>
      <c r="P615" t="str">
        <f>"85208-2663"</f>
        <v>85208-2663</v>
      </c>
      <c r="Q615" t="s">
        <v>113</v>
      </c>
      <c r="R615" t="str">
        <f>"220-73-864"</f>
        <v>220-73-864</v>
      </c>
      <c r="S615" t="s">
        <v>3983</v>
      </c>
      <c r="T615" t="s">
        <v>3984</v>
      </c>
      <c r="U615">
        <v>2580</v>
      </c>
      <c r="W615">
        <v>3</v>
      </c>
      <c r="X615">
        <v>2015</v>
      </c>
      <c r="Z615">
        <v>2</v>
      </c>
      <c r="AC615" t="s">
        <v>115</v>
      </c>
      <c r="AD615">
        <v>2</v>
      </c>
      <c r="AE615" t="s">
        <v>115</v>
      </c>
      <c r="AH615" t="s">
        <v>116</v>
      </c>
      <c r="AI615" s="1">
        <v>16358</v>
      </c>
      <c r="AJ615" s="2">
        <v>0.05</v>
      </c>
      <c r="AK615" s="1">
        <v>326858</v>
      </c>
      <c r="AL615" t="s">
        <v>117</v>
      </c>
      <c r="AM615" t="s">
        <v>191</v>
      </c>
      <c r="AN615">
        <v>5176</v>
      </c>
      <c r="AO615">
        <v>0.12</v>
      </c>
      <c r="AR615">
        <v>1</v>
      </c>
      <c r="AS615" s="1">
        <v>23120</v>
      </c>
      <c r="AT615" s="1">
        <v>4620</v>
      </c>
      <c r="AU615" s="1">
        <v>18500</v>
      </c>
      <c r="AV615">
        <v>80.02</v>
      </c>
      <c r="AX615" s="1">
        <v>2029.1</v>
      </c>
      <c r="AY615" t="s">
        <v>3985</v>
      </c>
      <c r="AZ615" t="s">
        <v>3761</v>
      </c>
      <c r="BA615" t="s">
        <v>232</v>
      </c>
      <c r="BE615" s="3">
        <v>42507</v>
      </c>
      <c r="BF615" s="1">
        <v>259990</v>
      </c>
      <c r="BG615" t="s">
        <v>233</v>
      </c>
      <c r="BH615" s="1">
        <v>100.77</v>
      </c>
      <c r="BI615" s="1">
        <v>280000</v>
      </c>
      <c r="BJ615" s="3">
        <v>43018</v>
      </c>
      <c r="BK615" t="s">
        <v>123</v>
      </c>
      <c r="BL615" t="str">
        <f>"2017.748455"</f>
        <v>2017.748455</v>
      </c>
      <c r="BM615" t="s">
        <v>4094</v>
      </c>
      <c r="BN615">
        <v>92626</v>
      </c>
      <c r="BO615" t="s">
        <v>4095</v>
      </c>
      <c r="BS615">
        <v>30</v>
      </c>
      <c r="BT615" s="1">
        <v>30500</v>
      </c>
      <c r="BU615" s="3">
        <v>43266</v>
      </c>
      <c r="BV615" t="s">
        <v>134</v>
      </c>
      <c r="BW615" t="str">
        <f>"2018.459881"</f>
        <v>2018.459881</v>
      </c>
      <c r="BX615" t="s">
        <v>3538</v>
      </c>
      <c r="BY615" t="s">
        <v>3539</v>
      </c>
      <c r="BZ615" t="s">
        <v>4096</v>
      </c>
      <c r="CA615" t="s">
        <v>4097</v>
      </c>
      <c r="CC615" t="s">
        <v>139</v>
      </c>
      <c r="CH615" t="str">
        <f>""</f>
        <v/>
      </c>
      <c r="CS615" t="str">
        <f>""</f>
        <v/>
      </c>
    </row>
    <row r="616" spans="1:97" x14ac:dyDescent="0.25">
      <c r="A616" t="s">
        <v>4098</v>
      </c>
      <c r="B616" t="s">
        <v>4099</v>
      </c>
      <c r="E616" t="s">
        <v>4100</v>
      </c>
      <c r="F616" t="s">
        <v>108</v>
      </c>
      <c r="H616" t="s">
        <v>4101</v>
      </c>
      <c r="I616" t="s">
        <v>144</v>
      </c>
      <c r="J616" t="s">
        <v>111</v>
      </c>
      <c r="K616" t="str">
        <f>"85396"</f>
        <v>85396</v>
      </c>
      <c r="L616" t="s">
        <v>2820</v>
      </c>
      <c r="M616" t="s">
        <v>4101</v>
      </c>
      <c r="N616" t="s">
        <v>144</v>
      </c>
      <c r="O616" t="s">
        <v>111</v>
      </c>
      <c r="P616" t="str">
        <f>"85396-1813"</f>
        <v>85396-1813</v>
      </c>
      <c r="Q616" t="s">
        <v>113</v>
      </c>
      <c r="R616" t="str">
        <f>"502-86-210"</f>
        <v>502-86-210</v>
      </c>
      <c r="S616" t="s">
        <v>2821</v>
      </c>
      <c r="U616">
        <v>2999</v>
      </c>
      <c r="W616">
        <v>4</v>
      </c>
      <c r="X616">
        <v>2015</v>
      </c>
      <c r="Z616">
        <v>1</v>
      </c>
      <c r="AC616" t="s">
        <v>115</v>
      </c>
      <c r="AD616">
        <v>3</v>
      </c>
      <c r="AE616" t="s">
        <v>115</v>
      </c>
      <c r="AH616" t="s">
        <v>116</v>
      </c>
      <c r="AI616" s="1">
        <v>23529</v>
      </c>
      <c r="AJ616" s="2">
        <v>0.06</v>
      </c>
      <c r="AK616" s="1">
        <v>419391</v>
      </c>
      <c r="AL616" t="s">
        <v>117</v>
      </c>
      <c r="AM616" t="s">
        <v>118</v>
      </c>
      <c r="AN616">
        <v>9580</v>
      </c>
      <c r="AO616">
        <v>0.22</v>
      </c>
      <c r="AR616">
        <v>1</v>
      </c>
      <c r="AS616" s="1">
        <v>30370</v>
      </c>
      <c r="AT616" s="1">
        <v>6070</v>
      </c>
      <c r="AU616" s="1">
        <v>24300</v>
      </c>
      <c r="AV616">
        <v>80.010000000000005</v>
      </c>
      <c r="AX616" s="1">
        <v>3806.84</v>
      </c>
      <c r="AY616" t="s">
        <v>217</v>
      </c>
      <c r="AZ616" t="s">
        <v>217</v>
      </c>
      <c r="BA616" t="s">
        <v>218</v>
      </c>
      <c r="BE616" s="3">
        <v>42328</v>
      </c>
      <c r="BF616" s="1">
        <v>395862</v>
      </c>
      <c r="BG616" t="s">
        <v>562</v>
      </c>
      <c r="BH616" s="1">
        <v>132</v>
      </c>
      <c r="BI616" s="1">
        <v>395862</v>
      </c>
      <c r="BJ616" s="3">
        <v>42328</v>
      </c>
      <c r="BK616" t="s">
        <v>123</v>
      </c>
      <c r="BL616" t="str">
        <f>"2015.830937"</f>
        <v>2015.830937</v>
      </c>
      <c r="BM616" t="s">
        <v>175</v>
      </c>
      <c r="BO616" t="s">
        <v>4102</v>
      </c>
      <c r="BS616">
        <v>30</v>
      </c>
      <c r="BW616" t="str">
        <f>""</f>
        <v/>
      </c>
      <c r="CH616" t="str">
        <f>""</f>
        <v/>
      </c>
      <c r="CS616" t="str">
        <f>""</f>
        <v/>
      </c>
    </row>
    <row r="617" spans="1:97" x14ac:dyDescent="0.25">
      <c r="A617" t="s">
        <v>3221</v>
      </c>
      <c r="B617" t="s">
        <v>4103</v>
      </c>
      <c r="E617" t="s">
        <v>4104</v>
      </c>
      <c r="F617" t="s">
        <v>108</v>
      </c>
      <c r="H617" t="s">
        <v>4105</v>
      </c>
      <c r="I617" t="s">
        <v>390</v>
      </c>
      <c r="J617" t="s">
        <v>111</v>
      </c>
      <c r="K617" t="str">
        <f>"85042"</f>
        <v>85042</v>
      </c>
      <c r="L617" t="s">
        <v>2857</v>
      </c>
      <c r="M617" t="s">
        <v>4105</v>
      </c>
      <c r="N617" t="s">
        <v>390</v>
      </c>
      <c r="O617" t="s">
        <v>111</v>
      </c>
      <c r="P617" t="str">
        <f>"85042-6664"</f>
        <v>85042-6664</v>
      </c>
      <c r="Q617" t="s">
        <v>113</v>
      </c>
      <c r="R617" t="str">
        <f>"300-19-077"</f>
        <v>300-19-077</v>
      </c>
      <c r="S617" t="s">
        <v>2858</v>
      </c>
      <c r="T617" t="s">
        <v>2858</v>
      </c>
      <c r="U617">
        <v>1935</v>
      </c>
      <c r="W617">
        <v>4</v>
      </c>
      <c r="X617">
        <v>2016</v>
      </c>
      <c r="Z617">
        <v>2</v>
      </c>
      <c r="AC617" t="s">
        <v>115</v>
      </c>
      <c r="AD617">
        <v>2</v>
      </c>
      <c r="AE617" t="s">
        <v>115</v>
      </c>
      <c r="AH617" t="s">
        <v>116</v>
      </c>
      <c r="AI617" s="1">
        <v>46733</v>
      </c>
      <c r="AJ617" s="2">
        <v>0.15</v>
      </c>
      <c r="AK617" s="1">
        <v>319540</v>
      </c>
      <c r="AL617" t="s">
        <v>117</v>
      </c>
      <c r="AM617" t="s">
        <v>1302</v>
      </c>
      <c r="AN617">
        <v>5259</v>
      </c>
      <c r="AO617">
        <v>0.12</v>
      </c>
      <c r="AR617">
        <v>1</v>
      </c>
      <c r="AS617" s="1">
        <v>23200</v>
      </c>
      <c r="AT617" s="1">
        <v>4640</v>
      </c>
      <c r="AU617" s="1">
        <v>18560</v>
      </c>
      <c r="AV617">
        <v>80</v>
      </c>
      <c r="AX617" s="1">
        <v>2724.08</v>
      </c>
      <c r="AY617" t="s">
        <v>2859</v>
      </c>
      <c r="AZ617" t="s">
        <v>2859</v>
      </c>
      <c r="BA617" t="s">
        <v>2860</v>
      </c>
      <c r="BE617" s="3">
        <v>42522</v>
      </c>
      <c r="BF617" s="1">
        <v>272807</v>
      </c>
      <c r="BG617" t="s">
        <v>1079</v>
      </c>
      <c r="BH617" s="1">
        <v>140.99</v>
      </c>
      <c r="BI617" s="1">
        <v>272807</v>
      </c>
      <c r="BJ617" s="3">
        <v>42522</v>
      </c>
      <c r="BK617" t="s">
        <v>123</v>
      </c>
      <c r="BL617" t="str">
        <f>"2016.378388"</f>
        <v>2016.378388</v>
      </c>
      <c r="BM617" t="s">
        <v>1287</v>
      </c>
      <c r="BO617" t="s">
        <v>4106</v>
      </c>
      <c r="BS617">
        <v>30</v>
      </c>
      <c r="BW617" t="str">
        <f>""</f>
        <v/>
      </c>
      <c r="CH617" t="str">
        <f>""</f>
        <v/>
      </c>
      <c r="CS617" t="str">
        <f>""</f>
        <v/>
      </c>
    </row>
    <row r="618" spans="1:97" x14ac:dyDescent="0.25">
      <c r="A618" t="s">
        <v>305</v>
      </c>
      <c r="B618" t="s">
        <v>4107</v>
      </c>
      <c r="C618" t="s">
        <v>4108</v>
      </c>
      <c r="D618" t="s">
        <v>4107</v>
      </c>
      <c r="E618" t="s">
        <v>4109</v>
      </c>
      <c r="F618" t="s">
        <v>108</v>
      </c>
      <c r="H618" t="s">
        <v>4110</v>
      </c>
      <c r="I618" t="s">
        <v>225</v>
      </c>
      <c r="J618" t="s">
        <v>111</v>
      </c>
      <c r="K618" t="str">
        <f>"85208"</f>
        <v>85208</v>
      </c>
      <c r="L618" t="s">
        <v>3982</v>
      </c>
      <c r="M618" t="s">
        <v>4110</v>
      </c>
      <c r="N618" t="s">
        <v>225</v>
      </c>
      <c r="O618" t="s">
        <v>111</v>
      </c>
      <c r="P618" t="str">
        <f>"85208-2662"</f>
        <v>85208-2662</v>
      </c>
      <c r="Q618" t="s">
        <v>113</v>
      </c>
      <c r="R618" t="str">
        <f>"220-73-862"</f>
        <v>220-73-862</v>
      </c>
      <c r="S618" t="s">
        <v>3983</v>
      </c>
      <c r="T618" t="s">
        <v>3984</v>
      </c>
      <c r="U618">
        <v>1993</v>
      </c>
      <c r="W618">
        <v>3</v>
      </c>
      <c r="X618">
        <v>2015</v>
      </c>
      <c r="Z618">
        <v>1</v>
      </c>
      <c r="AC618" t="s">
        <v>115</v>
      </c>
      <c r="AD618">
        <v>2</v>
      </c>
      <c r="AE618" t="s">
        <v>115</v>
      </c>
      <c r="AH618" t="s">
        <v>116</v>
      </c>
      <c r="AI618" s="1">
        <v>32243</v>
      </c>
      <c r="AJ618" s="2">
        <v>0.1</v>
      </c>
      <c r="AK618" s="1">
        <v>311874</v>
      </c>
      <c r="AL618" t="s">
        <v>117</v>
      </c>
      <c r="AM618" t="s">
        <v>191</v>
      </c>
      <c r="AN618">
        <v>5176</v>
      </c>
      <c r="AO618">
        <v>0.12</v>
      </c>
      <c r="AR618">
        <v>1</v>
      </c>
      <c r="AS618" s="1">
        <v>21680</v>
      </c>
      <c r="AT618" s="1">
        <v>4330</v>
      </c>
      <c r="AU618" s="1">
        <v>17350</v>
      </c>
      <c r="AV618">
        <v>80.03</v>
      </c>
      <c r="AX618" s="1">
        <v>1939.2</v>
      </c>
      <c r="AY618" t="s">
        <v>3985</v>
      </c>
      <c r="AZ618" t="s">
        <v>3761</v>
      </c>
      <c r="BA618" t="s">
        <v>232</v>
      </c>
      <c r="BE618" s="3">
        <v>42389</v>
      </c>
      <c r="BF618" s="1">
        <v>270698</v>
      </c>
      <c r="BG618" t="s">
        <v>233</v>
      </c>
      <c r="BH618" s="1">
        <v>135.82</v>
      </c>
      <c r="BI618" s="1">
        <v>279631</v>
      </c>
      <c r="BJ618" s="3">
        <v>42389</v>
      </c>
      <c r="BK618" t="s">
        <v>123</v>
      </c>
      <c r="BL618" t="str">
        <f>"2016.39396"</f>
        <v>2016.39396</v>
      </c>
      <c r="BM618" t="s">
        <v>544</v>
      </c>
      <c r="BO618" t="s">
        <v>4111</v>
      </c>
      <c r="BS618">
        <v>30</v>
      </c>
      <c r="BW618" t="str">
        <f>""</f>
        <v/>
      </c>
      <c r="CH618" t="str">
        <f>""</f>
        <v/>
      </c>
      <c r="CS618" t="str">
        <f>""</f>
        <v/>
      </c>
    </row>
    <row r="619" spans="1:97" x14ac:dyDescent="0.25">
      <c r="A619" t="s">
        <v>1067</v>
      </c>
      <c r="B619" t="s">
        <v>815</v>
      </c>
      <c r="C619" t="s">
        <v>794</v>
      </c>
      <c r="D619" t="s">
        <v>815</v>
      </c>
      <c r="E619" t="s">
        <v>4112</v>
      </c>
      <c r="F619" t="s">
        <v>108</v>
      </c>
      <c r="H619" t="s">
        <v>4113</v>
      </c>
      <c r="I619" t="s">
        <v>144</v>
      </c>
      <c r="J619" t="s">
        <v>111</v>
      </c>
      <c r="K619" t="str">
        <f>"85396"</f>
        <v>85396</v>
      </c>
      <c r="L619" t="s">
        <v>145</v>
      </c>
      <c r="M619" t="s">
        <v>4113</v>
      </c>
      <c r="N619" t="s">
        <v>144</v>
      </c>
      <c r="O619" t="s">
        <v>111</v>
      </c>
      <c r="P619" t="str">
        <f>"85396-1765"</f>
        <v>85396-1765</v>
      </c>
      <c r="Q619" t="s">
        <v>113</v>
      </c>
      <c r="R619" t="str">
        <f>"502-83-426"</f>
        <v>502-83-426</v>
      </c>
      <c r="S619" t="s">
        <v>1652</v>
      </c>
      <c r="U619">
        <v>4329</v>
      </c>
      <c r="W619">
        <v>5</v>
      </c>
      <c r="X619">
        <v>2015</v>
      </c>
      <c r="Z619">
        <v>2</v>
      </c>
      <c r="AA619" t="s">
        <v>26</v>
      </c>
      <c r="AC619" t="s">
        <v>115</v>
      </c>
      <c r="AD619">
        <v>3</v>
      </c>
      <c r="AE619" t="s">
        <v>115</v>
      </c>
      <c r="AH619" t="s">
        <v>116</v>
      </c>
      <c r="AI619" s="1">
        <v>77603</v>
      </c>
      <c r="AJ619" s="2">
        <v>0.16</v>
      </c>
      <c r="AK619" s="1">
        <v>494603</v>
      </c>
      <c r="AL619" t="s">
        <v>117</v>
      </c>
      <c r="AM619" t="s">
        <v>118</v>
      </c>
      <c r="AN619">
        <v>9823</v>
      </c>
      <c r="AO619">
        <v>0.23</v>
      </c>
      <c r="AR619">
        <v>1</v>
      </c>
      <c r="AS619" s="1">
        <v>35400</v>
      </c>
      <c r="AT619" s="1">
        <v>7080</v>
      </c>
      <c r="AU619" s="1">
        <v>28320</v>
      </c>
      <c r="AV619">
        <v>80</v>
      </c>
      <c r="AX619" s="1">
        <v>4726.0200000000004</v>
      </c>
      <c r="AY619" t="s">
        <v>217</v>
      </c>
      <c r="AZ619" t="s">
        <v>217</v>
      </c>
      <c r="BA619" t="s">
        <v>218</v>
      </c>
      <c r="BE619" s="3">
        <v>42345</v>
      </c>
      <c r="BF619" s="1">
        <v>417848</v>
      </c>
      <c r="BG619" t="s">
        <v>209</v>
      </c>
      <c r="BH619" s="1">
        <v>96.52</v>
      </c>
      <c r="BI619" s="1">
        <v>417000</v>
      </c>
      <c r="BJ619" s="3">
        <v>42345</v>
      </c>
      <c r="BK619" t="s">
        <v>123</v>
      </c>
      <c r="BL619" t="str">
        <f>"2015.862924"</f>
        <v>2015.862924</v>
      </c>
      <c r="BM619" t="s">
        <v>175</v>
      </c>
      <c r="BO619" t="s">
        <v>4114</v>
      </c>
      <c r="BS619">
        <v>30</v>
      </c>
      <c r="BW619" t="str">
        <f>""</f>
        <v/>
      </c>
      <c r="CH619" t="str">
        <f>""</f>
        <v/>
      </c>
      <c r="CS619" t="str">
        <f>""</f>
        <v/>
      </c>
    </row>
    <row r="620" spans="1:97" x14ac:dyDescent="0.25">
      <c r="A620" t="s">
        <v>4115</v>
      </c>
      <c r="B620" t="s">
        <v>4116</v>
      </c>
      <c r="E620" t="s">
        <v>4117</v>
      </c>
      <c r="F620" t="s">
        <v>108</v>
      </c>
      <c r="H620" t="s">
        <v>4118</v>
      </c>
      <c r="I620" t="s">
        <v>110</v>
      </c>
      <c r="J620" t="s">
        <v>111</v>
      </c>
      <c r="K620" t="str">
        <f>"85225"</f>
        <v>85225</v>
      </c>
      <c r="L620" t="s">
        <v>1300</v>
      </c>
      <c r="M620" t="s">
        <v>4118</v>
      </c>
      <c r="N620" t="s">
        <v>110</v>
      </c>
      <c r="O620" t="s">
        <v>111</v>
      </c>
      <c r="P620" t="str">
        <f>"85225-1494"</f>
        <v>85225-1494</v>
      </c>
      <c r="Q620" t="s">
        <v>113</v>
      </c>
      <c r="R620" t="str">
        <f>"302-95-509"</f>
        <v>302-95-509</v>
      </c>
      <c r="S620" t="s">
        <v>2954</v>
      </c>
      <c r="T620" t="s">
        <v>2955</v>
      </c>
      <c r="U620">
        <v>1842</v>
      </c>
      <c r="W620">
        <v>3</v>
      </c>
      <c r="X620">
        <v>2016</v>
      </c>
      <c r="Z620">
        <v>1</v>
      </c>
      <c r="AC620" t="s">
        <v>115</v>
      </c>
      <c r="AD620">
        <v>2</v>
      </c>
      <c r="AE620" t="s">
        <v>115</v>
      </c>
      <c r="AH620" t="s">
        <v>116</v>
      </c>
      <c r="AI620" s="1">
        <v>48534</v>
      </c>
      <c r="AJ620" s="2">
        <v>0.14000000000000001</v>
      </c>
      <c r="AK620" s="1">
        <v>348526</v>
      </c>
      <c r="AL620" t="s">
        <v>117</v>
      </c>
      <c r="AM620" t="s">
        <v>118</v>
      </c>
      <c r="AN620">
        <v>5000</v>
      </c>
      <c r="AO620">
        <v>0.12</v>
      </c>
      <c r="AR620">
        <v>1</v>
      </c>
      <c r="AS620" s="1">
        <v>25420</v>
      </c>
      <c r="AT620" s="1">
        <v>5080</v>
      </c>
      <c r="AU620" s="1">
        <v>20340</v>
      </c>
      <c r="AV620">
        <v>80.02</v>
      </c>
      <c r="AX620" s="1">
        <v>1743.2</v>
      </c>
      <c r="AY620" t="s">
        <v>2956</v>
      </c>
      <c r="AZ620" t="s">
        <v>2906</v>
      </c>
      <c r="BA620" t="s">
        <v>2957</v>
      </c>
      <c r="BE620" s="3">
        <v>42452</v>
      </c>
      <c r="BF620" s="1">
        <v>289813</v>
      </c>
      <c r="BG620" t="s">
        <v>209</v>
      </c>
      <c r="BH620" s="1">
        <v>157.34</v>
      </c>
      <c r="BI620" s="1">
        <v>299992</v>
      </c>
      <c r="BJ620" s="3">
        <v>42549</v>
      </c>
      <c r="BK620" t="s">
        <v>123</v>
      </c>
      <c r="BL620" t="str">
        <f>"2016.449951"</f>
        <v>2016.449951</v>
      </c>
      <c r="BM620" t="s">
        <v>1707</v>
      </c>
      <c r="BO620" t="s">
        <v>4119</v>
      </c>
      <c r="BS620">
        <v>30</v>
      </c>
      <c r="BW620" t="str">
        <f>""</f>
        <v/>
      </c>
      <c r="CH620" t="str">
        <f>""</f>
        <v/>
      </c>
      <c r="CS620" t="str">
        <f>""</f>
        <v/>
      </c>
    </row>
    <row r="621" spans="1:97" x14ac:dyDescent="0.25">
      <c r="A621" t="s">
        <v>464</v>
      </c>
      <c r="B621" t="s">
        <v>998</v>
      </c>
      <c r="C621" t="s">
        <v>2286</v>
      </c>
      <c r="D621" t="s">
        <v>998</v>
      </c>
      <c r="E621" t="s">
        <v>4120</v>
      </c>
      <c r="F621" t="s">
        <v>108</v>
      </c>
      <c r="H621" t="s">
        <v>4121</v>
      </c>
      <c r="I621" t="s">
        <v>110</v>
      </c>
      <c r="J621" t="s">
        <v>111</v>
      </c>
      <c r="K621" t="str">
        <f>"85225"</f>
        <v>85225</v>
      </c>
      <c r="L621" t="s">
        <v>1300</v>
      </c>
      <c r="M621" t="s">
        <v>4121</v>
      </c>
      <c r="N621" t="s">
        <v>110</v>
      </c>
      <c r="O621" t="s">
        <v>111</v>
      </c>
      <c r="P621" t="str">
        <f>"85225-1934"</f>
        <v>85225-1934</v>
      </c>
      <c r="Q621" t="s">
        <v>113</v>
      </c>
      <c r="R621" t="str">
        <f>"302-95-473"</f>
        <v>302-95-473</v>
      </c>
      <c r="S621" t="s">
        <v>2954</v>
      </c>
      <c r="T621" t="s">
        <v>2955</v>
      </c>
      <c r="U621">
        <v>1842</v>
      </c>
      <c r="W621">
        <v>3</v>
      </c>
      <c r="X621">
        <v>2015</v>
      </c>
      <c r="Z621">
        <v>1</v>
      </c>
      <c r="AC621" t="s">
        <v>115</v>
      </c>
      <c r="AD621">
        <v>2</v>
      </c>
      <c r="AE621" t="s">
        <v>115</v>
      </c>
      <c r="AH621" t="s">
        <v>116</v>
      </c>
      <c r="AI621" s="1">
        <v>70644</v>
      </c>
      <c r="AJ621" s="2">
        <v>0.2</v>
      </c>
      <c r="AK621" s="1">
        <v>353215</v>
      </c>
      <c r="AL621" t="s">
        <v>117</v>
      </c>
      <c r="AM621" t="s">
        <v>118</v>
      </c>
      <c r="AN621">
        <v>4960</v>
      </c>
      <c r="AO621">
        <v>0.11</v>
      </c>
      <c r="AR621">
        <v>1</v>
      </c>
      <c r="AS621" s="1">
        <v>25380</v>
      </c>
      <c r="AT621" s="1">
        <v>5070</v>
      </c>
      <c r="AU621" s="1">
        <v>20310</v>
      </c>
      <c r="AV621">
        <v>80.02</v>
      </c>
      <c r="AX621" s="1">
        <v>1645.2</v>
      </c>
      <c r="AY621" t="s">
        <v>2956</v>
      </c>
      <c r="AZ621" t="s">
        <v>2906</v>
      </c>
      <c r="BA621" t="s">
        <v>2957</v>
      </c>
      <c r="BE621" s="3">
        <v>42178</v>
      </c>
      <c r="BF621" s="1">
        <v>276624</v>
      </c>
      <c r="BG621" t="s">
        <v>209</v>
      </c>
      <c r="BH621" s="1">
        <v>150.18</v>
      </c>
      <c r="BI621" s="1">
        <v>282571</v>
      </c>
      <c r="BJ621" s="3">
        <v>42178</v>
      </c>
      <c r="BK621" t="s">
        <v>123</v>
      </c>
      <c r="BL621" t="str">
        <f>"2015.448049"</f>
        <v>2015.448049</v>
      </c>
      <c r="BM621" t="s">
        <v>175</v>
      </c>
      <c r="BO621" t="s">
        <v>4122</v>
      </c>
      <c r="BS621">
        <v>30</v>
      </c>
      <c r="BW621" t="str">
        <f>""</f>
        <v/>
      </c>
      <c r="CH621" t="str">
        <f>""</f>
        <v/>
      </c>
      <c r="CS621" t="str">
        <f>""</f>
        <v/>
      </c>
    </row>
    <row r="622" spans="1:97" x14ac:dyDescent="0.25">
      <c r="A622" t="s">
        <v>2915</v>
      </c>
      <c r="B622" t="s">
        <v>4123</v>
      </c>
      <c r="C622" t="s">
        <v>4124</v>
      </c>
      <c r="D622" t="s">
        <v>4123</v>
      </c>
      <c r="E622" t="s">
        <v>4125</v>
      </c>
      <c r="F622" t="s">
        <v>108</v>
      </c>
      <c r="H622" t="s">
        <v>4126</v>
      </c>
      <c r="I622" t="s">
        <v>203</v>
      </c>
      <c r="J622" t="s">
        <v>111</v>
      </c>
      <c r="K622" t="str">
        <f>"85296"</f>
        <v>85296</v>
      </c>
      <c r="L622" t="s">
        <v>469</v>
      </c>
      <c r="M622" t="s">
        <v>4126</v>
      </c>
      <c r="N622" t="s">
        <v>203</v>
      </c>
      <c r="O622" t="s">
        <v>111</v>
      </c>
      <c r="P622" t="str">
        <f>"85296-1471"</f>
        <v>85296-1471</v>
      </c>
      <c r="Q622" t="s">
        <v>113</v>
      </c>
      <c r="R622" t="str">
        <f>"313-18-665"</f>
        <v>313-18-665</v>
      </c>
      <c r="S622" t="s">
        <v>1645</v>
      </c>
      <c r="T622" t="s">
        <v>471</v>
      </c>
      <c r="U622">
        <v>2088</v>
      </c>
      <c r="W622">
        <v>5</v>
      </c>
      <c r="X622">
        <v>2015</v>
      </c>
      <c r="Z622">
        <v>2</v>
      </c>
      <c r="AC622" t="s">
        <v>115</v>
      </c>
      <c r="AD622">
        <v>2</v>
      </c>
      <c r="AE622" t="s">
        <v>115</v>
      </c>
      <c r="AH622" t="s">
        <v>116</v>
      </c>
      <c r="AI622" s="1">
        <v>57891</v>
      </c>
      <c r="AJ622" s="2">
        <v>0.17</v>
      </c>
      <c r="AK622" s="1">
        <v>330891</v>
      </c>
      <c r="AL622" t="s">
        <v>117</v>
      </c>
      <c r="AM622" t="s">
        <v>288</v>
      </c>
      <c r="AN622">
        <v>3270</v>
      </c>
      <c r="AO622">
        <v>0.75</v>
      </c>
      <c r="AR622">
        <v>1</v>
      </c>
      <c r="AS622" s="1">
        <v>23560</v>
      </c>
      <c r="AT622" s="1">
        <v>4710</v>
      </c>
      <c r="AU622" s="1">
        <v>18850</v>
      </c>
      <c r="AV622">
        <v>80.010000000000005</v>
      </c>
      <c r="AX622" s="1">
        <v>1779.12</v>
      </c>
      <c r="AY622" t="s">
        <v>472</v>
      </c>
      <c r="AZ622" t="s">
        <v>472</v>
      </c>
      <c r="BA622" t="s">
        <v>473</v>
      </c>
      <c r="BB622" s="3">
        <v>43010</v>
      </c>
      <c r="BD622" t="s">
        <v>157</v>
      </c>
      <c r="BE622" s="3">
        <v>42214</v>
      </c>
      <c r="BF622" s="1">
        <v>255404</v>
      </c>
      <c r="BG622" t="s">
        <v>617</v>
      </c>
      <c r="BH622" s="1">
        <v>122.32</v>
      </c>
      <c r="BI622" s="1">
        <v>273000</v>
      </c>
      <c r="BJ622" s="3">
        <v>43010</v>
      </c>
      <c r="BK622" t="s">
        <v>123</v>
      </c>
      <c r="BL622" t="str">
        <f>"2017.729916"</f>
        <v>2017.729916</v>
      </c>
      <c r="BM622" t="s">
        <v>4127</v>
      </c>
      <c r="BO622" t="s">
        <v>4128</v>
      </c>
      <c r="BS622">
        <v>30</v>
      </c>
      <c r="BT622" s="1">
        <v>273000</v>
      </c>
      <c r="BU622" s="3">
        <v>43010</v>
      </c>
      <c r="BV622" t="s">
        <v>123</v>
      </c>
      <c r="BW622" t="str">
        <f>"2017.729916"</f>
        <v>2017.729916</v>
      </c>
      <c r="BX622" t="s">
        <v>4127</v>
      </c>
      <c r="BZ622" t="s">
        <v>4128</v>
      </c>
      <c r="CD622">
        <v>30</v>
      </c>
      <c r="CH622" t="str">
        <f>""</f>
        <v/>
      </c>
      <c r="CS622" t="str">
        <f>""</f>
        <v/>
      </c>
    </row>
    <row r="623" spans="1:97" x14ac:dyDescent="0.25">
      <c r="A623" t="s">
        <v>1009</v>
      </c>
      <c r="B623" t="s">
        <v>4129</v>
      </c>
      <c r="C623" t="s">
        <v>4130</v>
      </c>
      <c r="D623" t="s">
        <v>4131</v>
      </c>
      <c r="E623" t="s">
        <v>4132</v>
      </c>
      <c r="F623" t="s">
        <v>108</v>
      </c>
      <c r="H623" t="s">
        <v>4133</v>
      </c>
      <c r="I623" t="s">
        <v>2874</v>
      </c>
      <c r="J623" t="s">
        <v>111</v>
      </c>
      <c r="K623" t="str">
        <f>"85303"</f>
        <v>85303</v>
      </c>
      <c r="L623" t="s">
        <v>2875</v>
      </c>
      <c r="M623" t="s">
        <v>4133</v>
      </c>
      <c r="N623" t="s">
        <v>2874</v>
      </c>
      <c r="O623" t="s">
        <v>111</v>
      </c>
      <c r="P623" t="str">
        <f>"85303-3241"</f>
        <v>85303-3241</v>
      </c>
      <c r="Q623" t="s">
        <v>113</v>
      </c>
      <c r="R623" t="str">
        <f>"102-05-447"</f>
        <v>102-05-447</v>
      </c>
      <c r="S623" t="s">
        <v>2876</v>
      </c>
      <c r="T623" t="s">
        <v>2876</v>
      </c>
      <c r="U623">
        <v>2148</v>
      </c>
      <c r="W623">
        <v>3</v>
      </c>
      <c r="X623">
        <v>2015</v>
      </c>
      <c r="Z623">
        <v>1</v>
      </c>
      <c r="AC623" t="s">
        <v>115</v>
      </c>
      <c r="AD623">
        <v>2</v>
      </c>
      <c r="AE623" t="s">
        <v>115</v>
      </c>
      <c r="AH623" t="s">
        <v>116</v>
      </c>
      <c r="AI623" s="1">
        <v>58484</v>
      </c>
      <c r="AJ623" s="2">
        <v>0.17</v>
      </c>
      <c r="AK623" s="1">
        <v>337721</v>
      </c>
      <c r="AL623" t="s">
        <v>117</v>
      </c>
      <c r="AM623" t="s">
        <v>393</v>
      </c>
      <c r="AN623">
        <v>10594</v>
      </c>
      <c r="AO623">
        <v>0.24</v>
      </c>
      <c r="AR623">
        <v>1</v>
      </c>
      <c r="AS623" s="1">
        <v>25250</v>
      </c>
      <c r="AT623" s="1">
        <v>5050</v>
      </c>
      <c r="AU623" s="1">
        <v>20200</v>
      </c>
      <c r="AV623">
        <v>80</v>
      </c>
      <c r="AX623" s="1">
        <v>2603.1</v>
      </c>
      <c r="AY623" t="s">
        <v>2877</v>
      </c>
      <c r="AZ623" t="s">
        <v>2877</v>
      </c>
      <c r="BA623" t="s">
        <v>2878</v>
      </c>
      <c r="BE623" s="3">
        <v>42362</v>
      </c>
      <c r="BF623" s="1">
        <v>277397</v>
      </c>
      <c r="BG623" t="s">
        <v>2879</v>
      </c>
      <c r="BH623" s="1">
        <v>129.13999999999999</v>
      </c>
      <c r="BI623" s="1">
        <v>279237</v>
      </c>
      <c r="BJ623" s="3">
        <v>42690</v>
      </c>
      <c r="BK623" t="s">
        <v>123</v>
      </c>
      <c r="BL623" t="str">
        <f>"2016.846671"</f>
        <v>2016.846671</v>
      </c>
      <c r="BM623" t="s">
        <v>402</v>
      </c>
      <c r="BO623" t="s">
        <v>4134</v>
      </c>
      <c r="BP623" t="s">
        <v>4135</v>
      </c>
      <c r="BS623">
        <v>30</v>
      </c>
      <c r="BW623" t="str">
        <f>""</f>
        <v/>
      </c>
      <c r="CH623" t="str">
        <f>""</f>
        <v/>
      </c>
      <c r="CS623" t="str">
        <f>""</f>
        <v/>
      </c>
    </row>
    <row r="624" spans="1:97" x14ac:dyDescent="0.25">
      <c r="A624" t="s">
        <v>4136</v>
      </c>
      <c r="B624" t="s">
        <v>4137</v>
      </c>
      <c r="E624" t="s">
        <v>4138</v>
      </c>
      <c r="F624" t="s">
        <v>108</v>
      </c>
      <c r="H624" t="s">
        <v>4139</v>
      </c>
      <c r="I624" t="s">
        <v>499</v>
      </c>
      <c r="J624" t="s">
        <v>111</v>
      </c>
      <c r="K624" t="str">
        <f>"85338"</f>
        <v>85338</v>
      </c>
      <c r="L624" t="s">
        <v>2765</v>
      </c>
      <c r="M624" t="s">
        <v>4139</v>
      </c>
      <c r="N624" t="s">
        <v>499</v>
      </c>
      <c r="O624" t="s">
        <v>111</v>
      </c>
      <c r="P624" t="str">
        <f>"85338-7822"</f>
        <v>85338-7822</v>
      </c>
      <c r="Q624" t="s">
        <v>113</v>
      </c>
      <c r="R624" t="str">
        <f>"502-48-051"</f>
        <v>502-48-051</v>
      </c>
      <c r="S624" t="s">
        <v>2766</v>
      </c>
      <c r="U624">
        <v>2249</v>
      </c>
      <c r="W624">
        <v>3</v>
      </c>
      <c r="X624">
        <v>2015</v>
      </c>
      <c r="Z624">
        <v>2</v>
      </c>
      <c r="AC624" t="s">
        <v>115</v>
      </c>
      <c r="AD624">
        <v>2</v>
      </c>
      <c r="AE624" t="s">
        <v>115</v>
      </c>
      <c r="AH624" t="s">
        <v>116</v>
      </c>
      <c r="AI624" s="1">
        <v>56301</v>
      </c>
      <c r="AJ624" s="2">
        <v>0.2</v>
      </c>
      <c r="AK624" s="1">
        <v>287523</v>
      </c>
      <c r="AL624" t="s">
        <v>117</v>
      </c>
      <c r="AM624" t="s">
        <v>118</v>
      </c>
      <c r="AN624">
        <v>6435</v>
      </c>
      <c r="AO624">
        <v>0.15</v>
      </c>
      <c r="AR624">
        <v>1</v>
      </c>
      <c r="AS624" s="1">
        <v>19870</v>
      </c>
      <c r="AT624" s="1">
        <v>3970</v>
      </c>
      <c r="AU624" s="1">
        <v>15900</v>
      </c>
      <c r="AV624">
        <v>80.02</v>
      </c>
      <c r="AX624" s="1">
        <v>1578.9</v>
      </c>
      <c r="AY624" t="s">
        <v>2767</v>
      </c>
      <c r="AZ624" t="s">
        <v>2767</v>
      </c>
      <c r="BA624" t="s">
        <v>1247</v>
      </c>
      <c r="BE624" s="3">
        <v>42177</v>
      </c>
      <c r="BF624" s="1">
        <v>227035</v>
      </c>
      <c r="BG624" t="s">
        <v>275</v>
      </c>
      <c r="BH624" s="1">
        <v>100.95</v>
      </c>
      <c r="BI624" s="1">
        <v>231222</v>
      </c>
      <c r="BJ624" s="3">
        <v>43082</v>
      </c>
      <c r="BK624" t="s">
        <v>123</v>
      </c>
      <c r="BL624" t="str">
        <f>"2017.919987"</f>
        <v>2017.919987</v>
      </c>
      <c r="BM624" t="s">
        <v>724</v>
      </c>
      <c r="BO624" t="s">
        <v>4140</v>
      </c>
      <c r="BS624">
        <v>31</v>
      </c>
      <c r="BW624" t="str">
        <f>""</f>
        <v/>
      </c>
      <c r="CH624" t="str">
        <f>""</f>
        <v/>
      </c>
      <c r="CS624" t="str">
        <f>""</f>
        <v/>
      </c>
    </row>
    <row r="625" spans="1:97" x14ac:dyDescent="0.25">
      <c r="A625" t="s">
        <v>1938</v>
      </c>
      <c r="B625" t="s">
        <v>1099</v>
      </c>
      <c r="C625" t="s">
        <v>4141</v>
      </c>
      <c r="D625" t="s">
        <v>1099</v>
      </c>
      <c r="E625" t="s">
        <v>4142</v>
      </c>
      <c r="F625" t="s">
        <v>108</v>
      </c>
      <c r="H625" t="s">
        <v>4143</v>
      </c>
      <c r="I625" t="s">
        <v>144</v>
      </c>
      <c r="J625" t="s">
        <v>111</v>
      </c>
      <c r="K625" t="str">
        <f>"85396"</f>
        <v>85396</v>
      </c>
      <c r="L625" t="s">
        <v>541</v>
      </c>
      <c r="M625" t="s">
        <v>4143</v>
      </c>
      <c r="N625" t="s">
        <v>144</v>
      </c>
      <c r="O625" t="s">
        <v>111</v>
      </c>
      <c r="P625" t="str">
        <f>"85396-7940"</f>
        <v>85396-7940</v>
      </c>
      <c r="Q625" t="s">
        <v>113</v>
      </c>
      <c r="R625" t="str">
        <f>"502-82-310"</f>
        <v>502-82-310</v>
      </c>
      <c r="S625" t="s">
        <v>1701</v>
      </c>
      <c r="U625">
        <v>2560</v>
      </c>
      <c r="W625">
        <v>4</v>
      </c>
      <c r="X625">
        <v>2015</v>
      </c>
      <c r="Z625">
        <v>2</v>
      </c>
      <c r="AC625" t="s">
        <v>115</v>
      </c>
      <c r="AD625">
        <v>2</v>
      </c>
      <c r="AE625" t="s">
        <v>115</v>
      </c>
      <c r="AH625" t="s">
        <v>116</v>
      </c>
      <c r="AI625" s="1">
        <v>30632</v>
      </c>
      <c r="AJ625" s="2">
        <v>0.09</v>
      </c>
      <c r="AK625" s="1">
        <v>334323</v>
      </c>
      <c r="AL625" t="s">
        <v>117</v>
      </c>
      <c r="AM625" t="s">
        <v>118</v>
      </c>
      <c r="AN625">
        <v>5181</v>
      </c>
      <c r="AO625">
        <v>0.12</v>
      </c>
      <c r="AR625">
        <v>1</v>
      </c>
      <c r="AS625" s="1">
        <v>22300</v>
      </c>
      <c r="AT625" s="1">
        <v>4460</v>
      </c>
      <c r="AU625" s="1">
        <v>17840</v>
      </c>
      <c r="AV625">
        <v>80</v>
      </c>
      <c r="AX625" s="1">
        <v>3108.3</v>
      </c>
      <c r="AY625" t="s">
        <v>543</v>
      </c>
      <c r="AZ625" t="s">
        <v>504</v>
      </c>
      <c r="BA625" t="s">
        <v>218</v>
      </c>
      <c r="BE625" s="3">
        <v>42258</v>
      </c>
      <c r="BF625" s="1">
        <v>293990</v>
      </c>
      <c r="BG625" t="s">
        <v>195</v>
      </c>
      <c r="BH625" s="1">
        <v>114.84</v>
      </c>
      <c r="BI625" s="1">
        <v>303691</v>
      </c>
      <c r="BJ625" s="3">
        <v>42258</v>
      </c>
      <c r="BK625" t="s">
        <v>123</v>
      </c>
      <c r="BL625" t="str">
        <f>"2015.657888"</f>
        <v>2015.657888</v>
      </c>
      <c r="BM625" t="s">
        <v>196</v>
      </c>
      <c r="BO625" t="s">
        <v>4144</v>
      </c>
      <c r="BS625">
        <v>30</v>
      </c>
      <c r="BW625" t="str">
        <f>""</f>
        <v/>
      </c>
      <c r="CH625" t="str">
        <f>""</f>
        <v/>
      </c>
      <c r="CS625" t="str">
        <f>""</f>
        <v/>
      </c>
    </row>
    <row r="626" spans="1:97" x14ac:dyDescent="0.25">
      <c r="A626" t="s">
        <v>4145</v>
      </c>
      <c r="B626" t="s">
        <v>4146</v>
      </c>
      <c r="C626" t="s">
        <v>325</v>
      </c>
      <c r="D626" t="s">
        <v>4146</v>
      </c>
      <c r="E626" t="s">
        <v>4147</v>
      </c>
      <c r="F626" t="s">
        <v>108</v>
      </c>
      <c r="H626" t="s">
        <v>4148</v>
      </c>
      <c r="I626" t="s">
        <v>390</v>
      </c>
      <c r="J626" t="s">
        <v>111</v>
      </c>
      <c r="K626" t="str">
        <f>"85042"</f>
        <v>85042</v>
      </c>
      <c r="L626" t="s">
        <v>2857</v>
      </c>
      <c r="M626" t="s">
        <v>4148</v>
      </c>
      <c r="N626" t="s">
        <v>390</v>
      </c>
      <c r="O626" t="s">
        <v>111</v>
      </c>
      <c r="P626" t="str">
        <f>"85042-6653"</f>
        <v>85042-6653</v>
      </c>
      <c r="Q626" t="s">
        <v>113</v>
      </c>
      <c r="R626" t="str">
        <f>"300-19-130"</f>
        <v>300-19-130</v>
      </c>
      <c r="S626" t="s">
        <v>2858</v>
      </c>
      <c r="T626" t="s">
        <v>2858</v>
      </c>
      <c r="U626">
        <v>2301</v>
      </c>
      <c r="W626">
        <v>4</v>
      </c>
      <c r="X626">
        <v>2015</v>
      </c>
      <c r="Z626">
        <v>2</v>
      </c>
      <c r="AC626" t="s">
        <v>115</v>
      </c>
      <c r="AD626">
        <v>2</v>
      </c>
      <c r="AE626" t="s">
        <v>115</v>
      </c>
      <c r="AH626" t="s">
        <v>116</v>
      </c>
      <c r="AI626" s="1">
        <v>45420</v>
      </c>
      <c r="AJ626" s="2">
        <v>0.14000000000000001</v>
      </c>
      <c r="AK626" s="1">
        <v>331337</v>
      </c>
      <c r="AL626" t="s">
        <v>117</v>
      </c>
      <c r="AM626" t="s">
        <v>1302</v>
      </c>
      <c r="AN626">
        <v>5583</v>
      </c>
      <c r="AO626">
        <v>0.13</v>
      </c>
      <c r="AR626">
        <v>1</v>
      </c>
      <c r="AS626" s="1">
        <v>25100</v>
      </c>
      <c r="AT626" s="1">
        <v>5020</v>
      </c>
      <c r="AU626" s="1">
        <v>20080</v>
      </c>
      <c r="AV626">
        <v>80</v>
      </c>
      <c r="AX626" s="1">
        <v>3098.34</v>
      </c>
      <c r="AY626" t="s">
        <v>2859</v>
      </c>
      <c r="AZ626" t="s">
        <v>2859</v>
      </c>
      <c r="BA626" t="s">
        <v>2860</v>
      </c>
      <c r="BE626" s="3">
        <v>42237</v>
      </c>
      <c r="BF626" s="1">
        <v>279900</v>
      </c>
      <c r="BG626" t="s">
        <v>617</v>
      </c>
      <c r="BH626" s="1">
        <v>121.64</v>
      </c>
      <c r="BI626" s="1">
        <v>285917</v>
      </c>
      <c r="BJ626" s="3">
        <v>42237</v>
      </c>
      <c r="BK626" t="s">
        <v>123</v>
      </c>
      <c r="BL626" t="str">
        <f>"2015.606359"</f>
        <v>2015.606359</v>
      </c>
      <c r="BM626" t="s">
        <v>135</v>
      </c>
      <c r="BO626" t="s">
        <v>4149</v>
      </c>
      <c r="BS626">
        <v>30</v>
      </c>
      <c r="BW626" t="str">
        <f>""</f>
        <v/>
      </c>
      <c r="CH626" t="str">
        <f>""</f>
        <v/>
      </c>
      <c r="CS626" t="str">
        <f>""</f>
        <v/>
      </c>
    </row>
    <row r="627" spans="1:97" x14ac:dyDescent="0.25">
      <c r="A627" t="s">
        <v>1465</v>
      </c>
      <c r="B627" t="s">
        <v>802</v>
      </c>
      <c r="C627" t="s">
        <v>3926</v>
      </c>
      <c r="D627" t="s">
        <v>802</v>
      </c>
      <c r="E627" t="s">
        <v>4150</v>
      </c>
      <c r="F627" t="s">
        <v>108</v>
      </c>
      <c r="H627" t="s">
        <v>4151</v>
      </c>
      <c r="I627" t="s">
        <v>144</v>
      </c>
      <c r="J627" t="s">
        <v>111</v>
      </c>
      <c r="K627" t="str">
        <f>"85396"</f>
        <v>85396</v>
      </c>
      <c r="L627" t="s">
        <v>145</v>
      </c>
      <c r="M627" t="s">
        <v>4151</v>
      </c>
      <c r="N627" t="s">
        <v>144</v>
      </c>
      <c r="O627" t="s">
        <v>111</v>
      </c>
      <c r="P627" t="str">
        <f>"85396-1762"</f>
        <v>85396-1762</v>
      </c>
      <c r="Q627" t="s">
        <v>113</v>
      </c>
      <c r="R627" t="str">
        <f>"502-83-637"</f>
        <v>502-83-637</v>
      </c>
      <c r="S627" t="s">
        <v>1652</v>
      </c>
      <c r="U627">
        <v>3275</v>
      </c>
      <c r="W627">
        <v>5</v>
      </c>
      <c r="X627">
        <v>2015</v>
      </c>
      <c r="Z627">
        <v>2</v>
      </c>
      <c r="AC627" t="s">
        <v>115</v>
      </c>
      <c r="AD627">
        <v>3</v>
      </c>
      <c r="AE627" t="s">
        <v>115</v>
      </c>
      <c r="AH627" t="s">
        <v>116</v>
      </c>
      <c r="AI627" s="1">
        <v>69732</v>
      </c>
      <c r="AJ627" s="2">
        <v>0.19</v>
      </c>
      <c r="AK627" s="1">
        <v>374247</v>
      </c>
      <c r="AL627" t="s">
        <v>117</v>
      </c>
      <c r="AM627" t="s">
        <v>118</v>
      </c>
      <c r="AN627">
        <v>6428</v>
      </c>
      <c r="AO627">
        <v>0.15</v>
      </c>
      <c r="AR627">
        <v>1</v>
      </c>
      <c r="AS627" s="1">
        <v>26870</v>
      </c>
      <c r="AT627" s="1">
        <v>5370</v>
      </c>
      <c r="AU627" s="1">
        <v>21500</v>
      </c>
      <c r="AV627">
        <v>80.010000000000005</v>
      </c>
      <c r="AX627" s="1">
        <v>3579.48</v>
      </c>
      <c r="AY627" t="s">
        <v>217</v>
      </c>
      <c r="AZ627" t="s">
        <v>217</v>
      </c>
      <c r="BA627" t="s">
        <v>218</v>
      </c>
      <c r="BE627" s="3">
        <v>42228</v>
      </c>
      <c r="BF627" s="1">
        <v>294810</v>
      </c>
      <c r="BG627" t="s">
        <v>562</v>
      </c>
      <c r="BH627" s="1">
        <v>90.02</v>
      </c>
      <c r="BI627" s="1">
        <v>304515</v>
      </c>
      <c r="BJ627" s="3">
        <v>42471</v>
      </c>
      <c r="BK627" t="s">
        <v>123</v>
      </c>
      <c r="BL627" t="str">
        <f>"2016.235700"</f>
        <v>2016.235700</v>
      </c>
      <c r="BM627" t="s">
        <v>131</v>
      </c>
      <c r="BO627" t="s">
        <v>4152</v>
      </c>
      <c r="BS627">
        <v>30</v>
      </c>
      <c r="BW627" t="str">
        <f>""</f>
        <v/>
      </c>
      <c r="CH627" t="str">
        <f>""</f>
        <v/>
      </c>
      <c r="CS627" t="str">
        <f>""</f>
        <v/>
      </c>
    </row>
    <row r="628" spans="1:97" x14ac:dyDescent="0.25">
      <c r="A628" t="s">
        <v>1187</v>
      </c>
      <c r="B628" t="s">
        <v>4060</v>
      </c>
      <c r="E628" t="s">
        <v>4153</v>
      </c>
      <c r="F628" t="s">
        <v>108</v>
      </c>
      <c r="H628" t="s">
        <v>4154</v>
      </c>
      <c r="I628" t="s">
        <v>144</v>
      </c>
      <c r="J628" t="s">
        <v>111</v>
      </c>
      <c r="K628" t="str">
        <f>"85396"</f>
        <v>85396</v>
      </c>
      <c r="L628" t="s">
        <v>145</v>
      </c>
      <c r="M628" t="s">
        <v>4154</v>
      </c>
      <c r="N628" t="s">
        <v>144</v>
      </c>
      <c r="O628" t="s">
        <v>111</v>
      </c>
      <c r="P628" t="str">
        <f>"85396-1700"</f>
        <v>85396-1700</v>
      </c>
      <c r="Q628" t="s">
        <v>113</v>
      </c>
      <c r="R628" t="str">
        <f>"502-83-599"</f>
        <v>502-83-599</v>
      </c>
      <c r="S628" t="s">
        <v>1652</v>
      </c>
      <c r="U628">
        <v>1623</v>
      </c>
      <c r="W628">
        <v>3</v>
      </c>
      <c r="X628">
        <v>2016</v>
      </c>
      <c r="Z628">
        <v>1</v>
      </c>
      <c r="AC628" t="s">
        <v>115</v>
      </c>
      <c r="AD628">
        <v>2</v>
      </c>
      <c r="AE628" t="s">
        <v>115</v>
      </c>
      <c r="AH628" t="s">
        <v>116</v>
      </c>
      <c r="AI628" s="1">
        <v>27105</v>
      </c>
      <c r="AJ628" s="2">
        <v>0.09</v>
      </c>
      <c r="AK628" s="1">
        <v>290057</v>
      </c>
      <c r="AL628" t="s">
        <v>117</v>
      </c>
      <c r="AM628" t="s">
        <v>118</v>
      </c>
      <c r="AN628">
        <v>8997</v>
      </c>
      <c r="AO628">
        <v>0.21</v>
      </c>
      <c r="AR628">
        <v>1</v>
      </c>
      <c r="AS628" s="1">
        <v>20800</v>
      </c>
      <c r="AT628" s="1">
        <v>4160</v>
      </c>
      <c r="AU628" s="1">
        <v>16640</v>
      </c>
      <c r="AV628">
        <v>80</v>
      </c>
      <c r="AX628" s="1">
        <v>2601.48</v>
      </c>
      <c r="AY628" t="s">
        <v>217</v>
      </c>
      <c r="AZ628" t="s">
        <v>217</v>
      </c>
      <c r="BA628" t="s">
        <v>218</v>
      </c>
      <c r="BE628" s="3">
        <v>42544</v>
      </c>
      <c r="BF628" s="1">
        <v>254552</v>
      </c>
      <c r="BG628" t="s">
        <v>636</v>
      </c>
      <c r="BH628" s="1">
        <v>156.84</v>
      </c>
      <c r="BI628" s="1">
        <v>262952</v>
      </c>
      <c r="BJ628" s="3">
        <v>42544</v>
      </c>
      <c r="BK628" t="s">
        <v>123</v>
      </c>
      <c r="BL628" t="str">
        <f>"2016.440716"</f>
        <v>2016.440716</v>
      </c>
      <c r="BM628" t="s">
        <v>637</v>
      </c>
      <c r="BO628" t="s">
        <v>4155</v>
      </c>
      <c r="BS628">
        <v>30</v>
      </c>
      <c r="BW628" t="str">
        <f>""</f>
        <v/>
      </c>
      <c r="CH628" t="str">
        <f>""</f>
        <v/>
      </c>
      <c r="CS628" t="str">
        <f>""</f>
        <v/>
      </c>
    </row>
    <row r="629" spans="1:97" x14ac:dyDescent="0.25">
      <c r="A629" t="s">
        <v>494</v>
      </c>
      <c r="B629" t="s">
        <v>4156</v>
      </c>
      <c r="C629" t="s">
        <v>489</v>
      </c>
      <c r="D629" t="s">
        <v>4156</v>
      </c>
      <c r="E629" t="s">
        <v>4157</v>
      </c>
      <c r="F629" t="s">
        <v>108</v>
      </c>
      <c r="H629" t="s">
        <v>4158</v>
      </c>
      <c r="I629" t="s">
        <v>225</v>
      </c>
      <c r="J629" t="s">
        <v>111</v>
      </c>
      <c r="K629" t="str">
        <f>"85213"</f>
        <v>85213</v>
      </c>
      <c r="L629" t="s">
        <v>4159</v>
      </c>
      <c r="M629" t="s">
        <v>4158</v>
      </c>
      <c r="N629" t="s">
        <v>225</v>
      </c>
      <c r="O629" t="s">
        <v>111</v>
      </c>
      <c r="P629" t="str">
        <f>"85213-2092"</f>
        <v>85213-2092</v>
      </c>
      <c r="Q629" t="s">
        <v>113</v>
      </c>
      <c r="R629" t="str">
        <f>"141-19-607"</f>
        <v>141-19-607</v>
      </c>
      <c r="S629" t="s">
        <v>4160</v>
      </c>
      <c r="U629">
        <v>1695</v>
      </c>
      <c r="W629">
        <v>3</v>
      </c>
      <c r="X629">
        <v>2016</v>
      </c>
      <c r="Z629">
        <v>1</v>
      </c>
      <c r="AA629" t="s">
        <v>26</v>
      </c>
      <c r="AC629" t="s">
        <v>115</v>
      </c>
      <c r="AD629">
        <v>2</v>
      </c>
      <c r="AE629" t="s">
        <v>115</v>
      </c>
      <c r="AH629" t="s">
        <v>116</v>
      </c>
      <c r="AI629" s="1">
        <v>87846</v>
      </c>
      <c r="AJ629" s="2">
        <v>0.25</v>
      </c>
      <c r="AK629" s="1">
        <v>350622</v>
      </c>
      <c r="AL629" t="s">
        <v>117</v>
      </c>
      <c r="AM629" t="s">
        <v>4161</v>
      </c>
      <c r="AN629">
        <v>5255</v>
      </c>
      <c r="AO629">
        <v>0.12</v>
      </c>
      <c r="AR629">
        <v>1</v>
      </c>
      <c r="AS629" s="1">
        <v>24130</v>
      </c>
      <c r="AT629" s="1">
        <v>4820</v>
      </c>
      <c r="AU629" s="1">
        <v>19310</v>
      </c>
      <c r="AV629">
        <v>80.02</v>
      </c>
      <c r="AX629" s="1">
        <v>1976.68</v>
      </c>
      <c r="AY629" t="s">
        <v>4162</v>
      </c>
      <c r="AZ629" t="s">
        <v>4163</v>
      </c>
      <c r="BA629" t="s">
        <v>1524</v>
      </c>
      <c r="BE629" s="3">
        <v>42356</v>
      </c>
      <c r="BF629" s="1">
        <v>254382</v>
      </c>
      <c r="BG629" t="s">
        <v>2842</v>
      </c>
      <c r="BH629" s="1">
        <v>150.08000000000001</v>
      </c>
      <c r="BI629" s="1">
        <v>262776</v>
      </c>
      <c r="BJ629" s="3">
        <v>42356</v>
      </c>
      <c r="BK629" t="s">
        <v>123</v>
      </c>
      <c r="BL629" t="str">
        <f>"2015.894969"</f>
        <v>2015.894969</v>
      </c>
      <c r="BM629" t="s">
        <v>2912</v>
      </c>
      <c r="BO629" t="s">
        <v>4164</v>
      </c>
      <c r="BS629">
        <v>30</v>
      </c>
      <c r="BW629" t="str">
        <f>""</f>
        <v/>
      </c>
      <c r="CH629" t="str">
        <f>""</f>
        <v/>
      </c>
      <c r="CS629" t="str">
        <f>""</f>
        <v/>
      </c>
    </row>
    <row r="630" spans="1:97" x14ac:dyDescent="0.25">
      <c r="A630" t="s">
        <v>1272</v>
      </c>
      <c r="B630" t="s">
        <v>4165</v>
      </c>
      <c r="E630" t="s">
        <v>4166</v>
      </c>
      <c r="F630" t="s">
        <v>108</v>
      </c>
      <c r="H630" t="s">
        <v>4167</v>
      </c>
      <c r="I630" t="s">
        <v>144</v>
      </c>
      <c r="J630" t="s">
        <v>111</v>
      </c>
      <c r="K630" t="str">
        <f>"85396"</f>
        <v>85396</v>
      </c>
      <c r="L630" t="s">
        <v>2820</v>
      </c>
      <c r="M630" t="s">
        <v>4167</v>
      </c>
      <c r="N630" t="s">
        <v>144</v>
      </c>
      <c r="O630" t="s">
        <v>111</v>
      </c>
      <c r="P630" t="str">
        <f>"85396-1834"</f>
        <v>85396-1834</v>
      </c>
      <c r="Q630" t="s">
        <v>113</v>
      </c>
      <c r="R630" t="str">
        <f>"502-86-152"</f>
        <v>502-86-152</v>
      </c>
      <c r="S630" t="s">
        <v>2821</v>
      </c>
      <c r="U630">
        <v>2514</v>
      </c>
      <c r="W630">
        <v>3</v>
      </c>
      <c r="X630">
        <v>2016</v>
      </c>
      <c r="Z630">
        <v>1</v>
      </c>
      <c r="AA630" t="s">
        <v>26</v>
      </c>
      <c r="AC630" t="s">
        <v>115</v>
      </c>
      <c r="AD630">
        <v>3</v>
      </c>
      <c r="AE630" t="s">
        <v>115</v>
      </c>
      <c r="AH630" t="s">
        <v>116</v>
      </c>
      <c r="AI630" s="1">
        <v>35479</v>
      </c>
      <c r="AJ630" s="2">
        <v>0.09</v>
      </c>
      <c r="AK630" s="1">
        <v>383417</v>
      </c>
      <c r="AL630" t="s">
        <v>117</v>
      </c>
      <c r="AM630" t="s">
        <v>118</v>
      </c>
      <c r="AN630">
        <v>10363</v>
      </c>
      <c r="AO630">
        <v>0.24</v>
      </c>
      <c r="AR630">
        <v>1</v>
      </c>
      <c r="AS630" s="1">
        <v>28880</v>
      </c>
      <c r="AT630" s="1">
        <v>5770</v>
      </c>
      <c r="AU630" s="1">
        <v>23110</v>
      </c>
      <c r="AV630">
        <v>80.02</v>
      </c>
      <c r="AX630" s="1">
        <v>3397.44</v>
      </c>
      <c r="AY630" t="s">
        <v>217</v>
      </c>
      <c r="AZ630" t="s">
        <v>217</v>
      </c>
      <c r="BA630" t="s">
        <v>218</v>
      </c>
      <c r="BE630" s="3">
        <v>42443</v>
      </c>
      <c r="BF630" s="1">
        <v>336823</v>
      </c>
      <c r="BG630" t="s">
        <v>209</v>
      </c>
      <c r="BH630" s="1">
        <v>133.97999999999999</v>
      </c>
      <c r="BI630" s="1">
        <v>347938</v>
      </c>
      <c r="BJ630" s="3">
        <v>42443</v>
      </c>
      <c r="BK630" t="s">
        <v>123</v>
      </c>
      <c r="BL630" t="str">
        <f>"2016.162018"</f>
        <v>2016.162018</v>
      </c>
      <c r="BM630" t="s">
        <v>175</v>
      </c>
      <c r="BO630" t="s">
        <v>4168</v>
      </c>
      <c r="BS630">
        <v>30</v>
      </c>
      <c r="BW630" t="str">
        <f>""</f>
        <v/>
      </c>
      <c r="CH630" t="str">
        <f>""</f>
        <v/>
      </c>
      <c r="CS630" t="str">
        <f>""</f>
        <v/>
      </c>
    </row>
    <row r="631" spans="1:97" x14ac:dyDescent="0.25">
      <c r="A631" t="s">
        <v>4169</v>
      </c>
      <c r="B631" t="s">
        <v>4170</v>
      </c>
      <c r="C631" t="s">
        <v>4026</v>
      </c>
      <c r="D631" t="s">
        <v>4170</v>
      </c>
      <c r="E631" t="s">
        <v>4171</v>
      </c>
      <c r="F631" t="s">
        <v>108</v>
      </c>
      <c r="H631" t="s">
        <v>4172</v>
      </c>
      <c r="I631" t="s">
        <v>499</v>
      </c>
      <c r="J631" t="s">
        <v>111</v>
      </c>
      <c r="K631" t="str">
        <f>"85338"</f>
        <v>85338</v>
      </c>
      <c r="L631" t="s">
        <v>2765</v>
      </c>
      <c r="M631" t="s">
        <v>4172</v>
      </c>
      <c r="N631" t="s">
        <v>499</v>
      </c>
      <c r="O631" t="s">
        <v>111</v>
      </c>
      <c r="P631" t="str">
        <f>"85338-7830"</f>
        <v>85338-7830</v>
      </c>
      <c r="Q631" t="s">
        <v>113</v>
      </c>
      <c r="R631" t="str">
        <f>"502-48-024"</f>
        <v>502-48-024</v>
      </c>
      <c r="S631" t="s">
        <v>2766</v>
      </c>
      <c r="U631">
        <v>2046</v>
      </c>
      <c r="W631">
        <v>3</v>
      </c>
      <c r="X631">
        <v>2016</v>
      </c>
      <c r="Z631">
        <v>1</v>
      </c>
      <c r="AC631" t="s">
        <v>115</v>
      </c>
      <c r="AD631">
        <v>2</v>
      </c>
      <c r="AE631" t="s">
        <v>115</v>
      </c>
      <c r="AH631" t="s">
        <v>116</v>
      </c>
      <c r="AI631" s="1">
        <v>71446</v>
      </c>
      <c r="AJ631" s="2">
        <v>0.24</v>
      </c>
      <c r="AK631" s="1">
        <v>294371</v>
      </c>
      <c r="AL631" t="s">
        <v>117</v>
      </c>
      <c r="AM631" t="s">
        <v>118</v>
      </c>
      <c r="AN631">
        <v>7002</v>
      </c>
      <c r="AO631">
        <v>0.16</v>
      </c>
      <c r="AR631">
        <v>1</v>
      </c>
      <c r="AS631" s="1">
        <v>21660</v>
      </c>
      <c r="AT631" s="1">
        <v>4330</v>
      </c>
      <c r="AU631" s="1">
        <v>17330</v>
      </c>
      <c r="AV631">
        <v>80.010000000000005</v>
      </c>
      <c r="AX631" s="1">
        <v>1674.6</v>
      </c>
      <c r="AY631" t="s">
        <v>2767</v>
      </c>
      <c r="AZ631" t="s">
        <v>2767</v>
      </c>
      <c r="BA631" t="s">
        <v>1247</v>
      </c>
      <c r="BE631" s="3">
        <v>42472</v>
      </c>
      <c r="BF631" s="1">
        <v>218233</v>
      </c>
      <c r="BG631" t="s">
        <v>275</v>
      </c>
      <c r="BH631" s="1">
        <v>106.66</v>
      </c>
      <c r="BI631" s="1">
        <v>222925</v>
      </c>
      <c r="BJ631" s="3">
        <v>42472</v>
      </c>
      <c r="BK631" t="s">
        <v>123</v>
      </c>
      <c r="BL631" t="str">
        <f>"2016.239829"</f>
        <v>2016.239829</v>
      </c>
      <c r="BM631" t="s">
        <v>651</v>
      </c>
      <c r="BO631" t="s">
        <v>4173</v>
      </c>
      <c r="BS631">
        <v>30</v>
      </c>
      <c r="BW631" t="str">
        <f>""</f>
        <v/>
      </c>
      <c r="CH631" t="str">
        <f>""</f>
        <v/>
      </c>
      <c r="CS631" t="str">
        <f>""</f>
        <v/>
      </c>
    </row>
    <row r="632" spans="1:97" x14ac:dyDescent="0.25">
      <c r="A632" t="s">
        <v>4174</v>
      </c>
      <c r="B632" t="s">
        <v>4175</v>
      </c>
      <c r="E632" t="s">
        <v>4176</v>
      </c>
      <c r="F632" t="s">
        <v>108</v>
      </c>
      <c r="H632" t="s">
        <v>4177</v>
      </c>
      <c r="I632" t="s">
        <v>225</v>
      </c>
      <c r="J632" t="s">
        <v>111</v>
      </c>
      <c r="K632" t="str">
        <f>"85208"</f>
        <v>85208</v>
      </c>
      <c r="L632" t="s">
        <v>3982</v>
      </c>
      <c r="M632" t="s">
        <v>4177</v>
      </c>
      <c r="N632" t="s">
        <v>225</v>
      </c>
      <c r="O632" t="s">
        <v>111</v>
      </c>
      <c r="P632" t="str">
        <f>"85208-2669"</f>
        <v>85208-2669</v>
      </c>
      <c r="Q632" t="s">
        <v>113</v>
      </c>
      <c r="R632" t="str">
        <f>"220-73-827"</f>
        <v>220-73-827</v>
      </c>
      <c r="S632" t="s">
        <v>3983</v>
      </c>
      <c r="T632" t="s">
        <v>3984</v>
      </c>
      <c r="U632">
        <v>1671</v>
      </c>
      <c r="W632">
        <v>3</v>
      </c>
      <c r="X632">
        <v>2016</v>
      </c>
      <c r="Z632">
        <v>1</v>
      </c>
      <c r="AC632" t="s">
        <v>115</v>
      </c>
      <c r="AD632">
        <v>2</v>
      </c>
      <c r="AE632" t="s">
        <v>115</v>
      </c>
      <c r="AH632" t="s">
        <v>116</v>
      </c>
      <c r="AI632" s="1">
        <v>62496</v>
      </c>
      <c r="AJ632" s="2">
        <v>0.22</v>
      </c>
      <c r="AK632" s="1">
        <v>285785</v>
      </c>
      <c r="AL632" t="s">
        <v>117</v>
      </c>
      <c r="AM632" t="s">
        <v>191</v>
      </c>
      <c r="AN632">
        <v>5175</v>
      </c>
      <c r="AO632">
        <v>0.12</v>
      </c>
      <c r="AR632">
        <v>1</v>
      </c>
      <c r="AS632" s="1">
        <v>20030</v>
      </c>
      <c r="AT632" s="1">
        <v>4000</v>
      </c>
      <c r="AU632" s="1">
        <v>16030</v>
      </c>
      <c r="AV632">
        <v>80.03</v>
      </c>
      <c r="AX632" s="1">
        <v>1681.26</v>
      </c>
      <c r="AY632" t="s">
        <v>3985</v>
      </c>
      <c r="AZ632" t="s">
        <v>3761</v>
      </c>
      <c r="BA632" t="s">
        <v>232</v>
      </c>
      <c r="BE632" s="3">
        <v>42524</v>
      </c>
      <c r="BF632" s="1">
        <v>218590</v>
      </c>
      <c r="BG632" t="s">
        <v>233</v>
      </c>
      <c r="BH632" s="1">
        <v>130.81</v>
      </c>
      <c r="BI632" s="1">
        <v>223289</v>
      </c>
      <c r="BJ632" s="3">
        <v>42524</v>
      </c>
      <c r="BK632" t="s">
        <v>123</v>
      </c>
      <c r="BL632" t="str">
        <f>"2016.386248"</f>
        <v>2016.386248</v>
      </c>
      <c r="BM632" t="s">
        <v>1185</v>
      </c>
      <c r="BO632" t="s">
        <v>4178</v>
      </c>
      <c r="BS632">
        <v>30</v>
      </c>
      <c r="BW632" t="str">
        <f>""</f>
        <v/>
      </c>
      <c r="CH632" t="str">
        <f>""</f>
        <v/>
      </c>
      <c r="CS632" t="str">
        <f>""</f>
        <v/>
      </c>
    </row>
    <row r="633" spans="1:97" x14ac:dyDescent="0.25">
      <c r="A633" t="s">
        <v>4179</v>
      </c>
      <c r="B633" t="s">
        <v>832</v>
      </c>
      <c r="C633" t="s">
        <v>4180</v>
      </c>
      <c r="D633" t="s">
        <v>832</v>
      </c>
      <c r="E633" t="s">
        <v>4181</v>
      </c>
      <c r="F633" t="s">
        <v>108</v>
      </c>
      <c r="H633" t="s">
        <v>4182</v>
      </c>
      <c r="I633" t="s">
        <v>390</v>
      </c>
      <c r="J633" t="s">
        <v>111</v>
      </c>
      <c r="K633" t="str">
        <f>"85042"</f>
        <v>85042</v>
      </c>
      <c r="L633" t="s">
        <v>2857</v>
      </c>
      <c r="M633" t="s">
        <v>4182</v>
      </c>
      <c r="N633" t="s">
        <v>390</v>
      </c>
      <c r="O633" t="s">
        <v>111</v>
      </c>
      <c r="P633" t="str">
        <f>"85042-6652"</f>
        <v>85042-6652</v>
      </c>
      <c r="Q633" t="s">
        <v>113</v>
      </c>
      <c r="R633" t="str">
        <f>"300-19-145"</f>
        <v>300-19-145</v>
      </c>
      <c r="S633" t="s">
        <v>2858</v>
      </c>
      <c r="T633" t="s">
        <v>2858</v>
      </c>
      <c r="U633">
        <v>1734</v>
      </c>
      <c r="W633">
        <v>3</v>
      </c>
      <c r="X633">
        <v>2015</v>
      </c>
      <c r="Z633">
        <v>1</v>
      </c>
      <c r="AC633" t="s">
        <v>115</v>
      </c>
      <c r="AD633">
        <v>2</v>
      </c>
      <c r="AE633" t="s">
        <v>115</v>
      </c>
      <c r="AH633" t="s">
        <v>116</v>
      </c>
      <c r="AI633" s="1">
        <v>3055</v>
      </c>
      <c r="AJ633" s="2">
        <v>0.01</v>
      </c>
      <c r="AK633" s="1">
        <v>312555</v>
      </c>
      <c r="AL633" t="s">
        <v>117</v>
      </c>
      <c r="AM633" t="s">
        <v>1302</v>
      </c>
      <c r="AN633">
        <v>5618</v>
      </c>
      <c r="AO633">
        <v>0.13</v>
      </c>
      <c r="AR633">
        <v>1</v>
      </c>
      <c r="AS633" s="1">
        <v>22930</v>
      </c>
      <c r="AT633" s="1">
        <v>4580</v>
      </c>
      <c r="AU633" s="1">
        <v>18350</v>
      </c>
      <c r="AV633">
        <v>80.03</v>
      </c>
      <c r="AX633" s="1">
        <v>2738.26</v>
      </c>
      <c r="AY633" t="s">
        <v>2859</v>
      </c>
      <c r="AZ633" t="s">
        <v>2859</v>
      </c>
      <c r="BA633" t="s">
        <v>2860</v>
      </c>
      <c r="BE633" s="3">
        <v>42185</v>
      </c>
      <c r="BF633" s="1">
        <v>299663</v>
      </c>
      <c r="BG633" t="s">
        <v>617</v>
      </c>
      <c r="BH633" s="1">
        <v>172.82</v>
      </c>
      <c r="BI633" s="1">
        <v>309500</v>
      </c>
      <c r="BJ633" s="3">
        <v>42185</v>
      </c>
      <c r="BK633" t="s">
        <v>123</v>
      </c>
      <c r="BL633" t="str">
        <f>"2015.467133"</f>
        <v>2015.467133</v>
      </c>
      <c r="BM633" t="s">
        <v>1192</v>
      </c>
      <c r="BO633" t="s">
        <v>4183</v>
      </c>
      <c r="BS633">
        <v>30</v>
      </c>
      <c r="BW633" t="str">
        <f>""</f>
        <v/>
      </c>
      <c r="CH633" t="str">
        <f>""</f>
        <v/>
      </c>
      <c r="CS633" t="str">
        <f>""</f>
        <v/>
      </c>
    </row>
    <row r="634" spans="1:97" x14ac:dyDescent="0.25">
      <c r="A634" t="s">
        <v>265</v>
      </c>
      <c r="B634" t="s">
        <v>4184</v>
      </c>
      <c r="C634" t="s">
        <v>970</v>
      </c>
      <c r="D634" t="s">
        <v>4184</v>
      </c>
      <c r="E634" t="s">
        <v>4185</v>
      </c>
      <c r="F634" t="s">
        <v>108</v>
      </c>
      <c r="H634" t="s">
        <v>4186</v>
      </c>
      <c r="I634" t="s">
        <v>144</v>
      </c>
      <c r="J634" t="s">
        <v>111</v>
      </c>
      <c r="K634" t="str">
        <f>"85396"</f>
        <v>85396</v>
      </c>
      <c r="L634" t="s">
        <v>145</v>
      </c>
      <c r="M634" t="s">
        <v>4186</v>
      </c>
      <c r="N634" t="s">
        <v>144</v>
      </c>
      <c r="O634" t="s">
        <v>111</v>
      </c>
      <c r="P634" t="str">
        <f>"85396-1783"</f>
        <v>85396-1783</v>
      </c>
      <c r="Q634" t="s">
        <v>113</v>
      </c>
      <c r="R634" t="str">
        <f>"502-83-449"</f>
        <v>502-83-449</v>
      </c>
      <c r="S634" t="s">
        <v>1652</v>
      </c>
      <c r="U634">
        <v>3052</v>
      </c>
      <c r="W634">
        <v>4</v>
      </c>
      <c r="X634">
        <v>2016</v>
      </c>
      <c r="Z634">
        <v>1</v>
      </c>
      <c r="AC634" t="s">
        <v>115</v>
      </c>
      <c r="AD634">
        <v>3</v>
      </c>
      <c r="AE634" t="s">
        <v>115</v>
      </c>
      <c r="AH634" t="s">
        <v>116</v>
      </c>
      <c r="AI634" s="1">
        <v>8542</v>
      </c>
      <c r="AJ634" s="2">
        <v>0.02</v>
      </c>
      <c r="AK634" s="1">
        <v>416553</v>
      </c>
      <c r="AL634" t="s">
        <v>117</v>
      </c>
      <c r="AM634" t="s">
        <v>118</v>
      </c>
      <c r="AN634">
        <v>9800</v>
      </c>
      <c r="AO634">
        <v>0.22</v>
      </c>
      <c r="AR634">
        <v>1</v>
      </c>
      <c r="AS634" s="1">
        <v>30220</v>
      </c>
      <c r="AT634" s="1">
        <v>6040</v>
      </c>
      <c r="AU634" s="1">
        <v>24180</v>
      </c>
      <c r="AV634">
        <v>80.010000000000005</v>
      </c>
      <c r="AX634" s="1">
        <v>4090.82</v>
      </c>
      <c r="AY634" t="s">
        <v>217</v>
      </c>
      <c r="AZ634" t="s">
        <v>217</v>
      </c>
      <c r="BA634" t="s">
        <v>218</v>
      </c>
      <c r="BE634" s="3">
        <v>42447</v>
      </c>
      <c r="BF634" s="1">
        <v>394977</v>
      </c>
      <c r="BG634" t="s">
        <v>209</v>
      </c>
      <c r="BH634" s="1">
        <v>129.41999999999999</v>
      </c>
      <c r="BI634" s="1">
        <v>408011</v>
      </c>
      <c r="BJ634" s="3">
        <v>42447</v>
      </c>
      <c r="BK634" t="s">
        <v>123</v>
      </c>
      <c r="BL634" t="str">
        <f>"2016.176970"</f>
        <v>2016.176970</v>
      </c>
      <c r="BM634" t="s">
        <v>175</v>
      </c>
      <c r="BO634" t="s">
        <v>4187</v>
      </c>
      <c r="BS634">
        <v>30</v>
      </c>
      <c r="BW634" t="str">
        <f>""</f>
        <v/>
      </c>
      <c r="CH634" t="str">
        <f>""</f>
        <v/>
      </c>
      <c r="CS634" t="str">
        <f>""</f>
        <v/>
      </c>
    </row>
    <row r="635" spans="1:97" x14ac:dyDescent="0.25">
      <c r="A635" t="s">
        <v>4188</v>
      </c>
      <c r="B635" t="s">
        <v>364</v>
      </c>
      <c r="C635" t="s">
        <v>489</v>
      </c>
      <c r="D635" t="s">
        <v>364</v>
      </c>
      <c r="E635" t="s">
        <v>4189</v>
      </c>
      <c r="F635" t="s">
        <v>108</v>
      </c>
      <c r="H635" t="s">
        <v>4190</v>
      </c>
      <c r="I635" t="s">
        <v>499</v>
      </c>
      <c r="J635" t="s">
        <v>111</v>
      </c>
      <c r="K635" t="str">
        <f>"85338"</f>
        <v>85338</v>
      </c>
      <c r="L635" t="s">
        <v>2765</v>
      </c>
      <c r="M635" t="s">
        <v>4190</v>
      </c>
      <c r="N635" t="s">
        <v>499</v>
      </c>
      <c r="O635" t="s">
        <v>111</v>
      </c>
      <c r="P635" t="str">
        <f>"85338-7819"</f>
        <v>85338-7819</v>
      </c>
      <c r="Q635" t="s">
        <v>113</v>
      </c>
      <c r="R635" t="str">
        <f>"502-48-045"</f>
        <v>502-48-045</v>
      </c>
      <c r="S635" t="s">
        <v>2766</v>
      </c>
      <c r="U635">
        <v>2249</v>
      </c>
      <c r="W635">
        <v>3</v>
      </c>
      <c r="X635">
        <v>2015</v>
      </c>
      <c r="Z635">
        <v>2</v>
      </c>
      <c r="AC635" t="s">
        <v>115</v>
      </c>
      <c r="AD635">
        <v>2</v>
      </c>
      <c r="AE635" t="s">
        <v>115</v>
      </c>
      <c r="AH635" t="s">
        <v>116</v>
      </c>
      <c r="AI635" s="1">
        <v>54416</v>
      </c>
      <c r="AJ635" s="2">
        <v>0.19</v>
      </c>
      <c r="AK635" s="1">
        <v>293716</v>
      </c>
      <c r="AL635" t="s">
        <v>117</v>
      </c>
      <c r="AM635" t="s">
        <v>118</v>
      </c>
      <c r="AN635">
        <v>8360</v>
      </c>
      <c r="AO635">
        <v>0.19</v>
      </c>
      <c r="AR635">
        <v>1</v>
      </c>
      <c r="AS635" s="1">
        <v>20610</v>
      </c>
      <c r="AT635" s="1">
        <v>4120</v>
      </c>
      <c r="AU635" s="1">
        <v>16490</v>
      </c>
      <c r="AV635">
        <v>80.010000000000005</v>
      </c>
      <c r="AX635" s="1">
        <v>1655.48</v>
      </c>
      <c r="AY635" t="s">
        <v>2767</v>
      </c>
      <c r="AZ635" t="s">
        <v>2767</v>
      </c>
      <c r="BA635" t="s">
        <v>1247</v>
      </c>
      <c r="BE635" s="3">
        <v>42304</v>
      </c>
      <c r="BF635" s="1">
        <v>242498</v>
      </c>
      <c r="BG635" t="s">
        <v>275</v>
      </c>
      <c r="BH635" s="1">
        <v>107.82</v>
      </c>
      <c r="BI635" s="1">
        <v>239300</v>
      </c>
      <c r="BJ635" s="3">
        <v>42731</v>
      </c>
      <c r="BK635" t="s">
        <v>123</v>
      </c>
      <c r="BL635" t="str">
        <f>"2016.951454"</f>
        <v>2016.951454</v>
      </c>
      <c r="BM635" t="s">
        <v>425</v>
      </c>
      <c r="BO635" t="s">
        <v>4191</v>
      </c>
      <c r="BS635">
        <v>30</v>
      </c>
      <c r="BW635" t="str">
        <f>""</f>
        <v/>
      </c>
      <c r="CH635" t="str">
        <f>""</f>
        <v/>
      </c>
      <c r="CS635" t="str">
        <f>""</f>
        <v/>
      </c>
    </row>
    <row r="636" spans="1:97" x14ac:dyDescent="0.25">
      <c r="A636" t="s">
        <v>199</v>
      </c>
      <c r="B636" t="s">
        <v>4192</v>
      </c>
      <c r="E636" t="s">
        <v>4193</v>
      </c>
      <c r="F636" t="s">
        <v>108</v>
      </c>
      <c r="H636" t="s">
        <v>4194</v>
      </c>
      <c r="I636" t="s">
        <v>110</v>
      </c>
      <c r="J636" t="s">
        <v>111</v>
      </c>
      <c r="K636" t="str">
        <f>"85225"</f>
        <v>85225</v>
      </c>
      <c r="L636" t="s">
        <v>1300</v>
      </c>
      <c r="M636" t="s">
        <v>4194</v>
      </c>
      <c r="N636" t="s">
        <v>110</v>
      </c>
      <c r="O636" t="s">
        <v>111</v>
      </c>
      <c r="P636" t="str">
        <f>"85225-1490"</f>
        <v>85225-1490</v>
      </c>
      <c r="Q636" t="s">
        <v>113</v>
      </c>
      <c r="R636" t="str">
        <f>"302-95-467"</f>
        <v>302-95-467</v>
      </c>
      <c r="S636" t="s">
        <v>2954</v>
      </c>
      <c r="T636" t="s">
        <v>2955</v>
      </c>
      <c r="U636">
        <v>2243</v>
      </c>
      <c r="W636">
        <v>4</v>
      </c>
      <c r="X636">
        <v>2015</v>
      </c>
      <c r="Z636">
        <v>2</v>
      </c>
      <c r="AC636" t="s">
        <v>115</v>
      </c>
      <c r="AD636">
        <v>2</v>
      </c>
      <c r="AE636" t="s">
        <v>115</v>
      </c>
      <c r="AH636" t="s">
        <v>116</v>
      </c>
      <c r="AI636" s="1">
        <v>-291402</v>
      </c>
      <c r="AJ636" s="2">
        <v>-0.82</v>
      </c>
      <c r="AK636" s="1">
        <v>354198</v>
      </c>
      <c r="AL636" t="s">
        <v>117</v>
      </c>
      <c r="AM636" t="s">
        <v>118</v>
      </c>
      <c r="AN636">
        <v>4981</v>
      </c>
      <c r="AO636">
        <v>0.11</v>
      </c>
      <c r="AR636">
        <v>1</v>
      </c>
      <c r="AS636" s="1">
        <v>26950</v>
      </c>
      <c r="AT636" s="1">
        <v>5390</v>
      </c>
      <c r="AU636" s="1">
        <v>21560</v>
      </c>
      <c r="AV636">
        <v>80</v>
      </c>
      <c r="AX636" s="1">
        <v>1796.9</v>
      </c>
      <c r="AY636" t="s">
        <v>2956</v>
      </c>
      <c r="AZ636" t="s">
        <v>2906</v>
      </c>
      <c r="BA636" t="s">
        <v>2957</v>
      </c>
      <c r="BB636" s="3">
        <v>43234</v>
      </c>
      <c r="BC636" s="1">
        <v>0</v>
      </c>
      <c r="BD636" t="s">
        <v>247</v>
      </c>
      <c r="BE636" s="3">
        <v>42174</v>
      </c>
      <c r="BF636" s="1">
        <v>327194</v>
      </c>
      <c r="BG636" t="s">
        <v>209</v>
      </c>
      <c r="BH636" s="1">
        <v>145.87</v>
      </c>
      <c r="BI636" s="1">
        <v>322800</v>
      </c>
      <c r="BJ636" s="3">
        <v>43234</v>
      </c>
      <c r="BK636" t="s">
        <v>123</v>
      </c>
      <c r="BL636" t="str">
        <f>"2018.365287"</f>
        <v>2018.365287</v>
      </c>
      <c r="BM636" t="s">
        <v>673</v>
      </c>
      <c r="BN636" t="s">
        <v>674</v>
      </c>
      <c r="BO636" t="s">
        <v>4193</v>
      </c>
      <c r="BR636" t="s">
        <v>346</v>
      </c>
      <c r="BT636" s="1">
        <v>322800</v>
      </c>
      <c r="BU636" s="3">
        <v>43321</v>
      </c>
      <c r="BV636" t="s">
        <v>4195</v>
      </c>
      <c r="BW636" t="str">
        <f>"2018.603207"</f>
        <v>2018.603207</v>
      </c>
      <c r="BX636" t="s">
        <v>673</v>
      </c>
      <c r="BY636" t="s">
        <v>674</v>
      </c>
      <c r="BZ636" t="s">
        <v>4193</v>
      </c>
      <c r="CC636" t="s">
        <v>346</v>
      </c>
      <c r="CH636" t="str">
        <f>""</f>
        <v/>
      </c>
      <c r="CS636" t="str">
        <f>""</f>
        <v/>
      </c>
    </row>
    <row r="637" spans="1:97" x14ac:dyDescent="0.25">
      <c r="A637" t="s">
        <v>4196</v>
      </c>
      <c r="B637" t="s">
        <v>4197</v>
      </c>
      <c r="E637" t="s">
        <v>4198</v>
      </c>
      <c r="F637" t="s">
        <v>108</v>
      </c>
      <c r="H637" t="s">
        <v>4199</v>
      </c>
      <c r="I637" t="s">
        <v>203</v>
      </c>
      <c r="J637" t="s">
        <v>111</v>
      </c>
      <c r="K637" t="str">
        <f>"85298"</f>
        <v>85298</v>
      </c>
      <c r="L637" t="s">
        <v>269</v>
      </c>
      <c r="M637" t="s">
        <v>4199</v>
      </c>
      <c r="N637" t="s">
        <v>203</v>
      </c>
      <c r="O637" t="s">
        <v>111</v>
      </c>
      <c r="P637" t="str">
        <f>"85298-9769"</f>
        <v>85298-9769</v>
      </c>
      <c r="Q637" t="s">
        <v>113</v>
      </c>
      <c r="R637" t="str">
        <f>"313-19-152"</f>
        <v>313-19-152</v>
      </c>
      <c r="S637" t="s">
        <v>2803</v>
      </c>
      <c r="T637" t="s">
        <v>271</v>
      </c>
      <c r="U637">
        <v>1759</v>
      </c>
      <c r="W637">
        <v>2</v>
      </c>
      <c r="X637">
        <v>2015</v>
      </c>
      <c r="Z637">
        <v>1</v>
      </c>
      <c r="AC637" t="s">
        <v>115</v>
      </c>
      <c r="AD637">
        <v>2</v>
      </c>
      <c r="AE637" t="s">
        <v>115</v>
      </c>
      <c r="AH637" t="s">
        <v>116</v>
      </c>
      <c r="AI637" s="1">
        <v>99561</v>
      </c>
      <c r="AJ637" s="2">
        <v>0.28999999999999998</v>
      </c>
      <c r="AK637" s="1">
        <v>340902</v>
      </c>
      <c r="AL637" t="s">
        <v>117</v>
      </c>
      <c r="AM637" t="s">
        <v>191</v>
      </c>
      <c r="AN637">
        <v>5750</v>
      </c>
      <c r="AO637">
        <v>0.13</v>
      </c>
      <c r="AR637">
        <v>1</v>
      </c>
      <c r="AS637" s="1">
        <v>23530</v>
      </c>
      <c r="AT637" s="1">
        <v>4700</v>
      </c>
      <c r="AU637" s="1">
        <v>18830</v>
      </c>
      <c r="AV637">
        <v>80.03</v>
      </c>
      <c r="AX637" s="1">
        <v>1759.9</v>
      </c>
      <c r="AY637" t="s">
        <v>272</v>
      </c>
      <c r="AZ637" t="s">
        <v>273</v>
      </c>
      <c r="BA637" t="s">
        <v>274</v>
      </c>
      <c r="BE637" s="3">
        <v>42291</v>
      </c>
      <c r="BF637" s="1">
        <v>250290</v>
      </c>
      <c r="BG637" t="s">
        <v>275</v>
      </c>
      <c r="BH637" s="1">
        <v>142.29</v>
      </c>
      <c r="BI637" s="1">
        <v>241341</v>
      </c>
      <c r="BJ637" s="3">
        <v>42291</v>
      </c>
      <c r="BK637" t="s">
        <v>123</v>
      </c>
      <c r="BL637" t="str">
        <f>"2015.739919"</f>
        <v>2015.739919</v>
      </c>
      <c r="BM637" t="s">
        <v>651</v>
      </c>
      <c r="BO637" t="s">
        <v>4200</v>
      </c>
      <c r="BS637">
        <v>30</v>
      </c>
      <c r="BW637" t="str">
        <f>""</f>
        <v/>
      </c>
      <c r="CH637" t="str">
        <f>""</f>
        <v/>
      </c>
      <c r="CS637" t="str">
        <f>""</f>
        <v/>
      </c>
    </row>
    <row r="638" spans="1:97" x14ac:dyDescent="0.25">
      <c r="A638" t="s">
        <v>370</v>
      </c>
      <c r="B638" t="s">
        <v>1667</v>
      </c>
      <c r="C638" t="s">
        <v>4201</v>
      </c>
      <c r="D638" t="s">
        <v>1667</v>
      </c>
      <c r="E638" t="s">
        <v>4202</v>
      </c>
      <c r="F638" t="s">
        <v>108</v>
      </c>
      <c r="H638" t="s">
        <v>4203</v>
      </c>
      <c r="I638" t="s">
        <v>225</v>
      </c>
      <c r="J638" t="s">
        <v>111</v>
      </c>
      <c r="K638" t="str">
        <f>"85213"</f>
        <v>85213</v>
      </c>
      <c r="L638" t="s">
        <v>4159</v>
      </c>
      <c r="M638" t="s">
        <v>4203</v>
      </c>
      <c r="N638" t="s">
        <v>225</v>
      </c>
      <c r="O638" t="s">
        <v>111</v>
      </c>
      <c r="P638" t="str">
        <f>"85213-2079"</f>
        <v>85213-2079</v>
      </c>
      <c r="Q638" t="s">
        <v>113</v>
      </c>
      <c r="R638" t="str">
        <f>"141-19-530"</f>
        <v>141-19-530</v>
      </c>
      <c r="S638" t="s">
        <v>4160</v>
      </c>
      <c r="U638">
        <v>1695</v>
      </c>
      <c r="W638">
        <v>3</v>
      </c>
      <c r="X638">
        <v>2016</v>
      </c>
      <c r="Z638">
        <v>1</v>
      </c>
      <c r="AC638" t="s">
        <v>115</v>
      </c>
      <c r="AD638">
        <v>2</v>
      </c>
      <c r="AE638" t="s">
        <v>115</v>
      </c>
      <c r="AH638" t="s">
        <v>116</v>
      </c>
      <c r="AI638" s="1">
        <v>88301</v>
      </c>
      <c r="AJ638" s="2">
        <v>0.26</v>
      </c>
      <c r="AK638" s="1">
        <v>335921</v>
      </c>
      <c r="AL638" t="s">
        <v>117</v>
      </c>
      <c r="AM638" t="s">
        <v>917</v>
      </c>
      <c r="AN638">
        <v>4750</v>
      </c>
      <c r="AO638">
        <v>0.11</v>
      </c>
      <c r="AR638">
        <v>1</v>
      </c>
      <c r="AS638" s="1">
        <v>22480</v>
      </c>
      <c r="AT638" s="1">
        <v>4490</v>
      </c>
      <c r="AU638" s="1">
        <v>17990</v>
      </c>
      <c r="AV638">
        <v>80.03</v>
      </c>
      <c r="AX638" s="1">
        <v>1842.54</v>
      </c>
      <c r="AY638" t="s">
        <v>4162</v>
      </c>
      <c r="AZ638" t="s">
        <v>4163</v>
      </c>
      <c r="BA638" t="s">
        <v>1524</v>
      </c>
      <c r="BE638" s="3">
        <v>42535</v>
      </c>
      <c r="BF638" s="1">
        <v>247681</v>
      </c>
      <c r="BG638" t="s">
        <v>2842</v>
      </c>
      <c r="BH638" s="1">
        <v>146.12</v>
      </c>
      <c r="BI638" s="1">
        <v>247620</v>
      </c>
      <c r="BJ638" s="3">
        <v>43003</v>
      </c>
      <c r="BK638" t="s">
        <v>123</v>
      </c>
      <c r="BL638" t="str">
        <f>"2017.706678"</f>
        <v>2017.706678</v>
      </c>
      <c r="BM638" t="s">
        <v>4204</v>
      </c>
      <c r="BO638" t="s">
        <v>4205</v>
      </c>
      <c r="BP638" t="s">
        <v>4206</v>
      </c>
      <c r="BS638">
        <v>29</v>
      </c>
      <c r="BW638" t="str">
        <f>""</f>
        <v/>
      </c>
      <c r="CH638" t="str">
        <f>""</f>
        <v/>
      </c>
      <c r="CS638" t="str">
        <f>""</f>
        <v/>
      </c>
    </row>
    <row r="639" spans="1:97" x14ac:dyDescent="0.25">
      <c r="A639" t="s">
        <v>325</v>
      </c>
      <c r="B639" t="s">
        <v>4207</v>
      </c>
      <c r="C639" t="s">
        <v>852</v>
      </c>
      <c r="D639" t="s">
        <v>4207</v>
      </c>
      <c r="E639" t="s">
        <v>4208</v>
      </c>
      <c r="F639" t="s">
        <v>108</v>
      </c>
      <c r="H639" t="s">
        <v>4209</v>
      </c>
      <c r="I639" t="s">
        <v>499</v>
      </c>
      <c r="J639" t="s">
        <v>111</v>
      </c>
      <c r="K639" t="str">
        <f>"85338"</f>
        <v>85338</v>
      </c>
      <c r="L639" t="s">
        <v>2765</v>
      </c>
      <c r="M639" t="s">
        <v>4209</v>
      </c>
      <c r="N639" t="s">
        <v>499</v>
      </c>
      <c r="O639" t="s">
        <v>111</v>
      </c>
      <c r="P639" t="str">
        <f>"85338-7835"</f>
        <v>85338-7835</v>
      </c>
      <c r="Q639" t="s">
        <v>113</v>
      </c>
      <c r="R639" t="str">
        <f>"502-48-063"</f>
        <v>502-48-063</v>
      </c>
      <c r="S639" t="s">
        <v>2766</v>
      </c>
      <c r="U639">
        <v>2857</v>
      </c>
      <c r="W639">
        <v>3</v>
      </c>
      <c r="X639">
        <v>2016</v>
      </c>
      <c r="Z639">
        <v>2</v>
      </c>
      <c r="AC639" t="s">
        <v>115</v>
      </c>
      <c r="AD639">
        <v>3</v>
      </c>
      <c r="AE639" t="s">
        <v>115</v>
      </c>
      <c r="AH639" t="s">
        <v>116</v>
      </c>
      <c r="AI639" s="1">
        <v>66927</v>
      </c>
      <c r="AJ639" s="2">
        <v>0.2</v>
      </c>
      <c r="AK639" s="1">
        <v>330313</v>
      </c>
      <c r="AL639" t="s">
        <v>117</v>
      </c>
      <c r="AM639" t="s">
        <v>118</v>
      </c>
      <c r="AN639">
        <v>6435</v>
      </c>
      <c r="AO639">
        <v>0.15</v>
      </c>
      <c r="AR639">
        <v>1</v>
      </c>
      <c r="AS639" s="1">
        <v>23330</v>
      </c>
      <c r="AT639" s="1">
        <v>4660</v>
      </c>
      <c r="AU639" s="1">
        <v>18670</v>
      </c>
      <c r="AV639">
        <v>80.03</v>
      </c>
      <c r="AX639" s="1">
        <v>1940.18</v>
      </c>
      <c r="AY639" t="s">
        <v>2767</v>
      </c>
      <c r="AZ639" t="s">
        <v>2767</v>
      </c>
      <c r="BA639" t="s">
        <v>1247</v>
      </c>
      <c r="BE639" s="3">
        <v>42458</v>
      </c>
      <c r="BF639" s="1">
        <v>244249</v>
      </c>
      <c r="BG639" t="s">
        <v>275</v>
      </c>
      <c r="BH639" s="1">
        <v>85.49</v>
      </c>
      <c r="BI639" s="1">
        <v>263386</v>
      </c>
      <c r="BJ639" s="3">
        <v>42605</v>
      </c>
      <c r="BK639" t="s">
        <v>123</v>
      </c>
      <c r="BL639" t="str">
        <f>"2016.604677"</f>
        <v>2016.604677</v>
      </c>
      <c r="BM639" t="s">
        <v>1695</v>
      </c>
      <c r="BO639" t="s">
        <v>4210</v>
      </c>
      <c r="BS639">
        <v>30</v>
      </c>
      <c r="BW639" t="str">
        <f>""</f>
        <v/>
      </c>
      <c r="CH639" t="str">
        <f>""</f>
        <v/>
      </c>
      <c r="CS639" t="str">
        <f>""</f>
        <v/>
      </c>
    </row>
    <row r="640" spans="1:97" x14ac:dyDescent="0.25">
      <c r="A640" t="s">
        <v>1057</v>
      </c>
      <c r="B640" t="s">
        <v>2611</v>
      </c>
      <c r="C640" t="s">
        <v>1500</v>
      </c>
      <c r="D640" t="s">
        <v>2611</v>
      </c>
      <c r="E640" t="s">
        <v>4211</v>
      </c>
      <c r="F640" t="s">
        <v>108</v>
      </c>
      <c r="H640" t="s">
        <v>4212</v>
      </c>
      <c r="I640" t="s">
        <v>390</v>
      </c>
      <c r="J640" t="s">
        <v>111</v>
      </c>
      <c r="K640" t="str">
        <f>"85042"</f>
        <v>85042</v>
      </c>
      <c r="L640" t="s">
        <v>2857</v>
      </c>
      <c r="M640" t="s">
        <v>4212</v>
      </c>
      <c r="N640" t="s">
        <v>390</v>
      </c>
      <c r="O640" t="s">
        <v>111</v>
      </c>
      <c r="P640" t="str">
        <f>"85042-6663"</f>
        <v>85042-6663</v>
      </c>
      <c r="Q640" t="s">
        <v>113</v>
      </c>
      <c r="R640" t="str">
        <f>"300-19-064"</f>
        <v>300-19-064</v>
      </c>
      <c r="S640" t="s">
        <v>2858</v>
      </c>
      <c r="T640" t="s">
        <v>2858</v>
      </c>
      <c r="U640">
        <v>1734</v>
      </c>
      <c r="W640">
        <v>3</v>
      </c>
      <c r="X640">
        <v>2016</v>
      </c>
      <c r="Z640">
        <v>1</v>
      </c>
      <c r="AC640" t="s">
        <v>115</v>
      </c>
      <c r="AD640">
        <v>2</v>
      </c>
      <c r="AE640" t="s">
        <v>115</v>
      </c>
      <c r="AH640" t="s">
        <v>116</v>
      </c>
      <c r="AI640" s="1">
        <v>34463</v>
      </c>
      <c r="AJ640" s="2">
        <v>0.11</v>
      </c>
      <c r="AK640" s="1">
        <v>312159</v>
      </c>
      <c r="AL640" t="s">
        <v>117</v>
      </c>
      <c r="AM640" t="s">
        <v>1302</v>
      </c>
      <c r="AN640">
        <v>5514</v>
      </c>
      <c r="AO640">
        <v>0.13</v>
      </c>
      <c r="AR640">
        <v>1</v>
      </c>
      <c r="AS640" s="1">
        <v>22880</v>
      </c>
      <c r="AT640" s="1">
        <v>4570</v>
      </c>
      <c r="AU640" s="1">
        <v>18310</v>
      </c>
      <c r="AV640">
        <v>80.03</v>
      </c>
      <c r="AX640" s="1">
        <v>2721.42</v>
      </c>
      <c r="AY640" t="s">
        <v>2859</v>
      </c>
      <c r="AZ640" t="s">
        <v>2859</v>
      </c>
      <c r="BA640" t="s">
        <v>2860</v>
      </c>
      <c r="BE640" s="3">
        <v>42549</v>
      </c>
      <c r="BF640" s="1">
        <v>268825</v>
      </c>
      <c r="BG640" t="s">
        <v>1079</v>
      </c>
      <c r="BH640" s="1">
        <v>155.03</v>
      </c>
      <c r="BI640" s="1">
        <v>277696</v>
      </c>
      <c r="BJ640" s="3">
        <v>42549</v>
      </c>
      <c r="BK640" t="s">
        <v>123</v>
      </c>
      <c r="BL640" t="str">
        <f>"2016.451173"</f>
        <v>2016.451173</v>
      </c>
      <c r="BM640" t="s">
        <v>1080</v>
      </c>
      <c r="BO640" t="s">
        <v>4213</v>
      </c>
      <c r="BS640">
        <v>30</v>
      </c>
      <c r="BW640" t="str">
        <f>""</f>
        <v/>
      </c>
      <c r="CH640" t="str">
        <f>""</f>
        <v/>
      </c>
      <c r="CS640" t="str">
        <f>""</f>
        <v/>
      </c>
    </row>
    <row r="641" spans="1:97" x14ac:dyDescent="0.25">
      <c r="A641" t="s">
        <v>4214</v>
      </c>
      <c r="B641" t="s">
        <v>327</v>
      </c>
      <c r="C641" t="s">
        <v>817</v>
      </c>
      <c r="D641" t="s">
        <v>327</v>
      </c>
      <c r="E641" t="s">
        <v>4215</v>
      </c>
      <c r="F641" t="s">
        <v>108</v>
      </c>
      <c r="H641" t="s">
        <v>4216</v>
      </c>
      <c r="I641" t="s">
        <v>453</v>
      </c>
      <c r="J641" t="s">
        <v>111</v>
      </c>
      <c r="K641" t="str">
        <f>"85383"</f>
        <v>85383</v>
      </c>
      <c r="L641" t="s">
        <v>2220</v>
      </c>
      <c r="M641" t="s">
        <v>4216</v>
      </c>
      <c r="N641" t="s">
        <v>453</v>
      </c>
      <c r="O641" t="s">
        <v>111</v>
      </c>
      <c r="P641" t="str">
        <f>"85383-1918"</f>
        <v>85383-1918</v>
      </c>
      <c r="Q641" t="s">
        <v>113</v>
      </c>
      <c r="R641" t="str">
        <f>"201-14-566"</f>
        <v>201-14-566</v>
      </c>
      <c r="S641" t="s">
        <v>4217</v>
      </c>
      <c r="T641" t="s">
        <v>4217</v>
      </c>
      <c r="U641">
        <v>3880</v>
      </c>
      <c r="W641">
        <v>5</v>
      </c>
      <c r="X641">
        <v>2016</v>
      </c>
      <c r="Z641">
        <v>1</v>
      </c>
      <c r="AA641" t="s">
        <v>26</v>
      </c>
      <c r="AC641" t="s">
        <v>115</v>
      </c>
      <c r="AD641">
        <v>3</v>
      </c>
      <c r="AE641" t="s">
        <v>115</v>
      </c>
      <c r="AH641" t="s">
        <v>116</v>
      </c>
      <c r="AI641" s="1">
        <v>95967</v>
      </c>
      <c r="AJ641" s="2">
        <v>0.15</v>
      </c>
      <c r="AK641" s="1">
        <v>642335</v>
      </c>
      <c r="AL641" t="s">
        <v>117</v>
      </c>
      <c r="AM641" t="s">
        <v>3111</v>
      </c>
      <c r="AN641">
        <v>18057</v>
      </c>
      <c r="AO641">
        <v>0.42</v>
      </c>
      <c r="AR641">
        <v>1</v>
      </c>
      <c r="AS641" s="1">
        <v>50820</v>
      </c>
      <c r="AT641" s="1">
        <v>10160</v>
      </c>
      <c r="AU641" s="1">
        <v>40660</v>
      </c>
      <c r="AV641">
        <v>80.010000000000005</v>
      </c>
      <c r="AX641" s="1">
        <v>4239.8599999999997</v>
      </c>
      <c r="AY641" t="s">
        <v>4218</v>
      </c>
      <c r="AZ641" t="s">
        <v>4218</v>
      </c>
      <c r="BA641" t="s">
        <v>4219</v>
      </c>
      <c r="BE641" s="3">
        <v>42514</v>
      </c>
      <c r="BF641" s="1">
        <v>538007</v>
      </c>
      <c r="BG641" t="s">
        <v>275</v>
      </c>
      <c r="BH641" s="1">
        <v>138.66</v>
      </c>
      <c r="BI641" s="1">
        <v>507755</v>
      </c>
      <c r="BJ641" s="3">
        <v>42514</v>
      </c>
      <c r="BK641" t="s">
        <v>123</v>
      </c>
      <c r="BL641" t="str">
        <f>"2016.356566"</f>
        <v>2016.356566</v>
      </c>
      <c r="BM641" t="s">
        <v>651</v>
      </c>
      <c r="BO641" t="s">
        <v>4220</v>
      </c>
      <c r="BS641">
        <v>30</v>
      </c>
      <c r="BT641" s="1">
        <v>38613</v>
      </c>
      <c r="BU641" s="3">
        <v>42563</v>
      </c>
      <c r="BV641" t="s">
        <v>134</v>
      </c>
      <c r="BW641" t="str">
        <f>"2016.487106"</f>
        <v>2016.487106</v>
      </c>
      <c r="BX641" t="s">
        <v>198</v>
      </c>
      <c r="BZ641" t="s">
        <v>4220</v>
      </c>
      <c r="CD641">
        <v>15</v>
      </c>
      <c r="CH641" t="str">
        <f>""</f>
        <v/>
      </c>
      <c r="CS641" t="str">
        <f>""</f>
        <v/>
      </c>
    </row>
    <row r="642" spans="1:97" x14ac:dyDescent="0.25">
      <c r="A642" t="s">
        <v>1444</v>
      </c>
      <c r="B642" t="s">
        <v>4221</v>
      </c>
      <c r="C642" t="s">
        <v>4222</v>
      </c>
      <c r="D642" t="s">
        <v>4221</v>
      </c>
      <c r="E642" t="s">
        <v>4223</v>
      </c>
      <c r="F642" t="s">
        <v>108</v>
      </c>
      <c r="H642" t="s">
        <v>4224</v>
      </c>
      <c r="I642" t="s">
        <v>453</v>
      </c>
      <c r="J642" t="s">
        <v>111</v>
      </c>
      <c r="K642" t="str">
        <f>"85383"</f>
        <v>85383</v>
      </c>
      <c r="L642" t="s">
        <v>189</v>
      </c>
      <c r="M642" t="s">
        <v>4224</v>
      </c>
      <c r="N642" t="s">
        <v>453</v>
      </c>
      <c r="O642" t="s">
        <v>111</v>
      </c>
      <c r="P642" t="str">
        <f>"85383-8047"</f>
        <v>85383-8047</v>
      </c>
      <c r="Q642" t="s">
        <v>113</v>
      </c>
      <c r="R642" t="str">
        <f>"510-07-593"</f>
        <v>510-07-593</v>
      </c>
      <c r="S642" t="s">
        <v>3774</v>
      </c>
      <c r="U642">
        <v>2911</v>
      </c>
      <c r="W642">
        <v>4</v>
      </c>
      <c r="X642">
        <v>2015</v>
      </c>
      <c r="Z642">
        <v>2</v>
      </c>
      <c r="AC642" t="s">
        <v>115</v>
      </c>
      <c r="AD642">
        <v>2</v>
      </c>
      <c r="AE642" t="s">
        <v>115</v>
      </c>
      <c r="AH642" t="s">
        <v>116</v>
      </c>
      <c r="AI642" s="1">
        <v>-261717</v>
      </c>
      <c r="AJ642" s="2">
        <v>-0.62</v>
      </c>
      <c r="AK642" s="1">
        <v>424415</v>
      </c>
      <c r="AL642" t="s">
        <v>117</v>
      </c>
      <c r="AM642" t="s">
        <v>118</v>
      </c>
      <c r="AN642">
        <v>8502</v>
      </c>
      <c r="AO642">
        <v>0.2</v>
      </c>
      <c r="AR642">
        <v>1</v>
      </c>
      <c r="AS642" s="1">
        <v>30830</v>
      </c>
      <c r="AT642" s="1">
        <v>6160</v>
      </c>
      <c r="AU642" s="1">
        <v>24670</v>
      </c>
      <c r="AV642">
        <v>80.02</v>
      </c>
      <c r="AX642" s="1">
        <v>3156.82</v>
      </c>
      <c r="AY642" t="s">
        <v>456</v>
      </c>
      <c r="AZ642" t="s">
        <v>456</v>
      </c>
      <c r="BA642" t="s">
        <v>457</v>
      </c>
      <c r="BE642" s="3">
        <v>42426</v>
      </c>
      <c r="BF642" s="1">
        <v>332107</v>
      </c>
      <c r="BG642" t="s">
        <v>292</v>
      </c>
      <c r="BH642" s="1">
        <v>114.09</v>
      </c>
      <c r="BI642" s="1">
        <v>343066</v>
      </c>
      <c r="BJ642" s="3">
        <v>42426</v>
      </c>
      <c r="BK642" t="s">
        <v>123</v>
      </c>
      <c r="BL642" t="str">
        <f>"2016.121061"</f>
        <v>2016.121061</v>
      </c>
      <c r="BM642" t="s">
        <v>1831</v>
      </c>
      <c r="BO642" t="s">
        <v>4225</v>
      </c>
      <c r="BS642">
        <v>30</v>
      </c>
      <c r="BT642" s="1">
        <v>343066</v>
      </c>
      <c r="BU642" s="3">
        <v>42439</v>
      </c>
      <c r="BV642" t="s">
        <v>123</v>
      </c>
      <c r="BW642" t="str">
        <f>"2016.154681"</f>
        <v>2016.154681</v>
      </c>
      <c r="BX642" t="s">
        <v>1831</v>
      </c>
      <c r="BZ642" t="s">
        <v>4225</v>
      </c>
      <c r="CD642">
        <v>30</v>
      </c>
      <c r="CH642" t="str">
        <f>""</f>
        <v/>
      </c>
      <c r="CS642" t="str">
        <f>""</f>
        <v/>
      </c>
    </row>
    <row r="643" spans="1:97" x14ac:dyDescent="0.25">
      <c r="A643" t="s">
        <v>933</v>
      </c>
      <c r="B643" t="s">
        <v>3658</v>
      </c>
      <c r="E643" t="s">
        <v>4226</v>
      </c>
      <c r="F643" t="s">
        <v>108</v>
      </c>
      <c r="H643" t="s">
        <v>4227</v>
      </c>
      <c r="I643" t="s">
        <v>453</v>
      </c>
      <c r="J643" t="s">
        <v>111</v>
      </c>
      <c r="K643" t="str">
        <f>"85383"</f>
        <v>85383</v>
      </c>
      <c r="L643" t="s">
        <v>625</v>
      </c>
      <c r="M643" t="s">
        <v>4227</v>
      </c>
      <c r="N643" t="s">
        <v>453</v>
      </c>
      <c r="O643" t="s">
        <v>111</v>
      </c>
      <c r="P643" t="str">
        <f>"85383-8834"</f>
        <v>85383-8834</v>
      </c>
      <c r="Q643" t="s">
        <v>113</v>
      </c>
      <c r="R643" t="str">
        <f>"201-17-683"</f>
        <v>201-17-683</v>
      </c>
      <c r="S643" t="s">
        <v>2026</v>
      </c>
      <c r="U643">
        <v>3532</v>
      </c>
      <c r="W643">
        <v>5</v>
      </c>
      <c r="X643">
        <v>2016</v>
      </c>
      <c r="Z643">
        <v>1</v>
      </c>
      <c r="AA643" t="s">
        <v>26</v>
      </c>
      <c r="AC643" t="s">
        <v>115</v>
      </c>
      <c r="AD643">
        <v>3</v>
      </c>
      <c r="AE643" t="s">
        <v>115</v>
      </c>
      <c r="AH643" t="s">
        <v>116</v>
      </c>
      <c r="AI643" s="1">
        <v>5484</v>
      </c>
      <c r="AJ643" s="2">
        <v>0.01</v>
      </c>
      <c r="AK643" s="1">
        <v>584642</v>
      </c>
      <c r="AL643" t="s">
        <v>117</v>
      </c>
      <c r="AM643" t="s">
        <v>118</v>
      </c>
      <c r="AN643">
        <v>11527</v>
      </c>
      <c r="AO643">
        <v>0.26</v>
      </c>
      <c r="AR643">
        <v>1</v>
      </c>
      <c r="AS643" s="1">
        <v>46710</v>
      </c>
      <c r="AT643" s="1">
        <v>9340</v>
      </c>
      <c r="AU643" s="1">
        <v>37370</v>
      </c>
      <c r="AV643">
        <v>80</v>
      </c>
      <c r="AX643" s="1">
        <v>3748.94</v>
      </c>
      <c r="AY643" t="s">
        <v>627</v>
      </c>
      <c r="AZ643" t="s">
        <v>627</v>
      </c>
      <c r="BA643" t="s">
        <v>457</v>
      </c>
      <c r="BB643" s="3">
        <v>42766</v>
      </c>
      <c r="BD643" t="s">
        <v>240</v>
      </c>
      <c r="BE643" s="3">
        <v>42474</v>
      </c>
      <c r="BF643" s="1">
        <v>504193</v>
      </c>
      <c r="BG643" t="s">
        <v>275</v>
      </c>
      <c r="BH643" s="1">
        <v>142.75</v>
      </c>
      <c r="BI643" s="1">
        <v>525750</v>
      </c>
      <c r="BJ643" s="3">
        <v>42766</v>
      </c>
      <c r="BK643" t="s">
        <v>123</v>
      </c>
      <c r="BL643" t="str">
        <f>"2017.76377"</f>
        <v>2017.76377</v>
      </c>
      <c r="BM643" t="s">
        <v>1695</v>
      </c>
      <c r="BO643" t="s">
        <v>4228</v>
      </c>
      <c r="BS643">
        <v>30</v>
      </c>
      <c r="BT643" s="1">
        <v>53408</v>
      </c>
      <c r="BU643" s="3">
        <v>42865</v>
      </c>
      <c r="BV643" t="s">
        <v>134</v>
      </c>
      <c r="BW643" t="str">
        <f>"2017.339380"</f>
        <v>2017.339380</v>
      </c>
      <c r="BX643" t="s">
        <v>198</v>
      </c>
      <c r="BZ643" t="s">
        <v>4228</v>
      </c>
      <c r="CD643">
        <v>15</v>
      </c>
      <c r="CH643" t="str">
        <f>""</f>
        <v/>
      </c>
      <c r="CS643" t="str">
        <f>""</f>
        <v/>
      </c>
    </row>
    <row r="644" spans="1:97" x14ac:dyDescent="0.25">
      <c r="A644" t="s">
        <v>4229</v>
      </c>
      <c r="B644" t="s">
        <v>2345</v>
      </c>
      <c r="E644" t="s">
        <v>4230</v>
      </c>
      <c r="F644" t="s">
        <v>108</v>
      </c>
      <c r="H644" t="s">
        <v>4231</v>
      </c>
      <c r="I644" t="s">
        <v>188</v>
      </c>
      <c r="J644" t="s">
        <v>111</v>
      </c>
      <c r="K644" t="str">
        <f>"85142"</f>
        <v>85142</v>
      </c>
      <c r="L644" t="s">
        <v>625</v>
      </c>
      <c r="M644" t="s">
        <v>4231</v>
      </c>
      <c r="N644" t="s">
        <v>188</v>
      </c>
      <c r="O644" t="s">
        <v>111</v>
      </c>
      <c r="P644" t="str">
        <f>"85142-8146"</f>
        <v>85142-8146</v>
      </c>
      <c r="Q644" t="s">
        <v>113</v>
      </c>
      <c r="R644" t="str">
        <f>"304-88-675"</f>
        <v>304-88-675</v>
      </c>
      <c r="S644" t="s">
        <v>3204</v>
      </c>
      <c r="U644">
        <v>3218</v>
      </c>
      <c r="W644">
        <v>3</v>
      </c>
      <c r="X644">
        <v>2015</v>
      </c>
      <c r="Z644">
        <v>2</v>
      </c>
      <c r="AC644" t="s">
        <v>115</v>
      </c>
      <c r="AD644">
        <v>3</v>
      </c>
      <c r="AE644" t="s">
        <v>115</v>
      </c>
      <c r="AH644" t="s">
        <v>116</v>
      </c>
      <c r="AI644" s="1">
        <v>124390</v>
      </c>
      <c r="AJ644" s="2">
        <v>0.28999999999999998</v>
      </c>
      <c r="AK644" s="1">
        <v>425590</v>
      </c>
      <c r="AL644" t="s">
        <v>117</v>
      </c>
      <c r="AM644" t="s">
        <v>393</v>
      </c>
      <c r="AN644">
        <v>9000</v>
      </c>
      <c r="AO644">
        <v>0.21</v>
      </c>
      <c r="AR644">
        <v>1</v>
      </c>
      <c r="AS644" s="1">
        <v>28920</v>
      </c>
      <c r="AT644" s="1">
        <v>5780</v>
      </c>
      <c r="AU644" s="1">
        <v>23140</v>
      </c>
      <c r="AV644">
        <v>80.010000000000005</v>
      </c>
      <c r="AX644" s="1">
        <v>3256.74</v>
      </c>
      <c r="AY644" t="s">
        <v>560</v>
      </c>
      <c r="AZ644" t="s">
        <v>561</v>
      </c>
      <c r="BA644" t="s">
        <v>194</v>
      </c>
      <c r="BE644" s="3">
        <v>42313</v>
      </c>
      <c r="BF644" s="1">
        <v>318000</v>
      </c>
      <c r="BG644" t="s">
        <v>1975</v>
      </c>
      <c r="BH644" s="1">
        <v>98.82</v>
      </c>
      <c r="BI644" s="1">
        <v>301200</v>
      </c>
      <c r="BJ644" s="3">
        <v>42480</v>
      </c>
      <c r="BK644" t="s">
        <v>123</v>
      </c>
      <c r="BL644" t="str">
        <f>"2016.263744"</f>
        <v>2016.263744</v>
      </c>
      <c r="BM644" t="s">
        <v>1122</v>
      </c>
      <c r="BO644" t="s">
        <v>4232</v>
      </c>
      <c r="BS644">
        <v>30</v>
      </c>
      <c r="BW644" t="str">
        <f>""</f>
        <v/>
      </c>
      <c r="CH644" t="str">
        <f>""</f>
        <v/>
      </c>
      <c r="CS644" t="str">
        <f>""</f>
        <v/>
      </c>
    </row>
    <row r="645" spans="1:97" x14ac:dyDescent="0.25">
      <c r="B645" t="s">
        <v>4233</v>
      </c>
      <c r="E645" t="s">
        <v>4233</v>
      </c>
      <c r="F645" t="s">
        <v>108</v>
      </c>
      <c r="H645" t="s">
        <v>4234</v>
      </c>
      <c r="I645" t="s">
        <v>499</v>
      </c>
      <c r="J645" t="s">
        <v>111</v>
      </c>
      <c r="K645" t="str">
        <f>"85338"</f>
        <v>85338</v>
      </c>
      <c r="L645" t="s">
        <v>1796</v>
      </c>
      <c r="M645" t="s">
        <v>4234</v>
      </c>
      <c r="N645" t="s">
        <v>499</v>
      </c>
      <c r="O645" t="s">
        <v>111</v>
      </c>
      <c r="P645" t="str">
        <f>"85338-7963"</f>
        <v>85338-7963</v>
      </c>
      <c r="Q645" t="s">
        <v>113</v>
      </c>
      <c r="R645" t="str">
        <f>"400-85-059"</f>
        <v>400-85-059</v>
      </c>
      <c r="S645" t="s">
        <v>4235</v>
      </c>
      <c r="U645">
        <v>3347</v>
      </c>
      <c r="W645">
        <v>5</v>
      </c>
      <c r="X645">
        <v>2016</v>
      </c>
      <c r="Z645">
        <v>2</v>
      </c>
      <c r="AA645" t="s">
        <v>26</v>
      </c>
      <c r="AC645" t="s">
        <v>115</v>
      </c>
      <c r="AD645">
        <v>3</v>
      </c>
      <c r="AE645" t="s">
        <v>115</v>
      </c>
      <c r="AH645" t="s">
        <v>116</v>
      </c>
      <c r="AI645" s="1">
        <v>119906</v>
      </c>
      <c r="AJ645" s="2">
        <v>0.25</v>
      </c>
      <c r="AK645" s="1">
        <v>482906</v>
      </c>
      <c r="AL645" t="s">
        <v>117</v>
      </c>
      <c r="AM645" t="s">
        <v>118</v>
      </c>
      <c r="AN645">
        <v>11083</v>
      </c>
      <c r="AO645">
        <v>0.25</v>
      </c>
      <c r="AR645">
        <v>1</v>
      </c>
      <c r="AS645" s="1">
        <v>34530</v>
      </c>
      <c r="AT645" s="1">
        <v>6900</v>
      </c>
      <c r="AU645" s="1">
        <v>27630</v>
      </c>
      <c r="AV645">
        <v>80.02</v>
      </c>
      <c r="AX645" s="1">
        <v>3940.04</v>
      </c>
      <c r="AY645" t="s">
        <v>4236</v>
      </c>
      <c r="AZ645" t="s">
        <v>4236</v>
      </c>
      <c r="BA645" t="s">
        <v>1247</v>
      </c>
      <c r="BE645" s="3">
        <v>42426</v>
      </c>
      <c r="BF645" s="1">
        <v>392013</v>
      </c>
      <c r="BG645" t="s">
        <v>292</v>
      </c>
      <c r="BH645" s="1">
        <v>117.12</v>
      </c>
      <c r="BI645" s="1">
        <v>363000</v>
      </c>
      <c r="BJ645" s="3">
        <v>42426</v>
      </c>
      <c r="BK645" t="s">
        <v>123</v>
      </c>
      <c r="BL645" t="str">
        <f>"2016.123094"</f>
        <v>2016.123094</v>
      </c>
      <c r="BM645" t="s">
        <v>1831</v>
      </c>
      <c r="BO645" t="s">
        <v>4237</v>
      </c>
      <c r="BS645">
        <v>30</v>
      </c>
      <c r="BW645" t="str">
        <f>""</f>
        <v/>
      </c>
      <c r="CH645" t="str">
        <f>""</f>
        <v/>
      </c>
      <c r="CS645" t="str">
        <f>""</f>
        <v/>
      </c>
    </row>
    <row r="646" spans="1:97" x14ac:dyDescent="0.25">
      <c r="A646" t="s">
        <v>2261</v>
      </c>
      <c r="B646" t="s">
        <v>4238</v>
      </c>
      <c r="E646" t="s">
        <v>4239</v>
      </c>
      <c r="F646" t="s">
        <v>108</v>
      </c>
      <c r="H646" t="s">
        <v>4240</v>
      </c>
      <c r="I646" t="s">
        <v>390</v>
      </c>
      <c r="J646" t="s">
        <v>111</v>
      </c>
      <c r="K646" t="str">
        <f>"85085"</f>
        <v>85085</v>
      </c>
      <c r="L646" t="s">
        <v>145</v>
      </c>
      <c r="M646" t="s">
        <v>4240</v>
      </c>
      <c r="N646" t="s">
        <v>390</v>
      </c>
      <c r="O646" t="s">
        <v>111</v>
      </c>
      <c r="P646" t="str">
        <f>"85085-8928"</f>
        <v>85085-8928</v>
      </c>
      <c r="Q646" t="s">
        <v>113</v>
      </c>
      <c r="R646" t="str">
        <f>"204-02-120"</f>
        <v>204-02-120</v>
      </c>
      <c r="S646" t="s">
        <v>3344</v>
      </c>
      <c r="T646" t="s">
        <v>3344</v>
      </c>
      <c r="U646">
        <v>1895</v>
      </c>
      <c r="W646">
        <v>3</v>
      </c>
      <c r="X646">
        <v>2015</v>
      </c>
      <c r="Z646">
        <v>1</v>
      </c>
      <c r="AC646" t="s">
        <v>115</v>
      </c>
      <c r="AD646">
        <v>3</v>
      </c>
      <c r="AE646" t="s">
        <v>115</v>
      </c>
      <c r="AH646" t="s">
        <v>116</v>
      </c>
      <c r="AI646" s="1">
        <v>95401</v>
      </c>
      <c r="AJ646" s="2">
        <v>0.26</v>
      </c>
      <c r="AK646" s="1">
        <v>360460</v>
      </c>
      <c r="AL646" t="s">
        <v>117</v>
      </c>
      <c r="AM646" t="s">
        <v>3345</v>
      </c>
      <c r="AN646">
        <v>6000</v>
      </c>
      <c r="AO646">
        <v>0.14000000000000001</v>
      </c>
      <c r="AR646">
        <v>1</v>
      </c>
      <c r="AS646" s="1">
        <v>28470</v>
      </c>
      <c r="AT646" s="1">
        <v>5690</v>
      </c>
      <c r="AU646" s="1">
        <v>22780</v>
      </c>
      <c r="AV646">
        <v>80.010000000000005</v>
      </c>
      <c r="AX646" s="1">
        <v>2392.5</v>
      </c>
      <c r="AY646" t="s">
        <v>1587</v>
      </c>
      <c r="AZ646" t="s">
        <v>1587</v>
      </c>
      <c r="BA646" t="s">
        <v>1462</v>
      </c>
      <c r="BE646" s="3">
        <v>42222</v>
      </c>
      <c r="BF646" s="1">
        <v>321142</v>
      </c>
      <c r="BG646" t="s">
        <v>446</v>
      </c>
      <c r="BH646" s="1">
        <v>169.47</v>
      </c>
      <c r="BI646" s="1">
        <v>265059</v>
      </c>
      <c r="BJ646" s="3">
        <v>42222</v>
      </c>
      <c r="BK646" t="s">
        <v>123</v>
      </c>
      <c r="BL646" t="str">
        <f>"2015.570709"</f>
        <v>2015.570709</v>
      </c>
      <c r="BM646" t="s">
        <v>724</v>
      </c>
      <c r="BO646" t="s">
        <v>4241</v>
      </c>
      <c r="BS646">
        <v>30</v>
      </c>
      <c r="BW646" t="str">
        <f>""</f>
        <v/>
      </c>
      <c r="CH646" t="str">
        <f>""</f>
        <v/>
      </c>
      <c r="CS646" t="str">
        <f>""</f>
        <v/>
      </c>
    </row>
    <row r="647" spans="1:97" x14ac:dyDescent="0.25">
      <c r="A647" t="s">
        <v>1672</v>
      </c>
      <c r="B647" t="s">
        <v>4242</v>
      </c>
      <c r="C647" t="s">
        <v>4243</v>
      </c>
      <c r="D647" t="s">
        <v>4242</v>
      </c>
      <c r="E647" t="s">
        <v>4244</v>
      </c>
      <c r="F647" t="s">
        <v>108</v>
      </c>
      <c r="H647" t="s">
        <v>4245</v>
      </c>
      <c r="I647" t="s">
        <v>188</v>
      </c>
      <c r="J647" t="s">
        <v>111</v>
      </c>
      <c r="K647" t="str">
        <f>"85142"</f>
        <v>85142</v>
      </c>
      <c r="L647" t="s">
        <v>3645</v>
      </c>
      <c r="M647" t="s">
        <v>4245</v>
      </c>
      <c r="N647" t="s">
        <v>188</v>
      </c>
      <c r="O647" t="s">
        <v>111</v>
      </c>
      <c r="P647" t="str">
        <f>"85142-8977"</f>
        <v>85142-8977</v>
      </c>
      <c r="Q647" t="s">
        <v>113</v>
      </c>
      <c r="R647" t="str">
        <f>"312-07-588"</f>
        <v>312-07-588</v>
      </c>
      <c r="S647" t="s">
        <v>3646</v>
      </c>
      <c r="T647" t="s">
        <v>3647</v>
      </c>
      <c r="U647">
        <v>2935</v>
      </c>
      <c r="W647">
        <v>4</v>
      </c>
      <c r="X647">
        <v>2016</v>
      </c>
      <c r="Z647">
        <v>1</v>
      </c>
      <c r="AC647" t="s">
        <v>115</v>
      </c>
      <c r="AD647">
        <v>3</v>
      </c>
      <c r="AE647" t="s">
        <v>115</v>
      </c>
      <c r="AH647" t="s">
        <v>116</v>
      </c>
      <c r="AI647" s="1">
        <v>80425</v>
      </c>
      <c r="AJ647" s="2">
        <v>0.2</v>
      </c>
      <c r="AK647" s="1">
        <v>403483</v>
      </c>
      <c r="AL647" t="s">
        <v>117</v>
      </c>
      <c r="AM647" t="s">
        <v>376</v>
      </c>
      <c r="AN647">
        <v>7566</v>
      </c>
      <c r="AO647">
        <v>0.17</v>
      </c>
      <c r="AR647">
        <v>1</v>
      </c>
      <c r="AS647" s="1">
        <v>27860</v>
      </c>
      <c r="AT647" s="1">
        <v>5570</v>
      </c>
      <c r="AU647" s="1">
        <v>22290</v>
      </c>
      <c r="AV647">
        <v>80.010000000000005</v>
      </c>
      <c r="AX647" s="1">
        <v>2804.86</v>
      </c>
      <c r="AY647" t="s">
        <v>560</v>
      </c>
      <c r="AZ647" t="s">
        <v>561</v>
      </c>
      <c r="BA647" t="s">
        <v>194</v>
      </c>
      <c r="BE647" s="3">
        <v>42550</v>
      </c>
      <c r="BF647" s="1">
        <v>312738</v>
      </c>
      <c r="BG647" t="s">
        <v>2842</v>
      </c>
      <c r="BH647" s="1">
        <v>106.55</v>
      </c>
      <c r="BI647" s="1">
        <v>323058</v>
      </c>
      <c r="BJ647" s="3">
        <v>42550</v>
      </c>
      <c r="BK647" t="s">
        <v>123</v>
      </c>
      <c r="BL647" t="str">
        <f>"2016.455986"</f>
        <v>2016.455986</v>
      </c>
      <c r="BM647" t="s">
        <v>2912</v>
      </c>
      <c r="BO647" t="s">
        <v>4246</v>
      </c>
      <c r="BS647">
        <v>30</v>
      </c>
      <c r="BW647" t="str">
        <f>""</f>
        <v/>
      </c>
      <c r="CH647" t="str">
        <f>""</f>
        <v/>
      </c>
      <c r="CS647" t="str">
        <f>""</f>
        <v/>
      </c>
    </row>
    <row r="648" spans="1:97" x14ac:dyDescent="0.25">
      <c r="A648" t="s">
        <v>4247</v>
      </c>
      <c r="B648" t="s">
        <v>4248</v>
      </c>
      <c r="E648" t="s">
        <v>4249</v>
      </c>
      <c r="F648" t="s">
        <v>108</v>
      </c>
      <c r="H648" t="s">
        <v>4250</v>
      </c>
      <c r="I648" t="s">
        <v>4251</v>
      </c>
      <c r="J648" t="s">
        <v>111</v>
      </c>
      <c r="K648" t="str">
        <f>"85353"</f>
        <v>85353</v>
      </c>
      <c r="L648" t="s">
        <v>3885</v>
      </c>
      <c r="M648" t="s">
        <v>4250</v>
      </c>
      <c r="N648" t="s">
        <v>4251</v>
      </c>
      <c r="O648" t="s">
        <v>111</v>
      </c>
      <c r="P648" t="str">
        <f>"85353-1367"</f>
        <v>85353-1367</v>
      </c>
      <c r="Q648" t="s">
        <v>113</v>
      </c>
      <c r="R648" t="str">
        <f>"101-27-737"</f>
        <v>101-27-737</v>
      </c>
      <c r="S648" t="s">
        <v>4252</v>
      </c>
      <c r="U648">
        <v>2000</v>
      </c>
      <c r="W648">
        <v>4</v>
      </c>
      <c r="X648">
        <v>2016</v>
      </c>
      <c r="Z648">
        <v>1</v>
      </c>
      <c r="AC648" t="s">
        <v>115</v>
      </c>
      <c r="AD648">
        <v>2</v>
      </c>
      <c r="AE648" t="s">
        <v>115</v>
      </c>
      <c r="AH648" t="s">
        <v>116</v>
      </c>
      <c r="AI648" s="1">
        <v>32929</v>
      </c>
      <c r="AJ648" s="2">
        <v>0.12</v>
      </c>
      <c r="AK648" s="1">
        <v>283111</v>
      </c>
      <c r="AL648" t="s">
        <v>117</v>
      </c>
      <c r="AM648" t="s">
        <v>171</v>
      </c>
      <c r="AN648">
        <v>4950</v>
      </c>
      <c r="AO648">
        <v>0.11</v>
      </c>
      <c r="AR648">
        <v>1</v>
      </c>
      <c r="AS648" s="1">
        <v>20270</v>
      </c>
      <c r="AT648" s="1">
        <v>4050</v>
      </c>
      <c r="AU648" s="1">
        <v>16220</v>
      </c>
      <c r="AV648">
        <v>80.02</v>
      </c>
      <c r="AX648" s="1">
        <v>2262.94</v>
      </c>
      <c r="AY648" t="s">
        <v>4253</v>
      </c>
      <c r="AZ648" t="s">
        <v>4253</v>
      </c>
      <c r="BA648" t="s">
        <v>4254</v>
      </c>
      <c r="BE648" s="3">
        <v>42489</v>
      </c>
      <c r="BF648" s="1">
        <v>242190</v>
      </c>
      <c r="BG648" t="s">
        <v>636</v>
      </c>
      <c r="BH648" s="1">
        <v>121.1</v>
      </c>
      <c r="BI648" s="1">
        <v>250182</v>
      </c>
      <c r="BJ648" s="3">
        <v>42489</v>
      </c>
      <c r="BK648" t="s">
        <v>123</v>
      </c>
      <c r="BL648" t="str">
        <f>"2016.292429"</f>
        <v>2016.292429</v>
      </c>
      <c r="BM648" t="s">
        <v>637</v>
      </c>
      <c r="BO648" t="s">
        <v>4255</v>
      </c>
      <c r="BS648">
        <v>30</v>
      </c>
      <c r="BW648" t="str">
        <f>""</f>
        <v/>
      </c>
      <c r="CH648" t="str">
        <f>""</f>
        <v/>
      </c>
      <c r="CS648" t="str">
        <f>""</f>
        <v/>
      </c>
    </row>
    <row r="649" spans="1:97" x14ac:dyDescent="0.25">
      <c r="A649" t="s">
        <v>1514</v>
      </c>
      <c r="B649" t="s">
        <v>4256</v>
      </c>
      <c r="E649" t="s">
        <v>4257</v>
      </c>
      <c r="F649" t="s">
        <v>108</v>
      </c>
      <c r="H649" t="s">
        <v>4258</v>
      </c>
      <c r="I649" t="s">
        <v>225</v>
      </c>
      <c r="J649" t="s">
        <v>111</v>
      </c>
      <c r="K649" t="str">
        <f>"85212"</f>
        <v>85212</v>
      </c>
      <c r="L649" t="s">
        <v>4259</v>
      </c>
      <c r="M649" t="s">
        <v>4258</v>
      </c>
      <c r="N649" t="s">
        <v>225</v>
      </c>
      <c r="O649" t="s">
        <v>111</v>
      </c>
      <c r="P649" t="str">
        <f>"85212-9788"</f>
        <v>85212-9788</v>
      </c>
      <c r="Q649" t="s">
        <v>113</v>
      </c>
      <c r="R649" t="str">
        <f>"304-17-702"</f>
        <v>304-17-702</v>
      </c>
      <c r="S649" t="s">
        <v>4260</v>
      </c>
      <c r="T649" t="s">
        <v>569</v>
      </c>
      <c r="U649">
        <v>2448</v>
      </c>
      <c r="W649">
        <v>4</v>
      </c>
      <c r="X649">
        <v>2016</v>
      </c>
      <c r="Z649">
        <v>1</v>
      </c>
      <c r="AC649" t="s">
        <v>115</v>
      </c>
      <c r="AD649">
        <v>3</v>
      </c>
      <c r="AE649" t="s">
        <v>115</v>
      </c>
      <c r="AH649" t="s">
        <v>116</v>
      </c>
      <c r="AI649" s="1">
        <v>52592</v>
      </c>
      <c r="AJ649" s="2">
        <v>0.13</v>
      </c>
      <c r="AK649" s="1">
        <v>400217</v>
      </c>
      <c r="AL649" t="s">
        <v>117</v>
      </c>
      <c r="AM649" t="s">
        <v>393</v>
      </c>
      <c r="AN649">
        <v>7200</v>
      </c>
      <c r="AO649">
        <v>0.16</v>
      </c>
      <c r="AR649">
        <v>1</v>
      </c>
      <c r="AS649" s="1">
        <v>29580</v>
      </c>
      <c r="AT649" s="1">
        <v>5910</v>
      </c>
      <c r="AU649" s="1">
        <v>23670</v>
      </c>
      <c r="AV649">
        <v>80.02</v>
      </c>
      <c r="AX649" s="1">
        <v>1994.1</v>
      </c>
      <c r="AY649" t="s">
        <v>570</v>
      </c>
      <c r="AZ649" t="s">
        <v>571</v>
      </c>
      <c r="BA649" t="s">
        <v>572</v>
      </c>
      <c r="BE649" s="3">
        <v>42507</v>
      </c>
      <c r="BF649" s="1">
        <v>343309</v>
      </c>
      <c r="BG649" t="s">
        <v>446</v>
      </c>
      <c r="BH649" s="1">
        <v>140.24</v>
      </c>
      <c r="BI649" s="1">
        <v>347625</v>
      </c>
      <c r="BJ649" s="3">
        <v>42507</v>
      </c>
      <c r="BK649" t="s">
        <v>123</v>
      </c>
      <c r="BL649" t="str">
        <f>"2016.336209"</f>
        <v>2016.336209</v>
      </c>
      <c r="BM649" t="s">
        <v>573</v>
      </c>
      <c r="BO649" t="s">
        <v>4261</v>
      </c>
      <c r="BS649">
        <v>30</v>
      </c>
      <c r="BW649" t="str">
        <f>""</f>
        <v/>
      </c>
      <c r="CH649" t="str">
        <f>""</f>
        <v/>
      </c>
      <c r="CS649" t="str">
        <f>""</f>
        <v/>
      </c>
    </row>
    <row r="650" spans="1:97" x14ac:dyDescent="0.25">
      <c r="A650" t="s">
        <v>3089</v>
      </c>
      <c r="B650" t="s">
        <v>4262</v>
      </c>
      <c r="C650" t="s">
        <v>4263</v>
      </c>
      <c r="D650" t="s">
        <v>4262</v>
      </c>
      <c r="E650" t="s">
        <v>4264</v>
      </c>
      <c r="F650" t="s">
        <v>108</v>
      </c>
      <c r="H650" t="s">
        <v>4265</v>
      </c>
      <c r="I650" t="s">
        <v>225</v>
      </c>
      <c r="J650" t="s">
        <v>111</v>
      </c>
      <c r="K650" t="str">
        <f>"85212"</f>
        <v>85212</v>
      </c>
      <c r="L650" t="s">
        <v>4259</v>
      </c>
      <c r="M650" t="s">
        <v>4265</v>
      </c>
      <c r="N650" t="s">
        <v>225</v>
      </c>
      <c r="O650" t="s">
        <v>111</v>
      </c>
      <c r="P650" t="str">
        <f>"85212-9795"</f>
        <v>85212-9795</v>
      </c>
      <c r="Q650" t="s">
        <v>113</v>
      </c>
      <c r="R650" t="str">
        <f>"304-17-707"</f>
        <v>304-17-707</v>
      </c>
      <c r="S650" t="s">
        <v>4260</v>
      </c>
      <c r="T650" t="s">
        <v>569</v>
      </c>
      <c r="U650">
        <v>4537</v>
      </c>
      <c r="W650">
        <v>6</v>
      </c>
      <c r="X650">
        <v>2016</v>
      </c>
      <c r="Z650">
        <v>2</v>
      </c>
      <c r="AA650" t="s">
        <v>26</v>
      </c>
      <c r="AC650" t="s">
        <v>115</v>
      </c>
      <c r="AD650">
        <v>3</v>
      </c>
      <c r="AE650" t="s">
        <v>115</v>
      </c>
      <c r="AH650" t="s">
        <v>116</v>
      </c>
      <c r="AI650" s="1">
        <v>114436</v>
      </c>
      <c r="AJ650" s="2">
        <v>0.2</v>
      </c>
      <c r="AK650" s="1">
        <v>571986</v>
      </c>
      <c r="AL650" t="s">
        <v>117</v>
      </c>
      <c r="AM650" t="s">
        <v>393</v>
      </c>
      <c r="AN650">
        <v>9100</v>
      </c>
      <c r="AO650">
        <v>0.21</v>
      </c>
      <c r="AR650">
        <v>1</v>
      </c>
      <c r="AS650" s="1">
        <v>43350</v>
      </c>
      <c r="AT650" s="1">
        <v>8670</v>
      </c>
      <c r="AU650" s="1">
        <v>34680</v>
      </c>
      <c r="AV650">
        <v>80</v>
      </c>
      <c r="AX650" s="1">
        <v>2955.54</v>
      </c>
      <c r="AY650" t="s">
        <v>570</v>
      </c>
      <c r="AZ650" t="s">
        <v>571</v>
      </c>
      <c r="BA650" t="s">
        <v>572</v>
      </c>
      <c r="BE650" s="3">
        <v>42460</v>
      </c>
      <c r="BF650" s="1">
        <v>458626</v>
      </c>
      <c r="BG650" t="s">
        <v>420</v>
      </c>
      <c r="BH650" s="1">
        <v>101.09</v>
      </c>
      <c r="BI650" s="1">
        <v>457550</v>
      </c>
      <c r="BJ650" s="3">
        <v>42460</v>
      </c>
      <c r="BK650" t="s">
        <v>123</v>
      </c>
      <c r="BL650" t="str">
        <f>"2016.209882"</f>
        <v>2016.209882</v>
      </c>
      <c r="BM650" t="s">
        <v>124</v>
      </c>
      <c r="BO650" t="s">
        <v>4266</v>
      </c>
      <c r="BS650">
        <v>30</v>
      </c>
      <c r="BW650" t="str">
        <f>""</f>
        <v/>
      </c>
      <c r="CH650" t="str">
        <f>""</f>
        <v/>
      </c>
      <c r="CS650" t="str">
        <f>""</f>
        <v/>
      </c>
    </row>
    <row r="651" spans="1:97" x14ac:dyDescent="0.25">
      <c r="A651" t="s">
        <v>2123</v>
      </c>
      <c r="B651" t="s">
        <v>449</v>
      </c>
      <c r="C651" t="s">
        <v>328</v>
      </c>
      <c r="D651" t="s">
        <v>449</v>
      </c>
      <c r="E651" t="s">
        <v>4267</v>
      </c>
      <c r="F651" t="s">
        <v>108</v>
      </c>
      <c r="H651" t="s">
        <v>4268</v>
      </c>
      <c r="I651" t="s">
        <v>4251</v>
      </c>
      <c r="J651" t="s">
        <v>111</v>
      </c>
      <c r="K651" t="str">
        <f>"85353"</f>
        <v>85353</v>
      </c>
      <c r="L651" t="s">
        <v>3885</v>
      </c>
      <c r="M651" t="s">
        <v>4268</v>
      </c>
      <c r="N651" t="s">
        <v>4251</v>
      </c>
      <c r="O651" t="s">
        <v>111</v>
      </c>
      <c r="P651" t="str">
        <f>"85353-1359"</f>
        <v>85353-1359</v>
      </c>
      <c r="R651" t="str">
        <f>"101-27-778"</f>
        <v>101-27-778</v>
      </c>
      <c r="S651" t="s">
        <v>4252</v>
      </c>
      <c r="U651">
        <v>2747</v>
      </c>
      <c r="W651">
        <v>4</v>
      </c>
      <c r="X651">
        <v>2015</v>
      </c>
      <c r="Z651">
        <v>2</v>
      </c>
      <c r="AC651" t="s">
        <v>115</v>
      </c>
      <c r="AD651">
        <v>3</v>
      </c>
      <c r="AE651" t="s">
        <v>115</v>
      </c>
      <c r="AH651" t="s">
        <v>116</v>
      </c>
      <c r="AI651" s="1">
        <v>38007</v>
      </c>
      <c r="AJ651" s="2">
        <v>0.12</v>
      </c>
      <c r="AK651" s="1">
        <v>321507</v>
      </c>
      <c r="AL651" t="s">
        <v>117</v>
      </c>
      <c r="AM651" t="s">
        <v>171</v>
      </c>
      <c r="AN651">
        <v>4950</v>
      </c>
      <c r="AO651">
        <v>0.11</v>
      </c>
      <c r="AR651">
        <v>1</v>
      </c>
      <c r="AS651" s="1">
        <v>22720</v>
      </c>
      <c r="AT651" s="1">
        <v>4540</v>
      </c>
      <c r="AU651" s="1">
        <v>18180</v>
      </c>
      <c r="AV651">
        <v>80.02</v>
      </c>
      <c r="AX651" s="1">
        <v>2508.7600000000002</v>
      </c>
      <c r="AY651" t="s">
        <v>4253</v>
      </c>
      <c r="AZ651" t="s">
        <v>4253</v>
      </c>
      <c r="BA651" t="s">
        <v>4254</v>
      </c>
      <c r="BE651" s="3">
        <v>42317</v>
      </c>
      <c r="BF651" s="1">
        <v>284488</v>
      </c>
      <c r="BG651" t="s">
        <v>636</v>
      </c>
      <c r="BH651" s="1">
        <v>103.56</v>
      </c>
      <c r="BI651" s="1">
        <v>283500</v>
      </c>
      <c r="BJ651" s="3">
        <v>42317</v>
      </c>
      <c r="BK651" t="s">
        <v>123</v>
      </c>
      <c r="BL651" t="str">
        <f>"2015.803540"</f>
        <v>2015.803540</v>
      </c>
      <c r="BM651" t="s">
        <v>637</v>
      </c>
      <c r="BN651" t="s">
        <v>652</v>
      </c>
      <c r="BO651" t="s">
        <v>4269</v>
      </c>
      <c r="BS651">
        <v>30</v>
      </c>
      <c r="BW651" t="str">
        <f>""</f>
        <v/>
      </c>
      <c r="CH651" t="str">
        <f>""</f>
        <v/>
      </c>
      <c r="CS651" t="str">
        <f>""</f>
        <v/>
      </c>
    </row>
    <row r="652" spans="1:97" x14ac:dyDescent="0.25">
      <c r="A652" t="s">
        <v>4270</v>
      </c>
      <c r="B652" t="s">
        <v>4271</v>
      </c>
      <c r="E652" t="s">
        <v>4272</v>
      </c>
      <c r="F652" t="s">
        <v>108</v>
      </c>
      <c r="H652" t="s">
        <v>4273</v>
      </c>
      <c r="I652" t="s">
        <v>225</v>
      </c>
      <c r="J652" t="s">
        <v>111</v>
      </c>
      <c r="K652" t="str">
        <f>"85212"</f>
        <v>85212</v>
      </c>
      <c r="L652" t="s">
        <v>4259</v>
      </c>
      <c r="M652" t="s">
        <v>4273</v>
      </c>
      <c r="N652" t="s">
        <v>225</v>
      </c>
      <c r="O652" t="s">
        <v>111</v>
      </c>
      <c r="P652" t="str">
        <f>"85212-9790"</f>
        <v>85212-9790</v>
      </c>
      <c r="Q652" t="s">
        <v>113</v>
      </c>
      <c r="R652" t="str">
        <f>"304-17-694"</f>
        <v>304-17-694</v>
      </c>
      <c r="S652" t="s">
        <v>4260</v>
      </c>
      <c r="T652" t="s">
        <v>569</v>
      </c>
      <c r="U652">
        <v>2649</v>
      </c>
      <c r="W652">
        <v>4</v>
      </c>
      <c r="X652">
        <v>2016</v>
      </c>
      <c r="Z652">
        <v>1</v>
      </c>
      <c r="AA652" t="s">
        <v>26</v>
      </c>
      <c r="AC652" t="s">
        <v>115</v>
      </c>
      <c r="AD652">
        <v>2</v>
      </c>
      <c r="AE652" t="s">
        <v>115</v>
      </c>
      <c r="AH652" t="s">
        <v>116</v>
      </c>
      <c r="AI652" s="1">
        <v>30718</v>
      </c>
      <c r="AJ652" s="2">
        <v>7.0000000000000007E-2</v>
      </c>
      <c r="AK652" s="1">
        <v>426731</v>
      </c>
      <c r="AL652" t="s">
        <v>117</v>
      </c>
      <c r="AM652" t="s">
        <v>393</v>
      </c>
      <c r="AN652">
        <v>7200</v>
      </c>
      <c r="AO652">
        <v>0.16</v>
      </c>
      <c r="AR652">
        <v>1</v>
      </c>
      <c r="AS652" s="1">
        <v>32000</v>
      </c>
      <c r="AT652" s="1">
        <v>6400</v>
      </c>
      <c r="AU652" s="1">
        <v>25600</v>
      </c>
      <c r="AV652">
        <v>80</v>
      </c>
      <c r="AX652" s="1">
        <v>2186.6999999999998</v>
      </c>
      <c r="AY652" t="s">
        <v>570</v>
      </c>
      <c r="AZ652" t="s">
        <v>571</v>
      </c>
      <c r="BA652" t="s">
        <v>572</v>
      </c>
      <c r="BB652" s="3">
        <v>43004</v>
      </c>
      <c r="BD652" t="s">
        <v>4274</v>
      </c>
      <c r="BE652" s="3">
        <v>42482</v>
      </c>
      <c r="BF652" s="1">
        <v>345990</v>
      </c>
      <c r="BG652" t="s">
        <v>446</v>
      </c>
      <c r="BH652" s="1">
        <v>130.61000000000001</v>
      </c>
      <c r="BI652" s="1">
        <v>396013</v>
      </c>
      <c r="BJ652" s="3">
        <v>42482</v>
      </c>
      <c r="BK652" t="s">
        <v>123</v>
      </c>
      <c r="BL652" t="str">
        <f>"2016.270772"</f>
        <v>2016.270772</v>
      </c>
      <c r="BM652" t="s">
        <v>573</v>
      </c>
      <c r="BO652" t="s">
        <v>4275</v>
      </c>
      <c r="BS652">
        <v>30</v>
      </c>
      <c r="BW652" t="str">
        <f>""</f>
        <v/>
      </c>
      <c r="CH652" t="str">
        <f>""</f>
        <v/>
      </c>
      <c r="CS652" t="str">
        <f>""</f>
        <v/>
      </c>
    </row>
    <row r="653" spans="1:97" x14ac:dyDescent="0.25">
      <c r="A653" t="s">
        <v>1850</v>
      </c>
      <c r="B653" t="s">
        <v>4276</v>
      </c>
      <c r="C653" t="s">
        <v>3458</v>
      </c>
      <c r="D653" t="s">
        <v>4276</v>
      </c>
      <c r="E653" t="s">
        <v>4277</v>
      </c>
      <c r="F653" t="s">
        <v>108</v>
      </c>
      <c r="H653" t="s">
        <v>4278</v>
      </c>
      <c r="I653" t="s">
        <v>225</v>
      </c>
      <c r="J653" t="s">
        <v>111</v>
      </c>
      <c r="K653" t="str">
        <f>"85212"</f>
        <v>85212</v>
      </c>
      <c r="L653" t="s">
        <v>4259</v>
      </c>
      <c r="M653" t="s">
        <v>4278</v>
      </c>
      <c r="N653" t="s">
        <v>225</v>
      </c>
      <c r="O653" t="s">
        <v>111</v>
      </c>
      <c r="P653" t="str">
        <f>"85212-9782"</f>
        <v>85212-9782</v>
      </c>
      <c r="Q653" t="s">
        <v>113</v>
      </c>
      <c r="R653" t="str">
        <f>"304-17-644"</f>
        <v>304-17-644</v>
      </c>
      <c r="S653" t="s">
        <v>4260</v>
      </c>
      <c r="T653" t="s">
        <v>569</v>
      </c>
      <c r="U653">
        <v>1826</v>
      </c>
      <c r="W653">
        <v>4</v>
      </c>
      <c r="X653">
        <v>2016</v>
      </c>
      <c r="Z653">
        <v>1</v>
      </c>
      <c r="AC653" t="s">
        <v>115</v>
      </c>
      <c r="AD653">
        <v>2</v>
      </c>
      <c r="AE653" t="s">
        <v>115</v>
      </c>
      <c r="AH653" t="s">
        <v>116</v>
      </c>
      <c r="AI653" s="1">
        <v>50112</v>
      </c>
      <c r="AJ653" s="2">
        <v>0.15</v>
      </c>
      <c r="AK653" s="1">
        <v>337652</v>
      </c>
      <c r="AL653" t="s">
        <v>117</v>
      </c>
      <c r="AM653" t="s">
        <v>191</v>
      </c>
      <c r="AN653">
        <v>5750</v>
      </c>
      <c r="AO653">
        <v>0.13</v>
      </c>
      <c r="AR653">
        <v>1</v>
      </c>
      <c r="AS653" s="1">
        <v>24530</v>
      </c>
      <c r="AT653" s="1">
        <v>4900</v>
      </c>
      <c r="AU653" s="1">
        <v>19630</v>
      </c>
      <c r="AV653">
        <v>80.02</v>
      </c>
      <c r="AX653" s="1">
        <v>1615.18</v>
      </c>
      <c r="AY653" t="s">
        <v>570</v>
      </c>
      <c r="AZ653" t="s">
        <v>571</v>
      </c>
      <c r="BA653" t="s">
        <v>572</v>
      </c>
      <c r="BE653" s="3">
        <v>42515</v>
      </c>
      <c r="BF653" s="1">
        <v>281990</v>
      </c>
      <c r="BG653" t="s">
        <v>195</v>
      </c>
      <c r="BH653" s="1">
        <v>154.43</v>
      </c>
      <c r="BI653" s="1">
        <v>287540</v>
      </c>
      <c r="BJ653" s="3">
        <v>42515</v>
      </c>
      <c r="BK653" t="s">
        <v>123</v>
      </c>
      <c r="BL653" t="str">
        <f>"2016.359691"</f>
        <v>2016.359691</v>
      </c>
      <c r="BM653" t="s">
        <v>196</v>
      </c>
      <c r="BO653" t="s">
        <v>4279</v>
      </c>
      <c r="BS653">
        <v>30</v>
      </c>
      <c r="BW653" t="str">
        <f>""</f>
        <v/>
      </c>
      <c r="CH653" t="str">
        <f>""</f>
        <v/>
      </c>
      <c r="CS653" t="str">
        <f>""</f>
        <v/>
      </c>
    </row>
    <row r="654" spans="1:97" x14ac:dyDescent="0.25">
      <c r="A654" t="s">
        <v>3333</v>
      </c>
      <c r="B654" t="s">
        <v>348</v>
      </c>
      <c r="C654" t="s">
        <v>179</v>
      </c>
      <c r="D654" t="s">
        <v>348</v>
      </c>
      <c r="E654" t="s">
        <v>4280</v>
      </c>
      <c r="F654" t="s">
        <v>108</v>
      </c>
      <c r="H654" t="s">
        <v>4281</v>
      </c>
      <c r="I654" t="s">
        <v>2874</v>
      </c>
      <c r="J654" t="s">
        <v>111</v>
      </c>
      <c r="K654" t="str">
        <f>"85305"</f>
        <v>85305</v>
      </c>
      <c r="L654" t="s">
        <v>4282</v>
      </c>
      <c r="M654" t="s">
        <v>4281</v>
      </c>
      <c r="N654" t="s">
        <v>2874</v>
      </c>
      <c r="O654" t="s">
        <v>111</v>
      </c>
      <c r="P654" t="str">
        <f>"85305-3352"</f>
        <v>85305-3352</v>
      </c>
      <c r="Q654" t="s">
        <v>113</v>
      </c>
      <c r="R654" t="str">
        <f>"102-14-570"</f>
        <v>102-14-570</v>
      </c>
      <c r="S654" t="s">
        <v>4283</v>
      </c>
      <c r="T654" t="s">
        <v>4284</v>
      </c>
      <c r="U654">
        <v>2227</v>
      </c>
      <c r="W654">
        <v>3</v>
      </c>
      <c r="X654">
        <v>2016</v>
      </c>
      <c r="Z654">
        <v>1</v>
      </c>
      <c r="AC654" t="s">
        <v>115</v>
      </c>
      <c r="AD654">
        <v>2</v>
      </c>
      <c r="AE654" t="s">
        <v>115</v>
      </c>
      <c r="AH654" t="s">
        <v>116</v>
      </c>
      <c r="AI654" s="1">
        <v>49189</v>
      </c>
      <c r="AJ654" s="2">
        <v>0.15</v>
      </c>
      <c r="AK654" s="1">
        <v>323186</v>
      </c>
      <c r="AL654" t="s">
        <v>117</v>
      </c>
      <c r="AM654" t="s">
        <v>288</v>
      </c>
      <c r="AN654">
        <v>6738</v>
      </c>
      <c r="AO654">
        <v>0.16</v>
      </c>
      <c r="AR654">
        <v>1</v>
      </c>
      <c r="AS654" s="1">
        <v>23400</v>
      </c>
      <c r="AT654" s="1">
        <v>4680</v>
      </c>
      <c r="AU654" s="1">
        <v>18720</v>
      </c>
      <c r="AV654">
        <v>80</v>
      </c>
      <c r="AX654" s="1">
        <v>2883</v>
      </c>
      <c r="AY654" t="s">
        <v>4285</v>
      </c>
      <c r="AZ654" t="s">
        <v>4285</v>
      </c>
      <c r="BA654" t="s">
        <v>4286</v>
      </c>
      <c r="BE654" s="3">
        <v>42543</v>
      </c>
      <c r="BF654" s="1">
        <v>273997</v>
      </c>
      <c r="BG654" t="s">
        <v>1975</v>
      </c>
      <c r="BH654" s="1">
        <v>123.03</v>
      </c>
      <c r="BI654" s="1">
        <v>273997</v>
      </c>
      <c r="BJ654" s="3">
        <v>42543</v>
      </c>
      <c r="BK654" t="s">
        <v>123</v>
      </c>
      <c r="BL654" t="str">
        <f>"2016.436790"</f>
        <v>2016.436790</v>
      </c>
      <c r="BM654" t="s">
        <v>724</v>
      </c>
      <c r="BO654" t="s">
        <v>4287</v>
      </c>
      <c r="BS654">
        <v>30</v>
      </c>
      <c r="BW654" t="str">
        <f>""</f>
        <v/>
      </c>
      <c r="CH654" t="str">
        <f>""</f>
        <v/>
      </c>
      <c r="CS654" t="str">
        <f>""</f>
        <v/>
      </c>
    </row>
    <row r="655" spans="1:97" x14ac:dyDescent="0.25">
      <c r="A655" t="s">
        <v>4288</v>
      </c>
      <c r="B655" t="s">
        <v>4289</v>
      </c>
      <c r="C655" t="s">
        <v>1959</v>
      </c>
      <c r="D655" t="s">
        <v>4289</v>
      </c>
      <c r="E655" t="s">
        <v>4290</v>
      </c>
      <c r="F655" t="s">
        <v>108</v>
      </c>
      <c r="H655" t="s">
        <v>4291</v>
      </c>
      <c r="I655" t="s">
        <v>225</v>
      </c>
      <c r="J655" t="s">
        <v>111</v>
      </c>
      <c r="K655" t="str">
        <f>"85212"</f>
        <v>85212</v>
      </c>
      <c r="L655" t="s">
        <v>4259</v>
      </c>
      <c r="M655" t="s">
        <v>4291</v>
      </c>
      <c r="N655" t="s">
        <v>225</v>
      </c>
      <c r="O655" t="s">
        <v>111</v>
      </c>
      <c r="P655" t="str">
        <f>"85212-9778"</f>
        <v>85212-9778</v>
      </c>
      <c r="Q655" t="s">
        <v>113</v>
      </c>
      <c r="R655" t="str">
        <f>"304-17-618"</f>
        <v>304-17-618</v>
      </c>
      <c r="S655" t="s">
        <v>4260</v>
      </c>
      <c r="T655" t="s">
        <v>569</v>
      </c>
      <c r="U655">
        <v>2572</v>
      </c>
      <c r="W655">
        <v>4</v>
      </c>
      <c r="X655">
        <v>2016</v>
      </c>
      <c r="Z655">
        <v>2</v>
      </c>
      <c r="AC655" t="s">
        <v>115</v>
      </c>
      <c r="AD655">
        <v>2</v>
      </c>
      <c r="AE655" t="s">
        <v>115</v>
      </c>
      <c r="AH655" t="s">
        <v>116</v>
      </c>
      <c r="AI655" s="1">
        <v>1535</v>
      </c>
      <c r="AJ655" s="2">
        <v>0</v>
      </c>
      <c r="AK655" s="1">
        <v>387877</v>
      </c>
      <c r="AL655" t="s">
        <v>117</v>
      </c>
      <c r="AM655" t="s">
        <v>191</v>
      </c>
      <c r="AN655">
        <v>5750</v>
      </c>
      <c r="AO655">
        <v>0.13</v>
      </c>
      <c r="AR655">
        <v>1</v>
      </c>
      <c r="AS655" s="1">
        <v>27430</v>
      </c>
      <c r="AT655" s="1">
        <v>5480</v>
      </c>
      <c r="AU655" s="1">
        <v>21950</v>
      </c>
      <c r="AV655">
        <v>80.02</v>
      </c>
      <c r="AX655" s="1">
        <v>1873</v>
      </c>
      <c r="AY655" t="s">
        <v>570</v>
      </c>
      <c r="AZ655" t="s">
        <v>571</v>
      </c>
      <c r="BA655" t="s">
        <v>572</v>
      </c>
      <c r="BB655" s="3">
        <v>43368</v>
      </c>
      <c r="BC655" s="1">
        <v>0</v>
      </c>
      <c r="BD655" t="s">
        <v>247</v>
      </c>
      <c r="BE655" s="3">
        <v>42545</v>
      </c>
      <c r="BF655" s="1">
        <v>308315</v>
      </c>
      <c r="BG655" t="s">
        <v>195</v>
      </c>
      <c r="BH655" s="1">
        <v>119.87</v>
      </c>
      <c r="BI655" s="1">
        <v>386342</v>
      </c>
      <c r="BJ655" s="3">
        <v>43368</v>
      </c>
      <c r="BK655" t="s">
        <v>123</v>
      </c>
      <c r="BL655" t="str">
        <f>"2018.719097"</f>
        <v>2018.719097</v>
      </c>
      <c r="BM655" t="s">
        <v>3040</v>
      </c>
      <c r="BN655" t="s">
        <v>3041</v>
      </c>
      <c r="BO655" t="s">
        <v>4292</v>
      </c>
      <c r="BP655" t="s">
        <v>4293</v>
      </c>
      <c r="BR655" t="s">
        <v>139</v>
      </c>
      <c r="BW655" t="str">
        <f>""</f>
        <v/>
      </c>
      <c r="CH655" t="str">
        <f>""</f>
        <v/>
      </c>
      <c r="CS655" t="str">
        <f>""</f>
        <v/>
      </c>
    </row>
    <row r="656" spans="1:97" x14ac:dyDescent="0.25">
      <c r="A656" t="s">
        <v>3124</v>
      </c>
      <c r="B656" t="s">
        <v>1715</v>
      </c>
      <c r="C656" t="s">
        <v>484</v>
      </c>
      <c r="D656" t="s">
        <v>1715</v>
      </c>
      <c r="E656" t="s">
        <v>4294</v>
      </c>
      <c r="F656" t="s">
        <v>108</v>
      </c>
      <c r="H656" t="s">
        <v>4295</v>
      </c>
      <c r="I656" t="s">
        <v>225</v>
      </c>
      <c r="J656" t="s">
        <v>111</v>
      </c>
      <c r="K656" t="str">
        <f>"85212"</f>
        <v>85212</v>
      </c>
      <c r="L656" t="s">
        <v>4259</v>
      </c>
      <c r="M656" t="s">
        <v>4295</v>
      </c>
      <c r="N656" t="s">
        <v>225</v>
      </c>
      <c r="O656" t="s">
        <v>111</v>
      </c>
      <c r="P656" t="str">
        <f>"85212-9780"</f>
        <v>85212-9780</v>
      </c>
      <c r="Q656" t="s">
        <v>113</v>
      </c>
      <c r="R656" t="str">
        <f>"304-17-655"</f>
        <v>304-17-655</v>
      </c>
      <c r="S656" t="s">
        <v>4260</v>
      </c>
      <c r="T656" t="s">
        <v>569</v>
      </c>
      <c r="U656">
        <v>2261</v>
      </c>
      <c r="W656">
        <v>5</v>
      </c>
      <c r="X656">
        <v>2015</v>
      </c>
      <c r="Z656">
        <v>2</v>
      </c>
      <c r="AC656" t="s">
        <v>115</v>
      </c>
      <c r="AD656">
        <v>2</v>
      </c>
      <c r="AE656" t="s">
        <v>115</v>
      </c>
      <c r="AH656" t="s">
        <v>116</v>
      </c>
      <c r="AI656" s="1">
        <v>64930</v>
      </c>
      <c r="AJ656" s="2">
        <v>0.18</v>
      </c>
      <c r="AK656" s="1">
        <v>367070</v>
      </c>
      <c r="AL656" t="s">
        <v>117</v>
      </c>
      <c r="AM656" t="s">
        <v>191</v>
      </c>
      <c r="AN656">
        <v>5750</v>
      </c>
      <c r="AO656">
        <v>0.13</v>
      </c>
      <c r="AR656">
        <v>1</v>
      </c>
      <c r="AS656" s="1">
        <v>26130</v>
      </c>
      <c r="AT656" s="1">
        <v>5220</v>
      </c>
      <c r="AU656" s="1">
        <v>20910</v>
      </c>
      <c r="AV656">
        <v>80.02</v>
      </c>
      <c r="AX656" s="1">
        <v>1761.24</v>
      </c>
      <c r="AY656" t="s">
        <v>570</v>
      </c>
      <c r="AZ656" t="s">
        <v>571</v>
      </c>
      <c r="BA656" t="s">
        <v>572</v>
      </c>
      <c r="BE656" s="3">
        <v>42481</v>
      </c>
      <c r="BF656" s="1">
        <v>302140</v>
      </c>
      <c r="BG656" t="s">
        <v>195</v>
      </c>
      <c r="BH656" s="1">
        <v>133.63</v>
      </c>
      <c r="BI656" s="1">
        <v>302140</v>
      </c>
      <c r="BJ656" s="3">
        <v>42481</v>
      </c>
      <c r="BK656" t="s">
        <v>123</v>
      </c>
      <c r="BL656" t="str">
        <f>"2016.268613"</f>
        <v>2016.268613</v>
      </c>
      <c r="BM656" t="s">
        <v>196</v>
      </c>
      <c r="BO656" t="s">
        <v>4296</v>
      </c>
      <c r="BS656">
        <v>30</v>
      </c>
      <c r="BW656" t="str">
        <f>""</f>
        <v/>
      </c>
      <c r="CH656" t="str">
        <f>""</f>
        <v/>
      </c>
      <c r="CS656" t="str">
        <f>""</f>
        <v/>
      </c>
    </row>
    <row r="657" spans="1:97" x14ac:dyDescent="0.25">
      <c r="A657" t="s">
        <v>4297</v>
      </c>
      <c r="B657" t="s">
        <v>4298</v>
      </c>
      <c r="C657" t="s">
        <v>4299</v>
      </c>
      <c r="D657" t="s">
        <v>4300</v>
      </c>
      <c r="E657" t="s">
        <v>4301</v>
      </c>
      <c r="F657" t="s">
        <v>108</v>
      </c>
      <c r="H657" t="s">
        <v>4302</v>
      </c>
      <c r="I657" t="s">
        <v>188</v>
      </c>
      <c r="J657" t="s">
        <v>111</v>
      </c>
      <c r="K657" t="str">
        <f>"85142"</f>
        <v>85142</v>
      </c>
      <c r="L657" t="s">
        <v>688</v>
      </c>
      <c r="M657" t="s">
        <v>4302</v>
      </c>
      <c r="N657" t="s">
        <v>188</v>
      </c>
      <c r="O657" t="s">
        <v>111</v>
      </c>
      <c r="P657" t="str">
        <f>"85142-3381"</f>
        <v>85142-3381</v>
      </c>
      <c r="Q657" t="s">
        <v>113</v>
      </c>
      <c r="R657" t="str">
        <f>"314-10-289"</f>
        <v>314-10-289</v>
      </c>
      <c r="S657" t="s">
        <v>4303</v>
      </c>
      <c r="U657">
        <v>2074</v>
      </c>
      <c r="W657">
        <v>4</v>
      </c>
      <c r="X657">
        <v>2015</v>
      </c>
      <c r="Z657">
        <v>1</v>
      </c>
      <c r="AC657" t="s">
        <v>115</v>
      </c>
      <c r="AD657">
        <v>3</v>
      </c>
      <c r="AE657" t="s">
        <v>115</v>
      </c>
      <c r="AH657" t="s">
        <v>116</v>
      </c>
      <c r="AI657" s="1">
        <v>54848</v>
      </c>
      <c r="AJ657" s="2">
        <v>0.14000000000000001</v>
      </c>
      <c r="AK657" s="1">
        <v>382161</v>
      </c>
      <c r="AL657" t="s">
        <v>117</v>
      </c>
      <c r="AM657" t="s">
        <v>376</v>
      </c>
      <c r="AN657">
        <v>7706</v>
      </c>
      <c r="AO657">
        <v>0.18</v>
      </c>
      <c r="AR657">
        <v>1</v>
      </c>
      <c r="AS657" s="1">
        <v>26720</v>
      </c>
      <c r="AT657" s="1">
        <v>5340</v>
      </c>
      <c r="AU657" s="1">
        <v>21380</v>
      </c>
      <c r="AV657">
        <v>80.010000000000005</v>
      </c>
      <c r="AX657" s="1">
        <v>2793.98</v>
      </c>
      <c r="AY657" t="s">
        <v>560</v>
      </c>
      <c r="AZ657" t="s">
        <v>561</v>
      </c>
      <c r="BA657" t="s">
        <v>194</v>
      </c>
      <c r="BE657" s="3">
        <v>42419</v>
      </c>
      <c r="BF657" s="1">
        <v>317000</v>
      </c>
      <c r="BG657" t="s">
        <v>122</v>
      </c>
      <c r="BH657" s="1">
        <v>152.84</v>
      </c>
      <c r="BI657" s="1">
        <v>327313</v>
      </c>
      <c r="BJ657" s="3">
        <v>42711</v>
      </c>
      <c r="BK657" t="s">
        <v>123</v>
      </c>
      <c r="BL657" t="str">
        <f>"2016.903257"</f>
        <v>2016.903257</v>
      </c>
      <c r="BM657" t="s">
        <v>475</v>
      </c>
      <c r="BO657" t="s">
        <v>4304</v>
      </c>
      <c r="BP657" t="s">
        <v>4305</v>
      </c>
      <c r="BS657">
        <v>30</v>
      </c>
      <c r="BW657" t="str">
        <f>""</f>
        <v/>
      </c>
      <c r="CH657" t="str">
        <f>""</f>
        <v/>
      </c>
      <c r="CS657" t="str">
        <f>""</f>
        <v/>
      </c>
    </row>
    <row r="658" spans="1:97" x14ac:dyDescent="0.25">
      <c r="A658" t="s">
        <v>4306</v>
      </c>
      <c r="B658" t="s">
        <v>4307</v>
      </c>
      <c r="E658" t="s">
        <v>4308</v>
      </c>
      <c r="F658" t="s">
        <v>108</v>
      </c>
      <c r="H658" t="s">
        <v>4309</v>
      </c>
      <c r="I658" t="s">
        <v>499</v>
      </c>
      <c r="J658" t="s">
        <v>111</v>
      </c>
      <c r="K658" t="str">
        <f>"85338"</f>
        <v>85338</v>
      </c>
      <c r="L658" t="s">
        <v>316</v>
      </c>
      <c r="M658" t="s">
        <v>4309</v>
      </c>
      <c r="N658" t="s">
        <v>499</v>
      </c>
      <c r="O658" t="s">
        <v>111</v>
      </c>
      <c r="P658" t="str">
        <f>"85338-6296"</f>
        <v>85338-6296</v>
      </c>
      <c r="Q658" t="s">
        <v>113</v>
      </c>
      <c r="R658" t="str">
        <f>"500-09-239"</f>
        <v>500-09-239</v>
      </c>
      <c r="S658" t="s">
        <v>4310</v>
      </c>
      <c r="U658">
        <v>2537</v>
      </c>
      <c r="W658">
        <v>3</v>
      </c>
      <c r="X658">
        <v>2015</v>
      </c>
      <c r="Z658">
        <v>2</v>
      </c>
      <c r="AC658" t="s">
        <v>115</v>
      </c>
      <c r="AD658">
        <v>2</v>
      </c>
      <c r="AE658" t="s">
        <v>115</v>
      </c>
      <c r="AH658" t="s">
        <v>116</v>
      </c>
      <c r="AI658" s="1">
        <v>65883</v>
      </c>
      <c r="AJ658" s="2">
        <v>0.23</v>
      </c>
      <c r="AK658" s="1">
        <v>292700</v>
      </c>
      <c r="AL658" t="s">
        <v>117</v>
      </c>
      <c r="AM658" t="s">
        <v>118</v>
      </c>
      <c r="AN658">
        <v>3472</v>
      </c>
      <c r="AO658">
        <v>0.8</v>
      </c>
      <c r="AR658">
        <v>1</v>
      </c>
      <c r="AS658" s="1">
        <v>20850</v>
      </c>
      <c r="AT658" s="1">
        <v>4170</v>
      </c>
      <c r="AU658" s="1">
        <v>16680</v>
      </c>
      <c r="AV658">
        <v>80</v>
      </c>
      <c r="AX658" s="1">
        <v>1872.28</v>
      </c>
      <c r="AY658" t="s">
        <v>4311</v>
      </c>
      <c r="AZ658" t="s">
        <v>4311</v>
      </c>
      <c r="BA658" t="s">
        <v>218</v>
      </c>
      <c r="BE658" s="3">
        <v>42552</v>
      </c>
      <c r="BF658" s="1">
        <v>219990</v>
      </c>
      <c r="BG658" t="s">
        <v>233</v>
      </c>
      <c r="BH658" s="1">
        <v>86.71</v>
      </c>
      <c r="BI658" s="1">
        <v>226817</v>
      </c>
      <c r="BJ658" s="3">
        <v>42642</v>
      </c>
      <c r="BK658" t="s">
        <v>123</v>
      </c>
      <c r="BL658" t="str">
        <f>"2016.708853"</f>
        <v>2016.708853</v>
      </c>
      <c r="BM658" t="s">
        <v>1695</v>
      </c>
      <c r="BN658" t="s">
        <v>3082</v>
      </c>
      <c r="BO658" t="s">
        <v>4312</v>
      </c>
      <c r="BS658">
        <v>30</v>
      </c>
      <c r="BT658" s="1">
        <v>226817</v>
      </c>
      <c r="BU658" s="3">
        <v>42642</v>
      </c>
      <c r="BV658" t="s">
        <v>123</v>
      </c>
      <c r="BW658" t="str">
        <f>"2016.708853"</f>
        <v>2016.708853</v>
      </c>
      <c r="BX658" t="s">
        <v>1695</v>
      </c>
      <c r="BZ658" t="s">
        <v>4312</v>
      </c>
      <c r="CD658">
        <v>30</v>
      </c>
      <c r="CH658" t="str">
        <f>""</f>
        <v/>
      </c>
      <c r="CS658" t="str">
        <f>""</f>
        <v/>
      </c>
    </row>
    <row r="659" spans="1:97" x14ac:dyDescent="0.25">
      <c r="A659" t="s">
        <v>325</v>
      </c>
      <c r="B659" t="s">
        <v>4313</v>
      </c>
      <c r="C659" t="s">
        <v>1666</v>
      </c>
      <c r="D659" t="s">
        <v>4313</v>
      </c>
      <c r="E659" t="s">
        <v>4314</v>
      </c>
      <c r="F659" t="s">
        <v>108</v>
      </c>
      <c r="H659" t="s">
        <v>4315</v>
      </c>
      <c r="I659" t="s">
        <v>453</v>
      </c>
      <c r="J659" t="s">
        <v>111</v>
      </c>
      <c r="K659" t="str">
        <f>"85383"</f>
        <v>85383</v>
      </c>
      <c r="L659" t="s">
        <v>4316</v>
      </c>
      <c r="M659" t="s">
        <v>4315</v>
      </c>
      <c r="N659" t="s">
        <v>453</v>
      </c>
      <c r="O659" t="s">
        <v>111</v>
      </c>
      <c r="P659" t="str">
        <f>"85383-5443"</f>
        <v>85383-5443</v>
      </c>
      <c r="Q659" t="s">
        <v>113</v>
      </c>
      <c r="R659" t="str">
        <f>"510-09-065"</f>
        <v>510-09-065</v>
      </c>
      <c r="S659" t="s">
        <v>4317</v>
      </c>
      <c r="U659">
        <v>1926</v>
      </c>
      <c r="W659">
        <v>3</v>
      </c>
      <c r="X659">
        <v>2015</v>
      </c>
      <c r="Z659">
        <v>1</v>
      </c>
      <c r="AA659" t="s">
        <v>26</v>
      </c>
      <c r="AC659" t="s">
        <v>115</v>
      </c>
      <c r="AD659">
        <v>2</v>
      </c>
      <c r="AE659" t="s">
        <v>115</v>
      </c>
      <c r="AH659" t="s">
        <v>116</v>
      </c>
      <c r="AI659" s="1">
        <v>45706</v>
      </c>
      <c r="AJ659" s="2">
        <v>0.12</v>
      </c>
      <c r="AK659" s="1">
        <v>380048</v>
      </c>
      <c r="AL659" t="s">
        <v>117</v>
      </c>
      <c r="AM659" t="s">
        <v>118</v>
      </c>
      <c r="AN659">
        <v>6490</v>
      </c>
      <c r="AO659">
        <v>0.15</v>
      </c>
      <c r="AR659">
        <v>1</v>
      </c>
      <c r="AS659" s="1">
        <v>36800</v>
      </c>
      <c r="AT659" s="1">
        <v>7360</v>
      </c>
      <c r="AU659" s="1">
        <v>29440</v>
      </c>
      <c r="AV659">
        <v>80</v>
      </c>
      <c r="AX659" s="1">
        <v>3236.94</v>
      </c>
      <c r="AY659" t="s">
        <v>456</v>
      </c>
      <c r="AZ659" t="s">
        <v>456</v>
      </c>
      <c r="BA659" t="s">
        <v>457</v>
      </c>
      <c r="BE659" s="3">
        <v>42488</v>
      </c>
      <c r="BF659" s="1">
        <v>329727</v>
      </c>
      <c r="BG659" t="s">
        <v>4318</v>
      </c>
      <c r="BH659" s="1">
        <v>171.2</v>
      </c>
      <c r="BI659" s="1">
        <v>334342</v>
      </c>
      <c r="BJ659" s="3">
        <v>42488</v>
      </c>
      <c r="BK659" t="s">
        <v>123</v>
      </c>
      <c r="BL659" t="str">
        <f>"2016.285212"</f>
        <v>2016.285212</v>
      </c>
      <c r="BM659" t="s">
        <v>475</v>
      </c>
      <c r="BO659" t="s">
        <v>4319</v>
      </c>
      <c r="BS659">
        <v>30</v>
      </c>
      <c r="BW659" t="str">
        <f>""</f>
        <v/>
      </c>
      <c r="CH659" t="str">
        <f>""</f>
        <v/>
      </c>
      <c r="CS659" t="str">
        <f>""</f>
        <v/>
      </c>
    </row>
    <row r="660" spans="1:97" x14ac:dyDescent="0.25">
      <c r="A660" t="s">
        <v>1040</v>
      </c>
      <c r="B660" t="s">
        <v>4320</v>
      </c>
      <c r="C660" t="s">
        <v>4321</v>
      </c>
      <c r="D660" t="s">
        <v>4320</v>
      </c>
      <c r="E660" t="s">
        <v>4322</v>
      </c>
      <c r="F660" t="s">
        <v>108</v>
      </c>
      <c r="H660" t="s">
        <v>4323</v>
      </c>
      <c r="I660" t="s">
        <v>225</v>
      </c>
      <c r="J660" t="s">
        <v>111</v>
      </c>
      <c r="K660" t="str">
        <f>"85212"</f>
        <v>85212</v>
      </c>
      <c r="L660" t="s">
        <v>4259</v>
      </c>
      <c r="M660" t="s">
        <v>4323</v>
      </c>
      <c r="N660" t="s">
        <v>225</v>
      </c>
      <c r="O660" t="s">
        <v>111</v>
      </c>
      <c r="P660" t="str">
        <f>"85212-9776"</f>
        <v>85212-9776</v>
      </c>
      <c r="Q660" t="s">
        <v>113</v>
      </c>
      <c r="R660" t="str">
        <f>"304-17-626"</f>
        <v>304-17-626</v>
      </c>
      <c r="S660" t="s">
        <v>4260</v>
      </c>
      <c r="T660" t="s">
        <v>569</v>
      </c>
      <c r="U660">
        <v>1947</v>
      </c>
      <c r="W660">
        <v>4</v>
      </c>
      <c r="X660">
        <v>2015</v>
      </c>
      <c r="Z660">
        <v>1</v>
      </c>
      <c r="AC660" t="s">
        <v>115</v>
      </c>
      <c r="AD660">
        <v>2</v>
      </c>
      <c r="AE660" t="s">
        <v>115</v>
      </c>
      <c r="AH660" t="s">
        <v>116</v>
      </c>
      <c r="AI660" s="1">
        <v>81029</v>
      </c>
      <c r="AJ660" s="2">
        <v>0.23</v>
      </c>
      <c r="AK660" s="1">
        <v>350678</v>
      </c>
      <c r="AL660" t="s">
        <v>117</v>
      </c>
      <c r="AM660" t="s">
        <v>191</v>
      </c>
      <c r="AN660">
        <v>5750</v>
      </c>
      <c r="AO660">
        <v>0.13</v>
      </c>
      <c r="AR660">
        <v>1</v>
      </c>
      <c r="AS660" s="1">
        <v>24830</v>
      </c>
      <c r="AT660" s="1">
        <v>4960</v>
      </c>
      <c r="AU660" s="1">
        <v>19870</v>
      </c>
      <c r="AV660">
        <v>80.02</v>
      </c>
      <c r="AX660" s="1">
        <v>1643.16</v>
      </c>
      <c r="AY660" t="s">
        <v>570</v>
      </c>
      <c r="AZ660" t="s">
        <v>571</v>
      </c>
      <c r="BA660" t="s">
        <v>572</v>
      </c>
      <c r="BE660" s="3">
        <v>42384</v>
      </c>
      <c r="BF660" s="1">
        <v>263990</v>
      </c>
      <c r="BG660" t="s">
        <v>195</v>
      </c>
      <c r="BH660" s="1">
        <v>135.59</v>
      </c>
      <c r="BI660" s="1">
        <v>269649</v>
      </c>
      <c r="BJ660" s="3">
        <v>42613</v>
      </c>
      <c r="BK660" t="s">
        <v>123</v>
      </c>
      <c r="BL660" t="str">
        <f>"2016.633207"</f>
        <v>2016.633207</v>
      </c>
      <c r="BM660" t="s">
        <v>196</v>
      </c>
      <c r="BN660" t="s">
        <v>1442</v>
      </c>
      <c r="BO660" t="s">
        <v>4324</v>
      </c>
      <c r="BS660">
        <v>30</v>
      </c>
      <c r="BT660" s="1">
        <v>269649</v>
      </c>
      <c r="BU660" s="3">
        <v>42613</v>
      </c>
      <c r="BV660" t="s">
        <v>123</v>
      </c>
      <c r="BW660" t="str">
        <f>"2016.633207"</f>
        <v>2016.633207</v>
      </c>
      <c r="BX660" t="s">
        <v>196</v>
      </c>
      <c r="BZ660" t="s">
        <v>4324</v>
      </c>
      <c r="CD660">
        <v>30</v>
      </c>
      <c r="CH660" t="str">
        <f>""</f>
        <v/>
      </c>
      <c r="CS660" t="str">
        <f>""</f>
        <v/>
      </c>
    </row>
    <row r="661" spans="1:97" x14ac:dyDescent="0.25">
      <c r="A661" t="s">
        <v>4327</v>
      </c>
      <c r="B661" t="s">
        <v>141</v>
      </c>
      <c r="C661" t="s">
        <v>4328</v>
      </c>
      <c r="D661" t="s">
        <v>141</v>
      </c>
      <c r="E661" t="s">
        <v>4329</v>
      </c>
      <c r="F661" t="s">
        <v>108</v>
      </c>
      <c r="H661" t="s">
        <v>4330</v>
      </c>
      <c r="I661" t="s">
        <v>390</v>
      </c>
      <c r="J661" t="s">
        <v>111</v>
      </c>
      <c r="K661" t="str">
        <f>"85045"</f>
        <v>85045</v>
      </c>
      <c r="L661" t="s">
        <v>3430</v>
      </c>
      <c r="M661" t="s">
        <v>4330</v>
      </c>
      <c r="N661" t="s">
        <v>390</v>
      </c>
      <c r="O661" t="s">
        <v>111</v>
      </c>
      <c r="P661" t="str">
        <f>"85045"</f>
        <v>85045</v>
      </c>
      <c r="Q661" t="s">
        <v>113</v>
      </c>
      <c r="R661" t="str">
        <f>"311-02-895"</f>
        <v>311-02-895</v>
      </c>
      <c r="S661" t="s">
        <v>3431</v>
      </c>
      <c r="U661">
        <v>1937</v>
      </c>
      <c r="W661">
        <v>4</v>
      </c>
      <c r="X661">
        <v>2016</v>
      </c>
      <c r="Z661">
        <v>1</v>
      </c>
      <c r="AC661" t="s">
        <v>115</v>
      </c>
      <c r="AD661">
        <v>2</v>
      </c>
      <c r="AE661" t="s">
        <v>115</v>
      </c>
      <c r="AH661" t="s">
        <v>116</v>
      </c>
      <c r="AI661" s="1">
        <v>37773</v>
      </c>
      <c r="AJ661" s="2">
        <v>0.11</v>
      </c>
      <c r="AK661" s="1">
        <v>352763</v>
      </c>
      <c r="AL661" t="s">
        <v>117</v>
      </c>
      <c r="AM661" t="s">
        <v>118</v>
      </c>
      <c r="AN661">
        <v>4725</v>
      </c>
      <c r="AO661">
        <v>0.11</v>
      </c>
      <c r="AR661">
        <v>1</v>
      </c>
      <c r="AS661" s="1">
        <v>26050</v>
      </c>
      <c r="AT661" s="1">
        <v>5210</v>
      </c>
      <c r="AU661" s="1">
        <v>20840</v>
      </c>
      <c r="AV661">
        <v>80</v>
      </c>
      <c r="AX661" s="1">
        <v>2306.3000000000002</v>
      </c>
      <c r="AY661" t="s">
        <v>2966</v>
      </c>
      <c r="AZ661" t="s">
        <v>2967</v>
      </c>
      <c r="BA661" t="s">
        <v>930</v>
      </c>
      <c r="BE661" s="3">
        <v>42503</v>
      </c>
      <c r="BF661" s="1">
        <v>314990</v>
      </c>
      <c r="BG661" t="s">
        <v>195</v>
      </c>
      <c r="BH661" s="1">
        <v>162.62</v>
      </c>
      <c r="BI661" s="1">
        <v>314990</v>
      </c>
      <c r="BJ661" s="3">
        <v>42503</v>
      </c>
      <c r="BK661" t="s">
        <v>123</v>
      </c>
      <c r="BL661" t="str">
        <f>"2016.330766"</f>
        <v>2016.330766</v>
      </c>
      <c r="BM661" t="s">
        <v>196</v>
      </c>
      <c r="BO661" t="s">
        <v>4331</v>
      </c>
      <c r="BS661">
        <v>30</v>
      </c>
      <c r="BW661" t="str">
        <f>""</f>
        <v/>
      </c>
      <c r="CH661" t="str">
        <f>""</f>
        <v/>
      </c>
      <c r="CS661" t="str">
        <f>""</f>
        <v/>
      </c>
    </row>
    <row r="662" spans="1:97" x14ac:dyDescent="0.25">
      <c r="A662" t="s">
        <v>2019</v>
      </c>
      <c r="B662" t="s">
        <v>4332</v>
      </c>
      <c r="E662" t="s">
        <v>4333</v>
      </c>
      <c r="F662" t="s">
        <v>108</v>
      </c>
      <c r="H662" t="s">
        <v>4334</v>
      </c>
      <c r="I662" t="s">
        <v>225</v>
      </c>
      <c r="J662" t="s">
        <v>111</v>
      </c>
      <c r="K662" t="str">
        <f>"85212"</f>
        <v>85212</v>
      </c>
      <c r="L662" t="s">
        <v>4259</v>
      </c>
      <c r="M662" t="s">
        <v>4334</v>
      </c>
      <c r="N662" t="s">
        <v>225</v>
      </c>
      <c r="O662" t="s">
        <v>111</v>
      </c>
      <c r="P662" t="str">
        <f>"85212-9773"</f>
        <v>85212-9773</v>
      </c>
      <c r="Q662" t="s">
        <v>113</v>
      </c>
      <c r="R662" t="str">
        <f>"304-17-574"</f>
        <v>304-17-574</v>
      </c>
      <c r="S662" t="s">
        <v>4260</v>
      </c>
      <c r="T662" t="s">
        <v>569</v>
      </c>
      <c r="U662">
        <v>1947</v>
      </c>
      <c r="W662">
        <v>4</v>
      </c>
      <c r="X662">
        <v>2015</v>
      </c>
      <c r="Z662">
        <v>1</v>
      </c>
      <c r="AC662" t="s">
        <v>115</v>
      </c>
      <c r="AD662">
        <v>2</v>
      </c>
      <c r="AE662" t="s">
        <v>115</v>
      </c>
      <c r="AH662" t="s">
        <v>116</v>
      </c>
      <c r="AI662" s="1">
        <v>47667</v>
      </c>
      <c r="AJ662" s="2">
        <v>0.14000000000000001</v>
      </c>
      <c r="AK662" s="1">
        <v>342061</v>
      </c>
      <c r="AL662" t="s">
        <v>117</v>
      </c>
      <c r="AM662" t="s">
        <v>191</v>
      </c>
      <c r="AN662">
        <v>5750</v>
      </c>
      <c r="AO662">
        <v>0.13</v>
      </c>
      <c r="AR662">
        <v>1</v>
      </c>
      <c r="AS662" s="1">
        <v>23830</v>
      </c>
      <c r="AT662" s="1">
        <v>4760</v>
      </c>
      <c r="AU662" s="1">
        <v>19070</v>
      </c>
      <c r="AV662">
        <v>80.03</v>
      </c>
      <c r="AX662" s="1">
        <v>1659.3</v>
      </c>
      <c r="AY662" t="s">
        <v>570</v>
      </c>
      <c r="AZ662" t="s">
        <v>571</v>
      </c>
      <c r="BA662" t="s">
        <v>572</v>
      </c>
      <c r="BE662" s="3">
        <v>42247</v>
      </c>
      <c r="BF662" s="1">
        <v>284990</v>
      </c>
      <c r="BG662" t="s">
        <v>195</v>
      </c>
      <c r="BH662" s="1">
        <v>146.37</v>
      </c>
      <c r="BI662" s="1">
        <v>294394</v>
      </c>
      <c r="BJ662" s="3">
        <v>42247</v>
      </c>
      <c r="BK662" t="s">
        <v>123</v>
      </c>
      <c r="BL662" t="str">
        <f>"2015.629215"</f>
        <v>2015.629215</v>
      </c>
      <c r="BM662" t="s">
        <v>196</v>
      </c>
      <c r="BO662" t="s">
        <v>4335</v>
      </c>
      <c r="BS662">
        <v>30</v>
      </c>
      <c r="BW662" t="str">
        <f>""</f>
        <v/>
      </c>
      <c r="CH662" t="str">
        <f>""</f>
        <v/>
      </c>
      <c r="CS662" t="str">
        <f>""</f>
        <v/>
      </c>
    </row>
    <row r="663" spans="1:97" x14ac:dyDescent="0.25">
      <c r="A663" t="s">
        <v>4336</v>
      </c>
      <c r="B663" t="s">
        <v>4337</v>
      </c>
      <c r="E663" t="s">
        <v>4338</v>
      </c>
      <c r="F663" t="s">
        <v>108</v>
      </c>
      <c r="H663" t="s">
        <v>4339</v>
      </c>
      <c r="I663" t="s">
        <v>225</v>
      </c>
      <c r="J663" t="s">
        <v>111</v>
      </c>
      <c r="K663" t="str">
        <f>"85212"</f>
        <v>85212</v>
      </c>
      <c r="L663" t="s">
        <v>4259</v>
      </c>
      <c r="M663" t="s">
        <v>4339</v>
      </c>
      <c r="N663" t="s">
        <v>225</v>
      </c>
      <c r="O663" t="s">
        <v>111</v>
      </c>
      <c r="P663" t="str">
        <f>"85212-9775"</f>
        <v>85212-9775</v>
      </c>
      <c r="Q663" t="s">
        <v>113</v>
      </c>
      <c r="R663" t="str">
        <f>"304-17-583"</f>
        <v>304-17-583</v>
      </c>
      <c r="S663" t="s">
        <v>4260</v>
      </c>
      <c r="T663" t="s">
        <v>569</v>
      </c>
      <c r="U663">
        <v>2261</v>
      </c>
      <c r="W663">
        <v>5</v>
      </c>
      <c r="X663">
        <v>2015</v>
      </c>
      <c r="Z663">
        <v>2</v>
      </c>
      <c r="AC663" t="s">
        <v>115</v>
      </c>
      <c r="AD663">
        <v>2</v>
      </c>
      <c r="AE663" t="s">
        <v>115</v>
      </c>
      <c r="AH663" t="s">
        <v>116</v>
      </c>
      <c r="AI663" s="1">
        <v>30961</v>
      </c>
      <c r="AJ663" s="2">
        <v>0.09</v>
      </c>
      <c r="AK663" s="1">
        <v>355787</v>
      </c>
      <c r="AL663" t="s">
        <v>117</v>
      </c>
      <c r="AM663" t="s">
        <v>191</v>
      </c>
      <c r="AN663">
        <v>5750</v>
      </c>
      <c r="AO663">
        <v>0.13</v>
      </c>
      <c r="AR663">
        <v>1</v>
      </c>
      <c r="AS663" s="1">
        <v>25070</v>
      </c>
      <c r="AT663" s="1">
        <v>5010</v>
      </c>
      <c r="AU663" s="1">
        <v>20060</v>
      </c>
      <c r="AV663">
        <v>80.02</v>
      </c>
      <c r="AX663" s="1">
        <v>1786.44</v>
      </c>
      <c r="AY663" t="s">
        <v>570</v>
      </c>
      <c r="AZ663" t="s">
        <v>571</v>
      </c>
      <c r="BA663" t="s">
        <v>572</v>
      </c>
      <c r="BE663" s="3">
        <v>42305</v>
      </c>
      <c r="BF663" s="1">
        <v>317990</v>
      </c>
      <c r="BG663" t="s">
        <v>195</v>
      </c>
      <c r="BH663" s="1">
        <v>140.63999999999999</v>
      </c>
      <c r="BI663" s="1">
        <v>324826</v>
      </c>
      <c r="BJ663" s="3">
        <v>42305</v>
      </c>
      <c r="BK663" t="s">
        <v>123</v>
      </c>
      <c r="BL663" t="str">
        <f>"2015.775265"</f>
        <v>2015.775265</v>
      </c>
      <c r="BM663" t="s">
        <v>196</v>
      </c>
      <c r="BO663" t="s">
        <v>4340</v>
      </c>
      <c r="BS663">
        <v>30</v>
      </c>
      <c r="BW663" t="str">
        <f>""</f>
        <v/>
      </c>
      <c r="CH663" t="str">
        <f>""</f>
        <v/>
      </c>
      <c r="CS663" t="str">
        <f>""</f>
        <v/>
      </c>
    </row>
    <row r="664" spans="1:97" x14ac:dyDescent="0.25">
      <c r="A664" t="s">
        <v>2068</v>
      </c>
      <c r="B664" t="s">
        <v>4341</v>
      </c>
      <c r="E664" t="s">
        <v>4342</v>
      </c>
      <c r="F664" t="s">
        <v>108</v>
      </c>
      <c r="H664" t="s">
        <v>4343</v>
      </c>
      <c r="I664" t="s">
        <v>225</v>
      </c>
      <c r="J664" t="s">
        <v>111</v>
      </c>
      <c r="K664" t="str">
        <f>"85212"</f>
        <v>85212</v>
      </c>
      <c r="L664" t="s">
        <v>4259</v>
      </c>
      <c r="M664" t="s">
        <v>4343</v>
      </c>
      <c r="N664" t="s">
        <v>225</v>
      </c>
      <c r="O664" t="s">
        <v>111</v>
      </c>
      <c r="P664" t="str">
        <f>"85212-9772"</f>
        <v>85212-9772</v>
      </c>
      <c r="Q664" t="s">
        <v>113</v>
      </c>
      <c r="R664" t="str">
        <f>"304-17-591"</f>
        <v>304-17-591</v>
      </c>
      <c r="S664" t="s">
        <v>4260</v>
      </c>
      <c r="T664" t="s">
        <v>569</v>
      </c>
      <c r="U664">
        <v>1947</v>
      </c>
      <c r="W664">
        <v>4</v>
      </c>
      <c r="X664">
        <v>2015</v>
      </c>
      <c r="Z664">
        <v>1</v>
      </c>
      <c r="AC664" t="s">
        <v>115</v>
      </c>
      <c r="AD664">
        <v>2</v>
      </c>
      <c r="AE664" t="s">
        <v>115</v>
      </c>
      <c r="AH664" t="s">
        <v>116</v>
      </c>
      <c r="AI664" s="1">
        <v>-27927</v>
      </c>
      <c r="AJ664" s="2">
        <v>-0.1</v>
      </c>
      <c r="AK664" s="1">
        <v>287073</v>
      </c>
      <c r="AL664" t="s">
        <v>117</v>
      </c>
      <c r="AM664" t="s">
        <v>191</v>
      </c>
      <c r="AN664">
        <v>5750</v>
      </c>
      <c r="AO664">
        <v>0.13</v>
      </c>
      <c r="AR664">
        <v>1</v>
      </c>
      <c r="AS664" s="1">
        <v>24830</v>
      </c>
      <c r="AT664" s="1">
        <v>4960</v>
      </c>
      <c r="AU664" s="1">
        <v>19870</v>
      </c>
      <c r="AV664">
        <v>80.02</v>
      </c>
      <c r="AX664" s="1">
        <v>1659.3</v>
      </c>
      <c r="AY664" t="s">
        <v>570</v>
      </c>
      <c r="AZ664" t="s">
        <v>571</v>
      </c>
      <c r="BA664" t="s">
        <v>572</v>
      </c>
      <c r="BE664" s="3">
        <v>42269</v>
      </c>
      <c r="BF664" s="1">
        <v>271790</v>
      </c>
      <c r="BG664" t="s">
        <v>195</v>
      </c>
      <c r="BH664" s="1">
        <v>139.59</v>
      </c>
      <c r="BI664" s="1">
        <v>315000</v>
      </c>
      <c r="BJ664" s="3">
        <v>42999</v>
      </c>
      <c r="BK664" t="s">
        <v>123</v>
      </c>
      <c r="BL664" t="str">
        <f>"2017.697323"</f>
        <v>2017.697323</v>
      </c>
      <c r="BM664" t="s">
        <v>4094</v>
      </c>
      <c r="BO664" t="s">
        <v>4344</v>
      </c>
      <c r="BS664">
        <v>30</v>
      </c>
      <c r="BW664" t="str">
        <f>""</f>
        <v/>
      </c>
      <c r="CH664" t="str">
        <f>""</f>
        <v/>
      </c>
      <c r="CS664" t="str">
        <f>""</f>
        <v/>
      </c>
    </row>
    <row r="665" spans="1:97" x14ac:dyDescent="0.25">
      <c r="A665" t="s">
        <v>464</v>
      </c>
      <c r="B665" t="s">
        <v>4345</v>
      </c>
      <c r="C665" t="s">
        <v>4346</v>
      </c>
      <c r="D665" t="s">
        <v>4347</v>
      </c>
      <c r="E665" t="s">
        <v>4348</v>
      </c>
      <c r="F665" t="s">
        <v>108</v>
      </c>
      <c r="H665" t="s">
        <v>4349</v>
      </c>
      <c r="I665" t="s">
        <v>225</v>
      </c>
      <c r="J665" t="s">
        <v>111</v>
      </c>
      <c r="K665" t="str">
        <f>"85212"</f>
        <v>85212</v>
      </c>
      <c r="L665" t="s">
        <v>4259</v>
      </c>
      <c r="M665" t="s">
        <v>4349</v>
      </c>
      <c r="N665" t="s">
        <v>225</v>
      </c>
      <c r="O665" t="s">
        <v>111</v>
      </c>
      <c r="P665" t="str">
        <f>"85212-9779"</f>
        <v>85212-9779</v>
      </c>
      <c r="Q665" t="s">
        <v>113</v>
      </c>
      <c r="R665" t="str">
        <f>"304-17-613"</f>
        <v>304-17-613</v>
      </c>
      <c r="S665" t="s">
        <v>4260</v>
      </c>
      <c r="T665" t="s">
        <v>569</v>
      </c>
      <c r="U665">
        <v>1826</v>
      </c>
      <c r="W665">
        <v>4</v>
      </c>
      <c r="X665">
        <v>2015</v>
      </c>
      <c r="Z665">
        <v>1</v>
      </c>
      <c r="AA665" t="s">
        <v>26</v>
      </c>
      <c r="AC665" t="s">
        <v>115</v>
      </c>
      <c r="AD665">
        <v>2</v>
      </c>
      <c r="AE665" t="s">
        <v>115</v>
      </c>
      <c r="AH665" t="s">
        <v>116</v>
      </c>
      <c r="AI665" s="1">
        <v>67594</v>
      </c>
      <c r="AJ665" s="2">
        <v>0.19</v>
      </c>
      <c r="AK665" s="1">
        <v>350728</v>
      </c>
      <c r="AL665" t="s">
        <v>117</v>
      </c>
      <c r="AM665" t="s">
        <v>191</v>
      </c>
      <c r="AN665">
        <v>6312</v>
      </c>
      <c r="AO665">
        <v>0.14000000000000001</v>
      </c>
      <c r="AR665">
        <v>1</v>
      </c>
      <c r="AS665" s="1">
        <v>26150</v>
      </c>
      <c r="AT665" s="1">
        <v>5230</v>
      </c>
      <c r="AU665" s="1">
        <v>20920</v>
      </c>
      <c r="AV665">
        <v>80</v>
      </c>
      <c r="AX665" s="1">
        <v>1655.22</v>
      </c>
      <c r="AY665" t="s">
        <v>570</v>
      </c>
      <c r="AZ665" t="s">
        <v>571</v>
      </c>
      <c r="BA665" t="s">
        <v>572</v>
      </c>
      <c r="BE665" s="3">
        <v>42331</v>
      </c>
      <c r="BF665" s="1">
        <v>274090</v>
      </c>
      <c r="BG665" t="s">
        <v>195</v>
      </c>
      <c r="BH665" s="1">
        <v>150.1</v>
      </c>
      <c r="BI665" s="1">
        <v>283134</v>
      </c>
      <c r="BJ665" s="3">
        <v>42331</v>
      </c>
      <c r="BK665" t="s">
        <v>123</v>
      </c>
      <c r="BL665" t="str">
        <f>"2015.834872"</f>
        <v>2015.834872</v>
      </c>
      <c r="BM665" t="s">
        <v>196</v>
      </c>
      <c r="BO665" t="s">
        <v>4350</v>
      </c>
      <c r="BP665" t="s">
        <v>4351</v>
      </c>
      <c r="BS665">
        <v>30</v>
      </c>
      <c r="BW665" t="str">
        <f>""</f>
        <v/>
      </c>
      <c r="CH665" t="str">
        <f>""</f>
        <v/>
      </c>
      <c r="CS665" t="str">
        <f>""</f>
        <v/>
      </c>
    </row>
    <row r="666" spans="1:97" x14ac:dyDescent="0.25">
      <c r="A666" t="s">
        <v>3580</v>
      </c>
      <c r="B666" t="s">
        <v>4352</v>
      </c>
      <c r="E666" t="s">
        <v>4353</v>
      </c>
      <c r="F666" t="s">
        <v>282</v>
      </c>
      <c r="H666" t="s">
        <v>4354</v>
      </c>
      <c r="I666" t="s">
        <v>203</v>
      </c>
      <c r="J666" t="s">
        <v>111</v>
      </c>
      <c r="K666" t="str">
        <f>"85298"</f>
        <v>85298</v>
      </c>
      <c r="L666" t="s">
        <v>284</v>
      </c>
      <c r="M666" t="s">
        <v>4355</v>
      </c>
      <c r="N666" t="s">
        <v>203</v>
      </c>
      <c r="O666" t="s">
        <v>111</v>
      </c>
      <c r="P666" t="str">
        <f>"85298-2249"</f>
        <v>85298-2249</v>
      </c>
      <c r="Q666" t="s">
        <v>113</v>
      </c>
      <c r="R666" t="str">
        <f>"304-73-956"</f>
        <v>304-73-956</v>
      </c>
      <c r="S666" t="s">
        <v>4356</v>
      </c>
      <c r="T666" t="s">
        <v>287</v>
      </c>
      <c r="U666">
        <v>2173</v>
      </c>
      <c r="W666">
        <v>3</v>
      </c>
      <c r="X666">
        <v>2014</v>
      </c>
      <c r="Z666">
        <v>1</v>
      </c>
      <c r="AC666" t="s">
        <v>115</v>
      </c>
      <c r="AD666">
        <v>3</v>
      </c>
      <c r="AE666" t="s">
        <v>115</v>
      </c>
      <c r="AH666" t="s">
        <v>116</v>
      </c>
      <c r="AI666" s="1">
        <v>109881</v>
      </c>
      <c r="AJ666" s="2">
        <v>0.27</v>
      </c>
      <c r="AK666" s="1">
        <v>409881</v>
      </c>
      <c r="AL666" t="s">
        <v>117</v>
      </c>
      <c r="AM666" t="s">
        <v>191</v>
      </c>
      <c r="AN666">
        <v>6321</v>
      </c>
      <c r="AO666">
        <v>0.14000000000000001</v>
      </c>
      <c r="AR666">
        <v>1</v>
      </c>
      <c r="AS666" s="1">
        <v>28700</v>
      </c>
      <c r="AT666" s="1">
        <v>5740</v>
      </c>
      <c r="AU666" s="1">
        <v>22960</v>
      </c>
      <c r="AV666">
        <v>80</v>
      </c>
      <c r="AX666" s="1">
        <v>2541.14</v>
      </c>
      <c r="AY666" t="s">
        <v>289</v>
      </c>
      <c r="AZ666" t="s">
        <v>289</v>
      </c>
      <c r="BA666" t="s">
        <v>290</v>
      </c>
      <c r="BB666" s="3">
        <v>43692</v>
      </c>
      <c r="BC666" s="1">
        <v>0</v>
      </c>
      <c r="BD666" t="s">
        <v>247</v>
      </c>
      <c r="BE666" s="3">
        <v>42027</v>
      </c>
      <c r="BF666" s="1">
        <v>322206</v>
      </c>
      <c r="BG666" t="s">
        <v>954</v>
      </c>
      <c r="BH666" s="1">
        <v>148.28</v>
      </c>
      <c r="BI666" s="1">
        <v>322206</v>
      </c>
      <c r="BJ666" s="3">
        <v>42027</v>
      </c>
      <c r="BK666" t="s">
        <v>123</v>
      </c>
      <c r="BL666" t="str">
        <f>"2015.45503"</f>
        <v>2015.45503</v>
      </c>
      <c r="BM666" t="s">
        <v>131</v>
      </c>
      <c r="BN666" t="s">
        <v>132</v>
      </c>
      <c r="BO666" t="s">
        <v>4357</v>
      </c>
      <c r="BS666">
        <v>30</v>
      </c>
      <c r="BT666" s="1">
        <v>300000</v>
      </c>
      <c r="BU666" s="3">
        <v>43692</v>
      </c>
      <c r="BV666" t="s">
        <v>134</v>
      </c>
      <c r="BW666" t="str">
        <f>"2019.628989"</f>
        <v>2019.628989</v>
      </c>
      <c r="BX666" t="s">
        <v>4358</v>
      </c>
      <c r="BY666" t="s">
        <v>1282</v>
      </c>
      <c r="BZ666" t="s">
        <v>4353</v>
      </c>
      <c r="CC666" t="s">
        <v>139</v>
      </c>
      <c r="CH666" t="str">
        <f>""</f>
        <v/>
      </c>
      <c r="CS666" t="str">
        <f>""</f>
        <v/>
      </c>
    </row>
    <row r="667" spans="1:97" x14ac:dyDescent="0.25">
      <c r="A667" t="s">
        <v>639</v>
      </c>
      <c r="B667" t="s">
        <v>4359</v>
      </c>
      <c r="E667" t="s">
        <v>4360</v>
      </c>
      <c r="F667" t="s">
        <v>108</v>
      </c>
      <c r="H667" t="s">
        <v>4361</v>
      </c>
      <c r="I667" t="s">
        <v>188</v>
      </c>
      <c r="J667" t="s">
        <v>111</v>
      </c>
      <c r="K667" t="str">
        <f>"85142"</f>
        <v>85142</v>
      </c>
      <c r="L667" t="s">
        <v>688</v>
      </c>
      <c r="M667" t="s">
        <v>4361</v>
      </c>
      <c r="N667" t="s">
        <v>188</v>
      </c>
      <c r="O667" t="s">
        <v>111</v>
      </c>
      <c r="P667" t="str">
        <f>"85142-3379"</f>
        <v>85142-3379</v>
      </c>
      <c r="Q667" t="s">
        <v>113</v>
      </c>
      <c r="R667" t="str">
        <f>"314-10-080"</f>
        <v>314-10-080</v>
      </c>
      <c r="S667" t="s">
        <v>4303</v>
      </c>
      <c r="U667">
        <v>1763</v>
      </c>
      <c r="W667">
        <v>3</v>
      </c>
      <c r="X667">
        <v>2015</v>
      </c>
      <c r="Z667">
        <v>1</v>
      </c>
      <c r="AA667" t="s">
        <v>26</v>
      </c>
      <c r="AC667" t="s">
        <v>115</v>
      </c>
      <c r="AD667">
        <v>2</v>
      </c>
      <c r="AE667" t="s">
        <v>115</v>
      </c>
      <c r="AH667" t="s">
        <v>116</v>
      </c>
      <c r="AI667" s="1">
        <v>5017</v>
      </c>
      <c r="AJ667" s="2">
        <v>0.01</v>
      </c>
      <c r="AK667" s="1">
        <v>343454</v>
      </c>
      <c r="AL667" t="s">
        <v>117</v>
      </c>
      <c r="AM667" t="s">
        <v>376</v>
      </c>
      <c r="AN667">
        <v>6326</v>
      </c>
      <c r="AO667">
        <v>0.14000000000000001</v>
      </c>
      <c r="AR667">
        <v>1</v>
      </c>
      <c r="AS667" s="1">
        <v>24120</v>
      </c>
      <c r="AT667" s="1">
        <v>4820</v>
      </c>
      <c r="AU667" s="1">
        <v>19300</v>
      </c>
      <c r="AV667">
        <v>80.02</v>
      </c>
      <c r="AX667" s="1">
        <v>2320.3000000000002</v>
      </c>
      <c r="AY667" t="s">
        <v>560</v>
      </c>
      <c r="AZ667" t="s">
        <v>561</v>
      </c>
      <c r="BA667" t="s">
        <v>194</v>
      </c>
      <c r="BE667" s="3">
        <v>42349</v>
      </c>
      <c r="BF667" s="1">
        <v>292672</v>
      </c>
      <c r="BG667" t="s">
        <v>122</v>
      </c>
      <c r="BH667" s="1">
        <v>166.01</v>
      </c>
      <c r="BI667" s="1">
        <v>302330</v>
      </c>
      <c r="BJ667" s="3">
        <v>42349</v>
      </c>
      <c r="BK667" t="s">
        <v>123</v>
      </c>
      <c r="BL667" t="str">
        <f>"2015.876147"</f>
        <v>2015.876147</v>
      </c>
      <c r="BM667" t="s">
        <v>475</v>
      </c>
      <c r="BO667" t="s">
        <v>4362</v>
      </c>
      <c r="BS667">
        <v>30</v>
      </c>
      <c r="BT667" s="1">
        <v>36107</v>
      </c>
      <c r="BU667" s="3">
        <v>42536</v>
      </c>
      <c r="BV667" t="s">
        <v>134</v>
      </c>
      <c r="BW667" t="str">
        <f>"2016.414727"</f>
        <v>2016.414727</v>
      </c>
      <c r="BX667" t="s">
        <v>198</v>
      </c>
      <c r="BZ667" t="s">
        <v>4362</v>
      </c>
      <c r="CD667">
        <v>10</v>
      </c>
      <c r="CH667" t="str">
        <f>""</f>
        <v/>
      </c>
      <c r="CS667" t="str">
        <f>""</f>
        <v/>
      </c>
    </row>
    <row r="668" spans="1:97" x14ac:dyDescent="0.25">
      <c r="A668" t="s">
        <v>370</v>
      </c>
      <c r="B668" t="s">
        <v>4363</v>
      </c>
      <c r="C668" t="s">
        <v>4364</v>
      </c>
      <c r="D668" t="s">
        <v>4363</v>
      </c>
      <c r="E668" t="s">
        <v>4365</v>
      </c>
      <c r="F668" t="s">
        <v>108</v>
      </c>
      <c r="H668" t="s">
        <v>4366</v>
      </c>
      <c r="I668" t="s">
        <v>225</v>
      </c>
      <c r="J668" t="s">
        <v>111</v>
      </c>
      <c r="K668" t="str">
        <f>"85209"</f>
        <v>85209</v>
      </c>
      <c r="L668" t="s">
        <v>4367</v>
      </c>
      <c r="M668" t="s">
        <v>4366</v>
      </c>
      <c r="N668" t="s">
        <v>225</v>
      </c>
      <c r="O668" t="s">
        <v>111</v>
      </c>
      <c r="P668" t="str">
        <f>"85209-7857"</f>
        <v>85209-7857</v>
      </c>
      <c r="Q668" t="s">
        <v>113</v>
      </c>
      <c r="R668" t="str">
        <f>"312-02-453"</f>
        <v>312-02-453</v>
      </c>
      <c r="S668" t="s">
        <v>4368</v>
      </c>
      <c r="U668">
        <v>2450</v>
      </c>
      <c r="W668">
        <v>4</v>
      </c>
      <c r="X668">
        <v>2015</v>
      </c>
      <c r="Z668">
        <v>2</v>
      </c>
      <c r="AC668" t="s">
        <v>115</v>
      </c>
      <c r="AD668">
        <v>2</v>
      </c>
      <c r="AE668" t="s">
        <v>115</v>
      </c>
      <c r="AH668" t="s">
        <v>116</v>
      </c>
      <c r="AI668" s="1">
        <v>81899</v>
      </c>
      <c r="AJ668" s="2">
        <v>0.21</v>
      </c>
      <c r="AK668" s="1">
        <v>386899</v>
      </c>
      <c r="AL668" t="s">
        <v>117</v>
      </c>
      <c r="AM668" t="s">
        <v>4369</v>
      </c>
      <c r="AN668">
        <v>5175</v>
      </c>
      <c r="AO668">
        <v>0.12</v>
      </c>
      <c r="AR668">
        <v>1</v>
      </c>
      <c r="AS668" s="1">
        <v>27370</v>
      </c>
      <c r="AT668" s="1">
        <v>5470</v>
      </c>
      <c r="AU668" s="1">
        <v>21900</v>
      </c>
      <c r="AV668">
        <v>80.010000000000005</v>
      </c>
      <c r="AX668" s="1">
        <v>1872.92</v>
      </c>
      <c r="AY668" t="s">
        <v>4370</v>
      </c>
      <c r="AZ668" t="s">
        <v>777</v>
      </c>
      <c r="BA668" t="s">
        <v>572</v>
      </c>
      <c r="BE668" s="3">
        <v>42277</v>
      </c>
      <c r="BF668" s="1">
        <v>290336</v>
      </c>
      <c r="BG668" t="s">
        <v>3120</v>
      </c>
      <c r="BH668" s="1">
        <v>118.5</v>
      </c>
      <c r="BI668" s="1">
        <v>305000</v>
      </c>
      <c r="BJ668" s="3">
        <v>43080</v>
      </c>
      <c r="BK668" t="s">
        <v>123</v>
      </c>
      <c r="BL668" t="str">
        <f>"2017.912872"</f>
        <v>2017.912872</v>
      </c>
      <c r="BM668" t="s">
        <v>135</v>
      </c>
      <c r="BO668" t="s">
        <v>4371</v>
      </c>
      <c r="BS668">
        <v>31</v>
      </c>
      <c r="BW668" t="str">
        <f>""</f>
        <v/>
      </c>
      <c r="CH668" t="str">
        <f>""</f>
        <v/>
      </c>
      <c r="CS668" t="str">
        <f>""</f>
        <v/>
      </c>
    </row>
    <row r="669" spans="1:97" x14ac:dyDescent="0.25">
      <c r="A669" t="s">
        <v>933</v>
      </c>
      <c r="B669" t="s">
        <v>4372</v>
      </c>
      <c r="E669" t="s">
        <v>4373</v>
      </c>
      <c r="F669" t="s">
        <v>108</v>
      </c>
      <c r="H669" t="s">
        <v>4374</v>
      </c>
      <c r="I669" t="s">
        <v>225</v>
      </c>
      <c r="J669" t="s">
        <v>111</v>
      </c>
      <c r="K669" t="str">
        <f>"85209"</f>
        <v>85209</v>
      </c>
      <c r="L669" t="s">
        <v>4367</v>
      </c>
      <c r="M669" t="s">
        <v>4374</v>
      </c>
      <c r="N669" t="s">
        <v>225</v>
      </c>
      <c r="O669" t="s">
        <v>111</v>
      </c>
      <c r="P669" t="str">
        <f>"85209-7854"</f>
        <v>85209-7854</v>
      </c>
      <c r="Q669" t="s">
        <v>113</v>
      </c>
      <c r="R669" t="str">
        <f>"312-02-470"</f>
        <v>312-02-470</v>
      </c>
      <c r="S669" t="s">
        <v>4368</v>
      </c>
      <c r="U669">
        <v>1704</v>
      </c>
      <c r="W669">
        <v>3</v>
      </c>
      <c r="X669">
        <v>2015</v>
      </c>
      <c r="Z669">
        <v>1</v>
      </c>
      <c r="AC669" t="s">
        <v>115</v>
      </c>
      <c r="AD669">
        <v>2</v>
      </c>
      <c r="AE669" t="s">
        <v>115</v>
      </c>
      <c r="AH669" t="s">
        <v>116</v>
      </c>
      <c r="AI669" s="1">
        <v>38832</v>
      </c>
      <c r="AJ669" s="2">
        <v>0.12</v>
      </c>
      <c r="AK669" s="1">
        <v>333237</v>
      </c>
      <c r="AL669" t="s">
        <v>117</v>
      </c>
      <c r="AM669" t="s">
        <v>4369</v>
      </c>
      <c r="AN669">
        <v>5175</v>
      </c>
      <c r="AO669">
        <v>0.12</v>
      </c>
      <c r="AR669">
        <v>1</v>
      </c>
      <c r="AS669" s="1">
        <v>23570</v>
      </c>
      <c r="AT669" s="1">
        <v>4710</v>
      </c>
      <c r="AU669" s="1">
        <v>18860</v>
      </c>
      <c r="AV669">
        <v>80.02</v>
      </c>
      <c r="AX669" s="1">
        <v>1538.66</v>
      </c>
      <c r="AY669" t="s">
        <v>4370</v>
      </c>
      <c r="AZ669" t="s">
        <v>777</v>
      </c>
      <c r="BA669" t="s">
        <v>572</v>
      </c>
      <c r="BB669" s="3">
        <v>43679</v>
      </c>
      <c r="BC669" s="1">
        <v>0</v>
      </c>
      <c r="BD669" t="s">
        <v>247</v>
      </c>
      <c r="BE669" s="3">
        <v>42242</v>
      </c>
      <c r="BF669" s="1">
        <v>259918</v>
      </c>
      <c r="BG669" t="s">
        <v>3120</v>
      </c>
      <c r="BH669" s="1">
        <v>152.53</v>
      </c>
      <c r="BI669" s="1">
        <v>294405</v>
      </c>
      <c r="BJ669" s="3">
        <v>43151</v>
      </c>
      <c r="BK669" t="s">
        <v>123</v>
      </c>
      <c r="BL669" t="str">
        <f>"2018.124258"</f>
        <v>2018.124258</v>
      </c>
      <c r="BM669" t="s">
        <v>903</v>
      </c>
      <c r="BN669" t="s">
        <v>904</v>
      </c>
      <c r="BO669" t="s">
        <v>4375</v>
      </c>
      <c r="BP669" t="s">
        <v>4376</v>
      </c>
      <c r="BR669" t="s">
        <v>139</v>
      </c>
      <c r="BW669" t="str">
        <f>""</f>
        <v/>
      </c>
      <c r="CH669" t="str">
        <f>""</f>
        <v/>
      </c>
      <c r="CS669" t="str">
        <f>""</f>
        <v/>
      </c>
    </row>
    <row r="670" spans="1:97" x14ac:dyDescent="0.25">
      <c r="B670" t="s">
        <v>4377</v>
      </c>
      <c r="E670" t="s">
        <v>4378</v>
      </c>
      <c r="F670" t="s">
        <v>108</v>
      </c>
      <c r="H670" t="s">
        <v>4379</v>
      </c>
      <c r="I670" t="s">
        <v>225</v>
      </c>
      <c r="J670" t="s">
        <v>111</v>
      </c>
      <c r="K670" t="str">
        <f>"85209"</f>
        <v>85209</v>
      </c>
      <c r="L670" t="s">
        <v>4367</v>
      </c>
      <c r="M670" t="s">
        <v>4379</v>
      </c>
      <c r="N670" t="s">
        <v>225</v>
      </c>
      <c r="O670" t="s">
        <v>111</v>
      </c>
      <c r="P670" t="str">
        <f>"85209-7846"</f>
        <v>85209-7846</v>
      </c>
      <c r="Q670" t="s">
        <v>113</v>
      </c>
      <c r="R670" t="str">
        <f>"312-02-513"</f>
        <v>312-02-513</v>
      </c>
      <c r="S670" t="s">
        <v>4368</v>
      </c>
      <c r="U670">
        <v>2031</v>
      </c>
      <c r="W670">
        <v>4</v>
      </c>
      <c r="X670">
        <v>2015</v>
      </c>
      <c r="Z670">
        <v>1</v>
      </c>
      <c r="AA670" t="s">
        <v>26</v>
      </c>
      <c r="AC670" t="s">
        <v>115</v>
      </c>
      <c r="AD670">
        <v>3</v>
      </c>
      <c r="AE670" t="s">
        <v>115</v>
      </c>
      <c r="AH670" t="s">
        <v>116</v>
      </c>
      <c r="AI670" s="1">
        <v>80947</v>
      </c>
      <c r="AJ670" s="2">
        <v>0.21</v>
      </c>
      <c r="AK670" s="1">
        <v>392275</v>
      </c>
      <c r="AL670" t="s">
        <v>117</v>
      </c>
      <c r="AM670" t="s">
        <v>191</v>
      </c>
      <c r="AN670">
        <v>6240</v>
      </c>
      <c r="AO670">
        <v>0.14000000000000001</v>
      </c>
      <c r="AR670">
        <v>1</v>
      </c>
      <c r="AS670" s="1">
        <v>29050</v>
      </c>
      <c r="AT670" s="1">
        <v>5810</v>
      </c>
      <c r="AU670" s="1">
        <v>23240</v>
      </c>
      <c r="AV670">
        <v>80</v>
      </c>
      <c r="AX670" s="1">
        <v>1839.42</v>
      </c>
      <c r="AY670" t="s">
        <v>4370</v>
      </c>
      <c r="AZ670" t="s">
        <v>777</v>
      </c>
      <c r="BA670" t="s">
        <v>572</v>
      </c>
      <c r="BB670" s="3">
        <v>42241</v>
      </c>
      <c r="BD670" t="s">
        <v>240</v>
      </c>
      <c r="BE670" s="3">
        <v>42235</v>
      </c>
      <c r="BF670" s="1">
        <v>341650</v>
      </c>
      <c r="BG670" t="s">
        <v>3120</v>
      </c>
      <c r="BH670" s="1">
        <v>168.22</v>
      </c>
      <c r="BI670" s="1">
        <v>311328</v>
      </c>
      <c r="BJ670" s="3">
        <v>42235</v>
      </c>
      <c r="BK670" t="s">
        <v>123</v>
      </c>
      <c r="BL670" t="str">
        <f>"2015.602292"</f>
        <v>2015.602292</v>
      </c>
      <c r="BM670" t="s">
        <v>175</v>
      </c>
      <c r="BO670" t="s">
        <v>4380</v>
      </c>
      <c r="BS670">
        <v>30</v>
      </c>
      <c r="BW670" t="str">
        <f>""</f>
        <v/>
      </c>
      <c r="CH670" t="str">
        <f>""</f>
        <v/>
      </c>
      <c r="CS670" t="str">
        <f>""</f>
        <v/>
      </c>
    </row>
    <row r="671" spans="1:97" x14ac:dyDescent="0.25">
      <c r="A671" t="s">
        <v>328</v>
      </c>
      <c r="B671" t="s">
        <v>3395</v>
      </c>
      <c r="C671" t="s">
        <v>1572</v>
      </c>
      <c r="D671" t="s">
        <v>3395</v>
      </c>
      <c r="E671" t="s">
        <v>4381</v>
      </c>
      <c r="F671" t="s">
        <v>108</v>
      </c>
      <c r="H671" t="s">
        <v>4382</v>
      </c>
      <c r="I671" t="s">
        <v>225</v>
      </c>
      <c r="J671" t="s">
        <v>111</v>
      </c>
      <c r="K671" t="str">
        <f>"85209"</f>
        <v>85209</v>
      </c>
      <c r="L671" t="s">
        <v>4367</v>
      </c>
      <c r="M671" t="s">
        <v>4382</v>
      </c>
      <c r="N671" t="s">
        <v>225</v>
      </c>
      <c r="O671" t="s">
        <v>111</v>
      </c>
      <c r="P671" t="str">
        <f>"85209-7846"</f>
        <v>85209-7846</v>
      </c>
      <c r="Q671" t="s">
        <v>113</v>
      </c>
      <c r="R671" t="str">
        <f>"312-02-515"</f>
        <v>312-02-515</v>
      </c>
      <c r="S671" t="s">
        <v>4368</v>
      </c>
      <c r="U671">
        <v>2277</v>
      </c>
      <c r="W671">
        <v>4</v>
      </c>
      <c r="X671">
        <v>2015</v>
      </c>
      <c r="Z671">
        <v>1</v>
      </c>
      <c r="AC671" t="s">
        <v>115</v>
      </c>
      <c r="AD671">
        <v>3</v>
      </c>
      <c r="AE671" t="s">
        <v>115</v>
      </c>
      <c r="AH671" t="s">
        <v>116</v>
      </c>
      <c r="AI671" s="1">
        <v>14021</v>
      </c>
      <c r="AJ671" s="2">
        <v>0.03</v>
      </c>
      <c r="AK671" s="1">
        <v>403021</v>
      </c>
      <c r="AL671" t="s">
        <v>117</v>
      </c>
      <c r="AM671" t="s">
        <v>191</v>
      </c>
      <c r="AN671">
        <v>6240</v>
      </c>
      <c r="AO671">
        <v>0.14000000000000001</v>
      </c>
      <c r="AR671">
        <v>1</v>
      </c>
      <c r="AS671" s="1">
        <v>29380</v>
      </c>
      <c r="AT671" s="1">
        <v>5870</v>
      </c>
      <c r="AU671" s="1">
        <v>23510</v>
      </c>
      <c r="AV671">
        <v>80.02</v>
      </c>
      <c r="AX671" s="1">
        <v>1985.46</v>
      </c>
      <c r="AY671" t="s">
        <v>4370</v>
      </c>
      <c r="AZ671" t="s">
        <v>777</v>
      </c>
      <c r="BA671" t="s">
        <v>572</v>
      </c>
      <c r="BB671" s="3">
        <v>42872</v>
      </c>
      <c r="BD671" t="s">
        <v>458</v>
      </c>
      <c r="BE671" s="3">
        <v>42272</v>
      </c>
      <c r="BF671" s="1">
        <v>315000</v>
      </c>
      <c r="BG671" t="s">
        <v>3120</v>
      </c>
      <c r="BH671" s="1">
        <v>138.34</v>
      </c>
      <c r="BI671" s="1">
        <v>389000</v>
      </c>
      <c r="BJ671" s="3">
        <v>43390</v>
      </c>
      <c r="BK671" t="s">
        <v>123</v>
      </c>
      <c r="BL671" t="str">
        <f>"2018.777204"</f>
        <v>2018.777204</v>
      </c>
      <c r="BM671" t="s">
        <v>1809</v>
      </c>
      <c r="BN671" t="s">
        <v>1810</v>
      </c>
      <c r="BO671" t="s">
        <v>4383</v>
      </c>
      <c r="BP671" t="s">
        <v>4384</v>
      </c>
      <c r="BR671" t="s">
        <v>139</v>
      </c>
      <c r="BW671" t="str">
        <f>""</f>
        <v/>
      </c>
      <c r="CH671" t="str">
        <f>""</f>
        <v/>
      </c>
      <c r="CS671" t="str">
        <f>""</f>
        <v/>
      </c>
    </row>
    <row r="672" spans="1:97" x14ac:dyDescent="0.25">
      <c r="A672" t="s">
        <v>370</v>
      </c>
      <c r="B672" t="s">
        <v>4385</v>
      </c>
      <c r="C672" t="s">
        <v>4386</v>
      </c>
      <c r="D672" t="s">
        <v>4385</v>
      </c>
      <c r="E672" t="s">
        <v>4387</v>
      </c>
      <c r="F672" t="s">
        <v>108</v>
      </c>
      <c r="H672" t="s">
        <v>4388</v>
      </c>
      <c r="I672" t="s">
        <v>225</v>
      </c>
      <c r="J672" t="s">
        <v>111</v>
      </c>
      <c r="K672" t="str">
        <f>"85209"</f>
        <v>85209</v>
      </c>
      <c r="L672" t="s">
        <v>4367</v>
      </c>
      <c r="M672" t="s">
        <v>4388</v>
      </c>
      <c r="N672" t="s">
        <v>225</v>
      </c>
      <c r="O672" t="s">
        <v>111</v>
      </c>
      <c r="P672" t="str">
        <f>"85209-7870"</f>
        <v>85209-7870</v>
      </c>
      <c r="Q672" t="s">
        <v>113</v>
      </c>
      <c r="R672" t="str">
        <f>"312-02-764"</f>
        <v>312-02-764</v>
      </c>
      <c r="S672" t="s">
        <v>4389</v>
      </c>
      <c r="U672">
        <v>2148</v>
      </c>
      <c r="W672">
        <v>3</v>
      </c>
      <c r="X672">
        <v>2015</v>
      </c>
      <c r="Z672">
        <v>2</v>
      </c>
      <c r="AC672" t="s">
        <v>115</v>
      </c>
      <c r="AD672">
        <v>2</v>
      </c>
      <c r="AE672" t="s">
        <v>115</v>
      </c>
      <c r="AH672" t="s">
        <v>116</v>
      </c>
      <c r="AI672" s="1">
        <v>98931</v>
      </c>
      <c r="AJ672" s="2">
        <v>0.28999999999999998</v>
      </c>
      <c r="AK672" s="1">
        <v>336521</v>
      </c>
      <c r="AL672" t="s">
        <v>117</v>
      </c>
      <c r="AM672" t="s">
        <v>4369</v>
      </c>
      <c r="AN672">
        <v>3160</v>
      </c>
      <c r="AO672">
        <v>0.73</v>
      </c>
      <c r="AR672">
        <v>1</v>
      </c>
      <c r="AS672" s="1">
        <v>23350</v>
      </c>
      <c r="AT672" s="1">
        <v>4670</v>
      </c>
      <c r="AU672" s="1">
        <v>18680</v>
      </c>
      <c r="AV672">
        <v>80</v>
      </c>
      <c r="AX672" s="1">
        <v>1550.06</v>
      </c>
      <c r="AY672" t="s">
        <v>4370</v>
      </c>
      <c r="AZ672" t="s">
        <v>777</v>
      </c>
      <c r="BA672" t="s">
        <v>572</v>
      </c>
      <c r="BE672" s="3">
        <v>42275</v>
      </c>
      <c r="BF672" s="1">
        <v>234340</v>
      </c>
      <c r="BG672" t="s">
        <v>3120</v>
      </c>
      <c r="BH672" s="1">
        <v>109.1</v>
      </c>
      <c r="BI672" s="1">
        <v>237590</v>
      </c>
      <c r="BJ672" s="3">
        <v>43025</v>
      </c>
      <c r="BK672" t="s">
        <v>123</v>
      </c>
      <c r="BL672" t="str">
        <f>"2017.767069"</f>
        <v>2017.767069</v>
      </c>
      <c r="BM672" t="s">
        <v>361</v>
      </c>
      <c r="BO672" t="s">
        <v>4390</v>
      </c>
      <c r="BS672">
        <v>30</v>
      </c>
      <c r="BW672" t="str">
        <f>""</f>
        <v/>
      </c>
      <c r="CH672" t="str">
        <f>""</f>
        <v/>
      </c>
      <c r="CS672" t="str">
        <f>""</f>
        <v/>
      </c>
    </row>
    <row r="673" spans="1:97" x14ac:dyDescent="0.25">
      <c r="A673" t="s">
        <v>2374</v>
      </c>
      <c r="B673" t="s">
        <v>4391</v>
      </c>
      <c r="E673" t="s">
        <v>4392</v>
      </c>
      <c r="F673" t="s">
        <v>108</v>
      </c>
      <c r="H673" t="s">
        <v>4393</v>
      </c>
      <c r="I673" t="s">
        <v>225</v>
      </c>
      <c r="J673" t="s">
        <v>111</v>
      </c>
      <c r="K673" t="str">
        <f>"85209"</f>
        <v>85209</v>
      </c>
      <c r="L673" t="s">
        <v>4367</v>
      </c>
      <c r="M673" t="s">
        <v>4393</v>
      </c>
      <c r="N673" t="s">
        <v>225</v>
      </c>
      <c r="O673" t="s">
        <v>111</v>
      </c>
      <c r="P673" t="str">
        <f>"85209-7870"</f>
        <v>85209-7870</v>
      </c>
      <c r="Q673" t="s">
        <v>113</v>
      </c>
      <c r="R673" t="str">
        <f>"312-02-775"</f>
        <v>312-02-775</v>
      </c>
      <c r="S673" t="s">
        <v>4389</v>
      </c>
      <c r="U673">
        <v>2148</v>
      </c>
      <c r="W673">
        <v>3</v>
      </c>
      <c r="X673">
        <v>2015</v>
      </c>
      <c r="Z673">
        <v>2</v>
      </c>
      <c r="AC673" t="s">
        <v>115</v>
      </c>
      <c r="AD673">
        <v>2</v>
      </c>
      <c r="AE673" t="s">
        <v>115</v>
      </c>
      <c r="AH673" t="s">
        <v>116</v>
      </c>
      <c r="AI673" s="1">
        <v>85273</v>
      </c>
      <c r="AJ673" s="2">
        <v>0.25</v>
      </c>
      <c r="AK673" s="1">
        <v>335896</v>
      </c>
      <c r="AL673" t="s">
        <v>117</v>
      </c>
      <c r="AM673" t="s">
        <v>4369</v>
      </c>
      <c r="AN673">
        <v>3160</v>
      </c>
      <c r="AO673">
        <v>0.73</v>
      </c>
      <c r="AR673">
        <v>1</v>
      </c>
      <c r="AS673" s="1">
        <v>23350</v>
      </c>
      <c r="AT673" s="1">
        <v>4670</v>
      </c>
      <c r="AU673" s="1">
        <v>18680</v>
      </c>
      <c r="AV673">
        <v>80</v>
      </c>
      <c r="AX673" s="1">
        <v>1550.06</v>
      </c>
      <c r="AY673" t="s">
        <v>4370</v>
      </c>
      <c r="AZ673" t="s">
        <v>777</v>
      </c>
      <c r="BA673" t="s">
        <v>572</v>
      </c>
      <c r="BE673" s="3">
        <v>42243</v>
      </c>
      <c r="BF673" s="1">
        <v>242617</v>
      </c>
      <c r="BG673" t="s">
        <v>3120</v>
      </c>
      <c r="BH673" s="1">
        <v>112.95</v>
      </c>
      <c r="BI673" s="1">
        <v>250623</v>
      </c>
      <c r="BJ673" s="3">
        <v>42243</v>
      </c>
      <c r="BK673" t="s">
        <v>123</v>
      </c>
      <c r="BL673" t="str">
        <f>"2015.623338"</f>
        <v>2015.623338</v>
      </c>
      <c r="BM673" t="s">
        <v>475</v>
      </c>
      <c r="BO673" t="s">
        <v>4394</v>
      </c>
      <c r="BS673">
        <v>30</v>
      </c>
      <c r="BW673" t="str">
        <f>""</f>
        <v/>
      </c>
      <c r="CH673" t="str">
        <f>""</f>
        <v/>
      </c>
      <c r="CS673" t="str">
        <f>""</f>
        <v/>
      </c>
    </row>
    <row r="674" spans="1:97" x14ac:dyDescent="0.25">
      <c r="A674" t="s">
        <v>494</v>
      </c>
      <c r="B674" t="s">
        <v>4395</v>
      </c>
      <c r="C674" t="s">
        <v>4396</v>
      </c>
      <c r="D674" t="s">
        <v>4395</v>
      </c>
      <c r="E674" t="s">
        <v>4397</v>
      </c>
      <c r="F674" t="s">
        <v>108</v>
      </c>
      <c r="H674" t="s">
        <v>4398</v>
      </c>
      <c r="I674" t="s">
        <v>188</v>
      </c>
      <c r="J674" t="s">
        <v>111</v>
      </c>
      <c r="K674" t="str">
        <f>"85142"</f>
        <v>85142</v>
      </c>
      <c r="L674" t="s">
        <v>3645</v>
      </c>
      <c r="M674" t="s">
        <v>4398</v>
      </c>
      <c r="N674" t="s">
        <v>188</v>
      </c>
      <c r="O674" t="s">
        <v>111</v>
      </c>
      <c r="P674" t="str">
        <f>"85142-8296"</f>
        <v>85142-8296</v>
      </c>
      <c r="Q674" t="s">
        <v>113</v>
      </c>
      <c r="R674" t="str">
        <f>"314-09-756"</f>
        <v>314-09-756</v>
      </c>
      <c r="S674" t="s">
        <v>4399</v>
      </c>
      <c r="T674" t="s">
        <v>4400</v>
      </c>
      <c r="U674">
        <v>3194</v>
      </c>
      <c r="W674">
        <v>4</v>
      </c>
      <c r="X674">
        <v>2015</v>
      </c>
      <c r="Z674">
        <v>1</v>
      </c>
      <c r="AC674" t="s">
        <v>115</v>
      </c>
      <c r="AD674">
        <v>3</v>
      </c>
      <c r="AE674" t="s">
        <v>115</v>
      </c>
      <c r="AH674" t="s">
        <v>116</v>
      </c>
      <c r="AI674" s="1">
        <v>169727</v>
      </c>
      <c r="AJ674" s="2">
        <v>0.32</v>
      </c>
      <c r="AK674" s="1">
        <v>527227</v>
      </c>
      <c r="AL674" t="s">
        <v>117</v>
      </c>
      <c r="AM674" t="s">
        <v>393</v>
      </c>
      <c r="AN674">
        <v>21097</v>
      </c>
      <c r="AO674">
        <v>0.48</v>
      </c>
      <c r="AR674">
        <v>1</v>
      </c>
      <c r="AS674" s="1">
        <v>38470</v>
      </c>
      <c r="AT674" s="1">
        <v>7690</v>
      </c>
      <c r="AU674" s="1">
        <v>30780</v>
      </c>
      <c r="AV674">
        <v>80.010000000000005</v>
      </c>
      <c r="AX674" s="1">
        <v>3700.94</v>
      </c>
      <c r="AY674" t="s">
        <v>560</v>
      </c>
      <c r="AZ674" t="s">
        <v>561</v>
      </c>
      <c r="BA674" t="s">
        <v>194</v>
      </c>
      <c r="BE674" s="3">
        <v>42405</v>
      </c>
      <c r="BF674" s="1">
        <v>434000</v>
      </c>
      <c r="BG674" t="s">
        <v>1079</v>
      </c>
      <c r="BH674" s="1">
        <v>135.88</v>
      </c>
      <c r="BI674" s="1">
        <v>357500</v>
      </c>
      <c r="BJ674" s="3">
        <v>42654</v>
      </c>
      <c r="BK674" t="s">
        <v>123</v>
      </c>
      <c r="BL674" t="str">
        <f>"2016.744185"</f>
        <v>2016.744185</v>
      </c>
      <c r="BM674" t="s">
        <v>425</v>
      </c>
      <c r="BO674" t="s">
        <v>4401</v>
      </c>
      <c r="BS674">
        <v>30</v>
      </c>
      <c r="BW674" t="str">
        <f>""</f>
        <v/>
      </c>
      <c r="CH674" t="str">
        <f>""</f>
        <v/>
      </c>
      <c r="CS674" t="str">
        <f>""</f>
        <v/>
      </c>
    </row>
    <row r="675" spans="1:97" x14ac:dyDescent="0.25">
      <c r="A675" t="s">
        <v>4402</v>
      </c>
      <c r="B675" t="s">
        <v>529</v>
      </c>
      <c r="C675" t="s">
        <v>365</v>
      </c>
      <c r="D675" t="s">
        <v>529</v>
      </c>
      <c r="E675" t="s">
        <v>4403</v>
      </c>
      <c r="F675" t="s">
        <v>108</v>
      </c>
      <c r="H675" t="s">
        <v>4404</v>
      </c>
      <c r="I675" t="s">
        <v>3150</v>
      </c>
      <c r="J675" t="s">
        <v>111</v>
      </c>
      <c r="K675" t="str">
        <f>"85340"</f>
        <v>85340</v>
      </c>
      <c r="L675" t="s">
        <v>3151</v>
      </c>
      <c r="M675" t="s">
        <v>4404</v>
      </c>
      <c r="N675" t="s">
        <v>3150</v>
      </c>
      <c r="O675" t="s">
        <v>111</v>
      </c>
      <c r="P675" t="str">
        <f>"85340-2826"</f>
        <v>85340-2826</v>
      </c>
      <c r="R675" t="str">
        <f>"501-73-701"</f>
        <v>501-73-701</v>
      </c>
      <c r="S675" t="s">
        <v>3152</v>
      </c>
      <c r="U675">
        <v>3910</v>
      </c>
      <c r="W675">
        <v>6</v>
      </c>
      <c r="X675">
        <v>2016</v>
      </c>
      <c r="Z675">
        <v>2</v>
      </c>
      <c r="AC675" t="s">
        <v>115</v>
      </c>
      <c r="AD675">
        <v>2</v>
      </c>
      <c r="AE675" t="s">
        <v>115</v>
      </c>
      <c r="AH675" t="s">
        <v>116</v>
      </c>
      <c r="AI675" s="1">
        <v>226537</v>
      </c>
      <c r="AJ675" s="2">
        <v>0.48</v>
      </c>
      <c r="AK675" s="1">
        <v>467509</v>
      </c>
      <c r="AL675" t="s">
        <v>117</v>
      </c>
      <c r="AM675" t="s">
        <v>118</v>
      </c>
      <c r="AN675">
        <v>7500</v>
      </c>
      <c r="AO675">
        <v>0.17</v>
      </c>
      <c r="AR675">
        <v>1</v>
      </c>
      <c r="AS675" s="1">
        <v>33060</v>
      </c>
      <c r="AT675" s="1">
        <v>6610</v>
      </c>
      <c r="AU675" s="1">
        <v>26450</v>
      </c>
      <c r="AV675">
        <v>80.010000000000005</v>
      </c>
      <c r="AX675" s="1">
        <v>2925.64</v>
      </c>
      <c r="AY675" t="s">
        <v>3019</v>
      </c>
      <c r="AZ675" t="s">
        <v>3153</v>
      </c>
      <c r="BA675" t="s">
        <v>3154</v>
      </c>
      <c r="BE675" s="3">
        <v>42426</v>
      </c>
      <c r="BF675" s="1">
        <v>478002</v>
      </c>
      <c r="BG675" t="s">
        <v>636</v>
      </c>
      <c r="BH675" s="1">
        <v>122.25</v>
      </c>
      <c r="BI675" s="1">
        <v>202500</v>
      </c>
      <c r="BJ675" s="3">
        <v>42426</v>
      </c>
      <c r="BK675" t="s">
        <v>123</v>
      </c>
      <c r="BL675" t="str">
        <f>"2016.124152"</f>
        <v>2016.124152</v>
      </c>
      <c r="BM675" t="s">
        <v>637</v>
      </c>
      <c r="BN675" t="s">
        <v>652</v>
      </c>
      <c r="BO675" t="s">
        <v>4405</v>
      </c>
      <c r="BS675">
        <v>30</v>
      </c>
      <c r="BT675" s="1">
        <v>38472</v>
      </c>
      <c r="BU675" s="3">
        <v>42488</v>
      </c>
      <c r="BV675" t="s">
        <v>134</v>
      </c>
      <c r="BW675" t="str">
        <f>"2016.284299"</f>
        <v>2016.284299</v>
      </c>
      <c r="BX675" t="s">
        <v>198</v>
      </c>
      <c r="BY675" t="s">
        <v>655</v>
      </c>
      <c r="BZ675" t="s">
        <v>4405</v>
      </c>
      <c r="CD675">
        <v>15</v>
      </c>
      <c r="CH675" t="str">
        <f>""</f>
        <v/>
      </c>
      <c r="CS675" t="str">
        <f>""</f>
        <v/>
      </c>
    </row>
    <row r="676" spans="1:97" x14ac:dyDescent="0.25">
      <c r="A676" t="s">
        <v>4406</v>
      </c>
      <c r="B676" t="s">
        <v>4248</v>
      </c>
      <c r="C676" t="s">
        <v>4407</v>
      </c>
      <c r="D676" t="s">
        <v>4408</v>
      </c>
      <c r="E676" t="s">
        <v>4409</v>
      </c>
      <c r="F676" t="s">
        <v>108</v>
      </c>
      <c r="H676" t="s">
        <v>4410</v>
      </c>
      <c r="I676" t="s">
        <v>390</v>
      </c>
      <c r="J676" t="s">
        <v>111</v>
      </c>
      <c r="K676" t="str">
        <f>"85085"</f>
        <v>85085</v>
      </c>
      <c r="L676" t="s">
        <v>3318</v>
      </c>
      <c r="M676" t="s">
        <v>4410</v>
      </c>
      <c r="N676" t="s">
        <v>390</v>
      </c>
      <c r="O676" t="s">
        <v>111</v>
      </c>
      <c r="P676" t="str">
        <f>"85085-7149"</f>
        <v>85085-7149</v>
      </c>
      <c r="Q676" t="s">
        <v>113</v>
      </c>
      <c r="R676" t="str">
        <f>"204-25-758"</f>
        <v>204-25-758</v>
      </c>
      <c r="S676" t="s">
        <v>3319</v>
      </c>
      <c r="T676" t="s">
        <v>3319</v>
      </c>
      <c r="U676">
        <v>2347</v>
      </c>
      <c r="W676">
        <v>4</v>
      </c>
      <c r="X676">
        <v>2015</v>
      </c>
      <c r="Z676">
        <v>2</v>
      </c>
      <c r="AA676" t="s">
        <v>26</v>
      </c>
      <c r="AC676" t="s">
        <v>115</v>
      </c>
      <c r="AD676">
        <v>4</v>
      </c>
      <c r="AE676" t="s">
        <v>115</v>
      </c>
      <c r="AH676" t="s">
        <v>116</v>
      </c>
      <c r="AI676" s="1">
        <v>-108702</v>
      </c>
      <c r="AJ676" s="2">
        <v>-0.25</v>
      </c>
      <c r="AK676" s="1">
        <v>439050</v>
      </c>
      <c r="AL676" t="s">
        <v>117</v>
      </c>
      <c r="AM676" t="s">
        <v>229</v>
      </c>
      <c r="AN676">
        <v>7028</v>
      </c>
      <c r="AO676">
        <v>0.16</v>
      </c>
      <c r="AR676">
        <v>1</v>
      </c>
      <c r="AS676" s="1">
        <v>35970</v>
      </c>
      <c r="AT676" s="1">
        <v>7190</v>
      </c>
      <c r="AU676" s="1">
        <v>28780</v>
      </c>
      <c r="AV676">
        <v>80.010000000000005</v>
      </c>
      <c r="AX676" s="1">
        <v>2724.08</v>
      </c>
      <c r="AY676" t="s">
        <v>2651</v>
      </c>
      <c r="AZ676" t="s">
        <v>2651</v>
      </c>
      <c r="BA676" t="s">
        <v>1462</v>
      </c>
      <c r="BE676" s="3">
        <v>42369</v>
      </c>
      <c r="BF676" s="1">
        <v>504078</v>
      </c>
      <c r="BG676" t="s">
        <v>420</v>
      </c>
      <c r="BH676" s="1">
        <v>214.78</v>
      </c>
      <c r="BI676" s="1">
        <v>472752</v>
      </c>
      <c r="BJ676" s="3">
        <v>42640</v>
      </c>
      <c r="BK676" t="s">
        <v>123</v>
      </c>
      <c r="BL676" t="str">
        <f>"2016.702062"</f>
        <v>2016.702062</v>
      </c>
      <c r="BM676" t="s">
        <v>361</v>
      </c>
      <c r="BO676" t="s">
        <v>4411</v>
      </c>
      <c r="BP676" t="s">
        <v>4412</v>
      </c>
      <c r="BS676">
        <v>30</v>
      </c>
      <c r="BT676" s="1">
        <v>75000</v>
      </c>
      <c r="BU676" s="3">
        <v>42726</v>
      </c>
      <c r="BV676" t="s">
        <v>134</v>
      </c>
      <c r="BW676" t="str">
        <f>"2016.945652"</f>
        <v>2016.945652</v>
      </c>
      <c r="BX676" t="s">
        <v>369</v>
      </c>
      <c r="BZ676" t="s">
        <v>4411</v>
      </c>
      <c r="CA676" t="s">
        <v>4412</v>
      </c>
      <c r="CD676">
        <v>15</v>
      </c>
      <c r="CH676" t="str">
        <f>""</f>
        <v/>
      </c>
      <c r="CS676" t="str">
        <f>""</f>
        <v/>
      </c>
    </row>
    <row r="677" spans="1:97" x14ac:dyDescent="0.25">
      <c r="A677" t="s">
        <v>1067</v>
      </c>
      <c r="B677" t="s">
        <v>4413</v>
      </c>
      <c r="C677" t="s">
        <v>4414</v>
      </c>
      <c r="D677" t="s">
        <v>4413</v>
      </c>
      <c r="E677" t="s">
        <v>4415</v>
      </c>
      <c r="F677" t="s">
        <v>108</v>
      </c>
      <c r="H677" t="s">
        <v>4416</v>
      </c>
      <c r="I677" t="s">
        <v>203</v>
      </c>
      <c r="J677" t="s">
        <v>111</v>
      </c>
      <c r="K677" t="str">
        <f>"85296"</f>
        <v>85296</v>
      </c>
      <c r="L677" t="s">
        <v>516</v>
      </c>
      <c r="M677" t="s">
        <v>4416</v>
      </c>
      <c r="N677" t="s">
        <v>203</v>
      </c>
      <c r="O677" t="s">
        <v>111</v>
      </c>
      <c r="P677" t="str">
        <f>"85296-1590"</f>
        <v>85296-1590</v>
      </c>
      <c r="Q677" t="s">
        <v>113</v>
      </c>
      <c r="R677" t="str">
        <f>"304-18-069"</f>
        <v>304-18-069</v>
      </c>
      <c r="S677" t="s">
        <v>3195</v>
      </c>
      <c r="U677">
        <v>3072</v>
      </c>
      <c r="W677">
        <v>4</v>
      </c>
      <c r="X677">
        <v>2015</v>
      </c>
      <c r="Z677">
        <v>1</v>
      </c>
      <c r="AA677" t="s">
        <v>26</v>
      </c>
      <c r="AC677" t="s">
        <v>115</v>
      </c>
      <c r="AD677">
        <v>3</v>
      </c>
      <c r="AE677" t="s">
        <v>115</v>
      </c>
      <c r="AH677" t="s">
        <v>116</v>
      </c>
      <c r="AI677" s="1">
        <v>302840</v>
      </c>
      <c r="AJ677" s="2">
        <v>0.59</v>
      </c>
      <c r="AK677" s="1">
        <v>517295</v>
      </c>
      <c r="AL677" t="s">
        <v>117</v>
      </c>
      <c r="AM677" t="s">
        <v>393</v>
      </c>
      <c r="AN677">
        <v>9088</v>
      </c>
      <c r="AO677">
        <v>0.21</v>
      </c>
      <c r="AR677">
        <v>1</v>
      </c>
      <c r="AS677" s="1">
        <v>40020</v>
      </c>
      <c r="AT677" s="1">
        <v>8000</v>
      </c>
      <c r="AU677" s="1">
        <v>32020</v>
      </c>
      <c r="AV677">
        <v>80.010000000000005</v>
      </c>
      <c r="AX677" s="1">
        <v>2895.68</v>
      </c>
      <c r="AY677" t="s">
        <v>519</v>
      </c>
      <c r="AZ677" t="s">
        <v>520</v>
      </c>
      <c r="BA677" t="s">
        <v>521</v>
      </c>
      <c r="BE677" s="3">
        <v>42369</v>
      </c>
      <c r="BF677" s="1">
        <v>431808</v>
      </c>
      <c r="BG677" t="s">
        <v>275</v>
      </c>
      <c r="BH677" s="1">
        <v>140.56</v>
      </c>
      <c r="BI677" s="1">
        <v>214455</v>
      </c>
      <c r="BJ677" s="3">
        <v>42369</v>
      </c>
      <c r="BK677" t="s">
        <v>123</v>
      </c>
      <c r="BL677" t="str">
        <f>"2015.923019"</f>
        <v>2015.923019</v>
      </c>
      <c r="BM677" t="s">
        <v>651</v>
      </c>
      <c r="BO677" t="s">
        <v>4417</v>
      </c>
      <c r="BP677" t="s">
        <v>4418</v>
      </c>
      <c r="BS677">
        <v>30</v>
      </c>
      <c r="BW677" t="str">
        <f>""</f>
        <v/>
      </c>
      <c r="CH677" t="str">
        <f>""</f>
        <v/>
      </c>
      <c r="CS677" t="str">
        <f>""</f>
        <v/>
      </c>
    </row>
    <row r="678" spans="1:97" x14ac:dyDescent="0.25">
      <c r="A678" t="s">
        <v>4419</v>
      </c>
      <c r="B678" t="s">
        <v>4420</v>
      </c>
      <c r="C678" t="s">
        <v>4421</v>
      </c>
      <c r="D678" t="s">
        <v>4420</v>
      </c>
      <c r="E678" t="s">
        <v>4422</v>
      </c>
      <c r="F678" t="s">
        <v>108</v>
      </c>
      <c r="H678" t="s">
        <v>4423</v>
      </c>
      <c r="I678" t="s">
        <v>225</v>
      </c>
      <c r="J678" t="s">
        <v>111</v>
      </c>
      <c r="K678" t="str">
        <f>"85209"</f>
        <v>85209</v>
      </c>
      <c r="L678" t="s">
        <v>4367</v>
      </c>
      <c r="M678" t="s">
        <v>4423</v>
      </c>
      <c r="N678" t="s">
        <v>225</v>
      </c>
      <c r="O678" t="s">
        <v>111</v>
      </c>
      <c r="P678" t="str">
        <f>"85209-7823"</f>
        <v>85209-7823</v>
      </c>
      <c r="Q678" t="s">
        <v>113</v>
      </c>
      <c r="R678" t="str">
        <f>"312-02-269"</f>
        <v>312-02-269</v>
      </c>
      <c r="S678" t="s">
        <v>4424</v>
      </c>
      <c r="U678">
        <v>3613</v>
      </c>
      <c r="W678">
        <v>6</v>
      </c>
      <c r="X678">
        <v>2015</v>
      </c>
      <c r="Z678">
        <v>2</v>
      </c>
      <c r="AC678" t="s">
        <v>115</v>
      </c>
      <c r="AD678">
        <v>3</v>
      </c>
      <c r="AE678" t="s">
        <v>115</v>
      </c>
      <c r="AH678" t="s">
        <v>116</v>
      </c>
      <c r="AI678" s="1">
        <v>113949</v>
      </c>
      <c r="AJ678" s="2">
        <v>0.24</v>
      </c>
      <c r="AK678" s="1">
        <v>484379</v>
      </c>
      <c r="AL678" t="s">
        <v>117</v>
      </c>
      <c r="AM678" t="s">
        <v>191</v>
      </c>
      <c r="AN678">
        <v>7500</v>
      </c>
      <c r="AO678">
        <v>0.17</v>
      </c>
      <c r="AR678">
        <v>1</v>
      </c>
      <c r="AS678" s="1">
        <v>36730</v>
      </c>
      <c r="AT678" s="1">
        <v>7340</v>
      </c>
      <c r="AU678" s="1">
        <v>29390</v>
      </c>
      <c r="AV678">
        <v>80.02</v>
      </c>
      <c r="AX678" s="1">
        <v>2603.04</v>
      </c>
      <c r="AY678" t="s">
        <v>4370</v>
      </c>
      <c r="AZ678" t="s">
        <v>777</v>
      </c>
      <c r="BA678" t="s">
        <v>572</v>
      </c>
      <c r="BE678" s="3">
        <v>42184</v>
      </c>
      <c r="BF678" s="1">
        <v>408857</v>
      </c>
      <c r="BG678" t="s">
        <v>3120</v>
      </c>
      <c r="BH678" s="1">
        <v>113.16</v>
      </c>
      <c r="BI678" s="1">
        <v>370430</v>
      </c>
      <c r="BJ678" s="3">
        <v>42184</v>
      </c>
      <c r="BK678" t="s">
        <v>123</v>
      </c>
      <c r="BL678" t="str">
        <f>"2015.465775"</f>
        <v>2015.465775</v>
      </c>
      <c r="BM678" t="s">
        <v>175</v>
      </c>
      <c r="BO678" t="s">
        <v>4425</v>
      </c>
      <c r="BS678">
        <v>30</v>
      </c>
      <c r="BW678" t="str">
        <f>""</f>
        <v/>
      </c>
      <c r="CH678" t="str">
        <f>""</f>
        <v/>
      </c>
      <c r="CS678" t="str">
        <f>""</f>
        <v/>
      </c>
    </row>
    <row r="679" spans="1:97" x14ac:dyDescent="0.25">
      <c r="A679" t="s">
        <v>1210</v>
      </c>
      <c r="B679" t="s">
        <v>4426</v>
      </c>
      <c r="C679" t="s">
        <v>1160</v>
      </c>
      <c r="D679" t="s">
        <v>4426</v>
      </c>
      <c r="E679" t="s">
        <v>4427</v>
      </c>
      <c r="F679" t="s">
        <v>108</v>
      </c>
      <c r="H679" t="s">
        <v>4428</v>
      </c>
      <c r="I679" t="s">
        <v>225</v>
      </c>
      <c r="J679" t="s">
        <v>111</v>
      </c>
      <c r="K679" t="str">
        <f>"85209"</f>
        <v>85209</v>
      </c>
      <c r="L679" t="s">
        <v>4367</v>
      </c>
      <c r="M679" t="s">
        <v>4428</v>
      </c>
      <c r="N679" t="s">
        <v>225</v>
      </c>
      <c r="O679" t="s">
        <v>111</v>
      </c>
      <c r="P679" t="str">
        <f>"85209-7823"</f>
        <v>85209-7823</v>
      </c>
      <c r="Q679" t="s">
        <v>113</v>
      </c>
      <c r="R679" t="str">
        <f>"312-02-271"</f>
        <v>312-02-271</v>
      </c>
      <c r="S679" t="s">
        <v>4424</v>
      </c>
      <c r="U679">
        <v>2594</v>
      </c>
      <c r="W679">
        <v>4</v>
      </c>
      <c r="X679">
        <v>2015</v>
      </c>
      <c r="Z679">
        <v>1</v>
      </c>
      <c r="AC679" t="s">
        <v>115</v>
      </c>
      <c r="AD679">
        <v>3</v>
      </c>
      <c r="AE679" t="s">
        <v>115</v>
      </c>
      <c r="AH679" t="s">
        <v>116</v>
      </c>
      <c r="AI679" s="1">
        <v>-6720</v>
      </c>
      <c r="AJ679" s="2">
        <v>-0.02</v>
      </c>
      <c r="AK679" s="1">
        <v>427510</v>
      </c>
      <c r="AL679" t="s">
        <v>117</v>
      </c>
      <c r="AM679" t="s">
        <v>191</v>
      </c>
      <c r="AN679">
        <v>7500</v>
      </c>
      <c r="AO679">
        <v>0.17</v>
      </c>
      <c r="AR679">
        <v>1</v>
      </c>
      <c r="AS679" s="1">
        <v>32230</v>
      </c>
      <c r="AT679" s="1">
        <v>6440</v>
      </c>
      <c r="AU679" s="1">
        <v>25790</v>
      </c>
      <c r="AV679">
        <v>80.02</v>
      </c>
      <c r="AX679" s="1">
        <v>2176.54</v>
      </c>
      <c r="AY679" t="s">
        <v>4370</v>
      </c>
      <c r="AZ679" t="s">
        <v>777</v>
      </c>
      <c r="BA679" t="s">
        <v>572</v>
      </c>
      <c r="BB679" s="3">
        <v>42696</v>
      </c>
      <c r="BD679" t="s">
        <v>240</v>
      </c>
      <c r="BE679" s="3">
        <v>42185</v>
      </c>
      <c r="BF679" s="1">
        <v>382918</v>
      </c>
      <c r="BG679" t="s">
        <v>3120</v>
      </c>
      <c r="BH679" s="1">
        <v>147.62</v>
      </c>
      <c r="BI679" s="1">
        <v>388230</v>
      </c>
      <c r="BJ679" s="3">
        <v>42696</v>
      </c>
      <c r="BK679" t="s">
        <v>123</v>
      </c>
      <c r="BL679" t="str">
        <f>"2016.864023"</f>
        <v>2016.864023</v>
      </c>
      <c r="BM679" t="s">
        <v>248</v>
      </c>
      <c r="BN679" t="s">
        <v>249</v>
      </c>
      <c r="BO679" t="s">
        <v>4429</v>
      </c>
      <c r="BS679">
        <v>30</v>
      </c>
      <c r="BT679" s="1">
        <v>46000</v>
      </c>
      <c r="BU679" s="3">
        <v>43600</v>
      </c>
      <c r="BW679" t="str">
        <f>"2019.354392"</f>
        <v>2019.354392</v>
      </c>
      <c r="BX679" t="s">
        <v>4430</v>
      </c>
      <c r="BY679" t="s">
        <v>4431</v>
      </c>
      <c r="BZ679" t="s">
        <v>4432</v>
      </c>
      <c r="CA679" t="s">
        <v>4433</v>
      </c>
      <c r="CC679" t="s">
        <v>346</v>
      </c>
      <c r="CE679" s="1">
        <v>46000</v>
      </c>
      <c r="CF679" s="3">
        <v>43600</v>
      </c>
      <c r="CH679" t="str">
        <f>"2019.354392"</f>
        <v>2019.354392</v>
      </c>
      <c r="CI679" t="s">
        <v>4430</v>
      </c>
      <c r="CJ679" t="s">
        <v>4431</v>
      </c>
      <c r="CK679" t="s">
        <v>4432</v>
      </c>
      <c r="CL679" t="s">
        <v>4433</v>
      </c>
      <c r="CN679" t="s">
        <v>346</v>
      </c>
      <c r="CS679" t="str">
        <f>""</f>
        <v/>
      </c>
    </row>
    <row r="680" spans="1:97" x14ac:dyDescent="0.25">
      <c r="A680" t="s">
        <v>589</v>
      </c>
      <c r="B680" t="s">
        <v>4434</v>
      </c>
      <c r="C680" t="s">
        <v>259</v>
      </c>
      <c r="D680" t="s">
        <v>4435</v>
      </c>
      <c r="E680" t="s">
        <v>4436</v>
      </c>
      <c r="F680" t="s">
        <v>108</v>
      </c>
      <c r="H680" t="s">
        <v>4437</v>
      </c>
      <c r="I680" t="s">
        <v>3150</v>
      </c>
      <c r="J680" t="s">
        <v>111</v>
      </c>
      <c r="K680" t="str">
        <f>"85340"</f>
        <v>85340</v>
      </c>
      <c r="L680" t="s">
        <v>3151</v>
      </c>
      <c r="M680" t="s">
        <v>4437</v>
      </c>
      <c r="N680" t="s">
        <v>3150</v>
      </c>
      <c r="O680" t="s">
        <v>111</v>
      </c>
      <c r="P680" t="str">
        <f>"85340-2826"</f>
        <v>85340-2826</v>
      </c>
      <c r="Q680" t="s">
        <v>113</v>
      </c>
      <c r="R680" t="str">
        <f>"501-73-704"</f>
        <v>501-73-704</v>
      </c>
      <c r="S680" t="s">
        <v>3152</v>
      </c>
      <c r="U680">
        <v>3910</v>
      </c>
      <c r="W680">
        <v>6</v>
      </c>
      <c r="X680">
        <v>2015</v>
      </c>
      <c r="Z680">
        <v>2</v>
      </c>
      <c r="AC680" t="s">
        <v>115</v>
      </c>
      <c r="AD680">
        <v>2</v>
      </c>
      <c r="AE680" t="s">
        <v>115</v>
      </c>
      <c r="AH680" t="s">
        <v>116</v>
      </c>
      <c r="AI680" s="1">
        <v>100285</v>
      </c>
      <c r="AJ680" s="2">
        <v>0.21</v>
      </c>
      <c r="AK680" s="1">
        <v>480552</v>
      </c>
      <c r="AL680" t="s">
        <v>117</v>
      </c>
      <c r="AM680" t="s">
        <v>118</v>
      </c>
      <c r="AN680">
        <v>8031</v>
      </c>
      <c r="AO680">
        <v>0.18</v>
      </c>
      <c r="AR680">
        <v>1</v>
      </c>
      <c r="AS680" s="1">
        <v>33360</v>
      </c>
      <c r="AT680" s="1">
        <v>6670</v>
      </c>
      <c r="AU680" s="1">
        <v>26690</v>
      </c>
      <c r="AV680">
        <v>80.010000000000005</v>
      </c>
      <c r="AX680" s="1">
        <v>2978.52</v>
      </c>
      <c r="AY680" t="s">
        <v>3019</v>
      </c>
      <c r="AZ680" t="s">
        <v>3153</v>
      </c>
      <c r="BA680" t="s">
        <v>3154</v>
      </c>
      <c r="BE680" s="3">
        <v>42278</v>
      </c>
      <c r="BF680" s="1">
        <v>411469</v>
      </c>
      <c r="BG680" t="s">
        <v>636</v>
      </c>
      <c r="BH680" s="1">
        <v>105.24</v>
      </c>
      <c r="BI680" s="1">
        <v>355267</v>
      </c>
      <c r="BJ680" s="3">
        <v>42725</v>
      </c>
      <c r="BK680" t="s">
        <v>123</v>
      </c>
      <c r="BL680" t="str">
        <f>"2016.940158"</f>
        <v>2016.940158</v>
      </c>
      <c r="BM680" t="s">
        <v>425</v>
      </c>
      <c r="BO680" t="s">
        <v>4438</v>
      </c>
      <c r="BP680" t="s">
        <v>4439</v>
      </c>
      <c r="BS680">
        <v>30</v>
      </c>
      <c r="BT680" s="1">
        <v>25000</v>
      </c>
      <c r="BU680" s="3">
        <v>42601</v>
      </c>
      <c r="BV680" t="s">
        <v>134</v>
      </c>
      <c r="BW680" t="str">
        <f>"2016.595854"</f>
        <v>2016.595854</v>
      </c>
      <c r="BX680" t="s">
        <v>4440</v>
      </c>
      <c r="BZ680" t="s">
        <v>4438</v>
      </c>
      <c r="CA680" t="s">
        <v>4439</v>
      </c>
      <c r="CD680">
        <v>20</v>
      </c>
      <c r="CH680" t="str">
        <f>""</f>
        <v/>
      </c>
      <c r="CS680" t="str">
        <f>""</f>
        <v/>
      </c>
    </row>
    <row r="681" spans="1:97" x14ac:dyDescent="0.25">
      <c r="A681" t="s">
        <v>2053</v>
      </c>
      <c r="B681" t="s">
        <v>4441</v>
      </c>
      <c r="C681" t="s">
        <v>496</v>
      </c>
      <c r="D681" t="s">
        <v>4441</v>
      </c>
      <c r="E681" t="s">
        <v>4442</v>
      </c>
      <c r="F681" t="s">
        <v>108</v>
      </c>
      <c r="H681" t="s">
        <v>4443</v>
      </c>
      <c r="I681" t="s">
        <v>3150</v>
      </c>
      <c r="J681" t="s">
        <v>111</v>
      </c>
      <c r="K681" t="str">
        <f>"85340"</f>
        <v>85340</v>
      </c>
      <c r="L681" t="s">
        <v>3151</v>
      </c>
      <c r="M681" t="s">
        <v>4443</v>
      </c>
      <c r="N681" t="s">
        <v>3150</v>
      </c>
      <c r="O681" t="s">
        <v>111</v>
      </c>
      <c r="P681" t="str">
        <f>"85340-2808"</f>
        <v>85340-2808</v>
      </c>
      <c r="Q681" t="s">
        <v>113</v>
      </c>
      <c r="R681" t="str">
        <f>"501-73-783"</f>
        <v>501-73-783</v>
      </c>
      <c r="S681" t="s">
        <v>3152</v>
      </c>
      <c r="U681">
        <v>3419</v>
      </c>
      <c r="W681">
        <v>5</v>
      </c>
      <c r="X681">
        <v>2015</v>
      </c>
      <c r="Z681">
        <v>1</v>
      </c>
      <c r="AC681" t="s">
        <v>115</v>
      </c>
      <c r="AD681">
        <v>3</v>
      </c>
      <c r="AE681" t="s">
        <v>115</v>
      </c>
      <c r="AH681" t="s">
        <v>116</v>
      </c>
      <c r="AI681" s="1">
        <v>-4214</v>
      </c>
      <c r="AJ681" s="2">
        <v>-0.01</v>
      </c>
      <c r="AK681" s="1">
        <v>491934</v>
      </c>
      <c r="AL681" t="s">
        <v>117</v>
      </c>
      <c r="AM681" t="s">
        <v>118</v>
      </c>
      <c r="AN681">
        <v>9587</v>
      </c>
      <c r="AO681">
        <v>0.22</v>
      </c>
      <c r="AR681">
        <v>1</v>
      </c>
      <c r="AS681" s="1">
        <v>36070</v>
      </c>
      <c r="AT681" s="1">
        <v>7210</v>
      </c>
      <c r="AU681" s="1">
        <v>28860</v>
      </c>
      <c r="AV681">
        <v>80.010000000000005</v>
      </c>
      <c r="AX681" s="1">
        <v>3057.16</v>
      </c>
      <c r="AY681" t="s">
        <v>3019</v>
      </c>
      <c r="AZ681" t="s">
        <v>3153</v>
      </c>
      <c r="BA681" t="s">
        <v>3154</v>
      </c>
      <c r="BE681" s="3">
        <v>42156</v>
      </c>
      <c r="BF681" s="1">
        <v>436831</v>
      </c>
      <c r="BG681" t="s">
        <v>636</v>
      </c>
      <c r="BH681" s="1">
        <v>127.77</v>
      </c>
      <c r="BI681" s="1">
        <v>446148</v>
      </c>
      <c r="BJ681" s="3">
        <v>42156</v>
      </c>
      <c r="BK681" t="s">
        <v>123</v>
      </c>
      <c r="BL681" t="str">
        <f>"2015.390232"</f>
        <v>2015.390232</v>
      </c>
      <c r="BM681" t="s">
        <v>637</v>
      </c>
      <c r="BN681" t="s">
        <v>652</v>
      </c>
      <c r="BO681" t="s">
        <v>4444</v>
      </c>
      <c r="BS681">
        <v>30</v>
      </c>
      <c r="BT681" s="1">
        <v>50000</v>
      </c>
      <c r="BU681" s="3">
        <v>43557</v>
      </c>
      <c r="BW681" t="str">
        <f>"2019.227467"</f>
        <v>2019.227467</v>
      </c>
      <c r="BX681" t="s">
        <v>2299</v>
      </c>
      <c r="BY681" t="s">
        <v>2300</v>
      </c>
      <c r="BZ681" t="s">
        <v>4445</v>
      </c>
      <c r="CA681" t="s">
        <v>4446</v>
      </c>
      <c r="CC681" t="s">
        <v>346</v>
      </c>
      <c r="CH681" t="str">
        <f>""</f>
        <v/>
      </c>
      <c r="CS681" t="str">
        <f>""</f>
        <v/>
      </c>
    </row>
    <row r="682" spans="1:97" x14ac:dyDescent="0.25">
      <c r="A682" t="s">
        <v>4447</v>
      </c>
      <c r="B682" t="s">
        <v>1350</v>
      </c>
      <c r="C682" t="s">
        <v>4448</v>
      </c>
      <c r="D682" t="s">
        <v>1350</v>
      </c>
      <c r="E682" t="s">
        <v>4449</v>
      </c>
      <c r="F682" t="s">
        <v>108</v>
      </c>
      <c r="H682" t="s">
        <v>4450</v>
      </c>
      <c r="I682" t="s">
        <v>499</v>
      </c>
      <c r="J682" t="s">
        <v>111</v>
      </c>
      <c r="K682" t="str">
        <f>"85338"</f>
        <v>85338</v>
      </c>
      <c r="L682" t="s">
        <v>1244</v>
      </c>
      <c r="M682" t="s">
        <v>4450</v>
      </c>
      <c r="N682" t="s">
        <v>499</v>
      </c>
      <c r="O682" t="s">
        <v>111</v>
      </c>
      <c r="P682" t="str">
        <f>"85338-7848"</f>
        <v>85338-7848</v>
      </c>
      <c r="Q682" t="s">
        <v>113</v>
      </c>
      <c r="R682" t="str">
        <f>"400-83-633"</f>
        <v>400-83-633</v>
      </c>
      <c r="S682" t="s">
        <v>1245</v>
      </c>
      <c r="U682">
        <v>2165</v>
      </c>
      <c r="W682">
        <v>3</v>
      </c>
      <c r="X682">
        <v>2016</v>
      </c>
      <c r="Z682">
        <v>1</v>
      </c>
      <c r="AC682" t="s">
        <v>115</v>
      </c>
      <c r="AD682">
        <v>2</v>
      </c>
      <c r="AE682" t="s">
        <v>115</v>
      </c>
      <c r="AH682" t="s">
        <v>116</v>
      </c>
      <c r="AI682" s="1">
        <v>24712</v>
      </c>
      <c r="AJ682" s="2">
        <v>0.06</v>
      </c>
      <c r="AK682" s="1">
        <v>385494</v>
      </c>
      <c r="AL682" t="s">
        <v>117</v>
      </c>
      <c r="AM682" t="s">
        <v>118</v>
      </c>
      <c r="AN682">
        <v>7619</v>
      </c>
      <c r="AO682">
        <v>0.18</v>
      </c>
      <c r="AR682">
        <v>1</v>
      </c>
      <c r="AS682" s="1">
        <v>29210</v>
      </c>
      <c r="AT682" s="1">
        <v>5840</v>
      </c>
      <c r="AU682" s="1">
        <v>23370</v>
      </c>
      <c r="AV682">
        <v>80.010000000000005</v>
      </c>
      <c r="AX682" s="1">
        <v>3556.84</v>
      </c>
      <c r="AY682" t="s">
        <v>1246</v>
      </c>
      <c r="AZ682" t="s">
        <v>1246</v>
      </c>
      <c r="BA682" t="s">
        <v>1247</v>
      </c>
      <c r="BE682" s="3">
        <v>42493</v>
      </c>
      <c r="BF682" s="1">
        <v>349257</v>
      </c>
      <c r="BG682" t="s">
        <v>1238</v>
      </c>
      <c r="BH682" s="1">
        <v>161.32</v>
      </c>
      <c r="BI682" s="1">
        <v>360782</v>
      </c>
      <c r="BJ682" s="3">
        <v>42493</v>
      </c>
      <c r="BK682" t="s">
        <v>123</v>
      </c>
      <c r="BL682" t="str">
        <f>"2016.301781"</f>
        <v>2016.301781</v>
      </c>
      <c r="BM682" t="s">
        <v>1185</v>
      </c>
      <c r="BO682" t="s">
        <v>4451</v>
      </c>
      <c r="BS682">
        <v>30</v>
      </c>
      <c r="BW682" t="str">
        <f>""</f>
        <v/>
      </c>
      <c r="CH682" t="str">
        <f>""</f>
        <v/>
      </c>
      <c r="CS682" t="str">
        <f>""</f>
        <v/>
      </c>
    </row>
    <row r="683" spans="1:97" x14ac:dyDescent="0.25">
      <c r="A683" t="s">
        <v>325</v>
      </c>
      <c r="B683" t="s">
        <v>4452</v>
      </c>
      <c r="C683" t="s">
        <v>104</v>
      </c>
      <c r="D683" t="s">
        <v>4452</v>
      </c>
      <c r="E683" t="s">
        <v>4453</v>
      </c>
      <c r="F683" t="s">
        <v>108</v>
      </c>
      <c r="H683" t="s">
        <v>4454</v>
      </c>
      <c r="I683" t="s">
        <v>3150</v>
      </c>
      <c r="J683" t="s">
        <v>111</v>
      </c>
      <c r="K683" t="str">
        <f>"85340"</f>
        <v>85340</v>
      </c>
      <c r="L683" t="s">
        <v>3151</v>
      </c>
      <c r="M683" t="s">
        <v>4454</v>
      </c>
      <c r="N683" t="s">
        <v>3150</v>
      </c>
      <c r="O683" t="s">
        <v>111</v>
      </c>
      <c r="P683" t="str">
        <f>"85340-2816"</f>
        <v>85340-2816</v>
      </c>
      <c r="Q683" t="s">
        <v>113</v>
      </c>
      <c r="R683" t="str">
        <f>"501-73-764"</f>
        <v>501-73-764</v>
      </c>
      <c r="S683" t="s">
        <v>3152</v>
      </c>
      <c r="U683">
        <v>2855</v>
      </c>
      <c r="W683">
        <v>5</v>
      </c>
      <c r="X683">
        <v>2015</v>
      </c>
      <c r="Z683">
        <v>1</v>
      </c>
      <c r="AC683" t="s">
        <v>115</v>
      </c>
      <c r="AD683">
        <v>3</v>
      </c>
      <c r="AE683" t="s">
        <v>115</v>
      </c>
      <c r="AH683" t="s">
        <v>116</v>
      </c>
      <c r="AI683" s="1">
        <v>73147</v>
      </c>
      <c r="AJ683" s="2">
        <v>0.16</v>
      </c>
      <c r="AK683" s="1">
        <v>461530</v>
      </c>
      <c r="AL683" t="s">
        <v>117</v>
      </c>
      <c r="AM683" t="s">
        <v>118</v>
      </c>
      <c r="AN683">
        <v>9000</v>
      </c>
      <c r="AO683">
        <v>0.21</v>
      </c>
      <c r="AR683">
        <v>1</v>
      </c>
      <c r="AS683" s="1">
        <v>32080</v>
      </c>
      <c r="AT683" s="1">
        <v>6410</v>
      </c>
      <c r="AU683" s="1">
        <v>25670</v>
      </c>
      <c r="AV683">
        <v>80.02</v>
      </c>
      <c r="AX683" s="1">
        <v>2770.38</v>
      </c>
      <c r="AY683" t="s">
        <v>3019</v>
      </c>
      <c r="AZ683" t="s">
        <v>3153</v>
      </c>
      <c r="BA683" t="s">
        <v>3154</v>
      </c>
      <c r="BE683" s="3">
        <v>42202</v>
      </c>
      <c r="BF683" s="1">
        <v>349679</v>
      </c>
      <c r="BG683" t="s">
        <v>636</v>
      </c>
      <c r="BH683" s="1">
        <v>122.48</v>
      </c>
      <c r="BI683" s="1">
        <v>329679</v>
      </c>
      <c r="BJ683" s="3">
        <v>42202</v>
      </c>
      <c r="BK683" t="s">
        <v>123</v>
      </c>
      <c r="BL683" t="str">
        <f>"2015.515921"</f>
        <v>2015.515921</v>
      </c>
      <c r="BM683" t="s">
        <v>637</v>
      </c>
      <c r="BO683" t="s">
        <v>4455</v>
      </c>
      <c r="BS683">
        <v>30</v>
      </c>
      <c r="BT683" s="1">
        <v>58704</v>
      </c>
      <c r="BU683" s="3">
        <v>42460</v>
      </c>
      <c r="BV683" t="s">
        <v>134</v>
      </c>
      <c r="BW683" t="str">
        <f>"2016.209142"</f>
        <v>2016.209142</v>
      </c>
      <c r="BX683" t="s">
        <v>198</v>
      </c>
      <c r="BZ683" t="s">
        <v>4456</v>
      </c>
      <c r="CD683">
        <v>15</v>
      </c>
      <c r="CH683" t="str">
        <f>""</f>
        <v/>
      </c>
      <c r="CS683" t="str">
        <f>""</f>
        <v/>
      </c>
    </row>
    <row r="684" spans="1:97" x14ac:dyDescent="0.25">
      <c r="A684" t="s">
        <v>4457</v>
      </c>
      <c r="B684" t="s">
        <v>4458</v>
      </c>
      <c r="C684" t="s">
        <v>4459</v>
      </c>
      <c r="D684" t="s">
        <v>4460</v>
      </c>
      <c r="E684" t="s">
        <v>4461</v>
      </c>
      <c r="F684" t="s">
        <v>108</v>
      </c>
      <c r="H684" t="s">
        <v>4462</v>
      </c>
      <c r="I684" t="s">
        <v>203</v>
      </c>
      <c r="J684" t="s">
        <v>111</v>
      </c>
      <c r="K684" t="str">
        <f>"85298"</f>
        <v>85298</v>
      </c>
      <c r="L684" t="s">
        <v>284</v>
      </c>
      <c r="M684" t="s">
        <v>4462</v>
      </c>
      <c r="N684" t="s">
        <v>203</v>
      </c>
      <c r="O684" t="s">
        <v>111</v>
      </c>
      <c r="P684" t="str">
        <f>"85298"</f>
        <v>85298</v>
      </c>
      <c r="Q684" t="s">
        <v>113</v>
      </c>
      <c r="R684" t="str">
        <f>"313-18-835"</f>
        <v>313-18-835</v>
      </c>
      <c r="S684" t="s">
        <v>3128</v>
      </c>
      <c r="T684" t="s">
        <v>1132</v>
      </c>
      <c r="U684">
        <v>2469</v>
      </c>
      <c r="W684">
        <v>3</v>
      </c>
      <c r="X684">
        <v>2016</v>
      </c>
      <c r="Z684">
        <v>1</v>
      </c>
      <c r="AA684" t="s">
        <v>26</v>
      </c>
      <c r="AC684" t="s">
        <v>115</v>
      </c>
      <c r="AD684">
        <v>2</v>
      </c>
      <c r="AE684" t="s">
        <v>115</v>
      </c>
      <c r="AH684" t="s">
        <v>116</v>
      </c>
      <c r="AI684" s="1">
        <v>29456</v>
      </c>
      <c r="AJ684" s="2">
        <v>7.0000000000000007E-2</v>
      </c>
      <c r="AK684" s="1">
        <v>450920</v>
      </c>
      <c r="AL684" t="s">
        <v>117</v>
      </c>
      <c r="AM684" t="s">
        <v>393</v>
      </c>
      <c r="AN684">
        <v>7800</v>
      </c>
      <c r="AO684">
        <v>0.18</v>
      </c>
      <c r="AR684">
        <v>1</v>
      </c>
      <c r="AS684" s="1">
        <v>32870</v>
      </c>
      <c r="AT684" s="1">
        <v>6570</v>
      </c>
      <c r="AU684" s="1">
        <v>26300</v>
      </c>
      <c r="AV684">
        <v>80.010000000000005</v>
      </c>
      <c r="AX684" s="1">
        <v>2546.46</v>
      </c>
      <c r="AY684" t="s">
        <v>1133</v>
      </c>
      <c r="AZ684" t="s">
        <v>1134</v>
      </c>
      <c r="BA684" t="s">
        <v>1134</v>
      </c>
      <c r="BE684" s="3">
        <v>42444</v>
      </c>
      <c r="BF684" s="1">
        <v>361518</v>
      </c>
      <c r="BG684" t="s">
        <v>292</v>
      </c>
      <c r="BH684" s="1">
        <v>146.41999999999999</v>
      </c>
      <c r="BI684" s="1">
        <v>421464</v>
      </c>
      <c r="BJ684" s="3">
        <v>42647</v>
      </c>
      <c r="BK684" t="s">
        <v>123</v>
      </c>
      <c r="BL684" t="str">
        <f>"2016.727883"</f>
        <v>2016.727883</v>
      </c>
      <c r="BM684" t="s">
        <v>1695</v>
      </c>
      <c r="BO684" t="s">
        <v>4463</v>
      </c>
      <c r="BS684">
        <v>30</v>
      </c>
      <c r="BW684" t="str">
        <f>""</f>
        <v/>
      </c>
      <c r="CH684" t="str">
        <f>""</f>
        <v/>
      </c>
      <c r="CS684" t="str">
        <f>""</f>
        <v/>
      </c>
    </row>
    <row r="685" spans="1:97" x14ac:dyDescent="0.25">
      <c r="A685" t="s">
        <v>305</v>
      </c>
      <c r="B685" t="s">
        <v>4464</v>
      </c>
      <c r="C685" t="s">
        <v>986</v>
      </c>
      <c r="D685" t="s">
        <v>4464</v>
      </c>
      <c r="E685" t="s">
        <v>4465</v>
      </c>
      <c r="F685" t="s">
        <v>108</v>
      </c>
      <c r="H685" t="s">
        <v>4466</v>
      </c>
      <c r="I685" t="s">
        <v>453</v>
      </c>
      <c r="J685" t="s">
        <v>111</v>
      </c>
      <c r="K685" t="str">
        <f>"85383"</f>
        <v>85383</v>
      </c>
      <c r="L685" t="s">
        <v>4467</v>
      </c>
      <c r="M685" t="s">
        <v>4466</v>
      </c>
      <c r="N685" t="s">
        <v>453</v>
      </c>
      <c r="O685" t="s">
        <v>111</v>
      </c>
      <c r="P685" t="str">
        <f>"85383-4533"</f>
        <v>85383-4533</v>
      </c>
      <c r="Q685" t="s">
        <v>113</v>
      </c>
      <c r="R685" t="str">
        <f>"510-08-634"</f>
        <v>510-08-634</v>
      </c>
      <c r="S685" t="s">
        <v>4468</v>
      </c>
      <c r="U685">
        <v>4132</v>
      </c>
      <c r="W685">
        <v>5</v>
      </c>
      <c r="X685">
        <v>2015</v>
      </c>
      <c r="Z685">
        <v>2</v>
      </c>
      <c r="AC685" t="s">
        <v>115</v>
      </c>
      <c r="AD685">
        <v>3</v>
      </c>
      <c r="AE685" t="s">
        <v>115</v>
      </c>
      <c r="AH685" t="s">
        <v>116</v>
      </c>
      <c r="AI685" s="1">
        <v>7208</v>
      </c>
      <c r="AJ685" s="2">
        <v>0.01</v>
      </c>
      <c r="AK685" s="1">
        <v>493316</v>
      </c>
      <c r="AL685" t="s">
        <v>117</v>
      </c>
      <c r="AM685" t="s">
        <v>118</v>
      </c>
      <c r="AN685">
        <v>9003</v>
      </c>
      <c r="AO685">
        <v>0.21</v>
      </c>
      <c r="AR685">
        <v>1</v>
      </c>
      <c r="AS685" s="1">
        <v>42330</v>
      </c>
      <c r="AT685" s="1">
        <v>8460</v>
      </c>
      <c r="AU685" s="1">
        <v>33870</v>
      </c>
      <c r="AV685">
        <v>80.010000000000005</v>
      </c>
      <c r="AX685" s="1">
        <v>3719.7</v>
      </c>
      <c r="AY685" t="s">
        <v>627</v>
      </c>
      <c r="AZ685" t="s">
        <v>627</v>
      </c>
      <c r="BA685" t="s">
        <v>457</v>
      </c>
      <c r="BE685" s="3">
        <v>42223</v>
      </c>
      <c r="BF685" s="1">
        <v>486637</v>
      </c>
      <c r="BG685" t="s">
        <v>209</v>
      </c>
      <c r="BH685" s="1">
        <v>117.77</v>
      </c>
      <c r="BI685" s="1">
        <v>486108</v>
      </c>
      <c r="BJ685" s="3">
        <v>42548</v>
      </c>
      <c r="BK685" t="s">
        <v>123</v>
      </c>
      <c r="BL685" t="str">
        <f>"2016.445644"</f>
        <v>2016.445644</v>
      </c>
      <c r="BM685" t="s">
        <v>322</v>
      </c>
      <c r="BO685" t="s">
        <v>4469</v>
      </c>
      <c r="BS685">
        <v>30</v>
      </c>
      <c r="BW685" t="str">
        <f>""</f>
        <v/>
      </c>
      <c r="CH685" t="str">
        <f>""</f>
        <v/>
      </c>
      <c r="CS685" t="str">
        <f>""</f>
        <v/>
      </c>
    </row>
    <row r="686" spans="1:97" x14ac:dyDescent="0.25">
      <c r="A686" t="s">
        <v>620</v>
      </c>
      <c r="B686" t="s">
        <v>3754</v>
      </c>
      <c r="C686" t="s">
        <v>852</v>
      </c>
      <c r="D686" t="s">
        <v>3754</v>
      </c>
      <c r="E686" t="s">
        <v>4470</v>
      </c>
      <c r="F686" t="s">
        <v>139</v>
      </c>
      <c r="H686" t="s">
        <v>4471</v>
      </c>
      <c r="I686" t="s">
        <v>3150</v>
      </c>
      <c r="J686" t="s">
        <v>111</v>
      </c>
      <c r="K686" t="str">
        <f>"85340"</f>
        <v>85340</v>
      </c>
      <c r="L686" t="s">
        <v>3151</v>
      </c>
      <c r="M686" t="s">
        <v>4472</v>
      </c>
      <c r="N686" t="s">
        <v>3150</v>
      </c>
      <c r="O686" t="s">
        <v>111</v>
      </c>
      <c r="P686" t="str">
        <f>"85340"</f>
        <v>85340</v>
      </c>
      <c r="Q686" t="s">
        <v>113</v>
      </c>
      <c r="R686" t="str">
        <f>"501-73-778"</f>
        <v>501-73-778</v>
      </c>
      <c r="S686" t="s">
        <v>3152</v>
      </c>
      <c r="U686">
        <v>2831</v>
      </c>
      <c r="W686">
        <v>5</v>
      </c>
      <c r="X686">
        <v>2015</v>
      </c>
      <c r="Z686">
        <v>1</v>
      </c>
      <c r="AC686" t="s">
        <v>115</v>
      </c>
      <c r="AD686">
        <v>2</v>
      </c>
      <c r="AE686" t="s">
        <v>115</v>
      </c>
      <c r="AH686" t="s">
        <v>116</v>
      </c>
      <c r="AI686" s="1">
        <v>162469</v>
      </c>
      <c r="AJ686" s="2">
        <v>0.36</v>
      </c>
      <c r="AK686" s="1">
        <v>451827</v>
      </c>
      <c r="AL686" t="s">
        <v>117</v>
      </c>
      <c r="AM686" t="s">
        <v>118</v>
      </c>
      <c r="AN686">
        <v>7817</v>
      </c>
      <c r="AO686">
        <v>0.18</v>
      </c>
      <c r="AR686">
        <v>1</v>
      </c>
      <c r="AS686" s="1">
        <v>30710</v>
      </c>
      <c r="AT686" s="1">
        <v>6140</v>
      </c>
      <c r="AU686" s="1">
        <v>24570</v>
      </c>
      <c r="AV686">
        <v>80.010000000000005</v>
      </c>
      <c r="AX686" s="1">
        <v>2704.5</v>
      </c>
      <c r="AY686" t="s">
        <v>3019</v>
      </c>
      <c r="AZ686" t="s">
        <v>3153</v>
      </c>
      <c r="BA686" t="s">
        <v>3154</v>
      </c>
      <c r="BE686" s="3">
        <v>42292</v>
      </c>
      <c r="BF686" s="1">
        <v>384972</v>
      </c>
      <c r="BG686" t="s">
        <v>636</v>
      </c>
      <c r="BH686" s="1">
        <v>135.97999999999999</v>
      </c>
      <c r="BI686" s="1">
        <v>289358</v>
      </c>
      <c r="BJ686" s="3">
        <v>42619</v>
      </c>
      <c r="BK686" t="s">
        <v>123</v>
      </c>
      <c r="BL686" t="str">
        <f>"2016.643930"</f>
        <v>2016.643930</v>
      </c>
      <c r="BM686" t="s">
        <v>709</v>
      </c>
      <c r="BO686" t="s">
        <v>4473</v>
      </c>
      <c r="BS686">
        <v>30</v>
      </c>
      <c r="BW686" t="str">
        <f>""</f>
        <v/>
      </c>
      <c r="CH686" t="str">
        <f>""</f>
        <v/>
      </c>
      <c r="CS686" t="str">
        <f>""</f>
        <v/>
      </c>
    </row>
    <row r="687" spans="1:97" x14ac:dyDescent="0.25">
      <c r="A687" t="s">
        <v>4474</v>
      </c>
      <c r="B687" t="s">
        <v>4475</v>
      </c>
      <c r="C687" t="s">
        <v>4476</v>
      </c>
      <c r="D687" t="s">
        <v>4475</v>
      </c>
      <c r="E687" t="s">
        <v>4477</v>
      </c>
      <c r="F687" t="s">
        <v>108</v>
      </c>
      <c r="H687" t="s">
        <v>4478</v>
      </c>
      <c r="I687" t="s">
        <v>203</v>
      </c>
      <c r="J687" t="s">
        <v>111</v>
      </c>
      <c r="K687" t="str">
        <f>"85298"</f>
        <v>85298</v>
      </c>
      <c r="L687" t="s">
        <v>734</v>
      </c>
      <c r="M687" t="s">
        <v>4478</v>
      </c>
      <c r="N687" t="s">
        <v>203</v>
      </c>
      <c r="O687" t="s">
        <v>111</v>
      </c>
      <c r="P687" t="str">
        <f>"85298"</f>
        <v>85298</v>
      </c>
      <c r="R687" t="str">
        <f>"313-18-372"</f>
        <v>313-18-372</v>
      </c>
      <c r="S687" t="s">
        <v>4479</v>
      </c>
      <c r="U687">
        <v>3615</v>
      </c>
      <c r="W687">
        <v>4</v>
      </c>
      <c r="X687">
        <v>2016</v>
      </c>
      <c r="Z687">
        <v>1</v>
      </c>
      <c r="AA687" t="s">
        <v>26</v>
      </c>
      <c r="AC687" t="s">
        <v>115</v>
      </c>
      <c r="AD687">
        <v>3</v>
      </c>
      <c r="AE687" t="s">
        <v>115</v>
      </c>
      <c r="AH687" t="s">
        <v>116</v>
      </c>
      <c r="AI687" s="1">
        <v>73028</v>
      </c>
      <c r="AJ687" s="2">
        <v>0.12</v>
      </c>
      <c r="AK687" s="1">
        <v>610799</v>
      </c>
      <c r="AL687" t="s">
        <v>117</v>
      </c>
      <c r="AM687" t="s">
        <v>1302</v>
      </c>
      <c r="AN687">
        <v>11050</v>
      </c>
      <c r="AO687">
        <v>0.25</v>
      </c>
      <c r="AR687">
        <v>1</v>
      </c>
      <c r="AS687" s="1">
        <v>47270</v>
      </c>
      <c r="AT687" s="1">
        <v>9450</v>
      </c>
      <c r="AU687" s="1">
        <v>37820</v>
      </c>
      <c r="AV687">
        <v>80.010000000000005</v>
      </c>
      <c r="AX687" s="1">
        <v>3350.48</v>
      </c>
      <c r="AY687" t="s">
        <v>737</v>
      </c>
      <c r="AZ687" t="s">
        <v>273</v>
      </c>
      <c r="BA687" t="s">
        <v>303</v>
      </c>
      <c r="BE687" s="3">
        <v>42551</v>
      </c>
      <c r="BF687" s="1">
        <v>511365</v>
      </c>
      <c r="BG687" t="s">
        <v>195</v>
      </c>
      <c r="BH687" s="1">
        <v>141.46</v>
      </c>
      <c r="BI687" s="1">
        <v>487771</v>
      </c>
      <c r="BJ687" s="3">
        <v>42551</v>
      </c>
      <c r="BK687" t="s">
        <v>123</v>
      </c>
      <c r="BL687" t="str">
        <f>"2016.463086"</f>
        <v>2016.463086</v>
      </c>
      <c r="BM687" t="s">
        <v>196</v>
      </c>
      <c r="BN687" t="s">
        <v>1442</v>
      </c>
      <c r="BO687" t="s">
        <v>4480</v>
      </c>
      <c r="BS687">
        <v>30</v>
      </c>
      <c r="BT687" s="1">
        <v>50000</v>
      </c>
      <c r="BU687" s="3">
        <v>43734</v>
      </c>
      <c r="BW687" t="str">
        <f>"2019.759598"</f>
        <v>2019.759598</v>
      </c>
      <c r="BX687" t="s">
        <v>342</v>
      </c>
      <c r="BY687" t="s">
        <v>343</v>
      </c>
      <c r="BZ687" t="s">
        <v>4481</v>
      </c>
      <c r="CA687" t="s">
        <v>4482</v>
      </c>
      <c r="CC687" t="s">
        <v>346</v>
      </c>
      <c r="CH687" t="str">
        <f>""</f>
        <v/>
      </c>
      <c r="CS687" t="str">
        <f>""</f>
        <v/>
      </c>
    </row>
    <row r="688" spans="1:97" x14ac:dyDescent="0.25">
      <c r="A688" t="s">
        <v>4483</v>
      </c>
      <c r="B688" t="s">
        <v>4484</v>
      </c>
      <c r="C688" t="s">
        <v>259</v>
      </c>
      <c r="D688" t="s">
        <v>4485</v>
      </c>
      <c r="E688" t="s">
        <v>4486</v>
      </c>
      <c r="F688" t="s">
        <v>108</v>
      </c>
      <c r="H688" t="s">
        <v>4487</v>
      </c>
      <c r="I688" t="s">
        <v>110</v>
      </c>
      <c r="J688" t="s">
        <v>111</v>
      </c>
      <c r="K688" t="str">
        <f>"85286"</f>
        <v>85286</v>
      </c>
      <c r="L688" t="s">
        <v>4326</v>
      </c>
      <c r="M688" t="s">
        <v>4487</v>
      </c>
      <c r="N688" t="s">
        <v>110</v>
      </c>
      <c r="O688" t="s">
        <v>111</v>
      </c>
      <c r="P688" t="str">
        <f>"85286"</f>
        <v>85286</v>
      </c>
      <c r="Q688" t="s">
        <v>113</v>
      </c>
      <c r="R688" t="str">
        <f>"313-19-606"</f>
        <v>313-19-606</v>
      </c>
      <c r="S688" t="s">
        <v>4488</v>
      </c>
      <c r="T688" t="s">
        <v>4489</v>
      </c>
      <c r="U688">
        <v>1759</v>
      </c>
      <c r="W688">
        <v>3</v>
      </c>
      <c r="X688">
        <v>2015</v>
      </c>
      <c r="Z688">
        <v>1</v>
      </c>
      <c r="AC688" t="s">
        <v>115</v>
      </c>
      <c r="AD688">
        <v>2</v>
      </c>
      <c r="AE688" t="s">
        <v>115</v>
      </c>
      <c r="AH688" t="s">
        <v>116</v>
      </c>
      <c r="AI688" s="1">
        <v>109525</v>
      </c>
      <c r="AJ688" s="2">
        <v>0.3</v>
      </c>
      <c r="AK688" s="1">
        <v>362134</v>
      </c>
      <c r="AL688" t="s">
        <v>117</v>
      </c>
      <c r="AM688" t="s">
        <v>118</v>
      </c>
      <c r="AN688">
        <v>5500</v>
      </c>
      <c r="AO688">
        <v>0.13</v>
      </c>
      <c r="AR688">
        <v>1</v>
      </c>
      <c r="AS688" s="1">
        <v>25920</v>
      </c>
      <c r="AT688" s="1">
        <v>5180</v>
      </c>
      <c r="AU688" s="1">
        <v>20740</v>
      </c>
      <c r="AV688">
        <v>80.02</v>
      </c>
      <c r="AX688" s="1">
        <v>1825.38</v>
      </c>
      <c r="AY688" t="s">
        <v>737</v>
      </c>
      <c r="AZ688" t="s">
        <v>120</v>
      </c>
      <c r="BA688" t="s">
        <v>303</v>
      </c>
      <c r="BE688" s="3">
        <v>42489</v>
      </c>
      <c r="BF688" s="1">
        <v>299491</v>
      </c>
      <c r="BG688" t="s">
        <v>275</v>
      </c>
      <c r="BH688" s="1">
        <v>170.26</v>
      </c>
      <c r="BI688" s="1">
        <v>252609</v>
      </c>
      <c r="BJ688" s="3">
        <v>42489</v>
      </c>
      <c r="BK688" t="s">
        <v>123</v>
      </c>
      <c r="BL688" t="str">
        <f>"2016.291952"</f>
        <v>2016.291952</v>
      </c>
      <c r="BM688" t="s">
        <v>651</v>
      </c>
      <c r="BO688" t="s">
        <v>4490</v>
      </c>
      <c r="BS688">
        <v>30</v>
      </c>
      <c r="BW688" t="str">
        <f>""</f>
        <v/>
      </c>
      <c r="CH688" t="str">
        <f>""</f>
        <v/>
      </c>
      <c r="CS688" t="str">
        <f>""</f>
        <v/>
      </c>
    </row>
    <row r="689" spans="1:97" x14ac:dyDescent="0.25">
      <c r="A689" t="s">
        <v>4491</v>
      </c>
      <c r="B689" t="s">
        <v>4492</v>
      </c>
      <c r="C689" t="s">
        <v>4493</v>
      </c>
      <c r="D689" t="s">
        <v>4492</v>
      </c>
      <c r="E689" t="s">
        <v>4494</v>
      </c>
      <c r="F689" t="s">
        <v>108</v>
      </c>
      <c r="H689" t="s">
        <v>4495</v>
      </c>
      <c r="I689" t="s">
        <v>453</v>
      </c>
      <c r="J689" t="s">
        <v>111</v>
      </c>
      <c r="K689" t="str">
        <f>"85383"</f>
        <v>85383</v>
      </c>
      <c r="L689" t="s">
        <v>1383</v>
      </c>
      <c r="M689" t="s">
        <v>4495</v>
      </c>
      <c r="N689" t="s">
        <v>453</v>
      </c>
      <c r="O689" t="s">
        <v>111</v>
      </c>
      <c r="P689" t="str">
        <f>"85383-6321"</f>
        <v>85383-6321</v>
      </c>
      <c r="Q689" t="s">
        <v>113</v>
      </c>
      <c r="R689" t="str">
        <f>"201-20-730"</f>
        <v>201-20-730</v>
      </c>
      <c r="S689" t="s">
        <v>1384</v>
      </c>
      <c r="U689">
        <v>2685</v>
      </c>
      <c r="W689">
        <v>4</v>
      </c>
      <c r="X689">
        <v>2015</v>
      </c>
      <c r="Z689">
        <v>2</v>
      </c>
      <c r="AC689" t="s">
        <v>115</v>
      </c>
      <c r="AD689">
        <v>3</v>
      </c>
      <c r="AE689" t="s">
        <v>115</v>
      </c>
      <c r="AH689" t="s">
        <v>116</v>
      </c>
      <c r="AI689" s="1">
        <v>34920</v>
      </c>
      <c r="AJ689" s="2">
        <v>0.09</v>
      </c>
      <c r="AK689" s="1">
        <v>390401</v>
      </c>
      <c r="AL689" t="s">
        <v>117</v>
      </c>
      <c r="AM689" t="s">
        <v>118</v>
      </c>
      <c r="AN689">
        <v>6533</v>
      </c>
      <c r="AO689">
        <v>0.15</v>
      </c>
      <c r="AR689">
        <v>1</v>
      </c>
      <c r="AS689" s="1">
        <v>29220</v>
      </c>
      <c r="AT689" s="1">
        <v>5840</v>
      </c>
      <c r="AU689" s="1">
        <v>23380</v>
      </c>
      <c r="AV689">
        <v>80.010000000000005</v>
      </c>
      <c r="AX689" s="1">
        <v>2275.08</v>
      </c>
      <c r="AY689" t="s">
        <v>1385</v>
      </c>
      <c r="AZ689" t="s">
        <v>1385</v>
      </c>
      <c r="BA689" t="s">
        <v>1386</v>
      </c>
      <c r="BE689" s="3">
        <v>42429</v>
      </c>
      <c r="BF689" s="1">
        <v>329990</v>
      </c>
      <c r="BG689" t="s">
        <v>195</v>
      </c>
      <c r="BH689" s="1">
        <v>122.9</v>
      </c>
      <c r="BI689" s="1">
        <v>329990</v>
      </c>
      <c r="BJ689" s="3">
        <v>42429</v>
      </c>
      <c r="BK689" t="s">
        <v>123</v>
      </c>
      <c r="BL689" t="str">
        <f>"2016.130139"</f>
        <v>2016.130139</v>
      </c>
      <c r="BM689" t="s">
        <v>196</v>
      </c>
      <c r="BN689" t="s">
        <v>1442</v>
      </c>
      <c r="BO689" t="s">
        <v>4496</v>
      </c>
      <c r="BS689">
        <v>30</v>
      </c>
      <c r="BT689" s="1">
        <v>25491</v>
      </c>
      <c r="BU689" s="3">
        <v>43307</v>
      </c>
      <c r="BV689" t="s">
        <v>134</v>
      </c>
      <c r="BW689" t="str">
        <f>"2018.565226"</f>
        <v>2018.565226</v>
      </c>
      <c r="BX689" t="s">
        <v>135</v>
      </c>
      <c r="BY689" t="s">
        <v>136</v>
      </c>
      <c r="BZ689" t="s">
        <v>4497</v>
      </c>
      <c r="CA689" t="s">
        <v>4498</v>
      </c>
      <c r="CC689" t="s">
        <v>139</v>
      </c>
      <c r="CH689" t="str">
        <f>""</f>
        <v/>
      </c>
      <c r="CS689" t="str">
        <f>""</f>
        <v/>
      </c>
    </row>
    <row r="690" spans="1:97" x14ac:dyDescent="0.25">
      <c r="A690" t="s">
        <v>3023</v>
      </c>
      <c r="B690" t="s">
        <v>4499</v>
      </c>
      <c r="C690" t="s">
        <v>4500</v>
      </c>
      <c r="D690" t="s">
        <v>4499</v>
      </c>
      <c r="E690" t="s">
        <v>4501</v>
      </c>
      <c r="F690" t="s">
        <v>108</v>
      </c>
      <c r="H690" t="s">
        <v>4502</v>
      </c>
      <c r="I690" t="s">
        <v>225</v>
      </c>
      <c r="J690" t="s">
        <v>111</v>
      </c>
      <c r="K690" t="str">
        <f>"85212"</f>
        <v>85212</v>
      </c>
      <c r="L690" t="s">
        <v>3285</v>
      </c>
      <c r="M690" t="s">
        <v>4502</v>
      </c>
      <c r="N690" t="s">
        <v>225</v>
      </c>
      <c r="O690" t="s">
        <v>111</v>
      </c>
      <c r="P690" t="str">
        <f>"85212-9400"</f>
        <v>85212-9400</v>
      </c>
      <c r="R690" t="str">
        <f>"304-94-185"</f>
        <v>304-94-185</v>
      </c>
      <c r="S690" t="s">
        <v>3286</v>
      </c>
      <c r="U690">
        <v>2475</v>
      </c>
      <c r="W690">
        <v>3</v>
      </c>
      <c r="X690">
        <v>2015</v>
      </c>
      <c r="Z690">
        <v>1</v>
      </c>
      <c r="AC690" t="s">
        <v>115</v>
      </c>
      <c r="AD690">
        <v>3</v>
      </c>
      <c r="AE690" t="s">
        <v>115</v>
      </c>
      <c r="AH690" t="s">
        <v>116</v>
      </c>
      <c r="AI690" s="1">
        <v>63280</v>
      </c>
      <c r="AJ690" s="2">
        <v>0.16</v>
      </c>
      <c r="AK690" s="1">
        <v>403147</v>
      </c>
      <c r="AL690" t="s">
        <v>117</v>
      </c>
      <c r="AM690" t="s">
        <v>118</v>
      </c>
      <c r="AN690">
        <v>9669</v>
      </c>
      <c r="AO690">
        <v>0.22</v>
      </c>
      <c r="AR690">
        <v>1</v>
      </c>
      <c r="AS690" s="1">
        <v>29620</v>
      </c>
      <c r="AT690" s="1">
        <v>5920</v>
      </c>
      <c r="AU690" s="1">
        <v>23700</v>
      </c>
      <c r="AV690">
        <v>80.010000000000005</v>
      </c>
      <c r="AX690" s="1">
        <v>3617.42</v>
      </c>
      <c r="AY690" t="s">
        <v>560</v>
      </c>
      <c r="AZ690" t="s">
        <v>561</v>
      </c>
      <c r="BA690" t="s">
        <v>194</v>
      </c>
      <c r="BE690" s="3">
        <v>42275</v>
      </c>
      <c r="BF690" s="1">
        <v>332714</v>
      </c>
      <c r="BG690" t="s">
        <v>645</v>
      </c>
      <c r="BH690" s="1">
        <v>134.43</v>
      </c>
      <c r="BI690" s="1">
        <v>339867</v>
      </c>
      <c r="BJ690" s="3">
        <v>42275</v>
      </c>
      <c r="BK690" t="s">
        <v>123</v>
      </c>
      <c r="BL690" t="str">
        <f>"2015.697445"</f>
        <v>2015.697445</v>
      </c>
      <c r="BM690" t="s">
        <v>3063</v>
      </c>
      <c r="BN690" t="s">
        <v>461</v>
      </c>
      <c r="BO690" t="s">
        <v>4503</v>
      </c>
      <c r="BS690">
        <v>30</v>
      </c>
      <c r="BW690" t="str">
        <f>""</f>
        <v/>
      </c>
      <c r="CH690" t="str">
        <f>""</f>
        <v/>
      </c>
      <c r="CS690" t="str">
        <f>""</f>
        <v/>
      </c>
    </row>
    <row r="691" spans="1:97" x14ac:dyDescent="0.25">
      <c r="A691" t="s">
        <v>703</v>
      </c>
      <c r="B691" t="s">
        <v>4504</v>
      </c>
      <c r="E691" t="s">
        <v>4505</v>
      </c>
      <c r="F691" t="s">
        <v>108</v>
      </c>
      <c r="H691" t="s">
        <v>4506</v>
      </c>
      <c r="I691" t="s">
        <v>203</v>
      </c>
      <c r="J691" t="s">
        <v>111</v>
      </c>
      <c r="K691" t="str">
        <f>"85298"</f>
        <v>85298</v>
      </c>
      <c r="L691" t="s">
        <v>734</v>
      </c>
      <c r="M691" t="s">
        <v>4507</v>
      </c>
      <c r="N691" t="s">
        <v>203</v>
      </c>
      <c r="O691" t="s">
        <v>111</v>
      </c>
      <c r="P691" t="str">
        <f>"85298"</f>
        <v>85298</v>
      </c>
      <c r="Q691" t="s">
        <v>113</v>
      </c>
      <c r="R691" t="str">
        <f>"313-18-505"</f>
        <v>313-18-505</v>
      </c>
      <c r="S691" t="s">
        <v>736</v>
      </c>
      <c r="U691">
        <v>2397</v>
      </c>
      <c r="W691">
        <v>4</v>
      </c>
      <c r="X691">
        <v>2015</v>
      </c>
      <c r="Z691">
        <v>1</v>
      </c>
      <c r="AC691" t="s">
        <v>115</v>
      </c>
      <c r="AD691">
        <v>3</v>
      </c>
      <c r="AE691" t="s">
        <v>115</v>
      </c>
      <c r="AH691" t="s">
        <v>116</v>
      </c>
      <c r="AI691" s="1">
        <v>65880</v>
      </c>
      <c r="AJ691" s="2">
        <v>0.15</v>
      </c>
      <c r="AK691" s="1">
        <v>454039</v>
      </c>
      <c r="AL691" t="s">
        <v>117</v>
      </c>
      <c r="AM691" t="s">
        <v>393</v>
      </c>
      <c r="AN691">
        <v>7800</v>
      </c>
      <c r="AO691">
        <v>0.18</v>
      </c>
      <c r="AR691">
        <v>1</v>
      </c>
      <c r="AS691" s="1">
        <v>32060</v>
      </c>
      <c r="AT691" s="1">
        <v>6410</v>
      </c>
      <c r="AU691" s="1">
        <v>25650</v>
      </c>
      <c r="AV691">
        <v>80.010000000000005</v>
      </c>
      <c r="AX691" s="1">
        <v>2438.6799999999998</v>
      </c>
      <c r="AY691" t="s">
        <v>737</v>
      </c>
      <c r="AZ691" t="s">
        <v>273</v>
      </c>
      <c r="BA691" t="s">
        <v>303</v>
      </c>
      <c r="BE691" s="3">
        <v>42424</v>
      </c>
      <c r="BF691" s="1">
        <v>379990</v>
      </c>
      <c r="BG691" t="s">
        <v>195</v>
      </c>
      <c r="BH691" s="1">
        <v>158.53</v>
      </c>
      <c r="BI691" s="1">
        <v>388159</v>
      </c>
      <c r="BJ691" s="3">
        <v>42424</v>
      </c>
      <c r="BK691" t="s">
        <v>123</v>
      </c>
      <c r="BL691" t="str">
        <f>"2016.115991"</f>
        <v>2016.115991</v>
      </c>
      <c r="BM691" t="s">
        <v>196</v>
      </c>
      <c r="BO691" t="s">
        <v>4508</v>
      </c>
      <c r="BS691">
        <v>30</v>
      </c>
      <c r="BW691" t="str">
        <f>""</f>
        <v/>
      </c>
      <c r="CH691" t="str">
        <f>""</f>
        <v/>
      </c>
      <c r="CS691" t="str">
        <f>""</f>
        <v/>
      </c>
    </row>
    <row r="692" spans="1:97" x14ac:dyDescent="0.25">
      <c r="A692" t="s">
        <v>4509</v>
      </c>
      <c r="B692" t="s">
        <v>4510</v>
      </c>
      <c r="C692" t="s">
        <v>128</v>
      </c>
      <c r="D692" t="s">
        <v>4510</v>
      </c>
      <c r="E692" t="s">
        <v>4511</v>
      </c>
      <c r="F692" t="s">
        <v>108</v>
      </c>
      <c r="H692" t="s">
        <v>4512</v>
      </c>
      <c r="I692" t="s">
        <v>110</v>
      </c>
      <c r="J692" t="s">
        <v>111</v>
      </c>
      <c r="K692" t="str">
        <f>"85286"</f>
        <v>85286</v>
      </c>
      <c r="L692" t="s">
        <v>4326</v>
      </c>
      <c r="M692" t="s">
        <v>4512</v>
      </c>
      <c r="N692" t="s">
        <v>110</v>
      </c>
      <c r="O692" t="s">
        <v>111</v>
      </c>
      <c r="P692" t="str">
        <f>"85286"</f>
        <v>85286</v>
      </c>
      <c r="Q692" t="s">
        <v>113</v>
      </c>
      <c r="R692" t="str">
        <f>"313-19-591"</f>
        <v>313-19-591</v>
      </c>
      <c r="S692" t="s">
        <v>4488</v>
      </c>
      <c r="T692" t="s">
        <v>4489</v>
      </c>
      <c r="U692">
        <v>1759</v>
      </c>
      <c r="W692">
        <v>3</v>
      </c>
      <c r="X692">
        <v>2016</v>
      </c>
      <c r="Z692">
        <v>1</v>
      </c>
      <c r="AC692" t="s">
        <v>115</v>
      </c>
      <c r="AD692">
        <v>2</v>
      </c>
      <c r="AE692" t="s">
        <v>115</v>
      </c>
      <c r="AH692" t="s">
        <v>116</v>
      </c>
      <c r="AI692" s="1">
        <v>62203</v>
      </c>
      <c r="AJ692" s="2">
        <v>0.17</v>
      </c>
      <c r="AK692" s="1">
        <v>360317</v>
      </c>
      <c r="AL692" t="s">
        <v>117</v>
      </c>
      <c r="AM692" t="s">
        <v>118</v>
      </c>
      <c r="AN692">
        <v>5500</v>
      </c>
      <c r="AO692">
        <v>0.13</v>
      </c>
      <c r="AR692">
        <v>1</v>
      </c>
      <c r="AS692" s="1">
        <v>25550</v>
      </c>
      <c r="AT692" s="1">
        <v>5110</v>
      </c>
      <c r="AU692" s="1">
        <v>20440</v>
      </c>
      <c r="AV692">
        <v>80</v>
      </c>
      <c r="AX692" s="1">
        <v>1825.38</v>
      </c>
      <c r="AY692" t="s">
        <v>737</v>
      </c>
      <c r="AZ692" t="s">
        <v>120</v>
      </c>
      <c r="BA692" t="s">
        <v>303</v>
      </c>
      <c r="BE692" s="3">
        <v>42545</v>
      </c>
      <c r="BF692" s="1">
        <v>291840</v>
      </c>
      <c r="BG692" t="s">
        <v>275</v>
      </c>
      <c r="BH692" s="1">
        <v>165.91</v>
      </c>
      <c r="BI692" s="1">
        <v>298114</v>
      </c>
      <c r="BJ692" s="3">
        <v>42545</v>
      </c>
      <c r="BK692" t="s">
        <v>123</v>
      </c>
      <c r="BL692" t="str">
        <f>"2016.444706"</f>
        <v>2016.444706</v>
      </c>
      <c r="BM692" t="s">
        <v>651</v>
      </c>
      <c r="BO692" t="s">
        <v>4513</v>
      </c>
      <c r="BS692">
        <v>30</v>
      </c>
      <c r="BW692" t="str">
        <f>""</f>
        <v/>
      </c>
      <c r="CH692" t="str">
        <f>""</f>
        <v/>
      </c>
      <c r="CS692" t="str">
        <f>""</f>
        <v/>
      </c>
    </row>
    <row r="693" spans="1:97" x14ac:dyDescent="0.25">
      <c r="A693" t="s">
        <v>2729</v>
      </c>
      <c r="B693" t="s">
        <v>4514</v>
      </c>
      <c r="C693" t="s">
        <v>4515</v>
      </c>
      <c r="D693" t="s">
        <v>1144</v>
      </c>
      <c r="E693" t="s">
        <v>4516</v>
      </c>
      <c r="F693" t="s">
        <v>108</v>
      </c>
      <c r="H693" t="s">
        <v>4517</v>
      </c>
      <c r="I693" t="s">
        <v>453</v>
      </c>
      <c r="J693" t="s">
        <v>111</v>
      </c>
      <c r="K693" t="str">
        <f>"85383"</f>
        <v>85383</v>
      </c>
      <c r="L693" t="s">
        <v>516</v>
      </c>
      <c r="M693" t="s">
        <v>4517</v>
      </c>
      <c r="N693" t="s">
        <v>453</v>
      </c>
      <c r="O693" t="s">
        <v>111</v>
      </c>
      <c r="P693" t="str">
        <f>"85383-5738"</f>
        <v>85383-5738</v>
      </c>
      <c r="Q693" t="s">
        <v>113</v>
      </c>
      <c r="R693" t="str">
        <f>"201-30-329"</f>
        <v>201-30-329</v>
      </c>
      <c r="S693" t="s">
        <v>4518</v>
      </c>
      <c r="T693" t="s">
        <v>4519</v>
      </c>
      <c r="U693">
        <v>3293</v>
      </c>
      <c r="W693">
        <v>6</v>
      </c>
      <c r="X693">
        <v>2015</v>
      </c>
      <c r="Z693">
        <v>2</v>
      </c>
      <c r="AA693" t="s">
        <v>26</v>
      </c>
      <c r="AC693" t="s">
        <v>115</v>
      </c>
      <c r="AD693">
        <v>3</v>
      </c>
      <c r="AE693" t="s">
        <v>115</v>
      </c>
      <c r="AH693" t="s">
        <v>116</v>
      </c>
      <c r="AI693" s="1">
        <v>102457</v>
      </c>
      <c r="AJ693" s="2">
        <v>0.21</v>
      </c>
      <c r="AK693" s="1">
        <v>485303</v>
      </c>
      <c r="AL693" t="s">
        <v>117</v>
      </c>
      <c r="AM693" t="s">
        <v>118</v>
      </c>
      <c r="AN693">
        <v>7200</v>
      </c>
      <c r="AO693">
        <v>0.16</v>
      </c>
      <c r="AR693">
        <v>1</v>
      </c>
      <c r="AS693" s="1">
        <v>36970</v>
      </c>
      <c r="AT693" s="1">
        <v>7390</v>
      </c>
      <c r="AU693" s="1">
        <v>29580</v>
      </c>
      <c r="AV693">
        <v>80.010000000000005</v>
      </c>
      <c r="AX693" s="1">
        <v>3139.28</v>
      </c>
      <c r="AY693" t="s">
        <v>4520</v>
      </c>
      <c r="AZ693" t="s">
        <v>4520</v>
      </c>
      <c r="BA693" t="s">
        <v>4219</v>
      </c>
      <c r="BE693" s="3">
        <v>42312</v>
      </c>
      <c r="BF693" s="1">
        <v>382846</v>
      </c>
      <c r="BG693" t="s">
        <v>446</v>
      </c>
      <c r="BH693" s="1">
        <v>116.26</v>
      </c>
      <c r="BI693" s="1">
        <v>382846</v>
      </c>
      <c r="BJ693" s="3">
        <v>42312</v>
      </c>
      <c r="BK693" t="s">
        <v>123</v>
      </c>
      <c r="BL693" t="str">
        <f>"2015.792291"</f>
        <v>2015.792291</v>
      </c>
      <c r="BM693" t="s">
        <v>573</v>
      </c>
      <c r="BO693" t="s">
        <v>4521</v>
      </c>
      <c r="BP693" t="s">
        <v>4522</v>
      </c>
      <c r="BS693">
        <v>30</v>
      </c>
      <c r="BW693" t="str">
        <f>""</f>
        <v/>
      </c>
      <c r="CH693" t="str">
        <f>""</f>
        <v/>
      </c>
      <c r="CS693" t="str">
        <f>""</f>
        <v/>
      </c>
    </row>
    <row r="694" spans="1:97" x14ac:dyDescent="0.25">
      <c r="A694" t="s">
        <v>2536</v>
      </c>
      <c r="B694" t="s">
        <v>4523</v>
      </c>
      <c r="C694" t="s">
        <v>179</v>
      </c>
      <c r="D694" t="s">
        <v>4523</v>
      </c>
      <c r="E694" t="s">
        <v>4524</v>
      </c>
      <c r="F694" t="s">
        <v>108</v>
      </c>
      <c r="H694" t="s">
        <v>4525</v>
      </c>
      <c r="I694" t="s">
        <v>203</v>
      </c>
      <c r="J694" t="s">
        <v>111</v>
      </c>
      <c r="K694" t="str">
        <f>"85298"</f>
        <v>85298</v>
      </c>
      <c r="L694" t="s">
        <v>681</v>
      </c>
      <c r="M694" t="s">
        <v>4525</v>
      </c>
      <c r="N694" t="s">
        <v>203</v>
      </c>
      <c r="O694" t="s">
        <v>111</v>
      </c>
      <c r="P694" t="str">
        <f>"85298"</f>
        <v>85298</v>
      </c>
      <c r="Q694" t="s">
        <v>113</v>
      </c>
      <c r="R694" t="str">
        <f>"304-75-951"</f>
        <v>304-75-951</v>
      </c>
      <c r="S694" t="s">
        <v>3399</v>
      </c>
      <c r="T694" t="s">
        <v>287</v>
      </c>
      <c r="U694">
        <v>3392</v>
      </c>
      <c r="W694">
        <v>4</v>
      </c>
      <c r="X694">
        <v>2015</v>
      </c>
      <c r="Z694">
        <v>1</v>
      </c>
      <c r="AC694" t="s">
        <v>115</v>
      </c>
      <c r="AD694">
        <v>2</v>
      </c>
      <c r="AE694" t="s">
        <v>115</v>
      </c>
      <c r="AH694" t="s">
        <v>116</v>
      </c>
      <c r="AI694" s="1">
        <v>193204</v>
      </c>
      <c r="AJ694" s="2">
        <v>0.37</v>
      </c>
      <c r="AK694" s="1">
        <v>524117</v>
      </c>
      <c r="AL694" t="s">
        <v>117</v>
      </c>
      <c r="AM694" t="s">
        <v>288</v>
      </c>
      <c r="AN694">
        <v>9020</v>
      </c>
      <c r="AO694">
        <v>0.21</v>
      </c>
      <c r="AR694">
        <v>1</v>
      </c>
      <c r="AS694" s="1">
        <v>38450</v>
      </c>
      <c r="AT694" s="1">
        <v>7690</v>
      </c>
      <c r="AU694" s="1">
        <v>30760</v>
      </c>
      <c r="AV694">
        <v>80</v>
      </c>
      <c r="AX694" s="1">
        <v>3177.52</v>
      </c>
      <c r="AY694" t="s">
        <v>289</v>
      </c>
      <c r="AZ694" t="s">
        <v>289</v>
      </c>
      <c r="BA694" t="s">
        <v>290</v>
      </c>
      <c r="BE694" s="3">
        <v>42307</v>
      </c>
      <c r="BF694" s="1">
        <v>380629</v>
      </c>
      <c r="BG694" t="s">
        <v>446</v>
      </c>
      <c r="BH694" s="1">
        <v>112.21</v>
      </c>
      <c r="BI694" s="1">
        <v>330913</v>
      </c>
      <c r="BJ694" s="3">
        <v>42381</v>
      </c>
      <c r="BK694" t="s">
        <v>123</v>
      </c>
      <c r="BL694" t="str">
        <f>"2016.20367"</f>
        <v>2016.20367</v>
      </c>
      <c r="BM694" t="s">
        <v>361</v>
      </c>
      <c r="BO694" t="s">
        <v>4526</v>
      </c>
      <c r="BS694">
        <v>30</v>
      </c>
      <c r="BW694" t="str">
        <f>""</f>
        <v/>
      </c>
      <c r="CH694" t="str">
        <f>""</f>
        <v/>
      </c>
      <c r="CS694" t="str">
        <f>""</f>
        <v/>
      </c>
    </row>
    <row r="695" spans="1:97" x14ac:dyDescent="0.25">
      <c r="A695" t="s">
        <v>639</v>
      </c>
      <c r="B695" t="s">
        <v>4527</v>
      </c>
      <c r="E695" t="s">
        <v>4528</v>
      </c>
      <c r="F695" t="s">
        <v>108</v>
      </c>
      <c r="H695" t="s">
        <v>4529</v>
      </c>
      <c r="I695" t="s">
        <v>453</v>
      </c>
      <c r="J695" t="s">
        <v>111</v>
      </c>
      <c r="K695" t="str">
        <f>"85383"</f>
        <v>85383</v>
      </c>
      <c r="L695" t="s">
        <v>2015</v>
      </c>
      <c r="M695" t="s">
        <v>4529</v>
      </c>
      <c r="N695" t="s">
        <v>453</v>
      </c>
      <c r="O695" t="s">
        <v>111</v>
      </c>
      <c r="P695" t="str">
        <f>"85383-9656"</f>
        <v>85383-9656</v>
      </c>
      <c r="Q695" t="s">
        <v>113</v>
      </c>
      <c r="R695" t="str">
        <f>"201-19-247"</f>
        <v>201-19-247</v>
      </c>
      <c r="S695" t="s">
        <v>2229</v>
      </c>
      <c r="U695">
        <v>3348</v>
      </c>
      <c r="W695">
        <v>6</v>
      </c>
      <c r="X695">
        <v>2016</v>
      </c>
      <c r="Z695">
        <v>2</v>
      </c>
      <c r="AC695" t="s">
        <v>115</v>
      </c>
      <c r="AD695">
        <v>3</v>
      </c>
      <c r="AE695" t="s">
        <v>115</v>
      </c>
      <c r="AH695" t="s">
        <v>116</v>
      </c>
      <c r="AI695" s="1">
        <v>56709</v>
      </c>
      <c r="AJ695" s="2">
        <v>0.12</v>
      </c>
      <c r="AK695" s="1">
        <v>468876</v>
      </c>
      <c r="AL695" t="s">
        <v>117</v>
      </c>
      <c r="AM695" t="s">
        <v>118</v>
      </c>
      <c r="AN695">
        <v>7200</v>
      </c>
      <c r="AO695">
        <v>0.16</v>
      </c>
      <c r="AR695">
        <v>1</v>
      </c>
      <c r="AS695" s="1">
        <v>34410</v>
      </c>
      <c r="AT695" s="1">
        <v>6880</v>
      </c>
      <c r="AU695" s="1">
        <v>27530</v>
      </c>
      <c r="AV695">
        <v>80.010000000000005</v>
      </c>
      <c r="AX695" s="1">
        <v>3106.56</v>
      </c>
      <c r="AY695" t="s">
        <v>456</v>
      </c>
      <c r="AZ695" t="s">
        <v>456</v>
      </c>
      <c r="BA695" t="s">
        <v>457</v>
      </c>
      <c r="BE695" s="3">
        <v>42545</v>
      </c>
      <c r="BF695" s="1">
        <v>446094</v>
      </c>
      <c r="BG695" t="s">
        <v>446</v>
      </c>
      <c r="BH695" s="1">
        <v>133.24</v>
      </c>
      <c r="BI695" s="1">
        <v>412167</v>
      </c>
      <c r="BJ695" s="3">
        <v>42856</v>
      </c>
      <c r="BK695" t="s">
        <v>123</v>
      </c>
      <c r="BL695" t="str">
        <f>"2017.315574"</f>
        <v>2017.315574</v>
      </c>
      <c r="BM695" t="s">
        <v>1038</v>
      </c>
      <c r="BO695" t="s">
        <v>4530</v>
      </c>
      <c r="BS695">
        <v>30</v>
      </c>
      <c r="BW695" t="str">
        <f>""</f>
        <v/>
      </c>
      <c r="CH695" t="str">
        <f>""</f>
        <v/>
      </c>
      <c r="CS695" t="str">
        <f>""</f>
        <v/>
      </c>
    </row>
    <row r="696" spans="1:97" x14ac:dyDescent="0.25">
      <c r="A696" t="s">
        <v>1950</v>
      </c>
      <c r="B696" t="s">
        <v>4531</v>
      </c>
      <c r="E696" t="s">
        <v>4532</v>
      </c>
      <c r="F696" t="s">
        <v>108</v>
      </c>
      <c r="H696" t="s">
        <v>4533</v>
      </c>
      <c r="I696" t="s">
        <v>110</v>
      </c>
      <c r="J696" t="s">
        <v>111</v>
      </c>
      <c r="K696" t="str">
        <f>"85249"</f>
        <v>85249</v>
      </c>
      <c r="L696" t="s">
        <v>4534</v>
      </c>
      <c r="M696" t="s">
        <v>4533</v>
      </c>
      <c r="N696" t="s">
        <v>110</v>
      </c>
      <c r="O696" t="s">
        <v>111</v>
      </c>
      <c r="P696" t="str">
        <f>"85249-1301"</f>
        <v>85249-1301</v>
      </c>
      <c r="Q696" t="s">
        <v>113</v>
      </c>
      <c r="R696" t="str">
        <f>"304-86-860"</f>
        <v>304-86-860</v>
      </c>
      <c r="S696" t="s">
        <v>4535</v>
      </c>
      <c r="T696" t="s">
        <v>4536</v>
      </c>
      <c r="U696">
        <v>3230</v>
      </c>
      <c r="W696">
        <v>5</v>
      </c>
      <c r="X696">
        <v>2015</v>
      </c>
      <c r="Z696">
        <v>2</v>
      </c>
      <c r="AA696" t="s">
        <v>26</v>
      </c>
      <c r="AC696" t="s">
        <v>115</v>
      </c>
      <c r="AD696">
        <v>3</v>
      </c>
      <c r="AE696" t="s">
        <v>115</v>
      </c>
      <c r="AH696" t="s">
        <v>116</v>
      </c>
      <c r="AI696" s="1">
        <v>122714</v>
      </c>
      <c r="AJ696" s="2">
        <v>0.22</v>
      </c>
      <c r="AK696" s="1">
        <v>553475</v>
      </c>
      <c r="AL696" t="s">
        <v>117</v>
      </c>
      <c r="AM696" t="s">
        <v>118</v>
      </c>
      <c r="AN696">
        <v>9574</v>
      </c>
      <c r="AO696">
        <v>0.22</v>
      </c>
      <c r="AR696">
        <v>1</v>
      </c>
      <c r="AS696" s="1">
        <v>40810</v>
      </c>
      <c r="AT696" s="1">
        <v>8160</v>
      </c>
      <c r="AU696" s="1">
        <v>32650</v>
      </c>
      <c r="AV696">
        <v>80</v>
      </c>
      <c r="AX696" s="1">
        <v>3057.8</v>
      </c>
      <c r="AY696" t="s">
        <v>3699</v>
      </c>
      <c r="AZ696" t="s">
        <v>273</v>
      </c>
      <c r="BA696" t="s">
        <v>274</v>
      </c>
      <c r="BE696" s="3">
        <v>42436</v>
      </c>
      <c r="BF696" s="1">
        <v>417000</v>
      </c>
      <c r="BG696" t="s">
        <v>275</v>
      </c>
      <c r="BH696" s="1">
        <v>129.1</v>
      </c>
      <c r="BI696" s="1">
        <v>430761</v>
      </c>
      <c r="BJ696" s="3">
        <v>42436</v>
      </c>
      <c r="BK696" t="s">
        <v>123</v>
      </c>
      <c r="BL696" t="str">
        <f>"2016.144062"</f>
        <v>2016.144062</v>
      </c>
      <c r="BM696" t="s">
        <v>651</v>
      </c>
      <c r="BO696" t="s">
        <v>4537</v>
      </c>
      <c r="BS696">
        <v>30</v>
      </c>
      <c r="BW696" t="str">
        <f>""</f>
        <v/>
      </c>
      <c r="CH696" t="str">
        <f>""</f>
        <v/>
      </c>
      <c r="CS696" t="str">
        <f>""</f>
        <v/>
      </c>
    </row>
    <row r="697" spans="1:97" x14ac:dyDescent="0.25">
      <c r="A697" t="s">
        <v>257</v>
      </c>
      <c r="B697" t="s">
        <v>4538</v>
      </c>
      <c r="C697" t="s">
        <v>4539</v>
      </c>
      <c r="D697" t="s">
        <v>4538</v>
      </c>
      <c r="E697" t="s">
        <v>4540</v>
      </c>
      <c r="F697" t="s">
        <v>108</v>
      </c>
      <c r="H697" t="s">
        <v>4541</v>
      </c>
      <c r="I697" t="s">
        <v>225</v>
      </c>
      <c r="J697" t="s">
        <v>111</v>
      </c>
      <c r="K697" t="str">
        <f>"85212"</f>
        <v>85212</v>
      </c>
      <c r="L697" t="s">
        <v>558</v>
      </c>
      <c r="M697" t="s">
        <v>4541</v>
      </c>
      <c r="N697" t="s">
        <v>225</v>
      </c>
      <c r="O697" t="s">
        <v>111</v>
      </c>
      <c r="P697" t="str">
        <f>"85212-8230"</f>
        <v>85212-8230</v>
      </c>
      <c r="Q697" t="s">
        <v>113</v>
      </c>
      <c r="R697" t="str">
        <f>"304-94-075"</f>
        <v>304-94-075</v>
      </c>
      <c r="S697" t="s">
        <v>3286</v>
      </c>
      <c r="U697">
        <v>3179</v>
      </c>
      <c r="W697">
        <v>4</v>
      </c>
      <c r="X697">
        <v>2015</v>
      </c>
      <c r="Z697">
        <v>1</v>
      </c>
      <c r="AC697" t="s">
        <v>115</v>
      </c>
      <c r="AD697">
        <v>3</v>
      </c>
      <c r="AE697" t="s">
        <v>115</v>
      </c>
      <c r="AH697" t="s">
        <v>116</v>
      </c>
      <c r="AI697" s="1">
        <v>74426</v>
      </c>
      <c r="AJ697" s="2">
        <v>0.15</v>
      </c>
      <c r="AK697" s="1">
        <v>505187</v>
      </c>
      <c r="AL697" t="s">
        <v>117</v>
      </c>
      <c r="AM697" t="s">
        <v>118</v>
      </c>
      <c r="AN697">
        <v>10800</v>
      </c>
      <c r="AO697">
        <v>0.25</v>
      </c>
      <c r="AR697">
        <v>1</v>
      </c>
      <c r="AS697" s="1">
        <v>35760</v>
      </c>
      <c r="AT697" s="1">
        <v>7150</v>
      </c>
      <c r="AU697" s="1">
        <v>28610</v>
      </c>
      <c r="AV697">
        <v>80.010000000000005</v>
      </c>
      <c r="AX697" s="1">
        <v>4281.16</v>
      </c>
      <c r="AY697" t="s">
        <v>560</v>
      </c>
      <c r="AZ697" t="s">
        <v>561</v>
      </c>
      <c r="BA697" t="s">
        <v>194</v>
      </c>
      <c r="BE697" s="3">
        <v>42538</v>
      </c>
      <c r="BF697" s="1">
        <v>417000</v>
      </c>
      <c r="BG697" t="s">
        <v>275</v>
      </c>
      <c r="BH697" s="1">
        <v>131.16999999999999</v>
      </c>
      <c r="BI697" s="1">
        <v>430761</v>
      </c>
      <c r="BJ697" s="3">
        <v>42538</v>
      </c>
      <c r="BK697" t="s">
        <v>123</v>
      </c>
      <c r="BL697" t="str">
        <f>"2016.425619"</f>
        <v>2016.425619</v>
      </c>
      <c r="BM697" t="s">
        <v>724</v>
      </c>
      <c r="BO697" t="s">
        <v>4542</v>
      </c>
      <c r="BS697">
        <v>30</v>
      </c>
      <c r="BW697" t="str">
        <f>""</f>
        <v/>
      </c>
      <c r="CH697" t="str">
        <f>""</f>
        <v/>
      </c>
      <c r="CS697" t="str">
        <f>""</f>
        <v/>
      </c>
    </row>
    <row r="698" spans="1:97" x14ac:dyDescent="0.25">
      <c r="A698" t="s">
        <v>4543</v>
      </c>
      <c r="B698" t="s">
        <v>4544</v>
      </c>
      <c r="C698" t="s">
        <v>4545</v>
      </c>
      <c r="D698" t="s">
        <v>4544</v>
      </c>
      <c r="E698" t="s">
        <v>4546</v>
      </c>
      <c r="F698" t="s">
        <v>108</v>
      </c>
      <c r="H698" t="s">
        <v>4547</v>
      </c>
      <c r="I698" t="s">
        <v>453</v>
      </c>
      <c r="J698" t="s">
        <v>111</v>
      </c>
      <c r="K698" t="str">
        <f>"85383"</f>
        <v>85383</v>
      </c>
      <c r="L698" t="s">
        <v>189</v>
      </c>
      <c r="M698" t="s">
        <v>4547</v>
      </c>
      <c r="N698" t="s">
        <v>453</v>
      </c>
      <c r="O698" t="s">
        <v>111</v>
      </c>
      <c r="P698" t="str">
        <f>"85383-8059"</f>
        <v>85383-8059</v>
      </c>
      <c r="Q698" t="s">
        <v>113</v>
      </c>
      <c r="R698" t="str">
        <f>"510-07-919"</f>
        <v>510-07-919</v>
      </c>
      <c r="S698" t="s">
        <v>4548</v>
      </c>
      <c r="U698">
        <v>1841</v>
      </c>
      <c r="W698">
        <v>3</v>
      </c>
      <c r="X698">
        <v>2015</v>
      </c>
      <c r="Z698">
        <v>1</v>
      </c>
      <c r="AC698" t="s">
        <v>115</v>
      </c>
      <c r="AD698">
        <v>2</v>
      </c>
      <c r="AE698" t="s">
        <v>115</v>
      </c>
      <c r="AH698" t="s">
        <v>116</v>
      </c>
      <c r="AI698" s="1">
        <v>114322</v>
      </c>
      <c r="AJ698" s="2">
        <v>0.34</v>
      </c>
      <c r="AK698" s="1">
        <v>335895</v>
      </c>
      <c r="AL698" t="s">
        <v>117</v>
      </c>
      <c r="AM698" t="s">
        <v>118</v>
      </c>
      <c r="AN698">
        <v>5715</v>
      </c>
      <c r="AO698">
        <v>0.13</v>
      </c>
      <c r="AR698">
        <v>1</v>
      </c>
      <c r="AS698" s="1">
        <v>23200</v>
      </c>
      <c r="AT698" s="1">
        <v>4640</v>
      </c>
      <c r="AU698" s="1">
        <v>18560</v>
      </c>
      <c r="AV698">
        <v>80</v>
      </c>
      <c r="AX698" s="1">
        <v>2326.48</v>
      </c>
      <c r="AY698" t="s">
        <v>456</v>
      </c>
      <c r="AZ698" t="s">
        <v>456</v>
      </c>
      <c r="BA698" t="s">
        <v>457</v>
      </c>
      <c r="BE698" s="3">
        <v>42426</v>
      </c>
      <c r="BF698" s="1">
        <v>268838</v>
      </c>
      <c r="BG698" t="s">
        <v>292</v>
      </c>
      <c r="BH698" s="1">
        <v>146.03</v>
      </c>
      <c r="BI698" s="1">
        <v>221573</v>
      </c>
      <c r="BJ698" s="3">
        <v>42426</v>
      </c>
      <c r="BK698" t="s">
        <v>123</v>
      </c>
      <c r="BL698" t="str">
        <f>"2016.123995"</f>
        <v>2016.123995</v>
      </c>
      <c r="BM698" t="s">
        <v>724</v>
      </c>
      <c r="BO698" t="s">
        <v>4549</v>
      </c>
      <c r="BS698">
        <v>30</v>
      </c>
      <c r="BW698" t="str">
        <f>""</f>
        <v/>
      </c>
      <c r="CH698" t="str">
        <f>""</f>
        <v/>
      </c>
      <c r="CS698" t="str">
        <f>""</f>
        <v/>
      </c>
    </row>
    <row r="699" spans="1:97" x14ac:dyDescent="0.25">
      <c r="A699" t="s">
        <v>996</v>
      </c>
      <c r="B699" t="s">
        <v>4550</v>
      </c>
      <c r="C699" t="s">
        <v>3926</v>
      </c>
      <c r="D699" t="s">
        <v>4550</v>
      </c>
      <c r="E699" t="s">
        <v>4551</v>
      </c>
      <c r="F699" t="s">
        <v>108</v>
      </c>
      <c r="H699" t="s">
        <v>4552</v>
      </c>
      <c r="I699" t="s">
        <v>390</v>
      </c>
      <c r="J699" t="s">
        <v>111</v>
      </c>
      <c r="K699" t="str">
        <f>"85085"</f>
        <v>85085</v>
      </c>
      <c r="L699" t="s">
        <v>3530</v>
      </c>
      <c r="M699" t="s">
        <v>4552</v>
      </c>
      <c r="N699" t="s">
        <v>390</v>
      </c>
      <c r="O699" t="s">
        <v>111</v>
      </c>
      <c r="P699" t="str">
        <f>"85085-5532"</f>
        <v>85085-5532</v>
      </c>
      <c r="Q699" t="s">
        <v>113</v>
      </c>
      <c r="R699" t="str">
        <f>"204-02-387"</f>
        <v>204-02-387</v>
      </c>
      <c r="S699" t="s">
        <v>3531</v>
      </c>
      <c r="U699">
        <v>2702</v>
      </c>
      <c r="W699">
        <v>4</v>
      </c>
      <c r="X699">
        <v>2016</v>
      </c>
      <c r="Z699">
        <v>1</v>
      </c>
      <c r="AC699" t="s">
        <v>115</v>
      </c>
      <c r="AD699">
        <v>2</v>
      </c>
      <c r="AE699" t="s">
        <v>115</v>
      </c>
      <c r="AH699" t="s">
        <v>116</v>
      </c>
      <c r="AI699" s="1">
        <v>175341</v>
      </c>
      <c r="AJ699" s="2">
        <v>0.38</v>
      </c>
      <c r="AK699" s="1">
        <v>460866</v>
      </c>
      <c r="AL699" t="s">
        <v>117</v>
      </c>
      <c r="AM699" t="s">
        <v>118</v>
      </c>
      <c r="AN699">
        <v>8429</v>
      </c>
      <c r="AO699">
        <v>0.19</v>
      </c>
      <c r="AR699">
        <v>1</v>
      </c>
      <c r="AS699" s="1">
        <v>35050</v>
      </c>
      <c r="AT699" s="1">
        <v>7010</v>
      </c>
      <c r="AU699" s="1">
        <v>28040</v>
      </c>
      <c r="AV699">
        <v>80</v>
      </c>
      <c r="AX699" s="1">
        <v>2989.54</v>
      </c>
      <c r="AY699" t="s">
        <v>1587</v>
      </c>
      <c r="AZ699" t="s">
        <v>1587</v>
      </c>
      <c r="BA699" t="s">
        <v>1462</v>
      </c>
      <c r="BE699" s="3">
        <v>42430</v>
      </c>
      <c r="BF699" s="1">
        <v>412000</v>
      </c>
      <c r="BG699" t="s">
        <v>209</v>
      </c>
      <c r="BH699" s="1">
        <v>152.47999999999999</v>
      </c>
      <c r="BI699" s="1">
        <v>285525</v>
      </c>
      <c r="BJ699" s="3">
        <v>42430</v>
      </c>
      <c r="BK699" t="s">
        <v>123</v>
      </c>
      <c r="BL699" t="str">
        <f>"2016.133134"</f>
        <v>2016.133134</v>
      </c>
      <c r="BM699" t="s">
        <v>175</v>
      </c>
      <c r="BO699" t="s">
        <v>4553</v>
      </c>
      <c r="BS699">
        <v>30</v>
      </c>
      <c r="BW699" t="str">
        <f>""</f>
        <v/>
      </c>
      <c r="CH699" t="str">
        <f>""</f>
        <v/>
      </c>
      <c r="CS699" t="str">
        <f>""</f>
        <v/>
      </c>
    </row>
    <row r="700" spans="1:97" x14ac:dyDescent="0.25">
      <c r="A700" t="s">
        <v>4554</v>
      </c>
      <c r="B700" t="s">
        <v>4555</v>
      </c>
      <c r="C700" t="s">
        <v>1692</v>
      </c>
      <c r="D700" t="s">
        <v>4555</v>
      </c>
      <c r="E700" t="s">
        <v>4556</v>
      </c>
      <c r="F700" t="s">
        <v>108</v>
      </c>
      <c r="H700" t="s">
        <v>4557</v>
      </c>
      <c r="I700" t="s">
        <v>390</v>
      </c>
      <c r="J700" t="s">
        <v>111</v>
      </c>
      <c r="K700" t="str">
        <f>"85085"</f>
        <v>85085</v>
      </c>
      <c r="L700" t="s">
        <v>145</v>
      </c>
      <c r="M700" t="s">
        <v>4557</v>
      </c>
      <c r="N700" t="s">
        <v>390</v>
      </c>
      <c r="O700" t="s">
        <v>111</v>
      </c>
      <c r="P700" t="str">
        <f>"85085-7181"</f>
        <v>85085-7181</v>
      </c>
      <c r="Q700" t="s">
        <v>113</v>
      </c>
      <c r="R700" t="str">
        <f>"204-13-336"</f>
        <v>204-13-336</v>
      </c>
      <c r="S700" t="s">
        <v>4558</v>
      </c>
      <c r="U700">
        <v>3070</v>
      </c>
      <c r="W700">
        <v>4</v>
      </c>
      <c r="X700">
        <v>2016</v>
      </c>
      <c r="Z700">
        <v>1</v>
      </c>
      <c r="AA700" t="s">
        <v>26</v>
      </c>
      <c r="AC700" t="s">
        <v>115</v>
      </c>
      <c r="AD700">
        <v>4</v>
      </c>
      <c r="AE700" t="s">
        <v>115</v>
      </c>
      <c r="AH700" t="s">
        <v>116</v>
      </c>
      <c r="AI700" s="1">
        <v>70035</v>
      </c>
      <c r="AJ700" s="2">
        <v>0.13</v>
      </c>
      <c r="AK700" s="1">
        <v>530762</v>
      </c>
      <c r="AL700" t="s">
        <v>117</v>
      </c>
      <c r="AM700" t="s">
        <v>4559</v>
      </c>
      <c r="AN700">
        <v>12381</v>
      </c>
      <c r="AO700">
        <v>0.28000000000000003</v>
      </c>
      <c r="AR700">
        <v>1</v>
      </c>
      <c r="AS700" s="1">
        <v>44130</v>
      </c>
      <c r="AT700" s="1">
        <v>8820</v>
      </c>
      <c r="AU700" s="1">
        <v>35310</v>
      </c>
      <c r="AV700">
        <v>80.010000000000005</v>
      </c>
      <c r="AX700" s="1">
        <v>3565.08</v>
      </c>
      <c r="AY700" t="s">
        <v>2651</v>
      </c>
      <c r="AZ700" t="s">
        <v>2651</v>
      </c>
      <c r="BA700" t="s">
        <v>1462</v>
      </c>
      <c r="BE700" s="3">
        <v>42515</v>
      </c>
      <c r="BF700" s="1">
        <v>405812</v>
      </c>
      <c r="BG700" t="s">
        <v>275</v>
      </c>
      <c r="BH700" s="1">
        <v>132.19</v>
      </c>
      <c r="BI700" s="1">
        <v>419203</v>
      </c>
      <c r="BJ700" s="3">
        <v>42515</v>
      </c>
      <c r="BK700" t="s">
        <v>123</v>
      </c>
      <c r="BL700" t="str">
        <f>"2016.361260"</f>
        <v>2016.361260</v>
      </c>
      <c r="BM700" t="s">
        <v>651</v>
      </c>
      <c r="BO700" t="s">
        <v>4560</v>
      </c>
      <c r="BS700">
        <v>30</v>
      </c>
      <c r="BT700" s="1">
        <v>41524</v>
      </c>
      <c r="BU700" s="3">
        <v>42824</v>
      </c>
      <c r="BV700" t="s">
        <v>134</v>
      </c>
      <c r="BW700" t="str">
        <f>"2017.223234"</f>
        <v>2017.223234</v>
      </c>
      <c r="BX700" t="s">
        <v>198</v>
      </c>
      <c r="BZ700" t="s">
        <v>4560</v>
      </c>
      <c r="CD700">
        <v>15</v>
      </c>
      <c r="CH700" t="str">
        <f>""</f>
        <v/>
      </c>
      <c r="CS700" t="str">
        <f>""</f>
        <v/>
      </c>
    </row>
    <row r="701" spans="1:97" x14ac:dyDescent="0.25">
      <c r="A701" t="s">
        <v>265</v>
      </c>
      <c r="B701" t="s">
        <v>4561</v>
      </c>
      <c r="C701" t="s">
        <v>4562</v>
      </c>
      <c r="D701" t="s">
        <v>4561</v>
      </c>
      <c r="E701" t="s">
        <v>4563</v>
      </c>
      <c r="F701" t="s">
        <v>108</v>
      </c>
      <c r="H701" t="s">
        <v>4564</v>
      </c>
      <c r="I701" t="s">
        <v>225</v>
      </c>
      <c r="J701" t="s">
        <v>111</v>
      </c>
      <c r="K701" t="str">
        <f>"85207"</f>
        <v>85207</v>
      </c>
      <c r="L701" t="s">
        <v>4565</v>
      </c>
      <c r="M701" t="s">
        <v>4564</v>
      </c>
      <c r="N701" t="s">
        <v>225</v>
      </c>
      <c r="O701" t="s">
        <v>111</v>
      </c>
      <c r="P701" t="str">
        <f>"85207-7568"</f>
        <v>85207-7568</v>
      </c>
      <c r="Q701" t="s">
        <v>113</v>
      </c>
      <c r="R701" t="str">
        <f>"218-24-247"</f>
        <v>218-24-247</v>
      </c>
      <c r="S701" t="s">
        <v>4566</v>
      </c>
      <c r="T701" t="s">
        <v>4566</v>
      </c>
      <c r="U701">
        <v>3100</v>
      </c>
      <c r="W701">
        <v>4</v>
      </c>
      <c r="X701">
        <v>2015</v>
      </c>
      <c r="Z701">
        <v>2</v>
      </c>
      <c r="AC701" t="s">
        <v>115</v>
      </c>
      <c r="AD701">
        <v>2</v>
      </c>
      <c r="AE701" t="s">
        <v>115</v>
      </c>
      <c r="AH701" t="s">
        <v>116</v>
      </c>
      <c r="AI701" s="1">
        <v>76464</v>
      </c>
      <c r="AJ701" s="2">
        <v>0.23</v>
      </c>
      <c r="AK701" s="1">
        <v>338080</v>
      </c>
      <c r="AL701" t="s">
        <v>117</v>
      </c>
      <c r="AM701" t="s">
        <v>191</v>
      </c>
      <c r="AN701">
        <v>6203</v>
      </c>
      <c r="AO701">
        <v>0.14000000000000001</v>
      </c>
      <c r="AR701">
        <v>1</v>
      </c>
      <c r="AS701" s="1">
        <v>28530</v>
      </c>
      <c r="AT701" s="1">
        <v>5700</v>
      </c>
      <c r="AU701" s="1">
        <v>22830</v>
      </c>
      <c r="AV701">
        <v>80.02</v>
      </c>
      <c r="AX701" s="1">
        <v>2031.84</v>
      </c>
      <c r="AY701" t="s">
        <v>4567</v>
      </c>
      <c r="AZ701" t="s">
        <v>231</v>
      </c>
      <c r="BA701" t="s">
        <v>3119</v>
      </c>
      <c r="BE701" s="3">
        <v>42320</v>
      </c>
      <c r="BF701" s="1">
        <v>277799</v>
      </c>
      <c r="BG701" t="s">
        <v>158</v>
      </c>
      <c r="BH701" s="1">
        <v>89.61</v>
      </c>
      <c r="BI701" s="1">
        <v>261616</v>
      </c>
      <c r="BJ701" s="3">
        <v>42320</v>
      </c>
      <c r="BK701" t="s">
        <v>123</v>
      </c>
      <c r="BL701" t="str">
        <f>"2015.812016"</f>
        <v>2015.812016</v>
      </c>
      <c r="BM701" t="s">
        <v>241</v>
      </c>
      <c r="BO701" t="s">
        <v>4568</v>
      </c>
      <c r="BS701">
        <v>30</v>
      </c>
      <c r="BW701" t="str">
        <f>""</f>
        <v/>
      </c>
      <c r="CH701" t="str">
        <f>""</f>
        <v/>
      </c>
      <c r="CS701" t="str">
        <f>""</f>
        <v/>
      </c>
    </row>
    <row r="702" spans="1:97" x14ac:dyDescent="0.25">
      <c r="A702" t="s">
        <v>894</v>
      </c>
      <c r="B702" t="s">
        <v>4569</v>
      </c>
      <c r="C702" t="s">
        <v>414</v>
      </c>
      <c r="D702" t="s">
        <v>4569</v>
      </c>
      <c r="E702" t="s">
        <v>4570</v>
      </c>
      <c r="F702" t="s">
        <v>108</v>
      </c>
      <c r="H702" t="s">
        <v>4571</v>
      </c>
      <c r="I702" t="s">
        <v>499</v>
      </c>
      <c r="J702" t="s">
        <v>111</v>
      </c>
      <c r="K702" t="str">
        <f>"85395"</f>
        <v>85395</v>
      </c>
      <c r="L702" t="s">
        <v>500</v>
      </c>
      <c r="M702" t="s">
        <v>4571</v>
      </c>
      <c r="N702" t="s">
        <v>499</v>
      </c>
      <c r="O702" t="s">
        <v>111</v>
      </c>
      <c r="P702" t="str">
        <f>"85395-6402"</f>
        <v>85395-6402</v>
      </c>
      <c r="Q702" t="s">
        <v>113</v>
      </c>
      <c r="R702" t="str">
        <f>"502-30-539"</f>
        <v>502-30-539</v>
      </c>
      <c r="S702" t="s">
        <v>3263</v>
      </c>
      <c r="T702" t="s">
        <v>502</v>
      </c>
      <c r="U702">
        <v>2414</v>
      </c>
      <c r="W702">
        <v>4</v>
      </c>
      <c r="X702">
        <v>2015</v>
      </c>
      <c r="Z702">
        <v>1</v>
      </c>
      <c r="AC702" t="s">
        <v>115</v>
      </c>
      <c r="AD702">
        <v>3</v>
      </c>
      <c r="AE702" t="s">
        <v>115</v>
      </c>
      <c r="AH702" t="s">
        <v>116</v>
      </c>
      <c r="AI702" s="1">
        <v>77126</v>
      </c>
      <c r="AJ702" s="2">
        <v>0.21</v>
      </c>
      <c r="AK702" s="1">
        <v>371486</v>
      </c>
      <c r="AL702" t="s">
        <v>117</v>
      </c>
      <c r="AM702" t="s">
        <v>118</v>
      </c>
      <c r="AN702">
        <v>10570</v>
      </c>
      <c r="AO702">
        <v>0.24</v>
      </c>
      <c r="AR702">
        <v>1</v>
      </c>
      <c r="AS702" s="1">
        <v>26550</v>
      </c>
      <c r="AT702" s="1">
        <v>5310</v>
      </c>
      <c r="AU702" s="1">
        <v>21240</v>
      </c>
      <c r="AV702">
        <v>80</v>
      </c>
      <c r="AX702" s="1">
        <v>2258.04</v>
      </c>
      <c r="AY702" t="s">
        <v>503</v>
      </c>
      <c r="AZ702" t="s">
        <v>504</v>
      </c>
      <c r="BA702" t="s">
        <v>218</v>
      </c>
      <c r="BE702" s="3">
        <v>42236</v>
      </c>
      <c r="BF702" s="1">
        <v>287461</v>
      </c>
      <c r="BG702" t="s">
        <v>209</v>
      </c>
      <c r="BH702" s="1">
        <v>119.08</v>
      </c>
      <c r="BI702" s="1">
        <v>294360</v>
      </c>
      <c r="BJ702" s="3">
        <v>42236</v>
      </c>
      <c r="BK702" t="s">
        <v>123</v>
      </c>
      <c r="BL702" t="str">
        <f>"2015.603510"</f>
        <v>2015.603510</v>
      </c>
      <c r="BM702" t="s">
        <v>175</v>
      </c>
      <c r="BO702" t="s">
        <v>4572</v>
      </c>
      <c r="BS702">
        <v>30</v>
      </c>
      <c r="BW702" t="str">
        <f>""</f>
        <v/>
      </c>
      <c r="CH702" t="str">
        <f>""</f>
        <v/>
      </c>
      <c r="CS702" t="str">
        <f>""</f>
        <v/>
      </c>
    </row>
    <row r="703" spans="1:97" x14ac:dyDescent="0.25">
      <c r="A703" t="s">
        <v>2699</v>
      </c>
      <c r="B703" t="s">
        <v>4573</v>
      </c>
      <c r="C703" t="s">
        <v>4574</v>
      </c>
      <c r="D703" t="s">
        <v>4573</v>
      </c>
      <c r="E703" t="s">
        <v>4575</v>
      </c>
      <c r="F703" t="s">
        <v>108</v>
      </c>
      <c r="H703" t="s">
        <v>4576</v>
      </c>
      <c r="I703" t="s">
        <v>499</v>
      </c>
      <c r="J703" t="s">
        <v>111</v>
      </c>
      <c r="K703" t="str">
        <f>"85338"</f>
        <v>85338</v>
      </c>
      <c r="L703" t="s">
        <v>1796</v>
      </c>
      <c r="M703" t="s">
        <v>4576</v>
      </c>
      <c r="N703" t="s">
        <v>499</v>
      </c>
      <c r="O703" t="s">
        <v>111</v>
      </c>
      <c r="P703" t="str">
        <f>"85338-7891"</f>
        <v>85338-7891</v>
      </c>
      <c r="Q703" t="s">
        <v>113</v>
      </c>
      <c r="R703" t="str">
        <f>"400-85-110"</f>
        <v>400-85-110</v>
      </c>
      <c r="S703" t="s">
        <v>4235</v>
      </c>
      <c r="U703">
        <v>2469</v>
      </c>
      <c r="W703">
        <v>3</v>
      </c>
      <c r="X703">
        <v>2015</v>
      </c>
      <c r="Z703">
        <v>1</v>
      </c>
      <c r="AC703" t="s">
        <v>115</v>
      </c>
      <c r="AD703">
        <v>2</v>
      </c>
      <c r="AE703" t="s">
        <v>115</v>
      </c>
      <c r="AH703" t="s">
        <v>116</v>
      </c>
      <c r="AI703" s="1">
        <v>51681</v>
      </c>
      <c r="AJ703" s="2">
        <v>0.14000000000000001</v>
      </c>
      <c r="AK703" s="1">
        <v>370452</v>
      </c>
      <c r="AL703" t="s">
        <v>117</v>
      </c>
      <c r="AM703" t="s">
        <v>118</v>
      </c>
      <c r="AN703">
        <v>8339</v>
      </c>
      <c r="AO703">
        <v>0.19</v>
      </c>
      <c r="AR703">
        <v>1</v>
      </c>
      <c r="AS703" s="1">
        <v>26670</v>
      </c>
      <c r="AT703" s="1">
        <v>5330</v>
      </c>
      <c r="AU703" s="1">
        <v>21340</v>
      </c>
      <c r="AV703">
        <v>80.010000000000005</v>
      </c>
      <c r="AX703" s="1">
        <v>3332</v>
      </c>
      <c r="AY703" t="s">
        <v>4236</v>
      </c>
      <c r="AZ703" t="s">
        <v>4236</v>
      </c>
      <c r="BA703" t="s">
        <v>1247</v>
      </c>
      <c r="BE703" s="3">
        <v>42333</v>
      </c>
      <c r="BF703" s="1">
        <v>318771</v>
      </c>
      <c r="BG703" t="s">
        <v>292</v>
      </c>
      <c r="BH703" s="1">
        <v>129.11000000000001</v>
      </c>
      <c r="BI703" s="1">
        <v>318771</v>
      </c>
      <c r="BJ703" s="3">
        <v>42333</v>
      </c>
      <c r="BK703" t="s">
        <v>123</v>
      </c>
      <c r="BL703" t="str">
        <f>"2015.841762"</f>
        <v>2015.841762</v>
      </c>
      <c r="BM703" t="s">
        <v>1831</v>
      </c>
      <c r="BO703" t="s">
        <v>4577</v>
      </c>
      <c r="BS703">
        <v>30</v>
      </c>
      <c r="BW703" t="str">
        <f>""</f>
        <v/>
      </c>
      <c r="CH703" t="str">
        <f>""</f>
        <v/>
      </c>
      <c r="CS703" t="str">
        <f>""</f>
        <v/>
      </c>
    </row>
    <row r="704" spans="1:97" x14ac:dyDescent="0.25">
      <c r="A704" t="s">
        <v>4578</v>
      </c>
      <c r="B704" t="s">
        <v>1607</v>
      </c>
      <c r="C704" t="s">
        <v>1692</v>
      </c>
      <c r="D704" t="s">
        <v>1607</v>
      </c>
      <c r="E704" t="s">
        <v>4579</v>
      </c>
      <c r="F704" t="s">
        <v>108</v>
      </c>
      <c r="H704" t="s">
        <v>4580</v>
      </c>
      <c r="I704" t="s">
        <v>390</v>
      </c>
      <c r="J704" t="s">
        <v>111</v>
      </c>
      <c r="K704" t="str">
        <f>"85085"</f>
        <v>85085</v>
      </c>
      <c r="L704" t="s">
        <v>145</v>
      </c>
      <c r="M704" t="s">
        <v>4580</v>
      </c>
      <c r="N704" t="s">
        <v>390</v>
      </c>
      <c r="O704" t="s">
        <v>111</v>
      </c>
      <c r="P704" t="str">
        <f>"85085-8902"</f>
        <v>85085-8902</v>
      </c>
      <c r="Q704" t="s">
        <v>113</v>
      </c>
      <c r="R704" t="str">
        <f>"204-02-161"</f>
        <v>204-02-161</v>
      </c>
      <c r="S704" t="s">
        <v>3344</v>
      </c>
      <c r="T704" t="s">
        <v>3344</v>
      </c>
      <c r="U704">
        <v>2032</v>
      </c>
      <c r="W704">
        <v>3</v>
      </c>
      <c r="X704">
        <v>2016</v>
      </c>
      <c r="Z704">
        <v>1</v>
      </c>
      <c r="AA704" t="s">
        <v>26</v>
      </c>
      <c r="AC704" t="s">
        <v>115</v>
      </c>
      <c r="AD704">
        <v>2</v>
      </c>
      <c r="AE704" t="s">
        <v>115</v>
      </c>
      <c r="AH704" t="s">
        <v>116</v>
      </c>
      <c r="AI704" s="1">
        <v>-25846</v>
      </c>
      <c r="AJ704" s="2">
        <v>-7.0000000000000007E-2</v>
      </c>
      <c r="AK704" s="1">
        <v>381680</v>
      </c>
      <c r="AL704" t="s">
        <v>117</v>
      </c>
      <c r="AM704" t="s">
        <v>3345</v>
      </c>
      <c r="AN704">
        <v>5950</v>
      </c>
      <c r="AO704">
        <v>0.14000000000000001</v>
      </c>
      <c r="AR704">
        <v>1</v>
      </c>
      <c r="AS704" s="1">
        <v>30800</v>
      </c>
      <c r="AT704" s="1">
        <v>6160</v>
      </c>
      <c r="AU704" s="1">
        <v>24640</v>
      </c>
      <c r="AV704">
        <v>80</v>
      </c>
      <c r="AX704" s="1">
        <v>2414.96</v>
      </c>
      <c r="AY704" t="s">
        <v>1587</v>
      </c>
      <c r="AZ704" t="s">
        <v>1587</v>
      </c>
      <c r="BA704" t="s">
        <v>1462</v>
      </c>
      <c r="BE704" s="3">
        <v>42395</v>
      </c>
      <c r="BF704" s="1">
        <v>334871</v>
      </c>
      <c r="BG704" t="s">
        <v>446</v>
      </c>
      <c r="BH704" s="1">
        <v>164.8</v>
      </c>
      <c r="BI704" s="1">
        <v>407526</v>
      </c>
      <c r="BJ704" s="3">
        <v>43599</v>
      </c>
      <c r="BK704" t="s">
        <v>123</v>
      </c>
      <c r="BL704" t="str">
        <f>"2019.351289"</f>
        <v>2019.351289</v>
      </c>
      <c r="BM704" t="s">
        <v>460</v>
      </c>
      <c r="BN704" t="s">
        <v>461</v>
      </c>
      <c r="BO704" t="s">
        <v>4581</v>
      </c>
      <c r="BP704" t="s">
        <v>4582</v>
      </c>
      <c r="BR704" t="s">
        <v>139</v>
      </c>
      <c r="BW704" t="str">
        <f>""</f>
        <v/>
      </c>
      <c r="CH704" t="str">
        <f>""</f>
        <v/>
      </c>
      <c r="CS704" t="str">
        <f>""</f>
        <v/>
      </c>
    </row>
    <row r="705" spans="1:97" x14ac:dyDescent="0.25">
      <c r="A705" t="s">
        <v>4583</v>
      </c>
      <c r="B705" t="s">
        <v>4584</v>
      </c>
      <c r="C705" t="s">
        <v>2178</v>
      </c>
      <c r="D705" t="s">
        <v>4584</v>
      </c>
      <c r="E705" t="s">
        <v>4585</v>
      </c>
      <c r="F705" t="s">
        <v>108</v>
      </c>
      <c r="H705" t="s">
        <v>4586</v>
      </c>
      <c r="I705" t="s">
        <v>453</v>
      </c>
      <c r="J705" t="s">
        <v>111</v>
      </c>
      <c r="K705" t="str">
        <f>"85383"</f>
        <v>85383</v>
      </c>
      <c r="L705" t="s">
        <v>625</v>
      </c>
      <c r="M705" t="s">
        <v>4586</v>
      </c>
      <c r="N705" t="s">
        <v>453</v>
      </c>
      <c r="O705" t="s">
        <v>111</v>
      </c>
      <c r="P705" t="str">
        <f>"85383-8838"</f>
        <v>85383-8838</v>
      </c>
      <c r="Q705" t="s">
        <v>113</v>
      </c>
      <c r="R705" t="str">
        <f>"201-17-672"</f>
        <v>201-17-672</v>
      </c>
      <c r="S705" t="s">
        <v>2026</v>
      </c>
      <c r="U705">
        <v>3175</v>
      </c>
      <c r="W705">
        <v>4</v>
      </c>
      <c r="X705">
        <v>2015</v>
      </c>
      <c r="Z705">
        <v>1</v>
      </c>
      <c r="AA705" t="s">
        <v>26</v>
      </c>
      <c r="AC705" t="s">
        <v>115</v>
      </c>
      <c r="AD705">
        <v>3</v>
      </c>
      <c r="AE705" t="s">
        <v>115</v>
      </c>
      <c r="AH705" t="s">
        <v>116</v>
      </c>
      <c r="AI705" s="1">
        <v>130446</v>
      </c>
      <c r="AJ705" s="2">
        <v>0.24</v>
      </c>
      <c r="AK705" s="1">
        <v>545586</v>
      </c>
      <c r="AL705" t="s">
        <v>117</v>
      </c>
      <c r="AM705" t="s">
        <v>118</v>
      </c>
      <c r="AN705">
        <v>11379</v>
      </c>
      <c r="AO705">
        <v>0.26</v>
      </c>
      <c r="AR705">
        <v>1</v>
      </c>
      <c r="AS705" s="1">
        <v>43210</v>
      </c>
      <c r="AT705" s="1">
        <v>8640</v>
      </c>
      <c r="AU705" s="1">
        <v>34570</v>
      </c>
      <c r="AV705">
        <v>80</v>
      </c>
      <c r="AX705" s="1">
        <v>3505.1</v>
      </c>
      <c r="AY705" t="s">
        <v>627</v>
      </c>
      <c r="AZ705" t="s">
        <v>627</v>
      </c>
      <c r="BA705" t="s">
        <v>457</v>
      </c>
      <c r="BE705" s="3">
        <v>42424</v>
      </c>
      <c r="BF705" s="1">
        <v>466683</v>
      </c>
      <c r="BG705" t="s">
        <v>275</v>
      </c>
      <c r="BH705" s="1">
        <v>146.99</v>
      </c>
      <c r="BI705" s="1">
        <v>415140</v>
      </c>
      <c r="BJ705" s="3">
        <v>42424</v>
      </c>
      <c r="BK705" t="s">
        <v>123</v>
      </c>
      <c r="BL705" t="str">
        <f>"2016.115958"</f>
        <v>2016.115958</v>
      </c>
      <c r="BM705" t="s">
        <v>955</v>
      </c>
      <c r="BO705" t="s">
        <v>4587</v>
      </c>
      <c r="BS705">
        <v>30</v>
      </c>
      <c r="BW705" t="str">
        <f>""</f>
        <v/>
      </c>
      <c r="CH705" t="str">
        <f>""</f>
        <v/>
      </c>
      <c r="CS705" t="str">
        <f>""</f>
        <v/>
      </c>
    </row>
    <row r="706" spans="1:97" x14ac:dyDescent="0.25">
      <c r="A706" t="s">
        <v>305</v>
      </c>
      <c r="B706" t="s">
        <v>2522</v>
      </c>
      <c r="C706" t="s">
        <v>4588</v>
      </c>
      <c r="D706" t="s">
        <v>2522</v>
      </c>
      <c r="E706" t="s">
        <v>4589</v>
      </c>
      <c r="F706" t="s">
        <v>108</v>
      </c>
      <c r="H706" t="s">
        <v>4590</v>
      </c>
      <c r="I706" t="s">
        <v>110</v>
      </c>
      <c r="J706" t="s">
        <v>111</v>
      </c>
      <c r="K706" t="str">
        <f>"85286"</f>
        <v>85286</v>
      </c>
      <c r="L706" t="s">
        <v>4326</v>
      </c>
      <c r="M706" t="s">
        <v>4590</v>
      </c>
      <c r="N706" t="s">
        <v>110</v>
      </c>
      <c r="O706" t="s">
        <v>111</v>
      </c>
      <c r="P706" t="str">
        <f>"85286"</f>
        <v>85286</v>
      </c>
      <c r="Q706" t="s">
        <v>113</v>
      </c>
      <c r="R706" t="str">
        <f>"313-19-539"</f>
        <v>313-19-539</v>
      </c>
      <c r="S706" t="s">
        <v>4488</v>
      </c>
      <c r="T706" t="s">
        <v>4489</v>
      </c>
      <c r="U706">
        <v>1572</v>
      </c>
      <c r="W706">
        <v>3</v>
      </c>
      <c r="X706">
        <v>2015</v>
      </c>
      <c r="Z706">
        <v>1</v>
      </c>
      <c r="AC706" t="s">
        <v>115</v>
      </c>
      <c r="AD706">
        <v>2</v>
      </c>
      <c r="AE706" t="s">
        <v>115</v>
      </c>
      <c r="AH706" t="s">
        <v>116</v>
      </c>
      <c r="AI706" s="1">
        <v>137091</v>
      </c>
      <c r="AJ706" s="2">
        <v>0.39</v>
      </c>
      <c r="AK706" s="1">
        <v>347091</v>
      </c>
      <c r="AL706" t="s">
        <v>117</v>
      </c>
      <c r="AM706" t="s">
        <v>118</v>
      </c>
      <c r="AN706">
        <v>5500</v>
      </c>
      <c r="AO706">
        <v>0.13</v>
      </c>
      <c r="AR706">
        <v>1</v>
      </c>
      <c r="AS706" s="1">
        <v>24500</v>
      </c>
      <c r="AT706" s="1">
        <v>4900</v>
      </c>
      <c r="AU706" s="1">
        <v>19600</v>
      </c>
      <c r="AV706">
        <v>80</v>
      </c>
      <c r="AX706" s="1">
        <v>1180.98</v>
      </c>
      <c r="AY706" t="s">
        <v>737</v>
      </c>
      <c r="AZ706" t="s">
        <v>120</v>
      </c>
      <c r="BA706" t="s">
        <v>303</v>
      </c>
      <c r="BE706" s="3">
        <v>42447</v>
      </c>
      <c r="BF706" s="1">
        <v>266664</v>
      </c>
      <c r="BG706" t="s">
        <v>275</v>
      </c>
      <c r="BH706" s="1">
        <v>169.63</v>
      </c>
      <c r="BI706" s="1">
        <v>210000</v>
      </c>
      <c r="BJ706" s="3">
        <v>42447</v>
      </c>
      <c r="BK706" t="s">
        <v>123</v>
      </c>
      <c r="BL706" t="str">
        <f>"2016.177004"</f>
        <v>2016.177004</v>
      </c>
      <c r="BM706" t="s">
        <v>651</v>
      </c>
      <c r="BO706" t="s">
        <v>4591</v>
      </c>
      <c r="BS706">
        <v>30</v>
      </c>
      <c r="BW706" t="str">
        <f>""</f>
        <v/>
      </c>
      <c r="CH706" t="str">
        <f>""</f>
        <v/>
      </c>
      <c r="CS706" t="str">
        <f>""</f>
        <v/>
      </c>
    </row>
    <row r="707" spans="1:97" x14ac:dyDescent="0.25">
      <c r="A707" t="s">
        <v>4592</v>
      </c>
      <c r="B707" t="s">
        <v>4593</v>
      </c>
      <c r="C707" t="s">
        <v>767</v>
      </c>
      <c r="D707" t="s">
        <v>4593</v>
      </c>
      <c r="E707" t="s">
        <v>4594</v>
      </c>
      <c r="F707" t="s">
        <v>108</v>
      </c>
      <c r="H707" t="s">
        <v>4595</v>
      </c>
      <c r="I707" t="s">
        <v>225</v>
      </c>
      <c r="J707" t="s">
        <v>111</v>
      </c>
      <c r="K707" t="str">
        <f>"85212"</f>
        <v>85212</v>
      </c>
      <c r="L707" t="s">
        <v>3140</v>
      </c>
      <c r="M707" t="s">
        <v>4595</v>
      </c>
      <c r="N707" t="s">
        <v>225</v>
      </c>
      <c r="O707" t="s">
        <v>111</v>
      </c>
      <c r="P707" t="str">
        <f>"85212-8246"</f>
        <v>85212-8246</v>
      </c>
      <c r="Q707" t="s">
        <v>113</v>
      </c>
      <c r="R707" t="str">
        <f>"312-13-434"</f>
        <v>312-13-434</v>
      </c>
      <c r="S707" t="s">
        <v>3200</v>
      </c>
      <c r="T707" t="s">
        <v>3142</v>
      </c>
      <c r="U707">
        <v>2020</v>
      </c>
      <c r="W707">
        <v>3</v>
      </c>
      <c r="X707">
        <v>2016</v>
      </c>
      <c r="Z707">
        <v>1</v>
      </c>
      <c r="AC707" t="s">
        <v>115</v>
      </c>
      <c r="AD707">
        <v>2</v>
      </c>
      <c r="AE707" t="s">
        <v>115</v>
      </c>
      <c r="AH707" t="s">
        <v>116</v>
      </c>
      <c r="AI707" s="1">
        <v>41831</v>
      </c>
      <c r="AJ707" s="2">
        <v>0.12</v>
      </c>
      <c r="AK707" s="1">
        <v>353581</v>
      </c>
      <c r="AL707" t="s">
        <v>117</v>
      </c>
      <c r="AM707" t="s">
        <v>191</v>
      </c>
      <c r="AN707">
        <v>6258</v>
      </c>
      <c r="AO707">
        <v>0.14000000000000001</v>
      </c>
      <c r="AR707">
        <v>1</v>
      </c>
      <c r="AS707" s="1">
        <v>24980</v>
      </c>
      <c r="AT707" s="1">
        <v>4990</v>
      </c>
      <c r="AU707" s="1">
        <v>19990</v>
      </c>
      <c r="AV707">
        <v>80.02</v>
      </c>
      <c r="AX707" s="1">
        <v>2109.5</v>
      </c>
      <c r="AY707" t="s">
        <v>560</v>
      </c>
      <c r="AZ707" t="s">
        <v>561</v>
      </c>
      <c r="BA707" t="s">
        <v>194</v>
      </c>
      <c r="BE707" s="3">
        <v>42410</v>
      </c>
      <c r="BF707" s="1">
        <v>310926</v>
      </c>
      <c r="BG707" t="s">
        <v>446</v>
      </c>
      <c r="BH707" s="1">
        <v>153.91999999999999</v>
      </c>
      <c r="BI707" s="1">
        <v>311750</v>
      </c>
      <c r="BJ707" s="3">
        <v>42648</v>
      </c>
      <c r="BK707" t="s">
        <v>123</v>
      </c>
      <c r="BL707" t="str">
        <f>"2016.731958"</f>
        <v>2016.731958</v>
      </c>
      <c r="BM707" t="s">
        <v>4596</v>
      </c>
      <c r="BO707" t="s">
        <v>4597</v>
      </c>
      <c r="BP707" t="s">
        <v>4598</v>
      </c>
      <c r="BS707">
        <v>30</v>
      </c>
      <c r="BW707" t="str">
        <f>""</f>
        <v/>
      </c>
      <c r="CH707" t="str">
        <f>""</f>
        <v/>
      </c>
      <c r="CS707" t="str">
        <f>""</f>
        <v/>
      </c>
    </row>
    <row r="708" spans="1:97" x14ac:dyDescent="0.25">
      <c r="A708" t="s">
        <v>2045</v>
      </c>
      <c r="B708" t="s">
        <v>4599</v>
      </c>
      <c r="C708" t="s">
        <v>4600</v>
      </c>
      <c r="D708" t="s">
        <v>4599</v>
      </c>
      <c r="E708" t="s">
        <v>4601</v>
      </c>
      <c r="F708" t="s">
        <v>108</v>
      </c>
      <c r="H708" t="s">
        <v>4602</v>
      </c>
      <c r="I708" t="s">
        <v>188</v>
      </c>
      <c r="J708" t="s">
        <v>111</v>
      </c>
      <c r="K708" t="str">
        <f>"85142"</f>
        <v>85142</v>
      </c>
      <c r="L708" t="s">
        <v>1070</v>
      </c>
      <c r="M708" t="s">
        <v>4602</v>
      </c>
      <c r="N708" t="s">
        <v>188</v>
      </c>
      <c r="O708" t="s">
        <v>111</v>
      </c>
      <c r="P708" t="str">
        <f>"85142-5453"</f>
        <v>85142-5453</v>
      </c>
      <c r="R708" t="str">
        <f>"304-94-695"</f>
        <v>304-94-695</v>
      </c>
      <c r="S708" t="s">
        <v>3134</v>
      </c>
      <c r="T708" t="s">
        <v>1073</v>
      </c>
      <c r="U708">
        <v>3172</v>
      </c>
      <c r="W708">
        <v>4</v>
      </c>
      <c r="X708">
        <v>2015</v>
      </c>
      <c r="Z708">
        <v>1</v>
      </c>
      <c r="AA708" t="s">
        <v>26</v>
      </c>
      <c r="AC708" t="s">
        <v>115</v>
      </c>
      <c r="AD708">
        <v>3</v>
      </c>
      <c r="AE708" t="s">
        <v>115</v>
      </c>
      <c r="AH708" t="s">
        <v>116</v>
      </c>
      <c r="AI708" s="1">
        <v>74797</v>
      </c>
      <c r="AJ708" s="2">
        <v>0.15</v>
      </c>
      <c r="AK708" s="1">
        <v>498797</v>
      </c>
      <c r="AL708" t="s">
        <v>117</v>
      </c>
      <c r="AM708" t="str">
        <f>"R1-7"</f>
        <v>R1-7</v>
      </c>
      <c r="AN708">
        <v>10569</v>
      </c>
      <c r="AO708">
        <v>0.24</v>
      </c>
      <c r="AR708">
        <v>1</v>
      </c>
      <c r="AS708" s="1">
        <v>36960</v>
      </c>
      <c r="AT708" s="1">
        <v>7390</v>
      </c>
      <c r="AU708" s="1">
        <v>29570</v>
      </c>
      <c r="AV708">
        <v>80.010000000000005</v>
      </c>
      <c r="AX708" s="1">
        <v>3423.78</v>
      </c>
      <c r="AY708" t="s">
        <v>1074</v>
      </c>
      <c r="AZ708" t="s">
        <v>193</v>
      </c>
      <c r="BA708" t="s">
        <v>194</v>
      </c>
      <c r="BE708" s="3">
        <v>42257</v>
      </c>
      <c r="BF708" s="1">
        <v>384588</v>
      </c>
      <c r="BG708" t="s">
        <v>562</v>
      </c>
      <c r="BH708" s="1">
        <v>121.24</v>
      </c>
      <c r="BI708" s="1">
        <v>424000</v>
      </c>
      <c r="BJ708" s="3">
        <v>43054</v>
      </c>
      <c r="BK708" t="s">
        <v>123</v>
      </c>
      <c r="BL708" t="str">
        <f>"2017.847871"</f>
        <v>2017.847871</v>
      </c>
      <c r="BM708" t="s">
        <v>4603</v>
      </c>
      <c r="BN708">
        <v>64030</v>
      </c>
      <c r="BO708" t="s">
        <v>4604</v>
      </c>
      <c r="BS708">
        <v>30</v>
      </c>
      <c r="BW708" t="str">
        <f>""</f>
        <v/>
      </c>
      <c r="CH708" t="str">
        <f>""</f>
        <v/>
      </c>
      <c r="CS708" t="str">
        <f>""</f>
        <v/>
      </c>
    </row>
    <row r="709" spans="1:97" x14ac:dyDescent="0.25">
      <c r="A709" t="s">
        <v>3800</v>
      </c>
      <c r="B709" t="s">
        <v>4605</v>
      </c>
      <c r="C709" t="s">
        <v>976</v>
      </c>
      <c r="D709" t="s">
        <v>4605</v>
      </c>
      <c r="E709" t="s">
        <v>4606</v>
      </c>
      <c r="F709" t="s">
        <v>108</v>
      </c>
      <c r="H709" t="s">
        <v>4607</v>
      </c>
      <c r="I709" t="s">
        <v>110</v>
      </c>
      <c r="J709" t="s">
        <v>111</v>
      </c>
      <c r="K709" t="str">
        <f>"85249"</f>
        <v>85249</v>
      </c>
      <c r="L709" t="s">
        <v>4534</v>
      </c>
      <c r="M709" t="s">
        <v>4607</v>
      </c>
      <c r="N709" t="s">
        <v>110</v>
      </c>
      <c r="O709" t="s">
        <v>111</v>
      </c>
      <c r="P709" t="str">
        <f>"85249-1309"</f>
        <v>85249-1309</v>
      </c>
      <c r="Q709" t="s">
        <v>113</v>
      </c>
      <c r="R709" t="str">
        <f>"304-86-921"</f>
        <v>304-86-921</v>
      </c>
      <c r="S709" t="s">
        <v>4535</v>
      </c>
      <c r="T709" t="s">
        <v>4536</v>
      </c>
      <c r="U709">
        <v>3541</v>
      </c>
      <c r="W709">
        <v>5</v>
      </c>
      <c r="X709">
        <v>2015</v>
      </c>
      <c r="Z709">
        <v>2</v>
      </c>
      <c r="AC709" t="s">
        <v>115</v>
      </c>
      <c r="AD709">
        <v>3</v>
      </c>
      <c r="AE709" t="s">
        <v>115</v>
      </c>
      <c r="AH709" t="s">
        <v>116</v>
      </c>
      <c r="AI709" s="1">
        <v>185359</v>
      </c>
      <c r="AJ709" s="2">
        <v>0.34</v>
      </c>
      <c r="AK709" s="1">
        <v>542134</v>
      </c>
      <c r="AL709" t="s">
        <v>117</v>
      </c>
      <c r="AM709" t="s">
        <v>118</v>
      </c>
      <c r="AN709">
        <v>7937</v>
      </c>
      <c r="AO709">
        <v>0.18</v>
      </c>
      <c r="AR709">
        <v>1</v>
      </c>
      <c r="AS709" s="1">
        <v>38270</v>
      </c>
      <c r="AT709" s="1">
        <v>7650</v>
      </c>
      <c r="AU709" s="1">
        <v>30620</v>
      </c>
      <c r="AV709">
        <v>80.010000000000005</v>
      </c>
      <c r="AX709" s="1">
        <v>3346.7</v>
      </c>
      <c r="AY709" t="s">
        <v>3699</v>
      </c>
      <c r="AZ709" t="s">
        <v>273</v>
      </c>
      <c r="BA709" t="s">
        <v>274</v>
      </c>
      <c r="BE709" s="3">
        <v>42226</v>
      </c>
      <c r="BF709" s="1">
        <v>402371</v>
      </c>
      <c r="BG709" t="s">
        <v>275</v>
      </c>
      <c r="BH709" s="1">
        <v>113.63</v>
      </c>
      <c r="BI709" s="1">
        <v>356775</v>
      </c>
      <c r="BJ709" s="3">
        <v>42226</v>
      </c>
      <c r="BK709" t="s">
        <v>123</v>
      </c>
      <c r="BL709" t="str">
        <f>"2015.578709"</f>
        <v>2015.578709</v>
      </c>
      <c r="BM709" t="s">
        <v>651</v>
      </c>
      <c r="BO709" t="s">
        <v>4608</v>
      </c>
      <c r="BS709">
        <v>30</v>
      </c>
      <c r="BW709" t="str">
        <f>""</f>
        <v/>
      </c>
      <c r="CH709" t="str">
        <f>""</f>
        <v/>
      </c>
      <c r="CS709" t="str">
        <f>""</f>
        <v/>
      </c>
    </row>
    <row r="710" spans="1:97" x14ac:dyDescent="0.25">
      <c r="A710" t="s">
        <v>4609</v>
      </c>
      <c r="B710" t="s">
        <v>4610</v>
      </c>
      <c r="C710" t="s">
        <v>4611</v>
      </c>
      <c r="D710" t="s">
        <v>4610</v>
      </c>
      <c r="E710" t="s">
        <v>4612</v>
      </c>
      <c r="F710" t="s">
        <v>108</v>
      </c>
      <c r="H710" t="s">
        <v>4613</v>
      </c>
      <c r="I710" t="s">
        <v>110</v>
      </c>
      <c r="J710" t="s">
        <v>111</v>
      </c>
      <c r="K710" t="str">
        <f>"85249"</f>
        <v>85249</v>
      </c>
      <c r="L710" t="s">
        <v>4534</v>
      </c>
      <c r="M710" t="s">
        <v>4613</v>
      </c>
      <c r="N710" t="s">
        <v>110</v>
      </c>
      <c r="O710" t="s">
        <v>111</v>
      </c>
      <c r="P710" t="str">
        <f>"85249-1311"</f>
        <v>85249-1311</v>
      </c>
      <c r="Q710" t="s">
        <v>113</v>
      </c>
      <c r="R710" t="str">
        <f>"304-86-902"</f>
        <v>304-86-902</v>
      </c>
      <c r="S710" t="s">
        <v>4535</v>
      </c>
      <c r="T710" t="s">
        <v>4536</v>
      </c>
      <c r="U710">
        <v>3506</v>
      </c>
      <c r="W710">
        <v>6</v>
      </c>
      <c r="X710">
        <v>2015</v>
      </c>
      <c r="Z710">
        <v>2</v>
      </c>
      <c r="AC710" t="s">
        <v>115</v>
      </c>
      <c r="AD710">
        <v>2</v>
      </c>
      <c r="AE710" t="s">
        <v>115</v>
      </c>
      <c r="AH710" t="s">
        <v>116</v>
      </c>
      <c r="AI710" s="1">
        <v>124815</v>
      </c>
      <c r="AJ710" s="2">
        <v>0.23</v>
      </c>
      <c r="AK710" s="1">
        <v>536587</v>
      </c>
      <c r="AL710" t="s">
        <v>117</v>
      </c>
      <c r="AM710" t="s">
        <v>118</v>
      </c>
      <c r="AN710">
        <v>7870</v>
      </c>
      <c r="AO710">
        <v>0.18</v>
      </c>
      <c r="AR710">
        <v>1</v>
      </c>
      <c r="AS710" s="1">
        <v>37910</v>
      </c>
      <c r="AT710" s="1">
        <v>7580</v>
      </c>
      <c r="AU710" s="1">
        <v>30330</v>
      </c>
      <c r="AV710">
        <v>80.010000000000005</v>
      </c>
      <c r="AX710" s="1">
        <v>3247.22</v>
      </c>
      <c r="AY710" t="s">
        <v>3699</v>
      </c>
      <c r="AZ710" t="s">
        <v>273</v>
      </c>
      <c r="BA710" t="s">
        <v>274</v>
      </c>
      <c r="BE710" s="3">
        <v>42170</v>
      </c>
      <c r="BF710" s="1">
        <v>398618</v>
      </c>
      <c r="BG710" t="s">
        <v>275</v>
      </c>
      <c r="BH710" s="1">
        <v>113.7</v>
      </c>
      <c r="BI710" s="1">
        <v>411772</v>
      </c>
      <c r="BJ710" s="3">
        <v>42170</v>
      </c>
      <c r="BK710" t="s">
        <v>123</v>
      </c>
      <c r="BL710" t="str">
        <f>"2015.425912"</f>
        <v>2015.425912</v>
      </c>
      <c r="BM710" t="s">
        <v>3810</v>
      </c>
      <c r="BO710" t="s">
        <v>4614</v>
      </c>
      <c r="BS710">
        <v>30</v>
      </c>
      <c r="BW710" t="str">
        <f>""</f>
        <v/>
      </c>
      <c r="CH710" t="str">
        <f>""</f>
        <v/>
      </c>
      <c r="CS710" t="str">
        <f>""</f>
        <v/>
      </c>
    </row>
    <row r="711" spans="1:97" x14ac:dyDescent="0.25">
      <c r="A711" t="s">
        <v>4615</v>
      </c>
      <c r="B711" t="s">
        <v>4616</v>
      </c>
      <c r="C711" t="s">
        <v>484</v>
      </c>
      <c r="D711" t="s">
        <v>4616</v>
      </c>
      <c r="E711" t="s">
        <v>4617</v>
      </c>
      <c r="F711" t="s">
        <v>108</v>
      </c>
      <c r="H711" t="s">
        <v>4618</v>
      </c>
      <c r="I711" t="s">
        <v>3150</v>
      </c>
      <c r="J711" t="s">
        <v>111</v>
      </c>
      <c r="K711" t="str">
        <f>"85340"</f>
        <v>85340</v>
      </c>
      <c r="L711" t="s">
        <v>3151</v>
      </c>
      <c r="M711" t="s">
        <v>4618</v>
      </c>
      <c r="N711" t="s">
        <v>3150</v>
      </c>
      <c r="O711" t="s">
        <v>111</v>
      </c>
      <c r="P711" t="str">
        <f>"85340-2808"</f>
        <v>85340-2808</v>
      </c>
      <c r="Q711" t="s">
        <v>113</v>
      </c>
      <c r="R711" t="str">
        <f>"501-73-785"</f>
        <v>501-73-785</v>
      </c>
      <c r="S711" t="s">
        <v>3152</v>
      </c>
      <c r="U711">
        <v>4473</v>
      </c>
      <c r="W711">
        <v>6</v>
      </c>
      <c r="X711">
        <v>2016</v>
      </c>
      <c r="Z711">
        <v>2</v>
      </c>
      <c r="AA711" t="s">
        <v>26</v>
      </c>
      <c r="AC711" t="s">
        <v>115</v>
      </c>
      <c r="AD711">
        <v>2</v>
      </c>
      <c r="AE711" t="s">
        <v>115</v>
      </c>
      <c r="AH711" t="s">
        <v>116</v>
      </c>
      <c r="AI711" s="1">
        <v>18075</v>
      </c>
      <c r="AJ711" s="2">
        <v>0.03</v>
      </c>
      <c r="AK711" s="1">
        <v>543850</v>
      </c>
      <c r="AL711" t="s">
        <v>117</v>
      </c>
      <c r="AM711" t="s">
        <v>118</v>
      </c>
      <c r="AN711">
        <v>11695</v>
      </c>
      <c r="AO711">
        <v>0.27</v>
      </c>
      <c r="AR711">
        <v>1</v>
      </c>
      <c r="AS711" s="1">
        <v>43070</v>
      </c>
      <c r="AT711" s="1">
        <v>8610</v>
      </c>
      <c r="AU711" s="1">
        <v>34460</v>
      </c>
      <c r="AV711">
        <v>80.010000000000005</v>
      </c>
      <c r="AX711" s="1">
        <v>3617.16</v>
      </c>
      <c r="AY711" t="s">
        <v>3019</v>
      </c>
      <c r="AZ711" t="s">
        <v>3153</v>
      </c>
      <c r="BA711" t="s">
        <v>3154</v>
      </c>
      <c r="BE711" s="3">
        <v>42517</v>
      </c>
      <c r="BF711" s="1">
        <v>473577</v>
      </c>
      <c r="BG711" t="s">
        <v>636</v>
      </c>
      <c r="BH711" s="1">
        <v>105.87</v>
      </c>
      <c r="BI711" s="1">
        <v>525775</v>
      </c>
      <c r="BJ711" s="3">
        <v>43432</v>
      </c>
      <c r="BK711" t="s">
        <v>123</v>
      </c>
      <c r="BL711" t="str">
        <f>"2018.875399"</f>
        <v>2018.875399</v>
      </c>
      <c r="BM711" t="s">
        <v>4619</v>
      </c>
      <c r="BN711" t="s">
        <v>4620</v>
      </c>
      <c r="BO711" t="s">
        <v>4621</v>
      </c>
      <c r="BP711" t="s">
        <v>4622</v>
      </c>
      <c r="BR711" t="s">
        <v>139</v>
      </c>
      <c r="BW711" t="str">
        <f>""</f>
        <v/>
      </c>
      <c r="CH711" t="str">
        <f>""</f>
        <v/>
      </c>
      <c r="CS711" t="str">
        <f>""</f>
        <v/>
      </c>
    </row>
    <row r="712" spans="1:97" x14ac:dyDescent="0.25">
      <c r="A712" t="s">
        <v>894</v>
      </c>
      <c r="B712" t="s">
        <v>4623</v>
      </c>
      <c r="E712" t="s">
        <v>4624</v>
      </c>
      <c r="F712" t="s">
        <v>108</v>
      </c>
      <c r="H712" t="s">
        <v>4625</v>
      </c>
      <c r="I712" t="s">
        <v>453</v>
      </c>
      <c r="J712" t="s">
        <v>111</v>
      </c>
      <c r="K712" t="str">
        <f>"85383"</f>
        <v>85383</v>
      </c>
      <c r="L712" t="s">
        <v>189</v>
      </c>
      <c r="M712" t="s">
        <v>4625</v>
      </c>
      <c r="N712" t="s">
        <v>453</v>
      </c>
      <c r="O712" t="s">
        <v>111</v>
      </c>
      <c r="P712" t="str">
        <f>"85383-8059"</f>
        <v>85383-8059</v>
      </c>
      <c r="Q712" t="s">
        <v>113</v>
      </c>
      <c r="R712" t="str">
        <f>"510-07-916"</f>
        <v>510-07-916</v>
      </c>
      <c r="S712" t="s">
        <v>4548</v>
      </c>
      <c r="U712">
        <v>1841</v>
      </c>
      <c r="W712">
        <v>3</v>
      </c>
      <c r="X712">
        <v>2015</v>
      </c>
      <c r="Z712">
        <v>1</v>
      </c>
      <c r="AC712" t="s">
        <v>115</v>
      </c>
      <c r="AD712">
        <v>2</v>
      </c>
      <c r="AE712" t="s">
        <v>115</v>
      </c>
      <c r="AH712" t="s">
        <v>116</v>
      </c>
      <c r="AI712" s="1">
        <v>90294</v>
      </c>
      <c r="AJ712" s="2">
        <v>0.27</v>
      </c>
      <c r="AK712" s="1">
        <v>337825</v>
      </c>
      <c r="AL712" t="s">
        <v>117</v>
      </c>
      <c r="AM712" t="s">
        <v>118</v>
      </c>
      <c r="AN712">
        <v>5715</v>
      </c>
      <c r="AO712">
        <v>0.13</v>
      </c>
      <c r="AR712">
        <v>1</v>
      </c>
      <c r="AS712" s="1">
        <v>23200</v>
      </c>
      <c r="AT712" s="1">
        <v>4640</v>
      </c>
      <c r="AU712" s="1">
        <v>18560</v>
      </c>
      <c r="AV712">
        <v>80</v>
      </c>
      <c r="AX712" s="1">
        <v>2171.6</v>
      </c>
      <c r="AY712" t="s">
        <v>456</v>
      </c>
      <c r="AZ712" t="s">
        <v>456</v>
      </c>
      <c r="BA712" t="s">
        <v>457</v>
      </c>
      <c r="BE712" s="3">
        <v>42277</v>
      </c>
      <c r="BF712" s="1">
        <v>234700</v>
      </c>
      <c r="BG712" t="s">
        <v>292</v>
      </c>
      <c r="BH712" s="1">
        <v>127.49</v>
      </c>
      <c r="BI712" s="1">
        <v>247531</v>
      </c>
      <c r="BJ712" s="3">
        <v>42600</v>
      </c>
      <c r="BK712" t="s">
        <v>123</v>
      </c>
      <c r="BL712" t="str">
        <f>"2016.590830"</f>
        <v>2016.590830</v>
      </c>
      <c r="BM712" t="s">
        <v>673</v>
      </c>
      <c r="BO712" t="s">
        <v>4626</v>
      </c>
      <c r="BS712">
        <v>30</v>
      </c>
      <c r="BW712" t="str">
        <f>""</f>
        <v/>
      </c>
      <c r="CH712" t="str">
        <f>""</f>
        <v/>
      </c>
      <c r="CS712" t="str">
        <f>""</f>
        <v/>
      </c>
    </row>
    <row r="713" spans="1:97" x14ac:dyDescent="0.25">
      <c r="A713" t="s">
        <v>464</v>
      </c>
      <c r="B713" t="s">
        <v>4627</v>
      </c>
      <c r="C713" t="s">
        <v>4628</v>
      </c>
      <c r="D713" t="s">
        <v>4629</v>
      </c>
      <c r="E713" t="s">
        <v>4630</v>
      </c>
      <c r="F713" t="s">
        <v>108</v>
      </c>
      <c r="H713" t="s">
        <v>4631</v>
      </c>
      <c r="I713" t="s">
        <v>453</v>
      </c>
      <c r="J713" t="s">
        <v>111</v>
      </c>
      <c r="K713" t="str">
        <f>"85383"</f>
        <v>85383</v>
      </c>
      <c r="L713" t="s">
        <v>688</v>
      </c>
      <c r="M713" t="s">
        <v>4631</v>
      </c>
      <c r="N713" t="s">
        <v>453</v>
      </c>
      <c r="O713" t="s">
        <v>111</v>
      </c>
      <c r="P713" t="str">
        <f>"85383-3349"</f>
        <v>85383-3349</v>
      </c>
      <c r="Q713" t="s">
        <v>113</v>
      </c>
      <c r="R713" t="str">
        <f>"200-19-547"</f>
        <v>200-19-547</v>
      </c>
      <c r="S713" t="s">
        <v>3191</v>
      </c>
      <c r="T713" t="s">
        <v>3061</v>
      </c>
      <c r="U713">
        <v>2364</v>
      </c>
      <c r="W713">
        <v>4</v>
      </c>
      <c r="X713">
        <v>2016</v>
      </c>
      <c r="Z713">
        <v>1</v>
      </c>
      <c r="AC713" t="s">
        <v>115</v>
      </c>
      <c r="AD713">
        <v>2</v>
      </c>
      <c r="AE713" t="s">
        <v>115</v>
      </c>
      <c r="AH713" t="s">
        <v>116</v>
      </c>
      <c r="AI713" s="1">
        <v>14130</v>
      </c>
      <c r="AJ713" s="2">
        <v>0.04</v>
      </c>
      <c r="AK713" s="1">
        <v>394380</v>
      </c>
      <c r="AL713" t="s">
        <v>117</v>
      </c>
      <c r="AM713" t="s">
        <v>118</v>
      </c>
      <c r="AN713">
        <v>6429</v>
      </c>
      <c r="AO713">
        <v>0.15</v>
      </c>
      <c r="AR713">
        <v>1</v>
      </c>
      <c r="AS713" s="1">
        <v>30020</v>
      </c>
      <c r="AT713" s="1">
        <v>6000</v>
      </c>
      <c r="AU713" s="1">
        <v>24020</v>
      </c>
      <c r="AV713">
        <v>80.010000000000005</v>
      </c>
      <c r="AX713" s="1">
        <v>2513.1</v>
      </c>
      <c r="AY713" t="s">
        <v>1808</v>
      </c>
      <c r="AZ713" t="s">
        <v>1808</v>
      </c>
      <c r="BA713" t="s">
        <v>457</v>
      </c>
      <c r="BB713" s="3">
        <v>42577</v>
      </c>
      <c r="BC713" s="1">
        <v>365280</v>
      </c>
      <c r="BD713" t="s">
        <v>842</v>
      </c>
      <c r="BE713" s="3">
        <v>42545</v>
      </c>
      <c r="BF713" s="1">
        <v>365280</v>
      </c>
      <c r="BG713" t="s">
        <v>3062</v>
      </c>
      <c r="BH713" s="1">
        <v>154.52000000000001</v>
      </c>
      <c r="BI713" s="1">
        <v>380250</v>
      </c>
      <c r="BJ713" s="3">
        <v>42620</v>
      </c>
      <c r="BK713" t="s">
        <v>123</v>
      </c>
      <c r="BL713" t="str">
        <f>"2016.646505"</f>
        <v>2016.646505</v>
      </c>
      <c r="BM713" t="s">
        <v>1122</v>
      </c>
      <c r="BN713" t="s">
        <v>1624</v>
      </c>
      <c r="BO713" t="s">
        <v>4632</v>
      </c>
      <c r="BS713">
        <v>30</v>
      </c>
      <c r="BT713" s="1">
        <v>380250</v>
      </c>
      <c r="BU713" s="3">
        <v>42620</v>
      </c>
      <c r="BV713" t="s">
        <v>123</v>
      </c>
      <c r="BW713" t="str">
        <f>"2016.646505"</f>
        <v>2016.646505</v>
      </c>
      <c r="BX713" t="s">
        <v>1122</v>
      </c>
      <c r="BZ713" t="s">
        <v>4632</v>
      </c>
      <c r="CD713">
        <v>30</v>
      </c>
      <c r="CH713" t="str">
        <f>""</f>
        <v/>
      </c>
      <c r="CS713" t="str">
        <f>""</f>
        <v/>
      </c>
    </row>
    <row r="714" spans="1:97" x14ac:dyDescent="0.25">
      <c r="A714" t="s">
        <v>370</v>
      </c>
      <c r="B714" t="s">
        <v>2255</v>
      </c>
      <c r="E714" t="s">
        <v>4633</v>
      </c>
      <c r="F714" t="s">
        <v>108</v>
      </c>
      <c r="H714" t="s">
        <v>4634</v>
      </c>
      <c r="I714" t="s">
        <v>188</v>
      </c>
      <c r="J714" t="s">
        <v>111</v>
      </c>
      <c r="K714" t="str">
        <f>"85142"</f>
        <v>85142</v>
      </c>
      <c r="L714" t="s">
        <v>625</v>
      </c>
      <c r="M714" t="s">
        <v>4634</v>
      </c>
      <c r="N714" t="s">
        <v>188</v>
      </c>
      <c r="O714" t="s">
        <v>111</v>
      </c>
      <c r="P714" t="str">
        <f>"85142-8157"</f>
        <v>85142-8157</v>
      </c>
      <c r="Q714" t="s">
        <v>113</v>
      </c>
      <c r="R714" t="str">
        <f>"304-88-603"</f>
        <v>304-88-603</v>
      </c>
      <c r="S714" t="s">
        <v>3204</v>
      </c>
      <c r="U714">
        <v>2558</v>
      </c>
      <c r="W714">
        <v>3</v>
      </c>
      <c r="X714">
        <v>2015</v>
      </c>
      <c r="Z714">
        <v>1</v>
      </c>
      <c r="AC714" t="s">
        <v>115</v>
      </c>
      <c r="AD714">
        <v>3</v>
      </c>
      <c r="AE714" t="s">
        <v>115</v>
      </c>
      <c r="AH714" t="s">
        <v>116</v>
      </c>
      <c r="AI714" s="1">
        <v>114667</v>
      </c>
      <c r="AJ714" s="2">
        <v>0.28999999999999998</v>
      </c>
      <c r="AK714" s="1">
        <v>399564</v>
      </c>
      <c r="AL714" t="s">
        <v>117</v>
      </c>
      <c r="AM714" t="s">
        <v>393</v>
      </c>
      <c r="AN714">
        <v>12324</v>
      </c>
      <c r="AO714">
        <v>0.28000000000000003</v>
      </c>
      <c r="AR714">
        <v>1</v>
      </c>
      <c r="AS714" s="1">
        <v>28760</v>
      </c>
      <c r="AT714" s="1">
        <v>5750</v>
      </c>
      <c r="AU714" s="1">
        <v>23010</v>
      </c>
      <c r="AV714">
        <v>80.010000000000005</v>
      </c>
      <c r="AX714" s="1">
        <v>2897.4</v>
      </c>
      <c r="AY714" t="s">
        <v>560</v>
      </c>
      <c r="AZ714" t="s">
        <v>561</v>
      </c>
      <c r="BA714" t="s">
        <v>194</v>
      </c>
      <c r="BE714" s="3">
        <v>42304</v>
      </c>
      <c r="BF714" s="1">
        <v>278901</v>
      </c>
      <c r="BG714" t="s">
        <v>1975</v>
      </c>
      <c r="BH714" s="1">
        <v>109.03</v>
      </c>
      <c r="BI714" s="1">
        <v>284897</v>
      </c>
      <c r="BJ714" s="3">
        <v>42304</v>
      </c>
      <c r="BK714" t="s">
        <v>123</v>
      </c>
      <c r="BL714" t="str">
        <f>"2015.771970"</f>
        <v>2015.771970</v>
      </c>
      <c r="BM714" t="s">
        <v>594</v>
      </c>
      <c r="BO714" t="s">
        <v>4635</v>
      </c>
      <c r="BS714">
        <v>30</v>
      </c>
      <c r="BW714" t="str">
        <f>""</f>
        <v/>
      </c>
      <c r="CH714" t="str">
        <f>""</f>
        <v/>
      </c>
      <c r="CS714" t="str">
        <f>""</f>
        <v/>
      </c>
    </row>
    <row r="715" spans="1:97" x14ac:dyDescent="0.25">
      <c r="A715" t="s">
        <v>4636</v>
      </c>
      <c r="B715" t="s">
        <v>4637</v>
      </c>
      <c r="C715" t="s">
        <v>1938</v>
      </c>
      <c r="D715" t="s">
        <v>4638</v>
      </c>
      <c r="E715" t="s">
        <v>4639</v>
      </c>
      <c r="F715" t="s">
        <v>108</v>
      </c>
      <c r="H715" t="s">
        <v>4640</v>
      </c>
      <c r="I715" t="s">
        <v>110</v>
      </c>
      <c r="J715" t="s">
        <v>111</v>
      </c>
      <c r="K715" t="str">
        <f>"85249"</f>
        <v>85249</v>
      </c>
      <c r="L715" t="s">
        <v>4534</v>
      </c>
      <c r="M715" t="s">
        <v>4640</v>
      </c>
      <c r="N715" t="s">
        <v>110</v>
      </c>
      <c r="O715" t="s">
        <v>111</v>
      </c>
      <c r="P715" t="str">
        <f>"85249-1304"</f>
        <v>85249-1304</v>
      </c>
      <c r="Q715" t="s">
        <v>113</v>
      </c>
      <c r="R715" t="str">
        <f>"304-86-873"</f>
        <v>304-86-873</v>
      </c>
      <c r="S715" t="s">
        <v>4535</v>
      </c>
      <c r="T715" t="s">
        <v>4536</v>
      </c>
      <c r="U715">
        <v>2122</v>
      </c>
      <c r="W715">
        <v>4</v>
      </c>
      <c r="X715">
        <v>2015</v>
      </c>
      <c r="Z715">
        <v>1</v>
      </c>
      <c r="AC715" t="s">
        <v>115</v>
      </c>
      <c r="AD715">
        <v>2</v>
      </c>
      <c r="AE715" t="s">
        <v>115</v>
      </c>
      <c r="AH715" t="s">
        <v>116</v>
      </c>
      <c r="AI715" s="1">
        <v>86958</v>
      </c>
      <c r="AJ715" s="2">
        <v>0.2</v>
      </c>
      <c r="AK715" s="1">
        <v>426813</v>
      </c>
      <c r="AL715" t="s">
        <v>117</v>
      </c>
      <c r="AM715" t="s">
        <v>118</v>
      </c>
      <c r="AN715">
        <v>8122</v>
      </c>
      <c r="AO715">
        <v>0.19</v>
      </c>
      <c r="AR715">
        <v>1</v>
      </c>
      <c r="AS715" s="1">
        <v>31010</v>
      </c>
      <c r="AT715" s="1">
        <v>6200</v>
      </c>
      <c r="AU715" s="1">
        <v>24810</v>
      </c>
      <c r="AV715">
        <v>80.010000000000005</v>
      </c>
      <c r="AX715" s="1">
        <v>2318.46</v>
      </c>
      <c r="AY715" t="s">
        <v>3699</v>
      </c>
      <c r="AZ715" t="s">
        <v>273</v>
      </c>
      <c r="BA715" t="s">
        <v>274</v>
      </c>
      <c r="BE715" s="3">
        <v>42429</v>
      </c>
      <c r="BF715" s="1">
        <v>328999</v>
      </c>
      <c r="BG715" t="s">
        <v>275</v>
      </c>
      <c r="BH715" s="1">
        <v>155.04</v>
      </c>
      <c r="BI715" s="1">
        <v>339855</v>
      </c>
      <c r="BJ715" s="3">
        <v>42429</v>
      </c>
      <c r="BK715" t="s">
        <v>123</v>
      </c>
      <c r="BL715" t="str">
        <f>"2016.129460"</f>
        <v>2016.129460</v>
      </c>
      <c r="BM715" t="s">
        <v>651</v>
      </c>
      <c r="BO715" t="s">
        <v>4641</v>
      </c>
      <c r="BP715" t="s">
        <v>4642</v>
      </c>
      <c r="BS715">
        <v>30</v>
      </c>
      <c r="BW715" t="str">
        <f>""</f>
        <v/>
      </c>
      <c r="CH715" t="str">
        <f>""</f>
        <v/>
      </c>
      <c r="CS715" t="str">
        <f>""</f>
        <v/>
      </c>
    </row>
    <row r="716" spans="1:97" x14ac:dyDescent="0.25">
      <c r="B716" t="s">
        <v>4643</v>
      </c>
      <c r="C716" t="s">
        <v>4644</v>
      </c>
      <c r="E716" t="s">
        <v>4645</v>
      </c>
      <c r="F716" t="s">
        <v>108</v>
      </c>
      <c r="H716" t="s">
        <v>4646</v>
      </c>
      <c r="I716" t="s">
        <v>453</v>
      </c>
      <c r="J716" t="s">
        <v>111</v>
      </c>
      <c r="K716" t="str">
        <f>"85383"</f>
        <v>85383</v>
      </c>
      <c r="L716" t="s">
        <v>2220</v>
      </c>
      <c r="M716" t="s">
        <v>4646</v>
      </c>
      <c r="N716" t="s">
        <v>453</v>
      </c>
      <c r="O716" t="s">
        <v>111</v>
      </c>
      <c r="P716" t="str">
        <f>"85383-1917"</f>
        <v>85383-1917</v>
      </c>
      <c r="Q716" t="s">
        <v>113</v>
      </c>
      <c r="R716" t="str">
        <f>"201-14-553"</f>
        <v>201-14-553</v>
      </c>
      <c r="S716" t="s">
        <v>4217</v>
      </c>
      <c r="T716" t="s">
        <v>4217</v>
      </c>
      <c r="U716">
        <v>3532</v>
      </c>
      <c r="W716">
        <v>5</v>
      </c>
      <c r="X716">
        <v>2015</v>
      </c>
      <c r="Z716">
        <v>1</v>
      </c>
      <c r="AA716" t="s">
        <v>26</v>
      </c>
      <c r="AC716" t="s">
        <v>115</v>
      </c>
      <c r="AD716">
        <v>4</v>
      </c>
      <c r="AE716" t="s">
        <v>115</v>
      </c>
      <c r="AH716" t="s">
        <v>116</v>
      </c>
      <c r="AI716" s="1">
        <v>145127</v>
      </c>
      <c r="AJ716" s="2">
        <v>0.21</v>
      </c>
      <c r="AK716" s="1">
        <v>679374</v>
      </c>
      <c r="AL716" t="s">
        <v>117</v>
      </c>
      <c r="AM716" t="s">
        <v>3111</v>
      </c>
      <c r="AN716">
        <v>18083</v>
      </c>
      <c r="AO716">
        <v>0.42</v>
      </c>
      <c r="AR716">
        <v>1</v>
      </c>
      <c r="AS716" s="1">
        <v>53150</v>
      </c>
      <c r="AT716" s="1">
        <v>10630</v>
      </c>
      <c r="AU716" s="1">
        <v>42520</v>
      </c>
      <c r="AV716">
        <v>80</v>
      </c>
      <c r="AX716" s="1">
        <v>4362.96</v>
      </c>
      <c r="AY716" t="s">
        <v>4218</v>
      </c>
      <c r="AZ716" t="s">
        <v>4218</v>
      </c>
      <c r="BA716" t="s">
        <v>4219</v>
      </c>
      <c r="BB716" s="3">
        <v>43726</v>
      </c>
      <c r="BC716" s="1">
        <v>0</v>
      </c>
      <c r="BD716" t="s">
        <v>247</v>
      </c>
      <c r="BE716" s="3">
        <v>42432</v>
      </c>
      <c r="BF716" s="1">
        <v>586281</v>
      </c>
      <c r="BG716" t="s">
        <v>275</v>
      </c>
      <c r="BH716" s="1">
        <v>165.99</v>
      </c>
      <c r="BI716" s="1">
        <v>534247</v>
      </c>
      <c r="BJ716" s="3">
        <v>42432</v>
      </c>
      <c r="BK716" t="s">
        <v>123</v>
      </c>
      <c r="BL716" t="str">
        <f>"2016.139566"</f>
        <v>2016.139566</v>
      </c>
      <c r="BM716" t="s">
        <v>651</v>
      </c>
      <c r="BN716" t="s">
        <v>652</v>
      </c>
      <c r="BO716" t="s">
        <v>4647</v>
      </c>
      <c r="BS716">
        <v>30</v>
      </c>
      <c r="BW716" t="str">
        <f>""</f>
        <v/>
      </c>
      <c r="CH716" t="str">
        <f>""</f>
        <v/>
      </c>
      <c r="CS716" t="str">
        <f>""</f>
        <v/>
      </c>
    </row>
    <row r="717" spans="1:97" x14ac:dyDescent="0.25">
      <c r="A717" t="s">
        <v>2099</v>
      </c>
      <c r="B717" t="s">
        <v>4648</v>
      </c>
      <c r="E717" t="s">
        <v>4649</v>
      </c>
      <c r="F717" t="s">
        <v>108</v>
      </c>
      <c r="H717" t="s">
        <v>4650</v>
      </c>
      <c r="I717" t="s">
        <v>499</v>
      </c>
      <c r="J717" t="s">
        <v>111</v>
      </c>
      <c r="K717" t="str">
        <f>"85395"</f>
        <v>85395</v>
      </c>
      <c r="L717" t="s">
        <v>500</v>
      </c>
      <c r="M717" t="s">
        <v>4650</v>
      </c>
      <c r="N717" t="s">
        <v>499</v>
      </c>
      <c r="O717" t="s">
        <v>111</v>
      </c>
      <c r="P717" t="str">
        <f>"85395-6404"</f>
        <v>85395-6404</v>
      </c>
      <c r="Q717" t="s">
        <v>113</v>
      </c>
      <c r="R717" t="str">
        <f>"502-30-532"</f>
        <v>502-30-532</v>
      </c>
      <c r="S717" t="s">
        <v>3263</v>
      </c>
      <c r="T717" t="s">
        <v>502</v>
      </c>
      <c r="U717">
        <v>2414</v>
      </c>
      <c r="W717">
        <v>4</v>
      </c>
      <c r="X717">
        <v>2015</v>
      </c>
      <c r="Z717">
        <v>1</v>
      </c>
      <c r="AA717" t="s">
        <v>26</v>
      </c>
      <c r="AC717" t="s">
        <v>115</v>
      </c>
      <c r="AD717">
        <v>3</v>
      </c>
      <c r="AE717" t="s">
        <v>115</v>
      </c>
      <c r="AH717" t="s">
        <v>116</v>
      </c>
      <c r="AI717" s="1">
        <v>48802</v>
      </c>
      <c r="AJ717" s="2">
        <v>0.13</v>
      </c>
      <c r="AK717" s="1">
        <v>388416</v>
      </c>
      <c r="AL717" t="s">
        <v>117</v>
      </c>
      <c r="AM717" t="s">
        <v>118</v>
      </c>
      <c r="AN717">
        <v>12709</v>
      </c>
      <c r="AO717">
        <v>0.28999999999999998</v>
      </c>
      <c r="AR717">
        <v>1</v>
      </c>
      <c r="AS717" s="1">
        <v>28610</v>
      </c>
      <c r="AT717" s="1">
        <v>5720</v>
      </c>
      <c r="AU717" s="1">
        <v>22890</v>
      </c>
      <c r="AV717">
        <v>80.010000000000005</v>
      </c>
      <c r="AX717" s="1">
        <v>2260.48</v>
      </c>
      <c r="AY717" t="s">
        <v>503</v>
      </c>
      <c r="AZ717" t="s">
        <v>504</v>
      </c>
      <c r="BA717" t="s">
        <v>218</v>
      </c>
      <c r="BE717" s="3">
        <v>42179</v>
      </c>
      <c r="BF717" s="1">
        <v>290359</v>
      </c>
      <c r="BG717" t="s">
        <v>209</v>
      </c>
      <c r="BH717" s="1">
        <v>120.28</v>
      </c>
      <c r="BI717" s="1">
        <v>296601</v>
      </c>
      <c r="BJ717" s="3">
        <v>42179</v>
      </c>
      <c r="BK717" t="s">
        <v>123</v>
      </c>
      <c r="BL717" t="str">
        <f>"2015.452752"</f>
        <v>2015.452752</v>
      </c>
      <c r="BM717" t="s">
        <v>175</v>
      </c>
      <c r="BO717" t="s">
        <v>4651</v>
      </c>
      <c r="BS717">
        <v>30</v>
      </c>
      <c r="BT717" s="1">
        <v>43013</v>
      </c>
      <c r="BU717" s="3">
        <v>42977</v>
      </c>
      <c r="BW717" t="str">
        <f>"2017.640538"</f>
        <v>2017.640538</v>
      </c>
      <c r="BX717" t="s">
        <v>198</v>
      </c>
      <c r="BZ717" t="s">
        <v>4651</v>
      </c>
      <c r="CD717">
        <v>10</v>
      </c>
      <c r="CH717" t="str">
        <f>""</f>
        <v/>
      </c>
      <c r="CS717" t="str">
        <f>""</f>
        <v/>
      </c>
    </row>
    <row r="718" spans="1:97" x14ac:dyDescent="0.25">
      <c r="A718" t="s">
        <v>1335</v>
      </c>
      <c r="B718" t="s">
        <v>4652</v>
      </c>
      <c r="C718" t="s">
        <v>325</v>
      </c>
      <c r="D718" t="s">
        <v>4653</v>
      </c>
      <c r="E718" t="s">
        <v>4654</v>
      </c>
      <c r="F718" t="s">
        <v>108</v>
      </c>
      <c r="H718" t="s">
        <v>4655</v>
      </c>
      <c r="I718" t="s">
        <v>144</v>
      </c>
      <c r="J718" t="s">
        <v>111</v>
      </c>
      <c r="K718" t="str">
        <f>"85396"</f>
        <v>85396</v>
      </c>
      <c r="L718" t="s">
        <v>3094</v>
      </c>
      <c r="M718" t="s">
        <v>4655</v>
      </c>
      <c r="N718" t="s">
        <v>144</v>
      </c>
      <c r="O718" t="s">
        <v>111</v>
      </c>
      <c r="P718" t="str">
        <f>"85396-6536"</f>
        <v>85396-6536</v>
      </c>
      <c r="Q718" t="s">
        <v>113</v>
      </c>
      <c r="R718" t="str">
        <f>"502-82-741"</f>
        <v>502-82-741</v>
      </c>
      <c r="S718" t="s">
        <v>3095</v>
      </c>
      <c r="U718">
        <v>2297</v>
      </c>
      <c r="W718">
        <v>3</v>
      </c>
      <c r="X718">
        <v>2016</v>
      </c>
      <c r="Z718">
        <v>1</v>
      </c>
      <c r="AC718" t="s">
        <v>115</v>
      </c>
      <c r="AD718">
        <v>2</v>
      </c>
      <c r="AE718" t="s">
        <v>115</v>
      </c>
      <c r="AH718" t="s">
        <v>116</v>
      </c>
      <c r="AI718" s="1">
        <v>93471</v>
      </c>
      <c r="AJ718" s="2">
        <v>0.2</v>
      </c>
      <c r="AK718" s="1">
        <v>457471</v>
      </c>
      <c r="AL718" t="s">
        <v>117</v>
      </c>
      <c r="AM718" t="s">
        <v>118</v>
      </c>
      <c r="AN718">
        <v>6820</v>
      </c>
      <c r="AO718">
        <v>0.16</v>
      </c>
      <c r="AR718">
        <v>1</v>
      </c>
      <c r="AS718" s="1">
        <v>35880</v>
      </c>
      <c r="AT718" s="1">
        <v>7170</v>
      </c>
      <c r="AU718" s="1">
        <v>28710</v>
      </c>
      <c r="AV718">
        <v>80.02</v>
      </c>
      <c r="AX718" s="1">
        <v>4148.28</v>
      </c>
      <c r="AY718" t="s">
        <v>543</v>
      </c>
      <c r="AZ718" t="s">
        <v>504</v>
      </c>
      <c r="BA718" t="s">
        <v>218</v>
      </c>
      <c r="BB718" s="3">
        <v>42843</v>
      </c>
      <c r="BD718" t="s">
        <v>458</v>
      </c>
      <c r="BE718" s="3">
        <v>42468</v>
      </c>
      <c r="BF718" s="1">
        <v>406255</v>
      </c>
      <c r="BG718" t="s">
        <v>195</v>
      </c>
      <c r="BH718" s="1">
        <v>176.86</v>
      </c>
      <c r="BI718" s="1">
        <v>264000</v>
      </c>
      <c r="BJ718" s="3">
        <v>42843</v>
      </c>
      <c r="BK718" t="s">
        <v>123</v>
      </c>
      <c r="BL718" t="str">
        <f>"2017.273090"</f>
        <v>2017.273090</v>
      </c>
      <c r="BM718" t="s">
        <v>1837</v>
      </c>
      <c r="BN718" t="s">
        <v>1916</v>
      </c>
      <c r="BO718" t="s">
        <v>4656</v>
      </c>
      <c r="BP718" t="s">
        <v>4657</v>
      </c>
      <c r="BS718">
        <v>30</v>
      </c>
      <c r="BT718" s="1">
        <v>100000</v>
      </c>
      <c r="BU718" s="3">
        <v>43342</v>
      </c>
      <c r="BW718" t="str">
        <f>"2018.654597"</f>
        <v>2018.654597</v>
      </c>
      <c r="BX718" t="s">
        <v>2042</v>
      </c>
      <c r="BY718" t="s">
        <v>1575</v>
      </c>
      <c r="BZ718" t="s">
        <v>4658</v>
      </c>
      <c r="CA718" t="s">
        <v>4659</v>
      </c>
      <c r="CC718" t="s">
        <v>346</v>
      </c>
      <c r="CH718" t="str">
        <f>""</f>
        <v/>
      </c>
      <c r="CS718" t="str">
        <f>""</f>
        <v/>
      </c>
    </row>
    <row r="719" spans="1:97" x14ac:dyDescent="0.25">
      <c r="A719" t="s">
        <v>938</v>
      </c>
      <c r="B719" t="s">
        <v>4660</v>
      </c>
      <c r="C719" t="s">
        <v>4661</v>
      </c>
      <c r="D719" t="s">
        <v>4660</v>
      </c>
      <c r="E719" t="s">
        <v>4662</v>
      </c>
      <c r="F719" t="s">
        <v>108</v>
      </c>
      <c r="H719" t="s">
        <v>4663</v>
      </c>
      <c r="I719" t="s">
        <v>453</v>
      </c>
      <c r="J719" t="s">
        <v>111</v>
      </c>
      <c r="K719" t="str">
        <f>"85383"</f>
        <v>85383</v>
      </c>
      <c r="L719" t="s">
        <v>625</v>
      </c>
      <c r="M719" t="s">
        <v>4663</v>
      </c>
      <c r="N719" t="s">
        <v>453</v>
      </c>
      <c r="O719" t="s">
        <v>111</v>
      </c>
      <c r="P719" t="str">
        <f>"85383-8917"</f>
        <v>85383-8917</v>
      </c>
      <c r="Q719" t="s">
        <v>113</v>
      </c>
      <c r="R719" t="str">
        <f>"201-17-866"</f>
        <v>201-17-866</v>
      </c>
      <c r="S719" t="s">
        <v>4664</v>
      </c>
      <c r="U719">
        <v>1958</v>
      </c>
      <c r="W719">
        <v>4</v>
      </c>
      <c r="X719">
        <v>2016</v>
      </c>
      <c r="Z719">
        <v>1</v>
      </c>
      <c r="AC719" t="s">
        <v>115</v>
      </c>
      <c r="AD719">
        <v>3</v>
      </c>
      <c r="AE719" t="s">
        <v>115</v>
      </c>
      <c r="AH719" t="s">
        <v>116</v>
      </c>
      <c r="AI719" s="1">
        <v>75181</v>
      </c>
      <c r="AJ719" s="2">
        <v>0.2</v>
      </c>
      <c r="AK719" s="1">
        <v>372458</v>
      </c>
      <c r="AL719" t="s">
        <v>117</v>
      </c>
      <c r="AM719" t="s">
        <v>118</v>
      </c>
      <c r="AN719">
        <v>5750</v>
      </c>
      <c r="AO719">
        <v>0.13</v>
      </c>
      <c r="AR719">
        <v>1</v>
      </c>
      <c r="AS719" s="1">
        <v>26500</v>
      </c>
      <c r="AT719" s="1">
        <v>5300</v>
      </c>
      <c r="AU719" s="1">
        <v>21200</v>
      </c>
      <c r="AV719">
        <v>80</v>
      </c>
      <c r="AX719" s="1">
        <v>2240.9</v>
      </c>
      <c r="AY719" t="s">
        <v>627</v>
      </c>
      <c r="AZ719" t="s">
        <v>627</v>
      </c>
      <c r="BA719" t="s">
        <v>457</v>
      </c>
      <c r="BE719" s="3">
        <v>42494</v>
      </c>
      <c r="BF719" s="1">
        <v>291021</v>
      </c>
      <c r="BG719" t="s">
        <v>275</v>
      </c>
      <c r="BH719" s="1">
        <v>148.63</v>
      </c>
      <c r="BI719" s="1">
        <v>297277</v>
      </c>
      <c r="BJ719" s="3">
        <v>42494</v>
      </c>
      <c r="BK719" t="s">
        <v>123</v>
      </c>
      <c r="BL719" t="str">
        <f>"2016.305177"</f>
        <v>2016.305177</v>
      </c>
      <c r="BM719" t="s">
        <v>651</v>
      </c>
      <c r="BO719" t="s">
        <v>4665</v>
      </c>
      <c r="BS719">
        <v>30</v>
      </c>
      <c r="BW719" t="str">
        <f>""</f>
        <v/>
      </c>
      <c r="CH719" t="str">
        <f>""</f>
        <v/>
      </c>
      <c r="CS719" t="str">
        <f>""</f>
        <v/>
      </c>
    </row>
    <row r="720" spans="1:97" x14ac:dyDescent="0.25">
      <c r="A720" t="s">
        <v>996</v>
      </c>
      <c r="B720" t="s">
        <v>603</v>
      </c>
      <c r="C720" t="s">
        <v>2168</v>
      </c>
      <c r="D720" t="s">
        <v>603</v>
      </c>
      <c r="E720" t="s">
        <v>4666</v>
      </c>
      <c r="F720" t="s">
        <v>108</v>
      </c>
      <c r="H720" t="s">
        <v>4667</v>
      </c>
      <c r="I720" t="s">
        <v>188</v>
      </c>
      <c r="J720" t="s">
        <v>111</v>
      </c>
      <c r="K720" t="str">
        <f>"85142"</f>
        <v>85142</v>
      </c>
      <c r="L720" t="s">
        <v>625</v>
      </c>
      <c r="M720" t="s">
        <v>4667</v>
      </c>
      <c r="N720" t="s">
        <v>188</v>
      </c>
      <c r="O720" t="s">
        <v>111</v>
      </c>
      <c r="P720" t="str">
        <f>"85142-8163"</f>
        <v>85142-8163</v>
      </c>
      <c r="Q720" t="s">
        <v>113</v>
      </c>
      <c r="R720" t="str">
        <f>"304-88-664"</f>
        <v>304-88-664</v>
      </c>
      <c r="S720" t="s">
        <v>3204</v>
      </c>
      <c r="U720">
        <v>2527</v>
      </c>
      <c r="W720">
        <v>4</v>
      </c>
      <c r="X720">
        <v>2015</v>
      </c>
      <c r="Z720">
        <v>1</v>
      </c>
      <c r="AA720" t="s">
        <v>26</v>
      </c>
      <c r="AC720" t="s">
        <v>115</v>
      </c>
      <c r="AD720">
        <v>3</v>
      </c>
      <c r="AE720" t="s">
        <v>115</v>
      </c>
      <c r="AH720" t="s">
        <v>116</v>
      </c>
      <c r="AI720" s="1">
        <v>102168</v>
      </c>
      <c r="AJ720" s="2">
        <v>0.25</v>
      </c>
      <c r="AK720" s="1">
        <v>403784</v>
      </c>
      <c r="AL720" t="s">
        <v>117</v>
      </c>
      <c r="AM720" t="s">
        <v>393</v>
      </c>
      <c r="AN720">
        <v>8400</v>
      </c>
      <c r="AO720">
        <v>0.19</v>
      </c>
      <c r="AR720">
        <v>1</v>
      </c>
      <c r="AS720" s="1">
        <v>29500</v>
      </c>
      <c r="AT720" s="1">
        <v>5900</v>
      </c>
      <c r="AU720" s="1">
        <v>23600</v>
      </c>
      <c r="AV720">
        <v>80</v>
      </c>
      <c r="AX720" s="1">
        <v>2734.36</v>
      </c>
      <c r="AY720" t="s">
        <v>560</v>
      </c>
      <c r="AZ720" t="s">
        <v>561</v>
      </c>
      <c r="BA720" t="s">
        <v>194</v>
      </c>
      <c r="BE720" s="3">
        <v>42192</v>
      </c>
      <c r="BF720" s="1">
        <v>301616</v>
      </c>
      <c r="BG720" t="s">
        <v>1975</v>
      </c>
      <c r="BH720" s="1">
        <v>119.36</v>
      </c>
      <c r="BI720" s="1">
        <v>301616</v>
      </c>
      <c r="BJ720" s="3">
        <v>42192</v>
      </c>
      <c r="BK720" t="s">
        <v>123</v>
      </c>
      <c r="BL720" t="str">
        <f>"2015.486781"</f>
        <v>2015.486781</v>
      </c>
      <c r="BM720" t="s">
        <v>3294</v>
      </c>
      <c r="BO720" t="s">
        <v>4668</v>
      </c>
      <c r="BS720">
        <v>30</v>
      </c>
      <c r="BW720" t="str">
        <f>""</f>
        <v/>
      </c>
      <c r="CH720" t="str">
        <f>""</f>
        <v/>
      </c>
      <c r="CS720" t="str">
        <f>""</f>
        <v/>
      </c>
    </row>
    <row r="721" spans="1:97" x14ac:dyDescent="0.25">
      <c r="A721" t="s">
        <v>106</v>
      </c>
      <c r="B721" t="s">
        <v>4669</v>
      </c>
      <c r="C721" t="s">
        <v>1047</v>
      </c>
      <c r="D721" t="s">
        <v>4669</v>
      </c>
      <c r="E721" t="s">
        <v>4670</v>
      </c>
      <c r="F721" t="s">
        <v>108</v>
      </c>
      <c r="H721" t="s">
        <v>4671</v>
      </c>
      <c r="I721" t="s">
        <v>110</v>
      </c>
      <c r="J721" t="s">
        <v>111</v>
      </c>
      <c r="K721" t="str">
        <f>"85249"</f>
        <v>85249</v>
      </c>
      <c r="L721" t="s">
        <v>112</v>
      </c>
      <c r="M721" t="s">
        <v>4671</v>
      </c>
      <c r="N721" t="s">
        <v>110</v>
      </c>
      <c r="O721" t="s">
        <v>111</v>
      </c>
      <c r="P721" t="str">
        <f>"85249-1201"</f>
        <v>85249-1201</v>
      </c>
      <c r="Q721" t="s">
        <v>113</v>
      </c>
      <c r="R721" t="str">
        <f>"303-55-838"</f>
        <v>303-55-838</v>
      </c>
      <c r="S721" t="s">
        <v>1974</v>
      </c>
      <c r="T721" t="s">
        <v>1974</v>
      </c>
      <c r="U721">
        <v>2534</v>
      </c>
      <c r="W721">
        <v>4</v>
      </c>
      <c r="X721">
        <v>2015</v>
      </c>
      <c r="Z721">
        <v>1</v>
      </c>
      <c r="AA721" t="s">
        <v>26</v>
      </c>
      <c r="AC721" t="s">
        <v>115</v>
      </c>
      <c r="AD721">
        <v>3</v>
      </c>
      <c r="AE721" t="s">
        <v>115</v>
      </c>
      <c r="AH721" t="s">
        <v>116</v>
      </c>
      <c r="AI721" s="1">
        <v>36486</v>
      </c>
      <c r="AJ721" s="2">
        <v>7.0000000000000007E-2</v>
      </c>
      <c r="AK721" s="1">
        <v>504615</v>
      </c>
      <c r="AL721" t="s">
        <v>117</v>
      </c>
      <c r="AM721" t="s">
        <v>118</v>
      </c>
      <c r="AN721">
        <v>8105</v>
      </c>
      <c r="AO721">
        <v>0.19</v>
      </c>
      <c r="AR721">
        <v>1</v>
      </c>
      <c r="AS721" s="1">
        <v>37520</v>
      </c>
      <c r="AT721" s="1">
        <v>7500</v>
      </c>
      <c r="AU721" s="1">
        <v>30020</v>
      </c>
      <c r="AV721">
        <v>80.010000000000005</v>
      </c>
      <c r="AX721" s="1">
        <v>2838.64</v>
      </c>
      <c r="AY721" t="s">
        <v>119</v>
      </c>
      <c r="AZ721" t="s">
        <v>120</v>
      </c>
      <c r="BA721" t="s">
        <v>121</v>
      </c>
      <c r="BB721" s="3">
        <v>42445</v>
      </c>
      <c r="BD721" t="s">
        <v>240</v>
      </c>
      <c r="BE721" s="3">
        <v>42430</v>
      </c>
      <c r="BF721" s="1">
        <v>417000</v>
      </c>
      <c r="BG721" t="s">
        <v>1975</v>
      </c>
      <c r="BH721" s="1">
        <v>164.56</v>
      </c>
      <c r="BI721" s="1">
        <v>468129</v>
      </c>
      <c r="BJ721" s="3">
        <v>43539</v>
      </c>
      <c r="BK721" t="s">
        <v>123</v>
      </c>
      <c r="BL721" t="str">
        <f>"2019.182567"</f>
        <v>2019.182567</v>
      </c>
      <c r="BM721" t="s">
        <v>4672</v>
      </c>
      <c r="BN721" t="s">
        <v>1922</v>
      </c>
      <c r="BO721" t="s">
        <v>4673</v>
      </c>
      <c r="BP721" t="s">
        <v>4674</v>
      </c>
      <c r="BR721" t="s">
        <v>139</v>
      </c>
      <c r="BW721" t="str">
        <f>""</f>
        <v/>
      </c>
      <c r="CH721" t="str">
        <f>""</f>
        <v/>
      </c>
      <c r="CS721" t="str">
        <f>""</f>
        <v/>
      </c>
    </row>
    <row r="722" spans="1:97" x14ac:dyDescent="0.25">
      <c r="A722" t="s">
        <v>4675</v>
      </c>
      <c r="B722" t="s">
        <v>3713</v>
      </c>
      <c r="C722" t="s">
        <v>4676</v>
      </c>
      <c r="D722" t="s">
        <v>3713</v>
      </c>
      <c r="E722" t="s">
        <v>4677</v>
      </c>
      <c r="F722" t="s">
        <v>108</v>
      </c>
      <c r="H722" t="s">
        <v>4678</v>
      </c>
      <c r="I722" t="s">
        <v>188</v>
      </c>
      <c r="J722" t="s">
        <v>111</v>
      </c>
      <c r="K722" t="str">
        <f>"85142"</f>
        <v>85142</v>
      </c>
      <c r="L722" t="s">
        <v>625</v>
      </c>
      <c r="M722" t="s">
        <v>4678</v>
      </c>
      <c r="N722" t="s">
        <v>188</v>
      </c>
      <c r="O722" t="s">
        <v>111</v>
      </c>
      <c r="P722" t="str">
        <f>"85142-8144"</f>
        <v>85142-8144</v>
      </c>
      <c r="Q722" t="s">
        <v>113</v>
      </c>
      <c r="R722" t="str">
        <f>"304-88-660"</f>
        <v>304-88-660</v>
      </c>
      <c r="S722" t="s">
        <v>3204</v>
      </c>
      <c r="U722">
        <v>3826</v>
      </c>
      <c r="W722">
        <v>4</v>
      </c>
      <c r="X722">
        <v>2015</v>
      </c>
      <c r="Z722">
        <v>2</v>
      </c>
      <c r="AC722" t="s">
        <v>115</v>
      </c>
      <c r="AD722">
        <v>3</v>
      </c>
      <c r="AE722" t="s">
        <v>115</v>
      </c>
      <c r="AH722" t="s">
        <v>116</v>
      </c>
      <c r="AI722" s="1">
        <v>147467</v>
      </c>
      <c r="AJ722" s="2">
        <v>0.32</v>
      </c>
      <c r="AK722" s="1">
        <v>454584</v>
      </c>
      <c r="AL722" t="s">
        <v>117</v>
      </c>
      <c r="AM722" t="s">
        <v>393</v>
      </c>
      <c r="AN722">
        <v>9039</v>
      </c>
      <c r="AO722">
        <v>0.21</v>
      </c>
      <c r="AR722">
        <v>1</v>
      </c>
      <c r="AS722" s="1">
        <v>31080</v>
      </c>
      <c r="AT722" s="1">
        <v>6210</v>
      </c>
      <c r="AU722" s="1">
        <v>24870</v>
      </c>
      <c r="AV722">
        <v>80.02</v>
      </c>
      <c r="AX722" s="1">
        <v>3282.9</v>
      </c>
      <c r="AY722" t="s">
        <v>560</v>
      </c>
      <c r="AZ722" t="s">
        <v>561</v>
      </c>
      <c r="BA722" t="s">
        <v>194</v>
      </c>
      <c r="BE722" s="3">
        <v>42216</v>
      </c>
      <c r="BF722" s="1">
        <v>309280</v>
      </c>
      <c r="BG722" t="s">
        <v>1975</v>
      </c>
      <c r="BH722" s="1">
        <v>80.84</v>
      </c>
      <c r="BI722" s="1">
        <v>307117</v>
      </c>
      <c r="BJ722" s="3">
        <v>42591</v>
      </c>
      <c r="BK722" t="s">
        <v>123</v>
      </c>
      <c r="BL722" t="str">
        <f>"2016.565426"</f>
        <v>2016.565426</v>
      </c>
      <c r="BM722" t="s">
        <v>402</v>
      </c>
      <c r="BO722" t="s">
        <v>4679</v>
      </c>
      <c r="BS722">
        <v>30</v>
      </c>
      <c r="BW722" t="str">
        <f>""</f>
        <v/>
      </c>
      <c r="CH722" t="str">
        <f>""</f>
        <v/>
      </c>
      <c r="CS722" t="str">
        <f>""</f>
        <v/>
      </c>
    </row>
    <row r="723" spans="1:97" x14ac:dyDescent="0.25">
      <c r="B723" t="s">
        <v>4680</v>
      </c>
      <c r="E723" t="s">
        <v>4681</v>
      </c>
      <c r="F723" t="s">
        <v>108</v>
      </c>
      <c r="H723" t="s">
        <v>4682</v>
      </c>
      <c r="I723" t="s">
        <v>225</v>
      </c>
      <c r="J723" t="s">
        <v>111</v>
      </c>
      <c r="K723" t="str">
        <f>"85212"</f>
        <v>85212</v>
      </c>
      <c r="L723" t="s">
        <v>3140</v>
      </c>
      <c r="M723" t="s">
        <v>4682</v>
      </c>
      <c r="N723" t="s">
        <v>225</v>
      </c>
      <c r="O723" t="s">
        <v>111</v>
      </c>
      <c r="P723" t="str">
        <f>"85212-8252"</f>
        <v>85212-8252</v>
      </c>
      <c r="Q723" t="s">
        <v>113</v>
      </c>
      <c r="R723" t="str">
        <f>"312-13-470"</f>
        <v>312-13-470</v>
      </c>
      <c r="S723" t="s">
        <v>3200</v>
      </c>
      <c r="T723" t="s">
        <v>3142</v>
      </c>
      <c r="U723">
        <v>1792</v>
      </c>
      <c r="W723">
        <v>3</v>
      </c>
      <c r="X723">
        <v>2016</v>
      </c>
      <c r="Z723">
        <v>1</v>
      </c>
      <c r="AC723" t="s">
        <v>115</v>
      </c>
      <c r="AD723">
        <v>2</v>
      </c>
      <c r="AE723" t="s">
        <v>115</v>
      </c>
      <c r="AH723" t="s">
        <v>116</v>
      </c>
      <c r="AI723" s="1">
        <v>52645</v>
      </c>
      <c r="AJ723" s="2">
        <v>0.16</v>
      </c>
      <c r="AK723" s="1">
        <v>333235</v>
      </c>
      <c r="AL723" t="s">
        <v>117</v>
      </c>
      <c r="AM723" t="s">
        <v>191</v>
      </c>
      <c r="AN723">
        <v>6521</v>
      </c>
      <c r="AO723">
        <v>0.15</v>
      </c>
      <c r="AR723">
        <v>1</v>
      </c>
      <c r="AS723" s="1">
        <v>23820</v>
      </c>
      <c r="AT723" s="1">
        <v>4760</v>
      </c>
      <c r="AU723" s="1">
        <v>19060</v>
      </c>
      <c r="AV723">
        <v>80.02</v>
      </c>
      <c r="AX723" s="1">
        <v>1961.04</v>
      </c>
      <c r="AY723" t="s">
        <v>560</v>
      </c>
      <c r="AZ723" t="s">
        <v>561</v>
      </c>
      <c r="BA723" t="s">
        <v>194</v>
      </c>
      <c r="BE723" s="3">
        <v>42530</v>
      </c>
      <c r="BF723" s="1">
        <v>274685</v>
      </c>
      <c r="BG723" t="s">
        <v>446</v>
      </c>
      <c r="BH723" s="1">
        <v>153.28</v>
      </c>
      <c r="BI723" s="1">
        <v>280590</v>
      </c>
      <c r="BJ723" s="3">
        <v>42530</v>
      </c>
      <c r="BK723" t="s">
        <v>123</v>
      </c>
      <c r="BL723" t="str">
        <f>"2016.399130"</f>
        <v>2016.399130</v>
      </c>
      <c r="BM723" t="s">
        <v>573</v>
      </c>
      <c r="BO723" t="s">
        <v>4680</v>
      </c>
      <c r="BS723">
        <v>30</v>
      </c>
      <c r="BW723" t="str">
        <f>""</f>
        <v/>
      </c>
      <c r="CH723" t="str">
        <f>""</f>
        <v/>
      </c>
      <c r="CS723" t="str">
        <f>""</f>
        <v/>
      </c>
    </row>
    <row r="724" spans="1:97" x14ac:dyDescent="0.25">
      <c r="A724" t="s">
        <v>1344</v>
      </c>
      <c r="B724" t="s">
        <v>1089</v>
      </c>
      <c r="C724" t="s">
        <v>2509</v>
      </c>
      <c r="D724" t="s">
        <v>1089</v>
      </c>
      <c r="E724" t="s">
        <v>4683</v>
      </c>
      <c r="F724" t="s">
        <v>108</v>
      </c>
      <c r="H724" t="s">
        <v>4684</v>
      </c>
      <c r="I724" t="s">
        <v>453</v>
      </c>
      <c r="J724" t="s">
        <v>111</v>
      </c>
      <c r="K724" t="str">
        <f>"85383"</f>
        <v>85383</v>
      </c>
      <c r="L724" t="s">
        <v>4467</v>
      </c>
      <c r="M724" t="s">
        <v>4684</v>
      </c>
      <c r="N724" t="s">
        <v>453</v>
      </c>
      <c r="O724" t="s">
        <v>111</v>
      </c>
      <c r="P724" t="str">
        <f>"85383-4530"</f>
        <v>85383-4530</v>
      </c>
      <c r="Q724" t="s">
        <v>113</v>
      </c>
      <c r="R724" t="str">
        <f>"510-08-599"</f>
        <v>510-08-599</v>
      </c>
      <c r="S724" t="s">
        <v>4468</v>
      </c>
      <c r="U724">
        <v>3051</v>
      </c>
      <c r="W724">
        <v>4</v>
      </c>
      <c r="X724">
        <v>2015</v>
      </c>
      <c r="Z724">
        <v>1</v>
      </c>
      <c r="AA724" t="s">
        <v>26</v>
      </c>
      <c r="AC724" t="s">
        <v>115</v>
      </c>
      <c r="AD724">
        <v>3</v>
      </c>
      <c r="AE724" t="s">
        <v>115</v>
      </c>
      <c r="AH724" t="s">
        <v>116</v>
      </c>
      <c r="AI724" s="1">
        <v>-10094</v>
      </c>
      <c r="AJ724" s="2">
        <v>-0.02</v>
      </c>
      <c r="AK724" s="1">
        <v>541037</v>
      </c>
      <c r="AL724" t="s">
        <v>117</v>
      </c>
      <c r="AM724" t="s">
        <v>118</v>
      </c>
      <c r="AN724">
        <v>15119</v>
      </c>
      <c r="AO724">
        <v>0.35</v>
      </c>
      <c r="AR724">
        <v>1</v>
      </c>
      <c r="AS724" s="1">
        <v>43370</v>
      </c>
      <c r="AT724" s="1">
        <v>8670</v>
      </c>
      <c r="AU724" s="1">
        <v>34700</v>
      </c>
      <c r="AV724">
        <v>80.010000000000005</v>
      </c>
      <c r="AX724" s="1">
        <v>4382.42</v>
      </c>
      <c r="AY724" t="s">
        <v>627</v>
      </c>
      <c r="AZ724" t="s">
        <v>627</v>
      </c>
      <c r="BA724" t="s">
        <v>457</v>
      </c>
      <c r="BE724" s="3">
        <v>42277</v>
      </c>
      <c r="BF724" s="1">
        <v>484709</v>
      </c>
      <c r="BG724" t="s">
        <v>209</v>
      </c>
      <c r="BH724" s="1">
        <v>158.87</v>
      </c>
      <c r="BI724" s="1">
        <v>551131</v>
      </c>
      <c r="BJ724" s="3">
        <v>43028</v>
      </c>
      <c r="BK724" t="s">
        <v>123</v>
      </c>
      <c r="BL724" t="str">
        <f>"2017.778857"</f>
        <v>2017.778857</v>
      </c>
      <c r="BM724" t="s">
        <v>4094</v>
      </c>
      <c r="BO724" t="s">
        <v>4685</v>
      </c>
      <c r="BS724">
        <v>30</v>
      </c>
      <c r="BW724" t="str">
        <f>""</f>
        <v/>
      </c>
      <c r="CH724" t="str">
        <f>""</f>
        <v/>
      </c>
      <c r="CS724" t="str">
        <f>""</f>
        <v/>
      </c>
    </row>
    <row r="725" spans="1:97" x14ac:dyDescent="0.25">
      <c r="A725" t="s">
        <v>1444</v>
      </c>
      <c r="B725" t="s">
        <v>2777</v>
      </c>
      <c r="C725" t="s">
        <v>3306</v>
      </c>
      <c r="D725" t="s">
        <v>2777</v>
      </c>
      <c r="E725" t="s">
        <v>4686</v>
      </c>
      <c r="F725" t="s">
        <v>108</v>
      </c>
      <c r="H725" t="s">
        <v>4687</v>
      </c>
      <c r="I725" t="s">
        <v>453</v>
      </c>
      <c r="J725" t="s">
        <v>111</v>
      </c>
      <c r="K725" t="str">
        <f>"85383"</f>
        <v>85383</v>
      </c>
      <c r="L725" t="s">
        <v>688</v>
      </c>
      <c r="M725" t="s">
        <v>4687</v>
      </c>
      <c r="N725" t="s">
        <v>453</v>
      </c>
      <c r="O725" t="s">
        <v>111</v>
      </c>
      <c r="P725" t="str">
        <f>"85383-3331"</f>
        <v>85383-3331</v>
      </c>
      <c r="Q725" t="s">
        <v>113</v>
      </c>
      <c r="R725" t="str">
        <f>"200-19-832"</f>
        <v>200-19-832</v>
      </c>
      <c r="S725" t="s">
        <v>3060</v>
      </c>
      <c r="T725" t="s">
        <v>3061</v>
      </c>
      <c r="U725">
        <v>2884</v>
      </c>
      <c r="W725">
        <v>4</v>
      </c>
      <c r="X725">
        <v>2015</v>
      </c>
      <c r="Z725">
        <v>2</v>
      </c>
      <c r="AA725" t="s">
        <v>26</v>
      </c>
      <c r="AC725" t="s">
        <v>115</v>
      </c>
      <c r="AD725">
        <v>3</v>
      </c>
      <c r="AE725" t="s">
        <v>115</v>
      </c>
      <c r="AH725" t="s">
        <v>116</v>
      </c>
      <c r="AI725" s="1">
        <v>61947</v>
      </c>
      <c r="AJ725" s="2">
        <v>0.14000000000000001</v>
      </c>
      <c r="AK725" s="1">
        <v>438764</v>
      </c>
      <c r="AL725" t="s">
        <v>117</v>
      </c>
      <c r="AM725" t="s">
        <v>118</v>
      </c>
      <c r="AN725">
        <v>7841</v>
      </c>
      <c r="AO725">
        <v>0.18</v>
      </c>
      <c r="AR725">
        <v>1</v>
      </c>
      <c r="AS725" s="1">
        <v>33510</v>
      </c>
      <c r="AT725" s="1">
        <v>6700</v>
      </c>
      <c r="AU725" s="1">
        <v>26810</v>
      </c>
      <c r="AV725">
        <v>80.010000000000005</v>
      </c>
      <c r="AX725" s="1">
        <v>2138.96</v>
      </c>
      <c r="AY725" t="s">
        <v>1808</v>
      </c>
      <c r="AZ725" t="s">
        <v>1808</v>
      </c>
      <c r="BA725" t="s">
        <v>457</v>
      </c>
      <c r="BE725" s="3">
        <v>42242</v>
      </c>
      <c r="BF725" s="1">
        <v>346299</v>
      </c>
      <c r="BG725" t="s">
        <v>3062</v>
      </c>
      <c r="BH725" s="1">
        <v>120.08</v>
      </c>
      <c r="BI725" s="1">
        <v>327950</v>
      </c>
      <c r="BJ725" s="3">
        <v>42242</v>
      </c>
      <c r="BK725" t="s">
        <v>123</v>
      </c>
      <c r="BL725" t="str">
        <f>"2015.617688"</f>
        <v>2015.617688</v>
      </c>
      <c r="BM725" t="s">
        <v>2245</v>
      </c>
      <c r="BO725" t="s">
        <v>4688</v>
      </c>
      <c r="BS725">
        <v>30</v>
      </c>
      <c r="BT725" s="1">
        <v>48867</v>
      </c>
      <c r="BU725" s="3">
        <v>42559</v>
      </c>
      <c r="BV725" t="s">
        <v>134</v>
      </c>
      <c r="BW725" t="str">
        <f>"2016.481081"</f>
        <v>2016.481081</v>
      </c>
      <c r="BX725" t="s">
        <v>198</v>
      </c>
      <c r="BZ725" t="s">
        <v>4688</v>
      </c>
      <c r="CD725">
        <v>15</v>
      </c>
      <c r="CH725" t="str">
        <f>""</f>
        <v/>
      </c>
      <c r="CS725" t="str">
        <f>""</f>
        <v/>
      </c>
    </row>
    <row r="726" spans="1:97" x14ac:dyDescent="0.25">
      <c r="A726" t="s">
        <v>1187</v>
      </c>
      <c r="B726" t="s">
        <v>4689</v>
      </c>
      <c r="C726" t="s">
        <v>1335</v>
      </c>
      <c r="D726" t="s">
        <v>4689</v>
      </c>
      <c r="E726" t="s">
        <v>4690</v>
      </c>
      <c r="F726" t="s">
        <v>108</v>
      </c>
      <c r="H726" t="s">
        <v>4691</v>
      </c>
      <c r="I726" t="s">
        <v>453</v>
      </c>
      <c r="J726" t="s">
        <v>111</v>
      </c>
      <c r="K726" t="str">
        <f>"85383"</f>
        <v>85383</v>
      </c>
      <c r="L726" t="s">
        <v>625</v>
      </c>
      <c r="M726" t="s">
        <v>4691</v>
      </c>
      <c r="N726" t="s">
        <v>453</v>
      </c>
      <c r="O726" t="s">
        <v>111</v>
      </c>
      <c r="P726" t="str">
        <f>"85383-8891"</f>
        <v>85383-8891</v>
      </c>
      <c r="Q726" t="s">
        <v>113</v>
      </c>
      <c r="R726" t="str">
        <f>"201-19-764"</f>
        <v>201-19-764</v>
      </c>
      <c r="S726" t="s">
        <v>4692</v>
      </c>
      <c r="U726">
        <v>2602</v>
      </c>
      <c r="W726">
        <v>4</v>
      </c>
      <c r="X726">
        <v>2016</v>
      </c>
      <c r="Z726">
        <v>1</v>
      </c>
      <c r="AC726" t="s">
        <v>115</v>
      </c>
      <c r="AD726">
        <v>4</v>
      </c>
      <c r="AE726" t="s">
        <v>115</v>
      </c>
      <c r="AH726" t="s">
        <v>116</v>
      </c>
      <c r="AI726" s="1">
        <v>194795</v>
      </c>
      <c r="AJ726" s="2">
        <v>0.44</v>
      </c>
      <c r="AK726" s="1">
        <v>446480</v>
      </c>
      <c r="AL726" t="s">
        <v>117</v>
      </c>
      <c r="AM726" t="s">
        <v>118</v>
      </c>
      <c r="AN726">
        <v>10029</v>
      </c>
      <c r="AO726">
        <v>0.23</v>
      </c>
      <c r="AR726">
        <v>1</v>
      </c>
      <c r="AS726" s="1">
        <v>32760</v>
      </c>
      <c r="AT726" s="1">
        <v>6550</v>
      </c>
      <c r="AU726" s="1">
        <v>26210</v>
      </c>
      <c r="AV726">
        <v>80.010000000000005</v>
      </c>
      <c r="AX726" s="1">
        <v>2521.1799999999998</v>
      </c>
      <c r="AY726" t="s">
        <v>627</v>
      </c>
      <c r="AZ726" t="s">
        <v>627</v>
      </c>
      <c r="BA726" t="s">
        <v>457</v>
      </c>
      <c r="BE726" s="3">
        <v>42461</v>
      </c>
      <c r="BF726" s="1">
        <v>364337</v>
      </c>
      <c r="BG726" t="s">
        <v>275</v>
      </c>
      <c r="BH726" s="1">
        <v>140.02000000000001</v>
      </c>
      <c r="BI726" s="1">
        <v>251685</v>
      </c>
      <c r="BJ726" s="3">
        <v>42461</v>
      </c>
      <c r="BK726" t="s">
        <v>123</v>
      </c>
      <c r="BL726" t="str">
        <f>"2016.215270"</f>
        <v>2016.215270</v>
      </c>
      <c r="BM726" t="s">
        <v>651</v>
      </c>
      <c r="BO726" t="s">
        <v>4693</v>
      </c>
      <c r="BS726">
        <v>15</v>
      </c>
      <c r="BW726" t="str">
        <f>""</f>
        <v/>
      </c>
      <c r="CH726" t="str">
        <f>""</f>
        <v/>
      </c>
      <c r="CS726" t="str">
        <f>""</f>
        <v/>
      </c>
    </row>
    <row r="727" spans="1:97" x14ac:dyDescent="0.25">
      <c r="A727" t="s">
        <v>996</v>
      </c>
      <c r="B727" t="s">
        <v>4694</v>
      </c>
      <c r="C727" t="s">
        <v>4695</v>
      </c>
      <c r="D727" t="s">
        <v>4694</v>
      </c>
      <c r="E727" t="s">
        <v>4696</v>
      </c>
      <c r="F727" t="s">
        <v>108</v>
      </c>
      <c r="H727" t="s">
        <v>4697</v>
      </c>
      <c r="I727" t="s">
        <v>453</v>
      </c>
      <c r="J727" t="s">
        <v>111</v>
      </c>
      <c r="K727" t="str">
        <f>"85383"</f>
        <v>85383</v>
      </c>
      <c r="L727" t="s">
        <v>4698</v>
      </c>
      <c r="M727" t="s">
        <v>4697</v>
      </c>
      <c r="N727" t="s">
        <v>453</v>
      </c>
      <c r="O727" t="s">
        <v>111</v>
      </c>
      <c r="P727" t="str">
        <f>"85383-3381"</f>
        <v>85383-3381</v>
      </c>
      <c r="Q727" t="s">
        <v>113</v>
      </c>
      <c r="R727" t="str">
        <f>"510-07-677"</f>
        <v>510-07-677</v>
      </c>
      <c r="S727" t="s">
        <v>4699</v>
      </c>
      <c r="U727">
        <v>2590</v>
      </c>
      <c r="W727">
        <v>4</v>
      </c>
      <c r="X727">
        <v>2016</v>
      </c>
      <c r="Z727">
        <v>1</v>
      </c>
      <c r="AC727" t="s">
        <v>115</v>
      </c>
      <c r="AD727">
        <v>2</v>
      </c>
      <c r="AE727" t="s">
        <v>115</v>
      </c>
      <c r="AH727" t="s">
        <v>116</v>
      </c>
      <c r="AI727" s="1">
        <v>12239</v>
      </c>
      <c r="AJ727" s="2">
        <v>0.03</v>
      </c>
      <c r="AK727" s="1">
        <v>432239</v>
      </c>
      <c r="AL727" t="s">
        <v>117</v>
      </c>
      <c r="AM727" t="s">
        <v>118</v>
      </c>
      <c r="AN727">
        <v>8056</v>
      </c>
      <c r="AO727">
        <v>0.18</v>
      </c>
      <c r="AR727">
        <v>1</v>
      </c>
      <c r="AS727" s="1">
        <v>33830</v>
      </c>
      <c r="AT727" s="1">
        <v>6760</v>
      </c>
      <c r="AU727" s="1">
        <v>27070</v>
      </c>
      <c r="AV727">
        <v>80.02</v>
      </c>
      <c r="AX727" s="1">
        <v>3284.84</v>
      </c>
      <c r="AY727" t="s">
        <v>627</v>
      </c>
      <c r="AZ727" t="s">
        <v>627</v>
      </c>
      <c r="BA727" t="s">
        <v>457</v>
      </c>
      <c r="BB727" s="3">
        <v>42682</v>
      </c>
      <c r="BD727" t="s">
        <v>240</v>
      </c>
      <c r="BE727" s="3">
        <v>42521</v>
      </c>
      <c r="BF727" s="1">
        <v>380000</v>
      </c>
      <c r="BG727" t="s">
        <v>209</v>
      </c>
      <c r="BH727" s="1">
        <v>146.72</v>
      </c>
      <c r="BI727" s="1">
        <v>420000</v>
      </c>
      <c r="BJ727" s="3">
        <v>43584</v>
      </c>
      <c r="BK727" t="s">
        <v>123</v>
      </c>
      <c r="BL727" t="str">
        <f>"2019.302618"</f>
        <v>2019.302618</v>
      </c>
      <c r="BM727" t="s">
        <v>3562</v>
      </c>
      <c r="BN727" t="s">
        <v>3686</v>
      </c>
      <c r="BO727" t="s">
        <v>4700</v>
      </c>
      <c r="BP727" t="s">
        <v>4701</v>
      </c>
      <c r="BR727" t="s">
        <v>139</v>
      </c>
      <c r="BW727" t="str">
        <f>""</f>
        <v/>
      </c>
      <c r="CH727" t="str">
        <f>""</f>
        <v/>
      </c>
      <c r="CS727" t="str">
        <f>""</f>
        <v/>
      </c>
    </row>
    <row r="728" spans="1:97" x14ac:dyDescent="0.25">
      <c r="A728" t="s">
        <v>1514</v>
      </c>
      <c r="B728" t="s">
        <v>4702</v>
      </c>
      <c r="C728" t="s">
        <v>4703</v>
      </c>
      <c r="D728" t="s">
        <v>4702</v>
      </c>
      <c r="E728" t="s">
        <v>4704</v>
      </c>
      <c r="F728" t="s">
        <v>108</v>
      </c>
      <c r="H728" t="s">
        <v>4705</v>
      </c>
      <c r="I728" t="s">
        <v>453</v>
      </c>
      <c r="J728" t="s">
        <v>111</v>
      </c>
      <c r="K728" t="str">
        <f>"85383"</f>
        <v>85383</v>
      </c>
      <c r="L728" t="s">
        <v>4467</v>
      </c>
      <c r="M728" t="s">
        <v>4705</v>
      </c>
      <c r="N728" t="s">
        <v>453</v>
      </c>
      <c r="O728" t="s">
        <v>111</v>
      </c>
      <c r="P728" t="str">
        <f>"85383-4528"</f>
        <v>85383-4528</v>
      </c>
      <c r="Q728" t="s">
        <v>113</v>
      </c>
      <c r="R728" t="str">
        <f>"510-08-582"</f>
        <v>510-08-582</v>
      </c>
      <c r="S728" t="s">
        <v>4468</v>
      </c>
      <c r="U728">
        <v>3051</v>
      </c>
      <c r="W728">
        <v>4</v>
      </c>
      <c r="X728">
        <v>2015</v>
      </c>
      <c r="Z728">
        <v>1</v>
      </c>
      <c r="AC728" t="s">
        <v>115</v>
      </c>
      <c r="AD728">
        <v>3</v>
      </c>
      <c r="AE728" t="s">
        <v>115</v>
      </c>
      <c r="AH728" t="s">
        <v>116</v>
      </c>
      <c r="AI728" s="1">
        <v>28857</v>
      </c>
      <c r="AJ728" s="2">
        <v>0.06</v>
      </c>
      <c r="AK728" s="1">
        <v>476921</v>
      </c>
      <c r="AL728" t="s">
        <v>117</v>
      </c>
      <c r="AM728" t="s">
        <v>118</v>
      </c>
      <c r="AN728">
        <v>8750</v>
      </c>
      <c r="AO728">
        <v>0.2</v>
      </c>
      <c r="AR728">
        <v>1</v>
      </c>
      <c r="AS728" s="1">
        <v>37020</v>
      </c>
      <c r="AT728" s="1">
        <v>7400</v>
      </c>
      <c r="AU728" s="1">
        <v>29620</v>
      </c>
      <c r="AV728">
        <v>80.010000000000005</v>
      </c>
      <c r="AX728" s="1">
        <v>3194.84</v>
      </c>
      <c r="AY728" t="s">
        <v>627</v>
      </c>
      <c r="AZ728" t="s">
        <v>627</v>
      </c>
      <c r="BA728" t="s">
        <v>457</v>
      </c>
      <c r="BE728" s="3">
        <v>42174</v>
      </c>
      <c r="BF728" s="1">
        <v>405108</v>
      </c>
      <c r="BG728" t="s">
        <v>209</v>
      </c>
      <c r="BH728" s="1">
        <v>132.78</v>
      </c>
      <c r="BI728" s="1">
        <v>408064</v>
      </c>
      <c r="BJ728" s="3">
        <v>42604</v>
      </c>
      <c r="BK728" t="s">
        <v>123</v>
      </c>
      <c r="BL728" t="str">
        <f>"2016.598449"</f>
        <v>2016.598449</v>
      </c>
      <c r="BM728" t="s">
        <v>492</v>
      </c>
      <c r="BN728" t="s">
        <v>4706</v>
      </c>
      <c r="BO728" t="s">
        <v>4707</v>
      </c>
      <c r="BS728">
        <v>30</v>
      </c>
      <c r="BT728" s="1">
        <v>40000</v>
      </c>
      <c r="BU728" s="3">
        <v>43572</v>
      </c>
      <c r="BV728" t="s">
        <v>134</v>
      </c>
      <c r="BW728" t="str">
        <f>"2019.270174"</f>
        <v>2019.270174</v>
      </c>
      <c r="BX728" t="s">
        <v>4708</v>
      </c>
      <c r="BY728" t="s">
        <v>4709</v>
      </c>
      <c r="BZ728" t="s">
        <v>4710</v>
      </c>
      <c r="CA728" t="s">
        <v>4711</v>
      </c>
      <c r="CC728" t="s">
        <v>139</v>
      </c>
      <c r="CH728" t="str">
        <f>""</f>
        <v/>
      </c>
      <c r="CS728" t="str">
        <f>""</f>
        <v/>
      </c>
    </row>
    <row r="729" spans="1:97" x14ac:dyDescent="0.25">
      <c r="A729" t="s">
        <v>4712</v>
      </c>
      <c r="B729" t="s">
        <v>4713</v>
      </c>
      <c r="C729" t="s">
        <v>4714</v>
      </c>
      <c r="D729" t="s">
        <v>4713</v>
      </c>
      <c r="E729" t="s">
        <v>4715</v>
      </c>
      <c r="F729" t="s">
        <v>108</v>
      </c>
      <c r="H729" t="s">
        <v>4716</v>
      </c>
      <c r="I729" t="s">
        <v>203</v>
      </c>
      <c r="J729" t="s">
        <v>111</v>
      </c>
      <c r="K729" t="str">
        <f>"85296"</f>
        <v>85296</v>
      </c>
      <c r="L729" t="s">
        <v>516</v>
      </c>
      <c r="M729" t="s">
        <v>4716</v>
      </c>
      <c r="N729" t="s">
        <v>203</v>
      </c>
      <c r="O729" t="s">
        <v>111</v>
      </c>
      <c r="P729" t="str">
        <f>"85296-1590"</f>
        <v>85296-1590</v>
      </c>
      <c r="Q729" t="s">
        <v>113</v>
      </c>
      <c r="R729" t="str">
        <f>"304-18-068"</f>
        <v>304-18-068</v>
      </c>
      <c r="S729" t="s">
        <v>3195</v>
      </c>
      <c r="U729">
        <v>3628</v>
      </c>
      <c r="W729">
        <v>5</v>
      </c>
      <c r="X729">
        <v>2015</v>
      </c>
      <c r="Z729">
        <v>2</v>
      </c>
      <c r="AA729" t="s">
        <v>26</v>
      </c>
      <c r="AC729" t="s">
        <v>115</v>
      </c>
      <c r="AD729">
        <v>4</v>
      </c>
      <c r="AE729" t="s">
        <v>115</v>
      </c>
      <c r="AH729" t="s">
        <v>116</v>
      </c>
      <c r="AI729" s="1">
        <v>96162</v>
      </c>
      <c r="AJ729" s="2">
        <v>0.18</v>
      </c>
      <c r="AK729" s="1">
        <v>537912</v>
      </c>
      <c r="AL729" t="s">
        <v>117</v>
      </c>
      <c r="AM729" t="s">
        <v>393</v>
      </c>
      <c r="AN729">
        <v>9100</v>
      </c>
      <c r="AO729">
        <v>0.21</v>
      </c>
      <c r="AR729">
        <v>1</v>
      </c>
      <c r="AS729" s="1">
        <v>41930</v>
      </c>
      <c r="AT729" s="1">
        <v>8380</v>
      </c>
      <c r="AU729" s="1">
        <v>33550</v>
      </c>
      <c r="AV729">
        <v>80.010000000000005</v>
      </c>
      <c r="AX729" s="1">
        <v>2973.4</v>
      </c>
      <c r="AY729" t="s">
        <v>519</v>
      </c>
      <c r="AZ729" t="s">
        <v>520</v>
      </c>
      <c r="BA729" t="s">
        <v>521</v>
      </c>
      <c r="BE729" s="3">
        <v>42359</v>
      </c>
      <c r="BF729" s="1">
        <v>438915</v>
      </c>
      <c r="BG729" t="s">
        <v>275</v>
      </c>
      <c r="BH729" s="1">
        <v>120.98</v>
      </c>
      <c r="BI729" s="1">
        <v>405517</v>
      </c>
      <c r="BJ729" s="3">
        <v>42696</v>
      </c>
      <c r="BK729" t="s">
        <v>123</v>
      </c>
      <c r="BL729" t="str">
        <f>"2016.860590"</f>
        <v>2016.860590</v>
      </c>
      <c r="BM729" t="s">
        <v>425</v>
      </c>
      <c r="BO729" t="s">
        <v>4717</v>
      </c>
      <c r="BS729">
        <v>30</v>
      </c>
      <c r="BT729" s="1">
        <v>36233</v>
      </c>
      <c r="BU729" s="3">
        <v>42755</v>
      </c>
      <c r="BV729" t="s">
        <v>134</v>
      </c>
      <c r="BW729" t="str">
        <f>"2017.47206"</f>
        <v>2017.47206</v>
      </c>
      <c r="BX729" t="s">
        <v>135</v>
      </c>
      <c r="BZ729" t="s">
        <v>4717</v>
      </c>
      <c r="CH729" t="str">
        <f>""</f>
        <v/>
      </c>
      <c r="CS729" t="str">
        <f>""</f>
        <v/>
      </c>
    </row>
    <row r="730" spans="1:97" x14ac:dyDescent="0.25">
      <c r="A730" t="s">
        <v>668</v>
      </c>
      <c r="B730" t="s">
        <v>4718</v>
      </c>
      <c r="C730" t="s">
        <v>3416</v>
      </c>
      <c r="D730" t="s">
        <v>4719</v>
      </c>
      <c r="E730" t="s">
        <v>4720</v>
      </c>
      <c r="F730" t="s">
        <v>108</v>
      </c>
      <c r="H730" t="s">
        <v>4721</v>
      </c>
      <c r="I730" t="s">
        <v>390</v>
      </c>
      <c r="J730" t="s">
        <v>111</v>
      </c>
      <c r="K730" t="str">
        <f>"85085"</f>
        <v>85085</v>
      </c>
      <c r="L730" t="s">
        <v>145</v>
      </c>
      <c r="M730" t="s">
        <v>4721</v>
      </c>
      <c r="N730" t="s">
        <v>390</v>
      </c>
      <c r="O730" t="s">
        <v>111</v>
      </c>
      <c r="P730" t="str">
        <f>"85085-8925"</f>
        <v>85085-8925</v>
      </c>
      <c r="Q730" t="s">
        <v>113</v>
      </c>
      <c r="R730" t="str">
        <f>"204-02-138"</f>
        <v>204-02-138</v>
      </c>
      <c r="S730" t="s">
        <v>3344</v>
      </c>
      <c r="T730" t="s">
        <v>3344</v>
      </c>
      <c r="U730">
        <v>2566</v>
      </c>
      <c r="W730">
        <v>4</v>
      </c>
      <c r="X730">
        <v>2016</v>
      </c>
      <c r="Z730">
        <v>1</v>
      </c>
      <c r="AC730" t="s">
        <v>115</v>
      </c>
      <c r="AD730">
        <v>3</v>
      </c>
      <c r="AE730" t="s">
        <v>115</v>
      </c>
      <c r="AH730" t="s">
        <v>116</v>
      </c>
      <c r="AI730" s="1">
        <v>95847</v>
      </c>
      <c r="AJ730" s="2">
        <v>0.22</v>
      </c>
      <c r="AK730" s="1">
        <v>440086</v>
      </c>
      <c r="AL730" t="s">
        <v>117</v>
      </c>
      <c r="AM730" t="s">
        <v>3345</v>
      </c>
      <c r="AN730">
        <v>7200</v>
      </c>
      <c r="AO730">
        <v>0.16</v>
      </c>
      <c r="AR730">
        <v>1</v>
      </c>
      <c r="AS730" s="1">
        <v>35080</v>
      </c>
      <c r="AT730" s="1">
        <v>7010</v>
      </c>
      <c r="AU730" s="1">
        <v>28070</v>
      </c>
      <c r="AV730">
        <v>80.02</v>
      </c>
      <c r="AX730" s="1">
        <v>2997.76</v>
      </c>
      <c r="AY730" t="s">
        <v>1587</v>
      </c>
      <c r="AZ730" t="s">
        <v>1587</v>
      </c>
      <c r="BA730" t="s">
        <v>1462</v>
      </c>
      <c r="BE730" s="3">
        <v>42492</v>
      </c>
      <c r="BF730" s="1">
        <v>399990</v>
      </c>
      <c r="BG730" t="s">
        <v>446</v>
      </c>
      <c r="BH730" s="1">
        <v>155.88</v>
      </c>
      <c r="BI730" s="1">
        <v>344239</v>
      </c>
      <c r="BJ730" s="3">
        <v>42492</v>
      </c>
      <c r="BK730" t="s">
        <v>123</v>
      </c>
      <c r="BL730" t="str">
        <f>"2016.294751"</f>
        <v>2016.294751</v>
      </c>
      <c r="BM730" t="s">
        <v>573</v>
      </c>
      <c r="BO730" t="s">
        <v>4722</v>
      </c>
      <c r="BP730" t="s">
        <v>4723</v>
      </c>
      <c r="BS730">
        <v>30</v>
      </c>
      <c r="BW730" t="str">
        <f>""</f>
        <v/>
      </c>
      <c r="CH730" t="str">
        <f>""</f>
        <v/>
      </c>
      <c r="CS730" t="str">
        <f>""</f>
        <v/>
      </c>
    </row>
    <row r="731" spans="1:97" x14ac:dyDescent="0.25">
      <c r="A731" t="s">
        <v>179</v>
      </c>
      <c r="B731" t="s">
        <v>4724</v>
      </c>
      <c r="C731" t="s">
        <v>4725</v>
      </c>
      <c r="D731" t="s">
        <v>4724</v>
      </c>
      <c r="E731" t="s">
        <v>4726</v>
      </c>
      <c r="F731" t="s">
        <v>108</v>
      </c>
      <c r="H731" t="s">
        <v>4727</v>
      </c>
      <c r="I731" t="s">
        <v>453</v>
      </c>
      <c r="J731" t="s">
        <v>111</v>
      </c>
      <c r="K731" t="str">
        <f>"85383"</f>
        <v>85383</v>
      </c>
      <c r="L731" t="s">
        <v>189</v>
      </c>
      <c r="M731" t="s">
        <v>4727</v>
      </c>
      <c r="N731" t="s">
        <v>453</v>
      </c>
      <c r="O731" t="s">
        <v>111</v>
      </c>
      <c r="P731" t="str">
        <f>"85383-8059"</f>
        <v>85383-8059</v>
      </c>
      <c r="Q731" t="s">
        <v>113</v>
      </c>
      <c r="R731" t="str">
        <f>"510-07-914"</f>
        <v>510-07-914</v>
      </c>
      <c r="S731" t="s">
        <v>4548</v>
      </c>
      <c r="U731">
        <v>1841</v>
      </c>
      <c r="W731">
        <v>3</v>
      </c>
      <c r="X731">
        <v>2015</v>
      </c>
      <c r="Z731">
        <v>1</v>
      </c>
      <c r="AC731" t="s">
        <v>115</v>
      </c>
      <c r="AD731">
        <v>2</v>
      </c>
      <c r="AE731" t="s">
        <v>115</v>
      </c>
      <c r="AH731" t="s">
        <v>116</v>
      </c>
      <c r="AI731" s="1">
        <v>69338</v>
      </c>
      <c r="AJ731" s="2">
        <v>0.21</v>
      </c>
      <c r="AK731" s="1">
        <v>337825</v>
      </c>
      <c r="AL731" t="s">
        <v>117</v>
      </c>
      <c r="AM731" t="s">
        <v>118</v>
      </c>
      <c r="AN731">
        <v>5715</v>
      </c>
      <c r="AO731">
        <v>0.13</v>
      </c>
      <c r="AR731">
        <v>1</v>
      </c>
      <c r="AS731" s="1">
        <v>23200</v>
      </c>
      <c r="AT731" s="1">
        <v>4640</v>
      </c>
      <c r="AU731" s="1">
        <v>18560</v>
      </c>
      <c r="AV731">
        <v>80</v>
      </c>
      <c r="AX731" s="1">
        <v>2171.6</v>
      </c>
      <c r="AY731" t="s">
        <v>456</v>
      </c>
      <c r="AZ731" t="s">
        <v>456</v>
      </c>
      <c r="BA731" t="s">
        <v>457</v>
      </c>
      <c r="BE731" s="3">
        <v>42279</v>
      </c>
      <c r="BF731" s="1">
        <v>259915</v>
      </c>
      <c r="BG731" t="s">
        <v>292</v>
      </c>
      <c r="BH731" s="1">
        <v>141.18</v>
      </c>
      <c r="BI731" s="1">
        <v>268487</v>
      </c>
      <c r="BJ731" s="3">
        <v>42620</v>
      </c>
      <c r="BK731" t="s">
        <v>123</v>
      </c>
      <c r="BL731" t="str">
        <f>"2016.645697"</f>
        <v>2016.645697</v>
      </c>
      <c r="BM731" t="s">
        <v>843</v>
      </c>
      <c r="BO731" t="s">
        <v>4728</v>
      </c>
      <c r="BS731">
        <v>30</v>
      </c>
      <c r="BW731" t="str">
        <f>""</f>
        <v/>
      </c>
      <c r="CH731" t="str">
        <f>""</f>
        <v/>
      </c>
      <c r="CS731" t="str">
        <f>""</f>
        <v/>
      </c>
    </row>
    <row r="732" spans="1:97" x14ac:dyDescent="0.25">
      <c r="A732" t="s">
        <v>305</v>
      </c>
      <c r="B732" t="s">
        <v>4729</v>
      </c>
      <c r="C732" t="s">
        <v>4730</v>
      </c>
      <c r="D732" t="s">
        <v>4729</v>
      </c>
      <c r="E732" t="s">
        <v>4731</v>
      </c>
      <c r="F732" t="s">
        <v>108</v>
      </c>
      <c r="H732" t="s">
        <v>4732</v>
      </c>
      <c r="I732" t="s">
        <v>453</v>
      </c>
      <c r="J732" t="s">
        <v>111</v>
      </c>
      <c r="K732" t="str">
        <f>"85383"</f>
        <v>85383</v>
      </c>
      <c r="L732" t="s">
        <v>625</v>
      </c>
      <c r="M732" t="s">
        <v>4732</v>
      </c>
      <c r="N732" t="s">
        <v>453</v>
      </c>
      <c r="O732" t="s">
        <v>111</v>
      </c>
      <c r="P732" t="str">
        <f>"85383-8889"</f>
        <v>85383-8889</v>
      </c>
      <c r="Q732" t="s">
        <v>113</v>
      </c>
      <c r="R732" t="str">
        <f>"201-19-769"</f>
        <v>201-19-769</v>
      </c>
      <c r="S732" t="s">
        <v>4692</v>
      </c>
      <c r="U732">
        <v>2602</v>
      </c>
      <c r="W732">
        <v>4</v>
      </c>
      <c r="X732">
        <v>2016</v>
      </c>
      <c r="Z732">
        <v>1</v>
      </c>
      <c r="AC732" t="s">
        <v>115</v>
      </c>
      <c r="AD732">
        <v>4</v>
      </c>
      <c r="AE732" t="s">
        <v>115</v>
      </c>
      <c r="AH732" t="s">
        <v>116</v>
      </c>
      <c r="AI732" s="1">
        <v>65754</v>
      </c>
      <c r="AJ732" s="2">
        <v>0.15</v>
      </c>
      <c r="AK732" s="1">
        <v>442616</v>
      </c>
      <c r="AL732" t="s">
        <v>117</v>
      </c>
      <c r="AM732" t="s">
        <v>118</v>
      </c>
      <c r="AN732">
        <v>8436</v>
      </c>
      <c r="AO732">
        <v>0.19</v>
      </c>
      <c r="AR732">
        <v>1</v>
      </c>
      <c r="AS732" s="1">
        <v>32300</v>
      </c>
      <c r="AT732" s="1">
        <v>6460</v>
      </c>
      <c r="AU732" s="1">
        <v>25840</v>
      </c>
      <c r="AV732">
        <v>80</v>
      </c>
      <c r="AX732" s="1">
        <v>2584.4</v>
      </c>
      <c r="AY732" t="s">
        <v>627</v>
      </c>
      <c r="AZ732" t="s">
        <v>627</v>
      </c>
      <c r="BA732" t="s">
        <v>457</v>
      </c>
      <c r="BE732" s="3">
        <v>42432</v>
      </c>
      <c r="BF732" s="1">
        <v>376862</v>
      </c>
      <c r="BG732" t="s">
        <v>275</v>
      </c>
      <c r="BH732" s="1">
        <v>144.84</v>
      </c>
      <c r="BI732" s="1">
        <v>376862</v>
      </c>
      <c r="BJ732" s="3">
        <v>42432</v>
      </c>
      <c r="BK732" t="s">
        <v>123</v>
      </c>
      <c r="BL732" t="str">
        <f>"2016.137327"</f>
        <v>2016.137327</v>
      </c>
      <c r="BM732" t="s">
        <v>651</v>
      </c>
      <c r="BO732" t="s">
        <v>4733</v>
      </c>
      <c r="BS732">
        <v>30</v>
      </c>
      <c r="BW732" t="str">
        <f>""</f>
        <v/>
      </c>
      <c r="CH732" t="str">
        <f>""</f>
        <v/>
      </c>
      <c r="CS732" t="str">
        <f>""</f>
        <v/>
      </c>
    </row>
    <row r="733" spans="1:97" x14ac:dyDescent="0.25">
      <c r="A733" t="s">
        <v>1774</v>
      </c>
      <c r="B733" t="s">
        <v>4734</v>
      </c>
      <c r="C733" t="s">
        <v>2019</v>
      </c>
      <c r="D733" t="s">
        <v>4734</v>
      </c>
      <c r="E733" t="s">
        <v>4735</v>
      </c>
      <c r="F733" t="s">
        <v>108</v>
      </c>
      <c r="H733" t="s">
        <v>4736</v>
      </c>
      <c r="I733" t="s">
        <v>453</v>
      </c>
      <c r="J733" t="s">
        <v>111</v>
      </c>
      <c r="K733" t="str">
        <f>"85383"</f>
        <v>85383</v>
      </c>
      <c r="L733" t="s">
        <v>3161</v>
      </c>
      <c r="M733" t="s">
        <v>4736</v>
      </c>
      <c r="N733" t="s">
        <v>453</v>
      </c>
      <c r="O733" t="s">
        <v>111</v>
      </c>
      <c r="P733" t="str">
        <f>"85383-3378"</f>
        <v>85383-3378</v>
      </c>
      <c r="Q733" t="s">
        <v>113</v>
      </c>
      <c r="R733" t="str">
        <f>"510-07-735"</f>
        <v>510-07-735</v>
      </c>
      <c r="S733" t="s">
        <v>4737</v>
      </c>
      <c r="U733">
        <v>2843</v>
      </c>
      <c r="W733">
        <v>5</v>
      </c>
      <c r="X733">
        <v>2015</v>
      </c>
      <c r="Z733">
        <v>2</v>
      </c>
      <c r="AA733" t="s">
        <v>26</v>
      </c>
      <c r="AC733" t="s">
        <v>115</v>
      </c>
      <c r="AD733">
        <v>2</v>
      </c>
      <c r="AE733" t="s">
        <v>115</v>
      </c>
      <c r="AH733" t="s">
        <v>116</v>
      </c>
      <c r="AI733" s="1">
        <v>-4145</v>
      </c>
      <c r="AJ733" s="2">
        <v>-0.01</v>
      </c>
      <c r="AK733" s="1">
        <v>459505</v>
      </c>
      <c r="AL733" t="s">
        <v>117</v>
      </c>
      <c r="AM733" t="s">
        <v>118</v>
      </c>
      <c r="AN733">
        <v>7100</v>
      </c>
      <c r="AO733">
        <v>0.16</v>
      </c>
      <c r="AR733">
        <v>1</v>
      </c>
      <c r="AS733" s="1">
        <v>35320</v>
      </c>
      <c r="AT733" s="1">
        <v>7060</v>
      </c>
      <c r="AU733" s="1">
        <v>28260</v>
      </c>
      <c r="AV733">
        <v>80.010000000000005</v>
      </c>
      <c r="AX733" s="1">
        <v>2848.6</v>
      </c>
      <c r="AY733" t="s">
        <v>627</v>
      </c>
      <c r="AZ733" t="s">
        <v>627</v>
      </c>
      <c r="BA733" t="s">
        <v>457</v>
      </c>
      <c r="BE733" s="3">
        <v>42277</v>
      </c>
      <c r="BF733" s="1">
        <v>452620</v>
      </c>
      <c r="BG733" t="s">
        <v>420</v>
      </c>
      <c r="BH733" s="1">
        <v>159.21</v>
      </c>
      <c r="BI733" s="1">
        <v>410000</v>
      </c>
      <c r="BJ733" s="3">
        <v>42277</v>
      </c>
      <c r="BK733" t="s">
        <v>123</v>
      </c>
      <c r="BL733" t="str">
        <f>"2015.704341"</f>
        <v>2015.704341</v>
      </c>
      <c r="BM733" t="s">
        <v>4738</v>
      </c>
      <c r="BO733" t="s">
        <v>4739</v>
      </c>
      <c r="BS733">
        <v>30</v>
      </c>
      <c r="BT733" s="1">
        <v>53650</v>
      </c>
      <c r="BU733" s="3">
        <v>42360</v>
      </c>
      <c r="BV733" t="s">
        <v>134</v>
      </c>
      <c r="BW733" t="str">
        <f>"2015.902387"</f>
        <v>2015.902387</v>
      </c>
      <c r="BX733" t="s">
        <v>198</v>
      </c>
      <c r="BZ733" t="s">
        <v>4739</v>
      </c>
      <c r="CD733">
        <v>15</v>
      </c>
      <c r="CH733" t="str">
        <f>""</f>
        <v/>
      </c>
      <c r="CS733" t="str">
        <f>""</f>
        <v/>
      </c>
    </row>
    <row r="734" spans="1:97" x14ac:dyDescent="0.25">
      <c r="A734" t="s">
        <v>4740</v>
      </c>
      <c r="B734" t="s">
        <v>4741</v>
      </c>
      <c r="C734" t="s">
        <v>970</v>
      </c>
      <c r="D734" t="s">
        <v>4741</v>
      </c>
      <c r="E734" t="s">
        <v>4742</v>
      </c>
      <c r="F734" t="s">
        <v>108</v>
      </c>
      <c r="H734" t="s">
        <v>4743</v>
      </c>
      <c r="I734" t="s">
        <v>188</v>
      </c>
      <c r="J734" t="s">
        <v>111</v>
      </c>
      <c r="K734" t="str">
        <f>"85142"</f>
        <v>85142</v>
      </c>
      <c r="L734" t="s">
        <v>625</v>
      </c>
      <c r="M734" t="s">
        <v>4743</v>
      </c>
      <c r="N734" t="s">
        <v>188</v>
      </c>
      <c r="O734" t="s">
        <v>111</v>
      </c>
      <c r="P734" t="str">
        <f>"85142-7948"</f>
        <v>85142-7948</v>
      </c>
      <c r="Q734" t="s">
        <v>113</v>
      </c>
      <c r="R734" t="str">
        <f>"304-88-571"</f>
        <v>304-88-571</v>
      </c>
      <c r="S734" t="s">
        <v>3204</v>
      </c>
      <c r="U734">
        <v>2238</v>
      </c>
      <c r="W734">
        <v>3</v>
      </c>
      <c r="X734">
        <v>2015</v>
      </c>
      <c r="Z734">
        <v>1</v>
      </c>
      <c r="AC734" t="s">
        <v>115</v>
      </c>
      <c r="AD734">
        <v>2</v>
      </c>
      <c r="AE734" t="s">
        <v>115</v>
      </c>
      <c r="AH734" t="s">
        <v>116</v>
      </c>
      <c r="AI734" s="1">
        <v>81699</v>
      </c>
      <c r="AJ734" s="2">
        <v>0.24</v>
      </c>
      <c r="AK734" s="1">
        <v>341981</v>
      </c>
      <c r="AL734" t="s">
        <v>117</v>
      </c>
      <c r="AM734" t="s">
        <v>393</v>
      </c>
      <c r="AN734">
        <v>7475</v>
      </c>
      <c r="AO734">
        <v>0.17</v>
      </c>
      <c r="AR734">
        <v>1</v>
      </c>
      <c r="AS734" s="1">
        <v>24470</v>
      </c>
      <c r="AT734" s="1">
        <v>4890</v>
      </c>
      <c r="AU734" s="1">
        <v>19580</v>
      </c>
      <c r="AV734">
        <v>80.02</v>
      </c>
      <c r="AX734" s="1">
        <v>2447.56</v>
      </c>
      <c r="AY734" t="s">
        <v>560</v>
      </c>
      <c r="AZ734" t="s">
        <v>561</v>
      </c>
      <c r="BA734" t="s">
        <v>194</v>
      </c>
      <c r="BE734" s="3">
        <v>42377</v>
      </c>
      <c r="BF734" s="1">
        <v>252751</v>
      </c>
      <c r="BG734" t="s">
        <v>1975</v>
      </c>
      <c r="BH734" s="1">
        <v>112.94</v>
      </c>
      <c r="BI734" s="1">
        <v>260282</v>
      </c>
      <c r="BJ734" s="3">
        <v>42726</v>
      </c>
      <c r="BK734" t="s">
        <v>123</v>
      </c>
      <c r="BL734" t="str">
        <f>"2016.945701"</f>
        <v>2016.945701</v>
      </c>
      <c r="BM734" t="s">
        <v>425</v>
      </c>
      <c r="BO734" t="s">
        <v>4744</v>
      </c>
      <c r="BS734">
        <v>30</v>
      </c>
      <c r="BW734" t="str">
        <f>""</f>
        <v/>
      </c>
      <c r="CH734" t="str">
        <f>""</f>
        <v/>
      </c>
      <c r="CS734" t="str">
        <f>""</f>
        <v/>
      </c>
    </row>
    <row r="735" spans="1:97" x14ac:dyDescent="0.25">
      <c r="A735" t="s">
        <v>183</v>
      </c>
      <c r="B735" t="s">
        <v>4745</v>
      </c>
      <c r="C735" t="s">
        <v>719</v>
      </c>
      <c r="D735" t="s">
        <v>4745</v>
      </c>
      <c r="E735" t="s">
        <v>4746</v>
      </c>
      <c r="F735" t="s">
        <v>108</v>
      </c>
      <c r="H735" t="s">
        <v>4747</v>
      </c>
      <c r="I735" t="s">
        <v>188</v>
      </c>
      <c r="J735" t="s">
        <v>111</v>
      </c>
      <c r="K735" t="str">
        <f>"85142"</f>
        <v>85142</v>
      </c>
      <c r="L735" t="s">
        <v>2197</v>
      </c>
      <c r="M735" t="s">
        <v>4747</v>
      </c>
      <c r="N735" t="s">
        <v>188</v>
      </c>
      <c r="O735" t="s">
        <v>111</v>
      </c>
      <c r="P735" t="str">
        <f>"85142-7873"</f>
        <v>85142-7873</v>
      </c>
      <c r="Q735" t="s">
        <v>113</v>
      </c>
      <c r="R735" t="str">
        <f>"304-93-706"</f>
        <v>304-93-706</v>
      </c>
      <c r="S735" t="s">
        <v>2198</v>
      </c>
      <c r="T735" t="s">
        <v>2198</v>
      </c>
      <c r="U735">
        <v>3041</v>
      </c>
      <c r="W735">
        <v>4</v>
      </c>
      <c r="X735">
        <v>2015</v>
      </c>
      <c r="Z735">
        <v>2</v>
      </c>
      <c r="AC735" t="s">
        <v>115</v>
      </c>
      <c r="AD735">
        <v>3</v>
      </c>
      <c r="AE735" t="s">
        <v>115</v>
      </c>
      <c r="AH735" t="s">
        <v>116</v>
      </c>
      <c r="AI735" s="1">
        <v>89233</v>
      </c>
      <c r="AJ735" s="2">
        <v>0.21</v>
      </c>
      <c r="AK735" s="1">
        <v>431761</v>
      </c>
      <c r="AL735" t="s">
        <v>117</v>
      </c>
      <c r="AM735" t="s">
        <v>393</v>
      </c>
      <c r="AN735">
        <v>8125</v>
      </c>
      <c r="AO735">
        <v>0.19</v>
      </c>
      <c r="AR735">
        <v>1</v>
      </c>
      <c r="AS735" s="1">
        <v>30630</v>
      </c>
      <c r="AT735" s="1">
        <v>6120</v>
      </c>
      <c r="AU735" s="1">
        <v>24510</v>
      </c>
      <c r="AV735">
        <v>80.02</v>
      </c>
      <c r="AX735" s="1">
        <v>2819.6</v>
      </c>
      <c r="AY735" t="s">
        <v>192</v>
      </c>
      <c r="AZ735" t="s">
        <v>193</v>
      </c>
      <c r="BA735" t="s">
        <v>194</v>
      </c>
      <c r="BE735" s="3">
        <v>42366</v>
      </c>
      <c r="BF735" s="1">
        <v>347419</v>
      </c>
      <c r="BG735" t="s">
        <v>2199</v>
      </c>
      <c r="BH735" s="1">
        <v>114.24</v>
      </c>
      <c r="BI735" s="1">
        <v>342528</v>
      </c>
      <c r="BJ735" s="3">
        <v>42825</v>
      </c>
      <c r="BK735" t="s">
        <v>123</v>
      </c>
      <c r="BL735" t="str">
        <f>"2017.230668"</f>
        <v>2017.230668</v>
      </c>
      <c r="BM735" t="s">
        <v>2683</v>
      </c>
      <c r="BO735" t="s">
        <v>4748</v>
      </c>
      <c r="BS735">
        <v>30</v>
      </c>
      <c r="BW735" t="str">
        <f>""</f>
        <v/>
      </c>
      <c r="CH735" t="str">
        <f>""</f>
        <v/>
      </c>
      <c r="CS735" t="str">
        <f>""</f>
        <v/>
      </c>
    </row>
    <row r="736" spans="1:97" x14ac:dyDescent="0.25">
      <c r="A736" t="s">
        <v>483</v>
      </c>
      <c r="B736" t="s">
        <v>3862</v>
      </c>
      <c r="C736" t="s">
        <v>1845</v>
      </c>
      <c r="D736" t="s">
        <v>3862</v>
      </c>
      <c r="E736" t="s">
        <v>4749</v>
      </c>
      <c r="F736" t="s">
        <v>108</v>
      </c>
      <c r="H736" t="s">
        <v>4750</v>
      </c>
      <c r="I736" t="s">
        <v>499</v>
      </c>
      <c r="J736" t="s">
        <v>111</v>
      </c>
      <c r="K736" t="str">
        <f>"85338"</f>
        <v>85338</v>
      </c>
      <c r="L736" t="s">
        <v>4751</v>
      </c>
      <c r="M736" t="s">
        <v>4750</v>
      </c>
      <c r="N736" t="s">
        <v>499</v>
      </c>
      <c r="O736" t="s">
        <v>111</v>
      </c>
      <c r="P736" t="str">
        <f>"85338-3654"</f>
        <v>85338-3654</v>
      </c>
      <c r="Q736" t="s">
        <v>113</v>
      </c>
      <c r="R736" t="str">
        <f>"400-58-508"</f>
        <v>400-58-508</v>
      </c>
      <c r="S736" t="s">
        <v>4752</v>
      </c>
      <c r="U736">
        <v>3107</v>
      </c>
      <c r="W736">
        <v>5</v>
      </c>
      <c r="X736">
        <v>2016</v>
      </c>
      <c r="Z736">
        <v>1</v>
      </c>
      <c r="AC736" t="s">
        <v>115</v>
      </c>
      <c r="AD736">
        <v>3</v>
      </c>
      <c r="AE736" t="s">
        <v>115</v>
      </c>
      <c r="AH736" t="s">
        <v>116</v>
      </c>
      <c r="AI736" s="1">
        <v>128206</v>
      </c>
      <c r="AJ736" s="2">
        <v>0.3</v>
      </c>
      <c r="AK736" s="1">
        <v>431906</v>
      </c>
      <c r="AL736" t="s">
        <v>117</v>
      </c>
      <c r="AM736" t="s">
        <v>118</v>
      </c>
      <c r="AN736">
        <v>9250</v>
      </c>
      <c r="AO736">
        <v>0.21</v>
      </c>
      <c r="AR736">
        <v>1</v>
      </c>
      <c r="AS736" s="1">
        <v>30000</v>
      </c>
      <c r="AT736" s="1">
        <v>6000</v>
      </c>
      <c r="AU736" s="1">
        <v>24000</v>
      </c>
      <c r="AV736">
        <v>80</v>
      </c>
      <c r="AX736" s="1">
        <v>3510.02</v>
      </c>
      <c r="AY736" t="s">
        <v>1246</v>
      </c>
      <c r="AZ736" t="s">
        <v>1246</v>
      </c>
      <c r="BA736" t="s">
        <v>1247</v>
      </c>
      <c r="BE736" s="3">
        <v>42521</v>
      </c>
      <c r="BF736" s="1">
        <v>375456</v>
      </c>
      <c r="BG736" t="s">
        <v>459</v>
      </c>
      <c r="BH736" s="1">
        <v>120.84</v>
      </c>
      <c r="BI736" s="1">
        <v>303700</v>
      </c>
      <c r="BJ736" s="3">
        <v>42660</v>
      </c>
      <c r="BK736" t="s">
        <v>123</v>
      </c>
      <c r="BL736" t="str">
        <f>"2016.759993"</f>
        <v>2016.759993</v>
      </c>
      <c r="BM736" t="s">
        <v>255</v>
      </c>
      <c r="BO736" t="s">
        <v>4753</v>
      </c>
      <c r="BS736">
        <v>30</v>
      </c>
      <c r="BW736" t="str">
        <f>""</f>
        <v/>
      </c>
      <c r="CH736" t="str">
        <f>""</f>
        <v/>
      </c>
      <c r="CS736" t="str">
        <f>""</f>
        <v/>
      </c>
    </row>
    <row r="737" spans="1:97" x14ac:dyDescent="0.25">
      <c r="A737" t="s">
        <v>4754</v>
      </c>
      <c r="B737" t="s">
        <v>4755</v>
      </c>
      <c r="C737" t="s">
        <v>1361</v>
      </c>
      <c r="D737" t="s">
        <v>4755</v>
      </c>
      <c r="E737" t="s">
        <v>4756</v>
      </c>
      <c r="F737" t="s">
        <v>108</v>
      </c>
      <c r="H737" t="s">
        <v>4757</v>
      </c>
      <c r="I737" t="s">
        <v>188</v>
      </c>
      <c r="J737" t="s">
        <v>111</v>
      </c>
      <c r="K737" t="str">
        <f>"85142"</f>
        <v>85142</v>
      </c>
      <c r="L737" t="s">
        <v>3161</v>
      </c>
      <c r="M737" t="s">
        <v>4757</v>
      </c>
      <c r="N737" t="s">
        <v>188</v>
      </c>
      <c r="O737" t="s">
        <v>111</v>
      </c>
      <c r="P737" t="str">
        <f>"85142-7906"</f>
        <v>85142-7906</v>
      </c>
      <c r="Q737" t="s">
        <v>113</v>
      </c>
      <c r="R737" t="str">
        <f>"304-87-799"</f>
        <v>304-87-799</v>
      </c>
      <c r="S737" t="s">
        <v>3162</v>
      </c>
      <c r="T737" t="s">
        <v>3162</v>
      </c>
      <c r="U737">
        <v>4022</v>
      </c>
      <c r="W737">
        <v>6</v>
      </c>
      <c r="X737">
        <v>2015</v>
      </c>
      <c r="Z737">
        <v>1</v>
      </c>
      <c r="AA737" t="s">
        <v>26</v>
      </c>
      <c r="AC737" t="s">
        <v>115</v>
      </c>
      <c r="AD737">
        <v>3</v>
      </c>
      <c r="AE737" t="s">
        <v>115</v>
      </c>
      <c r="AH737" t="s">
        <v>116</v>
      </c>
      <c r="AI737" s="1">
        <v>60944</v>
      </c>
      <c r="AJ737" s="2">
        <v>0.13</v>
      </c>
      <c r="AK737" s="1">
        <v>483156</v>
      </c>
      <c r="AL737" t="s">
        <v>117</v>
      </c>
      <c r="AM737" t="s">
        <v>917</v>
      </c>
      <c r="AN737">
        <v>13775</v>
      </c>
      <c r="AO737">
        <v>0.32</v>
      </c>
      <c r="AR737">
        <v>1</v>
      </c>
      <c r="AS737" s="1">
        <v>48180</v>
      </c>
      <c r="AT737" s="1">
        <v>9630</v>
      </c>
      <c r="AU737" s="1">
        <v>38550</v>
      </c>
      <c r="AV737">
        <v>80.010000000000005</v>
      </c>
      <c r="AX737" s="1">
        <v>4395.16</v>
      </c>
      <c r="AY737" t="s">
        <v>192</v>
      </c>
      <c r="AZ737" t="s">
        <v>193</v>
      </c>
      <c r="BA737" t="s">
        <v>194</v>
      </c>
      <c r="BE737" s="3">
        <v>42459</v>
      </c>
      <c r="BF737" s="1">
        <v>482500</v>
      </c>
      <c r="BG737" t="s">
        <v>4758</v>
      </c>
      <c r="BH737" s="1">
        <v>119.97</v>
      </c>
      <c r="BI737" s="1">
        <v>422212</v>
      </c>
      <c r="BJ737" s="3">
        <v>42459</v>
      </c>
      <c r="BK737" t="s">
        <v>123</v>
      </c>
      <c r="BL737" t="str">
        <f>"2016.204643"</f>
        <v>2016.204643</v>
      </c>
      <c r="BM737" t="s">
        <v>903</v>
      </c>
      <c r="BO737" t="s">
        <v>4759</v>
      </c>
      <c r="BS737">
        <v>30</v>
      </c>
      <c r="BW737" t="str">
        <f>""</f>
        <v/>
      </c>
      <c r="CH737" t="str">
        <f>""</f>
        <v/>
      </c>
      <c r="CS737" t="str">
        <f>""</f>
        <v/>
      </c>
    </row>
    <row r="738" spans="1:97" x14ac:dyDescent="0.25">
      <c r="A738" t="s">
        <v>4760</v>
      </c>
      <c r="B738" t="s">
        <v>4761</v>
      </c>
      <c r="C738" t="s">
        <v>4762</v>
      </c>
      <c r="D738" t="s">
        <v>4761</v>
      </c>
      <c r="E738" t="s">
        <v>4763</v>
      </c>
      <c r="F738" t="s">
        <v>108</v>
      </c>
      <c r="H738" t="s">
        <v>4764</v>
      </c>
      <c r="I738" t="s">
        <v>225</v>
      </c>
      <c r="J738" t="s">
        <v>111</v>
      </c>
      <c r="K738" t="str">
        <f>"85212"</f>
        <v>85212</v>
      </c>
      <c r="L738" t="s">
        <v>3140</v>
      </c>
      <c r="M738" t="s">
        <v>4764</v>
      </c>
      <c r="N738" t="s">
        <v>225</v>
      </c>
      <c r="O738" t="s">
        <v>111</v>
      </c>
      <c r="P738" t="str">
        <f>"85212-8242"</f>
        <v>85212-8242</v>
      </c>
      <c r="Q738" t="s">
        <v>113</v>
      </c>
      <c r="R738" t="str">
        <f>"312-13-423"</f>
        <v>312-13-423</v>
      </c>
      <c r="S738" t="s">
        <v>3200</v>
      </c>
      <c r="T738" t="s">
        <v>3142</v>
      </c>
      <c r="U738">
        <v>3443</v>
      </c>
      <c r="W738">
        <v>4</v>
      </c>
      <c r="X738">
        <v>2015</v>
      </c>
      <c r="Z738">
        <v>2</v>
      </c>
      <c r="AC738" t="s">
        <v>115</v>
      </c>
      <c r="AD738">
        <v>3</v>
      </c>
      <c r="AE738" t="s">
        <v>115</v>
      </c>
      <c r="AH738" t="s">
        <v>116</v>
      </c>
      <c r="AI738" s="1">
        <v>154132</v>
      </c>
      <c r="AJ738" s="2">
        <v>0.36</v>
      </c>
      <c r="AK738" s="1">
        <v>430129</v>
      </c>
      <c r="AL738" t="s">
        <v>117</v>
      </c>
      <c r="AM738" t="s">
        <v>191</v>
      </c>
      <c r="AN738">
        <v>7176</v>
      </c>
      <c r="AO738">
        <v>0.16</v>
      </c>
      <c r="AR738">
        <v>1</v>
      </c>
      <c r="AS738" s="1">
        <v>30800</v>
      </c>
      <c r="AT738" s="1">
        <v>6160</v>
      </c>
      <c r="AU738" s="1">
        <v>24640</v>
      </c>
      <c r="AV738">
        <v>80</v>
      </c>
      <c r="AX738" s="1">
        <v>2766.36</v>
      </c>
      <c r="AY738" t="s">
        <v>560</v>
      </c>
      <c r="AZ738" t="s">
        <v>561</v>
      </c>
      <c r="BA738" t="s">
        <v>194</v>
      </c>
      <c r="BE738" s="3">
        <v>42244</v>
      </c>
      <c r="BF738" s="1">
        <v>322590</v>
      </c>
      <c r="BG738" t="s">
        <v>446</v>
      </c>
      <c r="BH738" s="1">
        <v>93.69</v>
      </c>
      <c r="BI738" s="1">
        <v>275997</v>
      </c>
      <c r="BJ738" s="3">
        <v>42244</v>
      </c>
      <c r="BK738" t="s">
        <v>123</v>
      </c>
      <c r="BL738" t="str">
        <f>"2015.624850"</f>
        <v>2015.624850</v>
      </c>
      <c r="BM738" t="s">
        <v>573</v>
      </c>
      <c r="BO738" t="s">
        <v>4765</v>
      </c>
      <c r="BS738">
        <v>30</v>
      </c>
      <c r="BW738" t="str">
        <f>""</f>
        <v/>
      </c>
      <c r="CH738" t="str">
        <f>""</f>
        <v/>
      </c>
      <c r="CS738" t="str">
        <f>""</f>
        <v/>
      </c>
    </row>
    <row r="739" spans="1:97" x14ac:dyDescent="0.25">
      <c r="A739" t="s">
        <v>1444</v>
      </c>
      <c r="B739" t="s">
        <v>1820</v>
      </c>
      <c r="C739" t="s">
        <v>4766</v>
      </c>
      <c r="D739" t="s">
        <v>1820</v>
      </c>
      <c r="E739" t="s">
        <v>4767</v>
      </c>
      <c r="F739" t="s">
        <v>108</v>
      </c>
      <c r="H739" t="s">
        <v>4768</v>
      </c>
      <c r="I739" t="s">
        <v>203</v>
      </c>
      <c r="J739" t="s">
        <v>111</v>
      </c>
      <c r="K739" t="str">
        <f>"85298"</f>
        <v>85298</v>
      </c>
      <c r="L739" t="s">
        <v>734</v>
      </c>
      <c r="M739" t="s">
        <v>4768</v>
      </c>
      <c r="N739" t="s">
        <v>203</v>
      </c>
      <c r="O739" t="s">
        <v>111</v>
      </c>
      <c r="P739" t="str">
        <f>"85298"</f>
        <v>85298</v>
      </c>
      <c r="Q739" t="s">
        <v>113</v>
      </c>
      <c r="R739" t="str">
        <f>"313-18-167"</f>
        <v>313-18-167</v>
      </c>
      <c r="S739" t="s">
        <v>2165</v>
      </c>
      <c r="U739">
        <v>2323</v>
      </c>
      <c r="W739">
        <v>4</v>
      </c>
      <c r="X739">
        <v>2015</v>
      </c>
      <c r="Z739">
        <v>1</v>
      </c>
      <c r="AC739" t="s">
        <v>115</v>
      </c>
      <c r="AD739">
        <v>3</v>
      </c>
      <c r="AE739" t="s">
        <v>115</v>
      </c>
      <c r="AH739" t="s">
        <v>116</v>
      </c>
      <c r="AI739" s="1">
        <v>71011</v>
      </c>
      <c r="AJ739" s="2">
        <v>0.17</v>
      </c>
      <c r="AK739" s="1">
        <v>429011</v>
      </c>
      <c r="AL739" t="s">
        <v>117</v>
      </c>
      <c r="AM739" t="s">
        <v>393</v>
      </c>
      <c r="AN739">
        <v>7800</v>
      </c>
      <c r="AO739">
        <v>0.18</v>
      </c>
      <c r="AR739">
        <v>1</v>
      </c>
      <c r="AS739" s="1">
        <v>31160</v>
      </c>
      <c r="AT739" s="1">
        <v>6230</v>
      </c>
      <c r="AU739" s="1">
        <v>24930</v>
      </c>
      <c r="AV739">
        <v>80.010000000000005</v>
      </c>
      <c r="AX739" s="1">
        <v>2401.7199999999998</v>
      </c>
      <c r="AY739" t="s">
        <v>737</v>
      </c>
      <c r="AZ739" t="s">
        <v>273</v>
      </c>
      <c r="BA739" t="s">
        <v>303</v>
      </c>
      <c r="BE739" s="3">
        <v>42517</v>
      </c>
      <c r="BF739" s="1">
        <v>358000</v>
      </c>
      <c r="BG739" t="s">
        <v>195</v>
      </c>
      <c r="BH739" s="1">
        <v>154.11000000000001</v>
      </c>
      <c r="BI739" s="1">
        <v>358000</v>
      </c>
      <c r="BJ739" s="3">
        <v>42517</v>
      </c>
      <c r="BK739" t="s">
        <v>123</v>
      </c>
      <c r="BL739" t="str">
        <f>"2016.368115"</f>
        <v>2016.368115</v>
      </c>
      <c r="BM739" t="s">
        <v>196</v>
      </c>
      <c r="BO739" t="s">
        <v>4769</v>
      </c>
      <c r="BS739">
        <v>30</v>
      </c>
      <c r="BW739" t="str">
        <f>""</f>
        <v/>
      </c>
      <c r="CH739" t="str">
        <f>""</f>
        <v/>
      </c>
      <c r="CS739" t="str">
        <f>""</f>
        <v/>
      </c>
    </row>
    <row r="740" spans="1:97" x14ac:dyDescent="0.25">
      <c r="A740" t="s">
        <v>370</v>
      </c>
      <c r="B740" t="s">
        <v>4770</v>
      </c>
      <c r="C740" t="s">
        <v>104</v>
      </c>
      <c r="D740" t="s">
        <v>4770</v>
      </c>
      <c r="E740" t="s">
        <v>4771</v>
      </c>
      <c r="F740" t="s">
        <v>108</v>
      </c>
      <c r="H740" t="s">
        <v>4772</v>
      </c>
      <c r="I740" t="s">
        <v>188</v>
      </c>
      <c r="J740" t="s">
        <v>111</v>
      </c>
      <c r="K740" t="str">
        <f>"85142"</f>
        <v>85142</v>
      </c>
      <c r="L740" t="s">
        <v>2197</v>
      </c>
      <c r="M740" t="s">
        <v>4772</v>
      </c>
      <c r="N740" t="s">
        <v>188</v>
      </c>
      <c r="O740" t="s">
        <v>111</v>
      </c>
      <c r="P740" t="str">
        <f>"85142-7829"</f>
        <v>85142-7829</v>
      </c>
      <c r="Q740" t="s">
        <v>113</v>
      </c>
      <c r="R740" t="str">
        <f>"304-93-813"</f>
        <v>304-93-813</v>
      </c>
      <c r="S740" t="s">
        <v>2198</v>
      </c>
      <c r="T740" t="s">
        <v>2198</v>
      </c>
      <c r="U740">
        <v>3384</v>
      </c>
      <c r="W740">
        <v>5</v>
      </c>
      <c r="X740">
        <v>2016</v>
      </c>
      <c r="Z740">
        <v>1</v>
      </c>
      <c r="AA740" t="s">
        <v>26</v>
      </c>
      <c r="AC740" t="s">
        <v>115</v>
      </c>
      <c r="AD740">
        <v>3</v>
      </c>
      <c r="AE740" t="s">
        <v>115</v>
      </c>
      <c r="AH740" t="s">
        <v>116</v>
      </c>
      <c r="AI740" s="1">
        <v>120503</v>
      </c>
      <c r="AJ740" s="2">
        <v>0.24</v>
      </c>
      <c r="AK740" s="1">
        <v>512597</v>
      </c>
      <c r="AL740" t="s">
        <v>117</v>
      </c>
      <c r="AM740" t="s">
        <v>393</v>
      </c>
      <c r="AN740">
        <v>10125</v>
      </c>
      <c r="AO740">
        <v>0.23</v>
      </c>
      <c r="AR740">
        <v>1</v>
      </c>
      <c r="AS740" s="1">
        <v>37920</v>
      </c>
      <c r="AT740" s="1">
        <v>7580</v>
      </c>
      <c r="AU740" s="1">
        <v>30340</v>
      </c>
      <c r="AV740">
        <v>80.010000000000005</v>
      </c>
      <c r="AX740" s="1">
        <v>3280.58</v>
      </c>
      <c r="AY740" t="s">
        <v>192</v>
      </c>
      <c r="AZ740" t="s">
        <v>193</v>
      </c>
      <c r="BA740" t="s">
        <v>194</v>
      </c>
      <c r="BE740" s="3">
        <v>42461</v>
      </c>
      <c r="BF740" s="1">
        <v>406684</v>
      </c>
      <c r="BG740" t="s">
        <v>2199</v>
      </c>
      <c r="BH740" s="1">
        <v>120.18</v>
      </c>
      <c r="BI740" s="1">
        <v>392094</v>
      </c>
      <c r="BJ740" s="3">
        <v>42461</v>
      </c>
      <c r="BK740" t="s">
        <v>123</v>
      </c>
      <c r="BL740" t="str">
        <f>"2016.217002"</f>
        <v>2016.217002</v>
      </c>
      <c r="BM740" t="s">
        <v>2245</v>
      </c>
      <c r="BO740" t="s">
        <v>4773</v>
      </c>
      <c r="BS740">
        <v>30</v>
      </c>
      <c r="BW740" t="str">
        <f>""</f>
        <v/>
      </c>
      <c r="CH740" t="str">
        <f>""</f>
        <v/>
      </c>
      <c r="CS740" t="str">
        <f>""</f>
        <v/>
      </c>
    </row>
    <row r="741" spans="1:97" x14ac:dyDescent="0.25">
      <c r="A741" t="s">
        <v>1514</v>
      </c>
      <c r="B741" t="s">
        <v>4774</v>
      </c>
      <c r="C741" t="s">
        <v>1496</v>
      </c>
      <c r="D741" t="s">
        <v>4774</v>
      </c>
      <c r="E741" t="s">
        <v>4775</v>
      </c>
      <c r="F741" t="s">
        <v>108</v>
      </c>
      <c r="H741" t="s">
        <v>4776</v>
      </c>
      <c r="I741" t="s">
        <v>225</v>
      </c>
      <c r="J741" t="s">
        <v>111</v>
      </c>
      <c r="K741" t="str">
        <f>"85212"</f>
        <v>85212</v>
      </c>
      <c r="L741" t="s">
        <v>558</v>
      </c>
      <c r="M741" t="s">
        <v>4776</v>
      </c>
      <c r="N741" t="s">
        <v>225</v>
      </c>
      <c r="O741" t="s">
        <v>111</v>
      </c>
      <c r="P741" t="str">
        <f>"85212-8219"</f>
        <v>85212-8219</v>
      </c>
      <c r="Q741" t="s">
        <v>113</v>
      </c>
      <c r="R741" t="str">
        <f>"304-94-083"</f>
        <v>304-94-083</v>
      </c>
      <c r="S741" t="s">
        <v>3286</v>
      </c>
      <c r="U741">
        <v>3228</v>
      </c>
      <c r="W741">
        <v>4</v>
      </c>
      <c r="X741">
        <v>2016</v>
      </c>
      <c r="Z741">
        <v>1</v>
      </c>
      <c r="AC741" t="s">
        <v>115</v>
      </c>
      <c r="AD741">
        <v>4</v>
      </c>
      <c r="AE741" t="s">
        <v>115</v>
      </c>
      <c r="AH741" t="s">
        <v>116</v>
      </c>
      <c r="AI741" s="1">
        <v>55761</v>
      </c>
      <c r="AJ741" s="2">
        <v>0.12</v>
      </c>
      <c r="AK741" s="1">
        <v>472434</v>
      </c>
      <c r="AL741" t="s">
        <v>117</v>
      </c>
      <c r="AM741" t="s">
        <v>118</v>
      </c>
      <c r="AN741">
        <v>14193</v>
      </c>
      <c r="AO741">
        <v>0.33</v>
      </c>
      <c r="AR741">
        <v>1</v>
      </c>
      <c r="AS741" s="1">
        <v>38480</v>
      </c>
      <c r="AT741" s="1">
        <v>7690</v>
      </c>
      <c r="AU741" s="1">
        <v>30790</v>
      </c>
      <c r="AV741">
        <v>80.02</v>
      </c>
      <c r="AX741" s="1">
        <v>4477.7</v>
      </c>
      <c r="AY741" t="s">
        <v>560</v>
      </c>
      <c r="AZ741" t="s">
        <v>561</v>
      </c>
      <c r="BA741" t="s">
        <v>194</v>
      </c>
      <c r="BE741" s="3">
        <v>42517</v>
      </c>
      <c r="BF741" s="1">
        <v>416673</v>
      </c>
      <c r="BG741" t="s">
        <v>275</v>
      </c>
      <c r="BH741" s="1">
        <v>129.08000000000001</v>
      </c>
      <c r="BI741" s="1">
        <v>416673</v>
      </c>
      <c r="BJ741" s="3">
        <v>42517</v>
      </c>
      <c r="BK741" t="s">
        <v>123</v>
      </c>
      <c r="BL741" t="str">
        <f>"2016.365587"</f>
        <v>2016.365587</v>
      </c>
      <c r="BM741" t="s">
        <v>651</v>
      </c>
      <c r="BO741" t="s">
        <v>4777</v>
      </c>
      <c r="BS741">
        <v>30</v>
      </c>
      <c r="BW741" t="str">
        <f>""</f>
        <v/>
      </c>
      <c r="CH741" t="str">
        <f>""</f>
        <v/>
      </c>
      <c r="CS741" t="str">
        <f>""</f>
        <v/>
      </c>
    </row>
    <row r="742" spans="1:97" x14ac:dyDescent="0.25">
      <c r="A742" t="s">
        <v>370</v>
      </c>
      <c r="B742" t="s">
        <v>4778</v>
      </c>
      <c r="C742" t="s">
        <v>2640</v>
      </c>
      <c r="D742" t="s">
        <v>4778</v>
      </c>
      <c r="E742" t="s">
        <v>4779</v>
      </c>
      <c r="F742" t="s">
        <v>108</v>
      </c>
      <c r="H742" t="s">
        <v>4780</v>
      </c>
      <c r="I742" t="s">
        <v>188</v>
      </c>
      <c r="J742" t="s">
        <v>111</v>
      </c>
      <c r="K742" t="str">
        <f>"85142"</f>
        <v>85142</v>
      </c>
      <c r="L742" t="s">
        <v>1070</v>
      </c>
      <c r="M742" t="s">
        <v>4780</v>
      </c>
      <c r="N742" t="s">
        <v>188</v>
      </c>
      <c r="O742" t="s">
        <v>111</v>
      </c>
      <c r="P742" t="str">
        <f>"85142-5450"</f>
        <v>85142-5450</v>
      </c>
      <c r="Q742" t="s">
        <v>113</v>
      </c>
      <c r="R742" t="str">
        <f>"304-94-704"</f>
        <v>304-94-704</v>
      </c>
      <c r="S742" t="s">
        <v>3134</v>
      </c>
      <c r="T742" t="s">
        <v>1073</v>
      </c>
      <c r="U742">
        <v>3967</v>
      </c>
      <c r="W742">
        <v>5</v>
      </c>
      <c r="X742">
        <v>2015</v>
      </c>
      <c r="Z742">
        <v>2</v>
      </c>
      <c r="AC742" t="s">
        <v>115</v>
      </c>
      <c r="AD742">
        <v>3</v>
      </c>
      <c r="AE742" t="s">
        <v>115</v>
      </c>
      <c r="AH742" t="s">
        <v>116</v>
      </c>
      <c r="AI742" s="1">
        <v>82035</v>
      </c>
      <c r="AJ742" s="2">
        <v>0.16</v>
      </c>
      <c r="AK742" s="1">
        <v>516985</v>
      </c>
      <c r="AL742" t="s">
        <v>117</v>
      </c>
      <c r="AM742" t="str">
        <f>"R1-7"</f>
        <v>R1-7</v>
      </c>
      <c r="AN742">
        <v>11249</v>
      </c>
      <c r="AO742">
        <v>0.26</v>
      </c>
      <c r="AR742">
        <v>1</v>
      </c>
      <c r="AS742" s="1">
        <v>36750</v>
      </c>
      <c r="AT742" s="1">
        <v>7350</v>
      </c>
      <c r="AU742" s="1">
        <v>29400</v>
      </c>
      <c r="AV742">
        <v>80</v>
      </c>
      <c r="AX742" s="1">
        <v>3490.46</v>
      </c>
      <c r="AY742" t="s">
        <v>1074</v>
      </c>
      <c r="AZ742" t="s">
        <v>193</v>
      </c>
      <c r="BA742" t="s">
        <v>194</v>
      </c>
      <c r="BE742" s="3">
        <v>42271</v>
      </c>
      <c r="BF742" s="1">
        <v>440003</v>
      </c>
      <c r="BG742" t="s">
        <v>562</v>
      </c>
      <c r="BH742" s="1">
        <v>110.92</v>
      </c>
      <c r="BI742" s="1">
        <v>434950</v>
      </c>
      <c r="BJ742" s="3">
        <v>42496</v>
      </c>
      <c r="BK742" t="s">
        <v>123</v>
      </c>
      <c r="BL742" t="str">
        <f>"2016.312024"</f>
        <v>2016.312024</v>
      </c>
      <c r="BM742" t="s">
        <v>2107</v>
      </c>
      <c r="BO742" t="s">
        <v>4781</v>
      </c>
      <c r="BS742">
        <v>30</v>
      </c>
      <c r="BW742" t="str">
        <f>""</f>
        <v/>
      </c>
      <c r="CH742" t="str">
        <f>""</f>
        <v/>
      </c>
      <c r="CS742" t="str">
        <f>""</f>
        <v/>
      </c>
    </row>
    <row r="743" spans="1:97" x14ac:dyDescent="0.25">
      <c r="A743" t="s">
        <v>1057</v>
      </c>
      <c r="B743" t="s">
        <v>4782</v>
      </c>
      <c r="C743" t="s">
        <v>370</v>
      </c>
      <c r="D743" t="s">
        <v>4783</v>
      </c>
      <c r="E743" t="s">
        <v>4784</v>
      </c>
      <c r="F743" t="s">
        <v>108</v>
      </c>
      <c r="H743" t="s">
        <v>4785</v>
      </c>
      <c r="I743" t="s">
        <v>390</v>
      </c>
      <c r="J743" t="s">
        <v>111</v>
      </c>
      <c r="K743" t="str">
        <f>"85085"</f>
        <v>85085</v>
      </c>
      <c r="L743" t="s">
        <v>3318</v>
      </c>
      <c r="M743" t="s">
        <v>4785</v>
      </c>
      <c r="N743" t="s">
        <v>390</v>
      </c>
      <c r="O743" t="s">
        <v>111</v>
      </c>
      <c r="P743" t="str">
        <f>"85085-7151"</f>
        <v>85085-7151</v>
      </c>
      <c r="Q743" t="s">
        <v>113</v>
      </c>
      <c r="R743" t="str">
        <f>"204-25-731"</f>
        <v>204-25-731</v>
      </c>
      <c r="S743" t="s">
        <v>3319</v>
      </c>
      <c r="T743" t="s">
        <v>3319</v>
      </c>
      <c r="U743">
        <v>3103</v>
      </c>
      <c r="W743">
        <v>5</v>
      </c>
      <c r="X743">
        <v>2016</v>
      </c>
      <c r="Z743">
        <v>2</v>
      </c>
      <c r="AA743" t="s">
        <v>26</v>
      </c>
      <c r="AC743" t="s">
        <v>115</v>
      </c>
      <c r="AD743">
        <v>3</v>
      </c>
      <c r="AE743" t="s">
        <v>115</v>
      </c>
      <c r="AH743" t="s">
        <v>116</v>
      </c>
      <c r="AI743" s="1">
        <v>72087</v>
      </c>
      <c r="AJ743" s="2">
        <v>0.14000000000000001</v>
      </c>
      <c r="AK743" s="1">
        <v>521271</v>
      </c>
      <c r="AL743" t="s">
        <v>117</v>
      </c>
      <c r="AM743" t="s">
        <v>229</v>
      </c>
      <c r="AN743">
        <v>5919</v>
      </c>
      <c r="AO743">
        <v>0.14000000000000001</v>
      </c>
      <c r="AR743">
        <v>1</v>
      </c>
      <c r="AS743" s="1">
        <v>42510</v>
      </c>
      <c r="AT743" s="1">
        <v>8500</v>
      </c>
      <c r="AU743" s="1">
        <v>34010</v>
      </c>
      <c r="AV743">
        <v>80</v>
      </c>
      <c r="AX743" s="1">
        <v>3343.28</v>
      </c>
      <c r="AY743" t="s">
        <v>2651</v>
      </c>
      <c r="AZ743" t="s">
        <v>2651</v>
      </c>
      <c r="BA743" t="s">
        <v>1462</v>
      </c>
      <c r="BB743" s="3">
        <v>42741</v>
      </c>
      <c r="BD743" t="s">
        <v>240</v>
      </c>
      <c r="BE743" s="3">
        <v>42475</v>
      </c>
      <c r="BF743" s="1">
        <v>410661</v>
      </c>
      <c r="BG743" t="s">
        <v>420</v>
      </c>
      <c r="BH743" s="1">
        <v>132.34</v>
      </c>
      <c r="BI743" s="1">
        <v>414900</v>
      </c>
      <c r="BJ743" s="3">
        <v>42576</v>
      </c>
      <c r="BK743" t="s">
        <v>123</v>
      </c>
      <c r="BL743" t="str">
        <f>"2016.524071"</f>
        <v>2016.524071</v>
      </c>
      <c r="BM743" t="s">
        <v>1122</v>
      </c>
      <c r="BO743" t="s">
        <v>4786</v>
      </c>
      <c r="BS743">
        <v>30</v>
      </c>
      <c r="BT743" s="1">
        <v>34284</v>
      </c>
      <c r="BU743" s="3">
        <v>42741</v>
      </c>
      <c r="BV743" t="s">
        <v>134</v>
      </c>
      <c r="BW743" t="str">
        <f>"2017.12117"</f>
        <v>2017.12117</v>
      </c>
      <c r="BX743" t="s">
        <v>198</v>
      </c>
      <c r="BZ743" t="s">
        <v>4787</v>
      </c>
      <c r="CA743" t="s">
        <v>4786</v>
      </c>
      <c r="CD743">
        <v>15</v>
      </c>
      <c r="CH743" t="str">
        <f>""</f>
        <v/>
      </c>
      <c r="CS743" t="str">
        <f>""</f>
        <v/>
      </c>
    </row>
    <row r="744" spans="1:97" x14ac:dyDescent="0.25">
      <c r="A744" t="s">
        <v>1393</v>
      </c>
      <c r="B744" t="s">
        <v>4788</v>
      </c>
      <c r="C744" t="s">
        <v>1649</v>
      </c>
      <c r="D744" t="s">
        <v>4788</v>
      </c>
      <c r="E744" t="s">
        <v>4789</v>
      </c>
      <c r="F744" t="s">
        <v>108</v>
      </c>
      <c r="H744" t="s">
        <v>4790</v>
      </c>
      <c r="I744" t="s">
        <v>3150</v>
      </c>
      <c r="J744" t="s">
        <v>111</v>
      </c>
      <c r="K744" t="str">
        <f>"85340"</f>
        <v>85340</v>
      </c>
      <c r="L744" t="s">
        <v>3151</v>
      </c>
      <c r="M744" t="s">
        <v>4790</v>
      </c>
      <c r="N744" t="s">
        <v>3150</v>
      </c>
      <c r="O744" t="s">
        <v>111</v>
      </c>
      <c r="P744" t="str">
        <f>"85340-2831"</f>
        <v>85340-2831</v>
      </c>
      <c r="Q744" t="s">
        <v>113</v>
      </c>
      <c r="R744" t="str">
        <f>"501-73-887"</f>
        <v>501-73-887</v>
      </c>
      <c r="S744" t="s">
        <v>3152</v>
      </c>
      <c r="U744">
        <v>4473</v>
      </c>
      <c r="W744">
        <v>6</v>
      </c>
      <c r="X744">
        <v>2015</v>
      </c>
      <c r="Z744">
        <v>2</v>
      </c>
      <c r="AA744" t="s">
        <v>26</v>
      </c>
      <c r="AC744" t="s">
        <v>115</v>
      </c>
      <c r="AD744">
        <v>2</v>
      </c>
      <c r="AE744" t="s">
        <v>115</v>
      </c>
      <c r="AH744" t="s">
        <v>116</v>
      </c>
      <c r="AI744" s="1">
        <v>134102</v>
      </c>
      <c r="AJ744" s="2">
        <v>0.24</v>
      </c>
      <c r="AK744" s="1">
        <v>566978</v>
      </c>
      <c r="AL744" t="s">
        <v>117</v>
      </c>
      <c r="AM744" t="s">
        <v>118</v>
      </c>
      <c r="AN744">
        <v>9240</v>
      </c>
      <c r="AO744">
        <v>0.21</v>
      </c>
      <c r="AR744">
        <v>1</v>
      </c>
      <c r="AS744" s="1">
        <v>41580</v>
      </c>
      <c r="AT744" s="1">
        <v>8310</v>
      </c>
      <c r="AU744" s="1">
        <v>33270</v>
      </c>
      <c r="AV744">
        <v>80.010000000000005</v>
      </c>
      <c r="AX744" s="1">
        <v>3506.44</v>
      </c>
      <c r="AY744" t="s">
        <v>3019</v>
      </c>
      <c r="AZ744" t="s">
        <v>3153</v>
      </c>
      <c r="BA744" t="s">
        <v>3154</v>
      </c>
      <c r="BE744" s="3">
        <v>42306</v>
      </c>
      <c r="BF744" s="1">
        <v>419731</v>
      </c>
      <c r="BG744" t="s">
        <v>636</v>
      </c>
      <c r="BH744" s="1">
        <v>93.84</v>
      </c>
      <c r="BI744" s="1">
        <v>432876</v>
      </c>
      <c r="BJ744" s="3">
        <v>42306</v>
      </c>
      <c r="BK744" t="s">
        <v>123</v>
      </c>
      <c r="BL744" t="str">
        <f>"2015.778577"</f>
        <v>2015.778577</v>
      </c>
      <c r="BM744" t="s">
        <v>637</v>
      </c>
      <c r="BO744" t="s">
        <v>4791</v>
      </c>
      <c r="BS744">
        <v>30</v>
      </c>
      <c r="BW744" t="str">
        <f>""</f>
        <v/>
      </c>
      <c r="CH744" t="str">
        <f>""</f>
        <v/>
      </c>
      <c r="CS744" t="str">
        <f>""</f>
        <v/>
      </c>
    </row>
    <row r="745" spans="1:97" x14ac:dyDescent="0.25">
      <c r="A745" t="s">
        <v>894</v>
      </c>
      <c r="B745" t="s">
        <v>4792</v>
      </c>
      <c r="C745" t="s">
        <v>4793</v>
      </c>
      <c r="D745" t="s">
        <v>4792</v>
      </c>
      <c r="E745" t="s">
        <v>4794</v>
      </c>
      <c r="F745" t="s">
        <v>108</v>
      </c>
      <c r="H745" t="s">
        <v>4795</v>
      </c>
      <c r="I745" t="s">
        <v>110</v>
      </c>
      <c r="J745" t="s">
        <v>111</v>
      </c>
      <c r="K745" t="str">
        <f>"85249"</f>
        <v>85249</v>
      </c>
      <c r="L745" t="s">
        <v>3696</v>
      </c>
      <c r="M745" t="s">
        <v>4795</v>
      </c>
      <c r="N745" t="s">
        <v>110</v>
      </c>
      <c r="O745" t="s">
        <v>111</v>
      </c>
      <c r="P745" t="str">
        <f>"85249"</f>
        <v>85249</v>
      </c>
      <c r="Q745" t="s">
        <v>113</v>
      </c>
      <c r="R745" t="str">
        <f>"304-88-762"</f>
        <v>304-88-762</v>
      </c>
      <c r="S745" t="s">
        <v>3697</v>
      </c>
      <c r="T745" t="s">
        <v>3698</v>
      </c>
      <c r="U745">
        <v>5069</v>
      </c>
      <c r="W745">
        <v>6</v>
      </c>
      <c r="X745">
        <v>2016</v>
      </c>
      <c r="Z745">
        <v>2</v>
      </c>
      <c r="AC745" t="s">
        <v>115</v>
      </c>
      <c r="AD745">
        <v>3</v>
      </c>
      <c r="AE745" t="s">
        <v>115</v>
      </c>
      <c r="AH745" t="s">
        <v>116</v>
      </c>
      <c r="AI745" s="1">
        <v>208787</v>
      </c>
      <c r="AJ745" s="2">
        <v>0.27</v>
      </c>
      <c r="AK745" s="1">
        <v>777004</v>
      </c>
      <c r="AL745" t="s">
        <v>117</v>
      </c>
      <c r="AM745" t="s">
        <v>3111</v>
      </c>
      <c r="AN745">
        <v>15330</v>
      </c>
      <c r="AO745">
        <v>0.35</v>
      </c>
      <c r="AR745">
        <v>1</v>
      </c>
      <c r="AS745" s="1">
        <v>57520</v>
      </c>
      <c r="AT745" s="1">
        <v>11500</v>
      </c>
      <c r="AU745" s="1">
        <v>46020</v>
      </c>
      <c r="AV745">
        <v>80.010000000000005</v>
      </c>
      <c r="AX745" s="1">
        <v>4489.26</v>
      </c>
      <c r="AY745" t="s">
        <v>3699</v>
      </c>
      <c r="AZ745" t="s">
        <v>273</v>
      </c>
      <c r="BA745" t="s">
        <v>274</v>
      </c>
      <c r="BE745" s="3">
        <v>42502</v>
      </c>
      <c r="BF745" s="1">
        <v>618623</v>
      </c>
      <c r="BG745" t="s">
        <v>420</v>
      </c>
      <c r="BH745" s="1">
        <v>122.04</v>
      </c>
      <c r="BI745" s="1">
        <v>568217</v>
      </c>
      <c r="BJ745" s="3">
        <v>42502</v>
      </c>
      <c r="BK745" t="s">
        <v>123</v>
      </c>
      <c r="BL745" t="str">
        <f>"2016.327203"</f>
        <v>2016.327203</v>
      </c>
      <c r="BM745" t="s">
        <v>2683</v>
      </c>
      <c r="BO745" t="s">
        <v>4796</v>
      </c>
      <c r="BS745">
        <v>30</v>
      </c>
      <c r="BW745" t="str">
        <f>""</f>
        <v/>
      </c>
      <c r="CH745" t="str">
        <f>""</f>
        <v/>
      </c>
      <c r="CS745" t="str">
        <f>""</f>
        <v/>
      </c>
    </row>
    <row r="746" spans="1:97" x14ac:dyDescent="0.25">
      <c r="B746" t="s">
        <v>4797</v>
      </c>
      <c r="C746" t="s">
        <v>945</v>
      </c>
      <c r="E746" t="s">
        <v>4798</v>
      </c>
      <c r="F746" t="s">
        <v>108</v>
      </c>
      <c r="H746" t="s">
        <v>4799</v>
      </c>
      <c r="I746" t="s">
        <v>225</v>
      </c>
      <c r="J746" t="s">
        <v>111</v>
      </c>
      <c r="K746" t="str">
        <f>"85212"</f>
        <v>85212</v>
      </c>
      <c r="L746" t="s">
        <v>3140</v>
      </c>
      <c r="M746" t="s">
        <v>4799</v>
      </c>
      <c r="N746" t="s">
        <v>225</v>
      </c>
      <c r="O746" t="s">
        <v>111</v>
      </c>
      <c r="P746" t="str">
        <f>"85212-8413"</f>
        <v>85212-8413</v>
      </c>
      <c r="Q746" t="s">
        <v>113</v>
      </c>
      <c r="R746" t="str">
        <f>"304-35-063"</f>
        <v>304-35-063</v>
      </c>
      <c r="S746" t="s">
        <v>3235</v>
      </c>
      <c r="U746">
        <v>1856</v>
      </c>
      <c r="W746">
        <v>3</v>
      </c>
      <c r="X746">
        <v>2016</v>
      </c>
      <c r="Z746">
        <v>1</v>
      </c>
      <c r="AC746" t="s">
        <v>115</v>
      </c>
      <c r="AD746">
        <v>2</v>
      </c>
      <c r="AE746" t="s">
        <v>115</v>
      </c>
      <c r="AH746" t="s">
        <v>116</v>
      </c>
      <c r="AI746" s="1">
        <v>143315</v>
      </c>
      <c r="AJ746" s="2">
        <v>0.4</v>
      </c>
      <c r="AK746" s="1">
        <v>361322</v>
      </c>
      <c r="AL746" t="s">
        <v>117</v>
      </c>
      <c r="AM746" t="s">
        <v>118</v>
      </c>
      <c r="AN746">
        <v>7620</v>
      </c>
      <c r="AO746">
        <v>0.18</v>
      </c>
      <c r="AR746">
        <v>1</v>
      </c>
      <c r="AS746" s="1">
        <v>26460</v>
      </c>
      <c r="AT746" s="1">
        <v>5290</v>
      </c>
      <c r="AU746" s="1">
        <v>21170</v>
      </c>
      <c r="AV746">
        <v>80.010000000000005</v>
      </c>
      <c r="AX746" s="1">
        <v>3149.46</v>
      </c>
      <c r="AY746" t="s">
        <v>560</v>
      </c>
      <c r="AZ746" t="s">
        <v>561</v>
      </c>
      <c r="BA746" t="s">
        <v>194</v>
      </c>
      <c r="BB746" s="3">
        <v>43661</v>
      </c>
      <c r="BC746" s="1">
        <v>0</v>
      </c>
      <c r="BD746" t="s">
        <v>247</v>
      </c>
      <c r="BE746" s="3">
        <v>42529</v>
      </c>
      <c r="BF746" s="1">
        <v>315316</v>
      </c>
      <c r="BG746" t="s">
        <v>3236</v>
      </c>
      <c r="BH746" s="1">
        <v>169.89</v>
      </c>
      <c r="BI746" s="1">
        <v>218007</v>
      </c>
      <c r="BJ746" s="3">
        <v>42529</v>
      </c>
      <c r="BK746" t="s">
        <v>123</v>
      </c>
      <c r="BL746" t="str">
        <f>"2016.397932"</f>
        <v>2016.397932</v>
      </c>
      <c r="BM746" t="s">
        <v>175</v>
      </c>
      <c r="BN746" t="s">
        <v>132</v>
      </c>
      <c r="BO746" t="s">
        <v>4800</v>
      </c>
      <c r="BS746">
        <v>30</v>
      </c>
      <c r="BW746" t="str">
        <f>""</f>
        <v/>
      </c>
      <c r="CH746" t="str">
        <f>""</f>
        <v/>
      </c>
      <c r="CS746" t="str">
        <f>""</f>
        <v/>
      </c>
    </row>
    <row r="747" spans="1:97" x14ac:dyDescent="0.25">
      <c r="A747" t="s">
        <v>211</v>
      </c>
      <c r="B747" t="s">
        <v>4652</v>
      </c>
      <c r="C747" t="s">
        <v>4801</v>
      </c>
      <c r="D747" t="s">
        <v>4652</v>
      </c>
      <c r="E747" t="s">
        <v>4802</v>
      </c>
      <c r="F747" t="s">
        <v>108</v>
      </c>
      <c r="H747" t="s">
        <v>4803</v>
      </c>
      <c r="I747" t="s">
        <v>225</v>
      </c>
      <c r="J747" t="s">
        <v>111</v>
      </c>
      <c r="K747" t="str">
        <f>"85212"</f>
        <v>85212</v>
      </c>
      <c r="L747" t="s">
        <v>3140</v>
      </c>
      <c r="M747" t="s">
        <v>4803</v>
      </c>
      <c r="N747" t="s">
        <v>225</v>
      </c>
      <c r="O747" t="s">
        <v>111</v>
      </c>
      <c r="P747" t="str">
        <f>"85212-8235"</f>
        <v>85212-8235</v>
      </c>
      <c r="Q747" t="s">
        <v>113</v>
      </c>
      <c r="R747" t="str">
        <f>"312-13-395"</f>
        <v>312-13-395</v>
      </c>
      <c r="S747" t="s">
        <v>3200</v>
      </c>
      <c r="T747" t="s">
        <v>3142</v>
      </c>
      <c r="U747">
        <v>2668</v>
      </c>
      <c r="W747">
        <v>4</v>
      </c>
      <c r="X747">
        <v>2015</v>
      </c>
      <c r="Z747">
        <v>1</v>
      </c>
      <c r="AA747" t="s">
        <v>26</v>
      </c>
      <c r="AC747" t="s">
        <v>115</v>
      </c>
      <c r="AD747">
        <v>3</v>
      </c>
      <c r="AE747" t="s">
        <v>115</v>
      </c>
      <c r="AH747" t="s">
        <v>116</v>
      </c>
      <c r="AI747" s="1">
        <v>25640</v>
      </c>
      <c r="AJ747" s="2">
        <v>0.06</v>
      </c>
      <c r="AK747" s="1">
        <v>449284</v>
      </c>
      <c r="AL747" t="s">
        <v>117</v>
      </c>
      <c r="AM747" t="s">
        <v>191</v>
      </c>
      <c r="AN747">
        <v>9009</v>
      </c>
      <c r="AO747">
        <v>0.21</v>
      </c>
      <c r="AR747">
        <v>1</v>
      </c>
      <c r="AS747" s="1">
        <v>33230</v>
      </c>
      <c r="AT747" s="1">
        <v>6640</v>
      </c>
      <c r="AU747" s="1">
        <v>26590</v>
      </c>
      <c r="AV747">
        <v>80.02</v>
      </c>
      <c r="AX747" s="1">
        <v>2723.52</v>
      </c>
      <c r="AY747" t="s">
        <v>560</v>
      </c>
      <c r="AZ747" t="s">
        <v>561</v>
      </c>
      <c r="BA747" t="s">
        <v>194</v>
      </c>
      <c r="BE747" s="3">
        <v>42247</v>
      </c>
      <c r="BF747" s="1">
        <v>373369</v>
      </c>
      <c r="BG747" t="s">
        <v>446</v>
      </c>
      <c r="BH747" s="1">
        <v>139.94</v>
      </c>
      <c r="BI747" s="1">
        <v>373369</v>
      </c>
      <c r="BJ747" s="3">
        <v>42247</v>
      </c>
      <c r="BK747" t="s">
        <v>123</v>
      </c>
      <c r="BL747" t="str">
        <f>"2015.629174"</f>
        <v>2015.629174</v>
      </c>
      <c r="BM747" t="s">
        <v>573</v>
      </c>
      <c r="BO747" t="s">
        <v>4804</v>
      </c>
      <c r="BS747">
        <v>30</v>
      </c>
      <c r="BT747" s="1">
        <v>50275</v>
      </c>
      <c r="BU747" s="3">
        <v>42488</v>
      </c>
      <c r="BV747" t="s">
        <v>134</v>
      </c>
      <c r="BW747" t="str">
        <f>"2016.284294"</f>
        <v>2016.284294</v>
      </c>
      <c r="BX747" t="s">
        <v>198</v>
      </c>
      <c r="BZ747" t="s">
        <v>4805</v>
      </c>
      <c r="CD747">
        <v>15</v>
      </c>
      <c r="CH747" t="str">
        <f>""</f>
        <v/>
      </c>
      <c r="CS747" t="str">
        <f>""</f>
        <v/>
      </c>
    </row>
    <row r="748" spans="1:97" x14ac:dyDescent="0.25">
      <c r="A748" t="s">
        <v>2915</v>
      </c>
      <c r="B748" t="s">
        <v>3706</v>
      </c>
      <c r="C748" t="s">
        <v>767</v>
      </c>
      <c r="D748" t="s">
        <v>3706</v>
      </c>
      <c r="E748" t="s">
        <v>4806</v>
      </c>
      <c r="F748" t="s">
        <v>108</v>
      </c>
      <c r="H748" t="s">
        <v>4807</v>
      </c>
      <c r="I748" t="s">
        <v>225</v>
      </c>
      <c r="J748" t="s">
        <v>111</v>
      </c>
      <c r="K748" t="str">
        <f>"85212"</f>
        <v>85212</v>
      </c>
      <c r="L748" t="s">
        <v>3140</v>
      </c>
      <c r="M748" t="s">
        <v>4807</v>
      </c>
      <c r="N748" t="s">
        <v>225</v>
      </c>
      <c r="O748" t="s">
        <v>111</v>
      </c>
      <c r="P748" t="str">
        <f>"85212-8170"</f>
        <v>85212-8170</v>
      </c>
      <c r="Q748" t="s">
        <v>113</v>
      </c>
      <c r="R748" t="str">
        <f>"304-50-852"</f>
        <v>304-50-852</v>
      </c>
      <c r="S748" t="s">
        <v>3141</v>
      </c>
      <c r="T748" t="s">
        <v>3142</v>
      </c>
      <c r="U748">
        <v>2020</v>
      </c>
      <c r="W748">
        <v>3</v>
      </c>
      <c r="X748">
        <v>2015</v>
      </c>
      <c r="Z748">
        <v>1</v>
      </c>
      <c r="AC748" t="s">
        <v>115</v>
      </c>
      <c r="AD748">
        <v>2</v>
      </c>
      <c r="AE748" t="s">
        <v>115</v>
      </c>
      <c r="AH748" t="s">
        <v>116</v>
      </c>
      <c r="AI748" s="1">
        <v>58131</v>
      </c>
      <c r="AJ748" s="2">
        <v>0.16</v>
      </c>
      <c r="AK748" s="1">
        <v>353310</v>
      </c>
      <c r="AL748" t="s">
        <v>117</v>
      </c>
      <c r="AM748" t="s">
        <v>191</v>
      </c>
      <c r="AN748">
        <v>6071</v>
      </c>
      <c r="AO748">
        <v>0.14000000000000001</v>
      </c>
      <c r="AR748">
        <v>1</v>
      </c>
      <c r="AS748" s="1">
        <v>24900</v>
      </c>
      <c r="AT748" s="1">
        <v>4980</v>
      </c>
      <c r="AU748" s="1">
        <v>19920</v>
      </c>
      <c r="AV748">
        <v>80</v>
      </c>
      <c r="AX748" s="1">
        <v>2101.38</v>
      </c>
      <c r="AY748" t="s">
        <v>560</v>
      </c>
      <c r="AZ748" t="s">
        <v>561</v>
      </c>
      <c r="BA748" t="s">
        <v>194</v>
      </c>
      <c r="BB748" s="3">
        <v>42970</v>
      </c>
      <c r="BD748" t="s">
        <v>157</v>
      </c>
      <c r="BE748" s="3">
        <v>42333</v>
      </c>
      <c r="BF748" s="1">
        <v>285750</v>
      </c>
      <c r="BG748" t="s">
        <v>446</v>
      </c>
      <c r="BH748" s="1">
        <v>141.46</v>
      </c>
      <c r="BI748" s="1">
        <v>295179</v>
      </c>
      <c r="BJ748" s="3">
        <v>42333</v>
      </c>
      <c r="BK748" t="s">
        <v>123</v>
      </c>
      <c r="BL748" t="str">
        <f>"2015.843403"</f>
        <v>2015.843403</v>
      </c>
      <c r="BM748" t="s">
        <v>573</v>
      </c>
      <c r="BN748" t="s">
        <v>3815</v>
      </c>
      <c r="BO748" t="s">
        <v>4808</v>
      </c>
      <c r="BS748">
        <v>30</v>
      </c>
      <c r="BW748" t="str">
        <f>""</f>
        <v/>
      </c>
      <c r="CH748" t="str">
        <f>""</f>
        <v/>
      </c>
      <c r="CS748" t="str">
        <f>""</f>
        <v/>
      </c>
    </row>
    <row r="749" spans="1:97" x14ac:dyDescent="0.25">
      <c r="A749" t="s">
        <v>370</v>
      </c>
      <c r="B749" t="s">
        <v>3248</v>
      </c>
      <c r="E749" t="s">
        <v>4809</v>
      </c>
      <c r="F749" t="s">
        <v>108</v>
      </c>
      <c r="H749" t="s">
        <v>4810</v>
      </c>
      <c r="I749" t="s">
        <v>188</v>
      </c>
      <c r="J749" t="s">
        <v>111</v>
      </c>
      <c r="K749" t="str">
        <f>"85142"</f>
        <v>85142</v>
      </c>
      <c r="L749" t="s">
        <v>3645</v>
      </c>
      <c r="M749" t="s">
        <v>4810</v>
      </c>
      <c r="N749" t="s">
        <v>188</v>
      </c>
      <c r="O749" t="s">
        <v>111</v>
      </c>
      <c r="P749" t="str">
        <f>"85142-8234"</f>
        <v>85142-8234</v>
      </c>
      <c r="Q749" t="s">
        <v>113</v>
      </c>
      <c r="R749" t="str">
        <f>"314-09-804"</f>
        <v>314-09-804</v>
      </c>
      <c r="S749" t="s">
        <v>4399</v>
      </c>
      <c r="T749" t="s">
        <v>4811</v>
      </c>
      <c r="U749">
        <v>2302</v>
      </c>
      <c r="W749">
        <v>4</v>
      </c>
      <c r="X749">
        <v>2015</v>
      </c>
      <c r="Z749">
        <v>1</v>
      </c>
      <c r="AC749" t="s">
        <v>115</v>
      </c>
      <c r="AD749">
        <v>3</v>
      </c>
      <c r="AE749" t="s">
        <v>115</v>
      </c>
      <c r="AH749" t="s">
        <v>116</v>
      </c>
      <c r="AI749" s="1">
        <v>36448</v>
      </c>
      <c r="AJ749" s="2">
        <v>0.1</v>
      </c>
      <c r="AK749" s="1">
        <v>367008</v>
      </c>
      <c r="AL749" t="s">
        <v>117</v>
      </c>
      <c r="AM749" t="s">
        <v>393</v>
      </c>
      <c r="AN749">
        <v>8624</v>
      </c>
      <c r="AO749">
        <v>0.2</v>
      </c>
      <c r="AR749">
        <v>1</v>
      </c>
      <c r="AS749" s="1">
        <v>26950</v>
      </c>
      <c r="AT749" s="1">
        <v>5390</v>
      </c>
      <c r="AU749" s="1">
        <v>21560</v>
      </c>
      <c r="AV749">
        <v>80</v>
      </c>
      <c r="AX749" s="1">
        <v>2653.28</v>
      </c>
      <c r="AY749" t="s">
        <v>560</v>
      </c>
      <c r="AZ749" t="s">
        <v>561</v>
      </c>
      <c r="BA749" t="s">
        <v>194</v>
      </c>
      <c r="BE749" s="3">
        <v>42502</v>
      </c>
      <c r="BF749" s="1">
        <v>273802</v>
      </c>
      <c r="BG749" t="s">
        <v>1079</v>
      </c>
      <c r="BH749" s="1">
        <v>118.94</v>
      </c>
      <c r="BI749" s="1">
        <v>330560</v>
      </c>
      <c r="BJ749" s="3">
        <v>42947</v>
      </c>
      <c r="BK749" t="s">
        <v>123</v>
      </c>
      <c r="BL749" t="str">
        <f>"2017.559454"</f>
        <v>2017.559454</v>
      </c>
      <c r="BM749" t="s">
        <v>4812</v>
      </c>
      <c r="BO749" t="s">
        <v>4813</v>
      </c>
      <c r="BS749">
        <v>30</v>
      </c>
      <c r="BW749" t="str">
        <f>""</f>
        <v/>
      </c>
      <c r="CH749" t="str">
        <f>""</f>
        <v/>
      </c>
      <c r="CS749" t="str">
        <f>""</f>
        <v/>
      </c>
    </row>
    <row r="750" spans="1:97" x14ac:dyDescent="0.25">
      <c r="B750" t="s">
        <v>4814</v>
      </c>
      <c r="C750" t="s">
        <v>4815</v>
      </c>
      <c r="D750" t="s">
        <v>4816</v>
      </c>
      <c r="E750" t="s">
        <v>3066</v>
      </c>
      <c r="F750" t="s">
        <v>139</v>
      </c>
      <c r="H750" t="s">
        <v>4817</v>
      </c>
      <c r="I750" t="s">
        <v>453</v>
      </c>
      <c r="J750" t="s">
        <v>111</v>
      </c>
      <c r="K750" t="str">
        <f>"85383"</f>
        <v>85383</v>
      </c>
      <c r="L750" t="s">
        <v>189</v>
      </c>
      <c r="M750" t="s">
        <v>4817</v>
      </c>
      <c r="N750" t="s">
        <v>453</v>
      </c>
      <c r="O750" t="s">
        <v>111</v>
      </c>
      <c r="P750" t="str">
        <f>"85383-5079"</f>
        <v>85383-5079</v>
      </c>
      <c r="Q750" t="s">
        <v>113</v>
      </c>
      <c r="R750" t="str">
        <f>"510-07-890"</f>
        <v>510-07-890</v>
      </c>
      <c r="S750" t="s">
        <v>4818</v>
      </c>
      <c r="U750">
        <v>2911</v>
      </c>
      <c r="W750">
        <v>4</v>
      </c>
      <c r="X750">
        <v>2015</v>
      </c>
      <c r="Z750">
        <v>2</v>
      </c>
      <c r="AC750" t="s">
        <v>115</v>
      </c>
      <c r="AD750">
        <v>2</v>
      </c>
      <c r="AE750" t="s">
        <v>115</v>
      </c>
      <c r="AH750" t="s">
        <v>116</v>
      </c>
      <c r="AI750" s="1">
        <v>11822</v>
      </c>
      <c r="AJ750" s="2">
        <v>0.03</v>
      </c>
      <c r="AK750" s="1">
        <v>409527</v>
      </c>
      <c r="AL750" t="s">
        <v>117</v>
      </c>
      <c r="AM750" t="s">
        <v>118</v>
      </c>
      <c r="AN750">
        <v>6360</v>
      </c>
      <c r="AO750">
        <v>0.15</v>
      </c>
      <c r="AR750">
        <v>1</v>
      </c>
      <c r="AS750" s="1">
        <v>29330</v>
      </c>
      <c r="AT750" s="1">
        <v>5860</v>
      </c>
      <c r="AU750" s="1">
        <v>23470</v>
      </c>
      <c r="AV750">
        <v>80.02</v>
      </c>
      <c r="AX750" s="1">
        <v>2867.54</v>
      </c>
      <c r="AY750" t="s">
        <v>456</v>
      </c>
      <c r="AZ750" t="s">
        <v>456</v>
      </c>
      <c r="BA750" t="s">
        <v>457</v>
      </c>
      <c r="BB750" s="3">
        <v>43159</v>
      </c>
      <c r="BC750" s="1">
        <v>0</v>
      </c>
      <c r="BD750" t="s">
        <v>247</v>
      </c>
      <c r="BE750" s="3">
        <v>42307</v>
      </c>
      <c r="BF750" s="1">
        <v>335195</v>
      </c>
      <c r="BG750" t="s">
        <v>292</v>
      </c>
      <c r="BH750" s="1">
        <v>115.15</v>
      </c>
      <c r="BI750" s="1">
        <v>397705</v>
      </c>
      <c r="BJ750" s="3">
        <v>43159</v>
      </c>
      <c r="BK750" t="s">
        <v>123</v>
      </c>
      <c r="BL750" t="str">
        <f>"2018.149510"</f>
        <v>2018.149510</v>
      </c>
      <c r="BM750" t="s">
        <v>2489</v>
      </c>
      <c r="BN750" t="s">
        <v>4819</v>
      </c>
      <c r="BO750" t="s">
        <v>4820</v>
      </c>
      <c r="BP750" t="s">
        <v>4821</v>
      </c>
      <c r="BR750" t="s">
        <v>139</v>
      </c>
      <c r="BW750" t="str">
        <f>""</f>
        <v/>
      </c>
      <c r="CH750" t="str">
        <f>""</f>
        <v/>
      </c>
      <c r="CS750" t="str">
        <f>""</f>
        <v/>
      </c>
    </row>
    <row r="751" spans="1:97" x14ac:dyDescent="0.25">
      <c r="A751" t="s">
        <v>3089</v>
      </c>
      <c r="B751" t="s">
        <v>4822</v>
      </c>
      <c r="C751" t="s">
        <v>4515</v>
      </c>
      <c r="D751" t="s">
        <v>4822</v>
      </c>
      <c r="E751" t="s">
        <v>4823</v>
      </c>
      <c r="F751" t="s">
        <v>108</v>
      </c>
      <c r="H751" t="s">
        <v>4824</v>
      </c>
      <c r="I751" t="s">
        <v>203</v>
      </c>
      <c r="J751" t="s">
        <v>111</v>
      </c>
      <c r="K751" t="str">
        <f>"85298"</f>
        <v>85298</v>
      </c>
      <c r="L751" t="s">
        <v>734</v>
      </c>
      <c r="M751" t="s">
        <v>4824</v>
      </c>
      <c r="N751" t="s">
        <v>203</v>
      </c>
      <c r="O751" t="s">
        <v>111</v>
      </c>
      <c r="P751" t="str">
        <f>"85298"</f>
        <v>85298</v>
      </c>
      <c r="Q751" t="s">
        <v>113</v>
      </c>
      <c r="R751" t="str">
        <f>"313-18-311"</f>
        <v>313-18-311</v>
      </c>
      <c r="S751" t="s">
        <v>1983</v>
      </c>
      <c r="U751">
        <v>3172</v>
      </c>
      <c r="W751">
        <v>5</v>
      </c>
      <c r="X751">
        <v>2016</v>
      </c>
      <c r="Z751">
        <v>1</v>
      </c>
      <c r="AC751" t="s">
        <v>115</v>
      </c>
      <c r="AD751">
        <v>3</v>
      </c>
      <c r="AE751" t="s">
        <v>115</v>
      </c>
      <c r="AH751" t="s">
        <v>116</v>
      </c>
      <c r="AI751" s="1">
        <v>84834</v>
      </c>
      <c r="AJ751" s="2">
        <v>0.16</v>
      </c>
      <c r="AK751" s="1">
        <v>535995</v>
      </c>
      <c r="AL751" t="s">
        <v>117</v>
      </c>
      <c r="AM751" t="s">
        <v>171</v>
      </c>
      <c r="AN751">
        <v>9049</v>
      </c>
      <c r="AO751">
        <v>0.21</v>
      </c>
      <c r="AR751">
        <v>1</v>
      </c>
      <c r="AS751" s="1">
        <v>39820</v>
      </c>
      <c r="AT751" s="1">
        <v>7960</v>
      </c>
      <c r="AU751" s="1">
        <v>31860</v>
      </c>
      <c r="AV751">
        <v>80.010000000000005</v>
      </c>
      <c r="AX751" s="1">
        <v>2958.04</v>
      </c>
      <c r="AY751" t="s">
        <v>737</v>
      </c>
      <c r="AZ751" t="s">
        <v>273</v>
      </c>
      <c r="BA751" t="s">
        <v>303</v>
      </c>
      <c r="BE751" s="3">
        <v>42521</v>
      </c>
      <c r="BF751" s="1">
        <v>445290</v>
      </c>
      <c r="BG751" t="s">
        <v>195</v>
      </c>
      <c r="BH751" s="1">
        <v>140.38</v>
      </c>
      <c r="BI751" s="1">
        <v>451161</v>
      </c>
      <c r="BJ751" s="3">
        <v>42521</v>
      </c>
      <c r="BK751" t="s">
        <v>123</v>
      </c>
      <c r="BL751" t="str">
        <f>"2016.377017"</f>
        <v>2016.377017</v>
      </c>
      <c r="BM751" t="s">
        <v>196</v>
      </c>
      <c r="BO751" t="s">
        <v>4825</v>
      </c>
      <c r="BS751">
        <v>30</v>
      </c>
      <c r="BW751" t="str">
        <f>""</f>
        <v/>
      </c>
      <c r="CH751" t="str">
        <f>""</f>
        <v/>
      </c>
      <c r="CS751" t="str">
        <f>""</f>
        <v/>
      </c>
    </row>
    <row r="752" spans="1:97" x14ac:dyDescent="0.25">
      <c r="A752" t="s">
        <v>3028</v>
      </c>
      <c r="B752" t="s">
        <v>327</v>
      </c>
      <c r="C752" t="s">
        <v>970</v>
      </c>
      <c r="D752" t="s">
        <v>327</v>
      </c>
      <c r="E752" t="s">
        <v>4826</v>
      </c>
      <c r="F752" t="s">
        <v>108</v>
      </c>
      <c r="H752" t="s">
        <v>4827</v>
      </c>
      <c r="I752" t="s">
        <v>188</v>
      </c>
      <c r="J752" t="s">
        <v>111</v>
      </c>
      <c r="K752" t="str">
        <f>"85142"</f>
        <v>85142</v>
      </c>
      <c r="L752" t="s">
        <v>2197</v>
      </c>
      <c r="M752" t="s">
        <v>4827</v>
      </c>
      <c r="N752" t="s">
        <v>188</v>
      </c>
      <c r="O752" t="s">
        <v>111</v>
      </c>
      <c r="P752" t="str">
        <f>"85142-7847"</f>
        <v>85142-7847</v>
      </c>
      <c r="Q752" t="s">
        <v>113</v>
      </c>
      <c r="R752" t="str">
        <f>"304-93-695"</f>
        <v>304-93-695</v>
      </c>
      <c r="S752" t="s">
        <v>2198</v>
      </c>
      <c r="T752" t="s">
        <v>2198</v>
      </c>
      <c r="U752">
        <v>2645</v>
      </c>
      <c r="W752">
        <v>4</v>
      </c>
      <c r="X752">
        <v>2015</v>
      </c>
      <c r="Z752">
        <v>1</v>
      </c>
      <c r="AA752" t="s">
        <v>26</v>
      </c>
      <c r="AC752" t="s">
        <v>115</v>
      </c>
      <c r="AD752">
        <v>3</v>
      </c>
      <c r="AE752" t="s">
        <v>115</v>
      </c>
      <c r="AH752" t="s">
        <v>116</v>
      </c>
      <c r="AI752" s="1">
        <v>116857</v>
      </c>
      <c r="AJ752" s="2">
        <v>0.26</v>
      </c>
      <c r="AK752" s="1">
        <v>456857</v>
      </c>
      <c r="AL752" t="s">
        <v>117</v>
      </c>
      <c r="AM752" t="s">
        <v>393</v>
      </c>
      <c r="AN752">
        <v>8449</v>
      </c>
      <c r="AO752">
        <v>0.19</v>
      </c>
      <c r="AR752">
        <v>1</v>
      </c>
      <c r="AS752" s="1">
        <v>32600</v>
      </c>
      <c r="AT752" s="1">
        <v>6520</v>
      </c>
      <c r="AU752" s="1">
        <v>26080</v>
      </c>
      <c r="AV752">
        <v>80</v>
      </c>
      <c r="AX752" s="1">
        <v>2911.84</v>
      </c>
      <c r="AY752" t="s">
        <v>192</v>
      </c>
      <c r="AZ752" t="s">
        <v>193</v>
      </c>
      <c r="BA752" t="s">
        <v>194</v>
      </c>
      <c r="BE752" s="3">
        <v>42459</v>
      </c>
      <c r="BF752" s="1">
        <v>373482</v>
      </c>
      <c r="BG752" t="s">
        <v>2199</v>
      </c>
      <c r="BH752" s="1">
        <v>141.19999999999999</v>
      </c>
      <c r="BI752" s="1">
        <v>340000</v>
      </c>
      <c r="BJ752" s="3">
        <v>42459</v>
      </c>
      <c r="BK752" t="s">
        <v>123</v>
      </c>
      <c r="BL752" t="str">
        <f>"2016.207053"</f>
        <v>2016.207053</v>
      </c>
      <c r="BM752" t="s">
        <v>2245</v>
      </c>
      <c r="BO752" t="s">
        <v>4828</v>
      </c>
      <c r="BS752">
        <v>30</v>
      </c>
      <c r="BW752" t="str">
        <f>""</f>
        <v/>
      </c>
      <c r="CH752" t="str">
        <f>""</f>
        <v/>
      </c>
      <c r="CS752" t="str">
        <f>""</f>
        <v/>
      </c>
    </row>
    <row r="753" spans="1:97" x14ac:dyDescent="0.25">
      <c r="A753" t="s">
        <v>4327</v>
      </c>
      <c r="B753" t="s">
        <v>1089</v>
      </c>
      <c r="C753" t="s">
        <v>1995</v>
      </c>
      <c r="D753" t="s">
        <v>4829</v>
      </c>
      <c r="E753" t="s">
        <v>4830</v>
      </c>
      <c r="F753" t="s">
        <v>108</v>
      </c>
      <c r="H753" t="s">
        <v>4831</v>
      </c>
      <c r="I753" t="s">
        <v>225</v>
      </c>
      <c r="J753" t="s">
        <v>111</v>
      </c>
      <c r="K753" t="str">
        <f>"85207"</f>
        <v>85207</v>
      </c>
      <c r="L753" t="s">
        <v>3116</v>
      </c>
      <c r="M753" t="s">
        <v>4831</v>
      </c>
      <c r="N753" t="s">
        <v>225</v>
      </c>
      <c r="O753" t="s">
        <v>111</v>
      </c>
      <c r="P753" t="str">
        <f>"85207-4047"</f>
        <v>85207-4047</v>
      </c>
      <c r="Q753" t="s">
        <v>113</v>
      </c>
      <c r="R753" t="str">
        <f>"219-49-488"</f>
        <v>219-49-488</v>
      </c>
      <c r="S753" t="s">
        <v>3117</v>
      </c>
      <c r="U753">
        <v>2375</v>
      </c>
      <c r="W753">
        <v>4</v>
      </c>
      <c r="X753">
        <v>2016</v>
      </c>
      <c r="Z753">
        <v>1</v>
      </c>
      <c r="AA753" t="s">
        <v>26</v>
      </c>
      <c r="AC753" t="s">
        <v>115</v>
      </c>
      <c r="AD753">
        <v>3</v>
      </c>
      <c r="AE753" t="s">
        <v>115</v>
      </c>
      <c r="AH753" t="s">
        <v>116</v>
      </c>
      <c r="AI753" s="1">
        <v>107789</v>
      </c>
      <c r="AJ753" s="2">
        <v>0.2</v>
      </c>
      <c r="AK753" s="1">
        <v>537789</v>
      </c>
      <c r="AL753" t="s">
        <v>117</v>
      </c>
      <c r="AM753" t="s">
        <v>1521</v>
      </c>
      <c r="AN753">
        <v>7288</v>
      </c>
      <c r="AO753">
        <v>0.17</v>
      </c>
      <c r="AR753">
        <v>1</v>
      </c>
      <c r="AS753" s="1">
        <v>41150</v>
      </c>
      <c r="AT753" s="1">
        <v>8230</v>
      </c>
      <c r="AU753" s="1">
        <v>32920</v>
      </c>
      <c r="AV753">
        <v>80</v>
      </c>
      <c r="AX753" s="1">
        <v>3300.56</v>
      </c>
      <c r="AY753" t="s">
        <v>3118</v>
      </c>
      <c r="AZ753" t="s">
        <v>231</v>
      </c>
      <c r="BA753" t="s">
        <v>3119</v>
      </c>
      <c r="BE753" s="3">
        <v>42355</v>
      </c>
      <c r="BF753" s="1">
        <v>475092</v>
      </c>
      <c r="BG753" t="s">
        <v>3120</v>
      </c>
      <c r="BH753" s="1">
        <v>200.04</v>
      </c>
      <c r="BI753" s="1">
        <v>430000</v>
      </c>
      <c r="BJ753" s="3">
        <v>42355</v>
      </c>
      <c r="BK753" t="s">
        <v>123</v>
      </c>
      <c r="BL753" t="str">
        <f>"2015.890676"</f>
        <v>2015.890676</v>
      </c>
      <c r="BM753" t="s">
        <v>2489</v>
      </c>
      <c r="BO753" t="s">
        <v>4832</v>
      </c>
      <c r="BP753" t="s">
        <v>4833</v>
      </c>
      <c r="BS753">
        <v>30</v>
      </c>
      <c r="BW753" t="str">
        <f>""</f>
        <v/>
      </c>
      <c r="CH753" t="str">
        <f>""</f>
        <v/>
      </c>
      <c r="CS753" t="str">
        <f>""</f>
        <v/>
      </c>
    </row>
    <row r="754" spans="1:97" x14ac:dyDescent="0.25">
      <c r="A754" t="s">
        <v>305</v>
      </c>
      <c r="B754" t="s">
        <v>4834</v>
      </c>
      <c r="C754" t="s">
        <v>2761</v>
      </c>
      <c r="D754" t="s">
        <v>4834</v>
      </c>
      <c r="E754" t="s">
        <v>4835</v>
      </c>
      <c r="F754" t="s">
        <v>108</v>
      </c>
      <c r="H754" t="s">
        <v>4836</v>
      </c>
      <c r="I754" t="s">
        <v>203</v>
      </c>
      <c r="J754" t="s">
        <v>111</v>
      </c>
      <c r="K754" t="str">
        <f>"85298"</f>
        <v>85298</v>
      </c>
      <c r="L754" t="s">
        <v>2211</v>
      </c>
      <c r="M754" t="s">
        <v>4836</v>
      </c>
      <c r="N754" t="s">
        <v>203</v>
      </c>
      <c r="O754" t="s">
        <v>111</v>
      </c>
      <c r="P754" t="str">
        <f>"85298"</f>
        <v>85298</v>
      </c>
      <c r="Q754" t="s">
        <v>113</v>
      </c>
      <c r="R754" t="str">
        <f>"304-76-969"</f>
        <v>304-76-969</v>
      </c>
      <c r="S754" t="s">
        <v>4837</v>
      </c>
      <c r="T754" t="s">
        <v>4837</v>
      </c>
      <c r="U754">
        <v>3466</v>
      </c>
      <c r="W754">
        <v>4</v>
      </c>
      <c r="X754">
        <v>2016</v>
      </c>
      <c r="Z754">
        <v>1</v>
      </c>
      <c r="AC754" t="s">
        <v>115</v>
      </c>
      <c r="AD754">
        <v>4</v>
      </c>
      <c r="AE754" t="s">
        <v>115</v>
      </c>
      <c r="AH754" t="s">
        <v>116</v>
      </c>
      <c r="AI754" s="1">
        <v>137616</v>
      </c>
      <c r="AJ754" s="2">
        <v>0.19</v>
      </c>
      <c r="AK754" s="1">
        <v>742416</v>
      </c>
      <c r="AL754" t="s">
        <v>117</v>
      </c>
      <c r="AM754" t="s">
        <v>3973</v>
      </c>
      <c r="AN754">
        <v>39693</v>
      </c>
      <c r="AO754">
        <v>0.91</v>
      </c>
      <c r="AR754">
        <v>1</v>
      </c>
      <c r="AS754" s="1">
        <v>61000</v>
      </c>
      <c r="AT754" s="1">
        <v>12200</v>
      </c>
      <c r="AU754" s="1">
        <v>48800</v>
      </c>
      <c r="AV754">
        <v>80</v>
      </c>
      <c r="AX754" s="1">
        <v>3870.12</v>
      </c>
      <c r="AY754" t="s">
        <v>302</v>
      </c>
      <c r="AZ754" t="s">
        <v>273</v>
      </c>
      <c r="BA754" t="s">
        <v>303</v>
      </c>
      <c r="BE754" s="3">
        <v>42257</v>
      </c>
      <c r="BF754" s="1">
        <v>661045</v>
      </c>
      <c r="BG754" t="s">
        <v>4838</v>
      </c>
      <c r="BH754" s="1">
        <v>190.56</v>
      </c>
      <c r="BI754" s="1">
        <v>604800</v>
      </c>
      <c r="BJ754" s="3">
        <v>42661</v>
      </c>
      <c r="BK754" t="s">
        <v>123</v>
      </c>
      <c r="BL754" t="str">
        <f>"2016.762980"</f>
        <v>2016.762980</v>
      </c>
      <c r="BM754" t="s">
        <v>724</v>
      </c>
      <c r="BO754" t="s">
        <v>4839</v>
      </c>
      <c r="BS754">
        <v>30</v>
      </c>
      <c r="BW754" t="str">
        <f>""</f>
        <v/>
      </c>
      <c r="CH754" t="str">
        <f>""</f>
        <v/>
      </c>
      <c r="CS754" t="str">
        <f>""</f>
        <v/>
      </c>
    </row>
    <row r="755" spans="1:97" x14ac:dyDescent="0.25">
      <c r="A755" t="s">
        <v>701</v>
      </c>
      <c r="B755" t="s">
        <v>4840</v>
      </c>
      <c r="C755" t="s">
        <v>1047</v>
      </c>
      <c r="D755" t="s">
        <v>4840</v>
      </c>
      <c r="E755" t="s">
        <v>4841</v>
      </c>
      <c r="F755" t="s">
        <v>108</v>
      </c>
      <c r="H755" t="s">
        <v>4842</v>
      </c>
      <c r="I755" t="s">
        <v>453</v>
      </c>
      <c r="J755" t="s">
        <v>111</v>
      </c>
      <c r="K755" t="str">
        <f>"85381"</f>
        <v>85381</v>
      </c>
      <c r="L755" t="s">
        <v>1300</v>
      </c>
      <c r="M755" t="s">
        <v>4842</v>
      </c>
      <c r="N755" t="s">
        <v>453</v>
      </c>
      <c r="O755" t="s">
        <v>111</v>
      </c>
      <c r="P755" t="str">
        <f>"85381-9587"</f>
        <v>85381-9587</v>
      </c>
      <c r="Q755" t="s">
        <v>113</v>
      </c>
      <c r="R755" t="str">
        <f>"200-83-538"</f>
        <v>200-83-538</v>
      </c>
      <c r="S755" t="s">
        <v>3358</v>
      </c>
      <c r="T755" t="s">
        <v>3358</v>
      </c>
      <c r="U755">
        <v>2282</v>
      </c>
      <c r="W755">
        <v>3</v>
      </c>
      <c r="X755">
        <v>2015</v>
      </c>
      <c r="Z755">
        <v>2</v>
      </c>
      <c r="AC755" t="s">
        <v>115</v>
      </c>
      <c r="AD755">
        <v>2</v>
      </c>
      <c r="AE755" t="s">
        <v>115</v>
      </c>
      <c r="AH755" t="s">
        <v>116</v>
      </c>
      <c r="AI755" s="1">
        <v>53514</v>
      </c>
      <c r="AJ755" s="2">
        <v>0.16</v>
      </c>
      <c r="AK755" s="1">
        <v>329830</v>
      </c>
      <c r="AL755" t="s">
        <v>117</v>
      </c>
      <c r="AM755" t="s">
        <v>118</v>
      </c>
      <c r="AN755">
        <v>5625</v>
      </c>
      <c r="AO755">
        <v>0.13</v>
      </c>
      <c r="AR755">
        <v>1</v>
      </c>
      <c r="AS755" s="1">
        <v>23820</v>
      </c>
      <c r="AT755" s="1">
        <v>4760</v>
      </c>
      <c r="AU755" s="1">
        <v>19060</v>
      </c>
      <c r="AV755">
        <v>80.02</v>
      </c>
      <c r="AX755" s="1">
        <v>1916.82</v>
      </c>
      <c r="AY755" t="s">
        <v>3359</v>
      </c>
      <c r="AZ755" t="s">
        <v>3359</v>
      </c>
      <c r="BA755" t="s">
        <v>3360</v>
      </c>
      <c r="BE755" s="3">
        <v>42521</v>
      </c>
      <c r="BF755" s="1">
        <v>264000</v>
      </c>
      <c r="BG755" t="s">
        <v>3361</v>
      </c>
      <c r="BH755" s="1">
        <v>115.69</v>
      </c>
      <c r="BI755" s="1">
        <v>276316</v>
      </c>
      <c r="BJ755" s="3">
        <v>42738</v>
      </c>
      <c r="BK755" t="s">
        <v>123</v>
      </c>
      <c r="BL755" t="str">
        <f>"2017.1950"</f>
        <v>2017.1950</v>
      </c>
      <c r="BM755" t="s">
        <v>4843</v>
      </c>
      <c r="BO755" t="s">
        <v>4844</v>
      </c>
      <c r="BS755">
        <v>30</v>
      </c>
      <c r="BW755" t="str">
        <f>""</f>
        <v/>
      </c>
      <c r="CH755" t="str">
        <f>""</f>
        <v/>
      </c>
      <c r="CS755" t="str">
        <f>""</f>
        <v/>
      </c>
    </row>
    <row r="756" spans="1:97" x14ac:dyDescent="0.25">
      <c r="A756" t="s">
        <v>603</v>
      </c>
      <c r="B756" t="s">
        <v>4845</v>
      </c>
      <c r="C756" t="s">
        <v>397</v>
      </c>
      <c r="D756" t="s">
        <v>4845</v>
      </c>
      <c r="E756" t="s">
        <v>4846</v>
      </c>
      <c r="F756" t="s">
        <v>108</v>
      </c>
      <c r="H756" t="s">
        <v>4847</v>
      </c>
      <c r="I756" t="s">
        <v>203</v>
      </c>
      <c r="J756" t="s">
        <v>111</v>
      </c>
      <c r="K756" t="str">
        <f>"85298"</f>
        <v>85298</v>
      </c>
      <c r="L756" t="s">
        <v>1130</v>
      </c>
      <c r="M756" t="s">
        <v>4847</v>
      </c>
      <c r="N756" t="s">
        <v>203</v>
      </c>
      <c r="O756" t="s">
        <v>111</v>
      </c>
      <c r="P756" t="str">
        <f>"85298"</f>
        <v>85298</v>
      </c>
      <c r="Q756" t="s">
        <v>113</v>
      </c>
      <c r="R756" t="str">
        <f>"313-18-721"</f>
        <v>313-18-721</v>
      </c>
      <c r="S756" t="s">
        <v>3128</v>
      </c>
      <c r="T756" t="s">
        <v>1132</v>
      </c>
      <c r="U756">
        <v>2079</v>
      </c>
      <c r="W756">
        <v>3</v>
      </c>
      <c r="X756">
        <v>2015</v>
      </c>
      <c r="Z756">
        <v>1</v>
      </c>
      <c r="AC756" t="s">
        <v>115</v>
      </c>
      <c r="AD756">
        <v>2</v>
      </c>
      <c r="AE756" t="s">
        <v>115</v>
      </c>
      <c r="AH756" t="s">
        <v>116</v>
      </c>
      <c r="AI756" s="1">
        <v>59685</v>
      </c>
      <c r="AJ756" s="2">
        <v>0.15</v>
      </c>
      <c r="AK756" s="1">
        <v>402641</v>
      </c>
      <c r="AL756" t="s">
        <v>117</v>
      </c>
      <c r="AM756" t="s">
        <v>191</v>
      </c>
      <c r="AN756">
        <v>6555</v>
      </c>
      <c r="AO756">
        <v>0.15</v>
      </c>
      <c r="AR756">
        <v>1</v>
      </c>
      <c r="AS756" s="1">
        <v>28250</v>
      </c>
      <c r="AT756" s="1">
        <v>5650</v>
      </c>
      <c r="AU756" s="1">
        <v>22600</v>
      </c>
      <c r="AV756">
        <v>80</v>
      </c>
      <c r="AX756" s="1">
        <v>2140.62</v>
      </c>
      <c r="AY756" t="s">
        <v>1133</v>
      </c>
      <c r="AZ756" t="s">
        <v>1134</v>
      </c>
      <c r="BA756" t="s">
        <v>1134</v>
      </c>
      <c r="BE756" s="3">
        <v>42353</v>
      </c>
      <c r="BF756" s="1">
        <v>298942</v>
      </c>
      <c r="BG756" t="s">
        <v>292</v>
      </c>
      <c r="BH756" s="1">
        <v>143.79</v>
      </c>
      <c r="BI756" s="1">
        <v>342956</v>
      </c>
      <c r="BJ756" s="3">
        <v>42775</v>
      </c>
      <c r="BK756" t="s">
        <v>123</v>
      </c>
      <c r="BL756" t="str">
        <f>"2017.97194"</f>
        <v>2017.97194</v>
      </c>
      <c r="BM756" t="s">
        <v>1707</v>
      </c>
      <c r="BO756" t="s">
        <v>4848</v>
      </c>
      <c r="BS756">
        <v>30</v>
      </c>
      <c r="BW756" t="str">
        <f>""</f>
        <v/>
      </c>
      <c r="CH756" t="str">
        <f>""</f>
        <v/>
      </c>
      <c r="CS756" t="str">
        <f>""</f>
        <v/>
      </c>
    </row>
    <row r="757" spans="1:97" x14ac:dyDescent="0.25">
      <c r="A757" t="s">
        <v>4849</v>
      </c>
      <c r="B757" t="s">
        <v>2692</v>
      </c>
      <c r="E757" t="s">
        <v>4850</v>
      </c>
      <c r="F757" t="s">
        <v>108</v>
      </c>
      <c r="H757" t="s">
        <v>4851</v>
      </c>
      <c r="I757" t="s">
        <v>3150</v>
      </c>
      <c r="J757" t="s">
        <v>111</v>
      </c>
      <c r="K757" t="str">
        <f>"85340"</f>
        <v>85340</v>
      </c>
      <c r="L757" t="s">
        <v>3151</v>
      </c>
      <c r="M757" t="s">
        <v>4851</v>
      </c>
      <c r="N757" t="s">
        <v>3150</v>
      </c>
      <c r="O757" t="s">
        <v>111</v>
      </c>
      <c r="P757" t="str">
        <f>"85340-2828"</f>
        <v>85340-2828</v>
      </c>
      <c r="Q757" t="s">
        <v>113</v>
      </c>
      <c r="R757" t="str">
        <f>"501-73-727"</f>
        <v>501-73-727</v>
      </c>
      <c r="S757" t="s">
        <v>3152</v>
      </c>
      <c r="U757">
        <v>3910</v>
      </c>
      <c r="W757">
        <v>6</v>
      </c>
      <c r="X757">
        <v>2015</v>
      </c>
      <c r="Z757">
        <v>2</v>
      </c>
      <c r="AC757" t="s">
        <v>115</v>
      </c>
      <c r="AD757">
        <v>2</v>
      </c>
      <c r="AE757" t="s">
        <v>115</v>
      </c>
      <c r="AH757" t="s">
        <v>116</v>
      </c>
      <c r="AI757" s="1">
        <v>57190</v>
      </c>
      <c r="AJ757" s="2">
        <v>0.12</v>
      </c>
      <c r="AK757" s="1">
        <v>480007</v>
      </c>
      <c r="AL757" t="s">
        <v>117</v>
      </c>
      <c r="AM757" t="s">
        <v>118</v>
      </c>
      <c r="AN757">
        <v>7713</v>
      </c>
      <c r="AO757">
        <v>0.18</v>
      </c>
      <c r="AR757">
        <v>1</v>
      </c>
      <c r="AS757" s="1">
        <v>33300</v>
      </c>
      <c r="AT757" s="1">
        <v>6660</v>
      </c>
      <c r="AU757" s="1">
        <v>26640</v>
      </c>
      <c r="AV757">
        <v>80</v>
      </c>
      <c r="AX757" s="1">
        <v>2958.56</v>
      </c>
      <c r="AY757" t="s">
        <v>3019</v>
      </c>
      <c r="AZ757" t="s">
        <v>3153</v>
      </c>
      <c r="BA757" t="s">
        <v>3154</v>
      </c>
      <c r="BE757" s="3">
        <v>42306</v>
      </c>
      <c r="BF757" s="1">
        <v>367317</v>
      </c>
      <c r="BG757" t="s">
        <v>636</v>
      </c>
      <c r="BH757" s="1">
        <v>93.94</v>
      </c>
      <c r="BI757" s="1">
        <v>367317</v>
      </c>
      <c r="BJ757" s="3">
        <v>42306</v>
      </c>
      <c r="BK757" t="s">
        <v>123</v>
      </c>
      <c r="BL757" t="str">
        <f>"2015.779633"</f>
        <v>2015.779633</v>
      </c>
      <c r="BM757" t="s">
        <v>637</v>
      </c>
      <c r="BN757" t="s">
        <v>652</v>
      </c>
      <c r="BO757" t="s">
        <v>4852</v>
      </c>
      <c r="BS757">
        <v>30</v>
      </c>
      <c r="BT757" s="1">
        <v>55500</v>
      </c>
      <c r="BU757" s="3">
        <v>43273</v>
      </c>
      <c r="BW757" t="str">
        <f>"2018.479766"</f>
        <v>2018.479766</v>
      </c>
      <c r="BX757" t="s">
        <v>3538</v>
      </c>
      <c r="BY757" t="s">
        <v>3539</v>
      </c>
      <c r="BZ757" t="s">
        <v>4853</v>
      </c>
      <c r="CC757" t="s">
        <v>346</v>
      </c>
      <c r="CH757" t="str">
        <f>""</f>
        <v/>
      </c>
      <c r="CS757" t="str">
        <f>""</f>
        <v/>
      </c>
    </row>
    <row r="758" spans="1:97" x14ac:dyDescent="0.25">
      <c r="A758" t="s">
        <v>4854</v>
      </c>
      <c r="B758" t="s">
        <v>2007</v>
      </c>
      <c r="C758" t="s">
        <v>1017</v>
      </c>
      <c r="D758" t="s">
        <v>2007</v>
      </c>
      <c r="E758" t="s">
        <v>4855</v>
      </c>
      <c r="F758" t="s">
        <v>108</v>
      </c>
      <c r="H758" t="s">
        <v>4856</v>
      </c>
      <c r="I758" t="s">
        <v>203</v>
      </c>
      <c r="J758" t="s">
        <v>111</v>
      </c>
      <c r="K758" t="str">
        <f>"85298"</f>
        <v>85298</v>
      </c>
      <c r="L758" t="s">
        <v>269</v>
      </c>
      <c r="M758" t="s">
        <v>4856</v>
      </c>
      <c r="N758" t="s">
        <v>203</v>
      </c>
      <c r="O758" t="s">
        <v>111</v>
      </c>
      <c r="P758" t="str">
        <f>"85298"</f>
        <v>85298</v>
      </c>
      <c r="Q758" t="s">
        <v>113</v>
      </c>
      <c r="R758" t="str">
        <f>"313-19-054"</f>
        <v>313-19-054</v>
      </c>
      <c r="S758" t="s">
        <v>2803</v>
      </c>
      <c r="T758" t="s">
        <v>271</v>
      </c>
      <c r="U758">
        <v>1731</v>
      </c>
      <c r="W758">
        <v>2</v>
      </c>
      <c r="X758">
        <v>2016</v>
      </c>
      <c r="Z758">
        <v>1</v>
      </c>
      <c r="AA758" t="s">
        <v>26</v>
      </c>
      <c r="AC758" t="s">
        <v>115</v>
      </c>
      <c r="AD758">
        <v>2</v>
      </c>
      <c r="AE758" t="s">
        <v>115</v>
      </c>
      <c r="AH758" t="s">
        <v>116</v>
      </c>
      <c r="AI758" s="1">
        <v>74141</v>
      </c>
      <c r="AJ758" s="2">
        <v>0.21</v>
      </c>
      <c r="AK758" s="1">
        <v>360686</v>
      </c>
      <c r="AL758" t="s">
        <v>117</v>
      </c>
      <c r="AM758" t="s">
        <v>191</v>
      </c>
      <c r="AN758">
        <v>6600</v>
      </c>
      <c r="AO758">
        <v>0.15</v>
      </c>
      <c r="AR758">
        <v>1</v>
      </c>
      <c r="AS758" s="1">
        <v>25580</v>
      </c>
      <c r="AT758" s="1">
        <v>5110</v>
      </c>
      <c r="AU758" s="1">
        <v>20470</v>
      </c>
      <c r="AV758">
        <v>80.02</v>
      </c>
      <c r="AX758" s="1">
        <v>1820.56</v>
      </c>
      <c r="AY758" t="s">
        <v>272</v>
      </c>
      <c r="AZ758" t="s">
        <v>273</v>
      </c>
      <c r="BA758" t="s">
        <v>274</v>
      </c>
      <c r="BE758" s="3">
        <v>42481</v>
      </c>
      <c r="BF758" s="1">
        <v>312718</v>
      </c>
      <c r="BG758" t="s">
        <v>275</v>
      </c>
      <c r="BH758" s="1">
        <v>180.66</v>
      </c>
      <c r="BI758" s="1">
        <v>286545</v>
      </c>
      <c r="BJ758" s="3">
        <v>42481</v>
      </c>
      <c r="BK758" t="s">
        <v>123</v>
      </c>
      <c r="BL758" t="str">
        <f>"2016.266090"</f>
        <v>2016.266090</v>
      </c>
      <c r="BM758" t="s">
        <v>651</v>
      </c>
      <c r="BO758" t="s">
        <v>4857</v>
      </c>
      <c r="BS758">
        <v>30</v>
      </c>
      <c r="BW758" t="str">
        <f>""</f>
        <v/>
      </c>
      <c r="CH758" t="str">
        <f>""</f>
        <v/>
      </c>
      <c r="CS758" t="str">
        <f>""</f>
        <v/>
      </c>
    </row>
    <row r="759" spans="1:97" x14ac:dyDescent="0.25">
      <c r="A759" t="s">
        <v>589</v>
      </c>
      <c r="B759" t="s">
        <v>4858</v>
      </c>
      <c r="C759" t="s">
        <v>4859</v>
      </c>
      <c r="D759" t="s">
        <v>4858</v>
      </c>
      <c r="E759" t="s">
        <v>4860</v>
      </c>
      <c r="F759" t="s">
        <v>108</v>
      </c>
      <c r="H759" t="s">
        <v>4861</v>
      </c>
      <c r="I759" t="s">
        <v>499</v>
      </c>
      <c r="J759" t="s">
        <v>111</v>
      </c>
      <c r="K759" t="str">
        <f>"85338"</f>
        <v>85338</v>
      </c>
      <c r="L759" t="s">
        <v>1244</v>
      </c>
      <c r="M759" t="s">
        <v>4861</v>
      </c>
      <c r="N759" t="s">
        <v>499</v>
      </c>
      <c r="O759" t="s">
        <v>111</v>
      </c>
      <c r="P759" t="str">
        <f>"85338-7837"</f>
        <v>85338-7837</v>
      </c>
      <c r="Q759" t="s">
        <v>113</v>
      </c>
      <c r="R759" t="str">
        <f>"400-83-833"</f>
        <v>400-83-833</v>
      </c>
      <c r="S759" t="s">
        <v>3251</v>
      </c>
      <c r="U759">
        <v>3126</v>
      </c>
      <c r="W759">
        <v>5</v>
      </c>
      <c r="X759">
        <v>2015</v>
      </c>
      <c r="Z759">
        <v>1</v>
      </c>
      <c r="AA759" t="s">
        <v>26</v>
      </c>
      <c r="AC759" t="s">
        <v>115</v>
      </c>
      <c r="AD759">
        <v>3</v>
      </c>
      <c r="AE759" t="s">
        <v>115</v>
      </c>
      <c r="AH759" t="s">
        <v>116</v>
      </c>
      <c r="AI759" s="1">
        <v>150373</v>
      </c>
      <c r="AJ759" s="2">
        <v>0.27</v>
      </c>
      <c r="AK759" s="1">
        <v>564873</v>
      </c>
      <c r="AL759" t="s">
        <v>117</v>
      </c>
      <c r="AM759" t="s">
        <v>118</v>
      </c>
      <c r="AN759">
        <v>11546</v>
      </c>
      <c r="AO759">
        <v>0.26</v>
      </c>
      <c r="AR759">
        <v>1</v>
      </c>
      <c r="AS759" s="1">
        <v>43060</v>
      </c>
      <c r="AT759" s="1">
        <v>8610</v>
      </c>
      <c r="AU759" s="1">
        <v>34450</v>
      </c>
      <c r="AV759">
        <v>80</v>
      </c>
      <c r="AX759" s="1">
        <v>4447.16</v>
      </c>
      <c r="AY759" t="s">
        <v>1246</v>
      </c>
      <c r="AZ759" t="s">
        <v>1246</v>
      </c>
      <c r="BA759" t="s">
        <v>1247</v>
      </c>
      <c r="BB759" s="3">
        <v>42521</v>
      </c>
      <c r="BD759" t="s">
        <v>480</v>
      </c>
      <c r="BE759" s="3">
        <v>42398</v>
      </c>
      <c r="BF759" s="1">
        <v>464220</v>
      </c>
      <c r="BG759" t="s">
        <v>1238</v>
      </c>
      <c r="BH759" s="1">
        <v>148.5</v>
      </c>
      <c r="BI759" s="1">
        <v>414500</v>
      </c>
      <c r="BJ759" s="3">
        <v>42599</v>
      </c>
      <c r="BK759" t="s">
        <v>123</v>
      </c>
      <c r="BL759" t="str">
        <f>"2016.590040"</f>
        <v>2016.590040</v>
      </c>
      <c r="BM759" t="s">
        <v>3496</v>
      </c>
      <c r="BO759" t="s">
        <v>4862</v>
      </c>
      <c r="BS759">
        <v>30</v>
      </c>
      <c r="BW759" t="str">
        <f>""</f>
        <v/>
      </c>
      <c r="CH759" t="str">
        <f>""</f>
        <v/>
      </c>
      <c r="CS759" t="str">
        <f>""</f>
        <v/>
      </c>
    </row>
    <row r="760" spans="1:97" x14ac:dyDescent="0.25">
      <c r="A760" t="s">
        <v>4863</v>
      </c>
      <c r="B760" t="s">
        <v>4864</v>
      </c>
      <c r="E760" t="s">
        <v>4865</v>
      </c>
      <c r="F760" t="s">
        <v>108</v>
      </c>
      <c r="H760" t="s">
        <v>4866</v>
      </c>
      <c r="I760" t="s">
        <v>390</v>
      </c>
      <c r="J760" t="s">
        <v>111</v>
      </c>
      <c r="K760" t="str">
        <f>"85085"</f>
        <v>85085</v>
      </c>
      <c r="L760" t="s">
        <v>3530</v>
      </c>
      <c r="M760" t="s">
        <v>4866</v>
      </c>
      <c r="N760" t="s">
        <v>390</v>
      </c>
      <c r="O760" t="s">
        <v>111</v>
      </c>
      <c r="P760" t="str">
        <f>"85085-5524"</f>
        <v>85085-5524</v>
      </c>
      <c r="Q760" t="s">
        <v>113</v>
      </c>
      <c r="R760" t="str">
        <f>"204-02-363"</f>
        <v>204-02-363</v>
      </c>
      <c r="S760" t="s">
        <v>3531</v>
      </c>
      <c r="U760">
        <v>3917</v>
      </c>
      <c r="W760">
        <v>5</v>
      </c>
      <c r="X760">
        <v>2015</v>
      </c>
      <c r="Z760">
        <v>2</v>
      </c>
      <c r="AC760" t="s">
        <v>115</v>
      </c>
      <c r="AD760">
        <v>4</v>
      </c>
      <c r="AE760" t="s">
        <v>115</v>
      </c>
      <c r="AH760" t="s">
        <v>116</v>
      </c>
      <c r="AI760" s="1">
        <v>678</v>
      </c>
      <c r="AJ760" s="2">
        <v>0</v>
      </c>
      <c r="AK760" s="1">
        <v>483480</v>
      </c>
      <c r="AL760" t="s">
        <v>117</v>
      </c>
      <c r="AM760" t="s">
        <v>118</v>
      </c>
      <c r="AN760">
        <v>8316</v>
      </c>
      <c r="AO760">
        <v>0.19</v>
      </c>
      <c r="AR760">
        <v>1</v>
      </c>
      <c r="AS760" s="1">
        <v>40580</v>
      </c>
      <c r="AT760" s="1">
        <v>8110</v>
      </c>
      <c r="AU760" s="1">
        <v>32470</v>
      </c>
      <c r="AV760">
        <v>80.010000000000005</v>
      </c>
      <c r="AX760" s="1">
        <v>3505.6</v>
      </c>
      <c r="AY760" t="s">
        <v>1587</v>
      </c>
      <c r="AZ760" t="s">
        <v>1587</v>
      </c>
      <c r="BA760" t="s">
        <v>1462</v>
      </c>
      <c r="BE760" s="3">
        <v>42230</v>
      </c>
      <c r="BF760" s="1">
        <v>419756</v>
      </c>
      <c r="BG760" t="s">
        <v>209</v>
      </c>
      <c r="BH760" s="1">
        <v>107.16</v>
      </c>
      <c r="BI760" s="1">
        <v>482802</v>
      </c>
      <c r="BJ760" s="3">
        <v>43615</v>
      </c>
      <c r="BK760" t="s">
        <v>123</v>
      </c>
      <c r="BL760" t="str">
        <f>"2019.398686"</f>
        <v>2019.398686</v>
      </c>
      <c r="BM760" t="s">
        <v>1370</v>
      </c>
      <c r="BN760" t="s">
        <v>4077</v>
      </c>
      <c r="BO760" t="s">
        <v>4867</v>
      </c>
      <c r="BR760" t="s">
        <v>139</v>
      </c>
      <c r="BW760" t="str">
        <f>""</f>
        <v/>
      </c>
      <c r="CH760" t="str">
        <f>""</f>
        <v/>
      </c>
      <c r="CS760" t="str">
        <f>""</f>
        <v/>
      </c>
    </row>
    <row r="761" spans="1:97" x14ac:dyDescent="0.25">
      <c r="A761" t="s">
        <v>2374</v>
      </c>
      <c r="B761" t="s">
        <v>4868</v>
      </c>
      <c r="C761" t="s">
        <v>4869</v>
      </c>
      <c r="D761" t="s">
        <v>4868</v>
      </c>
      <c r="E761" t="s">
        <v>4870</v>
      </c>
      <c r="F761" t="s">
        <v>108</v>
      </c>
      <c r="H761" t="s">
        <v>4871</v>
      </c>
      <c r="I761" t="s">
        <v>188</v>
      </c>
      <c r="J761" t="s">
        <v>111</v>
      </c>
      <c r="K761" t="str">
        <f>"85142"</f>
        <v>85142</v>
      </c>
      <c r="L761" t="s">
        <v>1070</v>
      </c>
      <c r="M761" t="s">
        <v>4871</v>
      </c>
      <c r="N761" t="s">
        <v>188</v>
      </c>
      <c r="O761" t="s">
        <v>111</v>
      </c>
      <c r="P761" t="str">
        <f>"85142-5448"</f>
        <v>85142-5448</v>
      </c>
      <c r="Q761" t="s">
        <v>113</v>
      </c>
      <c r="R761" t="str">
        <f>"304-94-694"</f>
        <v>304-94-694</v>
      </c>
      <c r="S761" t="s">
        <v>3134</v>
      </c>
      <c r="T761" t="s">
        <v>1073</v>
      </c>
      <c r="U761">
        <v>3172</v>
      </c>
      <c r="W761">
        <v>4</v>
      </c>
      <c r="X761">
        <v>2015</v>
      </c>
      <c r="Z761">
        <v>1</v>
      </c>
      <c r="AC761" t="s">
        <v>115</v>
      </c>
      <c r="AD761">
        <v>3</v>
      </c>
      <c r="AE761" t="s">
        <v>115</v>
      </c>
      <c r="AH761" t="s">
        <v>116</v>
      </c>
      <c r="AI761" s="1">
        <v>109459</v>
      </c>
      <c r="AJ761" s="2">
        <v>0.23</v>
      </c>
      <c r="AK761" s="1">
        <v>483287</v>
      </c>
      <c r="AL761" t="s">
        <v>117</v>
      </c>
      <c r="AM761" t="str">
        <f>"R1-7"</f>
        <v>R1-7</v>
      </c>
      <c r="AN761">
        <v>11625</v>
      </c>
      <c r="AO761">
        <v>0.27</v>
      </c>
      <c r="AR761">
        <v>1</v>
      </c>
      <c r="AS761" s="1">
        <v>35050</v>
      </c>
      <c r="AT761" s="1">
        <v>7010</v>
      </c>
      <c r="AU761" s="1">
        <v>28040</v>
      </c>
      <c r="AV761">
        <v>80</v>
      </c>
      <c r="AX761" s="1">
        <v>3478.52</v>
      </c>
      <c r="AY761" t="s">
        <v>1074</v>
      </c>
      <c r="AZ761" t="s">
        <v>193</v>
      </c>
      <c r="BA761" t="s">
        <v>194</v>
      </c>
      <c r="BE761" s="3">
        <v>42303</v>
      </c>
      <c r="BF761" s="1">
        <v>381318</v>
      </c>
      <c r="BG761" t="s">
        <v>562</v>
      </c>
      <c r="BH761" s="1">
        <v>120.21</v>
      </c>
      <c r="BI761" s="1">
        <v>373828</v>
      </c>
      <c r="BJ761" s="3">
        <v>42678</v>
      </c>
      <c r="BK761" t="s">
        <v>123</v>
      </c>
      <c r="BL761" t="str">
        <f>"2016.817023"</f>
        <v>2016.817023</v>
      </c>
      <c r="BM761" t="s">
        <v>1325</v>
      </c>
      <c r="BO761" t="s">
        <v>4872</v>
      </c>
      <c r="BS761">
        <v>30</v>
      </c>
      <c r="BW761" t="str">
        <f>""</f>
        <v/>
      </c>
      <c r="CH761" t="str">
        <f>""</f>
        <v/>
      </c>
      <c r="CS761" t="str">
        <f>""</f>
        <v/>
      </c>
    </row>
    <row r="762" spans="1:97" x14ac:dyDescent="0.25">
      <c r="A762" t="s">
        <v>996</v>
      </c>
      <c r="B762" t="s">
        <v>4873</v>
      </c>
      <c r="C762" t="s">
        <v>4874</v>
      </c>
      <c r="D762" t="s">
        <v>4873</v>
      </c>
      <c r="E762" t="s">
        <v>4875</v>
      </c>
      <c r="F762" t="s">
        <v>108</v>
      </c>
      <c r="H762" t="s">
        <v>4876</v>
      </c>
      <c r="I762" t="s">
        <v>225</v>
      </c>
      <c r="J762" t="s">
        <v>111</v>
      </c>
      <c r="K762" t="str">
        <f>"85212"</f>
        <v>85212</v>
      </c>
      <c r="L762" t="s">
        <v>3140</v>
      </c>
      <c r="M762" t="s">
        <v>4876</v>
      </c>
      <c r="N762" t="s">
        <v>225</v>
      </c>
      <c r="O762" t="s">
        <v>111</v>
      </c>
      <c r="P762" t="str">
        <f>"85212-8402"</f>
        <v>85212-8402</v>
      </c>
      <c r="Q762" t="s">
        <v>113</v>
      </c>
      <c r="R762" t="str">
        <f>"304-35-045"</f>
        <v>304-35-045</v>
      </c>
      <c r="S762" t="s">
        <v>3235</v>
      </c>
      <c r="U762">
        <v>1637</v>
      </c>
      <c r="W762">
        <v>3</v>
      </c>
      <c r="X762">
        <v>2015</v>
      </c>
      <c r="Z762">
        <v>1</v>
      </c>
      <c r="AC762" t="s">
        <v>115</v>
      </c>
      <c r="AE762" t="s">
        <v>115</v>
      </c>
      <c r="AH762" t="s">
        <v>116</v>
      </c>
      <c r="AI762" s="1">
        <v>54426</v>
      </c>
      <c r="AJ762" s="2">
        <v>0.16</v>
      </c>
      <c r="AK762" s="1">
        <v>335536</v>
      </c>
      <c r="AL762" t="s">
        <v>117</v>
      </c>
      <c r="AM762" t="s">
        <v>118</v>
      </c>
      <c r="AN762">
        <v>5939</v>
      </c>
      <c r="AO762">
        <v>0.14000000000000001</v>
      </c>
      <c r="AR762">
        <v>1</v>
      </c>
      <c r="AS762" s="1">
        <v>23750</v>
      </c>
      <c r="AT762" s="1">
        <v>4750</v>
      </c>
      <c r="AU762" s="1">
        <v>19000</v>
      </c>
      <c r="AV762">
        <v>80</v>
      </c>
      <c r="AX762" s="1">
        <v>2876.08</v>
      </c>
      <c r="AY762" t="s">
        <v>560</v>
      </c>
      <c r="AZ762" t="s">
        <v>561</v>
      </c>
      <c r="BA762" t="s">
        <v>194</v>
      </c>
      <c r="BE762" s="3">
        <v>42313</v>
      </c>
      <c r="BF762" s="1">
        <v>269813</v>
      </c>
      <c r="BG762" t="s">
        <v>3236</v>
      </c>
      <c r="BH762" s="1">
        <v>164.82</v>
      </c>
      <c r="BI762" s="1">
        <v>281110</v>
      </c>
      <c r="BJ762" s="3">
        <v>42674</v>
      </c>
      <c r="BK762" t="s">
        <v>123</v>
      </c>
      <c r="BL762" t="str">
        <f>"2016.802898"</f>
        <v>2016.802898</v>
      </c>
      <c r="BM762" t="s">
        <v>2716</v>
      </c>
      <c r="BO762" t="s">
        <v>4877</v>
      </c>
      <c r="BS762">
        <v>30</v>
      </c>
      <c r="BW762" t="str">
        <f>""</f>
        <v/>
      </c>
      <c r="CH762" t="str">
        <f>""</f>
        <v/>
      </c>
      <c r="CS762" t="str">
        <f>""</f>
        <v/>
      </c>
    </row>
    <row r="763" spans="1:97" x14ac:dyDescent="0.25">
      <c r="A763" t="s">
        <v>1344</v>
      </c>
      <c r="B763" t="s">
        <v>4878</v>
      </c>
      <c r="C763" t="s">
        <v>1496</v>
      </c>
      <c r="D763" t="s">
        <v>4878</v>
      </c>
      <c r="E763" t="s">
        <v>4879</v>
      </c>
      <c r="F763" t="s">
        <v>108</v>
      </c>
      <c r="H763" t="s">
        <v>4880</v>
      </c>
      <c r="I763" t="s">
        <v>225</v>
      </c>
      <c r="J763" t="s">
        <v>111</v>
      </c>
      <c r="K763" t="str">
        <f>"85212"</f>
        <v>85212</v>
      </c>
      <c r="L763" t="s">
        <v>3285</v>
      </c>
      <c r="M763" t="s">
        <v>4880</v>
      </c>
      <c r="N763" t="s">
        <v>225</v>
      </c>
      <c r="O763" t="s">
        <v>111</v>
      </c>
      <c r="P763" t="str">
        <f>"85212-9405"</f>
        <v>85212-9405</v>
      </c>
      <c r="Q763" t="s">
        <v>113</v>
      </c>
      <c r="R763" t="str">
        <f>"304-94-112"</f>
        <v>304-94-112</v>
      </c>
      <c r="S763" t="s">
        <v>3286</v>
      </c>
      <c r="U763">
        <v>2661</v>
      </c>
      <c r="W763">
        <v>3</v>
      </c>
      <c r="X763">
        <v>2016</v>
      </c>
      <c r="Z763">
        <v>1</v>
      </c>
      <c r="AC763" t="s">
        <v>115</v>
      </c>
      <c r="AD763">
        <v>2</v>
      </c>
      <c r="AE763" t="s">
        <v>115</v>
      </c>
      <c r="AH763" t="s">
        <v>116</v>
      </c>
      <c r="AI763" s="1">
        <v>72702</v>
      </c>
      <c r="AJ763" s="2">
        <v>0.17</v>
      </c>
      <c r="AK763" s="1">
        <v>418933</v>
      </c>
      <c r="AL763" t="s">
        <v>117</v>
      </c>
      <c r="AM763" t="s">
        <v>118</v>
      </c>
      <c r="AN763">
        <v>8100</v>
      </c>
      <c r="AO763">
        <v>0.19</v>
      </c>
      <c r="AR763">
        <v>1</v>
      </c>
      <c r="AS763" s="1">
        <v>29370</v>
      </c>
      <c r="AT763" s="1">
        <v>5870</v>
      </c>
      <c r="AU763" s="1">
        <v>23500</v>
      </c>
      <c r="AV763">
        <v>80.010000000000005</v>
      </c>
      <c r="AX763" s="1">
        <v>3527.04</v>
      </c>
      <c r="AY763" t="s">
        <v>560</v>
      </c>
      <c r="AZ763" t="s">
        <v>561</v>
      </c>
      <c r="BA763" t="s">
        <v>194</v>
      </c>
      <c r="BE763" s="3">
        <v>42531</v>
      </c>
      <c r="BF763" s="1">
        <v>370642</v>
      </c>
      <c r="BG763" t="s">
        <v>645</v>
      </c>
      <c r="BH763" s="1">
        <v>139.29</v>
      </c>
      <c r="BI763" s="1">
        <v>346231</v>
      </c>
      <c r="BJ763" s="3">
        <v>42531</v>
      </c>
      <c r="BK763" t="s">
        <v>123</v>
      </c>
      <c r="BL763" t="str">
        <f>"2016.405575"</f>
        <v>2016.405575</v>
      </c>
      <c r="BM763" t="s">
        <v>594</v>
      </c>
      <c r="BO763" t="s">
        <v>4881</v>
      </c>
      <c r="BS763">
        <v>30</v>
      </c>
      <c r="BW763" t="str">
        <f>""</f>
        <v/>
      </c>
      <c r="CH763" t="str">
        <f>""</f>
        <v/>
      </c>
      <c r="CS763" t="str">
        <f>""</f>
        <v/>
      </c>
    </row>
    <row r="764" spans="1:97" x14ac:dyDescent="0.25">
      <c r="A764" t="s">
        <v>177</v>
      </c>
      <c r="B764" t="s">
        <v>4882</v>
      </c>
      <c r="E764" t="s">
        <v>4883</v>
      </c>
      <c r="F764" t="s">
        <v>108</v>
      </c>
      <c r="H764" t="s">
        <v>4884</v>
      </c>
      <c r="I764" t="s">
        <v>144</v>
      </c>
      <c r="J764" t="s">
        <v>111</v>
      </c>
      <c r="K764" t="str">
        <f>"85396"</f>
        <v>85396</v>
      </c>
      <c r="L764" t="s">
        <v>3094</v>
      </c>
      <c r="M764" t="s">
        <v>4884</v>
      </c>
      <c r="N764" t="s">
        <v>144</v>
      </c>
      <c r="O764" t="s">
        <v>111</v>
      </c>
      <c r="P764" t="str">
        <f>"85396-6521"</f>
        <v>85396-6521</v>
      </c>
      <c r="Q764" t="s">
        <v>113</v>
      </c>
      <c r="R764" t="str">
        <f>"502-82-506"</f>
        <v>502-82-506</v>
      </c>
      <c r="S764" t="s">
        <v>3095</v>
      </c>
      <c r="U764">
        <v>2011</v>
      </c>
      <c r="W764">
        <v>3</v>
      </c>
      <c r="X764">
        <v>2015</v>
      </c>
      <c r="Z764">
        <v>1</v>
      </c>
      <c r="AC764" t="s">
        <v>115</v>
      </c>
      <c r="AD764">
        <v>2</v>
      </c>
      <c r="AE764" t="s">
        <v>115</v>
      </c>
      <c r="AH764" t="s">
        <v>116</v>
      </c>
      <c r="AI764" s="1">
        <v>12672</v>
      </c>
      <c r="AJ764" s="2">
        <v>0.03</v>
      </c>
      <c r="AK764" s="1">
        <v>447672</v>
      </c>
      <c r="AL764" t="s">
        <v>117</v>
      </c>
      <c r="AM764" t="s">
        <v>118</v>
      </c>
      <c r="AN764">
        <v>10032</v>
      </c>
      <c r="AO764">
        <v>0.23</v>
      </c>
      <c r="AR764">
        <v>1</v>
      </c>
      <c r="AS764" s="1">
        <v>36950</v>
      </c>
      <c r="AT764" s="1">
        <v>7390</v>
      </c>
      <c r="AU764" s="1">
        <v>29560</v>
      </c>
      <c r="AV764">
        <v>80</v>
      </c>
      <c r="AX764" s="1">
        <v>4423.88</v>
      </c>
      <c r="AY764" t="s">
        <v>543</v>
      </c>
      <c r="AZ764" t="s">
        <v>504</v>
      </c>
      <c r="BA764" t="s">
        <v>218</v>
      </c>
      <c r="BE764" s="3">
        <v>42355</v>
      </c>
      <c r="BF764" s="1">
        <v>447162</v>
      </c>
      <c r="BG764" t="s">
        <v>562</v>
      </c>
      <c r="BH764" s="1">
        <v>222.36</v>
      </c>
      <c r="BI764" s="1">
        <v>435000</v>
      </c>
      <c r="BJ764" s="3">
        <v>42934</v>
      </c>
      <c r="BK764" t="s">
        <v>123</v>
      </c>
      <c r="BL764" t="str">
        <f>"2017.523146"</f>
        <v>2017.523146</v>
      </c>
      <c r="BM764" t="s">
        <v>4885</v>
      </c>
      <c r="BO764" t="s">
        <v>4886</v>
      </c>
      <c r="BS764">
        <v>30</v>
      </c>
      <c r="BW764" t="str">
        <f>""</f>
        <v/>
      </c>
      <c r="CH764" t="str">
        <f>""</f>
        <v/>
      </c>
      <c r="CS764" t="str">
        <f>""</f>
        <v/>
      </c>
    </row>
    <row r="765" spans="1:97" x14ac:dyDescent="0.25">
      <c r="A765" t="s">
        <v>996</v>
      </c>
      <c r="B765" t="s">
        <v>4887</v>
      </c>
      <c r="C765" t="s">
        <v>4888</v>
      </c>
      <c r="D765" t="s">
        <v>4887</v>
      </c>
      <c r="E765" t="s">
        <v>4889</v>
      </c>
      <c r="F765" t="s">
        <v>108</v>
      </c>
      <c r="H765" t="s">
        <v>4890</v>
      </c>
      <c r="I765" t="s">
        <v>453</v>
      </c>
      <c r="J765" t="s">
        <v>111</v>
      </c>
      <c r="K765" t="str">
        <f>"85383"</f>
        <v>85383</v>
      </c>
      <c r="L765" t="s">
        <v>4698</v>
      </c>
      <c r="M765" t="s">
        <v>4890</v>
      </c>
      <c r="N765" t="s">
        <v>453</v>
      </c>
      <c r="O765" t="s">
        <v>111</v>
      </c>
      <c r="P765" t="str">
        <f>"85383-2623"</f>
        <v>85383-2623</v>
      </c>
      <c r="Q765" t="s">
        <v>113</v>
      </c>
      <c r="R765" t="str">
        <f>"510-07-683"</f>
        <v>510-07-683</v>
      </c>
      <c r="S765" t="s">
        <v>4699</v>
      </c>
      <c r="U765">
        <v>2422</v>
      </c>
      <c r="W765">
        <v>4</v>
      </c>
      <c r="X765">
        <v>2015</v>
      </c>
      <c r="Z765">
        <v>1</v>
      </c>
      <c r="AA765" t="s">
        <v>26</v>
      </c>
      <c r="AC765" t="s">
        <v>115</v>
      </c>
      <c r="AD765">
        <v>3</v>
      </c>
      <c r="AE765" t="s">
        <v>115</v>
      </c>
      <c r="AH765" t="s">
        <v>116</v>
      </c>
      <c r="AI765" s="1">
        <v>45700</v>
      </c>
      <c r="AJ765" s="2">
        <v>0.1</v>
      </c>
      <c r="AK765" s="1">
        <v>466975</v>
      </c>
      <c r="AL765" t="s">
        <v>117</v>
      </c>
      <c r="AM765" t="s">
        <v>118</v>
      </c>
      <c r="AN765">
        <v>10075</v>
      </c>
      <c r="AO765">
        <v>0.23</v>
      </c>
      <c r="AR765">
        <v>1</v>
      </c>
      <c r="AS765" s="1">
        <v>36580</v>
      </c>
      <c r="AT765" s="1">
        <v>7310</v>
      </c>
      <c r="AU765" s="1">
        <v>29270</v>
      </c>
      <c r="AV765">
        <v>80.02</v>
      </c>
      <c r="AX765" s="1">
        <v>3338.28</v>
      </c>
      <c r="AY765" t="s">
        <v>627</v>
      </c>
      <c r="AZ765" t="s">
        <v>627</v>
      </c>
      <c r="BA765" t="s">
        <v>457</v>
      </c>
      <c r="BE765" s="3">
        <v>42342</v>
      </c>
      <c r="BF765" s="1">
        <v>374198</v>
      </c>
      <c r="BG765" t="s">
        <v>209</v>
      </c>
      <c r="BH765" s="1">
        <v>154.5</v>
      </c>
      <c r="BI765" s="1">
        <v>382200</v>
      </c>
      <c r="BJ765" s="3">
        <v>42740</v>
      </c>
      <c r="BK765" t="s">
        <v>123</v>
      </c>
      <c r="BL765" t="str">
        <f>"2017.7429"</f>
        <v>2017.7429</v>
      </c>
      <c r="BM765" t="s">
        <v>425</v>
      </c>
      <c r="BO765" t="s">
        <v>4891</v>
      </c>
      <c r="BS765">
        <v>30</v>
      </c>
      <c r="BT765" s="1">
        <v>39075</v>
      </c>
      <c r="BU765" s="3">
        <v>42562</v>
      </c>
      <c r="BV765" t="s">
        <v>134</v>
      </c>
      <c r="BW765" t="str">
        <f>"2016.484006"</f>
        <v>2016.484006</v>
      </c>
      <c r="BX765" t="s">
        <v>198</v>
      </c>
      <c r="BZ765" t="s">
        <v>4891</v>
      </c>
      <c r="CD765">
        <v>10</v>
      </c>
      <c r="CH765" t="str">
        <f>""</f>
        <v/>
      </c>
      <c r="CS765" t="str">
        <f>""</f>
        <v/>
      </c>
    </row>
    <row r="766" spans="1:97" x14ac:dyDescent="0.25">
      <c r="A766" t="s">
        <v>4892</v>
      </c>
      <c r="B766" t="s">
        <v>4893</v>
      </c>
      <c r="C766" t="s">
        <v>4894</v>
      </c>
      <c r="D766" t="s">
        <v>4893</v>
      </c>
      <c r="E766" t="s">
        <v>4895</v>
      </c>
      <c r="F766" t="s">
        <v>108</v>
      </c>
      <c r="H766" t="s">
        <v>4896</v>
      </c>
      <c r="I766" t="s">
        <v>3150</v>
      </c>
      <c r="J766" t="s">
        <v>111</v>
      </c>
      <c r="K766" t="str">
        <f>"85340"</f>
        <v>85340</v>
      </c>
      <c r="L766" t="s">
        <v>3151</v>
      </c>
      <c r="M766" t="s">
        <v>4896</v>
      </c>
      <c r="N766" t="s">
        <v>3150</v>
      </c>
      <c r="O766" t="s">
        <v>111</v>
      </c>
      <c r="P766" t="str">
        <f>"85340-2812"</f>
        <v>85340-2812</v>
      </c>
      <c r="Q766" t="s">
        <v>113</v>
      </c>
      <c r="R766" t="str">
        <f>"501-73-897"</f>
        <v>501-73-897</v>
      </c>
      <c r="S766" t="s">
        <v>3152</v>
      </c>
      <c r="U766">
        <v>2868</v>
      </c>
      <c r="W766">
        <v>4</v>
      </c>
      <c r="X766">
        <v>2015</v>
      </c>
      <c r="Z766">
        <v>1</v>
      </c>
      <c r="AC766" t="s">
        <v>115</v>
      </c>
      <c r="AD766">
        <v>4</v>
      </c>
      <c r="AE766" t="s">
        <v>115</v>
      </c>
      <c r="AH766" t="s">
        <v>116</v>
      </c>
      <c r="AI766" s="1">
        <v>30811</v>
      </c>
      <c r="AJ766" s="2">
        <v>7.0000000000000007E-2</v>
      </c>
      <c r="AK766" s="1">
        <v>429277</v>
      </c>
      <c r="AL766" t="s">
        <v>117</v>
      </c>
      <c r="AM766" t="s">
        <v>118</v>
      </c>
      <c r="AN766">
        <v>9974</v>
      </c>
      <c r="AO766">
        <v>0.23</v>
      </c>
      <c r="AR766">
        <v>1</v>
      </c>
      <c r="AS766" s="1">
        <v>33030</v>
      </c>
      <c r="AT766" s="1">
        <v>6600</v>
      </c>
      <c r="AU766" s="1">
        <v>26430</v>
      </c>
      <c r="AV766">
        <v>80.02</v>
      </c>
      <c r="AX766" s="1">
        <v>2942.4</v>
      </c>
      <c r="AY766" t="s">
        <v>3019</v>
      </c>
      <c r="AZ766" t="s">
        <v>3153</v>
      </c>
      <c r="BA766" t="s">
        <v>3154</v>
      </c>
      <c r="BE766" s="3">
        <v>42452</v>
      </c>
      <c r="BF766" s="1">
        <v>343406</v>
      </c>
      <c r="BG766" t="s">
        <v>636</v>
      </c>
      <c r="BH766" s="1">
        <v>119.74</v>
      </c>
      <c r="BI766" s="1">
        <v>350789</v>
      </c>
      <c r="BJ766" s="3">
        <v>42452</v>
      </c>
      <c r="BK766" t="s">
        <v>123</v>
      </c>
      <c r="BL766" t="str">
        <f>"2016.188428"</f>
        <v>2016.188428</v>
      </c>
      <c r="BM766" t="s">
        <v>637</v>
      </c>
      <c r="BN766" t="s">
        <v>652</v>
      </c>
      <c r="BO766" t="s">
        <v>4897</v>
      </c>
      <c r="BS766">
        <v>30</v>
      </c>
      <c r="BT766" s="1">
        <v>47677</v>
      </c>
      <c r="BU766" s="3">
        <v>43256</v>
      </c>
      <c r="BW766" t="str">
        <f>"2018.427552"</f>
        <v>2018.427552</v>
      </c>
      <c r="BX766" t="s">
        <v>1227</v>
      </c>
      <c r="BY766" t="s">
        <v>739</v>
      </c>
      <c r="BZ766" t="s">
        <v>4898</v>
      </c>
      <c r="CC766" t="s">
        <v>346</v>
      </c>
      <c r="CH766" t="str">
        <f>""</f>
        <v/>
      </c>
      <c r="CS766" t="str">
        <f>""</f>
        <v/>
      </c>
    </row>
    <row r="767" spans="1:97" x14ac:dyDescent="0.25">
      <c r="A767" t="s">
        <v>1272</v>
      </c>
      <c r="B767" t="s">
        <v>4899</v>
      </c>
      <c r="C767" t="s">
        <v>4900</v>
      </c>
      <c r="D767" t="s">
        <v>4899</v>
      </c>
      <c r="E767" t="s">
        <v>4901</v>
      </c>
      <c r="F767" t="s">
        <v>108</v>
      </c>
      <c r="H767" t="s">
        <v>4902</v>
      </c>
      <c r="I767" t="s">
        <v>453</v>
      </c>
      <c r="J767" t="s">
        <v>111</v>
      </c>
      <c r="K767" t="str">
        <f>"85383"</f>
        <v>85383</v>
      </c>
      <c r="L767" t="s">
        <v>516</v>
      </c>
      <c r="M767" t="s">
        <v>4902</v>
      </c>
      <c r="N767" t="s">
        <v>453</v>
      </c>
      <c r="O767" t="s">
        <v>111</v>
      </c>
      <c r="P767" t="str">
        <f>"85383-5734"</f>
        <v>85383-5734</v>
      </c>
      <c r="Q767" t="s">
        <v>113</v>
      </c>
      <c r="R767" t="str">
        <f>"201-30-323"</f>
        <v>201-30-323</v>
      </c>
      <c r="S767" t="s">
        <v>4518</v>
      </c>
      <c r="T767" t="s">
        <v>4519</v>
      </c>
      <c r="U767">
        <v>2572</v>
      </c>
      <c r="W767">
        <v>4</v>
      </c>
      <c r="X767">
        <v>2015</v>
      </c>
      <c r="Z767">
        <v>1</v>
      </c>
      <c r="AC767" t="s">
        <v>115</v>
      </c>
      <c r="AD767">
        <v>3</v>
      </c>
      <c r="AE767" t="s">
        <v>115</v>
      </c>
      <c r="AH767" t="s">
        <v>116</v>
      </c>
      <c r="AI767" s="1">
        <v>112778</v>
      </c>
      <c r="AJ767" s="2">
        <v>0.26</v>
      </c>
      <c r="AK767" s="1">
        <v>428615</v>
      </c>
      <c r="AL767" t="s">
        <v>117</v>
      </c>
      <c r="AM767" t="s">
        <v>118</v>
      </c>
      <c r="AN767">
        <v>7800</v>
      </c>
      <c r="AO767">
        <v>0.18</v>
      </c>
      <c r="AR767">
        <v>1</v>
      </c>
      <c r="AS767" s="1">
        <v>30970</v>
      </c>
      <c r="AT767" s="1">
        <v>6190</v>
      </c>
      <c r="AU767" s="1">
        <v>24780</v>
      </c>
      <c r="AV767">
        <v>80.010000000000005</v>
      </c>
      <c r="AX767" s="1">
        <v>2635.38</v>
      </c>
      <c r="AY767" t="s">
        <v>4520</v>
      </c>
      <c r="AZ767" t="s">
        <v>4520</v>
      </c>
      <c r="BA767" t="s">
        <v>4219</v>
      </c>
      <c r="BE767" s="3">
        <v>42299</v>
      </c>
      <c r="BF767" s="1">
        <v>334242</v>
      </c>
      <c r="BG767" t="s">
        <v>446</v>
      </c>
      <c r="BH767" s="1">
        <v>129.94999999999999</v>
      </c>
      <c r="BI767" s="1">
        <v>315837</v>
      </c>
      <c r="BJ767" s="3">
        <v>42299</v>
      </c>
      <c r="BK767" t="s">
        <v>123</v>
      </c>
      <c r="BL767" t="str">
        <f>"2015.759309"</f>
        <v>2015.759309</v>
      </c>
      <c r="BM767" t="s">
        <v>573</v>
      </c>
      <c r="BO767" t="s">
        <v>4903</v>
      </c>
      <c r="BS767">
        <v>30</v>
      </c>
      <c r="BW767" t="str">
        <f>""</f>
        <v/>
      </c>
      <c r="CH767" t="str">
        <f>""</f>
        <v/>
      </c>
      <c r="CS767" t="str">
        <f>""</f>
        <v/>
      </c>
    </row>
    <row r="768" spans="1:97" x14ac:dyDescent="0.25">
      <c r="B768" t="s">
        <v>4904</v>
      </c>
      <c r="E768" t="s">
        <v>4904</v>
      </c>
      <c r="F768" t="s">
        <v>108</v>
      </c>
      <c r="H768" t="s">
        <v>4905</v>
      </c>
      <c r="I768" t="s">
        <v>225</v>
      </c>
      <c r="J768" t="s">
        <v>111</v>
      </c>
      <c r="K768" t="str">
        <f>"85212"</f>
        <v>85212</v>
      </c>
      <c r="L768" t="s">
        <v>3234</v>
      </c>
      <c r="M768" t="s">
        <v>4905</v>
      </c>
      <c r="N768" t="s">
        <v>225</v>
      </c>
      <c r="O768" t="s">
        <v>111</v>
      </c>
      <c r="P768" t="str">
        <f>"85212-8454"</f>
        <v>85212-8454</v>
      </c>
      <c r="Q768" t="s">
        <v>113</v>
      </c>
      <c r="R768" t="str">
        <f>"304-35-175"</f>
        <v>304-35-175</v>
      </c>
      <c r="S768" t="s">
        <v>3235</v>
      </c>
      <c r="U768">
        <v>2314</v>
      </c>
      <c r="W768">
        <v>4</v>
      </c>
      <c r="X768">
        <v>2016</v>
      </c>
      <c r="Z768">
        <v>1</v>
      </c>
      <c r="AC768" t="s">
        <v>115</v>
      </c>
      <c r="AD768">
        <v>2</v>
      </c>
      <c r="AE768" t="s">
        <v>115</v>
      </c>
      <c r="AH768" t="s">
        <v>116</v>
      </c>
      <c r="AI768" s="1">
        <v>84952</v>
      </c>
      <c r="AJ768" s="2">
        <v>0.19</v>
      </c>
      <c r="AK768" s="1">
        <v>449311</v>
      </c>
      <c r="AL768" t="s">
        <v>117</v>
      </c>
      <c r="AM768" t="s">
        <v>118</v>
      </c>
      <c r="AN768">
        <v>15638</v>
      </c>
      <c r="AO768">
        <v>0.36</v>
      </c>
      <c r="AR768">
        <v>1</v>
      </c>
      <c r="AS768" s="1">
        <v>34870</v>
      </c>
      <c r="AT768" s="1">
        <v>6970</v>
      </c>
      <c r="AU768" s="1">
        <v>27900</v>
      </c>
      <c r="AV768">
        <v>80.010000000000005</v>
      </c>
      <c r="AX768" s="1">
        <v>3974.7</v>
      </c>
      <c r="AY768" t="s">
        <v>560</v>
      </c>
      <c r="AZ768" t="s">
        <v>561</v>
      </c>
      <c r="BA768" t="s">
        <v>194</v>
      </c>
      <c r="BB768" s="3">
        <v>42593</v>
      </c>
      <c r="BD768" t="s">
        <v>480</v>
      </c>
      <c r="BE768" s="3">
        <v>42516</v>
      </c>
      <c r="BF768" s="1">
        <v>399861</v>
      </c>
      <c r="BG768" t="s">
        <v>3236</v>
      </c>
      <c r="BH768" s="1">
        <v>172.8</v>
      </c>
      <c r="BI768" s="1">
        <v>364359</v>
      </c>
      <c r="BJ768" s="3">
        <v>42516</v>
      </c>
      <c r="BK768" t="s">
        <v>123</v>
      </c>
      <c r="BL768" t="str">
        <f>"2016.365271"</f>
        <v>2016.365271</v>
      </c>
      <c r="BM768" t="s">
        <v>175</v>
      </c>
      <c r="BO768" t="s">
        <v>4906</v>
      </c>
      <c r="BS768">
        <v>30</v>
      </c>
      <c r="BW768" t="str">
        <f>""</f>
        <v/>
      </c>
      <c r="CH768" t="str">
        <f>""</f>
        <v/>
      </c>
      <c r="CS768" t="str">
        <f>""</f>
        <v/>
      </c>
    </row>
    <row r="769" spans="1:97" x14ac:dyDescent="0.25">
      <c r="A769" t="s">
        <v>4327</v>
      </c>
      <c r="B769" t="s">
        <v>4907</v>
      </c>
      <c r="E769" t="s">
        <v>4908</v>
      </c>
      <c r="F769" t="s">
        <v>108</v>
      </c>
      <c r="H769" t="s">
        <v>4909</v>
      </c>
      <c r="I769" t="s">
        <v>203</v>
      </c>
      <c r="J769" t="s">
        <v>111</v>
      </c>
      <c r="K769" t="str">
        <f>"85296"</f>
        <v>85296</v>
      </c>
      <c r="L769" t="s">
        <v>516</v>
      </c>
      <c r="M769" t="s">
        <v>4909</v>
      </c>
      <c r="N769" t="s">
        <v>203</v>
      </c>
      <c r="O769" t="s">
        <v>111</v>
      </c>
      <c r="P769" t="str">
        <f>"85296-1569"</f>
        <v>85296-1569</v>
      </c>
      <c r="Q769" t="s">
        <v>113</v>
      </c>
      <c r="R769" t="str">
        <f>"304-18-251"</f>
        <v>304-18-251</v>
      </c>
      <c r="S769" t="s">
        <v>3195</v>
      </c>
      <c r="U769">
        <v>1773</v>
      </c>
      <c r="W769">
        <v>3</v>
      </c>
      <c r="X769">
        <v>2015</v>
      </c>
      <c r="Z769">
        <v>1</v>
      </c>
      <c r="AC769" t="s">
        <v>115</v>
      </c>
      <c r="AD769">
        <v>2</v>
      </c>
      <c r="AE769" t="s">
        <v>115</v>
      </c>
      <c r="AH769" t="s">
        <v>116</v>
      </c>
      <c r="AI769" s="1">
        <v>60095</v>
      </c>
      <c r="AJ769" s="2">
        <v>0.16</v>
      </c>
      <c r="AK769" s="1">
        <v>380904</v>
      </c>
      <c r="AL769" t="s">
        <v>117</v>
      </c>
      <c r="AM769" t="s">
        <v>288</v>
      </c>
      <c r="AN769">
        <v>5750</v>
      </c>
      <c r="AO769">
        <v>0.13</v>
      </c>
      <c r="AR769">
        <v>1</v>
      </c>
      <c r="AS769" s="1">
        <v>26180</v>
      </c>
      <c r="AT769" s="1">
        <v>5230</v>
      </c>
      <c r="AU769" s="1">
        <v>20950</v>
      </c>
      <c r="AV769">
        <v>80.02</v>
      </c>
      <c r="AX769" s="1">
        <v>1918.32</v>
      </c>
      <c r="AY769" t="s">
        <v>519</v>
      </c>
      <c r="AZ769" t="s">
        <v>520</v>
      </c>
      <c r="BA769" t="s">
        <v>521</v>
      </c>
      <c r="BE769" s="3">
        <v>42419</v>
      </c>
      <c r="BF769" s="1">
        <v>318395</v>
      </c>
      <c r="BG769" t="s">
        <v>420</v>
      </c>
      <c r="BH769" s="1">
        <v>179.58</v>
      </c>
      <c r="BI769" s="1">
        <v>320809</v>
      </c>
      <c r="BJ769" s="3">
        <v>42965</v>
      </c>
      <c r="BK769" t="s">
        <v>123</v>
      </c>
      <c r="BL769" t="str">
        <f>"2017.609213"</f>
        <v>2017.609213</v>
      </c>
      <c r="BM769" t="s">
        <v>340</v>
      </c>
      <c r="BO769" t="s">
        <v>4910</v>
      </c>
      <c r="BS769">
        <v>29</v>
      </c>
      <c r="BW769" t="str">
        <f>""</f>
        <v/>
      </c>
      <c r="CH769" t="str">
        <f>""</f>
        <v/>
      </c>
      <c r="CS769" t="str">
        <f>""</f>
        <v/>
      </c>
    </row>
    <row r="770" spans="1:97" x14ac:dyDescent="0.25">
      <c r="A770" t="s">
        <v>1979</v>
      </c>
      <c r="B770" t="s">
        <v>212</v>
      </c>
      <c r="C770" t="s">
        <v>4911</v>
      </c>
      <c r="D770" t="s">
        <v>4912</v>
      </c>
      <c r="E770" t="s">
        <v>4913</v>
      </c>
      <c r="F770" t="s">
        <v>108</v>
      </c>
      <c r="H770" t="s">
        <v>4914</v>
      </c>
      <c r="I770" t="s">
        <v>453</v>
      </c>
      <c r="J770" t="s">
        <v>111</v>
      </c>
      <c r="K770" t="str">
        <f>"85383"</f>
        <v>85383</v>
      </c>
      <c r="L770" t="s">
        <v>3225</v>
      </c>
      <c r="M770" t="s">
        <v>4914</v>
      </c>
      <c r="N770" t="s">
        <v>453</v>
      </c>
      <c r="O770" t="s">
        <v>111</v>
      </c>
      <c r="P770" t="str">
        <f>"85383-5774"</f>
        <v>85383-5774</v>
      </c>
      <c r="Q770" t="s">
        <v>113</v>
      </c>
      <c r="R770" t="str">
        <f>"201-19-541"</f>
        <v>201-19-541</v>
      </c>
      <c r="S770" t="s">
        <v>3226</v>
      </c>
      <c r="T770" t="s">
        <v>3227</v>
      </c>
      <c r="U770">
        <v>2501</v>
      </c>
      <c r="W770">
        <v>3</v>
      </c>
      <c r="X770">
        <v>2015</v>
      </c>
      <c r="Z770">
        <v>2</v>
      </c>
      <c r="AC770" t="s">
        <v>115</v>
      </c>
      <c r="AD770">
        <v>3</v>
      </c>
      <c r="AE770" t="s">
        <v>115</v>
      </c>
      <c r="AH770" t="s">
        <v>116</v>
      </c>
      <c r="AI770" s="1">
        <v>71325</v>
      </c>
      <c r="AJ770" s="2">
        <v>0.19</v>
      </c>
      <c r="AK770" s="1">
        <v>380763</v>
      </c>
      <c r="AL770" t="s">
        <v>117</v>
      </c>
      <c r="AM770" t="s">
        <v>118</v>
      </c>
      <c r="AN770">
        <v>6429</v>
      </c>
      <c r="AO770">
        <v>0.15</v>
      </c>
      <c r="AR770">
        <v>1</v>
      </c>
      <c r="AS770" s="1">
        <v>27700</v>
      </c>
      <c r="AT770" s="1">
        <v>5540</v>
      </c>
      <c r="AU770" s="1">
        <v>22160</v>
      </c>
      <c r="AV770">
        <v>80</v>
      </c>
      <c r="AX770" s="1">
        <v>2313.56</v>
      </c>
      <c r="AY770" t="s">
        <v>3228</v>
      </c>
      <c r="AZ770" t="s">
        <v>3228</v>
      </c>
      <c r="BA770" t="s">
        <v>457</v>
      </c>
      <c r="BE770" s="3">
        <v>42396</v>
      </c>
      <c r="BF770" s="1">
        <v>299553</v>
      </c>
      <c r="BG770" t="s">
        <v>446</v>
      </c>
      <c r="BH770" s="1">
        <v>119.77</v>
      </c>
      <c r="BI770" s="1">
        <v>309438</v>
      </c>
      <c r="BJ770" s="3">
        <v>42396</v>
      </c>
      <c r="BK770" t="s">
        <v>123</v>
      </c>
      <c r="BL770" t="str">
        <f>"2016.53622"</f>
        <v>2016.53622</v>
      </c>
      <c r="BM770" t="s">
        <v>573</v>
      </c>
      <c r="BO770" t="s">
        <v>4915</v>
      </c>
      <c r="BS770">
        <v>30</v>
      </c>
      <c r="BW770" t="str">
        <f>""</f>
        <v/>
      </c>
      <c r="CH770" t="str">
        <f>""</f>
        <v/>
      </c>
      <c r="CS770" t="str">
        <f>""</f>
        <v/>
      </c>
    </row>
    <row r="771" spans="1:97" x14ac:dyDescent="0.25">
      <c r="A771" t="s">
        <v>4916</v>
      </c>
      <c r="B771" t="s">
        <v>1089</v>
      </c>
      <c r="C771" t="s">
        <v>1057</v>
      </c>
      <c r="D771" t="s">
        <v>1089</v>
      </c>
      <c r="E771" t="s">
        <v>4917</v>
      </c>
      <c r="F771" t="s">
        <v>108</v>
      </c>
      <c r="H771" t="s">
        <v>4918</v>
      </c>
      <c r="I771" t="s">
        <v>453</v>
      </c>
      <c r="J771" t="s">
        <v>111</v>
      </c>
      <c r="K771" t="str">
        <f>"85383"</f>
        <v>85383</v>
      </c>
      <c r="L771" t="s">
        <v>4467</v>
      </c>
      <c r="M771" t="s">
        <v>4918</v>
      </c>
      <c r="N771" t="s">
        <v>453</v>
      </c>
      <c r="O771" t="s">
        <v>111</v>
      </c>
      <c r="P771" t="str">
        <f>"85383-4533"</f>
        <v>85383-4533</v>
      </c>
      <c r="Q771" t="s">
        <v>113</v>
      </c>
      <c r="R771" t="str">
        <f>"510-08-633"</f>
        <v>510-08-633</v>
      </c>
      <c r="S771" t="s">
        <v>4468</v>
      </c>
      <c r="U771">
        <v>3051</v>
      </c>
      <c r="W771">
        <v>4</v>
      </c>
      <c r="X771">
        <v>2015</v>
      </c>
      <c r="Z771">
        <v>1</v>
      </c>
      <c r="AC771" t="s">
        <v>115</v>
      </c>
      <c r="AD771">
        <v>3</v>
      </c>
      <c r="AE771" t="s">
        <v>115</v>
      </c>
      <c r="AH771" t="s">
        <v>116</v>
      </c>
      <c r="AI771" s="1">
        <v>35152</v>
      </c>
      <c r="AJ771" s="2">
        <v>0.08</v>
      </c>
      <c r="AK771" s="1">
        <v>439652</v>
      </c>
      <c r="AL771" t="s">
        <v>117</v>
      </c>
      <c r="AM771" t="s">
        <v>118</v>
      </c>
      <c r="AN771">
        <v>8750</v>
      </c>
      <c r="AO771">
        <v>0.2</v>
      </c>
      <c r="AR771">
        <v>1</v>
      </c>
      <c r="AS771" s="1">
        <v>37800</v>
      </c>
      <c r="AT771" s="1">
        <v>7560</v>
      </c>
      <c r="AU771" s="1">
        <v>30240</v>
      </c>
      <c r="AV771">
        <v>80</v>
      </c>
      <c r="AX771" s="1">
        <v>3237.56</v>
      </c>
      <c r="AY771" t="s">
        <v>627</v>
      </c>
      <c r="AZ771" t="s">
        <v>627</v>
      </c>
      <c r="BA771" t="s">
        <v>457</v>
      </c>
      <c r="BE771" s="3">
        <v>42230</v>
      </c>
      <c r="BF771" s="1">
        <v>442791</v>
      </c>
      <c r="BG771" t="s">
        <v>209</v>
      </c>
      <c r="BH771" s="1">
        <v>145.13</v>
      </c>
      <c r="BI771" s="1">
        <v>404500</v>
      </c>
      <c r="BJ771" s="3">
        <v>42604</v>
      </c>
      <c r="BK771" t="s">
        <v>123</v>
      </c>
      <c r="BL771" t="str">
        <f>"2016.601047"</f>
        <v>2016.601047</v>
      </c>
      <c r="BM771" t="s">
        <v>4919</v>
      </c>
      <c r="BO771" t="s">
        <v>4920</v>
      </c>
      <c r="BS771">
        <v>30</v>
      </c>
      <c r="BW771" t="str">
        <f>""</f>
        <v/>
      </c>
      <c r="CH771" t="str">
        <f>""</f>
        <v/>
      </c>
      <c r="CS771" t="str">
        <f>""</f>
        <v/>
      </c>
    </row>
    <row r="772" spans="1:97" x14ac:dyDescent="0.25">
      <c r="A772" t="s">
        <v>1393</v>
      </c>
      <c r="B772" t="s">
        <v>4921</v>
      </c>
      <c r="C772" t="s">
        <v>767</v>
      </c>
      <c r="D772" t="s">
        <v>4921</v>
      </c>
      <c r="E772" t="s">
        <v>4922</v>
      </c>
      <c r="F772" t="s">
        <v>108</v>
      </c>
      <c r="H772" t="s">
        <v>4923</v>
      </c>
      <c r="I772" t="s">
        <v>225</v>
      </c>
      <c r="J772" t="s">
        <v>111</v>
      </c>
      <c r="K772" t="str">
        <f>"85212"</f>
        <v>85212</v>
      </c>
      <c r="L772" t="s">
        <v>3285</v>
      </c>
      <c r="M772" t="s">
        <v>4923</v>
      </c>
      <c r="N772" t="s">
        <v>225</v>
      </c>
      <c r="O772" t="s">
        <v>111</v>
      </c>
      <c r="P772" t="str">
        <f>"85212-9405"</f>
        <v>85212-9405</v>
      </c>
      <c r="Q772" t="s">
        <v>113</v>
      </c>
      <c r="R772" t="str">
        <f>"304-94-111"</f>
        <v>304-94-111</v>
      </c>
      <c r="S772" t="s">
        <v>3286</v>
      </c>
      <c r="U772">
        <v>2657</v>
      </c>
      <c r="W772">
        <v>5</v>
      </c>
      <c r="X772">
        <v>2016</v>
      </c>
      <c r="Z772">
        <v>1</v>
      </c>
      <c r="AA772" t="s">
        <v>26</v>
      </c>
      <c r="AC772" t="s">
        <v>115</v>
      </c>
      <c r="AD772">
        <v>3</v>
      </c>
      <c r="AE772" t="s">
        <v>115</v>
      </c>
      <c r="AH772" t="s">
        <v>116</v>
      </c>
      <c r="AI772" s="1">
        <v>124271</v>
      </c>
      <c r="AJ772" s="2">
        <v>0.28000000000000003</v>
      </c>
      <c r="AK772" s="1">
        <v>445116</v>
      </c>
      <c r="AL772" t="s">
        <v>117</v>
      </c>
      <c r="AM772" t="s">
        <v>118</v>
      </c>
      <c r="AN772">
        <v>8100</v>
      </c>
      <c r="AO772">
        <v>0.19</v>
      </c>
      <c r="AR772">
        <v>1</v>
      </c>
      <c r="AS772" s="1">
        <v>32520</v>
      </c>
      <c r="AT772" s="1">
        <v>6500</v>
      </c>
      <c r="AU772" s="1">
        <v>26020</v>
      </c>
      <c r="AV772">
        <v>80.010000000000005</v>
      </c>
      <c r="AX772" s="1">
        <v>3839.28</v>
      </c>
      <c r="AY772" t="s">
        <v>560</v>
      </c>
      <c r="AZ772" t="s">
        <v>561</v>
      </c>
      <c r="BA772" t="s">
        <v>194</v>
      </c>
      <c r="BE772" s="3">
        <v>42507</v>
      </c>
      <c r="BF772" s="1">
        <v>320845</v>
      </c>
      <c r="BG772" t="s">
        <v>645</v>
      </c>
      <c r="BH772" s="1">
        <v>120.75</v>
      </c>
      <c r="BI772" s="1">
        <v>320845</v>
      </c>
      <c r="BJ772" s="3">
        <v>42507</v>
      </c>
      <c r="BK772" t="s">
        <v>123</v>
      </c>
      <c r="BL772" t="str">
        <f>"2016.337951"</f>
        <v>2016.337951</v>
      </c>
      <c r="BM772" t="s">
        <v>594</v>
      </c>
      <c r="BO772" t="s">
        <v>4924</v>
      </c>
      <c r="BS772">
        <v>30</v>
      </c>
      <c r="BW772" t="str">
        <f>""</f>
        <v/>
      </c>
      <c r="CH772" t="str">
        <f>""</f>
        <v/>
      </c>
      <c r="CS772" t="str">
        <f>""</f>
        <v/>
      </c>
    </row>
    <row r="773" spans="1:97" x14ac:dyDescent="0.25">
      <c r="A773" t="s">
        <v>3874</v>
      </c>
      <c r="B773" t="s">
        <v>4925</v>
      </c>
      <c r="C773" t="s">
        <v>4926</v>
      </c>
      <c r="D773" t="s">
        <v>4925</v>
      </c>
      <c r="E773" t="s">
        <v>4927</v>
      </c>
      <c r="F773" t="s">
        <v>108</v>
      </c>
      <c r="H773" t="s">
        <v>4928</v>
      </c>
      <c r="I773" t="s">
        <v>499</v>
      </c>
      <c r="J773" t="s">
        <v>111</v>
      </c>
      <c r="K773" t="str">
        <f>"85338"</f>
        <v>85338</v>
      </c>
      <c r="L773" t="s">
        <v>1244</v>
      </c>
      <c r="M773" t="s">
        <v>4928</v>
      </c>
      <c r="N773" t="s">
        <v>499</v>
      </c>
      <c r="O773" t="s">
        <v>111</v>
      </c>
      <c r="P773" t="str">
        <f>"85338-7840"</f>
        <v>85338-7840</v>
      </c>
      <c r="Q773" t="s">
        <v>113</v>
      </c>
      <c r="R773" t="str">
        <f>"400-83-629"</f>
        <v>400-83-629</v>
      </c>
      <c r="S773" t="s">
        <v>1245</v>
      </c>
      <c r="U773">
        <v>2670</v>
      </c>
      <c r="W773">
        <v>4</v>
      </c>
      <c r="X773">
        <v>2016</v>
      </c>
      <c r="Z773">
        <v>1</v>
      </c>
      <c r="AC773" t="s">
        <v>115</v>
      </c>
      <c r="AD773">
        <v>3</v>
      </c>
      <c r="AE773" t="s">
        <v>115</v>
      </c>
      <c r="AH773" t="s">
        <v>116</v>
      </c>
      <c r="AI773" s="1">
        <v>50297</v>
      </c>
      <c r="AJ773" s="2">
        <v>0.11</v>
      </c>
      <c r="AK773" s="1">
        <v>440411</v>
      </c>
      <c r="AL773" t="s">
        <v>117</v>
      </c>
      <c r="AM773" t="s">
        <v>118</v>
      </c>
      <c r="AN773">
        <v>8700</v>
      </c>
      <c r="AO773">
        <v>0.2</v>
      </c>
      <c r="AR773">
        <v>1</v>
      </c>
      <c r="AS773" s="1">
        <v>33530</v>
      </c>
      <c r="AT773" s="1">
        <v>6700</v>
      </c>
      <c r="AU773" s="1">
        <v>26830</v>
      </c>
      <c r="AV773">
        <v>80.02</v>
      </c>
      <c r="AX773" s="1">
        <v>3957.54</v>
      </c>
      <c r="AY773" t="s">
        <v>1246</v>
      </c>
      <c r="AZ773" t="s">
        <v>1246</v>
      </c>
      <c r="BA773" t="s">
        <v>1247</v>
      </c>
      <c r="BE773" s="3">
        <v>42466</v>
      </c>
      <c r="BF773" s="1">
        <v>390114</v>
      </c>
      <c r="BG773" t="s">
        <v>1238</v>
      </c>
      <c r="BH773" s="1">
        <v>146.11000000000001</v>
      </c>
      <c r="BI773" s="1">
        <v>390114</v>
      </c>
      <c r="BJ773" s="3">
        <v>42466</v>
      </c>
      <c r="BK773" t="s">
        <v>123</v>
      </c>
      <c r="BL773" t="str">
        <f>"2016.228041"</f>
        <v>2016.228041</v>
      </c>
      <c r="BM773" t="s">
        <v>475</v>
      </c>
      <c r="BO773" t="s">
        <v>4929</v>
      </c>
      <c r="BS773">
        <v>30</v>
      </c>
      <c r="BW773" t="str">
        <f>""</f>
        <v/>
      </c>
      <c r="CH773" t="str">
        <f>""</f>
        <v/>
      </c>
      <c r="CS773" t="str">
        <f>""</f>
        <v/>
      </c>
    </row>
    <row r="774" spans="1:97" x14ac:dyDescent="0.25">
      <c r="A774" t="s">
        <v>4930</v>
      </c>
      <c r="B774" t="s">
        <v>4931</v>
      </c>
      <c r="E774" t="s">
        <v>4932</v>
      </c>
      <c r="F774" t="s">
        <v>108</v>
      </c>
      <c r="H774" t="s">
        <v>4933</v>
      </c>
      <c r="I774" t="s">
        <v>453</v>
      </c>
      <c r="J774" t="s">
        <v>111</v>
      </c>
      <c r="K774" t="str">
        <f>"85381"</f>
        <v>85381</v>
      </c>
      <c r="L774" t="s">
        <v>1300</v>
      </c>
      <c r="M774" t="s">
        <v>4933</v>
      </c>
      <c r="N774" t="s">
        <v>453</v>
      </c>
      <c r="O774" t="s">
        <v>111</v>
      </c>
      <c r="P774" t="str">
        <f>"85381-9577"</f>
        <v>85381-9577</v>
      </c>
      <c r="Q774" t="s">
        <v>113</v>
      </c>
      <c r="R774" t="str">
        <f>"200-83-566"</f>
        <v>200-83-566</v>
      </c>
      <c r="S774" t="s">
        <v>3358</v>
      </c>
      <c r="T774" t="s">
        <v>3358</v>
      </c>
      <c r="U774">
        <v>1847</v>
      </c>
      <c r="W774">
        <v>2</v>
      </c>
      <c r="X774">
        <v>2015</v>
      </c>
      <c r="Z774">
        <v>1</v>
      </c>
      <c r="AC774" t="s">
        <v>115</v>
      </c>
      <c r="AD774">
        <v>2</v>
      </c>
      <c r="AE774" t="s">
        <v>115</v>
      </c>
      <c r="AH774" t="s">
        <v>116</v>
      </c>
      <c r="AI774" s="1">
        <v>62946</v>
      </c>
      <c r="AJ774" s="2">
        <v>0.2</v>
      </c>
      <c r="AK774" s="1">
        <v>309971</v>
      </c>
      <c r="AL774" t="s">
        <v>117</v>
      </c>
      <c r="AM774" t="s">
        <v>118</v>
      </c>
      <c r="AN774">
        <v>6048</v>
      </c>
      <c r="AO774">
        <v>0.14000000000000001</v>
      </c>
      <c r="AR774">
        <v>1</v>
      </c>
      <c r="AS774" s="1">
        <v>22420</v>
      </c>
      <c r="AT774" s="1">
        <v>4480</v>
      </c>
      <c r="AU774" s="1">
        <v>17940</v>
      </c>
      <c r="AV774">
        <v>80.02</v>
      </c>
      <c r="AX774" s="1">
        <v>1745.98</v>
      </c>
      <c r="AY774" t="s">
        <v>3359</v>
      </c>
      <c r="AZ774" t="s">
        <v>3359</v>
      </c>
      <c r="BA774" t="s">
        <v>3360</v>
      </c>
      <c r="BE774" s="3">
        <v>42338</v>
      </c>
      <c r="BF774" s="1">
        <v>247025</v>
      </c>
      <c r="BG774" t="s">
        <v>3361</v>
      </c>
      <c r="BH774" s="1">
        <v>133.74</v>
      </c>
      <c r="BI774" s="1">
        <v>247025</v>
      </c>
      <c r="BJ774" s="3">
        <v>42338</v>
      </c>
      <c r="BK774" t="s">
        <v>123</v>
      </c>
      <c r="BL774" t="str">
        <f>"2015.848975"</f>
        <v>2015.848975</v>
      </c>
      <c r="BM774" t="s">
        <v>594</v>
      </c>
      <c r="BO774" t="s">
        <v>4934</v>
      </c>
      <c r="BS774">
        <v>30</v>
      </c>
      <c r="BW774" t="str">
        <f>""</f>
        <v/>
      </c>
      <c r="CH774" t="str">
        <f>""</f>
        <v/>
      </c>
      <c r="CS774" t="str">
        <f>""</f>
        <v/>
      </c>
    </row>
    <row r="775" spans="1:97" x14ac:dyDescent="0.25">
      <c r="A775" t="s">
        <v>4935</v>
      </c>
      <c r="B775" t="s">
        <v>1089</v>
      </c>
      <c r="E775" t="s">
        <v>4936</v>
      </c>
      <c r="F775" t="s">
        <v>108</v>
      </c>
      <c r="H775" t="s">
        <v>4937</v>
      </c>
      <c r="I775" t="s">
        <v>453</v>
      </c>
      <c r="J775" t="s">
        <v>111</v>
      </c>
      <c r="K775" t="str">
        <f>"85383"</f>
        <v>85383</v>
      </c>
      <c r="L775" t="s">
        <v>3225</v>
      </c>
      <c r="M775" t="s">
        <v>4937</v>
      </c>
      <c r="N775" t="s">
        <v>453</v>
      </c>
      <c r="O775" t="s">
        <v>111</v>
      </c>
      <c r="P775" t="str">
        <f>"85383-5777"</f>
        <v>85383-5777</v>
      </c>
      <c r="Q775" t="s">
        <v>113</v>
      </c>
      <c r="R775" t="str">
        <f>"201-19-510"</f>
        <v>201-19-510</v>
      </c>
      <c r="S775" t="s">
        <v>3226</v>
      </c>
      <c r="T775" t="s">
        <v>3227</v>
      </c>
      <c r="U775">
        <v>2933</v>
      </c>
      <c r="W775">
        <v>6</v>
      </c>
      <c r="X775">
        <v>2015</v>
      </c>
      <c r="Z775">
        <v>2</v>
      </c>
      <c r="AC775" t="s">
        <v>115</v>
      </c>
      <c r="AD775">
        <v>2</v>
      </c>
      <c r="AE775" t="s">
        <v>115</v>
      </c>
      <c r="AH775" t="s">
        <v>116</v>
      </c>
      <c r="AI775" s="1">
        <v>74966</v>
      </c>
      <c r="AJ775" s="2">
        <v>0.18</v>
      </c>
      <c r="AK775" s="1">
        <v>420576</v>
      </c>
      <c r="AL775" t="s">
        <v>117</v>
      </c>
      <c r="AM775" t="s">
        <v>118</v>
      </c>
      <c r="AN775">
        <v>6750</v>
      </c>
      <c r="AO775">
        <v>0.16</v>
      </c>
      <c r="AR775">
        <v>1</v>
      </c>
      <c r="AS775" s="1">
        <v>30780</v>
      </c>
      <c r="AT775" s="1">
        <v>6150</v>
      </c>
      <c r="AU775" s="1">
        <v>24630</v>
      </c>
      <c r="AV775">
        <v>80.02</v>
      </c>
      <c r="AX775" s="1">
        <v>2841.12</v>
      </c>
      <c r="AY775" t="s">
        <v>3228</v>
      </c>
      <c r="AZ775" t="s">
        <v>3228</v>
      </c>
      <c r="BA775" t="s">
        <v>457</v>
      </c>
      <c r="BE775" s="3">
        <v>42528</v>
      </c>
      <c r="BF775" s="1">
        <v>326990</v>
      </c>
      <c r="BG775" t="s">
        <v>446</v>
      </c>
      <c r="BH775" s="1">
        <v>111.49</v>
      </c>
      <c r="BI775" s="1">
        <v>345610</v>
      </c>
      <c r="BJ775" s="3">
        <v>43360</v>
      </c>
      <c r="BK775" t="s">
        <v>123</v>
      </c>
      <c r="BL775" t="str">
        <f>"2018.696873"</f>
        <v>2018.696873</v>
      </c>
      <c r="BM775" t="s">
        <v>2926</v>
      </c>
      <c r="BN775" t="s">
        <v>545</v>
      </c>
      <c r="BO775" t="s">
        <v>4938</v>
      </c>
      <c r="BR775" t="s">
        <v>139</v>
      </c>
      <c r="BW775" t="str">
        <f>""</f>
        <v/>
      </c>
      <c r="CH775" t="str">
        <f>""</f>
        <v/>
      </c>
      <c r="CS775" t="str">
        <f>""</f>
        <v/>
      </c>
    </row>
    <row r="776" spans="1:97" x14ac:dyDescent="0.25">
      <c r="A776" t="s">
        <v>305</v>
      </c>
      <c r="B776" t="s">
        <v>1365</v>
      </c>
      <c r="E776" t="s">
        <v>4939</v>
      </c>
      <c r="F776" t="s">
        <v>108</v>
      </c>
      <c r="H776" t="s">
        <v>4940</v>
      </c>
      <c r="I776" t="s">
        <v>203</v>
      </c>
      <c r="J776" t="s">
        <v>111</v>
      </c>
      <c r="K776" t="str">
        <f>"85298"</f>
        <v>85298</v>
      </c>
      <c r="L776" t="s">
        <v>1130</v>
      </c>
      <c r="M776" t="s">
        <v>4940</v>
      </c>
      <c r="N776" t="s">
        <v>203</v>
      </c>
      <c r="O776" t="s">
        <v>111</v>
      </c>
      <c r="P776" t="str">
        <f>"85298"</f>
        <v>85298</v>
      </c>
      <c r="Q776" t="s">
        <v>113</v>
      </c>
      <c r="R776" t="str">
        <f>"313-18-746"</f>
        <v>313-18-746</v>
      </c>
      <c r="S776" t="s">
        <v>3128</v>
      </c>
      <c r="T776" t="s">
        <v>1132</v>
      </c>
      <c r="U776">
        <v>1893</v>
      </c>
      <c r="W776">
        <v>3</v>
      </c>
      <c r="X776">
        <v>2015</v>
      </c>
      <c r="Z776">
        <v>1</v>
      </c>
      <c r="AC776" t="s">
        <v>115</v>
      </c>
      <c r="AD776">
        <v>2</v>
      </c>
      <c r="AE776" t="s">
        <v>115</v>
      </c>
      <c r="AH776" t="s">
        <v>116</v>
      </c>
      <c r="AI776" s="1">
        <v>68424</v>
      </c>
      <c r="AJ776" s="2">
        <v>0.18</v>
      </c>
      <c r="AK776" s="1">
        <v>375446</v>
      </c>
      <c r="AL776" t="s">
        <v>117</v>
      </c>
      <c r="AM776" t="s">
        <v>191</v>
      </c>
      <c r="AN776">
        <v>6325</v>
      </c>
      <c r="AO776">
        <v>0.14000000000000001</v>
      </c>
      <c r="AR776">
        <v>1</v>
      </c>
      <c r="AS776" s="1">
        <v>26820</v>
      </c>
      <c r="AT776" s="1">
        <v>5360</v>
      </c>
      <c r="AU776" s="1">
        <v>21460</v>
      </c>
      <c r="AV776">
        <v>80.010000000000005</v>
      </c>
      <c r="AX776" s="1">
        <v>2422.7600000000002</v>
      </c>
      <c r="AY776" t="s">
        <v>1133</v>
      </c>
      <c r="AZ776" t="s">
        <v>1134</v>
      </c>
      <c r="BA776" t="s">
        <v>1134</v>
      </c>
      <c r="BE776" s="3">
        <v>42110</v>
      </c>
      <c r="BF776" s="1">
        <v>297214</v>
      </c>
      <c r="BG776" t="s">
        <v>292</v>
      </c>
      <c r="BH776" s="1">
        <v>157.01</v>
      </c>
      <c r="BI776" s="1">
        <v>307022</v>
      </c>
      <c r="BJ776" s="3">
        <v>42110</v>
      </c>
      <c r="BK776" t="s">
        <v>123</v>
      </c>
      <c r="BL776" t="str">
        <f>"2015.260766"</f>
        <v>2015.260766</v>
      </c>
      <c r="BM776" t="s">
        <v>1831</v>
      </c>
      <c r="BO776" t="s">
        <v>4941</v>
      </c>
      <c r="BS776">
        <v>30</v>
      </c>
      <c r="BW776" t="str">
        <f>""</f>
        <v/>
      </c>
      <c r="CH776" t="str">
        <f>""</f>
        <v/>
      </c>
      <c r="CS776" t="str">
        <f>""</f>
        <v/>
      </c>
    </row>
    <row r="777" spans="1:97" x14ac:dyDescent="0.25">
      <c r="A777" t="s">
        <v>1938</v>
      </c>
      <c r="B777" t="s">
        <v>1607</v>
      </c>
      <c r="C777" t="s">
        <v>2281</v>
      </c>
      <c r="D777" t="s">
        <v>1607</v>
      </c>
      <c r="E777" t="s">
        <v>4942</v>
      </c>
      <c r="F777" t="s">
        <v>108</v>
      </c>
      <c r="H777" t="s">
        <v>4943</v>
      </c>
      <c r="I777" t="s">
        <v>225</v>
      </c>
      <c r="J777" t="s">
        <v>111</v>
      </c>
      <c r="K777" t="str">
        <f>"85212"</f>
        <v>85212</v>
      </c>
      <c r="L777" t="s">
        <v>3285</v>
      </c>
      <c r="M777" t="s">
        <v>4943</v>
      </c>
      <c r="N777" t="s">
        <v>225</v>
      </c>
      <c r="O777" t="s">
        <v>111</v>
      </c>
      <c r="P777" t="str">
        <f>"85212-9407"</f>
        <v>85212-9407</v>
      </c>
      <c r="Q777" t="s">
        <v>113</v>
      </c>
      <c r="R777" t="str">
        <f>"304-94-119"</f>
        <v>304-94-119</v>
      </c>
      <c r="S777" t="s">
        <v>3286</v>
      </c>
      <c r="U777">
        <v>2845</v>
      </c>
      <c r="W777">
        <v>4</v>
      </c>
      <c r="X777">
        <v>2016</v>
      </c>
      <c r="Z777">
        <v>1</v>
      </c>
      <c r="AC777" t="s">
        <v>115</v>
      </c>
      <c r="AD777">
        <v>3</v>
      </c>
      <c r="AE777" t="s">
        <v>115</v>
      </c>
      <c r="AH777" t="s">
        <v>116</v>
      </c>
      <c r="AI777" s="1">
        <v>-2246</v>
      </c>
      <c r="AJ777" s="2">
        <v>-0.01</v>
      </c>
      <c r="AK777" s="1">
        <v>434450</v>
      </c>
      <c r="AL777" t="s">
        <v>117</v>
      </c>
      <c r="AM777" t="s">
        <v>118</v>
      </c>
      <c r="AN777">
        <v>8100</v>
      </c>
      <c r="AO777">
        <v>0.19</v>
      </c>
      <c r="AR777">
        <v>1</v>
      </c>
      <c r="AS777" s="1">
        <v>31520</v>
      </c>
      <c r="AT777" s="1">
        <v>6300</v>
      </c>
      <c r="AU777" s="1">
        <v>25220</v>
      </c>
      <c r="AV777">
        <v>80.010000000000005</v>
      </c>
      <c r="AX777" s="1">
        <v>3779.08</v>
      </c>
      <c r="AY777" t="s">
        <v>560</v>
      </c>
      <c r="AZ777" t="s">
        <v>561</v>
      </c>
      <c r="BA777" t="s">
        <v>194</v>
      </c>
      <c r="BE777" s="3">
        <v>42549</v>
      </c>
      <c r="BF777" s="1">
        <v>384508</v>
      </c>
      <c r="BG777" t="s">
        <v>645</v>
      </c>
      <c r="BH777" s="1">
        <v>135.15</v>
      </c>
      <c r="BI777" s="1">
        <v>397196</v>
      </c>
      <c r="BJ777" s="3">
        <v>42549</v>
      </c>
      <c r="BK777" t="s">
        <v>123</v>
      </c>
      <c r="BL777" t="str">
        <f>"2016.452200"</f>
        <v>2016.452200</v>
      </c>
      <c r="BM777" t="s">
        <v>594</v>
      </c>
      <c r="BO777" t="s">
        <v>4944</v>
      </c>
      <c r="BS777">
        <v>30</v>
      </c>
      <c r="BT777" s="1">
        <v>39500</v>
      </c>
      <c r="BU777" s="3">
        <v>43038</v>
      </c>
      <c r="BV777" t="s">
        <v>134</v>
      </c>
      <c r="BW777" t="str">
        <f>"2017.801185"</f>
        <v>2017.801185</v>
      </c>
      <c r="BX777" t="s">
        <v>4945</v>
      </c>
      <c r="BZ777" t="s">
        <v>4946</v>
      </c>
      <c r="CA777" t="s">
        <v>4947</v>
      </c>
      <c r="CD777">
        <v>10</v>
      </c>
      <c r="CH777" t="str">
        <f>""</f>
        <v/>
      </c>
      <c r="CS777" t="str">
        <f>""</f>
        <v/>
      </c>
    </row>
    <row r="778" spans="1:97" x14ac:dyDescent="0.25">
      <c r="A778" t="s">
        <v>1938</v>
      </c>
      <c r="B778" t="s">
        <v>4948</v>
      </c>
      <c r="C778" t="s">
        <v>4949</v>
      </c>
      <c r="D778" t="s">
        <v>4948</v>
      </c>
      <c r="E778" t="s">
        <v>4950</v>
      </c>
      <c r="F778" t="s">
        <v>108</v>
      </c>
      <c r="H778" t="s">
        <v>4951</v>
      </c>
      <c r="I778" t="s">
        <v>203</v>
      </c>
      <c r="J778" t="s">
        <v>111</v>
      </c>
      <c r="K778" t="str">
        <f>"85298"</f>
        <v>85298</v>
      </c>
      <c r="L778" t="s">
        <v>734</v>
      </c>
      <c r="M778" t="s">
        <v>4951</v>
      </c>
      <c r="N778" t="s">
        <v>203</v>
      </c>
      <c r="O778" t="s">
        <v>111</v>
      </c>
      <c r="P778" t="str">
        <f>"85298"</f>
        <v>85298</v>
      </c>
      <c r="Q778" t="s">
        <v>113</v>
      </c>
      <c r="R778" t="str">
        <f>"313-18-400"</f>
        <v>313-18-400</v>
      </c>
      <c r="S778" t="s">
        <v>4479</v>
      </c>
      <c r="U778">
        <v>3172</v>
      </c>
      <c r="W778">
        <v>5</v>
      </c>
      <c r="X778">
        <v>2015</v>
      </c>
      <c r="Z778">
        <v>1</v>
      </c>
      <c r="AC778" t="s">
        <v>115</v>
      </c>
      <c r="AD778">
        <v>3</v>
      </c>
      <c r="AE778" t="s">
        <v>115</v>
      </c>
      <c r="AH778" t="s">
        <v>116</v>
      </c>
      <c r="AI778" s="1">
        <v>50503</v>
      </c>
      <c r="AJ778" s="2">
        <v>0.09</v>
      </c>
      <c r="AK778" s="1">
        <v>562132</v>
      </c>
      <c r="AL778" t="s">
        <v>117</v>
      </c>
      <c r="AM778" t="s">
        <v>1302</v>
      </c>
      <c r="AN778">
        <v>12490</v>
      </c>
      <c r="AO778">
        <v>0.28999999999999998</v>
      </c>
      <c r="AR778">
        <v>1</v>
      </c>
      <c r="AS778" s="1">
        <v>43320</v>
      </c>
      <c r="AT778" s="1">
        <v>8660</v>
      </c>
      <c r="AU778" s="1">
        <v>34660</v>
      </c>
      <c r="AV778">
        <v>80.010000000000005</v>
      </c>
      <c r="AX778" s="1">
        <v>3181.44</v>
      </c>
      <c r="AY778" t="s">
        <v>737</v>
      </c>
      <c r="AZ778" t="s">
        <v>273</v>
      </c>
      <c r="BA778" t="s">
        <v>303</v>
      </c>
      <c r="BE778" s="3">
        <v>42326</v>
      </c>
      <c r="BF778" s="1">
        <v>533090</v>
      </c>
      <c r="BG778" t="s">
        <v>195</v>
      </c>
      <c r="BH778" s="1">
        <v>168.06</v>
      </c>
      <c r="BI778" s="1">
        <v>511629</v>
      </c>
      <c r="BJ778" s="3">
        <v>42326</v>
      </c>
      <c r="BK778" t="s">
        <v>123</v>
      </c>
      <c r="BL778" t="str">
        <f>"2015.825845"</f>
        <v>2015.825845</v>
      </c>
      <c r="BM778" t="s">
        <v>196</v>
      </c>
      <c r="BO778" t="s">
        <v>4952</v>
      </c>
      <c r="BS778">
        <v>30</v>
      </c>
      <c r="BW778" t="str">
        <f>""</f>
        <v/>
      </c>
      <c r="CH778" t="str">
        <f>""</f>
        <v/>
      </c>
      <c r="CS778" t="str">
        <f>""</f>
        <v/>
      </c>
    </row>
    <row r="779" spans="1:97" x14ac:dyDescent="0.25">
      <c r="A779" t="s">
        <v>177</v>
      </c>
      <c r="B779" t="s">
        <v>1089</v>
      </c>
      <c r="C779" t="s">
        <v>259</v>
      </c>
      <c r="D779" t="s">
        <v>1089</v>
      </c>
      <c r="E779" t="s">
        <v>4953</v>
      </c>
      <c r="F779" t="s">
        <v>108</v>
      </c>
      <c r="H779" t="s">
        <v>4954</v>
      </c>
      <c r="I779" t="s">
        <v>225</v>
      </c>
      <c r="J779" t="s">
        <v>111</v>
      </c>
      <c r="K779" t="str">
        <f>"85212"</f>
        <v>85212</v>
      </c>
      <c r="L779" t="s">
        <v>3285</v>
      </c>
      <c r="M779" t="s">
        <v>4954</v>
      </c>
      <c r="N779" t="s">
        <v>225</v>
      </c>
      <c r="O779" t="s">
        <v>111</v>
      </c>
      <c r="P779" t="str">
        <f>"85212-9520"</f>
        <v>85212-9520</v>
      </c>
      <c r="Q779" t="s">
        <v>113</v>
      </c>
      <c r="R779" t="str">
        <f>"304-32-077"</f>
        <v>304-32-077</v>
      </c>
      <c r="S779" t="s">
        <v>4955</v>
      </c>
      <c r="U779">
        <v>2284</v>
      </c>
      <c r="W779">
        <v>4</v>
      </c>
      <c r="X779">
        <v>2016</v>
      </c>
      <c r="Z779">
        <v>1</v>
      </c>
      <c r="AC779" t="s">
        <v>115</v>
      </c>
      <c r="AD779">
        <v>2</v>
      </c>
      <c r="AE779" t="s">
        <v>115</v>
      </c>
      <c r="AH779" t="s">
        <v>116</v>
      </c>
      <c r="AI779" s="1">
        <v>100581</v>
      </c>
      <c r="AJ779" s="2">
        <v>0.27</v>
      </c>
      <c r="AK779" s="1">
        <v>379167</v>
      </c>
      <c r="AL779" t="s">
        <v>117</v>
      </c>
      <c r="AM779" t="s">
        <v>118</v>
      </c>
      <c r="AN779">
        <v>6000</v>
      </c>
      <c r="AO779">
        <v>0.14000000000000001</v>
      </c>
      <c r="AR779">
        <v>1</v>
      </c>
      <c r="AS779" s="1">
        <v>26830</v>
      </c>
      <c r="AT779" s="1">
        <v>5360</v>
      </c>
      <c r="AU779" s="1">
        <v>21470</v>
      </c>
      <c r="AV779">
        <v>80.02</v>
      </c>
      <c r="AX779" s="1">
        <v>3149.46</v>
      </c>
      <c r="AY779" t="s">
        <v>560</v>
      </c>
      <c r="AZ779" t="s">
        <v>561</v>
      </c>
      <c r="BA779" t="s">
        <v>194</v>
      </c>
      <c r="BE779" s="3">
        <v>42438</v>
      </c>
      <c r="BF779" s="1">
        <v>268790</v>
      </c>
      <c r="BG779" t="s">
        <v>1079</v>
      </c>
      <c r="BH779" s="1">
        <v>117.68</v>
      </c>
      <c r="BI779" s="1">
        <v>278586</v>
      </c>
      <c r="BJ779" s="3">
        <v>42898</v>
      </c>
      <c r="BK779" t="s">
        <v>123</v>
      </c>
      <c r="BL779" t="str">
        <f>"2017.426203"</f>
        <v>2017.426203</v>
      </c>
      <c r="BM779" t="s">
        <v>807</v>
      </c>
      <c r="BO779" t="s">
        <v>4956</v>
      </c>
      <c r="BP779" t="s">
        <v>4957</v>
      </c>
      <c r="BS779">
        <v>30</v>
      </c>
      <c r="BW779" t="str">
        <f>""</f>
        <v/>
      </c>
      <c r="CH779" t="str">
        <f>""</f>
        <v/>
      </c>
      <c r="CS779" t="str">
        <f>""</f>
        <v/>
      </c>
    </row>
    <row r="780" spans="1:97" x14ac:dyDescent="0.25">
      <c r="A780" t="s">
        <v>668</v>
      </c>
      <c r="B780" t="s">
        <v>4958</v>
      </c>
      <c r="C780" t="s">
        <v>4959</v>
      </c>
      <c r="D780" t="s">
        <v>4960</v>
      </c>
      <c r="E780" t="s">
        <v>4961</v>
      </c>
      <c r="F780" t="s">
        <v>108</v>
      </c>
      <c r="H780" t="s">
        <v>4962</v>
      </c>
      <c r="I780" t="s">
        <v>453</v>
      </c>
      <c r="J780" t="s">
        <v>111</v>
      </c>
      <c r="K780" t="str">
        <f>"85383"</f>
        <v>85383</v>
      </c>
      <c r="L780" t="s">
        <v>625</v>
      </c>
      <c r="M780" t="s">
        <v>4962</v>
      </c>
      <c r="N780" t="s">
        <v>453</v>
      </c>
      <c r="O780" t="s">
        <v>111</v>
      </c>
      <c r="P780" t="str">
        <f>"85383-8917"</f>
        <v>85383-8917</v>
      </c>
      <c r="Q780" t="s">
        <v>113</v>
      </c>
      <c r="R780" t="str">
        <f>"201-17-868"</f>
        <v>201-17-868</v>
      </c>
      <c r="S780" t="s">
        <v>4664</v>
      </c>
      <c r="U780">
        <v>1965</v>
      </c>
      <c r="W780">
        <v>4</v>
      </c>
      <c r="X780">
        <v>2016</v>
      </c>
      <c r="Z780">
        <v>1</v>
      </c>
      <c r="AC780" t="s">
        <v>115</v>
      </c>
      <c r="AD780">
        <v>3</v>
      </c>
      <c r="AE780" t="s">
        <v>115</v>
      </c>
      <c r="AH780" t="s">
        <v>116</v>
      </c>
      <c r="AI780" s="1">
        <v>83252</v>
      </c>
      <c r="AJ780" s="2">
        <v>0.22</v>
      </c>
      <c r="AK780" s="1">
        <v>370074</v>
      </c>
      <c r="AL780" t="s">
        <v>117</v>
      </c>
      <c r="AM780" t="s">
        <v>118</v>
      </c>
      <c r="AN780">
        <v>5750</v>
      </c>
      <c r="AO780">
        <v>0.13</v>
      </c>
      <c r="AR780">
        <v>1</v>
      </c>
      <c r="AS780" s="1">
        <v>26170</v>
      </c>
      <c r="AT780" s="1">
        <v>5230</v>
      </c>
      <c r="AU780" s="1">
        <v>20940</v>
      </c>
      <c r="AV780">
        <v>80.02</v>
      </c>
      <c r="AX780" s="1">
        <v>2243.88</v>
      </c>
      <c r="AY780" t="s">
        <v>627</v>
      </c>
      <c r="AZ780" t="s">
        <v>627</v>
      </c>
      <c r="BA780" t="s">
        <v>457</v>
      </c>
      <c r="BE780" s="3">
        <v>42452</v>
      </c>
      <c r="BF780" s="1">
        <v>273301</v>
      </c>
      <c r="BG780" t="s">
        <v>275</v>
      </c>
      <c r="BH780" s="1">
        <v>139.08000000000001</v>
      </c>
      <c r="BI780" s="1">
        <v>286822</v>
      </c>
      <c r="BJ780" s="3">
        <v>42566</v>
      </c>
      <c r="BK780" t="s">
        <v>123</v>
      </c>
      <c r="BL780" t="str">
        <f>"2016.499945"</f>
        <v>2016.499945</v>
      </c>
      <c r="BM780" t="s">
        <v>1695</v>
      </c>
      <c r="BO780" t="s">
        <v>4963</v>
      </c>
      <c r="BP780" t="s">
        <v>4964</v>
      </c>
      <c r="BS780">
        <v>30</v>
      </c>
      <c r="BW780" t="str">
        <f>""</f>
        <v/>
      </c>
      <c r="CH780" t="str">
        <f>""</f>
        <v/>
      </c>
      <c r="CS780" t="str">
        <f>""</f>
        <v/>
      </c>
    </row>
    <row r="781" spans="1:97" x14ac:dyDescent="0.25">
      <c r="A781" t="s">
        <v>4864</v>
      </c>
      <c r="B781" t="s">
        <v>4965</v>
      </c>
      <c r="C781" t="s">
        <v>4966</v>
      </c>
      <c r="D781" t="s">
        <v>4965</v>
      </c>
      <c r="E781" t="s">
        <v>4967</v>
      </c>
      <c r="F781" t="s">
        <v>108</v>
      </c>
      <c r="H781" t="s">
        <v>4968</v>
      </c>
      <c r="I781" t="s">
        <v>3150</v>
      </c>
      <c r="J781" t="s">
        <v>111</v>
      </c>
      <c r="K781" t="str">
        <f>"85340"</f>
        <v>85340</v>
      </c>
      <c r="L781" t="s">
        <v>3151</v>
      </c>
      <c r="M781" t="s">
        <v>4968</v>
      </c>
      <c r="N781" t="s">
        <v>3150</v>
      </c>
      <c r="O781" t="s">
        <v>111</v>
      </c>
      <c r="P781" t="str">
        <f>"85340-2828"</f>
        <v>85340-2828</v>
      </c>
      <c r="R781" t="str">
        <f>"501-73-728"</f>
        <v>501-73-728</v>
      </c>
      <c r="S781" t="s">
        <v>3152</v>
      </c>
      <c r="U781">
        <v>2831</v>
      </c>
      <c r="W781">
        <v>5</v>
      </c>
      <c r="X781">
        <v>2015</v>
      </c>
      <c r="Z781">
        <v>1</v>
      </c>
      <c r="AC781" t="s">
        <v>115</v>
      </c>
      <c r="AD781">
        <v>2</v>
      </c>
      <c r="AE781" t="s">
        <v>115</v>
      </c>
      <c r="AH781" t="s">
        <v>116</v>
      </c>
      <c r="AI781" s="1">
        <v>120419</v>
      </c>
      <c r="AJ781" s="2">
        <v>0.27</v>
      </c>
      <c r="AK781" s="1">
        <v>450667</v>
      </c>
      <c r="AL781" t="s">
        <v>117</v>
      </c>
      <c r="AM781" t="s">
        <v>118</v>
      </c>
      <c r="AN781">
        <v>7711</v>
      </c>
      <c r="AO781">
        <v>0.18</v>
      </c>
      <c r="AR781">
        <v>1</v>
      </c>
      <c r="AS781" s="1">
        <v>30650</v>
      </c>
      <c r="AT781" s="1">
        <v>6130</v>
      </c>
      <c r="AU781" s="1">
        <v>24520</v>
      </c>
      <c r="AV781">
        <v>80</v>
      </c>
      <c r="AX781" s="1">
        <v>2888.88</v>
      </c>
      <c r="AY781" t="s">
        <v>3019</v>
      </c>
      <c r="AZ781" t="s">
        <v>3153</v>
      </c>
      <c r="BA781" t="s">
        <v>3154</v>
      </c>
      <c r="BE781" s="3">
        <v>42537</v>
      </c>
      <c r="BF781" s="1">
        <v>332593</v>
      </c>
      <c r="BG781" t="s">
        <v>636</v>
      </c>
      <c r="BH781" s="1">
        <v>117.48</v>
      </c>
      <c r="BI781" s="1">
        <v>330248</v>
      </c>
      <c r="BJ781" s="3">
        <v>43019</v>
      </c>
      <c r="BK781" t="s">
        <v>123</v>
      </c>
      <c r="BL781" t="str">
        <f>"2017.751895"</f>
        <v>2017.751895</v>
      </c>
      <c r="BM781" t="s">
        <v>340</v>
      </c>
      <c r="BN781">
        <v>8054</v>
      </c>
      <c r="BO781" t="s">
        <v>4969</v>
      </c>
      <c r="BS781">
        <v>29</v>
      </c>
      <c r="BW781" t="str">
        <f>""</f>
        <v/>
      </c>
      <c r="CH781" t="str">
        <f>""</f>
        <v/>
      </c>
      <c r="CS781" t="str">
        <f>""</f>
        <v/>
      </c>
    </row>
    <row r="782" spans="1:97" x14ac:dyDescent="0.25">
      <c r="A782" t="s">
        <v>4854</v>
      </c>
      <c r="B782" t="s">
        <v>4970</v>
      </c>
      <c r="C782" t="s">
        <v>4971</v>
      </c>
      <c r="D782" t="s">
        <v>4970</v>
      </c>
      <c r="E782" t="s">
        <v>4972</v>
      </c>
      <c r="F782" t="s">
        <v>108</v>
      </c>
      <c r="H782" t="s">
        <v>4973</v>
      </c>
      <c r="I782" t="s">
        <v>225</v>
      </c>
      <c r="J782" t="s">
        <v>111</v>
      </c>
      <c r="K782" t="str">
        <f>"85212"</f>
        <v>85212</v>
      </c>
      <c r="L782" t="s">
        <v>3285</v>
      </c>
      <c r="M782" t="s">
        <v>4973</v>
      </c>
      <c r="N782" t="s">
        <v>225</v>
      </c>
      <c r="O782" t="s">
        <v>111</v>
      </c>
      <c r="P782" t="str">
        <f>"85212-9425"</f>
        <v>85212-9425</v>
      </c>
      <c r="Q782" t="s">
        <v>113</v>
      </c>
      <c r="R782" t="str">
        <f>"304-94-239"</f>
        <v>304-94-239</v>
      </c>
      <c r="S782" t="s">
        <v>3286</v>
      </c>
      <c r="U782">
        <v>2178</v>
      </c>
      <c r="W782">
        <v>4</v>
      </c>
      <c r="X782">
        <v>2016</v>
      </c>
      <c r="Z782">
        <v>1</v>
      </c>
      <c r="AC782" t="s">
        <v>115</v>
      </c>
      <c r="AD782">
        <v>2</v>
      </c>
      <c r="AE782" t="s">
        <v>115</v>
      </c>
      <c r="AH782" t="s">
        <v>116</v>
      </c>
      <c r="AI782" s="1">
        <v>-45948</v>
      </c>
      <c r="AJ782" s="2">
        <v>-0.13</v>
      </c>
      <c r="AK782" s="1">
        <v>366590</v>
      </c>
      <c r="AL782" t="s">
        <v>117</v>
      </c>
      <c r="AM782" t="s">
        <v>118</v>
      </c>
      <c r="AN782">
        <v>6000</v>
      </c>
      <c r="AO782">
        <v>0.14000000000000001</v>
      </c>
      <c r="AR782">
        <v>1</v>
      </c>
      <c r="AS782" s="1">
        <v>25900</v>
      </c>
      <c r="AT782" s="1">
        <v>5180</v>
      </c>
      <c r="AU782" s="1">
        <v>20720</v>
      </c>
      <c r="AV782">
        <v>80</v>
      </c>
      <c r="AX782" s="1">
        <v>3104.3</v>
      </c>
      <c r="AY782" t="s">
        <v>560</v>
      </c>
      <c r="AZ782" t="s">
        <v>561</v>
      </c>
      <c r="BA782" t="s">
        <v>194</v>
      </c>
      <c r="BE782" s="3">
        <v>42404</v>
      </c>
      <c r="BF782" s="1">
        <v>263460</v>
      </c>
      <c r="BG782" t="s">
        <v>2797</v>
      </c>
      <c r="BH782" s="1">
        <v>120.96</v>
      </c>
      <c r="BI782" s="1">
        <v>206269</v>
      </c>
      <c r="BJ782" s="3">
        <v>42716</v>
      </c>
      <c r="BK782" t="s">
        <v>123</v>
      </c>
      <c r="BL782" t="str">
        <f>"2016.912437"</f>
        <v>2016.912437</v>
      </c>
      <c r="BM782" t="s">
        <v>135</v>
      </c>
      <c r="BO782" t="s">
        <v>4974</v>
      </c>
      <c r="BS782">
        <v>15</v>
      </c>
      <c r="BT782" s="1">
        <v>206269</v>
      </c>
      <c r="BU782" s="3">
        <v>42970</v>
      </c>
      <c r="BV782" t="s">
        <v>123</v>
      </c>
      <c r="BW782" t="str">
        <f>"2017.622660"</f>
        <v>2017.622660</v>
      </c>
      <c r="BX782" t="s">
        <v>135</v>
      </c>
      <c r="BZ782" t="s">
        <v>4975</v>
      </c>
      <c r="CD782">
        <v>15</v>
      </c>
      <c r="CH782" t="str">
        <f>""</f>
        <v/>
      </c>
      <c r="CS782" t="str">
        <f>""</f>
        <v/>
      </c>
    </row>
    <row r="783" spans="1:97" x14ac:dyDescent="0.25">
      <c r="A783" t="s">
        <v>1455</v>
      </c>
      <c r="B783" t="s">
        <v>4976</v>
      </c>
      <c r="C783" t="s">
        <v>4977</v>
      </c>
      <c r="D783" t="s">
        <v>4976</v>
      </c>
      <c r="E783" t="s">
        <v>4978</v>
      </c>
      <c r="F783" t="s">
        <v>108</v>
      </c>
      <c r="H783" t="s">
        <v>4979</v>
      </c>
      <c r="I783" t="s">
        <v>203</v>
      </c>
      <c r="J783" t="s">
        <v>111</v>
      </c>
      <c r="K783" t="str">
        <f>"85298"</f>
        <v>85298</v>
      </c>
      <c r="L783" t="s">
        <v>721</v>
      </c>
      <c r="M783" t="s">
        <v>4979</v>
      </c>
      <c r="N783" t="s">
        <v>203</v>
      </c>
      <c r="O783" t="s">
        <v>111</v>
      </c>
      <c r="P783" t="str">
        <f>"85298-1004"</f>
        <v>85298-1004</v>
      </c>
      <c r="Q783" t="s">
        <v>113</v>
      </c>
      <c r="R783" t="str">
        <f>"304-88-839"</f>
        <v>304-88-839</v>
      </c>
      <c r="S783" t="s">
        <v>3381</v>
      </c>
      <c r="T783" t="s">
        <v>3381</v>
      </c>
      <c r="U783">
        <v>3532</v>
      </c>
      <c r="W783">
        <v>5</v>
      </c>
      <c r="X783">
        <v>2016</v>
      </c>
      <c r="Z783">
        <v>1</v>
      </c>
      <c r="AC783" t="s">
        <v>115</v>
      </c>
      <c r="AD783">
        <v>3</v>
      </c>
      <c r="AE783" t="s">
        <v>115</v>
      </c>
      <c r="AH783" t="s">
        <v>116</v>
      </c>
      <c r="AI783" s="1">
        <v>122073</v>
      </c>
      <c r="AJ783" s="2">
        <v>0.23</v>
      </c>
      <c r="AK783" s="1">
        <v>539073</v>
      </c>
      <c r="AL783" t="s">
        <v>117</v>
      </c>
      <c r="AM783" t="s">
        <v>1302</v>
      </c>
      <c r="AN783">
        <v>13170</v>
      </c>
      <c r="AO783">
        <v>0.3</v>
      </c>
      <c r="AR783">
        <v>1</v>
      </c>
      <c r="AS783" s="1">
        <v>42170</v>
      </c>
      <c r="AT783" s="1">
        <v>8430</v>
      </c>
      <c r="AU783" s="1">
        <v>33740</v>
      </c>
      <c r="AV783">
        <v>80.010000000000005</v>
      </c>
      <c r="AX783" s="1">
        <v>3074.6</v>
      </c>
      <c r="AY783" t="s">
        <v>272</v>
      </c>
      <c r="AZ783" t="s">
        <v>273</v>
      </c>
      <c r="BA783" t="s">
        <v>274</v>
      </c>
      <c r="BE783" s="3">
        <v>42466</v>
      </c>
      <c r="BF783" s="1">
        <v>429381</v>
      </c>
      <c r="BG783" t="s">
        <v>275</v>
      </c>
      <c r="BH783" s="1">
        <v>121.57</v>
      </c>
      <c r="BI783" s="1">
        <v>417000</v>
      </c>
      <c r="BJ783" s="3">
        <v>42466</v>
      </c>
      <c r="BK783" t="s">
        <v>123</v>
      </c>
      <c r="BL783" t="str">
        <f>"2016.228191"</f>
        <v>2016.228191</v>
      </c>
      <c r="BM783" t="s">
        <v>1033</v>
      </c>
      <c r="BO783" t="s">
        <v>4980</v>
      </c>
      <c r="BS783">
        <v>30</v>
      </c>
      <c r="BW783" t="str">
        <f>""</f>
        <v/>
      </c>
      <c r="CH783" t="str">
        <f>""</f>
        <v/>
      </c>
      <c r="CS783" t="str">
        <f>""</f>
        <v/>
      </c>
    </row>
    <row r="784" spans="1:97" x14ac:dyDescent="0.25">
      <c r="A784" t="s">
        <v>996</v>
      </c>
      <c r="B784" t="s">
        <v>4981</v>
      </c>
      <c r="C784" t="s">
        <v>4982</v>
      </c>
      <c r="D784" t="s">
        <v>4981</v>
      </c>
      <c r="E784" t="s">
        <v>4983</v>
      </c>
      <c r="F784" t="s">
        <v>108</v>
      </c>
      <c r="H784" t="s">
        <v>4984</v>
      </c>
      <c r="I784" t="s">
        <v>390</v>
      </c>
      <c r="J784" t="s">
        <v>111</v>
      </c>
      <c r="K784" t="str">
        <f>"85085"</f>
        <v>85085</v>
      </c>
      <c r="L784" t="s">
        <v>145</v>
      </c>
      <c r="M784" t="s">
        <v>4984</v>
      </c>
      <c r="N784" t="s">
        <v>390</v>
      </c>
      <c r="O784" t="s">
        <v>111</v>
      </c>
      <c r="P784" t="str">
        <f>"85085-8903"</f>
        <v>85085-8903</v>
      </c>
      <c r="Q784" t="s">
        <v>113</v>
      </c>
      <c r="R784" t="str">
        <f>"204-02-185"</f>
        <v>204-02-185</v>
      </c>
      <c r="S784" t="s">
        <v>3344</v>
      </c>
      <c r="T784" t="s">
        <v>3344</v>
      </c>
      <c r="U784">
        <v>2700</v>
      </c>
      <c r="W784">
        <v>3</v>
      </c>
      <c r="X784">
        <v>2015</v>
      </c>
      <c r="Z784">
        <v>2</v>
      </c>
      <c r="AA784" t="s">
        <v>26</v>
      </c>
      <c r="AC784" t="s">
        <v>115</v>
      </c>
      <c r="AD784">
        <v>3</v>
      </c>
      <c r="AE784" t="s">
        <v>115</v>
      </c>
      <c r="AH784" t="s">
        <v>116</v>
      </c>
      <c r="AI784" s="1">
        <v>60080</v>
      </c>
      <c r="AJ784" s="2">
        <v>0.14000000000000001</v>
      </c>
      <c r="AK784" s="1">
        <v>414570</v>
      </c>
      <c r="AL784" t="s">
        <v>117</v>
      </c>
      <c r="AM784" t="s">
        <v>3345</v>
      </c>
      <c r="AN784">
        <v>6250</v>
      </c>
      <c r="AO784">
        <v>0.14000000000000001</v>
      </c>
      <c r="AR784">
        <v>1</v>
      </c>
      <c r="AS784" s="1">
        <v>34860</v>
      </c>
      <c r="AT784" s="1">
        <v>6970</v>
      </c>
      <c r="AU784" s="1">
        <v>27890</v>
      </c>
      <c r="AV784">
        <v>80.010000000000005</v>
      </c>
      <c r="AX784" s="1">
        <v>2779.14</v>
      </c>
      <c r="AY784" t="s">
        <v>1587</v>
      </c>
      <c r="AZ784" t="s">
        <v>1587</v>
      </c>
      <c r="BA784" t="s">
        <v>1462</v>
      </c>
      <c r="BE784" s="3">
        <v>42523</v>
      </c>
      <c r="BF784" s="1">
        <v>354490</v>
      </c>
      <c r="BG784" t="s">
        <v>446</v>
      </c>
      <c r="BH784" s="1">
        <v>131.29</v>
      </c>
      <c r="BI784" s="1">
        <v>354490</v>
      </c>
      <c r="BJ784" s="3">
        <v>42523</v>
      </c>
      <c r="BK784" t="s">
        <v>123</v>
      </c>
      <c r="BL784" t="str">
        <f>"2016.383503"</f>
        <v>2016.383503</v>
      </c>
      <c r="BM784" t="s">
        <v>573</v>
      </c>
      <c r="BO784" t="s">
        <v>4985</v>
      </c>
      <c r="BS784">
        <v>30</v>
      </c>
      <c r="BW784" t="str">
        <f>""</f>
        <v/>
      </c>
      <c r="CH784" t="str">
        <f>""</f>
        <v/>
      </c>
      <c r="CS784" t="str">
        <f>""</f>
        <v/>
      </c>
    </row>
    <row r="785" spans="1:97" x14ac:dyDescent="0.25">
      <c r="A785" t="s">
        <v>984</v>
      </c>
      <c r="B785" t="s">
        <v>4986</v>
      </c>
      <c r="C785" t="s">
        <v>4987</v>
      </c>
      <c r="D785" t="s">
        <v>4986</v>
      </c>
      <c r="E785" t="s">
        <v>4988</v>
      </c>
      <c r="F785" t="s">
        <v>108</v>
      </c>
      <c r="H785" t="s">
        <v>4989</v>
      </c>
      <c r="I785" t="s">
        <v>188</v>
      </c>
      <c r="J785" t="s">
        <v>111</v>
      </c>
      <c r="K785" t="str">
        <f>"85142"</f>
        <v>85142</v>
      </c>
      <c r="L785" t="s">
        <v>2197</v>
      </c>
      <c r="M785" t="s">
        <v>4989</v>
      </c>
      <c r="N785" t="s">
        <v>188</v>
      </c>
      <c r="O785" t="s">
        <v>111</v>
      </c>
      <c r="P785" t="str">
        <f>"85142-7874"</f>
        <v>85142-7874</v>
      </c>
      <c r="Q785" t="s">
        <v>113</v>
      </c>
      <c r="R785" t="str">
        <f>"304-93-740"</f>
        <v>304-93-740</v>
      </c>
      <c r="S785" t="s">
        <v>2198</v>
      </c>
      <c r="T785" t="s">
        <v>2198</v>
      </c>
      <c r="U785">
        <v>2191</v>
      </c>
      <c r="W785">
        <v>3</v>
      </c>
      <c r="X785">
        <v>2015</v>
      </c>
      <c r="Z785">
        <v>1</v>
      </c>
      <c r="AC785" t="s">
        <v>115</v>
      </c>
      <c r="AD785">
        <v>3</v>
      </c>
      <c r="AE785" t="s">
        <v>115</v>
      </c>
      <c r="AH785" t="s">
        <v>116</v>
      </c>
      <c r="AI785" s="1">
        <v>110125</v>
      </c>
      <c r="AJ785" s="2">
        <v>0.28999999999999998</v>
      </c>
      <c r="AK785" s="1">
        <v>385534</v>
      </c>
      <c r="AL785" t="s">
        <v>117</v>
      </c>
      <c r="AM785" t="s">
        <v>393</v>
      </c>
      <c r="AN785">
        <v>8221</v>
      </c>
      <c r="AO785">
        <v>0.19</v>
      </c>
      <c r="AR785">
        <v>1</v>
      </c>
      <c r="AS785" s="1">
        <v>27170</v>
      </c>
      <c r="AT785" s="1">
        <v>5430</v>
      </c>
      <c r="AU785" s="1">
        <v>21740</v>
      </c>
      <c r="AV785">
        <v>80.010000000000005</v>
      </c>
      <c r="AX785" s="1">
        <v>2449.9</v>
      </c>
      <c r="AY785" t="s">
        <v>192</v>
      </c>
      <c r="AZ785" t="s">
        <v>193</v>
      </c>
      <c r="BA785" t="s">
        <v>194</v>
      </c>
      <c r="BE785" s="3">
        <v>42419</v>
      </c>
      <c r="BF785" s="1">
        <v>311781</v>
      </c>
      <c r="BG785" t="s">
        <v>2199</v>
      </c>
      <c r="BH785" s="1">
        <v>142.30000000000001</v>
      </c>
      <c r="BI785" s="1">
        <v>275409</v>
      </c>
      <c r="BJ785" s="3">
        <v>42678</v>
      </c>
      <c r="BK785" t="s">
        <v>123</v>
      </c>
      <c r="BL785" t="str">
        <f>"2016.814718"</f>
        <v>2016.814718</v>
      </c>
      <c r="BM785" t="s">
        <v>402</v>
      </c>
      <c r="BO785" t="s">
        <v>4990</v>
      </c>
      <c r="BS785">
        <v>30</v>
      </c>
      <c r="BW785" t="str">
        <f>""</f>
        <v/>
      </c>
      <c r="CH785" t="str">
        <f>""</f>
        <v/>
      </c>
      <c r="CS785" t="str">
        <f>""</f>
        <v/>
      </c>
    </row>
    <row r="786" spans="1:97" x14ac:dyDescent="0.25">
      <c r="A786" t="s">
        <v>251</v>
      </c>
      <c r="B786" t="s">
        <v>4991</v>
      </c>
      <c r="C786" t="s">
        <v>4992</v>
      </c>
      <c r="D786" t="s">
        <v>4991</v>
      </c>
      <c r="E786" t="s">
        <v>4993</v>
      </c>
      <c r="F786" t="s">
        <v>108</v>
      </c>
      <c r="H786" t="s">
        <v>4994</v>
      </c>
      <c r="I786" t="s">
        <v>499</v>
      </c>
      <c r="J786" t="s">
        <v>111</v>
      </c>
      <c r="K786" t="str">
        <f>"85395"</f>
        <v>85395</v>
      </c>
      <c r="L786" t="s">
        <v>500</v>
      </c>
      <c r="M786" t="s">
        <v>4994</v>
      </c>
      <c r="N786" t="s">
        <v>499</v>
      </c>
      <c r="O786" t="s">
        <v>111</v>
      </c>
      <c r="P786" t="str">
        <f>"85395-6485"</f>
        <v>85395-6485</v>
      </c>
      <c r="Q786" t="s">
        <v>113</v>
      </c>
      <c r="R786" t="str">
        <f>"502-30-519"</f>
        <v>502-30-519</v>
      </c>
      <c r="S786" t="s">
        <v>3263</v>
      </c>
      <c r="T786" t="s">
        <v>502</v>
      </c>
      <c r="U786">
        <v>2279</v>
      </c>
      <c r="W786">
        <v>3</v>
      </c>
      <c r="X786">
        <v>2016</v>
      </c>
      <c r="Z786">
        <v>1</v>
      </c>
      <c r="AA786" t="s">
        <v>26</v>
      </c>
      <c r="AC786" t="s">
        <v>115</v>
      </c>
      <c r="AD786">
        <v>3</v>
      </c>
      <c r="AE786" t="s">
        <v>115</v>
      </c>
      <c r="AH786" t="s">
        <v>116</v>
      </c>
      <c r="AI786" s="1">
        <v>54451</v>
      </c>
      <c r="AJ786" s="2">
        <v>0.15</v>
      </c>
      <c r="AK786" s="1">
        <v>367966</v>
      </c>
      <c r="AL786" t="s">
        <v>117</v>
      </c>
      <c r="AM786" t="s">
        <v>118</v>
      </c>
      <c r="AN786">
        <v>9286</v>
      </c>
      <c r="AO786">
        <v>0.21</v>
      </c>
      <c r="AR786">
        <v>1</v>
      </c>
      <c r="AS786" s="1">
        <v>26670</v>
      </c>
      <c r="AT786" s="1">
        <v>5330</v>
      </c>
      <c r="AU786" s="1">
        <v>21340</v>
      </c>
      <c r="AV786">
        <v>80.010000000000005</v>
      </c>
      <c r="AX786" s="1">
        <v>1966.72</v>
      </c>
      <c r="AY786" t="s">
        <v>503</v>
      </c>
      <c r="AZ786" t="s">
        <v>504</v>
      </c>
      <c r="BA786" t="s">
        <v>218</v>
      </c>
      <c r="BE786" s="3">
        <v>42551</v>
      </c>
      <c r="BF786" s="1">
        <v>303500</v>
      </c>
      <c r="BG786" t="s">
        <v>209</v>
      </c>
      <c r="BH786" s="1">
        <v>133.16999999999999</v>
      </c>
      <c r="BI786" s="1">
        <v>313515</v>
      </c>
      <c r="BJ786" s="3">
        <v>42551</v>
      </c>
      <c r="BK786" t="s">
        <v>123</v>
      </c>
      <c r="BL786" t="str">
        <f>"2016.462807"</f>
        <v>2016.462807</v>
      </c>
      <c r="BM786" t="s">
        <v>175</v>
      </c>
      <c r="BO786" t="s">
        <v>4995</v>
      </c>
      <c r="BS786">
        <v>30</v>
      </c>
      <c r="BW786" t="str">
        <f>""</f>
        <v/>
      </c>
      <c r="CH786" t="str">
        <f>""</f>
        <v/>
      </c>
      <c r="CS786" t="str">
        <f>""</f>
        <v/>
      </c>
    </row>
    <row r="787" spans="1:97" x14ac:dyDescent="0.25">
      <c r="A787" t="s">
        <v>815</v>
      </c>
      <c r="B787" t="s">
        <v>4996</v>
      </c>
      <c r="C787" t="s">
        <v>496</v>
      </c>
      <c r="D787" t="s">
        <v>4997</v>
      </c>
      <c r="E787" t="s">
        <v>4998</v>
      </c>
      <c r="F787" t="s">
        <v>108</v>
      </c>
      <c r="H787" t="s">
        <v>4999</v>
      </c>
      <c r="I787" t="s">
        <v>188</v>
      </c>
      <c r="J787" t="s">
        <v>111</v>
      </c>
      <c r="K787" t="str">
        <f>"85142"</f>
        <v>85142</v>
      </c>
      <c r="L787" t="s">
        <v>516</v>
      </c>
      <c r="M787" t="s">
        <v>4999</v>
      </c>
      <c r="N787" t="s">
        <v>188</v>
      </c>
      <c r="O787" t="s">
        <v>111</v>
      </c>
      <c r="P787" t="str">
        <f>"85142-5307"</f>
        <v>85142-5307</v>
      </c>
      <c r="Q787" t="s">
        <v>113</v>
      </c>
      <c r="R787" t="str">
        <f>"304-91-961-U"</f>
        <v>304-91-961-U</v>
      </c>
      <c r="U787">
        <v>3265</v>
      </c>
      <c r="W787">
        <v>4</v>
      </c>
      <c r="X787">
        <v>2015</v>
      </c>
      <c r="Z787">
        <v>1</v>
      </c>
      <c r="AC787" t="s">
        <v>115</v>
      </c>
      <c r="AD787">
        <v>3</v>
      </c>
      <c r="AE787" t="s">
        <v>115</v>
      </c>
      <c r="AH787" t="s">
        <v>116</v>
      </c>
      <c r="AI787" s="1">
        <v>71337</v>
      </c>
      <c r="AJ787" s="2">
        <v>0.13</v>
      </c>
      <c r="AK787" s="1">
        <v>568504</v>
      </c>
      <c r="AL787" t="s">
        <v>117</v>
      </c>
      <c r="AM787" t="s">
        <v>376</v>
      </c>
      <c r="AN787">
        <v>43560</v>
      </c>
      <c r="AO787">
        <v>1</v>
      </c>
      <c r="AR787">
        <v>1</v>
      </c>
      <c r="AS787" s="1">
        <v>39830</v>
      </c>
      <c r="AT787" s="1">
        <v>7960</v>
      </c>
      <c r="AU787" s="1">
        <v>31870</v>
      </c>
      <c r="AV787">
        <v>80.02</v>
      </c>
      <c r="AX787" s="1">
        <v>3697.56</v>
      </c>
      <c r="AY787" t="s">
        <v>1074</v>
      </c>
      <c r="AZ787" t="s">
        <v>193</v>
      </c>
      <c r="BA787" t="s">
        <v>194</v>
      </c>
      <c r="BE787" s="3">
        <v>42173</v>
      </c>
      <c r="BF787" s="1">
        <v>430000</v>
      </c>
      <c r="BG787" t="s">
        <v>3561</v>
      </c>
      <c r="BH787" s="1">
        <v>131.69999999999999</v>
      </c>
      <c r="BI787" s="1">
        <v>437167</v>
      </c>
      <c r="BJ787" s="3">
        <v>42173</v>
      </c>
      <c r="BK787" t="s">
        <v>123</v>
      </c>
      <c r="BL787" t="str">
        <f>"2015.435429"</f>
        <v>2015.435429</v>
      </c>
      <c r="BM787" t="s">
        <v>175</v>
      </c>
      <c r="BN787" t="s">
        <v>132</v>
      </c>
      <c r="BO787" t="s">
        <v>5000</v>
      </c>
      <c r="BP787" t="s">
        <v>5001</v>
      </c>
      <c r="BS787">
        <v>30</v>
      </c>
      <c r="BT787" s="1">
        <v>60000</v>
      </c>
      <c r="BU787" s="3">
        <v>43360</v>
      </c>
      <c r="BV787" t="s">
        <v>134</v>
      </c>
      <c r="BW787" t="str">
        <f>"2018.696857"</f>
        <v>2018.696857</v>
      </c>
      <c r="BX787" t="s">
        <v>5002</v>
      </c>
      <c r="BY787" t="s">
        <v>5003</v>
      </c>
      <c r="BZ787" t="s">
        <v>5004</v>
      </c>
      <c r="CA787" t="s">
        <v>5005</v>
      </c>
      <c r="CC787" t="s">
        <v>139</v>
      </c>
      <c r="CH787" t="str">
        <f>""</f>
        <v/>
      </c>
      <c r="CS787" t="str">
        <f>""</f>
        <v/>
      </c>
    </row>
    <row r="788" spans="1:97" x14ac:dyDescent="0.25">
      <c r="A788" t="s">
        <v>4221</v>
      </c>
      <c r="B788" t="s">
        <v>5006</v>
      </c>
      <c r="E788" t="s">
        <v>5007</v>
      </c>
      <c r="F788" t="s">
        <v>108</v>
      </c>
      <c r="H788" t="s">
        <v>5008</v>
      </c>
      <c r="I788" t="s">
        <v>390</v>
      </c>
      <c r="J788" t="s">
        <v>111</v>
      </c>
      <c r="K788" t="str">
        <f>"85086"</f>
        <v>85086</v>
      </c>
      <c r="L788" t="s">
        <v>5009</v>
      </c>
      <c r="M788" t="s">
        <v>5008</v>
      </c>
      <c r="N788" t="s">
        <v>390</v>
      </c>
      <c r="O788" t="s">
        <v>111</v>
      </c>
      <c r="P788" t="str">
        <f>"85086-7340"</f>
        <v>85086-7340</v>
      </c>
      <c r="Q788" t="s">
        <v>113</v>
      </c>
      <c r="R788" t="str">
        <f>"211-71-019-N"</f>
        <v>211-71-019-N</v>
      </c>
      <c r="U788">
        <v>3822</v>
      </c>
      <c r="W788">
        <v>5</v>
      </c>
      <c r="X788">
        <v>2015</v>
      </c>
      <c r="Z788">
        <v>2</v>
      </c>
      <c r="AA788" t="s">
        <v>26</v>
      </c>
      <c r="AC788" t="s">
        <v>115</v>
      </c>
      <c r="AD788">
        <v>3</v>
      </c>
      <c r="AE788" t="s">
        <v>115</v>
      </c>
      <c r="AH788" t="s">
        <v>116</v>
      </c>
      <c r="AI788" s="1">
        <v>124856</v>
      </c>
      <c r="AJ788" s="2">
        <v>0.21</v>
      </c>
      <c r="AK788" s="1">
        <v>585693</v>
      </c>
      <c r="AL788" t="s">
        <v>117</v>
      </c>
      <c r="AM788" t="s">
        <v>376</v>
      </c>
      <c r="AN788">
        <v>43869</v>
      </c>
      <c r="AO788">
        <v>1.01</v>
      </c>
      <c r="AR788">
        <v>1</v>
      </c>
      <c r="AS788" s="1">
        <v>44530</v>
      </c>
      <c r="AT788" s="1">
        <v>8900</v>
      </c>
      <c r="AU788" s="1">
        <v>35630</v>
      </c>
      <c r="AV788">
        <v>80.010000000000005</v>
      </c>
      <c r="AX788" s="1">
        <v>3853.4</v>
      </c>
      <c r="AY788" t="s">
        <v>1587</v>
      </c>
      <c r="AZ788" t="s">
        <v>1587</v>
      </c>
      <c r="BA788" t="s">
        <v>378</v>
      </c>
      <c r="BE788" s="3">
        <v>42481</v>
      </c>
      <c r="BF788" s="1">
        <v>417692</v>
      </c>
      <c r="BG788" t="s">
        <v>5010</v>
      </c>
      <c r="BH788" s="1">
        <v>109.29</v>
      </c>
      <c r="BI788" s="1">
        <v>460837</v>
      </c>
      <c r="BJ788" s="3">
        <v>43553</v>
      </c>
      <c r="BK788" t="s">
        <v>123</v>
      </c>
      <c r="BL788" t="str">
        <f>"2019.223414"</f>
        <v>2019.223414</v>
      </c>
      <c r="BM788" t="s">
        <v>5011</v>
      </c>
      <c r="BN788" t="s">
        <v>5012</v>
      </c>
      <c r="BO788" t="s">
        <v>5007</v>
      </c>
      <c r="BR788" t="s">
        <v>139</v>
      </c>
      <c r="BW788" t="str">
        <f>""</f>
        <v/>
      </c>
      <c r="CH788" t="str">
        <f>""</f>
        <v/>
      </c>
      <c r="CS788" t="str">
        <f>""</f>
        <v/>
      </c>
    </row>
    <row r="789" spans="1:97" x14ac:dyDescent="0.25">
      <c r="A789" t="s">
        <v>589</v>
      </c>
      <c r="B789" t="s">
        <v>5013</v>
      </c>
      <c r="C789" t="s">
        <v>5014</v>
      </c>
      <c r="D789" t="s">
        <v>5013</v>
      </c>
      <c r="E789" t="s">
        <v>5015</v>
      </c>
      <c r="F789" t="s">
        <v>108</v>
      </c>
      <c r="H789" t="s">
        <v>5016</v>
      </c>
      <c r="I789" t="s">
        <v>1936</v>
      </c>
      <c r="J789" t="s">
        <v>111</v>
      </c>
      <c r="K789" t="str">
        <f>"85262"</f>
        <v>85262</v>
      </c>
      <c r="L789" t="s">
        <v>1569</v>
      </c>
      <c r="M789" t="s">
        <v>5016</v>
      </c>
      <c r="N789" t="s">
        <v>1936</v>
      </c>
      <c r="O789" t="s">
        <v>111</v>
      </c>
      <c r="P789" t="str">
        <f>"85262-6911"</f>
        <v>85262-6911</v>
      </c>
      <c r="Q789" t="s">
        <v>113</v>
      </c>
      <c r="R789" t="str">
        <f>"219-36-014-R"</f>
        <v>219-36-014-R</v>
      </c>
      <c r="U789">
        <v>3588</v>
      </c>
      <c r="W789">
        <v>4</v>
      </c>
      <c r="X789">
        <v>2015</v>
      </c>
      <c r="Z789">
        <v>1</v>
      </c>
      <c r="AA789" t="s">
        <v>26</v>
      </c>
      <c r="AC789" t="s">
        <v>115</v>
      </c>
      <c r="AD789">
        <v>3</v>
      </c>
      <c r="AE789" t="s">
        <v>115</v>
      </c>
      <c r="AH789" t="s">
        <v>116</v>
      </c>
      <c r="AI789" s="1">
        <v>118837</v>
      </c>
      <c r="AJ789" s="2">
        <v>0.18</v>
      </c>
      <c r="AK789" s="1">
        <v>669088</v>
      </c>
      <c r="AL789" t="s">
        <v>117</v>
      </c>
      <c r="AM789" t="s">
        <v>376</v>
      </c>
      <c r="AN789">
        <v>54034</v>
      </c>
      <c r="AO789">
        <v>1.24</v>
      </c>
      <c r="AR789">
        <v>1</v>
      </c>
      <c r="AS789" s="1">
        <v>48760</v>
      </c>
      <c r="AT789" s="1">
        <v>9750</v>
      </c>
      <c r="AU789" s="1">
        <v>39010</v>
      </c>
      <c r="AV789">
        <v>80</v>
      </c>
      <c r="AX789" s="1">
        <v>1877.5</v>
      </c>
      <c r="AY789" t="s">
        <v>5017</v>
      </c>
      <c r="AZ789" t="s">
        <v>1402</v>
      </c>
      <c r="BA789" t="s">
        <v>1403</v>
      </c>
      <c r="BE789" s="3">
        <v>42277</v>
      </c>
      <c r="BF789" s="1">
        <v>592000</v>
      </c>
      <c r="BG789" t="s">
        <v>1588</v>
      </c>
      <c r="BH789" s="1">
        <v>164.99</v>
      </c>
      <c r="BI789" s="1">
        <v>550251</v>
      </c>
      <c r="BJ789" s="3">
        <v>42650</v>
      </c>
      <c r="BK789" t="s">
        <v>123</v>
      </c>
      <c r="BL789" t="str">
        <f>"2016.737032"</f>
        <v>2016.737032</v>
      </c>
      <c r="BM789" t="s">
        <v>322</v>
      </c>
      <c r="BO789" t="s">
        <v>5018</v>
      </c>
      <c r="BS789">
        <v>30</v>
      </c>
      <c r="BW789" t="str">
        <f>""</f>
        <v/>
      </c>
      <c r="CH789" t="str">
        <f>""</f>
        <v/>
      </c>
      <c r="CS789" t="str">
        <f>""</f>
        <v/>
      </c>
    </row>
    <row r="790" spans="1:97" x14ac:dyDescent="0.25">
      <c r="A790" t="s">
        <v>370</v>
      </c>
      <c r="B790" t="s">
        <v>2537</v>
      </c>
      <c r="C790" t="s">
        <v>1017</v>
      </c>
      <c r="D790" t="s">
        <v>2537</v>
      </c>
      <c r="E790" t="s">
        <v>5019</v>
      </c>
      <c r="F790" t="s">
        <v>108</v>
      </c>
      <c r="H790" t="s">
        <v>5020</v>
      </c>
      <c r="I790" t="s">
        <v>144</v>
      </c>
      <c r="J790" t="s">
        <v>111</v>
      </c>
      <c r="K790" t="str">
        <f>"85326"</f>
        <v>85326</v>
      </c>
      <c r="L790" t="s">
        <v>5021</v>
      </c>
      <c r="M790" t="s">
        <v>5020</v>
      </c>
      <c r="N790" t="s">
        <v>144</v>
      </c>
      <c r="O790" t="s">
        <v>111</v>
      </c>
      <c r="P790" t="str">
        <f>"85326-3512"</f>
        <v>85326-3512</v>
      </c>
      <c r="Q790" t="s">
        <v>113</v>
      </c>
      <c r="R790" t="str">
        <f>"504-28-203"</f>
        <v>504-28-203</v>
      </c>
      <c r="S790" t="s">
        <v>5022</v>
      </c>
      <c r="U790">
        <v>2227</v>
      </c>
      <c r="V790">
        <v>0</v>
      </c>
      <c r="W790">
        <v>3</v>
      </c>
      <c r="X790">
        <v>2016</v>
      </c>
      <c r="Z790">
        <v>1</v>
      </c>
      <c r="AB790">
        <v>0</v>
      </c>
      <c r="AC790" t="s">
        <v>115</v>
      </c>
      <c r="AD790">
        <v>2</v>
      </c>
      <c r="AE790" t="s">
        <v>115</v>
      </c>
      <c r="AF790">
        <v>0</v>
      </c>
      <c r="AG790">
        <v>0</v>
      </c>
      <c r="AH790" t="s">
        <v>116</v>
      </c>
      <c r="AI790" s="1">
        <v>25411</v>
      </c>
      <c r="AJ790" s="2">
        <v>0.1</v>
      </c>
      <c r="AK790" s="1">
        <v>262399</v>
      </c>
      <c r="AL790" t="s">
        <v>117</v>
      </c>
      <c r="AM790" t="s">
        <v>5023</v>
      </c>
      <c r="AN790">
        <v>6847</v>
      </c>
      <c r="AO790">
        <v>0.16</v>
      </c>
      <c r="AR790">
        <v>1</v>
      </c>
      <c r="AS790" s="1">
        <v>18370</v>
      </c>
      <c r="AT790" s="1">
        <v>3670</v>
      </c>
      <c r="AU790" s="1">
        <v>14700</v>
      </c>
      <c r="AV790">
        <v>80.02</v>
      </c>
      <c r="AX790" s="1">
        <v>1927.34</v>
      </c>
      <c r="AY790" t="s">
        <v>5024</v>
      </c>
      <c r="AZ790" t="s">
        <v>5024</v>
      </c>
      <c r="BA790" t="s">
        <v>5025</v>
      </c>
      <c r="BE790" s="3">
        <v>42503</v>
      </c>
      <c r="BF790" s="1">
        <v>234355</v>
      </c>
      <c r="BG790" t="s">
        <v>1975</v>
      </c>
      <c r="BH790" s="1">
        <v>105.23</v>
      </c>
      <c r="BI790" s="1">
        <v>236988</v>
      </c>
      <c r="BJ790" s="3">
        <v>42503</v>
      </c>
      <c r="BK790" t="s">
        <v>123</v>
      </c>
      <c r="BL790" t="str">
        <f>"2016.331074"</f>
        <v>2016.331074</v>
      </c>
      <c r="BM790" t="s">
        <v>3294</v>
      </c>
      <c r="BO790" t="s">
        <v>5026</v>
      </c>
      <c r="BS790">
        <v>30</v>
      </c>
      <c r="BW790" t="str">
        <f>""</f>
        <v/>
      </c>
      <c r="CH790" t="str">
        <f>""</f>
        <v/>
      </c>
      <c r="CS790" t="str">
        <f>""</f>
        <v/>
      </c>
    </row>
    <row r="791" spans="1:97" x14ac:dyDescent="0.25">
      <c r="A791" t="s">
        <v>4221</v>
      </c>
      <c r="B791" t="s">
        <v>5027</v>
      </c>
      <c r="C791" t="s">
        <v>5028</v>
      </c>
      <c r="D791" t="s">
        <v>5027</v>
      </c>
      <c r="E791" t="s">
        <v>5029</v>
      </c>
      <c r="F791" t="s">
        <v>108</v>
      </c>
      <c r="H791" t="s">
        <v>5030</v>
      </c>
      <c r="I791" t="s">
        <v>203</v>
      </c>
      <c r="J791" t="s">
        <v>111</v>
      </c>
      <c r="K791" t="str">
        <f>"85296"</f>
        <v>85296</v>
      </c>
      <c r="L791" t="s">
        <v>3326</v>
      </c>
      <c r="M791" t="s">
        <v>5030</v>
      </c>
      <c r="N791" t="s">
        <v>203</v>
      </c>
      <c r="O791" t="s">
        <v>111</v>
      </c>
      <c r="P791" t="str">
        <f>"85296-2611"</f>
        <v>85296-2611</v>
      </c>
      <c r="Q791" t="s">
        <v>113</v>
      </c>
      <c r="R791" t="str">
        <f>"304-21-119"</f>
        <v>304-21-119</v>
      </c>
      <c r="S791" t="s">
        <v>5031</v>
      </c>
      <c r="T791" t="s">
        <v>5031</v>
      </c>
      <c r="U791">
        <v>2161</v>
      </c>
      <c r="V791">
        <v>0</v>
      </c>
      <c r="W791">
        <v>4</v>
      </c>
      <c r="X791">
        <v>1996</v>
      </c>
      <c r="Z791">
        <v>2</v>
      </c>
      <c r="AA791" t="s">
        <v>26</v>
      </c>
      <c r="AB791">
        <v>0</v>
      </c>
      <c r="AC791" t="s">
        <v>115</v>
      </c>
      <c r="AD791">
        <v>2</v>
      </c>
      <c r="AE791" t="s">
        <v>115</v>
      </c>
      <c r="AF791">
        <v>0</v>
      </c>
      <c r="AG791">
        <v>0</v>
      </c>
      <c r="AH791" t="s">
        <v>116</v>
      </c>
      <c r="AI791" s="1">
        <v>78687</v>
      </c>
      <c r="AJ791" s="2">
        <v>0.22</v>
      </c>
      <c r="AK791" s="1">
        <v>354492</v>
      </c>
      <c r="AL791" t="s">
        <v>117</v>
      </c>
      <c r="AM791" t="s">
        <v>191</v>
      </c>
      <c r="AN791">
        <v>6059</v>
      </c>
      <c r="AO791">
        <v>0.14000000000000001</v>
      </c>
      <c r="AP791">
        <v>1</v>
      </c>
      <c r="AR791">
        <v>1</v>
      </c>
      <c r="AS791" s="1">
        <v>24350</v>
      </c>
      <c r="AT791" s="1">
        <v>4870</v>
      </c>
      <c r="AU791" s="1">
        <v>19480</v>
      </c>
      <c r="AV791">
        <v>80</v>
      </c>
      <c r="AX791" s="1">
        <v>1728.76</v>
      </c>
      <c r="AY791" t="s">
        <v>5032</v>
      </c>
      <c r="AZ791" t="s">
        <v>520</v>
      </c>
      <c r="BA791" t="s">
        <v>5033</v>
      </c>
      <c r="BE791" s="3">
        <v>42531</v>
      </c>
      <c r="BF791" s="1">
        <v>270000</v>
      </c>
      <c r="BG791" t="s">
        <v>5034</v>
      </c>
      <c r="BH791" s="1">
        <v>124.94</v>
      </c>
      <c r="BI791" s="1">
        <v>275805</v>
      </c>
      <c r="BJ791" s="3">
        <v>42531</v>
      </c>
      <c r="BK791" t="s">
        <v>123</v>
      </c>
      <c r="BL791" t="str">
        <f>"2016.405531"</f>
        <v>2016.405531</v>
      </c>
      <c r="BM791" t="s">
        <v>4014</v>
      </c>
      <c r="BO791" t="s">
        <v>5035</v>
      </c>
      <c r="BS791">
        <v>30</v>
      </c>
      <c r="BW791" t="str">
        <f>""</f>
        <v/>
      </c>
      <c r="CH791" t="str">
        <f>""</f>
        <v/>
      </c>
      <c r="CS791" t="str">
        <f>""</f>
        <v/>
      </c>
    </row>
    <row r="792" spans="1:97" x14ac:dyDescent="0.25">
      <c r="A792" t="s">
        <v>5036</v>
      </c>
      <c r="B792" t="s">
        <v>5037</v>
      </c>
      <c r="C792" t="s">
        <v>5038</v>
      </c>
      <c r="D792" t="s">
        <v>5037</v>
      </c>
      <c r="E792" t="s">
        <v>5039</v>
      </c>
      <c r="F792" t="s">
        <v>108</v>
      </c>
      <c r="H792" t="s">
        <v>5040</v>
      </c>
      <c r="I792" t="s">
        <v>499</v>
      </c>
      <c r="J792" t="s">
        <v>111</v>
      </c>
      <c r="K792" t="str">
        <f>"85338"</f>
        <v>85338</v>
      </c>
      <c r="L792" t="s">
        <v>316</v>
      </c>
      <c r="M792" t="s">
        <v>5040</v>
      </c>
      <c r="N792" t="s">
        <v>499</v>
      </c>
      <c r="O792" t="s">
        <v>111</v>
      </c>
      <c r="P792" t="str">
        <f>"85338-7021"</f>
        <v>85338-7021</v>
      </c>
      <c r="Q792" t="s">
        <v>113</v>
      </c>
      <c r="R792" t="str">
        <f>"500-89-673"</f>
        <v>500-89-673</v>
      </c>
      <c r="S792" t="s">
        <v>5041</v>
      </c>
      <c r="T792" t="s">
        <v>5042</v>
      </c>
      <c r="U792">
        <v>1843</v>
      </c>
      <c r="V792">
        <v>0</v>
      </c>
      <c r="W792">
        <v>3</v>
      </c>
      <c r="X792">
        <v>2014</v>
      </c>
      <c r="Z792">
        <v>1</v>
      </c>
      <c r="AB792">
        <v>0</v>
      </c>
      <c r="AC792" t="s">
        <v>115</v>
      </c>
      <c r="AD792">
        <v>2</v>
      </c>
      <c r="AE792" t="s">
        <v>115</v>
      </c>
      <c r="AF792">
        <v>0</v>
      </c>
      <c r="AG792">
        <v>0</v>
      </c>
      <c r="AH792" t="s">
        <v>116</v>
      </c>
      <c r="AI792" s="1">
        <v>60922</v>
      </c>
      <c r="AJ792" s="2">
        <v>0.23</v>
      </c>
      <c r="AK792" s="1">
        <v>264663</v>
      </c>
      <c r="AL792" t="s">
        <v>117</v>
      </c>
      <c r="AM792" t="s">
        <v>118</v>
      </c>
      <c r="AN792">
        <v>5500</v>
      </c>
      <c r="AO792">
        <v>0.13</v>
      </c>
      <c r="AR792">
        <v>1</v>
      </c>
      <c r="AS792" s="1">
        <v>17330</v>
      </c>
      <c r="AT792" s="1">
        <v>3460</v>
      </c>
      <c r="AU792" s="1">
        <v>13870</v>
      </c>
      <c r="AV792">
        <v>80.03</v>
      </c>
      <c r="AX792" s="1">
        <v>1450</v>
      </c>
      <c r="AY792" t="s">
        <v>4311</v>
      </c>
      <c r="AZ792" t="s">
        <v>4311</v>
      </c>
      <c r="BA792" t="s">
        <v>218</v>
      </c>
      <c r="BE792" s="3">
        <v>42184</v>
      </c>
      <c r="BF792" s="1">
        <v>199453</v>
      </c>
      <c r="BG792" t="s">
        <v>2780</v>
      </c>
      <c r="BH792" s="1">
        <v>108.22</v>
      </c>
      <c r="BI792" s="1">
        <v>203741</v>
      </c>
      <c r="BJ792" s="3">
        <v>42184</v>
      </c>
      <c r="BK792" t="s">
        <v>123</v>
      </c>
      <c r="BL792" t="str">
        <f>"2015.464320"</f>
        <v>2015.464320</v>
      </c>
      <c r="BM792" t="s">
        <v>175</v>
      </c>
      <c r="BO792" t="s">
        <v>5043</v>
      </c>
      <c r="BS792">
        <v>30</v>
      </c>
      <c r="BW792" t="str">
        <f>""</f>
        <v/>
      </c>
      <c r="CH792" t="str">
        <f>""</f>
        <v/>
      </c>
      <c r="CS792" t="str">
        <f>""</f>
        <v/>
      </c>
    </row>
    <row r="793" spans="1:97" x14ac:dyDescent="0.25">
      <c r="A793" t="s">
        <v>5044</v>
      </c>
      <c r="B793" t="s">
        <v>5045</v>
      </c>
      <c r="C793" t="s">
        <v>703</v>
      </c>
      <c r="D793" t="s">
        <v>5045</v>
      </c>
      <c r="E793" t="s">
        <v>5046</v>
      </c>
      <c r="F793" t="s">
        <v>108</v>
      </c>
      <c r="H793" t="s">
        <v>5047</v>
      </c>
      <c r="I793" t="s">
        <v>110</v>
      </c>
      <c r="J793" t="s">
        <v>111</v>
      </c>
      <c r="K793" t="str">
        <f>"85249"</f>
        <v>85249</v>
      </c>
      <c r="L793" t="s">
        <v>5048</v>
      </c>
      <c r="M793" t="s">
        <v>5047</v>
      </c>
      <c r="N793" t="s">
        <v>110</v>
      </c>
      <c r="O793" t="s">
        <v>111</v>
      </c>
      <c r="P793" t="str">
        <f>"85249-4477"</f>
        <v>85249-4477</v>
      </c>
      <c r="R793" t="str">
        <f>"303-79-480"</f>
        <v>303-79-480</v>
      </c>
      <c r="S793" t="s">
        <v>5049</v>
      </c>
      <c r="U793">
        <v>1812</v>
      </c>
      <c r="V793">
        <v>0</v>
      </c>
      <c r="W793">
        <v>3</v>
      </c>
      <c r="X793">
        <v>1999</v>
      </c>
      <c r="Z793">
        <v>1</v>
      </c>
      <c r="AB793">
        <v>0</v>
      </c>
      <c r="AC793" t="s">
        <v>115</v>
      </c>
      <c r="AD793">
        <v>2</v>
      </c>
      <c r="AE793" t="s">
        <v>115</v>
      </c>
      <c r="AF793">
        <v>0</v>
      </c>
      <c r="AG793">
        <v>0</v>
      </c>
      <c r="AH793" t="s">
        <v>116</v>
      </c>
      <c r="AI793" s="1">
        <v>81010</v>
      </c>
      <c r="AJ793" s="2">
        <v>0.26</v>
      </c>
      <c r="AK793" s="1">
        <v>316530</v>
      </c>
      <c r="AL793" t="s">
        <v>117</v>
      </c>
      <c r="AM793" t="s">
        <v>118</v>
      </c>
      <c r="AN793">
        <v>7841</v>
      </c>
      <c r="AO793">
        <v>0.18</v>
      </c>
      <c r="AP793">
        <v>1</v>
      </c>
      <c r="AR793">
        <v>1</v>
      </c>
      <c r="AS793" s="1">
        <v>21920</v>
      </c>
      <c r="AT793" s="1">
        <v>4380</v>
      </c>
      <c r="AU793" s="1">
        <v>17540</v>
      </c>
      <c r="AV793">
        <v>80.02</v>
      </c>
      <c r="AX793" s="1">
        <v>2085.16</v>
      </c>
      <c r="AY793" t="s">
        <v>5050</v>
      </c>
      <c r="AZ793" t="s">
        <v>120</v>
      </c>
      <c r="BA793" t="s">
        <v>274</v>
      </c>
      <c r="BE793" s="3">
        <v>42360</v>
      </c>
      <c r="BF793" s="1">
        <v>230000</v>
      </c>
      <c r="BG793" t="s">
        <v>5051</v>
      </c>
      <c r="BH793" s="1">
        <v>126.93</v>
      </c>
      <c r="BI793" s="1">
        <v>235520</v>
      </c>
      <c r="BJ793" s="3">
        <v>42360</v>
      </c>
      <c r="BK793" t="s">
        <v>123</v>
      </c>
      <c r="BL793" t="str">
        <f>"2015.901425"</f>
        <v>2015.901425</v>
      </c>
      <c r="BM793" t="s">
        <v>2683</v>
      </c>
      <c r="BN793" t="s">
        <v>5052</v>
      </c>
      <c r="BO793" t="s">
        <v>5053</v>
      </c>
      <c r="BS793">
        <v>30</v>
      </c>
      <c r="BW793" t="str">
        <f>""</f>
        <v/>
      </c>
      <c r="CH793" t="str">
        <f>""</f>
        <v/>
      </c>
      <c r="CS793" t="str">
        <f>""</f>
        <v/>
      </c>
    </row>
    <row r="794" spans="1:97" x14ac:dyDescent="0.25">
      <c r="A794" t="s">
        <v>894</v>
      </c>
      <c r="B794" t="s">
        <v>5054</v>
      </c>
      <c r="C794" t="s">
        <v>933</v>
      </c>
      <c r="D794" t="s">
        <v>5055</v>
      </c>
      <c r="E794" t="s">
        <v>5056</v>
      </c>
      <c r="F794" t="s">
        <v>108</v>
      </c>
      <c r="H794" t="s">
        <v>5057</v>
      </c>
      <c r="I794" t="s">
        <v>632</v>
      </c>
      <c r="J794" t="s">
        <v>111</v>
      </c>
      <c r="K794" t="str">
        <f>"85379"</f>
        <v>85379</v>
      </c>
      <c r="L794" t="s">
        <v>5058</v>
      </c>
      <c r="M794" t="s">
        <v>5057</v>
      </c>
      <c r="N794" t="s">
        <v>632</v>
      </c>
      <c r="O794" t="s">
        <v>111</v>
      </c>
      <c r="P794" t="str">
        <f>"85379-1135"</f>
        <v>85379-1135</v>
      </c>
      <c r="Q794" t="s">
        <v>113</v>
      </c>
      <c r="R794" t="str">
        <f>"501-79-243"</f>
        <v>501-79-243</v>
      </c>
      <c r="S794" t="s">
        <v>5059</v>
      </c>
      <c r="U794">
        <v>2930</v>
      </c>
      <c r="V794">
        <v>0</v>
      </c>
      <c r="W794">
        <v>4</v>
      </c>
      <c r="X794">
        <v>2008</v>
      </c>
      <c r="Z794">
        <v>1</v>
      </c>
      <c r="AA794" t="s">
        <v>26</v>
      </c>
      <c r="AB794">
        <v>0</v>
      </c>
      <c r="AC794" t="s">
        <v>115</v>
      </c>
      <c r="AD794">
        <v>2</v>
      </c>
      <c r="AE794" t="s">
        <v>115</v>
      </c>
      <c r="AF794">
        <v>0</v>
      </c>
      <c r="AG794">
        <v>0</v>
      </c>
      <c r="AH794" t="s">
        <v>116</v>
      </c>
      <c r="AI794" s="1">
        <v>50306</v>
      </c>
      <c r="AJ794" s="2">
        <v>0.14000000000000001</v>
      </c>
      <c r="AK794" s="1">
        <v>369496</v>
      </c>
      <c r="AL794" t="s">
        <v>117</v>
      </c>
      <c r="AM794" t="s">
        <v>118</v>
      </c>
      <c r="AN794">
        <v>9000</v>
      </c>
      <c r="AO794">
        <v>0.21</v>
      </c>
      <c r="AR794">
        <v>1</v>
      </c>
      <c r="AS794" s="1">
        <v>29850</v>
      </c>
      <c r="AT794" s="1">
        <v>5970</v>
      </c>
      <c r="AU794" s="1">
        <v>23880</v>
      </c>
      <c r="AV794">
        <v>80</v>
      </c>
      <c r="AX794" s="1">
        <v>2282.08</v>
      </c>
      <c r="AY794" t="s">
        <v>5060</v>
      </c>
      <c r="AZ794" t="s">
        <v>5060</v>
      </c>
      <c r="BA794" t="s">
        <v>5061</v>
      </c>
      <c r="BE794" s="3">
        <v>41988</v>
      </c>
      <c r="BF794" s="1">
        <v>278500</v>
      </c>
      <c r="BG794" t="s">
        <v>5062</v>
      </c>
      <c r="BH794" s="1">
        <v>95.05</v>
      </c>
      <c r="BI794" s="1">
        <v>287690</v>
      </c>
      <c r="BJ794" s="3">
        <v>41988</v>
      </c>
      <c r="BK794" t="s">
        <v>123</v>
      </c>
      <c r="BL794" t="str">
        <f>"2014.821996"</f>
        <v>2014.821996</v>
      </c>
      <c r="BM794" t="s">
        <v>241</v>
      </c>
      <c r="BN794" t="s">
        <v>1025</v>
      </c>
      <c r="BO794" t="s">
        <v>5063</v>
      </c>
      <c r="BP794" t="s">
        <v>5064</v>
      </c>
      <c r="BS794">
        <v>30</v>
      </c>
      <c r="BT794" s="1">
        <v>31500</v>
      </c>
      <c r="BU794" s="3">
        <v>43410</v>
      </c>
      <c r="BV794" t="s">
        <v>134</v>
      </c>
      <c r="BW794" t="str">
        <f>"2018.827367"</f>
        <v>2018.827367</v>
      </c>
      <c r="BX794" t="s">
        <v>5065</v>
      </c>
      <c r="BY794" t="s">
        <v>5066</v>
      </c>
      <c r="BZ794" t="s">
        <v>5067</v>
      </c>
      <c r="CA794" t="s">
        <v>5068</v>
      </c>
      <c r="CC794" t="s">
        <v>139</v>
      </c>
      <c r="CH794" t="str">
        <f>""</f>
        <v/>
      </c>
      <c r="CS794" t="str">
        <f>""</f>
        <v/>
      </c>
    </row>
    <row r="795" spans="1:97" x14ac:dyDescent="0.25">
      <c r="A795" t="s">
        <v>5069</v>
      </c>
      <c r="B795" t="s">
        <v>5070</v>
      </c>
      <c r="C795" t="s">
        <v>5071</v>
      </c>
      <c r="D795" t="s">
        <v>5070</v>
      </c>
      <c r="E795" t="s">
        <v>5072</v>
      </c>
      <c r="F795" t="s">
        <v>108</v>
      </c>
      <c r="H795" t="s">
        <v>5073</v>
      </c>
      <c r="I795" t="s">
        <v>110</v>
      </c>
      <c r="J795" t="s">
        <v>111</v>
      </c>
      <c r="K795" t="str">
        <f>"85225"</f>
        <v>85225</v>
      </c>
      <c r="L795" t="s">
        <v>5074</v>
      </c>
      <c r="M795" t="s">
        <v>5073</v>
      </c>
      <c r="N795" t="s">
        <v>110</v>
      </c>
      <c r="O795" t="s">
        <v>111</v>
      </c>
      <c r="P795" t="str">
        <f>"85225-7041"</f>
        <v>85225-7041</v>
      </c>
      <c r="Q795" t="s">
        <v>113</v>
      </c>
      <c r="R795" t="str">
        <f>"302-41-190"</f>
        <v>302-41-190</v>
      </c>
      <c r="S795" t="s">
        <v>5075</v>
      </c>
      <c r="T795" t="s">
        <v>5076</v>
      </c>
      <c r="U795">
        <v>1598</v>
      </c>
      <c r="V795">
        <v>0</v>
      </c>
      <c r="W795">
        <v>2</v>
      </c>
      <c r="X795">
        <v>1983</v>
      </c>
      <c r="Z795">
        <v>1</v>
      </c>
      <c r="AA795" t="s">
        <v>26</v>
      </c>
      <c r="AB795">
        <v>0</v>
      </c>
      <c r="AC795" t="s">
        <v>115</v>
      </c>
      <c r="AD795">
        <v>2</v>
      </c>
      <c r="AE795" t="s">
        <v>115</v>
      </c>
      <c r="AF795">
        <v>0</v>
      </c>
      <c r="AG795">
        <v>0</v>
      </c>
      <c r="AH795" t="s">
        <v>116</v>
      </c>
      <c r="AI795" s="1">
        <v>90748</v>
      </c>
      <c r="AJ795" s="2">
        <v>0.28999999999999998</v>
      </c>
      <c r="AK795" s="1">
        <v>309388</v>
      </c>
      <c r="AL795" t="s">
        <v>117</v>
      </c>
      <c r="AM795" t="s">
        <v>5077</v>
      </c>
      <c r="AN795">
        <v>11787</v>
      </c>
      <c r="AO795">
        <v>0.27</v>
      </c>
      <c r="AP795">
        <v>1</v>
      </c>
      <c r="AR795">
        <v>1</v>
      </c>
      <c r="AS795" s="1">
        <v>21910</v>
      </c>
      <c r="AT795" s="1">
        <v>4380</v>
      </c>
      <c r="AU795" s="1">
        <v>17530</v>
      </c>
      <c r="AV795">
        <v>80.010000000000005</v>
      </c>
      <c r="AX795" s="1">
        <v>1414.4</v>
      </c>
      <c r="AY795" t="s">
        <v>2956</v>
      </c>
      <c r="AZ795" t="s">
        <v>5078</v>
      </c>
      <c r="BA795" t="s">
        <v>2957</v>
      </c>
      <c r="BE795" s="3">
        <v>42444</v>
      </c>
      <c r="BF795" s="1">
        <v>219900</v>
      </c>
      <c r="BG795" t="s">
        <v>5079</v>
      </c>
      <c r="BH795" s="1">
        <v>137.61000000000001</v>
      </c>
      <c r="BI795" s="1">
        <v>218640</v>
      </c>
      <c r="BJ795" s="3">
        <v>42695</v>
      </c>
      <c r="BK795" t="s">
        <v>123</v>
      </c>
      <c r="BL795" t="str">
        <f>"2016.856737"</f>
        <v>2016.856737</v>
      </c>
      <c r="BM795" t="s">
        <v>1185</v>
      </c>
      <c r="BO795" t="s">
        <v>5080</v>
      </c>
      <c r="BS795">
        <v>30</v>
      </c>
      <c r="BW795" t="str">
        <f>""</f>
        <v/>
      </c>
      <c r="CH795" t="str">
        <f>""</f>
        <v/>
      </c>
      <c r="CS795" t="str">
        <f>""</f>
        <v/>
      </c>
    </row>
    <row r="796" spans="1:97" x14ac:dyDescent="0.25">
      <c r="A796" t="s">
        <v>305</v>
      </c>
      <c r="B796" t="s">
        <v>5081</v>
      </c>
      <c r="C796" t="s">
        <v>4874</v>
      </c>
      <c r="D796" t="s">
        <v>5081</v>
      </c>
      <c r="E796" t="s">
        <v>5082</v>
      </c>
      <c r="F796" t="s">
        <v>108</v>
      </c>
      <c r="H796" t="s">
        <v>5083</v>
      </c>
      <c r="I796" t="s">
        <v>203</v>
      </c>
      <c r="J796" t="s">
        <v>111</v>
      </c>
      <c r="K796" t="str">
        <f>"85295"</f>
        <v>85295</v>
      </c>
      <c r="L796" t="s">
        <v>5084</v>
      </c>
      <c r="M796" t="s">
        <v>5083</v>
      </c>
      <c r="N796" t="s">
        <v>203</v>
      </c>
      <c r="O796" t="s">
        <v>111</v>
      </c>
      <c r="P796" t="str">
        <f>"85295-7681"</f>
        <v>85295-7681</v>
      </c>
      <c r="Q796" t="s">
        <v>113</v>
      </c>
      <c r="R796" t="str">
        <f>"309-30-035"</f>
        <v>309-30-035</v>
      </c>
      <c r="S796" t="s">
        <v>5085</v>
      </c>
      <c r="T796" t="s">
        <v>5086</v>
      </c>
      <c r="U796">
        <v>3710</v>
      </c>
      <c r="V796">
        <v>0</v>
      </c>
      <c r="W796">
        <v>5</v>
      </c>
      <c r="X796">
        <v>2003</v>
      </c>
      <c r="Z796">
        <v>2</v>
      </c>
      <c r="AB796">
        <v>0</v>
      </c>
      <c r="AC796" t="s">
        <v>115</v>
      </c>
      <c r="AD796">
        <v>2</v>
      </c>
      <c r="AE796" t="s">
        <v>115</v>
      </c>
      <c r="AF796">
        <v>0</v>
      </c>
      <c r="AG796">
        <v>0</v>
      </c>
      <c r="AH796" t="s">
        <v>116</v>
      </c>
      <c r="AI796" s="1">
        <v>132940</v>
      </c>
      <c r="AJ796" s="2">
        <v>0.31</v>
      </c>
      <c r="AK796" s="1">
        <v>432640</v>
      </c>
      <c r="AL796" t="s">
        <v>117</v>
      </c>
      <c r="AM796" t="s">
        <v>393</v>
      </c>
      <c r="AN796">
        <v>7700</v>
      </c>
      <c r="AO796">
        <v>0.18</v>
      </c>
      <c r="AP796">
        <v>1</v>
      </c>
      <c r="AR796">
        <v>1</v>
      </c>
      <c r="AS796" s="1">
        <v>28810</v>
      </c>
      <c r="AT796" s="1">
        <v>5760</v>
      </c>
      <c r="AU796" s="1">
        <v>23050</v>
      </c>
      <c r="AV796">
        <v>80.010000000000005</v>
      </c>
      <c r="AX796" s="1">
        <v>2884.74</v>
      </c>
      <c r="AY796" t="s">
        <v>5087</v>
      </c>
      <c r="AZ796" t="s">
        <v>5087</v>
      </c>
      <c r="BA796" t="s">
        <v>473</v>
      </c>
      <c r="BE796" s="3">
        <v>41900</v>
      </c>
      <c r="BF796" s="1">
        <v>330000</v>
      </c>
      <c r="BG796" t="s">
        <v>5088</v>
      </c>
      <c r="BH796" s="1">
        <v>88.95</v>
      </c>
      <c r="BI796" s="1">
        <v>299700</v>
      </c>
      <c r="BJ796" s="3">
        <v>41900</v>
      </c>
      <c r="BK796" t="s">
        <v>123</v>
      </c>
      <c r="BL796" t="str">
        <f>"2014.619205"</f>
        <v>2014.619205</v>
      </c>
      <c r="BM796" t="s">
        <v>1554</v>
      </c>
      <c r="BO796" t="s">
        <v>5089</v>
      </c>
      <c r="BS796">
        <v>30</v>
      </c>
      <c r="BW796" t="str">
        <f>""</f>
        <v/>
      </c>
      <c r="CH796" t="str">
        <f>""</f>
        <v/>
      </c>
      <c r="CS796" t="str">
        <f>""</f>
        <v/>
      </c>
    </row>
    <row r="797" spans="1:97" x14ac:dyDescent="0.25">
      <c r="A797" t="s">
        <v>3104</v>
      </c>
      <c r="B797" t="s">
        <v>5090</v>
      </c>
      <c r="E797" t="s">
        <v>5091</v>
      </c>
      <c r="F797" t="s">
        <v>108</v>
      </c>
      <c r="H797" t="s">
        <v>5092</v>
      </c>
      <c r="I797" t="s">
        <v>203</v>
      </c>
      <c r="J797" t="s">
        <v>111</v>
      </c>
      <c r="K797" t="str">
        <f>"85295"</f>
        <v>85295</v>
      </c>
      <c r="L797" t="s">
        <v>1815</v>
      </c>
      <c r="M797" t="s">
        <v>5092</v>
      </c>
      <c r="N797" t="s">
        <v>203</v>
      </c>
      <c r="O797" t="s">
        <v>111</v>
      </c>
      <c r="P797" t="str">
        <f>"85295-3400"</f>
        <v>85295-3400</v>
      </c>
      <c r="Q797" t="s">
        <v>113</v>
      </c>
      <c r="R797" t="str">
        <f>"313-10-768"</f>
        <v>313-10-768</v>
      </c>
      <c r="S797" t="s">
        <v>5093</v>
      </c>
      <c r="U797">
        <v>1748</v>
      </c>
      <c r="V797">
        <v>0</v>
      </c>
      <c r="W797">
        <v>3</v>
      </c>
      <c r="X797">
        <v>2008</v>
      </c>
      <c r="Z797">
        <v>2</v>
      </c>
      <c r="AB797">
        <v>0</v>
      </c>
      <c r="AC797" t="s">
        <v>115</v>
      </c>
      <c r="AD797">
        <v>2</v>
      </c>
      <c r="AE797" t="s">
        <v>115</v>
      </c>
      <c r="AF797">
        <v>0</v>
      </c>
      <c r="AG797">
        <v>0</v>
      </c>
      <c r="AH797" t="s">
        <v>116</v>
      </c>
      <c r="AI797" s="1">
        <v>36259</v>
      </c>
      <c r="AJ797" s="2">
        <v>0.13</v>
      </c>
      <c r="AK797" s="1">
        <v>268759</v>
      </c>
      <c r="AL797" t="s">
        <v>117</v>
      </c>
      <c r="AM797" t="s">
        <v>288</v>
      </c>
      <c r="AN797">
        <v>3504</v>
      </c>
      <c r="AO797">
        <v>0.8</v>
      </c>
      <c r="AR797">
        <v>1</v>
      </c>
      <c r="AS797" s="1">
        <v>18860</v>
      </c>
      <c r="AT797" s="1">
        <v>3770</v>
      </c>
      <c r="AU797" s="1">
        <v>15090</v>
      </c>
      <c r="AV797">
        <v>80.010000000000005</v>
      </c>
      <c r="AX797" s="1">
        <v>1692.54</v>
      </c>
      <c r="AY797" t="s">
        <v>5094</v>
      </c>
      <c r="AZ797" t="s">
        <v>5094</v>
      </c>
      <c r="BA797" t="s">
        <v>473</v>
      </c>
      <c r="BE797" s="3">
        <v>42501</v>
      </c>
      <c r="BF797" s="1">
        <v>215000</v>
      </c>
      <c r="BG797" t="s">
        <v>5095</v>
      </c>
      <c r="BH797" s="1">
        <v>123</v>
      </c>
      <c r="BI797" s="1">
        <v>232500</v>
      </c>
      <c r="BJ797" s="3">
        <v>43069</v>
      </c>
      <c r="BK797" t="s">
        <v>123</v>
      </c>
      <c r="BL797" t="str">
        <f>"2017.885138"</f>
        <v>2017.885138</v>
      </c>
      <c r="BM797" t="s">
        <v>5096</v>
      </c>
      <c r="BO797" t="s">
        <v>5097</v>
      </c>
      <c r="BS797">
        <v>30</v>
      </c>
      <c r="BW797" t="str">
        <f>""</f>
        <v/>
      </c>
      <c r="CH797" t="str">
        <f>""</f>
        <v/>
      </c>
      <c r="CS797" t="str">
        <f>""</f>
        <v/>
      </c>
    </row>
    <row r="798" spans="1:97" x14ac:dyDescent="0.25">
      <c r="A798" t="s">
        <v>5014</v>
      </c>
      <c r="B798" t="s">
        <v>5098</v>
      </c>
      <c r="E798" t="s">
        <v>5099</v>
      </c>
      <c r="F798" t="s">
        <v>108</v>
      </c>
      <c r="H798" t="s">
        <v>5100</v>
      </c>
      <c r="I798" t="s">
        <v>499</v>
      </c>
      <c r="J798" t="s">
        <v>111</v>
      </c>
      <c r="K798" t="str">
        <f>"85338"</f>
        <v>85338</v>
      </c>
      <c r="L798" t="s">
        <v>2765</v>
      </c>
      <c r="M798" t="s">
        <v>5100</v>
      </c>
      <c r="N798" t="s">
        <v>499</v>
      </c>
      <c r="O798" t="s">
        <v>111</v>
      </c>
      <c r="P798" t="str">
        <f>"85338-7486"</f>
        <v>85338-7486</v>
      </c>
      <c r="Q798" t="s">
        <v>113</v>
      </c>
      <c r="R798" t="str">
        <f>"502-44-301"</f>
        <v>502-44-301</v>
      </c>
      <c r="S798" t="s">
        <v>5101</v>
      </c>
      <c r="T798" t="s">
        <v>5102</v>
      </c>
      <c r="U798">
        <v>3552</v>
      </c>
      <c r="V798">
        <v>0</v>
      </c>
      <c r="W798">
        <v>5</v>
      </c>
      <c r="X798">
        <v>2014</v>
      </c>
      <c r="Z798">
        <v>2</v>
      </c>
      <c r="AB798">
        <v>0</v>
      </c>
      <c r="AC798" t="s">
        <v>115</v>
      </c>
      <c r="AD798">
        <v>3</v>
      </c>
      <c r="AE798" t="s">
        <v>115</v>
      </c>
      <c r="AF798">
        <v>0</v>
      </c>
      <c r="AG798">
        <v>0</v>
      </c>
      <c r="AH798" t="s">
        <v>116</v>
      </c>
      <c r="AI798" s="1">
        <v>99063</v>
      </c>
      <c r="AJ798" s="2">
        <v>0.26</v>
      </c>
      <c r="AK798" s="1">
        <v>378472</v>
      </c>
      <c r="AL798" t="s">
        <v>117</v>
      </c>
      <c r="AM798" t="s">
        <v>118</v>
      </c>
      <c r="AN798">
        <v>7262</v>
      </c>
      <c r="AO798">
        <v>0.17</v>
      </c>
      <c r="AR798">
        <v>1</v>
      </c>
      <c r="AS798" s="1">
        <v>27370</v>
      </c>
      <c r="AT798" s="1">
        <v>5470</v>
      </c>
      <c r="AU798" s="1">
        <v>21900</v>
      </c>
      <c r="AV798">
        <v>80.010000000000005</v>
      </c>
      <c r="AX798" s="1">
        <v>2318.2800000000002</v>
      </c>
      <c r="AY798" t="s">
        <v>2767</v>
      </c>
      <c r="AZ798" t="s">
        <v>2767</v>
      </c>
      <c r="BA798" t="s">
        <v>1247</v>
      </c>
      <c r="BE798" s="3">
        <v>41820</v>
      </c>
      <c r="BF798" s="1">
        <v>279409</v>
      </c>
      <c r="BG798" t="s">
        <v>275</v>
      </c>
      <c r="BH798" s="1">
        <v>78.66</v>
      </c>
      <c r="BI798" s="1">
        <v>279409</v>
      </c>
      <c r="BJ798" s="3">
        <v>41820</v>
      </c>
      <c r="BK798" t="s">
        <v>123</v>
      </c>
      <c r="BL798" t="str">
        <f>"2014.429798"</f>
        <v>2014.429798</v>
      </c>
      <c r="BM798" t="s">
        <v>628</v>
      </c>
      <c r="BO798" t="s">
        <v>5103</v>
      </c>
      <c r="BS798">
        <v>30</v>
      </c>
      <c r="BW798" t="str">
        <f>""</f>
        <v/>
      </c>
      <c r="CH798" t="str">
        <f>""</f>
        <v/>
      </c>
      <c r="CS798" t="str">
        <f>""</f>
        <v/>
      </c>
    </row>
    <row r="799" spans="1:97" x14ac:dyDescent="0.25">
      <c r="A799" t="s">
        <v>325</v>
      </c>
      <c r="B799" t="s">
        <v>1929</v>
      </c>
      <c r="E799" t="s">
        <v>5104</v>
      </c>
      <c r="F799" t="s">
        <v>108</v>
      </c>
      <c r="H799" t="s">
        <v>5105</v>
      </c>
      <c r="I799" t="s">
        <v>632</v>
      </c>
      <c r="J799" t="s">
        <v>111</v>
      </c>
      <c r="K799" t="str">
        <f>"85374"</f>
        <v>85374</v>
      </c>
      <c r="L799" t="s">
        <v>5106</v>
      </c>
      <c r="M799" t="s">
        <v>5105</v>
      </c>
      <c r="N799" t="s">
        <v>632</v>
      </c>
      <c r="O799" t="s">
        <v>111</v>
      </c>
      <c r="P799" t="str">
        <f>"85374-3457"</f>
        <v>85374-3457</v>
      </c>
      <c r="Q799" t="s">
        <v>113</v>
      </c>
      <c r="R799" t="str">
        <f>"232-29-004"</f>
        <v>232-29-004</v>
      </c>
      <c r="S799" t="s">
        <v>5107</v>
      </c>
      <c r="U799">
        <v>1933</v>
      </c>
      <c r="V799">
        <v>0</v>
      </c>
      <c r="W799">
        <v>3</v>
      </c>
      <c r="X799">
        <v>1996</v>
      </c>
      <c r="Z799">
        <v>2</v>
      </c>
      <c r="AA799" t="s">
        <v>26</v>
      </c>
      <c r="AB799">
        <v>0</v>
      </c>
      <c r="AC799" t="s">
        <v>115</v>
      </c>
      <c r="AD799">
        <v>2</v>
      </c>
      <c r="AE799" t="s">
        <v>115</v>
      </c>
      <c r="AF799">
        <v>0</v>
      </c>
      <c r="AG799">
        <v>0</v>
      </c>
      <c r="AH799" t="s">
        <v>116</v>
      </c>
      <c r="AI799" s="1">
        <v>62639</v>
      </c>
      <c r="AJ799" s="2">
        <v>0.22</v>
      </c>
      <c r="AK799" s="1">
        <v>289795</v>
      </c>
      <c r="AL799" t="s">
        <v>117</v>
      </c>
      <c r="AM799" t="s">
        <v>118</v>
      </c>
      <c r="AN799">
        <v>9200</v>
      </c>
      <c r="AO799">
        <v>0.21</v>
      </c>
      <c r="AP799">
        <v>1</v>
      </c>
      <c r="AR799">
        <v>1</v>
      </c>
      <c r="AS799" s="1">
        <v>19050</v>
      </c>
      <c r="AT799" s="1">
        <v>3810</v>
      </c>
      <c r="AU799" s="1">
        <v>15240</v>
      </c>
      <c r="AV799">
        <v>80</v>
      </c>
      <c r="AX799" s="1">
        <v>1276.0999999999999</v>
      </c>
      <c r="AY799" t="s">
        <v>5108</v>
      </c>
      <c r="AZ799" t="s">
        <v>5108</v>
      </c>
      <c r="BA799" t="s">
        <v>5109</v>
      </c>
      <c r="BE799" s="3">
        <v>42508</v>
      </c>
      <c r="BF799" s="1">
        <v>219900</v>
      </c>
      <c r="BG799" t="s">
        <v>5110</v>
      </c>
      <c r="BH799" s="1">
        <v>113.76</v>
      </c>
      <c r="BI799" s="1">
        <v>227156</v>
      </c>
      <c r="BJ799" s="3">
        <v>42508</v>
      </c>
      <c r="BK799" t="s">
        <v>123</v>
      </c>
      <c r="BL799" t="str">
        <f>"2016.340628"</f>
        <v>2016.340628</v>
      </c>
      <c r="BM799" t="s">
        <v>1287</v>
      </c>
      <c r="BO799" t="s">
        <v>5111</v>
      </c>
      <c r="BS799">
        <v>30</v>
      </c>
      <c r="BW799" t="str">
        <f>""</f>
        <v/>
      </c>
      <c r="CH799" t="str">
        <f>""</f>
        <v/>
      </c>
      <c r="CS799" t="str">
        <f>""</f>
        <v/>
      </c>
    </row>
    <row r="800" spans="1:97" x14ac:dyDescent="0.25">
      <c r="B800" t="s">
        <v>5112</v>
      </c>
      <c r="E800" t="s">
        <v>5112</v>
      </c>
      <c r="F800" t="s">
        <v>108</v>
      </c>
      <c r="H800" t="s">
        <v>5113</v>
      </c>
      <c r="I800" t="s">
        <v>5114</v>
      </c>
      <c r="J800" t="s">
        <v>111</v>
      </c>
      <c r="K800" t="str">
        <f>"85392"</f>
        <v>85392</v>
      </c>
      <c r="L800" t="s">
        <v>2547</v>
      </c>
      <c r="M800" t="s">
        <v>5113</v>
      </c>
      <c r="N800" t="s">
        <v>5114</v>
      </c>
      <c r="O800" t="s">
        <v>111</v>
      </c>
      <c r="P800" t="str">
        <f>"85392-5871"</f>
        <v>85392-5871</v>
      </c>
      <c r="Q800" t="s">
        <v>113</v>
      </c>
      <c r="R800" t="str">
        <f>"102-29-757"</f>
        <v>102-29-757</v>
      </c>
      <c r="S800" t="s">
        <v>5115</v>
      </c>
      <c r="T800" t="s">
        <v>5116</v>
      </c>
      <c r="U800">
        <v>2232</v>
      </c>
      <c r="V800">
        <v>0</v>
      </c>
      <c r="W800">
        <v>4</v>
      </c>
      <c r="X800">
        <v>2001</v>
      </c>
      <c r="Z800">
        <v>2</v>
      </c>
      <c r="AB800">
        <v>0</v>
      </c>
      <c r="AC800" t="s">
        <v>115</v>
      </c>
      <c r="AD800">
        <v>2</v>
      </c>
      <c r="AE800" t="s">
        <v>115</v>
      </c>
      <c r="AF800">
        <v>0</v>
      </c>
      <c r="AG800">
        <v>0</v>
      </c>
      <c r="AH800" t="s">
        <v>116</v>
      </c>
      <c r="AI800" s="1">
        <v>40585</v>
      </c>
      <c r="AJ800" s="2">
        <v>0.14000000000000001</v>
      </c>
      <c r="AK800" s="1">
        <v>282184</v>
      </c>
      <c r="AL800" t="s">
        <v>117</v>
      </c>
      <c r="AM800" t="s">
        <v>118</v>
      </c>
      <c r="AN800">
        <v>6583</v>
      </c>
      <c r="AO800">
        <v>0.15</v>
      </c>
      <c r="AP800">
        <v>1</v>
      </c>
      <c r="AR800">
        <v>1</v>
      </c>
      <c r="AS800" s="1">
        <v>19480</v>
      </c>
      <c r="AT800" s="1">
        <v>3890</v>
      </c>
      <c r="AU800" s="1">
        <v>15590</v>
      </c>
      <c r="AV800">
        <v>80.03</v>
      </c>
      <c r="AX800" s="1">
        <v>2028.44</v>
      </c>
      <c r="AY800" t="s">
        <v>5117</v>
      </c>
      <c r="AZ800" t="s">
        <v>5117</v>
      </c>
      <c r="BA800" t="s">
        <v>5118</v>
      </c>
      <c r="BE800" s="3">
        <v>42272</v>
      </c>
      <c r="BF800" s="1">
        <v>241000</v>
      </c>
      <c r="BG800" t="s">
        <v>5119</v>
      </c>
      <c r="BH800" s="1">
        <v>107.97</v>
      </c>
      <c r="BI800" s="1">
        <v>241599</v>
      </c>
      <c r="BJ800" s="3">
        <v>42654</v>
      </c>
      <c r="BK800" t="s">
        <v>123</v>
      </c>
      <c r="BL800" t="str">
        <f>"2016.744490"</f>
        <v>2016.744490</v>
      </c>
      <c r="BM800" t="s">
        <v>4014</v>
      </c>
      <c r="BO800" t="s">
        <v>5112</v>
      </c>
      <c r="BS800">
        <v>30</v>
      </c>
      <c r="BW800" t="str">
        <f>""</f>
        <v/>
      </c>
      <c r="CH800" t="str">
        <f>""</f>
        <v/>
      </c>
      <c r="CS800" t="str">
        <f>""</f>
        <v/>
      </c>
    </row>
    <row r="801" spans="1:97" x14ac:dyDescent="0.25">
      <c r="A801" t="s">
        <v>5120</v>
      </c>
      <c r="B801" t="s">
        <v>5121</v>
      </c>
      <c r="E801" t="s">
        <v>5122</v>
      </c>
      <c r="F801" t="s">
        <v>108</v>
      </c>
      <c r="H801" t="s">
        <v>5123</v>
      </c>
      <c r="I801" t="s">
        <v>390</v>
      </c>
      <c r="J801" t="s">
        <v>111</v>
      </c>
      <c r="K801" t="str">
        <f>"85083"</f>
        <v>85083</v>
      </c>
      <c r="L801" t="s">
        <v>2820</v>
      </c>
      <c r="M801" t="s">
        <v>5123</v>
      </c>
      <c r="N801" t="s">
        <v>390</v>
      </c>
      <c r="O801" t="s">
        <v>111</v>
      </c>
      <c r="P801" t="str">
        <f>"85083-1012"</f>
        <v>85083-1012</v>
      </c>
      <c r="Q801" t="s">
        <v>113</v>
      </c>
      <c r="R801" t="str">
        <f>"201-10-642"</f>
        <v>201-10-642</v>
      </c>
      <c r="S801" t="s">
        <v>5124</v>
      </c>
      <c r="T801" t="s">
        <v>5124</v>
      </c>
      <c r="U801">
        <v>1770</v>
      </c>
      <c r="V801">
        <v>0</v>
      </c>
      <c r="W801">
        <v>3</v>
      </c>
      <c r="X801">
        <v>1998</v>
      </c>
      <c r="Z801">
        <v>1</v>
      </c>
      <c r="AA801" t="s">
        <v>26</v>
      </c>
      <c r="AB801">
        <v>0</v>
      </c>
      <c r="AC801" t="s">
        <v>115</v>
      </c>
      <c r="AD801">
        <v>2</v>
      </c>
      <c r="AE801" t="s">
        <v>115</v>
      </c>
      <c r="AF801">
        <v>0</v>
      </c>
      <c r="AG801">
        <v>0</v>
      </c>
      <c r="AH801" t="s">
        <v>116</v>
      </c>
      <c r="AI801" s="1">
        <v>26409</v>
      </c>
      <c r="AJ801" s="2">
        <v>0.08</v>
      </c>
      <c r="AK801" s="1">
        <v>311409</v>
      </c>
      <c r="AL801" t="s">
        <v>117</v>
      </c>
      <c r="AM801" t="s">
        <v>171</v>
      </c>
      <c r="AN801">
        <v>8486</v>
      </c>
      <c r="AO801">
        <v>0.2</v>
      </c>
      <c r="AP801">
        <v>1</v>
      </c>
      <c r="AR801">
        <v>1</v>
      </c>
      <c r="AS801" s="1">
        <v>22860</v>
      </c>
      <c r="AT801" s="1">
        <v>4570</v>
      </c>
      <c r="AU801" s="1">
        <v>18290</v>
      </c>
      <c r="AV801">
        <v>80.010000000000005</v>
      </c>
      <c r="AX801" s="1">
        <v>1966.82</v>
      </c>
      <c r="AY801" t="s">
        <v>5125</v>
      </c>
      <c r="AZ801" t="s">
        <v>3049</v>
      </c>
      <c r="BA801" t="s">
        <v>2223</v>
      </c>
      <c r="BE801" s="3">
        <v>42075</v>
      </c>
      <c r="BF801" s="1">
        <v>225000</v>
      </c>
      <c r="BG801" t="s">
        <v>5126</v>
      </c>
      <c r="BH801" s="1">
        <v>127.12</v>
      </c>
      <c r="BI801" s="1">
        <v>285000</v>
      </c>
      <c r="BJ801" s="3">
        <v>43007</v>
      </c>
      <c r="BK801" t="s">
        <v>123</v>
      </c>
      <c r="BL801" t="str">
        <f>"2017.720903"</f>
        <v>2017.720903</v>
      </c>
      <c r="BM801" t="s">
        <v>4812</v>
      </c>
      <c r="BO801" t="s">
        <v>5127</v>
      </c>
      <c r="BS801">
        <v>30</v>
      </c>
      <c r="BW801" t="str">
        <f>""</f>
        <v/>
      </c>
      <c r="CH801" t="str">
        <f>""</f>
        <v/>
      </c>
      <c r="CS801" t="str">
        <f>""</f>
        <v/>
      </c>
    </row>
    <row r="802" spans="1:97" x14ac:dyDescent="0.25">
      <c r="A802" t="s">
        <v>1963</v>
      </c>
      <c r="B802" t="s">
        <v>5128</v>
      </c>
      <c r="C802" t="s">
        <v>933</v>
      </c>
      <c r="D802" t="s">
        <v>5128</v>
      </c>
      <c r="E802" t="s">
        <v>5129</v>
      </c>
      <c r="F802" t="s">
        <v>108</v>
      </c>
      <c r="H802" t="s">
        <v>5130</v>
      </c>
      <c r="I802" t="s">
        <v>499</v>
      </c>
      <c r="J802" t="s">
        <v>111</v>
      </c>
      <c r="K802" t="str">
        <f>"85395"</f>
        <v>85395</v>
      </c>
      <c r="L802" t="s">
        <v>5131</v>
      </c>
      <c r="M802" t="s">
        <v>5130</v>
      </c>
      <c r="N802" t="s">
        <v>499</v>
      </c>
      <c r="O802" t="s">
        <v>111</v>
      </c>
      <c r="P802" t="str">
        <f>"85395-8073"</f>
        <v>85395-8073</v>
      </c>
      <c r="Q802" t="s">
        <v>113</v>
      </c>
      <c r="R802" t="str">
        <f>"508-09-342"</f>
        <v>508-09-342</v>
      </c>
      <c r="S802" t="s">
        <v>5132</v>
      </c>
      <c r="U802">
        <v>1445</v>
      </c>
      <c r="V802">
        <v>0</v>
      </c>
      <c r="W802">
        <v>3</v>
      </c>
      <c r="X802">
        <v>2005</v>
      </c>
      <c r="Z802">
        <v>1</v>
      </c>
      <c r="AB802">
        <v>0</v>
      </c>
      <c r="AC802" t="s">
        <v>115</v>
      </c>
      <c r="AD802">
        <v>2</v>
      </c>
      <c r="AE802" t="s">
        <v>115</v>
      </c>
      <c r="AF802">
        <v>0</v>
      </c>
      <c r="AG802">
        <v>0</v>
      </c>
      <c r="AH802" t="s">
        <v>116</v>
      </c>
      <c r="AI802" s="1">
        <v>62265</v>
      </c>
      <c r="AJ802" s="2">
        <v>0.22</v>
      </c>
      <c r="AK802" s="1">
        <v>281891</v>
      </c>
      <c r="AL802" t="s">
        <v>117</v>
      </c>
      <c r="AM802" t="s">
        <v>118</v>
      </c>
      <c r="AN802">
        <v>5921</v>
      </c>
      <c r="AO802">
        <v>0.14000000000000001</v>
      </c>
      <c r="AR802">
        <v>1</v>
      </c>
      <c r="AS802" s="1">
        <v>21750</v>
      </c>
      <c r="AT802" s="1">
        <v>4350</v>
      </c>
      <c r="AU802" s="1">
        <v>17400</v>
      </c>
      <c r="AV802">
        <v>80</v>
      </c>
      <c r="AX802" s="1">
        <v>2539.88</v>
      </c>
      <c r="AY802" t="s">
        <v>3020</v>
      </c>
      <c r="AZ802" t="s">
        <v>3020</v>
      </c>
      <c r="BA802" t="s">
        <v>218</v>
      </c>
      <c r="BE802" s="3">
        <v>41808</v>
      </c>
      <c r="BF802" s="1">
        <v>207000</v>
      </c>
      <c r="BG802" t="s">
        <v>5133</v>
      </c>
      <c r="BH802" s="1">
        <v>143.25</v>
      </c>
      <c r="BI802" s="1">
        <v>219626</v>
      </c>
      <c r="BJ802" s="3">
        <v>42465</v>
      </c>
      <c r="BK802" t="s">
        <v>123</v>
      </c>
      <c r="BL802" t="str">
        <f>"2016.221666"</f>
        <v>2016.221666</v>
      </c>
      <c r="BM802" t="s">
        <v>709</v>
      </c>
      <c r="BO802" t="s">
        <v>5134</v>
      </c>
      <c r="BQ802" t="str">
        <f>"2.9900%"</f>
        <v>2.9900%</v>
      </c>
      <c r="BR802" t="s">
        <v>1480</v>
      </c>
      <c r="BS802">
        <v>30</v>
      </c>
      <c r="BW802" t="str">
        <f>""</f>
        <v/>
      </c>
      <c r="CH802" t="str">
        <f>""</f>
        <v/>
      </c>
      <c r="CS802" t="str">
        <f>""</f>
        <v/>
      </c>
    </row>
    <row r="803" spans="1:97" x14ac:dyDescent="0.25">
      <c r="A803" t="s">
        <v>2828</v>
      </c>
      <c r="B803" t="s">
        <v>5135</v>
      </c>
      <c r="C803" t="s">
        <v>1423</v>
      </c>
      <c r="D803" t="s">
        <v>5135</v>
      </c>
      <c r="E803" t="s">
        <v>5136</v>
      </c>
      <c r="F803" t="s">
        <v>108</v>
      </c>
      <c r="H803" t="s">
        <v>5137</v>
      </c>
      <c r="I803" t="s">
        <v>390</v>
      </c>
      <c r="J803" t="s">
        <v>111</v>
      </c>
      <c r="K803" t="str">
        <f>"85053"</f>
        <v>85053</v>
      </c>
      <c r="L803" t="s">
        <v>5138</v>
      </c>
      <c r="M803" t="s">
        <v>5137</v>
      </c>
      <c r="N803" t="s">
        <v>390</v>
      </c>
      <c r="O803" t="s">
        <v>111</v>
      </c>
      <c r="P803" t="str">
        <f>"85053-1826"</f>
        <v>85053-1826</v>
      </c>
      <c r="Q803" t="s">
        <v>113</v>
      </c>
      <c r="R803" t="str">
        <f>"207-03-186"</f>
        <v>207-03-186</v>
      </c>
      <c r="S803" t="s">
        <v>5139</v>
      </c>
      <c r="T803" t="s">
        <v>5140</v>
      </c>
      <c r="U803">
        <v>1740</v>
      </c>
      <c r="V803">
        <v>0</v>
      </c>
      <c r="W803">
        <v>2</v>
      </c>
      <c r="X803">
        <v>1979</v>
      </c>
      <c r="Z803">
        <v>1</v>
      </c>
      <c r="AA803" t="s">
        <v>26</v>
      </c>
      <c r="AB803">
        <v>0</v>
      </c>
      <c r="AC803" t="s">
        <v>115</v>
      </c>
      <c r="AD803">
        <v>2</v>
      </c>
      <c r="AE803" t="s">
        <v>115</v>
      </c>
      <c r="AF803">
        <v>0</v>
      </c>
      <c r="AG803">
        <v>0</v>
      </c>
      <c r="AH803" t="s">
        <v>116</v>
      </c>
      <c r="AI803" s="1">
        <v>49869</v>
      </c>
      <c r="AJ803" s="2">
        <v>0.18</v>
      </c>
      <c r="AK803" s="1">
        <v>282869</v>
      </c>
      <c r="AL803" t="s">
        <v>117</v>
      </c>
      <c r="AM803" t="s">
        <v>191</v>
      </c>
      <c r="AN803">
        <v>11003</v>
      </c>
      <c r="AO803">
        <v>0.25</v>
      </c>
      <c r="AP803">
        <v>1</v>
      </c>
      <c r="AR803">
        <v>1</v>
      </c>
      <c r="AS803" s="1">
        <v>19700</v>
      </c>
      <c r="AT803" s="1">
        <v>3940</v>
      </c>
      <c r="AU803" s="1">
        <v>15760</v>
      </c>
      <c r="AV803">
        <v>80</v>
      </c>
      <c r="AX803" s="1">
        <v>1439.66</v>
      </c>
      <c r="AY803" t="s">
        <v>5141</v>
      </c>
      <c r="AZ803" t="s">
        <v>5142</v>
      </c>
      <c r="BA803" t="s">
        <v>5143</v>
      </c>
      <c r="BE803" s="3">
        <v>42460</v>
      </c>
      <c r="BF803" s="1">
        <v>233000</v>
      </c>
      <c r="BG803" t="s">
        <v>5144</v>
      </c>
      <c r="BH803" s="1">
        <v>133.91</v>
      </c>
      <c r="BI803" s="1">
        <v>233000</v>
      </c>
      <c r="BJ803" s="3">
        <v>42460</v>
      </c>
      <c r="BK803" t="s">
        <v>123</v>
      </c>
      <c r="BL803" t="str">
        <f>"2016.212026"</f>
        <v>2016.212026</v>
      </c>
      <c r="BM803" t="s">
        <v>724</v>
      </c>
      <c r="BO803" t="s">
        <v>5145</v>
      </c>
      <c r="BS803">
        <v>30</v>
      </c>
      <c r="BW803" t="str">
        <f>""</f>
        <v/>
      </c>
      <c r="CH803" t="str">
        <f>""</f>
        <v/>
      </c>
      <c r="CS803" t="str">
        <f>""</f>
        <v/>
      </c>
    </row>
    <row r="804" spans="1:97" x14ac:dyDescent="0.25">
      <c r="A804" t="s">
        <v>3104</v>
      </c>
      <c r="B804" t="s">
        <v>5146</v>
      </c>
      <c r="C804" t="s">
        <v>220</v>
      </c>
      <c r="D804" t="s">
        <v>5146</v>
      </c>
      <c r="E804" t="s">
        <v>5147</v>
      </c>
      <c r="F804" t="s">
        <v>108</v>
      </c>
      <c r="H804" t="s">
        <v>5148</v>
      </c>
      <c r="I804" t="s">
        <v>4251</v>
      </c>
      <c r="J804" t="s">
        <v>111</v>
      </c>
      <c r="K804" t="str">
        <f>"85353"</f>
        <v>85353</v>
      </c>
      <c r="L804" t="s">
        <v>3758</v>
      </c>
      <c r="M804" t="s">
        <v>5148</v>
      </c>
      <c r="N804" t="s">
        <v>4251</v>
      </c>
      <c r="O804" t="s">
        <v>111</v>
      </c>
      <c r="P804" t="str">
        <f>"85353-7663"</f>
        <v>85353-7663</v>
      </c>
      <c r="Q804" t="s">
        <v>113</v>
      </c>
      <c r="R804" t="str">
        <f>"101-25-770"</f>
        <v>101-25-770</v>
      </c>
      <c r="S804" t="s">
        <v>5149</v>
      </c>
      <c r="T804" t="s">
        <v>5149</v>
      </c>
      <c r="U804">
        <v>4760</v>
      </c>
      <c r="V804">
        <v>0</v>
      </c>
      <c r="W804">
        <v>5</v>
      </c>
      <c r="X804">
        <v>2014</v>
      </c>
      <c r="Z804">
        <v>2</v>
      </c>
      <c r="AB804">
        <v>0</v>
      </c>
      <c r="AC804" t="s">
        <v>115</v>
      </c>
      <c r="AD804">
        <v>4</v>
      </c>
      <c r="AE804" t="s">
        <v>115</v>
      </c>
      <c r="AF804">
        <v>0</v>
      </c>
      <c r="AG804">
        <v>0</v>
      </c>
      <c r="AH804" t="s">
        <v>116</v>
      </c>
      <c r="AI804" s="1">
        <v>17939</v>
      </c>
      <c r="AJ804" s="2">
        <v>0.04</v>
      </c>
      <c r="AK804" s="1">
        <v>411419</v>
      </c>
      <c r="AL804" t="s">
        <v>117</v>
      </c>
      <c r="AM804" t="s">
        <v>1302</v>
      </c>
      <c r="AN804">
        <v>12075</v>
      </c>
      <c r="AO804">
        <v>0.28000000000000003</v>
      </c>
      <c r="AR804">
        <v>1</v>
      </c>
      <c r="AS804" s="1">
        <v>30980</v>
      </c>
      <c r="AT804" s="1">
        <v>6190</v>
      </c>
      <c r="AU804" s="1">
        <v>24790</v>
      </c>
      <c r="AV804">
        <v>80.02</v>
      </c>
      <c r="AX804" s="1">
        <v>4131</v>
      </c>
      <c r="AY804" t="s">
        <v>5150</v>
      </c>
      <c r="AZ804" t="s">
        <v>5150</v>
      </c>
      <c r="BA804" t="s">
        <v>4254</v>
      </c>
      <c r="BE804" s="3">
        <v>41775</v>
      </c>
      <c r="BF804" s="1">
        <v>330426</v>
      </c>
      <c r="BG804" t="s">
        <v>209</v>
      </c>
      <c r="BH804" s="1">
        <v>69.42</v>
      </c>
      <c r="BI804" s="1">
        <v>372780</v>
      </c>
      <c r="BJ804" s="3">
        <v>42550</v>
      </c>
      <c r="BK804" t="s">
        <v>123</v>
      </c>
      <c r="BL804" t="str">
        <f>"2016.456177"</f>
        <v>2016.456177</v>
      </c>
      <c r="BM804" t="s">
        <v>255</v>
      </c>
      <c r="BN804" t="s">
        <v>2398</v>
      </c>
      <c r="BO804" t="s">
        <v>5151</v>
      </c>
      <c r="BS804">
        <v>30</v>
      </c>
      <c r="BT804" s="1">
        <v>20700</v>
      </c>
      <c r="BU804" s="3">
        <v>43452</v>
      </c>
      <c r="BV804" t="s">
        <v>134</v>
      </c>
      <c r="BW804" t="str">
        <f>"2018.926222"</f>
        <v>2018.926222</v>
      </c>
      <c r="BX804" t="s">
        <v>135</v>
      </c>
      <c r="BY804" t="s">
        <v>136</v>
      </c>
      <c r="BZ804" t="s">
        <v>5152</v>
      </c>
      <c r="CA804" t="s">
        <v>5153</v>
      </c>
      <c r="CC804" t="s">
        <v>139</v>
      </c>
      <c r="CH804" t="str">
        <f>""</f>
        <v/>
      </c>
      <c r="CS804" t="str">
        <f>""</f>
        <v/>
      </c>
    </row>
    <row r="805" spans="1:97" x14ac:dyDescent="0.25">
      <c r="A805" t="s">
        <v>177</v>
      </c>
      <c r="B805" t="s">
        <v>1089</v>
      </c>
      <c r="C805" t="s">
        <v>1252</v>
      </c>
      <c r="D805" t="s">
        <v>163</v>
      </c>
      <c r="E805" t="s">
        <v>5154</v>
      </c>
      <c r="F805" t="s">
        <v>108</v>
      </c>
      <c r="H805" t="s">
        <v>5155</v>
      </c>
      <c r="I805" t="s">
        <v>225</v>
      </c>
      <c r="J805" t="s">
        <v>111</v>
      </c>
      <c r="K805" t="str">
        <f>"85206"</f>
        <v>85206</v>
      </c>
      <c r="L805" t="s">
        <v>3696</v>
      </c>
      <c r="M805" t="s">
        <v>5155</v>
      </c>
      <c r="N805" t="s">
        <v>225</v>
      </c>
      <c r="O805" t="s">
        <v>111</v>
      </c>
      <c r="P805" t="str">
        <f>"85206-6761"</f>
        <v>85206-6761</v>
      </c>
      <c r="Q805" t="s">
        <v>113</v>
      </c>
      <c r="R805" t="str">
        <f>"141-53-288"</f>
        <v>141-53-288</v>
      </c>
      <c r="S805" t="s">
        <v>5156</v>
      </c>
      <c r="T805" t="s">
        <v>5156</v>
      </c>
      <c r="U805">
        <v>1582</v>
      </c>
      <c r="V805">
        <v>0</v>
      </c>
      <c r="W805">
        <v>3</v>
      </c>
      <c r="X805">
        <v>1999</v>
      </c>
      <c r="Z805">
        <v>1</v>
      </c>
      <c r="AA805" t="s">
        <v>26</v>
      </c>
      <c r="AB805">
        <v>0</v>
      </c>
      <c r="AC805" t="s">
        <v>115</v>
      </c>
      <c r="AD805">
        <v>2</v>
      </c>
      <c r="AE805" t="s">
        <v>115</v>
      </c>
      <c r="AF805">
        <v>0</v>
      </c>
      <c r="AG805">
        <v>0</v>
      </c>
      <c r="AH805" t="s">
        <v>116</v>
      </c>
      <c r="AI805" s="1">
        <v>61352</v>
      </c>
      <c r="AJ805" s="2">
        <v>0.21</v>
      </c>
      <c r="AK805" s="1">
        <v>291602</v>
      </c>
      <c r="AL805" t="s">
        <v>117</v>
      </c>
      <c r="AM805" t="s">
        <v>917</v>
      </c>
      <c r="AN805">
        <v>7475</v>
      </c>
      <c r="AO805">
        <v>0.17</v>
      </c>
      <c r="AP805">
        <v>1</v>
      </c>
      <c r="AR805">
        <v>1</v>
      </c>
      <c r="AS805" s="1">
        <v>19870</v>
      </c>
      <c r="AT805" s="1">
        <v>3970</v>
      </c>
      <c r="AU805" s="1">
        <v>15900</v>
      </c>
      <c r="AV805">
        <v>80.02</v>
      </c>
      <c r="AX805" s="1">
        <v>1640.52</v>
      </c>
      <c r="AY805" t="s">
        <v>5157</v>
      </c>
      <c r="AZ805" t="s">
        <v>5158</v>
      </c>
      <c r="BA805" t="s">
        <v>5159</v>
      </c>
      <c r="BE805" s="3">
        <v>42221</v>
      </c>
      <c r="BF805" s="1">
        <v>226000</v>
      </c>
      <c r="BG805" t="s">
        <v>5160</v>
      </c>
      <c r="BH805" s="1">
        <v>142.86000000000001</v>
      </c>
      <c r="BI805" s="1">
        <v>230250</v>
      </c>
      <c r="BJ805" s="3">
        <v>42615</v>
      </c>
      <c r="BK805" t="s">
        <v>123</v>
      </c>
      <c r="BL805" t="str">
        <f>"2016.639235"</f>
        <v>2016.639235</v>
      </c>
      <c r="BM805" t="s">
        <v>124</v>
      </c>
      <c r="BO805" t="s">
        <v>5161</v>
      </c>
      <c r="BP805" t="s">
        <v>5162</v>
      </c>
      <c r="BS805">
        <v>30</v>
      </c>
      <c r="BW805" t="str">
        <f>""</f>
        <v/>
      </c>
      <c r="CH805" t="str">
        <f>""</f>
        <v/>
      </c>
      <c r="CS805" t="str">
        <f>""</f>
        <v/>
      </c>
    </row>
    <row r="806" spans="1:97" x14ac:dyDescent="0.25">
      <c r="A806" t="s">
        <v>1850</v>
      </c>
      <c r="B806" t="s">
        <v>4538</v>
      </c>
      <c r="E806" t="s">
        <v>5163</v>
      </c>
      <c r="F806" t="s">
        <v>108</v>
      </c>
      <c r="H806" t="s">
        <v>5164</v>
      </c>
      <c r="I806" t="s">
        <v>632</v>
      </c>
      <c r="J806" t="s">
        <v>111</v>
      </c>
      <c r="K806" t="str">
        <f>"85388"</f>
        <v>85388</v>
      </c>
      <c r="L806" t="s">
        <v>5165</v>
      </c>
      <c r="M806" t="s">
        <v>5164</v>
      </c>
      <c r="N806" t="s">
        <v>632</v>
      </c>
      <c r="O806" t="s">
        <v>111</v>
      </c>
      <c r="P806" t="str">
        <f>"85388-5031"</f>
        <v>85388-5031</v>
      </c>
      <c r="Q806" t="s">
        <v>113</v>
      </c>
      <c r="R806" t="str">
        <f>"502-05-131"</f>
        <v>502-05-131</v>
      </c>
      <c r="S806" t="s">
        <v>5166</v>
      </c>
      <c r="T806" t="s">
        <v>5167</v>
      </c>
      <c r="U806">
        <v>2144</v>
      </c>
      <c r="V806">
        <v>0</v>
      </c>
      <c r="W806">
        <v>3</v>
      </c>
      <c r="X806">
        <v>2011</v>
      </c>
      <c r="Z806">
        <v>1</v>
      </c>
      <c r="AB806">
        <v>0</v>
      </c>
      <c r="AC806" t="s">
        <v>115</v>
      </c>
      <c r="AD806">
        <v>3</v>
      </c>
      <c r="AE806" t="s">
        <v>115</v>
      </c>
      <c r="AF806">
        <v>0</v>
      </c>
      <c r="AG806">
        <v>0</v>
      </c>
      <c r="AH806" t="s">
        <v>116</v>
      </c>
      <c r="AI806" s="1">
        <v>38293</v>
      </c>
      <c r="AJ806" s="2">
        <v>0.13</v>
      </c>
      <c r="AK806" s="1">
        <v>291251</v>
      </c>
      <c r="AL806" t="s">
        <v>117</v>
      </c>
      <c r="AM806" t="s">
        <v>118</v>
      </c>
      <c r="AN806">
        <v>9108</v>
      </c>
      <c r="AO806">
        <v>0.21</v>
      </c>
      <c r="AR806">
        <v>1</v>
      </c>
      <c r="AS806" s="1">
        <v>20300</v>
      </c>
      <c r="AT806" s="1">
        <v>4060</v>
      </c>
      <c r="AU806" s="1">
        <v>16240</v>
      </c>
      <c r="AV806">
        <v>80</v>
      </c>
      <c r="AX806" s="1">
        <v>1695.06</v>
      </c>
      <c r="AY806" t="s">
        <v>5168</v>
      </c>
      <c r="AZ806" t="s">
        <v>5168</v>
      </c>
      <c r="BA806" t="s">
        <v>5061</v>
      </c>
      <c r="BE806" s="3">
        <v>42507</v>
      </c>
      <c r="BF806" s="1">
        <v>239500</v>
      </c>
      <c r="BG806" t="s">
        <v>5169</v>
      </c>
      <c r="BH806" s="1">
        <v>111.71</v>
      </c>
      <c r="BI806" s="1">
        <v>252958</v>
      </c>
      <c r="BJ806" s="3">
        <v>42636</v>
      </c>
      <c r="BK806" t="s">
        <v>123</v>
      </c>
      <c r="BL806" t="str">
        <f>"2016.695441"</f>
        <v>2016.695441</v>
      </c>
      <c r="BM806" t="s">
        <v>248</v>
      </c>
      <c r="BO806" t="s">
        <v>5170</v>
      </c>
      <c r="BS806">
        <v>30</v>
      </c>
      <c r="BW806" t="str">
        <f>""</f>
        <v/>
      </c>
      <c r="CH806" t="str">
        <f>""</f>
        <v/>
      </c>
      <c r="CS806" t="str">
        <f>""</f>
        <v/>
      </c>
    </row>
    <row r="807" spans="1:97" x14ac:dyDescent="0.25">
      <c r="A807" t="s">
        <v>2045</v>
      </c>
      <c r="B807" t="s">
        <v>5171</v>
      </c>
      <c r="C807" t="s">
        <v>5172</v>
      </c>
      <c r="D807" t="s">
        <v>5173</v>
      </c>
      <c r="E807" t="s">
        <v>5174</v>
      </c>
      <c r="F807" t="s">
        <v>108</v>
      </c>
      <c r="H807" t="s">
        <v>5175</v>
      </c>
      <c r="I807" t="s">
        <v>3150</v>
      </c>
      <c r="J807" t="s">
        <v>111</v>
      </c>
      <c r="K807" t="str">
        <f>"85340"</f>
        <v>85340</v>
      </c>
      <c r="L807" t="s">
        <v>5176</v>
      </c>
      <c r="M807" t="s">
        <v>5175</v>
      </c>
      <c r="N807" t="s">
        <v>3150</v>
      </c>
      <c r="O807" t="s">
        <v>111</v>
      </c>
      <c r="P807" t="str">
        <f>"85340-2765"</f>
        <v>85340-2765</v>
      </c>
      <c r="Q807" t="s">
        <v>113</v>
      </c>
      <c r="R807" t="str">
        <f>"508-15-282"</f>
        <v>508-15-282</v>
      </c>
      <c r="S807" t="s">
        <v>5177</v>
      </c>
      <c r="T807" t="s">
        <v>5178</v>
      </c>
      <c r="U807">
        <v>1736</v>
      </c>
      <c r="V807">
        <v>0</v>
      </c>
      <c r="W807">
        <v>3</v>
      </c>
      <c r="X807">
        <v>2012</v>
      </c>
      <c r="Z807">
        <v>1</v>
      </c>
      <c r="AA807" t="s">
        <v>26</v>
      </c>
      <c r="AB807">
        <v>0</v>
      </c>
      <c r="AC807" t="s">
        <v>115</v>
      </c>
      <c r="AD807">
        <v>2</v>
      </c>
      <c r="AE807" t="s">
        <v>115</v>
      </c>
      <c r="AF807">
        <v>0</v>
      </c>
      <c r="AG807">
        <v>0</v>
      </c>
      <c r="AH807" t="s">
        <v>116</v>
      </c>
      <c r="AI807" s="1">
        <v>56906</v>
      </c>
      <c r="AJ807" s="2">
        <v>0.17</v>
      </c>
      <c r="AK807" s="1">
        <v>336516</v>
      </c>
      <c r="AL807" t="s">
        <v>117</v>
      </c>
      <c r="AM807" t="s">
        <v>191</v>
      </c>
      <c r="AN807">
        <v>8028</v>
      </c>
      <c r="AO807">
        <v>0.18</v>
      </c>
      <c r="AR807">
        <v>1</v>
      </c>
      <c r="AS807" s="1">
        <v>24150</v>
      </c>
      <c r="AT807" s="1">
        <v>4830</v>
      </c>
      <c r="AU807" s="1">
        <v>19320</v>
      </c>
      <c r="AV807">
        <v>80</v>
      </c>
      <c r="AX807" s="1">
        <v>2650.02</v>
      </c>
      <c r="AY807" t="s">
        <v>3020</v>
      </c>
      <c r="AZ807" t="s">
        <v>3020</v>
      </c>
      <c r="BA807" t="s">
        <v>3154</v>
      </c>
      <c r="BE807" s="3">
        <v>42228</v>
      </c>
      <c r="BF807" s="1">
        <v>245000</v>
      </c>
      <c r="BG807" t="s">
        <v>5179</v>
      </c>
      <c r="BH807" s="1">
        <v>141.13</v>
      </c>
      <c r="BI807" s="1">
        <v>253085</v>
      </c>
      <c r="BJ807" s="3">
        <v>42228</v>
      </c>
      <c r="BK807" t="s">
        <v>123</v>
      </c>
      <c r="BL807" t="str">
        <f>"2015.584748"</f>
        <v>2015.584748</v>
      </c>
      <c r="BM807" t="s">
        <v>683</v>
      </c>
      <c r="BO807" t="s">
        <v>5180</v>
      </c>
      <c r="BP807" t="s">
        <v>5181</v>
      </c>
      <c r="BS807">
        <v>30</v>
      </c>
      <c r="BT807" s="1">
        <v>26525</v>
      </c>
      <c r="BU807" s="3">
        <v>42327</v>
      </c>
      <c r="BV807" t="s">
        <v>134</v>
      </c>
      <c r="BW807" t="str">
        <f>"2015.828986"</f>
        <v>2015.828986</v>
      </c>
      <c r="BX807" t="s">
        <v>198</v>
      </c>
      <c r="BZ807" t="s">
        <v>5180</v>
      </c>
      <c r="CA807" t="s">
        <v>5181</v>
      </c>
      <c r="CD807">
        <v>15</v>
      </c>
      <c r="CH807" t="str">
        <f>""</f>
        <v/>
      </c>
      <c r="CS807" t="str">
        <f>""</f>
        <v/>
      </c>
    </row>
    <row r="808" spans="1:97" x14ac:dyDescent="0.25">
      <c r="A808" t="s">
        <v>1344</v>
      </c>
      <c r="B808" t="s">
        <v>5182</v>
      </c>
      <c r="E808" t="s">
        <v>5183</v>
      </c>
      <c r="F808" t="s">
        <v>108</v>
      </c>
      <c r="H808" t="s">
        <v>5184</v>
      </c>
      <c r="I808" t="s">
        <v>225</v>
      </c>
      <c r="J808" t="s">
        <v>111</v>
      </c>
      <c r="K808" t="str">
        <f>"85203"</f>
        <v>85203</v>
      </c>
      <c r="L808" t="s">
        <v>5185</v>
      </c>
      <c r="M808" t="s">
        <v>5184</v>
      </c>
      <c r="N808" t="s">
        <v>225</v>
      </c>
      <c r="O808" t="s">
        <v>111</v>
      </c>
      <c r="P808" t="str">
        <f>"85203-4811"</f>
        <v>85203-4811</v>
      </c>
      <c r="Q808" t="s">
        <v>113</v>
      </c>
      <c r="R808" t="str">
        <f>"137-32-085"</f>
        <v>137-32-085</v>
      </c>
      <c r="S808" t="s">
        <v>5186</v>
      </c>
      <c r="T808" t="s">
        <v>5187</v>
      </c>
      <c r="U808">
        <v>2166</v>
      </c>
      <c r="V808">
        <v>0</v>
      </c>
      <c r="W808">
        <v>2</v>
      </c>
      <c r="X808">
        <v>1968</v>
      </c>
      <c r="Z808">
        <v>1</v>
      </c>
      <c r="AA808" t="s">
        <v>26</v>
      </c>
      <c r="AB808">
        <v>0</v>
      </c>
      <c r="AC808" t="s">
        <v>5188</v>
      </c>
      <c r="AD808">
        <v>2</v>
      </c>
      <c r="AE808" t="s">
        <v>5188</v>
      </c>
      <c r="AF808">
        <v>0</v>
      </c>
      <c r="AG808">
        <v>0</v>
      </c>
      <c r="AH808" t="s">
        <v>116</v>
      </c>
      <c r="AI808" s="1">
        <v>74765</v>
      </c>
      <c r="AJ808" s="2">
        <v>0.24</v>
      </c>
      <c r="AK808" s="1">
        <v>306165</v>
      </c>
      <c r="AL808" t="s">
        <v>117</v>
      </c>
      <c r="AM808" t="s">
        <v>917</v>
      </c>
      <c r="AN808">
        <v>9596</v>
      </c>
      <c r="AO808">
        <v>0.22</v>
      </c>
      <c r="AP808">
        <v>1</v>
      </c>
      <c r="AR808">
        <v>1</v>
      </c>
      <c r="AS808" s="1">
        <v>21030</v>
      </c>
      <c r="AT808" s="1">
        <v>4200</v>
      </c>
      <c r="AU808" s="1">
        <v>16830</v>
      </c>
      <c r="AV808">
        <v>80.03</v>
      </c>
      <c r="AX808" s="1">
        <v>1356.46</v>
      </c>
      <c r="AY808" t="s">
        <v>5189</v>
      </c>
      <c r="AZ808" t="s">
        <v>5190</v>
      </c>
      <c r="BA808" t="s">
        <v>5191</v>
      </c>
      <c r="BE808" s="3">
        <v>42328</v>
      </c>
      <c r="BF808" s="1">
        <v>231400</v>
      </c>
      <c r="BG808" t="s">
        <v>5192</v>
      </c>
      <c r="BH808" s="1">
        <v>106.83</v>
      </c>
      <c r="BI808" s="1">
        <v>231400</v>
      </c>
      <c r="BJ808" s="3">
        <v>42328</v>
      </c>
      <c r="BK808" t="s">
        <v>123</v>
      </c>
      <c r="BL808" t="str">
        <f>"2015.831597"</f>
        <v>2015.831597</v>
      </c>
      <c r="BM808" t="s">
        <v>255</v>
      </c>
      <c r="BO808" t="s">
        <v>5193</v>
      </c>
      <c r="BS808">
        <v>30</v>
      </c>
      <c r="BW808" t="str">
        <f>""</f>
        <v/>
      </c>
      <c r="CH808" t="str">
        <f>""</f>
        <v/>
      </c>
      <c r="CS808" t="str">
        <f>""</f>
        <v/>
      </c>
    </row>
    <row r="809" spans="1:97" x14ac:dyDescent="0.25">
      <c r="A809" t="s">
        <v>5194</v>
      </c>
      <c r="B809" t="s">
        <v>5195</v>
      </c>
      <c r="C809" t="s">
        <v>537</v>
      </c>
      <c r="D809" t="s">
        <v>5195</v>
      </c>
      <c r="E809" t="s">
        <v>5196</v>
      </c>
      <c r="F809" t="s">
        <v>108</v>
      </c>
      <c r="H809" t="s">
        <v>5197</v>
      </c>
      <c r="I809" t="s">
        <v>110</v>
      </c>
      <c r="J809" t="s">
        <v>111</v>
      </c>
      <c r="K809" t="str">
        <f>"85226"</f>
        <v>85226</v>
      </c>
      <c r="L809" t="s">
        <v>3318</v>
      </c>
      <c r="M809" t="s">
        <v>5197</v>
      </c>
      <c r="N809" t="s">
        <v>110</v>
      </c>
      <c r="O809" t="s">
        <v>111</v>
      </c>
      <c r="P809" t="str">
        <f>"85226-4857"</f>
        <v>85226-4857</v>
      </c>
      <c r="Q809" t="s">
        <v>113</v>
      </c>
      <c r="R809" t="str">
        <f>"301-89-372"</f>
        <v>301-89-372</v>
      </c>
      <c r="S809" t="s">
        <v>5198</v>
      </c>
      <c r="T809" t="s">
        <v>5199</v>
      </c>
      <c r="U809">
        <v>1820</v>
      </c>
      <c r="V809">
        <v>0</v>
      </c>
      <c r="W809">
        <v>3</v>
      </c>
      <c r="X809">
        <v>1981</v>
      </c>
      <c r="Z809">
        <v>1</v>
      </c>
      <c r="AA809" t="s">
        <v>26</v>
      </c>
      <c r="AB809">
        <v>0</v>
      </c>
      <c r="AC809" t="s">
        <v>115</v>
      </c>
      <c r="AD809">
        <v>2</v>
      </c>
      <c r="AE809" t="s">
        <v>115</v>
      </c>
      <c r="AF809">
        <v>0</v>
      </c>
      <c r="AG809">
        <v>0</v>
      </c>
      <c r="AH809" t="s">
        <v>116</v>
      </c>
      <c r="AI809" s="1">
        <v>68206</v>
      </c>
      <c r="AJ809" s="2">
        <v>0.21</v>
      </c>
      <c r="AK809" s="1">
        <v>328106</v>
      </c>
      <c r="AL809" t="s">
        <v>117</v>
      </c>
      <c r="AM809" t="s">
        <v>5077</v>
      </c>
      <c r="AN809">
        <v>8642</v>
      </c>
      <c r="AO809">
        <v>0.2</v>
      </c>
      <c r="AP809">
        <v>1</v>
      </c>
      <c r="AR809">
        <v>1</v>
      </c>
      <c r="AS809" s="1">
        <v>23880</v>
      </c>
      <c r="AT809" s="1">
        <v>4770</v>
      </c>
      <c r="AU809" s="1">
        <v>19110</v>
      </c>
      <c r="AV809">
        <v>80.03</v>
      </c>
      <c r="AX809" s="1">
        <v>1669.1</v>
      </c>
      <c r="AY809" t="s">
        <v>5200</v>
      </c>
      <c r="AZ809" t="s">
        <v>5201</v>
      </c>
      <c r="BA809" t="s">
        <v>5202</v>
      </c>
      <c r="BE809" s="3">
        <v>42061</v>
      </c>
      <c r="BF809" s="1">
        <v>259900</v>
      </c>
      <c r="BG809" t="s">
        <v>5203</v>
      </c>
      <c r="BH809" s="1">
        <v>142.80000000000001</v>
      </c>
      <c r="BI809" s="1">
        <v>259900</v>
      </c>
      <c r="BJ809" s="3">
        <v>42061</v>
      </c>
      <c r="BK809" t="s">
        <v>123</v>
      </c>
      <c r="BL809" t="str">
        <f>"2015.128806"</f>
        <v>2015.128806</v>
      </c>
      <c r="BM809" t="s">
        <v>1185</v>
      </c>
      <c r="BO809" t="s">
        <v>5204</v>
      </c>
      <c r="BS809">
        <v>30</v>
      </c>
      <c r="BW809" t="str">
        <f>""</f>
        <v/>
      </c>
      <c r="CH809" t="str">
        <f>""</f>
        <v/>
      </c>
      <c r="CS809" t="str">
        <f>""</f>
        <v/>
      </c>
    </row>
    <row r="810" spans="1:97" x14ac:dyDescent="0.25">
      <c r="A810" t="s">
        <v>5205</v>
      </c>
      <c r="B810" t="s">
        <v>5206</v>
      </c>
      <c r="C810" t="s">
        <v>259</v>
      </c>
      <c r="D810" t="s">
        <v>5206</v>
      </c>
      <c r="E810" t="s">
        <v>5207</v>
      </c>
      <c r="F810" t="s">
        <v>108</v>
      </c>
      <c r="H810" t="s">
        <v>5208</v>
      </c>
      <c r="I810" t="s">
        <v>390</v>
      </c>
      <c r="J810" t="s">
        <v>111</v>
      </c>
      <c r="K810" t="str">
        <f>"85041"</f>
        <v>85041</v>
      </c>
      <c r="L810" t="s">
        <v>5209</v>
      </c>
      <c r="M810" t="s">
        <v>5208</v>
      </c>
      <c r="N810" t="s">
        <v>390</v>
      </c>
      <c r="O810" t="s">
        <v>111</v>
      </c>
      <c r="P810" t="str">
        <f>"85041-6544"</f>
        <v>85041-6544</v>
      </c>
      <c r="Q810" t="s">
        <v>113</v>
      </c>
      <c r="R810" t="str">
        <f>"105-86-617"</f>
        <v>105-86-617</v>
      </c>
      <c r="S810" t="s">
        <v>5210</v>
      </c>
      <c r="T810" t="s">
        <v>5210</v>
      </c>
      <c r="U810">
        <v>2484</v>
      </c>
      <c r="V810">
        <v>0</v>
      </c>
      <c r="W810">
        <v>3</v>
      </c>
      <c r="X810">
        <v>2004</v>
      </c>
      <c r="Z810">
        <v>1</v>
      </c>
      <c r="AB810">
        <v>0</v>
      </c>
      <c r="AC810" t="s">
        <v>115</v>
      </c>
      <c r="AD810">
        <v>3</v>
      </c>
      <c r="AE810" t="s">
        <v>115</v>
      </c>
      <c r="AF810">
        <v>0</v>
      </c>
      <c r="AG810">
        <v>0</v>
      </c>
      <c r="AH810" t="s">
        <v>116</v>
      </c>
      <c r="AI810" s="1">
        <v>50017</v>
      </c>
      <c r="AJ810" s="2">
        <v>0.18</v>
      </c>
      <c r="AK810" s="1">
        <v>272112</v>
      </c>
      <c r="AL810" t="s">
        <v>117</v>
      </c>
      <c r="AM810" t="s">
        <v>760</v>
      </c>
      <c r="AN810">
        <v>7721</v>
      </c>
      <c r="AO810">
        <v>0.18</v>
      </c>
      <c r="AP810">
        <v>1</v>
      </c>
      <c r="AR810">
        <v>1</v>
      </c>
      <c r="AS810" s="1">
        <v>20700</v>
      </c>
      <c r="AT810" s="1">
        <v>4140</v>
      </c>
      <c r="AU810" s="1">
        <v>16560</v>
      </c>
      <c r="AV810">
        <v>80</v>
      </c>
      <c r="AX810" s="1">
        <v>2071.56</v>
      </c>
      <c r="AY810" t="s">
        <v>5211</v>
      </c>
      <c r="AZ810" t="s">
        <v>5211</v>
      </c>
      <c r="BA810" t="s">
        <v>1661</v>
      </c>
      <c r="BE810" s="3">
        <v>42550</v>
      </c>
      <c r="BF810" s="1">
        <v>215000</v>
      </c>
      <c r="BG810" t="s">
        <v>5212</v>
      </c>
      <c r="BH810" s="1">
        <v>86.55</v>
      </c>
      <c r="BI810" s="1">
        <v>222095</v>
      </c>
      <c r="BJ810" s="3">
        <v>42550</v>
      </c>
      <c r="BK810" t="s">
        <v>123</v>
      </c>
      <c r="BL810" t="str">
        <f>"2016.457096"</f>
        <v>2016.457096</v>
      </c>
      <c r="BM810" t="s">
        <v>2107</v>
      </c>
      <c r="BO810" t="s">
        <v>5213</v>
      </c>
      <c r="BS810">
        <v>30</v>
      </c>
      <c r="BW810" t="str">
        <f>""</f>
        <v/>
      </c>
      <c r="CH810" t="str">
        <f>""</f>
        <v/>
      </c>
      <c r="CS810" t="str">
        <f>""</f>
        <v/>
      </c>
    </row>
    <row r="811" spans="1:97" x14ac:dyDescent="0.25">
      <c r="A811" t="s">
        <v>5214</v>
      </c>
      <c r="B811" t="s">
        <v>5215</v>
      </c>
      <c r="E811" t="s">
        <v>5216</v>
      </c>
      <c r="F811" t="s">
        <v>108</v>
      </c>
      <c r="H811" t="s">
        <v>5217</v>
      </c>
      <c r="I811" t="s">
        <v>390</v>
      </c>
      <c r="J811" t="s">
        <v>111</v>
      </c>
      <c r="K811" t="str">
        <f>"85041"</f>
        <v>85041</v>
      </c>
      <c r="L811" t="s">
        <v>5218</v>
      </c>
      <c r="M811" t="s">
        <v>5217</v>
      </c>
      <c r="N811" t="s">
        <v>390</v>
      </c>
      <c r="O811" t="s">
        <v>111</v>
      </c>
      <c r="P811" t="str">
        <f>"85041-6415"</f>
        <v>85041-6415</v>
      </c>
      <c r="Q811" t="s">
        <v>113</v>
      </c>
      <c r="R811" t="str">
        <f>"105-86-271"</f>
        <v>105-86-271</v>
      </c>
      <c r="S811" t="s">
        <v>5219</v>
      </c>
      <c r="T811" t="s">
        <v>5219</v>
      </c>
      <c r="U811">
        <v>2055</v>
      </c>
      <c r="V811">
        <v>0</v>
      </c>
      <c r="W811">
        <v>4</v>
      </c>
      <c r="X811">
        <v>2002</v>
      </c>
      <c r="Z811">
        <v>2</v>
      </c>
      <c r="AA811" t="s">
        <v>26</v>
      </c>
      <c r="AB811">
        <v>0</v>
      </c>
      <c r="AC811" t="s">
        <v>115</v>
      </c>
      <c r="AD811">
        <v>2</v>
      </c>
      <c r="AE811" t="s">
        <v>115</v>
      </c>
      <c r="AF811">
        <v>0</v>
      </c>
      <c r="AG811">
        <v>0</v>
      </c>
      <c r="AH811" t="s">
        <v>116</v>
      </c>
      <c r="AI811" s="1">
        <v>31034</v>
      </c>
      <c r="AJ811" s="2">
        <v>0.12</v>
      </c>
      <c r="AK811" s="1">
        <v>269034</v>
      </c>
      <c r="AL811" t="s">
        <v>117</v>
      </c>
      <c r="AM811" t="s">
        <v>171</v>
      </c>
      <c r="AN811">
        <v>6569</v>
      </c>
      <c r="AO811">
        <v>0.15</v>
      </c>
      <c r="AP811">
        <v>1</v>
      </c>
      <c r="AR811">
        <v>1</v>
      </c>
      <c r="AS811" s="1">
        <v>18450</v>
      </c>
      <c r="AT811" s="1">
        <v>3690</v>
      </c>
      <c r="AU811" s="1">
        <v>14760</v>
      </c>
      <c r="AV811">
        <v>80</v>
      </c>
      <c r="AX811" s="1">
        <v>1793.74</v>
      </c>
      <c r="AY811" t="s">
        <v>5220</v>
      </c>
      <c r="AZ811" t="s">
        <v>5220</v>
      </c>
      <c r="BA811" t="s">
        <v>1661</v>
      </c>
      <c r="BE811" s="3">
        <v>42269</v>
      </c>
      <c r="BF811" s="1">
        <v>218000</v>
      </c>
      <c r="BG811" t="s">
        <v>5221</v>
      </c>
      <c r="BH811" s="1">
        <v>106.08</v>
      </c>
      <c r="BI811" s="1">
        <v>238000</v>
      </c>
      <c r="BJ811" s="3">
        <v>43035</v>
      </c>
      <c r="BK811" t="s">
        <v>123</v>
      </c>
      <c r="BL811" t="str">
        <f>"2017.797447"</f>
        <v>2017.797447</v>
      </c>
      <c r="BM811" t="s">
        <v>5222</v>
      </c>
      <c r="BO811" t="s">
        <v>5223</v>
      </c>
      <c r="BS811">
        <v>30</v>
      </c>
      <c r="BW811" t="str">
        <f>""</f>
        <v/>
      </c>
      <c r="CH811" t="str">
        <f>""</f>
        <v/>
      </c>
      <c r="CS811" t="str">
        <f>""</f>
        <v/>
      </c>
    </row>
    <row r="812" spans="1:97" x14ac:dyDescent="0.25">
      <c r="A812" t="s">
        <v>5224</v>
      </c>
      <c r="B812" t="s">
        <v>5225</v>
      </c>
      <c r="C812" t="s">
        <v>976</v>
      </c>
      <c r="D812" t="s">
        <v>5225</v>
      </c>
      <c r="E812" t="s">
        <v>5226</v>
      </c>
      <c r="F812" t="s">
        <v>108</v>
      </c>
      <c r="H812" t="s">
        <v>5227</v>
      </c>
      <c r="I812" t="s">
        <v>390</v>
      </c>
      <c r="J812" t="s">
        <v>111</v>
      </c>
      <c r="K812" t="str">
        <f>"85032"</f>
        <v>85032</v>
      </c>
      <c r="L812" t="s">
        <v>5228</v>
      </c>
      <c r="M812" t="s">
        <v>5227</v>
      </c>
      <c r="N812" t="s">
        <v>390</v>
      </c>
      <c r="O812" t="s">
        <v>111</v>
      </c>
      <c r="P812" t="str">
        <f>"85032-5721"</f>
        <v>85032-5721</v>
      </c>
      <c r="Q812" t="s">
        <v>113</v>
      </c>
      <c r="R812" t="str">
        <f>"214-62-090"</f>
        <v>214-62-090</v>
      </c>
      <c r="S812" t="s">
        <v>5229</v>
      </c>
      <c r="U812">
        <v>1396</v>
      </c>
      <c r="V812">
        <v>0</v>
      </c>
      <c r="W812">
        <v>2</v>
      </c>
      <c r="X812">
        <v>1970</v>
      </c>
      <c r="Z812">
        <v>1</v>
      </c>
      <c r="AA812" t="s">
        <v>26</v>
      </c>
      <c r="AB812">
        <v>0</v>
      </c>
      <c r="AC812" t="s">
        <v>115</v>
      </c>
      <c r="AD812">
        <v>2</v>
      </c>
      <c r="AE812" t="s">
        <v>115</v>
      </c>
      <c r="AF812">
        <v>0</v>
      </c>
      <c r="AG812">
        <v>0</v>
      </c>
      <c r="AH812" t="s">
        <v>116</v>
      </c>
      <c r="AI812" s="1">
        <v>58063</v>
      </c>
      <c r="AJ812" s="2">
        <v>0.2</v>
      </c>
      <c r="AK812" s="1">
        <v>287853</v>
      </c>
      <c r="AL812" t="s">
        <v>117</v>
      </c>
      <c r="AM812" t="s">
        <v>191</v>
      </c>
      <c r="AN812">
        <v>7834</v>
      </c>
      <c r="AO812">
        <v>0.18</v>
      </c>
      <c r="AP812">
        <v>1</v>
      </c>
      <c r="AR812">
        <v>1</v>
      </c>
      <c r="AS812" s="1">
        <v>20600</v>
      </c>
      <c r="AT812" s="1">
        <v>4120</v>
      </c>
      <c r="AU812" s="1">
        <v>16480</v>
      </c>
      <c r="AV812">
        <v>80</v>
      </c>
      <c r="AX812" s="1">
        <v>1292.52</v>
      </c>
      <c r="AY812" t="s">
        <v>5230</v>
      </c>
      <c r="AZ812" t="s">
        <v>5231</v>
      </c>
      <c r="BA812" t="s">
        <v>5232</v>
      </c>
      <c r="BE812" s="3">
        <v>42283</v>
      </c>
      <c r="BF812" s="1">
        <v>222450</v>
      </c>
      <c r="BG812" t="s">
        <v>5233</v>
      </c>
      <c r="BH812" s="1">
        <v>159.35</v>
      </c>
      <c r="BI812" s="1">
        <v>229790</v>
      </c>
      <c r="BJ812" s="3">
        <v>42283</v>
      </c>
      <c r="BK812" t="s">
        <v>123</v>
      </c>
      <c r="BL812" t="str">
        <f>"2015.719484"</f>
        <v>2015.719484</v>
      </c>
      <c r="BM812" t="s">
        <v>1287</v>
      </c>
      <c r="BO812" t="s">
        <v>5234</v>
      </c>
      <c r="BS812">
        <v>30</v>
      </c>
      <c r="BW812" t="str">
        <f>""</f>
        <v/>
      </c>
      <c r="CH812" t="str">
        <f>""</f>
        <v/>
      </c>
      <c r="CS812" t="str">
        <f>""</f>
        <v/>
      </c>
    </row>
    <row r="813" spans="1:97" x14ac:dyDescent="0.25">
      <c r="A813" t="s">
        <v>5235</v>
      </c>
      <c r="B813" t="s">
        <v>5236</v>
      </c>
      <c r="E813" t="s">
        <v>5237</v>
      </c>
      <c r="F813" t="s">
        <v>108</v>
      </c>
      <c r="H813" t="s">
        <v>5238</v>
      </c>
      <c r="I813" t="s">
        <v>3150</v>
      </c>
      <c r="J813" t="s">
        <v>111</v>
      </c>
      <c r="K813" t="str">
        <f>"85340"</f>
        <v>85340</v>
      </c>
      <c r="L813" t="s">
        <v>5239</v>
      </c>
      <c r="M813" t="s">
        <v>5238</v>
      </c>
      <c r="N813" t="s">
        <v>3150</v>
      </c>
      <c r="O813" t="s">
        <v>111</v>
      </c>
      <c r="P813" t="str">
        <f>"85340-3815"</f>
        <v>85340-3815</v>
      </c>
      <c r="Q813" t="s">
        <v>113</v>
      </c>
      <c r="R813" t="str">
        <f>"508-12-063"</f>
        <v>508-12-063</v>
      </c>
      <c r="S813" t="s">
        <v>5240</v>
      </c>
      <c r="U813">
        <v>2279</v>
      </c>
      <c r="V813">
        <v>0</v>
      </c>
      <c r="W813">
        <v>3</v>
      </c>
      <c r="X813">
        <v>2003</v>
      </c>
      <c r="Z813">
        <v>1</v>
      </c>
      <c r="AA813" t="s">
        <v>26</v>
      </c>
      <c r="AB813">
        <v>0</v>
      </c>
      <c r="AC813" t="s">
        <v>115</v>
      </c>
      <c r="AD813">
        <v>3</v>
      </c>
      <c r="AE813" t="s">
        <v>115</v>
      </c>
      <c r="AF813">
        <v>0</v>
      </c>
      <c r="AG813">
        <v>0</v>
      </c>
      <c r="AH813" t="s">
        <v>116</v>
      </c>
      <c r="AI813" s="1">
        <v>65763</v>
      </c>
      <c r="AJ813" s="2">
        <v>0.2</v>
      </c>
      <c r="AK813" s="1">
        <v>334051</v>
      </c>
      <c r="AL813" t="s">
        <v>117</v>
      </c>
      <c r="AM813" t="s">
        <v>393</v>
      </c>
      <c r="AN813">
        <v>10107</v>
      </c>
      <c r="AO813">
        <v>0.23</v>
      </c>
      <c r="AP813">
        <v>1</v>
      </c>
      <c r="AR813">
        <v>1</v>
      </c>
      <c r="AS813" s="1">
        <v>22150</v>
      </c>
      <c r="AT813" s="1">
        <v>4430</v>
      </c>
      <c r="AU813" s="1">
        <v>17720</v>
      </c>
      <c r="AV813">
        <v>80</v>
      </c>
      <c r="AX813" s="1">
        <v>1638.02</v>
      </c>
      <c r="AY813" t="s">
        <v>5241</v>
      </c>
      <c r="AZ813" t="s">
        <v>3153</v>
      </c>
      <c r="BA813" t="s">
        <v>3154</v>
      </c>
      <c r="BE813" s="3">
        <v>41936</v>
      </c>
      <c r="BF813" s="1">
        <v>262000</v>
      </c>
      <c r="BG813" t="s">
        <v>5242</v>
      </c>
      <c r="BH813" s="1">
        <v>114.96</v>
      </c>
      <c r="BI813" s="1">
        <v>268288</v>
      </c>
      <c r="BJ813" s="3">
        <v>41936</v>
      </c>
      <c r="BK813" t="s">
        <v>123</v>
      </c>
      <c r="BL813" t="str">
        <f>"2014.707366"</f>
        <v>2014.707366</v>
      </c>
      <c r="BM813" t="s">
        <v>1214</v>
      </c>
      <c r="BO813" t="s">
        <v>5243</v>
      </c>
      <c r="BS813">
        <v>30</v>
      </c>
      <c r="BW813" t="str">
        <f>""</f>
        <v/>
      </c>
      <c r="CH813" t="str">
        <f>""</f>
        <v/>
      </c>
      <c r="CS813" t="str">
        <f>""</f>
        <v/>
      </c>
    </row>
    <row r="814" spans="1:97" x14ac:dyDescent="0.25">
      <c r="A814" t="s">
        <v>5244</v>
      </c>
      <c r="B814" t="s">
        <v>5245</v>
      </c>
      <c r="E814" t="s">
        <v>5246</v>
      </c>
      <c r="F814" t="s">
        <v>108</v>
      </c>
      <c r="H814" t="s">
        <v>5247</v>
      </c>
      <c r="I814" t="s">
        <v>390</v>
      </c>
      <c r="J814" t="s">
        <v>111</v>
      </c>
      <c r="K814" t="str">
        <f>"85042"</f>
        <v>85042</v>
      </c>
      <c r="L814" t="s">
        <v>5248</v>
      </c>
      <c r="M814" t="s">
        <v>5247</v>
      </c>
      <c r="N814" t="s">
        <v>390</v>
      </c>
      <c r="O814" t="s">
        <v>111</v>
      </c>
      <c r="P814" t="str">
        <f>"85042-4540"</f>
        <v>85042-4540</v>
      </c>
      <c r="Q814" t="s">
        <v>113</v>
      </c>
      <c r="R814" t="str">
        <f>"122-92-342"</f>
        <v>122-92-342</v>
      </c>
      <c r="S814" t="s">
        <v>5249</v>
      </c>
      <c r="T814" t="s">
        <v>5250</v>
      </c>
      <c r="U814">
        <v>1867</v>
      </c>
      <c r="V814">
        <v>0</v>
      </c>
      <c r="W814">
        <v>3</v>
      </c>
      <c r="X814">
        <v>1999</v>
      </c>
      <c r="Z814">
        <v>1</v>
      </c>
      <c r="AB814">
        <v>0</v>
      </c>
      <c r="AC814" t="s">
        <v>115</v>
      </c>
      <c r="AD814">
        <v>3</v>
      </c>
      <c r="AE814" t="s">
        <v>115</v>
      </c>
      <c r="AF814">
        <v>0</v>
      </c>
      <c r="AG814">
        <v>0</v>
      </c>
      <c r="AH814" t="s">
        <v>116</v>
      </c>
      <c r="AI814" s="1">
        <v>74747</v>
      </c>
      <c r="AJ814" s="2">
        <v>0.27</v>
      </c>
      <c r="AK814" s="1">
        <v>275247</v>
      </c>
      <c r="AL814" t="s">
        <v>117</v>
      </c>
      <c r="AM814" t="s">
        <v>191</v>
      </c>
      <c r="AN814">
        <v>8261</v>
      </c>
      <c r="AO814">
        <v>0.19</v>
      </c>
      <c r="AP814">
        <v>1</v>
      </c>
      <c r="AR814">
        <v>1</v>
      </c>
      <c r="AS814" s="1">
        <v>18380</v>
      </c>
      <c r="AT814" s="1">
        <v>3670</v>
      </c>
      <c r="AU814" s="1">
        <v>14710</v>
      </c>
      <c r="AV814">
        <v>80.03</v>
      </c>
      <c r="AX814" s="1">
        <v>1631.86</v>
      </c>
      <c r="AY814" t="s">
        <v>5251</v>
      </c>
      <c r="AZ814" t="s">
        <v>5251</v>
      </c>
      <c r="BA814" t="s">
        <v>2860</v>
      </c>
      <c r="BE814" s="3">
        <v>42101</v>
      </c>
      <c r="BF814" s="1">
        <v>208000</v>
      </c>
      <c r="BG814" t="s">
        <v>5252</v>
      </c>
      <c r="BH814" s="1">
        <v>111.41</v>
      </c>
      <c r="BI814" s="1">
        <v>200500</v>
      </c>
      <c r="BJ814" s="3">
        <v>42101</v>
      </c>
      <c r="BK814" t="s">
        <v>123</v>
      </c>
      <c r="BL814" t="str">
        <f>"2015.236997"</f>
        <v>2015.236997</v>
      </c>
      <c r="BM814" t="s">
        <v>5253</v>
      </c>
      <c r="BO814" t="s">
        <v>5254</v>
      </c>
      <c r="BS814">
        <v>30</v>
      </c>
      <c r="BW814" t="str">
        <f>""</f>
        <v/>
      </c>
      <c r="CH814" t="str">
        <f>""</f>
        <v/>
      </c>
      <c r="CS814" t="str">
        <f>""</f>
        <v/>
      </c>
    </row>
    <row r="815" spans="1:97" x14ac:dyDescent="0.25">
      <c r="A815" t="s">
        <v>5255</v>
      </c>
      <c r="B815" t="s">
        <v>5256</v>
      </c>
      <c r="C815" t="s">
        <v>5257</v>
      </c>
      <c r="D815" t="s">
        <v>5256</v>
      </c>
      <c r="E815" t="s">
        <v>5258</v>
      </c>
      <c r="F815" t="s">
        <v>108</v>
      </c>
      <c r="H815" t="s">
        <v>5259</v>
      </c>
      <c r="I815" t="s">
        <v>203</v>
      </c>
      <c r="J815" t="s">
        <v>111</v>
      </c>
      <c r="K815" t="str">
        <f>"85295"</f>
        <v>85295</v>
      </c>
      <c r="L815" t="s">
        <v>5260</v>
      </c>
      <c r="M815" t="s">
        <v>5259</v>
      </c>
      <c r="N815" t="s">
        <v>203</v>
      </c>
      <c r="O815" t="s">
        <v>111</v>
      </c>
      <c r="P815" t="str">
        <f>"85295-2059"</f>
        <v>85295-2059</v>
      </c>
      <c r="Q815" t="s">
        <v>113</v>
      </c>
      <c r="R815" t="str">
        <f>"304-48-291"</f>
        <v>304-48-291</v>
      </c>
      <c r="S815" t="s">
        <v>5261</v>
      </c>
      <c r="T815" t="s">
        <v>5262</v>
      </c>
      <c r="U815">
        <v>1546</v>
      </c>
      <c r="V815">
        <v>0</v>
      </c>
      <c r="W815">
        <v>3</v>
      </c>
      <c r="X815">
        <v>2002</v>
      </c>
      <c r="Z815">
        <v>2</v>
      </c>
      <c r="AB815">
        <v>0</v>
      </c>
      <c r="AC815" t="s">
        <v>115</v>
      </c>
      <c r="AD815">
        <v>2</v>
      </c>
      <c r="AE815" t="s">
        <v>115</v>
      </c>
      <c r="AF815">
        <v>0</v>
      </c>
      <c r="AG815">
        <v>0</v>
      </c>
      <c r="AH815" t="s">
        <v>116</v>
      </c>
      <c r="AI815" s="1">
        <v>59565</v>
      </c>
      <c r="AJ815" s="2">
        <v>0.21</v>
      </c>
      <c r="AK815" s="1">
        <v>290051</v>
      </c>
      <c r="AL815" t="s">
        <v>117</v>
      </c>
      <c r="AM815" t="s">
        <v>191</v>
      </c>
      <c r="AN815">
        <v>7048</v>
      </c>
      <c r="AO815">
        <v>0.16</v>
      </c>
      <c r="AP815">
        <v>1</v>
      </c>
      <c r="AR815">
        <v>1</v>
      </c>
      <c r="AS815" s="1">
        <v>18870</v>
      </c>
      <c r="AT815" s="1">
        <v>3770</v>
      </c>
      <c r="AU815" s="1">
        <v>15100</v>
      </c>
      <c r="AV815">
        <v>80.02</v>
      </c>
      <c r="AX815" s="1">
        <v>1475.1</v>
      </c>
      <c r="AY815" t="s">
        <v>5087</v>
      </c>
      <c r="AZ815" t="s">
        <v>5087</v>
      </c>
      <c r="BA815" t="s">
        <v>473</v>
      </c>
      <c r="BE815" s="3">
        <v>42276</v>
      </c>
      <c r="BF815" s="1">
        <v>199995</v>
      </c>
      <c r="BG815" t="s">
        <v>5263</v>
      </c>
      <c r="BH815" s="1">
        <v>129.36000000000001</v>
      </c>
      <c r="BI815" s="1">
        <v>201486</v>
      </c>
      <c r="BJ815" s="3">
        <v>42704</v>
      </c>
      <c r="BK815" t="s">
        <v>123</v>
      </c>
      <c r="BL815" t="str">
        <f>"2016.880616"</f>
        <v>2016.880616</v>
      </c>
      <c r="BM815" t="s">
        <v>255</v>
      </c>
      <c r="BN815" t="s">
        <v>2398</v>
      </c>
      <c r="BO815" t="s">
        <v>5264</v>
      </c>
      <c r="BS815">
        <v>30</v>
      </c>
      <c r="BT815" s="1">
        <v>29000</v>
      </c>
      <c r="BU815" s="3">
        <v>43474</v>
      </c>
      <c r="BV815" t="s">
        <v>134</v>
      </c>
      <c r="BW815" t="str">
        <f>"2019.16478"</f>
        <v>2019.16478</v>
      </c>
      <c r="BX815" t="s">
        <v>135</v>
      </c>
      <c r="BY815" t="s">
        <v>136</v>
      </c>
      <c r="BZ815" t="s">
        <v>5265</v>
      </c>
      <c r="CA815" t="s">
        <v>5266</v>
      </c>
      <c r="CC815" t="s">
        <v>139</v>
      </c>
      <c r="CH815" t="str">
        <f>""</f>
        <v/>
      </c>
      <c r="CS815" t="str">
        <f>""</f>
        <v/>
      </c>
    </row>
    <row r="816" spans="1:97" x14ac:dyDescent="0.25">
      <c r="A816" t="s">
        <v>464</v>
      </c>
      <c r="B816" t="s">
        <v>5267</v>
      </c>
      <c r="C816" t="s">
        <v>5268</v>
      </c>
      <c r="D816" t="s">
        <v>5269</v>
      </c>
      <c r="E816" t="s">
        <v>5270</v>
      </c>
      <c r="F816" t="s">
        <v>108</v>
      </c>
      <c r="H816" t="s">
        <v>5271</v>
      </c>
      <c r="I816" t="s">
        <v>225</v>
      </c>
      <c r="J816" t="s">
        <v>111</v>
      </c>
      <c r="K816" t="str">
        <f>"85205"</f>
        <v>85205</v>
      </c>
      <c r="L816" t="s">
        <v>3982</v>
      </c>
      <c r="M816" t="s">
        <v>5272</v>
      </c>
      <c r="N816" t="s">
        <v>225</v>
      </c>
      <c r="O816" t="s">
        <v>111</v>
      </c>
      <c r="P816" t="str">
        <f>"85205"</f>
        <v>85205</v>
      </c>
      <c r="Q816" t="s">
        <v>113</v>
      </c>
      <c r="R816" t="str">
        <f>"141-84-278"</f>
        <v>141-84-278</v>
      </c>
      <c r="S816" t="s">
        <v>5273</v>
      </c>
      <c r="U816">
        <v>1796</v>
      </c>
      <c r="V816">
        <v>0</v>
      </c>
      <c r="W816">
        <v>2</v>
      </c>
      <c r="X816">
        <v>1986</v>
      </c>
      <c r="Z816">
        <v>1</v>
      </c>
      <c r="AB816">
        <v>0</v>
      </c>
      <c r="AC816" t="s">
        <v>115</v>
      </c>
      <c r="AD816">
        <v>2</v>
      </c>
      <c r="AE816" t="s">
        <v>115</v>
      </c>
      <c r="AF816">
        <v>0</v>
      </c>
      <c r="AG816">
        <v>0</v>
      </c>
      <c r="AH816" t="s">
        <v>116</v>
      </c>
      <c r="AI816" s="1">
        <v>32637</v>
      </c>
      <c r="AJ816" s="2">
        <v>0.11</v>
      </c>
      <c r="AK816" s="1">
        <v>298118</v>
      </c>
      <c r="AL816" t="s">
        <v>117</v>
      </c>
      <c r="AM816" t="s">
        <v>917</v>
      </c>
      <c r="AN816">
        <v>10175</v>
      </c>
      <c r="AO816">
        <v>0.23</v>
      </c>
      <c r="AP816">
        <v>1</v>
      </c>
      <c r="AR816">
        <v>1</v>
      </c>
      <c r="AS816" s="1">
        <v>19900</v>
      </c>
      <c r="AT816" s="1">
        <v>3980</v>
      </c>
      <c r="AU816" s="1">
        <v>15920</v>
      </c>
      <c r="AV816">
        <v>80</v>
      </c>
      <c r="AX816" s="1">
        <v>1443.46</v>
      </c>
      <c r="AY816" t="s">
        <v>5274</v>
      </c>
      <c r="AZ816" t="s">
        <v>5275</v>
      </c>
      <c r="BA816" t="s">
        <v>3119</v>
      </c>
      <c r="BE816" s="3">
        <v>41810</v>
      </c>
      <c r="BF816" s="1">
        <v>200000</v>
      </c>
      <c r="BG816" t="s">
        <v>5276</v>
      </c>
      <c r="BH816" s="1">
        <v>111.36</v>
      </c>
      <c r="BI816" s="1">
        <v>265481</v>
      </c>
      <c r="BJ816" s="3">
        <v>43027</v>
      </c>
      <c r="BK816" t="s">
        <v>123</v>
      </c>
      <c r="BL816" t="str">
        <f>"2017.774542"</f>
        <v>2017.774542</v>
      </c>
      <c r="BM816" t="s">
        <v>5277</v>
      </c>
      <c r="BN816">
        <v>20759</v>
      </c>
      <c r="BO816" t="s">
        <v>5278</v>
      </c>
      <c r="BP816" t="s">
        <v>5279</v>
      </c>
      <c r="BS816">
        <v>30</v>
      </c>
      <c r="BW816" t="str">
        <f>""</f>
        <v/>
      </c>
      <c r="CH816" t="str">
        <f>""</f>
        <v/>
      </c>
      <c r="CS816" t="str">
        <f>""</f>
        <v/>
      </c>
    </row>
    <row r="817" spans="1:97" x14ac:dyDescent="0.25">
      <c r="A817" t="s">
        <v>140</v>
      </c>
      <c r="B817" t="s">
        <v>5280</v>
      </c>
      <c r="C817" t="s">
        <v>5281</v>
      </c>
      <c r="D817" t="s">
        <v>5280</v>
      </c>
      <c r="E817" t="s">
        <v>5282</v>
      </c>
      <c r="F817" t="s">
        <v>108</v>
      </c>
      <c r="H817" t="s">
        <v>5283</v>
      </c>
      <c r="I817" t="s">
        <v>188</v>
      </c>
      <c r="J817" t="s">
        <v>111</v>
      </c>
      <c r="K817" t="str">
        <f>"85142"</f>
        <v>85142</v>
      </c>
      <c r="L817" t="s">
        <v>625</v>
      </c>
      <c r="M817" t="s">
        <v>5283</v>
      </c>
      <c r="N817" t="s">
        <v>188</v>
      </c>
      <c r="O817" t="s">
        <v>111</v>
      </c>
      <c r="P817" t="str">
        <f>"85142-8545"</f>
        <v>85142-8545</v>
      </c>
      <c r="Q817" t="s">
        <v>113</v>
      </c>
      <c r="R817" t="str">
        <f>"312-07-304"</f>
        <v>312-07-304</v>
      </c>
      <c r="S817" t="s">
        <v>2840</v>
      </c>
      <c r="T817" t="s">
        <v>2841</v>
      </c>
      <c r="U817">
        <v>2308</v>
      </c>
      <c r="W817">
        <v>4</v>
      </c>
      <c r="X817">
        <v>2016</v>
      </c>
      <c r="Z817">
        <v>1</v>
      </c>
      <c r="AC817" t="s">
        <v>115</v>
      </c>
      <c r="AD817">
        <v>2</v>
      </c>
      <c r="AE817" t="s">
        <v>115</v>
      </c>
      <c r="AH817" t="s">
        <v>116</v>
      </c>
      <c r="AI817" s="1">
        <v>31387</v>
      </c>
      <c r="AJ817" s="2">
        <v>0.09</v>
      </c>
      <c r="AK817" s="1">
        <v>337978</v>
      </c>
      <c r="AL817" t="s">
        <v>117</v>
      </c>
      <c r="AM817" t="s">
        <v>118</v>
      </c>
      <c r="AN817">
        <v>5500</v>
      </c>
      <c r="AO817">
        <v>0.13</v>
      </c>
      <c r="AR817">
        <v>1</v>
      </c>
      <c r="AS817" s="1">
        <v>23300</v>
      </c>
      <c r="AT817" s="1">
        <v>4660</v>
      </c>
      <c r="AU817" s="1">
        <v>18640</v>
      </c>
      <c r="AV817">
        <v>80</v>
      </c>
      <c r="AX817" s="1">
        <v>2272.58</v>
      </c>
      <c r="AY817" t="s">
        <v>560</v>
      </c>
      <c r="AZ817" t="s">
        <v>561</v>
      </c>
      <c r="BA817" t="s">
        <v>194</v>
      </c>
      <c r="BE817" s="3">
        <v>42549</v>
      </c>
      <c r="BF817" s="1">
        <v>258145</v>
      </c>
      <c r="BG817" t="s">
        <v>2842</v>
      </c>
      <c r="BH817" s="1">
        <v>111.85</v>
      </c>
      <c r="BI817" s="1">
        <v>306591</v>
      </c>
      <c r="BJ817" s="3">
        <v>43640</v>
      </c>
      <c r="BK817" t="s">
        <v>123</v>
      </c>
      <c r="BL817" t="str">
        <f>"2019.470475"</f>
        <v>2019.470475</v>
      </c>
      <c r="BM817" t="s">
        <v>5284</v>
      </c>
      <c r="BN817" t="s">
        <v>461</v>
      </c>
      <c r="BO817" t="s">
        <v>5285</v>
      </c>
      <c r="BP817" t="s">
        <v>5286</v>
      </c>
      <c r="BR817" t="s">
        <v>139</v>
      </c>
      <c r="BW817" t="str">
        <f>""</f>
        <v/>
      </c>
      <c r="CH817" t="str">
        <f>""</f>
        <v/>
      </c>
      <c r="CS817" t="str">
        <f>""</f>
        <v/>
      </c>
    </row>
    <row r="818" spans="1:97" x14ac:dyDescent="0.25">
      <c r="A818" t="s">
        <v>5287</v>
      </c>
      <c r="B818" t="s">
        <v>5288</v>
      </c>
      <c r="E818" t="s">
        <v>5289</v>
      </c>
      <c r="F818" t="s">
        <v>108</v>
      </c>
      <c r="H818" t="s">
        <v>5290</v>
      </c>
      <c r="I818" t="s">
        <v>499</v>
      </c>
      <c r="J818" t="s">
        <v>111</v>
      </c>
      <c r="K818" t="str">
        <f>"85338"</f>
        <v>85338</v>
      </c>
      <c r="L818" t="s">
        <v>5291</v>
      </c>
      <c r="M818" t="s">
        <v>5290</v>
      </c>
      <c r="N818" t="s">
        <v>499</v>
      </c>
      <c r="O818" t="s">
        <v>111</v>
      </c>
      <c r="P818" t="str">
        <f>"85338-5520"</f>
        <v>85338-5520</v>
      </c>
      <c r="Q818" t="s">
        <v>113</v>
      </c>
      <c r="R818" t="str">
        <f>"400-03-535"</f>
        <v>400-03-535</v>
      </c>
      <c r="S818" t="s">
        <v>5292</v>
      </c>
      <c r="U818">
        <v>1450</v>
      </c>
      <c r="V818">
        <v>0</v>
      </c>
      <c r="W818">
        <v>3</v>
      </c>
      <c r="X818">
        <v>2000</v>
      </c>
      <c r="Z818">
        <v>1</v>
      </c>
      <c r="AB818">
        <v>0</v>
      </c>
      <c r="AC818" t="s">
        <v>115</v>
      </c>
      <c r="AD818">
        <v>2</v>
      </c>
      <c r="AE818" t="s">
        <v>115</v>
      </c>
      <c r="AF818">
        <v>0</v>
      </c>
      <c r="AG818">
        <v>0</v>
      </c>
      <c r="AH818" t="s">
        <v>116</v>
      </c>
      <c r="AI818" s="1">
        <v>47159</v>
      </c>
      <c r="AJ818" s="2">
        <v>0.19</v>
      </c>
      <c r="AK818" s="1">
        <v>250485</v>
      </c>
      <c r="AL818" t="s">
        <v>117</v>
      </c>
      <c r="AM818" t="s">
        <v>288</v>
      </c>
      <c r="AN818">
        <v>7110</v>
      </c>
      <c r="AO818">
        <v>0.16</v>
      </c>
      <c r="AP818">
        <v>1</v>
      </c>
      <c r="AR818">
        <v>1</v>
      </c>
      <c r="AS818" s="1">
        <v>16620</v>
      </c>
      <c r="AT818" s="1">
        <v>3320</v>
      </c>
      <c r="AU818" s="1">
        <v>13300</v>
      </c>
      <c r="AV818">
        <v>80.02</v>
      </c>
      <c r="AX818" s="1">
        <v>1437.22</v>
      </c>
      <c r="AY818" t="s">
        <v>4236</v>
      </c>
      <c r="AZ818" t="s">
        <v>4236</v>
      </c>
      <c r="BA818" t="s">
        <v>1247</v>
      </c>
      <c r="BE818" s="3">
        <v>41771</v>
      </c>
      <c r="BF818" s="1">
        <v>159000</v>
      </c>
      <c r="BG818" t="s">
        <v>5293</v>
      </c>
      <c r="BH818" s="1">
        <v>109.66</v>
      </c>
      <c r="BI818" s="1">
        <v>203326</v>
      </c>
      <c r="BJ818" s="3">
        <v>43220</v>
      </c>
      <c r="BK818" t="s">
        <v>123</v>
      </c>
      <c r="BL818" t="str">
        <f>"2018.327015"</f>
        <v>2018.327015</v>
      </c>
      <c r="BM818" t="s">
        <v>1610</v>
      </c>
      <c r="BN818" t="s">
        <v>1611</v>
      </c>
      <c r="BO818" t="s">
        <v>5294</v>
      </c>
      <c r="BR818" t="s">
        <v>139</v>
      </c>
      <c r="BW818" t="str">
        <f>""</f>
        <v/>
      </c>
      <c r="CH818" t="str">
        <f>""</f>
        <v/>
      </c>
      <c r="CS818" t="str">
        <f>""</f>
        <v/>
      </c>
    </row>
    <row r="819" spans="1:97" x14ac:dyDescent="0.25">
      <c r="B819" t="s">
        <v>5295</v>
      </c>
      <c r="E819" t="s">
        <v>5296</v>
      </c>
      <c r="F819" t="s">
        <v>108</v>
      </c>
      <c r="H819" t="s">
        <v>5297</v>
      </c>
      <c r="I819" t="s">
        <v>390</v>
      </c>
      <c r="J819" t="s">
        <v>111</v>
      </c>
      <c r="K819" t="str">
        <f>"85032"</f>
        <v>85032</v>
      </c>
      <c r="L819" t="s">
        <v>757</v>
      </c>
      <c r="M819" t="s">
        <v>5297</v>
      </c>
      <c r="N819" t="s">
        <v>390</v>
      </c>
      <c r="O819" t="s">
        <v>111</v>
      </c>
      <c r="P819" t="str">
        <f>"85032-5428"</f>
        <v>85032-5428</v>
      </c>
      <c r="Q819" t="s">
        <v>113</v>
      </c>
      <c r="R819" t="str">
        <f>"215-72-172"</f>
        <v>215-72-172</v>
      </c>
      <c r="S819" t="s">
        <v>5298</v>
      </c>
      <c r="U819">
        <v>1432</v>
      </c>
      <c r="V819">
        <v>0</v>
      </c>
      <c r="W819">
        <v>2</v>
      </c>
      <c r="X819">
        <v>1975</v>
      </c>
      <c r="Z819">
        <v>1</v>
      </c>
      <c r="AB819">
        <v>0</v>
      </c>
      <c r="AC819" t="s">
        <v>115</v>
      </c>
      <c r="AD819">
        <v>2</v>
      </c>
      <c r="AE819" t="s">
        <v>115</v>
      </c>
      <c r="AF819">
        <v>0</v>
      </c>
      <c r="AG819">
        <v>0</v>
      </c>
      <c r="AH819" t="s">
        <v>116</v>
      </c>
      <c r="AI819" s="1">
        <v>83913</v>
      </c>
      <c r="AJ819" s="2">
        <v>0.28000000000000003</v>
      </c>
      <c r="AK819" s="1">
        <v>295633</v>
      </c>
      <c r="AL819" t="s">
        <v>117</v>
      </c>
      <c r="AM819" t="s">
        <v>171</v>
      </c>
      <c r="AN819">
        <v>8387</v>
      </c>
      <c r="AO819">
        <v>0.19</v>
      </c>
      <c r="AP819">
        <v>1</v>
      </c>
      <c r="AR819">
        <v>1</v>
      </c>
      <c r="AS819" s="1">
        <v>19800</v>
      </c>
      <c r="AT819" s="1">
        <v>3960</v>
      </c>
      <c r="AU819" s="1">
        <v>15840</v>
      </c>
      <c r="AV819">
        <v>80</v>
      </c>
      <c r="AX819" s="1">
        <v>1463.7</v>
      </c>
      <c r="AY819" t="s">
        <v>5230</v>
      </c>
      <c r="AZ819" t="s">
        <v>1317</v>
      </c>
      <c r="BA819" t="s">
        <v>1318</v>
      </c>
      <c r="BB819" s="3">
        <v>43775</v>
      </c>
      <c r="BC819" s="1">
        <v>0</v>
      </c>
      <c r="BD819" t="s">
        <v>247</v>
      </c>
      <c r="BE819" s="3">
        <v>42328</v>
      </c>
      <c r="BF819" s="1">
        <v>240000</v>
      </c>
      <c r="BG819" t="s">
        <v>5299</v>
      </c>
      <c r="BH819" s="1">
        <v>243.9</v>
      </c>
      <c r="BI819" s="1">
        <v>211720</v>
      </c>
      <c r="BJ819" s="3">
        <v>42801</v>
      </c>
      <c r="BK819" t="s">
        <v>123</v>
      </c>
      <c r="BL819" t="str">
        <f>"2017.159961"</f>
        <v>2017.159961</v>
      </c>
      <c r="BM819" t="s">
        <v>322</v>
      </c>
      <c r="BN819" t="s">
        <v>534</v>
      </c>
      <c r="BO819" t="s">
        <v>5300</v>
      </c>
      <c r="BS819">
        <v>30</v>
      </c>
      <c r="BW819" t="str">
        <f>""</f>
        <v/>
      </c>
      <c r="CH819" t="str">
        <f>""</f>
        <v/>
      </c>
      <c r="CS819" t="str">
        <f>""</f>
        <v/>
      </c>
    </row>
    <row r="820" spans="1:97" x14ac:dyDescent="0.25">
      <c r="A820" t="s">
        <v>5301</v>
      </c>
      <c r="B820" t="s">
        <v>2916</v>
      </c>
      <c r="E820" t="s">
        <v>5302</v>
      </c>
      <c r="F820" t="s">
        <v>108</v>
      </c>
      <c r="H820" t="s">
        <v>5303</v>
      </c>
      <c r="I820" t="s">
        <v>225</v>
      </c>
      <c r="J820" t="s">
        <v>111</v>
      </c>
      <c r="K820" t="str">
        <f>"85209"</f>
        <v>85209</v>
      </c>
      <c r="L820" t="s">
        <v>189</v>
      </c>
      <c r="M820" t="s">
        <v>5303</v>
      </c>
      <c r="N820" t="s">
        <v>225</v>
      </c>
      <c r="O820" t="s">
        <v>111</v>
      </c>
      <c r="P820" t="str">
        <f>"85209-5380"</f>
        <v>85209-5380</v>
      </c>
      <c r="Q820" t="s">
        <v>113</v>
      </c>
      <c r="R820" t="str">
        <f>"304-04-972"</f>
        <v>304-04-972</v>
      </c>
      <c r="S820" t="s">
        <v>4029</v>
      </c>
      <c r="U820">
        <v>1616</v>
      </c>
      <c r="W820">
        <v>3</v>
      </c>
      <c r="X820">
        <v>2015</v>
      </c>
      <c r="Z820">
        <v>1</v>
      </c>
      <c r="AC820" t="s">
        <v>115</v>
      </c>
      <c r="AD820">
        <v>2</v>
      </c>
      <c r="AE820" t="s">
        <v>115</v>
      </c>
      <c r="AH820" t="s">
        <v>116</v>
      </c>
      <c r="AI820" s="1">
        <v>57766</v>
      </c>
      <c r="AJ820" s="2">
        <v>0.21</v>
      </c>
      <c r="AK820" s="1">
        <v>275766</v>
      </c>
      <c r="AL820" t="s">
        <v>117</v>
      </c>
      <c r="AM820" t="s">
        <v>3111</v>
      </c>
      <c r="AN820">
        <v>4500</v>
      </c>
      <c r="AO820">
        <v>0.1</v>
      </c>
      <c r="AR820">
        <v>1</v>
      </c>
      <c r="AS820" s="1">
        <v>18920</v>
      </c>
      <c r="AT820" s="1">
        <v>3780</v>
      </c>
      <c r="AU820" s="1">
        <v>15140</v>
      </c>
      <c r="AV820">
        <v>80.02</v>
      </c>
      <c r="AX820" s="1">
        <v>1255.68</v>
      </c>
      <c r="AY820" t="s">
        <v>570</v>
      </c>
      <c r="AZ820" t="s">
        <v>777</v>
      </c>
      <c r="BA820" t="s">
        <v>572</v>
      </c>
      <c r="BE820" s="3">
        <v>42445</v>
      </c>
      <c r="BF820" s="1">
        <v>220000</v>
      </c>
      <c r="BG820" t="s">
        <v>4030</v>
      </c>
      <c r="BH820" s="1">
        <v>136.13999999999999</v>
      </c>
      <c r="BI820" s="1">
        <v>218000</v>
      </c>
      <c r="BJ820" s="3">
        <v>42445</v>
      </c>
      <c r="BK820" t="s">
        <v>123</v>
      </c>
      <c r="BL820" t="str">
        <f>"2016.169391"</f>
        <v>2016.169391</v>
      </c>
      <c r="BM820" t="s">
        <v>196</v>
      </c>
      <c r="BN820" t="s">
        <v>1442</v>
      </c>
      <c r="BO820" t="s">
        <v>5304</v>
      </c>
      <c r="BS820">
        <v>30</v>
      </c>
      <c r="BW820" t="str">
        <f>""</f>
        <v/>
      </c>
      <c r="CH820" t="str">
        <f>""</f>
        <v/>
      </c>
      <c r="CS820" t="str">
        <f>""</f>
        <v/>
      </c>
    </row>
    <row r="821" spans="1:97" x14ac:dyDescent="0.25">
      <c r="A821" t="s">
        <v>639</v>
      </c>
      <c r="B821" t="s">
        <v>5305</v>
      </c>
      <c r="E821" t="s">
        <v>5306</v>
      </c>
      <c r="F821" t="s">
        <v>108</v>
      </c>
      <c r="H821" t="s">
        <v>5307</v>
      </c>
      <c r="I821" t="s">
        <v>110</v>
      </c>
      <c r="J821" t="s">
        <v>111</v>
      </c>
      <c r="K821" t="str">
        <f>"85224"</f>
        <v>85224</v>
      </c>
      <c r="L821" t="s">
        <v>5308</v>
      </c>
      <c r="M821" t="s">
        <v>5307</v>
      </c>
      <c r="N821" t="s">
        <v>110</v>
      </c>
      <c r="O821" t="s">
        <v>111</v>
      </c>
      <c r="P821" t="str">
        <f>"85224-1004"</f>
        <v>85224-1004</v>
      </c>
      <c r="Q821" t="s">
        <v>113</v>
      </c>
      <c r="R821" t="str">
        <f>"302-05-855"</f>
        <v>302-05-855</v>
      </c>
      <c r="S821" t="s">
        <v>5309</v>
      </c>
      <c r="U821">
        <v>1462</v>
      </c>
      <c r="V821">
        <v>0</v>
      </c>
      <c r="W821">
        <v>2</v>
      </c>
      <c r="X821">
        <v>1978</v>
      </c>
      <c r="Z821">
        <v>1</v>
      </c>
      <c r="AB821">
        <v>0</v>
      </c>
      <c r="AC821" t="s">
        <v>115</v>
      </c>
      <c r="AD821">
        <v>2</v>
      </c>
      <c r="AE821" t="s">
        <v>115</v>
      </c>
      <c r="AF821">
        <v>0</v>
      </c>
      <c r="AG821">
        <v>0</v>
      </c>
      <c r="AH821" t="s">
        <v>116</v>
      </c>
      <c r="AI821" s="1">
        <v>-156173</v>
      </c>
      <c r="AJ821" s="2">
        <v>-0.56000000000000005</v>
      </c>
      <c r="AK821" s="1">
        <v>278985</v>
      </c>
      <c r="AL821" t="s">
        <v>117</v>
      </c>
      <c r="AM821" t="s">
        <v>5077</v>
      </c>
      <c r="AN821">
        <v>7401</v>
      </c>
      <c r="AO821">
        <v>0.17</v>
      </c>
      <c r="AP821">
        <v>1</v>
      </c>
      <c r="AR821">
        <v>1</v>
      </c>
      <c r="AS821" s="1">
        <v>18350</v>
      </c>
      <c r="AT821" s="1">
        <v>3670</v>
      </c>
      <c r="AU821" s="1">
        <v>14680</v>
      </c>
      <c r="AV821">
        <v>80</v>
      </c>
      <c r="AX821" s="1">
        <v>1221.7</v>
      </c>
      <c r="AY821" t="s">
        <v>5310</v>
      </c>
      <c r="AZ821" t="s">
        <v>5310</v>
      </c>
      <c r="BA821" t="s">
        <v>5311</v>
      </c>
      <c r="BE821" s="3">
        <v>42523</v>
      </c>
      <c r="BF821" s="1">
        <v>213000</v>
      </c>
      <c r="BG821" t="s">
        <v>5312</v>
      </c>
      <c r="BH821" s="1">
        <v>145.69</v>
      </c>
      <c r="BI821" s="1">
        <v>217579</v>
      </c>
      <c r="BJ821" s="3">
        <v>42523</v>
      </c>
      <c r="BK821" t="s">
        <v>123</v>
      </c>
      <c r="BL821" t="str">
        <f>"2016.382576"</f>
        <v>2016.382576</v>
      </c>
      <c r="BM821" t="s">
        <v>709</v>
      </c>
      <c r="BO821" t="s">
        <v>5313</v>
      </c>
      <c r="BS821">
        <v>25</v>
      </c>
      <c r="BT821" s="1">
        <v>217579</v>
      </c>
      <c r="BU821" s="3">
        <v>42557</v>
      </c>
      <c r="BV821" t="s">
        <v>123</v>
      </c>
      <c r="BW821" t="str">
        <f>"2016.473219"</f>
        <v>2016.473219</v>
      </c>
      <c r="BX821" t="s">
        <v>709</v>
      </c>
      <c r="BZ821" t="s">
        <v>5313</v>
      </c>
      <c r="CD821">
        <v>25</v>
      </c>
      <c r="CH821" t="str">
        <f>""</f>
        <v/>
      </c>
      <c r="CS821" t="str">
        <f>""</f>
        <v/>
      </c>
    </row>
    <row r="822" spans="1:97" x14ac:dyDescent="0.25">
      <c r="A822" t="s">
        <v>5314</v>
      </c>
      <c r="B822" t="s">
        <v>5315</v>
      </c>
      <c r="C822" t="s">
        <v>5316</v>
      </c>
      <c r="D822" t="s">
        <v>5315</v>
      </c>
      <c r="E822" t="s">
        <v>5317</v>
      </c>
      <c r="F822" t="s">
        <v>108</v>
      </c>
      <c r="H822" t="s">
        <v>5318</v>
      </c>
      <c r="I822" t="s">
        <v>632</v>
      </c>
      <c r="J822" t="s">
        <v>111</v>
      </c>
      <c r="K822" t="str">
        <f>"85379"</f>
        <v>85379</v>
      </c>
      <c r="L822" t="s">
        <v>454</v>
      </c>
      <c r="M822" t="s">
        <v>5318</v>
      </c>
      <c r="N822" t="s">
        <v>632</v>
      </c>
      <c r="O822" t="s">
        <v>111</v>
      </c>
      <c r="P822" t="str">
        <f>"85379-1048"</f>
        <v>85379-1048</v>
      </c>
      <c r="Q822" t="s">
        <v>113</v>
      </c>
      <c r="R822" t="str">
        <f>"501-46-690"</f>
        <v>501-46-690</v>
      </c>
      <c r="S822" t="s">
        <v>5319</v>
      </c>
      <c r="U822">
        <v>2227</v>
      </c>
      <c r="V822">
        <v>0</v>
      </c>
      <c r="W822">
        <v>3</v>
      </c>
      <c r="X822">
        <v>2014</v>
      </c>
      <c r="Z822">
        <v>1</v>
      </c>
      <c r="AA822" t="s">
        <v>26</v>
      </c>
      <c r="AB822">
        <v>0</v>
      </c>
      <c r="AC822" t="s">
        <v>115</v>
      </c>
      <c r="AD822">
        <v>3</v>
      </c>
      <c r="AE822" t="s">
        <v>115</v>
      </c>
      <c r="AF822">
        <v>0</v>
      </c>
      <c r="AG822">
        <v>0</v>
      </c>
      <c r="AH822" t="s">
        <v>116</v>
      </c>
      <c r="AI822" s="1">
        <v>12437</v>
      </c>
      <c r="AJ822" s="2">
        <v>0.04</v>
      </c>
      <c r="AK822" s="1">
        <v>320787</v>
      </c>
      <c r="AL822" t="s">
        <v>117</v>
      </c>
      <c r="AM822" t="s">
        <v>118</v>
      </c>
      <c r="AN822">
        <v>7453</v>
      </c>
      <c r="AO822">
        <v>0.17</v>
      </c>
      <c r="AR822">
        <v>1</v>
      </c>
      <c r="AS822" s="1">
        <v>23920</v>
      </c>
      <c r="AT822" s="1">
        <v>4780</v>
      </c>
      <c r="AU822" s="1">
        <v>19140</v>
      </c>
      <c r="AV822">
        <v>80.02</v>
      </c>
      <c r="AX822" s="1">
        <v>1828.14</v>
      </c>
      <c r="AY822" t="s">
        <v>5060</v>
      </c>
      <c r="AZ822" t="s">
        <v>5060</v>
      </c>
      <c r="BA822" t="s">
        <v>5061</v>
      </c>
      <c r="BB822" s="3">
        <v>43318</v>
      </c>
      <c r="BC822" s="1">
        <v>0</v>
      </c>
      <c r="BD822" t="s">
        <v>247</v>
      </c>
      <c r="BE822" s="3">
        <v>41995</v>
      </c>
      <c r="BF822" s="1">
        <v>264618</v>
      </c>
      <c r="BG822" t="s">
        <v>459</v>
      </c>
      <c r="BH822" s="1">
        <v>118.82</v>
      </c>
      <c r="BI822" s="1">
        <v>273350</v>
      </c>
      <c r="BJ822" s="3">
        <v>41995</v>
      </c>
      <c r="BK822" t="s">
        <v>123</v>
      </c>
      <c r="BL822" t="str">
        <f>"2014.842755"</f>
        <v>2014.842755</v>
      </c>
      <c r="BM822" t="s">
        <v>1866</v>
      </c>
      <c r="BN822" t="s">
        <v>1867</v>
      </c>
      <c r="BO822" t="s">
        <v>5320</v>
      </c>
      <c r="BS822">
        <v>30</v>
      </c>
      <c r="BT822" s="1">
        <v>35000</v>
      </c>
      <c r="BU822" s="3">
        <v>42872</v>
      </c>
      <c r="BV822" t="s">
        <v>134</v>
      </c>
      <c r="BW822" t="str">
        <f>"2017.355066"</f>
        <v>2017.355066</v>
      </c>
      <c r="BX822" t="s">
        <v>369</v>
      </c>
      <c r="BY822" t="s">
        <v>3539</v>
      </c>
      <c r="BZ822" t="s">
        <v>5321</v>
      </c>
      <c r="CD822">
        <v>15</v>
      </c>
      <c r="CH822" t="str">
        <f>""</f>
        <v/>
      </c>
      <c r="CS822" t="str">
        <f>""</f>
        <v/>
      </c>
    </row>
    <row r="823" spans="1:97" x14ac:dyDescent="0.25">
      <c r="B823" t="s">
        <v>5322</v>
      </c>
      <c r="E823" t="s">
        <v>5323</v>
      </c>
      <c r="F823" t="s">
        <v>108</v>
      </c>
      <c r="H823" t="s">
        <v>5324</v>
      </c>
      <c r="I823" t="s">
        <v>110</v>
      </c>
      <c r="J823" t="s">
        <v>111</v>
      </c>
      <c r="K823" t="str">
        <f>"85226"</f>
        <v>85226</v>
      </c>
      <c r="L823" t="s">
        <v>5325</v>
      </c>
      <c r="M823" t="s">
        <v>5324</v>
      </c>
      <c r="N823" t="s">
        <v>110</v>
      </c>
      <c r="O823" t="s">
        <v>111</v>
      </c>
      <c r="P823" t="str">
        <f>"85226-4431"</f>
        <v>85226-4431</v>
      </c>
      <c r="Q823" t="s">
        <v>113</v>
      </c>
      <c r="R823" t="str">
        <f>"301-88-751"</f>
        <v>301-88-751</v>
      </c>
      <c r="S823" t="s">
        <v>5326</v>
      </c>
      <c r="T823" t="s">
        <v>5327</v>
      </c>
      <c r="U823">
        <v>1860</v>
      </c>
      <c r="V823">
        <v>0</v>
      </c>
      <c r="W823">
        <v>3</v>
      </c>
      <c r="X823">
        <v>1986</v>
      </c>
      <c r="Z823">
        <v>1</v>
      </c>
      <c r="AA823" t="s">
        <v>26</v>
      </c>
      <c r="AB823">
        <v>0</v>
      </c>
      <c r="AC823" t="s">
        <v>115</v>
      </c>
      <c r="AD823">
        <v>2</v>
      </c>
      <c r="AE823" t="s">
        <v>115</v>
      </c>
      <c r="AF823">
        <v>0</v>
      </c>
      <c r="AG823">
        <v>0</v>
      </c>
      <c r="AH823" t="s">
        <v>116</v>
      </c>
      <c r="AI823" s="1">
        <v>66338</v>
      </c>
      <c r="AJ823" s="2">
        <v>0.18</v>
      </c>
      <c r="AK823" s="1">
        <v>363338</v>
      </c>
      <c r="AL823" t="s">
        <v>117</v>
      </c>
      <c r="AM823" t="s">
        <v>118</v>
      </c>
      <c r="AN823">
        <v>9548</v>
      </c>
      <c r="AO823">
        <v>0.22</v>
      </c>
      <c r="AP823">
        <v>1</v>
      </c>
      <c r="AR823">
        <v>1</v>
      </c>
      <c r="AS823" s="1">
        <v>25210</v>
      </c>
      <c r="AT823" s="1">
        <v>5040</v>
      </c>
      <c r="AU823" s="1">
        <v>20170</v>
      </c>
      <c r="AV823">
        <v>80.010000000000005</v>
      </c>
      <c r="AX823" s="1">
        <v>1839.72</v>
      </c>
      <c r="AY823" t="s">
        <v>5200</v>
      </c>
      <c r="AZ823" t="s">
        <v>5201</v>
      </c>
      <c r="BA823" t="s">
        <v>5328</v>
      </c>
      <c r="BB823" s="3">
        <v>42594</v>
      </c>
      <c r="BD823" t="s">
        <v>480</v>
      </c>
      <c r="BE823" s="3">
        <v>42459</v>
      </c>
      <c r="BF823" s="1">
        <v>307000</v>
      </c>
      <c r="BG823" t="s">
        <v>5329</v>
      </c>
      <c r="BH823" s="1">
        <v>165.05</v>
      </c>
      <c r="BI823" s="1">
        <v>297000</v>
      </c>
      <c r="BJ823" s="3">
        <v>42459</v>
      </c>
      <c r="BK823" t="s">
        <v>123</v>
      </c>
      <c r="BL823" t="str">
        <f>"2016.205984"</f>
        <v>2016.205984</v>
      </c>
      <c r="BM823" t="s">
        <v>2885</v>
      </c>
      <c r="BO823" t="s">
        <v>5330</v>
      </c>
      <c r="BP823" t="s">
        <v>5331</v>
      </c>
      <c r="BS823">
        <v>30</v>
      </c>
      <c r="BW823" t="str">
        <f>""</f>
        <v/>
      </c>
      <c r="CH823" t="str">
        <f>""</f>
        <v/>
      </c>
      <c r="CS823" t="str">
        <f>""</f>
        <v/>
      </c>
    </row>
    <row r="824" spans="1:97" x14ac:dyDescent="0.25">
      <c r="A824" t="s">
        <v>464</v>
      </c>
      <c r="B824" t="s">
        <v>5332</v>
      </c>
      <c r="E824" t="s">
        <v>5333</v>
      </c>
      <c r="F824" t="s">
        <v>108</v>
      </c>
      <c r="H824" t="s">
        <v>5334</v>
      </c>
      <c r="I824" t="s">
        <v>225</v>
      </c>
      <c r="J824" t="s">
        <v>111</v>
      </c>
      <c r="K824" t="str">
        <f>"85209"</f>
        <v>85209</v>
      </c>
      <c r="L824" t="s">
        <v>189</v>
      </c>
      <c r="M824" t="s">
        <v>5334</v>
      </c>
      <c r="N824" t="s">
        <v>225</v>
      </c>
      <c r="O824" t="s">
        <v>111</v>
      </c>
      <c r="P824" t="str">
        <f>"85209-5379"</f>
        <v>85209-5379</v>
      </c>
      <c r="Q824" t="s">
        <v>113</v>
      </c>
      <c r="R824" t="str">
        <f>"304-04-950"</f>
        <v>304-04-950</v>
      </c>
      <c r="S824" t="s">
        <v>4029</v>
      </c>
      <c r="U824">
        <v>2011</v>
      </c>
      <c r="W824">
        <v>3</v>
      </c>
      <c r="X824">
        <v>2015</v>
      </c>
      <c r="Z824">
        <v>2</v>
      </c>
      <c r="AC824" t="s">
        <v>115</v>
      </c>
      <c r="AD824">
        <v>2</v>
      </c>
      <c r="AE824" t="s">
        <v>115</v>
      </c>
      <c r="AH824" t="s">
        <v>116</v>
      </c>
      <c r="AI824" s="1">
        <v>88398</v>
      </c>
      <c r="AJ824" s="2">
        <v>0.28999999999999998</v>
      </c>
      <c r="AK824" s="1">
        <v>301548</v>
      </c>
      <c r="AL824" t="s">
        <v>117</v>
      </c>
      <c r="AM824" t="s">
        <v>3111</v>
      </c>
      <c r="AN824">
        <v>4500</v>
      </c>
      <c r="AO824">
        <v>0.1</v>
      </c>
      <c r="AR824">
        <v>1</v>
      </c>
      <c r="AS824" s="1">
        <v>21080</v>
      </c>
      <c r="AT824" s="1">
        <v>4210</v>
      </c>
      <c r="AU824" s="1">
        <v>16870</v>
      </c>
      <c r="AV824">
        <v>80.03</v>
      </c>
      <c r="AX824" s="1">
        <v>1376.06</v>
      </c>
      <c r="AY824" t="s">
        <v>570</v>
      </c>
      <c r="AZ824" t="s">
        <v>777</v>
      </c>
      <c r="BA824" t="s">
        <v>572</v>
      </c>
      <c r="BE824" s="3">
        <v>42391</v>
      </c>
      <c r="BF824" s="1">
        <v>230040</v>
      </c>
      <c r="BG824" t="s">
        <v>4030</v>
      </c>
      <c r="BH824" s="1">
        <v>114.39</v>
      </c>
      <c r="BI824" s="1">
        <v>213150</v>
      </c>
      <c r="BJ824" s="3">
        <v>42391</v>
      </c>
      <c r="BK824" t="s">
        <v>123</v>
      </c>
      <c r="BL824" t="str">
        <f>"2016.43872"</f>
        <v>2016.43872</v>
      </c>
      <c r="BM824" t="s">
        <v>2475</v>
      </c>
      <c r="BO824" t="s">
        <v>5335</v>
      </c>
      <c r="BS824">
        <v>30</v>
      </c>
      <c r="BW824" t="str">
        <f>""</f>
        <v/>
      </c>
      <c r="CH824" t="str">
        <f>""</f>
        <v/>
      </c>
      <c r="CS824" t="str">
        <f>""</f>
        <v/>
      </c>
    </row>
    <row r="825" spans="1:97" x14ac:dyDescent="0.25">
      <c r="A825" t="s">
        <v>5336</v>
      </c>
      <c r="B825" t="s">
        <v>5337</v>
      </c>
      <c r="C825" t="s">
        <v>5338</v>
      </c>
      <c r="D825" t="s">
        <v>3377</v>
      </c>
      <c r="E825" t="s">
        <v>5339</v>
      </c>
      <c r="F825" t="s">
        <v>108</v>
      </c>
      <c r="H825" t="s">
        <v>5340</v>
      </c>
      <c r="I825" t="s">
        <v>225</v>
      </c>
      <c r="J825" t="s">
        <v>111</v>
      </c>
      <c r="K825" t="str">
        <f>"85209"</f>
        <v>85209</v>
      </c>
      <c r="L825" t="s">
        <v>189</v>
      </c>
      <c r="M825" t="s">
        <v>5340</v>
      </c>
      <c r="N825" t="s">
        <v>225</v>
      </c>
      <c r="O825" t="s">
        <v>111</v>
      </c>
      <c r="P825" t="str">
        <f>"85209-5379"</f>
        <v>85209-5379</v>
      </c>
      <c r="Q825" t="s">
        <v>113</v>
      </c>
      <c r="R825" t="str">
        <f>"304-04-948"</f>
        <v>304-04-948</v>
      </c>
      <c r="S825" t="s">
        <v>4029</v>
      </c>
      <c r="U825">
        <v>2217</v>
      </c>
      <c r="W825">
        <v>3</v>
      </c>
      <c r="X825">
        <v>2015</v>
      </c>
      <c r="Z825">
        <v>2</v>
      </c>
      <c r="AC825" t="s">
        <v>115</v>
      </c>
      <c r="AD825">
        <v>2</v>
      </c>
      <c r="AE825" t="s">
        <v>115</v>
      </c>
      <c r="AH825" t="s">
        <v>116</v>
      </c>
      <c r="AI825" s="1">
        <v>85911</v>
      </c>
      <c r="AJ825" s="2">
        <v>0.26</v>
      </c>
      <c r="AK825" s="1">
        <v>325050</v>
      </c>
      <c r="AL825" t="s">
        <v>117</v>
      </c>
      <c r="AM825" t="s">
        <v>3111</v>
      </c>
      <c r="AN825">
        <v>4749</v>
      </c>
      <c r="AO825">
        <v>0.11</v>
      </c>
      <c r="AR825">
        <v>1</v>
      </c>
      <c r="AS825" s="1">
        <v>22360</v>
      </c>
      <c r="AT825" s="1">
        <v>4470</v>
      </c>
      <c r="AU825" s="1">
        <v>17890</v>
      </c>
      <c r="AV825">
        <v>80.010000000000005</v>
      </c>
      <c r="AX825" s="1">
        <v>1471.5</v>
      </c>
      <c r="AY825" t="s">
        <v>570</v>
      </c>
      <c r="AZ825" t="s">
        <v>777</v>
      </c>
      <c r="BA825" t="s">
        <v>572</v>
      </c>
      <c r="BE825" s="3">
        <v>42481</v>
      </c>
      <c r="BF825" s="1">
        <v>239139</v>
      </c>
      <c r="BG825" t="s">
        <v>4030</v>
      </c>
      <c r="BH825" s="1">
        <v>107.87</v>
      </c>
      <c r="BI825" s="1">
        <v>239139</v>
      </c>
      <c r="BJ825" s="3">
        <v>42481</v>
      </c>
      <c r="BK825" t="s">
        <v>123</v>
      </c>
      <c r="BL825" t="str">
        <f>"2016.268853"</f>
        <v>2016.268853</v>
      </c>
      <c r="BM825" t="s">
        <v>2472</v>
      </c>
      <c r="BO825" t="s">
        <v>5341</v>
      </c>
      <c r="BS825">
        <v>30</v>
      </c>
      <c r="BW825" t="str">
        <f>""</f>
        <v/>
      </c>
      <c r="CH825" t="str">
        <f>""</f>
        <v/>
      </c>
      <c r="CS825" t="str">
        <f>""</f>
        <v/>
      </c>
    </row>
    <row r="826" spans="1:97" x14ac:dyDescent="0.25">
      <c r="A826" t="s">
        <v>2591</v>
      </c>
      <c r="B826" t="s">
        <v>5342</v>
      </c>
      <c r="C826" t="s">
        <v>5343</v>
      </c>
      <c r="D826" t="s">
        <v>5342</v>
      </c>
      <c r="E826" t="s">
        <v>5344</v>
      </c>
      <c r="F826" t="s">
        <v>108</v>
      </c>
      <c r="H826" t="s">
        <v>5345</v>
      </c>
      <c r="I826" t="s">
        <v>225</v>
      </c>
      <c r="J826" t="s">
        <v>111</v>
      </c>
      <c r="K826" t="str">
        <f>"85212"</f>
        <v>85212</v>
      </c>
      <c r="L826" t="s">
        <v>4259</v>
      </c>
      <c r="M826" t="s">
        <v>5345</v>
      </c>
      <c r="N826" t="s">
        <v>225</v>
      </c>
      <c r="O826" t="s">
        <v>111</v>
      </c>
      <c r="P826" t="str">
        <f>"85212-2944"</f>
        <v>85212-2944</v>
      </c>
      <c r="Q826" t="s">
        <v>113</v>
      </c>
      <c r="R826" t="str">
        <f>"304-17-787"</f>
        <v>304-17-787</v>
      </c>
      <c r="S826" t="s">
        <v>5346</v>
      </c>
      <c r="U826">
        <v>1712</v>
      </c>
      <c r="W826">
        <v>3</v>
      </c>
      <c r="X826">
        <v>2016</v>
      </c>
      <c r="Z826">
        <v>1</v>
      </c>
      <c r="AC826" t="s">
        <v>115</v>
      </c>
      <c r="AD826">
        <v>2</v>
      </c>
      <c r="AE826" t="s">
        <v>115</v>
      </c>
      <c r="AH826" t="s">
        <v>116</v>
      </c>
      <c r="AI826" s="1">
        <v>67058</v>
      </c>
      <c r="AJ826" s="2">
        <v>0.22</v>
      </c>
      <c r="AK826" s="1">
        <v>308636</v>
      </c>
      <c r="AL826" t="s">
        <v>117</v>
      </c>
      <c r="AM826" t="s">
        <v>5347</v>
      </c>
      <c r="AN826">
        <v>4618</v>
      </c>
      <c r="AO826">
        <v>0.11</v>
      </c>
      <c r="AR826">
        <v>1</v>
      </c>
      <c r="AS826" s="1">
        <v>21730</v>
      </c>
      <c r="AT826" s="1">
        <v>4340</v>
      </c>
      <c r="AU826" s="1">
        <v>17390</v>
      </c>
      <c r="AV826">
        <v>80.03</v>
      </c>
      <c r="AX826" s="1">
        <v>1422.66</v>
      </c>
      <c r="AY826" t="s">
        <v>570</v>
      </c>
      <c r="AZ826" t="s">
        <v>571</v>
      </c>
      <c r="BA826" t="s">
        <v>572</v>
      </c>
      <c r="BE826" s="3">
        <v>42521</v>
      </c>
      <c r="BF826" s="1">
        <v>236635</v>
      </c>
      <c r="BG826" t="s">
        <v>233</v>
      </c>
      <c r="BH826" s="1">
        <v>138.22</v>
      </c>
      <c r="BI826" s="1">
        <v>241578</v>
      </c>
      <c r="BJ826" s="3">
        <v>42521</v>
      </c>
      <c r="BK826" t="s">
        <v>123</v>
      </c>
      <c r="BL826" t="str">
        <f>"2016.376687"</f>
        <v>2016.376687</v>
      </c>
      <c r="BM826" t="s">
        <v>5348</v>
      </c>
      <c r="BO826" t="s">
        <v>5349</v>
      </c>
      <c r="BS826">
        <v>30</v>
      </c>
      <c r="BW826" t="str">
        <f>""</f>
        <v/>
      </c>
      <c r="CH826" t="str">
        <f>""</f>
        <v/>
      </c>
      <c r="CS826" t="str">
        <f>""</f>
        <v/>
      </c>
    </row>
    <row r="827" spans="1:97" x14ac:dyDescent="0.25">
      <c r="A827" t="s">
        <v>5350</v>
      </c>
      <c r="B827" t="s">
        <v>5351</v>
      </c>
      <c r="C827" t="s">
        <v>2793</v>
      </c>
      <c r="D827" t="s">
        <v>5351</v>
      </c>
      <c r="E827" t="s">
        <v>5352</v>
      </c>
      <c r="F827" t="s">
        <v>108</v>
      </c>
      <c r="H827" t="s">
        <v>5353</v>
      </c>
      <c r="I827" t="s">
        <v>203</v>
      </c>
      <c r="J827" t="s">
        <v>111</v>
      </c>
      <c r="K827" t="str">
        <f>"85298"</f>
        <v>85298</v>
      </c>
      <c r="L827" t="s">
        <v>3318</v>
      </c>
      <c r="M827" t="s">
        <v>5353</v>
      </c>
      <c r="N827" t="s">
        <v>203</v>
      </c>
      <c r="O827" t="s">
        <v>111</v>
      </c>
      <c r="P827" t="str">
        <f>"85298"</f>
        <v>85298</v>
      </c>
      <c r="Q827" t="s">
        <v>113</v>
      </c>
      <c r="R827" t="str">
        <f>"313-20-408"</f>
        <v>313-20-408</v>
      </c>
      <c r="S827" t="s">
        <v>5354</v>
      </c>
      <c r="T827" t="s">
        <v>271</v>
      </c>
      <c r="U827">
        <v>2873</v>
      </c>
      <c r="W827">
        <v>3</v>
      </c>
      <c r="X827">
        <v>2016</v>
      </c>
      <c r="Z827">
        <v>2</v>
      </c>
      <c r="AC827" t="s">
        <v>115</v>
      </c>
      <c r="AD827">
        <v>3</v>
      </c>
      <c r="AE827" t="s">
        <v>115</v>
      </c>
      <c r="AH827" t="s">
        <v>116</v>
      </c>
      <c r="AI827" s="1">
        <v>77251</v>
      </c>
      <c r="AJ827" s="2">
        <v>0.18</v>
      </c>
      <c r="AK827" s="1">
        <v>439553</v>
      </c>
      <c r="AL827" t="s">
        <v>117</v>
      </c>
      <c r="AM827" t="s">
        <v>191</v>
      </c>
      <c r="AN827">
        <v>9827</v>
      </c>
      <c r="AO827">
        <v>0.23</v>
      </c>
      <c r="AR827">
        <v>1</v>
      </c>
      <c r="AS827" s="1">
        <v>31030</v>
      </c>
      <c r="AT827" s="1">
        <v>6200</v>
      </c>
      <c r="AU827" s="1">
        <v>24830</v>
      </c>
      <c r="AV827">
        <v>80.02</v>
      </c>
      <c r="AX827" s="1">
        <v>2366.2399999999998</v>
      </c>
      <c r="AY827" t="s">
        <v>272</v>
      </c>
      <c r="AZ827" t="s">
        <v>273</v>
      </c>
      <c r="BA827" t="s">
        <v>274</v>
      </c>
      <c r="BE827" s="3">
        <v>42537</v>
      </c>
      <c r="BF827" s="1">
        <v>357288</v>
      </c>
      <c r="BG827" t="s">
        <v>275</v>
      </c>
      <c r="BH827" s="1">
        <v>124.36</v>
      </c>
      <c r="BI827" s="1">
        <v>362302</v>
      </c>
      <c r="BJ827" s="3">
        <v>42922</v>
      </c>
      <c r="BK827" t="s">
        <v>123</v>
      </c>
      <c r="BL827" t="str">
        <f>"2017.491485"</f>
        <v>2017.491485</v>
      </c>
      <c r="BM827" t="s">
        <v>3638</v>
      </c>
      <c r="BN827">
        <v>91361</v>
      </c>
      <c r="BO827" t="s">
        <v>5355</v>
      </c>
      <c r="BS827">
        <v>30</v>
      </c>
      <c r="BW827" t="str">
        <f>""</f>
        <v/>
      </c>
      <c r="CH827" t="str">
        <f>""</f>
        <v/>
      </c>
      <c r="CS827" t="str">
        <f>""</f>
        <v/>
      </c>
    </row>
    <row r="828" spans="1:97" x14ac:dyDescent="0.25">
      <c r="A828" t="s">
        <v>5356</v>
      </c>
      <c r="B828" t="s">
        <v>327</v>
      </c>
      <c r="C828" t="s">
        <v>852</v>
      </c>
      <c r="D828" t="s">
        <v>327</v>
      </c>
      <c r="E828" t="s">
        <v>5357</v>
      </c>
      <c r="F828" t="s">
        <v>108</v>
      </c>
      <c r="H828" t="s">
        <v>5358</v>
      </c>
      <c r="I828" t="s">
        <v>632</v>
      </c>
      <c r="J828" t="s">
        <v>111</v>
      </c>
      <c r="K828" t="str">
        <f>"85388"</f>
        <v>85388</v>
      </c>
      <c r="L828" t="s">
        <v>4467</v>
      </c>
      <c r="M828" t="s">
        <v>5358</v>
      </c>
      <c r="N828" t="s">
        <v>632</v>
      </c>
      <c r="O828" t="s">
        <v>111</v>
      </c>
      <c r="P828" t="str">
        <f>"85388-2303"</f>
        <v>85388-2303</v>
      </c>
      <c r="Q828" t="s">
        <v>113</v>
      </c>
      <c r="R828" t="str">
        <f>"502-09-667"</f>
        <v>502-09-667</v>
      </c>
      <c r="S828" t="s">
        <v>5359</v>
      </c>
      <c r="T828" t="s">
        <v>5360</v>
      </c>
      <c r="U828">
        <v>2888</v>
      </c>
      <c r="V828">
        <v>0</v>
      </c>
      <c r="W828">
        <v>3</v>
      </c>
      <c r="X828">
        <v>2014</v>
      </c>
      <c r="Z828">
        <v>2</v>
      </c>
      <c r="AB828">
        <v>0</v>
      </c>
      <c r="AC828" t="s">
        <v>115</v>
      </c>
      <c r="AD828">
        <v>3</v>
      </c>
      <c r="AE828" t="s">
        <v>115</v>
      </c>
      <c r="AF828">
        <v>0</v>
      </c>
      <c r="AG828">
        <v>0</v>
      </c>
      <c r="AH828" t="s">
        <v>116</v>
      </c>
      <c r="AI828" s="1">
        <v>11435</v>
      </c>
      <c r="AJ828" s="2">
        <v>0.03</v>
      </c>
      <c r="AK828" s="1">
        <v>329435</v>
      </c>
      <c r="AL828" t="s">
        <v>117</v>
      </c>
      <c r="AM828" t="s">
        <v>118</v>
      </c>
      <c r="AN828">
        <v>7200</v>
      </c>
      <c r="AO828">
        <v>0.16</v>
      </c>
      <c r="AR828">
        <v>1</v>
      </c>
      <c r="AS828" s="1">
        <v>23870</v>
      </c>
      <c r="AT828" s="1">
        <v>4770</v>
      </c>
      <c r="AU828" s="1">
        <v>19100</v>
      </c>
      <c r="AV828">
        <v>80.02</v>
      </c>
      <c r="AX828" s="1">
        <v>2178.1999999999998</v>
      </c>
      <c r="AY828" t="s">
        <v>5168</v>
      </c>
      <c r="AZ828" t="s">
        <v>5168</v>
      </c>
      <c r="BA828" t="s">
        <v>5109</v>
      </c>
      <c r="BB828" s="3">
        <v>42293</v>
      </c>
      <c r="BD828" t="s">
        <v>458</v>
      </c>
      <c r="BE828" s="3">
        <v>42075</v>
      </c>
      <c r="BF828" s="1">
        <v>245500</v>
      </c>
      <c r="BG828" t="s">
        <v>5361</v>
      </c>
      <c r="BH828" s="1">
        <v>85.01</v>
      </c>
      <c r="BI828" s="1">
        <v>318000</v>
      </c>
      <c r="BJ828" s="3">
        <v>43621</v>
      </c>
      <c r="BK828" t="s">
        <v>123</v>
      </c>
      <c r="BL828" t="str">
        <f>"2019.415455"</f>
        <v>2019.415455</v>
      </c>
      <c r="BM828" t="s">
        <v>460</v>
      </c>
      <c r="BN828" t="s">
        <v>461</v>
      </c>
      <c r="BO828" t="s">
        <v>5362</v>
      </c>
      <c r="BP828" t="s">
        <v>5363</v>
      </c>
      <c r="BR828" t="s">
        <v>139</v>
      </c>
      <c r="BW828" t="str">
        <f>""</f>
        <v/>
      </c>
      <c r="CH828" t="str">
        <f>""</f>
        <v/>
      </c>
      <c r="CS828" t="str">
        <f>""</f>
        <v/>
      </c>
    </row>
    <row r="829" spans="1:97" x14ac:dyDescent="0.25">
      <c r="A829" t="s">
        <v>1514</v>
      </c>
      <c r="B829" t="s">
        <v>5364</v>
      </c>
      <c r="C829" t="s">
        <v>1289</v>
      </c>
      <c r="D829" t="s">
        <v>5364</v>
      </c>
      <c r="E829" t="s">
        <v>5365</v>
      </c>
      <c r="F829" t="s">
        <v>108</v>
      </c>
      <c r="H829" t="s">
        <v>5366</v>
      </c>
      <c r="I829" t="s">
        <v>390</v>
      </c>
      <c r="J829" t="s">
        <v>111</v>
      </c>
      <c r="K829" t="str">
        <f>"85043"</f>
        <v>85043</v>
      </c>
      <c r="L829" t="s">
        <v>5367</v>
      </c>
      <c r="M829" t="s">
        <v>5366</v>
      </c>
      <c r="N829" t="s">
        <v>390</v>
      </c>
      <c r="O829" t="s">
        <v>111</v>
      </c>
      <c r="P829" t="str">
        <f>"85043-1591"</f>
        <v>85043-1591</v>
      </c>
      <c r="Q829" t="s">
        <v>113</v>
      </c>
      <c r="R829" t="str">
        <f>"104-55-420"</f>
        <v>104-55-420</v>
      </c>
      <c r="S829" t="s">
        <v>5368</v>
      </c>
      <c r="T829" t="s">
        <v>5368</v>
      </c>
      <c r="U829">
        <v>2389</v>
      </c>
      <c r="V829">
        <v>0</v>
      </c>
      <c r="W829">
        <v>3</v>
      </c>
      <c r="X829">
        <v>2014</v>
      </c>
      <c r="Z829">
        <v>2</v>
      </c>
      <c r="AB829">
        <v>0</v>
      </c>
      <c r="AC829" t="s">
        <v>115</v>
      </c>
      <c r="AD829">
        <v>2</v>
      </c>
      <c r="AE829" t="s">
        <v>115</v>
      </c>
      <c r="AF829">
        <v>0</v>
      </c>
      <c r="AG829">
        <v>0</v>
      </c>
      <c r="AH829" t="s">
        <v>116</v>
      </c>
      <c r="AI829" s="1">
        <v>53941</v>
      </c>
      <c r="AJ829" s="2">
        <v>0.19</v>
      </c>
      <c r="AK829" s="1">
        <v>286366</v>
      </c>
      <c r="AL829" t="s">
        <v>117</v>
      </c>
      <c r="AM829" t="s">
        <v>171</v>
      </c>
      <c r="AN829">
        <v>5500</v>
      </c>
      <c r="AO829">
        <v>0.13</v>
      </c>
      <c r="AR829">
        <v>1</v>
      </c>
      <c r="AS829" s="1">
        <v>20270</v>
      </c>
      <c r="AT829" s="1">
        <v>4050</v>
      </c>
      <c r="AU829" s="1">
        <v>16220</v>
      </c>
      <c r="AV829">
        <v>80.02</v>
      </c>
      <c r="AX829" s="1">
        <v>2136.8200000000002</v>
      </c>
      <c r="AY829" t="s">
        <v>5369</v>
      </c>
      <c r="AZ829" t="s">
        <v>5370</v>
      </c>
      <c r="BA829" t="s">
        <v>5371</v>
      </c>
      <c r="BE829" s="3">
        <v>41947</v>
      </c>
      <c r="BF829" s="1">
        <v>225000</v>
      </c>
      <c r="BG829" t="s">
        <v>2289</v>
      </c>
      <c r="BH829" s="1">
        <v>94.18</v>
      </c>
      <c r="BI829" s="1">
        <v>232425</v>
      </c>
      <c r="BJ829" s="3">
        <v>41947</v>
      </c>
      <c r="BK829" t="s">
        <v>123</v>
      </c>
      <c r="BL829" t="str">
        <f>"2014.732334"</f>
        <v>2014.732334</v>
      </c>
      <c r="BM829" t="s">
        <v>175</v>
      </c>
      <c r="BO829" t="s">
        <v>5372</v>
      </c>
      <c r="BS829">
        <v>30</v>
      </c>
      <c r="BW829" t="str">
        <f>""</f>
        <v/>
      </c>
      <c r="CH829" t="str">
        <f>""</f>
        <v/>
      </c>
      <c r="CS829" t="str">
        <f>""</f>
        <v/>
      </c>
    </row>
    <row r="830" spans="1:97" x14ac:dyDescent="0.25">
      <c r="A830" t="s">
        <v>5373</v>
      </c>
      <c r="B830" t="s">
        <v>5374</v>
      </c>
      <c r="C830" t="s">
        <v>5375</v>
      </c>
      <c r="D830" t="s">
        <v>5374</v>
      </c>
      <c r="E830" t="s">
        <v>5376</v>
      </c>
      <c r="F830" t="s">
        <v>108</v>
      </c>
      <c r="H830" t="s">
        <v>5377</v>
      </c>
      <c r="I830" t="s">
        <v>390</v>
      </c>
      <c r="J830" t="s">
        <v>111</v>
      </c>
      <c r="K830" t="str">
        <f>"85086"</f>
        <v>85086</v>
      </c>
      <c r="L830" t="s">
        <v>688</v>
      </c>
      <c r="M830" t="s">
        <v>5377</v>
      </c>
      <c r="N830" t="s">
        <v>390</v>
      </c>
      <c r="O830" t="s">
        <v>111</v>
      </c>
      <c r="P830" t="str">
        <f>"85086-2700"</f>
        <v>85086-2700</v>
      </c>
      <c r="Q830" t="s">
        <v>113</v>
      </c>
      <c r="R830" t="str">
        <f>"203-03-179"</f>
        <v>203-03-179</v>
      </c>
      <c r="S830" t="s">
        <v>5378</v>
      </c>
      <c r="U830">
        <v>3190</v>
      </c>
      <c r="V830">
        <v>0</v>
      </c>
      <c r="W830">
        <v>4</v>
      </c>
      <c r="X830">
        <v>2004</v>
      </c>
      <c r="Z830">
        <v>2</v>
      </c>
      <c r="AB830">
        <v>0</v>
      </c>
      <c r="AC830" t="s">
        <v>115</v>
      </c>
      <c r="AD830">
        <v>3</v>
      </c>
      <c r="AE830" t="s">
        <v>115</v>
      </c>
      <c r="AF830">
        <v>0</v>
      </c>
      <c r="AG830">
        <v>0</v>
      </c>
      <c r="AH830" t="s">
        <v>116</v>
      </c>
      <c r="AI830" s="1">
        <v>22464</v>
      </c>
      <c r="AJ830" s="2">
        <v>0.06</v>
      </c>
      <c r="AK830" s="1">
        <v>363354</v>
      </c>
      <c r="AL830" t="s">
        <v>117</v>
      </c>
      <c r="AM830" t="s">
        <v>5379</v>
      </c>
      <c r="AN830">
        <v>6506</v>
      </c>
      <c r="AO830">
        <v>0.15</v>
      </c>
      <c r="AR830">
        <v>1</v>
      </c>
      <c r="AS830" s="1">
        <v>26270</v>
      </c>
      <c r="AT830" s="1">
        <v>5250</v>
      </c>
      <c r="AU830" s="1">
        <v>21020</v>
      </c>
      <c r="AV830">
        <v>80.02</v>
      </c>
      <c r="AX830" s="1">
        <v>2800.88</v>
      </c>
      <c r="AY830" t="s">
        <v>5380</v>
      </c>
      <c r="AZ830" t="s">
        <v>5380</v>
      </c>
      <c r="BA830" t="s">
        <v>378</v>
      </c>
      <c r="BE830" s="3">
        <v>42277</v>
      </c>
      <c r="BF830" s="1">
        <v>295000</v>
      </c>
      <c r="BG830" t="s">
        <v>5381</v>
      </c>
      <c r="BH830" s="1">
        <v>92.48</v>
      </c>
      <c r="BI830" s="1">
        <v>340890</v>
      </c>
      <c r="BJ830" s="3">
        <v>42947</v>
      </c>
      <c r="BK830" t="s">
        <v>123</v>
      </c>
      <c r="BL830" t="str">
        <f>"2017.560699"</f>
        <v>2017.560699</v>
      </c>
      <c r="BM830" t="s">
        <v>5382</v>
      </c>
      <c r="BO830" t="s">
        <v>5383</v>
      </c>
      <c r="BS830">
        <v>30</v>
      </c>
      <c r="BW830" t="str">
        <f>""</f>
        <v/>
      </c>
      <c r="CH830" t="str">
        <f>""</f>
        <v/>
      </c>
      <c r="CS830" t="str">
        <f>""</f>
        <v/>
      </c>
    </row>
    <row r="831" spans="1:97" x14ac:dyDescent="0.25">
      <c r="B831" t="s">
        <v>5384</v>
      </c>
      <c r="C831" t="s">
        <v>1507</v>
      </c>
      <c r="E831" t="s">
        <v>5385</v>
      </c>
      <c r="F831" t="s">
        <v>139</v>
      </c>
      <c r="H831" t="s">
        <v>5386</v>
      </c>
      <c r="I831" t="s">
        <v>5387</v>
      </c>
      <c r="J831" t="s">
        <v>111</v>
      </c>
      <c r="K831" t="str">
        <f>"85283"</f>
        <v>85283</v>
      </c>
      <c r="L831" t="s">
        <v>5209</v>
      </c>
      <c r="M831" t="s">
        <v>5386</v>
      </c>
      <c r="N831" t="s">
        <v>5387</v>
      </c>
      <c r="O831" t="s">
        <v>111</v>
      </c>
      <c r="P831" t="str">
        <f>"85283-4834"</f>
        <v>85283-4834</v>
      </c>
      <c r="Q831" t="s">
        <v>113</v>
      </c>
      <c r="R831" t="str">
        <f>"301-92-872"</f>
        <v>301-92-872</v>
      </c>
      <c r="S831" t="s">
        <v>5388</v>
      </c>
      <c r="T831" t="s">
        <v>5389</v>
      </c>
      <c r="U831">
        <v>1344</v>
      </c>
      <c r="V831">
        <v>0</v>
      </c>
      <c r="W831">
        <v>2</v>
      </c>
      <c r="X831">
        <v>1984</v>
      </c>
      <c r="Z831">
        <v>1</v>
      </c>
      <c r="AB831">
        <v>0</v>
      </c>
      <c r="AC831" t="s">
        <v>115</v>
      </c>
      <c r="AD831">
        <v>2</v>
      </c>
      <c r="AE831" t="s">
        <v>115</v>
      </c>
      <c r="AF831">
        <v>0</v>
      </c>
      <c r="AG831">
        <v>0</v>
      </c>
      <c r="AH831" t="s">
        <v>116</v>
      </c>
      <c r="AI831" s="1">
        <v>54703</v>
      </c>
      <c r="AJ831" s="2">
        <v>0.19</v>
      </c>
      <c r="AK831" s="1">
        <v>287899</v>
      </c>
      <c r="AL831" t="s">
        <v>117</v>
      </c>
      <c r="AM831" t="s">
        <v>393</v>
      </c>
      <c r="AN831">
        <v>7562</v>
      </c>
      <c r="AO831">
        <v>0.17</v>
      </c>
      <c r="AP831">
        <v>1</v>
      </c>
      <c r="AR831">
        <v>1</v>
      </c>
      <c r="AS831" s="1">
        <v>20010</v>
      </c>
      <c r="AT831" s="1">
        <v>4000</v>
      </c>
      <c r="AU831" s="1">
        <v>16010</v>
      </c>
      <c r="AV831">
        <v>80.010000000000005</v>
      </c>
      <c r="AX831" s="1">
        <v>1685.28</v>
      </c>
      <c r="AY831" t="s">
        <v>5390</v>
      </c>
      <c r="AZ831" t="s">
        <v>5391</v>
      </c>
      <c r="BA831" t="s">
        <v>5392</v>
      </c>
      <c r="BB831" s="3">
        <v>43509</v>
      </c>
      <c r="BC831" s="1">
        <v>0</v>
      </c>
      <c r="BD831" t="s">
        <v>247</v>
      </c>
      <c r="BE831" s="3">
        <v>42018</v>
      </c>
      <c r="BF831" s="1">
        <v>216000</v>
      </c>
      <c r="BG831" t="s">
        <v>5393</v>
      </c>
      <c r="BH831" s="1">
        <v>160.71</v>
      </c>
      <c r="BI831" s="1">
        <v>213196</v>
      </c>
      <c r="BJ831" s="3">
        <v>43066</v>
      </c>
      <c r="BK831" t="s">
        <v>123</v>
      </c>
      <c r="BL831" t="str">
        <f>"2017.874865"</f>
        <v>2017.874865</v>
      </c>
      <c r="BM831" t="s">
        <v>2643</v>
      </c>
      <c r="BO831" t="s">
        <v>5394</v>
      </c>
      <c r="BS831">
        <v>30</v>
      </c>
      <c r="BT831" s="1">
        <v>20000</v>
      </c>
      <c r="BU831" s="3">
        <v>43143</v>
      </c>
      <c r="BW831" t="str">
        <f>"2018.107628"</f>
        <v>2018.107628</v>
      </c>
      <c r="BX831" t="s">
        <v>3538</v>
      </c>
      <c r="BY831" t="s">
        <v>3539</v>
      </c>
      <c r="BZ831" t="s">
        <v>5395</v>
      </c>
      <c r="CA831" t="s">
        <v>5396</v>
      </c>
      <c r="CC831" t="s">
        <v>346</v>
      </c>
      <c r="CH831" t="str">
        <f>""</f>
        <v/>
      </c>
      <c r="CS831" t="str">
        <f>""</f>
        <v/>
      </c>
    </row>
    <row r="832" spans="1:97" x14ac:dyDescent="0.25">
      <c r="A832" t="s">
        <v>2915</v>
      </c>
      <c r="B832" t="s">
        <v>5397</v>
      </c>
      <c r="E832" t="s">
        <v>5398</v>
      </c>
      <c r="F832" t="s">
        <v>108</v>
      </c>
      <c r="H832" t="s">
        <v>5399</v>
      </c>
      <c r="I832" t="s">
        <v>225</v>
      </c>
      <c r="J832" t="s">
        <v>111</v>
      </c>
      <c r="K832" t="str">
        <f>"85208"</f>
        <v>85208</v>
      </c>
      <c r="L832" t="s">
        <v>5400</v>
      </c>
      <c r="M832" t="s">
        <v>5399</v>
      </c>
      <c r="N832" t="s">
        <v>225</v>
      </c>
      <c r="O832" t="s">
        <v>111</v>
      </c>
      <c r="P832" t="str">
        <f>"85208-7277"</f>
        <v>85208-7277</v>
      </c>
      <c r="Q832" t="s">
        <v>113</v>
      </c>
      <c r="R832" t="str">
        <f>"220-71-526"</f>
        <v>220-71-526</v>
      </c>
      <c r="S832" t="s">
        <v>5401</v>
      </c>
      <c r="T832" t="s">
        <v>5402</v>
      </c>
      <c r="U832">
        <v>1872</v>
      </c>
      <c r="V832">
        <v>0</v>
      </c>
      <c r="W832">
        <v>3</v>
      </c>
      <c r="X832">
        <v>1998</v>
      </c>
      <c r="Z832">
        <v>1</v>
      </c>
      <c r="AA832" t="s">
        <v>26</v>
      </c>
      <c r="AB832">
        <v>0</v>
      </c>
      <c r="AC832" t="s">
        <v>115</v>
      </c>
      <c r="AD832">
        <v>2</v>
      </c>
      <c r="AE832" t="s">
        <v>115</v>
      </c>
      <c r="AF832">
        <v>0</v>
      </c>
      <c r="AG832">
        <v>0</v>
      </c>
      <c r="AH832" t="s">
        <v>116</v>
      </c>
      <c r="AI832" s="1">
        <v>83548</v>
      </c>
      <c r="AJ832" s="2">
        <v>0.28000000000000003</v>
      </c>
      <c r="AK832" s="1">
        <v>295548</v>
      </c>
      <c r="AL832" t="s">
        <v>117</v>
      </c>
      <c r="AM832" t="s">
        <v>393</v>
      </c>
      <c r="AN832">
        <v>5846</v>
      </c>
      <c r="AO832">
        <v>0.13</v>
      </c>
      <c r="AP832">
        <v>1</v>
      </c>
      <c r="AR832">
        <v>1</v>
      </c>
      <c r="AS832" s="1">
        <v>21020</v>
      </c>
      <c r="AT832" s="1">
        <v>4200</v>
      </c>
      <c r="AU832" s="1">
        <v>16820</v>
      </c>
      <c r="AV832">
        <v>80.02</v>
      </c>
      <c r="AX832" s="1">
        <v>1497.08</v>
      </c>
      <c r="AY832" t="s">
        <v>272</v>
      </c>
      <c r="AZ832" t="s">
        <v>3761</v>
      </c>
      <c r="BA832" t="s">
        <v>232</v>
      </c>
      <c r="BE832" s="3">
        <v>41690</v>
      </c>
      <c r="BF832" s="1">
        <v>212000</v>
      </c>
      <c r="BG832" t="s">
        <v>5403</v>
      </c>
      <c r="BH832" s="1">
        <v>113.25</v>
      </c>
      <c r="BI832" s="1">
        <v>212000</v>
      </c>
      <c r="BJ832" s="3">
        <v>41690</v>
      </c>
      <c r="BK832" t="s">
        <v>123</v>
      </c>
      <c r="BL832" t="str">
        <f>"2014.111047"</f>
        <v>2014.111047</v>
      </c>
      <c r="BM832" t="s">
        <v>2716</v>
      </c>
      <c r="BO832" t="s">
        <v>5404</v>
      </c>
      <c r="BS832">
        <v>30</v>
      </c>
      <c r="BW832" t="str">
        <f>""</f>
        <v/>
      </c>
      <c r="CH832" t="str">
        <f>""</f>
        <v/>
      </c>
      <c r="CS832" t="str">
        <f>""</f>
        <v/>
      </c>
    </row>
    <row r="833" spans="1:97" x14ac:dyDescent="0.25">
      <c r="A833" t="s">
        <v>1898</v>
      </c>
      <c r="B833" t="s">
        <v>5405</v>
      </c>
      <c r="C833" t="s">
        <v>933</v>
      </c>
      <c r="D833" t="s">
        <v>5405</v>
      </c>
      <c r="E833" t="s">
        <v>5406</v>
      </c>
      <c r="F833" t="s">
        <v>108</v>
      </c>
      <c r="H833" t="s">
        <v>5407</v>
      </c>
      <c r="I833" t="s">
        <v>632</v>
      </c>
      <c r="J833" t="s">
        <v>111</v>
      </c>
      <c r="K833" t="str">
        <f>"85374"</f>
        <v>85374</v>
      </c>
      <c r="L833" t="s">
        <v>5408</v>
      </c>
      <c r="M833" t="s">
        <v>5407</v>
      </c>
      <c r="N833" t="s">
        <v>632</v>
      </c>
      <c r="O833" t="s">
        <v>111</v>
      </c>
      <c r="P833" t="str">
        <f>"85374-2972"</f>
        <v>85374-2972</v>
      </c>
      <c r="Q833" t="s">
        <v>113</v>
      </c>
      <c r="R833" t="str">
        <f>"503-75-702"</f>
        <v>503-75-702</v>
      </c>
      <c r="S833" t="s">
        <v>5409</v>
      </c>
      <c r="U833">
        <v>1800</v>
      </c>
      <c r="V833">
        <v>0</v>
      </c>
      <c r="W833">
        <v>3</v>
      </c>
      <c r="X833">
        <v>1999</v>
      </c>
      <c r="Z833">
        <v>1</v>
      </c>
      <c r="AB833">
        <v>0</v>
      </c>
      <c r="AC833" t="s">
        <v>115</v>
      </c>
      <c r="AD833">
        <v>2</v>
      </c>
      <c r="AE833" t="s">
        <v>115</v>
      </c>
      <c r="AF833">
        <v>0</v>
      </c>
      <c r="AG833">
        <v>0</v>
      </c>
      <c r="AH833" t="s">
        <v>116</v>
      </c>
      <c r="AI833" s="1">
        <v>40766</v>
      </c>
      <c r="AJ833" s="2">
        <v>0.14000000000000001</v>
      </c>
      <c r="AK833" s="1">
        <v>283521</v>
      </c>
      <c r="AL833" t="s">
        <v>117</v>
      </c>
      <c r="AM833" t="s">
        <v>118</v>
      </c>
      <c r="AN833">
        <v>6582</v>
      </c>
      <c r="AO833">
        <v>0.15</v>
      </c>
      <c r="AP833">
        <v>1</v>
      </c>
      <c r="AR833">
        <v>1</v>
      </c>
      <c r="AS833" s="1">
        <v>19870</v>
      </c>
      <c r="AT833" s="1">
        <v>3970</v>
      </c>
      <c r="AU833" s="1">
        <v>15900</v>
      </c>
      <c r="AV833">
        <v>80.02</v>
      </c>
      <c r="AX833" s="1">
        <v>1859.7</v>
      </c>
      <c r="AY833" t="s">
        <v>5168</v>
      </c>
      <c r="AZ833" t="s">
        <v>5168</v>
      </c>
      <c r="BA833" t="s">
        <v>5109</v>
      </c>
      <c r="BE833" s="3">
        <v>42457</v>
      </c>
      <c r="BF833" s="1">
        <v>235000</v>
      </c>
      <c r="BG833" t="s">
        <v>5410</v>
      </c>
      <c r="BH833" s="1">
        <v>130.56</v>
      </c>
      <c r="BI833" s="1">
        <v>242755</v>
      </c>
      <c r="BJ833" s="3">
        <v>42457</v>
      </c>
      <c r="BK833" t="s">
        <v>123</v>
      </c>
      <c r="BL833" t="str">
        <f>"2016.199502"</f>
        <v>2016.199502</v>
      </c>
      <c r="BM833" t="s">
        <v>820</v>
      </c>
      <c r="BO833" t="s">
        <v>5411</v>
      </c>
      <c r="BS833">
        <v>30</v>
      </c>
      <c r="BW833" t="str">
        <f>""</f>
        <v/>
      </c>
      <c r="CH833" t="str">
        <f>""</f>
        <v/>
      </c>
      <c r="CS833" t="str">
        <f>""</f>
        <v/>
      </c>
    </row>
    <row r="834" spans="1:97" x14ac:dyDescent="0.25">
      <c r="A834" t="s">
        <v>5412</v>
      </c>
      <c r="B834" t="s">
        <v>5413</v>
      </c>
      <c r="C834" t="s">
        <v>1930</v>
      </c>
      <c r="D834" t="s">
        <v>5413</v>
      </c>
      <c r="E834" t="s">
        <v>5414</v>
      </c>
      <c r="F834" t="s">
        <v>108</v>
      </c>
      <c r="H834" t="s">
        <v>5415</v>
      </c>
      <c r="I834" t="s">
        <v>1936</v>
      </c>
      <c r="J834" t="s">
        <v>111</v>
      </c>
      <c r="K834" t="str">
        <f>"85257"</f>
        <v>85257</v>
      </c>
      <c r="L834" t="s">
        <v>5416</v>
      </c>
      <c r="M834" t="s">
        <v>5415</v>
      </c>
      <c r="N834" t="s">
        <v>1936</v>
      </c>
      <c r="O834" t="s">
        <v>111</v>
      </c>
      <c r="P834" t="str">
        <f>"85257-1816"</f>
        <v>85257-1816</v>
      </c>
      <c r="Q834" t="s">
        <v>113</v>
      </c>
      <c r="R834" t="str">
        <f>"131-41-016"</f>
        <v>131-41-016</v>
      </c>
      <c r="S834" t="s">
        <v>5417</v>
      </c>
      <c r="T834" t="s">
        <v>5418</v>
      </c>
      <c r="U834">
        <v>1781</v>
      </c>
      <c r="V834">
        <v>0</v>
      </c>
      <c r="W834">
        <v>2</v>
      </c>
      <c r="X834">
        <v>1959</v>
      </c>
      <c r="Z834">
        <v>1</v>
      </c>
      <c r="AB834">
        <v>0</v>
      </c>
      <c r="AC834" t="s">
        <v>115</v>
      </c>
      <c r="AD834">
        <v>1</v>
      </c>
      <c r="AE834" t="s">
        <v>115</v>
      </c>
      <c r="AF834">
        <v>0</v>
      </c>
      <c r="AG834">
        <v>0</v>
      </c>
      <c r="AH834" t="s">
        <v>116</v>
      </c>
      <c r="AI834" s="1">
        <v>114854</v>
      </c>
      <c r="AJ834" s="2">
        <v>0.3</v>
      </c>
      <c r="AK834" s="1">
        <v>387354</v>
      </c>
      <c r="AL834" t="s">
        <v>117</v>
      </c>
      <c r="AM834" t="s">
        <v>393</v>
      </c>
      <c r="AN834">
        <v>7287</v>
      </c>
      <c r="AO834">
        <v>0.17</v>
      </c>
      <c r="AP834">
        <v>1</v>
      </c>
      <c r="AR834">
        <v>1</v>
      </c>
      <c r="AS834" s="1">
        <v>26850</v>
      </c>
      <c r="AT834" s="1">
        <v>5370</v>
      </c>
      <c r="AU834" s="1">
        <v>21480</v>
      </c>
      <c r="AV834">
        <v>80</v>
      </c>
      <c r="AX834" s="1">
        <v>1252.28</v>
      </c>
      <c r="AY834" t="s">
        <v>5419</v>
      </c>
      <c r="AZ834" t="s">
        <v>5420</v>
      </c>
      <c r="BA834" t="s">
        <v>5421</v>
      </c>
      <c r="BB834" s="3">
        <v>42548</v>
      </c>
      <c r="BD834" t="s">
        <v>458</v>
      </c>
      <c r="BE834" s="3">
        <v>42075</v>
      </c>
      <c r="BF834" s="1">
        <v>240000</v>
      </c>
      <c r="BG834" t="s">
        <v>5422</v>
      </c>
      <c r="BH834" s="1">
        <v>134.76</v>
      </c>
      <c r="BI834" s="1">
        <v>247500</v>
      </c>
      <c r="BJ834" s="3">
        <v>42548</v>
      </c>
      <c r="BK834" t="s">
        <v>123</v>
      </c>
      <c r="BL834" t="str">
        <f>"2016.446162"</f>
        <v>2016.446162</v>
      </c>
      <c r="BM834" t="s">
        <v>724</v>
      </c>
      <c r="BN834" t="s">
        <v>5423</v>
      </c>
      <c r="BO834" t="s">
        <v>5424</v>
      </c>
      <c r="BS834">
        <v>30</v>
      </c>
      <c r="BT834" s="1">
        <v>25000</v>
      </c>
      <c r="BU834" s="3">
        <v>43500</v>
      </c>
      <c r="BV834" t="s">
        <v>134</v>
      </c>
      <c r="BW834" t="str">
        <f>"2019.76839"</f>
        <v>2019.76839</v>
      </c>
      <c r="BX834" t="s">
        <v>5065</v>
      </c>
      <c r="BY834" t="s">
        <v>5066</v>
      </c>
      <c r="BZ834" t="s">
        <v>5425</v>
      </c>
      <c r="CA834" t="s">
        <v>5426</v>
      </c>
      <c r="CC834" t="s">
        <v>139</v>
      </c>
      <c r="CH834" t="str">
        <f>""</f>
        <v/>
      </c>
      <c r="CS834" t="str">
        <f>""</f>
        <v/>
      </c>
    </row>
    <row r="835" spans="1:97" x14ac:dyDescent="0.25">
      <c r="A835" t="s">
        <v>3089</v>
      </c>
      <c r="B835" t="s">
        <v>3173</v>
      </c>
      <c r="C835" t="s">
        <v>2616</v>
      </c>
      <c r="D835" t="s">
        <v>3173</v>
      </c>
      <c r="E835" t="s">
        <v>5427</v>
      </c>
      <c r="F835" t="s">
        <v>108</v>
      </c>
      <c r="H835" t="s">
        <v>5428</v>
      </c>
      <c r="I835" t="s">
        <v>632</v>
      </c>
      <c r="J835" t="s">
        <v>111</v>
      </c>
      <c r="K835" t="str">
        <f>"85388"</f>
        <v>85388</v>
      </c>
      <c r="L835" t="s">
        <v>5429</v>
      </c>
      <c r="M835" t="s">
        <v>5428</v>
      </c>
      <c r="N835" t="s">
        <v>632</v>
      </c>
      <c r="O835" t="s">
        <v>111</v>
      </c>
      <c r="P835" t="str">
        <f>"85388"</f>
        <v>85388</v>
      </c>
      <c r="Q835" t="s">
        <v>113</v>
      </c>
      <c r="R835" t="str">
        <f>"502-01-886"</f>
        <v>502-01-886</v>
      </c>
      <c r="S835" t="s">
        <v>5430</v>
      </c>
      <c r="T835" t="s">
        <v>5431</v>
      </c>
      <c r="U835">
        <v>3596</v>
      </c>
      <c r="V835">
        <v>0</v>
      </c>
      <c r="W835">
        <v>5</v>
      </c>
      <c r="X835">
        <v>2004</v>
      </c>
      <c r="Z835">
        <v>2</v>
      </c>
      <c r="AA835" t="s">
        <v>26</v>
      </c>
      <c r="AB835">
        <v>0</v>
      </c>
      <c r="AC835" t="s">
        <v>115</v>
      </c>
      <c r="AD835">
        <v>3</v>
      </c>
      <c r="AE835" t="s">
        <v>115</v>
      </c>
      <c r="AF835">
        <v>0</v>
      </c>
      <c r="AG835">
        <v>0</v>
      </c>
      <c r="AH835" t="s">
        <v>116</v>
      </c>
      <c r="AI835" s="1">
        <v>86383</v>
      </c>
      <c r="AJ835" s="2">
        <v>0.24</v>
      </c>
      <c r="AK835" s="1">
        <v>366283</v>
      </c>
      <c r="AL835" t="s">
        <v>117</v>
      </c>
      <c r="AM835" t="s">
        <v>118</v>
      </c>
      <c r="AN835">
        <v>6934</v>
      </c>
      <c r="AO835">
        <v>0.16</v>
      </c>
      <c r="AP835">
        <v>1</v>
      </c>
      <c r="AR835">
        <v>1</v>
      </c>
      <c r="AS835" s="1">
        <v>26860</v>
      </c>
      <c r="AT835" s="1">
        <v>5370</v>
      </c>
      <c r="AU835" s="1">
        <v>21490</v>
      </c>
      <c r="AV835">
        <v>80.010000000000005</v>
      </c>
      <c r="AX835" s="1">
        <v>2167.3000000000002</v>
      </c>
      <c r="AY835" t="s">
        <v>5432</v>
      </c>
      <c r="AZ835" t="s">
        <v>5432</v>
      </c>
      <c r="BA835" t="s">
        <v>5109</v>
      </c>
      <c r="BE835" s="3">
        <v>42195</v>
      </c>
      <c r="BF835" s="1">
        <v>279900</v>
      </c>
      <c r="BG835" t="s">
        <v>5433</v>
      </c>
      <c r="BH835" s="1">
        <v>77.84</v>
      </c>
      <c r="BI835" s="1">
        <v>279900</v>
      </c>
      <c r="BJ835" s="3">
        <v>42195</v>
      </c>
      <c r="BK835" t="s">
        <v>123</v>
      </c>
      <c r="BL835" t="str">
        <f>"2015.496449"</f>
        <v>2015.496449</v>
      </c>
      <c r="BM835" t="s">
        <v>1791</v>
      </c>
      <c r="BO835" t="s">
        <v>5434</v>
      </c>
      <c r="BS835">
        <v>30</v>
      </c>
      <c r="BW835" t="str">
        <f>""</f>
        <v/>
      </c>
      <c r="CH835" t="str">
        <f>""</f>
        <v/>
      </c>
      <c r="CS835" t="str">
        <f>""</f>
        <v/>
      </c>
    </row>
    <row r="836" spans="1:97" x14ac:dyDescent="0.25">
      <c r="A836" t="s">
        <v>106</v>
      </c>
      <c r="B836" t="s">
        <v>5435</v>
      </c>
      <c r="C836" t="s">
        <v>1407</v>
      </c>
      <c r="D836" t="s">
        <v>5435</v>
      </c>
      <c r="E836" t="s">
        <v>5436</v>
      </c>
      <c r="F836" t="s">
        <v>108</v>
      </c>
      <c r="H836" t="s">
        <v>5437</v>
      </c>
      <c r="I836" t="s">
        <v>390</v>
      </c>
      <c r="J836" t="s">
        <v>111</v>
      </c>
      <c r="K836" t="str">
        <f>"85022"</f>
        <v>85022</v>
      </c>
      <c r="L836" t="s">
        <v>5438</v>
      </c>
      <c r="M836" t="s">
        <v>5437</v>
      </c>
      <c r="N836" t="s">
        <v>390</v>
      </c>
      <c r="O836" t="s">
        <v>111</v>
      </c>
      <c r="P836" t="str">
        <f>"85022-2626"</f>
        <v>85022-2626</v>
      </c>
      <c r="Q836" t="s">
        <v>113</v>
      </c>
      <c r="R836" t="str">
        <f>"214-16-027"</f>
        <v>214-16-027</v>
      </c>
      <c r="S836" t="s">
        <v>5439</v>
      </c>
      <c r="T836" t="s">
        <v>5440</v>
      </c>
      <c r="U836">
        <v>1957</v>
      </c>
      <c r="V836">
        <v>0</v>
      </c>
      <c r="W836">
        <v>3</v>
      </c>
      <c r="X836">
        <v>1979</v>
      </c>
      <c r="Z836">
        <v>1</v>
      </c>
      <c r="AA836" t="s">
        <v>26</v>
      </c>
      <c r="AB836">
        <v>0</v>
      </c>
      <c r="AC836" t="s">
        <v>115</v>
      </c>
      <c r="AD836">
        <v>2</v>
      </c>
      <c r="AE836" t="s">
        <v>115</v>
      </c>
      <c r="AF836">
        <v>0</v>
      </c>
      <c r="AG836">
        <v>0</v>
      </c>
      <c r="AH836" t="s">
        <v>116</v>
      </c>
      <c r="AI836" s="1">
        <v>97780</v>
      </c>
      <c r="AJ836" s="2">
        <v>0.27</v>
      </c>
      <c r="AK836" s="1">
        <v>368680</v>
      </c>
      <c r="AL836" t="s">
        <v>117</v>
      </c>
      <c r="AM836" t="s">
        <v>5441</v>
      </c>
      <c r="AN836">
        <v>10535</v>
      </c>
      <c r="AO836">
        <v>0.24</v>
      </c>
      <c r="AP836">
        <v>1</v>
      </c>
      <c r="AR836">
        <v>1</v>
      </c>
      <c r="AS836" s="1">
        <v>25120</v>
      </c>
      <c r="AT836" s="1">
        <v>5020</v>
      </c>
      <c r="AU836" s="1">
        <v>20100</v>
      </c>
      <c r="AV836">
        <v>80.02</v>
      </c>
      <c r="AX836" s="1">
        <v>2186.2600000000002</v>
      </c>
      <c r="AY836" t="s">
        <v>5442</v>
      </c>
      <c r="AZ836" t="s">
        <v>5231</v>
      </c>
      <c r="BA836" t="s">
        <v>2551</v>
      </c>
      <c r="BE836" s="3">
        <v>41838</v>
      </c>
      <c r="BF836" s="1">
        <v>274000</v>
      </c>
      <c r="BG836" t="s">
        <v>5443</v>
      </c>
      <c r="BH836" s="1">
        <v>140.01</v>
      </c>
      <c r="BI836" s="1">
        <v>270900</v>
      </c>
      <c r="BJ836" s="3">
        <v>42499</v>
      </c>
      <c r="BK836" t="s">
        <v>123</v>
      </c>
      <c r="BL836" t="str">
        <f>"2016.316853"</f>
        <v>2016.316853</v>
      </c>
      <c r="BM836" t="s">
        <v>544</v>
      </c>
      <c r="BO836" t="s">
        <v>5444</v>
      </c>
      <c r="BS836">
        <v>30</v>
      </c>
      <c r="BW836" t="str">
        <f>""</f>
        <v/>
      </c>
      <c r="CH836" t="str">
        <f>""</f>
        <v/>
      </c>
      <c r="CS836" t="str">
        <f>""</f>
        <v/>
      </c>
    </row>
    <row r="837" spans="1:97" x14ac:dyDescent="0.25">
      <c r="A837" t="s">
        <v>5445</v>
      </c>
      <c r="B837" t="s">
        <v>5446</v>
      </c>
      <c r="E837" t="s">
        <v>5447</v>
      </c>
      <c r="F837" t="s">
        <v>108</v>
      </c>
      <c r="H837" t="s">
        <v>5448</v>
      </c>
      <c r="I837" t="s">
        <v>225</v>
      </c>
      <c r="J837" t="s">
        <v>111</v>
      </c>
      <c r="K837" t="str">
        <f>"85209"</f>
        <v>85209</v>
      </c>
      <c r="L837" t="s">
        <v>189</v>
      </c>
      <c r="M837" t="s">
        <v>5448</v>
      </c>
      <c r="N837" t="s">
        <v>225</v>
      </c>
      <c r="O837" t="s">
        <v>111</v>
      </c>
      <c r="P837" t="str">
        <f>"85209-5376"</f>
        <v>85209-5376</v>
      </c>
      <c r="Q837" t="s">
        <v>113</v>
      </c>
      <c r="R837" t="str">
        <f>"304-04-940"</f>
        <v>304-04-940</v>
      </c>
      <c r="S837" t="s">
        <v>4029</v>
      </c>
      <c r="U837">
        <v>1616</v>
      </c>
      <c r="W837">
        <v>3</v>
      </c>
      <c r="X837">
        <v>2015</v>
      </c>
      <c r="Z837">
        <v>1</v>
      </c>
      <c r="AC837" t="s">
        <v>115</v>
      </c>
      <c r="AD837">
        <v>2</v>
      </c>
      <c r="AE837" t="s">
        <v>115</v>
      </c>
      <c r="AH837" t="s">
        <v>116</v>
      </c>
      <c r="AI837" s="1">
        <v>21327</v>
      </c>
      <c r="AJ837" s="2">
        <v>7.0000000000000007E-2</v>
      </c>
      <c r="AK837" s="1">
        <v>286509</v>
      </c>
      <c r="AL837" t="s">
        <v>117</v>
      </c>
      <c r="AM837" t="s">
        <v>3111</v>
      </c>
      <c r="AN837">
        <v>4716</v>
      </c>
      <c r="AO837">
        <v>0.11</v>
      </c>
      <c r="AR837">
        <v>1</v>
      </c>
      <c r="AS837" s="1">
        <v>19850</v>
      </c>
      <c r="AT837" s="1">
        <v>3970</v>
      </c>
      <c r="AU837" s="1">
        <v>15880</v>
      </c>
      <c r="AV837">
        <v>80</v>
      </c>
      <c r="AX837" s="1">
        <v>1265.8</v>
      </c>
      <c r="AY837" t="s">
        <v>570</v>
      </c>
      <c r="AZ837" t="s">
        <v>777</v>
      </c>
      <c r="BA837" t="s">
        <v>572</v>
      </c>
      <c r="BE837" s="3">
        <v>42367</v>
      </c>
      <c r="BF837" s="1">
        <v>222097</v>
      </c>
      <c r="BG837" t="s">
        <v>4030</v>
      </c>
      <c r="BH837" s="1">
        <v>137.44</v>
      </c>
      <c r="BI837" s="1">
        <v>265182</v>
      </c>
      <c r="BJ837" s="3">
        <v>43591</v>
      </c>
      <c r="BK837" t="s">
        <v>123</v>
      </c>
      <c r="BL837" t="str">
        <f>"2019.324496"</f>
        <v>2019.324496</v>
      </c>
      <c r="BM837" t="s">
        <v>2051</v>
      </c>
      <c r="BN837" t="s">
        <v>5449</v>
      </c>
      <c r="BO837" t="s">
        <v>5450</v>
      </c>
      <c r="BR837" t="s">
        <v>139</v>
      </c>
      <c r="BT837" s="1">
        <v>265182</v>
      </c>
      <c r="BU837" s="3">
        <v>43591</v>
      </c>
      <c r="BV837" t="s">
        <v>123</v>
      </c>
      <c r="BW837" t="str">
        <f>"2019.324496"</f>
        <v>2019.324496</v>
      </c>
      <c r="BX837" t="s">
        <v>2051</v>
      </c>
      <c r="BY837" t="s">
        <v>5449</v>
      </c>
      <c r="BZ837" t="s">
        <v>5450</v>
      </c>
      <c r="CC837" t="s">
        <v>139</v>
      </c>
      <c r="CH837" t="str">
        <f>""</f>
        <v/>
      </c>
      <c r="CS837" t="str">
        <f>""</f>
        <v/>
      </c>
    </row>
    <row r="838" spans="1:97" x14ac:dyDescent="0.25">
      <c r="A838" t="s">
        <v>1109</v>
      </c>
      <c r="B838" t="s">
        <v>5451</v>
      </c>
      <c r="C838" t="s">
        <v>5452</v>
      </c>
      <c r="D838" t="s">
        <v>5453</v>
      </c>
      <c r="E838" t="s">
        <v>5454</v>
      </c>
      <c r="F838" t="s">
        <v>108</v>
      </c>
      <c r="H838" t="s">
        <v>5455</v>
      </c>
      <c r="I838" t="s">
        <v>5114</v>
      </c>
      <c r="J838" t="s">
        <v>111</v>
      </c>
      <c r="K838" t="str">
        <f>"85323"</f>
        <v>85323</v>
      </c>
      <c r="L838" t="s">
        <v>5456</v>
      </c>
      <c r="M838" t="s">
        <v>5455</v>
      </c>
      <c r="N838" t="s">
        <v>5114</v>
      </c>
      <c r="O838" t="s">
        <v>111</v>
      </c>
      <c r="P838" t="str">
        <f>"85323-7717"</f>
        <v>85323-7717</v>
      </c>
      <c r="Q838" t="s">
        <v>113</v>
      </c>
      <c r="R838" t="str">
        <f>"500-32-761"</f>
        <v>500-32-761</v>
      </c>
      <c r="S838" t="s">
        <v>5457</v>
      </c>
      <c r="U838">
        <v>2949</v>
      </c>
      <c r="V838">
        <v>0</v>
      </c>
      <c r="W838">
        <v>4</v>
      </c>
      <c r="X838">
        <v>2016</v>
      </c>
      <c r="Z838">
        <v>2</v>
      </c>
      <c r="AB838">
        <v>0</v>
      </c>
      <c r="AC838" t="s">
        <v>115</v>
      </c>
      <c r="AD838">
        <v>2</v>
      </c>
      <c r="AE838" t="s">
        <v>115</v>
      </c>
      <c r="AF838">
        <v>0</v>
      </c>
      <c r="AG838">
        <v>0</v>
      </c>
      <c r="AH838" t="s">
        <v>116</v>
      </c>
      <c r="AI838" s="1">
        <v>63908</v>
      </c>
      <c r="AJ838" s="2">
        <v>0.21</v>
      </c>
      <c r="AK838" s="1">
        <v>307482</v>
      </c>
      <c r="AL838" t="s">
        <v>117</v>
      </c>
      <c r="AM838" t="s">
        <v>118</v>
      </c>
      <c r="AN838">
        <v>6900</v>
      </c>
      <c r="AO838">
        <v>0.16</v>
      </c>
      <c r="AR838">
        <v>1</v>
      </c>
      <c r="AS838" s="1">
        <v>21650</v>
      </c>
      <c r="AT838" s="1">
        <v>4330</v>
      </c>
      <c r="AU838" s="1">
        <v>17320</v>
      </c>
      <c r="AV838">
        <v>80</v>
      </c>
      <c r="AX838" s="1">
        <v>2353.14</v>
      </c>
      <c r="AY838" t="s">
        <v>5458</v>
      </c>
      <c r="AZ838" t="s">
        <v>5458</v>
      </c>
      <c r="BA838" t="s">
        <v>4254</v>
      </c>
      <c r="BE838" s="3">
        <v>42338</v>
      </c>
      <c r="BF838" s="1">
        <v>254978</v>
      </c>
      <c r="BG838" t="s">
        <v>158</v>
      </c>
      <c r="BH838" s="1">
        <v>86.46</v>
      </c>
      <c r="BI838" s="1">
        <v>243574</v>
      </c>
      <c r="BJ838" s="3">
        <v>42338</v>
      </c>
      <c r="BK838" t="s">
        <v>123</v>
      </c>
      <c r="BL838" t="str">
        <f>"2015.847095"</f>
        <v>2015.847095</v>
      </c>
      <c r="BM838" t="s">
        <v>241</v>
      </c>
      <c r="BO838" t="s">
        <v>5459</v>
      </c>
      <c r="BP838" t="s">
        <v>5460</v>
      </c>
      <c r="BS838">
        <v>30</v>
      </c>
      <c r="BW838" t="str">
        <f>""</f>
        <v/>
      </c>
      <c r="CH838" t="str">
        <f>""</f>
        <v/>
      </c>
      <c r="CS838" t="str">
        <f>""</f>
        <v/>
      </c>
    </row>
    <row r="839" spans="1:97" x14ac:dyDescent="0.25">
      <c r="A839" t="s">
        <v>328</v>
      </c>
      <c r="B839" t="s">
        <v>5461</v>
      </c>
      <c r="E839" t="s">
        <v>5462</v>
      </c>
      <c r="F839" t="s">
        <v>108</v>
      </c>
      <c r="H839" t="s">
        <v>5463</v>
      </c>
      <c r="I839" t="s">
        <v>390</v>
      </c>
      <c r="J839" t="s">
        <v>111</v>
      </c>
      <c r="K839" t="str">
        <f>"85013"</f>
        <v>85013</v>
      </c>
      <c r="L839" t="s">
        <v>5464</v>
      </c>
      <c r="M839" t="s">
        <v>5463</v>
      </c>
      <c r="N839" t="s">
        <v>390</v>
      </c>
      <c r="O839" t="s">
        <v>111</v>
      </c>
      <c r="P839" t="str">
        <f>"85013-2857"</f>
        <v>85013-2857</v>
      </c>
      <c r="Q839" t="s">
        <v>113</v>
      </c>
      <c r="R839" t="str">
        <f>"155-41-025"</f>
        <v>155-41-025</v>
      </c>
      <c r="S839" t="s">
        <v>5465</v>
      </c>
      <c r="T839" t="s">
        <v>5466</v>
      </c>
      <c r="U839">
        <v>1125</v>
      </c>
      <c r="V839">
        <v>0</v>
      </c>
      <c r="W839">
        <v>1</v>
      </c>
      <c r="X839">
        <v>1947</v>
      </c>
      <c r="Z839">
        <v>1</v>
      </c>
      <c r="AB839">
        <v>0</v>
      </c>
      <c r="AC839" t="s">
        <v>115</v>
      </c>
      <c r="AD839">
        <v>1</v>
      </c>
      <c r="AE839" t="s">
        <v>115</v>
      </c>
      <c r="AF839">
        <v>0</v>
      </c>
      <c r="AG839">
        <v>0</v>
      </c>
      <c r="AH839" t="s">
        <v>5467</v>
      </c>
      <c r="AI839" s="1">
        <v>47695</v>
      </c>
      <c r="AJ839" s="2">
        <v>0.15</v>
      </c>
      <c r="AK839" s="1">
        <v>308177</v>
      </c>
      <c r="AL839" t="s">
        <v>117</v>
      </c>
      <c r="AM839" t="s">
        <v>191</v>
      </c>
      <c r="AN839">
        <v>8289</v>
      </c>
      <c r="AO839">
        <v>0.19</v>
      </c>
      <c r="AP839">
        <v>1</v>
      </c>
      <c r="AR839">
        <v>1</v>
      </c>
      <c r="AS839" s="1">
        <v>21130</v>
      </c>
      <c r="AT839" s="1">
        <v>4220</v>
      </c>
      <c r="AU839" s="1">
        <v>16910</v>
      </c>
      <c r="AV839">
        <v>80.03</v>
      </c>
      <c r="AX839" s="1">
        <v>1462.02</v>
      </c>
      <c r="AY839" t="s">
        <v>5468</v>
      </c>
      <c r="AZ839" t="s">
        <v>5468</v>
      </c>
      <c r="BA839" t="s">
        <v>5469</v>
      </c>
      <c r="BE839" s="3">
        <v>42333</v>
      </c>
      <c r="BF839" s="1">
        <v>265000</v>
      </c>
      <c r="BG839" t="s">
        <v>5470</v>
      </c>
      <c r="BH839" s="1">
        <v>235.56</v>
      </c>
      <c r="BI839" s="1">
        <v>260482</v>
      </c>
      <c r="BJ839" s="3">
        <v>42333</v>
      </c>
      <c r="BK839" t="s">
        <v>123</v>
      </c>
      <c r="BL839" t="str">
        <f>"2015.841383"</f>
        <v>2015.841383</v>
      </c>
      <c r="BM839" t="s">
        <v>2368</v>
      </c>
      <c r="BO839" t="s">
        <v>5471</v>
      </c>
      <c r="BS839">
        <v>30</v>
      </c>
      <c r="BW839" t="str">
        <f>""</f>
        <v/>
      </c>
      <c r="CH839" t="str">
        <f>""</f>
        <v/>
      </c>
      <c r="CS839" t="str">
        <f>""</f>
        <v/>
      </c>
    </row>
    <row r="840" spans="1:97" x14ac:dyDescent="0.25">
      <c r="A840" t="s">
        <v>1340</v>
      </c>
      <c r="B840" t="s">
        <v>5472</v>
      </c>
      <c r="E840" t="s">
        <v>5473</v>
      </c>
      <c r="F840" t="s">
        <v>108</v>
      </c>
      <c r="H840" t="s">
        <v>5474</v>
      </c>
      <c r="I840" t="s">
        <v>110</v>
      </c>
      <c r="J840" t="s">
        <v>111</v>
      </c>
      <c r="K840" t="str">
        <f>"85225"</f>
        <v>85225</v>
      </c>
      <c r="L840" t="s">
        <v>5138</v>
      </c>
      <c r="M840" t="s">
        <v>5474</v>
      </c>
      <c r="N840" t="s">
        <v>110</v>
      </c>
      <c r="O840" t="s">
        <v>111</v>
      </c>
      <c r="P840" t="str">
        <f>"85225"</f>
        <v>85225</v>
      </c>
      <c r="Q840" t="s">
        <v>113</v>
      </c>
      <c r="R840" t="str">
        <f>"302-29-113"</f>
        <v>302-29-113</v>
      </c>
      <c r="S840" t="s">
        <v>5475</v>
      </c>
      <c r="T840" t="s">
        <v>5476</v>
      </c>
      <c r="U840">
        <v>1673</v>
      </c>
      <c r="V840">
        <v>0</v>
      </c>
      <c r="W840">
        <v>3</v>
      </c>
      <c r="X840">
        <v>1994</v>
      </c>
      <c r="Z840">
        <v>1</v>
      </c>
      <c r="AB840">
        <v>0</v>
      </c>
      <c r="AC840" t="s">
        <v>115</v>
      </c>
      <c r="AD840">
        <v>2</v>
      </c>
      <c r="AE840" t="s">
        <v>115</v>
      </c>
      <c r="AF840">
        <v>0</v>
      </c>
      <c r="AG840">
        <v>0</v>
      </c>
      <c r="AH840" t="s">
        <v>116</v>
      </c>
      <c r="AI840" s="1">
        <v>70140</v>
      </c>
      <c r="AJ840" s="2">
        <v>0.22</v>
      </c>
      <c r="AK840" s="1">
        <v>315994</v>
      </c>
      <c r="AL840" t="s">
        <v>117</v>
      </c>
      <c r="AM840" t="s">
        <v>118</v>
      </c>
      <c r="AN840">
        <v>11535</v>
      </c>
      <c r="AO840">
        <v>0.26</v>
      </c>
      <c r="AP840">
        <v>1</v>
      </c>
      <c r="AR840">
        <v>1</v>
      </c>
      <c r="AS840" s="1">
        <v>22120</v>
      </c>
      <c r="AT840" s="1">
        <v>4420</v>
      </c>
      <c r="AU840" s="1">
        <v>17700</v>
      </c>
      <c r="AV840">
        <v>80.02</v>
      </c>
      <c r="AX840" s="1">
        <v>1475.52</v>
      </c>
      <c r="AY840" t="s">
        <v>5477</v>
      </c>
      <c r="AZ840" t="s">
        <v>5478</v>
      </c>
      <c r="BA840" t="s">
        <v>5479</v>
      </c>
      <c r="BE840" s="3">
        <v>42509</v>
      </c>
      <c r="BF840" s="1">
        <v>238000</v>
      </c>
      <c r="BG840" t="s">
        <v>5480</v>
      </c>
      <c r="BH840" s="1">
        <v>142.26</v>
      </c>
      <c r="BI840" s="1">
        <v>245854</v>
      </c>
      <c r="BJ840" s="3">
        <v>42509</v>
      </c>
      <c r="BK840" t="s">
        <v>123</v>
      </c>
      <c r="BL840" t="str">
        <f>"2016.344535"</f>
        <v>2016.344535</v>
      </c>
      <c r="BM840" t="s">
        <v>2716</v>
      </c>
      <c r="BO840" t="s">
        <v>5481</v>
      </c>
      <c r="BS840">
        <v>30</v>
      </c>
      <c r="BW840" t="str">
        <f>""</f>
        <v/>
      </c>
      <c r="CH840" t="str">
        <f>""</f>
        <v/>
      </c>
      <c r="CS840" t="str">
        <f>""</f>
        <v/>
      </c>
    </row>
    <row r="841" spans="1:97" x14ac:dyDescent="0.25">
      <c r="A841" t="s">
        <v>589</v>
      </c>
      <c r="B841" t="s">
        <v>5482</v>
      </c>
      <c r="C841" t="s">
        <v>524</v>
      </c>
      <c r="D841" t="s">
        <v>5482</v>
      </c>
      <c r="E841" t="s">
        <v>5483</v>
      </c>
      <c r="F841" t="s">
        <v>108</v>
      </c>
      <c r="H841" t="s">
        <v>5484</v>
      </c>
      <c r="I841" t="s">
        <v>390</v>
      </c>
      <c r="J841" t="s">
        <v>111</v>
      </c>
      <c r="K841" t="str">
        <f>"85028"</f>
        <v>85028</v>
      </c>
      <c r="L841" t="s">
        <v>5485</v>
      </c>
      <c r="M841" t="s">
        <v>5484</v>
      </c>
      <c r="N841" t="s">
        <v>390</v>
      </c>
      <c r="O841" t="s">
        <v>111</v>
      </c>
      <c r="P841" t="str">
        <f>"85028-1908"</f>
        <v>85028-1908</v>
      </c>
      <c r="Q841" t="s">
        <v>113</v>
      </c>
      <c r="R841" t="str">
        <f>"166-29-315"</f>
        <v>166-29-315</v>
      </c>
      <c r="S841" t="s">
        <v>5486</v>
      </c>
      <c r="T841" t="s">
        <v>5487</v>
      </c>
      <c r="U841">
        <v>1546</v>
      </c>
      <c r="V841">
        <v>0</v>
      </c>
      <c r="W841">
        <v>2</v>
      </c>
      <c r="X841">
        <v>1971</v>
      </c>
      <c r="Z841">
        <v>1</v>
      </c>
      <c r="AB841">
        <v>0</v>
      </c>
      <c r="AC841" t="s">
        <v>5188</v>
      </c>
      <c r="AD841">
        <v>2</v>
      </c>
      <c r="AE841" t="s">
        <v>5188</v>
      </c>
      <c r="AF841">
        <v>0</v>
      </c>
      <c r="AG841">
        <v>0</v>
      </c>
      <c r="AH841" t="s">
        <v>116</v>
      </c>
      <c r="AI841" s="1">
        <v>92818</v>
      </c>
      <c r="AJ841" s="2">
        <v>0.3</v>
      </c>
      <c r="AK841" s="1">
        <v>311360</v>
      </c>
      <c r="AL841" t="s">
        <v>117</v>
      </c>
      <c r="AM841" t="s">
        <v>171</v>
      </c>
      <c r="AN841">
        <v>8857</v>
      </c>
      <c r="AO841">
        <v>0.2</v>
      </c>
      <c r="AP841">
        <v>1</v>
      </c>
      <c r="AR841">
        <v>1</v>
      </c>
      <c r="AS841" s="1">
        <v>21810</v>
      </c>
      <c r="AT841" s="1">
        <v>4360</v>
      </c>
      <c r="AU841" s="1">
        <v>17450</v>
      </c>
      <c r="AV841">
        <v>80.010000000000005</v>
      </c>
      <c r="AX841" s="1">
        <v>1580.52</v>
      </c>
      <c r="AY841" t="s">
        <v>5488</v>
      </c>
      <c r="AZ841" t="s">
        <v>5489</v>
      </c>
      <c r="BA841" t="s">
        <v>5232</v>
      </c>
      <c r="BE841" s="3">
        <v>41695</v>
      </c>
      <c r="BF841" s="1">
        <v>218000</v>
      </c>
      <c r="BG841" t="s">
        <v>5490</v>
      </c>
      <c r="BH841" s="1">
        <v>141.01</v>
      </c>
      <c r="BI841" s="1">
        <v>218542</v>
      </c>
      <c r="BJ841" s="3">
        <v>42458</v>
      </c>
      <c r="BK841" t="s">
        <v>123</v>
      </c>
      <c r="BL841" t="str">
        <f>"2016.199963"</f>
        <v>2016.199963</v>
      </c>
      <c r="BM841" t="s">
        <v>322</v>
      </c>
      <c r="BO841" t="s">
        <v>5491</v>
      </c>
      <c r="BS841">
        <v>30</v>
      </c>
      <c r="BW841" t="str">
        <f>""</f>
        <v/>
      </c>
      <c r="CH841" t="str">
        <f>""</f>
        <v/>
      </c>
      <c r="CS841" t="str">
        <f>""</f>
        <v/>
      </c>
    </row>
    <row r="842" spans="1:97" x14ac:dyDescent="0.25">
      <c r="A842" t="s">
        <v>5492</v>
      </c>
      <c r="B842" t="s">
        <v>5493</v>
      </c>
      <c r="E842" t="s">
        <v>5494</v>
      </c>
      <c r="F842" t="s">
        <v>108</v>
      </c>
      <c r="H842" t="s">
        <v>5495</v>
      </c>
      <c r="I842" t="s">
        <v>632</v>
      </c>
      <c r="J842" t="s">
        <v>111</v>
      </c>
      <c r="K842" t="str">
        <f>"85387"</f>
        <v>85387</v>
      </c>
      <c r="L842" t="s">
        <v>5496</v>
      </c>
      <c r="M842" t="s">
        <v>5495</v>
      </c>
      <c r="N842" t="s">
        <v>632</v>
      </c>
      <c r="O842" t="s">
        <v>111</v>
      </c>
      <c r="P842" t="str">
        <f>"85387-1043"</f>
        <v>85387-1043</v>
      </c>
      <c r="Q842" t="s">
        <v>113</v>
      </c>
      <c r="R842" t="str">
        <f>"503-51-529"</f>
        <v>503-51-529</v>
      </c>
      <c r="S842" t="s">
        <v>5497</v>
      </c>
      <c r="T842" t="s">
        <v>5498</v>
      </c>
      <c r="U842">
        <v>2401</v>
      </c>
      <c r="V842">
        <v>0</v>
      </c>
      <c r="W842">
        <v>4</v>
      </c>
      <c r="X842">
        <v>2007</v>
      </c>
      <c r="Z842">
        <v>2</v>
      </c>
      <c r="AB842">
        <v>0</v>
      </c>
      <c r="AC842" t="s">
        <v>115</v>
      </c>
      <c r="AD842">
        <v>2</v>
      </c>
      <c r="AE842" t="s">
        <v>115</v>
      </c>
      <c r="AF842">
        <v>0</v>
      </c>
      <c r="AG842">
        <v>0</v>
      </c>
      <c r="AH842" t="s">
        <v>116</v>
      </c>
      <c r="AI842" s="1">
        <v>13719</v>
      </c>
      <c r="AJ842" s="2">
        <v>0.05</v>
      </c>
      <c r="AK842" s="1">
        <v>263719</v>
      </c>
      <c r="AL842" t="s">
        <v>117</v>
      </c>
      <c r="AM842" t="s">
        <v>118</v>
      </c>
      <c r="AN842">
        <v>6325</v>
      </c>
      <c r="AO842">
        <v>0.14000000000000001</v>
      </c>
      <c r="AR842">
        <v>1</v>
      </c>
      <c r="AS842" s="1">
        <v>17520</v>
      </c>
      <c r="AT842" s="1">
        <v>3500</v>
      </c>
      <c r="AU842" s="1">
        <v>14020</v>
      </c>
      <c r="AV842">
        <v>80.02</v>
      </c>
      <c r="AX842" s="1">
        <v>749.16</v>
      </c>
      <c r="AY842" t="s">
        <v>5499</v>
      </c>
      <c r="AZ842" t="s">
        <v>5499</v>
      </c>
      <c r="BE842" s="3">
        <v>42380</v>
      </c>
      <c r="BF842" s="1">
        <v>192000</v>
      </c>
      <c r="BG842" t="s">
        <v>5500</v>
      </c>
      <c r="BH842" s="1">
        <v>79.97</v>
      </c>
      <c r="BI842" s="1">
        <v>250000</v>
      </c>
      <c r="BJ842" s="3">
        <v>43234</v>
      </c>
      <c r="BK842" t="s">
        <v>123</v>
      </c>
      <c r="BL842" t="str">
        <f>"2018.365526"</f>
        <v>2018.365526</v>
      </c>
      <c r="BM842" t="s">
        <v>5501</v>
      </c>
      <c r="BN842" t="s">
        <v>5502</v>
      </c>
      <c r="BO842" t="s">
        <v>5503</v>
      </c>
      <c r="BR842" t="s">
        <v>139</v>
      </c>
      <c r="BW842" t="str">
        <f>""</f>
        <v/>
      </c>
      <c r="CH842" t="str">
        <f>""</f>
        <v/>
      </c>
      <c r="CS842" t="str">
        <f>""</f>
        <v/>
      </c>
    </row>
    <row r="843" spans="1:97" x14ac:dyDescent="0.25">
      <c r="A843" t="s">
        <v>464</v>
      </c>
      <c r="B843" t="s">
        <v>5504</v>
      </c>
      <c r="C843" t="s">
        <v>5505</v>
      </c>
      <c r="D843" t="s">
        <v>5504</v>
      </c>
      <c r="E843" t="s">
        <v>5506</v>
      </c>
      <c r="F843" t="s">
        <v>108</v>
      </c>
      <c r="H843" t="s">
        <v>5507</v>
      </c>
      <c r="I843" t="s">
        <v>632</v>
      </c>
      <c r="J843" t="s">
        <v>111</v>
      </c>
      <c r="K843" t="str">
        <f>"85379"</f>
        <v>85379</v>
      </c>
      <c r="L843" t="s">
        <v>375</v>
      </c>
      <c r="M843" t="s">
        <v>5507</v>
      </c>
      <c r="N843" t="s">
        <v>632</v>
      </c>
      <c r="O843" t="s">
        <v>111</v>
      </c>
      <c r="P843" t="str">
        <f>"85379-8181"</f>
        <v>85379-8181</v>
      </c>
      <c r="Q843" t="s">
        <v>113</v>
      </c>
      <c r="R843" t="str">
        <f>"501-46-165"</f>
        <v>501-46-165</v>
      </c>
      <c r="S843" t="s">
        <v>5508</v>
      </c>
      <c r="U843">
        <v>1743</v>
      </c>
      <c r="V843">
        <v>0</v>
      </c>
      <c r="W843">
        <v>3</v>
      </c>
      <c r="X843">
        <v>2007</v>
      </c>
      <c r="Z843">
        <v>1</v>
      </c>
      <c r="AB843">
        <v>0</v>
      </c>
      <c r="AC843" t="s">
        <v>115</v>
      </c>
      <c r="AD843">
        <v>2</v>
      </c>
      <c r="AE843" t="s">
        <v>115</v>
      </c>
      <c r="AF843">
        <v>0</v>
      </c>
      <c r="AG843">
        <v>0</v>
      </c>
      <c r="AH843" t="s">
        <v>116</v>
      </c>
      <c r="AI843" s="1">
        <v>58403</v>
      </c>
      <c r="AJ843" s="2">
        <v>0.2</v>
      </c>
      <c r="AK843" s="1">
        <v>285663</v>
      </c>
      <c r="AL843" t="s">
        <v>117</v>
      </c>
      <c r="AM843" t="s">
        <v>118</v>
      </c>
      <c r="AN843">
        <v>6435</v>
      </c>
      <c r="AO843">
        <v>0.15</v>
      </c>
      <c r="AR843">
        <v>1</v>
      </c>
      <c r="AS843" s="1">
        <v>21170</v>
      </c>
      <c r="AT843" s="1">
        <v>4230</v>
      </c>
      <c r="AU843" s="1">
        <v>16940</v>
      </c>
      <c r="AV843">
        <v>80.02</v>
      </c>
      <c r="AX843" s="1">
        <v>2374.6999999999998</v>
      </c>
      <c r="AY843" t="s">
        <v>634</v>
      </c>
      <c r="AZ843" t="s">
        <v>634</v>
      </c>
      <c r="BA843" t="s">
        <v>635</v>
      </c>
      <c r="BE843" s="3">
        <v>42255</v>
      </c>
      <c r="BF843" s="1">
        <v>220000</v>
      </c>
      <c r="BG843" t="s">
        <v>5509</v>
      </c>
      <c r="BH843" s="1">
        <v>126.22</v>
      </c>
      <c r="BI843" s="1">
        <v>227260</v>
      </c>
      <c r="BJ843" s="3">
        <v>42255</v>
      </c>
      <c r="BK843" t="s">
        <v>123</v>
      </c>
      <c r="BL843" t="str">
        <f>"2015.648818"</f>
        <v>2015.648818</v>
      </c>
      <c r="BM843" t="s">
        <v>2716</v>
      </c>
      <c r="BO843" t="s">
        <v>5510</v>
      </c>
      <c r="BS843">
        <v>30</v>
      </c>
      <c r="BW843" t="str">
        <f>""</f>
        <v/>
      </c>
      <c r="CH843" t="str">
        <f>""</f>
        <v/>
      </c>
      <c r="CS843" t="str">
        <f>""</f>
        <v/>
      </c>
    </row>
    <row r="844" spans="1:97" x14ac:dyDescent="0.25">
      <c r="A844" t="s">
        <v>996</v>
      </c>
      <c r="B844" t="s">
        <v>5511</v>
      </c>
      <c r="C844" t="s">
        <v>2184</v>
      </c>
      <c r="D844" t="s">
        <v>5511</v>
      </c>
      <c r="E844" t="s">
        <v>5512</v>
      </c>
      <c r="F844" t="s">
        <v>108</v>
      </c>
      <c r="H844" t="s">
        <v>5513</v>
      </c>
      <c r="I844" t="s">
        <v>632</v>
      </c>
      <c r="J844" t="s">
        <v>111</v>
      </c>
      <c r="K844" t="str">
        <f>"85374"</f>
        <v>85374</v>
      </c>
      <c r="L844" t="s">
        <v>5514</v>
      </c>
      <c r="M844" t="s">
        <v>5513</v>
      </c>
      <c r="N844" t="s">
        <v>632</v>
      </c>
      <c r="O844" t="s">
        <v>111</v>
      </c>
      <c r="P844" t="str">
        <f>"85374-6896"</f>
        <v>85374-6896</v>
      </c>
      <c r="Q844" t="s">
        <v>113</v>
      </c>
      <c r="R844" t="str">
        <f>"232-39-639"</f>
        <v>232-39-639</v>
      </c>
      <c r="S844" t="s">
        <v>5515</v>
      </c>
      <c r="U844">
        <v>1598</v>
      </c>
      <c r="V844">
        <v>0</v>
      </c>
      <c r="W844">
        <v>3</v>
      </c>
      <c r="X844">
        <v>2004</v>
      </c>
      <c r="Z844">
        <v>1</v>
      </c>
      <c r="AB844">
        <v>0</v>
      </c>
      <c r="AC844" t="s">
        <v>115</v>
      </c>
      <c r="AD844">
        <v>2</v>
      </c>
      <c r="AE844" t="s">
        <v>115</v>
      </c>
      <c r="AF844">
        <v>0</v>
      </c>
      <c r="AG844">
        <v>0</v>
      </c>
      <c r="AH844" t="s">
        <v>116</v>
      </c>
      <c r="AI844" s="1">
        <v>52046</v>
      </c>
      <c r="AJ844" s="2">
        <v>0.21</v>
      </c>
      <c r="AK844" s="1">
        <v>252454</v>
      </c>
      <c r="AL844" t="s">
        <v>117</v>
      </c>
      <c r="AM844" t="s">
        <v>5516</v>
      </c>
      <c r="AN844">
        <v>7527</v>
      </c>
      <c r="AO844">
        <v>0.17</v>
      </c>
      <c r="AR844">
        <v>1</v>
      </c>
      <c r="AS844" s="1">
        <v>16180</v>
      </c>
      <c r="AT844" s="1">
        <v>3230</v>
      </c>
      <c r="AU844" s="1">
        <v>12950</v>
      </c>
      <c r="AV844">
        <v>80.040000000000006</v>
      </c>
      <c r="AX844" s="1">
        <v>1132.1600000000001</v>
      </c>
      <c r="AY844" t="s">
        <v>5517</v>
      </c>
      <c r="AZ844" t="s">
        <v>5517</v>
      </c>
      <c r="BA844" t="s">
        <v>5109</v>
      </c>
      <c r="BE844" s="3">
        <v>42285</v>
      </c>
      <c r="BF844" s="1">
        <v>190000</v>
      </c>
      <c r="BG844" t="s">
        <v>5518</v>
      </c>
      <c r="BH844" s="1">
        <v>118.9</v>
      </c>
      <c r="BI844" s="1">
        <v>200408</v>
      </c>
      <c r="BJ844" s="3">
        <v>42446</v>
      </c>
      <c r="BK844" t="s">
        <v>123</v>
      </c>
      <c r="BL844" t="str">
        <f>"2016.170978"</f>
        <v>2016.170978</v>
      </c>
      <c r="BM844" t="s">
        <v>2117</v>
      </c>
      <c r="BO844" t="s">
        <v>5519</v>
      </c>
      <c r="BS844">
        <v>30</v>
      </c>
      <c r="BW844" t="str">
        <f>""</f>
        <v/>
      </c>
      <c r="CH844" t="str">
        <f>""</f>
        <v/>
      </c>
      <c r="CS844" t="str">
        <f>""</f>
        <v/>
      </c>
    </row>
    <row r="845" spans="1:97" x14ac:dyDescent="0.25">
      <c r="A845" t="s">
        <v>996</v>
      </c>
      <c r="B845" t="s">
        <v>5520</v>
      </c>
      <c r="C845" t="s">
        <v>328</v>
      </c>
      <c r="D845" t="s">
        <v>5520</v>
      </c>
      <c r="E845" t="s">
        <v>5521</v>
      </c>
      <c r="F845" t="s">
        <v>108</v>
      </c>
      <c r="H845" t="s">
        <v>5522</v>
      </c>
      <c r="I845" t="s">
        <v>5523</v>
      </c>
      <c r="J845" t="s">
        <v>111</v>
      </c>
      <c r="K845" t="str">
        <f>"85373"</f>
        <v>85373</v>
      </c>
      <c r="L845" t="s">
        <v>5524</v>
      </c>
      <c r="M845" t="s">
        <v>5522</v>
      </c>
      <c r="N845" t="s">
        <v>5523</v>
      </c>
      <c r="O845" t="s">
        <v>111</v>
      </c>
      <c r="P845" t="str">
        <f>"85373-5646"</f>
        <v>85373-5646</v>
      </c>
      <c r="Q845" t="s">
        <v>113</v>
      </c>
      <c r="R845" t="str">
        <f>"503-88-581"</f>
        <v>503-88-581</v>
      </c>
      <c r="S845" t="s">
        <v>5525</v>
      </c>
      <c r="T845" t="s">
        <v>5526</v>
      </c>
      <c r="U845">
        <v>2345</v>
      </c>
      <c r="V845">
        <v>0</v>
      </c>
      <c r="W845">
        <v>4</v>
      </c>
      <c r="X845">
        <v>2014</v>
      </c>
      <c r="Z845">
        <v>2</v>
      </c>
      <c r="AB845">
        <v>0</v>
      </c>
      <c r="AC845" t="s">
        <v>115</v>
      </c>
      <c r="AD845">
        <v>2</v>
      </c>
      <c r="AE845" t="s">
        <v>115</v>
      </c>
      <c r="AF845">
        <v>0</v>
      </c>
      <c r="AG845">
        <v>0</v>
      </c>
      <c r="AH845" t="s">
        <v>116</v>
      </c>
      <c r="AI845" s="1">
        <v>20675</v>
      </c>
      <c r="AJ845" s="2">
        <v>7.0000000000000007E-2</v>
      </c>
      <c r="AK845" s="1">
        <v>301651</v>
      </c>
      <c r="AL845" t="s">
        <v>117</v>
      </c>
      <c r="AM845" t="s">
        <v>191</v>
      </c>
      <c r="AN845">
        <v>5698</v>
      </c>
      <c r="AO845">
        <v>0.13</v>
      </c>
      <c r="AR845">
        <v>1</v>
      </c>
      <c r="AS845" s="1">
        <v>21310</v>
      </c>
      <c r="AT845" s="1">
        <v>4260</v>
      </c>
      <c r="AU845" s="1">
        <v>17050</v>
      </c>
      <c r="AV845">
        <v>80.010000000000005</v>
      </c>
      <c r="AX845" s="1">
        <v>2007.74</v>
      </c>
      <c r="AY845" t="s">
        <v>3228</v>
      </c>
      <c r="AZ845" t="s">
        <v>3228</v>
      </c>
      <c r="BA845" t="s">
        <v>457</v>
      </c>
      <c r="BE845" s="3">
        <v>41817</v>
      </c>
      <c r="BF845" s="1">
        <v>239000</v>
      </c>
      <c r="BG845" t="s">
        <v>2199</v>
      </c>
      <c r="BH845" s="1">
        <v>101.92</v>
      </c>
      <c r="BI845" s="1">
        <v>280976</v>
      </c>
      <c r="BJ845" s="3">
        <v>42489</v>
      </c>
      <c r="BK845" t="s">
        <v>123</v>
      </c>
      <c r="BL845" t="str">
        <f>"2016.290315"</f>
        <v>2016.290315</v>
      </c>
      <c r="BM845" t="s">
        <v>544</v>
      </c>
      <c r="BO845" t="s">
        <v>5527</v>
      </c>
      <c r="BS845">
        <v>30</v>
      </c>
      <c r="BW845" t="str">
        <f>""</f>
        <v/>
      </c>
      <c r="CH845" t="str">
        <f>""</f>
        <v/>
      </c>
      <c r="CS845" t="str">
        <f>""</f>
        <v/>
      </c>
    </row>
    <row r="846" spans="1:97" x14ac:dyDescent="0.25">
      <c r="A846" t="s">
        <v>5528</v>
      </c>
      <c r="B846" t="s">
        <v>5529</v>
      </c>
      <c r="C846" t="s">
        <v>970</v>
      </c>
      <c r="D846" t="s">
        <v>5529</v>
      </c>
      <c r="E846" t="s">
        <v>5530</v>
      </c>
      <c r="F846" t="s">
        <v>108</v>
      </c>
      <c r="H846" t="s">
        <v>5531</v>
      </c>
      <c r="I846" t="s">
        <v>167</v>
      </c>
      <c r="J846" t="s">
        <v>111</v>
      </c>
      <c r="K846" t="str">
        <f>"85339"</f>
        <v>85339</v>
      </c>
      <c r="L846" t="s">
        <v>1789</v>
      </c>
      <c r="M846" t="s">
        <v>5531</v>
      </c>
      <c r="N846" t="s">
        <v>167</v>
      </c>
      <c r="O846" t="s">
        <v>111</v>
      </c>
      <c r="P846" t="str">
        <f>"85339-9654"</f>
        <v>85339-9654</v>
      </c>
      <c r="Q846" t="s">
        <v>113</v>
      </c>
      <c r="R846" t="str">
        <f>"104-82-031"</f>
        <v>104-82-031</v>
      </c>
      <c r="U846">
        <v>1735</v>
      </c>
      <c r="V846">
        <v>0</v>
      </c>
      <c r="W846">
        <v>2</v>
      </c>
      <c r="X846">
        <v>1984</v>
      </c>
      <c r="Z846">
        <v>1</v>
      </c>
      <c r="AB846">
        <v>0</v>
      </c>
      <c r="AC846" t="s">
        <v>115</v>
      </c>
      <c r="AD846">
        <v>2</v>
      </c>
      <c r="AE846" t="s">
        <v>115</v>
      </c>
      <c r="AF846">
        <v>0</v>
      </c>
      <c r="AG846">
        <v>0</v>
      </c>
      <c r="AH846" t="s">
        <v>116</v>
      </c>
      <c r="AI846" s="1">
        <v>45086</v>
      </c>
      <c r="AJ846" s="2">
        <v>0.11</v>
      </c>
      <c r="AK846" s="1">
        <v>415780</v>
      </c>
      <c r="AL846" t="s">
        <v>117</v>
      </c>
      <c r="AM846" t="s">
        <v>376</v>
      </c>
      <c r="AN846">
        <v>74512</v>
      </c>
      <c r="AO846">
        <v>1.71</v>
      </c>
      <c r="AP846">
        <v>1</v>
      </c>
      <c r="AR846">
        <v>1</v>
      </c>
      <c r="AS846" s="1">
        <v>29530</v>
      </c>
      <c r="AT846" s="1">
        <v>5900</v>
      </c>
      <c r="AU846" s="1">
        <v>23630</v>
      </c>
      <c r="AV846">
        <v>80.02</v>
      </c>
      <c r="AX846" s="1">
        <v>2799.38</v>
      </c>
      <c r="AY846" t="s">
        <v>5532</v>
      </c>
      <c r="AZ846" t="s">
        <v>5532</v>
      </c>
      <c r="BA846" t="s">
        <v>173</v>
      </c>
      <c r="BE846" s="3">
        <v>42261</v>
      </c>
      <c r="BF846" s="1">
        <v>358000</v>
      </c>
      <c r="BG846" t="s">
        <v>5533</v>
      </c>
      <c r="BH846" s="1">
        <v>206.34</v>
      </c>
      <c r="BI846" s="1">
        <v>370694</v>
      </c>
      <c r="BJ846" s="3">
        <v>42681</v>
      </c>
      <c r="BK846" t="s">
        <v>123</v>
      </c>
      <c r="BL846" t="str">
        <f>"2016.822230"</f>
        <v>2016.822230</v>
      </c>
      <c r="BM846" t="s">
        <v>5534</v>
      </c>
      <c r="BO846" t="s">
        <v>5535</v>
      </c>
      <c r="BS846">
        <v>30</v>
      </c>
      <c r="BW846" t="str">
        <f>""</f>
        <v/>
      </c>
      <c r="CH846" t="str">
        <f>""</f>
        <v/>
      </c>
      <c r="CS846" t="str">
        <f>""</f>
        <v/>
      </c>
    </row>
    <row r="847" spans="1:97" x14ac:dyDescent="0.25">
      <c r="A847" t="s">
        <v>1187</v>
      </c>
      <c r="B847" t="s">
        <v>5536</v>
      </c>
      <c r="C847" t="s">
        <v>3505</v>
      </c>
      <c r="D847" t="s">
        <v>5536</v>
      </c>
      <c r="E847" t="s">
        <v>5537</v>
      </c>
      <c r="F847" t="s">
        <v>108</v>
      </c>
      <c r="H847" t="s">
        <v>5538</v>
      </c>
      <c r="I847" t="s">
        <v>390</v>
      </c>
      <c r="J847" t="s">
        <v>111</v>
      </c>
      <c r="K847" t="str">
        <f>"85028"</f>
        <v>85028</v>
      </c>
      <c r="L847" t="s">
        <v>5539</v>
      </c>
      <c r="M847" t="s">
        <v>5538</v>
      </c>
      <c r="N847" t="s">
        <v>390</v>
      </c>
      <c r="O847" t="s">
        <v>111</v>
      </c>
      <c r="P847" t="str">
        <f>"85028-2617"</f>
        <v>85028-2617</v>
      </c>
      <c r="Q847" t="s">
        <v>113</v>
      </c>
      <c r="R847" t="str">
        <f>"166-44-088"</f>
        <v>166-44-088</v>
      </c>
      <c r="S847" t="s">
        <v>5540</v>
      </c>
      <c r="T847" t="s">
        <v>5487</v>
      </c>
      <c r="U847">
        <v>1525</v>
      </c>
      <c r="V847">
        <v>0</v>
      </c>
      <c r="W847">
        <v>2</v>
      </c>
      <c r="X847">
        <v>1960</v>
      </c>
      <c r="Z847">
        <v>1</v>
      </c>
      <c r="AB847">
        <v>0</v>
      </c>
      <c r="AC847" t="s">
        <v>115</v>
      </c>
      <c r="AD847">
        <v>2</v>
      </c>
      <c r="AE847" t="s">
        <v>115</v>
      </c>
      <c r="AF847">
        <v>0</v>
      </c>
      <c r="AG847">
        <v>0</v>
      </c>
      <c r="AH847" t="s">
        <v>116</v>
      </c>
      <c r="AI847" s="1">
        <v>120647</v>
      </c>
      <c r="AJ847" s="2">
        <v>0.34</v>
      </c>
      <c r="AK847" s="1">
        <v>350647</v>
      </c>
      <c r="AL847" t="s">
        <v>117</v>
      </c>
      <c r="AM847" t="s">
        <v>171</v>
      </c>
      <c r="AN847">
        <v>9148</v>
      </c>
      <c r="AO847">
        <v>0.21</v>
      </c>
      <c r="AP847">
        <v>1</v>
      </c>
      <c r="AR847">
        <v>1</v>
      </c>
      <c r="AS847" s="1">
        <v>23780</v>
      </c>
      <c r="AT847" s="1">
        <v>4750</v>
      </c>
      <c r="AU847" s="1">
        <v>19030</v>
      </c>
      <c r="AV847">
        <v>80.03</v>
      </c>
      <c r="AX847" s="1">
        <v>1654.76</v>
      </c>
      <c r="AY847" t="s">
        <v>5488</v>
      </c>
      <c r="AZ847" t="s">
        <v>5489</v>
      </c>
      <c r="BA847" t="s">
        <v>5232</v>
      </c>
      <c r="BE847" s="3">
        <v>42075</v>
      </c>
      <c r="BF847" s="1">
        <v>230000</v>
      </c>
      <c r="BG847" t="s">
        <v>5541</v>
      </c>
      <c r="BH847" s="1">
        <v>150.82</v>
      </c>
      <c r="BI847" s="1">
        <v>230000</v>
      </c>
      <c r="BJ847" s="3">
        <v>42075</v>
      </c>
      <c r="BK847" t="s">
        <v>123</v>
      </c>
      <c r="BL847" t="str">
        <f>"2015.166890"</f>
        <v>2015.166890</v>
      </c>
      <c r="BM847" t="s">
        <v>475</v>
      </c>
      <c r="BO847" t="s">
        <v>5542</v>
      </c>
      <c r="BS847">
        <v>30</v>
      </c>
      <c r="BW847" t="str">
        <f>""</f>
        <v/>
      </c>
      <c r="CH847" t="str">
        <f>""</f>
        <v/>
      </c>
      <c r="CS847" t="str">
        <f>""</f>
        <v/>
      </c>
    </row>
    <row r="848" spans="1:97" x14ac:dyDescent="0.25">
      <c r="B848" t="s">
        <v>5543</v>
      </c>
      <c r="E848" t="s">
        <v>5543</v>
      </c>
      <c r="F848" t="s">
        <v>108</v>
      </c>
      <c r="H848" t="s">
        <v>5544</v>
      </c>
      <c r="I848" t="s">
        <v>144</v>
      </c>
      <c r="J848" t="s">
        <v>111</v>
      </c>
      <c r="K848" t="str">
        <f>"85396"</f>
        <v>85396</v>
      </c>
      <c r="L848" t="s">
        <v>215</v>
      </c>
      <c r="M848" t="s">
        <v>5544</v>
      </c>
      <c r="N848" t="s">
        <v>144</v>
      </c>
      <c r="O848" t="s">
        <v>111</v>
      </c>
      <c r="P848" t="str">
        <f>"85396-1611"</f>
        <v>85396-1611</v>
      </c>
      <c r="Q848" t="s">
        <v>113</v>
      </c>
      <c r="R848" t="str">
        <f>"502-81-701"</f>
        <v>502-81-701</v>
      </c>
      <c r="S848" t="s">
        <v>5545</v>
      </c>
      <c r="U848">
        <v>2081</v>
      </c>
      <c r="V848">
        <v>0</v>
      </c>
      <c r="W848">
        <v>3</v>
      </c>
      <c r="X848">
        <v>2013</v>
      </c>
      <c r="Z848">
        <v>1</v>
      </c>
      <c r="AA848" t="s">
        <v>26</v>
      </c>
      <c r="AB848">
        <v>0</v>
      </c>
      <c r="AC848" t="s">
        <v>115</v>
      </c>
      <c r="AD848">
        <v>3</v>
      </c>
      <c r="AE848" t="s">
        <v>115</v>
      </c>
      <c r="AF848">
        <v>0</v>
      </c>
      <c r="AG848">
        <v>0</v>
      </c>
      <c r="AH848" t="s">
        <v>116</v>
      </c>
      <c r="AI848" s="1">
        <v>28998</v>
      </c>
      <c r="AJ848" s="2">
        <v>0.09</v>
      </c>
      <c r="AK848" s="1">
        <v>330598</v>
      </c>
      <c r="AL848" t="s">
        <v>117</v>
      </c>
      <c r="AM848" t="s">
        <v>118</v>
      </c>
      <c r="AN848">
        <v>6603</v>
      </c>
      <c r="AO848">
        <v>0.15</v>
      </c>
      <c r="AR848">
        <v>1</v>
      </c>
      <c r="AS848" s="1">
        <v>23910</v>
      </c>
      <c r="AT848" s="1">
        <v>4780</v>
      </c>
      <c r="AU848" s="1">
        <v>19130</v>
      </c>
      <c r="AV848">
        <v>80.010000000000005</v>
      </c>
      <c r="AX848" s="1">
        <v>3190.86</v>
      </c>
      <c r="AY848" t="s">
        <v>217</v>
      </c>
      <c r="AZ848" t="s">
        <v>217</v>
      </c>
      <c r="BA848" t="s">
        <v>218</v>
      </c>
      <c r="BB848" s="3">
        <v>42577</v>
      </c>
      <c r="BD848" t="s">
        <v>480</v>
      </c>
      <c r="BE848" s="3">
        <v>42480</v>
      </c>
      <c r="BF848" s="1">
        <v>295000</v>
      </c>
      <c r="BG848" t="s">
        <v>5546</v>
      </c>
      <c r="BH848" s="1">
        <v>141.76</v>
      </c>
      <c r="BI848" s="1">
        <v>301600</v>
      </c>
      <c r="BJ848" s="3">
        <v>42480</v>
      </c>
      <c r="BK848" t="s">
        <v>123</v>
      </c>
      <c r="BL848" t="str">
        <f>"2016.263998"</f>
        <v>2016.263998</v>
      </c>
      <c r="BM848" t="s">
        <v>124</v>
      </c>
      <c r="BO848" t="s">
        <v>5547</v>
      </c>
      <c r="BS848">
        <v>30</v>
      </c>
      <c r="BW848" t="str">
        <f>""</f>
        <v/>
      </c>
      <c r="CH848" t="str">
        <f>""</f>
        <v/>
      </c>
      <c r="CS848" t="str">
        <f>""</f>
        <v/>
      </c>
    </row>
    <row r="849" spans="1:97" x14ac:dyDescent="0.25">
      <c r="A849" t="s">
        <v>5548</v>
      </c>
      <c r="B849" t="s">
        <v>3265</v>
      </c>
      <c r="C849" t="s">
        <v>365</v>
      </c>
      <c r="D849" t="s">
        <v>3265</v>
      </c>
      <c r="E849" t="s">
        <v>5549</v>
      </c>
      <c r="F849" t="s">
        <v>108</v>
      </c>
      <c r="H849" t="s">
        <v>5550</v>
      </c>
      <c r="I849" t="s">
        <v>5551</v>
      </c>
      <c r="J849" t="s">
        <v>111</v>
      </c>
      <c r="K849" t="str">
        <f>"85248"</f>
        <v>85248</v>
      </c>
      <c r="L849" t="s">
        <v>2765</v>
      </c>
      <c r="M849" t="s">
        <v>5550</v>
      </c>
      <c r="N849" t="s">
        <v>5551</v>
      </c>
      <c r="O849" t="s">
        <v>111</v>
      </c>
      <c r="P849" t="str">
        <f>"85248-7137"</f>
        <v>85248-7137</v>
      </c>
      <c r="Q849" t="s">
        <v>113</v>
      </c>
      <c r="R849" t="str">
        <f>"303-66-022"</f>
        <v>303-66-022</v>
      </c>
      <c r="S849" t="s">
        <v>5552</v>
      </c>
      <c r="U849">
        <v>1545</v>
      </c>
      <c r="V849">
        <v>0</v>
      </c>
      <c r="W849">
        <v>3</v>
      </c>
      <c r="X849">
        <v>1983</v>
      </c>
      <c r="Z849">
        <v>1</v>
      </c>
      <c r="AB849">
        <v>0</v>
      </c>
      <c r="AC849" t="s">
        <v>115</v>
      </c>
      <c r="AD849">
        <v>2</v>
      </c>
      <c r="AE849" t="s">
        <v>115</v>
      </c>
      <c r="AF849">
        <v>0</v>
      </c>
      <c r="AG849">
        <v>0</v>
      </c>
      <c r="AH849" t="s">
        <v>116</v>
      </c>
      <c r="AI849" s="1">
        <v>24765</v>
      </c>
      <c r="AJ849" s="2">
        <v>0.09</v>
      </c>
      <c r="AK849" s="1">
        <v>272685</v>
      </c>
      <c r="AL849" t="s">
        <v>117</v>
      </c>
      <c r="AM849" t="s">
        <v>191</v>
      </c>
      <c r="AN849">
        <v>7257</v>
      </c>
      <c r="AO849">
        <v>0.17</v>
      </c>
      <c r="AP849">
        <v>1</v>
      </c>
      <c r="AR849">
        <v>1</v>
      </c>
      <c r="AS849" s="1">
        <v>17650</v>
      </c>
      <c r="AT849" s="1">
        <v>3530</v>
      </c>
      <c r="AU849" s="1">
        <v>14120</v>
      </c>
      <c r="AV849">
        <v>80</v>
      </c>
      <c r="AX849" s="1">
        <v>1834.34</v>
      </c>
      <c r="AY849" t="s">
        <v>1881</v>
      </c>
      <c r="AZ849" t="s">
        <v>1882</v>
      </c>
      <c r="BA849" t="s">
        <v>121</v>
      </c>
      <c r="BE849" s="3">
        <v>42143</v>
      </c>
      <c r="BF849" s="1">
        <v>187000</v>
      </c>
      <c r="BG849" t="s">
        <v>5553</v>
      </c>
      <c r="BH849" s="1">
        <v>121.04</v>
      </c>
      <c r="BI849" s="1">
        <v>247920</v>
      </c>
      <c r="BJ849" s="3">
        <v>43606</v>
      </c>
      <c r="BK849" t="s">
        <v>123</v>
      </c>
      <c r="BL849" t="str">
        <f>"2019.371524"</f>
        <v>2019.371524</v>
      </c>
      <c r="BM849" t="s">
        <v>2489</v>
      </c>
      <c r="BN849" t="s">
        <v>4819</v>
      </c>
      <c r="BO849" t="s">
        <v>5554</v>
      </c>
      <c r="BP849" t="s">
        <v>5555</v>
      </c>
      <c r="BR849" t="s">
        <v>139</v>
      </c>
      <c r="BW849" t="str">
        <f>""</f>
        <v/>
      </c>
      <c r="CH849" t="str">
        <f>""</f>
        <v/>
      </c>
      <c r="CS849" t="str">
        <f>""</f>
        <v/>
      </c>
    </row>
    <row r="850" spans="1:97" x14ac:dyDescent="0.25">
      <c r="A850" t="s">
        <v>5556</v>
      </c>
      <c r="B850" t="s">
        <v>4098</v>
      </c>
      <c r="E850" t="s">
        <v>5557</v>
      </c>
      <c r="F850" t="s">
        <v>108</v>
      </c>
      <c r="H850" t="s">
        <v>5558</v>
      </c>
      <c r="I850" t="s">
        <v>632</v>
      </c>
      <c r="J850" t="s">
        <v>111</v>
      </c>
      <c r="K850" t="str">
        <f>"85379"</f>
        <v>85379</v>
      </c>
      <c r="L850" t="s">
        <v>454</v>
      </c>
      <c r="M850" t="s">
        <v>5558</v>
      </c>
      <c r="N850" t="s">
        <v>632</v>
      </c>
      <c r="O850" t="s">
        <v>111</v>
      </c>
      <c r="P850" t="str">
        <f>"85379-1016"</f>
        <v>85379-1016</v>
      </c>
      <c r="Q850" t="s">
        <v>113</v>
      </c>
      <c r="R850" t="str">
        <f>"501-46-499"</f>
        <v>501-46-499</v>
      </c>
      <c r="S850" t="s">
        <v>5319</v>
      </c>
      <c r="U850">
        <v>3294</v>
      </c>
      <c r="V850">
        <v>0</v>
      </c>
      <c r="W850">
        <v>5</v>
      </c>
      <c r="X850">
        <v>2015</v>
      </c>
      <c r="Z850">
        <v>2</v>
      </c>
      <c r="AB850">
        <v>0</v>
      </c>
      <c r="AC850" t="s">
        <v>115</v>
      </c>
      <c r="AD850">
        <v>2</v>
      </c>
      <c r="AE850" t="s">
        <v>115</v>
      </c>
      <c r="AF850">
        <v>0</v>
      </c>
      <c r="AG850">
        <v>0</v>
      </c>
      <c r="AH850" t="s">
        <v>116</v>
      </c>
      <c r="AI850" s="1">
        <v>70573</v>
      </c>
      <c r="AJ850" s="2">
        <v>0.2</v>
      </c>
      <c r="AK850" s="1">
        <v>350465</v>
      </c>
      <c r="AL850" t="s">
        <v>117</v>
      </c>
      <c r="AM850" t="s">
        <v>118</v>
      </c>
      <c r="AN850">
        <v>6670</v>
      </c>
      <c r="AO850">
        <v>0.15</v>
      </c>
      <c r="AR850">
        <v>1</v>
      </c>
      <c r="AS850" s="1">
        <v>24460</v>
      </c>
      <c r="AT850" s="1">
        <v>4890</v>
      </c>
      <c r="AU850" s="1">
        <v>19570</v>
      </c>
      <c r="AV850">
        <v>80.010000000000005</v>
      </c>
      <c r="AX850" s="1">
        <v>2061.8000000000002</v>
      </c>
      <c r="AY850" t="s">
        <v>5060</v>
      </c>
      <c r="AZ850" t="s">
        <v>5060</v>
      </c>
      <c r="BA850" t="s">
        <v>5061</v>
      </c>
      <c r="BE850" s="3">
        <v>42209</v>
      </c>
      <c r="BF850" s="1">
        <v>272647</v>
      </c>
      <c r="BG850" t="s">
        <v>158</v>
      </c>
      <c r="BH850" s="1">
        <v>82.77</v>
      </c>
      <c r="BI850" s="1">
        <v>279892</v>
      </c>
      <c r="BJ850" s="3">
        <v>42580</v>
      </c>
      <c r="BK850" t="s">
        <v>123</v>
      </c>
      <c r="BL850" t="str">
        <f>"2016.537060"</f>
        <v>2016.537060</v>
      </c>
      <c r="BM850" t="s">
        <v>2683</v>
      </c>
      <c r="BO850" t="s">
        <v>5559</v>
      </c>
      <c r="BS850">
        <v>30</v>
      </c>
      <c r="BW850" t="str">
        <f>""</f>
        <v/>
      </c>
      <c r="CH850" t="str">
        <f>""</f>
        <v/>
      </c>
      <c r="CS850" t="str">
        <f>""</f>
        <v/>
      </c>
    </row>
    <row r="851" spans="1:97" x14ac:dyDescent="0.25">
      <c r="A851" t="s">
        <v>5560</v>
      </c>
      <c r="B851" t="s">
        <v>5561</v>
      </c>
      <c r="C851" t="s">
        <v>1366</v>
      </c>
      <c r="D851" t="s">
        <v>5561</v>
      </c>
      <c r="E851" t="s">
        <v>5562</v>
      </c>
      <c r="F851" t="s">
        <v>108</v>
      </c>
      <c r="H851" t="s">
        <v>5563</v>
      </c>
      <c r="I851" t="s">
        <v>203</v>
      </c>
      <c r="J851" t="s">
        <v>111</v>
      </c>
      <c r="K851" t="str">
        <f>"85234"</f>
        <v>85234</v>
      </c>
      <c r="L851" t="s">
        <v>189</v>
      </c>
      <c r="M851" t="s">
        <v>5563</v>
      </c>
      <c r="N851" t="s">
        <v>203</v>
      </c>
      <c r="O851" t="s">
        <v>111</v>
      </c>
      <c r="P851" t="str">
        <f>"85234-3238"</f>
        <v>85234-3238</v>
      </c>
      <c r="Q851" t="s">
        <v>113</v>
      </c>
      <c r="R851" t="str">
        <f>"304-15-246"</f>
        <v>304-15-246</v>
      </c>
      <c r="S851" t="s">
        <v>5564</v>
      </c>
      <c r="T851" t="s">
        <v>5564</v>
      </c>
      <c r="U851">
        <v>1685</v>
      </c>
      <c r="V851">
        <v>0</v>
      </c>
      <c r="W851">
        <v>3</v>
      </c>
      <c r="X851">
        <v>1998</v>
      </c>
      <c r="Z851">
        <v>1</v>
      </c>
      <c r="AA851" t="s">
        <v>26</v>
      </c>
      <c r="AB851">
        <v>0</v>
      </c>
      <c r="AC851" t="s">
        <v>115</v>
      </c>
      <c r="AD851">
        <v>2</v>
      </c>
      <c r="AE851" t="s">
        <v>115</v>
      </c>
      <c r="AF851">
        <v>0</v>
      </c>
      <c r="AG851">
        <v>0</v>
      </c>
      <c r="AH851" t="s">
        <v>116</v>
      </c>
      <c r="AI851" s="1">
        <v>67062</v>
      </c>
      <c r="AJ851" s="2">
        <v>0.21</v>
      </c>
      <c r="AK851" s="1">
        <v>314982</v>
      </c>
      <c r="AL851" t="s">
        <v>117</v>
      </c>
      <c r="AM851" t="s">
        <v>191</v>
      </c>
      <c r="AN851">
        <v>5994</v>
      </c>
      <c r="AO851">
        <v>0.14000000000000001</v>
      </c>
      <c r="AP851">
        <v>1</v>
      </c>
      <c r="AR851">
        <v>1</v>
      </c>
      <c r="AS851" s="1">
        <v>21130</v>
      </c>
      <c r="AT851" s="1">
        <v>4220</v>
      </c>
      <c r="AU851" s="1">
        <v>16910</v>
      </c>
      <c r="AV851">
        <v>80.03</v>
      </c>
      <c r="AX851" s="1">
        <v>1447.9</v>
      </c>
      <c r="AY851" t="s">
        <v>5565</v>
      </c>
      <c r="AZ851" t="s">
        <v>571</v>
      </c>
      <c r="BA851" t="s">
        <v>521</v>
      </c>
      <c r="BE851" s="3">
        <v>42054</v>
      </c>
      <c r="BF851" s="1">
        <v>240000</v>
      </c>
      <c r="BG851" t="s">
        <v>5566</v>
      </c>
      <c r="BH851" s="1">
        <v>142.43</v>
      </c>
      <c r="BI851" s="1">
        <v>247920</v>
      </c>
      <c r="BJ851" s="3">
        <v>42054</v>
      </c>
      <c r="BK851" t="s">
        <v>123</v>
      </c>
      <c r="BL851" t="str">
        <f>"2015.108011"</f>
        <v>2015.108011</v>
      </c>
      <c r="BM851" t="s">
        <v>5567</v>
      </c>
      <c r="BO851" t="s">
        <v>5568</v>
      </c>
      <c r="BS851">
        <v>30</v>
      </c>
      <c r="BW851" t="str">
        <f>""</f>
        <v/>
      </c>
      <c r="CH851" t="str">
        <f>""</f>
        <v/>
      </c>
      <c r="CS851" t="str">
        <f>""</f>
        <v/>
      </c>
    </row>
    <row r="852" spans="1:97" x14ac:dyDescent="0.25">
      <c r="A852" t="s">
        <v>325</v>
      </c>
      <c r="B852" t="s">
        <v>464</v>
      </c>
      <c r="C852" t="s">
        <v>2002</v>
      </c>
      <c r="D852" t="s">
        <v>464</v>
      </c>
      <c r="E852" t="s">
        <v>5569</v>
      </c>
      <c r="F852" t="s">
        <v>108</v>
      </c>
      <c r="H852" t="s">
        <v>5570</v>
      </c>
      <c r="I852" t="s">
        <v>453</v>
      </c>
      <c r="J852" t="s">
        <v>111</v>
      </c>
      <c r="K852" t="str">
        <f>"85382"</f>
        <v>85382</v>
      </c>
      <c r="L852" t="s">
        <v>3758</v>
      </c>
      <c r="M852" t="s">
        <v>5570</v>
      </c>
      <c r="N852" t="s">
        <v>453</v>
      </c>
      <c r="O852" t="s">
        <v>111</v>
      </c>
      <c r="P852" t="str">
        <f>"85382-3722"</f>
        <v>85382-3722</v>
      </c>
      <c r="Q852" t="s">
        <v>113</v>
      </c>
      <c r="R852" t="str">
        <f>"200-54-197"</f>
        <v>200-54-197</v>
      </c>
      <c r="S852" t="s">
        <v>5571</v>
      </c>
      <c r="T852" t="s">
        <v>5572</v>
      </c>
      <c r="U852">
        <v>1670</v>
      </c>
      <c r="V852">
        <v>0</v>
      </c>
      <c r="W852">
        <v>3</v>
      </c>
      <c r="X852">
        <v>1993</v>
      </c>
      <c r="Z852">
        <v>1</v>
      </c>
      <c r="AB852">
        <v>0</v>
      </c>
      <c r="AC852" t="s">
        <v>115</v>
      </c>
      <c r="AD852">
        <v>2</v>
      </c>
      <c r="AE852" t="s">
        <v>115</v>
      </c>
      <c r="AF852">
        <v>0</v>
      </c>
      <c r="AG852">
        <v>0</v>
      </c>
      <c r="AH852" t="s">
        <v>116</v>
      </c>
      <c r="AI852" s="1">
        <v>50620</v>
      </c>
      <c r="AJ852" s="2">
        <v>0.19</v>
      </c>
      <c r="AK852" s="1">
        <v>266585</v>
      </c>
      <c r="AL852" t="s">
        <v>117</v>
      </c>
      <c r="AM852" t="s">
        <v>3345</v>
      </c>
      <c r="AN852">
        <v>7280</v>
      </c>
      <c r="AO852">
        <v>0.17</v>
      </c>
      <c r="AP852">
        <v>1</v>
      </c>
      <c r="AR852">
        <v>1</v>
      </c>
      <c r="AS852" s="1">
        <v>18470</v>
      </c>
      <c r="AT852" s="1">
        <v>3690</v>
      </c>
      <c r="AU852" s="1">
        <v>14780</v>
      </c>
      <c r="AV852">
        <v>80.02</v>
      </c>
      <c r="AX852" s="1">
        <v>1478.16</v>
      </c>
      <c r="AY852" t="s">
        <v>5573</v>
      </c>
      <c r="AZ852" t="s">
        <v>5573</v>
      </c>
      <c r="BA852" t="s">
        <v>1800</v>
      </c>
      <c r="BE852" s="3">
        <v>41943</v>
      </c>
      <c r="BF852" s="1">
        <v>215000</v>
      </c>
      <c r="BG852" t="s">
        <v>5574</v>
      </c>
      <c r="BH852" s="1">
        <v>128.74</v>
      </c>
      <c r="BI852" s="1">
        <v>215965</v>
      </c>
      <c r="BJ852" s="3">
        <v>42285</v>
      </c>
      <c r="BK852" t="s">
        <v>123</v>
      </c>
      <c r="BL852" t="str">
        <f>"2015.725554"</f>
        <v>2015.725554</v>
      </c>
      <c r="BM852" t="s">
        <v>2683</v>
      </c>
      <c r="BO852" t="s">
        <v>5575</v>
      </c>
      <c r="BS852">
        <v>30</v>
      </c>
      <c r="BW852" t="str">
        <f>""</f>
        <v/>
      </c>
      <c r="CH852" t="str">
        <f>""</f>
        <v/>
      </c>
      <c r="CS852" t="str">
        <f>""</f>
        <v/>
      </c>
    </row>
    <row r="853" spans="1:97" x14ac:dyDescent="0.25">
      <c r="A853" t="s">
        <v>5576</v>
      </c>
      <c r="B853" t="s">
        <v>585</v>
      </c>
      <c r="C853" t="s">
        <v>5577</v>
      </c>
      <c r="D853" t="s">
        <v>585</v>
      </c>
      <c r="E853" t="s">
        <v>5578</v>
      </c>
      <c r="F853" t="s">
        <v>108</v>
      </c>
      <c r="H853" t="s">
        <v>5579</v>
      </c>
      <c r="I853" t="s">
        <v>1936</v>
      </c>
      <c r="J853" t="s">
        <v>111</v>
      </c>
      <c r="K853" t="str">
        <f>"85257"</f>
        <v>85257</v>
      </c>
      <c r="L853" t="s">
        <v>3430</v>
      </c>
      <c r="M853" t="s">
        <v>5579</v>
      </c>
      <c r="N853" t="s">
        <v>1936</v>
      </c>
      <c r="O853" t="s">
        <v>111</v>
      </c>
      <c r="P853" t="str">
        <f>"85257-1731"</f>
        <v>85257-1731</v>
      </c>
      <c r="Q853" t="s">
        <v>113</v>
      </c>
      <c r="R853" t="str">
        <f>"131-31-038"</f>
        <v>131-31-038</v>
      </c>
      <c r="S853" t="s">
        <v>5580</v>
      </c>
      <c r="T853" t="s">
        <v>5581</v>
      </c>
      <c r="U853">
        <v>1941</v>
      </c>
      <c r="V853">
        <v>0</v>
      </c>
      <c r="W853">
        <v>2</v>
      </c>
      <c r="X853">
        <v>1959</v>
      </c>
      <c r="Z853">
        <v>1</v>
      </c>
      <c r="AA853" t="s">
        <v>26</v>
      </c>
      <c r="AB853">
        <v>0</v>
      </c>
      <c r="AC853" t="s">
        <v>115</v>
      </c>
      <c r="AD853">
        <v>2</v>
      </c>
      <c r="AE853" t="s">
        <v>115</v>
      </c>
      <c r="AF853">
        <v>0</v>
      </c>
      <c r="AG853">
        <v>0</v>
      </c>
      <c r="AH853" t="s">
        <v>116</v>
      </c>
      <c r="AI853" s="1">
        <v>77146</v>
      </c>
      <c r="AJ853" s="2">
        <v>0.16</v>
      </c>
      <c r="AK853" s="1">
        <v>480646</v>
      </c>
      <c r="AL853" t="s">
        <v>117</v>
      </c>
      <c r="AM853" t="str">
        <f>"R1-7"</f>
        <v>R1-7</v>
      </c>
      <c r="AN853">
        <v>8526</v>
      </c>
      <c r="AO853">
        <v>0.2</v>
      </c>
      <c r="AP853">
        <v>1</v>
      </c>
      <c r="AR853">
        <v>1</v>
      </c>
      <c r="AS853" s="1">
        <v>33600</v>
      </c>
      <c r="AT853" s="1">
        <v>6720</v>
      </c>
      <c r="AU853" s="1">
        <v>26880</v>
      </c>
      <c r="AV853">
        <v>80</v>
      </c>
      <c r="AX853" s="1">
        <v>1584.02</v>
      </c>
      <c r="AY853" t="s">
        <v>5419</v>
      </c>
      <c r="AZ853" t="s">
        <v>5420</v>
      </c>
      <c r="BA853" t="s">
        <v>5421</v>
      </c>
      <c r="BE853" s="3">
        <v>42236</v>
      </c>
      <c r="BF853" s="1">
        <v>375000</v>
      </c>
      <c r="BG853" t="s">
        <v>5582</v>
      </c>
      <c r="BH853" s="1">
        <v>193.2</v>
      </c>
      <c r="BI853" s="1">
        <v>403500</v>
      </c>
      <c r="BJ853" s="3">
        <v>42972</v>
      </c>
      <c r="BK853" t="s">
        <v>123</v>
      </c>
      <c r="BL853" t="str">
        <f>"2017.630954"</f>
        <v>2017.630954</v>
      </c>
      <c r="BM853" t="s">
        <v>5583</v>
      </c>
      <c r="BO853" t="s">
        <v>5584</v>
      </c>
      <c r="BS853">
        <v>30</v>
      </c>
      <c r="BW853" t="str">
        <f>""</f>
        <v/>
      </c>
      <c r="CH853" t="str">
        <f>""</f>
        <v/>
      </c>
      <c r="CS853" t="str">
        <f>""</f>
        <v/>
      </c>
    </row>
    <row r="854" spans="1:97" x14ac:dyDescent="0.25">
      <c r="A854" t="s">
        <v>3023</v>
      </c>
      <c r="B854" t="s">
        <v>5585</v>
      </c>
      <c r="C854" t="s">
        <v>3782</v>
      </c>
      <c r="D854" t="s">
        <v>5585</v>
      </c>
      <c r="E854" t="s">
        <v>5586</v>
      </c>
      <c r="F854" t="s">
        <v>108</v>
      </c>
      <c r="H854" t="s">
        <v>5587</v>
      </c>
      <c r="I854" t="s">
        <v>203</v>
      </c>
      <c r="J854" t="s">
        <v>111</v>
      </c>
      <c r="K854" t="str">
        <f>"85296"</f>
        <v>85296</v>
      </c>
      <c r="L854" t="s">
        <v>5588</v>
      </c>
      <c r="M854" t="s">
        <v>5587</v>
      </c>
      <c r="N854" t="s">
        <v>203</v>
      </c>
      <c r="O854" t="s">
        <v>111</v>
      </c>
      <c r="P854" t="str">
        <f>"85296-7332"</f>
        <v>85296-7332</v>
      </c>
      <c r="Q854" t="s">
        <v>113</v>
      </c>
      <c r="R854" t="str">
        <f>"313-15-316"</f>
        <v>313-15-316</v>
      </c>
      <c r="S854" t="s">
        <v>5589</v>
      </c>
      <c r="U854">
        <v>2909</v>
      </c>
      <c r="V854">
        <v>0</v>
      </c>
      <c r="W854">
        <v>4</v>
      </c>
      <c r="X854">
        <v>2010</v>
      </c>
      <c r="Z854">
        <v>2</v>
      </c>
      <c r="AB854">
        <v>0</v>
      </c>
      <c r="AC854" t="s">
        <v>115</v>
      </c>
      <c r="AD854">
        <v>3</v>
      </c>
      <c r="AE854" t="s">
        <v>115</v>
      </c>
      <c r="AF854">
        <v>0</v>
      </c>
      <c r="AG854">
        <v>0</v>
      </c>
      <c r="AH854" t="s">
        <v>116</v>
      </c>
      <c r="AI854" s="1">
        <v>72162</v>
      </c>
      <c r="AJ854" s="2">
        <v>0.2</v>
      </c>
      <c r="AK854" s="1">
        <v>361402</v>
      </c>
      <c r="AL854" t="s">
        <v>117</v>
      </c>
      <c r="AM854" t="s">
        <v>288</v>
      </c>
      <c r="AN854">
        <v>4460</v>
      </c>
      <c r="AO854">
        <v>0.1</v>
      </c>
      <c r="AR854">
        <v>1</v>
      </c>
      <c r="AS854" s="1">
        <v>25420</v>
      </c>
      <c r="AT854" s="1">
        <v>5080</v>
      </c>
      <c r="AU854" s="1">
        <v>20340</v>
      </c>
      <c r="AV854">
        <v>80.02</v>
      </c>
      <c r="AX854" s="1">
        <v>2302.96</v>
      </c>
      <c r="AY854" t="s">
        <v>472</v>
      </c>
      <c r="AZ854" t="s">
        <v>472</v>
      </c>
      <c r="BA854" t="s">
        <v>473</v>
      </c>
      <c r="BE854" s="3">
        <v>42103</v>
      </c>
      <c r="BF854" s="1">
        <v>280000</v>
      </c>
      <c r="BG854" t="s">
        <v>5590</v>
      </c>
      <c r="BH854" s="1">
        <v>96.25</v>
      </c>
      <c r="BI854" s="1">
        <v>289240</v>
      </c>
      <c r="BJ854" s="3">
        <v>42103</v>
      </c>
      <c r="BK854" t="s">
        <v>123</v>
      </c>
      <c r="BL854" t="str">
        <f>"2015.241732"</f>
        <v>2015.241732</v>
      </c>
      <c r="BM854" t="s">
        <v>1038</v>
      </c>
      <c r="BO854" t="s">
        <v>5591</v>
      </c>
      <c r="BS854">
        <v>30</v>
      </c>
      <c r="BW854" t="str">
        <f>""</f>
        <v/>
      </c>
      <c r="CH854" t="str">
        <f>""</f>
        <v/>
      </c>
      <c r="CS854" t="str">
        <f>""</f>
        <v/>
      </c>
    </row>
    <row r="855" spans="1:97" x14ac:dyDescent="0.25">
      <c r="A855" t="s">
        <v>5592</v>
      </c>
      <c r="B855" t="s">
        <v>2591</v>
      </c>
      <c r="C855" t="s">
        <v>3875</v>
      </c>
      <c r="D855" t="s">
        <v>2591</v>
      </c>
      <c r="E855" t="s">
        <v>5593</v>
      </c>
      <c r="F855" t="s">
        <v>108</v>
      </c>
      <c r="H855" t="s">
        <v>5594</v>
      </c>
      <c r="I855" t="s">
        <v>632</v>
      </c>
      <c r="J855" t="s">
        <v>111</v>
      </c>
      <c r="K855" t="str">
        <f>"85379"</f>
        <v>85379</v>
      </c>
      <c r="L855" t="s">
        <v>375</v>
      </c>
      <c r="M855" t="s">
        <v>5594</v>
      </c>
      <c r="N855" t="s">
        <v>632</v>
      </c>
      <c r="O855" t="s">
        <v>111</v>
      </c>
      <c r="P855" t="str">
        <f>"85379-9178"</f>
        <v>85379-9178</v>
      </c>
      <c r="Q855" t="s">
        <v>113</v>
      </c>
      <c r="R855" t="str">
        <f>"501-46-230"</f>
        <v>501-46-230</v>
      </c>
      <c r="S855" t="s">
        <v>5508</v>
      </c>
      <c r="U855">
        <v>2527</v>
      </c>
      <c r="V855">
        <v>0</v>
      </c>
      <c r="W855">
        <v>4</v>
      </c>
      <c r="X855">
        <v>2015</v>
      </c>
      <c r="Z855">
        <v>1</v>
      </c>
      <c r="AB855">
        <v>0</v>
      </c>
      <c r="AC855" t="s">
        <v>115</v>
      </c>
      <c r="AD855">
        <v>2</v>
      </c>
      <c r="AE855" t="s">
        <v>115</v>
      </c>
      <c r="AF855">
        <v>0</v>
      </c>
      <c r="AG855">
        <v>0</v>
      </c>
      <c r="AH855" t="s">
        <v>116</v>
      </c>
      <c r="AI855" s="1">
        <v>85293</v>
      </c>
      <c r="AJ855" s="2">
        <v>0.24</v>
      </c>
      <c r="AK855" s="1">
        <v>352293</v>
      </c>
      <c r="AL855" t="s">
        <v>117</v>
      </c>
      <c r="AM855" t="s">
        <v>118</v>
      </c>
      <c r="AN855">
        <v>8970</v>
      </c>
      <c r="AO855">
        <v>0.21</v>
      </c>
      <c r="AR855">
        <v>1</v>
      </c>
      <c r="AS855" s="1">
        <v>27210</v>
      </c>
      <c r="AT855" s="1">
        <v>5440</v>
      </c>
      <c r="AU855" s="1">
        <v>21770</v>
      </c>
      <c r="AV855">
        <v>80.010000000000005</v>
      </c>
      <c r="AX855" s="1">
        <v>3108.96</v>
      </c>
      <c r="AY855" t="s">
        <v>634</v>
      </c>
      <c r="AZ855" t="s">
        <v>634</v>
      </c>
      <c r="BA855" t="s">
        <v>635</v>
      </c>
      <c r="BE855" s="3">
        <v>42276</v>
      </c>
      <c r="BF855" s="1">
        <v>290465</v>
      </c>
      <c r="BG855" t="s">
        <v>158</v>
      </c>
      <c r="BH855" s="1">
        <v>114.94</v>
      </c>
      <c r="BI855" s="1">
        <v>267000</v>
      </c>
      <c r="BJ855" s="3">
        <v>42669</v>
      </c>
      <c r="BK855" t="s">
        <v>123</v>
      </c>
      <c r="BL855" t="str">
        <f>"2016.785186"</f>
        <v>2016.785186</v>
      </c>
      <c r="BM855" t="s">
        <v>1915</v>
      </c>
      <c r="BO855" t="s">
        <v>5595</v>
      </c>
      <c r="BS855">
        <v>30</v>
      </c>
      <c r="BW855" t="str">
        <f>""</f>
        <v/>
      </c>
      <c r="CH855" t="str">
        <f>""</f>
        <v/>
      </c>
      <c r="CS855" t="str">
        <f>""</f>
        <v/>
      </c>
    </row>
    <row r="856" spans="1:97" x14ac:dyDescent="0.25">
      <c r="B856" t="s">
        <v>5596</v>
      </c>
      <c r="E856" t="s">
        <v>5597</v>
      </c>
      <c r="F856" t="s">
        <v>108</v>
      </c>
      <c r="H856" t="s">
        <v>5598</v>
      </c>
      <c r="I856" t="s">
        <v>203</v>
      </c>
      <c r="J856" t="s">
        <v>111</v>
      </c>
      <c r="K856" t="str">
        <f>"85233"</f>
        <v>85233</v>
      </c>
      <c r="L856" t="s">
        <v>4159</v>
      </c>
      <c r="M856" t="s">
        <v>5598</v>
      </c>
      <c r="N856" t="s">
        <v>203</v>
      </c>
      <c r="O856" t="s">
        <v>111</v>
      </c>
      <c r="P856" t="str">
        <f>"85233-7335"</f>
        <v>85233-7335</v>
      </c>
      <c r="Q856" t="s">
        <v>113</v>
      </c>
      <c r="R856" t="str">
        <f>"302-35-113"</f>
        <v>302-35-113</v>
      </c>
      <c r="S856" t="s">
        <v>5599</v>
      </c>
      <c r="T856" t="s">
        <v>5600</v>
      </c>
      <c r="U856">
        <v>2140</v>
      </c>
      <c r="V856">
        <v>0</v>
      </c>
      <c r="W856">
        <v>4</v>
      </c>
      <c r="X856">
        <v>1993</v>
      </c>
      <c r="Z856">
        <v>2</v>
      </c>
      <c r="AB856">
        <v>0</v>
      </c>
      <c r="AC856" t="s">
        <v>115</v>
      </c>
      <c r="AD856">
        <v>2</v>
      </c>
      <c r="AE856" t="s">
        <v>115</v>
      </c>
      <c r="AF856">
        <v>0</v>
      </c>
      <c r="AG856">
        <v>0</v>
      </c>
      <c r="AH856" t="s">
        <v>116</v>
      </c>
      <c r="AI856" s="1">
        <v>101676</v>
      </c>
      <c r="AJ856" s="2">
        <v>0.31</v>
      </c>
      <c r="AK856" s="1">
        <v>330376</v>
      </c>
      <c r="AL856" t="s">
        <v>117</v>
      </c>
      <c r="AM856" t="s">
        <v>191</v>
      </c>
      <c r="AN856">
        <v>5497</v>
      </c>
      <c r="AO856">
        <v>0.13</v>
      </c>
      <c r="AP856">
        <v>1</v>
      </c>
      <c r="AR856">
        <v>1</v>
      </c>
      <c r="AS856" s="1">
        <v>22480</v>
      </c>
      <c r="AT856" s="1">
        <v>4490</v>
      </c>
      <c r="AU856" s="1">
        <v>17990</v>
      </c>
      <c r="AV856">
        <v>80.03</v>
      </c>
      <c r="AX856" s="1">
        <v>1526.78</v>
      </c>
      <c r="AY856" t="s">
        <v>5601</v>
      </c>
      <c r="AZ856" t="s">
        <v>5478</v>
      </c>
      <c r="BA856" t="s">
        <v>5479</v>
      </c>
      <c r="BB856" s="3">
        <v>43315</v>
      </c>
      <c r="BC856" s="1">
        <v>0</v>
      </c>
      <c r="BD856" t="s">
        <v>247</v>
      </c>
      <c r="BE856" s="3">
        <v>41787</v>
      </c>
      <c r="BF856" s="1">
        <v>228700</v>
      </c>
      <c r="BG856" t="s">
        <v>5602</v>
      </c>
      <c r="BH856" s="1">
        <v>106.87</v>
      </c>
      <c r="BI856" s="1">
        <v>228700</v>
      </c>
      <c r="BJ856" s="3">
        <v>41787</v>
      </c>
      <c r="BK856" t="s">
        <v>123</v>
      </c>
      <c r="BL856" t="str">
        <f>"2014.345781"</f>
        <v>2014.345781</v>
      </c>
      <c r="BM856" t="s">
        <v>2489</v>
      </c>
      <c r="BN856" t="s">
        <v>4819</v>
      </c>
      <c r="BO856" t="s">
        <v>5603</v>
      </c>
      <c r="BS856">
        <v>30</v>
      </c>
      <c r="BW856" t="str">
        <f>""</f>
        <v/>
      </c>
      <c r="CH856" t="str">
        <f>""</f>
        <v/>
      </c>
      <c r="CS856" t="str">
        <f>""</f>
        <v/>
      </c>
    </row>
    <row r="857" spans="1:97" x14ac:dyDescent="0.25">
      <c r="A857" t="s">
        <v>701</v>
      </c>
      <c r="B857" t="s">
        <v>3333</v>
      </c>
      <c r="C857" t="s">
        <v>1335</v>
      </c>
      <c r="D857" t="s">
        <v>3333</v>
      </c>
      <c r="E857" t="s">
        <v>5604</v>
      </c>
      <c r="F857" t="s">
        <v>108</v>
      </c>
      <c r="H857" t="s">
        <v>5605</v>
      </c>
      <c r="I857" t="s">
        <v>453</v>
      </c>
      <c r="J857" t="s">
        <v>111</v>
      </c>
      <c r="K857" t="str">
        <f>"85381"</f>
        <v>85381</v>
      </c>
      <c r="L857" t="s">
        <v>5606</v>
      </c>
      <c r="M857" t="s">
        <v>5605</v>
      </c>
      <c r="N857" t="s">
        <v>453</v>
      </c>
      <c r="O857" t="s">
        <v>111</v>
      </c>
      <c r="P857" t="str">
        <f>"85381-3788"</f>
        <v>85381-3788</v>
      </c>
      <c r="Q857" t="s">
        <v>113</v>
      </c>
      <c r="R857" t="str">
        <f>"200-61-165"</f>
        <v>200-61-165</v>
      </c>
      <c r="S857" t="s">
        <v>5607</v>
      </c>
      <c r="T857" t="s">
        <v>5608</v>
      </c>
      <c r="U857">
        <v>2176</v>
      </c>
      <c r="V857">
        <v>0</v>
      </c>
      <c r="W857">
        <v>4</v>
      </c>
      <c r="X857">
        <v>1991</v>
      </c>
      <c r="Z857">
        <v>2</v>
      </c>
      <c r="AA857" t="s">
        <v>26</v>
      </c>
      <c r="AB857">
        <v>0</v>
      </c>
      <c r="AC857" t="s">
        <v>115</v>
      </c>
      <c r="AD857">
        <v>2</v>
      </c>
      <c r="AE857" t="s">
        <v>115</v>
      </c>
      <c r="AF857">
        <v>0</v>
      </c>
      <c r="AG857">
        <v>0</v>
      </c>
      <c r="AH857" t="s">
        <v>116</v>
      </c>
      <c r="AI857" s="1">
        <v>45510</v>
      </c>
      <c r="AJ857" s="2">
        <v>0.15</v>
      </c>
      <c r="AK857" s="1">
        <v>311226</v>
      </c>
      <c r="AL857" t="s">
        <v>117</v>
      </c>
      <c r="AM857" t="s">
        <v>393</v>
      </c>
      <c r="AN857">
        <v>7000</v>
      </c>
      <c r="AO857">
        <v>0.16</v>
      </c>
      <c r="AP857">
        <v>1</v>
      </c>
      <c r="AR857">
        <v>1</v>
      </c>
      <c r="AS857" s="1">
        <v>21080</v>
      </c>
      <c r="AT857" s="1">
        <v>4210</v>
      </c>
      <c r="AU857" s="1">
        <v>16870</v>
      </c>
      <c r="AV857">
        <v>80.03</v>
      </c>
      <c r="AX857" s="1">
        <v>1729.56</v>
      </c>
      <c r="AY857" t="s">
        <v>5573</v>
      </c>
      <c r="AZ857" t="s">
        <v>5573</v>
      </c>
      <c r="BA857" t="s">
        <v>1800</v>
      </c>
      <c r="BE857" s="3">
        <v>42503</v>
      </c>
      <c r="BF857" s="1">
        <v>255000</v>
      </c>
      <c r="BG857" t="s">
        <v>5609</v>
      </c>
      <c r="BH857" s="1">
        <v>117.19</v>
      </c>
      <c r="BI857" s="1">
        <v>265716</v>
      </c>
      <c r="BJ857" s="3">
        <v>42674</v>
      </c>
      <c r="BK857" t="s">
        <v>123</v>
      </c>
      <c r="BL857" t="str">
        <f>"2016.802387"</f>
        <v>2016.802387</v>
      </c>
      <c r="BM857" t="s">
        <v>255</v>
      </c>
      <c r="BO857" t="s">
        <v>5610</v>
      </c>
      <c r="BS857">
        <v>30</v>
      </c>
      <c r="BW857" t="str">
        <f>""</f>
        <v/>
      </c>
      <c r="CH857" t="str">
        <f>""</f>
        <v/>
      </c>
      <c r="CS857" t="str">
        <f>""</f>
        <v/>
      </c>
    </row>
    <row r="858" spans="1:97" x14ac:dyDescent="0.25">
      <c r="A858" t="s">
        <v>5611</v>
      </c>
      <c r="B858" t="s">
        <v>364</v>
      </c>
      <c r="C858" t="s">
        <v>489</v>
      </c>
      <c r="D858" t="s">
        <v>364</v>
      </c>
      <c r="E858" t="s">
        <v>5612</v>
      </c>
      <c r="F858" t="s">
        <v>108</v>
      </c>
      <c r="H858" t="s">
        <v>5613</v>
      </c>
      <c r="I858" t="s">
        <v>632</v>
      </c>
      <c r="J858" t="s">
        <v>111</v>
      </c>
      <c r="K858" t="str">
        <f>"85379"</f>
        <v>85379</v>
      </c>
      <c r="L858" t="s">
        <v>558</v>
      </c>
      <c r="M858" t="s">
        <v>5613</v>
      </c>
      <c r="N858" t="s">
        <v>632</v>
      </c>
      <c r="O858" t="s">
        <v>111</v>
      </c>
      <c r="P858" t="str">
        <f>"85379-7212"</f>
        <v>85379-7212</v>
      </c>
      <c r="R858" t="str">
        <f>"509-14-160"</f>
        <v>509-14-160</v>
      </c>
      <c r="S858" t="s">
        <v>5614</v>
      </c>
      <c r="U858">
        <v>2257</v>
      </c>
      <c r="V858">
        <v>0</v>
      </c>
      <c r="W858">
        <v>4</v>
      </c>
      <c r="X858">
        <v>2004</v>
      </c>
      <c r="Z858">
        <v>2</v>
      </c>
      <c r="AA858" t="s">
        <v>26</v>
      </c>
      <c r="AB858">
        <v>0</v>
      </c>
      <c r="AC858" t="s">
        <v>115</v>
      </c>
      <c r="AD858">
        <v>3</v>
      </c>
      <c r="AE858" t="s">
        <v>115</v>
      </c>
      <c r="AF858">
        <v>0</v>
      </c>
      <c r="AG858">
        <v>0</v>
      </c>
      <c r="AH858" t="s">
        <v>116</v>
      </c>
      <c r="AI858" s="1">
        <v>18864</v>
      </c>
      <c r="AJ858" s="2">
        <v>0.06</v>
      </c>
      <c r="AK858" s="1">
        <v>303114</v>
      </c>
      <c r="AL858" t="s">
        <v>117</v>
      </c>
      <c r="AM858" t="s">
        <v>118</v>
      </c>
      <c r="AN858">
        <v>6095</v>
      </c>
      <c r="AO858">
        <v>0.14000000000000001</v>
      </c>
      <c r="AP858">
        <v>1</v>
      </c>
      <c r="AR858">
        <v>1</v>
      </c>
      <c r="AS858" s="1">
        <v>21150</v>
      </c>
      <c r="AT858" s="1">
        <v>4230</v>
      </c>
      <c r="AU858" s="1">
        <v>16920</v>
      </c>
      <c r="AV858">
        <v>80</v>
      </c>
      <c r="AX858" s="1">
        <v>1573.02</v>
      </c>
      <c r="AY858" t="s">
        <v>5615</v>
      </c>
      <c r="AZ858" t="s">
        <v>5615</v>
      </c>
      <c r="BA858" t="s">
        <v>635</v>
      </c>
      <c r="BE858" s="3">
        <v>41817</v>
      </c>
      <c r="BF858" s="1">
        <v>214900</v>
      </c>
      <c r="BG858" t="s">
        <v>5616</v>
      </c>
      <c r="BH858" s="1">
        <v>95.21</v>
      </c>
      <c r="BI858" s="1">
        <v>240000</v>
      </c>
      <c r="BJ858" s="3">
        <v>42985</v>
      </c>
      <c r="BK858" t="s">
        <v>123</v>
      </c>
      <c r="BL858" t="str">
        <f>"2017.661123"</f>
        <v>2017.661123</v>
      </c>
      <c r="BM858" t="s">
        <v>5617</v>
      </c>
      <c r="BN858">
        <v>84020</v>
      </c>
      <c r="BO858" t="s">
        <v>5618</v>
      </c>
      <c r="BS858">
        <v>30</v>
      </c>
      <c r="BT858" s="1">
        <v>44250</v>
      </c>
      <c r="BU858" s="3">
        <v>43725</v>
      </c>
      <c r="BV858" t="s">
        <v>134</v>
      </c>
      <c r="BW858" t="str">
        <f>"2019.729196"</f>
        <v>2019.729196</v>
      </c>
      <c r="BX858" t="s">
        <v>5619</v>
      </c>
      <c r="BY858" t="s">
        <v>5620</v>
      </c>
      <c r="BZ858" t="s">
        <v>5621</v>
      </c>
      <c r="CA858" t="s">
        <v>5622</v>
      </c>
      <c r="CC858" t="s">
        <v>139</v>
      </c>
      <c r="CH858" t="str">
        <f>""</f>
        <v/>
      </c>
      <c r="CS858" t="str">
        <f>""</f>
        <v/>
      </c>
    </row>
    <row r="859" spans="1:97" x14ac:dyDescent="0.25">
      <c r="A859" t="s">
        <v>5623</v>
      </c>
      <c r="B859" t="s">
        <v>5624</v>
      </c>
      <c r="E859" t="s">
        <v>5625</v>
      </c>
      <c r="F859" t="s">
        <v>108</v>
      </c>
      <c r="H859" t="s">
        <v>5626</v>
      </c>
      <c r="I859" t="s">
        <v>453</v>
      </c>
      <c r="J859" t="s">
        <v>111</v>
      </c>
      <c r="K859" t="str">
        <f>"85381"</f>
        <v>85381</v>
      </c>
      <c r="L859" t="s">
        <v>2963</v>
      </c>
      <c r="M859" t="s">
        <v>5626</v>
      </c>
      <c r="N859" t="s">
        <v>453</v>
      </c>
      <c r="O859" t="s">
        <v>111</v>
      </c>
      <c r="P859" t="str">
        <f>"85381-4870"</f>
        <v>85381-4870</v>
      </c>
      <c r="Q859" t="s">
        <v>113</v>
      </c>
      <c r="R859" t="str">
        <f>"200-79-560"</f>
        <v>200-79-560</v>
      </c>
      <c r="S859" t="s">
        <v>5627</v>
      </c>
      <c r="T859" t="s">
        <v>5628</v>
      </c>
      <c r="U859">
        <v>2052</v>
      </c>
      <c r="V859">
        <v>0</v>
      </c>
      <c r="W859">
        <v>4</v>
      </c>
      <c r="X859">
        <v>1989</v>
      </c>
      <c r="Z859">
        <v>2</v>
      </c>
      <c r="AA859" t="s">
        <v>26</v>
      </c>
      <c r="AB859">
        <v>0</v>
      </c>
      <c r="AC859" t="s">
        <v>115</v>
      </c>
      <c r="AD859">
        <v>2</v>
      </c>
      <c r="AE859" t="s">
        <v>115</v>
      </c>
      <c r="AF859">
        <v>0</v>
      </c>
      <c r="AG859">
        <v>0</v>
      </c>
      <c r="AH859" t="s">
        <v>116</v>
      </c>
      <c r="AI859" s="1">
        <v>58520</v>
      </c>
      <c r="AJ859" s="2">
        <v>0.2</v>
      </c>
      <c r="AK859" s="1">
        <v>298564</v>
      </c>
      <c r="AL859" t="s">
        <v>117</v>
      </c>
      <c r="AM859" t="s">
        <v>3345</v>
      </c>
      <c r="AN859">
        <v>7362</v>
      </c>
      <c r="AO859">
        <v>0.17</v>
      </c>
      <c r="AP859">
        <v>1</v>
      </c>
      <c r="AR859">
        <v>1</v>
      </c>
      <c r="AS859" s="1">
        <v>21180</v>
      </c>
      <c r="AT859" s="1">
        <v>4230</v>
      </c>
      <c r="AU859" s="1">
        <v>16950</v>
      </c>
      <c r="AV859">
        <v>80.03</v>
      </c>
      <c r="AX859" s="1">
        <v>1614.26</v>
      </c>
      <c r="AY859" t="s">
        <v>5629</v>
      </c>
      <c r="AZ859" t="s">
        <v>5629</v>
      </c>
      <c r="BA859" t="s">
        <v>4007</v>
      </c>
      <c r="BB859" s="3">
        <v>42580</v>
      </c>
      <c r="BD859" t="s">
        <v>458</v>
      </c>
      <c r="BE859" s="3">
        <v>42361</v>
      </c>
      <c r="BF859" s="1">
        <v>237000</v>
      </c>
      <c r="BG859" t="s">
        <v>5630</v>
      </c>
      <c r="BH859" s="1">
        <v>115.5</v>
      </c>
      <c r="BI859" s="1">
        <v>240044</v>
      </c>
      <c r="BJ859" s="3">
        <v>42580</v>
      </c>
      <c r="BK859" t="s">
        <v>123</v>
      </c>
      <c r="BL859" t="str">
        <f>"2016.538937"</f>
        <v>2016.538937</v>
      </c>
      <c r="BM859" t="s">
        <v>150</v>
      </c>
      <c r="BO859" t="s">
        <v>5631</v>
      </c>
      <c r="BS859">
        <v>30</v>
      </c>
      <c r="BW859" t="str">
        <f>""</f>
        <v/>
      </c>
      <c r="CH859" t="str">
        <f>""</f>
        <v/>
      </c>
      <c r="CS859" t="str">
        <f>""</f>
        <v/>
      </c>
    </row>
    <row r="860" spans="1:97" x14ac:dyDescent="0.25">
      <c r="A860" t="s">
        <v>5632</v>
      </c>
      <c r="B860" t="s">
        <v>2104</v>
      </c>
      <c r="C860" t="s">
        <v>5633</v>
      </c>
      <c r="D860" t="s">
        <v>2104</v>
      </c>
      <c r="E860" t="s">
        <v>5634</v>
      </c>
      <c r="F860" t="s">
        <v>108</v>
      </c>
      <c r="H860" t="s">
        <v>5635</v>
      </c>
      <c r="I860" t="s">
        <v>5636</v>
      </c>
      <c r="J860" t="s">
        <v>111</v>
      </c>
      <c r="K860" t="str">
        <f>"85268"</f>
        <v>85268</v>
      </c>
      <c r="L860" t="s">
        <v>5637</v>
      </c>
      <c r="M860" t="s">
        <v>5635</v>
      </c>
      <c r="N860" t="s">
        <v>5636</v>
      </c>
      <c r="O860" t="s">
        <v>111</v>
      </c>
      <c r="P860" t="str">
        <f>"85268-2350"</f>
        <v>85268-2350</v>
      </c>
      <c r="R860" t="str">
        <f>"176-02-423"</f>
        <v>176-02-423</v>
      </c>
      <c r="S860" t="s">
        <v>5638</v>
      </c>
      <c r="U860">
        <v>1546</v>
      </c>
      <c r="V860">
        <v>0</v>
      </c>
      <c r="W860">
        <v>2</v>
      </c>
      <c r="X860">
        <v>1973</v>
      </c>
      <c r="Z860">
        <v>1</v>
      </c>
      <c r="AB860">
        <v>0</v>
      </c>
      <c r="AC860" t="s">
        <v>115</v>
      </c>
      <c r="AD860">
        <v>2</v>
      </c>
      <c r="AE860" t="s">
        <v>115</v>
      </c>
      <c r="AF860">
        <v>0</v>
      </c>
      <c r="AG860">
        <v>0</v>
      </c>
      <c r="AH860" t="s">
        <v>116</v>
      </c>
      <c r="AI860" s="1">
        <v>15926</v>
      </c>
      <c r="AJ860" s="2">
        <v>0.05</v>
      </c>
      <c r="AK860" s="1">
        <v>323926</v>
      </c>
      <c r="AL860" t="s">
        <v>117</v>
      </c>
      <c r="AM860" t="s">
        <v>171</v>
      </c>
      <c r="AN860">
        <v>13399</v>
      </c>
      <c r="AO860">
        <v>0.31</v>
      </c>
      <c r="AP860">
        <v>1</v>
      </c>
      <c r="AR860">
        <v>1</v>
      </c>
      <c r="AS860" s="1">
        <v>20470</v>
      </c>
      <c r="AT860" s="1">
        <v>4090</v>
      </c>
      <c r="AU860" s="1">
        <v>16380</v>
      </c>
      <c r="AV860">
        <v>80.02</v>
      </c>
      <c r="AX860" s="1">
        <v>1142.3599999999999</v>
      </c>
      <c r="AY860" t="s">
        <v>5639</v>
      </c>
      <c r="AZ860" t="s">
        <v>5640</v>
      </c>
      <c r="BA860" t="s">
        <v>5641</v>
      </c>
      <c r="BE860" s="3">
        <v>42495</v>
      </c>
      <c r="BF860" s="1">
        <v>262000</v>
      </c>
      <c r="BG860" t="s">
        <v>5642</v>
      </c>
      <c r="BH860" s="1">
        <v>169.47</v>
      </c>
      <c r="BI860" s="1">
        <v>308000</v>
      </c>
      <c r="BJ860" s="3">
        <v>43419</v>
      </c>
      <c r="BK860" t="s">
        <v>123</v>
      </c>
      <c r="BL860" t="str">
        <f>"2018.850975"</f>
        <v>2018.850975</v>
      </c>
      <c r="BM860" t="s">
        <v>1809</v>
      </c>
      <c r="BN860" t="s">
        <v>1810</v>
      </c>
      <c r="BO860" t="s">
        <v>5643</v>
      </c>
      <c r="BP860" t="s">
        <v>5644</v>
      </c>
      <c r="BR860" t="s">
        <v>139</v>
      </c>
      <c r="BW860" t="str">
        <f>""</f>
        <v/>
      </c>
      <c r="CH860" t="str">
        <f>""</f>
        <v/>
      </c>
      <c r="CS860" t="str">
        <f>""</f>
        <v/>
      </c>
    </row>
    <row r="861" spans="1:97" x14ac:dyDescent="0.25">
      <c r="B861" t="s">
        <v>5645</v>
      </c>
      <c r="E861" t="s">
        <v>5646</v>
      </c>
      <c r="F861" t="s">
        <v>108</v>
      </c>
      <c r="H861" t="s">
        <v>5647</v>
      </c>
      <c r="I861" t="s">
        <v>110</v>
      </c>
      <c r="J861" t="s">
        <v>111</v>
      </c>
      <c r="K861" t="str">
        <f>"85286"</f>
        <v>85286</v>
      </c>
      <c r="L861" t="s">
        <v>1569</v>
      </c>
      <c r="M861" t="s">
        <v>5647</v>
      </c>
      <c r="N861" t="s">
        <v>110</v>
      </c>
      <c r="O861" t="s">
        <v>111</v>
      </c>
      <c r="P861" t="str">
        <f>"85286-1225"</f>
        <v>85286-1225</v>
      </c>
      <c r="Q861" t="s">
        <v>113</v>
      </c>
      <c r="R861" t="str">
        <f>"303-30-055"</f>
        <v>303-30-055</v>
      </c>
      <c r="S861" t="s">
        <v>5648</v>
      </c>
      <c r="T861" t="s">
        <v>5649</v>
      </c>
      <c r="U861">
        <v>1300</v>
      </c>
      <c r="V861">
        <v>0</v>
      </c>
      <c r="W861">
        <v>2</v>
      </c>
      <c r="X861">
        <v>1996</v>
      </c>
      <c r="Z861">
        <v>1</v>
      </c>
      <c r="AB861">
        <v>0</v>
      </c>
      <c r="AC861" t="s">
        <v>115</v>
      </c>
      <c r="AD861">
        <v>2</v>
      </c>
      <c r="AE861" t="s">
        <v>115</v>
      </c>
      <c r="AF861">
        <v>0</v>
      </c>
      <c r="AG861">
        <v>0</v>
      </c>
      <c r="AH861" t="s">
        <v>116</v>
      </c>
      <c r="AI861" s="1">
        <v>50882</v>
      </c>
      <c r="AJ861" s="2">
        <v>0.19</v>
      </c>
      <c r="AK861" s="1">
        <v>260982</v>
      </c>
      <c r="AL861" t="s">
        <v>117</v>
      </c>
      <c r="AM861" t="s">
        <v>118</v>
      </c>
      <c r="AN861">
        <v>5846</v>
      </c>
      <c r="AO861">
        <v>0.13</v>
      </c>
      <c r="AP861">
        <v>1</v>
      </c>
      <c r="AR861">
        <v>1</v>
      </c>
      <c r="AS861" s="1">
        <v>17920</v>
      </c>
      <c r="AT861" s="1">
        <v>3580</v>
      </c>
      <c r="AU861" s="1">
        <v>14340</v>
      </c>
      <c r="AV861">
        <v>80.02</v>
      </c>
      <c r="AX861" s="1">
        <v>1269.1400000000001</v>
      </c>
      <c r="AY861" t="s">
        <v>5650</v>
      </c>
      <c r="AZ861" t="s">
        <v>120</v>
      </c>
      <c r="BA861" t="s">
        <v>303</v>
      </c>
      <c r="BB861" s="3">
        <v>42577</v>
      </c>
      <c r="BD861" t="s">
        <v>458</v>
      </c>
      <c r="BE861" s="3">
        <v>42531</v>
      </c>
      <c r="BF861" s="1">
        <v>210000</v>
      </c>
      <c r="BG861" t="s">
        <v>5651</v>
      </c>
      <c r="BH861" s="1">
        <v>161.54</v>
      </c>
      <c r="BI861" s="1">
        <v>210100</v>
      </c>
      <c r="BJ861" s="3">
        <v>42703</v>
      </c>
      <c r="BK861" t="s">
        <v>123</v>
      </c>
      <c r="BL861" t="str">
        <f>"2016.874034"</f>
        <v>2016.874034</v>
      </c>
      <c r="BM861" t="s">
        <v>1695</v>
      </c>
      <c r="BO861" t="s">
        <v>5652</v>
      </c>
      <c r="BS861">
        <v>30</v>
      </c>
      <c r="BW861" t="str">
        <f>""</f>
        <v/>
      </c>
      <c r="CH861" t="str">
        <f>""</f>
        <v/>
      </c>
      <c r="CS861" t="str">
        <f>""</f>
        <v/>
      </c>
    </row>
    <row r="862" spans="1:97" x14ac:dyDescent="0.25">
      <c r="A862" t="s">
        <v>1009</v>
      </c>
      <c r="B862" t="s">
        <v>4091</v>
      </c>
      <c r="C862" t="s">
        <v>970</v>
      </c>
      <c r="D862" t="s">
        <v>4091</v>
      </c>
      <c r="E862" t="s">
        <v>5653</v>
      </c>
      <c r="F862" t="s">
        <v>108</v>
      </c>
      <c r="H862" t="s">
        <v>5654</v>
      </c>
      <c r="I862" t="s">
        <v>110</v>
      </c>
      <c r="J862" t="s">
        <v>111</v>
      </c>
      <c r="K862" t="str">
        <f>"85224"</f>
        <v>85224</v>
      </c>
      <c r="L862" t="s">
        <v>1300</v>
      </c>
      <c r="M862" t="s">
        <v>5654</v>
      </c>
      <c r="N862" t="s">
        <v>110</v>
      </c>
      <c r="O862" t="s">
        <v>111</v>
      </c>
      <c r="P862" t="str">
        <f>"85224-3508"</f>
        <v>85224-3508</v>
      </c>
      <c r="Q862" t="s">
        <v>113</v>
      </c>
      <c r="R862" t="str">
        <f>"302-48-541-A"</f>
        <v>302-48-541-A</v>
      </c>
      <c r="S862" t="s">
        <v>5655</v>
      </c>
      <c r="T862" t="s">
        <v>5656</v>
      </c>
      <c r="U862">
        <v>1651</v>
      </c>
      <c r="V862">
        <v>0</v>
      </c>
      <c r="W862">
        <v>2</v>
      </c>
      <c r="X862">
        <v>1976</v>
      </c>
      <c r="Z862">
        <v>1</v>
      </c>
      <c r="AB862">
        <v>0</v>
      </c>
      <c r="AC862" t="s">
        <v>5188</v>
      </c>
      <c r="AD862">
        <v>2</v>
      </c>
      <c r="AE862" t="s">
        <v>5188</v>
      </c>
      <c r="AF862">
        <v>0</v>
      </c>
      <c r="AG862">
        <v>0</v>
      </c>
      <c r="AH862" t="s">
        <v>116</v>
      </c>
      <c r="AI862" s="1">
        <v>74510</v>
      </c>
      <c r="AJ862" s="2">
        <v>0.27</v>
      </c>
      <c r="AK862" s="1">
        <v>274510</v>
      </c>
      <c r="AL862" t="s">
        <v>117</v>
      </c>
      <c r="AM862" t="s">
        <v>5077</v>
      </c>
      <c r="AN862">
        <v>8272</v>
      </c>
      <c r="AO862">
        <v>0.19</v>
      </c>
      <c r="AP862">
        <v>1</v>
      </c>
      <c r="AR862">
        <v>1</v>
      </c>
      <c r="AS862" s="1">
        <v>19080</v>
      </c>
      <c r="AT862" s="1">
        <v>3810</v>
      </c>
      <c r="AU862" s="1">
        <v>15270</v>
      </c>
      <c r="AV862">
        <v>80.03</v>
      </c>
      <c r="AX862" s="1">
        <v>1144.46</v>
      </c>
      <c r="AY862" t="s">
        <v>5657</v>
      </c>
      <c r="AZ862" t="s">
        <v>5078</v>
      </c>
      <c r="BA862" t="s">
        <v>2957</v>
      </c>
      <c r="BE862" s="3">
        <v>42242</v>
      </c>
      <c r="BF862" s="1">
        <v>200000</v>
      </c>
      <c r="BG862" t="s">
        <v>5658</v>
      </c>
      <c r="BH862" s="1">
        <v>121.14</v>
      </c>
      <c r="BI862" s="1">
        <v>200000</v>
      </c>
      <c r="BJ862" s="3">
        <v>42242</v>
      </c>
      <c r="BK862" t="s">
        <v>123</v>
      </c>
      <c r="BL862" t="str">
        <f>"2015.617537"</f>
        <v>2015.617537</v>
      </c>
      <c r="BM862" t="s">
        <v>820</v>
      </c>
      <c r="BO862" t="s">
        <v>5659</v>
      </c>
      <c r="BS862">
        <v>30</v>
      </c>
      <c r="BW862" t="str">
        <f>""</f>
        <v/>
      </c>
      <c r="CH862" t="str">
        <f>""</f>
        <v/>
      </c>
      <c r="CS862" t="str">
        <f>""</f>
        <v/>
      </c>
    </row>
    <row r="863" spans="1:97" x14ac:dyDescent="0.25">
      <c r="A863" t="s">
        <v>1930</v>
      </c>
      <c r="B863" t="s">
        <v>5660</v>
      </c>
      <c r="C863" t="s">
        <v>325</v>
      </c>
      <c r="D863" t="s">
        <v>5661</v>
      </c>
      <c r="E863" t="s">
        <v>5662</v>
      </c>
      <c r="F863" t="s">
        <v>282</v>
      </c>
      <c r="H863" t="s">
        <v>5663</v>
      </c>
      <c r="I863" t="s">
        <v>225</v>
      </c>
      <c r="J863" t="s">
        <v>111</v>
      </c>
      <c r="K863" t="str">
        <f>"85213"</f>
        <v>85213</v>
      </c>
      <c r="L863" t="s">
        <v>4159</v>
      </c>
      <c r="M863" t="s">
        <v>5664</v>
      </c>
      <c r="N863" t="s">
        <v>5665</v>
      </c>
      <c r="O863" t="s">
        <v>5666</v>
      </c>
      <c r="P863" t="str">
        <f>"37066-4476"</f>
        <v>37066-4476</v>
      </c>
      <c r="Q863" t="s">
        <v>113</v>
      </c>
      <c r="R863" t="str">
        <f>"141-18-088"</f>
        <v>141-18-088</v>
      </c>
      <c r="S863" t="s">
        <v>5667</v>
      </c>
      <c r="T863" t="s">
        <v>5668</v>
      </c>
      <c r="U863">
        <v>2776</v>
      </c>
      <c r="V863">
        <v>0</v>
      </c>
      <c r="W863">
        <v>4</v>
      </c>
      <c r="X863">
        <v>2014</v>
      </c>
      <c r="Z863">
        <v>2</v>
      </c>
      <c r="AA863" t="s">
        <v>26</v>
      </c>
      <c r="AB863">
        <v>0</v>
      </c>
      <c r="AC863" t="s">
        <v>115</v>
      </c>
      <c r="AD863">
        <v>3</v>
      </c>
      <c r="AE863" t="s">
        <v>115</v>
      </c>
      <c r="AF863">
        <v>0</v>
      </c>
      <c r="AG863">
        <v>0</v>
      </c>
      <c r="AH863" t="s">
        <v>116</v>
      </c>
      <c r="AI863" s="1">
        <v>37731</v>
      </c>
      <c r="AJ863" s="2">
        <v>0.08</v>
      </c>
      <c r="AK863" s="1">
        <v>445766</v>
      </c>
      <c r="AL863" t="s">
        <v>117</v>
      </c>
      <c r="AM863" t="s">
        <v>917</v>
      </c>
      <c r="AN863">
        <v>6533</v>
      </c>
      <c r="AO863">
        <v>0.15</v>
      </c>
      <c r="AR863">
        <v>1</v>
      </c>
      <c r="AS863" s="1">
        <v>30950</v>
      </c>
      <c r="AT863" s="1">
        <v>6190</v>
      </c>
      <c r="AU863" s="1">
        <v>24760</v>
      </c>
      <c r="AV863">
        <v>80</v>
      </c>
      <c r="AX863" s="1">
        <v>2897.58</v>
      </c>
      <c r="AY863" t="s">
        <v>4162</v>
      </c>
      <c r="AZ863" t="s">
        <v>4163</v>
      </c>
      <c r="BA863" t="s">
        <v>1524</v>
      </c>
      <c r="BE863" s="3">
        <v>41718</v>
      </c>
      <c r="BF863" s="1">
        <v>329811</v>
      </c>
      <c r="BG863" t="s">
        <v>2842</v>
      </c>
      <c r="BH863" s="1">
        <v>118.81</v>
      </c>
      <c r="BI863" s="1">
        <v>408035</v>
      </c>
      <c r="BJ863" s="3">
        <v>42097</v>
      </c>
      <c r="BK863" t="s">
        <v>123</v>
      </c>
      <c r="BL863" t="str">
        <f>"2015.229063"</f>
        <v>2015.229063</v>
      </c>
      <c r="BM863" t="s">
        <v>2526</v>
      </c>
      <c r="BO863" t="s">
        <v>5669</v>
      </c>
      <c r="BP863" t="s">
        <v>5670</v>
      </c>
      <c r="BS863">
        <v>30</v>
      </c>
      <c r="BW863" t="str">
        <f>""</f>
        <v/>
      </c>
      <c r="CH863" t="str">
        <f>""</f>
        <v/>
      </c>
      <c r="CS863" t="str">
        <f>""</f>
        <v/>
      </c>
    </row>
    <row r="864" spans="1:97" x14ac:dyDescent="0.25">
      <c r="A864" t="s">
        <v>2123</v>
      </c>
      <c r="B864" t="s">
        <v>5671</v>
      </c>
      <c r="E864" t="s">
        <v>5672</v>
      </c>
      <c r="F864" t="s">
        <v>108</v>
      </c>
      <c r="H864" t="s">
        <v>5673</v>
      </c>
      <c r="I864" t="s">
        <v>5387</v>
      </c>
      <c r="J864" t="s">
        <v>111</v>
      </c>
      <c r="K864" t="str">
        <f>"85283"</f>
        <v>85283</v>
      </c>
      <c r="L864" t="s">
        <v>5209</v>
      </c>
      <c r="M864" t="s">
        <v>5673</v>
      </c>
      <c r="N864" t="s">
        <v>5387</v>
      </c>
      <c r="O864" t="s">
        <v>111</v>
      </c>
      <c r="P864" t="str">
        <f>"85283-4129"</f>
        <v>85283-4129</v>
      </c>
      <c r="Q864" t="s">
        <v>113</v>
      </c>
      <c r="R864" t="str">
        <f>"301-92-085"</f>
        <v>301-92-085</v>
      </c>
      <c r="S864" t="s">
        <v>5674</v>
      </c>
      <c r="T864" t="s">
        <v>5675</v>
      </c>
      <c r="U864">
        <v>2320</v>
      </c>
      <c r="V864">
        <v>0</v>
      </c>
      <c r="W864">
        <v>4</v>
      </c>
      <c r="X864">
        <v>1974</v>
      </c>
      <c r="Z864">
        <v>2</v>
      </c>
      <c r="AB864">
        <v>0</v>
      </c>
      <c r="AC864" t="s">
        <v>115</v>
      </c>
      <c r="AD864">
        <v>2</v>
      </c>
      <c r="AE864" t="s">
        <v>115</v>
      </c>
      <c r="AF864">
        <v>0</v>
      </c>
      <c r="AG864">
        <v>0</v>
      </c>
      <c r="AH864" t="s">
        <v>116</v>
      </c>
      <c r="AI864" s="1">
        <v>84953</v>
      </c>
      <c r="AJ864" s="2">
        <v>0.23</v>
      </c>
      <c r="AK864" s="1">
        <v>364953</v>
      </c>
      <c r="AL864" t="s">
        <v>117</v>
      </c>
      <c r="AM864" t="s">
        <v>191</v>
      </c>
      <c r="AN864">
        <v>8154</v>
      </c>
      <c r="AO864">
        <v>0.19</v>
      </c>
      <c r="AP864">
        <v>1</v>
      </c>
      <c r="AR864">
        <v>1</v>
      </c>
      <c r="AS864" s="1">
        <v>25980</v>
      </c>
      <c r="AT864" s="1">
        <v>5190</v>
      </c>
      <c r="AU864" s="1">
        <v>20790</v>
      </c>
      <c r="AV864">
        <v>80.02</v>
      </c>
      <c r="AX864" s="1">
        <v>1939.26</v>
      </c>
      <c r="AY864" t="s">
        <v>5390</v>
      </c>
      <c r="AZ864" t="s">
        <v>5391</v>
      </c>
      <c r="BA864" t="s">
        <v>5392</v>
      </c>
      <c r="BE864" s="3">
        <v>42181</v>
      </c>
      <c r="BF864" s="1">
        <v>280000</v>
      </c>
      <c r="BG864" t="s">
        <v>5676</v>
      </c>
      <c r="BH864" s="1">
        <v>120.69</v>
      </c>
      <c r="BI864" s="1">
        <v>280000</v>
      </c>
      <c r="BJ864" s="3">
        <v>42181</v>
      </c>
      <c r="BK864" t="s">
        <v>123</v>
      </c>
      <c r="BL864" t="str">
        <f>"2015.459782"</f>
        <v>2015.459782</v>
      </c>
      <c r="BM864" t="s">
        <v>5253</v>
      </c>
      <c r="BO864" t="s">
        <v>5677</v>
      </c>
      <c r="BS864">
        <v>30</v>
      </c>
      <c r="BW864" t="str">
        <f>""</f>
        <v/>
      </c>
      <c r="CH864" t="str">
        <f>""</f>
        <v/>
      </c>
      <c r="CS864" t="str">
        <f>""</f>
        <v/>
      </c>
    </row>
    <row r="865" spans="1:97" x14ac:dyDescent="0.25">
      <c r="A865" t="s">
        <v>5678</v>
      </c>
      <c r="B865" t="s">
        <v>5679</v>
      </c>
      <c r="C865" t="s">
        <v>5505</v>
      </c>
      <c r="D865" t="s">
        <v>5679</v>
      </c>
      <c r="E865" t="s">
        <v>5680</v>
      </c>
      <c r="F865" t="s">
        <v>108</v>
      </c>
      <c r="H865" t="s">
        <v>5681</v>
      </c>
      <c r="I865" t="s">
        <v>632</v>
      </c>
      <c r="J865" t="s">
        <v>111</v>
      </c>
      <c r="K865" t="str">
        <f>"85379"</f>
        <v>85379</v>
      </c>
      <c r="L865" t="s">
        <v>558</v>
      </c>
      <c r="M865" t="s">
        <v>5681</v>
      </c>
      <c r="N865" t="s">
        <v>632</v>
      </c>
      <c r="O865" t="s">
        <v>111</v>
      </c>
      <c r="P865" t="str">
        <f>"85379-7239"</f>
        <v>85379-7239</v>
      </c>
      <c r="Q865" t="s">
        <v>113</v>
      </c>
      <c r="R865" t="str">
        <f>"509-14-143"</f>
        <v>509-14-143</v>
      </c>
      <c r="S865" t="s">
        <v>5614</v>
      </c>
      <c r="U865">
        <v>2834</v>
      </c>
      <c r="V865">
        <v>0</v>
      </c>
      <c r="W865">
        <v>4</v>
      </c>
      <c r="X865">
        <v>2004</v>
      </c>
      <c r="Z865">
        <v>2</v>
      </c>
      <c r="AA865" t="s">
        <v>26</v>
      </c>
      <c r="AB865">
        <v>0</v>
      </c>
      <c r="AC865" t="s">
        <v>115</v>
      </c>
      <c r="AD865">
        <v>2</v>
      </c>
      <c r="AE865" t="s">
        <v>115</v>
      </c>
      <c r="AF865">
        <v>0</v>
      </c>
      <c r="AG865">
        <v>0</v>
      </c>
      <c r="AH865" t="s">
        <v>116</v>
      </c>
      <c r="AI865" s="1">
        <v>91254</v>
      </c>
      <c r="AJ865" s="2">
        <v>0.28000000000000003</v>
      </c>
      <c r="AK865" s="1">
        <v>325412</v>
      </c>
      <c r="AL865" t="s">
        <v>117</v>
      </c>
      <c r="AM865" t="s">
        <v>118</v>
      </c>
      <c r="AN865">
        <v>6148</v>
      </c>
      <c r="AO865">
        <v>0.14000000000000001</v>
      </c>
      <c r="AR865">
        <v>1</v>
      </c>
      <c r="AS865" s="1">
        <v>22570</v>
      </c>
      <c r="AT865" s="1">
        <v>4510</v>
      </c>
      <c r="AU865" s="1">
        <v>18060</v>
      </c>
      <c r="AV865">
        <v>80.02</v>
      </c>
      <c r="AX865" s="1">
        <v>1754.88</v>
      </c>
      <c r="AY865" t="s">
        <v>5615</v>
      </c>
      <c r="AZ865" t="s">
        <v>5615</v>
      </c>
      <c r="BA865" t="s">
        <v>635</v>
      </c>
      <c r="BE865" s="3">
        <v>41802</v>
      </c>
      <c r="BF865" s="1">
        <v>230000</v>
      </c>
      <c r="BG865" t="s">
        <v>5682</v>
      </c>
      <c r="BH865" s="1">
        <v>81.16</v>
      </c>
      <c r="BI865" s="1">
        <v>234158</v>
      </c>
      <c r="BJ865" s="3">
        <v>42766</v>
      </c>
      <c r="BK865" t="s">
        <v>123</v>
      </c>
      <c r="BL865" t="str">
        <f>"2017.75855"</f>
        <v>2017.75855</v>
      </c>
      <c r="BM865" t="s">
        <v>544</v>
      </c>
      <c r="BO865" t="s">
        <v>5683</v>
      </c>
      <c r="BS865">
        <v>25</v>
      </c>
      <c r="BW865" t="str">
        <f>""</f>
        <v/>
      </c>
      <c r="CH865" t="str">
        <f>""</f>
        <v/>
      </c>
      <c r="CS865" t="str">
        <f>""</f>
        <v/>
      </c>
    </row>
    <row r="866" spans="1:97" x14ac:dyDescent="0.25">
      <c r="A866" t="s">
        <v>938</v>
      </c>
      <c r="B866" t="s">
        <v>5684</v>
      </c>
      <c r="E866" t="s">
        <v>5685</v>
      </c>
      <c r="F866" t="s">
        <v>108</v>
      </c>
      <c r="H866" t="s">
        <v>5686</v>
      </c>
      <c r="I866" t="s">
        <v>390</v>
      </c>
      <c r="J866" t="s">
        <v>111</v>
      </c>
      <c r="K866" t="str">
        <f>"85013"</f>
        <v>85013</v>
      </c>
      <c r="L866" t="s">
        <v>5687</v>
      </c>
      <c r="M866" t="s">
        <v>5686</v>
      </c>
      <c r="N866" t="s">
        <v>390</v>
      </c>
      <c r="O866" t="s">
        <v>111</v>
      </c>
      <c r="P866" t="str">
        <f>"85013-2731"</f>
        <v>85013-2731</v>
      </c>
      <c r="Q866" t="s">
        <v>113</v>
      </c>
      <c r="R866" t="str">
        <f>"155-28-028"</f>
        <v>155-28-028</v>
      </c>
      <c r="S866" t="s">
        <v>5688</v>
      </c>
      <c r="T866" t="s">
        <v>5688</v>
      </c>
      <c r="U866">
        <v>1341</v>
      </c>
      <c r="V866">
        <v>0</v>
      </c>
      <c r="W866">
        <v>1</v>
      </c>
      <c r="X866">
        <v>1947</v>
      </c>
      <c r="Z866">
        <v>1</v>
      </c>
      <c r="AB866">
        <v>0</v>
      </c>
      <c r="AC866" t="s">
        <v>115</v>
      </c>
      <c r="AD866">
        <v>2</v>
      </c>
      <c r="AE866" t="s">
        <v>115</v>
      </c>
      <c r="AF866">
        <v>0</v>
      </c>
      <c r="AG866">
        <v>0</v>
      </c>
      <c r="AH866" t="s">
        <v>5467</v>
      </c>
      <c r="AI866" s="1">
        <v>18655</v>
      </c>
      <c r="AJ866" s="2">
        <v>0.05</v>
      </c>
      <c r="AK866" s="1">
        <v>369875</v>
      </c>
      <c r="AL866" t="s">
        <v>117</v>
      </c>
      <c r="AM866" t="s">
        <v>3345</v>
      </c>
      <c r="AN866">
        <v>7735</v>
      </c>
      <c r="AO866">
        <v>0.18</v>
      </c>
      <c r="AP866">
        <v>1</v>
      </c>
      <c r="AR866">
        <v>1</v>
      </c>
      <c r="AS866" s="1">
        <v>27110</v>
      </c>
      <c r="AT866" s="1">
        <v>5420</v>
      </c>
      <c r="AU866" s="1">
        <v>21690</v>
      </c>
      <c r="AV866">
        <v>80.010000000000005</v>
      </c>
      <c r="AX866" s="1">
        <v>2312.88</v>
      </c>
      <c r="AY866" t="s">
        <v>5689</v>
      </c>
      <c r="AZ866" t="s">
        <v>5690</v>
      </c>
      <c r="BA866" t="s">
        <v>5691</v>
      </c>
      <c r="BE866" s="3">
        <v>41808</v>
      </c>
      <c r="BF866" s="1">
        <v>215000</v>
      </c>
      <c r="BG866" t="s">
        <v>5692</v>
      </c>
      <c r="BH866" s="1">
        <v>222.8</v>
      </c>
      <c r="BI866" s="1">
        <v>351220</v>
      </c>
      <c r="BJ866" s="3">
        <v>42746</v>
      </c>
      <c r="BK866" t="s">
        <v>123</v>
      </c>
      <c r="BL866" t="str">
        <f>"2017.21507"</f>
        <v>2017.21507</v>
      </c>
      <c r="BM866" t="s">
        <v>5693</v>
      </c>
      <c r="BO866" t="s">
        <v>5694</v>
      </c>
      <c r="BS866">
        <v>30</v>
      </c>
      <c r="BW866" t="str">
        <f>""</f>
        <v/>
      </c>
      <c r="CH866" t="str">
        <f>""</f>
        <v/>
      </c>
      <c r="CS866" t="str">
        <f>""</f>
        <v/>
      </c>
    </row>
    <row r="867" spans="1:97" x14ac:dyDescent="0.25">
      <c r="A867" t="s">
        <v>996</v>
      </c>
      <c r="B867" t="s">
        <v>5695</v>
      </c>
      <c r="E867" t="s">
        <v>5696</v>
      </c>
      <c r="F867" t="s">
        <v>108</v>
      </c>
      <c r="H867" t="s">
        <v>5697</v>
      </c>
      <c r="I867" t="s">
        <v>2874</v>
      </c>
      <c r="J867" t="s">
        <v>111</v>
      </c>
      <c r="K867" t="str">
        <f>"85310"</f>
        <v>85310</v>
      </c>
      <c r="L867" t="s">
        <v>1796</v>
      </c>
      <c r="M867" t="s">
        <v>5697</v>
      </c>
      <c r="N867" t="s">
        <v>2874</v>
      </c>
      <c r="O867" t="s">
        <v>111</v>
      </c>
      <c r="P867" t="str">
        <f>"85310-3307"</f>
        <v>85310-3307</v>
      </c>
      <c r="Q867" t="s">
        <v>113</v>
      </c>
      <c r="R867" t="str">
        <f>"205-14-767"</f>
        <v>205-14-767</v>
      </c>
      <c r="S867" t="s">
        <v>5698</v>
      </c>
      <c r="T867" t="s">
        <v>5699</v>
      </c>
      <c r="U867">
        <v>2593</v>
      </c>
      <c r="V867">
        <v>0</v>
      </c>
      <c r="W867">
        <v>4</v>
      </c>
      <c r="X867">
        <v>1998</v>
      </c>
      <c r="Z867">
        <v>2</v>
      </c>
      <c r="AA867" t="s">
        <v>26</v>
      </c>
      <c r="AB867">
        <v>0</v>
      </c>
      <c r="AC867" t="s">
        <v>115</v>
      </c>
      <c r="AD867">
        <v>2</v>
      </c>
      <c r="AE867" t="s">
        <v>115</v>
      </c>
      <c r="AF867">
        <v>0</v>
      </c>
      <c r="AG867">
        <v>0</v>
      </c>
      <c r="AH867" t="s">
        <v>116</v>
      </c>
      <c r="AI867" s="1">
        <v>86269</v>
      </c>
      <c r="AJ867" s="2">
        <v>0.24</v>
      </c>
      <c r="AK867" s="1">
        <v>354269</v>
      </c>
      <c r="AL867" t="s">
        <v>117</v>
      </c>
      <c r="AM867" t="s">
        <v>5700</v>
      </c>
      <c r="AN867">
        <v>5057</v>
      </c>
      <c r="AO867">
        <v>0.12</v>
      </c>
      <c r="AP867">
        <v>1</v>
      </c>
      <c r="AR867">
        <v>1</v>
      </c>
      <c r="AS867" s="1">
        <v>24680</v>
      </c>
      <c r="AT867" s="1">
        <v>4930</v>
      </c>
      <c r="AU867" s="1">
        <v>19750</v>
      </c>
      <c r="AV867">
        <v>80.02</v>
      </c>
      <c r="AX867" s="1">
        <v>2067.2800000000002</v>
      </c>
      <c r="AY867" t="s">
        <v>5701</v>
      </c>
      <c r="AZ867" t="s">
        <v>3049</v>
      </c>
      <c r="BA867" t="s">
        <v>1386</v>
      </c>
      <c r="BB867" s="3">
        <v>43595</v>
      </c>
      <c r="BC867" s="1">
        <v>0</v>
      </c>
      <c r="BD867" t="s">
        <v>247</v>
      </c>
      <c r="BE867" s="3">
        <v>42496</v>
      </c>
      <c r="BF867" s="1">
        <v>263000</v>
      </c>
      <c r="BG867" t="s">
        <v>5034</v>
      </c>
      <c r="BH867" s="1">
        <v>101.43</v>
      </c>
      <c r="BI867" s="1">
        <v>268000</v>
      </c>
      <c r="BJ867" s="3">
        <v>43595</v>
      </c>
      <c r="BK867" t="s">
        <v>123</v>
      </c>
      <c r="BL867" t="str">
        <f>"2019.343529"</f>
        <v>2019.343529</v>
      </c>
      <c r="BM867" t="s">
        <v>5702</v>
      </c>
      <c r="BN867" t="s">
        <v>5703</v>
      </c>
      <c r="BO867" t="s">
        <v>5704</v>
      </c>
      <c r="BR867" t="s">
        <v>139</v>
      </c>
      <c r="BW867" t="str">
        <f>""</f>
        <v/>
      </c>
      <c r="CH867" t="str">
        <f>""</f>
        <v/>
      </c>
      <c r="CS867" t="str">
        <f>""</f>
        <v/>
      </c>
    </row>
    <row r="868" spans="1:97" x14ac:dyDescent="0.25">
      <c r="A868" t="s">
        <v>5705</v>
      </c>
      <c r="B868" t="s">
        <v>5706</v>
      </c>
      <c r="E868" t="s">
        <v>5707</v>
      </c>
      <c r="F868" t="s">
        <v>108</v>
      </c>
      <c r="H868" t="s">
        <v>5708</v>
      </c>
      <c r="I868" t="s">
        <v>390</v>
      </c>
      <c r="J868" t="s">
        <v>111</v>
      </c>
      <c r="K868" t="str">
        <f>"85050"</f>
        <v>85050</v>
      </c>
      <c r="L868" t="s">
        <v>5709</v>
      </c>
      <c r="M868" t="s">
        <v>5708</v>
      </c>
      <c r="N868" t="s">
        <v>390</v>
      </c>
      <c r="O868" t="s">
        <v>111</v>
      </c>
      <c r="P868" t="str">
        <f>"85050-2549"</f>
        <v>85050-2549</v>
      </c>
      <c r="Q868" t="s">
        <v>113</v>
      </c>
      <c r="R868" t="str">
        <f>"213-16-025-B"</f>
        <v>213-16-025-B</v>
      </c>
      <c r="U868">
        <v>1513</v>
      </c>
      <c r="V868">
        <v>0</v>
      </c>
      <c r="W868">
        <v>2</v>
      </c>
      <c r="X868">
        <v>1976</v>
      </c>
      <c r="Z868">
        <v>1</v>
      </c>
      <c r="AA868" t="s">
        <v>26</v>
      </c>
      <c r="AB868">
        <v>0</v>
      </c>
      <c r="AC868" t="s">
        <v>5188</v>
      </c>
      <c r="AD868">
        <v>2</v>
      </c>
      <c r="AE868" t="s">
        <v>5188</v>
      </c>
      <c r="AF868">
        <v>0</v>
      </c>
      <c r="AG868">
        <v>0</v>
      </c>
      <c r="AH868" t="s">
        <v>116</v>
      </c>
      <c r="AI868" s="1">
        <v>99139</v>
      </c>
      <c r="AJ868" s="2">
        <v>0.33</v>
      </c>
      <c r="AK868" s="1">
        <v>299139</v>
      </c>
      <c r="AL868" t="s">
        <v>117</v>
      </c>
      <c r="AM868" t="s">
        <v>171</v>
      </c>
      <c r="AN868">
        <v>36416</v>
      </c>
      <c r="AO868">
        <v>0.84</v>
      </c>
      <c r="AP868">
        <v>1</v>
      </c>
      <c r="AR868">
        <v>1</v>
      </c>
      <c r="AS868" s="1">
        <v>21780</v>
      </c>
      <c r="AT868" s="1">
        <v>4350</v>
      </c>
      <c r="AU868" s="1">
        <v>17430</v>
      </c>
      <c r="AV868">
        <v>80.03</v>
      </c>
      <c r="AX868" s="1">
        <v>1681.98</v>
      </c>
      <c r="AY868" t="s">
        <v>5710</v>
      </c>
      <c r="AZ868" t="s">
        <v>761</v>
      </c>
      <c r="BA868" t="s">
        <v>762</v>
      </c>
      <c r="BB868" s="3">
        <v>42947</v>
      </c>
      <c r="BD868" t="s">
        <v>157</v>
      </c>
      <c r="BE868" s="3">
        <v>41885</v>
      </c>
      <c r="BF868" s="1">
        <v>217500</v>
      </c>
      <c r="BG868" t="s">
        <v>5711</v>
      </c>
      <c r="BH868" s="1">
        <v>143.75</v>
      </c>
      <c r="BI868" s="1">
        <v>200000</v>
      </c>
      <c r="BJ868" s="3">
        <v>42947</v>
      </c>
      <c r="BK868" t="s">
        <v>123</v>
      </c>
      <c r="BL868" t="str">
        <f>"2017.557828"</f>
        <v>2017.557828</v>
      </c>
      <c r="BM868" t="s">
        <v>4094</v>
      </c>
      <c r="BO868" t="s">
        <v>5712</v>
      </c>
      <c r="BS868">
        <v>15</v>
      </c>
      <c r="BW868" t="str">
        <f>""</f>
        <v/>
      </c>
      <c r="CH868" t="str">
        <f>""</f>
        <v/>
      </c>
      <c r="CS868" t="str">
        <f>""</f>
        <v/>
      </c>
    </row>
    <row r="869" spans="1:97" x14ac:dyDescent="0.25">
      <c r="A869" t="s">
        <v>370</v>
      </c>
      <c r="B869" t="s">
        <v>5713</v>
      </c>
      <c r="E869" t="s">
        <v>5714</v>
      </c>
      <c r="F869" t="s">
        <v>108</v>
      </c>
      <c r="H869" t="s">
        <v>5715</v>
      </c>
      <c r="I869" t="s">
        <v>144</v>
      </c>
      <c r="J869" t="s">
        <v>111</v>
      </c>
      <c r="K869" t="str">
        <f>"85326"</f>
        <v>85326</v>
      </c>
      <c r="L869" t="s">
        <v>3151</v>
      </c>
      <c r="M869" t="s">
        <v>5715</v>
      </c>
      <c r="N869" t="s">
        <v>144</v>
      </c>
      <c r="O869" t="s">
        <v>111</v>
      </c>
      <c r="P869" t="str">
        <f>"85326-5804"</f>
        <v>85326-5804</v>
      </c>
      <c r="Q869" t="s">
        <v>113</v>
      </c>
      <c r="R869" t="str">
        <f>"502-36-030"</f>
        <v>502-36-030</v>
      </c>
      <c r="U869">
        <v>1658</v>
      </c>
      <c r="V869">
        <v>0</v>
      </c>
      <c r="W869">
        <v>2</v>
      </c>
      <c r="X869">
        <v>1959</v>
      </c>
      <c r="Z869">
        <v>1</v>
      </c>
      <c r="AB869">
        <v>0</v>
      </c>
      <c r="AC869" t="s">
        <v>115</v>
      </c>
      <c r="AD869">
        <v>2</v>
      </c>
      <c r="AE869" t="s">
        <v>115</v>
      </c>
      <c r="AF869">
        <v>0</v>
      </c>
      <c r="AG869">
        <v>0</v>
      </c>
      <c r="AH869" t="s">
        <v>5467</v>
      </c>
      <c r="AI869" s="1">
        <v>3235</v>
      </c>
      <c r="AJ869" s="2">
        <v>0.01</v>
      </c>
      <c r="AK869" s="1">
        <v>265249</v>
      </c>
      <c r="AL869" t="s">
        <v>117</v>
      </c>
      <c r="AM869" t="s">
        <v>376</v>
      </c>
      <c r="AN869">
        <v>49223</v>
      </c>
      <c r="AO869">
        <v>1.1299999999999999</v>
      </c>
      <c r="AP869">
        <v>1</v>
      </c>
      <c r="AR869">
        <v>1</v>
      </c>
      <c r="AS869" s="1">
        <v>18430</v>
      </c>
      <c r="AT869" s="1">
        <v>3680</v>
      </c>
      <c r="AU869" s="1">
        <v>14750</v>
      </c>
      <c r="AV869">
        <v>80.03</v>
      </c>
      <c r="AX869" s="1">
        <v>1386.54</v>
      </c>
      <c r="AY869" t="s">
        <v>2767</v>
      </c>
      <c r="AZ869" t="s">
        <v>2767</v>
      </c>
      <c r="BA869" t="s">
        <v>5025</v>
      </c>
      <c r="BE869" s="3">
        <v>41845</v>
      </c>
      <c r="BF869" s="1">
        <v>174000</v>
      </c>
      <c r="BG869" t="s">
        <v>5716</v>
      </c>
      <c r="BH869" s="1">
        <v>104.95</v>
      </c>
      <c r="BI869" s="1">
        <v>262014</v>
      </c>
      <c r="BJ869" s="3">
        <v>42408</v>
      </c>
      <c r="BK869" t="s">
        <v>123</v>
      </c>
      <c r="BL869" t="str">
        <f>"2016.81053"</f>
        <v>2016.81053</v>
      </c>
      <c r="BM869" t="s">
        <v>724</v>
      </c>
      <c r="BO869" t="s">
        <v>5717</v>
      </c>
      <c r="BS869">
        <v>30</v>
      </c>
      <c r="BW869" t="str">
        <f>""</f>
        <v/>
      </c>
      <c r="CH869" t="str">
        <f>""</f>
        <v/>
      </c>
      <c r="CS869" t="str">
        <f>""</f>
        <v/>
      </c>
    </row>
    <row r="870" spans="1:97" x14ac:dyDescent="0.25">
      <c r="A870" t="s">
        <v>211</v>
      </c>
      <c r="B870" t="s">
        <v>5718</v>
      </c>
      <c r="E870" t="s">
        <v>5719</v>
      </c>
      <c r="F870" t="s">
        <v>108</v>
      </c>
      <c r="H870" t="s">
        <v>5720</v>
      </c>
      <c r="I870" t="s">
        <v>110</v>
      </c>
      <c r="J870" t="s">
        <v>111</v>
      </c>
      <c r="K870" t="str">
        <f>"85225"</f>
        <v>85225</v>
      </c>
      <c r="L870" t="s">
        <v>1518</v>
      </c>
      <c r="M870" t="s">
        <v>5720</v>
      </c>
      <c r="N870" t="s">
        <v>110</v>
      </c>
      <c r="O870" t="s">
        <v>111</v>
      </c>
      <c r="P870" t="str">
        <f>"85225-4369"</f>
        <v>85225-4369</v>
      </c>
      <c r="Q870" t="s">
        <v>113</v>
      </c>
      <c r="R870" t="str">
        <f>"302-42-551"</f>
        <v>302-42-551</v>
      </c>
      <c r="S870" t="s">
        <v>5721</v>
      </c>
      <c r="T870" t="s">
        <v>5721</v>
      </c>
      <c r="U870">
        <v>2024</v>
      </c>
      <c r="V870">
        <v>0</v>
      </c>
      <c r="W870">
        <v>3</v>
      </c>
      <c r="X870">
        <v>1998</v>
      </c>
      <c r="Z870">
        <v>1</v>
      </c>
      <c r="AB870">
        <v>0</v>
      </c>
      <c r="AC870" t="s">
        <v>115</v>
      </c>
      <c r="AD870">
        <v>2</v>
      </c>
      <c r="AE870" t="s">
        <v>115</v>
      </c>
      <c r="AF870">
        <v>0</v>
      </c>
      <c r="AG870">
        <v>0</v>
      </c>
      <c r="AH870" t="s">
        <v>116</v>
      </c>
      <c r="AI870" s="1">
        <v>125562</v>
      </c>
      <c r="AJ870" s="2">
        <v>0.38</v>
      </c>
      <c r="AK870" s="1">
        <v>330562</v>
      </c>
      <c r="AL870" t="s">
        <v>117</v>
      </c>
      <c r="AM870" t="s">
        <v>118</v>
      </c>
      <c r="AN870">
        <v>10058</v>
      </c>
      <c r="AO870">
        <v>0.23</v>
      </c>
      <c r="AP870">
        <v>1</v>
      </c>
      <c r="AR870">
        <v>1</v>
      </c>
      <c r="AS870" s="1">
        <v>23580</v>
      </c>
      <c r="AT870" s="1">
        <v>4710</v>
      </c>
      <c r="AU870" s="1">
        <v>18870</v>
      </c>
      <c r="AV870">
        <v>80.03</v>
      </c>
      <c r="AX870" s="1">
        <v>2010.64</v>
      </c>
      <c r="AY870" t="s">
        <v>5722</v>
      </c>
      <c r="AZ870" t="s">
        <v>5078</v>
      </c>
      <c r="BA870" t="s">
        <v>2957</v>
      </c>
      <c r="BE870" s="3">
        <v>41991</v>
      </c>
      <c r="BF870" s="1">
        <v>238000</v>
      </c>
      <c r="BG870" t="s">
        <v>5723</v>
      </c>
      <c r="BH870" s="1">
        <v>117.59</v>
      </c>
      <c r="BI870" s="1">
        <v>205000</v>
      </c>
      <c r="BJ870" s="3">
        <v>42919</v>
      </c>
      <c r="BK870" t="s">
        <v>123</v>
      </c>
      <c r="BL870" t="str">
        <f>"2017.486505"</f>
        <v>2017.486505</v>
      </c>
      <c r="BM870" t="s">
        <v>361</v>
      </c>
      <c r="BO870" t="s">
        <v>5724</v>
      </c>
      <c r="BS870">
        <v>30</v>
      </c>
      <c r="BW870" t="str">
        <f>""</f>
        <v/>
      </c>
      <c r="CH870" t="str">
        <f>""</f>
        <v/>
      </c>
      <c r="CS870" t="str">
        <f>""</f>
        <v/>
      </c>
    </row>
    <row r="871" spans="1:97" x14ac:dyDescent="0.25">
      <c r="A871" t="s">
        <v>894</v>
      </c>
      <c r="B871" t="s">
        <v>1607</v>
      </c>
      <c r="C871" t="s">
        <v>703</v>
      </c>
      <c r="D871" t="s">
        <v>1607</v>
      </c>
      <c r="E871" t="s">
        <v>5725</v>
      </c>
      <c r="F871" t="s">
        <v>108</v>
      </c>
      <c r="H871" t="s">
        <v>5726</v>
      </c>
      <c r="I871" t="s">
        <v>632</v>
      </c>
      <c r="J871" t="s">
        <v>111</v>
      </c>
      <c r="K871" t="str">
        <f>"85388"</f>
        <v>85388</v>
      </c>
      <c r="L871" t="s">
        <v>5727</v>
      </c>
      <c r="M871" t="s">
        <v>5726</v>
      </c>
      <c r="N871" t="s">
        <v>632</v>
      </c>
      <c r="O871" t="s">
        <v>111</v>
      </c>
      <c r="P871" t="str">
        <f>"85388-5652"</f>
        <v>85388-5652</v>
      </c>
      <c r="Q871" t="s">
        <v>113</v>
      </c>
      <c r="R871" t="str">
        <f>"502-06-318"</f>
        <v>502-06-318</v>
      </c>
      <c r="S871" t="s">
        <v>5728</v>
      </c>
      <c r="T871" t="s">
        <v>5167</v>
      </c>
      <c r="U871">
        <v>2465</v>
      </c>
      <c r="V871">
        <v>0</v>
      </c>
      <c r="W871">
        <v>3</v>
      </c>
      <c r="X871">
        <v>2015</v>
      </c>
      <c r="Z871">
        <v>1</v>
      </c>
      <c r="AB871">
        <v>0</v>
      </c>
      <c r="AC871" t="s">
        <v>115</v>
      </c>
      <c r="AD871">
        <v>3</v>
      </c>
      <c r="AE871" t="s">
        <v>115</v>
      </c>
      <c r="AF871">
        <v>0</v>
      </c>
      <c r="AG871">
        <v>0</v>
      </c>
      <c r="AH871" t="s">
        <v>116</v>
      </c>
      <c r="AI871" s="1">
        <v>27322</v>
      </c>
      <c r="AJ871" s="2">
        <v>7.0000000000000007E-2</v>
      </c>
      <c r="AK871" s="1">
        <v>367179</v>
      </c>
      <c r="AL871" t="s">
        <v>117</v>
      </c>
      <c r="AM871" t="s">
        <v>118</v>
      </c>
      <c r="AN871">
        <v>9766</v>
      </c>
      <c r="AO871">
        <v>0.22</v>
      </c>
      <c r="AR871">
        <v>1</v>
      </c>
      <c r="AS871" s="1">
        <v>27580</v>
      </c>
      <c r="AT871" s="1">
        <v>5510</v>
      </c>
      <c r="AU871" s="1">
        <v>22070</v>
      </c>
      <c r="AV871">
        <v>80.02</v>
      </c>
      <c r="AX871" s="1">
        <v>2016.16</v>
      </c>
      <c r="AY871" t="s">
        <v>5168</v>
      </c>
      <c r="AZ871" t="s">
        <v>5168</v>
      </c>
      <c r="BA871" t="s">
        <v>5061</v>
      </c>
      <c r="BE871" s="3">
        <v>42107</v>
      </c>
      <c r="BF871" s="1">
        <v>331636</v>
      </c>
      <c r="BG871" t="s">
        <v>3524</v>
      </c>
      <c r="BH871" s="1">
        <v>134.54</v>
      </c>
      <c r="BI871" s="1">
        <v>339857</v>
      </c>
      <c r="BJ871" s="3">
        <v>42107</v>
      </c>
      <c r="BK871" t="s">
        <v>123</v>
      </c>
      <c r="BL871" t="str">
        <f>"2015.250820"</f>
        <v>2015.250820</v>
      </c>
      <c r="BM871" t="s">
        <v>3453</v>
      </c>
      <c r="BO871" t="s">
        <v>5729</v>
      </c>
      <c r="BS871">
        <v>30</v>
      </c>
      <c r="BW871" t="str">
        <f>""</f>
        <v/>
      </c>
      <c r="CH871" t="str">
        <f>""</f>
        <v/>
      </c>
      <c r="CS871" t="str">
        <f>""</f>
        <v/>
      </c>
    </row>
    <row r="872" spans="1:97" x14ac:dyDescent="0.25">
      <c r="B872" t="s">
        <v>5730</v>
      </c>
      <c r="E872" t="s">
        <v>5731</v>
      </c>
      <c r="F872" t="s">
        <v>108</v>
      </c>
      <c r="H872" t="s">
        <v>5732</v>
      </c>
      <c r="I872" t="s">
        <v>390</v>
      </c>
      <c r="J872" t="s">
        <v>111</v>
      </c>
      <c r="K872" t="str">
        <f>"85021"</f>
        <v>85021</v>
      </c>
      <c r="L872" t="s">
        <v>2547</v>
      </c>
      <c r="M872" t="s">
        <v>5732</v>
      </c>
      <c r="N872" t="s">
        <v>390</v>
      </c>
      <c r="O872" t="s">
        <v>111</v>
      </c>
      <c r="P872" t="str">
        <f>"85021-8690"</f>
        <v>85021-8690</v>
      </c>
      <c r="Q872" t="s">
        <v>113</v>
      </c>
      <c r="R872" t="str">
        <f>"160-33-090-G"</f>
        <v>160-33-090-G</v>
      </c>
      <c r="S872" t="s">
        <v>5733</v>
      </c>
      <c r="T872" t="s">
        <v>5733</v>
      </c>
      <c r="U872">
        <v>1672</v>
      </c>
      <c r="V872">
        <v>0</v>
      </c>
      <c r="W872">
        <v>3</v>
      </c>
      <c r="X872">
        <v>2005</v>
      </c>
      <c r="Z872">
        <v>1</v>
      </c>
      <c r="AA872" t="s">
        <v>26</v>
      </c>
      <c r="AB872">
        <v>0</v>
      </c>
      <c r="AC872" t="s">
        <v>115</v>
      </c>
      <c r="AD872">
        <v>2</v>
      </c>
      <c r="AE872" t="s">
        <v>115</v>
      </c>
      <c r="AF872">
        <v>0</v>
      </c>
      <c r="AG872">
        <v>0</v>
      </c>
      <c r="AH872" t="s">
        <v>116</v>
      </c>
      <c r="AI872" s="1">
        <v>96792</v>
      </c>
      <c r="AJ872" s="2">
        <v>0.21</v>
      </c>
      <c r="AK872" s="1">
        <v>454042</v>
      </c>
      <c r="AL872" t="s">
        <v>117</v>
      </c>
      <c r="AM872" t="s">
        <v>5441</v>
      </c>
      <c r="AN872">
        <v>11088</v>
      </c>
      <c r="AO872">
        <v>0.26</v>
      </c>
      <c r="AR872">
        <v>1</v>
      </c>
      <c r="AS872" s="1">
        <v>37030</v>
      </c>
      <c r="AT872" s="1">
        <v>7400</v>
      </c>
      <c r="AU872" s="1">
        <v>29630</v>
      </c>
      <c r="AV872">
        <v>80.02</v>
      </c>
      <c r="AX872" s="1">
        <v>3975.3</v>
      </c>
      <c r="AY872" t="s">
        <v>5734</v>
      </c>
      <c r="AZ872" t="s">
        <v>5735</v>
      </c>
      <c r="BA872" t="s">
        <v>5691</v>
      </c>
      <c r="BB872" s="3">
        <v>42773</v>
      </c>
      <c r="BD872" t="s">
        <v>458</v>
      </c>
      <c r="BE872" s="3">
        <v>42069</v>
      </c>
      <c r="BF872" s="1">
        <v>350000</v>
      </c>
      <c r="BG872" t="s">
        <v>5736</v>
      </c>
      <c r="BH872" s="1">
        <v>209.33</v>
      </c>
      <c r="BI872" s="1">
        <v>357250</v>
      </c>
      <c r="BJ872" s="3">
        <v>42069</v>
      </c>
      <c r="BK872" t="s">
        <v>123</v>
      </c>
      <c r="BL872" t="str">
        <f>"2015.151020"</f>
        <v>2015.151020</v>
      </c>
      <c r="BM872" t="s">
        <v>724</v>
      </c>
      <c r="BN872" t="s">
        <v>5737</v>
      </c>
      <c r="BO872" t="s">
        <v>5738</v>
      </c>
      <c r="BS872">
        <v>30</v>
      </c>
      <c r="BW872" t="str">
        <f>""</f>
        <v/>
      </c>
      <c r="CH872" t="str">
        <f>""</f>
        <v/>
      </c>
      <c r="CS872" t="str">
        <f>""</f>
        <v/>
      </c>
    </row>
    <row r="873" spans="1:97" x14ac:dyDescent="0.25">
      <c r="A873" t="s">
        <v>311</v>
      </c>
      <c r="B873" t="s">
        <v>5739</v>
      </c>
      <c r="C873" t="s">
        <v>5740</v>
      </c>
      <c r="D873" t="s">
        <v>5739</v>
      </c>
      <c r="E873" t="s">
        <v>5741</v>
      </c>
      <c r="F873" t="s">
        <v>108</v>
      </c>
      <c r="H873" t="s">
        <v>5742</v>
      </c>
      <c r="I873" t="s">
        <v>499</v>
      </c>
      <c r="J873" t="s">
        <v>111</v>
      </c>
      <c r="K873" t="str">
        <f>"85395"</f>
        <v>85395</v>
      </c>
      <c r="L873" t="s">
        <v>5743</v>
      </c>
      <c r="M873" t="s">
        <v>5742</v>
      </c>
      <c r="N873" t="s">
        <v>499</v>
      </c>
      <c r="O873" t="s">
        <v>111</v>
      </c>
      <c r="P873" t="str">
        <f>"85395-6382"</f>
        <v>85395-6382</v>
      </c>
      <c r="Q873" t="s">
        <v>113</v>
      </c>
      <c r="R873" t="str">
        <f>"508-13-189"</f>
        <v>508-13-189</v>
      </c>
      <c r="S873" t="s">
        <v>5744</v>
      </c>
      <c r="T873" t="s">
        <v>5745</v>
      </c>
      <c r="U873">
        <v>2160</v>
      </c>
      <c r="V873">
        <v>0</v>
      </c>
      <c r="W873">
        <v>3</v>
      </c>
      <c r="X873">
        <v>2005</v>
      </c>
      <c r="Z873">
        <v>1</v>
      </c>
      <c r="AA873" t="s">
        <v>26</v>
      </c>
      <c r="AB873">
        <v>0</v>
      </c>
      <c r="AC873" t="s">
        <v>115</v>
      </c>
      <c r="AD873">
        <v>2</v>
      </c>
      <c r="AE873" t="s">
        <v>115</v>
      </c>
      <c r="AF873">
        <v>0</v>
      </c>
      <c r="AG873">
        <v>0</v>
      </c>
      <c r="AH873" t="s">
        <v>116</v>
      </c>
      <c r="AI873" s="1">
        <v>51964</v>
      </c>
      <c r="AJ873" s="2">
        <v>0.15</v>
      </c>
      <c r="AK873" s="1">
        <v>345336</v>
      </c>
      <c r="AL873" t="s">
        <v>117</v>
      </c>
      <c r="AM873" t="s">
        <v>118</v>
      </c>
      <c r="AN873">
        <v>10193</v>
      </c>
      <c r="AO873">
        <v>0.23</v>
      </c>
      <c r="AR873">
        <v>1</v>
      </c>
      <c r="AS873" s="1">
        <v>25070</v>
      </c>
      <c r="AT873" s="1">
        <v>5010</v>
      </c>
      <c r="AU873" s="1">
        <v>20060</v>
      </c>
      <c r="AV873">
        <v>80.02</v>
      </c>
      <c r="AX873" s="1">
        <v>2819.62</v>
      </c>
      <c r="AY873" t="s">
        <v>3020</v>
      </c>
      <c r="AZ873" t="s">
        <v>3020</v>
      </c>
      <c r="BA873" t="s">
        <v>3154</v>
      </c>
      <c r="BE873" s="3">
        <v>42459</v>
      </c>
      <c r="BF873" s="1">
        <v>284000</v>
      </c>
      <c r="BG873" t="s">
        <v>5746</v>
      </c>
      <c r="BH873" s="1">
        <v>131.47999999999999</v>
      </c>
      <c r="BI873" s="1">
        <v>293372</v>
      </c>
      <c r="BJ873" s="3">
        <v>42459</v>
      </c>
      <c r="BK873" t="s">
        <v>123</v>
      </c>
      <c r="BL873" t="str">
        <f>"2016.206768"</f>
        <v>2016.206768</v>
      </c>
      <c r="BM873" t="s">
        <v>5747</v>
      </c>
      <c r="BO873" t="s">
        <v>5748</v>
      </c>
      <c r="BS873">
        <v>30</v>
      </c>
      <c r="BW873" t="str">
        <f>""</f>
        <v/>
      </c>
      <c r="CH873" t="str">
        <f>""</f>
        <v/>
      </c>
      <c r="CS873" t="str">
        <f>""</f>
        <v/>
      </c>
    </row>
    <row r="874" spans="1:97" x14ac:dyDescent="0.25">
      <c r="A874" t="s">
        <v>5749</v>
      </c>
      <c r="B874" t="s">
        <v>2611</v>
      </c>
      <c r="E874" t="s">
        <v>5750</v>
      </c>
      <c r="F874" t="s">
        <v>108</v>
      </c>
      <c r="H874" t="s">
        <v>5751</v>
      </c>
      <c r="I874" t="s">
        <v>499</v>
      </c>
      <c r="J874" t="s">
        <v>111</v>
      </c>
      <c r="K874" t="str">
        <f>"85395"</f>
        <v>85395</v>
      </c>
      <c r="L874" t="s">
        <v>541</v>
      </c>
      <c r="M874" t="s">
        <v>5751</v>
      </c>
      <c r="N874" t="s">
        <v>499</v>
      </c>
      <c r="O874" t="s">
        <v>111</v>
      </c>
      <c r="P874" t="str">
        <f>"85395-7563"</f>
        <v>85395-7563</v>
      </c>
      <c r="Q874" t="s">
        <v>113</v>
      </c>
      <c r="R874" t="str">
        <f>"508-11-376"</f>
        <v>508-11-376</v>
      </c>
      <c r="S874" t="s">
        <v>5752</v>
      </c>
      <c r="T874" t="s">
        <v>5753</v>
      </c>
      <c r="U874">
        <v>2502</v>
      </c>
      <c r="V874">
        <v>0</v>
      </c>
      <c r="W874">
        <v>4</v>
      </c>
      <c r="X874">
        <v>2014</v>
      </c>
      <c r="Z874">
        <v>1</v>
      </c>
      <c r="AB874">
        <v>0</v>
      </c>
      <c r="AC874" t="s">
        <v>115</v>
      </c>
      <c r="AD874">
        <v>4</v>
      </c>
      <c r="AE874" t="s">
        <v>115</v>
      </c>
      <c r="AF874">
        <v>0</v>
      </c>
      <c r="AG874">
        <v>0</v>
      </c>
      <c r="AH874" t="s">
        <v>116</v>
      </c>
      <c r="AI874" s="1">
        <v>111773</v>
      </c>
      <c r="AJ874" s="2">
        <v>0.27</v>
      </c>
      <c r="AK874" s="1">
        <v>413838</v>
      </c>
      <c r="AL874" t="s">
        <v>117</v>
      </c>
      <c r="AM874" t="s">
        <v>118</v>
      </c>
      <c r="AN874">
        <v>9100</v>
      </c>
      <c r="AO874">
        <v>0.21</v>
      </c>
      <c r="AR874">
        <v>1</v>
      </c>
      <c r="AS874" s="1">
        <v>29480</v>
      </c>
      <c r="AT874" s="1">
        <v>5890</v>
      </c>
      <c r="AU874" s="1">
        <v>23590</v>
      </c>
      <c r="AV874">
        <v>80.02</v>
      </c>
      <c r="AX874" s="1">
        <v>2956.14</v>
      </c>
      <c r="AY874" t="s">
        <v>3019</v>
      </c>
      <c r="AZ874" t="s">
        <v>3020</v>
      </c>
      <c r="BA874" t="s">
        <v>218</v>
      </c>
      <c r="BE874" s="3">
        <v>41746</v>
      </c>
      <c r="BF874" s="1">
        <v>298889</v>
      </c>
      <c r="BG874" t="s">
        <v>562</v>
      </c>
      <c r="BH874" s="1">
        <v>119.46</v>
      </c>
      <c r="BI874" s="1">
        <v>302065</v>
      </c>
      <c r="BJ874" s="3">
        <v>41746</v>
      </c>
      <c r="BK874" t="s">
        <v>123</v>
      </c>
      <c r="BL874" t="str">
        <f>"2014.248944"</f>
        <v>2014.248944</v>
      </c>
      <c r="BM874" t="s">
        <v>2716</v>
      </c>
      <c r="BO874" t="s">
        <v>5754</v>
      </c>
      <c r="BS874">
        <v>30</v>
      </c>
      <c r="BW874" t="str">
        <f>""</f>
        <v/>
      </c>
      <c r="CH874" t="str">
        <f>""</f>
        <v/>
      </c>
      <c r="CS874" t="str">
        <f>""</f>
        <v/>
      </c>
    </row>
    <row r="875" spans="1:97" x14ac:dyDescent="0.25">
      <c r="A875" t="s">
        <v>5755</v>
      </c>
      <c r="B875" t="s">
        <v>5756</v>
      </c>
      <c r="C875" t="s">
        <v>2939</v>
      </c>
      <c r="D875" t="s">
        <v>5756</v>
      </c>
      <c r="E875" t="s">
        <v>5757</v>
      </c>
      <c r="F875" t="s">
        <v>108</v>
      </c>
      <c r="H875" t="s">
        <v>5758</v>
      </c>
      <c r="I875" t="s">
        <v>1936</v>
      </c>
      <c r="J875" t="s">
        <v>111</v>
      </c>
      <c r="K875" t="str">
        <f>"85258"</f>
        <v>85258</v>
      </c>
      <c r="L875" t="s">
        <v>1518</v>
      </c>
      <c r="M875" t="s">
        <v>5758</v>
      </c>
      <c r="N875" t="s">
        <v>1936</v>
      </c>
      <c r="O875" t="s">
        <v>111</v>
      </c>
      <c r="P875" t="str">
        <f>"85258-6006"</f>
        <v>85258-6006</v>
      </c>
      <c r="Q875" t="s">
        <v>113</v>
      </c>
      <c r="R875" t="str">
        <f>"217-34-128"</f>
        <v>217-34-128</v>
      </c>
      <c r="S875" t="s">
        <v>5759</v>
      </c>
      <c r="T875" t="s">
        <v>5760</v>
      </c>
      <c r="U875">
        <v>2484</v>
      </c>
      <c r="V875">
        <v>0</v>
      </c>
      <c r="W875">
        <v>3</v>
      </c>
      <c r="X875">
        <v>1986</v>
      </c>
      <c r="Z875">
        <v>1</v>
      </c>
      <c r="AB875">
        <v>0</v>
      </c>
      <c r="AC875" t="s">
        <v>115</v>
      </c>
      <c r="AD875">
        <v>3</v>
      </c>
      <c r="AE875" t="s">
        <v>115</v>
      </c>
      <c r="AF875">
        <v>0</v>
      </c>
      <c r="AG875">
        <v>0</v>
      </c>
      <c r="AH875" t="s">
        <v>116</v>
      </c>
      <c r="AI875" s="1">
        <v>119837</v>
      </c>
      <c r="AJ875" s="2">
        <v>0.19</v>
      </c>
      <c r="AK875" s="1">
        <v>635000</v>
      </c>
      <c r="AL875" t="s">
        <v>117</v>
      </c>
      <c r="AM875" t="s">
        <v>616</v>
      </c>
      <c r="AN875">
        <v>17035</v>
      </c>
      <c r="AO875">
        <v>0.39</v>
      </c>
      <c r="AP875">
        <v>1</v>
      </c>
      <c r="AR875">
        <v>1</v>
      </c>
      <c r="AS875" s="1">
        <v>45610</v>
      </c>
      <c r="AT875" s="1">
        <v>9120</v>
      </c>
      <c r="AU875" s="1">
        <v>36490</v>
      </c>
      <c r="AV875">
        <v>80</v>
      </c>
      <c r="AX875" s="1">
        <v>3302.36</v>
      </c>
      <c r="AY875" t="s">
        <v>5761</v>
      </c>
      <c r="AZ875" t="s">
        <v>5762</v>
      </c>
      <c r="BA875" t="s">
        <v>5763</v>
      </c>
      <c r="BE875" s="3">
        <v>42342</v>
      </c>
      <c r="BF875" s="1">
        <v>550000</v>
      </c>
      <c r="BG875" t="s">
        <v>5764</v>
      </c>
      <c r="BH875" s="1">
        <v>221.42</v>
      </c>
      <c r="BI875" s="1">
        <v>515163</v>
      </c>
      <c r="BJ875" s="3">
        <v>42653</v>
      </c>
      <c r="BK875" t="s">
        <v>123</v>
      </c>
      <c r="BL875" t="str">
        <f>"2016.740644"</f>
        <v>2016.740644</v>
      </c>
      <c r="BM875" t="s">
        <v>361</v>
      </c>
      <c r="BO875" t="s">
        <v>5765</v>
      </c>
      <c r="BS875">
        <v>30</v>
      </c>
      <c r="BW875" t="str">
        <f>""</f>
        <v/>
      </c>
      <c r="CH875" t="str">
        <f>""</f>
        <v/>
      </c>
      <c r="CS875" t="str">
        <f>""</f>
        <v/>
      </c>
    </row>
    <row r="876" spans="1:97" x14ac:dyDescent="0.25">
      <c r="A876" t="s">
        <v>1289</v>
      </c>
      <c r="B876" t="s">
        <v>5766</v>
      </c>
      <c r="C876" t="s">
        <v>3212</v>
      </c>
      <c r="D876" t="s">
        <v>5766</v>
      </c>
      <c r="E876" t="s">
        <v>5767</v>
      </c>
      <c r="F876" t="s">
        <v>108</v>
      </c>
      <c r="H876" t="s">
        <v>5768</v>
      </c>
      <c r="I876" t="s">
        <v>499</v>
      </c>
      <c r="J876" t="s">
        <v>111</v>
      </c>
      <c r="K876" t="str">
        <f>"85395"</f>
        <v>85395</v>
      </c>
      <c r="L876" t="s">
        <v>500</v>
      </c>
      <c r="M876" t="s">
        <v>5768</v>
      </c>
      <c r="N876" t="s">
        <v>499</v>
      </c>
      <c r="O876" t="s">
        <v>111</v>
      </c>
      <c r="P876" t="str">
        <f>"85395-5205"</f>
        <v>85395-5205</v>
      </c>
      <c r="Q876" t="s">
        <v>113</v>
      </c>
      <c r="R876" t="str">
        <f>"502-30-205"</f>
        <v>502-30-205</v>
      </c>
      <c r="S876" t="s">
        <v>5769</v>
      </c>
      <c r="T876" t="s">
        <v>502</v>
      </c>
      <c r="U876">
        <v>3110</v>
      </c>
      <c r="V876">
        <v>0</v>
      </c>
      <c r="W876">
        <v>4</v>
      </c>
      <c r="X876">
        <v>2014</v>
      </c>
      <c r="Z876">
        <v>1</v>
      </c>
      <c r="AA876" t="s">
        <v>26</v>
      </c>
      <c r="AB876">
        <v>0</v>
      </c>
      <c r="AC876" t="s">
        <v>115</v>
      </c>
      <c r="AD876">
        <v>3</v>
      </c>
      <c r="AE876" t="s">
        <v>115</v>
      </c>
      <c r="AF876">
        <v>0</v>
      </c>
      <c r="AG876">
        <v>0</v>
      </c>
      <c r="AH876" t="s">
        <v>116</v>
      </c>
      <c r="AI876" s="1">
        <v>92727</v>
      </c>
      <c r="AJ876" s="2">
        <v>0.21</v>
      </c>
      <c r="AK876" s="1">
        <v>433902</v>
      </c>
      <c r="AL876" t="s">
        <v>117</v>
      </c>
      <c r="AM876" t="s">
        <v>118</v>
      </c>
      <c r="AN876">
        <v>10125</v>
      </c>
      <c r="AO876">
        <v>0.23</v>
      </c>
      <c r="AR876">
        <v>1</v>
      </c>
      <c r="AS876" s="1">
        <v>32550</v>
      </c>
      <c r="AT876" s="1">
        <v>6510</v>
      </c>
      <c r="AU876" s="1">
        <v>26040</v>
      </c>
      <c r="AV876">
        <v>80</v>
      </c>
      <c r="AX876" s="1">
        <v>2912.26</v>
      </c>
      <c r="AY876" t="s">
        <v>503</v>
      </c>
      <c r="AZ876" t="s">
        <v>504</v>
      </c>
      <c r="BA876" t="s">
        <v>218</v>
      </c>
      <c r="BE876" s="3">
        <v>41880</v>
      </c>
      <c r="BF876" s="1">
        <v>333995</v>
      </c>
      <c r="BG876" t="s">
        <v>209</v>
      </c>
      <c r="BH876" s="1">
        <v>107.39</v>
      </c>
      <c r="BI876" s="1">
        <v>341175</v>
      </c>
      <c r="BJ876" s="3">
        <v>41880</v>
      </c>
      <c r="BK876" t="s">
        <v>123</v>
      </c>
      <c r="BL876" t="str">
        <f>"2014.575400"</f>
        <v>2014.575400</v>
      </c>
      <c r="BM876" t="s">
        <v>175</v>
      </c>
      <c r="BO876" t="s">
        <v>5770</v>
      </c>
      <c r="BS876">
        <v>30</v>
      </c>
      <c r="BW876" t="str">
        <f>""</f>
        <v/>
      </c>
      <c r="CH876" t="str">
        <f>""</f>
        <v/>
      </c>
      <c r="CS876" t="str">
        <f>""</f>
        <v/>
      </c>
    </row>
    <row r="877" spans="1:97" x14ac:dyDescent="0.25">
      <c r="A877" t="s">
        <v>5771</v>
      </c>
      <c r="B877" t="s">
        <v>5772</v>
      </c>
      <c r="E877" t="s">
        <v>5773</v>
      </c>
      <c r="F877" t="s">
        <v>108</v>
      </c>
      <c r="H877" t="s">
        <v>5774</v>
      </c>
      <c r="I877" t="s">
        <v>167</v>
      </c>
      <c r="J877" t="s">
        <v>111</v>
      </c>
      <c r="K877" t="str">
        <f>"85339"</f>
        <v>85339</v>
      </c>
      <c r="L877" t="s">
        <v>5775</v>
      </c>
      <c r="M877" t="s">
        <v>5774</v>
      </c>
      <c r="N877" t="s">
        <v>167</v>
      </c>
      <c r="O877" t="s">
        <v>111</v>
      </c>
      <c r="P877" t="str">
        <f>"85339-2126"</f>
        <v>85339-2126</v>
      </c>
      <c r="Q877" t="s">
        <v>113</v>
      </c>
      <c r="R877" t="str">
        <f>"300-84-784"</f>
        <v>300-84-784</v>
      </c>
      <c r="S877" t="s">
        <v>5776</v>
      </c>
      <c r="U877">
        <v>4167</v>
      </c>
      <c r="V877">
        <v>0</v>
      </c>
      <c r="W877">
        <v>4</v>
      </c>
      <c r="X877">
        <v>2004</v>
      </c>
      <c r="Z877">
        <v>2</v>
      </c>
      <c r="AA877" t="s">
        <v>26</v>
      </c>
      <c r="AB877">
        <v>0</v>
      </c>
      <c r="AC877" t="s">
        <v>115</v>
      </c>
      <c r="AD877">
        <v>3</v>
      </c>
      <c r="AE877" t="s">
        <v>115</v>
      </c>
      <c r="AF877">
        <v>0</v>
      </c>
      <c r="AG877">
        <v>0</v>
      </c>
      <c r="AH877" t="s">
        <v>116</v>
      </c>
      <c r="AI877" s="1">
        <v>74800</v>
      </c>
      <c r="AJ877" s="2">
        <v>0.18</v>
      </c>
      <c r="AK877" s="1">
        <v>408459</v>
      </c>
      <c r="AL877" t="s">
        <v>117</v>
      </c>
      <c r="AM877" t="s">
        <v>171</v>
      </c>
      <c r="AN877">
        <v>13108</v>
      </c>
      <c r="AO877">
        <v>0.3</v>
      </c>
      <c r="AP877">
        <v>1</v>
      </c>
      <c r="AR877">
        <v>1</v>
      </c>
      <c r="AS877" s="1">
        <v>28570</v>
      </c>
      <c r="AT877" s="1">
        <v>5710</v>
      </c>
      <c r="AU877" s="1">
        <v>22860</v>
      </c>
      <c r="AV877">
        <v>80.010000000000005</v>
      </c>
      <c r="AX877" s="1">
        <v>3660.98</v>
      </c>
      <c r="AY877" t="s">
        <v>5777</v>
      </c>
      <c r="AZ877" t="s">
        <v>5777</v>
      </c>
      <c r="BA877" t="s">
        <v>173</v>
      </c>
      <c r="BE877" s="3">
        <v>42118</v>
      </c>
      <c r="BF877" s="1">
        <v>345000</v>
      </c>
      <c r="BG877" t="s">
        <v>5778</v>
      </c>
      <c r="BH877" s="1">
        <v>82.79</v>
      </c>
      <c r="BI877" s="1">
        <v>333659</v>
      </c>
      <c r="BJ877" s="3">
        <v>42118</v>
      </c>
      <c r="BK877" t="s">
        <v>123</v>
      </c>
      <c r="BL877" t="str">
        <f>"2015.285325"</f>
        <v>2015.285325</v>
      </c>
      <c r="BM877" t="s">
        <v>594</v>
      </c>
      <c r="BO877" t="s">
        <v>5779</v>
      </c>
      <c r="BS877">
        <v>30</v>
      </c>
      <c r="BW877" t="str">
        <f>""</f>
        <v/>
      </c>
      <c r="CH877" t="str">
        <f>""</f>
        <v/>
      </c>
      <c r="CS877" t="str">
        <f>""</f>
        <v/>
      </c>
    </row>
    <row r="878" spans="1:97" x14ac:dyDescent="0.25">
      <c r="A878" t="s">
        <v>894</v>
      </c>
      <c r="B878" t="s">
        <v>5780</v>
      </c>
      <c r="E878" t="s">
        <v>5781</v>
      </c>
      <c r="F878" t="s">
        <v>108</v>
      </c>
      <c r="H878" t="s">
        <v>5782</v>
      </c>
      <c r="I878" t="s">
        <v>110</v>
      </c>
      <c r="J878" t="s">
        <v>111</v>
      </c>
      <c r="K878" t="str">
        <f>"85286"</f>
        <v>85286</v>
      </c>
      <c r="L878" t="s">
        <v>5429</v>
      </c>
      <c r="M878" t="s">
        <v>5782</v>
      </c>
      <c r="N878" t="s">
        <v>110</v>
      </c>
      <c r="O878" t="s">
        <v>111</v>
      </c>
      <c r="P878" t="str">
        <f>"85286-6829"</f>
        <v>85286-6829</v>
      </c>
      <c r="Q878" t="s">
        <v>113</v>
      </c>
      <c r="R878" t="str">
        <f>"303-26-270"</f>
        <v>303-26-270</v>
      </c>
      <c r="S878" t="s">
        <v>5783</v>
      </c>
      <c r="T878" t="s">
        <v>5784</v>
      </c>
      <c r="U878">
        <v>1647</v>
      </c>
      <c r="V878">
        <v>0</v>
      </c>
      <c r="W878">
        <v>3</v>
      </c>
      <c r="X878">
        <v>1990</v>
      </c>
      <c r="Z878">
        <v>1</v>
      </c>
      <c r="AB878">
        <v>0</v>
      </c>
      <c r="AC878" t="s">
        <v>115</v>
      </c>
      <c r="AD878">
        <v>2</v>
      </c>
      <c r="AE878" t="s">
        <v>115</v>
      </c>
      <c r="AF878">
        <v>0</v>
      </c>
      <c r="AG878">
        <v>0</v>
      </c>
      <c r="AH878" t="s">
        <v>116</v>
      </c>
      <c r="AI878" s="1">
        <v>74634</v>
      </c>
      <c r="AJ878" s="2">
        <v>0.22</v>
      </c>
      <c r="AK878" s="1">
        <v>344310</v>
      </c>
      <c r="AL878" t="s">
        <v>117</v>
      </c>
      <c r="AM878" t="s">
        <v>118</v>
      </c>
      <c r="AN878">
        <v>6046</v>
      </c>
      <c r="AO878">
        <v>0.14000000000000001</v>
      </c>
      <c r="AP878">
        <v>1</v>
      </c>
      <c r="AR878">
        <v>1</v>
      </c>
      <c r="AS878" s="1">
        <v>26230</v>
      </c>
      <c r="AT878" s="1">
        <v>5240</v>
      </c>
      <c r="AU878" s="1">
        <v>20990</v>
      </c>
      <c r="AV878">
        <v>80.02</v>
      </c>
      <c r="AX878" s="1">
        <v>2075.8000000000002</v>
      </c>
      <c r="AY878" t="s">
        <v>1881</v>
      </c>
      <c r="AZ878" t="s">
        <v>1882</v>
      </c>
      <c r="BA878" t="s">
        <v>121</v>
      </c>
      <c r="BE878" s="3">
        <v>42409</v>
      </c>
      <c r="BF878" s="1">
        <v>264000</v>
      </c>
      <c r="BG878" t="s">
        <v>5785</v>
      </c>
      <c r="BH878" s="1">
        <v>160.29</v>
      </c>
      <c r="BI878" s="1">
        <v>269676</v>
      </c>
      <c r="BJ878" s="3">
        <v>42409</v>
      </c>
      <c r="BK878" t="s">
        <v>123</v>
      </c>
      <c r="BL878" t="str">
        <f>"2016.85184"</f>
        <v>2016.85184</v>
      </c>
      <c r="BM878" t="s">
        <v>724</v>
      </c>
      <c r="BO878" t="s">
        <v>5786</v>
      </c>
      <c r="BS878">
        <v>30</v>
      </c>
      <c r="BW878" t="str">
        <f>""</f>
        <v/>
      </c>
      <c r="CH878" t="str">
        <f>""</f>
        <v/>
      </c>
      <c r="CS878" t="str">
        <f>""</f>
        <v/>
      </c>
    </row>
    <row r="879" spans="1:97" x14ac:dyDescent="0.25">
      <c r="A879" t="s">
        <v>1720</v>
      </c>
      <c r="B879" t="s">
        <v>1704</v>
      </c>
      <c r="C879" t="s">
        <v>5787</v>
      </c>
      <c r="D879" t="s">
        <v>1704</v>
      </c>
      <c r="E879" t="s">
        <v>5788</v>
      </c>
      <c r="F879" t="s">
        <v>108</v>
      </c>
      <c r="H879" t="s">
        <v>5789</v>
      </c>
      <c r="I879" t="s">
        <v>188</v>
      </c>
      <c r="J879" t="s">
        <v>111</v>
      </c>
      <c r="K879" t="str">
        <f>"85142"</f>
        <v>85142</v>
      </c>
      <c r="L879" t="s">
        <v>5775</v>
      </c>
      <c r="M879" t="s">
        <v>5789</v>
      </c>
      <c r="N879" t="s">
        <v>188</v>
      </c>
      <c r="O879" t="s">
        <v>111</v>
      </c>
      <c r="P879" t="str">
        <f>"85142-8695"</f>
        <v>85142-8695</v>
      </c>
      <c r="Q879" t="s">
        <v>113</v>
      </c>
      <c r="R879" t="str">
        <f>"304-61-445"</f>
        <v>304-61-445</v>
      </c>
      <c r="S879" t="s">
        <v>5790</v>
      </c>
      <c r="U879">
        <v>4354</v>
      </c>
      <c r="V879">
        <v>0</v>
      </c>
      <c r="W879">
        <v>5</v>
      </c>
      <c r="X879">
        <v>2003</v>
      </c>
      <c r="Z879">
        <v>2</v>
      </c>
      <c r="AA879" t="s">
        <v>26</v>
      </c>
      <c r="AB879">
        <v>0</v>
      </c>
      <c r="AC879" t="s">
        <v>115</v>
      </c>
      <c r="AD879">
        <v>3</v>
      </c>
      <c r="AE879" t="s">
        <v>115</v>
      </c>
      <c r="AF879">
        <v>0</v>
      </c>
      <c r="AG879">
        <v>0</v>
      </c>
      <c r="AH879" t="s">
        <v>116</v>
      </c>
      <c r="AI879" s="1">
        <v>169814</v>
      </c>
      <c r="AJ879" s="2">
        <v>0.32</v>
      </c>
      <c r="AK879" s="1">
        <v>532814</v>
      </c>
      <c r="AL879" t="s">
        <v>117</v>
      </c>
      <c r="AM879" t="s">
        <v>5791</v>
      </c>
      <c r="AN879">
        <v>18523</v>
      </c>
      <c r="AO879">
        <v>0.42</v>
      </c>
      <c r="AP879">
        <v>1</v>
      </c>
      <c r="AR879">
        <v>1</v>
      </c>
      <c r="AS879" s="1">
        <v>41260</v>
      </c>
      <c r="AT879" s="1">
        <v>8250</v>
      </c>
      <c r="AU879" s="1">
        <v>33010</v>
      </c>
      <c r="AV879">
        <v>80</v>
      </c>
      <c r="AX879" s="1">
        <v>3765.26</v>
      </c>
      <c r="AY879" t="s">
        <v>5792</v>
      </c>
      <c r="AZ879" t="s">
        <v>5792</v>
      </c>
      <c r="BA879" t="s">
        <v>290</v>
      </c>
      <c r="BE879" s="3">
        <v>42151</v>
      </c>
      <c r="BF879" s="1">
        <v>393000</v>
      </c>
      <c r="BG879" t="s">
        <v>5793</v>
      </c>
      <c r="BH879" s="1">
        <v>90.26</v>
      </c>
      <c r="BI879" s="1">
        <v>363000</v>
      </c>
      <c r="BJ879" s="3">
        <v>42151</v>
      </c>
      <c r="BK879" t="s">
        <v>123</v>
      </c>
      <c r="BL879" t="str">
        <f>"2015.370957"</f>
        <v>2015.370957</v>
      </c>
      <c r="BM879" t="s">
        <v>2475</v>
      </c>
      <c r="BO879" t="s">
        <v>5794</v>
      </c>
      <c r="BS879">
        <v>30</v>
      </c>
      <c r="BW879" t="str">
        <f>""</f>
        <v/>
      </c>
      <c r="CH879" t="str">
        <f>""</f>
        <v/>
      </c>
      <c r="CS879" t="str">
        <f>""</f>
        <v/>
      </c>
    </row>
    <row r="880" spans="1:97" x14ac:dyDescent="0.25">
      <c r="A880" t="s">
        <v>5795</v>
      </c>
      <c r="B880" t="s">
        <v>5796</v>
      </c>
      <c r="E880" t="s">
        <v>5797</v>
      </c>
      <c r="F880" t="s">
        <v>108</v>
      </c>
      <c r="H880" t="s">
        <v>5798</v>
      </c>
      <c r="I880" t="s">
        <v>390</v>
      </c>
      <c r="J880" t="s">
        <v>111</v>
      </c>
      <c r="K880" t="str">
        <f>"85022"</f>
        <v>85022</v>
      </c>
      <c r="L880" t="s">
        <v>5799</v>
      </c>
      <c r="M880" t="s">
        <v>5798</v>
      </c>
      <c r="N880" t="s">
        <v>390</v>
      </c>
      <c r="O880" t="s">
        <v>111</v>
      </c>
      <c r="P880" t="str">
        <f>"85022-6112"</f>
        <v>85022-6112</v>
      </c>
      <c r="Q880" t="s">
        <v>113</v>
      </c>
      <c r="R880" t="str">
        <f>"214-51-675"</f>
        <v>214-51-675</v>
      </c>
      <c r="S880" t="s">
        <v>5800</v>
      </c>
      <c r="T880" t="s">
        <v>5800</v>
      </c>
      <c r="U880">
        <v>1709</v>
      </c>
      <c r="V880">
        <v>0</v>
      </c>
      <c r="W880">
        <v>4</v>
      </c>
      <c r="X880">
        <v>1992</v>
      </c>
      <c r="Z880">
        <v>2</v>
      </c>
      <c r="AB880">
        <v>0</v>
      </c>
      <c r="AC880" t="s">
        <v>115</v>
      </c>
      <c r="AD880">
        <v>2</v>
      </c>
      <c r="AE880" t="s">
        <v>115</v>
      </c>
      <c r="AF880">
        <v>0</v>
      </c>
      <c r="AG880">
        <v>0</v>
      </c>
      <c r="AH880" t="s">
        <v>116</v>
      </c>
      <c r="AI880" s="1">
        <v>14563</v>
      </c>
      <c r="AJ880" s="2">
        <v>0.05</v>
      </c>
      <c r="AK880" s="1">
        <v>272563</v>
      </c>
      <c r="AL880" t="s">
        <v>117</v>
      </c>
      <c r="AM880" t="s">
        <v>5801</v>
      </c>
      <c r="AN880">
        <v>2870</v>
      </c>
      <c r="AO880">
        <v>0.66</v>
      </c>
      <c r="AP880">
        <v>1</v>
      </c>
      <c r="AR880">
        <v>1</v>
      </c>
      <c r="AS880" s="1">
        <v>18410</v>
      </c>
      <c r="AT880" s="1">
        <v>3680</v>
      </c>
      <c r="AU880" s="1">
        <v>14730</v>
      </c>
      <c r="AV880">
        <v>80.010000000000005</v>
      </c>
      <c r="AX880" s="1">
        <v>1295.68</v>
      </c>
      <c r="AY880" t="s">
        <v>5802</v>
      </c>
      <c r="AZ880" t="s">
        <v>5489</v>
      </c>
      <c r="BA880" t="s">
        <v>5232</v>
      </c>
      <c r="BB880" s="3">
        <v>43195</v>
      </c>
      <c r="BC880" s="1">
        <v>0</v>
      </c>
      <c r="BD880" t="s">
        <v>247</v>
      </c>
      <c r="BE880" s="3">
        <v>42209</v>
      </c>
      <c r="BF880" s="1">
        <v>225000</v>
      </c>
      <c r="BG880" t="s">
        <v>5803</v>
      </c>
      <c r="BH880" s="1">
        <v>131.58000000000001</v>
      </c>
      <c r="BI880" s="1">
        <v>258000</v>
      </c>
      <c r="BJ880" s="3">
        <v>43195</v>
      </c>
      <c r="BK880" t="s">
        <v>123</v>
      </c>
      <c r="BL880" t="str">
        <f>"2018.253786"</f>
        <v>2018.253786</v>
      </c>
      <c r="BM880" t="s">
        <v>361</v>
      </c>
      <c r="BN880" t="s">
        <v>884</v>
      </c>
      <c r="BO880" t="s">
        <v>5804</v>
      </c>
      <c r="BR880" t="s">
        <v>139</v>
      </c>
      <c r="BW880" t="str">
        <f>""</f>
        <v/>
      </c>
      <c r="CH880" t="str">
        <f>""</f>
        <v/>
      </c>
      <c r="CS880" t="str">
        <f>""</f>
        <v/>
      </c>
    </row>
    <row r="881" spans="1:97" x14ac:dyDescent="0.25">
      <c r="B881" t="s">
        <v>5805</v>
      </c>
      <c r="E881" t="s">
        <v>5806</v>
      </c>
      <c r="F881" t="s">
        <v>108</v>
      </c>
      <c r="H881" t="s">
        <v>5807</v>
      </c>
      <c r="I881" t="s">
        <v>225</v>
      </c>
      <c r="J881" t="s">
        <v>111</v>
      </c>
      <c r="K881" t="str">
        <f>"85213"</f>
        <v>85213</v>
      </c>
      <c r="L881" t="s">
        <v>4159</v>
      </c>
      <c r="M881" t="s">
        <v>5807</v>
      </c>
      <c r="N881" t="s">
        <v>225</v>
      </c>
      <c r="O881" t="s">
        <v>111</v>
      </c>
      <c r="P881" t="str">
        <f>"85213-1957"</f>
        <v>85213-1957</v>
      </c>
      <c r="Q881" t="s">
        <v>113</v>
      </c>
      <c r="R881" t="str">
        <f>"141-18-031"</f>
        <v>141-18-031</v>
      </c>
      <c r="S881" t="s">
        <v>5667</v>
      </c>
      <c r="U881">
        <v>2776</v>
      </c>
      <c r="V881">
        <v>0</v>
      </c>
      <c r="W881">
        <v>4</v>
      </c>
      <c r="X881">
        <v>2014</v>
      </c>
      <c r="Z881">
        <v>2</v>
      </c>
      <c r="AB881">
        <v>0</v>
      </c>
      <c r="AC881" t="s">
        <v>115</v>
      </c>
      <c r="AD881">
        <v>3</v>
      </c>
      <c r="AE881" t="s">
        <v>115</v>
      </c>
      <c r="AF881">
        <v>0</v>
      </c>
      <c r="AG881">
        <v>0</v>
      </c>
      <c r="AH881" t="s">
        <v>116</v>
      </c>
      <c r="AI881" s="1">
        <v>78778</v>
      </c>
      <c r="AJ881" s="2">
        <v>0.18</v>
      </c>
      <c r="AK881" s="1">
        <v>430117</v>
      </c>
      <c r="AL881" t="s">
        <v>117</v>
      </c>
      <c r="AM881" t="s">
        <v>917</v>
      </c>
      <c r="AN881">
        <v>6524</v>
      </c>
      <c r="AO881">
        <v>0.15</v>
      </c>
      <c r="AR881">
        <v>1</v>
      </c>
      <c r="AS881" s="1">
        <v>28850</v>
      </c>
      <c r="AT881" s="1">
        <v>5770</v>
      </c>
      <c r="AU881" s="1">
        <v>23080</v>
      </c>
      <c r="AV881">
        <v>80</v>
      </c>
      <c r="AX881" s="1">
        <v>2490.54</v>
      </c>
      <c r="AY881" t="s">
        <v>4162</v>
      </c>
      <c r="AZ881" t="s">
        <v>4163</v>
      </c>
      <c r="BA881" t="s">
        <v>1524</v>
      </c>
      <c r="BE881" s="3">
        <v>42027</v>
      </c>
      <c r="BF881" s="1">
        <v>343945</v>
      </c>
      <c r="BG881" t="s">
        <v>2842</v>
      </c>
      <c r="BH881" s="1">
        <v>123.9</v>
      </c>
      <c r="BI881" s="1">
        <v>351339</v>
      </c>
      <c r="BJ881" s="3">
        <v>42027</v>
      </c>
      <c r="BK881" t="s">
        <v>123</v>
      </c>
      <c r="BL881" t="str">
        <f>"2015.46712"</f>
        <v>2015.46712</v>
      </c>
      <c r="BM881" t="s">
        <v>724</v>
      </c>
      <c r="BO881" t="s">
        <v>5808</v>
      </c>
      <c r="BS881">
        <v>30</v>
      </c>
      <c r="BW881" t="str">
        <f>""</f>
        <v/>
      </c>
      <c r="CH881" t="str">
        <f>""</f>
        <v/>
      </c>
      <c r="CS881" t="str">
        <f>""</f>
        <v/>
      </c>
    </row>
    <row r="882" spans="1:97" x14ac:dyDescent="0.25">
      <c r="A882" t="s">
        <v>325</v>
      </c>
      <c r="B882" t="s">
        <v>5809</v>
      </c>
      <c r="C882" t="s">
        <v>4364</v>
      </c>
      <c r="D882" t="s">
        <v>5809</v>
      </c>
      <c r="E882" t="s">
        <v>5810</v>
      </c>
      <c r="F882" t="s">
        <v>108</v>
      </c>
      <c r="H882" t="s">
        <v>5811</v>
      </c>
      <c r="I882" t="s">
        <v>188</v>
      </c>
      <c r="J882" t="s">
        <v>111</v>
      </c>
      <c r="K882" t="str">
        <f>"85142"</f>
        <v>85142</v>
      </c>
      <c r="L882" t="s">
        <v>625</v>
      </c>
      <c r="M882" t="s">
        <v>5811</v>
      </c>
      <c r="N882" t="s">
        <v>188</v>
      </c>
      <c r="O882" t="s">
        <v>111</v>
      </c>
      <c r="P882" t="str">
        <f>"85142-8535"</f>
        <v>85142-8535</v>
      </c>
      <c r="Q882" t="s">
        <v>113</v>
      </c>
      <c r="R882" t="str">
        <f>"312-07-283"</f>
        <v>312-07-283</v>
      </c>
      <c r="S882" t="s">
        <v>2840</v>
      </c>
      <c r="T882" t="s">
        <v>2841</v>
      </c>
      <c r="U882">
        <v>2202</v>
      </c>
      <c r="W882">
        <v>3</v>
      </c>
      <c r="X882">
        <v>2016</v>
      </c>
      <c r="Z882">
        <v>1</v>
      </c>
      <c r="AC882" t="s">
        <v>115</v>
      </c>
      <c r="AD882">
        <v>2</v>
      </c>
      <c r="AE882" t="s">
        <v>115</v>
      </c>
      <c r="AH882" t="s">
        <v>116</v>
      </c>
      <c r="AI882" s="1">
        <v>50570</v>
      </c>
      <c r="AJ882" s="2">
        <v>0.15</v>
      </c>
      <c r="AK882" s="1">
        <v>327450</v>
      </c>
      <c r="AL882" t="s">
        <v>117</v>
      </c>
      <c r="AM882" t="s">
        <v>118</v>
      </c>
      <c r="AN882">
        <v>5680</v>
      </c>
      <c r="AO882">
        <v>0.13</v>
      </c>
      <c r="AR882">
        <v>1</v>
      </c>
      <c r="AS882" s="1">
        <v>22620</v>
      </c>
      <c r="AT882" s="1">
        <v>4520</v>
      </c>
      <c r="AU882" s="1">
        <v>18100</v>
      </c>
      <c r="AV882">
        <v>80.02</v>
      </c>
      <c r="AX882" s="1">
        <v>2202.2600000000002</v>
      </c>
      <c r="AY882" t="s">
        <v>560</v>
      </c>
      <c r="AZ882" t="s">
        <v>561</v>
      </c>
      <c r="BA882" t="s">
        <v>194</v>
      </c>
      <c r="BE882" s="3">
        <v>42550</v>
      </c>
      <c r="BF882" s="1">
        <v>276880</v>
      </c>
      <c r="BG882" t="s">
        <v>2842</v>
      </c>
      <c r="BH882" s="1">
        <v>125.74</v>
      </c>
      <c r="BI882" s="1">
        <v>276880</v>
      </c>
      <c r="BJ882" s="3">
        <v>42550</v>
      </c>
      <c r="BK882" t="s">
        <v>123</v>
      </c>
      <c r="BL882" t="str">
        <f>"2016.454488"</f>
        <v>2016.454488</v>
      </c>
      <c r="BM882" t="s">
        <v>2912</v>
      </c>
      <c r="BO882" t="s">
        <v>5812</v>
      </c>
      <c r="BS882">
        <v>30</v>
      </c>
      <c r="BW882" t="str">
        <f>""</f>
        <v/>
      </c>
      <c r="CH882" t="str">
        <f>""</f>
        <v/>
      </c>
      <c r="CS882" t="str">
        <f>""</f>
        <v/>
      </c>
    </row>
    <row r="883" spans="1:97" x14ac:dyDescent="0.25">
      <c r="A883" t="s">
        <v>3089</v>
      </c>
      <c r="B883" t="s">
        <v>5813</v>
      </c>
      <c r="C883" t="s">
        <v>767</v>
      </c>
      <c r="D883" t="s">
        <v>5813</v>
      </c>
      <c r="E883" t="s">
        <v>5814</v>
      </c>
      <c r="F883" t="s">
        <v>108</v>
      </c>
      <c r="H883" t="s">
        <v>5815</v>
      </c>
      <c r="I883" t="s">
        <v>632</v>
      </c>
      <c r="J883" t="s">
        <v>111</v>
      </c>
      <c r="K883" t="str">
        <f>"85379"</f>
        <v>85379</v>
      </c>
      <c r="L883" t="s">
        <v>5816</v>
      </c>
      <c r="M883" t="s">
        <v>5815</v>
      </c>
      <c r="N883" t="s">
        <v>632</v>
      </c>
      <c r="O883" t="s">
        <v>111</v>
      </c>
      <c r="P883" t="str">
        <f>"85379-5731"</f>
        <v>85379-5731</v>
      </c>
      <c r="Q883" t="s">
        <v>113</v>
      </c>
      <c r="R883" t="str">
        <f>"509-03-057"</f>
        <v>509-03-057</v>
      </c>
      <c r="S883" t="s">
        <v>5817</v>
      </c>
      <c r="U883">
        <v>2345</v>
      </c>
      <c r="V883">
        <v>0</v>
      </c>
      <c r="W883">
        <v>4</v>
      </c>
      <c r="X883">
        <v>2004</v>
      </c>
      <c r="Z883">
        <v>1</v>
      </c>
      <c r="AB883">
        <v>0</v>
      </c>
      <c r="AC883" t="s">
        <v>115</v>
      </c>
      <c r="AD883">
        <v>2</v>
      </c>
      <c r="AE883" t="s">
        <v>115</v>
      </c>
      <c r="AF883">
        <v>0</v>
      </c>
      <c r="AG883">
        <v>0</v>
      </c>
      <c r="AH883" t="s">
        <v>116</v>
      </c>
      <c r="AI883" s="1">
        <v>47191</v>
      </c>
      <c r="AJ883" s="2">
        <v>0.16</v>
      </c>
      <c r="AK883" s="1">
        <v>303691</v>
      </c>
      <c r="AL883" t="s">
        <v>117</v>
      </c>
      <c r="AM883" t="s">
        <v>118</v>
      </c>
      <c r="AN883">
        <v>7477</v>
      </c>
      <c r="AO883">
        <v>0.17</v>
      </c>
      <c r="AP883">
        <v>1</v>
      </c>
      <c r="AR883">
        <v>1</v>
      </c>
      <c r="AS883" s="1">
        <v>21280</v>
      </c>
      <c r="AT883" s="1">
        <v>4250</v>
      </c>
      <c r="AU883" s="1">
        <v>17030</v>
      </c>
      <c r="AV883">
        <v>80.03</v>
      </c>
      <c r="AX883" s="1">
        <v>1578.36</v>
      </c>
      <c r="AY883" t="s">
        <v>5818</v>
      </c>
      <c r="AZ883" t="s">
        <v>5818</v>
      </c>
      <c r="BA883" t="s">
        <v>321</v>
      </c>
      <c r="BB883" s="3">
        <v>43620</v>
      </c>
      <c r="BC883" s="1">
        <v>0</v>
      </c>
      <c r="BD883" t="s">
        <v>291</v>
      </c>
      <c r="BE883" s="3">
        <v>42377</v>
      </c>
      <c r="BF883" s="1">
        <v>242000</v>
      </c>
      <c r="BG883" t="s">
        <v>5819</v>
      </c>
      <c r="BH883" s="1">
        <v>103.2</v>
      </c>
      <c r="BI883" s="1">
        <v>256500</v>
      </c>
      <c r="BJ883" s="3">
        <v>43620</v>
      </c>
      <c r="BK883" t="s">
        <v>123</v>
      </c>
      <c r="BL883" t="str">
        <f>"2019.413178"</f>
        <v>2019.413178</v>
      </c>
      <c r="BM883" t="s">
        <v>2094</v>
      </c>
      <c r="BN883" t="s">
        <v>2095</v>
      </c>
      <c r="BO883" t="s">
        <v>5820</v>
      </c>
      <c r="BP883" t="s">
        <v>5821</v>
      </c>
      <c r="BR883" t="s">
        <v>139</v>
      </c>
      <c r="BW883" t="str">
        <f>""</f>
        <v/>
      </c>
      <c r="CH883" t="str">
        <f>""</f>
        <v/>
      </c>
      <c r="CS883" t="str">
        <f>""</f>
        <v/>
      </c>
    </row>
    <row r="884" spans="1:97" x14ac:dyDescent="0.25">
      <c r="A884" t="s">
        <v>894</v>
      </c>
      <c r="B884" t="s">
        <v>5822</v>
      </c>
      <c r="C884" t="s">
        <v>945</v>
      </c>
      <c r="D884" t="s">
        <v>5822</v>
      </c>
      <c r="E884" t="s">
        <v>5823</v>
      </c>
      <c r="F884" t="s">
        <v>108</v>
      </c>
      <c r="H884" t="s">
        <v>5824</v>
      </c>
      <c r="I884" t="s">
        <v>203</v>
      </c>
      <c r="J884" t="s">
        <v>111</v>
      </c>
      <c r="K884" t="str">
        <f>"85298"</f>
        <v>85298</v>
      </c>
      <c r="L884" t="s">
        <v>3318</v>
      </c>
      <c r="M884" t="s">
        <v>5824</v>
      </c>
      <c r="N884" t="s">
        <v>203</v>
      </c>
      <c r="O884" t="s">
        <v>111</v>
      </c>
      <c r="P884" t="str">
        <f>"85298"</f>
        <v>85298</v>
      </c>
      <c r="Q884" t="s">
        <v>113</v>
      </c>
      <c r="R884" t="str">
        <f>"313-20-485"</f>
        <v>313-20-485</v>
      </c>
      <c r="S884" t="s">
        <v>5354</v>
      </c>
      <c r="T884" t="s">
        <v>271</v>
      </c>
      <c r="U884">
        <v>1759</v>
      </c>
      <c r="W884">
        <v>2</v>
      </c>
      <c r="X884">
        <v>2016</v>
      </c>
      <c r="Z884">
        <v>1</v>
      </c>
      <c r="AC884" t="s">
        <v>115</v>
      </c>
      <c r="AD884">
        <v>2</v>
      </c>
      <c r="AE884" t="s">
        <v>115</v>
      </c>
      <c r="AH884" t="s">
        <v>116</v>
      </c>
      <c r="AI884" s="1">
        <v>76621</v>
      </c>
      <c r="AJ884" s="2">
        <v>0.22</v>
      </c>
      <c r="AK884" s="1">
        <v>340976</v>
      </c>
      <c r="AL884" t="s">
        <v>117</v>
      </c>
      <c r="AM884" t="s">
        <v>191</v>
      </c>
      <c r="AN884">
        <v>5750</v>
      </c>
      <c r="AO884">
        <v>0.13</v>
      </c>
      <c r="AR884">
        <v>1</v>
      </c>
      <c r="AS884" s="1">
        <v>23530</v>
      </c>
      <c r="AT884" s="1">
        <v>4700</v>
      </c>
      <c r="AU884" s="1">
        <v>18830</v>
      </c>
      <c r="AV884">
        <v>80.03</v>
      </c>
      <c r="AX884" s="1">
        <v>1737.52</v>
      </c>
      <c r="AY884" t="s">
        <v>272</v>
      </c>
      <c r="AZ884" t="s">
        <v>273</v>
      </c>
      <c r="BA884" t="s">
        <v>274</v>
      </c>
      <c r="BE884" s="3">
        <v>42488</v>
      </c>
      <c r="BF884" s="1">
        <v>301092</v>
      </c>
      <c r="BG884" t="s">
        <v>275</v>
      </c>
      <c r="BH884" s="1">
        <v>171.17</v>
      </c>
      <c r="BI884" s="1">
        <v>264355</v>
      </c>
      <c r="BJ884" s="3">
        <v>42488</v>
      </c>
      <c r="BK884" t="s">
        <v>123</v>
      </c>
      <c r="BL884" t="str">
        <f>"2016.287208"</f>
        <v>2016.287208</v>
      </c>
      <c r="BM884" t="s">
        <v>651</v>
      </c>
      <c r="BO884" t="s">
        <v>5825</v>
      </c>
      <c r="BS884">
        <v>30</v>
      </c>
      <c r="BW884" t="str">
        <f>""</f>
        <v/>
      </c>
      <c r="CH884" t="str">
        <f>""</f>
        <v/>
      </c>
      <c r="CS884" t="str">
        <f>""</f>
        <v/>
      </c>
    </row>
    <row r="885" spans="1:97" x14ac:dyDescent="0.25">
      <c r="A885" t="s">
        <v>5826</v>
      </c>
      <c r="B885" t="s">
        <v>140</v>
      </c>
      <c r="C885" t="s">
        <v>894</v>
      </c>
      <c r="D885" t="s">
        <v>140</v>
      </c>
      <c r="E885" t="s">
        <v>5827</v>
      </c>
      <c r="F885" t="s">
        <v>108</v>
      </c>
      <c r="H885" t="s">
        <v>5828</v>
      </c>
      <c r="I885" t="s">
        <v>144</v>
      </c>
      <c r="J885" t="s">
        <v>111</v>
      </c>
      <c r="K885" t="str">
        <f>"85396"</f>
        <v>85396</v>
      </c>
      <c r="L885" t="s">
        <v>5429</v>
      </c>
      <c r="M885" t="s">
        <v>5828</v>
      </c>
      <c r="N885" t="s">
        <v>144</v>
      </c>
      <c r="O885" t="s">
        <v>111</v>
      </c>
      <c r="P885" t="str">
        <f>"85396-6892"</f>
        <v>85396-6892</v>
      </c>
      <c r="Q885" t="s">
        <v>113</v>
      </c>
      <c r="R885" t="str">
        <f>"502-34-229"</f>
        <v>502-34-229</v>
      </c>
      <c r="S885" t="s">
        <v>5829</v>
      </c>
      <c r="T885" t="s">
        <v>5830</v>
      </c>
      <c r="U885">
        <v>2351</v>
      </c>
      <c r="W885">
        <v>4</v>
      </c>
      <c r="X885">
        <v>2015</v>
      </c>
      <c r="Z885">
        <v>1</v>
      </c>
      <c r="AC885" t="s">
        <v>115</v>
      </c>
      <c r="AD885">
        <v>2</v>
      </c>
      <c r="AE885" t="s">
        <v>115</v>
      </c>
      <c r="AH885" t="s">
        <v>116</v>
      </c>
      <c r="AI885" s="1">
        <v>98454</v>
      </c>
      <c r="AJ885" s="2">
        <v>0.25</v>
      </c>
      <c r="AK885" s="1">
        <v>388454</v>
      </c>
      <c r="AL885" t="s">
        <v>117</v>
      </c>
      <c r="AM885" t="s">
        <v>376</v>
      </c>
      <c r="AN885">
        <v>50937</v>
      </c>
      <c r="AO885">
        <v>1.17</v>
      </c>
      <c r="AR885">
        <v>1</v>
      </c>
      <c r="AS885" s="1">
        <v>28960</v>
      </c>
      <c r="AT885" s="1">
        <v>5790</v>
      </c>
      <c r="AU885" s="1">
        <v>23170</v>
      </c>
      <c r="AV885">
        <v>80.010000000000005</v>
      </c>
      <c r="AX885" s="1">
        <v>3015.46</v>
      </c>
      <c r="AY885" t="s">
        <v>217</v>
      </c>
      <c r="AZ885" t="s">
        <v>217</v>
      </c>
      <c r="BA885" t="s">
        <v>218</v>
      </c>
      <c r="BE885" s="3">
        <v>42356</v>
      </c>
      <c r="BF885" s="1">
        <v>290000</v>
      </c>
      <c r="BG885" t="s">
        <v>5831</v>
      </c>
      <c r="BH885" s="1">
        <v>123.35</v>
      </c>
      <c r="BI885" s="1">
        <v>290000</v>
      </c>
      <c r="BJ885" s="3">
        <v>42356</v>
      </c>
      <c r="BK885" t="s">
        <v>123</v>
      </c>
      <c r="BL885" t="str">
        <f>"2015.895568"</f>
        <v>2015.895568</v>
      </c>
      <c r="BM885" t="s">
        <v>5832</v>
      </c>
      <c r="BO885" t="s">
        <v>5833</v>
      </c>
      <c r="BS885">
        <v>30</v>
      </c>
      <c r="BW885" t="str">
        <f>""</f>
        <v/>
      </c>
      <c r="CH885" t="str">
        <f>""</f>
        <v/>
      </c>
      <c r="CS885" t="str">
        <f>""</f>
        <v/>
      </c>
    </row>
    <row r="886" spans="1:97" x14ac:dyDescent="0.25">
      <c r="B886" t="s">
        <v>5834</v>
      </c>
      <c r="E886" t="s">
        <v>465</v>
      </c>
      <c r="F886" t="s">
        <v>108</v>
      </c>
      <c r="H886" t="s">
        <v>5835</v>
      </c>
      <c r="I886" t="s">
        <v>110</v>
      </c>
      <c r="J886" t="s">
        <v>111</v>
      </c>
      <c r="K886" t="str">
        <f>"85225"</f>
        <v>85225</v>
      </c>
      <c r="L886" t="s">
        <v>2903</v>
      </c>
      <c r="M886" t="s">
        <v>5835</v>
      </c>
      <c r="N886" t="s">
        <v>110</v>
      </c>
      <c r="O886" t="s">
        <v>111</v>
      </c>
      <c r="P886" t="str">
        <f>"85225-3019"</f>
        <v>85225-3019</v>
      </c>
      <c r="Q886" t="s">
        <v>113</v>
      </c>
      <c r="R886" t="str">
        <f>"310-12-198"</f>
        <v>310-12-198</v>
      </c>
      <c r="S886" t="s">
        <v>2904</v>
      </c>
      <c r="T886" t="s">
        <v>2904</v>
      </c>
      <c r="U886">
        <v>1553</v>
      </c>
      <c r="W886">
        <v>3</v>
      </c>
      <c r="X886">
        <v>2015</v>
      </c>
      <c r="Z886">
        <v>1</v>
      </c>
      <c r="AC886" t="s">
        <v>115</v>
      </c>
      <c r="AD886">
        <v>2</v>
      </c>
      <c r="AE886" t="s">
        <v>115</v>
      </c>
      <c r="AH886" t="s">
        <v>116</v>
      </c>
      <c r="AI886" s="1">
        <v>56301</v>
      </c>
      <c r="AJ886" s="2">
        <v>0.17</v>
      </c>
      <c r="AK886" s="1">
        <v>337862</v>
      </c>
      <c r="AL886" t="s">
        <v>117</v>
      </c>
      <c r="AM886" t="s">
        <v>118</v>
      </c>
      <c r="AN886">
        <v>6875</v>
      </c>
      <c r="AO886">
        <v>0.16</v>
      </c>
      <c r="AR886">
        <v>1</v>
      </c>
      <c r="AS886" s="1">
        <v>24650</v>
      </c>
      <c r="AT886" s="1">
        <v>4930</v>
      </c>
      <c r="AU886" s="1">
        <v>19720</v>
      </c>
      <c r="AV886">
        <v>80</v>
      </c>
      <c r="AX886" s="1">
        <v>1808.6</v>
      </c>
      <c r="AY886" t="s">
        <v>2905</v>
      </c>
      <c r="AZ886" t="s">
        <v>2906</v>
      </c>
      <c r="BA886" t="s">
        <v>303</v>
      </c>
      <c r="BB886" s="3">
        <v>42766</v>
      </c>
      <c r="BD886" t="s">
        <v>240</v>
      </c>
      <c r="BE886" s="3">
        <v>42333</v>
      </c>
      <c r="BF886" s="1">
        <v>307509</v>
      </c>
      <c r="BG886" t="s">
        <v>233</v>
      </c>
      <c r="BH886" s="1">
        <v>198.01</v>
      </c>
      <c r="BI886" s="1">
        <v>281561</v>
      </c>
      <c r="BJ886" s="3">
        <v>42766</v>
      </c>
      <c r="BK886" t="s">
        <v>123</v>
      </c>
      <c r="BL886" t="str">
        <f>"2017.77646"</f>
        <v>2017.77646</v>
      </c>
      <c r="BM886" t="s">
        <v>131</v>
      </c>
      <c r="BN886" t="s">
        <v>132</v>
      </c>
      <c r="BO886" t="s">
        <v>5836</v>
      </c>
      <c r="BS886">
        <v>30</v>
      </c>
      <c r="BT886" s="1">
        <v>281561</v>
      </c>
      <c r="BU886" s="3">
        <v>42766</v>
      </c>
      <c r="BV886" t="s">
        <v>123</v>
      </c>
      <c r="BW886" t="str">
        <f>"2017.77646"</f>
        <v>2017.77646</v>
      </c>
      <c r="BX886" t="s">
        <v>131</v>
      </c>
      <c r="BY886" t="s">
        <v>132</v>
      </c>
      <c r="BZ886" t="s">
        <v>5836</v>
      </c>
      <c r="CD886">
        <v>30</v>
      </c>
      <c r="CH886" t="str">
        <f>""</f>
        <v/>
      </c>
      <c r="CS886" t="str">
        <f>""</f>
        <v/>
      </c>
    </row>
    <row r="887" spans="1:97" x14ac:dyDescent="0.25">
      <c r="A887" t="s">
        <v>4854</v>
      </c>
      <c r="B887" t="s">
        <v>5837</v>
      </c>
      <c r="E887" t="s">
        <v>5838</v>
      </c>
      <c r="F887" t="s">
        <v>108</v>
      </c>
      <c r="H887" t="s">
        <v>5839</v>
      </c>
      <c r="I887" t="s">
        <v>390</v>
      </c>
      <c r="J887" t="s">
        <v>111</v>
      </c>
      <c r="K887" t="str">
        <f>"85085"</f>
        <v>85085</v>
      </c>
      <c r="L887" t="s">
        <v>3094</v>
      </c>
      <c r="M887" t="s">
        <v>5839</v>
      </c>
      <c r="N887" t="s">
        <v>390</v>
      </c>
      <c r="O887" t="s">
        <v>111</v>
      </c>
      <c r="P887" t="str">
        <f>"85085-6729"</f>
        <v>85085-6729</v>
      </c>
      <c r="Q887" t="s">
        <v>113</v>
      </c>
      <c r="R887" t="str">
        <f>"204-25-820"</f>
        <v>204-25-820</v>
      </c>
      <c r="S887" t="s">
        <v>5840</v>
      </c>
      <c r="T887" t="s">
        <v>5841</v>
      </c>
      <c r="U887">
        <v>2557</v>
      </c>
      <c r="W887">
        <v>3</v>
      </c>
      <c r="X887">
        <v>2016</v>
      </c>
      <c r="Z887">
        <v>2</v>
      </c>
      <c r="AC887" t="s">
        <v>115</v>
      </c>
      <c r="AD887">
        <v>3</v>
      </c>
      <c r="AE887" t="s">
        <v>115</v>
      </c>
      <c r="AH887" t="s">
        <v>116</v>
      </c>
      <c r="AI887" s="1">
        <v>10361</v>
      </c>
      <c r="AJ887" s="2">
        <v>0.02</v>
      </c>
      <c r="AK887" s="1">
        <v>448456</v>
      </c>
      <c r="AL887" t="s">
        <v>117</v>
      </c>
      <c r="AM887" t="s">
        <v>1315</v>
      </c>
      <c r="AN887">
        <v>6350</v>
      </c>
      <c r="AO887">
        <v>0.15</v>
      </c>
      <c r="AS887" s="1">
        <v>34170</v>
      </c>
      <c r="AT887" s="1">
        <v>6830</v>
      </c>
      <c r="AU887" s="1">
        <v>27340</v>
      </c>
      <c r="AV887">
        <v>80.010000000000005</v>
      </c>
      <c r="AX887" s="1">
        <v>2730.44</v>
      </c>
      <c r="AY887" t="s">
        <v>1461</v>
      </c>
      <c r="AZ887" t="s">
        <v>1461</v>
      </c>
      <c r="BA887" t="s">
        <v>1462</v>
      </c>
      <c r="BB887" s="3">
        <v>43444</v>
      </c>
      <c r="BC887" s="1">
        <v>429</v>
      </c>
      <c r="BD887" t="s">
        <v>291</v>
      </c>
      <c r="BE887" s="3">
        <v>42471</v>
      </c>
      <c r="BF887" s="1">
        <v>405971</v>
      </c>
      <c r="BG887" t="s">
        <v>446</v>
      </c>
      <c r="BI887" s="1">
        <v>438095</v>
      </c>
      <c r="BJ887" s="3">
        <v>43444</v>
      </c>
      <c r="BK887" t="s">
        <v>123</v>
      </c>
      <c r="BL887" t="str">
        <f>"2018.905165"</f>
        <v>2018.905165</v>
      </c>
      <c r="BM887" t="s">
        <v>5842</v>
      </c>
      <c r="BN887" t="s">
        <v>5843</v>
      </c>
      <c r="BO887" t="s">
        <v>5844</v>
      </c>
      <c r="BR887" t="s">
        <v>139</v>
      </c>
      <c r="BW887" t="str">
        <f>""</f>
        <v/>
      </c>
      <c r="CH887" t="str">
        <f>""</f>
        <v/>
      </c>
      <c r="CS887" t="str">
        <f>""</f>
        <v/>
      </c>
    </row>
    <row r="888" spans="1:97" x14ac:dyDescent="0.25">
      <c r="A888" t="s">
        <v>5845</v>
      </c>
      <c r="B888" t="s">
        <v>5846</v>
      </c>
      <c r="C888" t="s">
        <v>5847</v>
      </c>
      <c r="D888" t="s">
        <v>5846</v>
      </c>
      <c r="E888" t="s">
        <v>5848</v>
      </c>
      <c r="F888" t="s">
        <v>108</v>
      </c>
      <c r="H888" t="s">
        <v>5849</v>
      </c>
      <c r="I888" t="s">
        <v>110</v>
      </c>
      <c r="J888" t="s">
        <v>111</v>
      </c>
      <c r="K888" t="str">
        <f>"85225"</f>
        <v>85225</v>
      </c>
      <c r="L888" t="s">
        <v>2903</v>
      </c>
      <c r="M888" t="s">
        <v>5849</v>
      </c>
      <c r="N888" t="s">
        <v>110</v>
      </c>
      <c r="O888" t="s">
        <v>111</v>
      </c>
      <c r="P888" t="str">
        <f>"85225-4264"</f>
        <v>85225-4264</v>
      </c>
      <c r="Q888" t="s">
        <v>113</v>
      </c>
      <c r="R888" t="str">
        <f>"310-12-250"</f>
        <v>310-12-250</v>
      </c>
      <c r="S888" t="s">
        <v>2904</v>
      </c>
      <c r="T888" t="s">
        <v>2904</v>
      </c>
      <c r="U888">
        <v>2575</v>
      </c>
      <c r="W888">
        <v>3</v>
      </c>
      <c r="X888">
        <v>2016</v>
      </c>
      <c r="Z888">
        <v>2</v>
      </c>
      <c r="AC888" t="s">
        <v>115</v>
      </c>
      <c r="AD888">
        <v>2</v>
      </c>
      <c r="AE888" t="s">
        <v>115</v>
      </c>
      <c r="AH888" t="s">
        <v>116</v>
      </c>
      <c r="AI888" s="1">
        <v>70545</v>
      </c>
      <c r="AJ888" s="2">
        <v>0.19</v>
      </c>
      <c r="AK888" s="1">
        <v>379281</v>
      </c>
      <c r="AL888" t="s">
        <v>117</v>
      </c>
      <c r="AM888" t="s">
        <v>118</v>
      </c>
      <c r="AN888">
        <v>2983</v>
      </c>
      <c r="AO888">
        <v>0.68</v>
      </c>
      <c r="AR888">
        <v>1</v>
      </c>
      <c r="AS888" s="1">
        <v>26630</v>
      </c>
      <c r="AT888" s="1">
        <v>5320</v>
      </c>
      <c r="AU888" s="1">
        <v>21310</v>
      </c>
      <c r="AV888">
        <v>80.02</v>
      </c>
      <c r="AX888" s="1">
        <v>2014.72</v>
      </c>
      <c r="AY888" t="s">
        <v>2905</v>
      </c>
      <c r="AZ888" t="s">
        <v>2906</v>
      </c>
      <c r="BA888" t="s">
        <v>303</v>
      </c>
      <c r="BE888" s="3">
        <v>42536</v>
      </c>
      <c r="BF888" s="1">
        <v>301500</v>
      </c>
      <c r="BG888" t="s">
        <v>233</v>
      </c>
      <c r="BH888" s="1">
        <v>117.09</v>
      </c>
      <c r="BI888" s="1">
        <v>308736</v>
      </c>
      <c r="BJ888" s="3">
        <v>42536</v>
      </c>
      <c r="BK888" t="s">
        <v>123</v>
      </c>
      <c r="BL888" t="str">
        <f>"2016.415080"</f>
        <v>2016.415080</v>
      </c>
      <c r="BM888" t="s">
        <v>234</v>
      </c>
      <c r="BO888" t="s">
        <v>5850</v>
      </c>
      <c r="BS888">
        <v>30</v>
      </c>
      <c r="BW888" t="str">
        <f>""</f>
        <v/>
      </c>
      <c r="CH888" t="str">
        <f>""</f>
        <v/>
      </c>
      <c r="CS888" t="str">
        <f>""</f>
        <v/>
      </c>
    </row>
    <row r="889" spans="1:97" x14ac:dyDescent="0.25">
      <c r="A889" t="s">
        <v>5851</v>
      </c>
      <c r="B889" t="s">
        <v>5852</v>
      </c>
      <c r="C889" t="s">
        <v>5853</v>
      </c>
      <c r="D889" t="s">
        <v>5852</v>
      </c>
      <c r="E889" t="s">
        <v>5854</v>
      </c>
      <c r="F889" t="s">
        <v>108</v>
      </c>
      <c r="H889" t="s">
        <v>5855</v>
      </c>
      <c r="I889" t="s">
        <v>5387</v>
      </c>
      <c r="J889" t="s">
        <v>111</v>
      </c>
      <c r="K889" t="str">
        <f>"85283"</f>
        <v>85283</v>
      </c>
      <c r="L889" t="s">
        <v>3982</v>
      </c>
      <c r="M889" t="s">
        <v>5855</v>
      </c>
      <c r="N889" t="s">
        <v>5387</v>
      </c>
      <c r="O889" t="s">
        <v>111</v>
      </c>
      <c r="P889" t="str">
        <f>"85283-5010"</f>
        <v>85283-5010</v>
      </c>
      <c r="Q889" t="s">
        <v>113</v>
      </c>
      <c r="R889" t="str">
        <f>"301-92-539"</f>
        <v>301-92-539</v>
      </c>
      <c r="S889" t="s">
        <v>5856</v>
      </c>
      <c r="T889" t="s">
        <v>5389</v>
      </c>
      <c r="U889">
        <v>1730</v>
      </c>
      <c r="V889">
        <v>0</v>
      </c>
      <c r="W889">
        <v>3</v>
      </c>
      <c r="X889">
        <v>1981</v>
      </c>
      <c r="Z889">
        <v>1</v>
      </c>
      <c r="AB889">
        <v>0</v>
      </c>
      <c r="AC889" t="s">
        <v>115</v>
      </c>
      <c r="AD889">
        <v>2</v>
      </c>
      <c r="AE889" t="s">
        <v>115</v>
      </c>
      <c r="AF889">
        <v>0</v>
      </c>
      <c r="AG889">
        <v>0</v>
      </c>
      <c r="AH889" t="s">
        <v>116</v>
      </c>
      <c r="AI889" s="1">
        <v>92705</v>
      </c>
      <c r="AJ889" s="2">
        <v>0.28000000000000003</v>
      </c>
      <c r="AK889" s="1">
        <v>334800</v>
      </c>
      <c r="AL889" t="s">
        <v>117</v>
      </c>
      <c r="AM889" t="s">
        <v>393</v>
      </c>
      <c r="AN889">
        <v>11482</v>
      </c>
      <c r="AO889">
        <v>0.26</v>
      </c>
      <c r="AP889">
        <v>1</v>
      </c>
      <c r="AR889">
        <v>1</v>
      </c>
      <c r="AS889" s="1">
        <v>23810</v>
      </c>
      <c r="AT889" s="1">
        <v>4760</v>
      </c>
      <c r="AU889" s="1">
        <v>19050</v>
      </c>
      <c r="AV889">
        <v>80.010000000000005</v>
      </c>
      <c r="AX889" s="1">
        <v>2064.14</v>
      </c>
      <c r="AY889" t="s">
        <v>5857</v>
      </c>
      <c r="AZ889" t="s">
        <v>5391</v>
      </c>
      <c r="BA889" t="s">
        <v>5392</v>
      </c>
      <c r="BE889" s="3">
        <v>41828</v>
      </c>
      <c r="BF889" s="1">
        <v>237000</v>
      </c>
      <c r="BG889" t="s">
        <v>5858</v>
      </c>
      <c r="BH889" s="1">
        <v>136.99</v>
      </c>
      <c r="BI889" s="1">
        <v>242095</v>
      </c>
      <c r="BJ889" s="3">
        <v>41828</v>
      </c>
      <c r="BK889" t="s">
        <v>123</v>
      </c>
      <c r="BL889" t="str">
        <f>"2014.443714"</f>
        <v>2014.443714</v>
      </c>
      <c r="BM889" t="s">
        <v>1038</v>
      </c>
      <c r="BO889" t="s">
        <v>5859</v>
      </c>
      <c r="BS889">
        <v>30</v>
      </c>
      <c r="BW889" t="str">
        <f>""</f>
        <v/>
      </c>
      <c r="CH889" t="str">
        <f>""</f>
        <v/>
      </c>
      <c r="CS889" t="str">
        <f>""</f>
        <v/>
      </c>
    </row>
    <row r="890" spans="1:97" x14ac:dyDescent="0.25">
      <c r="A890" t="s">
        <v>5860</v>
      </c>
      <c r="B890" t="s">
        <v>4652</v>
      </c>
      <c r="C890" t="s">
        <v>1704</v>
      </c>
      <c r="D890" t="s">
        <v>4652</v>
      </c>
      <c r="E890" t="s">
        <v>5861</v>
      </c>
      <c r="F890" t="s">
        <v>282</v>
      </c>
      <c r="H890" t="s">
        <v>5862</v>
      </c>
      <c r="I890" t="s">
        <v>5863</v>
      </c>
      <c r="J890" t="s">
        <v>111</v>
      </c>
      <c r="K890" t="str">
        <f>"85375"</f>
        <v>85375</v>
      </c>
      <c r="L890" t="s">
        <v>5416</v>
      </c>
      <c r="M890" t="s">
        <v>5864</v>
      </c>
      <c r="N890" t="s">
        <v>5863</v>
      </c>
      <c r="O890" t="s">
        <v>111</v>
      </c>
      <c r="P890" t="str">
        <f>"85375-2547"</f>
        <v>85375-2547</v>
      </c>
      <c r="Q890" t="s">
        <v>113</v>
      </c>
      <c r="R890" t="str">
        <f>"232-05-679"</f>
        <v>232-05-679</v>
      </c>
      <c r="S890" t="s">
        <v>5865</v>
      </c>
      <c r="U890">
        <v>2217</v>
      </c>
      <c r="V890">
        <v>0</v>
      </c>
      <c r="W890">
        <v>2</v>
      </c>
      <c r="X890">
        <v>1980</v>
      </c>
      <c r="Z890">
        <v>1</v>
      </c>
      <c r="AB890">
        <v>0</v>
      </c>
      <c r="AC890" t="s">
        <v>115</v>
      </c>
      <c r="AD890">
        <v>2</v>
      </c>
      <c r="AE890" t="s">
        <v>115</v>
      </c>
      <c r="AF890">
        <v>0</v>
      </c>
      <c r="AG890">
        <v>0</v>
      </c>
      <c r="AH890" t="s">
        <v>116</v>
      </c>
      <c r="AI890" s="1">
        <v>47754</v>
      </c>
      <c r="AJ890" s="2">
        <v>0.12</v>
      </c>
      <c r="AK890" s="1">
        <v>393021</v>
      </c>
      <c r="AL890" t="s">
        <v>117</v>
      </c>
      <c r="AM890" t="s">
        <v>393</v>
      </c>
      <c r="AN890">
        <v>12700</v>
      </c>
      <c r="AO890">
        <v>0.28999999999999998</v>
      </c>
      <c r="AP890">
        <v>1</v>
      </c>
      <c r="AR890">
        <v>1</v>
      </c>
      <c r="AS890" s="1">
        <v>21200</v>
      </c>
      <c r="AT890" s="1">
        <v>4240</v>
      </c>
      <c r="AU890" s="1">
        <v>16960</v>
      </c>
      <c r="AV890">
        <v>80</v>
      </c>
      <c r="AX890" s="1">
        <v>1793.72</v>
      </c>
      <c r="AY890" t="s">
        <v>320</v>
      </c>
      <c r="AZ890" t="s">
        <v>320</v>
      </c>
      <c r="BA890" t="s">
        <v>321</v>
      </c>
      <c r="BE890" s="3">
        <v>42494</v>
      </c>
      <c r="BF890" s="1">
        <v>166000</v>
      </c>
      <c r="BG890" t="s">
        <v>5866</v>
      </c>
      <c r="BH890" s="1">
        <v>74.88</v>
      </c>
      <c r="BI890" s="1">
        <v>345267</v>
      </c>
      <c r="BJ890" s="3">
        <v>42853</v>
      </c>
      <c r="BK890" t="s">
        <v>123</v>
      </c>
      <c r="BL890" t="str">
        <f>"2017.310912"</f>
        <v>2017.310912</v>
      </c>
      <c r="BM890" t="s">
        <v>5867</v>
      </c>
      <c r="BO890" t="s">
        <v>5868</v>
      </c>
      <c r="BS890">
        <v>30</v>
      </c>
      <c r="BW890" t="str">
        <f>""</f>
        <v/>
      </c>
      <c r="CH890" t="str">
        <f>""</f>
        <v/>
      </c>
      <c r="CS890" t="str">
        <f>""</f>
        <v/>
      </c>
    </row>
    <row r="891" spans="1:97" x14ac:dyDescent="0.25">
      <c r="A891" t="s">
        <v>1009</v>
      </c>
      <c r="B891" t="s">
        <v>5869</v>
      </c>
      <c r="C891" t="s">
        <v>4539</v>
      </c>
      <c r="D891" t="s">
        <v>5869</v>
      </c>
      <c r="E891" t="s">
        <v>5870</v>
      </c>
      <c r="F891" t="s">
        <v>108</v>
      </c>
      <c r="H891" t="s">
        <v>5871</v>
      </c>
      <c r="I891" t="s">
        <v>203</v>
      </c>
      <c r="J891" t="s">
        <v>111</v>
      </c>
      <c r="K891" t="str">
        <f>"85298"</f>
        <v>85298</v>
      </c>
      <c r="L891" t="s">
        <v>5872</v>
      </c>
      <c r="M891" t="s">
        <v>5871</v>
      </c>
      <c r="N891" t="s">
        <v>203</v>
      </c>
      <c r="O891" t="s">
        <v>111</v>
      </c>
      <c r="P891" t="str">
        <f>"85298-9098"</f>
        <v>85298-9098</v>
      </c>
      <c r="Q891" t="s">
        <v>113</v>
      </c>
      <c r="R891" t="str">
        <f>"313-07-340"</f>
        <v>313-07-340</v>
      </c>
      <c r="S891" t="s">
        <v>5873</v>
      </c>
      <c r="T891" t="s">
        <v>5874</v>
      </c>
      <c r="U891">
        <v>1750</v>
      </c>
      <c r="V891">
        <v>0</v>
      </c>
      <c r="W891">
        <v>3</v>
      </c>
      <c r="X891">
        <v>2006</v>
      </c>
      <c r="Z891">
        <v>1</v>
      </c>
      <c r="AB891">
        <v>0</v>
      </c>
      <c r="AC891" t="s">
        <v>115</v>
      </c>
      <c r="AD891">
        <v>2</v>
      </c>
      <c r="AE891" t="s">
        <v>115</v>
      </c>
      <c r="AF891">
        <v>0</v>
      </c>
      <c r="AG891">
        <v>0</v>
      </c>
      <c r="AH891" t="s">
        <v>116</v>
      </c>
      <c r="AI891" s="1">
        <v>83397</v>
      </c>
      <c r="AJ891" s="2">
        <v>0.25</v>
      </c>
      <c r="AK891" s="1">
        <v>330397</v>
      </c>
      <c r="AL891" t="s">
        <v>117</v>
      </c>
      <c r="AM891" t="s">
        <v>191</v>
      </c>
      <c r="AN891">
        <v>7441</v>
      </c>
      <c r="AO891">
        <v>0.17</v>
      </c>
      <c r="AR891">
        <v>1</v>
      </c>
      <c r="AS891" s="1">
        <v>22680</v>
      </c>
      <c r="AT891" s="1">
        <v>4530</v>
      </c>
      <c r="AU891" s="1">
        <v>18150</v>
      </c>
      <c r="AV891">
        <v>80.03</v>
      </c>
      <c r="AX891" s="1">
        <v>2101.1</v>
      </c>
      <c r="AY891" t="s">
        <v>5875</v>
      </c>
      <c r="AZ891" t="s">
        <v>1134</v>
      </c>
      <c r="BA891" t="s">
        <v>1134</v>
      </c>
      <c r="BE891" s="3">
        <v>42086</v>
      </c>
      <c r="BF891" s="1">
        <v>247000</v>
      </c>
      <c r="BG891" t="s">
        <v>5876</v>
      </c>
      <c r="BH891" s="1">
        <v>141.13999999999999</v>
      </c>
      <c r="BI891" s="1">
        <v>247000</v>
      </c>
      <c r="BJ891" s="3">
        <v>42086</v>
      </c>
      <c r="BK891" t="s">
        <v>123</v>
      </c>
      <c r="BL891" t="str">
        <f>"2015.190879"</f>
        <v>2015.190879</v>
      </c>
      <c r="BM891" t="s">
        <v>544</v>
      </c>
      <c r="BO891" t="s">
        <v>5877</v>
      </c>
      <c r="BS891">
        <v>30</v>
      </c>
      <c r="BW891" t="str">
        <f>""</f>
        <v/>
      </c>
      <c r="CH891" t="str">
        <f>""</f>
        <v/>
      </c>
      <c r="CS891" t="str">
        <f>""</f>
        <v/>
      </c>
    </row>
    <row r="892" spans="1:97" x14ac:dyDescent="0.25">
      <c r="A892" t="s">
        <v>5560</v>
      </c>
      <c r="B892" t="s">
        <v>5878</v>
      </c>
      <c r="C892" t="s">
        <v>4992</v>
      </c>
      <c r="D892" t="s">
        <v>5878</v>
      </c>
      <c r="E892" t="s">
        <v>5879</v>
      </c>
      <c r="F892" t="s">
        <v>108</v>
      </c>
      <c r="H892" t="s">
        <v>5880</v>
      </c>
      <c r="I892" t="s">
        <v>188</v>
      </c>
      <c r="J892" t="s">
        <v>111</v>
      </c>
      <c r="K892" t="str">
        <f>"85142"</f>
        <v>85142</v>
      </c>
      <c r="L892" t="s">
        <v>625</v>
      </c>
      <c r="M892" t="s">
        <v>5880</v>
      </c>
      <c r="N892" t="s">
        <v>188</v>
      </c>
      <c r="O892" t="s">
        <v>111</v>
      </c>
      <c r="P892" t="str">
        <f>"85142-5984"</f>
        <v>85142-5984</v>
      </c>
      <c r="Q892" t="s">
        <v>113</v>
      </c>
      <c r="R892" t="str">
        <f>"304-64-764"</f>
        <v>304-64-764</v>
      </c>
      <c r="S892" t="s">
        <v>5881</v>
      </c>
      <c r="T892" t="s">
        <v>5882</v>
      </c>
      <c r="U892">
        <v>3549</v>
      </c>
      <c r="V892">
        <v>0</v>
      </c>
      <c r="W892">
        <v>5</v>
      </c>
      <c r="X892">
        <v>2014</v>
      </c>
      <c r="Z892">
        <v>2</v>
      </c>
      <c r="AB892">
        <v>0</v>
      </c>
      <c r="AC892" t="s">
        <v>115</v>
      </c>
      <c r="AD892">
        <v>3</v>
      </c>
      <c r="AE892" t="s">
        <v>115</v>
      </c>
      <c r="AF892">
        <v>0</v>
      </c>
      <c r="AG892">
        <v>0</v>
      </c>
      <c r="AH892" t="s">
        <v>116</v>
      </c>
      <c r="AI892" s="1">
        <v>112470</v>
      </c>
      <c r="AJ892" s="2">
        <v>0.25</v>
      </c>
      <c r="AK892" s="1">
        <v>441406</v>
      </c>
      <c r="AL892" t="s">
        <v>117</v>
      </c>
      <c r="AM892" t="s">
        <v>393</v>
      </c>
      <c r="AN892">
        <v>8750</v>
      </c>
      <c r="AO892">
        <v>0.2</v>
      </c>
      <c r="AR892">
        <v>1</v>
      </c>
      <c r="AS892" s="1">
        <v>29800</v>
      </c>
      <c r="AT892" s="1">
        <v>5960</v>
      </c>
      <c r="AU892" s="1">
        <v>23840</v>
      </c>
      <c r="AV892">
        <v>80</v>
      </c>
      <c r="AX892" s="1">
        <v>2650.86</v>
      </c>
      <c r="AY892" t="s">
        <v>560</v>
      </c>
      <c r="AZ892" t="s">
        <v>561</v>
      </c>
      <c r="BA892" t="s">
        <v>194</v>
      </c>
      <c r="BE892" s="3">
        <v>41897</v>
      </c>
      <c r="BF892" s="1">
        <v>324490</v>
      </c>
      <c r="BG892" t="s">
        <v>158</v>
      </c>
      <c r="BH892" s="1">
        <v>91.43</v>
      </c>
      <c r="BI892" s="1">
        <v>328936</v>
      </c>
      <c r="BJ892" s="3">
        <v>42612</v>
      </c>
      <c r="BK892" t="s">
        <v>123</v>
      </c>
      <c r="BL892" t="str">
        <f>"2016.623043"</f>
        <v>2016.623043</v>
      </c>
      <c r="BM892" t="s">
        <v>248</v>
      </c>
      <c r="BO892" t="s">
        <v>5883</v>
      </c>
      <c r="BS892">
        <v>30</v>
      </c>
      <c r="BW892" t="str">
        <f>""</f>
        <v/>
      </c>
      <c r="CH892" t="str">
        <f>""</f>
        <v/>
      </c>
      <c r="CS892" t="str">
        <f>""</f>
        <v/>
      </c>
    </row>
    <row r="893" spans="1:97" x14ac:dyDescent="0.25">
      <c r="A893" t="s">
        <v>603</v>
      </c>
      <c r="B893" t="s">
        <v>5884</v>
      </c>
      <c r="C893" t="s">
        <v>1995</v>
      </c>
      <c r="D893" t="s">
        <v>5884</v>
      </c>
      <c r="E893" t="s">
        <v>5885</v>
      </c>
      <c r="F893" t="s">
        <v>108</v>
      </c>
      <c r="H893" t="s">
        <v>5886</v>
      </c>
      <c r="I893" t="s">
        <v>5863</v>
      </c>
      <c r="J893" t="s">
        <v>111</v>
      </c>
      <c r="K893" t="str">
        <f>"85375"</f>
        <v>85375</v>
      </c>
      <c r="L893" t="s">
        <v>4565</v>
      </c>
      <c r="M893" t="s">
        <v>5886</v>
      </c>
      <c r="N893" t="s">
        <v>5863</v>
      </c>
      <c r="O893" t="s">
        <v>111</v>
      </c>
      <c r="P893" t="str">
        <f>"85375-6534"</f>
        <v>85375-6534</v>
      </c>
      <c r="Q893" t="s">
        <v>113</v>
      </c>
      <c r="R893" t="str">
        <f>"232-20-950"</f>
        <v>232-20-950</v>
      </c>
      <c r="S893" t="s">
        <v>5887</v>
      </c>
      <c r="U893">
        <v>2910</v>
      </c>
      <c r="V893">
        <v>0</v>
      </c>
      <c r="W893">
        <v>4</v>
      </c>
      <c r="X893">
        <v>1994</v>
      </c>
      <c r="Z893">
        <v>1</v>
      </c>
      <c r="AB893">
        <v>0</v>
      </c>
      <c r="AC893" t="s">
        <v>115</v>
      </c>
      <c r="AD893">
        <v>3</v>
      </c>
      <c r="AE893" t="s">
        <v>115</v>
      </c>
      <c r="AF893">
        <v>0</v>
      </c>
      <c r="AG893">
        <v>0</v>
      </c>
      <c r="AH893" t="s">
        <v>116</v>
      </c>
      <c r="AI893" s="1">
        <v>186465</v>
      </c>
      <c r="AJ893" s="2">
        <v>0.38</v>
      </c>
      <c r="AK893" s="1">
        <v>485545</v>
      </c>
      <c r="AL893" t="s">
        <v>117</v>
      </c>
      <c r="AM893" t="s">
        <v>393</v>
      </c>
      <c r="AN893">
        <v>11300</v>
      </c>
      <c r="AO893">
        <v>0.26</v>
      </c>
      <c r="AP893">
        <v>1</v>
      </c>
      <c r="AR893">
        <v>1</v>
      </c>
      <c r="AS893" s="1">
        <v>34910</v>
      </c>
      <c r="AT893" s="1">
        <v>6980</v>
      </c>
      <c r="AU893" s="1">
        <v>27930</v>
      </c>
      <c r="AV893">
        <v>80.010000000000005</v>
      </c>
      <c r="AX893" s="1">
        <v>2840.08</v>
      </c>
      <c r="AY893" t="s">
        <v>320</v>
      </c>
      <c r="AZ893" t="s">
        <v>320</v>
      </c>
      <c r="BA893" t="s">
        <v>321</v>
      </c>
      <c r="BE893" s="3">
        <v>42447</v>
      </c>
      <c r="BF893" s="1">
        <v>439000</v>
      </c>
      <c r="BG893" t="s">
        <v>5888</v>
      </c>
      <c r="BH893" s="1">
        <v>150.86000000000001</v>
      </c>
      <c r="BI893" s="1">
        <v>299080</v>
      </c>
      <c r="BJ893" s="3">
        <v>42447</v>
      </c>
      <c r="BK893" t="s">
        <v>123</v>
      </c>
      <c r="BL893" t="str">
        <f>"2016.176930"</f>
        <v>2016.176930</v>
      </c>
      <c r="BM893" t="s">
        <v>724</v>
      </c>
      <c r="BO893" t="s">
        <v>5889</v>
      </c>
      <c r="BS893">
        <v>30</v>
      </c>
      <c r="BW893" t="str">
        <f>""</f>
        <v/>
      </c>
      <c r="CH893" t="str">
        <f>""</f>
        <v/>
      </c>
      <c r="CS893" t="str">
        <f>""</f>
        <v/>
      </c>
    </row>
    <row r="894" spans="1:97" x14ac:dyDescent="0.25">
      <c r="A894" t="s">
        <v>325</v>
      </c>
      <c r="B894" t="s">
        <v>5890</v>
      </c>
      <c r="E894" t="s">
        <v>5891</v>
      </c>
      <c r="F894" t="s">
        <v>108</v>
      </c>
      <c r="H894" t="s">
        <v>5892</v>
      </c>
      <c r="I894" t="s">
        <v>188</v>
      </c>
      <c r="J894" t="s">
        <v>111</v>
      </c>
      <c r="K894" t="str">
        <f>"85142"</f>
        <v>85142</v>
      </c>
      <c r="L894" t="s">
        <v>5893</v>
      </c>
      <c r="M894" t="s">
        <v>5892</v>
      </c>
      <c r="N894" t="s">
        <v>188</v>
      </c>
      <c r="O894" t="s">
        <v>111</v>
      </c>
      <c r="P894" t="str">
        <f>"85142-4859"</f>
        <v>85142-4859</v>
      </c>
      <c r="Q894" t="s">
        <v>113</v>
      </c>
      <c r="R894" t="str">
        <f>"314-04-771"</f>
        <v>314-04-771</v>
      </c>
      <c r="S894" t="s">
        <v>5894</v>
      </c>
      <c r="T894" t="s">
        <v>5894</v>
      </c>
      <c r="U894">
        <v>2213</v>
      </c>
      <c r="V894">
        <v>0</v>
      </c>
      <c r="W894">
        <v>4</v>
      </c>
      <c r="X894">
        <v>2014</v>
      </c>
      <c r="Z894">
        <v>1</v>
      </c>
      <c r="AB894">
        <v>0</v>
      </c>
      <c r="AC894" t="s">
        <v>115</v>
      </c>
      <c r="AD894">
        <v>2</v>
      </c>
      <c r="AE894" t="s">
        <v>115</v>
      </c>
      <c r="AF894">
        <v>0</v>
      </c>
      <c r="AG894">
        <v>0</v>
      </c>
      <c r="AH894" t="s">
        <v>116</v>
      </c>
      <c r="AI894" s="1">
        <v>118337</v>
      </c>
      <c r="AJ894" s="2">
        <v>0.34</v>
      </c>
      <c r="AK894" s="1">
        <v>349833</v>
      </c>
      <c r="AL894" t="s">
        <v>117</v>
      </c>
      <c r="AM894" t="s">
        <v>191</v>
      </c>
      <c r="AN894">
        <v>6850</v>
      </c>
      <c r="AO894">
        <v>0.16</v>
      </c>
      <c r="AR894">
        <v>1</v>
      </c>
      <c r="AS894" s="1">
        <v>24550</v>
      </c>
      <c r="AT894" s="1">
        <v>4910</v>
      </c>
      <c r="AU894" s="1">
        <v>19640</v>
      </c>
      <c r="AV894">
        <v>80</v>
      </c>
      <c r="AX894" s="1">
        <v>2150.6</v>
      </c>
      <c r="AY894" t="s">
        <v>5895</v>
      </c>
      <c r="AZ894" t="s">
        <v>561</v>
      </c>
      <c r="BA894" t="s">
        <v>194</v>
      </c>
      <c r="BE894" s="3">
        <v>41992</v>
      </c>
      <c r="BF894" s="1">
        <v>226624</v>
      </c>
      <c r="BG894" t="s">
        <v>617</v>
      </c>
      <c r="BH894" s="1">
        <v>102.41</v>
      </c>
      <c r="BI894" s="1">
        <v>231496</v>
      </c>
      <c r="BJ894" s="3">
        <v>41992</v>
      </c>
      <c r="BK894" t="s">
        <v>123</v>
      </c>
      <c r="BL894" t="str">
        <f>"2014.833835"</f>
        <v>2014.833835</v>
      </c>
      <c r="BM894" t="s">
        <v>618</v>
      </c>
      <c r="BO894" t="s">
        <v>5896</v>
      </c>
      <c r="BS894">
        <v>30</v>
      </c>
      <c r="BW894" t="str">
        <f>""</f>
        <v/>
      </c>
      <c r="CH894" t="str">
        <f>""</f>
        <v/>
      </c>
      <c r="CS894" t="str">
        <f>""</f>
        <v/>
      </c>
    </row>
    <row r="895" spans="1:97" x14ac:dyDescent="0.25">
      <c r="B895" t="s">
        <v>5897</v>
      </c>
      <c r="E895" t="s">
        <v>5898</v>
      </c>
      <c r="F895" t="s">
        <v>282</v>
      </c>
      <c r="H895" t="s">
        <v>5899</v>
      </c>
      <c r="I895" t="s">
        <v>1936</v>
      </c>
      <c r="J895" t="s">
        <v>111</v>
      </c>
      <c r="K895" t="str">
        <f>"85260"</f>
        <v>85260</v>
      </c>
      <c r="L895" t="s">
        <v>5900</v>
      </c>
      <c r="M895" t="s">
        <v>5901</v>
      </c>
      <c r="N895" t="s">
        <v>1936</v>
      </c>
      <c r="O895" t="s">
        <v>111</v>
      </c>
      <c r="P895" t="str">
        <f>"85254-2916"</f>
        <v>85254-2916</v>
      </c>
      <c r="Q895" t="s">
        <v>113</v>
      </c>
      <c r="R895" t="str">
        <f>"217-25-509"</f>
        <v>217-25-509</v>
      </c>
      <c r="S895" t="s">
        <v>5902</v>
      </c>
      <c r="T895" t="s">
        <v>5903</v>
      </c>
      <c r="U895">
        <v>2949</v>
      </c>
      <c r="V895">
        <v>0</v>
      </c>
      <c r="W895">
        <v>4</v>
      </c>
      <c r="X895">
        <v>1985</v>
      </c>
      <c r="Z895">
        <v>1</v>
      </c>
      <c r="AA895" t="s">
        <v>26</v>
      </c>
      <c r="AB895">
        <v>0</v>
      </c>
      <c r="AC895" t="s">
        <v>115</v>
      </c>
      <c r="AD895">
        <v>2</v>
      </c>
      <c r="AE895" t="s">
        <v>115</v>
      </c>
      <c r="AF895">
        <v>0</v>
      </c>
      <c r="AG895">
        <v>0</v>
      </c>
      <c r="AH895" t="s">
        <v>116</v>
      </c>
      <c r="AI895" s="1">
        <v>194610</v>
      </c>
      <c r="AJ895" s="2">
        <v>0.28000000000000003</v>
      </c>
      <c r="AK895" s="1">
        <v>702110</v>
      </c>
      <c r="AL895" t="s">
        <v>117</v>
      </c>
      <c r="AM895" t="s">
        <v>3973</v>
      </c>
      <c r="AN895">
        <v>17846</v>
      </c>
      <c r="AO895">
        <v>0.41</v>
      </c>
      <c r="AP895">
        <v>1</v>
      </c>
      <c r="AR895">
        <v>1</v>
      </c>
      <c r="AS895" s="1">
        <v>54700</v>
      </c>
      <c r="AT895" s="1">
        <v>10940</v>
      </c>
      <c r="AU895" s="1">
        <v>43760</v>
      </c>
      <c r="AV895">
        <v>80</v>
      </c>
      <c r="AX895" s="1">
        <v>3937.74</v>
      </c>
      <c r="AY895" t="s">
        <v>5904</v>
      </c>
      <c r="AZ895" t="s">
        <v>5420</v>
      </c>
      <c r="BA895" t="s">
        <v>5763</v>
      </c>
      <c r="BB895" s="3">
        <v>42465</v>
      </c>
      <c r="BD895" t="s">
        <v>240</v>
      </c>
      <c r="BE895" s="3">
        <v>42465</v>
      </c>
      <c r="BF895" s="1">
        <v>550000</v>
      </c>
      <c r="BG895" t="s">
        <v>5905</v>
      </c>
      <c r="BH895" s="1">
        <v>186.5</v>
      </c>
      <c r="BI895" s="1">
        <v>507500</v>
      </c>
      <c r="BJ895" s="3">
        <v>42465</v>
      </c>
      <c r="BK895" t="s">
        <v>123</v>
      </c>
      <c r="BL895" t="str">
        <f>"2016.223520"</f>
        <v>2016.223520</v>
      </c>
      <c r="BM895" t="s">
        <v>1154</v>
      </c>
      <c r="BO895" t="s">
        <v>5906</v>
      </c>
      <c r="BS895">
        <v>30</v>
      </c>
      <c r="BW895" t="str">
        <f>""</f>
        <v/>
      </c>
      <c r="CH895" t="str">
        <f>""</f>
        <v/>
      </c>
      <c r="CS895" t="str">
        <f>""</f>
        <v/>
      </c>
    </row>
    <row r="896" spans="1:97" x14ac:dyDescent="0.25">
      <c r="B896" t="s">
        <v>5907</v>
      </c>
      <c r="E896" t="s">
        <v>5908</v>
      </c>
      <c r="F896" t="s">
        <v>108</v>
      </c>
      <c r="H896" t="s">
        <v>5909</v>
      </c>
      <c r="I896" t="s">
        <v>188</v>
      </c>
      <c r="J896" t="s">
        <v>111</v>
      </c>
      <c r="K896" t="str">
        <f>"85142"</f>
        <v>85142</v>
      </c>
      <c r="L896" t="s">
        <v>5910</v>
      </c>
      <c r="M896" t="s">
        <v>5909</v>
      </c>
      <c r="N896" t="s">
        <v>188</v>
      </c>
      <c r="O896" t="s">
        <v>111</v>
      </c>
      <c r="P896" t="str">
        <f>"85142-3610"</f>
        <v>85142-3610</v>
      </c>
      <c r="Q896" t="s">
        <v>113</v>
      </c>
      <c r="R896" t="str">
        <f>"304-68-825"</f>
        <v>304-68-825</v>
      </c>
      <c r="S896" t="s">
        <v>5911</v>
      </c>
      <c r="U896">
        <v>2931</v>
      </c>
      <c r="V896">
        <v>0</v>
      </c>
      <c r="W896">
        <v>4</v>
      </c>
      <c r="X896">
        <v>2004</v>
      </c>
      <c r="Z896">
        <v>1</v>
      </c>
      <c r="AB896">
        <v>0</v>
      </c>
      <c r="AC896" t="s">
        <v>115</v>
      </c>
      <c r="AD896">
        <v>2</v>
      </c>
      <c r="AE896" t="s">
        <v>115</v>
      </c>
      <c r="AF896">
        <v>0</v>
      </c>
      <c r="AG896">
        <v>0</v>
      </c>
      <c r="AH896" t="s">
        <v>116</v>
      </c>
      <c r="AI896" s="1">
        <v>93684</v>
      </c>
      <c r="AJ896" s="2">
        <v>0.22</v>
      </c>
      <c r="AK896" s="1">
        <v>432684</v>
      </c>
      <c r="AL896" t="s">
        <v>117</v>
      </c>
      <c r="AM896" t="s">
        <v>917</v>
      </c>
      <c r="AN896">
        <v>14116</v>
      </c>
      <c r="AO896">
        <v>0.32</v>
      </c>
      <c r="AP896">
        <v>1</v>
      </c>
      <c r="AR896">
        <v>1</v>
      </c>
      <c r="AS896" s="1">
        <v>29730</v>
      </c>
      <c r="AT896" s="1">
        <v>5940</v>
      </c>
      <c r="AU896" s="1">
        <v>23790</v>
      </c>
      <c r="AV896">
        <v>80.02</v>
      </c>
      <c r="AX896" s="1">
        <v>2780.24</v>
      </c>
      <c r="AY896" t="s">
        <v>5792</v>
      </c>
      <c r="AZ896" t="s">
        <v>5792</v>
      </c>
      <c r="BA896" t="s">
        <v>290</v>
      </c>
      <c r="BB896" s="3">
        <v>42409</v>
      </c>
      <c r="BD896" t="s">
        <v>458</v>
      </c>
      <c r="BE896" s="3">
        <v>42226</v>
      </c>
      <c r="BF896" s="1">
        <v>339000</v>
      </c>
      <c r="BG896" t="s">
        <v>5912</v>
      </c>
      <c r="BH896" s="1">
        <v>115.66</v>
      </c>
      <c r="BI896" s="1">
        <v>339000</v>
      </c>
      <c r="BJ896" s="3">
        <v>42226</v>
      </c>
      <c r="BK896" t="s">
        <v>123</v>
      </c>
      <c r="BL896" t="str">
        <f>"2015.578915"</f>
        <v>2015.578915</v>
      </c>
      <c r="BM896" t="s">
        <v>1287</v>
      </c>
      <c r="BO896" t="s">
        <v>5913</v>
      </c>
      <c r="BS896">
        <v>30</v>
      </c>
      <c r="BW896" t="str">
        <f>""</f>
        <v/>
      </c>
      <c r="CH896" t="str">
        <f>""</f>
        <v/>
      </c>
      <c r="CS896" t="str">
        <f>""</f>
        <v/>
      </c>
    </row>
    <row r="897" spans="1:97" x14ac:dyDescent="0.25">
      <c r="A897" t="s">
        <v>1850</v>
      </c>
      <c r="B897" t="s">
        <v>5914</v>
      </c>
      <c r="C897" t="s">
        <v>2793</v>
      </c>
      <c r="D897" t="s">
        <v>5915</v>
      </c>
      <c r="E897" t="s">
        <v>5916</v>
      </c>
      <c r="F897" t="s">
        <v>108</v>
      </c>
      <c r="H897" t="s">
        <v>5917</v>
      </c>
      <c r="I897" t="s">
        <v>110</v>
      </c>
      <c r="J897" t="s">
        <v>111</v>
      </c>
      <c r="K897" t="str">
        <f>"85226"</f>
        <v>85226</v>
      </c>
      <c r="L897" t="s">
        <v>5918</v>
      </c>
      <c r="M897" t="s">
        <v>5917</v>
      </c>
      <c r="N897" t="s">
        <v>110</v>
      </c>
      <c r="O897" t="s">
        <v>111</v>
      </c>
      <c r="P897" t="str">
        <f>"85226-1378"</f>
        <v>85226-1378</v>
      </c>
      <c r="Q897" t="s">
        <v>113</v>
      </c>
      <c r="R897" t="str">
        <f>"308-06-848"</f>
        <v>308-06-848</v>
      </c>
      <c r="S897" t="s">
        <v>5919</v>
      </c>
      <c r="T897" t="s">
        <v>5920</v>
      </c>
      <c r="U897">
        <v>3887</v>
      </c>
      <c r="V897">
        <v>0</v>
      </c>
      <c r="W897">
        <v>5</v>
      </c>
      <c r="X897">
        <v>1991</v>
      </c>
      <c r="Z897">
        <v>2</v>
      </c>
      <c r="AA897" t="s">
        <v>26</v>
      </c>
      <c r="AB897">
        <v>0</v>
      </c>
      <c r="AC897" t="s">
        <v>115</v>
      </c>
      <c r="AD897">
        <v>3</v>
      </c>
      <c r="AE897" t="s">
        <v>115</v>
      </c>
      <c r="AF897">
        <v>0</v>
      </c>
      <c r="AG897">
        <v>0</v>
      </c>
      <c r="AH897" t="s">
        <v>116</v>
      </c>
      <c r="AI897" s="1">
        <v>125715</v>
      </c>
      <c r="AJ897" s="2">
        <v>0.21</v>
      </c>
      <c r="AK897" s="1">
        <v>601334</v>
      </c>
      <c r="AL897" t="s">
        <v>117</v>
      </c>
      <c r="AM897" t="s">
        <v>118</v>
      </c>
      <c r="AN897">
        <v>13286</v>
      </c>
      <c r="AO897">
        <v>0.3</v>
      </c>
      <c r="AP897">
        <v>1</v>
      </c>
      <c r="AR897">
        <v>1</v>
      </c>
      <c r="AS897" s="1">
        <v>46010</v>
      </c>
      <c r="AT897" s="1">
        <v>9200</v>
      </c>
      <c r="AU897" s="1">
        <v>36810</v>
      </c>
      <c r="AV897">
        <v>80</v>
      </c>
      <c r="AX897" s="1">
        <v>4252.42</v>
      </c>
      <c r="AY897" t="s">
        <v>5921</v>
      </c>
      <c r="AZ897" t="s">
        <v>5922</v>
      </c>
      <c r="BA897" t="s">
        <v>5202</v>
      </c>
      <c r="BE897" s="3">
        <v>42430</v>
      </c>
      <c r="BF897" s="1">
        <v>474900</v>
      </c>
      <c r="BG897" t="s">
        <v>5923</v>
      </c>
      <c r="BH897" s="1">
        <v>122.18</v>
      </c>
      <c r="BI897" s="1">
        <v>475619</v>
      </c>
      <c r="BJ897" s="3">
        <v>42430</v>
      </c>
      <c r="BK897" t="s">
        <v>123</v>
      </c>
      <c r="BL897" t="str">
        <f>"2016.133521"</f>
        <v>2016.133521</v>
      </c>
      <c r="BM897" t="s">
        <v>131</v>
      </c>
      <c r="BO897" t="s">
        <v>5924</v>
      </c>
      <c r="BP897" t="s">
        <v>5925</v>
      </c>
      <c r="BS897">
        <v>30</v>
      </c>
      <c r="BW897" t="str">
        <f>""</f>
        <v/>
      </c>
      <c r="CH897" t="str">
        <f>""</f>
        <v/>
      </c>
      <c r="CS897" t="str">
        <f>""</f>
        <v/>
      </c>
    </row>
    <row r="898" spans="1:97" x14ac:dyDescent="0.25">
      <c r="A898" t="s">
        <v>397</v>
      </c>
      <c r="B898" t="s">
        <v>5926</v>
      </c>
      <c r="E898" t="s">
        <v>5927</v>
      </c>
      <c r="F898" t="s">
        <v>108</v>
      </c>
      <c r="H898" t="s">
        <v>5928</v>
      </c>
      <c r="I898" t="s">
        <v>203</v>
      </c>
      <c r="J898" t="s">
        <v>111</v>
      </c>
      <c r="K898" t="str">
        <f>"85233"</f>
        <v>85233</v>
      </c>
      <c r="L898" t="s">
        <v>1244</v>
      </c>
      <c r="M898" t="s">
        <v>5928</v>
      </c>
      <c r="N898" t="s">
        <v>203</v>
      </c>
      <c r="O898" t="s">
        <v>111</v>
      </c>
      <c r="P898" t="str">
        <f>"85233-4760"</f>
        <v>85233-4760</v>
      </c>
      <c r="Q898" t="s">
        <v>113</v>
      </c>
      <c r="R898" t="str">
        <f>"310-04-612"</f>
        <v>310-04-612</v>
      </c>
      <c r="S898" t="s">
        <v>5929</v>
      </c>
      <c r="T898" t="s">
        <v>5929</v>
      </c>
      <c r="U898">
        <v>3644</v>
      </c>
      <c r="V898">
        <v>0</v>
      </c>
      <c r="W898">
        <v>4</v>
      </c>
      <c r="X898">
        <v>2001</v>
      </c>
      <c r="Z898">
        <v>2</v>
      </c>
      <c r="AA898" t="s">
        <v>26</v>
      </c>
      <c r="AB898">
        <v>0</v>
      </c>
      <c r="AC898" t="s">
        <v>115</v>
      </c>
      <c r="AD898">
        <v>3</v>
      </c>
      <c r="AE898" t="s">
        <v>115</v>
      </c>
      <c r="AF898">
        <v>0</v>
      </c>
      <c r="AG898">
        <v>0</v>
      </c>
      <c r="AH898" t="s">
        <v>116</v>
      </c>
      <c r="AI898" s="1">
        <v>83397</v>
      </c>
      <c r="AJ898" s="2">
        <v>0.17</v>
      </c>
      <c r="AK898" s="1">
        <v>498117</v>
      </c>
      <c r="AL898" t="s">
        <v>117</v>
      </c>
      <c r="AM898" t="s">
        <v>191</v>
      </c>
      <c r="AN898">
        <v>7868</v>
      </c>
      <c r="AO898">
        <v>0.18</v>
      </c>
      <c r="AP898">
        <v>1</v>
      </c>
      <c r="AR898">
        <v>1</v>
      </c>
      <c r="AS898" s="1">
        <v>37170</v>
      </c>
      <c r="AT898" s="1">
        <v>7430</v>
      </c>
      <c r="AU898" s="1">
        <v>29740</v>
      </c>
      <c r="AV898">
        <v>80.010000000000005</v>
      </c>
      <c r="AX898" s="1">
        <v>3414.9</v>
      </c>
      <c r="AY898" t="s">
        <v>5477</v>
      </c>
      <c r="AZ898" t="s">
        <v>5478</v>
      </c>
      <c r="BA898" t="s">
        <v>5479</v>
      </c>
      <c r="BE898" s="3">
        <v>42076</v>
      </c>
      <c r="BF898" s="1">
        <v>405000</v>
      </c>
      <c r="BG898" t="s">
        <v>5930</v>
      </c>
      <c r="BH898" s="1">
        <v>111.14</v>
      </c>
      <c r="BI898" s="1">
        <v>414720</v>
      </c>
      <c r="BJ898" s="3">
        <v>42076</v>
      </c>
      <c r="BK898" t="s">
        <v>123</v>
      </c>
      <c r="BL898" t="str">
        <f>"2015.171060"</f>
        <v>2015.171060</v>
      </c>
      <c r="BM898" t="s">
        <v>1185</v>
      </c>
      <c r="BO898" t="s">
        <v>5931</v>
      </c>
      <c r="BS898">
        <v>30</v>
      </c>
      <c r="BW898" t="str">
        <f>""</f>
        <v/>
      </c>
      <c r="CH898" t="str">
        <f>""</f>
        <v/>
      </c>
      <c r="CS898" t="str">
        <f>""</f>
        <v/>
      </c>
    </row>
    <row r="899" spans="1:97" x14ac:dyDescent="0.25">
      <c r="A899" t="s">
        <v>996</v>
      </c>
      <c r="B899" t="s">
        <v>5932</v>
      </c>
      <c r="C899" t="s">
        <v>1888</v>
      </c>
      <c r="D899" t="s">
        <v>5932</v>
      </c>
      <c r="E899" t="s">
        <v>5933</v>
      </c>
      <c r="F899" t="s">
        <v>108</v>
      </c>
      <c r="H899" t="s">
        <v>5934</v>
      </c>
      <c r="I899" t="s">
        <v>5863</v>
      </c>
      <c r="J899" t="s">
        <v>111</v>
      </c>
      <c r="K899" t="str">
        <f>"85375"</f>
        <v>85375</v>
      </c>
      <c r="L899" t="s">
        <v>1518</v>
      </c>
      <c r="M899" t="s">
        <v>5934</v>
      </c>
      <c r="N899" t="s">
        <v>5863</v>
      </c>
      <c r="O899" t="s">
        <v>111</v>
      </c>
      <c r="P899" t="str">
        <f>"85375-1610"</f>
        <v>85375-1610</v>
      </c>
      <c r="Q899" t="s">
        <v>113</v>
      </c>
      <c r="R899" t="str">
        <f>"503-58-642"</f>
        <v>503-58-642</v>
      </c>
      <c r="S899" t="s">
        <v>5935</v>
      </c>
      <c r="T899" t="s">
        <v>5936</v>
      </c>
      <c r="U899">
        <v>2450</v>
      </c>
      <c r="V899">
        <v>0</v>
      </c>
      <c r="W899">
        <v>4</v>
      </c>
      <c r="X899">
        <v>2007</v>
      </c>
      <c r="Z899">
        <v>1</v>
      </c>
      <c r="AA899" t="s">
        <v>26</v>
      </c>
      <c r="AB899">
        <v>0</v>
      </c>
      <c r="AC899" t="s">
        <v>115</v>
      </c>
      <c r="AD899">
        <v>2</v>
      </c>
      <c r="AE899" t="s">
        <v>115</v>
      </c>
      <c r="AF899">
        <v>0</v>
      </c>
      <c r="AG899">
        <v>0</v>
      </c>
      <c r="AH899" t="s">
        <v>116</v>
      </c>
      <c r="AI899" s="1">
        <v>101316</v>
      </c>
      <c r="AJ899" s="2">
        <v>0.21</v>
      </c>
      <c r="AK899" s="1">
        <v>490316</v>
      </c>
      <c r="AL899" t="s">
        <v>117</v>
      </c>
      <c r="AM899" t="s">
        <v>191</v>
      </c>
      <c r="AN899">
        <v>16774</v>
      </c>
      <c r="AO899">
        <v>0.38</v>
      </c>
      <c r="AP899">
        <v>1</v>
      </c>
      <c r="AR899">
        <v>1</v>
      </c>
      <c r="AS899" s="1">
        <v>38530</v>
      </c>
      <c r="AT899" s="1">
        <v>7700</v>
      </c>
      <c r="AU899" s="1">
        <v>30830</v>
      </c>
      <c r="AV899">
        <v>80.02</v>
      </c>
      <c r="AX899" s="1">
        <v>5140.76</v>
      </c>
      <c r="AY899" t="s">
        <v>3228</v>
      </c>
      <c r="AZ899" t="s">
        <v>3228</v>
      </c>
      <c r="BA899" t="s">
        <v>457</v>
      </c>
      <c r="BE899" s="3">
        <v>42116</v>
      </c>
      <c r="BF899" s="1">
        <v>389000</v>
      </c>
      <c r="BG899" t="s">
        <v>5937</v>
      </c>
      <c r="BH899" s="1">
        <v>158.78</v>
      </c>
      <c r="BI899" s="1">
        <v>389000</v>
      </c>
      <c r="BJ899" s="3">
        <v>42116</v>
      </c>
      <c r="BK899" t="s">
        <v>123</v>
      </c>
      <c r="BL899" t="str">
        <f>"2015.276731"</f>
        <v>2015.276731</v>
      </c>
      <c r="BM899" t="s">
        <v>5938</v>
      </c>
      <c r="BO899" t="s">
        <v>5939</v>
      </c>
      <c r="BS899">
        <v>30</v>
      </c>
      <c r="BW899" t="str">
        <f>""</f>
        <v/>
      </c>
      <c r="CH899" t="str">
        <f>""</f>
        <v/>
      </c>
      <c r="CS899" t="str">
        <f>""</f>
        <v/>
      </c>
    </row>
    <row r="900" spans="1:97" x14ac:dyDescent="0.25">
      <c r="A900" t="s">
        <v>1938</v>
      </c>
      <c r="B900" t="s">
        <v>5940</v>
      </c>
      <c r="C900" t="s">
        <v>5941</v>
      </c>
      <c r="D900" t="s">
        <v>5940</v>
      </c>
      <c r="E900" t="s">
        <v>5942</v>
      </c>
      <c r="F900" t="s">
        <v>108</v>
      </c>
      <c r="H900" t="s">
        <v>5943</v>
      </c>
      <c r="I900" t="s">
        <v>225</v>
      </c>
      <c r="J900" t="s">
        <v>111</v>
      </c>
      <c r="K900" t="str">
        <f>"85207"</f>
        <v>85207</v>
      </c>
      <c r="L900" t="s">
        <v>375</v>
      </c>
      <c r="M900" t="s">
        <v>5943</v>
      </c>
      <c r="N900" t="s">
        <v>225</v>
      </c>
      <c r="O900" t="s">
        <v>111</v>
      </c>
      <c r="P900" t="str">
        <f>"85207-4424"</f>
        <v>85207-4424</v>
      </c>
      <c r="Q900" t="s">
        <v>113</v>
      </c>
      <c r="R900" t="str">
        <f>"220-01-162"</f>
        <v>220-01-162</v>
      </c>
      <c r="S900" t="s">
        <v>5944</v>
      </c>
      <c r="T900" t="s">
        <v>5944</v>
      </c>
      <c r="U900">
        <v>2977</v>
      </c>
      <c r="V900">
        <v>0</v>
      </c>
      <c r="W900">
        <v>4</v>
      </c>
      <c r="X900">
        <v>2004</v>
      </c>
      <c r="Z900">
        <v>1</v>
      </c>
      <c r="AA900" t="s">
        <v>26</v>
      </c>
      <c r="AB900">
        <v>0</v>
      </c>
      <c r="AC900" t="s">
        <v>115</v>
      </c>
      <c r="AD900">
        <v>3</v>
      </c>
      <c r="AE900" t="s">
        <v>115</v>
      </c>
      <c r="AF900">
        <v>0</v>
      </c>
      <c r="AG900">
        <v>0</v>
      </c>
      <c r="AH900" t="s">
        <v>116</v>
      </c>
      <c r="AI900" s="1">
        <v>191674</v>
      </c>
      <c r="AJ900" s="2">
        <v>0.36</v>
      </c>
      <c r="AK900" s="1">
        <v>531574</v>
      </c>
      <c r="AL900" t="s">
        <v>117</v>
      </c>
      <c r="AM900" t="s">
        <v>917</v>
      </c>
      <c r="AN900">
        <v>12036</v>
      </c>
      <c r="AO900">
        <v>0.28000000000000003</v>
      </c>
      <c r="AP900">
        <v>1</v>
      </c>
      <c r="AR900">
        <v>1</v>
      </c>
      <c r="AS900" s="1">
        <v>36850</v>
      </c>
      <c r="AT900" s="1">
        <v>7370</v>
      </c>
      <c r="AU900" s="1">
        <v>29480</v>
      </c>
      <c r="AV900">
        <v>80</v>
      </c>
      <c r="AX900" s="1">
        <v>3216.24</v>
      </c>
      <c r="AY900" t="s">
        <v>3118</v>
      </c>
      <c r="AZ900" t="s">
        <v>3761</v>
      </c>
      <c r="BA900" t="s">
        <v>232</v>
      </c>
      <c r="BE900" s="3">
        <v>42187</v>
      </c>
      <c r="BF900" s="1">
        <v>467715</v>
      </c>
      <c r="BG900" t="s">
        <v>5945</v>
      </c>
      <c r="BH900" s="1">
        <v>157.11000000000001</v>
      </c>
      <c r="BI900" s="1">
        <v>339900</v>
      </c>
      <c r="BJ900" s="3">
        <v>42725</v>
      </c>
      <c r="BK900" t="s">
        <v>123</v>
      </c>
      <c r="BL900" t="str">
        <f>"2016.940093"</f>
        <v>2016.940093</v>
      </c>
      <c r="BM900" t="s">
        <v>1848</v>
      </c>
      <c r="BO900" t="s">
        <v>5946</v>
      </c>
      <c r="BS900">
        <v>30</v>
      </c>
      <c r="BW900" t="str">
        <f>""</f>
        <v/>
      </c>
      <c r="CH900" t="str">
        <f>""</f>
        <v/>
      </c>
      <c r="CS900" t="str">
        <f>""</f>
        <v/>
      </c>
    </row>
    <row r="901" spans="1:97" x14ac:dyDescent="0.25">
      <c r="A901" t="s">
        <v>5947</v>
      </c>
      <c r="B901" t="s">
        <v>1089</v>
      </c>
      <c r="C901" t="s">
        <v>3306</v>
      </c>
      <c r="D901" t="s">
        <v>1089</v>
      </c>
      <c r="E901" t="s">
        <v>5948</v>
      </c>
      <c r="F901" t="s">
        <v>108</v>
      </c>
      <c r="H901" t="s">
        <v>5949</v>
      </c>
      <c r="I901" t="s">
        <v>203</v>
      </c>
      <c r="J901" t="s">
        <v>111</v>
      </c>
      <c r="K901" t="str">
        <f>"85298"</f>
        <v>85298</v>
      </c>
      <c r="L901" t="s">
        <v>721</v>
      </c>
      <c r="M901" t="s">
        <v>5949</v>
      </c>
      <c r="N901" t="s">
        <v>203</v>
      </c>
      <c r="O901" t="s">
        <v>111</v>
      </c>
      <c r="P901" t="str">
        <f>"85298-8173"</f>
        <v>85298-8173</v>
      </c>
      <c r="Q901" t="s">
        <v>113</v>
      </c>
      <c r="R901" t="str">
        <f>"304-86-094"</f>
        <v>304-86-094</v>
      </c>
      <c r="S901" t="s">
        <v>5950</v>
      </c>
      <c r="T901" t="s">
        <v>5951</v>
      </c>
      <c r="U901">
        <v>3837</v>
      </c>
      <c r="V901">
        <v>0</v>
      </c>
      <c r="W901">
        <v>5</v>
      </c>
      <c r="X901">
        <v>2014</v>
      </c>
      <c r="Z901">
        <v>1</v>
      </c>
      <c r="AB901">
        <v>0</v>
      </c>
      <c r="AC901" t="s">
        <v>115</v>
      </c>
      <c r="AD901">
        <v>4</v>
      </c>
      <c r="AE901" t="s">
        <v>115</v>
      </c>
      <c r="AF901">
        <v>0</v>
      </c>
      <c r="AG901">
        <v>0</v>
      </c>
      <c r="AH901" t="s">
        <v>116</v>
      </c>
      <c r="AI901" s="1">
        <v>198625</v>
      </c>
      <c r="AJ901" s="2">
        <v>0.23</v>
      </c>
      <c r="AK901" s="1">
        <v>862779</v>
      </c>
      <c r="AL901" t="s">
        <v>117</v>
      </c>
      <c r="AM901" t="s">
        <v>1521</v>
      </c>
      <c r="AN901">
        <v>28573</v>
      </c>
      <c r="AO901">
        <v>0.66</v>
      </c>
      <c r="AP901">
        <v>1</v>
      </c>
      <c r="AR901">
        <v>1</v>
      </c>
      <c r="AS901" s="1">
        <v>71670</v>
      </c>
      <c r="AT901" s="1">
        <v>14330</v>
      </c>
      <c r="AU901" s="1">
        <v>57340</v>
      </c>
      <c r="AV901">
        <v>80.010000000000005</v>
      </c>
      <c r="AX901" s="1">
        <v>4278.08</v>
      </c>
      <c r="AY901" t="s">
        <v>272</v>
      </c>
      <c r="AZ901" t="s">
        <v>273</v>
      </c>
      <c r="BA901" t="s">
        <v>274</v>
      </c>
      <c r="BE901" s="3">
        <v>41662</v>
      </c>
      <c r="BF901" s="1">
        <v>682585</v>
      </c>
      <c r="BG901" t="s">
        <v>2342</v>
      </c>
      <c r="BH901" s="1">
        <v>177.9</v>
      </c>
      <c r="BI901" s="1">
        <v>664154</v>
      </c>
      <c r="BJ901" s="3">
        <v>43096</v>
      </c>
      <c r="BK901" t="s">
        <v>123</v>
      </c>
      <c r="BL901" t="str">
        <f>"2017.955530"</f>
        <v>2017.955530</v>
      </c>
      <c r="BM901" t="s">
        <v>3638</v>
      </c>
      <c r="BN901">
        <v>91361</v>
      </c>
      <c r="BO901" t="s">
        <v>5952</v>
      </c>
      <c r="BP901" t="s">
        <v>5953</v>
      </c>
      <c r="BS901">
        <v>31</v>
      </c>
      <c r="BW901" t="str">
        <f>""</f>
        <v/>
      </c>
      <c r="CH901" t="str">
        <f>""</f>
        <v/>
      </c>
      <c r="CS901" t="str">
        <f>""</f>
        <v/>
      </c>
    </row>
    <row r="902" spans="1:97" x14ac:dyDescent="0.25">
      <c r="A902" t="s">
        <v>5954</v>
      </c>
      <c r="B902" t="s">
        <v>5955</v>
      </c>
      <c r="C902" t="s">
        <v>1547</v>
      </c>
      <c r="D902" t="s">
        <v>5955</v>
      </c>
      <c r="E902" t="s">
        <v>5956</v>
      </c>
      <c r="F902" t="s">
        <v>108</v>
      </c>
      <c r="H902" t="s">
        <v>5957</v>
      </c>
      <c r="I902" t="s">
        <v>1397</v>
      </c>
      <c r="J902" t="s">
        <v>111</v>
      </c>
      <c r="K902" t="str">
        <f>"85331"</f>
        <v>85331</v>
      </c>
      <c r="L902" t="s">
        <v>5958</v>
      </c>
      <c r="M902" t="s">
        <v>5957</v>
      </c>
      <c r="N902" t="s">
        <v>1397</v>
      </c>
      <c r="O902" t="s">
        <v>111</v>
      </c>
      <c r="P902" t="str">
        <f>"85331-1582"</f>
        <v>85331-1582</v>
      </c>
      <c r="Q902" t="s">
        <v>113</v>
      </c>
      <c r="R902" t="str">
        <f>"211-48-576"</f>
        <v>211-48-576</v>
      </c>
      <c r="S902" t="s">
        <v>5959</v>
      </c>
      <c r="U902">
        <v>2945</v>
      </c>
      <c r="V902">
        <v>0</v>
      </c>
      <c r="W902">
        <v>4</v>
      </c>
      <c r="X902">
        <v>2015</v>
      </c>
      <c r="Z902">
        <v>1</v>
      </c>
      <c r="AB902">
        <v>0</v>
      </c>
      <c r="AC902" t="s">
        <v>115</v>
      </c>
      <c r="AD902">
        <v>3</v>
      </c>
      <c r="AE902" t="s">
        <v>115</v>
      </c>
      <c r="AF902">
        <v>0</v>
      </c>
      <c r="AG902">
        <v>0</v>
      </c>
      <c r="AH902" t="s">
        <v>116</v>
      </c>
      <c r="AI902" s="1">
        <v>149542</v>
      </c>
      <c r="AJ902" s="2">
        <v>0.22</v>
      </c>
      <c r="AK902" s="1">
        <v>683421</v>
      </c>
      <c r="AL902" t="s">
        <v>117</v>
      </c>
      <c r="AM902" t="s">
        <v>3973</v>
      </c>
      <c r="AN902">
        <v>9703</v>
      </c>
      <c r="AO902">
        <v>0.22</v>
      </c>
      <c r="AR902">
        <v>1</v>
      </c>
      <c r="AS902" s="1">
        <v>48120</v>
      </c>
      <c r="AT902" s="1">
        <v>9620</v>
      </c>
      <c r="AU902" s="1">
        <v>38500</v>
      </c>
      <c r="AV902">
        <v>80.010000000000005</v>
      </c>
      <c r="AX902" s="1">
        <v>2606.86</v>
      </c>
      <c r="AY902" t="s">
        <v>1401</v>
      </c>
      <c r="AZ902" t="s">
        <v>1402</v>
      </c>
      <c r="BA902" t="s">
        <v>1403</v>
      </c>
      <c r="BE902" s="3">
        <v>42307</v>
      </c>
      <c r="BF902" s="1">
        <v>575990</v>
      </c>
      <c r="BG902" t="s">
        <v>195</v>
      </c>
      <c r="BH902" s="1">
        <v>195.58</v>
      </c>
      <c r="BI902" s="1">
        <v>533879</v>
      </c>
      <c r="BJ902" s="3">
        <v>42307</v>
      </c>
      <c r="BK902" t="s">
        <v>123</v>
      </c>
      <c r="BL902" t="str">
        <f>"2015.784240"</f>
        <v>2015.784240</v>
      </c>
      <c r="BM902" t="s">
        <v>1791</v>
      </c>
      <c r="BN902" t="s">
        <v>5960</v>
      </c>
      <c r="BO902" t="s">
        <v>5961</v>
      </c>
      <c r="BS902">
        <v>30</v>
      </c>
      <c r="BW902" t="str">
        <f>""</f>
        <v/>
      </c>
      <c r="CH902" t="str">
        <f>""</f>
        <v/>
      </c>
      <c r="CS902" t="str">
        <f>""</f>
        <v/>
      </c>
    </row>
    <row r="903" spans="1:97" x14ac:dyDescent="0.25">
      <c r="A903" t="s">
        <v>5962</v>
      </c>
      <c r="B903" t="s">
        <v>348</v>
      </c>
      <c r="C903" t="s">
        <v>4874</v>
      </c>
      <c r="D903" t="s">
        <v>348</v>
      </c>
      <c r="E903" t="s">
        <v>5963</v>
      </c>
      <c r="F903" t="s">
        <v>108</v>
      </c>
      <c r="H903" t="s">
        <v>5964</v>
      </c>
      <c r="I903" t="s">
        <v>5863</v>
      </c>
      <c r="J903" t="s">
        <v>111</v>
      </c>
      <c r="K903" t="str">
        <f>"85375"</f>
        <v>85375</v>
      </c>
      <c r="L903" t="s">
        <v>1518</v>
      </c>
      <c r="M903" t="s">
        <v>5964</v>
      </c>
      <c r="N903" t="s">
        <v>5863</v>
      </c>
      <c r="O903" t="s">
        <v>111</v>
      </c>
      <c r="P903" t="str">
        <f>"85375-1615"</f>
        <v>85375-1615</v>
      </c>
      <c r="Q903" t="s">
        <v>113</v>
      </c>
      <c r="R903" t="str">
        <f>"503-58-682"</f>
        <v>503-58-682</v>
      </c>
      <c r="S903" t="s">
        <v>5935</v>
      </c>
      <c r="T903" t="s">
        <v>5936</v>
      </c>
      <c r="U903">
        <v>3027</v>
      </c>
      <c r="V903">
        <v>0</v>
      </c>
      <c r="W903">
        <v>4</v>
      </c>
      <c r="X903">
        <v>2007</v>
      </c>
      <c r="Z903">
        <v>1</v>
      </c>
      <c r="AB903">
        <v>0</v>
      </c>
      <c r="AC903" t="s">
        <v>115</v>
      </c>
      <c r="AD903">
        <v>3</v>
      </c>
      <c r="AE903" t="s">
        <v>115</v>
      </c>
      <c r="AF903">
        <v>0</v>
      </c>
      <c r="AG903">
        <v>0</v>
      </c>
      <c r="AH903" t="s">
        <v>116</v>
      </c>
      <c r="AI903" s="1">
        <v>136605</v>
      </c>
      <c r="AJ903" s="2">
        <v>0.27</v>
      </c>
      <c r="AK903" s="1">
        <v>503932</v>
      </c>
      <c r="AL903" t="s">
        <v>117</v>
      </c>
      <c r="AM903" t="s">
        <v>191</v>
      </c>
      <c r="AN903">
        <v>10773</v>
      </c>
      <c r="AO903">
        <v>0.25</v>
      </c>
      <c r="AP903">
        <v>1</v>
      </c>
      <c r="AR903">
        <v>1</v>
      </c>
      <c r="AS903" s="1">
        <v>37410</v>
      </c>
      <c r="AT903" s="1">
        <v>7480</v>
      </c>
      <c r="AU903" s="1">
        <v>29930</v>
      </c>
      <c r="AV903">
        <v>80.010000000000005</v>
      </c>
      <c r="AX903" s="1">
        <v>4390.3</v>
      </c>
      <c r="AY903" t="s">
        <v>3228</v>
      </c>
      <c r="AZ903" t="s">
        <v>3228</v>
      </c>
      <c r="BA903" t="s">
        <v>457</v>
      </c>
      <c r="BB903" s="3">
        <v>42613</v>
      </c>
      <c r="BD903" t="s">
        <v>240</v>
      </c>
      <c r="BE903" s="3">
        <v>41929</v>
      </c>
      <c r="BF903" s="1">
        <v>430000</v>
      </c>
      <c r="BG903" t="s">
        <v>5965</v>
      </c>
      <c r="BH903" s="1">
        <v>142.05000000000001</v>
      </c>
      <c r="BI903" s="1">
        <v>367327</v>
      </c>
      <c r="BJ903" s="3">
        <v>42613</v>
      </c>
      <c r="BK903" t="s">
        <v>123</v>
      </c>
      <c r="BL903" t="str">
        <f>"2016.632615"</f>
        <v>2016.632615</v>
      </c>
      <c r="BM903" t="s">
        <v>2378</v>
      </c>
      <c r="BO903" t="s">
        <v>5966</v>
      </c>
      <c r="BS903">
        <v>30</v>
      </c>
      <c r="BW903" t="str">
        <f>""</f>
        <v/>
      </c>
      <c r="CH903" t="str">
        <f>""</f>
        <v/>
      </c>
      <c r="CS903" t="str">
        <f>""</f>
        <v/>
      </c>
    </row>
    <row r="904" spans="1:97" x14ac:dyDescent="0.25">
      <c r="A904" t="s">
        <v>1743</v>
      </c>
      <c r="B904" t="s">
        <v>5967</v>
      </c>
      <c r="C904" t="s">
        <v>489</v>
      </c>
      <c r="D904" t="s">
        <v>5967</v>
      </c>
      <c r="E904" t="s">
        <v>5968</v>
      </c>
      <c r="F904" t="s">
        <v>108</v>
      </c>
      <c r="H904" t="s">
        <v>5969</v>
      </c>
      <c r="I904" t="s">
        <v>1788</v>
      </c>
      <c r="J904" t="s">
        <v>111</v>
      </c>
      <c r="K904" t="str">
        <f>"85355"</f>
        <v>85355</v>
      </c>
      <c r="L904" t="s">
        <v>734</v>
      </c>
      <c r="M904" t="s">
        <v>5969</v>
      </c>
      <c r="N904" t="s">
        <v>1788</v>
      </c>
      <c r="O904" t="s">
        <v>111</v>
      </c>
      <c r="P904" t="str">
        <f>"85355-7822"</f>
        <v>85355-7822</v>
      </c>
      <c r="Q904" t="s">
        <v>113</v>
      </c>
      <c r="R904" t="str">
        <f>"502-10-134"</f>
        <v>502-10-134</v>
      </c>
      <c r="S904" t="s">
        <v>5970</v>
      </c>
      <c r="T904" t="s">
        <v>5971</v>
      </c>
      <c r="U904">
        <v>3247</v>
      </c>
      <c r="V904">
        <v>0</v>
      </c>
      <c r="W904">
        <v>5</v>
      </c>
      <c r="X904">
        <v>2008</v>
      </c>
      <c r="Z904">
        <v>1</v>
      </c>
      <c r="AA904" t="s">
        <v>26</v>
      </c>
      <c r="AB904">
        <v>0</v>
      </c>
      <c r="AC904" t="s">
        <v>115</v>
      </c>
      <c r="AD904">
        <v>3</v>
      </c>
      <c r="AE904" t="s">
        <v>115</v>
      </c>
      <c r="AF904">
        <v>0</v>
      </c>
      <c r="AG904">
        <v>0</v>
      </c>
      <c r="AH904" t="s">
        <v>116</v>
      </c>
      <c r="AI904" s="1">
        <v>63513</v>
      </c>
      <c r="AJ904" s="2">
        <v>0.15</v>
      </c>
      <c r="AK904" s="1">
        <v>411634</v>
      </c>
      <c r="AL904" t="s">
        <v>117</v>
      </c>
      <c r="AM904" t="s">
        <v>171</v>
      </c>
      <c r="AN904">
        <v>10716</v>
      </c>
      <c r="AO904">
        <v>0.25</v>
      </c>
      <c r="AR904">
        <v>1</v>
      </c>
      <c r="AS904" s="1">
        <v>31520</v>
      </c>
      <c r="AT904" s="1">
        <v>6300</v>
      </c>
      <c r="AU904" s="1">
        <v>25220</v>
      </c>
      <c r="AV904">
        <v>80.010000000000005</v>
      </c>
      <c r="AX904" s="1">
        <v>2643.52</v>
      </c>
      <c r="AY904" t="s">
        <v>5972</v>
      </c>
      <c r="AZ904" t="s">
        <v>5972</v>
      </c>
      <c r="BA904" t="s">
        <v>5061</v>
      </c>
      <c r="BE904" s="3">
        <v>42545</v>
      </c>
      <c r="BF904" s="1">
        <v>337000</v>
      </c>
      <c r="BG904" t="s">
        <v>5973</v>
      </c>
      <c r="BH904" s="1">
        <v>103.79</v>
      </c>
      <c r="BI904" s="1">
        <v>348121</v>
      </c>
      <c r="BJ904" s="3">
        <v>42545</v>
      </c>
      <c r="BK904" t="s">
        <v>123</v>
      </c>
      <c r="BL904" t="str">
        <f>"2016.444324"</f>
        <v>2016.444324</v>
      </c>
      <c r="BM904" t="s">
        <v>150</v>
      </c>
      <c r="BO904" t="s">
        <v>5974</v>
      </c>
      <c r="BS904">
        <v>30</v>
      </c>
      <c r="BW904" t="str">
        <f>""</f>
        <v/>
      </c>
      <c r="CH904" t="str">
        <f>""</f>
        <v/>
      </c>
      <c r="CS904" t="str">
        <f>""</f>
        <v/>
      </c>
    </row>
    <row r="905" spans="1:97" x14ac:dyDescent="0.25">
      <c r="A905" t="s">
        <v>5975</v>
      </c>
      <c r="B905" t="s">
        <v>5976</v>
      </c>
      <c r="C905" t="s">
        <v>2068</v>
      </c>
      <c r="D905" t="s">
        <v>5976</v>
      </c>
      <c r="E905" t="s">
        <v>5977</v>
      </c>
      <c r="F905" t="s">
        <v>282</v>
      </c>
      <c r="H905" t="s">
        <v>5978</v>
      </c>
      <c r="I905" t="s">
        <v>632</v>
      </c>
      <c r="J905" t="s">
        <v>111</v>
      </c>
      <c r="K905" t="str">
        <f>"85379"</f>
        <v>85379</v>
      </c>
      <c r="L905" t="s">
        <v>2820</v>
      </c>
      <c r="M905" t="s">
        <v>5979</v>
      </c>
      <c r="N905" t="s">
        <v>5980</v>
      </c>
      <c r="O905" t="s">
        <v>5981</v>
      </c>
      <c r="P905" t="str">
        <f>"55008"</f>
        <v>55008</v>
      </c>
      <c r="Q905" t="s">
        <v>113</v>
      </c>
      <c r="R905" t="str">
        <f>"509-16-257"</f>
        <v>509-16-257</v>
      </c>
      <c r="S905" t="s">
        <v>5982</v>
      </c>
      <c r="U905">
        <v>2338</v>
      </c>
      <c r="V905">
        <v>0</v>
      </c>
      <c r="W905">
        <v>3</v>
      </c>
      <c r="X905">
        <v>2005</v>
      </c>
      <c r="Z905">
        <v>1</v>
      </c>
      <c r="AB905">
        <v>0</v>
      </c>
      <c r="AC905" t="s">
        <v>115</v>
      </c>
      <c r="AD905">
        <v>2</v>
      </c>
      <c r="AE905" t="s">
        <v>115</v>
      </c>
      <c r="AF905">
        <v>0</v>
      </c>
      <c r="AG905">
        <v>0</v>
      </c>
      <c r="AH905" t="s">
        <v>116</v>
      </c>
      <c r="AI905" s="1">
        <v>37999</v>
      </c>
      <c r="AJ905" s="2">
        <v>0.14000000000000001</v>
      </c>
      <c r="AK905" s="1">
        <v>279475</v>
      </c>
      <c r="AL905" t="s">
        <v>117</v>
      </c>
      <c r="AM905" t="s">
        <v>5516</v>
      </c>
      <c r="AN905">
        <v>8260</v>
      </c>
      <c r="AO905">
        <v>0.19</v>
      </c>
      <c r="AR905">
        <v>1</v>
      </c>
      <c r="AS905" s="1">
        <v>19810</v>
      </c>
      <c r="AT905" s="1">
        <v>3960</v>
      </c>
      <c r="AU905" s="1">
        <v>15850</v>
      </c>
      <c r="AV905">
        <v>80.010000000000005</v>
      </c>
      <c r="AX905" s="1">
        <v>1721.42</v>
      </c>
      <c r="AY905" t="s">
        <v>5983</v>
      </c>
      <c r="AZ905" t="s">
        <v>5983</v>
      </c>
      <c r="BA905" t="s">
        <v>321</v>
      </c>
      <c r="BE905" s="3">
        <v>42111</v>
      </c>
      <c r="BF905" s="1">
        <v>235000</v>
      </c>
      <c r="BG905" t="s">
        <v>5984</v>
      </c>
      <c r="BH905" s="1">
        <v>100.51</v>
      </c>
      <c r="BI905" s="1">
        <v>241476</v>
      </c>
      <c r="BJ905" s="3">
        <v>42657</v>
      </c>
      <c r="BK905" t="s">
        <v>123</v>
      </c>
      <c r="BL905" t="str">
        <f>"2016.753410"</f>
        <v>2016.753410</v>
      </c>
      <c r="BM905" t="s">
        <v>1135</v>
      </c>
      <c r="BO905" t="s">
        <v>5985</v>
      </c>
      <c r="BS905">
        <v>30</v>
      </c>
      <c r="BW905" t="str">
        <f>""</f>
        <v/>
      </c>
      <c r="CH905" t="str">
        <f>""</f>
        <v/>
      </c>
      <c r="CS905" t="str">
        <f>""</f>
        <v/>
      </c>
    </row>
    <row r="906" spans="1:97" x14ac:dyDescent="0.25">
      <c r="A906" t="s">
        <v>5986</v>
      </c>
      <c r="B906" t="s">
        <v>5987</v>
      </c>
      <c r="E906" t="s">
        <v>5988</v>
      </c>
      <c r="F906" t="s">
        <v>108</v>
      </c>
      <c r="H906" t="s">
        <v>5989</v>
      </c>
      <c r="I906" t="s">
        <v>110</v>
      </c>
      <c r="J906" t="s">
        <v>111</v>
      </c>
      <c r="K906" t="str">
        <f>"85249"</f>
        <v>85249</v>
      </c>
      <c r="L906" t="s">
        <v>5990</v>
      </c>
      <c r="M906" t="s">
        <v>5989</v>
      </c>
      <c r="N906" t="s">
        <v>110</v>
      </c>
      <c r="O906" t="s">
        <v>111</v>
      </c>
      <c r="P906" t="str">
        <f>"85249-3219"</f>
        <v>85249-3219</v>
      </c>
      <c r="Q906" t="s">
        <v>113</v>
      </c>
      <c r="R906" t="str">
        <f>"303-54-213"</f>
        <v>303-54-213</v>
      </c>
      <c r="S906" t="s">
        <v>5991</v>
      </c>
      <c r="T906" t="s">
        <v>5991</v>
      </c>
      <c r="U906">
        <v>3401</v>
      </c>
      <c r="V906">
        <v>0</v>
      </c>
      <c r="W906">
        <v>5</v>
      </c>
      <c r="X906">
        <v>2014</v>
      </c>
      <c r="Z906">
        <v>1</v>
      </c>
      <c r="AB906">
        <v>0</v>
      </c>
      <c r="AC906" t="s">
        <v>115</v>
      </c>
      <c r="AD906">
        <v>3</v>
      </c>
      <c r="AE906" t="s">
        <v>115</v>
      </c>
      <c r="AF906">
        <v>0</v>
      </c>
      <c r="AG906">
        <v>0</v>
      </c>
      <c r="AH906" t="s">
        <v>116</v>
      </c>
      <c r="AI906" s="1">
        <v>113176</v>
      </c>
      <c r="AJ906" s="2">
        <v>0.21</v>
      </c>
      <c r="AK906" s="1">
        <v>543304</v>
      </c>
      <c r="AL906" t="s">
        <v>117</v>
      </c>
      <c r="AM906" t="s">
        <v>118</v>
      </c>
      <c r="AN906">
        <v>10540</v>
      </c>
      <c r="AO906">
        <v>0.24</v>
      </c>
      <c r="AR906">
        <v>1</v>
      </c>
      <c r="AS906" s="1">
        <v>39770</v>
      </c>
      <c r="AT906" s="1">
        <v>7950</v>
      </c>
      <c r="AU906" s="1">
        <v>31820</v>
      </c>
      <c r="AV906">
        <v>80.010000000000005</v>
      </c>
      <c r="AX906" s="1">
        <v>3284.56</v>
      </c>
      <c r="AY906" t="s">
        <v>5050</v>
      </c>
      <c r="AZ906" t="s">
        <v>120</v>
      </c>
      <c r="BA906" t="s">
        <v>274</v>
      </c>
      <c r="BE906" s="3">
        <v>41942</v>
      </c>
      <c r="BF906" s="1">
        <v>425782</v>
      </c>
      <c r="BG906" t="s">
        <v>2199</v>
      </c>
      <c r="BH906" s="1">
        <v>125.19</v>
      </c>
      <c r="BI906" s="1">
        <v>430128</v>
      </c>
      <c r="BJ906" s="3">
        <v>43032</v>
      </c>
      <c r="BK906" t="s">
        <v>123</v>
      </c>
      <c r="BL906" t="str">
        <f>"2017.787080"</f>
        <v>2017.787080</v>
      </c>
      <c r="BM906" t="s">
        <v>5992</v>
      </c>
      <c r="BO906" t="s">
        <v>5993</v>
      </c>
      <c r="BS906">
        <v>30</v>
      </c>
      <c r="BW906" t="str">
        <f>""</f>
        <v/>
      </c>
      <c r="CH906" t="str">
        <f>""</f>
        <v/>
      </c>
      <c r="CS906" t="str">
        <f>""</f>
        <v/>
      </c>
    </row>
    <row r="907" spans="1:97" x14ac:dyDescent="0.25">
      <c r="A907" t="s">
        <v>2668</v>
      </c>
      <c r="B907" t="s">
        <v>5994</v>
      </c>
      <c r="C907" t="s">
        <v>5995</v>
      </c>
      <c r="D907" t="s">
        <v>5994</v>
      </c>
      <c r="E907" t="s">
        <v>5996</v>
      </c>
      <c r="F907" t="s">
        <v>108</v>
      </c>
      <c r="H907" t="s">
        <v>5997</v>
      </c>
      <c r="I907" t="s">
        <v>3150</v>
      </c>
      <c r="J907" t="s">
        <v>111</v>
      </c>
      <c r="K907" t="str">
        <f>"85340"</f>
        <v>85340</v>
      </c>
      <c r="L907" t="s">
        <v>734</v>
      </c>
      <c r="M907" t="s">
        <v>5997</v>
      </c>
      <c r="N907" t="s">
        <v>3150</v>
      </c>
      <c r="O907" t="s">
        <v>111</v>
      </c>
      <c r="P907" t="str">
        <f>"85340-5769"</f>
        <v>85340-5769</v>
      </c>
      <c r="Q907" t="s">
        <v>113</v>
      </c>
      <c r="R907" t="str">
        <f>"502-28-511"</f>
        <v>502-28-511</v>
      </c>
      <c r="S907" t="s">
        <v>5998</v>
      </c>
      <c r="T907" t="s">
        <v>5998</v>
      </c>
      <c r="U907">
        <v>2985</v>
      </c>
      <c r="V907">
        <v>0</v>
      </c>
      <c r="W907">
        <v>4</v>
      </c>
      <c r="X907">
        <v>2013</v>
      </c>
      <c r="Z907">
        <v>1</v>
      </c>
      <c r="AA907" t="s">
        <v>26</v>
      </c>
      <c r="AB907">
        <v>0</v>
      </c>
      <c r="AC907" t="s">
        <v>115</v>
      </c>
      <c r="AD907">
        <v>4</v>
      </c>
      <c r="AE907" t="s">
        <v>115</v>
      </c>
      <c r="AF907">
        <v>0</v>
      </c>
      <c r="AG907">
        <v>0</v>
      </c>
      <c r="AH907" t="s">
        <v>116</v>
      </c>
      <c r="AI907" s="1">
        <v>96032</v>
      </c>
      <c r="AJ907" s="2">
        <v>0.23</v>
      </c>
      <c r="AK907" s="1">
        <v>420214</v>
      </c>
      <c r="AL907" t="s">
        <v>117</v>
      </c>
      <c r="AM907" t="s">
        <v>1302</v>
      </c>
      <c r="AN907">
        <v>12714</v>
      </c>
      <c r="AO907">
        <v>0.28999999999999998</v>
      </c>
      <c r="AR907">
        <v>1</v>
      </c>
      <c r="AS907" s="1">
        <v>30750</v>
      </c>
      <c r="AT907" s="1">
        <v>6150</v>
      </c>
      <c r="AU907" s="1">
        <v>24600</v>
      </c>
      <c r="AV907">
        <v>80</v>
      </c>
      <c r="AX907" s="1">
        <v>3471.16</v>
      </c>
      <c r="AY907" t="s">
        <v>543</v>
      </c>
      <c r="AZ907" t="s">
        <v>504</v>
      </c>
      <c r="BA907" t="s">
        <v>218</v>
      </c>
      <c r="BB907" s="3">
        <v>41642</v>
      </c>
      <c r="BD907" t="s">
        <v>240</v>
      </c>
      <c r="BE907" s="3">
        <v>41642</v>
      </c>
      <c r="BF907" s="1">
        <v>275368</v>
      </c>
      <c r="BG907" t="s">
        <v>292</v>
      </c>
      <c r="BH907" s="1">
        <v>92.25</v>
      </c>
      <c r="BI907" s="1">
        <v>324182</v>
      </c>
      <c r="BJ907" s="3">
        <v>42438</v>
      </c>
      <c r="BK907" t="s">
        <v>123</v>
      </c>
      <c r="BL907" t="str">
        <f>"2016.150476"</f>
        <v>2016.150476</v>
      </c>
      <c r="BM907" t="s">
        <v>1695</v>
      </c>
      <c r="BO907" t="s">
        <v>5999</v>
      </c>
      <c r="BS907">
        <v>30</v>
      </c>
      <c r="BW907" t="str">
        <f>""</f>
        <v/>
      </c>
      <c r="CH907" t="str">
        <f>""</f>
        <v/>
      </c>
      <c r="CS907" t="str">
        <f>""</f>
        <v/>
      </c>
    </row>
    <row r="908" spans="1:97" x14ac:dyDescent="0.25">
      <c r="A908" t="s">
        <v>4325</v>
      </c>
      <c r="B908" t="s">
        <v>5182</v>
      </c>
      <c r="C908" t="s">
        <v>6000</v>
      </c>
      <c r="D908" t="s">
        <v>3671</v>
      </c>
      <c r="E908" t="s">
        <v>6001</v>
      </c>
      <c r="F908" t="s">
        <v>108</v>
      </c>
      <c r="H908" t="s">
        <v>6002</v>
      </c>
      <c r="I908" t="s">
        <v>2874</v>
      </c>
      <c r="J908" t="s">
        <v>111</v>
      </c>
      <c r="K908" t="str">
        <f>"85302"</f>
        <v>85302</v>
      </c>
      <c r="L908" t="s">
        <v>6003</v>
      </c>
      <c r="M908" t="s">
        <v>6002</v>
      </c>
      <c r="N908" t="s">
        <v>2874</v>
      </c>
      <c r="O908" t="s">
        <v>111</v>
      </c>
      <c r="P908" t="str">
        <f>"85302-5943"</f>
        <v>85302-5943</v>
      </c>
      <c r="Q908" t="s">
        <v>113</v>
      </c>
      <c r="R908" t="str">
        <f>"148-15-066H"</f>
        <v>148-15-066H</v>
      </c>
      <c r="T908" t="s">
        <v>6004</v>
      </c>
      <c r="U908">
        <v>2175</v>
      </c>
      <c r="W908">
        <v>2</v>
      </c>
      <c r="X908">
        <v>1972</v>
      </c>
      <c r="Z908">
        <v>1</v>
      </c>
      <c r="AH908" t="s">
        <v>116</v>
      </c>
      <c r="AI908" s="1">
        <v>-258</v>
      </c>
      <c r="AJ908" s="2">
        <v>0</v>
      </c>
      <c r="AK908" s="1">
        <v>269077</v>
      </c>
      <c r="AL908" t="s">
        <v>117</v>
      </c>
      <c r="AM908" t="s">
        <v>6005</v>
      </c>
      <c r="AN908">
        <v>25300</v>
      </c>
      <c r="AO908">
        <v>0.57999999999999996</v>
      </c>
      <c r="AS908" s="1">
        <v>18420</v>
      </c>
      <c r="AT908" s="1">
        <v>3680</v>
      </c>
      <c r="AU908" s="1">
        <v>14740</v>
      </c>
      <c r="AV908">
        <v>80.02</v>
      </c>
      <c r="AX908" s="1">
        <v>2059.92</v>
      </c>
      <c r="AY908" t="s">
        <v>6006</v>
      </c>
      <c r="AZ908" t="s">
        <v>6006</v>
      </c>
      <c r="BA908" t="s">
        <v>6007</v>
      </c>
      <c r="BE908" s="3">
        <v>42261</v>
      </c>
      <c r="BF908" s="1">
        <v>255000</v>
      </c>
      <c r="BG908" t="s">
        <v>6008</v>
      </c>
      <c r="BI908" s="1">
        <v>269335</v>
      </c>
      <c r="BJ908" s="3">
        <v>42550</v>
      </c>
      <c r="BK908" t="s">
        <v>123</v>
      </c>
      <c r="BL908" t="str">
        <f>"2016.455466"</f>
        <v>2016.455466</v>
      </c>
      <c r="BM908" t="s">
        <v>594</v>
      </c>
      <c r="BN908" t="s">
        <v>595</v>
      </c>
      <c r="BO908" t="s">
        <v>6009</v>
      </c>
      <c r="BP908" t="s">
        <v>6010</v>
      </c>
      <c r="BS908">
        <v>30</v>
      </c>
      <c r="BT908" s="1">
        <v>269335</v>
      </c>
      <c r="BU908" s="3">
        <v>42550</v>
      </c>
      <c r="BV908" t="s">
        <v>123</v>
      </c>
      <c r="BW908" t="str">
        <f>"2016.455466"</f>
        <v>2016.455466</v>
      </c>
      <c r="BX908" t="s">
        <v>594</v>
      </c>
      <c r="BZ908" t="s">
        <v>6009</v>
      </c>
      <c r="CA908" t="s">
        <v>6010</v>
      </c>
      <c r="CD908">
        <v>30</v>
      </c>
      <c r="CH908" t="str">
        <f>""</f>
        <v/>
      </c>
      <c r="CS908" t="str">
        <f>""</f>
        <v/>
      </c>
    </row>
    <row r="909" spans="1:97" x14ac:dyDescent="0.25">
      <c r="A909" t="s">
        <v>6011</v>
      </c>
      <c r="B909" t="s">
        <v>327</v>
      </c>
      <c r="C909" t="s">
        <v>3282</v>
      </c>
      <c r="D909" t="s">
        <v>327</v>
      </c>
      <c r="E909" t="s">
        <v>6012</v>
      </c>
      <c r="F909" t="s">
        <v>108</v>
      </c>
      <c r="H909" t="s">
        <v>6013</v>
      </c>
      <c r="I909" t="s">
        <v>110</v>
      </c>
      <c r="J909" t="s">
        <v>111</v>
      </c>
      <c r="K909" t="str">
        <f>"85286"</f>
        <v>85286</v>
      </c>
      <c r="L909" t="s">
        <v>5429</v>
      </c>
      <c r="M909" t="s">
        <v>6013</v>
      </c>
      <c r="N909" t="s">
        <v>110</v>
      </c>
      <c r="O909" t="s">
        <v>111</v>
      </c>
      <c r="P909" t="str">
        <f>"85286"</f>
        <v>85286</v>
      </c>
      <c r="R909" t="str">
        <f>"303-26-695"</f>
        <v>303-26-695</v>
      </c>
      <c r="S909" t="s">
        <v>6014</v>
      </c>
      <c r="T909" t="s">
        <v>6014</v>
      </c>
      <c r="U909">
        <v>1661</v>
      </c>
      <c r="V909">
        <v>0</v>
      </c>
      <c r="W909">
        <v>3</v>
      </c>
      <c r="X909">
        <v>1994</v>
      </c>
      <c r="Z909">
        <v>1</v>
      </c>
      <c r="AA909" t="s">
        <v>26</v>
      </c>
      <c r="AB909">
        <v>0</v>
      </c>
      <c r="AC909" t="s">
        <v>115</v>
      </c>
      <c r="AD909">
        <v>2</v>
      </c>
      <c r="AE909" t="s">
        <v>115</v>
      </c>
      <c r="AF909">
        <v>0</v>
      </c>
      <c r="AG909">
        <v>0</v>
      </c>
      <c r="AH909" t="s">
        <v>116</v>
      </c>
      <c r="AI909" s="1">
        <v>-2566</v>
      </c>
      <c r="AJ909" s="2">
        <v>-0.01</v>
      </c>
      <c r="AK909" s="1">
        <v>317434</v>
      </c>
      <c r="AL909" t="s">
        <v>117</v>
      </c>
      <c r="AM909" t="s">
        <v>118</v>
      </c>
      <c r="AN909">
        <v>5049</v>
      </c>
      <c r="AO909">
        <v>0.12</v>
      </c>
      <c r="AP909">
        <v>1</v>
      </c>
      <c r="AR909">
        <v>1</v>
      </c>
      <c r="AS909" s="1">
        <v>23570</v>
      </c>
      <c r="AT909" s="1">
        <v>4710</v>
      </c>
      <c r="AU909" s="1">
        <v>18860</v>
      </c>
      <c r="AV909">
        <v>80.02</v>
      </c>
      <c r="AX909" s="1">
        <v>1925.66</v>
      </c>
      <c r="AY909" t="s">
        <v>6015</v>
      </c>
      <c r="AZ909" t="s">
        <v>1882</v>
      </c>
      <c r="BA909" t="s">
        <v>121</v>
      </c>
      <c r="BE909" s="3">
        <v>41926</v>
      </c>
      <c r="BF909" s="1">
        <v>220000</v>
      </c>
      <c r="BG909" t="s">
        <v>6016</v>
      </c>
      <c r="BH909" s="1">
        <v>132.44999999999999</v>
      </c>
      <c r="BI909" s="1">
        <v>220000</v>
      </c>
      <c r="BJ909" s="3">
        <v>41926</v>
      </c>
      <c r="BK909" t="s">
        <v>123</v>
      </c>
      <c r="BL909" t="str">
        <f>"2014.679889"</f>
        <v>2014.679889</v>
      </c>
      <c r="BM909" t="s">
        <v>1998</v>
      </c>
      <c r="BN909" t="s">
        <v>3763</v>
      </c>
      <c r="BO909" t="s">
        <v>6017</v>
      </c>
      <c r="BS909">
        <v>30</v>
      </c>
      <c r="BT909" s="1">
        <v>100000</v>
      </c>
      <c r="BU909" s="3">
        <v>43763</v>
      </c>
      <c r="BW909" t="str">
        <f>"2019.854816"</f>
        <v>2019.854816</v>
      </c>
      <c r="BX909" t="s">
        <v>383</v>
      </c>
      <c r="BY909" t="s">
        <v>384</v>
      </c>
      <c r="BZ909" t="s">
        <v>6018</v>
      </c>
      <c r="CA909" t="s">
        <v>6019</v>
      </c>
      <c r="CC909" t="s">
        <v>346</v>
      </c>
      <c r="CH909" t="str">
        <f>""</f>
        <v/>
      </c>
      <c r="CS909" t="str">
        <f>""</f>
        <v/>
      </c>
    </row>
    <row r="910" spans="1:97" x14ac:dyDescent="0.25">
      <c r="A910" t="s">
        <v>177</v>
      </c>
      <c r="B910" t="s">
        <v>1577</v>
      </c>
      <c r="E910" t="s">
        <v>6020</v>
      </c>
      <c r="F910" t="s">
        <v>108</v>
      </c>
      <c r="H910" t="s">
        <v>6021</v>
      </c>
      <c r="I910" t="s">
        <v>499</v>
      </c>
      <c r="J910" t="s">
        <v>111</v>
      </c>
      <c r="K910" t="str">
        <f>"85338"</f>
        <v>85338</v>
      </c>
      <c r="L910" t="s">
        <v>316</v>
      </c>
      <c r="M910" t="s">
        <v>6021</v>
      </c>
      <c r="N910" t="s">
        <v>499</v>
      </c>
      <c r="O910" t="s">
        <v>111</v>
      </c>
      <c r="P910" t="str">
        <f>"85338-6295"</f>
        <v>85338-6295</v>
      </c>
      <c r="Q910" t="s">
        <v>113</v>
      </c>
      <c r="R910" t="str">
        <f>"500-09-247"</f>
        <v>500-09-247</v>
      </c>
      <c r="S910" t="s">
        <v>4310</v>
      </c>
      <c r="U910">
        <v>2271</v>
      </c>
      <c r="W910">
        <v>3</v>
      </c>
      <c r="X910">
        <v>2016</v>
      </c>
      <c r="Z910">
        <v>2</v>
      </c>
      <c r="AC910" t="s">
        <v>115</v>
      </c>
      <c r="AD910">
        <v>2</v>
      </c>
      <c r="AE910" t="s">
        <v>115</v>
      </c>
      <c r="AH910" t="s">
        <v>116</v>
      </c>
      <c r="AI910" s="1">
        <v>55277</v>
      </c>
      <c r="AJ910" s="2">
        <v>0.2</v>
      </c>
      <c r="AK910" s="1">
        <v>280467</v>
      </c>
      <c r="AL910" t="s">
        <v>117</v>
      </c>
      <c r="AM910" t="s">
        <v>118</v>
      </c>
      <c r="AN910">
        <v>3974</v>
      </c>
      <c r="AO910">
        <v>0.91</v>
      </c>
      <c r="AR910">
        <v>1</v>
      </c>
      <c r="AS910" s="1">
        <v>19830</v>
      </c>
      <c r="AT910" s="1">
        <v>3960</v>
      </c>
      <c r="AU910" s="1">
        <v>15870</v>
      </c>
      <c r="AV910">
        <v>80.03</v>
      </c>
      <c r="AX910" s="1">
        <v>1688.6</v>
      </c>
      <c r="AY910" t="s">
        <v>4311</v>
      </c>
      <c r="AZ910" t="s">
        <v>4311</v>
      </c>
      <c r="BA910" t="s">
        <v>218</v>
      </c>
      <c r="BE910" s="3">
        <v>42440</v>
      </c>
      <c r="BF910" s="1">
        <v>219124</v>
      </c>
      <c r="BG910" t="s">
        <v>233</v>
      </c>
      <c r="BH910" s="1">
        <v>96.49</v>
      </c>
      <c r="BI910" s="1">
        <v>225190</v>
      </c>
      <c r="BJ910" s="3">
        <v>42797</v>
      </c>
      <c r="BK910" t="s">
        <v>123</v>
      </c>
      <c r="BL910" t="str">
        <f>"2017.155737"</f>
        <v>2017.155737</v>
      </c>
      <c r="BM910" t="s">
        <v>716</v>
      </c>
      <c r="BO910" t="s">
        <v>6022</v>
      </c>
      <c r="BS910">
        <v>30</v>
      </c>
      <c r="BW910" t="str">
        <f>""</f>
        <v/>
      </c>
      <c r="CH910" t="str">
        <f>""</f>
        <v/>
      </c>
      <c r="CS910" t="str">
        <f>""</f>
        <v/>
      </c>
    </row>
    <row r="911" spans="1:97" x14ac:dyDescent="0.25">
      <c r="A911" t="s">
        <v>6023</v>
      </c>
      <c r="B911" t="s">
        <v>6024</v>
      </c>
      <c r="E911" t="s">
        <v>6025</v>
      </c>
      <c r="F911" t="s">
        <v>108</v>
      </c>
      <c r="H911" t="s">
        <v>6026</v>
      </c>
      <c r="I911" t="s">
        <v>4251</v>
      </c>
      <c r="J911" t="s">
        <v>111</v>
      </c>
      <c r="K911" t="str">
        <f>"85353"</f>
        <v>85353</v>
      </c>
      <c r="L911" t="s">
        <v>3885</v>
      </c>
      <c r="M911" t="s">
        <v>6026</v>
      </c>
      <c r="N911" t="s">
        <v>4251</v>
      </c>
      <c r="O911" t="s">
        <v>111</v>
      </c>
      <c r="P911" t="str">
        <f>"85353-1357"</f>
        <v>85353-1357</v>
      </c>
      <c r="Q911" t="s">
        <v>113</v>
      </c>
      <c r="R911" t="str">
        <f>"101-27-780"</f>
        <v>101-27-780</v>
      </c>
      <c r="S911" t="s">
        <v>4252</v>
      </c>
      <c r="U911">
        <v>1381</v>
      </c>
      <c r="W911">
        <v>3</v>
      </c>
      <c r="X911">
        <v>2015</v>
      </c>
      <c r="Z911">
        <v>1</v>
      </c>
      <c r="AC911" t="s">
        <v>115</v>
      </c>
      <c r="AD911">
        <v>2</v>
      </c>
      <c r="AE911" t="s">
        <v>115</v>
      </c>
      <c r="AH911" t="s">
        <v>116</v>
      </c>
      <c r="AI911" s="1">
        <v>17009</v>
      </c>
      <c r="AJ911" s="2">
        <v>7.0000000000000007E-2</v>
      </c>
      <c r="AK911" s="1">
        <v>237009</v>
      </c>
      <c r="AL911" t="s">
        <v>117</v>
      </c>
      <c r="AM911" t="s">
        <v>171</v>
      </c>
      <c r="AN911">
        <v>4950</v>
      </c>
      <c r="AO911">
        <v>0.11</v>
      </c>
      <c r="AR911">
        <v>1</v>
      </c>
      <c r="AS911" s="1">
        <v>16870</v>
      </c>
      <c r="AT911" s="1">
        <v>3370</v>
      </c>
      <c r="AU911" s="1">
        <v>13500</v>
      </c>
      <c r="AV911">
        <v>80.02</v>
      </c>
      <c r="AX911" s="1">
        <v>1766.86</v>
      </c>
      <c r="AY911" t="s">
        <v>4253</v>
      </c>
      <c r="AZ911" t="s">
        <v>4253</v>
      </c>
      <c r="BA911" t="s">
        <v>4254</v>
      </c>
      <c r="BE911" s="3">
        <v>42307</v>
      </c>
      <c r="BF911" s="1">
        <v>177000</v>
      </c>
      <c r="BG911" t="s">
        <v>636</v>
      </c>
      <c r="BH911" s="1">
        <v>128.16999999999999</v>
      </c>
      <c r="BI911" s="1">
        <v>220000</v>
      </c>
      <c r="BJ911" s="3">
        <v>43565</v>
      </c>
      <c r="BK911" t="s">
        <v>123</v>
      </c>
      <c r="BL911" t="str">
        <f>"2019.252923"</f>
        <v>2019.252923</v>
      </c>
      <c r="BM911" t="s">
        <v>4672</v>
      </c>
      <c r="BN911" t="s">
        <v>1922</v>
      </c>
      <c r="BO911" t="s">
        <v>6025</v>
      </c>
      <c r="BR911" t="s">
        <v>139</v>
      </c>
      <c r="BW911" t="str">
        <f>""</f>
        <v/>
      </c>
      <c r="CH911" t="str">
        <f>""</f>
        <v/>
      </c>
      <c r="CS911" t="str">
        <f>""</f>
        <v/>
      </c>
    </row>
    <row r="912" spans="1:97" x14ac:dyDescent="0.25">
      <c r="A912" t="s">
        <v>5375</v>
      </c>
      <c r="B912" t="s">
        <v>6027</v>
      </c>
      <c r="C912" t="s">
        <v>984</v>
      </c>
      <c r="D912" t="s">
        <v>6027</v>
      </c>
      <c r="E912" t="s">
        <v>6028</v>
      </c>
      <c r="F912" t="s">
        <v>108</v>
      </c>
      <c r="H912" t="s">
        <v>6029</v>
      </c>
      <c r="I912" t="s">
        <v>632</v>
      </c>
      <c r="J912" t="s">
        <v>111</v>
      </c>
      <c r="K912" t="str">
        <f>"85379"</f>
        <v>85379</v>
      </c>
      <c r="L912" t="s">
        <v>454</v>
      </c>
      <c r="M912" t="s">
        <v>6029</v>
      </c>
      <c r="N912" t="s">
        <v>632</v>
      </c>
      <c r="O912" t="s">
        <v>111</v>
      </c>
      <c r="P912" t="str">
        <f>"85379-1022"</f>
        <v>85379-1022</v>
      </c>
      <c r="Q912" t="s">
        <v>113</v>
      </c>
      <c r="R912" t="str">
        <f>"501-46-538"</f>
        <v>501-46-538</v>
      </c>
      <c r="S912" t="s">
        <v>5319</v>
      </c>
      <c r="U912">
        <v>2872</v>
      </c>
      <c r="V912">
        <v>0</v>
      </c>
      <c r="W912">
        <v>4</v>
      </c>
      <c r="X912">
        <v>2006</v>
      </c>
      <c r="Z912">
        <v>2</v>
      </c>
      <c r="AB912">
        <v>0</v>
      </c>
      <c r="AC912" t="s">
        <v>115</v>
      </c>
      <c r="AD912">
        <v>2</v>
      </c>
      <c r="AE912" t="s">
        <v>115</v>
      </c>
      <c r="AF912">
        <v>0</v>
      </c>
      <c r="AG912">
        <v>0</v>
      </c>
      <c r="AH912" t="s">
        <v>116</v>
      </c>
      <c r="AI912" s="1">
        <v>35251</v>
      </c>
      <c r="AJ912" s="2">
        <v>0.11</v>
      </c>
      <c r="AK912" s="1">
        <v>311001</v>
      </c>
      <c r="AL912" t="s">
        <v>117</v>
      </c>
      <c r="AM912" t="s">
        <v>118</v>
      </c>
      <c r="AN912">
        <v>6874</v>
      </c>
      <c r="AO912">
        <v>0.16</v>
      </c>
      <c r="AR912">
        <v>1</v>
      </c>
      <c r="AS912" s="1">
        <v>22860</v>
      </c>
      <c r="AT912" s="1">
        <v>4570</v>
      </c>
      <c r="AU912" s="1">
        <v>18290</v>
      </c>
      <c r="AV912">
        <v>80.010000000000005</v>
      </c>
      <c r="AX912" s="1">
        <v>1928.68</v>
      </c>
      <c r="AY912" t="s">
        <v>5060</v>
      </c>
      <c r="AZ912" t="s">
        <v>5060</v>
      </c>
      <c r="BA912" t="s">
        <v>5061</v>
      </c>
      <c r="BE912" s="3">
        <v>42242</v>
      </c>
      <c r="BF912" s="1">
        <v>279900</v>
      </c>
      <c r="BG912" t="s">
        <v>6030</v>
      </c>
      <c r="BH912" s="1">
        <v>97.46</v>
      </c>
      <c r="BI912" s="1">
        <v>275750</v>
      </c>
      <c r="BJ912" s="3">
        <v>42705</v>
      </c>
      <c r="BK912" t="s">
        <v>123</v>
      </c>
      <c r="BL912" t="str">
        <f>"2016.885100"</f>
        <v>2016.885100</v>
      </c>
      <c r="BM912" t="s">
        <v>425</v>
      </c>
      <c r="BO912" t="s">
        <v>6031</v>
      </c>
      <c r="BS912">
        <v>30</v>
      </c>
      <c r="BW912" t="str">
        <f>""</f>
        <v/>
      </c>
      <c r="CH912" t="str">
        <f>""</f>
        <v/>
      </c>
      <c r="CS912" t="str">
        <f>""</f>
        <v/>
      </c>
    </row>
    <row r="913" spans="1:97" x14ac:dyDescent="0.25">
      <c r="B913" t="s">
        <v>6032</v>
      </c>
      <c r="E913" t="s">
        <v>6033</v>
      </c>
      <c r="F913" t="s">
        <v>108</v>
      </c>
      <c r="H913" t="s">
        <v>6034</v>
      </c>
      <c r="I913" t="s">
        <v>390</v>
      </c>
      <c r="J913" t="s">
        <v>111</v>
      </c>
      <c r="K913" t="str">
        <f>"85086"</f>
        <v>85086</v>
      </c>
      <c r="L913" t="s">
        <v>6035</v>
      </c>
      <c r="M913" t="s">
        <v>6034</v>
      </c>
      <c r="N913" t="s">
        <v>390</v>
      </c>
      <c r="O913" t="s">
        <v>111</v>
      </c>
      <c r="P913" t="str">
        <f>"85086-6454"</f>
        <v>85086-6454</v>
      </c>
      <c r="Q913" t="s">
        <v>113</v>
      </c>
      <c r="R913" t="str">
        <f>"211-69-077"</f>
        <v>211-69-077</v>
      </c>
      <c r="U913">
        <v>2175</v>
      </c>
      <c r="V913">
        <v>0</v>
      </c>
      <c r="W913">
        <v>4</v>
      </c>
      <c r="X913">
        <v>1999</v>
      </c>
      <c r="Z913">
        <v>1</v>
      </c>
      <c r="AA913" t="s">
        <v>26</v>
      </c>
      <c r="AB913">
        <v>0</v>
      </c>
      <c r="AC913" t="s">
        <v>115</v>
      </c>
      <c r="AD913">
        <v>2</v>
      </c>
      <c r="AE913" t="s">
        <v>115</v>
      </c>
      <c r="AF913">
        <v>0</v>
      </c>
      <c r="AG913">
        <v>0</v>
      </c>
      <c r="AH913" t="s">
        <v>116</v>
      </c>
      <c r="AI913" s="1">
        <v>100307</v>
      </c>
      <c r="AJ913" s="2">
        <v>0.22</v>
      </c>
      <c r="AK913" s="1">
        <v>462559</v>
      </c>
      <c r="AL913" t="s">
        <v>117</v>
      </c>
      <c r="AM913" t="s">
        <v>376</v>
      </c>
      <c r="AN913">
        <v>47829</v>
      </c>
      <c r="AO913">
        <v>1.1000000000000001</v>
      </c>
      <c r="AP913">
        <v>1</v>
      </c>
      <c r="AR913">
        <v>1</v>
      </c>
      <c r="AS913" s="1">
        <v>35510</v>
      </c>
      <c r="AT913" s="1">
        <v>7100</v>
      </c>
      <c r="AU913" s="1">
        <v>28410</v>
      </c>
      <c r="AV913">
        <v>80.010000000000005</v>
      </c>
      <c r="AX913" s="1">
        <v>3627.46</v>
      </c>
      <c r="AY913" t="s">
        <v>1587</v>
      </c>
      <c r="AZ913" t="s">
        <v>1587</v>
      </c>
      <c r="BA913" t="s">
        <v>378</v>
      </c>
      <c r="BE913" s="3">
        <v>41696</v>
      </c>
      <c r="BF913" s="1">
        <v>349900</v>
      </c>
      <c r="BG913" t="s">
        <v>6036</v>
      </c>
      <c r="BH913" s="1">
        <v>160.87</v>
      </c>
      <c r="BI913" s="1">
        <v>362252</v>
      </c>
      <c r="BJ913" s="3">
        <v>42073</v>
      </c>
      <c r="BK913" t="s">
        <v>123</v>
      </c>
      <c r="BL913" t="str">
        <f>"2015.157279"</f>
        <v>2015.157279</v>
      </c>
      <c r="BM913" t="s">
        <v>322</v>
      </c>
      <c r="BO913" t="s">
        <v>6037</v>
      </c>
      <c r="BS913">
        <v>30</v>
      </c>
      <c r="BW913" t="str">
        <f>""</f>
        <v/>
      </c>
      <c r="CH913" t="str">
        <f>""</f>
        <v/>
      </c>
      <c r="CS913" t="str">
        <f>""</f>
        <v/>
      </c>
    </row>
    <row r="914" spans="1:97" x14ac:dyDescent="0.25">
      <c r="A914" t="s">
        <v>243</v>
      </c>
      <c r="B914" t="s">
        <v>6038</v>
      </c>
      <c r="C914" t="s">
        <v>6039</v>
      </c>
      <c r="D914" t="s">
        <v>6038</v>
      </c>
      <c r="E914" t="s">
        <v>6040</v>
      </c>
      <c r="F914" t="s">
        <v>108</v>
      </c>
      <c r="H914" t="s">
        <v>6041</v>
      </c>
      <c r="I914" t="s">
        <v>225</v>
      </c>
      <c r="J914" t="s">
        <v>111</v>
      </c>
      <c r="K914" t="str">
        <f>"85205"</f>
        <v>85205</v>
      </c>
      <c r="L914" t="s">
        <v>5308</v>
      </c>
      <c r="M914" t="s">
        <v>6041</v>
      </c>
      <c r="N914" t="s">
        <v>225</v>
      </c>
      <c r="O914" t="s">
        <v>111</v>
      </c>
      <c r="P914" t="str">
        <f>"85205-6860"</f>
        <v>85205-6860</v>
      </c>
      <c r="Q914" t="s">
        <v>113</v>
      </c>
      <c r="R914" t="str">
        <f>"141-34-578"</f>
        <v>141-34-578</v>
      </c>
      <c r="S914" t="s">
        <v>6042</v>
      </c>
      <c r="T914" t="s">
        <v>6043</v>
      </c>
      <c r="U914">
        <v>2254</v>
      </c>
      <c r="W914">
        <v>3</v>
      </c>
      <c r="X914">
        <v>2015</v>
      </c>
      <c r="Z914">
        <v>2</v>
      </c>
      <c r="AC914" t="s">
        <v>115</v>
      </c>
      <c r="AD914">
        <v>2</v>
      </c>
      <c r="AE914" t="s">
        <v>115</v>
      </c>
      <c r="AH914" t="s">
        <v>116</v>
      </c>
      <c r="AI914" s="1">
        <v>56919</v>
      </c>
      <c r="AJ914" s="2">
        <v>0.17</v>
      </c>
      <c r="AK914" s="1">
        <v>342512</v>
      </c>
      <c r="AL914" t="s">
        <v>117</v>
      </c>
      <c r="AM914" t="s">
        <v>393</v>
      </c>
      <c r="AN914">
        <v>3164</v>
      </c>
      <c r="AO914">
        <v>0.73</v>
      </c>
      <c r="AR914">
        <v>1</v>
      </c>
      <c r="AS914" s="1">
        <v>23550</v>
      </c>
      <c r="AT914" s="1">
        <v>4710</v>
      </c>
      <c r="AU914" s="1">
        <v>18840</v>
      </c>
      <c r="AV914">
        <v>80</v>
      </c>
      <c r="AX914" s="1">
        <v>2019.14</v>
      </c>
      <c r="AY914" t="s">
        <v>6044</v>
      </c>
      <c r="AZ914" t="s">
        <v>5275</v>
      </c>
      <c r="BA914" t="s">
        <v>3119</v>
      </c>
      <c r="BE914" s="3">
        <v>42517</v>
      </c>
      <c r="BF914" s="1">
        <v>276470</v>
      </c>
      <c r="BG914" t="s">
        <v>233</v>
      </c>
      <c r="BH914" s="1">
        <v>122.66</v>
      </c>
      <c r="BI914" s="1">
        <v>285593</v>
      </c>
      <c r="BJ914" s="3">
        <v>42517</v>
      </c>
      <c r="BK914" t="s">
        <v>123</v>
      </c>
      <c r="BL914" t="str">
        <f>"2016.370162"</f>
        <v>2016.370162</v>
      </c>
      <c r="BM914" t="s">
        <v>234</v>
      </c>
      <c r="BO914" t="s">
        <v>6045</v>
      </c>
      <c r="BS914">
        <v>30</v>
      </c>
      <c r="BW914" t="str">
        <f>""</f>
        <v/>
      </c>
      <c r="CH914" t="str">
        <f>""</f>
        <v/>
      </c>
      <c r="CS914" t="str">
        <f>""</f>
        <v/>
      </c>
    </row>
    <row r="915" spans="1:97" x14ac:dyDescent="0.25">
      <c r="A915" t="s">
        <v>1979</v>
      </c>
      <c r="B915" t="s">
        <v>6046</v>
      </c>
      <c r="C915" t="s">
        <v>6047</v>
      </c>
      <c r="D915" t="s">
        <v>6048</v>
      </c>
      <c r="E915" t="s">
        <v>6049</v>
      </c>
      <c r="F915" t="s">
        <v>108</v>
      </c>
      <c r="H915" t="s">
        <v>6050</v>
      </c>
      <c r="I915" t="s">
        <v>110</v>
      </c>
      <c r="J915" t="s">
        <v>111</v>
      </c>
      <c r="K915" t="str">
        <f>"85286"</f>
        <v>85286</v>
      </c>
      <c r="L915" t="s">
        <v>4326</v>
      </c>
      <c r="M915" t="s">
        <v>6050</v>
      </c>
      <c r="N915" t="s">
        <v>110</v>
      </c>
      <c r="O915" t="s">
        <v>111</v>
      </c>
      <c r="P915" t="str">
        <f>"85286"</f>
        <v>85286</v>
      </c>
      <c r="Q915" t="s">
        <v>113</v>
      </c>
      <c r="R915" t="str">
        <f>"313-05-915"</f>
        <v>313-05-915</v>
      </c>
      <c r="S915" t="s">
        <v>6051</v>
      </c>
      <c r="T915" t="s">
        <v>6052</v>
      </c>
      <c r="U915">
        <v>3206</v>
      </c>
      <c r="W915">
        <v>4</v>
      </c>
      <c r="X915">
        <v>2015</v>
      </c>
      <c r="Z915">
        <v>2</v>
      </c>
      <c r="AA915" t="s">
        <v>26</v>
      </c>
      <c r="AC915" t="s">
        <v>115</v>
      </c>
      <c r="AD915">
        <v>2</v>
      </c>
      <c r="AE915" t="s">
        <v>115</v>
      </c>
      <c r="AH915" t="s">
        <v>116</v>
      </c>
      <c r="AI915" s="1">
        <v>91001</v>
      </c>
      <c r="AJ915" s="2">
        <v>0.18</v>
      </c>
      <c r="AK915" s="1">
        <v>501401</v>
      </c>
      <c r="AL915" t="s">
        <v>117</v>
      </c>
      <c r="AM915" t="s">
        <v>118</v>
      </c>
      <c r="AN915">
        <v>6216</v>
      </c>
      <c r="AO915">
        <v>0.14000000000000001</v>
      </c>
      <c r="AR915">
        <v>1</v>
      </c>
      <c r="AS915" s="1">
        <v>38650</v>
      </c>
      <c r="AT915" s="1">
        <v>7730</v>
      </c>
      <c r="AU915" s="1">
        <v>30920</v>
      </c>
      <c r="AV915">
        <v>80</v>
      </c>
      <c r="AX915" s="1">
        <v>2673.58</v>
      </c>
      <c r="AY915" t="s">
        <v>737</v>
      </c>
      <c r="AZ915" t="s">
        <v>120</v>
      </c>
      <c r="BA915" t="s">
        <v>303</v>
      </c>
      <c r="BE915" s="3">
        <v>42460</v>
      </c>
      <c r="BF915" s="1">
        <v>397290</v>
      </c>
      <c r="BG915" t="s">
        <v>645</v>
      </c>
      <c r="BH915" s="1">
        <v>123.92</v>
      </c>
      <c r="BI915" s="1">
        <v>410400</v>
      </c>
      <c r="BJ915" s="3">
        <v>42460</v>
      </c>
      <c r="BK915" t="s">
        <v>123</v>
      </c>
      <c r="BL915" t="str">
        <f>"2016.209843"</f>
        <v>2016.209843</v>
      </c>
      <c r="BM915" t="s">
        <v>3063</v>
      </c>
      <c r="BO915" t="s">
        <v>6053</v>
      </c>
      <c r="BP915" t="s">
        <v>6054</v>
      </c>
      <c r="BS915">
        <v>30</v>
      </c>
      <c r="BW915" t="str">
        <f>""</f>
        <v/>
      </c>
      <c r="CH915" t="str">
        <f>""</f>
        <v/>
      </c>
      <c r="CS915" t="str">
        <f>""</f>
        <v/>
      </c>
    </row>
    <row r="916" spans="1:97" x14ac:dyDescent="0.25">
      <c r="A916" t="s">
        <v>3089</v>
      </c>
      <c r="B916" t="s">
        <v>3248</v>
      </c>
      <c r="C916" t="s">
        <v>6055</v>
      </c>
      <c r="D916" t="s">
        <v>3248</v>
      </c>
      <c r="E916" t="s">
        <v>6056</v>
      </c>
      <c r="F916" t="s">
        <v>108</v>
      </c>
      <c r="H916" t="s">
        <v>6057</v>
      </c>
      <c r="I916" t="s">
        <v>453</v>
      </c>
      <c r="J916" t="s">
        <v>111</v>
      </c>
      <c r="K916" t="str">
        <f>"85383"</f>
        <v>85383</v>
      </c>
      <c r="L916" t="s">
        <v>4316</v>
      </c>
      <c r="M916" t="s">
        <v>6057</v>
      </c>
      <c r="N916" t="s">
        <v>453</v>
      </c>
      <c r="O916" t="s">
        <v>111</v>
      </c>
      <c r="P916" t="str">
        <f>"85383-5446"</f>
        <v>85383-5446</v>
      </c>
      <c r="Q916" t="s">
        <v>113</v>
      </c>
      <c r="R916" t="str">
        <f>"510-09-140"</f>
        <v>510-09-140</v>
      </c>
      <c r="S916" t="s">
        <v>6058</v>
      </c>
      <c r="U916">
        <v>2305</v>
      </c>
      <c r="W916">
        <v>3</v>
      </c>
      <c r="X916">
        <v>2015</v>
      </c>
      <c r="Z916">
        <v>1</v>
      </c>
      <c r="AC916" t="s">
        <v>115</v>
      </c>
      <c r="AD916">
        <v>3</v>
      </c>
      <c r="AE916" t="s">
        <v>115</v>
      </c>
      <c r="AH916" t="s">
        <v>116</v>
      </c>
      <c r="AI916" s="1">
        <v>205027</v>
      </c>
      <c r="AJ916" s="2">
        <v>0.33</v>
      </c>
      <c r="AK916" s="1">
        <v>622027</v>
      </c>
      <c r="AL916" t="s">
        <v>117</v>
      </c>
      <c r="AM916" t="s">
        <v>118</v>
      </c>
      <c r="AN916">
        <v>10841</v>
      </c>
      <c r="AO916">
        <v>0.25</v>
      </c>
      <c r="AR916">
        <v>1</v>
      </c>
      <c r="AS916" s="1">
        <v>47620</v>
      </c>
      <c r="AT916" s="1">
        <v>9520</v>
      </c>
      <c r="AU916" s="1">
        <v>38100</v>
      </c>
      <c r="AV916">
        <v>80.010000000000005</v>
      </c>
      <c r="AX916" s="1">
        <v>4594.96</v>
      </c>
      <c r="AY916" t="s">
        <v>456</v>
      </c>
      <c r="AZ916" t="s">
        <v>456</v>
      </c>
      <c r="BA916" t="s">
        <v>457</v>
      </c>
      <c r="BE916" s="3">
        <v>42425</v>
      </c>
      <c r="BF916" s="1">
        <v>531162</v>
      </c>
      <c r="BG916" t="s">
        <v>292</v>
      </c>
      <c r="BH916" s="1">
        <v>230.44</v>
      </c>
      <c r="BI916" s="1">
        <v>417000</v>
      </c>
      <c r="BJ916" s="3">
        <v>42425</v>
      </c>
      <c r="BK916" t="s">
        <v>123</v>
      </c>
      <c r="BL916" t="str">
        <f>"2016.117240"</f>
        <v>2016.117240</v>
      </c>
      <c r="BM916" t="s">
        <v>1831</v>
      </c>
      <c r="BO916" t="s">
        <v>6059</v>
      </c>
      <c r="BS916">
        <v>30</v>
      </c>
      <c r="BW916" t="str">
        <f>""</f>
        <v/>
      </c>
      <c r="CH916" t="str">
        <f>""</f>
        <v/>
      </c>
      <c r="CS916" t="str">
        <f>""</f>
        <v/>
      </c>
    </row>
    <row r="917" spans="1:97" x14ac:dyDescent="0.25">
      <c r="A917" t="s">
        <v>6060</v>
      </c>
      <c r="B917" t="s">
        <v>6061</v>
      </c>
      <c r="C917" t="s">
        <v>489</v>
      </c>
      <c r="D917" t="s">
        <v>6061</v>
      </c>
      <c r="E917" t="s">
        <v>6062</v>
      </c>
      <c r="F917" t="s">
        <v>108</v>
      </c>
      <c r="H917" t="s">
        <v>6063</v>
      </c>
      <c r="I917" t="s">
        <v>225</v>
      </c>
      <c r="J917" t="s">
        <v>111</v>
      </c>
      <c r="K917" t="str">
        <f>"85212"</f>
        <v>85212</v>
      </c>
      <c r="L917" t="s">
        <v>4259</v>
      </c>
      <c r="M917" t="s">
        <v>6063</v>
      </c>
      <c r="N917" t="s">
        <v>225</v>
      </c>
      <c r="O917" t="s">
        <v>111</v>
      </c>
      <c r="P917" t="str">
        <f>"85212-9795"</f>
        <v>85212-9795</v>
      </c>
      <c r="Q917" t="s">
        <v>113</v>
      </c>
      <c r="R917" t="str">
        <f>"304-17-706"</f>
        <v>304-17-706</v>
      </c>
      <c r="S917" t="s">
        <v>4260</v>
      </c>
      <c r="T917" t="s">
        <v>569</v>
      </c>
      <c r="U917">
        <v>4187</v>
      </c>
      <c r="W917">
        <v>6</v>
      </c>
      <c r="X917">
        <v>2016</v>
      </c>
      <c r="Z917">
        <v>2</v>
      </c>
      <c r="AC917" t="s">
        <v>115</v>
      </c>
      <c r="AD917">
        <v>3</v>
      </c>
      <c r="AE917" t="s">
        <v>115</v>
      </c>
      <c r="AH917" t="s">
        <v>116</v>
      </c>
      <c r="AI917" s="1">
        <v>47285</v>
      </c>
      <c r="AJ917" s="2">
        <v>0.09</v>
      </c>
      <c r="AK917" s="1">
        <v>531235</v>
      </c>
      <c r="AL917" t="s">
        <v>117</v>
      </c>
      <c r="AM917" t="s">
        <v>393</v>
      </c>
      <c r="AN917">
        <v>9100</v>
      </c>
      <c r="AO917">
        <v>0.21</v>
      </c>
      <c r="AR917">
        <v>1</v>
      </c>
      <c r="AS917" s="1">
        <v>39420</v>
      </c>
      <c r="AT917" s="1">
        <v>7880</v>
      </c>
      <c r="AU917" s="1">
        <v>31540</v>
      </c>
      <c r="AV917">
        <v>80.010000000000005</v>
      </c>
      <c r="AX917" s="1">
        <v>2811.8</v>
      </c>
      <c r="AY917" t="s">
        <v>570</v>
      </c>
      <c r="AZ917" t="s">
        <v>571</v>
      </c>
      <c r="BA917" t="s">
        <v>572</v>
      </c>
      <c r="BE917" s="3">
        <v>42459</v>
      </c>
      <c r="BF917" s="1">
        <v>414299</v>
      </c>
      <c r="BG917" t="s">
        <v>420</v>
      </c>
      <c r="BH917" s="1">
        <v>98.95</v>
      </c>
      <c r="BI917" s="1">
        <v>427950</v>
      </c>
      <c r="BJ917" s="3">
        <v>42459</v>
      </c>
      <c r="BK917" t="s">
        <v>123</v>
      </c>
      <c r="BL917" t="str">
        <f>"2016.205523"</f>
        <v>2016.205523</v>
      </c>
      <c r="BM917" t="s">
        <v>124</v>
      </c>
      <c r="BO917" t="s">
        <v>6064</v>
      </c>
      <c r="BS917">
        <v>30</v>
      </c>
      <c r="BT917" s="1">
        <v>56000</v>
      </c>
      <c r="BU917" s="3">
        <v>42725</v>
      </c>
      <c r="BV917" t="s">
        <v>134</v>
      </c>
      <c r="BW917" t="str">
        <f>"2016.940292"</f>
        <v>2016.940292</v>
      </c>
      <c r="BX917" t="s">
        <v>547</v>
      </c>
      <c r="BZ917" t="s">
        <v>6064</v>
      </c>
      <c r="CD917">
        <v>7</v>
      </c>
      <c r="CH917" t="str">
        <f>""</f>
        <v/>
      </c>
      <c r="CS917" t="str">
        <f>""</f>
        <v/>
      </c>
    </row>
    <row r="918" spans="1:97" x14ac:dyDescent="0.25">
      <c r="A918" t="s">
        <v>894</v>
      </c>
      <c r="B918" t="s">
        <v>6065</v>
      </c>
      <c r="E918" t="s">
        <v>6066</v>
      </c>
      <c r="F918" t="s">
        <v>108</v>
      </c>
      <c r="H918" t="s">
        <v>6067</v>
      </c>
      <c r="I918" t="s">
        <v>225</v>
      </c>
      <c r="J918" t="s">
        <v>111</v>
      </c>
      <c r="K918" t="str">
        <f>"85212"</f>
        <v>85212</v>
      </c>
      <c r="L918" t="s">
        <v>3234</v>
      </c>
      <c r="M918" t="s">
        <v>6067</v>
      </c>
      <c r="N918" t="s">
        <v>225</v>
      </c>
      <c r="O918" t="s">
        <v>111</v>
      </c>
      <c r="P918" t="str">
        <f>"85212-8489"</f>
        <v>85212-8489</v>
      </c>
      <c r="Q918" t="s">
        <v>113</v>
      </c>
      <c r="R918" t="str">
        <f>"312-15-126"</f>
        <v>312-15-126</v>
      </c>
      <c r="S918" t="s">
        <v>6068</v>
      </c>
      <c r="U918">
        <v>2751</v>
      </c>
      <c r="W918">
        <v>4</v>
      </c>
      <c r="X918">
        <v>2016</v>
      </c>
      <c r="Z918">
        <v>2</v>
      </c>
      <c r="AC918" t="s">
        <v>115</v>
      </c>
      <c r="AD918">
        <v>3</v>
      </c>
      <c r="AE918" t="s">
        <v>115</v>
      </c>
      <c r="AH918" t="s">
        <v>116</v>
      </c>
      <c r="AI918" s="1">
        <v>109388</v>
      </c>
      <c r="AJ918" s="2">
        <v>0.27</v>
      </c>
      <c r="AK918" s="1">
        <v>410838</v>
      </c>
      <c r="AL918" t="s">
        <v>117</v>
      </c>
      <c r="AM918" t="s">
        <v>6069</v>
      </c>
      <c r="AN918">
        <v>5750</v>
      </c>
      <c r="AO918">
        <v>0.13</v>
      </c>
      <c r="AS918" s="1">
        <v>27100</v>
      </c>
      <c r="AT918" s="1">
        <v>5420</v>
      </c>
      <c r="AU918" s="1">
        <v>21680</v>
      </c>
      <c r="AV918">
        <v>80</v>
      </c>
      <c r="AX918" s="1">
        <v>3483.7</v>
      </c>
      <c r="AY918" t="s">
        <v>560</v>
      </c>
      <c r="AZ918" t="s">
        <v>561</v>
      </c>
      <c r="BA918" t="s">
        <v>194</v>
      </c>
      <c r="BE918" s="3">
        <v>42438</v>
      </c>
      <c r="BF918" s="1">
        <v>310934</v>
      </c>
      <c r="BG918" t="s">
        <v>209</v>
      </c>
      <c r="BI918" s="1">
        <v>301450</v>
      </c>
      <c r="BJ918" s="3">
        <v>42438</v>
      </c>
      <c r="BK918" t="s">
        <v>123</v>
      </c>
      <c r="BL918" t="str">
        <f>"2016.152445"</f>
        <v>2016.152445</v>
      </c>
      <c r="BM918" t="s">
        <v>1185</v>
      </c>
      <c r="BO918" t="s">
        <v>6070</v>
      </c>
      <c r="BS918">
        <v>30</v>
      </c>
      <c r="BW918" t="str">
        <f>""</f>
        <v/>
      </c>
      <c r="CH918" t="str">
        <f>""</f>
        <v/>
      </c>
      <c r="CS918" t="str">
        <f>""</f>
        <v/>
      </c>
    </row>
    <row r="919" spans="1:97" x14ac:dyDescent="0.25">
      <c r="A919" t="s">
        <v>996</v>
      </c>
      <c r="B919" t="s">
        <v>6071</v>
      </c>
      <c r="C919" t="s">
        <v>6072</v>
      </c>
      <c r="D919" t="s">
        <v>6071</v>
      </c>
      <c r="E919" t="s">
        <v>6073</v>
      </c>
      <c r="F919" t="s">
        <v>108</v>
      </c>
      <c r="H919" t="s">
        <v>6074</v>
      </c>
      <c r="I919" t="s">
        <v>188</v>
      </c>
      <c r="J919" t="s">
        <v>111</v>
      </c>
      <c r="K919" t="str">
        <f>"85142"</f>
        <v>85142</v>
      </c>
      <c r="L919" t="s">
        <v>1789</v>
      </c>
      <c r="M919" t="s">
        <v>6074</v>
      </c>
      <c r="N919" t="s">
        <v>188</v>
      </c>
      <c r="O919" t="s">
        <v>111</v>
      </c>
      <c r="P919" t="str">
        <f>"85142-7917"</f>
        <v>85142-7917</v>
      </c>
      <c r="Q919" t="s">
        <v>113</v>
      </c>
      <c r="R919" t="str">
        <f>"313-21-815"</f>
        <v>313-21-815</v>
      </c>
      <c r="S919" t="s">
        <v>6075</v>
      </c>
      <c r="T919" t="s">
        <v>6076</v>
      </c>
      <c r="U919">
        <v>3855</v>
      </c>
      <c r="W919">
        <v>5</v>
      </c>
      <c r="X919">
        <v>2015</v>
      </c>
      <c r="Z919">
        <v>1</v>
      </c>
      <c r="AA919" t="s">
        <v>26</v>
      </c>
      <c r="AC919" t="s">
        <v>115</v>
      </c>
      <c r="AD919">
        <v>4</v>
      </c>
      <c r="AE919" t="s">
        <v>115</v>
      </c>
      <c r="AH919" t="s">
        <v>116</v>
      </c>
      <c r="AI919" s="1">
        <v>-17925</v>
      </c>
      <c r="AJ919" s="2">
        <v>-0.02</v>
      </c>
      <c r="AK919" s="1">
        <v>764388</v>
      </c>
      <c r="AL919" t="s">
        <v>117</v>
      </c>
      <c r="AN919">
        <v>18000</v>
      </c>
      <c r="AO919">
        <v>0.41</v>
      </c>
      <c r="AS919" s="1">
        <v>63970</v>
      </c>
      <c r="AT919" s="1">
        <v>12790</v>
      </c>
      <c r="AU919" s="1">
        <v>51180</v>
      </c>
      <c r="AV919">
        <v>80.010000000000005</v>
      </c>
      <c r="AX919" s="1">
        <v>5691.42</v>
      </c>
      <c r="AY919" t="s">
        <v>1133</v>
      </c>
      <c r="AZ919" t="s">
        <v>1134</v>
      </c>
      <c r="BA919" t="s">
        <v>1134</v>
      </c>
      <c r="BE919" s="3">
        <v>42213</v>
      </c>
      <c r="BF919" s="1">
        <v>704086</v>
      </c>
      <c r="BG919" t="s">
        <v>593</v>
      </c>
      <c r="BI919" s="1">
        <v>632313</v>
      </c>
      <c r="BJ919" s="3">
        <v>42213</v>
      </c>
      <c r="BK919" t="s">
        <v>123</v>
      </c>
      <c r="BL919" t="str">
        <f>"2015.541615"</f>
        <v>2015.541615</v>
      </c>
      <c r="BM919" t="s">
        <v>6077</v>
      </c>
      <c r="BO919" t="s">
        <v>6078</v>
      </c>
      <c r="BS919">
        <v>30</v>
      </c>
      <c r="BT919" s="1">
        <v>150000</v>
      </c>
      <c r="BU919" s="3">
        <v>42653</v>
      </c>
      <c r="BV919" t="s">
        <v>134</v>
      </c>
      <c r="BW919" t="str">
        <f>"2016.742041"</f>
        <v>2016.742041</v>
      </c>
      <c r="BX919" t="s">
        <v>6079</v>
      </c>
      <c r="BZ919" t="s">
        <v>6080</v>
      </c>
      <c r="CD919">
        <v>25</v>
      </c>
      <c r="CH919" t="str">
        <f>""</f>
        <v/>
      </c>
      <c r="CS919" t="str">
        <f>""</f>
        <v/>
      </c>
    </row>
    <row r="920" spans="1:97" x14ac:dyDescent="0.25">
      <c r="A920" t="s">
        <v>325</v>
      </c>
      <c r="B920" t="s">
        <v>1374</v>
      </c>
      <c r="C920" t="s">
        <v>1047</v>
      </c>
      <c r="D920" t="s">
        <v>1374</v>
      </c>
      <c r="E920" t="s">
        <v>6081</v>
      </c>
      <c r="F920" t="s">
        <v>108</v>
      </c>
      <c r="H920" t="s">
        <v>6082</v>
      </c>
      <c r="I920" t="s">
        <v>225</v>
      </c>
      <c r="J920" t="s">
        <v>111</v>
      </c>
      <c r="K920" t="str">
        <f>"85209"</f>
        <v>85209</v>
      </c>
      <c r="L920" t="s">
        <v>4367</v>
      </c>
      <c r="M920" t="s">
        <v>6082</v>
      </c>
      <c r="N920" t="s">
        <v>225</v>
      </c>
      <c r="O920" t="s">
        <v>111</v>
      </c>
      <c r="P920" t="str">
        <f>"85209-7863"</f>
        <v>85209-7863</v>
      </c>
      <c r="Q920" t="s">
        <v>113</v>
      </c>
      <c r="R920" t="str">
        <f>"312-02-742"</f>
        <v>312-02-742</v>
      </c>
      <c r="S920" t="s">
        <v>4389</v>
      </c>
      <c r="U920">
        <v>2148</v>
      </c>
      <c r="W920">
        <v>3</v>
      </c>
      <c r="X920">
        <v>2015</v>
      </c>
      <c r="Z920">
        <v>2</v>
      </c>
      <c r="AC920" t="s">
        <v>115</v>
      </c>
      <c r="AD920">
        <v>2</v>
      </c>
      <c r="AE920" t="s">
        <v>115</v>
      </c>
      <c r="AH920" t="s">
        <v>116</v>
      </c>
      <c r="AI920" s="1">
        <v>48698</v>
      </c>
      <c r="AJ920" s="2">
        <v>0.14000000000000001</v>
      </c>
      <c r="AK920" s="1">
        <v>337184</v>
      </c>
      <c r="AL920" t="s">
        <v>117</v>
      </c>
      <c r="AM920" t="s">
        <v>4369</v>
      </c>
      <c r="AN920">
        <v>3160</v>
      </c>
      <c r="AO920">
        <v>0.73</v>
      </c>
      <c r="AR920">
        <v>1</v>
      </c>
      <c r="AS920" s="1">
        <v>23350</v>
      </c>
      <c r="AT920" s="1">
        <v>4670</v>
      </c>
      <c r="AU920" s="1">
        <v>18680</v>
      </c>
      <c r="AV920">
        <v>80</v>
      </c>
      <c r="AX920" s="1">
        <v>1573.26</v>
      </c>
      <c r="AY920" t="s">
        <v>4370</v>
      </c>
      <c r="AZ920" t="s">
        <v>777</v>
      </c>
      <c r="BA920" t="s">
        <v>572</v>
      </c>
      <c r="BE920" s="3">
        <v>42312</v>
      </c>
      <c r="BF920" s="1">
        <v>299182</v>
      </c>
      <c r="BG920" t="s">
        <v>3120</v>
      </c>
      <c r="BH920" s="1">
        <v>139.28</v>
      </c>
      <c r="BI920" s="1">
        <v>288486</v>
      </c>
      <c r="BJ920" s="3">
        <v>42312</v>
      </c>
      <c r="BK920" t="s">
        <v>123</v>
      </c>
      <c r="BL920" t="str">
        <f>"2015.793650"</f>
        <v>2015.793650</v>
      </c>
      <c r="BM920" t="s">
        <v>475</v>
      </c>
      <c r="BO920" t="s">
        <v>6083</v>
      </c>
      <c r="BS920">
        <v>30</v>
      </c>
      <c r="BW920" t="str">
        <f>""</f>
        <v/>
      </c>
      <c r="CH920" t="str">
        <f>""</f>
        <v/>
      </c>
      <c r="CS920" t="str">
        <f>""</f>
        <v/>
      </c>
    </row>
    <row r="921" spans="1:97" x14ac:dyDescent="0.25">
      <c r="A921" t="s">
        <v>6084</v>
      </c>
      <c r="B921" t="s">
        <v>6085</v>
      </c>
      <c r="E921" t="s">
        <v>6086</v>
      </c>
      <c r="F921" t="s">
        <v>139</v>
      </c>
      <c r="H921" t="s">
        <v>6087</v>
      </c>
      <c r="I921" t="s">
        <v>225</v>
      </c>
      <c r="J921" t="s">
        <v>111</v>
      </c>
      <c r="K921" t="str">
        <f>"85212"</f>
        <v>85212</v>
      </c>
      <c r="L921" t="s">
        <v>4259</v>
      </c>
      <c r="M921" t="s">
        <v>6088</v>
      </c>
      <c r="N921" t="s">
        <v>499</v>
      </c>
      <c r="O921" t="s">
        <v>111</v>
      </c>
      <c r="P921" t="str">
        <f>"85338-4513"</f>
        <v>85338-4513</v>
      </c>
      <c r="Q921" t="s">
        <v>113</v>
      </c>
      <c r="R921" t="str">
        <f>"304-17-612"</f>
        <v>304-17-612</v>
      </c>
      <c r="S921" t="s">
        <v>4260</v>
      </c>
      <c r="T921" t="s">
        <v>569</v>
      </c>
      <c r="U921">
        <v>2572</v>
      </c>
      <c r="W921">
        <v>4</v>
      </c>
      <c r="X921">
        <v>2015</v>
      </c>
      <c r="Z921">
        <v>2</v>
      </c>
      <c r="AC921" t="s">
        <v>115</v>
      </c>
      <c r="AD921">
        <v>2</v>
      </c>
      <c r="AE921" t="s">
        <v>115</v>
      </c>
      <c r="AH921" t="s">
        <v>116</v>
      </c>
      <c r="AI921" s="1">
        <v>27255</v>
      </c>
      <c r="AJ921" s="2">
        <v>7.0000000000000007E-2</v>
      </c>
      <c r="AK921" s="1">
        <v>387901</v>
      </c>
      <c r="AL921" t="s">
        <v>117</v>
      </c>
      <c r="AM921" t="s">
        <v>191</v>
      </c>
      <c r="AN921">
        <v>5750</v>
      </c>
      <c r="AO921">
        <v>0.13</v>
      </c>
      <c r="AR921">
        <v>1</v>
      </c>
      <c r="AS921" s="1">
        <v>27430</v>
      </c>
      <c r="AT921" s="1">
        <v>5480</v>
      </c>
      <c r="AU921" s="1">
        <v>21950</v>
      </c>
      <c r="AV921">
        <v>80.02</v>
      </c>
      <c r="AX921" s="1">
        <v>1873</v>
      </c>
      <c r="AY921" t="s">
        <v>570</v>
      </c>
      <c r="AZ921" t="s">
        <v>571</v>
      </c>
      <c r="BA921" t="s">
        <v>572</v>
      </c>
      <c r="BB921" s="3">
        <v>43249</v>
      </c>
      <c r="BC921" s="1">
        <v>0</v>
      </c>
      <c r="BD921" t="s">
        <v>247</v>
      </c>
      <c r="BE921" s="3">
        <v>42353</v>
      </c>
      <c r="BF921" s="1">
        <v>295990</v>
      </c>
      <c r="BG921" t="s">
        <v>195</v>
      </c>
      <c r="BH921" s="1">
        <v>115.08</v>
      </c>
      <c r="BI921" s="1">
        <v>360646</v>
      </c>
      <c r="BJ921" s="3">
        <v>43535</v>
      </c>
      <c r="BK921" t="s">
        <v>123</v>
      </c>
      <c r="BL921" t="str">
        <f>"2019.164116"</f>
        <v>2019.164116</v>
      </c>
      <c r="BM921" t="s">
        <v>5842</v>
      </c>
      <c r="BN921" t="s">
        <v>5843</v>
      </c>
      <c r="BO921" t="s">
        <v>6089</v>
      </c>
      <c r="BR921" t="s">
        <v>139</v>
      </c>
      <c r="BW921" t="str">
        <f>""</f>
        <v/>
      </c>
      <c r="CH921" t="str">
        <f>""</f>
        <v/>
      </c>
      <c r="CS921" t="str">
        <f>""</f>
        <v/>
      </c>
    </row>
    <row r="922" spans="1:97" x14ac:dyDescent="0.25">
      <c r="A922" t="s">
        <v>6090</v>
      </c>
      <c r="B922" t="s">
        <v>4555</v>
      </c>
      <c r="C922" t="s">
        <v>6091</v>
      </c>
      <c r="D922" t="s">
        <v>4555</v>
      </c>
      <c r="E922" t="s">
        <v>6092</v>
      </c>
      <c r="F922" t="s">
        <v>108</v>
      </c>
      <c r="H922" t="s">
        <v>6093</v>
      </c>
      <c r="I922" t="s">
        <v>203</v>
      </c>
      <c r="J922" t="s">
        <v>111</v>
      </c>
      <c r="K922" t="str">
        <f>"85296"</f>
        <v>85296</v>
      </c>
      <c r="L922" t="s">
        <v>6094</v>
      </c>
      <c r="M922" t="s">
        <v>6093</v>
      </c>
      <c r="N922" t="s">
        <v>203</v>
      </c>
      <c r="O922" t="s">
        <v>111</v>
      </c>
      <c r="P922" t="str">
        <f>"85296"</f>
        <v>85296</v>
      </c>
      <c r="Q922" t="s">
        <v>113</v>
      </c>
      <c r="R922" t="str">
        <f>"304-20-600"</f>
        <v>304-20-600</v>
      </c>
      <c r="S922" t="s">
        <v>6095</v>
      </c>
      <c r="U922">
        <v>2525</v>
      </c>
      <c r="W922">
        <v>4</v>
      </c>
      <c r="X922">
        <v>2016</v>
      </c>
      <c r="Z922">
        <v>1</v>
      </c>
      <c r="AC922" t="s">
        <v>115</v>
      </c>
      <c r="AD922">
        <v>3</v>
      </c>
      <c r="AE922" t="s">
        <v>115</v>
      </c>
      <c r="AH922" t="s">
        <v>116</v>
      </c>
      <c r="AI922" s="1">
        <v>27339</v>
      </c>
      <c r="AJ922" s="2">
        <v>0.06</v>
      </c>
      <c r="AK922" s="1">
        <v>464298</v>
      </c>
      <c r="AL922" t="s">
        <v>117</v>
      </c>
      <c r="AN922">
        <v>7500</v>
      </c>
      <c r="AO922">
        <v>0.17</v>
      </c>
      <c r="AR922">
        <v>1</v>
      </c>
      <c r="AS922" s="1">
        <v>35510</v>
      </c>
      <c r="AT922" s="1">
        <v>7100</v>
      </c>
      <c r="AU922" s="1">
        <v>28410</v>
      </c>
      <c r="AV922">
        <v>80.010000000000005</v>
      </c>
      <c r="AX922" s="1">
        <v>2475.92</v>
      </c>
      <c r="AY922" t="s">
        <v>519</v>
      </c>
      <c r="AZ922" t="s">
        <v>520</v>
      </c>
      <c r="BA922" t="s">
        <v>521</v>
      </c>
      <c r="BE922" s="3">
        <v>42545</v>
      </c>
      <c r="BF922" s="1">
        <v>473831</v>
      </c>
      <c r="BG922" t="s">
        <v>420</v>
      </c>
      <c r="BH922" s="1">
        <v>187.66</v>
      </c>
      <c r="BI922" s="1">
        <v>436959</v>
      </c>
      <c r="BJ922" s="3">
        <v>42545</v>
      </c>
      <c r="BK922" t="s">
        <v>123</v>
      </c>
      <c r="BL922" t="str">
        <f>"2016.444995"</f>
        <v>2016.444995</v>
      </c>
      <c r="BM922" t="s">
        <v>544</v>
      </c>
      <c r="BO922" t="s">
        <v>6096</v>
      </c>
      <c r="BS922">
        <v>30</v>
      </c>
      <c r="BW922" t="str">
        <f>""</f>
        <v/>
      </c>
      <c r="CH922" t="str">
        <f>""</f>
        <v/>
      </c>
      <c r="CS922" t="str">
        <f>""</f>
        <v/>
      </c>
    </row>
    <row r="923" spans="1:97" x14ac:dyDescent="0.25">
      <c r="A923" t="s">
        <v>3296</v>
      </c>
      <c r="B923" t="s">
        <v>1061</v>
      </c>
      <c r="E923" t="s">
        <v>6097</v>
      </c>
      <c r="F923" t="s">
        <v>108</v>
      </c>
      <c r="H923" t="s">
        <v>6098</v>
      </c>
      <c r="I923" t="s">
        <v>2874</v>
      </c>
      <c r="J923" t="s">
        <v>111</v>
      </c>
      <c r="K923" t="str">
        <f>"85305"</f>
        <v>85305</v>
      </c>
      <c r="L923" t="s">
        <v>4282</v>
      </c>
      <c r="M923" t="s">
        <v>6098</v>
      </c>
      <c r="N923" t="s">
        <v>2874</v>
      </c>
      <c r="O923" t="s">
        <v>111</v>
      </c>
      <c r="P923" t="str">
        <f>"85305-3334"</f>
        <v>85305-3334</v>
      </c>
      <c r="Q923" t="s">
        <v>113</v>
      </c>
      <c r="R923" t="str">
        <f>"102-14-614"</f>
        <v>102-14-614</v>
      </c>
      <c r="S923" t="s">
        <v>4283</v>
      </c>
      <c r="T923" t="s">
        <v>4284</v>
      </c>
      <c r="U923">
        <v>2088</v>
      </c>
      <c r="W923">
        <v>3</v>
      </c>
      <c r="X923">
        <v>2015</v>
      </c>
      <c r="Z923">
        <v>1</v>
      </c>
      <c r="AC923" t="s">
        <v>115</v>
      </c>
      <c r="AD923">
        <v>2</v>
      </c>
      <c r="AE923" t="s">
        <v>115</v>
      </c>
      <c r="AH923" t="s">
        <v>116</v>
      </c>
      <c r="AI923" s="1">
        <v>59368</v>
      </c>
      <c r="AJ923" s="2">
        <v>0.19</v>
      </c>
      <c r="AK923" s="1">
        <v>312885</v>
      </c>
      <c r="AL923" t="s">
        <v>117</v>
      </c>
      <c r="AM923" t="s">
        <v>288</v>
      </c>
      <c r="AN923">
        <v>7200</v>
      </c>
      <c r="AO923">
        <v>0.16</v>
      </c>
      <c r="AR923">
        <v>1</v>
      </c>
      <c r="AS923" s="1">
        <v>22850</v>
      </c>
      <c r="AT923" s="1">
        <v>4570</v>
      </c>
      <c r="AU923" s="1">
        <v>18280</v>
      </c>
      <c r="AV923">
        <v>80</v>
      </c>
      <c r="AX923" s="1">
        <v>2141.8200000000002</v>
      </c>
      <c r="AY923" t="s">
        <v>4285</v>
      </c>
      <c r="AZ923" t="s">
        <v>4285</v>
      </c>
      <c r="BA923" t="s">
        <v>4286</v>
      </c>
      <c r="BE923" s="3">
        <v>42367</v>
      </c>
      <c r="BF923" s="1">
        <v>253517</v>
      </c>
      <c r="BG923" t="s">
        <v>1975</v>
      </c>
      <c r="BH923" s="1">
        <v>121.42</v>
      </c>
      <c r="BI923" s="1">
        <v>253517</v>
      </c>
      <c r="BJ923" s="3">
        <v>42367</v>
      </c>
      <c r="BK923" t="s">
        <v>123</v>
      </c>
      <c r="BL923" t="str">
        <f>"2015.913426"</f>
        <v>2015.913426</v>
      </c>
      <c r="BM923" t="s">
        <v>3294</v>
      </c>
      <c r="BO923" t="s">
        <v>6099</v>
      </c>
      <c r="BS923">
        <v>30</v>
      </c>
      <c r="BW923" t="str">
        <f>""</f>
        <v/>
      </c>
      <c r="CH923" t="str">
        <f>""</f>
        <v/>
      </c>
      <c r="CS923" t="str">
        <f>""</f>
        <v/>
      </c>
    </row>
    <row r="924" spans="1:97" x14ac:dyDescent="0.25">
      <c r="A924" t="s">
        <v>1774</v>
      </c>
      <c r="B924" t="s">
        <v>163</v>
      </c>
      <c r="C924" t="s">
        <v>6100</v>
      </c>
      <c r="D924" t="s">
        <v>163</v>
      </c>
      <c r="E924" t="s">
        <v>6101</v>
      </c>
      <c r="F924" t="s">
        <v>108</v>
      </c>
      <c r="H924" t="s">
        <v>6102</v>
      </c>
      <c r="I924" t="s">
        <v>499</v>
      </c>
      <c r="J924" t="s">
        <v>111</v>
      </c>
      <c r="K924" t="str">
        <f>"85338"</f>
        <v>85338</v>
      </c>
      <c r="L924" t="s">
        <v>316</v>
      </c>
      <c r="M924" t="s">
        <v>6102</v>
      </c>
      <c r="N924" t="s">
        <v>499</v>
      </c>
      <c r="O924" t="s">
        <v>111</v>
      </c>
      <c r="P924" t="str">
        <f>"85338-6295"</f>
        <v>85338-6295</v>
      </c>
      <c r="Q924" t="s">
        <v>113</v>
      </c>
      <c r="R924" t="str">
        <f>"500-09-253"</f>
        <v>500-09-253</v>
      </c>
      <c r="S924" t="s">
        <v>4310</v>
      </c>
      <c r="U924">
        <v>2271</v>
      </c>
      <c r="W924">
        <v>3</v>
      </c>
      <c r="X924">
        <v>2016</v>
      </c>
      <c r="Z924">
        <v>2</v>
      </c>
      <c r="AC924" t="s">
        <v>115</v>
      </c>
      <c r="AD924">
        <v>2</v>
      </c>
      <c r="AE924" t="s">
        <v>115</v>
      </c>
      <c r="AH924" t="s">
        <v>116</v>
      </c>
      <c r="AI924" s="1">
        <v>53596</v>
      </c>
      <c r="AJ924" s="2">
        <v>0.19</v>
      </c>
      <c r="AK924" s="1">
        <v>279067</v>
      </c>
      <c r="AL924" t="s">
        <v>117</v>
      </c>
      <c r="AM924" t="s">
        <v>118</v>
      </c>
      <c r="AN924">
        <v>3733</v>
      </c>
      <c r="AO924">
        <v>0.86</v>
      </c>
      <c r="AR924">
        <v>1</v>
      </c>
      <c r="AS924" s="1">
        <v>19670</v>
      </c>
      <c r="AT924" s="1">
        <v>3930</v>
      </c>
      <c r="AU924" s="1">
        <v>15740</v>
      </c>
      <c r="AV924">
        <v>80.02</v>
      </c>
      <c r="AX924" s="1">
        <v>1673.64</v>
      </c>
      <c r="AY924" t="s">
        <v>4311</v>
      </c>
      <c r="AZ924" t="s">
        <v>4311</v>
      </c>
      <c r="BA924" t="s">
        <v>218</v>
      </c>
      <c r="BE924" s="3">
        <v>42373</v>
      </c>
      <c r="BF924" s="1">
        <v>213360</v>
      </c>
      <c r="BG924" t="s">
        <v>233</v>
      </c>
      <c r="BH924" s="1">
        <v>93.95</v>
      </c>
      <c r="BI924" s="1">
        <v>225471</v>
      </c>
      <c r="BJ924" s="3">
        <v>42493</v>
      </c>
      <c r="BK924" t="s">
        <v>123</v>
      </c>
      <c r="BL924" t="str">
        <f>"2016.299712"</f>
        <v>2016.299712</v>
      </c>
      <c r="BM924" t="s">
        <v>402</v>
      </c>
      <c r="BO924" t="s">
        <v>6103</v>
      </c>
      <c r="BS924">
        <v>30</v>
      </c>
      <c r="BW924" t="str">
        <f>""</f>
        <v/>
      </c>
      <c r="CH924" t="str">
        <f>""</f>
        <v/>
      </c>
      <c r="CS924" t="str">
        <f>""</f>
        <v/>
      </c>
    </row>
    <row r="925" spans="1:97" x14ac:dyDescent="0.25">
      <c r="A925" t="s">
        <v>1496</v>
      </c>
      <c r="B925" t="s">
        <v>6104</v>
      </c>
      <c r="E925" t="s">
        <v>6105</v>
      </c>
      <c r="F925" t="s">
        <v>108</v>
      </c>
      <c r="H925" t="s">
        <v>6106</v>
      </c>
      <c r="I925" t="s">
        <v>225</v>
      </c>
      <c r="J925" t="s">
        <v>111</v>
      </c>
      <c r="K925" t="str">
        <f>"85209"</f>
        <v>85209</v>
      </c>
      <c r="L925" t="s">
        <v>4367</v>
      </c>
      <c r="M925" t="s">
        <v>6106</v>
      </c>
      <c r="N925" t="s">
        <v>225</v>
      </c>
      <c r="O925" t="s">
        <v>111</v>
      </c>
      <c r="P925" t="str">
        <f>"85209-7863"</f>
        <v>85209-7863</v>
      </c>
      <c r="Q925" t="s">
        <v>113</v>
      </c>
      <c r="R925" t="str">
        <f>"312-02-739"</f>
        <v>312-02-739</v>
      </c>
      <c r="S925" t="s">
        <v>4389</v>
      </c>
      <c r="U925">
        <v>1730</v>
      </c>
      <c r="W925">
        <v>3</v>
      </c>
      <c r="X925">
        <v>2015</v>
      </c>
      <c r="Z925">
        <v>2</v>
      </c>
      <c r="AC925" t="s">
        <v>115</v>
      </c>
      <c r="AD925">
        <v>2</v>
      </c>
      <c r="AE925" t="s">
        <v>115</v>
      </c>
      <c r="AH925" t="s">
        <v>116</v>
      </c>
      <c r="AI925" s="1">
        <v>-17394</v>
      </c>
      <c r="AJ925" s="2">
        <v>-0.08</v>
      </c>
      <c r="AK925" s="1">
        <v>227554</v>
      </c>
      <c r="AL925" t="s">
        <v>117</v>
      </c>
      <c r="AM925" t="s">
        <v>4369</v>
      </c>
      <c r="AN925">
        <v>3621</v>
      </c>
      <c r="AO925">
        <v>0.83</v>
      </c>
      <c r="AR925">
        <v>1</v>
      </c>
      <c r="AS925" s="1">
        <v>21550</v>
      </c>
      <c r="AT925" s="1">
        <v>4310</v>
      </c>
      <c r="AU925" s="1">
        <v>17240</v>
      </c>
      <c r="AV925">
        <v>80</v>
      </c>
      <c r="AX925" s="1">
        <v>1431.2</v>
      </c>
      <c r="AY925" t="s">
        <v>4370</v>
      </c>
      <c r="AZ925" t="s">
        <v>777</v>
      </c>
      <c r="BA925" t="s">
        <v>572</v>
      </c>
      <c r="BE925" s="3">
        <v>42346</v>
      </c>
      <c r="BF925" s="1">
        <v>251381</v>
      </c>
      <c r="BG925" t="s">
        <v>3120</v>
      </c>
      <c r="BH925" s="1">
        <v>145.31</v>
      </c>
      <c r="BI925" s="1">
        <v>244948</v>
      </c>
      <c r="BJ925" s="3">
        <v>42647</v>
      </c>
      <c r="BK925" t="s">
        <v>123</v>
      </c>
      <c r="BL925" t="str">
        <f>"2016.723920"</f>
        <v>2016.723920</v>
      </c>
      <c r="BM925" t="s">
        <v>425</v>
      </c>
      <c r="BN925" t="s">
        <v>426</v>
      </c>
      <c r="BO925" t="s">
        <v>6107</v>
      </c>
      <c r="BS925">
        <v>30</v>
      </c>
      <c r="BT925" s="1">
        <v>244948</v>
      </c>
      <c r="BU925" s="3">
        <v>42647</v>
      </c>
      <c r="BV925" t="s">
        <v>123</v>
      </c>
      <c r="BW925" t="str">
        <f>"2016.723920"</f>
        <v>2016.723920</v>
      </c>
      <c r="BX925" t="s">
        <v>425</v>
      </c>
      <c r="BZ925" t="s">
        <v>6107</v>
      </c>
      <c r="CD925">
        <v>30</v>
      </c>
      <c r="CH925" t="str">
        <f>""</f>
        <v/>
      </c>
      <c r="CS925" t="str">
        <f>""</f>
        <v/>
      </c>
    </row>
    <row r="926" spans="1:97" x14ac:dyDescent="0.25">
      <c r="A926" t="s">
        <v>243</v>
      </c>
      <c r="B926" t="s">
        <v>6108</v>
      </c>
      <c r="C926" t="s">
        <v>6109</v>
      </c>
      <c r="D926" t="s">
        <v>6108</v>
      </c>
      <c r="E926" t="s">
        <v>6110</v>
      </c>
      <c r="F926" t="s">
        <v>108</v>
      </c>
      <c r="H926" t="s">
        <v>6111</v>
      </c>
      <c r="I926" t="s">
        <v>390</v>
      </c>
      <c r="J926" t="s">
        <v>111</v>
      </c>
      <c r="K926" t="str">
        <f>"85042"</f>
        <v>85042</v>
      </c>
      <c r="L926" t="s">
        <v>6112</v>
      </c>
      <c r="M926" t="s">
        <v>6111</v>
      </c>
      <c r="N926" t="s">
        <v>390</v>
      </c>
      <c r="O926" t="s">
        <v>111</v>
      </c>
      <c r="P926" t="str">
        <f>"85042-7156"</f>
        <v>85042-7156</v>
      </c>
      <c r="Q926" t="s">
        <v>113</v>
      </c>
      <c r="R926" t="str">
        <f>"301-26-748"</f>
        <v>301-26-748</v>
      </c>
      <c r="S926" t="s">
        <v>6113</v>
      </c>
      <c r="T926" t="s">
        <v>6113</v>
      </c>
      <c r="U926">
        <v>2481</v>
      </c>
      <c r="W926">
        <v>4</v>
      </c>
      <c r="X926">
        <v>2015</v>
      </c>
      <c r="Z926">
        <v>1</v>
      </c>
      <c r="AC926" t="s">
        <v>115</v>
      </c>
      <c r="AD926">
        <v>3</v>
      </c>
      <c r="AE926" t="s">
        <v>115</v>
      </c>
      <c r="AH926" t="s">
        <v>116</v>
      </c>
      <c r="AI926" s="1">
        <v>96990</v>
      </c>
      <c r="AJ926" s="2">
        <v>0.22</v>
      </c>
      <c r="AK926" s="1">
        <v>435988</v>
      </c>
      <c r="AL926" t="s">
        <v>117</v>
      </c>
      <c r="AM926" t="s">
        <v>6114</v>
      </c>
      <c r="AN926">
        <v>8400</v>
      </c>
      <c r="AO926">
        <v>0.19</v>
      </c>
      <c r="AR926">
        <v>1</v>
      </c>
      <c r="AS926" s="1">
        <v>33820</v>
      </c>
      <c r="AT926" s="1">
        <v>6760</v>
      </c>
      <c r="AU926" s="1">
        <v>27060</v>
      </c>
      <c r="AV926">
        <v>80.010000000000005</v>
      </c>
      <c r="AX926" s="1">
        <v>3854.08</v>
      </c>
      <c r="AY926" t="s">
        <v>6115</v>
      </c>
      <c r="AZ926" t="s">
        <v>6115</v>
      </c>
      <c r="BA926" t="s">
        <v>2860</v>
      </c>
      <c r="BE926" s="3">
        <v>42369</v>
      </c>
      <c r="BF926" s="1">
        <v>372000</v>
      </c>
      <c r="BG926" t="s">
        <v>617</v>
      </c>
      <c r="BH926" s="1">
        <v>149.94</v>
      </c>
      <c r="BI926" s="1">
        <v>338998</v>
      </c>
      <c r="BJ926" s="3">
        <v>42580</v>
      </c>
      <c r="BK926" t="s">
        <v>123</v>
      </c>
      <c r="BL926" t="str">
        <f>"2016.538427"</f>
        <v>2016.538427</v>
      </c>
      <c r="BM926" t="s">
        <v>6116</v>
      </c>
      <c r="BN926" t="s">
        <v>4620</v>
      </c>
      <c r="BO926" t="s">
        <v>6117</v>
      </c>
      <c r="BS926">
        <v>30</v>
      </c>
      <c r="BT926" s="1">
        <v>338998</v>
      </c>
      <c r="BU926" s="3">
        <v>42580</v>
      </c>
      <c r="BV926" t="s">
        <v>123</v>
      </c>
      <c r="BW926" t="str">
        <f>"2016.538427"</f>
        <v>2016.538427</v>
      </c>
      <c r="BX926" t="s">
        <v>6116</v>
      </c>
      <c r="BZ926" t="s">
        <v>6117</v>
      </c>
      <c r="CD926">
        <v>30</v>
      </c>
      <c r="CH926" t="str">
        <f>""</f>
        <v/>
      </c>
      <c r="CS926" t="str">
        <f>""</f>
        <v/>
      </c>
    </row>
    <row r="927" spans="1:97" x14ac:dyDescent="0.25">
      <c r="A927" t="s">
        <v>434</v>
      </c>
      <c r="B927" t="s">
        <v>6118</v>
      </c>
      <c r="E927" t="s">
        <v>6119</v>
      </c>
      <c r="F927" t="s">
        <v>108</v>
      </c>
      <c r="H927" t="s">
        <v>6120</v>
      </c>
      <c r="I927" t="s">
        <v>2874</v>
      </c>
      <c r="J927" t="s">
        <v>111</v>
      </c>
      <c r="K927" t="str">
        <f>"85306"</f>
        <v>85306</v>
      </c>
      <c r="L927" t="s">
        <v>5176</v>
      </c>
      <c r="M927" t="s">
        <v>6120</v>
      </c>
      <c r="N927" t="s">
        <v>2874</v>
      </c>
      <c r="O927" t="s">
        <v>111</v>
      </c>
      <c r="P927" t="str">
        <f>"85306-5000"</f>
        <v>85306-5000</v>
      </c>
      <c r="Q927" t="s">
        <v>113</v>
      </c>
      <c r="R927" t="str">
        <f>"207-32-338"</f>
        <v>207-32-338</v>
      </c>
      <c r="S927" t="s">
        <v>6121</v>
      </c>
      <c r="T927" t="s">
        <v>6122</v>
      </c>
      <c r="U927">
        <v>1854</v>
      </c>
      <c r="W927">
        <v>2</v>
      </c>
      <c r="X927">
        <v>2015</v>
      </c>
      <c r="Z927">
        <v>1</v>
      </c>
      <c r="AC927" t="s">
        <v>115</v>
      </c>
      <c r="AD927">
        <v>3</v>
      </c>
      <c r="AE927" t="s">
        <v>115</v>
      </c>
      <c r="AH927" t="s">
        <v>116</v>
      </c>
      <c r="AI927" s="1">
        <v>62400</v>
      </c>
      <c r="AJ927" s="2">
        <v>0.19</v>
      </c>
      <c r="AK927" s="1">
        <v>333400</v>
      </c>
      <c r="AL927" t="s">
        <v>117</v>
      </c>
      <c r="AM927" t="s">
        <v>171</v>
      </c>
      <c r="AN927">
        <v>10563</v>
      </c>
      <c r="AO927">
        <v>0.24</v>
      </c>
      <c r="AR927">
        <v>1</v>
      </c>
      <c r="AS927" s="1">
        <v>23560</v>
      </c>
      <c r="AT927" s="1">
        <v>4710</v>
      </c>
      <c r="AU927" s="1">
        <v>18850</v>
      </c>
      <c r="AV927">
        <v>80.010000000000005</v>
      </c>
      <c r="AX927" s="1">
        <v>1815.84</v>
      </c>
      <c r="AY927" t="s">
        <v>2996</v>
      </c>
      <c r="AZ927" t="s">
        <v>2997</v>
      </c>
      <c r="BA927" t="s">
        <v>2998</v>
      </c>
      <c r="BE927" s="3">
        <v>42402</v>
      </c>
      <c r="BF927" s="1">
        <v>267022</v>
      </c>
      <c r="BG927" t="s">
        <v>4008</v>
      </c>
      <c r="BH927" s="1">
        <v>144.02000000000001</v>
      </c>
      <c r="BI927" s="1">
        <v>271000</v>
      </c>
      <c r="BJ927" s="3">
        <v>42740</v>
      </c>
      <c r="BK927" t="s">
        <v>123</v>
      </c>
      <c r="BL927" t="str">
        <f>"2017.9615"</f>
        <v>2017.9615</v>
      </c>
      <c r="BM927" t="s">
        <v>2094</v>
      </c>
      <c r="BO927" t="s">
        <v>6123</v>
      </c>
      <c r="BS927">
        <v>30</v>
      </c>
      <c r="BW927" t="str">
        <f>""</f>
        <v/>
      </c>
      <c r="CH927" t="str">
        <f>""</f>
        <v/>
      </c>
      <c r="CS927" t="str">
        <f>""</f>
        <v/>
      </c>
    </row>
    <row r="928" spans="1:97" x14ac:dyDescent="0.25">
      <c r="A928" t="s">
        <v>6124</v>
      </c>
      <c r="B928" t="s">
        <v>6125</v>
      </c>
      <c r="E928" t="s">
        <v>6126</v>
      </c>
      <c r="F928" t="s">
        <v>108</v>
      </c>
      <c r="H928" t="s">
        <v>6127</v>
      </c>
      <c r="I928" t="s">
        <v>225</v>
      </c>
      <c r="J928" t="s">
        <v>111</v>
      </c>
      <c r="K928" t="str">
        <f>"85209"</f>
        <v>85209</v>
      </c>
      <c r="L928" t="s">
        <v>4367</v>
      </c>
      <c r="M928" t="s">
        <v>6127</v>
      </c>
      <c r="N928" t="s">
        <v>225</v>
      </c>
      <c r="O928" t="s">
        <v>111</v>
      </c>
      <c r="P928" t="str">
        <f>"85209-7861"</f>
        <v>85209-7861</v>
      </c>
      <c r="Q928" t="s">
        <v>113</v>
      </c>
      <c r="R928" t="str">
        <f>"312-02-732"</f>
        <v>312-02-732</v>
      </c>
      <c r="S928" t="s">
        <v>4389</v>
      </c>
      <c r="U928">
        <v>2237</v>
      </c>
      <c r="W928">
        <v>3</v>
      </c>
      <c r="X928">
        <v>2015</v>
      </c>
      <c r="Z928">
        <v>2</v>
      </c>
      <c r="AC928" t="s">
        <v>115</v>
      </c>
      <c r="AD928">
        <v>2</v>
      </c>
      <c r="AE928" t="s">
        <v>115</v>
      </c>
      <c r="AH928" t="s">
        <v>116</v>
      </c>
      <c r="AI928" s="1">
        <v>65476</v>
      </c>
      <c r="AJ928" s="2">
        <v>0.19</v>
      </c>
      <c r="AK928" s="1">
        <v>343674</v>
      </c>
      <c r="AL928" t="s">
        <v>117</v>
      </c>
      <c r="AM928" t="s">
        <v>4369</v>
      </c>
      <c r="AN928">
        <v>3160</v>
      </c>
      <c r="AO928">
        <v>0.73</v>
      </c>
      <c r="AR928">
        <v>1</v>
      </c>
      <c r="AS928" s="1">
        <v>23810</v>
      </c>
      <c r="AT928" s="1">
        <v>4760</v>
      </c>
      <c r="AU928" s="1">
        <v>19050</v>
      </c>
      <c r="AV928">
        <v>80.010000000000005</v>
      </c>
      <c r="AX928" s="1">
        <v>1609.78</v>
      </c>
      <c r="AY928" t="s">
        <v>4370</v>
      </c>
      <c r="AZ928" t="s">
        <v>777</v>
      </c>
      <c r="BA928" t="s">
        <v>572</v>
      </c>
      <c r="BE928" s="3">
        <v>42356</v>
      </c>
      <c r="BF928" s="1">
        <v>269198</v>
      </c>
      <c r="BG928" t="s">
        <v>3120</v>
      </c>
      <c r="BH928" s="1">
        <v>120.34</v>
      </c>
      <c r="BI928" s="1">
        <v>278198</v>
      </c>
      <c r="BJ928" s="3">
        <v>42696</v>
      </c>
      <c r="BK928" t="s">
        <v>123</v>
      </c>
      <c r="BL928" t="str">
        <f>"2016.860203"</f>
        <v>2016.860203</v>
      </c>
      <c r="BM928" t="s">
        <v>843</v>
      </c>
      <c r="BN928" t="s">
        <v>6128</v>
      </c>
      <c r="BO928" t="s">
        <v>6129</v>
      </c>
      <c r="BS928">
        <v>30</v>
      </c>
      <c r="BT928" s="1">
        <v>278198</v>
      </c>
      <c r="BU928" s="3">
        <v>42696</v>
      </c>
      <c r="BV928" t="s">
        <v>123</v>
      </c>
      <c r="BW928" t="str">
        <f>"2016.860203"</f>
        <v>2016.860203</v>
      </c>
      <c r="BX928" t="s">
        <v>843</v>
      </c>
      <c r="BZ928" t="s">
        <v>6129</v>
      </c>
      <c r="CD928">
        <v>30</v>
      </c>
      <c r="CH928" t="str">
        <f>""</f>
        <v/>
      </c>
      <c r="CS928" t="str">
        <f>""</f>
        <v/>
      </c>
    </row>
    <row r="929" spans="1:97" x14ac:dyDescent="0.25">
      <c r="A929" t="s">
        <v>1308</v>
      </c>
      <c r="B929" t="s">
        <v>6130</v>
      </c>
      <c r="C929" t="s">
        <v>327</v>
      </c>
      <c r="D929" t="s">
        <v>6130</v>
      </c>
      <c r="E929" t="s">
        <v>6131</v>
      </c>
      <c r="F929" t="s">
        <v>108</v>
      </c>
      <c r="H929" t="s">
        <v>6132</v>
      </c>
      <c r="I929" t="s">
        <v>110</v>
      </c>
      <c r="J929" t="s">
        <v>111</v>
      </c>
      <c r="K929" t="str">
        <f>"85286"</f>
        <v>85286</v>
      </c>
      <c r="L929" t="s">
        <v>3108</v>
      </c>
      <c r="M929" t="s">
        <v>6132</v>
      </c>
      <c r="N929" t="s">
        <v>110</v>
      </c>
      <c r="O929" t="s">
        <v>111</v>
      </c>
      <c r="P929" t="str">
        <f>"85286"</f>
        <v>85286</v>
      </c>
      <c r="Q929" t="s">
        <v>113</v>
      </c>
      <c r="R929" t="str">
        <f>"304-94-904"</f>
        <v>304-94-904</v>
      </c>
      <c r="S929" t="s">
        <v>6133</v>
      </c>
      <c r="T929" t="s">
        <v>6134</v>
      </c>
      <c r="U929">
        <v>2289</v>
      </c>
      <c r="W929">
        <v>4</v>
      </c>
      <c r="X929">
        <v>2015</v>
      </c>
      <c r="Z929">
        <v>1</v>
      </c>
      <c r="AA929" t="s">
        <v>26</v>
      </c>
      <c r="AC929" t="s">
        <v>115</v>
      </c>
      <c r="AD929">
        <v>3</v>
      </c>
      <c r="AE929" t="s">
        <v>115</v>
      </c>
      <c r="AH929" t="s">
        <v>116</v>
      </c>
      <c r="AI929" s="1">
        <v>103757</v>
      </c>
      <c r="AJ929" s="2">
        <v>0.23</v>
      </c>
      <c r="AK929" s="1">
        <v>453527</v>
      </c>
      <c r="AL929" t="s">
        <v>117</v>
      </c>
      <c r="AN929">
        <v>6900</v>
      </c>
      <c r="AO929">
        <v>0.16</v>
      </c>
      <c r="AR929">
        <v>1</v>
      </c>
      <c r="AS929" s="1">
        <v>33370</v>
      </c>
      <c r="AT929" s="1">
        <v>6670</v>
      </c>
      <c r="AU929" s="1">
        <v>26700</v>
      </c>
      <c r="AV929">
        <v>80.010000000000005</v>
      </c>
      <c r="AX929" s="1">
        <v>2271.96</v>
      </c>
      <c r="AY929" t="s">
        <v>737</v>
      </c>
      <c r="AZ929" t="s">
        <v>120</v>
      </c>
      <c r="BA929" t="s">
        <v>303</v>
      </c>
      <c r="BE929" s="3">
        <v>42426</v>
      </c>
      <c r="BF929" s="1">
        <v>338597</v>
      </c>
      <c r="BG929" t="s">
        <v>275</v>
      </c>
      <c r="BH929" s="1">
        <v>147.91999999999999</v>
      </c>
      <c r="BI929" s="1">
        <v>349770</v>
      </c>
      <c r="BJ929" s="3">
        <v>42426</v>
      </c>
      <c r="BK929" t="s">
        <v>123</v>
      </c>
      <c r="BL929" t="str">
        <f>"2016.123528"</f>
        <v>2016.123528</v>
      </c>
      <c r="BM929" t="s">
        <v>651</v>
      </c>
      <c r="BO929" t="s">
        <v>6135</v>
      </c>
      <c r="BS929">
        <v>30</v>
      </c>
      <c r="BW929" t="str">
        <f>""</f>
        <v/>
      </c>
      <c r="CH929" t="str">
        <f>""</f>
        <v/>
      </c>
      <c r="CS929" t="str">
        <f>""</f>
        <v/>
      </c>
    </row>
    <row r="930" spans="1:97" x14ac:dyDescent="0.25">
      <c r="A930" t="s">
        <v>5771</v>
      </c>
      <c r="B930" t="s">
        <v>603</v>
      </c>
      <c r="C930" t="s">
        <v>2002</v>
      </c>
      <c r="D930" t="s">
        <v>603</v>
      </c>
      <c r="E930" t="s">
        <v>6136</v>
      </c>
      <c r="F930" t="s">
        <v>108</v>
      </c>
      <c r="H930" t="s">
        <v>6137</v>
      </c>
      <c r="I930" t="s">
        <v>390</v>
      </c>
      <c r="J930" t="s">
        <v>111</v>
      </c>
      <c r="K930" t="str">
        <f>"85042"</f>
        <v>85042</v>
      </c>
      <c r="L930" t="s">
        <v>5799</v>
      </c>
      <c r="M930" t="s">
        <v>6137</v>
      </c>
      <c r="N930" t="s">
        <v>390</v>
      </c>
      <c r="O930" t="s">
        <v>111</v>
      </c>
      <c r="P930" t="str">
        <f>"85042-7982"</f>
        <v>85042-7982</v>
      </c>
      <c r="Q930" t="s">
        <v>113</v>
      </c>
      <c r="R930" t="str">
        <f>"300-39-256"</f>
        <v>300-39-256</v>
      </c>
      <c r="S930" t="s">
        <v>6138</v>
      </c>
      <c r="U930">
        <v>2355</v>
      </c>
      <c r="W930">
        <v>4</v>
      </c>
      <c r="X930">
        <v>2016</v>
      </c>
      <c r="Z930">
        <v>1</v>
      </c>
      <c r="AC930" t="s">
        <v>115</v>
      </c>
      <c r="AD930">
        <v>3</v>
      </c>
      <c r="AE930" t="s">
        <v>115</v>
      </c>
      <c r="AH930" t="s">
        <v>116</v>
      </c>
      <c r="AI930" s="1">
        <v>73</v>
      </c>
      <c r="AJ930" s="2">
        <v>0</v>
      </c>
      <c r="AK930" s="1">
        <v>450073</v>
      </c>
      <c r="AL930" t="s">
        <v>117</v>
      </c>
      <c r="AM930" t="s">
        <v>1302</v>
      </c>
      <c r="AN930">
        <v>7502</v>
      </c>
      <c r="AO930">
        <v>0.17</v>
      </c>
      <c r="AR930">
        <v>1</v>
      </c>
      <c r="AS930" s="1">
        <v>34410</v>
      </c>
      <c r="AT930" s="1">
        <v>6880</v>
      </c>
      <c r="AU930" s="1">
        <v>27530</v>
      </c>
      <c r="AV930">
        <v>80.010000000000005</v>
      </c>
      <c r="AX930" s="1">
        <v>3381.72</v>
      </c>
      <c r="AY930" t="s">
        <v>2859</v>
      </c>
      <c r="AZ930" t="s">
        <v>2859</v>
      </c>
      <c r="BA930" t="s">
        <v>2860</v>
      </c>
      <c r="BB930" s="3">
        <v>42849</v>
      </c>
      <c r="BD930" t="s">
        <v>458</v>
      </c>
      <c r="BE930" s="3">
        <v>42551</v>
      </c>
      <c r="BF930" s="1">
        <v>415767</v>
      </c>
      <c r="BG930" t="s">
        <v>645</v>
      </c>
      <c r="BH930" s="1">
        <v>176.55</v>
      </c>
      <c r="BI930" s="1">
        <v>350000</v>
      </c>
      <c r="BJ930" s="3">
        <v>42551</v>
      </c>
      <c r="BK930" t="s">
        <v>123</v>
      </c>
      <c r="BL930" t="str">
        <f>"2016.458730"</f>
        <v>2016.458730</v>
      </c>
      <c r="BM930" t="s">
        <v>1791</v>
      </c>
      <c r="BN930" t="s">
        <v>5960</v>
      </c>
      <c r="BO930" t="s">
        <v>6139</v>
      </c>
      <c r="BS930">
        <v>30</v>
      </c>
      <c r="BT930" s="1">
        <v>100000</v>
      </c>
      <c r="BU930" s="3">
        <v>43563</v>
      </c>
      <c r="BW930" t="str">
        <f>"2019.244084"</f>
        <v>2019.244084</v>
      </c>
      <c r="BX930" t="s">
        <v>383</v>
      </c>
      <c r="BY930" t="s">
        <v>384</v>
      </c>
      <c r="BZ930" t="s">
        <v>6140</v>
      </c>
      <c r="CA930" t="s">
        <v>6141</v>
      </c>
      <c r="CC930" t="s">
        <v>346</v>
      </c>
      <c r="CH930" t="str">
        <f>""</f>
        <v/>
      </c>
      <c r="CS930" t="str">
        <f>""</f>
        <v/>
      </c>
    </row>
    <row r="931" spans="1:97" x14ac:dyDescent="0.25">
      <c r="B931" t="s">
        <v>6142</v>
      </c>
      <c r="C931" t="s">
        <v>1181</v>
      </c>
      <c r="E931" t="s">
        <v>6143</v>
      </c>
      <c r="F931" t="s">
        <v>108</v>
      </c>
      <c r="H931" t="s">
        <v>6144</v>
      </c>
      <c r="I931" t="s">
        <v>390</v>
      </c>
      <c r="J931" t="s">
        <v>111</v>
      </c>
      <c r="K931" t="str">
        <f>"85021"</f>
        <v>85021</v>
      </c>
      <c r="L931" t="s">
        <v>6145</v>
      </c>
      <c r="M931" t="s">
        <v>6144</v>
      </c>
      <c r="N931" t="s">
        <v>390</v>
      </c>
      <c r="O931" t="s">
        <v>111</v>
      </c>
      <c r="P931" t="str">
        <f>"85021-5535"</f>
        <v>85021-5535</v>
      </c>
      <c r="Q931" t="s">
        <v>113</v>
      </c>
      <c r="R931" t="str">
        <f>"160-57-015-C"</f>
        <v>160-57-015-C</v>
      </c>
      <c r="T931" t="s">
        <v>6146</v>
      </c>
      <c r="U931">
        <v>3190</v>
      </c>
      <c r="W931">
        <v>4</v>
      </c>
      <c r="X931">
        <v>2015</v>
      </c>
      <c r="Z931">
        <v>1</v>
      </c>
      <c r="AC931" t="s">
        <v>115</v>
      </c>
      <c r="AD931">
        <v>2</v>
      </c>
      <c r="AE931" t="s">
        <v>115</v>
      </c>
      <c r="AH931" t="s">
        <v>116</v>
      </c>
      <c r="AI931" s="1">
        <v>52267</v>
      </c>
      <c r="AJ931" s="2">
        <v>7.0000000000000007E-2</v>
      </c>
      <c r="AK931" s="1">
        <v>734454</v>
      </c>
      <c r="AL931" t="s">
        <v>117</v>
      </c>
      <c r="AM931" t="s">
        <v>1302</v>
      </c>
      <c r="AN931">
        <v>11279</v>
      </c>
      <c r="AO931">
        <v>0.26</v>
      </c>
      <c r="AR931">
        <v>1</v>
      </c>
      <c r="AS931" s="1">
        <v>52160</v>
      </c>
      <c r="AT931" s="1">
        <v>10430</v>
      </c>
      <c r="AU931" s="1">
        <v>41730</v>
      </c>
      <c r="AV931">
        <v>80</v>
      </c>
      <c r="AX931" s="1">
        <v>5390.76</v>
      </c>
      <c r="AY931" t="s">
        <v>6147</v>
      </c>
      <c r="AZ931" t="s">
        <v>6148</v>
      </c>
      <c r="BA931" t="s">
        <v>6149</v>
      </c>
      <c r="BB931" s="3">
        <v>43473</v>
      </c>
      <c r="BC931" s="1">
        <v>0</v>
      </c>
      <c r="BD931" t="s">
        <v>247</v>
      </c>
      <c r="BE931" s="3">
        <v>42445</v>
      </c>
      <c r="BF931" s="1">
        <v>675000</v>
      </c>
      <c r="BG931" t="s">
        <v>6150</v>
      </c>
      <c r="BH931" s="1">
        <v>211.6</v>
      </c>
      <c r="BI931" s="1">
        <v>582187</v>
      </c>
      <c r="BJ931" s="3">
        <v>42445</v>
      </c>
      <c r="BK931" t="s">
        <v>123</v>
      </c>
      <c r="BL931" t="str">
        <f>"2016.167796"</f>
        <v>2016.167796</v>
      </c>
      <c r="BM931" t="s">
        <v>936</v>
      </c>
      <c r="BN931" t="s">
        <v>1611</v>
      </c>
      <c r="BO931" t="s">
        <v>6151</v>
      </c>
      <c r="BS931">
        <v>30</v>
      </c>
      <c r="BT931" s="1">
        <v>100000</v>
      </c>
      <c r="BU931" s="3">
        <v>43619</v>
      </c>
      <c r="BV931" t="s">
        <v>134</v>
      </c>
      <c r="BW931" t="str">
        <f>"2019.407545"</f>
        <v>2019.407545</v>
      </c>
      <c r="BX931" t="s">
        <v>6152</v>
      </c>
      <c r="BY931" t="s">
        <v>6153</v>
      </c>
      <c r="BZ931" t="s">
        <v>6142</v>
      </c>
      <c r="CC931" t="s">
        <v>139</v>
      </c>
      <c r="CH931" t="str">
        <f>""</f>
        <v/>
      </c>
      <c r="CS931" t="str">
        <f>""</f>
        <v/>
      </c>
    </row>
    <row r="932" spans="1:97" x14ac:dyDescent="0.25">
      <c r="A932" t="s">
        <v>5678</v>
      </c>
      <c r="B932" t="s">
        <v>6154</v>
      </c>
      <c r="E932" t="s">
        <v>6155</v>
      </c>
      <c r="F932" t="s">
        <v>108</v>
      </c>
      <c r="H932" t="s">
        <v>6156</v>
      </c>
      <c r="I932" t="s">
        <v>225</v>
      </c>
      <c r="J932" t="s">
        <v>111</v>
      </c>
      <c r="K932" t="str">
        <f>"85209"</f>
        <v>85209</v>
      </c>
      <c r="L932" t="s">
        <v>4367</v>
      </c>
      <c r="M932" t="s">
        <v>6156</v>
      </c>
      <c r="N932" t="s">
        <v>225</v>
      </c>
      <c r="O932" t="s">
        <v>111</v>
      </c>
      <c r="P932" t="str">
        <f>"85209-7863"</f>
        <v>85209-7863</v>
      </c>
      <c r="R932" t="str">
        <f>"312-02-741"</f>
        <v>312-02-741</v>
      </c>
      <c r="S932" t="s">
        <v>4389</v>
      </c>
      <c r="U932">
        <v>2237</v>
      </c>
      <c r="W932">
        <v>3</v>
      </c>
      <c r="X932">
        <v>2015</v>
      </c>
      <c r="Z932">
        <v>2</v>
      </c>
      <c r="AC932" t="s">
        <v>115</v>
      </c>
      <c r="AD932">
        <v>2</v>
      </c>
      <c r="AE932" t="s">
        <v>115</v>
      </c>
      <c r="AH932" t="s">
        <v>116</v>
      </c>
      <c r="AI932" s="1">
        <v>113367</v>
      </c>
      <c r="AJ932" s="2">
        <v>0.33</v>
      </c>
      <c r="AK932" s="1">
        <v>343656</v>
      </c>
      <c r="AL932" t="s">
        <v>117</v>
      </c>
      <c r="AM932" t="s">
        <v>4369</v>
      </c>
      <c r="AN932">
        <v>3160</v>
      </c>
      <c r="AO932">
        <v>0.73</v>
      </c>
      <c r="AR932">
        <v>1</v>
      </c>
      <c r="AS932" s="1">
        <v>23810</v>
      </c>
      <c r="AT932" s="1">
        <v>4760</v>
      </c>
      <c r="AU932" s="1">
        <v>19050</v>
      </c>
      <c r="AV932">
        <v>80.010000000000005</v>
      </c>
      <c r="AX932" s="1">
        <v>1609.78</v>
      </c>
      <c r="AY932" t="s">
        <v>4370</v>
      </c>
      <c r="AZ932" t="s">
        <v>777</v>
      </c>
      <c r="BA932" t="s">
        <v>572</v>
      </c>
      <c r="BE932" s="3">
        <v>42326</v>
      </c>
      <c r="BF932" s="1">
        <v>287862</v>
      </c>
      <c r="BG932" t="s">
        <v>3120</v>
      </c>
      <c r="BH932" s="1">
        <v>128.68</v>
      </c>
      <c r="BI932" s="1">
        <v>230289</v>
      </c>
      <c r="BJ932" s="3">
        <v>42326</v>
      </c>
      <c r="BK932" t="s">
        <v>123</v>
      </c>
      <c r="BL932" t="str">
        <f>"2015.824451"</f>
        <v>2015.824451</v>
      </c>
      <c r="BM932" t="s">
        <v>175</v>
      </c>
      <c r="BN932" t="s">
        <v>132</v>
      </c>
      <c r="BO932" t="s">
        <v>6157</v>
      </c>
      <c r="BS932">
        <v>30</v>
      </c>
      <c r="BW932" t="str">
        <f>""</f>
        <v/>
      </c>
      <c r="CH932" t="str">
        <f>""</f>
        <v/>
      </c>
      <c r="CS932" t="str">
        <f>""</f>
        <v/>
      </c>
    </row>
    <row r="933" spans="1:97" x14ac:dyDescent="0.25">
      <c r="A933" t="s">
        <v>6158</v>
      </c>
      <c r="B933" t="s">
        <v>6159</v>
      </c>
      <c r="C933" t="s">
        <v>933</v>
      </c>
      <c r="D933" t="s">
        <v>6159</v>
      </c>
      <c r="E933" t="s">
        <v>6160</v>
      </c>
      <c r="F933" t="s">
        <v>108</v>
      </c>
      <c r="H933" t="s">
        <v>6161</v>
      </c>
      <c r="I933" t="s">
        <v>203</v>
      </c>
      <c r="J933" t="s">
        <v>111</v>
      </c>
      <c r="K933" t="str">
        <f>"85233"</f>
        <v>85233</v>
      </c>
      <c r="L933" t="s">
        <v>5429</v>
      </c>
      <c r="M933" t="s">
        <v>6161</v>
      </c>
      <c r="N933" t="s">
        <v>203</v>
      </c>
      <c r="O933" t="s">
        <v>111</v>
      </c>
      <c r="P933" t="str">
        <f>"85233"</f>
        <v>85233</v>
      </c>
      <c r="Q933" t="s">
        <v>113</v>
      </c>
      <c r="R933" t="str">
        <f>"310-03-430"</f>
        <v>310-03-430</v>
      </c>
      <c r="S933" t="s">
        <v>6162</v>
      </c>
      <c r="U933">
        <v>2200</v>
      </c>
      <c r="W933">
        <v>4</v>
      </c>
      <c r="X933">
        <v>2016</v>
      </c>
      <c r="Z933">
        <v>1</v>
      </c>
      <c r="AC933" t="s">
        <v>115</v>
      </c>
      <c r="AD933">
        <v>3</v>
      </c>
      <c r="AE933" t="s">
        <v>115</v>
      </c>
      <c r="AH933" t="s">
        <v>116</v>
      </c>
      <c r="AI933" s="1">
        <v>434561</v>
      </c>
      <c r="AJ933" s="2">
        <v>1</v>
      </c>
      <c r="AK933" s="1">
        <v>434561</v>
      </c>
      <c r="AL933" t="s">
        <v>117</v>
      </c>
      <c r="AM933" t="s">
        <v>4559</v>
      </c>
      <c r="AN933">
        <v>6659</v>
      </c>
      <c r="AO933">
        <v>0.15</v>
      </c>
      <c r="AR933">
        <v>1</v>
      </c>
      <c r="AS933" s="1">
        <v>33100</v>
      </c>
      <c r="AT933" s="1">
        <v>6620</v>
      </c>
      <c r="AU933" s="1">
        <v>26480</v>
      </c>
      <c r="AV933">
        <v>80</v>
      </c>
      <c r="AX933" s="1">
        <v>2437.62</v>
      </c>
      <c r="AY933" t="s">
        <v>6163</v>
      </c>
      <c r="AZ933" t="s">
        <v>2906</v>
      </c>
      <c r="BA933" t="s">
        <v>2957</v>
      </c>
      <c r="BE933" s="3">
        <v>42551</v>
      </c>
      <c r="BF933" s="1">
        <v>390239</v>
      </c>
      <c r="BG933" t="s">
        <v>1079</v>
      </c>
      <c r="BH933" s="1">
        <v>177.38</v>
      </c>
      <c r="BI933" s="1">
        <v>398629</v>
      </c>
      <c r="BJ933" s="3">
        <v>42551</v>
      </c>
      <c r="BK933" t="s">
        <v>123</v>
      </c>
      <c r="BL933" t="str">
        <f>"2016.461932"</f>
        <v>2016.461932</v>
      </c>
      <c r="BM933" t="s">
        <v>699</v>
      </c>
      <c r="BO933" t="s">
        <v>6164</v>
      </c>
      <c r="BS933">
        <v>30</v>
      </c>
      <c r="BW933" t="str">
        <f>""</f>
        <v/>
      </c>
      <c r="CH933" t="str">
        <f>""</f>
        <v/>
      </c>
      <c r="CS933" t="str">
        <f>""</f>
        <v/>
      </c>
    </row>
    <row r="934" spans="1:97" x14ac:dyDescent="0.25">
      <c r="A934" t="s">
        <v>2542</v>
      </c>
      <c r="B934" t="s">
        <v>6165</v>
      </c>
      <c r="C934" t="s">
        <v>6166</v>
      </c>
      <c r="D934" t="s">
        <v>6165</v>
      </c>
      <c r="E934" t="s">
        <v>6167</v>
      </c>
      <c r="F934" t="s">
        <v>108</v>
      </c>
      <c r="H934" t="s">
        <v>6168</v>
      </c>
      <c r="I934" t="s">
        <v>2874</v>
      </c>
      <c r="J934" t="s">
        <v>111</v>
      </c>
      <c r="K934" t="str">
        <f>"85307"</f>
        <v>85307</v>
      </c>
      <c r="L934" t="s">
        <v>6169</v>
      </c>
      <c r="M934" t="s">
        <v>6168</v>
      </c>
      <c r="N934" t="s">
        <v>2874</v>
      </c>
      <c r="O934" t="s">
        <v>111</v>
      </c>
      <c r="P934" t="str">
        <f>"85307-1925"</f>
        <v>85307-1925</v>
      </c>
      <c r="Q934" t="s">
        <v>113</v>
      </c>
      <c r="R934" t="str">
        <f>"501-56-473"</f>
        <v>501-56-473</v>
      </c>
      <c r="S934" t="s">
        <v>6170</v>
      </c>
      <c r="T934" t="s">
        <v>6171</v>
      </c>
      <c r="U934">
        <v>1951</v>
      </c>
      <c r="W934">
        <v>4</v>
      </c>
      <c r="X934">
        <v>2016</v>
      </c>
      <c r="Z934">
        <v>1</v>
      </c>
      <c r="AC934" t="s">
        <v>115</v>
      </c>
      <c r="AD934">
        <v>2</v>
      </c>
      <c r="AE934" t="s">
        <v>115</v>
      </c>
      <c r="AH934" t="s">
        <v>116</v>
      </c>
      <c r="AI934" s="1">
        <v>39436</v>
      </c>
      <c r="AJ934" s="2">
        <v>0.12</v>
      </c>
      <c r="AK934" s="1">
        <v>318346</v>
      </c>
      <c r="AL934" t="s">
        <v>117</v>
      </c>
      <c r="AN934">
        <v>9290</v>
      </c>
      <c r="AO934">
        <v>0.21</v>
      </c>
      <c r="AR934">
        <v>1</v>
      </c>
      <c r="AS934" s="1">
        <v>23420</v>
      </c>
      <c r="AT934" s="1">
        <v>4680</v>
      </c>
      <c r="AU934" s="1">
        <v>18740</v>
      </c>
      <c r="AV934">
        <v>80.02</v>
      </c>
      <c r="AX934" s="1">
        <v>1749.62</v>
      </c>
      <c r="AY934" t="s">
        <v>5241</v>
      </c>
      <c r="AZ934" t="s">
        <v>3153</v>
      </c>
      <c r="BA934" t="s">
        <v>3154</v>
      </c>
      <c r="BE934" s="3">
        <v>42551</v>
      </c>
      <c r="BF934" s="1">
        <v>270000</v>
      </c>
      <c r="BG934" t="s">
        <v>195</v>
      </c>
      <c r="BH934" s="1">
        <v>138.38999999999999</v>
      </c>
      <c r="BI934" s="1">
        <v>278910</v>
      </c>
      <c r="BJ934" s="3">
        <v>42551</v>
      </c>
      <c r="BK934" t="s">
        <v>123</v>
      </c>
      <c r="BL934" t="str">
        <f>"2016.458091"</f>
        <v>2016.458091</v>
      </c>
      <c r="BM934" t="s">
        <v>196</v>
      </c>
      <c r="BO934" t="s">
        <v>6172</v>
      </c>
      <c r="BS934">
        <v>30</v>
      </c>
      <c r="BW934" t="str">
        <f>""</f>
        <v/>
      </c>
      <c r="CH934" t="str">
        <f>""</f>
        <v/>
      </c>
      <c r="CS934" t="str">
        <f>""</f>
        <v/>
      </c>
    </row>
    <row r="935" spans="1:97" x14ac:dyDescent="0.25">
      <c r="A935" t="s">
        <v>1444</v>
      </c>
      <c r="B935" t="s">
        <v>6173</v>
      </c>
      <c r="C935" t="s">
        <v>2761</v>
      </c>
      <c r="D935" t="s">
        <v>6173</v>
      </c>
      <c r="E935" t="s">
        <v>6174</v>
      </c>
      <c r="F935" t="s">
        <v>108</v>
      </c>
      <c r="H935" t="s">
        <v>6175</v>
      </c>
      <c r="I935" t="s">
        <v>225</v>
      </c>
      <c r="J935" t="s">
        <v>111</v>
      </c>
      <c r="K935" t="str">
        <f>"85209"</f>
        <v>85209</v>
      </c>
      <c r="L935" t="s">
        <v>4367</v>
      </c>
      <c r="M935" t="s">
        <v>6175</v>
      </c>
      <c r="N935" t="s">
        <v>225</v>
      </c>
      <c r="O935" t="s">
        <v>111</v>
      </c>
      <c r="P935" t="str">
        <f>"85209-7833"</f>
        <v>85209-7833</v>
      </c>
      <c r="Q935" t="s">
        <v>113</v>
      </c>
      <c r="R935" t="str">
        <f>"312-02-279"</f>
        <v>312-02-279</v>
      </c>
      <c r="S935" t="s">
        <v>4424</v>
      </c>
      <c r="U935">
        <v>2464</v>
      </c>
      <c r="W935">
        <v>4</v>
      </c>
      <c r="X935">
        <v>2016</v>
      </c>
      <c r="Z935">
        <v>1</v>
      </c>
      <c r="AC935" t="s">
        <v>115</v>
      </c>
      <c r="AD935">
        <v>3</v>
      </c>
      <c r="AE935" t="s">
        <v>115</v>
      </c>
      <c r="AH935" t="s">
        <v>116</v>
      </c>
      <c r="AI935" s="1">
        <v>86013</v>
      </c>
      <c r="AJ935" s="2">
        <v>0.2</v>
      </c>
      <c r="AK935" s="1">
        <v>436013</v>
      </c>
      <c r="AL935" t="s">
        <v>117</v>
      </c>
      <c r="AN935">
        <v>7500</v>
      </c>
      <c r="AO935">
        <v>0.17</v>
      </c>
      <c r="AR935">
        <v>1</v>
      </c>
      <c r="AS935" s="1">
        <v>31500</v>
      </c>
      <c r="AT935" s="1">
        <v>6300</v>
      </c>
      <c r="AU935" s="1">
        <v>25200</v>
      </c>
      <c r="AV935">
        <v>80</v>
      </c>
      <c r="AX935" s="1">
        <v>2168.08</v>
      </c>
      <c r="AY935" t="s">
        <v>4370</v>
      </c>
      <c r="AZ935" t="s">
        <v>777</v>
      </c>
      <c r="BA935" t="s">
        <v>572</v>
      </c>
      <c r="BE935" s="3">
        <v>42543</v>
      </c>
      <c r="BF935" s="1">
        <v>350000</v>
      </c>
      <c r="BG935" t="s">
        <v>3120</v>
      </c>
      <c r="BH935" s="1">
        <v>142.05000000000001</v>
      </c>
      <c r="BI935" s="1">
        <v>350000</v>
      </c>
      <c r="BJ935" s="3">
        <v>42543</v>
      </c>
      <c r="BK935" t="s">
        <v>123</v>
      </c>
      <c r="BL935" t="str">
        <f>"2016.437660"</f>
        <v>2016.437660</v>
      </c>
      <c r="BM935" t="s">
        <v>475</v>
      </c>
      <c r="BO935" t="s">
        <v>6176</v>
      </c>
      <c r="BS935">
        <v>30</v>
      </c>
      <c r="BW935" t="str">
        <f>""</f>
        <v/>
      </c>
      <c r="CH935" t="str">
        <f>""</f>
        <v/>
      </c>
      <c r="CS935" t="str">
        <f>""</f>
        <v/>
      </c>
    </row>
    <row r="936" spans="1:97" x14ac:dyDescent="0.25">
      <c r="A936" t="s">
        <v>404</v>
      </c>
      <c r="B936" t="s">
        <v>6177</v>
      </c>
      <c r="C936" t="s">
        <v>3926</v>
      </c>
      <c r="D936" t="s">
        <v>6177</v>
      </c>
      <c r="E936" t="s">
        <v>6178</v>
      </c>
      <c r="F936" t="s">
        <v>108</v>
      </c>
      <c r="H936" t="s">
        <v>6179</v>
      </c>
      <c r="I936" t="s">
        <v>225</v>
      </c>
      <c r="J936" t="s">
        <v>111</v>
      </c>
      <c r="K936" t="str">
        <f>"85212"</f>
        <v>85212</v>
      </c>
      <c r="L936" t="s">
        <v>4259</v>
      </c>
      <c r="M936" t="s">
        <v>6179</v>
      </c>
      <c r="N936" t="s">
        <v>225</v>
      </c>
      <c r="O936" t="s">
        <v>111</v>
      </c>
      <c r="P936" t="str">
        <f>"85212-9781"</f>
        <v>85212-9781</v>
      </c>
      <c r="Q936" t="s">
        <v>113</v>
      </c>
      <c r="R936" t="str">
        <f>"304-17-632"</f>
        <v>304-17-632</v>
      </c>
      <c r="S936" t="s">
        <v>4260</v>
      </c>
      <c r="T936" t="s">
        <v>569</v>
      </c>
      <c r="U936">
        <v>2572</v>
      </c>
      <c r="W936">
        <v>4</v>
      </c>
      <c r="X936">
        <v>2015</v>
      </c>
      <c r="Z936">
        <v>2</v>
      </c>
      <c r="AA936" t="s">
        <v>26</v>
      </c>
      <c r="AC936" t="s">
        <v>115</v>
      </c>
      <c r="AD936">
        <v>2</v>
      </c>
      <c r="AE936" t="s">
        <v>115</v>
      </c>
      <c r="AH936" t="s">
        <v>116</v>
      </c>
      <c r="AI936" s="1">
        <v>102320</v>
      </c>
      <c r="AJ936" s="2">
        <v>0.26</v>
      </c>
      <c r="AK936" s="1">
        <v>399310</v>
      </c>
      <c r="AL936" t="s">
        <v>117</v>
      </c>
      <c r="AM936" t="s">
        <v>191</v>
      </c>
      <c r="AN936">
        <v>5750</v>
      </c>
      <c r="AO936">
        <v>0.13</v>
      </c>
      <c r="AR936">
        <v>1</v>
      </c>
      <c r="AS936" s="1">
        <v>28800</v>
      </c>
      <c r="AT936" s="1">
        <v>5760</v>
      </c>
      <c r="AU936" s="1">
        <v>23040</v>
      </c>
      <c r="AV936">
        <v>80</v>
      </c>
      <c r="AX936" s="1">
        <v>1873</v>
      </c>
      <c r="AY936" t="s">
        <v>570</v>
      </c>
      <c r="AZ936" t="s">
        <v>571</v>
      </c>
      <c r="BA936" t="s">
        <v>572</v>
      </c>
      <c r="BE936" s="3">
        <v>42395</v>
      </c>
      <c r="BF936" s="1">
        <v>296990</v>
      </c>
      <c r="BG936" t="s">
        <v>195</v>
      </c>
      <c r="BH936" s="1">
        <v>115.47</v>
      </c>
      <c r="BI936" s="1">
        <v>296990</v>
      </c>
      <c r="BJ936" s="3">
        <v>42395</v>
      </c>
      <c r="BK936" t="s">
        <v>123</v>
      </c>
      <c r="BL936" t="str">
        <f>"2016.52114"</f>
        <v>2016.52114</v>
      </c>
      <c r="BM936" t="s">
        <v>5938</v>
      </c>
      <c r="BO936" t="s">
        <v>6180</v>
      </c>
      <c r="BS936">
        <v>30</v>
      </c>
      <c r="BW936" t="str">
        <f>""</f>
        <v/>
      </c>
      <c r="CH936" t="str">
        <f>""</f>
        <v/>
      </c>
      <c r="CS936" t="str">
        <f>""</f>
        <v/>
      </c>
    </row>
    <row r="937" spans="1:97" x14ac:dyDescent="0.25">
      <c r="A937" t="s">
        <v>2433</v>
      </c>
      <c r="B937" t="s">
        <v>6181</v>
      </c>
      <c r="C937" t="s">
        <v>220</v>
      </c>
      <c r="D937" t="s">
        <v>6181</v>
      </c>
      <c r="E937" t="s">
        <v>6182</v>
      </c>
      <c r="F937" t="s">
        <v>108</v>
      </c>
      <c r="H937" t="s">
        <v>6183</v>
      </c>
      <c r="I937" t="s">
        <v>225</v>
      </c>
      <c r="J937" t="s">
        <v>111</v>
      </c>
      <c r="K937" t="str">
        <f>"85209"</f>
        <v>85209</v>
      </c>
      <c r="L937" t="s">
        <v>4367</v>
      </c>
      <c r="M937" t="s">
        <v>6183</v>
      </c>
      <c r="N937" t="s">
        <v>225</v>
      </c>
      <c r="O937" t="s">
        <v>111</v>
      </c>
      <c r="P937" t="str">
        <f>"85209-7872"</f>
        <v>85209-7872</v>
      </c>
      <c r="Q937" t="s">
        <v>113</v>
      </c>
      <c r="R937" t="str">
        <f>"312-02-779"</f>
        <v>312-02-779</v>
      </c>
      <c r="S937" t="s">
        <v>4389</v>
      </c>
      <c r="U937">
        <v>2148</v>
      </c>
      <c r="W937">
        <v>3</v>
      </c>
      <c r="X937">
        <v>2015</v>
      </c>
      <c r="Z937">
        <v>2</v>
      </c>
      <c r="AC937" t="s">
        <v>115</v>
      </c>
      <c r="AD937">
        <v>2</v>
      </c>
      <c r="AE937" t="s">
        <v>115</v>
      </c>
      <c r="AH937" t="s">
        <v>116</v>
      </c>
      <c r="AI937" s="1">
        <v>-59157</v>
      </c>
      <c r="AJ937" s="2">
        <v>-0.24</v>
      </c>
      <c r="AK937" s="1">
        <v>245061</v>
      </c>
      <c r="AL937" t="s">
        <v>117</v>
      </c>
      <c r="AM937" t="s">
        <v>4369</v>
      </c>
      <c r="AN937">
        <v>3160</v>
      </c>
      <c r="AO937">
        <v>0.73</v>
      </c>
      <c r="AR937">
        <v>1</v>
      </c>
      <c r="AS937" s="1">
        <v>23350</v>
      </c>
      <c r="AT937" s="1">
        <v>4670</v>
      </c>
      <c r="AU937" s="1">
        <v>18680</v>
      </c>
      <c r="AV937">
        <v>80</v>
      </c>
      <c r="AX937" s="1">
        <v>1573.26</v>
      </c>
      <c r="AY937" t="s">
        <v>4370</v>
      </c>
      <c r="AZ937" t="s">
        <v>777</v>
      </c>
      <c r="BA937" t="s">
        <v>572</v>
      </c>
      <c r="BE937" s="3">
        <v>42356</v>
      </c>
      <c r="BF937" s="1">
        <v>264344</v>
      </c>
      <c r="BG937" t="s">
        <v>3120</v>
      </c>
      <c r="BH937" s="1">
        <v>123.07</v>
      </c>
      <c r="BI937" s="1">
        <v>304218</v>
      </c>
      <c r="BJ937" s="3">
        <v>43025</v>
      </c>
      <c r="BK937" t="s">
        <v>123</v>
      </c>
      <c r="BL937" t="str">
        <f>"2017.767798"</f>
        <v>2017.767798</v>
      </c>
      <c r="BM937" t="s">
        <v>361</v>
      </c>
      <c r="BN937">
        <v>92610</v>
      </c>
      <c r="BO937" t="s">
        <v>6184</v>
      </c>
      <c r="BS937">
        <v>30</v>
      </c>
      <c r="BT937" s="1">
        <v>304218</v>
      </c>
      <c r="BU937" s="3">
        <v>43025</v>
      </c>
      <c r="BV937" t="s">
        <v>123</v>
      </c>
      <c r="BW937" t="str">
        <f>"2017.767798"</f>
        <v>2017.767798</v>
      </c>
      <c r="BX937" t="s">
        <v>361</v>
      </c>
      <c r="BZ937" t="s">
        <v>6184</v>
      </c>
      <c r="CD937">
        <v>30</v>
      </c>
      <c r="CH937" t="str">
        <f>""</f>
        <v/>
      </c>
      <c r="CS937" t="str">
        <f>""</f>
        <v/>
      </c>
    </row>
    <row r="938" spans="1:97" x14ac:dyDescent="0.25">
      <c r="A938" t="s">
        <v>4145</v>
      </c>
      <c r="B938" t="s">
        <v>6185</v>
      </c>
      <c r="C938" t="s">
        <v>2374</v>
      </c>
      <c r="D938" t="s">
        <v>6185</v>
      </c>
      <c r="E938" t="s">
        <v>6186</v>
      </c>
      <c r="F938" t="s">
        <v>108</v>
      </c>
      <c r="H938" t="s">
        <v>6187</v>
      </c>
      <c r="I938" t="s">
        <v>453</v>
      </c>
      <c r="J938" t="s">
        <v>111</v>
      </c>
      <c r="K938" t="str">
        <f>"85383"</f>
        <v>85383</v>
      </c>
      <c r="L938" t="s">
        <v>4316</v>
      </c>
      <c r="M938" t="s">
        <v>6187</v>
      </c>
      <c r="N938" t="s">
        <v>453</v>
      </c>
      <c r="O938" t="s">
        <v>111</v>
      </c>
      <c r="P938" t="str">
        <f>"85383-5425"</f>
        <v>85383-5425</v>
      </c>
      <c r="Q938" t="s">
        <v>113</v>
      </c>
      <c r="R938" t="str">
        <f>"510-09-079"</f>
        <v>510-09-079</v>
      </c>
      <c r="S938" t="s">
        <v>4317</v>
      </c>
      <c r="U938">
        <v>1587</v>
      </c>
      <c r="W938">
        <v>3</v>
      </c>
      <c r="X938">
        <v>2016</v>
      </c>
      <c r="Z938">
        <v>1</v>
      </c>
      <c r="AA938" t="s">
        <v>26</v>
      </c>
      <c r="AC938" t="s">
        <v>115</v>
      </c>
      <c r="AD938">
        <v>2</v>
      </c>
      <c r="AE938" t="s">
        <v>115</v>
      </c>
      <c r="AH938" t="s">
        <v>116</v>
      </c>
      <c r="AI938" s="1">
        <v>158305</v>
      </c>
      <c r="AJ938" s="2">
        <v>0.39</v>
      </c>
      <c r="AK938" s="1">
        <v>406570</v>
      </c>
      <c r="AL938" t="s">
        <v>117</v>
      </c>
      <c r="AM938" t="s">
        <v>118</v>
      </c>
      <c r="AN938">
        <v>5750</v>
      </c>
      <c r="AO938">
        <v>0.13</v>
      </c>
      <c r="AR938">
        <v>1</v>
      </c>
      <c r="AS938" s="1">
        <v>31910</v>
      </c>
      <c r="AT938" s="1">
        <v>6380</v>
      </c>
      <c r="AU938" s="1">
        <v>25530</v>
      </c>
      <c r="AV938">
        <v>80.010000000000005</v>
      </c>
      <c r="AX938" s="1">
        <v>2985.04</v>
      </c>
      <c r="AY938" t="s">
        <v>456</v>
      </c>
      <c r="AZ938" t="s">
        <v>456</v>
      </c>
      <c r="BA938" t="s">
        <v>457</v>
      </c>
      <c r="BE938" s="3">
        <v>42510</v>
      </c>
      <c r="BF938" s="1">
        <v>274953</v>
      </c>
      <c r="BG938" t="s">
        <v>4318</v>
      </c>
      <c r="BH938" s="1">
        <v>173.25</v>
      </c>
      <c r="BI938" s="1">
        <v>222711</v>
      </c>
      <c r="BJ938" s="3">
        <v>42510</v>
      </c>
      <c r="BK938" t="s">
        <v>123</v>
      </c>
      <c r="BL938" t="str">
        <f>"2016.349908"</f>
        <v>2016.349908</v>
      </c>
      <c r="BM938" t="s">
        <v>594</v>
      </c>
      <c r="BO938" t="s">
        <v>6188</v>
      </c>
      <c r="BS938">
        <v>30</v>
      </c>
      <c r="BT938" s="1">
        <v>25554</v>
      </c>
      <c r="BU938" s="3">
        <v>42559</v>
      </c>
      <c r="BV938" t="s">
        <v>134</v>
      </c>
      <c r="BW938" t="str">
        <f>"2016.479607"</f>
        <v>2016.479607</v>
      </c>
      <c r="BX938" t="s">
        <v>198</v>
      </c>
      <c r="BZ938" t="s">
        <v>6189</v>
      </c>
      <c r="CD938">
        <v>15</v>
      </c>
      <c r="CH938" t="str">
        <f>""</f>
        <v/>
      </c>
      <c r="CS938" t="str">
        <f>""</f>
        <v/>
      </c>
    </row>
    <row r="939" spans="1:97" x14ac:dyDescent="0.25">
      <c r="A939" t="s">
        <v>6190</v>
      </c>
      <c r="B939" t="s">
        <v>348</v>
      </c>
      <c r="C939" t="s">
        <v>4874</v>
      </c>
      <c r="D939" t="s">
        <v>348</v>
      </c>
      <c r="E939" t="s">
        <v>6191</v>
      </c>
      <c r="F939" t="s">
        <v>108</v>
      </c>
      <c r="H939" t="s">
        <v>6192</v>
      </c>
      <c r="I939" t="s">
        <v>453</v>
      </c>
      <c r="J939" t="s">
        <v>111</v>
      </c>
      <c r="K939" t="str">
        <f>"85383"</f>
        <v>85383</v>
      </c>
      <c r="L939" t="s">
        <v>189</v>
      </c>
      <c r="M939" t="s">
        <v>6192</v>
      </c>
      <c r="N939" t="s">
        <v>453</v>
      </c>
      <c r="O939" t="s">
        <v>111</v>
      </c>
      <c r="P939" t="str">
        <f>"85383-8070"</f>
        <v>85383-8070</v>
      </c>
      <c r="Q939" t="s">
        <v>113</v>
      </c>
      <c r="R939" t="str">
        <f>"510-09-365"</f>
        <v>510-09-365</v>
      </c>
      <c r="S939" t="s">
        <v>6193</v>
      </c>
      <c r="U939">
        <v>3383</v>
      </c>
      <c r="W939">
        <v>5</v>
      </c>
      <c r="X939">
        <v>2016</v>
      </c>
      <c r="Z939">
        <v>1</v>
      </c>
      <c r="AA939" t="s">
        <v>26</v>
      </c>
      <c r="AC939" t="s">
        <v>115</v>
      </c>
      <c r="AD939">
        <v>3</v>
      </c>
      <c r="AE939" t="s">
        <v>115</v>
      </c>
      <c r="AH939" t="s">
        <v>116</v>
      </c>
      <c r="AI939" s="1">
        <v>89309</v>
      </c>
      <c r="AJ939" s="2">
        <v>0.1</v>
      </c>
      <c r="AK939" s="1">
        <v>852807</v>
      </c>
      <c r="AL939" t="s">
        <v>117</v>
      </c>
      <c r="AM939" t="s">
        <v>118</v>
      </c>
      <c r="AN939">
        <v>12133</v>
      </c>
      <c r="AO939">
        <v>0.28000000000000003</v>
      </c>
      <c r="AR939">
        <v>1</v>
      </c>
      <c r="AS939" s="1">
        <v>78750</v>
      </c>
      <c r="AT939" s="1">
        <v>15750</v>
      </c>
      <c r="AU939" s="1">
        <v>63000</v>
      </c>
      <c r="AV939">
        <v>80</v>
      </c>
      <c r="AX939" s="1">
        <v>4878.68</v>
      </c>
      <c r="AY939" t="s">
        <v>456</v>
      </c>
      <c r="AZ939" t="s">
        <v>456</v>
      </c>
      <c r="BA939" t="s">
        <v>457</v>
      </c>
      <c r="BE939" s="3">
        <v>42454</v>
      </c>
      <c r="BF939" s="1">
        <v>852894</v>
      </c>
      <c r="BG939" t="s">
        <v>1238</v>
      </c>
      <c r="BH939" s="1">
        <v>252.11</v>
      </c>
      <c r="BI939" s="1">
        <v>763498</v>
      </c>
      <c r="BJ939" s="3">
        <v>42524</v>
      </c>
      <c r="BK939" t="s">
        <v>123</v>
      </c>
      <c r="BL939" t="str">
        <f>"2016.384309"</f>
        <v>2016.384309</v>
      </c>
      <c r="BM939" t="s">
        <v>1707</v>
      </c>
      <c r="BN939" t="s">
        <v>1922</v>
      </c>
      <c r="BO939" t="s">
        <v>6194</v>
      </c>
      <c r="BS939">
        <v>30</v>
      </c>
      <c r="BT939" s="1">
        <v>763498</v>
      </c>
      <c r="BU939" s="3">
        <v>42524</v>
      </c>
      <c r="BV939" t="s">
        <v>123</v>
      </c>
      <c r="BW939" t="str">
        <f>"2016.384309"</f>
        <v>2016.384309</v>
      </c>
      <c r="BX939" t="s">
        <v>1707</v>
      </c>
      <c r="BZ939" t="s">
        <v>6194</v>
      </c>
      <c r="CD939">
        <v>30</v>
      </c>
      <c r="CH939" t="str">
        <f>""</f>
        <v/>
      </c>
      <c r="CS939" t="str">
        <f>""</f>
        <v/>
      </c>
    </row>
    <row r="940" spans="1:97" x14ac:dyDescent="0.25">
      <c r="A940" t="s">
        <v>6195</v>
      </c>
      <c r="B940" t="s">
        <v>6196</v>
      </c>
      <c r="C940" t="s">
        <v>6197</v>
      </c>
      <c r="D940" t="s">
        <v>6196</v>
      </c>
      <c r="E940" t="s">
        <v>6198</v>
      </c>
      <c r="F940" t="s">
        <v>108</v>
      </c>
      <c r="H940" t="s">
        <v>6199</v>
      </c>
      <c r="I940" t="s">
        <v>390</v>
      </c>
      <c r="J940" t="s">
        <v>111</v>
      </c>
      <c r="K940" t="str">
        <f>"85048"</f>
        <v>85048</v>
      </c>
      <c r="L940" t="s">
        <v>5464</v>
      </c>
      <c r="M940" t="s">
        <v>6199</v>
      </c>
      <c r="N940" t="s">
        <v>390</v>
      </c>
      <c r="O940" t="s">
        <v>111</v>
      </c>
      <c r="P940" t="str">
        <f>"85048-5903"</f>
        <v>85048-5903</v>
      </c>
      <c r="Q940" t="s">
        <v>113</v>
      </c>
      <c r="R940" t="str">
        <f>"300-94-167"</f>
        <v>300-94-167</v>
      </c>
      <c r="S940" t="s">
        <v>6200</v>
      </c>
      <c r="T940" t="s">
        <v>6201</v>
      </c>
      <c r="U940">
        <v>2686</v>
      </c>
      <c r="V940">
        <v>0</v>
      </c>
      <c r="W940">
        <v>4</v>
      </c>
      <c r="X940">
        <v>1993</v>
      </c>
      <c r="Z940">
        <v>1</v>
      </c>
      <c r="AA940" t="s">
        <v>26</v>
      </c>
      <c r="AB940">
        <v>0</v>
      </c>
      <c r="AC940" t="s">
        <v>115</v>
      </c>
      <c r="AD940">
        <v>3</v>
      </c>
      <c r="AE940" t="s">
        <v>115</v>
      </c>
      <c r="AF940">
        <v>0</v>
      </c>
      <c r="AG940">
        <v>0</v>
      </c>
      <c r="AH940" t="s">
        <v>116</v>
      </c>
      <c r="AI940" s="1">
        <v>99324</v>
      </c>
      <c r="AJ940" s="2">
        <v>0.19</v>
      </c>
      <c r="AK940" s="1">
        <v>514924</v>
      </c>
      <c r="AL940" t="s">
        <v>117</v>
      </c>
      <c r="AM940" t="s">
        <v>1315</v>
      </c>
      <c r="AN940">
        <v>10663</v>
      </c>
      <c r="AO940">
        <v>0.24</v>
      </c>
      <c r="AP940">
        <v>1</v>
      </c>
      <c r="AR940">
        <v>1</v>
      </c>
      <c r="AS940" s="1">
        <v>42930</v>
      </c>
      <c r="AT940" s="1">
        <v>8580</v>
      </c>
      <c r="AU940" s="1">
        <v>34350</v>
      </c>
      <c r="AV940">
        <v>80.010000000000005</v>
      </c>
      <c r="AX940" s="1">
        <v>4771.1000000000004</v>
      </c>
      <c r="AY940" t="s">
        <v>6202</v>
      </c>
      <c r="AZ940" t="s">
        <v>2967</v>
      </c>
      <c r="BA940" t="s">
        <v>930</v>
      </c>
      <c r="BE940" s="3">
        <v>41712</v>
      </c>
      <c r="BF940" s="1">
        <v>435294</v>
      </c>
      <c r="BG940" t="s">
        <v>6203</v>
      </c>
      <c r="BH940" s="1">
        <v>162.06</v>
      </c>
      <c r="BI940" s="1">
        <v>415600</v>
      </c>
      <c r="BJ940" s="3">
        <v>42661</v>
      </c>
      <c r="BK940" t="s">
        <v>123</v>
      </c>
      <c r="BL940" t="str">
        <f>"2016.764122"</f>
        <v>2016.764122</v>
      </c>
      <c r="BM940" t="s">
        <v>124</v>
      </c>
      <c r="BN940" t="s">
        <v>1575</v>
      </c>
      <c r="BO940" t="s">
        <v>6204</v>
      </c>
      <c r="BS940">
        <v>30</v>
      </c>
      <c r="BW940" t="str">
        <f>""</f>
        <v/>
      </c>
      <c r="CH940" t="str">
        <f>""</f>
        <v/>
      </c>
      <c r="CS940" t="str">
        <f>""</f>
        <v/>
      </c>
    </row>
    <row r="941" spans="1:97" x14ac:dyDescent="0.25">
      <c r="A941" t="s">
        <v>1009</v>
      </c>
      <c r="B941" t="s">
        <v>1450</v>
      </c>
      <c r="C941" t="s">
        <v>970</v>
      </c>
      <c r="D941" t="s">
        <v>1450</v>
      </c>
      <c r="E941" t="s">
        <v>6205</v>
      </c>
      <c r="F941" t="s">
        <v>108</v>
      </c>
      <c r="H941" t="s">
        <v>6206</v>
      </c>
      <c r="I941" t="s">
        <v>390</v>
      </c>
      <c r="J941" t="s">
        <v>111</v>
      </c>
      <c r="K941" t="str">
        <f>"85024"</f>
        <v>85024</v>
      </c>
      <c r="L941" t="s">
        <v>5185</v>
      </c>
      <c r="M941" t="s">
        <v>6206</v>
      </c>
      <c r="N941" t="s">
        <v>390</v>
      </c>
      <c r="O941" t="s">
        <v>111</v>
      </c>
      <c r="P941" t="str">
        <f>"85024-4325"</f>
        <v>85024-4325</v>
      </c>
      <c r="Q941" t="s">
        <v>113</v>
      </c>
      <c r="R941" t="str">
        <f>"213-05-133"</f>
        <v>213-05-133</v>
      </c>
      <c r="S941" t="s">
        <v>6207</v>
      </c>
      <c r="T941" t="s">
        <v>6207</v>
      </c>
      <c r="U941">
        <v>2414</v>
      </c>
      <c r="V941">
        <v>0</v>
      </c>
      <c r="W941">
        <v>4</v>
      </c>
      <c r="X941">
        <v>1996</v>
      </c>
      <c r="Z941">
        <v>2</v>
      </c>
      <c r="AA941" t="s">
        <v>26</v>
      </c>
      <c r="AB941">
        <v>0</v>
      </c>
      <c r="AC941" t="s">
        <v>115</v>
      </c>
      <c r="AD941">
        <v>3</v>
      </c>
      <c r="AE941" t="s">
        <v>115</v>
      </c>
      <c r="AF941">
        <v>0</v>
      </c>
      <c r="AG941">
        <v>0</v>
      </c>
      <c r="AH941" t="s">
        <v>116</v>
      </c>
      <c r="AI941" s="1">
        <v>87655</v>
      </c>
      <c r="AJ941" s="2">
        <v>0.2</v>
      </c>
      <c r="AK941" s="1">
        <v>445180</v>
      </c>
      <c r="AL941" t="s">
        <v>117</v>
      </c>
      <c r="AM941" t="s">
        <v>191</v>
      </c>
      <c r="AN941">
        <v>11198</v>
      </c>
      <c r="AO941">
        <v>0.26</v>
      </c>
      <c r="AP941">
        <v>1</v>
      </c>
      <c r="AR941">
        <v>1</v>
      </c>
      <c r="AS941" s="1">
        <v>34170</v>
      </c>
      <c r="AT941" s="1">
        <v>6830</v>
      </c>
      <c r="AU941" s="1">
        <v>27340</v>
      </c>
      <c r="AV941">
        <v>80.010000000000005</v>
      </c>
      <c r="AX941" s="1">
        <v>3118.46</v>
      </c>
      <c r="AY941" t="s">
        <v>570</v>
      </c>
      <c r="AZ941" t="s">
        <v>761</v>
      </c>
      <c r="BA941" t="s">
        <v>762</v>
      </c>
      <c r="BE941" s="3">
        <v>41689</v>
      </c>
      <c r="BF941" s="1">
        <v>351250</v>
      </c>
      <c r="BG941" t="s">
        <v>6208</v>
      </c>
      <c r="BH941" s="1">
        <v>145.51</v>
      </c>
      <c r="BI941" s="1">
        <v>357525</v>
      </c>
      <c r="BJ941" s="3">
        <v>42459</v>
      </c>
      <c r="BK941" t="s">
        <v>123</v>
      </c>
      <c r="BL941" t="str">
        <f>"2016.205048"</f>
        <v>2016.205048</v>
      </c>
      <c r="BM941" t="s">
        <v>2472</v>
      </c>
      <c r="BO941" t="s">
        <v>6209</v>
      </c>
      <c r="BS941">
        <v>30</v>
      </c>
      <c r="BW941" t="str">
        <f>""</f>
        <v/>
      </c>
      <c r="CH941" t="str">
        <f>""</f>
        <v/>
      </c>
      <c r="CS941" t="str">
        <f>""</f>
        <v/>
      </c>
    </row>
    <row r="942" spans="1:97" x14ac:dyDescent="0.25">
      <c r="A942" t="s">
        <v>6210</v>
      </c>
      <c r="B942" t="s">
        <v>6211</v>
      </c>
      <c r="E942" t="s">
        <v>6212</v>
      </c>
      <c r="F942" t="s">
        <v>108</v>
      </c>
      <c r="H942" t="s">
        <v>6213</v>
      </c>
      <c r="I942" t="s">
        <v>4251</v>
      </c>
      <c r="J942" t="s">
        <v>111</v>
      </c>
      <c r="K942" t="str">
        <f>"85353"</f>
        <v>85353</v>
      </c>
      <c r="L942" t="s">
        <v>3885</v>
      </c>
      <c r="M942" t="s">
        <v>6213</v>
      </c>
      <c r="N942" t="s">
        <v>4251</v>
      </c>
      <c r="O942" t="s">
        <v>111</v>
      </c>
      <c r="P942" t="str">
        <f>"85353-1367"</f>
        <v>85353-1367</v>
      </c>
      <c r="Q942" t="s">
        <v>113</v>
      </c>
      <c r="R942" t="str">
        <f>"101-27-739"</f>
        <v>101-27-739</v>
      </c>
      <c r="S942" t="s">
        <v>4252</v>
      </c>
      <c r="U942">
        <v>2000</v>
      </c>
      <c r="W942">
        <v>4</v>
      </c>
      <c r="X942">
        <v>2016</v>
      </c>
      <c r="Z942">
        <v>1</v>
      </c>
      <c r="AC942" t="s">
        <v>115</v>
      </c>
      <c r="AD942">
        <v>2</v>
      </c>
      <c r="AE942" t="s">
        <v>115</v>
      </c>
      <c r="AH942" t="s">
        <v>116</v>
      </c>
      <c r="AI942" s="1">
        <v>69760</v>
      </c>
      <c r="AJ942" s="2">
        <v>0.25</v>
      </c>
      <c r="AK942" s="1">
        <v>283073</v>
      </c>
      <c r="AL942" t="s">
        <v>117</v>
      </c>
      <c r="AM942" t="s">
        <v>171</v>
      </c>
      <c r="AN942">
        <v>4950</v>
      </c>
      <c r="AO942">
        <v>0.11</v>
      </c>
      <c r="AR942">
        <v>1</v>
      </c>
      <c r="AS942" s="1">
        <v>20270</v>
      </c>
      <c r="AT942" s="1">
        <v>4050</v>
      </c>
      <c r="AU942" s="1">
        <v>16220</v>
      </c>
      <c r="AV942">
        <v>80.02</v>
      </c>
      <c r="AX942" s="1">
        <v>2262.94</v>
      </c>
      <c r="AY942" t="s">
        <v>4253</v>
      </c>
      <c r="AZ942" t="s">
        <v>4253</v>
      </c>
      <c r="BA942" t="s">
        <v>4254</v>
      </c>
      <c r="BE942" s="3">
        <v>42510</v>
      </c>
      <c r="BF942" s="1">
        <v>213313</v>
      </c>
      <c r="BG942" t="s">
        <v>636</v>
      </c>
      <c r="BH942" s="1">
        <v>106.66</v>
      </c>
      <c r="BI942" s="1">
        <v>213313</v>
      </c>
      <c r="BJ942" s="3">
        <v>42510</v>
      </c>
      <c r="BK942" t="s">
        <v>123</v>
      </c>
      <c r="BL942" t="str">
        <f>"2016.349162"</f>
        <v>2016.349162</v>
      </c>
      <c r="BM942" t="s">
        <v>594</v>
      </c>
      <c r="BO942" t="s">
        <v>6214</v>
      </c>
      <c r="BS942">
        <v>30</v>
      </c>
      <c r="BW942" t="str">
        <f>""</f>
        <v/>
      </c>
      <c r="CH942" t="str">
        <f>""</f>
        <v/>
      </c>
      <c r="CS942" t="str">
        <f>""</f>
        <v/>
      </c>
    </row>
    <row r="943" spans="1:97" x14ac:dyDescent="0.25">
      <c r="A943" t="s">
        <v>6215</v>
      </c>
      <c r="B943" t="s">
        <v>6216</v>
      </c>
      <c r="C943" t="s">
        <v>3470</v>
      </c>
      <c r="D943" t="s">
        <v>6216</v>
      </c>
      <c r="E943" t="s">
        <v>6217</v>
      </c>
      <c r="F943" t="s">
        <v>108</v>
      </c>
      <c r="H943" t="s">
        <v>6218</v>
      </c>
      <c r="I943" t="s">
        <v>225</v>
      </c>
      <c r="J943" t="s">
        <v>111</v>
      </c>
      <c r="K943" t="str">
        <f>"85212"</f>
        <v>85212</v>
      </c>
      <c r="L943" t="s">
        <v>4259</v>
      </c>
      <c r="M943" t="s">
        <v>6218</v>
      </c>
      <c r="N943" t="s">
        <v>225</v>
      </c>
      <c r="O943" t="s">
        <v>111</v>
      </c>
      <c r="P943" t="str">
        <f>"85212-9778"</f>
        <v>85212-9778</v>
      </c>
      <c r="Q943" t="s">
        <v>113</v>
      </c>
      <c r="R943" t="str">
        <f>"304-17-616"</f>
        <v>304-17-616</v>
      </c>
      <c r="S943" t="s">
        <v>4260</v>
      </c>
      <c r="T943" t="s">
        <v>569</v>
      </c>
      <c r="U943">
        <v>1947</v>
      </c>
      <c r="W943">
        <v>4</v>
      </c>
      <c r="X943">
        <v>2015</v>
      </c>
      <c r="Z943">
        <v>1</v>
      </c>
      <c r="AC943" t="s">
        <v>115</v>
      </c>
      <c r="AD943">
        <v>2</v>
      </c>
      <c r="AE943" t="s">
        <v>115</v>
      </c>
      <c r="AH943" t="s">
        <v>116</v>
      </c>
      <c r="AI943" s="1">
        <v>70748</v>
      </c>
      <c r="AJ943" s="2">
        <v>0.2</v>
      </c>
      <c r="AK943" s="1">
        <v>350747</v>
      </c>
      <c r="AL943" t="s">
        <v>117</v>
      </c>
      <c r="AM943" t="s">
        <v>191</v>
      </c>
      <c r="AN943">
        <v>5750</v>
      </c>
      <c r="AO943">
        <v>0.13</v>
      </c>
      <c r="AR943">
        <v>1</v>
      </c>
      <c r="AS943" s="1">
        <v>24830</v>
      </c>
      <c r="AT943" s="1">
        <v>4960</v>
      </c>
      <c r="AU943" s="1">
        <v>19870</v>
      </c>
      <c r="AV943">
        <v>80.02</v>
      </c>
      <c r="AX943" s="1">
        <v>1643.16</v>
      </c>
      <c r="AY943" t="s">
        <v>570</v>
      </c>
      <c r="AZ943" t="s">
        <v>571</v>
      </c>
      <c r="BA943" t="s">
        <v>572</v>
      </c>
      <c r="BE943" s="3">
        <v>42424</v>
      </c>
      <c r="BF943" s="1">
        <v>280490</v>
      </c>
      <c r="BG943" t="s">
        <v>195</v>
      </c>
      <c r="BH943" s="1">
        <v>144.06</v>
      </c>
      <c r="BI943" s="1">
        <v>279999</v>
      </c>
      <c r="BJ943" s="3">
        <v>42600</v>
      </c>
      <c r="BK943" t="s">
        <v>123</v>
      </c>
      <c r="BL943" t="str">
        <f>"2016.593672"</f>
        <v>2016.593672</v>
      </c>
      <c r="BM943" t="s">
        <v>402</v>
      </c>
      <c r="BN943" t="s">
        <v>461</v>
      </c>
      <c r="BO943" t="s">
        <v>6219</v>
      </c>
      <c r="BS943">
        <v>30</v>
      </c>
      <c r="BT943" s="1">
        <v>279999</v>
      </c>
      <c r="BU943" s="3">
        <v>42600</v>
      </c>
      <c r="BV943" t="s">
        <v>123</v>
      </c>
      <c r="BW943" t="str">
        <f>"2016.593672"</f>
        <v>2016.593672</v>
      </c>
      <c r="BX943" t="s">
        <v>402</v>
      </c>
      <c r="BZ943" t="s">
        <v>6219</v>
      </c>
      <c r="CD943">
        <v>30</v>
      </c>
      <c r="CH943" t="str">
        <f>""</f>
        <v/>
      </c>
      <c r="CS943" t="str">
        <f>""</f>
        <v/>
      </c>
    </row>
    <row r="944" spans="1:97" x14ac:dyDescent="0.25">
      <c r="B944" t="s">
        <v>6220</v>
      </c>
      <c r="C944" t="s">
        <v>6221</v>
      </c>
      <c r="E944" t="s">
        <v>6222</v>
      </c>
      <c r="F944" t="s">
        <v>108</v>
      </c>
      <c r="H944" t="s">
        <v>6223</v>
      </c>
      <c r="I944" t="s">
        <v>203</v>
      </c>
      <c r="J944" t="s">
        <v>111</v>
      </c>
      <c r="K944" t="str">
        <f>"85296"</f>
        <v>85296</v>
      </c>
      <c r="L944" t="s">
        <v>6094</v>
      </c>
      <c r="M944" t="s">
        <v>6223</v>
      </c>
      <c r="N944" t="s">
        <v>203</v>
      </c>
      <c r="O944" t="s">
        <v>111</v>
      </c>
      <c r="P944" t="str">
        <f>"85296"</f>
        <v>85296</v>
      </c>
      <c r="Q944" t="s">
        <v>113</v>
      </c>
      <c r="R944" t="str">
        <f>"304-20-609"</f>
        <v>304-20-609</v>
      </c>
      <c r="S944" t="s">
        <v>6095</v>
      </c>
      <c r="U944">
        <v>2347</v>
      </c>
      <c r="W944">
        <v>4</v>
      </c>
      <c r="X944">
        <v>2016</v>
      </c>
      <c r="Z944">
        <v>1</v>
      </c>
      <c r="AC944" t="s">
        <v>115</v>
      </c>
      <c r="AD944">
        <v>3</v>
      </c>
      <c r="AE944" t="s">
        <v>115</v>
      </c>
      <c r="AH944" t="s">
        <v>116</v>
      </c>
      <c r="AI944" s="1">
        <v>-12192</v>
      </c>
      <c r="AJ944" s="2">
        <v>-0.03</v>
      </c>
      <c r="AK944" s="1">
        <v>468608</v>
      </c>
      <c r="AL944" t="s">
        <v>117</v>
      </c>
      <c r="AN944">
        <v>9166</v>
      </c>
      <c r="AO944">
        <v>0.21</v>
      </c>
      <c r="AR944">
        <v>1</v>
      </c>
      <c r="AS944" s="1">
        <v>35710</v>
      </c>
      <c r="AT944" s="1">
        <v>7140</v>
      </c>
      <c r="AU944" s="1">
        <v>28570</v>
      </c>
      <c r="AV944">
        <v>80.010000000000005</v>
      </c>
      <c r="AX944" s="1">
        <v>2483.12</v>
      </c>
      <c r="AY944" t="s">
        <v>519</v>
      </c>
      <c r="AZ944" t="s">
        <v>520</v>
      </c>
      <c r="BA944" t="s">
        <v>521</v>
      </c>
      <c r="BB944" s="3">
        <v>43789</v>
      </c>
      <c r="BC944" s="1">
        <v>0</v>
      </c>
      <c r="BD944" t="s">
        <v>247</v>
      </c>
      <c r="BE944" s="3">
        <v>42426</v>
      </c>
      <c r="BF944" s="1">
        <v>422169</v>
      </c>
      <c r="BG944" t="s">
        <v>420</v>
      </c>
      <c r="BH944" s="1">
        <v>179.88</v>
      </c>
      <c r="BI944" s="1">
        <v>384700</v>
      </c>
      <c r="BJ944" s="3">
        <v>42426</v>
      </c>
      <c r="BK944" t="s">
        <v>123</v>
      </c>
      <c r="BL944" t="str">
        <f>"2016.123818"</f>
        <v>2016.123818</v>
      </c>
      <c r="BM944" t="s">
        <v>124</v>
      </c>
      <c r="BN944" t="s">
        <v>1575</v>
      </c>
      <c r="BO944" t="s">
        <v>6224</v>
      </c>
      <c r="BS944">
        <v>30</v>
      </c>
      <c r="BT944" s="1">
        <v>96100</v>
      </c>
      <c r="BU944" s="3">
        <v>43761</v>
      </c>
      <c r="BW944" t="str">
        <f>"2019.845401"</f>
        <v>2019.845401</v>
      </c>
      <c r="BX944" t="s">
        <v>654</v>
      </c>
      <c r="BY944" t="s">
        <v>655</v>
      </c>
      <c r="BZ944" t="s">
        <v>6225</v>
      </c>
      <c r="CA944" t="s">
        <v>6226</v>
      </c>
      <c r="CC944" t="s">
        <v>346</v>
      </c>
      <c r="CH944" t="str">
        <f>""</f>
        <v/>
      </c>
      <c r="CS944" t="str">
        <f>""</f>
        <v/>
      </c>
    </row>
    <row r="945" spans="1:97" x14ac:dyDescent="0.25">
      <c r="A945" t="s">
        <v>992</v>
      </c>
      <c r="B945" t="s">
        <v>6227</v>
      </c>
      <c r="C945" t="s">
        <v>5206</v>
      </c>
      <c r="D945" t="s">
        <v>6227</v>
      </c>
      <c r="E945" t="s">
        <v>6228</v>
      </c>
      <c r="F945" t="s">
        <v>108</v>
      </c>
      <c r="H945" t="s">
        <v>6229</v>
      </c>
      <c r="I945" t="s">
        <v>225</v>
      </c>
      <c r="J945" t="s">
        <v>111</v>
      </c>
      <c r="K945" t="str">
        <f>"85212"</f>
        <v>85212</v>
      </c>
      <c r="L945" t="s">
        <v>4259</v>
      </c>
      <c r="M945" t="s">
        <v>6229</v>
      </c>
      <c r="N945" t="s">
        <v>225</v>
      </c>
      <c r="O945" t="s">
        <v>111</v>
      </c>
      <c r="P945" t="str">
        <f>"85212-9776"</f>
        <v>85212-9776</v>
      </c>
      <c r="Q945" t="s">
        <v>113</v>
      </c>
      <c r="R945" t="str">
        <f>"304-17-623"</f>
        <v>304-17-623</v>
      </c>
      <c r="S945" t="s">
        <v>4260</v>
      </c>
      <c r="T945" t="s">
        <v>569</v>
      </c>
      <c r="U945">
        <v>1947</v>
      </c>
      <c r="W945">
        <v>4</v>
      </c>
      <c r="X945">
        <v>2015</v>
      </c>
      <c r="Z945">
        <v>1</v>
      </c>
      <c r="AC945" t="s">
        <v>115</v>
      </c>
      <c r="AD945">
        <v>2</v>
      </c>
      <c r="AE945" t="s">
        <v>115</v>
      </c>
      <c r="AH945" t="s">
        <v>116</v>
      </c>
      <c r="AI945" s="1">
        <v>81718</v>
      </c>
      <c r="AJ945" s="2">
        <v>0.24</v>
      </c>
      <c r="AK945" s="1">
        <v>346408</v>
      </c>
      <c r="AL945" t="s">
        <v>117</v>
      </c>
      <c r="AM945" t="s">
        <v>191</v>
      </c>
      <c r="AN945">
        <v>5750</v>
      </c>
      <c r="AO945">
        <v>0.13</v>
      </c>
      <c r="AR945">
        <v>1</v>
      </c>
      <c r="AS945" s="1">
        <v>24830</v>
      </c>
      <c r="AT945" s="1">
        <v>4960</v>
      </c>
      <c r="AU945" s="1">
        <v>19870</v>
      </c>
      <c r="AV945">
        <v>80.02</v>
      </c>
      <c r="AX945" s="1">
        <v>1643.16</v>
      </c>
      <c r="AY945" t="s">
        <v>570</v>
      </c>
      <c r="AZ945" t="s">
        <v>571</v>
      </c>
      <c r="BA945" t="s">
        <v>572</v>
      </c>
      <c r="BE945" s="3">
        <v>42388</v>
      </c>
      <c r="BF945" s="1">
        <v>264690</v>
      </c>
      <c r="BG945" t="s">
        <v>195</v>
      </c>
      <c r="BH945" s="1">
        <v>135.94999999999999</v>
      </c>
      <c r="BI945" s="1">
        <v>264690</v>
      </c>
      <c r="BJ945" s="3">
        <v>42388</v>
      </c>
      <c r="BK945" t="s">
        <v>123</v>
      </c>
      <c r="BL945" t="str">
        <f>"2016.35250"</f>
        <v>2016.35250</v>
      </c>
      <c r="BM945" t="s">
        <v>196</v>
      </c>
      <c r="BO945" t="s">
        <v>6230</v>
      </c>
      <c r="BS945">
        <v>30</v>
      </c>
      <c r="BW945" t="str">
        <f>""</f>
        <v/>
      </c>
      <c r="CH945" t="str">
        <f>""</f>
        <v/>
      </c>
      <c r="CS945" t="str">
        <f>""</f>
        <v/>
      </c>
    </row>
    <row r="946" spans="1:97" x14ac:dyDescent="0.25">
      <c r="A946" t="s">
        <v>701</v>
      </c>
      <c r="B946" t="s">
        <v>6231</v>
      </c>
      <c r="C946" t="s">
        <v>6232</v>
      </c>
      <c r="D946" t="s">
        <v>6231</v>
      </c>
      <c r="E946" t="s">
        <v>6233</v>
      </c>
      <c r="F946" t="s">
        <v>108</v>
      </c>
      <c r="H946" t="s">
        <v>6234</v>
      </c>
      <c r="I946" t="s">
        <v>225</v>
      </c>
      <c r="J946" t="s">
        <v>111</v>
      </c>
      <c r="K946" t="str">
        <f>"85209"</f>
        <v>85209</v>
      </c>
      <c r="L946" t="s">
        <v>4367</v>
      </c>
      <c r="M946" t="s">
        <v>6234</v>
      </c>
      <c r="N946" t="s">
        <v>225</v>
      </c>
      <c r="O946" t="s">
        <v>111</v>
      </c>
      <c r="P946" t="str">
        <f>"85209-7850"</f>
        <v>85209-7850</v>
      </c>
      <c r="Q946" t="s">
        <v>113</v>
      </c>
      <c r="R946" t="str">
        <f>"312-02-505"</f>
        <v>312-02-505</v>
      </c>
      <c r="S946" t="s">
        <v>4368</v>
      </c>
      <c r="U946">
        <v>2435</v>
      </c>
      <c r="W946">
        <v>4</v>
      </c>
      <c r="X946">
        <v>2015</v>
      </c>
      <c r="Z946">
        <v>1</v>
      </c>
      <c r="AC946" t="s">
        <v>115</v>
      </c>
      <c r="AD946">
        <v>2</v>
      </c>
      <c r="AE946" t="s">
        <v>115</v>
      </c>
      <c r="AH946" t="s">
        <v>116</v>
      </c>
      <c r="AI946" s="1">
        <v>86372</v>
      </c>
      <c r="AJ946" s="2">
        <v>0.21</v>
      </c>
      <c r="AK946" s="1">
        <v>411972</v>
      </c>
      <c r="AL946" t="s">
        <v>117</v>
      </c>
      <c r="AM946" t="s">
        <v>191</v>
      </c>
      <c r="AN946">
        <v>6240</v>
      </c>
      <c r="AO946">
        <v>0.14000000000000001</v>
      </c>
      <c r="AR946">
        <v>1</v>
      </c>
      <c r="AS946" s="1">
        <v>29910</v>
      </c>
      <c r="AT946" s="1">
        <v>5980</v>
      </c>
      <c r="AU946" s="1">
        <v>23930</v>
      </c>
      <c r="AV946">
        <v>80.010000000000005</v>
      </c>
      <c r="AX946" s="1">
        <v>2053.98</v>
      </c>
      <c r="AY946" t="s">
        <v>4370</v>
      </c>
      <c r="AZ946" t="s">
        <v>777</v>
      </c>
      <c r="BA946" t="s">
        <v>572</v>
      </c>
      <c r="BE946" s="3">
        <v>42328</v>
      </c>
      <c r="BF946" s="1">
        <v>333790</v>
      </c>
      <c r="BG946" t="s">
        <v>3120</v>
      </c>
      <c r="BH946" s="1">
        <v>137.08000000000001</v>
      </c>
      <c r="BI946" s="1">
        <v>325600</v>
      </c>
      <c r="BJ946" s="3">
        <v>43087</v>
      </c>
      <c r="BK946" t="s">
        <v>123</v>
      </c>
      <c r="BL946" t="str">
        <f>"2017.935361"</f>
        <v>2017.935361</v>
      </c>
      <c r="BM946" t="s">
        <v>6235</v>
      </c>
      <c r="BO946" t="s">
        <v>6236</v>
      </c>
      <c r="BS946">
        <v>31</v>
      </c>
      <c r="BW946" t="str">
        <f>""</f>
        <v/>
      </c>
      <c r="CH946" t="str">
        <f>""</f>
        <v/>
      </c>
      <c r="CS946" t="str">
        <f>""</f>
        <v/>
      </c>
    </row>
    <row r="947" spans="1:97" x14ac:dyDescent="0.25">
      <c r="A947" t="s">
        <v>6237</v>
      </c>
      <c r="B947" t="s">
        <v>6238</v>
      </c>
      <c r="E947" t="s">
        <v>6239</v>
      </c>
      <c r="F947" t="s">
        <v>108</v>
      </c>
      <c r="H947" t="s">
        <v>6240</v>
      </c>
      <c r="I947" t="s">
        <v>225</v>
      </c>
      <c r="J947" t="s">
        <v>111</v>
      </c>
      <c r="K947" t="str">
        <f>"85209"</f>
        <v>85209</v>
      </c>
      <c r="L947" t="s">
        <v>4367</v>
      </c>
      <c r="M947" t="s">
        <v>6240</v>
      </c>
      <c r="N947" t="s">
        <v>225</v>
      </c>
      <c r="O947" t="s">
        <v>111</v>
      </c>
      <c r="P947" t="str">
        <f>"85209-7861"</f>
        <v>85209-7861</v>
      </c>
      <c r="Q947" t="s">
        <v>113</v>
      </c>
      <c r="R947" t="str">
        <f>"312-02-733"</f>
        <v>312-02-733</v>
      </c>
      <c r="S947" t="s">
        <v>4389</v>
      </c>
      <c r="U947">
        <v>2148</v>
      </c>
      <c r="W947">
        <v>3</v>
      </c>
      <c r="X947">
        <v>2015</v>
      </c>
      <c r="Z947">
        <v>2</v>
      </c>
      <c r="AC947" t="s">
        <v>115</v>
      </c>
      <c r="AD947">
        <v>2</v>
      </c>
      <c r="AE947" t="s">
        <v>115</v>
      </c>
      <c r="AH947" t="s">
        <v>116</v>
      </c>
      <c r="AI947" s="1">
        <v>54866</v>
      </c>
      <c r="AJ947" s="2">
        <v>0.16</v>
      </c>
      <c r="AK947" s="1">
        <v>336969</v>
      </c>
      <c r="AL947" t="s">
        <v>117</v>
      </c>
      <c r="AM947" t="s">
        <v>4369</v>
      </c>
      <c r="AN947">
        <v>3160</v>
      </c>
      <c r="AO947">
        <v>0.73</v>
      </c>
      <c r="AR947">
        <v>1</v>
      </c>
      <c r="AS947" s="1">
        <v>23350</v>
      </c>
      <c r="AT947" s="1">
        <v>4670</v>
      </c>
      <c r="AU947" s="1">
        <v>18680</v>
      </c>
      <c r="AV947">
        <v>80</v>
      </c>
      <c r="AX947" s="1">
        <v>1573.26</v>
      </c>
      <c r="AY947" t="s">
        <v>4370</v>
      </c>
      <c r="AZ947" t="s">
        <v>777</v>
      </c>
      <c r="BA947" t="s">
        <v>572</v>
      </c>
      <c r="BE947" s="3">
        <v>42341</v>
      </c>
      <c r="BF947" s="1">
        <v>277203</v>
      </c>
      <c r="BG947" t="s">
        <v>3120</v>
      </c>
      <c r="BH947" s="1">
        <v>129.05000000000001</v>
      </c>
      <c r="BI947" s="1">
        <v>282103</v>
      </c>
      <c r="BJ947" s="3">
        <v>42591</v>
      </c>
      <c r="BK947" t="s">
        <v>123</v>
      </c>
      <c r="BL947" t="str">
        <f>"2016.565102"</f>
        <v>2016.565102</v>
      </c>
      <c r="BM947" t="s">
        <v>425</v>
      </c>
      <c r="BN947" t="s">
        <v>426</v>
      </c>
      <c r="BO947" t="s">
        <v>6241</v>
      </c>
      <c r="BS947">
        <v>30</v>
      </c>
      <c r="BT947" s="1">
        <v>282103</v>
      </c>
      <c r="BU947" s="3">
        <v>42591</v>
      </c>
      <c r="BV947" t="s">
        <v>123</v>
      </c>
      <c r="BW947" t="str">
        <f>"2016.565102"</f>
        <v>2016.565102</v>
      </c>
      <c r="BX947" t="s">
        <v>425</v>
      </c>
      <c r="BZ947" t="s">
        <v>6241</v>
      </c>
      <c r="CD947">
        <v>30</v>
      </c>
      <c r="CH947" t="str">
        <f>""</f>
        <v/>
      </c>
      <c r="CS947" t="str">
        <f>""</f>
        <v/>
      </c>
    </row>
    <row r="948" spans="1:97" x14ac:dyDescent="0.25">
      <c r="A948" t="s">
        <v>6242</v>
      </c>
      <c r="B948" t="s">
        <v>6243</v>
      </c>
      <c r="C948" t="s">
        <v>484</v>
      </c>
      <c r="D948" t="s">
        <v>6243</v>
      </c>
      <c r="E948" t="s">
        <v>6244</v>
      </c>
      <c r="F948" t="s">
        <v>108</v>
      </c>
      <c r="H948" t="s">
        <v>6245</v>
      </c>
      <c r="I948" t="s">
        <v>203</v>
      </c>
      <c r="J948" t="s">
        <v>111</v>
      </c>
      <c r="K948" t="str">
        <f>"85295"</f>
        <v>85295</v>
      </c>
      <c r="L948" t="s">
        <v>6246</v>
      </c>
      <c r="M948" t="s">
        <v>6245</v>
      </c>
      <c r="N948" t="s">
        <v>203</v>
      </c>
      <c r="O948" t="s">
        <v>111</v>
      </c>
      <c r="P948" t="str">
        <f>"85295"</f>
        <v>85295</v>
      </c>
      <c r="Q948" t="s">
        <v>113</v>
      </c>
      <c r="R948" t="str">
        <f>"304-89-913"</f>
        <v>304-89-913</v>
      </c>
      <c r="S948" t="s">
        <v>6247</v>
      </c>
      <c r="T948" t="s">
        <v>6247</v>
      </c>
      <c r="U948">
        <v>1653</v>
      </c>
      <c r="W948">
        <v>3</v>
      </c>
      <c r="X948">
        <v>2015</v>
      </c>
      <c r="Z948">
        <v>1</v>
      </c>
      <c r="AC948" t="s">
        <v>115</v>
      </c>
      <c r="AD948">
        <v>2</v>
      </c>
      <c r="AE948" t="s">
        <v>115</v>
      </c>
      <c r="AH948" t="s">
        <v>116</v>
      </c>
      <c r="AI948" s="1">
        <v>139168</v>
      </c>
      <c r="AJ948" s="2">
        <v>0.4</v>
      </c>
      <c r="AK948" s="1">
        <v>345768</v>
      </c>
      <c r="AL948" t="s">
        <v>117</v>
      </c>
      <c r="AN948">
        <v>5950</v>
      </c>
      <c r="AO948">
        <v>0.14000000000000001</v>
      </c>
      <c r="AR948">
        <v>1</v>
      </c>
      <c r="AS948" s="1">
        <v>24170</v>
      </c>
      <c r="AT948" s="1">
        <v>4830</v>
      </c>
      <c r="AU948" s="1">
        <v>19340</v>
      </c>
      <c r="AV948">
        <v>80.02</v>
      </c>
      <c r="AX948" s="1">
        <v>1755.2</v>
      </c>
      <c r="AY948" t="s">
        <v>5087</v>
      </c>
      <c r="AZ948" t="s">
        <v>5087</v>
      </c>
      <c r="BA948" t="s">
        <v>473</v>
      </c>
      <c r="BE948" s="3">
        <v>42466</v>
      </c>
      <c r="BF948" s="1">
        <v>276654</v>
      </c>
      <c r="BG948" t="s">
        <v>1305</v>
      </c>
      <c r="BH948" s="1">
        <v>167.36</v>
      </c>
      <c r="BI948" s="1">
        <v>206600</v>
      </c>
      <c r="BJ948" s="3">
        <v>42466</v>
      </c>
      <c r="BK948" t="s">
        <v>123</v>
      </c>
      <c r="BL948" t="str">
        <f>"2016.227426"</f>
        <v>2016.227426</v>
      </c>
      <c r="BM948" t="s">
        <v>475</v>
      </c>
      <c r="BO948" t="s">
        <v>6248</v>
      </c>
      <c r="BS948">
        <v>30</v>
      </c>
      <c r="BW948" t="str">
        <f>""</f>
        <v/>
      </c>
      <c r="CH948" t="str">
        <f>""</f>
        <v/>
      </c>
      <c r="CS948" t="str">
        <f>""</f>
        <v/>
      </c>
    </row>
    <row r="949" spans="1:97" x14ac:dyDescent="0.25">
      <c r="A949" t="s">
        <v>6249</v>
      </c>
      <c r="B949" t="s">
        <v>1061</v>
      </c>
      <c r="C949" t="s">
        <v>6250</v>
      </c>
      <c r="D949" t="s">
        <v>1061</v>
      </c>
      <c r="E949" t="s">
        <v>6251</v>
      </c>
      <c r="F949" t="s">
        <v>108</v>
      </c>
      <c r="H949" t="s">
        <v>6252</v>
      </c>
      <c r="I949" t="s">
        <v>390</v>
      </c>
      <c r="J949" t="s">
        <v>111</v>
      </c>
      <c r="K949" t="str">
        <f>"85020"</f>
        <v>85020</v>
      </c>
      <c r="L949" t="s">
        <v>6145</v>
      </c>
      <c r="M949" t="s">
        <v>6252</v>
      </c>
      <c r="N949" t="s">
        <v>390</v>
      </c>
      <c r="O949" t="s">
        <v>111</v>
      </c>
      <c r="P949" t="str">
        <f>"85020-5641"</f>
        <v>85020-5641</v>
      </c>
      <c r="Q949" t="s">
        <v>113</v>
      </c>
      <c r="R949" t="str">
        <f>"164-28-002-K"</f>
        <v>164-28-002-K</v>
      </c>
      <c r="U949">
        <v>2365</v>
      </c>
      <c r="V949">
        <v>0</v>
      </c>
      <c r="W949">
        <v>3</v>
      </c>
      <c r="X949">
        <v>1971</v>
      </c>
      <c r="Z949">
        <v>1</v>
      </c>
      <c r="AA949" t="s">
        <v>26</v>
      </c>
      <c r="AB949">
        <v>0</v>
      </c>
      <c r="AC949" t="s">
        <v>115</v>
      </c>
      <c r="AD949">
        <v>2</v>
      </c>
      <c r="AE949" t="s">
        <v>115</v>
      </c>
      <c r="AF949">
        <v>0</v>
      </c>
      <c r="AG949">
        <v>0</v>
      </c>
      <c r="AH949" t="s">
        <v>116</v>
      </c>
      <c r="AI949" s="1">
        <v>107255</v>
      </c>
      <c r="AJ949" s="2">
        <v>0.18</v>
      </c>
      <c r="AK949" s="1">
        <v>606194</v>
      </c>
      <c r="AL949" t="s">
        <v>117</v>
      </c>
      <c r="AM949" t="s">
        <v>1302</v>
      </c>
      <c r="AN949">
        <v>13939</v>
      </c>
      <c r="AO949">
        <v>0.32</v>
      </c>
      <c r="AP949">
        <v>1</v>
      </c>
      <c r="AR949">
        <v>1</v>
      </c>
      <c r="AS949" s="1">
        <v>47880</v>
      </c>
      <c r="AT949" s="1">
        <v>9570</v>
      </c>
      <c r="AU949" s="1">
        <v>38310</v>
      </c>
      <c r="AV949">
        <v>80.010000000000005</v>
      </c>
      <c r="AX949" s="1">
        <v>4726.92</v>
      </c>
      <c r="AY949" t="s">
        <v>6253</v>
      </c>
      <c r="AZ949" t="s">
        <v>6254</v>
      </c>
      <c r="BA949" t="s">
        <v>6255</v>
      </c>
      <c r="BE949" s="3">
        <v>41900</v>
      </c>
      <c r="BF949" s="1">
        <v>505000</v>
      </c>
      <c r="BG949" t="s">
        <v>6256</v>
      </c>
      <c r="BH949" s="1">
        <v>213.53</v>
      </c>
      <c r="BI949" s="1">
        <v>498939</v>
      </c>
      <c r="BJ949" s="3">
        <v>41900</v>
      </c>
      <c r="BK949" t="s">
        <v>123</v>
      </c>
      <c r="BL949" t="str">
        <f>"2014.619021"</f>
        <v>2014.619021</v>
      </c>
      <c r="BM949" t="s">
        <v>1306</v>
      </c>
      <c r="BO949" t="s">
        <v>6257</v>
      </c>
      <c r="BS949">
        <v>30</v>
      </c>
      <c r="BW949" t="str">
        <f>""</f>
        <v/>
      </c>
      <c r="CH949" t="str">
        <f>""</f>
        <v/>
      </c>
      <c r="CS949" t="str">
        <f>""</f>
        <v/>
      </c>
    </row>
    <row r="950" spans="1:97" x14ac:dyDescent="0.25">
      <c r="A950" t="s">
        <v>1514</v>
      </c>
      <c r="B950" t="s">
        <v>6258</v>
      </c>
      <c r="C950" t="s">
        <v>1692</v>
      </c>
      <c r="D950" t="s">
        <v>6258</v>
      </c>
      <c r="E950" t="s">
        <v>6259</v>
      </c>
      <c r="F950" t="s">
        <v>108</v>
      </c>
      <c r="H950" t="s">
        <v>6260</v>
      </c>
      <c r="I950" t="s">
        <v>632</v>
      </c>
      <c r="J950" t="s">
        <v>111</v>
      </c>
      <c r="K950" t="str">
        <f>"85388"</f>
        <v>85388</v>
      </c>
      <c r="L950" t="s">
        <v>4467</v>
      </c>
      <c r="M950" t="s">
        <v>6260</v>
      </c>
      <c r="N950" t="s">
        <v>632</v>
      </c>
      <c r="O950" t="s">
        <v>111</v>
      </c>
      <c r="P950" t="str">
        <f>"85388-7562"</f>
        <v>85388-7562</v>
      </c>
      <c r="Q950" t="s">
        <v>113</v>
      </c>
      <c r="R950" t="str">
        <f>"502-03-713"</f>
        <v>502-03-713</v>
      </c>
      <c r="S950" t="s">
        <v>6261</v>
      </c>
      <c r="U950">
        <v>3746</v>
      </c>
      <c r="V950">
        <v>0</v>
      </c>
      <c r="W950">
        <v>4</v>
      </c>
      <c r="X950">
        <v>2005</v>
      </c>
      <c r="Z950">
        <v>2</v>
      </c>
      <c r="AA950" t="s">
        <v>26</v>
      </c>
      <c r="AB950">
        <v>0</v>
      </c>
      <c r="AC950" t="s">
        <v>115</v>
      </c>
      <c r="AD950">
        <v>3</v>
      </c>
      <c r="AE950" t="s">
        <v>115</v>
      </c>
      <c r="AF950">
        <v>0</v>
      </c>
      <c r="AG950">
        <v>0</v>
      </c>
      <c r="AH950" t="s">
        <v>116</v>
      </c>
      <c r="AI950" s="1">
        <v>36495</v>
      </c>
      <c r="AJ950" s="2">
        <v>0.1</v>
      </c>
      <c r="AK950" s="1">
        <v>377336</v>
      </c>
      <c r="AL950" t="s">
        <v>117</v>
      </c>
      <c r="AM950" t="s">
        <v>118</v>
      </c>
      <c r="AN950">
        <v>8191</v>
      </c>
      <c r="AO950">
        <v>0.19</v>
      </c>
      <c r="AR950">
        <v>1</v>
      </c>
      <c r="AS950" s="1">
        <v>27120</v>
      </c>
      <c r="AT950" s="1">
        <v>5420</v>
      </c>
      <c r="AU950" s="1">
        <v>21700</v>
      </c>
      <c r="AV950">
        <v>80.010000000000005</v>
      </c>
      <c r="AX950" s="1">
        <v>2005.68</v>
      </c>
      <c r="AY950" t="s">
        <v>6262</v>
      </c>
      <c r="AZ950" t="s">
        <v>6262</v>
      </c>
      <c r="BA950" t="s">
        <v>5061</v>
      </c>
      <c r="BE950" s="3">
        <v>42531</v>
      </c>
      <c r="BF950" s="1">
        <v>298000</v>
      </c>
      <c r="BG950" t="s">
        <v>6263</v>
      </c>
      <c r="BH950" s="1">
        <v>79.55</v>
      </c>
      <c r="BI950" s="1">
        <v>307834</v>
      </c>
      <c r="BJ950" s="3">
        <v>42531</v>
      </c>
      <c r="BK950" t="s">
        <v>123</v>
      </c>
      <c r="BL950" t="str">
        <f>"2016.405825"</f>
        <v>2016.405825</v>
      </c>
      <c r="BM950" t="s">
        <v>4014</v>
      </c>
      <c r="BO950" t="s">
        <v>6264</v>
      </c>
      <c r="BS950">
        <v>30</v>
      </c>
      <c r="BT950" s="1">
        <v>33007</v>
      </c>
      <c r="BU950" s="3">
        <v>42663</v>
      </c>
      <c r="BV950" t="s">
        <v>134</v>
      </c>
      <c r="BW950" t="str">
        <f>"2016.770258"</f>
        <v>2016.770258</v>
      </c>
      <c r="BX950" t="s">
        <v>198</v>
      </c>
      <c r="BZ950" t="s">
        <v>6264</v>
      </c>
      <c r="CD950">
        <v>15</v>
      </c>
      <c r="CH950" t="str">
        <f>""</f>
        <v/>
      </c>
      <c r="CS950" t="str">
        <f>""</f>
        <v/>
      </c>
    </row>
    <row r="951" spans="1:97" x14ac:dyDescent="0.25">
      <c r="A951" t="s">
        <v>2435</v>
      </c>
      <c r="B951" t="s">
        <v>6265</v>
      </c>
      <c r="C951" t="s">
        <v>126</v>
      </c>
      <c r="D951" t="s">
        <v>6265</v>
      </c>
      <c r="E951" t="s">
        <v>6266</v>
      </c>
      <c r="F951" t="s">
        <v>108</v>
      </c>
      <c r="H951" t="s">
        <v>6267</v>
      </c>
      <c r="I951" t="s">
        <v>110</v>
      </c>
      <c r="J951" t="s">
        <v>111</v>
      </c>
      <c r="K951" t="str">
        <f>"85249"</f>
        <v>85249</v>
      </c>
      <c r="L951" t="s">
        <v>3225</v>
      </c>
      <c r="M951" t="s">
        <v>6267</v>
      </c>
      <c r="N951" t="s">
        <v>110</v>
      </c>
      <c r="O951" t="s">
        <v>111</v>
      </c>
      <c r="P951" t="str">
        <f>"85249-7296"</f>
        <v>85249-7296</v>
      </c>
      <c r="Q951" t="s">
        <v>113</v>
      </c>
      <c r="R951" t="str">
        <f>"313-09-098"</f>
        <v>313-09-098</v>
      </c>
      <c r="S951" t="s">
        <v>6268</v>
      </c>
      <c r="U951">
        <v>2851</v>
      </c>
      <c r="V951">
        <v>0</v>
      </c>
      <c r="W951">
        <v>4</v>
      </c>
      <c r="X951">
        <v>2004</v>
      </c>
      <c r="Z951">
        <v>2</v>
      </c>
      <c r="AA951" t="s">
        <v>26</v>
      </c>
      <c r="AB951">
        <v>0</v>
      </c>
      <c r="AC951" t="s">
        <v>115</v>
      </c>
      <c r="AD951">
        <v>3</v>
      </c>
      <c r="AE951" t="s">
        <v>115</v>
      </c>
      <c r="AF951">
        <v>0</v>
      </c>
      <c r="AG951">
        <v>0</v>
      </c>
      <c r="AH951" t="s">
        <v>116</v>
      </c>
      <c r="AI951" s="1">
        <v>108197</v>
      </c>
      <c r="AJ951" s="2">
        <v>0.28000000000000003</v>
      </c>
      <c r="AK951" s="1">
        <v>393297</v>
      </c>
      <c r="AL951" t="s">
        <v>117</v>
      </c>
      <c r="AM951" t="s">
        <v>118</v>
      </c>
      <c r="AN951">
        <v>7890</v>
      </c>
      <c r="AO951">
        <v>0.18</v>
      </c>
      <c r="AP951">
        <v>1</v>
      </c>
      <c r="AR951">
        <v>1</v>
      </c>
      <c r="AS951" s="1">
        <v>28060</v>
      </c>
      <c r="AT951" s="1">
        <v>5610</v>
      </c>
      <c r="AU951" s="1">
        <v>22450</v>
      </c>
      <c r="AV951">
        <v>80.010000000000005</v>
      </c>
      <c r="AX951" s="1">
        <v>2210.84</v>
      </c>
      <c r="AY951" t="s">
        <v>6269</v>
      </c>
      <c r="AZ951" t="s">
        <v>273</v>
      </c>
      <c r="BA951" t="s">
        <v>274</v>
      </c>
      <c r="BE951" s="3">
        <v>41837</v>
      </c>
      <c r="BF951" s="1">
        <v>295000</v>
      </c>
      <c r="BG951" t="s">
        <v>6270</v>
      </c>
      <c r="BH951" s="1">
        <v>103.47</v>
      </c>
      <c r="BI951" s="1">
        <v>285100</v>
      </c>
      <c r="BJ951" s="3">
        <v>42713</v>
      </c>
      <c r="BK951" t="s">
        <v>123</v>
      </c>
      <c r="BL951" t="str">
        <f>"2016.907693"</f>
        <v>2016.907693</v>
      </c>
      <c r="BM951" t="s">
        <v>322</v>
      </c>
      <c r="BO951" t="s">
        <v>6271</v>
      </c>
      <c r="BS951">
        <v>30</v>
      </c>
      <c r="BW951" t="str">
        <f>""</f>
        <v/>
      </c>
      <c r="CH951" t="str">
        <f>""</f>
        <v/>
      </c>
      <c r="CS951" t="str">
        <f>""</f>
        <v/>
      </c>
    </row>
    <row r="952" spans="1:97" x14ac:dyDescent="0.25">
      <c r="B952" t="s">
        <v>6272</v>
      </c>
      <c r="E952" t="s">
        <v>6273</v>
      </c>
      <c r="F952" t="s">
        <v>108</v>
      </c>
      <c r="H952" t="s">
        <v>6274</v>
      </c>
      <c r="I952" t="s">
        <v>453</v>
      </c>
      <c r="J952" t="s">
        <v>111</v>
      </c>
      <c r="K952" t="str">
        <f>"85383"</f>
        <v>85383</v>
      </c>
      <c r="L952" t="s">
        <v>4316</v>
      </c>
      <c r="M952" t="s">
        <v>6274</v>
      </c>
      <c r="N952" t="s">
        <v>453</v>
      </c>
      <c r="O952" t="s">
        <v>111</v>
      </c>
      <c r="P952" t="str">
        <f>"85383-5452"</f>
        <v>85383-5452</v>
      </c>
      <c r="Q952" t="s">
        <v>113</v>
      </c>
      <c r="R952" t="str">
        <f>"510-09-176"</f>
        <v>510-09-176</v>
      </c>
      <c r="S952" t="s">
        <v>6058</v>
      </c>
      <c r="U952">
        <v>2872</v>
      </c>
      <c r="W952">
        <v>5</v>
      </c>
      <c r="X952">
        <v>2015</v>
      </c>
      <c r="Z952">
        <v>1</v>
      </c>
      <c r="AC952" t="s">
        <v>115</v>
      </c>
      <c r="AD952">
        <v>2</v>
      </c>
      <c r="AE952" t="s">
        <v>115</v>
      </c>
      <c r="AH952" t="s">
        <v>116</v>
      </c>
      <c r="AI952" s="1">
        <v>114757</v>
      </c>
      <c r="AJ952" s="2">
        <v>0.18</v>
      </c>
      <c r="AK952" s="1">
        <v>647087</v>
      </c>
      <c r="AL952" t="s">
        <v>117</v>
      </c>
      <c r="AM952" t="s">
        <v>118</v>
      </c>
      <c r="AN952">
        <v>9482</v>
      </c>
      <c r="AO952">
        <v>0.22</v>
      </c>
      <c r="AR952">
        <v>1</v>
      </c>
      <c r="AS952" s="1">
        <v>49530</v>
      </c>
      <c r="AT952" s="1">
        <v>9900</v>
      </c>
      <c r="AU952" s="1">
        <v>39630</v>
      </c>
      <c r="AV952">
        <v>80.010000000000005</v>
      </c>
      <c r="AX952" s="1">
        <v>4800.1400000000003</v>
      </c>
      <c r="AY952" t="s">
        <v>456</v>
      </c>
      <c r="AZ952" t="s">
        <v>456</v>
      </c>
      <c r="BA952" t="s">
        <v>457</v>
      </c>
      <c r="BB952" s="3">
        <v>42607</v>
      </c>
      <c r="BD952" t="s">
        <v>480</v>
      </c>
      <c r="BE952" s="3">
        <v>42488</v>
      </c>
      <c r="BF952" s="1">
        <v>560286</v>
      </c>
      <c r="BG952" t="s">
        <v>4318</v>
      </c>
      <c r="BH952" s="1">
        <v>195.09</v>
      </c>
      <c r="BI952" s="1">
        <v>532330</v>
      </c>
      <c r="BJ952" s="3">
        <v>42488</v>
      </c>
      <c r="BK952" t="s">
        <v>123</v>
      </c>
      <c r="BL952" t="str">
        <f>"2016.283998"</f>
        <v>2016.283998</v>
      </c>
      <c r="BM952" t="s">
        <v>1831</v>
      </c>
      <c r="BO952" t="s">
        <v>6275</v>
      </c>
      <c r="BS952">
        <v>30</v>
      </c>
      <c r="BW952" t="str">
        <f>""</f>
        <v/>
      </c>
      <c r="CH952" t="str">
        <f>""</f>
        <v/>
      </c>
      <c r="CS952" t="str">
        <f>""</f>
        <v/>
      </c>
    </row>
    <row r="953" spans="1:97" x14ac:dyDescent="0.25">
      <c r="A953" t="s">
        <v>4592</v>
      </c>
      <c r="B953" t="s">
        <v>6276</v>
      </c>
      <c r="C953" t="s">
        <v>767</v>
      </c>
      <c r="D953" t="s">
        <v>6276</v>
      </c>
      <c r="E953" t="s">
        <v>6277</v>
      </c>
      <c r="F953" t="s">
        <v>108</v>
      </c>
      <c r="H953" t="s">
        <v>6278</v>
      </c>
      <c r="I953" t="s">
        <v>225</v>
      </c>
      <c r="J953" t="s">
        <v>111</v>
      </c>
      <c r="K953" t="str">
        <f>"85209"</f>
        <v>85209</v>
      </c>
      <c r="L953" t="s">
        <v>4367</v>
      </c>
      <c r="M953" t="s">
        <v>6278</v>
      </c>
      <c r="N953" t="s">
        <v>225</v>
      </c>
      <c r="O953" t="s">
        <v>111</v>
      </c>
      <c r="P953" t="str">
        <f>"85209-7827"</f>
        <v>85209-7827</v>
      </c>
      <c r="Q953" t="s">
        <v>113</v>
      </c>
      <c r="R953" t="str">
        <f>"312-02-261"</f>
        <v>312-02-261</v>
      </c>
      <c r="S953" t="s">
        <v>4424</v>
      </c>
      <c r="U953">
        <v>2464</v>
      </c>
      <c r="W953">
        <v>4</v>
      </c>
      <c r="X953">
        <v>2016</v>
      </c>
      <c r="Z953">
        <v>1</v>
      </c>
      <c r="AC953" t="s">
        <v>115</v>
      </c>
      <c r="AD953">
        <v>3</v>
      </c>
      <c r="AE953" t="s">
        <v>115</v>
      </c>
      <c r="AH953" t="s">
        <v>116</v>
      </c>
      <c r="AI953" s="1">
        <v>22287</v>
      </c>
      <c r="AJ953" s="2">
        <v>0.05</v>
      </c>
      <c r="AK953" s="1">
        <v>428256</v>
      </c>
      <c r="AL953" t="s">
        <v>117</v>
      </c>
      <c r="AM953" t="s">
        <v>191</v>
      </c>
      <c r="AN953">
        <v>8124</v>
      </c>
      <c r="AO953">
        <v>0.19</v>
      </c>
      <c r="AR953">
        <v>1</v>
      </c>
      <c r="AS953" s="1">
        <v>31850</v>
      </c>
      <c r="AT953" s="1">
        <v>6370</v>
      </c>
      <c r="AU953" s="1">
        <v>25480</v>
      </c>
      <c r="AV953">
        <v>80</v>
      </c>
      <c r="AX953" s="1">
        <v>2195.34</v>
      </c>
      <c r="AY953" t="s">
        <v>4370</v>
      </c>
      <c r="AZ953" t="s">
        <v>777</v>
      </c>
      <c r="BA953" t="s">
        <v>572</v>
      </c>
      <c r="BE953" s="3">
        <v>42432</v>
      </c>
      <c r="BF953" s="1">
        <v>393736</v>
      </c>
      <c r="BG953" t="s">
        <v>3120</v>
      </c>
      <c r="BH953" s="1">
        <v>159.80000000000001</v>
      </c>
      <c r="BI953" s="1">
        <v>405969</v>
      </c>
      <c r="BJ953" s="3">
        <v>42432</v>
      </c>
      <c r="BK953" t="s">
        <v>123</v>
      </c>
      <c r="BL953" t="str">
        <f>"2016.139056"</f>
        <v>2016.139056</v>
      </c>
      <c r="BM953" t="s">
        <v>594</v>
      </c>
      <c r="BO953" t="s">
        <v>6279</v>
      </c>
      <c r="BS953">
        <v>30</v>
      </c>
      <c r="BW953" t="str">
        <f>""</f>
        <v/>
      </c>
      <c r="CH953" t="str">
        <f>""</f>
        <v/>
      </c>
      <c r="CS953" t="str">
        <f>""</f>
        <v/>
      </c>
    </row>
    <row r="954" spans="1:97" x14ac:dyDescent="0.25">
      <c r="A954" t="s">
        <v>6280</v>
      </c>
      <c r="B954" t="s">
        <v>6281</v>
      </c>
      <c r="C954" t="s">
        <v>6282</v>
      </c>
      <c r="D954" t="s">
        <v>6281</v>
      </c>
      <c r="E954" t="s">
        <v>6283</v>
      </c>
      <c r="F954" t="s">
        <v>108</v>
      </c>
      <c r="H954" t="s">
        <v>6284</v>
      </c>
      <c r="I954" t="s">
        <v>225</v>
      </c>
      <c r="J954" t="s">
        <v>111</v>
      </c>
      <c r="K954" t="str">
        <f>"85212"</f>
        <v>85212</v>
      </c>
      <c r="L954" t="s">
        <v>4259</v>
      </c>
      <c r="M954" t="s">
        <v>6284</v>
      </c>
      <c r="N954" t="s">
        <v>225</v>
      </c>
      <c r="O954" t="s">
        <v>111</v>
      </c>
      <c r="P954" t="str">
        <f>"85212-9790"</f>
        <v>85212-9790</v>
      </c>
      <c r="Q954" t="s">
        <v>113</v>
      </c>
      <c r="R954" t="str">
        <f>"304-17-693"</f>
        <v>304-17-693</v>
      </c>
      <c r="S954" t="s">
        <v>4260</v>
      </c>
      <c r="T954" t="s">
        <v>569</v>
      </c>
      <c r="U954">
        <v>4149</v>
      </c>
      <c r="W954">
        <v>5</v>
      </c>
      <c r="X954">
        <v>2016</v>
      </c>
      <c r="Z954">
        <v>2</v>
      </c>
      <c r="AC954" t="s">
        <v>115</v>
      </c>
      <c r="AD954">
        <v>3</v>
      </c>
      <c r="AE954" t="s">
        <v>115</v>
      </c>
      <c r="AH954" t="s">
        <v>116</v>
      </c>
      <c r="AI954" s="1">
        <v>126120</v>
      </c>
      <c r="AJ954" s="2">
        <v>0.23</v>
      </c>
      <c r="AK954" s="1">
        <v>545205</v>
      </c>
      <c r="AL954" t="s">
        <v>117</v>
      </c>
      <c r="AM954" t="s">
        <v>393</v>
      </c>
      <c r="AN954">
        <v>7200</v>
      </c>
      <c r="AO954">
        <v>0.16</v>
      </c>
      <c r="AR954">
        <v>1</v>
      </c>
      <c r="AS954" s="1">
        <v>37110</v>
      </c>
      <c r="AT954" s="1">
        <v>7420</v>
      </c>
      <c r="AU954" s="1">
        <v>29690</v>
      </c>
      <c r="AV954">
        <v>80.010000000000005</v>
      </c>
      <c r="AX954" s="1">
        <v>2636.4</v>
      </c>
      <c r="AY954" t="s">
        <v>570</v>
      </c>
      <c r="AZ954" t="s">
        <v>571</v>
      </c>
      <c r="BA954" t="s">
        <v>572</v>
      </c>
      <c r="BE954" s="3">
        <v>42426</v>
      </c>
      <c r="BF954" s="1">
        <v>410105</v>
      </c>
      <c r="BG954" t="s">
        <v>446</v>
      </c>
      <c r="BH954" s="1">
        <v>98.84</v>
      </c>
      <c r="BI954" s="1">
        <v>419085</v>
      </c>
      <c r="BJ954" s="3">
        <v>42523</v>
      </c>
      <c r="BK954" t="s">
        <v>123</v>
      </c>
      <c r="BL954" t="str">
        <f>"2016.381327"</f>
        <v>2016.381327</v>
      </c>
      <c r="BM954" t="s">
        <v>1707</v>
      </c>
      <c r="BN954" t="s">
        <v>1922</v>
      </c>
      <c r="BO954" t="s">
        <v>6285</v>
      </c>
      <c r="BS954">
        <v>30</v>
      </c>
      <c r="BT954" s="1">
        <v>419085</v>
      </c>
      <c r="BU954" s="3">
        <v>42523</v>
      </c>
      <c r="BV954" t="s">
        <v>123</v>
      </c>
      <c r="BW954" t="str">
        <f>"2016.381327"</f>
        <v>2016.381327</v>
      </c>
      <c r="BX954" t="s">
        <v>1707</v>
      </c>
      <c r="BZ954" t="s">
        <v>6285</v>
      </c>
      <c r="CD954">
        <v>30</v>
      </c>
      <c r="CH954" t="str">
        <f>""</f>
        <v/>
      </c>
      <c r="CS954" t="str">
        <f>""</f>
        <v/>
      </c>
    </row>
    <row r="955" spans="1:97" x14ac:dyDescent="0.25">
      <c r="A955" t="s">
        <v>370</v>
      </c>
      <c r="B955" t="s">
        <v>6286</v>
      </c>
      <c r="C955" t="s">
        <v>6287</v>
      </c>
      <c r="D955" t="s">
        <v>6286</v>
      </c>
      <c r="E955" t="s">
        <v>6288</v>
      </c>
      <c r="F955" t="s">
        <v>108</v>
      </c>
      <c r="H955" t="s">
        <v>6289</v>
      </c>
      <c r="I955" t="s">
        <v>2874</v>
      </c>
      <c r="J955" t="s">
        <v>111</v>
      </c>
      <c r="K955" t="str">
        <f>"85305"</f>
        <v>85305</v>
      </c>
      <c r="L955" t="s">
        <v>4282</v>
      </c>
      <c r="M955" t="s">
        <v>6289</v>
      </c>
      <c r="N955" t="s">
        <v>2874</v>
      </c>
      <c r="O955" t="s">
        <v>111</v>
      </c>
      <c r="P955" t="str">
        <f>"85305-3375"</f>
        <v>85305-3375</v>
      </c>
      <c r="R955" t="str">
        <f>"102-14-627"</f>
        <v>102-14-627</v>
      </c>
      <c r="S955" t="s">
        <v>4283</v>
      </c>
      <c r="T955" t="s">
        <v>4284</v>
      </c>
      <c r="U955">
        <v>2537</v>
      </c>
      <c r="W955">
        <v>4</v>
      </c>
      <c r="X955">
        <v>2016</v>
      </c>
      <c r="Z955">
        <v>1</v>
      </c>
      <c r="AC955" t="s">
        <v>115</v>
      </c>
      <c r="AD955">
        <v>3</v>
      </c>
      <c r="AE955" t="s">
        <v>115</v>
      </c>
      <c r="AH955" t="s">
        <v>116</v>
      </c>
      <c r="AI955" s="1">
        <v>28244</v>
      </c>
      <c r="AJ955" s="2">
        <v>0.08</v>
      </c>
      <c r="AK955" s="1">
        <v>335244</v>
      </c>
      <c r="AL955" t="s">
        <v>117</v>
      </c>
      <c r="AM955" t="s">
        <v>288</v>
      </c>
      <c r="AN955">
        <v>7200</v>
      </c>
      <c r="AO955">
        <v>0.16</v>
      </c>
      <c r="AR955">
        <v>1</v>
      </c>
      <c r="AS955" s="1">
        <v>25770</v>
      </c>
      <c r="AT955" s="1">
        <v>5150</v>
      </c>
      <c r="AU955" s="1">
        <v>20620</v>
      </c>
      <c r="AV955">
        <v>80.02</v>
      </c>
      <c r="AX955" s="1">
        <v>3257.68</v>
      </c>
      <c r="AY955" t="s">
        <v>4285</v>
      </c>
      <c r="AZ955" t="s">
        <v>4285</v>
      </c>
      <c r="BA955" t="s">
        <v>4286</v>
      </c>
      <c r="BE955" s="3">
        <v>42459</v>
      </c>
      <c r="BF955" s="1">
        <v>319176</v>
      </c>
      <c r="BG955" t="s">
        <v>1975</v>
      </c>
      <c r="BH955" s="1">
        <v>125.81</v>
      </c>
      <c r="BI955" s="1">
        <v>307000</v>
      </c>
      <c r="BJ955" s="3">
        <v>42459</v>
      </c>
      <c r="BK955" t="s">
        <v>123</v>
      </c>
      <c r="BL955" t="str">
        <f>"2016.207270"</f>
        <v>2016.207270</v>
      </c>
      <c r="BM955" t="s">
        <v>3294</v>
      </c>
      <c r="BN955" t="s">
        <v>3569</v>
      </c>
      <c r="BO955" t="s">
        <v>6290</v>
      </c>
      <c r="BS955">
        <v>30</v>
      </c>
      <c r="BW955" t="str">
        <f>""</f>
        <v/>
      </c>
      <c r="CH955" t="str">
        <f>""</f>
        <v/>
      </c>
      <c r="CS955" t="str">
        <f>""</f>
        <v/>
      </c>
    </row>
    <row r="956" spans="1:97" x14ac:dyDescent="0.25">
      <c r="A956" t="s">
        <v>325</v>
      </c>
      <c r="B956" t="s">
        <v>6291</v>
      </c>
      <c r="C956" t="s">
        <v>6292</v>
      </c>
      <c r="D956" t="s">
        <v>6291</v>
      </c>
      <c r="E956" t="s">
        <v>6293</v>
      </c>
      <c r="F956" t="s">
        <v>108</v>
      </c>
      <c r="H956" t="s">
        <v>6294</v>
      </c>
      <c r="I956" t="s">
        <v>225</v>
      </c>
      <c r="J956" t="s">
        <v>111</v>
      </c>
      <c r="K956" t="str">
        <f>"85205"</f>
        <v>85205</v>
      </c>
      <c r="L956" t="s">
        <v>5308</v>
      </c>
      <c r="M956" t="s">
        <v>6294</v>
      </c>
      <c r="N956" t="s">
        <v>225</v>
      </c>
      <c r="O956" t="s">
        <v>111</v>
      </c>
      <c r="P956" t="str">
        <f>"85205-6856"</f>
        <v>85205-6856</v>
      </c>
      <c r="Q956" t="s">
        <v>113</v>
      </c>
      <c r="R956" t="str">
        <f>"141-34-487"</f>
        <v>141-34-487</v>
      </c>
      <c r="S956" t="s">
        <v>6042</v>
      </c>
      <c r="T956" t="s">
        <v>6043</v>
      </c>
      <c r="U956">
        <v>2545</v>
      </c>
      <c r="W956">
        <v>3</v>
      </c>
      <c r="X956">
        <v>2016</v>
      </c>
      <c r="Z956">
        <v>1</v>
      </c>
      <c r="AC956" t="s">
        <v>115</v>
      </c>
      <c r="AD956">
        <v>2</v>
      </c>
      <c r="AE956" t="s">
        <v>115</v>
      </c>
      <c r="AH956" t="s">
        <v>116</v>
      </c>
      <c r="AI956" s="1">
        <v>41044</v>
      </c>
      <c r="AJ956" s="2">
        <v>0.1</v>
      </c>
      <c r="AK956" s="1">
        <v>391190</v>
      </c>
      <c r="AL956" t="s">
        <v>117</v>
      </c>
      <c r="AM956" t="s">
        <v>393</v>
      </c>
      <c r="AN956">
        <v>6000</v>
      </c>
      <c r="AO956">
        <v>0.14000000000000001</v>
      </c>
      <c r="AR956">
        <v>1</v>
      </c>
      <c r="AS956" s="1">
        <v>28520</v>
      </c>
      <c r="AT956" s="1">
        <v>5700</v>
      </c>
      <c r="AU956" s="1">
        <v>22820</v>
      </c>
      <c r="AV956">
        <v>80.010000000000005</v>
      </c>
      <c r="AX956" s="1">
        <v>2456.34</v>
      </c>
      <c r="AY956" t="s">
        <v>6044</v>
      </c>
      <c r="AZ956" t="s">
        <v>5275</v>
      </c>
      <c r="BA956" t="s">
        <v>3119</v>
      </c>
      <c r="BE956" s="3">
        <v>42475</v>
      </c>
      <c r="BF956" s="1">
        <v>342777</v>
      </c>
      <c r="BG956" t="s">
        <v>1772</v>
      </c>
      <c r="BH956" s="1">
        <v>134.69</v>
      </c>
      <c r="BI956" s="1">
        <v>350146</v>
      </c>
      <c r="BJ956" s="3">
        <v>42475</v>
      </c>
      <c r="BK956" t="s">
        <v>123</v>
      </c>
      <c r="BL956" t="str">
        <f>"2016.251561"</f>
        <v>2016.251561</v>
      </c>
      <c r="BM956" t="s">
        <v>234</v>
      </c>
      <c r="BO956" t="s">
        <v>6295</v>
      </c>
      <c r="BP956" t="s">
        <v>6296</v>
      </c>
      <c r="BS956">
        <v>30</v>
      </c>
      <c r="BW956" t="str">
        <f>""</f>
        <v/>
      </c>
      <c r="CH956" t="str">
        <f>""</f>
        <v/>
      </c>
      <c r="CS956" t="str">
        <f>""</f>
        <v/>
      </c>
    </row>
    <row r="957" spans="1:97" x14ac:dyDescent="0.25">
      <c r="A957" t="s">
        <v>464</v>
      </c>
      <c r="B957" t="s">
        <v>6297</v>
      </c>
      <c r="C957" t="s">
        <v>2853</v>
      </c>
      <c r="D957" t="s">
        <v>6297</v>
      </c>
      <c r="E957" t="s">
        <v>6298</v>
      </c>
      <c r="F957" t="s">
        <v>108</v>
      </c>
      <c r="H957" t="s">
        <v>6299</v>
      </c>
      <c r="I957" t="s">
        <v>1936</v>
      </c>
      <c r="J957" t="s">
        <v>111</v>
      </c>
      <c r="K957" t="str">
        <f>"85254"</f>
        <v>85254</v>
      </c>
      <c r="L957" t="s">
        <v>2875</v>
      </c>
      <c r="M957" t="s">
        <v>6299</v>
      </c>
      <c r="N957" t="s">
        <v>1936</v>
      </c>
      <c r="O957" t="s">
        <v>111</v>
      </c>
      <c r="P957" t="str">
        <f>"85254-1673"</f>
        <v>85254-1673</v>
      </c>
      <c r="Q957" t="s">
        <v>113</v>
      </c>
      <c r="R957" t="str">
        <f>"215-33-226"</f>
        <v>215-33-226</v>
      </c>
      <c r="S957" t="s">
        <v>6300</v>
      </c>
      <c r="T957" t="s">
        <v>6301</v>
      </c>
      <c r="U957">
        <v>2937</v>
      </c>
      <c r="V957">
        <v>0</v>
      </c>
      <c r="W957">
        <v>4</v>
      </c>
      <c r="X957">
        <v>1984</v>
      </c>
      <c r="Z957">
        <v>2</v>
      </c>
      <c r="AA957" t="s">
        <v>26</v>
      </c>
      <c r="AB957">
        <v>0</v>
      </c>
      <c r="AC957" t="s">
        <v>115</v>
      </c>
      <c r="AD957">
        <v>2</v>
      </c>
      <c r="AE957" t="s">
        <v>115</v>
      </c>
      <c r="AF957">
        <v>0</v>
      </c>
      <c r="AG957">
        <v>0</v>
      </c>
      <c r="AH957" t="s">
        <v>116</v>
      </c>
      <c r="AI957" s="1">
        <v>138641</v>
      </c>
      <c r="AJ957" s="2">
        <v>0.25</v>
      </c>
      <c r="AK957" s="1">
        <v>562237</v>
      </c>
      <c r="AL957" t="s">
        <v>117</v>
      </c>
      <c r="AM957" t="s">
        <v>1302</v>
      </c>
      <c r="AN957">
        <v>10092</v>
      </c>
      <c r="AO957">
        <v>0.23</v>
      </c>
      <c r="AP957">
        <v>1</v>
      </c>
      <c r="AR957">
        <v>1</v>
      </c>
      <c r="AS957" s="1">
        <v>42150</v>
      </c>
      <c r="AT957" s="1">
        <v>8430</v>
      </c>
      <c r="AU957" s="1">
        <v>33720</v>
      </c>
      <c r="AV957">
        <v>80</v>
      </c>
      <c r="AX957" s="1">
        <v>3810.92</v>
      </c>
      <c r="AY957" t="s">
        <v>2767</v>
      </c>
      <c r="AZ957" t="s">
        <v>1317</v>
      </c>
      <c r="BA957" t="s">
        <v>6302</v>
      </c>
      <c r="BE957" s="3">
        <v>42107</v>
      </c>
      <c r="BF957" s="1">
        <v>415000</v>
      </c>
      <c r="BG957" t="s">
        <v>6303</v>
      </c>
      <c r="BH957" s="1">
        <v>141.30000000000001</v>
      </c>
      <c r="BI957" s="1">
        <v>423596</v>
      </c>
      <c r="BJ957" s="3">
        <v>42593</v>
      </c>
      <c r="BK957" t="s">
        <v>123</v>
      </c>
      <c r="BL957" t="str">
        <f>"2016.572069"</f>
        <v>2016.572069</v>
      </c>
      <c r="BM957" t="s">
        <v>5534</v>
      </c>
      <c r="BO957" t="s">
        <v>6304</v>
      </c>
      <c r="BS957">
        <v>30</v>
      </c>
      <c r="BW957" t="str">
        <f>""</f>
        <v/>
      </c>
      <c r="CH957" t="str">
        <f>""</f>
        <v/>
      </c>
      <c r="CS957" t="str">
        <f>""</f>
        <v/>
      </c>
    </row>
    <row r="958" spans="1:97" x14ac:dyDescent="0.25">
      <c r="A958" t="s">
        <v>1344</v>
      </c>
      <c r="B958" t="s">
        <v>6305</v>
      </c>
      <c r="C958" t="s">
        <v>1692</v>
      </c>
      <c r="D958" t="s">
        <v>6305</v>
      </c>
      <c r="E958" t="s">
        <v>6306</v>
      </c>
      <c r="F958" t="s">
        <v>108</v>
      </c>
      <c r="H958" t="s">
        <v>6307</v>
      </c>
      <c r="I958" t="s">
        <v>453</v>
      </c>
      <c r="J958" t="s">
        <v>111</v>
      </c>
      <c r="K958" t="str">
        <f>"85382"</f>
        <v>85382</v>
      </c>
      <c r="L958" t="s">
        <v>6308</v>
      </c>
      <c r="M958" t="s">
        <v>6307</v>
      </c>
      <c r="N958" t="s">
        <v>453</v>
      </c>
      <c r="O958" t="s">
        <v>111</v>
      </c>
      <c r="P958" t="str">
        <f>"85382-8346"</f>
        <v>85382-8346</v>
      </c>
      <c r="Q958" t="s">
        <v>113</v>
      </c>
      <c r="R958" t="str">
        <f>"231-26-074"</f>
        <v>231-26-074</v>
      </c>
      <c r="S958" t="s">
        <v>6309</v>
      </c>
      <c r="T958" t="s">
        <v>6310</v>
      </c>
      <c r="U958">
        <v>2508</v>
      </c>
      <c r="V958">
        <v>0</v>
      </c>
      <c r="W958">
        <v>4</v>
      </c>
      <c r="X958">
        <v>2000</v>
      </c>
      <c r="Z958">
        <v>2</v>
      </c>
      <c r="AA958" t="s">
        <v>26</v>
      </c>
      <c r="AB958">
        <v>0</v>
      </c>
      <c r="AC958" t="s">
        <v>115</v>
      </c>
      <c r="AD958">
        <v>3</v>
      </c>
      <c r="AE958" t="s">
        <v>115</v>
      </c>
      <c r="AF958">
        <v>0</v>
      </c>
      <c r="AG958">
        <v>0</v>
      </c>
      <c r="AH958" t="s">
        <v>116</v>
      </c>
      <c r="AI958" s="1">
        <v>71901</v>
      </c>
      <c r="AJ958" s="2">
        <v>0.19</v>
      </c>
      <c r="AK958" s="1">
        <v>387904</v>
      </c>
      <c r="AL958" t="s">
        <v>117</v>
      </c>
      <c r="AM958" t="s">
        <v>118</v>
      </c>
      <c r="AN958">
        <v>17851</v>
      </c>
      <c r="AO958">
        <v>0.41</v>
      </c>
      <c r="AP958">
        <v>1</v>
      </c>
      <c r="AR958">
        <v>1</v>
      </c>
      <c r="AS958" s="1">
        <v>29170</v>
      </c>
      <c r="AT958" s="1">
        <v>5830</v>
      </c>
      <c r="AU958" s="1">
        <v>23340</v>
      </c>
      <c r="AV958">
        <v>80.010000000000005</v>
      </c>
      <c r="AX958" s="1">
        <v>2576.2199999999998</v>
      </c>
      <c r="AY958" t="s">
        <v>6311</v>
      </c>
      <c r="AZ958" t="s">
        <v>6311</v>
      </c>
      <c r="BA958" t="s">
        <v>4219</v>
      </c>
      <c r="BE958" s="3">
        <v>41789</v>
      </c>
      <c r="BF958" s="1">
        <v>313000</v>
      </c>
      <c r="BG958" t="s">
        <v>6312</v>
      </c>
      <c r="BH958" s="1">
        <v>124.8</v>
      </c>
      <c r="BI958" s="1">
        <v>316003</v>
      </c>
      <c r="BJ958" s="3">
        <v>42110</v>
      </c>
      <c r="BK958" t="s">
        <v>123</v>
      </c>
      <c r="BL958" t="str">
        <f>"2015.259484"</f>
        <v>2015.259484</v>
      </c>
      <c r="BM958" t="s">
        <v>402</v>
      </c>
      <c r="BO958" t="s">
        <v>6313</v>
      </c>
      <c r="BS958">
        <v>30</v>
      </c>
      <c r="BW958" t="str">
        <f>""</f>
        <v/>
      </c>
      <c r="CH958" t="str">
        <f>""</f>
        <v/>
      </c>
      <c r="CS958" t="str">
        <f>""</f>
        <v/>
      </c>
    </row>
    <row r="959" spans="1:97" x14ac:dyDescent="0.25">
      <c r="A959" t="s">
        <v>3730</v>
      </c>
      <c r="B959" t="s">
        <v>364</v>
      </c>
      <c r="C959" t="s">
        <v>2099</v>
      </c>
      <c r="D959" t="s">
        <v>364</v>
      </c>
      <c r="E959" t="s">
        <v>6314</v>
      </c>
      <c r="F959" t="s">
        <v>108</v>
      </c>
      <c r="H959" t="s">
        <v>6315</v>
      </c>
      <c r="I959" t="s">
        <v>499</v>
      </c>
      <c r="J959" t="s">
        <v>111</v>
      </c>
      <c r="K959" t="str">
        <f>"85338"</f>
        <v>85338</v>
      </c>
      <c r="L959" t="s">
        <v>6316</v>
      </c>
      <c r="M959" t="s">
        <v>6315</v>
      </c>
      <c r="N959" t="s">
        <v>499</v>
      </c>
      <c r="O959" t="s">
        <v>111</v>
      </c>
      <c r="P959" t="str">
        <f>"85338-2584"</f>
        <v>85338-2584</v>
      </c>
      <c r="Q959" t="s">
        <v>113</v>
      </c>
      <c r="R959" t="str">
        <f>"502-46-467"</f>
        <v>502-46-467</v>
      </c>
      <c r="S959" t="s">
        <v>6317</v>
      </c>
      <c r="T959" t="s">
        <v>6318</v>
      </c>
      <c r="U959">
        <v>2431</v>
      </c>
      <c r="V959">
        <v>0</v>
      </c>
      <c r="W959">
        <v>3</v>
      </c>
      <c r="X959">
        <v>2016</v>
      </c>
      <c r="Z959">
        <v>2</v>
      </c>
      <c r="AB959">
        <v>0</v>
      </c>
      <c r="AC959" t="s">
        <v>115</v>
      </c>
      <c r="AD959">
        <v>2</v>
      </c>
      <c r="AE959" t="s">
        <v>115</v>
      </c>
      <c r="AF959">
        <v>0</v>
      </c>
      <c r="AG959">
        <v>0</v>
      </c>
      <c r="AH959" t="s">
        <v>116</v>
      </c>
      <c r="AI959" s="1">
        <v>42578</v>
      </c>
      <c r="AJ959" s="2">
        <v>0.15</v>
      </c>
      <c r="AK959" s="1">
        <v>290818</v>
      </c>
      <c r="AL959" t="s">
        <v>117</v>
      </c>
      <c r="AM959" t="s">
        <v>118</v>
      </c>
      <c r="AN959">
        <v>6105</v>
      </c>
      <c r="AO959">
        <v>0.14000000000000001</v>
      </c>
      <c r="AR959">
        <v>1</v>
      </c>
      <c r="AS959" s="1">
        <v>20980</v>
      </c>
      <c r="AT959" s="1">
        <v>4190</v>
      </c>
      <c r="AU959" s="1">
        <v>16790</v>
      </c>
      <c r="AV959">
        <v>80.03</v>
      </c>
      <c r="AX959" s="1">
        <v>1706.7</v>
      </c>
      <c r="AY959" t="s">
        <v>6319</v>
      </c>
      <c r="AZ959" t="s">
        <v>6319</v>
      </c>
      <c r="BA959" t="s">
        <v>218</v>
      </c>
      <c r="BE959" s="3">
        <v>42446</v>
      </c>
      <c r="BF959" s="1">
        <v>244448</v>
      </c>
      <c r="BG959" t="s">
        <v>6320</v>
      </c>
      <c r="BH959" s="1">
        <v>100.55</v>
      </c>
      <c r="BI959" s="1">
        <v>248240</v>
      </c>
      <c r="BJ959" s="3">
        <v>42446</v>
      </c>
      <c r="BK959" t="s">
        <v>123</v>
      </c>
      <c r="BL959" t="str">
        <f>"2016.170853"</f>
        <v>2016.170853</v>
      </c>
      <c r="BM959" t="s">
        <v>573</v>
      </c>
      <c r="BO959" t="s">
        <v>6321</v>
      </c>
      <c r="BS959">
        <v>30</v>
      </c>
      <c r="BW959" t="str">
        <f>""</f>
        <v/>
      </c>
      <c r="CH959" t="str">
        <f>""</f>
        <v/>
      </c>
      <c r="CS959" t="str">
        <f>""</f>
        <v/>
      </c>
    </row>
    <row r="960" spans="1:97" x14ac:dyDescent="0.25">
      <c r="A960" t="s">
        <v>6322</v>
      </c>
      <c r="B960" t="s">
        <v>992</v>
      </c>
      <c r="C960" t="s">
        <v>943</v>
      </c>
      <c r="D960" t="s">
        <v>992</v>
      </c>
      <c r="E960" t="s">
        <v>6323</v>
      </c>
      <c r="F960" t="s">
        <v>108</v>
      </c>
      <c r="H960" t="s">
        <v>6324</v>
      </c>
      <c r="I960" t="s">
        <v>390</v>
      </c>
      <c r="J960" t="s">
        <v>111</v>
      </c>
      <c r="K960" t="str">
        <f>"85048"</f>
        <v>85048</v>
      </c>
      <c r="L960" t="s">
        <v>6325</v>
      </c>
      <c r="M960" t="s">
        <v>6324</v>
      </c>
      <c r="N960" t="s">
        <v>390</v>
      </c>
      <c r="O960" t="s">
        <v>111</v>
      </c>
      <c r="P960" t="str">
        <f>"85048-7924"</f>
        <v>85048-7924</v>
      </c>
      <c r="Q960" t="s">
        <v>113</v>
      </c>
      <c r="R960" t="str">
        <f>"301-79-716"</f>
        <v>301-79-716</v>
      </c>
      <c r="S960" t="s">
        <v>6326</v>
      </c>
      <c r="T960" t="s">
        <v>6327</v>
      </c>
      <c r="U960">
        <v>1867</v>
      </c>
      <c r="V960">
        <v>0</v>
      </c>
      <c r="W960">
        <v>3</v>
      </c>
      <c r="X960">
        <v>1992</v>
      </c>
      <c r="Z960">
        <v>1</v>
      </c>
      <c r="AB960">
        <v>0</v>
      </c>
      <c r="AC960" t="s">
        <v>115</v>
      </c>
      <c r="AD960">
        <v>2</v>
      </c>
      <c r="AE960" t="s">
        <v>115</v>
      </c>
      <c r="AF960">
        <v>0</v>
      </c>
      <c r="AG960">
        <v>0</v>
      </c>
      <c r="AH960" t="s">
        <v>116</v>
      </c>
      <c r="AI960" s="1">
        <v>84310</v>
      </c>
      <c r="AJ960" s="2">
        <v>0.24</v>
      </c>
      <c r="AK960" s="1">
        <v>354072</v>
      </c>
      <c r="AL960" t="s">
        <v>117</v>
      </c>
      <c r="AM960" t="s">
        <v>171</v>
      </c>
      <c r="AN960">
        <v>6952</v>
      </c>
      <c r="AO960">
        <v>0.16</v>
      </c>
      <c r="AP960">
        <v>1</v>
      </c>
      <c r="AR960">
        <v>1</v>
      </c>
      <c r="AS960" s="1">
        <v>24710</v>
      </c>
      <c r="AT960" s="1">
        <v>4940</v>
      </c>
      <c r="AU960" s="1">
        <v>19770</v>
      </c>
      <c r="AV960">
        <v>80.010000000000005</v>
      </c>
      <c r="AX960" s="1">
        <v>2379.96</v>
      </c>
      <c r="AY960" t="s">
        <v>928</v>
      </c>
      <c r="AZ960" t="s">
        <v>929</v>
      </c>
      <c r="BA960" t="s">
        <v>930</v>
      </c>
      <c r="BE960" s="3">
        <v>41851</v>
      </c>
      <c r="BF960" s="1">
        <v>268000</v>
      </c>
      <c r="BG960" t="s">
        <v>6328</v>
      </c>
      <c r="BH960" s="1">
        <v>143.55000000000001</v>
      </c>
      <c r="BI960" s="1">
        <v>269762</v>
      </c>
      <c r="BJ960" s="3">
        <v>41851</v>
      </c>
      <c r="BK960" t="s">
        <v>123</v>
      </c>
      <c r="BL960" t="str">
        <f>"2014.501242"</f>
        <v>2014.501242</v>
      </c>
      <c r="BM960" t="s">
        <v>6329</v>
      </c>
      <c r="BO960" t="s">
        <v>6330</v>
      </c>
      <c r="BS960">
        <v>30</v>
      </c>
      <c r="BW960" t="str">
        <f>""</f>
        <v/>
      </c>
      <c r="CH960" t="str">
        <f>""</f>
        <v/>
      </c>
      <c r="CS960" t="str">
        <f>""</f>
        <v/>
      </c>
    </row>
    <row r="961" spans="1:97" x14ac:dyDescent="0.25">
      <c r="A961" t="s">
        <v>2915</v>
      </c>
      <c r="B961" t="s">
        <v>4306</v>
      </c>
      <c r="C961" t="s">
        <v>1210</v>
      </c>
      <c r="D961" t="s">
        <v>4306</v>
      </c>
      <c r="E961" t="s">
        <v>6331</v>
      </c>
      <c r="F961" t="s">
        <v>108</v>
      </c>
      <c r="H961" t="s">
        <v>6332</v>
      </c>
      <c r="I961" t="s">
        <v>453</v>
      </c>
      <c r="J961" t="s">
        <v>111</v>
      </c>
      <c r="K961" t="str">
        <f>"85381"</f>
        <v>85381</v>
      </c>
      <c r="L961" t="s">
        <v>6333</v>
      </c>
      <c r="M961" t="s">
        <v>6332</v>
      </c>
      <c r="N961" t="s">
        <v>453</v>
      </c>
      <c r="O961" t="s">
        <v>111</v>
      </c>
      <c r="P961" t="str">
        <f>"85381-3428"</f>
        <v>85381-3428</v>
      </c>
      <c r="Q961" t="s">
        <v>113</v>
      </c>
      <c r="R961" t="str">
        <f>"200-62-855"</f>
        <v>200-62-855</v>
      </c>
      <c r="S961" t="s">
        <v>6334</v>
      </c>
      <c r="T961" t="s">
        <v>6335</v>
      </c>
      <c r="U961">
        <v>3063</v>
      </c>
      <c r="V961">
        <v>0</v>
      </c>
      <c r="W961">
        <v>4</v>
      </c>
      <c r="X961">
        <v>1998</v>
      </c>
      <c r="Z961">
        <v>2</v>
      </c>
      <c r="AA961" t="s">
        <v>26</v>
      </c>
      <c r="AB961">
        <v>0</v>
      </c>
      <c r="AC961" t="s">
        <v>115</v>
      </c>
      <c r="AD961">
        <v>3</v>
      </c>
      <c r="AE961" t="s">
        <v>115</v>
      </c>
      <c r="AF961">
        <v>0</v>
      </c>
      <c r="AG961">
        <v>0</v>
      </c>
      <c r="AH961" t="s">
        <v>116</v>
      </c>
      <c r="AI961" s="1">
        <v>125739</v>
      </c>
      <c r="AJ961" s="2">
        <v>0.27</v>
      </c>
      <c r="AK961" s="1">
        <v>465739</v>
      </c>
      <c r="AL961" t="s">
        <v>117</v>
      </c>
      <c r="AM961" t="s">
        <v>1302</v>
      </c>
      <c r="AN961">
        <v>20005</v>
      </c>
      <c r="AO961">
        <v>0.46</v>
      </c>
      <c r="AP961">
        <v>1</v>
      </c>
      <c r="AR961">
        <v>1</v>
      </c>
      <c r="AS961" s="1">
        <v>34200</v>
      </c>
      <c r="AT961" s="1">
        <v>6840</v>
      </c>
      <c r="AU961" s="1">
        <v>27360</v>
      </c>
      <c r="AV961">
        <v>80</v>
      </c>
      <c r="AX961" s="1">
        <v>2590.34</v>
      </c>
      <c r="AY961" t="s">
        <v>1799</v>
      </c>
      <c r="AZ961" t="s">
        <v>1799</v>
      </c>
      <c r="BA961" t="s">
        <v>1800</v>
      </c>
      <c r="BE961" s="3">
        <v>42425</v>
      </c>
      <c r="BF961" s="1">
        <v>400000</v>
      </c>
      <c r="BG961" t="s">
        <v>6336</v>
      </c>
      <c r="BH961" s="1">
        <v>130.59</v>
      </c>
      <c r="BI961" s="1">
        <v>340000</v>
      </c>
      <c r="BJ961" s="3">
        <v>42425</v>
      </c>
      <c r="BK961" t="s">
        <v>123</v>
      </c>
      <c r="BL961" t="str">
        <f>"2016.117438"</f>
        <v>2016.117438</v>
      </c>
      <c r="BM961" t="s">
        <v>6337</v>
      </c>
      <c r="BO961" t="s">
        <v>6338</v>
      </c>
      <c r="BS961">
        <v>30</v>
      </c>
      <c r="BW961" t="str">
        <f>""</f>
        <v/>
      </c>
      <c r="CH961" t="str">
        <f>""</f>
        <v/>
      </c>
      <c r="CS961" t="str">
        <f>""</f>
        <v/>
      </c>
    </row>
    <row r="962" spans="1:97" x14ac:dyDescent="0.25">
      <c r="A962" t="s">
        <v>2350</v>
      </c>
      <c r="B962" t="s">
        <v>1125</v>
      </c>
      <c r="C962" t="s">
        <v>1666</v>
      </c>
      <c r="D962" t="s">
        <v>1125</v>
      </c>
      <c r="E962" t="s">
        <v>6339</v>
      </c>
      <c r="F962" t="s">
        <v>108</v>
      </c>
      <c r="H962" t="s">
        <v>6340</v>
      </c>
      <c r="I962" t="s">
        <v>453</v>
      </c>
      <c r="J962" t="s">
        <v>111</v>
      </c>
      <c r="K962" t="str">
        <f>"85383"</f>
        <v>85383</v>
      </c>
      <c r="L962" t="s">
        <v>3225</v>
      </c>
      <c r="M962" t="s">
        <v>6340</v>
      </c>
      <c r="N962" t="s">
        <v>453</v>
      </c>
      <c r="O962" t="s">
        <v>111</v>
      </c>
      <c r="P962" t="str">
        <f>"85383-5837"</f>
        <v>85383-5837</v>
      </c>
      <c r="Q962" t="s">
        <v>113</v>
      </c>
      <c r="R962" t="str">
        <f>"503-55-076"</f>
        <v>503-55-076</v>
      </c>
      <c r="S962" t="s">
        <v>6341</v>
      </c>
      <c r="U962">
        <v>1695</v>
      </c>
      <c r="V962">
        <v>0</v>
      </c>
      <c r="W962">
        <v>3</v>
      </c>
      <c r="X962">
        <v>2015</v>
      </c>
      <c r="Z962">
        <v>1</v>
      </c>
      <c r="AB962">
        <v>0</v>
      </c>
      <c r="AC962" t="s">
        <v>115</v>
      </c>
      <c r="AD962">
        <v>2</v>
      </c>
      <c r="AE962" t="s">
        <v>115</v>
      </c>
      <c r="AF962">
        <v>0</v>
      </c>
      <c r="AG962">
        <v>0</v>
      </c>
      <c r="AH962" t="s">
        <v>116</v>
      </c>
      <c r="AI962" s="1">
        <v>73167</v>
      </c>
      <c r="AJ962" s="2">
        <v>0.26</v>
      </c>
      <c r="AK962" s="1">
        <v>285532</v>
      </c>
      <c r="AL962" t="s">
        <v>117</v>
      </c>
      <c r="AM962" t="s">
        <v>5379</v>
      </c>
      <c r="AN962">
        <v>4475</v>
      </c>
      <c r="AO962">
        <v>0.1</v>
      </c>
      <c r="AR962">
        <v>1</v>
      </c>
      <c r="AS962" s="1">
        <v>19500</v>
      </c>
      <c r="AT962" s="1">
        <v>3900</v>
      </c>
      <c r="AU962" s="1">
        <v>15600</v>
      </c>
      <c r="AV962">
        <v>80</v>
      </c>
      <c r="AX962" s="1">
        <v>1738.66</v>
      </c>
      <c r="AY962" t="s">
        <v>456</v>
      </c>
      <c r="AZ962" t="s">
        <v>456</v>
      </c>
      <c r="BA962" t="s">
        <v>457</v>
      </c>
      <c r="BE962" s="3">
        <v>42324</v>
      </c>
      <c r="BF962" s="1">
        <v>207630</v>
      </c>
      <c r="BG962" t="s">
        <v>2842</v>
      </c>
      <c r="BH962" s="1">
        <v>122.5</v>
      </c>
      <c r="BI962" s="1">
        <v>212365</v>
      </c>
      <c r="BJ962" s="3">
        <v>43153</v>
      </c>
      <c r="BK962" t="s">
        <v>123</v>
      </c>
      <c r="BL962" t="str">
        <f>"2018.132106"</f>
        <v>2018.132106</v>
      </c>
      <c r="BM962" t="s">
        <v>1325</v>
      </c>
      <c r="BN962" t="s">
        <v>6342</v>
      </c>
      <c r="BO962" t="s">
        <v>6343</v>
      </c>
      <c r="BP962" t="s">
        <v>6344</v>
      </c>
      <c r="BR962" t="s">
        <v>139</v>
      </c>
      <c r="BW962" t="str">
        <f>""</f>
        <v/>
      </c>
      <c r="CH962" t="str">
        <f>""</f>
        <v/>
      </c>
      <c r="CS962" t="str">
        <f>""</f>
        <v/>
      </c>
    </row>
    <row r="963" spans="1:97" x14ac:dyDescent="0.25">
      <c r="A963" t="s">
        <v>6345</v>
      </c>
      <c r="B963" t="s">
        <v>6346</v>
      </c>
      <c r="E963" t="s">
        <v>6347</v>
      </c>
      <c r="F963" t="s">
        <v>108</v>
      </c>
      <c r="H963" t="s">
        <v>6348</v>
      </c>
      <c r="I963" t="s">
        <v>390</v>
      </c>
      <c r="J963" t="s">
        <v>111</v>
      </c>
      <c r="K963" t="str">
        <f>"85054"</f>
        <v>85054</v>
      </c>
      <c r="L963" t="s">
        <v>6349</v>
      </c>
      <c r="M963" t="s">
        <v>6348</v>
      </c>
      <c r="N963" t="s">
        <v>390</v>
      </c>
      <c r="O963" t="s">
        <v>111</v>
      </c>
      <c r="P963" t="str">
        <f>"85054-6176"</f>
        <v>85054-6176</v>
      </c>
      <c r="Q963" t="s">
        <v>113</v>
      </c>
      <c r="R963" t="str">
        <f>"212-32-829"</f>
        <v>212-32-829</v>
      </c>
      <c r="S963" t="s">
        <v>6350</v>
      </c>
      <c r="U963">
        <v>2018</v>
      </c>
      <c r="V963">
        <v>0</v>
      </c>
      <c r="W963">
        <v>3</v>
      </c>
      <c r="X963">
        <v>1998</v>
      </c>
      <c r="Z963">
        <v>1</v>
      </c>
      <c r="AA963" t="s">
        <v>26</v>
      </c>
      <c r="AB963">
        <v>0</v>
      </c>
      <c r="AC963" t="s">
        <v>115</v>
      </c>
      <c r="AD963">
        <v>3</v>
      </c>
      <c r="AE963" t="s">
        <v>115</v>
      </c>
      <c r="AF963">
        <v>0</v>
      </c>
      <c r="AG963">
        <v>0</v>
      </c>
      <c r="AH963" t="s">
        <v>116</v>
      </c>
      <c r="AI963" s="1">
        <v>127121</v>
      </c>
      <c r="AJ963" s="2">
        <v>0.26</v>
      </c>
      <c r="AK963" s="1">
        <v>486558</v>
      </c>
      <c r="AL963" t="s">
        <v>117</v>
      </c>
      <c r="AM963" t="s">
        <v>191</v>
      </c>
      <c r="AN963">
        <v>12068</v>
      </c>
      <c r="AO963">
        <v>0.28000000000000003</v>
      </c>
      <c r="AP963">
        <v>1</v>
      </c>
      <c r="AR963">
        <v>1</v>
      </c>
      <c r="AS963" s="1">
        <v>36650</v>
      </c>
      <c r="AT963" s="1">
        <v>7330</v>
      </c>
      <c r="AU963" s="1">
        <v>29320</v>
      </c>
      <c r="AV963">
        <v>80</v>
      </c>
      <c r="AX963" s="1">
        <v>3523.14</v>
      </c>
      <c r="AY963" t="s">
        <v>6351</v>
      </c>
      <c r="AZ963" t="s">
        <v>6352</v>
      </c>
      <c r="BA963" t="s">
        <v>762</v>
      </c>
      <c r="BB963" s="3">
        <v>43732</v>
      </c>
      <c r="BC963" s="1">
        <v>0</v>
      </c>
      <c r="BD963" t="s">
        <v>247</v>
      </c>
      <c r="BE963" s="3">
        <v>42531</v>
      </c>
      <c r="BF963" s="1">
        <v>410000</v>
      </c>
      <c r="BG963" t="s">
        <v>6353</v>
      </c>
      <c r="BH963" s="1">
        <v>203.17</v>
      </c>
      <c r="BI963" s="1">
        <v>359437</v>
      </c>
      <c r="BJ963" s="3">
        <v>42531</v>
      </c>
      <c r="BK963" t="s">
        <v>123</v>
      </c>
      <c r="BL963" t="str">
        <f>"2016.405835"</f>
        <v>2016.405835</v>
      </c>
      <c r="BM963" t="s">
        <v>150</v>
      </c>
      <c r="BN963" t="s">
        <v>1282</v>
      </c>
      <c r="BO963" t="s">
        <v>6354</v>
      </c>
      <c r="BS963">
        <v>30</v>
      </c>
      <c r="BW963" t="str">
        <f>""</f>
        <v/>
      </c>
      <c r="CH963" t="str">
        <f>""</f>
        <v/>
      </c>
      <c r="CS963" t="str">
        <f>""</f>
        <v/>
      </c>
    </row>
    <row r="964" spans="1:97" x14ac:dyDescent="0.25">
      <c r="A964" t="s">
        <v>1727</v>
      </c>
      <c r="B964" t="s">
        <v>6355</v>
      </c>
      <c r="C964" t="s">
        <v>3926</v>
      </c>
      <c r="D964" t="s">
        <v>6355</v>
      </c>
      <c r="E964" t="s">
        <v>6356</v>
      </c>
      <c r="F964" t="s">
        <v>108</v>
      </c>
      <c r="H964" t="s">
        <v>6357</v>
      </c>
      <c r="I964" t="s">
        <v>1397</v>
      </c>
      <c r="J964" t="s">
        <v>111</v>
      </c>
      <c r="K964" t="str">
        <f>"85331"</f>
        <v>85331</v>
      </c>
      <c r="L964" t="s">
        <v>6358</v>
      </c>
      <c r="M964" t="s">
        <v>6357</v>
      </c>
      <c r="N964" t="s">
        <v>1397</v>
      </c>
      <c r="O964" t="s">
        <v>111</v>
      </c>
      <c r="P964" t="str">
        <f>"85331-2626"</f>
        <v>85331-2626</v>
      </c>
      <c r="Q964" t="s">
        <v>113</v>
      </c>
      <c r="R964" t="str">
        <f>"212-12-192"</f>
        <v>212-12-192</v>
      </c>
      <c r="S964" t="s">
        <v>6359</v>
      </c>
      <c r="T964" t="s">
        <v>6360</v>
      </c>
      <c r="U964">
        <v>2127</v>
      </c>
      <c r="V964">
        <v>0</v>
      </c>
      <c r="W964">
        <v>4</v>
      </c>
      <c r="X964">
        <v>1996</v>
      </c>
      <c r="Z964">
        <v>2</v>
      </c>
      <c r="AA964" t="s">
        <v>26</v>
      </c>
      <c r="AB964">
        <v>0</v>
      </c>
      <c r="AC964" t="s">
        <v>115</v>
      </c>
      <c r="AD964">
        <v>2</v>
      </c>
      <c r="AE964" t="s">
        <v>115</v>
      </c>
      <c r="AF964">
        <v>0</v>
      </c>
      <c r="AG964">
        <v>0</v>
      </c>
      <c r="AH964" t="s">
        <v>116</v>
      </c>
      <c r="AI964" s="1">
        <v>58007</v>
      </c>
      <c r="AJ964" s="2">
        <v>0.13</v>
      </c>
      <c r="AK964" s="1">
        <v>447007</v>
      </c>
      <c r="AL964" t="s">
        <v>117</v>
      </c>
      <c r="AM964" t="s">
        <v>191</v>
      </c>
      <c r="AN964">
        <v>8864</v>
      </c>
      <c r="AO964">
        <v>0.2</v>
      </c>
      <c r="AP964">
        <v>1</v>
      </c>
      <c r="AR964">
        <v>1</v>
      </c>
      <c r="AS964" s="1">
        <v>30860</v>
      </c>
      <c r="AT964" s="1">
        <v>6170</v>
      </c>
      <c r="AU964" s="1">
        <v>24690</v>
      </c>
      <c r="AV964">
        <v>80.010000000000005</v>
      </c>
      <c r="AX964" s="1">
        <v>2012.56</v>
      </c>
      <c r="AY964" t="s">
        <v>6361</v>
      </c>
      <c r="AZ964" t="s">
        <v>1402</v>
      </c>
      <c r="BA964" t="s">
        <v>1403</v>
      </c>
      <c r="BE964" s="3">
        <v>42450</v>
      </c>
      <c r="BF964" s="1">
        <v>389000</v>
      </c>
      <c r="BG964" t="s">
        <v>6362</v>
      </c>
      <c r="BH964" s="1">
        <v>182.89</v>
      </c>
      <c r="BI964" s="1">
        <v>389000</v>
      </c>
      <c r="BJ964" s="3">
        <v>42450</v>
      </c>
      <c r="BK964" t="s">
        <v>123</v>
      </c>
      <c r="BL964" t="str">
        <f>"2016.181160"</f>
        <v>2016.181160</v>
      </c>
      <c r="BM964" t="s">
        <v>2716</v>
      </c>
      <c r="BO964" t="s">
        <v>6363</v>
      </c>
      <c r="BS964">
        <v>30</v>
      </c>
      <c r="BW964" t="str">
        <f>""</f>
        <v/>
      </c>
      <c r="CH964" t="str">
        <f>""</f>
        <v/>
      </c>
      <c r="CS964" t="str">
        <f>""</f>
        <v/>
      </c>
    </row>
    <row r="965" spans="1:97" x14ac:dyDescent="0.25">
      <c r="A965" t="s">
        <v>1160</v>
      </c>
      <c r="B965" t="s">
        <v>6364</v>
      </c>
      <c r="E965" t="s">
        <v>6365</v>
      </c>
      <c r="F965" t="s">
        <v>108</v>
      </c>
      <c r="H965" t="s">
        <v>6366</v>
      </c>
      <c r="I965" t="s">
        <v>225</v>
      </c>
      <c r="J965" t="s">
        <v>111</v>
      </c>
      <c r="K965" t="str">
        <f>"85209"</f>
        <v>85209</v>
      </c>
      <c r="L965" t="s">
        <v>4367</v>
      </c>
      <c r="M965" t="s">
        <v>6366</v>
      </c>
      <c r="N965" t="s">
        <v>225</v>
      </c>
      <c r="O965" t="s">
        <v>111</v>
      </c>
      <c r="P965" t="str">
        <f>"85209-7835"</f>
        <v>85209-7835</v>
      </c>
      <c r="Q965" t="s">
        <v>113</v>
      </c>
      <c r="R965" t="str">
        <f>"312-02-501"</f>
        <v>312-02-501</v>
      </c>
      <c r="S965" t="s">
        <v>4368</v>
      </c>
      <c r="U965">
        <v>2031</v>
      </c>
      <c r="W965">
        <v>4</v>
      </c>
      <c r="X965">
        <v>2015</v>
      </c>
      <c r="Z965">
        <v>1</v>
      </c>
      <c r="AC965" t="s">
        <v>115</v>
      </c>
      <c r="AD965">
        <v>3</v>
      </c>
      <c r="AE965" t="s">
        <v>115</v>
      </c>
      <c r="AH965" t="s">
        <v>116</v>
      </c>
      <c r="AI965" s="1">
        <v>38204</v>
      </c>
      <c r="AJ965" s="2">
        <v>0.1</v>
      </c>
      <c r="AK965" s="1">
        <v>378929</v>
      </c>
      <c r="AL965" t="s">
        <v>117</v>
      </c>
      <c r="AM965" t="s">
        <v>191</v>
      </c>
      <c r="AN965">
        <v>6840</v>
      </c>
      <c r="AO965">
        <v>0.16</v>
      </c>
      <c r="AR965">
        <v>1</v>
      </c>
      <c r="AS965" s="1">
        <v>27880</v>
      </c>
      <c r="AT965" s="1">
        <v>5570</v>
      </c>
      <c r="AU965" s="1">
        <v>22310</v>
      </c>
      <c r="AV965">
        <v>80.02</v>
      </c>
      <c r="AX965" s="1">
        <v>1889.34</v>
      </c>
      <c r="AY965" t="s">
        <v>4370</v>
      </c>
      <c r="AZ965" t="s">
        <v>777</v>
      </c>
      <c r="BA965" t="s">
        <v>572</v>
      </c>
      <c r="BE965" s="3">
        <v>42377</v>
      </c>
      <c r="BF965" s="1">
        <v>365690</v>
      </c>
      <c r="BG965" t="s">
        <v>3120</v>
      </c>
      <c r="BH965" s="1">
        <v>180.05</v>
      </c>
      <c r="BI965" s="1">
        <v>340725</v>
      </c>
      <c r="BJ965" s="3">
        <v>42377</v>
      </c>
      <c r="BK965" t="s">
        <v>123</v>
      </c>
      <c r="BL965" t="str">
        <f>"2016.13452"</f>
        <v>2016.13452</v>
      </c>
      <c r="BM965" t="s">
        <v>6367</v>
      </c>
      <c r="BO965" t="s">
        <v>6368</v>
      </c>
      <c r="BS965">
        <v>30</v>
      </c>
      <c r="BW965" t="str">
        <f>""</f>
        <v/>
      </c>
      <c r="CH965" t="str">
        <f>""</f>
        <v/>
      </c>
      <c r="CS965" t="str">
        <f>""</f>
        <v/>
      </c>
    </row>
    <row r="966" spans="1:97" x14ac:dyDescent="0.25">
      <c r="A966" t="s">
        <v>3023</v>
      </c>
      <c r="B966" t="s">
        <v>6369</v>
      </c>
      <c r="C966" t="s">
        <v>6370</v>
      </c>
      <c r="D966" t="s">
        <v>6369</v>
      </c>
      <c r="E966" t="s">
        <v>6371</v>
      </c>
      <c r="F966" t="s">
        <v>108</v>
      </c>
      <c r="H966" t="s">
        <v>6372</v>
      </c>
      <c r="I966" t="s">
        <v>110</v>
      </c>
      <c r="J966" t="s">
        <v>111</v>
      </c>
      <c r="K966" t="str">
        <f>"85286"</f>
        <v>85286</v>
      </c>
      <c r="L966" t="s">
        <v>4326</v>
      </c>
      <c r="M966" t="s">
        <v>6372</v>
      </c>
      <c r="N966" t="s">
        <v>110</v>
      </c>
      <c r="O966" t="s">
        <v>111</v>
      </c>
      <c r="P966" t="str">
        <f>"85286"</f>
        <v>85286</v>
      </c>
      <c r="Q966" t="s">
        <v>113</v>
      </c>
      <c r="R966" t="str">
        <f>"313-05-926"</f>
        <v>313-05-926</v>
      </c>
      <c r="S966" t="s">
        <v>6051</v>
      </c>
      <c r="T966" t="s">
        <v>6052</v>
      </c>
      <c r="U966">
        <v>2158</v>
      </c>
      <c r="W966">
        <v>3</v>
      </c>
      <c r="X966">
        <v>2015</v>
      </c>
      <c r="Z966">
        <v>1</v>
      </c>
      <c r="AC966" t="s">
        <v>115</v>
      </c>
      <c r="AD966">
        <v>3</v>
      </c>
      <c r="AE966" t="s">
        <v>115</v>
      </c>
      <c r="AH966" t="s">
        <v>116</v>
      </c>
      <c r="AI966" s="1">
        <v>68366</v>
      </c>
      <c r="AJ966" s="2">
        <v>0.16</v>
      </c>
      <c r="AK966" s="1">
        <v>428366</v>
      </c>
      <c r="AL966" t="s">
        <v>117</v>
      </c>
      <c r="AM966" t="s">
        <v>118</v>
      </c>
      <c r="AN966">
        <v>5980</v>
      </c>
      <c r="AO966">
        <v>0.14000000000000001</v>
      </c>
      <c r="AR966">
        <v>1</v>
      </c>
      <c r="AS966" s="1">
        <v>30680</v>
      </c>
      <c r="AT966" s="1">
        <v>6130</v>
      </c>
      <c r="AU966" s="1">
        <v>24550</v>
      </c>
      <c r="AV966">
        <v>80.02</v>
      </c>
      <c r="AX966" s="1">
        <v>2116.54</v>
      </c>
      <c r="AY966" t="s">
        <v>737</v>
      </c>
      <c r="AZ966" t="s">
        <v>120</v>
      </c>
      <c r="BA966" t="s">
        <v>303</v>
      </c>
      <c r="BE966" s="3">
        <v>42447</v>
      </c>
      <c r="BF966" s="1">
        <v>360000</v>
      </c>
      <c r="BG966" t="s">
        <v>645</v>
      </c>
      <c r="BH966" s="1">
        <v>166.82</v>
      </c>
      <c r="BI966" s="1">
        <v>360000</v>
      </c>
      <c r="BJ966" s="3">
        <v>42447</v>
      </c>
      <c r="BK966" t="s">
        <v>123</v>
      </c>
      <c r="BL966" t="str">
        <f>"2016.177771"</f>
        <v>2016.177771</v>
      </c>
      <c r="BM966" t="s">
        <v>594</v>
      </c>
      <c r="BO966" t="s">
        <v>6373</v>
      </c>
      <c r="BS966">
        <v>30</v>
      </c>
      <c r="BW966" t="str">
        <f>""</f>
        <v/>
      </c>
      <c r="CH966" t="str">
        <f>""</f>
        <v/>
      </c>
      <c r="CS966" t="str">
        <f>""</f>
        <v/>
      </c>
    </row>
    <row r="967" spans="1:97" x14ac:dyDescent="0.25">
      <c r="A967" t="s">
        <v>177</v>
      </c>
      <c r="B967" t="s">
        <v>6374</v>
      </c>
      <c r="C967" t="s">
        <v>3707</v>
      </c>
      <c r="D967" t="s">
        <v>6374</v>
      </c>
      <c r="E967" t="s">
        <v>6375</v>
      </c>
      <c r="F967" t="s">
        <v>108</v>
      </c>
      <c r="H967" t="s">
        <v>6376</v>
      </c>
      <c r="I967" t="s">
        <v>225</v>
      </c>
      <c r="J967" t="s">
        <v>111</v>
      </c>
      <c r="K967" t="str">
        <f>"85209"</f>
        <v>85209</v>
      </c>
      <c r="L967" t="s">
        <v>3530</v>
      </c>
      <c r="M967" t="s">
        <v>6376</v>
      </c>
      <c r="N967" t="s">
        <v>225</v>
      </c>
      <c r="O967" t="s">
        <v>111</v>
      </c>
      <c r="P967" t="str">
        <f>"85209-1243"</f>
        <v>85209-1243</v>
      </c>
      <c r="Q967" t="s">
        <v>113</v>
      </c>
      <c r="R967" t="str">
        <f>"312-11-586"</f>
        <v>312-11-586</v>
      </c>
      <c r="S967" t="s">
        <v>6377</v>
      </c>
      <c r="U967">
        <v>3711</v>
      </c>
      <c r="V967">
        <v>0</v>
      </c>
      <c r="W967">
        <v>4</v>
      </c>
      <c r="X967">
        <v>2003</v>
      </c>
      <c r="Z967">
        <v>2</v>
      </c>
      <c r="AA967" t="s">
        <v>26</v>
      </c>
      <c r="AB967">
        <v>0</v>
      </c>
      <c r="AC967" t="s">
        <v>115</v>
      </c>
      <c r="AD967">
        <v>3</v>
      </c>
      <c r="AE967" t="s">
        <v>115</v>
      </c>
      <c r="AF967">
        <v>0</v>
      </c>
      <c r="AG967">
        <v>0</v>
      </c>
      <c r="AH967" t="s">
        <v>116</v>
      </c>
      <c r="AI967" s="1">
        <v>121925</v>
      </c>
      <c r="AJ967" s="2">
        <v>0.27</v>
      </c>
      <c r="AK967" s="1">
        <v>452570</v>
      </c>
      <c r="AL967" t="s">
        <v>117</v>
      </c>
      <c r="AM967" t="s">
        <v>393</v>
      </c>
      <c r="AN967">
        <v>8400</v>
      </c>
      <c r="AO967">
        <v>0.19</v>
      </c>
      <c r="AP967">
        <v>1</v>
      </c>
      <c r="AR967">
        <v>1</v>
      </c>
      <c r="AS967" s="1">
        <v>31810</v>
      </c>
      <c r="AT967" s="1">
        <v>6360</v>
      </c>
      <c r="AU967" s="1">
        <v>25450</v>
      </c>
      <c r="AV967">
        <v>80.010000000000005</v>
      </c>
      <c r="AX967" s="1">
        <v>2515.06</v>
      </c>
      <c r="AY967" t="s">
        <v>4370</v>
      </c>
      <c r="AZ967" t="s">
        <v>777</v>
      </c>
      <c r="BA967" t="s">
        <v>572</v>
      </c>
      <c r="BE967" s="3">
        <v>42173</v>
      </c>
      <c r="BF967" s="1">
        <v>367500</v>
      </c>
      <c r="BG967" t="s">
        <v>6378</v>
      </c>
      <c r="BH967" s="1">
        <v>99.03</v>
      </c>
      <c r="BI967" s="1">
        <v>330645</v>
      </c>
      <c r="BJ967" s="3">
        <v>42755</v>
      </c>
      <c r="BK967" t="s">
        <v>123</v>
      </c>
      <c r="BL967" t="str">
        <f>"2017.44161"</f>
        <v>2017.44161</v>
      </c>
      <c r="BM967" t="s">
        <v>322</v>
      </c>
      <c r="BO967" t="s">
        <v>6379</v>
      </c>
      <c r="BS967">
        <v>30</v>
      </c>
      <c r="BW967" t="str">
        <f>""</f>
        <v/>
      </c>
      <c r="CH967" t="str">
        <f>""</f>
        <v/>
      </c>
      <c r="CS967" t="str">
        <f>""</f>
        <v/>
      </c>
    </row>
    <row r="968" spans="1:97" x14ac:dyDescent="0.25">
      <c r="A968" t="s">
        <v>1727</v>
      </c>
      <c r="B968" t="s">
        <v>6380</v>
      </c>
      <c r="E968" t="s">
        <v>6381</v>
      </c>
      <c r="F968" t="s">
        <v>108</v>
      </c>
      <c r="H968" t="s">
        <v>6382</v>
      </c>
      <c r="I968" t="s">
        <v>390</v>
      </c>
      <c r="J968" t="s">
        <v>111</v>
      </c>
      <c r="K968" t="str">
        <f>"85042"</f>
        <v>85042</v>
      </c>
      <c r="L968" t="s">
        <v>6112</v>
      </c>
      <c r="M968" t="s">
        <v>6382</v>
      </c>
      <c r="N968" t="s">
        <v>390</v>
      </c>
      <c r="O968" t="s">
        <v>111</v>
      </c>
      <c r="P968" t="str">
        <f>"85042-9636"</f>
        <v>85042-9636</v>
      </c>
      <c r="Q968" t="s">
        <v>113</v>
      </c>
      <c r="R968" t="str">
        <f>"301-23-111"</f>
        <v>301-23-111</v>
      </c>
      <c r="S968" t="s">
        <v>6383</v>
      </c>
      <c r="T968" t="s">
        <v>6383</v>
      </c>
      <c r="U968">
        <v>2743</v>
      </c>
      <c r="V968">
        <v>0</v>
      </c>
      <c r="W968">
        <v>3</v>
      </c>
      <c r="X968">
        <v>2006</v>
      </c>
      <c r="Z968">
        <v>1</v>
      </c>
      <c r="AB968">
        <v>0</v>
      </c>
      <c r="AC968" t="s">
        <v>115</v>
      </c>
      <c r="AD968">
        <v>3</v>
      </c>
      <c r="AE968" t="s">
        <v>115</v>
      </c>
      <c r="AF968">
        <v>0</v>
      </c>
      <c r="AG968">
        <v>0</v>
      </c>
      <c r="AH968" t="s">
        <v>116</v>
      </c>
      <c r="AI968" s="1">
        <v>105983</v>
      </c>
      <c r="AJ968" s="2">
        <v>0.24</v>
      </c>
      <c r="AK968" s="1">
        <v>433769</v>
      </c>
      <c r="AL968" t="s">
        <v>117</v>
      </c>
      <c r="AM968" t="s">
        <v>3111</v>
      </c>
      <c r="AN968">
        <v>10722</v>
      </c>
      <c r="AO968">
        <v>0.25</v>
      </c>
      <c r="AR968">
        <v>1</v>
      </c>
      <c r="AS968" s="1">
        <v>31800</v>
      </c>
      <c r="AT968" s="1">
        <v>6360</v>
      </c>
      <c r="AU968" s="1">
        <v>25440</v>
      </c>
      <c r="AV968">
        <v>80</v>
      </c>
      <c r="AX968" s="1">
        <v>4564.32</v>
      </c>
      <c r="AY968" t="s">
        <v>6115</v>
      </c>
      <c r="AZ968" t="s">
        <v>6115</v>
      </c>
      <c r="BA968" t="s">
        <v>2860</v>
      </c>
      <c r="BE968" s="3">
        <v>41988</v>
      </c>
      <c r="BF968" s="1">
        <v>320000</v>
      </c>
      <c r="BG968" t="s">
        <v>6384</v>
      </c>
      <c r="BH968" s="1">
        <v>116.66</v>
      </c>
      <c r="BI968" s="1">
        <v>327786</v>
      </c>
      <c r="BJ968" s="3">
        <v>42451</v>
      </c>
      <c r="BK968" t="s">
        <v>123</v>
      </c>
      <c r="BL968" t="str">
        <f>"2016.182670"</f>
        <v>2016.182670</v>
      </c>
      <c r="BM968" t="s">
        <v>6385</v>
      </c>
      <c r="BO968" t="s">
        <v>6386</v>
      </c>
      <c r="BS968">
        <v>30</v>
      </c>
      <c r="BW968" t="str">
        <f>""</f>
        <v/>
      </c>
      <c r="CH968" t="str">
        <f>""</f>
        <v/>
      </c>
      <c r="CS968" t="str">
        <f>""</f>
        <v/>
      </c>
    </row>
    <row r="969" spans="1:97" x14ac:dyDescent="0.25">
      <c r="A969" t="s">
        <v>265</v>
      </c>
      <c r="B969" t="s">
        <v>1750</v>
      </c>
      <c r="C969" t="s">
        <v>1821</v>
      </c>
      <c r="D969" t="s">
        <v>1750</v>
      </c>
      <c r="E969" t="s">
        <v>6387</v>
      </c>
      <c r="F969" t="s">
        <v>108</v>
      </c>
      <c r="H969" t="s">
        <v>6388</v>
      </c>
      <c r="I969" t="s">
        <v>390</v>
      </c>
      <c r="J969" t="s">
        <v>111</v>
      </c>
      <c r="K969" t="str">
        <f>"85024"</f>
        <v>85024</v>
      </c>
      <c r="L969" t="s">
        <v>5185</v>
      </c>
      <c r="M969" t="s">
        <v>6388</v>
      </c>
      <c r="N969" t="s">
        <v>390</v>
      </c>
      <c r="O969" t="s">
        <v>111</v>
      </c>
      <c r="P969" t="str">
        <f>"85024-4338"</f>
        <v>85024-4338</v>
      </c>
      <c r="Q969" t="s">
        <v>113</v>
      </c>
      <c r="R969" t="str">
        <f>"213-05-084"</f>
        <v>213-05-084</v>
      </c>
      <c r="S969" t="s">
        <v>6207</v>
      </c>
      <c r="T969" t="s">
        <v>6207</v>
      </c>
      <c r="U969">
        <v>2621</v>
      </c>
      <c r="V969">
        <v>0</v>
      </c>
      <c r="W969">
        <v>4</v>
      </c>
      <c r="X969">
        <v>1996</v>
      </c>
      <c r="Z969">
        <v>2</v>
      </c>
      <c r="AA969" t="s">
        <v>26</v>
      </c>
      <c r="AB969">
        <v>0</v>
      </c>
      <c r="AC969" t="s">
        <v>115</v>
      </c>
      <c r="AD969">
        <v>3</v>
      </c>
      <c r="AE969" t="s">
        <v>115</v>
      </c>
      <c r="AF969">
        <v>0</v>
      </c>
      <c r="AG969">
        <v>0</v>
      </c>
      <c r="AH969" t="s">
        <v>116</v>
      </c>
      <c r="AI969" s="1">
        <v>-112523</v>
      </c>
      <c r="AJ969" s="2">
        <v>-0.25</v>
      </c>
      <c r="AK969" s="1">
        <v>451111</v>
      </c>
      <c r="AL969" t="s">
        <v>117</v>
      </c>
      <c r="AM969" t="s">
        <v>191</v>
      </c>
      <c r="AN969">
        <v>7413</v>
      </c>
      <c r="AO969">
        <v>0.17</v>
      </c>
      <c r="AP969">
        <v>1</v>
      </c>
      <c r="AR969">
        <v>1</v>
      </c>
      <c r="AS969" s="1">
        <v>34130</v>
      </c>
      <c r="AT969" s="1">
        <v>6820</v>
      </c>
      <c r="AU969" s="1">
        <v>27310</v>
      </c>
      <c r="AV969">
        <v>80.02</v>
      </c>
      <c r="AX969" s="1">
        <v>3091.28</v>
      </c>
      <c r="AY969" t="s">
        <v>570</v>
      </c>
      <c r="AZ969" t="s">
        <v>761</v>
      </c>
      <c r="BA969" t="s">
        <v>762</v>
      </c>
      <c r="BE969" s="3">
        <v>41969</v>
      </c>
      <c r="BF969" s="1">
        <v>357500</v>
      </c>
      <c r="BG969" t="s">
        <v>6389</v>
      </c>
      <c r="BH969" s="1">
        <v>136.4</v>
      </c>
      <c r="BI969" s="1">
        <v>365634</v>
      </c>
      <c r="BJ969" s="3">
        <v>42599</v>
      </c>
      <c r="BK969" t="s">
        <v>123</v>
      </c>
      <c r="BL969" t="str">
        <f>"2016.589574"</f>
        <v>2016.589574</v>
      </c>
      <c r="BM969" t="s">
        <v>5534</v>
      </c>
      <c r="BN969" t="s">
        <v>6390</v>
      </c>
      <c r="BO969" t="s">
        <v>6391</v>
      </c>
      <c r="BS969">
        <v>30</v>
      </c>
      <c r="BT969" s="1">
        <v>198000</v>
      </c>
      <c r="BU969" s="3">
        <v>43328</v>
      </c>
      <c r="BW969" t="str">
        <f>"2018.622490"</f>
        <v>2018.622490</v>
      </c>
      <c r="BX969" t="s">
        <v>6392</v>
      </c>
      <c r="BY969" t="s">
        <v>6393</v>
      </c>
      <c r="BZ969" t="s">
        <v>6394</v>
      </c>
      <c r="CA969" t="s">
        <v>6395</v>
      </c>
      <c r="CC969" t="s">
        <v>346</v>
      </c>
      <c r="CH969" t="str">
        <f>""</f>
        <v/>
      </c>
      <c r="CS969" t="str">
        <f>""</f>
        <v/>
      </c>
    </row>
    <row r="970" spans="1:97" x14ac:dyDescent="0.25">
      <c r="A970" t="s">
        <v>2915</v>
      </c>
      <c r="B970" t="s">
        <v>6396</v>
      </c>
      <c r="C970" t="s">
        <v>513</v>
      </c>
      <c r="D970" t="s">
        <v>6396</v>
      </c>
      <c r="E970" t="s">
        <v>6397</v>
      </c>
      <c r="F970" t="s">
        <v>108</v>
      </c>
      <c r="H970" t="s">
        <v>6398</v>
      </c>
      <c r="I970" t="s">
        <v>225</v>
      </c>
      <c r="J970" t="s">
        <v>111</v>
      </c>
      <c r="K970" t="str">
        <f>"85203"</f>
        <v>85203</v>
      </c>
      <c r="L970" t="s">
        <v>5709</v>
      </c>
      <c r="M970" t="s">
        <v>6398</v>
      </c>
      <c r="N970" t="s">
        <v>225</v>
      </c>
      <c r="O970" t="s">
        <v>111</v>
      </c>
      <c r="P970" t="str">
        <f>"85203-3934"</f>
        <v>85203-3934</v>
      </c>
      <c r="Q970" t="s">
        <v>113</v>
      </c>
      <c r="R970" t="str">
        <f>"136-27-692"</f>
        <v>136-27-692</v>
      </c>
      <c r="S970" t="s">
        <v>6399</v>
      </c>
      <c r="T970" t="s">
        <v>6400</v>
      </c>
      <c r="U970">
        <v>2719</v>
      </c>
      <c r="V970">
        <v>0</v>
      </c>
      <c r="W970">
        <v>4</v>
      </c>
      <c r="X970">
        <v>1977</v>
      </c>
      <c r="Z970">
        <v>1</v>
      </c>
      <c r="AA970" t="s">
        <v>26</v>
      </c>
      <c r="AB970">
        <v>0</v>
      </c>
      <c r="AC970" t="s">
        <v>115</v>
      </c>
      <c r="AD970">
        <v>2</v>
      </c>
      <c r="AE970" t="s">
        <v>115</v>
      </c>
      <c r="AF970">
        <v>0</v>
      </c>
      <c r="AG970">
        <v>0</v>
      </c>
      <c r="AH970" t="s">
        <v>116</v>
      </c>
      <c r="AI970" s="1">
        <v>81095</v>
      </c>
      <c r="AJ970" s="2">
        <v>0.19</v>
      </c>
      <c r="AK970" s="1">
        <v>421985</v>
      </c>
      <c r="AL970" t="s">
        <v>117</v>
      </c>
      <c r="AM970" t="s">
        <v>917</v>
      </c>
      <c r="AN970">
        <v>16897</v>
      </c>
      <c r="AO970">
        <v>0.39</v>
      </c>
      <c r="AP970">
        <v>1</v>
      </c>
      <c r="AR970">
        <v>1</v>
      </c>
      <c r="AS970" s="1">
        <v>31010</v>
      </c>
      <c r="AT970" s="1">
        <v>6200</v>
      </c>
      <c r="AU970" s="1">
        <v>24810</v>
      </c>
      <c r="AV970">
        <v>80.010000000000005</v>
      </c>
      <c r="AX970" s="1">
        <v>2512.6799999999998</v>
      </c>
      <c r="AY970" t="s">
        <v>6401</v>
      </c>
      <c r="AZ970" t="s">
        <v>4163</v>
      </c>
      <c r="BA970" t="s">
        <v>1524</v>
      </c>
      <c r="BE970" s="3">
        <v>41788</v>
      </c>
      <c r="BF970" s="1">
        <v>330000</v>
      </c>
      <c r="BG970" t="s">
        <v>6402</v>
      </c>
      <c r="BH970" s="1">
        <v>121.37</v>
      </c>
      <c r="BI970" s="1">
        <v>340890</v>
      </c>
      <c r="BJ970" s="3">
        <v>41788</v>
      </c>
      <c r="BK970" t="s">
        <v>123</v>
      </c>
      <c r="BL970" t="str">
        <f>"2014.349540"</f>
        <v>2014.349540</v>
      </c>
      <c r="BM970" t="s">
        <v>724</v>
      </c>
      <c r="BO970" t="s">
        <v>6403</v>
      </c>
      <c r="BS970">
        <v>30</v>
      </c>
      <c r="BW970" t="str">
        <f>""</f>
        <v/>
      </c>
      <c r="CH970" t="str">
        <f>""</f>
        <v/>
      </c>
      <c r="CS970" t="str">
        <f>""</f>
        <v/>
      </c>
    </row>
    <row r="971" spans="1:97" x14ac:dyDescent="0.25">
      <c r="A971" t="s">
        <v>6404</v>
      </c>
      <c r="B971" t="s">
        <v>6405</v>
      </c>
      <c r="C971" t="s">
        <v>6406</v>
      </c>
      <c r="D971" t="s">
        <v>6405</v>
      </c>
      <c r="E971" t="s">
        <v>6407</v>
      </c>
      <c r="F971" t="s">
        <v>108</v>
      </c>
      <c r="H971" t="s">
        <v>6408</v>
      </c>
      <c r="I971" t="s">
        <v>225</v>
      </c>
      <c r="J971" t="s">
        <v>111</v>
      </c>
      <c r="K971" t="str">
        <f>"85209"</f>
        <v>85209</v>
      </c>
      <c r="L971" t="s">
        <v>3108</v>
      </c>
      <c r="M971" t="s">
        <v>6408</v>
      </c>
      <c r="N971" t="s">
        <v>225</v>
      </c>
      <c r="O971" t="s">
        <v>111</v>
      </c>
      <c r="P971" t="str">
        <f>"85209-7080"</f>
        <v>85209-7080</v>
      </c>
      <c r="Q971" t="s">
        <v>113</v>
      </c>
      <c r="R971" t="str">
        <f>"220-80-929"</f>
        <v>220-80-929</v>
      </c>
      <c r="S971" t="s">
        <v>6409</v>
      </c>
      <c r="T971" t="s">
        <v>6410</v>
      </c>
      <c r="U971">
        <v>2980</v>
      </c>
      <c r="V971">
        <v>0</v>
      </c>
      <c r="W971">
        <v>4</v>
      </c>
      <c r="X971">
        <v>1998</v>
      </c>
      <c r="Z971">
        <v>2</v>
      </c>
      <c r="AA971" t="s">
        <v>26</v>
      </c>
      <c r="AB971">
        <v>0</v>
      </c>
      <c r="AC971" t="s">
        <v>115</v>
      </c>
      <c r="AD971">
        <v>3</v>
      </c>
      <c r="AE971" t="s">
        <v>115</v>
      </c>
      <c r="AF971">
        <v>0</v>
      </c>
      <c r="AG971">
        <v>0</v>
      </c>
      <c r="AH971" t="s">
        <v>116</v>
      </c>
      <c r="AI971" s="1">
        <v>34598</v>
      </c>
      <c r="AJ971" s="2">
        <v>0.09</v>
      </c>
      <c r="AK971" s="1">
        <v>392016</v>
      </c>
      <c r="AL971" t="s">
        <v>117</v>
      </c>
      <c r="AM971" t="s">
        <v>191</v>
      </c>
      <c r="AN971">
        <v>9120</v>
      </c>
      <c r="AO971">
        <v>0.21</v>
      </c>
      <c r="AP971">
        <v>1</v>
      </c>
      <c r="AR971">
        <v>1</v>
      </c>
      <c r="AS971" s="1">
        <v>27680</v>
      </c>
      <c r="AT971" s="1">
        <v>5530</v>
      </c>
      <c r="AU971" s="1">
        <v>22150</v>
      </c>
      <c r="AV971">
        <v>80.02</v>
      </c>
      <c r="AX971" s="1">
        <v>2332.92</v>
      </c>
      <c r="AY971" t="s">
        <v>272</v>
      </c>
      <c r="AZ971" t="s">
        <v>3761</v>
      </c>
      <c r="BA971" t="s">
        <v>232</v>
      </c>
      <c r="BE971" s="3">
        <v>42473</v>
      </c>
      <c r="BF971" s="1">
        <v>325000</v>
      </c>
      <c r="BG971" t="s">
        <v>6411</v>
      </c>
      <c r="BH971" s="1">
        <v>109.06</v>
      </c>
      <c r="BI971" s="1">
        <v>357418</v>
      </c>
      <c r="BJ971" s="3">
        <v>43089</v>
      </c>
      <c r="BK971" t="s">
        <v>123</v>
      </c>
      <c r="BL971" t="str">
        <f>"2017.941758"</f>
        <v>2017.941758</v>
      </c>
      <c r="BM971" t="s">
        <v>361</v>
      </c>
      <c r="BO971" t="s">
        <v>6412</v>
      </c>
      <c r="BS971">
        <v>31</v>
      </c>
      <c r="BW971" t="str">
        <f>""</f>
        <v/>
      </c>
      <c r="CH971" t="str">
        <f>""</f>
        <v/>
      </c>
      <c r="CS971" t="str">
        <f>""</f>
        <v/>
      </c>
    </row>
    <row r="972" spans="1:97" x14ac:dyDescent="0.25">
      <c r="A972" t="s">
        <v>2463</v>
      </c>
      <c r="B972" t="s">
        <v>6413</v>
      </c>
      <c r="E972" t="s">
        <v>6414</v>
      </c>
      <c r="F972" t="s">
        <v>108</v>
      </c>
      <c r="H972" t="s">
        <v>6415</v>
      </c>
      <c r="I972" t="s">
        <v>632</v>
      </c>
      <c r="J972" t="s">
        <v>111</v>
      </c>
      <c r="K972" t="str">
        <f>"85379"</f>
        <v>85379</v>
      </c>
      <c r="L972" t="s">
        <v>6416</v>
      </c>
      <c r="M972" t="s">
        <v>6415</v>
      </c>
      <c r="N972" t="s">
        <v>632</v>
      </c>
      <c r="O972" t="s">
        <v>111</v>
      </c>
      <c r="P972" t="str">
        <f>"85379-4246"</f>
        <v>85379-4246</v>
      </c>
      <c r="Q972" t="s">
        <v>113</v>
      </c>
      <c r="R972" t="str">
        <f>"509-08-559"</f>
        <v>509-08-559</v>
      </c>
      <c r="S972" t="s">
        <v>6417</v>
      </c>
      <c r="U972">
        <v>2963</v>
      </c>
      <c r="V972">
        <v>0</v>
      </c>
      <c r="W972">
        <v>4</v>
      </c>
      <c r="X972">
        <v>2015</v>
      </c>
      <c r="Z972">
        <v>1</v>
      </c>
      <c r="AB972">
        <v>0</v>
      </c>
      <c r="AC972" t="s">
        <v>115</v>
      </c>
      <c r="AD972">
        <v>3</v>
      </c>
      <c r="AE972" t="s">
        <v>115</v>
      </c>
      <c r="AF972">
        <v>0</v>
      </c>
      <c r="AG972">
        <v>0</v>
      </c>
      <c r="AH972" t="s">
        <v>116</v>
      </c>
      <c r="AI972" s="1">
        <v>25583</v>
      </c>
      <c r="AJ972" s="2">
        <v>7.0000000000000007E-2</v>
      </c>
      <c r="AK972" s="1">
        <v>388283</v>
      </c>
      <c r="AL972" t="s">
        <v>117</v>
      </c>
      <c r="AM972" t="s">
        <v>118</v>
      </c>
      <c r="AN972">
        <v>9700</v>
      </c>
      <c r="AO972">
        <v>0.22</v>
      </c>
      <c r="AR972">
        <v>1</v>
      </c>
      <c r="AS972" s="1">
        <v>29720</v>
      </c>
      <c r="AT972" s="1">
        <v>5940</v>
      </c>
      <c r="AU972" s="1">
        <v>23780</v>
      </c>
      <c r="AV972">
        <v>80.010000000000005</v>
      </c>
      <c r="AX972" s="1">
        <v>3594.06</v>
      </c>
      <c r="AY972" t="s">
        <v>634</v>
      </c>
      <c r="AZ972" t="s">
        <v>634</v>
      </c>
      <c r="BA972" t="s">
        <v>635</v>
      </c>
      <c r="BE972" s="3">
        <v>42215</v>
      </c>
      <c r="BF972" s="1">
        <v>368836</v>
      </c>
      <c r="BG972" t="s">
        <v>636</v>
      </c>
      <c r="BH972" s="1">
        <v>124.48</v>
      </c>
      <c r="BI972" s="1">
        <v>362700</v>
      </c>
      <c r="BJ972" s="3">
        <v>42527</v>
      </c>
      <c r="BK972" t="s">
        <v>123</v>
      </c>
      <c r="BL972" t="str">
        <f>"2016.390001"</f>
        <v>2016.390001</v>
      </c>
      <c r="BM972" t="s">
        <v>1122</v>
      </c>
      <c r="BO972" t="s">
        <v>6418</v>
      </c>
      <c r="BS972">
        <v>30</v>
      </c>
      <c r="BW972" t="str">
        <f>""</f>
        <v/>
      </c>
      <c r="CH972" t="str">
        <f>""</f>
        <v/>
      </c>
      <c r="CS972" t="str">
        <f>""</f>
        <v/>
      </c>
    </row>
    <row r="973" spans="1:97" x14ac:dyDescent="0.25">
      <c r="A973" t="s">
        <v>6419</v>
      </c>
      <c r="B973" t="s">
        <v>6420</v>
      </c>
      <c r="C973" t="s">
        <v>1857</v>
      </c>
      <c r="D973" t="s">
        <v>6420</v>
      </c>
      <c r="E973" t="s">
        <v>6421</v>
      </c>
      <c r="F973" t="s">
        <v>108</v>
      </c>
      <c r="H973" t="s">
        <v>6422</v>
      </c>
      <c r="I973" t="s">
        <v>1397</v>
      </c>
      <c r="J973" t="s">
        <v>111</v>
      </c>
      <c r="K973" t="str">
        <f>"85331"</f>
        <v>85331</v>
      </c>
      <c r="L973" t="s">
        <v>6423</v>
      </c>
      <c r="M973" t="s">
        <v>6422</v>
      </c>
      <c r="N973" t="s">
        <v>1397</v>
      </c>
      <c r="O973" t="s">
        <v>111</v>
      </c>
      <c r="P973" t="str">
        <f>"85331-5499"</f>
        <v>85331-5499</v>
      </c>
      <c r="Q973" t="s">
        <v>113</v>
      </c>
      <c r="R973" t="str">
        <f>"211-34-125"</f>
        <v>211-34-125</v>
      </c>
      <c r="S973" t="s">
        <v>6424</v>
      </c>
      <c r="T973" t="s">
        <v>6424</v>
      </c>
      <c r="U973">
        <v>2022</v>
      </c>
      <c r="V973">
        <v>0</v>
      </c>
      <c r="W973">
        <v>3</v>
      </c>
      <c r="X973">
        <v>2001</v>
      </c>
      <c r="Z973">
        <v>1</v>
      </c>
      <c r="AB973">
        <v>0</v>
      </c>
      <c r="AC973" t="s">
        <v>115</v>
      </c>
      <c r="AD973">
        <v>3</v>
      </c>
      <c r="AE973" t="s">
        <v>115</v>
      </c>
      <c r="AF973">
        <v>0</v>
      </c>
      <c r="AG973">
        <v>0</v>
      </c>
      <c r="AH973" t="s">
        <v>116</v>
      </c>
      <c r="AI973" s="1">
        <v>86695</v>
      </c>
      <c r="AJ973" s="2">
        <v>0.2</v>
      </c>
      <c r="AK973" s="1">
        <v>438695</v>
      </c>
      <c r="AL973" t="s">
        <v>117</v>
      </c>
      <c r="AM973" t="s">
        <v>616</v>
      </c>
      <c r="AN973">
        <v>10808</v>
      </c>
      <c r="AO973">
        <v>0.25</v>
      </c>
      <c r="AP973">
        <v>1</v>
      </c>
      <c r="AR973">
        <v>1</v>
      </c>
      <c r="AS973" s="1">
        <v>32160</v>
      </c>
      <c r="AT973" s="1">
        <v>6430</v>
      </c>
      <c r="AU973" s="1">
        <v>25730</v>
      </c>
      <c r="AV973">
        <v>80.010000000000005</v>
      </c>
      <c r="AX973" s="1">
        <v>2013.46</v>
      </c>
      <c r="AY973" t="s">
        <v>1401</v>
      </c>
      <c r="AZ973" t="s">
        <v>1402</v>
      </c>
      <c r="BA973" t="s">
        <v>1403</v>
      </c>
      <c r="BE973" s="3">
        <v>41726</v>
      </c>
      <c r="BF973" s="1">
        <v>353000</v>
      </c>
      <c r="BG973" t="s">
        <v>6425</v>
      </c>
      <c r="BH973" s="1">
        <v>174.58</v>
      </c>
      <c r="BI973" s="1">
        <v>352000</v>
      </c>
      <c r="BJ973" s="3">
        <v>42867</v>
      </c>
      <c r="BK973" t="s">
        <v>123</v>
      </c>
      <c r="BL973" t="str">
        <f>"2017.343989"</f>
        <v>2017.343989</v>
      </c>
      <c r="BM973" t="s">
        <v>361</v>
      </c>
      <c r="BO973" t="s">
        <v>6426</v>
      </c>
      <c r="BS973">
        <v>30</v>
      </c>
      <c r="BW973" t="str">
        <f>""</f>
        <v/>
      </c>
      <c r="CH973" t="str">
        <f>""</f>
        <v/>
      </c>
      <c r="CS973" t="str">
        <f>""</f>
        <v/>
      </c>
    </row>
    <row r="974" spans="1:97" x14ac:dyDescent="0.25">
      <c r="A974" t="s">
        <v>140</v>
      </c>
      <c r="B974" t="s">
        <v>6427</v>
      </c>
      <c r="C974" t="s">
        <v>6428</v>
      </c>
      <c r="D974" t="s">
        <v>6427</v>
      </c>
      <c r="E974" t="s">
        <v>6429</v>
      </c>
      <c r="F974" t="s">
        <v>108</v>
      </c>
      <c r="H974" t="s">
        <v>6430</v>
      </c>
      <c r="I974" t="s">
        <v>499</v>
      </c>
      <c r="J974" t="s">
        <v>111</v>
      </c>
      <c r="K974" t="str">
        <f>"85338"</f>
        <v>85338</v>
      </c>
      <c r="L974" t="s">
        <v>6431</v>
      </c>
      <c r="M974" t="s">
        <v>6430</v>
      </c>
      <c r="N974" t="s">
        <v>499</v>
      </c>
      <c r="O974" t="s">
        <v>111</v>
      </c>
      <c r="P974" t="str">
        <f>"85338-7384"</f>
        <v>85338-7384</v>
      </c>
      <c r="Q974" t="s">
        <v>113</v>
      </c>
      <c r="R974" t="str">
        <f>"500-97-642"</f>
        <v>500-97-642</v>
      </c>
      <c r="S974" t="s">
        <v>6432</v>
      </c>
      <c r="U974">
        <v>2937</v>
      </c>
      <c r="V974">
        <v>0</v>
      </c>
      <c r="W974">
        <v>4</v>
      </c>
      <c r="X974">
        <v>2011</v>
      </c>
      <c r="Z974">
        <v>1</v>
      </c>
      <c r="AA974" t="s">
        <v>26</v>
      </c>
      <c r="AB974">
        <v>0</v>
      </c>
      <c r="AC974" t="s">
        <v>115</v>
      </c>
      <c r="AD974">
        <v>3</v>
      </c>
      <c r="AE974" t="s">
        <v>115</v>
      </c>
      <c r="AF974">
        <v>0</v>
      </c>
      <c r="AG974">
        <v>0</v>
      </c>
      <c r="AH974" t="s">
        <v>116</v>
      </c>
      <c r="AI974" s="1">
        <v>43718</v>
      </c>
      <c r="AJ974" s="2">
        <v>0.11</v>
      </c>
      <c r="AK974" s="1">
        <v>381834</v>
      </c>
      <c r="AL974" t="s">
        <v>117</v>
      </c>
      <c r="AM974" t="s">
        <v>118</v>
      </c>
      <c r="AN974">
        <v>10132</v>
      </c>
      <c r="AO974">
        <v>0.23</v>
      </c>
      <c r="AR974">
        <v>1</v>
      </c>
      <c r="AS974" s="1">
        <v>28910</v>
      </c>
      <c r="AT974" s="1">
        <v>5780</v>
      </c>
      <c r="AU974" s="1">
        <v>23130</v>
      </c>
      <c r="AV974">
        <v>80.010000000000005</v>
      </c>
      <c r="AX974" s="1">
        <v>3027.96</v>
      </c>
      <c r="AY974" t="s">
        <v>6319</v>
      </c>
      <c r="AZ974" t="s">
        <v>6319</v>
      </c>
      <c r="BA974" t="s">
        <v>218</v>
      </c>
      <c r="BE974" s="3">
        <v>42534</v>
      </c>
      <c r="BF974" s="1">
        <v>331000</v>
      </c>
      <c r="BG974" t="s">
        <v>6433</v>
      </c>
      <c r="BH974" s="1">
        <v>112.7</v>
      </c>
      <c r="BI974" s="1">
        <v>338116</v>
      </c>
      <c r="BJ974" s="3">
        <v>42534</v>
      </c>
      <c r="BK974" t="s">
        <v>123</v>
      </c>
      <c r="BL974" t="str">
        <f>"2016.409447"</f>
        <v>2016.409447</v>
      </c>
      <c r="BM974" t="s">
        <v>544</v>
      </c>
      <c r="BO974" t="s">
        <v>6434</v>
      </c>
      <c r="BS974">
        <v>30</v>
      </c>
      <c r="BW974" t="str">
        <f>""</f>
        <v/>
      </c>
      <c r="CH974" t="str">
        <f>""</f>
        <v/>
      </c>
      <c r="CS974" t="str">
        <f>""</f>
        <v/>
      </c>
    </row>
    <row r="975" spans="1:97" x14ac:dyDescent="0.25">
      <c r="A975" t="s">
        <v>464</v>
      </c>
      <c r="B975" t="s">
        <v>6435</v>
      </c>
      <c r="E975" t="s">
        <v>6436</v>
      </c>
      <c r="F975" t="s">
        <v>108</v>
      </c>
      <c r="H975" t="s">
        <v>6437</v>
      </c>
      <c r="I975" t="s">
        <v>5863</v>
      </c>
      <c r="J975" t="s">
        <v>111</v>
      </c>
      <c r="K975" t="str">
        <f>"85375"</f>
        <v>85375</v>
      </c>
      <c r="L975" t="s">
        <v>6438</v>
      </c>
      <c r="M975" t="s">
        <v>6437</v>
      </c>
      <c r="N975" t="s">
        <v>5863</v>
      </c>
      <c r="O975" t="s">
        <v>111</v>
      </c>
      <c r="P975" t="str">
        <f>"85375-2298"</f>
        <v>85375-2298</v>
      </c>
      <c r="Q975" t="s">
        <v>113</v>
      </c>
      <c r="R975" t="str">
        <f>"232-26-719"</f>
        <v>232-26-719</v>
      </c>
      <c r="S975" t="s">
        <v>6439</v>
      </c>
      <c r="U975">
        <v>1850</v>
      </c>
      <c r="V975">
        <v>0</v>
      </c>
      <c r="W975">
        <v>3</v>
      </c>
      <c r="X975">
        <v>1996</v>
      </c>
      <c r="Z975">
        <v>1</v>
      </c>
      <c r="AB975">
        <v>0</v>
      </c>
      <c r="AC975" t="s">
        <v>115</v>
      </c>
      <c r="AD975">
        <v>3</v>
      </c>
      <c r="AE975" t="s">
        <v>115</v>
      </c>
      <c r="AF975">
        <v>0</v>
      </c>
      <c r="AG975">
        <v>0</v>
      </c>
      <c r="AH975" t="s">
        <v>116</v>
      </c>
      <c r="AI975" s="1">
        <v>56421</v>
      </c>
      <c r="AJ975" s="2">
        <v>0.18</v>
      </c>
      <c r="AK975" s="1">
        <v>305667</v>
      </c>
      <c r="AL975" t="s">
        <v>117</v>
      </c>
      <c r="AM975" t="s">
        <v>191</v>
      </c>
      <c r="AN975">
        <v>10342</v>
      </c>
      <c r="AO975">
        <v>0.24</v>
      </c>
      <c r="AP975">
        <v>1</v>
      </c>
      <c r="AR975">
        <v>1</v>
      </c>
      <c r="AS975" s="1">
        <v>20310</v>
      </c>
      <c r="AT975" s="1">
        <v>4060</v>
      </c>
      <c r="AU975" s="1">
        <v>16250</v>
      </c>
      <c r="AV975">
        <v>80.010000000000005</v>
      </c>
      <c r="AX975" s="1">
        <v>2460.16</v>
      </c>
      <c r="AY975" t="s">
        <v>5108</v>
      </c>
      <c r="AZ975" t="s">
        <v>5108</v>
      </c>
      <c r="BA975" t="s">
        <v>5109</v>
      </c>
      <c r="BE975" s="3">
        <v>42447</v>
      </c>
      <c r="BF975" s="1">
        <v>244000</v>
      </c>
      <c r="BG975" t="s">
        <v>6440</v>
      </c>
      <c r="BH975" s="1">
        <v>131.88999999999999</v>
      </c>
      <c r="BI975" s="1">
        <v>249246</v>
      </c>
      <c r="BJ975" s="3">
        <v>42447</v>
      </c>
      <c r="BK975" t="s">
        <v>123</v>
      </c>
      <c r="BL975" t="str">
        <f>"2016.174427"</f>
        <v>2016.174427</v>
      </c>
      <c r="BM975" t="s">
        <v>5832</v>
      </c>
      <c r="BO975" t="s">
        <v>6441</v>
      </c>
      <c r="BS975">
        <v>30</v>
      </c>
      <c r="BW975" t="str">
        <f>""</f>
        <v/>
      </c>
      <c r="CH975" t="str">
        <f>""</f>
        <v/>
      </c>
      <c r="CS975" t="str">
        <f>""</f>
        <v/>
      </c>
    </row>
    <row r="976" spans="1:97" x14ac:dyDescent="0.25">
      <c r="B976" t="s">
        <v>6442</v>
      </c>
      <c r="E976" t="s">
        <v>6443</v>
      </c>
      <c r="F976" t="s">
        <v>108</v>
      </c>
      <c r="H976" t="s">
        <v>6444</v>
      </c>
      <c r="I976" t="s">
        <v>1936</v>
      </c>
      <c r="J976" t="s">
        <v>111</v>
      </c>
      <c r="K976" t="str">
        <f>"85255"</f>
        <v>85255</v>
      </c>
      <c r="L976" t="s">
        <v>469</v>
      </c>
      <c r="M976" t="s">
        <v>6444</v>
      </c>
      <c r="N976" t="s">
        <v>1936</v>
      </c>
      <c r="O976" t="s">
        <v>111</v>
      </c>
      <c r="P976" t="str">
        <f>"85255-4784"</f>
        <v>85255-4784</v>
      </c>
      <c r="Q976" t="s">
        <v>113</v>
      </c>
      <c r="R976" t="str">
        <f>"212-36-563"</f>
        <v>212-36-563</v>
      </c>
      <c r="S976" t="s">
        <v>6445</v>
      </c>
      <c r="U976">
        <v>4461</v>
      </c>
      <c r="V976">
        <v>0</v>
      </c>
      <c r="W976">
        <v>5</v>
      </c>
      <c r="X976">
        <v>1998</v>
      </c>
      <c r="Z976">
        <v>2</v>
      </c>
      <c r="AA976" t="s">
        <v>26</v>
      </c>
      <c r="AB976">
        <v>0</v>
      </c>
      <c r="AC976" t="s">
        <v>115</v>
      </c>
      <c r="AD976">
        <v>3</v>
      </c>
      <c r="AE976" t="s">
        <v>115</v>
      </c>
      <c r="AF976">
        <v>0</v>
      </c>
      <c r="AG976">
        <v>0</v>
      </c>
      <c r="AH976" t="s">
        <v>116</v>
      </c>
      <c r="AI976" s="1">
        <v>264918</v>
      </c>
      <c r="AJ976" s="2">
        <v>0.28999999999999998</v>
      </c>
      <c r="AK976" s="1">
        <v>907398</v>
      </c>
      <c r="AL976" t="s">
        <v>117</v>
      </c>
      <c r="AM976" t="s">
        <v>1302</v>
      </c>
      <c r="AN976">
        <v>10229</v>
      </c>
      <c r="AO976">
        <v>0.24</v>
      </c>
      <c r="AP976">
        <v>1</v>
      </c>
      <c r="AR976">
        <v>1</v>
      </c>
      <c r="AS976" s="1">
        <v>60120</v>
      </c>
      <c r="AT976" s="1">
        <v>12020</v>
      </c>
      <c r="AU976" s="1">
        <v>48100</v>
      </c>
      <c r="AV976">
        <v>80.010000000000005</v>
      </c>
      <c r="AX976" s="1">
        <v>6310.26</v>
      </c>
      <c r="AY976" t="s">
        <v>6446</v>
      </c>
      <c r="AZ976" t="s">
        <v>761</v>
      </c>
      <c r="BA976" t="s">
        <v>762</v>
      </c>
      <c r="BB976" s="3">
        <v>42177</v>
      </c>
      <c r="BD976" t="s">
        <v>458</v>
      </c>
      <c r="BE976" s="3">
        <v>41887</v>
      </c>
      <c r="BF976" s="1">
        <v>719900</v>
      </c>
      <c r="BG976" t="s">
        <v>6447</v>
      </c>
      <c r="BH976" s="1">
        <v>161.38</v>
      </c>
      <c r="BI976" s="1">
        <v>642480</v>
      </c>
      <c r="BJ976" s="3">
        <v>42314</v>
      </c>
      <c r="BK976" t="s">
        <v>123</v>
      </c>
      <c r="BL976" t="str">
        <f>"2015.797995"</f>
        <v>2015.797995</v>
      </c>
      <c r="BM976" t="s">
        <v>322</v>
      </c>
      <c r="BO976" t="s">
        <v>6442</v>
      </c>
      <c r="BS976">
        <v>30</v>
      </c>
      <c r="BW976" t="str">
        <f>""</f>
        <v/>
      </c>
      <c r="CH976" t="str">
        <f>""</f>
        <v/>
      </c>
      <c r="CS976" t="str">
        <f>""</f>
        <v/>
      </c>
    </row>
    <row r="977" spans="1:97" x14ac:dyDescent="0.25">
      <c r="A977" t="s">
        <v>251</v>
      </c>
      <c r="B977" t="s">
        <v>6448</v>
      </c>
      <c r="C977" t="s">
        <v>6449</v>
      </c>
      <c r="D977" t="s">
        <v>6448</v>
      </c>
      <c r="E977" t="s">
        <v>6450</v>
      </c>
      <c r="F977" t="s">
        <v>108</v>
      </c>
      <c r="H977" t="s">
        <v>6451</v>
      </c>
      <c r="I977" t="s">
        <v>203</v>
      </c>
      <c r="J977" t="s">
        <v>111</v>
      </c>
      <c r="K977" t="str">
        <f>"85298"</f>
        <v>85298</v>
      </c>
      <c r="L977" t="s">
        <v>500</v>
      </c>
      <c r="M977" t="s">
        <v>6451</v>
      </c>
      <c r="N977" t="s">
        <v>203</v>
      </c>
      <c r="O977" t="s">
        <v>111</v>
      </c>
      <c r="P977" t="str">
        <f>"85298-4850"</f>
        <v>85298-4850</v>
      </c>
      <c r="Q977" t="s">
        <v>113</v>
      </c>
      <c r="R977" t="str">
        <f>"304-78-266"</f>
        <v>304-78-266</v>
      </c>
      <c r="S977" t="s">
        <v>6452</v>
      </c>
      <c r="T977" t="s">
        <v>6453</v>
      </c>
      <c r="U977">
        <v>2199</v>
      </c>
      <c r="V977">
        <v>0</v>
      </c>
      <c r="W977">
        <v>4</v>
      </c>
      <c r="X977">
        <v>2003</v>
      </c>
      <c r="Z977">
        <v>2</v>
      </c>
      <c r="AA977" t="s">
        <v>26</v>
      </c>
      <c r="AB977">
        <v>0</v>
      </c>
      <c r="AC977" t="s">
        <v>115</v>
      </c>
      <c r="AD977">
        <v>3</v>
      </c>
      <c r="AE977" t="s">
        <v>115</v>
      </c>
      <c r="AF977">
        <v>0</v>
      </c>
      <c r="AG977">
        <v>0</v>
      </c>
      <c r="AH977" t="s">
        <v>116</v>
      </c>
      <c r="AI977" s="1">
        <v>54503</v>
      </c>
      <c r="AJ977" s="2">
        <v>0.14000000000000001</v>
      </c>
      <c r="AK977" s="1">
        <v>385063</v>
      </c>
      <c r="AL977" t="s">
        <v>117</v>
      </c>
      <c r="AM977" t="s">
        <v>191</v>
      </c>
      <c r="AN977">
        <v>10610</v>
      </c>
      <c r="AO977">
        <v>0.24</v>
      </c>
      <c r="AP977">
        <v>1</v>
      </c>
      <c r="AR977">
        <v>1</v>
      </c>
      <c r="AS977" s="1">
        <v>24670</v>
      </c>
      <c r="AT977" s="1">
        <v>4930</v>
      </c>
      <c r="AU977" s="1">
        <v>19740</v>
      </c>
      <c r="AV977">
        <v>80.02</v>
      </c>
      <c r="AX977" s="1">
        <v>2412.56</v>
      </c>
      <c r="AY977" t="s">
        <v>1133</v>
      </c>
      <c r="AZ977" t="s">
        <v>1134</v>
      </c>
      <c r="BA977" t="s">
        <v>1134</v>
      </c>
      <c r="BE977" s="3">
        <v>42489</v>
      </c>
      <c r="BF977" s="1">
        <v>320000</v>
      </c>
      <c r="BG977" t="s">
        <v>6454</v>
      </c>
      <c r="BH977" s="1">
        <v>145.52000000000001</v>
      </c>
      <c r="BI977" s="1">
        <v>330560</v>
      </c>
      <c r="BJ977" s="3">
        <v>42489</v>
      </c>
      <c r="BK977" t="s">
        <v>123</v>
      </c>
      <c r="BL977" t="str">
        <f>"2016.292588"</f>
        <v>2016.292588</v>
      </c>
      <c r="BM977" t="s">
        <v>3810</v>
      </c>
      <c r="BO977" t="s">
        <v>6455</v>
      </c>
      <c r="BP977" t="s">
        <v>6456</v>
      </c>
      <c r="BS977">
        <v>30</v>
      </c>
      <c r="BW977" t="str">
        <f>""</f>
        <v/>
      </c>
      <c r="CH977" t="str">
        <f>""</f>
        <v/>
      </c>
      <c r="CS977" t="str">
        <f>""</f>
        <v/>
      </c>
    </row>
    <row r="978" spans="1:97" x14ac:dyDescent="0.25">
      <c r="A978" t="s">
        <v>1755</v>
      </c>
      <c r="B978" t="s">
        <v>6457</v>
      </c>
      <c r="E978" t="s">
        <v>6458</v>
      </c>
      <c r="F978" t="s">
        <v>108</v>
      </c>
      <c r="H978" t="s">
        <v>6459</v>
      </c>
      <c r="I978" t="s">
        <v>390</v>
      </c>
      <c r="J978" t="s">
        <v>111</v>
      </c>
      <c r="K978" t="str">
        <f>"85027"</f>
        <v>85027</v>
      </c>
      <c r="L978" t="s">
        <v>6460</v>
      </c>
      <c r="M978" t="s">
        <v>6459</v>
      </c>
      <c r="N978" t="s">
        <v>390</v>
      </c>
      <c r="O978" t="s">
        <v>111</v>
      </c>
      <c r="P978" t="str">
        <f>"85027-1073"</f>
        <v>85027-1073</v>
      </c>
      <c r="Q978" t="s">
        <v>113</v>
      </c>
      <c r="R978" t="str">
        <f>"206-02-151"</f>
        <v>206-02-151</v>
      </c>
      <c r="S978" t="s">
        <v>6461</v>
      </c>
      <c r="T978" t="s">
        <v>6461</v>
      </c>
      <c r="U978">
        <v>2704</v>
      </c>
      <c r="V978">
        <v>0</v>
      </c>
      <c r="W978">
        <v>3</v>
      </c>
      <c r="X978">
        <v>2001</v>
      </c>
      <c r="Z978">
        <v>1</v>
      </c>
      <c r="AA978" t="s">
        <v>26</v>
      </c>
      <c r="AB978">
        <v>0</v>
      </c>
      <c r="AC978" t="s">
        <v>115</v>
      </c>
      <c r="AD978">
        <v>3</v>
      </c>
      <c r="AE978" t="s">
        <v>115</v>
      </c>
      <c r="AF978">
        <v>0</v>
      </c>
      <c r="AG978">
        <v>0</v>
      </c>
      <c r="AH978" t="s">
        <v>116</v>
      </c>
      <c r="AI978" s="1">
        <v>101082</v>
      </c>
      <c r="AJ978" s="2">
        <v>0.23</v>
      </c>
      <c r="AK978" s="1">
        <v>434520</v>
      </c>
      <c r="AL978" t="s">
        <v>117</v>
      </c>
      <c r="AM978" t="s">
        <v>1302</v>
      </c>
      <c r="AN978">
        <v>8400</v>
      </c>
      <c r="AO978">
        <v>0.19</v>
      </c>
      <c r="AP978">
        <v>1</v>
      </c>
      <c r="AR978">
        <v>1</v>
      </c>
      <c r="AS978" s="1">
        <v>32700</v>
      </c>
      <c r="AT978" s="1">
        <v>6540</v>
      </c>
      <c r="AU978" s="1">
        <v>26160</v>
      </c>
      <c r="AV978">
        <v>80</v>
      </c>
      <c r="AX978" s="1">
        <v>2998.1</v>
      </c>
      <c r="AY978" t="s">
        <v>5701</v>
      </c>
      <c r="AZ978" t="s">
        <v>3049</v>
      </c>
      <c r="BA978" t="s">
        <v>1386</v>
      </c>
      <c r="BE978" s="3">
        <v>42002</v>
      </c>
      <c r="BF978" s="1">
        <v>331500</v>
      </c>
      <c r="BG978" t="s">
        <v>6462</v>
      </c>
      <c r="BH978" s="1">
        <v>122.6</v>
      </c>
      <c r="BI978" s="1">
        <v>333438</v>
      </c>
      <c r="BJ978" s="3">
        <v>42824</v>
      </c>
      <c r="BK978" t="s">
        <v>123</v>
      </c>
      <c r="BL978" t="str">
        <f>"2017.225251"</f>
        <v>2017.225251</v>
      </c>
      <c r="BM978" t="s">
        <v>683</v>
      </c>
      <c r="BO978" t="s">
        <v>6463</v>
      </c>
      <c r="BS978">
        <v>20</v>
      </c>
      <c r="BW978" t="str">
        <f>""</f>
        <v/>
      </c>
      <c r="CH978" t="str">
        <f>""</f>
        <v/>
      </c>
      <c r="CS978" t="str">
        <f>""</f>
        <v/>
      </c>
    </row>
    <row r="979" spans="1:97" x14ac:dyDescent="0.25">
      <c r="B979" t="s">
        <v>6464</v>
      </c>
      <c r="C979" t="s">
        <v>496</v>
      </c>
      <c r="E979" t="s">
        <v>6465</v>
      </c>
      <c r="F979" t="s">
        <v>108</v>
      </c>
      <c r="H979" t="s">
        <v>6466</v>
      </c>
      <c r="I979" t="s">
        <v>3150</v>
      </c>
      <c r="J979" t="s">
        <v>111</v>
      </c>
      <c r="K979" t="str">
        <f>"85340"</f>
        <v>85340</v>
      </c>
      <c r="L979" t="s">
        <v>734</v>
      </c>
      <c r="M979" t="s">
        <v>6466</v>
      </c>
      <c r="N979" t="s">
        <v>3150</v>
      </c>
      <c r="O979" t="s">
        <v>111</v>
      </c>
      <c r="P979" t="str">
        <f>"85340-6641"</f>
        <v>85340-6641</v>
      </c>
      <c r="Q979" t="s">
        <v>113</v>
      </c>
      <c r="R979" t="str">
        <f>"502-28-099-E"</f>
        <v>502-28-099-E</v>
      </c>
      <c r="U979">
        <v>3633</v>
      </c>
      <c r="V979">
        <v>0</v>
      </c>
      <c r="W979">
        <v>6</v>
      </c>
      <c r="X979">
        <v>2006</v>
      </c>
      <c r="Z979">
        <v>1</v>
      </c>
      <c r="AB979">
        <v>0</v>
      </c>
      <c r="AC979" t="s">
        <v>115</v>
      </c>
      <c r="AD979">
        <v>5</v>
      </c>
      <c r="AE979" t="s">
        <v>115</v>
      </c>
      <c r="AF979">
        <v>0</v>
      </c>
      <c r="AG979">
        <v>0</v>
      </c>
      <c r="AH979" t="s">
        <v>116</v>
      </c>
      <c r="AI979" s="1">
        <v>62700</v>
      </c>
      <c r="AJ979" s="2">
        <v>0.11</v>
      </c>
      <c r="AK979" s="1">
        <v>596124</v>
      </c>
      <c r="AL979" t="s">
        <v>117</v>
      </c>
      <c r="AM979" t="s">
        <v>376</v>
      </c>
      <c r="AN979">
        <v>54349</v>
      </c>
      <c r="AO979">
        <v>1.25</v>
      </c>
      <c r="AR979">
        <v>1</v>
      </c>
      <c r="AS979" s="1">
        <v>42530</v>
      </c>
      <c r="AT979" s="1">
        <v>8500</v>
      </c>
      <c r="AU979" s="1">
        <v>34030</v>
      </c>
      <c r="AV979">
        <v>80.010000000000005</v>
      </c>
      <c r="AX979" s="1">
        <v>5488.06</v>
      </c>
      <c r="AY979" t="s">
        <v>543</v>
      </c>
      <c r="AZ979" t="s">
        <v>504</v>
      </c>
      <c r="BA979" t="s">
        <v>218</v>
      </c>
      <c r="BB979" s="3">
        <v>43732</v>
      </c>
      <c r="BC979" s="1">
        <v>0</v>
      </c>
      <c r="BD979" t="s">
        <v>247</v>
      </c>
      <c r="BE979" s="3">
        <v>42419</v>
      </c>
      <c r="BF979" s="1">
        <v>560000</v>
      </c>
      <c r="BG979" t="s">
        <v>6467</v>
      </c>
      <c r="BH979" s="1">
        <v>154.13999999999999</v>
      </c>
      <c r="BI979" s="1">
        <v>533424</v>
      </c>
      <c r="BJ979" s="3">
        <v>42419</v>
      </c>
      <c r="BK979" t="s">
        <v>123</v>
      </c>
      <c r="BL979" t="str">
        <f>"2016.107108"</f>
        <v>2016.107108</v>
      </c>
      <c r="BM979" t="s">
        <v>1306</v>
      </c>
      <c r="BN979" t="s">
        <v>6468</v>
      </c>
      <c r="BO979" t="s">
        <v>6469</v>
      </c>
      <c r="BS979">
        <v>30</v>
      </c>
      <c r="BW979" t="str">
        <f>""</f>
        <v/>
      </c>
      <c r="CH979" t="str">
        <f>""</f>
        <v/>
      </c>
      <c r="CS979" t="str">
        <f>""</f>
        <v/>
      </c>
    </row>
    <row r="980" spans="1:97" x14ac:dyDescent="0.25">
      <c r="A980" t="s">
        <v>325</v>
      </c>
      <c r="B980" t="s">
        <v>6470</v>
      </c>
      <c r="C980" t="s">
        <v>6471</v>
      </c>
      <c r="D980" t="s">
        <v>6470</v>
      </c>
      <c r="E980" t="s">
        <v>6472</v>
      </c>
      <c r="F980" t="s">
        <v>108</v>
      </c>
      <c r="H980" t="s">
        <v>6473</v>
      </c>
      <c r="I980" t="s">
        <v>144</v>
      </c>
      <c r="J980" t="s">
        <v>111</v>
      </c>
      <c r="K980" t="str">
        <f>"85396"</f>
        <v>85396</v>
      </c>
      <c r="L980" t="s">
        <v>1789</v>
      </c>
      <c r="M980" t="s">
        <v>6473</v>
      </c>
      <c r="N980" t="s">
        <v>144</v>
      </c>
      <c r="O980" t="s">
        <v>111</v>
      </c>
      <c r="P980" t="str">
        <f>"85396-3552"</f>
        <v>85396-3552</v>
      </c>
      <c r="Q980" t="s">
        <v>113</v>
      </c>
      <c r="R980" t="str">
        <f>"502-77-164"</f>
        <v>502-77-164</v>
      </c>
      <c r="S980" t="s">
        <v>6474</v>
      </c>
      <c r="U980">
        <v>3235</v>
      </c>
      <c r="V980">
        <v>0</v>
      </c>
      <c r="W980">
        <v>4</v>
      </c>
      <c r="X980">
        <v>2006</v>
      </c>
      <c r="Z980">
        <v>1</v>
      </c>
      <c r="AA980" t="s">
        <v>26</v>
      </c>
      <c r="AB980">
        <v>0</v>
      </c>
      <c r="AC980" t="s">
        <v>115</v>
      </c>
      <c r="AD980">
        <v>3</v>
      </c>
      <c r="AE980" t="s">
        <v>115</v>
      </c>
      <c r="AF980">
        <v>0</v>
      </c>
      <c r="AG980">
        <v>0</v>
      </c>
      <c r="AH980" t="s">
        <v>116</v>
      </c>
      <c r="AI980" s="1">
        <v>55993</v>
      </c>
      <c r="AJ980" s="2">
        <v>0.12</v>
      </c>
      <c r="AK980" s="1">
        <v>450254</v>
      </c>
      <c r="AL980" t="s">
        <v>117</v>
      </c>
      <c r="AM980" t="s">
        <v>118</v>
      </c>
      <c r="AN980">
        <v>15437</v>
      </c>
      <c r="AO980">
        <v>0.35</v>
      </c>
      <c r="AR980">
        <v>1</v>
      </c>
      <c r="AS980" s="1">
        <v>36460</v>
      </c>
      <c r="AT980" s="1">
        <v>7290</v>
      </c>
      <c r="AU980" s="1">
        <v>29170</v>
      </c>
      <c r="AV980">
        <v>80.010000000000005</v>
      </c>
      <c r="AX980" s="1">
        <v>4409.3599999999997</v>
      </c>
      <c r="AY980" t="s">
        <v>543</v>
      </c>
      <c r="AZ980" t="s">
        <v>504</v>
      </c>
      <c r="BA980" t="s">
        <v>218</v>
      </c>
      <c r="BE980" s="3">
        <v>42040</v>
      </c>
      <c r="BF980" s="1">
        <v>415000</v>
      </c>
      <c r="BG980" t="s">
        <v>6475</v>
      </c>
      <c r="BH980" s="1">
        <v>128.28</v>
      </c>
      <c r="BI980" s="1">
        <v>394261</v>
      </c>
      <c r="BJ980" s="3">
        <v>42577</v>
      </c>
      <c r="BK980" t="s">
        <v>123</v>
      </c>
      <c r="BL980" t="str">
        <f>"2016.525501"</f>
        <v>2016.525501</v>
      </c>
      <c r="BM980" t="s">
        <v>1915</v>
      </c>
      <c r="BO980" t="s">
        <v>6476</v>
      </c>
      <c r="BS980">
        <v>30</v>
      </c>
      <c r="BW980" t="str">
        <f>""</f>
        <v/>
      </c>
      <c r="CH980" t="str">
        <f>""</f>
        <v/>
      </c>
      <c r="CS980" t="str">
        <f>""</f>
        <v/>
      </c>
    </row>
    <row r="981" spans="1:97" x14ac:dyDescent="0.25">
      <c r="B981" t="s">
        <v>6477</v>
      </c>
      <c r="E981" t="s">
        <v>6478</v>
      </c>
      <c r="F981" t="s">
        <v>108</v>
      </c>
      <c r="H981" t="s">
        <v>6479</v>
      </c>
      <c r="I981" t="s">
        <v>6480</v>
      </c>
      <c r="J981" t="s">
        <v>111</v>
      </c>
      <c r="K981" t="str">
        <f>"85264"</f>
        <v>85264</v>
      </c>
      <c r="L981" t="s">
        <v>6481</v>
      </c>
      <c r="M981" t="s">
        <v>6479</v>
      </c>
      <c r="N981" t="s">
        <v>6480</v>
      </c>
      <c r="O981" t="s">
        <v>111</v>
      </c>
      <c r="P981" t="str">
        <f>"85264-4200"</f>
        <v>85264-4200</v>
      </c>
      <c r="Q981" t="s">
        <v>113</v>
      </c>
      <c r="R981" t="str">
        <f>"219-16-029-Q"</f>
        <v>219-16-029-Q</v>
      </c>
      <c r="S981" t="s">
        <v>6482</v>
      </c>
      <c r="T981" t="s">
        <v>6483</v>
      </c>
      <c r="U981">
        <v>2329</v>
      </c>
      <c r="V981">
        <v>0</v>
      </c>
      <c r="W981">
        <v>4</v>
      </c>
      <c r="X981">
        <v>2005</v>
      </c>
      <c r="Z981">
        <v>1</v>
      </c>
      <c r="AA981" t="s">
        <v>26</v>
      </c>
      <c r="AB981">
        <v>0</v>
      </c>
      <c r="AC981" t="s">
        <v>115</v>
      </c>
      <c r="AD981">
        <v>4</v>
      </c>
      <c r="AE981" t="s">
        <v>115</v>
      </c>
      <c r="AF981">
        <v>0</v>
      </c>
      <c r="AG981">
        <v>0</v>
      </c>
      <c r="AH981" t="s">
        <v>116</v>
      </c>
      <c r="AI981" s="1">
        <v>198391</v>
      </c>
      <c r="AJ981" s="2">
        <v>0.33</v>
      </c>
      <c r="AK981" s="1">
        <v>604391</v>
      </c>
      <c r="AL981" t="s">
        <v>117</v>
      </c>
      <c r="AM981" t="s">
        <v>6484</v>
      </c>
      <c r="AN981">
        <v>219254</v>
      </c>
      <c r="AO981">
        <v>5.03</v>
      </c>
      <c r="AR981">
        <v>1</v>
      </c>
      <c r="AS981" s="1">
        <v>40820</v>
      </c>
      <c r="AT981" s="1">
        <v>8160</v>
      </c>
      <c r="AU981" s="1">
        <v>32660</v>
      </c>
      <c r="AV981">
        <v>80.010000000000005</v>
      </c>
      <c r="AX981" s="1">
        <v>2090.86</v>
      </c>
      <c r="AY981" t="s">
        <v>6485</v>
      </c>
      <c r="AZ981" t="s">
        <v>5640</v>
      </c>
      <c r="BA981" t="s">
        <v>5641</v>
      </c>
      <c r="BB981" s="3">
        <v>42353</v>
      </c>
      <c r="BD981" t="s">
        <v>480</v>
      </c>
      <c r="BE981" s="3">
        <v>41717</v>
      </c>
      <c r="BF981" s="1">
        <v>500000</v>
      </c>
      <c r="BG981" t="s">
        <v>6486</v>
      </c>
      <c r="BH981" s="1">
        <v>214.68</v>
      </c>
      <c r="BI981" s="1">
        <v>406000</v>
      </c>
      <c r="BJ981" s="3">
        <v>41717</v>
      </c>
      <c r="BK981" t="s">
        <v>123</v>
      </c>
      <c r="BL981" t="str">
        <f>"2014.175983"</f>
        <v>2014.175983</v>
      </c>
      <c r="BM981" t="s">
        <v>5348</v>
      </c>
      <c r="BO981" t="s">
        <v>6487</v>
      </c>
      <c r="BS981">
        <v>30</v>
      </c>
      <c r="BW981" t="str">
        <f>""</f>
        <v/>
      </c>
      <c r="CH981" t="str">
        <f>""</f>
        <v/>
      </c>
      <c r="CS981" t="str">
        <f>""</f>
        <v/>
      </c>
    </row>
    <row r="982" spans="1:97" x14ac:dyDescent="0.25">
      <c r="A982" t="s">
        <v>6488</v>
      </c>
      <c r="B982" t="s">
        <v>6489</v>
      </c>
      <c r="C982" t="s">
        <v>1021</v>
      </c>
      <c r="D982" t="s">
        <v>6489</v>
      </c>
      <c r="E982" t="s">
        <v>6490</v>
      </c>
      <c r="F982" t="s">
        <v>108</v>
      </c>
      <c r="H982" t="s">
        <v>6491</v>
      </c>
      <c r="I982" t="s">
        <v>1397</v>
      </c>
      <c r="J982" t="s">
        <v>111</v>
      </c>
      <c r="K982" t="str">
        <f>"85331"</f>
        <v>85331</v>
      </c>
      <c r="L982" t="s">
        <v>6492</v>
      </c>
      <c r="M982" t="s">
        <v>6491</v>
      </c>
      <c r="N982" t="s">
        <v>1397</v>
      </c>
      <c r="O982" t="s">
        <v>111</v>
      </c>
      <c r="P982" t="str">
        <f>"85331-5617"</f>
        <v>85331-5617</v>
      </c>
      <c r="Q982" t="s">
        <v>113</v>
      </c>
      <c r="R982" t="str">
        <f>"211-67-006-E"</f>
        <v>211-67-006-E</v>
      </c>
      <c r="U982">
        <v>3105</v>
      </c>
      <c r="V982">
        <v>0</v>
      </c>
      <c r="W982">
        <v>4</v>
      </c>
      <c r="X982">
        <v>2004</v>
      </c>
      <c r="Z982">
        <v>1</v>
      </c>
      <c r="AA982" t="s">
        <v>26</v>
      </c>
      <c r="AB982">
        <v>0</v>
      </c>
      <c r="AC982" t="s">
        <v>115</v>
      </c>
      <c r="AD982">
        <v>4</v>
      </c>
      <c r="AE982" t="s">
        <v>115</v>
      </c>
      <c r="AF982">
        <v>0</v>
      </c>
      <c r="AG982">
        <v>0</v>
      </c>
      <c r="AH982" t="s">
        <v>116</v>
      </c>
      <c r="AI982" s="1">
        <v>171370</v>
      </c>
      <c r="AJ982" s="2">
        <v>0.28999999999999998</v>
      </c>
      <c r="AK982" s="1">
        <v>588359</v>
      </c>
      <c r="AL982" t="s">
        <v>117</v>
      </c>
      <c r="AM982" t="s">
        <v>376</v>
      </c>
      <c r="AN982">
        <v>48523</v>
      </c>
      <c r="AO982">
        <v>1.1100000000000001</v>
      </c>
      <c r="AR982">
        <v>1</v>
      </c>
      <c r="AS982" s="1">
        <v>45180</v>
      </c>
      <c r="AT982" s="1">
        <v>9030</v>
      </c>
      <c r="AU982" s="1">
        <v>36150</v>
      </c>
      <c r="AV982">
        <v>80.010000000000005</v>
      </c>
      <c r="AX982" s="1">
        <v>4622</v>
      </c>
      <c r="AY982" t="s">
        <v>1587</v>
      </c>
      <c r="AZ982" t="s">
        <v>1587</v>
      </c>
      <c r="BA982" t="s">
        <v>378</v>
      </c>
      <c r="BE982" s="3">
        <v>41823</v>
      </c>
      <c r="BF982" s="1">
        <v>450000</v>
      </c>
      <c r="BG982" t="s">
        <v>6493</v>
      </c>
      <c r="BH982" s="1">
        <v>144.93</v>
      </c>
      <c r="BI982" s="1">
        <v>416989</v>
      </c>
      <c r="BJ982" s="3">
        <v>42062</v>
      </c>
      <c r="BK982" t="s">
        <v>123</v>
      </c>
      <c r="BL982" t="str">
        <f>"2015.134280"</f>
        <v>2015.134280</v>
      </c>
      <c r="BM982" t="s">
        <v>1287</v>
      </c>
      <c r="BO982" t="s">
        <v>6494</v>
      </c>
      <c r="BS982">
        <v>30</v>
      </c>
      <c r="BW982" t="str">
        <f>""</f>
        <v/>
      </c>
      <c r="CH982" t="str">
        <f>""</f>
        <v/>
      </c>
      <c r="CS982" t="str">
        <f>""</f>
        <v/>
      </c>
    </row>
    <row r="983" spans="1:97" x14ac:dyDescent="0.25">
      <c r="A983" t="s">
        <v>1465</v>
      </c>
      <c r="B983" t="s">
        <v>6495</v>
      </c>
      <c r="C983" t="s">
        <v>713</v>
      </c>
      <c r="D983" t="s">
        <v>6495</v>
      </c>
      <c r="E983" t="s">
        <v>6496</v>
      </c>
      <c r="F983" t="s">
        <v>108</v>
      </c>
      <c r="H983" t="s">
        <v>6497</v>
      </c>
      <c r="I983" t="s">
        <v>390</v>
      </c>
      <c r="J983" t="s">
        <v>111</v>
      </c>
      <c r="K983" t="str">
        <f>"85086"</f>
        <v>85086</v>
      </c>
      <c r="L983" t="s">
        <v>6035</v>
      </c>
      <c r="M983" t="s">
        <v>6497</v>
      </c>
      <c r="N983" t="s">
        <v>390</v>
      </c>
      <c r="O983" t="s">
        <v>111</v>
      </c>
      <c r="P983" t="str">
        <f>"85086-8486"</f>
        <v>85086-8486</v>
      </c>
      <c r="Q983" t="s">
        <v>113</v>
      </c>
      <c r="R983" t="str">
        <f>"211-68-028-D"</f>
        <v>211-68-028-D</v>
      </c>
      <c r="S983" t="s">
        <v>6498</v>
      </c>
      <c r="T983" t="s">
        <v>6498</v>
      </c>
      <c r="U983">
        <v>2427</v>
      </c>
      <c r="V983">
        <v>0</v>
      </c>
      <c r="W983">
        <v>3</v>
      </c>
      <c r="X983">
        <v>2001</v>
      </c>
      <c r="Z983">
        <v>1</v>
      </c>
      <c r="AB983">
        <v>0</v>
      </c>
      <c r="AC983" t="s">
        <v>115</v>
      </c>
      <c r="AD983">
        <v>3</v>
      </c>
      <c r="AE983" t="s">
        <v>115</v>
      </c>
      <c r="AF983">
        <v>0</v>
      </c>
      <c r="AG983">
        <v>0</v>
      </c>
      <c r="AH983" t="s">
        <v>116</v>
      </c>
      <c r="AI983" s="1">
        <v>34955</v>
      </c>
      <c r="AJ983" s="2">
        <v>0.08</v>
      </c>
      <c r="AK983" s="1">
        <v>459505</v>
      </c>
      <c r="AL983" t="s">
        <v>117</v>
      </c>
      <c r="AM983" t="s">
        <v>376</v>
      </c>
      <c r="AN983">
        <v>51575</v>
      </c>
      <c r="AO983">
        <v>1.18</v>
      </c>
      <c r="AP983">
        <v>1</v>
      </c>
      <c r="AR983">
        <v>1</v>
      </c>
      <c r="AS983" s="1">
        <v>32070</v>
      </c>
      <c r="AT983" s="1">
        <v>6410</v>
      </c>
      <c r="AU983" s="1">
        <v>25660</v>
      </c>
      <c r="AV983">
        <v>80.010000000000005</v>
      </c>
      <c r="AX983" s="1">
        <v>3235.12</v>
      </c>
      <c r="AY983" t="s">
        <v>1587</v>
      </c>
      <c r="AZ983" t="s">
        <v>1587</v>
      </c>
      <c r="BA983" t="s">
        <v>378</v>
      </c>
      <c r="BE983" s="3">
        <v>42543</v>
      </c>
      <c r="BF983" s="1">
        <v>415000</v>
      </c>
      <c r="BG983" t="s">
        <v>6499</v>
      </c>
      <c r="BH983" s="1">
        <v>170.99</v>
      </c>
      <c r="BI983" s="1">
        <v>424550</v>
      </c>
      <c r="BJ983" s="3">
        <v>42543</v>
      </c>
      <c r="BK983" t="s">
        <v>123</v>
      </c>
      <c r="BL983" t="str">
        <f>"2016.436796"</f>
        <v>2016.436796</v>
      </c>
      <c r="BM983" t="s">
        <v>124</v>
      </c>
      <c r="BO983" t="s">
        <v>6500</v>
      </c>
      <c r="BS983">
        <v>30</v>
      </c>
      <c r="BW983" t="str">
        <f>""</f>
        <v/>
      </c>
      <c r="CH983" t="str">
        <f>""</f>
        <v/>
      </c>
      <c r="CS983" t="str">
        <f>""</f>
        <v/>
      </c>
    </row>
    <row r="984" spans="1:97" x14ac:dyDescent="0.25">
      <c r="A984" t="s">
        <v>464</v>
      </c>
      <c r="B984" t="s">
        <v>6501</v>
      </c>
      <c r="C984" t="s">
        <v>6502</v>
      </c>
      <c r="D984" t="s">
        <v>6501</v>
      </c>
      <c r="E984" t="s">
        <v>6503</v>
      </c>
      <c r="F984" t="s">
        <v>108</v>
      </c>
      <c r="H984" t="s">
        <v>6504</v>
      </c>
      <c r="I984" t="s">
        <v>203</v>
      </c>
      <c r="J984" t="s">
        <v>111</v>
      </c>
      <c r="K984" t="str">
        <f>"85234"</f>
        <v>85234</v>
      </c>
      <c r="L984" t="s">
        <v>4751</v>
      </c>
      <c r="M984" t="s">
        <v>6504</v>
      </c>
      <c r="N984" t="s">
        <v>203</v>
      </c>
      <c r="O984" t="s">
        <v>111</v>
      </c>
      <c r="P984" t="str">
        <f>"85234-5022"</f>
        <v>85234-5022</v>
      </c>
      <c r="Q984" t="s">
        <v>113</v>
      </c>
      <c r="R984" t="str">
        <f>"309-04-839"</f>
        <v>309-04-839</v>
      </c>
      <c r="S984" t="s">
        <v>6505</v>
      </c>
      <c r="T984" t="s">
        <v>6505</v>
      </c>
      <c r="U984">
        <v>2941</v>
      </c>
      <c r="V984">
        <v>0</v>
      </c>
      <c r="W984">
        <v>4</v>
      </c>
      <c r="X984">
        <v>1996</v>
      </c>
      <c r="Z984">
        <v>1</v>
      </c>
      <c r="AB984">
        <v>0</v>
      </c>
      <c r="AC984" t="s">
        <v>115</v>
      </c>
      <c r="AD984">
        <v>4</v>
      </c>
      <c r="AE984" t="s">
        <v>115</v>
      </c>
      <c r="AF984">
        <v>0</v>
      </c>
      <c r="AG984">
        <v>0</v>
      </c>
      <c r="AH984" t="s">
        <v>116</v>
      </c>
      <c r="AI984" s="1">
        <v>85021</v>
      </c>
      <c r="AJ984" s="2">
        <v>0.15</v>
      </c>
      <c r="AK984" s="1">
        <v>552682</v>
      </c>
      <c r="AL984" t="s">
        <v>117</v>
      </c>
      <c r="AM984" t="s">
        <v>1521</v>
      </c>
      <c r="AN984">
        <v>19885</v>
      </c>
      <c r="AO984">
        <v>0.46</v>
      </c>
      <c r="AP984">
        <v>1</v>
      </c>
      <c r="AR984">
        <v>1</v>
      </c>
      <c r="AS984" s="1">
        <v>40370</v>
      </c>
      <c r="AT984" s="1">
        <v>8070</v>
      </c>
      <c r="AU984" s="1">
        <v>32300</v>
      </c>
      <c r="AV984">
        <v>80.010000000000005</v>
      </c>
      <c r="AX984" s="1">
        <v>2577.02</v>
      </c>
      <c r="AY984" t="s">
        <v>6506</v>
      </c>
      <c r="AZ984" t="s">
        <v>520</v>
      </c>
      <c r="BA984" t="s">
        <v>5033</v>
      </c>
      <c r="BE984" s="3">
        <v>42503</v>
      </c>
      <c r="BF984" s="1">
        <v>485000</v>
      </c>
      <c r="BG984" t="s">
        <v>6507</v>
      </c>
      <c r="BH984" s="1">
        <v>164.91</v>
      </c>
      <c r="BI984" s="1">
        <v>467661</v>
      </c>
      <c r="BJ984" s="3">
        <v>42503</v>
      </c>
      <c r="BK984" t="s">
        <v>123</v>
      </c>
      <c r="BL984" t="str">
        <f>"2016.330389"</f>
        <v>2016.330389</v>
      </c>
      <c r="BM984" t="s">
        <v>2051</v>
      </c>
      <c r="BO984" t="s">
        <v>6508</v>
      </c>
      <c r="BS984">
        <v>30</v>
      </c>
      <c r="BW984" t="str">
        <f>""</f>
        <v/>
      </c>
      <c r="CH984" t="str">
        <f>""</f>
        <v/>
      </c>
      <c r="CS984" t="str">
        <f>""</f>
        <v/>
      </c>
    </row>
    <row r="985" spans="1:97" x14ac:dyDescent="0.25">
      <c r="A985" t="s">
        <v>589</v>
      </c>
      <c r="B985" t="s">
        <v>6509</v>
      </c>
      <c r="C985" t="s">
        <v>6510</v>
      </c>
      <c r="D985" t="s">
        <v>6509</v>
      </c>
      <c r="E985" t="s">
        <v>6511</v>
      </c>
      <c r="F985" t="s">
        <v>108</v>
      </c>
      <c r="H985" t="s">
        <v>6512</v>
      </c>
      <c r="I985" t="s">
        <v>390</v>
      </c>
      <c r="J985" t="s">
        <v>111</v>
      </c>
      <c r="K985" t="str">
        <f>"85086"</f>
        <v>85086</v>
      </c>
      <c r="L985" t="s">
        <v>1569</v>
      </c>
      <c r="M985" t="s">
        <v>6512</v>
      </c>
      <c r="N985" t="s">
        <v>390</v>
      </c>
      <c r="O985" t="s">
        <v>111</v>
      </c>
      <c r="P985" t="str">
        <f>"85086-2939"</f>
        <v>85086-2939</v>
      </c>
      <c r="Q985" t="s">
        <v>113</v>
      </c>
      <c r="R985" t="str">
        <f>"211-86-016"</f>
        <v>211-86-016</v>
      </c>
      <c r="S985" t="s">
        <v>6513</v>
      </c>
      <c r="T985" t="s">
        <v>6514</v>
      </c>
      <c r="U985">
        <v>2645</v>
      </c>
      <c r="V985">
        <v>0</v>
      </c>
      <c r="W985">
        <v>4</v>
      </c>
      <c r="X985">
        <v>2004</v>
      </c>
      <c r="Z985">
        <v>1</v>
      </c>
      <c r="AB985">
        <v>0</v>
      </c>
      <c r="AC985" t="s">
        <v>115</v>
      </c>
      <c r="AD985">
        <v>3</v>
      </c>
      <c r="AE985" t="s">
        <v>115</v>
      </c>
      <c r="AF985">
        <v>0</v>
      </c>
      <c r="AG985">
        <v>0</v>
      </c>
      <c r="AH985" t="s">
        <v>116</v>
      </c>
      <c r="AI985" s="1">
        <v>215728</v>
      </c>
      <c r="AJ985" s="2">
        <v>0.48</v>
      </c>
      <c r="AK985" s="1">
        <v>449728</v>
      </c>
      <c r="AL985" t="s">
        <v>117</v>
      </c>
      <c r="AM985" t="s">
        <v>191</v>
      </c>
      <c r="AN985">
        <v>11236</v>
      </c>
      <c r="AO985">
        <v>0.26</v>
      </c>
      <c r="AP985">
        <v>1</v>
      </c>
      <c r="AR985">
        <v>1</v>
      </c>
      <c r="AS985" s="1">
        <v>32260</v>
      </c>
      <c r="AT985" s="1">
        <v>6450</v>
      </c>
      <c r="AU985" s="1">
        <v>25810</v>
      </c>
      <c r="AV985">
        <v>80.010000000000005</v>
      </c>
      <c r="AX985" s="1">
        <v>3521.18</v>
      </c>
      <c r="AY985" t="s">
        <v>6515</v>
      </c>
      <c r="AZ985" t="s">
        <v>6515</v>
      </c>
      <c r="BA985" t="s">
        <v>378</v>
      </c>
      <c r="BE985" s="3">
        <v>41757</v>
      </c>
      <c r="BF985" s="1">
        <v>386000</v>
      </c>
      <c r="BG985" t="s">
        <v>6516</v>
      </c>
      <c r="BH985" s="1">
        <v>145.94</v>
      </c>
      <c r="BI985" s="1">
        <v>234000</v>
      </c>
      <c r="BJ985" s="3">
        <v>42076</v>
      </c>
      <c r="BK985" t="s">
        <v>123</v>
      </c>
      <c r="BL985" t="str">
        <f>"2015.171840"</f>
        <v>2015.171840</v>
      </c>
      <c r="BM985" t="s">
        <v>6517</v>
      </c>
      <c r="BO985" t="s">
        <v>6518</v>
      </c>
      <c r="BS985">
        <v>30</v>
      </c>
      <c r="BW985" t="str">
        <f>""</f>
        <v/>
      </c>
      <c r="CH985" t="str">
        <f>""</f>
        <v/>
      </c>
      <c r="CS985" t="str">
        <f>""</f>
        <v/>
      </c>
    </row>
    <row r="986" spans="1:97" x14ac:dyDescent="0.25">
      <c r="B986" t="s">
        <v>6519</v>
      </c>
      <c r="E986" t="s">
        <v>6520</v>
      </c>
      <c r="F986" t="s">
        <v>108</v>
      </c>
      <c r="H986" t="s">
        <v>6521</v>
      </c>
      <c r="I986" t="s">
        <v>5636</v>
      </c>
      <c r="J986" t="s">
        <v>111</v>
      </c>
      <c r="K986" t="str">
        <f>"85268"</f>
        <v>85268</v>
      </c>
      <c r="L986" t="s">
        <v>1789</v>
      </c>
      <c r="M986" t="s">
        <v>6521</v>
      </c>
      <c r="N986" t="s">
        <v>5636</v>
      </c>
      <c r="O986" t="s">
        <v>111</v>
      </c>
      <c r="P986" t="str">
        <f>"85268-6201"</f>
        <v>85268-6201</v>
      </c>
      <c r="Q986" t="s">
        <v>113</v>
      </c>
      <c r="R986" t="str">
        <f>"176-09-011"</f>
        <v>176-09-011</v>
      </c>
      <c r="S986" t="s">
        <v>6522</v>
      </c>
      <c r="U986">
        <v>3696</v>
      </c>
      <c r="V986">
        <v>0</v>
      </c>
      <c r="W986">
        <v>4</v>
      </c>
      <c r="X986">
        <v>1983</v>
      </c>
      <c r="Z986">
        <v>1</v>
      </c>
      <c r="AA986" t="s">
        <v>26</v>
      </c>
      <c r="AB986">
        <v>0</v>
      </c>
      <c r="AC986" t="s">
        <v>115</v>
      </c>
      <c r="AD986">
        <v>3</v>
      </c>
      <c r="AE986" t="s">
        <v>115</v>
      </c>
      <c r="AF986">
        <v>0</v>
      </c>
      <c r="AG986">
        <v>0</v>
      </c>
      <c r="AH986" t="s">
        <v>116</v>
      </c>
      <c r="AI986" s="1">
        <v>194350</v>
      </c>
      <c r="AJ986" s="2">
        <v>0.24</v>
      </c>
      <c r="AK986" s="1">
        <v>818556</v>
      </c>
      <c r="AL986" t="s">
        <v>117</v>
      </c>
      <c r="AM986" t="s">
        <v>3973</v>
      </c>
      <c r="AN986">
        <v>48352</v>
      </c>
      <c r="AO986">
        <v>1.1100000000000001</v>
      </c>
      <c r="AP986">
        <v>1</v>
      </c>
      <c r="AR986">
        <v>1</v>
      </c>
      <c r="AS986" s="1">
        <v>65080</v>
      </c>
      <c r="AT986" s="1">
        <v>13010</v>
      </c>
      <c r="AU986" s="1">
        <v>52070</v>
      </c>
      <c r="AV986">
        <v>80.010000000000005</v>
      </c>
      <c r="AX986" s="1">
        <v>4073</v>
      </c>
      <c r="AY986" t="s">
        <v>6485</v>
      </c>
      <c r="AZ986" t="s">
        <v>5640</v>
      </c>
      <c r="BA986" t="s">
        <v>5641</v>
      </c>
      <c r="BE986" s="3">
        <v>42089</v>
      </c>
      <c r="BF986" s="1">
        <v>685000</v>
      </c>
      <c r="BG986" t="s">
        <v>6523</v>
      </c>
      <c r="BH986" s="1">
        <v>185.34</v>
      </c>
      <c r="BI986" s="1">
        <v>624206</v>
      </c>
      <c r="BJ986" s="3">
        <v>42089</v>
      </c>
      <c r="BK986" t="s">
        <v>123</v>
      </c>
      <c r="BL986" t="str">
        <f>"2015.203117"</f>
        <v>2015.203117</v>
      </c>
      <c r="BM986" t="s">
        <v>544</v>
      </c>
      <c r="BO986" t="s">
        <v>6524</v>
      </c>
      <c r="BS986">
        <v>30</v>
      </c>
      <c r="BW986" t="str">
        <f>""</f>
        <v/>
      </c>
      <c r="CH986" t="str">
        <f>""</f>
        <v/>
      </c>
      <c r="CS986" t="str">
        <f>""</f>
        <v/>
      </c>
    </row>
    <row r="987" spans="1:97" x14ac:dyDescent="0.25">
      <c r="A987" t="s">
        <v>305</v>
      </c>
      <c r="B987" t="s">
        <v>6525</v>
      </c>
      <c r="C987" t="s">
        <v>1857</v>
      </c>
      <c r="D987" t="s">
        <v>6526</v>
      </c>
      <c r="E987" t="s">
        <v>6527</v>
      </c>
      <c r="F987" t="s">
        <v>139</v>
      </c>
      <c r="H987" t="s">
        <v>6528</v>
      </c>
      <c r="I987" t="s">
        <v>1936</v>
      </c>
      <c r="J987" t="s">
        <v>111</v>
      </c>
      <c r="K987" t="str">
        <f>"85259"</f>
        <v>85259</v>
      </c>
      <c r="L987" t="s">
        <v>6529</v>
      </c>
      <c r="M987" t="s">
        <v>6530</v>
      </c>
      <c r="N987" t="s">
        <v>1936</v>
      </c>
      <c r="O987" t="s">
        <v>111</v>
      </c>
      <c r="P987" t="str">
        <f>"85259-3768"</f>
        <v>85259-3768</v>
      </c>
      <c r="Q987" t="s">
        <v>113</v>
      </c>
      <c r="R987" t="str">
        <f>"217-19-781"</f>
        <v>217-19-781</v>
      </c>
      <c r="S987" t="s">
        <v>6531</v>
      </c>
      <c r="T987" t="s">
        <v>6532</v>
      </c>
      <c r="U987">
        <v>2242</v>
      </c>
      <c r="V987">
        <v>0</v>
      </c>
      <c r="W987">
        <v>3</v>
      </c>
      <c r="X987">
        <v>1999</v>
      </c>
      <c r="Z987">
        <v>1</v>
      </c>
      <c r="AB987">
        <v>0</v>
      </c>
      <c r="AC987" t="s">
        <v>115</v>
      </c>
      <c r="AD987">
        <v>2</v>
      </c>
      <c r="AE987" t="s">
        <v>115</v>
      </c>
      <c r="AF987">
        <v>0</v>
      </c>
      <c r="AG987">
        <v>0</v>
      </c>
      <c r="AH987" t="s">
        <v>116</v>
      </c>
      <c r="AI987" s="1">
        <v>-19663</v>
      </c>
      <c r="AJ987" s="2">
        <v>-0.04</v>
      </c>
      <c r="AK987" s="1">
        <v>450352</v>
      </c>
      <c r="AL987" t="s">
        <v>117</v>
      </c>
      <c r="AM987" t="s">
        <v>6533</v>
      </c>
      <c r="AN987">
        <v>8361</v>
      </c>
      <c r="AO987">
        <v>0.19</v>
      </c>
      <c r="AP987">
        <v>1</v>
      </c>
      <c r="AR987">
        <v>1</v>
      </c>
      <c r="AS987" s="1">
        <v>42980</v>
      </c>
      <c r="AT987" s="1">
        <v>8590</v>
      </c>
      <c r="AU987" s="1">
        <v>34390</v>
      </c>
      <c r="AV987">
        <v>80.010000000000005</v>
      </c>
      <c r="AX987" s="1">
        <v>3062.46</v>
      </c>
      <c r="AY987" t="s">
        <v>6534</v>
      </c>
      <c r="AZ987" t="s">
        <v>5762</v>
      </c>
      <c r="BA987" t="s">
        <v>5763</v>
      </c>
      <c r="BE987" s="3">
        <v>42082</v>
      </c>
      <c r="BF987" s="1">
        <v>410000</v>
      </c>
      <c r="BG987" t="s">
        <v>6535</v>
      </c>
      <c r="BH987" s="1">
        <v>182.87</v>
      </c>
      <c r="BI987" s="1">
        <v>470015</v>
      </c>
      <c r="BJ987" s="3">
        <v>43584</v>
      </c>
      <c r="BK987" t="s">
        <v>123</v>
      </c>
      <c r="BL987" t="str">
        <f>"2019.302439"</f>
        <v>2019.302439</v>
      </c>
      <c r="BM987" t="s">
        <v>3040</v>
      </c>
      <c r="BN987" t="s">
        <v>3041</v>
      </c>
      <c r="BO987" t="s">
        <v>6536</v>
      </c>
      <c r="BP987" t="s">
        <v>6537</v>
      </c>
      <c r="BR987" t="s">
        <v>139</v>
      </c>
      <c r="BW987" t="str">
        <f>""</f>
        <v/>
      </c>
      <c r="CH987" t="str">
        <f>""</f>
        <v/>
      </c>
      <c r="CS987" t="str">
        <f>""</f>
        <v/>
      </c>
    </row>
    <row r="988" spans="1:97" x14ac:dyDescent="0.25">
      <c r="A988" t="s">
        <v>3089</v>
      </c>
      <c r="B988" t="s">
        <v>6538</v>
      </c>
      <c r="C988" t="s">
        <v>5740</v>
      </c>
      <c r="D988" t="s">
        <v>6538</v>
      </c>
      <c r="E988" t="s">
        <v>6539</v>
      </c>
      <c r="F988" t="s">
        <v>139</v>
      </c>
      <c r="H988" t="s">
        <v>6540</v>
      </c>
      <c r="I988" t="s">
        <v>390</v>
      </c>
      <c r="J988" t="s">
        <v>111</v>
      </c>
      <c r="K988" t="str">
        <f>"85022"</f>
        <v>85022</v>
      </c>
      <c r="L988" t="s">
        <v>6541</v>
      </c>
      <c r="M988" t="s">
        <v>6542</v>
      </c>
      <c r="N988" t="s">
        <v>390</v>
      </c>
      <c r="O988" t="s">
        <v>111</v>
      </c>
      <c r="P988" t="str">
        <f>"85022-4596"</f>
        <v>85022-4596</v>
      </c>
      <c r="Q988" t="s">
        <v>113</v>
      </c>
      <c r="R988" t="str">
        <f>"214-47-460"</f>
        <v>214-47-460</v>
      </c>
      <c r="S988" t="s">
        <v>6543</v>
      </c>
      <c r="T988" t="s">
        <v>6544</v>
      </c>
      <c r="U988">
        <v>3091</v>
      </c>
      <c r="V988">
        <v>0</v>
      </c>
      <c r="W988">
        <v>4</v>
      </c>
      <c r="X988">
        <v>1994</v>
      </c>
      <c r="Z988">
        <v>1</v>
      </c>
      <c r="AA988" t="s">
        <v>26</v>
      </c>
      <c r="AB988">
        <v>0</v>
      </c>
      <c r="AC988" t="s">
        <v>115</v>
      </c>
      <c r="AD988">
        <v>3</v>
      </c>
      <c r="AE988" t="s">
        <v>115</v>
      </c>
      <c r="AF988">
        <v>0</v>
      </c>
      <c r="AG988">
        <v>0</v>
      </c>
      <c r="AH988" t="s">
        <v>116</v>
      </c>
      <c r="AI988" s="1">
        <v>367196</v>
      </c>
      <c r="AJ988" s="2">
        <v>0.55000000000000004</v>
      </c>
      <c r="AK988" s="1">
        <v>662154</v>
      </c>
      <c r="AL988" t="s">
        <v>117</v>
      </c>
      <c r="AM988" t="s">
        <v>1302</v>
      </c>
      <c r="AN988">
        <v>15735</v>
      </c>
      <c r="AO988">
        <v>0.36</v>
      </c>
      <c r="AP988">
        <v>1</v>
      </c>
      <c r="AR988">
        <v>1</v>
      </c>
      <c r="AS988" s="1">
        <v>52500</v>
      </c>
      <c r="AT988" s="1">
        <v>10500</v>
      </c>
      <c r="AU988" s="1">
        <v>42000</v>
      </c>
      <c r="AV988">
        <v>80</v>
      </c>
      <c r="AX988" s="1">
        <v>5921.52</v>
      </c>
      <c r="AY988" t="s">
        <v>5802</v>
      </c>
      <c r="AZ988" t="s">
        <v>5489</v>
      </c>
      <c r="BA988" t="s">
        <v>5232</v>
      </c>
      <c r="BE988" s="3">
        <v>41943</v>
      </c>
      <c r="BF988" s="1">
        <v>570000</v>
      </c>
      <c r="BG988" t="s">
        <v>6545</v>
      </c>
      <c r="BH988" s="1">
        <v>184.41</v>
      </c>
      <c r="BI988" s="1">
        <v>294958</v>
      </c>
      <c r="BJ988" s="3">
        <v>42650</v>
      </c>
      <c r="BK988" t="s">
        <v>123</v>
      </c>
      <c r="BL988" t="str">
        <f>"2016.736479"</f>
        <v>2016.736479</v>
      </c>
      <c r="BM988" t="s">
        <v>402</v>
      </c>
      <c r="BO988" t="s">
        <v>6546</v>
      </c>
      <c r="BS988">
        <v>30</v>
      </c>
      <c r="BW988" t="str">
        <f>""</f>
        <v/>
      </c>
      <c r="CH988" t="str">
        <f>""</f>
        <v/>
      </c>
      <c r="CS988" t="str">
        <f>""</f>
        <v/>
      </c>
    </row>
    <row r="989" spans="1:97" x14ac:dyDescent="0.25">
      <c r="A989" t="s">
        <v>6547</v>
      </c>
      <c r="B989" t="s">
        <v>963</v>
      </c>
      <c r="C989" t="s">
        <v>2178</v>
      </c>
      <c r="D989" t="s">
        <v>963</v>
      </c>
      <c r="E989" t="s">
        <v>6548</v>
      </c>
      <c r="F989" t="s">
        <v>108</v>
      </c>
      <c r="H989" t="s">
        <v>6549</v>
      </c>
      <c r="I989" t="s">
        <v>225</v>
      </c>
      <c r="J989" t="s">
        <v>111</v>
      </c>
      <c r="K989" t="str">
        <f>"85209"</f>
        <v>85209</v>
      </c>
      <c r="L989" t="s">
        <v>2820</v>
      </c>
      <c r="M989" t="s">
        <v>6549</v>
      </c>
      <c r="N989" t="s">
        <v>225</v>
      </c>
      <c r="O989" t="s">
        <v>111</v>
      </c>
      <c r="P989" t="str">
        <f>"85209-4979"</f>
        <v>85209-4979</v>
      </c>
      <c r="Q989" t="s">
        <v>113</v>
      </c>
      <c r="R989" t="str">
        <f>"309-07-673"</f>
        <v>309-07-673</v>
      </c>
      <c r="S989" t="s">
        <v>6550</v>
      </c>
      <c r="T989" t="s">
        <v>6551</v>
      </c>
      <c r="U989">
        <v>2169</v>
      </c>
      <c r="V989">
        <v>0</v>
      </c>
      <c r="W989">
        <v>4</v>
      </c>
      <c r="X989">
        <v>1995</v>
      </c>
      <c r="Z989">
        <v>2</v>
      </c>
      <c r="AA989" t="s">
        <v>26</v>
      </c>
      <c r="AB989">
        <v>0</v>
      </c>
      <c r="AC989" t="s">
        <v>115</v>
      </c>
      <c r="AD989">
        <v>2</v>
      </c>
      <c r="AE989" t="s">
        <v>115</v>
      </c>
      <c r="AF989">
        <v>0</v>
      </c>
      <c r="AG989">
        <v>0</v>
      </c>
      <c r="AH989" t="s">
        <v>116</v>
      </c>
      <c r="AI989" s="1">
        <v>109083</v>
      </c>
      <c r="AJ989" s="2">
        <v>0.33</v>
      </c>
      <c r="AK989" s="1">
        <v>333583</v>
      </c>
      <c r="AL989" t="s">
        <v>117</v>
      </c>
      <c r="AM989" t="s">
        <v>191</v>
      </c>
      <c r="AN989">
        <v>7601</v>
      </c>
      <c r="AO989">
        <v>0.17</v>
      </c>
      <c r="AP989">
        <v>1</v>
      </c>
      <c r="AR989">
        <v>1</v>
      </c>
      <c r="AS989" s="1">
        <v>23200</v>
      </c>
      <c r="AT989" s="1">
        <v>4640</v>
      </c>
      <c r="AU989" s="1">
        <v>18560</v>
      </c>
      <c r="AV989">
        <v>80</v>
      </c>
      <c r="AX989" s="1">
        <v>1636.74</v>
      </c>
      <c r="AY989" t="s">
        <v>6552</v>
      </c>
      <c r="AZ989" t="s">
        <v>571</v>
      </c>
      <c r="BA989" t="s">
        <v>572</v>
      </c>
      <c r="BE989" s="3">
        <v>41815</v>
      </c>
      <c r="BF989" s="1">
        <v>224500</v>
      </c>
      <c r="BG989" t="s">
        <v>6553</v>
      </c>
      <c r="BH989" s="1">
        <v>103.5</v>
      </c>
      <c r="BI989" s="1">
        <v>224500</v>
      </c>
      <c r="BJ989" s="3">
        <v>41815</v>
      </c>
      <c r="BK989" t="s">
        <v>123</v>
      </c>
      <c r="BL989" t="str">
        <f>"2014.416455"</f>
        <v>2014.416455</v>
      </c>
      <c r="BM989" t="s">
        <v>2716</v>
      </c>
      <c r="BO989" t="s">
        <v>6554</v>
      </c>
      <c r="BS989">
        <v>30</v>
      </c>
      <c r="BW989" t="str">
        <f>""</f>
        <v/>
      </c>
      <c r="CH989" t="str">
        <f>""</f>
        <v/>
      </c>
      <c r="CS989" t="str">
        <f>""</f>
        <v/>
      </c>
    </row>
    <row r="990" spans="1:97" x14ac:dyDescent="0.25">
      <c r="A990" t="s">
        <v>894</v>
      </c>
      <c r="B990" t="s">
        <v>6555</v>
      </c>
      <c r="C990" t="s">
        <v>6556</v>
      </c>
      <c r="D990" t="s">
        <v>6555</v>
      </c>
      <c r="E990" t="s">
        <v>6557</v>
      </c>
      <c r="F990" t="s">
        <v>108</v>
      </c>
      <c r="H990" t="s">
        <v>6558</v>
      </c>
      <c r="I990" t="s">
        <v>225</v>
      </c>
      <c r="J990" t="s">
        <v>111</v>
      </c>
      <c r="K990" t="str">
        <f>"85207"</f>
        <v>85207</v>
      </c>
      <c r="L990" t="s">
        <v>6308</v>
      </c>
      <c r="M990" t="s">
        <v>6558</v>
      </c>
      <c r="N990" t="s">
        <v>225</v>
      </c>
      <c r="O990" t="s">
        <v>111</v>
      </c>
      <c r="P990" t="str">
        <f>"85207-6647"</f>
        <v>85207-6647</v>
      </c>
      <c r="Q990" t="s">
        <v>113</v>
      </c>
      <c r="R990" t="str">
        <f>"218-08-368"</f>
        <v>218-08-368</v>
      </c>
      <c r="S990" t="s">
        <v>6559</v>
      </c>
      <c r="T990" t="s">
        <v>6559</v>
      </c>
      <c r="U990">
        <v>2260</v>
      </c>
      <c r="V990">
        <v>0</v>
      </c>
      <c r="W990">
        <v>3</v>
      </c>
      <c r="X990">
        <v>1995</v>
      </c>
      <c r="Z990">
        <v>1</v>
      </c>
      <c r="AB990">
        <v>0</v>
      </c>
      <c r="AC990" t="s">
        <v>115</v>
      </c>
      <c r="AD990">
        <v>3</v>
      </c>
      <c r="AE990" t="s">
        <v>115</v>
      </c>
      <c r="AF990">
        <v>0</v>
      </c>
      <c r="AG990">
        <v>0</v>
      </c>
      <c r="AH990" t="s">
        <v>116</v>
      </c>
      <c r="AI990" s="1">
        <v>35962</v>
      </c>
      <c r="AJ990" s="2">
        <v>0.11</v>
      </c>
      <c r="AK990" s="1">
        <v>317962</v>
      </c>
      <c r="AL990" t="s">
        <v>117</v>
      </c>
      <c r="AM990" t="s">
        <v>393</v>
      </c>
      <c r="AN990">
        <v>9801</v>
      </c>
      <c r="AO990">
        <v>0.22</v>
      </c>
      <c r="AP990">
        <v>1</v>
      </c>
      <c r="AR990">
        <v>1</v>
      </c>
      <c r="AS990" s="1">
        <v>23330</v>
      </c>
      <c r="AT990" s="1">
        <v>4660</v>
      </c>
      <c r="AU990" s="1">
        <v>18670</v>
      </c>
      <c r="AV990">
        <v>80.03</v>
      </c>
      <c r="AX990" s="1">
        <v>1737.34</v>
      </c>
      <c r="AY990" t="s">
        <v>4567</v>
      </c>
      <c r="AZ990" t="s">
        <v>231</v>
      </c>
      <c r="BA990" t="s">
        <v>3119</v>
      </c>
      <c r="BE990" s="3">
        <v>41932</v>
      </c>
      <c r="BF990" s="1">
        <v>210000</v>
      </c>
      <c r="BG990" t="s">
        <v>6560</v>
      </c>
      <c r="BH990" s="1">
        <v>92.92</v>
      </c>
      <c r="BI990" s="1">
        <v>282000</v>
      </c>
      <c r="BJ990" s="3">
        <v>42289</v>
      </c>
      <c r="BK990" t="s">
        <v>123</v>
      </c>
      <c r="BL990" t="str">
        <f>"2015.731289"</f>
        <v>2015.731289</v>
      </c>
      <c r="BM990" t="s">
        <v>1135</v>
      </c>
      <c r="BO990" t="s">
        <v>6561</v>
      </c>
      <c r="BS990">
        <v>30</v>
      </c>
      <c r="BW990" t="str">
        <f>""</f>
        <v/>
      </c>
      <c r="CH990" t="str">
        <f>""</f>
        <v/>
      </c>
      <c r="CS990" t="str">
        <f>""</f>
        <v/>
      </c>
    </row>
    <row r="991" spans="1:97" x14ac:dyDescent="0.25">
      <c r="A991" t="s">
        <v>1729</v>
      </c>
      <c r="B991" t="s">
        <v>1820</v>
      </c>
      <c r="E991" t="s">
        <v>6562</v>
      </c>
      <c r="F991" t="s">
        <v>282</v>
      </c>
      <c r="H991" t="s">
        <v>6563</v>
      </c>
      <c r="I991" t="s">
        <v>5863</v>
      </c>
      <c r="J991" t="s">
        <v>111</v>
      </c>
      <c r="K991" t="str">
        <f>"85375"</f>
        <v>85375</v>
      </c>
      <c r="L991" t="s">
        <v>5209</v>
      </c>
      <c r="M991" t="s">
        <v>6564</v>
      </c>
      <c r="N991" t="s">
        <v>5863</v>
      </c>
      <c r="O991" t="s">
        <v>111</v>
      </c>
      <c r="P991" t="str">
        <f>"85375-4529"</f>
        <v>85375-4529</v>
      </c>
      <c r="Q991" t="s">
        <v>113</v>
      </c>
      <c r="R991" t="str">
        <f>"232-02-367"</f>
        <v>232-02-367</v>
      </c>
      <c r="S991" t="s">
        <v>6565</v>
      </c>
      <c r="U991">
        <v>1958</v>
      </c>
      <c r="V991">
        <v>0</v>
      </c>
      <c r="W991">
        <v>2</v>
      </c>
      <c r="X991">
        <v>1979</v>
      </c>
      <c r="Z991">
        <v>1</v>
      </c>
      <c r="AB991">
        <v>0</v>
      </c>
      <c r="AC991" t="s">
        <v>115</v>
      </c>
      <c r="AD991">
        <v>2</v>
      </c>
      <c r="AE991" t="s">
        <v>115</v>
      </c>
      <c r="AF991">
        <v>0</v>
      </c>
      <c r="AG991">
        <v>0</v>
      </c>
      <c r="AH991" t="s">
        <v>116</v>
      </c>
      <c r="AI991" s="1">
        <v>13658</v>
      </c>
      <c r="AJ991" s="2">
        <v>0.05</v>
      </c>
      <c r="AK991" s="1">
        <v>258818</v>
      </c>
      <c r="AL991" t="s">
        <v>117</v>
      </c>
      <c r="AM991" t="s">
        <v>393</v>
      </c>
      <c r="AN991">
        <v>9100</v>
      </c>
      <c r="AO991">
        <v>0.21</v>
      </c>
      <c r="AP991">
        <v>1</v>
      </c>
      <c r="AR991">
        <v>1</v>
      </c>
      <c r="AS991" s="1">
        <v>15960</v>
      </c>
      <c r="AT991" s="1">
        <v>3190</v>
      </c>
      <c r="AU991" s="1">
        <v>12770</v>
      </c>
      <c r="AV991">
        <v>80.010000000000005</v>
      </c>
      <c r="AX991" s="1">
        <v>1129.74</v>
      </c>
      <c r="AY991" t="s">
        <v>320</v>
      </c>
      <c r="AZ991" t="s">
        <v>320</v>
      </c>
      <c r="BA991" t="s">
        <v>321</v>
      </c>
      <c r="BB991" s="3">
        <v>42919</v>
      </c>
      <c r="BD991" t="s">
        <v>157</v>
      </c>
      <c r="BE991" s="3">
        <v>42074</v>
      </c>
      <c r="BF991" s="1">
        <v>197000</v>
      </c>
      <c r="BG991" t="s">
        <v>6566</v>
      </c>
      <c r="BH991" s="1">
        <v>100.61</v>
      </c>
      <c r="BI991" s="1">
        <v>245160</v>
      </c>
      <c r="BJ991" s="3">
        <v>43518</v>
      </c>
      <c r="BK991" t="s">
        <v>123</v>
      </c>
      <c r="BL991" t="str">
        <f>"2019.123991"</f>
        <v>2019.123991</v>
      </c>
      <c r="BM991" t="s">
        <v>4672</v>
      </c>
      <c r="BN991" t="s">
        <v>1922</v>
      </c>
      <c r="BO991" t="s">
        <v>6567</v>
      </c>
      <c r="BR991" t="s">
        <v>139</v>
      </c>
      <c r="BW991" t="str">
        <f>""</f>
        <v/>
      </c>
      <c r="CH991" t="str">
        <f>""</f>
        <v/>
      </c>
      <c r="CS991" t="str">
        <f>""</f>
        <v/>
      </c>
    </row>
    <row r="992" spans="1:97" x14ac:dyDescent="0.25">
      <c r="A992" t="s">
        <v>894</v>
      </c>
      <c r="B992" t="s">
        <v>6568</v>
      </c>
      <c r="E992" t="s">
        <v>6569</v>
      </c>
      <c r="F992" t="s">
        <v>108</v>
      </c>
      <c r="H992" t="s">
        <v>6570</v>
      </c>
      <c r="I992" t="s">
        <v>225</v>
      </c>
      <c r="J992" t="s">
        <v>111</v>
      </c>
      <c r="K992" t="str">
        <f>"85207"</f>
        <v>85207</v>
      </c>
      <c r="L992" t="s">
        <v>5775</v>
      </c>
      <c r="M992" t="s">
        <v>6570</v>
      </c>
      <c r="N992" t="s">
        <v>225</v>
      </c>
      <c r="O992" t="s">
        <v>111</v>
      </c>
      <c r="P992" t="str">
        <f>"85207-7205"</f>
        <v>85207-7205</v>
      </c>
      <c r="R992" t="str">
        <f>"220-43-123"</f>
        <v>220-43-123</v>
      </c>
      <c r="S992" t="s">
        <v>6571</v>
      </c>
      <c r="T992" t="s">
        <v>6571</v>
      </c>
      <c r="U992">
        <v>1540</v>
      </c>
      <c r="V992">
        <v>0</v>
      </c>
      <c r="W992">
        <v>2</v>
      </c>
      <c r="X992">
        <v>2016</v>
      </c>
      <c r="Z992">
        <v>1</v>
      </c>
      <c r="AB992">
        <v>0</v>
      </c>
      <c r="AC992" t="s">
        <v>115</v>
      </c>
      <c r="AD992">
        <v>2</v>
      </c>
      <c r="AE992" t="s">
        <v>115</v>
      </c>
      <c r="AF992">
        <v>0</v>
      </c>
      <c r="AG992">
        <v>0</v>
      </c>
      <c r="AH992" t="s">
        <v>116</v>
      </c>
      <c r="AI992" s="1">
        <v>52166</v>
      </c>
      <c r="AJ992" s="2">
        <v>0.19</v>
      </c>
      <c r="AK992" s="1">
        <v>269487</v>
      </c>
      <c r="AL992" t="s">
        <v>117</v>
      </c>
      <c r="AM992" t="s">
        <v>393</v>
      </c>
      <c r="AN992">
        <v>7977</v>
      </c>
      <c r="AO992">
        <v>0.18</v>
      </c>
      <c r="AR992">
        <v>1</v>
      </c>
      <c r="AS992" s="1">
        <v>20580</v>
      </c>
      <c r="AT992" s="1">
        <v>4110</v>
      </c>
      <c r="AU992" s="1">
        <v>16470</v>
      </c>
      <c r="AV992">
        <v>80.03</v>
      </c>
      <c r="AX992" s="1">
        <v>1487.66</v>
      </c>
      <c r="AY992" t="s">
        <v>6572</v>
      </c>
      <c r="AZ992" t="s">
        <v>3761</v>
      </c>
      <c r="BA992" t="s">
        <v>232</v>
      </c>
      <c r="BE992" s="3">
        <v>42509</v>
      </c>
      <c r="BF992" s="1">
        <v>223266</v>
      </c>
      <c r="BG992" t="s">
        <v>6573</v>
      </c>
      <c r="BH992" s="1">
        <v>144.97999999999999</v>
      </c>
      <c r="BI992" s="1">
        <v>217321</v>
      </c>
      <c r="BJ992" s="3">
        <v>43020</v>
      </c>
      <c r="BK992" t="s">
        <v>123</v>
      </c>
      <c r="BL992" t="str">
        <f>"2017.755147"</f>
        <v>2017.755147</v>
      </c>
      <c r="BM992" t="s">
        <v>340</v>
      </c>
      <c r="BN992">
        <v>8054</v>
      </c>
      <c r="BO992" t="s">
        <v>6574</v>
      </c>
      <c r="BS992">
        <v>29</v>
      </c>
      <c r="BW992" t="str">
        <f>""</f>
        <v/>
      </c>
      <c r="CH992" t="str">
        <f>""</f>
        <v/>
      </c>
      <c r="CS992" t="str">
        <f>""</f>
        <v/>
      </c>
    </row>
    <row r="993" spans="1:97" x14ac:dyDescent="0.25">
      <c r="A993" t="s">
        <v>3221</v>
      </c>
      <c r="B993" t="s">
        <v>6575</v>
      </c>
      <c r="E993" t="s">
        <v>6576</v>
      </c>
      <c r="F993" t="s">
        <v>282</v>
      </c>
      <c r="H993" t="s">
        <v>6577</v>
      </c>
      <c r="I993" t="s">
        <v>3150</v>
      </c>
      <c r="J993" t="s">
        <v>111</v>
      </c>
      <c r="K993" t="str">
        <f>"85340"</f>
        <v>85340</v>
      </c>
      <c r="L993" t="s">
        <v>1789</v>
      </c>
      <c r="M993" t="s">
        <v>6578</v>
      </c>
      <c r="N993" t="s">
        <v>3150</v>
      </c>
      <c r="O993" t="s">
        <v>111</v>
      </c>
      <c r="P993" t="str">
        <f>"85340-5304"</f>
        <v>85340-5304</v>
      </c>
      <c r="Q993" t="s">
        <v>113</v>
      </c>
      <c r="R993" t="str">
        <f>"508-06-049"</f>
        <v>508-06-049</v>
      </c>
      <c r="S993" t="s">
        <v>6579</v>
      </c>
      <c r="U993">
        <v>2120</v>
      </c>
      <c r="V993">
        <v>0</v>
      </c>
      <c r="W993">
        <v>3</v>
      </c>
      <c r="X993">
        <v>2002</v>
      </c>
      <c r="Z993">
        <v>1</v>
      </c>
      <c r="AB993">
        <v>0</v>
      </c>
      <c r="AC993" t="s">
        <v>115</v>
      </c>
      <c r="AD993">
        <v>2</v>
      </c>
      <c r="AE993" t="s">
        <v>115</v>
      </c>
      <c r="AF993">
        <v>0</v>
      </c>
      <c r="AG993">
        <v>0</v>
      </c>
      <c r="AH993" t="s">
        <v>116</v>
      </c>
      <c r="AI993" s="1">
        <v>66180</v>
      </c>
      <c r="AJ993" s="2">
        <v>0.24</v>
      </c>
      <c r="AK993" s="1">
        <v>278130</v>
      </c>
      <c r="AL993" t="s">
        <v>117</v>
      </c>
      <c r="AM993" t="s">
        <v>171</v>
      </c>
      <c r="AN993">
        <v>7272</v>
      </c>
      <c r="AO993">
        <v>0.17</v>
      </c>
      <c r="AP993">
        <v>1</v>
      </c>
      <c r="AR993">
        <v>1</v>
      </c>
      <c r="AS993" s="1">
        <v>19530</v>
      </c>
      <c r="AT993" s="1">
        <v>3900</v>
      </c>
      <c r="AU993" s="1">
        <v>15630</v>
      </c>
      <c r="AV993">
        <v>80.03</v>
      </c>
      <c r="AX993" s="1">
        <v>1804.8</v>
      </c>
      <c r="AY993" t="s">
        <v>6580</v>
      </c>
      <c r="AZ993" t="s">
        <v>3153</v>
      </c>
      <c r="BA993" t="s">
        <v>3154</v>
      </c>
      <c r="BE993" s="3">
        <v>41649</v>
      </c>
      <c r="BF993" s="1">
        <v>190500</v>
      </c>
      <c r="BG993" t="s">
        <v>6581</v>
      </c>
      <c r="BH993" s="1">
        <v>89.86</v>
      </c>
      <c r="BI993" s="1">
        <v>211950</v>
      </c>
      <c r="BJ993" s="3">
        <v>42734</v>
      </c>
      <c r="BK993" t="s">
        <v>123</v>
      </c>
      <c r="BL993" t="str">
        <f>"2016.964898"</f>
        <v>2016.964898</v>
      </c>
      <c r="BM993" t="s">
        <v>124</v>
      </c>
      <c r="BO993" t="s">
        <v>6582</v>
      </c>
      <c r="BP993" t="s">
        <v>6583</v>
      </c>
      <c r="BS993">
        <v>30</v>
      </c>
      <c r="BW993" t="str">
        <f>""</f>
        <v/>
      </c>
      <c r="CH993" t="str">
        <f>""</f>
        <v/>
      </c>
      <c r="CS993" t="str">
        <f>""</f>
        <v/>
      </c>
    </row>
    <row r="994" spans="1:97" x14ac:dyDescent="0.25">
      <c r="A994" t="s">
        <v>1876</v>
      </c>
      <c r="B994" t="s">
        <v>2023</v>
      </c>
      <c r="C994" t="s">
        <v>2002</v>
      </c>
      <c r="D994" t="s">
        <v>6584</v>
      </c>
      <c r="E994" t="s">
        <v>6585</v>
      </c>
      <c r="F994" t="s">
        <v>108</v>
      </c>
      <c r="H994" t="s">
        <v>6586</v>
      </c>
      <c r="I994" t="s">
        <v>390</v>
      </c>
      <c r="J994" t="s">
        <v>111</v>
      </c>
      <c r="K994" t="str">
        <f>"85013"</f>
        <v>85013</v>
      </c>
      <c r="L994" t="s">
        <v>2963</v>
      </c>
      <c r="M994" t="s">
        <v>6586</v>
      </c>
      <c r="N994" t="s">
        <v>390</v>
      </c>
      <c r="O994" t="s">
        <v>111</v>
      </c>
      <c r="P994" t="str">
        <f>"85013-1043"</f>
        <v>85013-1043</v>
      </c>
      <c r="Q994" t="s">
        <v>113</v>
      </c>
      <c r="R994" t="str">
        <f>"156-22-066"</f>
        <v>156-22-066</v>
      </c>
      <c r="S994" t="s">
        <v>6587</v>
      </c>
      <c r="T994" t="s">
        <v>6588</v>
      </c>
      <c r="U994">
        <v>1770</v>
      </c>
      <c r="V994">
        <v>0</v>
      </c>
      <c r="W994">
        <v>2</v>
      </c>
      <c r="X994">
        <v>1969</v>
      </c>
      <c r="Z994">
        <v>1</v>
      </c>
      <c r="AA994" t="s">
        <v>26</v>
      </c>
      <c r="AB994">
        <v>0</v>
      </c>
      <c r="AC994" t="s">
        <v>115</v>
      </c>
      <c r="AD994">
        <v>2</v>
      </c>
      <c r="AE994" t="s">
        <v>115</v>
      </c>
      <c r="AF994">
        <v>0</v>
      </c>
      <c r="AG994">
        <v>0</v>
      </c>
      <c r="AH994" t="s">
        <v>116</v>
      </c>
      <c r="AI994" s="1">
        <v>69323</v>
      </c>
      <c r="AJ994" s="2">
        <v>0.16</v>
      </c>
      <c r="AK994" s="1">
        <v>444671</v>
      </c>
      <c r="AL994" t="s">
        <v>117</v>
      </c>
      <c r="AM994" t="s">
        <v>1302</v>
      </c>
      <c r="AN994">
        <v>13221</v>
      </c>
      <c r="AO994">
        <v>0.3</v>
      </c>
      <c r="AP994">
        <v>1</v>
      </c>
      <c r="AR994">
        <v>1</v>
      </c>
      <c r="AS994" s="1">
        <v>29800</v>
      </c>
      <c r="AT994" s="1">
        <v>5960</v>
      </c>
      <c r="AU994" s="1">
        <v>23840</v>
      </c>
      <c r="AV994">
        <v>80</v>
      </c>
      <c r="AX994" s="1">
        <v>2474.94</v>
      </c>
      <c r="AY994" t="s">
        <v>1303</v>
      </c>
      <c r="AZ994" t="s">
        <v>1303</v>
      </c>
      <c r="BA994" t="s">
        <v>1304</v>
      </c>
      <c r="BB994" s="3">
        <v>42559</v>
      </c>
      <c r="BD994" t="s">
        <v>458</v>
      </c>
      <c r="BE994" s="3">
        <v>42506</v>
      </c>
      <c r="BF994" s="1">
        <v>376000</v>
      </c>
      <c r="BG994" t="s">
        <v>6589</v>
      </c>
      <c r="BH994" s="1">
        <v>212.43</v>
      </c>
      <c r="BI994" s="1">
        <v>375348</v>
      </c>
      <c r="BJ994" s="3">
        <v>42668</v>
      </c>
      <c r="BK994" t="s">
        <v>123</v>
      </c>
      <c r="BL994" t="str">
        <f>"2016.780912"</f>
        <v>2016.780912</v>
      </c>
      <c r="BM994" t="s">
        <v>402</v>
      </c>
      <c r="BO994" t="s">
        <v>6590</v>
      </c>
      <c r="BP994" t="s">
        <v>6591</v>
      </c>
      <c r="BS994">
        <v>30</v>
      </c>
      <c r="BW994" t="str">
        <f>""</f>
        <v/>
      </c>
      <c r="CH994" t="str">
        <f>""</f>
        <v/>
      </c>
      <c r="CS994" t="str">
        <f>""</f>
        <v/>
      </c>
    </row>
    <row r="995" spans="1:97" x14ac:dyDescent="0.25">
      <c r="A995" t="s">
        <v>589</v>
      </c>
      <c r="B995" t="s">
        <v>6592</v>
      </c>
      <c r="C995" t="s">
        <v>4386</v>
      </c>
      <c r="D995" t="s">
        <v>6592</v>
      </c>
      <c r="E995" t="s">
        <v>6593</v>
      </c>
      <c r="F995" t="s">
        <v>108</v>
      </c>
      <c r="H995" t="s">
        <v>6594</v>
      </c>
      <c r="I995" t="s">
        <v>110</v>
      </c>
      <c r="J995" t="s">
        <v>111</v>
      </c>
      <c r="K995" t="str">
        <f>"85249"</f>
        <v>85249</v>
      </c>
      <c r="L995" t="s">
        <v>6595</v>
      </c>
      <c r="M995" t="s">
        <v>6594</v>
      </c>
      <c r="N995" t="s">
        <v>110</v>
      </c>
      <c r="O995" t="s">
        <v>111</v>
      </c>
      <c r="P995" t="str">
        <f>"85249-7014"</f>
        <v>85249-7014</v>
      </c>
      <c r="Q995" t="s">
        <v>113</v>
      </c>
      <c r="R995" t="str">
        <f>"304-84-588"</f>
        <v>304-84-588</v>
      </c>
      <c r="S995" t="s">
        <v>6596</v>
      </c>
      <c r="U995">
        <v>2043</v>
      </c>
      <c r="V995">
        <v>0</v>
      </c>
      <c r="W995">
        <v>4</v>
      </c>
      <c r="X995">
        <v>2002</v>
      </c>
      <c r="Z995">
        <v>2</v>
      </c>
      <c r="AB995">
        <v>0</v>
      </c>
      <c r="AC995" t="s">
        <v>115</v>
      </c>
      <c r="AD995">
        <v>2</v>
      </c>
      <c r="AE995" t="s">
        <v>115</v>
      </c>
      <c r="AF995">
        <v>0</v>
      </c>
      <c r="AG995">
        <v>0</v>
      </c>
      <c r="AH995" t="s">
        <v>116</v>
      </c>
      <c r="AI995" s="1">
        <v>64151</v>
      </c>
      <c r="AJ995" s="2">
        <v>0.2</v>
      </c>
      <c r="AK995" s="1">
        <v>321351</v>
      </c>
      <c r="AL995" t="s">
        <v>117</v>
      </c>
      <c r="AM995" t="s">
        <v>118</v>
      </c>
      <c r="AN995">
        <v>7040</v>
      </c>
      <c r="AO995">
        <v>0.16</v>
      </c>
      <c r="AP995">
        <v>1</v>
      </c>
      <c r="AR995">
        <v>1</v>
      </c>
      <c r="AS995" s="1">
        <v>21770</v>
      </c>
      <c r="AT995" s="1">
        <v>4350</v>
      </c>
      <c r="AU995" s="1">
        <v>17420</v>
      </c>
      <c r="AV995">
        <v>80.02</v>
      </c>
      <c r="AX995" s="1">
        <v>1711.5</v>
      </c>
      <c r="AY995" t="s">
        <v>6269</v>
      </c>
      <c r="AZ995" t="s">
        <v>273</v>
      </c>
      <c r="BA995" t="s">
        <v>274</v>
      </c>
      <c r="BE995" s="3">
        <v>42374</v>
      </c>
      <c r="BF995" s="1">
        <v>249000</v>
      </c>
      <c r="BG995" t="s">
        <v>6597</v>
      </c>
      <c r="BH995" s="1">
        <v>121.88</v>
      </c>
      <c r="BI995" s="1">
        <v>257200</v>
      </c>
      <c r="BJ995" s="3">
        <v>42374</v>
      </c>
      <c r="BK995" t="s">
        <v>123</v>
      </c>
      <c r="BL995" t="str">
        <f>"2016.3480"</f>
        <v>2016.3480</v>
      </c>
      <c r="BM995" t="s">
        <v>124</v>
      </c>
      <c r="BO995" t="s">
        <v>6598</v>
      </c>
      <c r="BS995">
        <v>30</v>
      </c>
      <c r="BW995" t="str">
        <f>""</f>
        <v/>
      </c>
      <c r="CH995" t="str">
        <f>""</f>
        <v/>
      </c>
      <c r="CS995" t="str">
        <f>""</f>
        <v/>
      </c>
    </row>
    <row r="996" spans="1:97" x14ac:dyDescent="0.25">
      <c r="A996" t="s">
        <v>1444</v>
      </c>
      <c r="B996" t="s">
        <v>2599</v>
      </c>
      <c r="C996" t="s">
        <v>179</v>
      </c>
      <c r="D996" t="s">
        <v>2599</v>
      </c>
      <c r="E996" t="s">
        <v>6599</v>
      </c>
      <c r="F996" t="s">
        <v>108</v>
      </c>
      <c r="H996" t="s">
        <v>6600</v>
      </c>
      <c r="I996" t="s">
        <v>632</v>
      </c>
      <c r="J996" t="s">
        <v>111</v>
      </c>
      <c r="K996" t="str">
        <f>"85374"</f>
        <v>85374</v>
      </c>
      <c r="L996" t="s">
        <v>6601</v>
      </c>
      <c r="M996" t="s">
        <v>6600</v>
      </c>
      <c r="N996" t="s">
        <v>632</v>
      </c>
      <c r="O996" t="s">
        <v>111</v>
      </c>
      <c r="P996" t="str">
        <f>"85374-1931"</f>
        <v>85374-1931</v>
      </c>
      <c r="Q996" t="s">
        <v>113</v>
      </c>
      <c r="R996" t="str">
        <f>"507-04-759"</f>
        <v>507-04-759</v>
      </c>
      <c r="S996" t="s">
        <v>6602</v>
      </c>
      <c r="U996">
        <v>1200</v>
      </c>
      <c r="V996">
        <v>0</v>
      </c>
      <c r="W996">
        <v>3</v>
      </c>
      <c r="X996">
        <v>2003</v>
      </c>
      <c r="Z996">
        <v>1</v>
      </c>
      <c r="AA996" t="s">
        <v>26</v>
      </c>
      <c r="AB996">
        <v>0</v>
      </c>
      <c r="AC996" t="s">
        <v>115</v>
      </c>
      <c r="AD996">
        <v>2</v>
      </c>
      <c r="AE996" t="s">
        <v>115</v>
      </c>
      <c r="AF996">
        <v>0</v>
      </c>
      <c r="AG996">
        <v>0</v>
      </c>
      <c r="AH996" t="s">
        <v>116</v>
      </c>
      <c r="AI996" s="1">
        <v>47302</v>
      </c>
      <c r="AJ996" s="2">
        <v>0.19</v>
      </c>
      <c r="AK996" s="1">
        <v>253902</v>
      </c>
      <c r="AL996" t="s">
        <v>117</v>
      </c>
      <c r="AM996" t="s">
        <v>118</v>
      </c>
      <c r="AN996">
        <v>5028</v>
      </c>
      <c r="AO996">
        <v>0.12</v>
      </c>
      <c r="AP996">
        <v>1</v>
      </c>
      <c r="AR996">
        <v>1</v>
      </c>
      <c r="AS996" s="1">
        <v>17380</v>
      </c>
      <c r="AT996" s="1">
        <v>3470</v>
      </c>
      <c r="AU996" s="1">
        <v>13910</v>
      </c>
      <c r="AV996">
        <v>80.03</v>
      </c>
      <c r="AX996" s="1">
        <v>1620.28</v>
      </c>
      <c r="AY996" t="s">
        <v>5168</v>
      </c>
      <c r="AZ996" t="s">
        <v>5168</v>
      </c>
      <c r="BA996" t="s">
        <v>5109</v>
      </c>
      <c r="BE996" s="3">
        <v>41956</v>
      </c>
      <c r="BF996" s="1">
        <v>178000</v>
      </c>
      <c r="BG996" t="s">
        <v>6603</v>
      </c>
      <c r="BH996" s="1">
        <v>148.33000000000001</v>
      </c>
      <c r="BI996" s="1">
        <v>206600</v>
      </c>
      <c r="BJ996" s="3">
        <v>42916</v>
      </c>
      <c r="BK996" t="s">
        <v>123</v>
      </c>
      <c r="BL996" t="str">
        <f>"2017.480370"</f>
        <v>2017.480370</v>
      </c>
      <c r="BM996" t="s">
        <v>6604</v>
      </c>
      <c r="BO996" t="s">
        <v>6605</v>
      </c>
      <c r="BS996">
        <v>30</v>
      </c>
      <c r="BW996" t="str">
        <f>""</f>
        <v/>
      </c>
      <c r="CH996" t="str">
        <f>""</f>
        <v/>
      </c>
      <c r="CS996" t="str">
        <f>""</f>
        <v/>
      </c>
    </row>
    <row r="997" spans="1:97" x14ac:dyDescent="0.25">
      <c r="A997" t="s">
        <v>370</v>
      </c>
      <c r="B997" t="s">
        <v>6606</v>
      </c>
      <c r="C997" t="s">
        <v>1845</v>
      </c>
      <c r="D997" t="s">
        <v>6606</v>
      </c>
      <c r="E997" t="s">
        <v>6607</v>
      </c>
      <c r="F997" t="s">
        <v>108</v>
      </c>
      <c r="H997" t="s">
        <v>6608</v>
      </c>
      <c r="I997" t="s">
        <v>390</v>
      </c>
      <c r="J997" t="s">
        <v>111</v>
      </c>
      <c r="K997" t="str">
        <f>"85027"</f>
        <v>85027</v>
      </c>
      <c r="L997" t="s">
        <v>6460</v>
      </c>
      <c r="M997" t="s">
        <v>6608</v>
      </c>
      <c r="N997" t="s">
        <v>390</v>
      </c>
      <c r="O997" t="s">
        <v>111</v>
      </c>
      <c r="P997" t="str">
        <f>"85027-7015"</f>
        <v>85027-7015</v>
      </c>
      <c r="Q997" t="s">
        <v>113</v>
      </c>
      <c r="R997" t="str">
        <f>"206-02-009"</f>
        <v>206-02-009</v>
      </c>
      <c r="S997" t="s">
        <v>6461</v>
      </c>
      <c r="T997" t="s">
        <v>6461</v>
      </c>
      <c r="U997">
        <v>1670</v>
      </c>
      <c r="V997">
        <v>0</v>
      </c>
      <c r="W997">
        <v>3</v>
      </c>
      <c r="X997">
        <v>2000</v>
      </c>
      <c r="Z997">
        <v>1</v>
      </c>
      <c r="AA997" t="s">
        <v>26</v>
      </c>
      <c r="AB997">
        <v>0</v>
      </c>
      <c r="AC997" t="s">
        <v>115</v>
      </c>
      <c r="AD997">
        <v>2</v>
      </c>
      <c r="AE997" t="s">
        <v>115</v>
      </c>
      <c r="AF997">
        <v>0</v>
      </c>
      <c r="AG997">
        <v>0</v>
      </c>
      <c r="AH997" t="s">
        <v>116</v>
      </c>
      <c r="AI997" s="1">
        <v>46993</v>
      </c>
      <c r="AJ997" s="2">
        <v>0.15</v>
      </c>
      <c r="AK997" s="1">
        <v>320634</v>
      </c>
      <c r="AL997" t="s">
        <v>117</v>
      </c>
      <c r="AM997" t="s">
        <v>1302</v>
      </c>
      <c r="AN997">
        <v>10604</v>
      </c>
      <c r="AO997">
        <v>0.24</v>
      </c>
      <c r="AP997">
        <v>1</v>
      </c>
      <c r="AR997">
        <v>1</v>
      </c>
      <c r="AS997" s="1">
        <v>23380</v>
      </c>
      <c r="AT997" s="1">
        <v>4670</v>
      </c>
      <c r="AU997" s="1">
        <v>18710</v>
      </c>
      <c r="AV997">
        <v>80.03</v>
      </c>
      <c r="AX997" s="1">
        <v>1965.18</v>
      </c>
      <c r="AY997" t="s">
        <v>5701</v>
      </c>
      <c r="AZ997" t="s">
        <v>3049</v>
      </c>
      <c r="BA997" t="s">
        <v>1386</v>
      </c>
      <c r="BE997" s="3">
        <v>42395</v>
      </c>
      <c r="BF997" s="1">
        <v>264900</v>
      </c>
      <c r="BG997" t="s">
        <v>6609</v>
      </c>
      <c r="BH997" s="1">
        <v>158.62</v>
      </c>
      <c r="BI997" s="1">
        <v>273641</v>
      </c>
      <c r="BJ997" s="3">
        <v>42395</v>
      </c>
      <c r="BK997" t="s">
        <v>123</v>
      </c>
      <c r="BL997" t="str">
        <f>"2016.50994"</f>
        <v>2016.50994</v>
      </c>
      <c r="BM997" t="s">
        <v>3453</v>
      </c>
      <c r="BO997" t="s">
        <v>6610</v>
      </c>
      <c r="BS997">
        <v>30</v>
      </c>
      <c r="BW997" t="str">
        <f>""</f>
        <v/>
      </c>
      <c r="CH997" t="str">
        <f>""</f>
        <v/>
      </c>
      <c r="CS997" t="str">
        <f>""</f>
        <v/>
      </c>
    </row>
    <row r="998" spans="1:97" x14ac:dyDescent="0.25">
      <c r="A998" t="s">
        <v>815</v>
      </c>
      <c r="B998" t="s">
        <v>6611</v>
      </c>
      <c r="C998" t="s">
        <v>945</v>
      </c>
      <c r="D998" t="s">
        <v>6611</v>
      </c>
      <c r="E998" t="s">
        <v>6612</v>
      </c>
      <c r="F998" t="s">
        <v>108</v>
      </c>
      <c r="H998" t="s">
        <v>6613</v>
      </c>
      <c r="I998" t="s">
        <v>632</v>
      </c>
      <c r="J998" t="s">
        <v>111</v>
      </c>
      <c r="K998" t="str">
        <f>"85379"</f>
        <v>85379</v>
      </c>
      <c r="L998" t="s">
        <v>4751</v>
      </c>
      <c r="M998" t="s">
        <v>6613</v>
      </c>
      <c r="N998" t="s">
        <v>632</v>
      </c>
      <c r="O998" t="s">
        <v>111</v>
      </c>
      <c r="P998" t="str">
        <f>"85379-5008"</f>
        <v>85379-5008</v>
      </c>
      <c r="Q998" t="s">
        <v>113</v>
      </c>
      <c r="R998" t="str">
        <f>"509-11-109"</f>
        <v>509-11-109</v>
      </c>
      <c r="S998" t="s">
        <v>6614</v>
      </c>
      <c r="U998">
        <v>1866</v>
      </c>
      <c r="V998">
        <v>0</v>
      </c>
      <c r="W998">
        <v>4</v>
      </c>
      <c r="X998">
        <v>2003</v>
      </c>
      <c r="Z998">
        <v>2</v>
      </c>
      <c r="AB998">
        <v>0</v>
      </c>
      <c r="AC998" t="s">
        <v>115</v>
      </c>
      <c r="AD998">
        <v>2</v>
      </c>
      <c r="AE998" t="s">
        <v>115</v>
      </c>
      <c r="AF998">
        <v>0</v>
      </c>
      <c r="AG998">
        <v>0</v>
      </c>
      <c r="AH998" t="s">
        <v>116</v>
      </c>
      <c r="AI998" s="1">
        <v>18760</v>
      </c>
      <c r="AJ998" s="2">
        <v>7.0000000000000007E-2</v>
      </c>
      <c r="AK998" s="1">
        <v>253759</v>
      </c>
      <c r="AL998" t="s">
        <v>117</v>
      </c>
      <c r="AM998" t="s">
        <v>118</v>
      </c>
      <c r="AN998">
        <v>9678</v>
      </c>
      <c r="AO998">
        <v>0.22</v>
      </c>
      <c r="AP998">
        <v>1</v>
      </c>
      <c r="AR998">
        <v>1</v>
      </c>
      <c r="AS998" s="1">
        <v>17220</v>
      </c>
      <c r="AT998" s="1">
        <v>3440</v>
      </c>
      <c r="AU998" s="1">
        <v>13780</v>
      </c>
      <c r="AV998">
        <v>80.02</v>
      </c>
      <c r="AX998" s="1">
        <v>1253.5999999999999</v>
      </c>
      <c r="AY998" t="s">
        <v>6615</v>
      </c>
      <c r="AZ998" t="s">
        <v>6615</v>
      </c>
      <c r="BA998" t="s">
        <v>5061</v>
      </c>
      <c r="BE998" s="3">
        <v>42072</v>
      </c>
      <c r="BF998" s="1">
        <v>170000</v>
      </c>
      <c r="BG998" t="s">
        <v>6616</v>
      </c>
      <c r="BH998" s="1">
        <v>91.1</v>
      </c>
      <c r="BI998" s="1">
        <v>234999</v>
      </c>
      <c r="BJ998" s="3">
        <v>43609</v>
      </c>
      <c r="BK998" t="s">
        <v>123</v>
      </c>
      <c r="BL998" t="str">
        <f>"2019.382658"</f>
        <v>2019.382658</v>
      </c>
      <c r="BM998" t="s">
        <v>2359</v>
      </c>
      <c r="BN998" t="s">
        <v>739</v>
      </c>
      <c r="BO998" t="s">
        <v>6617</v>
      </c>
      <c r="BP998" t="s">
        <v>6618</v>
      </c>
      <c r="BR998" t="s">
        <v>139</v>
      </c>
      <c r="BW998" t="str">
        <f>""</f>
        <v/>
      </c>
      <c r="CH998" t="str">
        <f>""</f>
        <v/>
      </c>
      <c r="CS998" t="str">
        <f>""</f>
        <v/>
      </c>
    </row>
    <row r="999" spans="1:97" x14ac:dyDescent="0.25">
      <c r="A999" t="s">
        <v>6619</v>
      </c>
      <c r="B999" t="s">
        <v>6620</v>
      </c>
      <c r="C999" t="s">
        <v>154</v>
      </c>
      <c r="D999" t="s">
        <v>6620</v>
      </c>
      <c r="E999" t="s">
        <v>6621</v>
      </c>
      <c r="F999" t="s">
        <v>108</v>
      </c>
      <c r="H999" t="s">
        <v>6622</v>
      </c>
      <c r="I999" t="s">
        <v>144</v>
      </c>
      <c r="J999" t="s">
        <v>111</v>
      </c>
      <c r="K999" t="str">
        <f>"85326"</f>
        <v>85326</v>
      </c>
      <c r="L999" t="s">
        <v>6481</v>
      </c>
      <c r="M999" t="s">
        <v>6622</v>
      </c>
      <c r="N999" t="s">
        <v>144</v>
      </c>
      <c r="O999" t="s">
        <v>111</v>
      </c>
      <c r="P999" t="str">
        <f>"85326-2982"</f>
        <v>85326-2982</v>
      </c>
      <c r="Q999" t="s">
        <v>113</v>
      </c>
      <c r="R999" t="str">
        <f>"504-26-769"</f>
        <v>504-26-769</v>
      </c>
      <c r="S999" t="s">
        <v>6623</v>
      </c>
      <c r="U999">
        <v>2596</v>
      </c>
      <c r="V999">
        <v>0</v>
      </c>
      <c r="W999">
        <v>4</v>
      </c>
      <c r="X999">
        <v>2005</v>
      </c>
      <c r="Z999">
        <v>2</v>
      </c>
      <c r="AB999">
        <v>0</v>
      </c>
      <c r="AC999" t="s">
        <v>115</v>
      </c>
      <c r="AD999">
        <v>3</v>
      </c>
      <c r="AE999" t="s">
        <v>115</v>
      </c>
      <c r="AF999">
        <v>0</v>
      </c>
      <c r="AG999">
        <v>0</v>
      </c>
      <c r="AH999" t="s">
        <v>116</v>
      </c>
      <c r="AI999" s="1">
        <v>61698</v>
      </c>
      <c r="AJ999" s="2">
        <v>0.23</v>
      </c>
      <c r="AK999" s="1">
        <v>264166</v>
      </c>
      <c r="AL999" t="s">
        <v>117</v>
      </c>
      <c r="AM999" t="s">
        <v>118</v>
      </c>
      <c r="AN999">
        <v>9998</v>
      </c>
      <c r="AO999">
        <v>0.23</v>
      </c>
      <c r="AR999">
        <v>1</v>
      </c>
      <c r="AS999" s="1">
        <v>18770</v>
      </c>
      <c r="AT999" s="1">
        <v>3750</v>
      </c>
      <c r="AU999" s="1">
        <v>15020</v>
      </c>
      <c r="AV999">
        <v>80.02</v>
      </c>
      <c r="AX999" s="1">
        <v>2400.62</v>
      </c>
      <c r="AY999" t="s">
        <v>6624</v>
      </c>
      <c r="AZ999" t="s">
        <v>6624</v>
      </c>
      <c r="BA999" t="s">
        <v>5025</v>
      </c>
      <c r="BE999" s="3">
        <v>41774</v>
      </c>
      <c r="BF999" s="1">
        <v>170000</v>
      </c>
      <c r="BG999" t="s">
        <v>6625</v>
      </c>
      <c r="BH999" s="1">
        <v>65.489999999999995</v>
      </c>
      <c r="BI999" s="1">
        <v>202468</v>
      </c>
      <c r="BJ999" s="3">
        <v>42902</v>
      </c>
      <c r="BK999" t="s">
        <v>123</v>
      </c>
      <c r="BL999" t="str">
        <f>"2017.440982"</f>
        <v>2017.440982</v>
      </c>
      <c r="BM999" t="s">
        <v>2643</v>
      </c>
      <c r="BO999" t="s">
        <v>6626</v>
      </c>
      <c r="BS999">
        <v>30</v>
      </c>
      <c r="BW999" t="str">
        <f>""</f>
        <v/>
      </c>
      <c r="CH999" t="str">
        <f>""</f>
        <v/>
      </c>
      <c r="CS999" t="str">
        <f>""</f>
        <v/>
      </c>
    </row>
    <row r="1000" spans="1:97" x14ac:dyDescent="0.25">
      <c r="A1000" t="s">
        <v>6627</v>
      </c>
      <c r="B1000" t="s">
        <v>6628</v>
      </c>
      <c r="E1000" t="s">
        <v>6629</v>
      </c>
      <c r="F1000" t="s">
        <v>108</v>
      </c>
      <c r="H1000" t="s">
        <v>6630</v>
      </c>
      <c r="I1000" t="s">
        <v>390</v>
      </c>
      <c r="J1000" t="s">
        <v>111</v>
      </c>
      <c r="K1000" t="str">
        <f>"85048"</f>
        <v>85048</v>
      </c>
      <c r="L1000" t="s">
        <v>6631</v>
      </c>
      <c r="M1000" t="s">
        <v>6630</v>
      </c>
      <c r="N1000" t="s">
        <v>390</v>
      </c>
      <c r="O1000" t="s">
        <v>111</v>
      </c>
      <c r="P1000" t="str">
        <f>"85048"</f>
        <v>85048</v>
      </c>
      <c r="Q1000" t="s">
        <v>113</v>
      </c>
      <c r="R1000" t="str">
        <f>"307-03-842"</f>
        <v>307-03-842</v>
      </c>
      <c r="S1000" t="s">
        <v>6632</v>
      </c>
      <c r="T1000" t="s">
        <v>6632</v>
      </c>
      <c r="U1000">
        <v>1880</v>
      </c>
      <c r="V1000">
        <v>0</v>
      </c>
      <c r="W1000">
        <v>3</v>
      </c>
      <c r="X1000">
        <v>1999</v>
      </c>
      <c r="Z1000">
        <v>2</v>
      </c>
      <c r="AB1000">
        <v>0</v>
      </c>
      <c r="AC1000" t="s">
        <v>115</v>
      </c>
      <c r="AD1000">
        <v>2</v>
      </c>
      <c r="AE1000" t="s">
        <v>115</v>
      </c>
      <c r="AF1000">
        <v>0</v>
      </c>
      <c r="AG1000">
        <v>0</v>
      </c>
      <c r="AH1000" t="s">
        <v>116</v>
      </c>
      <c r="AI1000" s="1">
        <v>65772</v>
      </c>
      <c r="AJ1000" s="2">
        <v>0.2</v>
      </c>
      <c r="AK1000" s="1">
        <v>328808</v>
      </c>
      <c r="AL1000" t="s">
        <v>117</v>
      </c>
      <c r="AM1000" t="s">
        <v>118</v>
      </c>
      <c r="AN1000">
        <v>4790</v>
      </c>
      <c r="AO1000">
        <v>0.11</v>
      </c>
      <c r="AP1000">
        <v>1</v>
      </c>
      <c r="AR1000">
        <v>1</v>
      </c>
      <c r="AS1000" s="1">
        <v>23060</v>
      </c>
      <c r="AT1000" s="1">
        <v>4610</v>
      </c>
      <c r="AU1000" s="1">
        <v>18450</v>
      </c>
      <c r="AV1000">
        <v>80.010000000000005</v>
      </c>
      <c r="AX1000" s="1">
        <v>2071.38</v>
      </c>
      <c r="AY1000" t="s">
        <v>6633</v>
      </c>
      <c r="AZ1000" t="s">
        <v>929</v>
      </c>
      <c r="BA1000" t="s">
        <v>930</v>
      </c>
      <c r="BE1000" s="3">
        <v>42446</v>
      </c>
      <c r="BF1000" s="1">
        <v>257500</v>
      </c>
      <c r="BG1000" t="s">
        <v>6634</v>
      </c>
      <c r="BH1000" s="1">
        <v>136.97</v>
      </c>
      <c r="BI1000" s="1">
        <v>263036</v>
      </c>
      <c r="BJ1000" s="3">
        <v>42446</v>
      </c>
      <c r="BK1000" t="s">
        <v>123</v>
      </c>
      <c r="BL1000" t="str">
        <f>"2016.173397"</f>
        <v>2016.173397</v>
      </c>
      <c r="BM1000" t="s">
        <v>2290</v>
      </c>
      <c r="BO1000" t="s">
        <v>6635</v>
      </c>
      <c r="BS1000">
        <v>30</v>
      </c>
      <c r="BW1000" t="str">
        <f>""</f>
        <v/>
      </c>
      <c r="CH1000" t="str">
        <f>""</f>
        <v/>
      </c>
      <c r="CS1000" t="str">
        <f>""</f>
        <v/>
      </c>
    </row>
    <row r="1001" spans="1:97" x14ac:dyDescent="0.25">
      <c r="A1001" t="s">
        <v>507</v>
      </c>
      <c r="B1001" t="s">
        <v>6636</v>
      </c>
      <c r="E1001" t="s">
        <v>6637</v>
      </c>
      <c r="F1001" t="s">
        <v>108</v>
      </c>
      <c r="H1001" t="s">
        <v>6638</v>
      </c>
      <c r="I1001" t="s">
        <v>167</v>
      </c>
      <c r="J1001" t="s">
        <v>111</v>
      </c>
      <c r="K1001" t="str">
        <f>"85339"</f>
        <v>85339</v>
      </c>
      <c r="L1001" t="s">
        <v>316</v>
      </c>
      <c r="M1001" t="s">
        <v>6638</v>
      </c>
      <c r="N1001" t="s">
        <v>167</v>
      </c>
      <c r="O1001" t="s">
        <v>111</v>
      </c>
      <c r="P1001" t="str">
        <f>"85339-2268"</f>
        <v>85339-2268</v>
      </c>
      <c r="Q1001" t="s">
        <v>113</v>
      </c>
      <c r="R1001" t="str">
        <f>"104-91-140"</f>
        <v>104-91-140</v>
      </c>
      <c r="S1001" t="s">
        <v>6639</v>
      </c>
      <c r="T1001" t="s">
        <v>6640</v>
      </c>
      <c r="U1001">
        <v>2450</v>
      </c>
      <c r="V1001">
        <v>0</v>
      </c>
      <c r="W1001">
        <v>3</v>
      </c>
      <c r="X1001">
        <v>2003</v>
      </c>
      <c r="Z1001">
        <v>1</v>
      </c>
      <c r="AA1001" t="s">
        <v>26</v>
      </c>
      <c r="AB1001">
        <v>0</v>
      </c>
      <c r="AC1001" t="s">
        <v>115</v>
      </c>
      <c r="AD1001">
        <v>2</v>
      </c>
      <c r="AE1001" t="s">
        <v>115</v>
      </c>
      <c r="AF1001">
        <v>0</v>
      </c>
      <c r="AG1001">
        <v>0</v>
      </c>
      <c r="AH1001" t="s">
        <v>116</v>
      </c>
      <c r="AI1001" s="1">
        <v>45227</v>
      </c>
      <c r="AJ1001" s="2">
        <v>0.14000000000000001</v>
      </c>
      <c r="AK1001" s="1">
        <v>325986</v>
      </c>
      <c r="AL1001" t="s">
        <v>117</v>
      </c>
      <c r="AM1001" t="s">
        <v>171</v>
      </c>
      <c r="AN1001">
        <v>8697</v>
      </c>
      <c r="AO1001">
        <v>0.2</v>
      </c>
      <c r="AP1001">
        <v>1</v>
      </c>
      <c r="AR1001">
        <v>1</v>
      </c>
      <c r="AS1001" s="1">
        <v>22980</v>
      </c>
      <c r="AT1001" s="1">
        <v>4590</v>
      </c>
      <c r="AU1001" s="1">
        <v>18390</v>
      </c>
      <c r="AV1001">
        <v>80.03</v>
      </c>
      <c r="AX1001" s="1">
        <v>2928.74</v>
      </c>
      <c r="AY1001" t="s">
        <v>805</v>
      </c>
      <c r="AZ1001" t="s">
        <v>806</v>
      </c>
      <c r="BA1001" t="s">
        <v>173</v>
      </c>
      <c r="BE1001" s="3">
        <v>42373</v>
      </c>
      <c r="BF1001" s="1">
        <v>252000</v>
      </c>
      <c r="BG1001" t="s">
        <v>6641</v>
      </c>
      <c r="BH1001" s="1">
        <v>102.86</v>
      </c>
      <c r="BI1001" s="1">
        <v>280759</v>
      </c>
      <c r="BJ1001" s="3">
        <v>42954</v>
      </c>
      <c r="BK1001" t="s">
        <v>123</v>
      </c>
      <c r="BL1001" t="str">
        <f>"2017.577225"</f>
        <v>2017.577225</v>
      </c>
      <c r="BM1001" t="s">
        <v>340</v>
      </c>
      <c r="BO1001" t="s">
        <v>6642</v>
      </c>
      <c r="BS1001">
        <v>30</v>
      </c>
      <c r="BW1001" t="str">
        <f>""</f>
        <v/>
      </c>
      <c r="CH1001" t="str">
        <f>""</f>
        <v/>
      </c>
      <c r="CS1001" t="str">
        <f>""</f>
        <v/>
      </c>
    </row>
    <row r="1002" spans="1:97" x14ac:dyDescent="0.25">
      <c r="A1002" t="s">
        <v>996</v>
      </c>
      <c r="B1002" t="s">
        <v>6643</v>
      </c>
      <c r="C1002" t="s">
        <v>104</v>
      </c>
      <c r="D1002" t="s">
        <v>6643</v>
      </c>
      <c r="E1002" t="s">
        <v>6644</v>
      </c>
      <c r="F1002" t="s">
        <v>108</v>
      </c>
      <c r="H1002" t="s">
        <v>6645</v>
      </c>
      <c r="I1002" t="s">
        <v>6646</v>
      </c>
      <c r="J1002" t="s">
        <v>111</v>
      </c>
      <c r="K1002" t="str">
        <f>"85086"</f>
        <v>85086</v>
      </c>
      <c r="L1002" t="s">
        <v>189</v>
      </c>
      <c r="M1002" t="s">
        <v>6645</v>
      </c>
      <c r="N1002" t="s">
        <v>6646</v>
      </c>
      <c r="O1002" t="s">
        <v>111</v>
      </c>
      <c r="P1002" t="str">
        <f>"85086-2536"</f>
        <v>85086-2536</v>
      </c>
      <c r="Q1002" t="s">
        <v>113</v>
      </c>
      <c r="R1002" t="str">
        <f>"203-10-378"</f>
        <v>203-10-378</v>
      </c>
      <c r="S1002" t="s">
        <v>6647</v>
      </c>
      <c r="U1002">
        <v>2140</v>
      </c>
      <c r="V1002">
        <v>0</v>
      </c>
      <c r="W1002">
        <v>4</v>
      </c>
      <c r="X1002">
        <v>2000</v>
      </c>
      <c r="Z1002">
        <v>2</v>
      </c>
      <c r="AB1002">
        <v>0</v>
      </c>
      <c r="AC1002" t="s">
        <v>115</v>
      </c>
      <c r="AD1002">
        <v>2</v>
      </c>
      <c r="AE1002" t="s">
        <v>115</v>
      </c>
      <c r="AF1002">
        <v>0</v>
      </c>
      <c r="AG1002">
        <v>0</v>
      </c>
      <c r="AH1002" t="s">
        <v>116</v>
      </c>
      <c r="AI1002" s="1">
        <v>82182</v>
      </c>
      <c r="AJ1002" s="2">
        <v>0.27</v>
      </c>
      <c r="AK1002" s="1">
        <v>308409</v>
      </c>
      <c r="AL1002" t="s">
        <v>117</v>
      </c>
      <c r="AM1002" t="s">
        <v>5379</v>
      </c>
      <c r="AN1002">
        <v>5759</v>
      </c>
      <c r="AO1002">
        <v>0.13</v>
      </c>
      <c r="AP1002">
        <v>1</v>
      </c>
      <c r="AR1002">
        <v>1</v>
      </c>
      <c r="AS1002" s="1">
        <v>21610</v>
      </c>
      <c r="AT1002" s="1">
        <v>4320</v>
      </c>
      <c r="AU1002" s="1">
        <v>17290</v>
      </c>
      <c r="AV1002">
        <v>80.010000000000005</v>
      </c>
      <c r="AX1002" s="1">
        <v>2287.7600000000002</v>
      </c>
      <c r="AY1002" t="s">
        <v>6648</v>
      </c>
      <c r="AZ1002" t="s">
        <v>6648</v>
      </c>
      <c r="BA1002" t="s">
        <v>378</v>
      </c>
      <c r="BE1002" s="3">
        <v>41887</v>
      </c>
      <c r="BF1002" s="1">
        <v>219000</v>
      </c>
      <c r="BG1002" t="s">
        <v>6649</v>
      </c>
      <c r="BH1002" s="1">
        <v>102.34</v>
      </c>
      <c r="BI1002" s="1">
        <v>226227</v>
      </c>
      <c r="BJ1002" s="3">
        <v>41887</v>
      </c>
      <c r="BK1002" t="s">
        <v>123</v>
      </c>
      <c r="BL1002" t="str">
        <f>"2014.588434"</f>
        <v>2014.588434</v>
      </c>
      <c r="BM1002" t="s">
        <v>724</v>
      </c>
      <c r="BO1002" t="s">
        <v>6650</v>
      </c>
      <c r="BS1002">
        <v>30</v>
      </c>
      <c r="BW1002" t="str">
        <f>""</f>
        <v/>
      </c>
      <c r="CH1002" t="str">
        <f>""</f>
        <v/>
      </c>
      <c r="CS1002" t="str">
        <f>""</f>
        <v/>
      </c>
    </row>
    <row r="1003" spans="1:97" x14ac:dyDescent="0.25">
      <c r="A1003" t="s">
        <v>589</v>
      </c>
      <c r="B1003" t="s">
        <v>6651</v>
      </c>
      <c r="E1003" t="s">
        <v>6652</v>
      </c>
      <c r="F1003" t="s">
        <v>108</v>
      </c>
      <c r="H1003" t="s">
        <v>6653</v>
      </c>
      <c r="I1003" t="s">
        <v>110</v>
      </c>
      <c r="J1003" t="s">
        <v>111</v>
      </c>
      <c r="K1003" t="str">
        <f>"85226"</f>
        <v>85226</v>
      </c>
      <c r="L1003" t="s">
        <v>5084</v>
      </c>
      <c r="M1003" t="s">
        <v>6653</v>
      </c>
      <c r="N1003" t="s">
        <v>110</v>
      </c>
      <c r="O1003" t="s">
        <v>111</v>
      </c>
      <c r="P1003" t="str">
        <f>"85226-3558"</f>
        <v>85226-3558</v>
      </c>
      <c r="Q1003" t="s">
        <v>113</v>
      </c>
      <c r="R1003" t="str">
        <f>"301-88-219"</f>
        <v>301-88-219</v>
      </c>
      <c r="S1003" t="s">
        <v>6654</v>
      </c>
      <c r="T1003" t="s">
        <v>6655</v>
      </c>
      <c r="U1003">
        <v>1536</v>
      </c>
      <c r="V1003">
        <v>0</v>
      </c>
      <c r="W1003">
        <v>3</v>
      </c>
      <c r="X1003">
        <v>1985</v>
      </c>
      <c r="Z1003">
        <v>1</v>
      </c>
      <c r="AB1003">
        <v>0</v>
      </c>
      <c r="AC1003" t="s">
        <v>115</v>
      </c>
      <c r="AD1003">
        <v>2</v>
      </c>
      <c r="AE1003" t="s">
        <v>115</v>
      </c>
      <c r="AF1003">
        <v>0</v>
      </c>
      <c r="AG1003">
        <v>0</v>
      </c>
      <c r="AH1003" t="s">
        <v>116</v>
      </c>
      <c r="AI1003" s="1">
        <v>70292</v>
      </c>
      <c r="AJ1003" s="2">
        <v>0.23</v>
      </c>
      <c r="AK1003" s="1">
        <v>310292</v>
      </c>
      <c r="AL1003" t="s">
        <v>117</v>
      </c>
      <c r="AM1003" t="s">
        <v>5077</v>
      </c>
      <c r="AN1003">
        <v>7510</v>
      </c>
      <c r="AO1003">
        <v>0.17</v>
      </c>
      <c r="AP1003">
        <v>1</v>
      </c>
      <c r="AR1003">
        <v>1</v>
      </c>
      <c r="AS1003" s="1">
        <v>21130</v>
      </c>
      <c r="AT1003" s="1">
        <v>4220</v>
      </c>
      <c r="AU1003" s="1">
        <v>16910</v>
      </c>
      <c r="AV1003">
        <v>80.03</v>
      </c>
      <c r="AX1003" s="1">
        <v>1798.5</v>
      </c>
      <c r="AY1003" t="s">
        <v>5200</v>
      </c>
      <c r="AZ1003" t="s">
        <v>5201</v>
      </c>
      <c r="BA1003" t="s">
        <v>5328</v>
      </c>
      <c r="BE1003" s="3">
        <v>42300</v>
      </c>
      <c r="BF1003" s="1">
        <v>240000</v>
      </c>
      <c r="BG1003" t="s">
        <v>5716</v>
      </c>
      <c r="BH1003" s="1">
        <v>156.25</v>
      </c>
      <c r="BI1003" s="1">
        <v>240000</v>
      </c>
      <c r="BJ1003" s="3">
        <v>42300</v>
      </c>
      <c r="BK1003" t="s">
        <v>123</v>
      </c>
      <c r="BL1003" t="str">
        <f>"2015.765166"</f>
        <v>2015.765166</v>
      </c>
      <c r="BM1003" t="s">
        <v>2489</v>
      </c>
      <c r="BO1003" t="s">
        <v>6656</v>
      </c>
      <c r="BS1003">
        <v>30</v>
      </c>
      <c r="BW1003" t="str">
        <f>""</f>
        <v/>
      </c>
      <c r="CH1003" t="str">
        <f>""</f>
        <v/>
      </c>
      <c r="CS1003" t="str">
        <f>""</f>
        <v/>
      </c>
    </row>
    <row r="1004" spans="1:97" x14ac:dyDescent="0.25">
      <c r="B1004" t="s">
        <v>6657</v>
      </c>
      <c r="E1004" t="s">
        <v>6658</v>
      </c>
      <c r="F1004" t="s">
        <v>108</v>
      </c>
      <c r="H1004" t="s">
        <v>6659</v>
      </c>
      <c r="I1004" t="s">
        <v>225</v>
      </c>
      <c r="J1004" t="s">
        <v>111</v>
      </c>
      <c r="K1004" t="str">
        <f>"85215"</f>
        <v>85215</v>
      </c>
      <c r="L1004" t="s">
        <v>500</v>
      </c>
      <c r="M1004" t="s">
        <v>6659</v>
      </c>
      <c r="N1004" t="s">
        <v>225</v>
      </c>
      <c r="O1004" t="s">
        <v>111</v>
      </c>
      <c r="P1004" t="str">
        <f>"85215-2916"</f>
        <v>85215-2916</v>
      </c>
      <c r="Q1004" t="s">
        <v>113</v>
      </c>
      <c r="R1004" t="str">
        <f>"141-71-131"</f>
        <v>141-71-131</v>
      </c>
      <c r="S1004" t="s">
        <v>6660</v>
      </c>
      <c r="T1004" t="s">
        <v>6661</v>
      </c>
      <c r="U1004">
        <v>1498</v>
      </c>
      <c r="V1004">
        <v>0</v>
      </c>
      <c r="W1004">
        <v>2</v>
      </c>
      <c r="X1004">
        <v>1979</v>
      </c>
      <c r="Z1004">
        <v>1</v>
      </c>
      <c r="AB1004">
        <v>0</v>
      </c>
      <c r="AC1004" t="s">
        <v>5188</v>
      </c>
      <c r="AD1004">
        <v>2</v>
      </c>
      <c r="AE1004" t="s">
        <v>5188</v>
      </c>
      <c r="AF1004">
        <v>0</v>
      </c>
      <c r="AG1004">
        <v>0</v>
      </c>
      <c r="AH1004" t="s">
        <v>116</v>
      </c>
      <c r="AI1004" s="1">
        <v>58495</v>
      </c>
      <c r="AJ1004" s="2">
        <v>0.21</v>
      </c>
      <c r="AK1004" s="1">
        <v>284129</v>
      </c>
      <c r="AL1004" t="s">
        <v>117</v>
      </c>
      <c r="AM1004" t="s">
        <v>917</v>
      </c>
      <c r="AN1004">
        <v>18009</v>
      </c>
      <c r="AO1004">
        <v>0.41</v>
      </c>
      <c r="AP1004">
        <v>1</v>
      </c>
      <c r="AR1004">
        <v>1</v>
      </c>
      <c r="AS1004" s="1">
        <v>19030</v>
      </c>
      <c r="AT1004" s="1">
        <v>3800</v>
      </c>
      <c r="AU1004" s="1">
        <v>15230</v>
      </c>
      <c r="AV1004">
        <v>80.03</v>
      </c>
      <c r="AX1004" s="1">
        <v>1292.58</v>
      </c>
      <c r="AY1004" t="s">
        <v>6662</v>
      </c>
      <c r="AZ1004" t="s">
        <v>5275</v>
      </c>
      <c r="BA1004" t="s">
        <v>3119</v>
      </c>
      <c r="BB1004" s="3">
        <v>42543</v>
      </c>
      <c r="BD1004" t="s">
        <v>458</v>
      </c>
      <c r="BE1004" s="3">
        <v>42195</v>
      </c>
      <c r="BF1004" s="1">
        <v>234000</v>
      </c>
      <c r="BG1004" t="s">
        <v>6663</v>
      </c>
      <c r="BH1004" s="1">
        <v>156.21</v>
      </c>
      <c r="BI1004" s="1">
        <v>225634</v>
      </c>
      <c r="BJ1004" s="3">
        <v>42195</v>
      </c>
      <c r="BK1004" t="s">
        <v>123</v>
      </c>
      <c r="BL1004" t="str">
        <f>"2015.499187"</f>
        <v>2015.499187</v>
      </c>
      <c r="BM1004" t="s">
        <v>4738</v>
      </c>
      <c r="BO1004" t="s">
        <v>6664</v>
      </c>
      <c r="BS1004">
        <v>30</v>
      </c>
      <c r="BW1004" t="str">
        <f>""</f>
        <v/>
      </c>
      <c r="CH1004" t="str">
        <f>""</f>
        <v/>
      </c>
      <c r="CS1004" t="str">
        <f>""</f>
        <v/>
      </c>
    </row>
    <row r="1005" spans="1:97" x14ac:dyDescent="0.25">
      <c r="A1005" t="s">
        <v>1664</v>
      </c>
      <c r="B1005" t="s">
        <v>1577</v>
      </c>
      <c r="C1005" t="s">
        <v>2184</v>
      </c>
      <c r="D1005" t="s">
        <v>1577</v>
      </c>
      <c r="E1005" t="s">
        <v>6665</v>
      </c>
      <c r="F1005" t="s">
        <v>108</v>
      </c>
      <c r="H1005" t="s">
        <v>6666</v>
      </c>
      <c r="I1005" t="s">
        <v>144</v>
      </c>
      <c r="J1005" t="s">
        <v>111</v>
      </c>
      <c r="K1005" t="str">
        <f>"85396"</f>
        <v>85396</v>
      </c>
      <c r="L1005" t="s">
        <v>6667</v>
      </c>
      <c r="M1005" t="s">
        <v>6666</v>
      </c>
      <c r="N1005" t="s">
        <v>144</v>
      </c>
      <c r="O1005" t="s">
        <v>111</v>
      </c>
      <c r="P1005" t="str">
        <f>"85396-1300"</f>
        <v>85396-1300</v>
      </c>
      <c r="Q1005" t="s">
        <v>113</v>
      </c>
      <c r="R1005" t="str">
        <f>"502-77-418"</f>
        <v>502-77-418</v>
      </c>
      <c r="S1005" t="s">
        <v>6668</v>
      </c>
      <c r="U1005">
        <v>2516</v>
      </c>
      <c r="V1005">
        <v>0</v>
      </c>
      <c r="W1005">
        <v>4</v>
      </c>
      <c r="X1005">
        <v>2016</v>
      </c>
      <c r="Z1005">
        <v>2</v>
      </c>
      <c r="AB1005">
        <v>0</v>
      </c>
      <c r="AC1005" t="s">
        <v>115</v>
      </c>
      <c r="AD1005">
        <v>2</v>
      </c>
      <c r="AE1005" t="s">
        <v>115</v>
      </c>
      <c r="AF1005">
        <v>0</v>
      </c>
      <c r="AG1005">
        <v>0</v>
      </c>
      <c r="AH1005" t="s">
        <v>116</v>
      </c>
      <c r="AI1005" s="1">
        <v>6205</v>
      </c>
      <c r="AJ1005" s="2">
        <v>0.02</v>
      </c>
      <c r="AK1005" s="1">
        <v>321058</v>
      </c>
      <c r="AL1005" t="s">
        <v>117</v>
      </c>
      <c r="AM1005" t="s">
        <v>118</v>
      </c>
      <c r="AN1005">
        <v>5367</v>
      </c>
      <c r="AO1005">
        <v>0.12</v>
      </c>
      <c r="AR1005">
        <v>1</v>
      </c>
      <c r="AS1005" s="1">
        <v>22930</v>
      </c>
      <c r="AT1005" s="1">
        <v>4580</v>
      </c>
      <c r="AU1005" s="1">
        <v>18350</v>
      </c>
      <c r="AV1005">
        <v>80.03</v>
      </c>
      <c r="AX1005" s="1">
        <v>2947.34</v>
      </c>
      <c r="AY1005" t="s">
        <v>217</v>
      </c>
      <c r="AZ1005" t="s">
        <v>217</v>
      </c>
      <c r="BA1005" t="s">
        <v>218</v>
      </c>
      <c r="BE1005" s="3">
        <v>42509</v>
      </c>
      <c r="BF1005" s="1">
        <v>273882</v>
      </c>
      <c r="BG1005" t="s">
        <v>6669</v>
      </c>
      <c r="BH1005" s="1">
        <v>108.86</v>
      </c>
      <c r="BI1005" s="1">
        <v>314853</v>
      </c>
      <c r="BJ1005" s="3">
        <v>42509</v>
      </c>
      <c r="BK1005" t="s">
        <v>123</v>
      </c>
      <c r="BL1005" t="str">
        <f>"2016.344496"</f>
        <v>2016.344496</v>
      </c>
      <c r="BM1005" t="s">
        <v>150</v>
      </c>
      <c r="BO1005" t="s">
        <v>6670</v>
      </c>
      <c r="BS1005">
        <v>30</v>
      </c>
      <c r="BW1005" t="str">
        <f>""</f>
        <v/>
      </c>
      <c r="CH1005" t="str">
        <f>""</f>
        <v/>
      </c>
      <c r="CS1005" t="str">
        <f>""</f>
        <v/>
      </c>
    </row>
    <row r="1006" spans="1:97" x14ac:dyDescent="0.25">
      <c r="A1006" t="s">
        <v>177</v>
      </c>
      <c r="B1006" t="s">
        <v>1144</v>
      </c>
      <c r="C1006" t="s">
        <v>6671</v>
      </c>
      <c r="D1006" t="s">
        <v>1144</v>
      </c>
      <c r="E1006" t="s">
        <v>6672</v>
      </c>
      <c r="F1006" t="s">
        <v>108</v>
      </c>
      <c r="H1006" t="s">
        <v>6673</v>
      </c>
      <c r="I1006" t="s">
        <v>3150</v>
      </c>
      <c r="J1006" t="s">
        <v>111</v>
      </c>
      <c r="K1006" t="str">
        <f>"85340"</f>
        <v>85340</v>
      </c>
      <c r="L1006" t="s">
        <v>2197</v>
      </c>
      <c r="M1006" t="s">
        <v>6673</v>
      </c>
      <c r="N1006" t="s">
        <v>3150</v>
      </c>
      <c r="O1006" t="s">
        <v>111</v>
      </c>
      <c r="P1006" t="str">
        <f>"85340-3301"</f>
        <v>85340-3301</v>
      </c>
      <c r="Q1006" t="s">
        <v>113</v>
      </c>
      <c r="R1006" t="str">
        <f>"508-08-245"</f>
        <v>508-08-245</v>
      </c>
      <c r="S1006" t="s">
        <v>6674</v>
      </c>
      <c r="T1006" t="s">
        <v>6675</v>
      </c>
      <c r="U1006">
        <v>2432</v>
      </c>
      <c r="V1006">
        <v>0</v>
      </c>
      <c r="W1006">
        <v>4</v>
      </c>
      <c r="X1006">
        <v>2003</v>
      </c>
      <c r="Z1006">
        <v>1</v>
      </c>
      <c r="AA1006" t="s">
        <v>26</v>
      </c>
      <c r="AB1006">
        <v>0</v>
      </c>
      <c r="AC1006" t="s">
        <v>115</v>
      </c>
      <c r="AD1006">
        <v>3</v>
      </c>
      <c r="AE1006" t="s">
        <v>115</v>
      </c>
      <c r="AF1006">
        <v>0</v>
      </c>
      <c r="AG1006">
        <v>0</v>
      </c>
      <c r="AH1006" t="s">
        <v>116</v>
      </c>
      <c r="AI1006" s="1">
        <v>92241</v>
      </c>
      <c r="AJ1006" s="2">
        <v>0.26</v>
      </c>
      <c r="AK1006" s="1">
        <v>357953</v>
      </c>
      <c r="AL1006" t="s">
        <v>117</v>
      </c>
      <c r="AM1006" t="s">
        <v>191</v>
      </c>
      <c r="AN1006">
        <v>13272</v>
      </c>
      <c r="AO1006">
        <v>0.3</v>
      </c>
      <c r="AP1006">
        <v>1</v>
      </c>
      <c r="AR1006">
        <v>1</v>
      </c>
      <c r="AS1006" s="1">
        <v>25000</v>
      </c>
      <c r="AT1006" s="1">
        <v>5000</v>
      </c>
      <c r="AU1006" s="1">
        <v>20000</v>
      </c>
      <c r="AV1006">
        <v>80</v>
      </c>
      <c r="AX1006" s="1">
        <v>2058.1799999999998</v>
      </c>
      <c r="AY1006" t="s">
        <v>6580</v>
      </c>
      <c r="AZ1006" t="s">
        <v>3153</v>
      </c>
      <c r="BA1006" t="s">
        <v>3154</v>
      </c>
      <c r="BE1006" s="3">
        <v>41899</v>
      </c>
      <c r="BF1006" s="1">
        <v>272900</v>
      </c>
      <c r="BG1006" t="s">
        <v>6676</v>
      </c>
      <c r="BH1006" s="1">
        <v>112.21</v>
      </c>
      <c r="BI1006" s="1">
        <v>265712</v>
      </c>
      <c r="BJ1006" s="3">
        <v>42671</v>
      </c>
      <c r="BK1006" t="s">
        <v>123</v>
      </c>
      <c r="BL1006" t="str">
        <f>"2016.792969"</f>
        <v>2016.792969</v>
      </c>
      <c r="BM1006" t="s">
        <v>492</v>
      </c>
      <c r="BO1006" t="s">
        <v>6677</v>
      </c>
      <c r="BS1006">
        <v>30</v>
      </c>
      <c r="BW1006" t="str">
        <f>""</f>
        <v/>
      </c>
      <c r="CH1006" t="str">
        <f>""</f>
        <v/>
      </c>
      <c r="CS1006" t="str">
        <f>""</f>
        <v/>
      </c>
    </row>
    <row r="1007" spans="1:97" x14ac:dyDescent="0.25">
      <c r="A1007" t="s">
        <v>589</v>
      </c>
      <c r="B1007" t="s">
        <v>6678</v>
      </c>
      <c r="C1007" t="s">
        <v>6679</v>
      </c>
      <c r="D1007" t="s">
        <v>6678</v>
      </c>
      <c r="E1007" t="s">
        <v>6680</v>
      </c>
      <c r="F1007" t="s">
        <v>108</v>
      </c>
      <c r="H1007" t="s">
        <v>6681</v>
      </c>
      <c r="I1007" t="s">
        <v>2874</v>
      </c>
      <c r="J1007" t="s">
        <v>111</v>
      </c>
      <c r="K1007" t="str">
        <f>"85303"</f>
        <v>85303</v>
      </c>
      <c r="L1007" t="s">
        <v>6682</v>
      </c>
      <c r="M1007" t="s">
        <v>6681</v>
      </c>
      <c r="N1007" t="s">
        <v>2874</v>
      </c>
      <c r="O1007" t="s">
        <v>111</v>
      </c>
      <c r="P1007" t="str">
        <f>"85303-1827"</f>
        <v>85303-1827</v>
      </c>
      <c r="Q1007" t="s">
        <v>113</v>
      </c>
      <c r="R1007" t="str">
        <f>"142-27-205"</f>
        <v>142-27-205</v>
      </c>
      <c r="S1007" t="s">
        <v>6683</v>
      </c>
      <c r="T1007" t="s">
        <v>6683</v>
      </c>
      <c r="U1007">
        <v>2331</v>
      </c>
      <c r="V1007">
        <v>0</v>
      </c>
      <c r="W1007">
        <v>3</v>
      </c>
      <c r="X1007">
        <v>2002</v>
      </c>
      <c r="Z1007">
        <v>1</v>
      </c>
      <c r="AA1007" t="s">
        <v>26</v>
      </c>
      <c r="AB1007">
        <v>0</v>
      </c>
      <c r="AC1007" t="s">
        <v>115</v>
      </c>
      <c r="AD1007">
        <v>3</v>
      </c>
      <c r="AE1007" t="s">
        <v>115</v>
      </c>
      <c r="AF1007">
        <v>0</v>
      </c>
      <c r="AG1007">
        <v>0</v>
      </c>
      <c r="AH1007" t="s">
        <v>116</v>
      </c>
      <c r="AI1007" s="1">
        <v>63608</v>
      </c>
      <c r="AJ1007" s="2">
        <v>0.17</v>
      </c>
      <c r="AK1007" s="1">
        <v>375509</v>
      </c>
      <c r="AL1007" t="s">
        <v>117</v>
      </c>
      <c r="AM1007" t="s">
        <v>171</v>
      </c>
      <c r="AN1007">
        <v>17854</v>
      </c>
      <c r="AO1007">
        <v>0.41</v>
      </c>
      <c r="AP1007">
        <v>1</v>
      </c>
      <c r="AR1007">
        <v>1</v>
      </c>
      <c r="AS1007" s="1">
        <v>26660</v>
      </c>
      <c r="AT1007" s="1">
        <v>5330</v>
      </c>
      <c r="AU1007" s="1">
        <v>21330</v>
      </c>
      <c r="AV1007">
        <v>80.010000000000005</v>
      </c>
      <c r="AX1007" s="1">
        <v>2715.52</v>
      </c>
      <c r="AY1007" t="s">
        <v>6684</v>
      </c>
      <c r="AZ1007" t="s">
        <v>6684</v>
      </c>
      <c r="BA1007" t="s">
        <v>2878</v>
      </c>
      <c r="BE1007" s="3">
        <v>42299</v>
      </c>
      <c r="BF1007" s="1">
        <v>300000</v>
      </c>
      <c r="BG1007" t="s">
        <v>6685</v>
      </c>
      <c r="BH1007" s="1">
        <v>128.69999999999999</v>
      </c>
      <c r="BI1007" s="1">
        <v>311901</v>
      </c>
      <c r="BJ1007" s="3">
        <v>42461</v>
      </c>
      <c r="BK1007" t="s">
        <v>123</v>
      </c>
      <c r="BL1007" t="str">
        <f>"2016.216783"</f>
        <v>2016.216783</v>
      </c>
      <c r="BM1007" t="s">
        <v>1287</v>
      </c>
      <c r="BO1007" t="s">
        <v>6686</v>
      </c>
      <c r="BS1007">
        <v>30</v>
      </c>
      <c r="BW1007" t="str">
        <f>""</f>
        <v/>
      </c>
      <c r="CH1007" t="str">
        <f>""</f>
        <v/>
      </c>
      <c r="CS1007" t="str">
        <f>""</f>
        <v/>
      </c>
    </row>
    <row r="1008" spans="1:97" x14ac:dyDescent="0.25">
      <c r="A1008" t="s">
        <v>6687</v>
      </c>
      <c r="B1008" t="s">
        <v>6688</v>
      </c>
      <c r="E1008" t="s">
        <v>6689</v>
      </c>
      <c r="F1008" t="s">
        <v>108</v>
      </c>
      <c r="H1008" t="s">
        <v>6690</v>
      </c>
      <c r="I1008" t="s">
        <v>2874</v>
      </c>
      <c r="J1008" t="s">
        <v>111</v>
      </c>
      <c r="K1008" t="str">
        <f>"85303"</f>
        <v>85303</v>
      </c>
      <c r="L1008" t="s">
        <v>6691</v>
      </c>
      <c r="M1008" t="s">
        <v>6690</v>
      </c>
      <c r="N1008" t="s">
        <v>2874</v>
      </c>
      <c r="O1008" t="s">
        <v>111</v>
      </c>
      <c r="P1008" t="str">
        <f>"85303-2915"</f>
        <v>85303-2915</v>
      </c>
      <c r="Q1008" t="s">
        <v>113</v>
      </c>
      <c r="R1008" t="str">
        <f>"102-06-394"</f>
        <v>102-06-394</v>
      </c>
      <c r="S1008" t="s">
        <v>6692</v>
      </c>
      <c r="T1008" t="s">
        <v>6693</v>
      </c>
      <c r="U1008">
        <v>2136</v>
      </c>
      <c r="V1008">
        <v>0</v>
      </c>
      <c r="W1008">
        <v>4</v>
      </c>
      <c r="X1008">
        <v>1996</v>
      </c>
      <c r="Z1008">
        <v>2</v>
      </c>
      <c r="AA1008" t="s">
        <v>26</v>
      </c>
      <c r="AB1008">
        <v>0</v>
      </c>
      <c r="AC1008" t="s">
        <v>115</v>
      </c>
      <c r="AD1008">
        <v>2</v>
      </c>
      <c r="AE1008" t="s">
        <v>115</v>
      </c>
      <c r="AF1008">
        <v>0</v>
      </c>
      <c r="AG1008">
        <v>0</v>
      </c>
      <c r="AH1008" t="s">
        <v>116</v>
      </c>
      <c r="AI1008" s="1">
        <v>71078</v>
      </c>
      <c r="AJ1008" s="2">
        <v>0.25</v>
      </c>
      <c r="AK1008" s="1">
        <v>285593</v>
      </c>
      <c r="AL1008" t="s">
        <v>117</v>
      </c>
      <c r="AM1008" t="s">
        <v>191</v>
      </c>
      <c r="AN1008">
        <v>10041</v>
      </c>
      <c r="AO1008">
        <v>0.23</v>
      </c>
      <c r="AP1008">
        <v>1</v>
      </c>
      <c r="AR1008">
        <v>1</v>
      </c>
      <c r="AS1008" s="1">
        <v>19060</v>
      </c>
      <c r="AT1008" s="1">
        <v>3810</v>
      </c>
      <c r="AU1008" s="1">
        <v>15250</v>
      </c>
      <c r="AV1008">
        <v>80.010000000000005</v>
      </c>
      <c r="AX1008" s="1">
        <v>2062.1999999999998</v>
      </c>
      <c r="AY1008" t="s">
        <v>2877</v>
      </c>
      <c r="AZ1008" t="s">
        <v>2877</v>
      </c>
      <c r="BA1008" t="s">
        <v>2878</v>
      </c>
      <c r="BE1008" s="3">
        <v>41950</v>
      </c>
      <c r="BF1008" s="1">
        <v>210000</v>
      </c>
      <c r="BG1008" t="s">
        <v>6694</v>
      </c>
      <c r="BH1008" s="1">
        <v>98.31</v>
      </c>
      <c r="BI1008" s="1">
        <v>214515</v>
      </c>
      <c r="BJ1008" s="3">
        <v>41950</v>
      </c>
      <c r="BK1008" t="s">
        <v>123</v>
      </c>
      <c r="BL1008" t="str">
        <f>"2014.739698"</f>
        <v>2014.739698</v>
      </c>
      <c r="BM1008" t="s">
        <v>2716</v>
      </c>
      <c r="BO1008" t="s">
        <v>6695</v>
      </c>
      <c r="BS1008">
        <v>30</v>
      </c>
      <c r="BW1008" t="str">
        <f>""</f>
        <v/>
      </c>
      <c r="CH1008" t="str">
        <f>""</f>
        <v/>
      </c>
      <c r="CS1008" t="str">
        <f>""</f>
        <v/>
      </c>
    </row>
    <row r="1009" spans="1:97" x14ac:dyDescent="0.25">
      <c r="A1009" t="s">
        <v>6547</v>
      </c>
      <c r="B1009" t="s">
        <v>6696</v>
      </c>
      <c r="E1009" t="s">
        <v>6697</v>
      </c>
      <c r="F1009" t="s">
        <v>108</v>
      </c>
      <c r="H1009" t="s">
        <v>6698</v>
      </c>
      <c r="I1009" t="s">
        <v>3150</v>
      </c>
      <c r="J1009" t="s">
        <v>111</v>
      </c>
      <c r="K1009" t="str">
        <f>"85340"</f>
        <v>85340</v>
      </c>
      <c r="L1009" t="s">
        <v>5524</v>
      </c>
      <c r="M1009" t="s">
        <v>6698</v>
      </c>
      <c r="N1009" t="s">
        <v>3150</v>
      </c>
      <c r="O1009" t="s">
        <v>111</v>
      </c>
      <c r="P1009" t="str">
        <f>"85340-6520"</f>
        <v>85340-6520</v>
      </c>
      <c r="Q1009" t="s">
        <v>113</v>
      </c>
      <c r="R1009" t="str">
        <f>"508-11-069"</f>
        <v>508-11-069</v>
      </c>
      <c r="S1009" t="s">
        <v>6699</v>
      </c>
      <c r="U1009">
        <v>1524</v>
      </c>
      <c r="V1009">
        <v>0</v>
      </c>
      <c r="W1009">
        <v>2</v>
      </c>
      <c r="X1009">
        <v>2003</v>
      </c>
      <c r="Z1009">
        <v>1</v>
      </c>
      <c r="AA1009" t="s">
        <v>26</v>
      </c>
      <c r="AB1009">
        <v>0</v>
      </c>
      <c r="AC1009" t="s">
        <v>115</v>
      </c>
      <c r="AD1009">
        <v>2</v>
      </c>
      <c r="AE1009" t="s">
        <v>115</v>
      </c>
      <c r="AF1009">
        <v>0</v>
      </c>
      <c r="AG1009">
        <v>0</v>
      </c>
      <c r="AH1009" t="s">
        <v>116</v>
      </c>
      <c r="AI1009" s="1">
        <v>46958</v>
      </c>
      <c r="AJ1009" s="2">
        <v>0.19</v>
      </c>
      <c r="AK1009" s="1">
        <v>251958</v>
      </c>
      <c r="AL1009" t="s">
        <v>117</v>
      </c>
      <c r="AM1009" t="s">
        <v>3345</v>
      </c>
      <c r="AN1009">
        <v>5481</v>
      </c>
      <c r="AO1009">
        <v>0.13</v>
      </c>
      <c r="AP1009">
        <v>1</v>
      </c>
      <c r="AR1009">
        <v>1</v>
      </c>
      <c r="AS1009" s="1">
        <v>17060</v>
      </c>
      <c r="AT1009" s="1">
        <v>3410</v>
      </c>
      <c r="AU1009" s="1">
        <v>13650</v>
      </c>
      <c r="AV1009">
        <v>80.010000000000005</v>
      </c>
      <c r="AX1009" s="1">
        <v>1403.74</v>
      </c>
      <c r="AY1009" t="s">
        <v>6700</v>
      </c>
      <c r="AZ1009" t="s">
        <v>6701</v>
      </c>
      <c r="BA1009" t="s">
        <v>6702</v>
      </c>
      <c r="BB1009" s="3">
        <v>43196</v>
      </c>
      <c r="BC1009" s="1">
        <v>0</v>
      </c>
      <c r="BD1009" t="s">
        <v>247</v>
      </c>
      <c r="BE1009" s="3">
        <v>41866</v>
      </c>
      <c r="BF1009" s="1">
        <v>175000</v>
      </c>
      <c r="BG1009" t="s">
        <v>6703</v>
      </c>
      <c r="BH1009" s="1">
        <v>114.83</v>
      </c>
      <c r="BI1009" s="1">
        <v>205000</v>
      </c>
      <c r="BJ1009" s="3">
        <v>43196</v>
      </c>
      <c r="BK1009" t="s">
        <v>123</v>
      </c>
      <c r="BL1009" t="str">
        <f>"2018.260400"</f>
        <v>2018.260400</v>
      </c>
      <c r="BM1009" t="s">
        <v>2926</v>
      </c>
      <c r="BN1009" t="s">
        <v>545</v>
      </c>
      <c r="BO1009" t="s">
        <v>6704</v>
      </c>
      <c r="BR1009" t="s">
        <v>139</v>
      </c>
      <c r="BW1009" t="str">
        <f>""</f>
        <v/>
      </c>
      <c r="CH1009" t="str">
        <f>""</f>
        <v/>
      </c>
      <c r="CS1009" t="str">
        <f>""</f>
        <v/>
      </c>
    </row>
    <row r="1010" spans="1:97" x14ac:dyDescent="0.25">
      <c r="A1010" t="s">
        <v>1009</v>
      </c>
      <c r="B1010" t="s">
        <v>6705</v>
      </c>
      <c r="C1010" t="s">
        <v>5172</v>
      </c>
      <c r="D1010" t="s">
        <v>6705</v>
      </c>
      <c r="E1010" t="s">
        <v>6706</v>
      </c>
      <c r="F1010" t="s">
        <v>108</v>
      </c>
      <c r="H1010" t="s">
        <v>6707</v>
      </c>
      <c r="I1010" t="s">
        <v>499</v>
      </c>
      <c r="J1010" t="s">
        <v>111</v>
      </c>
      <c r="K1010" t="str">
        <f>"85338"</f>
        <v>85338</v>
      </c>
      <c r="L1010" t="s">
        <v>6431</v>
      </c>
      <c r="M1010" t="s">
        <v>6707</v>
      </c>
      <c r="N1010" t="s">
        <v>499</v>
      </c>
      <c r="O1010" t="s">
        <v>111</v>
      </c>
      <c r="P1010" t="str">
        <f>"85338-7440"</f>
        <v>85338-7440</v>
      </c>
      <c r="Q1010" t="s">
        <v>113</v>
      </c>
      <c r="R1010" t="str">
        <f>"500-97-189"</f>
        <v>500-97-189</v>
      </c>
      <c r="S1010" t="s">
        <v>6708</v>
      </c>
      <c r="U1010">
        <v>3545</v>
      </c>
      <c r="V1010">
        <v>0</v>
      </c>
      <c r="W1010">
        <v>5</v>
      </c>
      <c r="X1010">
        <v>2010</v>
      </c>
      <c r="Z1010">
        <v>2</v>
      </c>
      <c r="AB1010">
        <v>0</v>
      </c>
      <c r="AC1010" t="s">
        <v>115</v>
      </c>
      <c r="AD1010">
        <v>3</v>
      </c>
      <c r="AE1010" t="s">
        <v>115</v>
      </c>
      <c r="AF1010">
        <v>0</v>
      </c>
      <c r="AG1010">
        <v>0</v>
      </c>
      <c r="AH1010" t="s">
        <v>116</v>
      </c>
      <c r="AI1010" s="1">
        <v>106864</v>
      </c>
      <c r="AJ1010" s="2">
        <v>0.3</v>
      </c>
      <c r="AK1010" s="1">
        <v>357712</v>
      </c>
      <c r="AL1010" t="s">
        <v>117</v>
      </c>
      <c r="AM1010" t="s">
        <v>118</v>
      </c>
      <c r="AN1010">
        <v>7342</v>
      </c>
      <c r="AO1010">
        <v>0.17</v>
      </c>
      <c r="AR1010">
        <v>1</v>
      </c>
      <c r="AS1010" s="1">
        <v>25630</v>
      </c>
      <c r="AT1010" s="1">
        <v>5120</v>
      </c>
      <c r="AU1010" s="1">
        <v>20510</v>
      </c>
      <c r="AV1010">
        <v>80.02</v>
      </c>
      <c r="AX1010" s="1">
        <v>2700.78</v>
      </c>
      <c r="AY1010" t="s">
        <v>6319</v>
      </c>
      <c r="AZ1010" t="s">
        <v>6319</v>
      </c>
      <c r="BA1010" t="s">
        <v>218</v>
      </c>
      <c r="BE1010" s="3">
        <v>42230</v>
      </c>
      <c r="BF1010" s="1">
        <v>250000</v>
      </c>
      <c r="BG1010" t="s">
        <v>6709</v>
      </c>
      <c r="BH1010" s="1">
        <v>70.52</v>
      </c>
      <c r="BI1010" s="1">
        <v>250848</v>
      </c>
      <c r="BJ1010" s="3">
        <v>42600</v>
      </c>
      <c r="BK1010" t="s">
        <v>123</v>
      </c>
      <c r="BL1010" t="str">
        <f>"2016.590512"</f>
        <v>2016.590512</v>
      </c>
      <c r="BM1010" t="s">
        <v>322</v>
      </c>
      <c r="BO1010" t="s">
        <v>6710</v>
      </c>
      <c r="BS1010">
        <v>30</v>
      </c>
      <c r="BW1010" t="str">
        <f>""</f>
        <v/>
      </c>
      <c r="CH1010" t="str">
        <f>""</f>
        <v/>
      </c>
      <c r="CS1010" t="str">
        <f>""</f>
        <v/>
      </c>
    </row>
    <row r="1011" spans="1:97" x14ac:dyDescent="0.25">
      <c r="A1011" t="s">
        <v>305</v>
      </c>
      <c r="B1011" t="s">
        <v>6711</v>
      </c>
      <c r="C1011" t="s">
        <v>513</v>
      </c>
      <c r="D1011" t="s">
        <v>6711</v>
      </c>
      <c r="E1011" t="s">
        <v>6712</v>
      </c>
      <c r="F1011" t="s">
        <v>108</v>
      </c>
      <c r="H1011" t="s">
        <v>6713</v>
      </c>
      <c r="I1011" t="s">
        <v>390</v>
      </c>
      <c r="J1011" t="s">
        <v>111</v>
      </c>
      <c r="K1011" t="str">
        <f>"85085"</f>
        <v>85085</v>
      </c>
      <c r="L1011" t="s">
        <v>269</v>
      </c>
      <c r="M1011" t="s">
        <v>6713</v>
      </c>
      <c r="N1011" t="s">
        <v>390</v>
      </c>
      <c r="O1011" t="s">
        <v>111</v>
      </c>
      <c r="P1011" t="str">
        <f>"85085-5073"</f>
        <v>85085-5073</v>
      </c>
      <c r="Q1011" t="s">
        <v>113</v>
      </c>
      <c r="R1011" t="str">
        <f>"204-01-297"</f>
        <v>204-01-297</v>
      </c>
      <c r="S1011" t="s">
        <v>6714</v>
      </c>
      <c r="T1011" t="s">
        <v>6715</v>
      </c>
      <c r="U1011">
        <v>1514</v>
      </c>
      <c r="V1011">
        <v>0</v>
      </c>
      <c r="W1011">
        <v>3</v>
      </c>
      <c r="X1011">
        <v>2004</v>
      </c>
      <c r="Z1011">
        <v>1</v>
      </c>
      <c r="AB1011">
        <v>0</v>
      </c>
      <c r="AC1011" t="s">
        <v>115</v>
      </c>
      <c r="AD1011">
        <v>2</v>
      </c>
      <c r="AE1011" t="s">
        <v>115</v>
      </c>
      <c r="AF1011">
        <v>0</v>
      </c>
      <c r="AG1011">
        <v>0</v>
      </c>
      <c r="AH1011" t="s">
        <v>116</v>
      </c>
      <c r="AI1011" s="1">
        <v>65933</v>
      </c>
      <c r="AJ1011" s="2">
        <v>0.24</v>
      </c>
      <c r="AK1011" s="1">
        <v>275933</v>
      </c>
      <c r="AL1011" t="s">
        <v>117</v>
      </c>
      <c r="AM1011" t="s">
        <v>171</v>
      </c>
      <c r="AN1011">
        <v>4949</v>
      </c>
      <c r="AO1011">
        <v>0.11</v>
      </c>
      <c r="AP1011">
        <v>1</v>
      </c>
      <c r="AR1011">
        <v>1</v>
      </c>
      <c r="AS1011" s="1">
        <v>19130</v>
      </c>
      <c r="AT1011" s="1">
        <v>3820</v>
      </c>
      <c r="AU1011" s="1">
        <v>15310</v>
      </c>
      <c r="AV1011">
        <v>80.03</v>
      </c>
      <c r="AX1011" s="1">
        <v>1770.18</v>
      </c>
      <c r="AY1011" t="s">
        <v>1587</v>
      </c>
      <c r="AZ1011" t="s">
        <v>1587</v>
      </c>
      <c r="BA1011" t="s">
        <v>1462</v>
      </c>
      <c r="BE1011" s="3">
        <v>42110</v>
      </c>
      <c r="BF1011" s="1">
        <v>210000</v>
      </c>
      <c r="BG1011" t="s">
        <v>6716</v>
      </c>
      <c r="BH1011" s="1">
        <v>138.71</v>
      </c>
      <c r="BI1011" s="1">
        <v>210000</v>
      </c>
      <c r="BJ1011" s="3">
        <v>42110</v>
      </c>
      <c r="BK1011" t="s">
        <v>123</v>
      </c>
      <c r="BL1011" t="str">
        <f>"2015.262268"</f>
        <v>2015.262268</v>
      </c>
      <c r="BM1011" t="s">
        <v>544</v>
      </c>
      <c r="BO1011" t="s">
        <v>6717</v>
      </c>
      <c r="BS1011">
        <v>30</v>
      </c>
      <c r="BW1011" t="str">
        <f>""</f>
        <v/>
      </c>
      <c r="CH1011" t="str">
        <f>""</f>
        <v/>
      </c>
      <c r="CS1011" t="str">
        <f>""</f>
        <v/>
      </c>
    </row>
    <row r="1012" spans="1:97" x14ac:dyDescent="0.25">
      <c r="A1012" t="s">
        <v>6718</v>
      </c>
      <c r="B1012" t="s">
        <v>6719</v>
      </c>
      <c r="E1012" t="s">
        <v>6720</v>
      </c>
      <c r="F1012" t="s">
        <v>282</v>
      </c>
      <c r="H1012" t="s">
        <v>6721</v>
      </c>
      <c r="I1012" t="s">
        <v>5387</v>
      </c>
      <c r="J1012" t="s">
        <v>111</v>
      </c>
      <c r="K1012" t="str">
        <f>"85283"</f>
        <v>85283</v>
      </c>
      <c r="L1012" t="s">
        <v>6541</v>
      </c>
      <c r="M1012" t="s">
        <v>6722</v>
      </c>
      <c r="N1012" t="s">
        <v>5387</v>
      </c>
      <c r="O1012" t="s">
        <v>111</v>
      </c>
      <c r="P1012" t="str">
        <f>"85283-3166"</f>
        <v>85283-3166</v>
      </c>
      <c r="Q1012" t="s">
        <v>113</v>
      </c>
      <c r="R1012" t="str">
        <f>"301-96-131"</f>
        <v>301-96-131</v>
      </c>
      <c r="S1012" t="s">
        <v>6723</v>
      </c>
      <c r="T1012" t="s">
        <v>6724</v>
      </c>
      <c r="U1012">
        <v>1703</v>
      </c>
      <c r="V1012">
        <v>0</v>
      </c>
      <c r="W1012">
        <v>3</v>
      </c>
      <c r="X1012">
        <v>1977</v>
      </c>
      <c r="Z1012">
        <v>1</v>
      </c>
      <c r="AA1012" t="s">
        <v>26</v>
      </c>
      <c r="AB1012">
        <v>0</v>
      </c>
      <c r="AC1012" t="s">
        <v>115</v>
      </c>
      <c r="AD1012">
        <v>2</v>
      </c>
      <c r="AE1012" t="s">
        <v>115</v>
      </c>
      <c r="AF1012">
        <v>0</v>
      </c>
      <c r="AG1012">
        <v>0</v>
      </c>
      <c r="AH1012" t="s">
        <v>116</v>
      </c>
      <c r="AI1012" s="1">
        <v>85883</v>
      </c>
      <c r="AJ1012" s="2">
        <v>0.25</v>
      </c>
      <c r="AK1012" s="1">
        <v>341923</v>
      </c>
      <c r="AL1012" t="s">
        <v>117</v>
      </c>
      <c r="AM1012" t="s">
        <v>191</v>
      </c>
      <c r="AN1012">
        <v>8830</v>
      </c>
      <c r="AO1012">
        <v>0.2</v>
      </c>
      <c r="AP1012">
        <v>1</v>
      </c>
      <c r="AR1012">
        <v>1</v>
      </c>
      <c r="AS1012" s="1">
        <v>24100</v>
      </c>
      <c r="AT1012" s="1">
        <v>4820</v>
      </c>
      <c r="AU1012" s="1">
        <v>19280</v>
      </c>
      <c r="AV1012">
        <v>80</v>
      </c>
      <c r="AX1012" s="1">
        <v>2267.64</v>
      </c>
      <c r="AY1012" t="s">
        <v>6725</v>
      </c>
      <c r="AZ1012" t="s">
        <v>6726</v>
      </c>
      <c r="BA1012" t="s">
        <v>5392</v>
      </c>
      <c r="BB1012" s="3">
        <v>43550</v>
      </c>
      <c r="BC1012" s="1">
        <v>0</v>
      </c>
      <c r="BD1012" t="s">
        <v>247</v>
      </c>
      <c r="BE1012" s="3">
        <v>42262</v>
      </c>
      <c r="BF1012" s="1">
        <v>254900</v>
      </c>
      <c r="BG1012" t="s">
        <v>6727</v>
      </c>
      <c r="BH1012" s="1">
        <v>149.68</v>
      </c>
      <c r="BI1012" s="1">
        <v>256040</v>
      </c>
      <c r="BJ1012" s="3">
        <v>42262</v>
      </c>
      <c r="BK1012" t="s">
        <v>123</v>
      </c>
      <c r="BL1012" t="str">
        <f>"2015.664731"</f>
        <v>2015.664731</v>
      </c>
      <c r="BM1012" t="s">
        <v>1185</v>
      </c>
      <c r="BN1012" t="s">
        <v>6728</v>
      </c>
      <c r="BO1012" t="s">
        <v>6729</v>
      </c>
      <c r="BP1012" t="s">
        <v>6730</v>
      </c>
      <c r="BS1012">
        <v>30</v>
      </c>
      <c r="BW1012" t="str">
        <f>""</f>
        <v/>
      </c>
      <c r="CH1012" t="str">
        <f>""</f>
        <v/>
      </c>
      <c r="CS1012" t="str">
        <f>""</f>
        <v/>
      </c>
    </row>
    <row r="1013" spans="1:97" x14ac:dyDescent="0.25">
      <c r="A1013" t="s">
        <v>251</v>
      </c>
      <c r="B1013" t="s">
        <v>1076</v>
      </c>
      <c r="C1013" t="s">
        <v>2761</v>
      </c>
      <c r="D1013" t="s">
        <v>1076</v>
      </c>
      <c r="E1013" t="s">
        <v>6731</v>
      </c>
      <c r="F1013" t="s">
        <v>108</v>
      </c>
      <c r="H1013" t="s">
        <v>6732</v>
      </c>
      <c r="I1013" t="s">
        <v>453</v>
      </c>
      <c r="J1013" t="s">
        <v>111</v>
      </c>
      <c r="K1013" t="str">
        <f>"85383"</f>
        <v>85383</v>
      </c>
      <c r="L1013" t="s">
        <v>269</v>
      </c>
      <c r="M1013" t="s">
        <v>6732</v>
      </c>
      <c r="N1013" t="s">
        <v>453</v>
      </c>
      <c r="O1013" t="s">
        <v>111</v>
      </c>
      <c r="P1013" t="str">
        <f>"85383-3097"</f>
        <v>85383-3097</v>
      </c>
      <c r="Q1013" t="s">
        <v>113</v>
      </c>
      <c r="R1013" t="str">
        <f>"201-03-224"</f>
        <v>201-03-224</v>
      </c>
      <c r="S1013" t="s">
        <v>6733</v>
      </c>
      <c r="T1013" t="s">
        <v>6734</v>
      </c>
      <c r="U1013">
        <v>2494</v>
      </c>
      <c r="V1013">
        <v>0</v>
      </c>
      <c r="W1013">
        <v>3</v>
      </c>
      <c r="X1013">
        <v>2007</v>
      </c>
      <c r="Z1013">
        <v>2</v>
      </c>
      <c r="AB1013">
        <v>0</v>
      </c>
      <c r="AC1013" t="s">
        <v>115</v>
      </c>
      <c r="AD1013">
        <v>3</v>
      </c>
      <c r="AE1013" t="s">
        <v>115</v>
      </c>
      <c r="AF1013">
        <v>0</v>
      </c>
      <c r="AG1013">
        <v>0</v>
      </c>
      <c r="AH1013" t="s">
        <v>116</v>
      </c>
      <c r="AI1013" s="1">
        <v>97839</v>
      </c>
      <c r="AJ1013" s="2">
        <v>0.27</v>
      </c>
      <c r="AK1013" s="1">
        <v>357439</v>
      </c>
      <c r="AL1013" t="s">
        <v>117</v>
      </c>
      <c r="AM1013" t="s">
        <v>118</v>
      </c>
      <c r="AN1013">
        <v>6462</v>
      </c>
      <c r="AO1013">
        <v>0.15</v>
      </c>
      <c r="AR1013">
        <v>1</v>
      </c>
      <c r="AS1013" s="1">
        <v>26580</v>
      </c>
      <c r="AT1013" s="1">
        <v>5310</v>
      </c>
      <c r="AU1013" s="1">
        <v>21270</v>
      </c>
      <c r="AV1013">
        <v>80.02</v>
      </c>
      <c r="AX1013" s="1">
        <v>2293.1</v>
      </c>
      <c r="AY1013" t="s">
        <v>3048</v>
      </c>
      <c r="AZ1013" t="s">
        <v>3049</v>
      </c>
      <c r="BA1013" t="s">
        <v>1386</v>
      </c>
      <c r="BE1013" s="3">
        <v>41696</v>
      </c>
      <c r="BF1013" s="1">
        <v>270000</v>
      </c>
      <c r="BG1013" t="s">
        <v>6735</v>
      </c>
      <c r="BH1013" s="1">
        <v>108.26</v>
      </c>
      <c r="BI1013" s="1">
        <v>259600</v>
      </c>
      <c r="BJ1013" s="3">
        <v>42655</v>
      </c>
      <c r="BK1013" t="s">
        <v>123</v>
      </c>
      <c r="BL1013" t="str">
        <f>"2016.747324"</f>
        <v>2016.747324</v>
      </c>
      <c r="BM1013" t="s">
        <v>124</v>
      </c>
      <c r="BN1013" t="s">
        <v>1575</v>
      </c>
      <c r="BO1013" t="s">
        <v>6736</v>
      </c>
      <c r="BS1013">
        <v>28</v>
      </c>
      <c r="BT1013" s="1">
        <v>259600</v>
      </c>
      <c r="BU1013" s="3">
        <v>42655</v>
      </c>
      <c r="BV1013" t="s">
        <v>123</v>
      </c>
      <c r="BW1013" t="str">
        <f>"2016.747324"</f>
        <v>2016.747324</v>
      </c>
      <c r="BX1013" t="s">
        <v>124</v>
      </c>
      <c r="BZ1013" t="s">
        <v>6736</v>
      </c>
      <c r="CD1013">
        <v>28</v>
      </c>
      <c r="CH1013" t="str">
        <f>""</f>
        <v/>
      </c>
      <c r="CS1013" t="str">
        <f>""</f>
        <v/>
      </c>
    </row>
    <row r="1014" spans="1:97" x14ac:dyDescent="0.25">
      <c r="A1014" t="s">
        <v>2123</v>
      </c>
      <c r="B1014" t="s">
        <v>1667</v>
      </c>
      <c r="C1014" t="s">
        <v>4386</v>
      </c>
      <c r="D1014" t="s">
        <v>1667</v>
      </c>
      <c r="E1014" t="s">
        <v>6737</v>
      </c>
      <c r="F1014" t="s">
        <v>108</v>
      </c>
      <c r="H1014" t="s">
        <v>6738</v>
      </c>
      <c r="I1014" t="s">
        <v>2874</v>
      </c>
      <c r="J1014" t="s">
        <v>111</v>
      </c>
      <c r="K1014" t="str">
        <f>"85308"</f>
        <v>85308</v>
      </c>
      <c r="L1014" t="s">
        <v>3982</v>
      </c>
      <c r="M1014" t="s">
        <v>6738</v>
      </c>
      <c r="N1014" t="s">
        <v>2874</v>
      </c>
      <c r="O1014" t="s">
        <v>111</v>
      </c>
      <c r="P1014" t="str">
        <f>"85308-1149"</f>
        <v>85308-1149</v>
      </c>
      <c r="Q1014" t="s">
        <v>113</v>
      </c>
      <c r="R1014" t="str">
        <f>"200-47-221"</f>
        <v>200-47-221</v>
      </c>
      <c r="S1014" t="s">
        <v>6739</v>
      </c>
      <c r="U1014">
        <v>2034</v>
      </c>
      <c r="V1014">
        <v>0</v>
      </c>
      <c r="W1014">
        <v>3</v>
      </c>
      <c r="X1014">
        <v>1994</v>
      </c>
      <c r="Z1014">
        <v>1</v>
      </c>
      <c r="AA1014" t="s">
        <v>26</v>
      </c>
      <c r="AB1014">
        <v>0</v>
      </c>
      <c r="AC1014" t="s">
        <v>115</v>
      </c>
      <c r="AD1014">
        <v>2</v>
      </c>
      <c r="AE1014" t="s">
        <v>115</v>
      </c>
      <c r="AF1014">
        <v>0</v>
      </c>
      <c r="AG1014">
        <v>0</v>
      </c>
      <c r="AH1014" t="s">
        <v>116</v>
      </c>
      <c r="AI1014" s="1">
        <v>52893</v>
      </c>
      <c r="AJ1014" s="2">
        <v>0.16</v>
      </c>
      <c r="AK1014" s="1">
        <v>335893</v>
      </c>
      <c r="AL1014" t="s">
        <v>117</v>
      </c>
      <c r="AM1014" t="s">
        <v>191</v>
      </c>
      <c r="AN1014">
        <v>8139</v>
      </c>
      <c r="AO1014">
        <v>0.19</v>
      </c>
      <c r="AP1014">
        <v>1</v>
      </c>
      <c r="AR1014">
        <v>1</v>
      </c>
      <c r="AS1014" s="1">
        <v>23260</v>
      </c>
      <c r="AT1014" s="1">
        <v>4650</v>
      </c>
      <c r="AU1014" s="1">
        <v>18610</v>
      </c>
      <c r="AV1014">
        <v>80.010000000000005</v>
      </c>
      <c r="AX1014" s="1">
        <v>1938.42</v>
      </c>
      <c r="AY1014" t="s">
        <v>6740</v>
      </c>
      <c r="AZ1014" t="s">
        <v>6740</v>
      </c>
      <c r="BA1014" t="s">
        <v>5143</v>
      </c>
      <c r="BE1014" s="3">
        <v>42212</v>
      </c>
      <c r="BF1014" s="1">
        <v>274000</v>
      </c>
      <c r="BG1014" t="s">
        <v>6741</v>
      </c>
      <c r="BH1014" s="1">
        <v>134.71</v>
      </c>
      <c r="BI1014" s="1">
        <v>283000</v>
      </c>
      <c r="BJ1014" s="3">
        <v>42646</v>
      </c>
      <c r="BK1014" t="s">
        <v>123</v>
      </c>
      <c r="BL1014" t="str">
        <f>"2016.722365"</f>
        <v>2016.722365</v>
      </c>
      <c r="BM1014" t="s">
        <v>6742</v>
      </c>
      <c r="BO1014" t="s">
        <v>6743</v>
      </c>
      <c r="BS1014">
        <v>30</v>
      </c>
      <c r="BW1014" t="str">
        <f>""</f>
        <v/>
      </c>
      <c r="CH1014" t="str">
        <f>""</f>
        <v/>
      </c>
      <c r="CS1014" t="str">
        <f>""</f>
        <v/>
      </c>
    </row>
    <row r="1015" spans="1:97" x14ac:dyDescent="0.25">
      <c r="A1015" t="s">
        <v>5373</v>
      </c>
      <c r="B1015" t="s">
        <v>2611</v>
      </c>
      <c r="C1015" t="s">
        <v>908</v>
      </c>
      <c r="D1015" t="s">
        <v>6744</v>
      </c>
      <c r="E1015" t="s">
        <v>6745</v>
      </c>
      <c r="F1015" t="s">
        <v>108</v>
      </c>
      <c r="H1015" t="s">
        <v>6746</v>
      </c>
      <c r="I1015" t="s">
        <v>225</v>
      </c>
      <c r="J1015" t="s">
        <v>111</v>
      </c>
      <c r="K1015" t="str">
        <f>"85207"</f>
        <v>85207</v>
      </c>
      <c r="L1015" t="s">
        <v>6308</v>
      </c>
      <c r="M1015" t="s">
        <v>6746</v>
      </c>
      <c r="N1015" t="s">
        <v>225</v>
      </c>
      <c r="O1015" t="s">
        <v>111</v>
      </c>
      <c r="P1015" t="str">
        <f>"85207-3733"</f>
        <v>85207-3733</v>
      </c>
      <c r="Q1015" t="s">
        <v>113</v>
      </c>
      <c r="R1015" t="str">
        <f>"218-04-071"</f>
        <v>218-04-071</v>
      </c>
      <c r="S1015" t="s">
        <v>6747</v>
      </c>
      <c r="T1015" t="s">
        <v>6748</v>
      </c>
      <c r="U1015">
        <v>1340</v>
      </c>
      <c r="V1015">
        <v>0</v>
      </c>
      <c r="W1015">
        <v>2</v>
      </c>
      <c r="X1015">
        <v>1990</v>
      </c>
      <c r="Z1015">
        <v>1</v>
      </c>
      <c r="AB1015">
        <v>0</v>
      </c>
      <c r="AC1015" t="s">
        <v>115</v>
      </c>
      <c r="AD1015">
        <v>2</v>
      </c>
      <c r="AE1015" t="s">
        <v>115</v>
      </c>
      <c r="AF1015">
        <v>0</v>
      </c>
      <c r="AG1015">
        <v>0</v>
      </c>
      <c r="AH1015" t="s">
        <v>116</v>
      </c>
      <c r="AI1015" s="1">
        <v>37023</v>
      </c>
      <c r="AJ1015" s="2">
        <v>0.15</v>
      </c>
      <c r="AK1015" s="1">
        <v>253260</v>
      </c>
      <c r="AL1015" t="s">
        <v>117</v>
      </c>
      <c r="AM1015" t="s">
        <v>917</v>
      </c>
      <c r="AN1015">
        <v>9126</v>
      </c>
      <c r="AO1015">
        <v>0.21</v>
      </c>
      <c r="AP1015">
        <v>1</v>
      </c>
      <c r="AR1015">
        <v>1</v>
      </c>
      <c r="AS1015" s="1">
        <v>17130</v>
      </c>
      <c r="AT1015" s="1">
        <v>3420</v>
      </c>
      <c r="AU1015" s="1">
        <v>13710</v>
      </c>
      <c r="AV1015">
        <v>80.040000000000006</v>
      </c>
      <c r="AX1015" s="1">
        <v>1183.76</v>
      </c>
      <c r="AY1015" t="s">
        <v>6749</v>
      </c>
      <c r="AZ1015" t="s">
        <v>231</v>
      </c>
      <c r="BA1015" t="s">
        <v>3119</v>
      </c>
      <c r="BE1015" s="3">
        <v>41968</v>
      </c>
      <c r="BF1015" s="1">
        <v>208000</v>
      </c>
      <c r="BG1015" t="s">
        <v>6750</v>
      </c>
      <c r="BH1015" s="1">
        <v>155.22</v>
      </c>
      <c r="BI1015" s="1">
        <v>216237</v>
      </c>
      <c r="BJ1015" s="3">
        <v>42657</v>
      </c>
      <c r="BK1015" t="s">
        <v>123</v>
      </c>
      <c r="BL1015" t="str">
        <f>"2016.756169"</f>
        <v>2016.756169</v>
      </c>
      <c r="BM1015" t="s">
        <v>402</v>
      </c>
      <c r="BO1015" t="s">
        <v>6751</v>
      </c>
      <c r="BP1015" t="s">
        <v>6752</v>
      </c>
      <c r="BS1015">
        <v>30</v>
      </c>
      <c r="BW1015" t="str">
        <f>""</f>
        <v/>
      </c>
      <c r="CH1015" t="str">
        <f>""</f>
        <v/>
      </c>
      <c r="CS1015" t="str">
        <f>""</f>
        <v/>
      </c>
    </row>
    <row r="1016" spans="1:97" x14ac:dyDescent="0.25">
      <c r="A1016" t="s">
        <v>6753</v>
      </c>
      <c r="B1016" t="s">
        <v>6754</v>
      </c>
      <c r="C1016" t="s">
        <v>6755</v>
      </c>
      <c r="D1016" t="s">
        <v>6754</v>
      </c>
      <c r="E1016" t="s">
        <v>6756</v>
      </c>
      <c r="F1016" t="s">
        <v>108</v>
      </c>
      <c r="H1016" t="s">
        <v>6757</v>
      </c>
      <c r="I1016" t="s">
        <v>2874</v>
      </c>
      <c r="J1016" t="s">
        <v>111</v>
      </c>
      <c r="K1016" t="str">
        <f>"85303"</f>
        <v>85303</v>
      </c>
      <c r="L1016" t="s">
        <v>6325</v>
      </c>
      <c r="M1016" t="s">
        <v>6757</v>
      </c>
      <c r="N1016" t="s">
        <v>2874</v>
      </c>
      <c r="O1016" t="s">
        <v>111</v>
      </c>
      <c r="P1016" t="str">
        <f>"85303-3934"</f>
        <v>85303-3934</v>
      </c>
      <c r="Q1016" t="s">
        <v>113</v>
      </c>
      <c r="R1016" t="str">
        <f>"144-03-372"</f>
        <v>144-03-372</v>
      </c>
      <c r="S1016" t="s">
        <v>6758</v>
      </c>
      <c r="T1016" t="s">
        <v>6758</v>
      </c>
      <c r="U1016">
        <v>2681</v>
      </c>
      <c r="V1016">
        <v>0</v>
      </c>
      <c r="W1016">
        <v>4</v>
      </c>
      <c r="X1016">
        <v>2002</v>
      </c>
      <c r="Z1016">
        <v>2</v>
      </c>
      <c r="AA1016" t="s">
        <v>26</v>
      </c>
      <c r="AB1016">
        <v>0</v>
      </c>
      <c r="AC1016" t="s">
        <v>115</v>
      </c>
      <c r="AD1016">
        <v>2</v>
      </c>
      <c r="AE1016" t="s">
        <v>115</v>
      </c>
      <c r="AF1016">
        <v>0</v>
      </c>
      <c r="AG1016">
        <v>0</v>
      </c>
      <c r="AH1016" t="s">
        <v>116</v>
      </c>
      <c r="AI1016" s="1">
        <v>53019</v>
      </c>
      <c r="AJ1016" s="2">
        <v>0.18</v>
      </c>
      <c r="AK1016" s="1">
        <v>302919</v>
      </c>
      <c r="AL1016" t="s">
        <v>117</v>
      </c>
      <c r="AM1016" t="s">
        <v>191</v>
      </c>
      <c r="AN1016">
        <v>6858</v>
      </c>
      <c r="AO1016">
        <v>0.16</v>
      </c>
      <c r="AP1016">
        <v>1</v>
      </c>
      <c r="AR1016">
        <v>1</v>
      </c>
      <c r="AS1016" s="1">
        <v>19730</v>
      </c>
      <c r="AT1016" s="1">
        <v>3940</v>
      </c>
      <c r="AU1016" s="1">
        <v>15790</v>
      </c>
      <c r="AV1016">
        <v>80.03</v>
      </c>
      <c r="AX1016" s="1">
        <v>1836.42</v>
      </c>
      <c r="AY1016" t="s">
        <v>6759</v>
      </c>
      <c r="AZ1016" t="s">
        <v>6759</v>
      </c>
      <c r="BA1016" t="s">
        <v>2878</v>
      </c>
      <c r="BE1016" s="3">
        <v>42537</v>
      </c>
      <c r="BF1016" s="1">
        <v>249900</v>
      </c>
      <c r="BG1016" t="s">
        <v>6760</v>
      </c>
      <c r="BH1016" s="1">
        <v>93.21</v>
      </c>
      <c r="BI1016" s="1">
        <v>249900</v>
      </c>
      <c r="BJ1016" s="3">
        <v>42537</v>
      </c>
      <c r="BK1016" t="s">
        <v>123</v>
      </c>
      <c r="BL1016" t="str">
        <f>"2016.420911"</f>
        <v>2016.420911</v>
      </c>
      <c r="BM1016" t="s">
        <v>6761</v>
      </c>
      <c r="BO1016" t="s">
        <v>6762</v>
      </c>
      <c r="BS1016">
        <v>30</v>
      </c>
      <c r="BW1016" t="str">
        <f>""</f>
        <v/>
      </c>
      <c r="CH1016" t="str">
        <f>""</f>
        <v/>
      </c>
      <c r="CS1016" t="str">
        <f>""</f>
        <v/>
      </c>
    </row>
    <row r="1017" spans="1:97" x14ac:dyDescent="0.25">
      <c r="A1017" t="s">
        <v>6763</v>
      </c>
      <c r="B1017" t="s">
        <v>603</v>
      </c>
      <c r="E1017" t="s">
        <v>6764</v>
      </c>
      <c r="F1017" t="s">
        <v>108</v>
      </c>
      <c r="H1017" t="s">
        <v>6765</v>
      </c>
      <c r="I1017" t="s">
        <v>390</v>
      </c>
      <c r="J1017" t="s">
        <v>111</v>
      </c>
      <c r="K1017" t="str">
        <f>"85042"</f>
        <v>85042</v>
      </c>
      <c r="L1017" t="s">
        <v>6766</v>
      </c>
      <c r="M1017" t="s">
        <v>6765</v>
      </c>
      <c r="N1017" t="s">
        <v>390</v>
      </c>
      <c r="O1017" t="s">
        <v>111</v>
      </c>
      <c r="P1017" t="str">
        <f>"85042-6744"</f>
        <v>85042-6744</v>
      </c>
      <c r="Q1017" t="s">
        <v>113</v>
      </c>
      <c r="R1017" t="str">
        <f>"300-23-223"</f>
        <v>300-23-223</v>
      </c>
      <c r="S1017" t="s">
        <v>6767</v>
      </c>
      <c r="T1017" t="s">
        <v>6768</v>
      </c>
      <c r="U1017">
        <v>1900</v>
      </c>
      <c r="V1017">
        <v>0</v>
      </c>
      <c r="W1017">
        <v>3</v>
      </c>
      <c r="X1017">
        <v>2005</v>
      </c>
      <c r="Z1017">
        <v>1</v>
      </c>
      <c r="AB1017">
        <v>0</v>
      </c>
      <c r="AC1017" t="s">
        <v>115</v>
      </c>
      <c r="AD1017">
        <v>3</v>
      </c>
      <c r="AE1017" t="s">
        <v>115</v>
      </c>
      <c r="AF1017">
        <v>0</v>
      </c>
      <c r="AG1017">
        <v>0</v>
      </c>
      <c r="AH1017" t="s">
        <v>116</v>
      </c>
      <c r="AI1017" s="1">
        <v>78219</v>
      </c>
      <c r="AJ1017" s="2">
        <v>0.25</v>
      </c>
      <c r="AK1017" s="1">
        <v>307258</v>
      </c>
      <c r="AL1017" t="s">
        <v>117</v>
      </c>
      <c r="AM1017" t="s">
        <v>1302</v>
      </c>
      <c r="AN1017">
        <v>7891</v>
      </c>
      <c r="AO1017">
        <v>0.18</v>
      </c>
      <c r="AP1017">
        <v>1</v>
      </c>
      <c r="AR1017">
        <v>1</v>
      </c>
      <c r="AS1017" s="1">
        <v>21060</v>
      </c>
      <c r="AT1017" s="1">
        <v>4210</v>
      </c>
      <c r="AU1017" s="1">
        <v>16850</v>
      </c>
      <c r="AV1017">
        <v>80.010000000000005</v>
      </c>
      <c r="AX1017" s="1">
        <v>2529.92</v>
      </c>
      <c r="AY1017" t="s">
        <v>2859</v>
      </c>
      <c r="AZ1017" t="s">
        <v>2859</v>
      </c>
      <c r="BA1017" t="s">
        <v>2860</v>
      </c>
      <c r="BE1017" s="3">
        <v>41718</v>
      </c>
      <c r="BF1017" s="1">
        <v>216000</v>
      </c>
      <c r="BG1017" t="s">
        <v>6769</v>
      </c>
      <c r="BH1017" s="1">
        <v>113.68</v>
      </c>
      <c r="BI1017" s="1">
        <v>229039</v>
      </c>
      <c r="BJ1017" s="3">
        <v>42485</v>
      </c>
      <c r="BK1017" t="s">
        <v>123</v>
      </c>
      <c r="BL1017" t="str">
        <f>"2016.272931"</f>
        <v>2016.272931</v>
      </c>
      <c r="BM1017" t="s">
        <v>750</v>
      </c>
      <c r="BO1017" t="s">
        <v>6770</v>
      </c>
      <c r="BS1017">
        <v>30</v>
      </c>
      <c r="BW1017" t="str">
        <f>""</f>
        <v/>
      </c>
      <c r="CH1017" t="str">
        <f>""</f>
        <v/>
      </c>
      <c r="CS1017" t="str">
        <f>""</f>
        <v/>
      </c>
    </row>
    <row r="1018" spans="1:97" x14ac:dyDescent="0.25">
      <c r="A1018" t="s">
        <v>6771</v>
      </c>
      <c r="B1018" t="s">
        <v>3173</v>
      </c>
      <c r="C1018" t="s">
        <v>348</v>
      </c>
      <c r="D1018" t="s">
        <v>488</v>
      </c>
      <c r="E1018" t="s">
        <v>6772</v>
      </c>
      <c r="F1018" t="s">
        <v>108</v>
      </c>
      <c r="H1018" t="s">
        <v>6773</v>
      </c>
      <c r="I1018" t="s">
        <v>499</v>
      </c>
      <c r="J1018" t="s">
        <v>111</v>
      </c>
      <c r="K1018" t="str">
        <f>"85338"</f>
        <v>85338</v>
      </c>
      <c r="L1018" t="s">
        <v>6308</v>
      </c>
      <c r="M1018" t="s">
        <v>6773</v>
      </c>
      <c r="N1018" t="s">
        <v>499</v>
      </c>
      <c r="O1018" t="s">
        <v>111</v>
      </c>
      <c r="P1018" t="str">
        <f>"85338-7777"</f>
        <v>85338-7777</v>
      </c>
      <c r="Q1018" t="s">
        <v>113</v>
      </c>
      <c r="R1018" t="str">
        <f>"400-83-388"</f>
        <v>400-83-388</v>
      </c>
      <c r="S1018" t="s">
        <v>6774</v>
      </c>
      <c r="T1018" t="s">
        <v>6775</v>
      </c>
      <c r="U1018">
        <v>1830</v>
      </c>
      <c r="V1018">
        <v>0</v>
      </c>
      <c r="W1018">
        <v>3</v>
      </c>
      <c r="X1018">
        <v>2013</v>
      </c>
      <c r="Z1018">
        <v>1</v>
      </c>
      <c r="AB1018">
        <v>0</v>
      </c>
      <c r="AC1018" t="s">
        <v>115</v>
      </c>
      <c r="AD1018">
        <v>2</v>
      </c>
      <c r="AE1018" t="s">
        <v>115</v>
      </c>
      <c r="AF1018">
        <v>0</v>
      </c>
      <c r="AG1018">
        <v>0</v>
      </c>
      <c r="AH1018" t="s">
        <v>116</v>
      </c>
      <c r="AI1018" s="1">
        <v>84118</v>
      </c>
      <c r="AJ1018" s="2">
        <v>0.26</v>
      </c>
      <c r="AK1018" s="1">
        <v>329118</v>
      </c>
      <c r="AL1018" t="s">
        <v>117</v>
      </c>
      <c r="AM1018" t="s">
        <v>118</v>
      </c>
      <c r="AN1018">
        <v>6745</v>
      </c>
      <c r="AO1018">
        <v>0.16</v>
      </c>
      <c r="AR1018">
        <v>1</v>
      </c>
      <c r="AS1018" s="1">
        <v>22450</v>
      </c>
      <c r="AT1018" s="1">
        <v>4490</v>
      </c>
      <c r="AU1018" s="1">
        <v>17960</v>
      </c>
      <c r="AV1018">
        <v>80</v>
      </c>
      <c r="AX1018" s="1">
        <v>2661.78</v>
      </c>
      <c r="AY1018" t="s">
        <v>1246</v>
      </c>
      <c r="AZ1018" t="s">
        <v>1246</v>
      </c>
      <c r="BA1018" t="s">
        <v>1247</v>
      </c>
      <c r="BB1018" s="3">
        <v>42403</v>
      </c>
      <c r="BD1018" t="s">
        <v>458</v>
      </c>
      <c r="BE1018" s="3">
        <v>42272</v>
      </c>
      <c r="BF1018" s="1">
        <v>245000</v>
      </c>
      <c r="BG1018" t="s">
        <v>6776</v>
      </c>
      <c r="BH1018" s="1">
        <v>133.88</v>
      </c>
      <c r="BI1018" s="1">
        <v>245000</v>
      </c>
      <c r="BJ1018" s="3">
        <v>42272</v>
      </c>
      <c r="BK1018" t="s">
        <v>123</v>
      </c>
      <c r="BL1018" t="str">
        <f>"2015.693554"</f>
        <v>2015.693554</v>
      </c>
      <c r="BM1018" t="s">
        <v>4014</v>
      </c>
      <c r="BO1018" t="s">
        <v>6777</v>
      </c>
      <c r="BS1018">
        <v>30</v>
      </c>
      <c r="BW1018" t="str">
        <f>""</f>
        <v/>
      </c>
      <c r="CH1018" t="str">
        <f>""</f>
        <v/>
      </c>
      <c r="CS1018" t="str">
        <f>""</f>
        <v/>
      </c>
    </row>
    <row r="1019" spans="1:97" x14ac:dyDescent="0.25">
      <c r="A1019" t="s">
        <v>6778</v>
      </c>
      <c r="B1019" t="s">
        <v>6779</v>
      </c>
      <c r="C1019" t="s">
        <v>348</v>
      </c>
      <c r="D1019" t="s">
        <v>6779</v>
      </c>
      <c r="E1019" t="s">
        <v>6780</v>
      </c>
      <c r="F1019" t="s">
        <v>108</v>
      </c>
      <c r="H1019" t="s">
        <v>6781</v>
      </c>
      <c r="I1019" t="s">
        <v>144</v>
      </c>
      <c r="J1019" t="s">
        <v>111</v>
      </c>
      <c r="K1019" t="str">
        <f>"85396"</f>
        <v>85396</v>
      </c>
      <c r="L1019" t="s">
        <v>1244</v>
      </c>
      <c r="M1019" t="s">
        <v>6781</v>
      </c>
      <c r="N1019" t="s">
        <v>144</v>
      </c>
      <c r="O1019" t="s">
        <v>111</v>
      </c>
      <c r="P1019" t="str">
        <f>"85396-7772"</f>
        <v>85396-7772</v>
      </c>
      <c r="Q1019" t="s">
        <v>113</v>
      </c>
      <c r="R1019" t="str">
        <f>"502-81-457"</f>
        <v>502-81-457</v>
      </c>
      <c r="S1019" t="s">
        <v>6782</v>
      </c>
      <c r="U1019">
        <v>1646</v>
      </c>
      <c r="V1019">
        <v>0</v>
      </c>
      <c r="W1019">
        <v>3</v>
      </c>
      <c r="X1019">
        <v>2011</v>
      </c>
      <c r="Z1019">
        <v>1</v>
      </c>
      <c r="AB1019">
        <v>0</v>
      </c>
      <c r="AC1019" t="s">
        <v>115</v>
      </c>
      <c r="AD1019">
        <v>2</v>
      </c>
      <c r="AE1019" t="s">
        <v>115</v>
      </c>
      <c r="AF1019">
        <v>0</v>
      </c>
      <c r="AG1019">
        <v>0</v>
      </c>
      <c r="AH1019" t="s">
        <v>116</v>
      </c>
      <c r="AI1019" s="1">
        <v>55190</v>
      </c>
      <c r="AJ1019" s="2">
        <v>0.19</v>
      </c>
      <c r="AK1019" s="1">
        <v>296912</v>
      </c>
      <c r="AL1019" t="s">
        <v>117</v>
      </c>
      <c r="AM1019" t="s">
        <v>118</v>
      </c>
      <c r="AN1019">
        <v>7863</v>
      </c>
      <c r="AO1019">
        <v>0.18</v>
      </c>
      <c r="AR1019">
        <v>1</v>
      </c>
      <c r="AS1019" s="1">
        <v>20470</v>
      </c>
      <c r="AT1019" s="1">
        <v>4090</v>
      </c>
      <c r="AU1019" s="1">
        <v>16380</v>
      </c>
      <c r="AV1019">
        <v>80.02</v>
      </c>
      <c r="AX1019" s="1">
        <v>2449.1</v>
      </c>
      <c r="AY1019" t="s">
        <v>217</v>
      </c>
      <c r="AZ1019" t="s">
        <v>217</v>
      </c>
      <c r="BA1019" t="s">
        <v>218</v>
      </c>
      <c r="BE1019" s="3">
        <v>42138</v>
      </c>
      <c r="BF1019" s="1">
        <v>234000</v>
      </c>
      <c r="BG1019" t="s">
        <v>6783</v>
      </c>
      <c r="BH1019" s="1">
        <v>142.16</v>
      </c>
      <c r="BI1019" s="1">
        <v>241722</v>
      </c>
      <c r="BJ1019" s="3">
        <v>42138</v>
      </c>
      <c r="BK1019" t="s">
        <v>123</v>
      </c>
      <c r="BL1019" t="str">
        <f>"2015.340136"</f>
        <v>2015.340136</v>
      </c>
      <c r="BM1019" t="s">
        <v>6784</v>
      </c>
      <c r="BO1019" t="s">
        <v>6785</v>
      </c>
      <c r="BS1019">
        <v>30</v>
      </c>
      <c r="BW1019" t="str">
        <f>""</f>
        <v/>
      </c>
      <c r="CH1019" t="str">
        <f>""</f>
        <v/>
      </c>
      <c r="CS1019" t="str">
        <f>""</f>
        <v/>
      </c>
    </row>
    <row r="1020" spans="1:97" x14ac:dyDescent="0.25">
      <c r="A1020" t="s">
        <v>1109</v>
      </c>
      <c r="B1020" t="s">
        <v>4197</v>
      </c>
      <c r="C1020" t="s">
        <v>365</v>
      </c>
      <c r="D1020" t="s">
        <v>4197</v>
      </c>
      <c r="E1020" t="s">
        <v>6786</v>
      </c>
      <c r="F1020" t="s">
        <v>108</v>
      </c>
      <c r="H1020" t="s">
        <v>6787</v>
      </c>
      <c r="I1020" t="s">
        <v>499</v>
      </c>
      <c r="J1020" t="s">
        <v>111</v>
      </c>
      <c r="K1020" t="str">
        <f>"85338"</f>
        <v>85338</v>
      </c>
      <c r="L1020" t="s">
        <v>6788</v>
      </c>
      <c r="M1020" t="s">
        <v>6787</v>
      </c>
      <c r="N1020" t="s">
        <v>499</v>
      </c>
      <c r="O1020" t="s">
        <v>111</v>
      </c>
      <c r="P1020" t="str">
        <f>"85338-7576"</f>
        <v>85338-7576</v>
      </c>
      <c r="Q1020" t="s">
        <v>113</v>
      </c>
      <c r="R1020" t="str">
        <f>"502-46-179"</f>
        <v>502-46-179</v>
      </c>
      <c r="S1020" t="s">
        <v>6789</v>
      </c>
      <c r="T1020" t="s">
        <v>6789</v>
      </c>
      <c r="U1020">
        <v>2128</v>
      </c>
      <c r="V1020">
        <v>0</v>
      </c>
      <c r="W1020">
        <v>2</v>
      </c>
      <c r="X1020">
        <v>2016</v>
      </c>
      <c r="Z1020">
        <v>1</v>
      </c>
      <c r="AB1020">
        <v>0</v>
      </c>
      <c r="AC1020" t="s">
        <v>115</v>
      </c>
      <c r="AD1020">
        <v>2</v>
      </c>
      <c r="AE1020" t="s">
        <v>115</v>
      </c>
      <c r="AF1020">
        <v>0</v>
      </c>
      <c r="AG1020">
        <v>0</v>
      </c>
      <c r="AH1020" t="s">
        <v>116</v>
      </c>
      <c r="AI1020" s="1">
        <v>66026</v>
      </c>
      <c r="AJ1020" s="2">
        <v>0.23</v>
      </c>
      <c r="AK1020" s="1">
        <v>291673</v>
      </c>
      <c r="AL1020" t="s">
        <v>117</v>
      </c>
      <c r="AM1020" t="s">
        <v>118</v>
      </c>
      <c r="AN1020">
        <v>6409</v>
      </c>
      <c r="AO1020">
        <v>0.15</v>
      </c>
      <c r="AR1020">
        <v>1</v>
      </c>
      <c r="AS1020" s="1">
        <v>20670</v>
      </c>
      <c r="AT1020" s="1">
        <v>4130</v>
      </c>
      <c r="AU1020" s="1">
        <v>16540</v>
      </c>
      <c r="AV1020">
        <v>80.02</v>
      </c>
      <c r="AX1020" s="1">
        <v>1881.68</v>
      </c>
      <c r="AY1020" t="s">
        <v>6790</v>
      </c>
      <c r="AZ1020" t="s">
        <v>6790</v>
      </c>
      <c r="BA1020" t="s">
        <v>218</v>
      </c>
      <c r="BE1020" s="3">
        <v>42339</v>
      </c>
      <c r="BF1020" s="1">
        <v>218439</v>
      </c>
      <c r="BG1020" t="s">
        <v>233</v>
      </c>
      <c r="BH1020" s="1">
        <v>102.65</v>
      </c>
      <c r="BI1020" s="1">
        <v>225647</v>
      </c>
      <c r="BJ1020" s="3">
        <v>42339</v>
      </c>
      <c r="BK1020" t="s">
        <v>123</v>
      </c>
      <c r="BL1020" t="str">
        <f>"2015.851290"</f>
        <v>2015.851290</v>
      </c>
      <c r="BM1020" t="s">
        <v>234</v>
      </c>
      <c r="BO1020" t="s">
        <v>6791</v>
      </c>
      <c r="BS1020">
        <v>30</v>
      </c>
      <c r="BW1020" t="str">
        <f>""</f>
        <v/>
      </c>
      <c r="CH1020" t="str">
        <f>""</f>
        <v/>
      </c>
      <c r="CS1020" t="str">
        <f>""</f>
        <v/>
      </c>
    </row>
    <row r="1021" spans="1:97" x14ac:dyDescent="0.25">
      <c r="A1021" t="s">
        <v>211</v>
      </c>
      <c r="B1021" t="s">
        <v>6495</v>
      </c>
      <c r="C1021" t="s">
        <v>1925</v>
      </c>
      <c r="D1021" t="s">
        <v>6495</v>
      </c>
      <c r="E1021" t="s">
        <v>6792</v>
      </c>
      <c r="F1021" t="s">
        <v>108</v>
      </c>
      <c r="H1021" t="s">
        <v>6793</v>
      </c>
      <c r="I1021" t="s">
        <v>499</v>
      </c>
      <c r="J1021" t="s">
        <v>111</v>
      </c>
      <c r="K1021" t="str">
        <f>"85395"</f>
        <v>85395</v>
      </c>
      <c r="L1021" t="s">
        <v>6145</v>
      </c>
      <c r="M1021" t="s">
        <v>6793</v>
      </c>
      <c r="N1021" t="s">
        <v>499</v>
      </c>
      <c r="O1021" t="s">
        <v>111</v>
      </c>
      <c r="P1021" t="str">
        <f>"85395-2121"</f>
        <v>85395-2121</v>
      </c>
      <c r="Q1021" t="s">
        <v>113</v>
      </c>
      <c r="R1021" t="str">
        <f>"501-75-448"</f>
        <v>501-75-448</v>
      </c>
      <c r="S1021" t="s">
        <v>6794</v>
      </c>
      <c r="T1021" t="s">
        <v>6795</v>
      </c>
      <c r="U1021">
        <v>3123</v>
      </c>
      <c r="V1021">
        <v>0</v>
      </c>
      <c r="W1021">
        <v>4</v>
      </c>
      <c r="X1021">
        <v>1995</v>
      </c>
      <c r="Z1021">
        <v>2</v>
      </c>
      <c r="AB1021">
        <v>0</v>
      </c>
      <c r="AC1021" t="s">
        <v>115</v>
      </c>
      <c r="AD1021">
        <v>3</v>
      </c>
      <c r="AE1021" t="s">
        <v>115</v>
      </c>
      <c r="AF1021">
        <v>0</v>
      </c>
      <c r="AG1021">
        <v>0</v>
      </c>
      <c r="AH1021" t="s">
        <v>116</v>
      </c>
      <c r="AI1021" s="1">
        <v>80287</v>
      </c>
      <c r="AJ1021" s="2">
        <v>0.21</v>
      </c>
      <c r="AK1021" s="1">
        <v>376287</v>
      </c>
      <c r="AL1021" t="s">
        <v>117</v>
      </c>
      <c r="AM1021" t="s">
        <v>118</v>
      </c>
      <c r="AN1021">
        <v>10832</v>
      </c>
      <c r="AO1021">
        <v>0.25</v>
      </c>
      <c r="AP1021">
        <v>1</v>
      </c>
      <c r="AR1021">
        <v>1</v>
      </c>
      <c r="AS1021" s="1">
        <v>26130</v>
      </c>
      <c r="AT1021" s="1">
        <v>5220</v>
      </c>
      <c r="AU1021" s="1">
        <v>20910</v>
      </c>
      <c r="AV1021">
        <v>80.02</v>
      </c>
      <c r="AX1021" s="1">
        <v>2715.2</v>
      </c>
      <c r="AY1021" t="s">
        <v>6796</v>
      </c>
      <c r="AZ1021" t="s">
        <v>6796</v>
      </c>
      <c r="BA1021" t="s">
        <v>3154</v>
      </c>
      <c r="BE1021" s="3">
        <v>41764</v>
      </c>
      <c r="BF1021" s="1">
        <v>296000</v>
      </c>
      <c r="BG1021" t="s">
        <v>6797</v>
      </c>
      <c r="BH1021" s="1">
        <v>94.78</v>
      </c>
      <c r="BI1021" s="1">
        <v>296000</v>
      </c>
      <c r="BJ1021" s="3">
        <v>41764</v>
      </c>
      <c r="BK1021" t="s">
        <v>123</v>
      </c>
      <c r="BL1021" t="str">
        <f>"2014.290557"</f>
        <v>2014.290557</v>
      </c>
      <c r="BM1021" t="s">
        <v>2748</v>
      </c>
      <c r="BO1021" t="s">
        <v>6798</v>
      </c>
      <c r="BS1021">
        <v>30</v>
      </c>
      <c r="BW1021" t="str">
        <f>""</f>
        <v/>
      </c>
      <c r="CH1021" t="str">
        <f>""</f>
        <v/>
      </c>
      <c r="CS1021" t="str">
        <f>""</f>
        <v/>
      </c>
    </row>
    <row r="1022" spans="1:97" x14ac:dyDescent="0.25">
      <c r="A1022" t="s">
        <v>5214</v>
      </c>
      <c r="B1022" t="s">
        <v>6799</v>
      </c>
      <c r="C1022" t="s">
        <v>6800</v>
      </c>
      <c r="D1022" t="s">
        <v>6799</v>
      </c>
      <c r="E1022" t="s">
        <v>6801</v>
      </c>
      <c r="F1022" t="s">
        <v>108</v>
      </c>
      <c r="H1022" t="s">
        <v>6802</v>
      </c>
      <c r="I1022" t="s">
        <v>390</v>
      </c>
      <c r="J1022" t="s">
        <v>111</v>
      </c>
      <c r="K1022" t="str">
        <f>"85042"</f>
        <v>85042</v>
      </c>
      <c r="L1022" t="s">
        <v>6803</v>
      </c>
      <c r="M1022" t="s">
        <v>6802</v>
      </c>
      <c r="N1022" t="s">
        <v>390</v>
      </c>
      <c r="O1022" t="s">
        <v>111</v>
      </c>
      <c r="P1022" t="str">
        <f>"85042-6009"</f>
        <v>85042-6009</v>
      </c>
      <c r="Q1022" t="s">
        <v>113</v>
      </c>
      <c r="R1022" t="str">
        <f>"122-96-169"</f>
        <v>122-96-169</v>
      </c>
      <c r="S1022" t="s">
        <v>6804</v>
      </c>
      <c r="T1022" t="s">
        <v>6804</v>
      </c>
      <c r="U1022">
        <v>1703</v>
      </c>
      <c r="V1022">
        <v>0</v>
      </c>
      <c r="W1022">
        <v>3</v>
      </c>
      <c r="X1022">
        <v>2000</v>
      </c>
      <c r="Z1022">
        <v>1</v>
      </c>
      <c r="AB1022">
        <v>0</v>
      </c>
      <c r="AC1022" t="s">
        <v>115</v>
      </c>
      <c r="AD1022">
        <v>2</v>
      </c>
      <c r="AE1022" t="s">
        <v>115</v>
      </c>
      <c r="AF1022">
        <v>0</v>
      </c>
      <c r="AG1022">
        <v>0</v>
      </c>
      <c r="AH1022" t="s">
        <v>116</v>
      </c>
      <c r="AI1022" s="1">
        <v>64028</v>
      </c>
      <c r="AJ1022" s="2">
        <v>0.22</v>
      </c>
      <c r="AK1022" s="1">
        <v>294028</v>
      </c>
      <c r="AL1022" t="s">
        <v>117</v>
      </c>
      <c r="AM1022" t="s">
        <v>171</v>
      </c>
      <c r="AN1022">
        <v>5237</v>
      </c>
      <c r="AO1022">
        <v>0.12</v>
      </c>
      <c r="AP1022">
        <v>1</v>
      </c>
      <c r="AR1022">
        <v>1</v>
      </c>
      <c r="AS1022" s="1">
        <v>20370</v>
      </c>
      <c r="AT1022" s="1">
        <v>4070</v>
      </c>
      <c r="AU1022" s="1">
        <v>16300</v>
      </c>
      <c r="AV1022">
        <v>80.02</v>
      </c>
      <c r="AX1022" s="1">
        <v>2689.1</v>
      </c>
      <c r="AY1022" t="s">
        <v>5251</v>
      </c>
      <c r="AZ1022" t="s">
        <v>5251</v>
      </c>
      <c r="BA1022" t="s">
        <v>2860</v>
      </c>
      <c r="BE1022" s="3">
        <v>42170</v>
      </c>
      <c r="BF1022" s="1">
        <v>230000</v>
      </c>
      <c r="BG1022" t="s">
        <v>6805</v>
      </c>
      <c r="BH1022" s="1">
        <v>135.06</v>
      </c>
      <c r="BI1022" s="1">
        <v>230000</v>
      </c>
      <c r="BJ1022" s="3">
        <v>42170</v>
      </c>
      <c r="BK1022" t="s">
        <v>123</v>
      </c>
      <c r="BL1022" t="str">
        <f>"2015.424725"</f>
        <v>2015.424725</v>
      </c>
      <c r="BM1022" t="s">
        <v>175</v>
      </c>
      <c r="BO1022" t="s">
        <v>6806</v>
      </c>
      <c r="BS1022">
        <v>30</v>
      </c>
      <c r="BW1022" t="str">
        <f>""</f>
        <v/>
      </c>
      <c r="CH1022" t="str">
        <f>""</f>
        <v/>
      </c>
      <c r="CS1022" t="str">
        <f>""</f>
        <v/>
      </c>
    </row>
    <row r="1023" spans="1:97" x14ac:dyDescent="0.25">
      <c r="A1023" t="s">
        <v>464</v>
      </c>
      <c r="B1023" t="s">
        <v>6807</v>
      </c>
      <c r="C1023" t="s">
        <v>6808</v>
      </c>
      <c r="D1023" t="s">
        <v>6807</v>
      </c>
      <c r="E1023" t="s">
        <v>6809</v>
      </c>
      <c r="F1023" t="s">
        <v>108</v>
      </c>
      <c r="H1023" t="s">
        <v>6810</v>
      </c>
      <c r="I1023" t="s">
        <v>499</v>
      </c>
      <c r="J1023" t="s">
        <v>111</v>
      </c>
      <c r="K1023" t="str">
        <f>"85395"</f>
        <v>85395</v>
      </c>
      <c r="L1023" t="s">
        <v>6145</v>
      </c>
      <c r="M1023" t="s">
        <v>6810</v>
      </c>
      <c r="N1023" t="s">
        <v>499</v>
      </c>
      <c r="O1023" t="s">
        <v>111</v>
      </c>
      <c r="P1023" t="str">
        <f>"85395-8638"</f>
        <v>85395-8638</v>
      </c>
      <c r="Q1023" t="s">
        <v>113</v>
      </c>
      <c r="R1023" t="str">
        <f>"501-75-524"</f>
        <v>501-75-524</v>
      </c>
      <c r="S1023" t="s">
        <v>6811</v>
      </c>
      <c r="T1023" t="s">
        <v>6795</v>
      </c>
      <c r="U1023">
        <v>3123</v>
      </c>
      <c r="V1023">
        <v>0</v>
      </c>
      <c r="W1023">
        <v>4</v>
      </c>
      <c r="X1023">
        <v>1996</v>
      </c>
      <c r="Z1023">
        <v>2</v>
      </c>
      <c r="AA1023" t="s">
        <v>26</v>
      </c>
      <c r="AB1023">
        <v>0</v>
      </c>
      <c r="AC1023" t="s">
        <v>115</v>
      </c>
      <c r="AD1023">
        <v>3</v>
      </c>
      <c r="AE1023" t="s">
        <v>115</v>
      </c>
      <c r="AF1023">
        <v>0</v>
      </c>
      <c r="AG1023">
        <v>0</v>
      </c>
      <c r="AH1023" t="s">
        <v>116</v>
      </c>
      <c r="AI1023" s="1">
        <v>62634</v>
      </c>
      <c r="AJ1023" s="2">
        <v>0.16</v>
      </c>
      <c r="AK1023" s="1">
        <v>390535</v>
      </c>
      <c r="AL1023" t="s">
        <v>117</v>
      </c>
      <c r="AM1023" t="s">
        <v>118</v>
      </c>
      <c r="AN1023">
        <v>8855</v>
      </c>
      <c r="AO1023">
        <v>0.2</v>
      </c>
      <c r="AP1023">
        <v>1</v>
      </c>
      <c r="AR1023">
        <v>1</v>
      </c>
      <c r="AS1023" s="1">
        <v>27880</v>
      </c>
      <c r="AT1023" s="1">
        <v>5570</v>
      </c>
      <c r="AU1023" s="1">
        <v>22310</v>
      </c>
      <c r="AV1023">
        <v>80.02</v>
      </c>
      <c r="AX1023" s="1">
        <v>2913.5</v>
      </c>
      <c r="AY1023" t="s">
        <v>6796</v>
      </c>
      <c r="AZ1023" t="s">
        <v>6796</v>
      </c>
      <c r="BA1023" t="s">
        <v>3154</v>
      </c>
      <c r="BE1023" s="3">
        <v>42265</v>
      </c>
      <c r="BF1023" s="1">
        <v>321000</v>
      </c>
      <c r="BG1023" t="s">
        <v>6812</v>
      </c>
      <c r="BH1023" s="1">
        <v>102.79</v>
      </c>
      <c r="BI1023" s="1">
        <v>327901</v>
      </c>
      <c r="BJ1023" s="3">
        <v>42265</v>
      </c>
      <c r="BK1023" t="s">
        <v>123</v>
      </c>
      <c r="BL1023" t="str">
        <f>"2015.675013"</f>
        <v>2015.675013</v>
      </c>
      <c r="BM1023" t="s">
        <v>1038</v>
      </c>
      <c r="BO1023" t="s">
        <v>6813</v>
      </c>
      <c r="BS1023">
        <v>30</v>
      </c>
      <c r="BW1023" t="str">
        <f>""</f>
        <v/>
      </c>
      <c r="CH1023" t="str">
        <f>""</f>
        <v/>
      </c>
      <c r="CS1023" t="str">
        <f>""</f>
        <v/>
      </c>
    </row>
    <row r="1024" spans="1:97" x14ac:dyDescent="0.25">
      <c r="A1024" t="s">
        <v>257</v>
      </c>
      <c r="B1024" t="s">
        <v>6814</v>
      </c>
      <c r="E1024" t="s">
        <v>6815</v>
      </c>
      <c r="F1024" t="s">
        <v>108</v>
      </c>
      <c r="H1024" t="s">
        <v>6816</v>
      </c>
      <c r="I1024" t="s">
        <v>5523</v>
      </c>
      <c r="J1024" t="s">
        <v>111</v>
      </c>
      <c r="K1024" t="str">
        <f>"85373"</f>
        <v>85373</v>
      </c>
      <c r="L1024" t="s">
        <v>5524</v>
      </c>
      <c r="M1024" t="s">
        <v>6816</v>
      </c>
      <c r="N1024" t="s">
        <v>5523</v>
      </c>
      <c r="O1024" t="s">
        <v>111</v>
      </c>
      <c r="P1024" t="str">
        <f>"85373-5473"</f>
        <v>85373-5473</v>
      </c>
      <c r="Q1024" t="s">
        <v>113</v>
      </c>
      <c r="R1024" t="str">
        <f>"503-88-319"</f>
        <v>503-88-319</v>
      </c>
      <c r="S1024" t="s">
        <v>6817</v>
      </c>
      <c r="T1024" t="s">
        <v>6818</v>
      </c>
      <c r="U1024">
        <v>3207</v>
      </c>
      <c r="V1024">
        <v>0</v>
      </c>
      <c r="W1024">
        <v>4</v>
      </c>
      <c r="X1024">
        <v>2006</v>
      </c>
      <c r="Z1024">
        <v>2</v>
      </c>
      <c r="AA1024" t="s">
        <v>26</v>
      </c>
      <c r="AB1024">
        <v>0</v>
      </c>
      <c r="AC1024" t="s">
        <v>115</v>
      </c>
      <c r="AD1024">
        <v>2</v>
      </c>
      <c r="AE1024" t="s">
        <v>115</v>
      </c>
      <c r="AF1024">
        <v>0</v>
      </c>
      <c r="AG1024">
        <v>0</v>
      </c>
      <c r="AH1024" t="s">
        <v>116</v>
      </c>
      <c r="AI1024" s="1">
        <v>72863</v>
      </c>
      <c r="AJ1024" s="2">
        <v>0.22</v>
      </c>
      <c r="AK1024" s="1">
        <v>323882</v>
      </c>
      <c r="AL1024" t="s">
        <v>117</v>
      </c>
      <c r="AM1024" t="s">
        <v>191</v>
      </c>
      <c r="AN1024">
        <v>5865</v>
      </c>
      <c r="AO1024">
        <v>0.14000000000000001</v>
      </c>
      <c r="AR1024">
        <v>1</v>
      </c>
      <c r="AS1024" s="1">
        <v>23850</v>
      </c>
      <c r="AT1024" s="1">
        <v>4770</v>
      </c>
      <c r="AU1024" s="1">
        <v>19080</v>
      </c>
      <c r="AV1024">
        <v>80</v>
      </c>
      <c r="AX1024" s="1">
        <v>2465.1</v>
      </c>
      <c r="AY1024" t="s">
        <v>3228</v>
      </c>
      <c r="AZ1024" t="s">
        <v>3228</v>
      </c>
      <c r="BA1024" t="s">
        <v>457</v>
      </c>
      <c r="BE1024" s="3">
        <v>42290</v>
      </c>
      <c r="BF1024" s="1">
        <v>243000</v>
      </c>
      <c r="BG1024" t="s">
        <v>6819</v>
      </c>
      <c r="BH1024" s="1">
        <v>75.77</v>
      </c>
      <c r="BI1024" s="1">
        <v>251019</v>
      </c>
      <c r="BJ1024" s="3">
        <v>42290</v>
      </c>
      <c r="BK1024" t="s">
        <v>123</v>
      </c>
      <c r="BL1024" t="str">
        <f>"2015.735515"</f>
        <v>2015.735515</v>
      </c>
      <c r="BM1024" t="s">
        <v>135</v>
      </c>
      <c r="BO1024" t="s">
        <v>6820</v>
      </c>
      <c r="BS1024">
        <v>30</v>
      </c>
      <c r="BW1024" t="str">
        <f>""</f>
        <v/>
      </c>
      <c r="CH1024" t="str">
        <f>""</f>
        <v/>
      </c>
      <c r="CS1024" t="str">
        <f>""</f>
        <v/>
      </c>
    </row>
    <row r="1025" spans="1:97" x14ac:dyDescent="0.25">
      <c r="A1025" t="s">
        <v>6821</v>
      </c>
      <c r="B1025" t="s">
        <v>6822</v>
      </c>
      <c r="E1025" t="s">
        <v>6823</v>
      </c>
      <c r="F1025" t="s">
        <v>108</v>
      </c>
      <c r="H1025" t="s">
        <v>6824</v>
      </c>
      <c r="I1025" t="s">
        <v>225</v>
      </c>
      <c r="J1025" t="s">
        <v>111</v>
      </c>
      <c r="K1025" t="str">
        <f>"85208"</f>
        <v>85208</v>
      </c>
      <c r="L1025" t="s">
        <v>6438</v>
      </c>
      <c r="M1025" t="s">
        <v>6824</v>
      </c>
      <c r="N1025" t="s">
        <v>225</v>
      </c>
      <c r="O1025" t="s">
        <v>111</v>
      </c>
      <c r="P1025" t="str">
        <f>"85208-7421"</f>
        <v>85208-7421</v>
      </c>
      <c r="Q1025" t="s">
        <v>113</v>
      </c>
      <c r="R1025" t="str">
        <f>"220-85-143"</f>
        <v>220-85-143</v>
      </c>
      <c r="S1025" t="s">
        <v>6825</v>
      </c>
      <c r="T1025" t="s">
        <v>6826</v>
      </c>
      <c r="U1025">
        <v>1831</v>
      </c>
      <c r="V1025">
        <v>0</v>
      </c>
      <c r="W1025">
        <v>3</v>
      </c>
      <c r="X1025">
        <v>2000</v>
      </c>
      <c r="Z1025">
        <v>2</v>
      </c>
      <c r="AB1025">
        <v>0</v>
      </c>
      <c r="AC1025" t="s">
        <v>115</v>
      </c>
      <c r="AD1025">
        <v>2</v>
      </c>
      <c r="AE1025" t="s">
        <v>115</v>
      </c>
      <c r="AF1025">
        <v>0</v>
      </c>
      <c r="AG1025">
        <v>0</v>
      </c>
      <c r="AH1025" t="s">
        <v>116</v>
      </c>
      <c r="AI1025" s="1">
        <v>47010</v>
      </c>
      <c r="AJ1025" s="2">
        <v>0.17</v>
      </c>
      <c r="AK1025" s="1">
        <v>276010</v>
      </c>
      <c r="AL1025" t="s">
        <v>117</v>
      </c>
      <c r="AM1025" t="s">
        <v>191</v>
      </c>
      <c r="AN1025">
        <v>6651</v>
      </c>
      <c r="AO1025">
        <v>0.15</v>
      </c>
      <c r="AP1025">
        <v>1</v>
      </c>
      <c r="AR1025">
        <v>1</v>
      </c>
      <c r="AS1025" s="1">
        <v>19220</v>
      </c>
      <c r="AT1025" s="1">
        <v>3840</v>
      </c>
      <c r="AU1025" s="1">
        <v>15380</v>
      </c>
      <c r="AV1025">
        <v>80.02</v>
      </c>
      <c r="AX1025" s="1">
        <v>1346.54</v>
      </c>
      <c r="AY1025" t="s">
        <v>272</v>
      </c>
      <c r="AZ1025" t="s">
        <v>3761</v>
      </c>
      <c r="BA1025" t="s">
        <v>232</v>
      </c>
      <c r="BE1025" s="3">
        <v>42531</v>
      </c>
      <c r="BF1025" s="1">
        <v>229000</v>
      </c>
      <c r="BG1025" t="s">
        <v>6827</v>
      </c>
      <c r="BH1025" s="1">
        <v>125.07</v>
      </c>
      <c r="BI1025" s="1">
        <v>229000</v>
      </c>
      <c r="BJ1025" s="3">
        <v>42531</v>
      </c>
      <c r="BK1025" t="s">
        <v>123</v>
      </c>
      <c r="BL1025" t="str">
        <f>"2016.402646"</f>
        <v>2016.402646</v>
      </c>
      <c r="BM1025" t="s">
        <v>1038</v>
      </c>
      <c r="BO1025" t="s">
        <v>6828</v>
      </c>
      <c r="BS1025">
        <v>30</v>
      </c>
      <c r="BW1025" t="str">
        <f>""</f>
        <v/>
      </c>
      <c r="CH1025" t="str">
        <f>""</f>
        <v/>
      </c>
      <c r="CS1025" t="str">
        <f>""</f>
        <v/>
      </c>
    </row>
    <row r="1026" spans="1:97" x14ac:dyDescent="0.25">
      <c r="A1026" t="s">
        <v>1938</v>
      </c>
      <c r="B1026" t="s">
        <v>6829</v>
      </c>
      <c r="C1026" t="s">
        <v>6830</v>
      </c>
      <c r="D1026" t="s">
        <v>6829</v>
      </c>
      <c r="E1026" t="s">
        <v>6831</v>
      </c>
      <c r="F1026" t="s">
        <v>108</v>
      </c>
      <c r="H1026" t="s">
        <v>6832</v>
      </c>
      <c r="I1026" t="s">
        <v>5863</v>
      </c>
      <c r="J1026" t="s">
        <v>111</v>
      </c>
      <c r="K1026" t="str">
        <f>"85375"</f>
        <v>85375</v>
      </c>
      <c r="L1026" t="s">
        <v>5709</v>
      </c>
      <c r="M1026" t="s">
        <v>6832</v>
      </c>
      <c r="N1026" t="s">
        <v>5863</v>
      </c>
      <c r="O1026" t="s">
        <v>111</v>
      </c>
      <c r="P1026" t="str">
        <f>"85375-4251"</f>
        <v>85375-4251</v>
      </c>
      <c r="Q1026" t="s">
        <v>113</v>
      </c>
      <c r="R1026" t="str">
        <f>"232-05-482"</f>
        <v>232-05-482</v>
      </c>
      <c r="S1026" t="s">
        <v>5865</v>
      </c>
      <c r="U1026">
        <v>1827</v>
      </c>
      <c r="V1026">
        <v>0</v>
      </c>
      <c r="W1026">
        <v>2</v>
      </c>
      <c r="X1026">
        <v>1981</v>
      </c>
      <c r="Z1026">
        <v>1</v>
      </c>
      <c r="AB1026">
        <v>0</v>
      </c>
      <c r="AC1026" t="s">
        <v>115</v>
      </c>
      <c r="AD1026">
        <v>2</v>
      </c>
      <c r="AE1026" t="s">
        <v>115</v>
      </c>
      <c r="AF1026">
        <v>0</v>
      </c>
      <c r="AG1026">
        <v>0</v>
      </c>
      <c r="AH1026" t="s">
        <v>116</v>
      </c>
      <c r="AI1026" s="1">
        <v>49971</v>
      </c>
      <c r="AJ1026" s="2">
        <v>0.18</v>
      </c>
      <c r="AK1026" s="1">
        <v>278911</v>
      </c>
      <c r="AL1026" t="s">
        <v>117</v>
      </c>
      <c r="AM1026" t="s">
        <v>393</v>
      </c>
      <c r="AN1026">
        <v>8700</v>
      </c>
      <c r="AO1026">
        <v>0.2</v>
      </c>
      <c r="AP1026">
        <v>1</v>
      </c>
      <c r="AR1026">
        <v>1</v>
      </c>
      <c r="AS1026" s="1">
        <v>15080</v>
      </c>
      <c r="AT1026" s="1">
        <v>3010</v>
      </c>
      <c r="AU1026" s="1">
        <v>12070</v>
      </c>
      <c r="AV1026">
        <v>80.040000000000006</v>
      </c>
      <c r="AX1026" s="1">
        <v>1096.26</v>
      </c>
      <c r="AY1026" t="s">
        <v>320</v>
      </c>
      <c r="AZ1026" t="s">
        <v>320</v>
      </c>
      <c r="BA1026" t="s">
        <v>321</v>
      </c>
      <c r="BE1026" s="3">
        <v>42501</v>
      </c>
      <c r="BF1026" s="1">
        <v>223500</v>
      </c>
      <c r="BG1026" t="s">
        <v>6833</v>
      </c>
      <c r="BH1026" s="1">
        <v>122.33</v>
      </c>
      <c r="BI1026" s="1">
        <v>228940</v>
      </c>
      <c r="BJ1026" s="3">
        <v>43294</v>
      </c>
      <c r="BK1026" t="s">
        <v>123</v>
      </c>
      <c r="BL1026" t="str">
        <f>"2018.530276"</f>
        <v>2018.530276</v>
      </c>
      <c r="BM1026" t="s">
        <v>1809</v>
      </c>
      <c r="BN1026" t="s">
        <v>1810</v>
      </c>
      <c r="BO1026" t="s">
        <v>6834</v>
      </c>
      <c r="BP1026" t="s">
        <v>6835</v>
      </c>
      <c r="BR1026" t="s">
        <v>139</v>
      </c>
      <c r="BW1026" t="str">
        <f>""</f>
        <v/>
      </c>
      <c r="CH1026" t="str">
        <f>""</f>
        <v/>
      </c>
      <c r="CS1026" t="str">
        <f>""</f>
        <v/>
      </c>
    </row>
    <row r="1027" spans="1:97" x14ac:dyDescent="0.25">
      <c r="A1027" t="s">
        <v>5373</v>
      </c>
      <c r="B1027" t="s">
        <v>1820</v>
      </c>
      <c r="E1027" t="s">
        <v>6836</v>
      </c>
      <c r="F1027" t="s">
        <v>108</v>
      </c>
      <c r="H1027" t="s">
        <v>6837</v>
      </c>
      <c r="I1027" t="s">
        <v>1936</v>
      </c>
      <c r="J1027" t="s">
        <v>111</v>
      </c>
      <c r="K1027" t="str">
        <f>"85257"</f>
        <v>85257</v>
      </c>
      <c r="L1027" t="s">
        <v>3430</v>
      </c>
      <c r="M1027" t="s">
        <v>6837</v>
      </c>
      <c r="N1027" t="s">
        <v>1936</v>
      </c>
      <c r="O1027" t="s">
        <v>111</v>
      </c>
      <c r="P1027" t="str">
        <f>"85257-1746"</f>
        <v>85257-1746</v>
      </c>
      <c r="Q1027" t="s">
        <v>113</v>
      </c>
      <c r="R1027" t="str">
        <f>"131-31-073"</f>
        <v>131-31-073</v>
      </c>
      <c r="S1027" t="s">
        <v>5580</v>
      </c>
      <c r="T1027" t="s">
        <v>5581</v>
      </c>
      <c r="U1027">
        <v>1912</v>
      </c>
      <c r="V1027">
        <v>0</v>
      </c>
      <c r="W1027">
        <v>2</v>
      </c>
      <c r="X1027">
        <v>1959</v>
      </c>
      <c r="Z1027">
        <v>1</v>
      </c>
      <c r="AA1027" t="s">
        <v>26</v>
      </c>
      <c r="AB1027">
        <v>0</v>
      </c>
      <c r="AC1027" t="s">
        <v>5188</v>
      </c>
      <c r="AD1027">
        <v>2</v>
      </c>
      <c r="AE1027" t="s">
        <v>5188</v>
      </c>
      <c r="AF1027">
        <v>0</v>
      </c>
      <c r="AG1027">
        <v>0</v>
      </c>
      <c r="AH1027" t="s">
        <v>116</v>
      </c>
      <c r="AI1027" s="1">
        <v>105686</v>
      </c>
      <c r="AJ1027" s="2">
        <v>0.22</v>
      </c>
      <c r="AK1027" s="1">
        <v>470686</v>
      </c>
      <c r="AL1027" t="s">
        <v>117</v>
      </c>
      <c r="AM1027" t="s">
        <v>393</v>
      </c>
      <c r="AN1027">
        <v>8605</v>
      </c>
      <c r="AO1027">
        <v>0.2</v>
      </c>
      <c r="AP1027">
        <v>1</v>
      </c>
      <c r="AR1027">
        <v>1</v>
      </c>
      <c r="AS1027" s="1">
        <v>32910</v>
      </c>
      <c r="AT1027" s="1">
        <v>6580</v>
      </c>
      <c r="AU1027" s="1">
        <v>26330</v>
      </c>
      <c r="AV1027">
        <v>80.010000000000005</v>
      </c>
      <c r="AX1027" s="1">
        <v>1563</v>
      </c>
      <c r="AY1027" t="s">
        <v>5419</v>
      </c>
      <c r="AZ1027" t="s">
        <v>5420</v>
      </c>
      <c r="BA1027" t="s">
        <v>5421</v>
      </c>
      <c r="BE1027" s="3">
        <v>41865</v>
      </c>
      <c r="BF1027" s="1">
        <v>365000</v>
      </c>
      <c r="BG1027" t="s">
        <v>6838</v>
      </c>
      <c r="BH1027" s="1">
        <v>190.9</v>
      </c>
      <c r="BI1027" s="1">
        <v>365000</v>
      </c>
      <c r="BJ1027" s="3">
        <v>41865</v>
      </c>
      <c r="BK1027" t="s">
        <v>123</v>
      </c>
      <c r="BL1027" t="str">
        <f>"2014.536554"</f>
        <v>2014.536554</v>
      </c>
      <c r="BM1027" t="s">
        <v>724</v>
      </c>
      <c r="BO1027" t="s">
        <v>6839</v>
      </c>
      <c r="BS1027">
        <v>30</v>
      </c>
      <c r="BW1027" t="str">
        <f>""</f>
        <v/>
      </c>
      <c r="CH1027" t="str">
        <f>""</f>
        <v/>
      </c>
      <c r="CS1027" t="str">
        <f>""</f>
        <v/>
      </c>
    </row>
    <row r="1028" spans="1:97" x14ac:dyDescent="0.25">
      <c r="A1028" t="s">
        <v>6840</v>
      </c>
      <c r="B1028" t="s">
        <v>6841</v>
      </c>
      <c r="C1028" t="s">
        <v>5633</v>
      </c>
      <c r="D1028" t="s">
        <v>6841</v>
      </c>
      <c r="E1028" t="s">
        <v>6842</v>
      </c>
      <c r="F1028" t="s">
        <v>108</v>
      </c>
      <c r="H1028" t="s">
        <v>6843</v>
      </c>
      <c r="I1028" t="s">
        <v>6844</v>
      </c>
      <c r="J1028" t="s">
        <v>111</v>
      </c>
      <c r="K1028" t="str">
        <f>"85361"</f>
        <v>85361</v>
      </c>
      <c r="L1028" t="s">
        <v>1789</v>
      </c>
      <c r="M1028" t="s">
        <v>6843</v>
      </c>
      <c r="N1028" t="s">
        <v>6844</v>
      </c>
      <c r="O1028" t="s">
        <v>111</v>
      </c>
      <c r="P1028" t="str">
        <f>"85361-8550"</f>
        <v>85361-8550</v>
      </c>
      <c r="R1028" t="str">
        <f>"503-32-342"</f>
        <v>503-32-342</v>
      </c>
      <c r="S1028" t="s">
        <v>6845</v>
      </c>
      <c r="T1028" t="s">
        <v>6846</v>
      </c>
      <c r="U1028">
        <v>3056</v>
      </c>
      <c r="V1028">
        <v>0</v>
      </c>
      <c r="W1028">
        <v>4</v>
      </c>
      <c r="X1028">
        <v>2005</v>
      </c>
      <c r="Z1028">
        <v>1</v>
      </c>
      <c r="AA1028" t="s">
        <v>26</v>
      </c>
      <c r="AB1028">
        <v>0</v>
      </c>
      <c r="AC1028" t="s">
        <v>115</v>
      </c>
      <c r="AD1028">
        <v>3</v>
      </c>
      <c r="AE1028" t="s">
        <v>115</v>
      </c>
      <c r="AF1028">
        <v>0</v>
      </c>
      <c r="AG1028">
        <v>0</v>
      </c>
      <c r="AH1028" t="s">
        <v>116</v>
      </c>
      <c r="AI1028" s="1">
        <v>130102</v>
      </c>
      <c r="AJ1028" s="2">
        <v>0.27</v>
      </c>
      <c r="AK1028" s="1">
        <v>483460</v>
      </c>
      <c r="AL1028" t="s">
        <v>117</v>
      </c>
      <c r="AM1028" t="s">
        <v>376</v>
      </c>
      <c r="AN1028">
        <v>58965</v>
      </c>
      <c r="AO1028">
        <v>1.35</v>
      </c>
      <c r="AR1028">
        <v>1</v>
      </c>
      <c r="AS1028" s="1">
        <v>35110</v>
      </c>
      <c r="AT1028" s="1">
        <v>7020</v>
      </c>
      <c r="AU1028" s="1">
        <v>28090</v>
      </c>
      <c r="AV1028">
        <v>80.010000000000005</v>
      </c>
      <c r="AX1028" s="1">
        <v>2463.7199999999998</v>
      </c>
      <c r="AY1028" t="s">
        <v>6847</v>
      </c>
      <c r="AZ1028" t="s">
        <v>6847</v>
      </c>
      <c r="BE1028" s="3">
        <v>42482</v>
      </c>
      <c r="BF1028" s="1">
        <v>335000</v>
      </c>
      <c r="BG1028" t="s">
        <v>6848</v>
      </c>
      <c r="BH1028" s="1">
        <v>109.62</v>
      </c>
      <c r="BI1028" s="1">
        <v>353358</v>
      </c>
      <c r="BJ1028" s="3">
        <v>42828</v>
      </c>
      <c r="BK1028" t="s">
        <v>123</v>
      </c>
      <c r="BL1028" t="str">
        <f>"2017.232502"</f>
        <v>2017.232502</v>
      </c>
      <c r="BM1028" t="s">
        <v>673</v>
      </c>
      <c r="BN1028" t="s">
        <v>674</v>
      </c>
      <c r="BO1028" t="s">
        <v>6849</v>
      </c>
      <c r="BQ1028" t="str">
        <f>"2.2500%"</f>
        <v>2.2500%</v>
      </c>
      <c r="BR1028" t="s">
        <v>1480</v>
      </c>
      <c r="BS1028">
        <v>30</v>
      </c>
      <c r="BW1028" t="str">
        <f>""</f>
        <v/>
      </c>
      <c r="CH1028" t="str">
        <f>""</f>
        <v/>
      </c>
      <c r="CS1028" t="str">
        <f>""</f>
        <v/>
      </c>
    </row>
    <row r="1029" spans="1:97" x14ac:dyDescent="0.25">
      <c r="A1029" t="s">
        <v>5224</v>
      </c>
      <c r="B1029" t="s">
        <v>3333</v>
      </c>
      <c r="C1029" t="s">
        <v>2976</v>
      </c>
      <c r="D1029" t="s">
        <v>6850</v>
      </c>
      <c r="E1029" t="s">
        <v>6851</v>
      </c>
      <c r="F1029" t="s">
        <v>108</v>
      </c>
      <c r="H1029" t="s">
        <v>6852</v>
      </c>
      <c r="I1029" t="s">
        <v>110</v>
      </c>
      <c r="J1029" t="s">
        <v>111</v>
      </c>
      <c r="K1029" t="str">
        <f>"85249"</f>
        <v>85249</v>
      </c>
      <c r="L1029" t="s">
        <v>681</v>
      </c>
      <c r="M1029" t="s">
        <v>6852</v>
      </c>
      <c r="N1029" t="s">
        <v>110</v>
      </c>
      <c r="O1029" t="s">
        <v>111</v>
      </c>
      <c r="P1029" t="str">
        <f>"85249-1843"</f>
        <v>85249-1843</v>
      </c>
      <c r="R1029" t="str">
        <f>"303-45-826"</f>
        <v>303-45-826</v>
      </c>
      <c r="S1029" t="s">
        <v>6853</v>
      </c>
      <c r="T1029" t="s">
        <v>6853</v>
      </c>
      <c r="U1029">
        <v>2126</v>
      </c>
      <c r="V1029">
        <v>0</v>
      </c>
      <c r="W1029">
        <v>3</v>
      </c>
      <c r="X1029">
        <v>2001</v>
      </c>
      <c r="Z1029">
        <v>1</v>
      </c>
      <c r="AB1029">
        <v>0</v>
      </c>
      <c r="AC1029" t="s">
        <v>115</v>
      </c>
      <c r="AD1029">
        <v>3</v>
      </c>
      <c r="AE1029" t="s">
        <v>115</v>
      </c>
      <c r="AF1029">
        <v>0</v>
      </c>
      <c r="AG1029">
        <v>0</v>
      </c>
      <c r="AH1029" t="s">
        <v>116</v>
      </c>
      <c r="AI1029" s="1">
        <v>-28251</v>
      </c>
      <c r="AJ1029" s="2">
        <v>-0.1</v>
      </c>
      <c r="AK1029" s="1">
        <v>295048</v>
      </c>
      <c r="AL1029" t="s">
        <v>117</v>
      </c>
      <c r="AM1029" t="s">
        <v>1302</v>
      </c>
      <c r="AN1029">
        <v>10205</v>
      </c>
      <c r="AO1029">
        <v>0.23</v>
      </c>
      <c r="AP1029">
        <v>1</v>
      </c>
      <c r="AR1029">
        <v>1</v>
      </c>
      <c r="AS1029" s="1">
        <v>26630</v>
      </c>
      <c r="AT1029" s="1">
        <v>5320</v>
      </c>
      <c r="AU1029" s="1">
        <v>21310</v>
      </c>
      <c r="AV1029">
        <v>80.02</v>
      </c>
      <c r="AX1029" s="1">
        <v>2199.7199999999998</v>
      </c>
      <c r="AY1029" t="s">
        <v>6854</v>
      </c>
      <c r="AZ1029" t="s">
        <v>120</v>
      </c>
      <c r="BA1029" t="s">
        <v>274</v>
      </c>
      <c r="BE1029" s="3">
        <v>42474</v>
      </c>
      <c r="BF1029" s="1">
        <v>303000</v>
      </c>
      <c r="BG1029" t="s">
        <v>6855</v>
      </c>
      <c r="BH1029" s="1">
        <v>142.52000000000001</v>
      </c>
      <c r="BI1029" s="1">
        <v>312999</v>
      </c>
      <c r="BJ1029" s="3">
        <v>42474</v>
      </c>
      <c r="BK1029" t="s">
        <v>123</v>
      </c>
      <c r="BL1029" t="str">
        <f>"2016.249400"</f>
        <v>2016.249400</v>
      </c>
      <c r="BM1029" t="s">
        <v>1544</v>
      </c>
      <c r="BN1029" t="s">
        <v>6856</v>
      </c>
      <c r="BO1029" t="s">
        <v>6857</v>
      </c>
      <c r="BP1029" t="s">
        <v>6858</v>
      </c>
      <c r="BS1029">
        <v>30</v>
      </c>
      <c r="BT1029" s="1">
        <v>10300</v>
      </c>
      <c r="BU1029" s="3">
        <v>43776</v>
      </c>
      <c r="BW1029" t="str">
        <f>"2019.898931"</f>
        <v>2019.898931</v>
      </c>
      <c r="BX1029" t="s">
        <v>342</v>
      </c>
      <c r="BY1029" t="s">
        <v>343</v>
      </c>
      <c r="BZ1029" t="s">
        <v>6859</v>
      </c>
      <c r="CA1029" t="s">
        <v>6860</v>
      </c>
      <c r="CC1029" t="s">
        <v>346</v>
      </c>
      <c r="CH1029" t="str">
        <f>""</f>
        <v/>
      </c>
      <c r="CS1029" t="str">
        <f>""</f>
        <v/>
      </c>
    </row>
    <row r="1030" spans="1:97" x14ac:dyDescent="0.25">
      <c r="A1030" t="s">
        <v>1009</v>
      </c>
      <c r="B1030" t="s">
        <v>6861</v>
      </c>
      <c r="C1030" t="s">
        <v>327</v>
      </c>
      <c r="D1030" t="s">
        <v>6861</v>
      </c>
      <c r="E1030" t="s">
        <v>6862</v>
      </c>
      <c r="F1030" t="s">
        <v>108</v>
      </c>
      <c r="H1030" t="s">
        <v>6863</v>
      </c>
      <c r="I1030" t="s">
        <v>632</v>
      </c>
      <c r="J1030" t="s">
        <v>111</v>
      </c>
      <c r="K1030" t="str">
        <f>"85379"</f>
        <v>85379</v>
      </c>
      <c r="L1030" t="s">
        <v>6308</v>
      </c>
      <c r="M1030" t="s">
        <v>6863</v>
      </c>
      <c r="N1030" t="s">
        <v>632</v>
      </c>
      <c r="O1030" t="s">
        <v>111</v>
      </c>
      <c r="P1030" t="str">
        <f>"85379-8416"</f>
        <v>85379-8416</v>
      </c>
      <c r="Q1030" t="s">
        <v>113</v>
      </c>
      <c r="R1030" t="str">
        <f>"509-16-586"</f>
        <v>509-16-586</v>
      </c>
      <c r="S1030" t="s">
        <v>6864</v>
      </c>
      <c r="U1030">
        <v>2608</v>
      </c>
      <c r="V1030">
        <v>0</v>
      </c>
      <c r="W1030">
        <v>4</v>
      </c>
      <c r="X1030">
        <v>2004</v>
      </c>
      <c r="Z1030">
        <v>2</v>
      </c>
      <c r="AB1030">
        <v>0</v>
      </c>
      <c r="AC1030" t="s">
        <v>115</v>
      </c>
      <c r="AD1030">
        <v>3</v>
      </c>
      <c r="AE1030" t="s">
        <v>115</v>
      </c>
      <c r="AF1030">
        <v>0</v>
      </c>
      <c r="AG1030">
        <v>0</v>
      </c>
      <c r="AH1030" t="s">
        <v>116</v>
      </c>
      <c r="AI1030" s="1">
        <v>58734</v>
      </c>
      <c r="AJ1030" s="2">
        <v>0.19</v>
      </c>
      <c r="AK1030" s="1">
        <v>307734</v>
      </c>
      <c r="AL1030" t="s">
        <v>117</v>
      </c>
      <c r="AM1030" t="s">
        <v>5516</v>
      </c>
      <c r="AN1030">
        <v>6670</v>
      </c>
      <c r="AO1030">
        <v>0.15</v>
      </c>
      <c r="AP1030">
        <v>1</v>
      </c>
      <c r="AR1030">
        <v>1</v>
      </c>
      <c r="AS1030" s="1">
        <v>20780</v>
      </c>
      <c r="AT1030" s="1">
        <v>4150</v>
      </c>
      <c r="AU1030" s="1">
        <v>16630</v>
      </c>
      <c r="AV1030">
        <v>80.03</v>
      </c>
      <c r="AX1030" s="1">
        <v>1489.42</v>
      </c>
      <c r="AY1030" t="s">
        <v>5983</v>
      </c>
      <c r="AZ1030" t="s">
        <v>5983</v>
      </c>
      <c r="BA1030" t="s">
        <v>321</v>
      </c>
      <c r="BE1030" s="3">
        <v>42517</v>
      </c>
      <c r="BF1030" s="1">
        <v>249000</v>
      </c>
      <c r="BG1030" t="s">
        <v>6865</v>
      </c>
      <c r="BH1030" s="1">
        <v>95.48</v>
      </c>
      <c r="BI1030" s="1">
        <v>249000</v>
      </c>
      <c r="BJ1030" s="3">
        <v>42517</v>
      </c>
      <c r="BK1030" t="s">
        <v>123</v>
      </c>
      <c r="BL1030" t="str">
        <f>"2016.366197"</f>
        <v>2016.366197</v>
      </c>
      <c r="BM1030" t="s">
        <v>402</v>
      </c>
      <c r="BO1030" t="s">
        <v>6866</v>
      </c>
      <c r="BS1030">
        <v>30</v>
      </c>
      <c r="BW1030" t="str">
        <f>""</f>
        <v/>
      </c>
      <c r="CH1030" t="str">
        <f>""</f>
        <v/>
      </c>
      <c r="CS1030" t="str">
        <f>""</f>
        <v/>
      </c>
    </row>
    <row r="1031" spans="1:97" x14ac:dyDescent="0.25">
      <c r="A1031" t="s">
        <v>140</v>
      </c>
      <c r="B1031" t="s">
        <v>6867</v>
      </c>
      <c r="E1031" t="s">
        <v>6868</v>
      </c>
      <c r="F1031" t="s">
        <v>108</v>
      </c>
      <c r="H1031" t="s">
        <v>6869</v>
      </c>
      <c r="I1031" t="s">
        <v>453</v>
      </c>
      <c r="J1031" t="s">
        <v>111</v>
      </c>
      <c r="K1031" t="str">
        <f>"85381"</f>
        <v>85381</v>
      </c>
      <c r="L1031" t="s">
        <v>6438</v>
      </c>
      <c r="M1031" t="s">
        <v>6869</v>
      </c>
      <c r="N1031" t="s">
        <v>453</v>
      </c>
      <c r="O1031" t="s">
        <v>111</v>
      </c>
      <c r="P1031" t="str">
        <f>"85381-9060"</f>
        <v>85381-9060</v>
      </c>
      <c r="Q1031" t="s">
        <v>113</v>
      </c>
      <c r="R1031" t="str">
        <f>"231-10-956"</f>
        <v>231-10-956</v>
      </c>
      <c r="S1031" t="s">
        <v>6870</v>
      </c>
      <c r="T1031" t="s">
        <v>6871</v>
      </c>
      <c r="U1031">
        <v>2129</v>
      </c>
      <c r="V1031">
        <v>0</v>
      </c>
      <c r="W1031">
        <v>3</v>
      </c>
      <c r="X1031">
        <v>1987</v>
      </c>
      <c r="Z1031">
        <v>1</v>
      </c>
      <c r="AA1031" t="s">
        <v>26</v>
      </c>
      <c r="AB1031">
        <v>0</v>
      </c>
      <c r="AC1031" t="s">
        <v>115</v>
      </c>
      <c r="AD1031">
        <v>2</v>
      </c>
      <c r="AE1031" t="s">
        <v>115</v>
      </c>
      <c r="AF1031">
        <v>0</v>
      </c>
      <c r="AG1031">
        <v>0</v>
      </c>
      <c r="AH1031" t="s">
        <v>116</v>
      </c>
      <c r="AI1031" s="1">
        <v>60551</v>
      </c>
      <c r="AJ1031" s="2">
        <v>0.18</v>
      </c>
      <c r="AK1031" s="1">
        <v>333207</v>
      </c>
      <c r="AL1031" t="s">
        <v>117</v>
      </c>
      <c r="AM1031" t="s">
        <v>171</v>
      </c>
      <c r="AN1031">
        <v>11326</v>
      </c>
      <c r="AO1031">
        <v>0.26</v>
      </c>
      <c r="AP1031">
        <v>1</v>
      </c>
      <c r="AR1031">
        <v>1</v>
      </c>
      <c r="AS1031" s="1">
        <v>23100</v>
      </c>
      <c r="AT1031" s="1">
        <v>4620</v>
      </c>
      <c r="AU1031" s="1">
        <v>18480</v>
      </c>
      <c r="AV1031">
        <v>80</v>
      </c>
      <c r="AX1031" s="1">
        <v>1730.86</v>
      </c>
      <c r="AY1031" t="s">
        <v>6872</v>
      </c>
      <c r="AZ1031" t="s">
        <v>6872</v>
      </c>
      <c r="BA1031" t="s">
        <v>1800</v>
      </c>
      <c r="BE1031" s="3">
        <v>42311</v>
      </c>
      <c r="BF1031" s="1">
        <v>277500</v>
      </c>
      <c r="BG1031" t="s">
        <v>6873</v>
      </c>
      <c r="BH1031" s="1">
        <v>130.34</v>
      </c>
      <c r="BI1031" s="1">
        <v>272656</v>
      </c>
      <c r="BJ1031" s="3">
        <v>42447</v>
      </c>
      <c r="BK1031" t="s">
        <v>123</v>
      </c>
      <c r="BL1031" t="str">
        <f>"2016.174855"</f>
        <v>2016.174855</v>
      </c>
      <c r="BM1031" t="s">
        <v>248</v>
      </c>
      <c r="BO1031" t="s">
        <v>6874</v>
      </c>
      <c r="BS1031">
        <v>30</v>
      </c>
      <c r="BW1031" t="str">
        <f>""</f>
        <v/>
      </c>
      <c r="CH1031" t="str">
        <f>""</f>
        <v/>
      </c>
      <c r="CS1031" t="str">
        <f>""</f>
        <v/>
      </c>
    </row>
    <row r="1032" spans="1:97" x14ac:dyDescent="0.25">
      <c r="B1032" t="s">
        <v>6875</v>
      </c>
      <c r="E1032" t="s">
        <v>6876</v>
      </c>
      <c r="F1032" t="s">
        <v>108</v>
      </c>
      <c r="H1032" t="s">
        <v>6877</v>
      </c>
      <c r="I1032" t="s">
        <v>110</v>
      </c>
      <c r="J1032" t="s">
        <v>111</v>
      </c>
      <c r="K1032" t="str">
        <f>"85224"</f>
        <v>85224</v>
      </c>
      <c r="L1032" t="s">
        <v>6691</v>
      </c>
      <c r="M1032" t="s">
        <v>6877</v>
      </c>
      <c r="N1032" t="s">
        <v>110</v>
      </c>
      <c r="O1032" t="s">
        <v>111</v>
      </c>
      <c r="P1032" t="str">
        <f>"85224-1708"</f>
        <v>85224-1708</v>
      </c>
      <c r="Q1032" t="s">
        <v>113</v>
      </c>
      <c r="R1032" t="str">
        <f>"302-79-070-A"</f>
        <v>302-79-070-A</v>
      </c>
      <c r="S1032" t="s">
        <v>6878</v>
      </c>
      <c r="T1032" t="s">
        <v>6878</v>
      </c>
      <c r="U1032">
        <v>2010</v>
      </c>
      <c r="V1032">
        <v>0</v>
      </c>
      <c r="W1032">
        <v>2</v>
      </c>
      <c r="X1032">
        <v>1970</v>
      </c>
      <c r="Z1032">
        <v>1</v>
      </c>
      <c r="AA1032" t="s">
        <v>26</v>
      </c>
      <c r="AB1032">
        <v>0</v>
      </c>
      <c r="AC1032" t="s">
        <v>115</v>
      </c>
      <c r="AD1032">
        <v>4</v>
      </c>
      <c r="AE1032" t="s">
        <v>115</v>
      </c>
      <c r="AF1032">
        <v>0</v>
      </c>
      <c r="AG1032">
        <v>0</v>
      </c>
      <c r="AH1032" t="s">
        <v>116</v>
      </c>
      <c r="AI1032" s="1">
        <v>84241</v>
      </c>
      <c r="AJ1032" s="2">
        <v>0.17</v>
      </c>
      <c r="AK1032" s="1">
        <v>505441</v>
      </c>
      <c r="AL1032" t="s">
        <v>117</v>
      </c>
      <c r="AM1032" t="s">
        <v>376</v>
      </c>
      <c r="AN1032">
        <v>36786</v>
      </c>
      <c r="AO1032">
        <v>0.84</v>
      </c>
      <c r="AP1032">
        <v>1</v>
      </c>
      <c r="AR1032">
        <v>1</v>
      </c>
      <c r="AS1032" s="1">
        <v>35520</v>
      </c>
      <c r="AT1032" s="1">
        <v>7100</v>
      </c>
      <c r="AU1032" s="1">
        <v>28420</v>
      </c>
      <c r="AV1032">
        <v>80.010000000000005</v>
      </c>
      <c r="AX1032" s="1">
        <v>3319.08</v>
      </c>
      <c r="AY1032" t="s">
        <v>6879</v>
      </c>
      <c r="AZ1032" t="s">
        <v>6879</v>
      </c>
      <c r="BA1032" t="s">
        <v>5311</v>
      </c>
      <c r="BB1032" s="3">
        <v>42867</v>
      </c>
      <c r="BD1032" t="s">
        <v>480</v>
      </c>
      <c r="BE1032" s="3">
        <v>41957</v>
      </c>
      <c r="BF1032" s="1">
        <v>437500</v>
      </c>
      <c r="BG1032" t="s">
        <v>6880</v>
      </c>
      <c r="BH1032" s="1">
        <v>217.66</v>
      </c>
      <c r="BI1032" s="1">
        <v>421200</v>
      </c>
      <c r="BJ1032" s="3">
        <v>41957</v>
      </c>
      <c r="BK1032" t="s">
        <v>123</v>
      </c>
      <c r="BL1032" t="str">
        <f>"2014.755532"</f>
        <v>2014.755532</v>
      </c>
      <c r="BM1032" t="s">
        <v>124</v>
      </c>
      <c r="BN1032" t="s">
        <v>1575</v>
      </c>
      <c r="BO1032" t="s">
        <v>6881</v>
      </c>
      <c r="BS1032">
        <v>30</v>
      </c>
      <c r="BW1032" t="str">
        <f>""</f>
        <v/>
      </c>
      <c r="CH1032" t="str">
        <f>""</f>
        <v/>
      </c>
      <c r="CS1032" t="str">
        <f>""</f>
        <v/>
      </c>
    </row>
    <row r="1033" spans="1:97" x14ac:dyDescent="0.25">
      <c r="A1033" t="s">
        <v>1514</v>
      </c>
      <c r="B1033" t="s">
        <v>6882</v>
      </c>
      <c r="C1033" t="s">
        <v>537</v>
      </c>
      <c r="D1033" t="s">
        <v>6882</v>
      </c>
      <c r="E1033" t="s">
        <v>6883</v>
      </c>
      <c r="F1033" t="s">
        <v>108</v>
      </c>
      <c r="H1033" t="s">
        <v>6884</v>
      </c>
      <c r="I1033" t="s">
        <v>499</v>
      </c>
      <c r="J1033" t="s">
        <v>111</v>
      </c>
      <c r="K1033" t="str">
        <f>"85338"</f>
        <v>85338</v>
      </c>
      <c r="L1033" t="s">
        <v>4751</v>
      </c>
      <c r="M1033" t="s">
        <v>6884</v>
      </c>
      <c r="N1033" t="s">
        <v>499</v>
      </c>
      <c r="O1033" t="s">
        <v>111</v>
      </c>
      <c r="P1033" t="str">
        <f>"85338-5651"</f>
        <v>85338-5651</v>
      </c>
      <c r="Q1033" t="s">
        <v>113</v>
      </c>
      <c r="R1033" t="str">
        <f>"400-58-164"</f>
        <v>400-58-164</v>
      </c>
      <c r="S1033" t="s">
        <v>4752</v>
      </c>
      <c r="T1033" t="s">
        <v>6885</v>
      </c>
      <c r="U1033">
        <v>2310</v>
      </c>
      <c r="V1033">
        <v>0</v>
      </c>
      <c r="W1033">
        <v>3</v>
      </c>
      <c r="X1033">
        <v>2012</v>
      </c>
      <c r="Z1033">
        <v>1</v>
      </c>
      <c r="AA1033" t="s">
        <v>26</v>
      </c>
      <c r="AB1033">
        <v>0</v>
      </c>
      <c r="AC1033" t="s">
        <v>115</v>
      </c>
      <c r="AD1033">
        <v>3</v>
      </c>
      <c r="AE1033" t="s">
        <v>115</v>
      </c>
      <c r="AF1033">
        <v>0</v>
      </c>
      <c r="AG1033">
        <v>0</v>
      </c>
      <c r="AH1033" t="s">
        <v>116</v>
      </c>
      <c r="AI1033" s="1">
        <v>18117</v>
      </c>
      <c r="AJ1033" s="2">
        <v>0.06</v>
      </c>
      <c r="AK1033" s="1">
        <v>316865</v>
      </c>
      <c r="AL1033" t="s">
        <v>117</v>
      </c>
      <c r="AM1033" t="s">
        <v>118</v>
      </c>
      <c r="AN1033">
        <v>7800</v>
      </c>
      <c r="AO1033">
        <v>0.18</v>
      </c>
      <c r="AR1033">
        <v>1</v>
      </c>
      <c r="AS1033" s="1">
        <v>25910</v>
      </c>
      <c r="AT1033" s="1">
        <v>5180</v>
      </c>
      <c r="AU1033" s="1">
        <v>20730</v>
      </c>
      <c r="AV1033">
        <v>80.010000000000005</v>
      </c>
      <c r="AX1033" s="1">
        <v>2668.36</v>
      </c>
      <c r="AY1033" t="s">
        <v>1246</v>
      </c>
      <c r="AZ1033" t="s">
        <v>1246</v>
      </c>
      <c r="BA1033" t="s">
        <v>1247</v>
      </c>
      <c r="BE1033" s="3">
        <v>42296</v>
      </c>
      <c r="BF1033" s="1">
        <v>323000</v>
      </c>
      <c r="BG1033" t="s">
        <v>6886</v>
      </c>
      <c r="BH1033" s="1">
        <v>139.83000000000001</v>
      </c>
      <c r="BI1033" s="1">
        <v>298748</v>
      </c>
      <c r="BJ1033" s="3">
        <v>42296</v>
      </c>
      <c r="BK1033" t="s">
        <v>123</v>
      </c>
      <c r="BL1033" t="str">
        <f>"2015.749631"</f>
        <v>2015.749631</v>
      </c>
      <c r="BM1033" t="s">
        <v>2368</v>
      </c>
      <c r="BO1033" t="s">
        <v>6887</v>
      </c>
      <c r="BS1033">
        <v>30</v>
      </c>
      <c r="BW1033" t="str">
        <f>""</f>
        <v/>
      </c>
      <c r="CH1033" t="str">
        <f>""</f>
        <v/>
      </c>
      <c r="CS1033" t="str">
        <f>""</f>
        <v/>
      </c>
    </row>
    <row r="1034" spans="1:97" x14ac:dyDescent="0.25">
      <c r="A1034" t="s">
        <v>3613</v>
      </c>
      <c r="B1034" t="s">
        <v>6888</v>
      </c>
      <c r="E1034" t="s">
        <v>6889</v>
      </c>
      <c r="F1034" t="s">
        <v>108</v>
      </c>
      <c r="H1034" t="s">
        <v>6890</v>
      </c>
      <c r="I1034" t="s">
        <v>1936</v>
      </c>
      <c r="J1034" t="s">
        <v>111</v>
      </c>
      <c r="K1034" t="str">
        <f>"85257"</f>
        <v>85257</v>
      </c>
      <c r="L1034" t="s">
        <v>6891</v>
      </c>
      <c r="M1034" t="s">
        <v>6890</v>
      </c>
      <c r="N1034" t="s">
        <v>1936</v>
      </c>
      <c r="O1034" t="s">
        <v>111</v>
      </c>
      <c r="P1034" t="str">
        <f>"85257-2062"</f>
        <v>85257-2062</v>
      </c>
      <c r="Q1034" t="s">
        <v>113</v>
      </c>
      <c r="R1034" t="str">
        <f>"129-05-035"</f>
        <v>129-05-035</v>
      </c>
      <c r="S1034" t="s">
        <v>6892</v>
      </c>
      <c r="T1034" t="s">
        <v>6893</v>
      </c>
      <c r="U1034">
        <v>1014</v>
      </c>
      <c r="V1034">
        <v>0</v>
      </c>
      <c r="W1034">
        <v>2</v>
      </c>
      <c r="X1034">
        <v>1958</v>
      </c>
      <c r="Z1034">
        <v>1</v>
      </c>
      <c r="AB1034">
        <v>0</v>
      </c>
      <c r="AC1034" t="s">
        <v>115</v>
      </c>
      <c r="AD1034">
        <v>3</v>
      </c>
      <c r="AE1034" t="s">
        <v>115</v>
      </c>
      <c r="AF1034">
        <v>0</v>
      </c>
      <c r="AG1034">
        <v>0</v>
      </c>
      <c r="AH1034" t="s">
        <v>116</v>
      </c>
      <c r="AI1034" s="1">
        <v>13603</v>
      </c>
      <c r="AJ1034" s="2">
        <v>0.04</v>
      </c>
      <c r="AK1034" s="1">
        <v>340031</v>
      </c>
      <c r="AL1034" t="s">
        <v>117</v>
      </c>
      <c r="AM1034" t="s">
        <v>393</v>
      </c>
      <c r="AN1034">
        <v>9686</v>
      </c>
      <c r="AO1034">
        <v>0.22</v>
      </c>
      <c r="AP1034">
        <v>1</v>
      </c>
      <c r="AR1034">
        <v>1</v>
      </c>
      <c r="AS1034" s="1">
        <v>21870</v>
      </c>
      <c r="AT1034" s="1">
        <v>4370</v>
      </c>
      <c r="AU1034" s="1">
        <v>17500</v>
      </c>
      <c r="AV1034">
        <v>80.02</v>
      </c>
      <c r="AX1034" s="1">
        <v>1072.6400000000001</v>
      </c>
      <c r="AY1034" t="s">
        <v>6894</v>
      </c>
      <c r="AZ1034" t="s">
        <v>6894</v>
      </c>
      <c r="BA1034" t="s">
        <v>5421</v>
      </c>
      <c r="BE1034" s="3">
        <v>41642</v>
      </c>
      <c r="BF1034" s="1">
        <v>235000</v>
      </c>
      <c r="BG1034" t="s">
        <v>6895</v>
      </c>
      <c r="BH1034" s="1">
        <v>231.76</v>
      </c>
      <c r="BI1034" s="1">
        <v>326428</v>
      </c>
      <c r="BJ1034" s="3">
        <v>43165</v>
      </c>
      <c r="BK1034" t="s">
        <v>123</v>
      </c>
      <c r="BL1034" t="str">
        <f>"2018.167146"</f>
        <v>2018.167146</v>
      </c>
      <c r="BM1034" t="s">
        <v>6896</v>
      </c>
      <c r="BN1034" t="s">
        <v>6128</v>
      </c>
      <c r="BO1034" t="s">
        <v>6897</v>
      </c>
      <c r="BR1034" t="s">
        <v>139</v>
      </c>
      <c r="BW1034" t="str">
        <f>""</f>
        <v/>
      </c>
      <c r="CH1034" t="str">
        <f>""</f>
        <v/>
      </c>
      <c r="CS1034" t="str">
        <f>""</f>
        <v/>
      </c>
    </row>
    <row r="1035" spans="1:97" x14ac:dyDescent="0.25">
      <c r="A1035" t="s">
        <v>6898</v>
      </c>
      <c r="B1035" t="s">
        <v>6899</v>
      </c>
      <c r="E1035" t="s">
        <v>6900</v>
      </c>
      <c r="F1035" t="s">
        <v>108</v>
      </c>
      <c r="H1035" t="s">
        <v>6901</v>
      </c>
      <c r="I1035" t="s">
        <v>390</v>
      </c>
      <c r="J1035" t="s">
        <v>111</v>
      </c>
      <c r="K1035" t="str">
        <f>"85032"</f>
        <v>85032</v>
      </c>
      <c r="L1035" t="s">
        <v>6902</v>
      </c>
      <c r="M1035" t="s">
        <v>6901</v>
      </c>
      <c r="N1035" t="s">
        <v>390</v>
      </c>
      <c r="O1035" t="s">
        <v>111</v>
      </c>
      <c r="P1035" t="str">
        <f>"85032-7104"</f>
        <v>85032-7104</v>
      </c>
      <c r="Q1035" t="s">
        <v>113</v>
      </c>
      <c r="R1035" t="str">
        <f>"166-05-146"</f>
        <v>166-05-146</v>
      </c>
      <c r="S1035" t="s">
        <v>6903</v>
      </c>
      <c r="T1035" t="s">
        <v>6903</v>
      </c>
      <c r="U1035">
        <v>1704</v>
      </c>
      <c r="V1035">
        <v>0</v>
      </c>
      <c r="W1035">
        <v>3</v>
      </c>
      <c r="X1035">
        <v>1978</v>
      </c>
      <c r="Z1035">
        <v>1</v>
      </c>
      <c r="AA1035" t="s">
        <v>26</v>
      </c>
      <c r="AB1035">
        <v>0</v>
      </c>
      <c r="AC1035" t="s">
        <v>115</v>
      </c>
      <c r="AD1035">
        <v>2</v>
      </c>
      <c r="AE1035" t="s">
        <v>115</v>
      </c>
      <c r="AF1035">
        <v>0</v>
      </c>
      <c r="AG1035">
        <v>0</v>
      </c>
      <c r="AH1035" t="s">
        <v>116</v>
      </c>
      <c r="AI1035" s="1">
        <v>87303</v>
      </c>
      <c r="AJ1035" s="2">
        <v>0.28000000000000003</v>
      </c>
      <c r="AK1035" s="1">
        <v>317038</v>
      </c>
      <c r="AL1035" t="s">
        <v>117</v>
      </c>
      <c r="AM1035" t="s">
        <v>171</v>
      </c>
      <c r="AN1035">
        <v>7941</v>
      </c>
      <c r="AO1035">
        <v>0.18</v>
      </c>
      <c r="AP1035">
        <v>1</v>
      </c>
      <c r="AR1035">
        <v>1</v>
      </c>
      <c r="AS1035" s="1">
        <v>23380</v>
      </c>
      <c r="AT1035" s="1">
        <v>4670</v>
      </c>
      <c r="AU1035" s="1">
        <v>18710</v>
      </c>
      <c r="AV1035">
        <v>80.03</v>
      </c>
      <c r="AX1035" s="1">
        <v>1824.98</v>
      </c>
      <c r="AY1035" t="s">
        <v>6904</v>
      </c>
      <c r="AZ1035" t="s">
        <v>5489</v>
      </c>
      <c r="BA1035" t="s">
        <v>5232</v>
      </c>
      <c r="BE1035" s="3">
        <v>42123</v>
      </c>
      <c r="BF1035" s="1">
        <v>224900</v>
      </c>
      <c r="BG1035" t="s">
        <v>6905</v>
      </c>
      <c r="BH1035" s="1">
        <v>141.97999999999999</v>
      </c>
      <c r="BI1035" s="1">
        <v>229735</v>
      </c>
      <c r="BJ1035" s="3">
        <v>42123</v>
      </c>
      <c r="BK1035" t="s">
        <v>123</v>
      </c>
      <c r="BL1035" t="str">
        <f>"2015.298392"</f>
        <v>2015.298392</v>
      </c>
      <c r="BM1035" t="s">
        <v>820</v>
      </c>
      <c r="BO1035" t="s">
        <v>6906</v>
      </c>
      <c r="BS1035">
        <v>30</v>
      </c>
      <c r="BW1035" t="str">
        <f>""</f>
        <v/>
      </c>
      <c r="CH1035" t="str">
        <f>""</f>
        <v/>
      </c>
      <c r="CS1035" t="str">
        <f>""</f>
        <v/>
      </c>
    </row>
    <row r="1036" spans="1:97" x14ac:dyDescent="0.25">
      <c r="A1036" t="s">
        <v>4229</v>
      </c>
      <c r="B1036" t="s">
        <v>6907</v>
      </c>
      <c r="C1036" t="s">
        <v>6908</v>
      </c>
      <c r="E1036" t="s">
        <v>6909</v>
      </c>
      <c r="F1036" t="s">
        <v>108</v>
      </c>
      <c r="H1036" t="s">
        <v>6910</v>
      </c>
      <c r="I1036" t="s">
        <v>203</v>
      </c>
      <c r="J1036" t="s">
        <v>111</v>
      </c>
      <c r="K1036" t="str">
        <f>"85298"</f>
        <v>85298</v>
      </c>
      <c r="L1036" t="s">
        <v>681</v>
      </c>
      <c r="M1036" t="s">
        <v>6910</v>
      </c>
      <c r="N1036" t="s">
        <v>203</v>
      </c>
      <c r="O1036" t="s">
        <v>111</v>
      </c>
      <c r="P1036" t="str">
        <f>"85298-2207"</f>
        <v>85298-2207</v>
      </c>
      <c r="Q1036" t="s">
        <v>113</v>
      </c>
      <c r="R1036" t="str">
        <f>"304-71-903"</f>
        <v>304-71-903</v>
      </c>
      <c r="S1036" t="s">
        <v>6911</v>
      </c>
      <c r="T1036" t="s">
        <v>287</v>
      </c>
      <c r="U1036">
        <v>2087</v>
      </c>
      <c r="V1036">
        <v>0</v>
      </c>
      <c r="W1036">
        <v>4</v>
      </c>
      <c r="X1036">
        <v>2014</v>
      </c>
      <c r="Z1036">
        <v>2</v>
      </c>
      <c r="AB1036">
        <v>0</v>
      </c>
      <c r="AC1036" t="s">
        <v>115</v>
      </c>
      <c r="AD1036">
        <v>2</v>
      </c>
      <c r="AE1036" t="s">
        <v>115</v>
      </c>
      <c r="AF1036">
        <v>0</v>
      </c>
      <c r="AG1036">
        <v>0</v>
      </c>
      <c r="AH1036" t="s">
        <v>116</v>
      </c>
      <c r="AI1036" s="1">
        <v>66622</v>
      </c>
      <c r="AJ1036" s="2">
        <v>0.18</v>
      </c>
      <c r="AK1036" s="1">
        <v>371622</v>
      </c>
      <c r="AL1036" t="s">
        <v>117</v>
      </c>
      <c r="AM1036" t="s">
        <v>288</v>
      </c>
      <c r="AN1036">
        <v>4768</v>
      </c>
      <c r="AO1036">
        <v>0.11</v>
      </c>
      <c r="AR1036">
        <v>1</v>
      </c>
      <c r="AS1036" s="1">
        <v>25550</v>
      </c>
      <c r="AT1036" s="1">
        <v>5110</v>
      </c>
      <c r="AU1036" s="1">
        <v>20440</v>
      </c>
      <c r="AV1036">
        <v>80</v>
      </c>
      <c r="AX1036" s="1">
        <v>1953.72</v>
      </c>
      <c r="AY1036" t="s">
        <v>289</v>
      </c>
      <c r="AZ1036" t="s">
        <v>289</v>
      </c>
      <c r="BA1036" t="s">
        <v>290</v>
      </c>
      <c r="BB1036" s="3">
        <v>42808</v>
      </c>
      <c r="BC1036" s="1">
        <v>305000</v>
      </c>
      <c r="BD1036" t="s">
        <v>240</v>
      </c>
      <c r="BE1036" s="3">
        <v>41740</v>
      </c>
      <c r="BF1036" s="1">
        <v>260840</v>
      </c>
      <c r="BG1036" t="s">
        <v>6912</v>
      </c>
      <c r="BH1036" s="1">
        <v>124.98</v>
      </c>
      <c r="BI1036" s="1">
        <v>305000</v>
      </c>
      <c r="BJ1036" s="3">
        <v>42808</v>
      </c>
      <c r="BK1036" t="s">
        <v>123</v>
      </c>
      <c r="BL1036" t="str">
        <f>"2017.180642"</f>
        <v>2017.180642</v>
      </c>
      <c r="BM1036" t="s">
        <v>1185</v>
      </c>
      <c r="BO1036" t="s">
        <v>6913</v>
      </c>
      <c r="BS1036">
        <v>30</v>
      </c>
      <c r="BW1036" t="str">
        <f>""</f>
        <v/>
      </c>
      <c r="CH1036" t="str">
        <f>""</f>
        <v/>
      </c>
      <c r="CS1036" t="str">
        <f>""</f>
        <v/>
      </c>
    </row>
    <row r="1037" spans="1:97" x14ac:dyDescent="0.25">
      <c r="A1037" t="s">
        <v>1187</v>
      </c>
      <c r="B1037" t="s">
        <v>6914</v>
      </c>
      <c r="C1037" t="s">
        <v>1407</v>
      </c>
      <c r="D1037" t="s">
        <v>6914</v>
      </c>
      <c r="E1037" t="s">
        <v>6915</v>
      </c>
      <c r="F1037" t="s">
        <v>108</v>
      </c>
      <c r="H1037" t="s">
        <v>6916</v>
      </c>
      <c r="I1037" t="s">
        <v>390</v>
      </c>
      <c r="J1037" t="s">
        <v>111</v>
      </c>
      <c r="K1037" t="str">
        <f>"85085"</f>
        <v>85085</v>
      </c>
      <c r="L1037" t="s">
        <v>3094</v>
      </c>
      <c r="M1037" t="s">
        <v>6916</v>
      </c>
      <c r="N1037" t="s">
        <v>390</v>
      </c>
      <c r="O1037" t="s">
        <v>111</v>
      </c>
      <c r="P1037" t="str">
        <f>"85085-5725"</f>
        <v>85085-5725</v>
      </c>
      <c r="Q1037" t="s">
        <v>113</v>
      </c>
      <c r="R1037" t="str">
        <f>"210-03-663"</f>
        <v>210-03-663</v>
      </c>
      <c r="S1037" t="s">
        <v>6917</v>
      </c>
      <c r="U1037">
        <v>1982</v>
      </c>
      <c r="V1037">
        <v>0</v>
      </c>
      <c r="W1037">
        <v>4</v>
      </c>
      <c r="X1037">
        <v>2005</v>
      </c>
      <c r="Z1037">
        <v>2</v>
      </c>
      <c r="AB1037">
        <v>0</v>
      </c>
      <c r="AC1037" t="s">
        <v>115</v>
      </c>
      <c r="AD1037">
        <v>2</v>
      </c>
      <c r="AE1037" t="s">
        <v>115</v>
      </c>
      <c r="AF1037">
        <v>0</v>
      </c>
      <c r="AG1037">
        <v>0</v>
      </c>
      <c r="AH1037" t="s">
        <v>116</v>
      </c>
      <c r="AI1037" s="1">
        <v>49903</v>
      </c>
      <c r="AJ1037" s="2">
        <v>0.16</v>
      </c>
      <c r="AK1037" s="1">
        <v>305675</v>
      </c>
      <c r="AL1037" t="s">
        <v>117</v>
      </c>
      <c r="AM1037" t="s">
        <v>760</v>
      </c>
      <c r="AN1037">
        <v>5305</v>
      </c>
      <c r="AO1037">
        <v>0.12</v>
      </c>
      <c r="AR1037">
        <v>1</v>
      </c>
      <c r="AS1037" s="1">
        <v>21170</v>
      </c>
      <c r="AT1037" s="1">
        <v>4230</v>
      </c>
      <c r="AU1037" s="1">
        <v>16940</v>
      </c>
      <c r="AV1037">
        <v>80.02</v>
      </c>
      <c r="AX1037" s="1">
        <v>1744.34</v>
      </c>
      <c r="AY1037" t="s">
        <v>1461</v>
      </c>
      <c r="AZ1037" t="s">
        <v>1461</v>
      </c>
      <c r="BA1037" t="s">
        <v>1462</v>
      </c>
      <c r="BE1037" s="3">
        <v>42060</v>
      </c>
      <c r="BF1037" s="1">
        <v>219000</v>
      </c>
      <c r="BG1037" t="s">
        <v>6918</v>
      </c>
      <c r="BH1037" s="1">
        <v>110.49</v>
      </c>
      <c r="BI1037" s="1">
        <v>255772</v>
      </c>
      <c r="BJ1037" s="3">
        <v>42570</v>
      </c>
      <c r="BK1037" t="s">
        <v>123</v>
      </c>
      <c r="BL1037" t="str">
        <f>"2016.509126"</f>
        <v>2016.509126</v>
      </c>
      <c r="BM1037" t="s">
        <v>820</v>
      </c>
      <c r="BO1037" t="s">
        <v>6919</v>
      </c>
      <c r="BS1037">
        <v>30</v>
      </c>
      <c r="BW1037" t="str">
        <f>""</f>
        <v/>
      </c>
      <c r="CH1037" t="str">
        <f>""</f>
        <v/>
      </c>
      <c r="CS1037" t="str">
        <f>""</f>
        <v/>
      </c>
    </row>
    <row r="1038" spans="1:97" x14ac:dyDescent="0.25">
      <c r="A1038" t="s">
        <v>2729</v>
      </c>
      <c r="B1038" t="s">
        <v>6920</v>
      </c>
      <c r="E1038" t="s">
        <v>6921</v>
      </c>
      <c r="F1038" t="s">
        <v>108</v>
      </c>
      <c r="H1038" t="s">
        <v>6922</v>
      </c>
      <c r="I1038" t="s">
        <v>390</v>
      </c>
      <c r="J1038" t="s">
        <v>111</v>
      </c>
      <c r="K1038" t="str">
        <f>"85027"</f>
        <v>85027</v>
      </c>
      <c r="L1038" t="s">
        <v>6923</v>
      </c>
      <c r="M1038" t="s">
        <v>6922</v>
      </c>
      <c r="N1038" t="s">
        <v>390</v>
      </c>
      <c r="O1038" t="s">
        <v>111</v>
      </c>
      <c r="P1038" t="str">
        <f>"85027-2326"</f>
        <v>85027-2326</v>
      </c>
      <c r="Q1038" t="s">
        <v>113</v>
      </c>
      <c r="R1038" t="str">
        <f>"206-41-280"</f>
        <v>206-41-280</v>
      </c>
      <c r="S1038" t="s">
        <v>6924</v>
      </c>
      <c r="T1038" t="s">
        <v>6925</v>
      </c>
      <c r="U1038">
        <v>3106</v>
      </c>
      <c r="V1038">
        <v>0</v>
      </c>
      <c r="W1038">
        <v>4</v>
      </c>
      <c r="X1038">
        <v>1998</v>
      </c>
      <c r="Z1038">
        <v>2</v>
      </c>
      <c r="AA1038" t="s">
        <v>26</v>
      </c>
      <c r="AB1038">
        <v>0</v>
      </c>
      <c r="AC1038" t="s">
        <v>115</v>
      </c>
      <c r="AD1038">
        <v>2</v>
      </c>
      <c r="AE1038" t="s">
        <v>115</v>
      </c>
      <c r="AF1038">
        <v>0</v>
      </c>
      <c r="AG1038">
        <v>0</v>
      </c>
      <c r="AH1038" t="s">
        <v>116</v>
      </c>
      <c r="AI1038" s="1">
        <v>104077</v>
      </c>
      <c r="AJ1038" s="2">
        <v>0.27</v>
      </c>
      <c r="AK1038" s="1">
        <v>384077</v>
      </c>
      <c r="AL1038" t="s">
        <v>117</v>
      </c>
      <c r="AM1038" t="s">
        <v>1315</v>
      </c>
      <c r="AN1038">
        <v>7630</v>
      </c>
      <c r="AO1038">
        <v>0.18</v>
      </c>
      <c r="AP1038">
        <v>1</v>
      </c>
      <c r="AR1038">
        <v>1</v>
      </c>
      <c r="AS1038" s="1">
        <v>27060</v>
      </c>
      <c r="AT1038" s="1">
        <v>5410</v>
      </c>
      <c r="AU1038" s="1">
        <v>21650</v>
      </c>
      <c r="AV1038">
        <v>80.010000000000005</v>
      </c>
      <c r="AX1038" s="1">
        <v>1560.84</v>
      </c>
      <c r="AY1038" t="s">
        <v>6926</v>
      </c>
      <c r="AZ1038" t="s">
        <v>2357</v>
      </c>
      <c r="BA1038" t="s">
        <v>1462</v>
      </c>
      <c r="BE1038" s="3">
        <v>41919</v>
      </c>
      <c r="BF1038" s="1">
        <v>280000</v>
      </c>
      <c r="BG1038" t="s">
        <v>6927</v>
      </c>
      <c r="BH1038" s="1">
        <v>90.15</v>
      </c>
      <c r="BI1038" s="1">
        <v>280000</v>
      </c>
      <c r="BJ1038" s="3">
        <v>41919</v>
      </c>
      <c r="BK1038" t="s">
        <v>123</v>
      </c>
      <c r="BL1038" t="str">
        <f>"2014.662391"</f>
        <v>2014.662391</v>
      </c>
      <c r="BM1038" t="s">
        <v>2489</v>
      </c>
      <c r="BO1038" t="s">
        <v>6928</v>
      </c>
      <c r="BS1038">
        <v>30</v>
      </c>
      <c r="BW1038" t="str">
        <f>""</f>
        <v/>
      </c>
      <c r="CH1038" t="str">
        <f>""</f>
        <v/>
      </c>
      <c r="CS1038" t="str">
        <f>""</f>
        <v/>
      </c>
    </row>
    <row r="1039" spans="1:97" x14ac:dyDescent="0.25">
      <c r="A1039" t="s">
        <v>6929</v>
      </c>
      <c r="B1039" t="s">
        <v>6930</v>
      </c>
      <c r="C1039" t="s">
        <v>1289</v>
      </c>
      <c r="D1039" t="s">
        <v>6930</v>
      </c>
      <c r="E1039" t="s">
        <v>6931</v>
      </c>
      <c r="F1039" t="s">
        <v>108</v>
      </c>
      <c r="H1039" t="s">
        <v>6932</v>
      </c>
      <c r="I1039" t="s">
        <v>225</v>
      </c>
      <c r="J1039" t="s">
        <v>111</v>
      </c>
      <c r="K1039" t="str">
        <f>"85206"</f>
        <v>85206</v>
      </c>
      <c r="L1039" t="s">
        <v>6333</v>
      </c>
      <c r="M1039" t="s">
        <v>6932</v>
      </c>
      <c r="N1039" t="s">
        <v>225</v>
      </c>
      <c r="O1039" t="s">
        <v>111</v>
      </c>
      <c r="P1039" t="str">
        <f>"85206-2707"</f>
        <v>85206-2707</v>
      </c>
      <c r="Q1039" t="s">
        <v>113</v>
      </c>
      <c r="R1039" t="str">
        <f>"140-51-292"</f>
        <v>140-51-292</v>
      </c>
      <c r="S1039" t="s">
        <v>6933</v>
      </c>
      <c r="U1039">
        <v>1883</v>
      </c>
      <c r="V1039">
        <v>0</v>
      </c>
      <c r="W1039">
        <v>2</v>
      </c>
      <c r="X1039">
        <v>1980</v>
      </c>
      <c r="Z1039">
        <v>1</v>
      </c>
      <c r="AB1039">
        <v>0</v>
      </c>
      <c r="AC1039" t="s">
        <v>115</v>
      </c>
      <c r="AD1039">
        <v>2</v>
      </c>
      <c r="AE1039" t="s">
        <v>115</v>
      </c>
      <c r="AF1039">
        <v>0</v>
      </c>
      <c r="AG1039">
        <v>0</v>
      </c>
      <c r="AH1039" t="s">
        <v>116</v>
      </c>
      <c r="AI1039" s="1">
        <v>27359</v>
      </c>
      <c r="AJ1039" s="2">
        <v>0.1</v>
      </c>
      <c r="AK1039" s="1">
        <v>265049</v>
      </c>
      <c r="AL1039" t="s">
        <v>117</v>
      </c>
      <c r="AM1039" t="s">
        <v>191</v>
      </c>
      <c r="AN1039">
        <v>6541</v>
      </c>
      <c r="AO1039">
        <v>0.15</v>
      </c>
      <c r="AP1039">
        <v>1</v>
      </c>
      <c r="AR1039">
        <v>1</v>
      </c>
      <c r="AS1039" s="1">
        <v>17710</v>
      </c>
      <c r="AT1039" s="1">
        <v>3540</v>
      </c>
      <c r="AU1039" s="1">
        <v>14170</v>
      </c>
      <c r="AV1039">
        <v>80.010000000000005</v>
      </c>
      <c r="AX1039" s="1">
        <v>1622.72</v>
      </c>
      <c r="AY1039" t="s">
        <v>6934</v>
      </c>
      <c r="AZ1039" t="s">
        <v>5158</v>
      </c>
      <c r="BA1039" t="s">
        <v>5159</v>
      </c>
      <c r="BE1039" s="3">
        <v>42167</v>
      </c>
      <c r="BF1039" s="1">
        <v>198000</v>
      </c>
      <c r="BG1039" t="s">
        <v>5034</v>
      </c>
      <c r="BH1039" s="1">
        <v>105.15</v>
      </c>
      <c r="BI1039" s="1">
        <v>237690</v>
      </c>
      <c r="BJ1039" s="3">
        <v>43347</v>
      </c>
      <c r="BK1039" t="s">
        <v>123</v>
      </c>
      <c r="BL1039" t="str">
        <f>"2018.665053"</f>
        <v>2018.665053</v>
      </c>
      <c r="BM1039" t="s">
        <v>533</v>
      </c>
      <c r="BN1039" t="s">
        <v>534</v>
      </c>
      <c r="BO1039" t="s">
        <v>6935</v>
      </c>
      <c r="BP1039" t="s">
        <v>6936</v>
      </c>
      <c r="BR1039" t="s">
        <v>139</v>
      </c>
      <c r="BW1039" t="str">
        <f>""</f>
        <v/>
      </c>
      <c r="CH1039" t="str">
        <f>""</f>
        <v/>
      </c>
      <c r="CS1039" t="str">
        <f>""</f>
        <v/>
      </c>
    </row>
    <row r="1040" spans="1:97" x14ac:dyDescent="0.25">
      <c r="A1040" t="s">
        <v>6937</v>
      </c>
      <c r="B1040" t="s">
        <v>6938</v>
      </c>
      <c r="C1040" t="s">
        <v>6939</v>
      </c>
      <c r="D1040" t="s">
        <v>6938</v>
      </c>
      <c r="E1040" t="s">
        <v>6940</v>
      </c>
      <c r="F1040" t="s">
        <v>108</v>
      </c>
      <c r="H1040" t="s">
        <v>6941</v>
      </c>
      <c r="I1040" t="s">
        <v>453</v>
      </c>
      <c r="J1040" t="s">
        <v>111</v>
      </c>
      <c r="K1040" t="str">
        <f>"85345"</f>
        <v>85345</v>
      </c>
      <c r="L1040" t="s">
        <v>5176</v>
      </c>
      <c r="M1040" t="s">
        <v>6941</v>
      </c>
      <c r="N1040" t="s">
        <v>453</v>
      </c>
      <c r="O1040" t="s">
        <v>111</v>
      </c>
      <c r="P1040" t="str">
        <f>"85345-4700"</f>
        <v>85345-4700</v>
      </c>
      <c r="Q1040" t="s">
        <v>113</v>
      </c>
      <c r="R1040" t="str">
        <f>"142-35-428"</f>
        <v>142-35-428</v>
      </c>
      <c r="S1040" t="s">
        <v>6942</v>
      </c>
      <c r="T1040" t="s">
        <v>6943</v>
      </c>
      <c r="U1040">
        <v>2620</v>
      </c>
      <c r="V1040">
        <v>0</v>
      </c>
      <c r="W1040">
        <v>5</v>
      </c>
      <c r="X1040">
        <v>2015</v>
      </c>
      <c r="Z1040">
        <v>1</v>
      </c>
      <c r="AB1040">
        <v>0</v>
      </c>
      <c r="AC1040" t="s">
        <v>115</v>
      </c>
      <c r="AD1040">
        <v>3</v>
      </c>
      <c r="AE1040" t="s">
        <v>115</v>
      </c>
      <c r="AF1040">
        <v>0</v>
      </c>
      <c r="AG1040">
        <v>0</v>
      </c>
      <c r="AH1040" t="s">
        <v>116</v>
      </c>
      <c r="AI1040" s="1">
        <v>64822</v>
      </c>
      <c r="AJ1040" s="2">
        <v>0.18</v>
      </c>
      <c r="AK1040" s="1">
        <v>358100</v>
      </c>
      <c r="AL1040" t="s">
        <v>117</v>
      </c>
      <c r="AM1040" t="s">
        <v>118</v>
      </c>
      <c r="AN1040">
        <v>7270</v>
      </c>
      <c r="AO1040">
        <v>0.17</v>
      </c>
      <c r="AR1040">
        <v>1</v>
      </c>
      <c r="AS1040" s="1">
        <v>26030</v>
      </c>
      <c r="AT1040" s="1">
        <v>5200</v>
      </c>
      <c r="AU1040" s="1">
        <v>20830</v>
      </c>
      <c r="AV1040">
        <v>80.02</v>
      </c>
      <c r="AX1040" s="1">
        <v>2125.36</v>
      </c>
      <c r="AY1040" t="s">
        <v>6944</v>
      </c>
      <c r="AZ1040" t="s">
        <v>6944</v>
      </c>
      <c r="BA1040" t="s">
        <v>6945</v>
      </c>
      <c r="BE1040" s="3">
        <v>42094</v>
      </c>
      <c r="BF1040" s="1">
        <v>293278</v>
      </c>
      <c r="BG1040" t="s">
        <v>636</v>
      </c>
      <c r="BH1040" s="1">
        <v>111.94</v>
      </c>
      <c r="BI1040" s="1">
        <v>293278</v>
      </c>
      <c r="BJ1040" s="3">
        <v>42094</v>
      </c>
      <c r="BK1040" t="s">
        <v>123</v>
      </c>
      <c r="BL1040" t="str">
        <f>"2015.216869"</f>
        <v>2015.216869</v>
      </c>
      <c r="BM1040" t="s">
        <v>637</v>
      </c>
      <c r="BO1040" t="s">
        <v>6946</v>
      </c>
      <c r="BS1040">
        <v>30</v>
      </c>
      <c r="BW1040" t="str">
        <f>""</f>
        <v/>
      </c>
      <c r="CH1040" t="str">
        <f>""</f>
        <v/>
      </c>
      <c r="CS1040" t="str">
        <f>""</f>
        <v/>
      </c>
    </row>
    <row r="1041" spans="1:97" x14ac:dyDescent="0.25">
      <c r="A1041" t="s">
        <v>4229</v>
      </c>
      <c r="B1041" t="s">
        <v>1607</v>
      </c>
      <c r="C1041" t="s">
        <v>496</v>
      </c>
      <c r="D1041" t="s">
        <v>1607</v>
      </c>
      <c r="E1041" t="s">
        <v>6947</v>
      </c>
      <c r="F1041" t="s">
        <v>108</v>
      </c>
      <c r="H1041" t="s">
        <v>6948</v>
      </c>
      <c r="I1041" t="s">
        <v>499</v>
      </c>
      <c r="J1041" t="s">
        <v>111</v>
      </c>
      <c r="K1041" t="str">
        <f>"85395"</f>
        <v>85395</v>
      </c>
      <c r="L1041" t="s">
        <v>3885</v>
      </c>
      <c r="M1041" t="s">
        <v>6948</v>
      </c>
      <c r="N1041" t="s">
        <v>499</v>
      </c>
      <c r="O1041" t="s">
        <v>111</v>
      </c>
      <c r="P1041" t="str">
        <f>"85395-8940"</f>
        <v>85395-8940</v>
      </c>
      <c r="Q1041" t="s">
        <v>113</v>
      </c>
      <c r="R1041" t="str">
        <f>"501-70-838"</f>
        <v>501-70-838</v>
      </c>
      <c r="S1041" t="s">
        <v>6949</v>
      </c>
      <c r="U1041">
        <v>2154</v>
      </c>
      <c r="V1041">
        <v>0</v>
      </c>
      <c r="W1041">
        <v>3</v>
      </c>
      <c r="X1041">
        <v>2002</v>
      </c>
      <c r="Z1041">
        <v>1</v>
      </c>
      <c r="AA1041" t="s">
        <v>26</v>
      </c>
      <c r="AB1041">
        <v>0</v>
      </c>
      <c r="AC1041" t="s">
        <v>115</v>
      </c>
      <c r="AD1041">
        <v>2</v>
      </c>
      <c r="AE1041" t="s">
        <v>115</v>
      </c>
      <c r="AF1041">
        <v>0</v>
      </c>
      <c r="AG1041">
        <v>0</v>
      </c>
      <c r="AH1041" t="s">
        <v>116</v>
      </c>
      <c r="AI1041" s="1">
        <v>8121</v>
      </c>
      <c r="AJ1041" s="2">
        <v>0.02</v>
      </c>
      <c r="AK1041" s="1">
        <v>386199</v>
      </c>
      <c r="AL1041" t="s">
        <v>117</v>
      </c>
      <c r="AM1041" t="s">
        <v>118</v>
      </c>
      <c r="AN1041">
        <v>9407</v>
      </c>
      <c r="AO1041">
        <v>0.22</v>
      </c>
      <c r="AP1041">
        <v>1</v>
      </c>
      <c r="AR1041">
        <v>1</v>
      </c>
      <c r="AS1041" s="1">
        <v>29360</v>
      </c>
      <c r="AT1041" s="1">
        <v>5870</v>
      </c>
      <c r="AU1041" s="1">
        <v>23490</v>
      </c>
      <c r="AV1041">
        <v>80.010000000000005</v>
      </c>
      <c r="AX1041" s="1">
        <v>3442.38</v>
      </c>
      <c r="AY1041" t="s">
        <v>3020</v>
      </c>
      <c r="AZ1041" t="s">
        <v>3020</v>
      </c>
      <c r="BA1041" t="s">
        <v>3154</v>
      </c>
      <c r="BE1041" s="3">
        <v>42499</v>
      </c>
      <c r="BF1041" s="1">
        <v>315000</v>
      </c>
      <c r="BG1041" t="s">
        <v>6950</v>
      </c>
      <c r="BH1041" s="1">
        <v>146.24</v>
      </c>
      <c r="BI1041" s="1">
        <v>378078</v>
      </c>
      <c r="BJ1041" s="3">
        <v>43606</v>
      </c>
      <c r="BK1041" t="s">
        <v>123</v>
      </c>
      <c r="BL1041" t="str">
        <f>"2019.370884"</f>
        <v>2019.370884</v>
      </c>
      <c r="BM1041" t="s">
        <v>248</v>
      </c>
      <c r="BN1041" t="s">
        <v>249</v>
      </c>
      <c r="BO1041" t="s">
        <v>6951</v>
      </c>
      <c r="BP1041" t="s">
        <v>6952</v>
      </c>
      <c r="BR1041" t="s">
        <v>139</v>
      </c>
      <c r="BW1041" t="str">
        <f>""</f>
        <v/>
      </c>
      <c r="CH1041" t="str">
        <f>""</f>
        <v/>
      </c>
      <c r="CS1041" t="str">
        <f>""</f>
        <v/>
      </c>
    </row>
    <row r="1042" spans="1:97" x14ac:dyDescent="0.25">
      <c r="A1042" t="s">
        <v>589</v>
      </c>
      <c r="B1042" t="s">
        <v>6953</v>
      </c>
      <c r="C1042" t="s">
        <v>6954</v>
      </c>
      <c r="D1042" t="s">
        <v>6953</v>
      </c>
      <c r="E1042" t="s">
        <v>6955</v>
      </c>
      <c r="F1042" t="s">
        <v>108</v>
      </c>
      <c r="H1042" t="s">
        <v>6956</v>
      </c>
      <c r="I1042" t="s">
        <v>390</v>
      </c>
      <c r="J1042" t="s">
        <v>111</v>
      </c>
      <c r="K1042" t="str">
        <f>"85043"</f>
        <v>85043</v>
      </c>
      <c r="L1042" t="s">
        <v>2765</v>
      </c>
      <c r="M1042" t="s">
        <v>6956</v>
      </c>
      <c r="N1042" t="s">
        <v>390</v>
      </c>
      <c r="O1042" t="s">
        <v>111</v>
      </c>
      <c r="P1042" t="str">
        <f>"85043-2028"</f>
        <v>85043-2028</v>
      </c>
      <c r="Q1042" t="s">
        <v>113</v>
      </c>
      <c r="R1042" t="str">
        <f>"104-55-227"</f>
        <v>104-55-227</v>
      </c>
      <c r="S1042" t="s">
        <v>5368</v>
      </c>
      <c r="T1042" t="s">
        <v>5368</v>
      </c>
      <c r="U1042">
        <v>2147</v>
      </c>
      <c r="V1042">
        <v>0</v>
      </c>
      <c r="W1042">
        <v>2</v>
      </c>
      <c r="X1042">
        <v>2010</v>
      </c>
      <c r="Z1042">
        <v>1</v>
      </c>
      <c r="AB1042">
        <v>0</v>
      </c>
      <c r="AC1042" t="s">
        <v>115</v>
      </c>
      <c r="AD1042">
        <v>2</v>
      </c>
      <c r="AE1042" t="s">
        <v>115</v>
      </c>
      <c r="AF1042">
        <v>0</v>
      </c>
      <c r="AG1042">
        <v>0</v>
      </c>
      <c r="AH1042" t="s">
        <v>116</v>
      </c>
      <c r="AI1042" s="1">
        <v>38828</v>
      </c>
      <c r="AJ1042" s="2">
        <v>0.16</v>
      </c>
      <c r="AK1042" s="1">
        <v>248828</v>
      </c>
      <c r="AL1042" t="s">
        <v>117</v>
      </c>
      <c r="AM1042" t="s">
        <v>1302</v>
      </c>
      <c r="AN1042">
        <v>8476</v>
      </c>
      <c r="AO1042">
        <v>0.2</v>
      </c>
      <c r="AR1042">
        <v>1</v>
      </c>
      <c r="AS1042" s="1">
        <v>16920</v>
      </c>
      <c r="AT1042" s="1">
        <v>3380</v>
      </c>
      <c r="AU1042" s="1">
        <v>13540</v>
      </c>
      <c r="AV1042">
        <v>80.02</v>
      </c>
      <c r="AX1042" s="1">
        <v>1496.5</v>
      </c>
      <c r="AY1042" t="s">
        <v>5369</v>
      </c>
      <c r="AZ1042" t="s">
        <v>5370</v>
      </c>
      <c r="BA1042" t="s">
        <v>5371</v>
      </c>
      <c r="BB1042" s="3">
        <v>42968</v>
      </c>
      <c r="BD1042" t="s">
        <v>157</v>
      </c>
      <c r="BE1042" s="3">
        <v>42318</v>
      </c>
      <c r="BF1042" s="1">
        <v>180000</v>
      </c>
      <c r="BG1042" t="s">
        <v>6957</v>
      </c>
      <c r="BH1042" s="1">
        <v>83.84</v>
      </c>
      <c r="BI1042" s="1">
        <v>210000</v>
      </c>
      <c r="BJ1042" s="3">
        <v>42968</v>
      </c>
      <c r="BK1042" t="s">
        <v>123</v>
      </c>
      <c r="BL1042" t="str">
        <f>"2017.614119"</f>
        <v>2017.614119</v>
      </c>
      <c r="BM1042" t="s">
        <v>6958</v>
      </c>
      <c r="BO1042" t="s">
        <v>6959</v>
      </c>
      <c r="BS1042">
        <v>30</v>
      </c>
      <c r="BW1042" t="str">
        <f>""</f>
        <v/>
      </c>
      <c r="CH1042" t="str">
        <f>""</f>
        <v/>
      </c>
      <c r="CS1042" t="str">
        <f>""</f>
        <v/>
      </c>
    </row>
    <row r="1043" spans="1:97" x14ac:dyDescent="0.25">
      <c r="A1043" t="s">
        <v>370</v>
      </c>
      <c r="B1043" t="s">
        <v>6960</v>
      </c>
      <c r="C1043" t="s">
        <v>1547</v>
      </c>
      <c r="D1043" t="s">
        <v>6961</v>
      </c>
      <c r="E1043" t="s">
        <v>6962</v>
      </c>
      <c r="F1043" t="s">
        <v>108</v>
      </c>
      <c r="H1043" t="s">
        <v>6963</v>
      </c>
      <c r="I1043" t="s">
        <v>390</v>
      </c>
      <c r="J1043" t="s">
        <v>111</v>
      </c>
      <c r="K1043" t="str">
        <f>"85032"</f>
        <v>85032</v>
      </c>
      <c r="L1043" t="s">
        <v>6964</v>
      </c>
      <c r="M1043" t="s">
        <v>6963</v>
      </c>
      <c r="N1043" t="s">
        <v>390</v>
      </c>
      <c r="O1043" t="s">
        <v>111</v>
      </c>
      <c r="P1043" t="str">
        <f>"85032-6563"</f>
        <v>85032-6563</v>
      </c>
      <c r="Q1043" t="s">
        <v>113</v>
      </c>
      <c r="R1043" t="str">
        <f>"166-04-065-A"</f>
        <v>166-04-065-A</v>
      </c>
      <c r="S1043" t="s">
        <v>6965</v>
      </c>
      <c r="T1043" t="s">
        <v>6966</v>
      </c>
      <c r="U1043">
        <v>1508</v>
      </c>
      <c r="V1043">
        <v>0</v>
      </c>
      <c r="W1043">
        <v>2</v>
      </c>
      <c r="X1043">
        <v>1972</v>
      </c>
      <c r="Z1043">
        <v>1</v>
      </c>
      <c r="AB1043">
        <v>0</v>
      </c>
      <c r="AC1043" t="s">
        <v>115</v>
      </c>
      <c r="AD1043">
        <v>2</v>
      </c>
      <c r="AE1043" t="s">
        <v>115</v>
      </c>
      <c r="AF1043">
        <v>0</v>
      </c>
      <c r="AG1043">
        <v>0</v>
      </c>
      <c r="AH1043" t="s">
        <v>116</v>
      </c>
      <c r="AI1043" s="1">
        <v>52258</v>
      </c>
      <c r="AJ1043" s="2">
        <v>0.18</v>
      </c>
      <c r="AK1043" s="1">
        <v>296808</v>
      </c>
      <c r="AL1043" t="s">
        <v>117</v>
      </c>
      <c r="AM1043" t="s">
        <v>171</v>
      </c>
      <c r="AN1043">
        <v>7324</v>
      </c>
      <c r="AO1043">
        <v>0.17</v>
      </c>
      <c r="AP1043">
        <v>1</v>
      </c>
      <c r="AR1043">
        <v>1</v>
      </c>
      <c r="AS1043" s="1">
        <v>19080</v>
      </c>
      <c r="AT1043" s="1">
        <v>3810</v>
      </c>
      <c r="AU1043" s="1">
        <v>15270</v>
      </c>
      <c r="AV1043">
        <v>80.03</v>
      </c>
      <c r="AX1043" s="1">
        <v>1254.6600000000001</v>
      </c>
      <c r="AY1043" t="s">
        <v>6904</v>
      </c>
      <c r="AZ1043" t="s">
        <v>5489</v>
      </c>
      <c r="BA1043" t="s">
        <v>5232</v>
      </c>
      <c r="BE1043" s="3">
        <v>42157</v>
      </c>
      <c r="BF1043" s="1">
        <v>239500</v>
      </c>
      <c r="BG1043" t="s">
        <v>6967</v>
      </c>
      <c r="BH1043" s="1">
        <v>158.82</v>
      </c>
      <c r="BI1043" s="1">
        <v>244550</v>
      </c>
      <c r="BJ1043" s="3">
        <v>42664</v>
      </c>
      <c r="BK1043" t="s">
        <v>123</v>
      </c>
      <c r="BL1043" t="str">
        <f>"2016.774907"</f>
        <v>2016.774907</v>
      </c>
      <c r="BM1043" t="s">
        <v>255</v>
      </c>
      <c r="BO1043" t="s">
        <v>6968</v>
      </c>
      <c r="BP1043" t="s">
        <v>6969</v>
      </c>
      <c r="BS1043">
        <v>30</v>
      </c>
      <c r="BW1043" t="str">
        <f>""</f>
        <v/>
      </c>
      <c r="CH1043" t="str">
        <f>""</f>
        <v/>
      </c>
      <c r="CS1043" t="str">
        <f>""</f>
        <v/>
      </c>
    </row>
    <row r="1044" spans="1:97" x14ac:dyDescent="0.25">
      <c r="A1044" t="s">
        <v>2750</v>
      </c>
      <c r="B1044" t="s">
        <v>6970</v>
      </c>
      <c r="E1044" t="s">
        <v>6971</v>
      </c>
      <c r="F1044" t="s">
        <v>108</v>
      </c>
      <c r="H1044" t="s">
        <v>6972</v>
      </c>
      <c r="I1044" t="s">
        <v>1936</v>
      </c>
      <c r="J1044" t="s">
        <v>111</v>
      </c>
      <c r="K1044" t="str">
        <f>"85250"</f>
        <v>85250</v>
      </c>
      <c r="L1044" t="s">
        <v>4003</v>
      </c>
      <c r="M1044" t="s">
        <v>6972</v>
      </c>
      <c r="N1044" t="s">
        <v>1936</v>
      </c>
      <c r="O1044" t="s">
        <v>111</v>
      </c>
      <c r="P1044" t="str">
        <f>"85250-5805"</f>
        <v>85250-5805</v>
      </c>
      <c r="Q1044" t="s">
        <v>113</v>
      </c>
      <c r="R1044" t="str">
        <f>"174-10-120"</f>
        <v>174-10-120</v>
      </c>
      <c r="S1044" t="s">
        <v>6973</v>
      </c>
      <c r="U1044">
        <v>1520</v>
      </c>
      <c r="V1044">
        <v>0</v>
      </c>
      <c r="W1044">
        <v>2</v>
      </c>
      <c r="X1044">
        <v>1964</v>
      </c>
      <c r="Z1044">
        <v>1</v>
      </c>
      <c r="AB1044">
        <v>0</v>
      </c>
      <c r="AC1044" t="s">
        <v>115</v>
      </c>
      <c r="AD1044">
        <v>2</v>
      </c>
      <c r="AE1044" t="s">
        <v>115</v>
      </c>
      <c r="AF1044">
        <v>0</v>
      </c>
      <c r="AG1044">
        <v>0</v>
      </c>
      <c r="AH1044" t="s">
        <v>116</v>
      </c>
      <c r="AI1044" s="1">
        <v>110030</v>
      </c>
      <c r="AJ1044" s="2">
        <v>0.28000000000000003</v>
      </c>
      <c r="AK1044" s="1">
        <v>393026</v>
      </c>
      <c r="AL1044" t="s">
        <v>117</v>
      </c>
      <c r="AM1044" t="s">
        <v>393</v>
      </c>
      <c r="AN1044">
        <v>7672</v>
      </c>
      <c r="AO1044">
        <v>0.18</v>
      </c>
      <c r="AP1044">
        <v>1</v>
      </c>
      <c r="AR1044">
        <v>1</v>
      </c>
      <c r="AS1044" s="1">
        <v>26650</v>
      </c>
      <c r="AT1044" s="1">
        <v>5330</v>
      </c>
      <c r="AU1044" s="1">
        <v>21320</v>
      </c>
      <c r="AV1044">
        <v>80</v>
      </c>
      <c r="AX1044" s="1">
        <v>1454.44</v>
      </c>
      <c r="AY1044" t="s">
        <v>6974</v>
      </c>
      <c r="AZ1044" t="s">
        <v>6975</v>
      </c>
      <c r="BA1044" t="s">
        <v>6976</v>
      </c>
      <c r="BE1044" s="3">
        <v>41653</v>
      </c>
      <c r="BF1044" s="1">
        <v>276000</v>
      </c>
      <c r="BG1044" t="s">
        <v>6977</v>
      </c>
      <c r="BH1044" s="1">
        <v>181.58</v>
      </c>
      <c r="BI1044" s="1">
        <v>282996</v>
      </c>
      <c r="BJ1044" s="3">
        <v>42038</v>
      </c>
      <c r="BK1044" t="s">
        <v>123</v>
      </c>
      <c r="BL1044" t="str">
        <f>"2015.69797"</f>
        <v>2015.69797</v>
      </c>
      <c r="BM1044" t="s">
        <v>4014</v>
      </c>
      <c r="BO1044" t="s">
        <v>6978</v>
      </c>
      <c r="BS1044">
        <v>30</v>
      </c>
      <c r="BW1044" t="str">
        <f>""</f>
        <v/>
      </c>
      <c r="CH1044" t="str">
        <f>""</f>
        <v/>
      </c>
      <c r="CS1044" t="str">
        <f>""</f>
        <v/>
      </c>
    </row>
    <row r="1045" spans="1:97" x14ac:dyDescent="0.25">
      <c r="A1045" t="s">
        <v>6979</v>
      </c>
      <c r="B1045" t="s">
        <v>163</v>
      </c>
      <c r="C1045" t="s">
        <v>6980</v>
      </c>
      <c r="D1045" t="s">
        <v>163</v>
      </c>
      <c r="E1045" t="s">
        <v>6981</v>
      </c>
      <c r="F1045" t="s">
        <v>108</v>
      </c>
      <c r="H1045" t="s">
        <v>6982</v>
      </c>
      <c r="I1045" t="s">
        <v>2874</v>
      </c>
      <c r="J1045" t="s">
        <v>111</v>
      </c>
      <c r="K1045" t="str">
        <f>"85302"</f>
        <v>85302</v>
      </c>
      <c r="L1045" t="s">
        <v>6983</v>
      </c>
      <c r="M1045" t="s">
        <v>6982</v>
      </c>
      <c r="N1045" t="s">
        <v>2874</v>
      </c>
      <c r="O1045" t="s">
        <v>111</v>
      </c>
      <c r="P1045" t="str">
        <f>"85302-1811"</f>
        <v>85302-1811</v>
      </c>
      <c r="Q1045" t="s">
        <v>113</v>
      </c>
      <c r="R1045" t="str">
        <f>"148-05-082"</f>
        <v>148-05-082</v>
      </c>
      <c r="S1045" t="s">
        <v>6984</v>
      </c>
      <c r="T1045" t="s">
        <v>6984</v>
      </c>
      <c r="U1045">
        <v>1895</v>
      </c>
      <c r="V1045">
        <v>0</v>
      </c>
      <c r="W1045">
        <v>2</v>
      </c>
      <c r="X1045">
        <v>1973</v>
      </c>
      <c r="Z1045">
        <v>1</v>
      </c>
      <c r="AA1045" t="s">
        <v>26</v>
      </c>
      <c r="AB1045">
        <v>0</v>
      </c>
      <c r="AC1045" t="s">
        <v>115</v>
      </c>
      <c r="AD1045">
        <v>2</v>
      </c>
      <c r="AE1045" t="s">
        <v>115</v>
      </c>
      <c r="AF1045">
        <v>0</v>
      </c>
      <c r="AG1045">
        <v>0</v>
      </c>
      <c r="AH1045" t="s">
        <v>116</v>
      </c>
      <c r="AI1045" s="1">
        <v>21540</v>
      </c>
      <c r="AJ1045" s="2">
        <v>0.08</v>
      </c>
      <c r="AK1045" s="1">
        <v>261540</v>
      </c>
      <c r="AL1045" t="s">
        <v>117</v>
      </c>
      <c r="AM1045" t="s">
        <v>191</v>
      </c>
      <c r="AN1045">
        <v>6896</v>
      </c>
      <c r="AO1045">
        <v>0.16</v>
      </c>
      <c r="AP1045">
        <v>1</v>
      </c>
      <c r="AR1045">
        <v>1</v>
      </c>
      <c r="AS1045" s="1">
        <v>16970</v>
      </c>
      <c r="AT1045" s="1">
        <v>3390</v>
      </c>
      <c r="AU1045" s="1">
        <v>13580</v>
      </c>
      <c r="AV1045">
        <v>80.02</v>
      </c>
      <c r="AX1045" s="1">
        <v>1295.04</v>
      </c>
      <c r="AY1045" t="s">
        <v>6985</v>
      </c>
      <c r="AZ1045" t="s">
        <v>6986</v>
      </c>
      <c r="BA1045" t="s">
        <v>6987</v>
      </c>
      <c r="BE1045" s="3">
        <v>41898</v>
      </c>
      <c r="BF1045" s="1">
        <v>185000</v>
      </c>
      <c r="BG1045" t="s">
        <v>6988</v>
      </c>
      <c r="BH1045" s="1">
        <v>97.63</v>
      </c>
      <c r="BI1045" s="1">
        <v>240000</v>
      </c>
      <c r="BJ1045" s="3">
        <v>43537</v>
      </c>
      <c r="BK1045" t="s">
        <v>123</v>
      </c>
      <c r="BL1045" t="str">
        <f>"2019.172752"</f>
        <v>2019.172752</v>
      </c>
      <c r="BM1045" t="s">
        <v>6989</v>
      </c>
      <c r="BN1045" t="s">
        <v>6990</v>
      </c>
      <c r="BO1045" t="s">
        <v>6991</v>
      </c>
      <c r="BP1045" t="s">
        <v>6992</v>
      </c>
      <c r="BR1045" t="s">
        <v>139</v>
      </c>
      <c r="BW1045" t="str">
        <f>""</f>
        <v/>
      </c>
      <c r="CH1045" t="str">
        <f>""</f>
        <v/>
      </c>
      <c r="CS1045" t="str">
        <f>""</f>
        <v/>
      </c>
    </row>
    <row r="1046" spans="1:97" x14ac:dyDescent="0.25">
      <c r="A1046" t="s">
        <v>265</v>
      </c>
      <c r="B1046" t="s">
        <v>6993</v>
      </c>
      <c r="E1046" t="s">
        <v>6994</v>
      </c>
      <c r="F1046" t="s">
        <v>108</v>
      </c>
      <c r="H1046" t="s">
        <v>6995</v>
      </c>
      <c r="I1046" t="s">
        <v>390</v>
      </c>
      <c r="J1046" t="s">
        <v>111</v>
      </c>
      <c r="K1046" t="str">
        <f>"85014"</f>
        <v>85014</v>
      </c>
      <c r="L1046" t="s">
        <v>6996</v>
      </c>
      <c r="M1046" t="s">
        <v>6995</v>
      </c>
      <c r="N1046" t="s">
        <v>390</v>
      </c>
      <c r="O1046" t="s">
        <v>111</v>
      </c>
      <c r="P1046" t="str">
        <f>"85014-2336"</f>
        <v>85014-2336</v>
      </c>
      <c r="Q1046" t="s">
        <v>113</v>
      </c>
      <c r="R1046" t="str">
        <f>"162-04-033"</f>
        <v>162-04-033</v>
      </c>
      <c r="S1046" t="s">
        <v>6997</v>
      </c>
      <c r="T1046" t="s">
        <v>6997</v>
      </c>
      <c r="U1046">
        <v>1393</v>
      </c>
      <c r="V1046">
        <v>0</v>
      </c>
      <c r="W1046">
        <v>2</v>
      </c>
      <c r="X1046">
        <v>1952</v>
      </c>
      <c r="Z1046">
        <v>1</v>
      </c>
      <c r="AA1046" t="s">
        <v>26</v>
      </c>
      <c r="AB1046">
        <v>0</v>
      </c>
      <c r="AC1046" t="s">
        <v>115</v>
      </c>
      <c r="AD1046">
        <v>1</v>
      </c>
      <c r="AE1046" t="s">
        <v>115</v>
      </c>
      <c r="AF1046">
        <v>0</v>
      </c>
      <c r="AG1046">
        <v>0</v>
      </c>
      <c r="AH1046" t="s">
        <v>116</v>
      </c>
      <c r="AI1046" s="1">
        <v>70737</v>
      </c>
      <c r="AJ1046" s="2">
        <v>0.17</v>
      </c>
      <c r="AK1046" s="1">
        <v>411523</v>
      </c>
      <c r="AL1046" t="s">
        <v>117</v>
      </c>
      <c r="AM1046" t="s">
        <v>191</v>
      </c>
      <c r="AN1046">
        <v>6564</v>
      </c>
      <c r="AO1046">
        <v>0.15</v>
      </c>
      <c r="AP1046">
        <v>1</v>
      </c>
      <c r="AR1046">
        <v>1</v>
      </c>
      <c r="AS1046" s="1">
        <v>29760</v>
      </c>
      <c r="AT1046" s="1">
        <v>5950</v>
      </c>
      <c r="AU1046" s="1">
        <v>23810</v>
      </c>
      <c r="AV1046">
        <v>80.010000000000005</v>
      </c>
      <c r="AX1046" s="1">
        <v>2165.58</v>
      </c>
      <c r="AY1046" t="s">
        <v>6998</v>
      </c>
      <c r="AZ1046" t="s">
        <v>6254</v>
      </c>
      <c r="BA1046" t="s">
        <v>5469</v>
      </c>
      <c r="BE1046" s="3">
        <v>41978</v>
      </c>
      <c r="BF1046" s="1">
        <v>329900</v>
      </c>
      <c r="BG1046" t="s">
        <v>6999</v>
      </c>
      <c r="BH1046" s="1">
        <v>236.83</v>
      </c>
      <c r="BI1046" s="1">
        <v>340786</v>
      </c>
      <c r="BJ1046" s="3">
        <v>41978</v>
      </c>
      <c r="BK1046" t="s">
        <v>123</v>
      </c>
      <c r="BL1046" t="str">
        <f>"2014.802653"</f>
        <v>2014.802653</v>
      </c>
      <c r="BM1046" t="s">
        <v>7000</v>
      </c>
      <c r="BN1046" t="s">
        <v>7001</v>
      </c>
      <c r="BO1046" t="s">
        <v>7002</v>
      </c>
      <c r="BS1046">
        <v>30</v>
      </c>
      <c r="BW1046" t="str">
        <f>""</f>
        <v/>
      </c>
      <c r="CH1046" t="str">
        <f>""</f>
        <v/>
      </c>
      <c r="CS1046" t="str">
        <f>""</f>
        <v/>
      </c>
    </row>
    <row r="1047" spans="1:97" x14ac:dyDescent="0.25">
      <c r="A1047" t="s">
        <v>2776</v>
      </c>
      <c r="B1047" t="s">
        <v>3001</v>
      </c>
      <c r="E1047" t="s">
        <v>7003</v>
      </c>
      <c r="F1047" t="s">
        <v>108</v>
      </c>
      <c r="H1047" t="s">
        <v>7004</v>
      </c>
      <c r="I1047" t="s">
        <v>2874</v>
      </c>
      <c r="J1047" t="s">
        <v>111</v>
      </c>
      <c r="K1047" t="str">
        <f>"85308"</f>
        <v>85308</v>
      </c>
      <c r="L1047" t="s">
        <v>7005</v>
      </c>
      <c r="M1047" t="s">
        <v>7004</v>
      </c>
      <c r="N1047" t="s">
        <v>2874</v>
      </c>
      <c r="O1047" t="s">
        <v>111</v>
      </c>
      <c r="P1047" t="str">
        <f>"85308-1512"</f>
        <v>85308-1512</v>
      </c>
      <c r="Q1047" t="s">
        <v>113</v>
      </c>
      <c r="R1047" t="str">
        <f>"207-22-312"</f>
        <v>207-22-312</v>
      </c>
      <c r="S1047" t="s">
        <v>7006</v>
      </c>
      <c r="U1047">
        <v>2620</v>
      </c>
      <c r="V1047">
        <v>0</v>
      </c>
      <c r="W1047">
        <v>3</v>
      </c>
      <c r="X1047">
        <v>1979</v>
      </c>
      <c r="Z1047">
        <v>2</v>
      </c>
      <c r="AA1047" t="s">
        <v>26</v>
      </c>
      <c r="AB1047">
        <v>0</v>
      </c>
      <c r="AC1047" t="s">
        <v>115</v>
      </c>
      <c r="AD1047">
        <v>2</v>
      </c>
      <c r="AE1047" t="s">
        <v>115</v>
      </c>
      <c r="AF1047">
        <v>0</v>
      </c>
      <c r="AG1047">
        <v>0</v>
      </c>
      <c r="AH1047" t="s">
        <v>116</v>
      </c>
      <c r="AI1047" s="1">
        <v>64721</v>
      </c>
      <c r="AJ1047" s="2">
        <v>0.2</v>
      </c>
      <c r="AK1047" s="1">
        <v>319721</v>
      </c>
      <c r="AL1047" t="s">
        <v>117</v>
      </c>
      <c r="AM1047" t="s">
        <v>5441</v>
      </c>
      <c r="AN1047">
        <v>8601</v>
      </c>
      <c r="AO1047">
        <v>0.2</v>
      </c>
      <c r="AP1047">
        <v>1</v>
      </c>
      <c r="AR1047">
        <v>1</v>
      </c>
      <c r="AS1047" s="1">
        <v>22870</v>
      </c>
      <c r="AT1047" s="1">
        <v>4570</v>
      </c>
      <c r="AU1047" s="1">
        <v>18300</v>
      </c>
      <c r="AV1047">
        <v>80.02</v>
      </c>
      <c r="AX1047" s="1">
        <v>1509.64</v>
      </c>
      <c r="AY1047" t="s">
        <v>7007</v>
      </c>
      <c r="AZ1047" t="s">
        <v>5142</v>
      </c>
      <c r="BA1047" t="s">
        <v>5143</v>
      </c>
      <c r="BE1047" s="3">
        <v>42451</v>
      </c>
      <c r="BF1047" s="1">
        <v>255000</v>
      </c>
      <c r="BG1047" t="s">
        <v>7008</v>
      </c>
      <c r="BH1047" s="1">
        <v>97.33</v>
      </c>
      <c r="BI1047" s="1">
        <v>255000</v>
      </c>
      <c r="BJ1047" s="3">
        <v>42706</v>
      </c>
      <c r="BK1047" t="s">
        <v>123</v>
      </c>
      <c r="BL1047" t="str">
        <f>"2016.889272"</f>
        <v>2016.889272</v>
      </c>
      <c r="BM1047" t="s">
        <v>3453</v>
      </c>
      <c r="BO1047" t="s">
        <v>7009</v>
      </c>
      <c r="BS1047">
        <v>30</v>
      </c>
      <c r="BW1047" t="str">
        <f>""</f>
        <v/>
      </c>
      <c r="CH1047" t="str">
        <f>""</f>
        <v/>
      </c>
      <c r="CS1047" t="str">
        <f>""</f>
        <v/>
      </c>
    </row>
    <row r="1048" spans="1:97" x14ac:dyDescent="0.25">
      <c r="A1048" t="s">
        <v>2537</v>
      </c>
      <c r="B1048" t="s">
        <v>6754</v>
      </c>
      <c r="C1048" t="s">
        <v>7010</v>
      </c>
      <c r="D1048" t="s">
        <v>6696</v>
      </c>
      <c r="E1048" t="s">
        <v>7011</v>
      </c>
      <c r="F1048" t="s">
        <v>108</v>
      </c>
      <c r="H1048" t="s">
        <v>7012</v>
      </c>
      <c r="I1048" t="s">
        <v>390</v>
      </c>
      <c r="J1048" t="s">
        <v>111</v>
      </c>
      <c r="K1048" t="str">
        <f>"85041"</f>
        <v>85041</v>
      </c>
      <c r="L1048" t="s">
        <v>375</v>
      </c>
      <c r="M1048" t="s">
        <v>7012</v>
      </c>
      <c r="N1048" t="s">
        <v>390</v>
      </c>
      <c r="O1048" t="s">
        <v>111</v>
      </c>
      <c r="P1048" t="str">
        <f>"85041-7638"</f>
        <v>85041-7638</v>
      </c>
      <c r="Q1048" t="s">
        <v>113</v>
      </c>
      <c r="R1048" t="str">
        <f>"300-17-444"</f>
        <v>300-17-444</v>
      </c>
      <c r="S1048" t="s">
        <v>7013</v>
      </c>
      <c r="T1048" t="s">
        <v>7014</v>
      </c>
      <c r="U1048">
        <v>2903</v>
      </c>
      <c r="V1048">
        <v>0</v>
      </c>
      <c r="W1048">
        <v>3</v>
      </c>
      <c r="X1048">
        <v>2016</v>
      </c>
      <c r="Z1048">
        <v>2</v>
      </c>
      <c r="AB1048">
        <v>0</v>
      </c>
      <c r="AC1048" t="s">
        <v>115</v>
      </c>
      <c r="AD1048">
        <v>2</v>
      </c>
      <c r="AE1048" t="s">
        <v>115</v>
      </c>
      <c r="AF1048">
        <v>0</v>
      </c>
      <c r="AG1048">
        <v>0</v>
      </c>
      <c r="AH1048" t="s">
        <v>116</v>
      </c>
      <c r="AI1048" s="1">
        <v>40381</v>
      </c>
      <c r="AJ1048" s="2">
        <v>0.13</v>
      </c>
      <c r="AK1048" s="1">
        <v>313632</v>
      </c>
      <c r="AL1048" t="s">
        <v>117</v>
      </c>
      <c r="AM1048" t="s">
        <v>760</v>
      </c>
      <c r="AN1048">
        <v>5299</v>
      </c>
      <c r="AO1048">
        <v>0.12</v>
      </c>
      <c r="AR1048">
        <v>1</v>
      </c>
      <c r="AS1048" s="1">
        <v>22050</v>
      </c>
      <c r="AT1048" s="1">
        <v>4410</v>
      </c>
      <c r="AU1048" s="1">
        <v>17640</v>
      </c>
      <c r="AV1048">
        <v>80</v>
      </c>
      <c r="AX1048" s="1">
        <v>2737.92</v>
      </c>
      <c r="AY1048" t="s">
        <v>7015</v>
      </c>
      <c r="AZ1048" t="s">
        <v>7015</v>
      </c>
      <c r="BA1048" t="s">
        <v>1661</v>
      </c>
      <c r="BE1048" s="3">
        <v>42369</v>
      </c>
      <c r="BF1048" s="1">
        <v>267500</v>
      </c>
      <c r="BG1048" t="s">
        <v>2289</v>
      </c>
      <c r="BH1048" s="1">
        <v>92.15</v>
      </c>
      <c r="BI1048" s="1">
        <v>273251</v>
      </c>
      <c r="BJ1048" s="3">
        <v>42369</v>
      </c>
      <c r="BK1048" t="s">
        <v>123</v>
      </c>
      <c r="BL1048" t="str">
        <f>"2015.923409"</f>
        <v>2015.923409</v>
      </c>
      <c r="BM1048" t="s">
        <v>150</v>
      </c>
      <c r="BO1048" t="s">
        <v>7016</v>
      </c>
      <c r="BP1048" t="s">
        <v>7017</v>
      </c>
      <c r="BS1048">
        <v>30</v>
      </c>
      <c r="BW1048" t="str">
        <f>""</f>
        <v/>
      </c>
      <c r="CH1048" t="str">
        <f>""</f>
        <v/>
      </c>
      <c r="CS1048" t="str">
        <f>""</f>
        <v/>
      </c>
    </row>
    <row r="1049" spans="1:97" x14ac:dyDescent="0.25">
      <c r="A1049" t="s">
        <v>494</v>
      </c>
      <c r="B1049" t="s">
        <v>7018</v>
      </c>
      <c r="C1049" t="s">
        <v>2976</v>
      </c>
      <c r="D1049" t="s">
        <v>7018</v>
      </c>
      <c r="E1049" t="s">
        <v>7019</v>
      </c>
      <c r="F1049" t="s">
        <v>108</v>
      </c>
      <c r="H1049" t="s">
        <v>7020</v>
      </c>
      <c r="I1049" t="s">
        <v>188</v>
      </c>
      <c r="J1049" t="s">
        <v>111</v>
      </c>
      <c r="K1049" t="str">
        <f>"85142"</f>
        <v>85142</v>
      </c>
      <c r="L1049" t="s">
        <v>1789</v>
      </c>
      <c r="M1049" t="s">
        <v>7020</v>
      </c>
      <c r="N1049" t="s">
        <v>188</v>
      </c>
      <c r="O1049" t="s">
        <v>111</v>
      </c>
      <c r="P1049" t="str">
        <f>"85142-4013"</f>
        <v>85142-4013</v>
      </c>
      <c r="Q1049" t="s">
        <v>113</v>
      </c>
      <c r="R1049" t="str">
        <f>"304-90-255"</f>
        <v>304-90-255</v>
      </c>
      <c r="S1049" t="s">
        <v>7021</v>
      </c>
      <c r="U1049">
        <v>2214</v>
      </c>
      <c r="V1049">
        <v>0</v>
      </c>
      <c r="W1049">
        <v>2</v>
      </c>
      <c r="X1049">
        <v>1981</v>
      </c>
      <c r="Z1049">
        <v>1</v>
      </c>
      <c r="AB1049">
        <v>0</v>
      </c>
      <c r="AC1049" t="s">
        <v>115</v>
      </c>
      <c r="AD1049">
        <v>2</v>
      </c>
      <c r="AE1049" t="s">
        <v>115</v>
      </c>
      <c r="AF1049">
        <v>0</v>
      </c>
      <c r="AG1049">
        <v>0</v>
      </c>
      <c r="AH1049" t="s">
        <v>5467</v>
      </c>
      <c r="AI1049" s="1">
        <v>45651</v>
      </c>
      <c r="AJ1049" s="2">
        <v>0.1</v>
      </c>
      <c r="AK1049" s="1">
        <v>444217</v>
      </c>
      <c r="AL1049" t="s">
        <v>117</v>
      </c>
      <c r="AM1049" t="s">
        <v>376</v>
      </c>
      <c r="AN1049">
        <v>44797</v>
      </c>
      <c r="AO1049">
        <v>1.03</v>
      </c>
      <c r="AP1049">
        <v>1</v>
      </c>
      <c r="AR1049">
        <v>1</v>
      </c>
      <c r="AS1049" s="1">
        <v>29050</v>
      </c>
      <c r="AT1049" s="1">
        <v>5810</v>
      </c>
      <c r="AU1049" s="1">
        <v>23240</v>
      </c>
      <c r="AV1049">
        <v>80</v>
      </c>
      <c r="AX1049" s="1">
        <v>2912.84</v>
      </c>
      <c r="AY1049" t="s">
        <v>1074</v>
      </c>
      <c r="AZ1049" t="s">
        <v>193</v>
      </c>
      <c r="BA1049" t="s">
        <v>194</v>
      </c>
      <c r="BE1049" s="3">
        <v>42198</v>
      </c>
      <c r="BF1049" s="1">
        <v>379900</v>
      </c>
      <c r="BG1049" t="s">
        <v>7022</v>
      </c>
      <c r="BH1049" s="1">
        <v>171.59</v>
      </c>
      <c r="BI1049" s="1">
        <v>366318</v>
      </c>
      <c r="BJ1049" s="3">
        <v>42198</v>
      </c>
      <c r="BK1049" t="s">
        <v>123</v>
      </c>
      <c r="BL1049" t="str">
        <f>"2015.503120"</f>
        <v>2015.503120</v>
      </c>
      <c r="BM1049" t="s">
        <v>475</v>
      </c>
      <c r="BN1049" t="s">
        <v>1282</v>
      </c>
      <c r="BO1049" t="s">
        <v>7023</v>
      </c>
      <c r="BS1049">
        <v>30</v>
      </c>
      <c r="BT1049" s="1">
        <v>32248</v>
      </c>
      <c r="BU1049" s="3">
        <v>43374</v>
      </c>
      <c r="BW1049" t="str">
        <f>"2018.735340"</f>
        <v>2018.735340</v>
      </c>
      <c r="BX1049" t="s">
        <v>1639</v>
      </c>
      <c r="BY1049" t="s">
        <v>1640</v>
      </c>
      <c r="BZ1049" t="s">
        <v>7024</v>
      </c>
      <c r="CA1049" t="s">
        <v>7025</v>
      </c>
      <c r="CC1049" t="s">
        <v>346</v>
      </c>
      <c r="CH1049" t="str">
        <f>""</f>
        <v/>
      </c>
      <c r="CS1049" t="str">
        <f>""</f>
        <v/>
      </c>
    </row>
    <row r="1050" spans="1:97" x14ac:dyDescent="0.25">
      <c r="A1050" t="s">
        <v>1444</v>
      </c>
      <c r="B1050" t="s">
        <v>7026</v>
      </c>
      <c r="C1050" t="s">
        <v>1496</v>
      </c>
      <c r="D1050" t="s">
        <v>7026</v>
      </c>
      <c r="E1050" t="s">
        <v>7027</v>
      </c>
      <c r="F1050" t="s">
        <v>108</v>
      </c>
      <c r="H1050" t="s">
        <v>7028</v>
      </c>
      <c r="I1050" t="s">
        <v>1936</v>
      </c>
      <c r="J1050" t="s">
        <v>111</v>
      </c>
      <c r="K1050" t="str">
        <f>"85251"</f>
        <v>85251</v>
      </c>
      <c r="L1050" t="s">
        <v>4565</v>
      </c>
      <c r="M1050" t="s">
        <v>7028</v>
      </c>
      <c r="N1050" t="s">
        <v>1936</v>
      </c>
      <c r="O1050" t="s">
        <v>111</v>
      </c>
      <c r="P1050" t="str">
        <f>"85251-5065"</f>
        <v>85251-5065</v>
      </c>
      <c r="Q1050" t="s">
        <v>113</v>
      </c>
      <c r="R1050" t="str">
        <f>"130-41-013"</f>
        <v>130-41-013</v>
      </c>
      <c r="S1050" t="s">
        <v>7029</v>
      </c>
      <c r="T1050" t="s">
        <v>7030</v>
      </c>
      <c r="U1050">
        <v>2360</v>
      </c>
      <c r="V1050">
        <v>0</v>
      </c>
      <c r="W1050">
        <v>4</v>
      </c>
      <c r="X1050">
        <v>1971</v>
      </c>
      <c r="Z1050">
        <v>2</v>
      </c>
      <c r="AA1050" t="s">
        <v>26</v>
      </c>
      <c r="AB1050">
        <v>0</v>
      </c>
      <c r="AC1050" t="s">
        <v>115</v>
      </c>
      <c r="AD1050">
        <v>2</v>
      </c>
      <c r="AE1050" t="s">
        <v>115</v>
      </c>
      <c r="AF1050">
        <v>0</v>
      </c>
      <c r="AG1050">
        <v>0</v>
      </c>
      <c r="AH1050" t="s">
        <v>116</v>
      </c>
      <c r="AI1050" s="1">
        <v>143358</v>
      </c>
      <c r="AJ1050" s="2">
        <v>0.27</v>
      </c>
      <c r="AK1050" s="1">
        <v>530358</v>
      </c>
      <c r="AL1050" t="s">
        <v>117</v>
      </c>
      <c r="AM1050" t="s">
        <v>393</v>
      </c>
      <c r="AN1050">
        <v>17023</v>
      </c>
      <c r="AO1050">
        <v>0.39</v>
      </c>
      <c r="AP1050">
        <v>1</v>
      </c>
      <c r="AR1050">
        <v>1</v>
      </c>
      <c r="AS1050" s="1">
        <v>37230</v>
      </c>
      <c r="AT1050" s="1">
        <v>7440</v>
      </c>
      <c r="AU1050" s="1">
        <v>29790</v>
      </c>
      <c r="AV1050">
        <v>80.02</v>
      </c>
      <c r="AX1050" s="1">
        <v>2223.14</v>
      </c>
      <c r="AY1050" t="s">
        <v>7031</v>
      </c>
      <c r="AZ1050" t="s">
        <v>5420</v>
      </c>
      <c r="BA1050" t="s">
        <v>5421</v>
      </c>
      <c r="BE1050" s="3">
        <v>42367</v>
      </c>
      <c r="BF1050" s="1">
        <v>387000</v>
      </c>
      <c r="BG1050" t="s">
        <v>7032</v>
      </c>
      <c r="BH1050" s="1">
        <v>163.98</v>
      </c>
      <c r="BI1050" s="1">
        <v>387000</v>
      </c>
      <c r="BJ1050" s="3">
        <v>42367</v>
      </c>
      <c r="BK1050" t="s">
        <v>123</v>
      </c>
      <c r="BL1050" t="str">
        <f>"2015.912741"</f>
        <v>2015.912741</v>
      </c>
      <c r="BM1050" t="s">
        <v>820</v>
      </c>
      <c r="BO1050" t="s">
        <v>7033</v>
      </c>
      <c r="BS1050">
        <v>30</v>
      </c>
      <c r="BW1050" t="str">
        <f>""</f>
        <v/>
      </c>
      <c r="CH1050" t="str">
        <f>""</f>
        <v/>
      </c>
      <c r="CS1050" t="str">
        <f>""</f>
        <v/>
      </c>
    </row>
    <row r="1051" spans="1:97" x14ac:dyDescent="0.25">
      <c r="A1051" t="s">
        <v>767</v>
      </c>
      <c r="B1051" t="s">
        <v>7034</v>
      </c>
      <c r="E1051" t="s">
        <v>7035</v>
      </c>
      <c r="F1051" t="s">
        <v>108</v>
      </c>
      <c r="H1051" t="s">
        <v>7036</v>
      </c>
      <c r="I1051" t="s">
        <v>1936</v>
      </c>
      <c r="J1051" t="s">
        <v>111</v>
      </c>
      <c r="K1051" t="str">
        <f>"85251"</f>
        <v>85251</v>
      </c>
      <c r="L1051" t="s">
        <v>6003</v>
      </c>
      <c r="M1051" t="s">
        <v>7036</v>
      </c>
      <c r="N1051" t="s">
        <v>1936</v>
      </c>
      <c r="O1051" t="s">
        <v>111</v>
      </c>
      <c r="P1051" t="str">
        <f>"85251-4803"</f>
        <v>85251-4803</v>
      </c>
      <c r="Q1051" t="s">
        <v>113</v>
      </c>
      <c r="R1051" t="str">
        <f>"130-49-039"</f>
        <v>130-49-039</v>
      </c>
      <c r="S1051" t="s">
        <v>7037</v>
      </c>
      <c r="U1051">
        <v>1816</v>
      </c>
      <c r="V1051">
        <v>0</v>
      </c>
      <c r="W1051">
        <v>2</v>
      </c>
      <c r="X1051">
        <v>1958</v>
      </c>
      <c r="Z1051">
        <v>1</v>
      </c>
      <c r="AB1051">
        <v>0</v>
      </c>
      <c r="AC1051" t="s">
        <v>7038</v>
      </c>
      <c r="AD1051">
        <v>0</v>
      </c>
      <c r="AE1051" t="s">
        <v>7038</v>
      </c>
      <c r="AF1051">
        <v>0</v>
      </c>
      <c r="AG1051">
        <v>0</v>
      </c>
      <c r="AH1051" t="s">
        <v>116</v>
      </c>
      <c r="AI1051" s="1">
        <v>114340</v>
      </c>
      <c r="AJ1051" s="2">
        <v>0.28000000000000003</v>
      </c>
      <c r="AK1051" s="1">
        <v>406660</v>
      </c>
      <c r="AL1051" t="s">
        <v>117</v>
      </c>
      <c r="AM1051" t="s">
        <v>393</v>
      </c>
      <c r="AN1051">
        <v>6871</v>
      </c>
      <c r="AO1051">
        <v>0.16</v>
      </c>
      <c r="AP1051">
        <v>1</v>
      </c>
      <c r="AR1051">
        <v>1</v>
      </c>
      <c r="AS1051" s="1">
        <v>27310</v>
      </c>
      <c r="AT1051" s="1">
        <v>5460</v>
      </c>
      <c r="AU1051" s="1">
        <v>21850</v>
      </c>
      <c r="AV1051">
        <v>80.010000000000005</v>
      </c>
      <c r="AX1051" s="1">
        <v>1327.5</v>
      </c>
      <c r="AY1051" t="s">
        <v>7031</v>
      </c>
      <c r="AZ1051" t="s">
        <v>5420</v>
      </c>
      <c r="BA1051" t="s">
        <v>5421</v>
      </c>
      <c r="BE1051" s="3">
        <v>41736</v>
      </c>
      <c r="BF1051" s="1">
        <v>260000</v>
      </c>
      <c r="BG1051" t="s">
        <v>7039</v>
      </c>
      <c r="BH1051" s="1">
        <v>143.16999999999999</v>
      </c>
      <c r="BI1051" s="1">
        <v>267320</v>
      </c>
      <c r="BJ1051" s="3">
        <v>42079</v>
      </c>
      <c r="BK1051" t="s">
        <v>123</v>
      </c>
      <c r="BL1051" t="str">
        <f>"2015.175469"</f>
        <v>2015.175469</v>
      </c>
      <c r="BM1051" t="s">
        <v>255</v>
      </c>
      <c r="BN1051" t="s">
        <v>2398</v>
      </c>
      <c r="BO1051" t="s">
        <v>7040</v>
      </c>
      <c r="BS1051">
        <v>30</v>
      </c>
      <c r="BT1051" s="1">
        <v>25000</v>
      </c>
      <c r="BU1051" s="3">
        <v>43133</v>
      </c>
      <c r="BW1051" t="str">
        <f>"2018.84572"</f>
        <v>2018.84572</v>
      </c>
      <c r="BX1051" t="s">
        <v>2475</v>
      </c>
      <c r="BY1051" t="s">
        <v>2476</v>
      </c>
      <c r="BZ1051" t="s">
        <v>7035</v>
      </c>
      <c r="CC1051" t="s">
        <v>346</v>
      </c>
      <c r="CH1051" t="str">
        <f>""</f>
        <v/>
      </c>
      <c r="CS1051" t="str">
        <f>""</f>
        <v/>
      </c>
    </row>
    <row r="1052" spans="1:97" x14ac:dyDescent="0.25">
      <c r="A1052" t="s">
        <v>305</v>
      </c>
      <c r="B1052" t="s">
        <v>7041</v>
      </c>
      <c r="C1052" t="s">
        <v>1930</v>
      </c>
      <c r="D1052" t="s">
        <v>7041</v>
      </c>
      <c r="E1052" t="s">
        <v>7042</v>
      </c>
      <c r="F1052" t="s">
        <v>108</v>
      </c>
      <c r="H1052" t="s">
        <v>7043</v>
      </c>
      <c r="I1052" t="s">
        <v>203</v>
      </c>
      <c r="J1052" t="s">
        <v>111</v>
      </c>
      <c r="K1052" t="str">
        <f>"85233"</f>
        <v>85233</v>
      </c>
      <c r="L1052" t="s">
        <v>3161</v>
      </c>
      <c r="M1052" t="s">
        <v>7043</v>
      </c>
      <c r="N1052" t="s">
        <v>203</v>
      </c>
      <c r="O1052" t="s">
        <v>111</v>
      </c>
      <c r="P1052" t="str">
        <f>"85233-8427"</f>
        <v>85233-8427</v>
      </c>
      <c r="Q1052" t="s">
        <v>113</v>
      </c>
      <c r="R1052" t="str">
        <f>"302-82-625"</f>
        <v>302-82-625</v>
      </c>
      <c r="S1052" t="s">
        <v>7044</v>
      </c>
      <c r="T1052" t="s">
        <v>7045</v>
      </c>
      <c r="U1052">
        <v>1464</v>
      </c>
      <c r="V1052">
        <v>0</v>
      </c>
      <c r="W1052">
        <v>3</v>
      </c>
      <c r="X1052">
        <v>1997</v>
      </c>
      <c r="Z1052">
        <v>1</v>
      </c>
      <c r="AA1052" t="s">
        <v>26</v>
      </c>
      <c r="AB1052">
        <v>0</v>
      </c>
      <c r="AC1052" t="s">
        <v>115</v>
      </c>
      <c r="AD1052">
        <v>2</v>
      </c>
      <c r="AE1052" t="s">
        <v>115</v>
      </c>
      <c r="AF1052">
        <v>0</v>
      </c>
      <c r="AG1052">
        <v>0</v>
      </c>
      <c r="AH1052" t="s">
        <v>116</v>
      </c>
      <c r="AI1052" s="1">
        <v>63789</v>
      </c>
      <c r="AJ1052" s="2">
        <v>0.21</v>
      </c>
      <c r="AK1052" s="1">
        <v>297289</v>
      </c>
      <c r="AL1052" t="s">
        <v>117</v>
      </c>
      <c r="AM1052" t="s">
        <v>191</v>
      </c>
      <c r="AN1052">
        <v>6564</v>
      </c>
      <c r="AO1052">
        <v>0.15</v>
      </c>
      <c r="AP1052">
        <v>1</v>
      </c>
      <c r="AR1052">
        <v>1</v>
      </c>
      <c r="AS1052" s="1">
        <v>21100</v>
      </c>
      <c r="AT1052" s="1">
        <v>4220</v>
      </c>
      <c r="AU1052" s="1">
        <v>16880</v>
      </c>
      <c r="AV1052">
        <v>80</v>
      </c>
      <c r="AX1052" s="1">
        <v>1558.58</v>
      </c>
      <c r="AY1052" t="s">
        <v>7046</v>
      </c>
      <c r="AZ1052" t="s">
        <v>207</v>
      </c>
      <c r="BA1052" t="s">
        <v>5479</v>
      </c>
      <c r="BE1052" s="3">
        <v>42496</v>
      </c>
      <c r="BF1052" s="1">
        <v>233500</v>
      </c>
      <c r="BG1052" t="s">
        <v>7047</v>
      </c>
      <c r="BH1052" s="1">
        <v>159.49</v>
      </c>
      <c r="BI1052" s="1">
        <v>233500</v>
      </c>
      <c r="BJ1052" s="3">
        <v>42496</v>
      </c>
      <c r="BK1052" t="s">
        <v>123</v>
      </c>
      <c r="BL1052" t="str">
        <f>"2016.311430"</f>
        <v>2016.311430</v>
      </c>
      <c r="BM1052" t="s">
        <v>544</v>
      </c>
      <c r="BO1052" t="s">
        <v>7048</v>
      </c>
      <c r="BS1052">
        <v>30</v>
      </c>
      <c r="BW1052" t="str">
        <f>""</f>
        <v/>
      </c>
      <c r="CH1052" t="str">
        <f>""</f>
        <v/>
      </c>
      <c r="CS1052" t="str">
        <f>""</f>
        <v/>
      </c>
    </row>
    <row r="1053" spans="1:97" x14ac:dyDescent="0.25">
      <c r="A1053" t="s">
        <v>1727</v>
      </c>
      <c r="B1053" t="s">
        <v>7049</v>
      </c>
      <c r="C1053" t="s">
        <v>703</v>
      </c>
      <c r="D1053" t="s">
        <v>7049</v>
      </c>
      <c r="E1053" t="s">
        <v>7050</v>
      </c>
      <c r="F1053" t="s">
        <v>108</v>
      </c>
      <c r="H1053" t="s">
        <v>7051</v>
      </c>
      <c r="I1053" t="s">
        <v>225</v>
      </c>
      <c r="J1053" t="s">
        <v>111</v>
      </c>
      <c r="K1053" t="str">
        <f>"85205"</f>
        <v>85205</v>
      </c>
      <c r="L1053" t="s">
        <v>6964</v>
      </c>
      <c r="M1053" t="s">
        <v>7051</v>
      </c>
      <c r="N1053" t="s">
        <v>225</v>
      </c>
      <c r="O1053" t="s">
        <v>111</v>
      </c>
      <c r="P1053" t="str">
        <f>"85205-4734"</f>
        <v>85205-4734</v>
      </c>
      <c r="Q1053" t="s">
        <v>113</v>
      </c>
      <c r="R1053" t="str">
        <f>"140-02-256"</f>
        <v>140-02-256</v>
      </c>
      <c r="S1053" t="s">
        <v>7052</v>
      </c>
      <c r="T1053" t="s">
        <v>7053</v>
      </c>
      <c r="U1053">
        <v>1422</v>
      </c>
      <c r="V1053">
        <v>0</v>
      </c>
      <c r="W1053">
        <v>3</v>
      </c>
      <c r="X1053">
        <v>1988</v>
      </c>
      <c r="Z1053">
        <v>1</v>
      </c>
      <c r="AB1053">
        <v>0</v>
      </c>
      <c r="AC1053" t="s">
        <v>115</v>
      </c>
      <c r="AD1053">
        <v>2</v>
      </c>
      <c r="AE1053" t="s">
        <v>115</v>
      </c>
      <c r="AF1053">
        <v>0</v>
      </c>
      <c r="AG1053">
        <v>0</v>
      </c>
      <c r="AH1053" t="s">
        <v>116</v>
      </c>
      <c r="AI1053" s="1">
        <v>42854</v>
      </c>
      <c r="AJ1053" s="2">
        <v>0.17</v>
      </c>
      <c r="AK1053" s="1">
        <v>249454</v>
      </c>
      <c r="AL1053" t="s">
        <v>117</v>
      </c>
      <c r="AM1053" t="s">
        <v>393</v>
      </c>
      <c r="AN1053">
        <v>4443</v>
      </c>
      <c r="AO1053">
        <v>0.1</v>
      </c>
      <c r="AP1053">
        <v>1</v>
      </c>
      <c r="AR1053">
        <v>1</v>
      </c>
      <c r="AS1053" s="1">
        <v>16570</v>
      </c>
      <c r="AT1053" s="1">
        <v>3310</v>
      </c>
      <c r="AU1053" s="1">
        <v>13260</v>
      </c>
      <c r="AV1053">
        <v>80.02</v>
      </c>
      <c r="AX1053" s="1">
        <v>1157.6199999999999</v>
      </c>
      <c r="AY1053" t="s">
        <v>7054</v>
      </c>
      <c r="AZ1053" t="s">
        <v>5275</v>
      </c>
      <c r="BA1053" t="s">
        <v>3119</v>
      </c>
      <c r="BE1053" s="3">
        <v>42460</v>
      </c>
      <c r="BF1053" s="1">
        <v>210000</v>
      </c>
      <c r="BG1053" t="s">
        <v>7055</v>
      </c>
      <c r="BH1053" s="1">
        <v>147.68</v>
      </c>
      <c r="BI1053" s="1">
        <v>206600</v>
      </c>
      <c r="BJ1053" s="3">
        <v>42460</v>
      </c>
      <c r="BK1053" t="s">
        <v>123</v>
      </c>
      <c r="BL1053" t="str">
        <f>"2016.212525"</f>
        <v>2016.212525</v>
      </c>
      <c r="BM1053" t="s">
        <v>1044</v>
      </c>
      <c r="BO1053" t="s">
        <v>7056</v>
      </c>
      <c r="BS1053">
        <v>30</v>
      </c>
      <c r="BW1053" t="str">
        <f>""</f>
        <v/>
      </c>
      <c r="CH1053" t="str">
        <f>""</f>
        <v/>
      </c>
      <c r="CS1053" t="str">
        <f>""</f>
        <v/>
      </c>
    </row>
    <row r="1054" spans="1:97" x14ac:dyDescent="0.25">
      <c r="A1054" t="s">
        <v>4854</v>
      </c>
      <c r="B1054" t="s">
        <v>7057</v>
      </c>
      <c r="E1054" t="s">
        <v>7058</v>
      </c>
      <c r="F1054" t="s">
        <v>108</v>
      </c>
      <c r="H1054" t="s">
        <v>7059</v>
      </c>
      <c r="I1054" t="s">
        <v>203</v>
      </c>
      <c r="J1054" t="s">
        <v>111</v>
      </c>
      <c r="K1054" t="str">
        <f>"85234"</f>
        <v>85234</v>
      </c>
      <c r="L1054" t="s">
        <v>6691</v>
      </c>
      <c r="M1054" t="s">
        <v>7059</v>
      </c>
      <c r="N1054" t="s">
        <v>203</v>
      </c>
      <c r="O1054" t="s">
        <v>111</v>
      </c>
      <c r="P1054" t="str">
        <f>"85234-3328"</f>
        <v>85234-3328</v>
      </c>
      <c r="Q1054" t="s">
        <v>113</v>
      </c>
      <c r="R1054" t="str">
        <f>"304-10-723"</f>
        <v>304-10-723</v>
      </c>
      <c r="S1054" t="s">
        <v>7060</v>
      </c>
      <c r="T1054" t="s">
        <v>7061</v>
      </c>
      <c r="U1054">
        <v>1989</v>
      </c>
      <c r="V1054">
        <v>0</v>
      </c>
      <c r="W1054">
        <v>2</v>
      </c>
      <c r="X1054">
        <v>1988</v>
      </c>
      <c r="Z1054">
        <v>2</v>
      </c>
      <c r="AA1054" t="s">
        <v>26</v>
      </c>
      <c r="AB1054">
        <v>0</v>
      </c>
      <c r="AC1054" t="s">
        <v>115</v>
      </c>
      <c r="AD1054">
        <v>2</v>
      </c>
      <c r="AE1054" t="s">
        <v>115</v>
      </c>
      <c r="AF1054">
        <v>0</v>
      </c>
      <c r="AG1054">
        <v>0</v>
      </c>
      <c r="AH1054" t="s">
        <v>116</v>
      </c>
      <c r="AI1054" s="1">
        <v>80715</v>
      </c>
      <c r="AJ1054" s="2">
        <v>0.25</v>
      </c>
      <c r="AK1054" s="1">
        <v>321404</v>
      </c>
      <c r="AL1054" t="s">
        <v>117</v>
      </c>
      <c r="AM1054" t="s">
        <v>393</v>
      </c>
      <c r="AN1054">
        <v>7536</v>
      </c>
      <c r="AO1054">
        <v>0.17</v>
      </c>
      <c r="AP1054">
        <v>1</v>
      </c>
      <c r="AR1054">
        <v>1</v>
      </c>
      <c r="AS1054" s="1">
        <v>22370</v>
      </c>
      <c r="AT1054" s="1">
        <v>4470</v>
      </c>
      <c r="AU1054" s="1">
        <v>17900</v>
      </c>
      <c r="AV1054">
        <v>80.02</v>
      </c>
      <c r="AX1054" s="1">
        <v>1379.46</v>
      </c>
      <c r="AY1054" t="s">
        <v>7062</v>
      </c>
      <c r="AZ1054" t="s">
        <v>5478</v>
      </c>
      <c r="BA1054" t="s">
        <v>5033</v>
      </c>
      <c r="BE1054" s="3">
        <v>42382</v>
      </c>
      <c r="BF1054" s="1">
        <v>233000</v>
      </c>
      <c r="BG1054" t="s">
        <v>7063</v>
      </c>
      <c r="BH1054" s="1">
        <v>117.14</v>
      </c>
      <c r="BI1054" s="1">
        <v>240689</v>
      </c>
      <c r="BJ1054" s="3">
        <v>42382</v>
      </c>
      <c r="BK1054" t="s">
        <v>123</v>
      </c>
      <c r="BL1054" t="str">
        <f>"2016.22306"</f>
        <v>2016.22306</v>
      </c>
      <c r="BM1054" t="s">
        <v>1038</v>
      </c>
      <c r="BO1054" t="s">
        <v>7064</v>
      </c>
      <c r="BS1054">
        <v>30</v>
      </c>
      <c r="BW1054" t="str">
        <f>""</f>
        <v/>
      </c>
      <c r="CH1054" t="str">
        <f>""</f>
        <v/>
      </c>
      <c r="CS1054" t="str">
        <f>""</f>
        <v/>
      </c>
    </row>
    <row r="1055" spans="1:97" x14ac:dyDescent="0.25">
      <c r="B1055" t="s">
        <v>7065</v>
      </c>
      <c r="C1055" t="s">
        <v>1547</v>
      </c>
      <c r="E1055" t="s">
        <v>7066</v>
      </c>
      <c r="F1055" t="s">
        <v>108</v>
      </c>
      <c r="H1055" t="s">
        <v>7067</v>
      </c>
      <c r="I1055" t="s">
        <v>203</v>
      </c>
      <c r="J1055" t="s">
        <v>111</v>
      </c>
      <c r="K1055" t="str">
        <f>"85297"</f>
        <v>85297</v>
      </c>
      <c r="L1055" t="s">
        <v>3696</v>
      </c>
      <c r="M1055" t="s">
        <v>7067</v>
      </c>
      <c r="N1055" t="s">
        <v>203</v>
      </c>
      <c r="O1055" t="s">
        <v>111</v>
      </c>
      <c r="P1055" t="str">
        <f>"85297-7700"</f>
        <v>85297-7700</v>
      </c>
      <c r="Q1055" t="s">
        <v>113</v>
      </c>
      <c r="R1055" t="str">
        <f>"304-51-238"</f>
        <v>304-51-238</v>
      </c>
      <c r="S1055" t="s">
        <v>7068</v>
      </c>
      <c r="U1055">
        <v>1454</v>
      </c>
      <c r="V1055">
        <v>0</v>
      </c>
      <c r="W1055">
        <v>2</v>
      </c>
      <c r="X1055">
        <v>2000</v>
      </c>
      <c r="Z1055">
        <v>1</v>
      </c>
      <c r="AB1055">
        <v>0</v>
      </c>
      <c r="AC1055" t="s">
        <v>115</v>
      </c>
      <c r="AD1055">
        <v>2</v>
      </c>
      <c r="AE1055" t="s">
        <v>115</v>
      </c>
      <c r="AF1055">
        <v>0</v>
      </c>
      <c r="AG1055">
        <v>0</v>
      </c>
      <c r="AH1055" t="s">
        <v>116</v>
      </c>
      <c r="AI1055" s="1">
        <v>39972</v>
      </c>
      <c r="AJ1055" s="2">
        <v>0.14000000000000001</v>
      </c>
      <c r="AK1055" s="1">
        <v>282727</v>
      </c>
      <c r="AL1055" t="s">
        <v>117</v>
      </c>
      <c r="AM1055" t="s">
        <v>191</v>
      </c>
      <c r="AN1055">
        <v>6000</v>
      </c>
      <c r="AO1055">
        <v>0.14000000000000001</v>
      </c>
      <c r="AP1055">
        <v>1</v>
      </c>
      <c r="AR1055">
        <v>1</v>
      </c>
      <c r="AS1055" s="1">
        <v>18620</v>
      </c>
      <c r="AT1055" s="1">
        <v>3720</v>
      </c>
      <c r="AU1055" s="1">
        <v>14900</v>
      </c>
      <c r="AV1055">
        <v>80.02</v>
      </c>
      <c r="AX1055" s="1">
        <v>1439.34</v>
      </c>
      <c r="AY1055" t="s">
        <v>394</v>
      </c>
      <c r="AZ1055" t="s">
        <v>394</v>
      </c>
      <c r="BA1055" t="s">
        <v>290</v>
      </c>
      <c r="BB1055" s="3">
        <v>43601</v>
      </c>
      <c r="BC1055" s="1">
        <v>0</v>
      </c>
      <c r="BD1055" t="s">
        <v>247</v>
      </c>
      <c r="BE1055" s="3">
        <v>42445</v>
      </c>
      <c r="BF1055" s="1">
        <v>201000</v>
      </c>
      <c r="BG1055" t="s">
        <v>7069</v>
      </c>
      <c r="BH1055" s="1">
        <v>138.24</v>
      </c>
      <c r="BI1055" s="1">
        <v>242755</v>
      </c>
      <c r="BJ1055" s="3">
        <v>43178</v>
      </c>
      <c r="BK1055" t="s">
        <v>123</v>
      </c>
      <c r="BL1055" t="str">
        <f>"2018.203251"</f>
        <v>2018.203251</v>
      </c>
      <c r="BM1055" t="s">
        <v>2489</v>
      </c>
      <c r="BN1055" t="s">
        <v>4819</v>
      </c>
      <c r="BO1055" t="s">
        <v>7070</v>
      </c>
      <c r="BP1055" t="s">
        <v>7071</v>
      </c>
      <c r="BR1055" t="s">
        <v>139</v>
      </c>
      <c r="BW1055" t="str">
        <f>""</f>
        <v/>
      </c>
      <c r="CH1055" t="str">
        <f>""</f>
        <v/>
      </c>
      <c r="CS1055" t="str">
        <f>""</f>
        <v/>
      </c>
    </row>
    <row r="1056" spans="1:97" x14ac:dyDescent="0.25">
      <c r="A1056" t="s">
        <v>1850</v>
      </c>
      <c r="B1056" t="s">
        <v>7072</v>
      </c>
      <c r="E1056" t="s">
        <v>7073</v>
      </c>
      <c r="F1056" t="s">
        <v>108</v>
      </c>
      <c r="H1056" t="s">
        <v>7074</v>
      </c>
      <c r="I1056" t="s">
        <v>453</v>
      </c>
      <c r="J1056" t="s">
        <v>111</v>
      </c>
      <c r="K1056" t="str">
        <f>"85345"</f>
        <v>85345</v>
      </c>
      <c r="L1056" t="s">
        <v>6145</v>
      </c>
      <c r="M1056" t="s">
        <v>7074</v>
      </c>
      <c r="N1056" t="s">
        <v>453</v>
      </c>
      <c r="O1056" t="s">
        <v>111</v>
      </c>
      <c r="P1056" t="str">
        <f>"85345-8243"</f>
        <v>85345-8243</v>
      </c>
      <c r="Q1056" t="s">
        <v>113</v>
      </c>
      <c r="R1056" t="str">
        <f>"142-01-088"</f>
        <v>142-01-088</v>
      </c>
      <c r="S1056" t="s">
        <v>7075</v>
      </c>
      <c r="T1056" t="s">
        <v>7076</v>
      </c>
      <c r="U1056">
        <v>1654</v>
      </c>
      <c r="V1056">
        <v>0</v>
      </c>
      <c r="W1056">
        <v>2</v>
      </c>
      <c r="X1056">
        <v>1985</v>
      </c>
      <c r="Z1056">
        <v>1</v>
      </c>
      <c r="AB1056">
        <v>0</v>
      </c>
      <c r="AC1056" t="s">
        <v>115</v>
      </c>
      <c r="AD1056">
        <v>2</v>
      </c>
      <c r="AE1056" t="s">
        <v>115</v>
      </c>
      <c r="AF1056">
        <v>0</v>
      </c>
      <c r="AG1056">
        <v>0</v>
      </c>
      <c r="AH1056" t="s">
        <v>116</v>
      </c>
      <c r="AI1056" s="1">
        <v>47196</v>
      </c>
      <c r="AJ1056" s="2">
        <v>0.18</v>
      </c>
      <c r="AK1056" s="1">
        <v>264126</v>
      </c>
      <c r="AL1056" t="s">
        <v>117</v>
      </c>
      <c r="AM1056" t="s">
        <v>171</v>
      </c>
      <c r="AN1056">
        <v>8324</v>
      </c>
      <c r="AO1056">
        <v>0.19</v>
      </c>
      <c r="AP1056">
        <v>1</v>
      </c>
      <c r="AR1056">
        <v>1</v>
      </c>
      <c r="AS1056" s="1">
        <v>15700</v>
      </c>
      <c r="AT1056" s="1">
        <v>3140</v>
      </c>
      <c r="AU1056" s="1">
        <v>12560</v>
      </c>
      <c r="AV1056">
        <v>80</v>
      </c>
      <c r="AX1056" s="1">
        <v>954</v>
      </c>
      <c r="AY1056" t="s">
        <v>7077</v>
      </c>
      <c r="AZ1056" t="s">
        <v>7077</v>
      </c>
      <c r="BA1056" t="s">
        <v>4007</v>
      </c>
      <c r="BB1056" s="3">
        <v>42678</v>
      </c>
      <c r="BD1056" t="s">
        <v>480</v>
      </c>
      <c r="BE1056" s="3">
        <v>41849</v>
      </c>
      <c r="BF1056" s="1">
        <v>169000</v>
      </c>
      <c r="BG1056" t="s">
        <v>7078</v>
      </c>
      <c r="BH1056" s="1">
        <v>102.18</v>
      </c>
      <c r="BI1056" s="1">
        <v>216930</v>
      </c>
      <c r="BJ1056" s="3">
        <v>43242</v>
      </c>
      <c r="BK1056" t="s">
        <v>123</v>
      </c>
      <c r="BL1056" t="str">
        <f>"2018.390671"</f>
        <v>2018.390671</v>
      </c>
      <c r="BM1056" t="s">
        <v>3040</v>
      </c>
      <c r="BN1056" t="s">
        <v>3041</v>
      </c>
      <c r="BO1056" t="s">
        <v>7073</v>
      </c>
      <c r="BR1056" t="s">
        <v>139</v>
      </c>
      <c r="BT1056" s="1">
        <v>216930</v>
      </c>
      <c r="BU1056" s="3">
        <v>43242</v>
      </c>
      <c r="BV1056" t="s">
        <v>123</v>
      </c>
      <c r="BW1056" t="str">
        <f>"2018.390671"</f>
        <v>2018.390671</v>
      </c>
      <c r="BX1056" t="s">
        <v>3040</v>
      </c>
      <c r="BY1056" t="s">
        <v>3041</v>
      </c>
      <c r="BZ1056" t="s">
        <v>7073</v>
      </c>
      <c r="CC1056" t="s">
        <v>139</v>
      </c>
      <c r="CH1056" t="str">
        <f>""</f>
        <v/>
      </c>
      <c r="CS1056" t="str">
        <f>""</f>
        <v/>
      </c>
    </row>
    <row r="1057" spans="1:97" x14ac:dyDescent="0.25">
      <c r="A1057" t="s">
        <v>4174</v>
      </c>
      <c r="B1057" t="s">
        <v>5236</v>
      </c>
      <c r="C1057" t="s">
        <v>7079</v>
      </c>
      <c r="D1057" t="s">
        <v>5236</v>
      </c>
      <c r="E1057" t="s">
        <v>7080</v>
      </c>
      <c r="F1057" t="s">
        <v>108</v>
      </c>
      <c r="H1057" t="s">
        <v>7081</v>
      </c>
      <c r="I1057" t="s">
        <v>2874</v>
      </c>
      <c r="J1057" t="s">
        <v>111</v>
      </c>
      <c r="K1057" t="str">
        <f>"85310"</f>
        <v>85310</v>
      </c>
      <c r="L1057" t="s">
        <v>1244</v>
      </c>
      <c r="M1057" t="s">
        <v>7081</v>
      </c>
      <c r="N1057" t="s">
        <v>2874</v>
      </c>
      <c r="O1057" t="s">
        <v>111</v>
      </c>
      <c r="P1057" t="str">
        <f>"85310-3241"</f>
        <v>85310-3241</v>
      </c>
      <c r="Q1057" t="s">
        <v>113</v>
      </c>
      <c r="R1057" t="str">
        <f>"205-14-203"</f>
        <v>205-14-203</v>
      </c>
      <c r="S1057" t="s">
        <v>7082</v>
      </c>
      <c r="T1057" t="s">
        <v>5699</v>
      </c>
      <c r="U1057">
        <v>3366</v>
      </c>
      <c r="V1057">
        <v>0</v>
      </c>
      <c r="W1057">
        <v>4</v>
      </c>
      <c r="X1057">
        <v>1991</v>
      </c>
      <c r="Z1057">
        <v>2</v>
      </c>
      <c r="AA1057" t="s">
        <v>26</v>
      </c>
      <c r="AB1057">
        <v>0</v>
      </c>
      <c r="AC1057" t="s">
        <v>115</v>
      </c>
      <c r="AD1057">
        <v>2</v>
      </c>
      <c r="AE1057" t="s">
        <v>115</v>
      </c>
      <c r="AF1057">
        <v>0</v>
      </c>
      <c r="AG1057">
        <v>0</v>
      </c>
      <c r="AH1057" t="s">
        <v>116</v>
      </c>
      <c r="AI1057" s="1">
        <v>109594</v>
      </c>
      <c r="AJ1057" s="2">
        <v>0.28000000000000003</v>
      </c>
      <c r="AK1057" s="1">
        <v>395735</v>
      </c>
      <c r="AL1057" t="s">
        <v>117</v>
      </c>
      <c r="AM1057" t="s">
        <v>191</v>
      </c>
      <c r="AN1057">
        <v>7520</v>
      </c>
      <c r="AO1057">
        <v>0.17</v>
      </c>
      <c r="AP1057">
        <v>1</v>
      </c>
      <c r="AR1057">
        <v>1</v>
      </c>
      <c r="AS1057" s="1">
        <v>27930</v>
      </c>
      <c r="AT1057" s="1">
        <v>5580</v>
      </c>
      <c r="AU1057" s="1">
        <v>22350</v>
      </c>
      <c r="AV1057">
        <v>80.02</v>
      </c>
      <c r="AX1057" s="1">
        <v>2365.92</v>
      </c>
      <c r="AY1057" t="s">
        <v>5701</v>
      </c>
      <c r="AZ1057" t="s">
        <v>3049</v>
      </c>
      <c r="BA1057" t="s">
        <v>1386</v>
      </c>
      <c r="BE1057" s="3">
        <v>41871</v>
      </c>
      <c r="BF1057" s="1">
        <v>311000</v>
      </c>
      <c r="BG1057" t="s">
        <v>7083</v>
      </c>
      <c r="BH1057" s="1">
        <v>92.39</v>
      </c>
      <c r="BI1057" s="1">
        <v>286141</v>
      </c>
      <c r="BJ1057" s="3">
        <v>43160</v>
      </c>
      <c r="BK1057" t="s">
        <v>123</v>
      </c>
      <c r="BL1057" t="str">
        <f>"2018.155065"</f>
        <v>2018.155065</v>
      </c>
      <c r="BM1057" t="s">
        <v>5842</v>
      </c>
      <c r="BN1057" t="s">
        <v>5843</v>
      </c>
      <c r="BO1057" t="s">
        <v>7084</v>
      </c>
      <c r="BP1057" t="s">
        <v>7085</v>
      </c>
      <c r="BR1057" t="s">
        <v>139</v>
      </c>
      <c r="BW1057" t="str">
        <f>""</f>
        <v/>
      </c>
      <c r="CH1057" t="str">
        <f>""</f>
        <v/>
      </c>
      <c r="CS1057" t="str">
        <f>""</f>
        <v/>
      </c>
    </row>
    <row r="1058" spans="1:97" x14ac:dyDescent="0.25">
      <c r="A1058" t="s">
        <v>2374</v>
      </c>
      <c r="B1058" t="s">
        <v>7086</v>
      </c>
      <c r="C1058" t="s">
        <v>4515</v>
      </c>
      <c r="D1058" t="s">
        <v>7086</v>
      </c>
      <c r="E1058" t="s">
        <v>7087</v>
      </c>
      <c r="F1058" t="s">
        <v>108</v>
      </c>
      <c r="H1058" t="s">
        <v>7088</v>
      </c>
      <c r="I1058" t="s">
        <v>203</v>
      </c>
      <c r="J1058" t="s">
        <v>111</v>
      </c>
      <c r="K1058" t="str">
        <f>"85296"</f>
        <v>85296</v>
      </c>
      <c r="L1058" t="s">
        <v>3326</v>
      </c>
      <c r="M1058" t="s">
        <v>7088</v>
      </c>
      <c r="N1058" t="s">
        <v>203</v>
      </c>
      <c r="O1058" t="s">
        <v>111</v>
      </c>
      <c r="P1058" t="str">
        <f>"85296-3225"</f>
        <v>85296-3225</v>
      </c>
      <c r="Q1058" t="s">
        <v>113</v>
      </c>
      <c r="R1058" t="str">
        <f>"304-21-068"</f>
        <v>304-21-068</v>
      </c>
      <c r="S1058" t="s">
        <v>5031</v>
      </c>
      <c r="T1058" t="s">
        <v>5031</v>
      </c>
      <c r="U1058">
        <v>1266</v>
      </c>
      <c r="V1058">
        <v>0</v>
      </c>
      <c r="W1058">
        <v>3</v>
      </c>
      <c r="X1058">
        <v>1997</v>
      </c>
      <c r="Z1058">
        <v>1</v>
      </c>
      <c r="AA1058" t="s">
        <v>26</v>
      </c>
      <c r="AB1058">
        <v>0</v>
      </c>
      <c r="AC1058" t="s">
        <v>115</v>
      </c>
      <c r="AD1058">
        <v>2</v>
      </c>
      <c r="AE1058" t="s">
        <v>115</v>
      </c>
      <c r="AF1058">
        <v>0</v>
      </c>
      <c r="AG1058">
        <v>0</v>
      </c>
      <c r="AH1058" t="s">
        <v>116</v>
      </c>
      <c r="AI1058" s="1">
        <v>-3662</v>
      </c>
      <c r="AJ1058" s="2">
        <v>-0.01</v>
      </c>
      <c r="AK1058" s="1">
        <v>256654</v>
      </c>
      <c r="AL1058" t="s">
        <v>117</v>
      </c>
      <c r="AM1058" t="s">
        <v>191</v>
      </c>
      <c r="AN1058">
        <v>6486</v>
      </c>
      <c r="AO1058">
        <v>0.15</v>
      </c>
      <c r="AP1058">
        <v>1</v>
      </c>
      <c r="AR1058">
        <v>1</v>
      </c>
      <c r="AS1058" s="1">
        <v>19000</v>
      </c>
      <c r="AT1058" s="1">
        <v>3800</v>
      </c>
      <c r="AU1058" s="1">
        <v>15200</v>
      </c>
      <c r="AV1058">
        <v>80</v>
      </c>
      <c r="AX1058" s="1">
        <v>1254.02</v>
      </c>
      <c r="AY1058" t="s">
        <v>5032</v>
      </c>
      <c r="AZ1058" t="s">
        <v>520</v>
      </c>
      <c r="BA1058" t="s">
        <v>5033</v>
      </c>
      <c r="BE1058" s="3">
        <v>42286</v>
      </c>
      <c r="BF1058" s="1">
        <v>199000</v>
      </c>
      <c r="BG1058" t="s">
        <v>7089</v>
      </c>
      <c r="BH1058" s="1">
        <v>157.19</v>
      </c>
      <c r="BI1058" s="1">
        <v>260316</v>
      </c>
      <c r="BJ1058" s="3">
        <v>43270</v>
      </c>
      <c r="BK1058" t="s">
        <v>123</v>
      </c>
      <c r="BL1058" t="str">
        <f>"2018.465791"</f>
        <v>2018.465791</v>
      </c>
      <c r="BM1058" t="s">
        <v>361</v>
      </c>
      <c r="BN1058" t="s">
        <v>884</v>
      </c>
      <c r="BO1058" t="s">
        <v>7090</v>
      </c>
      <c r="BP1058" t="s">
        <v>7091</v>
      </c>
      <c r="BR1058" t="s">
        <v>139</v>
      </c>
      <c r="BW1058" t="str">
        <f>""</f>
        <v/>
      </c>
      <c r="CH1058" t="str">
        <f>""</f>
        <v/>
      </c>
      <c r="CS1058" t="str">
        <f>""</f>
        <v/>
      </c>
    </row>
    <row r="1059" spans="1:97" x14ac:dyDescent="0.25">
      <c r="A1059" t="s">
        <v>815</v>
      </c>
      <c r="B1059" t="s">
        <v>7092</v>
      </c>
      <c r="E1059" t="s">
        <v>7093</v>
      </c>
      <c r="F1059" t="s">
        <v>108</v>
      </c>
      <c r="H1059" t="s">
        <v>7094</v>
      </c>
      <c r="I1059" t="s">
        <v>390</v>
      </c>
      <c r="J1059" t="s">
        <v>111</v>
      </c>
      <c r="K1059" t="str">
        <f>"85086"</f>
        <v>85086</v>
      </c>
      <c r="L1059" t="s">
        <v>3326</v>
      </c>
      <c r="M1059" t="s">
        <v>7094</v>
      </c>
      <c r="N1059" t="s">
        <v>390</v>
      </c>
      <c r="O1059" t="s">
        <v>111</v>
      </c>
      <c r="P1059" t="str">
        <f>"85086-1444"</f>
        <v>85086-1444</v>
      </c>
      <c r="Q1059" t="s">
        <v>113</v>
      </c>
      <c r="R1059" t="str">
        <f>"203-04-319"</f>
        <v>203-04-319</v>
      </c>
      <c r="S1059" t="s">
        <v>7095</v>
      </c>
      <c r="T1059" t="s">
        <v>7096</v>
      </c>
      <c r="U1059">
        <v>1432</v>
      </c>
      <c r="V1059">
        <v>0</v>
      </c>
      <c r="W1059">
        <v>3</v>
      </c>
      <c r="X1059">
        <v>2004</v>
      </c>
      <c r="Z1059">
        <v>1</v>
      </c>
      <c r="AB1059">
        <v>0</v>
      </c>
      <c r="AC1059" t="s">
        <v>115</v>
      </c>
      <c r="AD1059">
        <v>2</v>
      </c>
      <c r="AE1059" t="s">
        <v>115</v>
      </c>
      <c r="AF1059">
        <v>0</v>
      </c>
      <c r="AG1059">
        <v>0</v>
      </c>
      <c r="AH1059" t="s">
        <v>116</v>
      </c>
      <c r="AI1059" s="1">
        <v>35896</v>
      </c>
      <c r="AJ1059" s="2">
        <v>0.14000000000000001</v>
      </c>
      <c r="AK1059" s="1">
        <v>259816</v>
      </c>
      <c r="AL1059" t="s">
        <v>117</v>
      </c>
      <c r="AM1059" t="s">
        <v>191</v>
      </c>
      <c r="AN1059">
        <v>5175</v>
      </c>
      <c r="AO1059">
        <v>0.12</v>
      </c>
      <c r="AP1059">
        <v>1</v>
      </c>
      <c r="AR1059">
        <v>1</v>
      </c>
      <c r="AS1059" s="1">
        <v>17420</v>
      </c>
      <c r="AT1059" s="1">
        <v>3480</v>
      </c>
      <c r="AU1059" s="1">
        <v>13940</v>
      </c>
      <c r="AV1059">
        <v>80.02</v>
      </c>
      <c r="AX1059" s="1">
        <v>1570.62</v>
      </c>
      <c r="AY1059" t="s">
        <v>5380</v>
      </c>
      <c r="AZ1059" t="s">
        <v>5380</v>
      </c>
      <c r="BA1059" t="s">
        <v>378</v>
      </c>
      <c r="BE1059" s="3">
        <v>43745</v>
      </c>
      <c r="BF1059" s="1">
        <v>279000</v>
      </c>
      <c r="BG1059" t="s">
        <v>7097</v>
      </c>
      <c r="BH1059" s="1">
        <v>194.83</v>
      </c>
      <c r="BI1059" s="1">
        <v>235893</v>
      </c>
      <c r="BJ1059" s="3">
        <v>42621</v>
      </c>
      <c r="BK1059" t="s">
        <v>123</v>
      </c>
      <c r="BL1059" t="str">
        <f>"2016.649061"</f>
        <v>2016.649061</v>
      </c>
      <c r="BM1059" t="s">
        <v>1695</v>
      </c>
      <c r="BN1059" t="s">
        <v>3082</v>
      </c>
      <c r="BO1059" t="s">
        <v>7097</v>
      </c>
      <c r="BS1059">
        <v>30</v>
      </c>
      <c r="BW1059" t="str">
        <f>""</f>
        <v/>
      </c>
      <c r="CH1059" t="str">
        <f>""</f>
        <v/>
      </c>
      <c r="CS1059" t="str">
        <f>""</f>
        <v/>
      </c>
    </row>
    <row r="1060" spans="1:97" x14ac:dyDescent="0.25">
      <c r="A1060" t="s">
        <v>2544</v>
      </c>
      <c r="B1060" t="s">
        <v>7098</v>
      </c>
      <c r="E1060" t="s">
        <v>7099</v>
      </c>
      <c r="F1060" t="s">
        <v>108</v>
      </c>
      <c r="H1060" t="s">
        <v>7100</v>
      </c>
      <c r="I1060" t="s">
        <v>225</v>
      </c>
      <c r="J1060" t="s">
        <v>111</v>
      </c>
      <c r="K1060" t="str">
        <f>"85213"</f>
        <v>85213</v>
      </c>
      <c r="L1060" t="s">
        <v>1300</v>
      </c>
      <c r="M1060" t="s">
        <v>7100</v>
      </c>
      <c r="N1060" t="s">
        <v>225</v>
      </c>
      <c r="O1060" t="s">
        <v>111</v>
      </c>
      <c r="P1060" t="str">
        <f>"85213-4607"</f>
        <v>85213-4607</v>
      </c>
      <c r="Q1060" t="s">
        <v>113</v>
      </c>
      <c r="R1060" t="str">
        <f>"141-79-014"</f>
        <v>141-79-014</v>
      </c>
      <c r="S1060" t="s">
        <v>7101</v>
      </c>
      <c r="U1060">
        <v>3032</v>
      </c>
      <c r="V1060">
        <v>0</v>
      </c>
      <c r="W1060">
        <v>4</v>
      </c>
      <c r="X1060">
        <v>1965</v>
      </c>
      <c r="Z1060">
        <v>2</v>
      </c>
      <c r="AA1060" t="s">
        <v>26</v>
      </c>
      <c r="AB1060">
        <v>0</v>
      </c>
      <c r="AC1060" t="s">
        <v>5188</v>
      </c>
      <c r="AD1060">
        <v>1</v>
      </c>
      <c r="AE1060" t="s">
        <v>5188</v>
      </c>
      <c r="AF1060">
        <v>0</v>
      </c>
      <c r="AG1060">
        <v>0</v>
      </c>
      <c r="AH1060" t="s">
        <v>116</v>
      </c>
      <c r="AI1060" s="1">
        <v>68625</v>
      </c>
      <c r="AJ1060" s="2">
        <v>0.18</v>
      </c>
      <c r="AK1060" s="1">
        <v>373625</v>
      </c>
      <c r="AL1060" t="s">
        <v>117</v>
      </c>
      <c r="AM1060" t="s">
        <v>917</v>
      </c>
      <c r="AN1060">
        <v>11162</v>
      </c>
      <c r="AO1060">
        <v>0.26</v>
      </c>
      <c r="AP1060">
        <v>1</v>
      </c>
      <c r="AR1060">
        <v>1</v>
      </c>
      <c r="AS1060" s="1">
        <v>25170</v>
      </c>
      <c r="AT1060" s="1">
        <v>5030</v>
      </c>
      <c r="AU1060" s="1">
        <v>20140</v>
      </c>
      <c r="AV1060">
        <v>80.02</v>
      </c>
      <c r="AX1060" s="1">
        <v>1643.62</v>
      </c>
      <c r="AY1060" t="s">
        <v>7102</v>
      </c>
      <c r="AZ1060" t="s">
        <v>1523</v>
      </c>
      <c r="BA1060" t="s">
        <v>1524</v>
      </c>
      <c r="BE1060" s="3">
        <v>42061</v>
      </c>
      <c r="BF1060" s="1">
        <v>230000</v>
      </c>
      <c r="BG1060" t="s">
        <v>7103</v>
      </c>
      <c r="BH1060" s="1">
        <v>75.86</v>
      </c>
      <c r="BI1060" s="1">
        <v>305000</v>
      </c>
      <c r="BJ1060" s="3">
        <v>43644</v>
      </c>
      <c r="BK1060" t="s">
        <v>123</v>
      </c>
      <c r="BL1060" t="str">
        <f>"2019.494787"</f>
        <v>2019.494787</v>
      </c>
      <c r="BM1060" t="s">
        <v>5011</v>
      </c>
      <c r="BN1060" t="s">
        <v>5012</v>
      </c>
      <c r="BO1060" t="s">
        <v>7104</v>
      </c>
      <c r="BR1060" t="s">
        <v>139</v>
      </c>
      <c r="BW1060" t="str">
        <f>""</f>
        <v/>
      </c>
      <c r="CH1060" t="str">
        <f>""</f>
        <v/>
      </c>
      <c r="CS1060" t="str">
        <f>""</f>
        <v/>
      </c>
    </row>
    <row r="1061" spans="1:97" x14ac:dyDescent="0.25">
      <c r="A1061" t="s">
        <v>7105</v>
      </c>
      <c r="B1061" t="s">
        <v>7106</v>
      </c>
      <c r="E1061" t="s">
        <v>7107</v>
      </c>
      <c r="F1061" t="s">
        <v>108</v>
      </c>
      <c r="H1061" t="s">
        <v>7108</v>
      </c>
      <c r="I1061" t="s">
        <v>632</v>
      </c>
      <c r="J1061" t="s">
        <v>111</v>
      </c>
      <c r="K1061" t="str">
        <f>"85379"</f>
        <v>85379</v>
      </c>
      <c r="L1061" t="s">
        <v>7109</v>
      </c>
      <c r="M1061" t="s">
        <v>7108</v>
      </c>
      <c r="N1061" t="s">
        <v>632</v>
      </c>
      <c r="O1061" t="s">
        <v>111</v>
      </c>
      <c r="P1061" t="str">
        <f>"85379-4457"</f>
        <v>85379-4457</v>
      </c>
      <c r="Q1061" t="s">
        <v>113</v>
      </c>
      <c r="R1061" t="str">
        <f>"509-15-192"</f>
        <v>509-15-192</v>
      </c>
      <c r="S1061" t="s">
        <v>7110</v>
      </c>
      <c r="U1061">
        <v>3282</v>
      </c>
      <c r="V1061">
        <v>0</v>
      </c>
      <c r="W1061">
        <v>3</v>
      </c>
      <c r="X1061">
        <v>2005</v>
      </c>
      <c r="Z1061">
        <v>2</v>
      </c>
      <c r="AA1061" t="s">
        <v>26</v>
      </c>
      <c r="AB1061">
        <v>0</v>
      </c>
      <c r="AC1061" t="s">
        <v>115</v>
      </c>
      <c r="AD1061">
        <v>2</v>
      </c>
      <c r="AE1061" t="s">
        <v>115</v>
      </c>
      <c r="AF1061">
        <v>0</v>
      </c>
      <c r="AG1061">
        <v>0</v>
      </c>
      <c r="AH1061" t="s">
        <v>116</v>
      </c>
      <c r="AI1061" s="1">
        <v>49944</v>
      </c>
      <c r="AJ1061" s="2">
        <v>0.14000000000000001</v>
      </c>
      <c r="AK1061" s="1">
        <v>349514</v>
      </c>
      <c r="AL1061" t="s">
        <v>117</v>
      </c>
      <c r="AM1061" t="s">
        <v>118</v>
      </c>
      <c r="AN1061">
        <v>6600</v>
      </c>
      <c r="AO1061">
        <v>0.15</v>
      </c>
      <c r="AR1061">
        <v>1</v>
      </c>
      <c r="AS1061" s="1">
        <v>24020</v>
      </c>
      <c r="AT1061" s="1">
        <v>4800</v>
      </c>
      <c r="AU1061" s="1">
        <v>19220</v>
      </c>
      <c r="AV1061">
        <v>80.02</v>
      </c>
      <c r="AX1061" s="1">
        <v>2042.72</v>
      </c>
      <c r="AY1061" t="s">
        <v>5615</v>
      </c>
      <c r="AZ1061" t="s">
        <v>5615</v>
      </c>
      <c r="BA1061" t="s">
        <v>635</v>
      </c>
      <c r="BE1061" s="3">
        <v>41815</v>
      </c>
      <c r="BF1061" s="1">
        <v>260000</v>
      </c>
      <c r="BG1061" t="s">
        <v>7111</v>
      </c>
      <c r="BH1061" s="1">
        <v>79.22</v>
      </c>
      <c r="BI1061" s="1">
        <v>299570</v>
      </c>
      <c r="BJ1061" s="3">
        <v>42731</v>
      </c>
      <c r="BK1061" t="s">
        <v>123</v>
      </c>
      <c r="BL1061" t="str">
        <f>"2016.950852"</f>
        <v>2016.950852</v>
      </c>
      <c r="BM1061" t="s">
        <v>5534</v>
      </c>
      <c r="BO1061" t="s">
        <v>7112</v>
      </c>
      <c r="BS1061">
        <v>30</v>
      </c>
      <c r="BW1061" t="str">
        <f>""</f>
        <v/>
      </c>
      <c r="CH1061" t="str">
        <f>""</f>
        <v/>
      </c>
      <c r="CS1061" t="str">
        <f>""</f>
        <v/>
      </c>
    </row>
    <row r="1062" spans="1:97" x14ac:dyDescent="0.25">
      <c r="A1062" t="s">
        <v>1109</v>
      </c>
      <c r="B1062" t="s">
        <v>7113</v>
      </c>
      <c r="E1062" t="s">
        <v>7114</v>
      </c>
      <c r="F1062" t="s">
        <v>108</v>
      </c>
      <c r="H1062" t="s">
        <v>7115</v>
      </c>
      <c r="I1062" t="s">
        <v>390</v>
      </c>
      <c r="J1062" t="s">
        <v>111</v>
      </c>
      <c r="K1062" t="str">
        <f>"85015"</f>
        <v>85015</v>
      </c>
      <c r="L1062" t="s">
        <v>7116</v>
      </c>
      <c r="M1062" t="s">
        <v>7115</v>
      </c>
      <c r="N1062" t="s">
        <v>390</v>
      </c>
      <c r="O1062" t="s">
        <v>111</v>
      </c>
      <c r="P1062" t="str">
        <f>"85015-5734"</f>
        <v>85015-5734</v>
      </c>
      <c r="Q1062" t="s">
        <v>113</v>
      </c>
      <c r="R1062" t="str">
        <f>"110-18-096"</f>
        <v>110-18-096</v>
      </c>
      <c r="S1062" t="s">
        <v>7117</v>
      </c>
      <c r="T1062" t="s">
        <v>7118</v>
      </c>
      <c r="U1062">
        <v>1722</v>
      </c>
      <c r="V1062">
        <v>0</v>
      </c>
      <c r="W1062">
        <v>2</v>
      </c>
      <c r="X1062">
        <v>1951</v>
      </c>
      <c r="Z1062">
        <v>1</v>
      </c>
      <c r="AB1062">
        <v>0</v>
      </c>
      <c r="AC1062" t="s">
        <v>7038</v>
      </c>
      <c r="AD1062">
        <v>0</v>
      </c>
      <c r="AE1062" t="s">
        <v>7038</v>
      </c>
      <c r="AF1062">
        <v>0</v>
      </c>
      <c r="AG1062">
        <v>0</v>
      </c>
      <c r="AH1062" t="s">
        <v>116</v>
      </c>
      <c r="AI1062" s="1">
        <v>48693</v>
      </c>
      <c r="AJ1062" s="2">
        <v>0.18</v>
      </c>
      <c r="AK1062" s="1">
        <v>264740</v>
      </c>
      <c r="AL1062" t="s">
        <v>117</v>
      </c>
      <c r="AM1062" t="s">
        <v>191</v>
      </c>
      <c r="AN1062">
        <v>7606</v>
      </c>
      <c r="AO1062">
        <v>0.18</v>
      </c>
      <c r="AP1062">
        <v>1</v>
      </c>
      <c r="AR1062">
        <v>1</v>
      </c>
      <c r="AS1062" s="1">
        <v>17600</v>
      </c>
      <c r="AT1062" s="1">
        <v>3520</v>
      </c>
      <c r="AU1062" s="1">
        <v>14080</v>
      </c>
      <c r="AV1062">
        <v>80</v>
      </c>
      <c r="AX1062" s="1">
        <v>1264.42</v>
      </c>
      <c r="AY1062" t="s">
        <v>7119</v>
      </c>
      <c r="AZ1062" t="s">
        <v>7119</v>
      </c>
      <c r="BA1062" t="s">
        <v>5469</v>
      </c>
      <c r="BB1062" s="3">
        <v>43728</v>
      </c>
      <c r="BC1062" s="1">
        <v>0</v>
      </c>
      <c r="BD1062" t="s">
        <v>247</v>
      </c>
      <c r="BE1062" s="3">
        <v>42193</v>
      </c>
      <c r="BF1062" s="1">
        <v>184000</v>
      </c>
      <c r="BG1062" t="s">
        <v>7120</v>
      </c>
      <c r="BH1062" s="1">
        <v>106.85</v>
      </c>
      <c r="BI1062" s="1">
        <v>216047</v>
      </c>
      <c r="BJ1062" s="3">
        <v>42912</v>
      </c>
      <c r="BK1062" t="s">
        <v>123</v>
      </c>
      <c r="BL1062" t="str">
        <f>"2017.464046"</f>
        <v>2017.464046</v>
      </c>
      <c r="BM1062" t="s">
        <v>1992</v>
      </c>
      <c r="BN1062">
        <v>48226</v>
      </c>
      <c r="BO1062" t="s">
        <v>7121</v>
      </c>
      <c r="BP1062" t="s">
        <v>7122</v>
      </c>
      <c r="BS1062">
        <v>30</v>
      </c>
      <c r="BW1062" t="str">
        <f>""</f>
        <v/>
      </c>
      <c r="CH1062" t="str">
        <f>""</f>
        <v/>
      </c>
      <c r="CS1062" t="str">
        <f>""</f>
        <v/>
      </c>
    </row>
    <row r="1063" spans="1:97" x14ac:dyDescent="0.25">
      <c r="A1063" t="s">
        <v>3089</v>
      </c>
      <c r="B1063" t="s">
        <v>4991</v>
      </c>
      <c r="C1063" t="s">
        <v>5120</v>
      </c>
      <c r="D1063" t="s">
        <v>4991</v>
      </c>
      <c r="E1063" t="s">
        <v>7123</v>
      </c>
      <c r="F1063" t="s">
        <v>139</v>
      </c>
      <c r="H1063" t="s">
        <v>7124</v>
      </c>
      <c r="I1063" t="s">
        <v>203</v>
      </c>
      <c r="J1063" t="s">
        <v>111</v>
      </c>
      <c r="K1063" t="str">
        <f>"85295"</f>
        <v>85295</v>
      </c>
      <c r="L1063" t="s">
        <v>7125</v>
      </c>
      <c r="M1063" t="s">
        <v>7126</v>
      </c>
      <c r="N1063" t="s">
        <v>203</v>
      </c>
      <c r="O1063" t="s">
        <v>111</v>
      </c>
      <c r="P1063" t="str">
        <f>"85295-2378"</f>
        <v>85295-2378</v>
      </c>
      <c r="Q1063" t="s">
        <v>113</v>
      </c>
      <c r="R1063" t="str">
        <f>"304-80-368"</f>
        <v>304-80-368</v>
      </c>
      <c r="S1063" t="s">
        <v>7127</v>
      </c>
      <c r="T1063" t="s">
        <v>7128</v>
      </c>
      <c r="U1063">
        <v>1684</v>
      </c>
      <c r="V1063">
        <v>0</v>
      </c>
      <c r="W1063">
        <v>4</v>
      </c>
      <c r="X1063">
        <v>2013</v>
      </c>
      <c r="Z1063">
        <v>2</v>
      </c>
      <c r="AB1063">
        <v>0</v>
      </c>
      <c r="AC1063" t="s">
        <v>115</v>
      </c>
      <c r="AD1063">
        <v>2</v>
      </c>
      <c r="AE1063" t="s">
        <v>115</v>
      </c>
      <c r="AF1063">
        <v>0</v>
      </c>
      <c r="AG1063">
        <v>0</v>
      </c>
      <c r="AH1063" t="s">
        <v>116</v>
      </c>
      <c r="AI1063" s="1">
        <v>78683</v>
      </c>
      <c r="AJ1063" s="2">
        <v>0.26</v>
      </c>
      <c r="AK1063" s="1">
        <v>297773</v>
      </c>
      <c r="AL1063" t="s">
        <v>117</v>
      </c>
      <c r="AM1063" t="s">
        <v>191</v>
      </c>
      <c r="AN1063">
        <v>2400</v>
      </c>
      <c r="AO1063">
        <v>0.55000000000000004</v>
      </c>
      <c r="AR1063">
        <v>1</v>
      </c>
      <c r="AS1063" s="1">
        <v>19830</v>
      </c>
      <c r="AT1063" s="1">
        <v>3960</v>
      </c>
      <c r="AU1063" s="1">
        <v>15870</v>
      </c>
      <c r="AV1063">
        <v>80.03</v>
      </c>
      <c r="AX1063" s="1">
        <v>1732.08</v>
      </c>
      <c r="AY1063" t="s">
        <v>5087</v>
      </c>
      <c r="AZ1063" t="s">
        <v>5087</v>
      </c>
      <c r="BA1063" t="s">
        <v>473</v>
      </c>
      <c r="BE1063" s="3">
        <v>41845</v>
      </c>
      <c r="BF1063" s="1">
        <v>214735</v>
      </c>
      <c r="BG1063" t="s">
        <v>749</v>
      </c>
      <c r="BH1063" s="1">
        <v>127.51</v>
      </c>
      <c r="BI1063" s="1">
        <v>219090</v>
      </c>
      <c r="BJ1063" s="3">
        <v>42515</v>
      </c>
      <c r="BK1063" t="s">
        <v>123</v>
      </c>
      <c r="BL1063" t="str">
        <f>"2016.358077"</f>
        <v>2016.358077</v>
      </c>
      <c r="BM1063" t="s">
        <v>7129</v>
      </c>
      <c r="BO1063" t="s">
        <v>7130</v>
      </c>
      <c r="BS1063">
        <v>30</v>
      </c>
      <c r="BW1063" t="str">
        <f>""</f>
        <v/>
      </c>
      <c r="CH1063" t="str">
        <f>""</f>
        <v/>
      </c>
      <c r="CS1063" t="str">
        <f>""</f>
        <v/>
      </c>
    </row>
    <row r="1064" spans="1:97" x14ac:dyDescent="0.25">
      <c r="B1064" t="s">
        <v>7131</v>
      </c>
      <c r="E1064" t="s">
        <v>7132</v>
      </c>
      <c r="F1064" t="s">
        <v>108</v>
      </c>
      <c r="H1064" t="s">
        <v>7133</v>
      </c>
      <c r="I1064" t="s">
        <v>632</v>
      </c>
      <c r="J1064" t="s">
        <v>111</v>
      </c>
      <c r="K1064" t="str">
        <f>"85379"</f>
        <v>85379</v>
      </c>
      <c r="L1064" t="s">
        <v>558</v>
      </c>
      <c r="M1064" t="s">
        <v>7133</v>
      </c>
      <c r="N1064" t="s">
        <v>632</v>
      </c>
      <c r="O1064" t="s">
        <v>111</v>
      </c>
      <c r="P1064" t="str">
        <f>"85379-4440"</f>
        <v>85379-4440</v>
      </c>
      <c r="Q1064" t="s">
        <v>113</v>
      </c>
      <c r="R1064" t="str">
        <f>"509-15-322"</f>
        <v>509-15-322</v>
      </c>
      <c r="S1064" t="s">
        <v>7110</v>
      </c>
      <c r="U1064">
        <v>2291</v>
      </c>
      <c r="V1064">
        <v>0</v>
      </c>
      <c r="W1064">
        <v>4</v>
      </c>
      <c r="X1064">
        <v>2005</v>
      </c>
      <c r="Z1064">
        <v>1</v>
      </c>
      <c r="AA1064" t="s">
        <v>26</v>
      </c>
      <c r="AB1064">
        <v>0</v>
      </c>
      <c r="AC1064" t="s">
        <v>115</v>
      </c>
      <c r="AD1064">
        <v>2</v>
      </c>
      <c r="AE1064" t="s">
        <v>115</v>
      </c>
      <c r="AF1064">
        <v>0</v>
      </c>
      <c r="AG1064">
        <v>0</v>
      </c>
      <c r="AH1064" t="s">
        <v>116</v>
      </c>
      <c r="AI1064" s="1">
        <v>68097</v>
      </c>
      <c r="AJ1064" s="2">
        <v>0.21</v>
      </c>
      <c r="AK1064" s="1">
        <v>325097</v>
      </c>
      <c r="AL1064" t="s">
        <v>117</v>
      </c>
      <c r="AM1064" t="s">
        <v>118</v>
      </c>
      <c r="AN1064">
        <v>11022</v>
      </c>
      <c r="AO1064">
        <v>0.25</v>
      </c>
      <c r="AR1064">
        <v>1</v>
      </c>
      <c r="AS1064" s="1">
        <v>23350</v>
      </c>
      <c r="AT1064" s="1">
        <v>4670</v>
      </c>
      <c r="AU1064" s="1">
        <v>18680</v>
      </c>
      <c r="AV1064">
        <v>80</v>
      </c>
      <c r="AX1064" s="1">
        <v>1872.72</v>
      </c>
      <c r="AY1064" t="s">
        <v>5615</v>
      </c>
      <c r="AZ1064" t="s">
        <v>5615</v>
      </c>
      <c r="BA1064" t="s">
        <v>635</v>
      </c>
      <c r="BB1064" s="3">
        <v>43668</v>
      </c>
      <c r="BC1064" s="1">
        <v>0</v>
      </c>
      <c r="BD1064" t="s">
        <v>247</v>
      </c>
      <c r="BE1064" s="3">
        <v>42129</v>
      </c>
      <c r="BF1064" s="1">
        <v>257000</v>
      </c>
      <c r="BG1064" t="s">
        <v>7134</v>
      </c>
      <c r="BH1064" s="1">
        <v>112.18</v>
      </c>
      <c r="BI1064" s="1">
        <v>257000</v>
      </c>
      <c r="BJ1064" s="3">
        <v>42129</v>
      </c>
      <c r="BK1064" t="s">
        <v>123</v>
      </c>
      <c r="BL1064" t="str">
        <f>"2015.314867"</f>
        <v>2015.314867</v>
      </c>
      <c r="BM1064" t="s">
        <v>475</v>
      </c>
      <c r="BN1064" t="s">
        <v>1282</v>
      </c>
      <c r="BO1064" t="s">
        <v>7135</v>
      </c>
      <c r="BS1064">
        <v>30</v>
      </c>
      <c r="BW1064" t="str">
        <f>""</f>
        <v/>
      </c>
      <c r="CH1064" t="str">
        <f>""</f>
        <v/>
      </c>
      <c r="CS1064" t="str">
        <f>""</f>
        <v/>
      </c>
    </row>
    <row r="1065" spans="1:97" x14ac:dyDescent="0.25">
      <c r="A1065" t="s">
        <v>140</v>
      </c>
      <c r="B1065" t="s">
        <v>7136</v>
      </c>
      <c r="C1065" t="s">
        <v>6055</v>
      </c>
      <c r="D1065" t="s">
        <v>7136</v>
      </c>
      <c r="E1065" t="s">
        <v>7137</v>
      </c>
      <c r="F1065" t="s">
        <v>108</v>
      </c>
      <c r="H1065" t="s">
        <v>7138</v>
      </c>
      <c r="I1065" t="s">
        <v>110</v>
      </c>
      <c r="J1065" t="s">
        <v>111</v>
      </c>
      <c r="K1065" t="str">
        <f>"85224"</f>
        <v>85224</v>
      </c>
      <c r="L1065" t="s">
        <v>5228</v>
      </c>
      <c r="M1065" t="s">
        <v>7138</v>
      </c>
      <c r="N1065" t="s">
        <v>110</v>
      </c>
      <c r="O1065" t="s">
        <v>111</v>
      </c>
      <c r="P1065" t="str">
        <f>"85224-1221"</f>
        <v>85224-1221</v>
      </c>
      <c r="Q1065" t="s">
        <v>113</v>
      </c>
      <c r="R1065" t="str">
        <f>"302-78-395"</f>
        <v>302-78-395</v>
      </c>
      <c r="S1065" t="s">
        <v>7139</v>
      </c>
      <c r="T1065" t="s">
        <v>7140</v>
      </c>
      <c r="U1065">
        <v>1521</v>
      </c>
      <c r="V1065">
        <v>0</v>
      </c>
      <c r="W1065">
        <v>3</v>
      </c>
      <c r="X1065">
        <v>1979</v>
      </c>
      <c r="Z1065">
        <v>1</v>
      </c>
      <c r="AB1065">
        <v>0</v>
      </c>
      <c r="AC1065" t="s">
        <v>115</v>
      </c>
      <c r="AD1065">
        <v>2</v>
      </c>
      <c r="AE1065" t="s">
        <v>115</v>
      </c>
      <c r="AF1065">
        <v>0</v>
      </c>
      <c r="AG1065">
        <v>0</v>
      </c>
      <c r="AH1065" t="s">
        <v>116</v>
      </c>
      <c r="AI1065" s="1">
        <v>49913</v>
      </c>
      <c r="AJ1065" s="2">
        <v>0.17</v>
      </c>
      <c r="AK1065" s="1">
        <v>295250</v>
      </c>
      <c r="AL1065" t="s">
        <v>117</v>
      </c>
      <c r="AM1065" t="s">
        <v>5077</v>
      </c>
      <c r="AN1065">
        <v>6791</v>
      </c>
      <c r="AO1065">
        <v>0.16</v>
      </c>
      <c r="AP1065">
        <v>1</v>
      </c>
      <c r="AR1065">
        <v>1</v>
      </c>
      <c r="AS1065" s="1">
        <v>18670</v>
      </c>
      <c r="AT1065" s="1">
        <v>3730</v>
      </c>
      <c r="AU1065" s="1">
        <v>14940</v>
      </c>
      <c r="AV1065">
        <v>80.02</v>
      </c>
      <c r="AX1065" s="1">
        <v>1257.8</v>
      </c>
      <c r="AY1065" t="s">
        <v>5310</v>
      </c>
      <c r="AZ1065" t="s">
        <v>5310</v>
      </c>
      <c r="BA1065" t="s">
        <v>5311</v>
      </c>
      <c r="BE1065" s="3">
        <v>42475</v>
      </c>
      <c r="BF1065" s="1">
        <v>237500</v>
      </c>
      <c r="BG1065" t="s">
        <v>7141</v>
      </c>
      <c r="BH1065" s="1">
        <v>156.15</v>
      </c>
      <c r="BI1065" s="1">
        <v>245337</v>
      </c>
      <c r="BJ1065" s="3">
        <v>42475</v>
      </c>
      <c r="BK1065" t="s">
        <v>123</v>
      </c>
      <c r="BL1065" t="str">
        <f>"2016.252593"</f>
        <v>2016.252593</v>
      </c>
      <c r="BM1065" t="s">
        <v>594</v>
      </c>
      <c r="BO1065" t="s">
        <v>7142</v>
      </c>
      <c r="BS1065">
        <v>30</v>
      </c>
      <c r="BW1065" t="str">
        <f>""</f>
        <v/>
      </c>
      <c r="CH1065" t="str">
        <f>""</f>
        <v/>
      </c>
      <c r="CS1065" t="str">
        <f>""</f>
        <v/>
      </c>
    </row>
    <row r="1066" spans="1:97" x14ac:dyDescent="0.25">
      <c r="A1066" t="s">
        <v>265</v>
      </c>
      <c r="B1066" t="s">
        <v>7143</v>
      </c>
      <c r="C1066" t="s">
        <v>7144</v>
      </c>
      <c r="D1066" t="s">
        <v>7143</v>
      </c>
      <c r="E1066" t="s">
        <v>7145</v>
      </c>
      <c r="F1066" t="s">
        <v>108</v>
      </c>
      <c r="H1066" t="s">
        <v>7146</v>
      </c>
      <c r="I1066" t="s">
        <v>499</v>
      </c>
      <c r="J1066" t="s">
        <v>111</v>
      </c>
      <c r="K1066" t="str">
        <f>"85395"</f>
        <v>85395</v>
      </c>
      <c r="L1066" t="s">
        <v>7147</v>
      </c>
      <c r="M1066" t="s">
        <v>7146</v>
      </c>
      <c r="N1066" t="s">
        <v>499</v>
      </c>
      <c r="O1066" t="s">
        <v>111</v>
      </c>
      <c r="P1066" t="str">
        <f>"85395-8432"</f>
        <v>85395-8432</v>
      </c>
      <c r="Q1066" t="s">
        <v>113</v>
      </c>
      <c r="R1066" t="str">
        <f>"508-01-290"</f>
        <v>508-01-290</v>
      </c>
      <c r="S1066" t="s">
        <v>7148</v>
      </c>
      <c r="T1066" t="s">
        <v>7149</v>
      </c>
      <c r="U1066">
        <v>2635</v>
      </c>
      <c r="V1066">
        <v>0</v>
      </c>
      <c r="W1066">
        <v>4</v>
      </c>
      <c r="X1066">
        <v>2000</v>
      </c>
      <c r="Z1066">
        <v>2</v>
      </c>
      <c r="AA1066" t="s">
        <v>26</v>
      </c>
      <c r="AB1066">
        <v>0</v>
      </c>
      <c r="AC1066" t="s">
        <v>115</v>
      </c>
      <c r="AD1066">
        <v>2</v>
      </c>
      <c r="AE1066" t="s">
        <v>115</v>
      </c>
      <c r="AF1066">
        <v>0</v>
      </c>
      <c r="AG1066">
        <v>0</v>
      </c>
      <c r="AH1066" t="s">
        <v>116</v>
      </c>
      <c r="AI1066" s="1">
        <v>73945</v>
      </c>
      <c r="AJ1066" s="2">
        <v>0.21</v>
      </c>
      <c r="AK1066" s="1">
        <v>345150</v>
      </c>
      <c r="AL1066" t="s">
        <v>117</v>
      </c>
      <c r="AM1066" t="s">
        <v>118</v>
      </c>
      <c r="AN1066">
        <v>7151</v>
      </c>
      <c r="AO1066">
        <v>0.16</v>
      </c>
      <c r="AP1066">
        <v>1</v>
      </c>
      <c r="AR1066">
        <v>1</v>
      </c>
      <c r="AS1066" s="1">
        <v>23380</v>
      </c>
      <c r="AT1066" s="1">
        <v>4670</v>
      </c>
      <c r="AU1066" s="1">
        <v>18710</v>
      </c>
      <c r="AV1066">
        <v>80.03</v>
      </c>
      <c r="AX1066" s="1">
        <v>2235.62</v>
      </c>
      <c r="AY1066" t="s">
        <v>3020</v>
      </c>
      <c r="AZ1066" t="s">
        <v>3020</v>
      </c>
      <c r="BA1066" t="s">
        <v>3154</v>
      </c>
      <c r="BE1066" s="3">
        <v>41866</v>
      </c>
      <c r="BF1066" s="1">
        <v>265000</v>
      </c>
      <c r="BG1066" t="s">
        <v>7150</v>
      </c>
      <c r="BH1066" s="1">
        <v>100.57</v>
      </c>
      <c r="BI1066" s="1">
        <v>271205</v>
      </c>
      <c r="BJ1066" s="3">
        <v>42069</v>
      </c>
      <c r="BK1066" t="s">
        <v>123</v>
      </c>
      <c r="BL1066" t="str">
        <f>"2015.151263"</f>
        <v>2015.151263</v>
      </c>
      <c r="BM1066" t="s">
        <v>1185</v>
      </c>
      <c r="BO1066" t="s">
        <v>7151</v>
      </c>
      <c r="BS1066">
        <v>30</v>
      </c>
      <c r="BW1066" t="str">
        <f>""</f>
        <v/>
      </c>
      <c r="CH1066" t="str">
        <f>""</f>
        <v/>
      </c>
      <c r="CS1066" t="str">
        <f>""</f>
        <v/>
      </c>
    </row>
    <row r="1067" spans="1:97" x14ac:dyDescent="0.25">
      <c r="A1067" t="s">
        <v>1365</v>
      </c>
      <c r="B1067" t="s">
        <v>7152</v>
      </c>
      <c r="E1067" t="s">
        <v>7153</v>
      </c>
      <c r="F1067" t="s">
        <v>108</v>
      </c>
      <c r="H1067" t="s">
        <v>7154</v>
      </c>
      <c r="I1067" t="s">
        <v>390</v>
      </c>
      <c r="J1067" t="s">
        <v>111</v>
      </c>
      <c r="K1067" t="str">
        <f>"85014"</f>
        <v>85014</v>
      </c>
      <c r="L1067" t="s">
        <v>6541</v>
      </c>
      <c r="M1067" t="s">
        <v>7154</v>
      </c>
      <c r="N1067" t="s">
        <v>390</v>
      </c>
      <c r="O1067" t="s">
        <v>111</v>
      </c>
      <c r="P1067" t="str">
        <f>"85014-2605"</f>
        <v>85014-2605</v>
      </c>
      <c r="Q1067" t="s">
        <v>113</v>
      </c>
      <c r="R1067" t="str">
        <f>"162-15-037"</f>
        <v>162-15-037</v>
      </c>
      <c r="S1067" t="s">
        <v>7155</v>
      </c>
      <c r="T1067" t="s">
        <v>7155</v>
      </c>
      <c r="U1067">
        <v>1196</v>
      </c>
      <c r="V1067">
        <v>0</v>
      </c>
      <c r="W1067">
        <v>2</v>
      </c>
      <c r="X1067">
        <v>1951</v>
      </c>
      <c r="Z1067">
        <v>1</v>
      </c>
      <c r="AB1067">
        <v>0</v>
      </c>
      <c r="AC1067" t="s">
        <v>5188</v>
      </c>
      <c r="AD1067">
        <v>1</v>
      </c>
      <c r="AE1067" t="s">
        <v>5188</v>
      </c>
      <c r="AF1067">
        <v>0</v>
      </c>
      <c r="AG1067">
        <v>0</v>
      </c>
      <c r="AH1067" t="s">
        <v>116</v>
      </c>
      <c r="AI1067" s="1">
        <v>92692</v>
      </c>
      <c r="AJ1067" s="2">
        <v>0.26</v>
      </c>
      <c r="AK1067" s="1">
        <v>360887</v>
      </c>
      <c r="AL1067" t="s">
        <v>117</v>
      </c>
      <c r="AM1067" t="s">
        <v>191</v>
      </c>
      <c r="AN1067">
        <v>10075</v>
      </c>
      <c r="AO1067">
        <v>0.23</v>
      </c>
      <c r="AP1067">
        <v>1</v>
      </c>
      <c r="AR1067">
        <v>1</v>
      </c>
      <c r="AS1067" s="1">
        <v>25100</v>
      </c>
      <c r="AT1067" s="1">
        <v>5020</v>
      </c>
      <c r="AU1067" s="1">
        <v>20080</v>
      </c>
      <c r="AV1067">
        <v>80</v>
      </c>
      <c r="AX1067" s="1">
        <v>2417.96</v>
      </c>
      <c r="AY1067" t="s">
        <v>6998</v>
      </c>
      <c r="AZ1067" t="s">
        <v>6254</v>
      </c>
      <c r="BA1067" t="s">
        <v>5469</v>
      </c>
      <c r="BE1067" s="3">
        <v>42241</v>
      </c>
      <c r="BF1067" s="1">
        <v>265000</v>
      </c>
      <c r="BG1067" t="s">
        <v>7156</v>
      </c>
      <c r="BH1067" s="1">
        <v>221.57</v>
      </c>
      <c r="BI1067" s="1">
        <v>268195</v>
      </c>
      <c r="BJ1067" s="3">
        <v>42241</v>
      </c>
      <c r="BK1067" t="s">
        <v>123</v>
      </c>
      <c r="BL1067" t="str">
        <f>"2015.614076"</f>
        <v>2015.614076</v>
      </c>
      <c r="BM1067" t="s">
        <v>4738</v>
      </c>
      <c r="BO1067" t="s">
        <v>7157</v>
      </c>
      <c r="BS1067">
        <v>30</v>
      </c>
      <c r="BW1067" t="str">
        <f>""</f>
        <v/>
      </c>
      <c r="CH1067" t="str">
        <f>""</f>
        <v/>
      </c>
      <c r="CS1067" t="str">
        <f>""</f>
        <v/>
      </c>
    </row>
    <row r="1068" spans="1:97" x14ac:dyDescent="0.25">
      <c r="A1068" t="s">
        <v>7158</v>
      </c>
      <c r="B1068" t="s">
        <v>7159</v>
      </c>
      <c r="C1068" t="s">
        <v>7160</v>
      </c>
      <c r="D1068" t="s">
        <v>3786</v>
      </c>
      <c r="E1068" t="s">
        <v>7161</v>
      </c>
      <c r="F1068" t="s">
        <v>108</v>
      </c>
      <c r="H1068" t="s">
        <v>7162</v>
      </c>
      <c r="I1068" t="s">
        <v>2874</v>
      </c>
      <c r="J1068" t="s">
        <v>111</v>
      </c>
      <c r="K1068" t="str">
        <f>"85302"</f>
        <v>85302</v>
      </c>
      <c r="L1068" t="s">
        <v>5408</v>
      </c>
      <c r="M1068" t="s">
        <v>7162</v>
      </c>
      <c r="N1068" t="s">
        <v>2874</v>
      </c>
      <c r="O1068" t="s">
        <v>111</v>
      </c>
      <c r="P1068" t="str">
        <f>"85302-3636"</f>
        <v>85302-3636</v>
      </c>
      <c r="Q1068" t="s">
        <v>113</v>
      </c>
      <c r="R1068" t="str">
        <f>"148-08-207"</f>
        <v>148-08-207</v>
      </c>
      <c r="S1068" t="s">
        <v>7163</v>
      </c>
      <c r="U1068">
        <v>1647</v>
      </c>
      <c r="V1068">
        <v>0</v>
      </c>
      <c r="W1068">
        <v>2</v>
      </c>
      <c r="X1068">
        <v>1977</v>
      </c>
      <c r="Z1068">
        <v>1</v>
      </c>
      <c r="AA1068" t="s">
        <v>26</v>
      </c>
      <c r="AB1068">
        <v>0</v>
      </c>
      <c r="AC1068" t="s">
        <v>115</v>
      </c>
      <c r="AD1068">
        <v>2</v>
      </c>
      <c r="AE1068" t="s">
        <v>115</v>
      </c>
      <c r="AF1068">
        <v>0</v>
      </c>
      <c r="AG1068">
        <v>0</v>
      </c>
      <c r="AH1068" t="s">
        <v>116</v>
      </c>
      <c r="AI1068" s="1">
        <v>39934</v>
      </c>
      <c r="AJ1068" s="2">
        <v>0.15</v>
      </c>
      <c r="AK1068" s="1">
        <v>259556</v>
      </c>
      <c r="AL1068" t="s">
        <v>117</v>
      </c>
      <c r="AM1068" t="s">
        <v>191</v>
      </c>
      <c r="AN1068">
        <v>7349</v>
      </c>
      <c r="AO1068">
        <v>0.17</v>
      </c>
      <c r="AP1068">
        <v>1</v>
      </c>
      <c r="AR1068">
        <v>1</v>
      </c>
      <c r="AS1068" s="1">
        <v>16870</v>
      </c>
      <c r="AT1068" s="1">
        <v>3370</v>
      </c>
      <c r="AU1068" s="1">
        <v>13500</v>
      </c>
      <c r="AV1068">
        <v>80.02</v>
      </c>
      <c r="AX1068" s="1">
        <v>1315.2</v>
      </c>
      <c r="AY1068" t="s">
        <v>6985</v>
      </c>
      <c r="AZ1068" t="s">
        <v>6986</v>
      </c>
      <c r="BA1068" t="s">
        <v>6987</v>
      </c>
      <c r="BB1068" s="3">
        <v>42545</v>
      </c>
      <c r="BD1068" t="s">
        <v>240</v>
      </c>
      <c r="BE1068" s="3">
        <v>42545</v>
      </c>
      <c r="BF1068" s="1">
        <v>215000</v>
      </c>
      <c r="BG1068" t="s">
        <v>7164</v>
      </c>
      <c r="BH1068" s="1">
        <v>130.54</v>
      </c>
      <c r="BI1068" s="1">
        <v>219622</v>
      </c>
      <c r="BJ1068" s="3">
        <v>42545</v>
      </c>
      <c r="BK1068" t="s">
        <v>123</v>
      </c>
      <c r="BL1068" t="str">
        <f>"2016.444370"</f>
        <v>2016.444370</v>
      </c>
      <c r="BM1068" t="s">
        <v>3453</v>
      </c>
      <c r="BO1068" t="s">
        <v>7165</v>
      </c>
      <c r="BS1068">
        <v>30</v>
      </c>
      <c r="BW1068" t="str">
        <f>""</f>
        <v/>
      </c>
      <c r="CH1068" t="str">
        <f>""</f>
        <v/>
      </c>
      <c r="CS1068" t="str">
        <f>""</f>
        <v/>
      </c>
    </row>
    <row r="1069" spans="1:97" x14ac:dyDescent="0.25">
      <c r="A1069" t="s">
        <v>815</v>
      </c>
      <c r="B1069" t="s">
        <v>7166</v>
      </c>
      <c r="C1069" t="s">
        <v>2286</v>
      </c>
      <c r="D1069" t="s">
        <v>7166</v>
      </c>
      <c r="E1069" t="s">
        <v>7167</v>
      </c>
      <c r="F1069" t="s">
        <v>108</v>
      </c>
      <c r="H1069" t="s">
        <v>7168</v>
      </c>
      <c r="I1069" t="s">
        <v>453</v>
      </c>
      <c r="J1069" t="s">
        <v>111</v>
      </c>
      <c r="K1069" t="str">
        <f>"85345"</f>
        <v>85345</v>
      </c>
      <c r="L1069" t="s">
        <v>6691</v>
      </c>
      <c r="M1069" t="s">
        <v>7168</v>
      </c>
      <c r="N1069" t="s">
        <v>453</v>
      </c>
      <c r="O1069" t="s">
        <v>111</v>
      </c>
      <c r="P1069" t="str">
        <f>"85345-7920"</f>
        <v>85345-7920</v>
      </c>
      <c r="Q1069" t="s">
        <v>113</v>
      </c>
      <c r="R1069" t="str">
        <f>"142-34-249"</f>
        <v>142-34-249</v>
      </c>
      <c r="S1069" t="s">
        <v>7169</v>
      </c>
      <c r="T1069" t="s">
        <v>7170</v>
      </c>
      <c r="U1069">
        <v>1338</v>
      </c>
      <c r="V1069">
        <v>0</v>
      </c>
      <c r="W1069">
        <v>2</v>
      </c>
      <c r="X1069">
        <v>1984</v>
      </c>
      <c r="Z1069">
        <v>1</v>
      </c>
      <c r="AB1069">
        <v>0</v>
      </c>
      <c r="AC1069" t="s">
        <v>115</v>
      </c>
      <c r="AD1069">
        <v>2</v>
      </c>
      <c r="AE1069" t="s">
        <v>115</v>
      </c>
      <c r="AF1069">
        <v>0</v>
      </c>
      <c r="AG1069">
        <v>0</v>
      </c>
      <c r="AH1069" t="s">
        <v>116</v>
      </c>
      <c r="AI1069" s="1">
        <v>32745</v>
      </c>
      <c r="AJ1069" s="2">
        <v>0.13</v>
      </c>
      <c r="AK1069" s="1">
        <v>245543</v>
      </c>
      <c r="AL1069" t="s">
        <v>117</v>
      </c>
      <c r="AM1069" t="s">
        <v>171</v>
      </c>
      <c r="AN1069">
        <v>11735</v>
      </c>
      <c r="AO1069">
        <v>0.27</v>
      </c>
      <c r="AP1069">
        <v>1</v>
      </c>
      <c r="AR1069">
        <v>1</v>
      </c>
      <c r="AS1069" s="1">
        <v>14950</v>
      </c>
      <c r="AT1069" s="1">
        <v>2990</v>
      </c>
      <c r="AU1069" s="1">
        <v>11960</v>
      </c>
      <c r="AV1069">
        <v>80</v>
      </c>
      <c r="AX1069" s="1">
        <v>841.8</v>
      </c>
      <c r="AY1069" t="s">
        <v>6944</v>
      </c>
      <c r="AZ1069" t="s">
        <v>6944</v>
      </c>
      <c r="BA1069" t="s">
        <v>6945</v>
      </c>
      <c r="BE1069" s="3">
        <v>42440</v>
      </c>
      <c r="BF1069" s="1">
        <v>183500</v>
      </c>
      <c r="BG1069" t="s">
        <v>7171</v>
      </c>
      <c r="BH1069" s="1">
        <v>137.13999999999999</v>
      </c>
      <c r="BI1069" s="1">
        <v>212798</v>
      </c>
      <c r="BJ1069" s="3">
        <v>43229</v>
      </c>
      <c r="BK1069" t="s">
        <v>123</v>
      </c>
      <c r="BL1069" t="str">
        <f>"2018.354223"</f>
        <v>2018.354223</v>
      </c>
      <c r="BM1069" t="s">
        <v>2926</v>
      </c>
      <c r="BN1069" t="s">
        <v>545</v>
      </c>
      <c r="BO1069" t="s">
        <v>7172</v>
      </c>
      <c r="BP1069" t="s">
        <v>7173</v>
      </c>
      <c r="BR1069" t="s">
        <v>139</v>
      </c>
      <c r="BW1069" t="str">
        <f>""</f>
        <v/>
      </c>
      <c r="CH1069" t="str">
        <f>""</f>
        <v/>
      </c>
      <c r="CS1069" t="str">
        <f>""</f>
        <v/>
      </c>
    </row>
    <row r="1070" spans="1:97" x14ac:dyDescent="0.25">
      <c r="A1070" t="s">
        <v>257</v>
      </c>
      <c r="B1070" t="s">
        <v>7174</v>
      </c>
      <c r="C1070" t="s">
        <v>7175</v>
      </c>
      <c r="D1070" t="s">
        <v>7174</v>
      </c>
      <c r="E1070" t="s">
        <v>7176</v>
      </c>
      <c r="F1070" t="s">
        <v>108</v>
      </c>
      <c r="H1070" t="s">
        <v>7177</v>
      </c>
      <c r="I1070" t="s">
        <v>110</v>
      </c>
      <c r="J1070" t="s">
        <v>111</v>
      </c>
      <c r="K1070" t="str">
        <f>"85224"</f>
        <v>85224</v>
      </c>
      <c r="L1070" t="s">
        <v>6169</v>
      </c>
      <c r="M1070" t="s">
        <v>7177</v>
      </c>
      <c r="N1070" t="s">
        <v>110</v>
      </c>
      <c r="O1070" t="s">
        <v>111</v>
      </c>
      <c r="P1070" t="str">
        <f>"85224-2606"</f>
        <v>85224-2606</v>
      </c>
      <c r="Q1070" t="s">
        <v>113</v>
      </c>
      <c r="R1070" t="str">
        <f>"302-81-496"</f>
        <v>302-81-496</v>
      </c>
      <c r="S1070" t="s">
        <v>7178</v>
      </c>
      <c r="T1070" t="s">
        <v>7179</v>
      </c>
      <c r="U1070">
        <v>1854</v>
      </c>
      <c r="V1070">
        <v>0</v>
      </c>
      <c r="W1070">
        <v>3</v>
      </c>
      <c r="X1070">
        <v>1984</v>
      </c>
      <c r="Z1070">
        <v>1</v>
      </c>
      <c r="AB1070">
        <v>0</v>
      </c>
      <c r="AC1070" t="s">
        <v>115</v>
      </c>
      <c r="AD1070">
        <v>2</v>
      </c>
      <c r="AE1070" t="s">
        <v>115</v>
      </c>
      <c r="AF1070">
        <v>0</v>
      </c>
      <c r="AG1070">
        <v>0</v>
      </c>
      <c r="AH1070" t="s">
        <v>116</v>
      </c>
      <c r="AI1070" s="1">
        <v>78013</v>
      </c>
      <c r="AJ1070" s="2">
        <v>0.24</v>
      </c>
      <c r="AK1070" s="1">
        <v>325343</v>
      </c>
      <c r="AL1070" t="s">
        <v>117</v>
      </c>
      <c r="AM1070" t="s">
        <v>5077</v>
      </c>
      <c r="AN1070">
        <v>7231</v>
      </c>
      <c r="AO1070">
        <v>0.17</v>
      </c>
      <c r="AP1070">
        <v>1</v>
      </c>
      <c r="AR1070">
        <v>1</v>
      </c>
      <c r="AS1070" s="1">
        <v>22300</v>
      </c>
      <c r="AT1070" s="1">
        <v>4460</v>
      </c>
      <c r="AU1070" s="1">
        <v>17840</v>
      </c>
      <c r="AV1070">
        <v>80</v>
      </c>
      <c r="AX1070" s="1">
        <v>1558.8</v>
      </c>
      <c r="AY1070" t="s">
        <v>5722</v>
      </c>
      <c r="AZ1070" t="s">
        <v>5078</v>
      </c>
      <c r="BA1070" t="s">
        <v>2957</v>
      </c>
      <c r="BE1070" s="3">
        <v>42214</v>
      </c>
      <c r="BF1070" s="1">
        <v>256500</v>
      </c>
      <c r="BG1070" t="s">
        <v>7180</v>
      </c>
      <c r="BH1070" s="1">
        <v>138.35</v>
      </c>
      <c r="BI1070" s="1">
        <v>247330</v>
      </c>
      <c r="BJ1070" s="3">
        <v>42214</v>
      </c>
      <c r="BK1070" t="s">
        <v>123</v>
      </c>
      <c r="BL1070" t="str">
        <f>"2015.548442"</f>
        <v>2015.548442</v>
      </c>
      <c r="BM1070" t="s">
        <v>7181</v>
      </c>
      <c r="BO1070" t="s">
        <v>7182</v>
      </c>
      <c r="BS1070">
        <v>30</v>
      </c>
      <c r="BW1070" t="str">
        <f>""</f>
        <v/>
      </c>
      <c r="CH1070" t="str">
        <f>""</f>
        <v/>
      </c>
      <c r="CS1070" t="str">
        <f>""</f>
        <v/>
      </c>
    </row>
    <row r="1071" spans="1:97" x14ac:dyDescent="0.25">
      <c r="A1071" t="s">
        <v>305</v>
      </c>
      <c r="B1071" t="s">
        <v>1515</v>
      </c>
      <c r="C1071" t="s">
        <v>4145</v>
      </c>
      <c r="D1071" t="s">
        <v>1515</v>
      </c>
      <c r="E1071" t="s">
        <v>7183</v>
      </c>
      <c r="F1071" t="s">
        <v>108</v>
      </c>
      <c r="H1071" t="s">
        <v>7184</v>
      </c>
      <c r="I1071" t="s">
        <v>499</v>
      </c>
      <c r="J1071" t="s">
        <v>111</v>
      </c>
      <c r="K1071" t="str">
        <f>"85338"</f>
        <v>85338</v>
      </c>
      <c r="L1071" t="s">
        <v>5990</v>
      </c>
      <c r="M1071" t="s">
        <v>7184</v>
      </c>
      <c r="N1071" t="s">
        <v>499</v>
      </c>
      <c r="O1071" t="s">
        <v>111</v>
      </c>
      <c r="P1071" t="str">
        <f>"85338-9728"</f>
        <v>85338-9728</v>
      </c>
      <c r="Q1071" t="s">
        <v>113</v>
      </c>
      <c r="R1071" t="str">
        <f>"500-06-270"</f>
        <v>500-06-270</v>
      </c>
      <c r="S1071" t="s">
        <v>7185</v>
      </c>
      <c r="T1071" t="s">
        <v>7185</v>
      </c>
      <c r="U1071">
        <v>1680</v>
      </c>
      <c r="V1071">
        <v>0</v>
      </c>
      <c r="W1071">
        <v>2</v>
      </c>
      <c r="X1071">
        <v>1980</v>
      </c>
      <c r="Z1071">
        <v>1</v>
      </c>
      <c r="AA1071" t="s">
        <v>26</v>
      </c>
      <c r="AB1071">
        <v>0</v>
      </c>
      <c r="AC1071" t="s">
        <v>115</v>
      </c>
      <c r="AD1071">
        <v>2</v>
      </c>
      <c r="AE1071" t="s">
        <v>115</v>
      </c>
      <c r="AF1071">
        <v>0</v>
      </c>
      <c r="AG1071">
        <v>0</v>
      </c>
      <c r="AH1071" t="s">
        <v>116</v>
      </c>
      <c r="AI1071" s="1">
        <v>81530</v>
      </c>
      <c r="AJ1071" s="2">
        <v>0.25</v>
      </c>
      <c r="AK1071" s="1">
        <v>321582</v>
      </c>
      <c r="AL1071" t="s">
        <v>117</v>
      </c>
      <c r="AM1071" t="s">
        <v>376</v>
      </c>
      <c r="AN1071">
        <v>44672</v>
      </c>
      <c r="AO1071">
        <v>1.03</v>
      </c>
      <c r="AP1071">
        <v>1</v>
      </c>
      <c r="AR1071">
        <v>1</v>
      </c>
      <c r="AS1071" s="1">
        <v>22660</v>
      </c>
      <c r="AT1071" s="1">
        <v>4530</v>
      </c>
      <c r="AU1071" s="1">
        <v>18130</v>
      </c>
      <c r="AV1071">
        <v>80.010000000000005</v>
      </c>
      <c r="AX1071" s="1">
        <v>1635.08</v>
      </c>
      <c r="AY1071" t="s">
        <v>6319</v>
      </c>
      <c r="AZ1071" t="s">
        <v>6319</v>
      </c>
      <c r="BA1071" t="s">
        <v>7186</v>
      </c>
      <c r="BE1071" s="3">
        <v>41743</v>
      </c>
      <c r="BF1071" s="1">
        <v>235000</v>
      </c>
      <c r="BG1071" t="s">
        <v>7187</v>
      </c>
      <c r="BH1071" s="1">
        <v>139.88</v>
      </c>
      <c r="BI1071" s="1">
        <v>240052</v>
      </c>
      <c r="BJ1071" s="3">
        <v>41743</v>
      </c>
      <c r="BK1071" t="s">
        <v>123</v>
      </c>
      <c r="BL1071" t="str">
        <f>"2014.239090"</f>
        <v>2014.239090</v>
      </c>
      <c r="BM1071" t="s">
        <v>6784</v>
      </c>
      <c r="BO1071" t="s">
        <v>7188</v>
      </c>
      <c r="BS1071">
        <v>30</v>
      </c>
      <c r="BW1071" t="str">
        <f>""</f>
        <v/>
      </c>
      <c r="CH1071" t="str">
        <f>""</f>
        <v/>
      </c>
      <c r="CS1071" t="str">
        <f>""</f>
        <v/>
      </c>
    </row>
    <row r="1072" spans="1:97" x14ac:dyDescent="0.25">
      <c r="A1072" t="s">
        <v>815</v>
      </c>
      <c r="B1072" t="s">
        <v>7189</v>
      </c>
      <c r="C1072" t="s">
        <v>7190</v>
      </c>
      <c r="D1072" t="s">
        <v>7189</v>
      </c>
      <c r="E1072" t="s">
        <v>7191</v>
      </c>
      <c r="F1072" t="s">
        <v>108</v>
      </c>
      <c r="H1072" t="s">
        <v>7192</v>
      </c>
      <c r="I1072" t="s">
        <v>499</v>
      </c>
      <c r="J1072" t="s">
        <v>111</v>
      </c>
      <c r="K1072" t="str">
        <f>"85395"</f>
        <v>85395</v>
      </c>
      <c r="L1072" t="s">
        <v>541</v>
      </c>
      <c r="M1072" t="s">
        <v>7192</v>
      </c>
      <c r="N1072" t="s">
        <v>499</v>
      </c>
      <c r="O1072" t="s">
        <v>111</v>
      </c>
      <c r="P1072" t="str">
        <f>"85395-7111"</f>
        <v>85395-7111</v>
      </c>
      <c r="Q1072" t="s">
        <v>113</v>
      </c>
      <c r="R1072" t="str">
        <f>"508-14-763"</f>
        <v>508-14-763</v>
      </c>
      <c r="S1072" t="s">
        <v>7193</v>
      </c>
      <c r="T1072" t="s">
        <v>3018</v>
      </c>
      <c r="U1072">
        <v>3200</v>
      </c>
      <c r="V1072">
        <v>0</v>
      </c>
      <c r="W1072">
        <v>5</v>
      </c>
      <c r="X1072">
        <v>2014</v>
      </c>
      <c r="Z1072">
        <v>1</v>
      </c>
      <c r="AA1072" t="s">
        <v>26</v>
      </c>
      <c r="AB1072">
        <v>0</v>
      </c>
      <c r="AC1072" t="s">
        <v>115</v>
      </c>
      <c r="AD1072">
        <v>3</v>
      </c>
      <c r="AE1072" t="s">
        <v>115</v>
      </c>
      <c r="AF1072">
        <v>0</v>
      </c>
      <c r="AG1072">
        <v>0</v>
      </c>
      <c r="AH1072" t="s">
        <v>116</v>
      </c>
      <c r="AI1072" s="1">
        <v>70989</v>
      </c>
      <c r="AJ1072" s="2">
        <v>0.15</v>
      </c>
      <c r="AK1072" s="1">
        <v>467322</v>
      </c>
      <c r="AL1072" t="s">
        <v>117</v>
      </c>
      <c r="AM1072" t="s">
        <v>118</v>
      </c>
      <c r="AN1072">
        <v>9667</v>
      </c>
      <c r="AO1072">
        <v>0.22</v>
      </c>
      <c r="AR1072">
        <v>1</v>
      </c>
      <c r="AS1072" s="1">
        <v>34800</v>
      </c>
      <c r="AT1072" s="1">
        <v>6960</v>
      </c>
      <c r="AU1072" s="1">
        <v>27840</v>
      </c>
      <c r="AV1072">
        <v>80</v>
      </c>
      <c r="AX1072" s="1">
        <v>3353.26</v>
      </c>
      <c r="AY1072" t="s">
        <v>3019</v>
      </c>
      <c r="AZ1072" t="s">
        <v>3020</v>
      </c>
      <c r="BA1072" t="s">
        <v>218</v>
      </c>
      <c r="BE1072" s="3">
        <v>42471</v>
      </c>
      <c r="BF1072" s="1">
        <v>395000</v>
      </c>
      <c r="BG1072" t="s">
        <v>7194</v>
      </c>
      <c r="BH1072" s="1">
        <v>123.44</v>
      </c>
      <c r="BI1072" s="1">
        <v>396333</v>
      </c>
      <c r="BJ1072" s="3">
        <v>42731</v>
      </c>
      <c r="BK1072" t="s">
        <v>123</v>
      </c>
      <c r="BL1072" t="str">
        <f>"2016.951455"</f>
        <v>2016.951455</v>
      </c>
      <c r="BM1072" t="s">
        <v>1695</v>
      </c>
      <c r="BO1072" t="s">
        <v>7195</v>
      </c>
      <c r="BS1072">
        <v>30</v>
      </c>
      <c r="BW1072" t="str">
        <f>""</f>
        <v/>
      </c>
      <c r="CH1072" t="str">
        <f>""</f>
        <v/>
      </c>
      <c r="CS1072" t="str">
        <f>""</f>
        <v/>
      </c>
    </row>
    <row r="1073" spans="1:97" x14ac:dyDescent="0.25">
      <c r="A1073" t="s">
        <v>996</v>
      </c>
      <c r="B1073" t="s">
        <v>7196</v>
      </c>
      <c r="E1073" t="s">
        <v>7197</v>
      </c>
      <c r="F1073" t="s">
        <v>108</v>
      </c>
      <c r="H1073" t="s">
        <v>7198</v>
      </c>
      <c r="I1073" t="s">
        <v>110</v>
      </c>
      <c r="J1073" t="s">
        <v>111</v>
      </c>
      <c r="K1073" t="str">
        <f>"85225"</f>
        <v>85225</v>
      </c>
      <c r="L1073" t="s">
        <v>6631</v>
      </c>
      <c r="M1073" t="s">
        <v>7198</v>
      </c>
      <c r="N1073" t="s">
        <v>110</v>
      </c>
      <c r="O1073" t="s">
        <v>111</v>
      </c>
      <c r="P1073" t="str">
        <f>"85225-7192"</f>
        <v>85225-7192</v>
      </c>
      <c r="Q1073" t="s">
        <v>113</v>
      </c>
      <c r="R1073" t="str">
        <f>"302-26-638"</f>
        <v>302-26-638</v>
      </c>
      <c r="S1073" t="s">
        <v>7199</v>
      </c>
      <c r="T1073" t="s">
        <v>7200</v>
      </c>
      <c r="U1073">
        <v>1954</v>
      </c>
      <c r="V1073">
        <v>0</v>
      </c>
      <c r="W1073">
        <v>2</v>
      </c>
      <c r="X1073">
        <v>1979</v>
      </c>
      <c r="Z1073">
        <v>1</v>
      </c>
      <c r="AA1073" t="s">
        <v>26</v>
      </c>
      <c r="AB1073">
        <v>0</v>
      </c>
      <c r="AC1073" t="s">
        <v>115</v>
      </c>
      <c r="AD1073">
        <v>2</v>
      </c>
      <c r="AE1073" t="s">
        <v>115</v>
      </c>
      <c r="AF1073">
        <v>0</v>
      </c>
      <c r="AG1073">
        <v>0</v>
      </c>
      <c r="AH1073" t="s">
        <v>116</v>
      </c>
      <c r="AI1073" s="1">
        <v>104453</v>
      </c>
      <c r="AJ1073" s="2">
        <v>0.33</v>
      </c>
      <c r="AK1073" s="1">
        <v>320253</v>
      </c>
      <c r="AL1073" t="s">
        <v>117</v>
      </c>
      <c r="AM1073" t="s">
        <v>5077</v>
      </c>
      <c r="AN1073">
        <v>6965</v>
      </c>
      <c r="AO1073">
        <v>0.16</v>
      </c>
      <c r="AP1073">
        <v>1</v>
      </c>
      <c r="AR1073">
        <v>1</v>
      </c>
      <c r="AS1073" s="1">
        <v>21960</v>
      </c>
      <c r="AT1073" s="1">
        <v>4390</v>
      </c>
      <c r="AU1073" s="1">
        <v>17570</v>
      </c>
      <c r="AV1073">
        <v>80.010000000000005</v>
      </c>
      <c r="AX1073" s="1">
        <v>1566.5</v>
      </c>
      <c r="AY1073" t="s">
        <v>7201</v>
      </c>
      <c r="AZ1073" t="s">
        <v>7201</v>
      </c>
      <c r="BA1073" t="s">
        <v>5311</v>
      </c>
      <c r="BE1073" s="3">
        <v>41702</v>
      </c>
      <c r="BF1073" s="1">
        <v>219500</v>
      </c>
      <c r="BG1073" t="s">
        <v>7202</v>
      </c>
      <c r="BH1073" s="1">
        <v>112.33</v>
      </c>
      <c r="BI1073" s="1">
        <v>215800</v>
      </c>
      <c r="BJ1073" s="3">
        <v>42745</v>
      </c>
      <c r="BK1073" t="s">
        <v>123</v>
      </c>
      <c r="BL1073" t="str">
        <f>"2017.19175"</f>
        <v>2017.19175</v>
      </c>
      <c r="BM1073" t="s">
        <v>124</v>
      </c>
      <c r="BO1073" t="s">
        <v>7203</v>
      </c>
      <c r="BS1073">
        <v>30</v>
      </c>
      <c r="BW1073" t="str">
        <f>""</f>
        <v/>
      </c>
      <c r="CH1073" t="str">
        <f>""</f>
        <v/>
      </c>
      <c r="CS1073" t="str">
        <f>""</f>
        <v/>
      </c>
    </row>
    <row r="1074" spans="1:97" x14ac:dyDescent="0.25">
      <c r="A1074" t="s">
        <v>243</v>
      </c>
      <c r="B1074" t="s">
        <v>2558</v>
      </c>
      <c r="C1074" t="s">
        <v>484</v>
      </c>
      <c r="D1074" t="s">
        <v>2558</v>
      </c>
      <c r="E1074" t="s">
        <v>7204</v>
      </c>
      <c r="F1074" t="s">
        <v>108</v>
      </c>
      <c r="H1074" t="s">
        <v>7205</v>
      </c>
      <c r="I1074" t="s">
        <v>4251</v>
      </c>
      <c r="J1074" t="s">
        <v>111</v>
      </c>
      <c r="K1074" t="str">
        <f>"85353"</f>
        <v>85353</v>
      </c>
      <c r="L1074" t="s">
        <v>316</v>
      </c>
      <c r="M1074" t="s">
        <v>7205</v>
      </c>
      <c r="N1074" t="s">
        <v>4251</v>
      </c>
      <c r="O1074" t="s">
        <v>111</v>
      </c>
      <c r="P1074" t="str">
        <f>"85353-4427"</f>
        <v>85353-4427</v>
      </c>
      <c r="Q1074" t="s">
        <v>113</v>
      </c>
      <c r="R1074" t="str">
        <f>"101-39-447"</f>
        <v>101-39-447</v>
      </c>
      <c r="S1074" t="s">
        <v>7206</v>
      </c>
      <c r="T1074" t="s">
        <v>7206</v>
      </c>
      <c r="U1074">
        <v>2155</v>
      </c>
      <c r="V1074">
        <v>0</v>
      </c>
      <c r="W1074">
        <v>3</v>
      </c>
      <c r="X1074">
        <v>2014</v>
      </c>
      <c r="Z1074">
        <v>1</v>
      </c>
      <c r="AB1074">
        <v>0</v>
      </c>
      <c r="AC1074" t="s">
        <v>115</v>
      </c>
      <c r="AD1074">
        <v>2</v>
      </c>
      <c r="AE1074" t="s">
        <v>115</v>
      </c>
      <c r="AF1074">
        <v>0</v>
      </c>
      <c r="AG1074">
        <v>0</v>
      </c>
      <c r="AH1074" t="s">
        <v>116</v>
      </c>
      <c r="AI1074" s="1">
        <v>63250</v>
      </c>
      <c r="AJ1074" s="2">
        <v>0.23</v>
      </c>
      <c r="AK1074" s="1">
        <v>278761</v>
      </c>
      <c r="AL1074" t="s">
        <v>117</v>
      </c>
      <c r="AM1074" t="s">
        <v>191</v>
      </c>
      <c r="AN1074">
        <v>5625</v>
      </c>
      <c r="AO1074">
        <v>0.13</v>
      </c>
      <c r="AR1074">
        <v>1</v>
      </c>
      <c r="AS1074" s="1">
        <v>19850</v>
      </c>
      <c r="AT1074" s="1">
        <v>3970</v>
      </c>
      <c r="AU1074" s="1">
        <v>15880</v>
      </c>
      <c r="AV1074">
        <v>80</v>
      </c>
      <c r="AX1074" s="1">
        <v>1751.32</v>
      </c>
      <c r="AY1074" t="s">
        <v>4253</v>
      </c>
      <c r="AZ1074" t="s">
        <v>4253</v>
      </c>
      <c r="BA1074" t="s">
        <v>4254</v>
      </c>
      <c r="BE1074" s="3">
        <v>42338</v>
      </c>
      <c r="BF1074" s="1">
        <v>215511</v>
      </c>
      <c r="BG1074" t="s">
        <v>2387</v>
      </c>
      <c r="BH1074" s="1">
        <v>100.01</v>
      </c>
      <c r="BI1074" s="1">
        <v>215511</v>
      </c>
      <c r="BJ1074" s="3">
        <v>42338</v>
      </c>
      <c r="BK1074" t="s">
        <v>123</v>
      </c>
      <c r="BL1074" t="str">
        <f>"2015.849773"</f>
        <v>2015.849773</v>
      </c>
      <c r="BM1074" t="s">
        <v>475</v>
      </c>
      <c r="BO1074" t="s">
        <v>7207</v>
      </c>
      <c r="BS1074">
        <v>30</v>
      </c>
      <c r="BW1074" t="str">
        <f>""</f>
        <v/>
      </c>
      <c r="CH1074" t="str">
        <f>""</f>
        <v/>
      </c>
      <c r="CS1074" t="str">
        <f>""</f>
        <v/>
      </c>
    </row>
    <row r="1075" spans="1:97" x14ac:dyDescent="0.25">
      <c r="A1075" t="s">
        <v>1160</v>
      </c>
      <c r="B1075" t="s">
        <v>7208</v>
      </c>
      <c r="E1075" t="s">
        <v>7209</v>
      </c>
      <c r="F1075" t="s">
        <v>108</v>
      </c>
      <c r="H1075" t="s">
        <v>7210</v>
      </c>
      <c r="I1075" t="s">
        <v>203</v>
      </c>
      <c r="J1075" t="s">
        <v>111</v>
      </c>
      <c r="K1075" t="str">
        <f>"85234"</f>
        <v>85234</v>
      </c>
      <c r="L1075" t="s">
        <v>3108</v>
      </c>
      <c r="M1075" t="s">
        <v>7210</v>
      </c>
      <c r="N1075" t="s">
        <v>203</v>
      </c>
      <c r="O1075" t="s">
        <v>111</v>
      </c>
      <c r="P1075" t="str">
        <f>"85234"</f>
        <v>85234</v>
      </c>
      <c r="Q1075" t="s">
        <v>113</v>
      </c>
      <c r="R1075" t="str">
        <f>"304-06-314"</f>
        <v>304-06-314</v>
      </c>
      <c r="S1075" t="s">
        <v>7211</v>
      </c>
      <c r="T1075" t="s">
        <v>7212</v>
      </c>
      <c r="U1075">
        <v>1824</v>
      </c>
      <c r="V1075">
        <v>0</v>
      </c>
      <c r="W1075">
        <v>3</v>
      </c>
      <c r="X1075">
        <v>1992</v>
      </c>
      <c r="Z1075">
        <v>1</v>
      </c>
      <c r="AA1075" t="s">
        <v>26</v>
      </c>
      <c r="AB1075">
        <v>0</v>
      </c>
      <c r="AC1075" t="s">
        <v>115</v>
      </c>
      <c r="AD1075">
        <v>2</v>
      </c>
      <c r="AE1075" t="s">
        <v>115</v>
      </c>
      <c r="AF1075">
        <v>0</v>
      </c>
      <c r="AG1075">
        <v>0</v>
      </c>
      <c r="AH1075" t="s">
        <v>116</v>
      </c>
      <c r="AI1075" s="1">
        <v>86077</v>
      </c>
      <c r="AJ1075" s="2">
        <v>0.26</v>
      </c>
      <c r="AK1075" s="1">
        <v>328172</v>
      </c>
      <c r="AL1075" t="s">
        <v>117</v>
      </c>
      <c r="AM1075" t="s">
        <v>393</v>
      </c>
      <c r="AN1075">
        <v>7100</v>
      </c>
      <c r="AO1075">
        <v>0.16</v>
      </c>
      <c r="AP1075">
        <v>1</v>
      </c>
      <c r="AR1075">
        <v>1</v>
      </c>
      <c r="AS1075" s="1">
        <v>22760</v>
      </c>
      <c r="AT1075" s="1">
        <v>4550</v>
      </c>
      <c r="AU1075" s="1">
        <v>18210</v>
      </c>
      <c r="AV1075">
        <v>80.010000000000005</v>
      </c>
      <c r="AX1075" s="1">
        <v>1536.08</v>
      </c>
      <c r="AY1075" t="s">
        <v>7213</v>
      </c>
      <c r="AZ1075" t="s">
        <v>571</v>
      </c>
      <c r="BA1075" t="s">
        <v>521</v>
      </c>
      <c r="BE1075" s="3">
        <v>41894</v>
      </c>
      <c r="BF1075" s="1">
        <v>237000</v>
      </c>
      <c r="BG1075" t="s">
        <v>7214</v>
      </c>
      <c r="BH1075" s="1">
        <v>129.93</v>
      </c>
      <c r="BI1075" s="1">
        <v>242095</v>
      </c>
      <c r="BJ1075" s="3">
        <v>41894</v>
      </c>
      <c r="BK1075" t="s">
        <v>123</v>
      </c>
      <c r="BL1075" t="str">
        <f>"2014.605026"</f>
        <v>2014.605026</v>
      </c>
      <c r="BM1075" t="s">
        <v>594</v>
      </c>
      <c r="BO1075" t="s">
        <v>7215</v>
      </c>
      <c r="BS1075">
        <v>30</v>
      </c>
      <c r="BW1075" t="str">
        <f>""</f>
        <v/>
      </c>
      <c r="CH1075" t="str">
        <f>""</f>
        <v/>
      </c>
      <c r="CS1075" t="str">
        <f>""</f>
        <v/>
      </c>
    </row>
    <row r="1076" spans="1:97" x14ac:dyDescent="0.25">
      <c r="A1076" t="s">
        <v>2429</v>
      </c>
      <c r="B1076" t="s">
        <v>7216</v>
      </c>
      <c r="E1076" t="s">
        <v>7217</v>
      </c>
      <c r="F1076" t="s">
        <v>108</v>
      </c>
      <c r="H1076" t="s">
        <v>7218</v>
      </c>
      <c r="I1076" t="s">
        <v>632</v>
      </c>
      <c r="J1076" t="s">
        <v>111</v>
      </c>
      <c r="K1076" t="str">
        <f>"85379"</f>
        <v>85379</v>
      </c>
      <c r="L1076" t="s">
        <v>6308</v>
      </c>
      <c r="M1076" t="s">
        <v>7218</v>
      </c>
      <c r="N1076" t="s">
        <v>632</v>
      </c>
      <c r="O1076" t="s">
        <v>111</v>
      </c>
      <c r="P1076" t="str">
        <f>"85379-8644"</f>
        <v>85379-8644</v>
      </c>
      <c r="Q1076" t="s">
        <v>113</v>
      </c>
      <c r="R1076" t="str">
        <f>"509-17-146"</f>
        <v>509-17-146</v>
      </c>
      <c r="S1076" t="s">
        <v>7219</v>
      </c>
      <c r="U1076">
        <v>2714</v>
      </c>
      <c r="V1076">
        <v>0</v>
      </c>
      <c r="W1076">
        <v>5</v>
      </c>
      <c r="X1076">
        <v>2004</v>
      </c>
      <c r="Z1076">
        <v>2</v>
      </c>
      <c r="AA1076" t="s">
        <v>26</v>
      </c>
      <c r="AB1076">
        <v>0</v>
      </c>
      <c r="AC1076" t="s">
        <v>115</v>
      </c>
      <c r="AD1076">
        <v>2</v>
      </c>
      <c r="AE1076" t="s">
        <v>115</v>
      </c>
      <c r="AF1076">
        <v>0</v>
      </c>
      <c r="AG1076">
        <v>0</v>
      </c>
      <c r="AH1076" t="s">
        <v>116</v>
      </c>
      <c r="AI1076" s="1">
        <v>66569</v>
      </c>
      <c r="AJ1076" s="2">
        <v>0.21</v>
      </c>
      <c r="AK1076" s="1">
        <v>311729</v>
      </c>
      <c r="AL1076" t="s">
        <v>117</v>
      </c>
      <c r="AM1076" t="s">
        <v>118</v>
      </c>
      <c r="AN1076">
        <v>6700</v>
      </c>
      <c r="AO1076">
        <v>0.15</v>
      </c>
      <c r="AP1076">
        <v>1</v>
      </c>
      <c r="AR1076">
        <v>1</v>
      </c>
      <c r="AS1076" s="1">
        <v>22510</v>
      </c>
      <c r="AT1076" s="1">
        <v>4500</v>
      </c>
      <c r="AU1076" s="1">
        <v>18010</v>
      </c>
      <c r="AV1076">
        <v>80.010000000000005</v>
      </c>
      <c r="AX1076" s="1">
        <v>1693.2</v>
      </c>
      <c r="AY1076" t="s">
        <v>634</v>
      </c>
      <c r="AZ1076" t="s">
        <v>634</v>
      </c>
      <c r="BA1076" t="s">
        <v>321</v>
      </c>
      <c r="BE1076" s="3">
        <v>42479</v>
      </c>
      <c r="BF1076" s="1">
        <v>240000</v>
      </c>
      <c r="BG1076" t="s">
        <v>7220</v>
      </c>
      <c r="BH1076" s="1">
        <v>88.43</v>
      </c>
      <c r="BI1076" s="1">
        <v>245160</v>
      </c>
      <c r="BJ1076" s="3">
        <v>42479</v>
      </c>
      <c r="BK1076" t="s">
        <v>123</v>
      </c>
      <c r="BL1076" t="str">
        <f>"2016.260350"</f>
        <v>2016.260350</v>
      </c>
      <c r="BM1076" t="s">
        <v>255</v>
      </c>
      <c r="BO1076" t="s">
        <v>7221</v>
      </c>
      <c r="BS1076">
        <v>30</v>
      </c>
      <c r="BW1076" t="str">
        <f>""</f>
        <v/>
      </c>
      <c r="CH1076" t="str">
        <f>""</f>
        <v/>
      </c>
      <c r="CS1076" t="str">
        <f>""</f>
        <v/>
      </c>
    </row>
    <row r="1077" spans="1:97" x14ac:dyDescent="0.25">
      <c r="A1077" t="s">
        <v>305</v>
      </c>
      <c r="B1077" t="s">
        <v>7222</v>
      </c>
      <c r="C1077" t="s">
        <v>1959</v>
      </c>
      <c r="D1077" t="s">
        <v>7222</v>
      </c>
      <c r="E1077" t="s">
        <v>7223</v>
      </c>
      <c r="F1077" t="s">
        <v>108</v>
      </c>
      <c r="H1077" t="s">
        <v>7224</v>
      </c>
      <c r="I1077" t="s">
        <v>632</v>
      </c>
      <c r="J1077" t="s">
        <v>111</v>
      </c>
      <c r="K1077" t="str">
        <f>"85388"</f>
        <v>85388</v>
      </c>
      <c r="L1077" t="s">
        <v>4159</v>
      </c>
      <c r="M1077" t="s">
        <v>7224</v>
      </c>
      <c r="N1077" t="s">
        <v>632</v>
      </c>
      <c r="O1077" t="s">
        <v>111</v>
      </c>
      <c r="P1077" t="str">
        <f>"85388-3126"</f>
        <v>85388-3126</v>
      </c>
      <c r="Q1077" t="s">
        <v>113</v>
      </c>
      <c r="R1077" t="str">
        <f>"502-02-593"</f>
        <v>502-02-593</v>
      </c>
      <c r="S1077" t="s">
        <v>7225</v>
      </c>
      <c r="T1077" t="s">
        <v>7226</v>
      </c>
      <c r="U1077">
        <v>2388</v>
      </c>
      <c r="V1077">
        <v>0</v>
      </c>
      <c r="W1077">
        <v>3</v>
      </c>
      <c r="X1077">
        <v>2005</v>
      </c>
      <c r="Z1077">
        <v>2</v>
      </c>
      <c r="AA1077" t="s">
        <v>26</v>
      </c>
      <c r="AB1077">
        <v>0</v>
      </c>
      <c r="AC1077" t="s">
        <v>115</v>
      </c>
      <c r="AD1077">
        <v>2</v>
      </c>
      <c r="AE1077" t="s">
        <v>115</v>
      </c>
      <c r="AF1077">
        <v>0</v>
      </c>
      <c r="AG1077">
        <v>0</v>
      </c>
      <c r="AH1077" t="s">
        <v>116</v>
      </c>
      <c r="AI1077" s="1">
        <v>22347</v>
      </c>
      <c r="AJ1077" s="2">
        <v>7.0000000000000007E-2</v>
      </c>
      <c r="AK1077" s="1">
        <v>306422</v>
      </c>
      <c r="AL1077" t="s">
        <v>117</v>
      </c>
      <c r="AM1077" t="s">
        <v>118</v>
      </c>
      <c r="AN1077">
        <v>7523</v>
      </c>
      <c r="AO1077">
        <v>0.17</v>
      </c>
      <c r="AR1077">
        <v>1</v>
      </c>
      <c r="AS1077" s="1">
        <v>21230</v>
      </c>
      <c r="AT1077" s="1">
        <v>4240</v>
      </c>
      <c r="AU1077" s="1">
        <v>16990</v>
      </c>
      <c r="AV1077">
        <v>80.03</v>
      </c>
      <c r="AX1077" s="1">
        <v>1718.78</v>
      </c>
      <c r="AY1077" t="s">
        <v>5168</v>
      </c>
      <c r="AZ1077" t="s">
        <v>5168</v>
      </c>
      <c r="BA1077" t="s">
        <v>5109</v>
      </c>
      <c r="BE1077" s="3">
        <v>42223</v>
      </c>
      <c r="BF1077" s="1">
        <v>236000</v>
      </c>
      <c r="BG1077" t="s">
        <v>7227</v>
      </c>
      <c r="BH1077" s="1">
        <v>98.83</v>
      </c>
      <c r="BI1077" s="1">
        <v>284075</v>
      </c>
      <c r="BJ1077" s="3">
        <v>43552</v>
      </c>
      <c r="BK1077" t="s">
        <v>123</v>
      </c>
      <c r="BL1077" t="str">
        <f>"2019.214383"</f>
        <v>2019.214383</v>
      </c>
      <c r="BM1077" t="s">
        <v>7228</v>
      </c>
      <c r="BN1077" t="s">
        <v>7229</v>
      </c>
      <c r="BO1077" t="s">
        <v>7230</v>
      </c>
      <c r="BP1077" t="s">
        <v>7231</v>
      </c>
      <c r="BR1077" t="s">
        <v>139</v>
      </c>
      <c r="BW1077" t="str">
        <f>""</f>
        <v/>
      </c>
      <c r="CH1077" t="str">
        <f>""</f>
        <v/>
      </c>
      <c r="CS1077" t="str">
        <f>""</f>
        <v/>
      </c>
    </row>
    <row r="1078" spans="1:97" x14ac:dyDescent="0.25">
      <c r="A1078" t="s">
        <v>1850</v>
      </c>
      <c r="B1078" t="s">
        <v>6898</v>
      </c>
      <c r="C1078" t="s">
        <v>7232</v>
      </c>
      <c r="D1078" t="s">
        <v>6898</v>
      </c>
      <c r="E1078" t="s">
        <v>7233</v>
      </c>
      <c r="F1078" t="s">
        <v>108</v>
      </c>
      <c r="H1078" t="s">
        <v>7234</v>
      </c>
      <c r="I1078" t="s">
        <v>453</v>
      </c>
      <c r="J1078" t="s">
        <v>111</v>
      </c>
      <c r="K1078" t="str">
        <f>"85383"</f>
        <v>85383</v>
      </c>
      <c r="L1078" t="s">
        <v>7235</v>
      </c>
      <c r="M1078" t="s">
        <v>7234</v>
      </c>
      <c r="N1078" t="s">
        <v>453</v>
      </c>
      <c r="O1078" t="s">
        <v>111</v>
      </c>
      <c r="P1078" t="str">
        <f>"85383-5875"</f>
        <v>85383-5875</v>
      </c>
      <c r="Q1078" t="s">
        <v>113</v>
      </c>
      <c r="R1078" t="str">
        <f>"503-55-404"</f>
        <v>503-55-404</v>
      </c>
      <c r="S1078" t="s">
        <v>7236</v>
      </c>
      <c r="T1078" t="s">
        <v>7237</v>
      </c>
      <c r="U1078">
        <v>2640</v>
      </c>
      <c r="V1078">
        <v>0</v>
      </c>
      <c r="W1078">
        <v>4</v>
      </c>
      <c r="X1078">
        <v>2015</v>
      </c>
      <c r="Z1078">
        <v>2</v>
      </c>
      <c r="AB1078">
        <v>0</v>
      </c>
      <c r="AC1078" t="s">
        <v>115</v>
      </c>
      <c r="AD1078">
        <v>2</v>
      </c>
      <c r="AE1078" t="s">
        <v>115</v>
      </c>
      <c r="AF1078">
        <v>0</v>
      </c>
      <c r="AG1078">
        <v>0</v>
      </c>
      <c r="AH1078" t="s">
        <v>116</v>
      </c>
      <c r="AI1078" s="1">
        <v>88119</v>
      </c>
      <c r="AJ1078" s="2">
        <v>0.25</v>
      </c>
      <c r="AK1078" s="1">
        <v>355545</v>
      </c>
      <c r="AL1078" t="s">
        <v>117</v>
      </c>
      <c r="AM1078" t="s">
        <v>229</v>
      </c>
      <c r="AN1078">
        <v>4950</v>
      </c>
      <c r="AO1078">
        <v>0.11</v>
      </c>
      <c r="AR1078">
        <v>1</v>
      </c>
      <c r="AS1078" s="1">
        <v>24280</v>
      </c>
      <c r="AT1078" s="1">
        <v>4850</v>
      </c>
      <c r="AU1078" s="1">
        <v>19430</v>
      </c>
      <c r="AV1078">
        <v>80.02</v>
      </c>
      <c r="AX1078" s="1">
        <v>2305.7800000000002</v>
      </c>
      <c r="AY1078" t="s">
        <v>456</v>
      </c>
      <c r="AZ1078" t="s">
        <v>456</v>
      </c>
      <c r="BA1078" t="s">
        <v>457</v>
      </c>
      <c r="BE1078" s="3">
        <v>42432</v>
      </c>
      <c r="BF1078" s="1">
        <v>269090</v>
      </c>
      <c r="BG1078" t="s">
        <v>7238</v>
      </c>
      <c r="BH1078" s="1">
        <v>101.93</v>
      </c>
      <c r="BI1078" s="1">
        <v>267426</v>
      </c>
      <c r="BJ1078" s="3">
        <v>42597</v>
      </c>
      <c r="BK1078" t="s">
        <v>123</v>
      </c>
      <c r="BL1078" t="str">
        <f>"2016.579508"</f>
        <v>2016.579508</v>
      </c>
      <c r="BM1078" t="s">
        <v>402</v>
      </c>
      <c r="BO1078" t="s">
        <v>7239</v>
      </c>
      <c r="BS1078">
        <v>30</v>
      </c>
      <c r="BW1078" t="str">
        <f>""</f>
        <v/>
      </c>
      <c r="CH1078" t="str">
        <f>""</f>
        <v/>
      </c>
      <c r="CS1078" t="str">
        <f>""</f>
        <v/>
      </c>
    </row>
    <row r="1079" spans="1:97" x14ac:dyDescent="0.25">
      <c r="A1079" t="s">
        <v>3258</v>
      </c>
      <c r="B1079" t="s">
        <v>7240</v>
      </c>
      <c r="E1079" t="s">
        <v>7241</v>
      </c>
      <c r="F1079" t="s">
        <v>108</v>
      </c>
      <c r="H1079" t="s">
        <v>7242</v>
      </c>
      <c r="I1079" t="s">
        <v>499</v>
      </c>
      <c r="J1079" t="s">
        <v>111</v>
      </c>
      <c r="K1079" t="str">
        <f>"85395"</f>
        <v>85395</v>
      </c>
      <c r="L1079" t="s">
        <v>7243</v>
      </c>
      <c r="M1079" t="s">
        <v>7242</v>
      </c>
      <c r="N1079" t="s">
        <v>499</v>
      </c>
      <c r="O1079" t="s">
        <v>111</v>
      </c>
      <c r="P1079" t="str">
        <f>"85395-6345"</f>
        <v>85395-6345</v>
      </c>
      <c r="Q1079" t="s">
        <v>113</v>
      </c>
      <c r="R1079" t="str">
        <f>"508-13-093"</f>
        <v>508-13-093</v>
      </c>
      <c r="S1079" t="s">
        <v>7244</v>
      </c>
      <c r="T1079" t="s">
        <v>7245</v>
      </c>
      <c r="U1079">
        <v>2390</v>
      </c>
      <c r="V1079">
        <v>0</v>
      </c>
      <c r="W1079">
        <v>4</v>
      </c>
      <c r="X1079">
        <v>2005</v>
      </c>
      <c r="Z1079">
        <v>1</v>
      </c>
      <c r="AB1079">
        <v>0</v>
      </c>
      <c r="AC1079" t="s">
        <v>115</v>
      </c>
      <c r="AD1079">
        <v>3</v>
      </c>
      <c r="AE1079" t="s">
        <v>115</v>
      </c>
      <c r="AF1079">
        <v>0</v>
      </c>
      <c r="AG1079">
        <v>0</v>
      </c>
      <c r="AH1079" t="s">
        <v>116</v>
      </c>
      <c r="AI1079" s="1">
        <v>49178</v>
      </c>
      <c r="AJ1079" s="2">
        <v>0.15</v>
      </c>
      <c r="AK1079" s="1">
        <v>338418</v>
      </c>
      <c r="AL1079" t="s">
        <v>117</v>
      </c>
      <c r="AM1079" t="s">
        <v>118</v>
      </c>
      <c r="AN1079">
        <v>8505</v>
      </c>
      <c r="AO1079">
        <v>0.2</v>
      </c>
      <c r="AR1079">
        <v>1</v>
      </c>
      <c r="AS1079" s="1">
        <v>23880</v>
      </c>
      <c r="AT1079" s="1">
        <v>4770</v>
      </c>
      <c r="AU1079" s="1">
        <v>19110</v>
      </c>
      <c r="AV1079">
        <v>80.03</v>
      </c>
      <c r="AX1079" s="1">
        <v>2657.9</v>
      </c>
      <c r="AY1079" t="s">
        <v>3020</v>
      </c>
      <c r="AZ1079" t="s">
        <v>3020</v>
      </c>
      <c r="BA1079" t="s">
        <v>3154</v>
      </c>
      <c r="BE1079" s="3">
        <v>41992</v>
      </c>
      <c r="BF1079" s="1">
        <v>255000</v>
      </c>
      <c r="BG1079" t="s">
        <v>7246</v>
      </c>
      <c r="BH1079" s="1">
        <v>106.69</v>
      </c>
      <c r="BI1079" s="1">
        <v>289240</v>
      </c>
      <c r="BJ1079" s="3">
        <v>42933</v>
      </c>
      <c r="BK1079" t="s">
        <v>123</v>
      </c>
      <c r="BL1079" t="str">
        <f>"2017.519868"</f>
        <v>2017.519868</v>
      </c>
      <c r="BM1079" t="s">
        <v>7247</v>
      </c>
      <c r="BO1079" t="s">
        <v>7248</v>
      </c>
      <c r="BS1079">
        <v>30</v>
      </c>
      <c r="BW1079" t="str">
        <f>""</f>
        <v/>
      </c>
      <c r="CH1079" t="str">
        <f>""</f>
        <v/>
      </c>
      <c r="CS1079" t="str">
        <f>""</f>
        <v/>
      </c>
    </row>
    <row r="1080" spans="1:97" x14ac:dyDescent="0.25">
      <c r="A1080" t="s">
        <v>7249</v>
      </c>
      <c r="B1080" t="s">
        <v>7250</v>
      </c>
      <c r="C1080" t="s">
        <v>1047</v>
      </c>
      <c r="D1080" t="s">
        <v>7250</v>
      </c>
      <c r="E1080" t="s">
        <v>7251</v>
      </c>
      <c r="F1080" t="s">
        <v>108</v>
      </c>
      <c r="H1080" t="s">
        <v>7252</v>
      </c>
      <c r="I1080" t="s">
        <v>390</v>
      </c>
      <c r="J1080" t="s">
        <v>111</v>
      </c>
      <c r="K1080" t="str">
        <f>"85044"</f>
        <v>85044</v>
      </c>
      <c r="L1080" t="s">
        <v>5799</v>
      </c>
      <c r="M1080" t="s">
        <v>7252</v>
      </c>
      <c r="N1080" t="s">
        <v>390</v>
      </c>
      <c r="O1080" t="s">
        <v>111</v>
      </c>
      <c r="P1080" t="str">
        <f>"85044-4019"</f>
        <v>85044-4019</v>
      </c>
      <c r="Q1080" t="s">
        <v>113</v>
      </c>
      <c r="R1080" t="str">
        <f>"301-58-594"</f>
        <v>301-58-594</v>
      </c>
      <c r="S1080" t="s">
        <v>7253</v>
      </c>
      <c r="U1080">
        <v>1614</v>
      </c>
      <c r="V1080">
        <v>0</v>
      </c>
      <c r="W1080">
        <v>4</v>
      </c>
      <c r="X1080">
        <v>1986</v>
      </c>
      <c r="Z1080">
        <v>1</v>
      </c>
      <c r="AB1080">
        <v>0</v>
      </c>
      <c r="AC1080" t="s">
        <v>115</v>
      </c>
      <c r="AD1080">
        <v>2</v>
      </c>
      <c r="AE1080" t="s">
        <v>115</v>
      </c>
      <c r="AF1080">
        <v>0</v>
      </c>
      <c r="AG1080">
        <v>0</v>
      </c>
      <c r="AH1080" t="s">
        <v>116</v>
      </c>
      <c r="AI1080" s="1">
        <v>70010</v>
      </c>
      <c r="AJ1080" s="2">
        <v>0.24</v>
      </c>
      <c r="AK1080" s="1">
        <v>293718</v>
      </c>
      <c r="AL1080" t="s">
        <v>117</v>
      </c>
      <c r="AM1080" t="s">
        <v>1315</v>
      </c>
      <c r="AN1080">
        <v>5841</v>
      </c>
      <c r="AO1080">
        <v>0.13</v>
      </c>
      <c r="AP1080">
        <v>1</v>
      </c>
      <c r="AR1080">
        <v>1</v>
      </c>
      <c r="AS1080" s="1">
        <v>20120</v>
      </c>
      <c r="AT1080" s="1">
        <v>4020</v>
      </c>
      <c r="AU1080" s="1">
        <v>16100</v>
      </c>
      <c r="AV1080">
        <v>80.02</v>
      </c>
      <c r="AX1080" s="1">
        <v>1853.02</v>
      </c>
      <c r="AY1080" t="s">
        <v>7254</v>
      </c>
      <c r="AZ1080" t="s">
        <v>7255</v>
      </c>
      <c r="BA1080" t="s">
        <v>5328</v>
      </c>
      <c r="BE1080" s="3">
        <v>42236</v>
      </c>
      <c r="BF1080" s="1">
        <v>219000</v>
      </c>
      <c r="BG1080" t="s">
        <v>7256</v>
      </c>
      <c r="BH1080" s="1">
        <v>135.69</v>
      </c>
      <c r="BI1080" s="1">
        <v>223708</v>
      </c>
      <c r="BJ1080" s="3">
        <v>42236</v>
      </c>
      <c r="BK1080" t="s">
        <v>123</v>
      </c>
      <c r="BL1080" t="str">
        <f>"2015.603974"</f>
        <v>2015.603974</v>
      </c>
      <c r="BM1080" t="s">
        <v>2368</v>
      </c>
      <c r="BO1080" t="s">
        <v>7257</v>
      </c>
      <c r="BP1080" t="s">
        <v>7258</v>
      </c>
      <c r="BS1080">
        <v>30</v>
      </c>
      <c r="BW1080" t="str">
        <f>""</f>
        <v/>
      </c>
      <c r="CH1080" t="str">
        <f>""</f>
        <v/>
      </c>
      <c r="CS1080" t="str">
        <f>""</f>
        <v/>
      </c>
    </row>
    <row r="1081" spans="1:97" x14ac:dyDescent="0.25">
      <c r="A1081" t="s">
        <v>7259</v>
      </c>
      <c r="B1081" t="s">
        <v>348</v>
      </c>
      <c r="C1081" t="s">
        <v>3682</v>
      </c>
      <c r="D1081" t="s">
        <v>348</v>
      </c>
      <c r="E1081" t="s">
        <v>7260</v>
      </c>
      <c r="F1081" t="s">
        <v>108</v>
      </c>
      <c r="H1081" t="s">
        <v>7261</v>
      </c>
      <c r="I1081" t="s">
        <v>499</v>
      </c>
      <c r="J1081" t="s">
        <v>111</v>
      </c>
      <c r="K1081" t="str">
        <f>"85395"</f>
        <v>85395</v>
      </c>
      <c r="L1081" t="s">
        <v>541</v>
      </c>
      <c r="M1081" t="s">
        <v>7261</v>
      </c>
      <c r="N1081" t="s">
        <v>499</v>
      </c>
      <c r="O1081" t="s">
        <v>111</v>
      </c>
      <c r="P1081" t="str">
        <f>"85395-7176"</f>
        <v>85395-7176</v>
      </c>
      <c r="Q1081" t="s">
        <v>113</v>
      </c>
      <c r="R1081" t="str">
        <f>"508-14-842"</f>
        <v>508-14-842</v>
      </c>
      <c r="S1081" t="s">
        <v>7193</v>
      </c>
      <c r="T1081" t="s">
        <v>3018</v>
      </c>
      <c r="U1081">
        <v>2558</v>
      </c>
      <c r="V1081">
        <v>0</v>
      </c>
      <c r="W1081">
        <v>5</v>
      </c>
      <c r="X1081">
        <v>2016</v>
      </c>
      <c r="Z1081">
        <v>1</v>
      </c>
      <c r="AB1081">
        <v>0</v>
      </c>
      <c r="AC1081" t="s">
        <v>115</v>
      </c>
      <c r="AD1081">
        <v>2</v>
      </c>
      <c r="AE1081" t="s">
        <v>115</v>
      </c>
      <c r="AF1081">
        <v>0</v>
      </c>
      <c r="AG1081">
        <v>0</v>
      </c>
      <c r="AH1081" t="s">
        <v>116</v>
      </c>
      <c r="AI1081" s="1">
        <v>47227</v>
      </c>
      <c r="AJ1081" s="2">
        <v>0.12</v>
      </c>
      <c r="AK1081" s="1">
        <v>384190</v>
      </c>
      <c r="AL1081" t="s">
        <v>117</v>
      </c>
      <c r="AM1081" t="s">
        <v>118</v>
      </c>
      <c r="AN1081">
        <v>8538</v>
      </c>
      <c r="AO1081">
        <v>0.2</v>
      </c>
      <c r="AR1081">
        <v>1</v>
      </c>
      <c r="AS1081" s="1">
        <v>27720</v>
      </c>
      <c r="AT1081" s="1">
        <v>5540</v>
      </c>
      <c r="AU1081" s="1">
        <v>22180</v>
      </c>
      <c r="AV1081">
        <v>80.010000000000005</v>
      </c>
      <c r="AX1081" s="1">
        <v>2847.58</v>
      </c>
      <c r="AY1081" t="s">
        <v>3019</v>
      </c>
      <c r="AZ1081" t="s">
        <v>3020</v>
      </c>
      <c r="BA1081" t="s">
        <v>218</v>
      </c>
      <c r="BE1081" s="3">
        <v>42472</v>
      </c>
      <c r="BF1081" s="1">
        <v>336963</v>
      </c>
      <c r="BG1081" t="s">
        <v>3021</v>
      </c>
      <c r="BH1081" s="1">
        <v>131.72999999999999</v>
      </c>
      <c r="BI1081" s="1">
        <v>336963</v>
      </c>
      <c r="BJ1081" s="3">
        <v>42472</v>
      </c>
      <c r="BK1081" t="s">
        <v>123</v>
      </c>
      <c r="BL1081" t="str">
        <f>"2016.241537"</f>
        <v>2016.241537</v>
      </c>
      <c r="BM1081" t="s">
        <v>2245</v>
      </c>
      <c r="BO1081" t="s">
        <v>7262</v>
      </c>
      <c r="BS1081">
        <v>30</v>
      </c>
      <c r="BW1081" t="str">
        <f>""</f>
        <v/>
      </c>
      <c r="CH1081" t="str">
        <f>""</f>
        <v/>
      </c>
      <c r="CS1081" t="str">
        <f>""</f>
        <v/>
      </c>
    </row>
    <row r="1082" spans="1:97" x14ac:dyDescent="0.25">
      <c r="A1082" t="s">
        <v>7263</v>
      </c>
      <c r="B1082" t="s">
        <v>7264</v>
      </c>
      <c r="C1082" t="s">
        <v>2281</v>
      </c>
      <c r="D1082" t="s">
        <v>7264</v>
      </c>
      <c r="E1082" t="s">
        <v>7265</v>
      </c>
      <c r="F1082" t="s">
        <v>108</v>
      </c>
      <c r="H1082" t="s">
        <v>7266</v>
      </c>
      <c r="I1082" t="s">
        <v>5863</v>
      </c>
      <c r="J1082" t="s">
        <v>111</v>
      </c>
      <c r="K1082" t="str">
        <f>"85375"</f>
        <v>85375</v>
      </c>
      <c r="L1082" t="s">
        <v>5138</v>
      </c>
      <c r="M1082" t="s">
        <v>7266</v>
      </c>
      <c r="N1082" t="s">
        <v>5863</v>
      </c>
      <c r="O1082" t="s">
        <v>111</v>
      </c>
      <c r="P1082" t="str">
        <f>"85375-3802"</f>
        <v>85375-3802</v>
      </c>
      <c r="Q1082" t="s">
        <v>113</v>
      </c>
      <c r="R1082" t="str">
        <f>"232-10-122"</f>
        <v>232-10-122</v>
      </c>
      <c r="S1082" t="s">
        <v>7267</v>
      </c>
      <c r="U1082">
        <v>2032</v>
      </c>
      <c r="V1082">
        <v>0</v>
      </c>
      <c r="W1082">
        <v>3</v>
      </c>
      <c r="X1082">
        <v>1983</v>
      </c>
      <c r="Z1082">
        <v>1</v>
      </c>
      <c r="AB1082">
        <v>0</v>
      </c>
      <c r="AC1082" t="s">
        <v>115</v>
      </c>
      <c r="AD1082">
        <v>2</v>
      </c>
      <c r="AE1082" t="s">
        <v>115</v>
      </c>
      <c r="AF1082">
        <v>0</v>
      </c>
      <c r="AG1082">
        <v>0</v>
      </c>
      <c r="AH1082" t="s">
        <v>116</v>
      </c>
      <c r="AI1082" s="1">
        <v>1277</v>
      </c>
      <c r="AJ1082" s="2">
        <v>0.01</v>
      </c>
      <c r="AK1082" s="1">
        <v>230277</v>
      </c>
      <c r="AL1082" t="s">
        <v>117</v>
      </c>
      <c r="AM1082" t="s">
        <v>393</v>
      </c>
      <c r="AN1082">
        <v>9200</v>
      </c>
      <c r="AO1082">
        <v>0.21</v>
      </c>
      <c r="AP1082">
        <v>1</v>
      </c>
      <c r="AR1082">
        <v>1</v>
      </c>
      <c r="AS1082" s="1">
        <v>16280</v>
      </c>
      <c r="AT1082" s="1">
        <v>3250</v>
      </c>
      <c r="AU1082" s="1">
        <v>13030</v>
      </c>
      <c r="AV1082">
        <v>80.040000000000006</v>
      </c>
      <c r="AX1082" s="1">
        <v>1195.68</v>
      </c>
      <c r="AY1082" t="s">
        <v>320</v>
      </c>
      <c r="AZ1082" t="s">
        <v>320</v>
      </c>
      <c r="BA1082" t="s">
        <v>321</v>
      </c>
      <c r="BE1082" s="3">
        <v>42551</v>
      </c>
      <c r="BF1082" s="1">
        <v>229000</v>
      </c>
      <c r="BG1082" t="s">
        <v>7268</v>
      </c>
      <c r="BH1082" s="1">
        <v>112.7</v>
      </c>
      <c r="BI1082" s="1">
        <v>229000</v>
      </c>
      <c r="BJ1082" s="3">
        <v>42551</v>
      </c>
      <c r="BK1082" t="s">
        <v>123</v>
      </c>
      <c r="BL1082" t="str">
        <f>"2016.461679"</f>
        <v>2016.461679</v>
      </c>
      <c r="BM1082" t="s">
        <v>1038</v>
      </c>
      <c r="BO1082" t="s">
        <v>7269</v>
      </c>
      <c r="BS1082">
        <v>30</v>
      </c>
      <c r="BW1082" t="str">
        <f>""</f>
        <v/>
      </c>
      <c r="CH1082" t="str">
        <f>""</f>
        <v/>
      </c>
      <c r="CS1082" t="str">
        <f>""</f>
        <v/>
      </c>
    </row>
    <row r="1083" spans="1:97" x14ac:dyDescent="0.25">
      <c r="A1083" t="s">
        <v>701</v>
      </c>
      <c r="B1083" t="s">
        <v>7270</v>
      </c>
      <c r="E1083" t="s">
        <v>7271</v>
      </c>
      <c r="F1083" t="s">
        <v>108</v>
      </c>
      <c r="H1083" t="s">
        <v>7272</v>
      </c>
      <c r="I1083" t="s">
        <v>390</v>
      </c>
      <c r="J1083" t="s">
        <v>111</v>
      </c>
      <c r="K1083" t="str">
        <f>"85015"</f>
        <v>85015</v>
      </c>
      <c r="L1083" t="s">
        <v>2857</v>
      </c>
      <c r="M1083" t="s">
        <v>7272</v>
      </c>
      <c r="N1083" t="s">
        <v>390</v>
      </c>
      <c r="O1083" t="s">
        <v>111</v>
      </c>
      <c r="P1083" t="str">
        <f>"85015-3865"</f>
        <v>85015-3865</v>
      </c>
      <c r="Q1083" t="s">
        <v>113</v>
      </c>
      <c r="R1083" t="str">
        <f>"155-53-033"</f>
        <v>155-53-033</v>
      </c>
      <c r="S1083" t="s">
        <v>7273</v>
      </c>
      <c r="T1083" t="s">
        <v>7273</v>
      </c>
      <c r="U1083">
        <v>1525</v>
      </c>
      <c r="V1083">
        <v>0</v>
      </c>
      <c r="W1083">
        <v>1</v>
      </c>
      <c r="X1083">
        <v>1940</v>
      </c>
      <c r="Z1083">
        <v>1</v>
      </c>
      <c r="AB1083">
        <v>0</v>
      </c>
      <c r="AC1083" t="s">
        <v>115</v>
      </c>
      <c r="AD1083">
        <v>1</v>
      </c>
      <c r="AE1083" t="s">
        <v>115</v>
      </c>
      <c r="AF1083">
        <v>0</v>
      </c>
      <c r="AG1083">
        <v>0</v>
      </c>
      <c r="AH1083" t="s">
        <v>116</v>
      </c>
      <c r="AI1083" s="1">
        <v>82282</v>
      </c>
      <c r="AJ1083" s="2">
        <v>0.26</v>
      </c>
      <c r="AK1083" s="1">
        <v>311882</v>
      </c>
      <c r="AL1083" t="s">
        <v>117</v>
      </c>
      <c r="AM1083" t="s">
        <v>191</v>
      </c>
      <c r="AN1083">
        <v>16470</v>
      </c>
      <c r="AO1083">
        <v>0.38</v>
      </c>
      <c r="AP1083">
        <v>1</v>
      </c>
      <c r="AR1083">
        <v>1</v>
      </c>
      <c r="AS1083" s="1">
        <v>20520</v>
      </c>
      <c r="AT1083" s="1">
        <v>4100</v>
      </c>
      <c r="AU1083" s="1">
        <v>16420</v>
      </c>
      <c r="AV1083">
        <v>80.02</v>
      </c>
      <c r="AX1083" s="1">
        <v>2497.9</v>
      </c>
      <c r="AY1083" t="s">
        <v>5468</v>
      </c>
      <c r="AZ1083" t="s">
        <v>5468</v>
      </c>
      <c r="BA1083" t="s">
        <v>5691</v>
      </c>
      <c r="BE1083" s="3">
        <v>41942</v>
      </c>
      <c r="BF1083" s="1">
        <v>192000</v>
      </c>
      <c r="BG1083" t="s">
        <v>7274</v>
      </c>
      <c r="BH1083" s="1">
        <v>125.9</v>
      </c>
      <c r="BI1083" s="1">
        <v>229600</v>
      </c>
      <c r="BJ1083" s="3">
        <v>43054</v>
      </c>
      <c r="BK1083" t="s">
        <v>123</v>
      </c>
      <c r="BL1083" t="str">
        <f>"2017.848916"</f>
        <v>2017.848916</v>
      </c>
      <c r="BM1083" t="s">
        <v>5382</v>
      </c>
      <c r="BO1083" t="s">
        <v>7275</v>
      </c>
      <c r="BS1083">
        <v>30</v>
      </c>
      <c r="BW1083" t="str">
        <f>""</f>
        <v/>
      </c>
      <c r="CH1083" t="str">
        <f>""</f>
        <v/>
      </c>
      <c r="CS1083" t="str">
        <f>""</f>
        <v/>
      </c>
    </row>
    <row r="1084" spans="1:97" x14ac:dyDescent="0.25">
      <c r="A1084" t="s">
        <v>3221</v>
      </c>
      <c r="B1084" t="s">
        <v>3265</v>
      </c>
      <c r="C1084" t="s">
        <v>976</v>
      </c>
      <c r="D1084" t="s">
        <v>3265</v>
      </c>
      <c r="E1084" t="s">
        <v>7276</v>
      </c>
      <c r="F1084" t="s">
        <v>108</v>
      </c>
      <c r="H1084" t="s">
        <v>7277</v>
      </c>
      <c r="I1084" t="s">
        <v>499</v>
      </c>
      <c r="J1084" t="s">
        <v>111</v>
      </c>
      <c r="K1084" t="str">
        <f>"85338"</f>
        <v>85338</v>
      </c>
      <c r="L1084" t="s">
        <v>316</v>
      </c>
      <c r="M1084" t="s">
        <v>7277</v>
      </c>
      <c r="N1084" t="s">
        <v>499</v>
      </c>
      <c r="O1084" t="s">
        <v>111</v>
      </c>
      <c r="P1084" t="str">
        <f>"85338-7028"</f>
        <v>85338-7028</v>
      </c>
      <c r="Q1084" t="s">
        <v>113</v>
      </c>
      <c r="R1084" t="str">
        <f>"500-89-690"</f>
        <v>500-89-690</v>
      </c>
      <c r="S1084" t="s">
        <v>5041</v>
      </c>
      <c r="T1084" t="s">
        <v>5042</v>
      </c>
      <c r="U1084">
        <v>2281</v>
      </c>
      <c r="V1084">
        <v>0</v>
      </c>
      <c r="W1084">
        <v>3</v>
      </c>
      <c r="X1084">
        <v>2015</v>
      </c>
      <c r="Z1084">
        <v>2</v>
      </c>
      <c r="AB1084">
        <v>0</v>
      </c>
      <c r="AC1084" t="s">
        <v>115</v>
      </c>
      <c r="AD1084">
        <v>2</v>
      </c>
      <c r="AE1084" t="s">
        <v>115</v>
      </c>
      <c r="AF1084">
        <v>0</v>
      </c>
      <c r="AG1084">
        <v>0</v>
      </c>
      <c r="AH1084" t="s">
        <v>116</v>
      </c>
      <c r="AI1084" s="1">
        <v>52029</v>
      </c>
      <c r="AJ1084" s="2">
        <v>0.18</v>
      </c>
      <c r="AK1084" s="1">
        <v>284029</v>
      </c>
      <c r="AL1084" t="s">
        <v>117</v>
      </c>
      <c r="AM1084" t="s">
        <v>118</v>
      </c>
      <c r="AN1084">
        <v>6750</v>
      </c>
      <c r="AO1084">
        <v>0.16</v>
      </c>
      <c r="AR1084">
        <v>1</v>
      </c>
      <c r="AS1084" s="1">
        <v>19320</v>
      </c>
      <c r="AT1084" s="1">
        <v>3860</v>
      </c>
      <c r="AU1084" s="1">
        <v>15460</v>
      </c>
      <c r="AV1084">
        <v>80.02</v>
      </c>
      <c r="AX1084" s="1">
        <v>1612.08</v>
      </c>
      <c r="AY1084" t="s">
        <v>4311</v>
      </c>
      <c r="AZ1084" t="s">
        <v>4311</v>
      </c>
      <c r="BA1084" t="s">
        <v>218</v>
      </c>
      <c r="BE1084" s="3">
        <v>42272</v>
      </c>
      <c r="BF1084" s="1">
        <v>233958</v>
      </c>
      <c r="BG1084" t="s">
        <v>2780</v>
      </c>
      <c r="BH1084" s="1">
        <v>102.57</v>
      </c>
      <c r="BI1084" s="1">
        <v>232000</v>
      </c>
      <c r="BJ1084" s="3">
        <v>42272</v>
      </c>
      <c r="BK1084" t="s">
        <v>123</v>
      </c>
      <c r="BL1084" t="str">
        <f>"2015.693149"</f>
        <v>2015.693149</v>
      </c>
      <c r="BM1084" t="s">
        <v>175</v>
      </c>
      <c r="BO1084" t="s">
        <v>7278</v>
      </c>
      <c r="BS1084">
        <v>30</v>
      </c>
      <c r="BW1084" t="str">
        <f>""</f>
        <v/>
      </c>
      <c r="CH1084" t="str">
        <f>""</f>
        <v/>
      </c>
      <c r="CS1084" t="str">
        <f>""</f>
        <v/>
      </c>
    </row>
    <row r="1085" spans="1:97" x14ac:dyDescent="0.25">
      <c r="A1085" t="s">
        <v>3187</v>
      </c>
      <c r="B1085" t="s">
        <v>7279</v>
      </c>
      <c r="E1085" t="s">
        <v>7280</v>
      </c>
      <c r="F1085" t="s">
        <v>108</v>
      </c>
      <c r="H1085" t="s">
        <v>7281</v>
      </c>
      <c r="I1085" t="s">
        <v>2874</v>
      </c>
      <c r="J1085" t="s">
        <v>111</v>
      </c>
      <c r="K1085" t="str">
        <f>"85308"</f>
        <v>85308</v>
      </c>
      <c r="L1085" t="s">
        <v>3982</v>
      </c>
      <c r="M1085" t="s">
        <v>7281</v>
      </c>
      <c r="N1085" t="s">
        <v>2874</v>
      </c>
      <c r="O1085" t="s">
        <v>111</v>
      </c>
      <c r="P1085" t="str">
        <f>"85308-3679"</f>
        <v>85308-3679</v>
      </c>
      <c r="Q1085" t="s">
        <v>113</v>
      </c>
      <c r="R1085" t="str">
        <f>"200-45-247"</f>
        <v>200-45-247</v>
      </c>
      <c r="S1085" t="s">
        <v>7282</v>
      </c>
      <c r="U1085">
        <v>1862</v>
      </c>
      <c r="V1085">
        <v>0</v>
      </c>
      <c r="W1085">
        <v>3</v>
      </c>
      <c r="X1085">
        <v>1988</v>
      </c>
      <c r="Z1085">
        <v>1</v>
      </c>
      <c r="AA1085" t="s">
        <v>26</v>
      </c>
      <c r="AB1085">
        <v>0</v>
      </c>
      <c r="AC1085" t="s">
        <v>115</v>
      </c>
      <c r="AD1085">
        <v>2</v>
      </c>
      <c r="AE1085" t="s">
        <v>115</v>
      </c>
      <c r="AF1085">
        <v>0</v>
      </c>
      <c r="AG1085">
        <v>0</v>
      </c>
      <c r="AH1085" t="s">
        <v>116</v>
      </c>
      <c r="AI1085" s="1">
        <v>73040</v>
      </c>
      <c r="AJ1085" s="2">
        <v>0.25</v>
      </c>
      <c r="AK1085" s="1">
        <v>294705</v>
      </c>
      <c r="AL1085" t="s">
        <v>117</v>
      </c>
      <c r="AM1085" t="s">
        <v>191</v>
      </c>
      <c r="AN1085">
        <v>7300</v>
      </c>
      <c r="AO1085">
        <v>0.17</v>
      </c>
      <c r="AP1085">
        <v>1</v>
      </c>
      <c r="AR1085">
        <v>1</v>
      </c>
      <c r="AS1085" s="1">
        <v>20910</v>
      </c>
      <c r="AT1085" s="1">
        <v>4180</v>
      </c>
      <c r="AU1085" s="1">
        <v>16730</v>
      </c>
      <c r="AV1085">
        <v>80.010000000000005</v>
      </c>
      <c r="AX1085" s="1">
        <v>1445.26</v>
      </c>
      <c r="AY1085" t="s">
        <v>7283</v>
      </c>
      <c r="AZ1085" t="s">
        <v>7283</v>
      </c>
      <c r="BA1085" t="s">
        <v>5143</v>
      </c>
      <c r="BE1085" s="3">
        <v>42139</v>
      </c>
      <c r="BF1085" s="1">
        <v>217000</v>
      </c>
      <c r="BG1085" t="s">
        <v>7284</v>
      </c>
      <c r="BH1085" s="1">
        <v>116.54</v>
      </c>
      <c r="BI1085" s="1">
        <v>221665</v>
      </c>
      <c r="BJ1085" s="3">
        <v>42139</v>
      </c>
      <c r="BK1085" t="s">
        <v>123</v>
      </c>
      <c r="BL1085" t="str">
        <f>"2015.346323"</f>
        <v>2015.346323</v>
      </c>
      <c r="BM1085" t="s">
        <v>1038</v>
      </c>
      <c r="BO1085" t="s">
        <v>7285</v>
      </c>
      <c r="BS1085">
        <v>30</v>
      </c>
      <c r="BW1085" t="str">
        <f>""</f>
        <v/>
      </c>
      <c r="CH1085" t="str">
        <f>""</f>
        <v/>
      </c>
      <c r="CS1085" t="str">
        <f>""</f>
        <v/>
      </c>
    </row>
    <row r="1086" spans="1:97" x14ac:dyDescent="0.25">
      <c r="A1086" t="s">
        <v>325</v>
      </c>
      <c r="B1086" t="s">
        <v>7286</v>
      </c>
      <c r="C1086" t="s">
        <v>1959</v>
      </c>
      <c r="D1086" t="s">
        <v>7286</v>
      </c>
      <c r="E1086" t="s">
        <v>7287</v>
      </c>
      <c r="F1086" t="s">
        <v>108</v>
      </c>
      <c r="H1086" t="s">
        <v>7288</v>
      </c>
      <c r="I1086" t="s">
        <v>632</v>
      </c>
      <c r="J1086" t="s">
        <v>111</v>
      </c>
      <c r="K1086" t="str">
        <f>"85379"</f>
        <v>85379</v>
      </c>
      <c r="L1086" t="s">
        <v>5058</v>
      </c>
      <c r="M1086" t="s">
        <v>7288</v>
      </c>
      <c r="N1086" t="s">
        <v>632</v>
      </c>
      <c r="O1086" t="s">
        <v>111</v>
      </c>
      <c r="P1086" t="str">
        <f>"85379-1164"</f>
        <v>85379-1164</v>
      </c>
      <c r="Q1086" t="s">
        <v>113</v>
      </c>
      <c r="R1086" t="str">
        <f>"501-79-307"</f>
        <v>501-79-307</v>
      </c>
      <c r="S1086" t="s">
        <v>5059</v>
      </c>
      <c r="U1086">
        <v>3348</v>
      </c>
      <c r="V1086">
        <v>0</v>
      </c>
      <c r="W1086">
        <v>5</v>
      </c>
      <c r="X1086">
        <v>2015</v>
      </c>
      <c r="Z1086">
        <v>2</v>
      </c>
      <c r="AA1086" t="s">
        <v>26</v>
      </c>
      <c r="AB1086">
        <v>0</v>
      </c>
      <c r="AC1086" t="s">
        <v>115</v>
      </c>
      <c r="AD1086">
        <v>3</v>
      </c>
      <c r="AE1086" t="s">
        <v>115</v>
      </c>
      <c r="AF1086">
        <v>0</v>
      </c>
      <c r="AG1086">
        <v>0</v>
      </c>
      <c r="AH1086" t="s">
        <v>116</v>
      </c>
      <c r="AI1086" s="1">
        <v>38423</v>
      </c>
      <c r="AJ1086" s="2">
        <v>0.1</v>
      </c>
      <c r="AK1086" s="1">
        <v>401793</v>
      </c>
      <c r="AL1086" t="s">
        <v>117</v>
      </c>
      <c r="AM1086" t="s">
        <v>118</v>
      </c>
      <c r="AN1086">
        <v>7245</v>
      </c>
      <c r="AO1086">
        <v>0.17</v>
      </c>
      <c r="AR1086">
        <v>1</v>
      </c>
      <c r="AS1086" s="1">
        <v>31080</v>
      </c>
      <c r="AT1086" s="1">
        <v>6210</v>
      </c>
      <c r="AU1086" s="1">
        <v>24870</v>
      </c>
      <c r="AV1086">
        <v>80.02</v>
      </c>
      <c r="AX1086" s="1">
        <v>2365.16</v>
      </c>
      <c r="AY1086" t="s">
        <v>5060</v>
      </c>
      <c r="AZ1086" t="s">
        <v>5060</v>
      </c>
      <c r="BA1086" t="s">
        <v>5061</v>
      </c>
      <c r="BE1086" s="3">
        <v>42286</v>
      </c>
      <c r="BF1086" s="1">
        <v>336003</v>
      </c>
      <c r="BG1086" t="s">
        <v>292</v>
      </c>
      <c r="BH1086" s="1">
        <v>100.36</v>
      </c>
      <c r="BI1086" s="1">
        <v>363370</v>
      </c>
      <c r="BJ1086" s="3">
        <v>42286</v>
      </c>
      <c r="BK1086" t="s">
        <v>123</v>
      </c>
      <c r="BL1086" t="str">
        <f>"2015.730388"</f>
        <v>2015.730388</v>
      </c>
      <c r="BM1086" t="s">
        <v>1831</v>
      </c>
      <c r="BO1086" t="s">
        <v>7289</v>
      </c>
      <c r="BS1086">
        <v>30</v>
      </c>
      <c r="BW1086" t="str">
        <f>""</f>
        <v/>
      </c>
      <c r="CH1086" t="str">
        <f>""</f>
        <v/>
      </c>
      <c r="CS1086" t="str">
        <f>""</f>
        <v/>
      </c>
    </row>
    <row r="1087" spans="1:97" x14ac:dyDescent="0.25">
      <c r="A1087" t="s">
        <v>3089</v>
      </c>
      <c r="B1087" t="s">
        <v>1697</v>
      </c>
      <c r="E1087" t="s">
        <v>7290</v>
      </c>
      <c r="F1087" t="s">
        <v>108</v>
      </c>
      <c r="H1087" t="s">
        <v>7291</v>
      </c>
      <c r="I1087" t="s">
        <v>225</v>
      </c>
      <c r="J1087" t="s">
        <v>111</v>
      </c>
      <c r="K1087" t="str">
        <f>"85210"</f>
        <v>85210</v>
      </c>
      <c r="L1087" t="s">
        <v>5709</v>
      </c>
      <c r="M1087" t="s">
        <v>7291</v>
      </c>
      <c r="N1087" t="s">
        <v>225</v>
      </c>
      <c r="O1087" t="s">
        <v>111</v>
      </c>
      <c r="P1087" t="str">
        <f>"85210-5108"</f>
        <v>85210-5108</v>
      </c>
      <c r="Q1087" t="s">
        <v>113</v>
      </c>
      <c r="R1087" t="str">
        <f>"134-22-080"</f>
        <v>134-22-080</v>
      </c>
      <c r="S1087" t="s">
        <v>7292</v>
      </c>
      <c r="T1087" t="s">
        <v>7293</v>
      </c>
      <c r="U1087">
        <v>1328</v>
      </c>
      <c r="V1087">
        <v>0</v>
      </c>
      <c r="W1087">
        <v>2</v>
      </c>
      <c r="X1087">
        <v>1974</v>
      </c>
      <c r="Z1087">
        <v>1</v>
      </c>
      <c r="AA1087" t="s">
        <v>26</v>
      </c>
      <c r="AB1087">
        <v>0</v>
      </c>
      <c r="AC1087" t="s">
        <v>115</v>
      </c>
      <c r="AD1087">
        <v>2</v>
      </c>
      <c r="AE1087" t="s">
        <v>115</v>
      </c>
      <c r="AF1087">
        <v>0</v>
      </c>
      <c r="AG1087">
        <v>0</v>
      </c>
      <c r="AH1087" t="s">
        <v>116</v>
      </c>
      <c r="AI1087" s="1">
        <v>23730</v>
      </c>
      <c r="AJ1087" s="2">
        <v>0.09</v>
      </c>
      <c r="AK1087" s="1">
        <v>257230</v>
      </c>
      <c r="AL1087" t="s">
        <v>117</v>
      </c>
      <c r="AM1087" t="s">
        <v>191</v>
      </c>
      <c r="AN1087">
        <v>7850</v>
      </c>
      <c r="AO1087">
        <v>0.18</v>
      </c>
      <c r="AP1087">
        <v>1</v>
      </c>
      <c r="AR1087">
        <v>1</v>
      </c>
      <c r="AS1087" s="1">
        <v>17370</v>
      </c>
      <c r="AT1087" s="1">
        <v>3470</v>
      </c>
      <c r="AU1087" s="1">
        <v>13900</v>
      </c>
      <c r="AV1087">
        <v>80.02</v>
      </c>
      <c r="AX1087" s="1">
        <v>961.82</v>
      </c>
      <c r="AY1087" t="s">
        <v>7294</v>
      </c>
      <c r="AZ1087" t="s">
        <v>7295</v>
      </c>
      <c r="BA1087" t="s">
        <v>5311</v>
      </c>
      <c r="BE1087" s="3">
        <v>42356</v>
      </c>
      <c r="BF1087" s="1">
        <v>195000</v>
      </c>
      <c r="BG1087" t="s">
        <v>7296</v>
      </c>
      <c r="BH1087" s="1">
        <v>146.84</v>
      </c>
      <c r="BI1087" s="1">
        <v>233500</v>
      </c>
      <c r="BJ1087" s="3">
        <v>43189</v>
      </c>
      <c r="BK1087" t="s">
        <v>123</v>
      </c>
      <c r="BL1087" t="str">
        <f>"2018.240861"</f>
        <v>2018.240861</v>
      </c>
      <c r="BM1087" t="s">
        <v>3040</v>
      </c>
      <c r="BN1087" t="s">
        <v>3041</v>
      </c>
      <c r="BO1087" t="s">
        <v>7297</v>
      </c>
      <c r="BR1087" t="s">
        <v>139</v>
      </c>
      <c r="BW1087" t="str">
        <f>""</f>
        <v/>
      </c>
      <c r="CH1087" t="str">
        <f>""</f>
        <v/>
      </c>
      <c r="CS1087" t="str">
        <f>""</f>
        <v/>
      </c>
    </row>
    <row r="1088" spans="1:97" x14ac:dyDescent="0.25">
      <c r="A1088" t="s">
        <v>1393</v>
      </c>
      <c r="B1088" t="s">
        <v>141</v>
      </c>
      <c r="C1088" t="s">
        <v>104</v>
      </c>
      <c r="D1088" t="s">
        <v>141</v>
      </c>
      <c r="E1088" t="s">
        <v>7298</v>
      </c>
      <c r="F1088" t="s">
        <v>108</v>
      </c>
      <c r="H1088" t="s">
        <v>7299</v>
      </c>
      <c r="I1088" t="s">
        <v>225</v>
      </c>
      <c r="J1088" t="s">
        <v>111</v>
      </c>
      <c r="K1088" t="str">
        <f>"85212"</f>
        <v>85212</v>
      </c>
      <c r="L1088" t="s">
        <v>4035</v>
      </c>
      <c r="M1088" t="s">
        <v>7299</v>
      </c>
      <c r="N1088" t="s">
        <v>225</v>
      </c>
      <c r="O1088" t="s">
        <v>111</v>
      </c>
      <c r="P1088" t="str">
        <f>"85212-1415"</f>
        <v>85212-1415</v>
      </c>
      <c r="Q1088" t="s">
        <v>113</v>
      </c>
      <c r="R1088" t="str">
        <f>"304-02-104"</f>
        <v>304-02-104</v>
      </c>
      <c r="S1088" t="s">
        <v>7300</v>
      </c>
      <c r="T1088" t="s">
        <v>7301</v>
      </c>
      <c r="U1088">
        <v>1877</v>
      </c>
      <c r="V1088">
        <v>0</v>
      </c>
      <c r="W1088">
        <v>3</v>
      </c>
      <c r="X1088">
        <v>1999</v>
      </c>
      <c r="Z1088">
        <v>1</v>
      </c>
      <c r="AB1088">
        <v>0</v>
      </c>
      <c r="AC1088" t="s">
        <v>115</v>
      </c>
      <c r="AD1088">
        <v>2</v>
      </c>
      <c r="AE1088" t="s">
        <v>115</v>
      </c>
      <c r="AF1088">
        <v>0</v>
      </c>
      <c r="AG1088">
        <v>0</v>
      </c>
      <c r="AH1088" t="s">
        <v>116</v>
      </c>
      <c r="AI1088" s="1">
        <v>70474</v>
      </c>
      <c r="AJ1088" s="2">
        <v>0.23</v>
      </c>
      <c r="AK1088" s="1">
        <v>306514</v>
      </c>
      <c r="AL1088" t="s">
        <v>117</v>
      </c>
      <c r="AM1088" t="s">
        <v>191</v>
      </c>
      <c r="AN1088">
        <v>7015</v>
      </c>
      <c r="AO1088">
        <v>0.16</v>
      </c>
      <c r="AP1088">
        <v>1</v>
      </c>
      <c r="AR1088">
        <v>1</v>
      </c>
      <c r="AS1088" s="1">
        <v>20550</v>
      </c>
      <c r="AT1088" s="1">
        <v>4110</v>
      </c>
      <c r="AU1088" s="1">
        <v>16440</v>
      </c>
      <c r="AV1088">
        <v>80</v>
      </c>
      <c r="AX1088" s="1">
        <v>1388.28</v>
      </c>
      <c r="AY1088" t="s">
        <v>7302</v>
      </c>
      <c r="AZ1088" t="s">
        <v>777</v>
      </c>
      <c r="BA1088" t="s">
        <v>572</v>
      </c>
      <c r="BE1088" s="3">
        <v>42264</v>
      </c>
      <c r="BF1088" s="1">
        <v>228500</v>
      </c>
      <c r="BG1088" t="s">
        <v>7303</v>
      </c>
      <c r="BH1088" s="1">
        <v>121.74</v>
      </c>
      <c r="BI1088" s="1">
        <v>236040</v>
      </c>
      <c r="BJ1088" s="3">
        <v>42264</v>
      </c>
      <c r="BK1088" t="s">
        <v>123</v>
      </c>
      <c r="BL1088" t="str">
        <f>"2015.671513"</f>
        <v>2015.671513</v>
      </c>
      <c r="BM1088" t="s">
        <v>380</v>
      </c>
      <c r="BO1088" t="s">
        <v>7304</v>
      </c>
      <c r="BS1088">
        <v>30</v>
      </c>
      <c r="BW1088" t="str">
        <f>""</f>
        <v/>
      </c>
      <c r="CH1088" t="str">
        <f>""</f>
        <v/>
      </c>
      <c r="CS1088" t="str">
        <f>""</f>
        <v/>
      </c>
    </row>
    <row r="1089" spans="1:97" x14ac:dyDescent="0.25">
      <c r="A1089" t="s">
        <v>7305</v>
      </c>
      <c r="B1089" t="s">
        <v>7306</v>
      </c>
      <c r="C1089" t="s">
        <v>943</v>
      </c>
      <c r="D1089" t="s">
        <v>7306</v>
      </c>
      <c r="E1089" t="s">
        <v>7307</v>
      </c>
      <c r="F1089" t="s">
        <v>108</v>
      </c>
      <c r="H1089" t="s">
        <v>7308</v>
      </c>
      <c r="I1089" t="s">
        <v>453</v>
      </c>
      <c r="J1089" t="s">
        <v>111</v>
      </c>
      <c r="K1089" t="str">
        <f>"85383"</f>
        <v>85383</v>
      </c>
      <c r="L1089" t="s">
        <v>269</v>
      </c>
      <c r="M1089" t="s">
        <v>7308</v>
      </c>
      <c r="N1089" t="s">
        <v>453</v>
      </c>
      <c r="O1089" t="s">
        <v>111</v>
      </c>
      <c r="P1089" t="str">
        <f>"85383-3042"</f>
        <v>85383-3042</v>
      </c>
      <c r="Q1089" t="s">
        <v>113</v>
      </c>
      <c r="R1089" t="str">
        <f>"201-03-696"</f>
        <v>201-03-696</v>
      </c>
      <c r="S1089" t="s">
        <v>7309</v>
      </c>
      <c r="T1089" t="s">
        <v>6734</v>
      </c>
      <c r="U1089">
        <v>2437</v>
      </c>
      <c r="V1089">
        <v>0</v>
      </c>
      <c r="W1089">
        <v>4</v>
      </c>
      <c r="X1089">
        <v>2006</v>
      </c>
      <c r="Z1089">
        <v>2</v>
      </c>
      <c r="AB1089">
        <v>0</v>
      </c>
      <c r="AC1089" t="s">
        <v>115</v>
      </c>
      <c r="AD1089">
        <v>2</v>
      </c>
      <c r="AE1089" t="s">
        <v>115</v>
      </c>
      <c r="AF1089">
        <v>0</v>
      </c>
      <c r="AG1089">
        <v>0</v>
      </c>
      <c r="AH1089" t="s">
        <v>116</v>
      </c>
      <c r="AI1089" s="1">
        <v>61988</v>
      </c>
      <c r="AJ1089" s="2">
        <v>0.18</v>
      </c>
      <c r="AK1089" s="1">
        <v>345965</v>
      </c>
      <c r="AL1089" t="s">
        <v>117</v>
      </c>
      <c r="AM1089" t="s">
        <v>118</v>
      </c>
      <c r="AN1089">
        <v>5500</v>
      </c>
      <c r="AO1089">
        <v>0.13</v>
      </c>
      <c r="AR1089">
        <v>1</v>
      </c>
      <c r="AS1089" s="1">
        <v>23720</v>
      </c>
      <c r="AT1089" s="1">
        <v>4740</v>
      </c>
      <c r="AU1089" s="1">
        <v>18980</v>
      </c>
      <c r="AV1089">
        <v>80.02</v>
      </c>
      <c r="AX1089" s="1">
        <v>2119.2800000000002</v>
      </c>
      <c r="AY1089" t="s">
        <v>3048</v>
      </c>
      <c r="AZ1089" t="s">
        <v>3049</v>
      </c>
      <c r="BA1089" t="s">
        <v>1386</v>
      </c>
      <c r="BE1089" s="3">
        <v>42264</v>
      </c>
      <c r="BF1089" s="1">
        <v>278000</v>
      </c>
      <c r="BG1089" t="s">
        <v>7310</v>
      </c>
      <c r="BH1089" s="1">
        <v>114.07</v>
      </c>
      <c r="BI1089" s="1">
        <v>283977</v>
      </c>
      <c r="BJ1089" s="3">
        <v>42264</v>
      </c>
      <c r="BK1089" t="s">
        <v>123</v>
      </c>
      <c r="BL1089" t="str">
        <f>"2015.671108"</f>
        <v>2015.671108</v>
      </c>
      <c r="BM1089" t="s">
        <v>7311</v>
      </c>
      <c r="BO1089" t="s">
        <v>7312</v>
      </c>
      <c r="BS1089">
        <v>30</v>
      </c>
      <c r="BW1089" t="str">
        <f>""</f>
        <v/>
      </c>
      <c r="CH1089" t="str">
        <f>""</f>
        <v/>
      </c>
      <c r="CS1089" t="str">
        <f>""</f>
        <v/>
      </c>
    </row>
    <row r="1090" spans="1:97" x14ac:dyDescent="0.25">
      <c r="A1090" t="s">
        <v>7313</v>
      </c>
      <c r="B1090" t="s">
        <v>7314</v>
      </c>
      <c r="C1090" t="s">
        <v>970</v>
      </c>
      <c r="D1090" t="s">
        <v>7314</v>
      </c>
      <c r="E1090" t="s">
        <v>7315</v>
      </c>
      <c r="F1090" t="s">
        <v>108</v>
      </c>
      <c r="H1090" t="s">
        <v>7316</v>
      </c>
      <c r="I1090" t="s">
        <v>374</v>
      </c>
      <c r="J1090" t="s">
        <v>111</v>
      </c>
      <c r="K1090" t="str">
        <f>"85087"</f>
        <v>85087</v>
      </c>
      <c r="L1090" t="s">
        <v>7109</v>
      </c>
      <c r="M1090" t="s">
        <v>7316</v>
      </c>
      <c r="N1090" t="s">
        <v>374</v>
      </c>
      <c r="O1090" t="s">
        <v>111</v>
      </c>
      <c r="P1090" t="str">
        <f>"85087-5959"</f>
        <v>85087-5959</v>
      </c>
      <c r="Q1090" t="s">
        <v>113</v>
      </c>
      <c r="R1090" t="str">
        <f>"202-30-357"</f>
        <v>202-30-357</v>
      </c>
      <c r="S1090" t="s">
        <v>7317</v>
      </c>
      <c r="T1090" t="s">
        <v>7096</v>
      </c>
      <c r="U1090">
        <v>2568</v>
      </c>
      <c r="V1090">
        <v>0</v>
      </c>
      <c r="W1090">
        <v>4</v>
      </c>
      <c r="X1090">
        <v>2006</v>
      </c>
      <c r="Z1090">
        <v>2</v>
      </c>
      <c r="AA1090" t="s">
        <v>26</v>
      </c>
      <c r="AB1090">
        <v>0</v>
      </c>
      <c r="AC1090" t="s">
        <v>115</v>
      </c>
      <c r="AD1090">
        <v>3</v>
      </c>
      <c r="AE1090" t="s">
        <v>115</v>
      </c>
      <c r="AF1090">
        <v>0</v>
      </c>
      <c r="AG1090">
        <v>0</v>
      </c>
      <c r="AH1090" t="s">
        <v>116</v>
      </c>
      <c r="AI1090" s="1">
        <v>89204</v>
      </c>
      <c r="AJ1090" s="2">
        <v>0.23</v>
      </c>
      <c r="AK1090" s="1">
        <v>379704</v>
      </c>
      <c r="AL1090" t="s">
        <v>117</v>
      </c>
      <c r="AM1090" t="s">
        <v>191</v>
      </c>
      <c r="AN1090">
        <v>7511</v>
      </c>
      <c r="AO1090">
        <v>0.17</v>
      </c>
      <c r="AR1090">
        <v>1</v>
      </c>
      <c r="AS1090" s="1">
        <v>27130</v>
      </c>
      <c r="AT1090" s="1">
        <v>5420</v>
      </c>
      <c r="AU1090" s="1">
        <v>21710</v>
      </c>
      <c r="AV1090">
        <v>80.02</v>
      </c>
      <c r="AX1090" s="1">
        <v>2457.2800000000002</v>
      </c>
      <c r="AY1090" t="s">
        <v>5380</v>
      </c>
      <c r="AZ1090" t="s">
        <v>5380</v>
      </c>
      <c r="BA1090" t="s">
        <v>378</v>
      </c>
      <c r="BE1090" s="3">
        <v>42339</v>
      </c>
      <c r="BF1090" s="1">
        <v>314000</v>
      </c>
      <c r="BG1090" t="s">
        <v>7318</v>
      </c>
      <c r="BH1090" s="1">
        <v>122.27</v>
      </c>
      <c r="BI1090" s="1">
        <v>290500</v>
      </c>
      <c r="BJ1090" s="3">
        <v>43196</v>
      </c>
      <c r="BK1090" t="s">
        <v>123</v>
      </c>
      <c r="BL1090" t="str">
        <f>"2018.259119"</f>
        <v>2018.259119</v>
      </c>
      <c r="BM1090" t="s">
        <v>7319</v>
      </c>
      <c r="BN1090" t="s">
        <v>7320</v>
      </c>
      <c r="BO1090" t="s">
        <v>7321</v>
      </c>
      <c r="BP1090" t="s">
        <v>7322</v>
      </c>
      <c r="BR1090" t="s">
        <v>139</v>
      </c>
      <c r="BW1090" t="str">
        <f>""</f>
        <v/>
      </c>
      <c r="CH1090" t="str">
        <f>""</f>
        <v/>
      </c>
      <c r="CS1090" t="str">
        <f>""</f>
        <v/>
      </c>
    </row>
    <row r="1091" spans="1:97" x14ac:dyDescent="0.25">
      <c r="A1091" t="s">
        <v>1444</v>
      </c>
      <c r="B1091" t="s">
        <v>1899</v>
      </c>
      <c r="E1091" t="s">
        <v>7323</v>
      </c>
      <c r="F1091" t="s">
        <v>108</v>
      </c>
      <c r="H1091" t="s">
        <v>7324</v>
      </c>
      <c r="I1091" t="s">
        <v>632</v>
      </c>
      <c r="J1091" t="s">
        <v>111</v>
      </c>
      <c r="K1091" t="str">
        <f>"85388"</f>
        <v>85388</v>
      </c>
      <c r="L1091" t="s">
        <v>5429</v>
      </c>
      <c r="M1091" t="s">
        <v>7324</v>
      </c>
      <c r="N1091" t="s">
        <v>632</v>
      </c>
      <c r="O1091" t="s">
        <v>111</v>
      </c>
      <c r="P1091" t="str">
        <f>"85388-1215"</f>
        <v>85388-1215</v>
      </c>
      <c r="Q1091" t="s">
        <v>113</v>
      </c>
      <c r="R1091" t="str">
        <f>"502-01-268"</f>
        <v>502-01-268</v>
      </c>
      <c r="S1091" t="s">
        <v>7325</v>
      </c>
      <c r="T1091" t="s">
        <v>5431</v>
      </c>
      <c r="U1091">
        <v>2185</v>
      </c>
      <c r="V1091">
        <v>0</v>
      </c>
      <c r="W1091">
        <v>3</v>
      </c>
      <c r="X1091">
        <v>2004</v>
      </c>
      <c r="Z1091">
        <v>1</v>
      </c>
      <c r="AA1091" t="s">
        <v>26</v>
      </c>
      <c r="AB1091">
        <v>0</v>
      </c>
      <c r="AC1091" t="s">
        <v>115</v>
      </c>
      <c r="AD1091">
        <v>2</v>
      </c>
      <c r="AE1091" t="s">
        <v>115</v>
      </c>
      <c r="AF1091">
        <v>0</v>
      </c>
      <c r="AG1091">
        <v>0</v>
      </c>
      <c r="AH1091" t="s">
        <v>116</v>
      </c>
      <c r="AI1091" s="1">
        <v>75070</v>
      </c>
      <c r="AJ1091" s="2">
        <v>0.24</v>
      </c>
      <c r="AK1091" s="1">
        <v>308993</v>
      </c>
      <c r="AL1091" t="s">
        <v>117</v>
      </c>
      <c r="AM1091" t="s">
        <v>118</v>
      </c>
      <c r="AN1091">
        <v>9061</v>
      </c>
      <c r="AO1091">
        <v>0.21</v>
      </c>
      <c r="AR1091">
        <v>1</v>
      </c>
      <c r="AS1091" s="1">
        <v>21950</v>
      </c>
      <c r="AT1091" s="1">
        <v>4390</v>
      </c>
      <c r="AU1091" s="1">
        <v>17560</v>
      </c>
      <c r="AV1091">
        <v>80</v>
      </c>
      <c r="AX1091" s="1">
        <v>1956.38</v>
      </c>
      <c r="AY1091" t="s">
        <v>5432</v>
      </c>
      <c r="AZ1091" t="s">
        <v>5432</v>
      </c>
      <c r="BA1091" t="s">
        <v>5109</v>
      </c>
      <c r="BE1091" s="3">
        <v>42094</v>
      </c>
      <c r="BF1091" s="1">
        <v>229000</v>
      </c>
      <c r="BG1091" t="s">
        <v>7326</v>
      </c>
      <c r="BH1091" s="1">
        <v>104.81</v>
      </c>
      <c r="BI1091" s="1">
        <v>233923</v>
      </c>
      <c r="BJ1091" s="3">
        <v>42094</v>
      </c>
      <c r="BK1091" t="s">
        <v>123</v>
      </c>
      <c r="BL1091" t="str">
        <f>"2015.219232"</f>
        <v>2015.219232</v>
      </c>
      <c r="BM1091" t="s">
        <v>2716</v>
      </c>
      <c r="BO1091" t="s">
        <v>7327</v>
      </c>
      <c r="BS1091">
        <v>30</v>
      </c>
      <c r="BW1091" t="str">
        <f>""</f>
        <v/>
      </c>
      <c r="CH1091" t="str">
        <f>""</f>
        <v/>
      </c>
      <c r="CS1091" t="str">
        <f>""</f>
        <v/>
      </c>
    </row>
    <row r="1092" spans="1:97" x14ac:dyDescent="0.25">
      <c r="A1092" t="s">
        <v>2045</v>
      </c>
      <c r="B1092" t="s">
        <v>7328</v>
      </c>
      <c r="E1092" t="s">
        <v>7329</v>
      </c>
      <c r="F1092" t="s">
        <v>108</v>
      </c>
      <c r="H1092" t="s">
        <v>7330</v>
      </c>
      <c r="I1092" t="s">
        <v>144</v>
      </c>
      <c r="J1092" t="s">
        <v>111</v>
      </c>
      <c r="K1092" t="str">
        <f>"85326"</f>
        <v>85326</v>
      </c>
      <c r="L1092" t="s">
        <v>5910</v>
      </c>
      <c r="M1092" t="s">
        <v>7330</v>
      </c>
      <c r="N1092" t="s">
        <v>144</v>
      </c>
      <c r="O1092" t="s">
        <v>111</v>
      </c>
      <c r="P1092" t="str">
        <f>"85326-1858"</f>
        <v>85326-1858</v>
      </c>
      <c r="Q1092" t="s">
        <v>113</v>
      </c>
      <c r="R1092" t="str">
        <f>"504-58-694"</f>
        <v>504-58-694</v>
      </c>
      <c r="S1092" t="s">
        <v>7331</v>
      </c>
      <c r="T1092" t="s">
        <v>7331</v>
      </c>
      <c r="U1092">
        <v>2375</v>
      </c>
      <c r="V1092">
        <v>0</v>
      </c>
      <c r="W1092">
        <v>4</v>
      </c>
      <c r="X1092">
        <v>2005</v>
      </c>
      <c r="Z1092">
        <v>2</v>
      </c>
      <c r="AA1092" t="s">
        <v>26</v>
      </c>
      <c r="AB1092">
        <v>0</v>
      </c>
      <c r="AC1092" t="s">
        <v>115</v>
      </c>
      <c r="AD1092">
        <v>2</v>
      </c>
      <c r="AE1092" t="s">
        <v>115</v>
      </c>
      <c r="AF1092">
        <v>0</v>
      </c>
      <c r="AG1092">
        <v>0</v>
      </c>
      <c r="AH1092" t="s">
        <v>116</v>
      </c>
      <c r="AI1092" s="1">
        <v>7860</v>
      </c>
      <c r="AJ1092" s="2">
        <v>0.03</v>
      </c>
      <c r="AK1092" s="1">
        <v>245860</v>
      </c>
      <c r="AL1092" t="s">
        <v>117</v>
      </c>
      <c r="AM1092" t="s">
        <v>7332</v>
      </c>
      <c r="AN1092">
        <v>5750</v>
      </c>
      <c r="AO1092">
        <v>0.13</v>
      </c>
      <c r="AR1092">
        <v>1</v>
      </c>
      <c r="AS1092" s="1">
        <v>17000</v>
      </c>
      <c r="AT1092" s="1">
        <v>3400</v>
      </c>
      <c r="AU1092" s="1">
        <v>13600</v>
      </c>
      <c r="AV1092">
        <v>80</v>
      </c>
      <c r="AX1092" s="1">
        <v>1771.72</v>
      </c>
      <c r="AY1092" t="s">
        <v>7333</v>
      </c>
      <c r="AZ1092" t="s">
        <v>7333</v>
      </c>
      <c r="BA1092" t="s">
        <v>5025</v>
      </c>
      <c r="BB1092" s="3">
        <v>43311</v>
      </c>
      <c r="BC1092" s="1">
        <v>0</v>
      </c>
      <c r="BD1092" t="s">
        <v>247</v>
      </c>
      <c r="BE1092" s="3">
        <v>42153</v>
      </c>
      <c r="BF1092" s="1">
        <v>172500</v>
      </c>
      <c r="BG1092" t="s">
        <v>7334</v>
      </c>
      <c r="BH1092" s="1">
        <v>72.63</v>
      </c>
      <c r="BI1092" s="1">
        <v>238000</v>
      </c>
      <c r="BJ1092" s="3">
        <v>43311</v>
      </c>
      <c r="BK1092" t="s">
        <v>123</v>
      </c>
      <c r="BL1092" t="str">
        <f>"2018.574297"</f>
        <v>2018.574297</v>
      </c>
      <c r="BM1092" t="s">
        <v>7335</v>
      </c>
      <c r="BN1092" t="s">
        <v>2291</v>
      </c>
      <c r="BO1092" t="s">
        <v>7336</v>
      </c>
      <c r="BR1092" t="s">
        <v>139</v>
      </c>
      <c r="BW1092" t="str">
        <f>""</f>
        <v/>
      </c>
      <c r="CH1092" t="str">
        <f>""</f>
        <v/>
      </c>
      <c r="CS1092" t="str">
        <f>""</f>
        <v/>
      </c>
    </row>
    <row r="1093" spans="1:97" x14ac:dyDescent="0.25">
      <c r="A1093" t="s">
        <v>489</v>
      </c>
      <c r="B1093" t="s">
        <v>3028</v>
      </c>
      <c r="E1093" t="s">
        <v>7337</v>
      </c>
      <c r="F1093" t="s">
        <v>108</v>
      </c>
      <c r="H1093" t="s">
        <v>7338</v>
      </c>
      <c r="I1093" t="s">
        <v>499</v>
      </c>
      <c r="J1093" t="s">
        <v>111</v>
      </c>
      <c r="K1093" t="str">
        <f>"85338"</f>
        <v>85338</v>
      </c>
      <c r="L1093" t="s">
        <v>7339</v>
      </c>
      <c r="M1093" t="s">
        <v>7338</v>
      </c>
      <c r="N1093" t="s">
        <v>499</v>
      </c>
      <c r="O1093" t="s">
        <v>111</v>
      </c>
      <c r="P1093" t="str">
        <f>"85338-5840"</f>
        <v>85338-5840</v>
      </c>
      <c r="Q1093" t="s">
        <v>113</v>
      </c>
      <c r="R1093" t="str">
        <f>"400-81-027"</f>
        <v>400-81-027</v>
      </c>
      <c r="S1093" t="s">
        <v>7340</v>
      </c>
      <c r="U1093">
        <v>2149</v>
      </c>
      <c r="V1093">
        <v>0</v>
      </c>
      <c r="W1093">
        <v>4</v>
      </c>
      <c r="X1093">
        <v>2002</v>
      </c>
      <c r="Z1093">
        <v>2</v>
      </c>
      <c r="AA1093" t="s">
        <v>26</v>
      </c>
      <c r="AB1093">
        <v>0</v>
      </c>
      <c r="AC1093" t="s">
        <v>115</v>
      </c>
      <c r="AD1093">
        <v>3</v>
      </c>
      <c r="AE1093" t="s">
        <v>115</v>
      </c>
      <c r="AF1093">
        <v>0</v>
      </c>
      <c r="AG1093">
        <v>0</v>
      </c>
      <c r="AH1093" t="s">
        <v>116</v>
      </c>
      <c r="AI1093" s="1">
        <v>74107</v>
      </c>
      <c r="AJ1093" s="2">
        <v>0.24</v>
      </c>
      <c r="AK1093" s="1">
        <v>314159</v>
      </c>
      <c r="AL1093" t="s">
        <v>117</v>
      </c>
      <c r="AM1093" t="s">
        <v>118</v>
      </c>
      <c r="AN1093">
        <v>7774</v>
      </c>
      <c r="AO1093">
        <v>0.18</v>
      </c>
      <c r="AP1093">
        <v>1</v>
      </c>
      <c r="AR1093">
        <v>1</v>
      </c>
      <c r="AS1093" s="1">
        <v>21650</v>
      </c>
      <c r="AT1093" s="1">
        <v>4330</v>
      </c>
      <c r="AU1093" s="1">
        <v>17320</v>
      </c>
      <c r="AV1093">
        <v>80</v>
      </c>
      <c r="AX1093" s="1">
        <v>2081.54</v>
      </c>
      <c r="AY1093" t="s">
        <v>1246</v>
      </c>
      <c r="AZ1093" t="s">
        <v>1246</v>
      </c>
      <c r="BA1093" t="s">
        <v>1247</v>
      </c>
      <c r="BE1093" s="3">
        <v>42433</v>
      </c>
      <c r="BF1093" s="1">
        <v>235000</v>
      </c>
      <c r="BG1093" t="s">
        <v>7341</v>
      </c>
      <c r="BH1093" s="1">
        <v>109.35</v>
      </c>
      <c r="BI1093" s="1">
        <v>240052</v>
      </c>
      <c r="BJ1093" s="3">
        <v>42433</v>
      </c>
      <c r="BK1093" t="s">
        <v>123</v>
      </c>
      <c r="BL1093" t="str">
        <f>"2016.142751"</f>
        <v>2016.142751</v>
      </c>
      <c r="BM1093" t="s">
        <v>594</v>
      </c>
      <c r="BO1093" t="s">
        <v>7342</v>
      </c>
      <c r="BS1093">
        <v>30</v>
      </c>
      <c r="BW1093" t="str">
        <f>""</f>
        <v/>
      </c>
      <c r="CH1093" t="str">
        <f>""</f>
        <v/>
      </c>
      <c r="CS1093" t="str">
        <f>""</f>
        <v/>
      </c>
    </row>
    <row r="1094" spans="1:97" x14ac:dyDescent="0.25">
      <c r="A1094" t="s">
        <v>7343</v>
      </c>
      <c r="B1094" t="s">
        <v>4123</v>
      </c>
      <c r="C1094" t="s">
        <v>7344</v>
      </c>
      <c r="D1094" t="s">
        <v>4123</v>
      </c>
      <c r="E1094" t="s">
        <v>7345</v>
      </c>
      <c r="F1094" t="s">
        <v>108</v>
      </c>
      <c r="H1094" t="s">
        <v>7346</v>
      </c>
      <c r="I1094" t="s">
        <v>6844</v>
      </c>
      <c r="J1094" t="s">
        <v>111</v>
      </c>
      <c r="K1094" t="str">
        <f>"85361"</f>
        <v>85361</v>
      </c>
      <c r="L1094" t="s">
        <v>734</v>
      </c>
      <c r="M1094" t="s">
        <v>7346</v>
      </c>
      <c r="N1094" t="s">
        <v>6844</v>
      </c>
      <c r="O1094" t="s">
        <v>111</v>
      </c>
      <c r="P1094" t="str">
        <f>"85361-8563"</f>
        <v>85361-8563</v>
      </c>
      <c r="Q1094" t="s">
        <v>113</v>
      </c>
      <c r="R1094" t="str">
        <f>"503-32-021-D"</f>
        <v>503-32-021-D</v>
      </c>
      <c r="U1094">
        <v>1945</v>
      </c>
      <c r="V1094">
        <v>0</v>
      </c>
      <c r="W1094">
        <v>3</v>
      </c>
      <c r="X1094">
        <v>2007</v>
      </c>
      <c r="Z1094">
        <v>1</v>
      </c>
      <c r="AB1094">
        <v>0</v>
      </c>
      <c r="AC1094" t="s">
        <v>115</v>
      </c>
      <c r="AD1094">
        <v>2</v>
      </c>
      <c r="AE1094" t="s">
        <v>115</v>
      </c>
      <c r="AF1094">
        <v>0</v>
      </c>
      <c r="AG1094">
        <v>0</v>
      </c>
      <c r="AH1094" t="s">
        <v>116</v>
      </c>
      <c r="AI1094" s="1">
        <v>73425</v>
      </c>
      <c r="AJ1094" s="2">
        <v>0.22</v>
      </c>
      <c r="AK1094" s="1">
        <v>331675</v>
      </c>
      <c r="AL1094" t="s">
        <v>117</v>
      </c>
      <c r="AM1094" t="s">
        <v>376</v>
      </c>
      <c r="AN1094">
        <v>49468</v>
      </c>
      <c r="AO1094">
        <v>1.1399999999999999</v>
      </c>
      <c r="AR1094">
        <v>1</v>
      </c>
      <c r="AS1094" s="1">
        <v>22430</v>
      </c>
      <c r="AT1094" s="1">
        <v>4480</v>
      </c>
      <c r="AU1094" s="1">
        <v>17950</v>
      </c>
      <c r="AV1094">
        <v>80.03</v>
      </c>
      <c r="AX1094" s="1">
        <v>1697.62</v>
      </c>
      <c r="AY1094" t="s">
        <v>6847</v>
      </c>
      <c r="AZ1094" t="s">
        <v>6847</v>
      </c>
      <c r="BE1094" s="3">
        <v>42202</v>
      </c>
      <c r="BF1094" s="1">
        <v>250000</v>
      </c>
      <c r="BG1094" t="s">
        <v>7347</v>
      </c>
      <c r="BH1094" s="1">
        <v>128.53</v>
      </c>
      <c r="BI1094" s="1">
        <v>258250</v>
      </c>
      <c r="BJ1094" s="3">
        <v>42202</v>
      </c>
      <c r="BK1094" t="s">
        <v>123</v>
      </c>
      <c r="BL1094" t="str">
        <f>"2015.514883"</f>
        <v>2015.514883</v>
      </c>
      <c r="BM1094" t="s">
        <v>820</v>
      </c>
      <c r="BO1094" t="s">
        <v>7348</v>
      </c>
      <c r="BS1094">
        <v>30</v>
      </c>
      <c r="BW1094" t="str">
        <f>""</f>
        <v/>
      </c>
      <c r="CH1094" t="str">
        <f>""</f>
        <v/>
      </c>
      <c r="CS1094" t="str">
        <f>""</f>
        <v/>
      </c>
    </row>
    <row r="1095" spans="1:97" x14ac:dyDescent="0.25">
      <c r="B1095" t="s">
        <v>7349</v>
      </c>
      <c r="E1095" t="s">
        <v>7349</v>
      </c>
      <c r="F1095" t="s">
        <v>108</v>
      </c>
      <c r="H1095" t="s">
        <v>7350</v>
      </c>
      <c r="I1095" t="s">
        <v>390</v>
      </c>
      <c r="J1095" t="s">
        <v>111</v>
      </c>
      <c r="K1095" t="str">
        <f>"85086"</f>
        <v>85086</v>
      </c>
      <c r="L1095" t="s">
        <v>7351</v>
      </c>
      <c r="M1095" t="s">
        <v>7350</v>
      </c>
      <c r="N1095" t="s">
        <v>390</v>
      </c>
      <c r="O1095" t="s">
        <v>111</v>
      </c>
      <c r="P1095" t="str">
        <f>"85086-8425"</f>
        <v>85086-8425</v>
      </c>
      <c r="Q1095" t="s">
        <v>113</v>
      </c>
      <c r="R1095" t="str">
        <f>"211-52-063-K"</f>
        <v>211-52-063-K</v>
      </c>
      <c r="U1095">
        <v>1518</v>
      </c>
      <c r="V1095">
        <v>0</v>
      </c>
      <c r="W1095">
        <v>3</v>
      </c>
      <c r="X1095">
        <v>1987</v>
      </c>
      <c r="Z1095">
        <v>1</v>
      </c>
      <c r="AB1095">
        <v>0</v>
      </c>
      <c r="AC1095" t="s">
        <v>115</v>
      </c>
      <c r="AD1095">
        <v>2</v>
      </c>
      <c r="AE1095" t="s">
        <v>115</v>
      </c>
      <c r="AF1095">
        <v>0</v>
      </c>
      <c r="AG1095">
        <v>0</v>
      </c>
      <c r="AH1095" t="s">
        <v>116</v>
      </c>
      <c r="AI1095" s="1">
        <v>106066</v>
      </c>
      <c r="AJ1095" s="2">
        <v>0.32</v>
      </c>
      <c r="AK1095" s="1">
        <v>331816</v>
      </c>
      <c r="AL1095" t="s">
        <v>117</v>
      </c>
      <c r="AM1095" t="s">
        <v>376</v>
      </c>
      <c r="AN1095">
        <v>43691</v>
      </c>
      <c r="AO1095">
        <v>1</v>
      </c>
      <c r="AP1095">
        <v>1</v>
      </c>
      <c r="AR1095">
        <v>1</v>
      </c>
      <c r="AS1095" s="1">
        <v>23550</v>
      </c>
      <c r="AT1095" s="1">
        <v>4710</v>
      </c>
      <c r="AU1095" s="1">
        <v>18840</v>
      </c>
      <c r="AV1095">
        <v>80</v>
      </c>
      <c r="AX1095" s="1">
        <v>2215.6</v>
      </c>
      <c r="AY1095" t="s">
        <v>1587</v>
      </c>
      <c r="AZ1095" t="s">
        <v>1587</v>
      </c>
      <c r="BA1095" t="s">
        <v>378</v>
      </c>
      <c r="BE1095" s="3">
        <v>42545</v>
      </c>
      <c r="BF1095" s="1">
        <v>220000</v>
      </c>
      <c r="BG1095" t="s">
        <v>7352</v>
      </c>
      <c r="BH1095" s="1">
        <v>144.93</v>
      </c>
      <c r="BI1095" s="1">
        <v>225750</v>
      </c>
      <c r="BJ1095" s="3">
        <v>42808</v>
      </c>
      <c r="BK1095" t="s">
        <v>123</v>
      </c>
      <c r="BL1095" t="str">
        <f>"2017.178481"</f>
        <v>2017.178481</v>
      </c>
      <c r="BM1095" t="s">
        <v>1695</v>
      </c>
      <c r="BO1095" t="s">
        <v>7349</v>
      </c>
      <c r="BS1095">
        <v>30</v>
      </c>
      <c r="BW1095" t="str">
        <f>""</f>
        <v/>
      </c>
      <c r="CH1095" t="str">
        <f>""</f>
        <v/>
      </c>
      <c r="CS1095" t="str">
        <f>""</f>
        <v/>
      </c>
    </row>
    <row r="1096" spans="1:97" x14ac:dyDescent="0.25">
      <c r="A1096" t="s">
        <v>7353</v>
      </c>
      <c r="B1096" t="s">
        <v>4491</v>
      </c>
      <c r="C1096" t="s">
        <v>126</v>
      </c>
      <c r="D1096" t="s">
        <v>7354</v>
      </c>
      <c r="E1096" t="s">
        <v>7355</v>
      </c>
      <c r="F1096" t="s">
        <v>108</v>
      </c>
      <c r="H1096" t="s">
        <v>7356</v>
      </c>
      <c r="I1096" t="s">
        <v>1397</v>
      </c>
      <c r="J1096" t="s">
        <v>111</v>
      </c>
      <c r="K1096" t="str">
        <f>"85331"</f>
        <v>85331</v>
      </c>
      <c r="L1096" t="s">
        <v>7357</v>
      </c>
      <c r="M1096" t="s">
        <v>7356</v>
      </c>
      <c r="N1096" t="s">
        <v>1397</v>
      </c>
      <c r="O1096" t="s">
        <v>111</v>
      </c>
      <c r="P1096" t="str">
        <f>"85331-8262"</f>
        <v>85331-8262</v>
      </c>
      <c r="Q1096" t="s">
        <v>113</v>
      </c>
      <c r="R1096" t="str">
        <f>"211-03-009-R"</f>
        <v>211-03-009-R</v>
      </c>
      <c r="U1096">
        <v>2037</v>
      </c>
      <c r="V1096">
        <v>0</v>
      </c>
      <c r="W1096">
        <v>3</v>
      </c>
      <c r="X1096">
        <v>1968</v>
      </c>
      <c r="Z1096">
        <v>1</v>
      </c>
      <c r="AA1096" t="s">
        <v>26</v>
      </c>
      <c r="AB1096">
        <v>0</v>
      </c>
      <c r="AC1096" t="s">
        <v>115</v>
      </c>
      <c r="AD1096">
        <v>2</v>
      </c>
      <c r="AE1096" t="s">
        <v>115</v>
      </c>
      <c r="AF1096">
        <v>0</v>
      </c>
      <c r="AG1096">
        <v>0</v>
      </c>
      <c r="AH1096" t="s">
        <v>116</v>
      </c>
      <c r="AI1096" s="1">
        <v>39507</v>
      </c>
      <c r="AJ1096" s="2">
        <v>0.08</v>
      </c>
      <c r="AK1096" s="1">
        <v>489532</v>
      </c>
      <c r="AL1096" t="s">
        <v>117</v>
      </c>
      <c r="AM1096" t="s">
        <v>7358</v>
      </c>
      <c r="AN1096">
        <v>92173</v>
      </c>
      <c r="AO1096">
        <v>2.12</v>
      </c>
      <c r="AP1096">
        <v>1</v>
      </c>
      <c r="AR1096">
        <v>1</v>
      </c>
      <c r="AS1096" s="1">
        <v>35970</v>
      </c>
      <c r="AT1096" s="1">
        <v>7190</v>
      </c>
      <c r="AU1096" s="1">
        <v>28780</v>
      </c>
      <c r="AV1096">
        <v>80.010000000000005</v>
      </c>
      <c r="AX1096" s="1">
        <v>1660.84</v>
      </c>
      <c r="AY1096" t="s">
        <v>7359</v>
      </c>
      <c r="AZ1096" t="s">
        <v>1402</v>
      </c>
      <c r="BA1096" t="s">
        <v>1403</v>
      </c>
      <c r="BE1096" s="3">
        <v>42549</v>
      </c>
      <c r="BF1096" s="1">
        <v>375000</v>
      </c>
      <c r="BG1096" t="s">
        <v>7360</v>
      </c>
      <c r="BH1096" s="1">
        <v>184.09</v>
      </c>
      <c r="BI1096" s="1">
        <v>370025</v>
      </c>
      <c r="BJ1096" s="3">
        <v>42846</v>
      </c>
      <c r="BK1096" t="s">
        <v>123</v>
      </c>
      <c r="BL1096" t="str">
        <f>"2017.285866"</f>
        <v>2017.285866</v>
      </c>
      <c r="BM1096" t="s">
        <v>955</v>
      </c>
      <c r="BO1096" t="s">
        <v>7361</v>
      </c>
      <c r="BP1096" t="s">
        <v>7362</v>
      </c>
      <c r="BS1096">
        <v>30</v>
      </c>
      <c r="BT1096" s="1">
        <v>52910</v>
      </c>
      <c r="BU1096" s="3">
        <v>42891</v>
      </c>
      <c r="BV1096" t="s">
        <v>134</v>
      </c>
      <c r="BW1096" t="str">
        <f>"2017.406867"</f>
        <v>2017.406867</v>
      </c>
      <c r="BX1096" t="s">
        <v>4945</v>
      </c>
      <c r="BZ1096" t="s">
        <v>7361</v>
      </c>
      <c r="CA1096" t="s">
        <v>7362</v>
      </c>
      <c r="CD1096">
        <v>15</v>
      </c>
      <c r="CE1096" s="1">
        <v>27090</v>
      </c>
      <c r="CF1096" s="3">
        <v>42891</v>
      </c>
      <c r="CG1096" t="s">
        <v>134</v>
      </c>
      <c r="CH1096" t="str">
        <f>"2017.406868"</f>
        <v>2017.406868</v>
      </c>
      <c r="CI1096" t="s">
        <v>4945</v>
      </c>
      <c r="CK1096" t="s">
        <v>7361</v>
      </c>
      <c r="CL1096" t="s">
        <v>7362</v>
      </c>
      <c r="CO1096">
        <v>10</v>
      </c>
      <c r="CS1096" t="str">
        <f>""</f>
        <v/>
      </c>
    </row>
    <row r="1097" spans="1:97" x14ac:dyDescent="0.25">
      <c r="A1097" t="s">
        <v>177</v>
      </c>
      <c r="B1097" t="s">
        <v>7363</v>
      </c>
      <c r="C1097" t="s">
        <v>7364</v>
      </c>
      <c r="D1097" t="s">
        <v>7363</v>
      </c>
      <c r="E1097" t="s">
        <v>7365</v>
      </c>
      <c r="F1097" t="s">
        <v>108</v>
      </c>
      <c r="H1097" t="s">
        <v>7366</v>
      </c>
      <c r="I1097" t="s">
        <v>188</v>
      </c>
      <c r="J1097" t="s">
        <v>111</v>
      </c>
      <c r="K1097" t="str">
        <f>"85142"</f>
        <v>85142</v>
      </c>
      <c r="L1097" t="s">
        <v>3151</v>
      </c>
      <c r="M1097" t="s">
        <v>7366</v>
      </c>
      <c r="N1097" t="s">
        <v>188</v>
      </c>
      <c r="O1097" t="s">
        <v>111</v>
      </c>
      <c r="P1097" t="str">
        <f>"85142-7211"</f>
        <v>85142-7211</v>
      </c>
      <c r="Q1097" t="s">
        <v>113</v>
      </c>
      <c r="R1097" t="str">
        <f>"304-90-057-G"</f>
        <v>304-90-057-G</v>
      </c>
      <c r="U1097">
        <v>1191</v>
      </c>
      <c r="V1097">
        <v>0</v>
      </c>
      <c r="W1097">
        <v>2</v>
      </c>
      <c r="X1097">
        <v>2000</v>
      </c>
      <c r="Z1097">
        <v>1</v>
      </c>
      <c r="AB1097">
        <v>0</v>
      </c>
      <c r="AC1097" t="s">
        <v>115</v>
      </c>
      <c r="AD1097">
        <v>1</v>
      </c>
      <c r="AE1097" t="s">
        <v>115</v>
      </c>
      <c r="AF1097">
        <v>0</v>
      </c>
      <c r="AG1097">
        <v>0</v>
      </c>
      <c r="AH1097" t="s">
        <v>116</v>
      </c>
      <c r="AI1097" s="1">
        <v>72331</v>
      </c>
      <c r="AJ1097" s="2">
        <v>0.25</v>
      </c>
      <c r="AK1097" s="1">
        <v>284597</v>
      </c>
      <c r="AL1097" t="s">
        <v>117</v>
      </c>
      <c r="AM1097" t="s">
        <v>376</v>
      </c>
      <c r="AN1097">
        <v>40294</v>
      </c>
      <c r="AO1097">
        <v>0.92</v>
      </c>
      <c r="AP1097">
        <v>1</v>
      </c>
      <c r="AR1097">
        <v>1</v>
      </c>
      <c r="AS1097" s="1">
        <v>19610</v>
      </c>
      <c r="AT1097" s="1">
        <v>3920</v>
      </c>
      <c r="AU1097" s="1">
        <v>15690</v>
      </c>
      <c r="AV1097">
        <v>80.010000000000005</v>
      </c>
      <c r="AX1097" s="1">
        <v>1670.38</v>
      </c>
      <c r="AY1097" t="s">
        <v>1074</v>
      </c>
      <c r="AZ1097" t="s">
        <v>193</v>
      </c>
      <c r="BA1097" t="s">
        <v>194</v>
      </c>
      <c r="BE1097" s="3">
        <v>41880</v>
      </c>
      <c r="BF1097" s="1">
        <v>206000</v>
      </c>
      <c r="BG1097" t="s">
        <v>7367</v>
      </c>
      <c r="BH1097" s="1">
        <v>172.96</v>
      </c>
      <c r="BI1097" s="1">
        <v>212266</v>
      </c>
      <c r="BJ1097" s="3">
        <v>42115</v>
      </c>
      <c r="BK1097" t="s">
        <v>123</v>
      </c>
      <c r="BL1097" t="str">
        <f>"2015.271495"</f>
        <v>2015.271495</v>
      </c>
      <c r="BM1097" t="s">
        <v>255</v>
      </c>
      <c r="BO1097" t="s">
        <v>7368</v>
      </c>
      <c r="BS1097">
        <v>30</v>
      </c>
      <c r="BW1097" t="str">
        <f>""</f>
        <v/>
      </c>
      <c r="CH1097" t="str">
        <f>""</f>
        <v/>
      </c>
      <c r="CS1097" t="str">
        <f>""</f>
        <v/>
      </c>
    </row>
    <row r="1098" spans="1:97" x14ac:dyDescent="0.25">
      <c r="A1098" t="s">
        <v>4574</v>
      </c>
      <c r="B1098" t="s">
        <v>1027</v>
      </c>
      <c r="E1098" t="s">
        <v>7369</v>
      </c>
      <c r="F1098" t="s">
        <v>108</v>
      </c>
      <c r="H1098" t="s">
        <v>7370</v>
      </c>
      <c r="I1098" t="s">
        <v>110</v>
      </c>
      <c r="J1098" t="s">
        <v>111</v>
      </c>
      <c r="K1098" t="str">
        <f>"85286"</f>
        <v>85286</v>
      </c>
      <c r="L1098" t="s">
        <v>375</v>
      </c>
      <c r="M1098" t="s">
        <v>7370</v>
      </c>
      <c r="N1098" t="s">
        <v>110</v>
      </c>
      <c r="O1098" t="s">
        <v>111</v>
      </c>
      <c r="P1098" t="str">
        <f>"85286-5711"</f>
        <v>85286-5711</v>
      </c>
      <c r="Q1098" t="s">
        <v>113</v>
      </c>
      <c r="R1098" t="str">
        <f>"304-56-584"</f>
        <v>304-56-584</v>
      </c>
      <c r="S1098" t="s">
        <v>7371</v>
      </c>
      <c r="T1098" t="s">
        <v>7372</v>
      </c>
      <c r="U1098">
        <v>2512</v>
      </c>
      <c r="V1098">
        <v>0</v>
      </c>
      <c r="W1098">
        <v>4</v>
      </c>
      <c r="X1098">
        <v>2005</v>
      </c>
      <c r="Z1098">
        <v>2</v>
      </c>
      <c r="AB1098">
        <v>0</v>
      </c>
      <c r="AC1098" t="s">
        <v>115</v>
      </c>
      <c r="AD1098">
        <v>3</v>
      </c>
      <c r="AE1098" t="s">
        <v>115</v>
      </c>
      <c r="AF1098">
        <v>0</v>
      </c>
      <c r="AG1098">
        <v>0</v>
      </c>
      <c r="AH1098" t="s">
        <v>116</v>
      </c>
      <c r="AI1098" s="1">
        <v>54914</v>
      </c>
      <c r="AJ1098" s="2">
        <v>0.14000000000000001</v>
      </c>
      <c r="AK1098" s="1">
        <v>386799</v>
      </c>
      <c r="AL1098" t="s">
        <v>117</v>
      </c>
      <c r="AM1098" t="s">
        <v>118</v>
      </c>
      <c r="AN1098">
        <v>7596</v>
      </c>
      <c r="AO1098">
        <v>0.17</v>
      </c>
      <c r="AP1098">
        <v>1</v>
      </c>
      <c r="AR1098">
        <v>1</v>
      </c>
      <c r="AS1098" s="1">
        <v>27250</v>
      </c>
      <c r="AT1098" s="1">
        <v>5450</v>
      </c>
      <c r="AU1098" s="1">
        <v>21800</v>
      </c>
      <c r="AV1098">
        <v>80</v>
      </c>
      <c r="AX1098" s="1">
        <v>2291.2399999999998</v>
      </c>
      <c r="AY1098" t="s">
        <v>737</v>
      </c>
      <c r="AZ1098" t="s">
        <v>120</v>
      </c>
      <c r="BA1098" t="s">
        <v>303</v>
      </c>
      <c r="BE1098" s="3">
        <v>42432</v>
      </c>
      <c r="BF1098" s="1">
        <v>324900</v>
      </c>
      <c r="BG1098" t="s">
        <v>7373</v>
      </c>
      <c r="BH1098" s="1">
        <v>129.34</v>
      </c>
      <c r="BI1098" s="1">
        <v>331885</v>
      </c>
      <c r="BJ1098" s="3">
        <v>42432</v>
      </c>
      <c r="BK1098" t="s">
        <v>123</v>
      </c>
      <c r="BL1098" t="str">
        <f>"2016.138270"</f>
        <v>2016.138270</v>
      </c>
      <c r="BM1098" t="s">
        <v>4014</v>
      </c>
      <c r="BO1098" t="s">
        <v>7374</v>
      </c>
      <c r="BS1098">
        <v>30</v>
      </c>
      <c r="BW1098" t="str">
        <f>""</f>
        <v/>
      </c>
      <c r="CH1098" t="str">
        <f>""</f>
        <v/>
      </c>
      <c r="CS1098" t="str">
        <f>""</f>
        <v/>
      </c>
    </row>
    <row r="1099" spans="1:97" x14ac:dyDescent="0.25">
      <c r="A1099" t="s">
        <v>1067</v>
      </c>
      <c r="B1099" t="s">
        <v>2692</v>
      </c>
      <c r="C1099" t="s">
        <v>2793</v>
      </c>
      <c r="D1099" t="s">
        <v>2692</v>
      </c>
      <c r="E1099" t="s">
        <v>7375</v>
      </c>
      <c r="F1099" t="s">
        <v>108</v>
      </c>
      <c r="H1099" t="s">
        <v>7376</v>
      </c>
      <c r="I1099" t="s">
        <v>453</v>
      </c>
      <c r="J1099" t="s">
        <v>111</v>
      </c>
      <c r="K1099" t="str">
        <f>"85382"</f>
        <v>85382</v>
      </c>
      <c r="L1099" t="s">
        <v>4159</v>
      </c>
      <c r="M1099" t="s">
        <v>7376</v>
      </c>
      <c r="N1099" t="s">
        <v>453</v>
      </c>
      <c r="O1099" t="s">
        <v>111</v>
      </c>
      <c r="P1099" t="str">
        <f>"85382-3442"</f>
        <v>85382-3442</v>
      </c>
      <c r="Q1099" t="s">
        <v>113</v>
      </c>
      <c r="R1099" t="str">
        <f>"200-18-925"</f>
        <v>200-18-925</v>
      </c>
      <c r="S1099" t="s">
        <v>7377</v>
      </c>
      <c r="U1099">
        <v>2337</v>
      </c>
      <c r="V1099">
        <v>0</v>
      </c>
      <c r="W1099">
        <v>4</v>
      </c>
      <c r="X1099">
        <v>2000</v>
      </c>
      <c r="Z1099">
        <v>2</v>
      </c>
      <c r="AB1099">
        <v>0</v>
      </c>
      <c r="AC1099" t="s">
        <v>115</v>
      </c>
      <c r="AD1099">
        <v>2</v>
      </c>
      <c r="AE1099" t="s">
        <v>115</v>
      </c>
      <c r="AF1099">
        <v>0</v>
      </c>
      <c r="AG1099">
        <v>0</v>
      </c>
      <c r="AH1099" t="s">
        <v>116</v>
      </c>
      <c r="AI1099" s="1">
        <v>122710</v>
      </c>
      <c r="AJ1099" s="2">
        <v>0.35</v>
      </c>
      <c r="AK1099" s="1">
        <v>351401</v>
      </c>
      <c r="AL1099" t="s">
        <v>117</v>
      </c>
      <c r="AM1099" t="s">
        <v>118</v>
      </c>
      <c r="AN1099">
        <v>9249</v>
      </c>
      <c r="AO1099">
        <v>0.21</v>
      </c>
      <c r="AP1099">
        <v>1</v>
      </c>
      <c r="AR1099">
        <v>1</v>
      </c>
      <c r="AS1099" s="1">
        <v>23530</v>
      </c>
      <c r="AT1099" s="1">
        <v>4700</v>
      </c>
      <c r="AU1099" s="1">
        <v>18830</v>
      </c>
      <c r="AV1099">
        <v>80.03</v>
      </c>
      <c r="AX1099" s="1">
        <v>2064.86</v>
      </c>
      <c r="AY1099" t="s">
        <v>4218</v>
      </c>
      <c r="AZ1099" t="s">
        <v>4218</v>
      </c>
      <c r="BA1099" t="s">
        <v>4219</v>
      </c>
      <c r="BE1099" s="3">
        <v>41682</v>
      </c>
      <c r="BF1099" s="1">
        <v>270000</v>
      </c>
      <c r="BG1099" t="s">
        <v>7378</v>
      </c>
      <c r="BH1099" s="1">
        <v>115.53</v>
      </c>
      <c r="BI1099" s="1">
        <v>228691</v>
      </c>
      <c r="BJ1099" s="3">
        <v>42597</v>
      </c>
      <c r="BK1099" t="s">
        <v>123</v>
      </c>
      <c r="BL1099" t="str">
        <f>"2016.581927"</f>
        <v>2016.581927</v>
      </c>
      <c r="BM1099" t="s">
        <v>544</v>
      </c>
      <c r="BO1099" t="s">
        <v>7379</v>
      </c>
      <c r="BS1099">
        <v>30</v>
      </c>
      <c r="BW1099" t="str">
        <f>""</f>
        <v/>
      </c>
      <c r="CH1099" t="str">
        <f>""</f>
        <v/>
      </c>
      <c r="CS1099" t="str">
        <f>""</f>
        <v/>
      </c>
    </row>
    <row r="1100" spans="1:97" x14ac:dyDescent="0.25">
      <c r="B1100" t="s">
        <v>7380</v>
      </c>
      <c r="E1100" t="s">
        <v>7380</v>
      </c>
      <c r="F1100" t="s">
        <v>282</v>
      </c>
      <c r="H1100" t="s">
        <v>7381</v>
      </c>
      <c r="I1100" t="s">
        <v>203</v>
      </c>
      <c r="J1100" t="s">
        <v>111</v>
      </c>
      <c r="K1100" t="str">
        <f>"85298"</f>
        <v>85298</v>
      </c>
      <c r="L1100" t="s">
        <v>721</v>
      </c>
      <c r="M1100" t="s">
        <v>7382</v>
      </c>
      <c r="N1100" t="s">
        <v>7383</v>
      </c>
      <c r="O1100" t="s">
        <v>360</v>
      </c>
      <c r="P1100" t="str">
        <f>"94565-7677"</f>
        <v>94565-7677</v>
      </c>
      <c r="Q1100" t="s">
        <v>113</v>
      </c>
      <c r="R1100" t="str">
        <f>"304-79-200"</f>
        <v>304-79-200</v>
      </c>
      <c r="S1100" t="s">
        <v>7384</v>
      </c>
      <c r="T1100" t="s">
        <v>7384</v>
      </c>
      <c r="U1100">
        <v>3912</v>
      </c>
      <c r="V1100">
        <v>0</v>
      </c>
      <c r="W1100">
        <v>4</v>
      </c>
      <c r="X1100">
        <v>2004</v>
      </c>
      <c r="Z1100">
        <v>2</v>
      </c>
      <c r="AA1100" t="s">
        <v>26</v>
      </c>
      <c r="AB1100">
        <v>0</v>
      </c>
      <c r="AC1100" t="s">
        <v>115</v>
      </c>
      <c r="AD1100">
        <v>3</v>
      </c>
      <c r="AE1100" t="s">
        <v>115</v>
      </c>
      <c r="AF1100">
        <v>0</v>
      </c>
      <c r="AG1100">
        <v>0</v>
      </c>
      <c r="AH1100" t="s">
        <v>116</v>
      </c>
      <c r="AI1100" s="1">
        <v>151895</v>
      </c>
      <c r="AJ1100" s="2">
        <v>0.31</v>
      </c>
      <c r="AK1100" s="1">
        <v>491795</v>
      </c>
      <c r="AL1100" t="s">
        <v>117</v>
      </c>
      <c r="AM1100" t="s">
        <v>393</v>
      </c>
      <c r="AN1100">
        <v>9139</v>
      </c>
      <c r="AO1100">
        <v>0.21</v>
      </c>
      <c r="AP1100">
        <v>1</v>
      </c>
      <c r="AR1100">
        <v>1</v>
      </c>
      <c r="AS1100" s="1">
        <v>32730</v>
      </c>
      <c r="AT1100" s="1">
        <v>6540</v>
      </c>
      <c r="AU1100" s="1">
        <v>26190</v>
      </c>
      <c r="AV1100">
        <v>80.02</v>
      </c>
      <c r="AX1100" s="1">
        <v>3224.24</v>
      </c>
      <c r="AY1100" t="s">
        <v>272</v>
      </c>
      <c r="AZ1100" t="s">
        <v>273</v>
      </c>
      <c r="BA1100" t="s">
        <v>274</v>
      </c>
      <c r="BE1100" s="3">
        <v>42401</v>
      </c>
      <c r="BF1100" s="1">
        <v>415000</v>
      </c>
      <c r="BG1100" t="s">
        <v>7385</v>
      </c>
      <c r="BH1100" s="1">
        <v>106.08</v>
      </c>
      <c r="BI1100" s="1">
        <v>339900</v>
      </c>
      <c r="BJ1100" s="3">
        <v>42487</v>
      </c>
      <c r="BK1100" t="s">
        <v>123</v>
      </c>
      <c r="BL1100" t="str">
        <f>"2016.279951"</f>
        <v>2016.279951</v>
      </c>
      <c r="BM1100" t="s">
        <v>361</v>
      </c>
      <c r="BO1100" t="s">
        <v>7386</v>
      </c>
      <c r="BS1100">
        <v>30</v>
      </c>
      <c r="BW1100" t="str">
        <f>""</f>
        <v/>
      </c>
      <c r="CH1100" t="str">
        <f>""</f>
        <v/>
      </c>
      <c r="CS1100" t="str">
        <f>""</f>
        <v/>
      </c>
    </row>
    <row r="1101" spans="1:97" x14ac:dyDescent="0.25">
      <c r="A1101" t="s">
        <v>7387</v>
      </c>
      <c r="B1101" t="s">
        <v>3333</v>
      </c>
      <c r="E1101" t="s">
        <v>7388</v>
      </c>
      <c r="F1101" t="s">
        <v>108</v>
      </c>
      <c r="H1101" t="s">
        <v>7389</v>
      </c>
      <c r="I1101" t="s">
        <v>188</v>
      </c>
      <c r="J1101" t="s">
        <v>111</v>
      </c>
      <c r="K1101" t="str">
        <f>"85142"</f>
        <v>85142</v>
      </c>
      <c r="L1101" t="s">
        <v>5456</v>
      </c>
      <c r="M1101" t="s">
        <v>7389</v>
      </c>
      <c r="N1101" t="s">
        <v>188</v>
      </c>
      <c r="O1101" t="s">
        <v>111</v>
      </c>
      <c r="P1101" t="str">
        <f>"85142-6008"</f>
        <v>85142-6008</v>
      </c>
      <c r="Q1101" t="s">
        <v>113</v>
      </c>
      <c r="R1101" t="str">
        <f>"304-67-096"</f>
        <v>304-67-096</v>
      </c>
      <c r="S1101" t="s">
        <v>7390</v>
      </c>
      <c r="T1101" t="s">
        <v>7391</v>
      </c>
      <c r="U1101">
        <v>2873</v>
      </c>
      <c r="V1101">
        <v>0</v>
      </c>
      <c r="W1101">
        <v>4</v>
      </c>
      <c r="X1101">
        <v>1998</v>
      </c>
      <c r="Z1101">
        <v>2</v>
      </c>
      <c r="AA1101" t="s">
        <v>26</v>
      </c>
      <c r="AB1101">
        <v>0</v>
      </c>
      <c r="AC1101" t="s">
        <v>115</v>
      </c>
      <c r="AD1101">
        <v>2</v>
      </c>
      <c r="AE1101" t="s">
        <v>115</v>
      </c>
      <c r="AF1101">
        <v>0</v>
      </c>
      <c r="AG1101">
        <v>0</v>
      </c>
      <c r="AH1101" t="s">
        <v>116</v>
      </c>
      <c r="AI1101" s="1">
        <v>70994</v>
      </c>
      <c r="AJ1101" s="2">
        <v>0.16</v>
      </c>
      <c r="AK1101" s="1">
        <v>451138</v>
      </c>
      <c r="AL1101" t="s">
        <v>117</v>
      </c>
      <c r="AM1101" t="s">
        <v>171</v>
      </c>
      <c r="AN1101">
        <v>10080</v>
      </c>
      <c r="AO1101">
        <v>0.23</v>
      </c>
      <c r="AP1101">
        <v>1</v>
      </c>
      <c r="AR1101">
        <v>1</v>
      </c>
      <c r="AS1101" s="1">
        <v>31550</v>
      </c>
      <c r="AT1101" s="1">
        <v>6310</v>
      </c>
      <c r="AU1101" s="1">
        <v>25240</v>
      </c>
      <c r="AV1101">
        <v>80</v>
      </c>
      <c r="AX1101" s="1">
        <v>3213.76</v>
      </c>
      <c r="AY1101" t="s">
        <v>192</v>
      </c>
      <c r="AZ1101" t="s">
        <v>193</v>
      </c>
      <c r="BA1101" t="s">
        <v>194</v>
      </c>
      <c r="BB1101" s="3">
        <v>43329</v>
      </c>
      <c r="BC1101" s="1">
        <v>0</v>
      </c>
      <c r="BD1101" t="s">
        <v>247</v>
      </c>
      <c r="BE1101" s="3">
        <v>42508</v>
      </c>
      <c r="BF1101" s="1">
        <v>368000</v>
      </c>
      <c r="BG1101" t="s">
        <v>7392</v>
      </c>
      <c r="BH1101" s="1">
        <v>128.09</v>
      </c>
      <c r="BI1101" s="1">
        <v>380144</v>
      </c>
      <c r="BJ1101" s="3">
        <v>42508</v>
      </c>
      <c r="BK1101" t="s">
        <v>123</v>
      </c>
      <c r="BL1101" t="str">
        <f>"2016.342669"</f>
        <v>2016.342669</v>
      </c>
      <c r="BM1101" t="s">
        <v>196</v>
      </c>
      <c r="BN1101" t="s">
        <v>1442</v>
      </c>
      <c r="BO1101" t="s">
        <v>7393</v>
      </c>
      <c r="BS1101">
        <v>30</v>
      </c>
      <c r="BW1101" t="str">
        <f>""</f>
        <v/>
      </c>
      <c r="CH1101" t="str">
        <f>""</f>
        <v/>
      </c>
      <c r="CS1101" t="str">
        <f>""</f>
        <v/>
      </c>
    </row>
    <row r="1102" spans="1:97" x14ac:dyDescent="0.25">
      <c r="A1102" t="s">
        <v>325</v>
      </c>
      <c r="B1102" t="s">
        <v>3689</v>
      </c>
      <c r="C1102" t="s">
        <v>7394</v>
      </c>
      <c r="D1102" t="s">
        <v>3689</v>
      </c>
      <c r="E1102" t="s">
        <v>7395</v>
      </c>
      <c r="F1102" t="s">
        <v>108</v>
      </c>
      <c r="H1102" t="s">
        <v>7396</v>
      </c>
      <c r="I1102" t="s">
        <v>3150</v>
      </c>
      <c r="J1102" t="s">
        <v>111</v>
      </c>
      <c r="K1102" t="str">
        <f>"85340"</f>
        <v>85340</v>
      </c>
      <c r="L1102" t="s">
        <v>5239</v>
      </c>
      <c r="M1102" t="s">
        <v>7396</v>
      </c>
      <c r="N1102" t="s">
        <v>3150</v>
      </c>
      <c r="O1102" t="s">
        <v>111</v>
      </c>
      <c r="P1102" t="str">
        <f>"85340-9345"</f>
        <v>85340-9345</v>
      </c>
      <c r="Q1102" t="s">
        <v>113</v>
      </c>
      <c r="R1102" t="str">
        <f>"501-56-437"</f>
        <v>501-56-437</v>
      </c>
      <c r="S1102" t="s">
        <v>7397</v>
      </c>
      <c r="T1102" t="s">
        <v>7397</v>
      </c>
      <c r="U1102">
        <v>2851</v>
      </c>
      <c r="V1102">
        <v>0</v>
      </c>
      <c r="W1102">
        <v>4</v>
      </c>
      <c r="X1102">
        <v>2014</v>
      </c>
      <c r="Z1102">
        <v>1</v>
      </c>
      <c r="AB1102">
        <v>0</v>
      </c>
      <c r="AC1102" t="s">
        <v>115</v>
      </c>
      <c r="AD1102">
        <v>3</v>
      </c>
      <c r="AE1102" t="s">
        <v>115</v>
      </c>
      <c r="AF1102">
        <v>0</v>
      </c>
      <c r="AG1102">
        <v>0</v>
      </c>
      <c r="AH1102" t="s">
        <v>116</v>
      </c>
      <c r="AI1102" s="1">
        <v>-19025</v>
      </c>
      <c r="AJ1102" s="2">
        <v>-0.04</v>
      </c>
      <c r="AK1102" s="1">
        <v>440975</v>
      </c>
      <c r="AL1102" t="s">
        <v>117</v>
      </c>
      <c r="AM1102" t="s">
        <v>376</v>
      </c>
      <c r="AN1102">
        <v>32802</v>
      </c>
      <c r="AO1102">
        <v>0.75</v>
      </c>
      <c r="AR1102">
        <v>1</v>
      </c>
      <c r="AS1102" s="1">
        <v>35680</v>
      </c>
      <c r="AT1102" s="1">
        <v>7130</v>
      </c>
      <c r="AU1102" s="1">
        <v>28550</v>
      </c>
      <c r="AV1102">
        <v>80.02</v>
      </c>
      <c r="AX1102" s="1">
        <v>2520.36</v>
      </c>
      <c r="AY1102" t="s">
        <v>5241</v>
      </c>
      <c r="AZ1102" t="s">
        <v>3153</v>
      </c>
      <c r="BA1102" t="s">
        <v>3154</v>
      </c>
      <c r="BB1102" s="3">
        <v>42606</v>
      </c>
      <c r="BD1102" t="s">
        <v>458</v>
      </c>
      <c r="BE1102" s="3">
        <v>41983</v>
      </c>
      <c r="BF1102" s="1">
        <v>394278</v>
      </c>
      <c r="BG1102" t="s">
        <v>158</v>
      </c>
      <c r="BH1102" s="1">
        <v>138.29</v>
      </c>
      <c r="BI1102" s="1">
        <v>460000</v>
      </c>
      <c r="BJ1102" s="3">
        <v>43546</v>
      </c>
      <c r="BK1102" t="s">
        <v>123</v>
      </c>
      <c r="BL1102" t="str">
        <f>"2019.199358"</f>
        <v>2019.199358</v>
      </c>
      <c r="BM1102" t="s">
        <v>6896</v>
      </c>
      <c r="BN1102" t="s">
        <v>1371</v>
      </c>
      <c r="BO1102" t="s">
        <v>7398</v>
      </c>
      <c r="BP1102" t="s">
        <v>7399</v>
      </c>
      <c r="BR1102" t="s">
        <v>139</v>
      </c>
      <c r="BW1102" t="str">
        <f>""</f>
        <v/>
      </c>
      <c r="CH1102" t="str">
        <f>""</f>
        <v/>
      </c>
      <c r="CS1102" t="str">
        <f>""</f>
        <v/>
      </c>
    </row>
    <row r="1103" spans="1:97" x14ac:dyDescent="0.25">
      <c r="A1103" t="s">
        <v>695</v>
      </c>
      <c r="B1103" t="s">
        <v>7400</v>
      </c>
      <c r="C1103" t="s">
        <v>1021</v>
      </c>
      <c r="D1103" t="s">
        <v>7400</v>
      </c>
      <c r="E1103" t="s">
        <v>7401</v>
      </c>
      <c r="F1103" t="s">
        <v>108</v>
      </c>
      <c r="H1103" t="s">
        <v>7402</v>
      </c>
      <c r="I1103" t="s">
        <v>188</v>
      </c>
      <c r="J1103" t="s">
        <v>111</v>
      </c>
      <c r="K1103" t="str">
        <f>"85142"</f>
        <v>85142</v>
      </c>
      <c r="L1103" t="s">
        <v>2197</v>
      </c>
      <c r="M1103" t="s">
        <v>7402</v>
      </c>
      <c r="N1103" t="s">
        <v>188</v>
      </c>
      <c r="O1103" t="s">
        <v>111</v>
      </c>
      <c r="P1103" t="str">
        <f>"85142-6251"</f>
        <v>85142-6251</v>
      </c>
      <c r="Q1103" t="s">
        <v>113</v>
      </c>
      <c r="R1103" t="str">
        <f>"304-89-416"</f>
        <v>304-89-416</v>
      </c>
      <c r="S1103" t="s">
        <v>7403</v>
      </c>
      <c r="T1103" t="s">
        <v>7403</v>
      </c>
      <c r="U1103">
        <v>2722</v>
      </c>
      <c r="V1103">
        <v>0</v>
      </c>
      <c r="W1103">
        <v>5</v>
      </c>
      <c r="X1103">
        <v>2014</v>
      </c>
      <c r="Z1103">
        <v>1</v>
      </c>
      <c r="AA1103" t="s">
        <v>26</v>
      </c>
      <c r="AB1103">
        <v>0</v>
      </c>
      <c r="AC1103" t="s">
        <v>115</v>
      </c>
      <c r="AD1103">
        <v>3</v>
      </c>
      <c r="AE1103" t="s">
        <v>115</v>
      </c>
      <c r="AF1103">
        <v>0</v>
      </c>
      <c r="AG1103">
        <v>0</v>
      </c>
      <c r="AH1103" t="s">
        <v>116</v>
      </c>
      <c r="AI1103" s="1">
        <v>128557</v>
      </c>
      <c r="AJ1103" s="2">
        <v>0.3</v>
      </c>
      <c r="AK1103" s="1">
        <v>427773</v>
      </c>
      <c r="AL1103" t="s">
        <v>117</v>
      </c>
      <c r="AM1103" t="s">
        <v>393</v>
      </c>
      <c r="AN1103">
        <v>7800</v>
      </c>
      <c r="AO1103">
        <v>0.18</v>
      </c>
      <c r="AR1103">
        <v>1</v>
      </c>
      <c r="AS1103" s="1">
        <v>32330</v>
      </c>
      <c r="AT1103" s="1">
        <v>6460</v>
      </c>
      <c r="AU1103" s="1">
        <v>25870</v>
      </c>
      <c r="AV1103">
        <v>80.02</v>
      </c>
      <c r="AX1103" s="1">
        <v>3074</v>
      </c>
      <c r="AY1103" t="s">
        <v>192</v>
      </c>
      <c r="AZ1103" t="s">
        <v>193</v>
      </c>
      <c r="BA1103" t="s">
        <v>194</v>
      </c>
      <c r="BE1103" s="3">
        <v>42060</v>
      </c>
      <c r="BF1103" s="1">
        <v>299216</v>
      </c>
      <c r="BG1103" t="s">
        <v>562</v>
      </c>
      <c r="BH1103" s="1">
        <v>109.93</v>
      </c>
      <c r="BI1103" s="1">
        <v>299216</v>
      </c>
      <c r="BJ1103" s="3">
        <v>42060</v>
      </c>
      <c r="BK1103" t="s">
        <v>123</v>
      </c>
      <c r="BL1103" t="str">
        <f>"2015.122139"</f>
        <v>2015.122139</v>
      </c>
      <c r="BM1103" t="s">
        <v>131</v>
      </c>
      <c r="BO1103" t="s">
        <v>7404</v>
      </c>
      <c r="BS1103">
        <v>30</v>
      </c>
      <c r="BW1103" t="str">
        <f>""</f>
        <v/>
      </c>
      <c r="CH1103" t="str">
        <f>""</f>
        <v/>
      </c>
      <c r="CS1103" t="str">
        <f>""</f>
        <v/>
      </c>
    </row>
    <row r="1104" spans="1:97" x14ac:dyDescent="0.25">
      <c r="A1104" t="s">
        <v>7405</v>
      </c>
      <c r="B1104" t="s">
        <v>3265</v>
      </c>
      <c r="C1104" t="s">
        <v>7406</v>
      </c>
      <c r="D1104" t="s">
        <v>3265</v>
      </c>
      <c r="E1104" t="s">
        <v>7407</v>
      </c>
      <c r="F1104" t="s">
        <v>108</v>
      </c>
      <c r="H1104" t="s">
        <v>7408</v>
      </c>
      <c r="I1104" t="s">
        <v>110</v>
      </c>
      <c r="J1104" t="s">
        <v>111</v>
      </c>
      <c r="K1104" t="str">
        <f>"85249"</f>
        <v>85249</v>
      </c>
      <c r="L1104" t="s">
        <v>3225</v>
      </c>
      <c r="M1104" t="s">
        <v>7408</v>
      </c>
      <c r="N1104" t="s">
        <v>110</v>
      </c>
      <c r="O1104" t="s">
        <v>111</v>
      </c>
      <c r="P1104" t="str">
        <f>"85249-7111"</f>
        <v>85249-7111</v>
      </c>
      <c r="Q1104" t="s">
        <v>113</v>
      </c>
      <c r="R1104" t="str">
        <f>"304-84-777"</f>
        <v>304-84-777</v>
      </c>
      <c r="S1104" t="s">
        <v>7409</v>
      </c>
      <c r="U1104">
        <v>2612</v>
      </c>
      <c r="V1104">
        <v>0</v>
      </c>
      <c r="W1104">
        <v>3</v>
      </c>
      <c r="X1104">
        <v>2003</v>
      </c>
      <c r="Z1104">
        <v>1</v>
      </c>
      <c r="AA1104" t="s">
        <v>26</v>
      </c>
      <c r="AB1104">
        <v>0</v>
      </c>
      <c r="AC1104" t="s">
        <v>115</v>
      </c>
      <c r="AD1104">
        <v>2</v>
      </c>
      <c r="AE1104" t="s">
        <v>115</v>
      </c>
      <c r="AF1104">
        <v>0</v>
      </c>
      <c r="AG1104">
        <v>0</v>
      </c>
      <c r="AH1104" t="s">
        <v>116</v>
      </c>
      <c r="AI1104" s="1">
        <v>118348</v>
      </c>
      <c r="AJ1104" s="2">
        <v>0.28999999999999998</v>
      </c>
      <c r="AK1104" s="1">
        <v>405522</v>
      </c>
      <c r="AL1104" t="s">
        <v>117</v>
      </c>
      <c r="AM1104" t="s">
        <v>118</v>
      </c>
      <c r="AN1104">
        <v>9268</v>
      </c>
      <c r="AO1104">
        <v>0.21</v>
      </c>
      <c r="AP1104">
        <v>1</v>
      </c>
      <c r="AR1104">
        <v>1</v>
      </c>
      <c r="AS1104" s="1">
        <v>28800</v>
      </c>
      <c r="AT1104" s="1">
        <v>5760</v>
      </c>
      <c r="AU1104" s="1">
        <v>23040</v>
      </c>
      <c r="AV1104">
        <v>80</v>
      </c>
      <c r="AX1104" s="1">
        <v>2381.52</v>
      </c>
      <c r="AY1104" t="s">
        <v>6269</v>
      </c>
      <c r="AZ1104" t="s">
        <v>273</v>
      </c>
      <c r="BA1104" t="s">
        <v>274</v>
      </c>
      <c r="BE1104" s="3">
        <v>41912</v>
      </c>
      <c r="BF1104" s="1">
        <v>278000</v>
      </c>
      <c r="BG1104" t="s">
        <v>7410</v>
      </c>
      <c r="BH1104" s="1">
        <v>106.43</v>
      </c>
      <c r="BI1104" s="1">
        <v>287174</v>
      </c>
      <c r="BJ1104" s="3">
        <v>41912</v>
      </c>
      <c r="BK1104" t="s">
        <v>123</v>
      </c>
      <c r="BL1104" t="str">
        <f>"2014.645116"</f>
        <v>2014.645116</v>
      </c>
      <c r="BM1104" t="s">
        <v>544</v>
      </c>
      <c r="BO1104" t="s">
        <v>7411</v>
      </c>
      <c r="BS1104">
        <v>30</v>
      </c>
      <c r="BW1104" t="str">
        <f>""</f>
        <v/>
      </c>
      <c r="CH1104" t="str">
        <f>""</f>
        <v/>
      </c>
      <c r="CS1104" t="str">
        <f>""</f>
        <v/>
      </c>
    </row>
    <row r="1105" spans="1:97" x14ac:dyDescent="0.25">
      <c r="A1105" t="s">
        <v>177</v>
      </c>
      <c r="B1105" t="s">
        <v>7412</v>
      </c>
      <c r="C1105" t="s">
        <v>7413</v>
      </c>
      <c r="D1105" t="s">
        <v>7412</v>
      </c>
      <c r="E1105" t="s">
        <v>7414</v>
      </c>
      <c r="F1105" t="s">
        <v>108</v>
      </c>
      <c r="H1105" t="s">
        <v>7415</v>
      </c>
      <c r="I1105" t="s">
        <v>390</v>
      </c>
      <c r="J1105" t="s">
        <v>111</v>
      </c>
      <c r="K1105" t="str">
        <f>"85044"</f>
        <v>85044</v>
      </c>
      <c r="L1105" t="s">
        <v>2857</v>
      </c>
      <c r="M1105" t="s">
        <v>7415</v>
      </c>
      <c r="N1105" t="s">
        <v>390</v>
      </c>
      <c r="O1105" t="s">
        <v>111</v>
      </c>
      <c r="P1105" t="str">
        <f>"85044-6102"</f>
        <v>85044-6102</v>
      </c>
      <c r="Q1105" t="s">
        <v>113</v>
      </c>
      <c r="R1105" t="str">
        <f>"301-77-579-A"</f>
        <v>301-77-579-A</v>
      </c>
      <c r="S1105" t="s">
        <v>7416</v>
      </c>
      <c r="T1105" t="s">
        <v>7417</v>
      </c>
      <c r="U1105">
        <v>2061</v>
      </c>
      <c r="V1105">
        <v>0</v>
      </c>
      <c r="W1105">
        <v>4</v>
      </c>
      <c r="X1105">
        <v>1986</v>
      </c>
      <c r="Z1105">
        <v>2</v>
      </c>
      <c r="AA1105" t="s">
        <v>26</v>
      </c>
      <c r="AB1105">
        <v>0</v>
      </c>
      <c r="AC1105" t="s">
        <v>115</v>
      </c>
      <c r="AD1105">
        <v>2</v>
      </c>
      <c r="AE1105" t="s">
        <v>115</v>
      </c>
      <c r="AF1105">
        <v>0</v>
      </c>
      <c r="AG1105">
        <v>0</v>
      </c>
      <c r="AH1105" t="s">
        <v>116</v>
      </c>
      <c r="AI1105" s="1">
        <v>64062</v>
      </c>
      <c r="AJ1105" s="2">
        <v>0.17</v>
      </c>
      <c r="AK1105" s="1">
        <v>368062</v>
      </c>
      <c r="AL1105" t="s">
        <v>117</v>
      </c>
      <c r="AM1105" t="s">
        <v>191</v>
      </c>
      <c r="AN1105">
        <v>6547</v>
      </c>
      <c r="AO1105">
        <v>0.15</v>
      </c>
      <c r="AP1105">
        <v>1</v>
      </c>
      <c r="AR1105">
        <v>1</v>
      </c>
      <c r="AS1105" s="1">
        <v>26270</v>
      </c>
      <c r="AT1105" s="1">
        <v>5250</v>
      </c>
      <c r="AU1105" s="1">
        <v>21020</v>
      </c>
      <c r="AV1105">
        <v>80.02</v>
      </c>
      <c r="AX1105" s="1">
        <v>2262.58</v>
      </c>
      <c r="AY1105" t="s">
        <v>7418</v>
      </c>
      <c r="AZ1105" t="s">
        <v>7255</v>
      </c>
      <c r="BA1105" t="s">
        <v>5328</v>
      </c>
      <c r="BE1105" s="3">
        <v>41942</v>
      </c>
      <c r="BF1105" s="1">
        <v>304000</v>
      </c>
      <c r="BG1105" t="s">
        <v>7419</v>
      </c>
      <c r="BH1105" s="1">
        <v>147.5</v>
      </c>
      <c r="BI1105" s="1">
        <v>304000</v>
      </c>
      <c r="BJ1105" s="3">
        <v>41942</v>
      </c>
      <c r="BK1105" t="s">
        <v>123</v>
      </c>
      <c r="BL1105" t="str">
        <f>"2014.722134"</f>
        <v>2014.722134</v>
      </c>
      <c r="BM1105" t="s">
        <v>4738</v>
      </c>
      <c r="BO1105" t="s">
        <v>7420</v>
      </c>
      <c r="BS1105">
        <v>30</v>
      </c>
      <c r="BW1105" t="str">
        <f>""</f>
        <v/>
      </c>
      <c r="CH1105" t="str">
        <f>""</f>
        <v/>
      </c>
      <c r="CS1105" t="str">
        <f>""</f>
        <v/>
      </c>
    </row>
    <row r="1106" spans="1:97" x14ac:dyDescent="0.25">
      <c r="A1106" t="s">
        <v>370</v>
      </c>
      <c r="B1106" t="s">
        <v>7421</v>
      </c>
      <c r="C1106" t="s">
        <v>397</v>
      </c>
      <c r="D1106" t="s">
        <v>7421</v>
      </c>
      <c r="E1106" t="s">
        <v>7422</v>
      </c>
      <c r="F1106" t="s">
        <v>108</v>
      </c>
      <c r="H1106" t="s">
        <v>7423</v>
      </c>
      <c r="I1106" t="s">
        <v>390</v>
      </c>
      <c r="J1106" t="s">
        <v>111</v>
      </c>
      <c r="K1106" t="str">
        <f>"85044"</f>
        <v>85044</v>
      </c>
      <c r="L1106" t="s">
        <v>2857</v>
      </c>
      <c r="M1106" t="s">
        <v>7423</v>
      </c>
      <c r="N1106" t="s">
        <v>390</v>
      </c>
      <c r="O1106" t="s">
        <v>111</v>
      </c>
      <c r="P1106" t="str">
        <f>"85044-7136"</f>
        <v>85044-7136</v>
      </c>
      <c r="Q1106" t="s">
        <v>113</v>
      </c>
      <c r="R1106" t="str">
        <f>"306-04-090"</f>
        <v>306-04-090</v>
      </c>
      <c r="S1106" t="s">
        <v>7424</v>
      </c>
      <c r="U1106">
        <v>1632</v>
      </c>
      <c r="V1106">
        <v>0</v>
      </c>
      <c r="W1106">
        <v>3</v>
      </c>
      <c r="X1106">
        <v>1995</v>
      </c>
      <c r="Z1106">
        <v>1</v>
      </c>
      <c r="AA1106" t="s">
        <v>26</v>
      </c>
      <c r="AB1106">
        <v>0</v>
      </c>
      <c r="AC1106" t="s">
        <v>115</v>
      </c>
      <c r="AD1106">
        <v>2</v>
      </c>
      <c r="AE1106" t="s">
        <v>115</v>
      </c>
      <c r="AF1106">
        <v>0</v>
      </c>
      <c r="AG1106">
        <v>0</v>
      </c>
      <c r="AH1106" t="s">
        <v>116</v>
      </c>
      <c r="AI1106" s="1">
        <v>80028</v>
      </c>
      <c r="AJ1106" s="2">
        <v>0.25</v>
      </c>
      <c r="AK1106" s="1">
        <v>318602</v>
      </c>
      <c r="AL1106" t="s">
        <v>117</v>
      </c>
      <c r="AM1106" t="s">
        <v>191</v>
      </c>
      <c r="AN1106">
        <v>5536</v>
      </c>
      <c r="AO1106">
        <v>0.13</v>
      </c>
      <c r="AP1106">
        <v>1</v>
      </c>
      <c r="AR1106">
        <v>1</v>
      </c>
      <c r="AS1106" s="1">
        <v>23220</v>
      </c>
      <c r="AT1106" s="1">
        <v>4640</v>
      </c>
      <c r="AU1106" s="1">
        <v>18580</v>
      </c>
      <c r="AV1106">
        <v>80.02</v>
      </c>
      <c r="AX1106" s="1">
        <v>2297.2199999999998</v>
      </c>
      <c r="AY1106" t="s">
        <v>7254</v>
      </c>
      <c r="AZ1106" t="s">
        <v>7255</v>
      </c>
      <c r="BA1106" t="s">
        <v>5328</v>
      </c>
      <c r="BE1106" s="3">
        <v>41724</v>
      </c>
      <c r="BF1106" s="1">
        <v>229000</v>
      </c>
      <c r="BG1106" t="s">
        <v>7425</v>
      </c>
      <c r="BH1106" s="1">
        <v>140.32</v>
      </c>
      <c r="BI1106" s="1">
        <v>238574</v>
      </c>
      <c r="BJ1106" s="3">
        <v>42116</v>
      </c>
      <c r="BK1106" t="s">
        <v>123</v>
      </c>
      <c r="BL1106" t="str">
        <f>"2015.275004"</f>
        <v>2015.275004</v>
      </c>
      <c r="BM1106" t="s">
        <v>255</v>
      </c>
      <c r="BO1106" t="s">
        <v>7426</v>
      </c>
      <c r="BS1106">
        <v>30</v>
      </c>
      <c r="BW1106" t="str">
        <f>""</f>
        <v/>
      </c>
      <c r="CH1106" t="str">
        <f>""</f>
        <v/>
      </c>
      <c r="CS1106" t="str">
        <f>""</f>
        <v/>
      </c>
    </row>
    <row r="1107" spans="1:97" x14ac:dyDescent="0.25">
      <c r="A1107" t="s">
        <v>996</v>
      </c>
      <c r="B1107" t="s">
        <v>7427</v>
      </c>
      <c r="E1107" t="s">
        <v>7428</v>
      </c>
      <c r="F1107" t="s">
        <v>108</v>
      </c>
      <c r="H1107" t="s">
        <v>7429</v>
      </c>
      <c r="I1107" t="s">
        <v>225</v>
      </c>
      <c r="J1107" t="s">
        <v>111</v>
      </c>
      <c r="K1107" t="str">
        <f>"85202"</f>
        <v>85202</v>
      </c>
      <c r="L1107" t="s">
        <v>5185</v>
      </c>
      <c r="M1107" t="s">
        <v>7429</v>
      </c>
      <c r="N1107" t="s">
        <v>225</v>
      </c>
      <c r="O1107" t="s">
        <v>111</v>
      </c>
      <c r="P1107" t="str">
        <f>"85202-7330"</f>
        <v>85202-7330</v>
      </c>
      <c r="Q1107" t="s">
        <v>113</v>
      </c>
      <c r="R1107" t="str">
        <f>"305-09-054"</f>
        <v>305-09-054</v>
      </c>
      <c r="S1107" t="s">
        <v>7430</v>
      </c>
      <c r="U1107">
        <v>2411</v>
      </c>
      <c r="V1107">
        <v>0</v>
      </c>
      <c r="W1107">
        <v>3</v>
      </c>
      <c r="X1107">
        <v>1978</v>
      </c>
      <c r="Z1107">
        <v>1</v>
      </c>
      <c r="AB1107">
        <v>0</v>
      </c>
      <c r="AC1107" t="s">
        <v>115</v>
      </c>
      <c r="AD1107">
        <v>2</v>
      </c>
      <c r="AE1107" t="s">
        <v>115</v>
      </c>
      <c r="AF1107">
        <v>0</v>
      </c>
      <c r="AG1107">
        <v>0</v>
      </c>
      <c r="AH1107" t="s">
        <v>116</v>
      </c>
      <c r="AI1107" s="1">
        <v>81866</v>
      </c>
      <c r="AJ1107" s="2">
        <v>0.19</v>
      </c>
      <c r="AK1107" s="1">
        <v>429166</v>
      </c>
      <c r="AL1107" t="s">
        <v>117</v>
      </c>
      <c r="AM1107" t="s">
        <v>191</v>
      </c>
      <c r="AN1107">
        <v>14039</v>
      </c>
      <c r="AO1107">
        <v>0.32</v>
      </c>
      <c r="AP1107">
        <v>1</v>
      </c>
      <c r="AR1107">
        <v>1</v>
      </c>
      <c r="AS1107" s="1">
        <v>34210</v>
      </c>
      <c r="AT1107" s="1">
        <v>6840</v>
      </c>
      <c r="AU1107" s="1">
        <v>27370</v>
      </c>
      <c r="AV1107">
        <v>80.010000000000005</v>
      </c>
      <c r="AX1107" s="1">
        <v>2691.1</v>
      </c>
      <c r="AY1107" t="s">
        <v>7431</v>
      </c>
      <c r="AZ1107" t="s">
        <v>7295</v>
      </c>
      <c r="BA1107" t="s">
        <v>5311</v>
      </c>
      <c r="BE1107" s="3">
        <v>42300</v>
      </c>
      <c r="BF1107" s="1">
        <v>340000</v>
      </c>
      <c r="BG1107" t="s">
        <v>7432</v>
      </c>
      <c r="BH1107" s="1">
        <v>141.02000000000001</v>
      </c>
      <c r="BI1107" s="1">
        <v>347300</v>
      </c>
      <c r="BJ1107" s="3">
        <v>42300</v>
      </c>
      <c r="BK1107" t="s">
        <v>123</v>
      </c>
      <c r="BL1107" t="str">
        <f>"2015.762138"</f>
        <v>2015.762138</v>
      </c>
      <c r="BM1107" t="s">
        <v>1192</v>
      </c>
      <c r="BO1107" t="s">
        <v>7433</v>
      </c>
      <c r="BS1107">
        <v>30</v>
      </c>
      <c r="BW1107" t="str">
        <f>""</f>
        <v/>
      </c>
      <c r="CH1107" t="str">
        <f>""</f>
        <v/>
      </c>
      <c r="CS1107" t="str">
        <f>""</f>
        <v/>
      </c>
    </row>
    <row r="1108" spans="1:97" x14ac:dyDescent="0.25">
      <c r="B1108" t="s">
        <v>7434</v>
      </c>
      <c r="E1108" t="s">
        <v>7434</v>
      </c>
      <c r="F1108" t="s">
        <v>108</v>
      </c>
      <c r="H1108" t="s">
        <v>7435</v>
      </c>
      <c r="I1108" t="s">
        <v>110</v>
      </c>
      <c r="J1108" t="s">
        <v>111</v>
      </c>
      <c r="K1108" t="str">
        <f>"85249"</f>
        <v>85249</v>
      </c>
      <c r="L1108" t="s">
        <v>3269</v>
      </c>
      <c r="M1108" t="s">
        <v>7435</v>
      </c>
      <c r="N1108" t="s">
        <v>110</v>
      </c>
      <c r="O1108" t="s">
        <v>111</v>
      </c>
      <c r="P1108" t="str">
        <f>"85249-3095"</f>
        <v>85249-3095</v>
      </c>
      <c r="Q1108" t="s">
        <v>113</v>
      </c>
      <c r="R1108" t="str">
        <f>"303-46-170"</f>
        <v>303-46-170</v>
      </c>
      <c r="S1108" t="s">
        <v>7436</v>
      </c>
      <c r="T1108" t="s">
        <v>7436</v>
      </c>
      <c r="U1108">
        <v>3034</v>
      </c>
      <c r="V1108">
        <v>0</v>
      </c>
      <c r="W1108">
        <v>4</v>
      </c>
      <c r="X1108">
        <v>2003</v>
      </c>
      <c r="Z1108">
        <v>1</v>
      </c>
      <c r="AA1108" t="s">
        <v>26</v>
      </c>
      <c r="AB1108">
        <v>0</v>
      </c>
      <c r="AC1108" t="s">
        <v>115</v>
      </c>
      <c r="AD1108">
        <v>2</v>
      </c>
      <c r="AE1108" t="s">
        <v>115</v>
      </c>
      <c r="AF1108">
        <v>0</v>
      </c>
      <c r="AG1108">
        <v>0</v>
      </c>
      <c r="AH1108" t="s">
        <v>116</v>
      </c>
      <c r="AI1108" s="1">
        <v>110955</v>
      </c>
      <c r="AJ1108" s="2">
        <v>0.17</v>
      </c>
      <c r="AK1108" s="1">
        <v>636967</v>
      </c>
      <c r="AL1108" t="s">
        <v>117</v>
      </c>
      <c r="AM1108" t="s">
        <v>118</v>
      </c>
      <c r="AN1108">
        <v>13279</v>
      </c>
      <c r="AO1108">
        <v>0.3</v>
      </c>
      <c r="AP1108">
        <v>1</v>
      </c>
      <c r="AR1108">
        <v>1</v>
      </c>
      <c r="AS1108" s="1">
        <v>48980</v>
      </c>
      <c r="AT1108" s="1">
        <v>9790</v>
      </c>
      <c r="AU1108" s="1">
        <v>39190</v>
      </c>
      <c r="AV1108">
        <v>80.010000000000005</v>
      </c>
      <c r="AX1108" s="1">
        <v>4245.72</v>
      </c>
      <c r="AY1108" t="s">
        <v>119</v>
      </c>
      <c r="AZ1108" t="s">
        <v>120</v>
      </c>
      <c r="BA1108" t="s">
        <v>121</v>
      </c>
      <c r="BB1108" s="3">
        <v>42580</v>
      </c>
      <c r="BD1108" t="s">
        <v>458</v>
      </c>
      <c r="BE1108" s="3">
        <v>41911</v>
      </c>
      <c r="BF1108" s="1">
        <v>569900</v>
      </c>
      <c r="BG1108" t="s">
        <v>7437</v>
      </c>
      <c r="BH1108" s="1">
        <v>187.84</v>
      </c>
      <c r="BI1108" s="1">
        <v>526012</v>
      </c>
      <c r="BJ1108" s="3">
        <v>42580</v>
      </c>
      <c r="BK1108" t="s">
        <v>123</v>
      </c>
      <c r="BL1108" t="str">
        <f>"2016.539513"</f>
        <v>2016.539513</v>
      </c>
      <c r="BM1108" t="s">
        <v>544</v>
      </c>
      <c r="BO1108" t="s">
        <v>7438</v>
      </c>
      <c r="BS1108">
        <v>30</v>
      </c>
      <c r="BW1108" t="str">
        <f>""</f>
        <v/>
      </c>
      <c r="CH1108" t="str">
        <f>""</f>
        <v/>
      </c>
      <c r="CS1108" t="str">
        <f>""</f>
        <v/>
      </c>
    </row>
    <row r="1109" spans="1:97" x14ac:dyDescent="0.25">
      <c r="A1109" t="s">
        <v>3077</v>
      </c>
      <c r="B1109" t="s">
        <v>7439</v>
      </c>
      <c r="C1109" t="s">
        <v>7440</v>
      </c>
      <c r="D1109" t="s">
        <v>7441</v>
      </c>
      <c r="E1109" t="s">
        <v>7442</v>
      </c>
      <c r="F1109" t="s">
        <v>108</v>
      </c>
      <c r="H1109" t="s">
        <v>7443</v>
      </c>
      <c r="I1109" t="s">
        <v>203</v>
      </c>
      <c r="J1109" t="s">
        <v>111</v>
      </c>
      <c r="K1109" t="str">
        <f>"85233"</f>
        <v>85233</v>
      </c>
      <c r="L1109" t="s">
        <v>5429</v>
      </c>
      <c r="M1109" t="s">
        <v>7443</v>
      </c>
      <c r="N1109" t="s">
        <v>203</v>
      </c>
      <c r="O1109" t="s">
        <v>111</v>
      </c>
      <c r="P1109" t="str">
        <f>"85233-7978"</f>
        <v>85233-7978</v>
      </c>
      <c r="Q1109" t="s">
        <v>113</v>
      </c>
      <c r="R1109" t="str">
        <f>"302-37-694"</f>
        <v>302-37-694</v>
      </c>
      <c r="S1109" t="s">
        <v>7444</v>
      </c>
      <c r="T1109" t="s">
        <v>7445</v>
      </c>
      <c r="U1109">
        <v>2507</v>
      </c>
      <c r="V1109">
        <v>0</v>
      </c>
      <c r="W1109">
        <v>4</v>
      </c>
      <c r="X1109">
        <v>1987</v>
      </c>
      <c r="Z1109">
        <v>1</v>
      </c>
      <c r="AA1109" t="s">
        <v>26</v>
      </c>
      <c r="AB1109">
        <v>0</v>
      </c>
      <c r="AC1109" t="s">
        <v>115</v>
      </c>
      <c r="AD1109">
        <v>2</v>
      </c>
      <c r="AE1109" t="s">
        <v>115</v>
      </c>
      <c r="AF1109">
        <v>0</v>
      </c>
      <c r="AG1109">
        <v>0</v>
      </c>
      <c r="AH1109" t="s">
        <v>116</v>
      </c>
      <c r="AI1109" s="1">
        <v>144957</v>
      </c>
      <c r="AJ1109" s="2">
        <v>0.28000000000000003</v>
      </c>
      <c r="AK1109" s="1">
        <v>525582</v>
      </c>
      <c r="AL1109" t="s">
        <v>117</v>
      </c>
      <c r="AM1109" t="s">
        <v>393</v>
      </c>
      <c r="AN1109">
        <v>10742</v>
      </c>
      <c r="AO1109">
        <v>0.25</v>
      </c>
      <c r="AP1109">
        <v>1</v>
      </c>
      <c r="AR1109">
        <v>1</v>
      </c>
      <c r="AS1109" s="1">
        <v>42600</v>
      </c>
      <c r="AT1109" s="1">
        <v>8520</v>
      </c>
      <c r="AU1109" s="1">
        <v>34080</v>
      </c>
      <c r="AV1109">
        <v>80</v>
      </c>
      <c r="AX1109" s="1">
        <v>3913.96</v>
      </c>
      <c r="AY1109" t="s">
        <v>6163</v>
      </c>
      <c r="AZ1109" t="s">
        <v>2906</v>
      </c>
      <c r="BA1109" t="s">
        <v>2957</v>
      </c>
      <c r="BE1109" s="3">
        <v>42419</v>
      </c>
      <c r="BF1109" s="1">
        <v>435000</v>
      </c>
      <c r="BG1109" t="s">
        <v>7446</v>
      </c>
      <c r="BH1109" s="1">
        <v>173.51</v>
      </c>
      <c r="BI1109" s="1">
        <v>380625</v>
      </c>
      <c r="BJ1109" s="3">
        <v>42419</v>
      </c>
      <c r="BK1109" t="s">
        <v>123</v>
      </c>
      <c r="BL1109" t="str">
        <f>"2016.107584"</f>
        <v>2016.107584</v>
      </c>
      <c r="BM1109" t="s">
        <v>2716</v>
      </c>
      <c r="BO1109" t="s">
        <v>7447</v>
      </c>
      <c r="BP1109" t="s">
        <v>7448</v>
      </c>
      <c r="BS1109">
        <v>30</v>
      </c>
      <c r="BW1109" t="str">
        <f>""</f>
        <v/>
      </c>
      <c r="CH1109" t="str">
        <f>""</f>
        <v/>
      </c>
      <c r="CS1109" t="str">
        <f>""</f>
        <v/>
      </c>
    </row>
    <row r="1110" spans="1:97" x14ac:dyDescent="0.25">
      <c r="A1110" t="s">
        <v>3613</v>
      </c>
      <c r="B1110" t="s">
        <v>7449</v>
      </c>
      <c r="C1110" t="s">
        <v>7450</v>
      </c>
      <c r="D1110" t="s">
        <v>7449</v>
      </c>
      <c r="E1110" t="s">
        <v>7451</v>
      </c>
      <c r="F1110" t="s">
        <v>108</v>
      </c>
      <c r="H1110" t="s">
        <v>7452</v>
      </c>
      <c r="I1110" t="s">
        <v>2874</v>
      </c>
      <c r="J1110" t="s">
        <v>111</v>
      </c>
      <c r="K1110" t="str">
        <f>"85310"</f>
        <v>85310</v>
      </c>
      <c r="L1110" t="s">
        <v>5990</v>
      </c>
      <c r="M1110" t="s">
        <v>7452</v>
      </c>
      <c r="N1110" t="s">
        <v>2874</v>
      </c>
      <c r="O1110" t="s">
        <v>111</v>
      </c>
      <c r="P1110" t="str">
        <f>"85310-4271"</f>
        <v>85310-4271</v>
      </c>
      <c r="Q1110" t="s">
        <v>113</v>
      </c>
      <c r="R1110" t="str">
        <f>"200-05-240"</f>
        <v>200-05-240</v>
      </c>
      <c r="S1110" t="s">
        <v>7453</v>
      </c>
      <c r="T1110" t="s">
        <v>7454</v>
      </c>
      <c r="U1110">
        <v>3066</v>
      </c>
      <c r="V1110">
        <v>0</v>
      </c>
      <c r="W1110">
        <v>4</v>
      </c>
      <c r="X1110">
        <v>1994</v>
      </c>
      <c r="Z1110">
        <v>2</v>
      </c>
      <c r="AB1110">
        <v>0</v>
      </c>
      <c r="AC1110" t="s">
        <v>115</v>
      </c>
      <c r="AD1110">
        <v>3</v>
      </c>
      <c r="AE1110" t="s">
        <v>115</v>
      </c>
      <c r="AF1110">
        <v>0</v>
      </c>
      <c r="AG1110">
        <v>0</v>
      </c>
      <c r="AH1110" t="s">
        <v>116</v>
      </c>
      <c r="AI1110" s="1">
        <v>4191</v>
      </c>
      <c r="AJ1110" s="2">
        <v>0.01</v>
      </c>
      <c r="AK1110" s="1">
        <v>414190</v>
      </c>
      <c r="AL1110" t="s">
        <v>117</v>
      </c>
      <c r="AM1110" t="s">
        <v>393</v>
      </c>
      <c r="AN1110">
        <v>9300</v>
      </c>
      <c r="AO1110">
        <v>0.21</v>
      </c>
      <c r="AP1110">
        <v>1</v>
      </c>
      <c r="AR1110">
        <v>1</v>
      </c>
      <c r="AS1110" s="1">
        <v>30600</v>
      </c>
      <c r="AT1110" s="1">
        <v>6120</v>
      </c>
      <c r="AU1110" s="1">
        <v>24480</v>
      </c>
      <c r="AV1110">
        <v>80</v>
      </c>
      <c r="AX1110" s="1">
        <v>3156.38</v>
      </c>
      <c r="AY1110" t="s">
        <v>7455</v>
      </c>
      <c r="AZ1110" t="s">
        <v>3049</v>
      </c>
      <c r="BA1110" t="s">
        <v>2223</v>
      </c>
      <c r="BB1110" s="3">
        <v>43585</v>
      </c>
      <c r="BC1110" s="1">
        <v>0</v>
      </c>
      <c r="BD1110" t="s">
        <v>247</v>
      </c>
      <c r="BE1110" s="3">
        <v>42549</v>
      </c>
      <c r="BF1110" s="1">
        <v>334500</v>
      </c>
      <c r="BG1110" t="s">
        <v>7456</v>
      </c>
      <c r="BH1110" s="1">
        <v>109.1</v>
      </c>
      <c r="BI1110" s="1">
        <v>409999</v>
      </c>
      <c r="BJ1110" s="3">
        <v>43585</v>
      </c>
      <c r="BK1110" t="s">
        <v>123</v>
      </c>
      <c r="BL1110" t="str">
        <f>"2019.309315"</f>
        <v>2019.309315</v>
      </c>
      <c r="BM1110" t="s">
        <v>2671</v>
      </c>
      <c r="BN1110" t="s">
        <v>2672</v>
      </c>
      <c r="BO1110" t="s">
        <v>7457</v>
      </c>
      <c r="BP1110" t="s">
        <v>7458</v>
      </c>
      <c r="BR1110" t="s">
        <v>139</v>
      </c>
      <c r="BW1110" t="str">
        <f>""</f>
        <v/>
      </c>
      <c r="CH1110" t="str">
        <f>""</f>
        <v/>
      </c>
      <c r="CS1110" t="str">
        <f>""</f>
        <v/>
      </c>
    </row>
    <row r="1111" spans="1:97" x14ac:dyDescent="0.25">
      <c r="A1111" t="s">
        <v>996</v>
      </c>
      <c r="B1111" t="s">
        <v>6620</v>
      </c>
      <c r="C1111" t="s">
        <v>4515</v>
      </c>
      <c r="D1111" t="s">
        <v>6620</v>
      </c>
      <c r="E1111" t="s">
        <v>7459</v>
      </c>
      <c r="F1111" t="s">
        <v>108</v>
      </c>
      <c r="H1111" t="s">
        <v>7460</v>
      </c>
      <c r="I1111" t="s">
        <v>203</v>
      </c>
      <c r="J1111" t="s">
        <v>111</v>
      </c>
      <c r="K1111" t="str">
        <f>"85298"</f>
        <v>85298</v>
      </c>
      <c r="L1111" t="s">
        <v>500</v>
      </c>
      <c r="M1111" t="s">
        <v>7460</v>
      </c>
      <c r="N1111" t="s">
        <v>203</v>
      </c>
      <c r="O1111" t="s">
        <v>111</v>
      </c>
      <c r="P1111" t="str">
        <f>"85298-8824"</f>
        <v>85298-8824</v>
      </c>
      <c r="Q1111" t="s">
        <v>113</v>
      </c>
      <c r="R1111" t="str">
        <f>"304-78-177"</f>
        <v>304-78-177</v>
      </c>
      <c r="S1111" t="s">
        <v>7461</v>
      </c>
      <c r="T1111" t="s">
        <v>7462</v>
      </c>
      <c r="U1111">
        <v>1664</v>
      </c>
      <c r="V1111">
        <v>0</v>
      </c>
      <c r="W1111">
        <v>3</v>
      </c>
      <c r="X1111">
        <v>2001</v>
      </c>
      <c r="Z1111">
        <v>1</v>
      </c>
      <c r="AB1111">
        <v>0</v>
      </c>
      <c r="AC1111" t="s">
        <v>115</v>
      </c>
      <c r="AD1111">
        <v>2</v>
      </c>
      <c r="AE1111" t="s">
        <v>115</v>
      </c>
      <c r="AF1111">
        <v>0</v>
      </c>
      <c r="AG1111">
        <v>0</v>
      </c>
      <c r="AH1111" t="s">
        <v>116</v>
      </c>
      <c r="AI1111" s="1">
        <v>79735</v>
      </c>
      <c r="AJ1111" s="2">
        <v>0.27</v>
      </c>
      <c r="AK1111" s="1">
        <v>291185</v>
      </c>
      <c r="AL1111" t="s">
        <v>117</v>
      </c>
      <c r="AM1111" t="s">
        <v>191</v>
      </c>
      <c r="AN1111">
        <v>6122</v>
      </c>
      <c r="AO1111">
        <v>0.14000000000000001</v>
      </c>
      <c r="AP1111">
        <v>1</v>
      </c>
      <c r="AR1111">
        <v>1</v>
      </c>
      <c r="AS1111" s="1">
        <v>19610</v>
      </c>
      <c r="AT1111" s="1">
        <v>3920</v>
      </c>
      <c r="AU1111" s="1">
        <v>15690</v>
      </c>
      <c r="AV1111">
        <v>80.010000000000005</v>
      </c>
      <c r="AX1111" s="1">
        <v>1596.3</v>
      </c>
      <c r="AY1111" t="s">
        <v>1133</v>
      </c>
      <c r="AZ1111" t="s">
        <v>1134</v>
      </c>
      <c r="BA1111" t="s">
        <v>1134</v>
      </c>
      <c r="BE1111" s="3">
        <v>42088</v>
      </c>
      <c r="BF1111" s="1">
        <v>207000</v>
      </c>
      <c r="BG1111" t="s">
        <v>7463</v>
      </c>
      <c r="BH1111" s="1">
        <v>124.4</v>
      </c>
      <c r="BI1111" s="1">
        <v>211450</v>
      </c>
      <c r="BJ1111" s="3">
        <v>42088</v>
      </c>
      <c r="BK1111" t="s">
        <v>123</v>
      </c>
      <c r="BL1111" t="str">
        <f>"2015.198090"</f>
        <v>2015.198090</v>
      </c>
      <c r="BM1111" t="s">
        <v>1998</v>
      </c>
      <c r="BO1111" t="s">
        <v>7464</v>
      </c>
      <c r="BS1111">
        <v>30</v>
      </c>
      <c r="BW1111" t="str">
        <f>""</f>
        <v/>
      </c>
      <c r="CH1111" t="str">
        <f>""</f>
        <v/>
      </c>
      <c r="CS1111" t="str">
        <f>""</f>
        <v/>
      </c>
    </row>
    <row r="1112" spans="1:97" x14ac:dyDescent="0.25">
      <c r="A1112" t="s">
        <v>1083</v>
      </c>
      <c r="B1112" t="s">
        <v>7465</v>
      </c>
      <c r="C1112" t="s">
        <v>3105</v>
      </c>
      <c r="D1112" t="s">
        <v>7465</v>
      </c>
      <c r="E1112" t="s">
        <v>7466</v>
      </c>
      <c r="F1112" t="s">
        <v>108</v>
      </c>
      <c r="H1112" t="s">
        <v>7467</v>
      </c>
      <c r="I1112" t="s">
        <v>632</v>
      </c>
      <c r="J1112" t="s">
        <v>111</v>
      </c>
      <c r="K1112" t="str">
        <f>"85374"</f>
        <v>85374</v>
      </c>
      <c r="L1112" t="s">
        <v>3151</v>
      </c>
      <c r="M1112" t="s">
        <v>7467</v>
      </c>
      <c r="N1112" t="s">
        <v>632</v>
      </c>
      <c r="O1112" t="s">
        <v>111</v>
      </c>
      <c r="P1112" t="str">
        <f>"85374-6150"</f>
        <v>85374-6150</v>
      </c>
      <c r="Q1112" t="s">
        <v>113</v>
      </c>
      <c r="R1112" t="str">
        <f>"232-37-075"</f>
        <v>232-37-075</v>
      </c>
      <c r="S1112" t="s">
        <v>7468</v>
      </c>
      <c r="T1112" t="s">
        <v>7469</v>
      </c>
      <c r="U1112">
        <v>2019</v>
      </c>
      <c r="V1112">
        <v>0</v>
      </c>
      <c r="W1112">
        <v>3</v>
      </c>
      <c r="X1112">
        <v>2001</v>
      </c>
      <c r="Z1112">
        <v>1</v>
      </c>
      <c r="AB1112">
        <v>0</v>
      </c>
      <c r="AC1112" t="s">
        <v>115</v>
      </c>
      <c r="AD1112">
        <v>2</v>
      </c>
      <c r="AE1112" t="s">
        <v>115</v>
      </c>
      <c r="AF1112">
        <v>0</v>
      </c>
      <c r="AG1112">
        <v>0</v>
      </c>
      <c r="AH1112" t="s">
        <v>116</v>
      </c>
      <c r="AI1112" s="1">
        <v>78844</v>
      </c>
      <c r="AJ1112" s="2">
        <v>0.22</v>
      </c>
      <c r="AK1112" s="1">
        <v>362821</v>
      </c>
      <c r="AL1112" t="s">
        <v>117</v>
      </c>
      <c r="AM1112" t="s">
        <v>118</v>
      </c>
      <c r="AN1112">
        <v>10766</v>
      </c>
      <c r="AO1112">
        <v>0.25</v>
      </c>
      <c r="AP1112">
        <v>1</v>
      </c>
      <c r="AR1112">
        <v>1</v>
      </c>
      <c r="AS1112" s="1">
        <v>24500</v>
      </c>
      <c r="AT1112" s="1">
        <v>4900</v>
      </c>
      <c r="AU1112" s="1">
        <v>19600</v>
      </c>
      <c r="AV1112">
        <v>80</v>
      </c>
      <c r="AX1112" s="1">
        <v>2575.7600000000002</v>
      </c>
      <c r="AY1112" t="s">
        <v>5108</v>
      </c>
      <c r="AZ1112" t="s">
        <v>5108</v>
      </c>
      <c r="BA1112" t="s">
        <v>5109</v>
      </c>
      <c r="BE1112" s="3">
        <v>41670</v>
      </c>
      <c r="BF1112" s="1">
        <v>278000</v>
      </c>
      <c r="BG1112" t="s">
        <v>7470</v>
      </c>
      <c r="BH1112" s="1">
        <v>137.69</v>
      </c>
      <c r="BI1112" s="1">
        <v>283977</v>
      </c>
      <c r="BJ1112" s="3">
        <v>41670</v>
      </c>
      <c r="BK1112" t="s">
        <v>123</v>
      </c>
      <c r="BL1112" t="str">
        <f>"2014.70301"</f>
        <v>2014.70301</v>
      </c>
      <c r="BM1112" t="s">
        <v>1998</v>
      </c>
      <c r="BO1112" t="s">
        <v>7471</v>
      </c>
      <c r="BS1112">
        <v>30</v>
      </c>
      <c r="BW1112" t="str">
        <f>""</f>
        <v/>
      </c>
      <c r="CH1112" t="str">
        <f>""</f>
        <v/>
      </c>
      <c r="CS1112" t="str">
        <f>""</f>
        <v/>
      </c>
    </row>
    <row r="1113" spans="1:97" x14ac:dyDescent="0.25">
      <c r="A1113" t="s">
        <v>7472</v>
      </c>
      <c r="B1113" t="s">
        <v>364</v>
      </c>
      <c r="C1113" t="s">
        <v>976</v>
      </c>
      <c r="D1113" t="s">
        <v>364</v>
      </c>
      <c r="E1113" t="s">
        <v>7473</v>
      </c>
      <c r="F1113" t="s">
        <v>108</v>
      </c>
      <c r="H1113" t="s">
        <v>7474</v>
      </c>
      <c r="I1113" t="s">
        <v>390</v>
      </c>
      <c r="J1113" t="s">
        <v>111</v>
      </c>
      <c r="K1113" t="str">
        <f>"85085"</f>
        <v>85085</v>
      </c>
      <c r="L1113" t="s">
        <v>269</v>
      </c>
      <c r="M1113" t="s">
        <v>7474</v>
      </c>
      <c r="N1113" t="s">
        <v>390</v>
      </c>
      <c r="O1113" t="s">
        <v>111</v>
      </c>
      <c r="P1113" t="str">
        <f>"85085-6037"</f>
        <v>85085-6037</v>
      </c>
      <c r="Q1113" t="s">
        <v>113</v>
      </c>
      <c r="R1113" t="str">
        <f>"204-01-717"</f>
        <v>204-01-717</v>
      </c>
      <c r="S1113" t="s">
        <v>7475</v>
      </c>
      <c r="T1113" t="s">
        <v>6715</v>
      </c>
      <c r="U1113">
        <v>3038</v>
      </c>
      <c r="V1113">
        <v>0</v>
      </c>
      <c r="W1113">
        <v>4</v>
      </c>
      <c r="X1113">
        <v>2004</v>
      </c>
      <c r="Z1113">
        <v>2</v>
      </c>
      <c r="AB1113">
        <v>0</v>
      </c>
      <c r="AC1113" t="s">
        <v>115</v>
      </c>
      <c r="AD1113">
        <v>2</v>
      </c>
      <c r="AE1113" t="s">
        <v>115</v>
      </c>
      <c r="AF1113">
        <v>0</v>
      </c>
      <c r="AG1113">
        <v>0</v>
      </c>
      <c r="AH1113" t="s">
        <v>116</v>
      </c>
      <c r="AI1113" s="1">
        <v>31202</v>
      </c>
      <c r="AJ1113" s="2">
        <v>0.08</v>
      </c>
      <c r="AK1113" s="1">
        <v>374702</v>
      </c>
      <c r="AL1113" t="s">
        <v>117</v>
      </c>
      <c r="AM1113" t="s">
        <v>171</v>
      </c>
      <c r="AN1113">
        <v>6381</v>
      </c>
      <c r="AO1113">
        <v>0.15</v>
      </c>
      <c r="AP1113">
        <v>1</v>
      </c>
      <c r="AR1113">
        <v>1</v>
      </c>
      <c r="AS1113" s="1">
        <v>27500</v>
      </c>
      <c r="AT1113" s="1">
        <v>5500</v>
      </c>
      <c r="AU1113" s="1">
        <v>22000</v>
      </c>
      <c r="AV1113">
        <v>80</v>
      </c>
      <c r="AX1113" s="1">
        <v>2472.58</v>
      </c>
      <c r="AY1113" t="s">
        <v>1587</v>
      </c>
      <c r="AZ1113" t="s">
        <v>1587</v>
      </c>
      <c r="BA1113" t="s">
        <v>1462</v>
      </c>
      <c r="BE1113" s="3">
        <v>42082</v>
      </c>
      <c r="BF1113" s="1">
        <v>300000</v>
      </c>
      <c r="BG1113" t="s">
        <v>7476</v>
      </c>
      <c r="BH1113" s="1">
        <v>98.75</v>
      </c>
      <c r="BI1113" s="1">
        <v>300000</v>
      </c>
      <c r="BJ1113" s="3">
        <v>42082</v>
      </c>
      <c r="BK1113" t="s">
        <v>123</v>
      </c>
      <c r="BL1113" t="str">
        <f>"2015.184217"</f>
        <v>2015.184217</v>
      </c>
      <c r="BM1113" t="s">
        <v>709</v>
      </c>
      <c r="BN1113" t="s">
        <v>863</v>
      </c>
      <c r="BO1113" t="s">
        <v>7477</v>
      </c>
      <c r="BS1113">
        <v>30</v>
      </c>
      <c r="BT1113" s="1">
        <v>43500</v>
      </c>
      <c r="BU1113" s="3">
        <v>43689</v>
      </c>
      <c r="BW1113" t="str">
        <f>"2019.614930"</f>
        <v>2019.614930</v>
      </c>
      <c r="BX1113" t="s">
        <v>135</v>
      </c>
      <c r="BY1113" t="s">
        <v>136</v>
      </c>
      <c r="BZ1113" t="s">
        <v>7478</v>
      </c>
      <c r="CA1113" t="s">
        <v>7479</v>
      </c>
      <c r="CC1113" t="s">
        <v>346</v>
      </c>
      <c r="CH1113" t="str">
        <f>""</f>
        <v/>
      </c>
      <c r="CS1113" t="str">
        <f>""</f>
        <v/>
      </c>
    </row>
    <row r="1114" spans="1:97" x14ac:dyDescent="0.25">
      <c r="A1114" t="s">
        <v>305</v>
      </c>
      <c r="B1114" t="s">
        <v>7480</v>
      </c>
      <c r="C1114" t="s">
        <v>3831</v>
      </c>
      <c r="D1114" t="s">
        <v>7480</v>
      </c>
      <c r="E1114" t="s">
        <v>7481</v>
      </c>
      <c r="F1114" t="s">
        <v>108</v>
      </c>
      <c r="H1114" t="s">
        <v>7482</v>
      </c>
      <c r="I1114" t="s">
        <v>2874</v>
      </c>
      <c r="J1114" t="s">
        <v>111</v>
      </c>
      <c r="K1114" t="str">
        <f>"85308"</f>
        <v>85308</v>
      </c>
      <c r="L1114" t="s">
        <v>2354</v>
      </c>
      <c r="M1114" t="s">
        <v>7482</v>
      </c>
      <c r="N1114" t="s">
        <v>2874</v>
      </c>
      <c r="O1114" t="s">
        <v>111</v>
      </c>
      <c r="P1114" t="str">
        <f>"85308-6316"</f>
        <v>85308-6316</v>
      </c>
      <c r="Q1114" t="s">
        <v>113</v>
      </c>
      <c r="R1114" t="str">
        <f>"200-22-012"</f>
        <v>200-22-012</v>
      </c>
      <c r="S1114" t="s">
        <v>7483</v>
      </c>
      <c r="U1114">
        <v>2239</v>
      </c>
      <c r="V1114">
        <v>0</v>
      </c>
      <c r="W1114">
        <v>4</v>
      </c>
      <c r="X1114">
        <v>1994</v>
      </c>
      <c r="Z1114">
        <v>2</v>
      </c>
      <c r="AA1114" t="s">
        <v>26</v>
      </c>
      <c r="AB1114">
        <v>0</v>
      </c>
      <c r="AC1114" t="s">
        <v>115</v>
      </c>
      <c r="AD1114">
        <v>3</v>
      </c>
      <c r="AE1114" t="s">
        <v>115</v>
      </c>
      <c r="AF1114">
        <v>0</v>
      </c>
      <c r="AG1114">
        <v>0</v>
      </c>
      <c r="AH1114" t="s">
        <v>116</v>
      </c>
      <c r="AI1114" s="1">
        <v>65307</v>
      </c>
      <c r="AJ1114" s="2">
        <v>0.16</v>
      </c>
      <c r="AK1114" s="1">
        <v>404807</v>
      </c>
      <c r="AL1114" t="s">
        <v>117</v>
      </c>
      <c r="AM1114" t="s">
        <v>191</v>
      </c>
      <c r="AN1114">
        <v>5700</v>
      </c>
      <c r="AO1114">
        <v>0.13</v>
      </c>
      <c r="AP1114">
        <v>1</v>
      </c>
      <c r="AR1114">
        <v>1</v>
      </c>
      <c r="AS1114" s="1">
        <v>28950</v>
      </c>
      <c r="AT1114" s="1">
        <v>5790</v>
      </c>
      <c r="AU1114" s="1">
        <v>23160</v>
      </c>
      <c r="AV1114">
        <v>80</v>
      </c>
      <c r="AX1114" s="1">
        <v>2873.48</v>
      </c>
      <c r="AY1114" t="s">
        <v>7455</v>
      </c>
      <c r="AZ1114" t="s">
        <v>3049</v>
      </c>
      <c r="BA1114" t="s">
        <v>2223</v>
      </c>
      <c r="BE1114" s="3">
        <v>42437</v>
      </c>
      <c r="BF1114" s="1">
        <v>339500</v>
      </c>
      <c r="BG1114" t="s">
        <v>7484</v>
      </c>
      <c r="BH1114" s="1">
        <v>151.63</v>
      </c>
      <c r="BI1114" s="1">
        <v>339500</v>
      </c>
      <c r="BJ1114" s="3">
        <v>42437</v>
      </c>
      <c r="BK1114" t="s">
        <v>123</v>
      </c>
      <c r="BL1114" t="str">
        <f>"2016.149870"</f>
        <v>2016.149870</v>
      </c>
      <c r="BM1114" t="s">
        <v>5253</v>
      </c>
      <c r="BO1114" t="s">
        <v>7485</v>
      </c>
      <c r="BS1114">
        <v>30</v>
      </c>
      <c r="BW1114" t="str">
        <f>""</f>
        <v/>
      </c>
      <c r="CH1114" t="str">
        <f>""</f>
        <v/>
      </c>
      <c r="CS1114" t="str">
        <f>""</f>
        <v/>
      </c>
    </row>
    <row r="1115" spans="1:97" x14ac:dyDescent="0.25">
      <c r="A1115" t="s">
        <v>7486</v>
      </c>
      <c r="B1115" t="s">
        <v>7487</v>
      </c>
      <c r="C1115" t="s">
        <v>7488</v>
      </c>
      <c r="D1115" t="s">
        <v>7487</v>
      </c>
      <c r="E1115" t="s">
        <v>7489</v>
      </c>
      <c r="F1115" t="s">
        <v>108</v>
      </c>
      <c r="H1115" t="s">
        <v>7490</v>
      </c>
      <c r="I1115" t="s">
        <v>2874</v>
      </c>
      <c r="J1115" t="s">
        <v>111</v>
      </c>
      <c r="K1115" t="str">
        <f>"85308"</f>
        <v>85308</v>
      </c>
      <c r="L1115" t="s">
        <v>316</v>
      </c>
      <c r="M1115" t="s">
        <v>7490</v>
      </c>
      <c r="N1115" t="s">
        <v>2874</v>
      </c>
      <c r="O1115" t="s">
        <v>111</v>
      </c>
      <c r="P1115" t="str">
        <f>"85308-5545"</f>
        <v>85308-5545</v>
      </c>
      <c r="Q1115" t="s">
        <v>113</v>
      </c>
      <c r="R1115" t="str">
        <f>"200-34-191"</f>
        <v>200-34-191</v>
      </c>
      <c r="S1115" t="s">
        <v>7491</v>
      </c>
      <c r="T1115" t="s">
        <v>7492</v>
      </c>
      <c r="U1115">
        <v>2974</v>
      </c>
      <c r="V1115">
        <v>0</v>
      </c>
      <c r="W1115">
        <v>4</v>
      </c>
      <c r="X1115">
        <v>1992</v>
      </c>
      <c r="Z1115">
        <v>2</v>
      </c>
      <c r="AB1115">
        <v>0</v>
      </c>
      <c r="AC1115" t="s">
        <v>115</v>
      </c>
      <c r="AD1115">
        <v>3</v>
      </c>
      <c r="AE1115" t="s">
        <v>115</v>
      </c>
      <c r="AF1115">
        <v>0</v>
      </c>
      <c r="AG1115">
        <v>0</v>
      </c>
      <c r="AH1115" t="s">
        <v>116</v>
      </c>
      <c r="AI1115" s="1">
        <v>22468</v>
      </c>
      <c r="AJ1115" s="2">
        <v>0.05</v>
      </c>
      <c r="AK1115" s="1">
        <v>414968</v>
      </c>
      <c r="AL1115" t="s">
        <v>117</v>
      </c>
      <c r="AM1115" t="s">
        <v>191</v>
      </c>
      <c r="AN1115">
        <v>6500</v>
      </c>
      <c r="AO1115">
        <v>0.15</v>
      </c>
      <c r="AP1115">
        <v>1</v>
      </c>
      <c r="AR1115">
        <v>1</v>
      </c>
      <c r="AS1115" s="1">
        <v>30510</v>
      </c>
      <c r="AT1115" s="1">
        <v>6100</v>
      </c>
      <c r="AU1115" s="1">
        <v>24410</v>
      </c>
      <c r="AV1115">
        <v>80.010000000000005</v>
      </c>
      <c r="AX1115" s="1">
        <v>3015.24</v>
      </c>
      <c r="AY1115" t="s">
        <v>6740</v>
      </c>
      <c r="AZ1115" t="s">
        <v>6740</v>
      </c>
      <c r="BA1115" t="s">
        <v>2223</v>
      </c>
      <c r="BE1115" s="3">
        <v>41921</v>
      </c>
      <c r="BF1115" s="1">
        <v>321000</v>
      </c>
      <c r="BG1115" t="s">
        <v>7493</v>
      </c>
      <c r="BH1115" s="1">
        <v>107.94</v>
      </c>
      <c r="BI1115" s="1">
        <v>392500</v>
      </c>
      <c r="BJ1115" s="3">
        <v>43626</v>
      </c>
      <c r="BK1115" t="s">
        <v>123</v>
      </c>
      <c r="BL1115" t="str">
        <f>"2019.428493"</f>
        <v>2019.428493</v>
      </c>
      <c r="BM1115" t="s">
        <v>135</v>
      </c>
      <c r="BN1115" t="s">
        <v>136</v>
      </c>
      <c r="BO1115" t="s">
        <v>7494</v>
      </c>
      <c r="BP1115" t="s">
        <v>7495</v>
      </c>
      <c r="BR1115" t="s">
        <v>139</v>
      </c>
      <c r="BW1115" t="str">
        <f>""</f>
        <v/>
      </c>
      <c r="CH1115" t="str">
        <f>""</f>
        <v/>
      </c>
      <c r="CS1115" t="str">
        <f>""</f>
        <v/>
      </c>
    </row>
    <row r="1116" spans="1:97" x14ac:dyDescent="0.25">
      <c r="A1116" t="s">
        <v>7496</v>
      </c>
      <c r="B1116" t="s">
        <v>7497</v>
      </c>
      <c r="E1116" t="s">
        <v>7498</v>
      </c>
      <c r="F1116" t="s">
        <v>108</v>
      </c>
      <c r="H1116" t="s">
        <v>7499</v>
      </c>
      <c r="I1116" t="s">
        <v>110</v>
      </c>
      <c r="J1116" t="s">
        <v>111</v>
      </c>
      <c r="K1116" t="str">
        <f>"85249"</f>
        <v>85249</v>
      </c>
      <c r="L1116" t="s">
        <v>7235</v>
      </c>
      <c r="M1116" t="s">
        <v>7499</v>
      </c>
      <c r="N1116" t="s">
        <v>110</v>
      </c>
      <c r="O1116" t="s">
        <v>111</v>
      </c>
      <c r="P1116" t="str">
        <f>"85249-2911"</f>
        <v>85249-2911</v>
      </c>
      <c r="Q1116" t="s">
        <v>113</v>
      </c>
      <c r="R1116" t="str">
        <f>"303-44-542"</f>
        <v>303-44-542</v>
      </c>
      <c r="S1116" t="s">
        <v>7500</v>
      </c>
      <c r="T1116" t="s">
        <v>7500</v>
      </c>
      <c r="U1116">
        <v>2547</v>
      </c>
      <c r="V1116">
        <v>0</v>
      </c>
      <c r="W1116">
        <v>3</v>
      </c>
      <c r="X1116">
        <v>2003</v>
      </c>
      <c r="Z1116">
        <v>1</v>
      </c>
      <c r="AA1116" t="s">
        <v>26</v>
      </c>
      <c r="AB1116">
        <v>0</v>
      </c>
      <c r="AC1116" t="s">
        <v>115</v>
      </c>
      <c r="AD1116">
        <v>3</v>
      </c>
      <c r="AE1116" t="s">
        <v>115</v>
      </c>
      <c r="AF1116">
        <v>0</v>
      </c>
      <c r="AG1116">
        <v>0</v>
      </c>
      <c r="AH1116" t="s">
        <v>116</v>
      </c>
      <c r="AI1116" s="1">
        <v>88344</v>
      </c>
      <c r="AJ1116" s="2">
        <v>0.18</v>
      </c>
      <c r="AK1116" s="1">
        <v>496028</v>
      </c>
      <c r="AL1116" t="s">
        <v>117</v>
      </c>
      <c r="AM1116" t="s">
        <v>118</v>
      </c>
      <c r="AN1116">
        <v>11126</v>
      </c>
      <c r="AO1116">
        <v>0.26</v>
      </c>
      <c r="AP1116">
        <v>1</v>
      </c>
      <c r="AR1116">
        <v>1</v>
      </c>
      <c r="AS1116" s="1">
        <v>36670</v>
      </c>
      <c r="AT1116" s="1">
        <v>7330</v>
      </c>
      <c r="AU1116" s="1">
        <v>29340</v>
      </c>
      <c r="AV1116">
        <v>80.010000000000005</v>
      </c>
      <c r="AX1116" s="1">
        <v>3229.7</v>
      </c>
      <c r="AY1116" t="s">
        <v>3699</v>
      </c>
      <c r="AZ1116" t="s">
        <v>120</v>
      </c>
      <c r="BA1116" t="s">
        <v>303</v>
      </c>
      <c r="BE1116" s="3">
        <v>42090</v>
      </c>
      <c r="BF1116" s="1">
        <v>390000</v>
      </c>
      <c r="BG1116" t="s">
        <v>7501</v>
      </c>
      <c r="BH1116" s="1">
        <v>153.12</v>
      </c>
      <c r="BI1116" s="1">
        <v>407684</v>
      </c>
      <c r="BJ1116" s="3">
        <v>42656</v>
      </c>
      <c r="BK1116" t="s">
        <v>123</v>
      </c>
      <c r="BL1116" t="str">
        <f>"2016.750172"</f>
        <v>2016.750172</v>
      </c>
      <c r="BM1116" t="s">
        <v>492</v>
      </c>
      <c r="BO1116" t="s">
        <v>7502</v>
      </c>
      <c r="BS1116">
        <v>30</v>
      </c>
      <c r="BW1116" t="str">
        <f>""</f>
        <v/>
      </c>
      <c r="CH1116" t="str">
        <f>""</f>
        <v/>
      </c>
      <c r="CS1116" t="str">
        <f>""</f>
        <v/>
      </c>
    </row>
    <row r="1117" spans="1:97" x14ac:dyDescent="0.25">
      <c r="A1117" t="s">
        <v>1109</v>
      </c>
      <c r="B1117" t="s">
        <v>7503</v>
      </c>
      <c r="E1117" t="s">
        <v>7504</v>
      </c>
      <c r="F1117" t="s">
        <v>108</v>
      </c>
      <c r="H1117" t="s">
        <v>7505</v>
      </c>
      <c r="I1117" t="s">
        <v>167</v>
      </c>
      <c r="J1117" t="s">
        <v>111</v>
      </c>
      <c r="K1117" t="str">
        <f>"85339"</f>
        <v>85339</v>
      </c>
      <c r="L1117" t="s">
        <v>734</v>
      </c>
      <c r="M1117" t="s">
        <v>7505</v>
      </c>
      <c r="N1117" t="s">
        <v>167</v>
      </c>
      <c r="O1117" t="s">
        <v>111</v>
      </c>
      <c r="P1117" t="str">
        <f>"85339-3824"</f>
        <v>85339-3824</v>
      </c>
      <c r="Q1117" t="s">
        <v>113</v>
      </c>
      <c r="R1117" t="str">
        <f>"300-14-224"</f>
        <v>300-14-224</v>
      </c>
      <c r="S1117" t="s">
        <v>7506</v>
      </c>
      <c r="T1117" t="s">
        <v>7506</v>
      </c>
      <c r="U1117">
        <v>3217</v>
      </c>
      <c r="V1117">
        <v>0</v>
      </c>
      <c r="W1117">
        <v>4</v>
      </c>
      <c r="X1117">
        <v>2014</v>
      </c>
      <c r="Z1117">
        <v>1</v>
      </c>
      <c r="AA1117" t="s">
        <v>26</v>
      </c>
      <c r="AB1117">
        <v>0</v>
      </c>
      <c r="AC1117" t="s">
        <v>115</v>
      </c>
      <c r="AD1117">
        <v>3</v>
      </c>
      <c r="AE1117" t="s">
        <v>115</v>
      </c>
      <c r="AF1117">
        <v>0</v>
      </c>
      <c r="AG1117">
        <v>0</v>
      </c>
      <c r="AH1117" t="s">
        <v>116</v>
      </c>
      <c r="AI1117" s="1">
        <v>15617</v>
      </c>
      <c r="AJ1117" s="2">
        <v>0.04</v>
      </c>
      <c r="AK1117" s="1">
        <v>402843</v>
      </c>
      <c r="AL1117" t="s">
        <v>117</v>
      </c>
      <c r="AM1117" t="s">
        <v>616</v>
      </c>
      <c r="AN1117">
        <v>14367</v>
      </c>
      <c r="AO1117">
        <v>0.33</v>
      </c>
      <c r="AR1117">
        <v>1</v>
      </c>
      <c r="AS1117" s="1">
        <v>31410</v>
      </c>
      <c r="AT1117" s="1">
        <v>6280</v>
      </c>
      <c r="AU1117" s="1">
        <v>25130</v>
      </c>
      <c r="AV1117">
        <v>80.010000000000005</v>
      </c>
      <c r="AX1117" s="1">
        <v>3464.18</v>
      </c>
      <c r="AY1117" t="s">
        <v>5220</v>
      </c>
      <c r="AZ1117" t="s">
        <v>5220</v>
      </c>
      <c r="BA1117" t="s">
        <v>1661</v>
      </c>
      <c r="BE1117" s="3">
        <v>41718</v>
      </c>
      <c r="BF1117" s="1">
        <v>360094</v>
      </c>
      <c r="BG1117" t="s">
        <v>7506</v>
      </c>
      <c r="BH1117" s="1">
        <v>111.93</v>
      </c>
      <c r="BI1117" s="1">
        <v>387226</v>
      </c>
      <c r="BJ1117" s="3">
        <v>42454</v>
      </c>
      <c r="BK1117" t="s">
        <v>123</v>
      </c>
      <c r="BL1117" t="str">
        <f>"2016.193846"</f>
        <v>2016.193846</v>
      </c>
      <c r="BM1117" t="s">
        <v>2181</v>
      </c>
      <c r="BN1117" t="s">
        <v>1511</v>
      </c>
      <c r="BO1117" t="s">
        <v>7507</v>
      </c>
      <c r="BS1117">
        <v>30</v>
      </c>
      <c r="BT1117" s="1">
        <v>387226</v>
      </c>
      <c r="BU1117" s="3">
        <v>42454</v>
      </c>
      <c r="BV1117" t="s">
        <v>123</v>
      </c>
      <c r="BW1117" t="str">
        <f>"2016.193846"</f>
        <v>2016.193846</v>
      </c>
      <c r="BX1117" t="s">
        <v>2181</v>
      </c>
      <c r="BZ1117" t="s">
        <v>7507</v>
      </c>
      <c r="CD1117">
        <v>30</v>
      </c>
      <c r="CH1117" t="str">
        <f>""</f>
        <v/>
      </c>
      <c r="CS1117" t="str">
        <f>""</f>
        <v/>
      </c>
    </row>
    <row r="1118" spans="1:97" x14ac:dyDescent="0.25">
      <c r="A1118" t="s">
        <v>370</v>
      </c>
      <c r="B1118" t="s">
        <v>7508</v>
      </c>
      <c r="E1118" t="s">
        <v>7509</v>
      </c>
      <c r="F1118" t="s">
        <v>108</v>
      </c>
      <c r="H1118" t="s">
        <v>7510</v>
      </c>
      <c r="I1118" t="s">
        <v>203</v>
      </c>
      <c r="J1118" t="s">
        <v>111</v>
      </c>
      <c r="K1118" t="str">
        <f>"85297"</f>
        <v>85297</v>
      </c>
      <c r="L1118" t="s">
        <v>4698</v>
      </c>
      <c r="M1118" t="s">
        <v>7510</v>
      </c>
      <c r="N1118" t="s">
        <v>203</v>
      </c>
      <c r="O1118" t="s">
        <v>111</v>
      </c>
      <c r="P1118" t="str">
        <f>"85297-9426"</f>
        <v>85297-9426</v>
      </c>
      <c r="Q1118" t="s">
        <v>113</v>
      </c>
      <c r="R1118" t="str">
        <f>"304-60-853"</f>
        <v>304-60-853</v>
      </c>
      <c r="S1118" t="s">
        <v>7511</v>
      </c>
      <c r="U1118">
        <v>4015</v>
      </c>
      <c r="V1118">
        <v>0</v>
      </c>
      <c r="W1118">
        <v>5</v>
      </c>
      <c r="X1118">
        <v>2001</v>
      </c>
      <c r="Z1118">
        <v>2</v>
      </c>
      <c r="AA1118" t="s">
        <v>26</v>
      </c>
      <c r="AB1118">
        <v>0</v>
      </c>
      <c r="AC1118" t="s">
        <v>115</v>
      </c>
      <c r="AD1118">
        <v>3</v>
      </c>
      <c r="AE1118" t="s">
        <v>115</v>
      </c>
      <c r="AF1118">
        <v>0</v>
      </c>
      <c r="AG1118">
        <v>0</v>
      </c>
      <c r="AH1118" t="s">
        <v>116</v>
      </c>
      <c r="AI1118" s="1">
        <v>134032</v>
      </c>
      <c r="AJ1118" s="2">
        <v>0.27</v>
      </c>
      <c r="AK1118" s="1">
        <v>501560</v>
      </c>
      <c r="AL1118" t="s">
        <v>117</v>
      </c>
      <c r="AM1118" t="s">
        <v>171</v>
      </c>
      <c r="AN1118">
        <v>11913</v>
      </c>
      <c r="AO1118">
        <v>0.27</v>
      </c>
      <c r="AP1118">
        <v>1</v>
      </c>
      <c r="AR1118">
        <v>1</v>
      </c>
      <c r="AS1118" s="1">
        <v>35780</v>
      </c>
      <c r="AT1118" s="1">
        <v>7150</v>
      </c>
      <c r="AU1118" s="1">
        <v>28630</v>
      </c>
      <c r="AV1118">
        <v>80.02</v>
      </c>
      <c r="AX1118" s="1">
        <v>3153.9</v>
      </c>
      <c r="AY1118" t="s">
        <v>7512</v>
      </c>
      <c r="AZ1118" t="s">
        <v>7512</v>
      </c>
      <c r="BA1118" t="s">
        <v>473</v>
      </c>
      <c r="BE1118" s="3">
        <v>42468</v>
      </c>
      <c r="BF1118" s="1">
        <v>388000</v>
      </c>
      <c r="BG1118" t="s">
        <v>7513</v>
      </c>
      <c r="BH1118" s="1">
        <v>96.64</v>
      </c>
      <c r="BI1118" s="1">
        <v>367528</v>
      </c>
      <c r="BJ1118" s="3">
        <v>42774</v>
      </c>
      <c r="BK1118" t="s">
        <v>123</v>
      </c>
      <c r="BL1118" t="str">
        <f>"2017.96702"</f>
        <v>2017.96702</v>
      </c>
      <c r="BM1118" t="s">
        <v>3562</v>
      </c>
      <c r="BO1118" t="s">
        <v>7514</v>
      </c>
      <c r="BS1118">
        <v>30</v>
      </c>
      <c r="BW1118" t="str">
        <f>""</f>
        <v/>
      </c>
      <c r="CH1118" t="str">
        <f>""</f>
        <v/>
      </c>
      <c r="CS1118" t="str">
        <f>""</f>
        <v/>
      </c>
    </row>
    <row r="1119" spans="1:97" x14ac:dyDescent="0.25">
      <c r="B1119" t="s">
        <v>7515</v>
      </c>
      <c r="E1119" t="s">
        <v>7515</v>
      </c>
      <c r="F1119" t="s">
        <v>108</v>
      </c>
      <c r="H1119" t="s">
        <v>7516</v>
      </c>
      <c r="I1119" t="s">
        <v>188</v>
      </c>
      <c r="J1119" t="s">
        <v>111</v>
      </c>
      <c r="K1119" t="str">
        <f>"85142"</f>
        <v>85142</v>
      </c>
      <c r="L1119" t="s">
        <v>2197</v>
      </c>
      <c r="M1119" t="s">
        <v>7516</v>
      </c>
      <c r="N1119" t="s">
        <v>188</v>
      </c>
      <c r="O1119" t="s">
        <v>111</v>
      </c>
      <c r="P1119" t="str">
        <f>"85142-6229"</f>
        <v>85142-6229</v>
      </c>
      <c r="Q1119" t="s">
        <v>113</v>
      </c>
      <c r="R1119" t="str">
        <f>"304-89-439"</f>
        <v>304-89-439</v>
      </c>
      <c r="S1119" t="s">
        <v>7403</v>
      </c>
      <c r="T1119" t="s">
        <v>7403</v>
      </c>
      <c r="U1119">
        <v>2596</v>
      </c>
      <c r="V1119">
        <v>0</v>
      </c>
      <c r="W1119">
        <v>4</v>
      </c>
      <c r="X1119">
        <v>2014</v>
      </c>
      <c r="Z1119">
        <v>1</v>
      </c>
      <c r="AB1119">
        <v>0</v>
      </c>
      <c r="AC1119" t="s">
        <v>115</v>
      </c>
      <c r="AD1119">
        <v>3</v>
      </c>
      <c r="AE1119" t="s">
        <v>115</v>
      </c>
      <c r="AF1119">
        <v>0</v>
      </c>
      <c r="AG1119">
        <v>0</v>
      </c>
      <c r="AH1119" t="s">
        <v>116</v>
      </c>
      <c r="AI1119" s="1">
        <v>114715</v>
      </c>
      <c r="AJ1119" s="2">
        <v>0.28000000000000003</v>
      </c>
      <c r="AK1119" s="1">
        <v>412837</v>
      </c>
      <c r="AL1119" t="s">
        <v>117</v>
      </c>
      <c r="AM1119" t="s">
        <v>393</v>
      </c>
      <c r="AN1119">
        <v>7800</v>
      </c>
      <c r="AO1119">
        <v>0.18</v>
      </c>
      <c r="AR1119">
        <v>1</v>
      </c>
      <c r="AS1119" s="1">
        <v>29610</v>
      </c>
      <c r="AT1119" s="1">
        <v>5920</v>
      </c>
      <c r="AU1119" s="1">
        <v>23690</v>
      </c>
      <c r="AV1119">
        <v>80.010000000000005</v>
      </c>
      <c r="AX1119" s="1">
        <v>2901.6</v>
      </c>
      <c r="AY1119" t="s">
        <v>192</v>
      </c>
      <c r="AZ1119" t="s">
        <v>193</v>
      </c>
      <c r="BA1119" t="s">
        <v>194</v>
      </c>
      <c r="BB1119" s="3">
        <v>42333</v>
      </c>
      <c r="BD1119" t="s">
        <v>480</v>
      </c>
      <c r="BE1119" s="3">
        <v>41988</v>
      </c>
      <c r="BF1119" s="1">
        <v>342115</v>
      </c>
      <c r="BG1119" t="s">
        <v>562</v>
      </c>
      <c r="BH1119" s="1">
        <v>131.79</v>
      </c>
      <c r="BI1119" s="1">
        <v>298122</v>
      </c>
      <c r="BJ1119" s="3">
        <v>41988</v>
      </c>
      <c r="BK1119" t="s">
        <v>123</v>
      </c>
      <c r="BL1119" t="str">
        <f>"2014.822257"</f>
        <v>2014.822257</v>
      </c>
      <c r="BM1119" t="s">
        <v>131</v>
      </c>
      <c r="BO1119" t="s">
        <v>7517</v>
      </c>
      <c r="BS1119">
        <v>30</v>
      </c>
      <c r="BW1119" t="str">
        <f>""</f>
        <v/>
      </c>
      <c r="CH1119" t="str">
        <f>""</f>
        <v/>
      </c>
      <c r="CS1119" t="str">
        <f>""</f>
        <v/>
      </c>
    </row>
    <row r="1120" spans="1:97" x14ac:dyDescent="0.25">
      <c r="A1120" t="s">
        <v>328</v>
      </c>
      <c r="B1120" t="s">
        <v>7518</v>
      </c>
      <c r="C1120" t="s">
        <v>305</v>
      </c>
      <c r="D1120" t="s">
        <v>7518</v>
      </c>
      <c r="E1120" t="s">
        <v>7519</v>
      </c>
      <c r="F1120" t="s">
        <v>108</v>
      </c>
      <c r="H1120" t="s">
        <v>7520</v>
      </c>
      <c r="I1120" t="s">
        <v>632</v>
      </c>
      <c r="J1120" t="s">
        <v>111</v>
      </c>
      <c r="K1120" t="str">
        <f>"85387"</f>
        <v>85387</v>
      </c>
      <c r="L1120" t="s">
        <v>5496</v>
      </c>
      <c r="M1120" t="s">
        <v>7520</v>
      </c>
      <c r="N1120" t="s">
        <v>632</v>
      </c>
      <c r="O1120" t="s">
        <v>111</v>
      </c>
      <c r="P1120" t="str">
        <f>"85387-6845"</f>
        <v>85387-6845</v>
      </c>
      <c r="Q1120" t="s">
        <v>113</v>
      </c>
      <c r="R1120" t="str">
        <f>"503-73-477"</f>
        <v>503-73-477</v>
      </c>
      <c r="S1120" t="s">
        <v>7521</v>
      </c>
      <c r="T1120" t="s">
        <v>5498</v>
      </c>
      <c r="U1120">
        <v>3803</v>
      </c>
      <c r="V1120">
        <v>0</v>
      </c>
      <c r="W1120">
        <v>4</v>
      </c>
      <c r="X1120">
        <v>2007</v>
      </c>
      <c r="Z1120">
        <v>2</v>
      </c>
      <c r="AB1120">
        <v>0</v>
      </c>
      <c r="AC1120" t="s">
        <v>115</v>
      </c>
      <c r="AD1120">
        <v>3</v>
      </c>
      <c r="AE1120" t="s">
        <v>115</v>
      </c>
      <c r="AF1120">
        <v>0</v>
      </c>
      <c r="AG1120">
        <v>0</v>
      </c>
      <c r="AH1120" t="s">
        <v>116</v>
      </c>
      <c r="AI1120" s="1">
        <v>43389</v>
      </c>
      <c r="AJ1120" s="2">
        <v>0.13</v>
      </c>
      <c r="AK1120" s="1">
        <v>332629</v>
      </c>
      <c r="AL1120" t="s">
        <v>117</v>
      </c>
      <c r="AM1120" t="s">
        <v>118</v>
      </c>
      <c r="AN1120">
        <v>8004</v>
      </c>
      <c r="AO1120">
        <v>0.18</v>
      </c>
      <c r="AR1120">
        <v>1</v>
      </c>
      <c r="AS1120" s="1">
        <v>24150</v>
      </c>
      <c r="AT1120" s="1">
        <v>4830</v>
      </c>
      <c r="AU1120" s="1">
        <v>19320</v>
      </c>
      <c r="AV1120">
        <v>80</v>
      </c>
      <c r="AX1120" s="1">
        <v>1890</v>
      </c>
      <c r="AY1120" t="s">
        <v>5108</v>
      </c>
      <c r="AZ1120" t="s">
        <v>5108</v>
      </c>
      <c r="BA1120" t="s">
        <v>5109</v>
      </c>
      <c r="BE1120" s="3">
        <v>42356</v>
      </c>
      <c r="BF1120" s="1">
        <v>230000</v>
      </c>
      <c r="BG1120" t="s">
        <v>7522</v>
      </c>
      <c r="BH1120" s="1">
        <v>60.48</v>
      </c>
      <c r="BI1120" s="1">
        <v>289240</v>
      </c>
      <c r="BJ1120" s="3">
        <v>42775</v>
      </c>
      <c r="BK1120" t="s">
        <v>123</v>
      </c>
      <c r="BL1120" t="str">
        <f>"2017.99358"</f>
        <v>2017.99358</v>
      </c>
      <c r="BM1120" t="s">
        <v>7523</v>
      </c>
      <c r="BO1120" t="s">
        <v>7524</v>
      </c>
      <c r="BS1120">
        <v>30</v>
      </c>
      <c r="BW1120" t="str">
        <f>""</f>
        <v/>
      </c>
      <c r="CH1120" t="str">
        <f>""</f>
        <v/>
      </c>
      <c r="CS1120" t="str">
        <f>""</f>
        <v/>
      </c>
    </row>
    <row r="1121" spans="1:97" x14ac:dyDescent="0.25">
      <c r="A1121" t="s">
        <v>1514</v>
      </c>
      <c r="B1121" t="s">
        <v>7525</v>
      </c>
      <c r="C1121" t="s">
        <v>1507</v>
      </c>
      <c r="D1121" t="s">
        <v>7526</v>
      </c>
      <c r="E1121" t="s">
        <v>7527</v>
      </c>
      <c r="F1121" t="s">
        <v>108</v>
      </c>
      <c r="H1121" t="s">
        <v>7528</v>
      </c>
      <c r="I1121" t="s">
        <v>203</v>
      </c>
      <c r="J1121" t="s">
        <v>111</v>
      </c>
      <c r="K1121" t="str">
        <f>"85298"</f>
        <v>85298</v>
      </c>
      <c r="L1121" t="s">
        <v>5291</v>
      </c>
      <c r="M1121" t="s">
        <v>7528</v>
      </c>
      <c r="N1121" t="s">
        <v>203</v>
      </c>
      <c r="O1121" t="s">
        <v>111</v>
      </c>
      <c r="P1121" t="str">
        <f>"85298-8481"</f>
        <v>85298-8481</v>
      </c>
      <c r="Q1121" t="s">
        <v>113</v>
      </c>
      <c r="R1121" t="str">
        <f>"304-70-154"</f>
        <v>304-70-154</v>
      </c>
      <c r="S1121" t="s">
        <v>7529</v>
      </c>
      <c r="T1121" t="s">
        <v>2213</v>
      </c>
      <c r="U1121">
        <v>2866</v>
      </c>
      <c r="V1121">
        <v>0</v>
      </c>
      <c r="W1121">
        <v>4</v>
      </c>
      <c r="X1121">
        <v>2012</v>
      </c>
      <c r="Z1121">
        <v>1</v>
      </c>
      <c r="AB1121">
        <v>0</v>
      </c>
      <c r="AC1121" t="s">
        <v>115</v>
      </c>
      <c r="AD1121">
        <v>3</v>
      </c>
      <c r="AE1121" t="s">
        <v>115</v>
      </c>
      <c r="AF1121">
        <v>0</v>
      </c>
      <c r="AG1121">
        <v>0</v>
      </c>
      <c r="AH1121" t="s">
        <v>116</v>
      </c>
      <c r="AI1121" s="1">
        <v>120901</v>
      </c>
      <c r="AJ1121" s="2">
        <v>0.26</v>
      </c>
      <c r="AK1121" s="1">
        <v>466951</v>
      </c>
      <c r="AL1121" t="s">
        <v>117</v>
      </c>
      <c r="AM1121" t="s">
        <v>393</v>
      </c>
      <c r="AN1121">
        <v>8399</v>
      </c>
      <c r="AO1121">
        <v>0.19</v>
      </c>
      <c r="AR1121">
        <v>1</v>
      </c>
      <c r="AS1121" s="1">
        <v>33430</v>
      </c>
      <c r="AT1121" s="1">
        <v>6680</v>
      </c>
      <c r="AU1121" s="1">
        <v>26750</v>
      </c>
      <c r="AV1121">
        <v>80.02</v>
      </c>
      <c r="AX1121" s="1">
        <v>3301.04</v>
      </c>
      <c r="AY1121" t="s">
        <v>7512</v>
      </c>
      <c r="AZ1121" t="s">
        <v>7512</v>
      </c>
      <c r="BA1121" t="s">
        <v>473</v>
      </c>
      <c r="BE1121" s="3">
        <v>41891</v>
      </c>
      <c r="BF1121" s="1">
        <v>335000</v>
      </c>
      <c r="BG1121" t="s">
        <v>7530</v>
      </c>
      <c r="BH1121" s="1">
        <v>116.89</v>
      </c>
      <c r="BI1121" s="1">
        <v>346050</v>
      </c>
      <c r="BJ1121" s="3">
        <v>41891</v>
      </c>
      <c r="BK1121" t="s">
        <v>123</v>
      </c>
      <c r="BL1121" t="str">
        <f>"2014.595606"</f>
        <v>2014.595606</v>
      </c>
      <c r="BM1121" t="s">
        <v>7531</v>
      </c>
      <c r="BO1121" t="s">
        <v>7532</v>
      </c>
      <c r="BP1121" t="s">
        <v>7533</v>
      </c>
      <c r="BS1121">
        <v>30</v>
      </c>
      <c r="BW1121" t="str">
        <f>""</f>
        <v/>
      </c>
      <c r="CH1121" t="str">
        <f>""</f>
        <v/>
      </c>
      <c r="CS1121" t="str">
        <f>""</f>
        <v/>
      </c>
    </row>
    <row r="1122" spans="1:97" x14ac:dyDescent="0.25">
      <c r="A1122" t="s">
        <v>1388</v>
      </c>
      <c r="B1122" t="s">
        <v>7534</v>
      </c>
      <c r="C1122" t="s">
        <v>6221</v>
      </c>
      <c r="D1122" t="s">
        <v>7534</v>
      </c>
      <c r="E1122" t="s">
        <v>7535</v>
      </c>
      <c r="F1122" t="s">
        <v>108</v>
      </c>
      <c r="H1122" t="s">
        <v>7536</v>
      </c>
      <c r="I1122" t="s">
        <v>1788</v>
      </c>
      <c r="J1122" t="s">
        <v>111</v>
      </c>
      <c r="K1122" t="str">
        <f>"85355"</f>
        <v>85355</v>
      </c>
      <c r="L1122" t="s">
        <v>3758</v>
      </c>
      <c r="M1122" t="s">
        <v>7536</v>
      </c>
      <c r="N1122" t="s">
        <v>1788</v>
      </c>
      <c r="O1122" t="s">
        <v>111</v>
      </c>
      <c r="P1122" t="str">
        <f>"85355-7811"</f>
        <v>85355-7811</v>
      </c>
      <c r="Q1122" t="s">
        <v>113</v>
      </c>
      <c r="R1122" t="str">
        <f>"502-10-264"</f>
        <v>502-10-264</v>
      </c>
      <c r="S1122" t="s">
        <v>7537</v>
      </c>
      <c r="T1122" t="s">
        <v>5971</v>
      </c>
      <c r="U1122">
        <v>2669</v>
      </c>
      <c r="V1122">
        <v>0</v>
      </c>
      <c r="W1122">
        <v>4</v>
      </c>
      <c r="X1122">
        <v>2007</v>
      </c>
      <c r="Z1122">
        <v>1</v>
      </c>
      <c r="AA1122" t="s">
        <v>26</v>
      </c>
      <c r="AB1122">
        <v>0</v>
      </c>
      <c r="AC1122" t="s">
        <v>115</v>
      </c>
      <c r="AD1122">
        <v>3</v>
      </c>
      <c r="AE1122" t="s">
        <v>115</v>
      </c>
      <c r="AF1122">
        <v>0</v>
      </c>
      <c r="AG1122">
        <v>0</v>
      </c>
      <c r="AH1122" t="s">
        <v>116</v>
      </c>
      <c r="AI1122" s="1">
        <v>74116</v>
      </c>
      <c r="AJ1122" s="2">
        <v>0.21</v>
      </c>
      <c r="AK1122" s="1">
        <v>357366</v>
      </c>
      <c r="AL1122" t="s">
        <v>117</v>
      </c>
      <c r="AM1122" t="str">
        <f>"R1-7"</f>
        <v>R1-7</v>
      </c>
      <c r="AN1122">
        <v>11565</v>
      </c>
      <c r="AO1122">
        <v>0.26</v>
      </c>
      <c r="AR1122">
        <v>1</v>
      </c>
      <c r="AS1122" s="1">
        <v>29600</v>
      </c>
      <c r="AT1122" s="1">
        <v>5920</v>
      </c>
      <c r="AU1122" s="1">
        <v>23680</v>
      </c>
      <c r="AV1122">
        <v>80</v>
      </c>
      <c r="AX1122" s="1">
        <v>2121.02</v>
      </c>
      <c r="AY1122" t="s">
        <v>5972</v>
      </c>
      <c r="AZ1122" t="s">
        <v>5972</v>
      </c>
      <c r="BA1122" t="s">
        <v>5061</v>
      </c>
      <c r="BB1122" s="3">
        <v>42305</v>
      </c>
      <c r="BD1122" t="s">
        <v>458</v>
      </c>
      <c r="BE1122" s="3">
        <v>42083</v>
      </c>
      <c r="BF1122" s="1">
        <v>250000</v>
      </c>
      <c r="BG1122" t="s">
        <v>7538</v>
      </c>
      <c r="BH1122" s="1">
        <v>93.67</v>
      </c>
      <c r="BI1122" s="1">
        <v>283250</v>
      </c>
      <c r="BJ1122" s="3">
        <v>42580</v>
      </c>
      <c r="BK1122" t="s">
        <v>123</v>
      </c>
      <c r="BL1122" t="str">
        <f>"2016.536552"</f>
        <v>2016.536552</v>
      </c>
      <c r="BM1122" t="s">
        <v>903</v>
      </c>
      <c r="BO1122" t="s">
        <v>7539</v>
      </c>
      <c r="BS1122">
        <v>30</v>
      </c>
      <c r="BW1122" t="str">
        <f>""</f>
        <v/>
      </c>
      <c r="CH1122" t="str">
        <f>""</f>
        <v/>
      </c>
      <c r="CS1122" t="str">
        <f>""</f>
        <v/>
      </c>
    </row>
    <row r="1123" spans="1:97" x14ac:dyDescent="0.25">
      <c r="A1123" t="s">
        <v>7343</v>
      </c>
      <c r="B1123" t="s">
        <v>1208</v>
      </c>
      <c r="E1123" t="s">
        <v>7540</v>
      </c>
      <c r="F1123" t="s">
        <v>139</v>
      </c>
      <c r="H1123" t="s">
        <v>7541</v>
      </c>
      <c r="I1123" t="s">
        <v>110</v>
      </c>
      <c r="J1123" t="s">
        <v>111</v>
      </c>
      <c r="K1123" t="str">
        <f>"85225"</f>
        <v>85225</v>
      </c>
      <c r="L1123" t="s">
        <v>926</v>
      </c>
      <c r="M1123" t="s">
        <v>7541</v>
      </c>
      <c r="N1123" t="s">
        <v>110</v>
      </c>
      <c r="O1123" t="s">
        <v>111</v>
      </c>
      <c r="P1123" t="str">
        <f>"85225-5302"</f>
        <v>85225-5302</v>
      </c>
      <c r="Q1123" t="s">
        <v>113</v>
      </c>
      <c r="R1123" t="str">
        <f>"302-84-203"</f>
        <v>302-84-203</v>
      </c>
      <c r="S1123" t="s">
        <v>7542</v>
      </c>
      <c r="T1123" t="s">
        <v>7543</v>
      </c>
      <c r="U1123">
        <v>2650</v>
      </c>
      <c r="V1123">
        <v>0</v>
      </c>
      <c r="W1123">
        <v>4</v>
      </c>
      <c r="X1123">
        <v>1991</v>
      </c>
      <c r="Z1123">
        <v>1</v>
      </c>
      <c r="AA1123" t="s">
        <v>26</v>
      </c>
      <c r="AB1123">
        <v>0</v>
      </c>
      <c r="AC1123" t="s">
        <v>115</v>
      </c>
      <c r="AD1123">
        <v>3</v>
      </c>
      <c r="AE1123" t="s">
        <v>115</v>
      </c>
      <c r="AF1123">
        <v>0</v>
      </c>
      <c r="AG1123">
        <v>0</v>
      </c>
      <c r="AH1123" t="s">
        <v>116</v>
      </c>
      <c r="AI1123" s="1">
        <v>146912</v>
      </c>
      <c r="AJ1123" s="2">
        <v>0.33</v>
      </c>
      <c r="AK1123" s="1">
        <v>450662</v>
      </c>
      <c r="AL1123" t="s">
        <v>117</v>
      </c>
      <c r="AM1123" t="s">
        <v>118</v>
      </c>
      <c r="AN1123">
        <v>12685</v>
      </c>
      <c r="AO1123">
        <v>0.28999999999999998</v>
      </c>
      <c r="AP1123">
        <v>1</v>
      </c>
      <c r="AR1123">
        <v>1</v>
      </c>
      <c r="AS1123" s="1">
        <v>33270</v>
      </c>
      <c r="AT1123" s="1">
        <v>6650</v>
      </c>
      <c r="AU1123" s="1">
        <v>26620</v>
      </c>
      <c r="AV1123">
        <v>80.010000000000005</v>
      </c>
      <c r="AX1123" s="1">
        <v>2723.8</v>
      </c>
      <c r="AY1123" t="s">
        <v>2956</v>
      </c>
      <c r="AZ1123" t="s">
        <v>2906</v>
      </c>
      <c r="BA1123" t="s">
        <v>2957</v>
      </c>
      <c r="BB1123" s="3">
        <v>43475</v>
      </c>
      <c r="BC1123" s="1">
        <v>0</v>
      </c>
      <c r="BD1123" t="s">
        <v>247</v>
      </c>
      <c r="BE1123" s="3">
        <v>42128</v>
      </c>
      <c r="BF1123" s="1">
        <v>377000</v>
      </c>
      <c r="BG1123" t="s">
        <v>7544</v>
      </c>
      <c r="BH1123" s="1">
        <v>142.26</v>
      </c>
      <c r="BI1123" s="1">
        <v>303750</v>
      </c>
      <c r="BJ1123" s="3">
        <v>42128</v>
      </c>
      <c r="BK1123" t="s">
        <v>123</v>
      </c>
      <c r="BL1123" t="str">
        <f>"2015.313713"</f>
        <v>2015.313713</v>
      </c>
      <c r="BM1123" t="s">
        <v>1214</v>
      </c>
      <c r="BN1123" t="s">
        <v>1215</v>
      </c>
      <c r="BO1123" t="s">
        <v>7545</v>
      </c>
      <c r="BS1123">
        <v>30</v>
      </c>
      <c r="BW1123" t="str">
        <f>""</f>
        <v/>
      </c>
      <c r="CH1123" t="str">
        <f>""</f>
        <v/>
      </c>
      <c r="CS1123" t="str">
        <f>""</f>
        <v/>
      </c>
    </row>
    <row r="1124" spans="1:97" x14ac:dyDescent="0.25">
      <c r="A1124" t="s">
        <v>140</v>
      </c>
      <c r="B1124" t="s">
        <v>3871</v>
      </c>
      <c r="E1124" t="s">
        <v>7546</v>
      </c>
      <c r="F1124" t="s">
        <v>282</v>
      </c>
      <c r="H1124" t="s">
        <v>7547</v>
      </c>
      <c r="I1124" t="s">
        <v>188</v>
      </c>
      <c r="J1124" t="s">
        <v>111</v>
      </c>
      <c r="K1124" t="str">
        <f>"85142"</f>
        <v>85142</v>
      </c>
      <c r="L1124" t="s">
        <v>5291</v>
      </c>
      <c r="M1124" t="s">
        <v>7548</v>
      </c>
      <c r="N1124" t="s">
        <v>188</v>
      </c>
      <c r="O1124" t="s">
        <v>111</v>
      </c>
      <c r="P1124" t="str">
        <f>"85142-6883"</f>
        <v>85142-6883</v>
      </c>
      <c r="Q1124" t="s">
        <v>113</v>
      </c>
      <c r="R1124" t="str">
        <f>"314-05-237"</f>
        <v>314-05-237</v>
      </c>
      <c r="S1124" t="s">
        <v>7549</v>
      </c>
      <c r="U1124">
        <v>3051</v>
      </c>
      <c r="V1124">
        <v>0</v>
      </c>
      <c r="W1124">
        <v>4</v>
      </c>
      <c r="X1124">
        <v>2005</v>
      </c>
      <c r="Z1124">
        <v>2</v>
      </c>
      <c r="AA1124" t="s">
        <v>26</v>
      </c>
      <c r="AB1124">
        <v>0</v>
      </c>
      <c r="AC1124" t="s">
        <v>115</v>
      </c>
      <c r="AD1124">
        <v>3</v>
      </c>
      <c r="AE1124" t="s">
        <v>115</v>
      </c>
      <c r="AF1124">
        <v>0</v>
      </c>
      <c r="AG1124">
        <v>0</v>
      </c>
      <c r="AH1124" t="s">
        <v>116</v>
      </c>
      <c r="AI1124" s="1">
        <v>100596</v>
      </c>
      <c r="AJ1124" s="2">
        <v>0.24</v>
      </c>
      <c r="AK1124" s="1">
        <v>423684</v>
      </c>
      <c r="AL1124" t="s">
        <v>117</v>
      </c>
      <c r="AM1124" t="s">
        <v>171</v>
      </c>
      <c r="AN1124">
        <v>8000</v>
      </c>
      <c r="AO1124">
        <v>0.18</v>
      </c>
      <c r="AR1124">
        <v>1</v>
      </c>
      <c r="AS1124" s="1">
        <v>29700</v>
      </c>
      <c r="AT1124" s="1">
        <v>5940</v>
      </c>
      <c r="AU1124" s="1">
        <v>23760</v>
      </c>
      <c r="AV1124">
        <v>80</v>
      </c>
      <c r="AX1124" s="1">
        <v>2743.18</v>
      </c>
      <c r="AY1124" t="s">
        <v>5792</v>
      </c>
      <c r="AZ1124" t="s">
        <v>5792</v>
      </c>
      <c r="BA1124" t="s">
        <v>290</v>
      </c>
      <c r="BE1124" s="3">
        <v>41866</v>
      </c>
      <c r="BF1124" s="1">
        <v>328000</v>
      </c>
      <c r="BG1124" t="s">
        <v>7550</v>
      </c>
      <c r="BH1124" s="1">
        <v>107.51</v>
      </c>
      <c r="BI1124" s="1">
        <v>323088</v>
      </c>
      <c r="BJ1124" s="3">
        <v>42641</v>
      </c>
      <c r="BK1124" t="s">
        <v>123</v>
      </c>
      <c r="BL1124" t="str">
        <f>"2016.704883"</f>
        <v>2016.704883</v>
      </c>
      <c r="BM1124" t="s">
        <v>322</v>
      </c>
      <c r="BO1124" t="s">
        <v>7551</v>
      </c>
      <c r="BS1124">
        <v>30</v>
      </c>
      <c r="BW1124" t="str">
        <f>""</f>
        <v/>
      </c>
      <c r="CH1124" t="str">
        <f>""</f>
        <v/>
      </c>
      <c r="CS1124" t="str">
        <f>""</f>
        <v/>
      </c>
    </row>
    <row r="1125" spans="1:97" x14ac:dyDescent="0.25">
      <c r="A1125" t="s">
        <v>489</v>
      </c>
      <c r="B1125" t="s">
        <v>4197</v>
      </c>
      <c r="E1125" t="s">
        <v>7552</v>
      </c>
      <c r="F1125" t="s">
        <v>108</v>
      </c>
      <c r="H1125" t="s">
        <v>7553</v>
      </c>
      <c r="I1125" t="s">
        <v>144</v>
      </c>
      <c r="J1125" t="s">
        <v>111</v>
      </c>
      <c r="K1125" t="str">
        <f>"85396"</f>
        <v>85396</v>
      </c>
      <c r="L1125" t="s">
        <v>6667</v>
      </c>
      <c r="M1125" t="s">
        <v>7553</v>
      </c>
      <c r="N1125" t="s">
        <v>144</v>
      </c>
      <c r="O1125" t="s">
        <v>111</v>
      </c>
      <c r="P1125" t="str">
        <f>"85396-1523"</f>
        <v>85396-1523</v>
      </c>
      <c r="R1125" t="str">
        <f>"502-80-482"</f>
        <v>502-80-482</v>
      </c>
      <c r="S1125" t="s">
        <v>7554</v>
      </c>
      <c r="U1125">
        <v>2534</v>
      </c>
      <c r="V1125">
        <v>0</v>
      </c>
      <c r="W1125">
        <v>4</v>
      </c>
      <c r="X1125">
        <v>2008</v>
      </c>
      <c r="Z1125">
        <v>1</v>
      </c>
      <c r="AB1125">
        <v>0</v>
      </c>
      <c r="AC1125" t="s">
        <v>115</v>
      </c>
      <c r="AD1125">
        <v>2</v>
      </c>
      <c r="AE1125" t="s">
        <v>115</v>
      </c>
      <c r="AF1125">
        <v>0</v>
      </c>
      <c r="AG1125">
        <v>0</v>
      </c>
      <c r="AH1125" t="s">
        <v>116</v>
      </c>
      <c r="AI1125" s="1">
        <v>97664</v>
      </c>
      <c r="AJ1125" s="2">
        <v>0.28000000000000003</v>
      </c>
      <c r="AK1125" s="1">
        <v>352664</v>
      </c>
      <c r="AL1125" t="s">
        <v>117</v>
      </c>
      <c r="AM1125" t="s">
        <v>118</v>
      </c>
      <c r="AN1125">
        <v>7132</v>
      </c>
      <c r="AO1125">
        <v>0.16</v>
      </c>
      <c r="AR1125">
        <v>1</v>
      </c>
      <c r="AS1125" s="1">
        <v>27630</v>
      </c>
      <c r="AT1125" s="1">
        <v>5520</v>
      </c>
      <c r="AU1125" s="1">
        <v>22110</v>
      </c>
      <c r="AV1125">
        <v>80.02</v>
      </c>
      <c r="AX1125" s="1">
        <v>3570.36</v>
      </c>
      <c r="AY1125" t="s">
        <v>217</v>
      </c>
      <c r="AZ1125" t="s">
        <v>217</v>
      </c>
      <c r="BA1125" t="s">
        <v>218</v>
      </c>
      <c r="BB1125" s="3">
        <v>41701</v>
      </c>
      <c r="BD1125" t="s">
        <v>240</v>
      </c>
      <c r="BE1125" s="3">
        <v>41683</v>
      </c>
      <c r="BF1125" s="1">
        <v>255000</v>
      </c>
      <c r="BG1125" t="s">
        <v>7555</v>
      </c>
      <c r="BH1125" s="1">
        <v>100.63</v>
      </c>
      <c r="BI1125" s="1">
        <v>255000</v>
      </c>
      <c r="BJ1125" s="3">
        <v>41683</v>
      </c>
      <c r="BK1125" t="s">
        <v>123</v>
      </c>
      <c r="BL1125" t="str">
        <f>"2014.97806"</f>
        <v>2014.97806</v>
      </c>
      <c r="BM1125" t="s">
        <v>2885</v>
      </c>
      <c r="BN1125" t="s">
        <v>2948</v>
      </c>
      <c r="BO1125" t="s">
        <v>7556</v>
      </c>
      <c r="BS1125">
        <v>30</v>
      </c>
      <c r="BW1125" t="str">
        <f>""</f>
        <v/>
      </c>
      <c r="CH1125" t="str">
        <f>""</f>
        <v/>
      </c>
      <c r="CS1125" t="str">
        <f>""</f>
        <v/>
      </c>
    </row>
    <row r="1126" spans="1:97" x14ac:dyDescent="0.25">
      <c r="B1126" t="s">
        <v>7557</v>
      </c>
      <c r="E1126" t="s">
        <v>7558</v>
      </c>
      <c r="F1126" t="s">
        <v>108</v>
      </c>
      <c r="H1126" t="s">
        <v>7559</v>
      </c>
      <c r="I1126" t="s">
        <v>3150</v>
      </c>
      <c r="J1126" t="s">
        <v>111</v>
      </c>
      <c r="K1126" t="str">
        <f>"85340"</f>
        <v>85340</v>
      </c>
      <c r="L1126" t="s">
        <v>2765</v>
      </c>
      <c r="M1126" t="s">
        <v>7559</v>
      </c>
      <c r="N1126" t="s">
        <v>3150</v>
      </c>
      <c r="O1126" t="s">
        <v>111</v>
      </c>
      <c r="P1126" t="str">
        <f>"85340-6256"</f>
        <v>85340-6256</v>
      </c>
      <c r="Q1126" t="s">
        <v>113</v>
      </c>
      <c r="R1126" t="str">
        <f>"502-27-819"</f>
        <v>502-27-819</v>
      </c>
      <c r="S1126" t="s">
        <v>7560</v>
      </c>
      <c r="T1126" t="s">
        <v>7560</v>
      </c>
      <c r="U1126">
        <v>2507</v>
      </c>
      <c r="V1126">
        <v>0</v>
      </c>
      <c r="W1126">
        <v>4</v>
      </c>
      <c r="X1126">
        <v>2014</v>
      </c>
      <c r="Z1126">
        <v>1</v>
      </c>
      <c r="AA1126" t="s">
        <v>26</v>
      </c>
      <c r="AB1126">
        <v>0</v>
      </c>
      <c r="AC1126" t="s">
        <v>115</v>
      </c>
      <c r="AD1126">
        <v>3</v>
      </c>
      <c r="AE1126" t="s">
        <v>115</v>
      </c>
      <c r="AF1126">
        <v>0</v>
      </c>
      <c r="AG1126">
        <v>0</v>
      </c>
      <c r="AH1126" t="s">
        <v>116</v>
      </c>
      <c r="AI1126" s="1">
        <v>91296</v>
      </c>
      <c r="AJ1126" s="2">
        <v>0.21</v>
      </c>
      <c r="AK1126" s="1">
        <v>435416</v>
      </c>
      <c r="AL1126" t="s">
        <v>117</v>
      </c>
      <c r="AM1126" t="s">
        <v>1302</v>
      </c>
      <c r="AN1126">
        <v>14328</v>
      </c>
      <c r="AO1126">
        <v>0.33</v>
      </c>
      <c r="AR1126">
        <v>1</v>
      </c>
      <c r="AS1126" s="1">
        <v>30050</v>
      </c>
      <c r="AT1126" s="1">
        <v>6010</v>
      </c>
      <c r="AU1126" s="1">
        <v>24040</v>
      </c>
      <c r="AV1126">
        <v>80</v>
      </c>
      <c r="AX1126" s="1">
        <v>3080.36</v>
      </c>
      <c r="AY1126" t="s">
        <v>503</v>
      </c>
      <c r="AZ1126" t="s">
        <v>504</v>
      </c>
      <c r="BA1126" t="s">
        <v>218</v>
      </c>
      <c r="BB1126" s="3">
        <v>42864</v>
      </c>
      <c r="BD1126" t="s">
        <v>458</v>
      </c>
      <c r="BE1126" s="3">
        <v>41689</v>
      </c>
      <c r="BF1126" s="1">
        <v>347038</v>
      </c>
      <c r="BG1126" t="s">
        <v>158</v>
      </c>
      <c r="BH1126" s="1">
        <v>138.43</v>
      </c>
      <c r="BI1126" s="1">
        <v>344120</v>
      </c>
      <c r="BJ1126" s="3">
        <v>41912</v>
      </c>
      <c r="BK1126" t="s">
        <v>123</v>
      </c>
      <c r="BL1126" t="str">
        <f>"2014.645760"</f>
        <v>2014.645760</v>
      </c>
      <c r="BM1126" t="s">
        <v>255</v>
      </c>
      <c r="BN1126" t="s">
        <v>5066</v>
      </c>
      <c r="BO1126" t="s">
        <v>7561</v>
      </c>
      <c r="BS1126">
        <v>30</v>
      </c>
      <c r="BW1126" t="str">
        <f>""</f>
        <v/>
      </c>
      <c r="CH1126" t="str">
        <f>""</f>
        <v/>
      </c>
      <c r="CS1126" t="str">
        <f>""</f>
        <v/>
      </c>
    </row>
    <row r="1127" spans="1:97" x14ac:dyDescent="0.25">
      <c r="A1127" t="s">
        <v>7562</v>
      </c>
      <c r="B1127" t="s">
        <v>7563</v>
      </c>
      <c r="C1127" t="s">
        <v>4325</v>
      </c>
      <c r="D1127" t="s">
        <v>7563</v>
      </c>
      <c r="E1127" t="s">
        <v>7564</v>
      </c>
      <c r="F1127" t="s">
        <v>108</v>
      </c>
      <c r="H1127" t="s">
        <v>7565</v>
      </c>
      <c r="I1127" t="s">
        <v>203</v>
      </c>
      <c r="J1127" t="s">
        <v>111</v>
      </c>
      <c r="K1127" t="str">
        <f>"85298"</f>
        <v>85298</v>
      </c>
      <c r="L1127" t="s">
        <v>2211</v>
      </c>
      <c r="M1127" t="s">
        <v>7565</v>
      </c>
      <c r="N1127" t="s">
        <v>203</v>
      </c>
      <c r="O1127" t="s">
        <v>111</v>
      </c>
      <c r="P1127" t="str">
        <f>"85298-2321"</f>
        <v>85298-2321</v>
      </c>
      <c r="Q1127" t="s">
        <v>113</v>
      </c>
      <c r="R1127" t="str">
        <f>"304-81-817"</f>
        <v>304-81-817</v>
      </c>
      <c r="S1127" t="s">
        <v>7566</v>
      </c>
      <c r="T1127" t="s">
        <v>2213</v>
      </c>
      <c r="U1127">
        <v>2758</v>
      </c>
      <c r="V1127">
        <v>0</v>
      </c>
      <c r="W1127">
        <v>4</v>
      </c>
      <c r="X1127">
        <v>2012</v>
      </c>
      <c r="Z1127">
        <v>1</v>
      </c>
      <c r="AA1127" t="s">
        <v>26</v>
      </c>
      <c r="AB1127">
        <v>0</v>
      </c>
      <c r="AC1127" t="s">
        <v>115</v>
      </c>
      <c r="AD1127">
        <v>3</v>
      </c>
      <c r="AE1127" t="s">
        <v>115</v>
      </c>
      <c r="AF1127">
        <v>0</v>
      </c>
      <c r="AG1127">
        <v>0</v>
      </c>
      <c r="AH1127" t="s">
        <v>116</v>
      </c>
      <c r="AI1127" s="1">
        <v>54849</v>
      </c>
      <c r="AJ1127" s="2">
        <v>0.11</v>
      </c>
      <c r="AK1127" s="1">
        <v>485666</v>
      </c>
      <c r="AL1127" t="s">
        <v>117</v>
      </c>
      <c r="AM1127" t="s">
        <v>393</v>
      </c>
      <c r="AN1127">
        <v>8400</v>
      </c>
      <c r="AO1127">
        <v>0.19</v>
      </c>
      <c r="AR1127">
        <v>1</v>
      </c>
      <c r="AS1127" s="1">
        <v>34770</v>
      </c>
      <c r="AT1127" s="1">
        <v>6950</v>
      </c>
      <c r="AU1127" s="1">
        <v>27820</v>
      </c>
      <c r="AV1127">
        <v>80.010000000000005</v>
      </c>
      <c r="AX1127" s="1">
        <v>3012.76</v>
      </c>
      <c r="AY1127" t="s">
        <v>2214</v>
      </c>
      <c r="AZ1127" t="s">
        <v>1134</v>
      </c>
      <c r="BA1127" t="s">
        <v>1134</v>
      </c>
      <c r="BE1127" s="3">
        <v>42216</v>
      </c>
      <c r="BF1127" s="1">
        <v>406500</v>
      </c>
      <c r="BG1127" t="s">
        <v>7567</v>
      </c>
      <c r="BH1127" s="1">
        <v>147.38999999999999</v>
      </c>
      <c r="BI1127" s="1">
        <v>430817</v>
      </c>
      <c r="BJ1127" s="3">
        <v>42569</v>
      </c>
      <c r="BK1127" t="s">
        <v>123</v>
      </c>
      <c r="BL1127" t="str">
        <f>"2016.501883"</f>
        <v>2016.501883</v>
      </c>
      <c r="BM1127" t="s">
        <v>1695</v>
      </c>
      <c r="BO1127" t="s">
        <v>7568</v>
      </c>
      <c r="BS1127">
        <v>30</v>
      </c>
      <c r="BW1127" t="str">
        <f>""</f>
        <v/>
      </c>
      <c r="CH1127" t="str">
        <f>""</f>
        <v/>
      </c>
      <c r="CS1127" t="str">
        <f>""</f>
        <v/>
      </c>
    </row>
    <row r="1128" spans="1:97" x14ac:dyDescent="0.25">
      <c r="A1128" t="s">
        <v>428</v>
      </c>
      <c r="B1128" t="s">
        <v>7569</v>
      </c>
      <c r="E1128" t="s">
        <v>7570</v>
      </c>
      <c r="F1128" t="s">
        <v>108</v>
      </c>
      <c r="H1128" t="s">
        <v>7571</v>
      </c>
      <c r="I1128" t="s">
        <v>499</v>
      </c>
      <c r="J1128" t="s">
        <v>111</v>
      </c>
      <c r="K1128" t="str">
        <f>"85395"</f>
        <v>85395</v>
      </c>
      <c r="L1128" t="s">
        <v>541</v>
      </c>
      <c r="M1128" t="s">
        <v>7571</v>
      </c>
      <c r="N1128" t="s">
        <v>499</v>
      </c>
      <c r="O1128" t="s">
        <v>111</v>
      </c>
      <c r="P1128" t="str">
        <f>"85395-7574"</f>
        <v>85395-7574</v>
      </c>
      <c r="Q1128" t="s">
        <v>113</v>
      </c>
      <c r="R1128" t="str">
        <f>"508-11-439"</f>
        <v>508-11-439</v>
      </c>
      <c r="S1128" t="s">
        <v>5752</v>
      </c>
      <c r="T1128" t="s">
        <v>5753</v>
      </c>
      <c r="U1128">
        <v>3578</v>
      </c>
      <c r="V1128">
        <v>0</v>
      </c>
      <c r="W1128">
        <v>4</v>
      </c>
      <c r="X1128">
        <v>2014</v>
      </c>
      <c r="Z1128">
        <v>1</v>
      </c>
      <c r="AB1128">
        <v>0</v>
      </c>
      <c r="AC1128" t="s">
        <v>115</v>
      </c>
      <c r="AD1128">
        <v>4</v>
      </c>
      <c r="AE1128" t="s">
        <v>115</v>
      </c>
      <c r="AF1128">
        <v>0</v>
      </c>
      <c r="AG1128">
        <v>0</v>
      </c>
      <c r="AH1128" t="s">
        <v>116</v>
      </c>
      <c r="AI1128" s="1">
        <v>147069</v>
      </c>
      <c r="AJ1128" s="2">
        <v>0.28999999999999998</v>
      </c>
      <c r="AK1128" s="1">
        <v>502405</v>
      </c>
      <c r="AL1128" t="s">
        <v>117</v>
      </c>
      <c r="AM1128" t="s">
        <v>118</v>
      </c>
      <c r="AN1128">
        <v>11019</v>
      </c>
      <c r="AO1128">
        <v>0.25</v>
      </c>
      <c r="AR1128">
        <v>1</v>
      </c>
      <c r="AS1128" s="1">
        <v>37970</v>
      </c>
      <c r="AT1128" s="1">
        <v>7590</v>
      </c>
      <c r="AU1128" s="1">
        <v>30380</v>
      </c>
      <c r="AV1128">
        <v>80.010000000000005</v>
      </c>
      <c r="AX1128" s="1">
        <v>4344.9799999999996</v>
      </c>
      <c r="AY1128" t="s">
        <v>3019</v>
      </c>
      <c r="AZ1128" t="s">
        <v>3020</v>
      </c>
      <c r="BA1128" t="s">
        <v>218</v>
      </c>
      <c r="BE1128" s="3">
        <v>41995</v>
      </c>
      <c r="BF1128" s="1">
        <v>410950</v>
      </c>
      <c r="BG1128" t="s">
        <v>562</v>
      </c>
      <c r="BH1128" s="1">
        <v>114.85</v>
      </c>
      <c r="BI1128" s="1">
        <v>355336</v>
      </c>
      <c r="BJ1128" s="3">
        <v>41995</v>
      </c>
      <c r="BK1128" t="s">
        <v>123</v>
      </c>
      <c r="BL1128" t="str">
        <f>"2014.841091"</f>
        <v>2014.841091</v>
      </c>
      <c r="BM1128" t="s">
        <v>131</v>
      </c>
      <c r="BO1128" t="s">
        <v>7572</v>
      </c>
      <c r="BS1128">
        <v>30</v>
      </c>
      <c r="BW1128" t="str">
        <f>""</f>
        <v/>
      </c>
      <c r="CH1128" t="str">
        <f>""</f>
        <v/>
      </c>
      <c r="CS1128" t="str">
        <f>""</f>
        <v/>
      </c>
    </row>
    <row r="1129" spans="1:97" x14ac:dyDescent="0.25">
      <c r="B1129" t="s">
        <v>7573</v>
      </c>
      <c r="E1129" t="s">
        <v>7574</v>
      </c>
      <c r="F1129" t="s">
        <v>139</v>
      </c>
      <c r="H1129" t="s">
        <v>7575</v>
      </c>
      <c r="I1129" t="s">
        <v>225</v>
      </c>
      <c r="J1129" t="s">
        <v>111</v>
      </c>
      <c r="K1129" t="str">
        <f>"85203"</f>
        <v>85203</v>
      </c>
      <c r="L1129" t="s">
        <v>5709</v>
      </c>
      <c r="M1129" t="s">
        <v>7575</v>
      </c>
      <c r="N1129" t="s">
        <v>225</v>
      </c>
      <c r="O1129" t="s">
        <v>111</v>
      </c>
      <c r="P1129" t="str">
        <f>"85203-5802"</f>
        <v>85203-5802</v>
      </c>
      <c r="Q1129" t="s">
        <v>113</v>
      </c>
      <c r="R1129" t="str">
        <f>"137-02-138"</f>
        <v>137-02-138</v>
      </c>
      <c r="S1129" t="s">
        <v>7576</v>
      </c>
      <c r="T1129" t="s">
        <v>7577</v>
      </c>
      <c r="U1129">
        <v>2936</v>
      </c>
      <c r="V1129">
        <v>0</v>
      </c>
      <c r="W1129">
        <v>3</v>
      </c>
      <c r="X1129">
        <v>1979</v>
      </c>
      <c r="Z1129">
        <v>1</v>
      </c>
      <c r="AB1129">
        <v>0</v>
      </c>
      <c r="AC1129" t="s">
        <v>115</v>
      </c>
      <c r="AD1129">
        <v>2</v>
      </c>
      <c r="AE1129" t="s">
        <v>115</v>
      </c>
      <c r="AF1129">
        <v>0</v>
      </c>
      <c r="AG1129">
        <v>0</v>
      </c>
      <c r="AH1129" t="s">
        <v>116</v>
      </c>
      <c r="AI1129" s="1">
        <v>-22384</v>
      </c>
      <c r="AJ1129" s="2">
        <v>-0.05</v>
      </c>
      <c r="AK1129" s="1">
        <v>417570</v>
      </c>
      <c r="AL1129" t="s">
        <v>117</v>
      </c>
      <c r="AM1129" t="s">
        <v>917</v>
      </c>
      <c r="AN1129">
        <v>14937</v>
      </c>
      <c r="AO1129">
        <v>0.34</v>
      </c>
      <c r="AP1129">
        <v>1</v>
      </c>
      <c r="AR1129">
        <v>1</v>
      </c>
      <c r="AS1129" s="1">
        <v>29160</v>
      </c>
      <c r="AT1129" s="1">
        <v>5830</v>
      </c>
      <c r="AU1129" s="1">
        <v>23330</v>
      </c>
      <c r="AV1129">
        <v>80.010000000000005</v>
      </c>
      <c r="AX1129" s="1">
        <v>2449.62</v>
      </c>
      <c r="AY1129" t="s">
        <v>7578</v>
      </c>
      <c r="AZ1129" t="s">
        <v>1523</v>
      </c>
      <c r="BA1129" t="s">
        <v>1524</v>
      </c>
      <c r="BB1129" s="3">
        <v>43306</v>
      </c>
      <c r="BC1129" s="1">
        <v>0</v>
      </c>
      <c r="BD1129" t="s">
        <v>247</v>
      </c>
      <c r="BE1129" s="3">
        <v>42034</v>
      </c>
      <c r="BF1129" s="1">
        <v>270000</v>
      </c>
      <c r="BG1129" t="s">
        <v>7579</v>
      </c>
      <c r="BH1129" s="1">
        <v>109.05</v>
      </c>
      <c r="BI1129" s="1">
        <v>439954</v>
      </c>
      <c r="BJ1129" s="3">
        <v>42531</v>
      </c>
      <c r="BK1129" t="s">
        <v>123</v>
      </c>
      <c r="BL1129" t="str">
        <f>"2016.405023"</f>
        <v>2016.405023</v>
      </c>
      <c r="BM1129" t="s">
        <v>2489</v>
      </c>
      <c r="BN1129" t="s">
        <v>4819</v>
      </c>
      <c r="BO1129" t="s">
        <v>7580</v>
      </c>
      <c r="BS1129">
        <v>30</v>
      </c>
      <c r="BW1129" t="str">
        <f>""</f>
        <v/>
      </c>
      <c r="CH1129" t="str">
        <f>""</f>
        <v/>
      </c>
      <c r="CS1129" t="str">
        <f>""</f>
        <v/>
      </c>
    </row>
    <row r="1130" spans="1:97" x14ac:dyDescent="0.25">
      <c r="A1130" t="s">
        <v>106</v>
      </c>
      <c r="B1130" t="s">
        <v>7581</v>
      </c>
      <c r="E1130" t="s">
        <v>7582</v>
      </c>
      <c r="F1130" t="s">
        <v>282</v>
      </c>
      <c r="H1130" t="s">
        <v>7583</v>
      </c>
      <c r="I1130" t="s">
        <v>390</v>
      </c>
      <c r="J1130" t="s">
        <v>111</v>
      </c>
      <c r="K1130" t="str">
        <f>"85012"</f>
        <v>85012</v>
      </c>
      <c r="L1130" t="s">
        <v>7005</v>
      </c>
      <c r="M1130" t="s">
        <v>7584</v>
      </c>
      <c r="N1130" t="s">
        <v>390</v>
      </c>
      <c r="O1130" t="s">
        <v>111</v>
      </c>
      <c r="P1130" t="str">
        <f>"85015-3001"</f>
        <v>85015-3001</v>
      </c>
      <c r="Q1130" t="s">
        <v>113</v>
      </c>
      <c r="R1130" t="str">
        <f>"161-21-061"</f>
        <v>161-21-061</v>
      </c>
      <c r="S1130" t="s">
        <v>7585</v>
      </c>
      <c r="T1130" t="s">
        <v>7586</v>
      </c>
      <c r="U1130">
        <v>3067</v>
      </c>
      <c r="V1130">
        <v>0</v>
      </c>
      <c r="W1130">
        <v>4</v>
      </c>
      <c r="X1130">
        <v>1952</v>
      </c>
      <c r="Z1130">
        <v>1</v>
      </c>
      <c r="AB1130">
        <v>0</v>
      </c>
      <c r="AC1130" t="s">
        <v>115</v>
      </c>
      <c r="AD1130">
        <v>1</v>
      </c>
      <c r="AE1130" t="s">
        <v>115</v>
      </c>
      <c r="AF1130">
        <v>0</v>
      </c>
      <c r="AG1130">
        <v>0</v>
      </c>
      <c r="AH1130" t="s">
        <v>116</v>
      </c>
      <c r="AI1130" s="1">
        <v>537135</v>
      </c>
      <c r="AJ1130" s="2">
        <v>0.61</v>
      </c>
      <c r="AK1130" s="1">
        <v>887135</v>
      </c>
      <c r="AL1130" t="s">
        <v>117</v>
      </c>
      <c r="AM1130" t="s">
        <v>1302</v>
      </c>
      <c r="AN1130">
        <v>14998</v>
      </c>
      <c r="AO1130">
        <v>0.34</v>
      </c>
      <c r="AP1130">
        <v>1</v>
      </c>
      <c r="AR1130">
        <v>1</v>
      </c>
      <c r="AS1130" s="1">
        <v>55810</v>
      </c>
      <c r="AT1130" s="1">
        <v>11160</v>
      </c>
      <c r="AU1130" s="1">
        <v>44650</v>
      </c>
      <c r="AV1130">
        <v>80</v>
      </c>
      <c r="AX1130" s="1">
        <v>5943.08</v>
      </c>
      <c r="AY1130" t="s">
        <v>5734</v>
      </c>
      <c r="AZ1130" t="s">
        <v>5735</v>
      </c>
      <c r="BA1130" t="s">
        <v>5691</v>
      </c>
      <c r="BB1130" s="3">
        <v>42508</v>
      </c>
      <c r="BD1130" t="s">
        <v>240</v>
      </c>
      <c r="BE1130" s="3">
        <v>42156</v>
      </c>
      <c r="BF1130" s="1">
        <v>540000</v>
      </c>
      <c r="BG1130" t="s">
        <v>7587</v>
      </c>
      <c r="BH1130" s="1">
        <v>236.22</v>
      </c>
      <c r="BI1130" s="1">
        <v>350000</v>
      </c>
      <c r="BJ1130" s="3">
        <v>42558</v>
      </c>
      <c r="BK1130" t="s">
        <v>123</v>
      </c>
      <c r="BL1130" t="str">
        <f>"2016.477192"</f>
        <v>2016.477192</v>
      </c>
      <c r="BM1130" t="s">
        <v>1154</v>
      </c>
      <c r="BO1130" t="s">
        <v>7588</v>
      </c>
      <c r="BS1130">
        <v>30</v>
      </c>
      <c r="BW1130" t="str">
        <f>""</f>
        <v/>
      </c>
      <c r="CH1130" t="str">
        <f>""</f>
        <v/>
      </c>
      <c r="CS1130" t="str">
        <f>""</f>
        <v/>
      </c>
    </row>
    <row r="1131" spans="1:97" x14ac:dyDescent="0.25">
      <c r="A1131" t="s">
        <v>815</v>
      </c>
      <c r="B1131" t="s">
        <v>6779</v>
      </c>
      <c r="E1131" t="s">
        <v>7589</v>
      </c>
      <c r="F1131" t="s">
        <v>108</v>
      </c>
      <c r="H1131" t="s">
        <v>7590</v>
      </c>
      <c r="I1131" t="s">
        <v>203</v>
      </c>
      <c r="J1131" t="s">
        <v>111</v>
      </c>
      <c r="K1131" t="str">
        <f>"85298"</f>
        <v>85298</v>
      </c>
      <c r="L1131" t="s">
        <v>500</v>
      </c>
      <c r="M1131" t="s">
        <v>7590</v>
      </c>
      <c r="N1131" t="s">
        <v>203</v>
      </c>
      <c r="O1131" t="s">
        <v>111</v>
      </c>
      <c r="P1131" t="str">
        <f>"85298-4234"</f>
        <v>85298-4234</v>
      </c>
      <c r="R1131" t="str">
        <f>"313-07-599"</f>
        <v>313-07-599</v>
      </c>
      <c r="S1131" t="s">
        <v>7591</v>
      </c>
      <c r="T1131" t="s">
        <v>1132</v>
      </c>
      <c r="U1131">
        <v>1749</v>
      </c>
      <c r="V1131">
        <v>0</v>
      </c>
      <c r="W1131">
        <v>3</v>
      </c>
      <c r="X1131">
        <v>2006</v>
      </c>
      <c r="Z1131">
        <v>1</v>
      </c>
      <c r="AB1131">
        <v>0</v>
      </c>
      <c r="AC1131" t="s">
        <v>115</v>
      </c>
      <c r="AD1131">
        <v>2</v>
      </c>
      <c r="AE1131" t="s">
        <v>115</v>
      </c>
      <c r="AF1131">
        <v>0</v>
      </c>
      <c r="AG1131">
        <v>0</v>
      </c>
      <c r="AH1131" t="s">
        <v>116</v>
      </c>
      <c r="AI1131" s="1">
        <v>71845</v>
      </c>
      <c r="AJ1131" s="2">
        <v>0.22</v>
      </c>
      <c r="AK1131" s="1">
        <v>329345</v>
      </c>
      <c r="AL1131" t="s">
        <v>117</v>
      </c>
      <c r="AM1131" t="s">
        <v>191</v>
      </c>
      <c r="AN1131">
        <v>9793</v>
      </c>
      <c r="AO1131">
        <v>0.22</v>
      </c>
      <c r="AR1131">
        <v>1</v>
      </c>
      <c r="AS1131" s="1">
        <v>21910</v>
      </c>
      <c r="AT1131" s="1">
        <v>4380</v>
      </c>
      <c r="AU1131" s="1">
        <v>17530</v>
      </c>
      <c r="AV1131">
        <v>80.010000000000005</v>
      </c>
      <c r="AX1131" s="1">
        <v>1761.34</v>
      </c>
      <c r="AY1131" t="s">
        <v>1133</v>
      </c>
      <c r="AZ1131" t="s">
        <v>1134</v>
      </c>
      <c r="BA1131" t="s">
        <v>1134</v>
      </c>
      <c r="BE1131" s="3">
        <v>42268</v>
      </c>
      <c r="BF1131" s="1">
        <v>257500</v>
      </c>
      <c r="BG1131" t="s">
        <v>7592</v>
      </c>
      <c r="BH1131" s="1">
        <v>147.22999999999999</v>
      </c>
      <c r="BI1131" s="1">
        <v>257500</v>
      </c>
      <c r="BJ1131" s="3">
        <v>42268</v>
      </c>
      <c r="BK1131" t="s">
        <v>123</v>
      </c>
      <c r="BL1131" t="str">
        <f>"2015.678315"</f>
        <v>2015.678315</v>
      </c>
      <c r="BM1131" t="s">
        <v>2489</v>
      </c>
      <c r="BN1131" t="s">
        <v>4819</v>
      </c>
      <c r="BO1131" t="s">
        <v>7593</v>
      </c>
      <c r="BS1131">
        <v>30</v>
      </c>
      <c r="BW1131" t="str">
        <f>""</f>
        <v/>
      </c>
      <c r="CH1131" t="str">
        <f>""</f>
        <v/>
      </c>
      <c r="CS1131" t="str">
        <f>""</f>
        <v/>
      </c>
    </row>
    <row r="1132" spans="1:97" x14ac:dyDescent="0.25">
      <c r="A1132" t="s">
        <v>7594</v>
      </c>
      <c r="B1132" t="s">
        <v>7595</v>
      </c>
      <c r="C1132" t="s">
        <v>7596</v>
      </c>
      <c r="D1132" t="s">
        <v>7595</v>
      </c>
      <c r="E1132" t="s">
        <v>7597</v>
      </c>
      <c r="F1132" t="s">
        <v>108</v>
      </c>
      <c r="H1132" t="s">
        <v>7598</v>
      </c>
      <c r="I1132" t="s">
        <v>110</v>
      </c>
      <c r="J1132" t="s">
        <v>111</v>
      </c>
      <c r="K1132" t="str">
        <f>"85249"</f>
        <v>85249</v>
      </c>
      <c r="L1132" t="s">
        <v>417</v>
      </c>
      <c r="M1132" t="s">
        <v>7598</v>
      </c>
      <c r="N1132" t="s">
        <v>110</v>
      </c>
      <c r="O1132" t="s">
        <v>111</v>
      </c>
      <c r="P1132" t="str">
        <f>"85249-5853"</f>
        <v>85249-5853</v>
      </c>
      <c r="R1132" t="str">
        <f>"304-82-431"</f>
        <v>304-82-431</v>
      </c>
      <c r="S1132" t="s">
        <v>7599</v>
      </c>
      <c r="T1132" t="s">
        <v>7599</v>
      </c>
      <c r="U1132">
        <v>2400</v>
      </c>
      <c r="V1132">
        <v>0</v>
      </c>
      <c r="W1132">
        <v>3</v>
      </c>
      <c r="X1132">
        <v>2004</v>
      </c>
      <c r="Z1132">
        <v>1</v>
      </c>
      <c r="AA1132" t="s">
        <v>26</v>
      </c>
      <c r="AB1132">
        <v>0</v>
      </c>
      <c r="AC1132" t="s">
        <v>115</v>
      </c>
      <c r="AD1132">
        <v>3</v>
      </c>
      <c r="AE1132" t="s">
        <v>115</v>
      </c>
      <c r="AF1132">
        <v>0</v>
      </c>
      <c r="AG1132">
        <v>0</v>
      </c>
      <c r="AH1132" t="s">
        <v>116</v>
      </c>
      <c r="AI1132" s="1">
        <v>72290</v>
      </c>
      <c r="AJ1132" s="2">
        <v>0.18</v>
      </c>
      <c r="AK1132" s="1">
        <v>392325</v>
      </c>
      <c r="AL1132" t="s">
        <v>117</v>
      </c>
      <c r="AM1132" t="s">
        <v>118</v>
      </c>
      <c r="AN1132">
        <v>9602</v>
      </c>
      <c r="AO1132">
        <v>0.22</v>
      </c>
      <c r="AP1132">
        <v>1</v>
      </c>
      <c r="AR1132">
        <v>1</v>
      </c>
      <c r="AS1132" s="1">
        <v>29020</v>
      </c>
      <c r="AT1132" s="1">
        <v>5800</v>
      </c>
      <c r="AU1132" s="1">
        <v>23220</v>
      </c>
      <c r="AV1132">
        <v>80.010000000000005</v>
      </c>
      <c r="AX1132" s="1">
        <v>2503.7800000000002</v>
      </c>
      <c r="AY1132" t="s">
        <v>3699</v>
      </c>
      <c r="AZ1132" t="s">
        <v>273</v>
      </c>
      <c r="BA1132" t="s">
        <v>274</v>
      </c>
      <c r="BE1132" s="3">
        <v>42090</v>
      </c>
      <c r="BF1132" s="1">
        <v>313300</v>
      </c>
      <c r="BG1132" t="s">
        <v>7600</v>
      </c>
      <c r="BH1132" s="1">
        <v>130.54</v>
      </c>
      <c r="BI1132" s="1">
        <v>320035</v>
      </c>
      <c r="BJ1132" s="3">
        <v>42090</v>
      </c>
      <c r="BK1132" t="s">
        <v>123</v>
      </c>
      <c r="BL1132" t="str">
        <f>"2015.205759"</f>
        <v>2015.205759</v>
      </c>
      <c r="BM1132" t="s">
        <v>475</v>
      </c>
      <c r="BN1132" t="s">
        <v>1282</v>
      </c>
      <c r="BO1132" t="s">
        <v>7601</v>
      </c>
      <c r="BS1132">
        <v>30</v>
      </c>
      <c r="BW1132" t="str">
        <f>""</f>
        <v/>
      </c>
      <c r="CH1132" t="str">
        <f>""</f>
        <v/>
      </c>
      <c r="CS1132" t="str">
        <f>""</f>
        <v/>
      </c>
    </row>
    <row r="1133" spans="1:97" x14ac:dyDescent="0.25">
      <c r="A1133" t="s">
        <v>7602</v>
      </c>
      <c r="B1133" t="s">
        <v>7603</v>
      </c>
      <c r="C1133" t="s">
        <v>7604</v>
      </c>
      <c r="D1133" t="s">
        <v>7603</v>
      </c>
      <c r="E1133" t="s">
        <v>7605</v>
      </c>
      <c r="F1133" t="s">
        <v>282</v>
      </c>
      <c r="H1133" t="s">
        <v>7606</v>
      </c>
      <c r="I1133" t="s">
        <v>632</v>
      </c>
      <c r="J1133" t="s">
        <v>111</v>
      </c>
      <c r="K1133" t="str">
        <f>"85388"</f>
        <v>85388</v>
      </c>
      <c r="L1133" t="s">
        <v>7607</v>
      </c>
      <c r="M1133" t="s">
        <v>7608</v>
      </c>
      <c r="N1133" t="s">
        <v>7609</v>
      </c>
      <c r="O1133" t="s">
        <v>7610</v>
      </c>
      <c r="P1133" t="str">
        <f>"09752"</f>
        <v>09752</v>
      </c>
      <c r="Q1133" t="s">
        <v>113</v>
      </c>
      <c r="R1133" t="str">
        <f>"502-02-272"</f>
        <v>502-02-272</v>
      </c>
      <c r="S1133" t="s">
        <v>7611</v>
      </c>
      <c r="T1133" t="s">
        <v>7612</v>
      </c>
      <c r="U1133">
        <v>2608</v>
      </c>
      <c r="V1133">
        <v>0</v>
      </c>
      <c r="W1133">
        <v>4</v>
      </c>
      <c r="X1133">
        <v>2007</v>
      </c>
      <c r="Z1133">
        <v>2</v>
      </c>
      <c r="AB1133">
        <v>0</v>
      </c>
      <c r="AC1133" t="s">
        <v>115</v>
      </c>
      <c r="AD1133">
        <v>3</v>
      </c>
      <c r="AE1133" t="s">
        <v>115</v>
      </c>
      <c r="AF1133">
        <v>0</v>
      </c>
      <c r="AG1133">
        <v>0</v>
      </c>
      <c r="AH1133" t="s">
        <v>116</v>
      </c>
      <c r="AI1133" s="1">
        <v>63189</v>
      </c>
      <c r="AJ1133" s="2">
        <v>0.19</v>
      </c>
      <c r="AK1133" s="1">
        <v>328779</v>
      </c>
      <c r="AL1133" t="s">
        <v>117</v>
      </c>
      <c r="AM1133" t="s">
        <v>118</v>
      </c>
      <c r="AN1133">
        <v>6395</v>
      </c>
      <c r="AO1133">
        <v>0.15</v>
      </c>
      <c r="AR1133">
        <v>1</v>
      </c>
      <c r="AS1133" s="1">
        <v>22570</v>
      </c>
      <c r="AT1133" s="1">
        <v>4510</v>
      </c>
      <c r="AU1133" s="1">
        <v>18060</v>
      </c>
      <c r="AV1133">
        <v>80.02</v>
      </c>
      <c r="AX1133" s="1">
        <v>2178.2600000000002</v>
      </c>
      <c r="AY1133" t="s">
        <v>5168</v>
      </c>
      <c r="AZ1133" t="s">
        <v>5168</v>
      </c>
      <c r="BA1133" t="s">
        <v>5109</v>
      </c>
      <c r="BE1133" s="3">
        <v>42151</v>
      </c>
      <c r="BF1133" s="1">
        <v>260000</v>
      </c>
      <c r="BG1133" t="s">
        <v>7613</v>
      </c>
      <c r="BH1133" s="1">
        <v>99.69</v>
      </c>
      <c r="BI1133" s="1">
        <v>265590</v>
      </c>
      <c r="BJ1133" s="3">
        <v>42151</v>
      </c>
      <c r="BK1133" t="s">
        <v>123</v>
      </c>
      <c r="BL1133" t="str">
        <f>"2015.373577"</f>
        <v>2015.373577</v>
      </c>
      <c r="BM1133" t="s">
        <v>402</v>
      </c>
      <c r="BO1133" t="s">
        <v>7614</v>
      </c>
      <c r="BS1133">
        <v>30</v>
      </c>
      <c r="BW1133" t="str">
        <f>""</f>
        <v/>
      </c>
      <c r="CH1133" t="str">
        <f>""</f>
        <v/>
      </c>
      <c r="CS1133" t="str">
        <f>""</f>
        <v/>
      </c>
    </row>
    <row r="1134" spans="1:97" x14ac:dyDescent="0.25">
      <c r="A1134" t="s">
        <v>815</v>
      </c>
      <c r="B1134" t="s">
        <v>7615</v>
      </c>
      <c r="C1134" t="s">
        <v>7616</v>
      </c>
      <c r="D1134" t="s">
        <v>7615</v>
      </c>
      <c r="E1134" t="s">
        <v>7617</v>
      </c>
      <c r="F1134" t="s">
        <v>108</v>
      </c>
      <c r="H1134" t="s">
        <v>7618</v>
      </c>
      <c r="I1134" t="s">
        <v>225</v>
      </c>
      <c r="J1134" t="s">
        <v>111</v>
      </c>
      <c r="K1134" t="str">
        <f>"85212"</f>
        <v>85212</v>
      </c>
      <c r="L1134" t="s">
        <v>7619</v>
      </c>
      <c r="M1134" t="s">
        <v>7618</v>
      </c>
      <c r="N1134" t="s">
        <v>225</v>
      </c>
      <c r="O1134" t="s">
        <v>111</v>
      </c>
      <c r="P1134" t="str">
        <f>"85212-2536"</f>
        <v>85212-2536</v>
      </c>
      <c r="Q1134" t="s">
        <v>113</v>
      </c>
      <c r="R1134" t="str">
        <f>"304-34-573"</f>
        <v>304-34-573</v>
      </c>
      <c r="S1134" t="s">
        <v>7620</v>
      </c>
      <c r="T1134" t="s">
        <v>7621</v>
      </c>
      <c r="U1134">
        <v>2623</v>
      </c>
      <c r="V1134">
        <v>0</v>
      </c>
      <c r="W1134">
        <v>4</v>
      </c>
      <c r="X1134">
        <v>2009</v>
      </c>
      <c r="Z1134">
        <v>1</v>
      </c>
      <c r="AA1134" t="s">
        <v>26</v>
      </c>
      <c r="AB1134">
        <v>0</v>
      </c>
      <c r="AC1134" t="s">
        <v>115</v>
      </c>
      <c r="AD1134">
        <v>3</v>
      </c>
      <c r="AE1134" t="s">
        <v>115</v>
      </c>
      <c r="AF1134">
        <v>0</v>
      </c>
      <c r="AG1134">
        <v>0</v>
      </c>
      <c r="AH1134" t="s">
        <v>116</v>
      </c>
      <c r="AI1134" s="1">
        <v>72872</v>
      </c>
      <c r="AJ1134" s="2">
        <v>0.18</v>
      </c>
      <c r="AK1134" s="1">
        <v>406902</v>
      </c>
      <c r="AL1134" t="s">
        <v>117</v>
      </c>
      <c r="AM1134" t="s">
        <v>393</v>
      </c>
      <c r="AN1134">
        <v>9511</v>
      </c>
      <c r="AO1134">
        <v>0.22</v>
      </c>
      <c r="AR1134">
        <v>1</v>
      </c>
      <c r="AS1134" s="1">
        <v>28770</v>
      </c>
      <c r="AT1134" s="1">
        <v>5750</v>
      </c>
      <c r="AU1134" s="1">
        <v>23020</v>
      </c>
      <c r="AV1134">
        <v>80.010000000000005</v>
      </c>
      <c r="AX1134" s="1">
        <v>2473.36</v>
      </c>
      <c r="AY1134" t="s">
        <v>776</v>
      </c>
      <c r="AZ1134" t="s">
        <v>777</v>
      </c>
      <c r="BA1134" t="s">
        <v>572</v>
      </c>
      <c r="BE1134" s="3">
        <v>42307</v>
      </c>
      <c r="BF1134" s="1">
        <v>327000</v>
      </c>
      <c r="BG1134" t="s">
        <v>7622</v>
      </c>
      <c r="BH1134" s="1">
        <v>124.67</v>
      </c>
      <c r="BI1134" s="1">
        <v>334030</v>
      </c>
      <c r="BJ1134" s="3">
        <v>42307</v>
      </c>
      <c r="BK1134" t="s">
        <v>123</v>
      </c>
      <c r="BL1134" t="str">
        <f>"2015.781786"</f>
        <v>2015.781786</v>
      </c>
      <c r="BM1134" t="s">
        <v>475</v>
      </c>
      <c r="BO1134" t="s">
        <v>7623</v>
      </c>
      <c r="BS1134">
        <v>30</v>
      </c>
      <c r="BW1134" t="str">
        <f>""</f>
        <v/>
      </c>
      <c r="CH1134" t="str">
        <f>""</f>
        <v/>
      </c>
      <c r="CS1134" t="str">
        <f>""</f>
        <v/>
      </c>
    </row>
    <row r="1135" spans="1:97" x14ac:dyDescent="0.25">
      <c r="A1135" t="s">
        <v>2099</v>
      </c>
      <c r="B1135" t="s">
        <v>1208</v>
      </c>
      <c r="E1135" t="s">
        <v>7624</v>
      </c>
      <c r="F1135" t="s">
        <v>108</v>
      </c>
      <c r="H1135" t="s">
        <v>7625</v>
      </c>
      <c r="I1135" t="s">
        <v>110</v>
      </c>
      <c r="J1135" t="s">
        <v>111</v>
      </c>
      <c r="K1135" t="str">
        <f>"85225"</f>
        <v>85225</v>
      </c>
      <c r="L1135" t="s">
        <v>7626</v>
      </c>
      <c r="M1135" t="s">
        <v>7625</v>
      </c>
      <c r="N1135" t="s">
        <v>110</v>
      </c>
      <c r="O1135" t="s">
        <v>111</v>
      </c>
      <c r="P1135" t="str">
        <f>"85225-5453"</f>
        <v>85225-5453</v>
      </c>
      <c r="Q1135" t="s">
        <v>113</v>
      </c>
      <c r="R1135" t="str">
        <f>"303-02-048"</f>
        <v>303-02-048</v>
      </c>
      <c r="S1135" t="s">
        <v>7627</v>
      </c>
      <c r="T1135" t="s">
        <v>7627</v>
      </c>
      <c r="U1135">
        <v>3088</v>
      </c>
      <c r="V1135">
        <v>0</v>
      </c>
      <c r="W1135">
        <v>2</v>
      </c>
      <c r="X1135">
        <v>1972</v>
      </c>
      <c r="Z1135">
        <v>1</v>
      </c>
      <c r="AA1135" t="s">
        <v>26</v>
      </c>
      <c r="AB1135">
        <v>0</v>
      </c>
      <c r="AC1135" t="s">
        <v>115</v>
      </c>
      <c r="AD1135">
        <v>2</v>
      </c>
      <c r="AE1135" t="s">
        <v>115</v>
      </c>
      <c r="AF1135">
        <v>0</v>
      </c>
      <c r="AG1135">
        <v>0</v>
      </c>
      <c r="AH1135" t="s">
        <v>116</v>
      </c>
      <c r="AI1135" s="1">
        <v>45562</v>
      </c>
      <c r="AJ1135" s="2">
        <v>0.09</v>
      </c>
      <c r="AK1135" s="1">
        <v>496809</v>
      </c>
      <c r="AL1135" t="s">
        <v>117</v>
      </c>
      <c r="AM1135" t="s">
        <v>616</v>
      </c>
      <c r="AN1135">
        <v>33358</v>
      </c>
      <c r="AO1135">
        <v>0.77</v>
      </c>
      <c r="AP1135">
        <v>1</v>
      </c>
      <c r="AR1135">
        <v>1</v>
      </c>
      <c r="AS1135" s="1">
        <v>37210</v>
      </c>
      <c r="AT1135" s="1">
        <v>7440</v>
      </c>
      <c r="AU1135" s="1">
        <v>29770</v>
      </c>
      <c r="AV1135">
        <v>80.010000000000005</v>
      </c>
      <c r="AX1135" s="1">
        <v>3022.14</v>
      </c>
      <c r="AY1135" t="s">
        <v>5650</v>
      </c>
      <c r="AZ1135" t="s">
        <v>2906</v>
      </c>
      <c r="BA1135" t="s">
        <v>303</v>
      </c>
      <c r="BE1135" s="3">
        <v>42536</v>
      </c>
      <c r="BF1135" s="1">
        <v>450000</v>
      </c>
      <c r="BG1135" t="s">
        <v>7628</v>
      </c>
      <c r="BH1135" s="1">
        <v>145.72999999999999</v>
      </c>
      <c r="BI1135" s="1">
        <v>451247</v>
      </c>
      <c r="BJ1135" s="3">
        <v>42536</v>
      </c>
      <c r="BK1135" t="s">
        <v>123</v>
      </c>
      <c r="BL1135" t="str">
        <f>"2016.417903"</f>
        <v>2016.417903</v>
      </c>
      <c r="BM1135" t="s">
        <v>475</v>
      </c>
      <c r="BO1135" t="s">
        <v>7629</v>
      </c>
      <c r="BS1135">
        <v>30</v>
      </c>
      <c r="BW1135" t="str">
        <f>""</f>
        <v/>
      </c>
      <c r="CH1135" t="str">
        <f>""</f>
        <v/>
      </c>
      <c r="CS1135" t="str">
        <f>""</f>
        <v/>
      </c>
    </row>
    <row r="1136" spans="1:97" x14ac:dyDescent="0.25">
      <c r="A1136" t="s">
        <v>7630</v>
      </c>
      <c r="B1136" t="s">
        <v>7631</v>
      </c>
      <c r="C1136" t="s">
        <v>7632</v>
      </c>
      <c r="D1136" t="s">
        <v>7631</v>
      </c>
      <c r="E1136" t="s">
        <v>7633</v>
      </c>
      <c r="F1136" t="s">
        <v>108</v>
      </c>
      <c r="H1136" t="s">
        <v>7634</v>
      </c>
      <c r="I1136" t="s">
        <v>5114</v>
      </c>
      <c r="J1136" t="s">
        <v>111</v>
      </c>
      <c r="K1136" t="str">
        <f>"85392"</f>
        <v>85392</v>
      </c>
      <c r="L1136" t="s">
        <v>6691</v>
      </c>
      <c r="M1136" t="s">
        <v>7634</v>
      </c>
      <c r="N1136" t="s">
        <v>5114</v>
      </c>
      <c r="O1136" t="s">
        <v>111</v>
      </c>
      <c r="P1136" t="str">
        <f>"85392-6513"</f>
        <v>85392-6513</v>
      </c>
      <c r="Q1136" t="s">
        <v>113</v>
      </c>
      <c r="R1136" t="str">
        <f>"501-75-690"</f>
        <v>501-75-690</v>
      </c>
      <c r="S1136" t="s">
        <v>7635</v>
      </c>
      <c r="T1136" t="s">
        <v>7635</v>
      </c>
      <c r="U1136">
        <v>3513</v>
      </c>
      <c r="V1136">
        <v>0</v>
      </c>
      <c r="W1136">
        <v>4</v>
      </c>
      <c r="X1136">
        <v>1997</v>
      </c>
      <c r="Z1136">
        <v>2</v>
      </c>
      <c r="AB1136">
        <v>0</v>
      </c>
      <c r="AC1136" t="s">
        <v>115</v>
      </c>
      <c r="AD1136">
        <v>3</v>
      </c>
      <c r="AE1136" t="s">
        <v>115</v>
      </c>
      <c r="AF1136">
        <v>0</v>
      </c>
      <c r="AG1136">
        <v>0</v>
      </c>
      <c r="AH1136" t="s">
        <v>116</v>
      </c>
      <c r="AI1136" s="1">
        <v>-9203</v>
      </c>
      <c r="AJ1136" s="2">
        <v>-0.02</v>
      </c>
      <c r="AK1136" s="1">
        <v>379330</v>
      </c>
      <c r="AL1136" t="s">
        <v>117</v>
      </c>
      <c r="AM1136" t="s">
        <v>118</v>
      </c>
      <c r="AN1136">
        <v>13250</v>
      </c>
      <c r="AO1136">
        <v>0.3</v>
      </c>
      <c r="AP1136">
        <v>1</v>
      </c>
      <c r="AR1136">
        <v>1</v>
      </c>
      <c r="AS1136" s="1">
        <v>26920</v>
      </c>
      <c r="AT1136" s="1">
        <v>5380</v>
      </c>
      <c r="AU1136" s="1">
        <v>21540</v>
      </c>
      <c r="AV1136">
        <v>80.010000000000005</v>
      </c>
      <c r="AX1136" s="1">
        <v>2207.64</v>
      </c>
      <c r="AY1136" t="s">
        <v>7636</v>
      </c>
      <c r="AZ1136" t="s">
        <v>6701</v>
      </c>
      <c r="BA1136" t="s">
        <v>6702</v>
      </c>
      <c r="BE1136" s="3">
        <v>42208</v>
      </c>
      <c r="BF1136" s="1">
        <v>330000</v>
      </c>
      <c r="BG1136" t="s">
        <v>7637</v>
      </c>
      <c r="BH1136" s="1">
        <v>93.94</v>
      </c>
      <c r="BI1136" s="1">
        <v>388533</v>
      </c>
      <c r="BJ1136" s="3">
        <v>43537</v>
      </c>
      <c r="BK1136" t="s">
        <v>123</v>
      </c>
      <c r="BL1136" t="str">
        <f>"2019.173188"</f>
        <v>2019.173188</v>
      </c>
      <c r="BM1136" t="s">
        <v>7638</v>
      </c>
      <c r="BN1136" t="s">
        <v>7639</v>
      </c>
      <c r="BO1136" t="s">
        <v>7640</v>
      </c>
      <c r="BP1136" t="s">
        <v>7641</v>
      </c>
      <c r="BR1136" t="s">
        <v>139</v>
      </c>
      <c r="BW1136" t="str">
        <f>""</f>
        <v/>
      </c>
      <c r="CH1136" t="str">
        <f>""</f>
        <v/>
      </c>
      <c r="CS1136" t="str">
        <f>""</f>
        <v/>
      </c>
    </row>
    <row r="1137" spans="1:97" x14ac:dyDescent="0.25">
      <c r="A1137" t="s">
        <v>7642</v>
      </c>
      <c r="B1137" t="s">
        <v>7643</v>
      </c>
      <c r="C1137" t="s">
        <v>179</v>
      </c>
      <c r="D1137" t="s">
        <v>7643</v>
      </c>
      <c r="E1137" t="s">
        <v>7644</v>
      </c>
      <c r="F1137" t="s">
        <v>108</v>
      </c>
      <c r="H1137" t="s">
        <v>7645</v>
      </c>
      <c r="I1137" t="s">
        <v>632</v>
      </c>
      <c r="J1137" t="s">
        <v>111</v>
      </c>
      <c r="K1137" t="str">
        <f>"85388"</f>
        <v>85388</v>
      </c>
      <c r="L1137" t="s">
        <v>7607</v>
      </c>
      <c r="M1137" t="s">
        <v>7645</v>
      </c>
      <c r="N1137" t="s">
        <v>632</v>
      </c>
      <c r="O1137" t="s">
        <v>111</v>
      </c>
      <c r="P1137" t="str">
        <f>"85388-1801"</f>
        <v>85388-1801</v>
      </c>
      <c r="Q1137" t="s">
        <v>113</v>
      </c>
      <c r="R1137" t="str">
        <f>"502-89-471"</f>
        <v>502-89-471</v>
      </c>
      <c r="S1137" t="s">
        <v>7646</v>
      </c>
      <c r="U1137">
        <v>2604</v>
      </c>
      <c r="V1137">
        <v>0</v>
      </c>
      <c r="W1137">
        <v>4</v>
      </c>
      <c r="X1137">
        <v>2014</v>
      </c>
      <c r="Z1137">
        <v>1</v>
      </c>
      <c r="AB1137">
        <v>0</v>
      </c>
      <c r="AC1137" t="s">
        <v>115</v>
      </c>
      <c r="AD1137">
        <v>4</v>
      </c>
      <c r="AE1137" t="s">
        <v>115</v>
      </c>
      <c r="AF1137">
        <v>0</v>
      </c>
      <c r="AG1137">
        <v>0</v>
      </c>
      <c r="AH1137" t="s">
        <v>116</v>
      </c>
      <c r="AI1137" s="1">
        <v>69743</v>
      </c>
      <c r="AJ1137" s="2">
        <v>0.21</v>
      </c>
      <c r="AK1137" s="1">
        <v>338473</v>
      </c>
      <c r="AL1137" t="s">
        <v>117</v>
      </c>
      <c r="AM1137" t="s">
        <v>118</v>
      </c>
      <c r="AN1137">
        <v>7800</v>
      </c>
      <c r="AO1137">
        <v>0.18</v>
      </c>
      <c r="AR1137">
        <v>1</v>
      </c>
      <c r="AS1137" s="1">
        <v>24910</v>
      </c>
      <c r="AT1137" s="1">
        <v>4980</v>
      </c>
      <c r="AU1137" s="1">
        <v>19930</v>
      </c>
      <c r="AV1137">
        <v>80.010000000000005</v>
      </c>
      <c r="AX1137" s="1">
        <v>2189.42</v>
      </c>
      <c r="AY1137" t="s">
        <v>5168</v>
      </c>
      <c r="AZ1137" t="s">
        <v>5168</v>
      </c>
      <c r="BA1137" t="s">
        <v>5109</v>
      </c>
      <c r="BE1137" s="3">
        <v>41789</v>
      </c>
      <c r="BF1137" s="1">
        <v>268730</v>
      </c>
      <c r="BG1137" t="s">
        <v>275</v>
      </c>
      <c r="BH1137" s="1">
        <v>103.2</v>
      </c>
      <c r="BI1137" s="1">
        <v>268730</v>
      </c>
      <c r="BJ1137" s="3">
        <v>41789</v>
      </c>
      <c r="BK1137" t="s">
        <v>123</v>
      </c>
      <c r="BL1137" t="str">
        <f>"2014.356848"</f>
        <v>2014.356848</v>
      </c>
      <c r="BM1137" t="s">
        <v>651</v>
      </c>
      <c r="BO1137" t="s">
        <v>7647</v>
      </c>
      <c r="BS1137">
        <v>30</v>
      </c>
      <c r="BW1137" t="str">
        <f>""</f>
        <v/>
      </c>
      <c r="CH1137" t="str">
        <f>""</f>
        <v/>
      </c>
      <c r="CS1137" t="str">
        <f>""</f>
        <v/>
      </c>
    </row>
    <row r="1138" spans="1:97" x14ac:dyDescent="0.25">
      <c r="A1138" t="s">
        <v>370</v>
      </c>
      <c r="B1138" t="s">
        <v>7648</v>
      </c>
      <c r="C1138" t="s">
        <v>7649</v>
      </c>
      <c r="D1138" t="s">
        <v>7648</v>
      </c>
      <c r="E1138" t="s">
        <v>7650</v>
      </c>
      <c r="F1138" t="s">
        <v>108</v>
      </c>
      <c r="H1138" t="s">
        <v>7651</v>
      </c>
      <c r="I1138" t="s">
        <v>225</v>
      </c>
      <c r="J1138" t="s">
        <v>111</v>
      </c>
      <c r="K1138" t="str">
        <f>"85213"</f>
        <v>85213</v>
      </c>
      <c r="L1138" t="s">
        <v>5138</v>
      </c>
      <c r="M1138" t="s">
        <v>7651</v>
      </c>
      <c r="N1138" t="s">
        <v>225</v>
      </c>
      <c r="O1138" t="s">
        <v>111</v>
      </c>
      <c r="P1138" t="str">
        <f>"85213-7044"</f>
        <v>85213-7044</v>
      </c>
      <c r="Q1138" t="s">
        <v>113</v>
      </c>
      <c r="R1138" t="str">
        <f>"140-12-120"</f>
        <v>140-12-120</v>
      </c>
      <c r="S1138" t="s">
        <v>7652</v>
      </c>
      <c r="T1138" t="s">
        <v>7653</v>
      </c>
      <c r="U1138">
        <v>2666</v>
      </c>
      <c r="V1138">
        <v>0</v>
      </c>
      <c r="W1138">
        <v>4</v>
      </c>
      <c r="X1138">
        <v>1988</v>
      </c>
      <c r="Z1138">
        <v>2</v>
      </c>
      <c r="AA1138" t="s">
        <v>26</v>
      </c>
      <c r="AB1138">
        <v>0</v>
      </c>
      <c r="AC1138" t="s">
        <v>115</v>
      </c>
      <c r="AD1138">
        <v>3</v>
      </c>
      <c r="AE1138" t="s">
        <v>115</v>
      </c>
      <c r="AF1138">
        <v>0</v>
      </c>
      <c r="AG1138">
        <v>0</v>
      </c>
      <c r="AH1138" t="s">
        <v>116</v>
      </c>
      <c r="AI1138" s="1">
        <v>60948</v>
      </c>
      <c r="AJ1138" s="2">
        <v>0.15</v>
      </c>
      <c r="AK1138" s="1">
        <v>417333</v>
      </c>
      <c r="AL1138" t="s">
        <v>117</v>
      </c>
      <c r="AM1138" t="s">
        <v>917</v>
      </c>
      <c r="AN1138">
        <v>8987</v>
      </c>
      <c r="AO1138">
        <v>0.21</v>
      </c>
      <c r="AP1138">
        <v>1</v>
      </c>
      <c r="AR1138">
        <v>1</v>
      </c>
      <c r="AS1138" s="1">
        <v>28150</v>
      </c>
      <c r="AT1138" s="1">
        <v>5630</v>
      </c>
      <c r="AU1138" s="1">
        <v>22520</v>
      </c>
      <c r="AV1138">
        <v>80</v>
      </c>
      <c r="AX1138" s="1">
        <v>2543.42</v>
      </c>
      <c r="AY1138" t="s">
        <v>7654</v>
      </c>
      <c r="AZ1138" t="s">
        <v>1523</v>
      </c>
      <c r="BA1138" t="s">
        <v>1524</v>
      </c>
      <c r="BB1138" s="3">
        <v>42069</v>
      </c>
      <c r="BD1138" t="s">
        <v>240</v>
      </c>
      <c r="BE1138" s="3">
        <v>42069</v>
      </c>
      <c r="BF1138" s="1">
        <v>345000</v>
      </c>
      <c r="BG1138" t="s">
        <v>7655</v>
      </c>
      <c r="BH1138" s="1">
        <v>129.41</v>
      </c>
      <c r="BI1138" s="1">
        <v>356385</v>
      </c>
      <c r="BJ1138" s="3">
        <v>42069</v>
      </c>
      <c r="BK1138" t="s">
        <v>123</v>
      </c>
      <c r="BL1138" t="str">
        <f>"2015.152991"</f>
        <v>2015.152991</v>
      </c>
      <c r="BM1138" t="s">
        <v>2683</v>
      </c>
      <c r="BO1138" t="s">
        <v>7656</v>
      </c>
      <c r="BS1138">
        <v>30</v>
      </c>
      <c r="BW1138" t="str">
        <f>""</f>
        <v/>
      </c>
      <c r="CH1138" t="str">
        <f>""</f>
        <v/>
      </c>
      <c r="CS1138" t="str">
        <f>""</f>
        <v/>
      </c>
    </row>
    <row r="1139" spans="1:97" x14ac:dyDescent="0.25">
      <c r="A1139" t="s">
        <v>1774</v>
      </c>
      <c r="B1139" t="s">
        <v>7657</v>
      </c>
      <c r="C1139" t="s">
        <v>2019</v>
      </c>
      <c r="D1139" t="s">
        <v>7657</v>
      </c>
      <c r="E1139" t="s">
        <v>7658</v>
      </c>
      <c r="F1139" t="s">
        <v>108</v>
      </c>
      <c r="H1139" t="s">
        <v>7659</v>
      </c>
      <c r="I1139" t="s">
        <v>5387</v>
      </c>
      <c r="J1139" t="s">
        <v>111</v>
      </c>
      <c r="K1139" t="str">
        <f>"85284"</f>
        <v>85284</v>
      </c>
      <c r="L1139" t="s">
        <v>5239</v>
      </c>
      <c r="M1139" t="s">
        <v>7659</v>
      </c>
      <c r="N1139" t="s">
        <v>5387</v>
      </c>
      <c r="O1139" t="s">
        <v>111</v>
      </c>
      <c r="P1139" t="str">
        <f>"85284-3717"</f>
        <v>85284-3717</v>
      </c>
      <c r="Q1139" t="s">
        <v>113</v>
      </c>
      <c r="R1139" t="str">
        <f>"301-60-615"</f>
        <v>301-60-615</v>
      </c>
      <c r="S1139" t="s">
        <v>7660</v>
      </c>
      <c r="T1139" t="s">
        <v>7661</v>
      </c>
      <c r="U1139">
        <v>2567</v>
      </c>
      <c r="V1139">
        <v>0</v>
      </c>
      <c r="W1139">
        <v>3</v>
      </c>
      <c r="X1139">
        <v>1994</v>
      </c>
      <c r="Z1139">
        <v>1</v>
      </c>
      <c r="AA1139" t="s">
        <v>26</v>
      </c>
      <c r="AB1139">
        <v>0</v>
      </c>
      <c r="AC1139" t="s">
        <v>115</v>
      </c>
      <c r="AD1139">
        <v>3</v>
      </c>
      <c r="AE1139" t="s">
        <v>115</v>
      </c>
      <c r="AF1139">
        <v>0</v>
      </c>
      <c r="AG1139">
        <v>0</v>
      </c>
      <c r="AH1139" t="s">
        <v>116</v>
      </c>
      <c r="AI1139" s="1">
        <v>92967</v>
      </c>
      <c r="AJ1139" s="2">
        <v>0.21</v>
      </c>
      <c r="AK1139" s="1">
        <v>442117</v>
      </c>
      <c r="AL1139" t="s">
        <v>117</v>
      </c>
      <c r="AM1139" t="s">
        <v>191</v>
      </c>
      <c r="AN1139">
        <v>9104</v>
      </c>
      <c r="AO1139">
        <v>0.21</v>
      </c>
      <c r="AP1139">
        <v>1</v>
      </c>
      <c r="AR1139">
        <v>1</v>
      </c>
      <c r="AS1139" s="1">
        <v>34920</v>
      </c>
      <c r="AT1139" s="1">
        <v>6980</v>
      </c>
      <c r="AU1139" s="1">
        <v>27940</v>
      </c>
      <c r="AV1139">
        <v>80.010000000000005</v>
      </c>
      <c r="AX1139" s="1">
        <v>3343.98</v>
      </c>
      <c r="AY1139" t="s">
        <v>7662</v>
      </c>
      <c r="AZ1139" t="s">
        <v>5201</v>
      </c>
      <c r="BA1139" t="s">
        <v>5328</v>
      </c>
      <c r="BE1139" s="3">
        <v>41655</v>
      </c>
      <c r="BF1139" s="1">
        <v>377500</v>
      </c>
      <c r="BG1139" t="s">
        <v>7663</v>
      </c>
      <c r="BH1139" s="1">
        <v>147.06</v>
      </c>
      <c r="BI1139" s="1">
        <v>349150</v>
      </c>
      <c r="BJ1139" s="3">
        <v>42580</v>
      </c>
      <c r="BK1139" t="s">
        <v>123</v>
      </c>
      <c r="BL1139" t="str">
        <f>"2016.537755"</f>
        <v>2016.537755</v>
      </c>
      <c r="BM1139" t="s">
        <v>124</v>
      </c>
      <c r="BO1139" t="s">
        <v>7664</v>
      </c>
      <c r="BS1139">
        <v>30</v>
      </c>
      <c r="BW1139" t="str">
        <f>""</f>
        <v/>
      </c>
      <c r="CH1139" t="str">
        <f>""</f>
        <v/>
      </c>
      <c r="CS1139" t="str">
        <f>""</f>
        <v/>
      </c>
    </row>
    <row r="1140" spans="1:97" x14ac:dyDescent="0.25">
      <c r="A1140" t="s">
        <v>1067</v>
      </c>
      <c r="B1140" t="s">
        <v>7665</v>
      </c>
      <c r="C1140" t="s">
        <v>496</v>
      </c>
      <c r="D1140" t="s">
        <v>7665</v>
      </c>
      <c r="E1140" t="s">
        <v>7666</v>
      </c>
      <c r="F1140" t="s">
        <v>108</v>
      </c>
      <c r="H1140" t="s">
        <v>7667</v>
      </c>
      <c r="I1140" t="s">
        <v>2874</v>
      </c>
      <c r="J1140" t="s">
        <v>111</v>
      </c>
      <c r="K1140" t="str">
        <f>"85308"</f>
        <v>85308</v>
      </c>
      <c r="L1140" t="s">
        <v>4282</v>
      </c>
      <c r="M1140" t="s">
        <v>7667</v>
      </c>
      <c r="N1140" t="s">
        <v>2874</v>
      </c>
      <c r="O1140" t="s">
        <v>111</v>
      </c>
      <c r="P1140" t="str">
        <f>"85308-5202"</f>
        <v>85308-5202</v>
      </c>
      <c r="Q1140" t="s">
        <v>113</v>
      </c>
      <c r="R1140" t="str">
        <f>"200-28-795"</f>
        <v>200-28-795</v>
      </c>
      <c r="S1140" t="s">
        <v>7668</v>
      </c>
      <c r="T1140" t="s">
        <v>7669</v>
      </c>
      <c r="U1140">
        <v>1840</v>
      </c>
      <c r="V1140">
        <v>0</v>
      </c>
      <c r="W1140">
        <v>3</v>
      </c>
      <c r="X1140">
        <v>1997</v>
      </c>
      <c r="Z1140">
        <v>1</v>
      </c>
      <c r="AB1140">
        <v>0</v>
      </c>
      <c r="AC1140" t="s">
        <v>115</v>
      </c>
      <c r="AD1140">
        <v>2</v>
      </c>
      <c r="AE1140" t="s">
        <v>115</v>
      </c>
      <c r="AF1140">
        <v>0</v>
      </c>
      <c r="AG1140">
        <v>0</v>
      </c>
      <c r="AH1140" t="s">
        <v>116</v>
      </c>
      <c r="AI1140" s="1">
        <v>62456</v>
      </c>
      <c r="AJ1140" s="2">
        <v>0.19</v>
      </c>
      <c r="AK1140" s="1">
        <v>327456</v>
      </c>
      <c r="AL1140" t="s">
        <v>117</v>
      </c>
      <c r="AM1140" t="s">
        <v>393</v>
      </c>
      <c r="AN1140">
        <v>7344</v>
      </c>
      <c r="AO1140">
        <v>0.17</v>
      </c>
      <c r="AP1140">
        <v>1</v>
      </c>
      <c r="AR1140">
        <v>1</v>
      </c>
      <c r="AS1140" s="1">
        <v>23170</v>
      </c>
      <c r="AT1140" s="1">
        <v>4630</v>
      </c>
      <c r="AU1140" s="1">
        <v>18540</v>
      </c>
      <c r="AV1140">
        <v>80.02</v>
      </c>
      <c r="AX1140" s="1">
        <v>2091.56</v>
      </c>
      <c r="AY1140" t="s">
        <v>6740</v>
      </c>
      <c r="AZ1140" t="s">
        <v>6740</v>
      </c>
      <c r="BA1140" t="s">
        <v>5143</v>
      </c>
      <c r="BE1140" s="3">
        <v>41743</v>
      </c>
      <c r="BF1140" s="1">
        <v>265000</v>
      </c>
      <c r="BG1140" t="s">
        <v>7670</v>
      </c>
      <c r="BH1140" s="1">
        <v>144.02000000000001</v>
      </c>
      <c r="BI1140" s="1">
        <v>265000</v>
      </c>
      <c r="BJ1140" s="3">
        <v>41743</v>
      </c>
      <c r="BK1140" t="s">
        <v>123</v>
      </c>
      <c r="BL1140" t="str">
        <f>"2014.237577"</f>
        <v>2014.237577</v>
      </c>
      <c r="BM1140" t="s">
        <v>724</v>
      </c>
      <c r="BO1140" t="s">
        <v>7671</v>
      </c>
      <c r="BS1140">
        <v>30</v>
      </c>
      <c r="BW1140" t="str">
        <f>""</f>
        <v/>
      </c>
      <c r="CH1140" t="str">
        <f>""</f>
        <v/>
      </c>
      <c r="CS1140" t="str">
        <f>""</f>
        <v/>
      </c>
    </row>
    <row r="1141" spans="1:97" x14ac:dyDescent="0.25">
      <c r="A1141" t="s">
        <v>177</v>
      </c>
      <c r="B1141" t="s">
        <v>7672</v>
      </c>
      <c r="C1141" t="s">
        <v>7673</v>
      </c>
      <c r="D1141" t="s">
        <v>7674</v>
      </c>
      <c r="E1141" t="s">
        <v>7675</v>
      </c>
      <c r="F1141" t="s">
        <v>108</v>
      </c>
      <c r="H1141" t="s">
        <v>7676</v>
      </c>
      <c r="I1141" t="s">
        <v>453</v>
      </c>
      <c r="J1141" t="s">
        <v>111</v>
      </c>
      <c r="K1141" t="str">
        <f>"85381"</f>
        <v>85381</v>
      </c>
      <c r="L1141" t="s">
        <v>1300</v>
      </c>
      <c r="M1141" t="s">
        <v>7676</v>
      </c>
      <c r="N1141" t="s">
        <v>453</v>
      </c>
      <c r="O1141" t="s">
        <v>111</v>
      </c>
      <c r="P1141" t="str">
        <f>"85381-5305"</f>
        <v>85381-5305</v>
      </c>
      <c r="Q1141" t="s">
        <v>113</v>
      </c>
      <c r="R1141" t="str">
        <f>"200-77-083"</f>
        <v>200-77-083</v>
      </c>
      <c r="S1141" t="s">
        <v>7677</v>
      </c>
      <c r="T1141" t="s">
        <v>7677</v>
      </c>
      <c r="U1141">
        <v>3602</v>
      </c>
      <c r="V1141">
        <v>0</v>
      </c>
      <c r="W1141">
        <v>6</v>
      </c>
      <c r="X1141">
        <v>2010</v>
      </c>
      <c r="Z1141">
        <v>1</v>
      </c>
      <c r="AA1141" t="s">
        <v>26</v>
      </c>
      <c r="AB1141">
        <v>0</v>
      </c>
      <c r="AC1141" t="s">
        <v>115</v>
      </c>
      <c r="AD1141">
        <v>6</v>
      </c>
      <c r="AE1141" t="s">
        <v>115</v>
      </c>
      <c r="AF1141">
        <v>0</v>
      </c>
      <c r="AG1141">
        <v>0</v>
      </c>
      <c r="AH1141" t="s">
        <v>116</v>
      </c>
      <c r="AI1141" s="1">
        <v>177330</v>
      </c>
      <c r="AJ1141" s="2">
        <v>0.25</v>
      </c>
      <c r="AK1141" s="1">
        <v>698330</v>
      </c>
      <c r="AL1141" t="s">
        <v>117</v>
      </c>
      <c r="AM1141" t="s">
        <v>3973</v>
      </c>
      <c r="AN1141">
        <v>38488</v>
      </c>
      <c r="AO1141">
        <v>0.88</v>
      </c>
      <c r="AP1141">
        <v>1</v>
      </c>
      <c r="AR1141">
        <v>1</v>
      </c>
      <c r="AS1141" s="1">
        <v>62410</v>
      </c>
      <c r="AT1141" s="1">
        <v>12480</v>
      </c>
      <c r="AU1141" s="1">
        <v>49930</v>
      </c>
      <c r="AV1141">
        <v>80</v>
      </c>
      <c r="AX1141" s="1">
        <v>6979</v>
      </c>
      <c r="AY1141" t="s">
        <v>3359</v>
      </c>
      <c r="AZ1141" t="s">
        <v>3359</v>
      </c>
      <c r="BA1141" t="s">
        <v>3360</v>
      </c>
      <c r="BE1141" s="3">
        <v>42263</v>
      </c>
      <c r="BF1141" s="1">
        <v>540000</v>
      </c>
      <c r="BG1141" t="s">
        <v>7678</v>
      </c>
      <c r="BH1141" s="1">
        <v>147.46</v>
      </c>
      <c r="BI1141" s="1">
        <v>486000</v>
      </c>
      <c r="BJ1141" s="3">
        <v>42263</v>
      </c>
      <c r="BK1141" t="s">
        <v>123</v>
      </c>
      <c r="BL1141" t="str">
        <f>"2015.668204"</f>
        <v>2015.668204</v>
      </c>
      <c r="BM1141" t="s">
        <v>1038</v>
      </c>
      <c r="BO1141" t="s">
        <v>7679</v>
      </c>
      <c r="BP1141" t="s">
        <v>7680</v>
      </c>
      <c r="BS1141">
        <v>15</v>
      </c>
      <c r="BT1141" s="1">
        <v>35000</v>
      </c>
      <c r="BU1141" s="3">
        <v>42713</v>
      </c>
      <c r="BV1141" t="s">
        <v>134</v>
      </c>
      <c r="BW1141" t="str">
        <f>"2016.907426"</f>
        <v>2016.907426</v>
      </c>
      <c r="BX1141" t="s">
        <v>124</v>
      </c>
      <c r="BZ1141" t="s">
        <v>7679</v>
      </c>
      <c r="CA1141" t="s">
        <v>7680</v>
      </c>
      <c r="CD1141">
        <v>30</v>
      </c>
      <c r="CH1141" t="str">
        <f>""</f>
        <v/>
      </c>
      <c r="CS1141" t="str">
        <f>""</f>
        <v/>
      </c>
    </row>
    <row r="1142" spans="1:97" x14ac:dyDescent="0.25">
      <c r="A1142" t="s">
        <v>7681</v>
      </c>
      <c r="B1142" t="s">
        <v>7682</v>
      </c>
      <c r="C1142" t="s">
        <v>370</v>
      </c>
      <c r="D1142" t="s">
        <v>7682</v>
      </c>
      <c r="E1142" t="s">
        <v>7683</v>
      </c>
      <c r="F1142" t="s">
        <v>108</v>
      </c>
      <c r="H1142" t="s">
        <v>7684</v>
      </c>
      <c r="I1142" t="s">
        <v>203</v>
      </c>
      <c r="J1142" t="s">
        <v>111</v>
      </c>
      <c r="K1142" t="str">
        <f>"85297"</f>
        <v>85297</v>
      </c>
      <c r="L1142" t="s">
        <v>5021</v>
      </c>
      <c r="M1142" t="s">
        <v>7684</v>
      </c>
      <c r="N1142" t="s">
        <v>203</v>
      </c>
      <c r="O1142" t="s">
        <v>111</v>
      </c>
      <c r="P1142" t="str">
        <f>"85297-1205"</f>
        <v>85297-1205</v>
      </c>
      <c r="Q1142" t="s">
        <v>113</v>
      </c>
      <c r="R1142" t="str">
        <f>"304-56-884"</f>
        <v>304-56-884</v>
      </c>
      <c r="S1142" t="s">
        <v>7685</v>
      </c>
      <c r="T1142" t="s">
        <v>7686</v>
      </c>
      <c r="U1142">
        <v>3384</v>
      </c>
      <c r="V1142">
        <v>0</v>
      </c>
      <c r="W1142">
        <v>3</v>
      </c>
      <c r="X1142">
        <v>2011</v>
      </c>
      <c r="Z1142">
        <v>2</v>
      </c>
      <c r="AA1142" t="s">
        <v>26</v>
      </c>
      <c r="AB1142">
        <v>0</v>
      </c>
      <c r="AC1142" t="s">
        <v>115</v>
      </c>
      <c r="AD1142">
        <v>3</v>
      </c>
      <c r="AE1142" t="s">
        <v>115</v>
      </c>
      <c r="AF1142">
        <v>0</v>
      </c>
      <c r="AG1142">
        <v>0</v>
      </c>
      <c r="AH1142" t="s">
        <v>116</v>
      </c>
      <c r="AI1142" s="1">
        <v>67250</v>
      </c>
      <c r="AJ1142" s="2">
        <v>0.13</v>
      </c>
      <c r="AK1142" s="1">
        <v>529400</v>
      </c>
      <c r="AL1142" t="s">
        <v>117</v>
      </c>
      <c r="AM1142" t="s">
        <v>191</v>
      </c>
      <c r="AN1142">
        <v>22117</v>
      </c>
      <c r="AO1142">
        <v>0.51</v>
      </c>
      <c r="AR1142">
        <v>1</v>
      </c>
      <c r="AS1142" s="1">
        <v>39370</v>
      </c>
      <c r="AT1142" s="1">
        <v>7870</v>
      </c>
      <c r="AU1142" s="1">
        <v>31500</v>
      </c>
      <c r="AV1142">
        <v>80.010000000000005</v>
      </c>
      <c r="AX1142" s="1">
        <v>3164.02</v>
      </c>
      <c r="AY1142" t="s">
        <v>737</v>
      </c>
      <c r="AZ1142" t="s">
        <v>120</v>
      </c>
      <c r="BA1142" t="s">
        <v>303</v>
      </c>
      <c r="BE1142" s="3">
        <v>42369</v>
      </c>
      <c r="BF1142" s="1">
        <v>412150</v>
      </c>
      <c r="BG1142" t="s">
        <v>7687</v>
      </c>
      <c r="BH1142" s="1">
        <v>121.79</v>
      </c>
      <c r="BI1142" s="1">
        <v>412150</v>
      </c>
      <c r="BJ1142" s="3">
        <v>42369</v>
      </c>
      <c r="BK1142" t="s">
        <v>123</v>
      </c>
      <c r="BL1142" t="str">
        <f>"2015.920987"</f>
        <v>2015.920987</v>
      </c>
      <c r="BM1142" t="s">
        <v>131</v>
      </c>
      <c r="BN1142" t="s">
        <v>132</v>
      </c>
      <c r="BO1142" t="s">
        <v>7688</v>
      </c>
      <c r="BS1142">
        <v>30</v>
      </c>
      <c r="BT1142" s="1">
        <v>50000</v>
      </c>
      <c r="BU1142" s="3">
        <v>43662</v>
      </c>
      <c r="BV1142" t="s">
        <v>134</v>
      </c>
      <c r="BW1142" t="str">
        <f>"2019.536537"</f>
        <v>2019.536537</v>
      </c>
      <c r="BX1142" t="s">
        <v>135</v>
      </c>
      <c r="BY1142" t="s">
        <v>136</v>
      </c>
      <c r="BZ1142" t="s">
        <v>7689</v>
      </c>
      <c r="CA1142" t="s">
        <v>7690</v>
      </c>
      <c r="CC1142" t="s">
        <v>139</v>
      </c>
      <c r="CH1142" t="str">
        <f>""</f>
        <v/>
      </c>
      <c r="CS1142" t="str">
        <f>""</f>
        <v/>
      </c>
    </row>
    <row r="1143" spans="1:97" x14ac:dyDescent="0.25">
      <c r="A1143" t="s">
        <v>7691</v>
      </c>
      <c r="B1143" t="s">
        <v>7692</v>
      </c>
      <c r="C1143" t="s">
        <v>211</v>
      </c>
      <c r="D1143" t="s">
        <v>7692</v>
      </c>
      <c r="E1143" t="s">
        <v>7693</v>
      </c>
      <c r="F1143" t="s">
        <v>108</v>
      </c>
      <c r="H1143" t="s">
        <v>7694</v>
      </c>
      <c r="I1143" t="s">
        <v>1936</v>
      </c>
      <c r="J1143" t="s">
        <v>111</v>
      </c>
      <c r="K1143" t="str">
        <f>"85258"</f>
        <v>85258</v>
      </c>
      <c r="L1143" t="s">
        <v>7695</v>
      </c>
      <c r="M1143" t="s">
        <v>7694</v>
      </c>
      <c r="N1143" t="s">
        <v>1936</v>
      </c>
      <c r="O1143" t="s">
        <v>111</v>
      </c>
      <c r="P1143" t="str">
        <f>"85258-5689"</f>
        <v>85258-5689</v>
      </c>
      <c r="Q1143" t="s">
        <v>113</v>
      </c>
      <c r="R1143" t="str">
        <f>"217-46-532"</f>
        <v>217-46-532</v>
      </c>
      <c r="S1143" t="s">
        <v>7696</v>
      </c>
      <c r="T1143" t="s">
        <v>7697</v>
      </c>
      <c r="U1143">
        <v>1603</v>
      </c>
      <c r="V1143">
        <v>0</v>
      </c>
      <c r="W1143">
        <v>3</v>
      </c>
      <c r="X1143">
        <v>1986</v>
      </c>
      <c r="Z1143">
        <v>1</v>
      </c>
      <c r="AB1143">
        <v>0</v>
      </c>
      <c r="AC1143" t="s">
        <v>115</v>
      </c>
      <c r="AD1143">
        <v>2</v>
      </c>
      <c r="AE1143" t="s">
        <v>115</v>
      </c>
      <c r="AF1143">
        <v>0</v>
      </c>
      <c r="AG1143">
        <v>0</v>
      </c>
      <c r="AH1143" t="s">
        <v>116</v>
      </c>
      <c r="AI1143" s="1">
        <v>67672</v>
      </c>
      <c r="AJ1143" s="2">
        <v>0.15</v>
      </c>
      <c r="AK1143" s="1">
        <v>454014</v>
      </c>
      <c r="AL1143" t="s">
        <v>117</v>
      </c>
      <c r="AM1143" t="s">
        <v>6533</v>
      </c>
      <c r="AN1143">
        <v>5170</v>
      </c>
      <c r="AO1143">
        <v>0.12</v>
      </c>
      <c r="AP1143">
        <v>1</v>
      </c>
      <c r="AR1143">
        <v>1</v>
      </c>
      <c r="AS1143" s="1">
        <v>31580</v>
      </c>
      <c r="AT1143" s="1">
        <v>6310</v>
      </c>
      <c r="AU1143" s="1">
        <v>25270</v>
      </c>
      <c r="AV1143">
        <v>80.02</v>
      </c>
      <c r="AX1143" s="1">
        <v>2144.38</v>
      </c>
      <c r="AY1143" t="s">
        <v>5761</v>
      </c>
      <c r="AZ1143" t="s">
        <v>5762</v>
      </c>
      <c r="BA1143" t="s">
        <v>5763</v>
      </c>
      <c r="BE1143" s="3">
        <v>41718</v>
      </c>
      <c r="BF1143" s="1">
        <v>373000</v>
      </c>
      <c r="BG1143" t="s">
        <v>7698</v>
      </c>
      <c r="BH1143" s="1">
        <v>232.69</v>
      </c>
      <c r="BI1143" s="1">
        <v>386342</v>
      </c>
      <c r="BJ1143" s="3">
        <v>43258</v>
      </c>
      <c r="BK1143" t="s">
        <v>123</v>
      </c>
      <c r="BL1143" t="str">
        <f>"2018.433826"</f>
        <v>2018.433826</v>
      </c>
      <c r="BM1143" t="s">
        <v>2383</v>
      </c>
      <c r="BN1143" t="s">
        <v>3965</v>
      </c>
      <c r="BO1143" t="s">
        <v>7699</v>
      </c>
      <c r="BP1143" t="s">
        <v>7700</v>
      </c>
      <c r="BR1143" t="s">
        <v>139</v>
      </c>
      <c r="BW1143" t="str">
        <f>""</f>
        <v/>
      </c>
      <c r="CH1143" t="str">
        <f>""</f>
        <v/>
      </c>
      <c r="CS1143" t="str">
        <f>""</f>
        <v/>
      </c>
    </row>
    <row r="1144" spans="1:97" x14ac:dyDescent="0.25">
      <c r="A1144" t="s">
        <v>2123</v>
      </c>
      <c r="B1144" t="s">
        <v>4137</v>
      </c>
      <c r="E1144" t="s">
        <v>7701</v>
      </c>
      <c r="F1144" t="s">
        <v>108</v>
      </c>
      <c r="H1144" t="s">
        <v>7702</v>
      </c>
      <c r="I1144" t="s">
        <v>453</v>
      </c>
      <c r="J1144" t="s">
        <v>111</v>
      </c>
      <c r="K1144" t="str">
        <f>"85383"</f>
        <v>85383</v>
      </c>
      <c r="L1144" t="s">
        <v>3225</v>
      </c>
      <c r="M1144" t="s">
        <v>7702</v>
      </c>
      <c r="N1144" t="s">
        <v>453</v>
      </c>
      <c r="O1144" t="s">
        <v>111</v>
      </c>
      <c r="P1144" t="str">
        <f>"85383-5825"</f>
        <v>85383-5825</v>
      </c>
      <c r="Q1144" t="s">
        <v>113</v>
      </c>
      <c r="R1144" t="str">
        <f>"503-66-628"</f>
        <v>503-66-628</v>
      </c>
      <c r="S1144" t="s">
        <v>7703</v>
      </c>
      <c r="T1144" t="s">
        <v>7704</v>
      </c>
      <c r="U1144">
        <v>2333</v>
      </c>
      <c r="V1144">
        <v>0</v>
      </c>
      <c r="W1144">
        <v>4</v>
      </c>
      <c r="X1144">
        <v>2015</v>
      </c>
      <c r="Z1144">
        <v>2</v>
      </c>
      <c r="AB1144">
        <v>0</v>
      </c>
      <c r="AC1144" t="s">
        <v>115</v>
      </c>
      <c r="AD1144">
        <v>2</v>
      </c>
      <c r="AE1144" t="s">
        <v>115</v>
      </c>
      <c r="AF1144">
        <v>0</v>
      </c>
      <c r="AG1144">
        <v>0</v>
      </c>
      <c r="AH1144" t="s">
        <v>116</v>
      </c>
      <c r="AI1144" s="1">
        <v>14328</v>
      </c>
      <c r="AJ1144" s="2">
        <v>0.05</v>
      </c>
      <c r="AK1144" s="1">
        <v>314311</v>
      </c>
      <c r="AL1144" t="s">
        <v>117</v>
      </c>
      <c r="AM1144" t="s">
        <v>191</v>
      </c>
      <c r="AN1144">
        <v>5400</v>
      </c>
      <c r="AO1144">
        <v>0.12</v>
      </c>
      <c r="AR1144">
        <v>1</v>
      </c>
      <c r="AS1144" s="1">
        <v>22620</v>
      </c>
      <c r="AT1144" s="1">
        <v>4520</v>
      </c>
      <c r="AU1144" s="1">
        <v>18100</v>
      </c>
      <c r="AV1144">
        <v>80.02</v>
      </c>
      <c r="AX1144" s="1">
        <v>2098.7399999999998</v>
      </c>
      <c r="AY1144" t="s">
        <v>456</v>
      </c>
      <c r="AZ1144" t="s">
        <v>456</v>
      </c>
      <c r="BA1144" t="s">
        <v>457</v>
      </c>
      <c r="BB1144" s="3">
        <v>43502</v>
      </c>
      <c r="BC1144" s="1">
        <v>0</v>
      </c>
      <c r="BD1144" t="s">
        <v>247</v>
      </c>
      <c r="BE1144" s="3">
        <v>42458</v>
      </c>
      <c r="BF1144" s="1">
        <v>252205</v>
      </c>
      <c r="BG1144" t="s">
        <v>1079</v>
      </c>
      <c r="BH1144" s="1">
        <v>108.1</v>
      </c>
      <c r="BI1144" s="1">
        <v>299983</v>
      </c>
      <c r="BJ1144" s="3">
        <v>43502</v>
      </c>
      <c r="BK1144" t="s">
        <v>123</v>
      </c>
      <c r="BL1144" t="str">
        <f>"2019.80776"</f>
        <v>2019.80776</v>
      </c>
      <c r="BM1144" t="s">
        <v>3562</v>
      </c>
      <c r="BN1144" t="s">
        <v>3686</v>
      </c>
      <c r="BO1144" t="s">
        <v>7701</v>
      </c>
      <c r="BR1144" t="s">
        <v>139</v>
      </c>
      <c r="BW1144" t="str">
        <f>""</f>
        <v/>
      </c>
      <c r="CH1144" t="str">
        <f>""</f>
        <v/>
      </c>
      <c r="CS1144" t="str">
        <f>""</f>
        <v/>
      </c>
    </row>
    <row r="1145" spans="1:97" x14ac:dyDescent="0.25">
      <c r="A1145" t="s">
        <v>1272</v>
      </c>
      <c r="B1145" t="s">
        <v>7705</v>
      </c>
      <c r="C1145" t="s">
        <v>1451</v>
      </c>
      <c r="D1145" t="s">
        <v>7705</v>
      </c>
      <c r="E1145" t="s">
        <v>7706</v>
      </c>
      <c r="F1145" t="s">
        <v>108</v>
      </c>
      <c r="H1145" t="s">
        <v>7707</v>
      </c>
      <c r="I1145" t="s">
        <v>499</v>
      </c>
      <c r="J1145" t="s">
        <v>111</v>
      </c>
      <c r="K1145" t="str">
        <f>"85395"</f>
        <v>85395</v>
      </c>
      <c r="L1145" t="s">
        <v>500</v>
      </c>
      <c r="M1145" t="s">
        <v>7707</v>
      </c>
      <c r="N1145" t="s">
        <v>499</v>
      </c>
      <c r="O1145" t="s">
        <v>111</v>
      </c>
      <c r="P1145" t="str">
        <f>"85395-5235"</f>
        <v>85395-5235</v>
      </c>
      <c r="Q1145" t="s">
        <v>113</v>
      </c>
      <c r="R1145" t="str">
        <f>"502-30-219"</f>
        <v>502-30-219</v>
      </c>
      <c r="S1145" t="s">
        <v>5769</v>
      </c>
      <c r="T1145" t="s">
        <v>502</v>
      </c>
      <c r="U1145">
        <v>4025</v>
      </c>
      <c r="V1145">
        <v>0</v>
      </c>
      <c r="W1145">
        <v>5</v>
      </c>
      <c r="X1145">
        <v>2012</v>
      </c>
      <c r="Z1145">
        <v>2</v>
      </c>
      <c r="AB1145">
        <v>0</v>
      </c>
      <c r="AC1145" t="s">
        <v>115</v>
      </c>
      <c r="AD1145">
        <v>3</v>
      </c>
      <c r="AE1145" t="s">
        <v>115</v>
      </c>
      <c r="AF1145">
        <v>0</v>
      </c>
      <c r="AG1145">
        <v>0</v>
      </c>
      <c r="AH1145" t="s">
        <v>116</v>
      </c>
      <c r="AI1145" s="1">
        <v>127430</v>
      </c>
      <c r="AJ1145" s="2">
        <v>0.28999999999999998</v>
      </c>
      <c r="AK1145" s="1">
        <v>436168</v>
      </c>
      <c r="AL1145" t="s">
        <v>117</v>
      </c>
      <c r="AM1145" t="s">
        <v>118</v>
      </c>
      <c r="AN1145">
        <v>10586</v>
      </c>
      <c r="AO1145">
        <v>0.24</v>
      </c>
      <c r="AR1145">
        <v>1</v>
      </c>
      <c r="AS1145" s="1">
        <v>32580</v>
      </c>
      <c r="AT1145" s="1">
        <v>6510</v>
      </c>
      <c r="AU1145" s="1">
        <v>26070</v>
      </c>
      <c r="AV1145">
        <v>80.02</v>
      </c>
      <c r="AX1145" s="1">
        <v>3546.18</v>
      </c>
      <c r="AY1145" t="s">
        <v>503</v>
      </c>
      <c r="AZ1145" t="s">
        <v>504</v>
      </c>
      <c r="BA1145" t="s">
        <v>218</v>
      </c>
      <c r="BE1145" s="3">
        <v>41774</v>
      </c>
      <c r="BF1145" s="1">
        <v>337000</v>
      </c>
      <c r="BG1145" t="s">
        <v>7708</v>
      </c>
      <c r="BH1145" s="1">
        <v>83.73</v>
      </c>
      <c r="BI1145" s="1">
        <v>254875</v>
      </c>
      <c r="BJ1145" s="3">
        <v>42734</v>
      </c>
      <c r="BK1145" t="s">
        <v>123</v>
      </c>
      <c r="BL1145" t="str">
        <f>"2016.963589"</f>
        <v>2016.963589</v>
      </c>
      <c r="BM1145" t="s">
        <v>425</v>
      </c>
      <c r="BN1145" t="s">
        <v>426</v>
      </c>
      <c r="BO1145" t="s">
        <v>7709</v>
      </c>
      <c r="BS1145">
        <v>30</v>
      </c>
      <c r="BT1145" s="1">
        <v>53863</v>
      </c>
      <c r="BU1145" s="3">
        <v>43315</v>
      </c>
      <c r="BV1145" t="s">
        <v>134</v>
      </c>
      <c r="BW1145" t="str">
        <f>"2018.590247"</f>
        <v>2018.590247</v>
      </c>
      <c r="BX1145" t="s">
        <v>5002</v>
      </c>
      <c r="BY1145" t="s">
        <v>5003</v>
      </c>
      <c r="BZ1145" t="s">
        <v>7710</v>
      </c>
      <c r="CA1145" t="s">
        <v>7711</v>
      </c>
      <c r="CC1145" t="s">
        <v>139</v>
      </c>
      <c r="CH1145" t="str">
        <f>""</f>
        <v/>
      </c>
      <c r="CS1145" t="str">
        <f>""</f>
        <v/>
      </c>
    </row>
    <row r="1146" spans="1:97" x14ac:dyDescent="0.25">
      <c r="A1146" t="s">
        <v>1009</v>
      </c>
      <c r="B1146" t="s">
        <v>7712</v>
      </c>
      <c r="C1146" t="s">
        <v>7713</v>
      </c>
      <c r="D1146" t="s">
        <v>7712</v>
      </c>
      <c r="E1146" t="s">
        <v>7714</v>
      </c>
      <c r="F1146" t="s">
        <v>108</v>
      </c>
      <c r="H1146" t="s">
        <v>7715</v>
      </c>
      <c r="I1146" t="s">
        <v>632</v>
      </c>
      <c r="J1146" t="s">
        <v>111</v>
      </c>
      <c r="K1146" t="str">
        <f>"85374"</f>
        <v>85374</v>
      </c>
      <c r="L1146" t="s">
        <v>3151</v>
      </c>
      <c r="M1146" t="s">
        <v>7715</v>
      </c>
      <c r="N1146" t="s">
        <v>632</v>
      </c>
      <c r="O1146" t="s">
        <v>111</v>
      </c>
      <c r="P1146" t="str">
        <f>"85374-5066"</f>
        <v>85374-5066</v>
      </c>
      <c r="Q1146" t="s">
        <v>113</v>
      </c>
      <c r="R1146" t="str">
        <f>"232-33-310"</f>
        <v>232-33-310</v>
      </c>
      <c r="S1146" t="s">
        <v>7469</v>
      </c>
      <c r="T1146" t="s">
        <v>7469</v>
      </c>
      <c r="U1146">
        <v>1850</v>
      </c>
      <c r="V1146">
        <v>0</v>
      </c>
      <c r="W1146">
        <v>3</v>
      </c>
      <c r="X1146">
        <v>1998</v>
      </c>
      <c r="Z1146">
        <v>1</v>
      </c>
      <c r="AB1146">
        <v>0</v>
      </c>
      <c r="AC1146" t="s">
        <v>115</v>
      </c>
      <c r="AD1146">
        <v>2</v>
      </c>
      <c r="AE1146" t="s">
        <v>115</v>
      </c>
      <c r="AF1146">
        <v>0</v>
      </c>
      <c r="AG1146">
        <v>0</v>
      </c>
      <c r="AH1146" t="s">
        <v>116</v>
      </c>
      <c r="AI1146" s="1">
        <v>98879</v>
      </c>
      <c r="AJ1146" s="2">
        <v>0.3</v>
      </c>
      <c r="AK1146" s="1">
        <v>325106</v>
      </c>
      <c r="AL1146" t="s">
        <v>117</v>
      </c>
      <c r="AM1146" t="s">
        <v>118</v>
      </c>
      <c r="AN1146">
        <v>8029</v>
      </c>
      <c r="AO1146">
        <v>0.18</v>
      </c>
      <c r="AP1146">
        <v>1</v>
      </c>
      <c r="AR1146">
        <v>1</v>
      </c>
      <c r="AS1146" s="1">
        <v>22370</v>
      </c>
      <c r="AT1146" s="1">
        <v>4470</v>
      </c>
      <c r="AU1146" s="1">
        <v>17900</v>
      </c>
      <c r="AV1146">
        <v>80.02</v>
      </c>
      <c r="AX1146" s="1">
        <v>2374.1999999999998</v>
      </c>
      <c r="AY1146" t="s">
        <v>5108</v>
      </c>
      <c r="AZ1146" t="s">
        <v>5108</v>
      </c>
      <c r="BA1146" t="s">
        <v>5109</v>
      </c>
      <c r="BE1146" s="3">
        <v>42186</v>
      </c>
      <c r="BF1146" s="1">
        <v>219000</v>
      </c>
      <c r="BG1146" t="s">
        <v>7716</v>
      </c>
      <c r="BH1146" s="1">
        <v>118.38</v>
      </c>
      <c r="BI1146" s="1">
        <v>226227</v>
      </c>
      <c r="BJ1146" s="3">
        <v>42186</v>
      </c>
      <c r="BK1146" t="s">
        <v>123</v>
      </c>
      <c r="BL1146" t="str">
        <f>"2015.476298"</f>
        <v>2015.476298</v>
      </c>
      <c r="BM1146" t="s">
        <v>2683</v>
      </c>
      <c r="BO1146" t="s">
        <v>7717</v>
      </c>
      <c r="BS1146">
        <v>30</v>
      </c>
      <c r="BW1146" t="str">
        <f>""</f>
        <v/>
      </c>
      <c r="CH1146" t="str">
        <f>""</f>
        <v/>
      </c>
      <c r="CS1146" t="str">
        <f>""</f>
        <v/>
      </c>
    </row>
    <row r="1147" spans="1:97" x14ac:dyDescent="0.25">
      <c r="A1147" t="s">
        <v>1774</v>
      </c>
      <c r="B1147" t="s">
        <v>3526</v>
      </c>
      <c r="C1147" t="s">
        <v>4611</v>
      </c>
      <c r="D1147" t="s">
        <v>3526</v>
      </c>
      <c r="E1147" t="s">
        <v>7718</v>
      </c>
      <c r="F1147" t="s">
        <v>108</v>
      </c>
      <c r="H1147" t="s">
        <v>7719</v>
      </c>
      <c r="I1147" t="s">
        <v>632</v>
      </c>
      <c r="J1147" t="s">
        <v>111</v>
      </c>
      <c r="K1147" t="str">
        <f>"85387"</f>
        <v>85387</v>
      </c>
      <c r="L1147" t="s">
        <v>5496</v>
      </c>
      <c r="M1147" t="s">
        <v>7719</v>
      </c>
      <c r="N1147" t="s">
        <v>632</v>
      </c>
      <c r="O1147" t="s">
        <v>111</v>
      </c>
      <c r="P1147" t="str">
        <f>"85387-6841"</f>
        <v>85387-6841</v>
      </c>
      <c r="Q1147" t="s">
        <v>113</v>
      </c>
      <c r="R1147" t="str">
        <f>"503-73-564"</f>
        <v>503-73-564</v>
      </c>
      <c r="S1147" t="s">
        <v>7521</v>
      </c>
      <c r="T1147" t="s">
        <v>5498</v>
      </c>
      <c r="U1147">
        <v>3803</v>
      </c>
      <c r="V1147">
        <v>0</v>
      </c>
      <c r="W1147">
        <v>4</v>
      </c>
      <c r="X1147">
        <v>2007</v>
      </c>
      <c r="Z1147">
        <v>2</v>
      </c>
      <c r="AB1147">
        <v>0</v>
      </c>
      <c r="AC1147" t="s">
        <v>115</v>
      </c>
      <c r="AD1147">
        <v>3</v>
      </c>
      <c r="AE1147" t="s">
        <v>115</v>
      </c>
      <c r="AF1147">
        <v>0</v>
      </c>
      <c r="AG1147">
        <v>0</v>
      </c>
      <c r="AH1147" t="s">
        <v>116</v>
      </c>
      <c r="AI1147" s="1">
        <v>68558</v>
      </c>
      <c r="AJ1147" s="2">
        <v>0.21</v>
      </c>
      <c r="AK1147" s="1">
        <v>333558</v>
      </c>
      <c r="AL1147" t="s">
        <v>117</v>
      </c>
      <c r="AM1147" t="s">
        <v>118</v>
      </c>
      <c r="AN1147">
        <v>7475</v>
      </c>
      <c r="AO1147">
        <v>0.17</v>
      </c>
      <c r="AR1147">
        <v>1</v>
      </c>
      <c r="AS1147" s="1">
        <v>23670</v>
      </c>
      <c r="AT1147" s="1">
        <v>4730</v>
      </c>
      <c r="AU1147" s="1">
        <v>18940</v>
      </c>
      <c r="AV1147">
        <v>80.02</v>
      </c>
      <c r="AX1147" s="1">
        <v>1890</v>
      </c>
      <c r="AY1147" t="s">
        <v>5108</v>
      </c>
      <c r="AZ1147" t="s">
        <v>5108</v>
      </c>
      <c r="BA1147" t="s">
        <v>5109</v>
      </c>
      <c r="BE1147" s="3">
        <v>42516</v>
      </c>
      <c r="BF1147" s="1">
        <v>265000</v>
      </c>
      <c r="BG1147" t="s">
        <v>7720</v>
      </c>
      <c r="BH1147" s="1">
        <v>69.680000000000007</v>
      </c>
      <c r="BI1147" s="1">
        <v>265000</v>
      </c>
      <c r="BJ1147" s="3">
        <v>42516</v>
      </c>
      <c r="BK1147" t="s">
        <v>123</v>
      </c>
      <c r="BL1147" t="str">
        <f>"2016.365180"</f>
        <v>2016.365180</v>
      </c>
      <c r="BM1147" t="s">
        <v>5867</v>
      </c>
      <c r="BO1147" t="s">
        <v>7721</v>
      </c>
      <c r="BS1147">
        <v>30</v>
      </c>
      <c r="BW1147" t="str">
        <f>""</f>
        <v/>
      </c>
      <c r="CH1147" t="str">
        <f>""</f>
        <v/>
      </c>
      <c r="CS1147" t="str">
        <f>""</f>
        <v/>
      </c>
    </row>
    <row r="1148" spans="1:97" x14ac:dyDescent="0.25">
      <c r="A1148" t="s">
        <v>494</v>
      </c>
      <c r="B1148" t="s">
        <v>7722</v>
      </c>
      <c r="C1148" t="s">
        <v>1692</v>
      </c>
      <c r="D1148" t="s">
        <v>7722</v>
      </c>
      <c r="E1148" t="s">
        <v>7723</v>
      </c>
      <c r="F1148" t="s">
        <v>108</v>
      </c>
      <c r="H1148" t="s">
        <v>7724</v>
      </c>
      <c r="I1148" t="s">
        <v>203</v>
      </c>
      <c r="J1148" t="s">
        <v>111</v>
      </c>
      <c r="K1148" t="str">
        <f>"85297"</f>
        <v>85297</v>
      </c>
      <c r="L1148" t="s">
        <v>7725</v>
      </c>
      <c r="M1148" t="s">
        <v>7724</v>
      </c>
      <c r="N1148" t="s">
        <v>203</v>
      </c>
      <c r="O1148" t="s">
        <v>111</v>
      </c>
      <c r="P1148" t="str">
        <f>"85297-9519"</f>
        <v>85297-9519</v>
      </c>
      <c r="Q1148" t="s">
        <v>113</v>
      </c>
      <c r="R1148" t="str">
        <f>"313-02-426"</f>
        <v>313-02-426</v>
      </c>
      <c r="S1148" t="s">
        <v>7726</v>
      </c>
      <c r="T1148" t="s">
        <v>7727</v>
      </c>
      <c r="U1148">
        <v>1980</v>
      </c>
      <c r="V1148">
        <v>0</v>
      </c>
      <c r="W1148">
        <v>3</v>
      </c>
      <c r="X1148">
        <v>2001</v>
      </c>
      <c r="Z1148">
        <v>1</v>
      </c>
      <c r="AB1148">
        <v>0</v>
      </c>
      <c r="AC1148" t="s">
        <v>115</v>
      </c>
      <c r="AD1148">
        <v>2</v>
      </c>
      <c r="AE1148" t="s">
        <v>115</v>
      </c>
      <c r="AF1148">
        <v>0</v>
      </c>
      <c r="AG1148">
        <v>0</v>
      </c>
      <c r="AH1148" t="s">
        <v>116</v>
      </c>
      <c r="AI1148" s="1">
        <v>25229</v>
      </c>
      <c r="AJ1148" s="2">
        <v>7.0000000000000007E-2</v>
      </c>
      <c r="AK1148" s="1">
        <v>344426</v>
      </c>
      <c r="AL1148" t="s">
        <v>117</v>
      </c>
      <c r="AM1148" t="s">
        <v>393</v>
      </c>
      <c r="AN1148">
        <v>8280</v>
      </c>
      <c r="AO1148">
        <v>0.19</v>
      </c>
      <c r="AP1148">
        <v>1</v>
      </c>
      <c r="AR1148">
        <v>1</v>
      </c>
      <c r="AS1148" s="1">
        <v>23650</v>
      </c>
      <c r="AT1148" s="1">
        <v>4730</v>
      </c>
      <c r="AU1148" s="1">
        <v>18920</v>
      </c>
      <c r="AV1148">
        <v>80</v>
      </c>
      <c r="AX1148" s="1">
        <v>2005.96</v>
      </c>
      <c r="AY1148" t="s">
        <v>289</v>
      </c>
      <c r="AZ1148" t="s">
        <v>289</v>
      </c>
      <c r="BA1148" t="s">
        <v>290</v>
      </c>
      <c r="BE1148" s="3">
        <v>42327</v>
      </c>
      <c r="BF1148" s="1">
        <v>261000</v>
      </c>
      <c r="BG1148" t="s">
        <v>7728</v>
      </c>
      <c r="BH1148" s="1">
        <v>131.82</v>
      </c>
      <c r="BI1148" s="1">
        <v>319197</v>
      </c>
      <c r="BJ1148" s="3">
        <v>43398</v>
      </c>
      <c r="BK1148" t="s">
        <v>123</v>
      </c>
      <c r="BL1148" t="str">
        <f>"2018.798764"</f>
        <v>2018.798764</v>
      </c>
      <c r="BM1148" t="s">
        <v>492</v>
      </c>
      <c r="BN1148" t="s">
        <v>4706</v>
      </c>
      <c r="BO1148" t="s">
        <v>7729</v>
      </c>
      <c r="BP1148" t="s">
        <v>7730</v>
      </c>
      <c r="BR1148" t="s">
        <v>139</v>
      </c>
      <c r="BW1148" t="str">
        <f>""</f>
        <v/>
      </c>
      <c r="CH1148" t="str">
        <f>""</f>
        <v/>
      </c>
      <c r="CS1148" t="str">
        <f>""</f>
        <v/>
      </c>
    </row>
    <row r="1149" spans="1:97" x14ac:dyDescent="0.25">
      <c r="A1149" t="s">
        <v>265</v>
      </c>
      <c r="B1149" t="s">
        <v>7731</v>
      </c>
      <c r="C1149" t="s">
        <v>7732</v>
      </c>
      <c r="D1149" t="s">
        <v>7733</v>
      </c>
      <c r="E1149" t="s">
        <v>7734</v>
      </c>
      <c r="F1149" t="s">
        <v>108</v>
      </c>
      <c r="H1149" t="s">
        <v>7735</v>
      </c>
      <c r="I1149" t="s">
        <v>1936</v>
      </c>
      <c r="J1149" t="s">
        <v>111</v>
      </c>
      <c r="K1149" t="str">
        <f>"85254"</f>
        <v>85254</v>
      </c>
      <c r="L1149" t="s">
        <v>5218</v>
      </c>
      <c r="M1149" t="s">
        <v>7735</v>
      </c>
      <c r="N1149" t="s">
        <v>1936</v>
      </c>
      <c r="O1149" t="s">
        <v>111</v>
      </c>
      <c r="P1149" t="str">
        <f>"85254-3201"</f>
        <v>85254-3201</v>
      </c>
      <c r="Q1149" t="s">
        <v>113</v>
      </c>
      <c r="R1149" t="str">
        <f>"215-61-078"</f>
        <v>215-61-078</v>
      </c>
      <c r="S1149" t="s">
        <v>7736</v>
      </c>
      <c r="T1149" t="s">
        <v>7737</v>
      </c>
      <c r="U1149">
        <v>2241</v>
      </c>
      <c r="V1149">
        <v>0</v>
      </c>
      <c r="W1149">
        <v>4</v>
      </c>
      <c r="X1149">
        <v>1979</v>
      </c>
      <c r="Z1149">
        <v>1</v>
      </c>
      <c r="AA1149" t="s">
        <v>26</v>
      </c>
      <c r="AB1149">
        <v>0</v>
      </c>
      <c r="AC1149" t="s">
        <v>115</v>
      </c>
      <c r="AD1149">
        <v>2</v>
      </c>
      <c r="AE1149" t="s">
        <v>115</v>
      </c>
      <c r="AF1149">
        <v>0</v>
      </c>
      <c r="AG1149">
        <v>0</v>
      </c>
      <c r="AH1149" t="s">
        <v>116</v>
      </c>
      <c r="AI1149" s="1">
        <v>116094</v>
      </c>
      <c r="AJ1149" s="2">
        <v>0.22</v>
      </c>
      <c r="AK1149" s="1">
        <v>533094</v>
      </c>
      <c r="AL1149" t="s">
        <v>117</v>
      </c>
      <c r="AM1149" t="s">
        <v>6114</v>
      </c>
      <c r="AN1149">
        <v>16303</v>
      </c>
      <c r="AO1149">
        <v>0.37</v>
      </c>
      <c r="AP1149">
        <v>1</v>
      </c>
      <c r="AR1149">
        <v>1</v>
      </c>
      <c r="AS1149" s="1">
        <v>38620</v>
      </c>
      <c r="AT1149" s="1">
        <v>7720</v>
      </c>
      <c r="AU1149" s="1">
        <v>30900</v>
      </c>
      <c r="AV1149">
        <v>80.010000000000005</v>
      </c>
      <c r="AX1149" s="1">
        <v>3649.1</v>
      </c>
      <c r="AY1149" t="s">
        <v>7738</v>
      </c>
      <c r="AZ1149" t="s">
        <v>7739</v>
      </c>
      <c r="BA1149" t="s">
        <v>6302</v>
      </c>
      <c r="BB1149" s="3">
        <v>42689</v>
      </c>
      <c r="BD1149" t="s">
        <v>458</v>
      </c>
      <c r="BE1149" s="3">
        <v>42478</v>
      </c>
      <c r="BF1149" s="1">
        <v>444900</v>
      </c>
      <c r="BG1149" t="s">
        <v>7740</v>
      </c>
      <c r="BH1149" s="1">
        <v>198.53</v>
      </c>
      <c r="BI1149" s="1">
        <v>417000</v>
      </c>
      <c r="BJ1149" s="3">
        <v>42689</v>
      </c>
      <c r="BK1149" t="s">
        <v>123</v>
      </c>
      <c r="BL1149" t="str">
        <f>"2016.840539"</f>
        <v>2016.840539</v>
      </c>
      <c r="BM1149" t="s">
        <v>402</v>
      </c>
      <c r="BO1149" t="s">
        <v>7741</v>
      </c>
      <c r="BP1149" t="s">
        <v>7742</v>
      </c>
      <c r="BS1149">
        <v>30</v>
      </c>
      <c r="BW1149" t="str">
        <f>""</f>
        <v/>
      </c>
      <c r="CH1149" t="str">
        <f>""</f>
        <v/>
      </c>
      <c r="CS1149" t="str">
        <f>""</f>
        <v/>
      </c>
    </row>
    <row r="1150" spans="1:97" x14ac:dyDescent="0.25">
      <c r="A1150" t="s">
        <v>7743</v>
      </c>
      <c r="B1150" t="s">
        <v>4718</v>
      </c>
      <c r="E1150" t="s">
        <v>7744</v>
      </c>
      <c r="F1150" t="s">
        <v>108</v>
      </c>
      <c r="H1150" t="s">
        <v>7745</v>
      </c>
      <c r="I1150" t="s">
        <v>110</v>
      </c>
      <c r="J1150" t="s">
        <v>111</v>
      </c>
      <c r="K1150" t="str">
        <f>"85224"</f>
        <v>85224</v>
      </c>
      <c r="L1150" t="s">
        <v>7746</v>
      </c>
      <c r="M1150" t="s">
        <v>7745</v>
      </c>
      <c r="N1150" t="s">
        <v>110</v>
      </c>
      <c r="O1150" t="s">
        <v>111</v>
      </c>
      <c r="P1150" t="str">
        <f>"85224-7845"</f>
        <v>85224-7845</v>
      </c>
      <c r="Q1150" t="s">
        <v>113</v>
      </c>
      <c r="R1150" t="str">
        <f>"302-80-740"</f>
        <v>302-80-740</v>
      </c>
      <c r="S1150" t="s">
        <v>7747</v>
      </c>
      <c r="T1150" t="s">
        <v>7748</v>
      </c>
      <c r="U1150">
        <v>3144</v>
      </c>
      <c r="V1150">
        <v>0</v>
      </c>
      <c r="W1150">
        <v>4</v>
      </c>
      <c r="X1150">
        <v>1985</v>
      </c>
      <c r="Z1150">
        <v>2</v>
      </c>
      <c r="AA1150" t="s">
        <v>26</v>
      </c>
      <c r="AB1150">
        <v>0</v>
      </c>
      <c r="AC1150" t="s">
        <v>115</v>
      </c>
      <c r="AD1150">
        <v>3</v>
      </c>
      <c r="AE1150" t="s">
        <v>115</v>
      </c>
      <c r="AF1150">
        <v>0</v>
      </c>
      <c r="AG1150">
        <v>0</v>
      </c>
      <c r="AH1150" t="s">
        <v>116</v>
      </c>
      <c r="AI1150" s="1">
        <v>87375</v>
      </c>
      <c r="AJ1150" s="2">
        <v>0.18</v>
      </c>
      <c r="AK1150" s="1">
        <v>479788</v>
      </c>
      <c r="AL1150" t="s">
        <v>117</v>
      </c>
      <c r="AM1150" t="s">
        <v>118</v>
      </c>
      <c r="AN1150">
        <v>10315</v>
      </c>
      <c r="AO1150">
        <v>0.24</v>
      </c>
      <c r="AP1150">
        <v>1</v>
      </c>
      <c r="AR1150">
        <v>1</v>
      </c>
      <c r="AS1150" s="1">
        <v>33010</v>
      </c>
      <c r="AT1150" s="1">
        <v>6600</v>
      </c>
      <c r="AU1150" s="1">
        <v>26410</v>
      </c>
      <c r="AV1150">
        <v>80.010000000000005</v>
      </c>
      <c r="AX1150" s="1">
        <v>2612.38</v>
      </c>
      <c r="AY1150" t="s">
        <v>7749</v>
      </c>
      <c r="AZ1150" t="s">
        <v>5078</v>
      </c>
      <c r="BA1150" t="s">
        <v>2957</v>
      </c>
      <c r="BE1150" s="3">
        <v>41691</v>
      </c>
      <c r="BF1150" s="1">
        <v>400000</v>
      </c>
      <c r="BG1150" t="s">
        <v>7750</v>
      </c>
      <c r="BH1150" s="1">
        <v>127.23</v>
      </c>
      <c r="BI1150" s="1">
        <v>392413</v>
      </c>
      <c r="BJ1150" s="3">
        <v>42594</v>
      </c>
      <c r="BK1150" t="s">
        <v>123</v>
      </c>
      <c r="BL1150" t="str">
        <f>"2016.577116"</f>
        <v>2016.577116</v>
      </c>
      <c r="BM1150" t="s">
        <v>1695</v>
      </c>
      <c r="BO1150" t="s">
        <v>7751</v>
      </c>
      <c r="BS1150">
        <v>30</v>
      </c>
      <c r="BW1150" t="str">
        <f>""</f>
        <v/>
      </c>
      <c r="CH1150" t="str">
        <f>""</f>
        <v/>
      </c>
      <c r="CS1150" t="str">
        <f>""</f>
        <v/>
      </c>
    </row>
    <row r="1151" spans="1:97" x14ac:dyDescent="0.25">
      <c r="A1151" t="s">
        <v>2640</v>
      </c>
      <c r="B1151" t="s">
        <v>7752</v>
      </c>
      <c r="C1151" t="s">
        <v>211</v>
      </c>
      <c r="D1151" t="s">
        <v>7752</v>
      </c>
      <c r="E1151" t="s">
        <v>7753</v>
      </c>
      <c r="F1151" t="s">
        <v>108</v>
      </c>
      <c r="H1151" t="s">
        <v>7754</v>
      </c>
      <c r="I1151" t="s">
        <v>390</v>
      </c>
      <c r="J1151" t="s">
        <v>111</v>
      </c>
      <c r="K1151" t="str">
        <f>"85044"</f>
        <v>85044</v>
      </c>
      <c r="L1151" t="s">
        <v>2857</v>
      </c>
      <c r="M1151" t="s">
        <v>7754</v>
      </c>
      <c r="N1151" t="s">
        <v>390</v>
      </c>
      <c r="O1151" t="s">
        <v>111</v>
      </c>
      <c r="P1151" t="str">
        <f>"85044-7130"</f>
        <v>85044-7130</v>
      </c>
      <c r="Q1151" t="s">
        <v>113</v>
      </c>
      <c r="R1151" t="str">
        <f>"306-04-068"</f>
        <v>306-04-068</v>
      </c>
      <c r="S1151" t="s">
        <v>7424</v>
      </c>
      <c r="U1151">
        <v>1800</v>
      </c>
      <c r="V1151">
        <v>0</v>
      </c>
      <c r="W1151">
        <v>3</v>
      </c>
      <c r="X1151">
        <v>1995</v>
      </c>
      <c r="Z1151">
        <v>1</v>
      </c>
      <c r="AB1151">
        <v>0</v>
      </c>
      <c r="AC1151" t="s">
        <v>115</v>
      </c>
      <c r="AD1151">
        <v>6</v>
      </c>
      <c r="AE1151" t="s">
        <v>115</v>
      </c>
      <c r="AF1151">
        <v>0</v>
      </c>
      <c r="AG1151">
        <v>0</v>
      </c>
      <c r="AH1151" t="s">
        <v>116</v>
      </c>
      <c r="AI1151" s="1">
        <v>84333</v>
      </c>
      <c r="AJ1151" s="2">
        <v>0.27</v>
      </c>
      <c r="AK1151" s="1">
        <v>317106</v>
      </c>
      <c r="AL1151" t="s">
        <v>117</v>
      </c>
      <c r="AM1151" t="s">
        <v>191</v>
      </c>
      <c r="AN1151">
        <v>8606</v>
      </c>
      <c r="AO1151">
        <v>0.2</v>
      </c>
      <c r="AP1151">
        <v>1</v>
      </c>
      <c r="AR1151">
        <v>1</v>
      </c>
      <c r="AS1151" s="1">
        <v>25170</v>
      </c>
      <c r="AT1151" s="1">
        <v>5030</v>
      </c>
      <c r="AU1151" s="1">
        <v>20140</v>
      </c>
      <c r="AV1151">
        <v>80.02</v>
      </c>
      <c r="AX1151" s="1">
        <v>2524.54</v>
      </c>
      <c r="AY1151" t="s">
        <v>7254</v>
      </c>
      <c r="AZ1151" t="s">
        <v>7255</v>
      </c>
      <c r="BA1151" t="s">
        <v>5328</v>
      </c>
      <c r="BE1151" s="3">
        <v>42341</v>
      </c>
      <c r="BF1151" s="1">
        <v>279900</v>
      </c>
      <c r="BG1151" t="s">
        <v>7755</v>
      </c>
      <c r="BH1151" s="1">
        <v>155.5</v>
      </c>
      <c r="BI1151" s="1">
        <v>232773</v>
      </c>
      <c r="BJ1151" s="3">
        <v>42341</v>
      </c>
      <c r="BK1151" t="s">
        <v>123</v>
      </c>
      <c r="BL1151" t="str">
        <f>"2015.858919"</f>
        <v>2015.858919</v>
      </c>
      <c r="BM1151" t="s">
        <v>724</v>
      </c>
      <c r="BO1151" t="s">
        <v>7756</v>
      </c>
      <c r="BS1151">
        <v>30</v>
      </c>
      <c r="BW1151" t="str">
        <f>""</f>
        <v/>
      </c>
      <c r="CH1151" t="str">
        <f>""</f>
        <v/>
      </c>
      <c r="CS1151" t="str">
        <f>""</f>
        <v/>
      </c>
    </row>
    <row r="1152" spans="1:97" x14ac:dyDescent="0.25">
      <c r="A1152" t="s">
        <v>7757</v>
      </c>
      <c r="B1152" t="s">
        <v>7758</v>
      </c>
      <c r="C1152" t="s">
        <v>2976</v>
      </c>
      <c r="D1152" t="s">
        <v>7758</v>
      </c>
      <c r="E1152" t="s">
        <v>7759</v>
      </c>
      <c r="F1152" t="s">
        <v>108</v>
      </c>
      <c r="H1152" t="s">
        <v>7760</v>
      </c>
      <c r="I1152" t="s">
        <v>1397</v>
      </c>
      <c r="J1152" t="s">
        <v>111</v>
      </c>
      <c r="K1152" t="str">
        <f>"85331"</f>
        <v>85331</v>
      </c>
      <c r="L1152" t="s">
        <v>7761</v>
      </c>
      <c r="M1152" t="s">
        <v>7760</v>
      </c>
      <c r="N1152" t="s">
        <v>1397</v>
      </c>
      <c r="O1152" t="s">
        <v>111</v>
      </c>
      <c r="P1152" t="str">
        <f>"85331-2201"</f>
        <v>85331-2201</v>
      </c>
      <c r="Q1152" t="s">
        <v>113</v>
      </c>
      <c r="R1152" t="str">
        <f>"211-40-103"</f>
        <v>211-40-103</v>
      </c>
      <c r="S1152" t="s">
        <v>7762</v>
      </c>
      <c r="U1152">
        <v>2311</v>
      </c>
      <c r="V1152">
        <v>0</v>
      </c>
      <c r="W1152">
        <v>3</v>
      </c>
      <c r="X1152">
        <v>1996</v>
      </c>
      <c r="Z1152">
        <v>1</v>
      </c>
      <c r="AA1152" t="s">
        <v>26</v>
      </c>
      <c r="AB1152">
        <v>0</v>
      </c>
      <c r="AC1152" t="s">
        <v>115</v>
      </c>
      <c r="AD1152">
        <v>3</v>
      </c>
      <c r="AE1152" t="s">
        <v>115</v>
      </c>
      <c r="AF1152">
        <v>0</v>
      </c>
      <c r="AG1152">
        <v>0</v>
      </c>
      <c r="AH1152" t="s">
        <v>116</v>
      </c>
      <c r="AI1152" s="1">
        <v>51330</v>
      </c>
      <c r="AJ1152" s="2">
        <v>0.12</v>
      </c>
      <c r="AK1152" s="1">
        <v>446173</v>
      </c>
      <c r="AL1152" t="s">
        <v>117</v>
      </c>
      <c r="AM1152" t="s">
        <v>191</v>
      </c>
      <c r="AN1152">
        <v>7328</v>
      </c>
      <c r="AO1152">
        <v>0.17</v>
      </c>
      <c r="AP1152">
        <v>1</v>
      </c>
      <c r="AR1152">
        <v>1</v>
      </c>
      <c r="AS1152" s="1">
        <v>32450</v>
      </c>
      <c r="AT1152" s="1">
        <v>6490</v>
      </c>
      <c r="AU1152" s="1">
        <v>25960</v>
      </c>
      <c r="AV1152">
        <v>80</v>
      </c>
      <c r="AX1152" s="1">
        <v>2045.42</v>
      </c>
      <c r="AY1152" t="s">
        <v>7763</v>
      </c>
      <c r="AZ1152" t="s">
        <v>1402</v>
      </c>
      <c r="BA1152" t="s">
        <v>1403</v>
      </c>
      <c r="BE1152" s="3">
        <v>42090</v>
      </c>
      <c r="BF1152" s="1">
        <v>330000</v>
      </c>
      <c r="BG1152" t="s">
        <v>7764</v>
      </c>
      <c r="BH1152" s="1">
        <v>142.80000000000001</v>
      </c>
      <c r="BI1152" s="1">
        <v>394843</v>
      </c>
      <c r="BJ1152" s="3">
        <v>43006</v>
      </c>
      <c r="BK1152" t="s">
        <v>123</v>
      </c>
      <c r="BL1152" t="str">
        <f>"2017.717478"</f>
        <v>2017.717478</v>
      </c>
      <c r="BM1152" t="s">
        <v>5382</v>
      </c>
      <c r="BN1152">
        <v>85054</v>
      </c>
      <c r="BO1152" t="s">
        <v>7765</v>
      </c>
      <c r="BP1152" t="s">
        <v>7766</v>
      </c>
      <c r="BS1152">
        <v>30</v>
      </c>
      <c r="BT1152" s="1">
        <v>394843</v>
      </c>
      <c r="BU1152" s="3">
        <v>43006</v>
      </c>
      <c r="BV1152" t="s">
        <v>123</v>
      </c>
      <c r="BW1152" t="str">
        <f>"2017.717478"</f>
        <v>2017.717478</v>
      </c>
      <c r="BX1152" t="s">
        <v>5382</v>
      </c>
      <c r="BZ1152" t="s">
        <v>7765</v>
      </c>
      <c r="CA1152" t="s">
        <v>7766</v>
      </c>
      <c r="CD1152">
        <v>30</v>
      </c>
      <c r="CH1152" t="str">
        <f>""</f>
        <v/>
      </c>
      <c r="CS1152" t="str">
        <f>""</f>
        <v/>
      </c>
    </row>
    <row r="1153" spans="1:97" x14ac:dyDescent="0.25">
      <c r="A1153" t="s">
        <v>7767</v>
      </c>
      <c r="B1153" t="s">
        <v>7768</v>
      </c>
      <c r="C1153" t="s">
        <v>1354</v>
      </c>
      <c r="D1153" t="s">
        <v>7768</v>
      </c>
      <c r="E1153" t="s">
        <v>7769</v>
      </c>
      <c r="F1153" t="s">
        <v>108</v>
      </c>
      <c r="H1153" t="s">
        <v>7770</v>
      </c>
      <c r="I1153" t="s">
        <v>390</v>
      </c>
      <c r="J1153" t="s">
        <v>111</v>
      </c>
      <c r="K1153" t="str">
        <f>"85083"</f>
        <v>85083</v>
      </c>
      <c r="L1153" t="s">
        <v>5743</v>
      </c>
      <c r="M1153" t="s">
        <v>7770</v>
      </c>
      <c r="N1153" t="s">
        <v>390</v>
      </c>
      <c r="O1153" t="s">
        <v>111</v>
      </c>
      <c r="P1153" t="str">
        <f>"85083-4427"</f>
        <v>85083-4427</v>
      </c>
      <c r="Q1153" t="s">
        <v>113</v>
      </c>
      <c r="R1153" t="str">
        <f>"201-38-635"</f>
        <v>201-38-635</v>
      </c>
      <c r="S1153" t="s">
        <v>7771</v>
      </c>
      <c r="U1153">
        <v>3638</v>
      </c>
      <c r="V1153">
        <v>0</v>
      </c>
      <c r="W1153">
        <v>6</v>
      </c>
      <c r="X1153">
        <v>2005</v>
      </c>
      <c r="Z1153">
        <v>2</v>
      </c>
      <c r="AA1153" t="s">
        <v>26</v>
      </c>
      <c r="AB1153">
        <v>0</v>
      </c>
      <c r="AC1153" t="s">
        <v>115</v>
      </c>
      <c r="AD1153">
        <v>3</v>
      </c>
      <c r="AE1153" t="s">
        <v>115</v>
      </c>
      <c r="AF1153">
        <v>0</v>
      </c>
      <c r="AG1153">
        <v>0</v>
      </c>
      <c r="AH1153" t="s">
        <v>116</v>
      </c>
      <c r="AI1153" s="1">
        <v>74388</v>
      </c>
      <c r="AJ1153" s="2">
        <v>0.15</v>
      </c>
      <c r="AK1153" s="1">
        <v>481530</v>
      </c>
      <c r="AL1153" t="s">
        <v>117</v>
      </c>
      <c r="AM1153" t="s">
        <v>1302</v>
      </c>
      <c r="AN1153">
        <v>7279</v>
      </c>
      <c r="AO1153">
        <v>0.17</v>
      </c>
      <c r="AR1153">
        <v>1</v>
      </c>
      <c r="AS1153" s="1">
        <v>35510</v>
      </c>
      <c r="AT1153" s="1">
        <v>7100</v>
      </c>
      <c r="AU1153" s="1">
        <v>28410</v>
      </c>
      <c r="AV1153">
        <v>80.010000000000005</v>
      </c>
      <c r="AX1153" s="1">
        <v>3497.78</v>
      </c>
      <c r="AY1153" t="s">
        <v>5125</v>
      </c>
      <c r="AZ1153" t="s">
        <v>3049</v>
      </c>
      <c r="BA1153" t="s">
        <v>1386</v>
      </c>
      <c r="BE1153" s="3">
        <v>41744</v>
      </c>
      <c r="BF1153" s="1">
        <v>395000</v>
      </c>
      <c r="BG1153" t="s">
        <v>5609</v>
      </c>
      <c r="BH1153" s="1">
        <v>108.58</v>
      </c>
      <c r="BI1153" s="1">
        <v>382142</v>
      </c>
      <c r="BJ1153" s="3">
        <v>42696</v>
      </c>
      <c r="BK1153" t="s">
        <v>123</v>
      </c>
      <c r="BL1153" t="str">
        <f>"2016.864688"</f>
        <v>2016.864688</v>
      </c>
      <c r="BM1153" t="s">
        <v>135</v>
      </c>
      <c r="BO1153" t="s">
        <v>7772</v>
      </c>
      <c r="BS1153">
        <v>30</v>
      </c>
      <c r="BT1153" s="1">
        <v>25000</v>
      </c>
      <c r="BU1153" s="3">
        <v>43040</v>
      </c>
      <c r="BW1153" t="str">
        <f>"2017.813105"</f>
        <v>2017.813105</v>
      </c>
      <c r="BX1153" t="s">
        <v>135</v>
      </c>
      <c r="BZ1153" t="s">
        <v>7773</v>
      </c>
      <c r="CC1153" t="s">
        <v>1633</v>
      </c>
      <c r="CD1153">
        <v>40</v>
      </c>
      <c r="CH1153" t="str">
        <f>""</f>
        <v/>
      </c>
      <c r="CS1153" t="str">
        <f>""</f>
        <v/>
      </c>
    </row>
    <row r="1154" spans="1:97" x14ac:dyDescent="0.25">
      <c r="A1154" t="s">
        <v>894</v>
      </c>
      <c r="B1154" t="s">
        <v>7774</v>
      </c>
      <c r="C1154" t="s">
        <v>3831</v>
      </c>
      <c r="D1154" t="s">
        <v>7774</v>
      </c>
      <c r="E1154" t="s">
        <v>7775</v>
      </c>
      <c r="F1154" t="s">
        <v>108</v>
      </c>
      <c r="H1154" t="s">
        <v>7776</v>
      </c>
      <c r="I1154" t="s">
        <v>167</v>
      </c>
      <c r="J1154" t="s">
        <v>111</v>
      </c>
      <c r="K1154" t="str">
        <f>"85339"</f>
        <v>85339</v>
      </c>
      <c r="L1154" t="s">
        <v>5637</v>
      </c>
      <c r="M1154" t="s">
        <v>7776</v>
      </c>
      <c r="N1154" t="s">
        <v>167</v>
      </c>
      <c r="O1154" t="s">
        <v>111</v>
      </c>
      <c r="P1154" t="str">
        <f>"85339-2704"</f>
        <v>85339-2704</v>
      </c>
      <c r="Q1154" t="s">
        <v>113</v>
      </c>
      <c r="R1154" t="str">
        <f>"300-02-202"</f>
        <v>300-02-202</v>
      </c>
      <c r="S1154" t="s">
        <v>7777</v>
      </c>
      <c r="T1154" t="s">
        <v>7778</v>
      </c>
      <c r="U1154">
        <v>2673</v>
      </c>
      <c r="V1154">
        <v>0</v>
      </c>
      <c r="W1154">
        <v>3</v>
      </c>
      <c r="X1154">
        <v>1980</v>
      </c>
      <c r="Z1154">
        <v>1</v>
      </c>
      <c r="AB1154">
        <v>0</v>
      </c>
      <c r="AC1154" t="s">
        <v>115</v>
      </c>
      <c r="AD1154">
        <v>4</v>
      </c>
      <c r="AE1154" t="s">
        <v>115</v>
      </c>
      <c r="AF1154">
        <v>0</v>
      </c>
      <c r="AG1154">
        <v>0</v>
      </c>
      <c r="AH1154" t="s">
        <v>116</v>
      </c>
      <c r="AI1154" s="1">
        <v>117001</v>
      </c>
      <c r="AJ1154" s="2">
        <v>0.28000000000000003</v>
      </c>
      <c r="AK1154" s="1">
        <v>420703</v>
      </c>
      <c r="AL1154" t="s">
        <v>117</v>
      </c>
      <c r="AM1154" t="s">
        <v>376</v>
      </c>
      <c r="AN1154">
        <v>57782</v>
      </c>
      <c r="AO1154">
        <v>1.33</v>
      </c>
      <c r="AP1154">
        <v>1</v>
      </c>
      <c r="AR1154">
        <v>1</v>
      </c>
      <c r="AS1154" s="1">
        <v>32470</v>
      </c>
      <c r="AT1154" s="1">
        <v>6490</v>
      </c>
      <c r="AU1154" s="1">
        <v>25980</v>
      </c>
      <c r="AV1154">
        <v>80.010000000000005</v>
      </c>
      <c r="AX1154" s="1">
        <v>3150.02</v>
      </c>
      <c r="AY1154" t="s">
        <v>805</v>
      </c>
      <c r="AZ1154" t="s">
        <v>806</v>
      </c>
      <c r="BA1154" t="s">
        <v>173</v>
      </c>
      <c r="BB1154" s="3">
        <v>42738</v>
      </c>
      <c r="BD1154" t="s">
        <v>458</v>
      </c>
      <c r="BE1154" s="3">
        <v>42374</v>
      </c>
      <c r="BF1154" s="1">
        <v>325000</v>
      </c>
      <c r="BG1154" t="s">
        <v>7779</v>
      </c>
      <c r="BH1154" s="1">
        <v>121.59</v>
      </c>
      <c r="BI1154" s="1">
        <v>303702</v>
      </c>
      <c r="BJ1154" s="3">
        <v>42738</v>
      </c>
      <c r="BK1154" t="s">
        <v>123</v>
      </c>
      <c r="BL1154" t="str">
        <f>"2017.578"</f>
        <v>2017.578</v>
      </c>
      <c r="BM1154" t="s">
        <v>2127</v>
      </c>
      <c r="BN1154" t="s">
        <v>7780</v>
      </c>
      <c r="BO1154" t="s">
        <v>7781</v>
      </c>
      <c r="BS1154">
        <v>30</v>
      </c>
      <c r="BT1154" s="1">
        <v>303702</v>
      </c>
      <c r="BU1154" s="3">
        <v>42738</v>
      </c>
      <c r="BV1154" t="s">
        <v>123</v>
      </c>
      <c r="BW1154" t="str">
        <f>"2017.578"</f>
        <v>2017.578</v>
      </c>
      <c r="BX1154" t="s">
        <v>2127</v>
      </c>
      <c r="BZ1154" t="s">
        <v>7781</v>
      </c>
      <c r="CD1154">
        <v>30</v>
      </c>
      <c r="CH1154" t="str">
        <f>""</f>
        <v/>
      </c>
      <c r="CS1154" t="str">
        <f>""</f>
        <v/>
      </c>
    </row>
    <row r="1155" spans="1:97" x14ac:dyDescent="0.25">
      <c r="A1155" t="s">
        <v>177</v>
      </c>
      <c r="B1155" t="s">
        <v>7782</v>
      </c>
      <c r="C1155" t="s">
        <v>852</v>
      </c>
      <c r="D1155" t="s">
        <v>7782</v>
      </c>
      <c r="E1155" t="s">
        <v>7783</v>
      </c>
      <c r="F1155" t="s">
        <v>282</v>
      </c>
      <c r="H1155" t="s">
        <v>7784</v>
      </c>
      <c r="I1155" t="s">
        <v>203</v>
      </c>
      <c r="J1155" t="s">
        <v>111</v>
      </c>
      <c r="K1155" t="str">
        <f>"85296"</f>
        <v>85296</v>
      </c>
      <c r="L1155" t="s">
        <v>2820</v>
      </c>
      <c r="M1155" t="s">
        <v>7785</v>
      </c>
      <c r="N1155" t="s">
        <v>203</v>
      </c>
      <c r="O1155" t="s">
        <v>111</v>
      </c>
      <c r="P1155" t="str">
        <f>"85296-1407"</f>
        <v>85296-1407</v>
      </c>
      <c r="Q1155" t="s">
        <v>113</v>
      </c>
      <c r="R1155" t="str">
        <f>"304-19-308"</f>
        <v>304-19-308</v>
      </c>
      <c r="S1155" t="s">
        <v>7786</v>
      </c>
      <c r="T1155" t="s">
        <v>7786</v>
      </c>
      <c r="U1155">
        <v>3758</v>
      </c>
      <c r="V1155">
        <v>0</v>
      </c>
      <c r="W1155">
        <v>5</v>
      </c>
      <c r="X1155">
        <v>2008</v>
      </c>
      <c r="Z1155">
        <v>2</v>
      </c>
      <c r="AA1155" t="s">
        <v>26</v>
      </c>
      <c r="AB1155">
        <v>0</v>
      </c>
      <c r="AC1155" t="s">
        <v>115</v>
      </c>
      <c r="AD1155">
        <v>3</v>
      </c>
      <c r="AE1155" t="s">
        <v>115</v>
      </c>
      <c r="AF1155">
        <v>0</v>
      </c>
      <c r="AG1155">
        <v>0</v>
      </c>
      <c r="AH1155" t="s">
        <v>116</v>
      </c>
      <c r="AI1155" s="1">
        <v>91144</v>
      </c>
      <c r="AJ1155" s="2">
        <v>0.17</v>
      </c>
      <c r="AK1155" s="1">
        <v>539166</v>
      </c>
      <c r="AL1155" t="s">
        <v>117</v>
      </c>
      <c r="AM1155" t="s">
        <v>979</v>
      </c>
      <c r="AN1155">
        <v>9750</v>
      </c>
      <c r="AO1155">
        <v>0.22</v>
      </c>
      <c r="AR1155">
        <v>1</v>
      </c>
      <c r="AS1155" s="1">
        <v>39930</v>
      </c>
      <c r="AT1155" s="1">
        <v>7980</v>
      </c>
      <c r="AU1155" s="1">
        <v>31950</v>
      </c>
      <c r="AV1155">
        <v>80.02</v>
      </c>
      <c r="AX1155" s="1">
        <v>3669.68</v>
      </c>
      <c r="AY1155" t="s">
        <v>519</v>
      </c>
      <c r="AZ1155" t="s">
        <v>520</v>
      </c>
      <c r="BA1155" t="s">
        <v>521</v>
      </c>
      <c r="BE1155" s="3">
        <v>42144</v>
      </c>
      <c r="BF1155" s="1">
        <v>479000</v>
      </c>
      <c r="BG1155" t="s">
        <v>7787</v>
      </c>
      <c r="BH1155" s="1">
        <v>127.46</v>
      </c>
      <c r="BI1155" s="1">
        <v>448022</v>
      </c>
      <c r="BJ1155" s="3">
        <v>43080</v>
      </c>
      <c r="BK1155" t="s">
        <v>123</v>
      </c>
      <c r="BL1155" t="str">
        <f>"2017.913850"</f>
        <v>2017.913850</v>
      </c>
      <c r="BM1155" t="s">
        <v>3638</v>
      </c>
      <c r="BO1155" t="s">
        <v>7788</v>
      </c>
      <c r="BS1155">
        <v>28</v>
      </c>
      <c r="BW1155" t="str">
        <f>""</f>
        <v/>
      </c>
      <c r="CH1155" t="str">
        <f>""</f>
        <v/>
      </c>
      <c r="CS1155" t="str">
        <f>""</f>
        <v/>
      </c>
    </row>
    <row r="1156" spans="1:97" x14ac:dyDescent="0.25">
      <c r="A1156" t="s">
        <v>7789</v>
      </c>
      <c r="B1156" t="s">
        <v>7790</v>
      </c>
      <c r="C1156" t="s">
        <v>1735</v>
      </c>
      <c r="D1156" t="s">
        <v>7790</v>
      </c>
      <c r="E1156" t="s">
        <v>7791</v>
      </c>
      <c r="F1156" t="s">
        <v>108</v>
      </c>
      <c r="H1156" t="s">
        <v>7792</v>
      </c>
      <c r="I1156" t="s">
        <v>167</v>
      </c>
      <c r="J1156" t="s">
        <v>111</v>
      </c>
      <c r="K1156" t="str">
        <f>"85339"</f>
        <v>85339</v>
      </c>
      <c r="L1156" t="s">
        <v>5637</v>
      </c>
      <c r="M1156" t="s">
        <v>7792</v>
      </c>
      <c r="N1156" t="s">
        <v>167</v>
      </c>
      <c r="O1156" t="s">
        <v>111</v>
      </c>
      <c r="P1156" t="str">
        <f>"85339-7193"</f>
        <v>85339-7193</v>
      </c>
      <c r="Q1156" t="s">
        <v>113</v>
      </c>
      <c r="R1156" t="str">
        <f>"300-02-853"</f>
        <v>300-02-853</v>
      </c>
      <c r="S1156" t="s">
        <v>7793</v>
      </c>
      <c r="T1156" t="s">
        <v>7794</v>
      </c>
      <c r="U1156">
        <v>4651</v>
      </c>
      <c r="V1156">
        <v>0</v>
      </c>
      <c r="W1156">
        <v>6</v>
      </c>
      <c r="X1156">
        <v>2006</v>
      </c>
      <c r="Z1156">
        <v>2</v>
      </c>
      <c r="AA1156" t="s">
        <v>26</v>
      </c>
      <c r="AB1156">
        <v>0</v>
      </c>
      <c r="AC1156" t="s">
        <v>115</v>
      </c>
      <c r="AD1156">
        <v>6</v>
      </c>
      <c r="AE1156" t="s">
        <v>115</v>
      </c>
      <c r="AF1156">
        <v>0</v>
      </c>
      <c r="AG1156">
        <v>0</v>
      </c>
      <c r="AH1156" t="s">
        <v>116</v>
      </c>
      <c r="AI1156" s="1">
        <v>56154</v>
      </c>
      <c r="AJ1156" s="2">
        <v>0.13</v>
      </c>
      <c r="AK1156" s="1">
        <v>420817</v>
      </c>
      <c r="AL1156" t="s">
        <v>117</v>
      </c>
      <c r="AM1156" t="s">
        <v>616</v>
      </c>
      <c r="AN1156">
        <v>12700</v>
      </c>
      <c r="AO1156">
        <v>0.28999999999999998</v>
      </c>
      <c r="AR1156">
        <v>1</v>
      </c>
      <c r="AS1156" s="1">
        <v>31870</v>
      </c>
      <c r="AT1156" s="1">
        <v>6370</v>
      </c>
      <c r="AU1156" s="1">
        <v>25500</v>
      </c>
      <c r="AV1156">
        <v>80.010000000000005</v>
      </c>
      <c r="AX1156" s="1">
        <v>4672.26</v>
      </c>
      <c r="AY1156" t="s">
        <v>805</v>
      </c>
      <c r="AZ1156" t="s">
        <v>806</v>
      </c>
      <c r="BA1156" t="s">
        <v>173</v>
      </c>
      <c r="BE1156" s="3">
        <v>42429</v>
      </c>
      <c r="BF1156" s="1">
        <v>339500</v>
      </c>
      <c r="BG1156" t="s">
        <v>7795</v>
      </c>
      <c r="BH1156" s="1">
        <v>73</v>
      </c>
      <c r="BI1156" s="1">
        <v>364663</v>
      </c>
      <c r="BJ1156" s="3">
        <v>42502</v>
      </c>
      <c r="BK1156" t="s">
        <v>123</v>
      </c>
      <c r="BL1156" t="str">
        <f>"2016.326585"</f>
        <v>2016.326585</v>
      </c>
      <c r="BM1156" t="s">
        <v>2117</v>
      </c>
      <c r="BO1156" t="s">
        <v>7796</v>
      </c>
      <c r="BS1156">
        <v>30</v>
      </c>
      <c r="BW1156" t="str">
        <f>""</f>
        <v/>
      </c>
      <c r="CH1156" t="str">
        <f>""</f>
        <v/>
      </c>
      <c r="CS1156" t="str">
        <f>""</f>
        <v/>
      </c>
    </row>
    <row r="1157" spans="1:97" x14ac:dyDescent="0.25">
      <c r="A1157" t="s">
        <v>7797</v>
      </c>
      <c r="B1157" t="s">
        <v>7798</v>
      </c>
      <c r="C1157" t="s">
        <v>7799</v>
      </c>
      <c r="D1157" t="s">
        <v>7798</v>
      </c>
      <c r="E1157" t="s">
        <v>7800</v>
      </c>
      <c r="F1157" t="s">
        <v>108</v>
      </c>
      <c r="H1157" t="s">
        <v>7801</v>
      </c>
      <c r="I1157" t="s">
        <v>203</v>
      </c>
      <c r="J1157" t="s">
        <v>111</v>
      </c>
      <c r="K1157" t="str">
        <f>"85298"</f>
        <v>85298</v>
      </c>
      <c r="L1157" t="s">
        <v>558</v>
      </c>
      <c r="M1157" t="s">
        <v>7801</v>
      </c>
      <c r="N1157" t="s">
        <v>203</v>
      </c>
      <c r="O1157" t="s">
        <v>111</v>
      </c>
      <c r="P1157" t="str">
        <f>"85298-9107"</f>
        <v>85298-9107</v>
      </c>
      <c r="Q1157" t="s">
        <v>113</v>
      </c>
      <c r="R1157" t="str">
        <f>"313-07-130"</f>
        <v>313-07-130</v>
      </c>
      <c r="S1157" t="s">
        <v>7802</v>
      </c>
      <c r="T1157" t="s">
        <v>2898</v>
      </c>
      <c r="U1157">
        <v>2388</v>
      </c>
      <c r="V1157">
        <v>0</v>
      </c>
      <c r="W1157">
        <v>5</v>
      </c>
      <c r="X1157">
        <v>2004</v>
      </c>
      <c r="Z1157">
        <v>2</v>
      </c>
      <c r="AB1157">
        <v>0</v>
      </c>
      <c r="AC1157" t="s">
        <v>115</v>
      </c>
      <c r="AD1157">
        <v>2</v>
      </c>
      <c r="AE1157" t="s">
        <v>115</v>
      </c>
      <c r="AF1157">
        <v>0</v>
      </c>
      <c r="AG1157">
        <v>0</v>
      </c>
      <c r="AH1157" t="s">
        <v>116</v>
      </c>
      <c r="AI1157" s="1">
        <v>69411</v>
      </c>
      <c r="AJ1157" s="2">
        <v>0.2</v>
      </c>
      <c r="AK1157" s="1">
        <v>350323</v>
      </c>
      <c r="AL1157" t="s">
        <v>117</v>
      </c>
      <c r="AM1157" t="s">
        <v>191</v>
      </c>
      <c r="AN1157">
        <v>6050</v>
      </c>
      <c r="AO1157">
        <v>0.14000000000000001</v>
      </c>
      <c r="AP1157">
        <v>1</v>
      </c>
      <c r="AR1157">
        <v>1</v>
      </c>
      <c r="AS1157" s="1">
        <v>23980</v>
      </c>
      <c r="AT1157" s="1">
        <v>4790</v>
      </c>
      <c r="AU1157" s="1">
        <v>19190</v>
      </c>
      <c r="AV1157">
        <v>80.03</v>
      </c>
      <c r="AX1157" s="1">
        <v>1993.28</v>
      </c>
      <c r="AY1157" t="s">
        <v>5875</v>
      </c>
      <c r="AZ1157" t="s">
        <v>1134</v>
      </c>
      <c r="BA1157" t="s">
        <v>1134</v>
      </c>
      <c r="BE1157" s="3">
        <v>42297</v>
      </c>
      <c r="BF1157" s="1">
        <v>275000</v>
      </c>
      <c r="BG1157" t="s">
        <v>7803</v>
      </c>
      <c r="BH1157" s="1">
        <v>115.16</v>
      </c>
      <c r="BI1157" s="1">
        <v>280912</v>
      </c>
      <c r="BJ1157" s="3">
        <v>42297</v>
      </c>
      <c r="BK1157" t="s">
        <v>123</v>
      </c>
      <c r="BL1157" t="str">
        <f>"2015.753871"</f>
        <v>2015.753871</v>
      </c>
      <c r="BM1157" t="s">
        <v>1185</v>
      </c>
      <c r="BO1157" t="s">
        <v>7804</v>
      </c>
      <c r="BS1157">
        <v>30</v>
      </c>
      <c r="BW1157" t="str">
        <f>""</f>
        <v/>
      </c>
      <c r="CH1157" t="str">
        <f>""</f>
        <v/>
      </c>
      <c r="CS1157" t="str">
        <f>""</f>
        <v/>
      </c>
    </row>
    <row r="1158" spans="1:97" x14ac:dyDescent="0.25">
      <c r="A1158" t="s">
        <v>1393</v>
      </c>
      <c r="B1158" t="s">
        <v>7805</v>
      </c>
      <c r="C1158" t="s">
        <v>7190</v>
      </c>
      <c r="D1158" t="s">
        <v>7805</v>
      </c>
      <c r="E1158" t="s">
        <v>7806</v>
      </c>
      <c r="F1158" t="s">
        <v>282</v>
      </c>
      <c r="H1158" t="s">
        <v>7807</v>
      </c>
      <c r="I1158" t="s">
        <v>5863</v>
      </c>
      <c r="J1158" t="s">
        <v>111</v>
      </c>
      <c r="K1158" t="str">
        <f>"85375"</f>
        <v>85375</v>
      </c>
      <c r="L1158" t="s">
        <v>5606</v>
      </c>
      <c r="M1158" t="s">
        <v>7808</v>
      </c>
      <c r="N1158" t="s">
        <v>7809</v>
      </c>
      <c r="O1158" t="s">
        <v>3801</v>
      </c>
      <c r="P1158" t="str">
        <f>"57719-7600"</f>
        <v>57719-7600</v>
      </c>
      <c r="Q1158" t="s">
        <v>113</v>
      </c>
      <c r="R1158" t="str">
        <f>"232-25-340"</f>
        <v>232-25-340</v>
      </c>
      <c r="S1158" t="s">
        <v>7810</v>
      </c>
      <c r="U1158">
        <v>1669</v>
      </c>
      <c r="V1158">
        <v>0</v>
      </c>
      <c r="W1158">
        <v>3</v>
      </c>
      <c r="X1158">
        <v>1994</v>
      </c>
      <c r="Z1158">
        <v>1</v>
      </c>
      <c r="AB1158">
        <v>0</v>
      </c>
      <c r="AC1158" t="s">
        <v>115</v>
      </c>
      <c r="AD1158">
        <v>2</v>
      </c>
      <c r="AE1158" t="s">
        <v>115</v>
      </c>
      <c r="AF1158">
        <v>0</v>
      </c>
      <c r="AG1158">
        <v>0</v>
      </c>
      <c r="AH1158" t="s">
        <v>116</v>
      </c>
      <c r="AI1158" s="1">
        <v>55347</v>
      </c>
      <c r="AJ1158" s="2">
        <v>0.2</v>
      </c>
      <c r="AK1158" s="1">
        <v>275108</v>
      </c>
      <c r="AL1158" t="s">
        <v>117</v>
      </c>
      <c r="AM1158" t="s">
        <v>191</v>
      </c>
      <c r="AN1158">
        <v>7843</v>
      </c>
      <c r="AO1158">
        <v>0.18</v>
      </c>
      <c r="AP1158">
        <v>1</v>
      </c>
      <c r="AR1158">
        <v>1</v>
      </c>
      <c r="AS1158" s="1">
        <v>18250</v>
      </c>
      <c r="AT1158" s="1">
        <v>3650</v>
      </c>
      <c r="AU1158" s="1">
        <v>14600</v>
      </c>
      <c r="AV1158">
        <v>80</v>
      </c>
      <c r="AX1158" s="1">
        <v>2474.38</v>
      </c>
      <c r="AY1158" t="s">
        <v>5108</v>
      </c>
      <c r="AZ1158" t="s">
        <v>5108</v>
      </c>
      <c r="BA1158" t="s">
        <v>5109</v>
      </c>
      <c r="BE1158" s="3">
        <v>41739</v>
      </c>
      <c r="BF1158" s="1">
        <v>185500</v>
      </c>
      <c r="BG1158" t="s">
        <v>7811</v>
      </c>
      <c r="BH1158" s="1">
        <v>111.14</v>
      </c>
      <c r="BI1158" s="1">
        <v>219761</v>
      </c>
      <c r="BJ1158" s="3">
        <v>42494</v>
      </c>
      <c r="BK1158" t="s">
        <v>123</v>
      </c>
      <c r="BL1158" t="str">
        <f>"2016.302102"</f>
        <v>2016.302102</v>
      </c>
      <c r="BM1158" t="s">
        <v>1695</v>
      </c>
      <c r="BO1158" t="s">
        <v>7812</v>
      </c>
      <c r="BS1158">
        <v>30</v>
      </c>
      <c r="BW1158" t="str">
        <f>""</f>
        <v/>
      </c>
      <c r="CH1158" t="str">
        <f>""</f>
        <v/>
      </c>
      <c r="CS1158" t="str">
        <f>""</f>
        <v/>
      </c>
    </row>
    <row r="1159" spans="1:97" x14ac:dyDescent="0.25">
      <c r="A1159" t="s">
        <v>494</v>
      </c>
      <c r="B1159" t="s">
        <v>7813</v>
      </c>
      <c r="C1159" t="s">
        <v>1126</v>
      </c>
      <c r="D1159" t="s">
        <v>7813</v>
      </c>
      <c r="E1159" t="s">
        <v>7814</v>
      </c>
      <c r="F1159" t="s">
        <v>108</v>
      </c>
      <c r="H1159" t="s">
        <v>7815</v>
      </c>
      <c r="I1159" t="s">
        <v>1397</v>
      </c>
      <c r="J1159" t="s">
        <v>111</v>
      </c>
      <c r="K1159" t="str">
        <f>"85331"</f>
        <v>85331</v>
      </c>
      <c r="L1159" t="s">
        <v>7816</v>
      </c>
      <c r="M1159" t="s">
        <v>7815</v>
      </c>
      <c r="N1159" t="s">
        <v>1397</v>
      </c>
      <c r="O1159" t="s">
        <v>111</v>
      </c>
      <c r="P1159" t="str">
        <f>"85331-5569"</f>
        <v>85331-5569</v>
      </c>
      <c r="Q1159" t="s">
        <v>113</v>
      </c>
      <c r="R1159" t="str">
        <f>"211-37-222"</f>
        <v>211-37-222</v>
      </c>
      <c r="S1159" t="s">
        <v>7817</v>
      </c>
      <c r="T1159" t="s">
        <v>7818</v>
      </c>
      <c r="U1159">
        <v>3002</v>
      </c>
      <c r="V1159">
        <v>0</v>
      </c>
      <c r="W1159">
        <v>4</v>
      </c>
      <c r="X1159">
        <v>1999</v>
      </c>
      <c r="Z1159">
        <v>1</v>
      </c>
      <c r="AA1159" t="s">
        <v>26</v>
      </c>
      <c r="AB1159">
        <v>0</v>
      </c>
      <c r="AC1159" t="s">
        <v>115</v>
      </c>
      <c r="AD1159">
        <v>2</v>
      </c>
      <c r="AE1159" t="s">
        <v>115</v>
      </c>
      <c r="AF1159">
        <v>0</v>
      </c>
      <c r="AG1159">
        <v>0</v>
      </c>
      <c r="AH1159" t="s">
        <v>116</v>
      </c>
      <c r="AI1159" s="1">
        <v>78280</v>
      </c>
      <c r="AJ1159" s="2">
        <v>0.13</v>
      </c>
      <c r="AK1159" s="1">
        <v>603669</v>
      </c>
      <c r="AL1159" t="s">
        <v>117</v>
      </c>
      <c r="AM1159" t="s">
        <v>616</v>
      </c>
      <c r="AN1159">
        <v>9697</v>
      </c>
      <c r="AO1159">
        <v>0.22</v>
      </c>
      <c r="AP1159">
        <v>1</v>
      </c>
      <c r="AR1159">
        <v>1</v>
      </c>
      <c r="AS1159" s="1">
        <v>41120</v>
      </c>
      <c r="AT1159" s="1">
        <v>8220</v>
      </c>
      <c r="AU1159" s="1">
        <v>32900</v>
      </c>
      <c r="AV1159">
        <v>80.010000000000005</v>
      </c>
      <c r="AX1159" s="1">
        <v>2745.44</v>
      </c>
      <c r="AY1159" t="s">
        <v>1401</v>
      </c>
      <c r="AZ1159" t="s">
        <v>1402</v>
      </c>
      <c r="BA1159" t="s">
        <v>1403</v>
      </c>
      <c r="BE1159" s="3">
        <v>42058</v>
      </c>
      <c r="BF1159" s="1">
        <v>487000</v>
      </c>
      <c r="BG1159" t="s">
        <v>7819</v>
      </c>
      <c r="BH1159" s="1">
        <v>162.22999999999999</v>
      </c>
      <c r="BI1159" s="1">
        <v>469589</v>
      </c>
      <c r="BJ1159" s="3">
        <v>42058</v>
      </c>
      <c r="BK1159" t="s">
        <v>123</v>
      </c>
      <c r="BL1159" t="str">
        <f>"2015.114454"</f>
        <v>2015.114454</v>
      </c>
      <c r="BM1159" t="s">
        <v>150</v>
      </c>
      <c r="BN1159" t="s">
        <v>1282</v>
      </c>
      <c r="BO1159" t="s">
        <v>7820</v>
      </c>
      <c r="BS1159">
        <v>30</v>
      </c>
      <c r="BT1159" s="1">
        <v>55800</v>
      </c>
      <c r="BU1159" s="3">
        <v>43532</v>
      </c>
      <c r="BW1159" t="str">
        <f>"2019.160707"</f>
        <v>2019.160707</v>
      </c>
      <c r="BX1159" t="s">
        <v>383</v>
      </c>
      <c r="BY1159" t="s">
        <v>384</v>
      </c>
      <c r="BZ1159" t="s">
        <v>7821</v>
      </c>
      <c r="CA1159" t="s">
        <v>7822</v>
      </c>
      <c r="CC1159" t="s">
        <v>346</v>
      </c>
      <c r="CH1159" t="str">
        <f>""</f>
        <v/>
      </c>
      <c r="CS1159" t="str">
        <f>""</f>
        <v/>
      </c>
    </row>
    <row r="1160" spans="1:97" x14ac:dyDescent="0.25">
      <c r="A1160" t="s">
        <v>211</v>
      </c>
      <c r="B1160" t="s">
        <v>7823</v>
      </c>
      <c r="C1160" t="s">
        <v>6072</v>
      </c>
      <c r="D1160" t="s">
        <v>7823</v>
      </c>
      <c r="E1160" t="s">
        <v>7824</v>
      </c>
      <c r="F1160" t="s">
        <v>108</v>
      </c>
      <c r="H1160" t="s">
        <v>7825</v>
      </c>
      <c r="I1160" t="s">
        <v>453</v>
      </c>
      <c r="J1160" t="s">
        <v>111</v>
      </c>
      <c r="K1160" t="str">
        <f>"85382"</f>
        <v>85382</v>
      </c>
      <c r="L1160" t="s">
        <v>3151</v>
      </c>
      <c r="M1160" t="s">
        <v>7825</v>
      </c>
      <c r="N1160" t="s">
        <v>453</v>
      </c>
      <c r="O1160" t="s">
        <v>111</v>
      </c>
      <c r="P1160" t="str">
        <f>"85382-2674"</f>
        <v>85382-2674</v>
      </c>
      <c r="Q1160" t="s">
        <v>113</v>
      </c>
      <c r="R1160" t="str">
        <f>"200-32-343"</f>
        <v>200-32-343</v>
      </c>
      <c r="S1160" t="s">
        <v>7826</v>
      </c>
      <c r="T1160" t="s">
        <v>7827</v>
      </c>
      <c r="U1160">
        <v>1738</v>
      </c>
      <c r="V1160">
        <v>0</v>
      </c>
      <c r="W1160">
        <v>3</v>
      </c>
      <c r="X1160">
        <v>1984</v>
      </c>
      <c r="Z1160">
        <v>1</v>
      </c>
      <c r="AB1160">
        <v>0</v>
      </c>
      <c r="AC1160" t="s">
        <v>115</v>
      </c>
      <c r="AD1160">
        <v>2</v>
      </c>
      <c r="AE1160" t="s">
        <v>115</v>
      </c>
      <c r="AF1160">
        <v>0</v>
      </c>
      <c r="AG1160">
        <v>0</v>
      </c>
      <c r="AH1160" t="s">
        <v>116</v>
      </c>
      <c r="AI1160" s="1">
        <v>-44627</v>
      </c>
      <c r="AJ1160" s="2">
        <v>-0.28000000000000003</v>
      </c>
      <c r="AK1160" s="1">
        <v>157771</v>
      </c>
      <c r="AL1160" t="s">
        <v>117</v>
      </c>
      <c r="AM1160" t="s">
        <v>393</v>
      </c>
      <c r="AN1160">
        <v>8046</v>
      </c>
      <c r="AO1160">
        <v>0.18</v>
      </c>
      <c r="AP1160">
        <v>1</v>
      </c>
      <c r="AR1160">
        <v>1</v>
      </c>
      <c r="AS1160" s="1">
        <v>19360</v>
      </c>
      <c r="AT1160" s="1">
        <v>3870</v>
      </c>
      <c r="AU1160" s="1">
        <v>15490</v>
      </c>
      <c r="AV1160">
        <v>80.010000000000005</v>
      </c>
      <c r="AX1160" s="1">
        <v>1652.76</v>
      </c>
      <c r="AY1160" t="s">
        <v>7828</v>
      </c>
      <c r="AZ1160" t="s">
        <v>7828</v>
      </c>
      <c r="BA1160" t="s">
        <v>4219</v>
      </c>
      <c r="BE1160" s="3">
        <v>42510</v>
      </c>
      <c r="BF1160" s="1">
        <v>249900</v>
      </c>
      <c r="BG1160" t="s">
        <v>7829</v>
      </c>
      <c r="BH1160" s="1">
        <v>143.79</v>
      </c>
      <c r="BI1160" s="1">
        <v>202398</v>
      </c>
      <c r="BJ1160" s="3">
        <v>42510</v>
      </c>
      <c r="BK1160" t="s">
        <v>123</v>
      </c>
      <c r="BL1160" t="str">
        <f>"2016.347165"</f>
        <v>2016.347165</v>
      </c>
      <c r="BM1160" t="s">
        <v>1044</v>
      </c>
      <c r="BO1160" t="s">
        <v>7830</v>
      </c>
      <c r="BS1160">
        <v>30</v>
      </c>
      <c r="BW1160" t="str">
        <f>""</f>
        <v/>
      </c>
      <c r="CH1160" t="str">
        <f>""</f>
        <v/>
      </c>
      <c r="CS1160" t="str">
        <f>""</f>
        <v/>
      </c>
    </row>
    <row r="1161" spans="1:97" x14ac:dyDescent="0.25">
      <c r="A1161" t="s">
        <v>7831</v>
      </c>
      <c r="B1161" t="s">
        <v>464</v>
      </c>
      <c r="E1161" t="s">
        <v>7832</v>
      </c>
      <c r="F1161" t="s">
        <v>108</v>
      </c>
      <c r="H1161" t="s">
        <v>7833</v>
      </c>
      <c r="I1161" t="s">
        <v>203</v>
      </c>
      <c r="J1161" t="s">
        <v>111</v>
      </c>
      <c r="K1161" t="str">
        <f>"85296"</f>
        <v>85296</v>
      </c>
      <c r="L1161" t="s">
        <v>7834</v>
      </c>
      <c r="M1161" t="s">
        <v>7833</v>
      </c>
      <c r="N1161" t="s">
        <v>203</v>
      </c>
      <c r="O1161" t="s">
        <v>111</v>
      </c>
      <c r="P1161" t="str">
        <f>"85296-3611"</f>
        <v>85296-3611</v>
      </c>
      <c r="Q1161" t="s">
        <v>113</v>
      </c>
      <c r="R1161" t="str">
        <f>"309-17-784"</f>
        <v>309-17-784</v>
      </c>
      <c r="S1161" t="s">
        <v>7835</v>
      </c>
      <c r="T1161" t="s">
        <v>7836</v>
      </c>
      <c r="U1161">
        <v>2762</v>
      </c>
      <c r="V1161">
        <v>0</v>
      </c>
      <c r="W1161">
        <v>4</v>
      </c>
      <c r="X1161">
        <v>1999</v>
      </c>
      <c r="Z1161">
        <v>2</v>
      </c>
      <c r="AA1161" t="s">
        <v>26</v>
      </c>
      <c r="AB1161">
        <v>0</v>
      </c>
      <c r="AC1161" t="s">
        <v>115</v>
      </c>
      <c r="AD1161">
        <v>3</v>
      </c>
      <c r="AE1161" t="s">
        <v>115</v>
      </c>
      <c r="AF1161">
        <v>0</v>
      </c>
      <c r="AG1161">
        <v>0</v>
      </c>
      <c r="AH1161" t="s">
        <v>116</v>
      </c>
      <c r="AI1161" s="1">
        <v>50357</v>
      </c>
      <c r="AJ1161" s="2">
        <v>0.12</v>
      </c>
      <c r="AK1161" s="1">
        <v>419393</v>
      </c>
      <c r="AL1161" t="s">
        <v>117</v>
      </c>
      <c r="AM1161" t="s">
        <v>393</v>
      </c>
      <c r="AN1161">
        <v>8041</v>
      </c>
      <c r="AO1161">
        <v>0.18</v>
      </c>
      <c r="AP1161">
        <v>1</v>
      </c>
      <c r="AR1161">
        <v>1</v>
      </c>
      <c r="AS1161" s="1">
        <v>30600</v>
      </c>
      <c r="AT1161" s="1">
        <v>6120</v>
      </c>
      <c r="AU1161" s="1">
        <v>24480</v>
      </c>
      <c r="AV1161">
        <v>80</v>
      </c>
      <c r="AX1161" s="1">
        <v>2338.9</v>
      </c>
      <c r="AY1161" t="s">
        <v>7837</v>
      </c>
      <c r="AZ1161" t="s">
        <v>207</v>
      </c>
      <c r="BA1161" t="s">
        <v>208</v>
      </c>
      <c r="BE1161" s="3">
        <v>42535</v>
      </c>
      <c r="BF1161" s="1">
        <v>353000</v>
      </c>
      <c r="BG1161" t="s">
        <v>7838</v>
      </c>
      <c r="BH1161" s="1">
        <v>127.81</v>
      </c>
      <c r="BI1161" s="1">
        <v>369036</v>
      </c>
      <c r="BJ1161" s="3">
        <v>43052</v>
      </c>
      <c r="BK1161" t="s">
        <v>123</v>
      </c>
      <c r="BL1161" t="str">
        <f>"2017.841259"</f>
        <v>2017.841259</v>
      </c>
      <c r="BM1161" t="s">
        <v>807</v>
      </c>
      <c r="BO1161" t="s">
        <v>7839</v>
      </c>
      <c r="BQ1161" t="str">
        <f>"2.3700%"</f>
        <v>2.3700%</v>
      </c>
      <c r="BR1161" t="s">
        <v>1480</v>
      </c>
      <c r="BS1161">
        <v>30</v>
      </c>
      <c r="BW1161" t="str">
        <f>""</f>
        <v/>
      </c>
      <c r="CH1161" t="str">
        <f>""</f>
        <v/>
      </c>
      <c r="CS1161" t="str">
        <f>""</f>
        <v/>
      </c>
    </row>
    <row r="1162" spans="1:97" x14ac:dyDescent="0.25">
      <c r="A1162" t="s">
        <v>179</v>
      </c>
      <c r="B1162" t="s">
        <v>2599</v>
      </c>
      <c r="E1162" t="s">
        <v>7840</v>
      </c>
      <c r="F1162" t="s">
        <v>108</v>
      </c>
      <c r="H1162" t="s">
        <v>7841</v>
      </c>
      <c r="I1162" t="s">
        <v>453</v>
      </c>
      <c r="J1162" t="s">
        <v>111</v>
      </c>
      <c r="K1162" t="str">
        <f>"85383"</f>
        <v>85383</v>
      </c>
      <c r="L1162" t="s">
        <v>3225</v>
      </c>
      <c r="M1162" t="s">
        <v>7841</v>
      </c>
      <c r="N1162" t="s">
        <v>453</v>
      </c>
      <c r="O1162" t="s">
        <v>111</v>
      </c>
      <c r="P1162" t="str">
        <f>"85383-5873"</f>
        <v>85383-5873</v>
      </c>
      <c r="Q1162" t="s">
        <v>113</v>
      </c>
      <c r="R1162" t="str">
        <f>"503-55-183"</f>
        <v>503-55-183</v>
      </c>
      <c r="S1162" t="s">
        <v>6341</v>
      </c>
      <c r="U1162">
        <v>1501</v>
      </c>
      <c r="V1162">
        <v>0</v>
      </c>
      <c r="W1162">
        <v>3</v>
      </c>
      <c r="X1162">
        <v>2016</v>
      </c>
      <c r="Z1162">
        <v>1</v>
      </c>
      <c r="AB1162">
        <v>0</v>
      </c>
      <c r="AC1162" t="s">
        <v>115</v>
      </c>
      <c r="AD1162">
        <v>2</v>
      </c>
      <c r="AE1162" t="s">
        <v>115</v>
      </c>
      <c r="AF1162">
        <v>0</v>
      </c>
      <c r="AG1162">
        <v>0</v>
      </c>
      <c r="AH1162" t="s">
        <v>116</v>
      </c>
      <c r="AI1162" s="1">
        <v>28081</v>
      </c>
      <c r="AJ1162" s="2">
        <v>0.1</v>
      </c>
      <c r="AK1162" s="1">
        <v>270836</v>
      </c>
      <c r="AL1162" t="s">
        <v>117</v>
      </c>
      <c r="AM1162" t="s">
        <v>5379</v>
      </c>
      <c r="AN1162">
        <v>4500</v>
      </c>
      <c r="AO1162">
        <v>0.1</v>
      </c>
      <c r="AR1162">
        <v>1</v>
      </c>
      <c r="AS1162" s="1">
        <v>18270</v>
      </c>
      <c r="AT1162" s="1">
        <v>3650</v>
      </c>
      <c r="AU1162" s="1">
        <v>14620</v>
      </c>
      <c r="AV1162">
        <v>80.02</v>
      </c>
      <c r="AX1162" s="1">
        <v>1632.88</v>
      </c>
      <c r="AY1162" t="s">
        <v>456</v>
      </c>
      <c r="AZ1162" t="s">
        <v>456</v>
      </c>
      <c r="BA1162" t="s">
        <v>457</v>
      </c>
      <c r="BE1162" s="3">
        <v>42530</v>
      </c>
      <c r="BF1162" s="1">
        <v>208925</v>
      </c>
      <c r="BG1162" t="s">
        <v>2842</v>
      </c>
      <c r="BH1162" s="1">
        <v>139.19</v>
      </c>
      <c r="BI1162" s="1">
        <v>242755</v>
      </c>
      <c r="BJ1162" s="3">
        <v>42950</v>
      </c>
      <c r="BK1162" t="s">
        <v>123</v>
      </c>
      <c r="BL1162" t="str">
        <f>"2017.570124"</f>
        <v>2017.570124</v>
      </c>
      <c r="BM1162" t="s">
        <v>7842</v>
      </c>
      <c r="BO1162" t="s">
        <v>7843</v>
      </c>
      <c r="BS1162">
        <v>30</v>
      </c>
      <c r="BW1162" t="str">
        <f>""</f>
        <v/>
      </c>
      <c r="CH1162" t="str">
        <f>""</f>
        <v/>
      </c>
      <c r="CS1162" t="str">
        <f>""</f>
        <v/>
      </c>
    </row>
    <row r="1163" spans="1:97" x14ac:dyDescent="0.25">
      <c r="A1163" t="s">
        <v>370</v>
      </c>
      <c r="B1163" t="s">
        <v>7844</v>
      </c>
      <c r="E1163" t="s">
        <v>7845</v>
      </c>
      <c r="F1163" t="s">
        <v>108</v>
      </c>
      <c r="H1163" t="s">
        <v>7846</v>
      </c>
      <c r="I1163" t="s">
        <v>5387</v>
      </c>
      <c r="J1163" t="s">
        <v>111</v>
      </c>
      <c r="K1163" t="str">
        <f>"85282"</f>
        <v>85282</v>
      </c>
      <c r="L1163" t="s">
        <v>7847</v>
      </c>
      <c r="M1163" t="s">
        <v>7846</v>
      </c>
      <c r="N1163" t="s">
        <v>5387</v>
      </c>
      <c r="O1163" t="s">
        <v>111</v>
      </c>
      <c r="P1163" t="str">
        <f>"85282-3006"</f>
        <v>85282-3006</v>
      </c>
      <c r="Q1163" t="s">
        <v>113</v>
      </c>
      <c r="R1163" t="str">
        <f>"134-40-124"</f>
        <v>134-40-124</v>
      </c>
      <c r="S1163" t="s">
        <v>7848</v>
      </c>
      <c r="T1163" t="s">
        <v>7848</v>
      </c>
      <c r="U1163">
        <v>1641</v>
      </c>
      <c r="V1163">
        <v>0</v>
      </c>
      <c r="W1163">
        <v>2</v>
      </c>
      <c r="X1163">
        <v>1976</v>
      </c>
      <c r="Z1163">
        <v>1</v>
      </c>
      <c r="AB1163">
        <v>0</v>
      </c>
      <c r="AC1163" t="s">
        <v>115</v>
      </c>
      <c r="AD1163">
        <v>2</v>
      </c>
      <c r="AE1163" t="s">
        <v>115</v>
      </c>
      <c r="AF1163">
        <v>0</v>
      </c>
      <c r="AG1163">
        <v>0</v>
      </c>
      <c r="AH1163" t="s">
        <v>116</v>
      </c>
      <c r="AI1163" s="1">
        <v>109542</v>
      </c>
      <c r="AJ1163" s="2">
        <v>0.35</v>
      </c>
      <c r="AK1163" s="1">
        <v>310977</v>
      </c>
      <c r="AL1163" t="s">
        <v>117</v>
      </c>
      <c r="AM1163" t="s">
        <v>191</v>
      </c>
      <c r="AN1163">
        <v>7876</v>
      </c>
      <c r="AO1163">
        <v>0.18</v>
      </c>
      <c r="AP1163">
        <v>1</v>
      </c>
      <c r="AR1163">
        <v>1</v>
      </c>
      <c r="AS1163" s="1">
        <v>22510</v>
      </c>
      <c r="AT1163" s="1">
        <v>4500</v>
      </c>
      <c r="AU1163" s="1">
        <v>18010</v>
      </c>
      <c r="AV1163">
        <v>80.010000000000005</v>
      </c>
      <c r="AX1163" s="1">
        <v>1585.56</v>
      </c>
      <c r="AY1163" t="s">
        <v>7849</v>
      </c>
      <c r="AZ1163" t="s">
        <v>7850</v>
      </c>
      <c r="BA1163" t="s">
        <v>5191</v>
      </c>
      <c r="BE1163" s="3">
        <v>41831</v>
      </c>
      <c r="BF1163" s="1">
        <v>138000</v>
      </c>
      <c r="BG1163" t="s">
        <v>7851</v>
      </c>
      <c r="BH1163" s="1">
        <v>84.1</v>
      </c>
      <c r="BI1163" s="1">
        <v>201435</v>
      </c>
      <c r="BJ1163" s="3">
        <v>43493</v>
      </c>
      <c r="BK1163" t="s">
        <v>123</v>
      </c>
      <c r="BL1163" t="str">
        <f>"2019.58617"</f>
        <v>2019.58617</v>
      </c>
      <c r="BM1163" t="s">
        <v>7852</v>
      </c>
      <c r="BN1163" t="s">
        <v>7853</v>
      </c>
      <c r="BO1163" t="s">
        <v>7854</v>
      </c>
      <c r="BR1163" t="s">
        <v>139</v>
      </c>
      <c r="BW1163" t="str">
        <f>""</f>
        <v/>
      </c>
      <c r="CH1163" t="str">
        <f>""</f>
        <v/>
      </c>
      <c r="CS1163" t="str">
        <f>""</f>
        <v/>
      </c>
    </row>
    <row r="1164" spans="1:97" x14ac:dyDescent="0.25">
      <c r="A1164" t="s">
        <v>7343</v>
      </c>
      <c r="B1164" t="s">
        <v>7855</v>
      </c>
      <c r="C1164" t="s">
        <v>7856</v>
      </c>
      <c r="D1164" t="s">
        <v>7855</v>
      </c>
      <c r="E1164" t="s">
        <v>7857</v>
      </c>
      <c r="F1164" t="s">
        <v>108</v>
      </c>
      <c r="H1164" t="s">
        <v>7858</v>
      </c>
      <c r="I1164" t="s">
        <v>203</v>
      </c>
      <c r="J1164" t="s">
        <v>111</v>
      </c>
      <c r="K1164" t="str">
        <f>"85298"</f>
        <v>85298</v>
      </c>
      <c r="L1164" t="s">
        <v>558</v>
      </c>
      <c r="M1164" t="s">
        <v>7858</v>
      </c>
      <c r="N1164" t="s">
        <v>203</v>
      </c>
      <c r="O1164" t="s">
        <v>111</v>
      </c>
      <c r="P1164" t="str">
        <f>"85298-4863"</f>
        <v>85298-4863</v>
      </c>
      <c r="Q1164" t="s">
        <v>113</v>
      </c>
      <c r="R1164" t="str">
        <f>"304-78-579"</f>
        <v>304-78-579</v>
      </c>
      <c r="S1164" t="s">
        <v>7859</v>
      </c>
      <c r="T1164" t="s">
        <v>7860</v>
      </c>
      <c r="U1164">
        <v>1693</v>
      </c>
      <c r="V1164">
        <v>0</v>
      </c>
      <c r="W1164">
        <v>3</v>
      </c>
      <c r="X1164">
        <v>2002</v>
      </c>
      <c r="Z1164">
        <v>1</v>
      </c>
      <c r="AB1164">
        <v>0</v>
      </c>
      <c r="AC1164" t="s">
        <v>115</v>
      </c>
      <c r="AD1164">
        <v>2</v>
      </c>
      <c r="AE1164" t="s">
        <v>115</v>
      </c>
      <c r="AF1164">
        <v>0</v>
      </c>
      <c r="AG1164">
        <v>0</v>
      </c>
      <c r="AH1164" t="s">
        <v>116</v>
      </c>
      <c r="AI1164" s="1">
        <v>81068</v>
      </c>
      <c r="AJ1164" s="2">
        <v>0.24</v>
      </c>
      <c r="AK1164" s="1">
        <v>333618</v>
      </c>
      <c r="AL1164" t="s">
        <v>117</v>
      </c>
      <c r="AM1164" t="s">
        <v>191</v>
      </c>
      <c r="AN1164">
        <v>12721</v>
      </c>
      <c r="AO1164">
        <v>0.28999999999999998</v>
      </c>
      <c r="AP1164">
        <v>1</v>
      </c>
      <c r="AR1164">
        <v>1</v>
      </c>
      <c r="AS1164" s="1">
        <v>24030</v>
      </c>
      <c r="AT1164" s="1">
        <v>4800</v>
      </c>
      <c r="AU1164" s="1">
        <v>19230</v>
      </c>
      <c r="AV1164">
        <v>80.02</v>
      </c>
      <c r="AX1164" s="1">
        <v>1815.92</v>
      </c>
      <c r="AY1164" t="s">
        <v>5875</v>
      </c>
      <c r="AZ1164" t="s">
        <v>1134</v>
      </c>
      <c r="BA1164" t="s">
        <v>1134</v>
      </c>
      <c r="BE1164" s="3">
        <v>42185</v>
      </c>
      <c r="BF1164" s="1">
        <v>244500</v>
      </c>
      <c r="BG1164" t="s">
        <v>5716</v>
      </c>
      <c r="BH1164" s="1">
        <v>144.41999999999999</v>
      </c>
      <c r="BI1164" s="1">
        <v>252550</v>
      </c>
      <c r="BJ1164" s="3">
        <v>42185</v>
      </c>
      <c r="BK1164" t="s">
        <v>123</v>
      </c>
      <c r="BL1164" t="str">
        <f>"2015.466855"</f>
        <v>2015.466855</v>
      </c>
      <c r="BM1164" t="s">
        <v>124</v>
      </c>
      <c r="BO1164" t="s">
        <v>7861</v>
      </c>
      <c r="BS1164">
        <v>30</v>
      </c>
      <c r="BW1164" t="str">
        <f>""</f>
        <v/>
      </c>
      <c r="CH1164" t="str">
        <f>""</f>
        <v/>
      </c>
      <c r="CS1164" t="str">
        <f>""</f>
        <v/>
      </c>
    </row>
    <row r="1165" spans="1:97" x14ac:dyDescent="0.25">
      <c r="A1165" t="s">
        <v>1393</v>
      </c>
      <c r="B1165" t="s">
        <v>7862</v>
      </c>
      <c r="C1165" t="s">
        <v>7863</v>
      </c>
      <c r="D1165" t="s">
        <v>7862</v>
      </c>
      <c r="E1165" t="s">
        <v>7864</v>
      </c>
      <c r="F1165" t="s">
        <v>108</v>
      </c>
      <c r="H1165" t="s">
        <v>7865</v>
      </c>
      <c r="I1165" t="s">
        <v>1936</v>
      </c>
      <c r="J1165" t="s">
        <v>111</v>
      </c>
      <c r="K1165" t="str">
        <f>"85255"</f>
        <v>85255</v>
      </c>
      <c r="L1165" t="s">
        <v>5325</v>
      </c>
      <c r="M1165" t="s">
        <v>7865</v>
      </c>
      <c r="N1165" t="s">
        <v>1936</v>
      </c>
      <c r="O1165" t="s">
        <v>111</v>
      </c>
      <c r="P1165" t="str">
        <f>"85255-9287"</f>
        <v>85255-9287</v>
      </c>
      <c r="Q1165" t="s">
        <v>113</v>
      </c>
      <c r="R1165" t="str">
        <f>"217-12-296"</f>
        <v>217-12-296</v>
      </c>
      <c r="S1165" t="s">
        <v>7866</v>
      </c>
      <c r="T1165" t="s">
        <v>7866</v>
      </c>
      <c r="U1165">
        <v>1416</v>
      </c>
      <c r="V1165">
        <v>0</v>
      </c>
      <c r="W1165">
        <v>3</v>
      </c>
      <c r="X1165">
        <v>1989</v>
      </c>
      <c r="Z1165">
        <v>1</v>
      </c>
      <c r="AA1165" t="s">
        <v>26</v>
      </c>
      <c r="AB1165">
        <v>0</v>
      </c>
      <c r="AC1165" t="s">
        <v>115</v>
      </c>
      <c r="AD1165">
        <v>2</v>
      </c>
      <c r="AE1165" t="s">
        <v>115</v>
      </c>
      <c r="AF1165">
        <v>0</v>
      </c>
      <c r="AG1165">
        <v>0</v>
      </c>
      <c r="AH1165" t="s">
        <v>116</v>
      </c>
      <c r="AI1165" s="1">
        <v>77848</v>
      </c>
      <c r="AJ1165" s="2">
        <v>0.19</v>
      </c>
      <c r="AK1165" s="1">
        <v>415843</v>
      </c>
      <c r="AL1165" t="s">
        <v>117</v>
      </c>
      <c r="AM1165" t="s">
        <v>393</v>
      </c>
      <c r="AN1165">
        <v>5148</v>
      </c>
      <c r="AO1165">
        <v>0.12</v>
      </c>
      <c r="AP1165">
        <v>1</v>
      </c>
      <c r="AR1165">
        <v>1</v>
      </c>
      <c r="AS1165" s="1">
        <v>28820</v>
      </c>
      <c r="AT1165" s="1">
        <v>5760</v>
      </c>
      <c r="AU1165" s="1">
        <v>23060</v>
      </c>
      <c r="AV1165">
        <v>80.010000000000005</v>
      </c>
      <c r="AX1165" s="1">
        <v>1908.48</v>
      </c>
      <c r="AY1165" t="s">
        <v>7867</v>
      </c>
      <c r="AZ1165" t="s">
        <v>7867</v>
      </c>
      <c r="BA1165" t="s">
        <v>7868</v>
      </c>
      <c r="BE1165" s="3">
        <v>42538</v>
      </c>
      <c r="BF1165" s="1">
        <v>353000</v>
      </c>
      <c r="BG1165" t="s">
        <v>7869</v>
      </c>
      <c r="BH1165" s="1">
        <v>249.29</v>
      </c>
      <c r="BI1165" s="1">
        <v>337995</v>
      </c>
      <c r="BJ1165" s="3">
        <v>42538</v>
      </c>
      <c r="BK1165" t="s">
        <v>123</v>
      </c>
      <c r="BL1165" t="str">
        <f>"2016.423965"</f>
        <v>2016.423965</v>
      </c>
      <c r="BM1165" t="s">
        <v>135</v>
      </c>
      <c r="BO1165" t="s">
        <v>7870</v>
      </c>
      <c r="BS1165">
        <v>30</v>
      </c>
      <c r="BW1165" t="str">
        <f>""</f>
        <v/>
      </c>
      <c r="CH1165" t="str">
        <f>""</f>
        <v/>
      </c>
      <c r="CS1165" t="str">
        <f>""</f>
        <v/>
      </c>
    </row>
    <row r="1166" spans="1:97" x14ac:dyDescent="0.25">
      <c r="A1166" t="s">
        <v>5755</v>
      </c>
      <c r="B1166" t="s">
        <v>7871</v>
      </c>
      <c r="C1166" t="s">
        <v>7872</v>
      </c>
      <c r="D1166" t="s">
        <v>7871</v>
      </c>
      <c r="E1166" t="s">
        <v>7873</v>
      </c>
      <c r="F1166" t="s">
        <v>108</v>
      </c>
      <c r="H1166" t="s">
        <v>7874</v>
      </c>
      <c r="I1166" t="s">
        <v>632</v>
      </c>
      <c r="J1166" t="s">
        <v>111</v>
      </c>
      <c r="K1166" t="str">
        <f>"85388"</f>
        <v>85388</v>
      </c>
      <c r="L1166" t="s">
        <v>4467</v>
      </c>
      <c r="M1166" t="s">
        <v>7874</v>
      </c>
      <c r="N1166" t="s">
        <v>632</v>
      </c>
      <c r="O1166" t="s">
        <v>111</v>
      </c>
      <c r="P1166" t="str">
        <f>"85388-7653"</f>
        <v>85388-7653</v>
      </c>
      <c r="Q1166" t="s">
        <v>113</v>
      </c>
      <c r="R1166" t="str">
        <f>"502-03-383"</f>
        <v>502-03-383</v>
      </c>
      <c r="S1166" t="s">
        <v>7875</v>
      </c>
      <c r="T1166" t="s">
        <v>7876</v>
      </c>
      <c r="U1166">
        <v>4501</v>
      </c>
      <c r="V1166">
        <v>0</v>
      </c>
      <c r="W1166">
        <v>6</v>
      </c>
      <c r="X1166">
        <v>2006</v>
      </c>
      <c r="Z1166">
        <v>2</v>
      </c>
      <c r="AA1166" t="s">
        <v>26</v>
      </c>
      <c r="AB1166">
        <v>0</v>
      </c>
      <c r="AC1166" t="s">
        <v>115</v>
      </c>
      <c r="AD1166">
        <v>3</v>
      </c>
      <c r="AE1166" t="s">
        <v>115</v>
      </c>
      <c r="AF1166">
        <v>0</v>
      </c>
      <c r="AG1166">
        <v>0</v>
      </c>
      <c r="AH1166" t="s">
        <v>116</v>
      </c>
      <c r="AI1166" s="1">
        <v>80589</v>
      </c>
      <c r="AJ1166" s="2">
        <v>0.17</v>
      </c>
      <c r="AK1166" s="1">
        <v>462799</v>
      </c>
      <c r="AL1166" t="s">
        <v>117</v>
      </c>
      <c r="AM1166" t="s">
        <v>118</v>
      </c>
      <c r="AN1166">
        <v>11700</v>
      </c>
      <c r="AO1166">
        <v>0.27</v>
      </c>
      <c r="AR1166">
        <v>1</v>
      </c>
      <c r="AS1166" s="1">
        <v>34450</v>
      </c>
      <c r="AT1166" s="1">
        <v>6890</v>
      </c>
      <c r="AU1166" s="1">
        <v>27560</v>
      </c>
      <c r="AV1166">
        <v>80</v>
      </c>
      <c r="AX1166" s="1">
        <v>3262.12</v>
      </c>
      <c r="AY1166" t="s">
        <v>6262</v>
      </c>
      <c r="AZ1166" t="s">
        <v>6262</v>
      </c>
      <c r="BA1166" t="s">
        <v>5061</v>
      </c>
      <c r="BE1166" s="3">
        <v>42516</v>
      </c>
      <c r="BF1166" s="1">
        <v>370000</v>
      </c>
      <c r="BG1166" t="s">
        <v>7877</v>
      </c>
      <c r="BH1166" s="1">
        <v>82.2</v>
      </c>
      <c r="BI1166" s="1">
        <v>382210</v>
      </c>
      <c r="BJ1166" s="3">
        <v>42516</v>
      </c>
      <c r="BK1166" t="s">
        <v>123</v>
      </c>
      <c r="BL1166" t="str">
        <f>"2016.363728"</f>
        <v>2016.363728</v>
      </c>
      <c r="BM1166" t="s">
        <v>2683</v>
      </c>
      <c r="BO1166" t="s">
        <v>7878</v>
      </c>
      <c r="BS1166">
        <v>30</v>
      </c>
      <c r="BW1166" t="str">
        <f>""</f>
        <v/>
      </c>
      <c r="CH1166" t="str">
        <f>""</f>
        <v/>
      </c>
      <c r="CS1166" t="str">
        <f>""</f>
        <v/>
      </c>
    </row>
    <row r="1167" spans="1:97" x14ac:dyDescent="0.25">
      <c r="A1167" t="s">
        <v>5373</v>
      </c>
      <c r="B1167" t="s">
        <v>7879</v>
      </c>
      <c r="C1167" t="s">
        <v>2319</v>
      </c>
      <c r="D1167" t="s">
        <v>7879</v>
      </c>
      <c r="E1167" t="s">
        <v>7880</v>
      </c>
      <c r="F1167" t="s">
        <v>108</v>
      </c>
      <c r="H1167" t="s">
        <v>7881</v>
      </c>
      <c r="I1167" t="s">
        <v>2874</v>
      </c>
      <c r="J1167" t="s">
        <v>111</v>
      </c>
      <c r="K1167" t="str">
        <f>"85308"</f>
        <v>85308</v>
      </c>
      <c r="L1167" t="s">
        <v>3982</v>
      </c>
      <c r="M1167" t="s">
        <v>7881</v>
      </c>
      <c r="N1167" t="s">
        <v>2874</v>
      </c>
      <c r="O1167" t="s">
        <v>111</v>
      </c>
      <c r="P1167" t="str">
        <f>"85308-1191"</f>
        <v>85308-1191</v>
      </c>
      <c r="Q1167" t="s">
        <v>113</v>
      </c>
      <c r="R1167" t="str">
        <f>"200-47-271"</f>
        <v>200-47-271</v>
      </c>
      <c r="S1167" t="s">
        <v>7882</v>
      </c>
      <c r="T1167" t="s">
        <v>7882</v>
      </c>
      <c r="U1167">
        <v>2060</v>
      </c>
      <c r="V1167">
        <v>0</v>
      </c>
      <c r="W1167">
        <v>3</v>
      </c>
      <c r="X1167">
        <v>1997</v>
      </c>
      <c r="Z1167">
        <v>1</v>
      </c>
      <c r="AB1167">
        <v>0</v>
      </c>
      <c r="AC1167" t="s">
        <v>115</v>
      </c>
      <c r="AD1167">
        <v>3</v>
      </c>
      <c r="AE1167" t="s">
        <v>115</v>
      </c>
      <c r="AF1167">
        <v>0</v>
      </c>
      <c r="AG1167">
        <v>0</v>
      </c>
      <c r="AH1167" t="s">
        <v>116</v>
      </c>
      <c r="AI1167" s="1">
        <v>68911</v>
      </c>
      <c r="AJ1167" s="2">
        <v>0.2</v>
      </c>
      <c r="AK1167" s="1">
        <v>350845</v>
      </c>
      <c r="AL1167" t="s">
        <v>117</v>
      </c>
      <c r="AM1167" t="s">
        <v>393</v>
      </c>
      <c r="AN1167">
        <v>11900</v>
      </c>
      <c r="AO1167">
        <v>0.27</v>
      </c>
      <c r="AP1167">
        <v>1</v>
      </c>
      <c r="AR1167">
        <v>1</v>
      </c>
      <c r="AS1167" s="1">
        <v>24500</v>
      </c>
      <c r="AT1167" s="1">
        <v>4900</v>
      </c>
      <c r="AU1167" s="1">
        <v>19600</v>
      </c>
      <c r="AV1167">
        <v>80</v>
      </c>
      <c r="AX1167" s="1">
        <v>1959.36</v>
      </c>
      <c r="AY1167" t="s">
        <v>6740</v>
      </c>
      <c r="AZ1167" t="s">
        <v>6740</v>
      </c>
      <c r="BA1167" t="s">
        <v>5143</v>
      </c>
      <c r="BB1167" s="3">
        <v>41984</v>
      </c>
      <c r="BD1167" t="s">
        <v>240</v>
      </c>
      <c r="BE1167" s="3">
        <v>41984</v>
      </c>
      <c r="BF1167" s="1">
        <v>276000</v>
      </c>
      <c r="BG1167" t="s">
        <v>7883</v>
      </c>
      <c r="BH1167" s="1">
        <v>133.97999999999999</v>
      </c>
      <c r="BI1167" s="1">
        <v>281934</v>
      </c>
      <c r="BJ1167" s="3">
        <v>41984</v>
      </c>
      <c r="BK1167" t="s">
        <v>123</v>
      </c>
      <c r="BL1167" t="str">
        <f>"2014.816291"</f>
        <v>2014.816291</v>
      </c>
      <c r="BM1167" t="s">
        <v>475</v>
      </c>
      <c r="BO1167" t="s">
        <v>7884</v>
      </c>
      <c r="BS1167">
        <v>30</v>
      </c>
      <c r="BW1167" t="str">
        <f>""</f>
        <v/>
      </c>
      <c r="CH1167" t="str">
        <f>""</f>
        <v/>
      </c>
      <c r="CS1167" t="str">
        <f>""</f>
        <v/>
      </c>
    </row>
    <row r="1168" spans="1:97" x14ac:dyDescent="0.25">
      <c r="A1168" t="s">
        <v>1009</v>
      </c>
      <c r="B1168" t="s">
        <v>5671</v>
      </c>
      <c r="E1168" t="s">
        <v>7885</v>
      </c>
      <c r="F1168" t="s">
        <v>108</v>
      </c>
      <c r="H1168" t="s">
        <v>7886</v>
      </c>
      <c r="I1168" t="s">
        <v>632</v>
      </c>
      <c r="J1168" t="s">
        <v>111</v>
      </c>
      <c r="K1168" t="str">
        <f>"85388"</f>
        <v>85388</v>
      </c>
      <c r="L1168" t="s">
        <v>5727</v>
      </c>
      <c r="M1168" t="s">
        <v>7886</v>
      </c>
      <c r="N1168" t="s">
        <v>632</v>
      </c>
      <c r="O1168" t="s">
        <v>111</v>
      </c>
      <c r="P1168" t="str">
        <f>"85388-5653"</f>
        <v>85388-5653</v>
      </c>
      <c r="Q1168" t="s">
        <v>113</v>
      </c>
      <c r="R1168" t="str">
        <f>"502-06-325"</f>
        <v>502-06-325</v>
      </c>
      <c r="S1168" t="s">
        <v>5728</v>
      </c>
      <c r="T1168" t="s">
        <v>5167</v>
      </c>
      <c r="U1168">
        <v>2302</v>
      </c>
      <c r="V1168">
        <v>0</v>
      </c>
      <c r="W1168">
        <v>3</v>
      </c>
      <c r="X1168">
        <v>2015</v>
      </c>
      <c r="Z1168">
        <v>1</v>
      </c>
      <c r="AB1168">
        <v>0</v>
      </c>
      <c r="AC1168" t="s">
        <v>115</v>
      </c>
      <c r="AD1168">
        <v>4</v>
      </c>
      <c r="AE1168" t="s">
        <v>115</v>
      </c>
      <c r="AF1168">
        <v>0</v>
      </c>
      <c r="AG1168">
        <v>0</v>
      </c>
      <c r="AH1168" t="s">
        <v>116</v>
      </c>
      <c r="AI1168" s="1">
        <v>30710</v>
      </c>
      <c r="AJ1168" s="2">
        <v>0.08</v>
      </c>
      <c r="AK1168" s="1">
        <v>375140</v>
      </c>
      <c r="AL1168" t="s">
        <v>117</v>
      </c>
      <c r="AM1168" t="s">
        <v>118</v>
      </c>
      <c r="AN1168">
        <v>10098</v>
      </c>
      <c r="AO1168">
        <v>0.23</v>
      </c>
      <c r="AR1168">
        <v>1</v>
      </c>
      <c r="AS1168" s="1">
        <v>27300</v>
      </c>
      <c r="AT1168" s="1">
        <v>5460</v>
      </c>
      <c r="AU1168" s="1">
        <v>21840</v>
      </c>
      <c r="AV1168">
        <v>80</v>
      </c>
      <c r="AX1168" s="1">
        <v>1959.76</v>
      </c>
      <c r="AY1168" t="s">
        <v>5168</v>
      </c>
      <c r="AZ1168" t="s">
        <v>5168</v>
      </c>
      <c r="BA1168" t="s">
        <v>5061</v>
      </c>
      <c r="BB1168" s="3">
        <v>42766</v>
      </c>
      <c r="BD1168" t="s">
        <v>4063</v>
      </c>
      <c r="BE1168" s="3">
        <v>42359</v>
      </c>
      <c r="BF1168" s="1">
        <v>312498</v>
      </c>
      <c r="BG1168" t="s">
        <v>3524</v>
      </c>
      <c r="BH1168" s="1">
        <v>135.75</v>
      </c>
      <c r="BI1168" s="1">
        <v>344430</v>
      </c>
      <c r="BJ1168" s="3">
        <v>43587</v>
      </c>
      <c r="BK1168" t="s">
        <v>123</v>
      </c>
      <c r="BL1168" t="str">
        <f>"2019.316968"</f>
        <v>2019.316968</v>
      </c>
      <c r="BM1168" t="s">
        <v>460</v>
      </c>
      <c r="BN1168" t="s">
        <v>461</v>
      </c>
      <c r="BO1168" t="s">
        <v>7887</v>
      </c>
      <c r="BR1168" t="s">
        <v>139</v>
      </c>
      <c r="BW1168" t="str">
        <f>""</f>
        <v/>
      </c>
      <c r="CH1168" t="str">
        <f>""</f>
        <v/>
      </c>
      <c r="CS1168" t="str">
        <f>""</f>
        <v/>
      </c>
    </row>
    <row r="1169" spans="1:97" x14ac:dyDescent="0.25">
      <c r="A1169" t="s">
        <v>7888</v>
      </c>
      <c r="B1169" t="s">
        <v>7889</v>
      </c>
      <c r="E1169" t="s">
        <v>7890</v>
      </c>
      <c r="F1169" t="s">
        <v>108</v>
      </c>
      <c r="H1169" t="s">
        <v>7891</v>
      </c>
      <c r="I1169" t="s">
        <v>203</v>
      </c>
      <c r="J1169" t="s">
        <v>111</v>
      </c>
      <c r="K1169" t="str">
        <f>"85298"</f>
        <v>85298</v>
      </c>
      <c r="L1169" t="s">
        <v>558</v>
      </c>
      <c r="M1169" t="s">
        <v>7891</v>
      </c>
      <c r="N1169" t="s">
        <v>203</v>
      </c>
      <c r="O1169" t="s">
        <v>111</v>
      </c>
      <c r="P1169" t="str">
        <f>"85298-9118"</f>
        <v>85298-9118</v>
      </c>
      <c r="Q1169" t="s">
        <v>113</v>
      </c>
      <c r="R1169" t="str">
        <f>"313-07-169"</f>
        <v>313-07-169</v>
      </c>
      <c r="S1169" t="s">
        <v>7802</v>
      </c>
      <c r="T1169" t="s">
        <v>2898</v>
      </c>
      <c r="U1169">
        <v>1486</v>
      </c>
      <c r="V1169">
        <v>0</v>
      </c>
      <c r="W1169">
        <v>3</v>
      </c>
      <c r="X1169">
        <v>2004</v>
      </c>
      <c r="Z1169">
        <v>1</v>
      </c>
      <c r="AB1169">
        <v>0</v>
      </c>
      <c r="AC1169" t="s">
        <v>115</v>
      </c>
      <c r="AD1169">
        <v>2</v>
      </c>
      <c r="AE1169" t="s">
        <v>115</v>
      </c>
      <c r="AF1169">
        <v>0</v>
      </c>
      <c r="AG1169">
        <v>0</v>
      </c>
      <c r="AH1169" t="s">
        <v>116</v>
      </c>
      <c r="AI1169" s="1">
        <v>54842</v>
      </c>
      <c r="AJ1169" s="2">
        <v>0.19</v>
      </c>
      <c r="AK1169" s="1">
        <v>284987</v>
      </c>
      <c r="AL1169" t="s">
        <v>117</v>
      </c>
      <c r="AM1169" t="s">
        <v>191</v>
      </c>
      <c r="AN1169">
        <v>7827</v>
      </c>
      <c r="AO1169">
        <v>0.18</v>
      </c>
      <c r="AP1169">
        <v>1</v>
      </c>
      <c r="AR1169">
        <v>1</v>
      </c>
      <c r="AS1169" s="1">
        <v>20160</v>
      </c>
      <c r="AT1169" s="1">
        <v>4030</v>
      </c>
      <c r="AU1169" s="1">
        <v>16130</v>
      </c>
      <c r="AV1169">
        <v>80.010000000000005</v>
      </c>
      <c r="AX1169" s="1">
        <v>1611.8</v>
      </c>
      <c r="AY1169" t="s">
        <v>5875</v>
      </c>
      <c r="AZ1169" t="s">
        <v>1134</v>
      </c>
      <c r="BA1169" t="s">
        <v>1134</v>
      </c>
      <c r="BE1169" s="3">
        <v>42247</v>
      </c>
      <c r="BF1169" s="1">
        <v>219000</v>
      </c>
      <c r="BG1169" t="s">
        <v>7892</v>
      </c>
      <c r="BH1169" s="1">
        <v>147.38</v>
      </c>
      <c r="BI1169" s="1">
        <v>230145</v>
      </c>
      <c r="BJ1169" s="3">
        <v>42503</v>
      </c>
      <c r="BK1169" t="s">
        <v>123</v>
      </c>
      <c r="BL1169" t="str">
        <f>"2016.330195"</f>
        <v>2016.330195</v>
      </c>
      <c r="BM1169" t="s">
        <v>820</v>
      </c>
      <c r="BO1169" t="s">
        <v>7893</v>
      </c>
      <c r="BS1169">
        <v>30</v>
      </c>
      <c r="BW1169" t="str">
        <f>""</f>
        <v/>
      </c>
      <c r="CH1169" t="str">
        <f>""</f>
        <v/>
      </c>
      <c r="CS1169" t="str">
        <f>""</f>
        <v/>
      </c>
    </row>
    <row r="1170" spans="1:97" x14ac:dyDescent="0.25">
      <c r="A1170" t="s">
        <v>702</v>
      </c>
      <c r="B1170" t="s">
        <v>7894</v>
      </c>
      <c r="C1170" t="s">
        <v>2261</v>
      </c>
      <c r="D1170" t="s">
        <v>7894</v>
      </c>
      <c r="E1170" t="s">
        <v>7895</v>
      </c>
      <c r="F1170" t="s">
        <v>108</v>
      </c>
      <c r="H1170" t="s">
        <v>7896</v>
      </c>
      <c r="I1170" t="s">
        <v>5863</v>
      </c>
      <c r="J1170" t="s">
        <v>111</v>
      </c>
      <c r="K1170" t="str">
        <f>"85375"</f>
        <v>85375</v>
      </c>
      <c r="L1170" t="s">
        <v>926</v>
      </c>
      <c r="M1170" t="s">
        <v>7896</v>
      </c>
      <c r="N1170" t="s">
        <v>5863</v>
      </c>
      <c r="O1170" t="s">
        <v>111</v>
      </c>
      <c r="P1170" t="str">
        <f>"85375-5517"</f>
        <v>85375-5517</v>
      </c>
      <c r="Q1170" t="s">
        <v>113</v>
      </c>
      <c r="R1170" t="str">
        <f>"232-16-732"</f>
        <v>232-16-732</v>
      </c>
      <c r="S1170" t="s">
        <v>7897</v>
      </c>
      <c r="U1170">
        <v>1356</v>
      </c>
      <c r="V1170">
        <v>0</v>
      </c>
      <c r="W1170">
        <v>2</v>
      </c>
      <c r="X1170">
        <v>1987</v>
      </c>
      <c r="Z1170">
        <v>1</v>
      </c>
      <c r="AB1170">
        <v>0</v>
      </c>
      <c r="AC1170" t="s">
        <v>115</v>
      </c>
      <c r="AD1170">
        <v>2</v>
      </c>
      <c r="AE1170" t="s">
        <v>115</v>
      </c>
      <c r="AF1170">
        <v>0</v>
      </c>
      <c r="AG1170">
        <v>0</v>
      </c>
      <c r="AH1170" t="s">
        <v>116</v>
      </c>
      <c r="AI1170" s="1">
        <v>24095</v>
      </c>
      <c r="AJ1170" s="2">
        <v>0.1</v>
      </c>
      <c r="AK1170" s="1">
        <v>234095</v>
      </c>
      <c r="AL1170" t="s">
        <v>117</v>
      </c>
      <c r="AM1170" t="s">
        <v>393</v>
      </c>
      <c r="AN1170">
        <v>10000</v>
      </c>
      <c r="AO1170">
        <v>0.23</v>
      </c>
      <c r="AP1170">
        <v>1</v>
      </c>
      <c r="AR1170">
        <v>1</v>
      </c>
      <c r="AS1170" s="1">
        <v>14830</v>
      </c>
      <c r="AT1170" s="1">
        <v>2960</v>
      </c>
      <c r="AU1170" s="1">
        <v>11870</v>
      </c>
      <c r="AV1170">
        <v>80.040000000000006</v>
      </c>
      <c r="AX1170" s="1">
        <v>1043.98</v>
      </c>
      <c r="AY1170" t="s">
        <v>320</v>
      </c>
      <c r="AZ1170" t="s">
        <v>320</v>
      </c>
      <c r="BA1170" t="s">
        <v>321</v>
      </c>
      <c r="BE1170" s="3">
        <v>41940</v>
      </c>
      <c r="BF1170" s="1">
        <v>149000</v>
      </c>
      <c r="BG1170" t="s">
        <v>7898</v>
      </c>
      <c r="BH1170" s="1">
        <v>109.88</v>
      </c>
      <c r="BI1170" s="1">
        <v>210000</v>
      </c>
      <c r="BJ1170" s="3">
        <v>42664</v>
      </c>
      <c r="BK1170" t="s">
        <v>123</v>
      </c>
      <c r="BL1170" t="str">
        <f>"2016.774698"</f>
        <v>2016.774698</v>
      </c>
      <c r="BM1170" t="s">
        <v>2683</v>
      </c>
      <c r="BO1170" t="s">
        <v>7899</v>
      </c>
      <c r="BS1170">
        <v>30</v>
      </c>
      <c r="BW1170" t="str">
        <f>""</f>
        <v/>
      </c>
      <c r="CH1170" t="str">
        <f>""</f>
        <v/>
      </c>
      <c r="CS1170" t="str">
        <f>""</f>
        <v/>
      </c>
    </row>
    <row r="1171" spans="1:97" x14ac:dyDescent="0.25">
      <c r="A1171" t="s">
        <v>3613</v>
      </c>
      <c r="B1171" t="s">
        <v>7900</v>
      </c>
      <c r="C1171" t="s">
        <v>7901</v>
      </c>
      <c r="D1171" t="s">
        <v>7900</v>
      </c>
      <c r="E1171" t="s">
        <v>7902</v>
      </c>
      <c r="F1171" t="s">
        <v>108</v>
      </c>
      <c r="H1171" t="s">
        <v>7903</v>
      </c>
      <c r="I1171" t="s">
        <v>203</v>
      </c>
      <c r="J1171" t="s">
        <v>111</v>
      </c>
      <c r="K1171" t="str">
        <f>"85297"</f>
        <v>85297</v>
      </c>
      <c r="L1171" t="s">
        <v>7904</v>
      </c>
      <c r="M1171" t="s">
        <v>7903</v>
      </c>
      <c r="N1171" t="s">
        <v>203</v>
      </c>
      <c r="O1171" t="s">
        <v>111</v>
      </c>
      <c r="P1171" t="str">
        <f>"85297-9605"</f>
        <v>85297-9605</v>
      </c>
      <c r="Q1171" t="s">
        <v>113</v>
      </c>
      <c r="R1171" t="str">
        <f>"313-02-718"</f>
        <v>313-02-718</v>
      </c>
      <c r="S1171" t="s">
        <v>7905</v>
      </c>
      <c r="T1171" t="s">
        <v>7906</v>
      </c>
      <c r="U1171">
        <v>3353</v>
      </c>
      <c r="V1171">
        <v>0</v>
      </c>
      <c r="W1171">
        <v>4</v>
      </c>
      <c r="X1171">
        <v>2001</v>
      </c>
      <c r="Z1171">
        <v>2</v>
      </c>
      <c r="AA1171" t="s">
        <v>26</v>
      </c>
      <c r="AB1171">
        <v>0</v>
      </c>
      <c r="AC1171" t="s">
        <v>115</v>
      </c>
      <c r="AD1171">
        <v>3</v>
      </c>
      <c r="AE1171" t="s">
        <v>115</v>
      </c>
      <c r="AF1171">
        <v>0</v>
      </c>
      <c r="AG1171">
        <v>0</v>
      </c>
      <c r="AH1171" t="s">
        <v>116</v>
      </c>
      <c r="AI1171" s="1">
        <v>72697</v>
      </c>
      <c r="AJ1171" s="2">
        <v>0.16</v>
      </c>
      <c r="AK1171" s="1">
        <v>449742</v>
      </c>
      <c r="AL1171" t="s">
        <v>117</v>
      </c>
      <c r="AM1171" t="s">
        <v>393</v>
      </c>
      <c r="AN1171">
        <v>10384</v>
      </c>
      <c r="AO1171">
        <v>0.24</v>
      </c>
      <c r="AP1171">
        <v>1</v>
      </c>
      <c r="AR1171">
        <v>1</v>
      </c>
      <c r="AS1171" s="1">
        <v>31470</v>
      </c>
      <c r="AT1171" s="1">
        <v>6290</v>
      </c>
      <c r="AU1171" s="1">
        <v>25180</v>
      </c>
      <c r="AV1171">
        <v>80.010000000000005</v>
      </c>
      <c r="AX1171" s="1">
        <v>2820.26</v>
      </c>
      <c r="AY1171" t="s">
        <v>289</v>
      </c>
      <c r="AZ1171" t="s">
        <v>289</v>
      </c>
      <c r="BA1171" t="s">
        <v>290</v>
      </c>
      <c r="BE1171" s="3">
        <v>42501</v>
      </c>
      <c r="BF1171" s="1">
        <v>372000</v>
      </c>
      <c r="BG1171" t="s">
        <v>7907</v>
      </c>
      <c r="BH1171" s="1">
        <v>110.95</v>
      </c>
      <c r="BI1171" s="1">
        <v>377045</v>
      </c>
      <c r="BJ1171" s="3">
        <v>42501</v>
      </c>
      <c r="BK1171" t="s">
        <v>123</v>
      </c>
      <c r="BL1171" t="str">
        <f>"2016.322769"</f>
        <v>2016.322769</v>
      </c>
      <c r="BM1171" t="s">
        <v>402</v>
      </c>
      <c r="BO1171" t="s">
        <v>7908</v>
      </c>
      <c r="BS1171">
        <v>30</v>
      </c>
      <c r="BW1171" t="str">
        <f>""</f>
        <v/>
      </c>
      <c r="CH1171" t="str">
        <f>""</f>
        <v/>
      </c>
      <c r="CS1171" t="str">
        <f>""</f>
        <v/>
      </c>
    </row>
    <row r="1172" spans="1:97" x14ac:dyDescent="0.25">
      <c r="A1172" t="s">
        <v>6938</v>
      </c>
      <c r="B1172" t="s">
        <v>1667</v>
      </c>
      <c r="C1172" t="s">
        <v>3505</v>
      </c>
      <c r="D1172" t="s">
        <v>1667</v>
      </c>
      <c r="E1172" t="s">
        <v>7909</v>
      </c>
      <c r="F1172" t="s">
        <v>108</v>
      </c>
      <c r="H1172" t="s">
        <v>7910</v>
      </c>
      <c r="I1172" t="s">
        <v>632</v>
      </c>
      <c r="J1172" t="s">
        <v>111</v>
      </c>
      <c r="K1172" t="str">
        <f>"85388"</f>
        <v>85388</v>
      </c>
      <c r="L1172" t="s">
        <v>7607</v>
      </c>
      <c r="M1172" t="s">
        <v>7910</v>
      </c>
      <c r="N1172" t="s">
        <v>632</v>
      </c>
      <c r="O1172" t="s">
        <v>111</v>
      </c>
      <c r="P1172" t="str">
        <f>"85388-1693"</f>
        <v>85388-1693</v>
      </c>
      <c r="Q1172" t="s">
        <v>113</v>
      </c>
      <c r="R1172" t="str">
        <f>"502-89-495"</f>
        <v>502-89-495</v>
      </c>
      <c r="S1172" t="s">
        <v>7646</v>
      </c>
      <c r="U1172">
        <v>2847</v>
      </c>
      <c r="V1172">
        <v>0</v>
      </c>
      <c r="W1172">
        <v>4</v>
      </c>
      <c r="X1172">
        <v>2014</v>
      </c>
      <c r="Z1172">
        <v>1</v>
      </c>
      <c r="AA1172" t="s">
        <v>26</v>
      </c>
      <c r="AB1172">
        <v>0</v>
      </c>
      <c r="AC1172" t="s">
        <v>115</v>
      </c>
      <c r="AD1172">
        <v>2</v>
      </c>
      <c r="AE1172" t="s">
        <v>115</v>
      </c>
      <c r="AF1172">
        <v>0</v>
      </c>
      <c r="AG1172">
        <v>0</v>
      </c>
      <c r="AH1172" t="s">
        <v>116</v>
      </c>
      <c r="AI1172" s="1">
        <v>15043</v>
      </c>
      <c r="AJ1172" s="2">
        <v>0.04</v>
      </c>
      <c r="AK1172" s="1">
        <v>355933</v>
      </c>
      <c r="AL1172" t="s">
        <v>117</v>
      </c>
      <c r="AM1172" t="s">
        <v>118</v>
      </c>
      <c r="AN1172">
        <v>7800</v>
      </c>
      <c r="AO1172">
        <v>0.18</v>
      </c>
      <c r="AR1172">
        <v>1</v>
      </c>
      <c r="AS1172" s="1">
        <v>26800</v>
      </c>
      <c r="AT1172" s="1">
        <v>5360</v>
      </c>
      <c r="AU1172" s="1">
        <v>21440</v>
      </c>
      <c r="AV1172">
        <v>80</v>
      </c>
      <c r="AX1172" s="1">
        <v>2237.5</v>
      </c>
      <c r="AY1172" t="s">
        <v>5168</v>
      </c>
      <c r="AZ1172" t="s">
        <v>5168</v>
      </c>
      <c r="BA1172" t="s">
        <v>5109</v>
      </c>
      <c r="BB1172" s="3">
        <v>42621</v>
      </c>
      <c r="BD1172" t="s">
        <v>240</v>
      </c>
      <c r="BE1172" s="3">
        <v>41814</v>
      </c>
      <c r="BF1172" s="1">
        <v>269769</v>
      </c>
      <c r="BG1172" t="s">
        <v>275</v>
      </c>
      <c r="BH1172" s="1">
        <v>94.76</v>
      </c>
      <c r="BI1172" s="1">
        <v>340890</v>
      </c>
      <c r="BJ1172" s="3">
        <v>43040</v>
      </c>
      <c r="BK1172" t="s">
        <v>123</v>
      </c>
      <c r="BL1172" t="str">
        <f>"2017.813168"</f>
        <v>2017.813168</v>
      </c>
      <c r="BM1172" t="s">
        <v>5096</v>
      </c>
      <c r="BO1172" t="s">
        <v>7911</v>
      </c>
      <c r="BS1172">
        <v>30</v>
      </c>
      <c r="BW1172" t="str">
        <f>""</f>
        <v/>
      </c>
      <c r="CH1172" t="str">
        <f>""</f>
        <v/>
      </c>
      <c r="CS1172" t="str">
        <f>""</f>
        <v/>
      </c>
    </row>
    <row r="1173" spans="1:97" x14ac:dyDescent="0.25">
      <c r="A1173" t="s">
        <v>3221</v>
      </c>
      <c r="B1173" t="s">
        <v>950</v>
      </c>
      <c r="C1173" t="s">
        <v>365</v>
      </c>
      <c r="D1173" t="s">
        <v>950</v>
      </c>
      <c r="E1173" t="s">
        <v>7912</v>
      </c>
      <c r="F1173" t="s">
        <v>108</v>
      </c>
      <c r="H1173" t="s">
        <v>7913</v>
      </c>
      <c r="I1173" t="s">
        <v>5636</v>
      </c>
      <c r="J1173" t="s">
        <v>111</v>
      </c>
      <c r="K1173" t="str">
        <f>"85268"</f>
        <v>85268</v>
      </c>
      <c r="L1173" t="s">
        <v>3758</v>
      </c>
      <c r="M1173" t="s">
        <v>7913</v>
      </c>
      <c r="N1173" t="s">
        <v>5636</v>
      </c>
      <c r="O1173" t="s">
        <v>111</v>
      </c>
      <c r="P1173" t="str">
        <f>"85268-1330"</f>
        <v>85268-1330</v>
      </c>
      <c r="Q1173" t="s">
        <v>113</v>
      </c>
      <c r="R1173" t="str">
        <f>"176-22-726"</f>
        <v>176-22-726</v>
      </c>
      <c r="S1173" t="s">
        <v>7914</v>
      </c>
      <c r="U1173">
        <v>2236</v>
      </c>
      <c r="V1173">
        <v>0</v>
      </c>
      <c r="W1173">
        <v>3</v>
      </c>
      <c r="X1173">
        <v>1996</v>
      </c>
      <c r="Z1173">
        <v>1</v>
      </c>
      <c r="AA1173" t="s">
        <v>26</v>
      </c>
      <c r="AB1173">
        <v>0</v>
      </c>
      <c r="AC1173" t="s">
        <v>115</v>
      </c>
      <c r="AD1173">
        <v>3</v>
      </c>
      <c r="AE1173" t="s">
        <v>115</v>
      </c>
      <c r="AF1173">
        <v>0</v>
      </c>
      <c r="AG1173">
        <v>0</v>
      </c>
      <c r="AH1173" t="s">
        <v>116</v>
      </c>
      <c r="AI1173" s="1">
        <v>186905</v>
      </c>
      <c r="AJ1173" s="2">
        <v>0.39</v>
      </c>
      <c r="AK1173" s="1">
        <v>481796</v>
      </c>
      <c r="AL1173" t="s">
        <v>117</v>
      </c>
      <c r="AM1173" t="s">
        <v>1302</v>
      </c>
      <c r="AN1173">
        <v>12127</v>
      </c>
      <c r="AO1173">
        <v>0.28000000000000003</v>
      </c>
      <c r="AP1173">
        <v>1</v>
      </c>
      <c r="AR1173">
        <v>1</v>
      </c>
      <c r="AS1173" s="1">
        <v>39720</v>
      </c>
      <c r="AT1173" s="1">
        <v>7940</v>
      </c>
      <c r="AU1173" s="1">
        <v>31780</v>
      </c>
      <c r="AV1173">
        <v>80.010000000000005</v>
      </c>
      <c r="AX1173" s="1">
        <v>2733.4</v>
      </c>
      <c r="AY1173" t="s">
        <v>5639</v>
      </c>
      <c r="AZ1173" t="s">
        <v>5640</v>
      </c>
      <c r="BA1173" t="s">
        <v>5641</v>
      </c>
      <c r="BB1173" s="3">
        <v>42929</v>
      </c>
      <c r="BD1173" t="s">
        <v>157</v>
      </c>
      <c r="BE1173" s="3">
        <v>42258</v>
      </c>
      <c r="BF1173" s="1">
        <v>393500</v>
      </c>
      <c r="BG1173" t="s">
        <v>7915</v>
      </c>
      <c r="BH1173" s="1">
        <v>175.98</v>
      </c>
      <c r="BI1173" s="1">
        <v>15000</v>
      </c>
      <c r="BJ1173" s="3">
        <v>42929</v>
      </c>
      <c r="BL1173" t="str">
        <f>"2017.512011"</f>
        <v>2017.512011</v>
      </c>
      <c r="BM1173" t="s">
        <v>7916</v>
      </c>
      <c r="BN1173">
        <v>85027</v>
      </c>
      <c r="BO1173" t="s">
        <v>7917</v>
      </c>
      <c r="BR1173" t="s">
        <v>1633</v>
      </c>
      <c r="BT1173" s="1">
        <v>279891</v>
      </c>
      <c r="BU1173" s="3">
        <v>43116</v>
      </c>
      <c r="BV1173" t="s">
        <v>123</v>
      </c>
      <c r="BW1173" t="str">
        <f>"2018.37604"</f>
        <v>2018.37604</v>
      </c>
      <c r="BX1173" t="s">
        <v>2051</v>
      </c>
      <c r="BY1173" t="s">
        <v>5449</v>
      </c>
      <c r="BZ1173" t="s">
        <v>7918</v>
      </c>
      <c r="CC1173" t="s">
        <v>139</v>
      </c>
      <c r="CH1173" t="str">
        <f>""</f>
        <v/>
      </c>
      <c r="CS1173" t="str">
        <f>""</f>
        <v/>
      </c>
    </row>
    <row r="1174" spans="1:97" x14ac:dyDescent="0.25">
      <c r="A1174" t="s">
        <v>177</v>
      </c>
      <c r="B1174" t="s">
        <v>7919</v>
      </c>
      <c r="C1174" t="s">
        <v>1930</v>
      </c>
      <c r="D1174" t="s">
        <v>7919</v>
      </c>
      <c r="E1174" t="s">
        <v>7920</v>
      </c>
      <c r="F1174" t="s">
        <v>108</v>
      </c>
      <c r="H1174" t="s">
        <v>7921</v>
      </c>
      <c r="I1174" t="s">
        <v>1397</v>
      </c>
      <c r="J1174" t="s">
        <v>111</v>
      </c>
      <c r="K1174" t="str">
        <f>"85331"</f>
        <v>85331</v>
      </c>
      <c r="L1174" t="s">
        <v>7922</v>
      </c>
      <c r="M1174" t="s">
        <v>7921</v>
      </c>
      <c r="N1174" t="s">
        <v>1397</v>
      </c>
      <c r="O1174" t="s">
        <v>111</v>
      </c>
      <c r="P1174" t="str">
        <f>"85331-4041"</f>
        <v>85331-4041</v>
      </c>
      <c r="Q1174" t="s">
        <v>113</v>
      </c>
      <c r="R1174" t="str">
        <f>"211-60-799"</f>
        <v>211-60-799</v>
      </c>
      <c r="S1174" t="s">
        <v>7923</v>
      </c>
      <c r="T1174" t="s">
        <v>7924</v>
      </c>
      <c r="U1174">
        <v>2324</v>
      </c>
      <c r="V1174">
        <v>0</v>
      </c>
      <c r="W1174">
        <v>4</v>
      </c>
      <c r="X1174">
        <v>2001</v>
      </c>
      <c r="Z1174">
        <v>2</v>
      </c>
      <c r="AA1174" t="s">
        <v>26</v>
      </c>
      <c r="AB1174">
        <v>0</v>
      </c>
      <c r="AC1174" t="s">
        <v>115</v>
      </c>
      <c r="AD1174">
        <v>2</v>
      </c>
      <c r="AE1174" t="s">
        <v>115</v>
      </c>
      <c r="AF1174">
        <v>0</v>
      </c>
      <c r="AG1174">
        <v>0</v>
      </c>
      <c r="AH1174" t="s">
        <v>116</v>
      </c>
      <c r="AI1174" s="1">
        <v>89971</v>
      </c>
      <c r="AJ1174" s="2">
        <v>0.21</v>
      </c>
      <c r="AK1174" s="1">
        <v>434221</v>
      </c>
      <c r="AL1174" t="s">
        <v>117</v>
      </c>
      <c r="AM1174" t="s">
        <v>760</v>
      </c>
      <c r="AN1174">
        <v>6875</v>
      </c>
      <c r="AO1174">
        <v>0.16</v>
      </c>
      <c r="AP1174">
        <v>1</v>
      </c>
      <c r="AR1174">
        <v>1</v>
      </c>
      <c r="AS1174" s="1">
        <v>31530</v>
      </c>
      <c r="AT1174" s="1">
        <v>6300</v>
      </c>
      <c r="AU1174" s="1">
        <v>25230</v>
      </c>
      <c r="AV1174">
        <v>80.02</v>
      </c>
      <c r="AX1174" s="1">
        <v>2068.8200000000002</v>
      </c>
      <c r="AY1174" t="s">
        <v>1401</v>
      </c>
      <c r="AZ1174" t="s">
        <v>1402</v>
      </c>
      <c r="BA1174" t="s">
        <v>1403</v>
      </c>
      <c r="BE1174" s="3">
        <v>42529</v>
      </c>
      <c r="BF1174" s="1">
        <v>399000</v>
      </c>
      <c r="BG1174" t="s">
        <v>7925</v>
      </c>
      <c r="BH1174" s="1">
        <v>171.69</v>
      </c>
      <c r="BI1174" s="1">
        <v>344250</v>
      </c>
      <c r="BJ1174" s="3">
        <v>42529</v>
      </c>
      <c r="BK1174" t="s">
        <v>123</v>
      </c>
      <c r="BL1174" t="str">
        <f>"2016.396060"</f>
        <v>2016.396060</v>
      </c>
      <c r="BM1174" t="s">
        <v>1033</v>
      </c>
      <c r="BO1174" t="s">
        <v>7926</v>
      </c>
      <c r="BS1174">
        <v>30</v>
      </c>
      <c r="BW1174" t="str">
        <f>""</f>
        <v/>
      </c>
      <c r="CH1174" t="str">
        <f>""</f>
        <v/>
      </c>
      <c r="CS1174" t="str">
        <f>""</f>
        <v/>
      </c>
    </row>
    <row r="1175" spans="1:97" x14ac:dyDescent="0.25">
      <c r="A1175" t="s">
        <v>5314</v>
      </c>
      <c r="B1175" t="s">
        <v>7927</v>
      </c>
      <c r="C1175" t="s">
        <v>3926</v>
      </c>
      <c r="D1175" t="s">
        <v>7927</v>
      </c>
      <c r="E1175" t="s">
        <v>7928</v>
      </c>
      <c r="F1175" t="s">
        <v>139</v>
      </c>
      <c r="H1175" t="s">
        <v>7929</v>
      </c>
      <c r="I1175" t="s">
        <v>188</v>
      </c>
      <c r="J1175" t="s">
        <v>111</v>
      </c>
      <c r="K1175" t="str">
        <f>"85142"</f>
        <v>85142</v>
      </c>
      <c r="L1175" t="s">
        <v>5131</v>
      </c>
      <c r="M1175" t="s">
        <v>7930</v>
      </c>
      <c r="N1175" t="s">
        <v>7931</v>
      </c>
      <c r="O1175" t="s">
        <v>111</v>
      </c>
      <c r="P1175" t="str">
        <f>"85127-9265"</f>
        <v>85127-9265</v>
      </c>
      <c r="Q1175" t="s">
        <v>113</v>
      </c>
      <c r="R1175" t="str">
        <f>"304-89-063-C"</f>
        <v>304-89-063-C</v>
      </c>
      <c r="S1175" t="s">
        <v>7932</v>
      </c>
      <c r="U1175">
        <v>2340</v>
      </c>
      <c r="V1175">
        <v>0</v>
      </c>
      <c r="W1175">
        <v>4</v>
      </c>
      <c r="X1175">
        <v>2004</v>
      </c>
      <c r="Z1175">
        <v>1</v>
      </c>
      <c r="AA1175" t="s">
        <v>26</v>
      </c>
      <c r="AB1175">
        <v>0</v>
      </c>
      <c r="AC1175" t="s">
        <v>115</v>
      </c>
      <c r="AD1175">
        <v>2</v>
      </c>
      <c r="AE1175" t="s">
        <v>115</v>
      </c>
      <c r="AF1175">
        <v>0</v>
      </c>
      <c r="AG1175">
        <v>0</v>
      </c>
      <c r="AH1175" t="s">
        <v>116</v>
      </c>
      <c r="AI1175" s="1">
        <v>143473</v>
      </c>
      <c r="AJ1175" s="2">
        <v>0.24</v>
      </c>
      <c r="AK1175" s="1">
        <v>592723</v>
      </c>
      <c r="AL1175" t="s">
        <v>117</v>
      </c>
      <c r="AM1175" t="s">
        <v>376</v>
      </c>
      <c r="AN1175">
        <v>59323</v>
      </c>
      <c r="AO1175">
        <v>1.36</v>
      </c>
      <c r="AP1175">
        <v>1</v>
      </c>
      <c r="AR1175">
        <v>2</v>
      </c>
      <c r="AS1175" s="1">
        <v>41970</v>
      </c>
      <c r="AT1175" s="1">
        <v>8390</v>
      </c>
      <c r="AU1175" s="1">
        <v>33580</v>
      </c>
      <c r="AV1175">
        <v>80.010000000000005</v>
      </c>
      <c r="AX1175" s="1">
        <v>3510.78</v>
      </c>
      <c r="AY1175" t="s">
        <v>1133</v>
      </c>
      <c r="AZ1175" t="s">
        <v>1134</v>
      </c>
      <c r="BA1175" t="s">
        <v>1134</v>
      </c>
      <c r="BE1175" s="3">
        <v>41697</v>
      </c>
      <c r="BF1175" s="1">
        <v>460000</v>
      </c>
      <c r="BG1175" t="s">
        <v>7933</v>
      </c>
      <c r="BH1175" s="1">
        <v>98.29</v>
      </c>
      <c r="BI1175" s="1">
        <v>449250</v>
      </c>
      <c r="BJ1175" s="3">
        <v>41697</v>
      </c>
      <c r="BK1175" t="s">
        <v>123</v>
      </c>
      <c r="BL1175" t="str">
        <f>"2014.125754"</f>
        <v>2014.125754</v>
      </c>
      <c r="BM1175" t="s">
        <v>124</v>
      </c>
      <c r="BO1175" t="s">
        <v>7934</v>
      </c>
      <c r="BS1175">
        <v>30</v>
      </c>
      <c r="BW1175" t="str">
        <f>""</f>
        <v/>
      </c>
      <c r="CH1175" t="str">
        <f>""</f>
        <v/>
      </c>
      <c r="CS1175" t="str">
        <f>""</f>
        <v/>
      </c>
    </row>
    <row r="1176" spans="1:97" x14ac:dyDescent="0.25">
      <c r="A1176" t="s">
        <v>753</v>
      </c>
      <c r="B1176" t="s">
        <v>7935</v>
      </c>
      <c r="C1176" t="s">
        <v>976</v>
      </c>
      <c r="D1176" t="s">
        <v>7935</v>
      </c>
      <c r="E1176" t="s">
        <v>7936</v>
      </c>
      <c r="F1176" t="s">
        <v>108</v>
      </c>
      <c r="H1176" t="s">
        <v>7937</v>
      </c>
      <c r="I1176" t="s">
        <v>144</v>
      </c>
      <c r="J1176" t="s">
        <v>111</v>
      </c>
      <c r="K1176" t="str">
        <f>"85396"</f>
        <v>85396</v>
      </c>
      <c r="L1176" t="s">
        <v>2820</v>
      </c>
      <c r="M1176" t="s">
        <v>7937</v>
      </c>
      <c r="N1176" t="s">
        <v>144</v>
      </c>
      <c r="O1176" t="s">
        <v>111</v>
      </c>
      <c r="P1176" t="str">
        <f>"85396-8307"</f>
        <v>85396-8307</v>
      </c>
      <c r="Q1176" t="s">
        <v>113</v>
      </c>
      <c r="R1176" t="str">
        <f>"502-62-049"</f>
        <v>502-62-049</v>
      </c>
      <c r="S1176" t="s">
        <v>7938</v>
      </c>
      <c r="T1176" t="s">
        <v>7939</v>
      </c>
      <c r="U1176">
        <v>2786</v>
      </c>
      <c r="V1176">
        <v>0</v>
      </c>
      <c r="W1176">
        <v>4</v>
      </c>
      <c r="X1176">
        <v>2003</v>
      </c>
      <c r="Z1176">
        <v>1</v>
      </c>
      <c r="AA1176" t="s">
        <v>26</v>
      </c>
      <c r="AB1176">
        <v>0</v>
      </c>
      <c r="AC1176" t="s">
        <v>115</v>
      </c>
      <c r="AD1176">
        <v>3</v>
      </c>
      <c r="AE1176" t="s">
        <v>115</v>
      </c>
      <c r="AF1176">
        <v>0</v>
      </c>
      <c r="AG1176">
        <v>0</v>
      </c>
      <c r="AH1176" t="s">
        <v>116</v>
      </c>
      <c r="AI1176" s="1">
        <v>204118</v>
      </c>
      <c r="AJ1176" s="2">
        <v>0.4</v>
      </c>
      <c r="AK1176" s="1">
        <v>505161</v>
      </c>
      <c r="AL1176" t="s">
        <v>117</v>
      </c>
      <c r="AM1176" t="s">
        <v>376</v>
      </c>
      <c r="AN1176">
        <v>49257</v>
      </c>
      <c r="AO1176">
        <v>1.1299999999999999</v>
      </c>
      <c r="AP1176">
        <v>1</v>
      </c>
      <c r="AR1176">
        <v>1</v>
      </c>
      <c r="AS1176" s="1">
        <v>40260</v>
      </c>
      <c r="AT1176" s="1">
        <v>8050</v>
      </c>
      <c r="AU1176" s="1">
        <v>32210</v>
      </c>
      <c r="AV1176">
        <v>80</v>
      </c>
      <c r="AX1176" s="1">
        <v>4290.84</v>
      </c>
      <c r="AY1176" t="s">
        <v>543</v>
      </c>
      <c r="AZ1176" t="s">
        <v>504</v>
      </c>
      <c r="BA1176" t="s">
        <v>218</v>
      </c>
      <c r="BB1176" s="3">
        <v>42944</v>
      </c>
      <c r="BD1176" t="s">
        <v>842</v>
      </c>
      <c r="BE1176" s="3">
        <v>42327</v>
      </c>
      <c r="BF1176" s="1">
        <v>385000</v>
      </c>
      <c r="BG1176" t="s">
        <v>7940</v>
      </c>
      <c r="BH1176" s="1">
        <v>138.19</v>
      </c>
      <c r="BI1176" s="1">
        <v>269943</v>
      </c>
      <c r="BJ1176" s="3">
        <v>42527</v>
      </c>
      <c r="BK1176" t="s">
        <v>123</v>
      </c>
      <c r="BL1176" t="str">
        <f>"2016.388321"</f>
        <v>2016.388321</v>
      </c>
      <c r="BM1176" t="s">
        <v>1038</v>
      </c>
      <c r="BN1176" t="s">
        <v>132</v>
      </c>
      <c r="BO1176" t="s">
        <v>7941</v>
      </c>
      <c r="BS1176">
        <v>30</v>
      </c>
      <c r="BT1176" s="1">
        <v>31100</v>
      </c>
      <c r="BU1176" s="3">
        <v>42949</v>
      </c>
      <c r="BW1176" t="str">
        <f>"2017.566798"</f>
        <v>2017.566798</v>
      </c>
      <c r="BX1176" t="s">
        <v>7942</v>
      </c>
      <c r="BY1176">
        <v>28255</v>
      </c>
      <c r="BZ1176" t="s">
        <v>7943</v>
      </c>
      <c r="CC1176" t="s">
        <v>1633</v>
      </c>
      <c r="CD1176">
        <v>30</v>
      </c>
      <c r="CH1176" t="str">
        <f>""</f>
        <v/>
      </c>
      <c r="CS1176" t="str">
        <f>""</f>
        <v/>
      </c>
    </row>
    <row r="1177" spans="1:97" x14ac:dyDescent="0.25">
      <c r="A1177" t="s">
        <v>1009</v>
      </c>
      <c r="B1177" t="s">
        <v>7944</v>
      </c>
      <c r="C1177" t="s">
        <v>1162</v>
      </c>
      <c r="D1177" t="s">
        <v>7944</v>
      </c>
      <c r="E1177" t="s">
        <v>7945</v>
      </c>
      <c r="F1177" t="s">
        <v>108</v>
      </c>
      <c r="H1177" t="s">
        <v>7946</v>
      </c>
      <c r="I1177" t="s">
        <v>144</v>
      </c>
      <c r="J1177" t="s">
        <v>111</v>
      </c>
      <c r="K1177" t="str">
        <f>"85326"</f>
        <v>85326</v>
      </c>
      <c r="L1177" t="s">
        <v>2197</v>
      </c>
      <c r="M1177" t="s">
        <v>7946</v>
      </c>
      <c r="N1177" t="s">
        <v>144</v>
      </c>
      <c r="O1177" t="s">
        <v>111</v>
      </c>
      <c r="P1177" t="str">
        <f>"85326-3988"</f>
        <v>85326-3988</v>
      </c>
      <c r="Q1177" t="s">
        <v>113</v>
      </c>
      <c r="R1177" t="str">
        <f>"504-21-234"</f>
        <v>504-21-234</v>
      </c>
      <c r="S1177" t="s">
        <v>7947</v>
      </c>
      <c r="U1177">
        <v>2014</v>
      </c>
      <c r="V1177">
        <v>0</v>
      </c>
      <c r="W1177">
        <v>2</v>
      </c>
      <c r="X1177">
        <v>1985</v>
      </c>
      <c r="Z1177">
        <v>1</v>
      </c>
      <c r="AB1177">
        <v>0</v>
      </c>
      <c r="AC1177" t="s">
        <v>115</v>
      </c>
      <c r="AD1177">
        <v>5</v>
      </c>
      <c r="AE1177" t="s">
        <v>115</v>
      </c>
      <c r="AF1177">
        <v>0</v>
      </c>
      <c r="AG1177">
        <v>0</v>
      </c>
      <c r="AH1177" t="s">
        <v>116</v>
      </c>
      <c r="AI1177" s="1">
        <v>55525</v>
      </c>
      <c r="AJ1177" s="2">
        <v>0.15</v>
      </c>
      <c r="AK1177" s="1">
        <v>362025</v>
      </c>
      <c r="AL1177" t="s">
        <v>117</v>
      </c>
      <c r="AM1177" t="s">
        <v>7948</v>
      </c>
      <c r="AN1177">
        <v>45080</v>
      </c>
      <c r="AO1177">
        <v>1.04</v>
      </c>
      <c r="AP1177">
        <v>1</v>
      </c>
      <c r="AR1177">
        <v>1</v>
      </c>
      <c r="AS1177" s="1">
        <v>24770</v>
      </c>
      <c r="AT1177" s="1">
        <v>4950</v>
      </c>
      <c r="AU1177" s="1">
        <v>19820</v>
      </c>
      <c r="AV1177">
        <v>80.02</v>
      </c>
      <c r="AX1177" s="1">
        <v>1688.46</v>
      </c>
      <c r="AY1177" t="s">
        <v>2767</v>
      </c>
      <c r="AZ1177" t="s">
        <v>2767</v>
      </c>
      <c r="BA1177" t="s">
        <v>5025</v>
      </c>
      <c r="BE1177" s="3">
        <v>42521</v>
      </c>
      <c r="BF1177" s="1">
        <v>325000</v>
      </c>
      <c r="BG1177" t="s">
        <v>7949</v>
      </c>
      <c r="BH1177" s="1">
        <v>161.37</v>
      </c>
      <c r="BI1177" s="1">
        <v>306500</v>
      </c>
      <c r="BJ1177" s="3">
        <v>42521</v>
      </c>
      <c r="BK1177" t="s">
        <v>123</v>
      </c>
      <c r="BL1177" t="str">
        <f>"2016.372364"</f>
        <v>2016.372364</v>
      </c>
      <c r="BM1177" t="s">
        <v>1544</v>
      </c>
      <c r="BO1177" t="s">
        <v>7950</v>
      </c>
      <c r="BS1177">
        <v>30</v>
      </c>
      <c r="BW1177" t="str">
        <f>""</f>
        <v/>
      </c>
      <c r="CH1177" t="str">
        <f>""</f>
        <v/>
      </c>
      <c r="CS1177" t="str">
        <f>""</f>
        <v/>
      </c>
    </row>
    <row r="1178" spans="1:97" x14ac:dyDescent="0.25">
      <c r="A1178" t="s">
        <v>1774</v>
      </c>
      <c r="B1178" t="s">
        <v>7951</v>
      </c>
      <c r="C1178" t="s">
        <v>489</v>
      </c>
      <c r="D1178" t="s">
        <v>7951</v>
      </c>
      <c r="E1178" t="s">
        <v>7952</v>
      </c>
      <c r="F1178" t="s">
        <v>108</v>
      </c>
      <c r="H1178" t="s">
        <v>7953</v>
      </c>
      <c r="I1178" t="s">
        <v>144</v>
      </c>
      <c r="J1178" t="s">
        <v>111</v>
      </c>
      <c r="K1178" t="str">
        <f>"85396"</f>
        <v>85396</v>
      </c>
      <c r="L1178" t="s">
        <v>1789</v>
      </c>
      <c r="M1178" t="s">
        <v>7953</v>
      </c>
      <c r="N1178" t="s">
        <v>144</v>
      </c>
      <c r="O1178" t="s">
        <v>111</v>
      </c>
      <c r="P1178" t="str">
        <f>"85396-7611"</f>
        <v>85396-7611</v>
      </c>
      <c r="Q1178" t="s">
        <v>113</v>
      </c>
      <c r="R1178" t="str">
        <f>"502-78-524"</f>
        <v>502-78-524</v>
      </c>
      <c r="S1178" t="s">
        <v>7954</v>
      </c>
      <c r="U1178">
        <v>3638</v>
      </c>
      <c r="V1178">
        <v>0</v>
      </c>
      <c r="W1178">
        <v>4</v>
      </c>
      <c r="X1178">
        <v>2005</v>
      </c>
      <c r="Z1178">
        <v>2</v>
      </c>
      <c r="AA1178" t="s">
        <v>26</v>
      </c>
      <c r="AB1178">
        <v>0</v>
      </c>
      <c r="AC1178" t="s">
        <v>115</v>
      </c>
      <c r="AD1178">
        <v>3</v>
      </c>
      <c r="AE1178" t="s">
        <v>115</v>
      </c>
      <c r="AF1178">
        <v>0</v>
      </c>
      <c r="AG1178">
        <v>0</v>
      </c>
      <c r="AH1178" t="s">
        <v>116</v>
      </c>
      <c r="AI1178" s="1">
        <v>77464</v>
      </c>
      <c r="AJ1178" s="2">
        <v>0.17</v>
      </c>
      <c r="AK1178" s="1">
        <v>468464</v>
      </c>
      <c r="AL1178" t="s">
        <v>117</v>
      </c>
      <c r="AM1178" t="s">
        <v>118</v>
      </c>
      <c r="AN1178">
        <v>11821</v>
      </c>
      <c r="AO1178">
        <v>0.27</v>
      </c>
      <c r="AR1178">
        <v>1</v>
      </c>
      <c r="AS1178" s="1">
        <v>34850</v>
      </c>
      <c r="AT1178" s="1">
        <v>6970</v>
      </c>
      <c r="AU1178" s="1">
        <v>27880</v>
      </c>
      <c r="AV1178">
        <v>80</v>
      </c>
      <c r="AX1178" s="1">
        <v>4133.0200000000004</v>
      </c>
      <c r="AY1178" t="s">
        <v>543</v>
      </c>
      <c r="AZ1178" t="s">
        <v>504</v>
      </c>
      <c r="BA1178" t="s">
        <v>218</v>
      </c>
      <c r="BE1178" s="3">
        <v>41942</v>
      </c>
      <c r="BF1178" s="1">
        <v>305000</v>
      </c>
      <c r="BG1178" t="s">
        <v>7955</v>
      </c>
      <c r="BH1178" s="1">
        <v>83.84</v>
      </c>
      <c r="BI1178" s="1">
        <v>391000</v>
      </c>
      <c r="BJ1178" s="3">
        <v>43217</v>
      </c>
      <c r="BK1178" t="s">
        <v>123</v>
      </c>
      <c r="BL1178" t="str">
        <f>"2018.321011"</f>
        <v>2018.321011</v>
      </c>
      <c r="BM1178" t="s">
        <v>7956</v>
      </c>
      <c r="BN1178" t="s">
        <v>5960</v>
      </c>
      <c r="BO1178" t="s">
        <v>7957</v>
      </c>
      <c r="BP1178" t="s">
        <v>7958</v>
      </c>
      <c r="BR1178" t="s">
        <v>139</v>
      </c>
      <c r="BW1178" t="str">
        <f>""</f>
        <v/>
      </c>
      <c r="CH1178" t="str">
        <f>""</f>
        <v/>
      </c>
      <c r="CS1178" t="str">
        <f>""</f>
        <v/>
      </c>
    </row>
    <row r="1179" spans="1:97" x14ac:dyDescent="0.25">
      <c r="A1179" t="s">
        <v>3786</v>
      </c>
      <c r="B1179" t="s">
        <v>7959</v>
      </c>
      <c r="E1179" t="s">
        <v>7960</v>
      </c>
      <c r="F1179" t="s">
        <v>139</v>
      </c>
      <c r="H1179" t="s">
        <v>7961</v>
      </c>
      <c r="I1179" t="s">
        <v>1788</v>
      </c>
      <c r="J1179" t="s">
        <v>111</v>
      </c>
      <c r="K1179" t="str">
        <f>"85355"</f>
        <v>85355</v>
      </c>
      <c r="L1179" t="s">
        <v>1789</v>
      </c>
      <c r="M1179" t="s">
        <v>7962</v>
      </c>
      <c r="N1179" t="s">
        <v>3150</v>
      </c>
      <c r="O1179" t="s">
        <v>111</v>
      </c>
      <c r="P1179" t="str">
        <f>"85340-4152"</f>
        <v>85340-4152</v>
      </c>
      <c r="Q1179" t="s">
        <v>113</v>
      </c>
      <c r="R1179" t="str">
        <f>"502-10-976-D"</f>
        <v>502-10-976-D</v>
      </c>
      <c r="S1179" t="s">
        <v>7963</v>
      </c>
      <c r="T1179" t="s">
        <v>7964</v>
      </c>
      <c r="U1179">
        <v>2536</v>
      </c>
      <c r="V1179">
        <v>0</v>
      </c>
      <c r="W1179">
        <v>4</v>
      </c>
      <c r="X1179">
        <v>2003</v>
      </c>
      <c r="Z1179">
        <v>1</v>
      </c>
      <c r="AB1179">
        <v>0</v>
      </c>
      <c r="AC1179" t="s">
        <v>115</v>
      </c>
      <c r="AD1179">
        <v>2</v>
      </c>
      <c r="AE1179" t="s">
        <v>115</v>
      </c>
      <c r="AF1179">
        <v>0</v>
      </c>
      <c r="AG1179">
        <v>0</v>
      </c>
      <c r="AH1179" t="s">
        <v>116</v>
      </c>
      <c r="AI1179" s="1">
        <v>-5522</v>
      </c>
      <c r="AJ1179" s="2">
        <v>-0.01</v>
      </c>
      <c r="AK1179" s="1">
        <v>418008</v>
      </c>
      <c r="AL1179" t="s">
        <v>117</v>
      </c>
      <c r="AM1179" t="s">
        <v>376</v>
      </c>
      <c r="AN1179">
        <v>42221</v>
      </c>
      <c r="AO1179">
        <v>0.97</v>
      </c>
      <c r="AP1179">
        <v>1</v>
      </c>
      <c r="AR1179">
        <v>1</v>
      </c>
      <c r="AS1179" s="1">
        <v>29430</v>
      </c>
      <c r="AT1179" s="1">
        <v>5880</v>
      </c>
      <c r="AU1179" s="1">
        <v>23550</v>
      </c>
      <c r="AV1179">
        <v>80.02</v>
      </c>
      <c r="AX1179" s="1">
        <v>2754.72</v>
      </c>
      <c r="AY1179" t="s">
        <v>7965</v>
      </c>
      <c r="AZ1179" t="s">
        <v>7965</v>
      </c>
      <c r="BA1179" t="s">
        <v>5061</v>
      </c>
      <c r="BB1179" s="3">
        <v>43109</v>
      </c>
      <c r="BC1179" s="1">
        <v>0</v>
      </c>
      <c r="BD1179" t="s">
        <v>247</v>
      </c>
      <c r="BE1179" s="3">
        <v>41841</v>
      </c>
      <c r="BF1179" s="1">
        <v>343000</v>
      </c>
      <c r="BG1179" t="s">
        <v>7966</v>
      </c>
      <c r="BH1179" s="1">
        <v>135.25</v>
      </c>
      <c r="BI1179" s="1">
        <v>423530</v>
      </c>
      <c r="BJ1179" s="3">
        <v>42762</v>
      </c>
      <c r="BK1179" t="s">
        <v>123</v>
      </c>
      <c r="BL1179" t="str">
        <f>"2017.66139"</f>
        <v>2017.66139</v>
      </c>
      <c r="BM1179" t="s">
        <v>7967</v>
      </c>
      <c r="BN1179" t="s">
        <v>4706</v>
      </c>
      <c r="BO1179" t="s">
        <v>7968</v>
      </c>
      <c r="BS1179">
        <v>30</v>
      </c>
      <c r="BW1179" t="str">
        <f>""</f>
        <v/>
      </c>
      <c r="CH1179" t="str">
        <f>""</f>
        <v/>
      </c>
      <c r="CS1179" t="str">
        <f>""</f>
        <v/>
      </c>
    </row>
    <row r="1180" spans="1:97" x14ac:dyDescent="0.25">
      <c r="A1180" t="s">
        <v>7969</v>
      </c>
      <c r="B1180" t="s">
        <v>3001</v>
      </c>
      <c r="C1180" t="s">
        <v>933</v>
      </c>
      <c r="D1180" t="s">
        <v>3001</v>
      </c>
      <c r="E1180" t="s">
        <v>7970</v>
      </c>
      <c r="F1180" t="s">
        <v>108</v>
      </c>
      <c r="H1180" t="s">
        <v>7971</v>
      </c>
      <c r="I1180" t="s">
        <v>1936</v>
      </c>
      <c r="J1180" t="s">
        <v>111</v>
      </c>
      <c r="K1180" t="str">
        <f>"85262"</f>
        <v>85262</v>
      </c>
      <c r="L1180" t="s">
        <v>7972</v>
      </c>
      <c r="M1180" t="s">
        <v>7971</v>
      </c>
      <c r="N1180" t="s">
        <v>1936</v>
      </c>
      <c r="O1180" t="s">
        <v>111</v>
      </c>
      <c r="P1180" t="str">
        <f>"85262-9557"</f>
        <v>85262-9557</v>
      </c>
      <c r="Q1180" t="s">
        <v>113</v>
      </c>
      <c r="R1180" t="str">
        <f>"219-37-016-N"</f>
        <v>219-37-016-N</v>
      </c>
      <c r="U1180">
        <v>2715</v>
      </c>
      <c r="V1180">
        <v>0</v>
      </c>
      <c r="W1180">
        <v>3</v>
      </c>
      <c r="X1180">
        <v>2006</v>
      </c>
      <c r="Z1180">
        <v>1</v>
      </c>
      <c r="AA1180" t="s">
        <v>26</v>
      </c>
      <c r="AB1180">
        <v>0</v>
      </c>
      <c r="AC1180" t="s">
        <v>115</v>
      </c>
      <c r="AD1180">
        <v>6</v>
      </c>
      <c r="AE1180" t="s">
        <v>115</v>
      </c>
      <c r="AF1180">
        <v>0</v>
      </c>
      <c r="AG1180">
        <v>0</v>
      </c>
      <c r="AH1180" t="s">
        <v>116</v>
      </c>
      <c r="AI1180" s="1">
        <v>92476</v>
      </c>
      <c r="AJ1180" s="2">
        <v>0.16</v>
      </c>
      <c r="AK1180" s="1">
        <v>574601</v>
      </c>
      <c r="AL1180" t="s">
        <v>117</v>
      </c>
      <c r="AM1180" t="s">
        <v>376</v>
      </c>
      <c r="AN1180">
        <v>50020</v>
      </c>
      <c r="AO1180">
        <v>1.1499999999999999</v>
      </c>
      <c r="AR1180">
        <v>1</v>
      </c>
      <c r="AS1180" s="1">
        <v>40520</v>
      </c>
      <c r="AT1180" s="1">
        <v>8100</v>
      </c>
      <c r="AU1180" s="1">
        <v>32420</v>
      </c>
      <c r="AV1180">
        <v>80.010000000000005</v>
      </c>
      <c r="AX1180" s="1">
        <v>1731.76</v>
      </c>
      <c r="AY1180" t="s">
        <v>5017</v>
      </c>
      <c r="AZ1180" t="s">
        <v>1402</v>
      </c>
      <c r="BA1180" t="s">
        <v>1403</v>
      </c>
      <c r="BE1180" s="3">
        <v>42488</v>
      </c>
      <c r="BF1180" s="1">
        <v>500000</v>
      </c>
      <c r="BG1180" t="s">
        <v>7973</v>
      </c>
      <c r="BH1180" s="1">
        <v>184.16</v>
      </c>
      <c r="BI1180" s="1">
        <v>482125</v>
      </c>
      <c r="BJ1180" s="3">
        <v>42488</v>
      </c>
      <c r="BK1180" t="s">
        <v>123</v>
      </c>
      <c r="BL1180" t="str">
        <f>"2016.284011"</f>
        <v>2016.284011</v>
      </c>
      <c r="BM1180" t="s">
        <v>1287</v>
      </c>
      <c r="BO1180" t="s">
        <v>7974</v>
      </c>
      <c r="BS1180">
        <v>30</v>
      </c>
      <c r="BW1180" t="str">
        <f>""</f>
        <v/>
      </c>
      <c r="CH1180" t="str">
        <f>""</f>
        <v/>
      </c>
      <c r="CS1180" t="str">
        <f>""</f>
        <v/>
      </c>
    </row>
    <row r="1181" spans="1:97" x14ac:dyDescent="0.25">
      <c r="A1181" t="s">
        <v>886</v>
      </c>
      <c r="B1181" t="s">
        <v>7975</v>
      </c>
      <c r="E1181" t="s">
        <v>7976</v>
      </c>
      <c r="F1181" t="s">
        <v>108</v>
      </c>
      <c r="H1181" t="s">
        <v>7977</v>
      </c>
      <c r="I1181" t="s">
        <v>390</v>
      </c>
      <c r="J1181" t="s">
        <v>111</v>
      </c>
      <c r="K1181" t="str">
        <f>"85086"</f>
        <v>85086</v>
      </c>
      <c r="L1181" t="s">
        <v>1586</v>
      </c>
      <c r="M1181" t="s">
        <v>7977</v>
      </c>
      <c r="N1181" t="s">
        <v>390</v>
      </c>
      <c r="O1181" t="s">
        <v>111</v>
      </c>
      <c r="P1181" t="str">
        <f>"85086-8784"</f>
        <v>85086-8784</v>
      </c>
      <c r="Q1181" t="s">
        <v>113</v>
      </c>
      <c r="R1181" t="str">
        <f>"211-50-010-C"</f>
        <v>211-50-010-C</v>
      </c>
      <c r="U1181">
        <v>2253</v>
      </c>
      <c r="V1181">
        <v>0</v>
      </c>
      <c r="W1181">
        <v>4</v>
      </c>
      <c r="X1181">
        <v>2005</v>
      </c>
      <c r="Z1181">
        <v>1</v>
      </c>
      <c r="AB1181">
        <v>0</v>
      </c>
      <c r="AC1181" t="s">
        <v>115</v>
      </c>
      <c r="AD1181">
        <v>3</v>
      </c>
      <c r="AE1181" t="s">
        <v>115</v>
      </c>
      <c r="AF1181">
        <v>0</v>
      </c>
      <c r="AG1181">
        <v>0</v>
      </c>
      <c r="AH1181" t="s">
        <v>116</v>
      </c>
      <c r="AI1181" s="1">
        <v>113979</v>
      </c>
      <c r="AJ1181" s="2">
        <v>0.24</v>
      </c>
      <c r="AK1181" s="1">
        <v>476637</v>
      </c>
      <c r="AL1181" t="s">
        <v>117</v>
      </c>
      <c r="AM1181" t="s">
        <v>376</v>
      </c>
      <c r="AN1181">
        <v>43560</v>
      </c>
      <c r="AO1181">
        <v>1</v>
      </c>
      <c r="AR1181">
        <v>1</v>
      </c>
      <c r="AS1181" s="1">
        <v>37260</v>
      </c>
      <c r="AT1181" s="1">
        <v>7450</v>
      </c>
      <c r="AU1181" s="1">
        <v>29810</v>
      </c>
      <c r="AV1181">
        <v>80.010000000000005</v>
      </c>
      <c r="AX1181" s="1">
        <v>3555.46</v>
      </c>
      <c r="AY1181" t="s">
        <v>1587</v>
      </c>
      <c r="AZ1181" t="s">
        <v>1587</v>
      </c>
      <c r="BA1181" t="s">
        <v>378</v>
      </c>
      <c r="BE1181" s="3">
        <v>41807</v>
      </c>
      <c r="BF1181" s="1">
        <v>365000</v>
      </c>
      <c r="BG1181" t="s">
        <v>7978</v>
      </c>
      <c r="BH1181" s="1">
        <v>162.01</v>
      </c>
      <c r="BI1181" s="1">
        <v>362658</v>
      </c>
      <c r="BJ1181" s="3">
        <v>42559</v>
      </c>
      <c r="BK1181" t="s">
        <v>123</v>
      </c>
      <c r="BL1181" t="str">
        <f>"2016.478998"</f>
        <v>2016.478998</v>
      </c>
      <c r="BM1181" t="s">
        <v>402</v>
      </c>
      <c r="BO1181" t="s">
        <v>7979</v>
      </c>
      <c r="BS1181">
        <v>28</v>
      </c>
      <c r="BW1181" t="str">
        <f>""</f>
        <v/>
      </c>
      <c r="CH1181" t="str">
        <f>""</f>
        <v/>
      </c>
      <c r="CS1181" t="str">
        <f>""</f>
        <v/>
      </c>
    </row>
    <row r="1182" spans="1:97" x14ac:dyDescent="0.25">
      <c r="A1182" t="s">
        <v>1009</v>
      </c>
      <c r="B1182" t="s">
        <v>7980</v>
      </c>
      <c r="E1182" t="s">
        <v>7981</v>
      </c>
      <c r="F1182" t="s">
        <v>108</v>
      </c>
      <c r="H1182" t="s">
        <v>7982</v>
      </c>
      <c r="I1182" t="s">
        <v>1936</v>
      </c>
      <c r="J1182" t="s">
        <v>111</v>
      </c>
      <c r="K1182" t="str">
        <f>"85262"</f>
        <v>85262</v>
      </c>
      <c r="L1182" t="s">
        <v>7983</v>
      </c>
      <c r="M1182" t="s">
        <v>7982</v>
      </c>
      <c r="N1182" t="s">
        <v>1936</v>
      </c>
      <c r="O1182" t="s">
        <v>111</v>
      </c>
      <c r="P1182" t="str">
        <f>"85262-5117"</f>
        <v>85262-5117</v>
      </c>
      <c r="Q1182" t="s">
        <v>113</v>
      </c>
      <c r="R1182" t="str">
        <f>"216-72-106"</f>
        <v>216-72-106</v>
      </c>
      <c r="S1182" t="s">
        <v>7984</v>
      </c>
      <c r="T1182" t="s">
        <v>7984</v>
      </c>
      <c r="U1182">
        <v>3293</v>
      </c>
      <c r="V1182">
        <v>0</v>
      </c>
      <c r="W1182">
        <v>4</v>
      </c>
      <c r="X1182">
        <v>1993</v>
      </c>
      <c r="Z1182">
        <v>1</v>
      </c>
      <c r="AA1182" t="s">
        <v>26</v>
      </c>
      <c r="AB1182">
        <v>0</v>
      </c>
      <c r="AC1182" t="s">
        <v>115</v>
      </c>
      <c r="AD1182">
        <v>3</v>
      </c>
      <c r="AE1182" t="s">
        <v>115</v>
      </c>
      <c r="AF1182">
        <v>0</v>
      </c>
      <c r="AG1182">
        <v>0</v>
      </c>
      <c r="AH1182" t="s">
        <v>116</v>
      </c>
      <c r="AI1182" s="1">
        <v>192964</v>
      </c>
      <c r="AJ1182" s="2">
        <v>0.25</v>
      </c>
      <c r="AK1182" s="1">
        <v>769714</v>
      </c>
      <c r="AL1182" t="s">
        <v>117</v>
      </c>
      <c r="AM1182" t="s">
        <v>616</v>
      </c>
      <c r="AN1182">
        <v>13051</v>
      </c>
      <c r="AO1182">
        <v>0.3</v>
      </c>
      <c r="AP1182">
        <v>1</v>
      </c>
      <c r="AR1182">
        <v>1</v>
      </c>
      <c r="AS1182" s="1">
        <v>54800</v>
      </c>
      <c r="AT1182" s="1">
        <v>10960</v>
      </c>
      <c r="AU1182" s="1">
        <v>43840</v>
      </c>
      <c r="AV1182">
        <v>80</v>
      </c>
      <c r="AX1182" s="1">
        <v>3363.84</v>
      </c>
      <c r="AY1182" t="s">
        <v>5017</v>
      </c>
      <c r="AZ1182" t="s">
        <v>1402</v>
      </c>
      <c r="BA1182" t="s">
        <v>1403</v>
      </c>
      <c r="BE1182" s="3">
        <v>42290</v>
      </c>
      <c r="BF1182" s="1">
        <v>630000</v>
      </c>
      <c r="BG1182" t="s">
        <v>7985</v>
      </c>
      <c r="BH1182" s="1">
        <v>191.31</v>
      </c>
      <c r="BI1182" s="1">
        <v>576750</v>
      </c>
      <c r="BJ1182" s="3">
        <v>42290</v>
      </c>
      <c r="BK1182" t="s">
        <v>123</v>
      </c>
      <c r="BL1182" t="str">
        <f>"2015.734426"</f>
        <v>2015.734426</v>
      </c>
      <c r="BM1182" t="s">
        <v>1185</v>
      </c>
      <c r="BO1182" t="s">
        <v>7986</v>
      </c>
      <c r="BS1182">
        <v>30</v>
      </c>
      <c r="BW1182" t="str">
        <f>""</f>
        <v/>
      </c>
      <c r="CH1182" t="str">
        <f>""</f>
        <v/>
      </c>
      <c r="CS1182" t="str">
        <f>""</f>
        <v/>
      </c>
    </row>
    <row r="1183" spans="1:97" x14ac:dyDescent="0.25">
      <c r="A1183" t="s">
        <v>589</v>
      </c>
      <c r="B1183" t="s">
        <v>7987</v>
      </c>
      <c r="C1183" t="s">
        <v>7988</v>
      </c>
      <c r="D1183" t="s">
        <v>7989</v>
      </c>
      <c r="E1183" t="s">
        <v>7990</v>
      </c>
      <c r="F1183" t="s">
        <v>108</v>
      </c>
      <c r="H1183" t="s">
        <v>7991</v>
      </c>
      <c r="I1183" t="s">
        <v>390</v>
      </c>
      <c r="J1183" t="s">
        <v>111</v>
      </c>
      <c r="K1183" t="str">
        <f>"85050"</f>
        <v>85050</v>
      </c>
      <c r="L1183" t="s">
        <v>7992</v>
      </c>
      <c r="M1183" t="s">
        <v>7991</v>
      </c>
      <c r="N1183" t="s">
        <v>390</v>
      </c>
      <c r="O1183" t="s">
        <v>111</v>
      </c>
      <c r="P1183" t="str">
        <f>"85050-5425"</f>
        <v>85050-5425</v>
      </c>
      <c r="Q1183" t="s">
        <v>113</v>
      </c>
      <c r="R1183" t="str">
        <f>"212-38-120"</f>
        <v>212-38-120</v>
      </c>
      <c r="S1183" t="s">
        <v>7993</v>
      </c>
      <c r="T1183" t="s">
        <v>7994</v>
      </c>
      <c r="U1183">
        <v>3583</v>
      </c>
      <c r="V1183">
        <v>0</v>
      </c>
      <c r="W1183">
        <v>5</v>
      </c>
      <c r="X1183">
        <v>2004</v>
      </c>
      <c r="Z1183">
        <v>2</v>
      </c>
      <c r="AA1183" t="s">
        <v>26</v>
      </c>
      <c r="AB1183">
        <v>0</v>
      </c>
      <c r="AC1183" t="s">
        <v>115</v>
      </c>
      <c r="AD1183">
        <v>3</v>
      </c>
      <c r="AE1183" t="s">
        <v>115</v>
      </c>
      <c r="AF1183">
        <v>0</v>
      </c>
      <c r="AG1183">
        <v>0</v>
      </c>
      <c r="AH1183" t="s">
        <v>116</v>
      </c>
      <c r="AI1183" s="1">
        <v>205413</v>
      </c>
      <c r="AJ1183" s="2">
        <v>0.3</v>
      </c>
      <c r="AK1183" s="1">
        <v>688713</v>
      </c>
      <c r="AL1183" t="s">
        <v>117</v>
      </c>
      <c r="AM1183" t="s">
        <v>760</v>
      </c>
      <c r="AN1183">
        <v>7200</v>
      </c>
      <c r="AO1183">
        <v>0.16</v>
      </c>
      <c r="AP1183">
        <v>1</v>
      </c>
      <c r="AR1183">
        <v>1</v>
      </c>
      <c r="AS1183" s="1">
        <v>52520</v>
      </c>
      <c r="AT1183" s="1">
        <v>10500</v>
      </c>
      <c r="AU1183" s="1">
        <v>42020</v>
      </c>
      <c r="AV1183">
        <v>80.010000000000005</v>
      </c>
      <c r="AX1183" s="1">
        <v>5198.8599999999997</v>
      </c>
      <c r="AY1183" t="s">
        <v>7995</v>
      </c>
      <c r="AZ1183" t="s">
        <v>6352</v>
      </c>
      <c r="BA1183" t="s">
        <v>762</v>
      </c>
      <c r="BE1183" s="3">
        <v>42535</v>
      </c>
      <c r="BF1183" s="1">
        <v>600000</v>
      </c>
      <c r="BG1183" t="s">
        <v>7996</v>
      </c>
      <c r="BH1183" s="1">
        <v>167.46</v>
      </c>
      <c r="BI1183" s="1">
        <v>483300</v>
      </c>
      <c r="BJ1183" s="3">
        <v>42535</v>
      </c>
      <c r="BK1183" t="s">
        <v>123</v>
      </c>
      <c r="BL1183" t="str">
        <f>"2016.412154"</f>
        <v>2016.412154</v>
      </c>
      <c r="BM1183" t="s">
        <v>699</v>
      </c>
      <c r="BO1183" t="s">
        <v>7997</v>
      </c>
      <c r="BP1183" t="s">
        <v>7998</v>
      </c>
      <c r="BS1183">
        <v>30</v>
      </c>
      <c r="BW1183" t="str">
        <f>""</f>
        <v/>
      </c>
      <c r="CH1183" t="str">
        <f>""</f>
        <v/>
      </c>
      <c r="CS1183" t="str">
        <f>""</f>
        <v/>
      </c>
    </row>
    <row r="1184" spans="1:97" x14ac:dyDescent="0.25">
      <c r="A1184" t="s">
        <v>4174</v>
      </c>
      <c r="B1184" t="s">
        <v>7999</v>
      </c>
      <c r="C1184" t="s">
        <v>670</v>
      </c>
      <c r="D1184" t="s">
        <v>7999</v>
      </c>
      <c r="E1184" t="s">
        <v>8000</v>
      </c>
      <c r="F1184" t="s">
        <v>108</v>
      </c>
      <c r="H1184" t="s">
        <v>8001</v>
      </c>
      <c r="I1184" t="s">
        <v>188</v>
      </c>
      <c r="J1184" t="s">
        <v>111</v>
      </c>
      <c r="K1184" t="str">
        <f>"85142"</f>
        <v>85142</v>
      </c>
      <c r="L1184" t="s">
        <v>3885</v>
      </c>
      <c r="M1184" t="s">
        <v>8001</v>
      </c>
      <c r="N1184" t="s">
        <v>188</v>
      </c>
      <c r="O1184" t="s">
        <v>111</v>
      </c>
      <c r="P1184" t="str">
        <f>"85142-9235"</f>
        <v>85142-9235</v>
      </c>
      <c r="Q1184" t="s">
        <v>113</v>
      </c>
      <c r="R1184" t="str">
        <f>"304-91-232"</f>
        <v>304-91-232</v>
      </c>
      <c r="S1184" t="s">
        <v>8002</v>
      </c>
      <c r="T1184" t="s">
        <v>8003</v>
      </c>
      <c r="U1184">
        <v>2854</v>
      </c>
      <c r="V1184">
        <v>0</v>
      </c>
      <c r="W1184">
        <v>3</v>
      </c>
      <c r="X1184">
        <v>2002</v>
      </c>
      <c r="Z1184">
        <v>1</v>
      </c>
      <c r="AA1184" t="s">
        <v>26</v>
      </c>
      <c r="AB1184">
        <v>0</v>
      </c>
      <c r="AC1184" t="s">
        <v>115</v>
      </c>
      <c r="AD1184">
        <v>4</v>
      </c>
      <c r="AE1184" t="s">
        <v>115</v>
      </c>
      <c r="AF1184">
        <v>0</v>
      </c>
      <c r="AG1184">
        <v>0</v>
      </c>
      <c r="AH1184" t="s">
        <v>116</v>
      </c>
      <c r="AI1184" s="1">
        <v>112090</v>
      </c>
      <c r="AJ1184" s="2">
        <v>0.18</v>
      </c>
      <c r="AK1184" s="1">
        <v>625090</v>
      </c>
      <c r="AL1184" t="s">
        <v>117</v>
      </c>
      <c r="AM1184" t="s">
        <v>3973</v>
      </c>
      <c r="AN1184">
        <v>36263</v>
      </c>
      <c r="AO1184">
        <v>0.83</v>
      </c>
      <c r="AP1184">
        <v>1</v>
      </c>
      <c r="AR1184">
        <v>1</v>
      </c>
      <c r="AS1184" s="1">
        <v>45150</v>
      </c>
      <c r="AT1184" s="1">
        <v>9030</v>
      </c>
      <c r="AU1184" s="1">
        <v>36120</v>
      </c>
      <c r="AV1184">
        <v>80</v>
      </c>
      <c r="AX1184" s="1">
        <v>5702.02</v>
      </c>
      <c r="AY1184" t="s">
        <v>1074</v>
      </c>
      <c r="AZ1184" t="s">
        <v>193</v>
      </c>
      <c r="BA1184" t="s">
        <v>194</v>
      </c>
      <c r="BE1184" s="3">
        <v>41759</v>
      </c>
      <c r="BF1184" s="1">
        <v>475000</v>
      </c>
      <c r="BG1184" t="s">
        <v>8004</v>
      </c>
      <c r="BH1184" s="1">
        <v>166.43</v>
      </c>
      <c r="BI1184" s="1">
        <v>473000</v>
      </c>
      <c r="BJ1184" s="3">
        <v>42067</v>
      </c>
      <c r="BK1184" t="s">
        <v>123</v>
      </c>
      <c r="BL1184" t="str">
        <f>"2015.144480"</f>
        <v>2015.144480</v>
      </c>
      <c r="BM1184" t="s">
        <v>1998</v>
      </c>
      <c r="BN1184" t="s">
        <v>3763</v>
      </c>
      <c r="BO1184" t="s">
        <v>8005</v>
      </c>
      <c r="BS1184">
        <v>30</v>
      </c>
      <c r="BT1184" s="1">
        <v>40000</v>
      </c>
      <c r="BU1184" s="3">
        <v>43290</v>
      </c>
      <c r="BW1184" t="str">
        <f>"2018.515965"</f>
        <v>2018.515965</v>
      </c>
      <c r="BX1184" t="s">
        <v>8006</v>
      </c>
      <c r="BY1184" t="s">
        <v>8007</v>
      </c>
      <c r="BZ1184" t="s">
        <v>8008</v>
      </c>
      <c r="CA1184" t="s">
        <v>8009</v>
      </c>
      <c r="CC1184" t="s">
        <v>346</v>
      </c>
      <c r="CH1184" t="str">
        <f>""</f>
        <v/>
      </c>
      <c r="CS1184" t="str">
        <f>""</f>
        <v/>
      </c>
    </row>
    <row r="1185" spans="1:97" x14ac:dyDescent="0.25">
      <c r="A1185" t="s">
        <v>1444</v>
      </c>
      <c r="B1185" t="s">
        <v>1082</v>
      </c>
      <c r="C1185" t="s">
        <v>2761</v>
      </c>
      <c r="D1185" t="s">
        <v>1082</v>
      </c>
      <c r="E1185" t="s">
        <v>8010</v>
      </c>
      <c r="F1185" t="s">
        <v>139</v>
      </c>
      <c r="H1185" t="s">
        <v>8011</v>
      </c>
      <c r="I1185" t="s">
        <v>1936</v>
      </c>
      <c r="J1185" t="s">
        <v>111</v>
      </c>
      <c r="K1185" t="str">
        <f>"85260"</f>
        <v>85260</v>
      </c>
      <c r="L1185" t="s">
        <v>5106</v>
      </c>
      <c r="M1185" t="s">
        <v>8012</v>
      </c>
      <c r="N1185" t="s">
        <v>1936</v>
      </c>
      <c r="O1185" t="s">
        <v>111</v>
      </c>
      <c r="P1185" t="str">
        <f>"85260-8864"</f>
        <v>85260-8864</v>
      </c>
      <c r="Q1185" t="s">
        <v>113</v>
      </c>
      <c r="R1185" t="str">
        <f>"217-50-796"</f>
        <v>217-50-796</v>
      </c>
      <c r="S1185" t="s">
        <v>8013</v>
      </c>
      <c r="T1185" t="s">
        <v>8013</v>
      </c>
      <c r="U1185">
        <v>4509</v>
      </c>
      <c r="V1185">
        <v>0</v>
      </c>
      <c r="W1185">
        <v>6</v>
      </c>
      <c r="X1185">
        <v>2004</v>
      </c>
      <c r="Z1185">
        <v>1</v>
      </c>
      <c r="AA1185" t="s">
        <v>26</v>
      </c>
      <c r="AB1185">
        <v>0</v>
      </c>
      <c r="AC1185" t="s">
        <v>115</v>
      </c>
      <c r="AD1185">
        <v>3</v>
      </c>
      <c r="AE1185" t="s">
        <v>115</v>
      </c>
      <c r="AF1185">
        <v>0</v>
      </c>
      <c r="AG1185">
        <v>0</v>
      </c>
      <c r="AH1185" t="s">
        <v>116</v>
      </c>
      <c r="AI1185" s="1">
        <v>466373</v>
      </c>
      <c r="AJ1185" s="2">
        <v>0.43</v>
      </c>
      <c r="AK1185" s="1">
        <v>1094123</v>
      </c>
      <c r="AL1185" t="s">
        <v>117</v>
      </c>
      <c r="AM1185" t="s">
        <v>1302</v>
      </c>
      <c r="AN1185">
        <v>14775</v>
      </c>
      <c r="AO1185">
        <v>0.34</v>
      </c>
      <c r="AP1185">
        <v>1</v>
      </c>
      <c r="AR1185">
        <v>1</v>
      </c>
      <c r="AS1185" s="1">
        <v>86970</v>
      </c>
      <c r="AT1185" s="1">
        <v>17390</v>
      </c>
      <c r="AU1185" s="1">
        <v>69580</v>
      </c>
      <c r="AV1185">
        <v>80</v>
      </c>
      <c r="AX1185" s="1">
        <v>6423.2</v>
      </c>
      <c r="AY1185" t="s">
        <v>5904</v>
      </c>
      <c r="AZ1185" t="s">
        <v>5420</v>
      </c>
      <c r="BA1185" t="s">
        <v>5763</v>
      </c>
      <c r="BE1185" s="3">
        <v>42516</v>
      </c>
      <c r="BF1185" s="1">
        <v>970000</v>
      </c>
      <c r="BG1185" t="s">
        <v>8014</v>
      </c>
      <c r="BH1185" s="1">
        <v>215.13</v>
      </c>
      <c r="BI1185" s="1">
        <v>627750</v>
      </c>
      <c r="BJ1185" s="3">
        <v>42516</v>
      </c>
      <c r="BK1185" t="s">
        <v>123</v>
      </c>
      <c r="BL1185" t="str">
        <f>"2016.363172"</f>
        <v>2016.363172</v>
      </c>
      <c r="BM1185" t="s">
        <v>544</v>
      </c>
      <c r="BO1185" t="s">
        <v>8015</v>
      </c>
      <c r="BS1185">
        <v>30</v>
      </c>
      <c r="BW1185" t="str">
        <f>""</f>
        <v/>
      </c>
      <c r="CH1185" t="str">
        <f>""</f>
        <v/>
      </c>
      <c r="CS1185" t="str">
        <f>""</f>
        <v/>
      </c>
    </row>
    <row r="1186" spans="1:97" x14ac:dyDescent="0.25">
      <c r="A1186" t="s">
        <v>325</v>
      </c>
      <c r="B1186" t="s">
        <v>8016</v>
      </c>
      <c r="C1186" t="s">
        <v>1423</v>
      </c>
      <c r="D1186" t="s">
        <v>8017</v>
      </c>
      <c r="E1186" t="s">
        <v>8018</v>
      </c>
      <c r="F1186" t="s">
        <v>108</v>
      </c>
      <c r="H1186" t="s">
        <v>8019</v>
      </c>
      <c r="I1186" t="s">
        <v>203</v>
      </c>
      <c r="J1186" t="s">
        <v>111</v>
      </c>
      <c r="K1186" t="str">
        <f>"85297"</f>
        <v>85297</v>
      </c>
      <c r="L1186" t="s">
        <v>7725</v>
      </c>
      <c r="M1186" t="s">
        <v>8019</v>
      </c>
      <c r="N1186" t="s">
        <v>203</v>
      </c>
      <c r="O1186" t="s">
        <v>111</v>
      </c>
      <c r="P1186" t="str">
        <f>"85297-8378"</f>
        <v>85297-8378</v>
      </c>
      <c r="Q1186" t="s">
        <v>113</v>
      </c>
      <c r="R1186" t="str">
        <f>"313-02-038"</f>
        <v>313-02-038</v>
      </c>
      <c r="S1186" t="s">
        <v>8020</v>
      </c>
      <c r="T1186" t="s">
        <v>8021</v>
      </c>
      <c r="U1186">
        <v>2203</v>
      </c>
      <c r="V1186">
        <v>0</v>
      </c>
      <c r="W1186">
        <v>4</v>
      </c>
      <c r="X1186">
        <v>2002</v>
      </c>
      <c r="Z1186">
        <v>2</v>
      </c>
      <c r="AB1186">
        <v>0</v>
      </c>
      <c r="AC1186" t="s">
        <v>115</v>
      </c>
      <c r="AD1186">
        <v>2</v>
      </c>
      <c r="AE1186" t="s">
        <v>115</v>
      </c>
      <c r="AF1186">
        <v>0</v>
      </c>
      <c r="AG1186">
        <v>0</v>
      </c>
      <c r="AH1186" t="s">
        <v>116</v>
      </c>
      <c r="AI1186" s="1">
        <v>45328</v>
      </c>
      <c r="AJ1186" s="2">
        <v>0.13</v>
      </c>
      <c r="AK1186" s="1">
        <v>345328</v>
      </c>
      <c r="AL1186" t="s">
        <v>117</v>
      </c>
      <c r="AM1186" t="s">
        <v>191</v>
      </c>
      <c r="AN1186">
        <v>8266</v>
      </c>
      <c r="AO1186">
        <v>0.19</v>
      </c>
      <c r="AP1186">
        <v>1</v>
      </c>
      <c r="AR1186">
        <v>1</v>
      </c>
      <c r="AS1186" s="1">
        <v>23580</v>
      </c>
      <c r="AT1186" s="1">
        <v>4710</v>
      </c>
      <c r="AU1186" s="1">
        <v>18870</v>
      </c>
      <c r="AV1186">
        <v>80.03</v>
      </c>
      <c r="AX1186" s="1">
        <v>1918.9</v>
      </c>
      <c r="AY1186" t="s">
        <v>289</v>
      </c>
      <c r="AZ1186" t="s">
        <v>289</v>
      </c>
      <c r="BA1186" t="s">
        <v>290</v>
      </c>
      <c r="BE1186" s="3">
        <v>42517</v>
      </c>
      <c r="BF1186" s="1">
        <v>279900</v>
      </c>
      <c r="BG1186" t="s">
        <v>8022</v>
      </c>
      <c r="BH1186" s="1">
        <v>127.05</v>
      </c>
      <c r="BI1186" s="1">
        <v>300000</v>
      </c>
      <c r="BJ1186" s="3">
        <v>43052</v>
      </c>
      <c r="BK1186" t="s">
        <v>123</v>
      </c>
      <c r="BL1186" t="str">
        <f>"2017.838965"</f>
        <v>2017.838965</v>
      </c>
      <c r="BM1186" t="s">
        <v>361</v>
      </c>
      <c r="BO1186" t="s">
        <v>8023</v>
      </c>
      <c r="BP1186" t="s">
        <v>8024</v>
      </c>
      <c r="BS1186">
        <v>30</v>
      </c>
      <c r="BW1186" t="str">
        <f>""</f>
        <v/>
      </c>
      <c r="CH1186" t="str">
        <f>""</f>
        <v/>
      </c>
      <c r="CS1186" t="str">
        <f>""</f>
        <v/>
      </c>
    </row>
    <row r="1187" spans="1:97" x14ac:dyDescent="0.25">
      <c r="A1187" t="s">
        <v>1666</v>
      </c>
      <c r="B1187" t="s">
        <v>8025</v>
      </c>
      <c r="E1187" t="s">
        <v>8026</v>
      </c>
      <c r="F1187" t="s">
        <v>108</v>
      </c>
      <c r="H1187" t="s">
        <v>8027</v>
      </c>
      <c r="I1187" t="s">
        <v>110</v>
      </c>
      <c r="J1187" t="s">
        <v>111</v>
      </c>
      <c r="K1187" t="str">
        <f>"85225"</f>
        <v>85225</v>
      </c>
      <c r="L1187" t="s">
        <v>6169</v>
      </c>
      <c r="M1187" t="s">
        <v>8027</v>
      </c>
      <c r="N1187" t="s">
        <v>110</v>
      </c>
      <c r="O1187" t="s">
        <v>111</v>
      </c>
      <c r="P1187" t="str">
        <f>"85225-2003"</f>
        <v>85225-2003</v>
      </c>
      <c r="Q1187" t="s">
        <v>113</v>
      </c>
      <c r="R1187" t="str">
        <f>"303-82-383"</f>
        <v>303-82-383</v>
      </c>
      <c r="S1187" t="s">
        <v>8028</v>
      </c>
      <c r="T1187" t="s">
        <v>8029</v>
      </c>
      <c r="U1187">
        <v>1427</v>
      </c>
      <c r="V1187">
        <v>0</v>
      </c>
      <c r="W1187">
        <v>3</v>
      </c>
      <c r="X1187">
        <v>1999</v>
      </c>
      <c r="Z1187">
        <v>1</v>
      </c>
      <c r="AB1187">
        <v>0</v>
      </c>
      <c r="AC1187" t="s">
        <v>115</v>
      </c>
      <c r="AD1187">
        <v>2</v>
      </c>
      <c r="AE1187" t="s">
        <v>115</v>
      </c>
      <c r="AF1187">
        <v>0</v>
      </c>
      <c r="AG1187">
        <v>0</v>
      </c>
      <c r="AH1187" t="s">
        <v>116</v>
      </c>
      <c r="AI1187" s="1">
        <v>64174</v>
      </c>
      <c r="AJ1187" s="2">
        <v>0.24</v>
      </c>
      <c r="AK1187" s="1">
        <v>267158</v>
      </c>
      <c r="AL1187" t="s">
        <v>117</v>
      </c>
      <c r="AM1187" t="s">
        <v>118</v>
      </c>
      <c r="AN1187">
        <v>4314</v>
      </c>
      <c r="AO1187">
        <v>0.99</v>
      </c>
      <c r="AP1187">
        <v>1</v>
      </c>
      <c r="AR1187">
        <v>1</v>
      </c>
      <c r="AS1187" s="1">
        <v>18260</v>
      </c>
      <c r="AT1187" s="1">
        <v>3650</v>
      </c>
      <c r="AU1187" s="1">
        <v>14610</v>
      </c>
      <c r="AV1187">
        <v>80.010000000000005</v>
      </c>
      <c r="AX1187" s="1">
        <v>1302.04</v>
      </c>
      <c r="AY1187" t="s">
        <v>5650</v>
      </c>
      <c r="AZ1187" t="s">
        <v>2906</v>
      </c>
      <c r="BA1187" t="s">
        <v>303</v>
      </c>
      <c r="BE1187" s="3">
        <v>42313</v>
      </c>
      <c r="BF1187" s="1">
        <v>196500</v>
      </c>
      <c r="BG1187" t="s">
        <v>8030</v>
      </c>
      <c r="BH1187" s="1">
        <v>137.69999999999999</v>
      </c>
      <c r="BI1187" s="1">
        <v>202984</v>
      </c>
      <c r="BJ1187" s="3">
        <v>42313</v>
      </c>
      <c r="BK1187" t="s">
        <v>123</v>
      </c>
      <c r="BL1187" t="str">
        <f>"2015.796580"</f>
        <v>2015.796580</v>
      </c>
      <c r="BM1187" t="s">
        <v>1033</v>
      </c>
      <c r="BO1187" t="s">
        <v>8031</v>
      </c>
      <c r="BS1187">
        <v>30</v>
      </c>
      <c r="BW1187" t="str">
        <f>""</f>
        <v/>
      </c>
      <c r="CH1187" t="str">
        <f>""</f>
        <v/>
      </c>
      <c r="CS1187" t="str">
        <f>""</f>
        <v/>
      </c>
    </row>
    <row r="1188" spans="1:97" x14ac:dyDescent="0.25">
      <c r="A1188" t="s">
        <v>2099</v>
      </c>
      <c r="B1188" t="s">
        <v>3580</v>
      </c>
      <c r="C1188" t="s">
        <v>2374</v>
      </c>
      <c r="D1188" t="s">
        <v>3580</v>
      </c>
      <c r="E1188" t="s">
        <v>8032</v>
      </c>
      <c r="F1188" t="s">
        <v>108</v>
      </c>
      <c r="H1188" t="s">
        <v>8033</v>
      </c>
      <c r="I1188" t="s">
        <v>390</v>
      </c>
      <c r="J1188" t="s">
        <v>111</v>
      </c>
      <c r="K1188" t="str">
        <f>"85050"</f>
        <v>85050</v>
      </c>
      <c r="L1188" t="s">
        <v>8034</v>
      </c>
      <c r="M1188" t="s">
        <v>8033</v>
      </c>
      <c r="N1188" t="s">
        <v>390</v>
      </c>
      <c r="O1188" t="s">
        <v>111</v>
      </c>
      <c r="P1188" t="str">
        <f>"85050-3720"</f>
        <v>85050-3720</v>
      </c>
      <c r="Q1188" t="s">
        <v>113</v>
      </c>
      <c r="R1188" t="str">
        <f>"215-01-048"</f>
        <v>215-01-048</v>
      </c>
      <c r="S1188" t="s">
        <v>8035</v>
      </c>
      <c r="T1188" t="s">
        <v>8036</v>
      </c>
      <c r="U1188">
        <v>1593</v>
      </c>
      <c r="V1188">
        <v>0</v>
      </c>
      <c r="W1188">
        <v>2</v>
      </c>
      <c r="X1188">
        <v>1987</v>
      </c>
      <c r="Z1188">
        <v>1</v>
      </c>
      <c r="AB1188">
        <v>0</v>
      </c>
      <c r="AC1188" t="s">
        <v>115</v>
      </c>
      <c r="AD1188">
        <v>2</v>
      </c>
      <c r="AE1188" t="s">
        <v>115</v>
      </c>
      <c r="AF1188">
        <v>0</v>
      </c>
      <c r="AG1188">
        <v>0</v>
      </c>
      <c r="AH1188" t="s">
        <v>116</v>
      </c>
      <c r="AI1188" s="1">
        <v>69435</v>
      </c>
      <c r="AJ1188" s="2">
        <v>0.21</v>
      </c>
      <c r="AK1188" s="1">
        <v>325795</v>
      </c>
      <c r="AL1188" t="s">
        <v>117</v>
      </c>
      <c r="AM1188" t="s">
        <v>191</v>
      </c>
      <c r="AN1188">
        <v>7905</v>
      </c>
      <c r="AO1188">
        <v>0.18</v>
      </c>
      <c r="AP1188">
        <v>1</v>
      </c>
      <c r="AR1188">
        <v>1</v>
      </c>
      <c r="AS1188" s="1">
        <v>22220</v>
      </c>
      <c r="AT1188" s="1">
        <v>4440</v>
      </c>
      <c r="AU1188" s="1">
        <v>17780</v>
      </c>
      <c r="AV1188">
        <v>80.02</v>
      </c>
      <c r="AX1188" s="1">
        <v>2084.2600000000002</v>
      </c>
      <c r="AY1188" t="s">
        <v>8037</v>
      </c>
      <c r="AZ1188" t="s">
        <v>2550</v>
      </c>
      <c r="BA1188" t="s">
        <v>1318</v>
      </c>
      <c r="BE1188" s="3">
        <v>41698</v>
      </c>
      <c r="BF1188" s="1">
        <v>245000</v>
      </c>
      <c r="BG1188" t="s">
        <v>8038</v>
      </c>
      <c r="BH1188" s="1">
        <v>153.80000000000001</v>
      </c>
      <c r="BI1188" s="1">
        <v>256360</v>
      </c>
      <c r="BJ1188" s="3">
        <v>42667</v>
      </c>
      <c r="BK1188" t="s">
        <v>123</v>
      </c>
      <c r="BL1188" t="str">
        <f>"2016.778519"</f>
        <v>2016.778519</v>
      </c>
      <c r="BM1188" t="s">
        <v>955</v>
      </c>
      <c r="BO1188" t="s">
        <v>8039</v>
      </c>
      <c r="BS1188">
        <v>30</v>
      </c>
      <c r="BW1188" t="str">
        <f>""</f>
        <v/>
      </c>
      <c r="CH1188" t="str">
        <f>""</f>
        <v/>
      </c>
      <c r="CS1188" t="str">
        <f>""</f>
        <v/>
      </c>
    </row>
    <row r="1189" spans="1:97" x14ac:dyDescent="0.25">
      <c r="A1189" t="s">
        <v>2006</v>
      </c>
      <c r="B1189" t="s">
        <v>2699</v>
      </c>
      <c r="C1189" t="s">
        <v>365</v>
      </c>
      <c r="D1189" t="s">
        <v>2699</v>
      </c>
      <c r="E1189" t="s">
        <v>8040</v>
      </c>
      <c r="F1189" t="s">
        <v>108</v>
      </c>
      <c r="H1189" t="s">
        <v>8041</v>
      </c>
      <c r="I1189" t="s">
        <v>453</v>
      </c>
      <c r="J1189" t="s">
        <v>111</v>
      </c>
      <c r="K1189" t="str">
        <f>"85345"</f>
        <v>85345</v>
      </c>
      <c r="L1189" t="s">
        <v>6145</v>
      </c>
      <c r="M1189" t="s">
        <v>8041</v>
      </c>
      <c r="N1189" t="s">
        <v>453</v>
      </c>
      <c r="O1189" t="s">
        <v>111</v>
      </c>
      <c r="P1189" t="str">
        <f>"85345-8200"</f>
        <v>85345-8200</v>
      </c>
      <c r="Q1189" t="s">
        <v>113</v>
      </c>
      <c r="R1189" t="str">
        <f>"142-01-029"</f>
        <v>142-01-029</v>
      </c>
      <c r="S1189" t="s">
        <v>7075</v>
      </c>
      <c r="T1189" t="s">
        <v>7076</v>
      </c>
      <c r="U1189">
        <v>1753</v>
      </c>
      <c r="V1189">
        <v>0</v>
      </c>
      <c r="W1189">
        <v>3</v>
      </c>
      <c r="X1189">
        <v>1984</v>
      </c>
      <c r="Z1189">
        <v>1</v>
      </c>
      <c r="AA1189" t="s">
        <v>26</v>
      </c>
      <c r="AB1189">
        <v>0</v>
      </c>
      <c r="AC1189" t="s">
        <v>115</v>
      </c>
      <c r="AD1189">
        <v>2</v>
      </c>
      <c r="AE1189" t="s">
        <v>115</v>
      </c>
      <c r="AF1189">
        <v>0</v>
      </c>
      <c r="AG1189">
        <v>0</v>
      </c>
      <c r="AH1189" t="s">
        <v>116</v>
      </c>
      <c r="AI1189" s="1">
        <v>54406</v>
      </c>
      <c r="AJ1189" s="2">
        <v>0.2</v>
      </c>
      <c r="AK1189" s="1">
        <v>272369</v>
      </c>
      <c r="AL1189" t="s">
        <v>117</v>
      </c>
      <c r="AM1189" t="s">
        <v>171</v>
      </c>
      <c r="AN1189">
        <v>9078</v>
      </c>
      <c r="AO1189">
        <v>0.21</v>
      </c>
      <c r="AP1189">
        <v>1</v>
      </c>
      <c r="AR1189">
        <v>1</v>
      </c>
      <c r="AS1189" s="1">
        <v>17760</v>
      </c>
      <c r="AT1189" s="1">
        <v>3550</v>
      </c>
      <c r="AU1189" s="1">
        <v>14210</v>
      </c>
      <c r="AV1189">
        <v>80.010000000000005</v>
      </c>
      <c r="AX1189" s="1">
        <v>1119.5</v>
      </c>
      <c r="AY1189" t="s">
        <v>7077</v>
      </c>
      <c r="AZ1189" t="s">
        <v>7077</v>
      </c>
      <c r="BA1189" t="s">
        <v>4007</v>
      </c>
      <c r="BE1189" s="3">
        <v>42159</v>
      </c>
      <c r="BF1189" s="1">
        <v>212850</v>
      </c>
      <c r="BG1189" t="s">
        <v>8042</v>
      </c>
      <c r="BH1189" s="1">
        <v>121.42</v>
      </c>
      <c r="BI1189" s="1">
        <v>217963</v>
      </c>
      <c r="BJ1189" s="3">
        <v>42159</v>
      </c>
      <c r="BK1189" t="s">
        <v>123</v>
      </c>
      <c r="BL1189" t="str">
        <f>"2015.399536"</f>
        <v>2015.399536</v>
      </c>
      <c r="BM1189" t="s">
        <v>594</v>
      </c>
      <c r="BO1189" t="s">
        <v>8043</v>
      </c>
      <c r="BS1189">
        <v>30</v>
      </c>
      <c r="BW1189" t="str">
        <f>""</f>
        <v/>
      </c>
      <c r="CH1189" t="str">
        <f>""</f>
        <v/>
      </c>
      <c r="CS1189" t="str">
        <f>""</f>
        <v/>
      </c>
    </row>
    <row r="1190" spans="1:97" x14ac:dyDescent="0.25">
      <c r="A1190" t="s">
        <v>8044</v>
      </c>
      <c r="B1190" t="s">
        <v>8045</v>
      </c>
      <c r="C1190" t="s">
        <v>3306</v>
      </c>
      <c r="D1190" t="s">
        <v>8045</v>
      </c>
      <c r="E1190" t="s">
        <v>8046</v>
      </c>
      <c r="F1190" t="s">
        <v>108</v>
      </c>
      <c r="H1190" t="s">
        <v>8047</v>
      </c>
      <c r="I1190" t="s">
        <v>453</v>
      </c>
      <c r="J1190" t="s">
        <v>111</v>
      </c>
      <c r="K1190" t="str">
        <f>"85345"</f>
        <v>85345</v>
      </c>
      <c r="L1190" t="s">
        <v>6964</v>
      </c>
      <c r="M1190" t="s">
        <v>8047</v>
      </c>
      <c r="N1190" t="s">
        <v>453</v>
      </c>
      <c r="O1190" t="s">
        <v>111</v>
      </c>
      <c r="P1190" t="str">
        <f>"85345-7889"</f>
        <v>85345-7889</v>
      </c>
      <c r="Q1190" t="s">
        <v>113</v>
      </c>
      <c r="R1190" t="str">
        <f>"142-32-383"</f>
        <v>142-32-383</v>
      </c>
      <c r="S1190" t="s">
        <v>8048</v>
      </c>
      <c r="T1190" t="s">
        <v>8048</v>
      </c>
      <c r="U1190">
        <v>2057</v>
      </c>
      <c r="V1190">
        <v>0</v>
      </c>
      <c r="W1190">
        <v>3</v>
      </c>
      <c r="X1190">
        <v>2000</v>
      </c>
      <c r="Z1190">
        <v>1</v>
      </c>
      <c r="AB1190">
        <v>0</v>
      </c>
      <c r="AC1190" t="s">
        <v>115</v>
      </c>
      <c r="AD1190">
        <v>3</v>
      </c>
      <c r="AE1190" t="s">
        <v>115</v>
      </c>
      <c r="AF1190">
        <v>0</v>
      </c>
      <c r="AG1190">
        <v>0</v>
      </c>
      <c r="AH1190" t="s">
        <v>116</v>
      </c>
      <c r="AI1190" s="1">
        <v>54762</v>
      </c>
      <c r="AJ1190" s="2">
        <v>0.19</v>
      </c>
      <c r="AK1190" s="1">
        <v>293385</v>
      </c>
      <c r="AL1190" t="s">
        <v>117</v>
      </c>
      <c r="AM1190" t="s">
        <v>171</v>
      </c>
      <c r="AN1190">
        <v>8290</v>
      </c>
      <c r="AO1190">
        <v>0.19</v>
      </c>
      <c r="AP1190">
        <v>1</v>
      </c>
      <c r="AR1190">
        <v>1</v>
      </c>
      <c r="AS1190" s="1">
        <v>20430</v>
      </c>
      <c r="AT1190" s="1">
        <v>4080</v>
      </c>
      <c r="AU1190" s="1">
        <v>16350</v>
      </c>
      <c r="AV1190">
        <v>80.03</v>
      </c>
      <c r="AX1190" s="1">
        <v>1442.88</v>
      </c>
      <c r="AY1190" t="s">
        <v>6944</v>
      </c>
      <c r="AZ1190" t="s">
        <v>6944</v>
      </c>
      <c r="BA1190" t="s">
        <v>6945</v>
      </c>
      <c r="BE1190" s="3">
        <v>41817</v>
      </c>
      <c r="BF1190" s="1">
        <v>206000</v>
      </c>
      <c r="BG1190" t="s">
        <v>8049</v>
      </c>
      <c r="BH1190" s="1">
        <v>100.15</v>
      </c>
      <c r="BI1190" s="1">
        <v>238623</v>
      </c>
      <c r="BJ1190" s="3">
        <v>43020</v>
      </c>
      <c r="BK1190" t="s">
        <v>123</v>
      </c>
      <c r="BL1190" t="str">
        <f>"2017.757296"</f>
        <v>2017.757296</v>
      </c>
      <c r="BM1190" t="s">
        <v>1718</v>
      </c>
      <c r="BO1190" t="s">
        <v>8050</v>
      </c>
      <c r="BS1190">
        <v>30</v>
      </c>
      <c r="BW1190" t="str">
        <f>""</f>
        <v/>
      </c>
      <c r="CH1190" t="str">
        <f>""</f>
        <v/>
      </c>
      <c r="CS1190" t="str">
        <f>""</f>
        <v/>
      </c>
    </row>
    <row r="1191" spans="1:97" x14ac:dyDescent="0.25">
      <c r="A1191" t="s">
        <v>7343</v>
      </c>
      <c r="B1191" t="s">
        <v>8051</v>
      </c>
      <c r="C1191" t="s">
        <v>4588</v>
      </c>
      <c r="D1191" t="s">
        <v>8051</v>
      </c>
      <c r="E1191" t="s">
        <v>8052</v>
      </c>
      <c r="F1191" t="s">
        <v>108</v>
      </c>
      <c r="H1191" t="s">
        <v>8053</v>
      </c>
      <c r="I1191" t="s">
        <v>5114</v>
      </c>
      <c r="J1191" t="s">
        <v>111</v>
      </c>
      <c r="K1191" t="str">
        <f>"85392"</f>
        <v>85392</v>
      </c>
      <c r="L1191" t="s">
        <v>6964</v>
      </c>
      <c r="M1191" t="s">
        <v>8053</v>
      </c>
      <c r="N1191" t="s">
        <v>5114</v>
      </c>
      <c r="O1191" t="s">
        <v>111</v>
      </c>
      <c r="P1191" t="str">
        <f>"85392-3028"</f>
        <v>85392-3028</v>
      </c>
      <c r="Q1191" t="s">
        <v>113</v>
      </c>
      <c r="R1191" t="str">
        <f>"501-74-683"</f>
        <v>501-74-683</v>
      </c>
      <c r="S1191" t="s">
        <v>8054</v>
      </c>
      <c r="T1191" t="s">
        <v>8055</v>
      </c>
      <c r="U1191">
        <v>1680</v>
      </c>
      <c r="V1191">
        <v>0</v>
      </c>
      <c r="W1191">
        <v>3</v>
      </c>
      <c r="X1191">
        <v>1999</v>
      </c>
      <c r="Z1191">
        <v>1</v>
      </c>
      <c r="AA1191" t="s">
        <v>26</v>
      </c>
      <c r="AB1191">
        <v>0</v>
      </c>
      <c r="AC1191" t="s">
        <v>115</v>
      </c>
      <c r="AD1191">
        <v>2</v>
      </c>
      <c r="AE1191" t="s">
        <v>115</v>
      </c>
      <c r="AF1191">
        <v>0</v>
      </c>
      <c r="AG1191">
        <v>0</v>
      </c>
      <c r="AH1191" t="s">
        <v>116</v>
      </c>
      <c r="AI1191" s="1">
        <v>37511</v>
      </c>
      <c r="AJ1191" s="2">
        <v>0.14000000000000001</v>
      </c>
      <c r="AK1191" s="1">
        <v>262188</v>
      </c>
      <c r="AL1191" t="s">
        <v>117</v>
      </c>
      <c r="AM1191" t="s">
        <v>118</v>
      </c>
      <c r="AN1191">
        <v>11324</v>
      </c>
      <c r="AO1191">
        <v>0.26</v>
      </c>
      <c r="AP1191">
        <v>1</v>
      </c>
      <c r="AR1191">
        <v>1</v>
      </c>
      <c r="AS1191" s="1">
        <v>18150</v>
      </c>
      <c r="AT1191" s="1">
        <v>3630</v>
      </c>
      <c r="AU1191" s="1">
        <v>14520</v>
      </c>
      <c r="AV1191">
        <v>80</v>
      </c>
      <c r="AX1191" s="1">
        <v>1708.92</v>
      </c>
      <c r="AY1191" t="s">
        <v>5117</v>
      </c>
      <c r="AZ1191" t="s">
        <v>5117</v>
      </c>
      <c r="BA1191" t="s">
        <v>5118</v>
      </c>
      <c r="BE1191" s="3">
        <v>42199</v>
      </c>
      <c r="BF1191" s="1">
        <v>186000</v>
      </c>
      <c r="BG1191" t="s">
        <v>8056</v>
      </c>
      <c r="BH1191" s="1">
        <v>110.71</v>
      </c>
      <c r="BI1191" s="1">
        <v>224677</v>
      </c>
      <c r="BJ1191" s="3">
        <v>43539</v>
      </c>
      <c r="BK1191" t="s">
        <v>123</v>
      </c>
      <c r="BL1191" t="str">
        <f>"2019.182628"</f>
        <v>2019.182628</v>
      </c>
      <c r="BM1191" t="s">
        <v>5534</v>
      </c>
      <c r="BN1191" t="s">
        <v>6390</v>
      </c>
      <c r="BO1191" t="s">
        <v>8057</v>
      </c>
      <c r="BP1191" t="s">
        <v>8058</v>
      </c>
      <c r="BR1191" t="s">
        <v>139</v>
      </c>
      <c r="BW1191" t="str">
        <f>""</f>
        <v/>
      </c>
      <c r="CH1191" t="str">
        <f>""</f>
        <v/>
      </c>
      <c r="CS1191" t="str">
        <f>""</f>
        <v/>
      </c>
    </row>
    <row r="1192" spans="1:97" x14ac:dyDescent="0.25">
      <c r="A1192" t="s">
        <v>8059</v>
      </c>
      <c r="B1192" t="s">
        <v>8060</v>
      </c>
      <c r="C1192" t="s">
        <v>7602</v>
      </c>
      <c r="D1192" t="s">
        <v>8060</v>
      </c>
      <c r="E1192" t="s">
        <v>8061</v>
      </c>
      <c r="F1192" t="s">
        <v>108</v>
      </c>
      <c r="H1192" t="s">
        <v>8062</v>
      </c>
      <c r="I1192" t="s">
        <v>4251</v>
      </c>
      <c r="J1192" t="s">
        <v>111</v>
      </c>
      <c r="K1192" t="str">
        <f>"85353"</f>
        <v>85353</v>
      </c>
      <c r="L1192" t="s">
        <v>3758</v>
      </c>
      <c r="M1192" t="s">
        <v>8062</v>
      </c>
      <c r="N1192" t="s">
        <v>4251</v>
      </c>
      <c r="O1192" t="s">
        <v>111</v>
      </c>
      <c r="P1192" t="str">
        <f>"85353-7679"</f>
        <v>85353-7679</v>
      </c>
      <c r="Q1192" t="s">
        <v>113</v>
      </c>
      <c r="R1192" t="str">
        <f>"101-25-756"</f>
        <v>101-25-756</v>
      </c>
      <c r="S1192" t="s">
        <v>5149</v>
      </c>
      <c r="T1192" t="s">
        <v>5149</v>
      </c>
      <c r="U1192">
        <v>3241</v>
      </c>
      <c r="V1192">
        <v>0</v>
      </c>
      <c r="W1192">
        <v>4</v>
      </c>
      <c r="X1192">
        <v>2015</v>
      </c>
      <c r="Z1192">
        <v>1</v>
      </c>
      <c r="AA1192" t="s">
        <v>26</v>
      </c>
      <c r="AB1192">
        <v>0</v>
      </c>
      <c r="AC1192" t="s">
        <v>115</v>
      </c>
      <c r="AD1192">
        <v>2</v>
      </c>
      <c r="AE1192" t="s">
        <v>115</v>
      </c>
      <c r="AF1192">
        <v>0</v>
      </c>
      <c r="AG1192">
        <v>0</v>
      </c>
      <c r="AH1192" t="s">
        <v>116</v>
      </c>
      <c r="AI1192" s="1">
        <v>55904</v>
      </c>
      <c r="AJ1192" s="2">
        <v>0.16</v>
      </c>
      <c r="AK1192" s="1">
        <v>358904</v>
      </c>
      <c r="AL1192" t="s">
        <v>117</v>
      </c>
      <c r="AM1192" t="s">
        <v>1302</v>
      </c>
      <c r="AN1192">
        <v>9451</v>
      </c>
      <c r="AO1192">
        <v>0.22</v>
      </c>
      <c r="AR1192">
        <v>1</v>
      </c>
      <c r="AS1192" s="1">
        <v>27500</v>
      </c>
      <c r="AT1192" s="1">
        <v>5500</v>
      </c>
      <c r="AU1192" s="1">
        <v>22000</v>
      </c>
      <c r="AV1192">
        <v>80</v>
      </c>
      <c r="AX1192" s="1">
        <v>2830.6</v>
      </c>
      <c r="AY1192" t="s">
        <v>5150</v>
      </c>
      <c r="AZ1192" t="s">
        <v>5150</v>
      </c>
      <c r="BA1192" t="s">
        <v>4254</v>
      </c>
      <c r="BE1192" s="3">
        <v>42132</v>
      </c>
      <c r="BF1192" s="1">
        <v>298282</v>
      </c>
      <c r="BG1192" t="s">
        <v>209</v>
      </c>
      <c r="BH1192" s="1">
        <v>92.03</v>
      </c>
      <c r="BI1192" s="1">
        <v>303000</v>
      </c>
      <c r="BJ1192" s="3">
        <v>42132</v>
      </c>
      <c r="BK1192" t="s">
        <v>123</v>
      </c>
      <c r="BL1192" t="str">
        <f>"2015.327307"</f>
        <v>2015.327307</v>
      </c>
      <c r="BM1192" t="s">
        <v>175</v>
      </c>
      <c r="BO1192" t="s">
        <v>8063</v>
      </c>
      <c r="BS1192">
        <v>30</v>
      </c>
      <c r="BW1192" t="str">
        <f>""</f>
        <v/>
      </c>
      <c r="CH1192" t="str">
        <f>""</f>
        <v/>
      </c>
      <c r="CS1192" t="str">
        <f>""</f>
        <v/>
      </c>
    </row>
    <row r="1193" spans="1:97" x14ac:dyDescent="0.25">
      <c r="A1193" t="s">
        <v>1151</v>
      </c>
      <c r="B1193" t="s">
        <v>8064</v>
      </c>
      <c r="E1193" t="s">
        <v>8065</v>
      </c>
      <c r="F1193" t="s">
        <v>108</v>
      </c>
      <c r="H1193" t="s">
        <v>8066</v>
      </c>
      <c r="I1193" t="s">
        <v>167</v>
      </c>
      <c r="J1193" t="s">
        <v>111</v>
      </c>
      <c r="K1193" t="str">
        <f>"85339"</f>
        <v>85339</v>
      </c>
      <c r="L1193" t="s">
        <v>168</v>
      </c>
      <c r="M1193" t="s">
        <v>8066</v>
      </c>
      <c r="N1193" t="s">
        <v>167</v>
      </c>
      <c r="O1193" t="s">
        <v>111</v>
      </c>
      <c r="P1193" t="str">
        <f>"85339-1514"</f>
        <v>85339-1514</v>
      </c>
      <c r="Q1193" t="s">
        <v>113</v>
      </c>
      <c r="R1193" t="str">
        <f>"104-74-411"</f>
        <v>104-74-411</v>
      </c>
      <c r="S1193" t="s">
        <v>8067</v>
      </c>
      <c r="T1193" t="s">
        <v>8068</v>
      </c>
      <c r="U1193">
        <v>2462</v>
      </c>
      <c r="V1193">
        <v>0</v>
      </c>
      <c r="W1193">
        <v>4</v>
      </c>
      <c r="X1193">
        <v>2006</v>
      </c>
      <c r="Z1193">
        <v>2</v>
      </c>
      <c r="AA1193" t="s">
        <v>26</v>
      </c>
      <c r="AB1193">
        <v>0</v>
      </c>
      <c r="AC1193" t="s">
        <v>115</v>
      </c>
      <c r="AD1193">
        <v>2</v>
      </c>
      <c r="AE1193" t="s">
        <v>115</v>
      </c>
      <c r="AF1193">
        <v>0</v>
      </c>
      <c r="AG1193">
        <v>0</v>
      </c>
      <c r="AH1193" t="s">
        <v>116</v>
      </c>
      <c r="AI1193" s="1">
        <v>62790</v>
      </c>
      <c r="AJ1193" s="2">
        <v>0.22</v>
      </c>
      <c r="AK1193" s="1">
        <v>283739</v>
      </c>
      <c r="AL1193" t="s">
        <v>117</v>
      </c>
      <c r="AM1193" t="s">
        <v>171</v>
      </c>
      <c r="AN1193">
        <v>6321</v>
      </c>
      <c r="AO1193">
        <v>0.14000000000000001</v>
      </c>
      <c r="AR1193">
        <v>1</v>
      </c>
      <c r="AS1193" s="1">
        <v>19520</v>
      </c>
      <c r="AT1193" s="1">
        <v>3900</v>
      </c>
      <c r="AU1193" s="1">
        <v>15620</v>
      </c>
      <c r="AV1193">
        <v>80.02</v>
      </c>
      <c r="AX1193" s="1">
        <v>2316.5</v>
      </c>
      <c r="AY1193" t="s">
        <v>805</v>
      </c>
      <c r="AZ1193" t="s">
        <v>806</v>
      </c>
      <c r="BA1193" t="s">
        <v>173</v>
      </c>
      <c r="BE1193" s="3">
        <v>42359</v>
      </c>
      <c r="BF1193" s="1">
        <v>215000</v>
      </c>
      <c r="BG1193" t="s">
        <v>8069</v>
      </c>
      <c r="BH1193" s="1">
        <v>87.33</v>
      </c>
      <c r="BI1193" s="1">
        <v>220949</v>
      </c>
      <c r="BJ1193" s="3">
        <v>42527</v>
      </c>
      <c r="BK1193" t="s">
        <v>123</v>
      </c>
      <c r="BL1193" t="str">
        <f>"2016.389539"</f>
        <v>2016.389539</v>
      </c>
      <c r="BM1193" t="s">
        <v>1185</v>
      </c>
      <c r="BO1193" t="s">
        <v>8070</v>
      </c>
      <c r="BS1193">
        <v>30</v>
      </c>
      <c r="BW1193" t="str">
        <f>""</f>
        <v/>
      </c>
      <c r="CH1193" t="str">
        <f>""</f>
        <v/>
      </c>
      <c r="CS1193" t="str">
        <f>""</f>
        <v/>
      </c>
    </row>
    <row r="1194" spans="1:97" x14ac:dyDescent="0.25">
      <c r="A1194" t="s">
        <v>325</v>
      </c>
      <c r="B1194" t="s">
        <v>8071</v>
      </c>
      <c r="C1194" t="s">
        <v>8072</v>
      </c>
      <c r="D1194" t="s">
        <v>8071</v>
      </c>
      <c r="E1194" t="s">
        <v>8073</v>
      </c>
      <c r="F1194" t="s">
        <v>108</v>
      </c>
      <c r="H1194" t="s">
        <v>8074</v>
      </c>
      <c r="I1194" t="s">
        <v>225</v>
      </c>
      <c r="J1194" t="s">
        <v>111</v>
      </c>
      <c r="K1194" t="str">
        <f>"85210"</f>
        <v>85210</v>
      </c>
      <c r="L1194" t="s">
        <v>6964</v>
      </c>
      <c r="M1194" t="s">
        <v>8074</v>
      </c>
      <c r="N1194" t="s">
        <v>225</v>
      </c>
      <c r="O1194" t="s">
        <v>111</v>
      </c>
      <c r="P1194" t="str">
        <f>"85210-5928"</f>
        <v>85210-5928</v>
      </c>
      <c r="Q1194" t="s">
        <v>113</v>
      </c>
      <c r="R1194" t="str">
        <f>"134-26-307"</f>
        <v>134-26-307</v>
      </c>
      <c r="S1194" t="s">
        <v>8075</v>
      </c>
      <c r="U1194">
        <v>2226</v>
      </c>
      <c r="V1194">
        <v>0</v>
      </c>
      <c r="W1194">
        <v>3</v>
      </c>
      <c r="X1194">
        <v>1978</v>
      </c>
      <c r="Z1194">
        <v>1</v>
      </c>
      <c r="AB1194">
        <v>0</v>
      </c>
      <c r="AC1194" t="s">
        <v>115</v>
      </c>
      <c r="AD1194">
        <v>2</v>
      </c>
      <c r="AE1194" t="s">
        <v>115</v>
      </c>
      <c r="AF1194">
        <v>0</v>
      </c>
      <c r="AG1194">
        <v>0</v>
      </c>
      <c r="AH1194" t="s">
        <v>116</v>
      </c>
      <c r="AI1194" s="1">
        <v>79543</v>
      </c>
      <c r="AJ1194" s="2">
        <v>0.24</v>
      </c>
      <c r="AK1194" s="1">
        <v>338343</v>
      </c>
      <c r="AL1194" t="s">
        <v>117</v>
      </c>
      <c r="AM1194" t="s">
        <v>191</v>
      </c>
      <c r="AN1194">
        <v>8590</v>
      </c>
      <c r="AO1194">
        <v>0.2</v>
      </c>
      <c r="AP1194">
        <v>1</v>
      </c>
      <c r="AR1194">
        <v>1</v>
      </c>
      <c r="AS1194" s="1">
        <v>22410</v>
      </c>
      <c r="AT1194" s="1">
        <v>4480</v>
      </c>
      <c r="AU1194" s="1">
        <v>17930</v>
      </c>
      <c r="AV1194">
        <v>80.010000000000005</v>
      </c>
      <c r="AX1194" s="1">
        <v>1632.06</v>
      </c>
      <c r="AY1194" t="s">
        <v>8076</v>
      </c>
      <c r="AZ1194" t="s">
        <v>7295</v>
      </c>
      <c r="BA1194" t="s">
        <v>5311</v>
      </c>
      <c r="BE1194" s="3">
        <v>41908</v>
      </c>
      <c r="BF1194" s="1">
        <v>253400</v>
      </c>
      <c r="BG1194" t="s">
        <v>8077</v>
      </c>
      <c r="BH1194" s="1">
        <v>113.84</v>
      </c>
      <c r="BI1194" s="1">
        <v>258800</v>
      </c>
      <c r="BJ1194" s="3">
        <v>41908</v>
      </c>
      <c r="BK1194" t="s">
        <v>123</v>
      </c>
      <c r="BL1194" t="str">
        <f>"2014.637990"</f>
        <v>2014.637990</v>
      </c>
      <c r="BM1194" t="s">
        <v>7531</v>
      </c>
      <c r="BO1194" t="s">
        <v>8078</v>
      </c>
      <c r="BS1194">
        <v>30</v>
      </c>
      <c r="BW1194" t="str">
        <f>""</f>
        <v/>
      </c>
      <c r="CH1194" t="str">
        <f>""</f>
        <v/>
      </c>
      <c r="CS1194" t="str">
        <f>""</f>
        <v/>
      </c>
    </row>
    <row r="1195" spans="1:97" x14ac:dyDescent="0.25">
      <c r="A1195" t="s">
        <v>464</v>
      </c>
      <c r="B1195" t="s">
        <v>7927</v>
      </c>
      <c r="D1195" t="s">
        <v>8079</v>
      </c>
      <c r="E1195" t="s">
        <v>8080</v>
      </c>
      <c r="F1195" t="s">
        <v>108</v>
      </c>
      <c r="H1195" t="s">
        <v>8081</v>
      </c>
      <c r="I1195" t="s">
        <v>5114</v>
      </c>
      <c r="J1195" t="s">
        <v>111</v>
      </c>
      <c r="K1195" t="str">
        <f>"85392"</f>
        <v>85392</v>
      </c>
      <c r="L1195" t="s">
        <v>3430</v>
      </c>
      <c r="M1195" t="s">
        <v>8081</v>
      </c>
      <c r="N1195" t="s">
        <v>5114</v>
      </c>
      <c r="O1195" t="s">
        <v>111</v>
      </c>
      <c r="P1195" t="str">
        <f>"85392-4048"</f>
        <v>85392-4048</v>
      </c>
      <c r="Q1195" t="s">
        <v>113</v>
      </c>
      <c r="R1195" t="str">
        <f>"102-28-902"</f>
        <v>102-28-902</v>
      </c>
      <c r="S1195" t="s">
        <v>8082</v>
      </c>
      <c r="T1195" t="s">
        <v>8083</v>
      </c>
      <c r="U1195">
        <v>2410</v>
      </c>
      <c r="V1195">
        <v>0</v>
      </c>
      <c r="W1195">
        <v>3</v>
      </c>
      <c r="X1195">
        <v>1989</v>
      </c>
      <c r="Z1195">
        <v>1</v>
      </c>
      <c r="AA1195" t="s">
        <v>26</v>
      </c>
      <c r="AB1195">
        <v>0</v>
      </c>
      <c r="AC1195" t="s">
        <v>115</v>
      </c>
      <c r="AD1195">
        <v>3</v>
      </c>
      <c r="AE1195" t="s">
        <v>115</v>
      </c>
      <c r="AF1195">
        <v>0</v>
      </c>
      <c r="AG1195">
        <v>0</v>
      </c>
      <c r="AH1195" t="s">
        <v>116</v>
      </c>
      <c r="AI1195" s="1">
        <v>30433</v>
      </c>
      <c r="AJ1195" s="2">
        <v>0.08</v>
      </c>
      <c r="AK1195" s="1">
        <v>372635</v>
      </c>
      <c r="AL1195" t="s">
        <v>117</v>
      </c>
      <c r="AM1195" t="s">
        <v>118</v>
      </c>
      <c r="AN1195">
        <v>10585</v>
      </c>
      <c r="AO1195">
        <v>0.24</v>
      </c>
      <c r="AP1195">
        <v>1</v>
      </c>
      <c r="AR1195">
        <v>1</v>
      </c>
      <c r="AS1195" s="1">
        <v>29950</v>
      </c>
      <c r="AT1195" s="1">
        <v>5990</v>
      </c>
      <c r="AU1195" s="1">
        <v>23960</v>
      </c>
      <c r="AV1195">
        <v>80</v>
      </c>
      <c r="AX1195" s="1">
        <v>3323.62</v>
      </c>
      <c r="AY1195" t="s">
        <v>8084</v>
      </c>
      <c r="AZ1195" t="s">
        <v>8084</v>
      </c>
      <c r="BA1195" t="s">
        <v>5118</v>
      </c>
      <c r="BB1195" s="3">
        <v>42900</v>
      </c>
      <c r="BD1195" t="s">
        <v>157</v>
      </c>
      <c r="BE1195" s="3">
        <v>42046</v>
      </c>
      <c r="BF1195" s="1">
        <v>280000</v>
      </c>
      <c r="BG1195" t="s">
        <v>8085</v>
      </c>
      <c r="BH1195" s="1">
        <v>116.18</v>
      </c>
      <c r="BI1195" s="1">
        <v>342202</v>
      </c>
      <c r="BJ1195" s="3">
        <v>42900</v>
      </c>
      <c r="BK1195" t="s">
        <v>123</v>
      </c>
      <c r="BL1195" t="str">
        <f>"2017.433657"</f>
        <v>2017.433657</v>
      </c>
      <c r="BM1195" t="s">
        <v>8086</v>
      </c>
      <c r="BO1195" t="s">
        <v>8087</v>
      </c>
      <c r="BS1195">
        <v>30</v>
      </c>
      <c r="BW1195" t="str">
        <f>""</f>
        <v/>
      </c>
      <c r="CH1195" t="str">
        <f>""</f>
        <v/>
      </c>
      <c r="CS1195" t="str">
        <f>""</f>
        <v/>
      </c>
    </row>
    <row r="1196" spans="1:97" x14ac:dyDescent="0.25">
      <c r="A1196" t="s">
        <v>305</v>
      </c>
      <c r="B1196" t="s">
        <v>8088</v>
      </c>
      <c r="C1196" t="s">
        <v>8089</v>
      </c>
      <c r="D1196" t="s">
        <v>8090</v>
      </c>
      <c r="E1196" t="s">
        <v>8091</v>
      </c>
      <c r="F1196" t="s">
        <v>282</v>
      </c>
      <c r="H1196" t="s">
        <v>8092</v>
      </c>
      <c r="I1196" t="s">
        <v>5523</v>
      </c>
      <c r="J1196" t="s">
        <v>111</v>
      </c>
      <c r="K1196" t="str">
        <f>"85351"</f>
        <v>85351</v>
      </c>
      <c r="L1196" t="s">
        <v>1312</v>
      </c>
      <c r="M1196" t="s">
        <v>8093</v>
      </c>
      <c r="N1196" t="s">
        <v>8094</v>
      </c>
      <c r="O1196" t="s">
        <v>8095</v>
      </c>
      <c r="P1196" t="str">
        <f>"97886-6071"</f>
        <v>97886-6071</v>
      </c>
      <c r="Q1196" t="s">
        <v>113</v>
      </c>
      <c r="R1196" t="str">
        <f>"200-93-507"</f>
        <v>200-93-507</v>
      </c>
      <c r="S1196" t="s">
        <v>8096</v>
      </c>
      <c r="U1196">
        <v>1784</v>
      </c>
      <c r="V1196">
        <v>0</v>
      </c>
      <c r="W1196">
        <v>3</v>
      </c>
      <c r="X1196">
        <v>1971</v>
      </c>
      <c r="Z1196">
        <v>1</v>
      </c>
      <c r="AA1196" t="s">
        <v>26</v>
      </c>
      <c r="AB1196">
        <v>0</v>
      </c>
      <c r="AC1196" t="s">
        <v>115</v>
      </c>
      <c r="AD1196">
        <v>2</v>
      </c>
      <c r="AE1196" t="s">
        <v>115</v>
      </c>
      <c r="AF1196">
        <v>0</v>
      </c>
      <c r="AG1196">
        <v>0</v>
      </c>
      <c r="AH1196" t="s">
        <v>116</v>
      </c>
      <c r="AI1196" s="1">
        <v>24623</v>
      </c>
      <c r="AJ1196" s="2">
        <v>0.1</v>
      </c>
      <c r="AK1196" s="1">
        <v>257525</v>
      </c>
      <c r="AL1196" t="s">
        <v>117</v>
      </c>
      <c r="AM1196" t="s">
        <v>191</v>
      </c>
      <c r="AN1196">
        <v>10280</v>
      </c>
      <c r="AO1196">
        <v>0.24</v>
      </c>
      <c r="AP1196">
        <v>1</v>
      </c>
      <c r="AR1196">
        <v>1</v>
      </c>
      <c r="AS1196" s="1">
        <v>17380</v>
      </c>
      <c r="AT1196" s="1">
        <v>3470</v>
      </c>
      <c r="AU1196" s="1">
        <v>13910</v>
      </c>
      <c r="AV1196">
        <v>80.03</v>
      </c>
      <c r="AX1196" s="1">
        <v>1154.46</v>
      </c>
      <c r="AY1196" t="s">
        <v>5573</v>
      </c>
      <c r="AZ1196" t="s">
        <v>5573</v>
      </c>
      <c r="BA1196" t="s">
        <v>3360</v>
      </c>
      <c r="BB1196" s="3">
        <v>43108</v>
      </c>
      <c r="BC1196" s="1">
        <v>0</v>
      </c>
      <c r="BD1196" t="s">
        <v>291</v>
      </c>
      <c r="BE1196" s="3">
        <v>42153</v>
      </c>
      <c r="BF1196" s="1">
        <v>154500</v>
      </c>
      <c r="BG1196" t="s">
        <v>8097</v>
      </c>
      <c r="BH1196" s="1">
        <v>86.6</v>
      </c>
      <c r="BI1196" s="1">
        <v>232902</v>
      </c>
      <c r="BJ1196" s="3">
        <v>43179</v>
      </c>
      <c r="BK1196" t="s">
        <v>123</v>
      </c>
      <c r="BL1196" t="str">
        <f>"2018.205893"</f>
        <v>2018.205893</v>
      </c>
      <c r="BM1196" t="s">
        <v>361</v>
      </c>
      <c r="BN1196" t="s">
        <v>884</v>
      </c>
      <c r="BO1196" t="s">
        <v>8098</v>
      </c>
      <c r="BP1196" t="s">
        <v>8099</v>
      </c>
      <c r="BR1196" t="s">
        <v>139</v>
      </c>
      <c r="BT1196" s="1">
        <v>232902</v>
      </c>
      <c r="BU1196" s="3">
        <v>43179</v>
      </c>
      <c r="BV1196" t="s">
        <v>123</v>
      </c>
      <c r="BW1196" t="str">
        <f>"2018.205893"</f>
        <v>2018.205893</v>
      </c>
      <c r="BX1196" t="s">
        <v>361</v>
      </c>
      <c r="BY1196" t="s">
        <v>884</v>
      </c>
      <c r="BZ1196" t="s">
        <v>8098</v>
      </c>
      <c r="CA1196" t="s">
        <v>8099</v>
      </c>
      <c r="CC1196" t="s">
        <v>139</v>
      </c>
      <c r="CH1196" t="str">
        <f>""</f>
        <v/>
      </c>
      <c r="CS1196" t="str">
        <f>""</f>
        <v/>
      </c>
    </row>
    <row r="1197" spans="1:97" x14ac:dyDescent="0.25">
      <c r="A1197" t="s">
        <v>353</v>
      </c>
      <c r="B1197" t="s">
        <v>8100</v>
      </c>
      <c r="C1197" t="s">
        <v>220</v>
      </c>
      <c r="D1197" t="s">
        <v>8100</v>
      </c>
      <c r="E1197" t="s">
        <v>8101</v>
      </c>
      <c r="F1197" t="s">
        <v>108</v>
      </c>
      <c r="H1197" t="s">
        <v>8102</v>
      </c>
      <c r="I1197" t="s">
        <v>203</v>
      </c>
      <c r="J1197" t="s">
        <v>111</v>
      </c>
      <c r="K1197" t="str">
        <f>"85296"</f>
        <v>85296</v>
      </c>
      <c r="L1197" t="s">
        <v>8103</v>
      </c>
      <c r="M1197" t="s">
        <v>8102</v>
      </c>
      <c r="N1197" t="s">
        <v>203</v>
      </c>
      <c r="O1197" t="s">
        <v>111</v>
      </c>
      <c r="P1197" t="str">
        <f>"85296-8641"</f>
        <v>85296-8641</v>
      </c>
      <c r="Q1197" t="s">
        <v>113</v>
      </c>
      <c r="R1197" t="str">
        <f>"304-27-790"</f>
        <v>304-27-790</v>
      </c>
      <c r="S1197" t="s">
        <v>8104</v>
      </c>
      <c r="U1197">
        <v>1892</v>
      </c>
      <c r="V1197">
        <v>0</v>
      </c>
      <c r="W1197">
        <v>4</v>
      </c>
      <c r="X1197">
        <v>2000</v>
      </c>
      <c r="Z1197">
        <v>2</v>
      </c>
      <c r="AA1197" t="s">
        <v>26</v>
      </c>
      <c r="AB1197">
        <v>0</v>
      </c>
      <c r="AC1197" t="s">
        <v>115</v>
      </c>
      <c r="AD1197">
        <v>2</v>
      </c>
      <c r="AE1197" t="s">
        <v>115</v>
      </c>
      <c r="AF1197">
        <v>0</v>
      </c>
      <c r="AG1197">
        <v>0</v>
      </c>
      <c r="AH1197" t="s">
        <v>116</v>
      </c>
      <c r="AI1197" s="1">
        <v>110568</v>
      </c>
      <c r="AJ1197" s="2">
        <v>0.32</v>
      </c>
      <c r="AK1197" s="1">
        <v>346581</v>
      </c>
      <c r="AL1197" t="s">
        <v>117</v>
      </c>
      <c r="AM1197" t="s">
        <v>191</v>
      </c>
      <c r="AN1197">
        <v>10807</v>
      </c>
      <c r="AO1197">
        <v>0.25</v>
      </c>
      <c r="AP1197">
        <v>1</v>
      </c>
      <c r="AR1197">
        <v>1</v>
      </c>
      <c r="AS1197" s="1">
        <v>25010</v>
      </c>
      <c r="AT1197" s="1">
        <v>5000</v>
      </c>
      <c r="AU1197" s="1">
        <v>20010</v>
      </c>
      <c r="AV1197">
        <v>80.010000000000005</v>
      </c>
      <c r="AX1197" s="1">
        <v>1955.88</v>
      </c>
      <c r="AY1197" t="s">
        <v>5094</v>
      </c>
      <c r="AZ1197" t="s">
        <v>5094</v>
      </c>
      <c r="BA1197" t="s">
        <v>473</v>
      </c>
      <c r="BE1197" s="3">
        <v>42411</v>
      </c>
      <c r="BF1197" s="1">
        <v>259000</v>
      </c>
      <c r="BG1197" t="s">
        <v>8105</v>
      </c>
      <c r="BH1197" s="1">
        <v>136.88999999999999</v>
      </c>
      <c r="BI1197" s="1">
        <v>236013</v>
      </c>
      <c r="BJ1197" s="3">
        <v>42411</v>
      </c>
      <c r="BK1197" t="s">
        <v>123</v>
      </c>
      <c r="BL1197" t="str">
        <f>"2016.88591"</f>
        <v>2016.88591</v>
      </c>
      <c r="BM1197" t="s">
        <v>1791</v>
      </c>
      <c r="BO1197" t="s">
        <v>8106</v>
      </c>
      <c r="BS1197">
        <v>30</v>
      </c>
      <c r="BW1197" t="str">
        <f>""</f>
        <v/>
      </c>
      <c r="CH1197" t="str">
        <f>""</f>
        <v/>
      </c>
      <c r="CS1197" t="str">
        <f>""</f>
        <v/>
      </c>
    </row>
    <row r="1198" spans="1:97" x14ac:dyDescent="0.25">
      <c r="A1198" t="s">
        <v>894</v>
      </c>
      <c r="B1198" t="s">
        <v>8107</v>
      </c>
      <c r="E1198" t="s">
        <v>8108</v>
      </c>
      <c r="F1198" t="s">
        <v>108</v>
      </c>
      <c r="H1198" t="s">
        <v>8109</v>
      </c>
      <c r="I1198" t="s">
        <v>453</v>
      </c>
      <c r="J1198" t="s">
        <v>111</v>
      </c>
      <c r="K1198" t="str">
        <f>"85382"</f>
        <v>85382</v>
      </c>
      <c r="L1198" t="s">
        <v>5743</v>
      </c>
      <c r="M1198" t="s">
        <v>8109</v>
      </c>
      <c r="N1198" t="s">
        <v>453</v>
      </c>
      <c r="O1198" t="s">
        <v>111</v>
      </c>
      <c r="P1198" t="str">
        <f>"85382-7410"</f>
        <v>85382-7410</v>
      </c>
      <c r="Q1198" t="s">
        <v>113</v>
      </c>
      <c r="R1198" t="str">
        <f>"200-16-877"</f>
        <v>200-16-877</v>
      </c>
      <c r="S1198" t="s">
        <v>8110</v>
      </c>
      <c r="U1198">
        <v>1685</v>
      </c>
      <c r="V1198">
        <v>0</v>
      </c>
      <c r="W1198">
        <v>3</v>
      </c>
      <c r="X1198">
        <v>2002</v>
      </c>
      <c r="Z1198">
        <v>1</v>
      </c>
      <c r="AA1198" t="s">
        <v>26</v>
      </c>
      <c r="AB1198">
        <v>0</v>
      </c>
      <c r="AC1198" t="s">
        <v>115</v>
      </c>
      <c r="AD1198">
        <v>2</v>
      </c>
      <c r="AE1198" t="s">
        <v>115</v>
      </c>
      <c r="AF1198">
        <v>0</v>
      </c>
      <c r="AG1198">
        <v>0</v>
      </c>
      <c r="AH1198" t="s">
        <v>116</v>
      </c>
      <c r="AI1198" s="1">
        <v>48313</v>
      </c>
      <c r="AJ1198" s="2">
        <v>0.16</v>
      </c>
      <c r="AK1198" s="1">
        <v>297552</v>
      </c>
      <c r="AL1198" t="s">
        <v>117</v>
      </c>
      <c r="AM1198" t="s">
        <v>118</v>
      </c>
      <c r="AN1198">
        <v>5907</v>
      </c>
      <c r="AO1198">
        <v>0.14000000000000001</v>
      </c>
      <c r="AP1198">
        <v>1</v>
      </c>
      <c r="AR1198">
        <v>1</v>
      </c>
      <c r="AS1198" s="1">
        <v>21130</v>
      </c>
      <c r="AT1198" s="1">
        <v>4220</v>
      </c>
      <c r="AU1198" s="1">
        <v>16910</v>
      </c>
      <c r="AV1198">
        <v>80.03</v>
      </c>
      <c r="AX1198" s="1">
        <v>1663.2</v>
      </c>
      <c r="AY1198" t="s">
        <v>6311</v>
      </c>
      <c r="AZ1198" t="s">
        <v>6311</v>
      </c>
      <c r="BA1198" t="s">
        <v>4219</v>
      </c>
      <c r="BE1198" s="3">
        <v>42097</v>
      </c>
      <c r="BF1198" s="1">
        <v>212500</v>
      </c>
      <c r="BG1198" t="s">
        <v>8111</v>
      </c>
      <c r="BH1198" s="1">
        <v>126.11</v>
      </c>
      <c r="BI1198" s="1">
        <v>217068</v>
      </c>
      <c r="BJ1198" s="3">
        <v>42097</v>
      </c>
      <c r="BK1198" t="s">
        <v>123</v>
      </c>
      <c r="BL1198" t="str">
        <f>"2015.227610"</f>
        <v>2015.227610</v>
      </c>
      <c r="BM1198" t="s">
        <v>131</v>
      </c>
      <c r="BO1198" t="s">
        <v>8112</v>
      </c>
      <c r="BS1198">
        <v>30</v>
      </c>
      <c r="BT1198" s="1">
        <v>32171</v>
      </c>
      <c r="BU1198" s="3">
        <v>42165</v>
      </c>
      <c r="BV1198" t="s">
        <v>134</v>
      </c>
      <c r="BW1198" t="str">
        <f>"2015.413244"</f>
        <v>2015.413244</v>
      </c>
      <c r="BX1198" t="s">
        <v>198</v>
      </c>
      <c r="BZ1198" t="s">
        <v>8112</v>
      </c>
      <c r="CD1198">
        <v>15</v>
      </c>
      <c r="CH1198" t="str">
        <f>""</f>
        <v/>
      </c>
      <c r="CS1198" t="str">
        <f>""</f>
        <v/>
      </c>
    </row>
    <row r="1199" spans="1:97" x14ac:dyDescent="0.25">
      <c r="A1199" t="s">
        <v>589</v>
      </c>
      <c r="B1199" t="s">
        <v>8113</v>
      </c>
      <c r="C1199" t="s">
        <v>817</v>
      </c>
      <c r="D1199" t="s">
        <v>8113</v>
      </c>
      <c r="E1199" t="s">
        <v>8114</v>
      </c>
      <c r="F1199" t="s">
        <v>108</v>
      </c>
      <c r="H1199" t="s">
        <v>8115</v>
      </c>
      <c r="I1199" t="s">
        <v>632</v>
      </c>
      <c r="J1199" t="s">
        <v>111</v>
      </c>
      <c r="K1199" t="str">
        <f>"85379"</f>
        <v>85379</v>
      </c>
      <c r="L1199" t="s">
        <v>5058</v>
      </c>
      <c r="M1199" t="s">
        <v>8115</v>
      </c>
      <c r="N1199" t="s">
        <v>632</v>
      </c>
      <c r="O1199" t="s">
        <v>111</v>
      </c>
      <c r="P1199" t="str">
        <f>"85379-1174"</f>
        <v>85379-1174</v>
      </c>
      <c r="Q1199" t="s">
        <v>113</v>
      </c>
      <c r="R1199" t="str">
        <f>"501-79-386"</f>
        <v>501-79-386</v>
      </c>
      <c r="S1199" t="s">
        <v>5059</v>
      </c>
      <c r="U1199">
        <v>2085</v>
      </c>
      <c r="V1199">
        <v>0</v>
      </c>
      <c r="W1199">
        <v>3</v>
      </c>
      <c r="X1199">
        <v>2014</v>
      </c>
      <c r="Z1199">
        <v>1</v>
      </c>
      <c r="AA1199" t="s">
        <v>26</v>
      </c>
      <c r="AB1199">
        <v>0</v>
      </c>
      <c r="AC1199" t="s">
        <v>115</v>
      </c>
      <c r="AD1199">
        <v>2</v>
      </c>
      <c r="AE1199" t="s">
        <v>115</v>
      </c>
      <c r="AF1199">
        <v>0</v>
      </c>
      <c r="AG1199">
        <v>0</v>
      </c>
      <c r="AH1199" t="s">
        <v>116</v>
      </c>
      <c r="AI1199" s="1">
        <v>84413</v>
      </c>
      <c r="AJ1199" s="2">
        <v>0.24</v>
      </c>
      <c r="AK1199" s="1">
        <v>351146</v>
      </c>
      <c r="AL1199" t="s">
        <v>117</v>
      </c>
      <c r="AM1199" t="s">
        <v>118</v>
      </c>
      <c r="AN1199">
        <v>7120</v>
      </c>
      <c r="AO1199">
        <v>0.16</v>
      </c>
      <c r="AR1199">
        <v>1</v>
      </c>
      <c r="AS1199" s="1">
        <v>24980</v>
      </c>
      <c r="AT1199" s="1">
        <v>4990</v>
      </c>
      <c r="AU1199" s="1">
        <v>19990</v>
      </c>
      <c r="AV1199">
        <v>80.02</v>
      </c>
      <c r="AX1199" s="1">
        <v>1777.56</v>
      </c>
      <c r="AY1199" t="s">
        <v>5060</v>
      </c>
      <c r="AZ1199" t="s">
        <v>5060</v>
      </c>
      <c r="BA1199" t="s">
        <v>5061</v>
      </c>
      <c r="BE1199" s="3">
        <v>42069</v>
      </c>
      <c r="BF1199" s="1">
        <v>266733</v>
      </c>
      <c r="BG1199" t="s">
        <v>292</v>
      </c>
      <c r="BH1199" s="1">
        <v>127.93</v>
      </c>
      <c r="BI1199" s="1">
        <v>266733</v>
      </c>
      <c r="BJ1199" s="3">
        <v>42069</v>
      </c>
      <c r="BK1199" t="s">
        <v>123</v>
      </c>
      <c r="BL1199" t="str">
        <f>"2015.152028"</f>
        <v>2015.152028</v>
      </c>
      <c r="BM1199" t="s">
        <v>1831</v>
      </c>
      <c r="BO1199" t="s">
        <v>8116</v>
      </c>
      <c r="BS1199">
        <v>30</v>
      </c>
      <c r="BW1199" t="str">
        <f>""</f>
        <v/>
      </c>
      <c r="CH1199" t="str">
        <f>""</f>
        <v/>
      </c>
      <c r="CS1199" t="str">
        <f>""</f>
        <v/>
      </c>
    </row>
    <row r="1200" spans="1:97" x14ac:dyDescent="0.25">
      <c r="B1200" t="s">
        <v>8117</v>
      </c>
      <c r="E1200" t="s">
        <v>8118</v>
      </c>
      <c r="F1200" t="s">
        <v>108</v>
      </c>
      <c r="H1200" t="s">
        <v>8119</v>
      </c>
      <c r="I1200" t="s">
        <v>499</v>
      </c>
      <c r="J1200" t="s">
        <v>111</v>
      </c>
      <c r="K1200" t="str">
        <f>"85395"</f>
        <v>85395</v>
      </c>
      <c r="L1200" t="s">
        <v>5131</v>
      </c>
      <c r="M1200" t="s">
        <v>8119</v>
      </c>
      <c r="N1200" t="s">
        <v>499</v>
      </c>
      <c r="O1200" t="s">
        <v>111</v>
      </c>
      <c r="P1200" t="str">
        <f>"85395-6416"</f>
        <v>85395-6416</v>
      </c>
      <c r="Q1200" t="s">
        <v>113</v>
      </c>
      <c r="R1200" t="str">
        <f>"508-09-436"</f>
        <v>508-09-436</v>
      </c>
      <c r="S1200" t="s">
        <v>5132</v>
      </c>
      <c r="U1200">
        <v>1706</v>
      </c>
      <c r="V1200">
        <v>0</v>
      </c>
      <c r="W1200">
        <v>3</v>
      </c>
      <c r="X1200">
        <v>2007</v>
      </c>
      <c r="Z1200">
        <v>1</v>
      </c>
      <c r="AB1200">
        <v>0</v>
      </c>
      <c r="AC1200" t="s">
        <v>115</v>
      </c>
      <c r="AD1200">
        <v>2</v>
      </c>
      <c r="AE1200" t="s">
        <v>115</v>
      </c>
      <c r="AF1200">
        <v>0</v>
      </c>
      <c r="AG1200">
        <v>0</v>
      </c>
      <c r="AH1200" t="s">
        <v>116</v>
      </c>
      <c r="AI1200" s="1">
        <v>78352</v>
      </c>
      <c r="AJ1200" s="2">
        <v>0.21</v>
      </c>
      <c r="AK1200" s="1">
        <v>373822</v>
      </c>
      <c r="AL1200" t="s">
        <v>117</v>
      </c>
      <c r="AM1200" t="s">
        <v>118</v>
      </c>
      <c r="AN1200">
        <v>4950</v>
      </c>
      <c r="AO1200">
        <v>0.11</v>
      </c>
      <c r="AR1200">
        <v>1</v>
      </c>
      <c r="AS1200" s="1">
        <v>28310</v>
      </c>
      <c r="AT1200" s="1">
        <v>5660</v>
      </c>
      <c r="AU1200" s="1">
        <v>22650</v>
      </c>
      <c r="AV1200">
        <v>80.010000000000005</v>
      </c>
      <c r="AX1200" s="1">
        <v>3492.12</v>
      </c>
      <c r="AY1200" t="s">
        <v>3020</v>
      </c>
      <c r="AZ1200" t="s">
        <v>3020</v>
      </c>
      <c r="BA1200" t="s">
        <v>218</v>
      </c>
      <c r="BB1200" s="3">
        <v>42607</v>
      </c>
      <c r="BD1200" t="s">
        <v>240</v>
      </c>
      <c r="BE1200" s="3">
        <v>42236</v>
      </c>
      <c r="BF1200" s="1">
        <v>307000</v>
      </c>
      <c r="BG1200" t="s">
        <v>8120</v>
      </c>
      <c r="BH1200" s="1">
        <v>179.95</v>
      </c>
      <c r="BI1200" s="1">
        <v>295470</v>
      </c>
      <c r="BJ1200" s="3">
        <v>42604</v>
      </c>
      <c r="BK1200" t="s">
        <v>123</v>
      </c>
      <c r="BL1200" t="str">
        <f>"2016.599354"</f>
        <v>2016.599354</v>
      </c>
      <c r="BM1200" t="s">
        <v>2368</v>
      </c>
      <c r="BO1200" t="s">
        <v>8121</v>
      </c>
      <c r="BS1200">
        <v>30</v>
      </c>
      <c r="BW1200" t="str">
        <f>""</f>
        <v/>
      </c>
      <c r="CH1200" t="str">
        <f>""</f>
        <v/>
      </c>
      <c r="CS1200" t="str">
        <f>""</f>
        <v/>
      </c>
    </row>
    <row r="1201" spans="1:97" x14ac:dyDescent="0.25">
      <c r="A1201" t="s">
        <v>2374</v>
      </c>
      <c r="B1201" t="s">
        <v>8122</v>
      </c>
      <c r="C1201" t="s">
        <v>8123</v>
      </c>
      <c r="D1201" t="s">
        <v>8122</v>
      </c>
      <c r="E1201" t="s">
        <v>8124</v>
      </c>
      <c r="F1201" t="s">
        <v>108</v>
      </c>
      <c r="H1201" t="s">
        <v>8125</v>
      </c>
      <c r="I1201" t="s">
        <v>203</v>
      </c>
      <c r="J1201" t="s">
        <v>111</v>
      </c>
      <c r="K1201" t="str">
        <f>"85295"</f>
        <v>85295</v>
      </c>
      <c r="L1201" t="s">
        <v>7983</v>
      </c>
      <c r="M1201" t="s">
        <v>8125</v>
      </c>
      <c r="N1201" t="s">
        <v>203</v>
      </c>
      <c r="O1201" t="s">
        <v>111</v>
      </c>
      <c r="P1201" t="str">
        <f>"85295-5849"</f>
        <v>85295-5849</v>
      </c>
      <c r="Q1201" t="s">
        <v>113</v>
      </c>
      <c r="R1201" t="str">
        <f>"304-38-860"</f>
        <v>304-38-860</v>
      </c>
      <c r="S1201" t="s">
        <v>8126</v>
      </c>
      <c r="T1201" t="s">
        <v>8126</v>
      </c>
      <c r="U1201">
        <v>2159</v>
      </c>
      <c r="V1201">
        <v>0</v>
      </c>
      <c r="W1201">
        <v>3</v>
      </c>
      <c r="X1201">
        <v>2004</v>
      </c>
      <c r="Z1201">
        <v>2</v>
      </c>
      <c r="AB1201">
        <v>0</v>
      </c>
      <c r="AC1201" t="s">
        <v>115</v>
      </c>
      <c r="AD1201">
        <v>2</v>
      </c>
      <c r="AE1201" t="s">
        <v>115</v>
      </c>
      <c r="AF1201">
        <v>0</v>
      </c>
      <c r="AG1201">
        <v>0</v>
      </c>
      <c r="AH1201" t="s">
        <v>116</v>
      </c>
      <c r="AI1201" s="1">
        <v>92818</v>
      </c>
      <c r="AJ1201" s="2">
        <v>0.3</v>
      </c>
      <c r="AK1201" s="1">
        <v>304818</v>
      </c>
      <c r="AL1201" t="s">
        <v>117</v>
      </c>
      <c r="AM1201" t="s">
        <v>288</v>
      </c>
      <c r="AN1201">
        <v>4050</v>
      </c>
      <c r="AO1201">
        <v>0.93</v>
      </c>
      <c r="AP1201">
        <v>1</v>
      </c>
      <c r="AR1201">
        <v>1</v>
      </c>
      <c r="AS1201" s="1">
        <v>20600</v>
      </c>
      <c r="AT1201" s="1">
        <v>4120</v>
      </c>
      <c r="AU1201" s="1">
        <v>16480</v>
      </c>
      <c r="AV1201">
        <v>80</v>
      </c>
      <c r="AX1201" s="1">
        <v>1741.96</v>
      </c>
      <c r="AY1201" t="s">
        <v>472</v>
      </c>
      <c r="AZ1201" t="s">
        <v>472</v>
      </c>
      <c r="BA1201" t="s">
        <v>473</v>
      </c>
      <c r="BE1201" s="3">
        <v>42185</v>
      </c>
      <c r="BF1201" s="1">
        <v>212000</v>
      </c>
      <c r="BG1201" t="s">
        <v>8127</v>
      </c>
      <c r="BH1201" s="1">
        <v>98.19</v>
      </c>
      <c r="BI1201" s="1">
        <v>212000</v>
      </c>
      <c r="BJ1201" s="3">
        <v>42185</v>
      </c>
      <c r="BK1201" t="s">
        <v>123</v>
      </c>
      <c r="BL1201" t="str">
        <f>"2015.470280"</f>
        <v>2015.470280</v>
      </c>
      <c r="BM1201" t="s">
        <v>7000</v>
      </c>
      <c r="BO1201" t="s">
        <v>8128</v>
      </c>
      <c r="BS1201">
        <v>30</v>
      </c>
      <c r="BW1201" t="str">
        <f>""</f>
        <v/>
      </c>
      <c r="CH1201" t="str">
        <f>""</f>
        <v/>
      </c>
      <c r="CS1201" t="str">
        <f>""</f>
        <v/>
      </c>
    </row>
    <row r="1202" spans="1:97" x14ac:dyDescent="0.25">
      <c r="A1202" t="s">
        <v>1938</v>
      </c>
      <c r="B1202" t="s">
        <v>8129</v>
      </c>
      <c r="E1202" t="s">
        <v>8130</v>
      </c>
      <c r="F1202" t="s">
        <v>282</v>
      </c>
      <c r="H1202" t="s">
        <v>8131</v>
      </c>
      <c r="I1202" t="s">
        <v>632</v>
      </c>
      <c r="J1202" t="s">
        <v>111</v>
      </c>
      <c r="K1202" t="str">
        <f>"85379"</f>
        <v>85379</v>
      </c>
      <c r="L1202" t="s">
        <v>145</v>
      </c>
      <c r="M1202" t="s">
        <v>8132</v>
      </c>
      <c r="N1202" t="s">
        <v>632</v>
      </c>
      <c r="O1202" t="s">
        <v>111</v>
      </c>
      <c r="P1202" t="str">
        <f>"85374-5281"</f>
        <v>85374-5281</v>
      </c>
      <c r="Q1202" t="s">
        <v>113</v>
      </c>
      <c r="R1202" t="str">
        <f>"509-03-933"</f>
        <v>509-03-933</v>
      </c>
      <c r="S1202" t="s">
        <v>8133</v>
      </c>
      <c r="U1202">
        <v>1820</v>
      </c>
      <c r="V1202">
        <v>0</v>
      </c>
      <c r="W1202">
        <v>3</v>
      </c>
      <c r="X1202">
        <v>2006</v>
      </c>
      <c r="Z1202">
        <v>1</v>
      </c>
      <c r="AB1202">
        <v>0</v>
      </c>
      <c r="AC1202" t="s">
        <v>115</v>
      </c>
      <c r="AD1202">
        <v>2</v>
      </c>
      <c r="AE1202" t="s">
        <v>115</v>
      </c>
      <c r="AF1202">
        <v>0</v>
      </c>
      <c r="AG1202">
        <v>0</v>
      </c>
      <c r="AH1202" t="s">
        <v>116</v>
      </c>
      <c r="AI1202" s="1">
        <v>52964</v>
      </c>
      <c r="AJ1202" s="2">
        <v>0.21</v>
      </c>
      <c r="AK1202" s="1">
        <v>253664</v>
      </c>
      <c r="AL1202" t="s">
        <v>117</v>
      </c>
      <c r="AM1202" t="s">
        <v>118</v>
      </c>
      <c r="AN1202">
        <v>7235</v>
      </c>
      <c r="AO1202">
        <v>0.17</v>
      </c>
      <c r="AR1202">
        <v>1</v>
      </c>
      <c r="AS1202" s="1">
        <v>18600</v>
      </c>
      <c r="AT1202" s="1">
        <v>3720</v>
      </c>
      <c r="AU1202" s="1">
        <v>14880</v>
      </c>
      <c r="AV1202">
        <v>80</v>
      </c>
      <c r="AX1202" s="1">
        <v>1352.94</v>
      </c>
      <c r="AY1202" t="s">
        <v>5818</v>
      </c>
      <c r="AZ1202" t="s">
        <v>5818</v>
      </c>
      <c r="BA1202" t="s">
        <v>321</v>
      </c>
      <c r="BE1202" s="3">
        <v>42412</v>
      </c>
      <c r="BF1202" s="1">
        <v>200000</v>
      </c>
      <c r="BG1202" t="s">
        <v>8134</v>
      </c>
      <c r="BH1202" s="1">
        <v>109.89</v>
      </c>
      <c r="BI1202" s="1">
        <v>200700</v>
      </c>
      <c r="BJ1202" s="3">
        <v>42514</v>
      </c>
      <c r="BK1202" t="s">
        <v>123</v>
      </c>
      <c r="BL1202" t="str">
        <f>"2016.354467"</f>
        <v>2016.354467</v>
      </c>
      <c r="BM1202" t="s">
        <v>255</v>
      </c>
      <c r="BO1202" t="s">
        <v>8135</v>
      </c>
      <c r="BS1202">
        <v>30</v>
      </c>
      <c r="BW1202" t="str">
        <f>""</f>
        <v/>
      </c>
      <c r="CH1202" t="str">
        <f>""</f>
        <v/>
      </c>
      <c r="CS1202" t="str">
        <f>""</f>
        <v/>
      </c>
    </row>
    <row r="1203" spans="1:97" x14ac:dyDescent="0.25">
      <c r="A1203" t="s">
        <v>1465</v>
      </c>
      <c r="B1203" t="s">
        <v>8136</v>
      </c>
      <c r="C1203" t="s">
        <v>154</v>
      </c>
      <c r="D1203" t="s">
        <v>8136</v>
      </c>
      <c r="E1203" t="s">
        <v>8137</v>
      </c>
      <c r="F1203" t="s">
        <v>108</v>
      </c>
      <c r="H1203" t="s">
        <v>8138</v>
      </c>
      <c r="I1203" t="s">
        <v>1936</v>
      </c>
      <c r="J1203" t="s">
        <v>111</v>
      </c>
      <c r="K1203" t="str">
        <f>"85260"</f>
        <v>85260</v>
      </c>
      <c r="L1203" t="s">
        <v>2354</v>
      </c>
      <c r="M1203" t="s">
        <v>8138</v>
      </c>
      <c r="N1203" t="s">
        <v>1936</v>
      </c>
      <c r="O1203" t="s">
        <v>111</v>
      </c>
      <c r="P1203" t="str">
        <f>"85260-7057"</f>
        <v>85260-7057</v>
      </c>
      <c r="Q1203" t="s">
        <v>113</v>
      </c>
      <c r="R1203" t="str">
        <f>"217-15-174"</f>
        <v>217-15-174</v>
      </c>
      <c r="S1203" t="s">
        <v>8139</v>
      </c>
      <c r="T1203" t="s">
        <v>8140</v>
      </c>
      <c r="U1203">
        <v>2068</v>
      </c>
      <c r="V1203">
        <v>0</v>
      </c>
      <c r="W1203">
        <v>3</v>
      </c>
      <c r="X1203">
        <v>1985</v>
      </c>
      <c r="Z1203">
        <v>1</v>
      </c>
      <c r="AA1203" t="s">
        <v>26</v>
      </c>
      <c r="AB1203">
        <v>0</v>
      </c>
      <c r="AC1203" t="s">
        <v>115</v>
      </c>
      <c r="AD1203">
        <v>2</v>
      </c>
      <c r="AE1203" t="s">
        <v>115</v>
      </c>
      <c r="AF1203">
        <v>0</v>
      </c>
      <c r="AG1203">
        <v>0</v>
      </c>
      <c r="AH1203" t="s">
        <v>116</v>
      </c>
      <c r="AI1203" s="1">
        <v>82944</v>
      </c>
      <c r="AJ1203" s="2">
        <v>0.18</v>
      </c>
      <c r="AK1203" s="1">
        <v>452944</v>
      </c>
      <c r="AL1203" t="s">
        <v>117</v>
      </c>
      <c r="AM1203" t="s">
        <v>393</v>
      </c>
      <c r="AN1203">
        <v>10238</v>
      </c>
      <c r="AO1203">
        <v>0.24</v>
      </c>
      <c r="AP1203">
        <v>1</v>
      </c>
      <c r="AR1203">
        <v>1</v>
      </c>
      <c r="AS1203" s="1">
        <v>31170</v>
      </c>
      <c r="AT1203" s="1">
        <v>6230</v>
      </c>
      <c r="AU1203" s="1">
        <v>24940</v>
      </c>
      <c r="AV1203">
        <v>80.010000000000005</v>
      </c>
      <c r="AX1203" s="1">
        <v>1957.12</v>
      </c>
      <c r="AY1203" t="s">
        <v>5904</v>
      </c>
      <c r="AZ1203" t="s">
        <v>5420</v>
      </c>
      <c r="BA1203" t="s">
        <v>5763</v>
      </c>
      <c r="BE1203" s="3">
        <v>42122</v>
      </c>
      <c r="BF1203" s="1">
        <v>370000</v>
      </c>
      <c r="BG1203" t="s">
        <v>8141</v>
      </c>
      <c r="BH1203" s="1">
        <v>178.92</v>
      </c>
      <c r="BI1203" s="1">
        <v>370000</v>
      </c>
      <c r="BJ1203" s="3">
        <v>42122</v>
      </c>
      <c r="BK1203" t="s">
        <v>123</v>
      </c>
      <c r="BL1203" t="str">
        <f>"2015.292172"</f>
        <v>2015.292172</v>
      </c>
      <c r="BM1203" t="s">
        <v>1791</v>
      </c>
      <c r="BO1203" t="s">
        <v>8142</v>
      </c>
      <c r="BS1203">
        <v>30</v>
      </c>
      <c r="BW1203" t="str">
        <f>""</f>
        <v/>
      </c>
      <c r="CH1203" t="str">
        <f>""</f>
        <v/>
      </c>
      <c r="CS1203" t="str">
        <f>""</f>
        <v/>
      </c>
    </row>
    <row r="1204" spans="1:97" x14ac:dyDescent="0.25">
      <c r="A1204" t="s">
        <v>4863</v>
      </c>
      <c r="B1204" t="s">
        <v>8143</v>
      </c>
      <c r="E1204" t="s">
        <v>8144</v>
      </c>
      <c r="F1204" t="s">
        <v>108</v>
      </c>
      <c r="H1204" t="s">
        <v>8145</v>
      </c>
      <c r="I1204" t="s">
        <v>499</v>
      </c>
      <c r="J1204" t="s">
        <v>111</v>
      </c>
      <c r="K1204" t="str">
        <f>"85338"</f>
        <v>85338</v>
      </c>
      <c r="L1204" t="s">
        <v>8146</v>
      </c>
      <c r="M1204" t="s">
        <v>8145</v>
      </c>
      <c r="N1204" t="s">
        <v>499</v>
      </c>
      <c r="O1204" t="s">
        <v>111</v>
      </c>
      <c r="P1204" t="str">
        <f>"85338-7462"</f>
        <v>85338-7462</v>
      </c>
      <c r="Q1204" t="s">
        <v>113</v>
      </c>
      <c r="R1204" t="str">
        <f>"502-44-176"</f>
        <v>502-44-176</v>
      </c>
      <c r="S1204" t="s">
        <v>5101</v>
      </c>
      <c r="T1204" t="s">
        <v>5102</v>
      </c>
      <c r="U1204">
        <v>1954</v>
      </c>
      <c r="V1204">
        <v>0</v>
      </c>
      <c r="W1204">
        <v>3</v>
      </c>
      <c r="X1204">
        <v>2016</v>
      </c>
      <c r="Z1204">
        <v>1</v>
      </c>
      <c r="AB1204">
        <v>0</v>
      </c>
      <c r="AC1204" t="s">
        <v>115</v>
      </c>
      <c r="AD1204">
        <v>3</v>
      </c>
      <c r="AE1204" t="s">
        <v>115</v>
      </c>
      <c r="AF1204">
        <v>0</v>
      </c>
      <c r="AG1204">
        <v>0</v>
      </c>
      <c r="AH1204" t="s">
        <v>116</v>
      </c>
      <c r="AI1204" s="1">
        <v>39348</v>
      </c>
      <c r="AJ1204" s="2">
        <v>0.13</v>
      </c>
      <c r="AK1204" s="1">
        <v>292248</v>
      </c>
      <c r="AL1204" t="s">
        <v>117</v>
      </c>
      <c r="AM1204" t="s">
        <v>118</v>
      </c>
      <c r="AN1204">
        <v>9001</v>
      </c>
      <c r="AO1204">
        <v>0.21</v>
      </c>
      <c r="AR1204">
        <v>1</v>
      </c>
      <c r="AS1204" s="1">
        <v>21750</v>
      </c>
      <c r="AT1204" s="1">
        <v>4350</v>
      </c>
      <c r="AU1204" s="1">
        <v>17400</v>
      </c>
      <c r="AV1204">
        <v>80</v>
      </c>
      <c r="AX1204" s="1">
        <v>1664.44</v>
      </c>
      <c r="AY1204" t="s">
        <v>2767</v>
      </c>
      <c r="AZ1204" t="s">
        <v>2767</v>
      </c>
      <c r="BA1204" t="s">
        <v>1247</v>
      </c>
      <c r="BE1204" s="3">
        <v>42503</v>
      </c>
      <c r="BF1204" s="1">
        <v>252900</v>
      </c>
      <c r="BG1204" t="s">
        <v>275</v>
      </c>
      <c r="BH1204" s="1">
        <v>129.43</v>
      </c>
      <c r="BI1204" s="1">
        <v>252900</v>
      </c>
      <c r="BJ1204" s="3">
        <v>42503</v>
      </c>
      <c r="BK1204" t="s">
        <v>123</v>
      </c>
      <c r="BL1204" t="str">
        <f>"2016.330511"</f>
        <v>2016.330511</v>
      </c>
      <c r="BM1204" t="s">
        <v>651</v>
      </c>
      <c r="BO1204" t="s">
        <v>8147</v>
      </c>
      <c r="BS1204">
        <v>30</v>
      </c>
      <c r="BW1204" t="str">
        <f>""</f>
        <v/>
      </c>
      <c r="CH1204" t="str">
        <f>""</f>
        <v/>
      </c>
      <c r="CS1204" t="str">
        <f>""</f>
        <v/>
      </c>
    </row>
    <row r="1205" spans="1:97" x14ac:dyDescent="0.25">
      <c r="A1205" t="s">
        <v>8148</v>
      </c>
      <c r="B1205" t="s">
        <v>1552</v>
      </c>
      <c r="E1205" t="s">
        <v>8149</v>
      </c>
      <c r="F1205" t="s">
        <v>108</v>
      </c>
      <c r="H1205" t="s">
        <v>8150</v>
      </c>
      <c r="I1205" t="s">
        <v>225</v>
      </c>
      <c r="J1205" t="s">
        <v>111</v>
      </c>
      <c r="K1205" t="str">
        <f>"85207"</f>
        <v>85207</v>
      </c>
      <c r="L1205" t="s">
        <v>8151</v>
      </c>
      <c r="M1205" t="s">
        <v>8150</v>
      </c>
      <c r="N1205" t="s">
        <v>225</v>
      </c>
      <c r="O1205" t="s">
        <v>111</v>
      </c>
      <c r="P1205" t="str">
        <f>"85207-2337"</f>
        <v>85207-2337</v>
      </c>
      <c r="Q1205" t="s">
        <v>113</v>
      </c>
      <c r="R1205" t="str">
        <f>"220-11-293"</f>
        <v>220-11-293</v>
      </c>
      <c r="S1205" t="s">
        <v>8152</v>
      </c>
      <c r="T1205" t="s">
        <v>8153</v>
      </c>
      <c r="U1205">
        <v>1984</v>
      </c>
      <c r="V1205">
        <v>0</v>
      </c>
      <c r="W1205">
        <v>3</v>
      </c>
      <c r="X1205">
        <v>2001</v>
      </c>
      <c r="Z1205">
        <v>1</v>
      </c>
      <c r="AB1205">
        <v>0</v>
      </c>
      <c r="AC1205" t="s">
        <v>115</v>
      </c>
      <c r="AD1205">
        <v>4</v>
      </c>
      <c r="AE1205" t="s">
        <v>115</v>
      </c>
      <c r="AF1205">
        <v>0</v>
      </c>
      <c r="AG1205">
        <v>0</v>
      </c>
      <c r="AH1205" t="s">
        <v>116</v>
      </c>
      <c r="AI1205" s="1">
        <v>17466</v>
      </c>
      <c r="AJ1205" s="2">
        <v>0.05</v>
      </c>
      <c r="AK1205" s="1">
        <v>334566</v>
      </c>
      <c r="AL1205" t="s">
        <v>117</v>
      </c>
      <c r="AM1205" t="s">
        <v>393</v>
      </c>
      <c r="AN1205">
        <v>9387</v>
      </c>
      <c r="AO1205">
        <v>0.22</v>
      </c>
      <c r="AP1205">
        <v>1</v>
      </c>
      <c r="AR1205">
        <v>1</v>
      </c>
      <c r="AS1205" s="1">
        <v>23550</v>
      </c>
      <c r="AT1205" s="1">
        <v>4710</v>
      </c>
      <c r="AU1205" s="1">
        <v>18840</v>
      </c>
      <c r="AV1205">
        <v>80</v>
      </c>
      <c r="AX1205" s="1">
        <v>1657.76</v>
      </c>
      <c r="AY1205" t="s">
        <v>6572</v>
      </c>
      <c r="AZ1205" t="s">
        <v>3761</v>
      </c>
      <c r="BA1205" t="s">
        <v>232</v>
      </c>
      <c r="BE1205" s="3">
        <v>42521</v>
      </c>
      <c r="BF1205" s="1">
        <v>317100</v>
      </c>
      <c r="BG1205" t="s">
        <v>8154</v>
      </c>
      <c r="BH1205" s="1">
        <v>159.83000000000001</v>
      </c>
      <c r="BI1205" s="1">
        <v>317100</v>
      </c>
      <c r="BJ1205" s="3">
        <v>42521</v>
      </c>
      <c r="BK1205" t="s">
        <v>123</v>
      </c>
      <c r="BL1205" t="str">
        <f>"2016.372859"</f>
        <v>2016.372859</v>
      </c>
      <c r="BM1205" t="s">
        <v>820</v>
      </c>
      <c r="BO1205" t="s">
        <v>8155</v>
      </c>
      <c r="BS1205">
        <v>30</v>
      </c>
      <c r="BW1205" t="str">
        <f>""</f>
        <v/>
      </c>
      <c r="CH1205" t="str">
        <f>""</f>
        <v/>
      </c>
      <c r="CS1205" t="str">
        <f>""</f>
        <v/>
      </c>
    </row>
    <row r="1206" spans="1:97" x14ac:dyDescent="0.25">
      <c r="B1206" t="s">
        <v>8156</v>
      </c>
      <c r="E1206" t="s">
        <v>212</v>
      </c>
      <c r="F1206" t="s">
        <v>108</v>
      </c>
      <c r="H1206" t="s">
        <v>8157</v>
      </c>
      <c r="I1206" t="s">
        <v>167</v>
      </c>
      <c r="J1206" t="s">
        <v>111</v>
      </c>
      <c r="K1206" t="str">
        <f>"85339"</f>
        <v>85339</v>
      </c>
      <c r="L1206" t="s">
        <v>2765</v>
      </c>
      <c r="M1206" t="s">
        <v>8157</v>
      </c>
      <c r="N1206" t="s">
        <v>167</v>
      </c>
      <c r="O1206" t="s">
        <v>111</v>
      </c>
      <c r="P1206" t="str">
        <f>"85339-2535"</f>
        <v>85339-2535</v>
      </c>
      <c r="Q1206" t="s">
        <v>113</v>
      </c>
      <c r="R1206" t="str">
        <f>"300-14-804"</f>
        <v>300-14-804</v>
      </c>
      <c r="S1206" t="s">
        <v>8158</v>
      </c>
      <c r="T1206" t="s">
        <v>8158</v>
      </c>
      <c r="U1206">
        <v>1954</v>
      </c>
      <c r="V1206">
        <v>0</v>
      </c>
      <c r="W1206">
        <v>3</v>
      </c>
      <c r="X1206">
        <v>2016</v>
      </c>
      <c r="Z1206">
        <v>1</v>
      </c>
      <c r="AA1206" t="s">
        <v>26</v>
      </c>
      <c r="AB1206">
        <v>0</v>
      </c>
      <c r="AC1206" t="s">
        <v>115</v>
      </c>
      <c r="AD1206">
        <v>3</v>
      </c>
      <c r="AE1206" t="s">
        <v>115</v>
      </c>
      <c r="AF1206">
        <v>0</v>
      </c>
      <c r="AG1206">
        <v>0</v>
      </c>
      <c r="AH1206" t="s">
        <v>116</v>
      </c>
      <c r="AI1206" s="1">
        <v>47624</v>
      </c>
      <c r="AJ1206" s="2">
        <v>0.16</v>
      </c>
      <c r="AK1206" s="1">
        <v>306974</v>
      </c>
      <c r="AL1206" t="s">
        <v>117</v>
      </c>
      <c r="AM1206" t="s">
        <v>191</v>
      </c>
      <c r="AN1206">
        <v>7099</v>
      </c>
      <c r="AO1206">
        <v>0.16</v>
      </c>
      <c r="AR1206">
        <v>1</v>
      </c>
      <c r="AS1206" s="1">
        <v>23470</v>
      </c>
      <c r="AT1206" s="1">
        <v>4690</v>
      </c>
      <c r="AU1206" s="1">
        <v>18780</v>
      </c>
      <c r="AV1206">
        <v>80.02</v>
      </c>
      <c r="AX1206" s="1">
        <v>3092.52</v>
      </c>
      <c r="AY1206" t="s">
        <v>8159</v>
      </c>
      <c r="AZ1206" t="s">
        <v>8159</v>
      </c>
      <c r="BA1206" t="s">
        <v>1661</v>
      </c>
      <c r="BB1206" s="3">
        <v>42590</v>
      </c>
      <c r="BD1206" t="s">
        <v>240</v>
      </c>
      <c r="BE1206" s="3">
        <v>42401</v>
      </c>
      <c r="BF1206" s="1">
        <v>256866</v>
      </c>
      <c r="BG1206" t="s">
        <v>2289</v>
      </c>
      <c r="BH1206" s="1">
        <v>131.46</v>
      </c>
      <c r="BI1206" s="1">
        <v>259350</v>
      </c>
      <c r="BJ1206" s="3">
        <v>42584</v>
      </c>
      <c r="BK1206" t="s">
        <v>123</v>
      </c>
      <c r="BL1206" t="str">
        <f>"2016.547946"</f>
        <v>2016.547946</v>
      </c>
      <c r="BM1206" t="s">
        <v>124</v>
      </c>
      <c r="BN1206" t="s">
        <v>1575</v>
      </c>
      <c r="BO1206" t="s">
        <v>8160</v>
      </c>
      <c r="BS1206">
        <v>30</v>
      </c>
      <c r="BT1206" s="1">
        <v>259350</v>
      </c>
      <c r="BU1206" s="3">
        <v>42584</v>
      </c>
      <c r="BV1206" t="s">
        <v>123</v>
      </c>
      <c r="BW1206" t="str">
        <f>"2016.547946"</f>
        <v>2016.547946</v>
      </c>
      <c r="BX1206" t="s">
        <v>124</v>
      </c>
      <c r="BZ1206" t="s">
        <v>8160</v>
      </c>
      <c r="CD1206">
        <v>30</v>
      </c>
      <c r="CH1206" t="str">
        <f>""</f>
        <v/>
      </c>
      <c r="CS1206" t="str">
        <f>""</f>
        <v/>
      </c>
    </row>
    <row r="1207" spans="1:97" x14ac:dyDescent="0.25">
      <c r="A1207" t="s">
        <v>986</v>
      </c>
      <c r="B1207" t="s">
        <v>8161</v>
      </c>
      <c r="E1207" t="s">
        <v>8162</v>
      </c>
      <c r="F1207" t="s">
        <v>108</v>
      </c>
      <c r="H1207" t="s">
        <v>8163</v>
      </c>
      <c r="I1207" t="s">
        <v>5523</v>
      </c>
      <c r="J1207" t="s">
        <v>111</v>
      </c>
      <c r="K1207" t="str">
        <f>"85373"</f>
        <v>85373</v>
      </c>
      <c r="L1207" t="s">
        <v>5524</v>
      </c>
      <c r="M1207" t="s">
        <v>8163</v>
      </c>
      <c r="N1207" t="s">
        <v>5523</v>
      </c>
      <c r="O1207" t="s">
        <v>111</v>
      </c>
      <c r="P1207" t="str">
        <f>"85373-5623"</f>
        <v>85373-5623</v>
      </c>
      <c r="Q1207" t="s">
        <v>113</v>
      </c>
      <c r="R1207" t="str">
        <f>"503-97-105"</f>
        <v>503-97-105</v>
      </c>
      <c r="S1207" t="s">
        <v>8164</v>
      </c>
      <c r="T1207" t="s">
        <v>8165</v>
      </c>
      <c r="U1207">
        <v>3643</v>
      </c>
      <c r="V1207">
        <v>0</v>
      </c>
      <c r="W1207">
        <v>6</v>
      </c>
      <c r="X1207">
        <v>2006</v>
      </c>
      <c r="Z1207">
        <v>2</v>
      </c>
      <c r="AB1207">
        <v>0</v>
      </c>
      <c r="AC1207" t="s">
        <v>115</v>
      </c>
      <c r="AD1207">
        <v>2</v>
      </c>
      <c r="AE1207" t="s">
        <v>115</v>
      </c>
      <c r="AF1207">
        <v>0</v>
      </c>
      <c r="AG1207">
        <v>0</v>
      </c>
      <c r="AH1207" t="s">
        <v>116</v>
      </c>
      <c r="AI1207" s="1">
        <v>81787</v>
      </c>
      <c r="AJ1207" s="2">
        <v>0.23</v>
      </c>
      <c r="AK1207" s="1">
        <v>349334</v>
      </c>
      <c r="AL1207" t="s">
        <v>117</v>
      </c>
      <c r="AM1207" t="s">
        <v>191</v>
      </c>
      <c r="AN1207">
        <v>7168</v>
      </c>
      <c r="AO1207">
        <v>0.16</v>
      </c>
      <c r="AR1207">
        <v>1</v>
      </c>
      <c r="AS1207" s="1">
        <v>24880</v>
      </c>
      <c r="AT1207" s="1">
        <v>4970</v>
      </c>
      <c r="AU1207" s="1">
        <v>19910</v>
      </c>
      <c r="AV1207">
        <v>80.02</v>
      </c>
      <c r="AX1207" s="1">
        <v>2656</v>
      </c>
      <c r="AY1207" t="s">
        <v>3228</v>
      </c>
      <c r="AZ1207" t="s">
        <v>3228</v>
      </c>
      <c r="BA1207" t="s">
        <v>457</v>
      </c>
      <c r="BB1207" s="3">
        <v>43325</v>
      </c>
      <c r="BC1207" s="1">
        <v>0</v>
      </c>
      <c r="BD1207" t="s">
        <v>247</v>
      </c>
      <c r="BE1207" s="3">
        <v>41942</v>
      </c>
      <c r="BF1207" s="1">
        <v>259000</v>
      </c>
      <c r="BG1207" t="s">
        <v>8166</v>
      </c>
      <c r="BH1207" s="1">
        <v>71.099999999999994</v>
      </c>
      <c r="BI1207" s="1">
        <v>267547</v>
      </c>
      <c r="BJ1207" s="3">
        <v>41942</v>
      </c>
      <c r="BK1207" t="s">
        <v>123</v>
      </c>
      <c r="BL1207" t="str">
        <f>"2014.721421"</f>
        <v>2014.721421</v>
      </c>
      <c r="BM1207" t="s">
        <v>8167</v>
      </c>
      <c r="BN1207" t="s">
        <v>8007</v>
      </c>
      <c r="BO1207" t="s">
        <v>8168</v>
      </c>
      <c r="BS1207">
        <v>30</v>
      </c>
      <c r="BW1207" t="str">
        <f>""</f>
        <v/>
      </c>
      <c r="CH1207" t="str">
        <f>""</f>
        <v/>
      </c>
      <c r="CS1207" t="str">
        <f>""</f>
        <v/>
      </c>
    </row>
    <row r="1208" spans="1:97" x14ac:dyDescent="0.25">
      <c r="A1208" t="s">
        <v>2915</v>
      </c>
      <c r="B1208" t="s">
        <v>1428</v>
      </c>
      <c r="C1208" t="s">
        <v>179</v>
      </c>
      <c r="D1208" t="s">
        <v>8169</v>
      </c>
      <c r="E1208" t="s">
        <v>8170</v>
      </c>
      <c r="F1208" t="s">
        <v>108</v>
      </c>
      <c r="H1208" t="s">
        <v>8171</v>
      </c>
      <c r="I1208" t="s">
        <v>5387</v>
      </c>
      <c r="J1208" t="s">
        <v>111</v>
      </c>
      <c r="K1208" t="str">
        <f>"85283"</f>
        <v>85283</v>
      </c>
      <c r="L1208" t="s">
        <v>5308</v>
      </c>
      <c r="M1208" t="s">
        <v>8171</v>
      </c>
      <c r="N1208" t="s">
        <v>5387</v>
      </c>
      <c r="O1208" t="s">
        <v>111</v>
      </c>
      <c r="P1208" t="str">
        <f>"85283-4122"</f>
        <v>85283-4122</v>
      </c>
      <c r="Q1208" t="s">
        <v>113</v>
      </c>
      <c r="R1208" t="str">
        <f>"301-48-408"</f>
        <v>301-48-408</v>
      </c>
      <c r="S1208" t="s">
        <v>8172</v>
      </c>
      <c r="T1208" t="s">
        <v>5675</v>
      </c>
      <c r="U1208">
        <v>1859</v>
      </c>
      <c r="V1208">
        <v>0</v>
      </c>
      <c r="W1208">
        <v>3</v>
      </c>
      <c r="X1208">
        <v>1973</v>
      </c>
      <c r="Z1208">
        <v>1</v>
      </c>
      <c r="AA1208" t="s">
        <v>26</v>
      </c>
      <c r="AB1208">
        <v>0</v>
      </c>
      <c r="AC1208" t="s">
        <v>115</v>
      </c>
      <c r="AD1208">
        <v>2</v>
      </c>
      <c r="AE1208" t="s">
        <v>115</v>
      </c>
      <c r="AF1208">
        <v>0</v>
      </c>
      <c r="AG1208">
        <v>0</v>
      </c>
      <c r="AH1208" t="s">
        <v>116</v>
      </c>
      <c r="AI1208" s="1">
        <v>69823</v>
      </c>
      <c r="AJ1208" s="2">
        <v>0.21</v>
      </c>
      <c r="AK1208" s="1">
        <v>325173</v>
      </c>
      <c r="AL1208" t="s">
        <v>117</v>
      </c>
      <c r="AM1208" t="s">
        <v>191</v>
      </c>
      <c r="AN1208">
        <v>6221</v>
      </c>
      <c r="AO1208">
        <v>0.14000000000000001</v>
      </c>
      <c r="AP1208">
        <v>1</v>
      </c>
      <c r="AR1208">
        <v>1</v>
      </c>
      <c r="AS1208" s="1">
        <v>22950</v>
      </c>
      <c r="AT1208" s="1">
        <v>4590</v>
      </c>
      <c r="AU1208" s="1">
        <v>18360</v>
      </c>
      <c r="AV1208">
        <v>80</v>
      </c>
      <c r="AX1208" s="1">
        <v>1960.4</v>
      </c>
      <c r="AY1208" t="s">
        <v>5390</v>
      </c>
      <c r="AZ1208" t="s">
        <v>5391</v>
      </c>
      <c r="BA1208" t="s">
        <v>5392</v>
      </c>
      <c r="BE1208" s="3">
        <v>42270</v>
      </c>
      <c r="BF1208" s="1">
        <v>250000</v>
      </c>
      <c r="BG1208" t="s">
        <v>8173</v>
      </c>
      <c r="BH1208" s="1">
        <v>134.47999999999999</v>
      </c>
      <c r="BI1208" s="1">
        <v>255350</v>
      </c>
      <c r="BJ1208" s="3">
        <v>42270</v>
      </c>
      <c r="BK1208" t="s">
        <v>123</v>
      </c>
      <c r="BL1208" t="str">
        <f>"2015.685798"</f>
        <v>2015.685798</v>
      </c>
      <c r="BM1208" t="s">
        <v>124</v>
      </c>
      <c r="BO1208" t="s">
        <v>8174</v>
      </c>
      <c r="BP1208" t="s">
        <v>8175</v>
      </c>
      <c r="BS1208">
        <v>30</v>
      </c>
      <c r="BW1208" t="str">
        <f>""</f>
        <v/>
      </c>
      <c r="CH1208" t="str">
        <f>""</f>
        <v/>
      </c>
      <c r="CS1208" t="str">
        <f>""</f>
        <v/>
      </c>
    </row>
    <row r="1209" spans="1:97" x14ac:dyDescent="0.25">
      <c r="A1209" t="s">
        <v>3221</v>
      </c>
      <c r="B1209" t="s">
        <v>8176</v>
      </c>
      <c r="E1209" t="s">
        <v>8177</v>
      </c>
      <c r="F1209" t="s">
        <v>108</v>
      </c>
      <c r="H1209" t="s">
        <v>8178</v>
      </c>
      <c r="I1209" t="s">
        <v>110</v>
      </c>
      <c r="J1209" t="s">
        <v>111</v>
      </c>
      <c r="K1209" t="str">
        <f>"85225"</f>
        <v>85225</v>
      </c>
      <c r="L1209" t="s">
        <v>6169</v>
      </c>
      <c r="M1209" t="s">
        <v>8178</v>
      </c>
      <c r="N1209" t="s">
        <v>110</v>
      </c>
      <c r="O1209" t="s">
        <v>111</v>
      </c>
      <c r="P1209" t="str">
        <f>"85225-2221"</f>
        <v>85225-2221</v>
      </c>
      <c r="Q1209" t="s">
        <v>113</v>
      </c>
      <c r="R1209" t="str">
        <f>"303-02-227"</f>
        <v>303-02-227</v>
      </c>
      <c r="S1209" t="s">
        <v>8179</v>
      </c>
      <c r="U1209">
        <v>2142</v>
      </c>
      <c r="V1209">
        <v>0</v>
      </c>
      <c r="W1209">
        <v>3</v>
      </c>
      <c r="X1209">
        <v>1988</v>
      </c>
      <c r="Z1209">
        <v>1</v>
      </c>
      <c r="AA1209" t="s">
        <v>26</v>
      </c>
      <c r="AB1209">
        <v>0</v>
      </c>
      <c r="AC1209" t="s">
        <v>115</v>
      </c>
      <c r="AD1209">
        <v>2</v>
      </c>
      <c r="AE1209" t="s">
        <v>115</v>
      </c>
      <c r="AF1209">
        <v>0</v>
      </c>
      <c r="AG1209">
        <v>0</v>
      </c>
      <c r="AH1209" t="s">
        <v>116</v>
      </c>
      <c r="AI1209" s="1">
        <v>93630</v>
      </c>
      <c r="AJ1209" s="2">
        <v>0.24</v>
      </c>
      <c r="AK1209" s="1">
        <v>397445</v>
      </c>
      <c r="AL1209" t="s">
        <v>117</v>
      </c>
      <c r="AM1209" t="s">
        <v>118</v>
      </c>
      <c r="AN1209">
        <v>23435</v>
      </c>
      <c r="AO1209">
        <v>0.54</v>
      </c>
      <c r="AP1209">
        <v>1</v>
      </c>
      <c r="AR1209">
        <v>1</v>
      </c>
      <c r="AS1209" s="1">
        <v>29350</v>
      </c>
      <c r="AT1209" s="1">
        <v>5870</v>
      </c>
      <c r="AU1209" s="1">
        <v>23480</v>
      </c>
      <c r="AV1209">
        <v>80</v>
      </c>
      <c r="AX1209" s="1">
        <v>2249.1</v>
      </c>
      <c r="AY1209" t="s">
        <v>5650</v>
      </c>
      <c r="AZ1209" t="s">
        <v>2906</v>
      </c>
      <c r="BA1209" t="s">
        <v>303</v>
      </c>
      <c r="BB1209" s="3">
        <v>42177</v>
      </c>
      <c r="BD1209" t="s">
        <v>240</v>
      </c>
      <c r="BE1209" s="3">
        <v>42053</v>
      </c>
      <c r="BF1209" s="1">
        <v>287895</v>
      </c>
      <c r="BG1209" t="s">
        <v>8180</v>
      </c>
      <c r="BH1209" s="1">
        <v>134.4</v>
      </c>
      <c r="BI1209" s="1">
        <v>303815</v>
      </c>
      <c r="BJ1209" s="3">
        <v>42657</v>
      </c>
      <c r="BK1209" t="s">
        <v>123</v>
      </c>
      <c r="BL1209" t="str">
        <f>"2016.753350"</f>
        <v>2016.753350</v>
      </c>
      <c r="BM1209" t="s">
        <v>492</v>
      </c>
      <c r="BO1209" t="s">
        <v>8181</v>
      </c>
      <c r="BS1209">
        <v>30</v>
      </c>
      <c r="BW1209" t="str">
        <f>""</f>
        <v/>
      </c>
      <c r="CH1209" t="str">
        <f>""</f>
        <v/>
      </c>
      <c r="CS1209" t="str">
        <f>""</f>
        <v/>
      </c>
    </row>
    <row r="1210" spans="1:97" x14ac:dyDescent="0.25">
      <c r="A1210" t="s">
        <v>257</v>
      </c>
      <c r="B1210" t="s">
        <v>8182</v>
      </c>
      <c r="C1210" t="s">
        <v>8183</v>
      </c>
      <c r="D1210" t="s">
        <v>8182</v>
      </c>
      <c r="E1210" t="s">
        <v>8184</v>
      </c>
      <c r="F1210" t="s">
        <v>108</v>
      </c>
      <c r="H1210" t="s">
        <v>8185</v>
      </c>
      <c r="I1210" t="s">
        <v>110</v>
      </c>
      <c r="J1210" t="s">
        <v>111</v>
      </c>
      <c r="K1210" t="str">
        <f>"85226"</f>
        <v>85226</v>
      </c>
      <c r="L1210" t="s">
        <v>5084</v>
      </c>
      <c r="M1210" t="s">
        <v>8185</v>
      </c>
      <c r="N1210" t="s">
        <v>110</v>
      </c>
      <c r="O1210" t="s">
        <v>111</v>
      </c>
      <c r="P1210" t="str">
        <f>"85226-7530"</f>
        <v>85226-7530</v>
      </c>
      <c r="Q1210" t="s">
        <v>113</v>
      </c>
      <c r="R1210" t="str">
        <f>"308-04-674"</f>
        <v>308-04-674</v>
      </c>
      <c r="S1210" t="s">
        <v>8186</v>
      </c>
      <c r="T1210" t="s">
        <v>8187</v>
      </c>
      <c r="U1210">
        <v>1682</v>
      </c>
      <c r="V1210">
        <v>0</v>
      </c>
      <c r="W1210">
        <v>3</v>
      </c>
      <c r="X1210">
        <v>1992</v>
      </c>
      <c r="Z1210">
        <v>1</v>
      </c>
      <c r="AB1210">
        <v>0</v>
      </c>
      <c r="AC1210" t="s">
        <v>115</v>
      </c>
      <c r="AD1210">
        <v>2</v>
      </c>
      <c r="AE1210" t="s">
        <v>115</v>
      </c>
      <c r="AF1210">
        <v>0</v>
      </c>
      <c r="AG1210">
        <v>0</v>
      </c>
      <c r="AH1210" t="s">
        <v>116</v>
      </c>
      <c r="AI1210" s="1">
        <v>78075</v>
      </c>
      <c r="AJ1210" s="2">
        <v>0.24</v>
      </c>
      <c r="AK1210" s="1">
        <v>319575</v>
      </c>
      <c r="AL1210" t="s">
        <v>117</v>
      </c>
      <c r="AM1210" t="s">
        <v>118</v>
      </c>
      <c r="AN1210">
        <v>5698</v>
      </c>
      <c r="AO1210">
        <v>0.13</v>
      </c>
      <c r="AP1210">
        <v>1</v>
      </c>
      <c r="AR1210">
        <v>1</v>
      </c>
      <c r="AS1210" s="1">
        <v>21820</v>
      </c>
      <c r="AT1210" s="1">
        <v>4360</v>
      </c>
      <c r="AU1210" s="1">
        <v>17460</v>
      </c>
      <c r="AV1210">
        <v>80.02</v>
      </c>
      <c r="AX1210" s="1">
        <v>1655.4</v>
      </c>
      <c r="AY1210" t="s">
        <v>5200</v>
      </c>
      <c r="AZ1210" t="s">
        <v>5201</v>
      </c>
      <c r="BA1210" t="s">
        <v>5328</v>
      </c>
      <c r="BE1210" s="3">
        <v>42431</v>
      </c>
      <c r="BF1210" s="1">
        <v>248000</v>
      </c>
      <c r="BG1210" t="s">
        <v>8188</v>
      </c>
      <c r="BH1210" s="1">
        <v>147.44</v>
      </c>
      <c r="BI1210" s="1">
        <v>241500</v>
      </c>
      <c r="BJ1210" s="3">
        <v>42431</v>
      </c>
      <c r="BK1210" t="s">
        <v>123</v>
      </c>
      <c r="BL1210" t="str">
        <f>"2016.136057"</f>
        <v>2016.136057</v>
      </c>
      <c r="BM1210" t="s">
        <v>724</v>
      </c>
      <c r="BO1210" t="s">
        <v>8189</v>
      </c>
      <c r="BS1210">
        <v>30</v>
      </c>
      <c r="BW1210" t="str">
        <f>""</f>
        <v/>
      </c>
      <c r="CH1210" t="str">
        <f>""</f>
        <v/>
      </c>
      <c r="CS1210" t="str">
        <f>""</f>
        <v/>
      </c>
    </row>
    <row r="1211" spans="1:97" x14ac:dyDescent="0.25">
      <c r="A1211" t="s">
        <v>4327</v>
      </c>
      <c r="B1211" t="s">
        <v>8190</v>
      </c>
      <c r="E1211" t="s">
        <v>8191</v>
      </c>
      <c r="F1211" t="s">
        <v>108</v>
      </c>
      <c r="H1211" t="s">
        <v>8192</v>
      </c>
      <c r="I1211" t="s">
        <v>632</v>
      </c>
      <c r="J1211" t="s">
        <v>111</v>
      </c>
      <c r="K1211" t="str">
        <f>"85379"</f>
        <v>85379</v>
      </c>
      <c r="L1211" t="s">
        <v>269</v>
      </c>
      <c r="M1211" t="s">
        <v>8192</v>
      </c>
      <c r="N1211" t="s">
        <v>632</v>
      </c>
      <c r="O1211" t="s">
        <v>111</v>
      </c>
      <c r="P1211" t="str">
        <f>"85379-5376"</f>
        <v>85379-5376</v>
      </c>
      <c r="Q1211" t="s">
        <v>113</v>
      </c>
      <c r="R1211" t="str">
        <f>"501-96-528"</f>
        <v>501-96-528</v>
      </c>
      <c r="S1211" t="s">
        <v>8193</v>
      </c>
      <c r="U1211">
        <v>2092</v>
      </c>
      <c r="V1211">
        <v>0</v>
      </c>
      <c r="W1211">
        <v>4</v>
      </c>
      <c r="X1211">
        <v>2004</v>
      </c>
      <c r="Z1211">
        <v>2</v>
      </c>
      <c r="AA1211" t="s">
        <v>26</v>
      </c>
      <c r="AB1211">
        <v>0</v>
      </c>
      <c r="AC1211" t="s">
        <v>115</v>
      </c>
      <c r="AD1211">
        <v>2</v>
      </c>
      <c r="AE1211" t="s">
        <v>115</v>
      </c>
      <c r="AF1211">
        <v>0</v>
      </c>
      <c r="AG1211">
        <v>0</v>
      </c>
      <c r="AH1211" t="s">
        <v>116</v>
      </c>
      <c r="AI1211" s="1">
        <v>51848</v>
      </c>
      <c r="AJ1211" s="2">
        <v>0.19</v>
      </c>
      <c r="AK1211" s="1">
        <v>271470</v>
      </c>
      <c r="AL1211" t="s">
        <v>117</v>
      </c>
      <c r="AM1211" t="s">
        <v>118</v>
      </c>
      <c r="AN1211">
        <v>7403</v>
      </c>
      <c r="AO1211">
        <v>0.17</v>
      </c>
      <c r="AP1211">
        <v>1</v>
      </c>
      <c r="AR1211">
        <v>1</v>
      </c>
      <c r="AS1211" s="1">
        <v>18430</v>
      </c>
      <c r="AT1211" s="1">
        <v>3680</v>
      </c>
      <c r="AU1211" s="1">
        <v>14750</v>
      </c>
      <c r="AV1211">
        <v>80.03</v>
      </c>
      <c r="AX1211" s="1">
        <v>1460.54</v>
      </c>
      <c r="AY1211" t="s">
        <v>5615</v>
      </c>
      <c r="AZ1211" t="s">
        <v>5615</v>
      </c>
      <c r="BA1211" t="s">
        <v>635</v>
      </c>
      <c r="BE1211" s="3">
        <v>42480</v>
      </c>
      <c r="BF1211" s="1">
        <v>215000</v>
      </c>
      <c r="BG1211" t="s">
        <v>8194</v>
      </c>
      <c r="BH1211" s="1">
        <v>102.77</v>
      </c>
      <c r="BI1211" s="1">
        <v>219622</v>
      </c>
      <c r="BJ1211" s="3">
        <v>42480</v>
      </c>
      <c r="BK1211" t="s">
        <v>123</v>
      </c>
      <c r="BL1211" t="str">
        <f>"2016.263977"</f>
        <v>2016.263977</v>
      </c>
      <c r="BM1211" t="s">
        <v>1325</v>
      </c>
      <c r="BO1211" t="s">
        <v>8195</v>
      </c>
      <c r="BS1211">
        <v>30</v>
      </c>
      <c r="BW1211" t="str">
        <f>""</f>
        <v/>
      </c>
      <c r="CH1211" t="str">
        <f>""</f>
        <v/>
      </c>
      <c r="CS1211" t="str">
        <f>""</f>
        <v/>
      </c>
    </row>
    <row r="1212" spans="1:97" x14ac:dyDescent="0.25">
      <c r="A1212" t="s">
        <v>894</v>
      </c>
      <c r="B1212" t="s">
        <v>8196</v>
      </c>
      <c r="C1212" t="s">
        <v>4145</v>
      </c>
      <c r="D1212" t="s">
        <v>8196</v>
      </c>
      <c r="E1212" t="s">
        <v>8197</v>
      </c>
      <c r="F1212" t="s">
        <v>108</v>
      </c>
      <c r="H1212" t="s">
        <v>8198</v>
      </c>
      <c r="I1212" t="s">
        <v>110</v>
      </c>
      <c r="J1212" t="s">
        <v>111</v>
      </c>
      <c r="K1212" t="str">
        <f>"85224"</f>
        <v>85224</v>
      </c>
      <c r="L1212" t="s">
        <v>8199</v>
      </c>
      <c r="M1212" t="s">
        <v>8198</v>
      </c>
      <c r="N1212" t="s">
        <v>110</v>
      </c>
      <c r="O1212" t="s">
        <v>111</v>
      </c>
      <c r="P1212" t="str">
        <f>"85224-6425"</f>
        <v>85224-6425</v>
      </c>
      <c r="Q1212" t="s">
        <v>113</v>
      </c>
      <c r="R1212" t="str">
        <f>"303-23-651"</f>
        <v>303-23-651</v>
      </c>
      <c r="S1212" t="s">
        <v>8200</v>
      </c>
      <c r="T1212" t="s">
        <v>8201</v>
      </c>
      <c r="U1212">
        <v>1515</v>
      </c>
      <c r="V1212">
        <v>0</v>
      </c>
      <c r="W1212">
        <v>3</v>
      </c>
      <c r="X1212">
        <v>1992</v>
      </c>
      <c r="Z1212">
        <v>1</v>
      </c>
      <c r="AA1212" t="s">
        <v>26</v>
      </c>
      <c r="AB1212">
        <v>0</v>
      </c>
      <c r="AC1212" t="s">
        <v>115</v>
      </c>
      <c r="AD1212">
        <v>2</v>
      </c>
      <c r="AE1212" t="s">
        <v>115</v>
      </c>
      <c r="AF1212">
        <v>0</v>
      </c>
      <c r="AG1212">
        <v>0</v>
      </c>
      <c r="AH1212" t="s">
        <v>116</v>
      </c>
      <c r="AI1212" s="1">
        <v>48377</v>
      </c>
      <c r="AJ1212" s="2">
        <v>0.16</v>
      </c>
      <c r="AK1212" s="1">
        <v>310167</v>
      </c>
      <c r="AL1212" t="s">
        <v>117</v>
      </c>
      <c r="AM1212" t="s">
        <v>118</v>
      </c>
      <c r="AN1212">
        <v>7004</v>
      </c>
      <c r="AO1212">
        <v>0.16</v>
      </c>
      <c r="AP1212">
        <v>1</v>
      </c>
      <c r="AR1212">
        <v>1</v>
      </c>
      <c r="AS1212" s="1">
        <v>21580</v>
      </c>
      <c r="AT1212" s="1">
        <v>4310</v>
      </c>
      <c r="AU1212" s="1">
        <v>17270</v>
      </c>
      <c r="AV1212">
        <v>80.03</v>
      </c>
      <c r="AX1212" s="1">
        <v>1626.02</v>
      </c>
      <c r="AY1212" t="s">
        <v>6015</v>
      </c>
      <c r="AZ1212" t="s">
        <v>5078</v>
      </c>
      <c r="BA1212" t="s">
        <v>121</v>
      </c>
      <c r="BE1212" s="3">
        <v>41850</v>
      </c>
      <c r="BF1212" s="1">
        <v>230000</v>
      </c>
      <c r="BG1212" t="s">
        <v>8202</v>
      </c>
      <c r="BH1212" s="1">
        <v>151.82</v>
      </c>
      <c r="BI1212" s="1">
        <v>239190</v>
      </c>
      <c r="BJ1212" s="3">
        <v>42094</v>
      </c>
      <c r="BK1212" t="s">
        <v>123</v>
      </c>
      <c r="BL1212" t="str">
        <f>"2015.219770"</f>
        <v>2015.219770</v>
      </c>
      <c r="BM1212" t="s">
        <v>544</v>
      </c>
      <c r="BN1212" t="s">
        <v>545</v>
      </c>
      <c r="BO1212" t="s">
        <v>8203</v>
      </c>
      <c r="BS1212">
        <v>30</v>
      </c>
      <c r="BT1212" s="1">
        <v>22600</v>
      </c>
      <c r="BU1212" s="3">
        <v>43405</v>
      </c>
      <c r="BV1212" t="s">
        <v>134</v>
      </c>
      <c r="BW1212" t="str">
        <f>"2018.818042"</f>
        <v>2018.818042</v>
      </c>
      <c r="BX1212" t="s">
        <v>1156</v>
      </c>
      <c r="BY1212" t="s">
        <v>1157</v>
      </c>
      <c r="BZ1212" t="s">
        <v>8204</v>
      </c>
      <c r="CA1212" t="s">
        <v>8205</v>
      </c>
      <c r="CC1212" t="s">
        <v>139</v>
      </c>
      <c r="CH1212" t="str">
        <f>""</f>
        <v/>
      </c>
      <c r="CS1212" t="str">
        <f>""</f>
        <v/>
      </c>
    </row>
    <row r="1213" spans="1:97" x14ac:dyDescent="0.25">
      <c r="A1213" t="s">
        <v>8206</v>
      </c>
      <c r="B1213" t="s">
        <v>8207</v>
      </c>
      <c r="E1213" t="s">
        <v>8208</v>
      </c>
      <c r="F1213" t="s">
        <v>108</v>
      </c>
      <c r="H1213" t="s">
        <v>8209</v>
      </c>
      <c r="I1213" t="s">
        <v>2874</v>
      </c>
      <c r="J1213" t="s">
        <v>111</v>
      </c>
      <c r="K1213" t="str">
        <f>"85302"</f>
        <v>85302</v>
      </c>
      <c r="L1213" t="s">
        <v>5408</v>
      </c>
      <c r="M1213" t="s">
        <v>8209</v>
      </c>
      <c r="N1213" t="s">
        <v>2874</v>
      </c>
      <c r="O1213" t="s">
        <v>111</v>
      </c>
      <c r="P1213" t="str">
        <f>"85302-3511"</f>
        <v>85302-3511</v>
      </c>
      <c r="Q1213" t="s">
        <v>113</v>
      </c>
      <c r="R1213" t="str">
        <f>"148-08-403"</f>
        <v>148-08-403</v>
      </c>
      <c r="S1213" t="s">
        <v>8210</v>
      </c>
      <c r="T1213" t="s">
        <v>8211</v>
      </c>
      <c r="U1213">
        <v>1957</v>
      </c>
      <c r="V1213">
        <v>0</v>
      </c>
      <c r="W1213">
        <v>3</v>
      </c>
      <c r="X1213">
        <v>1979</v>
      </c>
      <c r="Z1213">
        <v>1</v>
      </c>
      <c r="AA1213" t="s">
        <v>26</v>
      </c>
      <c r="AB1213">
        <v>0</v>
      </c>
      <c r="AC1213" t="s">
        <v>115</v>
      </c>
      <c r="AD1213">
        <v>2</v>
      </c>
      <c r="AE1213" t="s">
        <v>115</v>
      </c>
      <c r="AF1213">
        <v>0</v>
      </c>
      <c r="AG1213">
        <v>0</v>
      </c>
      <c r="AH1213" t="s">
        <v>116</v>
      </c>
      <c r="AI1213" s="1">
        <v>58721</v>
      </c>
      <c r="AJ1213" s="2">
        <v>0.22</v>
      </c>
      <c r="AK1213" s="1">
        <v>265064</v>
      </c>
      <c r="AL1213" t="s">
        <v>117</v>
      </c>
      <c r="AM1213" t="s">
        <v>191</v>
      </c>
      <c r="AN1213">
        <v>7775</v>
      </c>
      <c r="AO1213">
        <v>0.18</v>
      </c>
      <c r="AP1213">
        <v>1</v>
      </c>
      <c r="AR1213">
        <v>1</v>
      </c>
      <c r="AS1213" s="1">
        <v>17600</v>
      </c>
      <c r="AT1213" s="1">
        <v>3520</v>
      </c>
      <c r="AU1213" s="1">
        <v>14080</v>
      </c>
      <c r="AV1213">
        <v>80</v>
      </c>
      <c r="AX1213" s="1">
        <v>1236.8800000000001</v>
      </c>
      <c r="AY1213" t="s">
        <v>6985</v>
      </c>
      <c r="AZ1213" t="s">
        <v>6986</v>
      </c>
      <c r="BA1213" t="s">
        <v>6987</v>
      </c>
      <c r="BE1213" s="3">
        <v>42549</v>
      </c>
      <c r="BF1213" s="1">
        <v>202000</v>
      </c>
      <c r="BG1213" t="s">
        <v>8212</v>
      </c>
      <c r="BH1213" s="1">
        <v>103.22</v>
      </c>
      <c r="BI1213" s="1">
        <v>206343</v>
      </c>
      <c r="BJ1213" s="3">
        <v>42549</v>
      </c>
      <c r="BK1213" t="s">
        <v>123</v>
      </c>
      <c r="BL1213" t="str">
        <f>"2016.451273"</f>
        <v>2016.451273</v>
      </c>
      <c r="BM1213" t="s">
        <v>8213</v>
      </c>
      <c r="BO1213" t="s">
        <v>8214</v>
      </c>
      <c r="BS1213">
        <v>30</v>
      </c>
      <c r="BW1213" t="str">
        <f>""</f>
        <v/>
      </c>
      <c r="CH1213" t="str">
        <f>""</f>
        <v/>
      </c>
      <c r="CS1213" t="str">
        <f>""</f>
        <v/>
      </c>
    </row>
    <row r="1214" spans="1:97" x14ac:dyDescent="0.25">
      <c r="A1214" t="s">
        <v>370</v>
      </c>
      <c r="B1214" t="s">
        <v>1082</v>
      </c>
      <c r="C1214" t="s">
        <v>4386</v>
      </c>
      <c r="D1214" t="s">
        <v>1082</v>
      </c>
      <c r="E1214" t="s">
        <v>8215</v>
      </c>
      <c r="F1214" t="s">
        <v>282</v>
      </c>
      <c r="H1214" t="s">
        <v>8216</v>
      </c>
      <c r="I1214" t="s">
        <v>453</v>
      </c>
      <c r="J1214" t="s">
        <v>111</v>
      </c>
      <c r="K1214" t="str">
        <f>"85383"</f>
        <v>85383</v>
      </c>
      <c r="L1214" t="s">
        <v>7235</v>
      </c>
      <c r="M1214" t="s">
        <v>8216</v>
      </c>
      <c r="N1214" t="s">
        <v>632</v>
      </c>
      <c r="O1214" t="s">
        <v>111</v>
      </c>
      <c r="P1214" t="str">
        <f>"85387"</f>
        <v>85387</v>
      </c>
      <c r="Q1214" t="s">
        <v>113</v>
      </c>
      <c r="R1214" t="str">
        <f>"503-54-071"</f>
        <v>503-54-071</v>
      </c>
      <c r="S1214" t="s">
        <v>8217</v>
      </c>
      <c r="T1214" t="s">
        <v>7237</v>
      </c>
      <c r="U1214">
        <v>1856</v>
      </c>
      <c r="V1214">
        <v>0</v>
      </c>
      <c r="W1214">
        <v>4</v>
      </c>
      <c r="X1214">
        <v>2014</v>
      </c>
      <c r="Z1214">
        <v>1</v>
      </c>
      <c r="AB1214">
        <v>0</v>
      </c>
      <c r="AC1214" t="s">
        <v>115</v>
      </c>
      <c r="AD1214">
        <v>3</v>
      </c>
      <c r="AE1214" t="s">
        <v>115</v>
      </c>
      <c r="AF1214">
        <v>0</v>
      </c>
      <c r="AG1214">
        <v>0</v>
      </c>
      <c r="AH1214" t="s">
        <v>116</v>
      </c>
      <c r="AI1214" s="1">
        <v>75050</v>
      </c>
      <c r="AJ1214" s="2">
        <v>0.24</v>
      </c>
      <c r="AK1214" s="1">
        <v>318884</v>
      </c>
      <c r="AL1214" t="s">
        <v>117</v>
      </c>
      <c r="AM1214" t="s">
        <v>191</v>
      </c>
      <c r="AN1214">
        <v>6836</v>
      </c>
      <c r="AO1214">
        <v>0.16</v>
      </c>
      <c r="AR1214">
        <v>1</v>
      </c>
      <c r="AS1214" s="1">
        <v>21960</v>
      </c>
      <c r="AT1214" s="1">
        <v>4390</v>
      </c>
      <c r="AU1214" s="1">
        <v>17570</v>
      </c>
      <c r="AV1214">
        <v>80.010000000000005</v>
      </c>
      <c r="AX1214" s="1">
        <v>1924.42</v>
      </c>
      <c r="AY1214" t="s">
        <v>456</v>
      </c>
      <c r="AZ1214" t="s">
        <v>456</v>
      </c>
      <c r="BA1214" t="s">
        <v>457</v>
      </c>
      <c r="BE1214" s="3">
        <v>41736</v>
      </c>
      <c r="BF1214" s="1">
        <v>236045</v>
      </c>
      <c r="BG1214" t="s">
        <v>8218</v>
      </c>
      <c r="BH1214" s="1">
        <v>127.18</v>
      </c>
      <c r="BI1214" s="1">
        <v>243834</v>
      </c>
      <c r="BJ1214" s="3">
        <v>41736</v>
      </c>
      <c r="BK1214" t="s">
        <v>123</v>
      </c>
      <c r="BL1214" t="str">
        <f>"2014.223448"</f>
        <v>2014.223448</v>
      </c>
      <c r="BM1214" t="s">
        <v>2683</v>
      </c>
      <c r="BO1214" t="s">
        <v>8219</v>
      </c>
      <c r="BS1214">
        <v>30</v>
      </c>
      <c r="BW1214" t="str">
        <f>""</f>
        <v/>
      </c>
      <c r="CH1214" t="str">
        <f>""</f>
        <v/>
      </c>
      <c r="CS1214" t="str">
        <f>""</f>
        <v/>
      </c>
    </row>
    <row r="1215" spans="1:97" x14ac:dyDescent="0.25">
      <c r="A1215" t="s">
        <v>2591</v>
      </c>
      <c r="B1215" t="s">
        <v>8220</v>
      </c>
      <c r="C1215" t="s">
        <v>8221</v>
      </c>
      <c r="D1215" t="s">
        <v>8220</v>
      </c>
      <c r="E1215" t="s">
        <v>8222</v>
      </c>
      <c r="F1215" t="s">
        <v>108</v>
      </c>
      <c r="H1215" t="s">
        <v>8223</v>
      </c>
      <c r="I1215" t="s">
        <v>110</v>
      </c>
      <c r="J1215" t="s">
        <v>111</v>
      </c>
      <c r="K1215" t="str">
        <f>"85226"</f>
        <v>85226</v>
      </c>
      <c r="L1215" t="s">
        <v>7834</v>
      </c>
      <c r="M1215" t="s">
        <v>8223</v>
      </c>
      <c r="N1215" t="s">
        <v>110</v>
      </c>
      <c r="O1215" t="s">
        <v>111</v>
      </c>
      <c r="P1215" t="str">
        <f>"85226-4941"</f>
        <v>85226-4941</v>
      </c>
      <c r="R1215" t="str">
        <f>"301-65-675"</f>
        <v>301-65-675</v>
      </c>
      <c r="S1215" t="s">
        <v>8224</v>
      </c>
      <c r="U1215">
        <v>1272</v>
      </c>
      <c r="V1215">
        <v>0</v>
      </c>
      <c r="W1215">
        <v>3</v>
      </c>
      <c r="X1215">
        <v>1986</v>
      </c>
      <c r="Z1215">
        <v>1</v>
      </c>
      <c r="AA1215" t="s">
        <v>26</v>
      </c>
      <c r="AB1215">
        <v>0</v>
      </c>
      <c r="AC1215" t="s">
        <v>115</v>
      </c>
      <c r="AD1215">
        <v>2</v>
      </c>
      <c r="AE1215" t="s">
        <v>115</v>
      </c>
      <c r="AF1215">
        <v>0</v>
      </c>
      <c r="AG1215">
        <v>0</v>
      </c>
      <c r="AH1215" t="s">
        <v>116</v>
      </c>
      <c r="AI1215" s="1">
        <v>50015</v>
      </c>
      <c r="AJ1215" s="2">
        <v>0.18</v>
      </c>
      <c r="AK1215" s="1">
        <v>277663</v>
      </c>
      <c r="AL1215" t="s">
        <v>117</v>
      </c>
      <c r="AM1215" t="s">
        <v>118</v>
      </c>
      <c r="AN1215">
        <v>7610</v>
      </c>
      <c r="AO1215">
        <v>0.18</v>
      </c>
      <c r="AP1215">
        <v>1</v>
      </c>
      <c r="AR1215">
        <v>1</v>
      </c>
      <c r="AS1215" s="1">
        <v>19050</v>
      </c>
      <c r="AT1215" s="1">
        <v>3810</v>
      </c>
      <c r="AU1215" s="1">
        <v>15240</v>
      </c>
      <c r="AV1215">
        <v>80</v>
      </c>
      <c r="AX1215" s="1">
        <v>1396.1</v>
      </c>
      <c r="AY1215" t="s">
        <v>8225</v>
      </c>
      <c r="AZ1215" t="s">
        <v>5922</v>
      </c>
      <c r="BA1215" t="s">
        <v>5202</v>
      </c>
      <c r="BE1215" s="3">
        <v>42426</v>
      </c>
      <c r="BF1215" s="1">
        <v>220000</v>
      </c>
      <c r="BG1215" t="s">
        <v>8226</v>
      </c>
      <c r="BH1215" s="1">
        <v>172.96</v>
      </c>
      <c r="BI1215" s="1">
        <v>227648</v>
      </c>
      <c r="BJ1215" s="3">
        <v>42548</v>
      </c>
      <c r="BK1215" t="s">
        <v>123</v>
      </c>
      <c r="BL1215" t="str">
        <f>"2016.448239"</f>
        <v>2016.448239</v>
      </c>
      <c r="BM1215" t="s">
        <v>255</v>
      </c>
      <c r="BN1215" t="s">
        <v>2398</v>
      </c>
      <c r="BO1215" t="s">
        <v>8227</v>
      </c>
      <c r="BS1215">
        <v>30</v>
      </c>
      <c r="BW1215" t="str">
        <f>""</f>
        <v/>
      </c>
      <c r="CH1215" t="str">
        <f>""</f>
        <v/>
      </c>
      <c r="CS1215" t="str">
        <f>""</f>
        <v/>
      </c>
    </row>
    <row r="1216" spans="1:97" x14ac:dyDescent="0.25">
      <c r="A1216" t="s">
        <v>325</v>
      </c>
      <c r="B1216" t="s">
        <v>1388</v>
      </c>
      <c r="E1216" t="s">
        <v>8228</v>
      </c>
      <c r="F1216" t="s">
        <v>108</v>
      </c>
      <c r="H1216" t="s">
        <v>8229</v>
      </c>
      <c r="I1216" t="s">
        <v>632</v>
      </c>
      <c r="J1216" t="s">
        <v>111</v>
      </c>
      <c r="K1216" t="str">
        <f>"85379"</f>
        <v>85379</v>
      </c>
      <c r="L1216" t="s">
        <v>5058</v>
      </c>
      <c r="M1216" t="s">
        <v>8229</v>
      </c>
      <c r="N1216" t="s">
        <v>632</v>
      </c>
      <c r="O1216" t="s">
        <v>111</v>
      </c>
      <c r="P1216" t="str">
        <f>"85379-1141"</f>
        <v>85379-1141</v>
      </c>
      <c r="Q1216" t="s">
        <v>113</v>
      </c>
      <c r="R1216" t="str">
        <f>"501-79-256"</f>
        <v>501-79-256</v>
      </c>
      <c r="S1216" t="s">
        <v>5059</v>
      </c>
      <c r="U1216">
        <v>3348</v>
      </c>
      <c r="V1216">
        <v>0</v>
      </c>
      <c r="W1216">
        <v>5</v>
      </c>
      <c r="X1216">
        <v>2015</v>
      </c>
      <c r="Z1216">
        <v>2</v>
      </c>
      <c r="AB1216">
        <v>0</v>
      </c>
      <c r="AC1216" t="s">
        <v>115</v>
      </c>
      <c r="AD1216">
        <v>3</v>
      </c>
      <c r="AE1216" t="s">
        <v>115</v>
      </c>
      <c r="AF1216">
        <v>0</v>
      </c>
      <c r="AG1216">
        <v>0</v>
      </c>
      <c r="AH1216" t="s">
        <v>116</v>
      </c>
      <c r="AI1216" s="1">
        <v>18464</v>
      </c>
      <c r="AJ1216" s="2">
        <v>0.05</v>
      </c>
      <c r="AK1216" s="1">
        <v>405535</v>
      </c>
      <c r="AL1216" t="s">
        <v>117</v>
      </c>
      <c r="AM1216" t="s">
        <v>118</v>
      </c>
      <c r="AN1216">
        <v>7245</v>
      </c>
      <c r="AO1216">
        <v>0.17</v>
      </c>
      <c r="AR1216">
        <v>1</v>
      </c>
      <c r="AS1216" s="1">
        <v>28600</v>
      </c>
      <c r="AT1216" s="1">
        <v>5720</v>
      </c>
      <c r="AU1216" s="1">
        <v>22880</v>
      </c>
      <c r="AV1216">
        <v>80</v>
      </c>
      <c r="AX1216" s="1">
        <v>2306.2199999999998</v>
      </c>
      <c r="AY1216" t="s">
        <v>5060</v>
      </c>
      <c r="AZ1216" t="s">
        <v>5060</v>
      </c>
      <c r="BA1216" t="s">
        <v>5061</v>
      </c>
      <c r="BE1216" s="3">
        <v>42534</v>
      </c>
      <c r="BF1216" s="1">
        <v>387071</v>
      </c>
      <c r="BG1216" t="s">
        <v>292</v>
      </c>
      <c r="BH1216" s="1">
        <v>115.61</v>
      </c>
      <c r="BI1216" s="1">
        <v>387071</v>
      </c>
      <c r="BJ1216" s="3">
        <v>42534</v>
      </c>
      <c r="BK1216" t="s">
        <v>123</v>
      </c>
      <c r="BL1216" t="str">
        <f>"2016.410115"</f>
        <v>2016.410115</v>
      </c>
      <c r="BM1216" t="s">
        <v>7181</v>
      </c>
      <c r="BO1216" t="s">
        <v>8230</v>
      </c>
      <c r="BS1216">
        <v>30</v>
      </c>
      <c r="BW1216" t="str">
        <f>""</f>
        <v/>
      </c>
      <c r="CH1216" t="str">
        <f>""</f>
        <v/>
      </c>
      <c r="CS1216" t="str">
        <f>""</f>
        <v/>
      </c>
    </row>
    <row r="1217" spans="1:97" x14ac:dyDescent="0.25">
      <c r="A1217" t="s">
        <v>464</v>
      </c>
      <c r="B1217" t="s">
        <v>8231</v>
      </c>
      <c r="C1217" t="s">
        <v>259</v>
      </c>
      <c r="D1217" t="s">
        <v>8231</v>
      </c>
      <c r="E1217" t="s">
        <v>8232</v>
      </c>
      <c r="F1217" t="s">
        <v>108</v>
      </c>
      <c r="H1217" t="s">
        <v>8233</v>
      </c>
      <c r="I1217" t="s">
        <v>5114</v>
      </c>
      <c r="J1217" t="s">
        <v>111</v>
      </c>
      <c r="K1217" t="str">
        <f>"85392"</f>
        <v>85392</v>
      </c>
      <c r="L1217" t="s">
        <v>8199</v>
      </c>
      <c r="M1217" t="s">
        <v>8233</v>
      </c>
      <c r="N1217" t="s">
        <v>5114</v>
      </c>
      <c r="O1217" t="s">
        <v>111</v>
      </c>
      <c r="P1217" t="str">
        <f>"85392-3407"</f>
        <v>85392-3407</v>
      </c>
      <c r="Q1217" t="s">
        <v>113</v>
      </c>
      <c r="R1217" t="str">
        <f>"102-28-759"</f>
        <v>102-28-759</v>
      </c>
      <c r="S1217" t="s">
        <v>8234</v>
      </c>
      <c r="T1217" t="s">
        <v>8235</v>
      </c>
      <c r="U1217">
        <v>3289</v>
      </c>
      <c r="V1217">
        <v>0</v>
      </c>
      <c r="W1217">
        <v>4</v>
      </c>
      <c r="X1217">
        <v>1993</v>
      </c>
      <c r="Z1217">
        <v>2</v>
      </c>
      <c r="AA1217" t="s">
        <v>26</v>
      </c>
      <c r="AB1217">
        <v>0</v>
      </c>
      <c r="AC1217" t="s">
        <v>115</v>
      </c>
      <c r="AD1217">
        <v>3</v>
      </c>
      <c r="AE1217" t="s">
        <v>115</v>
      </c>
      <c r="AF1217">
        <v>0</v>
      </c>
      <c r="AG1217">
        <v>0</v>
      </c>
      <c r="AH1217" t="s">
        <v>116</v>
      </c>
      <c r="AI1217" s="1">
        <v>55404</v>
      </c>
      <c r="AJ1217" s="2">
        <v>0.16</v>
      </c>
      <c r="AK1217" s="1">
        <v>339479</v>
      </c>
      <c r="AL1217" t="s">
        <v>117</v>
      </c>
      <c r="AM1217" t="s">
        <v>118</v>
      </c>
      <c r="AN1217">
        <v>6835</v>
      </c>
      <c r="AO1217">
        <v>0.16</v>
      </c>
      <c r="AP1217">
        <v>1</v>
      </c>
      <c r="AR1217">
        <v>1</v>
      </c>
      <c r="AS1217" s="1">
        <v>24500</v>
      </c>
      <c r="AT1217" s="1">
        <v>4900</v>
      </c>
      <c r="AU1217" s="1">
        <v>19600</v>
      </c>
      <c r="AV1217">
        <v>80</v>
      </c>
      <c r="AX1217" s="1">
        <v>2673.88</v>
      </c>
      <c r="AY1217" t="s">
        <v>8084</v>
      </c>
      <c r="AZ1217" t="s">
        <v>8084</v>
      </c>
      <c r="BA1217" t="s">
        <v>5118</v>
      </c>
      <c r="BE1217" s="3">
        <v>42522</v>
      </c>
      <c r="BF1217" s="1">
        <v>275000</v>
      </c>
      <c r="BG1217" t="s">
        <v>8236</v>
      </c>
      <c r="BH1217" s="1">
        <v>83.61</v>
      </c>
      <c r="BI1217" s="1">
        <v>284075</v>
      </c>
      <c r="BJ1217" s="3">
        <v>42522</v>
      </c>
      <c r="BK1217" t="s">
        <v>123</v>
      </c>
      <c r="BL1217" t="str">
        <f>"2016.379999"</f>
        <v>2016.379999</v>
      </c>
      <c r="BM1217" t="s">
        <v>724</v>
      </c>
      <c r="BO1217" t="s">
        <v>8237</v>
      </c>
      <c r="BS1217">
        <v>30</v>
      </c>
      <c r="BW1217" t="str">
        <f>""</f>
        <v/>
      </c>
      <c r="CH1217" t="str">
        <f>""</f>
        <v/>
      </c>
      <c r="CS1217" t="str">
        <f>""</f>
        <v/>
      </c>
    </row>
    <row r="1218" spans="1:97" x14ac:dyDescent="0.25">
      <c r="A1218" t="s">
        <v>2045</v>
      </c>
      <c r="B1218" t="s">
        <v>8238</v>
      </c>
      <c r="E1218" t="s">
        <v>8239</v>
      </c>
      <c r="F1218" t="s">
        <v>282</v>
      </c>
      <c r="H1218" t="s">
        <v>8240</v>
      </c>
      <c r="I1218" t="s">
        <v>390</v>
      </c>
      <c r="J1218" t="s">
        <v>111</v>
      </c>
      <c r="K1218" t="str">
        <f>"85015"</f>
        <v>85015</v>
      </c>
      <c r="L1218" t="s">
        <v>7116</v>
      </c>
      <c r="M1218" t="s">
        <v>8241</v>
      </c>
      <c r="N1218" t="s">
        <v>390</v>
      </c>
      <c r="O1218" t="s">
        <v>111</v>
      </c>
      <c r="P1218" t="str">
        <f>"85006-1347"</f>
        <v>85006-1347</v>
      </c>
      <c r="Q1218" t="s">
        <v>113</v>
      </c>
      <c r="R1218" t="str">
        <f>"110-25-035"</f>
        <v>110-25-035</v>
      </c>
      <c r="S1218" t="s">
        <v>8242</v>
      </c>
      <c r="T1218" t="s">
        <v>7118</v>
      </c>
      <c r="U1218">
        <v>1250</v>
      </c>
      <c r="V1218">
        <v>0</v>
      </c>
      <c r="W1218">
        <v>1</v>
      </c>
      <c r="X1218">
        <v>1949</v>
      </c>
      <c r="Z1218">
        <v>1</v>
      </c>
      <c r="AB1218">
        <v>0</v>
      </c>
      <c r="AC1218" t="s">
        <v>115</v>
      </c>
      <c r="AD1218">
        <v>2</v>
      </c>
      <c r="AE1218" t="s">
        <v>115</v>
      </c>
      <c r="AF1218">
        <v>0</v>
      </c>
      <c r="AG1218">
        <v>0</v>
      </c>
      <c r="AH1218" t="s">
        <v>116</v>
      </c>
      <c r="AI1218" s="1">
        <v>33102</v>
      </c>
      <c r="AJ1218" s="2">
        <v>0.12</v>
      </c>
      <c r="AK1218" s="1">
        <v>278422</v>
      </c>
      <c r="AL1218" t="s">
        <v>117</v>
      </c>
      <c r="AM1218" t="s">
        <v>191</v>
      </c>
      <c r="AN1218">
        <v>9235</v>
      </c>
      <c r="AO1218">
        <v>0.21</v>
      </c>
      <c r="AP1218">
        <v>1</v>
      </c>
      <c r="AR1218">
        <v>1</v>
      </c>
      <c r="AS1218" s="1">
        <v>17170</v>
      </c>
      <c r="AT1218" s="1">
        <v>3430</v>
      </c>
      <c r="AU1218" s="1">
        <v>13740</v>
      </c>
      <c r="AV1218">
        <v>80.02</v>
      </c>
      <c r="AX1218" s="1">
        <v>1549</v>
      </c>
      <c r="AY1218" t="s">
        <v>8243</v>
      </c>
      <c r="AZ1218" t="s">
        <v>8243</v>
      </c>
      <c r="BA1218" t="s">
        <v>5469</v>
      </c>
      <c r="BB1218" s="3">
        <v>43010</v>
      </c>
      <c r="BD1218" t="s">
        <v>157</v>
      </c>
      <c r="BE1218" s="3">
        <v>42247</v>
      </c>
      <c r="BF1218" s="1">
        <v>240000</v>
      </c>
      <c r="BG1218" t="s">
        <v>8244</v>
      </c>
      <c r="BH1218" s="1">
        <v>192</v>
      </c>
      <c r="BI1218" s="1">
        <v>245320</v>
      </c>
      <c r="BJ1218" s="3">
        <v>43010</v>
      </c>
      <c r="BK1218" t="s">
        <v>123</v>
      </c>
      <c r="BL1218" t="str">
        <f>"2017.726341"</f>
        <v>2017.726341</v>
      </c>
      <c r="BM1218" t="s">
        <v>3664</v>
      </c>
      <c r="BO1218" t="s">
        <v>8245</v>
      </c>
      <c r="BS1218">
        <v>28</v>
      </c>
      <c r="BW1218" t="str">
        <f>""</f>
        <v/>
      </c>
      <c r="CH1218" t="str">
        <f>""</f>
        <v/>
      </c>
      <c r="CS1218" t="str">
        <f>""</f>
        <v/>
      </c>
    </row>
    <row r="1219" spans="1:97" x14ac:dyDescent="0.25">
      <c r="A1219" t="s">
        <v>1774</v>
      </c>
      <c r="B1219" t="s">
        <v>8246</v>
      </c>
      <c r="C1219" t="s">
        <v>8247</v>
      </c>
      <c r="D1219" t="s">
        <v>8246</v>
      </c>
      <c r="E1219" t="s">
        <v>8248</v>
      </c>
      <c r="F1219" t="s">
        <v>108</v>
      </c>
      <c r="H1219" t="s">
        <v>8249</v>
      </c>
      <c r="I1219" t="s">
        <v>5114</v>
      </c>
      <c r="J1219" t="s">
        <v>111</v>
      </c>
      <c r="K1219" t="str">
        <f>"85392"</f>
        <v>85392</v>
      </c>
      <c r="L1219" t="s">
        <v>3430</v>
      </c>
      <c r="M1219" t="s">
        <v>8249</v>
      </c>
      <c r="N1219" t="s">
        <v>5114</v>
      </c>
      <c r="O1219" t="s">
        <v>111</v>
      </c>
      <c r="P1219" t="str">
        <f>"85392-4026"</f>
        <v>85392-4026</v>
      </c>
      <c r="Q1219" t="s">
        <v>113</v>
      </c>
      <c r="R1219" t="str">
        <f>"102-28-942"</f>
        <v>102-28-942</v>
      </c>
      <c r="S1219" t="s">
        <v>8082</v>
      </c>
      <c r="T1219" t="s">
        <v>8083</v>
      </c>
      <c r="U1219">
        <v>2925</v>
      </c>
      <c r="V1219">
        <v>0</v>
      </c>
      <c r="W1219">
        <v>5</v>
      </c>
      <c r="X1219">
        <v>1994</v>
      </c>
      <c r="Z1219">
        <v>2</v>
      </c>
      <c r="AA1219" t="s">
        <v>26</v>
      </c>
      <c r="AB1219">
        <v>0</v>
      </c>
      <c r="AC1219" t="s">
        <v>115</v>
      </c>
      <c r="AD1219">
        <v>3</v>
      </c>
      <c r="AE1219" t="s">
        <v>115</v>
      </c>
      <c r="AF1219">
        <v>0</v>
      </c>
      <c r="AG1219">
        <v>0</v>
      </c>
      <c r="AH1219" t="s">
        <v>116</v>
      </c>
      <c r="AI1219" s="1">
        <v>104556</v>
      </c>
      <c r="AJ1219" s="2">
        <v>0.31</v>
      </c>
      <c r="AK1219" s="1">
        <v>339501</v>
      </c>
      <c r="AL1219" t="s">
        <v>117</v>
      </c>
      <c r="AM1219" t="s">
        <v>118</v>
      </c>
      <c r="AN1219">
        <v>7601</v>
      </c>
      <c r="AO1219">
        <v>0.17</v>
      </c>
      <c r="AP1219">
        <v>1</v>
      </c>
      <c r="AR1219">
        <v>1</v>
      </c>
      <c r="AS1219" s="1">
        <v>25510</v>
      </c>
      <c r="AT1219" s="1">
        <v>5100</v>
      </c>
      <c r="AU1219" s="1">
        <v>20410</v>
      </c>
      <c r="AV1219">
        <v>80.010000000000005</v>
      </c>
      <c r="AX1219" s="1">
        <v>2727.52</v>
      </c>
      <c r="AY1219" t="s">
        <v>8084</v>
      </c>
      <c r="AZ1219" t="s">
        <v>8084</v>
      </c>
      <c r="BA1219" t="s">
        <v>5118</v>
      </c>
      <c r="BE1219" s="3">
        <v>42034</v>
      </c>
      <c r="BF1219" s="1">
        <v>230000</v>
      </c>
      <c r="BG1219" t="s">
        <v>8250</v>
      </c>
      <c r="BH1219" s="1">
        <v>78.63</v>
      </c>
      <c r="BI1219" s="1">
        <v>234945</v>
      </c>
      <c r="BJ1219" s="3">
        <v>42034</v>
      </c>
      <c r="BK1219" t="s">
        <v>123</v>
      </c>
      <c r="BL1219" t="str">
        <f>"2015.63006"</f>
        <v>2015.63006</v>
      </c>
      <c r="BM1219" t="s">
        <v>1791</v>
      </c>
      <c r="BO1219" t="s">
        <v>8251</v>
      </c>
      <c r="BS1219">
        <v>30</v>
      </c>
      <c r="BW1219" t="str">
        <f>""</f>
        <v/>
      </c>
      <c r="CH1219" t="str">
        <f>""</f>
        <v/>
      </c>
      <c r="CS1219" t="str">
        <f>""</f>
        <v/>
      </c>
    </row>
    <row r="1220" spans="1:97" x14ac:dyDescent="0.25">
      <c r="A1220" t="s">
        <v>2045</v>
      </c>
      <c r="B1220" t="s">
        <v>8252</v>
      </c>
      <c r="C1220" t="s">
        <v>489</v>
      </c>
      <c r="D1220" t="s">
        <v>8252</v>
      </c>
      <c r="E1220" t="s">
        <v>8253</v>
      </c>
      <c r="F1220" t="s">
        <v>108</v>
      </c>
      <c r="H1220" t="s">
        <v>8254</v>
      </c>
      <c r="I1220" t="s">
        <v>632</v>
      </c>
      <c r="J1220" t="s">
        <v>111</v>
      </c>
      <c r="K1220" t="str">
        <f>"85379"</f>
        <v>85379</v>
      </c>
      <c r="L1220" t="s">
        <v>8255</v>
      </c>
      <c r="M1220" t="s">
        <v>8254</v>
      </c>
      <c r="N1220" t="s">
        <v>632</v>
      </c>
      <c r="O1220" t="s">
        <v>111</v>
      </c>
      <c r="P1220" t="str">
        <f>"85379-6204"</f>
        <v>85379-6204</v>
      </c>
      <c r="Q1220" t="s">
        <v>113</v>
      </c>
      <c r="R1220" t="str">
        <f>"501-92-126"</f>
        <v>501-92-126</v>
      </c>
      <c r="S1220" t="s">
        <v>8256</v>
      </c>
      <c r="U1220">
        <v>1930</v>
      </c>
      <c r="V1220">
        <v>0</v>
      </c>
      <c r="W1220">
        <v>2</v>
      </c>
      <c r="X1220">
        <v>2002</v>
      </c>
      <c r="Z1220">
        <v>1</v>
      </c>
      <c r="AB1220">
        <v>0</v>
      </c>
      <c r="AC1220" t="s">
        <v>115</v>
      </c>
      <c r="AD1220">
        <v>2</v>
      </c>
      <c r="AE1220" t="s">
        <v>115</v>
      </c>
      <c r="AF1220">
        <v>0</v>
      </c>
      <c r="AG1220">
        <v>0</v>
      </c>
      <c r="AH1220" t="s">
        <v>116</v>
      </c>
      <c r="AI1220" s="1">
        <v>7164</v>
      </c>
      <c r="AJ1220" s="2">
        <v>0.03</v>
      </c>
      <c r="AK1220" s="1">
        <v>239159</v>
      </c>
      <c r="AL1220" t="s">
        <v>117</v>
      </c>
      <c r="AM1220" t="s">
        <v>5516</v>
      </c>
      <c r="AN1220">
        <v>5500</v>
      </c>
      <c r="AO1220">
        <v>0.13</v>
      </c>
      <c r="AP1220">
        <v>1</v>
      </c>
      <c r="AR1220">
        <v>1</v>
      </c>
      <c r="AS1220" s="1">
        <v>16930</v>
      </c>
      <c r="AT1220" s="1">
        <v>3380</v>
      </c>
      <c r="AU1220" s="1">
        <v>13550</v>
      </c>
      <c r="AV1220">
        <v>80.040000000000006</v>
      </c>
      <c r="AX1220" s="1">
        <v>1183.1199999999999</v>
      </c>
      <c r="AY1220" t="s">
        <v>6615</v>
      </c>
      <c r="AZ1220" t="s">
        <v>6615</v>
      </c>
      <c r="BA1220" t="s">
        <v>5061</v>
      </c>
      <c r="BE1220" s="3">
        <v>42353</v>
      </c>
      <c r="BF1220" s="1">
        <v>165000</v>
      </c>
      <c r="BG1220" t="s">
        <v>8257</v>
      </c>
      <c r="BH1220" s="1">
        <v>85.49</v>
      </c>
      <c r="BI1220" s="1">
        <v>231995</v>
      </c>
      <c r="BJ1220" s="3">
        <v>43531</v>
      </c>
      <c r="BK1220" t="s">
        <v>123</v>
      </c>
      <c r="BL1220" t="str">
        <f>"2019.158871"</f>
        <v>2019.158871</v>
      </c>
      <c r="BM1220" t="s">
        <v>1809</v>
      </c>
      <c r="BN1220" t="s">
        <v>1810</v>
      </c>
      <c r="BO1220" t="s">
        <v>8258</v>
      </c>
      <c r="BP1220" t="s">
        <v>8259</v>
      </c>
      <c r="BR1220" t="s">
        <v>139</v>
      </c>
      <c r="BT1220" s="1">
        <v>231995</v>
      </c>
      <c r="BU1220" s="3">
        <v>43531</v>
      </c>
      <c r="BV1220" t="s">
        <v>123</v>
      </c>
      <c r="BW1220" t="str">
        <f>"2019.158871"</f>
        <v>2019.158871</v>
      </c>
      <c r="BX1220" t="s">
        <v>1809</v>
      </c>
      <c r="BY1220" t="s">
        <v>1810</v>
      </c>
      <c r="BZ1220" t="s">
        <v>8258</v>
      </c>
      <c r="CA1220" t="s">
        <v>8259</v>
      </c>
      <c r="CC1220" t="s">
        <v>139</v>
      </c>
      <c r="CH1220" t="str">
        <f>""</f>
        <v/>
      </c>
      <c r="CS1220" t="str">
        <f>""</f>
        <v/>
      </c>
    </row>
    <row r="1221" spans="1:97" x14ac:dyDescent="0.25">
      <c r="A1221" t="s">
        <v>211</v>
      </c>
      <c r="B1221" t="s">
        <v>8260</v>
      </c>
      <c r="C1221" t="s">
        <v>2427</v>
      </c>
      <c r="D1221" t="s">
        <v>8260</v>
      </c>
      <c r="E1221" t="s">
        <v>8261</v>
      </c>
      <c r="F1221" t="s">
        <v>108</v>
      </c>
      <c r="H1221" t="s">
        <v>8262</v>
      </c>
      <c r="I1221" t="s">
        <v>225</v>
      </c>
      <c r="J1221" t="s">
        <v>111</v>
      </c>
      <c r="K1221" t="str">
        <f>"85208"</f>
        <v>85208</v>
      </c>
      <c r="L1221" t="s">
        <v>5400</v>
      </c>
      <c r="M1221" t="s">
        <v>8262</v>
      </c>
      <c r="N1221" t="s">
        <v>225</v>
      </c>
      <c r="O1221" t="s">
        <v>111</v>
      </c>
      <c r="P1221" t="str">
        <f>"85208-7104"</f>
        <v>85208-7104</v>
      </c>
      <c r="Q1221" t="s">
        <v>113</v>
      </c>
      <c r="R1221" t="str">
        <f>"220-71-035"</f>
        <v>220-71-035</v>
      </c>
      <c r="S1221" t="s">
        <v>8263</v>
      </c>
      <c r="U1221">
        <v>1911</v>
      </c>
      <c r="V1221">
        <v>0</v>
      </c>
      <c r="W1221">
        <v>2</v>
      </c>
      <c r="X1221">
        <v>1998</v>
      </c>
      <c r="Z1221">
        <v>1</v>
      </c>
      <c r="AA1221" t="s">
        <v>26</v>
      </c>
      <c r="AB1221">
        <v>0</v>
      </c>
      <c r="AC1221" t="s">
        <v>115</v>
      </c>
      <c r="AD1221">
        <v>2</v>
      </c>
      <c r="AE1221" t="s">
        <v>115</v>
      </c>
      <c r="AF1221">
        <v>0</v>
      </c>
      <c r="AG1221">
        <v>0</v>
      </c>
      <c r="AH1221" t="s">
        <v>116</v>
      </c>
      <c r="AI1221" s="1">
        <v>80068</v>
      </c>
      <c r="AJ1221" s="2">
        <v>0.26</v>
      </c>
      <c r="AK1221" s="1">
        <v>312759</v>
      </c>
      <c r="AL1221" t="s">
        <v>117</v>
      </c>
      <c r="AM1221" t="s">
        <v>393</v>
      </c>
      <c r="AN1221">
        <v>11543</v>
      </c>
      <c r="AO1221">
        <v>0.26</v>
      </c>
      <c r="AP1221">
        <v>1</v>
      </c>
      <c r="AR1221">
        <v>1</v>
      </c>
      <c r="AS1221" s="1">
        <v>23470</v>
      </c>
      <c r="AT1221" s="1">
        <v>4690</v>
      </c>
      <c r="AU1221" s="1">
        <v>18780</v>
      </c>
      <c r="AV1221">
        <v>80.02</v>
      </c>
      <c r="AX1221" s="1">
        <v>1639.26</v>
      </c>
      <c r="AY1221" t="s">
        <v>272</v>
      </c>
      <c r="AZ1221" t="s">
        <v>3761</v>
      </c>
      <c r="BA1221" t="s">
        <v>232</v>
      </c>
      <c r="BE1221" s="3">
        <v>42142</v>
      </c>
      <c r="BF1221" s="1">
        <v>227000</v>
      </c>
      <c r="BG1221" t="s">
        <v>8264</v>
      </c>
      <c r="BH1221" s="1">
        <v>118.79</v>
      </c>
      <c r="BI1221" s="1">
        <v>232691</v>
      </c>
      <c r="BJ1221" s="3">
        <v>42614</v>
      </c>
      <c r="BK1221" t="s">
        <v>123</v>
      </c>
      <c r="BL1221" t="str">
        <f>"2016.637338"</f>
        <v>2016.637338</v>
      </c>
      <c r="BM1221" t="s">
        <v>402</v>
      </c>
      <c r="BO1221" t="s">
        <v>8265</v>
      </c>
      <c r="BS1221">
        <v>30</v>
      </c>
      <c r="BW1221" t="str">
        <f>""</f>
        <v/>
      </c>
      <c r="CH1221" t="str">
        <f>""</f>
        <v/>
      </c>
      <c r="CS1221" t="str">
        <f>""</f>
        <v/>
      </c>
    </row>
    <row r="1222" spans="1:97" x14ac:dyDescent="0.25">
      <c r="A1222" t="s">
        <v>8266</v>
      </c>
      <c r="B1222" t="s">
        <v>8267</v>
      </c>
      <c r="C1222" t="s">
        <v>8268</v>
      </c>
      <c r="D1222" t="s">
        <v>8269</v>
      </c>
      <c r="E1222" t="s">
        <v>8270</v>
      </c>
      <c r="F1222" t="s">
        <v>108</v>
      </c>
      <c r="H1222" t="s">
        <v>8271</v>
      </c>
      <c r="I1222" t="s">
        <v>4251</v>
      </c>
      <c r="J1222" t="s">
        <v>111</v>
      </c>
      <c r="K1222" t="str">
        <f>"85353"</f>
        <v>85353</v>
      </c>
      <c r="L1222" t="s">
        <v>316</v>
      </c>
      <c r="M1222" t="s">
        <v>8271</v>
      </c>
      <c r="N1222" t="s">
        <v>4251</v>
      </c>
      <c r="O1222" t="s">
        <v>111</v>
      </c>
      <c r="P1222" t="str">
        <f>"85353-4426"</f>
        <v>85353-4426</v>
      </c>
      <c r="Q1222" t="s">
        <v>113</v>
      </c>
      <c r="R1222" t="str">
        <f>"101-39-429"</f>
        <v>101-39-429</v>
      </c>
      <c r="S1222" t="s">
        <v>7206</v>
      </c>
      <c r="T1222" t="s">
        <v>7206</v>
      </c>
      <c r="U1222">
        <v>2735</v>
      </c>
      <c r="V1222">
        <v>0</v>
      </c>
      <c r="W1222">
        <v>4</v>
      </c>
      <c r="X1222">
        <v>2013</v>
      </c>
      <c r="Z1222">
        <v>2</v>
      </c>
      <c r="AB1222">
        <v>0</v>
      </c>
      <c r="AC1222" t="s">
        <v>115</v>
      </c>
      <c r="AD1222">
        <v>2</v>
      </c>
      <c r="AE1222" t="s">
        <v>115</v>
      </c>
      <c r="AF1222">
        <v>0</v>
      </c>
      <c r="AG1222">
        <v>0</v>
      </c>
      <c r="AH1222" t="s">
        <v>116</v>
      </c>
      <c r="AI1222" s="1">
        <v>75799</v>
      </c>
      <c r="AJ1222" s="2">
        <v>0.25</v>
      </c>
      <c r="AK1222" s="1">
        <v>300518</v>
      </c>
      <c r="AL1222" t="s">
        <v>117</v>
      </c>
      <c r="AM1222" t="s">
        <v>191</v>
      </c>
      <c r="AN1222">
        <v>5500</v>
      </c>
      <c r="AO1222">
        <v>0.13</v>
      </c>
      <c r="AR1222">
        <v>1</v>
      </c>
      <c r="AS1222" s="1">
        <v>21450</v>
      </c>
      <c r="AT1222" s="1">
        <v>4290</v>
      </c>
      <c r="AU1222" s="1">
        <v>17160</v>
      </c>
      <c r="AV1222">
        <v>80</v>
      </c>
      <c r="AX1222" s="1">
        <v>1940.12</v>
      </c>
      <c r="AY1222" t="s">
        <v>4253</v>
      </c>
      <c r="AZ1222" t="s">
        <v>4253</v>
      </c>
      <c r="BA1222" t="s">
        <v>4254</v>
      </c>
      <c r="BE1222" s="3">
        <v>42153</v>
      </c>
      <c r="BF1222" s="1">
        <v>219990</v>
      </c>
      <c r="BG1222" t="s">
        <v>158</v>
      </c>
      <c r="BH1222" s="1">
        <v>80.44</v>
      </c>
      <c r="BI1222" s="1">
        <v>224719</v>
      </c>
      <c r="BJ1222" s="3">
        <v>42153</v>
      </c>
      <c r="BK1222" t="s">
        <v>123</v>
      </c>
      <c r="BL1222" t="str">
        <f>"2015.385703"</f>
        <v>2015.385703</v>
      </c>
      <c r="BM1222" t="s">
        <v>241</v>
      </c>
      <c r="BO1222" t="s">
        <v>8272</v>
      </c>
      <c r="BP1222" t="s">
        <v>8273</v>
      </c>
      <c r="BS1222">
        <v>30</v>
      </c>
      <c r="BW1222" t="str">
        <f>""</f>
        <v/>
      </c>
      <c r="CH1222" t="str">
        <f>""</f>
        <v/>
      </c>
      <c r="CS1222" t="str">
        <f>""</f>
        <v/>
      </c>
    </row>
    <row r="1223" spans="1:97" x14ac:dyDescent="0.25">
      <c r="A1223" t="s">
        <v>8274</v>
      </c>
      <c r="B1223" t="s">
        <v>8275</v>
      </c>
      <c r="E1223" t="s">
        <v>8276</v>
      </c>
      <c r="F1223" t="s">
        <v>108</v>
      </c>
      <c r="H1223" t="s">
        <v>8277</v>
      </c>
      <c r="I1223" t="s">
        <v>5114</v>
      </c>
      <c r="J1223" t="s">
        <v>111</v>
      </c>
      <c r="K1223" t="str">
        <f>"85392"</f>
        <v>85392</v>
      </c>
      <c r="L1223" t="s">
        <v>5687</v>
      </c>
      <c r="M1223" t="s">
        <v>8277</v>
      </c>
      <c r="N1223" t="s">
        <v>5114</v>
      </c>
      <c r="O1223" t="s">
        <v>111</v>
      </c>
      <c r="P1223" t="str">
        <f>"85392-3638"</f>
        <v>85392-3638</v>
      </c>
      <c r="Q1223" t="s">
        <v>113</v>
      </c>
      <c r="R1223" t="str">
        <f>"102-86-358"</f>
        <v>102-86-358</v>
      </c>
      <c r="S1223" t="s">
        <v>8278</v>
      </c>
      <c r="T1223" t="s">
        <v>8279</v>
      </c>
      <c r="U1223">
        <v>2302</v>
      </c>
      <c r="V1223">
        <v>0</v>
      </c>
      <c r="W1223">
        <v>3</v>
      </c>
      <c r="X1223">
        <v>1993</v>
      </c>
      <c r="Z1223">
        <v>1</v>
      </c>
      <c r="AB1223">
        <v>0</v>
      </c>
      <c r="AC1223" t="s">
        <v>115</v>
      </c>
      <c r="AD1223">
        <v>3</v>
      </c>
      <c r="AE1223" t="s">
        <v>115</v>
      </c>
      <c r="AF1223">
        <v>0</v>
      </c>
      <c r="AG1223">
        <v>0</v>
      </c>
      <c r="AH1223" t="s">
        <v>116</v>
      </c>
      <c r="AI1223" s="1">
        <v>26599</v>
      </c>
      <c r="AJ1223" s="2">
        <v>0.09</v>
      </c>
      <c r="AK1223" s="1">
        <v>295179</v>
      </c>
      <c r="AL1223" t="s">
        <v>117</v>
      </c>
      <c r="AM1223" t="s">
        <v>118</v>
      </c>
      <c r="AN1223">
        <v>9570</v>
      </c>
      <c r="AO1223">
        <v>0.22</v>
      </c>
      <c r="AP1223">
        <v>1</v>
      </c>
      <c r="AR1223">
        <v>1</v>
      </c>
      <c r="AS1223" s="1">
        <v>20710</v>
      </c>
      <c r="AT1223" s="1">
        <v>4140</v>
      </c>
      <c r="AU1223" s="1">
        <v>16570</v>
      </c>
      <c r="AV1223">
        <v>80.010000000000005</v>
      </c>
      <c r="AX1223" s="1">
        <v>2041.28</v>
      </c>
      <c r="AY1223" t="s">
        <v>8084</v>
      </c>
      <c r="AZ1223" t="s">
        <v>8084</v>
      </c>
      <c r="BA1223" t="s">
        <v>5118</v>
      </c>
      <c r="BE1223" s="3">
        <v>42200</v>
      </c>
      <c r="BF1223" s="1">
        <v>260000</v>
      </c>
      <c r="BG1223" t="s">
        <v>8280</v>
      </c>
      <c r="BH1223" s="1">
        <v>112.95</v>
      </c>
      <c r="BI1223" s="1">
        <v>268580</v>
      </c>
      <c r="BJ1223" s="3">
        <v>42200</v>
      </c>
      <c r="BK1223" t="s">
        <v>123</v>
      </c>
      <c r="BL1223" t="str">
        <f>"2015.508866"</f>
        <v>2015.508866</v>
      </c>
      <c r="BM1223" t="s">
        <v>544</v>
      </c>
      <c r="BO1223" t="s">
        <v>8281</v>
      </c>
      <c r="BS1223">
        <v>30</v>
      </c>
      <c r="BW1223" t="str">
        <f>""</f>
        <v/>
      </c>
      <c r="CH1223" t="str">
        <f>""</f>
        <v/>
      </c>
      <c r="CS1223" t="str">
        <f>""</f>
        <v/>
      </c>
    </row>
    <row r="1224" spans="1:97" x14ac:dyDescent="0.25">
      <c r="A1224" t="s">
        <v>1187</v>
      </c>
      <c r="B1224" t="s">
        <v>8282</v>
      </c>
      <c r="E1224" t="s">
        <v>8283</v>
      </c>
      <c r="F1224" t="s">
        <v>108</v>
      </c>
      <c r="H1224" t="s">
        <v>8284</v>
      </c>
      <c r="I1224" t="s">
        <v>453</v>
      </c>
      <c r="J1224" t="s">
        <v>111</v>
      </c>
      <c r="K1224" t="str">
        <f>"85382"</f>
        <v>85382</v>
      </c>
      <c r="L1224" t="s">
        <v>7147</v>
      </c>
      <c r="M1224" t="s">
        <v>8284</v>
      </c>
      <c r="N1224" t="s">
        <v>453</v>
      </c>
      <c r="O1224" t="s">
        <v>111</v>
      </c>
      <c r="P1224" t="str">
        <f>"85382-3114"</f>
        <v>85382-3114</v>
      </c>
      <c r="Q1224" t="s">
        <v>113</v>
      </c>
      <c r="R1224" t="str">
        <f>"200-43-483"</f>
        <v>200-43-483</v>
      </c>
      <c r="S1224" t="s">
        <v>8285</v>
      </c>
      <c r="T1224" t="s">
        <v>8285</v>
      </c>
      <c r="U1224">
        <v>1883</v>
      </c>
      <c r="V1224">
        <v>0</v>
      </c>
      <c r="W1224">
        <v>3</v>
      </c>
      <c r="X1224">
        <v>2014</v>
      </c>
      <c r="Z1224">
        <v>2</v>
      </c>
      <c r="AB1224">
        <v>0</v>
      </c>
      <c r="AC1224" t="s">
        <v>115</v>
      </c>
      <c r="AD1224">
        <v>2</v>
      </c>
      <c r="AE1224" t="s">
        <v>115</v>
      </c>
      <c r="AF1224">
        <v>0</v>
      </c>
      <c r="AG1224">
        <v>0</v>
      </c>
      <c r="AH1224" t="s">
        <v>116</v>
      </c>
      <c r="AI1224" s="1">
        <v>55926</v>
      </c>
      <c r="AJ1224" s="2">
        <v>0.2</v>
      </c>
      <c r="AK1224" s="1">
        <v>285926</v>
      </c>
      <c r="AL1224" t="s">
        <v>117</v>
      </c>
      <c r="AM1224" t="s">
        <v>118</v>
      </c>
      <c r="AN1224">
        <v>2520</v>
      </c>
      <c r="AO1224">
        <v>0.57999999999999996</v>
      </c>
      <c r="AR1224">
        <v>1</v>
      </c>
      <c r="AS1224" s="1">
        <v>20370</v>
      </c>
      <c r="AT1224" s="1">
        <v>4070</v>
      </c>
      <c r="AU1224" s="1">
        <v>16300</v>
      </c>
      <c r="AV1224">
        <v>80.02</v>
      </c>
      <c r="AX1224" s="1">
        <v>1646.26</v>
      </c>
      <c r="AY1224" t="s">
        <v>7828</v>
      </c>
      <c r="AZ1224" t="s">
        <v>7828</v>
      </c>
      <c r="BA1224" t="s">
        <v>4219</v>
      </c>
      <c r="BE1224" s="3">
        <v>41936</v>
      </c>
      <c r="BF1224" s="1">
        <v>229991</v>
      </c>
      <c r="BG1224" t="s">
        <v>2199</v>
      </c>
      <c r="BH1224" s="1">
        <v>122.14</v>
      </c>
      <c r="BI1224" s="1">
        <v>230000</v>
      </c>
      <c r="BJ1224" s="3">
        <v>42269</v>
      </c>
      <c r="BK1224" t="s">
        <v>123</v>
      </c>
      <c r="BL1224" t="str">
        <f>"2015.681834"</f>
        <v>2015.681834</v>
      </c>
      <c r="BM1224" t="s">
        <v>2224</v>
      </c>
      <c r="BO1224" t="s">
        <v>8286</v>
      </c>
      <c r="BS1224">
        <v>30</v>
      </c>
      <c r="BW1224" t="str">
        <f>""</f>
        <v/>
      </c>
      <c r="CH1224" t="str">
        <f>""</f>
        <v/>
      </c>
      <c r="CS1224" t="str">
        <f>""</f>
        <v/>
      </c>
    </row>
    <row r="1225" spans="1:97" x14ac:dyDescent="0.25">
      <c r="A1225" t="s">
        <v>938</v>
      </c>
      <c r="B1225" t="s">
        <v>8287</v>
      </c>
      <c r="C1225" t="s">
        <v>1057</v>
      </c>
      <c r="D1225" t="s">
        <v>8287</v>
      </c>
      <c r="E1225" t="s">
        <v>8288</v>
      </c>
      <c r="F1225" t="s">
        <v>108</v>
      </c>
      <c r="H1225" t="s">
        <v>8289</v>
      </c>
      <c r="I1225" t="s">
        <v>1788</v>
      </c>
      <c r="J1225" t="s">
        <v>111</v>
      </c>
      <c r="K1225" t="str">
        <f>"85355"</f>
        <v>85355</v>
      </c>
      <c r="L1225" t="s">
        <v>168</v>
      </c>
      <c r="M1225" t="s">
        <v>8289</v>
      </c>
      <c r="N1225" t="s">
        <v>1788</v>
      </c>
      <c r="O1225" t="s">
        <v>111</v>
      </c>
      <c r="P1225" t="str">
        <f>"85355-4478"</f>
        <v>85355-4478</v>
      </c>
      <c r="Q1225" t="s">
        <v>113</v>
      </c>
      <c r="R1225" t="str">
        <f>"502-90-547"</f>
        <v>502-90-547</v>
      </c>
      <c r="S1225" t="s">
        <v>8290</v>
      </c>
      <c r="T1225" t="s">
        <v>8290</v>
      </c>
      <c r="U1225">
        <v>2741</v>
      </c>
      <c r="V1225">
        <v>0</v>
      </c>
      <c r="W1225">
        <v>4</v>
      </c>
      <c r="X1225">
        <v>2013</v>
      </c>
      <c r="Z1225">
        <v>2</v>
      </c>
      <c r="AB1225">
        <v>0</v>
      </c>
      <c r="AC1225" t="s">
        <v>115</v>
      </c>
      <c r="AD1225">
        <v>3</v>
      </c>
      <c r="AE1225" t="s">
        <v>115</v>
      </c>
      <c r="AF1225">
        <v>0</v>
      </c>
      <c r="AG1225">
        <v>0</v>
      </c>
      <c r="AH1225" t="s">
        <v>116</v>
      </c>
      <c r="AI1225" s="1">
        <v>59263</v>
      </c>
      <c r="AJ1225" s="2">
        <v>0.17</v>
      </c>
      <c r="AK1225" s="1">
        <v>339206</v>
      </c>
      <c r="AL1225" t="s">
        <v>117</v>
      </c>
      <c r="AM1225" t="s">
        <v>171</v>
      </c>
      <c r="AN1225">
        <v>8750</v>
      </c>
      <c r="AO1225">
        <v>0.2</v>
      </c>
      <c r="AR1225">
        <v>1</v>
      </c>
      <c r="AS1225" s="1">
        <v>24000</v>
      </c>
      <c r="AT1225" s="1">
        <v>4800</v>
      </c>
      <c r="AU1225" s="1">
        <v>19200</v>
      </c>
      <c r="AV1225">
        <v>80</v>
      </c>
      <c r="AX1225" s="1">
        <v>1580.3</v>
      </c>
      <c r="AY1225" t="s">
        <v>5972</v>
      </c>
      <c r="AZ1225" t="s">
        <v>5972</v>
      </c>
      <c r="BA1225" t="s">
        <v>5061</v>
      </c>
      <c r="BE1225" s="3">
        <v>41845</v>
      </c>
      <c r="BF1225" s="1">
        <v>254990</v>
      </c>
      <c r="BG1225" t="s">
        <v>158</v>
      </c>
      <c r="BH1225" s="1">
        <v>93.03</v>
      </c>
      <c r="BI1225" s="1">
        <v>279943</v>
      </c>
      <c r="BJ1225" s="3">
        <v>43537</v>
      </c>
      <c r="BK1225" t="s">
        <v>123</v>
      </c>
      <c r="BL1225" t="str">
        <f>"2019.172438"</f>
        <v>2019.172438</v>
      </c>
      <c r="BM1225" t="s">
        <v>8291</v>
      </c>
      <c r="BN1225" t="s">
        <v>8292</v>
      </c>
      <c r="BO1225" t="s">
        <v>8293</v>
      </c>
      <c r="BP1225" t="s">
        <v>8294</v>
      </c>
      <c r="BR1225" t="s">
        <v>139</v>
      </c>
      <c r="BW1225" t="str">
        <f>""</f>
        <v/>
      </c>
      <c r="CH1225" t="str">
        <f>""</f>
        <v/>
      </c>
      <c r="CS1225" t="str">
        <f>""</f>
        <v/>
      </c>
    </row>
    <row r="1226" spans="1:97" x14ac:dyDescent="0.25">
      <c r="A1226" t="s">
        <v>668</v>
      </c>
      <c r="B1226" t="s">
        <v>8295</v>
      </c>
      <c r="C1226" t="s">
        <v>8296</v>
      </c>
      <c r="D1226" t="s">
        <v>8297</v>
      </c>
      <c r="E1226" t="s">
        <v>8298</v>
      </c>
      <c r="F1226" t="s">
        <v>108</v>
      </c>
      <c r="H1226" t="s">
        <v>8299</v>
      </c>
      <c r="I1226" t="s">
        <v>3150</v>
      </c>
      <c r="J1226" t="s">
        <v>111</v>
      </c>
      <c r="K1226" t="str">
        <f>"85340"</f>
        <v>85340</v>
      </c>
      <c r="L1226" t="s">
        <v>1789</v>
      </c>
      <c r="M1226" t="s">
        <v>8299</v>
      </c>
      <c r="N1226" t="s">
        <v>3150</v>
      </c>
      <c r="O1226" t="s">
        <v>111</v>
      </c>
      <c r="P1226" t="str">
        <f>"85340-5399"</f>
        <v>85340-5399</v>
      </c>
      <c r="Q1226" t="s">
        <v>113</v>
      </c>
      <c r="R1226" t="str">
        <f>"508-06-038"</f>
        <v>508-06-038</v>
      </c>
      <c r="S1226" t="s">
        <v>6579</v>
      </c>
      <c r="U1226">
        <v>2614</v>
      </c>
      <c r="V1226">
        <v>0</v>
      </c>
      <c r="W1226">
        <v>4</v>
      </c>
      <c r="X1226">
        <v>2002</v>
      </c>
      <c r="Z1226">
        <v>2</v>
      </c>
      <c r="AA1226" t="s">
        <v>26</v>
      </c>
      <c r="AB1226">
        <v>0</v>
      </c>
      <c r="AC1226" t="s">
        <v>115</v>
      </c>
      <c r="AD1226">
        <v>3</v>
      </c>
      <c r="AE1226" t="s">
        <v>115</v>
      </c>
      <c r="AF1226">
        <v>0</v>
      </c>
      <c r="AG1226">
        <v>0</v>
      </c>
      <c r="AH1226" t="s">
        <v>116</v>
      </c>
      <c r="AI1226" s="1">
        <v>72134</v>
      </c>
      <c r="AJ1226" s="2">
        <v>0.23</v>
      </c>
      <c r="AK1226" s="1">
        <v>318017</v>
      </c>
      <c r="AL1226" t="s">
        <v>117</v>
      </c>
      <c r="AM1226" t="s">
        <v>171</v>
      </c>
      <c r="AN1226">
        <v>7084</v>
      </c>
      <c r="AO1226">
        <v>0.16</v>
      </c>
      <c r="AP1226">
        <v>1</v>
      </c>
      <c r="AR1226">
        <v>1</v>
      </c>
      <c r="AS1226" s="1">
        <v>22400</v>
      </c>
      <c r="AT1226" s="1">
        <v>4480</v>
      </c>
      <c r="AU1226" s="1">
        <v>17920</v>
      </c>
      <c r="AV1226">
        <v>80</v>
      </c>
      <c r="AX1226" s="1">
        <v>1864.94</v>
      </c>
      <c r="AY1226" t="s">
        <v>6580</v>
      </c>
      <c r="AZ1226" t="s">
        <v>3153</v>
      </c>
      <c r="BA1226" t="s">
        <v>3154</v>
      </c>
      <c r="BE1226" s="3">
        <v>42538</v>
      </c>
      <c r="BF1226" s="1">
        <v>255000</v>
      </c>
      <c r="BG1226" t="s">
        <v>8300</v>
      </c>
      <c r="BH1226" s="1">
        <v>97.55</v>
      </c>
      <c r="BI1226" s="1">
        <v>245883</v>
      </c>
      <c r="BJ1226" s="3">
        <v>42538</v>
      </c>
      <c r="BK1226" t="s">
        <v>123</v>
      </c>
      <c r="BL1226" t="str">
        <f>"2016.424478"</f>
        <v>2016.424478</v>
      </c>
      <c r="BM1226" t="s">
        <v>1154</v>
      </c>
      <c r="BO1226" t="s">
        <v>8301</v>
      </c>
      <c r="BP1226" t="s">
        <v>8302</v>
      </c>
      <c r="BS1226">
        <v>30</v>
      </c>
      <c r="BW1226" t="str">
        <f>""</f>
        <v/>
      </c>
      <c r="CH1226" t="str">
        <f>""</f>
        <v/>
      </c>
      <c r="CS1226" t="str">
        <f>""</f>
        <v/>
      </c>
    </row>
    <row r="1227" spans="1:97" x14ac:dyDescent="0.25">
      <c r="A1227" t="s">
        <v>305</v>
      </c>
      <c r="B1227" t="s">
        <v>8303</v>
      </c>
      <c r="C1227" t="s">
        <v>817</v>
      </c>
      <c r="D1227" t="s">
        <v>8304</v>
      </c>
      <c r="E1227" t="s">
        <v>8305</v>
      </c>
      <c r="F1227" t="s">
        <v>108</v>
      </c>
      <c r="H1227" t="s">
        <v>8306</v>
      </c>
      <c r="I1227" t="s">
        <v>390</v>
      </c>
      <c r="J1227" t="s">
        <v>111</v>
      </c>
      <c r="K1227" t="str">
        <f>"85007"</f>
        <v>85007</v>
      </c>
      <c r="L1227" t="s">
        <v>5606</v>
      </c>
      <c r="M1227" t="s">
        <v>8306</v>
      </c>
      <c r="N1227" t="s">
        <v>390</v>
      </c>
      <c r="O1227" t="s">
        <v>111</v>
      </c>
      <c r="P1227" t="str">
        <f>"85007-1733"</f>
        <v>85007-1733</v>
      </c>
      <c r="Q1227" t="s">
        <v>113</v>
      </c>
      <c r="R1227" t="str">
        <f>"111-09-113"</f>
        <v>111-09-113</v>
      </c>
      <c r="S1227" t="s">
        <v>8307</v>
      </c>
      <c r="T1227" t="s">
        <v>8308</v>
      </c>
      <c r="U1227">
        <v>1861</v>
      </c>
      <c r="V1227">
        <v>0</v>
      </c>
      <c r="W1227">
        <v>4</v>
      </c>
      <c r="X1227">
        <v>1941</v>
      </c>
      <c r="Z1227">
        <v>1</v>
      </c>
      <c r="AA1227" t="s">
        <v>26</v>
      </c>
      <c r="AB1227">
        <v>0</v>
      </c>
      <c r="AC1227" t="s">
        <v>5188</v>
      </c>
      <c r="AD1227">
        <v>2</v>
      </c>
      <c r="AE1227" t="s">
        <v>5188</v>
      </c>
      <c r="AF1227">
        <v>0</v>
      </c>
      <c r="AG1227">
        <v>0</v>
      </c>
      <c r="AH1227" t="s">
        <v>116</v>
      </c>
      <c r="AI1227" s="1">
        <v>26113</v>
      </c>
      <c r="AJ1227" s="2">
        <v>0.04</v>
      </c>
      <c r="AK1227" s="1">
        <v>625972</v>
      </c>
      <c r="AL1227" t="s">
        <v>117</v>
      </c>
      <c r="AM1227" t="s">
        <v>191</v>
      </c>
      <c r="AN1227">
        <v>8578</v>
      </c>
      <c r="AO1227">
        <v>0.2</v>
      </c>
      <c r="AP1227">
        <v>1</v>
      </c>
      <c r="AR1227">
        <v>1</v>
      </c>
      <c r="AS1227" s="1">
        <v>40930</v>
      </c>
      <c r="AT1227" s="1">
        <v>8180</v>
      </c>
      <c r="AU1227" s="1">
        <v>32750</v>
      </c>
      <c r="AV1227">
        <v>80.010000000000005</v>
      </c>
      <c r="AX1227" s="1">
        <v>4895.76</v>
      </c>
      <c r="AY1227" t="s">
        <v>8309</v>
      </c>
      <c r="AZ1227" t="s">
        <v>8309</v>
      </c>
      <c r="BA1227" t="s">
        <v>5469</v>
      </c>
      <c r="BE1227" s="3">
        <v>42531</v>
      </c>
      <c r="BF1227" s="1">
        <v>660000</v>
      </c>
      <c r="BG1227" t="s">
        <v>8310</v>
      </c>
      <c r="BH1227" s="1">
        <v>354.65</v>
      </c>
      <c r="BI1227" s="1">
        <v>599859</v>
      </c>
      <c r="BJ1227" s="3">
        <v>42627</v>
      </c>
      <c r="BK1227" t="s">
        <v>123</v>
      </c>
      <c r="BL1227" t="str">
        <f>"2016.664916"</f>
        <v>2016.664916</v>
      </c>
      <c r="BM1227" t="s">
        <v>2117</v>
      </c>
      <c r="BO1227" t="s">
        <v>8311</v>
      </c>
      <c r="BP1227" t="s">
        <v>8312</v>
      </c>
      <c r="BQ1227" t="str">
        <f>"1.7500%"</f>
        <v>1.7500%</v>
      </c>
      <c r="BR1227" t="s">
        <v>1480</v>
      </c>
      <c r="BS1227">
        <v>30</v>
      </c>
      <c r="BW1227" t="str">
        <f>""</f>
        <v/>
      </c>
      <c r="CH1227" t="str">
        <f>""</f>
        <v/>
      </c>
      <c r="CS1227" t="str">
        <f>""</f>
        <v/>
      </c>
    </row>
    <row r="1228" spans="1:97" x14ac:dyDescent="0.25">
      <c r="A1228" t="s">
        <v>2591</v>
      </c>
      <c r="B1228" t="s">
        <v>8313</v>
      </c>
      <c r="E1228" t="s">
        <v>8314</v>
      </c>
      <c r="F1228" t="s">
        <v>108</v>
      </c>
      <c r="H1228" t="s">
        <v>8315</v>
      </c>
      <c r="I1228" t="s">
        <v>374</v>
      </c>
      <c r="J1228" t="s">
        <v>111</v>
      </c>
      <c r="K1228" t="str">
        <f>"85087"</f>
        <v>85087</v>
      </c>
      <c r="L1228" t="s">
        <v>375</v>
      </c>
      <c r="M1228" t="s">
        <v>8315</v>
      </c>
      <c r="N1228" t="s">
        <v>374</v>
      </c>
      <c r="O1228" t="s">
        <v>111</v>
      </c>
      <c r="P1228" t="str">
        <f>"85087-8164"</f>
        <v>85087-8164</v>
      </c>
      <c r="Q1228" t="s">
        <v>113</v>
      </c>
      <c r="R1228" t="str">
        <f>"202-12-028"</f>
        <v>202-12-028</v>
      </c>
      <c r="U1228">
        <v>1506</v>
      </c>
      <c r="V1228">
        <v>0</v>
      </c>
      <c r="W1228">
        <v>2</v>
      </c>
      <c r="X1228">
        <v>1975</v>
      </c>
      <c r="Z1228">
        <v>1</v>
      </c>
      <c r="AB1228">
        <v>0</v>
      </c>
      <c r="AC1228" t="s">
        <v>115</v>
      </c>
      <c r="AD1228">
        <v>1</v>
      </c>
      <c r="AE1228" t="s">
        <v>115</v>
      </c>
      <c r="AF1228">
        <v>0</v>
      </c>
      <c r="AG1228">
        <v>0</v>
      </c>
      <c r="AH1228" t="s">
        <v>116</v>
      </c>
      <c r="AI1228" s="1">
        <v>14008</v>
      </c>
      <c r="AJ1228" s="2">
        <v>0.04</v>
      </c>
      <c r="AK1228" s="1">
        <v>344568</v>
      </c>
      <c r="AL1228" t="s">
        <v>117</v>
      </c>
      <c r="AM1228" t="s">
        <v>376</v>
      </c>
      <c r="AN1228">
        <v>205168</v>
      </c>
      <c r="AO1228">
        <v>4.71</v>
      </c>
      <c r="AP1228">
        <v>1</v>
      </c>
      <c r="AR1228">
        <v>1</v>
      </c>
      <c r="AS1228" s="1">
        <v>24090</v>
      </c>
      <c r="AT1228" s="1">
        <v>3750</v>
      </c>
      <c r="AU1228" s="1">
        <v>20340</v>
      </c>
      <c r="AV1228">
        <v>84.43</v>
      </c>
      <c r="AX1228" s="1">
        <v>1982.46</v>
      </c>
      <c r="AY1228" t="s">
        <v>377</v>
      </c>
      <c r="AZ1228" t="s">
        <v>377</v>
      </c>
      <c r="BA1228" t="s">
        <v>378</v>
      </c>
      <c r="BE1228" s="3">
        <v>42024</v>
      </c>
      <c r="BF1228" s="1">
        <v>21000</v>
      </c>
      <c r="BG1228" t="s">
        <v>8316</v>
      </c>
      <c r="BH1228" s="1">
        <v>13.94</v>
      </c>
      <c r="BI1228" s="1">
        <v>330560</v>
      </c>
      <c r="BJ1228" s="3">
        <v>43357</v>
      </c>
      <c r="BK1228" t="s">
        <v>123</v>
      </c>
      <c r="BL1228" t="str">
        <f>"2018.692436"</f>
        <v>2018.692436</v>
      </c>
      <c r="BM1228" t="s">
        <v>460</v>
      </c>
      <c r="BN1228" t="s">
        <v>461</v>
      </c>
      <c r="BO1228" t="s">
        <v>8317</v>
      </c>
      <c r="BR1228" t="s">
        <v>139</v>
      </c>
      <c r="BW1228" t="str">
        <f>""</f>
        <v/>
      </c>
      <c r="CH1228" t="str">
        <f>""</f>
        <v/>
      </c>
      <c r="CS1228" t="str">
        <f>""</f>
        <v/>
      </c>
    </row>
    <row r="1229" spans="1:97" x14ac:dyDescent="0.25">
      <c r="A1229" t="s">
        <v>370</v>
      </c>
      <c r="B1229" t="s">
        <v>8318</v>
      </c>
      <c r="C1229" t="s">
        <v>703</v>
      </c>
      <c r="D1229" t="s">
        <v>8318</v>
      </c>
      <c r="E1229" t="s">
        <v>8319</v>
      </c>
      <c r="F1229" t="s">
        <v>108</v>
      </c>
      <c r="H1229" t="s">
        <v>8320</v>
      </c>
      <c r="I1229" t="s">
        <v>453</v>
      </c>
      <c r="J1229" t="s">
        <v>111</v>
      </c>
      <c r="K1229" t="str">
        <f>"85383"</f>
        <v>85383</v>
      </c>
      <c r="L1229" t="s">
        <v>3318</v>
      </c>
      <c r="M1229" t="s">
        <v>8320</v>
      </c>
      <c r="N1229" t="s">
        <v>453</v>
      </c>
      <c r="O1229" t="s">
        <v>111</v>
      </c>
      <c r="P1229" t="str">
        <f>"85383-5124"</f>
        <v>85383-5124</v>
      </c>
      <c r="Q1229" t="s">
        <v>113</v>
      </c>
      <c r="R1229" t="str">
        <f>"201-40-129"</f>
        <v>201-40-129</v>
      </c>
      <c r="S1229" t="s">
        <v>8321</v>
      </c>
      <c r="T1229" t="s">
        <v>8322</v>
      </c>
      <c r="U1229">
        <v>3579</v>
      </c>
      <c r="V1229">
        <v>0</v>
      </c>
      <c r="W1229">
        <v>4</v>
      </c>
      <c r="X1229">
        <v>2006</v>
      </c>
      <c r="Z1229">
        <v>2</v>
      </c>
      <c r="AA1229" t="s">
        <v>26</v>
      </c>
      <c r="AB1229">
        <v>0</v>
      </c>
      <c r="AC1229" t="s">
        <v>115</v>
      </c>
      <c r="AD1229">
        <v>3</v>
      </c>
      <c r="AE1229" t="s">
        <v>115</v>
      </c>
      <c r="AF1229">
        <v>0</v>
      </c>
      <c r="AG1229">
        <v>0</v>
      </c>
      <c r="AH1229" t="s">
        <v>116</v>
      </c>
      <c r="AI1229" s="1">
        <v>68908</v>
      </c>
      <c r="AJ1229" s="2">
        <v>0.16</v>
      </c>
      <c r="AK1229" s="1">
        <v>425429</v>
      </c>
      <c r="AL1229" t="s">
        <v>117</v>
      </c>
      <c r="AM1229" t="s">
        <v>118</v>
      </c>
      <c r="AN1229">
        <v>6960</v>
      </c>
      <c r="AO1229">
        <v>0.16</v>
      </c>
      <c r="AR1229">
        <v>1</v>
      </c>
      <c r="AS1229" s="1">
        <v>30550</v>
      </c>
      <c r="AT1229" s="1">
        <v>6110</v>
      </c>
      <c r="AU1229" s="1">
        <v>24440</v>
      </c>
      <c r="AV1229">
        <v>80</v>
      </c>
      <c r="AX1229" s="1">
        <v>3058.74</v>
      </c>
      <c r="AY1229" t="s">
        <v>8323</v>
      </c>
      <c r="AZ1229" t="s">
        <v>8323</v>
      </c>
      <c r="BA1229" t="s">
        <v>1386</v>
      </c>
      <c r="BE1229" s="3">
        <v>42223</v>
      </c>
      <c r="BF1229" s="1">
        <v>350000</v>
      </c>
      <c r="BG1229" t="s">
        <v>8324</v>
      </c>
      <c r="BH1229" s="1">
        <v>97.79</v>
      </c>
      <c r="BI1229" s="1">
        <v>356521</v>
      </c>
      <c r="BJ1229" s="3">
        <v>42580</v>
      </c>
      <c r="BK1229" t="s">
        <v>123</v>
      </c>
      <c r="BL1229" t="str">
        <f>"2016.535739"</f>
        <v>2016.535739</v>
      </c>
      <c r="BM1229" t="s">
        <v>492</v>
      </c>
      <c r="BO1229" t="s">
        <v>8325</v>
      </c>
      <c r="BS1229">
        <v>30</v>
      </c>
      <c r="BW1229" t="str">
        <f>""</f>
        <v/>
      </c>
      <c r="CH1229" t="str">
        <f>""</f>
        <v/>
      </c>
      <c r="CS1229" t="str">
        <f>""</f>
        <v/>
      </c>
    </row>
    <row r="1230" spans="1:97" x14ac:dyDescent="0.25">
      <c r="A1230" t="s">
        <v>305</v>
      </c>
      <c r="B1230" t="s">
        <v>1099</v>
      </c>
      <c r="E1230" t="s">
        <v>8326</v>
      </c>
      <c r="F1230" t="s">
        <v>108</v>
      </c>
      <c r="H1230" t="s">
        <v>8327</v>
      </c>
      <c r="I1230" t="s">
        <v>225</v>
      </c>
      <c r="J1230" t="s">
        <v>111</v>
      </c>
      <c r="K1230" t="str">
        <f>"85207"</f>
        <v>85207</v>
      </c>
      <c r="L1230" t="s">
        <v>168</v>
      </c>
      <c r="M1230" t="s">
        <v>8327</v>
      </c>
      <c r="N1230" t="s">
        <v>225</v>
      </c>
      <c r="O1230" t="s">
        <v>111</v>
      </c>
      <c r="P1230" t="str">
        <f>"85207-2936"</f>
        <v>85207-2936</v>
      </c>
      <c r="Q1230" t="s">
        <v>113</v>
      </c>
      <c r="R1230" t="str">
        <f>"218-02-158"</f>
        <v>218-02-158</v>
      </c>
      <c r="S1230" t="s">
        <v>8328</v>
      </c>
      <c r="U1230">
        <v>1743</v>
      </c>
      <c r="V1230">
        <v>0</v>
      </c>
      <c r="W1230">
        <v>3</v>
      </c>
      <c r="X1230">
        <v>1994</v>
      </c>
      <c r="Z1230">
        <v>1</v>
      </c>
      <c r="AA1230" t="s">
        <v>26</v>
      </c>
      <c r="AB1230">
        <v>0</v>
      </c>
      <c r="AC1230" t="s">
        <v>115</v>
      </c>
      <c r="AD1230">
        <v>2</v>
      </c>
      <c r="AE1230" t="s">
        <v>115</v>
      </c>
      <c r="AF1230">
        <v>0</v>
      </c>
      <c r="AG1230">
        <v>0</v>
      </c>
      <c r="AH1230" t="s">
        <v>116</v>
      </c>
      <c r="AI1230" s="1">
        <v>79727</v>
      </c>
      <c r="AJ1230" s="2">
        <v>0.24</v>
      </c>
      <c r="AK1230" s="1">
        <v>325768</v>
      </c>
      <c r="AL1230" t="s">
        <v>117</v>
      </c>
      <c r="AM1230" t="s">
        <v>393</v>
      </c>
      <c r="AN1230">
        <v>12759</v>
      </c>
      <c r="AO1230">
        <v>0.28999999999999998</v>
      </c>
      <c r="AP1230">
        <v>1</v>
      </c>
      <c r="AR1230">
        <v>1</v>
      </c>
      <c r="AS1230" s="1">
        <v>23120</v>
      </c>
      <c r="AT1230" s="1">
        <v>4620</v>
      </c>
      <c r="AU1230" s="1">
        <v>18500</v>
      </c>
      <c r="AV1230">
        <v>80.02</v>
      </c>
      <c r="AX1230" s="1">
        <v>1697.38</v>
      </c>
      <c r="AY1230" t="s">
        <v>6749</v>
      </c>
      <c r="AZ1230" t="s">
        <v>231</v>
      </c>
      <c r="BA1230" t="s">
        <v>3119</v>
      </c>
      <c r="BE1230" s="3">
        <v>42011</v>
      </c>
      <c r="BF1230" s="1">
        <v>247500</v>
      </c>
      <c r="BG1230" t="s">
        <v>8329</v>
      </c>
      <c r="BH1230" s="1">
        <v>142</v>
      </c>
      <c r="BI1230" s="1">
        <v>246041</v>
      </c>
      <c r="BJ1230" s="3">
        <v>42725</v>
      </c>
      <c r="BK1230" t="s">
        <v>123</v>
      </c>
      <c r="BL1230" t="str">
        <f>"2016.939895"</f>
        <v>2016.939895</v>
      </c>
      <c r="BM1230" t="s">
        <v>1033</v>
      </c>
      <c r="BO1230" t="s">
        <v>8330</v>
      </c>
      <c r="BS1230">
        <v>30</v>
      </c>
      <c r="BW1230" t="str">
        <f>""</f>
        <v/>
      </c>
      <c r="CH1230" t="str">
        <f>""</f>
        <v/>
      </c>
      <c r="CS1230" t="str">
        <f>""</f>
        <v/>
      </c>
    </row>
    <row r="1231" spans="1:97" x14ac:dyDescent="0.25">
      <c r="A1231" t="s">
        <v>8331</v>
      </c>
      <c r="B1231" t="s">
        <v>2104</v>
      </c>
      <c r="C1231" t="s">
        <v>8332</v>
      </c>
      <c r="D1231" t="s">
        <v>2104</v>
      </c>
      <c r="E1231" t="s">
        <v>8333</v>
      </c>
      <c r="F1231" t="s">
        <v>108</v>
      </c>
      <c r="H1231" t="s">
        <v>8334</v>
      </c>
      <c r="I1231" t="s">
        <v>203</v>
      </c>
      <c r="J1231" t="s">
        <v>111</v>
      </c>
      <c r="K1231" t="str">
        <f>"85297"</f>
        <v>85297</v>
      </c>
      <c r="L1231" t="s">
        <v>8335</v>
      </c>
      <c r="M1231" t="s">
        <v>8334</v>
      </c>
      <c r="N1231" t="s">
        <v>203</v>
      </c>
      <c r="O1231" t="s">
        <v>111</v>
      </c>
      <c r="P1231" t="str">
        <f>"85297-4400"</f>
        <v>85297-4400</v>
      </c>
      <c r="Q1231" t="s">
        <v>113</v>
      </c>
      <c r="R1231" t="str">
        <f>"309-28-233"</f>
        <v>309-28-233</v>
      </c>
      <c r="S1231" t="s">
        <v>8336</v>
      </c>
      <c r="T1231" t="s">
        <v>8337</v>
      </c>
      <c r="U1231">
        <v>2502</v>
      </c>
      <c r="V1231">
        <v>0</v>
      </c>
      <c r="W1231">
        <v>4</v>
      </c>
      <c r="X1231">
        <v>2012</v>
      </c>
      <c r="Z1231">
        <v>2</v>
      </c>
      <c r="AB1231">
        <v>0</v>
      </c>
      <c r="AC1231" t="s">
        <v>115</v>
      </c>
      <c r="AD1231">
        <v>2</v>
      </c>
      <c r="AE1231" t="s">
        <v>115</v>
      </c>
      <c r="AF1231">
        <v>0</v>
      </c>
      <c r="AG1231">
        <v>0</v>
      </c>
      <c r="AH1231" t="s">
        <v>116</v>
      </c>
      <c r="AI1231" s="1">
        <v>56225</v>
      </c>
      <c r="AJ1231" s="2">
        <v>0.16</v>
      </c>
      <c r="AK1231" s="1">
        <v>346225</v>
      </c>
      <c r="AL1231" t="s">
        <v>117</v>
      </c>
      <c r="AM1231" t="s">
        <v>288</v>
      </c>
      <c r="AN1231">
        <v>4950</v>
      </c>
      <c r="AO1231">
        <v>0.11</v>
      </c>
      <c r="AR1231">
        <v>1</v>
      </c>
      <c r="AS1231" s="1">
        <v>24100</v>
      </c>
      <c r="AT1231" s="1">
        <v>4820</v>
      </c>
      <c r="AU1231" s="1">
        <v>19280</v>
      </c>
      <c r="AV1231">
        <v>80</v>
      </c>
      <c r="AX1231" s="1">
        <v>2155.46</v>
      </c>
      <c r="AY1231" t="s">
        <v>8338</v>
      </c>
      <c r="AZ1231" t="s">
        <v>8338</v>
      </c>
      <c r="BA1231" t="s">
        <v>290</v>
      </c>
      <c r="BE1231" s="3">
        <v>41703</v>
      </c>
      <c r="BF1231" s="1">
        <v>290000</v>
      </c>
      <c r="BG1231" t="s">
        <v>8339</v>
      </c>
      <c r="BH1231" s="1">
        <v>115.91</v>
      </c>
      <c r="BI1231" s="1">
        <v>290000</v>
      </c>
      <c r="BJ1231" s="3">
        <v>41703</v>
      </c>
      <c r="BK1231" t="s">
        <v>123</v>
      </c>
      <c r="BL1231" t="str">
        <f>"2014.142310"</f>
        <v>2014.142310</v>
      </c>
      <c r="BM1231" t="s">
        <v>8340</v>
      </c>
      <c r="BO1231" t="s">
        <v>8341</v>
      </c>
      <c r="BS1231">
        <v>30</v>
      </c>
      <c r="BW1231" t="str">
        <f>""</f>
        <v/>
      </c>
      <c r="CH1231" t="str">
        <f>""</f>
        <v/>
      </c>
      <c r="CS1231" t="str">
        <f>""</f>
        <v/>
      </c>
    </row>
    <row r="1232" spans="1:97" x14ac:dyDescent="0.25">
      <c r="A1232" t="s">
        <v>325</v>
      </c>
      <c r="B1232" t="s">
        <v>8342</v>
      </c>
      <c r="C1232" t="s">
        <v>1620</v>
      </c>
      <c r="D1232" t="s">
        <v>8342</v>
      </c>
      <c r="E1232" t="s">
        <v>8343</v>
      </c>
      <c r="F1232" t="s">
        <v>108</v>
      </c>
      <c r="H1232" t="s">
        <v>8344</v>
      </c>
      <c r="I1232" t="s">
        <v>390</v>
      </c>
      <c r="J1232" t="s">
        <v>111</v>
      </c>
      <c r="K1232" t="str">
        <f>"85018"</f>
        <v>85018</v>
      </c>
      <c r="L1232" t="s">
        <v>8345</v>
      </c>
      <c r="M1232" t="s">
        <v>8344</v>
      </c>
      <c r="N1232" t="s">
        <v>390</v>
      </c>
      <c r="O1232" t="s">
        <v>111</v>
      </c>
      <c r="P1232" t="str">
        <f>"85018-6414"</f>
        <v>85018-6414</v>
      </c>
      <c r="Q1232" t="s">
        <v>113</v>
      </c>
      <c r="R1232" t="str">
        <f>"127-15-063"</f>
        <v>127-15-063</v>
      </c>
      <c r="S1232" t="s">
        <v>8346</v>
      </c>
      <c r="T1232" t="s">
        <v>8346</v>
      </c>
      <c r="U1232">
        <v>1928</v>
      </c>
      <c r="V1232">
        <v>0</v>
      </c>
      <c r="W1232">
        <v>2</v>
      </c>
      <c r="X1232">
        <v>1960</v>
      </c>
      <c r="Z1232">
        <v>1</v>
      </c>
      <c r="AB1232">
        <v>0</v>
      </c>
      <c r="AC1232" t="s">
        <v>115</v>
      </c>
      <c r="AD1232">
        <v>3</v>
      </c>
      <c r="AE1232" t="s">
        <v>115</v>
      </c>
      <c r="AF1232">
        <v>0</v>
      </c>
      <c r="AG1232">
        <v>0</v>
      </c>
      <c r="AH1232" t="s">
        <v>116</v>
      </c>
      <c r="AI1232" s="1">
        <v>19705</v>
      </c>
      <c r="AJ1232" s="2">
        <v>0.04</v>
      </c>
      <c r="AK1232" s="1">
        <v>519305</v>
      </c>
      <c r="AL1232" t="s">
        <v>117</v>
      </c>
      <c r="AM1232" t="s">
        <v>191</v>
      </c>
      <c r="AN1232">
        <v>10167</v>
      </c>
      <c r="AO1232">
        <v>0.23</v>
      </c>
      <c r="AP1232">
        <v>1</v>
      </c>
      <c r="AR1232">
        <v>1</v>
      </c>
      <c r="AS1232" s="1">
        <v>40200</v>
      </c>
      <c r="AT1232" s="1">
        <v>8040</v>
      </c>
      <c r="AU1232" s="1">
        <v>32160</v>
      </c>
      <c r="AV1232">
        <v>80</v>
      </c>
      <c r="AX1232" s="1">
        <v>2500.06</v>
      </c>
      <c r="AY1232" t="s">
        <v>8347</v>
      </c>
      <c r="AZ1232" t="s">
        <v>8348</v>
      </c>
      <c r="BA1232" t="s">
        <v>8349</v>
      </c>
      <c r="BE1232" s="3">
        <v>42339</v>
      </c>
      <c r="BF1232" s="1">
        <v>400500</v>
      </c>
      <c r="BG1232" t="s">
        <v>8350</v>
      </c>
      <c r="BH1232" s="1">
        <v>207.73</v>
      </c>
      <c r="BI1232" s="1">
        <v>499600</v>
      </c>
      <c r="BJ1232" s="3">
        <v>43613</v>
      </c>
      <c r="BK1232" t="s">
        <v>123</v>
      </c>
      <c r="BL1232" t="str">
        <f>"2019.386862"</f>
        <v>2019.386862</v>
      </c>
      <c r="BM1232" t="s">
        <v>533</v>
      </c>
      <c r="BN1232" t="s">
        <v>534</v>
      </c>
      <c r="BO1232" t="s">
        <v>8351</v>
      </c>
      <c r="BP1232" t="s">
        <v>8352</v>
      </c>
      <c r="BR1232" t="s">
        <v>139</v>
      </c>
      <c r="BW1232" t="str">
        <f>""</f>
        <v/>
      </c>
      <c r="CH1232" t="str">
        <f>""</f>
        <v/>
      </c>
      <c r="CS1232" t="str">
        <f>""</f>
        <v/>
      </c>
    </row>
    <row r="1233" spans="1:97" x14ac:dyDescent="0.25">
      <c r="A1233" t="s">
        <v>325</v>
      </c>
      <c r="B1233" t="s">
        <v>8353</v>
      </c>
      <c r="C1233" t="s">
        <v>1821</v>
      </c>
      <c r="D1233" t="s">
        <v>8353</v>
      </c>
      <c r="E1233" t="s">
        <v>8354</v>
      </c>
      <c r="F1233" t="s">
        <v>108</v>
      </c>
      <c r="H1233" t="s">
        <v>8355</v>
      </c>
      <c r="I1233" t="s">
        <v>2874</v>
      </c>
      <c r="J1233" t="s">
        <v>111</v>
      </c>
      <c r="K1233" t="str">
        <f>"85308"</f>
        <v>85308</v>
      </c>
      <c r="L1233" t="s">
        <v>541</v>
      </c>
      <c r="M1233" t="s">
        <v>8355</v>
      </c>
      <c r="N1233" t="s">
        <v>2874</v>
      </c>
      <c r="O1233" t="s">
        <v>111</v>
      </c>
      <c r="P1233" t="str">
        <f>"85308-9633"</f>
        <v>85308-9633</v>
      </c>
      <c r="Q1233" t="s">
        <v>113</v>
      </c>
      <c r="R1233" t="str">
        <f>"231-23-854"</f>
        <v>231-23-854</v>
      </c>
      <c r="S1233" t="s">
        <v>8356</v>
      </c>
      <c r="T1233" t="s">
        <v>8357</v>
      </c>
      <c r="U1233">
        <v>2146</v>
      </c>
      <c r="V1233">
        <v>0</v>
      </c>
      <c r="W1233">
        <v>4</v>
      </c>
      <c r="X1233">
        <v>1999</v>
      </c>
      <c r="Z1233">
        <v>2</v>
      </c>
      <c r="AA1233" t="s">
        <v>26</v>
      </c>
      <c r="AB1233">
        <v>0</v>
      </c>
      <c r="AC1233" t="s">
        <v>115</v>
      </c>
      <c r="AD1233">
        <v>2</v>
      </c>
      <c r="AE1233" t="s">
        <v>115</v>
      </c>
      <c r="AF1233">
        <v>0</v>
      </c>
      <c r="AG1233">
        <v>0</v>
      </c>
      <c r="AH1233" t="s">
        <v>116</v>
      </c>
      <c r="AI1233" s="1">
        <v>54995</v>
      </c>
      <c r="AJ1233" s="2">
        <v>0.16</v>
      </c>
      <c r="AK1233" s="1">
        <v>349400</v>
      </c>
      <c r="AL1233" t="s">
        <v>117</v>
      </c>
      <c r="AM1233" t="s">
        <v>191</v>
      </c>
      <c r="AN1233">
        <v>5700</v>
      </c>
      <c r="AO1233">
        <v>0.13</v>
      </c>
      <c r="AP1233">
        <v>1</v>
      </c>
      <c r="AR1233">
        <v>1</v>
      </c>
      <c r="AS1233" s="1">
        <v>24830</v>
      </c>
      <c r="AT1233" s="1">
        <v>4960</v>
      </c>
      <c r="AU1233" s="1">
        <v>19870</v>
      </c>
      <c r="AV1233">
        <v>80.02</v>
      </c>
      <c r="AX1233" s="1">
        <v>2214.7600000000002</v>
      </c>
      <c r="AY1233" t="s">
        <v>8358</v>
      </c>
      <c r="AZ1233" t="s">
        <v>8358</v>
      </c>
      <c r="BA1233" t="s">
        <v>2223</v>
      </c>
      <c r="BE1233" s="3">
        <v>42479</v>
      </c>
      <c r="BF1233" s="1">
        <v>285000</v>
      </c>
      <c r="BG1233" t="s">
        <v>8359</v>
      </c>
      <c r="BH1233" s="1">
        <v>132.81</v>
      </c>
      <c r="BI1233" s="1">
        <v>294405</v>
      </c>
      <c r="BJ1233" s="3">
        <v>42479</v>
      </c>
      <c r="BK1233" t="s">
        <v>123</v>
      </c>
      <c r="BL1233" t="str">
        <f>"2016.261112"</f>
        <v>2016.261112</v>
      </c>
      <c r="BM1233" t="s">
        <v>2127</v>
      </c>
      <c r="BO1233" t="s">
        <v>8360</v>
      </c>
      <c r="BS1233">
        <v>30</v>
      </c>
      <c r="BW1233" t="str">
        <f>""</f>
        <v/>
      </c>
      <c r="CH1233" t="str">
        <f>""</f>
        <v/>
      </c>
      <c r="CS1233" t="str">
        <f>""</f>
        <v/>
      </c>
    </row>
    <row r="1234" spans="1:97" x14ac:dyDescent="0.25">
      <c r="A1234" t="s">
        <v>177</v>
      </c>
      <c r="B1234" t="s">
        <v>8361</v>
      </c>
      <c r="E1234" t="s">
        <v>8362</v>
      </c>
      <c r="F1234" t="s">
        <v>108</v>
      </c>
      <c r="H1234" t="s">
        <v>8363</v>
      </c>
      <c r="I1234" t="s">
        <v>390</v>
      </c>
      <c r="J1234" t="s">
        <v>111</v>
      </c>
      <c r="K1234" t="str">
        <f>"85048"</f>
        <v>85048</v>
      </c>
      <c r="L1234" t="s">
        <v>6333</v>
      </c>
      <c r="M1234" t="s">
        <v>8363</v>
      </c>
      <c r="N1234" t="s">
        <v>390</v>
      </c>
      <c r="O1234" t="s">
        <v>111</v>
      </c>
      <c r="P1234" t="str">
        <f>"85048-7756"</f>
        <v>85048-7756</v>
      </c>
      <c r="Q1234" t="s">
        <v>113</v>
      </c>
      <c r="R1234" t="str">
        <f>"301-70-527"</f>
        <v>301-70-527</v>
      </c>
      <c r="S1234" t="s">
        <v>8364</v>
      </c>
      <c r="T1234" t="s">
        <v>8364</v>
      </c>
      <c r="U1234">
        <v>1594</v>
      </c>
      <c r="V1234">
        <v>0</v>
      </c>
      <c r="W1234">
        <v>3</v>
      </c>
      <c r="X1234">
        <v>1989</v>
      </c>
      <c r="Z1234">
        <v>2</v>
      </c>
      <c r="AB1234">
        <v>0</v>
      </c>
      <c r="AC1234" t="s">
        <v>115</v>
      </c>
      <c r="AD1234">
        <v>2</v>
      </c>
      <c r="AE1234" t="s">
        <v>115</v>
      </c>
      <c r="AF1234">
        <v>0</v>
      </c>
      <c r="AG1234">
        <v>0</v>
      </c>
      <c r="AH1234" t="s">
        <v>116</v>
      </c>
      <c r="AI1234" s="1">
        <v>19048</v>
      </c>
      <c r="AJ1234" s="2">
        <v>0.06</v>
      </c>
      <c r="AK1234" s="1">
        <v>317836</v>
      </c>
      <c r="AL1234" t="s">
        <v>117</v>
      </c>
      <c r="AM1234" t="s">
        <v>3345</v>
      </c>
      <c r="AN1234">
        <v>6011</v>
      </c>
      <c r="AO1234">
        <v>0.14000000000000001</v>
      </c>
      <c r="AP1234">
        <v>1</v>
      </c>
      <c r="AR1234">
        <v>1</v>
      </c>
      <c r="AS1234" s="1">
        <v>20420</v>
      </c>
      <c r="AT1234" s="1">
        <v>4080</v>
      </c>
      <c r="AU1234" s="1">
        <v>16340</v>
      </c>
      <c r="AV1234">
        <v>80.02</v>
      </c>
      <c r="AX1234" s="1">
        <v>1813.92</v>
      </c>
      <c r="AY1234" t="s">
        <v>928</v>
      </c>
      <c r="AZ1234" t="s">
        <v>929</v>
      </c>
      <c r="BA1234" t="s">
        <v>930</v>
      </c>
      <c r="BE1234" s="3">
        <v>42300</v>
      </c>
      <c r="BF1234" s="1">
        <v>292500</v>
      </c>
      <c r="BG1234" t="s">
        <v>8365</v>
      </c>
      <c r="BH1234" s="1">
        <v>183.5</v>
      </c>
      <c r="BI1234" s="1">
        <v>298788</v>
      </c>
      <c r="BJ1234" s="3">
        <v>42300</v>
      </c>
      <c r="BK1234" t="s">
        <v>123</v>
      </c>
      <c r="BL1234" t="str">
        <f>"2015.762813"</f>
        <v>2015.762813</v>
      </c>
      <c r="BM1234" t="s">
        <v>2885</v>
      </c>
      <c r="BO1234" t="s">
        <v>8366</v>
      </c>
      <c r="BS1234">
        <v>30</v>
      </c>
      <c r="BW1234" t="str">
        <f>""</f>
        <v/>
      </c>
      <c r="CH1234" t="str">
        <f>""</f>
        <v/>
      </c>
      <c r="CS1234" t="str">
        <f>""</f>
        <v/>
      </c>
    </row>
    <row r="1235" spans="1:97" x14ac:dyDescent="0.25">
      <c r="A1235" t="s">
        <v>996</v>
      </c>
      <c r="B1235" t="s">
        <v>8367</v>
      </c>
      <c r="C1235" t="s">
        <v>4713</v>
      </c>
      <c r="D1235" t="s">
        <v>8367</v>
      </c>
      <c r="E1235" t="s">
        <v>8368</v>
      </c>
      <c r="F1235" t="s">
        <v>108</v>
      </c>
      <c r="H1235" t="s">
        <v>8369</v>
      </c>
      <c r="I1235" t="s">
        <v>144</v>
      </c>
      <c r="J1235" t="s">
        <v>111</v>
      </c>
      <c r="K1235" t="str">
        <f>"85396"</f>
        <v>85396</v>
      </c>
      <c r="L1235" t="s">
        <v>1244</v>
      </c>
      <c r="M1235" t="s">
        <v>8369</v>
      </c>
      <c r="N1235" t="s">
        <v>144</v>
      </c>
      <c r="O1235" t="s">
        <v>111</v>
      </c>
      <c r="P1235" t="str">
        <f>"85396-7780"</f>
        <v>85396-7780</v>
      </c>
      <c r="Q1235" t="s">
        <v>113</v>
      </c>
      <c r="R1235" t="str">
        <f>"502-81-143"</f>
        <v>502-81-143</v>
      </c>
      <c r="S1235" t="s">
        <v>8370</v>
      </c>
      <c r="U1235">
        <v>3400</v>
      </c>
      <c r="V1235">
        <v>0</v>
      </c>
      <c r="W1235">
        <v>5</v>
      </c>
      <c r="X1235">
        <v>2011</v>
      </c>
      <c r="Z1235">
        <v>2</v>
      </c>
      <c r="AB1235">
        <v>0</v>
      </c>
      <c r="AC1235" t="s">
        <v>115</v>
      </c>
      <c r="AD1235">
        <v>3</v>
      </c>
      <c r="AE1235" t="s">
        <v>115</v>
      </c>
      <c r="AF1235">
        <v>0</v>
      </c>
      <c r="AG1235">
        <v>0</v>
      </c>
      <c r="AH1235" t="s">
        <v>116</v>
      </c>
      <c r="AI1235" s="1">
        <v>64015</v>
      </c>
      <c r="AJ1235" s="2">
        <v>0.14000000000000001</v>
      </c>
      <c r="AK1235" s="1">
        <v>446668</v>
      </c>
      <c r="AL1235" t="s">
        <v>117</v>
      </c>
      <c r="AM1235" t="s">
        <v>118</v>
      </c>
      <c r="AN1235">
        <v>9953</v>
      </c>
      <c r="AO1235">
        <v>0.23</v>
      </c>
      <c r="AR1235">
        <v>1</v>
      </c>
      <c r="AS1235" s="1">
        <v>29420</v>
      </c>
      <c r="AT1235" s="1">
        <v>5880</v>
      </c>
      <c r="AU1235" s="1">
        <v>23540</v>
      </c>
      <c r="AV1235">
        <v>80.010000000000005</v>
      </c>
      <c r="AX1235" s="1">
        <v>4579.3999999999996</v>
      </c>
      <c r="AY1235" t="s">
        <v>217</v>
      </c>
      <c r="AZ1235" t="s">
        <v>217</v>
      </c>
      <c r="BA1235" t="s">
        <v>218</v>
      </c>
      <c r="BE1235" s="3">
        <v>42080</v>
      </c>
      <c r="BF1235" s="1">
        <v>392500</v>
      </c>
      <c r="BG1235" t="s">
        <v>8371</v>
      </c>
      <c r="BH1235" s="1">
        <v>115.44</v>
      </c>
      <c r="BI1235" s="1">
        <v>382653</v>
      </c>
      <c r="BJ1235" s="3">
        <v>42576</v>
      </c>
      <c r="BK1235" t="s">
        <v>123</v>
      </c>
      <c r="BL1235" t="str">
        <f>"2016.523865"</f>
        <v>2016.523865</v>
      </c>
      <c r="BM1235" t="s">
        <v>1695</v>
      </c>
      <c r="BO1235" t="s">
        <v>8372</v>
      </c>
      <c r="BS1235">
        <v>30</v>
      </c>
      <c r="BW1235" t="str">
        <f>""</f>
        <v/>
      </c>
      <c r="CH1235" t="str">
        <f>""</f>
        <v/>
      </c>
      <c r="CS1235" t="str">
        <f>""</f>
        <v/>
      </c>
    </row>
    <row r="1236" spans="1:97" x14ac:dyDescent="0.25">
      <c r="A1236" t="s">
        <v>815</v>
      </c>
      <c r="B1236" t="s">
        <v>8373</v>
      </c>
      <c r="C1236" t="s">
        <v>2019</v>
      </c>
      <c r="D1236" t="s">
        <v>8373</v>
      </c>
      <c r="E1236" t="s">
        <v>8374</v>
      </c>
      <c r="F1236" t="s">
        <v>108</v>
      </c>
      <c r="H1236" t="s">
        <v>8375</v>
      </c>
      <c r="I1236" t="s">
        <v>453</v>
      </c>
      <c r="J1236" t="s">
        <v>111</v>
      </c>
      <c r="K1236" t="str">
        <f>"85383"</f>
        <v>85383</v>
      </c>
      <c r="L1236" t="s">
        <v>3161</v>
      </c>
      <c r="M1236" t="s">
        <v>8375</v>
      </c>
      <c r="N1236" t="s">
        <v>453</v>
      </c>
      <c r="O1236" t="s">
        <v>111</v>
      </c>
      <c r="P1236" t="str">
        <f>"85383-7198"</f>
        <v>85383-7198</v>
      </c>
      <c r="R1236" t="str">
        <f>"510-04-516"</f>
        <v>510-04-516</v>
      </c>
      <c r="S1236" t="s">
        <v>8376</v>
      </c>
      <c r="T1236" t="s">
        <v>8377</v>
      </c>
      <c r="U1236">
        <v>2048</v>
      </c>
      <c r="V1236">
        <v>0</v>
      </c>
      <c r="W1236">
        <v>5</v>
      </c>
      <c r="X1236">
        <v>2014</v>
      </c>
      <c r="Z1236">
        <v>2</v>
      </c>
      <c r="AB1236">
        <v>0</v>
      </c>
      <c r="AC1236" t="s">
        <v>115</v>
      </c>
      <c r="AD1236">
        <v>2</v>
      </c>
      <c r="AE1236" t="s">
        <v>115</v>
      </c>
      <c r="AF1236">
        <v>0</v>
      </c>
      <c r="AG1236">
        <v>0</v>
      </c>
      <c r="AH1236" t="s">
        <v>116</v>
      </c>
      <c r="AI1236" s="1">
        <v>-189272</v>
      </c>
      <c r="AJ1236" s="2">
        <v>-0.64</v>
      </c>
      <c r="AK1236" s="1">
        <v>295810</v>
      </c>
      <c r="AL1236" t="s">
        <v>117</v>
      </c>
      <c r="AM1236" t="s">
        <v>118</v>
      </c>
      <c r="AN1236">
        <v>2400</v>
      </c>
      <c r="AO1236">
        <v>0.55000000000000004</v>
      </c>
      <c r="AR1236">
        <v>1</v>
      </c>
      <c r="AS1236" s="1">
        <v>19380</v>
      </c>
      <c r="AT1236" s="1">
        <v>3870</v>
      </c>
      <c r="AU1236" s="1">
        <v>15510</v>
      </c>
      <c r="AV1236">
        <v>80.03</v>
      </c>
      <c r="AX1236" s="1">
        <v>1902.98</v>
      </c>
      <c r="AY1236" t="s">
        <v>627</v>
      </c>
      <c r="AZ1236" t="s">
        <v>627</v>
      </c>
      <c r="BA1236" t="s">
        <v>457</v>
      </c>
      <c r="BE1236" s="3">
        <v>41922</v>
      </c>
      <c r="BF1236" s="1">
        <v>234793</v>
      </c>
      <c r="BG1236" t="s">
        <v>617</v>
      </c>
      <c r="BH1236" s="1">
        <v>114.65</v>
      </c>
      <c r="BI1236" s="1">
        <v>242541</v>
      </c>
      <c r="BJ1236" s="3">
        <v>42114</v>
      </c>
      <c r="BK1236" t="s">
        <v>123</v>
      </c>
      <c r="BL1236" t="str">
        <f>"2015.269068"</f>
        <v>2015.269068</v>
      </c>
      <c r="BM1236" t="s">
        <v>903</v>
      </c>
      <c r="BN1236" t="s">
        <v>904</v>
      </c>
      <c r="BO1236" t="s">
        <v>8378</v>
      </c>
      <c r="BS1236">
        <v>30</v>
      </c>
      <c r="BW1236" t="str">
        <f>""</f>
        <v/>
      </c>
      <c r="CH1236" t="str">
        <f>""</f>
        <v/>
      </c>
      <c r="CS1236" t="str">
        <f>""</f>
        <v/>
      </c>
    </row>
    <row r="1237" spans="1:97" x14ac:dyDescent="0.25">
      <c r="A1237" t="s">
        <v>8379</v>
      </c>
      <c r="B1237" t="s">
        <v>8380</v>
      </c>
      <c r="C1237" t="s">
        <v>604</v>
      </c>
      <c r="D1237" t="s">
        <v>8380</v>
      </c>
      <c r="E1237" t="s">
        <v>8381</v>
      </c>
      <c r="F1237" t="s">
        <v>108</v>
      </c>
      <c r="H1237" t="s">
        <v>8382</v>
      </c>
      <c r="I1237" t="s">
        <v>2874</v>
      </c>
      <c r="J1237" t="s">
        <v>111</v>
      </c>
      <c r="K1237" t="str">
        <f>"85302"</f>
        <v>85302</v>
      </c>
      <c r="L1237" t="s">
        <v>6983</v>
      </c>
      <c r="M1237" t="s">
        <v>8382</v>
      </c>
      <c r="N1237" t="s">
        <v>2874</v>
      </c>
      <c r="O1237" t="s">
        <v>111</v>
      </c>
      <c r="P1237" t="str">
        <f>"85302-2519"</f>
        <v>85302-2519</v>
      </c>
      <c r="Q1237" t="s">
        <v>113</v>
      </c>
      <c r="R1237" t="str">
        <f>"148-05-327"</f>
        <v>148-05-327</v>
      </c>
      <c r="S1237" t="s">
        <v>8383</v>
      </c>
      <c r="T1237" t="s">
        <v>8384</v>
      </c>
      <c r="U1237">
        <v>2623</v>
      </c>
      <c r="V1237">
        <v>0</v>
      </c>
      <c r="W1237">
        <v>3</v>
      </c>
      <c r="X1237">
        <v>1975</v>
      </c>
      <c r="Z1237">
        <v>2</v>
      </c>
      <c r="AB1237">
        <v>0</v>
      </c>
      <c r="AC1237" t="s">
        <v>115</v>
      </c>
      <c r="AD1237">
        <v>2</v>
      </c>
      <c r="AE1237" t="s">
        <v>115</v>
      </c>
      <c r="AF1237">
        <v>0</v>
      </c>
      <c r="AG1237">
        <v>0</v>
      </c>
      <c r="AH1237" t="s">
        <v>116</v>
      </c>
      <c r="AI1237" s="1">
        <v>74156</v>
      </c>
      <c r="AJ1237" s="2">
        <v>0.25</v>
      </c>
      <c r="AK1237" s="1">
        <v>291086</v>
      </c>
      <c r="AL1237" t="s">
        <v>117</v>
      </c>
      <c r="AM1237" t="s">
        <v>191</v>
      </c>
      <c r="AN1237">
        <v>7353</v>
      </c>
      <c r="AO1237">
        <v>0.17</v>
      </c>
      <c r="AP1237">
        <v>1</v>
      </c>
      <c r="AR1237">
        <v>1</v>
      </c>
      <c r="AS1237" s="1">
        <v>19500</v>
      </c>
      <c r="AT1237" s="1">
        <v>3900</v>
      </c>
      <c r="AU1237" s="1">
        <v>15600</v>
      </c>
      <c r="AV1237">
        <v>80</v>
      </c>
      <c r="AX1237" s="1">
        <v>1365</v>
      </c>
      <c r="AY1237" t="s">
        <v>6985</v>
      </c>
      <c r="AZ1237" t="s">
        <v>6986</v>
      </c>
      <c r="BA1237" t="s">
        <v>6987</v>
      </c>
      <c r="BE1237" s="3">
        <v>42101</v>
      </c>
      <c r="BF1237" s="1">
        <v>210000</v>
      </c>
      <c r="BG1237" t="s">
        <v>8385</v>
      </c>
      <c r="BH1237" s="1">
        <v>80.989999999999995</v>
      </c>
      <c r="BI1237" s="1">
        <v>216930</v>
      </c>
      <c r="BJ1237" s="3">
        <v>42101</v>
      </c>
      <c r="BK1237" t="s">
        <v>123</v>
      </c>
      <c r="BL1237" t="str">
        <f>"2015.235050"</f>
        <v>2015.235050</v>
      </c>
      <c r="BM1237" t="s">
        <v>135</v>
      </c>
      <c r="BO1237" t="s">
        <v>8386</v>
      </c>
      <c r="BS1237">
        <v>30</v>
      </c>
      <c r="BW1237" t="str">
        <f>""</f>
        <v/>
      </c>
      <c r="CH1237" t="str">
        <f>""</f>
        <v/>
      </c>
      <c r="CS1237" t="str">
        <f>""</f>
        <v/>
      </c>
    </row>
    <row r="1238" spans="1:97" x14ac:dyDescent="0.25">
      <c r="A1238" t="s">
        <v>6281</v>
      </c>
      <c r="B1238" t="s">
        <v>8387</v>
      </c>
      <c r="E1238" t="s">
        <v>8388</v>
      </c>
      <c r="F1238" t="s">
        <v>108</v>
      </c>
      <c r="H1238" t="s">
        <v>8389</v>
      </c>
      <c r="I1238" t="s">
        <v>1936</v>
      </c>
      <c r="J1238" t="s">
        <v>111</v>
      </c>
      <c r="K1238" t="str">
        <f>"85257"</f>
        <v>85257</v>
      </c>
      <c r="L1238" t="s">
        <v>5308</v>
      </c>
      <c r="M1238" t="s">
        <v>8389</v>
      </c>
      <c r="N1238" t="s">
        <v>1936</v>
      </c>
      <c r="O1238" t="s">
        <v>111</v>
      </c>
      <c r="P1238" t="str">
        <f>"85257-4045"</f>
        <v>85257-4045</v>
      </c>
      <c r="Q1238" t="s">
        <v>113</v>
      </c>
      <c r="R1238" t="str">
        <f>"131-43-072"</f>
        <v>131-43-072</v>
      </c>
      <c r="S1238" t="s">
        <v>8390</v>
      </c>
      <c r="T1238" t="s">
        <v>8391</v>
      </c>
      <c r="U1238">
        <v>1358</v>
      </c>
      <c r="V1238">
        <v>0</v>
      </c>
      <c r="W1238">
        <v>2</v>
      </c>
      <c r="X1238">
        <v>1960</v>
      </c>
      <c r="Z1238">
        <v>1</v>
      </c>
      <c r="AA1238" t="s">
        <v>26</v>
      </c>
      <c r="AB1238">
        <v>0</v>
      </c>
      <c r="AC1238" t="s">
        <v>5188</v>
      </c>
      <c r="AD1238">
        <v>1</v>
      </c>
      <c r="AE1238" t="s">
        <v>5188</v>
      </c>
      <c r="AF1238">
        <v>0</v>
      </c>
      <c r="AG1238">
        <v>0</v>
      </c>
      <c r="AH1238" t="s">
        <v>116</v>
      </c>
      <c r="AI1238" s="1">
        <v>100001</v>
      </c>
      <c r="AJ1238" s="2">
        <v>0.28999999999999998</v>
      </c>
      <c r="AK1238" s="1">
        <v>340001</v>
      </c>
      <c r="AL1238" t="s">
        <v>117</v>
      </c>
      <c r="AM1238" t="s">
        <v>393</v>
      </c>
      <c r="AN1238">
        <v>6365</v>
      </c>
      <c r="AO1238">
        <v>0.15</v>
      </c>
      <c r="AP1238">
        <v>1</v>
      </c>
      <c r="AR1238">
        <v>1</v>
      </c>
      <c r="AS1238" s="1">
        <v>22700</v>
      </c>
      <c r="AT1238" s="1">
        <v>4540</v>
      </c>
      <c r="AU1238" s="1">
        <v>18160</v>
      </c>
      <c r="AV1238">
        <v>80</v>
      </c>
      <c r="AX1238" s="1">
        <v>1050.1400000000001</v>
      </c>
      <c r="AY1238" t="s">
        <v>8392</v>
      </c>
      <c r="AZ1238" t="s">
        <v>5420</v>
      </c>
      <c r="BA1238" t="s">
        <v>5421</v>
      </c>
      <c r="BB1238" s="3">
        <v>42558</v>
      </c>
      <c r="BD1238" t="s">
        <v>240</v>
      </c>
      <c r="BE1238" s="3">
        <v>42062</v>
      </c>
      <c r="BF1238" s="1">
        <v>245000</v>
      </c>
      <c r="BG1238" t="s">
        <v>8393</v>
      </c>
      <c r="BH1238" s="1">
        <v>180.41</v>
      </c>
      <c r="BI1238" s="1">
        <v>240000</v>
      </c>
      <c r="BJ1238" s="3">
        <v>42558</v>
      </c>
      <c r="BK1238" t="s">
        <v>123</v>
      </c>
      <c r="BL1238" t="str">
        <f>"2016.478011"</f>
        <v>2016.478011</v>
      </c>
      <c r="BM1238" t="s">
        <v>5534</v>
      </c>
      <c r="BO1238" t="s">
        <v>8394</v>
      </c>
      <c r="BS1238">
        <v>30</v>
      </c>
      <c r="BW1238" t="str">
        <f>""</f>
        <v/>
      </c>
      <c r="CH1238" t="str">
        <f>""</f>
        <v/>
      </c>
      <c r="CS1238" t="str">
        <f>""</f>
        <v/>
      </c>
    </row>
    <row r="1239" spans="1:97" x14ac:dyDescent="0.25">
      <c r="A1239" t="s">
        <v>5214</v>
      </c>
      <c r="B1239" t="s">
        <v>8395</v>
      </c>
      <c r="C1239" t="s">
        <v>8396</v>
      </c>
      <c r="D1239" t="s">
        <v>8395</v>
      </c>
      <c r="E1239" t="s">
        <v>8397</v>
      </c>
      <c r="F1239" t="s">
        <v>108</v>
      </c>
      <c r="H1239" t="s">
        <v>8398</v>
      </c>
      <c r="I1239" t="s">
        <v>2874</v>
      </c>
      <c r="J1239" t="s">
        <v>111</v>
      </c>
      <c r="K1239" t="str">
        <f>"85308"</f>
        <v>85308</v>
      </c>
      <c r="L1239" t="s">
        <v>5291</v>
      </c>
      <c r="M1239" t="s">
        <v>8398</v>
      </c>
      <c r="N1239" t="s">
        <v>2874</v>
      </c>
      <c r="O1239" t="s">
        <v>111</v>
      </c>
      <c r="P1239" t="str">
        <f>"85308-6173"</f>
        <v>85308-6173</v>
      </c>
      <c r="Q1239" t="s">
        <v>113</v>
      </c>
      <c r="R1239" t="str">
        <f>"233-02-167"</f>
        <v>233-02-167</v>
      </c>
      <c r="S1239" t="s">
        <v>8399</v>
      </c>
      <c r="T1239" t="s">
        <v>8399</v>
      </c>
      <c r="U1239">
        <v>1667</v>
      </c>
      <c r="V1239">
        <v>0</v>
      </c>
      <c r="W1239">
        <v>3</v>
      </c>
      <c r="X1239">
        <v>1995</v>
      </c>
      <c r="Z1239">
        <v>1</v>
      </c>
      <c r="AB1239">
        <v>0</v>
      </c>
      <c r="AC1239" t="s">
        <v>115</v>
      </c>
      <c r="AD1239">
        <v>2</v>
      </c>
      <c r="AE1239" t="s">
        <v>115</v>
      </c>
      <c r="AF1239">
        <v>0</v>
      </c>
      <c r="AG1239">
        <v>0</v>
      </c>
      <c r="AH1239" t="s">
        <v>116</v>
      </c>
      <c r="AI1239" s="1">
        <v>53570</v>
      </c>
      <c r="AJ1239" s="2">
        <v>0.18</v>
      </c>
      <c r="AK1239" s="1">
        <v>296602</v>
      </c>
      <c r="AL1239" t="s">
        <v>117</v>
      </c>
      <c r="AM1239" t="s">
        <v>393</v>
      </c>
      <c r="AN1239">
        <v>5700</v>
      </c>
      <c r="AO1239">
        <v>0.13</v>
      </c>
      <c r="AP1239">
        <v>1</v>
      </c>
      <c r="AR1239">
        <v>1</v>
      </c>
      <c r="AS1239" s="1">
        <v>19930</v>
      </c>
      <c r="AT1239" s="1">
        <v>3980</v>
      </c>
      <c r="AU1239" s="1">
        <v>15950</v>
      </c>
      <c r="AV1239">
        <v>80.03</v>
      </c>
      <c r="AX1239" s="1">
        <v>1791.86</v>
      </c>
      <c r="AY1239" t="s">
        <v>8400</v>
      </c>
      <c r="AZ1239" t="s">
        <v>8400</v>
      </c>
      <c r="BA1239" t="s">
        <v>2223</v>
      </c>
      <c r="BE1239" s="3">
        <v>42544</v>
      </c>
      <c r="BF1239" s="1">
        <v>242000</v>
      </c>
      <c r="BG1239" t="s">
        <v>8401</v>
      </c>
      <c r="BH1239" s="1">
        <v>145.16999999999999</v>
      </c>
      <c r="BI1239" s="1">
        <v>243032</v>
      </c>
      <c r="BJ1239" s="3">
        <v>42916</v>
      </c>
      <c r="BK1239" t="s">
        <v>123</v>
      </c>
      <c r="BL1239" t="str">
        <f>"2017.484387"</f>
        <v>2017.484387</v>
      </c>
      <c r="BM1239" t="s">
        <v>340</v>
      </c>
      <c r="BO1239" t="s">
        <v>8402</v>
      </c>
      <c r="BS1239">
        <v>29</v>
      </c>
      <c r="BW1239" t="str">
        <f>""</f>
        <v/>
      </c>
      <c r="CH1239" t="str">
        <f>""</f>
        <v/>
      </c>
      <c r="CS1239" t="str">
        <f>""</f>
        <v/>
      </c>
    </row>
    <row r="1240" spans="1:97" x14ac:dyDescent="0.25">
      <c r="A1240" t="s">
        <v>2261</v>
      </c>
      <c r="B1240" t="s">
        <v>3052</v>
      </c>
      <c r="E1240" t="s">
        <v>8403</v>
      </c>
      <c r="F1240" t="s">
        <v>108</v>
      </c>
      <c r="H1240" t="s">
        <v>8404</v>
      </c>
      <c r="I1240" t="s">
        <v>5387</v>
      </c>
      <c r="J1240" t="s">
        <v>111</v>
      </c>
      <c r="K1240" t="str">
        <f>"85283"</f>
        <v>85283</v>
      </c>
      <c r="L1240" t="s">
        <v>3982</v>
      </c>
      <c r="M1240" t="s">
        <v>8404</v>
      </c>
      <c r="N1240" t="s">
        <v>5387</v>
      </c>
      <c r="O1240" t="s">
        <v>111</v>
      </c>
      <c r="P1240" t="str">
        <f>"85283-5025"</f>
        <v>85283-5025</v>
      </c>
      <c r="Q1240" t="s">
        <v>113</v>
      </c>
      <c r="R1240" t="str">
        <f>"301-92-486"</f>
        <v>301-92-486</v>
      </c>
      <c r="S1240" t="s">
        <v>5856</v>
      </c>
      <c r="T1240" t="s">
        <v>5389</v>
      </c>
      <c r="U1240">
        <v>1445</v>
      </c>
      <c r="V1240">
        <v>0</v>
      </c>
      <c r="W1240">
        <v>3</v>
      </c>
      <c r="X1240">
        <v>1984</v>
      </c>
      <c r="Z1240">
        <v>1</v>
      </c>
      <c r="AA1240" t="s">
        <v>26</v>
      </c>
      <c r="AB1240">
        <v>0</v>
      </c>
      <c r="AC1240" t="s">
        <v>115</v>
      </c>
      <c r="AD1240">
        <v>2</v>
      </c>
      <c r="AE1240" t="s">
        <v>115</v>
      </c>
      <c r="AF1240">
        <v>0</v>
      </c>
      <c r="AG1240">
        <v>0</v>
      </c>
      <c r="AH1240" t="s">
        <v>116</v>
      </c>
      <c r="AI1240" s="1">
        <v>66190</v>
      </c>
      <c r="AJ1240" s="2">
        <v>0.21</v>
      </c>
      <c r="AK1240" s="1">
        <v>319790</v>
      </c>
      <c r="AL1240" t="s">
        <v>117</v>
      </c>
      <c r="AM1240" t="s">
        <v>393</v>
      </c>
      <c r="AN1240">
        <v>7719</v>
      </c>
      <c r="AO1240">
        <v>0.18</v>
      </c>
      <c r="AP1240">
        <v>1</v>
      </c>
      <c r="AR1240">
        <v>1</v>
      </c>
      <c r="AS1240" s="1">
        <v>22280</v>
      </c>
      <c r="AT1240" s="1">
        <v>4450</v>
      </c>
      <c r="AU1240" s="1">
        <v>17830</v>
      </c>
      <c r="AV1240">
        <v>80.03</v>
      </c>
      <c r="AX1240" s="1">
        <v>1947.74</v>
      </c>
      <c r="AY1240" t="s">
        <v>5857</v>
      </c>
      <c r="AZ1240" t="s">
        <v>5391</v>
      </c>
      <c r="BA1240" t="s">
        <v>5392</v>
      </c>
      <c r="BB1240" s="3">
        <v>42674</v>
      </c>
      <c r="BD1240" t="s">
        <v>240</v>
      </c>
      <c r="BE1240" s="3">
        <v>41912</v>
      </c>
      <c r="BF1240" s="1">
        <v>250000</v>
      </c>
      <c r="BG1240" t="s">
        <v>8405</v>
      </c>
      <c r="BH1240" s="1">
        <v>173.01</v>
      </c>
      <c r="BI1240" s="1">
        <v>253600</v>
      </c>
      <c r="BJ1240" s="3">
        <v>42674</v>
      </c>
      <c r="BK1240" t="s">
        <v>123</v>
      </c>
      <c r="BL1240" t="str">
        <f>"2016.802012"</f>
        <v>2016.802012</v>
      </c>
      <c r="BM1240" t="s">
        <v>255</v>
      </c>
      <c r="BO1240" t="s">
        <v>8406</v>
      </c>
      <c r="BS1240">
        <v>30</v>
      </c>
      <c r="BW1240" t="str">
        <f>""</f>
        <v/>
      </c>
      <c r="CH1240" t="str">
        <f>""</f>
        <v/>
      </c>
      <c r="CS1240" t="str">
        <f>""</f>
        <v/>
      </c>
    </row>
    <row r="1241" spans="1:97" x14ac:dyDescent="0.25">
      <c r="A1241" t="s">
        <v>996</v>
      </c>
      <c r="B1241" t="s">
        <v>8407</v>
      </c>
      <c r="C1241" t="s">
        <v>6830</v>
      </c>
      <c r="D1241" t="s">
        <v>8407</v>
      </c>
      <c r="E1241" t="s">
        <v>8408</v>
      </c>
      <c r="F1241" t="s">
        <v>108</v>
      </c>
      <c r="H1241" t="s">
        <v>8409</v>
      </c>
      <c r="I1241" t="s">
        <v>390</v>
      </c>
      <c r="J1241" t="s">
        <v>111</v>
      </c>
      <c r="K1241" t="str">
        <f>"85006"</f>
        <v>85006</v>
      </c>
      <c r="L1241" t="s">
        <v>6891</v>
      </c>
      <c r="M1241" t="s">
        <v>8409</v>
      </c>
      <c r="N1241" t="s">
        <v>390</v>
      </c>
      <c r="O1241" t="s">
        <v>111</v>
      </c>
      <c r="P1241" t="str">
        <f>"85006-1732"</f>
        <v>85006-1732</v>
      </c>
      <c r="Q1241" t="s">
        <v>113</v>
      </c>
      <c r="R1241" t="str">
        <f>"117-23-079"</f>
        <v>117-23-079</v>
      </c>
      <c r="S1241" t="s">
        <v>8410</v>
      </c>
      <c r="T1241" t="s">
        <v>8410</v>
      </c>
      <c r="U1241">
        <v>1144</v>
      </c>
      <c r="V1241">
        <v>0</v>
      </c>
      <c r="W1241">
        <v>1</v>
      </c>
      <c r="X1241">
        <v>1940</v>
      </c>
      <c r="Z1241">
        <v>1</v>
      </c>
      <c r="AB1241">
        <v>0</v>
      </c>
      <c r="AC1241" t="s">
        <v>115</v>
      </c>
      <c r="AD1241">
        <v>2</v>
      </c>
      <c r="AE1241" t="s">
        <v>115</v>
      </c>
      <c r="AF1241">
        <v>0</v>
      </c>
      <c r="AG1241">
        <v>0</v>
      </c>
      <c r="AH1241" t="s">
        <v>116</v>
      </c>
      <c r="AI1241" s="1">
        <v>37097</v>
      </c>
      <c r="AJ1241" s="2">
        <v>0.11</v>
      </c>
      <c r="AK1241" s="1">
        <v>336097</v>
      </c>
      <c r="AL1241" t="s">
        <v>117</v>
      </c>
      <c r="AM1241" t="s">
        <v>191</v>
      </c>
      <c r="AN1241">
        <v>7427</v>
      </c>
      <c r="AO1241">
        <v>0.17</v>
      </c>
      <c r="AP1241">
        <v>1</v>
      </c>
      <c r="AR1241">
        <v>1</v>
      </c>
      <c r="AS1241" s="1">
        <v>22810</v>
      </c>
      <c r="AT1241" s="1">
        <v>4560</v>
      </c>
      <c r="AU1241" s="1">
        <v>18250</v>
      </c>
      <c r="AV1241">
        <v>80.010000000000005</v>
      </c>
      <c r="AX1241" s="1">
        <v>1587.86</v>
      </c>
      <c r="AY1241" t="s">
        <v>8411</v>
      </c>
      <c r="AZ1241" t="s">
        <v>8411</v>
      </c>
      <c r="BA1241" t="s">
        <v>8412</v>
      </c>
      <c r="BE1241" s="3">
        <v>42185</v>
      </c>
      <c r="BF1241" s="1">
        <v>355000</v>
      </c>
      <c r="BG1241" t="s">
        <v>8413</v>
      </c>
      <c r="BH1241" s="1">
        <v>310.31</v>
      </c>
      <c r="BI1241" s="1">
        <v>299000</v>
      </c>
      <c r="BJ1241" s="3">
        <v>42185</v>
      </c>
      <c r="BK1241" t="s">
        <v>123</v>
      </c>
      <c r="BL1241" t="str">
        <f>"2015.472390"</f>
        <v>2015.472390</v>
      </c>
      <c r="BM1241" t="s">
        <v>594</v>
      </c>
      <c r="BO1241" t="s">
        <v>8414</v>
      </c>
      <c r="BS1241">
        <v>30</v>
      </c>
      <c r="BW1241" t="str">
        <f>""</f>
        <v/>
      </c>
      <c r="CH1241" t="str">
        <f>""</f>
        <v/>
      </c>
      <c r="CS1241" t="str">
        <f>""</f>
        <v/>
      </c>
    </row>
    <row r="1242" spans="1:97" x14ac:dyDescent="0.25">
      <c r="A1242" t="s">
        <v>370</v>
      </c>
      <c r="B1242" t="s">
        <v>8415</v>
      </c>
      <c r="C1242" t="s">
        <v>1340</v>
      </c>
      <c r="D1242" t="s">
        <v>8415</v>
      </c>
      <c r="E1242" t="s">
        <v>8416</v>
      </c>
      <c r="F1242" t="s">
        <v>108</v>
      </c>
      <c r="H1242" t="s">
        <v>8417</v>
      </c>
      <c r="I1242" t="s">
        <v>2874</v>
      </c>
      <c r="J1242" t="s">
        <v>111</v>
      </c>
      <c r="K1242" t="str">
        <f>"85310"</f>
        <v>85310</v>
      </c>
      <c r="L1242" t="s">
        <v>5325</v>
      </c>
      <c r="M1242" t="s">
        <v>8417</v>
      </c>
      <c r="N1242" t="s">
        <v>2874</v>
      </c>
      <c r="O1242" t="s">
        <v>111</v>
      </c>
      <c r="P1242" t="str">
        <f>"85310-5551"</f>
        <v>85310-5551</v>
      </c>
      <c r="Q1242" t="s">
        <v>113</v>
      </c>
      <c r="R1242" t="str">
        <f>"205-11-658"</f>
        <v>205-11-658</v>
      </c>
      <c r="S1242" t="s">
        <v>8418</v>
      </c>
      <c r="T1242" t="s">
        <v>8419</v>
      </c>
      <c r="U1242">
        <v>2280</v>
      </c>
      <c r="V1242">
        <v>0</v>
      </c>
      <c r="W1242">
        <v>3</v>
      </c>
      <c r="X1242">
        <v>1992</v>
      </c>
      <c r="Z1242">
        <v>1</v>
      </c>
      <c r="AB1242">
        <v>0</v>
      </c>
      <c r="AC1242" t="s">
        <v>115</v>
      </c>
      <c r="AD1242">
        <v>2</v>
      </c>
      <c r="AE1242" t="s">
        <v>115</v>
      </c>
      <c r="AF1242">
        <v>0</v>
      </c>
      <c r="AG1242">
        <v>0</v>
      </c>
      <c r="AH1242" t="s">
        <v>116</v>
      </c>
      <c r="AI1242" s="1">
        <v>51484</v>
      </c>
      <c r="AJ1242" s="2">
        <v>0.16</v>
      </c>
      <c r="AK1242" s="1">
        <v>330353</v>
      </c>
      <c r="AL1242" t="s">
        <v>117</v>
      </c>
      <c r="AM1242" t="s">
        <v>171</v>
      </c>
      <c r="AN1242">
        <v>6550</v>
      </c>
      <c r="AO1242">
        <v>0.15</v>
      </c>
      <c r="AP1242">
        <v>1</v>
      </c>
      <c r="AR1242">
        <v>1</v>
      </c>
      <c r="AS1242" s="1">
        <v>22600</v>
      </c>
      <c r="AT1242" s="1">
        <v>4520</v>
      </c>
      <c r="AU1242" s="1">
        <v>18080</v>
      </c>
      <c r="AV1242">
        <v>80</v>
      </c>
      <c r="AX1242" s="1">
        <v>1860.14</v>
      </c>
      <c r="AY1242" t="s">
        <v>5701</v>
      </c>
      <c r="AZ1242" t="s">
        <v>3049</v>
      </c>
      <c r="BA1242" t="s">
        <v>1386</v>
      </c>
      <c r="BE1242" s="3">
        <v>42180</v>
      </c>
      <c r="BF1242" s="1">
        <v>239000</v>
      </c>
      <c r="BG1242" t="s">
        <v>8420</v>
      </c>
      <c r="BH1242" s="1">
        <v>104.82</v>
      </c>
      <c r="BI1242" s="1">
        <v>278869</v>
      </c>
      <c r="BJ1242" s="3">
        <v>43131</v>
      </c>
      <c r="BK1242" t="s">
        <v>123</v>
      </c>
      <c r="BL1242" t="str">
        <f>"2018.78164"</f>
        <v>2018.78164</v>
      </c>
      <c r="BM1242" t="s">
        <v>1915</v>
      </c>
      <c r="BN1242" t="s">
        <v>1916</v>
      </c>
      <c r="BO1242" t="s">
        <v>8421</v>
      </c>
      <c r="BP1242" t="s">
        <v>8422</v>
      </c>
      <c r="BR1242" t="s">
        <v>139</v>
      </c>
      <c r="BW1242" t="str">
        <f>""</f>
        <v/>
      </c>
      <c r="CH1242" t="str">
        <f>""</f>
        <v/>
      </c>
      <c r="CS1242" t="str">
        <f>""</f>
        <v/>
      </c>
    </row>
    <row r="1243" spans="1:97" x14ac:dyDescent="0.25">
      <c r="B1243" t="s">
        <v>8423</v>
      </c>
      <c r="E1243" t="s">
        <v>8424</v>
      </c>
      <c r="F1243" t="s">
        <v>108</v>
      </c>
      <c r="H1243" t="s">
        <v>8425</v>
      </c>
      <c r="I1243" t="s">
        <v>632</v>
      </c>
      <c r="J1243" t="s">
        <v>111</v>
      </c>
      <c r="K1243" t="str">
        <f>"85374"</f>
        <v>85374</v>
      </c>
      <c r="L1243" t="s">
        <v>7339</v>
      </c>
      <c r="M1243" t="s">
        <v>8425</v>
      </c>
      <c r="N1243" t="s">
        <v>632</v>
      </c>
      <c r="O1243" t="s">
        <v>111</v>
      </c>
      <c r="P1243" t="str">
        <f>"85374-2014"</f>
        <v>85374-2014</v>
      </c>
      <c r="R1243" t="str">
        <f>"232-41-866"</f>
        <v>232-41-866</v>
      </c>
      <c r="S1243" t="s">
        <v>8426</v>
      </c>
      <c r="T1243" t="s">
        <v>8427</v>
      </c>
      <c r="U1243">
        <v>1435</v>
      </c>
      <c r="V1243">
        <v>0</v>
      </c>
      <c r="W1243">
        <v>2</v>
      </c>
      <c r="X1243">
        <v>2000</v>
      </c>
      <c r="Z1243">
        <v>1</v>
      </c>
      <c r="AB1243">
        <v>0</v>
      </c>
      <c r="AC1243" t="s">
        <v>115</v>
      </c>
      <c r="AD1243">
        <v>2</v>
      </c>
      <c r="AE1243" t="s">
        <v>115</v>
      </c>
      <c r="AF1243">
        <v>0</v>
      </c>
      <c r="AG1243">
        <v>0</v>
      </c>
      <c r="AH1243" t="s">
        <v>116</v>
      </c>
      <c r="AI1243" s="1">
        <v>57945</v>
      </c>
      <c r="AJ1243" s="2">
        <v>0.17</v>
      </c>
      <c r="AK1243" s="1">
        <v>335049</v>
      </c>
      <c r="AL1243" t="s">
        <v>117</v>
      </c>
      <c r="AM1243" t="s">
        <v>118</v>
      </c>
      <c r="AN1243">
        <v>6600</v>
      </c>
      <c r="AO1243">
        <v>0.15</v>
      </c>
      <c r="AP1243">
        <v>1</v>
      </c>
      <c r="AR1243">
        <v>1</v>
      </c>
      <c r="AS1243" s="1">
        <v>23170</v>
      </c>
      <c r="AT1243" s="1">
        <v>4630</v>
      </c>
      <c r="AU1243" s="1">
        <v>18540</v>
      </c>
      <c r="AV1243">
        <v>80.02</v>
      </c>
      <c r="AX1243" s="1">
        <v>2088.6799999999998</v>
      </c>
      <c r="AY1243" t="s">
        <v>5108</v>
      </c>
      <c r="AZ1243" t="s">
        <v>5108</v>
      </c>
      <c r="BA1243" t="s">
        <v>5109</v>
      </c>
      <c r="BB1243" s="3">
        <v>42481</v>
      </c>
      <c r="BD1243" t="s">
        <v>480</v>
      </c>
      <c r="BE1243" s="3">
        <v>41894</v>
      </c>
      <c r="BF1243" s="1">
        <v>235000</v>
      </c>
      <c r="BG1243" t="s">
        <v>8428</v>
      </c>
      <c r="BH1243" s="1">
        <v>163.76</v>
      </c>
      <c r="BI1243" s="1">
        <v>242104</v>
      </c>
      <c r="BJ1243" s="3">
        <v>42697</v>
      </c>
      <c r="BK1243" t="s">
        <v>123</v>
      </c>
      <c r="BL1243" t="str">
        <f>"2016.865209"</f>
        <v>2016.865209</v>
      </c>
      <c r="BM1243" t="s">
        <v>1695</v>
      </c>
      <c r="BN1243" t="s">
        <v>3082</v>
      </c>
      <c r="BO1243" t="s">
        <v>8429</v>
      </c>
      <c r="BP1243" t="s">
        <v>8430</v>
      </c>
      <c r="BS1243">
        <v>30</v>
      </c>
      <c r="BT1243" s="1">
        <v>35000</v>
      </c>
      <c r="BU1243" s="3">
        <v>43748</v>
      </c>
      <c r="BV1243" t="s">
        <v>134</v>
      </c>
      <c r="BW1243" t="str">
        <f>"2019.805890"</f>
        <v>2019.805890</v>
      </c>
      <c r="BX1243" t="s">
        <v>6152</v>
      </c>
      <c r="BY1243" t="s">
        <v>6153</v>
      </c>
      <c r="BZ1243" t="s">
        <v>8431</v>
      </c>
      <c r="CC1243" t="s">
        <v>139</v>
      </c>
      <c r="CH1243" t="str">
        <f>""</f>
        <v/>
      </c>
      <c r="CS1243" t="str">
        <f>""</f>
        <v/>
      </c>
    </row>
    <row r="1244" spans="1:97" x14ac:dyDescent="0.25">
      <c r="A1244" t="s">
        <v>1938</v>
      </c>
      <c r="B1244" t="s">
        <v>8432</v>
      </c>
      <c r="C1244" t="s">
        <v>1857</v>
      </c>
      <c r="D1244" t="s">
        <v>8432</v>
      </c>
      <c r="E1244" t="s">
        <v>8433</v>
      </c>
      <c r="F1244" t="s">
        <v>108</v>
      </c>
      <c r="H1244" t="s">
        <v>8434</v>
      </c>
      <c r="I1244" t="s">
        <v>203</v>
      </c>
      <c r="J1244" t="s">
        <v>111</v>
      </c>
      <c r="K1244" t="str">
        <f>"85295"</f>
        <v>85295</v>
      </c>
      <c r="L1244" t="s">
        <v>8435</v>
      </c>
      <c r="M1244" t="s">
        <v>8434</v>
      </c>
      <c r="N1244" t="s">
        <v>203</v>
      </c>
      <c r="O1244" t="s">
        <v>111</v>
      </c>
      <c r="P1244" t="str">
        <f>"85295-3471"</f>
        <v>85295-3471</v>
      </c>
      <c r="Q1244" t="s">
        <v>113</v>
      </c>
      <c r="R1244" t="str">
        <f>"304-46-688"</f>
        <v>304-46-688</v>
      </c>
      <c r="S1244" t="s">
        <v>8436</v>
      </c>
      <c r="U1244">
        <v>1956</v>
      </c>
      <c r="V1244">
        <v>0</v>
      </c>
      <c r="W1244">
        <v>3</v>
      </c>
      <c r="X1244">
        <v>2010</v>
      </c>
      <c r="Z1244">
        <v>2</v>
      </c>
      <c r="AB1244">
        <v>0</v>
      </c>
      <c r="AC1244" t="s">
        <v>115</v>
      </c>
      <c r="AD1244">
        <v>2</v>
      </c>
      <c r="AE1244" t="s">
        <v>115</v>
      </c>
      <c r="AF1244">
        <v>0</v>
      </c>
      <c r="AG1244">
        <v>0</v>
      </c>
      <c r="AH1244" t="s">
        <v>116</v>
      </c>
      <c r="AI1244" s="1">
        <v>75181</v>
      </c>
      <c r="AJ1244" s="2">
        <v>0.24</v>
      </c>
      <c r="AK1244" s="1">
        <v>313781</v>
      </c>
      <c r="AL1244" t="s">
        <v>117</v>
      </c>
      <c r="AM1244" t="s">
        <v>288</v>
      </c>
      <c r="AN1244">
        <v>4891</v>
      </c>
      <c r="AO1244">
        <v>0.11</v>
      </c>
      <c r="AR1244">
        <v>1</v>
      </c>
      <c r="AS1244" s="1">
        <v>21430</v>
      </c>
      <c r="AT1244" s="1">
        <v>4280</v>
      </c>
      <c r="AU1244" s="1">
        <v>17150</v>
      </c>
      <c r="AV1244">
        <v>80.03</v>
      </c>
      <c r="AX1244" s="1">
        <v>1944.12</v>
      </c>
      <c r="AY1244" t="s">
        <v>5094</v>
      </c>
      <c r="AZ1244" t="s">
        <v>5094</v>
      </c>
      <c r="BA1244" t="s">
        <v>473</v>
      </c>
      <c r="BE1244" s="3">
        <v>42040</v>
      </c>
      <c r="BF1244" s="1">
        <v>231000</v>
      </c>
      <c r="BG1244" t="s">
        <v>8437</v>
      </c>
      <c r="BH1244" s="1">
        <v>118.1</v>
      </c>
      <c r="BI1244" s="1">
        <v>238600</v>
      </c>
      <c r="BJ1244" s="3">
        <v>42040</v>
      </c>
      <c r="BK1244" t="s">
        <v>123</v>
      </c>
      <c r="BL1244" t="str">
        <f>"2015.75506"</f>
        <v>2015.75506</v>
      </c>
      <c r="BM1244" t="s">
        <v>1192</v>
      </c>
      <c r="BO1244" t="s">
        <v>8438</v>
      </c>
      <c r="BS1244">
        <v>30</v>
      </c>
      <c r="BW1244" t="str">
        <f>""</f>
        <v/>
      </c>
      <c r="CH1244" t="str">
        <f>""</f>
        <v/>
      </c>
      <c r="CS1244" t="str">
        <f>""</f>
        <v/>
      </c>
    </row>
    <row r="1245" spans="1:97" x14ac:dyDescent="0.25">
      <c r="A1245" t="s">
        <v>8439</v>
      </c>
      <c r="B1245" t="s">
        <v>8440</v>
      </c>
      <c r="C1245" t="s">
        <v>4754</v>
      </c>
      <c r="D1245" t="s">
        <v>8440</v>
      </c>
      <c r="E1245" t="s">
        <v>8441</v>
      </c>
      <c r="F1245" t="s">
        <v>108</v>
      </c>
      <c r="H1245" t="s">
        <v>8442</v>
      </c>
      <c r="I1245" t="s">
        <v>144</v>
      </c>
      <c r="J1245" t="s">
        <v>111</v>
      </c>
      <c r="K1245" t="str">
        <f>"85326"</f>
        <v>85326</v>
      </c>
      <c r="L1245" t="s">
        <v>7607</v>
      </c>
      <c r="M1245" t="s">
        <v>8442</v>
      </c>
      <c r="N1245" t="s">
        <v>144</v>
      </c>
      <c r="O1245" t="s">
        <v>111</v>
      </c>
      <c r="P1245" t="str">
        <f>"85326-9023"</f>
        <v>85326-9023</v>
      </c>
      <c r="Q1245" t="s">
        <v>113</v>
      </c>
      <c r="R1245" t="str">
        <f>"504-61-076"</f>
        <v>504-61-076</v>
      </c>
      <c r="S1245" t="s">
        <v>8443</v>
      </c>
      <c r="U1245">
        <v>2142</v>
      </c>
      <c r="V1245">
        <v>0</v>
      </c>
      <c r="W1245">
        <v>3</v>
      </c>
      <c r="X1245">
        <v>2015</v>
      </c>
      <c r="Z1245">
        <v>1</v>
      </c>
      <c r="AB1245">
        <v>0</v>
      </c>
      <c r="AC1245" t="s">
        <v>115</v>
      </c>
      <c r="AD1245">
        <v>3</v>
      </c>
      <c r="AE1245" t="s">
        <v>115</v>
      </c>
      <c r="AF1245">
        <v>0</v>
      </c>
      <c r="AG1245">
        <v>0</v>
      </c>
      <c r="AH1245" t="s">
        <v>116</v>
      </c>
      <c r="AI1245" s="1">
        <v>75543</v>
      </c>
      <c r="AJ1245" s="2">
        <v>0.27</v>
      </c>
      <c r="AK1245" s="1">
        <v>280746</v>
      </c>
      <c r="AL1245" t="s">
        <v>117</v>
      </c>
      <c r="AM1245" t="s">
        <v>118</v>
      </c>
      <c r="AN1245">
        <v>7150</v>
      </c>
      <c r="AO1245">
        <v>0.16</v>
      </c>
      <c r="AR1245">
        <v>1</v>
      </c>
      <c r="AS1245" s="1">
        <v>20530</v>
      </c>
      <c r="AT1245" s="1">
        <v>4100</v>
      </c>
      <c r="AU1245" s="1">
        <v>16430</v>
      </c>
      <c r="AV1245">
        <v>80.03</v>
      </c>
      <c r="AX1245" s="1">
        <v>1731.1</v>
      </c>
      <c r="AY1245" t="s">
        <v>8444</v>
      </c>
      <c r="AZ1245" t="s">
        <v>8444</v>
      </c>
      <c r="BA1245" t="s">
        <v>5025</v>
      </c>
      <c r="BE1245" s="3">
        <v>42167</v>
      </c>
      <c r="BF1245" s="1">
        <v>205203</v>
      </c>
      <c r="BG1245" t="s">
        <v>1975</v>
      </c>
      <c r="BH1245" s="1">
        <v>95.8</v>
      </c>
      <c r="BI1245" s="1">
        <v>205203</v>
      </c>
      <c r="BJ1245" s="3">
        <v>42167</v>
      </c>
      <c r="BK1245" t="s">
        <v>123</v>
      </c>
      <c r="BL1245" t="str">
        <f>"2015.421362"</f>
        <v>2015.421362</v>
      </c>
      <c r="BM1245" t="s">
        <v>724</v>
      </c>
      <c r="BO1245" t="s">
        <v>8445</v>
      </c>
      <c r="BS1245">
        <v>30</v>
      </c>
      <c r="BW1245" t="str">
        <f>""</f>
        <v/>
      </c>
      <c r="CH1245" t="str">
        <f>""</f>
        <v/>
      </c>
      <c r="CS1245" t="str">
        <f>""</f>
        <v/>
      </c>
    </row>
    <row r="1246" spans="1:97" x14ac:dyDescent="0.25">
      <c r="A1246" t="s">
        <v>2537</v>
      </c>
      <c r="B1246" t="s">
        <v>8446</v>
      </c>
      <c r="E1246" t="s">
        <v>8447</v>
      </c>
      <c r="F1246" t="s">
        <v>108</v>
      </c>
      <c r="H1246" t="s">
        <v>8448</v>
      </c>
      <c r="I1246" t="s">
        <v>2874</v>
      </c>
      <c r="J1246" t="s">
        <v>111</v>
      </c>
      <c r="K1246" t="str">
        <f>"85306"</f>
        <v>85306</v>
      </c>
      <c r="L1246" t="s">
        <v>1312</v>
      </c>
      <c r="M1246" t="s">
        <v>8448</v>
      </c>
      <c r="N1246" t="s">
        <v>2874</v>
      </c>
      <c r="O1246" t="s">
        <v>111</v>
      </c>
      <c r="P1246" t="str">
        <f>"85306-3151"</f>
        <v>85306-3151</v>
      </c>
      <c r="Q1246" t="s">
        <v>113</v>
      </c>
      <c r="R1246" t="str">
        <f>"231-09-292"</f>
        <v>231-09-292</v>
      </c>
      <c r="S1246" t="s">
        <v>8449</v>
      </c>
      <c r="T1246" t="s">
        <v>8449</v>
      </c>
      <c r="U1246">
        <v>1795</v>
      </c>
      <c r="V1246">
        <v>0</v>
      </c>
      <c r="W1246">
        <v>3</v>
      </c>
      <c r="X1246">
        <v>1996</v>
      </c>
      <c r="Z1246">
        <v>1</v>
      </c>
      <c r="AA1246" t="s">
        <v>26</v>
      </c>
      <c r="AB1246">
        <v>0</v>
      </c>
      <c r="AC1246" t="s">
        <v>115</v>
      </c>
      <c r="AD1246">
        <v>2</v>
      </c>
      <c r="AE1246" t="s">
        <v>115</v>
      </c>
      <c r="AF1246">
        <v>0</v>
      </c>
      <c r="AG1246">
        <v>0</v>
      </c>
      <c r="AH1246" t="s">
        <v>116</v>
      </c>
      <c r="AI1246" s="1">
        <v>66962</v>
      </c>
      <c r="AJ1246" s="2">
        <v>0.24</v>
      </c>
      <c r="AK1246" s="1">
        <v>279017</v>
      </c>
      <c r="AL1246" t="s">
        <v>117</v>
      </c>
      <c r="AM1246" t="s">
        <v>288</v>
      </c>
      <c r="AN1246">
        <v>5958</v>
      </c>
      <c r="AO1246">
        <v>0.14000000000000001</v>
      </c>
      <c r="AP1246">
        <v>1</v>
      </c>
      <c r="AR1246">
        <v>1</v>
      </c>
      <c r="AS1246" s="1">
        <v>21120</v>
      </c>
      <c r="AT1246" s="1">
        <v>4220</v>
      </c>
      <c r="AU1246" s="1">
        <v>16900</v>
      </c>
      <c r="AV1246">
        <v>80.02</v>
      </c>
      <c r="AX1246" s="1">
        <v>1523.34</v>
      </c>
      <c r="AY1246" t="s">
        <v>8450</v>
      </c>
      <c r="AZ1246" t="s">
        <v>8450</v>
      </c>
      <c r="BA1246" t="s">
        <v>3360</v>
      </c>
      <c r="BE1246" s="3">
        <v>42222</v>
      </c>
      <c r="BF1246" s="1">
        <v>210000</v>
      </c>
      <c r="BG1246" t="s">
        <v>8451</v>
      </c>
      <c r="BH1246" s="1">
        <v>116.99</v>
      </c>
      <c r="BI1246" s="1">
        <v>212055</v>
      </c>
      <c r="BJ1246" s="3">
        <v>42550</v>
      </c>
      <c r="BK1246" t="s">
        <v>123</v>
      </c>
      <c r="BL1246" t="str">
        <f>"2016.456861"</f>
        <v>2016.456861</v>
      </c>
      <c r="BM1246" t="s">
        <v>709</v>
      </c>
      <c r="BO1246" t="s">
        <v>8452</v>
      </c>
      <c r="BS1246">
        <v>30</v>
      </c>
      <c r="BW1246" t="str">
        <f>""</f>
        <v/>
      </c>
      <c r="CH1246" t="str">
        <f>""</f>
        <v/>
      </c>
      <c r="CS1246" t="str">
        <f>""</f>
        <v/>
      </c>
    </row>
    <row r="1247" spans="1:97" x14ac:dyDescent="0.25">
      <c r="B1247" t="s">
        <v>8453</v>
      </c>
      <c r="E1247" t="s">
        <v>8453</v>
      </c>
      <c r="F1247" t="s">
        <v>108</v>
      </c>
      <c r="H1247" t="s">
        <v>8454</v>
      </c>
      <c r="I1247" t="s">
        <v>110</v>
      </c>
      <c r="J1247" t="s">
        <v>111</v>
      </c>
      <c r="K1247" t="str">
        <f>"85224"</f>
        <v>85224</v>
      </c>
      <c r="L1247" t="s">
        <v>5209</v>
      </c>
      <c r="M1247" t="s">
        <v>8454</v>
      </c>
      <c r="N1247" t="s">
        <v>110</v>
      </c>
      <c r="O1247" t="s">
        <v>111</v>
      </c>
      <c r="P1247" t="str">
        <f>"85224-8636"</f>
        <v>85224-8636</v>
      </c>
      <c r="Q1247" t="s">
        <v>113</v>
      </c>
      <c r="R1247" t="str">
        <f>"302-81-391"</f>
        <v>302-81-391</v>
      </c>
      <c r="S1247" t="s">
        <v>8455</v>
      </c>
      <c r="T1247" t="s">
        <v>8456</v>
      </c>
      <c r="U1247">
        <v>1324</v>
      </c>
      <c r="V1247">
        <v>0</v>
      </c>
      <c r="W1247">
        <v>2</v>
      </c>
      <c r="X1247">
        <v>1982</v>
      </c>
      <c r="Z1247">
        <v>1</v>
      </c>
      <c r="AB1247">
        <v>0</v>
      </c>
      <c r="AC1247" t="s">
        <v>115</v>
      </c>
      <c r="AD1247">
        <v>2</v>
      </c>
      <c r="AE1247" t="s">
        <v>115</v>
      </c>
      <c r="AF1247">
        <v>0</v>
      </c>
      <c r="AG1247">
        <v>0</v>
      </c>
      <c r="AH1247" t="s">
        <v>116</v>
      </c>
      <c r="AI1247" s="1">
        <v>48367</v>
      </c>
      <c r="AJ1247" s="2">
        <v>0.18</v>
      </c>
      <c r="AK1247" s="1">
        <v>270462</v>
      </c>
      <c r="AL1247" t="s">
        <v>117</v>
      </c>
      <c r="AM1247" t="s">
        <v>5077</v>
      </c>
      <c r="AN1247">
        <v>7619</v>
      </c>
      <c r="AO1247">
        <v>0.18</v>
      </c>
      <c r="AP1247">
        <v>1</v>
      </c>
      <c r="AR1247">
        <v>1</v>
      </c>
      <c r="AS1247" s="1">
        <v>17860</v>
      </c>
      <c r="AT1247" s="1">
        <v>3570</v>
      </c>
      <c r="AU1247" s="1">
        <v>14290</v>
      </c>
      <c r="AV1247">
        <v>80.010000000000005</v>
      </c>
      <c r="AX1247" s="1">
        <v>1130.7</v>
      </c>
      <c r="AY1247" t="s">
        <v>5722</v>
      </c>
      <c r="AZ1247" t="s">
        <v>5078</v>
      </c>
      <c r="BA1247" t="s">
        <v>2957</v>
      </c>
      <c r="BE1247" s="3">
        <v>42360</v>
      </c>
      <c r="BF1247" s="1">
        <v>215000</v>
      </c>
      <c r="BG1247" t="s">
        <v>8457</v>
      </c>
      <c r="BH1247" s="1">
        <v>162.38999999999999</v>
      </c>
      <c r="BI1247" s="1">
        <v>222095</v>
      </c>
      <c r="BJ1247" s="3">
        <v>42360</v>
      </c>
      <c r="BK1247" t="s">
        <v>123</v>
      </c>
      <c r="BL1247" t="str">
        <f>"2015.901409"</f>
        <v>2015.901409</v>
      </c>
      <c r="BM1247" t="s">
        <v>594</v>
      </c>
      <c r="BO1247" t="s">
        <v>8458</v>
      </c>
      <c r="BS1247">
        <v>30</v>
      </c>
      <c r="BW1247" t="str">
        <f>""</f>
        <v/>
      </c>
      <c r="CH1247" t="str">
        <f>""</f>
        <v/>
      </c>
      <c r="CS1247" t="str">
        <f>""</f>
        <v/>
      </c>
    </row>
    <row r="1248" spans="1:97" x14ac:dyDescent="0.25">
      <c r="A1248" t="s">
        <v>211</v>
      </c>
      <c r="B1248" t="s">
        <v>8459</v>
      </c>
      <c r="E1248" t="s">
        <v>8460</v>
      </c>
      <c r="F1248" t="s">
        <v>282</v>
      </c>
      <c r="H1248" t="s">
        <v>8461</v>
      </c>
      <c r="I1248" t="s">
        <v>2874</v>
      </c>
      <c r="J1248" t="s">
        <v>111</v>
      </c>
      <c r="K1248" t="str">
        <f>"85308"</f>
        <v>85308</v>
      </c>
      <c r="L1248" t="s">
        <v>8462</v>
      </c>
      <c r="M1248" t="s">
        <v>8463</v>
      </c>
      <c r="N1248" t="s">
        <v>2874</v>
      </c>
      <c r="O1248" t="s">
        <v>111</v>
      </c>
      <c r="P1248" t="str">
        <f>"85308"</f>
        <v>85308</v>
      </c>
      <c r="Q1248" t="s">
        <v>113</v>
      </c>
      <c r="R1248" t="str">
        <f>"207-18-081"</f>
        <v>207-18-081</v>
      </c>
      <c r="S1248" t="s">
        <v>8464</v>
      </c>
      <c r="T1248" t="s">
        <v>8465</v>
      </c>
      <c r="U1248">
        <v>2069</v>
      </c>
      <c r="V1248">
        <v>0</v>
      </c>
      <c r="W1248">
        <v>2</v>
      </c>
      <c r="X1248">
        <v>1978</v>
      </c>
      <c r="Z1248">
        <v>1</v>
      </c>
      <c r="AB1248">
        <v>0</v>
      </c>
      <c r="AC1248" t="s">
        <v>115</v>
      </c>
      <c r="AD1248">
        <v>2</v>
      </c>
      <c r="AE1248" t="s">
        <v>115</v>
      </c>
      <c r="AF1248">
        <v>0</v>
      </c>
      <c r="AG1248">
        <v>0</v>
      </c>
      <c r="AH1248" t="s">
        <v>116</v>
      </c>
      <c r="AI1248" s="1">
        <v>-4306</v>
      </c>
      <c r="AJ1248" s="2">
        <v>-0.02</v>
      </c>
      <c r="AK1248" s="1">
        <v>234494</v>
      </c>
      <c r="AL1248" t="s">
        <v>117</v>
      </c>
      <c r="AM1248" t="s">
        <v>171</v>
      </c>
      <c r="AN1248">
        <v>7989</v>
      </c>
      <c r="AO1248">
        <v>0.18</v>
      </c>
      <c r="AP1248">
        <v>1</v>
      </c>
      <c r="AR1248">
        <v>1</v>
      </c>
      <c r="AS1248" s="1">
        <v>19150</v>
      </c>
      <c r="AT1248" s="1">
        <v>3830</v>
      </c>
      <c r="AU1248" s="1">
        <v>15320</v>
      </c>
      <c r="AV1248">
        <v>80</v>
      </c>
      <c r="AX1248" s="1">
        <v>1372.56</v>
      </c>
      <c r="AY1248" t="s">
        <v>8466</v>
      </c>
      <c r="AZ1248" t="s">
        <v>5142</v>
      </c>
      <c r="BA1248" t="s">
        <v>5143</v>
      </c>
      <c r="BE1248" s="3">
        <v>42292</v>
      </c>
      <c r="BF1248" s="1">
        <v>239900</v>
      </c>
      <c r="BG1248" t="s">
        <v>8467</v>
      </c>
      <c r="BH1248" s="1">
        <v>115.95</v>
      </c>
      <c r="BI1248" s="1">
        <v>238800</v>
      </c>
      <c r="BJ1248" s="3">
        <v>42584</v>
      </c>
      <c r="BK1248" t="s">
        <v>123</v>
      </c>
      <c r="BL1248" t="str">
        <f>"2016.547116"</f>
        <v>2016.547116</v>
      </c>
      <c r="BM1248" t="s">
        <v>1135</v>
      </c>
      <c r="BO1248" t="s">
        <v>8468</v>
      </c>
      <c r="BS1248">
        <v>30</v>
      </c>
      <c r="BW1248" t="str">
        <f>""</f>
        <v/>
      </c>
      <c r="CH1248" t="str">
        <f>""</f>
        <v/>
      </c>
      <c r="CS1248" t="str">
        <f>""</f>
        <v/>
      </c>
    </row>
    <row r="1249" spans="1:97" x14ac:dyDescent="0.25">
      <c r="A1249" t="s">
        <v>4221</v>
      </c>
      <c r="B1249" t="s">
        <v>8469</v>
      </c>
      <c r="E1249" t="s">
        <v>8470</v>
      </c>
      <c r="F1249" t="s">
        <v>108</v>
      </c>
      <c r="H1249" t="s">
        <v>8471</v>
      </c>
      <c r="I1249" t="s">
        <v>203</v>
      </c>
      <c r="J1249" t="s">
        <v>111</v>
      </c>
      <c r="K1249" t="str">
        <f>"85295"</f>
        <v>85295</v>
      </c>
      <c r="L1249" t="s">
        <v>8472</v>
      </c>
      <c r="M1249" t="s">
        <v>8471</v>
      </c>
      <c r="N1249" t="s">
        <v>203</v>
      </c>
      <c r="O1249" t="s">
        <v>111</v>
      </c>
      <c r="P1249" t="str">
        <f>"85295-6138"</f>
        <v>85295-6138</v>
      </c>
      <c r="Q1249" t="s">
        <v>113</v>
      </c>
      <c r="R1249" t="str">
        <f>"304-43-794"</f>
        <v>304-43-794</v>
      </c>
      <c r="S1249" t="s">
        <v>8473</v>
      </c>
      <c r="T1249" t="s">
        <v>8473</v>
      </c>
      <c r="U1249">
        <v>2071</v>
      </c>
      <c r="V1249">
        <v>0</v>
      </c>
      <c r="W1249">
        <v>4</v>
      </c>
      <c r="X1249">
        <v>2006</v>
      </c>
      <c r="Z1249">
        <v>2</v>
      </c>
      <c r="AB1249">
        <v>0</v>
      </c>
      <c r="AC1249" t="s">
        <v>115</v>
      </c>
      <c r="AD1249">
        <v>2</v>
      </c>
      <c r="AE1249" t="s">
        <v>115</v>
      </c>
      <c r="AF1249">
        <v>0</v>
      </c>
      <c r="AG1249">
        <v>0</v>
      </c>
      <c r="AH1249" t="s">
        <v>116</v>
      </c>
      <c r="AI1249" s="1">
        <v>90965</v>
      </c>
      <c r="AJ1249" s="2">
        <v>0.31</v>
      </c>
      <c r="AK1249" s="1">
        <v>296465</v>
      </c>
      <c r="AL1249" t="s">
        <v>117</v>
      </c>
      <c r="AM1249" t="s">
        <v>288</v>
      </c>
      <c r="AN1249">
        <v>3412</v>
      </c>
      <c r="AO1249">
        <v>0.78</v>
      </c>
      <c r="AR1249">
        <v>1</v>
      </c>
      <c r="AS1249" s="1">
        <v>20530</v>
      </c>
      <c r="AT1249" s="1">
        <v>4100</v>
      </c>
      <c r="AU1249" s="1">
        <v>16430</v>
      </c>
      <c r="AV1249">
        <v>80.03</v>
      </c>
      <c r="AX1249" s="1">
        <v>1856.68</v>
      </c>
      <c r="AY1249" t="s">
        <v>472</v>
      </c>
      <c r="AZ1249" t="s">
        <v>472</v>
      </c>
      <c r="BA1249" t="s">
        <v>473</v>
      </c>
      <c r="BE1249" s="3">
        <v>42058</v>
      </c>
      <c r="BF1249" s="1">
        <v>205500</v>
      </c>
      <c r="BG1249" t="s">
        <v>8474</v>
      </c>
      <c r="BH1249" s="1">
        <v>99.23</v>
      </c>
      <c r="BI1249" s="1">
        <v>205500</v>
      </c>
      <c r="BJ1249" s="3">
        <v>42058</v>
      </c>
      <c r="BK1249" t="s">
        <v>123</v>
      </c>
      <c r="BL1249" t="str">
        <f>"2015.113920"</f>
        <v>2015.113920</v>
      </c>
      <c r="BM1249" t="s">
        <v>2368</v>
      </c>
      <c r="BO1249" t="s">
        <v>8475</v>
      </c>
      <c r="BS1249">
        <v>30</v>
      </c>
      <c r="BW1249" t="str">
        <f>""</f>
        <v/>
      </c>
      <c r="CH1249" t="str">
        <f>""</f>
        <v/>
      </c>
      <c r="CS1249" t="str">
        <f>""</f>
        <v/>
      </c>
    </row>
    <row r="1250" spans="1:97" x14ac:dyDescent="0.25">
      <c r="A1250" t="s">
        <v>370</v>
      </c>
      <c r="B1250" t="s">
        <v>802</v>
      </c>
      <c r="C1250" t="s">
        <v>334</v>
      </c>
      <c r="D1250" t="s">
        <v>8476</v>
      </c>
      <c r="E1250" t="s">
        <v>8477</v>
      </c>
      <c r="F1250" t="s">
        <v>108</v>
      </c>
      <c r="H1250" t="s">
        <v>8478</v>
      </c>
      <c r="I1250" t="s">
        <v>225</v>
      </c>
      <c r="J1250" t="s">
        <v>111</v>
      </c>
      <c r="K1250" t="str">
        <f>"85204"</f>
        <v>85204</v>
      </c>
      <c r="L1250" t="s">
        <v>7005</v>
      </c>
      <c r="M1250" t="s">
        <v>8478</v>
      </c>
      <c r="N1250" t="s">
        <v>225</v>
      </c>
      <c r="O1250" t="s">
        <v>111</v>
      </c>
      <c r="P1250" t="str">
        <f>"85204-1114"</f>
        <v>85204-1114</v>
      </c>
      <c r="Q1250" t="s">
        <v>113</v>
      </c>
      <c r="R1250" t="str">
        <f>"138-16-032"</f>
        <v>138-16-032</v>
      </c>
      <c r="S1250" t="s">
        <v>8479</v>
      </c>
      <c r="T1250" t="s">
        <v>8479</v>
      </c>
      <c r="U1250">
        <v>3425</v>
      </c>
      <c r="V1250">
        <v>0</v>
      </c>
      <c r="W1250">
        <v>4</v>
      </c>
      <c r="X1250">
        <v>1961</v>
      </c>
      <c r="Z1250">
        <v>1</v>
      </c>
      <c r="AB1250">
        <v>0</v>
      </c>
      <c r="AC1250" t="s">
        <v>5188</v>
      </c>
      <c r="AD1250">
        <v>2</v>
      </c>
      <c r="AE1250" t="s">
        <v>5188</v>
      </c>
      <c r="AF1250">
        <v>0</v>
      </c>
      <c r="AG1250">
        <v>0</v>
      </c>
      <c r="AH1250" t="s">
        <v>116</v>
      </c>
      <c r="AI1250" s="1">
        <v>91366</v>
      </c>
      <c r="AJ1250" s="2">
        <v>0.26</v>
      </c>
      <c r="AK1250" s="1">
        <v>353771</v>
      </c>
      <c r="AL1250" t="s">
        <v>117</v>
      </c>
      <c r="AM1250" t="s">
        <v>191</v>
      </c>
      <c r="AN1250">
        <v>9500</v>
      </c>
      <c r="AO1250">
        <v>0.22</v>
      </c>
      <c r="AP1250">
        <v>1</v>
      </c>
      <c r="AR1250">
        <v>1</v>
      </c>
      <c r="AS1250" s="1">
        <v>22430</v>
      </c>
      <c r="AT1250" s="1">
        <v>4190</v>
      </c>
      <c r="AU1250" s="1">
        <v>18240</v>
      </c>
      <c r="AV1250">
        <v>81.319999999999993</v>
      </c>
      <c r="AX1250" s="1">
        <v>1305.5999999999999</v>
      </c>
      <c r="AY1250" t="s">
        <v>8480</v>
      </c>
      <c r="AZ1250" t="s">
        <v>5190</v>
      </c>
      <c r="BA1250" t="s">
        <v>5159</v>
      </c>
      <c r="BB1250" s="3">
        <v>42660</v>
      </c>
      <c r="BD1250" t="s">
        <v>240</v>
      </c>
      <c r="BE1250" s="3">
        <v>41649</v>
      </c>
      <c r="BF1250" s="1">
        <v>286000</v>
      </c>
      <c r="BG1250" t="s">
        <v>8481</v>
      </c>
      <c r="BH1250" s="1">
        <v>83.5</v>
      </c>
      <c r="BI1250" s="1">
        <v>262405</v>
      </c>
      <c r="BJ1250" s="3">
        <v>42660</v>
      </c>
      <c r="BK1250" t="s">
        <v>123</v>
      </c>
      <c r="BL1250" t="str">
        <f>"2016.760943"</f>
        <v>2016.760943</v>
      </c>
      <c r="BM1250" t="s">
        <v>2107</v>
      </c>
      <c r="BO1250" t="s">
        <v>8482</v>
      </c>
      <c r="BP1250" t="s">
        <v>8483</v>
      </c>
      <c r="BS1250">
        <v>30</v>
      </c>
      <c r="BW1250" t="str">
        <f>""</f>
        <v/>
      </c>
      <c r="CH1250" t="str">
        <f>""</f>
        <v/>
      </c>
      <c r="CS1250" t="str">
        <f>""</f>
        <v/>
      </c>
    </row>
    <row r="1251" spans="1:97" x14ac:dyDescent="0.25">
      <c r="A1251" t="s">
        <v>894</v>
      </c>
      <c r="B1251" t="s">
        <v>8484</v>
      </c>
      <c r="E1251" t="s">
        <v>8485</v>
      </c>
      <c r="F1251" t="s">
        <v>108</v>
      </c>
      <c r="H1251" t="s">
        <v>8486</v>
      </c>
      <c r="I1251" t="s">
        <v>225</v>
      </c>
      <c r="J1251" t="s">
        <v>111</v>
      </c>
      <c r="K1251" t="str">
        <f>"85209"</f>
        <v>85209</v>
      </c>
      <c r="L1251" t="s">
        <v>5456</v>
      </c>
      <c r="M1251" t="s">
        <v>8486</v>
      </c>
      <c r="N1251" t="s">
        <v>225</v>
      </c>
      <c r="O1251" t="s">
        <v>111</v>
      </c>
      <c r="P1251" t="str">
        <f>"85209-1332"</f>
        <v>85209-1332</v>
      </c>
      <c r="Q1251" t="s">
        <v>113</v>
      </c>
      <c r="R1251" t="str">
        <f>"304-01-148"</f>
        <v>304-01-148</v>
      </c>
      <c r="S1251" t="s">
        <v>8487</v>
      </c>
      <c r="U1251">
        <v>1475</v>
      </c>
      <c r="V1251">
        <v>0</v>
      </c>
      <c r="W1251">
        <v>3</v>
      </c>
      <c r="X1251">
        <v>1999</v>
      </c>
      <c r="Z1251">
        <v>1</v>
      </c>
      <c r="AB1251">
        <v>0</v>
      </c>
      <c r="AC1251" t="s">
        <v>115</v>
      </c>
      <c r="AD1251">
        <v>2</v>
      </c>
      <c r="AE1251" t="s">
        <v>115</v>
      </c>
      <c r="AF1251">
        <v>0</v>
      </c>
      <c r="AG1251">
        <v>0</v>
      </c>
      <c r="AH1251" t="s">
        <v>116</v>
      </c>
      <c r="AI1251" s="1">
        <v>54122</v>
      </c>
      <c r="AJ1251" s="2">
        <v>0.18</v>
      </c>
      <c r="AK1251" s="1">
        <v>304893</v>
      </c>
      <c r="AL1251" t="s">
        <v>117</v>
      </c>
      <c r="AM1251" t="s">
        <v>191</v>
      </c>
      <c r="AN1251">
        <v>6660</v>
      </c>
      <c r="AO1251">
        <v>0.15</v>
      </c>
      <c r="AP1251">
        <v>1</v>
      </c>
      <c r="AR1251">
        <v>1</v>
      </c>
      <c r="AS1251" s="1">
        <v>20210</v>
      </c>
      <c r="AT1251" s="1">
        <v>4040</v>
      </c>
      <c r="AU1251" s="1">
        <v>16170</v>
      </c>
      <c r="AV1251">
        <v>80.010000000000005</v>
      </c>
      <c r="AX1251" s="1">
        <v>1858.16</v>
      </c>
      <c r="AY1251" t="s">
        <v>4370</v>
      </c>
      <c r="AZ1251" t="s">
        <v>777</v>
      </c>
      <c r="BA1251" t="s">
        <v>572</v>
      </c>
      <c r="BE1251" s="3">
        <v>42475</v>
      </c>
      <c r="BF1251" s="1">
        <v>246500</v>
      </c>
      <c r="BG1251" t="s">
        <v>8488</v>
      </c>
      <c r="BH1251" s="1">
        <v>167.12</v>
      </c>
      <c r="BI1251" s="1">
        <v>250771</v>
      </c>
      <c r="BJ1251" s="3">
        <v>42643</v>
      </c>
      <c r="BK1251" t="s">
        <v>123</v>
      </c>
      <c r="BL1251" t="str">
        <f>"2016.714725"</f>
        <v>2016.714725</v>
      </c>
      <c r="BM1251" t="s">
        <v>1695</v>
      </c>
      <c r="BO1251" t="s">
        <v>8489</v>
      </c>
      <c r="BS1251">
        <v>30</v>
      </c>
      <c r="BW1251" t="str">
        <f>""</f>
        <v/>
      </c>
      <c r="CH1251" t="str">
        <f>""</f>
        <v/>
      </c>
      <c r="CS1251" t="str">
        <f>""</f>
        <v/>
      </c>
    </row>
    <row r="1252" spans="1:97" x14ac:dyDescent="0.25">
      <c r="A1252" t="s">
        <v>2743</v>
      </c>
      <c r="B1252" t="s">
        <v>8490</v>
      </c>
      <c r="C1252" t="s">
        <v>8491</v>
      </c>
      <c r="D1252" t="s">
        <v>8490</v>
      </c>
      <c r="E1252" t="s">
        <v>8492</v>
      </c>
      <c r="F1252" t="s">
        <v>108</v>
      </c>
      <c r="H1252" t="s">
        <v>8493</v>
      </c>
      <c r="I1252" t="s">
        <v>1936</v>
      </c>
      <c r="J1252" t="s">
        <v>111</v>
      </c>
      <c r="K1252" t="str">
        <f>"85257"</f>
        <v>85257</v>
      </c>
      <c r="L1252" t="s">
        <v>1300</v>
      </c>
      <c r="M1252" t="s">
        <v>8493</v>
      </c>
      <c r="N1252" t="s">
        <v>1936</v>
      </c>
      <c r="O1252" t="s">
        <v>111</v>
      </c>
      <c r="P1252" t="str">
        <f>"85257-1514"</f>
        <v>85257-1514</v>
      </c>
      <c r="Q1252" t="s">
        <v>113</v>
      </c>
      <c r="R1252" t="str">
        <f>"131-28-028"</f>
        <v>131-28-028</v>
      </c>
      <c r="S1252" t="s">
        <v>8494</v>
      </c>
      <c r="T1252" t="s">
        <v>8495</v>
      </c>
      <c r="U1252">
        <v>1666</v>
      </c>
      <c r="V1252">
        <v>0</v>
      </c>
      <c r="W1252">
        <v>2</v>
      </c>
      <c r="X1252">
        <v>1959</v>
      </c>
      <c r="Z1252">
        <v>1</v>
      </c>
      <c r="AB1252">
        <v>0</v>
      </c>
      <c r="AC1252" t="s">
        <v>5188</v>
      </c>
      <c r="AD1252">
        <v>2</v>
      </c>
      <c r="AE1252" t="s">
        <v>5188</v>
      </c>
      <c r="AF1252">
        <v>0</v>
      </c>
      <c r="AG1252">
        <v>0</v>
      </c>
      <c r="AH1252" t="s">
        <v>116</v>
      </c>
      <c r="AI1252" s="1">
        <v>76342</v>
      </c>
      <c r="AJ1252" s="2">
        <v>0.21</v>
      </c>
      <c r="AK1252" s="1">
        <v>369211</v>
      </c>
      <c r="AL1252" t="s">
        <v>117</v>
      </c>
      <c r="AM1252" t="s">
        <v>393</v>
      </c>
      <c r="AN1252">
        <v>7042</v>
      </c>
      <c r="AO1252">
        <v>0.16</v>
      </c>
      <c r="AP1252">
        <v>1</v>
      </c>
      <c r="AR1252">
        <v>1</v>
      </c>
      <c r="AS1252" s="1">
        <v>24810</v>
      </c>
      <c r="AT1252" s="1">
        <v>4960</v>
      </c>
      <c r="AU1252" s="1">
        <v>19850</v>
      </c>
      <c r="AV1252">
        <v>80.010000000000005</v>
      </c>
      <c r="AX1252" s="1">
        <v>1233.96</v>
      </c>
      <c r="AY1252" t="s">
        <v>7031</v>
      </c>
      <c r="AZ1252" t="s">
        <v>5420</v>
      </c>
      <c r="BA1252" t="s">
        <v>5421</v>
      </c>
      <c r="BB1252" s="3">
        <v>42482</v>
      </c>
      <c r="BD1252" t="s">
        <v>842</v>
      </c>
      <c r="BE1252" s="3">
        <v>42482</v>
      </c>
      <c r="BF1252" s="1">
        <v>273000</v>
      </c>
      <c r="BG1252" t="s">
        <v>8496</v>
      </c>
      <c r="BH1252" s="1">
        <v>163.87</v>
      </c>
      <c r="BI1252" s="1">
        <v>278869</v>
      </c>
      <c r="BJ1252" s="3">
        <v>42482</v>
      </c>
      <c r="BK1252" t="s">
        <v>123</v>
      </c>
      <c r="BL1252" t="str">
        <f>"2016.271321"</f>
        <v>2016.271321</v>
      </c>
      <c r="BM1252" t="s">
        <v>738</v>
      </c>
      <c r="BN1252" t="s">
        <v>739</v>
      </c>
      <c r="BO1252" t="s">
        <v>8497</v>
      </c>
      <c r="BS1252">
        <v>30</v>
      </c>
      <c r="BT1252" s="1">
        <v>14000</v>
      </c>
      <c r="BU1252" s="3">
        <v>43476</v>
      </c>
      <c r="BW1252" t="str">
        <f>"2019.21554"</f>
        <v>2019.21554</v>
      </c>
      <c r="BX1252" t="s">
        <v>342</v>
      </c>
      <c r="BY1252" t="s">
        <v>343</v>
      </c>
      <c r="BZ1252" t="s">
        <v>8498</v>
      </c>
      <c r="CA1252" t="s">
        <v>8499</v>
      </c>
      <c r="CC1252" t="s">
        <v>346</v>
      </c>
      <c r="CH1252" t="str">
        <f>""</f>
        <v/>
      </c>
      <c r="CS1252" t="str">
        <f>""</f>
        <v/>
      </c>
    </row>
    <row r="1253" spans="1:97" x14ac:dyDescent="0.25">
      <c r="A1253" t="s">
        <v>8500</v>
      </c>
      <c r="B1253" t="s">
        <v>8501</v>
      </c>
      <c r="C1253" t="s">
        <v>1451</v>
      </c>
      <c r="D1253" t="s">
        <v>8501</v>
      </c>
      <c r="E1253" t="s">
        <v>8502</v>
      </c>
      <c r="F1253" t="s">
        <v>108</v>
      </c>
      <c r="H1253" t="s">
        <v>8503</v>
      </c>
      <c r="I1253" t="s">
        <v>1788</v>
      </c>
      <c r="J1253" t="s">
        <v>111</v>
      </c>
      <c r="K1253" t="str">
        <f>"85355"</f>
        <v>85355</v>
      </c>
      <c r="L1253" t="s">
        <v>168</v>
      </c>
      <c r="M1253" t="s">
        <v>8503</v>
      </c>
      <c r="N1253" t="s">
        <v>1788</v>
      </c>
      <c r="O1253" t="s">
        <v>111</v>
      </c>
      <c r="P1253" t="str">
        <f>"85355-4452"</f>
        <v>85355-4452</v>
      </c>
      <c r="Q1253" t="s">
        <v>113</v>
      </c>
      <c r="R1253" t="str">
        <f>"502-90-536"</f>
        <v>502-90-536</v>
      </c>
      <c r="S1253" t="s">
        <v>8290</v>
      </c>
      <c r="T1253" t="s">
        <v>8290</v>
      </c>
      <c r="U1253">
        <v>2198</v>
      </c>
      <c r="V1253">
        <v>0</v>
      </c>
      <c r="W1253">
        <v>4</v>
      </c>
      <c r="X1253">
        <v>2015</v>
      </c>
      <c r="Z1253">
        <v>1</v>
      </c>
      <c r="AB1253">
        <v>0</v>
      </c>
      <c r="AC1253" t="s">
        <v>115</v>
      </c>
      <c r="AD1253">
        <v>3</v>
      </c>
      <c r="AE1253" t="s">
        <v>115</v>
      </c>
      <c r="AF1253">
        <v>0</v>
      </c>
      <c r="AG1253">
        <v>0</v>
      </c>
      <c r="AH1253" t="s">
        <v>116</v>
      </c>
      <c r="AI1253" s="1">
        <v>35137</v>
      </c>
      <c r="AJ1253" s="2">
        <v>0.11</v>
      </c>
      <c r="AK1253" s="1">
        <v>313579</v>
      </c>
      <c r="AL1253" t="s">
        <v>117</v>
      </c>
      <c r="AM1253" t="s">
        <v>171</v>
      </c>
      <c r="AN1253">
        <v>8568</v>
      </c>
      <c r="AO1253">
        <v>0.2</v>
      </c>
      <c r="AR1253">
        <v>1</v>
      </c>
      <c r="AS1253" s="1">
        <v>23400</v>
      </c>
      <c r="AT1253" s="1">
        <v>4680</v>
      </c>
      <c r="AU1253" s="1">
        <v>18720</v>
      </c>
      <c r="AV1253">
        <v>80</v>
      </c>
      <c r="AX1253" s="1">
        <v>1619.84</v>
      </c>
      <c r="AY1253" t="s">
        <v>5972</v>
      </c>
      <c r="AZ1253" t="s">
        <v>5972</v>
      </c>
      <c r="BA1253" t="s">
        <v>5061</v>
      </c>
      <c r="BE1253" s="3">
        <v>42307</v>
      </c>
      <c r="BF1253" s="1">
        <v>278442</v>
      </c>
      <c r="BG1253" t="s">
        <v>158</v>
      </c>
      <c r="BH1253" s="1">
        <v>126.68</v>
      </c>
      <c r="BI1253" s="1">
        <v>278442</v>
      </c>
      <c r="BJ1253" s="3">
        <v>42307</v>
      </c>
      <c r="BK1253" t="s">
        <v>123</v>
      </c>
      <c r="BL1253" t="str">
        <f>"2015.784196"</f>
        <v>2015.784196</v>
      </c>
      <c r="BM1253" t="s">
        <v>241</v>
      </c>
      <c r="BO1253" t="s">
        <v>8504</v>
      </c>
      <c r="BS1253">
        <v>30</v>
      </c>
      <c r="BW1253" t="str">
        <f>""</f>
        <v/>
      </c>
      <c r="CH1253" t="str">
        <f>""</f>
        <v/>
      </c>
      <c r="CS1253" t="str">
        <f>""</f>
        <v/>
      </c>
    </row>
    <row r="1254" spans="1:97" x14ac:dyDescent="0.25">
      <c r="A1254" t="s">
        <v>1144</v>
      </c>
      <c r="B1254" t="s">
        <v>6215</v>
      </c>
      <c r="C1254" t="s">
        <v>8505</v>
      </c>
      <c r="D1254" t="s">
        <v>6215</v>
      </c>
      <c r="E1254" t="s">
        <v>8506</v>
      </c>
      <c r="F1254" t="s">
        <v>108</v>
      </c>
      <c r="H1254" t="s">
        <v>8507</v>
      </c>
      <c r="I1254" t="s">
        <v>632</v>
      </c>
      <c r="J1254" t="s">
        <v>111</v>
      </c>
      <c r="K1254" t="str">
        <f>"85379"</f>
        <v>85379</v>
      </c>
      <c r="L1254" t="s">
        <v>454</v>
      </c>
      <c r="M1254" t="s">
        <v>8507</v>
      </c>
      <c r="N1254" t="s">
        <v>632</v>
      </c>
      <c r="O1254" t="s">
        <v>111</v>
      </c>
      <c r="P1254" t="str">
        <f>"85379-1007"</f>
        <v>85379-1007</v>
      </c>
      <c r="Q1254" t="s">
        <v>113</v>
      </c>
      <c r="R1254" t="str">
        <f>"501-46-451"</f>
        <v>501-46-451</v>
      </c>
      <c r="S1254" t="s">
        <v>5319</v>
      </c>
      <c r="U1254">
        <v>2601</v>
      </c>
      <c r="V1254">
        <v>0</v>
      </c>
      <c r="W1254">
        <v>3</v>
      </c>
      <c r="X1254">
        <v>2015</v>
      </c>
      <c r="Z1254">
        <v>2</v>
      </c>
      <c r="AA1254" t="s">
        <v>26</v>
      </c>
      <c r="AB1254">
        <v>0</v>
      </c>
      <c r="AC1254" t="s">
        <v>115</v>
      </c>
      <c r="AD1254">
        <v>2</v>
      </c>
      <c r="AE1254" t="s">
        <v>115</v>
      </c>
      <c r="AF1254">
        <v>0</v>
      </c>
      <c r="AG1254">
        <v>0</v>
      </c>
      <c r="AH1254" t="s">
        <v>116</v>
      </c>
      <c r="AI1254" s="1">
        <v>30210</v>
      </c>
      <c r="AJ1254" s="2">
        <v>0.09</v>
      </c>
      <c r="AK1254" s="1">
        <v>333647</v>
      </c>
      <c r="AL1254" t="s">
        <v>117</v>
      </c>
      <c r="AM1254" t="s">
        <v>118</v>
      </c>
      <c r="AN1254">
        <v>6670</v>
      </c>
      <c r="AO1254">
        <v>0.15</v>
      </c>
      <c r="AR1254">
        <v>1</v>
      </c>
      <c r="AS1254" s="1">
        <v>23750</v>
      </c>
      <c r="AT1254" s="1">
        <v>4750</v>
      </c>
      <c r="AU1254" s="1">
        <v>19000</v>
      </c>
      <c r="AV1254">
        <v>80</v>
      </c>
      <c r="AX1254" s="1">
        <v>1757.16</v>
      </c>
      <c r="AY1254" t="s">
        <v>5060</v>
      </c>
      <c r="AZ1254" t="s">
        <v>5060</v>
      </c>
      <c r="BA1254" t="s">
        <v>5061</v>
      </c>
      <c r="BE1254" s="3">
        <v>42138</v>
      </c>
      <c r="BF1254" s="1">
        <v>262029</v>
      </c>
      <c r="BG1254" t="s">
        <v>233</v>
      </c>
      <c r="BH1254" s="1">
        <v>100.74</v>
      </c>
      <c r="BI1254" s="1">
        <v>267662</v>
      </c>
      <c r="BJ1254" s="3">
        <v>42138</v>
      </c>
      <c r="BK1254" t="s">
        <v>123</v>
      </c>
      <c r="BL1254" t="str">
        <f>"2015.341612"</f>
        <v>2015.341612</v>
      </c>
      <c r="BM1254" t="s">
        <v>234</v>
      </c>
      <c r="BO1254" t="s">
        <v>8508</v>
      </c>
      <c r="BS1254">
        <v>30</v>
      </c>
      <c r="BT1254" s="1">
        <v>35775</v>
      </c>
      <c r="BU1254" s="3">
        <v>42181</v>
      </c>
      <c r="BV1254" t="s">
        <v>134</v>
      </c>
      <c r="BW1254" t="str">
        <f>"2015.458863"</f>
        <v>2015.458863</v>
      </c>
      <c r="BX1254" t="s">
        <v>198</v>
      </c>
      <c r="BZ1254" t="s">
        <v>8509</v>
      </c>
      <c r="CD1254">
        <v>15</v>
      </c>
      <c r="CH1254" t="str">
        <f>""</f>
        <v/>
      </c>
      <c r="CS1254" t="str">
        <f>""</f>
        <v/>
      </c>
    </row>
    <row r="1255" spans="1:97" x14ac:dyDescent="0.25">
      <c r="A1255" t="s">
        <v>589</v>
      </c>
      <c r="B1255" t="s">
        <v>1089</v>
      </c>
      <c r="C1255" t="s">
        <v>199</v>
      </c>
      <c r="D1255" t="s">
        <v>1089</v>
      </c>
      <c r="E1255" t="s">
        <v>8510</v>
      </c>
      <c r="F1255" t="s">
        <v>108</v>
      </c>
      <c r="H1255" t="s">
        <v>8511</v>
      </c>
      <c r="I1255" t="s">
        <v>453</v>
      </c>
      <c r="J1255" t="s">
        <v>111</v>
      </c>
      <c r="K1255" t="str">
        <f>"85381"</f>
        <v>85381</v>
      </c>
      <c r="L1255" t="s">
        <v>926</v>
      </c>
      <c r="M1255" t="s">
        <v>8511</v>
      </c>
      <c r="N1255" t="s">
        <v>453</v>
      </c>
      <c r="O1255" t="s">
        <v>111</v>
      </c>
      <c r="P1255" t="str">
        <f>"85381-4437"</f>
        <v>85381-4437</v>
      </c>
      <c r="Q1255" t="s">
        <v>113</v>
      </c>
      <c r="R1255" t="str">
        <f>"200-64-012-A"</f>
        <v>200-64-012-A</v>
      </c>
      <c r="S1255" t="s">
        <v>8512</v>
      </c>
      <c r="T1255" t="s">
        <v>8512</v>
      </c>
      <c r="U1255">
        <v>1428</v>
      </c>
      <c r="V1255">
        <v>0</v>
      </c>
      <c r="W1255">
        <v>2</v>
      </c>
      <c r="X1255">
        <v>1973</v>
      </c>
      <c r="Z1255">
        <v>1</v>
      </c>
      <c r="AB1255">
        <v>0</v>
      </c>
      <c r="AC1255" t="s">
        <v>5188</v>
      </c>
      <c r="AD1255">
        <v>2</v>
      </c>
      <c r="AE1255" t="s">
        <v>5188</v>
      </c>
      <c r="AF1255">
        <v>0</v>
      </c>
      <c r="AG1255">
        <v>0</v>
      </c>
      <c r="AH1255" t="s">
        <v>116</v>
      </c>
      <c r="AI1255" s="1">
        <v>44173</v>
      </c>
      <c r="AJ1255" s="2">
        <v>0.13</v>
      </c>
      <c r="AK1255" s="1">
        <v>343399</v>
      </c>
      <c r="AL1255" t="s">
        <v>117</v>
      </c>
      <c r="AM1255" t="s">
        <v>376</v>
      </c>
      <c r="AN1255">
        <v>42162</v>
      </c>
      <c r="AO1255">
        <v>0.97</v>
      </c>
      <c r="AP1255">
        <v>1</v>
      </c>
      <c r="AR1255">
        <v>1</v>
      </c>
      <c r="AS1255" s="1">
        <v>22170</v>
      </c>
      <c r="AT1255" s="1">
        <v>4430</v>
      </c>
      <c r="AU1255" s="1">
        <v>17740</v>
      </c>
      <c r="AV1255">
        <v>80.02</v>
      </c>
      <c r="AX1255" s="1">
        <v>1460.06</v>
      </c>
      <c r="AY1255" t="s">
        <v>8450</v>
      </c>
      <c r="AZ1255" t="s">
        <v>8450</v>
      </c>
      <c r="BA1255" t="s">
        <v>3360</v>
      </c>
      <c r="BE1255" s="3">
        <v>42467</v>
      </c>
      <c r="BF1255" s="1">
        <v>298000</v>
      </c>
      <c r="BG1255" t="s">
        <v>8513</v>
      </c>
      <c r="BH1255" s="1">
        <v>208.68</v>
      </c>
      <c r="BI1255" s="1">
        <v>299226</v>
      </c>
      <c r="BJ1255" s="3">
        <v>42570</v>
      </c>
      <c r="BK1255" t="s">
        <v>123</v>
      </c>
      <c r="BL1255" t="str">
        <f>"2016.506152"</f>
        <v>2016.506152</v>
      </c>
      <c r="BM1255" t="s">
        <v>1695</v>
      </c>
      <c r="BO1255" t="s">
        <v>8514</v>
      </c>
      <c r="BS1255">
        <v>30</v>
      </c>
      <c r="BW1255" t="str">
        <f>""</f>
        <v/>
      </c>
      <c r="CH1255" t="str">
        <f>""</f>
        <v/>
      </c>
      <c r="CS1255" t="str">
        <f>""</f>
        <v/>
      </c>
    </row>
    <row r="1256" spans="1:97" x14ac:dyDescent="0.25">
      <c r="A1256" t="s">
        <v>8515</v>
      </c>
      <c r="B1256" t="s">
        <v>576</v>
      </c>
      <c r="E1256" t="s">
        <v>8516</v>
      </c>
      <c r="F1256" t="s">
        <v>108</v>
      </c>
      <c r="H1256" t="s">
        <v>8517</v>
      </c>
      <c r="I1256" t="s">
        <v>203</v>
      </c>
      <c r="J1256" t="s">
        <v>111</v>
      </c>
      <c r="K1256" t="str">
        <f>"85296"</f>
        <v>85296</v>
      </c>
      <c r="L1256" t="s">
        <v>145</v>
      </c>
      <c r="M1256" t="s">
        <v>8517</v>
      </c>
      <c r="N1256" t="s">
        <v>203</v>
      </c>
      <c r="O1256" t="s">
        <v>111</v>
      </c>
      <c r="P1256" t="str">
        <f>"85296-2846"</f>
        <v>85296-2846</v>
      </c>
      <c r="Q1256" t="s">
        <v>113</v>
      </c>
      <c r="R1256" t="str">
        <f>"313-10-434"</f>
        <v>313-10-434</v>
      </c>
      <c r="S1256" t="s">
        <v>8518</v>
      </c>
      <c r="T1256" t="s">
        <v>8519</v>
      </c>
      <c r="U1256">
        <v>2260</v>
      </c>
      <c r="V1256">
        <v>0</v>
      </c>
      <c r="W1256">
        <v>4</v>
      </c>
      <c r="X1256">
        <v>2005</v>
      </c>
      <c r="Z1256">
        <v>2</v>
      </c>
      <c r="AB1256">
        <v>0</v>
      </c>
      <c r="AC1256" t="s">
        <v>115</v>
      </c>
      <c r="AD1256">
        <v>2</v>
      </c>
      <c r="AE1256" t="s">
        <v>115</v>
      </c>
      <c r="AF1256">
        <v>0</v>
      </c>
      <c r="AG1256">
        <v>0</v>
      </c>
      <c r="AH1256" t="s">
        <v>116</v>
      </c>
      <c r="AI1256" s="1">
        <v>80779</v>
      </c>
      <c r="AJ1256" s="2">
        <v>0.25</v>
      </c>
      <c r="AK1256" s="1">
        <v>318369</v>
      </c>
      <c r="AL1256" t="s">
        <v>117</v>
      </c>
      <c r="AM1256" t="s">
        <v>288</v>
      </c>
      <c r="AN1256">
        <v>3147</v>
      </c>
      <c r="AO1256">
        <v>0.72</v>
      </c>
      <c r="AP1256">
        <v>1</v>
      </c>
      <c r="AR1256">
        <v>1</v>
      </c>
      <c r="AS1256" s="1">
        <v>21560</v>
      </c>
      <c r="AT1256" s="1">
        <v>4310</v>
      </c>
      <c r="AU1256" s="1">
        <v>17250</v>
      </c>
      <c r="AV1256">
        <v>80.010000000000005</v>
      </c>
      <c r="AX1256" s="1">
        <v>1514.22</v>
      </c>
      <c r="AY1256" t="s">
        <v>5601</v>
      </c>
      <c r="AZ1256" t="s">
        <v>5478</v>
      </c>
      <c r="BA1256" t="s">
        <v>5033</v>
      </c>
      <c r="BE1256" s="3">
        <v>42177</v>
      </c>
      <c r="BF1256" s="1">
        <v>230000</v>
      </c>
      <c r="BG1256" t="s">
        <v>8520</v>
      </c>
      <c r="BH1256" s="1">
        <v>101.77</v>
      </c>
      <c r="BI1256" s="1">
        <v>237590</v>
      </c>
      <c r="BJ1256" s="3">
        <v>42177</v>
      </c>
      <c r="BK1256" t="s">
        <v>123</v>
      </c>
      <c r="BL1256" t="str">
        <f>"2015.442317"</f>
        <v>2015.442317</v>
      </c>
      <c r="BM1256" t="s">
        <v>8521</v>
      </c>
      <c r="BO1256" t="s">
        <v>8522</v>
      </c>
      <c r="BS1256">
        <v>30</v>
      </c>
      <c r="BW1256" t="str">
        <f>""</f>
        <v/>
      </c>
      <c r="CH1256" t="str">
        <f>""</f>
        <v/>
      </c>
      <c r="CS1256" t="str">
        <f>""</f>
        <v/>
      </c>
    </row>
    <row r="1257" spans="1:97" x14ac:dyDescent="0.25">
      <c r="A1257" t="s">
        <v>489</v>
      </c>
      <c r="B1257" t="s">
        <v>8523</v>
      </c>
      <c r="E1257" t="s">
        <v>8524</v>
      </c>
      <c r="F1257" t="s">
        <v>108</v>
      </c>
      <c r="H1257" t="s">
        <v>8525</v>
      </c>
      <c r="I1257" t="s">
        <v>632</v>
      </c>
      <c r="J1257" t="s">
        <v>111</v>
      </c>
      <c r="K1257" t="str">
        <f>"85374"</f>
        <v>85374</v>
      </c>
      <c r="L1257" t="s">
        <v>5990</v>
      </c>
      <c r="M1257" t="s">
        <v>8525</v>
      </c>
      <c r="N1257" t="s">
        <v>632</v>
      </c>
      <c r="O1257" t="s">
        <v>111</v>
      </c>
      <c r="P1257" t="str">
        <f>"85374-7808"</f>
        <v>85374-7808</v>
      </c>
      <c r="Q1257" t="s">
        <v>113</v>
      </c>
      <c r="R1257" t="str">
        <f>"509-01-057"</f>
        <v>509-01-057</v>
      </c>
      <c r="S1257" t="s">
        <v>8526</v>
      </c>
      <c r="U1257">
        <v>1518</v>
      </c>
      <c r="V1257">
        <v>0</v>
      </c>
      <c r="W1257">
        <v>2</v>
      </c>
      <c r="X1257">
        <v>2001</v>
      </c>
      <c r="Z1257">
        <v>1</v>
      </c>
      <c r="AA1257" t="s">
        <v>26</v>
      </c>
      <c r="AB1257">
        <v>0</v>
      </c>
      <c r="AC1257" t="s">
        <v>115</v>
      </c>
      <c r="AD1257">
        <v>2</v>
      </c>
      <c r="AE1257" t="s">
        <v>115</v>
      </c>
      <c r="AF1257">
        <v>0</v>
      </c>
      <c r="AG1257">
        <v>0</v>
      </c>
      <c r="AH1257" t="s">
        <v>116</v>
      </c>
      <c r="AI1257" s="1">
        <v>36818</v>
      </c>
      <c r="AJ1257" s="2">
        <v>0.15</v>
      </c>
      <c r="AK1257" s="1">
        <v>240096</v>
      </c>
      <c r="AL1257" t="s">
        <v>117</v>
      </c>
      <c r="AM1257" t="s">
        <v>118</v>
      </c>
      <c r="AN1257">
        <v>6459</v>
      </c>
      <c r="AO1257">
        <v>0.15</v>
      </c>
      <c r="AP1257">
        <v>1</v>
      </c>
      <c r="AR1257">
        <v>1</v>
      </c>
      <c r="AS1257" s="1">
        <v>16070</v>
      </c>
      <c r="AT1257" s="1">
        <v>3210</v>
      </c>
      <c r="AU1257" s="1">
        <v>12860</v>
      </c>
      <c r="AV1257">
        <v>80.02</v>
      </c>
      <c r="AX1257" s="1">
        <v>1080.22</v>
      </c>
      <c r="AY1257" t="s">
        <v>5983</v>
      </c>
      <c r="AZ1257" t="s">
        <v>5983</v>
      </c>
      <c r="BA1257" t="s">
        <v>5109</v>
      </c>
      <c r="BB1257" s="3">
        <v>42948</v>
      </c>
      <c r="BD1257" t="s">
        <v>157</v>
      </c>
      <c r="BE1257" s="3">
        <v>41788</v>
      </c>
      <c r="BF1257" s="1">
        <v>172000</v>
      </c>
      <c r="BG1257" t="s">
        <v>8527</v>
      </c>
      <c r="BH1257" s="1">
        <v>113.31</v>
      </c>
      <c r="BI1257" s="1">
        <v>203278</v>
      </c>
      <c r="BJ1257" s="3">
        <v>42948</v>
      </c>
      <c r="BK1257" t="s">
        <v>123</v>
      </c>
      <c r="BL1257" t="str">
        <f>"2017.564979"</f>
        <v>2017.564979</v>
      </c>
      <c r="BM1257" t="s">
        <v>8528</v>
      </c>
      <c r="BO1257" t="s">
        <v>8529</v>
      </c>
      <c r="BS1257">
        <v>30</v>
      </c>
      <c r="BW1257" t="str">
        <f>""</f>
        <v/>
      </c>
      <c r="CH1257" t="str">
        <f>""</f>
        <v/>
      </c>
      <c r="CS1257" t="str">
        <f>""</f>
        <v/>
      </c>
    </row>
    <row r="1258" spans="1:97" x14ac:dyDescent="0.25">
      <c r="A1258" t="s">
        <v>970</v>
      </c>
      <c r="B1258" t="s">
        <v>3333</v>
      </c>
      <c r="C1258" t="s">
        <v>3265</v>
      </c>
      <c r="D1258" t="s">
        <v>3333</v>
      </c>
      <c r="E1258" t="s">
        <v>8530</v>
      </c>
      <c r="F1258" t="s">
        <v>108</v>
      </c>
      <c r="H1258" t="s">
        <v>8531</v>
      </c>
      <c r="I1258" t="s">
        <v>203</v>
      </c>
      <c r="J1258" t="s">
        <v>111</v>
      </c>
      <c r="K1258" t="str">
        <f>"85296"</f>
        <v>85296</v>
      </c>
      <c r="L1258" t="s">
        <v>625</v>
      </c>
      <c r="M1258" t="s">
        <v>8531</v>
      </c>
      <c r="N1258" t="s">
        <v>203</v>
      </c>
      <c r="O1258" t="s">
        <v>111</v>
      </c>
      <c r="P1258" t="str">
        <f>"85296-3833"</f>
        <v>85296-3833</v>
      </c>
      <c r="Q1258" t="s">
        <v>113</v>
      </c>
      <c r="R1258" t="str">
        <f>"309-14-383"</f>
        <v>309-14-383</v>
      </c>
      <c r="S1258" t="s">
        <v>8532</v>
      </c>
      <c r="T1258" t="s">
        <v>8533</v>
      </c>
      <c r="U1258">
        <v>2039</v>
      </c>
      <c r="V1258">
        <v>0</v>
      </c>
      <c r="W1258">
        <v>4</v>
      </c>
      <c r="X1258">
        <v>1997</v>
      </c>
      <c r="Z1258">
        <v>2</v>
      </c>
      <c r="AA1258" t="s">
        <v>26</v>
      </c>
      <c r="AB1258">
        <v>0</v>
      </c>
      <c r="AC1258" t="s">
        <v>115</v>
      </c>
      <c r="AD1258">
        <v>2</v>
      </c>
      <c r="AE1258" t="s">
        <v>115</v>
      </c>
      <c r="AF1258">
        <v>0</v>
      </c>
      <c r="AG1258">
        <v>0</v>
      </c>
      <c r="AH1258" t="s">
        <v>116</v>
      </c>
      <c r="AI1258" s="1">
        <v>89485</v>
      </c>
      <c r="AJ1258" s="2">
        <v>0.27</v>
      </c>
      <c r="AK1258" s="1">
        <v>336128</v>
      </c>
      <c r="AL1258" t="s">
        <v>117</v>
      </c>
      <c r="AM1258" t="s">
        <v>191</v>
      </c>
      <c r="AN1258">
        <v>5288</v>
      </c>
      <c r="AO1258">
        <v>0.12</v>
      </c>
      <c r="AP1258">
        <v>1</v>
      </c>
      <c r="AR1258">
        <v>1</v>
      </c>
      <c r="AS1258" s="1">
        <v>23210</v>
      </c>
      <c r="AT1258" s="1">
        <v>4640</v>
      </c>
      <c r="AU1258" s="1">
        <v>18570</v>
      </c>
      <c r="AV1258">
        <v>80.010000000000005</v>
      </c>
      <c r="AX1258" s="1">
        <v>1636.84</v>
      </c>
      <c r="AY1258" t="s">
        <v>7046</v>
      </c>
      <c r="AZ1258" t="s">
        <v>207</v>
      </c>
      <c r="BA1258" t="s">
        <v>208</v>
      </c>
      <c r="BE1258" s="3">
        <v>41901</v>
      </c>
      <c r="BF1258" s="1">
        <v>243000</v>
      </c>
      <c r="BG1258" t="s">
        <v>8534</v>
      </c>
      <c r="BH1258" s="1">
        <v>119.18</v>
      </c>
      <c r="BI1258" s="1">
        <v>246643</v>
      </c>
      <c r="BJ1258" s="3">
        <v>42178</v>
      </c>
      <c r="BK1258" t="s">
        <v>123</v>
      </c>
      <c r="BL1258" t="str">
        <f>"2015.447149"</f>
        <v>2015.447149</v>
      </c>
      <c r="BM1258" t="s">
        <v>402</v>
      </c>
      <c r="BO1258" t="s">
        <v>8535</v>
      </c>
      <c r="BS1258">
        <v>30</v>
      </c>
      <c r="BW1258" t="str">
        <f>""</f>
        <v/>
      </c>
      <c r="CH1258" t="str">
        <f>""</f>
        <v/>
      </c>
      <c r="CS1258" t="str">
        <f>""</f>
        <v/>
      </c>
    </row>
    <row r="1259" spans="1:97" x14ac:dyDescent="0.25">
      <c r="A1259" t="s">
        <v>183</v>
      </c>
      <c r="B1259" t="s">
        <v>465</v>
      </c>
      <c r="C1259" t="s">
        <v>2333</v>
      </c>
      <c r="D1259" t="s">
        <v>465</v>
      </c>
      <c r="E1259" t="s">
        <v>8536</v>
      </c>
      <c r="F1259" t="s">
        <v>108</v>
      </c>
      <c r="H1259" t="s">
        <v>8537</v>
      </c>
      <c r="I1259" t="s">
        <v>632</v>
      </c>
      <c r="J1259" t="s">
        <v>111</v>
      </c>
      <c r="K1259" t="str">
        <f>"85379"</f>
        <v>85379</v>
      </c>
      <c r="L1259" t="s">
        <v>454</v>
      </c>
      <c r="M1259" t="s">
        <v>8537</v>
      </c>
      <c r="N1259" t="s">
        <v>632</v>
      </c>
      <c r="O1259" t="s">
        <v>111</v>
      </c>
      <c r="P1259" t="str">
        <f>"85379-1010"</f>
        <v>85379-1010</v>
      </c>
      <c r="Q1259" t="s">
        <v>113</v>
      </c>
      <c r="R1259" t="str">
        <f>"501-46-570"</f>
        <v>501-46-570</v>
      </c>
      <c r="S1259" t="s">
        <v>5319</v>
      </c>
      <c r="U1259">
        <v>2155</v>
      </c>
      <c r="V1259">
        <v>0</v>
      </c>
      <c r="W1259">
        <v>3</v>
      </c>
      <c r="X1259">
        <v>2013</v>
      </c>
      <c r="Z1259">
        <v>1</v>
      </c>
      <c r="AB1259">
        <v>0</v>
      </c>
      <c r="AC1259" t="s">
        <v>115</v>
      </c>
      <c r="AD1259">
        <v>2</v>
      </c>
      <c r="AE1259" t="s">
        <v>115</v>
      </c>
      <c r="AF1259">
        <v>0</v>
      </c>
      <c r="AG1259">
        <v>0</v>
      </c>
      <c r="AH1259" t="s">
        <v>116</v>
      </c>
      <c r="AI1259" s="1">
        <v>88174</v>
      </c>
      <c r="AJ1259" s="2">
        <v>0.28000000000000003</v>
      </c>
      <c r="AK1259" s="1">
        <v>317888</v>
      </c>
      <c r="AL1259" t="s">
        <v>117</v>
      </c>
      <c r="AM1259" t="s">
        <v>118</v>
      </c>
      <c r="AN1259">
        <v>6095</v>
      </c>
      <c r="AO1259">
        <v>0.14000000000000001</v>
      </c>
      <c r="AR1259">
        <v>1</v>
      </c>
      <c r="AS1259" s="1">
        <v>20560</v>
      </c>
      <c r="AT1259" s="1">
        <v>4110</v>
      </c>
      <c r="AU1259" s="1">
        <v>16450</v>
      </c>
      <c r="AV1259">
        <v>80.010000000000005</v>
      </c>
      <c r="AX1259" s="1">
        <v>1560.24</v>
      </c>
      <c r="AY1259" t="s">
        <v>5060</v>
      </c>
      <c r="AZ1259" t="s">
        <v>5060</v>
      </c>
      <c r="BA1259" t="s">
        <v>5061</v>
      </c>
      <c r="BE1259" s="3">
        <v>41787</v>
      </c>
      <c r="BF1259" s="1">
        <v>236990</v>
      </c>
      <c r="BG1259" t="s">
        <v>2387</v>
      </c>
      <c r="BH1259" s="1">
        <v>109.97</v>
      </c>
      <c r="BI1259" s="1">
        <v>229714</v>
      </c>
      <c r="BJ1259" s="3">
        <v>42717</v>
      </c>
      <c r="BK1259" t="s">
        <v>123</v>
      </c>
      <c r="BL1259" t="str">
        <f>"2016.915495"</f>
        <v>2016.915495</v>
      </c>
      <c r="BM1259" t="s">
        <v>402</v>
      </c>
      <c r="BO1259" t="s">
        <v>8538</v>
      </c>
      <c r="BS1259">
        <v>28</v>
      </c>
      <c r="BW1259" t="str">
        <f>""</f>
        <v/>
      </c>
      <c r="CH1259" t="str">
        <f>""</f>
        <v/>
      </c>
      <c r="CS1259" t="str">
        <f>""</f>
        <v/>
      </c>
    </row>
    <row r="1260" spans="1:97" x14ac:dyDescent="0.25">
      <c r="A1260" t="s">
        <v>3221</v>
      </c>
      <c r="B1260" t="s">
        <v>8539</v>
      </c>
      <c r="C1260" t="s">
        <v>8540</v>
      </c>
      <c r="D1260" t="s">
        <v>8539</v>
      </c>
      <c r="E1260" t="s">
        <v>8541</v>
      </c>
      <c r="F1260" t="s">
        <v>108</v>
      </c>
      <c r="H1260" t="s">
        <v>8542</v>
      </c>
      <c r="I1260" t="s">
        <v>390</v>
      </c>
      <c r="J1260" t="s">
        <v>111</v>
      </c>
      <c r="K1260" t="str">
        <f>"85053"</f>
        <v>85053</v>
      </c>
      <c r="L1260" t="s">
        <v>8543</v>
      </c>
      <c r="M1260" t="s">
        <v>8542</v>
      </c>
      <c r="N1260" t="s">
        <v>390</v>
      </c>
      <c r="O1260" t="s">
        <v>111</v>
      </c>
      <c r="P1260" t="str">
        <f>"85053-3932"</f>
        <v>85053-3932</v>
      </c>
      <c r="Q1260" t="s">
        <v>113</v>
      </c>
      <c r="R1260" t="str">
        <f>"207-39-871"</f>
        <v>207-39-871</v>
      </c>
      <c r="S1260" t="s">
        <v>8544</v>
      </c>
      <c r="T1260" t="s">
        <v>8545</v>
      </c>
      <c r="U1260">
        <v>2344</v>
      </c>
      <c r="V1260">
        <v>0</v>
      </c>
      <c r="W1260">
        <v>4</v>
      </c>
      <c r="X1260">
        <v>1981</v>
      </c>
      <c r="Z1260">
        <v>2</v>
      </c>
      <c r="AA1260" t="s">
        <v>26</v>
      </c>
      <c r="AB1260">
        <v>0</v>
      </c>
      <c r="AC1260" t="s">
        <v>115</v>
      </c>
      <c r="AD1260">
        <v>4</v>
      </c>
      <c r="AE1260" t="s">
        <v>115</v>
      </c>
      <c r="AF1260">
        <v>0</v>
      </c>
      <c r="AG1260">
        <v>0</v>
      </c>
      <c r="AH1260" t="s">
        <v>116</v>
      </c>
      <c r="AI1260" s="1">
        <v>81569</v>
      </c>
      <c r="AJ1260" s="2">
        <v>0.25</v>
      </c>
      <c r="AK1260" s="1">
        <v>332588</v>
      </c>
      <c r="AL1260" t="s">
        <v>117</v>
      </c>
      <c r="AM1260" t="s">
        <v>171</v>
      </c>
      <c r="AN1260">
        <v>10009</v>
      </c>
      <c r="AO1260">
        <v>0.23</v>
      </c>
      <c r="AP1260">
        <v>1</v>
      </c>
      <c r="AR1260">
        <v>1</v>
      </c>
      <c r="AS1260" s="1">
        <v>25020</v>
      </c>
      <c r="AT1260" s="1">
        <v>5000</v>
      </c>
      <c r="AU1260" s="1">
        <v>20020</v>
      </c>
      <c r="AV1260">
        <v>80.02</v>
      </c>
      <c r="AX1260" s="1">
        <v>2316.1</v>
      </c>
      <c r="AY1260" t="s">
        <v>8546</v>
      </c>
      <c r="AZ1260" t="s">
        <v>2997</v>
      </c>
      <c r="BA1260" t="s">
        <v>2998</v>
      </c>
      <c r="BE1260" s="3">
        <v>42548</v>
      </c>
      <c r="BF1260" s="1">
        <v>243000</v>
      </c>
      <c r="BG1260" t="s">
        <v>8547</v>
      </c>
      <c r="BH1260" s="1">
        <v>103.67</v>
      </c>
      <c r="BI1260" s="1">
        <v>251019</v>
      </c>
      <c r="BJ1260" s="3">
        <v>42548</v>
      </c>
      <c r="BK1260" t="s">
        <v>123</v>
      </c>
      <c r="BL1260" t="str">
        <f>"2016.449214"</f>
        <v>2016.449214</v>
      </c>
      <c r="BM1260" t="s">
        <v>724</v>
      </c>
      <c r="BO1260" t="s">
        <v>8548</v>
      </c>
      <c r="BS1260">
        <v>30</v>
      </c>
      <c r="BW1260" t="str">
        <f>""</f>
        <v/>
      </c>
      <c r="CH1260" t="str">
        <f>""</f>
        <v/>
      </c>
      <c r="CS1260" t="str">
        <f>""</f>
        <v/>
      </c>
    </row>
    <row r="1261" spans="1:97" x14ac:dyDescent="0.25">
      <c r="A1261" t="s">
        <v>1009</v>
      </c>
      <c r="B1261" t="s">
        <v>8549</v>
      </c>
      <c r="C1261" t="s">
        <v>4141</v>
      </c>
      <c r="D1261" t="s">
        <v>8549</v>
      </c>
      <c r="E1261" t="s">
        <v>8550</v>
      </c>
      <c r="F1261" t="s">
        <v>108</v>
      </c>
      <c r="H1261" t="s">
        <v>8551</v>
      </c>
      <c r="I1261" t="s">
        <v>2874</v>
      </c>
      <c r="J1261" t="s">
        <v>111</v>
      </c>
      <c r="K1261" t="str">
        <f>"85306"</f>
        <v>85306</v>
      </c>
      <c r="L1261" t="s">
        <v>226</v>
      </c>
      <c r="M1261" t="s">
        <v>8551</v>
      </c>
      <c r="N1261" t="s">
        <v>2874</v>
      </c>
      <c r="O1261" t="s">
        <v>111</v>
      </c>
      <c r="P1261" t="str">
        <f>"85306-2524"</f>
        <v>85306-2524</v>
      </c>
      <c r="Q1261" t="s">
        <v>113</v>
      </c>
      <c r="R1261" t="str">
        <f>"231-01-114"</f>
        <v>231-01-114</v>
      </c>
      <c r="S1261" t="s">
        <v>8552</v>
      </c>
      <c r="U1261">
        <v>2161</v>
      </c>
      <c r="V1261">
        <v>0</v>
      </c>
      <c r="W1261">
        <v>3</v>
      </c>
      <c r="X1261">
        <v>1973</v>
      </c>
      <c r="Z1261">
        <v>1</v>
      </c>
      <c r="AA1261" t="s">
        <v>26</v>
      </c>
      <c r="AB1261">
        <v>0</v>
      </c>
      <c r="AC1261" t="s">
        <v>115</v>
      </c>
      <c r="AD1261">
        <v>2</v>
      </c>
      <c r="AE1261" t="s">
        <v>115</v>
      </c>
      <c r="AF1261">
        <v>0</v>
      </c>
      <c r="AG1261">
        <v>0</v>
      </c>
      <c r="AH1261" t="s">
        <v>116</v>
      </c>
      <c r="AI1261" s="1">
        <v>9573</v>
      </c>
      <c r="AJ1261" s="2">
        <v>0.03</v>
      </c>
      <c r="AK1261" s="1">
        <v>358503</v>
      </c>
      <c r="AL1261" t="s">
        <v>117</v>
      </c>
      <c r="AM1261" t="s">
        <v>3111</v>
      </c>
      <c r="AN1261">
        <v>15495</v>
      </c>
      <c r="AO1261">
        <v>0.36</v>
      </c>
      <c r="AP1261">
        <v>1</v>
      </c>
      <c r="AR1261">
        <v>1</v>
      </c>
      <c r="AS1261" s="1">
        <v>24770</v>
      </c>
      <c r="AT1261" s="1">
        <v>4950</v>
      </c>
      <c r="AU1261" s="1">
        <v>19820</v>
      </c>
      <c r="AV1261">
        <v>80.02</v>
      </c>
      <c r="AX1261" s="1">
        <v>1916.66</v>
      </c>
      <c r="AY1261" t="s">
        <v>8553</v>
      </c>
      <c r="AZ1261" t="s">
        <v>8553</v>
      </c>
      <c r="BA1261" t="s">
        <v>3360</v>
      </c>
      <c r="BE1261" s="3">
        <v>42538</v>
      </c>
      <c r="BF1261" s="1">
        <v>310000</v>
      </c>
      <c r="BG1261" t="s">
        <v>8554</v>
      </c>
      <c r="BH1261" s="1">
        <v>143.44999999999999</v>
      </c>
      <c r="BI1261" s="1">
        <v>348930</v>
      </c>
      <c r="BJ1261" s="3">
        <v>43601</v>
      </c>
      <c r="BK1261" t="s">
        <v>123</v>
      </c>
      <c r="BL1261" t="str">
        <f>"2019.360452"</f>
        <v>2019.360452</v>
      </c>
      <c r="BM1261" t="s">
        <v>2774</v>
      </c>
      <c r="BN1261" t="s">
        <v>2775</v>
      </c>
      <c r="BO1261" t="s">
        <v>8555</v>
      </c>
      <c r="BP1261" t="s">
        <v>8556</v>
      </c>
      <c r="BR1261" t="s">
        <v>139</v>
      </c>
      <c r="BW1261" t="str">
        <f>""</f>
        <v/>
      </c>
      <c r="CH1261" t="str">
        <f>""</f>
        <v/>
      </c>
      <c r="CS1261" t="str">
        <f>""</f>
        <v/>
      </c>
    </row>
    <row r="1262" spans="1:97" x14ac:dyDescent="0.25">
      <c r="A1262" t="s">
        <v>2374</v>
      </c>
      <c r="B1262" t="s">
        <v>8557</v>
      </c>
      <c r="C1262" t="s">
        <v>220</v>
      </c>
      <c r="D1262" t="s">
        <v>8557</v>
      </c>
      <c r="E1262" t="s">
        <v>8558</v>
      </c>
      <c r="F1262" t="s">
        <v>282</v>
      </c>
      <c r="H1262" t="s">
        <v>8559</v>
      </c>
      <c r="I1262" t="s">
        <v>632</v>
      </c>
      <c r="J1262" t="s">
        <v>111</v>
      </c>
      <c r="K1262" t="str">
        <f>"85379"</f>
        <v>85379</v>
      </c>
      <c r="L1262" t="s">
        <v>375</v>
      </c>
      <c r="M1262" t="s">
        <v>8560</v>
      </c>
      <c r="N1262" t="s">
        <v>8561</v>
      </c>
      <c r="O1262" t="s">
        <v>8562</v>
      </c>
      <c r="P1262" t="str">
        <f>"48603-8716"</f>
        <v>48603-8716</v>
      </c>
      <c r="Q1262" t="s">
        <v>113</v>
      </c>
      <c r="R1262" t="str">
        <f>"501-46-369"</f>
        <v>501-46-369</v>
      </c>
      <c r="S1262" t="s">
        <v>8563</v>
      </c>
      <c r="U1262">
        <v>1988</v>
      </c>
      <c r="V1262">
        <v>0</v>
      </c>
      <c r="W1262">
        <v>3</v>
      </c>
      <c r="X1262">
        <v>2006</v>
      </c>
      <c r="Z1262">
        <v>2</v>
      </c>
      <c r="AB1262">
        <v>0</v>
      </c>
      <c r="AC1262" t="s">
        <v>115</v>
      </c>
      <c r="AD1262">
        <v>2</v>
      </c>
      <c r="AE1262" t="s">
        <v>115</v>
      </c>
      <c r="AF1262">
        <v>0</v>
      </c>
      <c r="AG1262">
        <v>0</v>
      </c>
      <c r="AH1262" t="s">
        <v>116</v>
      </c>
      <c r="AI1262" s="1">
        <v>66567</v>
      </c>
      <c r="AJ1262" s="2">
        <v>0.24</v>
      </c>
      <c r="AK1262" s="1">
        <v>280060</v>
      </c>
      <c r="AL1262" t="s">
        <v>117</v>
      </c>
      <c r="AM1262" t="s">
        <v>118</v>
      </c>
      <c r="AN1262">
        <v>5400</v>
      </c>
      <c r="AO1262">
        <v>0.12</v>
      </c>
      <c r="AR1262">
        <v>1</v>
      </c>
      <c r="AS1262" s="1">
        <v>19910</v>
      </c>
      <c r="AT1262" s="1">
        <v>3980</v>
      </c>
      <c r="AU1262" s="1">
        <v>15930</v>
      </c>
      <c r="AV1262">
        <v>80.010000000000005</v>
      </c>
      <c r="AX1262" s="1">
        <v>2387.96</v>
      </c>
      <c r="AY1262" t="s">
        <v>634</v>
      </c>
      <c r="AZ1262" t="s">
        <v>634</v>
      </c>
      <c r="BA1262" t="s">
        <v>635</v>
      </c>
      <c r="BE1262" s="3">
        <v>42543</v>
      </c>
      <c r="BF1262" s="1">
        <v>209000</v>
      </c>
      <c r="BG1262" t="s">
        <v>8564</v>
      </c>
      <c r="BH1262" s="1">
        <v>105.13</v>
      </c>
      <c r="BI1262" s="1">
        <v>213493</v>
      </c>
      <c r="BJ1262" s="3">
        <v>42543</v>
      </c>
      <c r="BK1262" t="s">
        <v>123</v>
      </c>
      <c r="BL1262" t="str">
        <f>"2016.435599"</f>
        <v>2016.435599</v>
      </c>
      <c r="BM1262" t="s">
        <v>1038</v>
      </c>
      <c r="BO1262" t="s">
        <v>8565</v>
      </c>
      <c r="BS1262">
        <v>30</v>
      </c>
      <c r="BW1262" t="str">
        <f>""</f>
        <v/>
      </c>
      <c r="CH1262" t="str">
        <f>""</f>
        <v/>
      </c>
      <c r="CS1262" t="str">
        <f>""</f>
        <v/>
      </c>
    </row>
    <row r="1263" spans="1:97" x14ac:dyDescent="0.25">
      <c r="A1263" t="s">
        <v>8566</v>
      </c>
      <c r="B1263" t="s">
        <v>8567</v>
      </c>
      <c r="C1263" t="s">
        <v>154</v>
      </c>
      <c r="D1263" t="s">
        <v>8567</v>
      </c>
      <c r="E1263" t="s">
        <v>8568</v>
      </c>
      <c r="F1263" t="s">
        <v>108</v>
      </c>
      <c r="H1263" t="s">
        <v>8569</v>
      </c>
      <c r="I1263" t="s">
        <v>632</v>
      </c>
      <c r="J1263" t="s">
        <v>111</v>
      </c>
      <c r="K1263" t="str">
        <f>"85388"</f>
        <v>85388</v>
      </c>
      <c r="L1263" t="s">
        <v>4467</v>
      </c>
      <c r="M1263" t="s">
        <v>8569</v>
      </c>
      <c r="N1263" t="s">
        <v>632</v>
      </c>
      <c r="O1263" t="s">
        <v>111</v>
      </c>
      <c r="P1263" t="str">
        <f>"85388-2356"</f>
        <v>85388-2356</v>
      </c>
      <c r="Q1263" t="s">
        <v>113</v>
      </c>
      <c r="R1263" t="str">
        <f>"502-09-671"</f>
        <v>502-09-671</v>
      </c>
      <c r="S1263" t="s">
        <v>5359</v>
      </c>
      <c r="T1263" t="s">
        <v>5360</v>
      </c>
      <c r="U1263">
        <v>3297</v>
      </c>
      <c r="V1263">
        <v>0</v>
      </c>
      <c r="W1263">
        <v>4</v>
      </c>
      <c r="X1263">
        <v>2012</v>
      </c>
      <c r="Z1263">
        <v>2</v>
      </c>
      <c r="AB1263">
        <v>0</v>
      </c>
      <c r="AC1263" t="s">
        <v>115</v>
      </c>
      <c r="AD1263">
        <v>3</v>
      </c>
      <c r="AE1263" t="s">
        <v>115</v>
      </c>
      <c r="AF1263">
        <v>0</v>
      </c>
      <c r="AG1263">
        <v>0</v>
      </c>
      <c r="AH1263" t="s">
        <v>116</v>
      </c>
      <c r="AI1263" s="1">
        <v>42238</v>
      </c>
      <c r="AJ1263" s="2">
        <v>0.12</v>
      </c>
      <c r="AK1263" s="1">
        <v>349238</v>
      </c>
      <c r="AL1263" t="s">
        <v>117</v>
      </c>
      <c r="AM1263" t="s">
        <v>118</v>
      </c>
      <c r="AN1263">
        <v>7348</v>
      </c>
      <c r="AO1263">
        <v>0.17</v>
      </c>
      <c r="AR1263">
        <v>1</v>
      </c>
      <c r="AS1263" s="1">
        <v>25130</v>
      </c>
      <c r="AT1263" s="1">
        <v>5020</v>
      </c>
      <c r="AU1263" s="1">
        <v>20110</v>
      </c>
      <c r="AV1263">
        <v>80.02</v>
      </c>
      <c r="AX1263" s="1">
        <v>2230.64</v>
      </c>
      <c r="AY1263" t="s">
        <v>5168</v>
      </c>
      <c r="AZ1263" t="s">
        <v>5168</v>
      </c>
      <c r="BA1263" t="s">
        <v>5109</v>
      </c>
      <c r="BE1263" s="3">
        <v>42496</v>
      </c>
      <c r="BF1263" s="1">
        <v>287500</v>
      </c>
      <c r="BG1263" t="s">
        <v>8570</v>
      </c>
      <c r="BH1263" s="1">
        <v>87.2</v>
      </c>
      <c r="BI1263" s="1">
        <v>307000</v>
      </c>
      <c r="BJ1263" s="3">
        <v>43455</v>
      </c>
      <c r="BK1263" t="s">
        <v>123</v>
      </c>
      <c r="BL1263" t="str">
        <f>"2018.934922"</f>
        <v>2018.934922</v>
      </c>
      <c r="BM1263" t="s">
        <v>8571</v>
      </c>
      <c r="BN1263" t="s">
        <v>8572</v>
      </c>
      <c r="BO1263" t="s">
        <v>8573</v>
      </c>
      <c r="BP1263" t="s">
        <v>8574</v>
      </c>
      <c r="BR1263" t="s">
        <v>139</v>
      </c>
      <c r="BW1263" t="str">
        <f>""</f>
        <v/>
      </c>
      <c r="CH1263" t="str">
        <f>""</f>
        <v/>
      </c>
      <c r="CS1263" t="str">
        <f>""</f>
        <v/>
      </c>
    </row>
    <row r="1264" spans="1:97" x14ac:dyDescent="0.25">
      <c r="A1264" t="s">
        <v>1272</v>
      </c>
      <c r="B1264" t="s">
        <v>8575</v>
      </c>
      <c r="E1264" t="s">
        <v>8576</v>
      </c>
      <c r="F1264" t="s">
        <v>108</v>
      </c>
      <c r="H1264" t="s">
        <v>8577</v>
      </c>
      <c r="I1264" t="s">
        <v>203</v>
      </c>
      <c r="J1264" t="s">
        <v>111</v>
      </c>
      <c r="K1264" t="str">
        <f>"85297"</f>
        <v>85297</v>
      </c>
      <c r="L1264" t="s">
        <v>8335</v>
      </c>
      <c r="M1264" t="s">
        <v>8577</v>
      </c>
      <c r="N1264" t="s">
        <v>203</v>
      </c>
      <c r="O1264" t="s">
        <v>111</v>
      </c>
      <c r="P1264" t="str">
        <f>"85297-7469"</f>
        <v>85297-7469</v>
      </c>
      <c r="Q1264" t="s">
        <v>113</v>
      </c>
      <c r="R1264" t="str">
        <f>"313-16-521"</f>
        <v>313-16-521</v>
      </c>
      <c r="S1264" t="s">
        <v>8578</v>
      </c>
      <c r="T1264" t="s">
        <v>8579</v>
      </c>
      <c r="U1264">
        <v>1755</v>
      </c>
      <c r="V1264">
        <v>0</v>
      </c>
      <c r="W1264">
        <v>4</v>
      </c>
      <c r="X1264">
        <v>2007</v>
      </c>
      <c r="Z1264">
        <v>2</v>
      </c>
      <c r="AB1264">
        <v>0</v>
      </c>
      <c r="AC1264" t="s">
        <v>115</v>
      </c>
      <c r="AD1264">
        <v>2</v>
      </c>
      <c r="AE1264" t="s">
        <v>115</v>
      </c>
      <c r="AF1264">
        <v>0</v>
      </c>
      <c r="AG1264">
        <v>0</v>
      </c>
      <c r="AH1264" t="s">
        <v>116</v>
      </c>
      <c r="AI1264" s="1">
        <v>84415</v>
      </c>
      <c r="AJ1264" s="2">
        <v>0.28999999999999998</v>
      </c>
      <c r="AK1264" s="1">
        <v>288781</v>
      </c>
      <c r="AL1264" t="s">
        <v>117</v>
      </c>
      <c r="AM1264" t="s">
        <v>288</v>
      </c>
      <c r="AN1264">
        <v>2250</v>
      </c>
      <c r="AO1264">
        <v>0.52</v>
      </c>
      <c r="AR1264">
        <v>1</v>
      </c>
      <c r="AS1264" s="1">
        <v>19310</v>
      </c>
      <c r="AT1264" s="1">
        <v>3860</v>
      </c>
      <c r="AU1264" s="1">
        <v>15450</v>
      </c>
      <c r="AV1264">
        <v>80.010000000000005</v>
      </c>
      <c r="AX1264" s="1">
        <v>1577.82</v>
      </c>
      <c r="AY1264" t="s">
        <v>8338</v>
      </c>
      <c r="AZ1264" t="s">
        <v>8338</v>
      </c>
      <c r="BA1264" t="s">
        <v>290</v>
      </c>
      <c r="BE1264" s="3">
        <v>42390</v>
      </c>
      <c r="BF1264" s="1">
        <v>220000</v>
      </c>
      <c r="BG1264" t="s">
        <v>8580</v>
      </c>
      <c r="BH1264" s="1">
        <v>125.36</v>
      </c>
      <c r="BI1264" s="1">
        <v>204366</v>
      </c>
      <c r="BJ1264" s="3">
        <v>42551</v>
      </c>
      <c r="BK1264" t="s">
        <v>123</v>
      </c>
      <c r="BL1264" t="str">
        <f>"2016.459177"</f>
        <v>2016.459177</v>
      </c>
      <c r="BM1264" t="s">
        <v>1544</v>
      </c>
      <c r="BO1264" t="s">
        <v>8581</v>
      </c>
      <c r="BS1264">
        <v>30</v>
      </c>
      <c r="BW1264" t="str">
        <f>""</f>
        <v/>
      </c>
      <c r="CH1264" t="str">
        <f>""</f>
        <v/>
      </c>
      <c r="CS1264" t="str">
        <f>""</f>
        <v/>
      </c>
    </row>
    <row r="1265" spans="1:97" x14ac:dyDescent="0.25">
      <c r="A1265" t="s">
        <v>5560</v>
      </c>
      <c r="B1265" t="s">
        <v>8582</v>
      </c>
      <c r="E1265" t="s">
        <v>8583</v>
      </c>
      <c r="F1265" t="s">
        <v>108</v>
      </c>
      <c r="H1265" t="s">
        <v>8584</v>
      </c>
      <c r="I1265" t="s">
        <v>2874</v>
      </c>
      <c r="J1265" t="s">
        <v>111</v>
      </c>
      <c r="K1265" t="str">
        <f>"85308"</f>
        <v>85308</v>
      </c>
      <c r="L1265" t="s">
        <v>168</v>
      </c>
      <c r="M1265" t="s">
        <v>8584</v>
      </c>
      <c r="N1265" t="s">
        <v>2874</v>
      </c>
      <c r="O1265" t="s">
        <v>111</v>
      </c>
      <c r="P1265" t="str">
        <f>"85308-7345"</f>
        <v>85308-7345</v>
      </c>
      <c r="Q1265" t="s">
        <v>113</v>
      </c>
      <c r="R1265" t="str">
        <f>"206-31-328"</f>
        <v>206-31-328</v>
      </c>
      <c r="S1265" t="s">
        <v>8585</v>
      </c>
      <c r="T1265" t="s">
        <v>8586</v>
      </c>
      <c r="U1265">
        <v>2330</v>
      </c>
      <c r="V1265">
        <v>0</v>
      </c>
      <c r="W1265">
        <v>3</v>
      </c>
      <c r="X1265">
        <v>1989</v>
      </c>
      <c r="Z1265">
        <v>2</v>
      </c>
      <c r="AA1265" t="s">
        <v>26</v>
      </c>
      <c r="AB1265">
        <v>0</v>
      </c>
      <c r="AC1265" t="s">
        <v>115</v>
      </c>
      <c r="AD1265">
        <v>2</v>
      </c>
      <c r="AE1265" t="s">
        <v>115</v>
      </c>
      <c r="AF1265">
        <v>0</v>
      </c>
      <c r="AG1265">
        <v>0</v>
      </c>
      <c r="AH1265" t="s">
        <v>116</v>
      </c>
      <c r="AI1265" s="1">
        <v>-80341</v>
      </c>
      <c r="AJ1265" s="2">
        <v>-0.25</v>
      </c>
      <c r="AK1265" s="1">
        <v>324293</v>
      </c>
      <c r="AL1265" t="s">
        <v>117</v>
      </c>
      <c r="AM1265" t="s">
        <v>191</v>
      </c>
      <c r="AN1265">
        <v>6189</v>
      </c>
      <c r="AO1265">
        <v>0.14000000000000001</v>
      </c>
      <c r="AP1265">
        <v>1</v>
      </c>
      <c r="AR1265">
        <v>1</v>
      </c>
      <c r="AS1265" s="1">
        <v>22250</v>
      </c>
      <c r="AT1265" s="1">
        <v>4450</v>
      </c>
      <c r="AU1265" s="1">
        <v>17800</v>
      </c>
      <c r="AV1265">
        <v>80</v>
      </c>
      <c r="AX1265" s="1">
        <v>1846.36</v>
      </c>
      <c r="AY1265" t="s">
        <v>8587</v>
      </c>
      <c r="AZ1265" t="s">
        <v>5142</v>
      </c>
      <c r="BA1265" t="s">
        <v>5143</v>
      </c>
      <c r="BB1265" s="3">
        <v>41779</v>
      </c>
      <c r="BD1265" t="s">
        <v>8588</v>
      </c>
      <c r="BE1265" s="3">
        <v>41740</v>
      </c>
      <c r="BF1265" s="1">
        <v>249900</v>
      </c>
      <c r="BG1265" t="s">
        <v>8589</v>
      </c>
      <c r="BH1265" s="1">
        <v>107.25</v>
      </c>
      <c r="BI1265" s="1">
        <v>264234</v>
      </c>
      <c r="BJ1265" s="3">
        <v>42009</v>
      </c>
      <c r="BK1265" t="s">
        <v>123</v>
      </c>
      <c r="BL1265" t="str">
        <f>"2015.4080"</f>
        <v>2015.4080</v>
      </c>
      <c r="BM1265" t="s">
        <v>1695</v>
      </c>
      <c r="BN1265" t="s">
        <v>3082</v>
      </c>
      <c r="BO1265" t="s">
        <v>8590</v>
      </c>
      <c r="BS1265">
        <v>30</v>
      </c>
      <c r="BT1265" s="1">
        <v>140400</v>
      </c>
      <c r="BU1265" s="3">
        <v>43188</v>
      </c>
      <c r="BV1265" t="s">
        <v>134</v>
      </c>
      <c r="BW1265" t="str">
        <f>"2018.235189"</f>
        <v>2018.235189</v>
      </c>
      <c r="BX1265" t="s">
        <v>8591</v>
      </c>
      <c r="BY1265" t="s">
        <v>545</v>
      </c>
      <c r="BZ1265" t="s">
        <v>8592</v>
      </c>
      <c r="CC1265" t="s">
        <v>139</v>
      </c>
      <c r="CH1265" t="str">
        <f>""</f>
        <v/>
      </c>
      <c r="CS1265" t="str">
        <f>""</f>
        <v/>
      </c>
    </row>
    <row r="1266" spans="1:97" x14ac:dyDescent="0.25">
      <c r="A1266" t="s">
        <v>620</v>
      </c>
      <c r="B1266" t="s">
        <v>8593</v>
      </c>
      <c r="C1266" t="s">
        <v>8594</v>
      </c>
      <c r="D1266" t="s">
        <v>8593</v>
      </c>
      <c r="E1266" t="s">
        <v>8595</v>
      </c>
      <c r="F1266" t="s">
        <v>108</v>
      </c>
      <c r="H1266" t="s">
        <v>8596</v>
      </c>
      <c r="I1266" t="s">
        <v>144</v>
      </c>
      <c r="J1266" t="s">
        <v>111</v>
      </c>
      <c r="K1266" t="str">
        <f>"85396"</f>
        <v>85396</v>
      </c>
      <c r="L1266" t="s">
        <v>215</v>
      </c>
      <c r="M1266" t="s">
        <v>8596</v>
      </c>
      <c r="N1266" t="s">
        <v>144</v>
      </c>
      <c r="O1266" t="s">
        <v>111</v>
      </c>
      <c r="P1266" t="str">
        <f>"85396-1664"</f>
        <v>85396-1664</v>
      </c>
      <c r="Q1266" t="s">
        <v>113</v>
      </c>
      <c r="R1266" t="str">
        <f>"502-80-614"</f>
        <v>502-80-614</v>
      </c>
      <c r="S1266" t="s">
        <v>8597</v>
      </c>
      <c r="U1266">
        <v>2549</v>
      </c>
      <c r="V1266">
        <v>0</v>
      </c>
      <c r="W1266">
        <v>4</v>
      </c>
      <c r="X1266">
        <v>2011</v>
      </c>
      <c r="Z1266">
        <v>2</v>
      </c>
      <c r="AB1266">
        <v>0</v>
      </c>
      <c r="AC1266" t="s">
        <v>115</v>
      </c>
      <c r="AD1266">
        <v>3</v>
      </c>
      <c r="AE1266" t="s">
        <v>115</v>
      </c>
      <c r="AF1266">
        <v>0</v>
      </c>
      <c r="AG1266">
        <v>0</v>
      </c>
      <c r="AH1266" t="s">
        <v>116</v>
      </c>
      <c r="AI1266" s="1">
        <v>69627</v>
      </c>
      <c r="AJ1266" s="2">
        <v>0.21</v>
      </c>
      <c r="AK1266" s="1">
        <v>330459</v>
      </c>
      <c r="AL1266" t="s">
        <v>117</v>
      </c>
      <c r="AM1266" t="s">
        <v>118</v>
      </c>
      <c r="AN1266">
        <v>5400</v>
      </c>
      <c r="AO1266">
        <v>0.12</v>
      </c>
      <c r="AR1266">
        <v>1</v>
      </c>
      <c r="AS1266" s="1">
        <v>21630</v>
      </c>
      <c r="AT1266" s="1">
        <v>4320</v>
      </c>
      <c r="AU1266" s="1">
        <v>17310</v>
      </c>
      <c r="AV1266">
        <v>80.03</v>
      </c>
      <c r="AX1266" s="1">
        <v>3204.52</v>
      </c>
      <c r="AY1266" t="s">
        <v>217</v>
      </c>
      <c r="AZ1266" t="s">
        <v>217</v>
      </c>
      <c r="BA1266" t="s">
        <v>218</v>
      </c>
      <c r="BE1266" s="3">
        <v>41892</v>
      </c>
      <c r="BF1266" s="1">
        <v>252500</v>
      </c>
      <c r="BG1266" t="s">
        <v>8598</v>
      </c>
      <c r="BH1266" s="1">
        <v>99.06</v>
      </c>
      <c r="BI1266" s="1">
        <v>260832</v>
      </c>
      <c r="BJ1266" s="3">
        <v>41892</v>
      </c>
      <c r="BK1266" t="s">
        <v>123</v>
      </c>
      <c r="BL1266" t="str">
        <f>"2014.596867"</f>
        <v>2014.596867</v>
      </c>
      <c r="BM1266" t="s">
        <v>1809</v>
      </c>
      <c r="BO1266" t="s">
        <v>8599</v>
      </c>
      <c r="BQ1266" t="str">
        <f>"3.2500%"</f>
        <v>3.2500%</v>
      </c>
      <c r="BR1266" t="s">
        <v>1480</v>
      </c>
      <c r="BS1266">
        <v>30</v>
      </c>
      <c r="BW1266" t="str">
        <f>""</f>
        <v/>
      </c>
      <c r="CH1266" t="str">
        <f>""</f>
        <v/>
      </c>
      <c r="CS1266" t="str">
        <f>""</f>
        <v/>
      </c>
    </row>
    <row r="1267" spans="1:97" x14ac:dyDescent="0.25">
      <c r="A1267" t="s">
        <v>140</v>
      </c>
      <c r="B1267" t="s">
        <v>8600</v>
      </c>
      <c r="C1267" t="s">
        <v>489</v>
      </c>
      <c r="D1267" t="s">
        <v>8600</v>
      </c>
      <c r="E1267" t="s">
        <v>8601</v>
      </c>
      <c r="F1267" t="s">
        <v>108</v>
      </c>
      <c r="H1267" t="s">
        <v>8602</v>
      </c>
      <c r="I1267" t="s">
        <v>203</v>
      </c>
      <c r="J1267" t="s">
        <v>111</v>
      </c>
      <c r="K1267" t="str">
        <f>"85233"</f>
        <v>85233</v>
      </c>
      <c r="L1267" t="s">
        <v>5709</v>
      </c>
      <c r="M1267" t="s">
        <v>8602</v>
      </c>
      <c r="N1267" t="s">
        <v>203</v>
      </c>
      <c r="O1267" t="s">
        <v>111</v>
      </c>
      <c r="P1267" t="str">
        <f>"85233-4808"</f>
        <v>85233-4808</v>
      </c>
      <c r="Q1267" t="s">
        <v>113</v>
      </c>
      <c r="R1267" t="str">
        <f>"302-20-091"</f>
        <v>302-20-091</v>
      </c>
      <c r="S1267" t="s">
        <v>8603</v>
      </c>
      <c r="T1267" t="s">
        <v>8603</v>
      </c>
      <c r="U1267">
        <v>2652</v>
      </c>
      <c r="V1267">
        <v>0</v>
      </c>
      <c r="W1267">
        <v>4</v>
      </c>
      <c r="X1267">
        <v>1999</v>
      </c>
      <c r="Z1267">
        <v>2</v>
      </c>
      <c r="AA1267" t="s">
        <v>26</v>
      </c>
      <c r="AB1267">
        <v>0</v>
      </c>
      <c r="AC1267" t="s">
        <v>115</v>
      </c>
      <c r="AD1267">
        <v>2</v>
      </c>
      <c r="AE1267" t="s">
        <v>115</v>
      </c>
      <c r="AF1267">
        <v>0</v>
      </c>
      <c r="AG1267">
        <v>0</v>
      </c>
      <c r="AH1267" t="s">
        <v>116</v>
      </c>
      <c r="AI1267" s="1">
        <v>-151556</v>
      </c>
      <c r="AJ1267" s="2">
        <v>-0.37</v>
      </c>
      <c r="AK1267" s="1">
        <v>406264</v>
      </c>
      <c r="AL1267" t="s">
        <v>117</v>
      </c>
      <c r="AM1267" t="s">
        <v>393</v>
      </c>
      <c r="AN1267">
        <v>8621</v>
      </c>
      <c r="AO1267">
        <v>0.2</v>
      </c>
      <c r="AP1267">
        <v>1</v>
      </c>
      <c r="AR1267">
        <v>1</v>
      </c>
      <c r="AS1267" s="1">
        <v>27600</v>
      </c>
      <c r="AT1267" s="1">
        <v>5520</v>
      </c>
      <c r="AU1267" s="1">
        <v>22080</v>
      </c>
      <c r="AV1267">
        <v>80</v>
      </c>
      <c r="AX1267" s="1">
        <v>2009.9</v>
      </c>
      <c r="AY1267" t="s">
        <v>8604</v>
      </c>
      <c r="AZ1267" t="s">
        <v>5478</v>
      </c>
      <c r="BA1267" t="s">
        <v>5479</v>
      </c>
      <c r="BE1267" s="3">
        <v>41817</v>
      </c>
      <c r="BF1267" s="1">
        <v>270000</v>
      </c>
      <c r="BG1267" t="s">
        <v>8605</v>
      </c>
      <c r="BH1267" s="1">
        <v>101.81</v>
      </c>
      <c r="BI1267" s="1">
        <v>278910</v>
      </c>
      <c r="BJ1267" s="3">
        <v>41817</v>
      </c>
      <c r="BK1267" t="s">
        <v>123</v>
      </c>
      <c r="BL1267" t="str">
        <f>"2014.422551"</f>
        <v>2014.422551</v>
      </c>
      <c r="BM1267" t="s">
        <v>5348</v>
      </c>
      <c r="BO1267" t="s">
        <v>8606</v>
      </c>
      <c r="BS1267">
        <v>30</v>
      </c>
      <c r="BT1267" s="1">
        <v>278910</v>
      </c>
      <c r="BU1267" s="3">
        <v>42657</v>
      </c>
      <c r="BV1267" t="s">
        <v>123</v>
      </c>
      <c r="BW1267" t="str">
        <f>"2016.757393"</f>
        <v>2016.757393</v>
      </c>
      <c r="BX1267" t="s">
        <v>5348</v>
      </c>
      <c r="BZ1267" t="s">
        <v>8607</v>
      </c>
      <c r="CD1267">
        <v>28</v>
      </c>
      <c r="CH1267" t="str">
        <f>""</f>
        <v/>
      </c>
      <c r="CS1267" t="str">
        <f>""</f>
        <v/>
      </c>
    </row>
    <row r="1268" spans="1:97" x14ac:dyDescent="0.25">
      <c r="A1268" t="s">
        <v>370</v>
      </c>
      <c r="B1268" t="s">
        <v>1768</v>
      </c>
      <c r="C1268" t="s">
        <v>8396</v>
      </c>
      <c r="D1268" t="s">
        <v>1768</v>
      </c>
      <c r="E1268" t="s">
        <v>8608</v>
      </c>
      <c r="F1268" t="s">
        <v>282</v>
      </c>
      <c r="H1268" t="s">
        <v>8609</v>
      </c>
      <c r="I1268" t="s">
        <v>390</v>
      </c>
      <c r="J1268" t="s">
        <v>111</v>
      </c>
      <c r="K1268" t="str">
        <f>"85024"</f>
        <v>85024</v>
      </c>
      <c r="L1268" t="s">
        <v>7695</v>
      </c>
      <c r="M1268" t="s">
        <v>8610</v>
      </c>
      <c r="N1268" t="s">
        <v>390</v>
      </c>
      <c r="O1268" t="s">
        <v>111</v>
      </c>
      <c r="P1268" t="str">
        <f>"85050"</f>
        <v>85050</v>
      </c>
      <c r="Q1268" t="s">
        <v>113</v>
      </c>
      <c r="R1268" t="str">
        <f>"213-25-042"</f>
        <v>213-25-042</v>
      </c>
      <c r="S1268" t="s">
        <v>8611</v>
      </c>
      <c r="T1268" t="s">
        <v>8612</v>
      </c>
      <c r="U1268">
        <v>2286</v>
      </c>
      <c r="V1268">
        <v>0</v>
      </c>
      <c r="W1268">
        <v>3</v>
      </c>
      <c r="X1268">
        <v>1984</v>
      </c>
      <c r="Z1268">
        <v>1</v>
      </c>
      <c r="AB1268">
        <v>0</v>
      </c>
      <c r="AC1268" t="s">
        <v>115</v>
      </c>
      <c r="AD1268">
        <v>3</v>
      </c>
      <c r="AE1268" t="s">
        <v>115</v>
      </c>
      <c r="AF1268">
        <v>0</v>
      </c>
      <c r="AG1268">
        <v>0</v>
      </c>
      <c r="AH1268" t="s">
        <v>116</v>
      </c>
      <c r="AI1268" s="1">
        <v>49220</v>
      </c>
      <c r="AJ1268" s="2">
        <v>0.14000000000000001</v>
      </c>
      <c r="AK1268" s="1">
        <v>340720</v>
      </c>
      <c r="AL1268" t="s">
        <v>117</v>
      </c>
      <c r="AM1268" t="s">
        <v>171</v>
      </c>
      <c r="AN1268">
        <v>9150</v>
      </c>
      <c r="AO1268">
        <v>0.21</v>
      </c>
      <c r="AP1268">
        <v>1</v>
      </c>
      <c r="AR1268">
        <v>1</v>
      </c>
      <c r="AS1268" s="1">
        <v>25120</v>
      </c>
      <c r="AT1268" s="1">
        <v>5020</v>
      </c>
      <c r="AU1268" s="1">
        <v>20100</v>
      </c>
      <c r="AV1268">
        <v>80.02</v>
      </c>
      <c r="AX1268" s="1">
        <v>1866.86</v>
      </c>
      <c r="AY1268" t="s">
        <v>8613</v>
      </c>
      <c r="AZ1268" t="s">
        <v>761</v>
      </c>
      <c r="BA1268" t="s">
        <v>2551</v>
      </c>
      <c r="BE1268" s="3">
        <v>41880</v>
      </c>
      <c r="BF1268" s="1">
        <v>300500</v>
      </c>
      <c r="BG1268" t="s">
        <v>8614</v>
      </c>
      <c r="BH1268" s="1">
        <v>131.44999999999999</v>
      </c>
      <c r="BI1268" s="1">
        <v>291500</v>
      </c>
      <c r="BJ1268" s="3">
        <v>42391</v>
      </c>
      <c r="BK1268" t="s">
        <v>123</v>
      </c>
      <c r="BL1268" t="str">
        <f>"2016.44064"</f>
        <v>2016.44064</v>
      </c>
      <c r="BM1268" t="s">
        <v>425</v>
      </c>
      <c r="BO1268" t="s">
        <v>8615</v>
      </c>
      <c r="BS1268">
        <v>30</v>
      </c>
      <c r="BW1268" t="str">
        <f>""</f>
        <v/>
      </c>
      <c r="CH1268" t="str">
        <f>""</f>
        <v/>
      </c>
      <c r="CS1268" t="str">
        <f>""</f>
        <v/>
      </c>
    </row>
    <row r="1269" spans="1:97" x14ac:dyDescent="0.25">
      <c r="A1269" t="s">
        <v>140</v>
      </c>
      <c r="B1269" t="s">
        <v>1422</v>
      </c>
      <c r="C1269" t="s">
        <v>4741</v>
      </c>
      <c r="D1269" t="s">
        <v>1422</v>
      </c>
      <c r="E1269" t="s">
        <v>8616</v>
      </c>
      <c r="F1269" t="s">
        <v>108</v>
      </c>
      <c r="H1269" t="s">
        <v>8617</v>
      </c>
      <c r="I1269" t="s">
        <v>225</v>
      </c>
      <c r="J1269" t="s">
        <v>111</v>
      </c>
      <c r="K1269" t="str">
        <f>"85202"</f>
        <v>85202</v>
      </c>
      <c r="L1269" t="s">
        <v>6541</v>
      </c>
      <c r="M1269" t="s">
        <v>8617</v>
      </c>
      <c r="N1269" t="s">
        <v>225</v>
      </c>
      <c r="O1269" t="s">
        <v>111</v>
      </c>
      <c r="P1269" t="str">
        <f>"85202-6630"</f>
        <v>85202-6630</v>
      </c>
      <c r="Q1269" t="s">
        <v>113</v>
      </c>
      <c r="R1269" t="str">
        <f>"305-07-415"</f>
        <v>305-07-415</v>
      </c>
      <c r="S1269" t="s">
        <v>8618</v>
      </c>
      <c r="U1269">
        <v>1646</v>
      </c>
      <c r="V1269">
        <v>0</v>
      </c>
      <c r="W1269">
        <v>2</v>
      </c>
      <c r="X1269">
        <v>1979</v>
      </c>
      <c r="Z1269">
        <v>1</v>
      </c>
      <c r="AB1269">
        <v>0</v>
      </c>
      <c r="AC1269" t="s">
        <v>115</v>
      </c>
      <c r="AD1269">
        <v>2</v>
      </c>
      <c r="AE1269" t="s">
        <v>115</v>
      </c>
      <c r="AF1269">
        <v>0</v>
      </c>
      <c r="AG1269">
        <v>0</v>
      </c>
      <c r="AH1269" t="s">
        <v>116</v>
      </c>
      <c r="AI1269" s="1">
        <v>49753</v>
      </c>
      <c r="AJ1269" s="2">
        <v>0.18</v>
      </c>
      <c r="AK1269" s="1">
        <v>275660</v>
      </c>
      <c r="AL1269" t="s">
        <v>117</v>
      </c>
      <c r="AM1269" t="s">
        <v>191</v>
      </c>
      <c r="AN1269">
        <v>7667</v>
      </c>
      <c r="AO1269">
        <v>0.18</v>
      </c>
      <c r="AP1269">
        <v>1</v>
      </c>
      <c r="AR1269">
        <v>1</v>
      </c>
      <c r="AS1269" s="1">
        <v>19500</v>
      </c>
      <c r="AT1269" s="1">
        <v>3900</v>
      </c>
      <c r="AU1269" s="1">
        <v>15600</v>
      </c>
      <c r="AV1269">
        <v>80</v>
      </c>
      <c r="AX1269" s="1">
        <v>1386.86</v>
      </c>
      <c r="AY1269" t="s">
        <v>8619</v>
      </c>
      <c r="AZ1269" t="s">
        <v>7295</v>
      </c>
      <c r="BA1269" t="s">
        <v>5311</v>
      </c>
      <c r="BE1269" s="3">
        <v>42198</v>
      </c>
      <c r="BF1269" s="1">
        <v>195000</v>
      </c>
      <c r="BG1269" t="s">
        <v>8620</v>
      </c>
      <c r="BH1269" s="1">
        <v>118.47</v>
      </c>
      <c r="BI1269" s="1">
        <v>225907</v>
      </c>
      <c r="BJ1269" s="3">
        <v>43048</v>
      </c>
      <c r="BK1269" t="s">
        <v>123</v>
      </c>
      <c r="BL1269" t="str">
        <f>"2017.836148"</f>
        <v>2017.836148</v>
      </c>
      <c r="BM1269" t="s">
        <v>8621</v>
      </c>
      <c r="BO1269" t="s">
        <v>8622</v>
      </c>
      <c r="BP1269" t="s">
        <v>8623</v>
      </c>
      <c r="BS1269">
        <v>30</v>
      </c>
      <c r="BW1269" t="str">
        <f>""</f>
        <v/>
      </c>
      <c r="CH1269" t="str">
        <f>""</f>
        <v/>
      </c>
      <c r="CS1269" t="str">
        <f>""</f>
        <v/>
      </c>
    </row>
    <row r="1270" spans="1:97" x14ac:dyDescent="0.25">
      <c r="A1270" t="s">
        <v>8624</v>
      </c>
      <c r="B1270" t="s">
        <v>8625</v>
      </c>
      <c r="C1270" t="s">
        <v>8626</v>
      </c>
      <c r="D1270" t="s">
        <v>1450</v>
      </c>
      <c r="E1270" t="s">
        <v>8627</v>
      </c>
      <c r="F1270" t="s">
        <v>108</v>
      </c>
      <c r="H1270" t="s">
        <v>8628</v>
      </c>
      <c r="I1270" t="s">
        <v>390</v>
      </c>
      <c r="J1270" t="s">
        <v>111</v>
      </c>
      <c r="K1270" t="str">
        <f>"85016"</f>
        <v>85016</v>
      </c>
      <c r="L1270" t="s">
        <v>5400</v>
      </c>
      <c r="M1270" t="s">
        <v>8628</v>
      </c>
      <c r="N1270" t="s">
        <v>390</v>
      </c>
      <c r="O1270" t="s">
        <v>111</v>
      </c>
      <c r="P1270" t="str">
        <f>"85016-4923"</f>
        <v>85016-4923</v>
      </c>
      <c r="Q1270" t="s">
        <v>113</v>
      </c>
      <c r="R1270" t="str">
        <f>"163-16-084"</f>
        <v>163-16-084</v>
      </c>
      <c r="S1270" t="s">
        <v>8629</v>
      </c>
      <c r="T1270" t="s">
        <v>8629</v>
      </c>
      <c r="U1270">
        <v>1873</v>
      </c>
      <c r="V1270">
        <v>0</v>
      </c>
      <c r="W1270">
        <v>2</v>
      </c>
      <c r="X1270">
        <v>1954</v>
      </c>
      <c r="Z1270">
        <v>1</v>
      </c>
      <c r="AB1270">
        <v>0</v>
      </c>
      <c r="AC1270" t="s">
        <v>115</v>
      </c>
      <c r="AD1270">
        <v>2</v>
      </c>
      <c r="AE1270" t="s">
        <v>115</v>
      </c>
      <c r="AF1270">
        <v>0</v>
      </c>
      <c r="AG1270">
        <v>0</v>
      </c>
      <c r="AH1270" t="s">
        <v>116</v>
      </c>
      <c r="AI1270" s="1">
        <v>89907</v>
      </c>
      <c r="AJ1270" s="2">
        <v>0.19</v>
      </c>
      <c r="AK1270" s="1">
        <v>475298</v>
      </c>
      <c r="AL1270" t="s">
        <v>117</v>
      </c>
      <c r="AM1270" t="s">
        <v>191</v>
      </c>
      <c r="AN1270">
        <v>7566</v>
      </c>
      <c r="AO1270">
        <v>0.17</v>
      </c>
      <c r="AP1270">
        <v>1</v>
      </c>
      <c r="AR1270">
        <v>1</v>
      </c>
      <c r="AS1270" s="1">
        <v>31200</v>
      </c>
      <c r="AT1270" s="1">
        <v>6240</v>
      </c>
      <c r="AU1270" s="1">
        <v>24960</v>
      </c>
      <c r="AV1270">
        <v>80</v>
      </c>
      <c r="AX1270" s="1">
        <v>3702.26</v>
      </c>
      <c r="AY1270" t="s">
        <v>8630</v>
      </c>
      <c r="AZ1270" t="s">
        <v>8631</v>
      </c>
      <c r="BA1270" t="s">
        <v>6255</v>
      </c>
      <c r="BE1270" s="3">
        <v>41992</v>
      </c>
      <c r="BF1270" s="1">
        <v>375000</v>
      </c>
      <c r="BG1270" t="s">
        <v>8632</v>
      </c>
      <c r="BH1270" s="1">
        <v>200.21</v>
      </c>
      <c r="BI1270" s="1">
        <v>385391</v>
      </c>
      <c r="BJ1270" s="3">
        <v>41992</v>
      </c>
      <c r="BK1270" t="s">
        <v>123</v>
      </c>
      <c r="BL1270" t="str">
        <f>"2014.833937"</f>
        <v>2014.833937</v>
      </c>
      <c r="BM1270" t="s">
        <v>724</v>
      </c>
      <c r="BO1270" t="s">
        <v>8633</v>
      </c>
      <c r="BP1270" t="s">
        <v>8634</v>
      </c>
      <c r="BS1270">
        <v>30</v>
      </c>
      <c r="BW1270" t="str">
        <f>""</f>
        <v/>
      </c>
      <c r="CH1270" t="str">
        <f>""</f>
        <v/>
      </c>
      <c r="CS1270" t="str">
        <f>""</f>
        <v/>
      </c>
    </row>
    <row r="1271" spans="1:97" x14ac:dyDescent="0.25">
      <c r="A1271" t="s">
        <v>177</v>
      </c>
      <c r="B1271" t="s">
        <v>8635</v>
      </c>
      <c r="C1271" t="s">
        <v>259</v>
      </c>
      <c r="D1271" t="s">
        <v>8635</v>
      </c>
      <c r="E1271" t="s">
        <v>8636</v>
      </c>
      <c r="F1271" t="s">
        <v>108</v>
      </c>
      <c r="H1271" t="s">
        <v>8637</v>
      </c>
      <c r="I1271" t="s">
        <v>390</v>
      </c>
      <c r="J1271" t="s">
        <v>111</v>
      </c>
      <c r="K1271" t="str">
        <f>"85086"</f>
        <v>85086</v>
      </c>
      <c r="L1271" t="s">
        <v>1383</v>
      </c>
      <c r="M1271" t="s">
        <v>8637</v>
      </c>
      <c r="N1271" t="s">
        <v>390</v>
      </c>
      <c r="O1271" t="s">
        <v>111</v>
      </c>
      <c r="P1271" t="str">
        <f>"85086-3204"</f>
        <v>85086-3204</v>
      </c>
      <c r="Q1271" t="s">
        <v>113</v>
      </c>
      <c r="R1271" t="str">
        <f>"203-27-230"</f>
        <v>203-27-230</v>
      </c>
      <c r="S1271" t="s">
        <v>8638</v>
      </c>
      <c r="U1271">
        <v>1642</v>
      </c>
      <c r="V1271">
        <v>0</v>
      </c>
      <c r="W1271">
        <v>3</v>
      </c>
      <c r="X1271">
        <v>2004</v>
      </c>
      <c r="Z1271">
        <v>2</v>
      </c>
      <c r="AB1271">
        <v>0</v>
      </c>
      <c r="AC1271" t="s">
        <v>115</v>
      </c>
      <c r="AD1271">
        <v>2</v>
      </c>
      <c r="AE1271" t="s">
        <v>115</v>
      </c>
      <c r="AF1271">
        <v>0</v>
      </c>
      <c r="AG1271">
        <v>0</v>
      </c>
      <c r="AH1271" t="s">
        <v>116</v>
      </c>
      <c r="AI1271" s="1">
        <v>63141</v>
      </c>
      <c r="AJ1271" s="2">
        <v>0.24</v>
      </c>
      <c r="AK1271" s="1">
        <v>267641</v>
      </c>
      <c r="AL1271" t="s">
        <v>117</v>
      </c>
      <c r="AM1271" t="s">
        <v>1315</v>
      </c>
      <c r="AN1271">
        <v>4355</v>
      </c>
      <c r="AO1271">
        <v>0.1</v>
      </c>
      <c r="AP1271">
        <v>1</v>
      </c>
      <c r="AR1271">
        <v>1</v>
      </c>
      <c r="AS1271" s="1">
        <v>18520</v>
      </c>
      <c r="AT1271" s="1">
        <v>3700</v>
      </c>
      <c r="AU1271" s="1">
        <v>14820</v>
      </c>
      <c r="AV1271">
        <v>80.02</v>
      </c>
      <c r="AX1271" s="1">
        <v>1730.56</v>
      </c>
      <c r="AY1271" t="s">
        <v>8639</v>
      </c>
      <c r="AZ1271" t="s">
        <v>8639</v>
      </c>
      <c r="BA1271" t="s">
        <v>378</v>
      </c>
      <c r="BE1271" s="3">
        <v>42110</v>
      </c>
      <c r="BF1271" s="1">
        <v>204500</v>
      </c>
      <c r="BG1271" t="s">
        <v>8640</v>
      </c>
      <c r="BH1271" s="1">
        <v>124.54</v>
      </c>
      <c r="BI1271" s="1">
        <v>204500</v>
      </c>
      <c r="BJ1271" s="3">
        <v>42110</v>
      </c>
      <c r="BK1271" t="s">
        <v>123</v>
      </c>
      <c r="BL1271" t="str">
        <f>"2015.263136"</f>
        <v>2015.263136</v>
      </c>
      <c r="BM1271" t="s">
        <v>1287</v>
      </c>
      <c r="BO1271" t="s">
        <v>8641</v>
      </c>
      <c r="BS1271">
        <v>30</v>
      </c>
      <c r="BW1271" t="str">
        <f>""</f>
        <v/>
      </c>
      <c r="CH1271" t="str">
        <f>""</f>
        <v/>
      </c>
      <c r="CS1271" t="str">
        <f>""</f>
        <v/>
      </c>
    </row>
    <row r="1272" spans="1:97" x14ac:dyDescent="0.25">
      <c r="A1272" t="s">
        <v>305</v>
      </c>
      <c r="B1272" t="s">
        <v>8642</v>
      </c>
      <c r="C1272" t="s">
        <v>2395</v>
      </c>
      <c r="D1272" t="s">
        <v>7497</v>
      </c>
      <c r="E1272" t="s">
        <v>8643</v>
      </c>
      <c r="F1272" t="s">
        <v>108</v>
      </c>
      <c r="H1272" t="s">
        <v>8644</v>
      </c>
      <c r="I1272" t="s">
        <v>390</v>
      </c>
      <c r="J1272" t="s">
        <v>111</v>
      </c>
      <c r="K1272" t="str">
        <f>"85023"</f>
        <v>85023</v>
      </c>
      <c r="L1272" t="s">
        <v>6983</v>
      </c>
      <c r="M1272" t="s">
        <v>8644</v>
      </c>
      <c r="N1272" t="s">
        <v>390</v>
      </c>
      <c r="O1272" t="s">
        <v>111</v>
      </c>
      <c r="P1272" t="str">
        <f>"85023-5937"</f>
        <v>85023-5937</v>
      </c>
      <c r="Q1272" t="s">
        <v>113</v>
      </c>
      <c r="R1272" t="str">
        <f>"208-15-742"</f>
        <v>208-15-742</v>
      </c>
      <c r="S1272" t="s">
        <v>8645</v>
      </c>
      <c r="T1272" t="s">
        <v>8646</v>
      </c>
      <c r="U1272">
        <v>2344</v>
      </c>
      <c r="V1272">
        <v>0</v>
      </c>
      <c r="W1272">
        <v>4</v>
      </c>
      <c r="X1272">
        <v>1979</v>
      </c>
      <c r="Z1272">
        <v>2</v>
      </c>
      <c r="AA1272" t="s">
        <v>26</v>
      </c>
      <c r="AB1272">
        <v>0</v>
      </c>
      <c r="AC1272" t="s">
        <v>115</v>
      </c>
      <c r="AD1272">
        <v>2</v>
      </c>
      <c r="AE1272" t="s">
        <v>115</v>
      </c>
      <c r="AF1272">
        <v>0</v>
      </c>
      <c r="AG1272">
        <v>0</v>
      </c>
      <c r="AH1272" t="s">
        <v>116</v>
      </c>
      <c r="AI1272" s="1">
        <v>62246</v>
      </c>
      <c r="AJ1272" s="2">
        <v>0.19</v>
      </c>
      <c r="AK1272" s="1">
        <v>320496</v>
      </c>
      <c r="AL1272" t="s">
        <v>117</v>
      </c>
      <c r="AM1272" t="s">
        <v>171</v>
      </c>
      <c r="AN1272">
        <v>8855</v>
      </c>
      <c r="AO1272">
        <v>0.2</v>
      </c>
      <c r="AP1272">
        <v>1</v>
      </c>
      <c r="AR1272">
        <v>1</v>
      </c>
      <c r="AS1272" s="1">
        <v>23480</v>
      </c>
      <c r="AT1272" s="1">
        <v>4690</v>
      </c>
      <c r="AU1272" s="1">
        <v>18790</v>
      </c>
      <c r="AV1272">
        <v>80.03</v>
      </c>
      <c r="AX1272" s="1">
        <v>1918.26</v>
      </c>
      <c r="AY1272" t="s">
        <v>8647</v>
      </c>
      <c r="AZ1272" t="s">
        <v>8648</v>
      </c>
      <c r="BA1272" t="s">
        <v>8649</v>
      </c>
      <c r="BE1272" s="3">
        <v>42090</v>
      </c>
      <c r="BF1272" s="1">
        <v>261000</v>
      </c>
      <c r="BG1272" t="s">
        <v>8650</v>
      </c>
      <c r="BH1272" s="1">
        <v>111.35</v>
      </c>
      <c r="BI1272" s="1">
        <v>258250</v>
      </c>
      <c r="BJ1272" s="3">
        <v>42090</v>
      </c>
      <c r="BK1272" t="s">
        <v>123</v>
      </c>
      <c r="BL1272" t="str">
        <f>"2015.207675"</f>
        <v>2015.207675</v>
      </c>
      <c r="BM1272" t="s">
        <v>1325</v>
      </c>
      <c r="BO1272" t="s">
        <v>8651</v>
      </c>
      <c r="BP1272" t="s">
        <v>8652</v>
      </c>
      <c r="BS1272">
        <v>30</v>
      </c>
      <c r="BW1272" t="str">
        <f>""</f>
        <v/>
      </c>
      <c r="CH1272" t="str">
        <f>""</f>
        <v/>
      </c>
      <c r="CS1272" t="str">
        <f>""</f>
        <v/>
      </c>
    </row>
    <row r="1273" spans="1:97" x14ac:dyDescent="0.25">
      <c r="A1273" t="s">
        <v>996</v>
      </c>
      <c r="B1273" t="s">
        <v>4527</v>
      </c>
      <c r="C1273" t="s">
        <v>489</v>
      </c>
      <c r="D1273" t="s">
        <v>4527</v>
      </c>
      <c r="E1273" t="s">
        <v>8653</v>
      </c>
      <c r="F1273" t="s">
        <v>108</v>
      </c>
      <c r="H1273" t="s">
        <v>8654</v>
      </c>
      <c r="I1273" t="s">
        <v>203</v>
      </c>
      <c r="J1273" t="s">
        <v>111</v>
      </c>
      <c r="K1273" t="str">
        <f>"85295"</f>
        <v>85295</v>
      </c>
      <c r="L1273" t="s">
        <v>3520</v>
      </c>
      <c r="M1273" t="s">
        <v>8654</v>
      </c>
      <c r="N1273" t="s">
        <v>203</v>
      </c>
      <c r="O1273" t="s">
        <v>111</v>
      </c>
      <c r="P1273" t="str">
        <f>"85295-2770"</f>
        <v>85295-2770</v>
      </c>
      <c r="Q1273" t="s">
        <v>113</v>
      </c>
      <c r="R1273" t="str">
        <f>"313-10-245"</f>
        <v>313-10-245</v>
      </c>
      <c r="S1273" t="s">
        <v>8655</v>
      </c>
      <c r="T1273" t="s">
        <v>8655</v>
      </c>
      <c r="U1273">
        <v>2219</v>
      </c>
      <c r="V1273">
        <v>0</v>
      </c>
      <c r="W1273">
        <v>4</v>
      </c>
      <c r="X1273">
        <v>2012</v>
      </c>
      <c r="Z1273">
        <v>2</v>
      </c>
      <c r="AB1273">
        <v>0</v>
      </c>
      <c r="AC1273" t="s">
        <v>115</v>
      </c>
      <c r="AD1273">
        <v>2</v>
      </c>
      <c r="AE1273" t="s">
        <v>115</v>
      </c>
      <c r="AF1273">
        <v>0</v>
      </c>
      <c r="AG1273">
        <v>0</v>
      </c>
      <c r="AH1273" t="s">
        <v>116</v>
      </c>
      <c r="AI1273" s="1">
        <v>85963</v>
      </c>
      <c r="AJ1273" s="2">
        <v>0.27</v>
      </c>
      <c r="AK1273" s="1">
        <v>319886</v>
      </c>
      <c r="AL1273" t="s">
        <v>117</v>
      </c>
      <c r="AM1273" t="s">
        <v>191</v>
      </c>
      <c r="AN1273">
        <v>4018</v>
      </c>
      <c r="AO1273">
        <v>0.92</v>
      </c>
      <c r="AR1273">
        <v>1</v>
      </c>
      <c r="AS1273" s="1">
        <v>21160</v>
      </c>
      <c r="AT1273" s="1">
        <v>4230</v>
      </c>
      <c r="AU1273" s="1">
        <v>16930</v>
      </c>
      <c r="AV1273">
        <v>80.010000000000005</v>
      </c>
      <c r="AX1273" s="1">
        <v>1692.64</v>
      </c>
      <c r="AY1273" t="s">
        <v>5087</v>
      </c>
      <c r="AZ1273" t="s">
        <v>5087</v>
      </c>
      <c r="BA1273" t="s">
        <v>473</v>
      </c>
      <c r="BE1273" s="3">
        <v>42368</v>
      </c>
      <c r="BF1273" s="1">
        <v>229000</v>
      </c>
      <c r="BG1273" t="s">
        <v>8656</v>
      </c>
      <c r="BH1273" s="1">
        <v>103.2</v>
      </c>
      <c r="BI1273" s="1">
        <v>233923</v>
      </c>
      <c r="BJ1273" s="3">
        <v>42368</v>
      </c>
      <c r="BK1273" t="s">
        <v>123</v>
      </c>
      <c r="BL1273" t="str">
        <f>"2015.917344"</f>
        <v>2015.917344</v>
      </c>
      <c r="BM1273" t="s">
        <v>5867</v>
      </c>
      <c r="BO1273" t="s">
        <v>8657</v>
      </c>
      <c r="BS1273">
        <v>30</v>
      </c>
      <c r="BW1273" t="str">
        <f>""</f>
        <v/>
      </c>
      <c r="CH1273" t="str">
        <f>""</f>
        <v/>
      </c>
      <c r="CS1273" t="str">
        <f>""</f>
        <v/>
      </c>
    </row>
    <row r="1274" spans="1:97" x14ac:dyDescent="0.25">
      <c r="A1274" t="s">
        <v>1514</v>
      </c>
      <c r="B1274" t="s">
        <v>8658</v>
      </c>
      <c r="C1274" t="s">
        <v>1821</v>
      </c>
      <c r="D1274" t="s">
        <v>8658</v>
      </c>
      <c r="E1274" t="s">
        <v>8659</v>
      </c>
      <c r="F1274" t="s">
        <v>108</v>
      </c>
      <c r="H1274" t="s">
        <v>8660</v>
      </c>
      <c r="I1274" t="s">
        <v>225</v>
      </c>
      <c r="J1274" t="s">
        <v>111</v>
      </c>
      <c r="K1274" t="str">
        <f>"85212"</f>
        <v>85212</v>
      </c>
      <c r="L1274" t="s">
        <v>5239</v>
      </c>
      <c r="M1274" t="s">
        <v>8660</v>
      </c>
      <c r="N1274" t="s">
        <v>225</v>
      </c>
      <c r="O1274" t="s">
        <v>111</v>
      </c>
      <c r="P1274" t="str">
        <f>"85212-4123"</f>
        <v>85212-4123</v>
      </c>
      <c r="Q1274" t="s">
        <v>113</v>
      </c>
      <c r="R1274" t="str">
        <f>"304-33-675"</f>
        <v>304-33-675</v>
      </c>
      <c r="S1274" t="s">
        <v>8661</v>
      </c>
      <c r="T1274" t="s">
        <v>8661</v>
      </c>
      <c r="U1274">
        <v>1840</v>
      </c>
      <c r="V1274">
        <v>0</v>
      </c>
      <c r="W1274">
        <v>3</v>
      </c>
      <c r="X1274">
        <v>2001</v>
      </c>
      <c r="Z1274">
        <v>1</v>
      </c>
      <c r="AB1274">
        <v>0</v>
      </c>
      <c r="AC1274" t="s">
        <v>115</v>
      </c>
      <c r="AD1274">
        <v>2</v>
      </c>
      <c r="AE1274" t="s">
        <v>115</v>
      </c>
      <c r="AF1274">
        <v>0</v>
      </c>
      <c r="AG1274">
        <v>0</v>
      </c>
      <c r="AH1274" t="s">
        <v>116</v>
      </c>
      <c r="AI1274" s="1">
        <v>63339</v>
      </c>
      <c r="AJ1274" s="2">
        <v>0.19</v>
      </c>
      <c r="AK1274" s="1">
        <v>333339</v>
      </c>
      <c r="AL1274" t="s">
        <v>117</v>
      </c>
      <c r="AM1274" t="s">
        <v>393</v>
      </c>
      <c r="AN1274">
        <v>10400</v>
      </c>
      <c r="AO1274">
        <v>0.24</v>
      </c>
      <c r="AP1274">
        <v>1</v>
      </c>
      <c r="AR1274">
        <v>1</v>
      </c>
      <c r="AS1274" s="1">
        <v>22610</v>
      </c>
      <c r="AT1274" s="1">
        <v>4520</v>
      </c>
      <c r="AU1274" s="1">
        <v>18090</v>
      </c>
      <c r="AV1274">
        <v>80.010000000000005</v>
      </c>
      <c r="AX1274" s="1">
        <v>1489.78</v>
      </c>
      <c r="AY1274" t="s">
        <v>776</v>
      </c>
      <c r="AZ1274" t="s">
        <v>777</v>
      </c>
      <c r="BA1274" t="s">
        <v>572</v>
      </c>
      <c r="BE1274" s="3">
        <v>42552</v>
      </c>
      <c r="BF1274" s="1">
        <v>270000</v>
      </c>
      <c r="BG1274" t="s">
        <v>8662</v>
      </c>
      <c r="BH1274" s="1">
        <v>146.74</v>
      </c>
      <c r="BI1274" s="1">
        <v>270000</v>
      </c>
      <c r="BJ1274" s="3">
        <v>42552</v>
      </c>
      <c r="BK1274" t="s">
        <v>123</v>
      </c>
      <c r="BL1274" t="str">
        <f>"2016.466986"</f>
        <v>2016.466986</v>
      </c>
      <c r="BM1274" t="s">
        <v>2368</v>
      </c>
      <c r="BO1274" t="s">
        <v>8663</v>
      </c>
      <c r="BS1274">
        <v>30</v>
      </c>
      <c r="BW1274" t="str">
        <f>""</f>
        <v/>
      </c>
      <c r="CH1274" t="str">
        <f>""</f>
        <v/>
      </c>
      <c r="CS1274" t="str">
        <f>""</f>
        <v/>
      </c>
    </row>
    <row r="1275" spans="1:97" x14ac:dyDescent="0.25">
      <c r="A1275" t="s">
        <v>2537</v>
      </c>
      <c r="B1275" t="s">
        <v>8664</v>
      </c>
      <c r="C1275" t="s">
        <v>1959</v>
      </c>
      <c r="D1275" t="s">
        <v>8664</v>
      </c>
      <c r="E1275" t="s">
        <v>8665</v>
      </c>
      <c r="F1275" t="s">
        <v>108</v>
      </c>
      <c r="H1275" t="s">
        <v>8666</v>
      </c>
      <c r="I1275" t="s">
        <v>203</v>
      </c>
      <c r="J1275" t="s">
        <v>111</v>
      </c>
      <c r="K1275" t="str">
        <f>"85296"</f>
        <v>85296</v>
      </c>
      <c r="L1275" t="s">
        <v>8667</v>
      </c>
      <c r="M1275" t="s">
        <v>8666</v>
      </c>
      <c r="N1275" t="s">
        <v>203</v>
      </c>
      <c r="O1275" t="s">
        <v>111</v>
      </c>
      <c r="P1275" t="str">
        <f>"85296-8257"</f>
        <v>85296-8257</v>
      </c>
      <c r="Q1275" t="s">
        <v>113</v>
      </c>
      <c r="R1275" t="str">
        <f>"304-28-420"</f>
        <v>304-28-420</v>
      </c>
      <c r="S1275" t="s">
        <v>8668</v>
      </c>
      <c r="T1275" t="s">
        <v>8669</v>
      </c>
      <c r="U1275">
        <v>1816</v>
      </c>
      <c r="V1275">
        <v>0</v>
      </c>
      <c r="W1275">
        <v>3</v>
      </c>
      <c r="X1275">
        <v>2006</v>
      </c>
      <c r="Z1275">
        <v>2</v>
      </c>
      <c r="AB1275">
        <v>0</v>
      </c>
      <c r="AC1275" t="s">
        <v>115</v>
      </c>
      <c r="AD1275">
        <v>2</v>
      </c>
      <c r="AE1275" t="s">
        <v>115</v>
      </c>
      <c r="AF1275">
        <v>0</v>
      </c>
      <c r="AG1275">
        <v>0</v>
      </c>
      <c r="AH1275" t="s">
        <v>116</v>
      </c>
      <c r="AI1275" s="1">
        <v>-183487</v>
      </c>
      <c r="AJ1275" s="2">
        <v>-0.68</v>
      </c>
      <c r="AK1275" s="1">
        <v>268939</v>
      </c>
      <c r="AL1275" t="s">
        <v>117</v>
      </c>
      <c r="AM1275" t="s">
        <v>288</v>
      </c>
      <c r="AN1275">
        <v>2975</v>
      </c>
      <c r="AO1275">
        <v>0.68</v>
      </c>
      <c r="AR1275">
        <v>1</v>
      </c>
      <c r="AS1275" s="1">
        <v>18480</v>
      </c>
      <c r="AT1275" s="1">
        <v>3690</v>
      </c>
      <c r="AU1275" s="1">
        <v>14790</v>
      </c>
      <c r="AV1275">
        <v>80.03</v>
      </c>
      <c r="AX1275" s="1">
        <v>1419.92</v>
      </c>
      <c r="AY1275" t="s">
        <v>472</v>
      </c>
      <c r="AZ1275" t="s">
        <v>472</v>
      </c>
      <c r="BA1275" t="s">
        <v>473</v>
      </c>
      <c r="BE1275" s="3">
        <v>42298</v>
      </c>
      <c r="BF1275" s="1">
        <v>195000</v>
      </c>
      <c r="BG1275" t="s">
        <v>8670</v>
      </c>
      <c r="BH1275" s="1">
        <v>107.38</v>
      </c>
      <c r="BI1275" s="1">
        <v>226213</v>
      </c>
      <c r="BJ1275" s="3">
        <v>43307</v>
      </c>
      <c r="BK1275" t="s">
        <v>134</v>
      </c>
      <c r="BL1275" t="str">
        <f>"2018.565885"</f>
        <v>2018.565885</v>
      </c>
      <c r="BM1275" t="s">
        <v>8671</v>
      </c>
      <c r="BN1275" t="s">
        <v>8672</v>
      </c>
      <c r="BO1275" t="s">
        <v>8673</v>
      </c>
      <c r="BP1275" t="s">
        <v>8674</v>
      </c>
      <c r="BR1275" t="s">
        <v>139</v>
      </c>
      <c r="BT1275" s="1">
        <v>226213</v>
      </c>
      <c r="BU1275" s="3">
        <v>43313</v>
      </c>
      <c r="BV1275" t="s">
        <v>123</v>
      </c>
      <c r="BW1275" t="str">
        <f>"2018.582663"</f>
        <v>2018.582663</v>
      </c>
      <c r="BX1275" t="s">
        <v>8671</v>
      </c>
      <c r="BY1275" t="s">
        <v>8672</v>
      </c>
      <c r="BZ1275" t="s">
        <v>8673</v>
      </c>
      <c r="CA1275" t="s">
        <v>8674</v>
      </c>
      <c r="CC1275" t="s">
        <v>139</v>
      </c>
      <c r="CH1275" t="str">
        <f>""</f>
        <v/>
      </c>
      <c r="CS1275" t="str">
        <f>""</f>
        <v/>
      </c>
    </row>
    <row r="1276" spans="1:97" x14ac:dyDescent="0.25">
      <c r="A1276" t="s">
        <v>894</v>
      </c>
      <c r="B1276" t="s">
        <v>3333</v>
      </c>
      <c r="C1276" t="s">
        <v>8675</v>
      </c>
      <c r="D1276" t="s">
        <v>3333</v>
      </c>
      <c r="E1276" t="s">
        <v>8676</v>
      </c>
      <c r="F1276" t="s">
        <v>108</v>
      </c>
      <c r="H1276" t="s">
        <v>8677</v>
      </c>
      <c r="I1276" t="s">
        <v>2874</v>
      </c>
      <c r="J1276" t="s">
        <v>111</v>
      </c>
      <c r="K1276" t="str">
        <f>"85302"</f>
        <v>85302</v>
      </c>
      <c r="L1276" t="s">
        <v>5209</v>
      </c>
      <c r="M1276" t="s">
        <v>8677</v>
      </c>
      <c r="N1276" t="s">
        <v>2874</v>
      </c>
      <c r="O1276" t="s">
        <v>111</v>
      </c>
      <c r="P1276" t="str">
        <f>"85302-2308"</f>
        <v>85302-2308</v>
      </c>
      <c r="Q1276" t="s">
        <v>113</v>
      </c>
      <c r="R1276" t="str">
        <f>"148-24-070"</f>
        <v>148-24-070</v>
      </c>
      <c r="S1276" t="s">
        <v>8678</v>
      </c>
      <c r="T1276" t="s">
        <v>8679</v>
      </c>
      <c r="U1276">
        <v>2451</v>
      </c>
      <c r="V1276">
        <v>0</v>
      </c>
      <c r="W1276">
        <v>3</v>
      </c>
      <c r="X1276">
        <v>1977</v>
      </c>
      <c r="Z1276">
        <v>2</v>
      </c>
      <c r="AA1276" t="s">
        <v>26</v>
      </c>
      <c r="AB1276">
        <v>0</v>
      </c>
      <c r="AC1276" t="s">
        <v>115</v>
      </c>
      <c r="AD1276">
        <v>2</v>
      </c>
      <c r="AE1276" t="s">
        <v>115</v>
      </c>
      <c r="AF1276">
        <v>0</v>
      </c>
      <c r="AG1276">
        <v>0</v>
      </c>
      <c r="AH1276" t="s">
        <v>116</v>
      </c>
      <c r="AI1276" s="1">
        <v>67195</v>
      </c>
      <c r="AJ1276" s="2">
        <v>0.23</v>
      </c>
      <c r="AK1276" s="1">
        <v>287195</v>
      </c>
      <c r="AL1276" t="s">
        <v>117</v>
      </c>
      <c r="AM1276" t="s">
        <v>191</v>
      </c>
      <c r="AN1276">
        <v>7079</v>
      </c>
      <c r="AO1276">
        <v>0.16</v>
      </c>
      <c r="AP1276">
        <v>1</v>
      </c>
      <c r="AR1276">
        <v>1</v>
      </c>
      <c r="AS1276" s="1">
        <v>19000</v>
      </c>
      <c r="AT1276" s="1">
        <v>3800</v>
      </c>
      <c r="AU1276" s="1">
        <v>15200</v>
      </c>
      <c r="AV1276">
        <v>80</v>
      </c>
      <c r="AX1276" s="1">
        <v>1445.02</v>
      </c>
      <c r="AY1276" t="s">
        <v>8680</v>
      </c>
      <c r="AZ1276" t="s">
        <v>8680</v>
      </c>
      <c r="BA1276" t="s">
        <v>8681</v>
      </c>
      <c r="BE1276" s="3">
        <v>42328</v>
      </c>
      <c r="BF1276" s="1">
        <v>220000</v>
      </c>
      <c r="BG1276" t="s">
        <v>8682</v>
      </c>
      <c r="BH1276" s="1">
        <v>89.65</v>
      </c>
      <c r="BI1276" s="1">
        <v>220000</v>
      </c>
      <c r="BJ1276" s="3">
        <v>42328</v>
      </c>
      <c r="BK1276" t="s">
        <v>123</v>
      </c>
      <c r="BL1276" t="str">
        <f>"2015.832412"</f>
        <v>2015.832412</v>
      </c>
      <c r="BM1276" t="s">
        <v>8213</v>
      </c>
      <c r="BO1276" t="s">
        <v>8683</v>
      </c>
      <c r="BS1276">
        <v>30</v>
      </c>
      <c r="BW1276" t="str">
        <f>""</f>
        <v/>
      </c>
      <c r="CH1276" t="str">
        <f>""</f>
        <v/>
      </c>
      <c r="CS1276" t="str">
        <f>""</f>
        <v/>
      </c>
    </row>
    <row r="1277" spans="1:97" x14ac:dyDescent="0.25">
      <c r="A1277" t="s">
        <v>1354</v>
      </c>
      <c r="B1277" t="s">
        <v>5205</v>
      </c>
      <c r="C1277" t="s">
        <v>8684</v>
      </c>
      <c r="D1277" t="s">
        <v>4197</v>
      </c>
      <c r="E1277" t="s">
        <v>8685</v>
      </c>
      <c r="F1277" t="s">
        <v>108</v>
      </c>
      <c r="H1277" t="s">
        <v>8686</v>
      </c>
      <c r="I1277" t="s">
        <v>390</v>
      </c>
      <c r="J1277" t="s">
        <v>111</v>
      </c>
      <c r="K1277" t="str">
        <f>"85014"</f>
        <v>85014</v>
      </c>
      <c r="L1277" t="s">
        <v>6691</v>
      </c>
      <c r="M1277" t="s">
        <v>8686</v>
      </c>
      <c r="N1277" t="s">
        <v>390</v>
      </c>
      <c r="O1277" t="s">
        <v>111</v>
      </c>
      <c r="P1277" t="str">
        <f>"85014-5035"</f>
        <v>85014-5035</v>
      </c>
      <c r="Q1277" t="s">
        <v>113</v>
      </c>
      <c r="R1277" t="str">
        <f>"118-06-038"</f>
        <v>118-06-038</v>
      </c>
      <c r="S1277" t="s">
        <v>8687</v>
      </c>
      <c r="T1277" t="s">
        <v>8687</v>
      </c>
      <c r="U1277">
        <v>1310</v>
      </c>
      <c r="V1277">
        <v>0</v>
      </c>
      <c r="W1277">
        <v>2</v>
      </c>
      <c r="X1277">
        <v>1925</v>
      </c>
      <c r="Z1277">
        <v>1</v>
      </c>
      <c r="AB1277">
        <v>0</v>
      </c>
      <c r="AC1277" t="s">
        <v>5188</v>
      </c>
      <c r="AD1277">
        <v>1</v>
      </c>
      <c r="AE1277" t="s">
        <v>5188</v>
      </c>
      <c r="AF1277">
        <v>0</v>
      </c>
      <c r="AG1277">
        <v>0</v>
      </c>
      <c r="AH1277" t="s">
        <v>116</v>
      </c>
      <c r="AI1277" s="1">
        <v>85982</v>
      </c>
      <c r="AJ1277" s="2">
        <v>0.28999999999999998</v>
      </c>
      <c r="AK1277" s="1">
        <v>296457</v>
      </c>
      <c r="AL1277" t="s">
        <v>117</v>
      </c>
      <c r="AM1277" t="s">
        <v>191</v>
      </c>
      <c r="AN1277">
        <v>6125</v>
      </c>
      <c r="AO1277">
        <v>0.14000000000000001</v>
      </c>
      <c r="AP1277">
        <v>1</v>
      </c>
      <c r="AR1277">
        <v>1</v>
      </c>
      <c r="AS1277" s="1">
        <v>19060</v>
      </c>
      <c r="AT1277" s="1">
        <v>3810</v>
      </c>
      <c r="AU1277" s="1">
        <v>15250</v>
      </c>
      <c r="AV1277">
        <v>80.010000000000005</v>
      </c>
      <c r="AX1277" s="1">
        <v>1682.04</v>
      </c>
      <c r="AY1277" t="s">
        <v>5689</v>
      </c>
      <c r="AZ1277" t="s">
        <v>5690</v>
      </c>
      <c r="BA1277" t="s">
        <v>8412</v>
      </c>
      <c r="BE1277" s="3">
        <v>42192</v>
      </c>
      <c r="BF1277" s="1">
        <v>210000</v>
      </c>
      <c r="BG1277" t="s">
        <v>8688</v>
      </c>
      <c r="BH1277" s="1">
        <v>160.31</v>
      </c>
      <c r="BI1277" s="1">
        <v>210475</v>
      </c>
      <c r="BJ1277" s="3">
        <v>42460</v>
      </c>
      <c r="BK1277" t="s">
        <v>123</v>
      </c>
      <c r="BL1277" t="str">
        <f>"2016.212862"</f>
        <v>2016.212862</v>
      </c>
      <c r="BM1277" t="s">
        <v>4919</v>
      </c>
      <c r="BO1277" t="s">
        <v>8689</v>
      </c>
      <c r="BP1277" t="s">
        <v>8690</v>
      </c>
      <c r="BS1277">
        <v>30</v>
      </c>
      <c r="BW1277" t="str">
        <f>""</f>
        <v/>
      </c>
      <c r="CH1277" t="str">
        <f>""</f>
        <v/>
      </c>
      <c r="CS1277" t="str">
        <f>""</f>
        <v/>
      </c>
    </row>
    <row r="1278" spans="1:97" x14ac:dyDescent="0.25">
      <c r="A1278" t="s">
        <v>3221</v>
      </c>
      <c r="B1278" t="s">
        <v>1208</v>
      </c>
      <c r="E1278" t="s">
        <v>8691</v>
      </c>
      <c r="F1278" t="s">
        <v>108</v>
      </c>
      <c r="H1278" t="s">
        <v>8692</v>
      </c>
      <c r="I1278" t="s">
        <v>5114</v>
      </c>
      <c r="J1278" t="s">
        <v>111</v>
      </c>
      <c r="K1278" t="str">
        <f>"85392"</f>
        <v>85392</v>
      </c>
      <c r="L1278" t="s">
        <v>6964</v>
      </c>
      <c r="M1278" t="s">
        <v>8692</v>
      </c>
      <c r="N1278" t="s">
        <v>5114</v>
      </c>
      <c r="O1278" t="s">
        <v>111</v>
      </c>
      <c r="P1278" t="str">
        <f>"85392-7027"</f>
        <v>85392-7027</v>
      </c>
      <c r="Q1278" t="s">
        <v>113</v>
      </c>
      <c r="R1278" t="str">
        <f>"501-90-449"</f>
        <v>501-90-449</v>
      </c>
      <c r="S1278" t="s">
        <v>8693</v>
      </c>
      <c r="U1278">
        <v>1716</v>
      </c>
      <c r="V1278">
        <v>0</v>
      </c>
      <c r="W1278">
        <v>3</v>
      </c>
      <c r="X1278">
        <v>1998</v>
      </c>
      <c r="Z1278">
        <v>1</v>
      </c>
      <c r="AB1278">
        <v>0</v>
      </c>
      <c r="AC1278" t="s">
        <v>115</v>
      </c>
      <c r="AD1278">
        <v>2</v>
      </c>
      <c r="AE1278" t="s">
        <v>115</v>
      </c>
      <c r="AF1278">
        <v>0</v>
      </c>
      <c r="AG1278">
        <v>0</v>
      </c>
      <c r="AH1278" t="s">
        <v>116</v>
      </c>
      <c r="AI1278" s="1">
        <v>48136</v>
      </c>
      <c r="AJ1278" s="2">
        <v>0.19</v>
      </c>
      <c r="AK1278" s="1">
        <v>250601</v>
      </c>
      <c r="AL1278" t="s">
        <v>117</v>
      </c>
      <c r="AM1278" t="s">
        <v>118</v>
      </c>
      <c r="AN1278">
        <v>6050</v>
      </c>
      <c r="AO1278">
        <v>0.14000000000000001</v>
      </c>
      <c r="AP1278">
        <v>1</v>
      </c>
      <c r="AR1278">
        <v>1</v>
      </c>
      <c r="AS1278" s="1">
        <v>16500</v>
      </c>
      <c r="AT1278" s="1">
        <v>3300</v>
      </c>
      <c r="AU1278" s="1">
        <v>13200</v>
      </c>
      <c r="AV1278">
        <v>80</v>
      </c>
      <c r="AX1278" s="1">
        <v>1175.8599999999999</v>
      </c>
      <c r="AY1278" t="s">
        <v>7636</v>
      </c>
      <c r="AZ1278" t="s">
        <v>6701</v>
      </c>
      <c r="BA1278" t="s">
        <v>6702</v>
      </c>
      <c r="BE1278" s="3">
        <v>42282</v>
      </c>
      <c r="BF1278" s="1">
        <v>192000</v>
      </c>
      <c r="BG1278" t="s">
        <v>8694</v>
      </c>
      <c r="BH1278" s="1">
        <v>111.89</v>
      </c>
      <c r="BI1278" s="1">
        <v>202465</v>
      </c>
      <c r="BJ1278" s="3">
        <v>42458</v>
      </c>
      <c r="BK1278" t="s">
        <v>123</v>
      </c>
      <c r="BL1278" t="str">
        <f>"2016.200046"</f>
        <v>2016.200046</v>
      </c>
      <c r="BM1278" t="s">
        <v>2117</v>
      </c>
      <c r="BO1278" t="s">
        <v>8695</v>
      </c>
      <c r="BS1278">
        <v>30</v>
      </c>
      <c r="BW1278" t="str">
        <f>""</f>
        <v/>
      </c>
      <c r="CH1278" t="str">
        <f>""</f>
        <v/>
      </c>
      <c r="CS1278" t="str">
        <f>""</f>
        <v/>
      </c>
    </row>
    <row r="1279" spans="1:97" x14ac:dyDescent="0.25">
      <c r="A1279" t="s">
        <v>996</v>
      </c>
      <c r="B1279" t="s">
        <v>8696</v>
      </c>
      <c r="E1279" t="s">
        <v>8697</v>
      </c>
      <c r="F1279" t="s">
        <v>108</v>
      </c>
      <c r="H1279" t="s">
        <v>8698</v>
      </c>
      <c r="I1279" t="s">
        <v>390</v>
      </c>
      <c r="J1279" t="s">
        <v>111</v>
      </c>
      <c r="K1279" t="str">
        <f>"85050"</f>
        <v>85050</v>
      </c>
      <c r="L1279" t="s">
        <v>6112</v>
      </c>
      <c r="M1279" t="s">
        <v>8698</v>
      </c>
      <c r="N1279" t="s">
        <v>390</v>
      </c>
      <c r="O1279" t="s">
        <v>111</v>
      </c>
      <c r="P1279" t="str">
        <f>"85050-4815"</f>
        <v>85050-4815</v>
      </c>
      <c r="Q1279" t="s">
        <v>113</v>
      </c>
      <c r="R1279" t="str">
        <f>"213-13-145"</f>
        <v>213-13-145</v>
      </c>
      <c r="S1279" t="s">
        <v>8699</v>
      </c>
      <c r="T1279" t="s">
        <v>8699</v>
      </c>
      <c r="U1279">
        <v>1356</v>
      </c>
      <c r="V1279">
        <v>0</v>
      </c>
      <c r="W1279">
        <v>3</v>
      </c>
      <c r="X1279">
        <v>1996</v>
      </c>
      <c r="Z1279">
        <v>1</v>
      </c>
      <c r="AB1279">
        <v>0</v>
      </c>
      <c r="AC1279" t="s">
        <v>115</v>
      </c>
      <c r="AD1279">
        <v>2</v>
      </c>
      <c r="AE1279" t="s">
        <v>115</v>
      </c>
      <c r="AF1279">
        <v>0</v>
      </c>
      <c r="AG1279">
        <v>0</v>
      </c>
      <c r="AH1279" t="s">
        <v>116</v>
      </c>
      <c r="AI1279" s="1">
        <v>65046</v>
      </c>
      <c r="AJ1279" s="2">
        <v>0.22</v>
      </c>
      <c r="AK1279" s="1">
        <v>295394</v>
      </c>
      <c r="AL1279" t="s">
        <v>117</v>
      </c>
      <c r="AM1279" t="s">
        <v>1315</v>
      </c>
      <c r="AN1279">
        <v>4766</v>
      </c>
      <c r="AO1279">
        <v>0.11</v>
      </c>
      <c r="AP1279">
        <v>1</v>
      </c>
      <c r="AR1279">
        <v>1</v>
      </c>
      <c r="AS1279" s="1">
        <v>20320</v>
      </c>
      <c r="AT1279" s="1">
        <v>4060</v>
      </c>
      <c r="AU1279" s="1">
        <v>16260</v>
      </c>
      <c r="AV1279">
        <v>80.02</v>
      </c>
      <c r="AX1279" s="1">
        <v>1697.22</v>
      </c>
      <c r="AY1279" t="s">
        <v>8037</v>
      </c>
      <c r="AZ1279" t="s">
        <v>2550</v>
      </c>
      <c r="BA1279" t="s">
        <v>762</v>
      </c>
      <c r="BE1279" s="3">
        <v>41977</v>
      </c>
      <c r="BF1279" s="1">
        <v>225500</v>
      </c>
      <c r="BG1279" t="s">
        <v>8700</v>
      </c>
      <c r="BH1279" s="1">
        <v>166.3</v>
      </c>
      <c r="BI1279" s="1">
        <v>230348</v>
      </c>
      <c r="BJ1279" s="3">
        <v>41977</v>
      </c>
      <c r="BK1279" t="s">
        <v>123</v>
      </c>
      <c r="BL1279" t="str">
        <f>"2014.797938"</f>
        <v>2014.797938</v>
      </c>
      <c r="BM1279" t="s">
        <v>724</v>
      </c>
      <c r="BO1279" t="s">
        <v>8701</v>
      </c>
      <c r="BS1279">
        <v>30</v>
      </c>
      <c r="BW1279" t="str">
        <f>""</f>
        <v/>
      </c>
      <c r="CH1279" t="str">
        <f>""</f>
        <v/>
      </c>
      <c r="CS1279" t="str">
        <f>""</f>
        <v/>
      </c>
    </row>
    <row r="1280" spans="1:97" x14ac:dyDescent="0.25">
      <c r="A1280" t="s">
        <v>8702</v>
      </c>
      <c r="B1280" t="s">
        <v>8703</v>
      </c>
      <c r="C1280" t="s">
        <v>8704</v>
      </c>
      <c r="D1280" t="s">
        <v>8703</v>
      </c>
      <c r="E1280" t="s">
        <v>8705</v>
      </c>
      <c r="F1280" t="s">
        <v>108</v>
      </c>
      <c r="H1280" t="s">
        <v>8706</v>
      </c>
      <c r="I1280" t="s">
        <v>225</v>
      </c>
      <c r="J1280" t="s">
        <v>111</v>
      </c>
      <c r="K1280" t="str">
        <f>"85207"</f>
        <v>85207</v>
      </c>
      <c r="L1280" t="s">
        <v>5775</v>
      </c>
      <c r="M1280" t="s">
        <v>8706</v>
      </c>
      <c r="N1280" t="s">
        <v>225</v>
      </c>
      <c r="O1280" t="s">
        <v>111</v>
      </c>
      <c r="P1280" t="str">
        <f>"85207-7280"</f>
        <v>85207-7280</v>
      </c>
      <c r="Q1280" t="s">
        <v>113</v>
      </c>
      <c r="R1280" t="str">
        <f>"220-43-105"</f>
        <v>220-43-105</v>
      </c>
      <c r="S1280" t="s">
        <v>6571</v>
      </c>
      <c r="T1280" t="s">
        <v>6571</v>
      </c>
      <c r="U1280">
        <v>1424</v>
      </c>
      <c r="V1280">
        <v>0</v>
      </c>
      <c r="W1280">
        <v>2</v>
      </c>
      <c r="X1280">
        <v>2015</v>
      </c>
      <c r="Z1280">
        <v>1</v>
      </c>
      <c r="AB1280">
        <v>0</v>
      </c>
      <c r="AC1280" t="s">
        <v>115</v>
      </c>
      <c r="AD1280">
        <v>2</v>
      </c>
      <c r="AE1280" t="s">
        <v>115</v>
      </c>
      <c r="AF1280">
        <v>0</v>
      </c>
      <c r="AG1280">
        <v>0</v>
      </c>
      <c r="AH1280" t="s">
        <v>116</v>
      </c>
      <c r="AI1280" s="1">
        <v>48697</v>
      </c>
      <c r="AJ1280" s="2">
        <v>0.18</v>
      </c>
      <c r="AK1280" s="1">
        <v>270500</v>
      </c>
      <c r="AL1280" t="s">
        <v>117</v>
      </c>
      <c r="AM1280" t="s">
        <v>393</v>
      </c>
      <c r="AN1280">
        <v>5307</v>
      </c>
      <c r="AO1280">
        <v>0.12</v>
      </c>
      <c r="AR1280">
        <v>1</v>
      </c>
      <c r="AS1280" s="1">
        <v>18860</v>
      </c>
      <c r="AT1280" s="1">
        <v>3770</v>
      </c>
      <c r="AU1280" s="1">
        <v>15090</v>
      </c>
      <c r="AV1280">
        <v>80.010000000000005</v>
      </c>
      <c r="AX1280" s="1">
        <v>1292.6400000000001</v>
      </c>
      <c r="AY1280" t="s">
        <v>6572</v>
      </c>
      <c r="AZ1280" t="s">
        <v>3761</v>
      </c>
      <c r="BA1280" t="s">
        <v>232</v>
      </c>
      <c r="BB1280" s="3">
        <v>42702</v>
      </c>
      <c r="BD1280" t="s">
        <v>458</v>
      </c>
      <c r="BE1280" s="3">
        <v>42360</v>
      </c>
      <c r="BF1280" s="1">
        <v>205000</v>
      </c>
      <c r="BG1280" t="s">
        <v>6573</v>
      </c>
      <c r="BH1280" s="1">
        <v>143.96</v>
      </c>
      <c r="BI1280" s="1">
        <v>221803</v>
      </c>
      <c r="BJ1280" s="3">
        <v>42702</v>
      </c>
      <c r="BK1280" t="s">
        <v>123</v>
      </c>
      <c r="BL1280" t="str">
        <f>"2016.869780"</f>
        <v>2016.869780</v>
      </c>
      <c r="BM1280" t="s">
        <v>673</v>
      </c>
      <c r="BO1280" t="s">
        <v>8707</v>
      </c>
      <c r="BS1280">
        <v>30</v>
      </c>
      <c r="BW1280" t="str">
        <f>""</f>
        <v/>
      </c>
      <c r="CH1280" t="str">
        <f>""</f>
        <v/>
      </c>
      <c r="CS1280" t="str">
        <f>""</f>
        <v/>
      </c>
    </row>
    <row r="1281" spans="1:97" x14ac:dyDescent="0.25">
      <c r="A1281" t="s">
        <v>177</v>
      </c>
      <c r="B1281" t="s">
        <v>8708</v>
      </c>
      <c r="C1281" t="s">
        <v>2719</v>
      </c>
      <c r="D1281" t="s">
        <v>8708</v>
      </c>
      <c r="E1281" t="s">
        <v>8709</v>
      </c>
      <c r="F1281" t="s">
        <v>108</v>
      </c>
      <c r="H1281" t="s">
        <v>8710</v>
      </c>
      <c r="I1281" t="s">
        <v>1788</v>
      </c>
      <c r="J1281" t="s">
        <v>111</v>
      </c>
      <c r="K1281" t="str">
        <f>"85355"</f>
        <v>85355</v>
      </c>
      <c r="L1281" t="s">
        <v>168</v>
      </c>
      <c r="M1281" t="s">
        <v>8710</v>
      </c>
      <c r="N1281" t="s">
        <v>1788</v>
      </c>
      <c r="O1281" t="s">
        <v>111</v>
      </c>
      <c r="P1281" t="str">
        <f>"85355-4323"</f>
        <v>85355-4323</v>
      </c>
      <c r="Q1281" t="s">
        <v>113</v>
      </c>
      <c r="R1281" t="str">
        <f>"502-90-834"</f>
        <v>502-90-834</v>
      </c>
      <c r="S1281" t="s">
        <v>8290</v>
      </c>
      <c r="T1281" t="s">
        <v>8290</v>
      </c>
      <c r="U1281">
        <v>1888</v>
      </c>
      <c r="V1281">
        <v>0</v>
      </c>
      <c r="W1281">
        <v>3</v>
      </c>
      <c r="X1281">
        <v>2013</v>
      </c>
      <c r="Z1281">
        <v>1</v>
      </c>
      <c r="AB1281">
        <v>0</v>
      </c>
      <c r="AC1281" t="s">
        <v>115</v>
      </c>
      <c r="AD1281">
        <v>2</v>
      </c>
      <c r="AE1281" t="s">
        <v>115</v>
      </c>
      <c r="AF1281">
        <v>0</v>
      </c>
      <c r="AG1281">
        <v>0</v>
      </c>
      <c r="AH1281" t="s">
        <v>116</v>
      </c>
      <c r="AI1281" s="1">
        <v>59593</v>
      </c>
      <c r="AJ1281" s="2">
        <v>0.21</v>
      </c>
      <c r="AK1281" s="1">
        <v>279593</v>
      </c>
      <c r="AL1281" t="s">
        <v>117</v>
      </c>
      <c r="AM1281" t="s">
        <v>191</v>
      </c>
      <c r="AN1281">
        <v>7015</v>
      </c>
      <c r="AO1281">
        <v>0.16</v>
      </c>
      <c r="AR1281">
        <v>1</v>
      </c>
      <c r="AS1281" s="1">
        <v>19870</v>
      </c>
      <c r="AT1281" s="1">
        <v>3970</v>
      </c>
      <c r="AU1281" s="1">
        <v>15900</v>
      </c>
      <c r="AV1281">
        <v>80.02</v>
      </c>
      <c r="AX1281" s="1">
        <v>1314.26</v>
      </c>
      <c r="AY1281" t="s">
        <v>5972</v>
      </c>
      <c r="AZ1281" t="s">
        <v>5972</v>
      </c>
      <c r="BA1281" t="s">
        <v>5061</v>
      </c>
      <c r="BE1281" s="3">
        <v>42384</v>
      </c>
      <c r="BF1281" s="1">
        <v>220000</v>
      </c>
      <c r="BG1281" t="s">
        <v>8711</v>
      </c>
      <c r="BH1281" s="1">
        <v>116.53</v>
      </c>
      <c r="BI1281" s="1">
        <v>220000</v>
      </c>
      <c r="BJ1281" s="3">
        <v>42384</v>
      </c>
      <c r="BK1281" t="s">
        <v>123</v>
      </c>
      <c r="BL1281" t="str">
        <f>"2016.30221"</f>
        <v>2016.30221</v>
      </c>
      <c r="BM1281" t="s">
        <v>5534</v>
      </c>
      <c r="BO1281" t="s">
        <v>8712</v>
      </c>
      <c r="BS1281">
        <v>30</v>
      </c>
      <c r="BW1281" t="str">
        <f>""</f>
        <v/>
      </c>
      <c r="CH1281" t="str">
        <f>""</f>
        <v/>
      </c>
      <c r="CS1281" t="str">
        <f>""</f>
        <v/>
      </c>
    </row>
    <row r="1282" spans="1:97" x14ac:dyDescent="0.25">
      <c r="A1282" t="s">
        <v>464</v>
      </c>
      <c r="B1282" t="s">
        <v>8713</v>
      </c>
      <c r="C1282" t="s">
        <v>8714</v>
      </c>
      <c r="D1282" t="s">
        <v>8713</v>
      </c>
      <c r="E1282" t="s">
        <v>8715</v>
      </c>
      <c r="F1282" t="s">
        <v>108</v>
      </c>
      <c r="H1282" t="s">
        <v>8716</v>
      </c>
      <c r="I1282" t="s">
        <v>632</v>
      </c>
      <c r="J1282" t="s">
        <v>111</v>
      </c>
      <c r="K1282" t="str">
        <f>"85379"</f>
        <v>85379</v>
      </c>
      <c r="L1282" t="s">
        <v>6308</v>
      </c>
      <c r="M1282" t="s">
        <v>8716</v>
      </c>
      <c r="N1282" t="s">
        <v>632</v>
      </c>
      <c r="O1282" t="s">
        <v>111</v>
      </c>
      <c r="P1282" t="str">
        <f>"85379-8637"</f>
        <v>85379-8637</v>
      </c>
      <c r="Q1282" t="s">
        <v>113</v>
      </c>
      <c r="R1282" t="str">
        <f>"509-17-061"</f>
        <v>509-17-061</v>
      </c>
      <c r="S1282" t="s">
        <v>7219</v>
      </c>
      <c r="U1282">
        <v>1930</v>
      </c>
      <c r="V1282">
        <v>0</v>
      </c>
      <c r="W1282">
        <v>3</v>
      </c>
      <c r="X1282">
        <v>2005</v>
      </c>
      <c r="Z1282">
        <v>1</v>
      </c>
      <c r="AA1282" t="s">
        <v>26</v>
      </c>
      <c r="AB1282">
        <v>0</v>
      </c>
      <c r="AC1282" t="s">
        <v>115</v>
      </c>
      <c r="AD1282">
        <v>2</v>
      </c>
      <c r="AE1282" t="s">
        <v>115</v>
      </c>
      <c r="AF1282">
        <v>0</v>
      </c>
      <c r="AG1282">
        <v>0</v>
      </c>
      <c r="AH1282" t="s">
        <v>116</v>
      </c>
      <c r="AI1282" s="1">
        <v>56086</v>
      </c>
      <c r="AJ1282" s="2">
        <v>0.2</v>
      </c>
      <c r="AK1282" s="1">
        <v>275786</v>
      </c>
      <c r="AL1282" t="s">
        <v>117</v>
      </c>
      <c r="AM1282" t="s">
        <v>118</v>
      </c>
      <c r="AN1282">
        <v>6670</v>
      </c>
      <c r="AO1282">
        <v>0.15</v>
      </c>
      <c r="AR1282">
        <v>1</v>
      </c>
      <c r="AS1282" s="1">
        <v>19330</v>
      </c>
      <c r="AT1282" s="1">
        <v>3860</v>
      </c>
      <c r="AU1282" s="1">
        <v>15470</v>
      </c>
      <c r="AV1282">
        <v>80.03</v>
      </c>
      <c r="AX1282" s="1">
        <v>1397.04</v>
      </c>
      <c r="AY1282" t="s">
        <v>634</v>
      </c>
      <c r="AZ1282" t="s">
        <v>634</v>
      </c>
      <c r="BA1282" t="s">
        <v>321</v>
      </c>
      <c r="BE1282" s="3">
        <v>41844</v>
      </c>
      <c r="BF1282" s="1">
        <v>195000</v>
      </c>
      <c r="BG1282" t="s">
        <v>8717</v>
      </c>
      <c r="BH1282" s="1">
        <v>101.04</v>
      </c>
      <c r="BI1282" s="1">
        <v>219700</v>
      </c>
      <c r="BJ1282" s="3">
        <v>42961</v>
      </c>
      <c r="BK1282" t="s">
        <v>123</v>
      </c>
      <c r="BL1282" t="str">
        <f>"2017.597462"</f>
        <v>2017.597462</v>
      </c>
      <c r="BM1282" t="s">
        <v>8528</v>
      </c>
      <c r="BO1282" t="s">
        <v>8718</v>
      </c>
      <c r="BS1282">
        <v>30</v>
      </c>
      <c r="BW1282" t="str">
        <f>""</f>
        <v/>
      </c>
      <c r="CH1282" t="str">
        <f>""</f>
        <v/>
      </c>
      <c r="CS1282" t="str">
        <f>""</f>
        <v/>
      </c>
    </row>
    <row r="1283" spans="1:97" x14ac:dyDescent="0.25">
      <c r="A1283" t="s">
        <v>8719</v>
      </c>
      <c r="B1283" t="s">
        <v>565</v>
      </c>
      <c r="C1283" t="s">
        <v>3091</v>
      </c>
      <c r="D1283" t="s">
        <v>565</v>
      </c>
      <c r="E1283" t="s">
        <v>8720</v>
      </c>
      <c r="F1283" t="s">
        <v>108</v>
      </c>
      <c r="H1283" t="s">
        <v>8721</v>
      </c>
      <c r="I1283" t="s">
        <v>167</v>
      </c>
      <c r="J1283" t="s">
        <v>111</v>
      </c>
      <c r="K1283" t="str">
        <f>"85339"</f>
        <v>85339</v>
      </c>
      <c r="L1283" t="s">
        <v>2765</v>
      </c>
      <c r="M1283" t="s">
        <v>8721</v>
      </c>
      <c r="N1283" t="s">
        <v>167</v>
      </c>
      <c r="O1283" t="s">
        <v>111</v>
      </c>
      <c r="P1283" t="str">
        <f>"85339-2548"</f>
        <v>85339-2548</v>
      </c>
      <c r="Q1283" t="s">
        <v>113</v>
      </c>
      <c r="R1283" t="str">
        <f>"300-14-755"</f>
        <v>300-14-755</v>
      </c>
      <c r="S1283" t="s">
        <v>8158</v>
      </c>
      <c r="T1283" t="s">
        <v>8158</v>
      </c>
      <c r="U1283">
        <v>2522</v>
      </c>
      <c r="V1283">
        <v>0</v>
      </c>
      <c r="W1283">
        <v>3</v>
      </c>
      <c r="X1283">
        <v>2014</v>
      </c>
      <c r="Z1283">
        <v>1</v>
      </c>
      <c r="AB1283">
        <v>0</v>
      </c>
      <c r="AC1283" t="s">
        <v>115</v>
      </c>
      <c r="AD1283">
        <v>3</v>
      </c>
      <c r="AE1283" t="s">
        <v>115</v>
      </c>
      <c r="AF1283">
        <v>0</v>
      </c>
      <c r="AG1283">
        <v>0</v>
      </c>
      <c r="AH1283" t="s">
        <v>116</v>
      </c>
      <c r="AI1283" s="1">
        <v>66736</v>
      </c>
      <c r="AJ1283" s="2">
        <v>0.2</v>
      </c>
      <c r="AK1283" s="1">
        <v>331434</v>
      </c>
      <c r="AL1283" t="s">
        <v>117</v>
      </c>
      <c r="AM1283" t="s">
        <v>191</v>
      </c>
      <c r="AN1283">
        <v>6943</v>
      </c>
      <c r="AO1283">
        <v>0.16</v>
      </c>
      <c r="AR1283">
        <v>1</v>
      </c>
      <c r="AS1283" s="1">
        <v>24810</v>
      </c>
      <c r="AT1283" s="1">
        <v>4960</v>
      </c>
      <c r="AU1283" s="1">
        <v>19850</v>
      </c>
      <c r="AV1283">
        <v>80.010000000000005</v>
      </c>
      <c r="AX1283" s="1">
        <v>3370.2</v>
      </c>
      <c r="AY1283" t="s">
        <v>8159</v>
      </c>
      <c r="AZ1283" t="s">
        <v>8159</v>
      </c>
      <c r="BA1283" t="s">
        <v>1661</v>
      </c>
      <c r="BE1283" s="3">
        <v>41941</v>
      </c>
      <c r="BF1283" s="1">
        <v>264698</v>
      </c>
      <c r="BG1283" t="s">
        <v>2289</v>
      </c>
      <c r="BH1283" s="1">
        <v>104.96</v>
      </c>
      <c r="BI1283" s="1">
        <v>264698</v>
      </c>
      <c r="BJ1283" s="3">
        <v>41941</v>
      </c>
      <c r="BK1283" t="s">
        <v>123</v>
      </c>
      <c r="BL1283" t="str">
        <f>"2014.718182"</f>
        <v>2014.718182</v>
      </c>
      <c r="BM1283" t="s">
        <v>594</v>
      </c>
      <c r="BO1283" t="s">
        <v>8722</v>
      </c>
      <c r="BS1283">
        <v>30</v>
      </c>
      <c r="BW1283" t="str">
        <f>""</f>
        <v/>
      </c>
      <c r="CH1283" t="str">
        <f>""</f>
        <v/>
      </c>
      <c r="CS1283" t="str">
        <f>""</f>
        <v/>
      </c>
    </row>
    <row r="1284" spans="1:97" x14ac:dyDescent="0.25">
      <c r="A1284" t="s">
        <v>1979</v>
      </c>
      <c r="B1284" t="s">
        <v>8723</v>
      </c>
      <c r="C1284" t="s">
        <v>1361</v>
      </c>
      <c r="D1284" t="s">
        <v>8723</v>
      </c>
      <c r="E1284" t="s">
        <v>8724</v>
      </c>
      <c r="F1284" t="s">
        <v>108</v>
      </c>
      <c r="H1284" t="s">
        <v>8725</v>
      </c>
      <c r="I1284" t="s">
        <v>203</v>
      </c>
      <c r="J1284" t="s">
        <v>111</v>
      </c>
      <c r="K1284" t="str">
        <f>"85297"</f>
        <v>85297</v>
      </c>
      <c r="L1284" t="s">
        <v>1383</v>
      </c>
      <c r="M1284" t="s">
        <v>8725</v>
      </c>
      <c r="N1284" t="s">
        <v>203</v>
      </c>
      <c r="O1284" t="s">
        <v>111</v>
      </c>
      <c r="P1284" t="str">
        <f>"85297-8213"</f>
        <v>85297-8213</v>
      </c>
      <c r="Q1284" t="s">
        <v>113</v>
      </c>
      <c r="R1284" t="str">
        <f>"313-03-277"</f>
        <v>313-03-277</v>
      </c>
      <c r="S1284" t="s">
        <v>8726</v>
      </c>
      <c r="T1284" t="s">
        <v>8726</v>
      </c>
      <c r="U1284">
        <v>2036</v>
      </c>
      <c r="V1284">
        <v>0</v>
      </c>
      <c r="W1284">
        <v>3</v>
      </c>
      <c r="X1284">
        <v>2001</v>
      </c>
      <c r="Z1284">
        <v>1</v>
      </c>
      <c r="AB1284">
        <v>0</v>
      </c>
      <c r="AC1284" t="s">
        <v>115</v>
      </c>
      <c r="AD1284">
        <v>2</v>
      </c>
      <c r="AE1284" t="s">
        <v>115</v>
      </c>
      <c r="AF1284">
        <v>0</v>
      </c>
      <c r="AG1284">
        <v>0</v>
      </c>
      <c r="AH1284" t="s">
        <v>116</v>
      </c>
      <c r="AI1284" s="1">
        <v>69424</v>
      </c>
      <c r="AJ1284" s="2">
        <v>0.21</v>
      </c>
      <c r="AK1284" s="1">
        <v>338078</v>
      </c>
      <c r="AL1284" t="s">
        <v>117</v>
      </c>
      <c r="AM1284" t="s">
        <v>393</v>
      </c>
      <c r="AN1284">
        <v>8956</v>
      </c>
      <c r="AO1284">
        <v>0.21</v>
      </c>
      <c r="AP1284">
        <v>1</v>
      </c>
      <c r="AR1284">
        <v>1</v>
      </c>
      <c r="AS1284" s="1">
        <v>24170</v>
      </c>
      <c r="AT1284" s="1">
        <v>4830</v>
      </c>
      <c r="AU1284" s="1">
        <v>19340</v>
      </c>
      <c r="AV1284">
        <v>80.02</v>
      </c>
      <c r="AX1284" s="1">
        <v>1989.68</v>
      </c>
      <c r="AY1284" t="s">
        <v>394</v>
      </c>
      <c r="AZ1284" t="s">
        <v>394</v>
      </c>
      <c r="BA1284" t="s">
        <v>290</v>
      </c>
      <c r="BE1284" s="3">
        <v>42404</v>
      </c>
      <c r="BF1284" s="1">
        <v>263000</v>
      </c>
      <c r="BG1284" t="s">
        <v>8727</v>
      </c>
      <c r="BH1284" s="1">
        <v>129.16999999999999</v>
      </c>
      <c r="BI1284" s="1">
        <v>268654</v>
      </c>
      <c r="BJ1284" s="3">
        <v>42404</v>
      </c>
      <c r="BK1284" t="s">
        <v>123</v>
      </c>
      <c r="BL1284" t="str">
        <f>"2016.74014"</f>
        <v>2016.74014</v>
      </c>
      <c r="BM1284" t="s">
        <v>135</v>
      </c>
      <c r="BO1284" t="s">
        <v>8728</v>
      </c>
      <c r="BS1284">
        <v>30</v>
      </c>
      <c r="BW1284" t="str">
        <f>""</f>
        <v/>
      </c>
      <c r="CH1284" t="str">
        <f>""</f>
        <v/>
      </c>
      <c r="CS1284" t="str">
        <f>""</f>
        <v/>
      </c>
    </row>
    <row r="1285" spans="1:97" x14ac:dyDescent="0.25">
      <c r="A1285" t="s">
        <v>996</v>
      </c>
      <c r="B1285" t="s">
        <v>8729</v>
      </c>
      <c r="C1285" t="s">
        <v>8730</v>
      </c>
      <c r="D1285" t="s">
        <v>8729</v>
      </c>
      <c r="E1285" t="s">
        <v>8731</v>
      </c>
      <c r="F1285" t="s">
        <v>108</v>
      </c>
      <c r="H1285" t="s">
        <v>8732</v>
      </c>
      <c r="I1285" t="s">
        <v>499</v>
      </c>
      <c r="J1285" t="s">
        <v>111</v>
      </c>
      <c r="K1285" t="str">
        <f>"85395"</f>
        <v>85395</v>
      </c>
      <c r="L1285" t="s">
        <v>5743</v>
      </c>
      <c r="M1285" t="s">
        <v>8732</v>
      </c>
      <c r="N1285" t="s">
        <v>499</v>
      </c>
      <c r="O1285" t="s">
        <v>111</v>
      </c>
      <c r="P1285" t="str">
        <f>"85395-6319"</f>
        <v>85395-6319</v>
      </c>
      <c r="Q1285" t="s">
        <v>113</v>
      </c>
      <c r="R1285" t="str">
        <f>"508-13-318"</f>
        <v>508-13-318</v>
      </c>
      <c r="S1285" t="s">
        <v>5744</v>
      </c>
      <c r="T1285" t="s">
        <v>5745</v>
      </c>
      <c r="U1285">
        <v>3008</v>
      </c>
      <c r="V1285">
        <v>0</v>
      </c>
      <c r="W1285">
        <v>5</v>
      </c>
      <c r="X1285">
        <v>2007</v>
      </c>
      <c r="Z1285">
        <v>2</v>
      </c>
      <c r="AA1285" t="s">
        <v>26</v>
      </c>
      <c r="AB1285">
        <v>0</v>
      </c>
      <c r="AC1285" t="s">
        <v>115</v>
      </c>
      <c r="AD1285">
        <v>2</v>
      </c>
      <c r="AE1285" t="s">
        <v>115</v>
      </c>
      <c r="AF1285">
        <v>0</v>
      </c>
      <c r="AG1285">
        <v>0</v>
      </c>
      <c r="AH1285" t="s">
        <v>116</v>
      </c>
      <c r="AI1285" s="1">
        <v>87593</v>
      </c>
      <c r="AJ1285" s="2">
        <v>0.23</v>
      </c>
      <c r="AK1285" s="1">
        <v>375593</v>
      </c>
      <c r="AL1285" t="s">
        <v>117</v>
      </c>
      <c r="AM1285" t="s">
        <v>118</v>
      </c>
      <c r="AN1285">
        <v>7687</v>
      </c>
      <c r="AO1285">
        <v>0.18</v>
      </c>
      <c r="AR1285">
        <v>1</v>
      </c>
      <c r="AS1285" s="1">
        <v>27120</v>
      </c>
      <c r="AT1285" s="1">
        <v>5420</v>
      </c>
      <c r="AU1285" s="1">
        <v>21700</v>
      </c>
      <c r="AV1285">
        <v>80.010000000000005</v>
      </c>
      <c r="AX1285" s="1">
        <v>2996.48</v>
      </c>
      <c r="AY1285" t="s">
        <v>3020</v>
      </c>
      <c r="AZ1285" t="s">
        <v>3020</v>
      </c>
      <c r="BA1285" t="s">
        <v>3154</v>
      </c>
      <c r="BE1285" s="3">
        <v>42019</v>
      </c>
      <c r="BF1285" s="1">
        <v>300000</v>
      </c>
      <c r="BG1285" t="s">
        <v>8733</v>
      </c>
      <c r="BH1285" s="1">
        <v>99.73</v>
      </c>
      <c r="BI1285" s="1">
        <v>288000</v>
      </c>
      <c r="BJ1285" s="3">
        <v>42019</v>
      </c>
      <c r="BK1285" t="s">
        <v>123</v>
      </c>
      <c r="BL1285" t="str">
        <f>"2015.27298"</f>
        <v>2015.27298</v>
      </c>
      <c r="BM1285" t="s">
        <v>1287</v>
      </c>
      <c r="BO1285" t="s">
        <v>8734</v>
      </c>
      <c r="BS1285">
        <v>30</v>
      </c>
      <c r="BW1285" t="str">
        <f>""</f>
        <v/>
      </c>
      <c r="CH1285" t="str">
        <f>""</f>
        <v/>
      </c>
      <c r="CS1285" t="str">
        <f>""</f>
        <v/>
      </c>
    </row>
    <row r="1286" spans="1:97" x14ac:dyDescent="0.25">
      <c r="A1286" t="s">
        <v>8735</v>
      </c>
      <c r="B1286" t="s">
        <v>8736</v>
      </c>
      <c r="C1286" t="s">
        <v>8737</v>
      </c>
      <c r="D1286" t="s">
        <v>8736</v>
      </c>
      <c r="E1286" t="s">
        <v>8738</v>
      </c>
      <c r="F1286" t="s">
        <v>139</v>
      </c>
      <c r="H1286" t="s">
        <v>8739</v>
      </c>
      <c r="I1286" t="s">
        <v>6844</v>
      </c>
      <c r="J1286" t="s">
        <v>111</v>
      </c>
      <c r="K1286" t="str">
        <f>"85361"</f>
        <v>85361</v>
      </c>
      <c r="L1286" t="s">
        <v>1789</v>
      </c>
      <c r="M1286" t="s">
        <v>8740</v>
      </c>
      <c r="N1286" t="s">
        <v>8741</v>
      </c>
      <c r="O1286" t="s">
        <v>111</v>
      </c>
      <c r="P1286" t="str">
        <f>"85324"</f>
        <v>85324</v>
      </c>
      <c r="Q1286" t="s">
        <v>113</v>
      </c>
      <c r="R1286" t="str">
        <f>"503-39-005-L"</f>
        <v>503-39-005-L</v>
      </c>
      <c r="U1286">
        <v>2124</v>
      </c>
      <c r="V1286">
        <v>0</v>
      </c>
      <c r="W1286">
        <v>3</v>
      </c>
      <c r="X1286">
        <v>2014</v>
      </c>
      <c r="Z1286">
        <v>1</v>
      </c>
      <c r="AB1286">
        <v>0</v>
      </c>
      <c r="AC1286" t="s">
        <v>115</v>
      </c>
      <c r="AD1286">
        <v>3</v>
      </c>
      <c r="AE1286" t="s">
        <v>115</v>
      </c>
      <c r="AF1286">
        <v>0</v>
      </c>
      <c r="AG1286">
        <v>0</v>
      </c>
      <c r="AH1286" t="s">
        <v>116</v>
      </c>
      <c r="AI1286" s="1">
        <v>129071</v>
      </c>
      <c r="AJ1286" s="2">
        <v>0.37</v>
      </c>
      <c r="AK1286" s="1">
        <v>347271</v>
      </c>
      <c r="AL1286" t="s">
        <v>117</v>
      </c>
      <c r="AM1286" t="s">
        <v>376</v>
      </c>
      <c r="AN1286">
        <v>51221</v>
      </c>
      <c r="AO1286">
        <v>1.18</v>
      </c>
      <c r="AR1286">
        <v>1</v>
      </c>
      <c r="AS1286" s="1">
        <v>25050</v>
      </c>
      <c r="AT1286" s="1">
        <v>5010</v>
      </c>
      <c r="AU1286" s="1">
        <v>20040</v>
      </c>
      <c r="AV1286">
        <v>80</v>
      </c>
      <c r="AX1286" s="1">
        <v>1577.96</v>
      </c>
      <c r="AY1286" t="s">
        <v>6847</v>
      </c>
      <c r="AZ1286" t="s">
        <v>6847</v>
      </c>
      <c r="BE1286" s="3">
        <v>41781</v>
      </c>
      <c r="BF1286" s="1">
        <v>218200</v>
      </c>
      <c r="BG1286" t="s">
        <v>8742</v>
      </c>
      <c r="BH1286" s="1">
        <v>102.73</v>
      </c>
      <c r="BI1286" s="1">
        <v>218200</v>
      </c>
      <c r="BJ1286" s="3">
        <v>41781</v>
      </c>
      <c r="BK1286" t="s">
        <v>123</v>
      </c>
      <c r="BL1286" t="str">
        <f>"2014.334636"</f>
        <v>2014.334636</v>
      </c>
      <c r="BM1286" t="s">
        <v>175</v>
      </c>
      <c r="BO1286" t="s">
        <v>8743</v>
      </c>
      <c r="BS1286">
        <v>30</v>
      </c>
      <c r="BW1286" t="str">
        <f>""</f>
        <v/>
      </c>
      <c r="CH1286" t="str">
        <f>""</f>
        <v/>
      </c>
      <c r="CS1286" t="str">
        <f>""</f>
        <v/>
      </c>
    </row>
    <row r="1287" spans="1:97" x14ac:dyDescent="0.25">
      <c r="A1287" t="s">
        <v>370</v>
      </c>
      <c r="B1287" t="s">
        <v>8744</v>
      </c>
      <c r="C1287" t="s">
        <v>3065</v>
      </c>
      <c r="D1287" t="s">
        <v>8744</v>
      </c>
      <c r="E1287" t="s">
        <v>8745</v>
      </c>
      <c r="F1287" t="s">
        <v>108</v>
      </c>
      <c r="H1287" t="s">
        <v>8746</v>
      </c>
      <c r="I1287" t="s">
        <v>632</v>
      </c>
      <c r="J1287" t="s">
        <v>111</v>
      </c>
      <c r="K1287" t="str">
        <f>"85387"</f>
        <v>85387</v>
      </c>
      <c r="L1287" t="s">
        <v>8747</v>
      </c>
      <c r="M1287" t="s">
        <v>8746</v>
      </c>
      <c r="N1287" t="s">
        <v>632</v>
      </c>
      <c r="O1287" t="s">
        <v>111</v>
      </c>
      <c r="P1287" t="str">
        <f>"85387-6091"</f>
        <v>85387-6091</v>
      </c>
      <c r="Q1287" t="s">
        <v>113</v>
      </c>
      <c r="R1287" t="str">
        <f>"503-51-322"</f>
        <v>503-51-322</v>
      </c>
      <c r="U1287">
        <v>1972</v>
      </c>
      <c r="V1287">
        <v>0</v>
      </c>
      <c r="W1287">
        <v>3</v>
      </c>
      <c r="X1287">
        <v>2006</v>
      </c>
      <c r="Z1287">
        <v>1</v>
      </c>
      <c r="AB1287">
        <v>0</v>
      </c>
      <c r="AC1287" t="s">
        <v>115</v>
      </c>
      <c r="AD1287">
        <v>3</v>
      </c>
      <c r="AE1287" t="s">
        <v>115</v>
      </c>
      <c r="AF1287">
        <v>0</v>
      </c>
      <c r="AG1287">
        <v>0</v>
      </c>
      <c r="AH1287" t="s">
        <v>116</v>
      </c>
      <c r="AI1287" s="1">
        <v>61547</v>
      </c>
      <c r="AJ1287" s="2">
        <v>0.2</v>
      </c>
      <c r="AK1287" s="1">
        <v>310500</v>
      </c>
      <c r="AL1287" t="s">
        <v>117</v>
      </c>
      <c r="AM1287" t="s">
        <v>376</v>
      </c>
      <c r="AN1287">
        <v>45836</v>
      </c>
      <c r="AO1287">
        <v>1.05</v>
      </c>
      <c r="AR1287">
        <v>1</v>
      </c>
      <c r="AS1287" s="1">
        <v>24050</v>
      </c>
      <c r="AT1287" s="1">
        <v>4810</v>
      </c>
      <c r="AU1287" s="1">
        <v>19240</v>
      </c>
      <c r="AV1287">
        <v>80</v>
      </c>
      <c r="AX1287" s="1">
        <v>1572.54</v>
      </c>
      <c r="AY1287" t="s">
        <v>5499</v>
      </c>
      <c r="AZ1287" t="s">
        <v>5499</v>
      </c>
      <c r="BE1287" s="3">
        <v>41906</v>
      </c>
      <c r="BF1287" s="1">
        <v>241000</v>
      </c>
      <c r="BG1287" t="s">
        <v>8748</v>
      </c>
      <c r="BH1287" s="1">
        <v>122.21</v>
      </c>
      <c r="BI1287" s="1">
        <v>248953</v>
      </c>
      <c r="BJ1287" s="3">
        <v>41906</v>
      </c>
      <c r="BK1287" t="s">
        <v>123</v>
      </c>
      <c r="BL1287" t="str">
        <f>"2014.633355"</f>
        <v>2014.633355</v>
      </c>
      <c r="BM1287" t="s">
        <v>594</v>
      </c>
      <c r="BO1287" t="s">
        <v>8749</v>
      </c>
      <c r="BS1287">
        <v>30</v>
      </c>
      <c r="BW1287" t="str">
        <f>""</f>
        <v/>
      </c>
      <c r="CH1287" t="str">
        <f>""</f>
        <v/>
      </c>
      <c r="CS1287" t="str">
        <f>""</f>
        <v/>
      </c>
    </row>
    <row r="1288" spans="1:97" x14ac:dyDescent="0.25">
      <c r="A1288" t="s">
        <v>2045</v>
      </c>
      <c r="B1288" t="s">
        <v>8750</v>
      </c>
      <c r="C1288" t="s">
        <v>220</v>
      </c>
      <c r="D1288" t="s">
        <v>8750</v>
      </c>
      <c r="E1288" t="s">
        <v>8751</v>
      </c>
      <c r="F1288" t="s">
        <v>108</v>
      </c>
      <c r="H1288" t="s">
        <v>8752</v>
      </c>
      <c r="I1288" t="s">
        <v>1397</v>
      </c>
      <c r="J1288" t="s">
        <v>111</v>
      </c>
      <c r="K1288" t="str">
        <f>"85331"</f>
        <v>85331</v>
      </c>
      <c r="L1288" t="s">
        <v>3037</v>
      </c>
      <c r="M1288" t="s">
        <v>8752</v>
      </c>
      <c r="N1288" t="s">
        <v>1397</v>
      </c>
      <c r="O1288" t="s">
        <v>111</v>
      </c>
      <c r="P1288" t="str">
        <f>"85331-3425"</f>
        <v>85331-3425</v>
      </c>
      <c r="Q1288" t="s">
        <v>113</v>
      </c>
      <c r="R1288" t="str">
        <f>"211-44-076-A"</f>
        <v>211-44-076-A</v>
      </c>
      <c r="U1288">
        <v>2140</v>
      </c>
      <c r="V1288">
        <v>0</v>
      </c>
      <c r="W1288">
        <v>2</v>
      </c>
      <c r="X1288">
        <v>1986</v>
      </c>
      <c r="Z1288">
        <v>1</v>
      </c>
      <c r="AA1288" t="s">
        <v>26</v>
      </c>
      <c r="AB1288">
        <v>0</v>
      </c>
      <c r="AC1288" t="s">
        <v>115</v>
      </c>
      <c r="AD1288">
        <v>3</v>
      </c>
      <c r="AE1288" t="s">
        <v>115</v>
      </c>
      <c r="AF1288">
        <v>0</v>
      </c>
      <c r="AG1288">
        <v>0</v>
      </c>
      <c r="AH1288" t="s">
        <v>116</v>
      </c>
      <c r="AI1288" s="1">
        <v>145950</v>
      </c>
      <c r="AJ1288" s="2">
        <v>0.24</v>
      </c>
      <c r="AK1288" s="1">
        <v>598580</v>
      </c>
      <c r="AL1288" t="s">
        <v>117</v>
      </c>
      <c r="AM1288" t="s">
        <v>376</v>
      </c>
      <c r="AN1288">
        <v>100946</v>
      </c>
      <c r="AO1288">
        <v>2.3199999999999998</v>
      </c>
      <c r="AP1288">
        <v>1</v>
      </c>
      <c r="AR1288">
        <v>1</v>
      </c>
      <c r="AS1288" s="1">
        <v>42950</v>
      </c>
      <c r="AT1288" s="1">
        <v>8590</v>
      </c>
      <c r="AU1288" s="1">
        <v>34360</v>
      </c>
      <c r="AV1288">
        <v>80</v>
      </c>
      <c r="AX1288" s="1">
        <v>1710.38</v>
      </c>
      <c r="AY1288" t="s">
        <v>5017</v>
      </c>
      <c r="AZ1288" t="s">
        <v>1402</v>
      </c>
      <c r="BA1288" t="s">
        <v>1403</v>
      </c>
      <c r="BE1288" s="3">
        <v>42124</v>
      </c>
      <c r="BF1288" s="1">
        <v>475000</v>
      </c>
      <c r="BG1288" t="s">
        <v>8753</v>
      </c>
      <c r="BH1288" s="1">
        <v>221.96</v>
      </c>
      <c r="BI1288" s="1">
        <v>452630</v>
      </c>
      <c r="BJ1288" s="3">
        <v>42639</v>
      </c>
      <c r="BK1288" t="s">
        <v>123</v>
      </c>
      <c r="BL1288" t="str">
        <f>"2016.697817"</f>
        <v>2016.697817</v>
      </c>
      <c r="BM1288" t="s">
        <v>6337</v>
      </c>
      <c r="BO1288" t="s">
        <v>8754</v>
      </c>
      <c r="BS1288">
        <v>30</v>
      </c>
      <c r="BW1288" t="str">
        <f>""</f>
        <v/>
      </c>
      <c r="CH1288" t="str">
        <f>""</f>
        <v/>
      </c>
      <c r="CS1288" t="str">
        <f>""</f>
        <v/>
      </c>
    </row>
    <row r="1289" spans="1:97" x14ac:dyDescent="0.25">
      <c r="A1289" t="s">
        <v>177</v>
      </c>
      <c r="B1289" t="s">
        <v>815</v>
      </c>
      <c r="C1289" t="s">
        <v>104</v>
      </c>
      <c r="D1289" t="s">
        <v>815</v>
      </c>
      <c r="E1289" t="s">
        <v>8755</v>
      </c>
      <c r="F1289" t="s">
        <v>108</v>
      </c>
      <c r="H1289" t="s">
        <v>8756</v>
      </c>
      <c r="I1289" t="s">
        <v>1788</v>
      </c>
      <c r="J1289" t="s">
        <v>111</v>
      </c>
      <c r="K1289" t="str">
        <f>"85355"</f>
        <v>85355</v>
      </c>
      <c r="L1289" t="s">
        <v>1789</v>
      </c>
      <c r="M1289" t="s">
        <v>8756</v>
      </c>
      <c r="N1289" t="s">
        <v>1788</v>
      </c>
      <c r="O1289" t="s">
        <v>111</v>
      </c>
      <c r="P1289" t="str">
        <f>"85355-9427"</f>
        <v>85355-9427</v>
      </c>
      <c r="Q1289" t="s">
        <v>113</v>
      </c>
      <c r="R1289" t="str">
        <f>"502-27-022-J"</f>
        <v>502-27-022-J</v>
      </c>
      <c r="U1289">
        <v>2052</v>
      </c>
      <c r="V1289">
        <v>0</v>
      </c>
      <c r="W1289">
        <v>2</v>
      </c>
      <c r="X1289">
        <v>1986</v>
      </c>
      <c r="Z1289">
        <v>1</v>
      </c>
      <c r="AB1289">
        <v>0</v>
      </c>
      <c r="AC1289" t="s">
        <v>7038</v>
      </c>
      <c r="AD1289">
        <v>0</v>
      </c>
      <c r="AE1289" t="s">
        <v>7038</v>
      </c>
      <c r="AF1289">
        <v>0</v>
      </c>
      <c r="AG1289">
        <v>0</v>
      </c>
      <c r="AH1289" t="s">
        <v>116</v>
      </c>
      <c r="AI1289" s="1">
        <v>-20565</v>
      </c>
      <c r="AJ1289" s="2">
        <v>-0.05</v>
      </c>
      <c r="AK1289" s="1">
        <v>388297</v>
      </c>
      <c r="AL1289" t="s">
        <v>117</v>
      </c>
      <c r="AM1289" t="s">
        <v>376</v>
      </c>
      <c r="AN1289">
        <v>168753</v>
      </c>
      <c r="AO1289">
        <v>3.87</v>
      </c>
      <c r="AP1289">
        <v>1</v>
      </c>
      <c r="AR1289">
        <v>1</v>
      </c>
      <c r="AS1289" s="1">
        <v>25310</v>
      </c>
      <c r="AT1289" s="1">
        <v>5060</v>
      </c>
      <c r="AU1289" s="1">
        <v>20250</v>
      </c>
      <c r="AV1289">
        <v>80.010000000000005</v>
      </c>
      <c r="AX1289" s="1">
        <v>1853.86</v>
      </c>
      <c r="AY1289" t="s">
        <v>503</v>
      </c>
      <c r="AZ1289" t="s">
        <v>504</v>
      </c>
      <c r="BA1289" t="s">
        <v>218</v>
      </c>
      <c r="BE1289" s="3">
        <v>42062</v>
      </c>
      <c r="BF1289" s="1">
        <v>310100</v>
      </c>
      <c r="BG1289" t="s">
        <v>8757</v>
      </c>
      <c r="BH1289" s="1">
        <v>151.12</v>
      </c>
      <c r="BI1289" s="1">
        <v>408862</v>
      </c>
      <c r="BJ1289" s="3">
        <v>43644</v>
      </c>
      <c r="BK1289" t="s">
        <v>123</v>
      </c>
      <c r="BL1289" t="str">
        <f>"2019.491325"</f>
        <v>2019.491325</v>
      </c>
      <c r="BM1289" t="s">
        <v>248</v>
      </c>
      <c r="BN1289" t="s">
        <v>249</v>
      </c>
      <c r="BO1289" t="s">
        <v>8758</v>
      </c>
      <c r="BP1289" t="s">
        <v>8759</v>
      </c>
      <c r="BR1289" t="s">
        <v>139</v>
      </c>
      <c r="BW1289" t="str">
        <f>""</f>
        <v/>
      </c>
      <c r="CH1289" t="str">
        <f>""</f>
        <v/>
      </c>
      <c r="CS1289" t="str">
        <f>""</f>
        <v/>
      </c>
    </row>
    <row r="1290" spans="1:97" x14ac:dyDescent="0.25">
      <c r="A1290" t="s">
        <v>3817</v>
      </c>
      <c r="B1290" t="s">
        <v>8760</v>
      </c>
      <c r="C1290" t="s">
        <v>933</v>
      </c>
      <c r="D1290" t="s">
        <v>8760</v>
      </c>
      <c r="E1290" t="s">
        <v>8761</v>
      </c>
      <c r="F1290" t="s">
        <v>108</v>
      </c>
      <c r="H1290" t="s">
        <v>8762</v>
      </c>
      <c r="I1290" t="s">
        <v>225</v>
      </c>
      <c r="J1290" t="s">
        <v>111</v>
      </c>
      <c r="K1290" t="str">
        <f>"85207"</f>
        <v>85207</v>
      </c>
      <c r="L1290" t="s">
        <v>2211</v>
      </c>
      <c r="M1290" t="s">
        <v>8762</v>
      </c>
      <c r="N1290" t="s">
        <v>225</v>
      </c>
      <c r="O1290" t="s">
        <v>111</v>
      </c>
      <c r="P1290" t="str">
        <f>"85207-3150"</f>
        <v>85207-3150</v>
      </c>
      <c r="Q1290" t="s">
        <v>113</v>
      </c>
      <c r="R1290" t="str">
        <f>"220-07-028-E"</f>
        <v>220-07-028-E</v>
      </c>
      <c r="U1290">
        <v>2099</v>
      </c>
      <c r="V1290">
        <v>0</v>
      </c>
      <c r="W1290">
        <v>4</v>
      </c>
      <c r="X1290">
        <v>1997</v>
      </c>
      <c r="Z1290">
        <v>1</v>
      </c>
      <c r="AA1290" t="s">
        <v>26</v>
      </c>
      <c r="AB1290">
        <v>0</v>
      </c>
      <c r="AC1290" t="s">
        <v>115</v>
      </c>
      <c r="AD1290">
        <v>2</v>
      </c>
      <c r="AE1290" t="s">
        <v>115</v>
      </c>
      <c r="AF1290">
        <v>0</v>
      </c>
      <c r="AG1290">
        <v>0</v>
      </c>
      <c r="AH1290" t="s">
        <v>116</v>
      </c>
      <c r="AI1290" s="1">
        <v>106528</v>
      </c>
      <c r="AJ1290" s="2">
        <v>0.26</v>
      </c>
      <c r="AK1290" s="1">
        <v>416310</v>
      </c>
      <c r="AL1290" t="s">
        <v>117</v>
      </c>
      <c r="AM1290" t="s">
        <v>376</v>
      </c>
      <c r="AN1290">
        <v>49049</v>
      </c>
      <c r="AO1290">
        <v>1.1299999999999999</v>
      </c>
      <c r="AP1290">
        <v>1</v>
      </c>
      <c r="AR1290">
        <v>1</v>
      </c>
      <c r="AS1290" s="1">
        <v>30930</v>
      </c>
      <c r="AT1290" s="1">
        <v>5320</v>
      </c>
      <c r="AU1290" s="1">
        <v>25610</v>
      </c>
      <c r="AV1290">
        <v>82.8</v>
      </c>
      <c r="AX1290" s="1">
        <v>1896.86</v>
      </c>
      <c r="AY1290" t="s">
        <v>6572</v>
      </c>
      <c r="AZ1290" t="s">
        <v>3761</v>
      </c>
      <c r="BA1290" t="s">
        <v>232</v>
      </c>
      <c r="BE1290" s="3">
        <v>41926</v>
      </c>
      <c r="BF1290" s="1">
        <v>315000</v>
      </c>
      <c r="BG1290" t="s">
        <v>8763</v>
      </c>
      <c r="BH1290" s="1">
        <v>150.07</v>
      </c>
      <c r="BI1290" s="1">
        <v>309782</v>
      </c>
      <c r="BJ1290" s="3">
        <v>42830</v>
      </c>
      <c r="BK1290" t="s">
        <v>123</v>
      </c>
      <c r="BL1290" t="str">
        <f>"2017.239388"</f>
        <v>2017.239388</v>
      </c>
      <c r="BM1290" t="s">
        <v>402</v>
      </c>
      <c r="BO1290" t="s">
        <v>8764</v>
      </c>
      <c r="BS1290">
        <v>28</v>
      </c>
      <c r="BW1290" t="str">
        <f>""</f>
        <v/>
      </c>
      <c r="CH1290" t="str">
        <f>""</f>
        <v/>
      </c>
      <c r="CS1290" t="str">
        <f>""</f>
        <v/>
      </c>
    </row>
    <row r="1291" spans="1:97" x14ac:dyDescent="0.25">
      <c r="B1291" t="s">
        <v>8765</v>
      </c>
      <c r="E1291" t="s">
        <v>8766</v>
      </c>
      <c r="F1291" t="s">
        <v>108</v>
      </c>
      <c r="H1291" t="s">
        <v>8767</v>
      </c>
      <c r="I1291" t="s">
        <v>1936</v>
      </c>
      <c r="J1291" t="s">
        <v>111</v>
      </c>
      <c r="K1291" t="str">
        <f>"85259"</f>
        <v>85259</v>
      </c>
      <c r="L1291" t="s">
        <v>189</v>
      </c>
      <c r="M1291" t="s">
        <v>8767</v>
      </c>
      <c r="N1291" t="s">
        <v>1936</v>
      </c>
      <c r="O1291" t="s">
        <v>111</v>
      </c>
      <c r="P1291" t="str">
        <f>"85259-4154"</f>
        <v>85259-4154</v>
      </c>
      <c r="Q1291" t="s">
        <v>113</v>
      </c>
      <c r="R1291" t="str">
        <f>"217-28-907"</f>
        <v>217-28-907</v>
      </c>
      <c r="S1291" t="s">
        <v>8768</v>
      </c>
      <c r="T1291" t="s">
        <v>8768</v>
      </c>
      <c r="U1291">
        <v>2760</v>
      </c>
      <c r="V1291">
        <v>0</v>
      </c>
      <c r="W1291">
        <v>5</v>
      </c>
      <c r="X1291">
        <v>1999</v>
      </c>
      <c r="Z1291">
        <v>1</v>
      </c>
      <c r="AA1291" t="s">
        <v>26</v>
      </c>
      <c r="AB1291">
        <v>0</v>
      </c>
      <c r="AC1291" t="s">
        <v>115</v>
      </c>
      <c r="AD1291">
        <v>3</v>
      </c>
      <c r="AE1291" t="s">
        <v>115</v>
      </c>
      <c r="AF1291">
        <v>0</v>
      </c>
      <c r="AG1291">
        <v>0</v>
      </c>
      <c r="AH1291" t="s">
        <v>116</v>
      </c>
      <c r="AI1291" s="1">
        <v>140770</v>
      </c>
      <c r="AJ1291" s="2">
        <v>0.2</v>
      </c>
      <c r="AK1291" s="1">
        <v>688212</v>
      </c>
      <c r="AL1291" t="s">
        <v>117</v>
      </c>
      <c r="AM1291" t="s">
        <v>616</v>
      </c>
      <c r="AN1291">
        <v>9600</v>
      </c>
      <c r="AO1291">
        <v>0.22</v>
      </c>
      <c r="AP1291">
        <v>1</v>
      </c>
      <c r="AR1291">
        <v>1</v>
      </c>
      <c r="AS1291" s="1">
        <v>52380</v>
      </c>
      <c r="AT1291" s="1">
        <v>10470</v>
      </c>
      <c r="AU1291" s="1">
        <v>41910</v>
      </c>
      <c r="AV1291">
        <v>80.010000000000005</v>
      </c>
      <c r="AX1291" s="1">
        <v>3792.5</v>
      </c>
      <c r="AY1291" t="s">
        <v>6534</v>
      </c>
      <c r="AZ1291" t="s">
        <v>5762</v>
      </c>
      <c r="BA1291" t="s">
        <v>5763</v>
      </c>
      <c r="BB1291" s="3">
        <v>42640</v>
      </c>
      <c r="BD1291" t="s">
        <v>480</v>
      </c>
      <c r="BE1291" s="3">
        <v>41722</v>
      </c>
      <c r="BF1291" s="1">
        <v>600000</v>
      </c>
      <c r="BG1291" t="s">
        <v>8769</v>
      </c>
      <c r="BH1291" s="1">
        <v>217.39</v>
      </c>
      <c r="BI1291" s="1">
        <v>547442</v>
      </c>
      <c r="BJ1291" s="3">
        <v>42669</v>
      </c>
      <c r="BK1291" t="s">
        <v>123</v>
      </c>
      <c r="BL1291" t="str">
        <f>"2016.786410"</f>
        <v>2016.786410</v>
      </c>
      <c r="BM1291" t="s">
        <v>709</v>
      </c>
      <c r="BO1291" t="s">
        <v>8770</v>
      </c>
      <c r="BP1291" t="s">
        <v>8771</v>
      </c>
      <c r="BS1291">
        <v>30</v>
      </c>
      <c r="BW1291" t="str">
        <f>""</f>
        <v/>
      </c>
      <c r="CH1291" t="str">
        <f>""</f>
        <v/>
      </c>
      <c r="CS1291" t="str">
        <f>""</f>
        <v/>
      </c>
    </row>
    <row r="1292" spans="1:97" x14ac:dyDescent="0.25">
      <c r="B1292" t="s">
        <v>8772</v>
      </c>
      <c r="E1292" t="s">
        <v>8772</v>
      </c>
      <c r="F1292" t="s">
        <v>108</v>
      </c>
      <c r="H1292" t="s">
        <v>8773</v>
      </c>
      <c r="I1292" t="s">
        <v>453</v>
      </c>
      <c r="J1292" t="s">
        <v>111</v>
      </c>
      <c r="K1292" t="str">
        <f>"85383"</f>
        <v>85383</v>
      </c>
      <c r="L1292" t="s">
        <v>454</v>
      </c>
      <c r="M1292" t="s">
        <v>8773</v>
      </c>
      <c r="N1292" t="s">
        <v>453</v>
      </c>
      <c r="O1292" t="s">
        <v>111</v>
      </c>
      <c r="P1292" t="str">
        <f>"85383-7840"</f>
        <v>85383-7840</v>
      </c>
      <c r="Q1292" t="s">
        <v>113</v>
      </c>
      <c r="R1292" t="str">
        <f>"510-02-635"</f>
        <v>510-02-635</v>
      </c>
      <c r="S1292" t="s">
        <v>8774</v>
      </c>
      <c r="U1292">
        <v>2615</v>
      </c>
      <c r="V1292">
        <v>0</v>
      </c>
      <c r="W1292">
        <v>4</v>
      </c>
      <c r="X1292">
        <v>2007</v>
      </c>
      <c r="Z1292">
        <v>2</v>
      </c>
      <c r="AA1292" t="s">
        <v>26</v>
      </c>
      <c r="AB1292">
        <v>0</v>
      </c>
      <c r="AC1292" t="s">
        <v>115</v>
      </c>
      <c r="AD1292">
        <v>2</v>
      </c>
      <c r="AE1292" t="s">
        <v>115</v>
      </c>
      <c r="AF1292">
        <v>0</v>
      </c>
      <c r="AG1292">
        <v>0</v>
      </c>
      <c r="AH1292" t="s">
        <v>116</v>
      </c>
      <c r="AI1292" s="1">
        <v>25677</v>
      </c>
      <c r="AJ1292" s="2">
        <v>7.0000000000000007E-2</v>
      </c>
      <c r="AK1292" s="1">
        <v>365534</v>
      </c>
      <c r="AL1292" t="s">
        <v>117</v>
      </c>
      <c r="AM1292" t="s">
        <v>118</v>
      </c>
      <c r="AN1292">
        <v>6671</v>
      </c>
      <c r="AO1292">
        <v>0.15</v>
      </c>
      <c r="AR1292">
        <v>1</v>
      </c>
      <c r="AS1292" s="1">
        <v>25310</v>
      </c>
      <c r="AT1292" s="1">
        <v>5060</v>
      </c>
      <c r="AU1292" s="1">
        <v>20250</v>
      </c>
      <c r="AV1292">
        <v>80.010000000000005</v>
      </c>
      <c r="AX1292" s="1">
        <v>2709.14</v>
      </c>
      <c r="AY1292" t="s">
        <v>456</v>
      </c>
      <c r="AZ1292" t="s">
        <v>456</v>
      </c>
      <c r="BA1292" t="s">
        <v>457</v>
      </c>
      <c r="BB1292" s="3">
        <v>42697</v>
      </c>
      <c r="BD1292" t="s">
        <v>480</v>
      </c>
      <c r="BE1292" s="3">
        <v>41891</v>
      </c>
      <c r="BF1292" s="1">
        <v>285000</v>
      </c>
      <c r="BG1292" t="s">
        <v>8775</v>
      </c>
      <c r="BH1292" s="1">
        <v>108.99</v>
      </c>
      <c r="BI1292" s="1">
        <v>339857</v>
      </c>
      <c r="BJ1292" s="3">
        <v>43608</v>
      </c>
      <c r="BK1292" t="s">
        <v>123</v>
      </c>
      <c r="BL1292" t="str">
        <f>"2019.378363"</f>
        <v>2019.378363</v>
      </c>
      <c r="BM1292" t="s">
        <v>460</v>
      </c>
      <c r="BN1292" t="s">
        <v>461</v>
      </c>
      <c r="BO1292" t="s">
        <v>8776</v>
      </c>
      <c r="BP1292" t="s">
        <v>8777</v>
      </c>
      <c r="BR1292" t="s">
        <v>139</v>
      </c>
      <c r="BW1292" t="str">
        <f>""</f>
        <v/>
      </c>
      <c r="CH1292" t="str">
        <f>""</f>
        <v/>
      </c>
      <c r="CS1292" t="str">
        <f>""</f>
        <v/>
      </c>
    </row>
    <row r="1293" spans="1:97" x14ac:dyDescent="0.25">
      <c r="A1293" t="s">
        <v>2770</v>
      </c>
      <c r="B1293" t="s">
        <v>8778</v>
      </c>
      <c r="E1293" t="s">
        <v>8779</v>
      </c>
      <c r="F1293" t="s">
        <v>108</v>
      </c>
      <c r="H1293" t="s">
        <v>8780</v>
      </c>
      <c r="I1293" t="s">
        <v>167</v>
      </c>
      <c r="J1293" t="s">
        <v>111</v>
      </c>
      <c r="K1293" t="str">
        <f>"85339"</f>
        <v>85339</v>
      </c>
      <c r="L1293" t="s">
        <v>5775</v>
      </c>
      <c r="M1293" t="s">
        <v>8780</v>
      </c>
      <c r="N1293" t="s">
        <v>167</v>
      </c>
      <c r="O1293" t="s">
        <v>111</v>
      </c>
      <c r="P1293" t="str">
        <f>"85339-2190"</f>
        <v>85339-2190</v>
      </c>
      <c r="Q1293" t="s">
        <v>113</v>
      </c>
      <c r="R1293" t="str">
        <f>"300-84-814"</f>
        <v>300-84-814</v>
      </c>
      <c r="S1293" t="s">
        <v>5776</v>
      </c>
      <c r="U1293">
        <v>3599</v>
      </c>
      <c r="V1293">
        <v>0</v>
      </c>
      <c r="W1293">
        <v>4</v>
      </c>
      <c r="X1293">
        <v>2004</v>
      </c>
      <c r="Z1293">
        <v>2</v>
      </c>
      <c r="AA1293" t="s">
        <v>26</v>
      </c>
      <c r="AB1293">
        <v>0</v>
      </c>
      <c r="AC1293" t="s">
        <v>115</v>
      </c>
      <c r="AD1293">
        <v>3</v>
      </c>
      <c r="AE1293" t="s">
        <v>115</v>
      </c>
      <c r="AF1293">
        <v>0</v>
      </c>
      <c r="AG1293">
        <v>0</v>
      </c>
      <c r="AH1293" t="s">
        <v>116</v>
      </c>
      <c r="AI1293" s="1">
        <v>64247</v>
      </c>
      <c r="AJ1293" s="2">
        <v>0.17</v>
      </c>
      <c r="AK1293" s="1">
        <v>369675</v>
      </c>
      <c r="AL1293" t="s">
        <v>117</v>
      </c>
      <c r="AM1293" t="s">
        <v>171</v>
      </c>
      <c r="AN1293">
        <v>10000</v>
      </c>
      <c r="AO1293">
        <v>0.23</v>
      </c>
      <c r="AP1293">
        <v>1</v>
      </c>
      <c r="AR1293">
        <v>1</v>
      </c>
      <c r="AS1293" s="1">
        <v>26150</v>
      </c>
      <c r="AT1293" s="1">
        <v>5230</v>
      </c>
      <c r="AU1293" s="1">
        <v>20920</v>
      </c>
      <c r="AV1293">
        <v>80</v>
      </c>
      <c r="AX1293" s="1">
        <v>3198.04</v>
      </c>
      <c r="AY1293" t="s">
        <v>5777</v>
      </c>
      <c r="AZ1293" t="s">
        <v>5777</v>
      </c>
      <c r="BA1293" t="s">
        <v>173</v>
      </c>
      <c r="BE1293" s="3">
        <v>41978</v>
      </c>
      <c r="BF1293" s="1">
        <v>299000</v>
      </c>
      <c r="BG1293" t="s">
        <v>8781</v>
      </c>
      <c r="BH1293" s="1">
        <v>83.08</v>
      </c>
      <c r="BI1293" s="1">
        <v>305428</v>
      </c>
      <c r="BJ1293" s="3">
        <v>41978</v>
      </c>
      <c r="BK1293" t="s">
        <v>123</v>
      </c>
      <c r="BL1293" t="str">
        <f>"2014.801781"</f>
        <v>2014.801781</v>
      </c>
      <c r="BM1293" t="s">
        <v>380</v>
      </c>
      <c r="BO1293" t="s">
        <v>8782</v>
      </c>
      <c r="BS1293">
        <v>30</v>
      </c>
      <c r="BW1293" t="str">
        <f>""</f>
        <v/>
      </c>
      <c r="CH1293" t="str">
        <f>""</f>
        <v/>
      </c>
      <c r="CS1293" t="str">
        <f>""</f>
        <v/>
      </c>
    </row>
    <row r="1294" spans="1:97" x14ac:dyDescent="0.25">
      <c r="A1294" t="s">
        <v>1350</v>
      </c>
      <c r="B1294" t="s">
        <v>8783</v>
      </c>
      <c r="C1294" t="s">
        <v>1821</v>
      </c>
      <c r="D1294" t="s">
        <v>8783</v>
      </c>
      <c r="E1294" t="s">
        <v>8784</v>
      </c>
      <c r="F1294" t="s">
        <v>108</v>
      </c>
      <c r="H1294" t="s">
        <v>8785</v>
      </c>
      <c r="I1294" t="s">
        <v>2874</v>
      </c>
      <c r="J1294" t="s">
        <v>111</v>
      </c>
      <c r="K1294" t="str">
        <f>"85307"</f>
        <v>85307</v>
      </c>
      <c r="L1294" t="s">
        <v>6325</v>
      </c>
      <c r="M1294" t="s">
        <v>8785</v>
      </c>
      <c r="N1294" t="s">
        <v>2874</v>
      </c>
      <c r="O1294" t="s">
        <v>111</v>
      </c>
      <c r="P1294" t="str">
        <f>"85307-4005"</f>
        <v>85307-4005</v>
      </c>
      <c r="Q1294" t="s">
        <v>113</v>
      </c>
      <c r="R1294" t="str">
        <f>"102-16-006-V"</f>
        <v>102-16-006-V</v>
      </c>
      <c r="T1294" t="s">
        <v>8786</v>
      </c>
      <c r="U1294">
        <v>2172</v>
      </c>
      <c r="V1294">
        <v>0</v>
      </c>
      <c r="W1294">
        <v>2</v>
      </c>
      <c r="X1294">
        <v>1982</v>
      </c>
      <c r="Z1294">
        <v>1</v>
      </c>
      <c r="AB1294">
        <v>0</v>
      </c>
      <c r="AC1294" t="s">
        <v>115</v>
      </c>
      <c r="AD1294">
        <v>2</v>
      </c>
      <c r="AE1294" t="s">
        <v>115</v>
      </c>
      <c r="AF1294">
        <v>0</v>
      </c>
      <c r="AG1294">
        <v>0</v>
      </c>
      <c r="AH1294" t="s">
        <v>116</v>
      </c>
      <c r="AI1294" s="1">
        <v>54570</v>
      </c>
      <c r="AJ1294" s="2">
        <v>0.14000000000000001</v>
      </c>
      <c r="AK1294" s="1">
        <v>395746</v>
      </c>
      <c r="AL1294" t="s">
        <v>117</v>
      </c>
      <c r="AM1294" t="s">
        <v>3973</v>
      </c>
      <c r="AN1294">
        <v>43778</v>
      </c>
      <c r="AO1294">
        <v>1</v>
      </c>
      <c r="AP1294">
        <v>1</v>
      </c>
      <c r="AR1294">
        <v>1</v>
      </c>
      <c r="AS1294" s="1">
        <v>28600</v>
      </c>
      <c r="AT1294" s="1">
        <v>5720</v>
      </c>
      <c r="AU1294" s="1">
        <v>22880</v>
      </c>
      <c r="AV1294">
        <v>80</v>
      </c>
      <c r="AX1294" s="1">
        <v>2675.2</v>
      </c>
      <c r="AY1294" t="s">
        <v>8787</v>
      </c>
      <c r="AZ1294" t="s">
        <v>8787</v>
      </c>
      <c r="BA1294" t="s">
        <v>5118</v>
      </c>
      <c r="BE1294" s="3">
        <v>41953</v>
      </c>
      <c r="BF1294" s="1">
        <v>293000</v>
      </c>
      <c r="BG1294" t="s">
        <v>8788</v>
      </c>
      <c r="BH1294" s="1">
        <v>134.9</v>
      </c>
      <c r="BI1294" s="1">
        <v>291176</v>
      </c>
      <c r="BJ1294" s="3">
        <v>42963</v>
      </c>
      <c r="BK1294" t="s">
        <v>123</v>
      </c>
      <c r="BL1294" t="str">
        <f>"2017.605370"</f>
        <v>2017.605370</v>
      </c>
      <c r="BM1294" t="s">
        <v>1463</v>
      </c>
      <c r="BN1294">
        <v>92806</v>
      </c>
      <c r="BO1294" t="s">
        <v>8789</v>
      </c>
      <c r="BS1294">
        <v>30</v>
      </c>
      <c r="BT1294" s="1">
        <v>50000</v>
      </c>
      <c r="BU1294" s="3">
        <v>43593</v>
      </c>
      <c r="BV1294" t="s">
        <v>134</v>
      </c>
      <c r="BW1294" t="str">
        <f>"2019.331944"</f>
        <v>2019.331944</v>
      </c>
      <c r="BX1294" t="s">
        <v>135</v>
      </c>
      <c r="BY1294" t="s">
        <v>136</v>
      </c>
      <c r="BZ1294" t="s">
        <v>8790</v>
      </c>
      <c r="CA1294" t="s">
        <v>8791</v>
      </c>
      <c r="CC1294" t="s">
        <v>139</v>
      </c>
      <c r="CH1294" t="str">
        <f>""</f>
        <v/>
      </c>
      <c r="CS1294" t="str">
        <f>""</f>
        <v/>
      </c>
    </row>
    <row r="1295" spans="1:97" x14ac:dyDescent="0.25">
      <c r="A1295" t="s">
        <v>1514</v>
      </c>
      <c r="B1295" t="s">
        <v>3333</v>
      </c>
      <c r="C1295" t="s">
        <v>7901</v>
      </c>
      <c r="D1295" t="s">
        <v>3333</v>
      </c>
      <c r="E1295" t="s">
        <v>8792</v>
      </c>
      <c r="F1295" t="s">
        <v>108</v>
      </c>
      <c r="H1295" t="s">
        <v>8793</v>
      </c>
      <c r="I1295" t="s">
        <v>5387</v>
      </c>
      <c r="J1295" t="s">
        <v>111</v>
      </c>
      <c r="K1295" t="str">
        <f>"85284"</f>
        <v>85284</v>
      </c>
      <c r="L1295" t="s">
        <v>5524</v>
      </c>
      <c r="M1295" t="s">
        <v>8793</v>
      </c>
      <c r="N1295" t="s">
        <v>5387</v>
      </c>
      <c r="O1295" t="s">
        <v>111</v>
      </c>
      <c r="P1295" t="str">
        <f>"85284-2422"</f>
        <v>85284-2422</v>
      </c>
      <c r="Q1295" t="s">
        <v>113</v>
      </c>
      <c r="R1295" t="str">
        <f>"301-51-056"</f>
        <v>301-51-056</v>
      </c>
      <c r="S1295" t="s">
        <v>8794</v>
      </c>
      <c r="T1295" t="s">
        <v>8794</v>
      </c>
      <c r="U1295">
        <v>2752</v>
      </c>
      <c r="V1295">
        <v>0</v>
      </c>
      <c r="W1295">
        <v>3</v>
      </c>
      <c r="X1295">
        <v>1979</v>
      </c>
      <c r="Z1295">
        <v>1</v>
      </c>
      <c r="AA1295" t="s">
        <v>26</v>
      </c>
      <c r="AB1295">
        <v>0</v>
      </c>
      <c r="AC1295" t="s">
        <v>115</v>
      </c>
      <c r="AD1295">
        <v>2</v>
      </c>
      <c r="AE1295" t="s">
        <v>115</v>
      </c>
      <c r="AF1295">
        <v>0</v>
      </c>
      <c r="AG1295">
        <v>0</v>
      </c>
      <c r="AH1295" t="s">
        <v>116</v>
      </c>
      <c r="AI1295" s="1">
        <v>120965</v>
      </c>
      <c r="AJ1295" s="2">
        <v>0.18</v>
      </c>
      <c r="AK1295" s="1">
        <v>664497</v>
      </c>
      <c r="AL1295" t="s">
        <v>117</v>
      </c>
      <c r="AM1295" t="s">
        <v>3111</v>
      </c>
      <c r="AN1295">
        <v>26400</v>
      </c>
      <c r="AO1295">
        <v>0.61</v>
      </c>
      <c r="AP1295">
        <v>1</v>
      </c>
      <c r="AR1295">
        <v>1</v>
      </c>
      <c r="AS1295" s="1">
        <v>50520</v>
      </c>
      <c r="AT1295" s="1">
        <v>10100</v>
      </c>
      <c r="AU1295" s="1">
        <v>40420</v>
      </c>
      <c r="AV1295">
        <v>80.010000000000005</v>
      </c>
      <c r="AX1295" s="1">
        <v>4115.26</v>
      </c>
      <c r="AY1295" t="s">
        <v>8795</v>
      </c>
      <c r="AZ1295" t="s">
        <v>5391</v>
      </c>
      <c r="BA1295" t="s">
        <v>5202</v>
      </c>
      <c r="BE1295" s="3">
        <v>42020</v>
      </c>
      <c r="BF1295" s="1">
        <v>575000</v>
      </c>
      <c r="BG1295" t="s">
        <v>8796</v>
      </c>
      <c r="BH1295" s="1">
        <v>208.94</v>
      </c>
      <c r="BI1295" s="1">
        <v>543532</v>
      </c>
      <c r="BJ1295" s="3">
        <v>42020</v>
      </c>
      <c r="BK1295" t="s">
        <v>123</v>
      </c>
      <c r="BL1295" t="str">
        <f>"2015.31765"</f>
        <v>2015.31765</v>
      </c>
      <c r="BM1295" t="s">
        <v>8797</v>
      </c>
      <c r="BO1295" t="s">
        <v>8798</v>
      </c>
      <c r="BS1295">
        <v>30</v>
      </c>
      <c r="BW1295" t="str">
        <f>""</f>
        <v/>
      </c>
      <c r="CH1295" t="str">
        <f>""</f>
        <v/>
      </c>
      <c r="CS1295" t="str">
        <f>""</f>
        <v/>
      </c>
    </row>
    <row r="1296" spans="1:97" x14ac:dyDescent="0.25">
      <c r="A1296" t="s">
        <v>8799</v>
      </c>
      <c r="B1296" t="s">
        <v>2594</v>
      </c>
      <c r="C1296" t="s">
        <v>4573</v>
      </c>
      <c r="D1296" t="s">
        <v>2594</v>
      </c>
      <c r="E1296" t="s">
        <v>8800</v>
      </c>
      <c r="F1296" t="s">
        <v>108</v>
      </c>
      <c r="H1296" t="s">
        <v>8801</v>
      </c>
      <c r="I1296" t="s">
        <v>203</v>
      </c>
      <c r="J1296" t="s">
        <v>111</v>
      </c>
      <c r="K1296" t="str">
        <f>"85295"</f>
        <v>85295</v>
      </c>
      <c r="L1296" t="s">
        <v>7109</v>
      </c>
      <c r="M1296" t="s">
        <v>8801</v>
      </c>
      <c r="N1296" t="s">
        <v>203</v>
      </c>
      <c r="O1296" t="s">
        <v>111</v>
      </c>
      <c r="P1296" t="str">
        <f>"85295-8343"</f>
        <v>85295-8343</v>
      </c>
      <c r="Q1296" t="s">
        <v>113</v>
      </c>
      <c r="R1296" t="str">
        <f>"304-45-387"</f>
        <v>304-45-387</v>
      </c>
      <c r="S1296" t="s">
        <v>8802</v>
      </c>
      <c r="T1296" t="s">
        <v>8803</v>
      </c>
      <c r="U1296">
        <v>4588</v>
      </c>
      <c r="V1296">
        <v>0</v>
      </c>
      <c r="W1296">
        <v>5</v>
      </c>
      <c r="X1296">
        <v>2004</v>
      </c>
      <c r="Z1296">
        <v>2</v>
      </c>
      <c r="AA1296" t="s">
        <v>26</v>
      </c>
      <c r="AB1296">
        <v>0</v>
      </c>
      <c r="AC1296" t="s">
        <v>115</v>
      </c>
      <c r="AD1296">
        <v>3</v>
      </c>
      <c r="AE1296" t="s">
        <v>115</v>
      </c>
      <c r="AF1296">
        <v>0</v>
      </c>
      <c r="AG1296">
        <v>0</v>
      </c>
      <c r="AH1296" t="s">
        <v>116</v>
      </c>
      <c r="AI1296" s="1">
        <v>165826</v>
      </c>
      <c r="AJ1296" s="2">
        <v>0.27</v>
      </c>
      <c r="AK1296" s="1">
        <v>615376</v>
      </c>
      <c r="AL1296" t="s">
        <v>117</v>
      </c>
      <c r="AM1296" t="s">
        <v>171</v>
      </c>
      <c r="AN1296">
        <v>9600</v>
      </c>
      <c r="AO1296">
        <v>0.22</v>
      </c>
      <c r="AP1296">
        <v>1</v>
      </c>
      <c r="AR1296">
        <v>1</v>
      </c>
      <c r="AS1296" s="1">
        <v>43360</v>
      </c>
      <c r="AT1296" s="1">
        <v>8670</v>
      </c>
      <c r="AU1296" s="1">
        <v>34690</v>
      </c>
      <c r="AV1296">
        <v>80</v>
      </c>
      <c r="AX1296" s="1">
        <v>3685.8</v>
      </c>
      <c r="AY1296" t="s">
        <v>1818</v>
      </c>
      <c r="AZ1296" t="s">
        <v>207</v>
      </c>
      <c r="BA1296" t="s">
        <v>208</v>
      </c>
      <c r="BE1296" s="3">
        <v>42551</v>
      </c>
      <c r="BF1296" s="1">
        <v>532000</v>
      </c>
      <c r="BG1296" t="s">
        <v>8804</v>
      </c>
      <c r="BH1296" s="1">
        <v>115.95</v>
      </c>
      <c r="BI1296" s="1">
        <v>449550</v>
      </c>
      <c r="BJ1296" s="3">
        <v>42551</v>
      </c>
      <c r="BK1296" t="s">
        <v>123</v>
      </c>
      <c r="BL1296" t="str">
        <f>"2016.461593"</f>
        <v>2016.461593</v>
      </c>
      <c r="BM1296" t="s">
        <v>724</v>
      </c>
      <c r="BO1296" t="s">
        <v>8805</v>
      </c>
      <c r="BS1296">
        <v>30</v>
      </c>
      <c r="BW1296" t="str">
        <f>""</f>
        <v/>
      </c>
      <c r="CH1296" t="str">
        <f>""</f>
        <v/>
      </c>
      <c r="CS1296" t="str">
        <f>""</f>
        <v/>
      </c>
    </row>
    <row r="1297" spans="1:97" x14ac:dyDescent="0.25">
      <c r="A1297" t="s">
        <v>2123</v>
      </c>
      <c r="B1297" t="s">
        <v>4341</v>
      </c>
      <c r="E1297" t="s">
        <v>8806</v>
      </c>
      <c r="F1297" t="s">
        <v>108</v>
      </c>
      <c r="H1297" t="s">
        <v>8807</v>
      </c>
      <c r="I1297" t="s">
        <v>225</v>
      </c>
      <c r="J1297" t="s">
        <v>111</v>
      </c>
      <c r="K1297" t="str">
        <f>"85212"</f>
        <v>85212</v>
      </c>
      <c r="L1297" t="s">
        <v>8808</v>
      </c>
      <c r="M1297" t="s">
        <v>8807</v>
      </c>
      <c r="N1297" t="s">
        <v>225</v>
      </c>
      <c r="O1297" t="s">
        <v>111</v>
      </c>
      <c r="P1297" t="str">
        <f>"85212-5143"</f>
        <v>85212-5143</v>
      </c>
      <c r="Q1297" t="s">
        <v>113</v>
      </c>
      <c r="R1297" t="str">
        <f>"312-05-503"</f>
        <v>312-05-503</v>
      </c>
      <c r="S1297" t="s">
        <v>8809</v>
      </c>
      <c r="T1297" t="s">
        <v>8810</v>
      </c>
      <c r="U1297">
        <v>1901</v>
      </c>
      <c r="V1297">
        <v>0</v>
      </c>
      <c r="W1297">
        <v>4</v>
      </c>
      <c r="X1297">
        <v>2008</v>
      </c>
      <c r="Z1297">
        <v>2</v>
      </c>
      <c r="AB1297">
        <v>0</v>
      </c>
      <c r="AC1297" t="s">
        <v>115</v>
      </c>
      <c r="AD1297">
        <v>2</v>
      </c>
      <c r="AE1297" t="s">
        <v>115</v>
      </c>
      <c r="AF1297">
        <v>0</v>
      </c>
      <c r="AG1297">
        <v>0</v>
      </c>
      <c r="AH1297" t="s">
        <v>116</v>
      </c>
      <c r="AI1297" s="1">
        <v>41154</v>
      </c>
      <c r="AJ1297" s="2">
        <v>0.14000000000000001</v>
      </c>
      <c r="AK1297" s="1">
        <v>289947</v>
      </c>
      <c r="AL1297" t="s">
        <v>117</v>
      </c>
      <c r="AM1297" t="s">
        <v>229</v>
      </c>
      <c r="AN1297">
        <v>4988</v>
      </c>
      <c r="AO1297">
        <v>0.12</v>
      </c>
      <c r="AR1297">
        <v>1</v>
      </c>
      <c r="AS1297" s="1">
        <v>19150</v>
      </c>
      <c r="AT1297" s="1">
        <v>3830</v>
      </c>
      <c r="AU1297" s="1">
        <v>15320</v>
      </c>
      <c r="AV1297">
        <v>80</v>
      </c>
      <c r="AX1297" s="1">
        <v>1731.56</v>
      </c>
      <c r="AY1297" t="s">
        <v>560</v>
      </c>
      <c r="AZ1297" t="s">
        <v>561</v>
      </c>
      <c r="BA1297" t="s">
        <v>194</v>
      </c>
      <c r="BE1297" s="3">
        <v>41856</v>
      </c>
      <c r="BF1297" s="1">
        <v>204400</v>
      </c>
      <c r="BG1297" t="s">
        <v>8811</v>
      </c>
      <c r="BH1297" s="1">
        <v>107.52</v>
      </c>
      <c r="BI1297" s="1">
        <v>208793</v>
      </c>
      <c r="BJ1297" s="3">
        <v>41856</v>
      </c>
      <c r="BK1297" t="s">
        <v>123</v>
      </c>
      <c r="BL1297" t="str">
        <f>"2014.514768"</f>
        <v>2014.514768</v>
      </c>
      <c r="BM1297" t="s">
        <v>724</v>
      </c>
      <c r="BN1297" t="s">
        <v>5737</v>
      </c>
      <c r="BO1297" t="s">
        <v>8812</v>
      </c>
      <c r="BS1297">
        <v>30</v>
      </c>
      <c r="BT1297" s="1">
        <v>40000</v>
      </c>
      <c r="BU1297" s="3">
        <v>43693</v>
      </c>
      <c r="BV1297" t="s">
        <v>134</v>
      </c>
      <c r="BW1297" t="str">
        <f>"2019.632158"</f>
        <v>2019.632158</v>
      </c>
      <c r="BX1297" t="s">
        <v>135</v>
      </c>
      <c r="BY1297" t="s">
        <v>136</v>
      </c>
      <c r="BZ1297" t="s">
        <v>8806</v>
      </c>
      <c r="CC1297" t="s">
        <v>139</v>
      </c>
      <c r="CH1297" t="str">
        <f>""</f>
        <v/>
      </c>
      <c r="CS1297" t="str">
        <f>""</f>
        <v/>
      </c>
    </row>
    <row r="1298" spans="1:97" x14ac:dyDescent="0.25">
      <c r="A1298" t="s">
        <v>996</v>
      </c>
      <c r="B1298" t="s">
        <v>8813</v>
      </c>
      <c r="E1298" t="s">
        <v>8814</v>
      </c>
      <c r="F1298" t="s">
        <v>108</v>
      </c>
      <c r="H1298" t="s">
        <v>8815</v>
      </c>
      <c r="I1298" t="s">
        <v>453</v>
      </c>
      <c r="J1298" t="s">
        <v>111</v>
      </c>
      <c r="K1298" t="str">
        <f>"85383"</f>
        <v>85383</v>
      </c>
      <c r="L1298" t="s">
        <v>337</v>
      </c>
      <c r="M1298" t="s">
        <v>8815</v>
      </c>
      <c r="N1298" t="s">
        <v>453</v>
      </c>
      <c r="O1298" t="s">
        <v>111</v>
      </c>
      <c r="P1298" t="str">
        <f>"85383-5271"</f>
        <v>85383-5271</v>
      </c>
      <c r="Q1298" t="s">
        <v>113</v>
      </c>
      <c r="R1298" t="str">
        <f>"510-06-769"</f>
        <v>510-06-769</v>
      </c>
      <c r="S1298" t="s">
        <v>8816</v>
      </c>
      <c r="U1298">
        <v>1361</v>
      </c>
      <c r="V1298">
        <v>0</v>
      </c>
      <c r="W1298">
        <v>3</v>
      </c>
      <c r="X1298">
        <v>2010</v>
      </c>
      <c r="Z1298">
        <v>1</v>
      </c>
      <c r="AB1298">
        <v>0</v>
      </c>
      <c r="AC1298" t="s">
        <v>115</v>
      </c>
      <c r="AD1298">
        <v>2</v>
      </c>
      <c r="AE1298" t="s">
        <v>115</v>
      </c>
      <c r="AF1298">
        <v>0</v>
      </c>
      <c r="AG1298">
        <v>0</v>
      </c>
      <c r="AH1298" t="s">
        <v>116</v>
      </c>
      <c r="AI1298" s="1">
        <v>58735</v>
      </c>
      <c r="AJ1298" s="2">
        <v>0.18</v>
      </c>
      <c r="AK1298" s="1">
        <v>329897</v>
      </c>
      <c r="AL1298" t="s">
        <v>117</v>
      </c>
      <c r="AM1298" t="s">
        <v>118</v>
      </c>
      <c r="AN1298">
        <v>5883</v>
      </c>
      <c r="AO1298">
        <v>0.14000000000000001</v>
      </c>
      <c r="AR1298">
        <v>1</v>
      </c>
      <c r="AS1298" s="1">
        <v>23870</v>
      </c>
      <c r="AT1298" s="1">
        <v>4770</v>
      </c>
      <c r="AU1298" s="1">
        <v>19100</v>
      </c>
      <c r="AV1298">
        <v>80.02</v>
      </c>
      <c r="AX1298" s="1">
        <v>2718.72</v>
      </c>
      <c r="AY1298" t="s">
        <v>456</v>
      </c>
      <c r="AZ1298" t="s">
        <v>456</v>
      </c>
      <c r="BA1298" t="s">
        <v>457</v>
      </c>
      <c r="BE1298" s="3">
        <v>42527</v>
      </c>
      <c r="BF1298" s="1">
        <v>262500</v>
      </c>
      <c r="BG1298" t="s">
        <v>8817</v>
      </c>
      <c r="BH1298" s="1">
        <v>192.87</v>
      </c>
      <c r="BI1298" s="1">
        <v>271162</v>
      </c>
      <c r="BJ1298" s="3">
        <v>42527</v>
      </c>
      <c r="BK1298" t="s">
        <v>123</v>
      </c>
      <c r="BL1298" t="str">
        <f>"2016.390051"</f>
        <v>2016.390051</v>
      </c>
      <c r="BM1298" t="s">
        <v>724</v>
      </c>
      <c r="BO1298" t="s">
        <v>8818</v>
      </c>
      <c r="BS1298">
        <v>30</v>
      </c>
      <c r="BW1298" t="str">
        <f>""</f>
        <v/>
      </c>
      <c r="CH1298" t="str">
        <f>""</f>
        <v/>
      </c>
      <c r="CS1298" t="str">
        <f>""</f>
        <v/>
      </c>
    </row>
    <row r="1299" spans="1:97" x14ac:dyDescent="0.25">
      <c r="A1299" t="s">
        <v>8819</v>
      </c>
      <c r="B1299" t="s">
        <v>1428</v>
      </c>
      <c r="C1299" t="s">
        <v>8500</v>
      </c>
      <c r="D1299" t="s">
        <v>7143</v>
      </c>
      <c r="E1299" t="s">
        <v>8820</v>
      </c>
      <c r="F1299" t="s">
        <v>108</v>
      </c>
      <c r="H1299" t="s">
        <v>8821</v>
      </c>
      <c r="I1299" t="s">
        <v>110</v>
      </c>
      <c r="J1299" t="s">
        <v>111</v>
      </c>
      <c r="K1299" t="str">
        <f>"85249"</f>
        <v>85249</v>
      </c>
      <c r="L1299" t="s">
        <v>7725</v>
      </c>
      <c r="M1299" t="s">
        <v>8821</v>
      </c>
      <c r="N1299" t="s">
        <v>110</v>
      </c>
      <c r="O1299" t="s">
        <v>111</v>
      </c>
      <c r="P1299" t="str">
        <f>"85249-2838"</f>
        <v>85249-2838</v>
      </c>
      <c r="Q1299" t="s">
        <v>113</v>
      </c>
      <c r="R1299" t="str">
        <f>"303-91-082"</f>
        <v>303-91-082</v>
      </c>
      <c r="S1299" t="s">
        <v>8822</v>
      </c>
      <c r="T1299" t="s">
        <v>8822</v>
      </c>
      <c r="U1299">
        <v>2904</v>
      </c>
      <c r="V1299">
        <v>0</v>
      </c>
      <c r="W1299">
        <v>4</v>
      </c>
      <c r="X1299">
        <v>2003</v>
      </c>
      <c r="Z1299">
        <v>1</v>
      </c>
      <c r="AA1299" t="s">
        <v>26</v>
      </c>
      <c r="AB1299">
        <v>0</v>
      </c>
      <c r="AC1299" t="s">
        <v>115</v>
      </c>
      <c r="AD1299">
        <v>3</v>
      </c>
      <c r="AE1299" t="s">
        <v>115</v>
      </c>
      <c r="AF1299">
        <v>0</v>
      </c>
      <c r="AG1299">
        <v>0</v>
      </c>
      <c r="AH1299" t="s">
        <v>116</v>
      </c>
      <c r="AI1299" s="1">
        <v>86867</v>
      </c>
      <c r="AJ1299" s="2">
        <v>0.17</v>
      </c>
      <c r="AK1299" s="1">
        <v>514367</v>
      </c>
      <c r="AL1299" t="s">
        <v>117</v>
      </c>
      <c r="AM1299" t="s">
        <v>118</v>
      </c>
      <c r="AN1299">
        <v>10737</v>
      </c>
      <c r="AO1299">
        <v>0.25</v>
      </c>
      <c r="AP1299">
        <v>1</v>
      </c>
      <c r="AR1299">
        <v>1</v>
      </c>
      <c r="AS1299" s="1">
        <v>38480</v>
      </c>
      <c r="AT1299" s="1">
        <v>7690</v>
      </c>
      <c r="AU1299" s="1">
        <v>30790</v>
      </c>
      <c r="AV1299">
        <v>80.02</v>
      </c>
      <c r="AX1299" s="1">
        <v>4302.04</v>
      </c>
      <c r="AY1299" t="s">
        <v>6854</v>
      </c>
      <c r="AZ1299" t="s">
        <v>120</v>
      </c>
      <c r="BA1299" t="s">
        <v>274</v>
      </c>
      <c r="BB1299" s="3">
        <v>42517</v>
      </c>
      <c r="BD1299" t="s">
        <v>3523</v>
      </c>
      <c r="BE1299" s="3">
        <v>42513</v>
      </c>
      <c r="BF1299" s="1">
        <v>431000</v>
      </c>
      <c r="BG1299" t="s">
        <v>8823</v>
      </c>
      <c r="BH1299" s="1">
        <v>148.41999999999999</v>
      </c>
      <c r="BI1299" s="1">
        <v>427500</v>
      </c>
      <c r="BJ1299" s="3">
        <v>42513</v>
      </c>
      <c r="BK1299" t="s">
        <v>123</v>
      </c>
      <c r="BL1299" t="str">
        <f>"2016.350599"</f>
        <v>2016.350599</v>
      </c>
      <c r="BM1299" t="s">
        <v>5567</v>
      </c>
      <c r="BO1299" t="s">
        <v>8824</v>
      </c>
      <c r="BS1299">
        <v>30</v>
      </c>
      <c r="BW1299" t="str">
        <f>""</f>
        <v/>
      </c>
      <c r="CH1299" t="str">
        <f>""</f>
        <v/>
      </c>
      <c r="CS1299" t="str">
        <f>""</f>
        <v/>
      </c>
    </row>
    <row r="1300" spans="1:97" x14ac:dyDescent="0.25">
      <c r="A1300" t="s">
        <v>370</v>
      </c>
      <c r="B1300" t="s">
        <v>8825</v>
      </c>
      <c r="C1300" t="s">
        <v>8826</v>
      </c>
      <c r="D1300" t="s">
        <v>8825</v>
      </c>
      <c r="E1300" t="s">
        <v>8827</v>
      </c>
      <c r="F1300" t="s">
        <v>108</v>
      </c>
      <c r="H1300" t="s">
        <v>8828</v>
      </c>
      <c r="I1300" t="s">
        <v>1936</v>
      </c>
      <c r="J1300" t="s">
        <v>111</v>
      </c>
      <c r="K1300" t="str">
        <f>"85259"</f>
        <v>85259</v>
      </c>
      <c r="L1300" t="s">
        <v>558</v>
      </c>
      <c r="M1300" t="s">
        <v>8828</v>
      </c>
      <c r="N1300" t="s">
        <v>1936</v>
      </c>
      <c r="O1300" t="s">
        <v>111</v>
      </c>
      <c r="P1300" t="str">
        <f>"85259-4607"</f>
        <v>85259-4607</v>
      </c>
      <c r="Q1300" t="s">
        <v>113</v>
      </c>
      <c r="R1300" t="str">
        <f>"217-30-196"</f>
        <v>217-30-196</v>
      </c>
      <c r="S1300" t="s">
        <v>8829</v>
      </c>
      <c r="T1300" t="s">
        <v>8829</v>
      </c>
      <c r="U1300">
        <v>3459</v>
      </c>
      <c r="V1300">
        <v>0</v>
      </c>
      <c r="W1300">
        <v>4</v>
      </c>
      <c r="X1300">
        <v>1997</v>
      </c>
      <c r="Z1300">
        <v>2</v>
      </c>
      <c r="AA1300" t="s">
        <v>26</v>
      </c>
      <c r="AB1300">
        <v>0</v>
      </c>
      <c r="AC1300" t="s">
        <v>115</v>
      </c>
      <c r="AD1300">
        <v>3</v>
      </c>
      <c r="AE1300" t="s">
        <v>115</v>
      </c>
      <c r="AF1300">
        <v>0</v>
      </c>
      <c r="AG1300">
        <v>0</v>
      </c>
      <c r="AH1300" t="s">
        <v>116</v>
      </c>
      <c r="AI1300" s="1">
        <v>40724</v>
      </c>
      <c r="AJ1300" s="2">
        <v>7.0000000000000007E-2</v>
      </c>
      <c r="AK1300" s="1">
        <v>626186</v>
      </c>
      <c r="AL1300" t="s">
        <v>117</v>
      </c>
      <c r="AM1300" t="s">
        <v>1302</v>
      </c>
      <c r="AN1300">
        <v>12806</v>
      </c>
      <c r="AO1300">
        <v>0.28999999999999998</v>
      </c>
      <c r="AP1300">
        <v>1</v>
      </c>
      <c r="AR1300">
        <v>1</v>
      </c>
      <c r="AS1300" s="1">
        <v>55980</v>
      </c>
      <c r="AT1300" s="1">
        <v>11190</v>
      </c>
      <c r="AU1300" s="1">
        <v>44790</v>
      </c>
      <c r="AV1300">
        <v>80.010000000000005</v>
      </c>
      <c r="AX1300" s="1">
        <v>4239.04</v>
      </c>
      <c r="AY1300" t="s">
        <v>6534</v>
      </c>
      <c r="AZ1300" t="s">
        <v>5762</v>
      </c>
      <c r="BA1300" t="s">
        <v>5763</v>
      </c>
      <c r="BE1300" s="3">
        <v>42223</v>
      </c>
      <c r="BF1300" s="1">
        <v>635000</v>
      </c>
      <c r="BG1300" t="s">
        <v>8830</v>
      </c>
      <c r="BH1300" s="1">
        <v>183.58</v>
      </c>
      <c r="BI1300" s="1">
        <v>585462</v>
      </c>
      <c r="BJ1300" s="3">
        <v>42558</v>
      </c>
      <c r="BK1300" t="s">
        <v>123</v>
      </c>
      <c r="BL1300" t="str">
        <f>"2016.475071"</f>
        <v>2016.475071</v>
      </c>
      <c r="BM1300" t="s">
        <v>322</v>
      </c>
      <c r="BO1300" t="s">
        <v>8831</v>
      </c>
      <c r="BS1300">
        <v>30</v>
      </c>
      <c r="BW1300" t="str">
        <f>""</f>
        <v/>
      </c>
      <c r="CH1300" t="str">
        <f>""</f>
        <v/>
      </c>
      <c r="CS1300" t="str">
        <f>""</f>
        <v/>
      </c>
    </row>
    <row r="1301" spans="1:97" x14ac:dyDescent="0.25">
      <c r="A1301" t="s">
        <v>305</v>
      </c>
      <c r="B1301" t="s">
        <v>8832</v>
      </c>
      <c r="E1301" t="s">
        <v>8833</v>
      </c>
      <c r="F1301" t="s">
        <v>108</v>
      </c>
      <c r="H1301" t="s">
        <v>8834</v>
      </c>
      <c r="I1301" t="s">
        <v>6646</v>
      </c>
      <c r="J1301" t="s">
        <v>111</v>
      </c>
      <c r="K1301" t="str">
        <f>"85086"</f>
        <v>85086</v>
      </c>
      <c r="L1301" t="s">
        <v>2015</v>
      </c>
      <c r="M1301" t="s">
        <v>8834</v>
      </c>
      <c r="N1301" t="s">
        <v>6646</v>
      </c>
      <c r="O1301" t="s">
        <v>111</v>
      </c>
      <c r="P1301" t="str">
        <f>"85086-1773"</f>
        <v>85086-1773</v>
      </c>
      <c r="Q1301" t="s">
        <v>113</v>
      </c>
      <c r="R1301" t="str">
        <f>"203-07-751"</f>
        <v>203-07-751</v>
      </c>
      <c r="S1301" t="s">
        <v>8835</v>
      </c>
      <c r="U1301">
        <v>2350</v>
      </c>
      <c r="V1301">
        <v>0</v>
      </c>
      <c r="W1301">
        <v>4</v>
      </c>
      <c r="X1301">
        <v>2002</v>
      </c>
      <c r="Z1301">
        <v>2</v>
      </c>
      <c r="AA1301" t="s">
        <v>26</v>
      </c>
      <c r="AB1301">
        <v>0</v>
      </c>
      <c r="AC1301" t="s">
        <v>115</v>
      </c>
      <c r="AD1301">
        <v>3</v>
      </c>
      <c r="AE1301" t="s">
        <v>115</v>
      </c>
      <c r="AF1301">
        <v>0</v>
      </c>
      <c r="AG1301">
        <v>0</v>
      </c>
      <c r="AH1301" t="s">
        <v>116</v>
      </c>
      <c r="AI1301" s="1">
        <v>80726</v>
      </c>
      <c r="AJ1301" s="2">
        <v>0.21</v>
      </c>
      <c r="AK1301" s="1">
        <v>380726</v>
      </c>
      <c r="AL1301" t="s">
        <v>117</v>
      </c>
      <c r="AM1301" t="s">
        <v>393</v>
      </c>
      <c r="AN1301">
        <v>7323</v>
      </c>
      <c r="AO1301">
        <v>0.17</v>
      </c>
      <c r="AP1301">
        <v>1</v>
      </c>
      <c r="AR1301">
        <v>1</v>
      </c>
      <c r="AS1301" s="1">
        <v>26970</v>
      </c>
      <c r="AT1301" s="1">
        <v>5390</v>
      </c>
      <c r="AU1301" s="1">
        <v>21580</v>
      </c>
      <c r="AV1301">
        <v>80.010000000000005</v>
      </c>
      <c r="AX1301" s="1">
        <v>3052.2</v>
      </c>
      <c r="AY1301" t="s">
        <v>665</v>
      </c>
      <c r="AZ1301" t="s">
        <v>665</v>
      </c>
      <c r="BA1301" t="s">
        <v>378</v>
      </c>
      <c r="BE1301" s="3">
        <v>42503</v>
      </c>
      <c r="BF1301" s="1">
        <v>330000</v>
      </c>
      <c r="BG1301" t="s">
        <v>8836</v>
      </c>
      <c r="BH1301" s="1">
        <v>140.43</v>
      </c>
      <c r="BI1301" s="1">
        <v>300000</v>
      </c>
      <c r="BJ1301" s="3">
        <v>42503</v>
      </c>
      <c r="BK1301" t="s">
        <v>123</v>
      </c>
      <c r="BL1301" t="str">
        <f>"2016.328799"</f>
        <v>2016.328799</v>
      </c>
      <c r="BM1301" t="s">
        <v>135</v>
      </c>
      <c r="BO1301" t="s">
        <v>8837</v>
      </c>
      <c r="BS1301">
        <v>30</v>
      </c>
      <c r="BW1301" t="str">
        <f>""</f>
        <v/>
      </c>
      <c r="CH1301" t="str">
        <f>""</f>
        <v/>
      </c>
      <c r="CS1301" t="str">
        <f>""</f>
        <v/>
      </c>
    </row>
    <row r="1302" spans="1:97" x14ac:dyDescent="0.25">
      <c r="A1302" t="s">
        <v>305</v>
      </c>
      <c r="B1302" t="s">
        <v>8838</v>
      </c>
      <c r="C1302" t="s">
        <v>8839</v>
      </c>
      <c r="D1302" t="s">
        <v>8838</v>
      </c>
      <c r="E1302" t="s">
        <v>8840</v>
      </c>
      <c r="F1302" t="s">
        <v>108</v>
      </c>
      <c r="H1302" t="s">
        <v>8841</v>
      </c>
      <c r="I1302" t="s">
        <v>225</v>
      </c>
      <c r="J1302" t="s">
        <v>111</v>
      </c>
      <c r="K1302" t="str">
        <f>"85212"</f>
        <v>85212</v>
      </c>
      <c r="L1302" t="s">
        <v>6595</v>
      </c>
      <c r="M1302" t="s">
        <v>8841</v>
      </c>
      <c r="N1302" t="s">
        <v>225</v>
      </c>
      <c r="O1302" t="s">
        <v>111</v>
      </c>
      <c r="P1302" t="str">
        <f>"85212-3211"</f>
        <v>85212-3211</v>
      </c>
      <c r="Q1302" t="s">
        <v>113</v>
      </c>
      <c r="R1302" t="str">
        <f>"304-89-261"</f>
        <v>304-89-261</v>
      </c>
      <c r="S1302" t="s">
        <v>8842</v>
      </c>
      <c r="T1302" t="s">
        <v>8842</v>
      </c>
      <c r="U1302">
        <v>2013</v>
      </c>
      <c r="V1302">
        <v>0</v>
      </c>
      <c r="W1302">
        <v>3</v>
      </c>
      <c r="X1302">
        <v>2014</v>
      </c>
      <c r="Z1302">
        <v>1</v>
      </c>
      <c r="AB1302">
        <v>0</v>
      </c>
      <c r="AC1302" t="s">
        <v>115</v>
      </c>
      <c r="AD1302">
        <v>2</v>
      </c>
      <c r="AE1302" t="s">
        <v>115</v>
      </c>
      <c r="AF1302">
        <v>0</v>
      </c>
      <c r="AG1302">
        <v>0</v>
      </c>
      <c r="AH1302" t="s">
        <v>116</v>
      </c>
      <c r="AI1302" s="1">
        <v>95482</v>
      </c>
      <c r="AJ1302" s="2">
        <v>0.28000000000000003</v>
      </c>
      <c r="AK1302" s="1">
        <v>344859</v>
      </c>
      <c r="AL1302" t="s">
        <v>117</v>
      </c>
      <c r="AM1302" t="s">
        <v>191</v>
      </c>
      <c r="AN1302">
        <v>6600</v>
      </c>
      <c r="AO1302">
        <v>0.15</v>
      </c>
      <c r="AR1302">
        <v>1</v>
      </c>
      <c r="AS1302" s="1">
        <v>23950</v>
      </c>
      <c r="AT1302" s="1">
        <v>4790</v>
      </c>
      <c r="AU1302" s="1">
        <v>19160</v>
      </c>
      <c r="AV1302">
        <v>80</v>
      </c>
      <c r="AX1302" s="1">
        <v>1850.44</v>
      </c>
      <c r="AY1302" t="s">
        <v>560</v>
      </c>
      <c r="AZ1302" t="s">
        <v>561</v>
      </c>
      <c r="BA1302" t="s">
        <v>194</v>
      </c>
      <c r="BE1302" s="3">
        <v>42061</v>
      </c>
      <c r="BF1302" s="1">
        <v>249377</v>
      </c>
      <c r="BG1302" t="s">
        <v>8843</v>
      </c>
      <c r="BH1302" s="1">
        <v>123.88</v>
      </c>
      <c r="BI1302" s="1">
        <v>249377</v>
      </c>
      <c r="BJ1302" s="3">
        <v>42061</v>
      </c>
      <c r="BK1302" t="s">
        <v>123</v>
      </c>
      <c r="BL1302" t="str">
        <f>"2015.126949"</f>
        <v>2015.126949</v>
      </c>
      <c r="BM1302" t="s">
        <v>5348</v>
      </c>
      <c r="BO1302" t="s">
        <v>8844</v>
      </c>
      <c r="BS1302">
        <v>30</v>
      </c>
      <c r="BW1302" t="str">
        <f>""</f>
        <v/>
      </c>
      <c r="CH1302" t="str">
        <f>""</f>
        <v/>
      </c>
      <c r="CS1302" t="str">
        <f>""</f>
        <v/>
      </c>
    </row>
    <row r="1303" spans="1:97" x14ac:dyDescent="0.25">
      <c r="B1303" t="s">
        <v>8845</v>
      </c>
      <c r="E1303" t="s">
        <v>8845</v>
      </c>
      <c r="F1303" t="s">
        <v>108</v>
      </c>
      <c r="H1303" t="s">
        <v>8846</v>
      </c>
      <c r="I1303" t="s">
        <v>453</v>
      </c>
      <c r="J1303" t="s">
        <v>111</v>
      </c>
      <c r="K1303" t="str">
        <f>"85383"</f>
        <v>85383</v>
      </c>
      <c r="L1303" t="s">
        <v>7243</v>
      </c>
      <c r="M1303" t="s">
        <v>8846</v>
      </c>
      <c r="N1303" t="s">
        <v>453</v>
      </c>
      <c r="O1303" t="s">
        <v>111</v>
      </c>
      <c r="P1303" t="str">
        <f>"85383-6294"</f>
        <v>85383-6294</v>
      </c>
      <c r="Q1303" t="s">
        <v>113</v>
      </c>
      <c r="R1303" t="str">
        <f>"201-20-349"</f>
        <v>201-20-349</v>
      </c>
      <c r="S1303" t="s">
        <v>8847</v>
      </c>
      <c r="T1303" t="s">
        <v>8847</v>
      </c>
      <c r="U1303">
        <v>2560</v>
      </c>
      <c r="V1303">
        <v>0</v>
      </c>
      <c r="W1303">
        <v>4</v>
      </c>
      <c r="X1303">
        <v>2014</v>
      </c>
      <c r="Z1303">
        <v>1</v>
      </c>
      <c r="AA1303" t="s">
        <v>26</v>
      </c>
      <c r="AB1303">
        <v>0</v>
      </c>
      <c r="AC1303" t="s">
        <v>115</v>
      </c>
      <c r="AD1303">
        <v>2</v>
      </c>
      <c r="AE1303" t="s">
        <v>115</v>
      </c>
      <c r="AF1303">
        <v>0</v>
      </c>
      <c r="AG1303">
        <v>0</v>
      </c>
      <c r="AH1303" t="s">
        <v>116</v>
      </c>
      <c r="AI1303" s="1">
        <v>121165</v>
      </c>
      <c r="AJ1303" s="2">
        <v>0.28999999999999998</v>
      </c>
      <c r="AK1303" s="1">
        <v>422270</v>
      </c>
      <c r="AL1303" t="s">
        <v>117</v>
      </c>
      <c r="AM1303" t="s">
        <v>118</v>
      </c>
      <c r="AN1303">
        <v>8507</v>
      </c>
      <c r="AO1303">
        <v>0.2</v>
      </c>
      <c r="AR1303">
        <v>1</v>
      </c>
      <c r="AS1303" s="1">
        <v>33470</v>
      </c>
      <c r="AT1303" s="1">
        <v>6690</v>
      </c>
      <c r="AU1303" s="1">
        <v>26780</v>
      </c>
      <c r="AV1303">
        <v>80.010000000000005</v>
      </c>
      <c r="AX1303" s="1">
        <v>2514.92</v>
      </c>
      <c r="AY1303" t="s">
        <v>1385</v>
      </c>
      <c r="AZ1303" t="s">
        <v>1385</v>
      </c>
      <c r="BA1303" t="s">
        <v>1386</v>
      </c>
      <c r="BB1303" s="3">
        <v>42599</v>
      </c>
      <c r="BD1303" t="s">
        <v>240</v>
      </c>
      <c r="BE1303" s="3">
        <v>41968</v>
      </c>
      <c r="BF1303" s="1">
        <v>398069</v>
      </c>
      <c r="BG1303" t="s">
        <v>158</v>
      </c>
      <c r="BH1303" s="1">
        <v>155.5</v>
      </c>
      <c r="BI1303" s="1">
        <v>301105</v>
      </c>
      <c r="BJ1303" s="3">
        <v>41968</v>
      </c>
      <c r="BK1303" t="s">
        <v>123</v>
      </c>
      <c r="BL1303" t="str">
        <f>"2014.781425"</f>
        <v>2014.781425</v>
      </c>
      <c r="BM1303" t="s">
        <v>820</v>
      </c>
      <c r="BO1303" t="s">
        <v>8848</v>
      </c>
      <c r="BS1303">
        <v>30</v>
      </c>
      <c r="BW1303" t="str">
        <f>""</f>
        <v/>
      </c>
      <c r="CH1303" t="str">
        <f>""</f>
        <v/>
      </c>
      <c r="CS1303" t="str">
        <f>""</f>
        <v/>
      </c>
    </row>
    <row r="1304" spans="1:97" x14ac:dyDescent="0.25">
      <c r="A1304" t="s">
        <v>3089</v>
      </c>
      <c r="B1304" t="s">
        <v>8849</v>
      </c>
      <c r="C1304" t="s">
        <v>365</v>
      </c>
      <c r="D1304" t="s">
        <v>8849</v>
      </c>
      <c r="E1304" t="s">
        <v>8850</v>
      </c>
      <c r="F1304" t="s">
        <v>108</v>
      </c>
      <c r="H1304" t="s">
        <v>8851</v>
      </c>
      <c r="I1304" t="s">
        <v>225</v>
      </c>
      <c r="J1304" t="s">
        <v>111</v>
      </c>
      <c r="K1304" t="str">
        <f>"85212"</f>
        <v>85212</v>
      </c>
      <c r="L1304" t="s">
        <v>5239</v>
      </c>
      <c r="M1304" t="s">
        <v>8851</v>
      </c>
      <c r="N1304" t="s">
        <v>225</v>
      </c>
      <c r="O1304" t="s">
        <v>111</v>
      </c>
      <c r="P1304" t="str">
        <f>"85212-7084"</f>
        <v>85212-7084</v>
      </c>
      <c r="Q1304" t="s">
        <v>113</v>
      </c>
      <c r="R1304" t="str">
        <f>"312-14-499"</f>
        <v>312-14-499</v>
      </c>
      <c r="S1304" t="s">
        <v>8852</v>
      </c>
      <c r="T1304" t="s">
        <v>8853</v>
      </c>
      <c r="U1304">
        <v>2234</v>
      </c>
      <c r="V1304">
        <v>0</v>
      </c>
      <c r="W1304">
        <v>3</v>
      </c>
      <c r="X1304">
        <v>2008</v>
      </c>
      <c r="Z1304">
        <v>1</v>
      </c>
      <c r="AA1304" t="s">
        <v>26</v>
      </c>
      <c r="AB1304">
        <v>0</v>
      </c>
      <c r="AC1304" t="s">
        <v>115</v>
      </c>
      <c r="AD1304">
        <v>2</v>
      </c>
      <c r="AE1304" t="s">
        <v>115</v>
      </c>
      <c r="AF1304">
        <v>0</v>
      </c>
      <c r="AG1304">
        <v>0</v>
      </c>
      <c r="AH1304" t="s">
        <v>116</v>
      </c>
      <c r="AI1304" s="1">
        <v>77704</v>
      </c>
      <c r="AJ1304" s="2">
        <v>0.22</v>
      </c>
      <c r="AK1304" s="1">
        <v>352407</v>
      </c>
      <c r="AL1304" t="s">
        <v>117</v>
      </c>
      <c r="AM1304" t="s">
        <v>191</v>
      </c>
      <c r="AN1304">
        <v>8782</v>
      </c>
      <c r="AO1304">
        <v>0.2</v>
      </c>
      <c r="AR1304">
        <v>1</v>
      </c>
      <c r="AS1304" s="1">
        <v>24060</v>
      </c>
      <c r="AT1304" s="1">
        <v>4810</v>
      </c>
      <c r="AU1304" s="1">
        <v>19250</v>
      </c>
      <c r="AV1304">
        <v>80.010000000000005</v>
      </c>
      <c r="AX1304" s="1">
        <v>2085.46</v>
      </c>
      <c r="AY1304" t="s">
        <v>560</v>
      </c>
      <c r="AZ1304" t="s">
        <v>561</v>
      </c>
      <c r="BA1304" t="s">
        <v>194</v>
      </c>
      <c r="BE1304" s="3">
        <v>41656</v>
      </c>
      <c r="BF1304" s="1">
        <v>260000</v>
      </c>
      <c r="BG1304" t="s">
        <v>8854</v>
      </c>
      <c r="BH1304" s="1">
        <v>116.38</v>
      </c>
      <c r="BI1304" s="1">
        <v>274703</v>
      </c>
      <c r="BJ1304" s="3">
        <v>41852</v>
      </c>
      <c r="BK1304" t="s">
        <v>123</v>
      </c>
      <c r="BL1304" t="str">
        <f>"2014.505470"</f>
        <v>2014.505470</v>
      </c>
      <c r="BM1304" t="s">
        <v>2117</v>
      </c>
      <c r="BO1304" t="s">
        <v>8855</v>
      </c>
      <c r="BS1304">
        <v>30</v>
      </c>
      <c r="BW1304" t="str">
        <f>""</f>
        <v/>
      </c>
      <c r="CH1304" t="str">
        <f>""</f>
        <v/>
      </c>
      <c r="CS1304" t="str">
        <f>""</f>
        <v/>
      </c>
    </row>
    <row r="1305" spans="1:97" x14ac:dyDescent="0.25">
      <c r="A1305" t="s">
        <v>8856</v>
      </c>
      <c r="B1305" t="s">
        <v>8857</v>
      </c>
      <c r="C1305" t="s">
        <v>8858</v>
      </c>
      <c r="D1305" t="s">
        <v>8857</v>
      </c>
      <c r="E1305" t="s">
        <v>8859</v>
      </c>
      <c r="F1305" t="s">
        <v>108</v>
      </c>
      <c r="H1305" t="s">
        <v>8860</v>
      </c>
      <c r="I1305" t="s">
        <v>225</v>
      </c>
      <c r="J1305" t="s">
        <v>111</v>
      </c>
      <c r="K1305" t="str">
        <f>"85213"</f>
        <v>85213</v>
      </c>
      <c r="L1305" t="s">
        <v>4159</v>
      </c>
      <c r="M1305" t="s">
        <v>8860</v>
      </c>
      <c r="N1305" t="s">
        <v>225</v>
      </c>
      <c r="O1305" t="s">
        <v>111</v>
      </c>
      <c r="P1305" t="str">
        <f>"85213-1928"</f>
        <v>85213-1928</v>
      </c>
      <c r="Q1305" t="s">
        <v>113</v>
      </c>
      <c r="R1305" t="str">
        <f>"141-16-193"</f>
        <v>141-16-193</v>
      </c>
      <c r="S1305" t="s">
        <v>8861</v>
      </c>
      <c r="U1305">
        <v>1798</v>
      </c>
      <c r="V1305">
        <v>0</v>
      </c>
      <c r="W1305">
        <v>3</v>
      </c>
      <c r="X1305">
        <v>2012</v>
      </c>
      <c r="Z1305">
        <v>1</v>
      </c>
      <c r="AB1305">
        <v>0</v>
      </c>
      <c r="AC1305" t="s">
        <v>115</v>
      </c>
      <c r="AD1305">
        <v>2</v>
      </c>
      <c r="AE1305" t="s">
        <v>115</v>
      </c>
      <c r="AF1305">
        <v>0</v>
      </c>
      <c r="AG1305">
        <v>0</v>
      </c>
      <c r="AH1305" t="s">
        <v>116</v>
      </c>
      <c r="AI1305" s="1">
        <v>102233</v>
      </c>
      <c r="AJ1305" s="2">
        <v>0.28000000000000003</v>
      </c>
      <c r="AK1305" s="1">
        <v>369839</v>
      </c>
      <c r="AL1305" t="s">
        <v>117</v>
      </c>
      <c r="AM1305" t="s">
        <v>917</v>
      </c>
      <c r="AN1305">
        <v>8040</v>
      </c>
      <c r="AO1305">
        <v>0.18</v>
      </c>
      <c r="AR1305">
        <v>1</v>
      </c>
      <c r="AS1305" s="1">
        <v>25950</v>
      </c>
      <c r="AT1305" s="1">
        <v>5190</v>
      </c>
      <c r="AU1305" s="1">
        <v>20760</v>
      </c>
      <c r="AV1305">
        <v>80</v>
      </c>
      <c r="AX1305" s="1">
        <v>2030.58</v>
      </c>
      <c r="AY1305" t="s">
        <v>4162</v>
      </c>
      <c r="AZ1305" t="s">
        <v>4163</v>
      </c>
      <c r="BA1305" t="s">
        <v>1524</v>
      </c>
      <c r="BE1305" s="3">
        <v>41898</v>
      </c>
      <c r="BF1305" s="1">
        <v>276015</v>
      </c>
      <c r="BG1305" t="s">
        <v>2842</v>
      </c>
      <c r="BH1305" s="1">
        <v>153.51</v>
      </c>
      <c r="BI1305" s="1">
        <v>267606</v>
      </c>
      <c r="BJ1305" s="3">
        <v>42642</v>
      </c>
      <c r="BK1305" t="s">
        <v>123</v>
      </c>
      <c r="BL1305" t="str">
        <f>"2016.712706"</f>
        <v>2016.712706</v>
      </c>
      <c r="BM1305" t="s">
        <v>402</v>
      </c>
      <c r="BO1305" t="s">
        <v>8862</v>
      </c>
      <c r="BS1305">
        <v>30</v>
      </c>
      <c r="BW1305" t="str">
        <f>""</f>
        <v/>
      </c>
      <c r="CH1305" t="str">
        <f>""</f>
        <v/>
      </c>
      <c r="CS1305" t="str">
        <f>""</f>
        <v/>
      </c>
    </row>
    <row r="1306" spans="1:97" x14ac:dyDescent="0.25">
      <c r="A1306" t="s">
        <v>1160</v>
      </c>
      <c r="B1306" t="s">
        <v>8863</v>
      </c>
      <c r="C1306" t="s">
        <v>8864</v>
      </c>
      <c r="D1306" t="s">
        <v>8863</v>
      </c>
      <c r="E1306" t="s">
        <v>8865</v>
      </c>
      <c r="F1306" t="s">
        <v>108</v>
      </c>
      <c r="H1306" t="s">
        <v>8866</v>
      </c>
      <c r="I1306" t="s">
        <v>1936</v>
      </c>
      <c r="J1306" t="s">
        <v>111</v>
      </c>
      <c r="K1306" t="str">
        <f>"85259"</f>
        <v>85259</v>
      </c>
      <c r="L1306" t="s">
        <v>189</v>
      </c>
      <c r="M1306" t="s">
        <v>8866</v>
      </c>
      <c r="N1306" t="s">
        <v>1936</v>
      </c>
      <c r="O1306" t="s">
        <v>111</v>
      </c>
      <c r="P1306" t="str">
        <f>"85259-4152"</f>
        <v>85259-4152</v>
      </c>
      <c r="Q1306" t="s">
        <v>113</v>
      </c>
      <c r="R1306" t="str">
        <f>"217-28-931"</f>
        <v>217-28-931</v>
      </c>
      <c r="S1306" t="s">
        <v>8768</v>
      </c>
      <c r="T1306" t="s">
        <v>8768</v>
      </c>
      <c r="U1306">
        <v>2544</v>
      </c>
      <c r="V1306">
        <v>0</v>
      </c>
      <c r="W1306">
        <v>4</v>
      </c>
      <c r="X1306">
        <v>1998</v>
      </c>
      <c r="Z1306">
        <v>1</v>
      </c>
      <c r="AA1306" t="s">
        <v>26</v>
      </c>
      <c r="AB1306">
        <v>0</v>
      </c>
      <c r="AC1306" t="s">
        <v>115</v>
      </c>
      <c r="AD1306">
        <v>3</v>
      </c>
      <c r="AE1306" t="s">
        <v>115</v>
      </c>
      <c r="AF1306">
        <v>0</v>
      </c>
      <c r="AG1306">
        <v>0</v>
      </c>
      <c r="AH1306" t="s">
        <v>116</v>
      </c>
      <c r="AI1306" s="1">
        <v>195957</v>
      </c>
      <c r="AJ1306" s="2">
        <v>0.32</v>
      </c>
      <c r="AK1306" s="1">
        <v>612955</v>
      </c>
      <c r="AL1306" t="s">
        <v>117</v>
      </c>
      <c r="AM1306" t="s">
        <v>393</v>
      </c>
      <c r="AN1306">
        <v>10238</v>
      </c>
      <c r="AO1306">
        <v>0.24</v>
      </c>
      <c r="AP1306">
        <v>1</v>
      </c>
      <c r="AR1306">
        <v>1</v>
      </c>
      <c r="AS1306" s="1">
        <v>44050</v>
      </c>
      <c r="AT1306" s="1">
        <v>8810</v>
      </c>
      <c r="AU1306" s="1">
        <v>35240</v>
      </c>
      <c r="AV1306">
        <v>80</v>
      </c>
      <c r="AX1306" s="1">
        <v>3153.66</v>
      </c>
      <c r="AY1306" t="s">
        <v>6534</v>
      </c>
      <c r="AZ1306" t="s">
        <v>5762</v>
      </c>
      <c r="BA1306" t="s">
        <v>5763</v>
      </c>
      <c r="BE1306" s="3">
        <v>42122</v>
      </c>
      <c r="BF1306" s="1">
        <v>499000</v>
      </c>
      <c r="BG1306" t="s">
        <v>8867</v>
      </c>
      <c r="BH1306" s="1">
        <v>196.15</v>
      </c>
      <c r="BI1306" s="1">
        <v>416998</v>
      </c>
      <c r="BJ1306" s="3">
        <v>42122</v>
      </c>
      <c r="BK1306" t="s">
        <v>123</v>
      </c>
      <c r="BL1306" t="str">
        <f>"2015.293543"</f>
        <v>2015.293543</v>
      </c>
      <c r="BM1306" t="s">
        <v>8868</v>
      </c>
      <c r="BO1306" t="s">
        <v>8869</v>
      </c>
      <c r="BS1306">
        <v>30</v>
      </c>
      <c r="BW1306" t="str">
        <f>""</f>
        <v/>
      </c>
      <c r="CH1306" t="str">
        <f>""</f>
        <v/>
      </c>
      <c r="CS1306" t="str">
        <f>""</f>
        <v/>
      </c>
    </row>
    <row r="1307" spans="1:97" x14ac:dyDescent="0.25">
      <c r="A1307" t="s">
        <v>610</v>
      </c>
      <c r="B1307" t="s">
        <v>8870</v>
      </c>
      <c r="C1307" t="s">
        <v>8871</v>
      </c>
      <c r="D1307" t="s">
        <v>8872</v>
      </c>
      <c r="E1307" t="s">
        <v>8873</v>
      </c>
      <c r="F1307" t="s">
        <v>108</v>
      </c>
      <c r="H1307" t="s">
        <v>8874</v>
      </c>
      <c r="I1307" t="s">
        <v>225</v>
      </c>
      <c r="J1307" t="s">
        <v>111</v>
      </c>
      <c r="K1307" t="str">
        <f>"85203"</f>
        <v>85203</v>
      </c>
      <c r="L1307" t="s">
        <v>2903</v>
      </c>
      <c r="M1307" t="s">
        <v>8874</v>
      </c>
      <c r="N1307" t="s">
        <v>225</v>
      </c>
      <c r="O1307" t="s">
        <v>111</v>
      </c>
      <c r="P1307" t="str">
        <f>"85203-4932"</f>
        <v>85203-4932</v>
      </c>
      <c r="Q1307" t="s">
        <v>113</v>
      </c>
      <c r="R1307" t="str">
        <f>"137-09-115"</f>
        <v>137-09-115</v>
      </c>
      <c r="S1307" t="s">
        <v>8875</v>
      </c>
      <c r="T1307" t="s">
        <v>8875</v>
      </c>
      <c r="U1307">
        <v>2706</v>
      </c>
      <c r="V1307">
        <v>0</v>
      </c>
      <c r="W1307">
        <v>3</v>
      </c>
      <c r="X1307">
        <v>1973</v>
      </c>
      <c r="Z1307">
        <v>1</v>
      </c>
      <c r="AB1307">
        <v>0</v>
      </c>
      <c r="AC1307" t="s">
        <v>115</v>
      </c>
      <c r="AD1307">
        <v>2</v>
      </c>
      <c r="AE1307" t="s">
        <v>115</v>
      </c>
      <c r="AF1307">
        <v>0</v>
      </c>
      <c r="AG1307">
        <v>0</v>
      </c>
      <c r="AH1307" t="s">
        <v>116</v>
      </c>
      <c r="AI1307" s="1">
        <v>50371</v>
      </c>
      <c r="AJ1307" s="2">
        <v>0.14000000000000001</v>
      </c>
      <c r="AK1307" s="1">
        <v>372143</v>
      </c>
      <c r="AL1307" t="s">
        <v>117</v>
      </c>
      <c r="AM1307" t="s">
        <v>917</v>
      </c>
      <c r="AN1307">
        <v>14898</v>
      </c>
      <c r="AO1307">
        <v>0.34</v>
      </c>
      <c r="AP1307">
        <v>1</v>
      </c>
      <c r="AR1307">
        <v>1</v>
      </c>
      <c r="AS1307" s="1">
        <v>26480</v>
      </c>
      <c r="AT1307" s="1">
        <v>5290</v>
      </c>
      <c r="AU1307" s="1">
        <v>21190</v>
      </c>
      <c r="AV1307">
        <v>80.02</v>
      </c>
      <c r="AX1307" s="1">
        <v>1839.52</v>
      </c>
      <c r="AY1307" t="s">
        <v>8876</v>
      </c>
      <c r="AZ1307" t="s">
        <v>5190</v>
      </c>
      <c r="BA1307" t="s">
        <v>5191</v>
      </c>
      <c r="BE1307" s="3">
        <v>41849</v>
      </c>
      <c r="BF1307" s="1">
        <v>315000</v>
      </c>
      <c r="BG1307" t="s">
        <v>8877</v>
      </c>
      <c r="BH1307" s="1">
        <v>116.41</v>
      </c>
      <c r="BI1307" s="1">
        <v>321772</v>
      </c>
      <c r="BJ1307" s="3">
        <v>41849</v>
      </c>
      <c r="BK1307" t="s">
        <v>123</v>
      </c>
      <c r="BL1307" t="str">
        <f>"2014.495702"</f>
        <v>2014.495702</v>
      </c>
      <c r="BM1307" t="s">
        <v>4014</v>
      </c>
      <c r="BO1307" t="s">
        <v>8878</v>
      </c>
      <c r="BP1307" t="s">
        <v>8879</v>
      </c>
      <c r="BS1307">
        <v>30</v>
      </c>
      <c r="BW1307" t="str">
        <f>""</f>
        <v/>
      </c>
      <c r="CH1307" t="str">
        <f>""</f>
        <v/>
      </c>
      <c r="CS1307" t="str">
        <f>""</f>
        <v/>
      </c>
    </row>
    <row r="1308" spans="1:97" x14ac:dyDescent="0.25">
      <c r="A1308" t="s">
        <v>7313</v>
      </c>
      <c r="B1308" t="s">
        <v>8880</v>
      </c>
      <c r="C1308" t="s">
        <v>513</v>
      </c>
      <c r="D1308" t="s">
        <v>8880</v>
      </c>
      <c r="E1308" t="s">
        <v>8881</v>
      </c>
      <c r="F1308" t="s">
        <v>108</v>
      </c>
      <c r="H1308" t="s">
        <v>8882</v>
      </c>
      <c r="I1308" t="s">
        <v>110</v>
      </c>
      <c r="J1308" t="s">
        <v>111</v>
      </c>
      <c r="K1308" t="str">
        <f>"85249"</f>
        <v>85249</v>
      </c>
      <c r="L1308" t="s">
        <v>4534</v>
      </c>
      <c r="M1308" t="s">
        <v>8882</v>
      </c>
      <c r="N1308" t="s">
        <v>110</v>
      </c>
      <c r="O1308" t="s">
        <v>111</v>
      </c>
      <c r="P1308" t="str">
        <f>"85249-5425"</f>
        <v>85249-5425</v>
      </c>
      <c r="Q1308" t="s">
        <v>113</v>
      </c>
      <c r="R1308" t="str">
        <f>"304-81-380"</f>
        <v>304-81-380</v>
      </c>
      <c r="S1308" t="s">
        <v>8883</v>
      </c>
      <c r="T1308" t="s">
        <v>8883</v>
      </c>
      <c r="U1308">
        <v>4047</v>
      </c>
      <c r="V1308">
        <v>0</v>
      </c>
      <c r="W1308">
        <v>5</v>
      </c>
      <c r="X1308">
        <v>2007</v>
      </c>
      <c r="Z1308">
        <v>2</v>
      </c>
      <c r="AA1308" t="s">
        <v>26</v>
      </c>
      <c r="AB1308">
        <v>0</v>
      </c>
      <c r="AC1308" t="s">
        <v>115</v>
      </c>
      <c r="AD1308">
        <v>3</v>
      </c>
      <c r="AE1308" t="s">
        <v>115</v>
      </c>
      <c r="AF1308">
        <v>0</v>
      </c>
      <c r="AG1308">
        <v>0</v>
      </c>
      <c r="AH1308" t="s">
        <v>116</v>
      </c>
      <c r="AI1308" s="1">
        <v>130884</v>
      </c>
      <c r="AJ1308" s="2">
        <v>0.22</v>
      </c>
      <c r="AK1308" s="1">
        <v>593724</v>
      </c>
      <c r="AL1308" t="s">
        <v>117</v>
      </c>
      <c r="AM1308" t="s">
        <v>118</v>
      </c>
      <c r="AN1308">
        <v>10341</v>
      </c>
      <c r="AO1308">
        <v>0.24</v>
      </c>
      <c r="AR1308">
        <v>1</v>
      </c>
      <c r="AS1308" s="1">
        <v>41930</v>
      </c>
      <c r="AT1308" s="1">
        <v>8380</v>
      </c>
      <c r="AU1308" s="1">
        <v>33550</v>
      </c>
      <c r="AV1308">
        <v>80.010000000000005</v>
      </c>
      <c r="AX1308" s="1">
        <v>4057.16</v>
      </c>
      <c r="AY1308" t="s">
        <v>3699</v>
      </c>
      <c r="AZ1308" t="s">
        <v>273</v>
      </c>
      <c r="BA1308" t="s">
        <v>274</v>
      </c>
      <c r="BE1308" s="3">
        <v>41817</v>
      </c>
      <c r="BF1308" s="1">
        <v>480000</v>
      </c>
      <c r="BG1308" t="s">
        <v>8884</v>
      </c>
      <c r="BH1308" s="1">
        <v>118.61</v>
      </c>
      <c r="BI1308" s="1">
        <v>462840</v>
      </c>
      <c r="BJ1308" s="3">
        <v>41817</v>
      </c>
      <c r="BK1308" t="s">
        <v>123</v>
      </c>
      <c r="BL1308" t="str">
        <f>"2014.423749"</f>
        <v>2014.423749</v>
      </c>
      <c r="BM1308" t="s">
        <v>131</v>
      </c>
      <c r="BO1308" t="s">
        <v>8885</v>
      </c>
      <c r="BS1308">
        <v>30</v>
      </c>
      <c r="BW1308" t="str">
        <f>""</f>
        <v/>
      </c>
      <c r="CH1308" t="str">
        <f>""</f>
        <v/>
      </c>
      <c r="CS1308" t="str">
        <f>""</f>
        <v/>
      </c>
    </row>
    <row r="1309" spans="1:97" x14ac:dyDescent="0.25">
      <c r="A1309" t="s">
        <v>1109</v>
      </c>
      <c r="B1309" t="s">
        <v>8886</v>
      </c>
      <c r="C1309" t="s">
        <v>8887</v>
      </c>
      <c r="D1309" t="s">
        <v>8886</v>
      </c>
      <c r="E1309" t="s">
        <v>8888</v>
      </c>
      <c r="F1309" t="s">
        <v>108</v>
      </c>
      <c r="H1309" t="s">
        <v>8889</v>
      </c>
      <c r="I1309" t="s">
        <v>203</v>
      </c>
      <c r="J1309" t="s">
        <v>111</v>
      </c>
      <c r="K1309" t="str">
        <f>"85295"</f>
        <v>85295</v>
      </c>
      <c r="L1309" t="s">
        <v>7125</v>
      </c>
      <c r="M1309" t="s">
        <v>8889</v>
      </c>
      <c r="N1309" t="s">
        <v>203</v>
      </c>
      <c r="O1309" t="s">
        <v>111</v>
      </c>
      <c r="P1309" t="str">
        <f>"85295-2342"</f>
        <v>85295-2342</v>
      </c>
      <c r="Q1309" t="s">
        <v>113</v>
      </c>
      <c r="R1309" t="str">
        <f>"304-47-686"</f>
        <v>304-47-686</v>
      </c>
      <c r="S1309" t="s">
        <v>8890</v>
      </c>
      <c r="T1309" t="s">
        <v>8890</v>
      </c>
      <c r="U1309">
        <v>2708</v>
      </c>
      <c r="V1309">
        <v>0</v>
      </c>
      <c r="W1309">
        <v>4</v>
      </c>
      <c r="X1309">
        <v>2007</v>
      </c>
      <c r="Z1309">
        <v>2</v>
      </c>
      <c r="AA1309" t="s">
        <v>26</v>
      </c>
      <c r="AB1309">
        <v>0</v>
      </c>
      <c r="AC1309" t="s">
        <v>115</v>
      </c>
      <c r="AD1309">
        <v>3</v>
      </c>
      <c r="AE1309" t="s">
        <v>115</v>
      </c>
      <c r="AF1309">
        <v>0</v>
      </c>
      <c r="AG1309">
        <v>0</v>
      </c>
      <c r="AH1309" t="s">
        <v>116</v>
      </c>
      <c r="AI1309" s="1">
        <v>79009</v>
      </c>
      <c r="AJ1309" s="2">
        <v>0.19</v>
      </c>
      <c r="AK1309" s="1">
        <v>423152</v>
      </c>
      <c r="AL1309" t="s">
        <v>117</v>
      </c>
      <c r="AM1309" t="s">
        <v>393</v>
      </c>
      <c r="AN1309">
        <v>7800</v>
      </c>
      <c r="AO1309">
        <v>0.18</v>
      </c>
      <c r="AR1309">
        <v>1</v>
      </c>
      <c r="AS1309" s="1">
        <v>30620</v>
      </c>
      <c r="AT1309" s="1">
        <v>6120</v>
      </c>
      <c r="AU1309" s="1">
        <v>24500</v>
      </c>
      <c r="AV1309">
        <v>80.010000000000005</v>
      </c>
      <c r="AX1309" s="1">
        <v>2903.94</v>
      </c>
      <c r="AY1309" t="s">
        <v>5087</v>
      </c>
      <c r="AZ1309" t="s">
        <v>5087</v>
      </c>
      <c r="BA1309" t="s">
        <v>473</v>
      </c>
      <c r="BE1309" s="3">
        <v>42426</v>
      </c>
      <c r="BF1309" s="1">
        <v>336900</v>
      </c>
      <c r="BG1309" t="s">
        <v>8891</v>
      </c>
      <c r="BH1309" s="1">
        <v>124.41</v>
      </c>
      <c r="BI1309" s="1">
        <v>344143</v>
      </c>
      <c r="BJ1309" s="3">
        <v>42426</v>
      </c>
      <c r="BK1309" t="s">
        <v>123</v>
      </c>
      <c r="BL1309" t="str">
        <f>"2016.123941"</f>
        <v>2016.123941</v>
      </c>
      <c r="BM1309" t="s">
        <v>1325</v>
      </c>
      <c r="BO1309" t="s">
        <v>8892</v>
      </c>
      <c r="BS1309">
        <v>30</v>
      </c>
      <c r="BW1309" t="str">
        <f>""</f>
        <v/>
      </c>
      <c r="CH1309" t="str">
        <f>""</f>
        <v/>
      </c>
      <c r="CS1309" t="str">
        <f>""</f>
        <v/>
      </c>
    </row>
    <row r="1310" spans="1:97" x14ac:dyDescent="0.25">
      <c r="A1310" t="s">
        <v>1187</v>
      </c>
      <c r="B1310" t="s">
        <v>8893</v>
      </c>
      <c r="E1310" t="s">
        <v>8894</v>
      </c>
      <c r="F1310" t="s">
        <v>108</v>
      </c>
      <c r="H1310" t="s">
        <v>8895</v>
      </c>
      <c r="I1310" t="s">
        <v>390</v>
      </c>
      <c r="J1310" t="s">
        <v>111</v>
      </c>
      <c r="K1310" t="str">
        <f>"85048"</f>
        <v>85048</v>
      </c>
      <c r="L1310" t="s">
        <v>6691</v>
      </c>
      <c r="M1310" t="s">
        <v>8895</v>
      </c>
      <c r="N1310" t="s">
        <v>390</v>
      </c>
      <c r="O1310" t="s">
        <v>111</v>
      </c>
      <c r="P1310" t="str">
        <f>"85048-2010"</f>
        <v>85048-2010</v>
      </c>
      <c r="Q1310" t="s">
        <v>113</v>
      </c>
      <c r="R1310" t="str">
        <f>"300-95-407"</f>
        <v>300-95-407</v>
      </c>
      <c r="S1310" t="s">
        <v>8896</v>
      </c>
      <c r="U1310">
        <v>2213</v>
      </c>
      <c r="V1310">
        <v>0</v>
      </c>
      <c r="W1310">
        <v>3</v>
      </c>
      <c r="X1310">
        <v>1994</v>
      </c>
      <c r="Z1310">
        <v>1</v>
      </c>
      <c r="AA1310" t="s">
        <v>26</v>
      </c>
      <c r="AB1310">
        <v>0</v>
      </c>
      <c r="AC1310" t="s">
        <v>115</v>
      </c>
      <c r="AD1310">
        <v>3</v>
      </c>
      <c r="AE1310" t="s">
        <v>115</v>
      </c>
      <c r="AF1310">
        <v>0</v>
      </c>
      <c r="AG1310">
        <v>0</v>
      </c>
      <c r="AH1310" t="s">
        <v>116</v>
      </c>
      <c r="AI1310" s="1">
        <v>-19635</v>
      </c>
      <c r="AJ1310" s="2">
        <v>-0.05</v>
      </c>
      <c r="AK1310" s="1">
        <v>383235</v>
      </c>
      <c r="AL1310" t="s">
        <v>117</v>
      </c>
      <c r="AM1310" t="s">
        <v>171</v>
      </c>
      <c r="AN1310">
        <v>8059</v>
      </c>
      <c r="AO1310">
        <v>0.18</v>
      </c>
      <c r="AP1310">
        <v>1</v>
      </c>
      <c r="AR1310">
        <v>1</v>
      </c>
      <c r="AS1310" s="1">
        <v>30870</v>
      </c>
      <c r="AT1310" s="1">
        <v>6170</v>
      </c>
      <c r="AU1310" s="1">
        <v>24700</v>
      </c>
      <c r="AV1310">
        <v>80.010000000000005</v>
      </c>
      <c r="AX1310" s="1">
        <v>3222.98</v>
      </c>
      <c r="AY1310" t="s">
        <v>2966</v>
      </c>
      <c r="AZ1310" t="s">
        <v>2967</v>
      </c>
      <c r="BA1310" t="s">
        <v>930</v>
      </c>
      <c r="BE1310" s="3">
        <v>42293</v>
      </c>
      <c r="BF1310" s="1">
        <v>390000</v>
      </c>
      <c r="BG1310" t="s">
        <v>8897</v>
      </c>
      <c r="BH1310" s="1">
        <v>176.23</v>
      </c>
      <c r="BI1310" s="1">
        <v>402870</v>
      </c>
      <c r="BJ1310" s="3">
        <v>42293</v>
      </c>
      <c r="BK1310" t="s">
        <v>123</v>
      </c>
      <c r="BL1310" t="str">
        <f>"2015.746693"</f>
        <v>2015.746693</v>
      </c>
      <c r="BM1310" t="s">
        <v>594</v>
      </c>
      <c r="BO1310" t="s">
        <v>8898</v>
      </c>
      <c r="BS1310">
        <v>30</v>
      </c>
      <c r="BW1310" t="str">
        <f>""</f>
        <v/>
      </c>
      <c r="CH1310" t="str">
        <f>""</f>
        <v/>
      </c>
      <c r="CS1310" t="str">
        <f>""</f>
        <v/>
      </c>
    </row>
    <row r="1311" spans="1:97" x14ac:dyDescent="0.25">
      <c r="A1311" t="s">
        <v>2374</v>
      </c>
      <c r="B1311" t="s">
        <v>8899</v>
      </c>
      <c r="C1311" t="s">
        <v>1821</v>
      </c>
      <c r="D1311" t="s">
        <v>8899</v>
      </c>
      <c r="E1311" t="s">
        <v>8900</v>
      </c>
      <c r="F1311" t="s">
        <v>108</v>
      </c>
      <c r="H1311" t="s">
        <v>8901</v>
      </c>
      <c r="I1311" t="s">
        <v>5523</v>
      </c>
      <c r="J1311" t="s">
        <v>111</v>
      </c>
      <c r="K1311" t="str">
        <f>"85373"</f>
        <v>85373</v>
      </c>
      <c r="L1311" t="s">
        <v>5524</v>
      </c>
      <c r="M1311" t="s">
        <v>8901</v>
      </c>
      <c r="N1311" t="s">
        <v>5523</v>
      </c>
      <c r="O1311" t="s">
        <v>111</v>
      </c>
      <c r="P1311" t="str">
        <f>"85373-5426"</f>
        <v>85373-5426</v>
      </c>
      <c r="Q1311" t="s">
        <v>113</v>
      </c>
      <c r="R1311" t="str">
        <f>"503-88-471"</f>
        <v>503-88-471</v>
      </c>
      <c r="S1311" t="s">
        <v>8902</v>
      </c>
      <c r="T1311" t="s">
        <v>6818</v>
      </c>
      <c r="U1311">
        <v>3701</v>
      </c>
      <c r="V1311">
        <v>0</v>
      </c>
      <c r="W1311">
        <v>5</v>
      </c>
      <c r="X1311">
        <v>2006</v>
      </c>
      <c r="Z1311">
        <v>2</v>
      </c>
      <c r="AA1311" t="s">
        <v>26</v>
      </c>
      <c r="AB1311">
        <v>0</v>
      </c>
      <c r="AC1311" t="s">
        <v>115</v>
      </c>
      <c r="AD1311">
        <v>3</v>
      </c>
      <c r="AE1311" t="s">
        <v>115</v>
      </c>
      <c r="AF1311">
        <v>0</v>
      </c>
      <c r="AG1311">
        <v>0</v>
      </c>
      <c r="AH1311" t="s">
        <v>116</v>
      </c>
      <c r="AI1311" s="1">
        <v>77249</v>
      </c>
      <c r="AJ1311" s="2">
        <v>0.2</v>
      </c>
      <c r="AK1311" s="1">
        <v>383188</v>
      </c>
      <c r="AL1311" t="s">
        <v>117</v>
      </c>
      <c r="AM1311" t="s">
        <v>393</v>
      </c>
      <c r="AN1311">
        <v>7964</v>
      </c>
      <c r="AO1311">
        <v>0.18</v>
      </c>
      <c r="AR1311">
        <v>1</v>
      </c>
      <c r="AS1311" s="1">
        <v>28710</v>
      </c>
      <c r="AT1311" s="1">
        <v>5740</v>
      </c>
      <c r="AU1311" s="1">
        <v>22970</v>
      </c>
      <c r="AV1311">
        <v>80.010000000000005</v>
      </c>
      <c r="AX1311" s="1">
        <v>3137.26</v>
      </c>
      <c r="AY1311" t="s">
        <v>3228</v>
      </c>
      <c r="AZ1311" t="s">
        <v>3228</v>
      </c>
      <c r="BA1311" t="s">
        <v>457</v>
      </c>
      <c r="BE1311" s="3">
        <v>41642</v>
      </c>
      <c r="BF1311" s="1">
        <v>299500</v>
      </c>
      <c r="BG1311" t="s">
        <v>8903</v>
      </c>
      <c r="BH1311" s="1">
        <v>80.92</v>
      </c>
      <c r="BI1311" s="1">
        <v>305939</v>
      </c>
      <c r="BJ1311" s="3">
        <v>41642</v>
      </c>
      <c r="BK1311" t="s">
        <v>123</v>
      </c>
      <c r="BL1311" t="str">
        <f>"2014.3976"</f>
        <v>2014.3976</v>
      </c>
      <c r="BM1311" t="s">
        <v>936</v>
      </c>
      <c r="BO1311" t="s">
        <v>8904</v>
      </c>
      <c r="BS1311">
        <v>30</v>
      </c>
      <c r="BW1311" t="str">
        <f>""</f>
        <v/>
      </c>
      <c r="CH1311" t="str">
        <f>""</f>
        <v/>
      </c>
      <c r="CS1311" t="str">
        <f>""</f>
        <v/>
      </c>
    </row>
    <row r="1312" spans="1:97" x14ac:dyDescent="0.25">
      <c r="B1312" t="s">
        <v>8905</v>
      </c>
      <c r="E1312" t="s">
        <v>2632</v>
      </c>
      <c r="F1312" t="s">
        <v>108</v>
      </c>
      <c r="H1312" t="s">
        <v>8906</v>
      </c>
      <c r="I1312" t="s">
        <v>632</v>
      </c>
      <c r="J1312" t="s">
        <v>111</v>
      </c>
      <c r="K1312" t="str">
        <f>"85387"</f>
        <v>85387</v>
      </c>
      <c r="L1312" t="s">
        <v>6529</v>
      </c>
      <c r="M1312" t="s">
        <v>8906</v>
      </c>
      <c r="N1312" t="s">
        <v>632</v>
      </c>
      <c r="O1312" t="s">
        <v>111</v>
      </c>
      <c r="P1312" t="str">
        <f>"85387-1037"</f>
        <v>85387-1037</v>
      </c>
      <c r="Q1312" t="s">
        <v>113</v>
      </c>
      <c r="R1312" t="str">
        <f>"510-04-835"</f>
        <v>510-04-835</v>
      </c>
      <c r="S1312" t="s">
        <v>8907</v>
      </c>
      <c r="T1312" t="s">
        <v>5498</v>
      </c>
      <c r="U1312">
        <v>2126</v>
      </c>
      <c r="V1312">
        <v>0</v>
      </c>
      <c r="W1312">
        <v>3</v>
      </c>
      <c r="X1312">
        <v>2015</v>
      </c>
      <c r="Z1312">
        <v>1</v>
      </c>
      <c r="AB1312">
        <v>0</v>
      </c>
      <c r="AC1312" t="s">
        <v>115</v>
      </c>
      <c r="AD1312">
        <v>2</v>
      </c>
      <c r="AE1312" t="s">
        <v>115</v>
      </c>
      <c r="AF1312">
        <v>0</v>
      </c>
      <c r="AG1312">
        <v>0</v>
      </c>
      <c r="AH1312" t="s">
        <v>116</v>
      </c>
      <c r="AI1312" s="1">
        <v>33927</v>
      </c>
      <c r="AJ1312" s="2">
        <v>0.11</v>
      </c>
      <c r="AK1312" s="1">
        <v>303927</v>
      </c>
      <c r="AL1312" t="s">
        <v>117</v>
      </c>
      <c r="AM1312" t="s">
        <v>118</v>
      </c>
      <c r="AN1312">
        <v>7475</v>
      </c>
      <c r="AO1312">
        <v>0.17</v>
      </c>
      <c r="AR1312">
        <v>1</v>
      </c>
      <c r="AS1312" s="1">
        <v>21870</v>
      </c>
      <c r="AT1312" s="1">
        <v>4370</v>
      </c>
      <c r="AU1312" s="1">
        <v>17500</v>
      </c>
      <c r="AV1312">
        <v>80.02</v>
      </c>
      <c r="AX1312" s="1">
        <v>1192.32</v>
      </c>
      <c r="AY1312" t="s">
        <v>5499</v>
      </c>
      <c r="AZ1312" t="s">
        <v>5499</v>
      </c>
      <c r="BB1312" s="3">
        <v>43203</v>
      </c>
      <c r="BC1312" s="1">
        <v>0</v>
      </c>
      <c r="BD1312" t="s">
        <v>247</v>
      </c>
      <c r="BE1312" s="3">
        <v>42305</v>
      </c>
      <c r="BF1312" s="1">
        <v>246184</v>
      </c>
      <c r="BG1312" t="s">
        <v>6320</v>
      </c>
      <c r="BH1312" s="1">
        <v>115.8</v>
      </c>
      <c r="BI1312" s="1">
        <v>270000</v>
      </c>
      <c r="BJ1312" s="3">
        <v>43108</v>
      </c>
      <c r="BK1312" t="s">
        <v>123</v>
      </c>
      <c r="BL1312" t="str">
        <f>"2018.14850"</f>
        <v>2018.14850</v>
      </c>
      <c r="BM1312" t="s">
        <v>3491</v>
      </c>
      <c r="BN1312" t="s">
        <v>1624</v>
      </c>
      <c r="BO1312" t="s">
        <v>8908</v>
      </c>
      <c r="BP1312" t="s">
        <v>8909</v>
      </c>
      <c r="BR1312" t="s">
        <v>139</v>
      </c>
      <c r="BW1312" t="str">
        <f>""</f>
        <v/>
      </c>
      <c r="CH1312" t="str">
        <f>""</f>
        <v/>
      </c>
      <c r="CS1312" t="str">
        <f>""</f>
        <v/>
      </c>
    </row>
    <row r="1313" spans="1:97" x14ac:dyDescent="0.25">
      <c r="A1313" t="s">
        <v>1850</v>
      </c>
      <c r="B1313" t="s">
        <v>8910</v>
      </c>
      <c r="C1313" t="s">
        <v>8911</v>
      </c>
      <c r="D1313" t="s">
        <v>8910</v>
      </c>
      <c r="E1313" t="s">
        <v>8912</v>
      </c>
      <c r="F1313" t="s">
        <v>108</v>
      </c>
      <c r="H1313" t="s">
        <v>8913</v>
      </c>
      <c r="I1313" t="s">
        <v>225</v>
      </c>
      <c r="J1313" t="s">
        <v>111</v>
      </c>
      <c r="K1313" t="str">
        <f>"85205"</f>
        <v>85205</v>
      </c>
      <c r="L1313" t="s">
        <v>5218</v>
      </c>
      <c r="M1313" t="s">
        <v>8913</v>
      </c>
      <c r="N1313" t="s">
        <v>225</v>
      </c>
      <c r="O1313" t="s">
        <v>111</v>
      </c>
      <c r="P1313" t="str">
        <f>"85205-6320"</f>
        <v>85205-6320</v>
      </c>
      <c r="Q1313" t="s">
        <v>113</v>
      </c>
      <c r="R1313" t="str">
        <f>"140-15-287"</f>
        <v>140-15-287</v>
      </c>
      <c r="S1313" t="s">
        <v>8914</v>
      </c>
      <c r="T1313" t="s">
        <v>8914</v>
      </c>
      <c r="U1313">
        <v>2691</v>
      </c>
      <c r="V1313">
        <v>0</v>
      </c>
      <c r="W1313">
        <v>3</v>
      </c>
      <c r="X1313">
        <v>2000</v>
      </c>
      <c r="Z1313">
        <v>1</v>
      </c>
      <c r="AA1313" t="s">
        <v>26</v>
      </c>
      <c r="AB1313">
        <v>0</v>
      </c>
      <c r="AC1313" t="s">
        <v>115</v>
      </c>
      <c r="AD1313">
        <v>3</v>
      </c>
      <c r="AE1313" t="s">
        <v>115</v>
      </c>
      <c r="AF1313">
        <v>0</v>
      </c>
      <c r="AG1313">
        <v>0</v>
      </c>
      <c r="AH1313" t="s">
        <v>116</v>
      </c>
      <c r="AI1313" s="1">
        <v>47783</v>
      </c>
      <c r="AJ1313" s="2">
        <v>0.1</v>
      </c>
      <c r="AK1313" s="1">
        <v>466273</v>
      </c>
      <c r="AL1313" t="s">
        <v>117</v>
      </c>
      <c r="AM1313" t="s">
        <v>1521</v>
      </c>
      <c r="AN1313">
        <v>16617</v>
      </c>
      <c r="AO1313">
        <v>0.38</v>
      </c>
      <c r="AP1313">
        <v>1</v>
      </c>
      <c r="AR1313">
        <v>1</v>
      </c>
      <c r="AS1313" s="1">
        <v>32920</v>
      </c>
      <c r="AT1313" s="1">
        <v>6580</v>
      </c>
      <c r="AU1313" s="1">
        <v>26340</v>
      </c>
      <c r="AV1313">
        <v>80.010000000000005</v>
      </c>
      <c r="AX1313" s="1">
        <v>2974.04</v>
      </c>
      <c r="AY1313" t="s">
        <v>7054</v>
      </c>
      <c r="AZ1313" t="s">
        <v>5275</v>
      </c>
      <c r="BA1313" t="s">
        <v>3119</v>
      </c>
      <c r="BE1313" s="3">
        <v>41645</v>
      </c>
      <c r="BF1313" s="1">
        <v>353500</v>
      </c>
      <c r="BG1313" t="s">
        <v>8915</v>
      </c>
      <c r="BH1313" s="1">
        <v>131.36000000000001</v>
      </c>
      <c r="BI1313" s="1">
        <v>392540</v>
      </c>
      <c r="BJ1313" s="3">
        <v>42621</v>
      </c>
      <c r="BK1313" t="s">
        <v>123</v>
      </c>
      <c r="BL1313" t="str">
        <f>"2016.650132"</f>
        <v>2016.650132</v>
      </c>
      <c r="BM1313" t="s">
        <v>8916</v>
      </c>
      <c r="BN1313" t="s">
        <v>8917</v>
      </c>
      <c r="BO1313" t="s">
        <v>8918</v>
      </c>
      <c r="BS1313">
        <v>30</v>
      </c>
      <c r="BT1313" s="1">
        <v>25950</v>
      </c>
      <c r="BU1313" s="3">
        <v>43602</v>
      </c>
      <c r="BV1313" t="s">
        <v>134</v>
      </c>
      <c r="BW1313" t="str">
        <f>"2019.363094"</f>
        <v>2019.363094</v>
      </c>
      <c r="BX1313" t="s">
        <v>8919</v>
      </c>
      <c r="BY1313" t="s">
        <v>8920</v>
      </c>
      <c r="BZ1313" t="s">
        <v>8921</v>
      </c>
      <c r="CA1313" t="s">
        <v>8922</v>
      </c>
      <c r="CC1313" t="s">
        <v>139</v>
      </c>
      <c r="CE1313" s="1">
        <v>25950</v>
      </c>
      <c r="CF1313" s="3">
        <v>43602</v>
      </c>
      <c r="CG1313" t="s">
        <v>134</v>
      </c>
      <c r="CH1313" t="str">
        <f>"2019.363094"</f>
        <v>2019.363094</v>
      </c>
      <c r="CI1313" t="s">
        <v>8919</v>
      </c>
      <c r="CJ1313" t="s">
        <v>8920</v>
      </c>
      <c r="CK1313" t="s">
        <v>8921</v>
      </c>
      <c r="CL1313" t="s">
        <v>8922</v>
      </c>
      <c r="CN1313" t="s">
        <v>139</v>
      </c>
      <c r="CS1313" t="str">
        <f>""</f>
        <v/>
      </c>
    </row>
    <row r="1314" spans="1:97" x14ac:dyDescent="0.25">
      <c r="A1314" t="s">
        <v>140</v>
      </c>
      <c r="B1314" t="s">
        <v>8923</v>
      </c>
      <c r="C1314" t="s">
        <v>794</v>
      </c>
      <c r="D1314" t="s">
        <v>8923</v>
      </c>
      <c r="E1314" t="s">
        <v>8924</v>
      </c>
      <c r="F1314" t="s">
        <v>108</v>
      </c>
      <c r="H1314" t="s">
        <v>8925</v>
      </c>
      <c r="I1314" t="s">
        <v>390</v>
      </c>
      <c r="J1314" t="s">
        <v>111</v>
      </c>
      <c r="K1314" t="str">
        <f>"85048"</f>
        <v>85048</v>
      </c>
      <c r="L1314" t="s">
        <v>6003</v>
      </c>
      <c r="M1314" t="s">
        <v>8925</v>
      </c>
      <c r="N1314" t="s">
        <v>390</v>
      </c>
      <c r="O1314" t="s">
        <v>111</v>
      </c>
      <c r="P1314" t="str">
        <f>"85048-7372"</f>
        <v>85048-7372</v>
      </c>
      <c r="Q1314" t="s">
        <v>113</v>
      </c>
      <c r="R1314" t="str">
        <f>"306-02-780"</f>
        <v>306-02-780</v>
      </c>
      <c r="S1314" t="s">
        <v>8926</v>
      </c>
      <c r="U1314">
        <v>2515</v>
      </c>
      <c r="V1314">
        <v>0</v>
      </c>
      <c r="W1314">
        <v>4</v>
      </c>
      <c r="X1314">
        <v>1993</v>
      </c>
      <c r="Z1314">
        <v>1</v>
      </c>
      <c r="AA1314" t="s">
        <v>26</v>
      </c>
      <c r="AB1314">
        <v>0</v>
      </c>
      <c r="AC1314" t="s">
        <v>115</v>
      </c>
      <c r="AD1314">
        <v>3</v>
      </c>
      <c r="AE1314" t="s">
        <v>115</v>
      </c>
      <c r="AF1314">
        <v>0</v>
      </c>
      <c r="AG1314">
        <v>0</v>
      </c>
      <c r="AH1314" t="s">
        <v>116</v>
      </c>
      <c r="AI1314" s="1">
        <v>77157</v>
      </c>
      <c r="AJ1314" s="2">
        <v>0.16</v>
      </c>
      <c r="AK1314" s="1">
        <v>481060</v>
      </c>
      <c r="AL1314" t="s">
        <v>117</v>
      </c>
      <c r="AM1314" t="s">
        <v>191</v>
      </c>
      <c r="AN1314">
        <v>8930</v>
      </c>
      <c r="AO1314">
        <v>0.2</v>
      </c>
      <c r="AP1314">
        <v>1</v>
      </c>
      <c r="AR1314">
        <v>1</v>
      </c>
      <c r="AS1314" s="1">
        <v>35350</v>
      </c>
      <c r="AT1314" s="1">
        <v>7070</v>
      </c>
      <c r="AU1314" s="1">
        <v>28280</v>
      </c>
      <c r="AV1314">
        <v>80</v>
      </c>
      <c r="AX1314" s="1">
        <v>3251.6</v>
      </c>
      <c r="AY1314" t="s">
        <v>928</v>
      </c>
      <c r="AZ1314" t="s">
        <v>929</v>
      </c>
      <c r="BA1314" t="s">
        <v>930</v>
      </c>
      <c r="BE1314" s="3">
        <v>42108</v>
      </c>
      <c r="BF1314" s="1">
        <v>391000</v>
      </c>
      <c r="BG1314" t="s">
        <v>8927</v>
      </c>
      <c r="BH1314" s="1">
        <v>155.47</v>
      </c>
      <c r="BI1314" s="1">
        <v>403903</v>
      </c>
      <c r="BJ1314" s="3">
        <v>42108</v>
      </c>
      <c r="BK1314" t="s">
        <v>123</v>
      </c>
      <c r="BL1314" t="str">
        <f>"2015.253955"</f>
        <v>2015.253955</v>
      </c>
      <c r="BM1314" t="s">
        <v>131</v>
      </c>
      <c r="BO1314" t="s">
        <v>8928</v>
      </c>
      <c r="BS1314">
        <v>30</v>
      </c>
      <c r="BW1314" t="str">
        <f>""</f>
        <v/>
      </c>
      <c r="CH1314" t="str">
        <f>""</f>
        <v/>
      </c>
      <c r="CS1314" t="str">
        <f>""</f>
        <v/>
      </c>
    </row>
    <row r="1315" spans="1:97" x14ac:dyDescent="0.25">
      <c r="A1315" t="s">
        <v>2915</v>
      </c>
      <c r="B1315" t="s">
        <v>8929</v>
      </c>
      <c r="C1315" t="s">
        <v>3831</v>
      </c>
      <c r="D1315" t="s">
        <v>8929</v>
      </c>
      <c r="E1315" t="s">
        <v>8930</v>
      </c>
      <c r="F1315" t="s">
        <v>108</v>
      </c>
      <c r="H1315" t="s">
        <v>8931</v>
      </c>
      <c r="I1315" t="s">
        <v>225</v>
      </c>
      <c r="J1315" t="s">
        <v>111</v>
      </c>
      <c r="K1315" t="str">
        <f>"85204"</f>
        <v>85204</v>
      </c>
      <c r="L1315" t="s">
        <v>5228</v>
      </c>
      <c r="M1315" t="s">
        <v>8931</v>
      </c>
      <c r="N1315" t="s">
        <v>225</v>
      </c>
      <c r="O1315" t="s">
        <v>111</v>
      </c>
      <c r="P1315" t="str">
        <f>"85204-4602"</f>
        <v>85204-4602</v>
      </c>
      <c r="Q1315" t="s">
        <v>113</v>
      </c>
      <c r="R1315" t="str">
        <f>"140-44-025-A"</f>
        <v>140-44-025-A</v>
      </c>
      <c r="S1315" t="s">
        <v>8932</v>
      </c>
      <c r="T1315" t="s">
        <v>8933</v>
      </c>
      <c r="U1315">
        <v>4357</v>
      </c>
      <c r="V1315">
        <v>0</v>
      </c>
      <c r="W1315">
        <v>4</v>
      </c>
      <c r="X1315">
        <v>1980</v>
      </c>
      <c r="Z1315">
        <v>2</v>
      </c>
      <c r="AB1315">
        <v>0</v>
      </c>
      <c r="AC1315" t="s">
        <v>115</v>
      </c>
      <c r="AD1315">
        <v>2</v>
      </c>
      <c r="AE1315" t="s">
        <v>115</v>
      </c>
      <c r="AF1315">
        <v>0</v>
      </c>
      <c r="AG1315">
        <v>0</v>
      </c>
      <c r="AH1315" t="s">
        <v>116</v>
      </c>
      <c r="AI1315" s="1">
        <v>123632</v>
      </c>
      <c r="AJ1315" s="2">
        <v>0.23</v>
      </c>
      <c r="AK1315" s="1">
        <v>536832</v>
      </c>
      <c r="AL1315" t="s">
        <v>117</v>
      </c>
      <c r="AM1315" t="s">
        <v>376</v>
      </c>
      <c r="AN1315">
        <v>41743</v>
      </c>
      <c r="AO1315">
        <v>0.96</v>
      </c>
      <c r="AP1315">
        <v>1</v>
      </c>
      <c r="AR1315">
        <v>1</v>
      </c>
      <c r="AS1315" s="1">
        <v>41410</v>
      </c>
      <c r="AT1315" s="1">
        <v>8280</v>
      </c>
      <c r="AU1315" s="1">
        <v>33130</v>
      </c>
      <c r="AV1315">
        <v>80</v>
      </c>
      <c r="AX1315" s="1">
        <v>3671.62</v>
      </c>
      <c r="AY1315" t="s">
        <v>8934</v>
      </c>
      <c r="AZ1315" t="s">
        <v>5158</v>
      </c>
      <c r="BA1315" t="s">
        <v>5159</v>
      </c>
      <c r="BE1315" s="3">
        <v>41942</v>
      </c>
      <c r="BF1315" s="1">
        <v>400000</v>
      </c>
      <c r="BG1315" t="s">
        <v>8935</v>
      </c>
      <c r="BH1315" s="1">
        <v>91.81</v>
      </c>
      <c r="BI1315" s="1">
        <v>413200</v>
      </c>
      <c r="BJ1315" s="3">
        <v>41942</v>
      </c>
      <c r="BK1315" t="s">
        <v>123</v>
      </c>
      <c r="BL1315" t="str">
        <f>"2014.719826"</f>
        <v>2014.719826</v>
      </c>
      <c r="BM1315" t="s">
        <v>131</v>
      </c>
      <c r="BO1315" t="s">
        <v>8936</v>
      </c>
      <c r="BS1315">
        <v>30</v>
      </c>
      <c r="BW1315" t="str">
        <f>""</f>
        <v/>
      </c>
      <c r="CH1315" t="str">
        <f>""</f>
        <v/>
      </c>
      <c r="CS1315" t="str">
        <f>""</f>
        <v/>
      </c>
    </row>
    <row r="1316" spans="1:97" x14ac:dyDescent="0.25">
      <c r="A1316" t="s">
        <v>8937</v>
      </c>
      <c r="B1316" t="s">
        <v>8938</v>
      </c>
      <c r="E1316" t="s">
        <v>8939</v>
      </c>
      <c r="F1316" t="s">
        <v>108</v>
      </c>
      <c r="H1316" t="s">
        <v>8940</v>
      </c>
      <c r="I1316" t="s">
        <v>110</v>
      </c>
      <c r="J1316" t="s">
        <v>111</v>
      </c>
      <c r="K1316" t="str">
        <f>"85249"</f>
        <v>85249</v>
      </c>
      <c r="L1316" t="s">
        <v>3696</v>
      </c>
      <c r="M1316" t="s">
        <v>8940</v>
      </c>
      <c r="N1316" t="s">
        <v>110</v>
      </c>
      <c r="O1316" t="s">
        <v>111</v>
      </c>
      <c r="P1316" t="str">
        <f>"85249-5071"</f>
        <v>85249-5071</v>
      </c>
      <c r="Q1316" t="s">
        <v>113</v>
      </c>
      <c r="R1316" t="str">
        <f>"303-89-071"</f>
        <v>303-89-071</v>
      </c>
      <c r="S1316" t="s">
        <v>8941</v>
      </c>
      <c r="U1316">
        <v>2955</v>
      </c>
      <c r="V1316">
        <v>0</v>
      </c>
      <c r="W1316">
        <v>4</v>
      </c>
      <c r="X1316">
        <v>2003</v>
      </c>
      <c r="Z1316">
        <v>2</v>
      </c>
      <c r="AA1316" t="s">
        <v>26</v>
      </c>
      <c r="AB1316">
        <v>0</v>
      </c>
      <c r="AC1316" t="s">
        <v>115</v>
      </c>
      <c r="AD1316">
        <v>2</v>
      </c>
      <c r="AE1316" t="s">
        <v>115</v>
      </c>
      <c r="AF1316">
        <v>0</v>
      </c>
      <c r="AG1316">
        <v>0</v>
      </c>
      <c r="AH1316" t="s">
        <v>116</v>
      </c>
      <c r="AI1316" s="1">
        <v>95553</v>
      </c>
      <c r="AJ1316" s="2">
        <v>0.22</v>
      </c>
      <c r="AK1316" s="1">
        <v>438553</v>
      </c>
      <c r="AL1316" t="s">
        <v>117</v>
      </c>
      <c r="AM1316" t="s">
        <v>118</v>
      </c>
      <c r="AN1316">
        <v>8659</v>
      </c>
      <c r="AO1316">
        <v>0.2</v>
      </c>
      <c r="AP1316">
        <v>1</v>
      </c>
      <c r="AR1316">
        <v>1</v>
      </c>
      <c r="AS1316" s="1">
        <v>28550</v>
      </c>
      <c r="AT1316" s="1">
        <v>5710</v>
      </c>
      <c r="AU1316" s="1">
        <v>22840</v>
      </c>
      <c r="AV1316">
        <v>80</v>
      </c>
      <c r="AX1316" s="1">
        <v>2412.8000000000002</v>
      </c>
      <c r="AY1316" t="s">
        <v>5050</v>
      </c>
      <c r="AZ1316" t="s">
        <v>120</v>
      </c>
      <c r="BA1316" t="s">
        <v>274</v>
      </c>
      <c r="BB1316" s="3">
        <v>42215</v>
      </c>
      <c r="BD1316" t="s">
        <v>842</v>
      </c>
      <c r="BE1316" s="3">
        <v>42186</v>
      </c>
      <c r="BF1316" s="1">
        <v>353000</v>
      </c>
      <c r="BG1316" t="s">
        <v>8942</v>
      </c>
      <c r="BH1316" s="1">
        <v>119.46</v>
      </c>
      <c r="BI1316" s="1">
        <v>343000</v>
      </c>
      <c r="BJ1316" s="3">
        <v>43046</v>
      </c>
      <c r="BK1316" t="s">
        <v>123</v>
      </c>
      <c r="BL1316" t="str">
        <f>"2017.826726"</f>
        <v>2017.826726</v>
      </c>
      <c r="BM1316" t="s">
        <v>361</v>
      </c>
      <c r="BO1316" t="s">
        <v>8943</v>
      </c>
      <c r="BS1316">
        <v>30</v>
      </c>
      <c r="BW1316" t="str">
        <f>""</f>
        <v/>
      </c>
      <c r="CH1316" t="str">
        <f>""</f>
        <v/>
      </c>
      <c r="CS1316" t="str">
        <f>""</f>
        <v/>
      </c>
    </row>
    <row r="1317" spans="1:97" x14ac:dyDescent="0.25">
      <c r="A1317" t="s">
        <v>325</v>
      </c>
      <c r="B1317" t="s">
        <v>8944</v>
      </c>
      <c r="C1317" t="s">
        <v>1434</v>
      </c>
      <c r="D1317" t="s">
        <v>8944</v>
      </c>
      <c r="E1317" t="s">
        <v>8945</v>
      </c>
      <c r="F1317" t="s">
        <v>108</v>
      </c>
      <c r="H1317" t="s">
        <v>8946</v>
      </c>
      <c r="I1317" t="s">
        <v>390</v>
      </c>
      <c r="J1317" t="s">
        <v>111</v>
      </c>
      <c r="K1317" t="str">
        <f>"85028"</f>
        <v>85028</v>
      </c>
      <c r="L1317" t="s">
        <v>5918</v>
      </c>
      <c r="M1317" t="s">
        <v>8946</v>
      </c>
      <c r="N1317" t="s">
        <v>390</v>
      </c>
      <c r="O1317" t="s">
        <v>111</v>
      </c>
      <c r="P1317" t="str">
        <f>"85028-3522"</f>
        <v>85028-3522</v>
      </c>
      <c r="Q1317" t="s">
        <v>113</v>
      </c>
      <c r="R1317" t="str">
        <f>"167-71-049"</f>
        <v>167-71-049</v>
      </c>
      <c r="S1317" t="s">
        <v>8947</v>
      </c>
      <c r="T1317" t="s">
        <v>8947</v>
      </c>
      <c r="U1317">
        <v>1712</v>
      </c>
      <c r="V1317">
        <v>0</v>
      </c>
      <c r="W1317">
        <v>2</v>
      </c>
      <c r="X1317">
        <v>1962</v>
      </c>
      <c r="Z1317">
        <v>1</v>
      </c>
      <c r="AA1317" t="s">
        <v>26</v>
      </c>
      <c r="AB1317">
        <v>0</v>
      </c>
      <c r="AC1317" t="s">
        <v>115</v>
      </c>
      <c r="AD1317">
        <v>2</v>
      </c>
      <c r="AE1317" t="s">
        <v>115</v>
      </c>
      <c r="AF1317">
        <v>0</v>
      </c>
      <c r="AG1317">
        <v>0</v>
      </c>
      <c r="AH1317" t="s">
        <v>116</v>
      </c>
      <c r="AI1317" s="1">
        <v>76815</v>
      </c>
      <c r="AJ1317" s="2">
        <v>0.19</v>
      </c>
      <c r="AK1317" s="1">
        <v>394009</v>
      </c>
      <c r="AL1317" t="s">
        <v>117</v>
      </c>
      <c r="AM1317" t="s">
        <v>616</v>
      </c>
      <c r="AN1317">
        <v>13691</v>
      </c>
      <c r="AO1317">
        <v>0.31</v>
      </c>
      <c r="AP1317">
        <v>1</v>
      </c>
      <c r="AR1317">
        <v>1</v>
      </c>
      <c r="AS1317" s="1">
        <v>27300</v>
      </c>
      <c r="AT1317" s="1">
        <v>5460</v>
      </c>
      <c r="AU1317" s="1">
        <v>21840</v>
      </c>
      <c r="AV1317">
        <v>80</v>
      </c>
      <c r="AX1317" s="1">
        <v>1714.06</v>
      </c>
      <c r="AY1317" t="s">
        <v>8948</v>
      </c>
      <c r="AZ1317" t="s">
        <v>8949</v>
      </c>
      <c r="BA1317" t="s">
        <v>7868</v>
      </c>
      <c r="BE1317" s="3">
        <v>41956</v>
      </c>
      <c r="BF1317" s="1">
        <v>315000</v>
      </c>
      <c r="BG1317" t="s">
        <v>8950</v>
      </c>
      <c r="BH1317" s="1">
        <v>182.29</v>
      </c>
      <c r="BI1317" s="1">
        <v>317194</v>
      </c>
      <c r="BJ1317" s="3">
        <v>42513</v>
      </c>
      <c r="BK1317" t="s">
        <v>123</v>
      </c>
      <c r="BL1317" t="str">
        <f>"2016.352655"</f>
        <v>2016.352655</v>
      </c>
      <c r="BM1317" t="s">
        <v>255</v>
      </c>
      <c r="BO1317" t="s">
        <v>8951</v>
      </c>
      <c r="BS1317">
        <v>30</v>
      </c>
      <c r="BW1317" t="str">
        <f>""</f>
        <v/>
      </c>
      <c r="CH1317" t="str">
        <f>""</f>
        <v/>
      </c>
      <c r="CS1317" t="str">
        <f>""</f>
        <v/>
      </c>
    </row>
    <row r="1318" spans="1:97" x14ac:dyDescent="0.25">
      <c r="A1318" t="s">
        <v>177</v>
      </c>
      <c r="B1318" t="s">
        <v>465</v>
      </c>
      <c r="C1318" t="s">
        <v>8952</v>
      </c>
      <c r="D1318" t="s">
        <v>465</v>
      </c>
      <c r="E1318" t="s">
        <v>8953</v>
      </c>
      <c r="F1318" t="s">
        <v>108</v>
      </c>
      <c r="H1318" t="s">
        <v>8954</v>
      </c>
      <c r="I1318" t="s">
        <v>203</v>
      </c>
      <c r="J1318" t="s">
        <v>111</v>
      </c>
      <c r="K1318" t="str">
        <f>"85295"</f>
        <v>85295</v>
      </c>
      <c r="L1318" t="s">
        <v>4534</v>
      </c>
      <c r="M1318" t="s">
        <v>8954</v>
      </c>
      <c r="N1318" t="s">
        <v>203</v>
      </c>
      <c r="O1318" t="s">
        <v>111</v>
      </c>
      <c r="P1318" t="str">
        <f>"85295-1407"</f>
        <v>85295-1407</v>
      </c>
      <c r="Q1318" t="s">
        <v>113</v>
      </c>
      <c r="R1318" t="str">
        <f>"304-44-317"</f>
        <v>304-44-317</v>
      </c>
      <c r="S1318" t="s">
        <v>8955</v>
      </c>
      <c r="T1318" t="s">
        <v>8956</v>
      </c>
      <c r="U1318">
        <v>2341</v>
      </c>
      <c r="V1318">
        <v>0</v>
      </c>
      <c r="W1318">
        <v>3</v>
      </c>
      <c r="X1318">
        <v>2003</v>
      </c>
      <c r="Z1318">
        <v>1</v>
      </c>
      <c r="AA1318" t="s">
        <v>26</v>
      </c>
      <c r="AB1318">
        <v>0</v>
      </c>
      <c r="AC1318" t="s">
        <v>115</v>
      </c>
      <c r="AD1318">
        <v>3</v>
      </c>
      <c r="AE1318" t="s">
        <v>115</v>
      </c>
      <c r="AF1318">
        <v>0</v>
      </c>
      <c r="AG1318">
        <v>0</v>
      </c>
      <c r="AH1318" t="s">
        <v>116</v>
      </c>
      <c r="AI1318" s="1">
        <v>61238</v>
      </c>
      <c r="AJ1318" s="2">
        <v>0.14000000000000001</v>
      </c>
      <c r="AK1318" s="1">
        <v>433118</v>
      </c>
      <c r="AL1318" t="s">
        <v>117</v>
      </c>
      <c r="AM1318" t="s">
        <v>1302</v>
      </c>
      <c r="AN1318">
        <v>10005</v>
      </c>
      <c r="AO1318">
        <v>0.23</v>
      </c>
      <c r="AP1318">
        <v>1</v>
      </c>
      <c r="AR1318">
        <v>1</v>
      </c>
      <c r="AS1318" s="1">
        <v>31660</v>
      </c>
      <c r="AT1318" s="1">
        <v>6330</v>
      </c>
      <c r="AU1318" s="1">
        <v>25330</v>
      </c>
      <c r="AV1318">
        <v>80.010000000000005</v>
      </c>
      <c r="AX1318" s="1">
        <v>2458.52</v>
      </c>
      <c r="AY1318" t="s">
        <v>206</v>
      </c>
      <c r="AZ1318" t="s">
        <v>207</v>
      </c>
      <c r="BA1318" t="s">
        <v>208</v>
      </c>
      <c r="BE1318" s="3">
        <v>42482</v>
      </c>
      <c r="BF1318" s="1">
        <v>360000</v>
      </c>
      <c r="BG1318" t="s">
        <v>8957</v>
      </c>
      <c r="BH1318" s="1">
        <v>153.78</v>
      </c>
      <c r="BI1318" s="1">
        <v>371880</v>
      </c>
      <c r="BJ1318" s="3">
        <v>42482</v>
      </c>
      <c r="BK1318" t="s">
        <v>123</v>
      </c>
      <c r="BL1318" t="str">
        <f>"2016.272275"</f>
        <v>2016.272275</v>
      </c>
      <c r="BM1318" t="s">
        <v>2980</v>
      </c>
      <c r="BO1318" t="s">
        <v>8958</v>
      </c>
      <c r="BS1318">
        <v>30</v>
      </c>
      <c r="BW1318" t="str">
        <f>""</f>
        <v/>
      </c>
      <c r="CH1318" t="str">
        <f>""</f>
        <v/>
      </c>
      <c r="CS1318" t="str">
        <f>""</f>
        <v/>
      </c>
    </row>
    <row r="1319" spans="1:97" x14ac:dyDescent="0.25">
      <c r="A1319" t="s">
        <v>938</v>
      </c>
      <c r="B1319" t="s">
        <v>958</v>
      </c>
      <c r="C1319" t="s">
        <v>2099</v>
      </c>
      <c r="D1319" t="s">
        <v>958</v>
      </c>
      <c r="E1319" t="s">
        <v>8959</v>
      </c>
      <c r="F1319" t="s">
        <v>108</v>
      </c>
      <c r="H1319" t="s">
        <v>8960</v>
      </c>
      <c r="I1319" t="s">
        <v>203</v>
      </c>
      <c r="J1319" t="s">
        <v>111</v>
      </c>
      <c r="K1319" t="str">
        <f>"85295"</f>
        <v>85295</v>
      </c>
      <c r="L1319" t="s">
        <v>3520</v>
      </c>
      <c r="M1319" t="s">
        <v>8960</v>
      </c>
      <c r="N1319" t="s">
        <v>203</v>
      </c>
      <c r="O1319" t="s">
        <v>111</v>
      </c>
      <c r="P1319" t="str">
        <f>"85295-7207"</f>
        <v>85295-7207</v>
      </c>
      <c r="Q1319" t="s">
        <v>113</v>
      </c>
      <c r="R1319" t="str">
        <f>"313-10-574"</f>
        <v>313-10-574</v>
      </c>
      <c r="S1319" t="s">
        <v>8961</v>
      </c>
      <c r="T1319" t="s">
        <v>8962</v>
      </c>
      <c r="U1319">
        <v>2290</v>
      </c>
      <c r="V1319">
        <v>0</v>
      </c>
      <c r="W1319">
        <v>3</v>
      </c>
      <c r="X1319">
        <v>2006</v>
      </c>
      <c r="Z1319">
        <v>2</v>
      </c>
      <c r="AB1319">
        <v>0</v>
      </c>
      <c r="AC1319" t="s">
        <v>115</v>
      </c>
      <c r="AD1319">
        <v>2</v>
      </c>
      <c r="AE1319" t="s">
        <v>115</v>
      </c>
      <c r="AF1319">
        <v>0</v>
      </c>
      <c r="AG1319">
        <v>0</v>
      </c>
      <c r="AH1319" t="s">
        <v>116</v>
      </c>
      <c r="AI1319" s="1">
        <v>63328</v>
      </c>
      <c r="AJ1319" s="2">
        <v>0.19</v>
      </c>
      <c r="AK1319" s="1">
        <v>334490</v>
      </c>
      <c r="AL1319" t="s">
        <v>117</v>
      </c>
      <c r="AM1319" t="s">
        <v>191</v>
      </c>
      <c r="AN1319">
        <v>5081</v>
      </c>
      <c r="AO1319">
        <v>0.12</v>
      </c>
      <c r="AR1319">
        <v>1</v>
      </c>
      <c r="AS1319" s="1">
        <v>22560</v>
      </c>
      <c r="AT1319" s="1">
        <v>4510</v>
      </c>
      <c r="AU1319" s="1">
        <v>18050</v>
      </c>
      <c r="AV1319">
        <v>80.010000000000005</v>
      </c>
      <c r="AX1319" s="1">
        <v>1743.12</v>
      </c>
      <c r="AY1319" t="s">
        <v>5087</v>
      </c>
      <c r="AZ1319" t="s">
        <v>5087</v>
      </c>
      <c r="BA1319" t="s">
        <v>473</v>
      </c>
      <c r="BE1319" s="3">
        <v>42065</v>
      </c>
      <c r="BF1319" s="1">
        <v>235000</v>
      </c>
      <c r="BG1319" t="s">
        <v>8963</v>
      </c>
      <c r="BH1319" s="1">
        <v>102.62</v>
      </c>
      <c r="BI1319" s="1">
        <v>271162</v>
      </c>
      <c r="BJ1319" s="3">
        <v>43007</v>
      </c>
      <c r="BK1319" t="s">
        <v>123</v>
      </c>
      <c r="BL1319" t="str">
        <f>"2017.722145"</f>
        <v>2017.722145</v>
      </c>
      <c r="BM1319" t="s">
        <v>8964</v>
      </c>
      <c r="BO1319" t="s">
        <v>8965</v>
      </c>
      <c r="BS1319">
        <v>30</v>
      </c>
      <c r="BW1319" t="str">
        <f>""</f>
        <v/>
      </c>
      <c r="CH1319" t="str">
        <f>""</f>
        <v/>
      </c>
      <c r="CS1319" t="str">
        <f>""</f>
        <v/>
      </c>
    </row>
    <row r="1320" spans="1:97" x14ac:dyDescent="0.25">
      <c r="A1320" t="s">
        <v>305</v>
      </c>
      <c r="B1320" t="s">
        <v>3124</v>
      </c>
      <c r="C1320" t="s">
        <v>3158</v>
      </c>
      <c r="D1320" t="s">
        <v>3124</v>
      </c>
      <c r="E1320" t="s">
        <v>8966</v>
      </c>
      <c r="F1320" t="s">
        <v>108</v>
      </c>
      <c r="H1320" t="s">
        <v>8967</v>
      </c>
      <c r="I1320" t="s">
        <v>453</v>
      </c>
      <c r="J1320" t="s">
        <v>111</v>
      </c>
      <c r="K1320" t="str">
        <f>"85383"</f>
        <v>85383</v>
      </c>
      <c r="L1320" t="s">
        <v>4467</v>
      </c>
      <c r="M1320" t="s">
        <v>8967</v>
      </c>
      <c r="N1320" t="s">
        <v>453</v>
      </c>
      <c r="O1320" t="s">
        <v>111</v>
      </c>
      <c r="P1320" t="str">
        <f>"85383-2446"</f>
        <v>85383-2446</v>
      </c>
      <c r="Q1320" t="s">
        <v>113</v>
      </c>
      <c r="R1320" t="str">
        <f>"503-89-689"</f>
        <v>503-89-689</v>
      </c>
      <c r="S1320" t="s">
        <v>8968</v>
      </c>
      <c r="T1320" t="s">
        <v>8969</v>
      </c>
      <c r="U1320">
        <v>2754</v>
      </c>
      <c r="V1320">
        <v>0</v>
      </c>
      <c r="W1320">
        <v>4</v>
      </c>
      <c r="X1320">
        <v>2005</v>
      </c>
      <c r="Z1320">
        <v>2</v>
      </c>
      <c r="AB1320">
        <v>0</v>
      </c>
      <c r="AC1320" t="s">
        <v>115</v>
      </c>
      <c r="AD1320">
        <v>3</v>
      </c>
      <c r="AE1320" t="s">
        <v>115</v>
      </c>
      <c r="AF1320">
        <v>0</v>
      </c>
      <c r="AG1320">
        <v>0</v>
      </c>
      <c r="AH1320" t="s">
        <v>116</v>
      </c>
      <c r="AI1320" s="1">
        <v>41156</v>
      </c>
      <c r="AJ1320" s="2">
        <v>0.11</v>
      </c>
      <c r="AK1320" s="1">
        <v>371156</v>
      </c>
      <c r="AL1320" t="s">
        <v>117</v>
      </c>
      <c r="AM1320" t="s">
        <v>118</v>
      </c>
      <c r="AN1320">
        <v>9615</v>
      </c>
      <c r="AO1320">
        <v>0.22</v>
      </c>
      <c r="AP1320">
        <v>1</v>
      </c>
      <c r="AR1320">
        <v>1</v>
      </c>
      <c r="AS1320" s="1">
        <v>26180</v>
      </c>
      <c r="AT1320" s="1">
        <v>5230</v>
      </c>
      <c r="AU1320" s="1">
        <v>20950</v>
      </c>
      <c r="AV1320">
        <v>80.02</v>
      </c>
      <c r="AX1320" s="1">
        <v>2818.34</v>
      </c>
      <c r="AY1320" t="s">
        <v>627</v>
      </c>
      <c r="AZ1320" t="s">
        <v>627</v>
      </c>
      <c r="BA1320" t="s">
        <v>457</v>
      </c>
      <c r="BE1320" s="3">
        <v>42128</v>
      </c>
      <c r="BF1320" s="1">
        <v>288000</v>
      </c>
      <c r="BG1320" t="s">
        <v>8970</v>
      </c>
      <c r="BH1320" s="1">
        <v>104.58</v>
      </c>
      <c r="BI1320" s="1">
        <v>330000</v>
      </c>
      <c r="BJ1320" s="3">
        <v>43019</v>
      </c>
      <c r="BK1320" t="s">
        <v>123</v>
      </c>
      <c r="BL1320" t="str">
        <f>"2017.754425"</f>
        <v>2017.754425</v>
      </c>
      <c r="BM1320" t="s">
        <v>980</v>
      </c>
      <c r="BO1320" t="s">
        <v>8971</v>
      </c>
      <c r="BS1320">
        <v>30</v>
      </c>
      <c r="BW1320" t="str">
        <f>""</f>
        <v/>
      </c>
      <c r="CH1320" t="str">
        <f>""</f>
        <v/>
      </c>
      <c r="CS1320" t="str">
        <f>""</f>
        <v/>
      </c>
    </row>
    <row r="1321" spans="1:97" x14ac:dyDescent="0.25">
      <c r="B1321" t="s">
        <v>8972</v>
      </c>
      <c r="E1321" t="s">
        <v>8972</v>
      </c>
      <c r="F1321" t="s">
        <v>108</v>
      </c>
      <c r="H1321" t="s">
        <v>8973</v>
      </c>
      <c r="I1321" t="s">
        <v>453</v>
      </c>
      <c r="J1321" t="s">
        <v>111</v>
      </c>
      <c r="K1321" t="str">
        <f>"85383"</f>
        <v>85383</v>
      </c>
      <c r="L1321" t="s">
        <v>1070</v>
      </c>
      <c r="M1321" t="s">
        <v>8973</v>
      </c>
      <c r="N1321" t="s">
        <v>453</v>
      </c>
      <c r="O1321" t="s">
        <v>111</v>
      </c>
      <c r="P1321" t="str">
        <f>"85383-5256"</f>
        <v>85383-5256</v>
      </c>
      <c r="Q1321" t="s">
        <v>113</v>
      </c>
      <c r="R1321" t="str">
        <f>"503-99-867"</f>
        <v>503-99-867</v>
      </c>
      <c r="S1321" t="s">
        <v>8974</v>
      </c>
      <c r="U1321">
        <v>1867</v>
      </c>
      <c r="V1321">
        <v>0</v>
      </c>
      <c r="W1321">
        <v>5</v>
      </c>
      <c r="X1321">
        <v>2008</v>
      </c>
      <c r="Z1321">
        <v>1</v>
      </c>
      <c r="AA1321" t="s">
        <v>26</v>
      </c>
      <c r="AB1321">
        <v>0</v>
      </c>
      <c r="AC1321" t="s">
        <v>115</v>
      </c>
      <c r="AD1321">
        <v>2</v>
      </c>
      <c r="AE1321" t="s">
        <v>115</v>
      </c>
      <c r="AF1321">
        <v>0</v>
      </c>
      <c r="AG1321">
        <v>0</v>
      </c>
      <c r="AH1321" t="s">
        <v>116</v>
      </c>
      <c r="AI1321" s="1">
        <v>154100</v>
      </c>
      <c r="AJ1321" s="2">
        <v>0.31</v>
      </c>
      <c r="AK1321" s="1">
        <v>501546</v>
      </c>
      <c r="AL1321" t="s">
        <v>117</v>
      </c>
      <c r="AM1321" t="s">
        <v>118</v>
      </c>
      <c r="AN1321">
        <v>13671</v>
      </c>
      <c r="AO1321">
        <v>0.31</v>
      </c>
      <c r="AR1321">
        <v>1</v>
      </c>
      <c r="AS1321" s="1">
        <v>37420</v>
      </c>
      <c r="AT1321" s="1">
        <v>7480</v>
      </c>
      <c r="AU1321" s="1">
        <v>29940</v>
      </c>
      <c r="AV1321">
        <v>80.010000000000005</v>
      </c>
      <c r="AX1321" s="1">
        <v>4690.62</v>
      </c>
      <c r="AY1321" t="s">
        <v>456</v>
      </c>
      <c r="AZ1321" t="s">
        <v>456</v>
      </c>
      <c r="BA1321" t="s">
        <v>457</v>
      </c>
      <c r="BB1321" s="3">
        <v>42440</v>
      </c>
      <c r="BD1321" t="s">
        <v>458</v>
      </c>
      <c r="BE1321" s="3">
        <v>41761</v>
      </c>
      <c r="BF1321" s="1">
        <v>450000</v>
      </c>
      <c r="BG1321" t="s">
        <v>8975</v>
      </c>
      <c r="BH1321" s="1">
        <v>241.03</v>
      </c>
      <c r="BI1321" s="1">
        <v>347446</v>
      </c>
      <c r="BJ1321" s="3">
        <v>42440</v>
      </c>
      <c r="BK1321" t="s">
        <v>123</v>
      </c>
      <c r="BL1321" t="str">
        <f>"2016.157615"</f>
        <v>2016.157615</v>
      </c>
      <c r="BM1321" t="s">
        <v>2383</v>
      </c>
      <c r="BO1321" t="s">
        <v>8976</v>
      </c>
      <c r="BP1321" t="s">
        <v>8977</v>
      </c>
      <c r="BS1321">
        <v>30</v>
      </c>
      <c r="BW1321" t="str">
        <f>""</f>
        <v/>
      </c>
      <c r="CH1321" t="str">
        <f>""</f>
        <v/>
      </c>
      <c r="CS1321" t="str">
        <f>""</f>
        <v/>
      </c>
    </row>
    <row r="1322" spans="1:97" x14ac:dyDescent="0.25">
      <c r="A1322" t="s">
        <v>5224</v>
      </c>
      <c r="B1322" t="s">
        <v>8978</v>
      </c>
      <c r="C1322" t="s">
        <v>1857</v>
      </c>
      <c r="D1322" t="s">
        <v>8978</v>
      </c>
      <c r="E1322" t="s">
        <v>8979</v>
      </c>
      <c r="F1322" t="s">
        <v>108</v>
      </c>
      <c r="H1322" t="s">
        <v>8980</v>
      </c>
      <c r="I1322" t="s">
        <v>1936</v>
      </c>
      <c r="J1322" t="s">
        <v>111</v>
      </c>
      <c r="K1322" t="str">
        <f>"85259"</f>
        <v>85259</v>
      </c>
      <c r="L1322" t="s">
        <v>4467</v>
      </c>
      <c r="M1322" t="s">
        <v>8980</v>
      </c>
      <c r="N1322" t="s">
        <v>1936</v>
      </c>
      <c r="O1322" t="s">
        <v>111</v>
      </c>
      <c r="P1322" t="str">
        <f>"85259-5967"</f>
        <v>85259-5967</v>
      </c>
      <c r="Q1322" t="s">
        <v>113</v>
      </c>
      <c r="R1322" t="str">
        <f>"217-33-722"</f>
        <v>217-33-722</v>
      </c>
      <c r="S1322" t="s">
        <v>8981</v>
      </c>
      <c r="T1322" t="s">
        <v>8982</v>
      </c>
      <c r="U1322">
        <v>1616</v>
      </c>
      <c r="V1322">
        <v>0</v>
      </c>
      <c r="W1322">
        <v>3</v>
      </c>
      <c r="X1322">
        <v>1993</v>
      </c>
      <c r="Z1322">
        <v>1</v>
      </c>
      <c r="AB1322">
        <v>0</v>
      </c>
      <c r="AC1322" t="s">
        <v>115</v>
      </c>
      <c r="AD1322">
        <v>2</v>
      </c>
      <c r="AE1322" t="s">
        <v>115</v>
      </c>
      <c r="AF1322">
        <v>0</v>
      </c>
      <c r="AG1322">
        <v>0</v>
      </c>
      <c r="AH1322" t="s">
        <v>116</v>
      </c>
      <c r="AI1322" s="1">
        <v>58772</v>
      </c>
      <c r="AJ1322" s="2">
        <v>0.15</v>
      </c>
      <c r="AK1322" s="1">
        <v>395867</v>
      </c>
      <c r="AL1322" t="s">
        <v>117</v>
      </c>
      <c r="AM1322" t="s">
        <v>393</v>
      </c>
      <c r="AN1322">
        <v>5806</v>
      </c>
      <c r="AO1322">
        <v>0.13</v>
      </c>
      <c r="AP1322">
        <v>1</v>
      </c>
      <c r="AR1322">
        <v>1</v>
      </c>
      <c r="AS1322" s="1">
        <v>29620</v>
      </c>
      <c r="AT1322" s="1">
        <v>5920</v>
      </c>
      <c r="AU1322" s="1">
        <v>23700</v>
      </c>
      <c r="AV1322">
        <v>80.010000000000005</v>
      </c>
      <c r="AX1322" s="1">
        <v>2139.3000000000002</v>
      </c>
      <c r="AY1322" t="s">
        <v>5761</v>
      </c>
      <c r="AZ1322" t="s">
        <v>5762</v>
      </c>
      <c r="BA1322" t="s">
        <v>5763</v>
      </c>
      <c r="BE1322" s="3">
        <v>42465</v>
      </c>
      <c r="BF1322" s="1">
        <v>330000</v>
      </c>
      <c r="BG1322" t="s">
        <v>8983</v>
      </c>
      <c r="BH1322" s="1">
        <v>204.21</v>
      </c>
      <c r="BI1322" s="1">
        <v>337095</v>
      </c>
      <c r="BJ1322" s="3">
        <v>42465</v>
      </c>
      <c r="BK1322" t="s">
        <v>123</v>
      </c>
      <c r="BL1322" t="str">
        <f>"2016.222752"</f>
        <v>2016.222752</v>
      </c>
      <c r="BM1322" t="s">
        <v>724</v>
      </c>
      <c r="BO1322" t="s">
        <v>8984</v>
      </c>
      <c r="BS1322">
        <v>30</v>
      </c>
      <c r="BW1322" t="str">
        <f>""</f>
        <v/>
      </c>
      <c r="CH1322" t="str">
        <f>""</f>
        <v/>
      </c>
      <c r="CS1322" t="str">
        <f>""</f>
        <v/>
      </c>
    </row>
    <row r="1323" spans="1:97" x14ac:dyDescent="0.25">
      <c r="A1323" t="s">
        <v>701</v>
      </c>
      <c r="B1323" t="s">
        <v>1697</v>
      </c>
      <c r="C1323" t="s">
        <v>908</v>
      </c>
      <c r="D1323" t="s">
        <v>1697</v>
      </c>
      <c r="E1323" t="s">
        <v>8985</v>
      </c>
      <c r="F1323" t="s">
        <v>108</v>
      </c>
      <c r="H1323" t="s">
        <v>8986</v>
      </c>
      <c r="I1323" t="s">
        <v>5863</v>
      </c>
      <c r="J1323" t="s">
        <v>111</v>
      </c>
      <c r="K1323" t="str">
        <f>"85375"</f>
        <v>85375</v>
      </c>
      <c r="L1323" t="s">
        <v>5228</v>
      </c>
      <c r="M1323" t="s">
        <v>8986</v>
      </c>
      <c r="N1323" t="s">
        <v>5863</v>
      </c>
      <c r="O1323" t="s">
        <v>111</v>
      </c>
      <c r="P1323" t="str">
        <f>"85375-3838"</f>
        <v>85375-3838</v>
      </c>
      <c r="Q1323" t="s">
        <v>113</v>
      </c>
      <c r="R1323" t="str">
        <f>"232-01-974"</f>
        <v>232-01-974</v>
      </c>
      <c r="S1323" t="s">
        <v>8987</v>
      </c>
      <c r="U1323">
        <v>1807</v>
      </c>
      <c r="V1323">
        <v>0</v>
      </c>
      <c r="W1323">
        <v>2</v>
      </c>
      <c r="X1323">
        <v>1992</v>
      </c>
      <c r="Z1323">
        <v>1</v>
      </c>
      <c r="AB1323">
        <v>0</v>
      </c>
      <c r="AC1323" t="s">
        <v>115</v>
      </c>
      <c r="AD1323">
        <v>2</v>
      </c>
      <c r="AE1323" t="s">
        <v>115</v>
      </c>
      <c r="AF1323">
        <v>0</v>
      </c>
      <c r="AG1323">
        <v>0</v>
      </c>
      <c r="AH1323" t="s">
        <v>116</v>
      </c>
      <c r="AI1323" s="1">
        <v>19370</v>
      </c>
      <c r="AJ1323" s="2">
        <v>0.08</v>
      </c>
      <c r="AK1323" s="1">
        <v>255410</v>
      </c>
      <c r="AL1323" t="s">
        <v>117</v>
      </c>
      <c r="AM1323" t="s">
        <v>3345</v>
      </c>
      <c r="AN1323">
        <v>7800</v>
      </c>
      <c r="AO1323">
        <v>0.18</v>
      </c>
      <c r="AP1323">
        <v>1</v>
      </c>
      <c r="AR1323">
        <v>1</v>
      </c>
      <c r="AS1323" s="1">
        <v>18010</v>
      </c>
      <c r="AT1323" s="1">
        <v>3600</v>
      </c>
      <c r="AU1323" s="1">
        <v>14410</v>
      </c>
      <c r="AV1323">
        <v>80.010000000000005</v>
      </c>
      <c r="AX1323" s="1">
        <v>1300.82</v>
      </c>
      <c r="AY1323" t="s">
        <v>320</v>
      </c>
      <c r="AZ1323" t="s">
        <v>320</v>
      </c>
      <c r="BA1323" t="s">
        <v>321</v>
      </c>
      <c r="BE1323" s="3">
        <v>41880</v>
      </c>
      <c r="BF1323" s="1">
        <v>214900</v>
      </c>
      <c r="BG1323" t="s">
        <v>8988</v>
      </c>
      <c r="BH1323" s="1">
        <v>118.93</v>
      </c>
      <c r="BI1323" s="1">
        <v>236040</v>
      </c>
      <c r="BJ1323" s="3">
        <v>42612</v>
      </c>
      <c r="BK1323" t="s">
        <v>123</v>
      </c>
      <c r="BL1323" t="str">
        <f>"2016.623763"</f>
        <v>2016.623763</v>
      </c>
      <c r="BM1323" t="s">
        <v>2472</v>
      </c>
      <c r="BO1323" t="s">
        <v>8989</v>
      </c>
      <c r="BS1323">
        <v>30</v>
      </c>
      <c r="BW1323" t="str">
        <f>""</f>
        <v/>
      </c>
      <c r="CH1323" t="str">
        <f>""</f>
        <v/>
      </c>
      <c r="CS1323" t="str">
        <f>""</f>
        <v/>
      </c>
    </row>
    <row r="1324" spans="1:97" x14ac:dyDescent="0.25">
      <c r="A1324" t="s">
        <v>353</v>
      </c>
      <c r="B1324" t="s">
        <v>4510</v>
      </c>
      <c r="C1324" t="s">
        <v>4026</v>
      </c>
      <c r="D1324" t="s">
        <v>4510</v>
      </c>
      <c r="E1324" t="s">
        <v>8990</v>
      </c>
      <c r="F1324" t="s">
        <v>108</v>
      </c>
      <c r="H1324" t="s">
        <v>8991</v>
      </c>
      <c r="I1324" t="s">
        <v>203</v>
      </c>
      <c r="J1324" t="s">
        <v>111</v>
      </c>
      <c r="K1324" t="str">
        <f>"85295"</f>
        <v>85295</v>
      </c>
      <c r="L1324" t="s">
        <v>3520</v>
      </c>
      <c r="M1324" t="s">
        <v>8991</v>
      </c>
      <c r="N1324" t="s">
        <v>203</v>
      </c>
      <c r="O1324" t="s">
        <v>111</v>
      </c>
      <c r="P1324" t="str">
        <f>"85295-3669"</f>
        <v>85295-3669</v>
      </c>
      <c r="Q1324" t="s">
        <v>113</v>
      </c>
      <c r="R1324" t="str">
        <f>"309-29-404"</f>
        <v>309-29-404</v>
      </c>
      <c r="S1324" t="s">
        <v>8992</v>
      </c>
      <c r="T1324" t="s">
        <v>8962</v>
      </c>
      <c r="U1324">
        <v>2412</v>
      </c>
      <c r="V1324">
        <v>0</v>
      </c>
      <c r="W1324">
        <v>4</v>
      </c>
      <c r="X1324">
        <v>2005</v>
      </c>
      <c r="Z1324">
        <v>2</v>
      </c>
      <c r="AB1324">
        <v>0</v>
      </c>
      <c r="AC1324" t="s">
        <v>115</v>
      </c>
      <c r="AD1324">
        <v>2</v>
      </c>
      <c r="AE1324" t="s">
        <v>115</v>
      </c>
      <c r="AF1324">
        <v>0</v>
      </c>
      <c r="AG1324">
        <v>0</v>
      </c>
      <c r="AH1324" t="s">
        <v>116</v>
      </c>
      <c r="AI1324" s="1">
        <v>59695</v>
      </c>
      <c r="AJ1324" s="2">
        <v>0.18</v>
      </c>
      <c r="AK1324" s="1">
        <v>339195</v>
      </c>
      <c r="AL1324" t="s">
        <v>117</v>
      </c>
      <c r="AM1324" t="s">
        <v>191</v>
      </c>
      <c r="AN1324">
        <v>4925</v>
      </c>
      <c r="AO1324">
        <v>0.11</v>
      </c>
      <c r="AR1324">
        <v>1</v>
      </c>
      <c r="AS1324" s="1">
        <v>22510</v>
      </c>
      <c r="AT1324" s="1">
        <v>4500</v>
      </c>
      <c r="AU1324" s="1">
        <v>18010</v>
      </c>
      <c r="AV1324">
        <v>80.010000000000005</v>
      </c>
      <c r="AX1324" s="1">
        <v>1857.36</v>
      </c>
      <c r="AY1324" t="s">
        <v>5087</v>
      </c>
      <c r="AZ1324" t="s">
        <v>5087</v>
      </c>
      <c r="BA1324" t="s">
        <v>473</v>
      </c>
      <c r="BE1324" s="3">
        <v>42187</v>
      </c>
      <c r="BF1324" s="1">
        <v>250000</v>
      </c>
      <c r="BG1324" t="s">
        <v>8993</v>
      </c>
      <c r="BH1324" s="1">
        <v>103.65</v>
      </c>
      <c r="BI1324" s="1">
        <v>279500</v>
      </c>
      <c r="BJ1324" s="3">
        <v>43140</v>
      </c>
      <c r="BK1324" t="s">
        <v>123</v>
      </c>
      <c r="BL1324" t="str">
        <f>"2018.100227"</f>
        <v>2018.100227</v>
      </c>
      <c r="BM1324" t="s">
        <v>1135</v>
      </c>
      <c r="BN1324" t="s">
        <v>1136</v>
      </c>
      <c r="BO1324" t="s">
        <v>8994</v>
      </c>
      <c r="BP1324" t="s">
        <v>8995</v>
      </c>
      <c r="BR1324" t="s">
        <v>139</v>
      </c>
      <c r="BW1324" t="str">
        <f>""</f>
        <v/>
      </c>
      <c r="CH1324" t="str">
        <f>""</f>
        <v/>
      </c>
      <c r="CS1324" t="str">
        <f>""</f>
        <v/>
      </c>
    </row>
    <row r="1325" spans="1:97" x14ac:dyDescent="0.25">
      <c r="A1325" t="s">
        <v>370</v>
      </c>
      <c r="B1325" t="s">
        <v>8996</v>
      </c>
      <c r="C1325" t="s">
        <v>1394</v>
      </c>
      <c r="D1325" t="s">
        <v>8996</v>
      </c>
      <c r="E1325" t="s">
        <v>8997</v>
      </c>
      <c r="F1325" t="s">
        <v>108</v>
      </c>
      <c r="H1325" t="s">
        <v>8998</v>
      </c>
      <c r="I1325" t="s">
        <v>203</v>
      </c>
      <c r="J1325" t="s">
        <v>111</v>
      </c>
      <c r="K1325" t="str">
        <f>"85298"</f>
        <v>85298</v>
      </c>
      <c r="L1325" t="s">
        <v>500</v>
      </c>
      <c r="M1325" t="s">
        <v>8998</v>
      </c>
      <c r="N1325" t="s">
        <v>203</v>
      </c>
      <c r="O1325" t="s">
        <v>111</v>
      </c>
      <c r="P1325" t="str">
        <f>"85298-8888"</f>
        <v>85298-8888</v>
      </c>
      <c r="Q1325" t="s">
        <v>113</v>
      </c>
      <c r="R1325" t="str">
        <f>"304-78-330"</f>
        <v>304-78-330</v>
      </c>
      <c r="S1325" t="s">
        <v>8999</v>
      </c>
      <c r="T1325" t="s">
        <v>9000</v>
      </c>
      <c r="U1325">
        <v>2322</v>
      </c>
      <c r="V1325">
        <v>0</v>
      </c>
      <c r="W1325">
        <v>3</v>
      </c>
      <c r="X1325">
        <v>2003</v>
      </c>
      <c r="Z1325">
        <v>1</v>
      </c>
      <c r="AA1325" t="s">
        <v>26</v>
      </c>
      <c r="AB1325">
        <v>0</v>
      </c>
      <c r="AC1325" t="s">
        <v>115</v>
      </c>
      <c r="AD1325">
        <v>3</v>
      </c>
      <c r="AE1325" t="s">
        <v>115</v>
      </c>
      <c r="AF1325">
        <v>0</v>
      </c>
      <c r="AG1325">
        <v>0</v>
      </c>
      <c r="AH1325" t="s">
        <v>116</v>
      </c>
      <c r="AI1325" s="1">
        <v>91516</v>
      </c>
      <c r="AJ1325" s="2">
        <v>0.24</v>
      </c>
      <c r="AK1325" s="1">
        <v>382204</v>
      </c>
      <c r="AL1325" t="s">
        <v>117</v>
      </c>
      <c r="AM1325" t="s">
        <v>393</v>
      </c>
      <c r="AN1325">
        <v>7972</v>
      </c>
      <c r="AO1325">
        <v>0.18</v>
      </c>
      <c r="AP1325">
        <v>1</v>
      </c>
      <c r="AR1325">
        <v>1</v>
      </c>
      <c r="AS1325" s="1">
        <v>25100</v>
      </c>
      <c r="AT1325" s="1">
        <v>5020</v>
      </c>
      <c r="AU1325" s="1">
        <v>20080</v>
      </c>
      <c r="AV1325">
        <v>80</v>
      </c>
      <c r="AX1325" s="1">
        <v>1998.04</v>
      </c>
      <c r="AY1325" t="s">
        <v>1133</v>
      </c>
      <c r="AZ1325" t="s">
        <v>1134</v>
      </c>
      <c r="BA1325" t="s">
        <v>1134</v>
      </c>
      <c r="BE1325" s="3">
        <v>42353</v>
      </c>
      <c r="BF1325" s="1">
        <v>319000</v>
      </c>
      <c r="BG1325" t="s">
        <v>9001</v>
      </c>
      <c r="BH1325" s="1">
        <v>137.38</v>
      </c>
      <c r="BI1325" s="1">
        <v>290688</v>
      </c>
      <c r="BJ1325" s="3">
        <v>42353</v>
      </c>
      <c r="BK1325" t="s">
        <v>123</v>
      </c>
      <c r="BL1325" t="str">
        <f>"2015.884539"</f>
        <v>2015.884539</v>
      </c>
      <c r="BM1325" t="s">
        <v>475</v>
      </c>
      <c r="BO1325" t="s">
        <v>9002</v>
      </c>
      <c r="BS1325">
        <v>30</v>
      </c>
      <c r="BW1325" t="str">
        <f>""</f>
        <v/>
      </c>
      <c r="CH1325" t="str">
        <f>""</f>
        <v/>
      </c>
      <c r="CS1325" t="str">
        <f>""</f>
        <v/>
      </c>
    </row>
    <row r="1326" spans="1:97" x14ac:dyDescent="0.25">
      <c r="B1326" t="s">
        <v>9003</v>
      </c>
      <c r="C1326" t="s">
        <v>8737</v>
      </c>
      <c r="E1326" t="s">
        <v>9004</v>
      </c>
      <c r="F1326" t="s">
        <v>108</v>
      </c>
      <c r="H1326" t="s">
        <v>9005</v>
      </c>
      <c r="I1326" t="s">
        <v>1936</v>
      </c>
      <c r="J1326" t="s">
        <v>111</v>
      </c>
      <c r="K1326" t="str">
        <f>"85254"</f>
        <v>85254</v>
      </c>
      <c r="L1326" t="s">
        <v>9006</v>
      </c>
      <c r="M1326" t="s">
        <v>9005</v>
      </c>
      <c r="N1326" t="s">
        <v>1936</v>
      </c>
      <c r="O1326" t="s">
        <v>111</v>
      </c>
      <c r="P1326" t="str">
        <f>"85254-3830"</f>
        <v>85254-3830</v>
      </c>
      <c r="Q1326" t="s">
        <v>113</v>
      </c>
      <c r="R1326" t="str">
        <f>"167-03-099"</f>
        <v>167-03-099</v>
      </c>
      <c r="S1326" t="s">
        <v>9007</v>
      </c>
      <c r="T1326" t="s">
        <v>9008</v>
      </c>
      <c r="U1326">
        <v>2850</v>
      </c>
      <c r="V1326">
        <v>0</v>
      </c>
      <c r="W1326">
        <v>4</v>
      </c>
      <c r="X1326">
        <v>1972</v>
      </c>
      <c r="Z1326">
        <v>1</v>
      </c>
      <c r="AA1326" t="s">
        <v>26</v>
      </c>
      <c r="AB1326">
        <v>0</v>
      </c>
      <c r="AC1326" t="s">
        <v>115</v>
      </c>
      <c r="AD1326">
        <v>2</v>
      </c>
      <c r="AE1326" t="s">
        <v>115</v>
      </c>
      <c r="AF1326">
        <v>0</v>
      </c>
      <c r="AG1326">
        <v>0</v>
      </c>
      <c r="AH1326" t="s">
        <v>116</v>
      </c>
      <c r="AI1326" s="1">
        <v>154128</v>
      </c>
      <c r="AJ1326" s="2">
        <v>0.24</v>
      </c>
      <c r="AK1326" s="1">
        <v>650577</v>
      </c>
      <c r="AL1326" t="s">
        <v>117</v>
      </c>
      <c r="AM1326" t="s">
        <v>9009</v>
      </c>
      <c r="AN1326">
        <v>26257</v>
      </c>
      <c r="AO1326">
        <v>0.6</v>
      </c>
      <c r="AP1326">
        <v>1</v>
      </c>
      <c r="AR1326">
        <v>1</v>
      </c>
      <c r="AS1326" s="1">
        <v>44870</v>
      </c>
      <c r="AT1326" s="1">
        <v>8970</v>
      </c>
      <c r="AU1326" s="1">
        <v>35900</v>
      </c>
      <c r="AV1326">
        <v>80.010000000000005</v>
      </c>
      <c r="AX1326" s="1">
        <v>4250.68</v>
      </c>
      <c r="AY1326" t="s">
        <v>9010</v>
      </c>
      <c r="AZ1326" t="s">
        <v>7739</v>
      </c>
      <c r="BA1326" t="s">
        <v>6302</v>
      </c>
      <c r="BB1326" s="3">
        <v>43712</v>
      </c>
      <c r="BC1326" s="1">
        <v>0</v>
      </c>
      <c r="BD1326" t="s">
        <v>247</v>
      </c>
      <c r="BE1326" s="3">
        <v>41838</v>
      </c>
      <c r="BF1326" s="1">
        <v>532915</v>
      </c>
      <c r="BG1326" t="s">
        <v>9011</v>
      </c>
      <c r="BH1326" s="1">
        <v>186.99</v>
      </c>
      <c r="BI1326" s="1">
        <v>496449</v>
      </c>
      <c r="BJ1326" s="3">
        <v>42303</v>
      </c>
      <c r="BK1326" t="s">
        <v>123</v>
      </c>
      <c r="BL1326" t="str">
        <f>"2015.765407"</f>
        <v>2015.765407</v>
      </c>
      <c r="BM1326" t="s">
        <v>683</v>
      </c>
      <c r="BN1326" t="s">
        <v>5502</v>
      </c>
      <c r="BO1326" t="s">
        <v>9012</v>
      </c>
      <c r="BS1326">
        <v>30</v>
      </c>
      <c r="BW1326" t="str">
        <f>""</f>
        <v/>
      </c>
      <c r="CH1326" t="str">
        <f>""</f>
        <v/>
      </c>
      <c r="CS1326" t="str">
        <f>""</f>
        <v/>
      </c>
    </row>
    <row r="1327" spans="1:97" x14ac:dyDescent="0.25">
      <c r="A1327" t="s">
        <v>203</v>
      </c>
      <c r="B1327" t="s">
        <v>9013</v>
      </c>
      <c r="E1327" t="s">
        <v>9014</v>
      </c>
      <c r="F1327" t="s">
        <v>108</v>
      </c>
      <c r="H1327" t="s">
        <v>9015</v>
      </c>
      <c r="I1327" t="s">
        <v>203</v>
      </c>
      <c r="J1327" t="s">
        <v>111</v>
      </c>
      <c r="K1327" t="str">
        <f>"85234"</f>
        <v>85234</v>
      </c>
      <c r="L1327" t="s">
        <v>375</v>
      </c>
      <c r="M1327" t="s">
        <v>9015</v>
      </c>
      <c r="N1327" t="s">
        <v>203</v>
      </c>
      <c r="O1327" t="s">
        <v>111</v>
      </c>
      <c r="P1327" t="str">
        <f>"85234-4856"</f>
        <v>85234-4856</v>
      </c>
      <c r="Q1327" t="s">
        <v>113</v>
      </c>
      <c r="R1327" t="str">
        <f>"304-13-770"</f>
        <v>304-13-770</v>
      </c>
      <c r="S1327" t="s">
        <v>9016</v>
      </c>
      <c r="T1327" t="s">
        <v>9017</v>
      </c>
      <c r="U1327">
        <v>2258</v>
      </c>
      <c r="V1327">
        <v>0</v>
      </c>
      <c r="W1327">
        <v>3</v>
      </c>
      <c r="X1327">
        <v>1988</v>
      </c>
      <c r="Z1327">
        <v>1</v>
      </c>
      <c r="AB1327">
        <v>0</v>
      </c>
      <c r="AC1327" t="s">
        <v>115</v>
      </c>
      <c r="AD1327">
        <v>2</v>
      </c>
      <c r="AE1327" t="s">
        <v>115</v>
      </c>
      <c r="AF1327">
        <v>0</v>
      </c>
      <c r="AG1327">
        <v>0</v>
      </c>
      <c r="AH1327" t="s">
        <v>116</v>
      </c>
      <c r="AI1327" s="1">
        <v>74377</v>
      </c>
      <c r="AJ1327" s="2">
        <v>0.22</v>
      </c>
      <c r="AK1327" s="1">
        <v>342957</v>
      </c>
      <c r="AL1327" t="s">
        <v>117</v>
      </c>
      <c r="AM1327" t="s">
        <v>393</v>
      </c>
      <c r="AN1327">
        <v>5990</v>
      </c>
      <c r="AO1327">
        <v>0.14000000000000001</v>
      </c>
      <c r="AP1327">
        <v>1</v>
      </c>
      <c r="AR1327">
        <v>1</v>
      </c>
      <c r="AS1327" s="1">
        <v>23520</v>
      </c>
      <c r="AT1327" s="1">
        <v>4700</v>
      </c>
      <c r="AU1327" s="1">
        <v>18820</v>
      </c>
      <c r="AV1327">
        <v>80.02</v>
      </c>
      <c r="AX1327" s="1">
        <v>1658.38</v>
      </c>
      <c r="AY1327" t="s">
        <v>272</v>
      </c>
      <c r="AZ1327" t="s">
        <v>5478</v>
      </c>
      <c r="BA1327" t="s">
        <v>5033</v>
      </c>
      <c r="BE1327" s="3">
        <v>42474</v>
      </c>
      <c r="BF1327" s="1">
        <v>260000</v>
      </c>
      <c r="BG1327" t="s">
        <v>9018</v>
      </c>
      <c r="BH1327" s="1">
        <v>115.15</v>
      </c>
      <c r="BI1327" s="1">
        <v>268580</v>
      </c>
      <c r="BJ1327" s="3">
        <v>42474</v>
      </c>
      <c r="BK1327" t="s">
        <v>123</v>
      </c>
      <c r="BL1327" t="str">
        <f>"2016.247119"</f>
        <v>2016.247119</v>
      </c>
      <c r="BM1327" t="s">
        <v>2683</v>
      </c>
      <c r="BO1327" t="s">
        <v>9019</v>
      </c>
      <c r="BS1327">
        <v>30</v>
      </c>
      <c r="BW1327" t="str">
        <f>""</f>
        <v/>
      </c>
      <c r="CH1327" t="str">
        <f>""</f>
        <v/>
      </c>
      <c r="CS1327" t="str">
        <f>""</f>
        <v/>
      </c>
    </row>
    <row r="1328" spans="1:97" x14ac:dyDescent="0.25">
      <c r="A1328" t="s">
        <v>9020</v>
      </c>
      <c r="B1328" t="s">
        <v>9021</v>
      </c>
      <c r="C1328" t="s">
        <v>1047</v>
      </c>
      <c r="D1328" t="s">
        <v>9021</v>
      </c>
      <c r="E1328" t="s">
        <v>9022</v>
      </c>
      <c r="F1328" t="s">
        <v>108</v>
      </c>
      <c r="H1328" t="s">
        <v>9023</v>
      </c>
      <c r="I1328" t="s">
        <v>2874</v>
      </c>
      <c r="J1328" t="s">
        <v>111</v>
      </c>
      <c r="K1328" t="str">
        <f>"85308"</f>
        <v>85308</v>
      </c>
      <c r="L1328" t="s">
        <v>541</v>
      </c>
      <c r="M1328" t="s">
        <v>9023</v>
      </c>
      <c r="N1328" t="s">
        <v>2874</v>
      </c>
      <c r="O1328" t="s">
        <v>111</v>
      </c>
      <c r="P1328" t="str">
        <f>"85308-9554"</f>
        <v>85308-9554</v>
      </c>
      <c r="Q1328" t="s">
        <v>113</v>
      </c>
      <c r="R1328" t="str">
        <f>"231-23-059"</f>
        <v>231-23-059</v>
      </c>
      <c r="S1328" t="s">
        <v>9024</v>
      </c>
      <c r="T1328" t="s">
        <v>9025</v>
      </c>
      <c r="U1328">
        <v>3053</v>
      </c>
      <c r="V1328">
        <v>0</v>
      </c>
      <c r="W1328">
        <v>4</v>
      </c>
      <c r="X1328">
        <v>1998</v>
      </c>
      <c r="Z1328">
        <v>2</v>
      </c>
      <c r="AB1328">
        <v>0</v>
      </c>
      <c r="AC1328" t="s">
        <v>115</v>
      </c>
      <c r="AD1328">
        <v>3</v>
      </c>
      <c r="AE1328" t="s">
        <v>115</v>
      </c>
      <c r="AF1328">
        <v>0</v>
      </c>
      <c r="AG1328">
        <v>0</v>
      </c>
      <c r="AH1328" t="s">
        <v>116</v>
      </c>
      <c r="AI1328" s="1">
        <v>86704</v>
      </c>
      <c r="AJ1328" s="2">
        <v>0.19</v>
      </c>
      <c r="AK1328" s="1">
        <v>449287</v>
      </c>
      <c r="AL1328" t="s">
        <v>117</v>
      </c>
      <c r="AM1328" t="s">
        <v>191</v>
      </c>
      <c r="AN1328">
        <v>11755</v>
      </c>
      <c r="AO1328">
        <v>0.27</v>
      </c>
      <c r="AP1328">
        <v>1</v>
      </c>
      <c r="AR1328">
        <v>1</v>
      </c>
      <c r="AS1328" s="1">
        <v>32120</v>
      </c>
      <c r="AT1328" s="1">
        <v>6420</v>
      </c>
      <c r="AU1328" s="1">
        <v>25700</v>
      </c>
      <c r="AV1328">
        <v>80.010000000000005</v>
      </c>
      <c r="AX1328" s="1">
        <v>3207.36</v>
      </c>
      <c r="AY1328" t="s">
        <v>8358</v>
      </c>
      <c r="AZ1328" t="s">
        <v>8358</v>
      </c>
      <c r="BA1328" t="s">
        <v>2223</v>
      </c>
      <c r="BE1328" s="3">
        <v>41823</v>
      </c>
      <c r="BF1328" s="1">
        <v>364500</v>
      </c>
      <c r="BG1328" t="s">
        <v>9026</v>
      </c>
      <c r="BH1328" s="1">
        <v>119.39</v>
      </c>
      <c r="BI1328" s="1">
        <v>362583</v>
      </c>
      <c r="BJ1328" s="3">
        <v>41823</v>
      </c>
      <c r="BK1328" t="s">
        <v>123</v>
      </c>
      <c r="BL1328" t="str">
        <f>"2014.438695"</f>
        <v>2014.438695</v>
      </c>
      <c r="BM1328" t="s">
        <v>724</v>
      </c>
      <c r="BO1328" t="s">
        <v>9027</v>
      </c>
      <c r="BS1328">
        <v>30</v>
      </c>
      <c r="BW1328" t="str">
        <f>""</f>
        <v/>
      </c>
      <c r="CH1328" t="str">
        <f>""</f>
        <v/>
      </c>
      <c r="CS1328" t="str">
        <f>""</f>
        <v/>
      </c>
    </row>
    <row r="1329" spans="1:97" x14ac:dyDescent="0.25">
      <c r="A1329" t="s">
        <v>9028</v>
      </c>
      <c r="B1329" t="s">
        <v>2255</v>
      </c>
      <c r="C1329" t="s">
        <v>585</v>
      </c>
      <c r="D1329" t="s">
        <v>4087</v>
      </c>
      <c r="E1329" t="s">
        <v>9029</v>
      </c>
      <c r="F1329" t="s">
        <v>108</v>
      </c>
      <c r="H1329" t="s">
        <v>9030</v>
      </c>
      <c r="I1329" t="s">
        <v>5114</v>
      </c>
      <c r="J1329" t="s">
        <v>111</v>
      </c>
      <c r="K1329" t="str">
        <f>"85323"</f>
        <v>85323</v>
      </c>
      <c r="L1329" t="s">
        <v>189</v>
      </c>
      <c r="M1329" t="s">
        <v>9030</v>
      </c>
      <c r="N1329" t="s">
        <v>5114</v>
      </c>
      <c r="O1329" t="s">
        <v>111</v>
      </c>
      <c r="P1329" t="str">
        <f>"85323-3328"</f>
        <v>85323-3328</v>
      </c>
      <c r="Q1329" t="s">
        <v>113</v>
      </c>
      <c r="R1329" t="str">
        <f>"101-01-820"</f>
        <v>101-01-820</v>
      </c>
      <c r="S1329" t="s">
        <v>9031</v>
      </c>
      <c r="T1329" t="s">
        <v>9032</v>
      </c>
      <c r="U1329">
        <v>2319</v>
      </c>
      <c r="V1329">
        <v>0</v>
      </c>
      <c r="W1329">
        <v>3</v>
      </c>
      <c r="X1329">
        <v>2006</v>
      </c>
      <c r="Z1329">
        <v>1</v>
      </c>
      <c r="AB1329">
        <v>0</v>
      </c>
      <c r="AC1329" t="s">
        <v>115</v>
      </c>
      <c r="AD1329">
        <v>2</v>
      </c>
      <c r="AE1329" t="s">
        <v>115</v>
      </c>
      <c r="AF1329">
        <v>0</v>
      </c>
      <c r="AG1329">
        <v>0</v>
      </c>
      <c r="AH1329" t="s">
        <v>116</v>
      </c>
      <c r="AI1329" s="1">
        <v>74102</v>
      </c>
      <c r="AJ1329" s="2">
        <v>0.25</v>
      </c>
      <c r="AK1329" s="1">
        <v>294102</v>
      </c>
      <c r="AL1329" t="s">
        <v>117</v>
      </c>
      <c r="AM1329" t="s">
        <v>118</v>
      </c>
      <c r="AN1329">
        <v>7675</v>
      </c>
      <c r="AO1329">
        <v>0.18</v>
      </c>
      <c r="AR1329">
        <v>1</v>
      </c>
      <c r="AS1329" s="1">
        <v>21610</v>
      </c>
      <c r="AT1329" s="1">
        <v>4320</v>
      </c>
      <c r="AU1329" s="1">
        <v>17290</v>
      </c>
      <c r="AV1329">
        <v>80.010000000000005</v>
      </c>
      <c r="AX1329" s="1">
        <v>2093.34</v>
      </c>
      <c r="AY1329" t="s">
        <v>9033</v>
      </c>
      <c r="AZ1329" t="s">
        <v>9033</v>
      </c>
      <c r="BA1329" t="s">
        <v>4254</v>
      </c>
      <c r="BE1329" s="3">
        <v>42305</v>
      </c>
      <c r="BF1329" s="1">
        <v>220000</v>
      </c>
      <c r="BG1329" t="s">
        <v>6855</v>
      </c>
      <c r="BH1329" s="1">
        <v>94.87</v>
      </c>
      <c r="BI1329" s="1">
        <v>220000</v>
      </c>
      <c r="BJ1329" s="3">
        <v>42305</v>
      </c>
      <c r="BK1329" t="s">
        <v>123</v>
      </c>
      <c r="BL1329" t="str">
        <f>"2015.776470"</f>
        <v>2015.776470</v>
      </c>
      <c r="BM1329" t="s">
        <v>709</v>
      </c>
      <c r="BO1329" t="s">
        <v>9034</v>
      </c>
      <c r="BS1329">
        <v>30</v>
      </c>
      <c r="BW1329" t="str">
        <f>""</f>
        <v/>
      </c>
      <c r="CH1329" t="str">
        <f>""</f>
        <v/>
      </c>
      <c r="CS1329" t="str">
        <f>""</f>
        <v/>
      </c>
    </row>
    <row r="1330" spans="1:97" x14ac:dyDescent="0.25">
      <c r="A1330" t="s">
        <v>9035</v>
      </c>
      <c r="B1330" t="s">
        <v>9036</v>
      </c>
      <c r="E1330" t="s">
        <v>9037</v>
      </c>
      <c r="F1330" t="s">
        <v>108</v>
      </c>
      <c r="H1330" t="s">
        <v>9038</v>
      </c>
      <c r="I1330" t="s">
        <v>1397</v>
      </c>
      <c r="J1330" t="s">
        <v>111</v>
      </c>
      <c r="K1330" t="str">
        <f>"85331"</f>
        <v>85331</v>
      </c>
      <c r="L1330" t="s">
        <v>6358</v>
      </c>
      <c r="M1330" t="s">
        <v>9038</v>
      </c>
      <c r="N1330" t="s">
        <v>1397</v>
      </c>
      <c r="O1330" t="s">
        <v>111</v>
      </c>
      <c r="P1330" t="str">
        <f>"85331-2602"</f>
        <v>85331-2602</v>
      </c>
      <c r="Q1330" t="s">
        <v>113</v>
      </c>
      <c r="R1330" t="str">
        <f>"212-12-283"</f>
        <v>212-12-283</v>
      </c>
      <c r="S1330" t="s">
        <v>9039</v>
      </c>
      <c r="T1330" t="s">
        <v>6360</v>
      </c>
      <c r="U1330">
        <v>3027</v>
      </c>
      <c r="V1330">
        <v>0</v>
      </c>
      <c r="W1330">
        <v>3</v>
      </c>
      <c r="X1330">
        <v>1997</v>
      </c>
      <c r="Z1330">
        <v>2</v>
      </c>
      <c r="AA1330" t="s">
        <v>26</v>
      </c>
      <c r="AB1330">
        <v>0</v>
      </c>
      <c r="AC1330" t="s">
        <v>115</v>
      </c>
      <c r="AD1330">
        <v>3</v>
      </c>
      <c r="AE1330" t="s">
        <v>115</v>
      </c>
      <c r="AF1330">
        <v>0</v>
      </c>
      <c r="AG1330">
        <v>0</v>
      </c>
      <c r="AH1330" t="s">
        <v>116</v>
      </c>
      <c r="AI1330" s="1">
        <v>43578</v>
      </c>
      <c r="AJ1330" s="2">
        <v>0.09</v>
      </c>
      <c r="AK1330" s="1">
        <v>487103</v>
      </c>
      <c r="AL1330" t="s">
        <v>117</v>
      </c>
      <c r="AM1330" t="s">
        <v>171</v>
      </c>
      <c r="AN1330">
        <v>8432</v>
      </c>
      <c r="AO1330">
        <v>0.19</v>
      </c>
      <c r="AP1330">
        <v>1</v>
      </c>
      <c r="AR1330">
        <v>1</v>
      </c>
      <c r="AS1330" s="1">
        <v>34750</v>
      </c>
      <c r="AT1330" s="1">
        <v>6950</v>
      </c>
      <c r="AU1330" s="1">
        <v>27800</v>
      </c>
      <c r="AV1330">
        <v>80</v>
      </c>
      <c r="AX1330" s="1">
        <v>2511.34</v>
      </c>
      <c r="AY1330" t="s">
        <v>6361</v>
      </c>
      <c r="AZ1330" t="s">
        <v>1402</v>
      </c>
      <c r="BA1330" t="s">
        <v>1403</v>
      </c>
      <c r="BE1330" s="3">
        <v>42032</v>
      </c>
      <c r="BF1330" s="1">
        <v>425000</v>
      </c>
      <c r="BG1330" t="s">
        <v>9040</v>
      </c>
      <c r="BH1330" s="1">
        <v>140.4</v>
      </c>
      <c r="BI1330" s="1">
        <v>443525</v>
      </c>
      <c r="BJ1330" s="3">
        <v>43090</v>
      </c>
      <c r="BK1330" t="s">
        <v>123</v>
      </c>
      <c r="BL1330" t="str">
        <f>"2017.946567"</f>
        <v>2017.946567</v>
      </c>
      <c r="BM1330" t="s">
        <v>9041</v>
      </c>
      <c r="BO1330" t="s">
        <v>9042</v>
      </c>
      <c r="BS1330">
        <v>31</v>
      </c>
      <c r="BW1330" t="str">
        <f>""</f>
        <v/>
      </c>
      <c r="CH1330" t="str">
        <f>""</f>
        <v/>
      </c>
      <c r="CS1330" t="str">
        <f>""</f>
        <v/>
      </c>
    </row>
    <row r="1331" spans="1:97" x14ac:dyDescent="0.25">
      <c r="A1331" t="s">
        <v>140</v>
      </c>
      <c r="B1331" t="s">
        <v>212</v>
      </c>
      <c r="C1331" t="s">
        <v>4515</v>
      </c>
      <c r="D1331" t="s">
        <v>212</v>
      </c>
      <c r="E1331" t="s">
        <v>9043</v>
      </c>
      <c r="F1331" t="s">
        <v>108</v>
      </c>
      <c r="H1331" t="s">
        <v>9044</v>
      </c>
      <c r="I1331" t="s">
        <v>110</v>
      </c>
      <c r="J1331" t="s">
        <v>111</v>
      </c>
      <c r="K1331" t="str">
        <f>"85225"</f>
        <v>85225</v>
      </c>
      <c r="L1331" t="s">
        <v>6682</v>
      </c>
      <c r="M1331" t="s">
        <v>9044</v>
      </c>
      <c r="N1331" t="s">
        <v>110</v>
      </c>
      <c r="O1331" t="s">
        <v>111</v>
      </c>
      <c r="P1331" t="str">
        <f>"85225-6257"</f>
        <v>85225-6257</v>
      </c>
      <c r="Q1331" t="s">
        <v>113</v>
      </c>
      <c r="R1331" t="str">
        <f>"303-21-176"</f>
        <v>303-21-176</v>
      </c>
      <c r="S1331" t="s">
        <v>9045</v>
      </c>
      <c r="T1331" t="s">
        <v>9046</v>
      </c>
      <c r="U1331">
        <v>2113</v>
      </c>
      <c r="V1331">
        <v>0</v>
      </c>
      <c r="W1331">
        <v>3</v>
      </c>
      <c r="X1331">
        <v>1989</v>
      </c>
      <c r="Z1331">
        <v>1</v>
      </c>
      <c r="AB1331">
        <v>0</v>
      </c>
      <c r="AC1331" t="s">
        <v>115</v>
      </c>
      <c r="AD1331">
        <v>2</v>
      </c>
      <c r="AE1331" t="s">
        <v>115</v>
      </c>
      <c r="AF1331">
        <v>0</v>
      </c>
      <c r="AG1331">
        <v>0</v>
      </c>
      <c r="AH1331" t="s">
        <v>116</v>
      </c>
      <c r="AI1331" s="1">
        <v>66479</v>
      </c>
      <c r="AJ1331" s="2">
        <v>0.2</v>
      </c>
      <c r="AK1331" s="1">
        <v>339979</v>
      </c>
      <c r="AL1331" t="s">
        <v>117</v>
      </c>
      <c r="AM1331" t="s">
        <v>118</v>
      </c>
      <c r="AN1331">
        <v>7301</v>
      </c>
      <c r="AO1331">
        <v>0.17</v>
      </c>
      <c r="AP1331">
        <v>1</v>
      </c>
      <c r="AR1331">
        <v>1</v>
      </c>
      <c r="AS1331" s="1">
        <v>24070</v>
      </c>
      <c r="AT1331" s="1">
        <v>4810</v>
      </c>
      <c r="AU1331" s="1">
        <v>19260</v>
      </c>
      <c r="AV1331">
        <v>80.02</v>
      </c>
      <c r="AX1331" s="1">
        <v>1810.4</v>
      </c>
      <c r="AY1331" t="s">
        <v>9047</v>
      </c>
      <c r="AZ1331" t="s">
        <v>1882</v>
      </c>
      <c r="BA1331" t="s">
        <v>121</v>
      </c>
      <c r="BE1331" s="3">
        <v>42437</v>
      </c>
      <c r="BF1331" s="1">
        <v>273500</v>
      </c>
      <c r="BG1331" t="s">
        <v>9048</v>
      </c>
      <c r="BH1331" s="1">
        <v>129.44</v>
      </c>
      <c r="BI1331" s="1">
        <v>273500</v>
      </c>
      <c r="BJ1331" s="3">
        <v>42437</v>
      </c>
      <c r="BK1331" t="s">
        <v>123</v>
      </c>
      <c r="BL1331" t="str">
        <f>"2016.148148"</f>
        <v>2016.148148</v>
      </c>
      <c r="BM1331" t="s">
        <v>724</v>
      </c>
      <c r="BO1331" t="s">
        <v>9049</v>
      </c>
      <c r="BS1331">
        <v>30</v>
      </c>
      <c r="BW1331" t="str">
        <f>""</f>
        <v/>
      </c>
      <c r="CH1331" t="str">
        <f>""</f>
        <v/>
      </c>
      <c r="CS1331" t="str">
        <f>""</f>
        <v/>
      </c>
    </row>
    <row r="1332" spans="1:97" x14ac:dyDescent="0.25">
      <c r="A1332" t="s">
        <v>9050</v>
      </c>
      <c r="B1332" t="s">
        <v>1577</v>
      </c>
      <c r="E1332" t="s">
        <v>9051</v>
      </c>
      <c r="F1332" t="s">
        <v>108</v>
      </c>
      <c r="H1332" t="s">
        <v>9052</v>
      </c>
      <c r="I1332" t="s">
        <v>203</v>
      </c>
      <c r="J1332" t="s">
        <v>111</v>
      </c>
      <c r="K1332" t="str">
        <f>"85298"</f>
        <v>85298</v>
      </c>
      <c r="L1332" t="s">
        <v>681</v>
      </c>
      <c r="M1332" t="s">
        <v>9052</v>
      </c>
      <c r="N1332" t="s">
        <v>203</v>
      </c>
      <c r="O1332" t="s">
        <v>111</v>
      </c>
      <c r="P1332" t="str">
        <f>"85298-2218"</f>
        <v>85298-2218</v>
      </c>
      <c r="Q1332" t="s">
        <v>113</v>
      </c>
      <c r="R1332" t="str">
        <f>"304-71-716"</f>
        <v>304-71-716</v>
      </c>
      <c r="S1332" t="s">
        <v>9053</v>
      </c>
      <c r="T1332" t="s">
        <v>287</v>
      </c>
      <c r="U1332">
        <v>2904</v>
      </c>
      <c r="V1332">
        <v>0</v>
      </c>
      <c r="W1332">
        <v>4</v>
      </c>
      <c r="X1332">
        <v>2015</v>
      </c>
      <c r="Z1332">
        <v>1</v>
      </c>
      <c r="AB1332">
        <v>0</v>
      </c>
      <c r="AC1332" t="s">
        <v>115</v>
      </c>
      <c r="AD1332">
        <v>2</v>
      </c>
      <c r="AE1332" t="s">
        <v>115</v>
      </c>
      <c r="AF1332">
        <v>0</v>
      </c>
      <c r="AG1332">
        <v>0</v>
      </c>
      <c r="AH1332" t="s">
        <v>116</v>
      </c>
      <c r="AI1332" s="1">
        <v>29298</v>
      </c>
      <c r="AJ1332" s="2">
        <v>0.06</v>
      </c>
      <c r="AK1332" s="1">
        <v>475719</v>
      </c>
      <c r="AL1332" t="s">
        <v>117</v>
      </c>
      <c r="AM1332" t="s">
        <v>393</v>
      </c>
      <c r="AN1332">
        <v>8435</v>
      </c>
      <c r="AO1332">
        <v>0.19</v>
      </c>
      <c r="AR1332">
        <v>1</v>
      </c>
      <c r="AS1332" s="1">
        <v>33860</v>
      </c>
      <c r="AT1332" s="1">
        <v>6770</v>
      </c>
      <c r="AU1332" s="1">
        <v>27090</v>
      </c>
      <c r="AV1332">
        <v>80.010000000000005</v>
      </c>
      <c r="AX1332" s="1">
        <v>2695.62</v>
      </c>
      <c r="AY1332" t="s">
        <v>289</v>
      </c>
      <c r="AZ1332" t="s">
        <v>289</v>
      </c>
      <c r="BA1332" t="s">
        <v>290</v>
      </c>
      <c r="BE1332" s="3">
        <v>42326</v>
      </c>
      <c r="BF1332" s="1">
        <v>369960</v>
      </c>
      <c r="BG1332" t="s">
        <v>459</v>
      </c>
      <c r="BH1332" s="1">
        <v>127.4</v>
      </c>
      <c r="BI1332" s="1">
        <v>446421</v>
      </c>
      <c r="BJ1332" s="3">
        <v>43531</v>
      </c>
      <c r="BK1332" t="s">
        <v>123</v>
      </c>
      <c r="BL1332" t="str">
        <f>"2019.157084"</f>
        <v>2019.157084</v>
      </c>
      <c r="BM1332" t="s">
        <v>6896</v>
      </c>
      <c r="BN1332" t="s">
        <v>1371</v>
      </c>
      <c r="BO1332" t="s">
        <v>9054</v>
      </c>
      <c r="BR1332" t="s">
        <v>139</v>
      </c>
      <c r="BW1332" t="str">
        <f>""</f>
        <v/>
      </c>
      <c r="CH1332" t="str">
        <f>""</f>
        <v/>
      </c>
      <c r="CS1332" t="str">
        <f>""</f>
        <v/>
      </c>
    </row>
    <row r="1333" spans="1:97" x14ac:dyDescent="0.25">
      <c r="A1333" t="s">
        <v>9055</v>
      </c>
      <c r="B1333" t="s">
        <v>9056</v>
      </c>
      <c r="C1333" t="s">
        <v>9057</v>
      </c>
      <c r="D1333" t="s">
        <v>9056</v>
      </c>
      <c r="E1333" t="s">
        <v>9058</v>
      </c>
      <c r="F1333" t="s">
        <v>108</v>
      </c>
      <c r="H1333" t="s">
        <v>9059</v>
      </c>
      <c r="I1333" t="s">
        <v>110</v>
      </c>
      <c r="J1333" t="s">
        <v>111</v>
      </c>
      <c r="K1333" t="str">
        <f>"85248"</f>
        <v>85248</v>
      </c>
      <c r="L1333" t="s">
        <v>9060</v>
      </c>
      <c r="M1333" t="s">
        <v>9059</v>
      </c>
      <c r="N1333" t="s">
        <v>110</v>
      </c>
      <c r="O1333" t="s">
        <v>111</v>
      </c>
      <c r="P1333" t="str">
        <f>"85248-4517"</f>
        <v>85248-4517</v>
      </c>
      <c r="Q1333" t="s">
        <v>113</v>
      </c>
      <c r="R1333" t="str">
        <f>"303-40-893"</f>
        <v>303-40-893</v>
      </c>
      <c r="S1333" t="s">
        <v>9061</v>
      </c>
      <c r="T1333" t="s">
        <v>9062</v>
      </c>
      <c r="U1333">
        <v>2497</v>
      </c>
      <c r="V1333">
        <v>0</v>
      </c>
      <c r="W1333">
        <v>3</v>
      </c>
      <c r="X1333">
        <v>1999</v>
      </c>
      <c r="Z1333">
        <v>1</v>
      </c>
      <c r="AA1333" t="s">
        <v>26</v>
      </c>
      <c r="AB1333">
        <v>0</v>
      </c>
      <c r="AC1333" t="s">
        <v>115</v>
      </c>
      <c r="AD1333">
        <v>3</v>
      </c>
      <c r="AE1333" t="s">
        <v>115</v>
      </c>
      <c r="AF1333">
        <v>0</v>
      </c>
      <c r="AG1333">
        <v>0</v>
      </c>
      <c r="AH1333" t="s">
        <v>116</v>
      </c>
      <c r="AI1333" s="1">
        <v>59296</v>
      </c>
      <c r="AJ1333" s="2">
        <v>0.13</v>
      </c>
      <c r="AK1333" s="1">
        <v>449296</v>
      </c>
      <c r="AL1333" t="s">
        <v>117</v>
      </c>
      <c r="AM1333" t="s">
        <v>118</v>
      </c>
      <c r="AN1333">
        <v>7966</v>
      </c>
      <c r="AO1333">
        <v>0.18</v>
      </c>
      <c r="AP1333">
        <v>1</v>
      </c>
      <c r="AR1333">
        <v>1</v>
      </c>
      <c r="AS1333" s="1">
        <v>31080</v>
      </c>
      <c r="AT1333" s="1">
        <v>6210</v>
      </c>
      <c r="AU1333" s="1">
        <v>24870</v>
      </c>
      <c r="AV1333">
        <v>80.02</v>
      </c>
      <c r="AX1333" s="1">
        <v>2994.12</v>
      </c>
      <c r="AY1333" t="s">
        <v>9063</v>
      </c>
      <c r="AZ1333" t="s">
        <v>1882</v>
      </c>
      <c r="BA1333" t="s">
        <v>121</v>
      </c>
      <c r="BE1333" s="3">
        <v>42034</v>
      </c>
      <c r="BF1333" s="1">
        <v>357000</v>
      </c>
      <c r="BG1333" t="s">
        <v>9064</v>
      </c>
      <c r="BH1333" s="1">
        <v>142.97</v>
      </c>
      <c r="BI1333" s="1">
        <v>390000</v>
      </c>
      <c r="BJ1333" s="3">
        <v>42860</v>
      </c>
      <c r="BK1333" t="s">
        <v>123</v>
      </c>
      <c r="BL1333" t="str">
        <f>"2017.326665"</f>
        <v>2017.326665</v>
      </c>
      <c r="BM1333" t="s">
        <v>361</v>
      </c>
      <c r="BO1333" t="s">
        <v>9065</v>
      </c>
      <c r="BS1333">
        <v>30</v>
      </c>
      <c r="BW1333" t="str">
        <f>""</f>
        <v/>
      </c>
      <c r="CH1333" t="str">
        <f>""</f>
        <v/>
      </c>
      <c r="CS1333" t="str">
        <f>""</f>
        <v/>
      </c>
    </row>
    <row r="1334" spans="1:97" x14ac:dyDescent="0.25">
      <c r="A1334" t="s">
        <v>6084</v>
      </c>
      <c r="B1334" t="s">
        <v>9066</v>
      </c>
      <c r="C1334" t="s">
        <v>4026</v>
      </c>
      <c r="D1334" t="s">
        <v>9066</v>
      </c>
      <c r="E1334" t="s">
        <v>9067</v>
      </c>
      <c r="F1334" t="s">
        <v>108</v>
      </c>
      <c r="H1334" t="s">
        <v>9068</v>
      </c>
      <c r="I1334" t="s">
        <v>203</v>
      </c>
      <c r="J1334" t="s">
        <v>111</v>
      </c>
      <c r="K1334" t="str">
        <f>"85234"</f>
        <v>85234</v>
      </c>
      <c r="L1334" t="s">
        <v>9069</v>
      </c>
      <c r="M1334" t="s">
        <v>9068</v>
      </c>
      <c r="N1334" t="s">
        <v>203</v>
      </c>
      <c r="O1334" t="s">
        <v>111</v>
      </c>
      <c r="P1334" t="str">
        <f>"85234-3692"</f>
        <v>85234-3692</v>
      </c>
      <c r="Q1334" t="s">
        <v>113</v>
      </c>
      <c r="R1334" t="str">
        <f>"309-03-787"</f>
        <v>309-03-787</v>
      </c>
      <c r="S1334" t="s">
        <v>9070</v>
      </c>
      <c r="U1334">
        <v>2445</v>
      </c>
      <c r="V1334">
        <v>0</v>
      </c>
      <c r="W1334">
        <v>4</v>
      </c>
      <c r="X1334">
        <v>1993</v>
      </c>
      <c r="Z1334">
        <v>2</v>
      </c>
      <c r="AB1334">
        <v>0</v>
      </c>
      <c r="AC1334" t="s">
        <v>115</v>
      </c>
      <c r="AD1334">
        <v>2</v>
      </c>
      <c r="AE1334" t="s">
        <v>115</v>
      </c>
      <c r="AF1334">
        <v>0</v>
      </c>
      <c r="AG1334">
        <v>0</v>
      </c>
      <c r="AH1334" t="s">
        <v>116</v>
      </c>
      <c r="AI1334" s="1">
        <v>76905</v>
      </c>
      <c r="AJ1334" s="2">
        <v>0.21</v>
      </c>
      <c r="AK1334" s="1">
        <v>364905</v>
      </c>
      <c r="AL1334" t="s">
        <v>117</v>
      </c>
      <c r="AM1334" t="s">
        <v>393</v>
      </c>
      <c r="AN1334">
        <v>7144</v>
      </c>
      <c r="AO1334">
        <v>0.16</v>
      </c>
      <c r="AP1334">
        <v>1</v>
      </c>
      <c r="AR1334">
        <v>1</v>
      </c>
      <c r="AS1334" s="1">
        <v>25700</v>
      </c>
      <c r="AT1334" s="1">
        <v>5140</v>
      </c>
      <c r="AU1334" s="1">
        <v>20560</v>
      </c>
      <c r="AV1334">
        <v>80</v>
      </c>
      <c r="AX1334" s="1">
        <v>2384.2600000000002</v>
      </c>
      <c r="AY1334" t="s">
        <v>272</v>
      </c>
      <c r="AZ1334" t="s">
        <v>5478</v>
      </c>
      <c r="BA1334" t="s">
        <v>5033</v>
      </c>
      <c r="BE1334" s="3">
        <v>42255</v>
      </c>
      <c r="BF1334" s="1">
        <v>288000</v>
      </c>
      <c r="BG1334" t="s">
        <v>9071</v>
      </c>
      <c r="BH1334" s="1">
        <v>117.79</v>
      </c>
      <c r="BI1334" s="1">
        <v>288000</v>
      </c>
      <c r="BJ1334" s="3">
        <v>42255</v>
      </c>
      <c r="BK1334" t="s">
        <v>123</v>
      </c>
      <c r="BL1334" t="str">
        <f>"2015.647221"</f>
        <v>2015.647221</v>
      </c>
      <c r="BM1334" t="s">
        <v>724</v>
      </c>
      <c r="BO1334" t="s">
        <v>9072</v>
      </c>
      <c r="BS1334">
        <v>30</v>
      </c>
      <c r="BW1334" t="str">
        <f>""</f>
        <v/>
      </c>
      <c r="CH1334" t="str">
        <f>""</f>
        <v/>
      </c>
      <c r="CS1334" t="str">
        <f>""</f>
        <v/>
      </c>
    </row>
    <row r="1335" spans="1:97" x14ac:dyDescent="0.25">
      <c r="B1335" t="s">
        <v>9073</v>
      </c>
      <c r="C1335" t="s">
        <v>9074</v>
      </c>
      <c r="E1335" t="s">
        <v>3879</v>
      </c>
      <c r="F1335" t="s">
        <v>108</v>
      </c>
      <c r="H1335" t="s">
        <v>9075</v>
      </c>
      <c r="I1335" t="s">
        <v>167</v>
      </c>
      <c r="J1335" t="s">
        <v>111</v>
      </c>
      <c r="K1335" t="str">
        <f>"85339"</f>
        <v>85339</v>
      </c>
      <c r="L1335" t="s">
        <v>5239</v>
      </c>
      <c r="M1335" t="s">
        <v>9075</v>
      </c>
      <c r="N1335" t="s">
        <v>167</v>
      </c>
      <c r="O1335" t="s">
        <v>111</v>
      </c>
      <c r="P1335" t="str">
        <f>"85339-3442"</f>
        <v>85339-3442</v>
      </c>
      <c r="Q1335" t="s">
        <v>113</v>
      </c>
      <c r="R1335" t="str">
        <f>"300-01-684"</f>
        <v>300-01-684</v>
      </c>
      <c r="S1335" t="s">
        <v>9076</v>
      </c>
      <c r="U1335">
        <v>3147</v>
      </c>
      <c r="V1335">
        <v>0</v>
      </c>
      <c r="W1335">
        <v>4</v>
      </c>
      <c r="X1335">
        <v>2006</v>
      </c>
      <c r="Z1335">
        <v>2</v>
      </c>
      <c r="AA1335" t="s">
        <v>26</v>
      </c>
      <c r="AB1335">
        <v>0</v>
      </c>
      <c r="AC1335" t="s">
        <v>115</v>
      </c>
      <c r="AD1335">
        <v>3</v>
      </c>
      <c r="AE1335" t="s">
        <v>115</v>
      </c>
      <c r="AF1335">
        <v>0</v>
      </c>
      <c r="AG1335">
        <v>0</v>
      </c>
      <c r="AH1335" t="s">
        <v>116</v>
      </c>
      <c r="AI1335" s="1">
        <v>70541</v>
      </c>
      <c r="AJ1335" s="2">
        <v>0.21</v>
      </c>
      <c r="AK1335" s="1">
        <v>333727</v>
      </c>
      <c r="AL1335" t="s">
        <v>117</v>
      </c>
      <c r="AM1335" t="s">
        <v>171</v>
      </c>
      <c r="AN1335">
        <v>7200</v>
      </c>
      <c r="AO1335">
        <v>0.16</v>
      </c>
      <c r="AR1335">
        <v>1</v>
      </c>
      <c r="AS1335" s="1">
        <v>23100</v>
      </c>
      <c r="AT1335" s="1">
        <v>4620</v>
      </c>
      <c r="AU1335" s="1">
        <v>18480</v>
      </c>
      <c r="AV1335">
        <v>80</v>
      </c>
      <c r="AX1335" s="1">
        <v>2882.16</v>
      </c>
      <c r="AY1335" t="s">
        <v>5532</v>
      </c>
      <c r="AZ1335" t="s">
        <v>5532</v>
      </c>
      <c r="BA1335" t="s">
        <v>173</v>
      </c>
      <c r="BB1335" s="3">
        <v>43517</v>
      </c>
      <c r="BC1335" s="1">
        <v>0</v>
      </c>
      <c r="BD1335" t="s">
        <v>247</v>
      </c>
      <c r="BE1335" s="3">
        <v>41751</v>
      </c>
      <c r="BF1335" s="1">
        <v>260000</v>
      </c>
      <c r="BG1335" t="s">
        <v>9077</v>
      </c>
      <c r="BH1335" s="1">
        <v>82.62</v>
      </c>
      <c r="BI1335" s="1">
        <v>263186</v>
      </c>
      <c r="BJ1335" s="3">
        <v>42298</v>
      </c>
      <c r="BK1335" t="s">
        <v>123</v>
      </c>
      <c r="BL1335" t="str">
        <f>"2015.756782"</f>
        <v>2015.756782</v>
      </c>
      <c r="BM1335" t="s">
        <v>402</v>
      </c>
      <c r="BN1335" t="s">
        <v>461</v>
      </c>
      <c r="BO1335" t="s">
        <v>9078</v>
      </c>
      <c r="BS1335">
        <v>30</v>
      </c>
      <c r="BW1335" t="str">
        <f>""</f>
        <v/>
      </c>
      <c r="CH1335" t="str">
        <f>""</f>
        <v/>
      </c>
      <c r="CS1335" t="str">
        <f>""</f>
        <v/>
      </c>
    </row>
    <row r="1336" spans="1:97" x14ac:dyDescent="0.25">
      <c r="A1336" t="s">
        <v>4024</v>
      </c>
      <c r="B1336" t="s">
        <v>1099</v>
      </c>
      <c r="E1336" t="s">
        <v>9079</v>
      </c>
      <c r="F1336" t="s">
        <v>108</v>
      </c>
      <c r="H1336" t="s">
        <v>9080</v>
      </c>
      <c r="I1336" t="s">
        <v>390</v>
      </c>
      <c r="J1336" t="s">
        <v>111</v>
      </c>
      <c r="K1336" t="str">
        <f>"85020"</f>
        <v>85020</v>
      </c>
      <c r="L1336" t="s">
        <v>5687</v>
      </c>
      <c r="M1336" t="s">
        <v>9080</v>
      </c>
      <c r="N1336" t="s">
        <v>390</v>
      </c>
      <c r="O1336" t="s">
        <v>111</v>
      </c>
      <c r="P1336" t="str">
        <f>"85020-5428"</f>
        <v>85020-5428</v>
      </c>
      <c r="Q1336" t="s">
        <v>113</v>
      </c>
      <c r="R1336" t="str">
        <f>"160-23-094-B"</f>
        <v>160-23-094-B</v>
      </c>
      <c r="S1336" t="s">
        <v>9081</v>
      </c>
      <c r="T1336" t="s">
        <v>9082</v>
      </c>
      <c r="U1336">
        <v>1990</v>
      </c>
      <c r="V1336">
        <v>0</v>
      </c>
      <c r="W1336">
        <v>2</v>
      </c>
      <c r="X1336">
        <v>1972</v>
      </c>
      <c r="Z1336">
        <v>1</v>
      </c>
      <c r="AB1336">
        <v>0</v>
      </c>
      <c r="AC1336" t="s">
        <v>115</v>
      </c>
      <c r="AD1336">
        <v>2</v>
      </c>
      <c r="AE1336" t="s">
        <v>115</v>
      </c>
      <c r="AF1336">
        <v>0</v>
      </c>
      <c r="AG1336">
        <v>0</v>
      </c>
      <c r="AH1336" t="s">
        <v>116</v>
      </c>
      <c r="AI1336" s="1">
        <v>140002</v>
      </c>
      <c r="AJ1336" s="2">
        <v>0.31</v>
      </c>
      <c r="AK1336" s="1">
        <v>445270</v>
      </c>
      <c r="AL1336" t="s">
        <v>117</v>
      </c>
      <c r="AM1336" t="s">
        <v>191</v>
      </c>
      <c r="AN1336">
        <v>5881</v>
      </c>
      <c r="AO1336">
        <v>0.14000000000000001</v>
      </c>
      <c r="AP1336">
        <v>1</v>
      </c>
      <c r="AR1336">
        <v>1</v>
      </c>
      <c r="AS1336" s="1">
        <v>31160</v>
      </c>
      <c r="AT1336" s="1">
        <v>6230</v>
      </c>
      <c r="AU1336" s="1">
        <v>24930</v>
      </c>
      <c r="AV1336">
        <v>80.010000000000005</v>
      </c>
      <c r="AX1336" s="1">
        <v>3020.52</v>
      </c>
      <c r="AY1336" t="s">
        <v>5734</v>
      </c>
      <c r="AZ1336" t="s">
        <v>5735</v>
      </c>
      <c r="BA1336" t="s">
        <v>5469</v>
      </c>
      <c r="BE1336" s="3">
        <v>42247</v>
      </c>
      <c r="BF1336" s="1">
        <v>335000</v>
      </c>
      <c r="BG1336" t="s">
        <v>9083</v>
      </c>
      <c r="BH1336" s="1">
        <v>172.41</v>
      </c>
      <c r="BI1336" s="1">
        <v>305268</v>
      </c>
      <c r="BJ1336" s="3">
        <v>42247</v>
      </c>
      <c r="BK1336" t="s">
        <v>123</v>
      </c>
      <c r="BL1336" t="str">
        <f>"2015.632621"</f>
        <v>2015.632621</v>
      </c>
      <c r="BM1336" t="s">
        <v>402</v>
      </c>
      <c r="BO1336" t="s">
        <v>9084</v>
      </c>
      <c r="BS1336">
        <v>30</v>
      </c>
      <c r="BW1336" t="str">
        <f>""</f>
        <v/>
      </c>
      <c r="CH1336" t="str">
        <f>""</f>
        <v/>
      </c>
      <c r="CS1336" t="str">
        <f>""</f>
        <v/>
      </c>
    </row>
    <row r="1337" spans="1:97" x14ac:dyDescent="0.25">
      <c r="A1337" t="s">
        <v>1354</v>
      </c>
      <c r="B1337" t="s">
        <v>6457</v>
      </c>
      <c r="C1337" t="s">
        <v>794</v>
      </c>
      <c r="D1337" t="s">
        <v>6457</v>
      </c>
      <c r="E1337" t="s">
        <v>9085</v>
      </c>
      <c r="F1337" t="s">
        <v>139</v>
      </c>
      <c r="H1337" t="s">
        <v>9086</v>
      </c>
      <c r="I1337" t="s">
        <v>225</v>
      </c>
      <c r="J1337" t="s">
        <v>111</v>
      </c>
      <c r="K1337" t="str">
        <f>"85213"</f>
        <v>85213</v>
      </c>
      <c r="L1337" t="s">
        <v>5687</v>
      </c>
      <c r="M1337" t="s">
        <v>9087</v>
      </c>
      <c r="N1337" t="s">
        <v>9088</v>
      </c>
      <c r="O1337" t="s">
        <v>111</v>
      </c>
      <c r="P1337" t="str">
        <f>"85933-2645"</f>
        <v>85933-2645</v>
      </c>
      <c r="Q1337" t="s">
        <v>113</v>
      </c>
      <c r="R1337" t="str">
        <f>"140-08-069"</f>
        <v>140-08-069</v>
      </c>
      <c r="S1337" t="s">
        <v>9089</v>
      </c>
      <c r="T1337" t="s">
        <v>9090</v>
      </c>
      <c r="U1337">
        <v>1969</v>
      </c>
      <c r="V1337">
        <v>0</v>
      </c>
      <c r="W1337">
        <v>2</v>
      </c>
      <c r="X1337">
        <v>1971</v>
      </c>
      <c r="Z1337">
        <v>1</v>
      </c>
      <c r="AA1337" t="s">
        <v>26</v>
      </c>
      <c r="AB1337">
        <v>0</v>
      </c>
      <c r="AC1337" t="s">
        <v>5188</v>
      </c>
      <c r="AD1337">
        <v>2</v>
      </c>
      <c r="AE1337" t="s">
        <v>5188</v>
      </c>
      <c r="AF1337">
        <v>0</v>
      </c>
      <c r="AG1337">
        <v>0</v>
      </c>
      <c r="AH1337" t="s">
        <v>116</v>
      </c>
      <c r="AI1337" s="1">
        <v>73365</v>
      </c>
      <c r="AJ1337" s="2">
        <v>0.24</v>
      </c>
      <c r="AK1337" s="1">
        <v>310365</v>
      </c>
      <c r="AL1337" t="s">
        <v>117</v>
      </c>
      <c r="AM1337" t="s">
        <v>917</v>
      </c>
      <c r="AN1337">
        <v>9333</v>
      </c>
      <c r="AO1337">
        <v>0.21</v>
      </c>
      <c r="AP1337">
        <v>1</v>
      </c>
      <c r="AR1337">
        <v>1</v>
      </c>
      <c r="AS1337" s="1">
        <v>21450</v>
      </c>
      <c r="AT1337" s="1">
        <v>4290</v>
      </c>
      <c r="AU1337" s="1">
        <v>17160</v>
      </c>
      <c r="AV1337">
        <v>80</v>
      </c>
      <c r="AX1337" s="1">
        <v>1429.02</v>
      </c>
      <c r="AY1337" t="s">
        <v>9091</v>
      </c>
      <c r="AZ1337" t="s">
        <v>1523</v>
      </c>
      <c r="BA1337" t="s">
        <v>1524</v>
      </c>
      <c r="BE1337" s="3">
        <v>41936</v>
      </c>
      <c r="BF1337" s="1">
        <v>237000</v>
      </c>
      <c r="BG1337" t="s">
        <v>9092</v>
      </c>
      <c r="BH1337" s="1">
        <v>120.37</v>
      </c>
      <c r="BI1337" s="1">
        <v>237000</v>
      </c>
      <c r="BJ1337" s="3">
        <v>41936</v>
      </c>
      <c r="BK1337" t="s">
        <v>123</v>
      </c>
      <c r="BL1337" t="str">
        <f>"2014.705610"</f>
        <v>2014.705610</v>
      </c>
      <c r="BM1337" t="s">
        <v>4014</v>
      </c>
      <c r="BO1337" t="s">
        <v>9093</v>
      </c>
      <c r="BS1337">
        <v>30</v>
      </c>
      <c r="BW1337" t="str">
        <f>""</f>
        <v/>
      </c>
      <c r="CH1337" t="str">
        <f>""</f>
        <v/>
      </c>
      <c r="CS1337" t="str">
        <f>""</f>
        <v/>
      </c>
    </row>
    <row r="1338" spans="1:97" x14ac:dyDescent="0.25">
      <c r="A1338" t="s">
        <v>370</v>
      </c>
      <c r="B1338" t="s">
        <v>9094</v>
      </c>
      <c r="C1338" t="s">
        <v>1729</v>
      </c>
      <c r="D1338" t="s">
        <v>9094</v>
      </c>
      <c r="E1338" t="s">
        <v>9095</v>
      </c>
      <c r="F1338" t="s">
        <v>108</v>
      </c>
      <c r="H1338" t="s">
        <v>9096</v>
      </c>
      <c r="I1338" t="s">
        <v>1936</v>
      </c>
      <c r="J1338" t="s">
        <v>111</v>
      </c>
      <c r="K1338" t="str">
        <f>"85254"</f>
        <v>85254</v>
      </c>
      <c r="L1338" t="s">
        <v>5185</v>
      </c>
      <c r="M1338" t="s">
        <v>9096</v>
      </c>
      <c r="N1338" t="s">
        <v>1936</v>
      </c>
      <c r="O1338" t="s">
        <v>111</v>
      </c>
      <c r="P1338" t="str">
        <f>"85254-5544"</f>
        <v>85254-5544</v>
      </c>
      <c r="Q1338" t="s">
        <v>113</v>
      </c>
      <c r="R1338" t="str">
        <f>"215-61-420"</f>
        <v>215-61-420</v>
      </c>
      <c r="S1338" t="s">
        <v>9097</v>
      </c>
      <c r="T1338" t="s">
        <v>9098</v>
      </c>
      <c r="U1338">
        <v>2372</v>
      </c>
      <c r="V1338">
        <v>0</v>
      </c>
      <c r="W1338">
        <v>3</v>
      </c>
      <c r="X1338">
        <v>1987</v>
      </c>
      <c r="Z1338">
        <v>1</v>
      </c>
      <c r="AA1338" t="s">
        <v>26</v>
      </c>
      <c r="AB1338">
        <v>0</v>
      </c>
      <c r="AC1338" t="s">
        <v>115</v>
      </c>
      <c r="AD1338">
        <v>2</v>
      </c>
      <c r="AE1338" t="s">
        <v>115</v>
      </c>
      <c r="AF1338">
        <v>0</v>
      </c>
      <c r="AG1338">
        <v>0</v>
      </c>
      <c r="AH1338" t="s">
        <v>116</v>
      </c>
      <c r="AI1338" s="1">
        <v>323504</v>
      </c>
      <c r="AJ1338" s="2">
        <v>0.61</v>
      </c>
      <c r="AK1338" s="1">
        <v>532298</v>
      </c>
      <c r="AL1338" t="s">
        <v>117</v>
      </c>
      <c r="AM1338" t="s">
        <v>1302</v>
      </c>
      <c r="AN1338">
        <v>9974</v>
      </c>
      <c r="AO1338">
        <v>0.23</v>
      </c>
      <c r="AP1338">
        <v>1</v>
      </c>
      <c r="AR1338">
        <v>1</v>
      </c>
      <c r="AS1338" s="1">
        <v>38910</v>
      </c>
      <c r="AT1338" s="1">
        <v>7780</v>
      </c>
      <c r="AU1338" s="1">
        <v>31130</v>
      </c>
      <c r="AV1338">
        <v>80.010000000000005</v>
      </c>
      <c r="AX1338" s="1">
        <v>3497.34</v>
      </c>
      <c r="AY1338" t="s">
        <v>7738</v>
      </c>
      <c r="AZ1338" t="s">
        <v>7739</v>
      </c>
      <c r="BA1338" t="s">
        <v>6302</v>
      </c>
      <c r="BE1338" s="3">
        <v>42187</v>
      </c>
      <c r="BF1338" s="1">
        <v>385000</v>
      </c>
      <c r="BG1338" t="s">
        <v>9099</v>
      </c>
      <c r="BH1338" s="1">
        <v>162.31</v>
      </c>
      <c r="BI1338" s="1">
        <v>208794</v>
      </c>
      <c r="BJ1338" s="3">
        <v>42534</v>
      </c>
      <c r="BK1338" t="s">
        <v>123</v>
      </c>
      <c r="BL1338" t="str">
        <f>"2016.410132"</f>
        <v>2016.410132</v>
      </c>
      <c r="BM1338" t="s">
        <v>9100</v>
      </c>
      <c r="BO1338" t="s">
        <v>9101</v>
      </c>
      <c r="BS1338">
        <v>30</v>
      </c>
      <c r="BW1338" t="str">
        <f>""</f>
        <v/>
      </c>
      <c r="CH1338" t="str">
        <f>""</f>
        <v/>
      </c>
      <c r="CS1338" t="str">
        <f>""</f>
        <v/>
      </c>
    </row>
    <row r="1339" spans="1:97" x14ac:dyDescent="0.25">
      <c r="A1339" t="s">
        <v>370</v>
      </c>
      <c r="B1339" t="s">
        <v>9102</v>
      </c>
      <c r="E1339" t="s">
        <v>9103</v>
      </c>
      <c r="F1339" t="s">
        <v>108</v>
      </c>
      <c r="H1339" t="s">
        <v>9104</v>
      </c>
      <c r="I1339" t="s">
        <v>390</v>
      </c>
      <c r="J1339" t="s">
        <v>111</v>
      </c>
      <c r="K1339" t="str">
        <f>"85022"</f>
        <v>85022</v>
      </c>
      <c r="L1339" t="s">
        <v>1300</v>
      </c>
      <c r="M1339" t="s">
        <v>9104</v>
      </c>
      <c r="N1339" t="s">
        <v>390</v>
      </c>
      <c r="O1339" t="s">
        <v>111</v>
      </c>
      <c r="P1339" t="str">
        <f>"85022-3913"</f>
        <v>85022-3913</v>
      </c>
      <c r="R1339" t="str">
        <f>"214-49-008"</f>
        <v>214-49-008</v>
      </c>
      <c r="S1339" t="s">
        <v>9105</v>
      </c>
      <c r="T1339" t="s">
        <v>9106</v>
      </c>
      <c r="U1339">
        <v>2068</v>
      </c>
      <c r="V1339">
        <v>0</v>
      </c>
      <c r="W1339">
        <v>3</v>
      </c>
      <c r="X1339">
        <v>1979</v>
      </c>
      <c r="Z1339">
        <v>1</v>
      </c>
      <c r="AA1339" t="s">
        <v>26</v>
      </c>
      <c r="AB1339">
        <v>0</v>
      </c>
      <c r="AC1339" t="s">
        <v>115</v>
      </c>
      <c r="AD1339">
        <v>2</v>
      </c>
      <c r="AE1339" t="s">
        <v>115</v>
      </c>
      <c r="AF1339">
        <v>0</v>
      </c>
      <c r="AG1339">
        <v>0</v>
      </c>
      <c r="AH1339" t="s">
        <v>116</v>
      </c>
      <c r="AI1339" s="1">
        <v>-264559</v>
      </c>
      <c r="AJ1339" s="2">
        <v>-0.68</v>
      </c>
      <c r="AK1339" s="1">
        <v>390363</v>
      </c>
      <c r="AL1339" t="s">
        <v>117</v>
      </c>
      <c r="AM1339" t="s">
        <v>171</v>
      </c>
      <c r="AN1339">
        <v>9614</v>
      </c>
      <c r="AO1339">
        <v>0.22</v>
      </c>
      <c r="AP1339">
        <v>1</v>
      </c>
      <c r="AR1339">
        <v>1</v>
      </c>
      <c r="AS1339" s="1">
        <v>28750</v>
      </c>
      <c r="AT1339" s="1">
        <v>5750</v>
      </c>
      <c r="AU1339" s="1">
        <v>23000</v>
      </c>
      <c r="AV1339">
        <v>80</v>
      </c>
      <c r="AX1339" s="1">
        <v>2234.36</v>
      </c>
      <c r="AY1339" t="s">
        <v>5442</v>
      </c>
      <c r="AZ1339" t="s">
        <v>5231</v>
      </c>
      <c r="BA1339" t="s">
        <v>2551</v>
      </c>
      <c r="BE1339" s="3">
        <v>42502</v>
      </c>
      <c r="BF1339" s="1">
        <v>317000</v>
      </c>
      <c r="BG1339" t="s">
        <v>9107</v>
      </c>
      <c r="BH1339" s="1">
        <v>153.29</v>
      </c>
      <c r="BI1339" s="1">
        <v>327461</v>
      </c>
      <c r="BJ1339" s="3">
        <v>42502</v>
      </c>
      <c r="BK1339" t="s">
        <v>123</v>
      </c>
      <c r="BL1339" t="str">
        <f>"2016.327109"</f>
        <v>2016.327109</v>
      </c>
      <c r="BM1339" t="s">
        <v>5534</v>
      </c>
      <c r="BN1339" t="s">
        <v>6390</v>
      </c>
      <c r="BO1339" t="s">
        <v>9108</v>
      </c>
      <c r="BS1339">
        <v>30</v>
      </c>
      <c r="BT1339" s="1">
        <v>327461</v>
      </c>
      <c r="BU1339" s="3">
        <v>43308</v>
      </c>
      <c r="BV1339" t="s">
        <v>123</v>
      </c>
      <c r="BW1339" t="str">
        <f>"2018.569161"</f>
        <v>2018.569161</v>
      </c>
      <c r="BX1339" t="s">
        <v>5534</v>
      </c>
      <c r="BY1339" t="s">
        <v>6390</v>
      </c>
      <c r="BZ1339" t="s">
        <v>9109</v>
      </c>
      <c r="CC1339" t="s">
        <v>139</v>
      </c>
      <c r="CH1339" t="str">
        <f>""</f>
        <v/>
      </c>
      <c r="CS1339" t="str">
        <f>""</f>
        <v/>
      </c>
    </row>
    <row r="1340" spans="1:97" x14ac:dyDescent="0.25">
      <c r="A1340" t="s">
        <v>658</v>
      </c>
      <c r="B1340" t="s">
        <v>9110</v>
      </c>
      <c r="C1340" t="s">
        <v>2640</v>
      </c>
      <c r="D1340" t="s">
        <v>9110</v>
      </c>
      <c r="E1340" t="s">
        <v>9111</v>
      </c>
      <c r="F1340" t="s">
        <v>108</v>
      </c>
      <c r="H1340" t="s">
        <v>9112</v>
      </c>
      <c r="I1340" t="s">
        <v>203</v>
      </c>
      <c r="J1340" t="s">
        <v>111</v>
      </c>
      <c r="K1340" t="str">
        <f>"85234"</f>
        <v>85234</v>
      </c>
      <c r="L1340" t="s">
        <v>5918</v>
      </c>
      <c r="M1340" t="s">
        <v>9112</v>
      </c>
      <c r="N1340" t="s">
        <v>203</v>
      </c>
      <c r="O1340" t="s">
        <v>111</v>
      </c>
      <c r="P1340" t="str">
        <f>"85234-5781"</f>
        <v>85234-5781</v>
      </c>
      <c r="Q1340" t="s">
        <v>113</v>
      </c>
      <c r="R1340" t="str">
        <f>"304-97-069"</f>
        <v>304-97-069</v>
      </c>
      <c r="S1340" t="s">
        <v>9113</v>
      </c>
      <c r="T1340" t="s">
        <v>9114</v>
      </c>
      <c r="U1340">
        <v>1678</v>
      </c>
      <c r="V1340">
        <v>0</v>
      </c>
      <c r="W1340">
        <v>4</v>
      </c>
      <c r="X1340">
        <v>1993</v>
      </c>
      <c r="Z1340">
        <v>2</v>
      </c>
      <c r="AB1340">
        <v>0</v>
      </c>
      <c r="AC1340" t="s">
        <v>115</v>
      </c>
      <c r="AD1340">
        <v>2</v>
      </c>
      <c r="AE1340" t="s">
        <v>115</v>
      </c>
      <c r="AF1340">
        <v>0</v>
      </c>
      <c r="AG1340">
        <v>0</v>
      </c>
      <c r="AH1340" t="s">
        <v>116</v>
      </c>
      <c r="AI1340" s="1">
        <v>32279</v>
      </c>
      <c r="AJ1340" s="2">
        <v>0.11</v>
      </c>
      <c r="AK1340" s="1">
        <v>282279</v>
      </c>
      <c r="AL1340" t="s">
        <v>117</v>
      </c>
      <c r="AM1340" t="s">
        <v>191</v>
      </c>
      <c r="AN1340">
        <v>4713</v>
      </c>
      <c r="AO1340">
        <v>0.11</v>
      </c>
      <c r="AP1340">
        <v>1</v>
      </c>
      <c r="AR1340">
        <v>1</v>
      </c>
      <c r="AS1340" s="1">
        <v>18650</v>
      </c>
      <c r="AT1340" s="1">
        <v>3730</v>
      </c>
      <c r="AU1340" s="1">
        <v>14920</v>
      </c>
      <c r="AV1340">
        <v>80</v>
      </c>
      <c r="AX1340" s="1">
        <v>1366.66</v>
      </c>
      <c r="AY1340" t="s">
        <v>9115</v>
      </c>
      <c r="AZ1340" t="s">
        <v>5478</v>
      </c>
      <c r="BA1340" t="s">
        <v>5033</v>
      </c>
      <c r="BE1340" s="3">
        <v>42551</v>
      </c>
      <c r="BF1340" s="1">
        <v>250000</v>
      </c>
      <c r="BG1340" t="s">
        <v>9116</v>
      </c>
      <c r="BH1340" s="1">
        <v>148.99</v>
      </c>
      <c r="BI1340" s="1">
        <v>250000</v>
      </c>
      <c r="BJ1340" s="3">
        <v>42551</v>
      </c>
      <c r="BK1340" t="s">
        <v>123</v>
      </c>
      <c r="BL1340" t="str">
        <f>"2016.463927"</f>
        <v>2016.463927</v>
      </c>
      <c r="BM1340" t="s">
        <v>1154</v>
      </c>
      <c r="BO1340" t="s">
        <v>9117</v>
      </c>
      <c r="BS1340">
        <v>30</v>
      </c>
      <c r="BW1340" t="str">
        <f>""</f>
        <v/>
      </c>
      <c r="CH1340" t="str">
        <f>""</f>
        <v/>
      </c>
      <c r="CS1340" t="str">
        <f>""</f>
        <v/>
      </c>
    </row>
    <row r="1341" spans="1:97" x14ac:dyDescent="0.25">
      <c r="A1341" t="s">
        <v>305</v>
      </c>
      <c r="B1341" t="s">
        <v>3214</v>
      </c>
      <c r="C1341" t="s">
        <v>3702</v>
      </c>
      <c r="D1341" t="s">
        <v>3214</v>
      </c>
      <c r="E1341" t="s">
        <v>9118</v>
      </c>
      <c r="F1341" t="s">
        <v>108</v>
      </c>
      <c r="H1341" t="s">
        <v>9119</v>
      </c>
      <c r="I1341" t="s">
        <v>2874</v>
      </c>
      <c r="J1341" t="s">
        <v>111</v>
      </c>
      <c r="K1341" t="str">
        <f>"85308"</f>
        <v>85308</v>
      </c>
      <c r="L1341" t="s">
        <v>6481</v>
      </c>
      <c r="M1341" t="s">
        <v>9119</v>
      </c>
      <c r="N1341" t="s">
        <v>2874</v>
      </c>
      <c r="O1341" t="s">
        <v>111</v>
      </c>
      <c r="P1341" t="str">
        <f>"85308-4712"</f>
        <v>85308-4712</v>
      </c>
      <c r="Q1341" t="s">
        <v>113</v>
      </c>
      <c r="R1341" t="str">
        <f>"206-19-209"</f>
        <v>206-19-209</v>
      </c>
      <c r="S1341" t="s">
        <v>9120</v>
      </c>
      <c r="U1341">
        <v>3590</v>
      </c>
      <c r="V1341">
        <v>0</v>
      </c>
      <c r="W1341">
        <v>6</v>
      </c>
      <c r="X1341">
        <v>2006</v>
      </c>
      <c r="Z1341">
        <v>2</v>
      </c>
      <c r="AB1341">
        <v>0</v>
      </c>
      <c r="AC1341" t="s">
        <v>115</v>
      </c>
      <c r="AD1341">
        <v>2</v>
      </c>
      <c r="AE1341" t="s">
        <v>115</v>
      </c>
      <c r="AF1341">
        <v>0</v>
      </c>
      <c r="AG1341">
        <v>0</v>
      </c>
      <c r="AH1341" t="s">
        <v>116</v>
      </c>
      <c r="AI1341" s="1">
        <v>116635</v>
      </c>
      <c r="AJ1341" s="2">
        <v>0.28999999999999998</v>
      </c>
      <c r="AK1341" s="1">
        <v>401635</v>
      </c>
      <c r="AL1341" t="s">
        <v>117</v>
      </c>
      <c r="AM1341" t="s">
        <v>191</v>
      </c>
      <c r="AN1341">
        <v>6134</v>
      </c>
      <c r="AO1341">
        <v>0.14000000000000001</v>
      </c>
      <c r="AP1341">
        <v>1</v>
      </c>
      <c r="AR1341">
        <v>1</v>
      </c>
      <c r="AS1341" s="1">
        <v>30870</v>
      </c>
      <c r="AT1341" s="1">
        <v>6170</v>
      </c>
      <c r="AU1341" s="1">
        <v>24700</v>
      </c>
      <c r="AV1341">
        <v>80.010000000000005</v>
      </c>
      <c r="AX1341" s="1">
        <v>2221.1799999999998</v>
      </c>
      <c r="AY1341" t="s">
        <v>9121</v>
      </c>
      <c r="AZ1341" t="s">
        <v>2357</v>
      </c>
      <c r="BA1341" t="s">
        <v>1462</v>
      </c>
      <c r="BB1341" s="3">
        <v>42809</v>
      </c>
      <c r="BD1341" t="s">
        <v>480</v>
      </c>
      <c r="BE1341" s="3">
        <v>42251</v>
      </c>
      <c r="BF1341" s="1">
        <v>295000</v>
      </c>
      <c r="BG1341" t="s">
        <v>9122</v>
      </c>
      <c r="BH1341" s="1">
        <v>82.17</v>
      </c>
      <c r="BI1341" s="1">
        <v>285000</v>
      </c>
      <c r="BJ1341" s="3">
        <v>42251</v>
      </c>
      <c r="BK1341" t="s">
        <v>123</v>
      </c>
      <c r="BL1341" t="str">
        <f>"2015.645737"</f>
        <v>2015.645737</v>
      </c>
      <c r="BM1341" t="s">
        <v>2683</v>
      </c>
      <c r="BO1341" t="s">
        <v>9123</v>
      </c>
      <c r="BS1341">
        <v>30</v>
      </c>
      <c r="BW1341" t="str">
        <f>""</f>
        <v/>
      </c>
      <c r="CH1341" t="str">
        <f>""</f>
        <v/>
      </c>
      <c r="CS1341" t="str">
        <f>""</f>
        <v/>
      </c>
    </row>
    <row r="1342" spans="1:97" x14ac:dyDescent="0.25">
      <c r="A1342" t="s">
        <v>1272</v>
      </c>
      <c r="B1342" t="s">
        <v>9124</v>
      </c>
      <c r="C1342" t="s">
        <v>2761</v>
      </c>
      <c r="D1342" t="s">
        <v>9124</v>
      </c>
      <c r="E1342" t="s">
        <v>9125</v>
      </c>
      <c r="F1342" t="s">
        <v>108</v>
      </c>
      <c r="H1342" t="s">
        <v>9126</v>
      </c>
      <c r="I1342" t="s">
        <v>110</v>
      </c>
      <c r="J1342" t="s">
        <v>111</v>
      </c>
      <c r="K1342" t="str">
        <f>"85249"</f>
        <v>85249</v>
      </c>
      <c r="L1342" t="s">
        <v>3225</v>
      </c>
      <c r="M1342" t="s">
        <v>9126</v>
      </c>
      <c r="N1342" t="s">
        <v>110</v>
      </c>
      <c r="O1342" t="s">
        <v>111</v>
      </c>
      <c r="P1342" t="str">
        <f>"85249-7081"</f>
        <v>85249-7081</v>
      </c>
      <c r="Q1342" t="s">
        <v>113</v>
      </c>
      <c r="R1342" t="str">
        <f>"304-84-307"</f>
        <v>304-84-307</v>
      </c>
      <c r="S1342" t="s">
        <v>9127</v>
      </c>
      <c r="U1342">
        <v>2958</v>
      </c>
      <c r="V1342">
        <v>0</v>
      </c>
      <c r="W1342">
        <v>4</v>
      </c>
      <c r="X1342">
        <v>2003</v>
      </c>
      <c r="Z1342">
        <v>2</v>
      </c>
      <c r="AB1342">
        <v>0</v>
      </c>
      <c r="AC1342" t="s">
        <v>115</v>
      </c>
      <c r="AD1342">
        <v>3</v>
      </c>
      <c r="AE1342" t="s">
        <v>115</v>
      </c>
      <c r="AF1342">
        <v>0</v>
      </c>
      <c r="AG1342">
        <v>0</v>
      </c>
      <c r="AH1342" t="s">
        <v>116</v>
      </c>
      <c r="AI1342" s="1">
        <v>55068</v>
      </c>
      <c r="AJ1342" s="2">
        <v>0.14000000000000001</v>
      </c>
      <c r="AK1342" s="1">
        <v>381948</v>
      </c>
      <c r="AL1342" t="s">
        <v>117</v>
      </c>
      <c r="AM1342" t="s">
        <v>118</v>
      </c>
      <c r="AN1342">
        <v>8568</v>
      </c>
      <c r="AO1342">
        <v>0.2</v>
      </c>
      <c r="AP1342">
        <v>1</v>
      </c>
      <c r="AR1342">
        <v>1</v>
      </c>
      <c r="AS1342" s="1">
        <v>26970</v>
      </c>
      <c r="AT1342" s="1">
        <v>5390</v>
      </c>
      <c r="AU1342" s="1">
        <v>21580</v>
      </c>
      <c r="AV1342">
        <v>80.010000000000005</v>
      </c>
      <c r="AX1342" s="1">
        <v>2242.8200000000002</v>
      </c>
      <c r="AY1342" t="s">
        <v>6269</v>
      </c>
      <c r="AZ1342" t="s">
        <v>273</v>
      </c>
      <c r="BA1342" t="s">
        <v>274</v>
      </c>
      <c r="BE1342" s="3">
        <v>42437</v>
      </c>
      <c r="BF1342" s="1">
        <v>320000</v>
      </c>
      <c r="BG1342" t="s">
        <v>9128</v>
      </c>
      <c r="BH1342" s="1">
        <v>108.18</v>
      </c>
      <c r="BI1342" s="1">
        <v>326880</v>
      </c>
      <c r="BJ1342" s="3">
        <v>42437</v>
      </c>
      <c r="BK1342" t="s">
        <v>123</v>
      </c>
      <c r="BL1342" t="str">
        <f>"2016.149677"</f>
        <v>2016.149677</v>
      </c>
      <c r="BM1342" t="s">
        <v>2716</v>
      </c>
      <c r="BO1342" t="s">
        <v>9129</v>
      </c>
      <c r="BS1342">
        <v>30</v>
      </c>
      <c r="BW1342" t="str">
        <f>""</f>
        <v/>
      </c>
      <c r="CH1342" t="str">
        <f>""</f>
        <v/>
      </c>
      <c r="CS1342" t="str">
        <f>""</f>
        <v/>
      </c>
    </row>
    <row r="1343" spans="1:97" x14ac:dyDescent="0.25">
      <c r="A1343" t="s">
        <v>996</v>
      </c>
      <c r="B1343" t="s">
        <v>9130</v>
      </c>
      <c r="E1343" t="s">
        <v>9131</v>
      </c>
      <c r="F1343" t="s">
        <v>108</v>
      </c>
      <c r="H1343" t="s">
        <v>9132</v>
      </c>
      <c r="I1343" t="s">
        <v>188</v>
      </c>
      <c r="J1343" t="s">
        <v>111</v>
      </c>
      <c r="K1343" t="str">
        <f>"85142"</f>
        <v>85142</v>
      </c>
      <c r="L1343" t="s">
        <v>5291</v>
      </c>
      <c r="M1343" t="s">
        <v>9132</v>
      </c>
      <c r="N1343" t="s">
        <v>188</v>
      </c>
      <c r="O1343" t="s">
        <v>111</v>
      </c>
      <c r="P1343" t="str">
        <f>"85142-5325"</f>
        <v>85142-5325</v>
      </c>
      <c r="Q1343" t="s">
        <v>113</v>
      </c>
      <c r="R1343" t="str">
        <f>"314-05-696"</f>
        <v>314-05-696</v>
      </c>
      <c r="S1343" t="s">
        <v>9133</v>
      </c>
      <c r="U1343">
        <v>2109</v>
      </c>
      <c r="V1343">
        <v>0</v>
      </c>
      <c r="W1343">
        <v>3</v>
      </c>
      <c r="X1343">
        <v>2007</v>
      </c>
      <c r="Z1343">
        <v>2</v>
      </c>
      <c r="AB1343">
        <v>0</v>
      </c>
      <c r="AC1343" t="s">
        <v>115</v>
      </c>
      <c r="AD1343">
        <v>2</v>
      </c>
      <c r="AE1343" t="s">
        <v>115</v>
      </c>
      <c r="AF1343">
        <v>0</v>
      </c>
      <c r="AG1343">
        <v>0</v>
      </c>
      <c r="AH1343" t="s">
        <v>116</v>
      </c>
      <c r="AI1343" s="1">
        <v>79676</v>
      </c>
      <c r="AJ1343" s="2">
        <v>0.27</v>
      </c>
      <c r="AK1343" s="1">
        <v>291676</v>
      </c>
      <c r="AL1343" t="s">
        <v>117</v>
      </c>
      <c r="AM1343" t="s">
        <v>5379</v>
      </c>
      <c r="AN1343">
        <v>3418</v>
      </c>
      <c r="AO1343">
        <v>0.78</v>
      </c>
      <c r="AR1343">
        <v>1</v>
      </c>
      <c r="AS1343" s="1">
        <v>20000</v>
      </c>
      <c r="AT1343" s="1">
        <v>4000</v>
      </c>
      <c r="AU1343" s="1">
        <v>16000</v>
      </c>
      <c r="AV1343">
        <v>80</v>
      </c>
      <c r="AX1343" s="1">
        <v>1978.88</v>
      </c>
      <c r="AY1343" t="s">
        <v>5792</v>
      </c>
      <c r="AZ1343" t="s">
        <v>5792</v>
      </c>
      <c r="BA1343" t="s">
        <v>290</v>
      </c>
      <c r="BE1343" s="3">
        <v>41865</v>
      </c>
      <c r="BF1343" s="1">
        <v>190000</v>
      </c>
      <c r="BG1343" t="s">
        <v>9134</v>
      </c>
      <c r="BH1343" s="1">
        <v>90.09</v>
      </c>
      <c r="BI1343" s="1">
        <v>212000</v>
      </c>
      <c r="BJ1343" s="3">
        <v>43626</v>
      </c>
      <c r="BK1343" t="s">
        <v>123</v>
      </c>
      <c r="BL1343" t="str">
        <f>"2019.429399"</f>
        <v>2019.429399</v>
      </c>
      <c r="BM1343" t="s">
        <v>6896</v>
      </c>
      <c r="BN1343" t="s">
        <v>1371</v>
      </c>
      <c r="BO1343" t="s">
        <v>9135</v>
      </c>
      <c r="BR1343" t="s">
        <v>139</v>
      </c>
      <c r="BW1343" t="str">
        <f>""</f>
        <v/>
      </c>
      <c r="CH1343" t="str">
        <f>""</f>
        <v/>
      </c>
      <c r="CS1343" t="str">
        <f>""</f>
        <v/>
      </c>
    </row>
    <row r="1344" spans="1:97" x14ac:dyDescent="0.25">
      <c r="A1344" t="s">
        <v>464</v>
      </c>
      <c r="B1344" t="s">
        <v>4306</v>
      </c>
      <c r="E1344" t="s">
        <v>9136</v>
      </c>
      <c r="F1344" t="s">
        <v>108</v>
      </c>
      <c r="H1344" t="s">
        <v>9137</v>
      </c>
      <c r="I1344" t="s">
        <v>110</v>
      </c>
      <c r="J1344" t="s">
        <v>111</v>
      </c>
      <c r="K1344" t="str">
        <f>"85249"</f>
        <v>85249</v>
      </c>
      <c r="L1344" t="s">
        <v>7725</v>
      </c>
      <c r="M1344" t="s">
        <v>9137</v>
      </c>
      <c r="N1344" t="s">
        <v>110</v>
      </c>
      <c r="O1344" t="s">
        <v>111</v>
      </c>
      <c r="P1344" t="str">
        <f>"85249-5366"</f>
        <v>85249-5366</v>
      </c>
      <c r="Q1344" t="s">
        <v>113</v>
      </c>
      <c r="R1344" t="str">
        <f>"303-46-636"</f>
        <v>303-46-636</v>
      </c>
      <c r="S1344" t="s">
        <v>9138</v>
      </c>
      <c r="T1344" t="s">
        <v>9138</v>
      </c>
      <c r="U1344">
        <v>2531</v>
      </c>
      <c r="V1344">
        <v>0</v>
      </c>
      <c r="W1344">
        <v>4</v>
      </c>
      <c r="X1344">
        <v>2005</v>
      </c>
      <c r="Z1344">
        <v>1</v>
      </c>
      <c r="AA1344" t="s">
        <v>26</v>
      </c>
      <c r="AB1344">
        <v>0</v>
      </c>
      <c r="AC1344" t="s">
        <v>115</v>
      </c>
      <c r="AD1344">
        <v>2</v>
      </c>
      <c r="AE1344" t="s">
        <v>115</v>
      </c>
      <c r="AF1344">
        <v>0</v>
      </c>
      <c r="AG1344">
        <v>0</v>
      </c>
      <c r="AH1344" t="s">
        <v>116</v>
      </c>
      <c r="AI1344" s="1">
        <v>131898</v>
      </c>
      <c r="AJ1344" s="2">
        <v>0.28999999999999998</v>
      </c>
      <c r="AK1344" s="1">
        <v>461466</v>
      </c>
      <c r="AL1344" t="s">
        <v>117</v>
      </c>
      <c r="AM1344" t="s">
        <v>118</v>
      </c>
      <c r="AN1344">
        <v>7019</v>
      </c>
      <c r="AO1344">
        <v>0.16</v>
      </c>
      <c r="AR1344">
        <v>1</v>
      </c>
      <c r="AS1344" s="1">
        <v>32910</v>
      </c>
      <c r="AT1344" s="1">
        <v>6580</v>
      </c>
      <c r="AU1344" s="1">
        <v>26330</v>
      </c>
      <c r="AV1344">
        <v>80.010000000000005</v>
      </c>
      <c r="AX1344" s="1">
        <v>2755.88</v>
      </c>
      <c r="AY1344" t="s">
        <v>119</v>
      </c>
      <c r="AZ1344" t="s">
        <v>120</v>
      </c>
      <c r="BA1344" t="s">
        <v>121</v>
      </c>
      <c r="BE1344" s="3">
        <v>42214</v>
      </c>
      <c r="BF1344" s="1">
        <v>385500</v>
      </c>
      <c r="BG1344" t="s">
        <v>9139</v>
      </c>
      <c r="BH1344" s="1">
        <v>152.31</v>
      </c>
      <c r="BI1344" s="1">
        <v>329568</v>
      </c>
      <c r="BJ1344" s="3">
        <v>42214</v>
      </c>
      <c r="BK1344" t="s">
        <v>123</v>
      </c>
      <c r="BL1344" t="str">
        <f>"2015.548876"</f>
        <v>2015.548876</v>
      </c>
      <c r="BM1344" t="s">
        <v>9140</v>
      </c>
      <c r="BO1344" t="s">
        <v>9141</v>
      </c>
      <c r="BS1344">
        <v>30</v>
      </c>
      <c r="BW1344" t="str">
        <f>""</f>
        <v/>
      </c>
      <c r="CH1344" t="str">
        <f>""</f>
        <v/>
      </c>
      <c r="CS1344" t="str">
        <f>""</f>
        <v/>
      </c>
    </row>
    <row r="1345" spans="1:97" x14ac:dyDescent="0.25">
      <c r="A1345" t="s">
        <v>894</v>
      </c>
      <c r="B1345" t="s">
        <v>371</v>
      </c>
      <c r="C1345" t="s">
        <v>9142</v>
      </c>
      <c r="D1345" t="s">
        <v>371</v>
      </c>
      <c r="E1345" t="s">
        <v>9143</v>
      </c>
      <c r="F1345" t="s">
        <v>108</v>
      </c>
      <c r="H1345" t="s">
        <v>9144</v>
      </c>
      <c r="I1345" t="s">
        <v>453</v>
      </c>
      <c r="J1345" t="s">
        <v>111</v>
      </c>
      <c r="K1345" t="str">
        <f>"85383"</f>
        <v>85383</v>
      </c>
      <c r="L1345" t="s">
        <v>7235</v>
      </c>
      <c r="M1345" t="s">
        <v>9144</v>
      </c>
      <c r="N1345" t="s">
        <v>453</v>
      </c>
      <c r="O1345" t="s">
        <v>111</v>
      </c>
      <c r="P1345" t="str">
        <f>"85383-5811"</f>
        <v>85383-5811</v>
      </c>
      <c r="Q1345" t="s">
        <v>113</v>
      </c>
      <c r="R1345" t="str">
        <f>"503-66-499"</f>
        <v>503-66-499</v>
      </c>
      <c r="S1345" t="s">
        <v>9145</v>
      </c>
      <c r="U1345">
        <v>2423</v>
      </c>
      <c r="V1345">
        <v>0</v>
      </c>
      <c r="W1345">
        <v>3</v>
      </c>
      <c r="X1345">
        <v>2016</v>
      </c>
      <c r="Z1345">
        <v>2</v>
      </c>
      <c r="AB1345">
        <v>0</v>
      </c>
      <c r="AC1345" t="s">
        <v>115</v>
      </c>
      <c r="AD1345">
        <v>2</v>
      </c>
      <c r="AE1345" t="s">
        <v>115</v>
      </c>
      <c r="AF1345">
        <v>0</v>
      </c>
      <c r="AG1345">
        <v>0</v>
      </c>
      <c r="AH1345" t="s">
        <v>116</v>
      </c>
      <c r="AI1345" s="1">
        <v>20873</v>
      </c>
      <c r="AJ1345" s="2">
        <v>7.0000000000000007E-2</v>
      </c>
      <c r="AK1345" s="1">
        <v>313529</v>
      </c>
      <c r="AL1345" t="s">
        <v>117</v>
      </c>
      <c r="AM1345" t="s">
        <v>5700</v>
      </c>
      <c r="AN1345">
        <v>4050</v>
      </c>
      <c r="AO1345">
        <v>0.93</v>
      </c>
      <c r="AR1345">
        <v>1</v>
      </c>
      <c r="AS1345" s="1">
        <v>21970</v>
      </c>
      <c r="AT1345" s="1">
        <v>4390</v>
      </c>
      <c r="AU1345" s="1">
        <v>17580</v>
      </c>
      <c r="AV1345">
        <v>80.02</v>
      </c>
      <c r="AX1345" s="1">
        <v>2007.16</v>
      </c>
      <c r="AY1345" t="s">
        <v>456</v>
      </c>
      <c r="AZ1345" t="s">
        <v>456</v>
      </c>
      <c r="BA1345" t="s">
        <v>457</v>
      </c>
      <c r="BE1345" s="3">
        <v>42551</v>
      </c>
      <c r="BF1345" s="1">
        <v>260150</v>
      </c>
      <c r="BG1345" t="s">
        <v>233</v>
      </c>
      <c r="BH1345" s="1">
        <v>107.37</v>
      </c>
      <c r="BI1345" s="1">
        <v>292656</v>
      </c>
      <c r="BJ1345" s="3">
        <v>43580</v>
      </c>
      <c r="BK1345" t="s">
        <v>123</v>
      </c>
      <c r="BL1345" t="str">
        <f>"2019.293767"</f>
        <v>2019.293767</v>
      </c>
      <c r="BM1345" t="s">
        <v>1370</v>
      </c>
      <c r="BN1345" t="s">
        <v>4077</v>
      </c>
      <c r="BO1345" t="s">
        <v>9146</v>
      </c>
      <c r="BP1345" t="s">
        <v>9147</v>
      </c>
      <c r="BR1345" t="s">
        <v>139</v>
      </c>
      <c r="BW1345" t="str">
        <f>""</f>
        <v/>
      </c>
      <c r="CH1345" t="str">
        <f>""</f>
        <v/>
      </c>
      <c r="CS1345" t="str">
        <f>""</f>
        <v/>
      </c>
    </row>
    <row r="1346" spans="1:97" x14ac:dyDescent="0.25">
      <c r="A1346" t="s">
        <v>3768</v>
      </c>
      <c r="B1346" t="s">
        <v>9148</v>
      </c>
      <c r="C1346" t="s">
        <v>9149</v>
      </c>
      <c r="D1346" t="s">
        <v>9148</v>
      </c>
      <c r="E1346" t="s">
        <v>9150</v>
      </c>
      <c r="F1346" t="s">
        <v>108</v>
      </c>
      <c r="H1346" t="s">
        <v>9151</v>
      </c>
      <c r="I1346" t="s">
        <v>110</v>
      </c>
      <c r="J1346" t="s">
        <v>111</v>
      </c>
      <c r="K1346" t="str">
        <f>"85226"</f>
        <v>85226</v>
      </c>
      <c r="L1346" t="s">
        <v>5687</v>
      </c>
      <c r="M1346" t="s">
        <v>9151</v>
      </c>
      <c r="N1346" t="s">
        <v>110</v>
      </c>
      <c r="O1346" t="s">
        <v>111</v>
      </c>
      <c r="P1346" t="str">
        <f>"85226-1135"</f>
        <v>85226-1135</v>
      </c>
      <c r="Q1346" t="s">
        <v>113</v>
      </c>
      <c r="R1346" t="str">
        <f>"301-60-746"</f>
        <v>301-60-746</v>
      </c>
      <c r="S1346" t="s">
        <v>9152</v>
      </c>
      <c r="T1346" t="s">
        <v>8669</v>
      </c>
      <c r="U1346">
        <v>2475</v>
      </c>
      <c r="V1346">
        <v>0</v>
      </c>
      <c r="W1346">
        <v>3</v>
      </c>
      <c r="X1346">
        <v>1995</v>
      </c>
      <c r="Z1346">
        <v>1</v>
      </c>
      <c r="AA1346" t="s">
        <v>26</v>
      </c>
      <c r="AB1346">
        <v>0</v>
      </c>
      <c r="AC1346" t="s">
        <v>115</v>
      </c>
      <c r="AD1346">
        <v>3</v>
      </c>
      <c r="AE1346" t="s">
        <v>115</v>
      </c>
      <c r="AF1346">
        <v>0</v>
      </c>
      <c r="AG1346">
        <v>0</v>
      </c>
      <c r="AH1346" t="s">
        <v>116</v>
      </c>
      <c r="AI1346" s="1">
        <v>84128</v>
      </c>
      <c r="AJ1346" s="2">
        <v>0.19</v>
      </c>
      <c r="AK1346" s="1">
        <v>450402</v>
      </c>
      <c r="AL1346" t="s">
        <v>117</v>
      </c>
      <c r="AM1346" t="s">
        <v>1302</v>
      </c>
      <c r="AN1346">
        <v>11252</v>
      </c>
      <c r="AO1346">
        <v>0.26</v>
      </c>
      <c r="AP1346">
        <v>1</v>
      </c>
      <c r="AR1346">
        <v>1</v>
      </c>
      <c r="AS1346" s="1">
        <v>37410</v>
      </c>
      <c r="AT1346" s="1">
        <v>7480</v>
      </c>
      <c r="AU1346" s="1">
        <v>29930</v>
      </c>
      <c r="AV1346">
        <v>80.010000000000005</v>
      </c>
      <c r="AX1346" s="1">
        <v>3541.46</v>
      </c>
      <c r="AY1346" t="s">
        <v>7662</v>
      </c>
      <c r="AZ1346" t="s">
        <v>5201</v>
      </c>
      <c r="BA1346" t="s">
        <v>5328</v>
      </c>
      <c r="BE1346" s="3">
        <v>42163</v>
      </c>
      <c r="BF1346" s="1">
        <v>359900</v>
      </c>
      <c r="BG1346" t="s">
        <v>9153</v>
      </c>
      <c r="BH1346" s="1">
        <v>145.41</v>
      </c>
      <c r="BI1346" s="1">
        <v>366274</v>
      </c>
      <c r="BJ1346" s="3">
        <v>42592</v>
      </c>
      <c r="BK1346" t="s">
        <v>123</v>
      </c>
      <c r="BL1346" t="str">
        <f>"2016.570682"</f>
        <v>2016.570682</v>
      </c>
      <c r="BM1346" t="s">
        <v>709</v>
      </c>
      <c r="BO1346" t="s">
        <v>9154</v>
      </c>
      <c r="BS1346">
        <v>30</v>
      </c>
      <c r="BW1346" t="str">
        <f>""</f>
        <v/>
      </c>
      <c r="CH1346" t="str">
        <f>""</f>
        <v/>
      </c>
      <c r="CS1346" t="str">
        <f>""</f>
        <v/>
      </c>
    </row>
    <row r="1347" spans="1:97" x14ac:dyDescent="0.25">
      <c r="A1347" t="s">
        <v>589</v>
      </c>
      <c r="B1347" t="s">
        <v>9155</v>
      </c>
      <c r="C1347" t="s">
        <v>496</v>
      </c>
      <c r="D1347" t="s">
        <v>9155</v>
      </c>
      <c r="E1347" t="s">
        <v>9156</v>
      </c>
      <c r="F1347" t="s">
        <v>108</v>
      </c>
      <c r="H1347" t="s">
        <v>9157</v>
      </c>
      <c r="I1347" t="s">
        <v>2874</v>
      </c>
      <c r="J1347" t="s">
        <v>111</v>
      </c>
      <c r="K1347" t="str">
        <f>"85308"</f>
        <v>85308</v>
      </c>
      <c r="L1347" t="s">
        <v>4282</v>
      </c>
      <c r="M1347" t="s">
        <v>9157</v>
      </c>
      <c r="N1347" t="s">
        <v>2874</v>
      </c>
      <c r="O1347" t="s">
        <v>111</v>
      </c>
      <c r="P1347" t="str">
        <f>"85308-7688"</f>
        <v>85308-7688</v>
      </c>
      <c r="Q1347" t="s">
        <v>113</v>
      </c>
      <c r="R1347" t="str">
        <f>"200-28-537"</f>
        <v>200-28-537</v>
      </c>
      <c r="S1347" t="s">
        <v>9158</v>
      </c>
      <c r="T1347" t="s">
        <v>7669</v>
      </c>
      <c r="U1347">
        <v>3458</v>
      </c>
      <c r="V1347">
        <v>0</v>
      </c>
      <c r="W1347">
        <v>5</v>
      </c>
      <c r="X1347">
        <v>1998</v>
      </c>
      <c r="Z1347">
        <v>2</v>
      </c>
      <c r="AA1347" t="s">
        <v>26</v>
      </c>
      <c r="AB1347">
        <v>0</v>
      </c>
      <c r="AC1347" t="s">
        <v>115</v>
      </c>
      <c r="AD1347">
        <v>3</v>
      </c>
      <c r="AE1347" t="s">
        <v>115</v>
      </c>
      <c r="AF1347">
        <v>0</v>
      </c>
      <c r="AG1347">
        <v>0</v>
      </c>
      <c r="AH1347" t="s">
        <v>116</v>
      </c>
      <c r="AI1347" s="1">
        <v>83078</v>
      </c>
      <c r="AJ1347" s="2">
        <v>0.19</v>
      </c>
      <c r="AK1347" s="1">
        <v>444576</v>
      </c>
      <c r="AL1347" t="s">
        <v>117</v>
      </c>
      <c r="AM1347" t="s">
        <v>393</v>
      </c>
      <c r="AN1347">
        <v>8470</v>
      </c>
      <c r="AO1347">
        <v>0.19</v>
      </c>
      <c r="AP1347">
        <v>1</v>
      </c>
      <c r="AR1347">
        <v>1</v>
      </c>
      <c r="AS1347" s="1">
        <v>33270</v>
      </c>
      <c r="AT1347" s="1">
        <v>6650</v>
      </c>
      <c r="AU1347" s="1">
        <v>26620</v>
      </c>
      <c r="AV1347">
        <v>80.010000000000005</v>
      </c>
      <c r="AX1347" s="1">
        <v>3520.04</v>
      </c>
      <c r="AY1347" t="s">
        <v>6740</v>
      </c>
      <c r="AZ1347" t="s">
        <v>6740</v>
      </c>
      <c r="BA1347" t="s">
        <v>5143</v>
      </c>
      <c r="BE1347" s="3">
        <v>41897</v>
      </c>
      <c r="BF1347" s="1">
        <v>351000</v>
      </c>
      <c r="BG1347" t="s">
        <v>9159</v>
      </c>
      <c r="BH1347" s="1">
        <v>101.5</v>
      </c>
      <c r="BI1347" s="1">
        <v>361498</v>
      </c>
      <c r="BJ1347" s="3">
        <v>41897</v>
      </c>
      <c r="BK1347" t="s">
        <v>123</v>
      </c>
      <c r="BL1347" t="str">
        <f>"2014.608044"</f>
        <v>2014.608044</v>
      </c>
      <c r="BM1347" t="s">
        <v>724</v>
      </c>
      <c r="BO1347" t="s">
        <v>9160</v>
      </c>
      <c r="BS1347">
        <v>30</v>
      </c>
      <c r="BW1347" t="str">
        <f>""</f>
        <v/>
      </c>
      <c r="CH1347" t="str">
        <f>""</f>
        <v/>
      </c>
      <c r="CS1347" t="str">
        <f>""</f>
        <v/>
      </c>
    </row>
    <row r="1348" spans="1:97" x14ac:dyDescent="0.25">
      <c r="A1348" t="s">
        <v>996</v>
      </c>
      <c r="B1348" t="s">
        <v>212</v>
      </c>
      <c r="C1348" t="s">
        <v>365</v>
      </c>
      <c r="D1348" t="s">
        <v>212</v>
      </c>
      <c r="E1348" t="s">
        <v>9161</v>
      </c>
      <c r="F1348" t="s">
        <v>108</v>
      </c>
      <c r="H1348" t="s">
        <v>9162</v>
      </c>
      <c r="I1348" t="s">
        <v>3150</v>
      </c>
      <c r="J1348" t="s">
        <v>111</v>
      </c>
      <c r="K1348" t="str">
        <f>"85340"</f>
        <v>85340</v>
      </c>
      <c r="L1348" t="s">
        <v>5138</v>
      </c>
      <c r="M1348" t="s">
        <v>9162</v>
      </c>
      <c r="N1348" t="s">
        <v>3150</v>
      </c>
      <c r="O1348" t="s">
        <v>111</v>
      </c>
      <c r="P1348" t="str">
        <f>"85340-5926"</f>
        <v>85340-5926</v>
      </c>
      <c r="Q1348" t="s">
        <v>113</v>
      </c>
      <c r="R1348" t="str">
        <f>"508-02-142"</f>
        <v>508-02-142</v>
      </c>
      <c r="S1348" t="s">
        <v>9163</v>
      </c>
      <c r="T1348" t="s">
        <v>9163</v>
      </c>
      <c r="U1348">
        <v>1937</v>
      </c>
      <c r="V1348">
        <v>0</v>
      </c>
      <c r="W1348">
        <v>3</v>
      </c>
      <c r="X1348">
        <v>2005</v>
      </c>
      <c r="Z1348">
        <v>2</v>
      </c>
      <c r="AB1348">
        <v>0</v>
      </c>
      <c r="AC1348" t="s">
        <v>115</v>
      </c>
      <c r="AD1348">
        <v>2</v>
      </c>
      <c r="AE1348" t="s">
        <v>115</v>
      </c>
      <c r="AF1348">
        <v>0</v>
      </c>
      <c r="AG1348">
        <v>0</v>
      </c>
      <c r="AH1348" t="s">
        <v>116</v>
      </c>
      <c r="AI1348" s="1">
        <v>53525</v>
      </c>
      <c r="AJ1348" s="2">
        <v>0.19</v>
      </c>
      <c r="AK1348" s="1">
        <v>283362</v>
      </c>
      <c r="AL1348" t="s">
        <v>117</v>
      </c>
      <c r="AM1348" t="s">
        <v>118</v>
      </c>
      <c r="AN1348">
        <v>6743</v>
      </c>
      <c r="AO1348">
        <v>0.16</v>
      </c>
      <c r="AR1348">
        <v>1</v>
      </c>
      <c r="AS1348" s="1">
        <v>17560</v>
      </c>
      <c r="AT1348" s="1">
        <v>3510</v>
      </c>
      <c r="AU1348" s="1">
        <v>14050</v>
      </c>
      <c r="AV1348">
        <v>80.010000000000005</v>
      </c>
      <c r="AX1348" s="1">
        <v>1453.64</v>
      </c>
      <c r="AY1348" t="s">
        <v>7636</v>
      </c>
      <c r="AZ1348" t="s">
        <v>6701</v>
      </c>
      <c r="BA1348" t="s">
        <v>3154</v>
      </c>
      <c r="BE1348" s="3">
        <v>42499</v>
      </c>
      <c r="BF1348" s="1">
        <v>225000</v>
      </c>
      <c r="BG1348" t="s">
        <v>7637</v>
      </c>
      <c r="BH1348" s="1">
        <v>116.16</v>
      </c>
      <c r="BI1348" s="1">
        <v>229837</v>
      </c>
      <c r="BJ1348" s="3">
        <v>42499</v>
      </c>
      <c r="BK1348" t="s">
        <v>123</v>
      </c>
      <c r="BL1348" t="str">
        <f>"2016.315652"</f>
        <v>2016.315652</v>
      </c>
      <c r="BM1348" t="s">
        <v>1185</v>
      </c>
      <c r="BO1348" t="s">
        <v>9164</v>
      </c>
      <c r="BS1348">
        <v>30</v>
      </c>
      <c r="BW1348" t="str">
        <f>""</f>
        <v/>
      </c>
      <c r="CH1348" t="str">
        <f>""</f>
        <v/>
      </c>
      <c r="CS1348" t="str">
        <f>""</f>
        <v/>
      </c>
    </row>
    <row r="1349" spans="1:97" x14ac:dyDescent="0.25">
      <c r="A1349" t="s">
        <v>183</v>
      </c>
      <c r="B1349" t="s">
        <v>9165</v>
      </c>
      <c r="C1349" t="s">
        <v>4386</v>
      </c>
      <c r="D1349" t="s">
        <v>9165</v>
      </c>
      <c r="E1349" t="s">
        <v>9166</v>
      </c>
      <c r="F1349" t="s">
        <v>108</v>
      </c>
      <c r="H1349" t="s">
        <v>9167</v>
      </c>
      <c r="I1349" t="s">
        <v>390</v>
      </c>
      <c r="J1349" t="s">
        <v>111</v>
      </c>
      <c r="K1349" t="str">
        <f>"85022"</f>
        <v>85022</v>
      </c>
      <c r="L1349" t="s">
        <v>9168</v>
      </c>
      <c r="M1349" t="s">
        <v>9167</v>
      </c>
      <c r="N1349" t="s">
        <v>390</v>
      </c>
      <c r="O1349" t="s">
        <v>111</v>
      </c>
      <c r="P1349" t="str">
        <f>"85022-3626"</f>
        <v>85022-3626</v>
      </c>
      <c r="R1349" t="str">
        <f>"208-27-850"</f>
        <v>208-27-850</v>
      </c>
      <c r="S1349" t="s">
        <v>9169</v>
      </c>
      <c r="T1349" t="s">
        <v>9169</v>
      </c>
      <c r="U1349">
        <v>2629</v>
      </c>
      <c r="V1349">
        <v>0</v>
      </c>
      <c r="W1349">
        <v>4</v>
      </c>
      <c r="X1349">
        <v>1976</v>
      </c>
      <c r="Z1349">
        <v>1</v>
      </c>
      <c r="AA1349" t="s">
        <v>26</v>
      </c>
      <c r="AB1349">
        <v>0</v>
      </c>
      <c r="AC1349" t="s">
        <v>115</v>
      </c>
      <c r="AD1349">
        <v>2</v>
      </c>
      <c r="AE1349" t="s">
        <v>115</v>
      </c>
      <c r="AF1349">
        <v>0</v>
      </c>
      <c r="AG1349">
        <v>0</v>
      </c>
      <c r="AH1349" t="s">
        <v>116</v>
      </c>
      <c r="AI1349" s="1">
        <v>112186</v>
      </c>
      <c r="AJ1349" s="2">
        <v>0.23</v>
      </c>
      <c r="AK1349" s="1">
        <v>486902</v>
      </c>
      <c r="AL1349" t="s">
        <v>117</v>
      </c>
      <c r="AM1349" t="s">
        <v>1302</v>
      </c>
      <c r="AN1349">
        <v>13651</v>
      </c>
      <c r="AO1349">
        <v>0.31</v>
      </c>
      <c r="AP1349">
        <v>1</v>
      </c>
      <c r="AR1349">
        <v>1</v>
      </c>
      <c r="AS1349" s="1">
        <v>34680</v>
      </c>
      <c r="AT1349" s="1">
        <v>6930</v>
      </c>
      <c r="AU1349" s="1">
        <v>27750</v>
      </c>
      <c r="AV1349">
        <v>80.02</v>
      </c>
      <c r="AX1349" s="1">
        <v>3847.86</v>
      </c>
      <c r="AY1349" t="s">
        <v>9170</v>
      </c>
      <c r="AZ1349" t="s">
        <v>8648</v>
      </c>
      <c r="BA1349" t="s">
        <v>8649</v>
      </c>
      <c r="BB1349" s="3">
        <v>41760</v>
      </c>
      <c r="BD1349" t="s">
        <v>842</v>
      </c>
      <c r="BE1349" s="3">
        <v>41760</v>
      </c>
      <c r="BF1349" s="1">
        <v>424000</v>
      </c>
      <c r="BG1349" t="s">
        <v>9171</v>
      </c>
      <c r="BH1349" s="1">
        <v>161.28</v>
      </c>
      <c r="BI1349" s="1">
        <v>374716</v>
      </c>
      <c r="BJ1349" s="3">
        <v>42501</v>
      </c>
      <c r="BK1349" t="s">
        <v>123</v>
      </c>
      <c r="BL1349" t="str">
        <f>"2016.322713"</f>
        <v>2016.322713</v>
      </c>
      <c r="BM1349" t="s">
        <v>1192</v>
      </c>
      <c r="BN1349" t="s">
        <v>9172</v>
      </c>
      <c r="BO1349" t="s">
        <v>9173</v>
      </c>
      <c r="BS1349">
        <v>30</v>
      </c>
      <c r="BW1349" t="str">
        <f>""</f>
        <v/>
      </c>
      <c r="CH1349" t="str">
        <f>""</f>
        <v/>
      </c>
      <c r="CS1349" t="str">
        <f>""</f>
        <v/>
      </c>
    </row>
    <row r="1350" spans="1:97" x14ac:dyDescent="0.25">
      <c r="A1350" t="s">
        <v>9174</v>
      </c>
      <c r="B1350" t="s">
        <v>9175</v>
      </c>
      <c r="E1350" t="s">
        <v>9176</v>
      </c>
      <c r="F1350" t="s">
        <v>108</v>
      </c>
      <c r="H1350" t="s">
        <v>9177</v>
      </c>
      <c r="I1350" t="s">
        <v>390</v>
      </c>
      <c r="J1350" t="s">
        <v>111</v>
      </c>
      <c r="K1350" t="str">
        <f>"85015"</f>
        <v>85015</v>
      </c>
      <c r="L1350" t="s">
        <v>9178</v>
      </c>
      <c r="M1350" t="s">
        <v>9177</v>
      </c>
      <c r="N1350" t="s">
        <v>390</v>
      </c>
      <c r="O1350" t="s">
        <v>111</v>
      </c>
      <c r="P1350" t="str">
        <f>"85015-2048"</f>
        <v>85015-2048</v>
      </c>
      <c r="R1350" t="str">
        <f>"156-20-074"</f>
        <v>156-20-074</v>
      </c>
      <c r="S1350" t="s">
        <v>9179</v>
      </c>
      <c r="T1350" t="s">
        <v>9179</v>
      </c>
      <c r="U1350">
        <v>2655</v>
      </c>
      <c r="V1350">
        <v>0</v>
      </c>
      <c r="W1350">
        <v>3</v>
      </c>
      <c r="X1350">
        <v>1951</v>
      </c>
      <c r="Z1350">
        <v>1</v>
      </c>
      <c r="AA1350" t="s">
        <v>26</v>
      </c>
      <c r="AB1350">
        <v>0</v>
      </c>
      <c r="AC1350" t="s">
        <v>7038</v>
      </c>
      <c r="AD1350">
        <v>0</v>
      </c>
      <c r="AE1350" t="s">
        <v>7038</v>
      </c>
      <c r="AF1350">
        <v>0</v>
      </c>
      <c r="AG1350">
        <v>0</v>
      </c>
      <c r="AH1350" t="s">
        <v>116</v>
      </c>
      <c r="AI1350" s="1">
        <v>69704</v>
      </c>
      <c r="AJ1350" s="2">
        <v>0.18</v>
      </c>
      <c r="AK1350" s="1">
        <v>379604</v>
      </c>
      <c r="AL1350" t="s">
        <v>117</v>
      </c>
      <c r="AM1350" t="s">
        <v>191</v>
      </c>
      <c r="AN1350">
        <v>9405</v>
      </c>
      <c r="AO1350">
        <v>0.22</v>
      </c>
      <c r="AP1350">
        <v>1</v>
      </c>
      <c r="AR1350">
        <v>1</v>
      </c>
      <c r="AS1350" s="1">
        <v>26530</v>
      </c>
      <c r="AT1350" s="1">
        <v>5300</v>
      </c>
      <c r="AU1350" s="1">
        <v>21230</v>
      </c>
      <c r="AV1350">
        <v>80.02</v>
      </c>
      <c r="AX1350" s="1">
        <v>2816.46</v>
      </c>
      <c r="AY1350" t="s">
        <v>1303</v>
      </c>
      <c r="AZ1350" t="s">
        <v>1303</v>
      </c>
      <c r="BA1350" t="s">
        <v>1304</v>
      </c>
      <c r="BE1350" s="3">
        <v>42068</v>
      </c>
      <c r="BF1350" s="1">
        <v>300000</v>
      </c>
      <c r="BG1350" t="s">
        <v>9180</v>
      </c>
      <c r="BH1350" s="1">
        <v>112.99</v>
      </c>
      <c r="BI1350" s="1">
        <v>309900</v>
      </c>
      <c r="BJ1350" s="3">
        <v>42068</v>
      </c>
      <c r="BK1350" t="s">
        <v>123</v>
      </c>
      <c r="BL1350" t="str">
        <f>"2015.148817"</f>
        <v>2015.148817</v>
      </c>
      <c r="BM1350" t="s">
        <v>5867</v>
      </c>
      <c r="BN1350" t="s">
        <v>9181</v>
      </c>
      <c r="BO1350" t="s">
        <v>9182</v>
      </c>
      <c r="BS1350">
        <v>30</v>
      </c>
      <c r="BW1350" t="str">
        <f>""</f>
        <v/>
      </c>
      <c r="CH1350" t="str">
        <f>""</f>
        <v/>
      </c>
      <c r="CS1350" t="str">
        <f>""</f>
        <v/>
      </c>
    </row>
    <row r="1351" spans="1:97" x14ac:dyDescent="0.25">
      <c r="B1351" t="s">
        <v>9183</v>
      </c>
      <c r="E1351" t="s">
        <v>9184</v>
      </c>
      <c r="F1351" t="s">
        <v>282</v>
      </c>
      <c r="H1351" t="s">
        <v>9185</v>
      </c>
      <c r="I1351" t="s">
        <v>9186</v>
      </c>
      <c r="J1351" t="s">
        <v>111</v>
      </c>
      <c r="K1351" t="str">
        <f>"85377"</f>
        <v>85377</v>
      </c>
      <c r="M1351" t="s">
        <v>9187</v>
      </c>
      <c r="N1351" t="s">
        <v>390</v>
      </c>
      <c r="O1351" t="s">
        <v>111</v>
      </c>
      <c r="P1351" t="str">
        <f>"85024-1856"</f>
        <v>85024-1856</v>
      </c>
      <c r="Q1351" t="s">
        <v>113</v>
      </c>
      <c r="R1351" t="str">
        <f>"219-11-111"</f>
        <v>219-11-111</v>
      </c>
      <c r="S1351" t="s">
        <v>9188</v>
      </c>
      <c r="T1351" t="s">
        <v>9189</v>
      </c>
      <c r="U1351">
        <v>2709</v>
      </c>
      <c r="V1351">
        <v>0</v>
      </c>
      <c r="W1351">
        <v>4</v>
      </c>
      <c r="X1351">
        <v>2000</v>
      </c>
      <c r="Z1351">
        <v>1</v>
      </c>
      <c r="AA1351" t="s">
        <v>26</v>
      </c>
      <c r="AB1351">
        <v>0</v>
      </c>
      <c r="AC1351" t="s">
        <v>115</v>
      </c>
      <c r="AD1351">
        <v>3</v>
      </c>
      <c r="AE1351" t="s">
        <v>115</v>
      </c>
      <c r="AF1351">
        <v>0</v>
      </c>
      <c r="AG1351">
        <v>0</v>
      </c>
      <c r="AH1351" t="s">
        <v>116</v>
      </c>
      <c r="AI1351" s="1">
        <v>180738</v>
      </c>
      <c r="AJ1351" s="2">
        <v>0.28999999999999998</v>
      </c>
      <c r="AK1351" s="1">
        <v>614112</v>
      </c>
      <c r="AL1351" t="s">
        <v>117</v>
      </c>
      <c r="AM1351" t="s">
        <v>3973</v>
      </c>
      <c r="AN1351">
        <v>59073</v>
      </c>
      <c r="AO1351">
        <v>1.36</v>
      </c>
      <c r="AP1351">
        <v>1</v>
      </c>
      <c r="AR1351">
        <v>1</v>
      </c>
      <c r="AS1351" s="1">
        <v>57730</v>
      </c>
      <c r="AT1351" s="1">
        <v>11540</v>
      </c>
      <c r="AU1351" s="1">
        <v>46190</v>
      </c>
      <c r="AV1351">
        <v>80.010000000000005</v>
      </c>
      <c r="AX1351" s="1">
        <v>2638.64</v>
      </c>
      <c r="AY1351" t="s">
        <v>7359</v>
      </c>
      <c r="AZ1351" t="s">
        <v>1402</v>
      </c>
      <c r="BA1351" t="s">
        <v>1403</v>
      </c>
      <c r="BB1351" s="3">
        <v>43711</v>
      </c>
      <c r="BC1351" s="1">
        <v>0</v>
      </c>
      <c r="BD1351" t="s">
        <v>247</v>
      </c>
      <c r="BE1351" s="3">
        <v>42048</v>
      </c>
      <c r="BF1351" s="1">
        <v>579000</v>
      </c>
      <c r="BG1351" t="s">
        <v>9190</v>
      </c>
      <c r="BH1351" s="1">
        <v>213.73</v>
      </c>
      <c r="BI1351" s="1">
        <v>433374</v>
      </c>
      <c r="BJ1351" s="3">
        <v>42586</v>
      </c>
      <c r="BK1351" t="s">
        <v>123</v>
      </c>
      <c r="BL1351" t="str">
        <f>"2016.554580"</f>
        <v>2016.554580</v>
      </c>
      <c r="BM1351" t="s">
        <v>1695</v>
      </c>
      <c r="BN1351" t="s">
        <v>9191</v>
      </c>
      <c r="BO1351" t="s">
        <v>9192</v>
      </c>
      <c r="BS1351">
        <v>30</v>
      </c>
      <c r="BW1351" t="str">
        <f>""</f>
        <v/>
      </c>
      <c r="CH1351" t="str">
        <f>""</f>
        <v/>
      </c>
      <c r="CS1351" t="str">
        <f>""</f>
        <v/>
      </c>
    </row>
    <row r="1352" spans="1:97" x14ac:dyDescent="0.25">
      <c r="A1352" t="s">
        <v>1803</v>
      </c>
      <c r="B1352" t="s">
        <v>9193</v>
      </c>
      <c r="C1352" t="s">
        <v>3221</v>
      </c>
      <c r="D1352" t="s">
        <v>9193</v>
      </c>
      <c r="E1352" t="s">
        <v>9194</v>
      </c>
      <c r="F1352" t="s">
        <v>108</v>
      </c>
      <c r="H1352" t="s">
        <v>9195</v>
      </c>
      <c r="I1352" t="s">
        <v>203</v>
      </c>
      <c r="J1352" t="s">
        <v>111</v>
      </c>
      <c r="K1352" t="str">
        <f>"85234"</f>
        <v>85234</v>
      </c>
      <c r="L1352" t="s">
        <v>3108</v>
      </c>
      <c r="M1352" t="s">
        <v>9195</v>
      </c>
      <c r="N1352" t="s">
        <v>203</v>
      </c>
      <c r="O1352" t="s">
        <v>111</v>
      </c>
      <c r="P1352" t="str">
        <f>"85234"</f>
        <v>85234</v>
      </c>
      <c r="Q1352" t="s">
        <v>113</v>
      </c>
      <c r="R1352" t="str">
        <f>"309-05-068"</f>
        <v>309-05-068</v>
      </c>
      <c r="S1352" t="s">
        <v>9196</v>
      </c>
      <c r="T1352" t="s">
        <v>9197</v>
      </c>
      <c r="U1352">
        <v>2108</v>
      </c>
      <c r="V1352">
        <v>0</v>
      </c>
      <c r="W1352">
        <v>3</v>
      </c>
      <c r="X1352">
        <v>1995</v>
      </c>
      <c r="Z1352">
        <v>1</v>
      </c>
      <c r="AA1352" t="s">
        <v>26</v>
      </c>
      <c r="AB1352">
        <v>0</v>
      </c>
      <c r="AC1352" t="s">
        <v>115</v>
      </c>
      <c r="AD1352">
        <v>2</v>
      </c>
      <c r="AE1352" t="s">
        <v>115</v>
      </c>
      <c r="AF1352">
        <v>0</v>
      </c>
      <c r="AG1352">
        <v>0</v>
      </c>
      <c r="AH1352" t="s">
        <v>116</v>
      </c>
      <c r="AI1352" s="1">
        <v>67389</v>
      </c>
      <c r="AJ1352" s="2">
        <v>0.18</v>
      </c>
      <c r="AK1352" s="1">
        <v>369446</v>
      </c>
      <c r="AL1352" t="s">
        <v>117</v>
      </c>
      <c r="AM1352" t="s">
        <v>393</v>
      </c>
      <c r="AN1352">
        <v>9701</v>
      </c>
      <c r="AO1352">
        <v>0.22</v>
      </c>
      <c r="AP1352">
        <v>1</v>
      </c>
      <c r="AR1352">
        <v>1</v>
      </c>
      <c r="AS1352" s="1">
        <v>26160</v>
      </c>
      <c r="AT1352" s="1">
        <v>5230</v>
      </c>
      <c r="AU1352" s="1">
        <v>20930</v>
      </c>
      <c r="AV1352">
        <v>80.010000000000005</v>
      </c>
      <c r="AX1352" s="1">
        <v>1837.34</v>
      </c>
      <c r="AY1352" t="s">
        <v>7213</v>
      </c>
      <c r="AZ1352" t="s">
        <v>571</v>
      </c>
      <c r="BA1352" t="s">
        <v>521</v>
      </c>
      <c r="BE1352" s="3">
        <v>42151</v>
      </c>
      <c r="BF1352" s="1">
        <v>295000</v>
      </c>
      <c r="BG1352" t="s">
        <v>9198</v>
      </c>
      <c r="BH1352" s="1">
        <v>139.94</v>
      </c>
      <c r="BI1352" s="1">
        <v>302057</v>
      </c>
      <c r="BJ1352" s="3">
        <v>42590</v>
      </c>
      <c r="BK1352" t="s">
        <v>123</v>
      </c>
      <c r="BL1352" t="str">
        <f>"2016.561254"</f>
        <v>2016.561254</v>
      </c>
      <c r="BM1352" t="s">
        <v>2716</v>
      </c>
      <c r="BO1352" t="s">
        <v>9199</v>
      </c>
      <c r="BS1352">
        <v>30</v>
      </c>
      <c r="BW1352" t="str">
        <f>""</f>
        <v/>
      </c>
      <c r="CH1352" t="str">
        <f>""</f>
        <v/>
      </c>
      <c r="CS1352" t="str">
        <f>""</f>
        <v/>
      </c>
    </row>
    <row r="1353" spans="1:97" x14ac:dyDescent="0.25">
      <c r="A1353" t="s">
        <v>9200</v>
      </c>
      <c r="B1353" t="s">
        <v>2522</v>
      </c>
      <c r="C1353" t="s">
        <v>9201</v>
      </c>
      <c r="D1353" t="s">
        <v>2522</v>
      </c>
      <c r="E1353" t="s">
        <v>9202</v>
      </c>
      <c r="F1353" t="s">
        <v>108</v>
      </c>
      <c r="H1353" t="s">
        <v>9203</v>
      </c>
      <c r="I1353" t="s">
        <v>110</v>
      </c>
      <c r="J1353" t="s">
        <v>111</v>
      </c>
      <c r="K1353" t="str">
        <f>"85248"</f>
        <v>85248</v>
      </c>
      <c r="L1353" t="s">
        <v>7607</v>
      </c>
      <c r="M1353" t="s">
        <v>9203</v>
      </c>
      <c r="N1353" t="s">
        <v>110</v>
      </c>
      <c r="O1353" t="s">
        <v>111</v>
      </c>
      <c r="P1353" t="str">
        <f>"85248-4112"</f>
        <v>85248-4112</v>
      </c>
      <c r="Q1353" t="s">
        <v>113</v>
      </c>
      <c r="R1353" t="str">
        <f>"303-37-108"</f>
        <v>303-37-108</v>
      </c>
      <c r="S1353" t="s">
        <v>9204</v>
      </c>
      <c r="T1353" t="s">
        <v>9204</v>
      </c>
      <c r="U1353">
        <v>1442</v>
      </c>
      <c r="V1353">
        <v>0</v>
      </c>
      <c r="W1353">
        <v>3</v>
      </c>
      <c r="X1353">
        <v>1991</v>
      </c>
      <c r="Z1353">
        <v>1</v>
      </c>
      <c r="AA1353" t="s">
        <v>26</v>
      </c>
      <c r="AB1353">
        <v>0</v>
      </c>
      <c r="AC1353" t="s">
        <v>115</v>
      </c>
      <c r="AD1353">
        <v>2</v>
      </c>
      <c r="AE1353" t="s">
        <v>115</v>
      </c>
      <c r="AF1353">
        <v>0</v>
      </c>
      <c r="AG1353">
        <v>0</v>
      </c>
      <c r="AH1353" t="s">
        <v>116</v>
      </c>
      <c r="AI1353" s="1">
        <v>68287</v>
      </c>
      <c r="AJ1353" s="2">
        <v>0.21</v>
      </c>
      <c r="AK1353" s="1">
        <v>329407</v>
      </c>
      <c r="AL1353" t="s">
        <v>117</v>
      </c>
      <c r="AM1353" t="s">
        <v>118</v>
      </c>
      <c r="AN1353">
        <v>6599</v>
      </c>
      <c r="AO1353">
        <v>0.15</v>
      </c>
      <c r="AP1353">
        <v>1</v>
      </c>
      <c r="AR1353">
        <v>1</v>
      </c>
      <c r="AS1353" s="1">
        <v>22060</v>
      </c>
      <c r="AT1353" s="1">
        <v>4410</v>
      </c>
      <c r="AU1353" s="1">
        <v>17650</v>
      </c>
      <c r="AV1353">
        <v>80.010000000000005</v>
      </c>
      <c r="AX1353" s="1">
        <v>1883.88</v>
      </c>
      <c r="AY1353" t="s">
        <v>1881</v>
      </c>
      <c r="AZ1353" t="s">
        <v>1882</v>
      </c>
      <c r="BA1353" t="s">
        <v>121</v>
      </c>
      <c r="BE1353" s="3">
        <v>42235</v>
      </c>
      <c r="BF1353" s="1">
        <v>255000</v>
      </c>
      <c r="BG1353" t="s">
        <v>9205</v>
      </c>
      <c r="BH1353" s="1">
        <v>176.84</v>
      </c>
      <c r="BI1353" s="1">
        <v>261120</v>
      </c>
      <c r="BJ1353" s="3">
        <v>42235</v>
      </c>
      <c r="BK1353" t="s">
        <v>123</v>
      </c>
      <c r="BL1353" t="str">
        <f>"2015.602076"</f>
        <v>2015.602076</v>
      </c>
      <c r="BM1353" t="s">
        <v>1306</v>
      </c>
      <c r="BO1353" t="s">
        <v>9206</v>
      </c>
      <c r="BS1353">
        <v>30</v>
      </c>
      <c r="BW1353" t="str">
        <f>""</f>
        <v/>
      </c>
      <c r="CH1353" t="str">
        <f>""</f>
        <v/>
      </c>
      <c r="CS1353" t="str">
        <f>""</f>
        <v/>
      </c>
    </row>
    <row r="1354" spans="1:97" x14ac:dyDescent="0.25">
      <c r="A1354" t="s">
        <v>1444</v>
      </c>
      <c r="B1354" t="s">
        <v>9207</v>
      </c>
      <c r="C1354" t="s">
        <v>9208</v>
      </c>
      <c r="D1354" t="s">
        <v>9207</v>
      </c>
      <c r="E1354" t="s">
        <v>9209</v>
      </c>
      <c r="F1354" t="s">
        <v>108</v>
      </c>
      <c r="H1354" t="s">
        <v>9210</v>
      </c>
      <c r="I1354" t="s">
        <v>203</v>
      </c>
      <c r="J1354" t="s">
        <v>111</v>
      </c>
      <c r="K1354" t="str">
        <f>"85295"</f>
        <v>85295</v>
      </c>
      <c r="L1354" t="s">
        <v>8747</v>
      </c>
      <c r="M1354" t="s">
        <v>9210</v>
      </c>
      <c r="N1354" t="s">
        <v>203</v>
      </c>
      <c r="O1354" t="s">
        <v>111</v>
      </c>
      <c r="P1354" t="str">
        <f>"85295-4915"</f>
        <v>85295-4915</v>
      </c>
      <c r="Q1354" t="s">
        <v>113</v>
      </c>
      <c r="R1354" t="str">
        <f>"309-20-490"</f>
        <v>309-20-490</v>
      </c>
      <c r="S1354" t="s">
        <v>9211</v>
      </c>
      <c r="U1354">
        <v>2198</v>
      </c>
      <c r="V1354">
        <v>0</v>
      </c>
      <c r="W1354">
        <v>3</v>
      </c>
      <c r="X1354">
        <v>2000</v>
      </c>
      <c r="Z1354">
        <v>1</v>
      </c>
      <c r="AA1354" t="s">
        <v>26</v>
      </c>
      <c r="AB1354">
        <v>0</v>
      </c>
      <c r="AC1354" t="s">
        <v>115</v>
      </c>
      <c r="AD1354">
        <v>3</v>
      </c>
      <c r="AE1354" t="s">
        <v>115</v>
      </c>
      <c r="AF1354">
        <v>0</v>
      </c>
      <c r="AG1354">
        <v>0</v>
      </c>
      <c r="AH1354" t="s">
        <v>116</v>
      </c>
      <c r="AI1354" s="1">
        <v>74353</v>
      </c>
      <c r="AJ1354" s="2">
        <v>0.18</v>
      </c>
      <c r="AK1354" s="1">
        <v>419353</v>
      </c>
      <c r="AL1354" t="s">
        <v>117</v>
      </c>
      <c r="AM1354" t="s">
        <v>171</v>
      </c>
      <c r="AN1354">
        <v>13159</v>
      </c>
      <c r="AO1354">
        <v>0.3</v>
      </c>
      <c r="AP1354">
        <v>1</v>
      </c>
      <c r="AR1354">
        <v>1</v>
      </c>
      <c r="AS1354" s="1">
        <v>30720</v>
      </c>
      <c r="AT1354" s="1">
        <v>6140</v>
      </c>
      <c r="AU1354" s="1">
        <v>24580</v>
      </c>
      <c r="AV1354">
        <v>80.010000000000005</v>
      </c>
      <c r="AX1354" s="1">
        <v>2204.06</v>
      </c>
      <c r="AY1354" t="s">
        <v>9212</v>
      </c>
      <c r="AZ1354" t="s">
        <v>207</v>
      </c>
      <c r="BA1354" t="s">
        <v>208</v>
      </c>
      <c r="BE1354" s="3">
        <v>42535</v>
      </c>
      <c r="BF1354" s="1">
        <v>345000</v>
      </c>
      <c r="BG1354" t="s">
        <v>9213</v>
      </c>
      <c r="BH1354" s="1">
        <v>156.96</v>
      </c>
      <c r="BI1354" s="1">
        <v>345000</v>
      </c>
      <c r="BJ1354" s="3">
        <v>42535</v>
      </c>
      <c r="BK1354" t="s">
        <v>123</v>
      </c>
      <c r="BL1354" t="str">
        <f>"2016.412799"</f>
        <v>2016.412799</v>
      </c>
      <c r="BM1354" t="s">
        <v>955</v>
      </c>
      <c r="BO1354" t="s">
        <v>9214</v>
      </c>
      <c r="BS1354">
        <v>30</v>
      </c>
      <c r="BW1354" t="str">
        <f>""</f>
        <v/>
      </c>
      <c r="CH1354" t="str">
        <f>""</f>
        <v/>
      </c>
      <c r="CS1354" t="str">
        <f>""</f>
        <v/>
      </c>
    </row>
    <row r="1355" spans="1:97" x14ac:dyDescent="0.25">
      <c r="A1355" t="s">
        <v>1009</v>
      </c>
      <c r="B1355" t="s">
        <v>3265</v>
      </c>
      <c r="C1355" t="s">
        <v>970</v>
      </c>
      <c r="D1355" t="s">
        <v>3265</v>
      </c>
      <c r="E1355" t="s">
        <v>9215</v>
      </c>
      <c r="F1355" t="s">
        <v>108</v>
      </c>
      <c r="H1355" t="s">
        <v>9216</v>
      </c>
      <c r="I1355" t="s">
        <v>1936</v>
      </c>
      <c r="J1355" t="s">
        <v>111</v>
      </c>
      <c r="K1355" t="str">
        <f>"85254"</f>
        <v>85254</v>
      </c>
      <c r="L1355" t="s">
        <v>2354</v>
      </c>
      <c r="M1355" t="s">
        <v>9216</v>
      </c>
      <c r="N1355" t="s">
        <v>1936</v>
      </c>
      <c r="O1355" t="s">
        <v>111</v>
      </c>
      <c r="P1355" t="str">
        <f>"85254-5706"</f>
        <v>85254-5706</v>
      </c>
      <c r="Q1355" t="s">
        <v>113</v>
      </c>
      <c r="R1355" t="str">
        <f>"167-41-036"</f>
        <v>167-41-036</v>
      </c>
      <c r="S1355" t="s">
        <v>9217</v>
      </c>
      <c r="T1355" t="s">
        <v>9218</v>
      </c>
      <c r="U1355">
        <v>2712</v>
      </c>
      <c r="V1355">
        <v>0</v>
      </c>
      <c r="W1355">
        <v>3</v>
      </c>
      <c r="X1355">
        <v>1986</v>
      </c>
      <c r="Z1355">
        <v>1</v>
      </c>
      <c r="AA1355" t="s">
        <v>26</v>
      </c>
      <c r="AB1355">
        <v>0</v>
      </c>
      <c r="AC1355" t="s">
        <v>115</v>
      </c>
      <c r="AD1355">
        <v>2</v>
      </c>
      <c r="AE1355" t="s">
        <v>115</v>
      </c>
      <c r="AF1355">
        <v>0</v>
      </c>
      <c r="AG1355">
        <v>0</v>
      </c>
      <c r="AH1355" t="s">
        <v>116</v>
      </c>
      <c r="AI1355" s="1">
        <v>201615</v>
      </c>
      <c r="AJ1355" s="2">
        <v>0.33</v>
      </c>
      <c r="AK1355" s="1">
        <v>610815</v>
      </c>
      <c r="AL1355" t="s">
        <v>117</v>
      </c>
      <c r="AM1355" t="s">
        <v>6114</v>
      </c>
      <c r="AN1355">
        <v>20557</v>
      </c>
      <c r="AO1355">
        <v>0.47</v>
      </c>
      <c r="AP1355">
        <v>1</v>
      </c>
      <c r="AR1355">
        <v>1</v>
      </c>
      <c r="AS1355" s="1">
        <v>46760</v>
      </c>
      <c r="AT1355" s="1">
        <v>9350</v>
      </c>
      <c r="AU1355" s="1">
        <v>37410</v>
      </c>
      <c r="AV1355">
        <v>80</v>
      </c>
      <c r="AX1355" s="1">
        <v>3357.54</v>
      </c>
      <c r="AY1355" t="s">
        <v>8948</v>
      </c>
      <c r="AZ1355" t="s">
        <v>8949</v>
      </c>
      <c r="BA1355" t="s">
        <v>7868</v>
      </c>
      <c r="BE1355" s="3">
        <v>41766</v>
      </c>
      <c r="BF1355" s="1">
        <v>415000</v>
      </c>
      <c r="BG1355" t="s">
        <v>9219</v>
      </c>
      <c r="BH1355" s="1">
        <v>153.02000000000001</v>
      </c>
      <c r="BI1355" s="1">
        <v>409200</v>
      </c>
      <c r="BJ1355" s="3">
        <v>42473</v>
      </c>
      <c r="BK1355" t="s">
        <v>123</v>
      </c>
      <c r="BL1355" t="str">
        <f>"2016.245421"</f>
        <v>2016.245421</v>
      </c>
      <c r="BM1355" t="s">
        <v>124</v>
      </c>
      <c r="BO1355" t="s">
        <v>9220</v>
      </c>
      <c r="BS1355">
        <v>30</v>
      </c>
      <c r="BW1355" t="str">
        <f>""</f>
        <v/>
      </c>
      <c r="CH1355" t="str">
        <f>""</f>
        <v/>
      </c>
      <c r="CS1355" t="str">
        <f>""</f>
        <v/>
      </c>
    </row>
    <row r="1356" spans="1:97" x14ac:dyDescent="0.25">
      <c r="A1356" t="s">
        <v>815</v>
      </c>
      <c r="B1356" t="s">
        <v>9221</v>
      </c>
      <c r="C1356" t="s">
        <v>5560</v>
      </c>
      <c r="D1356" t="s">
        <v>9221</v>
      </c>
      <c r="E1356" t="s">
        <v>9222</v>
      </c>
      <c r="F1356" t="s">
        <v>108</v>
      </c>
      <c r="H1356" t="s">
        <v>9223</v>
      </c>
      <c r="I1356" t="s">
        <v>632</v>
      </c>
      <c r="J1356" t="s">
        <v>111</v>
      </c>
      <c r="K1356" t="str">
        <f>"85388"</f>
        <v>85388</v>
      </c>
      <c r="L1356" t="s">
        <v>5727</v>
      </c>
      <c r="M1356" t="s">
        <v>9223</v>
      </c>
      <c r="N1356" t="s">
        <v>632</v>
      </c>
      <c r="O1356" t="s">
        <v>111</v>
      </c>
      <c r="P1356" t="str">
        <f>"85388-5682"</f>
        <v>85388-5682</v>
      </c>
      <c r="Q1356" t="s">
        <v>113</v>
      </c>
      <c r="R1356" t="str">
        <f>"502-06-351"</f>
        <v>502-06-351</v>
      </c>
      <c r="S1356" t="s">
        <v>5728</v>
      </c>
      <c r="T1356" t="s">
        <v>5167</v>
      </c>
      <c r="U1356">
        <v>3207</v>
      </c>
      <c r="V1356">
        <v>0</v>
      </c>
      <c r="W1356">
        <v>3</v>
      </c>
      <c r="X1356">
        <v>2014</v>
      </c>
      <c r="Z1356">
        <v>2</v>
      </c>
      <c r="AA1356" t="s">
        <v>26</v>
      </c>
      <c r="AB1356">
        <v>0</v>
      </c>
      <c r="AC1356" t="s">
        <v>115</v>
      </c>
      <c r="AD1356">
        <v>3</v>
      </c>
      <c r="AE1356" t="s">
        <v>115</v>
      </c>
      <c r="AF1356">
        <v>0</v>
      </c>
      <c r="AG1356">
        <v>0</v>
      </c>
      <c r="AH1356" t="s">
        <v>116</v>
      </c>
      <c r="AI1356" s="1">
        <v>51062</v>
      </c>
      <c r="AJ1356" s="2">
        <v>0.12</v>
      </c>
      <c r="AK1356" s="1">
        <v>434793</v>
      </c>
      <c r="AL1356" t="s">
        <v>117</v>
      </c>
      <c r="AM1356" t="s">
        <v>118</v>
      </c>
      <c r="AN1356">
        <v>15538</v>
      </c>
      <c r="AO1356">
        <v>0.36</v>
      </c>
      <c r="AR1356">
        <v>1</v>
      </c>
      <c r="AS1356" s="1">
        <v>35000</v>
      </c>
      <c r="AT1356" s="1">
        <v>7000</v>
      </c>
      <c r="AU1356" s="1">
        <v>28000</v>
      </c>
      <c r="AV1356">
        <v>80</v>
      </c>
      <c r="AX1356" s="1">
        <v>2395.86</v>
      </c>
      <c r="AY1356" t="s">
        <v>5168</v>
      </c>
      <c r="AZ1356" t="s">
        <v>5168</v>
      </c>
      <c r="BA1356" t="s">
        <v>5061</v>
      </c>
      <c r="BE1356" s="3">
        <v>42033</v>
      </c>
      <c r="BF1356" s="1">
        <v>337591</v>
      </c>
      <c r="BG1356" t="s">
        <v>3524</v>
      </c>
      <c r="BH1356" s="1">
        <v>105.27</v>
      </c>
      <c r="BI1356" s="1">
        <v>348731</v>
      </c>
      <c r="BJ1356" s="3">
        <v>42033</v>
      </c>
      <c r="BK1356" t="s">
        <v>123</v>
      </c>
      <c r="BL1356" t="str">
        <f>"2015.59646"</f>
        <v>2015.59646</v>
      </c>
      <c r="BM1356" t="s">
        <v>3453</v>
      </c>
      <c r="BO1356" t="s">
        <v>9224</v>
      </c>
      <c r="BS1356">
        <v>30</v>
      </c>
      <c r="BT1356" s="1">
        <v>35000</v>
      </c>
      <c r="BU1356" s="3">
        <v>43054</v>
      </c>
      <c r="BW1356" t="str">
        <f>"2017.847213"</f>
        <v>2017.847213</v>
      </c>
      <c r="BX1356" t="s">
        <v>135</v>
      </c>
      <c r="BZ1356" t="s">
        <v>9224</v>
      </c>
      <c r="CC1356" t="s">
        <v>1633</v>
      </c>
      <c r="CD1356">
        <v>40</v>
      </c>
      <c r="CH1356" t="str">
        <f>""</f>
        <v/>
      </c>
      <c r="CS1356" t="str">
        <f>""</f>
        <v/>
      </c>
    </row>
    <row r="1357" spans="1:97" x14ac:dyDescent="0.25">
      <c r="A1357" t="s">
        <v>894</v>
      </c>
      <c r="B1357" t="s">
        <v>9225</v>
      </c>
      <c r="C1357" t="s">
        <v>6221</v>
      </c>
      <c r="D1357" t="s">
        <v>9225</v>
      </c>
      <c r="E1357" t="s">
        <v>9226</v>
      </c>
      <c r="F1357" t="s">
        <v>108</v>
      </c>
      <c r="H1357" t="s">
        <v>9227</v>
      </c>
      <c r="I1357" t="s">
        <v>632</v>
      </c>
      <c r="J1357" t="s">
        <v>111</v>
      </c>
      <c r="K1357" t="str">
        <f>"85379"</f>
        <v>85379</v>
      </c>
      <c r="L1357" t="s">
        <v>4751</v>
      </c>
      <c r="M1357" t="s">
        <v>9227</v>
      </c>
      <c r="N1357" t="s">
        <v>632</v>
      </c>
      <c r="O1357" t="s">
        <v>111</v>
      </c>
      <c r="P1357" t="str">
        <f>"85379-5151"</f>
        <v>85379-5151</v>
      </c>
      <c r="Q1357" t="s">
        <v>113</v>
      </c>
      <c r="R1357" t="str">
        <f>"501-92-682"</f>
        <v>501-92-682</v>
      </c>
      <c r="S1357" t="s">
        <v>9228</v>
      </c>
      <c r="U1357">
        <v>2958</v>
      </c>
      <c r="V1357">
        <v>0</v>
      </c>
      <c r="W1357">
        <v>4</v>
      </c>
      <c r="X1357">
        <v>2005</v>
      </c>
      <c r="Z1357">
        <v>2</v>
      </c>
      <c r="AB1357">
        <v>0</v>
      </c>
      <c r="AC1357" t="s">
        <v>115</v>
      </c>
      <c r="AD1357">
        <v>3</v>
      </c>
      <c r="AE1357" t="s">
        <v>115</v>
      </c>
      <c r="AF1357">
        <v>0</v>
      </c>
      <c r="AG1357">
        <v>0</v>
      </c>
      <c r="AH1357" t="s">
        <v>116</v>
      </c>
      <c r="AI1357" s="1">
        <v>34088</v>
      </c>
      <c r="AJ1357" s="2">
        <v>0.11</v>
      </c>
      <c r="AK1357" s="1">
        <v>304447</v>
      </c>
      <c r="AL1357" t="s">
        <v>117</v>
      </c>
      <c r="AM1357" t="s">
        <v>118</v>
      </c>
      <c r="AN1357">
        <v>6496</v>
      </c>
      <c r="AO1357">
        <v>0.15</v>
      </c>
      <c r="AR1357">
        <v>1</v>
      </c>
      <c r="AS1357" s="1">
        <v>21270</v>
      </c>
      <c r="AT1357" s="1">
        <v>4250</v>
      </c>
      <c r="AU1357" s="1">
        <v>17020</v>
      </c>
      <c r="AV1357">
        <v>80.02</v>
      </c>
      <c r="AX1357" s="1">
        <v>1574.2</v>
      </c>
      <c r="AY1357" t="s">
        <v>6615</v>
      </c>
      <c r="AZ1357" t="s">
        <v>6615</v>
      </c>
      <c r="BA1357" t="s">
        <v>5061</v>
      </c>
      <c r="BE1357" s="3">
        <v>42338</v>
      </c>
      <c r="BF1357" s="1">
        <v>223000</v>
      </c>
      <c r="BG1357" t="s">
        <v>9229</v>
      </c>
      <c r="BH1357" s="1">
        <v>75.39</v>
      </c>
      <c r="BI1357" s="1">
        <v>230359</v>
      </c>
      <c r="BJ1357" s="3">
        <v>42338</v>
      </c>
      <c r="BK1357" t="s">
        <v>123</v>
      </c>
      <c r="BL1357" t="str">
        <f>"2015.849522"</f>
        <v>2015.849522</v>
      </c>
      <c r="BM1357" t="s">
        <v>475</v>
      </c>
      <c r="BN1357" t="s">
        <v>1282</v>
      </c>
      <c r="BO1357" t="s">
        <v>9230</v>
      </c>
      <c r="BS1357">
        <v>30</v>
      </c>
      <c r="BT1357" s="1">
        <v>40000</v>
      </c>
      <c r="BU1357" s="3">
        <v>43546</v>
      </c>
      <c r="BV1357" t="s">
        <v>134</v>
      </c>
      <c r="BW1357" t="str">
        <f>"2019.199526"</f>
        <v>2019.199526</v>
      </c>
      <c r="BX1357" t="s">
        <v>135</v>
      </c>
      <c r="BY1357" t="s">
        <v>136</v>
      </c>
      <c r="BZ1357" t="s">
        <v>9231</v>
      </c>
      <c r="CA1357" t="s">
        <v>9232</v>
      </c>
      <c r="CC1357" t="s">
        <v>139</v>
      </c>
      <c r="CH1357" t="str">
        <f>""</f>
        <v/>
      </c>
      <c r="CS1357" t="str">
        <f>""</f>
        <v/>
      </c>
    </row>
    <row r="1358" spans="1:97" x14ac:dyDescent="0.25">
      <c r="A1358" t="s">
        <v>1009</v>
      </c>
      <c r="B1358" t="s">
        <v>9233</v>
      </c>
      <c r="C1358" t="s">
        <v>9234</v>
      </c>
      <c r="D1358" t="s">
        <v>9233</v>
      </c>
      <c r="E1358" t="s">
        <v>9235</v>
      </c>
      <c r="F1358" t="s">
        <v>108</v>
      </c>
      <c r="H1358" t="s">
        <v>9236</v>
      </c>
      <c r="I1358" t="s">
        <v>203</v>
      </c>
      <c r="J1358" t="s">
        <v>111</v>
      </c>
      <c r="K1358" t="str">
        <f>"85298"</f>
        <v>85298</v>
      </c>
      <c r="L1358" t="s">
        <v>734</v>
      </c>
      <c r="M1358" t="s">
        <v>9236</v>
      </c>
      <c r="N1358" t="s">
        <v>203</v>
      </c>
      <c r="O1358" t="s">
        <v>111</v>
      </c>
      <c r="P1358" t="str">
        <f>"85298-6847"</f>
        <v>85298-6847</v>
      </c>
      <c r="Q1358" t="s">
        <v>113</v>
      </c>
      <c r="R1358" t="str">
        <f>"304-72-123"</f>
        <v>304-72-123</v>
      </c>
      <c r="S1358" t="s">
        <v>9237</v>
      </c>
      <c r="T1358" t="s">
        <v>9237</v>
      </c>
      <c r="U1358">
        <v>2640</v>
      </c>
      <c r="V1358">
        <v>0</v>
      </c>
      <c r="W1358">
        <v>4</v>
      </c>
      <c r="X1358">
        <v>2003</v>
      </c>
      <c r="Z1358">
        <v>2</v>
      </c>
      <c r="AA1358" t="s">
        <v>26</v>
      </c>
      <c r="AB1358">
        <v>0</v>
      </c>
      <c r="AC1358" t="s">
        <v>115</v>
      </c>
      <c r="AD1358">
        <v>3</v>
      </c>
      <c r="AE1358" t="s">
        <v>115</v>
      </c>
      <c r="AF1358">
        <v>0</v>
      </c>
      <c r="AG1358">
        <v>0</v>
      </c>
      <c r="AH1358" t="s">
        <v>116</v>
      </c>
      <c r="AI1358" s="1">
        <v>50021</v>
      </c>
      <c r="AJ1358" s="2">
        <v>0.12</v>
      </c>
      <c r="AK1358" s="1">
        <v>421901</v>
      </c>
      <c r="AL1358" t="s">
        <v>117</v>
      </c>
      <c r="AM1358" t="s">
        <v>171</v>
      </c>
      <c r="AN1358">
        <v>9375</v>
      </c>
      <c r="AO1358">
        <v>0.22</v>
      </c>
      <c r="AP1358">
        <v>1</v>
      </c>
      <c r="AR1358">
        <v>1</v>
      </c>
      <c r="AS1358" s="1">
        <v>29380</v>
      </c>
      <c r="AT1358" s="1">
        <v>5870</v>
      </c>
      <c r="AU1358" s="1">
        <v>23510</v>
      </c>
      <c r="AV1358">
        <v>80.02</v>
      </c>
      <c r="AX1358" s="1">
        <v>2447.8200000000002</v>
      </c>
      <c r="AY1358" t="s">
        <v>302</v>
      </c>
      <c r="AZ1358" t="s">
        <v>273</v>
      </c>
      <c r="BA1358" t="s">
        <v>303</v>
      </c>
      <c r="BE1358" s="3">
        <v>41834</v>
      </c>
      <c r="BF1358" s="1">
        <v>330000</v>
      </c>
      <c r="BG1358" t="s">
        <v>9238</v>
      </c>
      <c r="BH1358" s="1">
        <v>125</v>
      </c>
      <c r="BI1358" s="1">
        <v>371880</v>
      </c>
      <c r="BJ1358" s="3">
        <v>43306</v>
      </c>
      <c r="BK1358" t="s">
        <v>123</v>
      </c>
      <c r="BL1358" t="str">
        <f>"2018.563152"</f>
        <v>2018.563152</v>
      </c>
      <c r="BM1358" t="s">
        <v>9239</v>
      </c>
      <c r="BN1358" t="s">
        <v>9240</v>
      </c>
      <c r="BO1358" t="s">
        <v>9241</v>
      </c>
      <c r="BP1358" t="s">
        <v>9242</v>
      </c>
      <c r="BR1358" t="s">
        <v>139</v>
      </c>
      <c r="BW1358" t="str">
        <f>""</f>
        <v/>
      </c>
      <c r="CH1358" t="str">
        <f>""</f>
        <v/>
      </c>
      <c r="CS1358" t="str">
        <f>""</f>
        <v/>
      </c>
    </row>
    <row r="1359" spans="1:97" x14ac:dyDescent="0.25">
      <c r="A1359" t="s">
        <v>620</v>
      </c>
      <c r="B1359" t="s">
        <v>5236</v>
      </c>
      <c r="C1359" t="s">
        <v>327</v>
      </c>
      <c r="D1359" t="s">
        <v>9243</v>
      </c>
      <c r="E1359" t="s">
        <v>9244</v>
      </c>
      <c r="F1359" t="s">
        <v>108</v>
      </c>
      <c r="H1359" t="s">
        <v>9245</v>
      </c>
      <c r="I1359" t="s">
        <v>203</v>
      </c>
      <c r="J1359" t="s">
        <v>111</v>
      </c>
      <c r="K1359" t="str">
        <f>"85298"</f>
        <v>85298</v>
      </c>
      <c r="L1359" t="s">
        <v>4326</v>
      </c>
      <c r="M1359" t="s">
        <v>9245</v>
      </c>
      <c r="N1359" t="s">
        <v>203</v>
      </c>
      <c r="O1359" t="s">
        <v>111</v>
      </c>
      <c r="P1359" t="str">
        <f>"85298-8877"</f>
        <v>85298-8877</v>
      </c>
      <c r="Q1359" t="s">
        <v>113</v>
      </c>
      <c r="R1359" t="str">
        <f>"304-78-473"</f>
        <v>304-78-473</v>
      </c>
      <c r="S1359" t="s">
        <v>9246</v>
      </c>
      <c r="T1359" t="s">
        <v>9247</v>
      </c>
      <c r="U1359">
        <v>2834</v>
      </c>
      <c r="V1359">
        <v>0</v>
      </c>
      <c r="W1359">
        <v>5</v>
      </c>
      <c r="X1359">
        <v>2004</v>
      </c>
      <c r="Z1359">
        <v>2</v>
      </c>
      <c r="AB1359">
        <v>0</v>
      </c>
      <c r="AC1359" t="s">
        <v>115</v>
      </c>
      <c r="AD1359">
        <v>2</v>
      </c>
      <c r="AE1359" t="s">
        <v>115</v>
      </c>
      <c r="AF1359">
        <v>0</v>
      </c>
      <c r="AG1359">
        <v>0</v>
      </c>
      <c r="AH1359" t="s">
        <v>116</v>
      </c>
      <c r="AI1359" s="1">
        <v>65423</v>
      </c>
      <c r="AJ1359" s="2">
        <v>0.17</v>
      </c>
      <c r="AK1359" s="1">
        <v>394423</v>
      </c>
      <c r="AL1359" t="s">
        <v>117</v>
      </c>
      <c r="AM1359" t="s">
        <v>171</v>
      </c>
      <c r="AN1359">
        <v>8400</v>
      </c>
      <c r="AO1359">
        <v>0.19</v>
      </c>
      <c r="AP1359">
        <v>1</v>
      </c>
      <c r="AR1359">
        <v>1</v>
      </c>
      <c r="AS1359" s="1">
        <v>27660</v>
      </c>
      <c r="AT1359" s="1">
        <v>5530</v>
      </c>
      <c r="AU1359" s="1">
        <v>22130</v>
      </c>
      <c r="AV1359">
        <v>80.010000000000005</v>
      </c>
      <c r="AX1359" s="1">
        <v>2443.5</v>
      </c>
      <c r="AY1359" t="s">
        <v>1133</v>
      </c>
      <c r="AZ1359" t="s">
        <v>1134</v>
      </c>
      <c r="BA1359" t="s">
        <v>1134</v>
      </c>
      <c r="BE1359" s="3">
        <v>42550</v>
      </c>
      <c r="BF1359" s="1">
        <v>329000</v>
      </c>
      <c r="BG1359" t="s">
        <v>9248</v>
      </c>
      <c r="BH1359" s="1">
        <v>116.09</v>
      </c>
      <c r="BI1359" s="1">
        <v>329000</v>
      </c>
      <c r="BJ1359" s="3">
        <v>42550</v>
      </c>
      <c r="BK1359" t="s">
        <v>123</v>
      </c>
      <c r="BL1359" t="str">
        <f>"2016.455322"</f>
        <v>2016.455322</v>
      </c>
      <c r="BM1359" t="s">
        <v>135</v>
      </c>
      <c r="BO1359" t="s">
        <v>9249</v>
      </c>
      <c r="BS1359">
        <v>30</v>
      </c>
      <c r="BW1359" t="str">
        <f>""</f>
        <v/>
      </c>
      <c r="CH1359" t="str">
        <f>""</f>
        <v/>
      </c>
      <c r="CS1359" t="str">
        <f>""</f>
        <v/>
      </c>
    </row>
    <row r="1360" spans="1:97" x14ac:dyDescent="0.25">
      <c r="A1360" t="s">
        <v>1898</v>
      </c>
      <c r="B1360" t="s">
        <v>1445</v>
      </c>
      <c r="C1360" t="s">
        <v>767</v>
      </c>
      <c r="D1360" t="s">
        <v>1697</v>
      </c>
      <c r="E1360" t="s">
        <v>9250</v>
      </c>
      <c r="F1360" t="s">
        <v>108</v>
      </c>
      <c r="H1360" t="s">
        <v>9251</v>
      </c>
      <c r="I1360" t="s">
        <v>453</v>
      </c>
      <c r="J1360" t="s">
        <v>111</v>
      </c>
      <c r="K1360" t="str">
        <f>"85383"</f>
        <v>85383</v>
      </c>
      <c r="L1360" t="s">
        <v>516</v>
      </c>
      <c r="M1360" t="s">
        <v>9251</v>
      </c>
      <c r="N1360" t="s">
        <v>453</v>
      </c>
      <c r="O1360" t="s">
        <v>111</v>
      </c>
      <c r="P1360" t="str">
        <f>"85383-1430"</f>
        <v>85383-1430</v>
      </c>
      <c r="Q1360" t="s">
        <v>113</v>
      </c>
      <c r="R1360" t="str">
        <f>"201-17-135"</f>
        <v>201-17-135</v>
      </c>
      <c r="S1360" t="s">
        <v>9252</v>
      </c>
      <c r="T1360" t="s">
        <v>9252</v>
      </c>
      <c r="U1360">
        <v>3532</v>
      </c>
      <c r="V1360">
        <v>0</v>
      </c>
      <c r="W1360">
        <v>5</v>
      </c>
      <c r="X1360">
        <v>2016</v>
      </c>
      <c r="Z1360">
        <v>1</v>
      </c>
      <c r="AA1360" t="s">
        <v>26</v>
      </c>
      <c r="AB1360">
        <v>0</v>
      </c>
      <c r="AC1360" t="s">
        <v>115</v>
      </c>
      <c r="AD1360">
        <v>3</v>
      </c>
      <c r="AE1360" t="s">
        <v>115</v>
      </c>
      <c r="AF1360">
        <v>0</v>
      </c>
      <c r="AG1360">
        <v>0</v>
      </c>
      <c r="AH1360" t="s">
        <v>116</v>
      </c>
      <c r="AI1360" s="1">
        <v>27211</v>
      </c>
      <c r="AJ1360" s="2">
        <v>0.05</v>
      </c>
      <c r="AK1360" s="1">
        <v>557584</v>
      </c>
      <c r="AL1360" t="s">
        <v>117</v>
      </c>
      <c r="AM1360" t="s">
        <v>118</v>
      </c>
      <c r="AN1360">
        <v>9600</v>
      </c>
      <c r="AO1360">
        <v>0.22</v>
      </c>
      <c r="AR1360">
        <v>1</v>
      </c>
      <c r="AS1360" s="1">
        <v>43260</v>
      </c>
      <c r="AT1360" s="1">
        <v>8650</v>
      </c>
      <c r="AU1360" s="1">
        <v>34610</v>
      </c>
      <c r="AV1360">
        <v>80</v>
      </c>
      <c r="AX1360" s="1">
        <v>3537.74</v>
      </c>
      <c r="AY1360" t="s">
        <v>4520</v>
      </c>
      <c r="AZ1360" t="s">
        <v>4520</v>
      </c>
      <c r="BA1360" t="s">
        <v>4219</v>
      </c>
      <c r="BE1360" s="3">
        <v>42551</v>
      </c>
      <c r="BF1360" s="1">
        <v>514069</v>
      </c>
      <c r="BG1360" t="s">
        <v>209</v>
      </c>
      <c r="BH1360" s="1">
        <v>145.55000000000001</v>
      </c>
      <c r="BI1360" s="1">
        <v>495690</v>
      </c>
      <c r="BJ1360" s="3">
        <v>42551</v>
      </c>
      <c r="BK1360" t="s">
        <v>123</v>
      </c>
      <c r="BL1360" t="str">
        <f>"2016.462917"</f>
        <v>2016.462917</v>
      </c>
      <c r="BM1360" t="s">
        <v>175</v>
      </c>
      <c r="BO1360" t="s">
        <v>9253</v>
      </c>
      <c r="BP1360" t="s">
        <v>9254</v>
      </c>
      <c r="BS1360">
        <v>30</v>
      </c>
      <c r="BT1360" s="1">
        <v>34683</v>
      </c>
      <c r="BU1360" s="3">
        <v>42794</v>
      </c>
      <c r="BV1360" t="s">
        <v>134</v>
      </c>
      <c r="BW1360" t="str">
        <f>"2017.143439"</f>
        <v>2017.143439</v>
      </c>
      <c r="BX1360" t="s">
        <v>198</v>
      </c>
      <c r="BZ1360" t="s">
        <v>9253</v>
      </c>
      <c r="CA1360" t="s">
        <v>9254</v>
      </c>
      <c r="CD1360">
        <v>10</v>
      </c>
      <c r="CH1360" t="str">
        <f>""</f>
        <v/>
      </c>
      <c r="CS1360" t="str">
        <f>""</f>
        <v/>
      </c>
    </row>
    <row r="1361" spans="1:97" x14ac:dyDescent="0.25">
      <c r="A1361" t="s">
        <v>305</v>
      </c>
      <c r="B1361" t="s">
        <v>9255</v>
      </c>
      <c r="C1361" t="s">
        <v>3707</v>
      </c>
      <c r="D1361" t="s">
        <v>9255</v>
      </c>
      <c r="E1361" t="s">
        <v>9256</v>
      </c>
      <c r="F1361" t="s">
        <v>108</v>
      </c>
      <c r="H1361" t="s">
        <v>9257</v>
      </c>
      <c r="I1361" t="s">
        <v>188</v>
      </c>
      <c r="J1361" t="s">
        <v>111</v>
      </c>
      <c r="K1361" t="str">
        <f>"85142"</f>
        <v>85142</v>
      </c>
      <c r="L1361" t="s">
        <v>3645</v>
      </c>
      <c r="M1361" t="s">
        <v>9257</v>
      </c>
      <c r="N1361" t="s">
        <v>188</v>
      </c>
      <c r="O1361" t="s">
        <v>111</v>
      </c>
      <c r="P1361" t="str">
        <f>"85142-7437"</f>
        <v>85142-7437</v>
      </c>
      <c r="Q1361" t="s">
        <v>113</v>
      </c>
      <c r="R1361" t="str">
        <f>"314-08-659"</f>
        <v>314-08-659</v>
      </c>
      <c r="S1361" t="s">
        <v>9258</v>
      </c>
      <c r="T1361" t="s">
        <v>4400</v>
      </c>
      <c r="U1361">
        <v>3194</v>
      </c>
      <c r="V1361">
        <v>0</v>
      </c>
      <c r="W1361">
        <v>5</v>
      </c>
      <c r="X1361">
        <v>2014</v>
      </c>
      <c r="Z1361">
        <v>1</v>
      </c>
      <c r="AA1361" t="s">
        <v>26</v>
      </c>
      <c r="AB1361">
        <v>0</v>
      </c>
      <c r="AC1361" t="s">
        <v>115</v>
      </c>
      <c r="AD1361">
        <v>3</v>
      </c>
      <c r="AE1361" t="s">
        <v>115</v>
      </c>
      <c r="AF1361">
        <v>0</v>
      </c>
      <c r="AG1361">
        <v>0</v>
      </c>
      <c r="AH1361" t="s">
        <v>116</v>
      </c>
      <c r="AI1361" s="1">
        <v>151049</v>
      </c>
      <c r="AJ1361" s="2">
        <v>0.31</v>
      </c>
      <c r="AK1361" s="1">
        <v>485049</v>
      </c>
      <c r="AL1361" t="s">
        <v>117</v>
      </c>
      <c r="AM1361" t="s">
        <v>917</v>
      </c>
      <c r="AN1361">
        <v>11200</v>
      </c>
      <c r="AO1361">
        <v>0.26</v>
      </c>
      <c r="AR1361">
        <v>1</v>
      </c>
      <c r="AS1361" s="1">
        <v>35020</v>
      </c>
      <c r="AT1361" s="1">
        <v>7000</v>
      </c>
      <c r="AU1361" s="1">
        <v>28020</v>
      </c>
      <c r="AV1361">
        <v>80.010000000000005</v>
      </c>
      <c r="AX1361" s="1">
        <v>3756.54</v>
      </c>
      <c r="AY1361" t="s">
        <v>560</v>
      </c>
      <c r="AZ1361" t="s">
        <v>561</v>
      </c>
      <c r="BA1361" t="s">
        <v>194</v>
      </c>
      <c r="BE1361" s="3">
        <v>42108</v>
      </c>
      <c r="BF1361" s="1">
        <v>391817</v>
      </c>
      <c r="BG1361" t="s">
        <v>749</v>
      </c>
      <c r="BH1361" s="1">
        <v>122.67</v>
      </c>
      <c r="BI1361" s="1">
        <v>299000</v>
      </c>
      <c r="BJ1361" s="3">
        <v>42676</v>
      </c>
      <c r="BK1361" t="s">
        <v>123</v>
      </c>
      <c r="BL1361" t="str">
        <f>"2016.807306"</f>
        <v>2016.807306</v>
      </c>
      <c r="BM1361" t="s">
        <v>1707</v>
      </c>
      <c r="BN1361" t="s">
        <v>1922</v>
      </c>
      <c r="BO1361" t="s">
        <v>9259</v>
      </c>
      <c r="BS1361">
        <v>30</v>
      </c>
      <c r="BT1361" s="1">
        <v>35000</v>
      </c>
      <c r="BU1361" s="3">
        <v>43300</v>
      </c>
      <c r="BV1361" t="s">
        <v>134</v>
      </c>
      <c r="BW1361" t="str">
        <f>"2018.547290"</f>
        <v>2018.547290</v>
      </c>
      <c r="BX1361" t="s">
        <v>5065</v>
      </c>
      <c r="BY1361" t="s">
        <v>5066</v>
      </c>
      <c r="BZ1361" t="s">
        <v>9260</v>
      </c>
      <c r="CA1361" t="s">
        <v>9261</v>
      </c>
      <c r="CC1361" t="s">
        <v>139</v>
      </c>
      <c r="CH1361" t="str">
        <f>""</f>
        <v/>
      </c>
      <c r="CS1361" t="str">
        <f>""</f>
        <v/>
      </c>
    </row>
    <row r="1362" spans="1:97" x14ac:dyDescent="0.25">
      <c r="A1362" t="s">
        <v>5224</v>
      </c>
      <c r="B1362" t="s">
        <v>2499</v>
      </c>
      <c r="E1362" t="s">
        <v>9262</v>
      </c>
      <c r="F1362" t="s">
        <v>108</v>
      </c>
      <c r="H1362" t="s">
        <v>9263</v>
      </c>
      <c r="I1362" t="s">
        <v>203</v>
      </c>
      <c r="J1362" t="s">
        <v>111</v>
      </c>
      <c r="K1362" t="str">
        <f>"85295"</f>
        <v>85295</v>
      </c>
      <c r="L1362" t="s">
        <v>8747</v>
      </c>
      <c r="M1362" t="s">
        <v>9263</v>
      </c>
      <c r="N1362" t="s">
        <v>203</v>
      </c>
      <c r="O1362" t="s">
        <v>111</v>
      </c>
      <c r="P1362" t="str">
        <f>"85295-4920"</f>
        <v>85295-4920</v>
      </c>
      <c r="R1362" t="str">
        <f>"309-20-405"</f>
        <v>309-20-405</v>
      </c>
      <c r="S1362" t="s">
        <v>9211</v>
      </c>
      <c r="U1362">
        <v>2198</v>
      </c>
      <c r="V1362">
        <v>0</v>
      </c>
      <c r="W1362">
        <v>3</v>
      </c>
      <c r="X1362">
        <v>2000</v>
      </c>
      <c r="Z1362">
        <v>1</v>
      </c>
      <c r="AA1362" t="s">
        <v>26</v>
      </c>
      <c r="AB1362">
        <v>0</v>
      </c>
      <c r="AC1362" t="s">
        <v>115</v>
      </c>
      <c r="AD1362">
        <v>3</v>
      </c>
      <c r="AE1362" t="s">
        <v>115</v>
      </c>
      <c r="AF1362">
        <v>0</v>
      </c>
      <c r="AG1362">
        <v>0</v>
      </c>
      <c r="AH1362" t="s">
        <v>116</v>
      </c>
      <c r="AI1362" s="1">
        <v>53687</v>
      </c>
      <c r="AJ1362" s="2">
        <v>0.14000000000000001</v>
      </c>
      <c r="AK1362" s="1">
        <v>391225</v>
      </c>
      <c r="AL1362" t="s">
        <v>117</v>
      </c>
      <c r="AM1362" t="s">
        <v>171</v>
      </c>
      <c r="AN1362">
        <v>9562</v>
      </c>
      <c r="AO1362">
        <v>0.22</v>
      </c>
      <c r="AP1362">
        <v>1</v>
      </c>
      <c r="AR1362">
        <v>1</v>
      </c>
      <c r="AS1362" s="1">
        <v>29160</v>
      </c>
      <c r="AT1362" s="1">
        <v>5830</v>
      </c>
      <c r="AU1362" s="1">
        <v>23330</v>
      </c>
      <c r="AV1362">
        <v>80.010000000000005</v>
      </c>
      <c r="AX1362" s="1">
        <v>2087.48</v>
      </c>
      <c r="AY1362" t="s">
        <v>9212</v>
      </c>
      <c r="AZ1362" t="s">
        <v>207</v>
      </c>
      <c r="BA1362" t="s">
        <v>208</v>
      </c>
      <c r="BE1362" s="3">
        <v>42097</v>
      </c>
      <c r="BF1362" s="1">
        <v>305400</v>
      </c>
      <c r="BG1362" t="s">
        <v>9264</v>
      </c>
      <c r="BH1362" s="1">
        <v>138.94</v>
      </c>
      <c r="BI1362" s="1">
        <v>287538</v>
      </c>
      <c r="BJ1362" s="3">
        <v>42516</v>
      </c>
      <c r="BK1362" t="s">
        <v>123</v>
      </c>
      <c r="BL1362" t="str">
        <f>"2016.363673"</f>
        <v>2016.363673</v>
      </c>
      <c r="BM1362" t="s">
        <v>1695</v>
      </c>
      <c r="BN1362" t="s">
        <v>9191</v>
      </c>
      <c r="BO1362" t="s">
        <v>9265</v>
      </c>
      <c r="BS1362">
        <v>30</v>
      </c>
      <c r="BT1362" s="1">
        <v>50000</v>
      </c>
      <c r="BU1362" s="3">
        <v>43726</v>
      </c>
      <c r="BV1362" t="s">
        <v>134</v>
      </c>
      <c r="BW1362" t="str">
        <f>"2019.735010"</f>
        <v>2019.735010</v>
      </c>
      <c r="BX1362" t="s">
        <v>1214</v>
      </c>
      <c r="BY1362" t="s">
        <v>1215</v>
      </c>
      <c r="BZ1362" t="s">
        <v>9266</v>
      </c>
      <c r="CC1362" t="s">
        <v>139</v>
      </c>
      <c r="CH1362" t="str">
        <f>""</f>
        <v/>
      </c>
      <c r="CS1362" t="str">
        <f>""</f>
        <v/>
      </c>
    </row>
    <row r="1363" spans="1:97" x14ac:dyDescent="0.25">
      <c r="A1363" t="s">
        <v>305</v>
      </c>
      <c r="B1363" t="s">
        <v>9267</v>
      </c>
      <c r="E1363" t="s">
        <v>9268</v>
      </c>
      <c r="F1363" t="s">
        <v>108</v>
      </c>
      <c r="H1363" t="s">
        <v>9269</v>
      </c>
      <c r="I1363" t="s">
        <v>203</v>
      </c>
      <c r="J1363" t="s">
        <v>111</v>
      </c>
      <c r="K1363" t="str">
        <f>"85298"</f>
        <v>85298</v>
      </c>
      <c r="L1363" t="s">
        <v>3318</v>
      </c>
      <c r="M1363" t="s">
        <v>9269</v>
      </c>
      <c r="N1363" t="s">
        <v>203</v>
      </c>
      <c r="O1363" t="s">
        <v>111</v>
      </c>
      <c r="P1363" t="str">
        <f>"85298"</f>
        <v>85298</v>
      </c>
      <c r="R1363" t="str">
        <f>"304-80-078"</f>
        <v>304-80-078</v>
      </c>
      <c r="S1363" t="s">
        <v>9270</v>
      </c>
      <c r="T1363" t="s">
        <v>9270</v>
      </c>
      <c r="U1363">
        <v>2617</v>
      </c>
      <c r="V1363">
        <v>0</v>
      </c>
      <c r="W1363">
        <v>4</v>
      </c>
      <c r="X1363">
        <v>2011</v>
      </c>
      <c r="Z1363">
        <v>2</v>
      </c>
      <c r="AB1363">
        <v>0</v>
      </c>
      <c r="AC1363" t="s">
        <v>115</v>
      </c>
      <c r="AD1363">
        <v>3</v>
      </c>
      <c r="AE1363" t="s">
        <v>115</v>
      </c>
      <c r="AF1363">
        <v>0</v>
      </c>
      <c r="AG1363">
        <v>0</v>
      </c>
      <c r="AH1363" t="s">
        <v>116</v>
      </c>
      <c r="AI1363" s="1">
        <v>47193</v>
      </c>
      <c r="AJ1363" s="2">
        <v>0.13</v>
      </c>
      <c r="AK1363" s="1">
        <v>372814</v>
      </c>
      <c r="AL1363" t="s">
        <v>117</v>
      </c>
      <c r="AM1363" t="s">
        <v>191</v>
      </c>
      <c r="AN1363">
        <v>6325</v>
      </c>
      <c r="AO1363">
        <v>0.14000000000000001</v>
      </c>
      <c r="AR1363">
        <v>1</v>
      </c>
      <c r="AS1363" s="1">
        <v>25860</v>
      </c>
      <c r="AT1363" s="1">
        <v>5170</v>
      </c>
      <c r="AU1363" s="1">
        <v>20690</v>
      </c>
      <c r="AV1363">
        <v>80.010000000000005</v>
      </c>
      <c r="AX1363" s="1">
        <v>2293.96</v>
      </c>
      <c r="AY1363" t="s">
        <v>3699</v>
      </c>
      <c r="AZ1363" t="s">
        <v>273</v>
      </c>
      <c r="BA1363" t="s">
        <v>274</v>
      </c>
      <c r="BE1363" s="3">
        <v>42233</v>
      </c>
      <c r="BF1363" s="1">
        <v>299000</v>
      </c>
      <c r="BG1363" t="s">
        <v>9271</v>
      </c>
      <c r="BH1363" s="1">
        <v>114.25</v>
      </c>
      <c r="BI1363" s="1">
        <v>275621</v>
      </c>
      <c r="BJ1363" s="3">
        <v>42580</v>
      </c>
      <c r="BK1363" t="s">
        <v>123</v>
      </c>
      <c r="BL1363" t="str">
        <f>"2016.538785"</f>
        <v>2016.538785</v>
      </c>
      <c r="BM1363" t="s">
        <v>425</v>
      </c>
      <c r="BN1363" t="s">
        <v>426</v>
      </c>
      <c r="BO1363" t="s">
        <v>9272</v>
      </c>
      <c r="BS1363">
        <v>30</v>
      </c>
      <c r="BT1363" s="1">
        <v>50000</v>
      </c>
      <c r="BU1363" s="3">
        <v>43777</v>
      </c>
      <c r="BV1363" t="s">
        <v>134</v>
      </c>
      <c r="BW1363" t="str">
        <f>"2019.899888"</f>
        <v>2019.899888</v>
      </c>
      <c r="BX1363" t="s">
        <v>6152</v>
      </c>
      <c r="BY1363" t="s">
        <v>6153</v>
      </c>
      <c r="BZ1363" t="s">
        <v>9273</v>
      </c>
      <c r="CC1363" t="s">
        <v>139</v>
      </c>
      <c r="CH1363" t="str">
        <f>""</f>
        <v/>
      </c>
      <c r="CS1363" t="str">
        <f>""</f>
        <v/>
      </c>
    </row>
    <row r="1364" spans="1:97" x14ac:dyDescent="0.25">
      <c r="A1364" t="s">
        <v>610</v>
      </c>
      <c r="B1364" t="s">
        <v>9274</v>
      </c>
      <c r="C1364" t="s">
        <v>9275</v>
      </c>
      <c r="D1364" t="s">
        <v>9274</v>
      </c>
      <c r="E1364" t="s">
        <v>9276</v>
      </c>
      <c r="F1364" t="s">
        <v>108</v>
      </c>
      <c r="H1364" t="s">
        <v>9277</v>
      </c>
      <c r="I1364" t="s">
        <v>632</v>
      </c>
      <c r="J1364" t="s">
        <v>111</v>
      </c>
      <c r="K1364" t="str">
        <f>"85388"</f>
        <v>85388</v>
      </c>
      <c r="L1364" t="s">
        <v>4159</v>
      </c>
      <c r="M1364" t="s">
        <v>9277</v>
      </c>
      <c r="N1364" t="s">
        <v>632</v>
      </c>
      <c r="O1364" t="s">
        <v>111</v>
      </c>
      <c r="P1364" t="str">
        <f>"85388-1710"</f>
        <v>85388-1710</v>
      </c>
      <c r="Q1364" t="s">
        <v>113</v>
      </c>
      <c r="R1364" t="str">
        <f>"502-84-788"</f>
        <v>502-84-788</v>
      </c>
      <c r="S1364" t="s">
        <v>9278</v>
      </c>
      <c r="T1364" t="s">
        <v>9279</v>
      </c>
      <c r="U1364">
        <v>2800</v>
      </c>
      <c r="V1364">
        <v>0</v>
      </c>
      <c r="W1364">
        <v>4</v>
      </c>
      <c r="X1364">
        <v>2006</v>
      </c>
      <c r="Z1364">
        <v>2</v>
      </c>
      <c r="AA1364" t="s">
        <v>26</v>
      </c>
      <c r="AB1364">
        <v>0</v>
      </c>
      <c r="AC1364" t="s">
        <v>115</v>
      </c>
      <c r="AD1364">
        <v>2</v>
      </c>
      <c r="AE1364" t="s">
        <v>115</v>
      </c>
      <c r="AF1364">
        <v>0</v>
      </c>
      <c r="AG1364">
        <v>0</v>
      </c>
      <c r="AH1364" t="s">
        <v>116</v>
      </c>
      <c r="AI1364" s="1">
        <v>88098</v>
      </c>
      <c r="AJ1364" s="2">
        <v>0.25</v>
      </c>
      <c r="AK1364" s="1">
        <v>345840</v>
      </c>
      <c r="AL1364" t="s">
        <v>117</v>
      </c>
      <c r="AM1364" t="s">
        <v>118</v>
      </c>
      <c r="AN1364">
        <v>8180</v>
      </c>
      <c r="AO1364">
        <v>0.19</v>
      </c>
      <c r="AR1364">
        <v>1</v>
      </c>
      <c r="AS1364" s="1">
        <v>23060</v>
      </c>
      <c r="AT1364" s="1">
        <v>4610</v>
      </c>
      <c r="AU1364" s="1">
        <v>18450</v>
      </c>
      <c r="AV1364">
        <v>80.010000000000005</v>
      </c>
      <c r="AX1364" s="1">
        <v>2021.94</v>
      </c>
      <c r="AY1364" t="s">
        <v>5168</v>
      </c>
      <c r="AZ1364" t="s">
        <v>5168</v>
      </c>
      <c r="BA1364" t="s">
        <v>5109</v>
      </c>
      <c r="BE1364" s="3">
        <v>41782</v>
      </c>
      <c r="BF1364" s="1">
        <v>250000</v>
      </c>
      <c r="BG1364" t="s">
        <v>9280</v>
      </c>
      <c r="BH1364" s="1">
        <v>89.29</v>
      </c>
      <c r="BI1364" s="1">
        <v>257742</v>
      </c>
      <c r="BJ1364" s="3">
        <v>42019</v>
      </c>
      <c r="BK1364" t="s">
        <v>123</v>
      </c>
      <c r="BL1364" t="str">
        <f>"2015.27900"</f>
        <v>2015.27900</v>
      </c>
      <c r="BM1364" t="s">
        <v>9281</v>
      </c>
      <c r="BO1364" t="s">
        <v>9282</v>
      </c>
      <c r="BS1364">
        <v>30</v>
      </c>
      <c r="BW1364" t="str">
        <f>""</f>
        <v/>
      </c>
      <c r="CH1364" t="str">
        <f>""</f>
        <v/>
      </c>
      <c r="CS1364" t="str">
        <f>""</f>
        <v/>
      </c>
    </row>
    <row r="1365" spans="1:97" x14ac:dyDescent="0.25">
      <c r="A1365" t="s">
        <v>1444</v>
      </c>
      <c r="B1365" t="s">
        <v>9283</v>
      </c>
      <c r="C1365" t="s">
        <v>9284</v>
      </c>
      <c r="D1365" t="s">
        <v>9283</v>
      </c>
      <c r="E1365" t="s">
        <v>9285</v>
      </c>
      <c r="F1365" t="s">
        <v>108</v>
      </c>
      <c r="H1365" t="s">
        <v>9286</v>
      </c>
      <c r="I1365" t="s">
        <v>632</v>
      </c>
      <c r="J1365" t="s">
        <v>111</v>
      </c>
      <c r="K1365" t="str">
        <f>"85388"</f>
        <v>85388</v>
      </c>
      <c r="L1365" t="s">
        <v>4467</v>
      </c>
      <c r="M1365" t="s">
        <v>9286</v>
      </c>
      <c r="N1365" t="s">
        <v>632</v>
      </c>
      <c r="O1365" t="s">
        <v>111</v>
      </c>
      <c r="P1365" t="str">
        <f>"85388-7677"</f>
        <v>85388-7677</v>
      </c>
      <c r="Q1365" t="s">
        <v>113</v>
      </c>
      <c r="R1365" t="str">
        <f>"502-03-370"</f>
        <v>502-03-370</v>
      </c>
      <c r="S1365" t="s">
        <v>7875</v>
      </c>
      <c r="T1365" t="s">
        <v>7876</v>
      </c>
      <c r="U1365">
        <v>3075</v>
      </c>
      <c r="V1365">
        <v>0</v>
      </c>
      <c r="W1365">
        <v>4</v>
      </c>
      <c r="X1365">
        <v>2006</v>
      </c>
      <c r="Z1365">
        <v>1</v>
      </c>
      <c r="AA1365" t="s">
        <v>26</v>
      </c>
      <c r="AB1365">
        <v>0</v>
      </c>
      <c r="AC1365" t="s">
        <v>115</v>
      </c>
      <c r="AD1365">
        <v>3</v>
      </c>
      <c r="AE1365" t="s">
        <v>115</v>
      </c>
      <c r="AF1365">
        <v>0</v>
      </c>
      <c r="AG1365">
        <v>0</v>
      </c>
      <c r="AH1365" t="s">
        <v>116</v>
      </c>
      <c r="AI1365" s="1">
        <v>47884</v>
      </c>
      <c r="AJ1365" s="2">
        <v>0.13</v>
      </c>
      <c r="AK1365" s="1">
        <v>362884</v>
      </c>
      <c r="AL1365" t="s">
        <v>117</v>
      </c>
      <c r="AM1365" t="s">
        <v>118</v>
      </c>
      <c r="AN1365">
        <v>11050</v>
      </c>
      <c r="AO1365">
        <v>0.25</v>
      </c>
      <c r="AR1365">
        <v>1</v>
      </c>
      <c r="AS1365" s="1">
        <v>29580</v>
      </c>
      <c r="AT1365" s="1">
        <v>5910</v>
      </c>
      <c r="AU1365" s="1">
        <v>23670</v>
      </c>
      <c r="AV1365">
        <v>80.02</v>
      </c>
      <c r="AX1365" s="1">
        <v>2395.44</v>
      </c>
      <c r="AY1365" t="s">
        <v>6262</v>
      </c>
      <c r="AZ1365" t="s">
        <v>6262</v>
      </c>
      <c r="BA1365" t="s">
        <v>5061</v>
      </c>
      <c r="BE1365" s="3">
        <v>42468</v>
      </c>
      <c r="BF1365" s="1">
        <v>300000</v>
      </c>
      <c r="BG1365" t="s">
        <v>9287</v>
      </c>
      <c r="BH1365" s="1">
        <v>97.56</v>
      </c>
      <c r="BI1365" s="1">
        <v>315000</v>
      </c>
      <c r="BJ1365" s="3">
        <v>43088</v>
      </c>
      <c r="BK1365" t="s">
        <v>123</v>
      </c>
      <c r="BL1365" t="str">
        <f>"2017.937639"</f>
        <v>2017.937639</v>
      </c>
      <c r="BM1365" t="s">
        <v>4094</v>
      </c>
      <c r="BO1365" t="s">
        <v>9288</v>
      </c>
      <c r="BS1365">
        <v>31</v>
      </c>
      <c r="BW1365" t="str">
        <f>""</f>
        <v/>
      </c>
      <c r="CH1365" t="str">
        <f>""</f>
        <v/>
      </c>
      <c r="CS1365" t="str">
        <f>""</f>
        <v/>
      </c>
    </row>
    <row r="1366" spans="1:97" x14ac:dyDescent="0.25">
      <c r="A1366" t="s">
        <v>894</v>
      </c>
      <c r="B1366" t="s">
        <v>9289</v>
      </c>
      <c r="C1366" t="s">
        <v>9290</v>
      </c>
      <c r="D1366" t="s">
        <v>9289</v>
      </c>
      <c r="E1366" t="s">
        <v>9291</v>
      </c>
      <c r="F1366" t="s">
        <v>108</v>
      </c>
      <c r="H1366" t="s">
        <v>9292</v>
      </c>
      <c r="I1366" t="s">
        <v>453</v>
      </c>
      <c r="J1366" t="s">
        <v>111</v>
      </c>
      <c r="K1366" t="str">
        <f>"85382"</f>
        <v>85382</v>
      </c>
      <c r="L1366" t="s">
        <v>9293</v>
      </c>
      <c r="M1366" t="s">
        <v>9292</v>
      </c>
      <c r="N1366" t="s">
        <v>453</v>
      </c>
      <c r="O1366" t="s">
        <v>111</v>
      </c>
      <c r="P1366" t="str">
        <f>"85382-3753"</f>
        <v>85382-3753</v>
      </c>
      <c r="R1366" t="str">
        <f>"200-54-381"</f>
        <v>200-54-381</v>
      </c>
      <c r="S1366" t="s">
        <v>9294</v>
      </c>
      <c r="T1366" t="s">
        <v>5572</v>
      </c>
      <c r="U1366">
        <v>2297</v>
      </c>
      <c r="V1366">
        <v>0</v>
      </c>
      <c r="W1366">
        <v>3</v>
      </c>
      <c r="X1366">
        <v>1994</v>
      </c>
      <c r="Z1366">
        <v>1</v>
      </c>
      <c r="AB1366">
        <v>0</v>
      </c>
      <c r="AC1366" t="s">
        <v>115</v>
      </c>
      <c r="AD1366">
        <v>3</v>
      </c>
      <c r="AE1366" t="s">
        <v>115</v>
      </c>
      <c r="AF1366">
        <v>0</v>
      </c>
      <c r="AG1366">
        <v>0</v>
      </c>
      <c r="AH1366" t="s">
        <v>116</v>
      </c>
      <c r="AI1366" s="1">
        <v>25276</v>
      </c>
      <c r="AJ1366" s="2">
        <v>0.08</v>
      </c>
      <c r="AK1366" s="1">
        <v>333336</v>
      </c>
      <c r="AL1366" t="s">
        <v>117</v>
      </c>
      <c r="AM1366" t="s">
        <v>3345</v>
      </c>
      <c r="AN1366">
        <v>7033</v>
      </c>
      <c r="AO1366">
        <v>0.16</v>
      </c>
      <c r="AP1366">
        <v>1</v>
      </c>
      <c r="AR1366">
        <v>1</v>
      </c>
      <c r="AS1366" s="1">
        <v>23800</v>
      </c>
      <c r="AT1366" s="1">
        <v>4760</v>
      </c>
      <c r="AU1366" s="1">
        <v>19040</v>
      </c>
      <c r="AV1366">
        <v>80</v>
      </c>
      <c r="AX1366" s="1">
        <v>2045.6</v>
      </c>
      <c r="AY1366" t="s">
        <v>5573</v>
      </c>
      <c r="AZ1366" t="s">
        <v>5573</v>
      </c>
      <c r="BA1366" t="s">
        <v>1800</v>
      </c>
      <c r="BE1366" s="3">
        <v>41694</v>
      </c>
      <c r="BF1366" s="1">
        <v>250000</v>
      </c>
      <c r="BG1366" t="s">
        <v>9295</v>
      </c>
      <c r="BH1366" s="1">
        <v>108.84</v>
      </c>
      <c r="BI1366" s="1">
        <v>308060</v>
      </c>
      <c r="BJ1366" s="3">
        <v>43641</v>
      </c>
      <c r="BK1366" t="s">
        <v>123</v>
      </c>
      <c r="BL1366" t="str">
        <f>"2019.477833"</f>
        <v>2019.477833</v>
      </c>
      <c r="BM1366" t="s">
        <v>4672</v>
      </c>
      <c r="BN1366" t="s">
        <v>1922</v>
      </c>
      <c r="BO1366" t="s">
        <v>9296</v>
      </c>
      <c r="BP1366" t="s">
        <v>9297</v>
      </c>
      <c r="BR1366" t="s">
        <v>139</v>
      </c>
      <c r="BW1366" t="str">
        <f>""</f>
        <v/>
      </c>
      <c r="CH1366" t="str">
        <f>""</f>
        <v/>
      </c>
      <c r="CS1366" t="str">
        <f>""</f>
        <v/>
      </c>
    </row>
    <row r="1367" spans="1:97" x14ac:dyDescent="0.25">
      <c r="B1367" t="s">
        <v>9298</v>
      </c>
      <c r="E1367" t="s">
        <v>9299</v>
      </c>
      <c r="F1367" t="s">
        <v>108</v>
      </c>
      <c r="H1367" t="s">
        <v>9300</v>
      </c>
      <c r="I1367" t="s">
        <v>2874</v>
      </c>
      <c r="J1367" t="s">
        <v>111</v>
      </c>
      <c r="K1367" t="str">
        <f>"85306"</f>
        <v>85306</v>
      </c>
      <c r="L1367" t="s">
        <v>8199</v>
      </c>
      <c r="M1367" t="s">
        <v>9300</v>
      </c>
      <c r="N1367" t="s">
        <v>2874</v>
      </c>
      <c r="O1367" t="s">
        <v>111</v>
      </c>
      <c r="P1367" t="str">
        <f>"85306-4020"</f>
        <v>85306-4020</v>
      </c>
      <c r="Q1367" t="s">
        <v>113</v>
      </c>
      <c r="R1367" t="str">
        <f>"200-70-113"</f>
        <v>200-70-113</v>
      </c>
      <c r="S1367" t="s">
        <v>9301</v>
      </c>
      <c r="T1367" t="s">
        <v>9302</v>
      </c>
      <c r="U1367">
        <v>2623</v>
      </c>
      <c r="V1367">
        <v>0</v>
      </c>
      <c r="W1367">
        <v>4</v>
      </c>
      <c r="X1367">
        <v>1988</v>
      </c>
      <c r="Z1367">
        <v>2</v>
      </c>
      <c r="AA1367" t="s">
        <v>26</v>
      </c>
      <c r="AB1367">
        <v>0</v>
      </c>
      <c r="AC1367" t="s">
        <v>115</v>
      </c>
      <c r="AD1367">
        <v>3</v>
      </c>
      <c r="AE1367" t="s">
        <v>115</v>
      </c>
      <c r="AF1367">
        <v>0</v>
      </c>
      <c r="AG1367">
        <v>0</v>
      </c>
      <c r="AH1367" t="s">
        <v>116</v>
      </c>
      <c r="AI1367" s="1">
        <v>26138</v>
      </c>
      <c r="AJ1367" s="2">
        <v>7.0000000000000007E-2</v>
      </c>
      <c r="AK1367" s="1">
        <v>369094</v>
      </c>
      <c r="AL1367" t="s">
        <v>117</v>
      </c>
      <c r="AM1367" t="s">
        <v>1302</v>
      </c>
      <c r="AN1367">
        <v>10014</v>
      </c>
      <c r="AO1367">
        <v>0.23</v>
      </c>
      <c r="AP1367">
        <v>1</v>
      </c>
      <c r="AR1367">
        <v>1</v>
      </c>
      <c r="AS1367" s="1">
        <v>27420</v>
      </c>
      <c r="AT1367" s="1">
        <v>5480</v>
      </c>
      <c r="AU1367" s="1">
        <v>21940</v>
      </c>
      <c r="AV1367">
        <v>80.010000000000005</v>
      </c>
      <c r="AX1367" s="1">
        <v>2593.7199999999998</v>
      </c>
      <c r="AY1367" t="s">
        <v>8450</v>
      </c>
      <c r="AZ1367" t="s">
        <v>8450</v>
      </c>
      <c r="BA1367" t="s">
        <v>3360</v>
      </c>
      <c r="BB1367" s="3">
        <v>42788</v>
      </c>
      <c r="BD1367" t="s">
        <v>240</v>
      </c>
      <c r="BE1367" s="3">
        <v>42236</v>
      </c>
      <c r="BF1367" s="1">
        <v>332000</v>
      </c>
      <c r="BG1367" t="s">
        <v>9303</v>
      </c>
      <c r="BH1367" s="1">
        <v>126.57</v>
      </c>
      <c r="BI1367" s="1">
        <v>342956</v>
      </c>
      <c r="BJ1367" s="3">
        <v>42236</v>
      </c>
      <c r="BK1367" t="s">
        <v>123</v>
      </c>
      <c r="BL1367" t="str">
        <f>"2015.605142"</f>
        <v>2015.605142</v>
      </c>
      <c r="BM1367" t="s">
        <v>1306</v>
      </c>
      <c r="BO1367" t="s">
        <v>9304</v>
      </c>
      <c r="BS1367">
        <v>30</v>
      </c>
      <c r="BW1367" t="str">
        <f>""</f>
        <v/>
      </c>
      <c r="CH1367" t="str">
        <f>""</f>
        <v/>
      </c>
      <c r="CS1367" t="str">
        <f>""</f>
        <v/>
      </c>
    </row>
    <row r="1368" spans="1:97" x14ac:dyDescent="0.25">
      <c r="A1368" t="s">
        <v>1666</v>
      </c>
      <c r="B1368" t="s">
        <v>9305</v>
      </c>
      <c r="C1368" t="s">
        <v>3580</v>
      </c>
      <c r="D1368" t="s">
        <v>9305</v>
      </c>
      <c r="E1368" t="s">
        <v>9306</v>
      </c>
      <c r="F1368" t="s">
        <v>108</v>
      </c>
      <c r="H1368" t="s">
        <v>9307</v>
      </c>
      <c r="I1368" t="s">
        <v>390</v>
      </c>
      <c r="J1368" t="s">
        <v>111</v>
      </c>
      <c r="K1368" t="str">
        <f>"85083"</f>
        <v>85083</v>
      </c>
      <c r="L1368" t="s">
        <v>5743</v>
      </c>
      <c r="M1368" t="s">
        <v>9307</v>
      </c>
      <c r="N1368" t="s">
        <v>390</v>
      </c>
      <c r="O1368" t="s">
        <v>111</v>
      </c>
      <c r="P1368" t="str">
        <f>"85083-1866"</f>
        <v>85083-1866</v>
      </c>
      <c r="Q1368" t="s">
        <v>113</v>
      </c>
      <c r="R1368" t="str">
        <f>"201-38-750"</f>
        <v>201-38-750</v>
      </c>
      <c r="S1368" t="s">
        <v>7771</v>
      </c>
      <c r="U1368">
        <v>1816</v>
      </c>
      <c r="V1368">
        <v>0</v>
      </c>
      <c r="W1368">
        <v>3</v>
      </c>
      <c r="X1368">
        <v>2006</v>
      </c>
      <c r="Z1368">
        <v>1</v>
      </c>
      <c r="AB1368">
        <v>0</v>
      </c>
      <c r="AC1368" t="s">
        <v>115</v>
      </c>
      <c r="AD1368">
        <v>2</v>
      </c>
      <c r="AE1368" t="s">
        <v>115</v>
      </c>
      <c r="AF1368">
        <v>0</v>
      </c>
      <c r="AG1368">
        <v>0</v>
      </c>
      <c r="AH1368" t="s">
        <v>116</v>
      </c>
      <c r="AI1368" s="1">
        <v>56922</v>
      </c>
      <c r="AJ1368" s="2">
        <v>0.17</v>
      </c>
      <c r="AK1368" s="1">
        <v>339420</v>
      </c>
      <c r="AL1368" t="s">
        <v>117</v>
      </c>
      <c r="AM1368" t="s">
        <v>191</v>
      </c>
      <c r="AN1368">
        <v>6240</v>
      </c>
      <c r="AO1368">
        <v>0.14000000000000001</v>
      </c>
      <c r="AR1368">
        <v>1</v>
      </c>
      <c r="AS1368" s="1">
        <v>23530</v>
      </c>
      <c r="AT1368" s="1">
        <v>4700</v>
      </c>
      <c r="AU1368" s="1">
        <v>18830</v>
      </c>
      <c r="AV1368">
        <v>80.03</v>
      </c>
      <c r="AX1368" s="1">
        <v>2140.42</v>
      </c>
      <c r="AY1368" t="s">
        <v>5125</v>
      </c>
      <c r="AZ1368" t="s">
        <v>3049</v>
      </c>
      <c r="BA1368" t="s">
        <v>1386</v>
      </c>
      <c r="BB1368" s="3">
        <v>42795</v>
      </c>
      <c r="BD1368" t="s">
        <v>458</v>
      </c>
      <c r="BE1368" s="3">
        <v>42384</v>
      </c>
      <c r="BF1368" s="1">
        <v>279000</v>
      </c>
      <c r="BG1368" t="s">
        <v>9308</v>
      </c>
      <c r="BH1368" s="1">
        <v>153.63</v>
      </c>
      <c r="BI1368" s="1">
        <v>282498</v>
      </c>
      <c r="BJ1368" s="3">
        <v>42384</v>
      </c>
      <c r="BK1368" t="s">
        <v>123</v>
      </c>
      <c r="BL1368" t="str">
        <f>"2016.29997"</f>
        <v>2016.29997</v>
      </c>
      <c r="BM1368" t="s">
        <v>1038</v>
      </c>
      <c r="BO1368" t="s">
        <v>9309</v>
      </c>
      <c r="BS1368">
        <v>30</v>
      </c>
      <c r="BW1368" t="str">
        <f>""</f>
        <v/>
      </c>
      <c r="CH1368" t="str">
        <f>""</f>
        <v/>
      </c>
      <c r="CS1368" t="str">
        <f>""</f>
        <v/>
      </c>
    </row>
    <row r="1369" spans="1:97" x14ac:dyDescent="0.25">
      <c r="A1369" t="s">
        <v>140</v>
      </c>
      <c r="B1369" t="s">
        <v>9310</v>
      </c>
      <c r="E1369" t="s">
        <v>9311</v>
      </c>
      <c r="F1369" t="s">
        <v>108</v>
      </c>
      <c r="H1369" t="s">
        <v>9312</v>
      </c>
      <c r="I1369" t="s">
        <v>203</v>
      </c>
      <c r="J1369" t="s">
        <v>111</v>
      </c>
      <c r="K1369" t="str">
        <f>"85297"</f>
        <v>85297</v>
      </c>
      <c r="L1369" t="s">
        <v>5021</v>
      </c>
      <c r="M1369" t="s">
        <v>9312</v>
      </c>
      <c r="N1369" t="s">
        <v>203</v>
      </c>
      <c r="O1369" t="s">
        <v>111</v>
      </c>
      <c r="P1369" t="str">
        <f>"85297-1950"</f>
        <v>85297-1950</v>
      </c>
      <c r="Q1369" t="s">
        <v>113</v>
      </c>
      <c r="R1369" t="str">
        <f>"304-58-291"</f>
        <v>304-58-291</v>
      </c>
      <c r="S1369" t="s">
        <v>9313</v>
      </c>
      <c r="T1369" t="s">
        <v>9314</v>
      </c>
      <c r="U1369">
        <v>1798</v>
      </c>
      <c r="V1369">
        <v>0</v>
      </c>
      <c r="W1369">
        <v>3</v>
      </c>
      <c r="X1369">
        <v>2013</v>
      </c>
      <c r="Z1369">
        <v>1</v>
      </c>
      <c r="AB1369">
        <v>0</v>
      </c>
      <c r="AC1369" t="s">
        <v>115</v>
      </c>
      <c r="AD1369">
        <v>2</v>
      </c>
      <c r="AE1369" t="s">
        <v>115</v>
      </c>
      <c r="AF1369">
        <v>0</v>
      </c>
      <c r="AG1369">
        <v>0</v>
      </c>
      <c r="AH1369" t="s">
        <v>116</v>
      </c>
      <c r="AI1369" s="1">
        <v>127268</v>
      </c>
      <c r="AJ1369" s="2">
        <v>0.35</v>
      </c>
      <c r="AK1369" s="1">
        <v>360244</v>
      </c>
      <c r="AL1369" t="s">
        <v>117</v>
      </c>
      <c r="AM1369" t="s">
        <v>393</v>
      </c>
      <c r="AN1369">
        <v>7922</v>
      </c>
      <c r="AO1369">
        <v>0.18</v>
      </c>
      <c r="AR1369">
        <v>1</v>
      </c>
      <c r="AS1369" s="1">
        <v>24900</v>
      </c>
      <c r="AT1369" s="1">
        <v>4980</v>
      </c>
      <c r="AU1369" s="1">
        <v>19920</v>
      </c>
      <c r="AV1369">
        <v>80</v>
      </c>
      <c r="AX1369" s="1">
        <v>1951.2</v>
      </c>
      <c r="AY1369" t="s">
        <v>302</v>
      </c>
      <c r="AZ1369" t="s">
        <v>273</v>
      </c>
      <c r="BA1369" t="s">
        <v>303</v>
      </c>
      <c r="BE1369" s="3">
        <v>41869</v>
      </c>
      <c r="BF1369" s="1">
        <v>256000</v>
      </c>
      <c r="BG1369" t="s">
        <v>9315</v>
      </c>
      <c r="BH1369" s="1">
        <v>142.38</v>
      </c>
      <c r="BI1369" s="1">
        <v>232976</v>
      </c>
      <c r="BJ1369" s="3">
        <v>41869</v>
      </c>
      <c r="BK1369" t="s">
        <v>123</v>
      </c>
      <c r="BL1369" t="str">
        <f>"2014.543634"</f>
        <v>2014.543634</v>
      </c>
      <c r="BM1369" t="s">
        <v>1033</v>
      </c>
      <c r="BO1369" t="s">
        <v>9316</v>
      </c>
      <c r="BS1369">
        <v>30</v>
      </c>
      <c r="BW1369" t="str">
        <f>""</f>
        <v/>
      </c>
      <c r="CH1369" t="str">
        <f>""</f>
        <v/>
      </c>
      <c r="CS1369" t="str">
        <f>""</f>
        <v/>
      </c>
    </row>
    <row r="1370" spans="1:97" x14ac:dyDescent="0.25">
      <c r="B1370" t="s">
        <v>9317</v>
      </c>
      <c r="E1370" t="s">
        <v>9318</v>
      </c>
      <c r="F1370" t="s">
        <v>139</v>
      </c>
      <c r="H1370" t="s">
        <v>9319</v>
      </c>
      <c r="I1370" t="s">
        <v>110</v>
      </c>
      <c r="J1370" t="s">
        <v>111</v>
      </c>
      <c r="K1370" t="str">
        <f>"85225"</f>
        <v>85225</v>
      </c>
      <c r="L1370" t="s">
        <v>1244</v>
      </c>
      <c r="M1370" t="s">
        <v>9319</v>
      </c>
      <c r="N1370" t="s">
        <v>110</v>
      </c>
      <c r="O1370" t="s">
        <v>111</v>
      </c>
      <c r="P1370" t="str">
        <f>"85225-2328"</f>
        <v>85225-2328</v>
      </c>
      <c r="Q1370" t="s">
        <v>113</v>
      </c>
      <c r="R1370" t="str">
        <f>"303-71-298"</f>
        <v>303-71-298</v>
      </c>
      <c r="S1370" t="s">
        <v>3184</v>
      </c>
      <c r="T1370" t="s">
        <v>3184</v>
      </c>
      <c r="U1370">
        <v>1906</v>
      </c>
      <c r="V1370">
        <v>0</v>
      </c>
      <c r="W1370">
        <v>3</v>
      </c>
      <c r="X1370">
        <v>1999</v>
      </c>
      <c r="Z1370">
        <v>1</v>
      </c>
      <c r="AA1370" t="s">
        <v>26</v>
      </c>
      <c r="AB1370">
        <v>0</v>
      </c>
      <c r="AC1370" t="s">
        <v>115</v>
      </c>
      <c r="AD1370">
        <v>2</v>
      </c>
      <c r="AE1370" t="s">
        <v>115</v>
      </c>
      <c r="AF1370">
        <v>0</v>
      </c>
      <c r="AG1370">
        <v>0</v>
      </c>
      <c r="AH1370" t="s">
        <v>116</v>
      </c>
      <c r="AI1370" s="1">
        <v>94093</v>
      </c>
      <c r="AJ1370" s="2">
        <v>0.26</v>
      </c>
      <c r="AK1370" s="1">
        <v>355213</v>
      </c>
      <c r="AL1370" t="s">
        <v>117</v>
      </c>
      <c r="AM1370" t="s">
        <v>5077</v>
      </c>
      <c r="AN1370">
        <v>8510</v>
      </c>
      <c r="AO1370">
        <v>0.2</v>
      </c>
      <c r="AP1370">
        <v>1</v>
      </c>
      <c r="AR1370">
        <v>1</v>
      </c>
      <c r="AS1370" s="1">
        <v>25570</v>
      </c>
      <c r="AT1370" s="1">
        <v>5110</v>
      </c>
      <c r="AU1370" s="1">
        <v>20460</v>
      </c>
      <c r="AV1370">
        <v>80.02</v>
      </c>
      <c r="AX1370" s="1">
        <v>1981.9</v>
      </c>
      <c r="AY1370" t="s">
        <v>3185</v>
      </c>
      <c r="AZ1370" t="s">
        <v>2906</v>
      </c>
      <c r="BA1370" t="s">
        <v>303</v>
      </c>
      <c r="BB1370" s="3">
        <v>43299</v>
      </c>
      <c r="BC1370" s="1">
        <v>0</v>
      </c>
      <c r="BD1370" t="s">
        <v>247</v>
      </c>
      <c r="BE1370" s="3">
        <v>41733</v>
      </c>
      <c r="BF1370" s="1">
        <v>255000</v>
      </c>
      <c r="BG1370" t="s">
        <v>9320</v>
      </c>
      <c r="BH1370" s="1">
        <v>133.79</v>
      </c>
      <c r="BI1370" s="1">
        <v>261120</v>
      </c>
      <c r="BJ1370" s="3">
        <v>41733</v>
      </c>
      <c r="BK1370" t="s">
        <v>123</v>
      </c>
      <c r="BL1370" t="str">
        <f>"2014.218316"</f>
        <v>2014.218316</v>
      </c>
      <c r="BM1370" t="s">
        <v>6784</v>
      </c>
      <c r="BN1370" t="s">
        <v>1136</v>
      </c>
      <c r="BO1370" t="s">
        <v>9321</v>
      </c>
      <c r="BS1370">
        <v>30</v>
      </c>
      <c r="BW1370" t="str">
        <f>""</f>
        <v/>
      </c>
      <c r="CH1370" t="str">
        <f>""</f>
        <v/>
      </c>
      <c r="CS1370" t="str">
        <f>""</f>
        <v/>
      </c>
    </row>
    <row r="1371" spans="1:97" x14ac:dyDescent="0.25">
      <c r="A1371" t="s">
        <v>1009</v>
      </c>
      <c r="B1371" t="s">
        <v>9322</v>
      </c>
      <c r="C1371" t="s">
        <v>703</v>
      </c>
      <c r="D1371" t="s">
        <v>9322</v>
      </c>
      <c r="E1371" t="s">
        <v>9323</v>
      </c>
      <c r="F1371" t="s">
        <v>108</v>
      </c>
      <c r="H1371" t="s">
        <v>9324</v>
      </c>
      <c r="I1371" t="s">
        <v>453</v>
      </c>
      <c r="J1371" t="s">
        <v>111</v>
      </c>
      <c r="K1371" t="str">
        <f>"85382"</f>
        <v>85382</v>
      </c>
      <c r="L1371" t="s">
        <v>9293</v>
      </c>
      <c r="M1371" t="s">
        <v>9324</v>
      </c>
      <c r="N1371" t="s">
        <v>453</v>
      </c>
      <c r="O1371" t="s">
        <v>111</v>
      </c>
      <c r="P1371" t="str">
        <f>"85382-3784"</f>
        <v>85382-3784</v>
      </c>
      <c r="Q1371" t="s">
        <v>113</v>
      </c>
      <c r="R1371" t="str">
        <f>"200-54-454"</f>
        <v>200-54-454</v>
      </c>
      <c r="S1371" t="s">
        <v>9325</v>
      </c>
      <c r="T1371" t="s">
        <v>9325</v>
      </c>
      <c r="U1371">
        <v>2051</v>
      </c>
      <c r="V1371">
        <v>0</v>
      </c>
      <c r="W1371">
        <v>3</v>
      </c>
      <c r="X1371">
        <v>1994</v>
      </c>
      <c r="Z1371">
        <v>1</v>
      </c>
      <c r="AA1371" t="s">
        <v>26</v>
      </c>
      <c r="AB1371">
        <v>0</v>
      </c>
      <c r="AC1371" t="s">
        <v>115</v>
      </c>
      <c r="AD1371">
        <v>3</v>
      </c>
      <c r="AE1371" t="s">
        <v>115</v>
      </c>
      <c r="AF1371">
        <v>0</v>
      </c>
      <c r="AG1371">
        <v>0</v>
      </c>
      <c r="AH1371" t="s">
        <v>116</v>
      </c>
      <c r="AI1371" s="1">
        <v>79170</v>
      </c>
      <c r="AJ1371" s="2">
        <v>0.23</v>
      </c>
      <c r="AK1371" s="1">
        <v>337481</v>
      </c>
      <c r="AL1371" t="s">
        <v>117</v>
      </c>
      <c r="AM1371" t="s">
        <v>191</v>
      </c>
      <c r="AN1371">
        <v>7700</v>
      </c>
      <c r="AO1371">
        <v>0.18</v>
      </c>
      <c r="AP1371">
        <v>1</v>
      </c>
      <c r="AR1371">
        <v>1</v>
      </c>
      <c r="AS1371" s="1">
        <v>23920</v>
      </c>
      <c r="AT1371" s="1">
        <v>4780</v>
      </c>
      <c r="AU1371" s="1">
        <v>19140</v>
      </c>
      <c r="AV1371">
        <v>80.02</v>
      </c>
      <c r="AX1371" s="1">
        <v>2076.6</v>
      </c>
      <c r="AY1371" t="s">
        <v>5573</v>
      </c>
      <c r="AZ1371" t="s">
        <v>5573</v>
      </c>
      <c r="BA1371" t="s">
        <v>1800</v>
      </c>
      <c r="BE1371" s="3">
        <v>41807</v>
      </c>
      <c r="BF1371" s="1">
        <v>280000</v>
      </c>
      <c r="BG1371" t="s">
        <v>9326</v>
      </c>
      <c r="BH1371" s="1">
        <v>136.52000000000001</v>
      </c>
      <c r="BI1371" s="1">
        <v>258311</v>
      </c>
      <c r="BJ1371" s="3">
        <v>43068</v>
      </c>
      <c r="BK1371" t="s">
        <v>123</v>
      </c>
      <c r="BL1371" t="str">
        <f>"2017.882643"</f>
        <v>2017.882643</v>
      </c>
      <c r="BM1371" t="s">
        <v>7842</v>
      </c>
      <c r="BO1371" t="s">
        <v>9327</v>
      </c>
      <c r="BS1371">
        <v>30</v>
      </c>
      <c r="BW1371" t="str">
        <f>""</f>
        <v/>
      </c>
      <c r="CH1371" t="str">
        <f>""</f>
        <v/>
      </c>
      <c r="CS1371" t="str">
        <f>""</f>
        <v/>
      </c>
    </row>
    <row r="1372" spans="1:97" x14ac:dyDescent="0.25">
      <c r="A1372" t="s">
        <v>1979</v>
      </c>
      <c r="B1372" t="s">
        <v>8094</v>
      </c>
      <c r="C1372" t="s">
        <v>9328</v>
      </c>
      <c r="D1372" t="s">
        <v>8094</v>
      </c>
      <c r="E1372" t="s">
        <v>9329</v>
      </c>
      <c r="F1372" t="s">
        <v>108</v>
      </c>
      <c r="H1372" t="s">
        <v>9330</v>
      </c>
      <c r="I1372" t="s">
        <v>144</v>
      </c>
      <c r="J1372" t="s">
        <v>111</v>
      </c>
      <c r="K1372" t="str">
        <f>"85326"</f>
        <v>85326</v>
      </c>
      <c r="L1372" t="s">
        <v>8146</v>
      </c>
      <c r="M1372" t="s">
        <v>9330</v>
      </c>
      <c r="N1372" t="s">
        <v>144</v>
      </c>
      <c r="O1372" t="s">
        <v>111</v>
      </c>
      <c r="P1372" t="str">
        <f>"85326-8180"</f>
        <v>85326-8180</v>
      </c>
      <c r="Q1372" t="s">
        <v>113</v>
      </c>
      <c r="R1372" t="str">
        <f>"502-35-680"</f>
        <v>502-35-680</v>
      </c>
      <c r="S1372" t="s">
        <v>9331</v>
      </c>
      <c r="U1372">
        <v>2068</v>
      </c>
      <c r="V1372">
        <v>0</v>
      </c>
      <c r="W1372">
        <v>4</v>
      </c>
      <c r="X1372">
        <v>2015</v>
      </c>
      <c r="Z1372">
        <v>1</v>
      </c>
      <c r="AB1372">
        <v>0</v>
      </c>
      <c r="AC1372" t="s">
        <v>115</v>
      </c>
      <c r="AD1372">
        <v>2</v>
      </c>
      <c r="AE1372" t="s">
        <v>115</v>
      </c>
      <c r="AF1372">
        <v>0</v>
      </c>
      <c r="AG1372">
        <v>0</v>
      </c>
      <c r="AH1372" t="s">
        <v>116</v>
      </c>
      <c r="AI1372" s="1">
        <v>83819</v>
      </c>
      <c r="AJ1372" s="2">
        <v>0.28999999999999998</v>
      </c>
      <c r="AK1372" s="1">
        <v>289047</v>
      </c>
      <c r="AL1372" t="s">
        <v>117</v>
      </c>
      <c r="AM1372" t="s">
        <v>118</v>
      </c>
      <c r="AN1372">
        <v>6670</v>
      </c>
      <c r="AO1372">
        <v>0.15</v>
      </c>
      <c r="AR1372">
        <v>1</v>
      </c>
      <c r="AS1372" s="1">
        <v>21020</v>
      </c>
      <c r="AT1372" s="1">
        <v>4200</v>
      </c>
      <c r="AU1372" s="1">
        <v>16820</v>
      </c>
      <c r="AV1372">
        <v>80.02</v>
      </c>
      <c r="AX1372" s="1">
        <v>1806.26</v>
      </c>
      <c r="AY1372" t="s">
        <v>2767</v>
      </c>
      <c r="AZ1372" t="s">
        <v>2767</v>
      </c>
      <c r="BA1372" t="s">
        <v>5025</v>
      </c>
      <c r="BB1372" s="3">
        <v>42451</v>
      </c>
      <c r="BD1372" t="s">
        <v>842</v>
      </c>
      <c r="BE1372" s="3">
        <v>42398</v>
      </c>
      <c r="BF1372" s="1">
        <v>228031</v>
      </c>
      <c r="BG1372" t="s">
        <v>1079</v>
      </c>
      <c r="BH1372" s="1">
        <v>110.27</v>
      </c>
      <c r="BI1372" s="1">
        <v>205228</v>
      </c>
      <c r="BJ1372" s="3">
        <v>42398</v>
      </c>
      <c r="BK1372" t="s">
        <v>123</v>
      </c>
      <c r="BL1372" t="str">
        <f>"2016.62728"</f>
        <v>2016.62728</v>
      </c>
      <c r="BO1372" t="s">
        <v>9332</v>
      </c>
      <c r="BS1372">
        <v>30</v>
      </c>
      <c r="BW1372" t="str">
        <f>""</f>
        <v/>
      </c>
      <c r="CH1372" t="str">
        <f>""</f>
        <v/>
      </c>
      <c r="CS1372" t="str">
        <f>""</f>
        <v/>
      </c>
    </row>
    <row r="1373" spans="1:97" x14ac:dyDescent="0.25">
      <c r="A1373" t="s">
        <v>894</v>
      </c>
      <c r="B1373" t="s">
        <v>9333</v>
      </c>
      <c r="C1373" t="s">
        <v>3926</v>
      </c>
      <c r="D1373" t="s">
        <v>9333</v>
      </c>
      <c r="E1373" t="s">
        <v>9334</v>
      </c>
      <c r="F1373" t="s">
        <v>108</v>
      </c>
      <c r="H1373" t="s">
        <v>9335</v>
      </c>
      <c r="I1373" t="s">
        <v>225</v>
      </c>
      <c r="J1373" t="s">
        <v>111</v>
      </c>
      <c r="K1373" t="str">
        <f>"85207"</f>
        <v>85207</v>
      </c>
      <c r="L1373" t="s">
        <v>516</v>
      </c>
      <c r="M1373" t="s">
        <v>9335</v>
      </c>
      <c r="N1373" t="s">
        <v>225</v>
      </c>
      <c r="O1373" t="s">
        <v>111</v>
      </c>
      <c r="P1373" t="str">
        <f>"85207-1860"</f>
        <v>85207-1860</v>
      </c>
      <c r="Q1373" t="s">
        <v>113</v>
      </c>
      <c r="R1373" t="str">
        <f>"219-18-070"</f>
        <v>219-18-070</v>
      </c>
      <c r="S1373" t="s">
        <v>9336</v>
      </c>
      <c r="T1373" t="s">
        <v>9336</v>
      </c>
      <c r="U1373">
        <v>2732</v>
      </c>
      <c r="V1373">
        <v>0</v>
      </c>
      <c r="W1373">
        <v>4</v>
      </c>
      <c r="X1373">
        <v>1999</v>
      </c>
      <c r="Z1373">
        <v>2</v>
      </c>
      <c r="AA1373" t="s">
        <v>26</v>
      </c>
      <c r="AB1373">
        <v>0</v>
      </c>
      <c r="AC1373" t="s">
        <v>115</v>
      </c>
      <c r="AD1373">
        <v>3</v>
      </c>
      <c r="AE1373" t="s">
        <v>115</v>
      </c>
      <c r="AF1373">
        <v>0</v>
      </c>
      <c r="AG1373">
        <v>0</v>
      </c>
      <c r="AH1373" t="s">
        <v>116</v>
      </c>
      <c r="AI1373" s="1">
        <v>56832</v>
      </c>
      <c r="AJ1373" s="2">
        <v>0.12</v>
      </c>
      <c r="AK1373" s="1">
        <v>472839</v>
      </c>
      <c r="AL1373" t="s">
        <v>117</v>
      </c>
      <c r="AM1373" t="s">
        <v>917</v>
      </c>
      <c r="AN1373">
        <v>7996</v>
      </c>
      <c r="AO1373">
        <v>0.18</v>
      </c>
      <c r="AP1373">
        <v>1</v>
      </c>
      <c r="AR1373">
        <v>1</v>
      </c>
      <c r="AS1373" s="1">
        <v>33700</v>
      </c>
      <c r="AT1373" s="1">
        <v>6740</v>
      </c>
      <c r="AU1373" s="1">
        <v>26960</v>
      </c>
      <c r="AV1373">
        <v>80</v>
      </c>
      <c r="AX1373" s="1">
        <v>3456.82</v>
      </c>
      <c r="AY1373" t="s">
        <v>9337</v>
      </c>
      <c r="AZ1373" t="s">
        <v>231</v>
      </c>
      <c r="BA1373" t="s">
        <v>3119</v>
      </c>
      <c r="BB1373" s="3">
        <v>42641</v>
      </c>
      <c r="BD1373" t="s">
        <v>458</v>
      </c>
      <c r="BE1373" s="3">
        <v>41990</v>
      </c>
      <c r="BF1373" s="1">
        <v>392000</v>
      </c>
      <c r="BG1373" t="s">
        <v>9338</v>
      </c>
      <c r="BH1373" s="1">
        <v>143.47999999999999</v>
      </c>
      <c r="BI1373" s="1">
        <v>416007</v>
      </c>
      <c r="BJ1373" s="3">
        <v>42690</v>
      </c>
      <c r="BK1373" t="s">
        <v>123</v>
      </c>
      <c r="BL1373" t="str">
        <f>"2016.843917"</f>
        <v>2016.843917</v>
      </c>
      <c r="BM1373" t="s">
        <v>1695</v>
      </c>
      <c r="BO1373" t="s">
        <v>9339</v>
      </c>
      <c r="BS1373">
        <v>30</v>
      </c>
      <c r="BW1373" t="str">
        <f>""</f>
        <v/>
      </c>
      <c r="CH1373" t="str">
        <f>""</f>
        <v/>
      </c>
      <c r="CS1373" t="str">
        <f>""</f>
        <v/>
      </c>
    </row>
    <row r="1374" spans="1:97" x14ac:dyDescent="0.25">
      <c r="A1374" t="s">
        <v>976</v>
      </c>
      <c r="B1374" t="s">
        <v>9340</v>
      </c>
      <c r="C1374" t="s">
        <v>140</v>
      </c>
      <c r="D1374" t="s">
        <v>9340</v>
      </c>
      <c r="E1374" t="s">
        <v>9341</v>
      </c>
      <c r="F1374" t="s">
        <v>108</v>
      </c>
      <c r="H1374" t="s">
        <v>9342</v>
      </c>
      <c r="I1374" t="s">
        <v>203</v>
      </c>
      <c r="J1374" t="s">
        <v>111</v>
      </c>
      <c r="K1374" t="str">
        <f>"85298"</f>
        <v>85298</v>
      </c>
      <c r="L1374" t="s">
        <v>4326</v>
      </c>
      <c r="M1374" t="s">
        <v>9342</v>
      </c>
      <c r="N1374" t="s">
        <v>203</v>
      </c>
      <c r="O1374" t="s">
        <v>111</v>
      </c>
      <c r="P1374" t="str">
        <f>"85298-8958"</f>
        <v>85298-8958</v>
      </c>
      <c r="Q1374" t="s">
        <v>113</v>
      </c>
      <c r="R1374" t="str">
        <f>"304-69-149-E"</f>
        <v>304-69-149-E</v>
      </c>
      <c r="U1374">
        <v>2093</v>
      </c>
      <c r="V1374">
        <v>0</v>
      </c>
      <c r="W1374">
        <v>3</v>
      </c>
      <c r="X1374">
        <v>1999</v>
      </c>
      <c r="Z1374">
        <v>1</v>
      </c>
      <c r="AB1374">
        <v>0</v>
      </c>
      <c r="AC1374" t="s">
        <v>115</v>
      </c>
      <c r="AD1374">
        <v>5</v>
      </c>
      <c r="AE1374" t="s">
        <v>115</v>
      </c>
      <c r="AF1374">
        <v>0</v>
      </c>
      <c r="AG1374">
        <v>0</v>
      </c>
      <c r="AH1374" t="s">
        <v>116</v>
      </c>
      <c r="AI1374" s="1">
        <v>113203</v>
      </c>
      <c r="AJ1374" s="2">
        <v>0.21</v>
      </c>
      <c r="AK1374" s="1">
        <v>531430</v>
      </c>
      <c r="AL1374" t="s">
        <v>117</v>
      </c>
      <c r="AM1374" t="s">
        <v>376</v>
      </c>
      <c r="AN1374">
        <v>59154</v>
      </c>
      <c r="AO1374">
        <v>1.36</v>
      </c>
      <c r="AP1374">
        <v>1</v>
      </c>
      <c r="AR1374">
        <v>1</v>
      </c>
      <c r="AS1374" s="1">
        <v>40760</v>
      </c>
      <c r="AT1374" s="1">
        <v>8150</v>
      </c>
      <c r="AU1374" s="1">
        <v>32610</v>
      </c>
      <c r="AV1374">
        <v>80</v>
      </c>
      <c r="AX1374" s="1">
        <v>2960.04</v>
      </c>
      <c r="AY1374" t="s">
        <v>1133</v>
      </c>
      <c r="AZ1374" t="s">
        <v>1134</v>
      </c>
      <c r="BA1374" t="s">
        <v>1134</v>
      </c>
      <c r="BE1374" s="3">
        <v>41813</v>
      </c>
      <c r="BF1374" s="1">
        <v>415000</v>
      </c>
      <c r="BG1374" t="s">
        <v>9343</v>
      </c>
      <c r="BH1374" s="1">
        <v>198.28</v>
      </c>
      <c r="BI1374" s="1">
        <v>418227</v>
      </c>
      <c r="BJ1374" s="3">
        <v>42573</v>
      </c>
      <c r="BK1374" t="s">
        <v>123</v>
      </c>
      <c r="BL1374" t="str">
        <f>"2016.517436"</f>
        <v>2016.517436</v>
      </c>
      <c r="BM1374" t="s">
        <v>1695</v>
      </c>
      <c r="BO1374" t="s">
        <v>9344</v>
      </c>
      <c r="BS1374">
        <v>30</v>
      </c>
      <c r="BW1374" t="str">
        <f>""</f>
        <v/>
      </c>
      <c r="CH1374" t="str">
        <f>""</f>
        <v/>
      </c>
      <c r="CS1374" t="str">
        <f>""</f>
        <v/>
      </c>
    </row>
    <row r="1375" spans="1:97" x14ac:dyDescent="0.25">
      <c r="A1375" t="s">
        <v>370</v>
      </c>
      <c r="B1375" t="s">
        <v>9345</v>
      </c>
      <c r="C1375" t="s">
        <v>2806</v>
      </c>
      <c r="D1375" t="s">
        <v>9345</v>
      </c>
      <c r="E1375" t="s">
        <v>9346</v>
      </c>
      <c r="F1375" t="s">
        <v>108</v>
      </c>
      <c r="H1375" t="s">
        <v>9347</v>
      </c>
      <c r="I1375" t="s">
        <v>374</v>
      </c>
      <c r="J1375" t="s">
        <v>111</v>
      </c>
      <c r="K1375" t="str">
        <f>"85087"</f>
        <v>85087</v>
      </c>
      <c r="L1375" t="s">
        <v>774</v>
      </c>
      <c r="M1375" t="s">
        <v>9347</v>
      </c>
      <c r="N1375" t="s">
        <v>374</v>
      </c>
      <c r="O1375" t="s">
        <v>111</v>
      </c>
      <c r="P1375" t="str">
        <f>"85087-6989"</f>
        <v>85087-6989</v>
      </c>
      <c r="Q1375" t="s">
        <v>113</v>
      </c>
      <c r="R1375" t="str">
        <f>"202-11-057-B"</f>
        <v>202-11-057-B</v>
      </c>
      <c r="U1375">
        <v>2346</v>
      </c>
      <c r="V1375">
        <v>0</v>
      </c>
      <c r="W1375">
        <v>2</v>
      </c>
      <c r="X1375">
        <v>1987</v>
      </c>
      <c r="Z1375">
        <v>1</v>
      </c>
      <c r="AB1375">
        <v>0</v>
      </c>
      <c r="AC1375" t="s">
        <v>115</v>
      </c>
      <c r="AD1375">
        <v>2</v>
      </c>
      <c r="AE1375" t="s">
        <v>115</v>
      </c>
      <c r="AF1375">
        <v>0</v>
      </c>
      <c r="AG1375">
        <v>0</v>
      </c>
      <c r="AH1375" t="s">
        <v>116</v>
      </c>
      <c r="AI1375" s="1">
        <v>133716</v>
      </c>
      <c r="AJ1375" s="2">
        <v>0.32</v>
      </c>
      <c r="AK1375" s="1">
        <v>415116</v>
      </c>
      <c r="AL1375" t="s">
        <v>117</v>
      </c>
      <c r="AM1375" t="s">
        <v>376</v>
      </c>
      <c r="AN1375">
        <v>109728</v>
      </c>
      <c r="AO1375">
        <v>2.52</v>
      </c>
      <c r="AP1375">
        <v>1</v>
      </c>
      <c r="AR1375">
        <v>1</v>
      </c>
      <c r="AS1375" s="1">
        <v>29810</v>
      </c>
      <c r="AT1375" s="1">
        <v>5960</v>
      </c>
      <c r="AU1375" s="1">
        <v>23850</v>
      </c>
      <c r="AV1375">
        <v>80.010000000000005</v>
      </c>
      <c r="AX1375" s="1">
        <v>2681.58</v>
      </c>
      <c r="AY1375" t="s">
        <v>377</v>
      </c>
      <c r="AZ1375" t="s">
        <v>377</v>
      </c>
      <c r="BA1375" t="s">
        <v>378</v>
      </c>
      <c r="BE1375" s="3">
        <v>42180</v>
      </c>
      <c r="BF1375" s="1">
        <v>325000</v>
      </c>
      <c r="BG1375" t="s">
        <v>9348</v>
      </c>
      <c r="BH1375" s="1">
        <v>138.53</v>
      </c>
      <c r="BI1375" s="1">
        <v>281400</v>
      </c>
      <c r="BJ1375" s="3">
        <v>42641</v>
      </c>
      <c r="BK1375" t="s">
        <v>123</v>
      </c>
      <c r="BL1375" t="str">
        <f>"2016.705078"</f>
        <v>2016.705078</v>
      </c>
      <c r="BM1375" t="s">
        <v>1038</v>
      </c>
      <c r="BO1375" t="s">
        <v>9349</v>
      </c>
      <c r="BS1375">
        <v>30</v>
      </c>
      <c r="BW1375" t="str">
        <f>""</f>
        <v/>
      </c>
      <c r="CH1375" t="str">
        <f>""</f>
        <v/>
      </c>
      <c r="CS1375" t="str">
        <f>""</f>
        <v/>
      </c>
    </row>
    <row r="1376" spans="1:97" x14ac:dyDescent="0.25">
      <c r="A1376" t="s">
        <v>140</v>
      </c>
      <c r="B1376" t="s">
        <v>9350</v>
      </c>
      <c r="C1376" t="s">
        <v>2281</v>
      </c>
      <c r="D1376" t="s">
        <v>9350</v>
      </c>
      <c r="E1376" t="s">
        <v>9351</v>
      </c>
      <c r="F1376" t="s">
        <v>108</v>
      </c>
      <c r="H1376" t="s">
        <v>9352</v>
      </c>
      <c r="I1376" t="s">
        <v>6844</v>
      </c>
      <c r="J1376" t="s">
        <v>111</v>
      </c>
      <c r="K1376" t="str">
        <f>"85361"</f>
        <v>85361</v>
      </c>
      <c r="L1376" t="s">
        <v>3758</v>
      </c>
      <c r="M1376" t="s">
        <v>9352</v>
      </c>
      <c r="N1376" t="s">
        <v>6844</v>
      </c>
      <c r="O1376" t="s">
        <v>111</v>
      </c>
      <c r="P1376" t="str">
        <f>"85361-5327"</f>
        <v>85361-5327</v>
      </c>
      <c r="Q1376" t="s">
        <v>113</v>
      </c>
      <c r="R1376" t="str">
        <f>"503-47-079"</f>
        <v>503-47-079</v>
      </c>
      <c r="U1376">
        <v>2573</v>
      </c>
      <c r="V1376">
        <v>0</v>
      </c>
      <c r="W1376">
        <v>4</v>
      </c>
      <c r="X1376">
        <v>2008</v>
      </c>
      <c r="Z1376">
        <v>1</v>
      </c>
      <c r="AB1376">
        <v>0</v>
      </c>
      <c r="AC1376" t="s">
        <v>115</v>
      </c>
      <c r="AD1376">
        <v>3</v>
      </c>
      <c r="AE1376" t="s">
        <v>115</v>
      </c>
      <c r="AF1376">
        <v>0</v>
      </c>
      <c r="AG1376">
        <v>0</v>
      </c>
      <c r="AH1376" t="s">
        <v>116</v>
      </c>
      <c r="AI1376" s="1">
        <v>106884</v>
      </c>
      <c r="AJ1376" s="2">
        <v>0.28000000000000003</v>
      </c>
      <c r="AK1376" s="1">
        <v>381384</v>
      </c>
      <c r="AL1376" t="s">
        <v>117</v>
      </c>
      <c r="AM1376" t="s">
        <v>376</v>
      </c>
      <c r="AN1376">
        <v>57403</v>
      </c>
      <c r="AO1376">
        <v>1.32</v>
      </c>
      <c r="AR1376">
        <v>1</v>
      </c>
      <c r="AS1376" s="1">
        <v>28110</v>
      </c>
      <c r="AT1376" s="1">
        <v>5620</v>
      </c>
      <c r="AU1376" s="1">
        <v>22490</v>
      </c>
      <c r="AV1376">
        <v>80.010000000000005</v>
      </c>
      <c r="AX1376" s="1">
        <v>2054.96</v>
      </c>
      <c r="AY1376" t="s">
        <v>6847</v>
      </c>
      <c r="AZ1376" t="s">
        <v>6847</v>
      </c>
      <c r="BE1376" s="3">
        <v>42478</v>
      </c>
      <c r="BF1376" s="1">
        <v>274500</v>
      </c>
      <c r="BG1376" t="s">
        <v>9353</v>
      </c>
      <c r="BH1376" s="1">
        <v>106.68</v>
      </c>
      <c r="BI1376" s="1">
        <v>274500</v>
      </c>
      <c r="BJ1376" s="3">
        <v>42478</v>
      </c>
      <c r="BK1376" t="s">
        <v>123</v>
      </c>
      <c r="BL1376" t="str">
        <f>"2016.255404"</f>
        <v>2016.255404</v>
      </c>
      <c r="BM1376" t="s">
        <v>594</v>
      </c>
      <c r="BO1376" t="s">
        <v>9354</v>
      </c>
      <c r="BS1376">
        <v>30</v>
      </c>
      <c r="BW1376" t="str">
        <f>""</f>
        <v/>
      </c>
      <c r="CH1376" t="str">
        <f>""</f>
        <v/>
      </c>
      <c r="CS1376" t="str">
        <f>""</f>
        <v/>
      </c>
    </row>
    <row r="1377" spans="1:97" x14ac:dyDescent="0.25">
      <c r="A1377" t="s">
        <v>1009</v>
      </c>
      <c r="B1377" t="s">
        <v>9355</v>
      </c>
      <c r="C1377" t="s">
        <v>1011</v>
      </c>
      <c r="D1377" t="s">
        <v>9355</v>
      </c>
      <c r="E1377" t="s">
        <v>9356</v>
      </c>
      <c r="F1377" t="s">
        <v>108</v>
      </c>
      <c r="H1377" t="s">
        <v>9357</v>
      </c>
      <c r="I1377" t="s">
        <v>225</v>
      </c>
      <c r="J1377" t="s">
        <v>111</v>
      </c>
      <c r="K1377" t="str">
        <f>"85206"</f>
        <v>85206</v>
      </c>
      <c r="L1377" t="s">
        <v>1312</v>
      </c>
      <c r="M1377" t="s">
        <v>9357</v>
      </c>
      <c r="N1377" t="s">
        <v>225</v>
      </c>
      <c r="O1377" t="s">
        <v>111</v>
      </c>
      <c r="P1377" t="str">
        <f>"85206-2551"</f>
        <v>85206-2551</v>
      </c>
      <c r="Q1377" t="s">
        <v>113</v>
      </c>
      <c r="R1377" t="str">
        <f>"140-47-342"</f>
        <v>140-47-342</v>
      </c>
      <c r="S1377" t="s">
        <v>9358</v>
      </c>
      <c r="T1377" t="s">
        <v>9359</v>
      </c>
      <c r="U1377">
        <v>4033</v>
      </c>
      <c r="V1377">
        <v>0</v>
      </c>
      <c r="W1377">
        <v>5</v>
      </c>
      <c r="X1377">
        <v>1988</v>
      </c>
      <c r="Z1377">
        <v>2</v>
      </c>
      <c r="AA1377" t="s">
        <v>26</v>
      </c>
      <c r="AB1377">
        <v>0</v>
      </c>
      <c r="AC1377" t="s">
        <v>115</v>
      </c>
      <c r="AD1377">
        <v>3</v>
      </c>
      <c r="AE1377" t="s">
        <v>115</v>
      </c>
      <c r="AF1377">
        <v>0</v>
      </c>
      <c r="AG1377">
        <v>0</v>
      </c>
      <c r="AH1377" t="s">
        <v>116</v>
      </c>
      <c r="AI1377" s="1">
        <v>139278</v>
      </c>
      <c r="AJ1377" s="2">
        <v>0.23</v>
      </c>
      <c r="AK1377" s="1">
        <v>594903</v>
      </c>
      <c r="AL1377" t="s">
        <v>117</v>
      </c>
      <c r="AM1377" t="s">
        <v>1521</v>
      </c>
      <c r="AN1377">
        <v>16515</v>
      </c>
      <c r="AO1377">
        <v>0.38</v>
      </c>
      <c r="AP1377">
        <v>1</v>
      </c>
      <c r="AR1377">
        <v>1</v>
      </c>
      <c r="AS1377" s="1">
        <v>45230</v>
      </c>
      <c r="AT1377" s="1">
        <v>9040</v>
      </c>
      <c r="AU1377" s="1">
        <v>36190</v>
      </c>
      <c r="AV1377">
        <v>80.010000000000005</v>
      </c>
      <c r="AX1377" s="1">
        <v>3470.94</v>
      </c>
      <c r="AY1377" t="s">
        <v>9360</v>
      </c>
      <c r="AZ1377" t="s">
        <v>5158</v>
      </c>
      <c r="BA1377" t="s">
        <v>5159</v>
      </c>
      <c r="BE1377" s="3">
        <v>42181</v>
      </c>
      <c r="BF1377" s="1">
        <v>500000</v>
      </c>
      <c r="BG1377" t="s">
        <v>9361</v>
      </c>
      <c r="BH1377" s="1">
        <v>123.98</v>
      </c>
      <c r="BI1377" s="1">
        <v>455625</v>
      </c>
      <c r="BJ1377" s="3">
        <v>42181</v>
      </c>
      <c r="BK1377" t="s">
        <v>123</v>
      </c>
      <c r="BL1377" t="str">
        <f>"2015.458797"</f>
        <v>2015.458797</v>
      </c>
      <c r="BM1377" t="s">
        <v>544</v>
      </c>
      <c r="BO1377" t="s">
        <v>9362</v>
      </c>
      <c r="BS1377">
        <v>15</v>
      </c>
      <c r="BW1377" t="str">
        <f>""</f>
        <v/>
      </c>
      <c r="CH1377" t="str">
        <f>""</f>
        <v/>
      </c>
      <c r="CS1377" t="str">
        <f>""</f>
        <v/>
      </c>
    </row>
    <row r="1378" spans="1:97" x14ac:dyDescent="0.25">
      <c r="A1378" t="s">
        <v>9363</v>
      </c>
      <c r="B1378" t="s">
        <v>9364</v>
      </c>
      <c r="C1378" t="s">
        <v>9365</v>
      </c>
      <c r="D1378" t="s">
        <v>9364</v>
      </c>
      <c r="E1378" t="s">
        <v>9366</v>
      </c>
      <c r="F1378" t="s">
        <v>108</v>
      </c>
      <c r="H1378" t="s">
        <v>9367</v>
      </c>
      <c r="I1378" t="s">
        <v>1936</v>
      </c>
      <c r="J1378" t="s">
        <v>111</v>
      </c>
      <c r="K1378" t="str">
        <f>"85260"</f>
        <v>85260</v>
      </c>
      <c r="L1378" t="s">
        <v>9368</v>
      </c>
      <c r="M1378" t="s">
        <v>9367</v>
      </c>
      <c r="N1378" t="s">
        <v>1936</v>
      </c>
      <c r="O1378" t="s">
        <v>111</v>
      </c>
      <c r="P1378" t="str">
        <f>"85260-4104"</f>
        <v>85260-4104</v>
      </c>
      <c r="R1378" t="str">
        <f>"175-01-030-A"</f>
        <v>175-01-030-A</v>
      </c>
      <c r="S1378" t="s">
        <v>9369</v>
      </c>
      <c r="T1378" t="s">
        <v>9369</v>
      </c>
      <c r="U1378">
        <v>4675</v>
      </c>
      <c r="V1378">
        <v>0</v>
      </c>
      <c r="W1378">
        <v>5</v>
      </c>
      <c r="X1378">
        <v>1994</v>
      </c>
      <c r="Z1378">
        <v>1</v>
      </c>
      <c r="AB1378">
        <v>0</v>
      </c>
      <c r="AC1378" t="s">
        <v>115</v>
      </c>
      <c r="AD1378">
        <v>3</v>
      </c>
      <c r="AE1378" t="s">
        <v>115</v>
      </c>
      <c r="AF1378">
        <v>0</v>
      </c>
      <c r="AG1378">
        <v>0</v>
      </c>
      <c r="AH1378" t="s">
        <v>116</v>
      </c>
      <c r="AI1378" s="1">
        <v>196357</v>
      </c>
      <c r="AJ1378" s="2">
        <v>0.18</v>
      </c>
      <c r="AK1378" s="1">
        <v>1064357</v>
      </c>
      <c r="AL1378" t="s">
        <v>117</v>
      </c>
      <c r="AM1378" t="s">
        <v>3973</v>
      </c>
      <c r="AN1378">
        <v>44823</v>
      </c>
      <c r="AO1378">
        <v>1.03</v>
      </c>
      <c r="AP1378">
        <v>1</v>
      </c>
      <c r="AR1378">
        <v>1</v>
      </c>
      <c r="AS1378" s="1">
        <v>86560</v>
      </c>
      <c r="AT1378" s="1">
        <v>17310</v>
      </c>
      <c r="AU1378" s="1">
        <v>69250</v>
      </c>
      <c r="AV1378">
        <v>80</v>
      </c>
      <c r="AX1378" s="1">
        <v>7210.92</v>
      </c>
      <c r="AY1378" t="s">
        <v>8787</v>
      </c>
      <c r="AZ1378" t="s">
        <v>7739</v>
      </c>
      <c r="BA1378" t="s">
        <v>6302</v>
      </c>
      <c r="BE1378" s="3">
        <v>42489</v>
      </c>
      <c r="BF1378" s="1">
        <v>800000</v>
      </c>
      <c r="BG1378" t="s">
        <v>9370</v>
      </c>
      <c r="BH1378" s="1">
        <v>192.26</v>
      </c>
      <c r="BI1378" s="1">
        <v>793000</v>
      </c>
      <c r="BJ1378" s="3">
        <v>42977</v>
      </c>
      <c r="BK1378" t="s">
        <v>123</v>
      </c>
      <c r="BL1378" t="str">
        <f>"2017.640939"</f>
        <v>2017.640939</v>
      </c>
      <c r="BM1378" t="s">
        <v>9371</v>
      </c>
      <c r="BN1378">
        <v>58103</v>
      </c>
      <c r="BO1378" t="s">
        <v>9372</v>
      </c>
      <c r="BS1378">
        <v>30</v>
      </c>
      <c r="BT1378" s="1">
        <v>75000</v>
      </c>
      <c r="BU1378" s="3">
        <v>43732</v>
      </c>
      <c r="BW1378" t="str">
        <f>"2019.752830"</f>
        <v>2019.752830</v>
      </c>
      <c r="BX1378" t="s">
        <v>2798</v>
      </c>
      <c r="BY1378" t="s">
        <v>9373</v>
      </c>
      <c r="BZ1378" t="s">
        <v>9374</v>
      </c>
      <c r="CA1378" t="s">
        <v>9375</v>
      </c>
      <c r="CC1378" t="s">
        <v>346</v>
      </c>
      <c r="CH1378" t="str">
        <f>""</f>
        <v/>
      </c>
      <c r="CS1378" t="str">
        <f>""</f>
        <v/>
      </c>
    </row>
    <row r="1379" spans="1:97" x14ac:dyDescent="0.25">
      <c r="A1379" t="s">
        <v>4327</v>
      </c>
      <c r="B1379" t="s">
        <v>9376</v>
      </c>
      <c r="C1379" t="s">
        <v>9377</v>
      </c>
      <c r="D1379" t="s">
        <v>9378</v>
      </c>
      <c r="E1379" t="s">
        <v>9379</v>
      </c>
      <c r="F1379" t="s">
        <v>108</v>
      </c>
      <c r="H1379" t="s">
        <v>9380</v>
      </c>
      <c r="I1379" t="s">
        <v>225</v>
      </c>
      <c r="J1379" t="s">
        <v>111</v>
      </c>
      <c r="K1379" t="str">
        <f>"85215"</f>
        <v>85215</v>
      </c>
      <c r="L1379" t="s">
        <v>3318</v>
      </c>
      <c r="M1379" t="s">
        <v>9380</v>
      </c>
      <c r="N1379" t="s">
        <v>225</v>
      </c>
      <c r="O1379" t="s">
        <v>111</v>
      </c>
      <c r="P1379" t="str">
        <f>"85215-7795"</f>
        <v>85215-7795</v>
      </c>
      <c r="Q1379" t="s">
        <v>113</v>
      </c>
      <c r="R1379" t="str">
        <f>"141-92-394"</f>
        <v>141-92-394</v>
      </c>
      <c r="S1379" t="s">
        <v>9381</v>
      </c>
      <c r="T1379" t="s">
        <v>9382</v>
      </c>
      <c r="U1379">
        <v>3130</v>
      </c>
      <c r="V1379">
        <v>0</v>
      </c>
      <c r="W1379">
        <v>5</v>
      </c>
      <c r="X1379">
        <v>1997</v>
      </c>
      <c r="Z1379">
        <v>1</v>
      </c>
      <c r="AA1379" t="s">
        <v>26</v>
      </c>
      <c r="AB1379">
        <v>0</v>
      </c>
      <c r="AC1379" t="s">
        <v>115</v>
      </c>
      <c r="AD1379">
        <v>3</v>
      </c>
      <c r="AE1379" t="s">
        <v>115</v>
      </c>
      <c r="AF1379">
        <v>0</v>
      </c>
      <c r="AG1379">
        <v>0</v>
      </c>
      <c r="AH1379" t="s">
        <v>116</v>
      </c>
      <c r="AI1379" s="1">
        <v>69754</v>
      </c>
      <c r="AJ1379" s="2">
        <v>0.12</v>
      </c>
      <c r="AK1379" s="1">
        <v>582836</v>
      </c>
      <c r="AL1379" t="s">
        <v>117</v>
      </c>
      <c r="AM1379" t="s">
        <v>917</v>
      </c>
      <c r="AN1379">
        <v>13560</v>
      </c>
      <c r="AO1379">
        <v>0.31</v>
      </c>
      <c r="AP1379">
        <v>1</v>
      </c>
      <c r="AR1379">
        <v>1</v>
      </c>
      <c r="AS1379" s="1">
        <v>45400</v>
      </c>
      <c r="AT1379" s="1">
        <v>9080</v>
      </c>
      <c r="AU1379" s="1">
        <v>36320</v>
      </c>
      <c r="AV1379">
        <v>80</v>
      </c>
      <c r="AX1379" s="1">
        <v>4903.4799999999996</v>
      </c>
      <c r="AY1379" t="s">
        <v>6662</v>
      </c>
      <c r="AZ1379" t="s">
        <v>5275</v>
      </c>
      <c r="BA1379" t="s">
        <v>3119</v>
      </c>
      <c r="BB1379" s="3">
        <v>42475</v>
      </c>
      <c r="BD1379" t="s">
        <v>1830</v>
      </c>
      <c r="BE1379" s="3">
        <v>42444</v>
      </c>
      <c r="BF1379" s="1">
        <v>535000</v>
      </c>
      <c r="BG1379" t="s">
        <v>9383</v>
      </c>
      <c r="BH1379" s="1">
        <v>170.93</v>
      </c>
      <c r="BI1379" s="1">
        <v>513082</v>
      </c>
      <c r="BJ1379" s="3">
        <v>42444</v>
      </c>
      <c r="BK1379" t="s">
        <v>123</v>
      </c>
      <c r="BL1379" t="str">
        <f>"2016.165684"</f>
        <v>2016.165684</v>
      </c>
      <c r="BM1379" t="s">
        <v>7000</v>
      </c>
      <c r="BO1379" t="s">
        <v>9384</v>
      </c>
      <c r="BS1379">
        <v>30</v>
      </c>
      <c r="BW1379" t="str">
        <f>""</f>
        <v/>
      </c>
      <c r="CH1379" t="str">
        <f>""</f>
        <v/>
      </c>
      <c r="CS1379" t="str">
        <f>""</f>
        <v/>
      </c>
    </row>
    <row r="1380" spans="1:97" x14ac:dyDescent="0.25">
      <c r="A1380" t="s">
        <v>815</v>
      </c>
      <c r="B1380" t="s">
        <v>9385</v>
      </c>
      <c r="C1380" t="s">
        <v>3862</v>
      </c>
      <c r="D1380" t="s">
        <v>9385</v>
      </c>
      <c r="E1380" t="s">
        <v>9386</v>
      </c>
      <c r="F1380" t="s">
        <v>108</v>
      </c>
      <c r="H1380" t="s">
        <v>9387</v>
      </c>
      <c r="I1380" t="s">
        <v>453</v>
      </c>
      <c r="J1380" t="s">
        <v>111</v>
      </c>
      <c r="K1380" t="str">
        <f>"85383"</f>
        <v>85383</v>
      </c>
      <c r="L1380" t="s">
        <v>500</v>
      </c>
      <c r="M1380" t="s">
        <v>9387</v>
      </c>
      <c r="N1380" t="s">
        <v>453</v>
      </c>
      <c r="O1380" t="s">
        <v>111</v>
      </c>
      <c r="P1380" t="str">
        <f>"85383-3605"</f>
        <v>85383-3605</v>
      </c>
      <c r="Q1380" t="s">
        <v>113</v>
      </c>
      <c r="R1380" t="str">
        <f>"201-06-465"</f>
        <v>201-06-465</v>
      </c>
      <c r="S1380" t="s">
        <v>9388</v>
      </c>
      <c r="U1380">
        <v>3037</v>
      </c>
      <c r="V1380">
        <v>0</v>
      </c>
      <c r="W1380">
        <v>4</v>
      </c>
      <c r="X1380">
        <v>2005</v>
      </c>
      <c r="Z1380">
        <v>1</v>
      </c>
      <c r="AA1380" t="s">
        <v>26</v>
      </c>
      <c r="AB1380">
        <v>0</v>
      </c>
      <c r="AC1380" t="s">
        <v>115</v>
      </c>
      <c r="AD1380">
        <v>3</v>
      </c>
      <c r="AE1380" t="s">
        <v>115</v>
      </c>
      <c r="AF1380">
        <v>0</v>
      </c>
      <c r="AG1380">
        <v>0</v>
      </c>
      <c r="AH1380" t="s">
        <v>116</v>
      </c>
      <c r="AI1380" s="1">
        <v>109497</v>
      </c>
      <c r="AJ1380" s="2">
        <v>0.22</v>
      </c>
      <c r="AK1380" s="1">
        <v>508997</v>
      </c>
      <c r="AL1380" t="s">
        <v>117</v>
      </c>
      <c r="AM1380" t="s">
        <v>118</v>
      </c>
      <c r="AN1380">
        <v>9390</v>
      </c>
      <c r="AO1380">
        <v>0.22</v>
      </c>
      <c r="AR1380">
        <v>1</v>
      </c>
      <c r="AS1380" s="1">
        <v>39800</v>
      </c>
      <c r="AT1380" s="1">
        <v>7960</v>
      </c>
      <c r="AU1380" s="1">
        <v>31840</v>
      </c>
      <c r="AV1380">
        <v>80</v>
      </c>
      <c r="AX1380" s="1">
        <v>3438.34</v>
      </c>
      <c r="AY1380" t="s">
        <v>8323</v>
      </c>
      <c r="AZ1380" t="s">
        <v>8323</v>
      </c>
      <c r="BA1380" t="s">
        <v>1386</v>
      </c>
      <c r="BE1380" s="3">
        <v>42521</v>
      </c>
      <c r="BF1380" s="1">
        <v>429000</v>
      </c>
      <c r="BG1380" t="s">
        <v>9389</v>
      </c>
      <c r="BH1380" s="1">
        <v>141.26</v>
      </c>
      <c r="BI1380" s="1">
        <v>399500</v>
      </c>
      <c r="BJ1380" s="3">
        <v>42521</v>
      </c>
      <c r="BK1380" t="s">
        <v>123</v>
      </c>
      <c r="BL1380" t="str">
        <f>"2016.373757"</f>
        <v>2016.373757</v>
      </c>
      <c r="BM1380" t="s">
        <v>9390</v>
      </c>
      <c r="BO1380" t="s">
        <v>9391</v>
      </c>
      <c r="BS1380">
        <v>30</v>
      </c>
      <c r="BW1380" t="str">
        <f>""</f>
        <v/>
      </c>
      <c r="CH1380" t="str">
        <f>""</f>
        <v/>
      </c>
      <c r="CS1380" t="str">
        <f>""</f>
        <v/>
      </c>
    </row>
    <row r="1381" spans="1:97" x14ac:dyDescent="0.25">
      <c r="A1381" t="s">
        <v>464</v>
      </c>
      <c r="B1381" t="s">
        <v>9392</v>
      </c>
      <c r="C1381" t="s">
        <v>4386</v>
      </c>
      <c r="D1381" t="s">
        <v>9392</v>
      </c>
      <c r="E1381" t="s">
        <v>9393</v>
      </c>
      <c r="F1381" t="s">
        <v>108</v>
      </c>
      <c r="H1381" t="s">
        <v>9394</v>
      </c>
      <c r="I1381" t="s">
        <v>390</v>
      </c>
      <c r="J1381" t="s">
        <v>111</v>
      </c>
      <c r="K1381" t="str">
        <f>"85086"</f>
        <v>85086</v>
      </c>
      <c r="L1381" t="s">
        <v>1569</v>
      </c>
      <c r="M1381" t="s">
        <v>9394</v>
      </c>
      <c r="N1381" t="s">
        <v>390</v>
      </c>
      <c r="O1381" t="s">
        <v>111</v>
      </c>
      <c r="P1381" t="str">
        <f>"85086-1954"</f>
        <v>85086-1954</v>
      </c>
      <c r="Q1381" t="s">
        <v>113</v>
      </c>
      <c r="R1381" t="str">
        <f>"211-22-353"</f>
        <v>211-22-353</v>
      </c>
      <c r="S1381" t="s">
        <v>9395</v>
      </c>
      <c r="T1381" t="s">
        <v>6514</v>
      </c>
      <c r="U1381">
        <v>3711</v>
      </c>
      <c r="V1381">
        <v>0</v>
      </c>
      <c r="W1381">
        <v>5</v>
      </c>
      <c r="X1381">
        <v>2005</v>
      </c>
      <c r="Z1381">
        <v>1</v>
      </c>
      <c r="AA1381" t="s">
        <v>26</v>
      </c>
      <c r="AB1381">
        <v>0</v>
      </c>
      <c r="AC1381" t="s">
        <v>115</v>
      </c>
      <c r="AD1381">
        <v>3</v>
      </c>
      <c r="AE1381" t="s">
        <v>115</v>
      </c>
      <c r="AF1381">
        <v>0</v>
      </c>
      <c r="AG1381">
        <v>0</v>
      </c>
      <c r="AH1381" t="s">
        <v>116</v>
      </c>
      <c r="AI1381" s="1">
        <v>103192</v>
      </c>
      <c r="AJ1381" s="2">
        <v>0.16</v>
      </c>
      <c r="AK1381" s="1">
        <v>650530</v>
      </c>
      <c r="AL1381" t="s">
        <v>117</v>
      </c>
      <c r="AM1381" t="s">
        <v>393</v>
      </c>
      <c r="AN1381">
        <v>12500</v>
      </c>
      <c r="AO1381">
        <v>0.28999999999999998</v>
      </c>
      <c r="AR1381">
        <v>1</v>
      </c>
      <c r="AS1381" s="1">
        <v>48630</v>
      </c>
      <c r="AT1381" s="1">
        <v>9720</v>
      </c>
      <c r="AU1381" s="1">
        <v>38910</v>
      </c>
      <c r="AV1381">
        <v>80.010000000000005</v>
      </c>
      <c r="AX1381" s="1">
        <v>4814.58</v>
      </c>
      <c r="AY1381" t="s">
        <v>6515</v>
      </c>
      <c r="AZ1381" t="s">
        <v>6515</v>
      </c>
      <c r="BA1381" t="s">
        <v>378</v>
      </c>
      <c r="BE1381" s="3">
        <v>42265</v>
      </c>
      <c r="BF1381" s="1">
        <v>580000</v>
      </c>
      <c r="BG1381" t="s">
        <v>9396</v>
      </c>
      <c r="BH1381" s="1">
        <v>156.29</v>
      </c>
      <c r="BI1381" s="1">
        <v>547338</v>
      </c>
      <c r="BJ1381" s="3">
        <v>42265</v>
      </c>
      <c r="BK1381" t="s">
        <v>123</v>
      </c>
      <c r="BL1381" t="str">
        <f>"2015.675145"</f>
        <v>2015.675145</v>
      </c>
      <c r="BM1381" t="s">
        <v>4738</v>
      </c>
      <c r="BO1381" t="s">
        <v>9397</v>
      </c>
      <c r="BS1381">
        <v>30</v>
      </c>
      <c r="BW1381" t="str">
        <f>""</f>
        <v/>
      </c>
      <c r="CH1381" t="str">
        <f>""</f>
        <v/>
      </c>
      <c r="CS1381" t="str">
        <f>""</f>
        <v/>
      </c>
    </row>
    <row r="1382" spans="1:97" x14ac:dyDescent="0.25">
      <c r="B1382" t="s">
        <v>9398</v>
      </c>
      <c r="E1382" t="s">
        <v>9399</v>
      </c>
      <c r="F1382" t="s">
        <v>108</v>
      </c>
      <c r="H1382" t="s">
        <v>9400</v>
      </c>
      <c r="I1382" t="s">
        <v>1936</v>
      </c>
      <c r="J1382" t="s">
        <v>111</v>
      </c>
      <c r="K1382" t="str">
        <f>"85259"</f>
        <v>85259</v>
      </c>
      <c r="L1382" t="s">
        <v>6416</v>
      </c>
      <c r="M1382" t="s">
        <v>9400</v>
      </c>
      <c r="N1382" t="s">
        <v>1936</v>
      </c>
      <c r="O1382" t="s">
        <v>111</v>
      </c>
      <c r="P1382" t="str">
        <f>"85259-5041"</f>
        <v>85259-5041</v>
      </c>
      <c r="Q1382" t="s">
        <v>113</v>
      </c>
      <c r="R1382" t="str">
        <f>"217-33-171"</f>
        <v>217-33-171</v>
      </c>
      <c r="S1382" t="s">
        <v>9401</v>
      </c>
      <c r="T1382" t="s">
        <v>9402</v>
      </c>
      <c r="U1382">
        <v>4154</v>
      </c>
      <c r="V1382">
        <v>0</v>
      </c>
      <c r="W1382">
        <v>5</v>
      </c>
      <c r="X1382">
        <v>2003</v>
      </c>
      <c r="Z1382">
        <v>1</v>
      </c>
      <c r="AA1382" t="s">
        <v>26</v>
      </c>
      <c r="AB1382">
        <v>0</v>
      </c>
      <c r="AC1382" t="s">
        <v>115</v>
      </c>
      <c r="AD1382">
        <v>3</v>
      </c>
      <c r="AE1382" t="s">
        <v>115</v>
      </c>
      <c r="AF1382">
        <v>0</v>
      </c>
      <c r="AG1382">
        <v>0</v>
      </c>
      <c r="AH1382" t="s">
        <v>116</v>
      </c>
      <c r="AI1382" s="1">
        <v>6130</v>
      </c>
      <c r="AJ1382" s="2">
        <v>0.01</v>
      </c>
      <c r="AK1382" s="1">
        <v>901686</v>
      </c>
      <c r="AL1382" t="s">
        <v>117</v>
      </c>
      <c r="AM1382" t="s">
        <v>376</v>
      </c>
      <c r="AN1382">
        <v>25261</v>
      </c>
      <c r="AO1382">
        <v>0.57999999999999996</v>
      </c>
      <c r="AP1382">
        <v>1</v>
      </c>
      <c r="AR1382">
        <v>1</v>
      </c>
      <c r="AS1382" s="1">
        <v>78950</v>
      </c>
      <c r="AT1382" s="1">
        <v>15790</v>
      </c>
      <c r="AU1382" s="1">
        <v>63160</v>
      </c>
      <c r="AV1382">
        <v>80</v>
      </c>
      <c r="AX1382" s="1">
        <v>5760.64</v>
      </c>
      <c r="AY1382" t="s">
        <v>5761</v>
      </c>
      <c r="AZ1382" t="s">
        <v>5762</v>
      </c>
      <c r="BA1382" t="s">
        <v>5763</v>
      </c>
      <c r="BE1382" s="3">
        <v>41765</v>
      </c>
      <c r="BF1382" s="1">
        <v>595000</v>
      </c>
      <c r="BG1382" t="s">
        <v>9403</v>
      </c>
      <c r="BH1382" s="1">
        <v>143.24</v>
      </c>
      <c r="BI1382" s="1">
        <v>447778</v>
      </c>
      <c r="BJ1382" s="3">
        <v>41765</v>
      </c>
      <c r="BK1382" t="s">
        <v>123</v>
      </c>
      <c r="BL1382" t="str">
        <f>"2014.294654"</f>
        <v>2014.294654</v>
      </c>
      <c r="BM1382" t="s">
        <v>1033</v>
      </c>
      <c r="BO1382" t="s">
        <v>9404</v>
      </c>
      <c r="BS1382">
        <v>20</v>
      </c>
      <c r="BT1382" s="1">
        <v>447778</v>
      </c>
      <c r="BU1382" s="3">
        <v>41897</v>
      </c>
      <c r="BV1382" t="s">
        <v>123</v>
      </c>
      <c r="BW1382" t="str">
        <f>"2014.608783"</f>
        <v>2014.608783</v>
      </c>
      <c r="BX1382" t="s">
        <v>1033</v>
      </c>
      <c r="BZ1382" t="s">
        <v>9404</v>
      </c>
      <c r="CD1382">
        <v>20</v>
      </c>
      <c r="CH1382" t="str">
        <f>""</f>
        <v/>
      </c>
      <c r="CS1382" t="str">
        <f>""</f>
        <v/>
      </c>
    </row>
    <row r="1383" spans="1:97" x14ac:dyDescent="0.25">
      <c r="A1383" t="s">
        <v>370</v>
      </c>
      <c r="B1383" t="s">
        <v>3173</v>
      </c>
      <c r="E1383" t="s">
        <v>9405</v>
      </c>
      <c r="F1383" t="s">
        <v>108</v>
      </c>
      <c r="H1383" t="s">
        <v>9406</v>
      </c>
      <c r="I1383" t="s">
        <v>144</v>
      </c>
      <c r="J1383" t="s">
        <v>111</v>
      </c>
      <c r="K1383" t="str">
        <f>"85326"</f>
        <v>85326</v>
      </c>
      <c r="L1383" t="s">
        <v>500</v>
      </c>
      <c r="M1383" t="s">
        <v>9406</v>
      </c>
      <c r="N1383" t="s">
        <v>144</v>
      </c>
      <c r="O1383" t="s">
        <v>111</v>
      </c>
      <c r="P1383" t="str">
        <f>"85326-6516"</f>
        <v>85326-6516</v>
      </c>
      <c r="Q1383" t="s">
        <v>113</v>
      </c>
      <c r="R1383" t="str">
        <f>"504-61-212"</f>
        <v>504-61-212</v>
      </c>
      <c r="S1383" t="s">
        <v>9407</v>
      </c>
      <c r="T1383" t="s">
        <v>9408</v>
      </c>
      <c r="U1383">
        <v>3523</v>
      </c>
      <c r="V1383">
        <v>0</v>
      </c>
      <c r="W1383">
        <v>4</v>
      </c>
      <c r="X1383">
        <v>2014</v>
      </c>
      <c r="Z1383">
        <v>2</v>
      </c>
      <c r="AB1383">
        <v>0</v>
      </c>
      <c r="AC1383" t="s">
        <v>115</v>
      </c>
      <c r="AD1383">
        <v>3</v>
      </c>
      <c r="AE1383" t="s">
        <v>115</v>
      </c>
      <c r="AF1383">
        <v>0</v>
      </c>
      <c r="AG1383">
        <v>0</v>
      </c>
      <c r="AH1383" t="s">
        <v>116</v>
      </c>
      <c r="AI1383" s="1">
        <v>76033</v>
      </c>
      <c r="AJ1383" s="2">
        <v>0.21</v>
      </c>
      <c r="AK1383" s="1">
        <v>361738</v>
      </c>
      <c r="AL1383" t="s">
        <v>117</v>
      </c>
      <c r="AM1383" t="s">
        <v>118</v>
      </c>
      <c r="AN1383">
        <v>11148</v>
      </c>
      <c r="AO1383">
        <v>0.26</v>
      </c>
      <c r="AR1383">
        <v>1</v>
      </c>
      <c r="AS1383" s="1">
        <v>26220</v>
      </c>
      <c r="AT1383" s="1">
        <v>5240</v>
      </c>
      <c r="AU1383" s="1">
        <v>20980</v>
      </c>
      <c r="AV1383">
        <v>80.02</v>
      </c>
      <c r="AX1383" s="1">
        <v>2459.88</v>
      </c>
      <c r="AY1383" t="s">
        <v>8444</v>
      </c>
      <c r="AZ1383" t="s">
        <v>8444</v>
      </c>
      <c r="BA1383" t="s">
        <v>1247</v>
      </c>
      <c r="BE1383" s="3">
        <v>41880</v>
      </c>
      <c r="BF1383" s="1">
        <v>276578</v>
      </c>
      <c r="BG1383" t="s">
        <v>1404</v>
      </c>
      <c r="BH1383" s="1">
        <v>78.510000000000005</v>
      </c>
      <c r="BI1383" s="1">
        <v>285705</v>
      </c>
      <c r="BJ1383" s="3">
        <v>41880</v>
      </c>
      <c r="BK1383" t="s">
        <v>123</v>
      </c>
      <c r="BL1383" t="str">
        <f>"2014.578089"</f>
        <v>2014.578089</v>
      </c>
      <c r="BM1383" t="s">
        <v>475</v>
      </c>
      <c r="BO1383" t="s">
        <v>9409</v>
      </c>
      <c r="BS1383">
        <v>30</v>
      </c>
      <c r="BW1383" t="str">
        <f>""</f>
        <v/>
      </c>
      <c r="CH1383" t="str">
        <f>""</f>
        <v/>
      </c>
      <c r="CS1383" t="str">
        <f>""</f>
        <v/>
      </c>
    </row>
    <row r="1384" spans="1:97" x14ac:dyDescent="0.25">
      <c r="A1384" t="s">
        <v>4448</v>
      </c>
      <c r="B1384" t="s">
        <v>9410</v>
      </c>
      <c r="D1384" t="s">
        <v>9411</v>
      </c>
      <c r="E1384" t="s">
        <v>9412</v>
      </c>
      <c r="F1384" t="s">
        <v>108</v>
      </c>
      <c r="H1384" t="s">
        <v>9413</v>
      </c>
      <c r="I1384" t="s">
        <v>453</v>
      </c>
      <c r="J1384" t="s">
        <v>111</v>
      </c>
      <c r="K1384" t="str">
        <f>"85382"</f>
        <v>85382</v>
      </c>
      <c r="L1384" t="s">
        <v>5910</v>
      </c>
      <c r="M1384" t="s">
        <v>9413</v>
      </c>
      <c r="N1384" t="s">
        <v>453</v>
      </c>
      <c r="O1384" t="s">
        <v>111</v>
      </c>
      <c r="P1384" t="str">
        <f>"85382-5242"</f>
        <v>85382-5242</v>
      </c>
      <c r="Q1384" t="s">
        <v>113</v>
      </c>
      <c r="R1384" t="str">
        <f>"231-24-770"</f>
        <v>231-24-770</v>
      </c>
      <c r="S1384" t="s">
        <v>9414</v>
      </c>
      <c r="T1384" t="s">
        <v>6310</v>
      </c>
      <c r="U1384">
        <v>2173</v>
      </c>
      <c r="V1384">
        <v>0</v>
      </c>
      <c r="W1384">
        <v>3</v>
      </c>
      <c r="X1384">
        <v>2000</v>
      </c>
      <c r="Z1384">
        <v>1</v>
      </c>
      <c r="AA1384" t="s">
        <v>26</v>
      </c>
      <c r="AB1384">
        <v>0</v>
      </c>
      <c r="AC1384" t="s">
        <v>115</v>
      </c>
      <c r="AD1384">
        <v>2</v>
      </c>
      <c r="AE1384" t="s">
        <v>115</v>
      </c>
      <c r="AF1384">
        <v>0</v>
      </c>
      <c r="AG1384">
        <v>0</v>
      </c>
      <c r="AH1384" t="s">
        <v>116</v>
      </c>
      <c r="AI1384" s="1">
        <v>48612</v>
      </c>
      <c r="AJ1384" s="2">
        <v>0.14000000000000001</v>
      </c>
      <c r="AK1384" s="1">
        <v>341984</v>
      </c>
      <c r="AL1384" t="s">
        <v>117</v>
      </c>
      <c r="AM1384" t="s">
        <v>118</v>
      </c>
      <c r="AN1384">
        <v>6804</v>
      </c>
      <c r="AO1384">
        <v>0.16</v>
      </c>
      <c r="AP1384">
        <v>1</v>
      </c>
      <c r="AR1384">
        <v>1</v>
      </c>
      <c r="AS1384" s="1">
        <v>24670</v>
      </c>
      <c r="AT1384" s="1">
        <v>4930</v>
      </c>
      <c r="AU1384" s="1">
        <v>19740</v>
      </c>
      <c r="AV1384">
        <v>80.02</v>
      </c>
      <c r="AX1384" s="1">
        <v>2499.98</v>
      </c>
      <c r="AY1384" t="s">
        <v>6311</v>
      </c>
      <c r="AZ1384" t="s">
        <v>6311</v>
      </c>
      <c r="BA1384" t="s">
        <v>4219</v>
      </c>
      <c r="BB1384" s="3">
        <v>43005</v>
      </c>
      <c r="BD1384" t="s">
        <v>157</v>
      </c>
      <c r="BE1384" s="3">
        <v>42355</v>
      </c>
      <c r="BF1384" s="1">
        <v>284000</v>
      </c>
      <c r="BG1384" t="s">
        <v>9415</v>
      </c>
      <c r="BH1384" s="1">
        <v>130.69</v>
      </c>
      <c r="BI1384" s="1">
        <v>293372</v>
      </c>
      <c r="BJ1384" s="3">
        <v>42355</v>
      </c>
      <c r="BK1384" t="s">
        <v>123</v>
      </c>
      <c r="BL1384" t="str">
        <f>"2015.890683"</f>
        <v>2015.890683</v>
      </c>
      <c r="BM1384" t="s">
        <v>475</v>
      </c>
      <c r="BO1384" t="s">
        <v>9416</v>
      </c>
      <c r="BP1384" t="s">
        <v>9417</v>
      </c>
      <c r="BS1384">
        <v>30</v>
      </c>
      <c r="BW1384" t="str">
        <f>""</f>
        <v/>
      </c>
      <c r="CH1384" t="str">
        <f>""</f>
        <v/>
      </c>
      <c r="CS1384" t="str">
        <f>""</f>
        <v/>
      </c>
    </row>
    <row r="1385" spans="1:97" x14ac:dyDescent="0.25">
      <c r="A1385" t="s">
        <v>1047</v>
      </c>
      <c r="B1385" t="s">
        <v>9418</v>
      </c>
      <c r="C1385" t="s">
        <v>695</v>
      </c>
      <c r="D1385" t="s">
        <v>9418</v>
      </c>
      <c r="E1385" t="s">
        <v>9419</v>
      </c>
      <c r="F1385" t="s">
        <v>108</v>
      </c>
      <c r="H1385" t="s">
        <v>9420</v>
      </c>
      <c r="I1385" t="s">
        <v>2874</v>
      </c>
      <c r="J1385" t="s">
        <v>111</v>
      </c>
      <c r="K1385" t="str">
        <f>"85302"</f>
        <v>85302</v>
      </c>
      <c r="L1385" t="s">
        <v>5408</v>
      </c>
      <c r="M1385" t="s">
        <v>9420</v>
      </c>
      <c r="N1385" t="s">
        <v>2874</v>
      </c>
      <c r="O1385" t="s">
        <v>111</v>
      </c>
      <c r="P1385" t="str">
        <f>"85302-3505"</f>
        <v>85302-3505</v>
      </c>
      <c r="Q1385" t="s">
        <v>113</v>
      </c>
      <c r="R1385" t="str">
        <f>"148-08-357"</f>
        <v>148-08-357</v>
      </c>
      <c r="S1385" t="s">
        <v>9421</v>
      </c>
      <c r="T1385" t="s">
        <v>8211</v>
      </c>
      <c r="U1385">
        <v>1957</v>
      </c>
      <c r="V1385">
        <v>0</v>
      </c>
      <c r="W1385">
        <v>3</v>
      </c>
      <c r="X1385">
        <v>1979</v>
      </c>
      <c r="Z1385">
        <v>1</v>
      </c>
      <c r="AB1385">
        <v>0</v>
      </c>
      <c r="AC1385" t="s">
        <v>115</v>
      </c>
      <c r="AD1385">
        <v>2</v>
      </c>
      <c r="AE1385" t="s">
        <v>115</v>
      </c>
      <c r="AF1385">
        <v>0</v>
      </c>
      <c r="AG1385">
        <v>0</v>
      </c>
      <c r="AH1385" t="s">
        <v>116</v>
      </c>
      <c r="AI1385" s="1">
        <v>69607</v>
      </c>
      <c r="AJ1385" s="2">
        <v>0.26</v>
      </c>
      <c r="AK1385" s="1">
        <v>269701</v>
      </c>
      <c r="AL1385" t="s">
        <v>117</v>
      </c>
      <c r="AM1385" t="s">
        <v>191</v>
      </c>
      <c r="AN1385">
        <v>9911</v>
      </c>
      <c r="AO1385">
        <v>0.23</v>
      </c>
      <c r="AP1385">
        <v>1</v>
      </c>
      <c r="AR1385">
        <v>1</v>
      </c>
      <c r="AS1385" s="1">
        <v>17750</v>
      </c>
      <c r="AT1385" s="1">
        <v>3550</v>
      </c>
      <c r="AU1385" s="1">
        <v>14200</v>
      </c>
      <c r="AV1385">
        <v>80</v>
      </c>
      <c r="AX1385" s="1">
        <v>1282.6400000000001</v>
      </c>
      <c r="AY1385" t="s">
        <v>6985</v>
      </c>
      <c r="AZ1385" t="s">
        <v>6986</v>
      </c>
      <c r="BA1385" t="s">
        <v>6987</v>
      </c>
      <c r="BE1385" s="3">
        <v>41997</v>
      </c>
      <c r="BF1385" s="1">
        <v>192000</v>
      </c>
      <c r="BG1385" t="s">
        <v>9422</v>
      </c>
      <c r="BH1385" s="1">
        <v>98.11</v>
      </c>
      <c r="BI1385" s="1">
        <v>200094</v>
      </c>
      <c r="BJ1385" s="3">
        <v>42600</v>
      </c>
      <c r="BK1385" t="s">
        <v>123</v>
      </c>
      <c r="BL1385" t="str">
        <f>"2016.592362"</f>
        <v>2016.592362</v>
      </c>
      <c r="BM1385" t="s">
        <v>544</v>
      </c>
      <c r="BO1385" t="s">
        <v>9423</v>
      </c>
      <c r="BS1385">
        <v>30</v>
      </c>
      <c r="BW1385" t="str">
        <f>""</f>
        <v/>
      </c>
      <c r="CH1385" t="str">
        <f>""</f>
        <v/>
      </c>
      <c r="CS1385" t="str">
        <f>""</f>
        <v/>
      </c>
    </row>
    <row r="1386" spans="1:97" x14ac:dyDescent="0.25">
      <c r="A1386" t="s">
        <v>996</v>
      </c>
      <c r="B1386" t="s">
        <v>478</v>
      </c>
      <c r="C1386" t="s">
        <v>1162</v>
      </c>
      <c r="D1386" t="s">
        <v>478</v>
      </c>
      <c r="E1386" t="s">
        <v>9424</v>
      </c>
      <c r="F1386" t="s">
        <v>108</v>
      </c>
      <c r="H1386" t="s">
        <v>9425</v>
      </c>
      <c r="I1386" t="s">
        <v>632</v>
      </c>
      <c r="J1386" t="s">
        <v>111</v>
      </c>
      <c r="K1386" t="str">
        <f>"85388"</f>
        <v>85388</v>
      </c>
      <c r="L1386" t="s">
        <v>9426</v>
      </c>
      <c r="M1386" t="s">
        <v>9425</v>
      </c>
      <c r="N1386" t="s">
        <v>632</v>
      </c>
      <c r="O1386" t="s">
        <v>111</v>
      </c>
      <c r="P1386" t="str">
        <f>"85388-6026"</f>
        <v>85388-6026</v>
      </c>
      <c r="Q1386" t="s">
        <v>113</v>
      </c>
      <c r="R1386" t="str">
        <f>"501-07-096"</f>
        <v>501-07-096</v>
      </c>
      <c r="S1386" t="s">
        <v>9427</v>
      </c>
      <c r="U1386">
        <v>2765</v>
      </c>
      <c r="V1386">
        <v>0</v>
      </c>
      <c r="W1386">
        <v>5</v>
      </c>
      <c r="X1386">
        <v>2007</v>
      </c>
      <c r="Z1386">
        <v>2</v>
      </c>
      <c r="AA1386" t="s">
        <v>26</v>
      </c>
      <c r="AB1386">
        <v>0</v>
      </c>
      <c r="AC1386" t="s">
        <v>115</v>
      </c>
      <c r="AD1386">
        <v>2</v>
      </c>
      <c r="AE1386" t="s">
        <v>115</v>
      </c>
      <c r="AF1386">
        <v>0</v>
      </c>
      <c r="AG1386">
        <v>0</v>
      </c>
      <c r="AH1386" t="s">
        <v>116</v>
      </c>
      <c r="AI1386" s="1">
        <v>58070</v>
      </c>
      <c r="AJ1386" s="2">
        <v>0.18</v>
      </c>
      <c r="AK1386" s="1">
        <v>331815</v>
      </c>
      <c r="AL1386" t="s">
        <v>117</v>
      </c>
      <c r="AM1386" t="s">
        <v>118</v>
      </c>
      <c r="AN1386">
        <v>6670</v>
      </c>
      <c r="AO1386">
        <v>0.15</v>
      </c>
      <c r="AR1386">
        <v>1</v>
      </c>
      <c r="AS1386" s="1">
        <v>23720</v>
      </c>
      <c r="AT1386" s="1">
        <v>4740</v>
      </c>
      <c r="AU1386" s="1">
        <v>18980</v>
      </c>
      <c r="AV1386">
        <v>80.02</v>
      </c>
      <c r="AX1386" s="1">
        <v>2172.96</v>
      </c>
      <c r="AY1386" t="s">
        <v>5060</v>
      </c>
      <c r="AZ1386" t="s">
        <v>5060</v>
      </c>
      <c r="BA1386" t="s">
        <v>5061</v>
      </c>
      <c r="BB1386" s="3">
        <v>42433</v>
      </c>
      <c r="BD1386" t="s">
        <v>240</v>
      </c>
      <c r="BE1386" s="3">
        <v>42342</v>
      </c>
      <c r="BF1386" s="1">
        <v>265000</v>
      </c>
      <c r="BG1386" t="s">
        <v>9428</v>
      </c>
      <c r="BH1386" s="1">
        <v>95.84</v>
      </c>
      <c r="BI1386" s="1">
        <v>273745</v>
      </c>
      <c r="BJ1386" s="3">
        <v>42342</v>
      </c>
      <c r="BK1386" t="s">
        <v>123</v>
      </c>
      <c r="BL1386" t="str">
        <f>"2015.861670"</f>
        <v>2015.861670</v>
      </c>
      <c r="BM1386" t="s">
        <v>1544</v>
      </c>
      <c r="BO1386" t="s">
        <v>9429</v>
      </c>
      <c r="BS1386">
        <v>30</v>
      </c>
      <c r="BW1386" t="str">
        <f>""</f>
        <v/>
      </c>
      <c r="CH1386" t="str">
        <f>""</f>
        <v/>
      </c>
      <c r="CS1386" t="str">
        <f>""</f>
        <v/>
      </c>
    </row>
    <row r="1387" spans="1:97" x14ac:dyDescent="0.25">
      <c r="A1387" t="s">
        <v>370</v>
      </c>
      <c r="B1387" t="s">
        <v>9430</v>
      </c>
      <c r="E1387" t="s">
        <v>9431</v>
      </c>
      <c r="F1387" t="s">
        <v>108</v>
      </c>
      <c r="H1387" t="s">
        <v>9432</v>
      </c>
      <c r="I1387" t="s">
        <v>5114</v>
      </c>
      <c r="J1387" t="s">
        <v>111</v>
      </c>
      <c r="K1387" t="str">
        <f>"85323"</f>
        <v>85323</v>
      </c>
      <c r="L1387" t="s">
        <v>688</v>
      </c>
      <c r="M1387" t="s">
        <v>9432</v>
      </c>
      <c r="N1387" t="s">
        <v>5114</v>
      </c>
      <c r="O1387" t="s">
        <v>111</v>
      </c>
      <c r="P1387" t="str">
        <f>"85323-7711"</f>
        <v>85323-7711</v>
      </c>
      <c r="Q1387" t="s">
        <v>113</v>
      </c>
      <c r="R1387" t="str">
        <f>"500-32-240"</f>
        <v>500-32-240</v>
      </c>
      <c r="S1387" t="s">
        <v>9433</v>
      </c>
      <c r="U1387">
        <v>2474</v>
      </c>
      <c r="V1387">
        <v>0</v>
      </c>
      <c r="W1387">
        <v>4</v>
      </c>
      <c r="X1387">
        <v>2014</v>
      </c>
      <c r="Z1387">
        <v>2</v>
      </c>
      <c r="AB1387">
        <v>0</v>
      </c>
      <c r="AC1387" t="s">
        <v>115</v>
      </c>
      <c r="AD1387">
        <v>2</v>
      </c>
      <c r="AE1387" t="s">
        <v>115</v>
      </c>
      <c r="AF1387">
        <v>0</v>
      </c>
      <c r="AG1387">
        <v>0</v>
      </c>
      <c r="AH1387" t="s">
        <v>116</v>
      </c>
      <c r="AI1387" s="1">
        <v>3912</v>
      </c>
      <c r="AJ1387" s="2">
        <v>0.01</v>
      </c>
      <c r="AK1387" s="1">
        <v>305151</v>
      </c>
      <c r="AL1387" t="s">
        <v>117</v>
      </c>
      <c r="AM1387" t="s">
        <v>118</v>
      </c>
      <c r="AN1387">
        <v>7210</v>
      </c>
      <c r="AO1387">
        <v>0.17</v>
      </c>
      <c r="AR1387">
        <v>1</v>
      </c>
      <c r="AS1387" s="1">
        <v>21470</v>
      </c>
      <c r="AT1387" s="1">
        <v>4290</v>
      </c>
      <c r="AU1387" s="1">
        <v>17180</v>
      </c>
      <c r="AV1387">
        <v>80.02</v>
      </c>
      <c r="AX1387" s="1">
        <v>2202.86</v>
      </c>
      <c r="AY1387" t="s">
        <v>5458</v>
      </c>
      <c r="AZ1387" t="s">
        <v>5458</v>
      </c>
      <c r="BA1387" t="s">
        <v>4254</v>
      </c>
      <c r="BB1387" s="3">
        <v>42919</v>
      </c>
      <c r="BD1387" t="s">
        <v>157</v>
      </c>
      <c r="BE1387" s="3">
        <v>41880</v>
      </c>
      <c r="BF1387" s="1">
        <v>229494</v>
      </c>
      <c r="BG1387" t="s">
        <v>3524</v>
      </c>
      <c r="BH1387" s="1">
        <v>92.76</v>
      </c>
      <c r="BI1387" s="1">
        <v>301239</v>
      </c>
      <c r="BJ1387" s="3">
        <v>43508</v>
      </c>
      <c r="BK1387" t="s">
        <v>123</v>
      </c>
      <c r="BL1387" t="str">
        <f>"2019.96369"</f>
        <v>2019.96369</v>
      </c>
      <c r="BM1387" t="s">
        <v>2774</v>
      </c>
      <c r="BN1387" t="s">
        <v>2775</v>
      </c>
      <c r="BO1387" t="s">
        <v>9431</v>
      </c>
      <c r="BR1387" t="s">
        <v>139</v>
      </c>
      <c r="BW1387" t="str">
        <f>""</f>
        <v/>
      </c>
      <c r="CH1387" t="str">
        <f>""</f>
        <v/>
      </c>
      <c r="CS1387" t="str">
        <f>""</f>
        <v/>
      </c>
    </row>
    <row r="1388" spans="1:97" x14ac:dyDescent="0.25">
      <c r="A1388" t="s">
        <v>305</v>
      </c>
      <c r="B1388" t="s">
        <v>9434</v>
      </c>
      <c r="C1388" t="s">
        <v>2168</v>
      </c>
      <c r="D1388" t="s">
        <v>9435</v>
      </c>
      <c r="E1388" t="s">
        <v>9436</v>
      </c>
      <c r="F1388" t="s">
        <v>108</v>
      </c>
      <c r="H1388" t="s">
        <v>9437</v>
      </c>
      <c r="I1388" t="s">
        <v>203</v>
      </c>
      <c r="J1388" t="s">
        <v>111</v>
      </c>
      <c r="K1388" t="str">
        <f>"85233"</f>
        <v>85233</v>
      </c>
      <c r="L1388" t="s">
        <v>6325</v>
      </c>
      <c r="M1388" t="s">
        <v>9437</v>
      </c>
      <c r="N1388" t="s">
        <v>203</v>
      </c>
      <c r="O1388" t="s">
        <v>111</v>
      </c>
      <c r="P1388" t="str">
        <f>"85233-3280"</f>
        <v>85233-3280</v>
      </c>
      <c r="Q1388" t="s">
        <v>113</v>
      </c>
      <c r="R1388" t="str">
        <f>"310-05-733"</f>
        <v>310-05-733</v>
      </c>
      <c r="S1388" t="s">
        <v>9438</v>
      </c>
      <c r="T1388" t="s">
        <v>9439</v>
      </c>
      <c r="U1388">
        <v>1241</v>
      </c>
      <c r="V1388">
        <v>0</v>
      </c>
      <c r="W1388">
        <v>2</v>
      </c>
      <c r="X1388">
        <v>1997</v>
      </c>
      <c r="Z1388">
        <v>1</v>
      </c>
      <c r="AA1388" t="s">
        <v>26</v>
      </c>
      <c r="AB1388">
        <v>0</v>
      </c>
      <c r="AC1388" t="s">
        <v>115</v>
      </c>
      <c r="AD1388">
        <v>2</v>
      </c>
      <c r="AE1388" t="s">
        <v>115</v>
      </c>
      <c r="AF1388">
        <v>0</v>
      </c>
      <c r="AG1388">
        <v>0</v>
      </c>
      <c r="AH1388" t="s">
        <v>116</v>
      </c>
      <c r="AI1388" s="1">
        <v>26734</v>
      </c>
      <c r="AJ1388" s="2">
        <v>0.09</v>
      </c>
      <c r="AK1388" s="1">
        <v>282760</v>
      </c>
      <c r="AL1388" t="s">
        <v>117</v>
      </c>
      <c r="AM1388" t="s">
        <v>288</v>
      </c>
      <c r="AN1388">
        <v>5976</v>
      </c>
      <c r="AO1388">
        <v>0.14000000000000001</v>
      </c>
      <c r="AP1388">
        <v>1</v>
      </c>
      <c r="AR1388">
        <v>1</v>
      </c>
      <c r="AS1388" s="1">
        <v>18600</v>
      </c>
      <c r="AT1388" s="1">
        <v>3720</v>
      </c>
      <c r="AU1388" s="1">
        <v>14880</v>
      </c>
      <c r="AV1388">
        <v>80</v>
      </c>
      <c r="AX1388" s="1">
        <v>1220.5</v>
      </c>
      <c r="AY1388" t="s">
        <v>8604</v>
      </c>
      <c r="AZ1388" t="s">
        <v>5478</v>
      </c>
      <c r="BA1388" t="s">
        <v>5479</v>
      </c>
      <c r="BE1388" s="3">
        <v>42510</v>
      </c>
      <c r="BF1388" s="1">
        <v>244000</v>
      </c>
      <c r="BG1388" t="s">
        <v>9440</v>
      </c>
      <c r="BH1388" s="1">
        <v>196.62</v>
      </c>
      <c r="BI1388" s="1">
        <v>256026</v>
      </c>
      <c r="BJ1388" s="3">
        <v>42681</v>
      </c>
      <c r="BK1388" t="s">
        <v>123</v>
      </c>
      <c r="BL1388" t="str">
        <f>"2016.822857"</f>
        <v>2016.822857</v>
      </c>
      <c r="BM1388" t="s">
        <v>248</v>
      </c>
      <c r="BO1388" t="s">
        <v>9441</v>
      </c>
      <c r="BP1388" t="s">
        <v>9442</v>
      </c>
      <c r="BS1388">
        <v>30</v>
      </c>
      <c r="BW1388" t="str">
        <f>""</f>
        <v/>
      </c>
      <c r="CH1388" t="str">
        <f>""</f>
        <v/>
      </c>
      <c r="CS1388" t="str">
        <f>""</f>
        <v/>
      </c>
    </row>
    <row r="1389" spans="1:97" x14ac:dyDescent="0.25">
      <c r="A1389" t="s">
        <v>938</v>
      </c>
      <c r="B1389" t="s">
        <v>9443</v>
      </c>
      <c r="C1389" t="s">
        <v>1540</v>
      </c>
      <c r="D1389" t="s">
        <v>9443</v>
      </c>
      <c r="E1389" t="s">
        <v>9444</v>
      </c>
      <c r="F1389" t="s">
        <v>108</v>
      </c>
      <c r="H1389" t="s">
        <v>9445</v>
      </c>
      <c r="I1389" t="s">
        <v>5114</v>
      </c>
      <c r="J1389" t="s">
        <v>111</v>
      </c>
      <c r="K1389" t="str">
        <f>"85323"</f>
        <v>85323</v>
      </c>
      <c r="L1389" t="s">
        <v>1070</v>
      </c>
      <c r="M1389" t="s">
        <v>9445</v>
      </c>
      <c r="N1389" t="s">
        <v>5114</v>
      </c>
      <c r="O1389" t="s">
        <v>111</v>
      </c>
      <c r="P1389" t="str">
        <f>"85323-8093"</f>
        <v>85323-8093</v>
      </c>
      <c r="Q1389" t="s">
        <v>113</v>
      </c>
      <c r="R1389" t="str">
        <f>"500-29-140"</f>
        <v>500-29-140</v>
      </c>
      <c r="S1389" t="s">
        <v>9446</v>
      </c>
      <c r="U1389">
        <v>2166</v>
      </c>
      <c r="V1389">
        <v>0</v>
      </c>
      <c r="W1389">
        <v>3</v>
      </c>
      <c r="X1389">
        <v>2003</v>
      </c>
      <c r="Z1389">
        <v>1</v>
      </c>
      <c r="AB1389">
        <v>0</v>
      </c>
      <c r="AC1389" t="s">
        <v>115</v>
      </c>
      <c r="AD1389">
        <v>2</v>
      </c>
      <c r="AE1389" t="s">
        <v>115</v>
      </c>
      <c r="AF1389">
        <v>0</v>
      </c>
      <c r="AG1389">
        <v>0</v>
      </c>
      <c r="AH1389" t="s">
        <v>116</v>
      </c>
      <c r="AI1389" s="1">
        <v>89546</v>
      </c>
      <c r="AJ1389" s="2">
        <v>0.31</v>
      </c>
      <c r="AK1389" s="1">
        <v>291226</v>
      </c>
      <c r="AL1389" t="s">
        <v>117</v>
      </c>
      <c r="AM1389" t="s">
        <v>118</v>
      </c>
      <c r="AN1389">
        <v>10537</v>
      </c>
      <c r="AO1389">
        <v>0.24</v>
      </c>
      <c r="AP1389">
        <v>1</v>
      </c>
      <c r="AR1389">
        <v>1</v>
      </c>
      <c r="AS1389" s="1">
        <v>20050</v>
      </c>
      <c r="AT1389" s="1">
        <v>4010</v>
      </c>
      <c r="AU1389" s="1">
        <v>16040</v>
      </c>
      <c r="AV1389">
        <v>80</v>
      </c>
      <c r="AX1389" s="1">
        <v>1910.8</v>
      </c>
      <c r="AY1389" t="s">
        <v>9447</v>
      </c>
      <c r="AZ1389" t="s">
        <v>9447</v>
      </c>
      <c r="BA1389" t="s">
        <v>4254</v>
      </c>
      <c r="BE1389" s="3">
        <v>41891</v>
      </c>
      <c r="BF1389" s="1">
        <v>194000</v>
      </c>
      <c r="BG1389" t="s">
        <v>9448</v>
      </c>
      <c r="BH1389" s="1">
        <v>89.57</v>
      </c>
      <c r="BI1389" s="1">
        <v>201680</v>
      </c>
      <c r="BJ1389" s="3">
        <v>42605</v>
      </c>
      <c r="BK1389" t="s">
        <v>123</v>
      </c>
      <c r="BL1389" t="str">
        <f>"2016.604546"</f>
        <v>2016.604546</v>
      </c>
      <c r="BM1389" t="s">
        <v>544</v>
      </c>
      <c r="BO1389" t="s">
        <v>9449</v>
      </c>
      <c r="BS1389">
        <v>30</v>
      </c>
      <c r="BW1389" t="str">
        <f>""</f>
        <v/>
      </c>
      <c r="CH1389" t="str">
        <f>""</f>
        <v/>
      </c>
      <c r="CS1389" t="str">
        <f>""</f>
        <v/>
      </c>
    </row>
    <row r="1390" spans="1:97" x14ac:dyDescent="0.25">
      <c r="A1390" t="s">
        <v>370</v>
      </c>
      <c r="B1390" t="s">
        <v>9450</v>
      </c>
      <c r="E1390" t="s">
        <v>9451</v>
      </c>
      <c r="F1390" t="s">
        <v>108</v>
      </c>
      <c r="H1390" t="s">
        <v>9452</v>
      </c>
      <c r="I1390" t="s">
        <v>453</v>
      </c>
      <c r="J1390" t="s">
        <v>111</v>
      </c>
      <c r="K1390" t="str">
        <f>"85382"</f>
        <v>85382</v>
      </c>
      <c r="L1390" t="s">
        <v>7147</v>
      </c>
      <c r="M1390" t="s">
        <v>9452</v>
      </c>
      <c r="N1390" t="s">
        <v>453</v>
      </c>
      <c r="O1390" t="s">
        <v>111</v>
      </c>
      <c r="P1390" t="str">
        <f>"85382-3112"</f>
        <v>85382-3112</v>
      </c>
      <c r="Q1390" t="s">
        <v>113</v>
      </c>
      <c r="R1390" t="str">
        <f>"200-43-492"</f>
        <v>200-43-492</v>
      </c>
      <c r="S1390" t="s">
        <v>8285</v>
      </c>
      <c r="T1390" t="s">
        <v>8285</v>
      </c>
      <c r="U1390">
        <v>1588</v>
      </c>
      <c r="V1390">
        <v>0</v>
      </c>
      <c r="W1390">
        <v>4</v>
      </c>
      <c r="X1390">
        <v>2014</v>
      </c>
      <c r="Z1390">
        <v>2</v>
      </c>
      <c r="AB1390">
        <v>0</v>
      </c>
      <c r="AC1390" t="s">
        <v>115</v>
      </c>
      <c r="AD1390">
        <v>2</v>
      </c>
      <c r="AE1390" t="s">
        <v>115</v>
      </c>
      <c r="AF1390">
        <v>0</v>
      </c>
      <c r="AG1390">
        <v>0</v>
      </c>
      <c r="AH1390" t="s">
        <v>116</v>
      </c>
      <c r="AI1390" s="1">
        <v>73497</v>
      </c>
      <c r="AJ1390" s="2">
        <v>0.26</v>
      </c>
      <c r="AK1390" s="1">
        <v>280897</v>
      </c>
      <c r="AL1390" t="s">
        <v>117</v>
      </c>
      <c r="AM1390" t="s">
        <v>118</v>
      </c>
      <c r="AN1390">
        <v>2520</v>
      </c>
      <c r="AO1390">
        <v>0.57999999999999996</v>
      </c>
      <c r="AR1390">
        <v>1</v>
      </c>
      <c r="AS1390" s="1">
        <v>19320</v>
      </c>
      <c r="AT1390" s="1">
        <v>3860</v>
      </c>
      <c r="AU1390" s="1">
        <v>15460</v>
      </c>
      <c r="AV1390">
        <v>80.02</v>
      </c>
      <c r="AX1390" s="1">
        <v>1528.34</v>
      </c>
      <c r="AY1390" t="s">
        <v>7828</v>
      </c>
      <c r="AZ1390" t="s">
        <v>7828</v>
      </c>
      <c r="BA1390" t="s">
        <v>4219</v>
      </c>
      <c r="BE1390" s="3">
        <v>42034</v>
      </c>
      <c r="BF1390" s="1">
        <v>209496</v>
      </c>
      <c r="BG1390" t="s">
        <v>2199</v>
      </c>
      <c r="BH1390" s="1">
        <v>131.91999999999999</v>
      </c>
      <c r="BI1390" s="1">
        <v>207400</v>
      </c>
      <c r="BJ1390" s="3">
        <v>42607</v>
      </c>
      <c r="BK1390" t="s">
        <v>123</v>
      </c>
      <c r="BL1390" t="str">
        <f>"2016.613210"</f>
        <v>2016.613210</v>
      </c>
      <c r="BM1390" t="s">
        <v>255</v>
      </c>
      <c r="BO1390" t="s">
        <v>9453</v>
      </c>
      <c r="BS1390">
        <v>30</v>
      </c>
      <c r="BW1390" t="str">
        <f>""</f>
        <v/>
      </c>
      <c r="CH1390" t="str">
        <f>""</f>
        <v/>
      </c>
      <c r="CS1390" t="str">
        <f>""</f>
        <v/>
      </c>
    </row>
    <row r="1391" spans="1:97" x14ac:dyDescent="0.25">
      <c r="A1391" t="s">
        <v>702</v>
      </c>
      <c r="B1391" t="s">
        <v>327</v>
      </c>
      <c r="C1391" t="s">
        <v>2261</v>
      </c>
      <c r="D1391" t="s">
        <v>327</v>
      </c>
      <c r="E1391" t="s">
        <v>9454</v>
      </c>
      <c r="F1391" t="s">
        <v>108</v>
      </c>
      <c r="H1391" t="s">
        <v>9455</v>
      </c>
      <c r="I1391" t="s">
        <v>390</v>
      </c>
      <c r="J1391" t="s">
        <v>111</v>
      </c>
      <c r="K1391" t="str">
        <f>"85086"</f>
        <v>85086</v>
      </c>
      <c r="L1391" t="s">
        <v>3225</v>
      </c>
      <c r="M1391" t="s">
        <v>9455</v>
      </c>
      <c r="N1391" t="s">
        <v>390</v>
      </c>
      <c r="O1391" t="s">
        <v>111</v>
      </c>
      <c r="P1391" t="str">
        <f>"85086-2389"</f>
        <v>85086-2389</v>
      </c>
      <c r="Q1391" t="s">
        <v>113</v>
      </c>
      <c r="R1391" t="str">
        <f>"203-40-512"</f>
        <v>203-40-512</v>
      </c>
      <c r="S1391" t="s">
        <v>9456</v>
      </c>
      <c r="U1391">
        <v>2168</v>
      </c>
      <c r="V1391">
        <v>0</v>
      </c>
      <c r="W1391">
        <v>3</v>
      </c>
      <c r="X1391">
        <v>2003</v>
      </c>
      <c r="Z1391">
        <v>2</v>
      </c>
      <c r="AB1391">
        <v>0</v>
      </c>
      <c r="AC1391" t="s">
        <v>115</v>
      </c>
      <c r="AD1391">
        <v>2</v>
      </c>
      <c r="AE1391" t="s">
        <v>115</v>
      </c>
      <c r="AF1391">
        <v>0</v>
      </c>
      <c r="AG1391">
        <v>0</v>
      </c>
      <c r="AH1391" t="s">
        <v>116</v>
      </c>
      <c r="AI1391" s="1">
        <v>77223</v>
      </c>
      <c r="AJ1391" s="2">
        <v>0.24</v>
      </c>
      <c r="AK1391" s="1">
        <v>316223</v>
      </c>
      <c r="AL1391" t="s">
        <v>117</v>
      </c>
      <c r="AM1391" t="s">
        <v>191</v>
      </c>
      <c r="AN1391">
        <v>5209</v>
      </c>
      <c r="AO1391">
        <v>0.12</v>
      </c>
      <c r="AP1391">
        <v>1</v>
      </c>
      <c r="AR1391">
        <v>1</v>
      </c>
      <c r="AS1391" s="1">
        <v>21660</v>
      </c>
      <c r="AT1391" s="1">
        <v>4330</v>
      </c>
      <c r="AU1391" s="1">
        <v>17330</v>
      </c>
      <c r="AV1391">
        <v>80.010000000000005</v>
      </c>
      <c r="AX1391" s="1">
        <v>2386.46</v>
      </c>
      <c r="AY1391" t="s">
        <v>6515</v>
      </c>
      <c r="AZ1391" t="s">
        <v>6515</v>
      </c>
      <c r="BA1391" t="s">
        <v>378</v>
      </c>
      <c r="BE1391" s="3">
        <v>41817</v>
      </c>
      <c r="BF1391" s="1">
        <v>239900</v>
      </c>
      <c r="BG1391" t="s">
        <v>5716</v>
      </c>
      <c r="BH1391" s="1">
        <v>110.65</v>
      </c>
      <c r="BI1391" s="1">
        <v>239000</v>
      </c>
      <c r="BJ1391" s="3">
        <v>41817</v>
      </c>
      <c r="BK1391" t="s">
        <v>123</v>
      </c>
      <c r="BL1391" t="str">
        <f>"2014.425090"</f>
        <v>2014.425090</v>
      </c>
      <c r="BM1391" t="s">
        <v>124</v>
      </c>
      <c r="BO1391" t="s">
        <v>9457</v>
      </c>
      <c r="BS1391">
        <v>30</v>
      </c>
      <c r="BW1391" t="str">
        <f>""</f>
        <v/>
      </c>
      <c r="CH1391" t="str">
        <f>""</f>
        <v/>
      </c>
      <c r="CS1391" t="str">
        <f>""</f>
        <v/>
      </c>
    </row>
    <row r="1392" spans="1:97" x14ac:dyDescent="0.25">
      <c r="B1392" t="s">
        <v>9458</v>
      </c>
      <c r="E1392" t="s">
        <v>9459</v>
      </c>
      <c r="F1392" t="s">
        <v>108</v>
      </c>
      <c r="H1392" t="s">
        <v>9460</v>
      </c>
      <c r="I1392" t="s">
        <v>390</v>
      </c>
      <c r="J1392" t="s">
        <v>111</v>
      </c>
      <c r="K1392" t="str">
        <f>"85048"</f>
        <v>85048</v>
      </c>
      <c r="L1392" t="s">
        <v>5209</v>
      </c>
      <c r="M1392" t="s">
        <v>9460</v>
      </c>
      <c r="N1392" t="s">
        <v>390</v>
      </c>
      <c r="O1392" t="s">
        <v>111</v>
      </c>
      <c r="P1392" t="str">
        <f>"85048-8411"</f>
        <v>85048-8411</v>
      </c>
      <c r="R1392" t="str">
        <f>"300-36-735"</f>
        <v>300-36-735</v>
      </c>
      <c r="S1392" t="s">
        <v>9461</v>
      </c>
      <c r="T1392" t="s">
        <v>9462</v>
      </c>
      <c r="U1392">
        <v>1559</v>
      </c>
      <c r="V1392">
        <v>0</v>
      </c>
      <c r="W1392">
        <v>4</v>
      </c>
      <c r="X1392">
        <v>1991</v>
      </c>
      <c r="Z1392">
        <v>2</v>
      </c>
      <c r="AB1392">
        <v>0</v>
      </c>
      <c r="AC1392" t="s">
        <v>115</v>
      </c>
      <c r="AD1392">
        <v>2</v>
      </c>
      <c r="AE1392" t="s">
        <v>115</v>
      </c>
      <c r="AF1392">
        <v>0</v>
      </c>
      <c r="AG1392">
        <v>0</v>
      </c>
      <c r="AH1392" t="s">
        <v>116</v>
      </c>
      <c r="AI1392" s="1">
        <v>50998</v>
      </c>
      <c r="AJ1392" s="2">
        <v>0.15</v>
      </c>
      <c r="AK1392" s="1">
        <v>341199</v>
      </c>
      <c r="AL1392" t="s">
        <v>117</v>
      </c>
      <c r="AM1392" t="s">
        <v>229</v>
      </c>
      <c r="AN1392">
        <v>2666</v>
      </c>
      <c r="AO1392">
        <v>0.61</v>
      </c>
      <c r="AP1392">
        <v>1</v>
      </c>
      <c r="AR1392">
        <v>1</v>
      </c>
      <c r="AS1392" s="1">
        <v>24320</v>
      </c>
      <c r="AT1392" s="1">
        <v>4860</v>
      </c>
      <c r="AU1392" s="1">
        <v>19460</v>
      </c>
      <c r="AV1392">
        <v>80.02</v>
      </c>
      <c r="AX1392" s="1">
        <v>2806.8</v>
      </c>
      <c r="AY1392" t="s">
        <v>2966</v>
      </c>
      <c r="AZ1392" t="s">
        <v>2967</v>
      </c>
      <c r="BA1392" t="s">
        <v>930</v>
      </c>
      <c r="BB1392" s="3">
        <v>42242</v>
      </c>
      <c r="BD1392" t="s">
        <v>291</v>
      </c>
      <c r="BE1392" s="3">
        <v>42209</v>
      </c>
      <c r="BF1392" s="1">
        <v>285000</v>
      </c>
      <c r="BG1392" t="s">
        <v>9463</v>
      </c>
      <c r="BH1392" s="1">
        <v>182.81</v>
      </c>
      <c r="BI1392" s="1">
        <v>290201</v>
      </c>
      <c r="BJ1392" s="3">
        <v>42732</v>
      </c>
      <c r="BK1392" t="s">
        <v>123</v>
      </c>
      <c r="BL1392" t="str">
        <f>"2016.957169"</f>
        <v>2016.957169</v>
      </c>
      <c r="BM1392" t="s">
        <v>1695</v>
      </c>
      <c r="BN1392" t="s">
        <v>3082</v>
      </c>
      <c r="BO1392" t="s">
        <v>9464</v>
      </c>
      <c r="BS1392">
        <v>30</v>
      </c>
      <c r="BW1392" t="str">
        <f>""</f>
        <v/>
      </c>
      <c r="CH1392" t="str">
        <f>""</f>
        <v/>
      </c>
      <c r="CS1392" t="str">
        <f>""</f>
        <v/>
      </c>
    </row>
    <row r="1393" spans="1:97" x14ac:dyDescent="0.25">
      <c r="A1393" t="s">
        <v>1109</v>
      </c>
      <c r="B1393" t="s">
        <v>9465</v>
      </c>
      <c r="C1393" t="s">
        <v>6221</v>
      </c>
      <c r="D1393" t="s">
        <v>9465</v>
      </c>
      <c r="E1393" t="s">
        <v>9466</v>
      </c>
      <c r="F1393" t="s">
        <v>108</v>
      </c>
      <c r="H1393" t="s">
        <v>9467</v>
      </c>
      <c r="I1393" t="s">
        <v>2874</v>
      </c>
      <c r="J1393" t="s">
        <v>111</v>
      </c>
      <c r="K1393" t="str">
        <f>"85303"</f>
        <v>85303</v>
      </c>
      <c r="L1393" t="s">
        <v>7626</v>
      </c>
      <c r="M1393" t="s">
        <v>9467</v>
      </c>
      <c r="N1393" t="s">
        <v>2874</v>
      </c>
      <c r="O1393" t="s">
        <v>111</v>
      </c>
      <c r="P1393" t="str">
        <f>"85303-2001"</f>
        <v>85303-2001</v>
      </c>
      <c r="Q1393" t="s">
        <v>113</v>
      </c>
      <c r="R1393" t="str">
        <f>"143-26-055"</f>
        <v>143-26-055</v>
      </c>
      <c r="S1393" t="s">
        <v>9468</v>
      </c>
      <c r="T1393" t="s">
        <v>9468</v>
      </c>
      <c r="U1393">
        <v>2112</v>
      </c>
      <c r="V1393">
        <v>0</v>
      </c>
      <c r="W1393">
        <v>3</v>
      </c>
      <c r="X1393">
        <v>2002</v>
      </c>
      <c r="Z1393">
        <v>1</v>
      </c>
      <c r="AA1393" t="s">
        <v>26</v>
      </c>
      <c r="AB1393">
        <v>0</v>
      </c>
      <c r="AC1393" t="s">
        <v>115</v>
      </c>
      <c r="AD1393">
        <v>2</v>
      </c>
      <c r="AE1393" t="s">
        <v>115</v>
      </c>
      <c r="AF1393">
        <v>0</v>
      </c>
      <c r="AG1393">
        <v>0</v>
      </c>
      <c r="AH1393" t="s">
        <v>116</v>
      </c>
      <c r="AI1393" s="1">
        <v>70587</v>
      </c>
      <c r="AJ1393" s="2">
        <v>0.25</v>
      </c>
      <c r="AK1393" s="1">
        <v>277187</v>
      </c>
      <c r="AL1393" t="s">
        <v>117</v>
      </c>
      <c r="AM1393" t="s">
        <v>191</v>
      </c>
      <c r="AN1393">
        <v>7952</v>
      </c>
      <c r="AO1393">
        <v>0.18</v>
      </c>
      <c r="AP1393">
        <v>1</v>
      </c>
      <c r="AR1393">
        <v>1</v>
      </c>
      <c r="AS1393" s="1">
        <v>19600</v>
      </c>
      <c r="AT1393" s="1">
        <v>3920</v>
      </c>
      <c r="AU1393" s="1">
        <v>15680</v>
      </c>
      <c r="AV1393">
        <v>80</v>
      </c>
      <c r="AX1393" s="1">
        <v>1812.26</v>
      </c>
      <c r="AY1393" t="s">
        <v>9469</v>
      </c>
      <c r="AZ1393" t="s">
        <v>9469</v>
      </c>
      <c r="BA1393" t="s">
        <v>2878</v>
      </c>
      <c r="BE1393" s="3">
        <v>42178</v>
      </c>
      <c r="BF1393" s="1">
        <v>200000</v>
      </c>
      <c r="BG1393" t="s">
        <v>9470</v>
      </c>
      <c r="BH1393" s="1">
        <v>94.7</v>
      </c>
      <c r="BI1393" s="1">
        <v>206600</v>
      </c>
      <c r="BJ1393" s="3">
        <v>42178</v>
      </c>
      <c r="BK1393" t="s">
        <v>123</v>
      </c>
      <c r="BL1393" t="str">
        <f>"2015.448408"</f>
        <v>2015.448408</v>
      </c>
      <c r="BM1393" t="s">
        <v>1038</v>
      </c>
      <c r="BO1393" t="s">
        <v>9471</v>
      </c>
      <c r="BS1393">
        <v>30</v>
      </c>
      <c r="BW1393" t="str">
        <f>""</f>
        <v/>
      </c>
      <c r="CH1393" t="str">
        <f>""</f>
        <v/>
      </c>
      <c r="CS1393" t="str">
        <f>""</f>
        <v/>
      </c>
    </row>
    <row r="1394" spans="1:97" x14ac:dyDescent="0.25">
      <c r="A1394" t="s">
        <v>2729</v>
      </c>
      <c r="B1394" t="s">
        <v>9472</v>
      </c>
      <c r="E1394" t="s">
        <v>9473</v>
      </c>
      <c r="F1394" t="s">
        <v>108</v>
      </c>
      <c r="H1394" t="s">
        <v>9474</v>
      </c>
      <c r="I1394" t="s">
        <v>225</v>
      </c>
      <c r="J1394" t="s">
        <v>111</v>
      </c>
      <c r="K1394" t="str">
        <f>"85209"</f>
        <v>85209</v>
      </c>
      <c r="L1394" t="s">
        <v>7725</v>
      </c>
      <c r="M1394" t="s">
        <v>9474</v>
      </c>
      <c r="N1394" t="s">
        <v>225</v>
      </c>
      <c r="O1394" t="s">
        <v>111</v>
      </c>
      <c r="P1394" t="str">
        <f>"85209-1194"</f>
        <v>85209-1194</v>
      </c>
      <c r="Q1394" t="s">
        <v>113</v>
      </c>
      <c r="R1394" t="str">
        <f>"312-01-190"</f>
        <v>312-01-190</v>
      </c>
      <c r="S1394" t="s">
        <v>9475</v>
      </c>
      <c r="U1394">
        <v>1924</v>
      </c>
      <c r="V1394">
        <v>0</v>
      </c>
      <c r="W1394">
        <v>3</v>
      </c>
      <c r="X1394">
        <v>2000</v>
      </c>
      <c r="Z1394">
        <v>1</v>
      </c>
      <c r="AA1394" t="s">
        <v>26</v>
      </c>
      <c r="AB1394">
        <v>0</v>
      </c>
      <c r="AC1394" t="s">
        <v>115</v>
      </c>
      <c r="AD1394">
        <v>2</v>
      </c>
      <c r="AE1394" t="s">
        <v>115</v>
      </c>
      <c r="AF1394">
        <v>0</v>
      </c>
      <c r="AG1394">
        <v>0</v>
      </c>
      <c r="AH1394" t="s">
        <v>116</v>
      </c>
      <c r="AI1394" s="1">
        <v>10945</v>
      </c>
      <c r="AJ1394" s="2">
        <v>0.03</v>
      </c>
      <c r="AK1394" s="1">
        <v>332945</v>
      </c>
      <c r="AL1394" t="s">
        <v>117</v>
      </c>
      <c r="AM1394" t="s">
        <v>191</v>
      </c>
      <c r="AN1394">
        <v>6677</v>
      </c>
      <c r="AO1394">
        <v>0.15</v>
      </c>
      <c r="AP1394">
        <v>1</v>
      </c>
      <c r="AR1394">
        <v>1</v>
      </c>
      <c r="AS1394" s="1">
        <v>22720</v>
      </c>
      <c r="AT1394" s="1">
        <v>4540</v>
      </c>
      <c r="AU1394" s="1">
        <v>18180</v>
      </c>
      <c r="AV1394">
        <v>80.02</v>
      </c>
      <c r="AX1394" s="1">
        <v>1278.52</v>
      </c>
      <c r="AY1394" t="s">
        <v>4370</v>
      </c>
      <c r="AZ1394" t="s">
        <v>777</v>
      </c>
      <c r="BA1394" t="s">
        <v>572</v>
      </c>
      <c r="BB1394" s="3">
        <v>42177</v>
      </c>
      <c r="BD1394" t="s">
        <v>458</v>
      </c>
      <c r="BE1394" s="3">
        <v>41991</v>
      </c>
      <c r="BF1394" s="1">
        <v>249000</v>
      </c>
      <c r="BG1394" t="s">
        <v>9476</v>
      </c>
      <c r="BH1394" s="1">
        <v>129.41999999999999</v>
      </c>
      <c r="BI1394" s="1">
        <v>322000</v>
      </c>
      <c r="BJ1394" s="3">
        <v>43595</v>
      </c>
      <c r="BK1394" t="s">
        <v>123</v>
      </c>
      <c r="BL1394" t="str">
        <f>"2019.340422"</f>
        <v>2019.340422</v>
      </c>
      <c r="BM1394" t="s">
        <v>1185</v>
      </c>
      <c r="BN1394" t="s">
        <v>6728</v>
      </c>
      <c r="BO1394" t="s">
        <v>9477</v>
      </c>
      <c r="BR1394" t="s">
        <v>139</v>
      </c>
      <c r="BW1394" t="str">
        <f>""</f>
        <v/>
      </c>
      <c r="CH1394" t="str">
        <f>""</f>
        <v/>
      </c>
      <c r="CS1394" t="str">
        <f>""</f>
        <v/>
      </c>
    </row>
    <row r="1395" spans="1:97" x14ac:dyDescent="0.25">
      <c r="A1395" t="s">
        <v>3089</v>
      </c>
      <c r="B1395" t="s">
        <v>765</v>
      </c>
      <c r="C1395" t="s">
        <v>6930</v>
      </c>
      <c r="D1395" t="s">
        <v>765</v>
      </c>
      <c r="E1395" t="s">
        <v>9478</v>
      </c>
      <c r="F1395" t="s">
        <v>108</v>
      </c>
      <c r="H1395" t="s">
        <v>9479</v>
      </c>
      <c r="I1395" t="s">
        <v>5863</v>
      </c>
      <c r="J1395" t="s">
        <v>111</v>
      </c>
      <c r="K1395" t="str">
        <f>"85375"</f>
        <v>85375</v>
      </c>
      <c r="L1395" t="s">
        <v>8034</v>
      </c>
      <c r="M1395" t="s">
        <v>9479</v>
      </c>
      <c r="N1395" t="s">
        <v>5863</v>
      </c>
      <c r="O1395" t="s">
        <v>111</v>
      </c>
      <c r="P1395" t="str">
        <f>"85375-2369"</f>
        <v>85375-2369</v>
      </c>
      <c r="R1395" t="str">
        <f>"503-58-620"</f>
        <v>503-58-620</v>
      </c>
      <c r="S1395" t="s">
        <v>9480</v>
      </c>
      <c r="T1395" t="s">
        <v>9481</v>
      </c>
      <c r="U1395">
        <v>1612</v>
      </c>
      <c r="V1395">
        <v>0</v>
      </c>
      <c r="W1395">
        <v>3</v>
      </c>
      <c r="X1395">
        <v>2006</v>
      </c>
      <c r="Z1395">
        <v>1</v>
      </c>
      <c r="AB1395">
        <v>0</v>
      </c>
      <c r="AC1395" t="s">
        <v>115</v>
      </c>
      <c r="AD1395">
        <v>2</v>
      </c>
      <c r="AE1395" t="s">
        <v>115</v>
      </c>
      <c r="AF1395">
        <v>0</v>
      </c>
      <c r="AG1395">
        <v>0</v>
      </c>
      <c r="AH1395" t="s">
        <v>116</v>
      </c>
      <c r="AI1395" s="1">
        <v>64548</v>
      </c>
      <c r="AJ1395" s="2">
        <v>0.21</v>
      </c>
      <c r="AK1395" s="1">
        <v>312468</v>
      </c>
      <c r="AL1395" t="s">
        <v>117</v>
      </c>
      <c r="AM1395" t="s">
        <v>191</v>
      </c>
      <c r="AN1395">
        <v>7955</v>
      </c>
      <c r="AO1395">
        <v>0.18</v>
      </c>
      <c r="AP1395">
        <v>1</v>
      </c>
      <c r="AR1395">
        <v>1</v>
      </c>
      <c r="AS1395" s="1">
        <v>21210</v>
      </c>
      <c r="AT1395" s="1">
        <v>4240</v>
      </c>
      <c r="AU1395" s="1">
        <v>16970</v>
      </c>
      <c r="AV1395">
        <v>80.010000000000005</v>
      </c>
      <c r="AX1395" s="1">
        <v>2370.1</v>
      </c>
      <c r="AY1395" t="s">
        <v>3228</v>
      </c>
      <c r="AZ1395" t="s">
        <v>3228</v>
      </c>
      <c r="BA1395" t="s">
        <v>457</v>
      </c>
      <c r="BE1395" s="3">
        <v>42221</v>
      </c>
      <c r="BF1395" s="1">
        <v>250000</v>
      </c>
      <c r="BG1395" t="s">
        <v>9482</v>
      </c>
      <c r="BH1395" s="1">
        <v>155.09</v>
      </c>
      <c r="BI1395" s="1">
        <v>247920</v>
      </c>
      <c r="BJ1395" s="3">
        <v>42221</v>
      </c>
      <c r="BK1395" t="s">
        <v>123</v>
      </c>
      <c r="BL1395" t="str">
        <f>"2015.567812"</f>
        <v>2015.567812</v>
      </c>
      <c r="BM1395" t="s">
        <v>1033</v>
      </c>
      <c r="BN1395" t="s">
        <v>1052</v>
      </c>
      <c r="BO1395" t="s">
        <v>9483</v>
      </c>
      <c r="BS1395">
        <v>30</v>
      </c>
      <c r="BW1395" t="str">
        <f>""</f>
        <v/>
      </c>
      <c r="CH1395" t="str">
        <f>""</f>
        <v/>
      </c>
      <c r="CS1395" t="str">
        <f>""</f>
        <v/>
      </c>
    </row>
    <row r="1396" spans="1:97" x14ac:dyDescent="0.25">
      <c r="A1396" t="s">
        <v>2045</v>
      </c>
      <c r="B1396" t="s">
        <v>6380</v>
      </c>
      <c r="C1396" t="s">
        <v>7344</v>
      </c>
      <c r="D1396" t="s">
        <v>6380</v>
      </c>
      <c r="E1396" t="s">
        <v>9484</v>
      </c>
      <c r="F1396" t="s">
        <v>108</v>
      </c>
      <c r="H1396" t="s">
        <v>9485</v>
      </c>
      <c r="I1396" t="s">
        <v>1788</v>
      </c>
      <c r="J1396" t="s">
        <v>111</v>
      </c>
      <c r="K1396" t="str">
        <f>"85355"</f>
        <v>85355</v>
      </c>
      <c r="L1396" t="s">
        <v>168</v>
      </c>
      <c r="M1396" t="s">
        <v>9485</v>
      </c>
      <c r="N1396" t="s">
        <v>1788</v>
      </c>
      <c r="O1396" t="s">
        <v>111</v>
      </c>
      <c r="P1396" t="str">
        <f>"85355-4441"</f>
        <v>85355-4441</v>
      </c>
      <c r="Q1396" t="s">
        <v>113</v>
      </c>
      <c r="R1396" t="str">
        <f>"502-90-389"</f>
        <v>502-90-389</v>
      </c>
      <c r="S1396" t="s">
        <v>8290</v>
      </c>
      <c r="U1396">
        <v>2583</v>
      </c>
      <c r="V1396">
        <v>0</v>
      </c>
      <c r="W1396">
        <v>4</v>
      </c>
      <c r="X1396">
        <v>2016</v>
      </c>
      <c r="Z1396">
        <v>1</v>
      </c>
      <c r="AB1396">
        <v>0</v>
      </c>
      <c r="AC1396" t="s">
        <v>115</v>
      </c>
      <c r="AD1396">
        <v>3</v>
      </c>
      <c r="AE1396" t="s">
        <v>115</v>
      </c>
      <c r="AF1396">
        <v>0</v>
      </c>
      <c r="AG1396">
        <v>0</v>
      </c>
      <c r="AH1396" t="s">
        <v>116</v>
      </c>
      <c r="AI1396" s="1">
        <v>20547</v>
      </c>
      <c r="AJ1396" s="2">
        <v>0.06</v>
      </c>
      <c r="AK1396" s="1">
        <v>333630</v>
      </c>
      <c r="AL1396" t="s">
        <v>117</v>
      </c>
      <c r="AM1396" t="s">
        <v>191</v>
      </c>
      <c r="AN1396">
        <v>7789</v>
      </c>
      <c r="AO1396">
        <v>0.18</v>
      </c>
      <c r="AR1396">
        <v>1</v>
      </c>
      <c r="AS1396" s="1">
        <v>24520</v>
      </c>
      <c r="AT1396" s="1">
        <v>4900</v>
      </c>
      <c r="AU1396" s="1">
        <v>19620</v>
      </c>
      <c r="AV1396">
        <v>80.02</v>
      </c>
      <c r="AX1396" s="1">
        <v>1664.36</v>
      </c>
      <c r="AY1396" t="s">
        <v>5972</v>
      </c>
      <c r="AZ1396" t="s">
        <v>5972</v>
      </c>
      <c r="BA1396" t="s">
        <v>5061</v>
      </c>
      <c r="BE1396" s="3">
        <v>42503</v>
      </c>
      <c r="BF1396" s="1">
        <v>313083</v>
      </c>
      <c r="BG1396" t="s">
        <v>2780</v>
      </c>
      <c r="BH1396" s="1">
        <v>121.21</v>
      </c>
      <c r="BI1396" s="1">
        <v>313083</v>
      </c>
      <c r="BJ1396" s="3">
        <v>42503</v>
      </c>
      <c r="BK1396" t="s">
        <v>123</v>
      </c>
      <c r="BL1396" t="str">
        <f>"2016.331513"</f>
        <v>2016.331513</v>
      </c>
      <c r="BM1396" t="s">
        <v>175</v>
      </c>
      <c r="BO1396" t="s">
        <v>9486</v>
      </c>
      <c r="BS1396">
        <v>30</v>
      </c>
      <c r="BW1396" t="str">
        <f>""</f>
        <v/>
      </c>
      <c r="CH1396" t="str">
        <f>""</f>
        <v/>
      </c>
      <c r="CS1396" t="str">
        <f>""</f>
        <v/>
      </c>
    </row>
    <row r="1397" spans="1:97" x14ac:dyDescent="0.25">
      <c r="A1397" t="s">
        <v>9487</v>
      </c>
      <c r="B1397" t="s">
        <v>141</v>
      </c>
      <c r="C1397" t="s">
        <v>484</v>
      </c>
      <c r="D1397" t="s">
        <v>141</v>
      </c>
      <c r="E1397" t="s">
        <v>9488</v>
      </c>
      <c r="F1397" t="s">
        <v>108</v>
      </c>
      <c r="H1397" t="s">
        <v>9489</v>
      </c>
      <c r="I1397" t="s">
        <v>499</v>
      </c>
      <c r="J1397" t="s">
        <v>111</v>
      </c>
      <c r="K1397" t="str">
        <f>"85395"</f>
        <v>85395</v>
      </c>
      <c r="L1397" t="s">
        <v>168</v>
      </c>
      <c r="M1397" t="s">
        <v>9489</v>
      </c>
      <c r="N1397" t="s">
        <v>499</v>
      </c>
      <c r="O1397" t="s">
        <v>111</v>
      </c>
      <c r="P1397" t="str">
        <f>"85395-8766"</f>
        <v>85395-8766</v>
      </c>
      <c r="Q1397" t="s">
        <v>113</v>
      </c>
      <c r="R1397" t="str">
        <f>"501-69-591"</f>
        <v>501-69-591</v>
      </c>
      <c r="S1397" t="s">
        <v>9490</v>
      </c>
      <c r="U1397">
        <v>1826</v>
      </c>
      <c r="V1397">
        <v>0</v>
      </c>
      <c r="W1397">
        <v>3</v>
      </c>
      <c r="X1397">
        <v>1995</v>
      </c>
      <c r="Z1397">
        <v>1</v>
      </c>
      <c r="AA1397" t="s">
        <v>26</v>
      </c>
      <c r="AB1397">
        <v>0</v>
      </c>
      <c r="AC1397" t="s">
        <v>115</v>
      </c>
      <c r="AD1397">
        <v>2</v>
      </c>
      <c r="AE1397" t="s">
        <v>115</v>
      </c>
      <c r="AF1397">
        <v>0</v>
      </c>
      <c r="AG1397">
        <v>0</v>
      </c>
      <c r="AH1397" t="s">
        <v>116</v>
      </c>
      <c r="AI1397" s="1">
        <v>66058</v>
      </c>
      <c r="AJ1397" s="2">
        <v>0.19</v>
      </c>
      <c r="AK1397" s="1">
        <v>350035</v>
      </c>
      <c r="AL1397" t="s">
        <v>117</v>
      </c>
      <c r="AM1397" t="s">
        <v>118</v>
      </c>
      <c r="AN1397">
        <v>9986</v>
      </c>
      <c r="AO1397">
        <v>0.23</v>
      </c>
      <c r="AP1397">
        <v>1</v>
      </c>
      <c r="AR1397">
        <v>1</v>
      </c>
      <c r="AS1397" s="1">
        <v>24600</v>
      </c>
      <c r="AT1397" s="1">
        <v>4920</v>
      </c>
      <c r="AU1397" s="1">
        <v>19680</v>
      </c>
      <c r="AV1397">
        <v>80</v>
      </c>
      <c r="AX1397" s="1">
        <v>2930.46</v>
      </c>
      <c r="AY1397" t="s">
        <v>3020</v>
      </c>
      <c r="AZ1397" t="s">
        <v>3020</v>
      </c>
      <c r="BA1397" t="s">
        <v>218</v>
      </c>
      <c r="BB1397" s="3">
        <v>42111</v>
      </c>
      <c r="BD1397" t="s">
        <v>842</v>
      </c>
      <c r="BE1397" s="3">
        <v>42110</v>
      </c>
      <c r="BF1397" s="1">
        <v>278000</v>
      </c>
      <c r="BG1397" t="s">
        <v>9491</v>
      </c>
      <c r="BH1397" s="1">
        <v>152.25</v>
      </c>
      <c r="BI1397" s="1">
        <v>283977</v>
      </c>
      <c r="BJ1397" s="3">
        <v>42110</v>
      </c>
      <c r="BK1397" t="s">
        <v>123</v>
      </c>
      <c r="BL1397" t="str">
        <f>"2015.260577"</f>
        <v>2015.260577</v>
      </c>
      <c r="BM1397" t="s">
        <v>2489</v>
      </c>
      <c r="BO1397" t="s">
        <v>9492</v>
      </c>
      <c r="BS1397">
        <v>30</v>
      </c>
      <c r="BW1397" t="str">
        <f>""</f>
        <v/>
      </c>
      <c r="CH1397" t="str">
        <f>""</f>
        <v/>
      </c>
      <c r="CS1397" t="str">
        <f>""</f>
        <v/>
      </c>
    </row>
    <row r="1398" spans="1:97" x14ac:dyDescent="0.25">
      <c r="B1398" t="s">
        <v>9493</v>
      </c>
      <c r="C1398" t="s">
        <v>945</v>
      </c>
      <c r="E1398" t="s">
        <v>9494</v>
      </c>
      <c r="F1398" t="s">
        <v>108</v>
      </c>
      <c r="H1398" t="s">
        <v>9495</v>
      </c>
      <c r="I1398" t="s">
        <v>144</v>
      </c>
      <c r="J1398" t="s">
        <v>111</v>
      </c>
      <c r="K1398" t="str">
        <f>"85396"</f>
        <v>85396</v>
      </c>
      <c r="L1398" t="s">
        <v>9496</v>
      </c>
      <c r="M1398" t="s">
        <v>9495</v>
      </c>
      <c r="N1398" t="s">
        <v>144</v>
      </c>
      <c r="O1398" t="s">
        <v>111</v>
      </c>
      <c r="P1398" t="str">
        <f>"85396-6940"</f>
        <v>85396-6940</v>
      </c>
      <c r="Q1398" t="s">
        <v>113</v>
      </c>
      <c r="R1398" t="str">
        <f>"503-96-768"</f>
        <v>503-96-768</v>
      </c>
      <c r="S1398" t="s">
        <v>9497</v>
      </c>
      <c r="U1398">
        <v>1819</v>
      </c>
      <c r="V1398">
        <v>0</v>
      </c>
      <c r="W1398">
        <v>3</v>
      </c>
      <c r="X1398">
        <v>2008</v>
      </c>
      <c r="Z1398">
        <v>1</v>
      </c>
      <c r="AB1398">
        <v>0</v>
      </c>
      <c r="AC1398" t="s">
        <v>115</v>
      </c>
      <c r="AD1398">
        <v>2</v>
      </c>
      <c r="AE1398" t="s">
        <v>115</v>
      </c>
      <c r="AF1398">
        <v>0</v>
      </c>
      <c r="AG1398">
        <v>0</v>
      </c>
      <c r="AH1398" t="s">
        <v>116</v>
      </c>
      <c r="AI1398" s="1">
        <v>59433</v>
      </c>
      <c r="AJ1398" s="2">
        <v>0.19</v>
      </c>
      <c r="AK1398" s="1">
        <v>307148</v>
      </c>
      <c r="AL1398" t="s">
        <v>117</v>
      </c>
      <c r="AM1398" t="s">
        <v>118</v>
      </c>
      <c r="AN1398">
        <v>7243</v>
      </c>
      <c r="AO1398">
        <v>0.17</v>
      </c>
      <c r="AR1398">
        <v>1</v>
      </c>
      <c r="AS1398" s="1">
        <v>20160</v>
      </c>
      <c r="AT1398" s="1">
        <v>4030</v>
      </c>
      <c r="AU1398" s="1">
        <v>16130</v>
      </c>
      <c r="AV1398">
        <v>80.010000000000005</v>
      </c>
      <c r="AX1398" s="1">
        <v>2476.14</v>
      </c>
      <c r="AY1398" t="s">
        <v>444</v>
      </c>
      <c r="AZ1398" t="s">
        <v>444</v>
      </c>
      <c r="BA1398" t="s">
        <v>445</v>
      </c>
      <c r="BB1398" s="3">
        <v>43516</v>
      </c>
      <c r="BC1398" s="1">
        <v>0</v>
      </c>
      <c r="BD1398" t="s">
        <v>247</v>
      </c>
      <c r="BE1398" s="3">
        <v>42095</v>
      </c>
      <c r="BF1398" s="1">
        <v>256900</v>
      </c>
      <c r="BG1398" t="s">
        <v>9498</v>
      </c>
      <c r="BH1398" s="1">
        <v>141.22999999999999</v>
      </c>
      <c r="BI1398" s="1">
        <v>247715</v>
      </c>
      <c r="BJ1398" s="3">
        <v>42095</v>
      </c>
      <c r="BK1398" t="s">
        <v>123</v>
      </c>
      <c r="BL1398" t="str">
        <f>"2015.222129"</f>
        <v>2015.222129</v>
      </c>
      <c r="BM1398" t="s">
        <v>9499</v>
      </c>
      <c r="BN1398" t="s">
        <v>1916</v>
      </c>
      <c r="BO1398" t="s">
        <v>9500</v>
      </c>
      <c r="BS1398">
        <v>30</v>
      </c>
      <c r="BW1398" t="str">
        <f>""</f>
        <v/>
      </c>
      <c r="CH1398" t="str">
        <f>""</f>
        <v/>
      </c>
      <c r="CS1398" t="str">
        <f>""</f>
        <v/>
      </c>
    </row>
    <row r="1399" spans="1:97" x14ac:dyDescent="0.25">
      <c r="A1399" t="s">
        <v>2123</v>
      </c>
      <c r="B1399" t="s">
        <v>9501</v>
      </c>
      <c r="C1399" t="s">
        <v>9502</v>
      </c>
      <c r="D1399" t="s">
        <v>9501</v>
      </c>
      <c r="E1399" t="s">
        <v>9503</v>
      </c>
      <c r="F1399" t="s">
        <v>108</v>
      </c>
      <c r="H1399" t="s">
        <v>9504</v>
      </c>
      <c r="I1399" t="s">
        <v>453</v>
      </c>
      <c r="J1399" t="s">
        <v>111</v>
      </c>
      <c r="K1399" t="str">
        <f>"85382"</f>
        <v>85382</v>
      </c>
      <c r="L1399" t="s">
        <v>4159</v>
      </c>
      <c r="M1399" t="s">
        <v>9504</v>
      </c>
      <c r="N1399" t="s">
        <v>453</v>
      </c>
      <c r="O1399" t="s">
        <v>111</v>
      </c>
      <c r="P1399" t="str">
        <f>"85382-2817"</f>
        <v>85382-2817</v>
      </c>
      <c r="Q1399" t="s">
        <v>113</v>
      </c>
      <c r="R1399" t="str">
        <f>"233-06-080"</f>
        <v>233-06-080</v>
      </c>
      <c r="S1399" t="s">
        <v>9505</v>
      </c>
      <c r="U1399">
        <v>1701</v>
      </c>
      <c r="V1399">
        <v>0</v>
      </c>
      <c r="W1399">
        <v>3</v>
      </c>
      <c r="X1399">
        <v>2003</v>
      </c>
      <c r="Z1399">
        <v>1</v>
      </c>
      <c r="AB1399">
        <v>0</v>
      </c>
      <c r="AC1399" t="s">
        <v>115</v>
      </c>
      <c r="AD1399">
        <v>2</v>
      </c>
      <c r="AE1399" t="s">
        <v>115</v>
      </c>
      <c r="AF1399">
        <v>0</v>
      </c>
      <c r="AG1399">
        <v>0</v>
      </c>
      <c r="AH1399" t="s">
        <v>116</v>
      </c>
      <c r="AI1399" s="1">
        <v>32797</v>
      </c>
      <c r="AJ1399" s="2">
        <v>0.12</v>
      </c>
      <c r="AK1399" s="1">
        <v>273871</v>
      </c>
      <c r="AL1399" t="s">
        <v>117</v>
      </c>
      <c r="AM1399" t="s">
        <v>118</v>
      </c>
      <c r="AN1399">
        <v>6513</v>
      </c>
      <c r="AO1399">
        <v>0.15</v>
      </c>
      <c r="AP1399">
        <v>1</v>
      </c>
      <c r="AR1399">
        <v>1</v>
      </c>
      <c r="AS1399" s="1">
        <v>19600</v>
      </c>
      <c r="AT1399" s="1">
        <v>3920</v>
      </c>
      <c r="AU1399" s="1">
        <v>15680</v>
      </c>
      <c r="AV1399">
        <v>80</v>
      </c>
      <c r="AX1399" s="1">
        <v>2114.42</v>
      </c>
      <c r="AY1399" t="s">
        <v>7828</v>
      </c>
      <c r="AZ1399" t="s">
        <v>7828</v>
      </c>
      <c r="BA1399" t="s">
        <v>4219</v>
      </c>
      <c r="BE1399" s="3">
        <v>42474</v>
      </c>
      <c r="BF1399" s="1">
        <v>236000</v>
      </c>
      <c r="BG1399" t="s">
        <v>9506</v>
      </c>
      <c r="BH1399" s="1">
        <v>138.74</v>
      </c>
      <c r="BI1399" s="1">
        <v>241074</v>
      </c>
      <c r="BJ1399" s="3">
        <v>42474</v>
      </c>
      <c r="BK1399" t="s">
        <v>123</v>
      </c>
      <c r="BL1399" t="str">
        <f>"2016.248176"</f>
        <v>2016.248176</v>
      </c>
      <c r="BM1399" t="s">
        <v>135</v>
      </c>
      <c r="BO1399" t="s">
        <v>9507</v>
      </c>
      <c r="BS1399">
        <v>30</v>
      </c>
      <c r="BW1399" t="str">
        <f>""</f>
        <v/>
      </c>
      <c r="CH1399" t="str">
        <f>""</f>
        <v/>
      </c>
      <c r="CS1399" t="str">
        <f>""</f>
        <v/>
      </c>
    </row>
    <row r="1400" spans="1:97" x14ac:dyDescent="0.25">
      <c r="A1400" t="s">
        <v>894</v>
      </c>
      <c r="B1400" t="s">
        <v>9508</v>
      </c>
      <c r="C1400" t="s">
        <v>976</v>
      </c>
      <c r="D1400" t="s">
        <v>9508</v>
      </c>
      <c r="E1400" t="s">
        <v>9509</v>
      </c>
      <c r="F1400" t="s">
        <v>108</v>
      </c>
      <c r="H1400" t="s">
        <v>9510</v>
      </c>
      <c r="I1400" t="s">
        <v>5114</v>
      </c>
      <c r="J1400" t="s">
        <v>111</v>
      </c>
      <c r="K1400" t="str">
        <f>"85392"</f>
        <v>85392</v>
      </c>
      <c r="L1400" t="s">
        <v>5687</v>
      </c>
      <c r="M1400" t="s">
        <v>9510</v>
      </c>
      <c r="N1400" t="s">
        <v>5114</v>
      </c>
      <c r="O1400" t="s">
        <v>111</v>
      </c>
      <c r="P1400" t="str">
        <f>"85392-3409"</f>
        <v>85392-3409</v>
      </c>
      <c r="Q1400" t="s">
        <v>113</v>
      </c>
      <c r="R1400" t="str">
        <f>"102-28-773"</f>
        <v>102-28-773</v>
      </c>
      <c r="S1400" t="s">
        <v>8234</v>
      </c>
      <c r="T1400" t="s">
        <v>8235</v>
      </c>
      <c r="U1400">
        <v>2205</v>
      </c>
      <c r="V1400">
        <v>0</v>
      </c>
      <c r="W1400">
        <v>4</v>
      </c>
      <c r="X1400">
        <v>1987</v>
      </c>
      <c r="Z1400">
        <v>2</v>
      </c>
      <c r="AA1400" t="s">
        <v>26</v>
      </c>
      <c r="AB1400">
        <v>0</v>
      </c>
      <c r="AC1400" t="s">
        <v>115</v>
      </c>
      <c r="AD1400">
        <v>2</v>
      </c>
      <c r="AE1400" t="s">
        <v>115</v>
      </c>
      <c r="AF1400">
        <v>0</v>
      </c>
      <c r="AG1400">
        <v>0</v>
      </c>
      <c r="AH1400" t="s">
        <v>116</v>
      </c>
      <c r="AI1400" s="1">
        <v>41498</v>
      </c>
      <c r="AJ1400" s="2">
        <v>0.13</v>
      </c>
      <c r="AK1400" s="1">
        <v>318342</v>
      </c>
      <c r="AL1400" t="s">
        <v>117</v>
      </c>
      <c r="AM1400" t="s">
        <v>118</v>
      </c>
      <c r="AN1400">
        <v>13202</v>
      </c>
      <c r="AO1400">
        <v>0.3</v>
      </c>
      <c r="AP1400">
        <v>1</v>
      </c>
      <c r="AR1400">
        <v>1</v>
      </c>
      <c r="AS1400" s="1">
        <v>21400</v>
      </c>
      <c r="AT1400" s="1">
        <v>4280</v>
      </c>
      <c r="AU1400" s="1">
        <v>17120</v>
      </c>
      <c r="AV1400">
        <v>80</v>
      </c>
      <c r="AX1400" s="1">
        <v>2204.2399999999998</v>
      </c>
      <c r="AY1400" t="s">
        <v>8084</v>
      </c>
      <c r="AZ1400" t="s">
        <v>8084</v>
      </c>
      <c r="BA1400" t="s">
        <v>5118</v>
      </c>
      <c r="BB1400" s="3">
        <v>42186</v>
      </c>
      <c r="BD1400" t="s">
        <v>458</v>
      </c>
      <c r="BE1400" s="3">
        <v>41949</v>
      </c>
      <c r="BF1400" s="1">
        <v>230000</v>
      </c>
      <c r="BG1400" t="s">
        <v>9511</v>
      </c>
      <c r="BH1400" s="1">
        <v>104.31</v>
      </c>
      <c r="BI1400" s="1">
        <v>276844</v>
      </c>
      <c r="BJ1400" s="3">
        <v>43096</v>
      </c>
      <c r="BK1400" t="s">
        <v>123</v>
      </c>
      <c r="BL1400" t="str">
        <f>"2017.955470"</f>
        <v>2017.955470</v>
      </c>
      <c r="BM1400" t="s">
        <v>1249</v>
      </c>
      <c r="BO1400" t="s">
        <v>9512</v>
      </c>
      <c r="BS1400">
        <v>31</v>
      </c>
      <c r="BW1400" t="str">
        <f>""</f>
        <v/>
      </c>
      <c r="CH1400" t="str">
        <f>""</f>
        <v/>
      </c>
      <c r="CS1400" t="str">
        <f>""</f>
        <v/>
      </c>
    </row>
    <row r="1401" spans="1:97" x14ac:dyDescent="0.25">
      <c r="A1401" t="s">
        <v>2374</v>
      </c>
      <c r="B1401" t="s">
        <v>5505</v>
      </c>
      <c r="E1401" t="s">
        <v>9513</v>
      </c>
      <c r="F1401" t="s">
        <v>108</v>
      </c>
      <c r="H1401" t="s">
        <v>9514</v>
      </c>
      <c r="I1401" t="s">
        <v>5387</v>
      </c>
      <c r="J1401" t="s">
        <v>111</v>
      </c>
      <c r="K1401" t="str">
        <f>"85282"</f>
        <v>85282</v>
      </c>
      <c r="L1401" t="s">
        <v>6460</v>
      </c>
      <c r="M1401" t="s">
        <v>9514</v>
      </c>
      <c r="N1401" t="s">
        <v>5387</v>
      </c>
      <c r="O1401" t="s">
        <v>111</v>
      </c>
      <c r="P1401" t="str">
        <f>"85282-4630"</f>
        <v>85282-4630</v>
      </c>
      <c r="R1401" t="str">
        <f>"123-48-084"</f>
        <v>123-48-084</v>
      </c>
      <c r="S1401" t="s">
        <v>9515</v>
      </c>
      <c r="T1401" t="s">
        <v>9516</v>
      </c>
      <c r="U1401">
        <v>1188</v>
      </c>
      <c r="V1401">
        <v>0</v>
      </c>
      <c r="W1401">
        <v>2</v>
      </c>
      <c r="X1401">
        <v>1978</v>
      </c>
      <c r="Z1401">
        <v>1</v>
      </c>
      <c r="AA1401" t="s">
        <v>26</v>
      </c>
      <c r="AB1401">
        <v>0</v>
      </c>
      <c r="AC1401" t="s">
        <v>5188</v>
      </c>
      <c r="AD1401">
        <v>2</v>
      </c>
      <c r="AE1401" t="s">
        <v>5188</v>
      </c>
      <c r="AF1401">
        <v>0</v>
      </c>
      <c r="AG1401">
        <v>0</v>
      </c>
      <c r="AH1401" t="s">
        <v>116</v>
      </c>
      <c r="AI1401" s="1">
        <v>42479</v>
      </c>
      <c r="AJ1401" s="2">
        <v>0.16</v>
      </c>
      <c r="AK1401" s="1">
        <v>258979</v>
      </c>
      <c r="AL1401" t="s">
        <v>117</v>
      </c>
      <c r="AM1401" t="s">
        <v>191</v>
      </c>
      <c r="AN1401">
        <v>8878</v>
      </c>
      <c r="AO1401">
        <v>0.2</v>
      </c>
      <c r="AP1401">
        <v>1</v>
      </c>
      <c r="AR1401">
        <v>1</v>
      </c>
      <c r="AS1401" s="1">
        <v>17230</v>
      </c>
      <c r="AT1401" s="1">
        <v>3440</v>
      </c>
      <c r="AU1401" s="1">
        <v>13790</v>
      </c>
      <c r="AV1401">
        <v>80.03</v>
      </c>
      <c r="AX1401" s="1">
        <v>1326.46</v>
      </c>
      <c r="AY1401" t="s">
        <v>9517</v>
      </c>
      <c r="AZ1401" t="s">
        <v>9518</v>
      </c>
      <c r="BA1401" t="s">
        <v>9519</v>
      </c>
      <c r="BE1401" s="3">
        <v>42549</v>
      </c>
      <c r="BF1401" s="1">
        <v>214000</v>
      </c>
      <c r="BG1401" t="s">
        <v>9520</v>
      </c>
      <c r="BH1401" s="1">
        <v>180.13</v>
      </c>
      <c r="BI1401" s="1">
        <v>216500</v>
      </c>
      <c r="BJ1401" s="3">
        <v>42629</v>
      </c>
      <c r="BK1401" t="s">
        <v>123</v>
      </c>
      <c r="BL1401" t="str">
        <f>"2016.675986"</f>
        <v>2016.675986</v>
      </c>
      <c r="BM1401" t="s">
        <v>1122</v>
      </c>
      <c r="BN1401" t="s">
        <v>1624</v>
      </c>
      <c r="BO1401" t="s">
        <v>9521</v>
      </c>
      <c r="BS1401">
        <v>30</v>
      </c>
      <c r="BW1401" t="str">
        <f>""</f>
        <v/>
      </c>
      <c r="CH1401" t="str">
        <f>""</f>
        <v/>
      </c>
      <c r="CS1401" t="str">
        <f>""</f>
        <v/>
      </c>
    </row>
    <row r="1402" spans="1:97" x14ac:dyDescent="0.25">
      <c r="A1402" t="s">
        <v>9522</v>
      </c>
      <c r="B1402" t="s">
        <v>9523</v>
      </c>
      <c r="C1402" t="s">
        <v>1938</v>
      </c>
      <c r="D1402" t="s">
        <v>9523</v>
      </c>
      <c r="E1402" t="s">
        <v>9524</v>
      </c>
      <c r="F1402" t="s">
        <v>108</v>
      </c>
      <c r="H1402" t="s">
        <v>9525</v>
      </c>
      <c r="I1402" t="s">
        <v>203</v>
      </c>
      <c r="J1402" t="s">
        <v>111</v>
      </c>
      <c r="K1402" t="str">
        <f>"85296"</f>
        <v>85296</v>
      </c>
      <c r="L1402" t="s">
        <v>9060</v>
      </c>
      <c r="M1402" t="s">
        <v>9525</v>
      </c>
      <c r="N1402" t="s">
        <v>203</v>
      </c>
      <c r="O1402" t="s">
        <v>111</v>
      </c>
      <c r="P1402" t="str">
        <f>"85296-4216"</f>
        <v>85296-4216</v>
      </c>
      <c r="Q1402" t="s">
        <v>113</v>
      </c>
      <c r="R1402" t="str">
        <f>"304-25-256"</f>
        <v>304-25-256</v>
      </c>
      <c r="S1402" t="s">
        <v>9526</v>
      </c>
      <c r="T1402" t="s">
        <v>9527</v>
      </c>
      <c r="U1402">
        <v>1358</v>
      </c>
      <c r="V1402">
        <v>0</v>
      </c>
      <c r="W1402">
        <v>3</v>
      </c>
      <c r="X1402">
        <v>1996</v>
      </c>
      <c r="Z1402">
        <v>1</v>
      </c>
      <c r="AA1402" t="s">
        <v>26</v>
      </c>
      <c r="AB1402">
        <v>0</v>
      </c>
      <c r="AC1402" t="s">
        <v>115</v>
      </c>
      <c r="AD1402">
        <v>2</v>
      </c>
      <c r="AE1402" t="s">
        <v>115</v>
      </c>
      <c r="AF1402">
        <v>0</v>
      </c>
      <c r="AG1402">
        <v>0</v>
      </c>
      <c r="AH1402" t="s">
        <v>116</v>
      </c>
      <c r="AI1402" s="1">
        <v>37881</v>
      </c>
      <c r="AJ1402" s="2">
        <v>0.13</v>
      </c>
      <c r="AK1402" s="1">
        <v>281669</v>
      </c>
      <c r="AL1402" t="s">
        <v>117</v>
      </c>
      <c r="AM1402" t="s">
        <v>191</v>
      </c>
      <c r="AN1402">
        <v>5401</v>
      </c>
      <c r="AO1402">
        <v>0.12</v>
      </c>
      <c r="AP1402">
        <v>1</v>
      </c>
      <c r="AR1402">
        <v>1</v>
      </c>
      <c r="AS1402" s="1">
        <v>19670</v>
      </c>
      <c r="AT1402" s="1">
        <v>3930</v>
      </c>
      <c r="AU1402" s="1">
        <v>15740</v>
      </c>
      <c r="AV1402">
        <v>80.02</v>
      </c>
      <c r="AX1402" s="1">
        <v>1307.82</v>
      </c>
      <c r="AY1402" t="s">
        <v>7837</v>
      </c>
      <c r="AZ1402" t="s">
        <v>207</v>
      </c>
      <c r="BA1402" t="s">
        <v>208</v>
      </c>
      <c r="BE1402" s="3">
        <v>41712</v>
      </c>
      <c r="BF1402" s="1">
        <v>199000</v>
      </c>
      <c r="BG1402" t="s">
        <v>9528</v>
      </c>
      <c r="BH1402" s="1">
        <v>146.54</v>
      </c>
      <c r="BI1402" s="1">
        <v>243788</v>
      </c>
      <c r="BJ1402" s="3">
        <v>42662</v>
      </c>
      <c r="BK1402" t="s">
        <v>123</v>
      </c>
      <c r="BL1402" t="str">
        <f>"2016.765232"</f>
        <v>2016.765232</v>
      </c>
      <c r="BM1402" t="s">
        <v>361</v>
      </c>
      <c r="BO1402" t="s">
        <v>9529</v>
      </c>
      <c r="BP1402" t="s">
        <v>9530</v>
      </c>
      <c r="BS1402">
        <v>30</v>
      </c>
      <c r="BW1402" t="str">
        <f>""</f>
        <v/>
      </c>
      <c r="CH1402" t="str">
        <f>""</f>
        <v/>
      </c>
      <c r="CS1402" t="str">
        <f>""</f>
        <v/>
      </c>
    </row>
    <row r="1403" spans="1:97" x14ac:dyDescent="0.25">
      <c r="A1403" t="s">
        <v>9531</v>
      </c>
      <c r="B1403" t="s">
        <v>348</v>
      </c>
      <c r="C1403" t="s">
        <v>2852</v>
      </c>
      <c r="D1403" t="s">
        <v>348</v>
      </c>
      <c r="E1403" t="s">
        <v>9532</v>
      </c>
      <c r="F1403" t="s">
        <v>108</v>
      </c>
      <c r="H1403" t="s">
        <v>9533</v>
      </c>
      <c r="I1403" t="s">
        <v>203</v>
      </c>
      <c r="J1403" t="s">
        <v>111</v>
      </c>
      <c r="K1403" t="str">
        <f>"85298"</f>
        <v>85298</v>
      </c>
      <c r="L1403" t="s">
        <v>681</v>
      </c>
      <c r="M1403" t="s">
        <v>9533</v>
      </c>
      <c r="N1403" t="s">
        <v>203</v>
      </c>
      <c r="O1403" t="s">
        <v>111</v>
      </c>
      <c r="P1403" t="str">
        <f>"85298"</f>
        <v>85298</v>
      </c>
      <c r="Q1403" t="s">
        <v>113</v>
      </c>
      <c r="R1403" t="str">
        <f>"304-71-956"</f>
        <v>304-71-956</v>
      </c>
      <c r="S1403" t="s">
        <v>6911</v>
      </c>
      <c r="T1403" t="s">
        <v>287</v>
      </c>
      <c r="U1403">
        <v>2177</v>
      </c>
      <c r="V1403">
        <v>0</v>
      </c>
      <c r="W1403">
        <v>4</v>
      </c>
      <c r="X1403">
        <v>2015</v>
      </c>
      <c r="Z1403">
        <v>2</v>
      </c>
      <c r="AB1403">
        <v>0</v>
      </c>
      <c r="AC1403" t="s">
        <v>115</v>
      </c>
      <c r="AD1403">
        <v>2</v>
      </c>
      <c r="AE1403" t="s">
        <v>115</v>
      </c>
      <c r="AF1403">
        <v>0</v>
      </c>
      <c r="AG1403">
        <v>0</v>
      </c>
      <c r="AH1403" t="s">
        <v>116</v>
      </c>
      <c r="AI1403" s="1">
        <v>43124</v>
      </c>
      <c r="AJ1403" s="2">
        <v>0.11</v>
      </c>
      <c r="AK1403" s="1">
        <v>383505</v>
      </c>
      <c r="AL1403" t="s">
        <v>117</v>
      </c>
      <c r="AM1403" t="s">
        <v>288</v>
      </c>
      <c r="AN1403">
        <v>4998</v>
      </c>
      <c r="AO1403">
        <v>0.12</v>
      </c>
      <c r="AR1403">
        <v>1</v>
      </c>
      <c r="AS1403" s="1">
        <v>26160</v>
      </c>
      <c r="AT1403" s="1">
        <v>5230</v>
      </c>
      <c r="AU1403" s="1">
        <v>20930</v>
      </c>
      <c r="AV1403">
        <v>80.010000000000005</v>
      </c>
      <c r="AX1403" s="1">
        <v>2215.64</v>
      </c>
      <c r="AY1403" t="s">
        <v>289</v>
      </c>
      <c r="AZ1403" t="s">
        <v>289</v>
      </c>
      <c r="BA1403" t="s">
        <v>290</v>
      </c>
      <c r="BE1403" s="3">
        <v>42333</v>
      </c>
      <c r="BF1403" s="1">
        <v>292897</v>
      </c>
      <c r="BG1403" t="s">
        <v>292</v>
      </c>
      <c r="BH1403" s="1">
        <v>134.54</v>
      </c>
      <c r="BI1403" s="1">
        <v>340381</v>
      </c>
      <c r="BJ1403" s="3">
        <v>43011</v>
      </c>
      <c r="BK1403" t="s">
        <v>123</v>
      </c>
      <c r="BL1403" t="str">
        <f>"2017.730263"</f>
        <v>2017.730263</v>
      </c>
      <c r="BM1403" t="s">
        <v>8621</v>
      </c>
      <c r="BO1403" t="s">
        <v>9534</v>
      </c>
      <c r="BS1403">
        <v>30</v>
      </c>
      <c r="BW1403" t="str">
        <f>""</f>
        <v/>
      </c>
      <c r="CH1403" t="str">
        <f>""</f>
        <v/>
      </c>
      <c r="CS1403" t="str">
        <f>""</f>
        <v/>
      </c>
    </row>
    <row r="1404" spans="1:97" x14ac:dyDescent="0.25">
      <c r="A1404" t="s">
        <v>2045</v>
      </c>
      <c r="B1404" t="s">
        <v>1089</v>
      </c>
      <c r="C1404" t="s">
        <v>5560</v>
      </c>
      <c r="D1404" t="s">
        <v>1089</v>
      </c>
      <c r="E1404" t="s">
        <v>9535</v>
      </c>
      <c r="F1404" t="s">
        <v>108</v>
      </c>
      <c r="H1404" t="s">
        <v>9536</v>
      </c>
      <c r="I1404" t="s">
        <v>225</v>
      </c>
      <c r="J1404" t="s">
        <v>111</v>
      </c>
      <c r="K1404" t="str">
        <f>"85205"</f>
        <v>85205</v>
      </c>
      <c r="L1404" t="s">
        <v>5408</v>
      </c>
      <c r="M1404" t="s">
        <v>9536</v>
      </c>
      <c r="N1404" t="s">
        <v>225</v>
      </c>
      <c r="O1404" t="s">
        <v>111</v>
      </c>
      <c r="P1404" t="str">
        <f>"85205-6240"</f>
        <v>85205-6240</v>
      </c>
      <c r="Q1404" t="s">
        <v>113</v>
      </c>
      <c r="R1404" t="str">
        <f>"140-14-271"</f>
        <v>140-14-271</v>
      </c>
      <c r="S1404" t="s">
        <v>9537</v>
      </c>
      <c r="T1404" t="s">
        <v>9538</v>
      </c>
      <c r="U1404">
        <v>2298</v>
      </c>
      <c r="V1404">
        <v>0</v>
      </c>
      <c r="W1404">
        <v>3</v>
      </c>
      <c r="X1404">
        <v>1988</v>
      </c>
      <c r="Z1404">
        <v>1</v>
      </c>
      <c r="AB1404">
        <v>0</v>
      </c>
      <c r="AC1404" t="s">
        <v>115</v>
      </c>
      <c r="AD1404">
        <v>2</v>
      </c>
      <c r="AE1404" t="s">
        <v>115</v>
      </c>
      <c r="AF1404">
        <v>0</v>
      </c>
      <c r="AG1404">
        <v>0</v>
      </c>
      <c r="AH1404" t="s">
        <v>116</v>
      </c>
      <c r="AI1404" s="1">
        <v>82493</v>
      </c>
      <c r="AJ1404" s="2">
        <v>0.26</v>
      </c>
      <c r="AK1404" s="1">
        <v>320083</v>
      </c>
      <c r="AL1404" t="s">
        <v>117</v>
      </c>
      <c r="AM1404" t="s">
        <v>393</v>
      </c>
      <c r="AN1404">
        <v>8033</v>
      </c>
      <c r="AO1404">
        <v>0.18</v>
      </c>
      <c r="AP1404">
        <v>1</v>
      </c>
      <c r="AR1404">
        <v>1</v>
      </c>
      <c r="AS1404" s="1">
        <v>20380</v>
      </c>
      <c r="AT1404" s="1">
        <v>4070</v>
      </c>
      <c r="AU1404" s="1">
        <v>16310</v>
      </c>
      <c r="AV1404">
        <v>80.03</v>
      </c>
      <c r="AX1404" s="1">
        <v>1569.58</v>
      </c>
      <c r="AY1404" t="s">
        <v>1522</v>
      </c>
      <c r="AZ1404" t="s">
        <v>1523</v>
      </c>
      <c r="BA1404" t="s">
        <v>1524</v>
      </c>
      <c r="BE1404" s="3">
        <v>42030</v>
      </c>
      <c r="BF1404" s="1">
        <v>230000</v>
      </c>
      <c r="BG1404" t="s">
        <v>9539</v>
      </c>
      <c r="BH1404" s="1">
        <v>100.09</v>
      </c>
      <c r="BI1404" s="1">
        <v>237590</v>
      </c>
      <c r="BJ1404" s="3">
        <v>42030</v>
      </c>
      <c r="BK1404" t="s">
        <v>123</v>
      </c>
      <c r="BL1404" t="str">
        <f>"2015.47452"</f>
        <v>2015.47452</v>
      </c>
      <c r="BM1404" t="s">
        <v>594</v>
      </c>
      <c r="BO1404" t="s">
        <v>9540</v>
      </c>
      <c r="BS1404">
        <v>30</v>
      </c>
      <c r="BW1404" t="str">
        <f>""</f>
        <v/>
      </c>
      <c r="CH1404" t="str">
        <f>""</f>
        <v/>
      </c>
      <c r="CS1404" t="str">
        <f>""</f>
        <v/>
      </c>
    </row>
    <row r="1405" spans="1:97" x14ac:dyDescent="0.25">
      <c r="A1405" t="s">
        <v>325</v>
      </c>
      <c r="B1405" t="s">
        <v>4289</v>
      </c>
      <c r="E1405" t="s">
        <v>9541</v>
      </c>
      <c r="F1405" t="s">
        <v>108</v>
      </c>
      <c r="H1405" t="s">
        <v>9542</v>
      </c>
      <c r="I1405" t="s">
        <v>390</v>
      </c>
      <c r="J1405" t="s">
        <v>111</v>
      </c>
      <c r="K1405" t="str">
        <f>"85013"</f>
        <v>85013</v>
      </c>
      <c r="L1405" t="s">
        <v>9006</v>
      </c>
      <c r="M1405" t="s">
        <v>9542</v>
      </c>
      <c r="N1405" t="s">
        <v>390</v>
      </c>
      <c r="O1405" t="s">
        <v>111</v>
      </c>
      <c r="P1405" t="str">
        <f>"85013-3336"</f>
        <v>85013-3336</v>
      </c>
      <c r="Q1405" t="s">
        <v>113</v>
      </c>
      <c r="R1405" t="str">
        <f>"110-12-037"</f>
        <v>110-12-037</v>
      </c>
      <c r="S1405" t="s">
        <v>9543</v>
      </c>
      <c r="T1405" t="s">
        <v>9544</v>
      </c>
      <c r="U1405">
        <v>1571</v>
      </c>
      <c r="V1405">
        <v>0</v>
      </c>
      <c r="W1405">
        <v>2</v>
      </c>
      <c r="X1405">
        <v>1951</v>
      </c>
      <c r="Z1405">
        <v>1</v>
      </c>
      <c r="AB1405">
        <v>0</v>
      </c>
      <c r="AC1405" t="s">
        <v>5188</v>
      </c>
      <c r="AD1405">
        <v>1</v>
      </c>
      <c r="AE1405" t="s">
        <v>5188</v>
      </c>
      <c r="AF1405">
        <v>0</v>
      </c>
      <c r="AG1405">
        <v>0</v>
      </c>
      <c r="AH1405" t="s">
        <v>116</v>
      </c>
      <c r="AI1405" s="1">
        <v>34129</v>
      </c>
      <c r="AJ1405" s="2">
        <v>0.1</v>
      </c>
      <c r="AK1405" s="1">
        <v>341600</v>
      </c>
      <c r="AL1405" t="s">
        <v>117</v>
      </c>
      <c r="AM1405" t="s">
        <v>191</v>
      </c>
      <c r="AN1405">
        <v>6368</v>
      </c>
      <c r="AO1405">
        <v>0.15</v>
      </c>
      <c r="AP1405">
        <v>1</v>
      </c>
      <c r="AR1405">
        <v>1</v>
      </c>
      <c r="AS1405" s="1">
        <v>21210</v>
      </c>
      <c r="AT1405" s="1">
        <v>4240</v>
      </c>
      <c r="AU1405" s="1">
        <v>16970</v>
      </c>
      <c r="AV1405">
        <v>80.010000000000005</v>
      </c>
      <c r="AX1405" s="1">
        <v>1399.58</v>
      </c>
      <c r="AY1405" t="s">
        <v>5468</v>
      </c>
      <c r="AZ1405" t="s">
        <v>5468</v>
      </c>
      <c r="BA1405" t="s">
        <v>5469</v>
      </c>
      <c r="BE1405" s="3">
        <v>42297</v>
      </c>
      <c r="BF1405" s="1">
        <v>301000</v>
      </c>
      <c r="BG1405" t="s">
        <v>9545</v>
      </c>
      <c r="BH1405" s="1">
        <v>191.6</v>
      </c>
      <c r="BI1405" s="1">
        <v>307471</v>
      </c>
      <c r="BJ1405" s="3">
        <v>42297</v>
      </c>
      <c r="BK1405" t="s">
        <v>123</v>
      </c>
      <c r="BL1405" t="str">
        <f>"2015.752103"</f>
        <v>2015.752103</v>
      </c>
      <c r="BM1405" t="s">
        <v>9546</v>
      </c>
      <c r="BO1405" t="s">
        <v>9547</v>
      </c>
      <c r="BS1405">
        <v>30</v>
      </c>
      <c r="BW1405" t="str">
        <f>""</f>
        <v/>
      </c>
      <c r="CH1405" t="str">
        <f>""</f>
        <v/>
      </c>
      <c r="CS1405" t="str">
        <f>""</f>
        <v/>
      </c>
    </row>
    <row r="1406" spans="1:97" x14ac:dyDescent="0.25">
      <c r="A1406" t="s">
        <v>305</v>
      </c>
      <c r="B1406" t="s">
        <v>9548</v>
      </c>
      <c r="E1406" t="s">
        <v>9549</v>
      </c>
      <c r="F1406" t="s">
        <v>108</v>
      </c>
      <c r="H1406" t="s">
        <v>9550</v>
      </c>
      <c r="I1406" t="s">
        <v>499</v>
      </c>
      <c r="J1406" t="s">
        <v>111</v>
      </c>
      <c r="K1406" t="str">
        <f>"85338"</f>
        <v>85338</v>
      </c>
      <c r="L1406" t="s">
        <v>5775</v>
      </c>
      <c r="M1406" t="s">
        <v>9550</v>
      </c>
      <c r="N1406" t="s">
        <v>499</v>
      </c>
      <c r="O1406" t="s">
        <v>111</v>
      </c>
      <c r="P1406" t="str">
        <f>"85338-3246"</f>
        <v>85338-3246</v>
      </c>
      <c r="Q1406" t="s">
        <v>113</v>
      </c>
      <c r="R1406" t="str">
        <f>"500-10-527"</f>
        <v>500-10-527</v>
      </c>
      <c r="S1406" t="s">
        <v>9551</v>
      </c>
      <c r="T1406" t="s">
        <v>9551</v>
      </c>
      <c r="U1406">
        <v>2406</v>
      </c>
      <c r="V1406">
        <v>0</v>
      </c>
      <c r="W1406">
        <v>4</v>
      </c>
      <c r="X1406">
        <v>2013</v>
      </c>
      <c r="Z1406">
        <v>1</v>
      </c>
      <c r="AB1406">
        <v>0</v>
      </c>
      <c r="AC1406" t="s">
        <v>115</v>
      </c>
      <c r="AD1406">
        <v>3</v>
      </c>
      <c r="AE1406" t="s">
        <v>115</v>
      </c>
      <c r="AF1406">
        <v>0</v>
      </c>
      <c r="AG1406">
        <v>0</v>
      </c>
      <c r="AH1406" t="s">
        <v>116</v>
      </c>
      <c r="AI1406" s="1">
        <v>67184</v>
      </c>
      <c r="AJ1406" s="2">
        <v>0.2</v>
      </c>
      <c r="AK1406" s="1">
        <v>340204</v>
      </c>
      <c r="AL1406" t="s">
        <v>117</v>
      </c>
      <c r="AM1406" t="s">
        <v>118</v>
      </c>
      <c r="AN1406">
        <v>7200</v>
      </c>
      <c r="AO1406">
        <v>0.16</v>
      </c>
      <c r="AR1406">
        <v>1</v>
      </c>
      <c r="AS1406" s="1">
        <v>24170</v>
      </c>
      <c r="AT1406" s="1">
        <v>4830</v>
      </c>
      <c r="AU1406" s="1">
        <v>19340</v>
      </c>
      <c r="AV1406">
        <v>80.02</v>
      </c>
      <c r="AX1406" s="1">
        <v>1920.24</v>
      </c>
      <c r="AY1406" t="s">
        <v>4311</v>
      </c>
      <c r="AZ1406" t="s">
        <v>4311</v>
      </c>
      <c r="BA1406" t="s">
        <v>7186</v>
      </c>
      <c r="BE1406" s="3">
        <v>41968</v>
      </c>
      <c r="BF1406" s="1">
        <v>265001</v>
      </c>
      <c r="BG1406" t="s">
        <v>158</v>
      </c>
      <c r="BH1406" s="1">
        <v>110.14</v>
      </c>
      <c r="BI1406" s="1">
        <v>273020</v>
      </c>
      <c r="BJ1406" s="3">
        <v>41968</v>
      </c>
      <c r="BK1406" t="s">
        <v>123</v>
      </c>
      <c r="BL1406" t="str">
        <f>"2014.779721"</f>
        <v>2014.779721</v>
      </c>
      <c r="BM1406" t="s">
        <v>241</v>
      </c>
      <c r="BO1406" t="s">
        <v>9552</v>
      </c>
      <c r="BS1406">
        <v>30</v>
      </c>
      <c r="BW1406" t="str">
        <f>""</f>
        <v/>
      </c>
      <c r="CH1406" t="str">
        <f>""</f>
        <v/>
      </c>
      <c r="CS1406" t="str">
        <f>""</f>
        <v/>
      </c>
    </row>
    <row r="1407" spans="1:97" x14ac:dyDescent="0.25">
      <c r="A1407" t="s">
        <v>5314</v>
      </c>
      <c r="B1407" t="s">
        <v>9553</v>
      </c>
      <c r="C1407" t="s">
        <v>9554</v>
      </c>
      <c r="D1407" t="s">
        <v>9553</v>
      </c>
      <c r="E1407" t="s">
        <v>9555</v>
      </c>
      <c r="F1407" t="s">
        <v>108</v>
      </c>
      <c r="H1407" t="s">
        <v>9556</v>
      </c>
      <c r="I1407" t="s">
        <v>632</v>
      </c>
      <c r="J1407" t="s">
        <v>111</v>
      </c>
      <c r="K1407" t="str">
        <f>"85388"</f>
        <v>85388</v>
      </c>
      <c r="L1407" t="s">
        <v>5727</v>
      </c>
      <c r="M1407" t="s">
        <v>9556</v>
      </c>
      <c r="N1407" t="s">
        <v>632</v>
      </c>
      <c r="O1407" t="s">
        <v>111</v>
      </c>
      <c r="P1407" t="str">
        <f>"85388-5601"</f>
        <v>85388-5601</v>
      </c>
      <c r="Q1407" t="s">
        <v>113</v>
      </c>
      <c r="R1407" t="str">
        <f>"502-06-037"</f>
        <v>502-06-037</v>
      </c>
      <c r="S1407" t="s">
        <v>5728</v>
      </c>
      <c r="T1407" t="s">
        <v>5167</v>
      </c>
      <c r="U1407">
        <v>2155</v>
      </c>
      <c r="V1407">
        <v>0</v>
      </c>
      <c r="W1407">
        <v>2</v>
      </c>
      <c r="X1407">
        <v>2008</v>
      </c>
      <c r="Z1407">
        <v>1</v>
      </c>
      <c r="AB1407">
        <v>0</v>
      </c>
      <c r="AC1407" t="s">
        <v>115</v>
      </c>
      <c r="AD1407">
        <v>2</v>
      </c>
      <c r="AE1407" t="s">
        <v>115</v>
      </c>
      <c r="AF1407">
        <v>0</v>
      </c>
      <c r="AG1407">
        <v>0</v>
      </c>
      <c r="AH1407" t="s">
        <v>116</v>
      </c>
      <c r="AI1407" s="1">
        <v>78162</v>
      </c>
      <c r="AJ1407" s="2">
        <v>0.28000000000000003</v>
      </c>
      <c r="AK1407" s="1">
        <v>278162</v>
      </c>
      <c r="AL1407" t="s">
        <v>117</v>
      </c>
      <c r="AM1407" t="s">
        <v>118</v>
      </c>
      <c r="AN1407">
        <v>5943</v>
      </c>
      <c r="AO1407">
        <v>0.14000000000000001</v>
      </c>
      <c r="AR1407">
        <v>1</v>
      </c>
      <c r="AS1407" s="1">
        <v>18700</v>
      </c>
      <c r="AT1407" s="1">
        <v>3740</v>
      </c>
      <c r="AU1407" s="1">
        <v>14960</v>
      </c>
      <c r="AV1407">
        <v>80</v>
      </c>
      <c r="AX1407" s="1">
        <v>1628.44</v>
      </c>
      <c r="AY1407" t="s">
        <v>5168</v>
      </c>
      <c r="AZ1407" t="s">
        <v>5168</v>
      </c>
      <c r="BA1407" t="s">
        <v>5061</v>
      </c>
      <c r="BE1407" s="3">
        <v>41682</v>
      </c>
      <c r="BF1407" s="1">
        <v>200000</v>
      </c>
      <c r="BG1407" t="s">
        <v>9557</v>
      </c>
      <c r="BH1407" s="1">
        <v>92.81</v>
      </c>
      <c r="BI1407" s="1">
        <v>200000</v>
      </c>
      <c r="BJ1407" s="3">
        <v>41682</v>
      </c>
      <c r="BK1407" t="s">
        <v>123</v>
      </c>
      <c r="BL1407" t="str">
        <f>"2014.94264"</f>
        <v>2014.94264</v>
      </c>
      <c r="BM1407" t="s">
        <v>724</v>
      </c>
      <c r="BO1407" t="s">
        <v>9558</v>
      </c>
      <c r="BP1407" t="s">
        <v>9559</v>
      </c>
      <c r="BS1407">
        <v>30</v>
      </c>
      <c r="BW1407" t="str">
        <f>""</f>
        <v/>
      </c>
      <c r="CH1407" t="str">
        <f>""</f>
        <v/>
      </c>
      <c r="CS1407" t="str">
        <f>""</f>
        <v/>
      </c>
    </row>
    <row r="1408" spans="1:97" x14ac:dyDescent="0.25">
      <c r="A1408" t="s">
        <v>325</v>
      </c>
      <c r="B1408" t="s">
        <v>1422</v>
      </c>
      <c r="C1408" t="s">
        <v>4661</v>
      </c>
      <c r="D1408" t="s">
        <v>1422</v>
      </c>
      <c r="E1408" t="s">
        <v>9560</v>
      </c>
      <c r="F1408" t="s">
        <v>108</v>
      </c>
      <c r="H1408" t="s">
        <v>9561</v>
      </c>
      <c r="I1408" t="s">
        <v>5387</v>
      </c>
      <c r="J1408" t="s">
        <v>111</v>
      </c>
      <c r="K1408" t="str">
        <f>"85282"</f>
        <v>85282</v>
      </c>
      <c r="L1408" t="s">
        <v>6996</v>
      </c>
      <c r="M1408" t="s">
        <v>9561</v>
      </c>
      <c r="N1408" t="s">
        <v>5387</v>
      </c>
      <c r="O1408" t="s">
        <v>111</v>
      </c>
      <c r="P1408" t="str">
        <f>"85282-6543"</f>
        <v>85282-6543</v>
      </c>
      <c r="Q1408" t="s">
        <v>113</v>
      </c>
      <c r="R1408" t="str">
        <f>"123-52-034"</f>
        <v>123-52-034</v>
      </c>
      <c r="S1408" t="s">
        <v>9562</v>
      </c>
      <c r="T1408" t="s">
        <v>9563</v>
      </c>
      <c r="U1408">
        <v>1856</v>
      </c>
      <c r="V1408">
        <v>0</v>
      </c>
      <c r="W1408">
        <v>2</v>
      </c>
      <c r="X1408">
        <v>1982</v>
      </c>
      <c r="Z1408">
        <v>1</v>
      </c>
      <c r="AA1408" t="s">
        <v>26</v>
      </c>
      <c r="AB1408">
        <v>0</v>
      </c>
      <c r="AC1408" t="s">
        <v>7038</v>
      </c>
      <c r="AD1408">
        <v>0</v>
      </c>
      <c r="AE1408" t="s">
        <v>7038</v>
      </c>
      <c r="AF1408">
        <v>0</v>
      </c>
      <c r="AG1408">
        <v>0</v>
      </c>
      <c r="AH1408" t="s">
        <v>116</v>
      </c>
      <c r="AI1408" s="1">
        <v>69640</v>
      </c>
      <c r="AJ1408" s="2">
        <v>0.23</v>
      </c>
      <c r="AK1408" s="1">
        <v>305640</v>
      </c>
      <c r="AL1408" t="s">
        <v>117</v>
      </c>
      <c r="AM1408" t="s">
        <v>191</v>
      </c>
      <c r="AN1408">
        <v>9265</v>
      </c>
      <c r="AO1408">
        <v>0.21</v>
      </c>
      <c r="AP1408">
        <v>1</v>
      </c>
      <c r="AR1408">
        <v>1</v>
      </c>
      <c r="AS1408" s="1">
        <v>22500</v>
      </c>
      <c r="AT1408" s="1">
        <v>4500</v>
      </c>
      <c r="AU1408" s="1">
        <v>18000</v>
      </c>
      <c r="AV1408">
        <v>80</v>
      </c>
      <c r="AX1408" s="1">
        <v>2022.46</v>
      </c>
      <c r="AY1408" t="s">
        <v>9564</v>
      </c>
      <c r="AZ1408" t="s">
        <v>6726</v>
      </c>
      <c r="BA1408" t="s">
        <v>9519</v>
      </c>
      <c r="BE1408" s="3">
        <v>42026</v>
      </c>
      <c r="BF1408" s="1">
        <v>200000</v>
      </c>
      <c r="BG1408" t="s">
        <v>9565</v>
      </c>
      <c r="BH1408" s="1">
        <v>107.76</v>
      </c>
      <c r="BI1408" s="1">
        <v>236000</v>
      </c>
      <c r="BJ1408" s="3">
        <v>43382</v>
      </c>
      <c r="BK1408" t="s">
        <v>123</v>
      </c>
      <c r="BL1408" t="str">
        <f>"2018.756635"</f>
        <v>2018.756635</v>
      </c>
      <c r="BM1408" t="s">
        <v>3040</v>
      </c>
      <c r="BN1408" t="s">
        <v>3041</v>
      </c>
      <c r="BO1408" t="s">
        <v>9566</v>
      </c>
      <c r="BP1408" t="s">
        <v>9567</v>
      </c>
      <c r="BR1408" t="s">
        <v>139</v>
      </c>
      <c r="BW1408" t="str">
        <f>""</f>
        <v/>
      </c>
      <c r="CH1408" t="str">
        <f>""</f>
        <v/>
      </c>
      <c r="CS1408" t="str">
        <f>""</f>
        <v/>
      </c>
    </row>
    <row r="1409" spans="1:97" x14ac:dyDescent="0.25">
      <c r="A1409" t="s">
        <v>9568</v>
      </c>
      <c r="B1409" t="s">
        <v>7855</v>
      </c>
      <c r="C1409" t="s">
        <v>9569</v>
      </c>
      <c r="D1409" t="s">
        <v>7855</v>
      </c>
      <c r="E1409" t="s">
        <v>9570</v>
      </c>
      <c r="F1409" t="s">
        <v>108</v>
      </c>
      <c r="H1409" t="s">
        <v>9571</v>
      </c>
      <c r="I1409" t="s">
        <v>188</v>
      </c>
      <c r="J1409" t="s">
        <v>111</v>
      </c>
      <c r="K1409" t="str">
        <f>"85142"</f>
        <v>85142</v>
      </c>
      <c r="L1409" t="s">
        <v>8146</v>
      </c>
      <c r="M1409" t="s">
        <v>9571</v>
      </c>
      <c r="N1409" t="s">
        <v>188</v>
      </c>
      <c r="O1409" t="s">
        <v>111</v>
      </c>
      <c r="P1409" t="str">
        <f>"85142-6987"</f>
        <v>85142-6987</v>
      </c>
      <c r="Q1409" t="s">
        <v>113</v>
      </c>
      <c r="R1409" t="str">
        <f>"304-65-406"</f>
        <v>304-65-406</v>
      </c>
      <c r="S1409" t="s">
        <v>9572</v>
      </c>
      <c r="U1409">
        <v>1926</v>
      </c>
      <c r="V1409">
        <v>0</v>
      </c>
      <c r="W1409">
        <v>3</v>
      </c>
      <c r="X1409">
        <v>2002</v>
      </c>
      <c r="Z1409">
        <v>1</v>
      </c>
      <c r="AA1409" t="s">
        <v>26</v>
      </c>
      <c r="AB1409">
        <v>0</v>
      </c>
      <c r="AC1409" t="s">
        <v>115</v>
      </c>
      <c r="AD1409">
        <v>2</v>
      </c>
      <c r="AE1409" t="s">
        <v>115</v>
      </c>
      <c r="AF1409">
        <v>0</v>
      </c>
      <c r="AG1409">
        <v>0</v>
      </c>
      <c r="AH1409" t="s">
        <v>116</v>
      </c>
      <c r="AI1409" s="1">
        <v>65603</v>
      </c>
      <c r="AJ1409" s="2">
        <v>0.22</v>
      </c>
      <c r="AK1409" s="1">
        <v>303193</v>
      </c>
      <c r="AL1409" t="s">
        <v>117</v>
      </c>
      <c r="AM1409" t="s">
        <v>171</v>
      </c>
      <c r="AN1409">
        <v>6300</v>
      </c>
      <c r="AO1409">
        <v>0.14000000000000001</v>
      </c>
      <c r="AP1409">
        <v>1</v>
      </c>
      <c r="AR1409">
        <v>1</v>
      </c>
      <c r="AS1409" s="1">
        <v>20180</v>
      </c>
      <c r="AT1409" s="1">
        <v>4030</v>
      </c>
      <c r="AU1409" s="1">
        <v>16150</v>
      </c>
      <c r="AV1409">
        <v>80.03</v>
      </c>
      <c r="AX1409" s="1">
        <v>1675.16</v>
      </c>
      <c r="AY1409" t="s">
        <v>5895</v>
      </c>
      <c r="AZ1409" t="s">
        <v>561</v>
      </c>
      <c r="BA1409" t="s">
        <v>194</v>
      </c>
      <c r="BE1409" s="3">
        <v>41822</v>
      </c>
      <c r="BF1409" s="1">
        <v>230000</v>
      </c>
      <c r="BG1409" t="s">
        <v>9573</v>
      </c>
      <c r="BH1409" s="1">
        <v>119.42</v>
      </c>
      <c r="BI1409" s="1">
        <v>237590</v>
      </c>
      <c r="BJ1409" s="3">
        <v>41822</v>
      </c>
      <c r="BK1409" t="s">
        <v>123</v>
      </c>
      <c r="BL1409" t="str">
        <f>"2014.436616"</f>
        <v>2014.436616</v>
      </c>
      <c r="BM1409" t="s">
        <v>5348</v>
      </c>
      <c r="BO1409" t="s">
        <v>9574</v>
      </c>
      <c r="BS1409">
        <v>30</v>
      </c>
      <c r="BW1409" t="str">
        <f>""</f>
        <v/>
      </c>
      <c r="CH1409" t="str">
        <f>""</f>
        <v/>
      </c>
      <c r="CS1409" t="str">
        <f>""</f>
        <v/>
      </c>
    </row>
    <row r="1410" spans="1:97" x14ac:dyDescent="0.25">
      <c r="A1410" t="s">
        <v>9575</v>
      </c>
      <c r="B1410" t="s">
        <v>2007</v>
      </c>
      <c r="E1410" t="s">
        <v>9576</v>
      </c>
      <c r="F1410" t="s">
        <v>108</v>
      </c>
      <c r="H1410" t="s">
        <v>9577</v>
      </c>
      <c r="I1410" t="s">
        <v>390</v>
      </c>
      <c r="J1410" t="s">
        <v>111</v>
      </c>
      <c r="K1410" t="str">
        <f>"85028"</f>
        <v>85028</v>
      </c>
      <c r="L1410" t="s">
        <v>5408</v>
      </c>
      <c r="M1410" t="s">
        <v>9577</v>
      </c>
      <c r="N1410" t="s">
        <v>390</v>
      </c>
      <c r="O1410" t="s">
        <v>111</v>
      </c>
      <c r="P1410" t="str">
        <f>"85028-2117"</f>
        <v>85028-2117</v>
      </c>
      <c r="R1410" t="str">
        <f>"166-34-125"</f>
        <v>166-34-125</v>
      </c>
      <c r="S1410" t="s">
        <v>9578</v>
      </c>
      <c r="T1410" t="s">
        <v>9579</v>
      </c>
      <c r="U1410">
        <v>1965</v>
      </c>
      <c r="V1410">
        <v>0</v>
      </c>
      <c r="W1410">
        <v>2</v>
      </c>
      <c r="X1410">
        <v>1969</v>
      </c>
      <c r="Z1410">
        <v>1</v>
      </c>
      <c r="AA1410" t="s">
        <v>26</v>
      </c>
      <c r="AB1410">
        <v>0</v>
      </c>
      <c r="AC1410" t="s">
        <v>115</v>
      </c>
      <c r="AD1410">
        <v>2</v>
      </c>
      <c r="AE1410" t="s">
        <v>115</v>
      </c>
      <c r="AF1410">
        <v>0</v>
      </c>
      <c r="AG1410">
        <v>0</v>
      </c>
      <c r="AH1410" t="s">
        <v>116</v>
      </c>
      <c r="AI1410" s="1">
        <v>382469</v>
      </c>
      <c r="AJ1410" s="2">
        <v>1</v>
      </c>
      <c r="AK1410" s="1">
        <v>382469</v>
      </c>
      <c r="AL1410" t="s">
        <v>117</v>
      </c>
      <c r="AM1410" t="s">
        <v>171</v>
      </c>
      <c r="AN1410">
        <v>10412</v>
      </c>
      <c r="AO1410">
        <v>0.24</v>
      </c>
      <c r="AP1410">
        <v>1</v>
      </c>
      <c r="AR1410">
        <v>1</v>
      </c>
      <c r="AS1410" s="1">
        <v>27970</v>
      </c>
      <c r="AT1410" s="1">
        <v>5590</v>
      </c>
      <c r="AU1410" s="1">
        <v>22380</v>
      </c>
      <c r="AV1410">
        <v>80.010000000000005</v>
      </c>
      <c r="AX1410" s="1">
        <v>1901.74</v>
      </c>
      <c r="AY1410" t="s">
        <v>9580</v>
      </c>
      <c r="AZ1410" t="s">
        <v>5489</v>
      </c>
      <c r="BA1410" t="s">
        <v>5232</v>
      </c>
      <c r="BE1410" s="3">
        <v>41943</v>
      </c>
      <c r="BF1410" s="1">
        <v>284000</v>
      </c>
      <c r="BG1410" t="s">
        <v>9581</v>
      </c>
      <c r="BH1410" s="1">
        <v>144.53</v>
      </c>
      <c r="BI1410" s="1">
        <v>281200</v>
      </c>
      <c r="BJ1410" s="3">
        <v>42696</v>
      </c>
      <c r="BK1410" t="s">
        <v>123</v>
      </c>
      <c r="BL1410" t="str">
        <f>"2016.860586"</f>
        <v>2016.860586</v>
      </c>
      <c r="BM1410" t="s">
        <v>322</v>
      </c>
      <c r="BN1410" t="s">
        <v>534</v>
      </c>
      <c r="BO1410" t="s">
        <v>9582</v>
      </c>
      <c r="BS1410">
        <v>30</v>
      </c>
      <c r="BW1410" t="str">
        <f>""</f>
        <v/>
      </c>
      <c r="CH1410" t="str">
        <f>""</f>
        <v/>
      </c>
      <c r="CS1410" t="str">
        <f>""</f>
        <v/>
      </c>
    </row>
    <row r="1411" spans="1:97" x14ac:dyDescent="0.25">
      <c r="A1411" t="s">
        <v>9583</v>
      </c>
      <c r="B1411" t="s">
        <v>9584</v>
      </c>
      <c r="C1411" t="s">
        <v>2761</v>
      </c>
      <c r="D1411" t="s">
        <v>9584</v>
      </c>
      <c r="E1411" t="s">
        <v>9585</v>
      </c>
      <c r="F1411" t="s">
        <v>108</v>
      </c>
      <c r="H1411" t="s">
        <v>9586</v>
      </c>
      <c r="I1411" t="s">
        <v>5387</v>
      </c>
      <c r="J1411" t="s">
        <v>111</v>
      </c>
      <c r="K1411" t="str">
        <f>"85281"</f>
        <v>85281</v>
      </c>
      <c r="L1411" t="s">
        <v>6964</v>
      </c>
      <c r="M1411" t="s">
        <v>9586</v>
      </c>
      <c r="N1411" t="s">
        <v>5387</v>
      </c>
      <c r="O1411" t="s">
        <v>111</v>
      </c>
      <c r="P1411" t="str">
        <f>"85281-1145"</f>
        <v>85281-1145</v>
      </c>
      <c r="Q1411" t="s">
        <v>113</v>
      </c>
      <c r="R1411" t="str">
        <f>"129-17-030-A"</f>
        <v>129-17-030-A</v>
      </c>
      <c r="S1411" t="s">
        <v>9587</v>
      </c>
      <c r="T1411" t="s">
        <v>9588</v>
      </c>
      <c r="U1411">
        <v>1234</v>
      </c>
      <c r="V1411">
        <v>0</v>
      </c>
      <c r="W1411">
        <v>2</v>
      </c>
      <c r="X1411">
        <v>1961</v>
      </c>
      <c r="Z1411">
        <v>1</v>
      </c>
      <c r="AB1411">
        <v>0</v>
      </c>
      <c r="AC1411" t="s">
        <v>5188</v>
      </c>
      <c r="AD1411">
        <v>1</v>
      </c>
      <c r="AE1411" t="s">
        <v>5188</v>
      </c>
      <c r="AF1411">
        <v>0</v>
      </c>
      <c r="AG1411">
        <v>0</v>
      </c>
      <c r="AH1411" t="s">
        <v>5467</v>
      </c>
      <c r="AI1411" s="1">
        <v>-49145</v>
      </c>
      <c r="AJ1411" s="2">
        <v>-0.17</v>
      </c>
      <c r="AK1411" s="1">
        <v>290855</v>
      </c>
      <c r="AL1411" t="s">
        <v>117</v>
      </c>
      <c r="AM1411" t="s">
        <v>191</v>
      </c>
      <c r="AN1411">
        <v>6756</v>
      </c>
      <c r="AO1411">
        <v>0.16</v>
      </c>
      <c r="AP1411">
        <v>1</v>
      </c>
      <c r="AR1411">
        <v>1</v>
      </c>
      <c r="AS1411" s="1">
        <v>19730</v>
      </c>
      <c r="AT1411" s="1">
        <v>3940</v>
      </c>
      <c r="AU1411" s="1">
        <v>15790</v>
      </c>
      <c r="AV1411">
        <v>80.03</v>
      </c>
      <c r="AX1411" s="1">
        <v>989.82</v>
      </c>
      <c r="AY1411" t="s">
        <v>8392</v>
      </c>
      <c r="AZ1411" t="s">
        <v>5420</v>
      </c>
      <c r="BA1411" t="s">
        <v>5421</v>
      </c>
      <c r="BB1411" s="3">
        <v>43563</v>
      </c>
      <c r="BC1411" s="1">
        <v>0</v>
      </c>
      <c r="BD1411" t="s">
        <v>247</v>
      </c>
      <c r="BE1411" s="3">
        <v>41851</v>
      </c>
      <c r="BF1411" s="1">
        <v>230000</v>
      </c>
      <c r="BG1411" t="s">
        <v>9589</v>
      </c>
      <c r="BH1411" s="1">
        <v>186.39</v>
      </c>
      <c r="BI1411" s="1">
        <v>340000</v>
      </c>
      <c r="BJ1411" s="3">
        <v>43563</v>
      </c>
      <c r="BK1411" t="s">
        <v>123</v>
      </c>
      <c r="BL1411" t="str">
        <f>"2019.242978"</f>
        <v>2019.242978</v>
      </c>
      <c r="BM1411" t="s">
        <v>9590</v>
      </c>
      <c r="BN1411" t="s">
        <v>9591</v>
      </c>
      <c r="BO1411" t="s">
        <v>9592</v>
      </c>
      <c r="BP1411" t="s">
        <v>9593</v>
      </c>
      <c r="BR1411" t="s">
        <v>139</v>
      </c>
      <c r="BW1411" t="str">
        <f>""</f>
        <v/>
      </c>
      <c r="CH1411" t="str">
        <f>""</f>
        <v/>
      </c>
      <c r="CS1411" t="str">
        <f>""</f>
        <v/>
      </c>
    </row>
    <row r="1412" spans="1:97" x14ac:dyDescent="0.25">
      <c r="A1412" t="s">
        <v>348</v>
      </c>
      <c r="B1412" t="s">
        <v>9594</v>
      </c>
      <c r="E1412" t="s">
        <v>9595</v>
      </c>
      <c r="F1412" t="s">
        <v>108</v>
      </c>
      <c r="H1412" t="s">
        <v>9596</v>
      </c>
      <c r="I1412" t="s">
        <v>225</v>
      </c>
      <c r="J1412" t="s">
        <v>111</v>
      </c>
      <c r="K1412" t="str">
        <f>"85204"</f>
        <v>85204</v>
      </c>
      <c r="L1412" t="s">
        <v>9597</v>
      </c>
      <c r="M1412" t="s">
        <v>9596</v>
      </c>
      <c r="N1412" t="s">
        <v>225</v>
      </c>
      <c r="O1412" t="s">
        <v>111</v>
      </c>
      <c r="P1412" t="str">
        <f>"85204-6278"</f>
        <v>85204-6278</v>
      </c>
      <c r="Q1412" t="s">
        <v>113</v>
      </c>
      <c r="R1412" t="str">
        <f>"140-60-246"</f>
        <v>140-60-246</v>
      </c>
      <c r="S1412" t="s">
        <v>9598</v>
      </c>
      <c r="T1412" t="s">
        <v>9599</v>
      </c>
      <c r="U1412">
        <v>1954</v>
      </c>
      <c r="V1412">
        <v>0</v>
      </c>
      <c r="W1412">
        <v>2</v>
      </c>
      <c r="X1412">
        <v>1982</v>
      </c>
      <c r="Z1412">
        <v>1</v>
      </c>
      <c r="AB1412">
        <v>0</v>
      </c>
      <c r="AC1412" t="s">
        <v>115</v>
      </c>
      <c r="AD1412">
        <v>2</v>
      </c>
      <c r="AE1412" t="s">
        <v>115</v>
      </c>
      <c r="AF1412">
        <v>0</v>
      </c>
      <c r="AG1412">
        <v>0</v>
      </c>
      <c r="AH1412" t="s">
        <v>116</v>
      </c>
      <c r="AI1412" s="1">
        <v>54013</v>
      </c>
      <c r="AJ1412" s="2">
        <v>0.18</v>
      </c>
      <c r="AK1412" s="1">
        <v>297913</v>
      </c>
      <c r="AL1412" t="s">
        <v>117</v>
      </c>
      <c r="AM1412" t="s">
        <v>393</v>
      </c>
      <c r="AN1412">
        <v>7945</v>
      </c>
      <c r="AO1412">
        <v>0.18</v>
      </c>
      <c r="AP1412">
        <v>1</v>
      </c>
      <c r="AR1412">
        <v>1</v>
      </c>
      <c r="AS1412" s="1">
        <v>20120</v>
      </c>
      <c r="AT1412" s="1">
        <v>4020</v>
      </c>
      <c r="AU1412" s="1">
        <v>16100</v>
      </c>
      <c r="AV1412">
        <v>80.02</v>
      </c>
      <c r="AX1412" s="1">
        <v>1350.66</v>
      </c>
      <c r="AY1412" t="s">
        <v>9600</v>
      </c>
      <c r="AZ1412" t="s">
        <v>5158</v>
      </c>
      <c r="BA1412" t="s">
        <v>5159</v>
      </c>
      <c r="BE1412" s="3">
        <v>42307</v>
      </c>
      <c r="BF1412" s="1">
        <v>216000</v>
      </c>
      <c r="BG1412" t="s">
        <v>9601</v>
      </c>
      <c r="BH1412" s="1">
        <v>110.54</v>
      </c>
      <c r="BI1412" s="1">
        <v>243900</v>
      </c>
      <c r="BJ1412" s="3">
        <v>43357</v>
      </c>
      <c r="BK1412" t="s">
        <v>123</v>
      </c>
      <c r="BL1412" t="str">
        <f>"2018.693235"</f>
        <v>2018.693235</v>
      </c>
      <c r="BM1412" t="s">
        <v>1051</v>
      </c>
      <c r="BN1412" t="s">
        <v>9602</v>
      </c>
      <c r="BO1412" t="s">
        <v>9595</v>
      </c>
      <c r="BR1412" t="s">
        <v>139</v>
      </c>
      <c r="BW1412" t="str">
        <f>""</f>
        <v/>
      </c>
      <c r="CH1412" t="str">
        <f>""</f>
        <v/>
      </c>
      <c r="CS1412" t="str">
        <f>""</f>
        <v/>
      </c>
    </row>
    <row r="1413" spans="1:97" x14ac:dyDescent="0.25">
      <c r="A1413" t="s">
        <v>9603</v>
      </c>
      <c r="B1413" t="s">
        <v>9604</v>
      </c>
      <c r="C1413" t="s">
        <v>2761</v>
      </c>
      <c r="D1413" t="s">
        <v>9604</v>
      </c>
      <c r="E1413" t="s">
        <v>9605</v>
      </c>
      <c r="F1413" t="s">
        <v>108</v>
      </c>
      <c r="H1413" t="s">
        <v>9606</v>
      </c>
      <c r="I1413" t="s">
        <v>632</v>
      </c>
      <c r="J1413" t="s">
        <v>111</v>
      </c>
      <c r="K1413" t="str">
        <f>"85379"</f>
        <v>85379</v>
      </c>
      <c r="L1413" t="s">
        <v>269</v>
      </c>
      <c r="M1413" t="s">
        <v>9606</v>
      </c>
      <c r="N1413" t="s">
        <v>632</v>
      </c>
      <c r="O1413" t="s">
        <v>111</v>
      </c>
      <c r="P1413" t="str">
        <f>"85379-4662"</f>
        <v>85379-4662</v>
      </c>
      <c r="Q1413" t="s">
        <v>113</v>
      </c>
      <c r="R1413" t="str">
        <f>"501-40-332"</f>
        <v>501-40-332</v>
      </c>
      <c r="S1413" t="s">
        <v>9607</v>
      </c>
      <c r="U1413">
        <v>2810</v>
      </c>
      <c r="V1413">
        <v>0</v>
      </c>
      <c r="W1413">
        <v>5</v>
      </c>
      <c r="X1413">
        <v>2005</v>
      </c>
      <c r="Z1413">
        <v>2</v>
      </c>
      <c r="AB1413">
        <v>0</v>
      </c>
      <c r="AC1413" t="s">
        <v>115</v>
      </c>
      <c r="AD1413">
        <v>2</v>
      </c>
      <c r="AE1413" t="s">
        <v>115</v>
      </c>
      <c r="AF1413">
        <v>0</v>
      </c>
      <c r="AG1413">
        <v>0</v>
      </c>
      <c r="AH1413" t="s">
        <v>116</v>
      </c>
      <c r="AI1413" s="1">
        <v>85677</v>
      </c>
      <c r="AJ1413" s="2">
        <v>0.28999999999999998</v>
      </c>
      <c r="AK1413" s="1">
        <v>299508</v>
      </c>
      <c r="AL1413" t="s">
        <v>117</v>
      </c>
      <c r="AM1413" t="s">
        <v>118</v>
      </c>
      <c r="AN1413">
        <v>6380</v>
      </c>
      <c r="AO1413">
        <v>0.15</v>
      </c>
      <c r="AR1413">
        <v>1</v>
      </c>
      <c r="AS1413" s="1">
        <v>20630</v>
      </c>
      <c r="AT1413" s="1">
        <v>4120</v>
      </c>
      <c r="AU1413" s="1">
        <v>16510</v>
      </c>
      <c r="AV1413">
        <v>80.03</v>
      </c>
      <c r="AX1413" s="1">
        <v>1659.24</v>
      </c>
      <c r="AY1413" t="s">
        <v>5060</v>
      </c>
      <c r="AZ1413" t="s">
        <v>5060</v>
      </c>
      <c r="BA1413" t="s">
        <v>5061</v>
      </c>
      <c r="BE1413" s="3">
        <v>42026</v>
      </c>
      <c r="BF1413" s="1">
        <v>207000</v>
      </c>
      <c r="BG1413" t="s">
        <v>9608</v>
      </c>
      <c r="BH1413" s="1">
        <v>73.67</v>
      </c>
      <c r="BI1413" s="1">
        <v>213831</v>
      </c>
      <c r="BJ1413" s="3">
        <v>42026</v>
      </c>
      <c r="BK1413" t="s">
        <v>123</v>
      </c>
      <c r="BL1413" t="str">
        <f>"2015.44228"</f>
        <v>2015.44228</v>
      </c>
      <c r="BM1413" t="s">
        <v>1185</v>
      </c>
      <c r="BO1413" t="s">
        <v>9609</v>
      </c>
      <c r="BS1413">
        <v>30</v>
      </c>
      <c r="BW1413" t="str">
        <f>""</f>
        <v/>
      </c>
      <c r="CH1413" t="str">
        <f>""</f>
        <v/>
      </c>
      <c r="CS1413" t="str">
        <f>""</f>
        <v/>
      </c>
    </row>
    <row r="1414" spans="1:97" x14ac:dyDescent="0.25">
      <c r="A1414" t="s">
        <v>265</v>
      </c>
      <c r="B1414" t="s">
        <v>9610</v>
      </c>
      <c r="E1414" t="s">
        <v>9611</v>
      </c>
      <c r="F1414" t="s">
        <v>108</v>
      </c>
      <c r="H1414" t="s">
        <v>9612</v>
      </c>
      <c r="I1414" t="s">
        <v>632</v>
      </c>
      <c r="J1414" t="s">
        <v>111</v>
      </c>
      <c r="K1414" t="str">
        <f>"85379"</f>
        <v>85379</v>
      </c>
      <c r="L1414" t="s">
        <v>5816</v>
      </c>
      <c r="M1414" t="s">
        <v>9612</v>
      </c>
      <c r="N1414" t="s">
        <v>632</v>
      </c>
      <c r="O1414" t="s">
        <v>111</v>
      </c>
      <c r="P1414" t="str">
        <f>"85379-5907"</f>
        <v>85379-5907</v>
      </c>
      <c r="Q1414" t="s">
        <v>113</v>
      </c>
      <c r="R1414" t="str">
        <f>"501-39-172"</f>
        <v>501-39-172</v>
      </c>
      <c r="S1414" t="s">
        <v>9613</v>
      </c>
      <c r="U1414">
        <v>2330</v>
      </c>
      <c r="V1414">
        <v>0</v>
      </c>
      <c r="W1414">
        <v>4</v>
      </c>
      <c r="X1414">
        <v>2003</v>
      </c>
      <c r="Z1414">
        <v>2</v>
      </c>
      <c r="AB1414">
        <v>0</v>
      </c>
      <c r="AC1414" t="s">
        <v>115</v>
      </c>
      <c r="AD1414">
        <v>2</v>
      </c>
      <c r="AE1414" t="s">
        <v>115</v>
      </c>
      <c r="AF1414">
        <v>0</v>
      </c>
      <c r="AG1414">
        <v>0</v>
      </c>
      <c r="AH1414" t="s">
        <v>116</v>
      </c>
      <c r="AI1414" s="1">
        <v>45095</v>
      </c>
      <c r="AJ1414" s="2">
        <v>0.17</v>
      </c>
      <c r="AK1414" s="1">
        <v>266776</v>
      </c>
      <c r="AL1414" t="s">
        <v>117</v>
      </c>
      <c r="AM1414" t="s">
        <v>118</v>
      </c>
      <c r="AN1414">
        <v>6095</v>
      </c>
      <c r="AO1414">
        <v>0.14000000000000001</v>
      </c>
      <c r="AP1414">
        <v>1</v>
      </c>
      <c r="AR1414">
        <v>1</v>
      </c>
      <c r="AS1414" s="1">
        <v>18460</v>
      </c>
      <c r="AT1414" s="1">
        <v>3690</v>
      </c>
      <c r="AU1414" s="1">
        <v>14770</v>
      </c>
      <c r="AV1414">
        <v>80.010000000000005</v>
      </c>
      <c r="AX1414" s="1">
        <v>1413.74</v>
      </c>
      <c r="AY1414" t="s">
        <v>634</v>
      </c>
      <c r="AZ1414" t="s">
        <v>634</v>
      </c>
      <c r="BA1414" t="s">
        <v>635</v>
      </c>
      <c r="BE1414" s="3">
        <v>42233</v>
      </c>
      <c r="BF1414" s="1">
        <v>188000</v>
      </c>
      <c r="BG1414" t="s">
        <v>9614</v>
      </c>
      <c r="BH1414" s="1">
        <v>80.69</v>
      </c>
      <c r="BI1414" s="1">
        <v>221681</v>
      </c>
      <c r="BJ1414" s="3">
        <v>42804</v>
      </c>
      <c r="BK1414" t="s">
        <v>123</v>
      </c>
      <c r="BL1414" t="str">
        <f>"2017.171960"</f>
        <v>2017.171960</v>
      </c>
      <c r="BM1414" t="s">
        <v>9615</v>
      </c>
      <c r="BO1414" t="s">
        <v>9616</v>
      </c>
      <c r="BS1414">
        <v>30</v>
      </c>
      <c r="BW1414" t="str">
        <f>""</f>
        <v/>
      </c>
      <c r="CH1414" t="str">
        <f>""</f>
        <v/>
      </c>
      <c r="CS1414" t="str">
        <f>""</f>
        <v/>
      </c>
    </row>
    <row r="1415" spans="1:97" x14ac:dyDescent="0.25">
      <c r="A1415" t="s">
        <v>1979</v>
      </c>
      <c r="B1415" t="s">
        <v>9617</v>
      </c>
      <c r="C1415" t="s">
        <v>365</v>
      </c>
      <c r="D1415" t="s">
        <v>9617</v>
      </c>
      <c r="E1415" t="s">
        <v>9618</v>
      </c>
      <c r="F1415" t="s">
        <v>108</v>
      </c>
      <c r="H1415" t="s">
        <v>9619</v>
      </c>
      <c r="I1415" t="s">
        <v>144</v>
      </c>
      <c r="J1415" t="s">
        <v>111</v>
      </c>
      <c r="K1415" t="str">
        <f>"85326"</f>
        <v>85326</v>
      </c>
      <c r="L1415" t="s">
        <v>5021</v>
      </c>
      <c r="M1415" t="s">
        <v>9619</v>
      </c>
      <c r="N1415" t="s">
        <v>144</v>
      </c>
      <c r="O1415" t="s">
        <v>111</v>
      </c>
      <c r="P1415" t="str">
        <f>"85326-2616"</f>
        <v>85326-2616</v>
      </c>
      <c r="Q1415" t="s">
        <v>113</v>
      </c>
      <c r="R1415" t="str">
        <f>"504-42-605"</f>
        <v>504-42-605</v>
      </c>
      <c r="S1415" t="s">
        <v>9620</v>
      </c>
      <c r="T1415" t="s">
        <v>9620</v>
      </c>
      <c r="U1415">
        <v>2512</v>
      </c>
      <c r="V1415">
        <v>0</v>
      </c>
      <c r="W1415">
        <v>4</v>
      </c>
      <c r="X1415">
        <v>2015</v>
      </c>
      <c r="Z1415">
        <v>2</v>
      </c>
      <c r="AB1415">
        <v>0</v>
      </c>
      <c r="AC1415" t="s">
        <v>115</v>
      </c>
      <c r="AD1415">
        <v>2</v>
      </c>
      <c r="AE1415" t="s">
        <v>115</v>
      </c>
      <c r="AF1415">
        <v>0</v>
      </c>
      <c r="AG1415">
        <v>0</v>
      </c>
      <c r="AH1415" t="s">
        <v>116</v>
      </c>
      <c r="AI1415" s="1">
        <v>55170</v>
      </c>
      <c r="AJ1415" s="2">
        <v>0.21</v>
      </c>
      <c r="AK1415" s="1">
        <v>267620</v>
      </c>
      <c r="AL1415" t="s">
        <v>117</v>
      </c>
      <c r="AM1415" t="s">
        <v>5023</v>
      </c>
      <c r="AN1415">
        <v>10064</v>
      </c>
      <c r="AO1415">
        <v>0.23</v>
      </c>
      <c r="AR1415">
        <v>1</v>
      </c>
      <c r="AS1415" s="1">
        <v>19510</v>
      </c>
      <c r="AT1415" s="1">
        <v>3900</v>
      </c>
      <c r="AU1415" s="1">
        <v>15610</v>
      </c>
      <c r="AV1415">
        <v>80.010000000000005</v>
      </c>
      <c r="AX1415" s="1">
        <v>2033.78</v>
      </c>
      <c r="AY1415" t="s">
        <v>9621</v>
      </c>
      <c r="AZ1415" t="s">
        <v>9621</v>
      </c>
      <c r="BA1415" t="s">
        <v>9622</v>
      </c>
      <c r="BE1415" s="3">
        <v>42333</v>
      </c>
      <c r="BF1415" s="1">
        <v>212900</v>
      </c>
      <c r="BG1415" t="s">
        <v>9623</v>
      </c>
      <c r="BH1415" s="1">
        <v>84.75</v>
      </c>
      <c r="BI1415" s="1">
        <v>212450</v>
      </c>
      <c r="BJ1415" s="3">
        <v>42646</v>
      </c>
      <c r="BK1415" t="s">
        <v>123</v>
      </c>
      <c r="BL1415" t="str">
        <f>"2016.721944"</f>
        <v>2016.721944</v>
      </c>
      <c r="BM1415" t="s">
        <v>124</v>
      </c>
      <c r="BN1415" t="s">
        <v>1575</v>
      </c>
      <c r="BO1415" t="s">
        <v>9624</v>
      </c>
      <c r="BS1415">
        <v>30</v>
      </c>
      <c r="BW1415" t="str">
        <f>""</f>
        <v/>
      </c>
      <c r="CH1415" t="str">
        <f>""</f>
        <v/>
      </c>
      <c r="CS1415" t="str">
        <f>""</f>
        <v/>
      </c>
    </row>
    <row r="1416" spans="1:97" x14ac:dyDescent="0.25">
      <c r="A1416" t="s">
        <v>9625</v>
      </c>
      <c r="B1416" t="s">
        <v>9626</v>
      </c>
      <c r="C1416" t="s">
        <v>9627</v>
      </c>
      <c r="D1416" t="s">
        <v>9628</v>
      </c>
      <c r="E1416" t="s">
        <v>9629</v>
      </c>
      <c r="F1416" t="s">
        <v>108</v>
      </c>
      <c r="H1416" t="s">
        <v>9630</v>
      </c>
      <c r="I1416" t="s">
        <v>390</v>
      </c>
      <c r="J1416" t="s">
        <v>111</v>
      </c>
      <c r="K1416" t="str">
        <f>"85014"</f>
        <v>85014</v>
      </c>
      <c r="L1416" t="s">
        <v>5539</v>
      </c>
      <c r="M1416" t="s">
        <v>9630</v>
      </c>
      <c r="N1416" t="s">
        <v>390</v>
      </c>
      <c r="O1416" t="s">
        <v>111</v>
      </c>
      <c r="P1416" t="str">
        <f>"85014-2665"</f>
        <v>85014-2665</v>
      </c>
      <c r="Q1416" t="s">
        <v>113</v>
      </c>
      <c r="R1416" t="str">
        <f>"162-08-037"</f>
        <v>162-08-037</v>
      </c>
      <c r="S1416" t="s">
        <v>9631</v>
      </c>
      <c r="T1416" t="s">
        <v>9632</v>
      </c>
      <c r="U1416">
        <v>1170</v>
      </c>
      <c r="V1416">
        <v>0</v>
      </c>
      <c r="W1416">
        <v>2</v>
      </c>
      <c r="X1416">
        <v>1952</v>
      </c>
      <c r="Z1416">
        <v>1</v>
      </c>
      <c r="AB1416">
        <v>0</v>
      </c>
      <c r="AC1416" t="s">
        <v>115</v>
      </c>
      <c r="AD1416">
        <v>1</v>
      </c>
      <c r="AE1416" t="s">
        <v>115</v>
      </c>
      <c r="AF1416">
        <v>0</v>
      </c>
      <c r="AG1416">
        <v>0</v>
      </c>
      <c r="AH1416" t="s">
        <v>116</v>
      </c>
      <c r="AI1416" s="1">
        <v>27194</v>
      </c>
      <c r="AJ1416" s="2">
        <v>0.08</v>
      </c>
      <c r="AK1416" s="1">
        <v>352194</v>
      </c>
      <c r="AL1416" t="s">
        <v>117</v>
      </c>
      <c r="AM1416" t="s">
        <v>191</v>
      </c>
      <c r="AN1416">
        <v>7532</v>
      </c>
      <c r="AO1416">
        <v>0.17</v>
      </c>
      <c r="AP1416">
        <v>1</v>
      </c>
      <c r="AR1416">
        <v>1</v>
      </c>
      <c r="AS1416" s="1">
        <v>23260</v>
      </c>
      <c r="AT1416" s="1">
        <v>4650</v>
      </c>
      <c r="AU1416" s="1">
        <v>18610</v>
      </c>
      <c r="AV1416">
        <v>80.010000000000005</v>
      </c>
      <c r="AX1416" s="1">
        <v>1881.9</v>
      </c>
      <c r="AY1416" t="s">
        <v>6998</v>
      </c>
      <c r="AZ1416" t="s">
        <v>6254</v>
      </c>
      <c r="BA1416" t="s">
        <v>5469</v>
      </c>
      <c r="BE1416" s="3">
        <v>42510</v>
      </c>
      <c r="BF1416" s="1">
        <v>365000</v>
      </c>
      <c r="BG1416" t="s">
        <v>9633</v>
      </c>
      <c r="BH1416" s="1">
        <v>311.97000000000003</v>
      </c>
      <c r="BI1416" s="1">
        <v>325000</v>
      </c>
      <c r="BJ1416" s="3">
        <v>42510</v>
      </c>
      <c r="BK1416" t="s">
        <v>123</v>
      </c>
      <c r="BL1416" t="str">
        <f>"2016.348332"</f>
        <v>2016.348332</v>
      </c>
      <c r="BM1416" t="s">
        <v>135</v>
      </c>
      <c r="BO1416" t="s">
        <v>9634</v>
      </c>
      <c r="BP1416" t="s">
        <v>9635</v>
      </c>
      <c r="BS1416">
        <v>30</v>
      </c>
      <c r="BW1416" t="str">
        <f>""</f>
        <v/>
      </c>
      <c r="CH1416" t="str">
        <f>""</f>
        <v/>
      </c>
      <c r="CS1416" t="str">
        <f>""</f>
        <v/>
      </c>
    </row>
    <row r="1417" spans="1:97" x14ac:dyDescent="0.25">
      <c r="A1417" t="s">
        <v>886</v>
      </c>
      <c r="B1417" t="s">
        <v>9636</v>
      </c>
      <c r="E1417" t="s">
        <v>9637</v>
      </c>
      <c r="F1417" t="s">
        <v>108</v>
      </c>
      <c r="H1417" t="s">
        <v>9638</v>
      </c>
      <c r="I1417" t="s">
        <v>5114</v>
      </c>
      <c r="J1417" t="s">
        <v>111</v>
      </c>
      <c r="K1417" t="str">
        <f>"85323"</f>
        <v>85323</v>
      </c>
      <c r="L1417" t="s">
        <v>4316</v>
      </c>
      <c r="M1417" t="s">
        <v>9638</v>
      </c>
      <c r="N1417" t="s">
        <v>5114</v>
      </c>
      <c r="O1417" t="s">
        <v>111</v>
      </c>
      <c r="P1417" t="str">
        <f>"85323-9114"</f>
        <v>85323-9114</v>
      </c>
      <c r="Q1417" t="s">
        <v>113</v>
      </c>
      <c r="R1417" t="str">
        <f>"500-95-401"</f>
        <v>500-95-401</v>
      </c>
      <c r="S1417" t="s">
        <v>9639</v>
      </c>
      <c r="T1417" t="s">
        <v>9639</v>
      </c>
      <c r="U1417">
        <v>3207</v>
      </c>
      <c r="V1417">
        <v>0</v>
      </c>
      <c r="W1417">
        <v>4</v>
      </c>
      <c r="X1417">
        <v>2005</v>
      </c>
      <c r="Z1417">
        <v>2</v>
      </c>
      <c r="AB1417">
        <v>0</v>
      </c>
      <c r="AC1417" t="s">
        <v>115</v>
      </c>
      <c r="AD1417">
        <v>3</v>
      </c>
      <c r="AE1417" t="s">
        <v>115</v>
      </c>
      <c r="AF1417">
        <v>0</v>
      </c>
      <c r="AG1417">
        <v>0</v>
      </c>
      <c r="AH1417" t="s">
        <v>116</v>
      </c>
      <c r="AI1417" s="1">
        <v>-4615</v>
      </c>
      <c r="AJ1417" s="2">
        <v>-0.02</v>
      </c>
      <c r="AK1417" s="1">
        <v>206479</v>
      </c>
      <c r="AL1417" t="s">
        <v>117</v>
      </c>
      <c r="AM1417" t="s">
        <v>118</v>
      </c>
      <c r="AN1417">
        <v>7475</v>
      </c>
      <c r="AO1417">
        <v>0.17</v>
      </c>
      <c r="AR1417">
        <v>1</v>
      </c>
      <c r="AS1417" s="1">
        <v>21110</v>
      </c>
      <c r="AT1417" s="1">
        <v>4220</v>
      </c>
      <c r="AU1417" s="1">
        <v>16890</v>
      </c>
      <c r="AV1417">
        <v>80.010000000000005</v>
      </c>
      <c r="AX1417" s="1">
        <v>2163.04</v>
      </c>
      <c r="AY1417" t="s">
        <v>9447</v>
      </c>
      <c r="AZ1417" t="s">
        <v>9447</v>
      </c>
      <c r="BA1417" t="s">
        <v>4254</v>
      </c>
      <c r="BE1417" s="3">
        <v>42296</v>
      </c>
      <c r="BF1417" s="1">
        <v>209500</v>
      </c>
      <c r="BG1417" t="s">
        <v>9640</v>
      </c>
      <c r="BH1417" s="1">
        <v>65.33</v>
      </c>
      <c r="BI1417" s="1">
        <v>211094</v>
      </c>
      <c r="BJ1417" s="3">
        <v>42671</v>
      </c>
      <c r="BK1417" t="s">
        <v>123</v>
      </c>
      <c r="BL1417" t="str">
        <f>"2016.791933"</f>
        <v>2016.791933</v>
      </c>
      <c r="BM1417" t="s">
        <v>1185</v>
      </c>
      <c r="BO1417" t="s">
        <v>9641</v>
      </c>
      <c r="BS1417">
        <v>30</v>
      </c>
      <c r="BW1417" t="str">
        <f>""</f>
        <v/>
      </c>
      <c r="CH1417" t="str">
        <f>""</f>
        <v/>
      </c>
      <c r="CS1417" t="str">
        <f>""</f>
        <v/>
      </c>
    </row>
    <row r="1418" spans="1:97" x14ac:dyDescent="0.25">
      <c r="A1418" t="s">
        <v>9642</v>
      </c>
      <c r="B1418" t="s">
        <v>9643</v>
      </c>
      <c r="E1418" t="s">
        <v>9644</v>
      </c>
      <c r="F1418" t="s">
        <v>108</v>
      </c>
      <c r="H1418" t="s">
        <v>9645</v>
      </c>
      <c r="I1418" t="s">
        <v>390</v>
      </c>
      <c r="J1418" t="s">
        <v>111</v>
      </c>
      <c r="K1418" t="str">
        <f>"85027"</f>
        <v>85027</v>
      </c>
      <c r="L1418" t="s">
        <v>6983</v>
      </c>
      <c r="M1418" t="s">
        <v>9645</v>
      </c>
      <c r="N1418" t="s">
        <v>390</v>
      </c>
      <c r="O1418" t="s">
        <v>111</v>
      </c>
      <c r="P1418" t="str">
        <f>"85027-5109"</f>
        <v>85027-5109</v>
      </c>
      <c r="Q1418" t="s">
        <v>113</v>
      </c>
      <c r="R1418" t="str">
        <f>"209-14-483"</f>
        <v>209-14-483</v>
      </c>
      <c r="S1418" t="s">
        <v>9646</v>
      </c>
      <c r="T1418" t="s">
        <v>9647</v>
      </c>
      <c r="U1418">
        <v>1931</v>
      </c>
      <c r="V1418">
        <v>0</v>
      </c>
      <c r="W1418">
        <v>2</v>
      </c>
      <c r="X1418">
        <v>1975</v>
      </c>
      <c r="Z1418">
        <v>1</v>
      </c>
      <c r="AB1418">
        <v>0</v>
      </c>
      <c r="AC1418" t="s">
        <v>5188</v>
      </c>
      <c r="AD1418">
        <v>2</v>
      </c>
      <c r="AE1418" t="s">
        <v>5188</v>
      </c>
      <c r="AF1418">
        <v>0</v>
      </c>
      <c r="AG1418">
        <v>0</v>
      </c>
      <c r="AH1418" t="s">
        <v>116</v>
      </c>
      <c r="AI1418" s="1">
        <v>18072</v>
      </c>
      <c r="AJ1418" s="2">
        <v>0.06</v>
      </c>
      <c r="AK1418" s="1">
        <v>278072</v>
      </c>
      <c r="AL1418" t="s">
        <v>117</v>
      </c>
      <c r="AM1418" t="s">
        <v>171</v>
      </c>
      <c r="AN1418">
        <v>10396</v>
      </c>
      <c r="AO1418">
        <v>0.24</v>
      </c>
      <c r="AP1418">
        <v>1</v>
      </c>
      <c r="AR1418">
        <v>1</v>
      </c>
      <c r="AS1418" s="1">
        <v>18300</v>
      </c>
      <c r="AT1418" s="1">
        <v>3660</v>
      </c>
      <c r="AU1418" s="1">
        <v>14640</v>
      </c>
      <c r="AV1418">
        <v>80</v>
      </c>
      <c r="AX1418" s="1">
        <v>1254.08</v>
      </c>
      <c r="AY1418" t="s">
        <v>9648</v>
      </c>
      <c r="AZ1418" t="s">
        <v>2357</v>
      </c>
      <c r="BA1418" t="s">
        <v>1462</v>
      </c>
      <c r="BE1418" s="3">
        <v>42369</v>
      </c>
      <c r="BF1418" s="1">
        <v>238000</v>
      </c>
      <c r="BG1418" t="s">
        <v>9649</v>
      </c>
      <c r="BH1418" s="1">
        <v>123.25</v>
      </c>
      <c r="BI1418" s="1">
        <v>260000</v>
      </c>
      <c r="BJ1418" s="3">
        <v>43251</v>
      </c>
      <c r="BK1418" t="s">
        <v>123</v>
      </c>
      <c r="BL1418" t="str">
        <f>"2018.417664"</f>
        <v>2018.417664</v>
      </c>
      <c r="BM1418" t="s">
        <v>492</v>
      </c>
      <c r="BN1418" t="s">
        <v>4706</v>
      </c>
      <c r="BO1418" t="s">
        <v>9650</v>
      </c>
      <c r="BR1418" t="s">
        <v>139</v>
      </c>
      <c r="BW1418" t="str">
        <f>""</f>
        <v/>
      </c>
      <c r="CH1418" t="str">
        <f>""</f>
        <v/>
      </c>
      <c r="CS1418" t="str">
        <f>""</f>
        <v/>
      </c>
    </row>
    <row r="1419" spans="1:97" x14ac:dyDescent="0.25">
      <c r="A1419" t="s">
        <v>4402</v>
      </c>
      <c r="B1419" t="s">
        <v>9651</v>
      </c>
      <c r="C1419" t="s">
        <v>9652</v>
      </c>
      <c r="D1419" t="s">
        <v>9651</v>
      </c>
      <c r="E1419" t="s">
        <v>9653</v>
      </c>
      <c r="F1419" t="s">
        <v>108</v>
      </c>
      <c r="H1419" t="s">
        <v>9654</v>
      </c>
      <c r="I1419" t="s">
        <v>390</v>
      </c>
      <c r="J1419" t="s">
        <v>111</v>
      </c>
      <c r="K1419" t="str">
        <f>"85041"</f>
        <v>85041</v>
      </c>
      <c r="L1419" t="s">
        <v>5218</v>
      </c>
      <c r="M1419" t="s">
        <v>9654</v>
      </c>
      <c r="N1419" t="s">
        <v>390</v>
      </c>
      <c r="O1419" t="s">
        <v>111</v>
      </c>
      <c r="P1419" t="str">
        <f>"85041-5330"</f>
        <v>85041-5330</v>
      </c>
      <c r="Q1419" t="s">
        <v>113</v>
      </c>
      <c r="R1419" t="str">
        <f>"105-86-723"</f>
        <v>105-86-723</v>
      </c>
      <c r="S1419" t="s">
        <v>9655</v>
      </c>
      <c r="T1419" t="s">
        <v>9655</v>
      </c>
      <c r="U1419">
        <v>1516</v>
      </c>
      <c r="V1419">
        <v>0</v>
      </c>
      <c r="W1419">
        <v>3</v>
      </c>
      <c r="X1419">
        <v>2004</v>
      </c>
      <c r="Z1419">
        <v>1</v>
      </c>
      <c r="AB1419">
        <v>0</v>
      </c>
      <c r="AC1419" t="s">
        <v>115</v>
      </c>
      <c r="AD1419">
        <v>2</v>
      </c>
      <c r="AE1419" t="s">
        <v>115</v>
      </c>
      <c r="AF1419">
        <v>0</v>
      </c>
      <c r="AG1419">
        <v>0</v>
      </c>
      <c r="AH1419" t="s">
        <v>116</v>
      </c>
      <c r="AI1419" s="1">
        <v>25347</v>
      </c>
      <c r="AJ1419" s="2">
        <v>0.11</v>
      </c>
      <c r="AK1419" s="1">
        <v>228650</v>
      </c>
      <c r="AL1419" t="s">
        <v>117</v>
      </c>
      <c r="AM1419" t="s">
        <v>1302</v>
      </c>
      <c r="AN1419">
        <v>6241</v>
      </c>
      <c r="AO1419">
        <v>0.14000000000000001</v>
      </c>
      <c r="AP1419">
        <v>1</v>
      </c>
      <c r="AR1419">
        <v>1</v>
      </c>
      <c r="AS1419" s="1">
        <v>15200</v>
      </c>
      <c r="AT1419" s="1">
        <v>3040</v>
      </c>
      <c r="AU1419" s="1">
        <v>12160</v>
      </c>
      <c r="AV1419">
        <v>80</v>
      </c>
      <c r="AX1419" s="1">
        <v>1442.08</v>
      </c>
      <c r="AY1419" t="s">
        <v>5220</v>
      </c>
      <c r="AZ1419" t="s">
        <v>5220</v>
      </c>
      <c r="BA1419" t="s">
        <v>1661</v>
      </c>
      <c r="BB1419" s="3">
        <v>43615</v>
      </c>
      <c r="BC1419" s="1">
        <v>0</v>
      </c>
      <c r="BD1419" t="s">
        <v>291</v>
      </c>
      <c r="BE1419" s="3">
        <v>42488</v>
      </c>
      <c r="BF1419" s="1">
        <v>177000</v>
      </c>
      <c r="BG1419" t="s">
        <v>9656</v>
      </c>
      <c r="BH1419" s="1">
        <v>116.75</v>
      </c>
      <c r="BI1419" s="1">
        <v>203303</v>
      </c>
      <c r="BJ1419" s="3">
        <v>43615</v>
      </c>
      <c r="BK1419" t="s">
        <v>123</v>
      </c>
      <c r="BL1419" t="str">
        <f>"2019.397560"</f>
        <v>2019.397560</v>
      </c>
      <c r="BM1419" t="s">
        <v>2798</v>
      </c>
      <c r="BN1419" t="s">
        <v>9657</v>
      </c>
      <c r="BO1419" t="s">
        <v>9658</v>
      </c>
      <c r="BP1419" t="s">
        <v>9659</v>
      </c>
      <c r="BR1419" t="s">
        <v>139</v>
      </c>
      <c r="BW1419" t="str">
        <f>""</f>
        <v/>
      </c>
      <c r="CH1419" t="str">
        <f>""</f>
        <v/>
      </c>
      <c r="CS1419" t="str">
        <f>""</f>
        <v/>
      </c>
    </row>
    <row r="1420" spans="1:97" x14ac:dyDescent="0.25">
      <c r="A1420" t="s">
        <v>9660</v>
      </c>
      <c r="B1420" t="s">
        <v>9661</v>
      </c>
      <c r="E1420" t="s">
        <v>9662</v>
      </c>
      <c r="F1420" t="s">
        <v>108</v>
      </c>
      <c r="H1420" t="s">
        <v>9663</v>
      </c>
      <c r="I1420" t="s">
        <v>5114</v>
      </c>
      <c r="J1420" t="s">
        <v>111</v>
      </c>
      <c r="K1420" t="str">
        <f>"85323"</f>
        <v>85323</v>
      </c>
      <c r="L1420" t="s">
        <v>4316</v>
      </c>
      <c r="M1420" t="s">
        <v>9663</v>
      </c>
      <c r="N1420" t="s">
        <v>5114</v>
      </c>
      <c r="O1420" t="s">
        <v>111</v>
      </c>
      <c r="P1420" t="str">
        <f>"85323-9103"</f>
        <v>85323-9103</v>
      </c>
      <c r="Q1420" t="s">
        <v>113</v>
      </c>
      <c r="R1420" t="str">
        <f>"500-95-264"</f>
        <v>500-95-264</v>
      </c>
      <c r="S1420" t="s">
        <v>9639</v>
      </c>
      <c r="T1420" t="s">
        <v>9639</v>
      </c>
      <c r="U1420">
        <v>2130</v>
      </c>
      <c r="V1420">
        <v>0</v>
      </c>
      <c r="W1420">
        <v>4</v>
      </c>
      <c r="X1420">
        <v>2004</v>
      </c>
      <c r="Z1420">
        <v>2</v>
      </c>
      <c r="AB1420">
        <v>0</v>
      </c>
      <c r="AC1420" t="s">
        <v>115</v>
      </c>
      <c r="AD1420">
        <v>2</v>
      </c>
      <c r="AE1420" t="s">
        <v>115</v>
      </c>
      <c r="AF1420">
        <v>0</v>
      </c>
      <c r="AG1420">
        <v>0</v>
      </c>
      <c r="AH1420" t="s">
        <v>116</v>
      </c>
      <c r="AI1420" s="1">
        <v>53047</v>
      </c>
      <c r="AJ1420" s="2">
        <v>0.21</v>
      </c>
      <c r="AK1420" s="1">
        <v>256325</v>
      </c>
      <c r="AL1420" t="s">
        <v>117</v>
      </c>
      <c r="AM1420" t="s">
        <v>118</v>
      </c>
      <c r="AN1420">
        <v>6050</v>
      </c>
      <c r="AO1420">
        <v>0.14000000000000001</v>
      </c>
      <c r="AP1420">
        <v>1</v>
      </c>
      <c r="AR1420">
        <v>1</v>
      </c>
      <c r="AS1420" s="1">
        <v>16230</v>
      </c>
      <c r="AT1420" s="1">
        <v>3240</v>
      </c>
      <c r="AU1420" s="1">
        <v>12990</v>
      </c>
      <c r="AV1420">
        <v>80.040000000000006</v>
      </c>
      <c r="AX1420" s="1">
        <v>1570.56</v>
      </c>
      <c r="AY1420" t="s">
        <v>9447</v>
      </c>
      <c r="AZ1420" t="s">
        <v>9447</v>
      </c>
      <c r="BA1420" t="s">
        <v>4254</v>
      </c>
      <c r="BE1420" s="3">
        <v>42264</v>
      </c>
      <c r="BF1420" s="1">
        <v>199000</v>
      </c>
      <c r="BG1420" t="s">
        <v>9664</v>
      </c>
      <c r="BH1420" s="1">
        <v>93.43</v>
      </c>
      <c r="BI1420" s="1">
        <v>203278</v>
      </c>
      <c r="BJ1420" s="3">
        <v>42264</v>
      </c>
      <c r="BK1420" t="s">
        <v>123</v>
      </c>
      <c r="BL1420" t="str">
        <f>"2015.671364"</f>
        <v>2015.671364</v>
      </c>
      <c r="BM1420" t="s">
        <v>9665</v>
      </c>
      <c r="BO1420" t="s">
        <v>9666</v>
      </c>
      <c r="BS1420">
        <v>30</v>
      </c>
      <c r="BW1420" t="str">
        <f>""</f>
        <v/>
      </c>
      <c r="CH1420" t="str">
        <f>""</f>
        <v/>
      </c>
      <c r="CS1420" t="str">
        <f>""</f>
        <v/>
      </c>
    </row>
    <row r="1421" spans="1:97" x14ac:dyDescent="0.25">
      <c r="A1421" t="s">
        <v>1552</v>
      </c>
      <c r="B1421" t="s">
        <v>3265</v>
      </c>
      <c r="C1421" t="s">
        <v>6510</v>
      </c>
      <c r="D1421" t="s">
        <v>3265</v>
      </c>
      <c r="E1421" t="s">
        <v>9667</v>
      </c>
      <c r="F1421" t="s">
        <v>108</v>
      </c>
      <c r="H1421" t="s">
        <v>9668</v>
      </c>
      <c r="I1421" t="s">
        <v>1788</v>
      </c>
      <c r="J1421" t="s">
        <v>111</v>
      </c>
      <c r="K1421" t="str">
        <f>"85355"</f>
        <v>85355</v>
      </c>
      <c r="L1421" t="s">
        <v>168</v>
      </c>
      <c r="M1421" t="s">
        <v>9668</v>
      </c>
      <c r="N1421" t="s">
        <v>1788</v>
      </c>
      <c r="O1421" t="s">
        <v>111</v>
      </c>
      <c r="P1421" t="str">
        <f>"85355-4337"</f>
        <v>85355-4337</v>
      </c>
      <c r="Q1421" t="s">
        <v>113</v>
      </c>
      <c r="R1421" t="str">
        <f>"502-90-695"</f>
        <v>502-90-695</v>
      </c>
      <c r="S1421" t="s">
        <v>8290</v>
      </c>
      <c r="T1421" t="s">
        <v>8290</v>
      </c>
      <c r="U1421">
        <v>2188</v>
      </c>
      <c r="V1421">
        <v>0</v>
      </c>
      <c r="W1421">
        <v>3</v>
      </c>
      <c r="X1421">
        <v>2014</v>
      </c>
      <c r="Z1421">
        <v>1</v>
      </c>
      <c r="AB1421">
        <v>0</v>
      </c>
      <c r="AC1421" t="s">
        <v>115</v>
      </c>
      <c r="AD1421">
        <v>3</v>
      </c>
      <c r="AE1421" t="s">
        <v>115</v>
      </c>
      <c r="AF1421">
        <v>0</v>
      </c>
      <c r="AG1421">
        <v>0</v>
      </c>
      <c r="AH1421" t="s">
        <v>116</v>
      </c>
      <c r="AI1421" s="1">
        <v>23449</v>
      </c>
      <c r="AJ1421" s="2">
        <v>0.09</v>
      </c>
      <c r="AK1421" s="1">
        <v>264535</v>
      </c>
      <c r="AL1421" t="s">
        <v>117</v>
      </c>
      <c r="AM1421" t="s">
        <v>191</v>
      </c>
      <c r="AN1421">
        <v>8500</v>
      </c>
      <c r="AO1421">
        <v>0.2</v>
      </c>
      <c r="AR1421">
        <v>1</v>
      </c>
      <c r="AS1421" s="1">
        <v>22770</v>
      </c>
      <c r="AT1421" s="1">
        <v>4550</v>
      </c>
      <c r="AU1421" s="1">
        <v>18220</v>
      </c>
      <c r="AV1421">
        <v>80.02</v>
      </c>
      <c r="AX1421" s="1">
        <v>1499.84</v>
      </c>
      <c r="AY1421" t="s">
        <v>5972</v>
      </c>
      <c r="AZ1421" t="s">
        <v>5972</v>
      </c>
      <c r="BA1421" t="s">
        <v>5061</v>
      </c>
      <c r="BE1421" s="3">
        <v>41726</v>
      </c>
      <c r="BF1421" s="1">
        <v>241086</v>
      </c>
      <c r="BG1421" t="s">
        <v>2289</v>
      </c>
      <c r="BH1421" s="1">
        <v>110.19</v>
      </c>
      <c r="BI1421" s="1">
        <v>241086</v>
      </c>
      <c r="BJ1421" s="3">
        <v>41726</v>
      </c>
      <c r="BK1421" t="s">
        <v>123</v>
      </c>
      <c r="BL1421" t="str">
        <f>"2014.199423"</f>
        <v>2014.199423</v>
      </c>
      <c r="BM1421" t="s">
        <v>150</v>
      </c>
      <c r="BO1421" t="s">
        <v>9669</v>
      </c>
      <c r="BS1421">
        <v>30</v>
      </c>
      <c r="BW1421" t="str">
        <f>""</f>
        <v/>
      </c>
      <c r="CH1421" t="str">
        <f>""</f>
        <v/>
      </c>
      <c r="CS1421" t="str">
        <f>""</f>
        <v/>
      </c>
    </row>
    <row r="1422" spans="1:97" x14ac:dyDescent="0.25">
      <c r="A1422" t="s">
        <v>1444</v>
      </c>
      <c r="B1422" t="s">
        <v>1672</v>
      </c>
      <c r="C1422" t="s">
        <v>2640</v>
      </c>
      <c r="D1422" t="s">
        <v>1672</v>
      </c>
      <c r="E1422" t="s">
        <v>9670</v>
      </c>
      <c r="F1422" t="s">
        <v>108</v>
      </c>
      <c r="H1422" t="s">
        <v>9671</v>
      </c>
      <c r="I1422" t="s">
        <v>632</v>
      </c>
      <c r="J1422" t="s">
        <v>111</v>
      </c>
      <c r="K1422" t="str">
        <f>"85379"</f>
        <v>85379</v>
      </c>
      <c r="L1422" t="s">
        <v>558</v>
      </c>
      <c r="M1422" t="s">
        <v>9671</v>
      </c>
      <c r="N1422" t="s">
        <v>632</v>
      </c>
      <c r="O1422" t="s">
        <v>111</v>
      </c>
      <c r="P1422" t="str">
        <f>"85379-4441"</f>
        <v>85379-4441</v>
      </c>
      <c r="Q1422" t="s">
        <v>113</v>
      </c>
      <c r="R1422" t="str">
        <f>"509-15-446"</f>
        <v>509-15-446</v>
      </c>
      <c r="S1422" t="s">
        <v>7110</v>
      </c>
      <c r="U1422">
        <v>2719</v>
      </c>
      <c r="V1422">
        <v>0</v>
      </c>
      <c r="W1422">
        <v>3</v>
      </c>
      <c r="X1422">
        <v>2006</v>
      </c>
      <c r="Z1422">
        <v>2</v>
      </c>
      <c r="AA1422" t="s">
        <v>26</v>
      </c>
      <c r="AB1422">
        <v>0</v>
      </c>
      <c r="AC1422" t="s">
        <v>115</v>
      </c>
      <c r="AD1422">
        <v>3</v>
      </c>
      <c r="AE1422" t="s">
        <v>115</v>
      </c>
      <c r="AF1422">
        <v>0</v>
      </c>
      <c r="AG1422">
        <v>0</v>
      </c>
      <c r="AH1422" t="s">
        <v>116</v>
      </c>
      <c r="AI1422" s="1">
        <v>25221</v>
      </c>
      <c r="AJ1422" s="2">
        <v>0.08</v>
      </c>
      <c r="AK1422" s="1">
        <v>335221</v>
      </c>
      <c r="AL1422" t="s">
        <v>117</v>
      </c>
      <c r="AM1422" t="s">
        <v>118</v>
      </c>
      <c r="AN1422">
        <v>7370</v>
      </c>
      <c r="AO1422">
        <v>0.17</v>
      </c>
      <c r="AR1422">
        <v>1</v>
      </c>
      <c r="AS1422" s="1">
        <v>23270</v>
      </c>
      <c r="AT1422" s="1">
        <v>4650</v>
      </c>
      <c r="AU1422" s="1">
        <v>18620</v>
      </c>
      <c r="AV1422">
        <v>80.02</v>
      </c>
      <c r="AX1422" s="1">
        <v>1897.94</v>
      </c>
      <c r="AY1422" t="s">
        <v>5615</v>
      </c>
      <c r="AZ1422" t="s">
        <v>5615</v>
      </c>
      <c r="BA1422" t="s">
        <v>635</v>
      </c>
      <c r="BE1422" s="3">
        <v>42545</v>
      </c>
      <c r="BF1422" s="1">
        <v>280000</v>
      </c>
      <c r="BG1422" t="s">
        <v>9672</v>
      </c>
      <c r="BH1422" s="1">
        <v>102.98</v>
      </c>
      <c r="BI1422" s="1">
        <v>310000</v>
      </c>
      <c r="BJ1422" s="3">
        <v>43383</v>
      </c>
      <c r="BK1422" t="s">
        <v>123</v>
      </c>
      <c r="BL1422" t="str">
        <f>"2018.758447"</f>
        <v>2018.758447</v>
      </c>
      <c r="BM1422" t="s">
        <v>135</v>
      </c>
      <c r="BN1422" t="s">
        <v>136</v>
      </c>
      <c r="BO1422" t="s">
        <v>9673</v>
      </c>
      <c r="BP1422" t="s">
        <v>9674</v>
      </c>
      <c r="BR1422" t="s">
        <v>139</v>
      </c>
      <c r="BW1422" t="str">
        <f>""</f>
        <v/>
      </c>
      <c r="CH1422" t="str">
        <f>""</f>
        <v/>
      </c>
      <c r="CS1422" t="str">
        <f>""</f>
        <v/>
      </c>
    </row>
    <row r="1423" spans="1:97" x14ac:dyDescent="0.25">
      <c r="A1423" t="s">
        <v>2374</v>
      </c>
      <c r="B1423" t="s">
        <v>9675</v>
      </c>
      <c r="C1423" t="s">
        <v>9676</v>
      </c>
      <c r="D1423" t="s">
        <v>9675</v>
      </c>
      <c r="E1423" t="s">
        <v>9677</v>
      </c>
      <c r="F1423" t="s">
        <v>282</v>
      </c>
      <c r="H1423" t="s">
        <v>9678</v>
      </c>
      <c r="I1423" t="s">
        <v>225</v>
      </c>
      <c r="J1423" t="s">
        <v>111</v>
      </c>
      <c r="K1423" t="str">
        <f>"85209"</f>
        <v>85209</v>
      </c>
      <c r="L1423" t="s">
        <v>4326</v>
      </c>
      <c r="M1423" t="s">
        <v>9679</v>
      </c>
      <c r="N1423" t="s">
        <v>9680</v>
      </c>
      <c r="O1423" t="s">
        <v>360</v>
      </c>
      <c r="P1423" t="str">
        <f>"92203-3080"</f>
        <v>92203-3080</v>
      </c>
      <c r="Q1423" t="s">
        <v>113</v>
      </c>
      <c r="R1423" t="str">
        <f>"312-03-127"</f>
        <v>312-03-127</v>
      </c>
      <c r="S1423" t="s">
        <v>9681</v>
      </c>
      <c r="U1423">
        <v>2240</v>
      </c>
      <c r="V1423">
        <v>0</v>
      </c>
      <c r="W1423">
        <v>3</v>
      </c>
      <c r="X1423">
        <v>2000</v>
      </c>
      <c r="Z1423">
        <v>1</v>
      </c>
      <c r="AA1423" t="s">
        <v>26</v>
      </c>
      <c r="AB1423">
        <v>0</v>
      </c>
      <c r="AC1423" t="s">
        <v>115</v>
      </c>
      <c r="AD1423">
        <v>2</v>
      </c>
      <c r="AE1423" t="s">
        <v>115</v>
      </c>
      <c r="AF1423">
        <v>0</v>
      </c>
      <c r="AG1423">
        <v>0</v>
      </c>
      <c r="AH1423" t="s">
        <v>116</v>
      </c>
      <c r="AI1423" s="1">
        <v>73833</v>
      </c>
      <c r="AJ1423" s="2">
        <v>0.21</v>
      </c>
      <c r="AK1423" s="1">
        <v>351710</v>
      </c>
      <c r="AL1423" t="s">
        <v>117</v>
      </c>
      <c r="AM1423" t="s">
        <v>393</v>
      </c>
      <c r="AN1423">
        <v>7328</v>
      </c>
      <c r="AO1423">
        <v>0.17</v>
      </c>
      <c r="AP1423">
        <v>1</v>
      </c>
      <c r="AR1423">
        <v>1</v>
      </c>
      <c r="AS1423" s="1">
        <v>23700</v>
      </c>
      <c r="AT1423" s="1">
        <v>4740</v>
      </c>
      <c r="AU1423" s="1">
        <v>18960</v>
      </c>
      <c r="AV1423">
        <v>80</v>
      </c>
      <c r="AX1423" s="1">
        <v>1982.22</v>
      </c>
      <c r="AY1423" t="s">
        <v>570</v>
      </c>
      <c r="AZ1423" t="s">
        <v>777</v>
      </c>
      <c r="BA1423" t="s">
        <v>572</v>
      </c>
      <c r="BE1423" s="3">
        <v>42180</v>
      </c>
      <c r="BF1423" s="1">
        <v>300000</v>
      </c>
      <c r="BG1423" t="s">
        <v>9682</v>
      </c>
      <c r="BH1423" s="1">
        <v>133.93</v>
      </c>
      <c r="BI1423" s="1">
        <v>277877</v>
      </c>
      <c r="BJ1423" s="3">
        <v>42643</v>
      </c>
      <c r="BK1423" t="s">
        <v>123</v>
      </c>
      <c r="BL1423" t="str">
        <f>"2016.713614"</f>
        <v>2016.713614</v>
      </c>
      <c r="BM1423" t="s">
        <v>2368</v>
      </c>
      <c r="BO1423" t="s">
        <v>9683</v>
      </c>
      <c r="BS1423">
        <v>30</v>
      </c>
      <c r="BW1423" t="str">
        <f>""</f>
        <v/>
      </c>
      <c r="CH1423" t="str">
        <f>""</f>
        <v/>
      </c>
      <c r="CS1423" t="str">
        <f>""</f>
        <v/>
      </c>
    </row>
    <row r="1424" spans="1:97" x14ac:dyDescent="0.25">
      <c r="A1424" t="s">
        <v>9684</v>
      </c>
      <c r="B1424" t="s">
        <v>1515</v>
      </c>
      <c r="C1424" t="s">
        <v>9685</v>
      </c>
      <c r="D1424" t="s">
        <v>1515</v>
      </c>
      <c r="E1424" t="s">
        <v>9686</v>
      </c>
      <c r="F1424" t="s">
        <v>108</v>
      </c>
      <c r="H1424" t="s">
        <v>9687</v>
      </c>
      <c r="I1424" t="s">
        <v>225</v>
      </c>
      <c r="J1424" t="s">
        <v>111</v>
      </c>
      <c r="K1424" t="str">
        <f>"85205"</f>
        <v>85205</v>
      </c>
      <c r="L1424" t="s">
        <v>7695</v>
      </c>
      <c r="M1424" t="s">
        <v>9687</v>
      </c>
      <c r="N1424" t="s">
        <v>225</v>
      </c>
      <c r="O1424" t="s">
        <v>111</v>
      </c>
      <c r="P1424" t="str">
        <f>"85205-3731"</f>
        <v>85205-3731</v>
      </c>
      <c r="Q1424" t="s">
        <v>113</v>
      </c>
      <c r="R1424" t="str">
        <f>"141-65-749"</f>
        <v>141-65-749</v>
      </c>
      <c r="S1424" t="s">
        <v>9688</v>
      </c>
      <c r="T1424" t="s">
        <v>9689</v>
      </c>
      <c r="U1424">
        <v>1510</v>
      </c>
      <c r="V1424">
        <v>0</v>
      </c>
      <c r="W1424">
        <v>3</v>
      </c>
      <c r="X1424">
        <v>1984</v>
      </c>
      <c r="Z1424">
        <v>1</v>
      </c>
      <c r="AA1424" t="s">
        <v>26</v>
      </c>
      <c r="AB1424">
        <v>0</v>
      </c>
      <c r="AC1424" t="s">
        <v>115</v>
      </c>
      <c r="AD1424">
        <v>2</v>
      </c>
      <c r="AE1424" t="s">
        <v>115</v>
      </c>
      <c r="AF1424">
        <v>0</v>
      </c>
      <c r="AG1424">
        <v>0</v>
      </c>
      <c r="AH1424" t="s">
        <v>116</v>
      </c>
      <c r="AI1424" s="1">
        <v>75684</v>
      </c>
      <c r="AJ1424" s="2">
        <v>0.25</v>
      </c>
      <c r="AK1424" s="1">
        <v>298184</v>
      </c>
      <c r="AL1424" t="s">
        <v>117</v>
      </c>
      <c r="AM1424" t="s">
        <v>917</v>
      </c>
      <c r="AN1424">
        <v>10534</v>
      </c>
      <c r="AO1424">
        <v>0.24</v>
      </c>
      <c r="AP1424">
        <v>1</v>
      </c>
      <c r="AR1424">
        <v>1</v>
      </c>
      <c r="AS1424" s="1">
        <v>19780</v>
      </c>
      <c r="AT1424" s="1">
        <v>3950</v>
      </c>
      <c r="AU1424" s="1">
        <v>15830</v>
      </c>
      <c r="AV1424">
        <v>80.03</v>
      </c>
      <c r="AX1424" s="1">
        <v>1429.02</v>
      </c>
      <c r="AY1424" t="s">
        <v>6749</v>
      </c>
      <c r="AZ1424" t="s">
        <v>5275</v>
      </c>
      <c r="BA1424" t="s">
        <v>3119</v>
      </c>
      <c r="BE1424" s="3">
        <v>42244</v>
      </c>
      <c r="BF1424" s="1">
        <v>226000</v>
      </c>
      <c r="BG1424" t="s">
        <v>9690</v>
      </c>
      <c r="BH1424" s="1">
        <v>149.66999999999999</v>
      </c>
      <c r="BI1424" s="1">
        <v>222500</v>
      </c>
      <c r="BJ1424" s="3">
        <v>42244</v>
      </c>
      <c r="BK1424" t="s">
        <v>123</v>
      </c>
      <c r="BL1424" t="str">
        <f>"2015.626700"</f>
        <v>2015.626700</v>
      </c>
      <c r="BM1424" t="s">
        <v>9691</v>
      </c>
      <c r="BO1424" t="s">
        <v>9692</v>
      </c>
      <c r="BS1424">
        <v>30</v>
      </c>
      <c r="BW1424" t="str">
        <f>""</f>
        <v/>
      </c>
      <c r="CH1424" t="str">
        <f>""</f>
        <v/>
      </c>
      <c r="CS1424" t="str">
        <f>""</f>
        <v/>
      </c>
    </row>
    <row r="1425" spans="1:97" x14ac:dyDescent="0.25">
      <c r="A1425" t="s">
        <v>610</v>
      </c>
      <c r="B1425" t="s">
        <v>9693</v>
      </c>
      <c r="C1425" t="s">
        <v>1755</v>
      </c>
      <c r="D1425" t="s">
        <v>1577</v>
      </c>
      <c r="E1425" t="s">
        <v>9694</v>
      </c>
      <c r="F1425" t="s">
        <v>108</v>
      </c>
      <c r="H1425" t="s">
        <v>9695</v>
      </c>
      <c r="I1425" t="s">
        <v>203</v>
      </c>
      <c r="J1425" t="s">
        <v>111</v>
      </c>
      <c r="K1425" t="str">
        <f>"85234"</f>
        <v>85234</v>
      </c>
      <c r="L1425" t="s">
        <v>189</v>
      </c>
      <c r="M1425" t="s">
        <v>9695</v>
      </c>
      <c r="N1425" t="s">
        <v>203</v>
      </c>
      <c r="O1425" t="s">
        <v>111</v>
      </c>
      <c r="P1425" t="str">
        <f>"85234-3250"</f>
        <v>85234-3250</v>
      </c>
      <c r="Q1425" t="s">
        <v>113</v>
      </c>
      <c r="R1425" t="str">
        <f>"304-15-306"</f>
        <v>304-15-306</v>
      </c>
      <c r="S1425" t="s">
        <v>5564</v>
      </c>
      <c r="T1425" t="s">
        <v>5564</v>
      </c>
      <c r="U1425">
        <v>1922</v>
      </c>
      <c r="V1425">
        <v>0</v>
      </c>
      <c r="W1425">
        <v>4</v>
      </c>
      <c r="X1425">
        <v>1997</v>
      </c>
      <c r="Z1425">
        <v>2</v>
      </c>
      <c r="AA1425" t="s">
        <v>26</v>
      </c>
      <c r="AB1425">
        <v>0</v>
      </c>
      <c r="AC1425" t="s">
        <v>115</v>
      </c>
      <c r="AD1425">
        <v>2</v>
      </c>
      <c r="AE1425" t="s">
        <v>115</v>
      </c>
      <c r="AF1425">
        <v>0</v>
      </c>
      <c r="AG1425">
        <v>0</v>
      </c>
      <c r="AH1425" t="s">
        <v>116</v>
      </c>
      <c r="AI1425" s="1">
        <v>58473</v>
      </c>
      <c r="AJ1425" s="2">
        <v>0.18</v>
      </c>
      <c r="AK1425" s="1">
        <v>332201</v>
      </c>
      <c r="AL1425" t="s">
        <v>117</v>
      </c>
      <c r="AM1425" t="s">
        <v>191</v>
      </c>
      <c r="AN1425">
        <v>5550</v>
      </c>
      <c r="AO1425">
        <v>0.13</v>
      </c>
      <c r="AP1425">
        <v>1</v>
      </c>
      <c r="AR1425">
        <v>1</v>
      </c>
      <c r="AS1425" s="1">
        <v>22410</v>
      </c>
      <c r="AT1425" s="1">
        <v>4480</v>
      </c>
      <c r="AU1425" s="1">
        <v>17930</v>
      </c>
      <c r="AV1425">
        <v>80.010000000000005</v>
      </c>
      <c r="AX1425" s="1">
        <v>1598.86</v>
      </c>
      <c r="AY1425" t="s">
        <v>5565</v>
      </c>
      <c r="AZ1425" t="s">
        <v>571</v>
      </c>
      <c r="BA1425" t="s">
        <v>521</v>
      </c>
      <c r="BE1425" s="3">
        <v>42536</v>
      </c>
      <c r="BF1425" s="1">
        <v>267000</v>
      </c>
      <c r="BG1425" t="s">
        <v>9696</v>
      </c>
      <c r="BH1425" s="1">
        <v>138.91999999999999</v>
      </c>
      <c r="BI1425" s="1">
        <v>273728</v>
      </c>
      <c r="BJ1425" s="3">
        <v>42536</v>
      </c>
      <c r="BK1425" t="s">
        <v>123</v>
      </c>
      <c r="BL1425" t="str">
        <f>"2016.417222"</f>
        <v>2016.417222</v>
      </c>
      <c r="BM1425" t="s">
        <v>5534</v>
      </c>
      <c r="BO1425" t="s">
        <v>9697</v>
      </c>
      <c r="BS1425">
        <v>30</v>
      </c>
      <c r="BW1425" t="str">
        <f>""</f>
        <v/>
      </c>
      <c r="CH1425" t="str">
        <f>""</f>
        <v/>
      </c>
      <c r="CS1425" t="str">
        <f>""</f>
        <v/>
      </c>
    </row>
    <row r="1426" spans="1:97" x14ac:dyDescent="0.25">
      <c r="A1426" t="s">
        <v>2008</v>
      </c>
      <c r="B1426" t="s">
        <v>9698</v>
      </c>
      <c r="C1426" t="s">
        <v>1444</v>
      </c>
      <c r="D1426" t="s">
        <v>9698</v>
      </c>
      <c r="E1426" t="s">
        <v>9699</v>
      </c>
      <c r="F1426" t="s">
        <v>108</v>
      </c>
      <c r="H1426" t="s">
        <v>9700</v>
      </c>
      <c r="I1426" t="s">
        <v>167</v>
      </c>
      <c r="J1426" t="s">
        <v>111</v>
      </c>
      <c r="K1426" t="str">
        <f>"85339"</f>
        <v>85339</v>
      </c>
      <c r="L1426" t="s">
        <v>6788</v>
      </c>
      <c r="M1426" t="s">
        <v>9700</v>
      </c>
      <c r="N1426" t="s">
        <v>167</v>
      </c>
      <c r="O1426" t="s">
        <v>111</v>
      </c>
      <c r="P1426" t="str">
        <f>"85339-6327"</f>
        <v>85339-6327</v>
      </c>
      <c r="Q1426" t="s">
        <v>113</v>
      </c>
      <c r="R1426" t="str">
        <f>"104-78-400"</f>
        <v>104-78-400</v>
      </c>
      <c r="S1426" t="s">
        <v>9701</v>
      </c>
      <c r="U1426">
        <v>1900</v>
      </c>
      <c r="V1426">
        <v>0</v>
      </c>
      <c r="W1426">
        <v>4</v>
      </c>
      <c r="X1426">
        <v>2016</v>
      </c>
      <c r="Z1426">
        <v>1</v>
      </c>
      <c r="AB1426">
        <v>0</v>
      </c>
      <c r="AC1426" t="s">
        <v>115</v>
      </c>
      <c r="AD1426">
        <v>3</v>
      </c>
      <c r="AE1426" t="s">
        <v>115</v>
      </c>
      <c r="AF1426">
        <v>0</v>
      </c>
      <c r="AG1426">
        <v>0</v>
      </c>
      <c r="AH1426" t="s">
        <v>116</v>
      </c>
      <c r="AI1426" s="1">
        <v>53253</v>
      </c>
      <c r="AJ1426" s="2">
        <v>0.19</v>
      </c>
      <c r="AK1426" s="1">
        <v>276202</v>
      </c>
      <c r="AL1426" t="s">
        <v>117</v>
      </c>
      <c r="AM1426" t="s">
        <v>191</v>
      </c>
      <c r="AN1426">
        <v>4831</v>
      </c>
      <c r="AO1426">
        <v>0.11</v>
      </c>
      <c r="AR1426">
        <v>1</v>
      </c>
      <c r="AS1426" s="1">
        <v>19750</v>
      </c>
      <c r="AT1426" s="1">
        <v>3950</v>
      </c>
      <c r="AU1426" s="1">
        <v>15800</v>
      </c>
      <c r="AV1426">
        <v>80</v>
      </c>
      <c r="AX1426" s="1">
        <v>2408.62</v>
      </c>
      <c r="AY1426" t="s">
        <v>5777</v>
      </c>
      <c r="AZ1426" t="s">
        <v>5777</v>
      </c>
      <c r="BA1426" t="s">
        <v>173</v>
      </c>
      <c r="BE1426" s="3">
        <v>42422</v>
      </c>
      <c r="BF1426" s="1">
        <v>215865</v>
      </c>
      <c r="BG1426" t="s">
        <v>158</v>
      </c>
      <c r="BH1426" s="1">
        <v>113.61</v>
      </c>
      <c r="BI1426" s="1">
        <v>222949</v>
      </c>
      <c r="BJ1426" s="3">
        <v>42738</v>
      </c>
      <c r="BK1426" t="s">
        <v>123</v>
      </c>
      <c r="BL1426" t="str">
        <f>"2017.1738"</f>
        <v>2017.1738</v>
      </c>
      <c r="BM1426" t="s">
        <v>9702</v>
      </c>
      <c r="BO1426" t="s">
        <v>9703</v>
      </c>
      <c r="BS1426">
        <v>30</v>
      </c>
      <c r="BW1426" t="str">
        <f>""</f>
        <v/>
      </c>
      <c r="CH1426" t="str">
        <f>""</f>
        <v/>
      </c>
      <c r="CS1426" t="str">
        <f>""</f>
        <v/>
      </c>
    </row>
    <row r="1427" spans="1:97" x14ac:dyDescent="0.25">
      <c r="A1427" t="s">
        <v>9704</v>
      </c>
      <c r="B1427" t="s">
        <v>9705</v>
      </c>
      <c r="C1427" t="s">
        <v>9706</v>
      </c>
      <c r="D1427" t="s">
        <v>9707</v>
      </c>
      <c r="E1427" t="s">
        <v>9708</v>
      </c>
      <c r="F1427" t="s">
        <v>108</v>
      </c>
      <c r="H1427" t="s">
        <v>9709</v>
      </c>
      <c r="I1427" t="s">
        <v>144</v>
      </c>
      <c r="J1427" t="s">
        <v>111</v>
      </c>
      <c r="K1427" t="str">
        <f>"85396"</f>
        <v>85396</v>
      </c>
      <c r="L1427" t="s">
        <v>5893</v>
      </c>
      <c r="M1427" t="s">
        <v>9709</v>
      </c>
      <c r="N1427" t="s">
        <v>144</v>
      </c>
      <c r="O1427" t="s">
        <v>111</v>
      </c>
      <c r="P1427" t="str">
        <f>"85396-7169"</f>
        <v>85396-7169</v>
      </c>
      <c r="Q1427" t="s">
        <v>113</v>
      </c>
      <c r="R1427" t="str">
        <f>"504-07-525"</f>
        <v>504-07-525</v>
      </c>
      <c r="S1427" t="s">
        <v>9710</v>
      </c>
      <c r="U1427">
        <v>3578</v>
      </c>
      <c r="V1427">
        <v>0</v>
      </c>
      <c r="W1427">
        <v>5</v>
      </c>
      <c r="X1427">
        <v>2006</v>
      </c>
      <c r="Z1427">
        <v>2</v>
      </c>
      <c r="AA1427" t="s">
        <v>26</v>
      </c>
      <c r="AB1427">
        <v>0</v>
      </c>
      <c r="AC1427" t="s">
        <v>115</v>
      </c>
      <c r="AD1427">
        <v>3</v>
      </c>
      <c r="AE1427" t="s">
        <v>115</v>
      </c>
      <c r="AF1427">
        <v>0</v>
      </c>
      <c r="AG1427">
        <v>0</v>
      </c>
      <c r="AH1427" t="s">
        <v>116</v>
      </c>
      <c r="AI1427" s="1">
        <v>63932</v>
      </c>
      <c r="AJ1427" s="2">
        <v>0.21</v>
      </c>
      <c r="AK1427" s="1">
        <v>298932</v>
      </c>
      <c r="AL1427" t="s">
        <v>117</v>
      </c>
      <c r="AM1427" t="s">
        <v>118</v>
      </c>
      <c r="AN1427">
        <v>7875</v>
      </c>
      <c r="AO1427">
        <v>0.18</v>
      </c>
      <c r="AR1427">
        <v>1</v>
      </c>
      <c r="AS1427" s="1">
        <v>21120</v>
      </c>
      <c r="AT1427" s="1">
        <v>4220</v>
      </c>
      <c r="AU1427" s="1">
        <v>16900</v>
      </c>
      <c r="AV1427">
        <v>80.02</v>
      </c>
      <c r="AX1427" s="1">
        <v>1804.3</v>
      </c>
      <c r="AY1427" t="s">
        <v>147</v>
      </c>
      <c r="AZ1427" t="s">
        <v>147</v>
      </c>
      <c r="BA1427" t="s">
        <v>148</v>
      </c>
      <c r="BE1427" s="3">
        <v>42412</v>
      </c>
      <c r="BF1427" s="1">
        <v>235000</v>
      </c>
      <c r="BG1427" t="s">
        <v>9711</v>
      </c>
      <c r="BH1427" s="1">
        <v>65.680000000000007</v>
      </c>
      <c r="BI1427" s="1">
        <v>235000</v>
      </c>
      <c r="BJ1427" s="3">
        <v>42412</v>
      </c>
      <c r="BK1427" t="s">
        <v>123</v>
      </c>
      <c r="BL1427" t="str">
        <f>"2016.91696"</f>
        <v>2016.91696</v>
      </c>
      <c r="BM1427" t="s">
        <v>309</v>
      </c>
      <c r="BO1427" t="s">
        <v>9712</v>
      </c>
      <c r="BP1427" t="s">
        <v>9713</v>
      </c>
      <c r="BS1427">
        <v>30</v>
      </c>
      <c r="BW1427" t="str">
        <f>""</f>
        <v/>
      </c>
      <c r="CH1427" t="str">
        <f>""</f>
        <v/>
      </c>
      <c r="CS1427" t="str">
        <f>""</f>
        <v/>
      </c>
    </row>
    <row r="1428" spans="1:97" x14ac:dyDescent="0.25">
      <c r="A1428" t="s">
        <v>695</v>
      </c>
      <c r="B1428" t="s">
        <v>9714</v>
      </c>
      <c r="C1428" t="s">
        <v>5375</v>
      </c>
      <c r="D1428" t="s">
        <v>9714</v>
      </c>
      <c r="E1428" t="s">
        <v>9715</v>
      </c>
      <c r="F1428" t="s">
        <v>108</v>
      </c>
      <c r="H1428" t="s">
        <v>9716</v>
      </c>
      <c r="I1428" t="s">
        <v>110</v>
      </c>
      <c r="J1428" t="s">
        <v>111</v>
      </c>
      <c r="K1428" t="str">
        <f>"85249"</f>
        <v>85249</v>
      </c>
      <c r="L1428" t="s">
        <v>681</v>
      </c>
      <c r="M1428" t="s">
        <v>9716</v>
      </c>
      <c r="N1428" t="s">
        <v>110</v>
      </c>
      <c r="O1428" t="s">
        <v>111</v>
      </c>
      <c r="P1428" t="str">
        <f>"85249-1842"</f>
        <v>85249-1842</v>
      </c>
      <c r="Q1428" t="s">
        <v>113</v>
      </c>
      <c r="R1428" t="str">
        <f>"303-45-869"</f>
        <v>303-45-869</v>
      </c>
      <c r="S1428" t="s">
        <v>6853</v>
      </c>
      <c r="T1428" t="s">
        <v>6853</v>
      </c>
      <c r="U1428">
        <v>2126</v>
      </c>
      <c r="V1428">
        <v>0</v>
      </c>
      <c r="W1428">
        <v>3</v>
      </c>
      <c r="X1428">
        <v>2001</v>
      </c>
      <c r="Z1428">
        <v>1</v>
      </c>
      <c r="AA1428" t="s">
        <v>26</v>
      </c>
      <c r="AB1428">
        <v>0</v>
      </c>
      <c r="AC1428" t="s">
        <v>115</v>
      </c>
      <c r="AD1428">
        <v>3</v>
      </c>
      <c r="AE1428" t="s">
        <v>115</v>
      </c>
      <c r="AF1428">
        <v>0</v>
      </c>
      <c r="AG1428">
        <v>0</v>
      </c>
      <c r="AH1428" t="s">
        <v>116</v>
      </c>
      <c r="AI1428" s="1">
        <v>-283334</v>
      </c>
      <c r="AJ1428" s="2">
        <v>-0.69</v>
      </c>
      <c r="AK1428" s="1">
        <v>408776</v>
      </c>
      <c r="AL1428" t="s">
        <v>117</v>
      </c>
      <c r="AM1428" t="s">
        <v>1302</v>
      </c>
      <c r="AN1428">
        <v>10029</v>
      </c>
      <c r="AO1428">
        <v>0.23</v>
      </c>
      <c r="AP1428">
        <v>1</v>
      </c>
      <c r="AR1428">
        <v>1</v>
      </c>
      <c r="AS1428" s="1">
        <v>28220</v>
      </c>
      <c r="AT1428" s="1">
        <v>5640</v>
      </c>
      <c r="AU1428" s="1">
        <v>22580</v>
      </c>
      <c r="AV1428">
        <v>80.010000000000005</v>
      </c>
      <c r="AX1428" s="1">
        <v>2346.36</v>
      </c>
      <c r="AY1428" t="s">
        <v>6854</v>
      </c>
      <c r="AZ1428" t="s">
        <v>120</v>
      </c>
      <c r="BA1428" t="s">
        <v>274</v>
      </c>
      <c r="BE1428" s="3">
        <v>41830</v>
      </c>
      <c r="BF1428" s="1">
        <v>335000</v>
      </c>
      <c r="BG1428" t="s">
        <v>9717</v>
      </c>
      <c r="BH1428" s="1">
        <v>157.57</v>
      </c>
      <c r="BI1428" s="1">
        <v>346055</v>
      </c>
      <c r="BJ1428" s="3">
        <v>41830</v>
      </c>
      <c r="BK1428" t="s">
        <v>123</v>
      </c>
      <c r="BL1428" t="str">
        <f>"2014.452252"</f>
        <v>2014.452252</v>
      </c>
      <c r="BM1428" t="s">
        <v>1033</v>
      </c>
      <c r="BO1428" t="s">
        <v>9718</v>
      </c>
      <c r="BS1428">
        <v>30</v>
      </c>
      <c r="BT1428" s="1">
        <v>346055</v>
      </c>
      <c r="BU1428" s="3">
        <v>42151</v>
      </c>
      <c r="BV1428" t="s">
        <v>123</v>
      </c>
      <c r="BW1428" t="str">
        <f>"2015.372489"</f>
        <v>2015.372489</v>
      </c>
      <c r="BX1428" t="s">
        <v>1033</v>
      </c>
      <c r="BZ1428" t="s">
        <v>9718</v>
      </c>
      <c r="CD1428">
        <v>30</v>
      </c>
      <c r="CH1428" t="str">
        <f>""</f>
        <v/>
      </c>
      <c r="CS1428" t="str">
        <f>""</f>
        <v/>
      </c>
    </row>
    <row r="1429" spans="1:97" x14ac:dyDescent="0.25">
      <c r="A1429" t="s">
        <v>9719</v>
      </c>
      <c r="B1429" t="s">
        <v>9720</v>
      </c>
      <c r="C1429" t="s">
        <v>4854</v>
      </c>
      <c r="D1429" t="s">
        <v>9720</v>
      </c>
      <c r="E1429" t="s">
        <v>9721</v>
      </c>
      <c r="F1429" t="s">
        <v>108</v>
      </c>
      <c r="H1429" t="s">
        <v>9722</v>
      </c>
      <c r="I1429" t="s">
        <v>453</v>
      </c>
      <c r="J1429" t="s">
        <v>111</v>
      </c>
      <c r="K1429" t="str">
        <f>"85381"</f>
        <v>85381</v>
      </c>
      <c r="L1429" t="s">
        <v>9597</v>
      </c>
      <c r="M1429" t="s">
        <v>9722</v>
      </c>
      <c r="N1429" t="s">
        <v>453</v>
      </c>
      <c r="O1429" t="s">
        <v>111</v>
      </c>
      <c r="P1429" t="str">
        <f>"85381-4932"</f>
        <v>85381-4932</v>
      </c>
      <c r="Q1429" t="s">
        <v>113</v>
      </c>
      <c r="R1429" t="str">
        <f>"200-97-371"</f>
        <v>200-97-371</v>
      </c>
      <c r="S1429" t="s">
        <v>9723</v>
      </c>
      <c r="T1429" t="s">
        <v>9724</v>
      </c>
      <c r="U1429">
        <v>2387</v>
      </c>
      <c r="V1429">
        <v>0</v>
      </c>
      <c r="W1429">
        <v>4</v>
      </c>
      <c r="X1429">
        <v>2014</v>
      </c>
      <c r="Z1429">
        <v>2</v>
      </c>
      <c r="AB1429">
        <v>0</v>
      </c>
      <c r="AC1429" t="s">
        <v>115</v>
      </c>
      <c r="AD1429">
        <v>2</v>
      </c>
      <c r="AE1429" t="s">
        <v>115</v>
      </c>
      <c r="AF1429">
        <v>0</v>
      </c>
      <c r="AG1429">
        <v>0</v>
      </c>
      <c r="AH1429" t="s">
        <v>116</v>
      </c>
      <c r="AI1429" s="1">
        <v>61437</v>
      </c>
      <c r="AJ1429" s="2">
        <v>0.18</v>
      </c>
      <c r="AK1429" s="1">
        <v>340011</v>
      </c>
      <c r="AL1429" t="s">
        <v>117</v>
      </c>
      <c r="AM1429" t="s">
        <v>118</v>
      </c>
      <c r="AN1429">
        <v>4260</v>
      </c>
      <c r="AO1429">
        <v>0.98</v>
      </c>
      <c r="AR1429">
        <v>1</v>
      </c>
      <c r="AS1429" s="1">
        <v>25310</v>
      </c>
      <c r="AT1429" s="1">
        <v>5060</v>
      </c>
      <c r="AU1429" s="1">
        <v>20250</v>
      </c>
      <c r="AV1429">
        <v>80.010000000000005</v>
      </c>
      <c r="AX1429" s="1">
        <v>2178.7800000000002</v>
      </c>
      <c r="AY1429" t="s">
        <v>5629</v>
      </c>
      <c r="AZ1429" t="s">
        <v>5629</v>
      </c>
      <c r="BA1429" t="s">
        <v>4007</v>
      </c>
      <c r="BE1429" s="3">
        <v>41955</v>
      </c>
      <c r="BF1429" s="1">
        <v>262817</v>
      </c>
      <c r="BG1429" t="s">
        <v>9725</v>
      </c>
      <c r="BH1429" s="1">
        <v>110.1</v>
      </c>
      <c r="BI1429" s="1">
        <v>278574</v>
      </c>
      <c r="BJ1429" s="3">
        <v>42158</v>
      </c>
      <c r="BK1429" t="s">
        <v>123</v>
      </c>
      <c r="BL1429" t="str">
        <f>"2015.395693"</f>
        <v>2015.395693</v>
      </c>
      <c r="BM1429" t="s">
        <v>2117</v>
      </c>
      <c r="BO1429" t="s">
        <v>9726</v>
      </c>
      <c r="BQ1429" t="str">
        <f>"1.7500%"</f>
        <v>1.7500%</v>
      </c>
      <c r="BR1429" t="s">
        <v>1480</v>
      </c>
      <c r="BS1429">
        <v>30</v>
      </c>
      <c r="BW1429" t="str">
        <f>""</f>
        <v/>
      </c>
      <c r="CH1429" t="str">
        <f>""</f>
        <v/>
      </c>
      <c r="CS1429" t="str">
        <f>""</f>
        <v/>
      </c>
    </row>
    <row r="1430" spans="1:97" x14ac:dyDescent="0.25">
      <c r="A1430" t="s">
        <v>9727</v>
      </c>
      <c r="B1430" t="s">
        <v>9728</v>
      </c>
      <c r="E1430" t="s">
        <v>9729</v>
      </c>
      <c r="F1430" t="s">
        <v>108</v>
      </c>
      <c r="H1430" t="s">
        <v>9730</v>
      </c>
      <c r="I1430" t="s">
        <v>2874</v>
      </c>
      <c r="J1430" t="s">
        <v>111</v>
      </c>
      <c r="K1430" t="str">
        <f>"85308"</f>
        <v>85308</v>
      </c>
      <c r="L1430" t="s">
        <v>3758</v>
      </c>
      <c r="M1430" t="s">
        <v>9730</v>
      </c>
      <c r="N1430" t="s">
        <v>2874</v>
      </c>
      <c r="O1430" t="s">
        <v>111</v>
      </c>
      <c r="P1430" t="str">
        <f>"85308-4923"</f>
        <v>85308-4923</v>
      </c>
      <c r="Q1430" t="s">
        <v>113</v>
      </c>
      <c r="R1430" t="str">
        <f>"200-25-077"</f>
        <v>200-25-077</v>
      </c>
      <c r="S1430" t="s">
        <v>9731</v>
      </c>
      <c r="T1430" t="s">
        <v>9731</v>
      </c>
      <c r="U1430">
        <v>1681</v>
      </c>
      <c r="V1430">
        <v>0</v>
      </c>
      <c r="W1430">
        <v>3</v>
      </c>
      <c r="X1430">
        <v>1995</v>
      </c>
      <c r="Z1430">
        <v>1</v>
      </c>
      <c r="AA1430" t="s">
        <v>26</v>
      </c>
      <c r="AB1430">
        <v>0</v>
      </c>
      <c r="AC1430" t="s">
        <v>115</v>
      </c>
      <c r="AD1430">
        <v>2</v>
      </c>
      <c r="AE1430" t="s">
        <v>115</v>
      </c>
      <c r="AF1430">
        <v>0</v>
      </c>
      <c r="AG1430">
        <v>0</v>
      </c>
      <c r="AH1430" t="s">
        <v>116</v>
      </c>
      <c r="AI1430" s="1">
        <v>88194</v>
      </c>
      <c r="AJ1430" s="2">
        <v>0.28999999999999998</v>
      </c>
      <c r="AK1430" s="1">
        <v>306422</v>
      </c>
      <c r="AL1430" t="s">
        <v>117</v>
      </c>
      <c r="AM1430" t="s">
        <v>191</v>
      </c>
      <c r="AN1430">
        <v>9368</v>
      </c>
      <c r="AO1430">
        <v>0.22</v>
      </c>
      <c r="AP1430">
        <v>1</v>
      </c>
      <c r="AR1430">
        <v>1</v>
      </c>
      <c r="AS1430" s="1">
        <v>21620</v>
      </c>
      <c r="AT1430" s="1">
        <v>4320</v>
      </c>
      <c r="AU1430" s="1">
        <v>17300</v>
      </c>
      <c r="AV1430">
        <v>80.02</v>
      </c>
      <c r="AX1430" s="1">
        <v>1452.64</v>
      </c>
      <c r="AY1430" t="s">
        <v>8587</v>
      </c>
      <c r="AZ1430" t="s">
        <v>5142</v>
      </c>
      <c r="BA1430" t="s">
        <v>5143</v>
      </c>
      <c r="BE1430" s="3">
        <v>41698</v>
      </c>
      <c r="BF1430" s="1">
        <v>225000</v>
      </c>
      <c r="BG1430" t="s">
        <v>9732</v>
      </c>
      <c r="BH1430" s="1">
        <v>133.85</v>
      </c>
      <c r="BI1430" s="1">
        <v>218228</v>
      </c>
      <c r="BJ1430" s="3">
        <v>41869</v>
      </c>
      <c r="BK1430" t="s">
        <v>123</v>
      </c>
      <c r="BL1430" t="str">
        <f>"2014.544306"</f>
        <v>2014.544306</v>
      </c>
      <c r="BM1430" t="s">
        <v>255</v>
      </c>
      <c r="BO1430" t="s">
        <v>9733</v>
      </c>
      <c r="BS1430">
        <v>30</v>
      </c>
      <c r="BW1430" t="str">
        <f>""</f>
        <v/>
      </c>
      <c r="CH1430" t="str">
        <f>""</f>
        <v/>
      </c>
      <c r="CS1430" t="str">
        <f>""</f>
        <v/>
      </c>
    </row>
    <row r="1431" spans="1:97" x14ac:dyDescent="0.25">
      <c r="A1431" t="s">
        <v>1009</v>
      </c>
      <c r="B1431" t="s">
        <v>9734</v>
      </c>
      <c r="E1431" t="s">
        <v>9735</v>
      </c>
      <c r="F1431" t="s">
        <v>108</v>
      </c>
      <c r="H1431" t="s">
        <v>9736</v>
      </c>
      <c r="I1431" t="s">
        <v>5387</v>
      </c>
      <c r="J1431" t="s">
        <v>111</v>
      </c>
      <c r="K1431" t="str">
        <f>"85283"</f>
        <v>85283</v>
      </c>
      <c r="L1431" t="s">
        <v>9737</v>
      </c>
      <c r="M1431" t="s">
        <v>9736</v>
      </c>
      <c r="N1431" t="s">
        <v>5387</v>
      </c>
      <c r="O1431" t="s">
        <v>111</v>
      </c>
      <c r="P1431" t="str">
        <f>"85283-2351"</f>
        <v>85283-2351</v>
      </c>
      <c r="Q1431" t="s">
        <v>113</v>
      </c>
      <c r="R1431" t="str">
        <f>"301-01-651"</f>
        <v>301-01-651</v>
      </c>
      <c r="S1431" t="s">
        <v>9738</v>
      </c>
      <c r="T1431" t="s">
        <v>9739</v>
      </c>
      <c r="U1431">
        <v>1874</v>
      </c>
      <c r="V1431">
        <v>0</v>
      </c>
      <c r="W1431">
        <v>2</v>
      </c>
      <c r="X1431">
        <v>1973</v>
      </c>
      <c r="Z1431">
        <v>1</v>
      </c>
      <c r="AA1431" t="s">
        <v>26</v>
      </c>
      <c r="AB1431">
        <v>0</v>
      </c>
      <c r="AC1431" t="s">
        <v>115</v>
      </c>
      <c r="AD1431">
        <v>2</v>
      </c>
      <c r="AE1431" t="s">
        <v>115</v>
      </c>
      <c r="AF1431">
        <v>0</v>
      </c>
      <c r="AG1431">
        <v>0</v>
      </c>
      <c r="AH1431" t="s">
        <v>116</v>
      </c>
      <c r="AI1431" s="1">
        <v>90740</v>
      </c>
      <c r="AJ1431" s="2">
        <v>0.25</v>
      </c>
      <c r="AK1431" s="1">
        <v>361335</v>
      </c>
      <c r="AL1431" t="s">
        <v>117</v>
      </c>
      <c r="AM1431" t="s">
        <v>191</v>
      </c>
      <c r="AN1431">
        <v>8516</v>
      </c>
      <c r="AO1431">
        <v>0.2</v>
      </c>
      <c r="AP1431">
        <v>1</v>
      </c>
      <c r="AR1431">
        <v>1</v>
      </c>
      <c r="AS1431" s="1">
        <v>24750</v>
      </c>
      <c r="AT1431" s="1">
        <v>4950</v>
      </c>
      <c r="AU1431" s="1">
        <v>19800</v>
      </c>
      <c r="AV1431">
        <v>80</v>
      </c>
      <c r="AX1431" s="1">
        <v>2293.3000000000002</v>
      </c>
      <c r="AY1431" t="s">
        <v>9740</v>
      </c>
      <c r="AZ1431" t="s">
        <v>6726</v>
      </c>
      <c r="BA1431" t="s">
        <v>5392</v>
      </c>
      <c r="BE1431" s="3">
        <v>41884</v>
      </c>
      <c r="BF1431" s="1">
        <v>264900</v>
      </c>
      <c r="BG1431" t="s">
        <v>9741</v>
      </c>
      <c r="BH1431" s="1">
        <v>141.36000000000001</v>
      </c>
      <c r="BI1431" s="1">
        <v>270595</v>
      </c>
      <c r="BJ1431" s="3">
        <v>41884</v>
      </c>
      <c r="BK1431" t="s">
        <v>123</v>
      </c>
      <c r="BL1431" t="str">
        <f>"2014.580985"</f>
        <v>2014.580985</v>
      </c>
      <c r="BM1431" t="s">
        <v>9742</v>
      </c>
      <c r="BO1431" t="s">
        <v>9743</v>
      </c>
      <c r="BS1431">
        <v>30</v>
      </c>
      <c r="BW1431" t="str">
        <f>""</f>
        <v/>
      </c>
      <c r="CH1431" t="str">
        <f>""</f>
        <v/>
      </c>
      <c r="CS1431" t="str">
        <f>""</f>
        <v/>
      </c>
    </row>
    <row r="1432" spans="1:97" x14ac:dyDescent="0.25">
      <c r="A1432" t="s">
        <v>3580</v>
      </c>
      <c r="B1432" t="s">
        <v>9744</v>
      </c>
      <c r="C1432" t="s">
        <v>9745</v>
      </c>
      <c r="D1432" t="s">
        <v>9744</v>
      </c>
      <c r="E1432" t="s">
        <v>9746</v>
      </c>
      <c r="F1432" t="s">
        <v>108</v>
      </c>
      <c r="H1432" t="s">
        <v>9747</v>
      </c>
      <c r="I1432" t="s">
        <v>632</v>
      </c>
      <c r="J1432" t="s">
        <v>111</v>
      </c>
      <c r="K1432" t="str">
        <f>"85374"</f>
        <v>85374</v>
      </c>
      <c r="L1432" t="s">
        <v>5367</v>
      </c>
      <c r="M1432" t="s">
        <v>9747</v>
      </c>
      <c r="N1432" t="s">
        <v>632</v>
      </c>
      <c r="O1432" t="s">
        <v>111</v>
      </c>
      <c r="P1432" t="str">
        <f>"85374-5233"</f>
        <v>85374-5233</v>
      </c>
      <c r="R1432" t="str">
        <f>"501-16-387"</f>
        <v>501-16-387</v>
      </c>
      <c r="S1432" t="s">
        <v>9748</v>
      </c>
      <c r="T1432" t="s">
        <v>9748</v>
      </c>
      <c r="U1432">
        <v>1479</v>
      </c>
      <c r="V1432">
        <v>0</v>
      </c>
      <c r="W1432">
        <v>3</v>
      </c>
      <c r="X1432">
        <v>1998</v>
      </c>
      <c r="Z1432">
        <v>1</v>
      </c>
      <c r="AB1432">
        <v>0</v>
      </c>
      <c r="AC1432" t="s">
        <v>115</v>
      </c>
      <c r="AD1432">
        <v>2</v>
      </c>
      <c r="AE1432" t="s">
        <v>115</v>
      </c>
      <c r="AF1432">
        <v>0</v>
      </c>
      <c r="AG1432">
        <v>0</v>
      </c>
      <c r="AH1432" t="s">
        <v>116</v>
      </c>
      <c r="AI1432" s="1">
        <v>13266</v>
      </c>
      <c r="AJ1432" s="2">
        <v>0.06</v>
      </c>
      <c r="AK1432" s="1">
        <v>226453</v>
      </c>
      <c r="AL1432" t="s">
        <v>117</v>
      </c>
      <c r="AM1432" t="s">
        <v>118</v>
      </c>
      <c r="AN1432">
        <v>6960</v>
      </c>
      <c r="AO1432">
        <v>0.16</v>
      </c>
      <c r="AP1432">
        <v>1</v>
      </c>
      <c r="AR1432">
        <v>1</v>
      </c>
      <c r="AS1432" s="1">
        <v>15450</v>
      </c>
      <c r="AT1432" s="1">
        <v>3090</v>
      </c>
      <c r="AU1432" s="1">
        <v>12360</v>
      </c>
      <c r="AV1432">
        <v>80</v>
      </c>
      <c r="AX1432" s="1">
        <v>1060.02</v>
      </c>
      <c r="AY1432" t="s">
        <v>9749</v>
      </c>
      <c r="AZ1432" t="s">
        <v>9749</v>
      </c>
      <c r="BA1432" t="s">
        <v>321</v>
      </c>
      <c r="BE1432" s="3">
        <v>42187</v>
      </c>
      <c r="BF1432" s="1">
        <v>160000</v>
      </c>
      <c r="BG1432" t="s">
        <v>9750</v>
      </c>
      <c r="BH1432" s="1">
        <v>108.18</v>
      </c>
      <c r="BI1432" s="1">
        <v>213187</v>
      </c>
      <c r="BJ1432" s="3">
        <v>43542</v>
      </c>
      <c r="BK1432" t="s">
        <v>123</v>
      </c>
      <c r="BL1432" t="str">
        <f>"2019.184128"</f>
        <v>2019.184128</v>
      </c>
      <c r="BM1432" t="s">
        <v>1809</v>
      </c>
      <c r="BN1432" t="s">
        <v>1810</v>
      </c>
      <c r="BO1432" t="s">
        <v>9751</v>
      </c>
      <c r="BP1432" t="s">
        <v>9752</v>
      </c>
      <c r="BR1432" t="s">
        <v>139</v>
      </c>
      <c r="BW1432" t="str">
        <f>""</f>
        <v/>
      </c>
      <c r="CH1432" t="str">
        <f>""</f>
        <v/>
      </c>
      <c r="CS1432" t="str">
        <f>""</f>
        <v/>
      </c>
    </row>
    <row r="1433" spans="1:97" x14ac:dyDescent="0.25">
      <c r="A1433" t="s">
        <v>2086</v>
      </c>
      <c r="B1433" t="s">
        <v>3187</v>
      </c>
      <c r="C1433" t="s">
        <v>5740</v>
      </c>
      <c r="D1433" t="s">
        <v>3187</v>
      </c>
      <c r="E1433" t="s">
        <v>9753</v>
      </c>
      <c r="F1433" t="s">
        <v>108</v>
      </c>
      <c r="H1433" t="s">
        <v>9754</v>
      </c>
      <c r="I1433" t="s">
        <v>632</v>
      </c>
      <c r="J1433" t="s">
        <v>111</v>
      </c>
      <c r="K1433" t="str">
        <f>"85388"</f>
        <v>85388</v>
      </c>
      <c r="L1433" t="s">
        <v>500</v>
      </c>
      <c r="M1433" t="s">
        <v>9754</v>
      </c>
      <c r="N1433" t="s">
        <v>632</v>
      </c>
      <c r="O1433" t="s">
        <v>111</v>
      </c>
      <c r="P1433" t="str">
        <f>"85388-7531"</f>
        <v>85388-7531</v>
      </c>
      <c r="Q1433" t="s">
        <v>113</v>
      </c>
      <c r="R1433" t="str">
        <f>"502-88-427"</f>
        <v>502-88-427</v>
      </c>
      <c r="S1433" t="s">
        <v>9755</v>
      </c>
      <c r="U1433">
        <v>3336</v>
      </c>
      <c r="V1433">
        <v>0</v>
      </c>
      <c r="W1433">
        <v>4</v>
      </c>
      <c r="X1433">
        <v>2003</v>
      </c>
      <c r="Z1433">
        <v>2</v>
      </c>
      <c r="AB1433">
        <v>0</v>
      </c>
      <c r="AC1433" t="s">
        <v>115</v>
      </c>
      <c r="AD1433">
        <v>3</v>
      </c>
      <c r="AE1433" t="s">
        <v>115</v>
      </c>
      <c r="AF1433">
        <v>0</v>
      </c>
      <c r="AG1433">
        <v>0</v>
      </c>
      <c r="AH1433" t="s">
        <v>116</v>
      </c>
      <c r="AI1433" s="1">
        <v>85886</v>
      </c>
      <c r="AJ1433" s="2">
        <v>0.26</v>
      </c>
      <c r="AK1433" s="1">
        <v>331886</v>
      </c>
      <c r="AL1433" t="s">
        <v>117</v>
      </c>
      <c r="AM1433" t="s">
        <v>118</v>
      </c>
      <c r="AN1433">
        <v>6380</v>
      </c>
      <c r="AO1433">
        <v>0.15</v>
      </c>
      <c r="AP1433">
        <v>1</v>
      </c>
      <c r="AR1433">
        <v>1</v>
      </c>
      <c r="AS1433" s="1">
        <v>21920</v>
      </c>
      <c r="AT1433" s="1">
        <v>4380</v>
      </c>
      <c r="AU1433" s="1">
        <v>17540</v>
      </c>
      <c r="AV1433">
        <v>80.02</v>
      </c>
      <c r="AX1433" s="1">
        <v>1807.72</v>
      </c>
      <c r="AY1433" t="s">
        <v>6262</v>
      </c>
      <c r="AZ1433" t="s">
        <v>6262</v>
      </c>
      <c r="BA1433" t="s">
        <v>5061</v>
      </c>
      <c r="BE1433" s="3">
        <v>41921</v>
      </c>
      <c r="BF1433" s="1">
        <v>244900</v>
      </c>
      <c r="BG1433" t="s">
        <v>9756</v>
      </c>
      <c r="BH1433" s="1">
        <v>73.41</v>
      </c>
      <c r="BI1433" s="1">
        <v>246000</v>
      </c>
      <c r="BJ1433" s="3">
        <v>42723</v>
      </c>
      <c r="BK1433" t="s">
        <v>123</v>
      </c>
      <c r="BL1433" t="str">
        <f>"2016.933011"</f>
        <v>2016.933011</v>
      </c>
      <c r="BM1433" t="s">
        <v>724</v>
      </c>
      <c r="BO1433" t="s">
        <v>9757</v>
      </c>
      <c r="BS1433">
        <v>30</v>
      </c>
      <c r="BW1433" t="str">
        <f>""</f>
        <v/>
      </c>
      <c r="CH1433" t="str">
        <f>""</f>
        <v/>
      </c>
      <c r="CS1433" t="str">
        <f>""</f>
        <v/>
      </c>
    </row>
    <row r="1434" spans="1:97" x14ac:dyDescent="0.25">
      <c r="A1434" t="s">
        <v>1465</v>
      </c>
      <c r="B1434" t="s">
        <v>3735</v>
      </c>
      <c r="C1434" t="s">
        <v>3635</v>
      </c>
      <c r="D1434" t="s">
        <v>3735</v>
      </c>
      <c r="E1434" t="s">
        <v>9758</v>
      </c>
      <c r="F1434" t="s">
        <v>108</v>
      </c>
      <c r="H1434" t="s">
        <v>9759</v>
      </c>
      <c r="I1434" t="s">
        <v>499</v>
      </c>
      <c r="J1434" t="s">
        <v>111</v>
      </c>
      <c r="K1434" t="str">
        <f>"85338"</f>
        <v>85338</v>
      </c>
      <c r="L1434" t="s">
        <v>5775</v>
      </c>
      <c r="M1434" t="s">
        <v>9759</v>
      </c>
      <c r="N1434" t="s">
        <v>499</v>
      </c>
      <c r="O1434" t="s">
        <v>111</v>
      </c>
      <c r="P1434" t="str">
        <f>"85338-3246"</f>
        <v>85338-3246</v>
      </c>
      <c r="Q1434" t="s">
        <v>113</v>
      </c>
      <c r="R1434" t="str">
        <f>"500-10-525"</f>
        <v>500-10-525</v>
      </c>
      <c r="S1434" t="s">
        <v>9551</v>
      </c>
      <c r="T1434" t="s">
        <v>9551</v>
      </c>
      <c r="U1434">
        <v>2406</v>
      </c>
      <c r="V1434">
        <v>0</v>
      </c>
      <c r="W1434">
        <v>4</v>
      </c>
      <c r="X1434">
        <v>2013</v>
      </c>
      <c r="Z1434">
        <v>1</v>
      </c>
      <c r="AA1434" t="s">
        <v>26</v>
      </c>
      <c r="AB1434">
        <v>0</v>
      </c>
      <c r="AC1434" t="s">
        <v>115</v>
      </c>
      <c r="AD1434">
        <v>3</v>
      </c>
      <c r="AE1434" t="s">
        <v>115</v>
      </c>
      <c r="AF1434">
        <v>0</v>
      </c>
      <c r="AG1434">
        <v>0</v>
      </c>
      <c r="AH1434" t="s">
        <v>116</v>
      </c>
      <c r="AI1434" s="1">
        <v>100198</v>
      </c>
      <c r="AJ1434" s="2">
        <v>0.27</v>
      </c>
      <c r="AK1434" s="1">
        <v>366208</v>
      </c>
      <c r="AL1434" t="s">
        <v>117</v>
      </c>
      <c r="AM1434" t="s">
        <v>118</v>
      </c>
      <c r="AN1434">
        <v>7200</v>
      </c>
      <c r="AO1434">
        <v>0.16</v>
      </c>
      <c r="AR1434">
        <v>1</v>
      </c>
      <c r="AS1434" s="1">
        <v>26170</v>
      </c>
      <c r="AT1434" s="1">
        <v>5230</v>
      </c>
      <c r="AU1434" s="1">
        <v>20940</v>
      </c>
      <c r="AV1434">
        <v>80.02</v>
      </c>
      <c r="AX1434" s="1">
        <v>1920.24</v>
      </c>
      <c r="AY1434" t="s">
        <v>4311</v>
      </c>
      <c r="AZ1434" t="s">
        <v>4311</v>
      </c>
      <c r="BA1434" t="s">
        <v>7186</v>
      </c>
      <c r="BE1434" s="3">
        <v>41880</v>
      </c>
      <c r="BF1434" s="1">
        <v>267019</v>
      </c>
      <c r="BG1434" t="s">
        <v>158</v>
      </c>
      <c r="BH1434" s="1">
        <v>110.98</v>
      </c>
      <c r="BI1434" s="1">
        <v>266010</v>
      </c>
      <c r="BJ1434" s="3">
        <v>41880</v>
      </c>
      <c r="BK1434" t="s">
        <v>123</v>
      </c>
      <c r="BL1434" t="str">
        <f>"2014.577484"</f>
        <v>2014.577484</v>
      </c>
      <c r="BM1434" t="s">
        <v>241</v>
      </c>
      <c r="BO1434" t="s">
        <v>9760</v>
      </c>
      <c r="BS1434">
        <v>30</v>
      </c>
      <c r="BW1434" t="str">
        <f>""</f>
        <v/>
      </c>
      <c r="CH1434" t="str">
        <f>""</f>
        <v/>
      </c>
      <c r="CS1434" t="str">
        <f>""</f>
        <v/>
      </c>
    </row>
    <row r="1435" spans="1:97" x14ac:dyDescent="0.25">
      <c r="A1435" t="s">
        <v>305</v>
      </c>
      <c r="B1435" t="s">
        <v>9761</v>
      </c>
      <c r="E1435" t="s">
        <v>9762</v>
      </c>
      <c r="F1435" t="s">
        <v>108</v>
      </c>
      <c r="H1435" t="s">
        <v>9763</v>
      </c>
      <c r="I1435" t="s">
        <v>453</v>
      </c>
      <c r="J1435" t="s">
        <v>111</v>
      </c>
      <c r="K1435" t="str">
        <f>"85345"</f>
        <v>85345</v>
      </c>
      <c r="L1435" t="s">
        <v>9764</v>
      </c>
      <c r="M1435" t="s">
        <v>9763</v>
      </c>
      <c r="N1435" t="s">
        <v>453</v>
      </c>
      <c r="O1435" t="s">
        <v>111</v>
      </c>
      <c r="P1435" t="str">
        <f>"85345-4105"</f>
        <v>85345-4105</v>
      </c>
      <c r="Q1435" t="s">
        <v>113</v>
      </c>
      <c r="R1435" t="str">
        <f>"142-45-866"</f>
        <v>142-45-866</v>
      </c>
      <c r="S1435" t="s">
        <v>9765</v>
      </c>
      <c r="T1435" t="s">
        <v>9765</v>
      </c>
      <c r="U1435">
        <v>1575</v>
      </c>
      <c r="V1435">
        <v>0</v>
      </c>
      <c r="W1435">
        <v>3</v>
      </c>
      <c r="X1435">
        <v>1998</v>
      </c>
      <c r="Z1435">
        <v>1</v>
      </c>
      <c r="AA1435" t="s">
        <v>26</v>
      </c>
      <c r="AB1435">
        <v>0</v>
      </c>
      <c r="AC1435" t="s">
        <v>115</v>
      </c>
      <c r="AD1435">
        <v>2</v>
      </c>
      <c r="AE1435" t="s">
        <v>115</v>
      </c>
      <c r="AF1435">
        <v>0</v>
      </c>
      <c r="AG1435">
        <v>0</v>
      </c>
      <c r="AH1435" t="s">
        <v>116</v>
      </c>
      <c r="AI1435" s="1">
        <v>37427</v>
      </c>
      <c r="AJ1435" s="2">
        <v>0.14000000000000001</v>
      </c>
      <c r="AK1435" s="1">
        <v>262839</v>
      </c>
      <c r="AL1435" t="s">
        <v>117</v>
      </c>
      <c r="AM1435" t="s">
        <v>3345</v>
      </c>
      <c r="AN1435">
        <v>5236</v>
      </c>
      <c r="AO1435">
        <v>0.12</v>
      </c>
      <c r="AP1435">
        <v>1</v>
      </c>
      <c r="AR1435">
        <v>1</v>
      </c>
      <c r="AS1435" s="1">
        <v>17500</v>
      </c>
      <c r="AT1435" s="1">
        <v>3500</v>
      </c>
      <c r="AU1435" s="1">
        <v>14000</v>
      </c>
      <c r="AV1435">
        <v>80</v>
      </c>
      <c r="AX1435" s="1">
        <v>1377.44</v>
      </c>
      <c r="AY1435" t="s">
        <v>4006</v>
      </c>
      <c r="AZ1435" t="s">
        <v>4006</v>
      </c>
      <c r="BA1435" t="s">
        <v>4007</v>
      </c>
      <c r="BE1435" s="3">
        <v>42146</v>
      </c>
      <c r="BF1435" s="1">
        <v>202500</v>
      </c>
      <c r="BG1435" t="s">
        <v>9766</v>
      </c>
      <c r="BH1435" s="1">
        <v>128.57</v>
      </c>
      <c r="BI1435" s="1">
        <v>225412</v>
      </c>
      <c r="BJ1435" s="3">
        <v>42578</v>
      </c>
      <c r="BK1435" t="s">
        <v>123</v>
      </c>
      <c r="BL1435" t="str">
        <f>"2016.528385"</f>
        <v>2016.528385</v>
      </c>
      <c r="BM1435" t="s">
        <v>1695</v>
      </c>
      <c r="BO1435" t="s">
        <v>9767</v>
      </c>
      <c r="BS1435">
        <v>30</v>
      </c>
      <c r="BW1435" t="str">
        <f>""</f>
        <v/>
      </c>
      <c r="CH1435" t="str">
        <f>""</f>
        <v/>
      </c>
      <c r="CS1435" t="str">
        <f>""</f>
        <v/>
      </c>
    </row>
    <row r="1436" spans="1:97" x14ac:dyDescent="0.25">
      <c r="B1436" t="s">
        <v>9768</v>
      </c>
      <c r="E1436" t="s">
        <v>9769</v>
      </c>
      <c r="F1436" t="s">
        <v>108</v>
      </c>
      <c r="H1436" t="s">
        <v>9770</v>
      </c>
      <c r="I1436" t="s">
        <v>632</v>
      </c>
      <c r="J1436" t="s">
        <v>111</v>
      </c>
      <c r="K1436" t="str">
        <f>"85374"</f>
        <v>85374</v>
      </c>
      <c r="L1436" t="s">
        <v>2765</v>
      </c>
      <c r="M1436" t="s">
        <v>9770</v>
      </c>
      <c r="N1436" t="s">
        <v>632</v>
      </c>
      <c r="O1436" t="s">
        <v>111</v>
      </c>
      <c r="P1436" t="str">
        <f>"85374-4918"</f>
        <v>85374-4918</v>
      </c>
      <c r="Q1436" t="s">
        <v>113</v>
      </c>
      <c r="R1436" t="str">
        <f>"232-33-762"</f>
        <v>232-33-762</v>
      </c>
      <c r="S1436" t="s">
        <v>9771</v>
      </c>
      <c r="T1436" t="s">
        <v>9771</v>
      </c>
      <c r="U1436">
        <v>1627</v>
      </c>
      <c r="V1436">
        <v>0</v>
      </c>
      <c r="W1436">
        <v>2</v>
      </c>
      <c r="X1436">
        <v>1998</v>
      </c>
      <c r="Z1436">
        <v>1</v>
      </c>
      <c r="AB1436">
        <v>0</v>
      </c>
      <c r="AC1436" t="s">
        <v>115</v>
      </c>
      <c r="AD1436">
        <v>2</v>
      </c>
      <c r="AE1436" t="s">
        <v>115</v>
      </c>
      <c r="AF1436">
        <v>0</v>
      </c>
      <c r="AG1436">
        <v>0</v>
      </c>
      <c r="AH1436" t="s">
        <v>116</v>
      </c>
      <c r="AI1436" s="1">
        <v>63421</v>
      </c>
      <c r="AJ1436" s="2">
        <v>0.22</v>
      </c>
      <c r="AK1436" s="1">
        <v>285516</v>
      </c>
      <c r="AL1436" t="s">
        <v>117</v>
      </c>
      <c r="AM1436" t="s">
        <v>118</v>
      </c>
      <c r="AN1436">
        <v>8208</v>
      </c>
      <c r="AO1436">
        <v>0.19</v>
      </c>
      <c r="AP1436">
        <v>1</v>
      </c>
      <c r="AR1436">
        <v>1</v>
      </c>
      <c r="AS1436" s="1">
        <v>18960</v>
      </c>
      <c r="AT1436" s="1">
        <v>3790</v>
      </c>
      <c r="AU1436" s="1">
        <v>15170</v>
      </c>
      <c r="AV1436">
        <v>80.010000000000005</v>
      </c>
      <c r="AX1436" s="1">
        <v>1963.38</v>
      </c>
      <c r="AY1436" t="s">
        <v>5108</v>
      </c>
      <c r="AZ1436" t="s">
        <v>5108</v>
      </c>
      <c r="BA1436" t="s">
        <v>5109</v>
      </c>
      <c r="BB1436" s="3">
        <v>43742</v>
      </c>
      <c r="BC1436" s="1">
        <v>0</v>
      </c>
      <c r="BD1436" t="s">
        <v>247</v>
      </c>
      <c r="BE1436" s="3">
        <v>42550</v>
      </c>
      <c r="BF1436" s="1">
        <v>215000</v>
      </c>
      <c r="BG1436" t="s">
        <v>9772</v>
      </c>
      <c r="BH1436" s="1">
        <v>132.15</v>
      </c>
      <c r="BI1436" s="1">
        <v>222095</v>
      </c>
      <c r="BJ1436" s="3">
        <v>42550</v>
      </c>
      <c r="BK1436" t="s">
        <v>123</v>
      </c>
      <c r="BL1436" t="str">
        <f>"2016.457257"</f>
        <v>2016.457257</v>
      </c>
      <c r="BM1436" t="s">
        <v>544</v>
      </c>
      <c r="BN1436" t="s">
        <v>545</v>
      </c>
      <c r="BO1436" t="s">
        <v>9773</v>
      </c>
      <c r="BS1436">
        <v>30</v>
      </c>
      <c r="BW1436" t="str">
        <f>""</f>
        <v/>
      </c>
      <c r="CH1436" t="str">
        <f>""</f>
        <v/>
      </c>
      <c r="CS1436" t="str">
        <f>""</f>
        <v/>
      </c>
    </row>
    <row r="1437" spans="1:97" x14ac:dyDescent="0.25">
      <c r="A1437" t="s">
        <v>894</v>
      </c>
      <c r="B1437" t="s">
        <v>2692</v>
      </c>
      <c r="C1437" t="s">
        <v>5633</v>
      </c>
      <c r="D1437" t="s">
        <v>9774</v>
      </c>
      <c r="E1437" t="s">
        <v>9775</v>
      </c>
      <c r="F1437" t="s">
        <v>108</v>
      </c>
      <c r="H1437" t="s">
        <v>9776</v>
      </c>
      <c r="I1437" t="s">
        <v>2874</v>
      </c>
      <c r="J1437" t="s">
        <v>111</v>
      </c>
      <c r="K1437" t="str">
        <f>"85302"</f>
        <v>85302</v>
      </c>
      <c r="L1437" t="s">
        <v>1658</v>
      </c>
      <c r="M1437" t="s">
        <v>9776</v>
      </c>
      <c r="N1437" t="s">
        <v>2874</v>
      </c>
      <c r="O1437" t="s">
        <v>111</v>
      </c>
      <c r="P1437" t="str">
        <f>"85302-3126"</f>
        <v>85302-3126</v>
      </c>
      <c r="Q1437" t="s">
        <v>113</v>
      </c>
      <c r="R1437" t="str">
        <f>"148-22-350"</f>
        <v>148-22-350</v>
      </c>
      <c r="S1437" t="s">
        <v>9777</v>
      </c>
      <c r="T1437" t="s">
        <v>9778</v>
      </c>
      <c r="U1437">
        <v>2145</v>
      </c>
      <c r="V1437">
        <v>0</v>
      </c>
      <c r="W1437">
        <v>2</v>
      </c>
      <c r="X1437">
        <v>1979</v>
      </c>
      <c r="Z1437">
        <v>1</v>
      </c>
      <c r="AB1437">
        <v>0</v>
      </c>
      <c r="AC1437" t="s">
        <v>115</v>
      </c>
      <c r="AD1437">
        <v>2</v>
      </c>
      <c r="AE1437" t="s">
        <v>115</v>
      </c>
      <c r="AF1437">
        <v>0</v>
      </c>
      <c r="AG1437">
        <v>0</v>
      </c>
      <c r="AH1437" t="s">
        <v>116</v>
      </c>
      <c r="AI1437" s="1">
        <v>34688</v>
      </c>
      <c r="AJ1437" s="2">
        <v>0.13</v>
      </c>
      <c r="AK1437" s="1">
        <v>264688</v>
      </c>
      <c r="AL1437" t="s">
        <v>117</v>
      </c>
      <c r="AM1437" t="s">
        <v>191</v>
      </c>
      <c r="AN1437">
        <v>8860</v>
      </c>
      <c r="AO1437">
        <v>0.2</v>
      </c>
      <c r="AP1437">
        <v>1</v>
      </c>
      <c r="AR1437">
        <v>1</v>
      </c>
      <c r="AS1437" s="1">
        <v>18110</v>
      </c>
      <c r="AT1437" s="1">
        <v>3620</v>
      </c>
      <c r="AU1437" s="1">
        <v>14490</v>
      </c>
      <c r="AV1437">
        <v>80.010000000000005</v>
      </c>
      <c r="AX1437" s="1">
        <v>1360.62</v>
      </c>
      <c r="AY1437" t="s">
        <v>8680</v>
      </c>
      <c r="AZ1437" t="s">
        <v>8680</v>
      </c>
      <c r="BA1437" t="s">
        <v>8681</v>
      </c>
      <c r="BB1437" s="3">
        <v>43111</v>
      </c>
      <c r="BC1437" s="1">
        <v>0</v>
      </c>
      <c r="BD1437" t="s">
        <v>247</v>
      </c>
      <c r="BE1437" s="3">
        <v>41663</v>
      </c>
      <c r="BF1437" s="1">
        <v>179000</v>
      </c>
      <c r="BG1437" t="s">
        <v>9779</v>
      </c>
      <c r="BH1437" s="1">
        <v>83.41</v>
      </c>
      <c r="BI1437" s="1">
        <v>230000</v>
      </c>
      <c r="BJ1437" s="3">
        <v>43111</v>
      </c>
      <c r="BK1437" t="s">
        <v>123</v>
      </c>
      <c r="BL1437" t="str">
        <f>"2018.25010"</f>
        <v>2018.25010</v>
      </c>
      <c r="BM1437" t="s">
        <v>361</v>
      </c>
      <c r="BN1437" t="s">
        <v>884</v>
      </c>
      <c r="BO1437" t="s">
        <v>9780</v>
      </c>
      <c r="BP1437" t="s">
        <v>9781</v>
      </c>
      <c r="BR1437" t="s">
        <v>139</v>
      </c>
      <c r="BW1437" t="str">
        <f>""</f>
        <v/>
      </c>
      <c r="CH1437" t="str">
        <f>""</f>
        <v/>
      </c>
      <c r="CS1437" t="str">
        <f>""</f>
        <v/>
      </c>
    </row>
    <row r="1438" spans="1:97" x14ac:dyDescent="0.25">
      <c r="A1438" t="s">
        <v>1109</v>
      </c>
      <c r="B1438" t="s">
        <v>8064</v>
      </c>
      <c r="E1438" t="s">
        <v>9782</v>
      </c>
      <c r="F1438" t="s">
        <v>108</v>
      </c>
      <c r="H1438" t="s">
        <v>9783</v>
      </c>
      <c r="I1438" t="s">
        <v>225</v>
      </c>
      <c r="J1438" t="s">
        <v>111</v>
      </c>
      <c r="K1438" t="str">
        <f>"85207"</f>
        <v>85207</v>
      </c>
      <c r="L1438" t="s">
        <v>3758</v>
      </c>
      <c r="M1438" t="s">
        <v>9783</v>
      </c>
      <c r="N1438" t="s">
        <v>225</v>
      </c>
      <c r="O1438" t="s">
        <v>111</v>
      </c>
      <c r="P1438" t="str">
        <f>"85207-3625"</f>
        <v>85207-3625</v>
      </c>
      <c r="Q1438" t="s">
        <v>113</v>
      </c>
      <c r="R1438" t="str">
        <f>"220-03-009-B"</f>
        <v>220-03-009-B</v>
      </c>
      <c r="U1438">
        <v>672</v>
      </c>
      <c r="V1438">
        <v>0</v>
      </c>
      <c r="W1438">
        <v>1</v>
      </c>
      <c r="X1438">
        <v>1957</v>
      </c>
      <c r="Z1438">
        <v>1</v>
      </c>
      <c r="AB1438">
        <v>0</v>
      </c>
      <c r="AC1438" t="s">
        <v>5188</v>
      </c>
      <c r="AD1438">
        <v>1</v>
      </c>
      <c r="AE1438" t="s">
        <v>5188</v>
      </c>
      <c r="AF1438">
        <v>0</v>
      </c>
      <c r="AG1438">
        <v>0</v>
      </c>
      <c r="AH1438" t="s">
        <v>7038</v>
      </c>
      <c r="AI1438" s="1">
        <v>11769</v>
      </c>
      <c r="AJ1438" s="2">
        <v>0.05</v>
      </c>
      <c r="AK1438" s="1">
        <v>242128</v>
      </c>
      <c r="AL1438" t="s">
        <v>117</v>
      </c>
      <c r="AM1438" t="s">
        <v>3973</v>
      </c>
      <c r="AN1438">
        <v>50530</v>
      </c>
      <c r="AO1438">
        <v>1.1599999999999999</v>
      </c>
      <c r="AP1438">
        <v>1</v>
      </c>
      <c r="AR1438">
        <v>1</v>
      </c>
      <c r="AS1438" s="1">
        <v>13700</v>
      </c>
      <c r="AT1438" s="1">
        <v>2740</v>
      </c>
      <c r="AU1438" s="1">
        <v>10960</v>
      </c>
      <c r="AV1438">
        <v>80</v>
      </c>
      <c r="AX1438" s="1">
        <v>624.04</v>
      </c>
      <c r="AY1438" t="s">
        <v>3118</v>
      </c>
      <c r="AZ1438" t="s">
        <v>3761</v>
      </c>
      <c r="BA1438" t="s">
        <v>232</v>
      </c>
      <c r="BE1438" s="3">
        <v>42515</v>
      </c>
      <c r="BF1438" s="1">
        <v>223000</v>
      </c>
      <c r="BG1438" t="s">
        <v>9784</v>
      </c>
      <c r="BH1438" s="1">
        <v>331.85</v>
      </c>
      <c r="BI1438" s="1">
        <v>230359</v>
      </c>
      <c r="BJ1438" s="3">
        <v>42515</v>
      </c>
      <c r="BK1438" t="s">
        <v>123</v>
      </c>
      <c r="BL1438" t="str">
        <f>"2016.358718"</f>
        <v>2016.358718</v>
      </c>
      <c r="BM1438" t="s">
        <v>9785</v>
      </c>
      <c r="BO1438" t="s">
        <v>9786</v>
      </c>
      <c r="BS1438">
        <v>30</v>
      </c>
      <c r="BW1438" t="str">
        <f>""</f>
        <v/>
      </c>
      <c r="CH1438" t="str">
        <f>""</f>
        <v/>
      </c>
      <c r="CS1438" t="str">
        <f>""</f>
        <v/>
      </c>
    </row>
    <row r="1439" spans="1:97" x14ac:dyDescent="0.25">
      <c r="A1439" t="s">
        <v>370</v>
      </c>
      <c r="B1439" t="s">
        <v>9787</v>
      </c>
      <c r="C1439" t="s">
        <v>220</v>
      </c>
      <c r="D1439" t="s">
        <v>9787</v>
      </c>
      <c r="E1439" t="s">
        <v>9788</v>
      </c>
      <c r="F1439" t="s">
        <v>108</v>
      </c>
      <c r="H1439" t="s">
        <v>9789</v>
      </c>
      <c r="I1439" t="s">
        <v>203</v>
      </c>
      <c r="J1439" t="s">
        <v>111</v>
      </c>
      <c r="K1439" t="str">
        <f>"85234"</f>
        <v>85234</v>
      </c>
      <c r="L1439" t="s">
        <v>6333</v>
      </c>
      <c r="M1439" t="s">
        <v>9789</v>
      </c>
      <c r="N1439" t="s">
        <v>203</v>
      </c>
      <c r="O1439" t="s">
        <v>111</v>
      </c>
      <c r="P1439" t="str">
        <f>"85234-3442"</f>
        <v>85234-3442</v>
      </c>
      <c r="Q1439" t="s">
        <v>113</v>
      </c>
      <c r="R1439" t="str">
        <f>"304-95-096"</f>
        <v>304-95-096</v>
      </c>
      <c r="S1439" t="s">
        <v>9790</v>
      </c>
      <c r="T1439" t="s">
        <v>9791</v>
      </c>
      <c r="U1439">
        <v>2391</v>
      </c>
      <c r="V1439">
        <v>0</v>
      </c>
      <c r="W1439">
        <v>3</v>
      </c>
      <c r="X1439">
        <v>1986</v>
      </c>
      <c r="Z1439">
        <v>2</v>
      </c>
      <c r="AB1439">
        <v>0</v>
      </c>
      <c r="AC1439" t="s">
        <v>115</v>
      </c>
      <c r="AD1439">
        <v>2</v>
      </c>
      <c r="AE1439" t="s">
        <v>115</v>
      </c>
      <c r="AF1439">
        <v>0</v>
      </c>
      <c r="AG1439">
        <v>0</v>
      </c>
      <c r="AH1439" t="s">
        <v>116</v>
      </c>
      <c r="AI1439" s="1">
        <v>111380</v>
      </c>
      <c r="AJ1439" s="2">
        <v>0.31</v>
      </c>
      <c r="AK1439" s="1">
        <v>358603</v>
      </c>
      <c r="AL1439" t="s">
        <v>117</v>
      </c>
      <c r="AM1439" t="s">
        <v>393</v>
      </c>
      <c r="AN1439">
        <v>7087</v>
      </c>
      <c r="AO1439">
        <v>0.16</v>
      </c>
      <c r="AP1439">
        <v>1</v>
      </c>
      <c r="AR1439">
        <v>1</v>
      </c>
      <c r="AS1439" s="1">
        <v>24580</v>
      </c>
      <c r="AT1439" s="1">
        <v>4910</v>
      </c>
      <c r="AU1439" s="1">
        <v>19670</v>
      </c>
      <c r="AV1439">
        <v>80.02</v>
      </c>
      <c r="AX1439" s="1">
        <v>1610.88</v>
      </c>
      <c r="AY1439" t="s">
        <v>7062</v>
      </c>
      <c r="AZ1439" t="s">
        <v>5478</v>
      </c>
      <c r="BA1439" t="s">
        <v>5033</v>
      </c>
      <c r="BB1439" s="3">
        <v>42580</v>
      </c>
      <c r="BD1439" t="s">
        <v>240</v>
      </c>
      <c r="BE1439" s="3">
        <v>41990</v>
      </c>
      <c r="BF1439" s="1">
        <v>260000</v>
      </c>
      <c r="BG1439" t="s">
        <v>9792</v>
      </c>
      <c r="BH1439" s="1">
        <v>108.74</v>
      </c>
      <c r="BI1439" s="1">
        <v>247223</v>
      </c>
      <c r="BJ1439" s="3">
        <v>42580</v>
      </c>
      <c r="BK1439" t="s">
        <v>123</v>
      </c>
      <c r="BL1439" t="str">
        <f>"2016.538857"</f>
        <v>2016.538857</v>
      </c>
      <c r="BM1439" t="s">
        <v>9793</v>
      </c>
      <c r="BO1439" t="s">
        <v>9794</v>
      </c>
      <c r="BS1439">
        <v>30</v>
      </c>
      <c r="BW1439" t="str">
        <f>""</f>
        <v/>
      </c>
      <c r="CH1439" t="str">
        <f>""</f>
        <v/>
      </c>
      <c r="CS1439" t="str">
        <f>""</f>
        <v/>
      </c>
    </row>
    <row r="1440" spans="1:97" x14ac:dyDescent="0.25">
      <c r="A1440" t="s">
        <v>211</v>
      </c>
      <c r="B1440" t="s">
        <v>9795</v>
      </c>
      <c r="C1440" t="s">
        <v>152</v>
      </c>
      <c r="D1440" t="s">
        <v>9795</v>
      </c>
      <c r="E1440" t="s">
        <v>9796</v>
      </c>
      <c r="F1440" t="s">
        <v>108</v>
      </c>
      <c r="H1440" t="s">
        <v>9797</v>
      </c>
      <c r="I1440" t="s">
        <v>453</v>
      </c>
      <c r="J1440" t="s">
        <v>111</v>
      </c>
      <c r="K1440" t="str">
        <f>"85383"</f>
        <v>85383</v>
      </c>
      <c r="L1440" t="s">
        <v>5456</v>
      </c>
      <c r="M1440" t="s">
        <v>9797</v>
      </c>
      <c r="N1440" t="s">
        <v>453</v>
      </c>
      <c r="O1440" t="s">
        <v>111</v>
      </c>
      <c r="P1440" t="str">
        <f>"85383-7044"</f>
        <v>85383-7044</v>
      </c>
      <c r="Q1440" t="s">
        <v>113</v>
      </c>
      <c r="R1440" t="str">
        <f>"201-09-949"</f>
        <v>201-09-949</v>
      </c>
      <c r="S1440" t="s">
        <v>9798</v>
      </c>
      <c r="T1440" t="s">
        <v>2222</v>
      </c>
      <c r="U1440">
        <v>2287</v>
      </c>
      <c r="V1440">
        <v>0</v>
      </c>
      <c r="W1440">
        <v>4</v>
      </c>
      <c r="X1440">
        <v>2001</v>
      </c>
      <c r="Z1440">
        <v>2</v>
      </c>
      <c r="AB1440">
        <v>0</v>
      </c>
      <c r="AC1440" t="s">
        <v>115</v>
      </c>
      <c r="AD1440">
        <v>2</v>
      </c>
      <c r="AE1440" t="s">
        <v>115</v>
      </c>
      <c r="AF1440">
        <v>0</v>
      </c>
      <c r="AG1440">
        <v>0</v>
      </c>
      <c r="AH1440" t="s">
        <v>116</v>
      </c>
      <c r="AI1440" s="1">
        <v>-350895</v>
      </c>
      <c r="AJ1440" s="2">
        <v>-1.0900000000000001</v>
      </c>
      <c r="AK1440" s="1">
        <v>321114</v>
      </c>
      <c r="AL1440" t="s">
        <v>117</v>
      </c>
      <c r="AM1440" t="s">
        <v>191</v>
      </c>
      <c r="AN1440">
        <v>6150</v>
      </c>
      <c r="AO1440">
        <v>0.14000000000000001</v>
      </c>
      <c r="AP1440">
        <v>1</v>
      </c>
      <c r="AR1440">
        <v>1</v>
      </c>
      <c r="AS1440" s="1">
        <v>22980</v>
      </c>
      <c r="AT1440" s="1">
        <v>4590</v>
      </c>
      <c r="AU1440" s="1">
        <v>18390</v>
      </c>
      <c r="AV1440">
        <v>80.03</v>
      </c>
      <c r="AX1440" s="1">
        <v>1898.88</v>
      </c>
      <c r="AY1440" t="s">
        <v>1385</v>
      </c>
      <c r="AZ1440" t="s">
        <v>1385</v>
      </c>
      <c r="BA1440" t="s">
        <v>2223</v>
      </c>
      <c r="BE1440" s="3">
        <v>41865</v>
      </c>
      <c r="BF1440" s="1">
        <v>237000</v>
      </c>
      <c r="BG1440" t="s">
        <v>9799</v>
      </c>
      <c r="BH1440" s="1">
        <v>103.63</v>
      </c>
      <c r="BI1440" s="1">
        <v>282009</v>
      </c>
      <c r="BJ1440" s="3">
        <v>42291</v>
      </c>
      <c r="BK1440" t="s">
        <v>123</v>
      </c>
      <c r="BL1440" t="str">
        <f>"2015.737125"</f>
        <v>2015.737125</v>
      </c>
      <c r="BM1440" t="s">
        <v>5534</v>
      </c>
      <c r="BO1440" t="s">
        <v>9800</v>
      </c>
      <c r="BS1440">
        <v>30</v>
      </c>
      <c r="BT1440" s="1">
        <v>390000</v>
      </c>
      <c r="BU1440" s="3">
        <v>42838</v>
      </c>
      <c r="BV1440" t="s">
        <v>9801</v>
      </c>
      <c r="BW1440" t="str">
        <f>"2017.263857"</f>
        <v>2017.263857</v>
      </c>
      <c r="BX1440" t="s">
        <v>9802</v>
      </c>
      <c r="BZ1440" t="s">
        <v>9800</v>
      </c>
      <c r="CH1440" t="str">
        <f>""</f>
        <v/>
      </c>
      <c r="CS1440" t="str">
        <f>""</f>
        <v/>
      </c>
    </row>
    <row r="1441" spans="1:97" x14ac:dyDescent="0.25">
      <c r="A1441" t="s">
        <v>1664</v>
      </c>
      <c r="B1441" t="s">
        <v>6227</v>
      </c>
      <c r="C1441" t="s">
        <v>9803</v>
      </c>
      <c r="D1441" t="s">
        <v>6227</v>
      </c>
      <c r="E1441" t="s">
        <v>9804</v>
      </c>
      <c r="F1441" t="s">
        <v>108</v>
      </c>
      <c r="H1441" t="s">
        <v>9805</v>
      </c>
      <c r="I1441" t="s">
        <v>390</v>
      </c>
      <c r="J1441" t="s">
        <v>111</v>
      </c>
      <c r="K1441" t="str">
        <f>"85041"</f>
        <v>85041</v>
      </c>
      <c r="L1441" t="s">
        <v>6891</v>
      </c>
      <c r="M1441" t="s">
        <v>9805</v>
      </c>
      <c r="N1441" t="s">
        <v>390</v>
      </c>
      <c r="O1441" t="s">
        <v>111</v>
      </c>
      <c r="P1441" t="str">
        <f>"85041-7410"</f>
        <v>85041-7410</v>
      </c>
      <c r="Q1441" t="s">
        <v>113</v>
      </c>
      <c r="R1441" t="str">
        <f>"105-68-509"</f>
        <v>105-68-509</v>
      </c>
      <c r="S1441" t="s">
        <v>9806</v>
      </c>
      <c r="T1441" t="s">
        <v>9806</v>
      </c>
      <c r="U1441">
        <v>2072</v>
      </c>
      <c r="V1441">
        <v>0</v>
      </c>
      <c r="W1441">
        <v>3</v>
      </c>
      <c r="X1441">
        <v>2016</v>
      </c>
      <c r="Z1441">
        <v>1</v>
      </c>
      <c r="AB1441">
        <v>0</v>
      </c>
      <c r="AC1441" t="s">
        <v>115</v>
      </c>
      <c r="AD1441">
        <v>2</v>
      </c>
      <c r="AE1441" t="s">
        <v>115</v>
      </c>
      <c r="AF1441">
        <v>0</v>
      </c>
      <c r="AG1441">
        <v>0</v>
      </c>
      <c r="AH1441" t="s">
        <v>116</v>
      </c>
      <c r="AI1441" s="1">
        <v>54581</v>
      </c>
      <c r="AJ1441" s="2">
        <v>0.2</v>
      </c>
      <c r="AK1441" s="1">
        <v>273252</v>
      </c>
      <c r="AL1441" t="s">
        <v>117</v>
      </c>
      <c r="AM1441" t="s">
        <v>171</v>
      </c>
      <c r="AN1441">
        <v>5904</v>
      </c>
      <c r="AO1441">
        <v>0.14000000000000001</v>
      </c>
      <c r="AR1441">
        <v>1</v>
      </c>
      <c r="AS1441" s="1">
        <v>19150</v>
      </c>
      <c r="AT1441" s="1">
        <v>3830</v>
      </c>
      <c r="AU1441" s="1">
        <v>15320</v>
      </c>
      <c r="AV1441">
        <v>80</v>
      </c>
      <c r="AX1441" s="1">
        <v>2331.86</v>
      </c>
      <c r="AY1441" t="s">
        <v>5220</v>
      </c>
      <c r="AZ1441" t="s">
        <v>5220</v>
      </c>
      <c r="BA1441" t="s">
        <v>1661</v>
      </c>
      <c r="BE1441" s="3">
        <v>42496</v>
      </c>
      <c r="BF1441" s="1">
        <v>214069</v>
      </c>
      <c r="BG1441" t="s">
        <v>9807</v>
      </c>
      <c r="BH1441" s="1">
        <v>103.32</v>
      </c>
      <c r="BI1441" s="1">
        <v>218671</v>
      </c>
      <c r="BJ1441" s="3">
        <v>42496</v>
      </c>
      <c r="BK1441" t="s">
        <v>123</v>
      </c>
      <c r="BL1441" t="str">
        <f>"2016.311090"</f>
        <v>2016.311090</v>
      </c>
      <c r="BM1441" t="s">
        <v>1185</v>
      </c>
      <c r="BO1441" t="s">
        <v>9808</v>
      </c>
      <c r="BS1441">
        <v>30</v>
      </c>
      <c r="BW1441" t="str">
        <f>""</f>
        <v/>
      </c>
      <c r="CH1441" t="str">
        <f>""</f>
        <v/>
      </c>
      <c r="CS1441" t="str">
        <f>""</f>
        <v/>
      </c>
    </row>
    <row r="1442" spans="1:97" x14ac:dyDescent="0.25">
      <c r="A1442" t="s">
        <v>370</v>
      </c>
      <c r="B1442" t="s">
        <v>9809</v>
      </c>
      <c r="C1442" t="s">
        <v>976</v>
      </c>
      <c r="D1442" t="s">
        <v>9809</v>
      </c>
      <c r="E1442" t="s">
        <v>9810</v>
      </c>
      <c r="F1442" t="s">
        <v>108</v>
      </c>
      <c r="H1442" t="s">
        <v>9811</v>
      </c>
      <c r="I1442" t="s">
        <v>2874</v>
      </c>
      <c r="J1442" t="s">
        <v>111</v>
      </c>
      <c r="K1442" t="str">
        <f>"85302"</f>
        <v>85302</v>
      </c>
      <c r="L1442" t="s">
        <v>5209</v>
      </c>
      <c r="M1442" t="s">
        <v>9811</v>
      </c>
      <c r="N1442" t="s">
        <v>2874</v>
      </c>
      <c r="O1442" t="s">
        <v>111</v>
      </c>
      <c r="P1442" t="str">
        <f>"85302-2302"</f>
        <v>85302-2302</v>
      </c>
      <c r="Q1442" t="s">
        <v>113</v>
      </c>
      <c r="R1442" t="str">
        <f>"148-21-498"</f>
        <v>148-21-498</v>
      </c>
      <c r="S1442" t="s">
        <v>9812</v>
      </c>
      <c r="U1442">
        <v>1525</v>
      </c>
      <c r="V1442">
        <v>0</v>
      </c>
      <c r="W1442">
        <v>2</v>
      </c>
      <c r="X1442">
        <v>1977</v>
      </c>
      <c r="Z1442">
        <v>1</v>
      </c>
      <c r="AA1442" t="s">
        <v>26</v>
      </c>
      <c r="AB1442">
        <v>0</v>
      </c>
      <c r="AC1442" t="s">
        <v>115</v>
      </c>
      <c r="AD1442">
        <v>3</v>
      </c>
      <c r="AE1442" t="s">
        <v>115</v>
      </c>
      <c r="AF1442">
        <v>0</v>
      </c>
      <c r="AG1442">
        <v>0</v>
      </c>
      <c r="AH1442" t="s">
        <v>116</v>
      </c>
      <c r="AI1442" s="1">
        <v>36294</v>
      </c>
      <c r="AJ1442" s="2">
        <v>0.15</v>
      </c>
      <c r="AK1442" s="1">
        <v>245701</v>
      </c>
      <c r="AL1442" t="s">
        <v>117</v>
      </c>
      <c r="AM1442" t="s">
        <v>191</v>
      </c>
      <c r="AN1442">
        <v>6835</v>
      </c>
      <c r="AO1442">
        <v>0.16</v>
      </c>
      <c r="AP1442">
        <v>1</v>
      </c>
      <c r="AR1442">
        <v>1</v>
      </c>
      <c r="AS1442" s="1">
        <v>16710</v>
      </c>
      <c r="AT1442" s="1">
        <v>3340</v>
      </c>
      <c r="AU1442" s="1">
        <v>13370</v>
      </c>
      <c r="AV1442">
        <v>80.010000000000005</v>
      </c>
      <c r="AX1442" s="1">
        <v>1059.54</v>
      </c>
      <c r="AY1442" t="s">
        <v>8680</v>
      </c>
      <c r="AZ1442" t="s">
        <v>8680</v>
      </c>
      <c r="BA1442" t="s">
        <v>8681</v>
      </c>
      <c r="BE1442" s="3">
        <v>41880</v>
      </c>
      <c r="BF1442" s="1">
        <v>205000</v>
      </c>
      <c r="BG1442" t="s">
        <v>9813</v>
      </c>
      <c r="BH1442" s="1">
        <v>115.36</v>
      </c>
      <c r="BI1442" s="1">
        <v>209407</v>
      </c>
      <c r="BJ1442" s="3">
        <v>41880</v>
      </c>
      <c r="BK1442" t="s">
        <v>123</v>
      </c>
      <c r="BL1442" t="str">
        <f>"2014.577107"</f>
        <v>2014.577107</v>
      </c>
      <c r="BM1442" t="s">
        <v>475</v>
      </c>
      <c r="BO1442" t="s">
        <v>9814</v>
      </c>
      <c r="BS1442">
        <v>30</v>
      </c>
      <c r="BW1442" t="str">
        <f>""</f>
        <v/>
      </c>
      <c r="CH1442" t="str">
        <f>""</f>
        <v/>
      </c>
      <c r="CS1442" t="str">
        <f>""</f>
        <v/>
      </c>
    </row>
    <row r="1443" spans="1:97" x14ac:dyDescent="0.25">
      <c r="A1443" t="s">
        <v>1067</v>
      </c>
      <c r="B1443" t="s">
        <v>529</v>
      </c>
      <c r="E1443" t="s">
        <v>9815</v>
      </c>
      <c r="F1443" t="s">
        <v>108</v>
      </c>
      <c r="H1443" t="s">
        <v>9816</v>
      </c>
      <c r="I1443" t="s">
        <v>203</v>
      </c>
      <c r="J1443" t="s">
        <v>111</v>
      </c>
      <c r="K1443" t="str">
        <f>"85233"</f>
        <v>85233</v>
      </c>
      <c r="L1443" t="s">
        <v>6325</v>
      </c>
      <c r="M1443" t="s">
        <v>9816</v>
      </c>
      <c r="N1443" t="s">
        <v>203</v>
      </c>
      <c r="O1443" t="s">
        <v>111</v>
      </c>
      <c r="P1443" t="str">
        <f>"85233-3269"</f>
        <v>85233-3269</v>
      </c>
      <c r="Q1443" t="s">
        <v>113</v>
      </c>
      <c r="R1443" t="str">
        <f>"310-05-687"</f>
        <v>310-05-687</v>
      </c>
      <c r="S1443" t="s">
        <v>9438</v>
      </c>
      <c r="T1443" t="s">
        <v>9439</v>
      </c>
      <c r="U1443">
        <v>2239</v>
      </c>
      <c r="V1443">
        <v>0</v>
      </c>
      <c r="W1443">
        <v>4</v>
      </c>
      <c r="X1443">
        <v>1996</v>
      </c>
      <c r="Z1443">
        <v>2</v>
      </c>
      <c r="AB1443">
        <v>0</v>
      </c>
      <c r="AC1443" t="s">
        <v>115</v>
      </c>
      <c r="AD1443">
        <v>2</v>
      </c>
      <c r="AE1443" t="s">
        <v>115</v>
      </c>
      <c r="AF1443">
        <v>0</v>
      </c>
      <c r="AG1443">
        <v>0</v>
      </c>
      <c r="AH1443" t="s">
        <v>116</v>
      </c>
      <c r="AI1443" s="1">
        <v>84795</v>
      </c>
      <c r="AJ1443" s="2">
        <v>0.25</v>
      </c>
      <c r="AK1443" s="1">
        <v>342295</v>
      </c>
      <c r="AL1443" t="s">
        <v>117</v>
      </c>
      <c r="AM1443" t="s">
        <v>288</v>
      </c>
      <c r="AN1443">
        <v>5802</v>
      </c>
      <c r="AO1443">
        <v>0.13</v>
      </c>
      <c r="AP1443">
        <v>1</v>
      </c>
      <c r="AR1443">
        <v>1</v>
      </c>
      <c r="AS1443" s="1">
        <v>23910</v>
      </c>
      <c r="AT1443" s="1">
        <v>4780</v>
      </c>
      <c r="AU1443" s="1">
        <v>19130</v>
      </c>
      <c r="AV1443">
        <v>80.010000000000005</v>
      </c>
      <c r="AX1443" s="1">
        <v>1696.88</v>
      </c>
      <c r="AY1443" t="s">
        <v>8604</v>
      </c>
      <c r="AZ1443" t="s">
        <v>5478</v>
      </c>
      <c r="BA1443" t="s">
        <v>5479</v>
      </c>
      <c r="BE1443" s="3">
        <v>42303</v>
      </c>
      <c r="BF1443" s="1">
        <v>257500</v>
      </c>
      <c r="BG1443" t="s">
        <v>9817</v>
      </c>
      <c r="BH1443" s="1">
        <v>115.01</v>
      </c>
      <c r="BI1443" s="1">
        <v>257500</v>
      </c>
      <c r="BJ1443" s="3">
        <v>42303</v>
      </c>
      <c r="BK1443" t="s">
        <v>123</v>
      </c>
      <c r="BL1443" t="str">
        <f>"2015.768232"</f>
        <v>2015.768232</v>
      </c>
      <c r="BM1443" t="s">
        <v>7942</v>
      </c>
      <c r="BO1443" t="s">
        <v>9818</v>
      </c>
      <c r="BS1443">
        <v>30</v>
      </c>
      <c r="BW1443" t="str">
        <f>""</f>
        <v/>
      </c>
      <c r="CH1443" t="str">
        <f>""</f>
        <v/>
      </c>
      <c r="CS1443" t="str">
        <f>""</f>
        <v/>
      </c>
    </row>
    <row r="1444" spans="1:97" x14ac:dyDescent="0.25">
      <c r="A1444" t="s">
        <v>6510</v>
      </c>
      <c r="B1444" t="s">
        <v>9819</v>
      </c>
      <c r="C1444" t="s">
        <v>305</v>
      </c>
      <c r="D1444" t="s">
        <v>9819</v>
      </c>
      <c r="E1444" t="s">
        <v>9820</v>
      </c>
      <c r="F1444" t="s">
        <v>108</v>
      </c>
      <c r="H1444" t="s">
        <v>9821</v>
      </c>
      <c r="I1444" t="s">
        <v>110</v>
      </c>
      <c r="J1444" t="s">
        <v>111</v>
      </c>
      <c r="K1444" t="str">
        <f>"85224"</f>
        <v>85224</v>
      </c>
      <c r="L1444" t="s">
        <v>5209</v>
      </c>
      <c r="M1444" t="s">
        <v>9821</v>
      </c>
      <c r="N1444" t="s">
        <v>110</v>
      </c>
      <c r="O1444" t="s">
        <v>111</v>
      </c>
      <c r="P1444" t="str">
        <f>"85224-8641"</f>
        <v>85224-8641</v>
      </c>
      <c r="Q1444" t="s">
        <v>113</v>
      </c>
      <c r="R1444" t="str">
        <f>"302-81-372"</f>
        <v>302-81-372</v>
      </c>
      <c r="S1444" t="s">
        <v>8455</v>
      </c>
      <c r="T1444" t="s">
        <v>8456</v>
      </c>
      <c r="U1444">
        <v>1451</v>
      </c>
      <c r="V1444">
        <v>0</v>
      </c>
      <c r="W1444">
        <v>2</v>
      </c>
      <c r="X1444">
        <v>1983</v>
      </c>
      <c r="Z1444">
        <v>1</v>
      </c>
      <c r="AB1444">
        <v>0</v>
      </c>
      <c r="AC1444" t="s">
        <v>115</v>
      </c>
      <c r="AD1444">
        <v>2</v>
      </c>
      <c r="AE1444" t="s">
        <v>115</v>
      </c>
      <c r="AF1444">
        <v>0</v>
      </c>
      <c r="AG1444">
        <v>0</v>
      </c>
      <c r="AH1444" t="s">
        <v>116</v>
      </c>
      <c r="AI1444" s="1">
        <v>45540</v>
      </c>
      <c r="AJ1444" s="2">
        <v>0.16</v>
      </c>
      <c r="AK1444" s="1">
        <v>278540</v>
      </c>
      <c r="AL1444" t="s">
        <v>117</v>
      </c>
      <c r="AM1444" t="s">
        <v>5077</v>
      </c>
      <c r="AN1444">
        <v>7000</v>
      </c>
      <c r="AO1444">
        <v>0.16</v>
      </c>
      <c r="AP1444">
        <v>1</v>
      </c>
      <c r="AR1444">
        <v>1</v>
      </c>
      <c r="AS1444" s="1">
        <v>18430</v>
      </c>
      <c r="AT1444" s="1">
        <v>3680</v>
      </c>
      <c r="AU1444" s="1">
        <v>14750</v>
      </c>
      <c r="AV1444">
        <v>80.03</v>
      </c>
      <c r="AX1444" s="1">
        <v>1186.92</v>
      </c>
      <c r="AY1444" t="s">
        <v>5722</v>
      </c>
      <c r="AZ1444" t="s">
        <v>5078</v>
      </c>
      <c r="BA1444" t="s">
        <v>2957</v>
      </c>
      <c r="BE1444" s="3">
        <v>42328</v>
      </c>
      <c r="BF1444" s="1">
        <v>190000</v>
      </c>
      <c r="BG1444" t="s">
        <v>9822</v>
      </c>
      <c r="BH1444" s="1">
        <v>130.94</v>
      </c>
      <c r="BI1444" s="1">
        <v>213000</v>
      </c>
      <c r="BJ1444" s="3">
        <v>42597</v>
      </c>
      <c r="BK1444" t="s">
        <v>123</v>
      </c>
      <c r="BL1444" t="str">
        <f>"2016.580591"</f>
        <v>2016.580591</v>
      </c>
      <c r="BM1444" t="s">
        <v>544</v>
      </c>
      <c r="BN1444" t="s">
        <v>545</v>
      </c>
      <c r="BO1444" t="s">
        <v>9823</v>
      </c>
      <c r="BS1444">
        <v>30</v>
      </c>
      <c r="BT1444" s="1">
        <v>20000</v>
      </c>
      <c r="BU1444" s="3">
        <v>43502</v>
      </c>
      <c r="BV1444" t="s">
        <v>134</v>
      </c>
      <c r="BW1444" t="str">
        <f>"2019.82502"</f>
        <v>2019.82502</v>
      </c>
      <c r="BX1444" t="s">
        <v>5002</v>
      </c>
      <c r="BY1444" t="s">
        <v>5003</v>
      </c>
      <c r="BZ1444" t="s">
        <v>9824</v>
      </c>
      <c r="CA1444" t="s">
        <v>9825</v>
      </c>
      <c r="CC1444" t="s">
        <v>139</v>
      </c>
      <c r="CH1444" t="str">
        <f>""</f>
        <v/>
      </c>
      <c r="CS1444" t="str">
        <f>""</f>
        <v/>
      </c>
    </row>
    <row r="1445" spans="1:97" x14ac:dyDescent="0.25">
      <c r="A1445" t="s">
        <v>3613</v>
      </c>
      <c r="B1445" t="s">
        <v>9826</v>
      </c>
      <c r="E1445" t="s">
        <v>9827</v>
      </c>
      <c r="F1445" t="s">
        <v>108</v>
      </c>
      <c r="H1445" t="s">
        <v>9828</v>
      </c>
      <c r="I1445" t="s">
        <v>2874</v>
      </c>
      <c r="J1445" t="s">
        <v>111</v>
      </c>
      <c r="K1445" t="str">
        <f>"85308"</f>
        <v>85308</v>
      </c>
      <c r="L1445" t="s">
        <v>3151</v>
      </c>
      <c r="M1445" t="s">
        <v>9828</v>
      </c>
      <c r="N1445" t="s">
        <v>2874</v>
      </c>
      <c r="O1445" t="s">
        <v>111</v>
      </c>
      <c r="P1445" t="str">
        <f>"85308-7416"</f>
        <v>85308-7416</v>
      </c>
      <c r="Q1445" t="s">
        <v>113</v>
      </c>
      <c r="R1445" t="str">
        <f>"206-15-099"</f>
        <v>206-15-099</v>
      </c>
      <c r="S1445" t="s">
        <v>9829</v>
      </c>
      <c r="T1445" t="s">
        <v>9830</v>
      </c>
      <c r="U1445">
        <v>1569</v>
      </c>
      <c r="V1445">
        <v>0</v>
      </c>
      <c r="W1445">
        <v>3</v>
      </c>
      <c r="X1445">
        <v>2000</v>
      </c>
      <c r="Z1445">
        <v>1</v>
      </c>
      <c r="AA1445" t="s">
        <v>26</v>
      </c>
      <c r="AB1445">
        <v>0</v>
      </c>
      <c r="AC1445" t="s">
        <v>115</v>
      </c>
      <c r="AD1445">
        <v>3</v>
      </c>
      <c r="AE1445" t="s">
        <v>115</v>
      </c>
      <c r="AF1445">
        <v>0</v>
      </c>
      <c r="AG1445">
        <v>0</v>
      </c>
      <c r="AH1445" t="s">
        <v>116</v>
      </c>
      <c r="AI1445" s="1">
        <v>56470</v>
      </c>
      <c r="AJ1445" s="2">
        <v>0.19</v>
      </c>
      <c r="AK1445" s="1">
        <v>297544</v>
      </c>
      <c r="AL1445" t="s">
        <v>117</v>
      </c>
      <c r="AM1445" t="s">
        <v>171</v>
      </c>
      <c r="AN1445">
        <v>9480</v>
      </c>
      <c r="AO1445">
        <v>0.22</v>
      </c>
      <c r="AP1445">
        <v>1</v>
      </c>
      <c r="AR1445">
        <v>1</v>
      </c>
      <c r="AS1445" s="1">
        <v>21230</v>
      </c>
      <c r="AT1445" s="1">
        <v>4240</v>
      </c>
      <c r="AU1445" s="1">
        <v>16990</v>
      </c>
      <c r="AV1445">
        <v>80.03</v>
      </c>
      <c r="AX1445" s="1">
        <v>1595.04</v>
      </c>
      <c r="AY1445" t="s">
        <v>9121</v>
      </c>
      <c r="AZ1445" t="s">
        <v>2357</v>
      </c>
      <c r="BA1445" t="s">
        <v>1462</v>
      </c>
      <c r="BE1445" s="3">
        <v>42437</v>
      </c>
      <c r="BF1445" s="1">
        <v>236000</v>
      </c>
      <c r="BG1445" t="s">
        <v>9831</v>
      </c>
      <c r="BH1445" s="1">
        <v>150.41</v>
      </c>
      <c r="BI1445" s="1">
        <v>241074</v>
      </c>
      <c r="BJ1445" s="3">
        <v>42437</v>
      </c>
      <c r="BK1445" t="s">
        <v>123</v>
      </c>
      <c r="BL1445" t="str">
        <f>"2016.149518"</f>
        <v>2016.149518</v>
      </c>
      <c r="BM1445" t="s">
        <v>255</v>
      </c>
      <c r="BO1445" t="s">
        <v>9832</v>
      </c>
      <c r="BS1445">
        <v>30</v>
      </c>
      <c r="BW1445" t="str">
        <f>""</f>
        <v/>
      </c>
      <c r="CH1445" t="str">
        <f>""</f>
        <v/>
      </c>
      <c r="CS1445" t="str">
        <f>""</f>
        <v/>
      </c>
    </row>
    <row r="1446" spans="1:97" x14ac:dyDescent="0.25">
      <c r="A1446" t="s">
        <v>8148</v>
      </c>
      <c r="B1446" t="s">
        <v>9833</v>
      </c>
      <c r="C1446" t="s">
        <v>9834</v>
      </c>
      <c r="D1446" t="s">
        <v>9833</v>
      </c>
      <c r="E1446" t="s">
        <v>9835</v>
      </c>
      <c r="F1446" t="s">
        <v>108</v>
      </c>
      <c r="H1446" t="s">
        <v>9836</v>
      </c>
      <c r="I1446" t="s">
        <v>110</v>
      </c>
      <c r="J1446" t="s">
        <v>111</v>
      </c>
      <c r="K1446" t="str">
        <f>"85225"</f>
        <v>85225</v>
      </c>
      <c r="L1446" t="s">
        <v>6333</v>
      </c>
      <c r="M1446" t="s">
        <v>9836</v>
      </c>
      <c r="N1446" t="s">
        <v>110</v>
      </c>
      <c r="O1446" t="s">
        <v>111</v>
      </c>
      <c r="P1446" t="str">
        <f>"85225-3922"</f>
        <v>85225-3922</v>
      </c>
      <c r="Q1446" t="s">
        <v>113</v>
      </c>
      <c r="R1446" t="str">
        <f>"302-68-931"</f>
        <v>302-68-931</v>
      </c>
      <c r="S1446" t="s">
        <v>9837</v>
      </c>
      <c r="T1446" t="s">
        <v>9838</v>
      </c>
      <c r="U1446">
        <v>1861</v>
      </c>
      <c r="V1446">
        <v>0</v>
      </c>
      <c r="W1446">
        <v>3</v>
      </c>
      <c r="X1446">
        <v>1996</v>
      </c>
      <c r="Z1446">
        <v>1</v>
      </c>
      <c r="AA1446" t="s">
        <v>26</v>
      </c>
      <c r="AB1446">
        <v>0</v>
      </c>
      <c r="AC1446" t="s">
        <v>115</v>
      </c>
      <c r="AD1446">
        <v>2</v>
      </c>
      <c r="AE1446" t="s">
        <v>115</v>
      </c>
      <c r="AF1446">
        <v>0</v>
      </c>
      <c r="AG1446">
        <v>0</v>
      </c>
      <c r="AH1446" t="s">
        <v>116</v>
      </c>
      <c r="AI1446" s="1">
        <v>78806</v>
      </c>
      <c r="AJ1446" s="2">
        <v>0.24</v>
      </c>
      <c r="AK1446" s="1">
        <v>326726</v>
      </c>
      <c r="AL1446" t="s">
        <v>117</v>
      </c>
      <c r="AM1446" t="s">
        <v>118</v>
      </c>
      <c r="AN1446">
        <v>5506</v>
      </c>
      <c r="AO1446">
        <v>0.13</v>
      </c>
      <c r="AP1446">
        <v>1</v>
      </c>
      <c r="AR1446">
        <v>1</v>
      </c>
      <c r="AS1446" s="1">
        <v>22210</v>
      </c>
      <c r="AT1446" s="1">
        <v>4440</v>
      </c>
      <c r="AU1446" s="1">
        <v>17770</v>
      </c>
      <c r="AV1446">
        <v>80.010000000000005</v>
      </c>
      <c r="AX1446" s="1">
        <v>1641.96</v>
      </c>
      <c r="AY1446" t="s">
        <v>9839</v>
      </c>
      <c r="AZ1446" t="s">
        <v>2906</v>
      </c>
      <c r="BA1446" t="s">
        <v>2957</v>
      </c>
      <c r="BE1446" s="3">
        <v>41985</v>
      </c>
      <c r="BF1446" s="1">
        <v>240000</v>
      </c>
      <c r="BG1446" t="s">
        <v>9840</v>
      </c>
      <c r="BH1446" s="1">
        <v>128.96</v>
      </c>
      <c r="BI1446" s="1">
        <v>247920</v>
      </c>
      <c r="BJ1446" s="3">
        <v>41985</v>
      </c>
      <c r="BK1446" t="s">
        <v>123</v>
      </c>
      <c r="BL1446" t="str">
        <f>"2014.818906"</f>
        <v>2014.818906</v>
      </c>
      <c r="BM1446" t="s">
        <v>5747</v>
      </c>
      <c r="BO1446" t="s">
        <v>9841</v>
      </c>
      <c r="BS1446">
        <v>30</v>
      </c>
      <c r="BW1446" t="str">
        <f>""</f>
        <v/>
      </c>
      <c r="CH1446" t="str">
        <f>""</f>
        <v/>
      </c>
      <c r="CS1446" t="str">
        <f>""</f>
        <v/>
      </c>
    </row>
    <row r="1447" spans="1:97" x14ac:dyDescent="0.25">
      <c r="A1447" t="s">
        <v>1393</v>
      </c>
      <c r="B1447" t="s">
        <v>576</v>
      </c>
      <c r="C1447" t="s">
        <v>9842</v>
      </c>
      <c r="D1447" t="s">
        <v>9843</v>
      </c>
      <c r="E1447" t="s">
        <v>9844</v>
      </c>
      <c r="F1447" t="s">
        <v>108</v>
      </c>
      <c r="H1447" t="s">
        <v>9845</v>
      </c>
      <c r="I1447" t="s">
        <v>453</v>
      </c>
      <c r="J1447" t="s">
        <v>111</v>
      </c>
      <c r="K1447" t="str">
        <f>"85381"</f>
        <v>85381</v>
      </c>
      <c r="L1447" t="s">
        <v>6438</v>
      </c>
      <c r="M1447" t="s">
        <v>9845</v>
      </c>
      <c r="N1447" t="s">
        <v>453</v>
      </c>
      <c r="O1447" t="s">
        <v>111</v>
      </c>
      <c r="P1447" t="str">
        <f>"85381-9096"</f>
        <v>85381-9096</v>
      </c>
      <c r="Q1447" t="s">
        <v>113</v>
      </c>
      <c r="R1447" t="str">
        <f>"200-78-946"</f>
        <v>200-78-946</v>
      </c>
      <c r="S1447" t="s">
        <v>9846</v>
      </c>
      <c r="T1447" t="s">
        <v>6871</v>
      </c>
      <c r="U1447">
        <v>2024</v>
      </c>
      <c r="V1447">
        <v>0</v>
      </c>
      <c r="W1447">
        <v>3</v>
      </c>
      <c r="X1447">
        <v>1992</v>
      </c>
      <c r="Z1447">
        <v>1</v>
      </c>
      <c r="AB1447">
        <v>0</v>
      </c>
      <c r="AC1447" t="s">
        <v>115</v>
      </c>
      <c r="AD1447">
        <v>2</v>
      </c>
      <c r="AE1447" t="s">
        <v>115</v>
      </c>
      <c r="AF1447">
        <v>0</v>
      </c>
      <c r="AG1447">
        <v>0</v>
      </c>
      <c r="AH1447" t="s">
        <v>116</v>
      </c>
      <c r="AI1447" s="1">
        <v>79695</v>
      </c>
      <c r="AJ1447" s="2">
        <v>0.27</v>
      </c>
      <c r="AK1447" s="1">
        <v>296495</v>
      </c>
      <c r="AL1447" t="s">
        <v>117</v>
      </c>
      <c r="AM1447" t="s">
        <v>171</v>
      </c>
      <c r="AN1447">
        <v>8507</v>
      </c>
      <c r="AO1447">
        <v>0.2</v>
      </c>
      <c r="AP1447">
        <v>1</v>
      </c>
      <c r="AR1447">
        <v>1</v>
      </c>
      <c r="AS1447" s="1">
        <v>20410</v>
      </c>
      <c r="AT1447" s="1">
        <v>4080</v>
      </c>
      <c r="AU1447" s="1">
        <v>16330</v>
      </c>
      <c r="AV1447">
        <v>80.010000000000005</v>
      </c>
      <c r="AX1447" s="1">
        <v>1498.4</v>
      </c>
      <c r="AY1447" t="s">
        <v>6872</v>
      </c>
      <c r="AZ1447" t="s">
        <v>6872</v>
      </c>
      <c r="BA1447" t="s">
        <v>1800</v>
      </c>
      <c r="BE1447" s="3">
        <v>42265</v>
      </c>
      <c r="BF1447" s="1">
        <v>209900</v>
      </c>
      <c r="BG1447" t="s">
        <v>9847</v>
      </c>
      <c r="BH1447" s="1">
        <v>103.71</v>
      </c>
      <c r="BI1447" s="1">
        <v>216800</v>
      </c>
      <c r="BJ1447" s="3">
        <v>42265</v>
      </c>
      <c r="BK1447" t="s">
        <v>123</v>
      </c>
      <c r="BL1447" t="str">
        <f>"2015.673887"</f>
        <v>2015.673887</v>
      </c>
      <c r="BM1447" t="s">
        <v>124</v>
      </c>
      <c r="BO1447" t="s">
        <v>9848</v>
      </c>
      <c r="BP1447" t="s">
        <v>9849</v>
      </c>
      <c r="BS1447">
        <v>30</v>
      </c>
      <c r="BW1447" t="str">
        <f>""</f>
        <v/>
      </c>
      <c r="CH1447" t="str">
        <f>""</f>
        <v/>
      </c>
      <c r="CS1447" t="str">
        <f>""</f>
        <v/>
      </c>
    </row>
    <row r="1448" spans="1:97" x14ac:dyDescent="0.25">
      <c r="A1448" t="s">
        <v>3258</v>
      </c>
      <c r="B1448" t="s">
        <v>2611</v>
      </c>
      <c r="C1448" t="s">
        <v>365</v>
      </c>
      <c r="D1448" t="s">
        <v>2611</v>
      </c>
      <c r="E1448" t="s">
        <v>9850</v>
      </c>
      <c r="F1448" t="s">
        <v>108</v>
      </c>
      <c r="H1448" t="s">
        <v>9851</v>
      </c>
      <c r="I1448" t="s">
        <v>390</v>
      </c>
      <c r="J1448" t="s">
        <v>111</v>
      </c>
      <c r="K1448" t="str">
        <f>"85083"</f>
        <v>85083</v>
      </c>
      <c r="L1448" t="s">
        <v>2820</v>
      </c>
      <c r="M1448" t="s">
        <v>9851</v>
      </c>
      <c r="N1448" t="s">
        <v>390</v>
      </c>
      <c r="O1448" t="s">
        <v>111</v>
      </c>
      <c r="P1448" t="str">
        <f>"85083-1046"</f>
        <v>85083-1046</v>
      </c>
      <c r="Q1448" t="s">
        <v>113</v>
      </c>
      <c r="R1448" t="str">
        <f>"201-10-687"</f>
        <v>201-10-687</v>
      </c>
      <c r="S1448" t="s">
        <v>5124</v>
      </c>
      <c r="T1448" t="s">
        <v>5124</v>
      </c>
      <c r="U1448">
        <v>2103</v>
      </c>
      <c r="V1448">
        <v>0</v>
      </c>
      <c r="W1448">
        <v>4</v>
      </c>
      <c r="X1448">
        <v>1999</v>
      </c>
      <c r="Z1448">
        <v>2</v>
      </c>
      <c r="AA1448" t="s">
        <v>26</v>
      </c>
      <c r="AB1448">
        <v>0</v>
      </c>
      <c r="AC1448" t="s">
        <v>115</v>
      </c>
      <c r="AD1448">
        <v>2</v>
      </c>
      <c r="AE1448" t="s">
        <v>115</v>
      </c>
      <c r="AF1448">
        <v>0</v>
      </c>
      <c r="AG1448">
        <v>0</v>
      </c>
      <c r="AH1448" t="s">
        <v>116</v>
      </c>
      <c r="AI1448" s="1">
        <v>63029</v>
      </c>
      <c r="AJ1448" s="2">
        <v>0.18</v>
      </c>
      <c r="AK1448" s="1">
        <v>341529</v>
      </c>
      <c r="AL1448" t="s">
        <v>117</v>
      </c>
      <c r="AM1448" t="s">
        <v>171</v>
      </c>
      <c r="AN1448">
        <v>6700</v>
      </c>
      <c r="AO1448">
        <v>0.15</v>
      </c>
      <c r="AP1448">
        <v>1</v>
      </c>
      <c r="AR1448">
        <v>1</v>
      </c>
      <c r="AS1448" s="1">
        <v>24560</v>
      </c>
      <c r="AT1448" s="1">
        <v>4910</v>
      </c>
      <c r="AU1448" s="1">
        <v>19650</v>
      </c>
      <c r="AV1448">
        <v>80.010000000000005</v>
      </c>
      <c r="AX1448" s="1">
        <v>2166.34</v>
      </c>
      <c r="AY1448" t="s">
        <v>5125</v>
      </c>
      <c r="AZ1448" t="s">
        <v>3049</v>
      </c>
      <c r="BA1448" t="s">
        <v>2223</v>
      </c>
      <c r="BE1448" s="3">
        <v>42438</v>
      </c>
      <c r="BF1448" s="1">
        <v>278500</v>
      </c>
      <c r="BG1448" t="s">
        <v>9852</v>
      </c>
      <c r="BH1448" s="1">
        <v>132.43</v>
      </c>
      <c r="BI1448" s="1">
        <v>278500</v>
      </c>
      <c r="BJ1448" s="3">
        <v>42438</v>
      </c>
      <c r="BK1448" t="s">
        <v>123</v>
      </c>
      <c r="BL1448" t="str">
        <f>"2016.150610"</f>
        <v>2016.150610</v>
      </c>
      <c r="BM1448" t="s">
        <v>1287</v>
      </c>
      <c r="BO1448" t="s">
        <v>9853</v>
      </c>
      <c r="BS1448">
        <v>30</v>
      </c>
      <c r="BW1448" t="str">
        <f>""</f>
        <v/>
      </c>
      <c r="CH1448" t="str">
        <f>""</f>
        <v/>
      </c>
      <c r="CS1448" t="str">
        <f>""</f>
        <v/>
      </c>
    </row>
    <row r="1449" spans="1:97" x14ac:dyDescent="0.25">
      <c r="A1449" t="s">
        <v>9854</v>
      </c>
      <c r="B1449" t="s">
        <v>9855</v>
      </c>
      <c r="C1449" t="s">
        <v>713</v>
      </c>
      <c r="D1449" t="s">
        <v>9855</v>
      </c>
      <c r="E1449" t="s">
        <v>9856</v>
      </c>
      <c r="F1449" t="s">
        <v>108</v>
      </c>
      <c r="H1449" t="s">
        <v>9857</v>
      </c>
      <c r="I1449" t="s">
        <v>632</v>
      </c>
      <c r="J1449" t="s">
        <v>111</v>
      </c>
      <c r="K1449" t="str">
        <f>"85388"</f>
        <v>85388</v>
      </c>
      <c r="L1449" t="s">
        <v>5727</v>
      </c>
      <c r="M1449" t="s">
        <v>9857</v>
      </c>
      <c r="N1449" t="s">
        <v>632</v>
      </c>
      <c r="O1449" t="s">
        <v>111</v>
      </c>
      <c r="P1449" t="str">
        <f>"85388-5629"</f>
        <v>85388-5629</v>
      </c>
      <c r="Q1449" t="s">
        <v>113</v>
      </c>
      <c r="R1449" t="str">
        <f>"502-06-153"</f>
        <v>502-06-153</v>
      </c>
      <c r="S1449" t="s">
        <v>5728</v>
      </c>
      <c r="T1449" t="s">
        <v>5167</v>
      </c>
      <c r="U1449">
        <v>3241</v>
      </c>
      <c r="V1449">
        <v>0</v>
      </c>
      <c r="W1449">
        <v>4</v>
      </c>
      <c r="X1449">
        <v>2012</v>
      </c>
      <c r="Z1449">
        <v>2</v>
      </c>
      <c r="AB1449">
        <v>0</v>
      </c>
      <c r="AC1449" t="s">
        <v>115</v>
      </c>
      <c r="AD1449">
        <v>3</v>
      </c>
      <c r="AE1449" t="s">
        <v>115</v>
      </c>
      <c r="AF1449">
        <v>0</v>
      </c>
      <c r="AG1449">
        <v>0</v>
      </c>
      <c r="AH1449" t="s">
        <v>116</v>
      </c>
      <c r="AI1449" s="1">
        <v>71577</v>
      </c>
      <c r="AJ1449" s="2">
        <v>0.21</v>
      </c>
      <c r="AK1449" s="1">
        <v>332926</v>
      </c>
      <c r="AL1449" t="s">
        <v>117</v>
      </c>
      <c r="AM1449" t="s">
        <v>118</v>
      </c>
      <c r="AN1449">
        <v>6217</v>
      </c>
      <c r="AO1449">
        <v>0.14000000000000001</v>
      </c>
      <c r="AR1449">
        <v>1</v>
      </c>
      <c r="AS1449" s="1">
        <v>23060</v>
      </c>
      <c r="AT1449" s="1">
        <v>4610</v>
      </c>
      <c r="AU1449" s="1">
        <v>18450</v>
      </c>
      <c r="AV1449">
        <v>80.010000000000005</v>
      </c>
      <c r="AX1449" s="1">
        <v>2166.08</v>
      </c>
      <c r="AY1449" t="s">
        <v>5168</v>
      </c>
      <c r="AZ1449" t="s">
        <v>5168</v>
      </c>
      <c r="BA1449" t="s">
        <v>5061</v>
      </c>
      <c r="BE1449" s="3">
        <v>42195</v>
      </c>
      <c r="BF1449" s="1">
        <v>253000</v>
      </c>
      <c r="BG1449" t="s">
        <v>9858</v>
      </c>
      <c r="BH1449" s="1">
        <v>78.06</v>
      </c>
      <c r="BI1449" s="1">
        <v>261349</v>
      </c>
      <c r="BJ1449" s="3">
        <v>42195</v>
      </c>
      <c r="BK1449" t="s">
        <v>123</v>
      </c>
      <c r="BL1449" t="str">
        <f>"2015.499636"</f>
        <v>2015.499636</v>
      </c>
      <c r="BM1449" t="s">
        <v>475</v>
      </c>
      <c r="BO1449" t="s">
        <v>9859</v>
      </c>
      <c r="BS1449">
        <v>30</v>
      </c>
      <c r="BW1449" t="str">
        <f>""</f>
        <v/>
      </c>
      <c r="CH1449" t="str">
        <f>""</f>
        <v/>
      </c>
      <c r="CS1449" t="str">
        <f>""</f>
        <v/>
      </c>
    </row>
    <row r="1450" spans="1:97" x14ac:dyDescent="0.25">
      <c r="A1450" t="s">
        <v>3580</v>
      </c>
      <c r="B1450" t="s">
        <v>958</v>
      </c>
      <c r="E1450" t="s">
        <v>9860</v>
      </c>
      <c r="F1450" t="s">
        <v>108</v>
      </c>
      <c r="H1450" t="s">
        <v>9861</v>
      </c>
      <c r="I1450" t="s">
        <v>390</v>
      </c>
      <c r="J1450" t="s">
        <v>111</v>
      </c>
      <c r="K1450" t="str">
        <f>"85041"</f>
        <v>85041</v>
      </c>
      <c r="L1450" t="s">
        <v>6891</v>
      </c>
      <c r="M1450" t="s">
        <v>9861</v>
      </c>
      <c r="N1450" t="s">
        <v>390</v>
      </c>
      <c r="O1450" t="s">
        <v>111</v>
      </c>
      <c r="P1450" t="str">
        <f>"85041-3445"</f>
        <v>85041-3445</v>
      </c>
      <c r="Q1450" t="s">
        <v>113</v>
      </c>
      <c r="R1450" t="str">
        <f>"105-46-190"</f>
        <v>105-46-190</v>
      </c>
      <c r="S1450" t="s">
        <v>9862</v>
      </c>
      <c r="T1450" t="s">
        <v>9862</v>
      </c>
      <c r="U1450">
        <v>2314</v>
      </c>
      <c r="V1450">
        <v>0</v>
      </c>
      <c r="W1450">
        <v>3</v>
      </c>
      <c r="X1450">
        <v>2013</v>
      </c>
      <c r="Z1450">
        <v>2</v>
      </c>
      <c r="AB1450">
        <v>0</v>
      </c>
      <c r="AC1450" t="s">
        <v>115</v>
      </c>
      <c r="AD1450">
        <v>2</v>
      </c>
      <c r="AE1450" t="s">
        <v>115</v>
      </c>
      <c r="AF1450">
        <v>0</v>
      </c>
      <c r="AG1450">
        <v>0</v>
      </c>
      <c r="AH1450" t="s">
        <v>116</v>
      </c>
      <c r="AI1450" s="1">
        <v>71153</v>
      </c>
      <c r="AJ1450" s="2">
        <v>0.26</v>
      </c>
      <c r="AK1450" s="1">
        <v>272153</v>
      </c>
      <c r="AL1450" t="s">
        <v>117</v>
      </c>
      <c r="AM1450" t="s">
        <v>191</v>
      </c>
      <c r="AN1450">
        <v>4950</v>
      </c>
      <c r="AO1450">
        <v>0.11</v>
      </c>
      <c r="AR1450">
        <v>1</v>
      </c>
      <c r="AS1450" s="1">
        <v>17980</v>
      </c>
      <c r="AT1450" s="1">
        <v>3590</v>
      </c>
      <c r="AU1450" s="1">
        <v>14390</v>
      </c>
      <c r="AV1450">
        <v>80.03</v>
      </c>
      <c r="AX1450" s="1">
        <v>1976.58</v>
      </c>
      <c r="AY1450" t="s">
        <v>5220</v>
      </c>
      <c r="AZ1450" t="s">
        <v>5220</v>
      </c>
      <c r="BA1450" t="s">
        <v>1661</v>
      </c>
      <c r="BE1450" s="3">
        <v>41831</v>
      </c>
      <c r="BF1450" s="1">
        <v>201990</v>
      </c>
      <c r="BG1450" t="s">
        <v>8843</v>
      </c>
      <c r="BH1450" s="1">
        <v>87.29</v>
      </c>
      <c r="BI1450" s="1">
        <v>201000</v>
      </c>
      <c r="BJ1450" s="3">
        <v>42661</v>
      </c>
      <c r="BK1450" t="s">
        <v>123</v>
      </c>
      <c r="BL1450" t="str">
        <f>"2016.764624"</f>
        <v>2016.764624</v>
      </c>
      <c r="BM1450" t="s">
        <v>673</v>
      </c>
      <c r="BO1450" t="s">
        <v>9863</v>
      </c>
      <c r="BS1450">
        <v>30</v>
      </c>
      <c r="BW1450" t="str">
        <f>""</f>
        <v/>
      </c>
      <c r="CH1450" t="str">
        <f>""</f>
        <v/>
      </c>
      <c r="CS1450" t="str">
        <f>""</f>
        <v/>
      </c>
    </row>
    <row r="1451" spans="1:97" x14ac:dyDescent="0.25">
      <c r="A1451" t="s">
        <v>3613</v>
      </c>
      <c r="B1451" t="s">
        <v>3173</v>
      </c>
      <c r="C1451" t="s">
        <v>1840</v>
      </c>
      <c r="D1451" t="s">
        <v>3173</v>
      </c>
      <c r="E1451" t="s">
        <v>9864</v>
      </c>
      <c r="F1451" t="s">
        <v>108</v>
      </c>
      <c r="H1451" t="s">
        <v>9865</v>
      </c>
      <c r="I1451" t="s">
        <v>2874</v>
      </c>
      <c r="J1451" t="s">
        <v>111</v>
      </c>
      <c r="K1451" t="str">
        <f>"85308"</f>
        <v>85308</v>
      </c>
      <c r="L1451" t="s">
        <v>6682</v>
      </c>
      <c r="M1451" t="s">
        <v>9865</v>
      </c>
      <c r="N1451" t="s">
        <v>2874</v>
      </c>
      <c r="O1451" t="s">
        <v>111</v>
      </c>
      <c r="P1451" t="str">
        <f>"85308-3501"</f>
        <v>85308-3501</v>
      </c>
      <c r="Q1451" t="s">
        <v>113</v>
      </c>
      <c r="R1451" t="str">
        <f>"207-25-045-A"</f>
        <v>207-25-045-A</v>
      </c>
      <c r="S1451" t="s">
        <v>9866</v>
      </c>
      <c r="U1451">
        <v>2120</v>
      </c>
      <c r="V1451">
        <v>0</v>
      </c>
      <c r="W1451">
        <v>3</v>
      </c>
      <c r="X1451">
        <v>1974</v>
      </c>
      <c r="Z1451">
        <v>1</v>
      </c>
      <c r="AA1451" t="s">
        <v>26</v>
      </c>
      <c r="AB1451">
        <v>0</v>
      </c>
      <c r="AC1451" t="s">
        <v>115</v>
      </c>
      <c r="AD1451">
        <v>2</v>
      </c>
      <c r="AE1451" t="s">
        <v>115</v>
      </c>
      <c r="AF1451">
        <v>0</v>
      </c>
      <c r="AG1451">
        <v>0</v>
      </c>
      <c r="AH1451" t="s">
        <v>116</v>
      </c>
      <c r="AI1451" s="1">
        <v>64579</v>
      </c>
      <c r="AJ1451" s="2">
        <v>0.22</v>
      </c>
      <c r="AK1451" s="1">
        <v>299479</v>
      </c>
      <c r="AL1451" t="s">
        <v>117</v>
      </c>
      <c r="AM1451" t="s">
        <v>5441</v>
      </c>
      <c r="AN1451">
        <v>10352</v>
      </c>
      <c r="AO1451">
        <v>0.24</v>
      </c>
      <c r="AP1451">
        <v>1</v>
      </c>
      <c r="AR1451">
        <v>1</v>
      </c>
      <c r="AS1451" s="1">
        <v>21300</v>
      </c>
      <c r="AT1451" s="1">
        <v>4260</v>
      </c>
      <c r="AU1451" s="1">
        <v>17040</v>
      </c>
      <c r="AV1451">
        <v>80</v>
      </c>
      <c r="AX1451" s="1">
        <v>1611.76</v>
      </c>
      <c r="AY1451" t="s">
        <v>7007</v>
      </c>
      <c r="AZ1451" t="s">
        <v>5142</v>
      </c>
      <c r="BA1451" t="s">
        <v>5143</v>
      </c>
      <c r="BE1451" s="3">
        <v>41985</v>
      </c>
      <c r="BF1451" s="1">
        <v>230000</v>
      </c>
      <c r="BG1451" t="s">
        <v>9867</v>
      </c>
      <c r="BH1451" s="1">
        <v>108.49</v>
      </c>
      <c r="BI1451" s="1">
        <v>234900</v>
      </c>
      <c r="BJ1451" s="3">
        <v>42482</v>
      </c>
      <c r="BK1451" t="s">
        <v>123</v>
      </c>
      <c r="BL1451" t="str">
        <f>"2016.269062"</f>
        <v>2016.269062</v>
      </c>
      <c r="BM1451" t="s">
        <v>750</v>
      </c>
      <c r="BO1451" t="s">
        <v>9868</v>
      </c>
      <c r="BQ1451" t="str">
        <f>"1.7500%"</f>
        <v>1.7500%</v>
      </c>
      <c r="BR1451" t="s">
        <v>1480</v>
      </c>
      <c r="BS1451">
        <v>30</v>
      </c>
      <c r="BW1451" t="str">
        <f>""</f>
        <v/>
      </c>
      <c r="CH1451" t="str">
        <f>""</f>
        <v/>
      </c>
      <c r="CS1451" t="str">
        <f>""</f>
        <v/>
      </c>
    </row>
    <row r="1452" spans="1:97" x14ac:dyDescent="0.25">
      <c r="B1452" t="s">
        <v>9869</v>
      </c>
      <c r="E1452" t="s">
        <v>565</v>
      </c>
      <c r="F1452" t="s">
        <v>108</v>
      </c>
      <c r="H1452" t="s">
        <v>9870</v>
      </c>
      <c r="I1452" t="s">
        <v>390</v>
      </c>
      <c r="J1452" t="s">
        <v>111</v>
      </c>
      <c r="K1452" t="str">
        <f>"85032"</f>
        <v>85032</v>
      </c>
      <c r="L1452" t="s">
        <v>9871</v>
      </c>
      <c r="M1452" t="s">
        <v>9870</v>
      </c>
      <c r="N1452" t="s">
        <v>390</v>
      </c>
      <c r="O1452" t="s">
        <v>111</v>
      </c>
      <c r="P1452" t="str">
        <f>"85032-4740"</f>
        <v>85032-4740</v>
      </c>
      <c r="Q1452" t="s">
        <v>113</v>
      </c>
      <c r="R1452" t="str">
        <f>"215-71-022"</f>
        <v>215-71-022</v>
      </c>
      <c r="S1452" t="s">
        <v>9872</v>
      </c>
      <c r="U1452">
        <v>2374</v>
      </c>
      <c r="V1452">
        <v>0</v>
      </c>
      <c r="W1452">
        <v>2</v>
      </c>
      <c r="X1452">
        <v>1980</v>
      </c>
      <c r="Z1452">
        <v>1</v>
      </c>
      <c r="AB1452">
        <v>0</v>
      </c>
      <c r="AC1452" t="s">
        <v>115</v>
      </c>
      <c r="AD1452">
        <v>2</v>
      </c>
      <c r="AE1452" t="s">
        <v>115</v>
      </c>
      <c r="AF1452">
        <v>0</v>
      </c>
      <c r="AG1452">
        <v>0</v>
      </c>
      <c r="AH1452" t="s">
        <v>116</v>
      </c>
      <c r="AI1452" s="1">
        <v>112851</v>
      </c>
      <c r="AJ1452" s="2">
        <v>0.26</v>
      </c>
      <c r="AK1452" s="1">
        <v>429005</v>
      </c>
      <c r="AL1452" t="s">
        <v>117</v>
      </c>
      <c r="AM1452" t="s">
        <v>171</v>
      </c>
      <c r="AN1452">
        <v>10431</v>
      </c>
      <c r="AO1452">
        <v>0.24</v>
      </c>
      <c r="AP1452">
        <v>1</v>
      </c>
      <c r="AR1452">
        <v>1</v>
      </c>
      <c r="AS1452" s="1">
        <v>30170</v>
      </c>
      <c r="AT1452" s="1">
        <v>6030</v>
      </c>
      <c r="AU1452" s="1">
        <v>24140</v>
      </c>
      <c r="AV1452">
        <v>80.010000000000005</v>
      </c>
      <c r="AX1452" s="1">
        <v>2731.78</v>
      </c>
      <c r="AY1452" t="s">
        <v>1316</v>
      </c>
      <c r="AZ1452" t="s">
        <v>1317</v>
      </c>
      <c r="BA1452" t="s">
        <v>1318</v>
      </c>
      <c r="BB1452" s="3">
        <v>42131</v>
      </c>
      <c r="BD1452" t="s">
        <v>240</v>
      </c>
      <c r="BE1452" s="3">
        <v>42018</v>
      </c>
      <c r="BF1452" s="1">
        <v>309500</v>
      </c>
      <c r="BG1452" t="s">
        <v>9873</v>
      </c>
      <c r="BH1452" s="1">
        <v>130.37</v>
      </c>
      <c r="BI1452" s="1">
        <v>316154</v>
      </c>
      <c r="BJ1452" s="3">
        <v>42018</v>
      </c>
      <c r="BK1452" t="s">
        <v>123</v>
      </c>
      <c r="BL1452" t="str">
        <f>"2015.24207"</f>
        <v>2015.24207</v>
      </c>
      <c r="BM1452" t="s">
        <v>2472</v>
      </c>
      <c r="BO1452" t="s">
        <v>9874</v>
      </c>
      <c r="BS1452">
        <v>30</v>
      </c>
      <c r="BW1452" t="str">
        <f>""</f>
        <v/>
      </c>
      <c r="CH1452" t="str">
        <f>""</f>
        <v/>
      </c>
      <c r="CS1452" t="str">
        <f>""</f>
        <v/>
      </c>
    </row>
    <row r="1453" spans="1:97" x14ac:dyDescent="0.25">
      <c r="A1453" t="s">
        <v>9875</v>
      </c>
      <c r="B1453" t="s">
        <v>4713</v>
      </c>
      <c r="C1453" t="s">
        <v>489</v>
      </c>
      <c r="D1453" t="s">
        <v>4713</v>
      </c>
      <c r="E1453" t="s">
        <v>9876</v>
      </c>
      <c r="F1453" t="s">
        <v>108</v>
      </c>
      <c r="H1453" t="s">
        <v>9877</v>
      </c>
      <c r="I1453" t="s">
        <v>6646</v>
      </c>
      <c r="J1453" t="s">
        <v>111</v>
      </c>
      <c r="K1453" t="str">
        <f>"85086"</f>
        <v>85086</v>
      </c>
      <c r="L1453" t="s">
        <v>688</v>
      </c>
      <c r="M1453" t="s">
        <v>9877</v>
      </c>
      <c r="N1453" t="s">
        <v>6646</v>
      </c>
      <c r="O1453" t="s">
        <v>111</v>
      </c>
      <c r="P1453" t="str">
        <f>"85086-3755"</f>
        <v>85086-3755</v>
      </c>
      <c r="R1453" t="str">
        <f>"203-10-745"</f>
        <v>203-10-745</v>
      </c>
      <c r="S1453" t="s">
        <v>9878</v>
      </c>
      <c r="U1453">
        <v>2168</v>
      </c>
      <c r="V1453">
        <v>0</v>
      </c>
      <c r="W1453">
        <v>3</v>
      </c>
      <c r="X1453">
        <v>2005</v>
      </c>
      <c r="Z1453">
        <v>2</v>
      </c>
      <c r="AA1453" t="s">
        <v>26</v>
      </c>
      <c r="AB1453">
        <v>0</v>
      </c>
      <c r="AC1453" t="s">
        <v>115</v>
      </c>
      <c r="AD1453">
        <v>2</v>
      </c>
      <c r="AE1453" t="s">
        <v>115</v>
      </c>
      <c r="AF1453">
        <v>0</v>
      </c>
      <c r="AG1453">
        <v>0</v>
      </c>
      <c r="AH1453" t="s">
        <v>116</v>
      </c>
      <c r="AI1453" s="1">
        <v>25942</v>
      </c>
      <c r="AJ1453" s="2">
        <v>0.08</v>
      </c>
      <c r="AK1453" s="1">
        <v>326571</v>
      </c>
      <c r="AL1453" t="s">
        <v>117</v>
      </c>
      <c r="AM1453" t="s">
        <v>5379</v>
      </c>
      <c r="AN1453">
        <v>5829</v>
      </c>
      <c r="AO1453">
        <v>0.13</v>
      </c>
      <c r="AR1453">
        <v>1</v>
      </c>
      <c r="AS1453" s="1">
        <v>22960</v>
      </c>
      <c r="AT1453" s="1">
        <v>4590</v>
      </c>
      <c r="AU1453" s="1">
        <v>18370</v>
      </c>
      <c r="AV1453">
        <v>80.010000000000005</v>
      </c>
      <c r="AX1453" s="1">
        <v>2486.86</v>
      </c>
      <c r="AY1453" t="s">
        <v>5380</v>
      </c>
      <c r="AZ1453" t="s">
        <v>5380</v>
      </c>
      <c r="BA1453" t="s">
        <v>378</v>
      </c>
      <c r="BE1453" s="3">
        <v>42473</v>
      </c>
      <c r="BF1453" s="1">
        <v>278000</v>
      </c>
      <c r="BG1453" t="s">
        <v>9879</v>
      </c>
      <c r="BH1453" s="1">
        <v>128.22999999999999</v>
      </c>
      <c r="BI1453" s="1">
        <v>287250</v>
      </c>
      <c r="BJ1453" s="3">
        <v>42576</v>
      </c>
      <c r="BK1453" t="s">
        <v>123</v>
      </c>
      <c r="BL1453" t="str">
        <f>"2016.524506"</f>
        <v>2016.524506</v>
      </c>
      <c r="BM1453" t="s">
        <v>1122</v>
      </c>
      <c r="BN1453" t="s">
        <v>1624</v>
      </c>
      <c r="BO1453" t="s">
        <v>9880</v>
      </c>
      <c r="BS1453">
        <v>30</v>
      </c>
      <c r="BT1453" s="1">
        <v>13379</v>
      </c>
      <c r="BU1453" s="3">
        <v>43453</v>
      </c>
      <c r="BW1453" t="str">
        <f>"2018.928131"</f>
        <v>2018.928131</v>
      </c>
      <c r="BX1453" t="s">
        <v>9881</v>
      </c>
      <c r="BY1453" t="s">
        <v>9882</v>
      </c>
      <c r="BZ1453" t="s">
        <v>9883</v>
      </c>
      <c r="CA1453" t="s">
        <v>9884</v>
      </c>
      <c r="CC1453" t="s">
        <v>346</v>
      </c>
      <c r="CH1453" t="str">
        <f>""</f>
        <v/>
      </c>
      <c r="CS1453" t="str">
        <f>""</f>
        <v/>
      </c>
    </row>
    <row r="1454" spans="1:97" x14ac:dyDescent="0.25">
      <c r="A1454" t="s">
        <v>1444</v>
      </c>
      <c r="B1454" t="s">
        <v>6930</v>
      </c>
      <c r="E1454" t="s">
        <v>9885</v>
      </c>
      <c r="F1454" t="s">
        <v>108</v>
      </c>
      <c r="H1454" t="s">
        <v>9886</v>
      </c>
      <c r="I1454" t="s">
        <v>5114</v>
      </c>
      <c r="J1454" t="s">
        <v>111</v>
      </c>
      <c r="K1454" t="str">
        <f>"85392"</f>
        <v>85392</v>
      </c>
      <c r="L1454" t="s">
        <v>226</v>
      </c>
      <c r="M1454" t="s">
        <v>9886</v>
      </c>
      <c r="N1454" t="s">
        <v>5114</v>
      </c>
      <c r="O1454" t="s">
        <v>111</v>
      </c>
      <c r="P1454" t="str">
        <f>"85392-4795"</f>
        <v>85392-4795</v>
      </c>
      <c r="Q1454" t="s">
        <v>113</v>
      </c>
      <c r="R1454" t="str">
        <f>"102-31-631-A"</f>
        <v>102-31-631-A</v>
      </c>
      <c r="U1454">
        <v>3596</v>
      </c>
      <c r="V1454">
        <v>0</v>
      </c>
      <c r="W1454">
        <v>5</v>
      </c>
      <c r="X1454">
        <v>2001</v>
      </c>
      <c r="Z1454">
        <v>1</v>
      </c>
      <c r="AB1454">
        <v>0</v>
      </c>
      <c r="AC1454" t="s">
        <v>115</v>
      </c>
      <c r="AD1454">
        <v>3</v>
      </c>
      <c r="AE1454" t="s">
        <v>115</v>
      </c>
      <c r="AF1454">
        <v>0</v>
      </c>
      <c r="AG1454">
        <v>0</v>
      </c>
      <c r="AH1454" t="s">
        <v>116</v>
      </c>
      <c r="AI1454" s="1">
        <v>96553</v>
      </c>
      <c r="AJ1454" s="2">
        <v>0.18</v>
      </c>
      <c r="AK1454" s="1">
        <v>527314</v>
      </c>
      <c r="AL1454" t="s">
        <v>117</v>
      </c>
      <c r="AM1454" t="s">
        <v>376</v>
      </c>
      <c r="AN1454">
        <v>72500</v>
      </c>
      <c r="AO1454">
        <v>1.66</v>
      </c>
      <c r="AP1454">
        <v>1</v>
      </c>
      <c r="AR1454">
        <v>1</v>
      </c>
      <c r="AS1454" s="1">
        <v>40070</v>
      </c>
      <c r="AT1454" s="1">
        <v>8010</v>
      </c>
      <c r="AU1454" s="1">
        <v>32060</v>
      </c>
      <c r="AV1454">
        <v>80.010000000000005</v>
      </c>
      <c r="AX1454" s="1">
        <v>4307.66</v>
      </c>
      <c r="AY1454" t="s">
        <v>9887</v>
      </c>
      <c r="AZ1454" t="s">
        <v>9887</v>
      </c>
      <c r="BA1454" t="s">
        <v>5118</v>
      </c>
      <c r="BE1454" s="3">
        <v>41997</v>
      </c>
      <c r="BF1454" s="1">
        <v>417000</v>
      </c>
      <c r="BG1454" t="s">
        <v>9888</v>
      </c>
      <c r="BH1454" s="1">
        <v>115.96</v>
      </c>
      <c r="BI1454" s="1">
        <v>430761</v>
      </c>
      <c r="BJ1454" s="3">
        <v>41997</v>
      </c>
      <c r="BK1454" t="s">
        <v>123</v>
      </c>
      <c r="BL1454" t="str">
        <f>"2014.848494"</f>
        <v>2014.848494</v>
      </c>
      <c r="BM1454" t="s">
        <v>2683</v>
      </c>
      <c r="BO1454" t="s">
        <v>9889</v>
      </c>
      <c r="BS1454">
        <v>30</v>
      </c>
      <c r="BW1454" t="str">
        <f>""</f>
        <v/>
      </c>
      <c r="CH1454" t="str">
        <f>""</f>
        <v/>
      </c>
      <c r="CS1454" t="str">
        <f>""</f>
        <v/>
      </c>
    </row>
    <row r="1455" spans="1:97" x14ac:dyDescent="0.25">
      <c r="A1455" t="s">
        <v>1109</v>
      </c>
      <c r="B1455" t="s">
        <v>9890</v>
      </c>
      <c r="E1455" t="s">
        <v>9891</v>
      </c>
      <c r="F1455" t="s">
        <v>108</v>
      </c>
      <c r="H1455" t="s">
        <v>9892</v>
      </c>
      <c r="I1455" t="s">
        <v>499</v>
      </c>
      <c r="J1455" t="s">
        <v>111</v>
      </c>
      <c r="K1455" t="str">
        <f>"85338"</f>
        <v>85338</v>
      </c>
      <c r="L1455" t="s">
        <v>5325</v>
      </c>
      <c r="M1455" t="s">
        <v>9893</v>
      </c>
      <c r="N1455" t="s">
        <v>499</v>
      </c>
      <c r="O1455" t="s">
        <v>111</v>
      </c>
      <c r="P1455" t="str">
        <f>"85338"</f>
        <v>85338</v>
      </c>
      <c r="Q1455" t="s">
        <v>113</v>
      </c>
      <c r="R1455" t="str">
        <f>"400-79-066"</f>
        <v>400-79-066</v>
      </c>
      <c r="S1455" t="s">
        <v>9894</v>
      </c>
      <c r="T1455" t="s">
        <v>9895</v>
      </c>
      <c r="U1455">
        <v>2195</v>
      </c>
      <c r="V1455">
        <v>0</v>
      </c>
      <c r="W1455">
        <v>3</v>
      </c>
      <c r="X1455">
        <v>2000</v>
      </c>
      <c r="Z1455">
        <v>1</v>
      </c>
      <c r="AB1455">
        <v>0</v>
      </c>
      <c r="AC1455" t="s">
        <v>115</v>
      </c>
      <c r="AD1455">
        <v>2</v>
      </c>
      <c r="AE1455" t="s">
        <v>115</v>
      </c>
      <c r="AF1455">
        <v>0</v>
      </c>
      <c r="AG1455">
        <v>0</v>
      </c>
      <c r="AH1455" t="s">
        <v>116</v>
      </c>
      <c r="AI1455" s="1">
        <v>45733</v>
      </c>
      <c r="AJ1455" s="2">
        <v>0.16</v>
      </c>
      <c r="AK1455" s="1">
        <v>293653</v>
      </c>
      <c r="AL1455" t="s">
        <v>117</v>
      </c>
      <c r="AM1455" t="s">
        <v>118</v>
      </c>
      <c r="AN1455">
        <v>7436</v>
      </c>
      <c r="AO1455">
        <v>0.17</v>
      </c>
      <c r="AP1455">
        <v>1</v>
      </c>
      <c r="AR1455">
        <v>1</v>
      </c>
      <c r="AS1455" s="1">
        <v>21080</v>
      </c>
      <c r="AT1455" s="1">
        <v>4210</v>
      </c>
      <c r="AU1455" s="1">
        <v>16870</v>
      </c>
      <c r="AV1455">
        <v>80.03</v>
      </c>
      <c r="AX1455" s="1">
        <v>2236.4</v>
      </c>
      <c r="AY1455" t="s">
        <v>4236</v>
      </c>
      <c r="AZ1455" t="s">
        <v>4236</v>
      </c>
      <c r="BA1455" t="s">
        <v>1247</v>
      </c>
      <c r="BE1455" s="3">
        <v>42457</v>
      </c>
      <c r="BF1455" s="1">
        <v>211900</v>
      </c>
      <c r="BG1455" t="s">
        <v>9896</v>
      </c>
      <c r="BH1455" s="1">
        <v>96.54</v>
      </c>
      <c r="BI1455" s="1">
        <v>247920</v>
      </c>
      <c r="BJ1455" s="3">
        <v>42950</v>
      </c>
      <c r="BK1455" t="s">
        <v>123</v>
      </c>
      <c r="BL1455" t="str">
        <f>"2017.570076"</f>
        <v>2017.570076</v>
      </c>
      <c r="BM1455" t="s">
        <v>980</v>
      </c>
      <c r="BO1455" t="s">
        <v>9897</v>
      </c>
      <c r="BS1455">
        <v>30</v>
      </c>
      <c r="BW1455" t="str">
        <f>""</f>
        <v/>
      </c>
      <c r="CH1455" t="str">
        <f>""</f>
        <v/>
      </c>
      <c r="CS1455" t="str">
        <f>""</f>
        <v/>
      </c>
    </row>
    <row r="1456" spans="1:97" x14ac:dyDescent="0.25">
      <c r="A1456" t="s">
        <v>8735</v>
      </c>
      <c r="B1456" t="s">
        <v>9898</v>
      </c>
      <c r="E1456" t="s">
        <v>9899</v>
      </c>
      <c r="F1456" t="s">
        <v>108</v>
      </c>
      <c r="H1456" t="s">
        <v>9900</v>
      </c>
      <c r="I1456" t="s">
        <v>499</v>
      </c>
      <c r="J1456" t="s">
        <v>111</v>
      </c>
      <c r="K1456" t="str">
        <f>"85338"</f>
        <v>85338</v>
      </c>
      <c r="L1456" t="s">
        <v>5325</v>
      </c>
      <c r="M1456" t="s">
        <v>9900</v>
      </c>
      <c r="N1456" t="s">
        <v>499</v>
      </c>
      <c r="O1456" t="s">
        <v>111</v>
      </c>
      <c r="P1456" t="str">
        <f>"85338-4803"</f>
        <v>85338-4803</v>
      </c>
      <c r="Q1456" t="s">
        <v>113</v>
      </c>
      <c r="R1456" t="str">
        <f>"400-79-239"</f>
        <v>400-79-239</v>
      </c>
      <c r="S1456" t="s">
        <v>9901</v>
      </c>
      <c r="T1456" t="s">
        <v>9895</v>
      </c>
      <c r="U1456">
        <v>1450</v>
      </c>
      <c r="V1456">
        <v>0</v>
      </c>
      <c r="W1456">
        <v>3</v>
      </c>
      <c r="X1456">
        <v>1999</v>
      </c>
      <c r="Z1456">
        <v>1</v>
      </c>
      <c r="AA1456" t="s">
        <v>26</v>
      </c>
      <c r="AB1456">
        <v>0</v>
      </c>
      <c r="AC1456" t="s">
        <v>115</v>
      </c>
      <c r="AD1456">
        <v>2</v>
      </c>
      <c r="AE1456" t="s">
        <v>115</v>
      </c>
      <c r="AF1456">
        <v>0</v>
      </c>
      <c r="AG1456">
        <v>0</v>
      </c>
      <c r="AH1456" t="s">
        <v>116</v>
      </c>
      <c r="AI1456" s="1">
        <v>42832</v>
      </c>
      <c r="AJ1456" s="2">
        <v>0.17</v>
      </c>
      <c r="AK1456" s="1">
        <v>246333</v>
      </c>
      <c r="AL1456" t="s">
        <v>117</v>
      </c>
      <c r="AM1456" t="s">
        <v>118</v>
      </c>
      <c r="AN1456">
        <v>5940</v>
      </c>
      <c r="AO1456">
        <v>0.14000000000000001</v>
      </c>
      <c r="AP1456">
        <v>1</v>
      </c>
      <c r="AR1456">
        <v>1</v>
      </c>
      <c r="AS1456" s="1">
        <v>17180</v>
      </c>
      <c r="AT1456" s="1">
        <v>3430</v>
      </c>
      <c r="AU1456" s="1">
        <v>13750</v>
      </c>
      <c r="AV1456">
        <v>80.03</v>
      </c>
      <c r="AX1456" s="1">
        <v>1479.18</v>
      </c>
      <c r="AY1456" t="s">
        <v>4236</v>
      </c>
      <c r="AZ1456" t="s">
        <v>4236</v>
      </c>
      <c r="BA1456" t="s">
        <v>1247</v>
      </c>
      <c r="BE1456" s="3">
        <v>42411</v>
      </c>
      <c r="BF1456" s="1">
        <v>197000</v>
      </c>
      <c r="BG1456" t="s">
        <v>9902</v>
      </c>
      <c r="BH1456" s="1">
        <v>135.86000000000001</v>
      </c>
      <c r="BI1456" s="1">
        <v>203501</v>
      </c>
      <c r="BJ1456" s="3">
        <v>42411</v>
      </c>
      <c r="BK1456" t="s">
        <v>123</v>
      </c>
      <c r="BL1456" t="str">
        <f>"2016.89962"</f>
        <v>2016.89962</v>
      </c>
      <c r="BM1456" t="s">
        <v>1544</v>
      </c>
      <c r="BO1456" t="s">
        <v>9903</v>
      </c>
      <c r="BS1456">
        <v>30</v>
      </c>
      <c r="BW1456" t="str">
        <f>""</f>
        <v/>
      </c>
      <c r="CH1456" t="str">
        <f>""</f>
        <v/>
      </c>
      <c r="CS1456" t="str">
        <f>""</f>
        <v/>
      </c>
    </row>
    <row r="1457" spans="1:97" x14ac:dyDescent="0.25">
      <c r="A1457" t="s">
        <v>1465</v>
      </c>
      <c r="B1457" t="s">
        <v>9904</v>
      </c>
      <c r="E1457" t="s">
        <v>9905</v>
      </c>
      <c r="F1457" t="s">
        <v>108</v>
      </c>
      <c r="H1457" t="s">
        <v>9906</v>
      </c>
      <c r="I1457" t="s">
        <v>1397</v>
      </c>
      <c r="J1457" t="s">
        <v>111</v>
      </c>
      <c r="K1457" t="str">
        <f>"85331"</f>
        <v>85331</v>
      </c>
      <c r="L1457" t="s">
        <v>1586</v>
      </c>
      <c r="M1457" t="s">
        <v>9906</v>
      </c>
      <c r="N1457" t="s">
        <v>1397</v>
      </c>
      <c r="O1457" t="s">
        <v>111</v>
      </c>
      <c r="P1457" t="str">
        <f>"85331-7881"</f>
        <v>85331-7881</v>
      </c>
      <c r="Q1457" t="s">
        <v>113</v>
      </c>
      <c r="R1457" t="str">
        <f>"211-62-362"</f>
        <v>211-62-362</v>
      </c>
      <c r="S1457" t="s">
        <v>9907</v>
      </c>
      <c r="U1457">
        <v>1535</v>
      </c>
      <c r="V1457">
        <v>0</v>
      </c>
      <c r="W1457">
        <v>3</v>
      </c>
      <c r="X1457">
        <v>1993</v>
      </c>
      <c r="Z1457">
        <v>1</v>
      </c>
      <c r="AA1457" t="s">
        <v>26</v>
      </c>
      <c r="AB1457">
        <v>0</v>
      </c>
      <c r="AC1457" t="s">
        <v>115</v>
      </c>
      <c r="AD1457">
        <v>2</v>
      </c>
      <c r="AE1457" t="s">
        <v>115</v>
      </c>
      <c r="AF1457">
        <v>0</v>
      </c>
      <c r="AG1457">
        <v>0</v>
      </c>
      <c r="AH1457" t="s">
        <v>116</v>
      </c>
      <c r="AI1457" s="1">
        <v>27469</v>
      </c>
      <c r="AJ1457" s="2">
        <v>0.08</v>
      </c>
      <c r="AK1457" s="1">
        <v>326943</v>
      </c>
      <c r="AL1457" t="s">
        <v>117</v>
      </c>
      <c r="AM1457" t="s">
        <v>191</v>
      </c>
      <c r="AN1457">
        <v>4451</v>
      </c>
      <c r="AO1457">
        <v>0.1</v>
      </c>
      <c r="AP1457">
        <v>1</v>
      </c>
      <c r="AR1457">
        <v>1</v>
      </c>
      <c r="AS1457" s="1">
        <v>21900</v>
      </c>
      <c r="AT1457" s="1">
        <v>4380</v>
      </c>
      <c r="AU1457" s="1">
        <v>17520</v>
      </c>
      <c r="AV1457">
        <v>80</v>
      </c>
      <c r="AX1457" s="1">
        <v>1416.72</v>
      </c>
      <c r="AY1457" t="s">
        <v>7763</v>
      </c>
      <c r="AZ1457" t="s">
        <v>1402</v>
      </c>
      <c r="BA1457" t="s">
        <v>1403</v>
      </c>
      <c r="BE1457" s="3">
        <v>41670</v>
      </c>
      <c r="BF1457" s="1">
        <v>269000</v>
      </c>
      <c r="BG1457" t="s">
        <v>9908</v>
      </c>
      <c r="BH1457" s="1">
        <v>175.24</v>
      </c>
      <c r="BI1457" s="1">
        <v>299474</v>
      </c>
      <c r="BJ1457" s="3">
        <v>43585</v>
      </c>
      <c r="BK1457" t="s">
        <v>123</v>
      </c>
      <c r="BL1457" t="str">
        <f>"2019.309629"</f>
        <v>2019.309629</v>
      </c>
      <c r="BM1457" t="s">
        <v>460</v>
      </c>
      <c r="BN1457" t="s">
        <v>461</v>
      </c>
      <c r="BO1457" t="s">
        <v>9905</v>
      </c>
      <c r="BR1457" t="s">
        <v>139</v>
      </c>
      <c r="BW1457" t="str">
        <f>""</f>
        <v/>
      </c>
      <c r="CH1457" t="str">
        <f>""</f>
        <v/>
      </c>
      <c r="CS1457" t="str">
        <f>""</f>
        <v/>
      </c>
    </row>
    <row r="1458" spans="1:97" x14ac:dyDescent="0.25">
      <c r="A1458" t="s">
        <v>604</v>
      </c>
      <c r="B1458" t="s">
        <v>9909</v>
      </c>
      <c r="C1458" t="s">
        <v>9910</v>
      </c>
      <c r="D1458" t="s">
        <v>9909</v>
      </c>
      <c r="E1458" t="s">
        <v>9911</v>
      </c>
      <c r="F1458" t="s">
        <v>108</v>
      </c>
      <c r="H1458" t="s">
        <v>9912</v>
      </c>
      <c r="I1458" t="s">
        <v>1788</v>
      </c>
      <c r="J1458" t="s">
        <v>111</v>
      </c>
      <c r="K1458" t="str">
        <f>"85355"</f>
        <v>85355</v>
      </c>
      <c r="L1458" t="s">
        <v>734</v>
      </c>
      <c r="M1458" t="s">
        <v>9912</v>
      </c>
      <c r="N1458" t="s">
        <v>1788</v>
      </c>
      <c r="O1458" t="s">
        <v>111</v>
      </c>
      <c r="P1458" t="str">
        <f>"85355-9809"</f>
        <v>85355-9809</v>
      </c>
      <c r="Q1458" t="s">
        <v>113</v>
      </c>
      <c r="R1458" t="str">
        <f>"502-19-043-A"</f>
        <v>502-19-043-A</v>
      </c>
      <c r="S1458" t="s">
        <v>9913</v>
      </c>
      <c r="U1458">
        <v>2738</v>
      </c>
      <c r="V1458">
        <v>0</v>
      </c>
      <c r="W1458">
        <v>4</v>
      </c>
      <c r="X1458">
        <v>2000</v>
      </c>
      <c r="Z1458">
        <v>1</v>
      </c>
      <c r="AA1458" t="s">
        <v>26</v>
      </c>
      <c r="AB1458">
        <v>0</v>
      </c>
      <c r="AC1458" t="s">
        <v>115</v>
      </c>
      <c r="AD1458">
        <v>3</v>
      </c>
      <c r="AE1458" t="s">
        <v>115</v>
      </c>
      <c r="AF1458">
        <v>0</v>
      </c>
      <c r="AG1458">
        <v>0</v>
      </c>
      <c r="AH1458" t="s">
        <v>116</v>
      </c>
      <c r="AI1458" s="1">
        <v>157824</v>
      </c>
      <c r="AJ1458" s="2">
        <v>0.28999999999999998</v>
      </c>
      <c r="AK1458" s="1">
        <v>540886</v>
      </c>
      <c r="AL1458" t="s">
        <v>117</v>
      </c>
      <c r="AM1458" t="s">
        <v>376</v>
      </c>
      <c r="AN1458">
        <v>82781</v>
      </c>
      <c r="AO1458">
        <v>1.9</v>
      </c>
      <c r="AP1458">
        <v>1</v>
      </c>
      <c r="AR1458">
        <v>1</v>
      </c>
      <c r="AS1458" s="1">
        <v>42120</v>
      </c>
      <c r="AT1458" s="1">
        <v>8420</v>
      </c>
      <c r="AU1458" s="1">
        <v>33700</v>
      </c>
      <c r="AV1458">
        <v>80.010000000000005</v>
      </c>
      <c r="AX1458" s="1">
        <v>3382.64</v>
      </c>
      <c r="AY1458" t="s">
        <v>503</v>
      </c>
      <c r="AZ1458" t="s">
        <v>504</v>
      </c>
      <c r="BA1458" t="s">
        <v>218</v>
      </c>
      <c r="BE1458" s="3">
        <v>41645</v>
      </c>
      <c r="BF1458" s="1">
        <v>375000</v>
      </c>
      <c r="BG1458" t="s">
        <v>9914</v>
      </c>
      <c r="BH1458" s="1">
        <v>136.96</v>
      </c>
      <c r="BI1458" s="1">
        <v>383062</v>
      </c>
      <c r="BJ1458" s="3">
        <v>41645</v>
      </c>
      <c r="BK1458" t="s">
        <v>123</v>
      </c>
      <c r="BL1458" t="str">
        <f>"2014.8603"</f>
        <v>2014.8603</v>
      </c>
      <c r="BM1458" t="s">
        <v>724</v>
      </c>
      <c r="BO1458" t="s">
        <v>9915</v>
      </c>
      <c r="BS1458">
        <v>30</v>
      </c>
      <c r="BW1458" t="str">
        <f>""</f>
        <v/>
      </c>
      <c r="CH1458" t="str">
        <f>""</f>
        <v/>
      </c>
      <c r="CS1458" t="str">
        <f>""</f>
        <v/>
      </c>
    </row>
    <row r="1459" spans="1:97" x14ac:dyDescent="0.25">
      <c r="A1459" t="s">
        <v>2915</v>
      </c>
      <c r="B1459" t="s">
        <v>464</v>
      </c>
      <c r="C1459" t="s">
        <v>727</v>
      </c>
      <c r="D1459" t="s">
        <v>464</v>
      </c>
      <c r="E1459" t="s">
        <v>9916</v>
      </c>
      <c r="F1459" t="s">
        <v>108</v>
      </c>
      <c r="H1459" t="s">
        <v>9917</v>
      </c>
      <c r="I1459" t="s">
        <v>1788</v>
      </c>
      <c r="J1459" t="s">
        <v>111</v>
      </c>
      <c r="K1459" t="str">
        <f>"85355"</f>
        <v>85355</v>
      </c>
      <c r="L1459" t="s">
        <v>734</v>
      </c>
      <c r="M1459" t="s">
        <v>9917</v>
      </c>
      <c r="N1459" t="s">
        <v>1788</v>
      </c>
      <c r="O1459" t="s">
        <v>111</v>
      </c>
      <c r="P1459" t="str">
        <f>"85355-9374"</f>
        <v>85355-9374</v>
      </c>
      <c r="Q1459" t="s">
        <v>113</v>
      </c>
      <c r="R1459" t="str">
        <f>"502-23-067"</f>
        <v>502-23-067</v>
      </c>
      <c r="S1459" t="s">
        <v>9918</v>
      </c>
      <c r="U1459">
        <v>2425</v>
      </c>
      <c r="V1459">
        <v>0</v>
      </c>
      <c r="W1459">
        <v>3</v>
      </c>
      <c r="X1459">
        <v>1999</v>
      </c>
      <c r="Z1459">
        <v>1</v>
      </c>
      <c r="AA1459" t="s">
        <v>26</v>
      </c>
      <c r="AB1459">
        <v>0</v>
      </c>
      <c r="AC1459" t="s">
        <v>115</v>
      </c>
      <c r="AD1459">
        <v>3</v>
      </c>
      <c r="AE1459" t="s">
        <v>115</v>
      </c>
      <c r="AF1459">
        <v>0</v>
      </c>
      <c r="AG1459">
        <v>0</v>
      </c>
      <c r="AH1459" t="s">
        <v>116</v>
      </c>
      <c r="AI1459" s="1">
        <v>45832</v>
      </c>
      <c r="AJ1459" s="2">
        <v>0.1</v>
      </c>
      <c r="AK1459" s="1">
        <v>470547</v>
      </c>
      <c r="AL1459" t="s">
        <v>117</v>
      </c>
      <c r="AM1459" t="s">
        <v>376</v>
      </c>
      <c r="AN1459">
        <v>43844</v>
      </c>
      <c r="AO1459">
        <v>1.01</v>
      </c>
      <c r="AP1459">
        <v>1</v>
      </c>
      <c r="AR1459">
        <v>1</v>
      </c>
      <c r="AS1459" s="1">
        <v>32920</v>
      </c>
      <c r="AT1459" s="1">
        <v>6580</v>
      </c>
      <c r="AU1459" s="1">
        <v>26340</v>
      </c>
      <c r="AV1459">
        <v>80.010000000000005</v>
      </c>
      <c r="AX1459" s="1">
        <v>2170.38</v>
      </c>
      <c r="AY1459" t="s">
        <v>503</v>
      </c>
      <c r="AZ1459" t="s">
        <v>504</v>
      </c>
      <c r="BA1459" t="s">
        <v>218</v>
      </c>
      <c r="BE1459" s="3">
        <v>41928</v>
      </c>
      <c r="BF1459" s="1">
        <v>358000</v>
      </c>
      <c r="BG1459" t="s">
        <v>9919</v>
      </c>
      <c r="BH1459" s="1">
        <v>147.63</v>
      </c>
      <c r="BI1459" s="1">
        <v>366715</v>
      </c>
      <c r="BJ1459" s="3">
        <v>41928</v>
      </c>
      <c r="BK1459" t="s">
        <v>123</v>
      </c>
      <c r="BL1459" t="str">
        <f>"2014.687048"</f>
        <v>2014.687048</v>
      </c>
      <c r="BM1459" t="s">
        <v>594</v>
      </c>
      <c r="BN1459" t="s">
        <v>595</v>
      </c>
      <c r="BO1459" t="s">
        <v>9920</v>
      </c>
      <c r="BS1459">
        <v>30</v>
      </c>
      <c r="BT1459" s="1">
        <v>58000</v>
      </c>
      <c r="BU1459" s="3">
        <v>43438</v>
      </c>
      <c r="BW1459" t="str">
        <f>"2018.889716"</f>
        <v>2018.889716</v>
      </c>
      <c r="BX1459" t="s">
        <v>654</v>
      </c>
      <c r="BY1459" t="s">
        <v>655</v>
      </c>
      <c r="BZ1459" t="s">
        <v>9921</v>
      </c>
      <c r="CA1459" t="s">
        <v>9922</v>
      </c>
      <c r="CC1459" t="s">
        <v>346</v>
      </c>
      <c r="CH1459" t="str">
        <f>""</f>
        <v/>
      </c>
      <c r="CS1459" t="str">
        <f>""</f>
        <v/>
      </c>
    </row>
    <row r="1460" spans="1:97" x14ac:dyDescent="0.25">
      <c r="A1460" t="s">
        <v>701</v>
      </c>
      <c r="B1460" t="s">
        <v>9923</v>
      </c>
      <c r="C1460" t="s">
        <v>1289</v>
      </c>
      <c r="D1460" t="s">
        <v>9923</v>
      </c>
      <c r="E1460" t="s">
        <v>9924</v>
      </c>
      <c r="F1460" t="s">
        <v>282</v>
      </c>
      <c r="H1460" t="s">
        <v>9925</v>
      </c>
      <c r="I1460" t="s">
        <v>144</v>
      </c>
      <c r="J1460" t="s">
        <v>111</v>
      </c>
      <c r="K1460" t="str">
        <f>"85326"</f>
        <v>85326</v>
      </c>
      <c r="L1460" t="s">
        <v>3151</v>
      </c>
      <c r="M1460" t="s">
        <v>9926</v>
      </c>
      <c r="N1460" t="s">
        <v>144</v>
      </c>
      <c r="O1460" t="s">
        <v>111</v>
      </c>
      <c r="P1460" t="str">
        <f>"85326-9179"</f>
        <v>85326-9179</v>
      </c>
      <c r="Q1460" t="s">
        <v>113</v>
      </c>
      <c r="R1460" t="str">
        <f>"502-46-105-X"</f>
        <v>502-46-105-X</v>
      </c>
      <c r="U1460">
        <v>2126</v>
      </c>
      <c r="V1460">
        <v>0</v>
      </c>
      <c r="W1460">
        <v>3</v>
      </c>
      <c r="X1460">
        <v>2006</v>
      </c>
      <c r="Z1460">
        <v>1</v>
      </c>
      <c r="AA1460" t="s">
        <v>26</v>
      </c>
      <c r="AB1460">
        <v>0</v>
      </c>
      <c r="AC1460" t="s">
        <v>115</v>
      </c>
      <c r="AD1460">
        <v>3</v>
      </c>
      <c r="AE1460" t="s">
        <v>115</v>
      </c>
      <c r="AF1460">
        <v>0</v>
      </c>
      <c r="AG1460">
        <v>0</v>
      </c>
      <c r="AH1460" t="s">
        <v>116</v>
      </c>
      <c r="AI1460" s="1">
        <v>30606</v>
      </c>
      <c r="AJ1460" s="2">
        <v>0.09</v>
      </c>
      <c r="AK1460" s="1">
        <v>355247</v>
      </c>
      <c r="AL1460" t="s">
        <v>117</v>
      </c>
      <c r="AM1460" t="s">
        <v>376</v>
      </c>
      <c r="AN1460">
        <v>43561</v>
      </c>
      <c r="AO1460">
        <v>1</v>
      </c>
      <c r="AR1460">
        <v>1</v>
      </c>
      <c r="AS1460" s="1">
        <v>24650</v>
      </c>
      <c r="AT1460" s="1">
        <v>4930</v>
      </c>
      <c r="AU1460" s="1">
        <v>19720</v>
      </c>
      <c r="AV1460">
        <v>80</v>
      </c>
      <c r="AX1460" s="1">
        <v>2716.68</v>
      </c>
      <c r="AY1460" t="s">
        <v>2767</v>
      </c>
      <c r="AZ1460" t="s">
        <v>2767</v>
      </c>
      <c r="BA1460" t="s">
        <v>1247</v>
      </c>
      <c r="BE1460" s="3">
        <v>41698</v>
      </c>
      <c r="BF1460" s="1">
        <v>280200</v>
      </c>
      <c r="BG1460" t="s">
        <v>9927</v>
      </c>
      <c r="BH1460" s="1">
        <v>131.80000000000001</v>
      </c>
      <c r="BI1460" s="1">
        <v>289641</v>
      </c>
      <c r="BJ1460" s="3">
        <v>41960</v>
      </c>
      <c r="BK1460" t="s">
        <v>123</v>
      </c>
      <c r="BL1460" t="str">
        <f>"2014.757312"</f>
        <v>2014.757312</v>
      </c>
      <c r="BM1460" t="s">
        <v>9928</v>
      </c>
      <c r="BN1460" t="s">
        <v>9929</v>
      </c>
      <c r="BO1460" t="s">
        <v>9930</v>
      </c>
      <c r="BS1460">
        <v>30</v>
      </c>
      <c r="BT1460" s="1">
        <v>35000</v>
      </c>
      <c r="BU1460" s="3">
        <v>43357</v>
      </c>
      <c r="BW1460" t="str">
        <f>"2018.693302"</f>
        <v>2018.693302</v>
      </c>
      <c r="BX1460" t="s">
        <v>9931</v>
      </c>
      <c r="BY1460" t="s">
        <v>9932</v>
      </c>
      <c r="BZ1460" t="s">
        <v>9933</v>
      </c>
      <c r="CA1460" t="s">
        <v>9934</v>
      </c>
      <c r="CC1460" t="s">
        <v>346</v>
      </c>
      <c r="CH1460" t="str">
        <f>""</f>
        <v/>
      </c>
      <c r="CS1460" t="str">
        <f>""</f>
        <v/>
      </c>
    </row>
    <row r="1461" spans="1:97" x14ac:dyDescent="0.25">
      <c r="A1461" t="s">
        <v>1833</v>
      </c>
      <c r="B1461" t="s">
        <v>2537</v>
      </c>
      <c r="C1461" t="s">
        <v>9935</v>
      </c>
      <c r="D1461" t="s">
        <v>2537</v>
      </c>
      <c r="E1461" t="s">
        <v>9936</v>
      </c>
      <c r="F1461" t="s">
        <v>139</v>
      </c>
      <c r="H1461" t="s">
        <v>9937</v>
      </c>
      <c r="I1461" t="s">
        <v>6844</v>
      </c>
      <c r="J1461" t="s">
        <v>111</v>
      </c>
      <c r="K1461" t="str">
        <f>"85361"</f>
        <v>85361</v>
      </c>
      <c r="L1461" t="s">
        <v>1789</v>
      </c>
      <c r="M1461" t="s">
        <v>9938</v>
      </c>
      <c r="N1461" t="s">
        <v>6844</v>
      </c>
      <c r="O1461" t="s">
        <v>111</v>
      </c>
      <c r="P1461" t="str">
        <f>"85361"</f>
        <v>85361</v>
      </c>
      <c r="Q1461" t="s">
        <v>113</v>
      </c>
      <c r="R1461" t="str">
        <f>"503-39-025-A"</f>
        <v>503-39-025-A</v>
      </c>
      <c r="U1461">
        <v>1523</v>
      </c>
      <c r="V1461">
        <v>0</v>
      </c>
      <c r="W1461">
        <v>3</v>
      </c>
      <c r="X1461">
        <v>2003</v>
      </c>
      <c r="Z1461">
        <v>1</v>
      </c>
      <c r="AB1461">
        <v>0</v>
      </c>
      <c r="AC1461" t="s">
        <v>115</v>
      </c>
      <c r="AD1461">
        <v>2</v>
      </c>
      <c r="AE1461" t="s">
        <v>115</v>
      </c>
      <c r="AF1461">
        <v>0</v>
      </c>
      <c r="AG1461">
        <v>0</v>
      </c>
      <c r="AH1461" t="s">
        <v>116</v>
      </c>
      <c r="AI1461" s="1">
        <v>17879</v>
      </c>
      <c r="AJ1461" s="2">
        <v>7.0000000000000007E-2</v>
      </c>
      <c r="AK1461" s="1">
        <v>267879</v>
      </c>
      <c r="AL1461" t="s">
        <v>117</v>
      </c>
      <c r="AM1461" t="s">
        <v>376</v>
      </c>
      <c r="AN1461">
        <v>51790</v>
      </c>
      <c r="AO1461">
        <v>1.19</v>
      </c>
      <c r="AP1461">
        <v>1</v>
      </c>
      <c r="AR1461">
        <v>1</v>
      </c>
      <c r="AS1461" s="1">
        <v>17820</v>
      </c>
      <c r="AT1461" s="1">
        <v>3560</v>
      </c>
      <c r="AU1461" s="1">
        <v>14260</v>
      </c>
      <c r="AV1461">
        <v>80.02</v>
      </c>
      <c r="AX1461" s="1">
        <v>1010.78</v>
      </c>
      <c r="AY1461" t="s">
        <v>6847</v>
      </c>
      <c r="AZ1461" t="s">
        <v>6847</v>
      </c>
      <c r="BB1461" s="3">
        <v>42550</v>
      </c>
      <c r="BD1461" t="s">
        <v>842</v>
      </c>
      <c r="BE1461" s="3">
        <v>41648</v>
      </c>
      <c r="BF1461" s="1">
        <v>173500</v>
      </c>
      <c r="BG1461" t="s">
        <v>9939</v>
      </c>
      <c r="BH1461" s="1">
        <v>113.92</v>
      </c>
      <c r="BI1461" s="1">
        <v>250000</v>
      </c>
      <c r="BJ1461" s="3">
        <v>43643</v>
      </c>
      <c r="BK1461" t="s">
        <v>123</v>
      </c>
      <c r="BL1461" t="str">
        <f>"2019.488303"</f>
        <v>2019.488303</v>
      </c>
      <c r="BM1461" t="s">
        <v>3040</v>
      </c>
      <c r="BN1461" t="s">
        <v>3041</v>
      </c>
      <c r="BO1461" t="s">
        <v>9940</v>
      </c>
      <c r="BP1461" t="s">
        <v>9941</v>
      </c>
      <c r="BR1461" t="s">
        <v>139</v>
      </c>
      <c r="BW1461" t="str">
        <f>""</f>
        <v/>
      </c>
      <c r="CH1461" t="str">
        <f>""</f>
        <v/>
      </c>
      <c r="CS1461" t="str">
        <f>""</f>
        <v/>
      </c>
    </row>
    <row r="1462" spans="1:97" x14ac:dyDescent="0.25">
      <c r="A1462" t="s">
        <v>1289</v>
      </c>
      <c r="B1462" t="s">
        <v>482</v>
      </c>
      <c r="C1462" t="s">
        <v>4406</v>
      </c>
      <c r="D1462" t="s">
        <v>1089</v>
      </c>
      <c r="E1462" t="s">
        <v>9942</v>
      </c>
      <c r="F1462" t="s">
        <v>108</v>
      </c>
      <c r="H1462" t="s">
        <v>9943</v>
      </c>
      <c r="I1462" t="s">
        <v>453</v>
      </c>
      <c r="J1462" t="s">
        <v>111</v>
      </c>
      <c r="K1462" t="str">
        <f>"85383"</f>
        <v>85383</v>
      </c>
      <c r="L1462" t="s">
        <v>6316</v>
      </c>
      <c r="M1462" t="s">
        <v>9943</v>
      </c>
      <c r="N1462" t="s">
        <v>453</v>
      </c>
      <c r="O1462" t="s">
        <v>111</v>
      </c>
      <c r="P1462" t="str">
        <f>"85383-2174"</f>
        <v>85383-2174</v>
      </c>
      <c r="Q1462" t="s">
        <v>113</v>
      </c>
      <c r="R1462" t="str">
        <f>"200-07-171"</f>
        <v>200-07-171</v>
      </c>
      <c r="S1462" t="s">
        <v>9944</v>
      </c>
      <c r="T1462" t="s">
        <v>9944</v>
      </c>
      <c r="U1462">
        <v>3406</v>
      </c>
      <c r="V1462">
        <v>0</v>
      </c>
      <c r="W1462">
        <v>4</v>
      </c>
      <c r="X1462">
        <v>2000</v>
      </c>
      <c r="Z1462">
        <v>2</v>
      </c>
      <c r="AA1462" t="s">
        <v>26</v>
      </c>
      <c r="AB1462">
        <v>0</v>
      </c>
      <c r="AC1462" t="s">
        <v>115</v>
      </c>
      <c r="AD1462">
        <v>3</v>
      </c>
      <c r="AE1462" t="s">
        <v>115</v>
      </c>
      <c r="AF1462">
        <v>0</v>
      </c>
      <c r="AG1462">
        <v>0</v>
      </c>
      <c r="AH1462" t="s">
        <v>116</v>
      </c>
      <c r="AI1462" s="1">
        <v>77106</v>
      </c>
      <c r="AJ1462" s="2">
        <v>0.16</v>
      </c>
      <c r="AK1462" s="1">
        <v>472426</v>
      </c>
      <c r="AL1462" t="s">
        <v>117</v>
      </c>
      <c r="AM1462" t="s">
        <v>1302</v>
      </c>
      <c r="AN1462">
        <v>10660</v>
      </c>
      <c r="AO1462">
        <v>0.24</v>
      </c>
      <c r="AP1462">
        <v>1</v>
      </c>
      <c r="AR1462">
        <v>1</v>
      </c>
      <c r="AS1462" s="1">
        <v>35130</v>
      </c>
      <c r="AT1462" s="1">
        <v>7020</v>
      </c>
      <c r="AU1462" s="1">
        <v>28110</v>
      </c>
      <c r="AV1462">
        <v>80.02</v>
      </c>
      <c r="AX1462" s="1">
        <v>3665.14</v>
      </c>
      <c r="AY1462" t="s">
        <v>4218</v>
      </c>
      <c r="AZ1462" t="s">
        <v>4218</v>
      </c>
      <c r="BA1462" t="s">
        <v>4219</v>
      </c>
      <c r="BE1462" s="3">
        <v>42124</v>
      </c>
      <c r="BF1462" s="1">
        <v>387000</v>
      </c>
      <c r="BG1462" t="s">
        <v>9945</v>
      </c>
      <c r="BH1462" s="1">
        <v>113.62</v>
      </c>
      <c r="BI1462" s="1">
        <v>395320</v>
      </c>
      <c r="BJ1462" s="3">
        <v>42124</v>
      </c>
      <c r="BK1462" t="s">
        <v>123</v>
      </c>
      <c r="BL1462" t="str">
        <f>"2015.302988"</f>
        <v>2015.302988</v>
      </c>
      <c r="BM1462" t="s">
        <v>135</v>
      </c>
      <c r="BO1462" t="s">
        <v>9946</v>
      </c>
      <c r="BP1462" t="s">
        <v>9947</v>
      </c>
      <c r="BS1462">
        <v>30</v>
      </c>
      <c r="BW1462" t="str">
        <f>""</f>
        <v/>
      </c>
      <c r="CH1462" t="str">
        <f>""</f>
        <v/>
      </c>
      <c r="CS1462" t="str">
        <f>""</f>
        <v/>
      </c>
    </row>
    <row r="1463" spans="1:97" x14ac:dyDescent="0.25">
      <c r="A1463" t="s">
        <v>1340</v>
      </c>
      <c r="B1463" t="s">
        <v>9948</v>
      </c>
      <c r="C1463" t="s">
        <v>1950</v>
      </c>
      <c r="D1463" t="s">
        <v>9948</v>
      </c>
      <c r="E1463" t="s">
        <v>9949</v>
      </c>
      <c r="F1463" t="s">
        <v>108</v>
      </c>
      <c r="H1463" t="s">
        <v>9950</v>
      </c>
      <c r="I1463" t="s">
        <v>453</v>
      </c>
      <c r="J1463" t="s">
        <v>111</v>
      </c>
      <c r="K1463" t="str">
        <f>"85382"</f>
        <v>85382</v>
      </c>
      <c r="L1463" t="s">
        <v>3758</v>
      </c>
      <c r="M1463" t="s">
        <v>9950</v>
      </c>
      <c r="N1463" t="s">
        <v>453</v>
      </c>
      <c r="O1463" t="s">
        <v>111</v>
      </c>
      <c r="P1463" t="str">
        <f>"85382-3509"</f>
        <v>85382-3509</v>
      </c>
      <c r="Q1463" t="s">
        <v>113</v>
      </c>
      <c r="R1463" t="str">
        <f>"200-54-582"</f>
        <v>200-54-582</v>
      </c>
      <c r="S1463" t="s">
        <v>9951</v>
      </c>
      <c r="T1463" t="s">
        <v>9951</v>
      </c>
      <c r="U1463">
        <v>2391</v>
      </c>
      <c r="V1463">
        <v>0</v>
      </c>
      <c r="W1463">
        <v>4</v>
      </c>
      <c r="X1463">
        <v>1995</v>
      </c>
      <c r="Z1463">
        <v>2</v>
      </c>
      <c r="AA1463" t="s">
        <v>26</v>
      </c>
      <c r="AB1463">
        <v>0</v>
      </c>
      <c r="AC1463" t="s">
        <v>115</v>
      </c>
      <c r="AD1463">
        <v>2</v>
      </c>
      <c r="AE1463" t="s">
        <v>115</v>
      </c>
      <c r="AF1463">
        <v>0</v>
      </c>
      <c r="AG1463">
        <v>0</v>
      </c>
      <c r="AH1463" t="s">
        <v>116</v>
      </c>
      <c r="AI1463" s="1">
        <v>72037</v>
      </c>
      <c r="AJ1463" s="2">
        <v>0.2</v>
      </c>
      <c r="AK1463" s="1">
        <v>352488</v>
      </c>
      <c r="AL1463" t="s">
        <v>117</v>
      </c>
      <c r="AM1463" t="s">
        <v>191</v>
      </c>
      <c r="AN1463">
        <v>16400</v>
      </c>
      <c r="AO1463">
        <v>0.38</v>
      </c>
      <c r="AP1463">
        <v>1</v>
      </c>
      <c r="AR1463">
        <v>1</v>
      </c>
      <c r="AS1463" s="1">
        <v>26110</v>
      </c>
      <c r="AT1463" s="1">
        <v>5220</v>
      </c>
      <c r="AU1463" s="1">
        <v>20890</v>
      </c>
      <c r="AV1463">
        <v>80.010000000000005</v>
      </c>
      <c r="AX1463" s="1">
        <v>2140.38</v>
      </c>
      <c r="AY1463" t="s">
        <v>5573</v>
      </c>
      <c r="AZ1463" t="s">
        <v>5573</v>
      </c>
      <c r="BA1463" t="s">
        <v>1800</v>
      </c>
      <c r="BE1463" s="3">
        <v>42397</v>
      </c>
      <c r="BF1463" s="1">
        <v>281000</v>
      </c>
      <c r="BG1463" t="s">
        <v>9952</v>
      </c>
      <c r="BH1463" s="1">
        <v>117.52</v>
      </c>
      <c r="BI1463" s="1">
        <v>280451</v>
      </c>
      <c r="BJ1463" s="3">
        <v>42674</v>
      </c>
      <c r="BK1463" t="s">
        <v>123</v>
      </c>
      <c r="BL1463" t="str">
        <f>"2016.798037"</f>
        <v>2016.798037</v>
      </c>
      <c r="BM1463" t="s">
        <v>1287</v>
      </c>
      <c r="BO1463" t="s">
        <v>9953</v>
      </c>
      <c r="BS1463">
        <v>30</v>
      </c>
      <c r="BW1463" t="str">
        <f>""</f>
        <v/>
      </c>
      <c r="CH1463" t="str">
        <f>""</f>
        <v/>
      </c>
      <c r="CS1463" t="str">
        <f>""</f>
        <v/>
      </c>
    </row>
    <row r="1464" spans="1:97" x14ac:dyDescent="0.25">
      <c r="A1464" t="s">
        <v>370</v>
      </c>
      <c r="B1464" t="s">
        <v>815</v>
      </c>
      <c r="C1464" t="s">
        <v>9954</v>
      </c>
      <c r="D1464" t="s">
        <v>815</v>
      </c>
      <c r="E1464" t="s">
        <v>9955</v>
      </c>
      <c r="F1464" t="s">
        <v>282</v>
      </c>
      <c r="H1464" t="s">
        <v>9956</v>
      </c>
      <c r="I1464" t="s">
        <v>203</v>
      </c>
      <c r="J1464" t="s">
        <v>111</v>
      </c>
      <c r="K1464" t="str">
        <f>"85298"</f>
        <v>85298</v>
      </c>
      <c r="L1464" t="s">
        <v>5872</v>
      </c>
      <c r="M1464" t="s">
        <v>9957</v>
      </c>
      <c r="N1464" t="s">
        <v>203</v>
      </c>
      <c r="O1464" t="s">
        <v>111</v>
      </c>
      <c r="P1464" t="str">
        <f>"85233-6600"</f>
        <v>85233-6600</v>
      </c>
      <c r="Q1464" t="s">
        <v>113</v>
      </c>
      <c r="R1464" t="str">
        <f>"313-04-869"</f>
        <v>313-04-869</v>
      </c>
      <c r="S1464" t="s">
        <v>9958</v>
      </c>
      <c r="T1464" t="s">
        <v>9959</v>
      </c>
      <c r="U1464">
        <v>2064</v>
      </c>
      <c r="V1464">
        <v>0</v>
      </c>
      <c r="W1464">
        <v>3</v>
      </c>
      <c r="X1464">
        <v>2005</v>
      </c>
      <c r="Z1464">
        <v>1</v>
      </c>
      <c r="AA1464" t="s">
        <v>26</v>
      </c>
      <c r="AB1464">
        <v>0</v>
      </c>
      <c r="AC1464" t="s">
        <v>115</v>
      </c>
      <c r="AD1464">
        <v>2</v>
      </c>
      <c r="AE1464" t="s">
        <v>115</v>
      </c>
      <c r="AF1464">
        <v>0</v>
      </c>
      <c r="AG1464">
        <v>0</v>
      </c>
      <c r="AH1464" t="s">
        <v>116</v>
      </c>
      <c r="AI1464" s="1">
        <v>57978</v>
      </c>
      <c r="AJ1464" s="2">
        <v>0.16</v>
      </c>
      <c r="AK1464" s="1">
        <v>368911</v>
      </c>
      <c r="AL1464" t="s">
        <v>117</v>
      </c>
      <c r="AM1464" t="s">
        <v>393</v>
      </c>
      <c r="AN1464">
        <v>7080</v>
      </c>
      <c r="AO1464">
        <v>0.16</v>
      </c>
      <c r="AR1464">
        <v>1</v>
      </c>
      <c r="AS1464" s="1">
        <v>26270</v>
      </c>
      <c r="AT1464" s="1">
        <v>5250</v>
      </c>
      <c r="AU1464" s="1">
        <v>21020</v>
      </c>
      <c r="AV1464">
        <v>80.02</v>
      </c>
      <c r="AX1464" s="1">
        <v>2556.04</v>
      </c>
      <c r="AY1464" t="s">
        <v>5875</v>
      </c>
      <c r="AZ1464" t="s">
        <v>1134</v>
      </c>
      <c r="BA1464" t="s">
        <v>1134</v>
      </c>
      <c r="BB1464" s="3">
        <v>42423</v>
      </c>
      <c r="BD1464" t="s">
        <v>240</v>
      </c>
      <c r="BE1464" s="3">
        <v>42353</v>
      </c>
      <c r="BF1464" s="1">
        <v>301000</v>
      </c>
      <c r="BG1464" t="s">
        <v>9960</v>
      </c>
      <c r="BH1464" s="1">
        <v>145.83000000000001</v>
      </c>
      <c r="BI1464" s="1">
        <v>310933</v>
      </c>
      <c r="BJ1464" s="3">
        <v>42353</v>
      </c>
      <c r="BK1464" t="s">
        <v>123</v>
      </c>
      <c r="BL1464" t="str">
        <f>"2015.883637"</f>
        <v>2015.883637</v>
      </c>
      <c r="BM1464" t="s">
        <v>594</v>
      </c>
      <c r="BO1464" t="s">
        <v>9961</v>
      </c>
      <c r="BS1464">
        <v>30</v>
      </c>
      <c r="BW1464" t="str">
        <f>""</f>
        <v/>
      </c>
      <c r="CH1464" t="str">
        <f>""</f>
        <v/>
      </c>
      <c r="CS1464" t="str">
        <f>""</f>
        <v/>
      </c>
    </row>
    <row r="1465" spans="1:97" x14ac:dyDescent="0.25">
      <c r="A1465" t="s">
        <v>1272</v>
      </c>
      <c r="B1465" t="s">
        <v>9962</v>
      </c>
      <c r="C1465" t="s">
        <v>9963</v>
      </c>
      <c r="D1465" t="s">
        <v>9962</v>
      </c>
      <c r="E1465" t="s">
        <v>9964</v>
      </c>
      <c r="F1465" t="s">
        <v>108</v>
      </c>
      <c r="H1465" t="s">
        <v>9965</v>
      </c>
      <c r="I1465" t="s">
        <v>1936</v>
      </c>
      <c r="J1465" t="s">
        <v>111</v>
      </c>
      <c r="K1465" t="str">
        <f>"85255"</f>
        <v>85255</v>
      </c>
      <c r="L1465" t="s">
        <v>8255</v>
      </c>
      <c r="M1465" t="s">
        <v>9965</v>
      </c>
      <c r="N1465" t="s">
        <v>1936</v>
      </c>
      <c r="O1465" t="s">
        <v>111</v>
      </c>
      <c r="P1465" t="str">
        <f>"85255-3550"</f>
        <v>85255-3550</v>
      </c>
      <c r="Q1465" t="s">
        <v>113</v>
      </c>
      <c r="R1465" t="str">
        <f>"212-03-128"</f>
        <v>212-03-128</v>
      </c>
      <c r="T1465" t="s">
        <v>9966</v>
      </c>
      <c r="U1465">
        <v>2576</v>
      </c>
      <c r="V1465">
        <v>0</v>
      </c>
      <c r="W1465">
        <v>3</v>
      </c>
      <c r="X1465">
        <v>1984</v>
      </c>
      <c r="Z1465">
        <v>1</v>
      </c>
      <c r="AA1465" t="s">
        <v>26</v>
      </c>
      <c r="AB1465">
        <v>0</v>
      </c>
      <c r="AC1465" t="s">
        <v>115</v>
      </c>
      <c r="AD1465">
        <v>3</v>
      </c>
      <c r="AE1465" t="s">
        <v>115</v>
      </c>
      <c r="AF1465">
        <v>0</v>
      </c>
      <c r="AG1465">
        <v>0</v>
      </c>
      <c r="AH1465" t="s">
        <v>116</v>
      </c>
      <c r="AI1465" s="1">
        <v>159205</v>
      </c>
      <c r="AJ1465" s="2">
        <v>0.22</v>
      </c>
      <c r="AK1465" s="1">
        <v>717507</v>
      </c>
      <c r="AL1465" t="s">
        <v>117</v>
      </c>
      <c r="AM1465" t="s">
        <v>9967</v>
      </c>
      <c r="AN1465">
        <v>84071</v>
      </c>
      <c r="AO1465">
        <v>1.93</v>
      </c>
      <c r="AP1465">
        <v>1</v>
      </c>
      <c r="AR1465">
        <v>1</v>
      </c>
      <c r="AS1465" s="1">
        <v>50470</v>
      </c>
      <c r="AT1465" s="1">
        <v>10090</v>
      </c>
      <c r="AU1465" s="1">
        <v>40380</v>
      </c>
      <c r="AV1465">
        <v>80.010000000000005</v>
      </c>
      <c r="AX1465" s="1">
        <v>4940.72</v>
      </c>
      <c r="AY1465" t="s">
        <v>9968</v>
      </c>
      <c r="AZ1465" t="s">
        <v>761</v>
      </c>
      <c r="BA1465" t="s">
        <v>762</v>
      </c>
      <c r="BE1465" s="3">
        <v>42083</v>
      </c>
      <c r="BF1465" s="1">
        <v>630000</v>
      </c>
      <c r="BG1465" t="s">
        <v>9969</v>
      </c>
      <c r="BH1465" s="1">
        <v>244.57</v>
      </c>
      <c r="BI1465" s="1">
        <v>558302</v>
      </c>
      <c r="BJ1465" s="3">
        <v>42460</v>
      </c>
      <c r="BK1465" t="s">
        <v>123</v>
      </c>
      <c r="BL1465" t="str">
        <f>"2016.209817"</f>
        <v>2016.209817</v>
      </c>
      <c r="BM1465" t="s">
        <v>475</v>
      </c>
      <c r="BO1465" t="s">
        <v>9970</v>
      </c>
      <c r="BS1465">
        <v>30</v>
      </c>
      <c r="BW1465" t="str">
        <f>""</f>
        <v/>
      </c>
      <c r="CH1465" t="str">
        <f>""</f>
        <v/>
      </c>
      <c r="CS1465" t="str">
        <f>""</f>
        <v/>
      </c>
    </row>
    <row r="1466" spans="1:97" x14ac:dyDescent="0.25">
      <c r="B1466" t="s">
        <v>9971</v>
      </c>
      <c r="C1466" t="s">
        <v>9972</v>
      </c>
      <c r="E1466" t="s">
        <v>9973</v>
      </c>
      <c r="F1466" t="s">
        <v>108</v>
      </c>
      <c r="H1466" t="s">
        <v>9974</v>
      </c>
      <c r="I1466" t="s">
        <v>453</v>
      </c>
      <c r="J1466" t="s">
        <v>111</v>
      </c>
      <c r="K1466" t="str">
        <f>"85383"</f>
        <v>85383</v>
      </c>
      <c r="L1466" t="s">
        <v>6316</v>
      </c>
      <c r="M1466" t="s">
        <v>9974</v>
      </c>
      <c r="N1466" t="s">
        <v>453</v>
      </c>
      <c r="O1466" t="s">
        <v>111</v>
      </c>
      <c r="P1466" t="str">
        <f>"85383-2141"</f>
        <v>85383-2141</v>
      </c>
      <c r="Q1466" t="s">
        <v>113</v>
      </c>
      <c r="R1466" t="str">
        <f>"200-07-483"</f>
        <v>200-07-483</v>
      </c>
      <c r="S1466" t="s">
        <v>9975</v>
      </c>
      <c r="U1466">
        <v>2946</v>
      </c>
      <c r="V1466">
        <v>0</v>
      </c>
      <c r="W1466">
        <v>4</v>
      </c>
      <c r="X1466">
        <v>2000</v>
      </c>
      <c r="Z1466">
        <v>1</v>
      </c>
      <c r="AB1466">
        <v>0</v>
      </c>
      <c r="AC1466" t="s">
        <v>115</v>
      </c>
      <c r="AD1466">
        <v>3</v>
      </c>
      <c r="AE1466" t="s">
        <v>115</v>
      </c>
      <c r="AF1466">
        <v>0</v>
      </c>
      <c r="AG1466">
        <v>0</v>
      </c>
      <c r="AH1466" t="s">
        <v>116</v>
      </c>
      <c r="AI1466" s="1">
        <v>79407</v>
      </c>
      <c r="AJ1466" s="2">
        <v>0.18</v>
      </c>
      <c r="AK1466" s="1">
        <v>441762</v>
      </c>
      <c r="AL1466" t="s">
        <v>117</v>
      </c>
      <c r="AM1466" t="s">
        <v>118</v>
      </c>
      <c r="AN1466">
        <v>9251</v>
      </c>
      <c r="AO1466">
        <v>0.21</v>
      </c>
      <c r="AP1466">
        <v>1</v>
      </c>
      <c r="AR1466">
        <v>1</v>
      </c>
      <c r="AS1466" s="1">
        <v>32530</v>
      </c>
      <c r="AT1466" s="1">
        <v>6500</v>
      </c>
      <c r="AU1466" s="1">
        <v>26030</v>
      </c>
      <c r="AV1466">
        <v>80.02</v>
      </c>
      <c r="AX1466" s="1">
        <v>3375.26</v>
      </c>
      <c r="AY1466" t="s">
        <v>4218</v>
      </c>
      <c r="AZ1466" t="s">
        <v>4218</v>
      </c>
      <c r="BA1466" t="s">
        <v>4219</v>
      </c>
      <c r="BB1466" s="3">
        <v>43622</v>
      </c>
      <c r="BC1466" s="1">
        <v>0</v>
      </c>
      <c r="BD1466" t="s">
        <v>247</v>
      </c>
      <c r="BE1466" s="3">
        <v>42369</v>
      </c>
      <c r="BF1466" s="1">
        <v>355355</v>
      </c>
      <c r="BG1466" t="s">
        <v>9976</v>
      </c>
      <c r="BH1466" s="1">
        <v>120.62</v>
      </c>
      <c r="BI1466" s="1">
        <v>362355</v>
      </c>
      <c r="BJ1466" s="3">
        <v>42674</v>
      </c>
      <c r="BK1466" t="s">
        <v>123</v>
      </c>
      <c r="BL1466" t="str">
        <f>"2016.798863"</f>
        <v>2016.798863</v>
      </c>
      <c r="BM1466" t="s">
        <v>2368</v>
      </c>
      <c r="BN1466" t="s">
        <v>6128</v>
      </c>
      <c r="BO1466" t="s">
        <v>9977</v>
      </c>
      <c r="BS1466">
        <v>30</v>
      </c>
      <c r="BW1466" t="str">
        <f>""</f>
        <v/>
      </c>
      <c r="CH1466" t="str">
        <f>""</f>
        <v/>
      </c>
      <c r="CS1466" t="str">
        <f>""</f>
        <v/>
      </c>
    </row>
    <row r="1467" spans="1:97" x14ac:dyDescent="0.25">
      <c r="A1467" t="s">
        <v>1906</v>
      </c>
      <c r="B1467" t="s">
        <v>7508</v>
      </c>
      <c r="C1467" t="s">
        <v>996</v>
      </c>
      <c r="D1467" t="s">
        <v>7508</v>
      </c>
      <c r="E1467" t="s">
        <v>9978</v>
      </c>
      <c r="F1467" t="s">
        <v>108</v>
      </c>
      <c r="H1467" t="s">
        <v>9979</v>
      </c>
      <c r="I1467" t="s">
        <v>225</v>
      </c>
      <c r="J1467" t="s">
        <v>111</v>
      </c>
      <c r="K1467" t="str">
        <f>"85206"</f>
        <v>85206</v>
      </c>
      <c r="L1467" t="s">
        <v>1312</v>
      </c>
      <c r="M1467" t="s">
        <v>9979</v>
      </c>
      <c r="N1467" t="s">
        <v>225</v>
      </c>
      <c r="O1467" t="s">
        <v>111</v>
      </c>
      <c r="P1467" t="str">
        <f>"85206-2560"</f>
        <v>85206-2560</v>
      </c>
      <c r="Q1467" t="s">
        <v>113</v>
      </c>
      <c r="R1467" t="str">
        <f>"140-47-055"</f>
        <v>140-47-055</v>
      </c>
      <c r="S1467" t="s">
        <v>9980</v>
      </c>
      <c r="T1467" t="s">
        <v>9981</v>
      </c>
      <c r="U1467">
        <v>2237</v>
      </c>
      <c r="V1467">
        <v>0</v>
      </c>
      <c r="W1467">
        <v>4</v>
      </c>
      <c r="X1467">
        <v>1996</v>
      </c>
      <c r="Z1467">
        <v>1</v>
      </c>
      <c r="AA1467" t="s">
        <v>26</v>
      </c>
      <c r="AB1467">
        <v>0</v>
      </c>
      <c r="AC1467" t="s">
        <v>115</v>
      </c>
      <c r="AD1467">
        <v>3</v>
      </c>
      <c r="AE1467" t="s">
        <v>115</v>
      </c>
      <c r="AF1467">
        <v>0</v>
      </c>
      <c r="AG1467">
        <v>0</v>
      </c>
      <c r="AH1467" t="s">
        <v>116</v>
      </c>
      <c r="AI1467" s="1">
        <v>15899</v>
      </c>
      <c r="AJ1467" s="2">
        <v>0.04</v>
      </c>
      <c r="AK1467" s="1">
        <v>410899</v>
      </c>
      <c r="AL1467" t="s">
        <v>117</v>
      </c>
      <c r="AM1467" t="s">
        <v>1521</v>
      </c>
      <c r="AN1467">
        <v>17500</v>
      </c>
      <c r="AO1467">
        <v>0.4</v>
      </c>
      <c r="AP1467">
        <v>1</v>
      </c>
      <c r="AR1467">
        <v>1</v>
      </c>
      <c r="AS1467" s="1">
        <v>31510</v>
      </c>
      <c r="AT1467" s="1">
        <v>6300</v>
      </c>
      <c r="AU1467" s="1">
        <v>25210</v>
      </c>
      <c r="AV1467">
        <v>80.010000000000005</v>
      </c>
      <c r="AX1467" s="1">
        <v>2425.64</v>
      </c>
      <c r="AY1467" t="s">
        <v>9360</v>
      </c>
      <c r="AZ1467" t="s">
        <v>5158</v>
      </c>
      <c r="BA1467" t="s">
        <v>5159</v>
      </c>
      <c r="BE1467" s="3">
        <v>41880</v>
      </c>
      <c r="BF1467" s="1">
        <v>342000</v>
      </c>
      <c r="BG1467" t="s">
        <v>9982</v>
      </c>
      <c r="BH1467" s="1">
        <v>152.88</v>
      </c>
      <c r="BI1467" s="1">
        <v>395000</v>
      </c>
      <c r="BJ1467" s="3">
        <v>42697</v>
      </c>
      <c r="BK1467" t="s">
        <v>123</v>
      </c>
      <c r="BL1467" t="str">
        <f>"2016.867029"</f>
        <v>2016.867029</v>
      </c>
      <c r="BM1467" t="s">
        <v>2458</v>
      </c>
      <c r="BO1467" t="s">
        <v>9983</v>
      </c>
      <c r="BS1467">
        <v>30</v>
      </c>
      <c r="BW1467" t="str">
        <f>""</f>
        <v/>
      </c>
      <c r="CH1467" t="str">
        <f>""</f>
        <v/>
      </c>
      <c r="CS1467" t="str">
        <f>""</f>
        <v/>
      </c>
    </row>
    <row r="1468" spans="1:97" x14ac:dyDescent="0.25">
      <c r="A1468" t="s">
        <v>9984</v>
      </c>
      <c r="B1468" t="s">
        <v>9985</v>
      </c>
      <c r="E1468" t="s">
        <v>9986</v>
      </c>
      <c r="F1468" t="s">
        <v>108</v>
      </c>
      <c r="H1468" t="s">
        <v>9987</v>
      </c>
      <c r="I1468" t="s">
        <v>203</v>
      </c>
      <c r="J1468" t="s">
        <v>111</v>
      </c>
      <c r="K1468" t="str">
        <f>"85233"</f>
        <v>85233</v>
      </c>
      <c r="L1468" t="s">
        <v>5416</v>
      </c>
      <c r="M1468" t="s">
        <v>9987</v>
      </c>
      <c r="N1468" t="s">
        <v>203</v>
      </c>
      <c r="O1468" t="s">
        <v>111</v>
      </c>
      <c r="P1468" t="str">
        <f>"85233-1714"</f>
        <v>85233-1714</v>
      </c>
      <c r="Q1468" t="s">
        <v>113</v>
      </c>
      <c r="R1468" t="str">
        <f>"302-09-196"</f>
        <v>302-09-196</v>
      </c>
      <c r="S1468" t="s">
        <v>9988</v>
      </c>
      <c r="U1468">
        <v>2732</v>
      </c>
      <c r="V1468">
        <v>0</v>
      </c>
      <c r="W1468">
        <v>4</v>
      </c>
      <c r="X1468">
        <v>1994</v>
      </c>
      <c r="Z1468">
        <v>2</v>
      </c>
      <c r="AA1468" t="s">
        <v>26</v>
      </c>
      <c r="AB1468">
        <v>0</v>
      </c>
      <c r="AC1468" t="s">
        <v>115</v>
      </c>
      <c r="AD1468">
        <v>3</v>
      </c>
      <c r="AE1468" t="s">
        <v>115</v>
      </c>
      <c r="AF1468">
        <v>0</v>
      </c>
      <c r="AG1468">
        <v>0</v>
      </c>
      <c r="AH1468" t="s">
        <v>116</v>
      </c>
      <c r="AI1468" s="1">
        <v>53354</v>
      </c>
      <c r="AJ1468" s="2">
        <v>0.16</v>
      </c>
      <c r="AK1468" s="1">
        <v>343159</v>
      </c>
      <c r="AL1468" t="s">
        <v>117</v>
      </c>
      <c r="AM1468" t="s">
        <v>393</v>
      </c>
      <c r="AN1468">
        <v>6821</v>
      </c>
      <c r="AO1468">
        <v>0.16</v>
      </c>
      <c r="AP1468">
        <v>1</v>
      </c>
      <c r="AR1468">
        <v>1</v>
      </c>
      <c r="AS1468" s="1">
        <v>28980</v>
      </c>
      <c r="AT1468" s="1">
        <v>5790</v>
      </c>
      <c r="AU1468" s="1">
        <v>23190</v>
      </c>
      <c r="AV1468">
        <v>80.02</v>
      </c>
      <c r="AX1468" s="1">
        <v>2415.84</v>
      </c>
      <c r="AY1468" t="s">
        <v>9989</v>
      </c>
      <c r="AZ1468" t="s">
        <v>5478</v>
      </c>
      <c r="BA1468" t="s">
        <v>5479</v>
      </c>
      <c r="BE1468" s="3">
        <v>41817</v>
      </c>
      <c r="BF1468" s="1">
        <v>291000</v>
      </c>
      <c r="BG1468" t="s">
        <v>9990</v>
      </c>
      <c r="BH1468" s="1">
        <v>106.52</v>
      </c>
      <c r="BI1468" s="1">
        <v>289805</v>
      </c>
      <c r="BJ1468" s="3">
        <v>42619</v>
      </c>
      <c r="BK1468" t="s">
        <v>123</v>
      </c>
      <c r="BL1468" t="str">
        <f>"2016.641600"</f>
        <v>2016.641600</v>
      </c>
      <c r="BM1468" t="s">
        <v>2117</v>
      </c>
      <c r="BO1468" t="s">
        <v>9991</v>
      </c>
      <c r="BS1468">
        <v>30</v>
      </c>
      <c r="BW1468" t="str">
        <f>""</f>
        <v/>
      </c>
      <c r="CH1468" t="str">
        <f>""</f>
        <v/>
      </c>
      <c r="CS1468" t="str">
        <f>""</f>
        <v/>
      </c>
    </row>
    <row r="1469" spans="1:97" x14ac:dyDescent="0.25">
      <c r="A1469" t="s">
        <v>6280</v>
      </c>
      <c r="B1469" t="s">
        <v>5356</v>
      </c>
      <c r="C1469" t="s">
        <v>9992</v>
      </c>
      <c r="D1469" t="s">
        <v>5356</v>
      </c>
      <c r="E1469" t="s">
        <v>9993</v>
      </c>
      <c r="F1469" t="s">
        <v>108</v>
      </c>
      <c r="H1469" t="s">
        <v>9994</v>
      </c>
      <c r="I1469" t="s">
        <v>632</v>
      </c>
      <c r="J1469" t="s">
        <v>111</v>
      </c>
      <c r="K1469" t="str">
        <f>"85379"</f>
        <v>85379</v>
      </c>
      <c r="L1469" t="s">
        <v>7109</v>
      </c>
      <c r="M1469" t="s">
        <v>9994</v>
      </c>
      <c r="N1469" t="s">
        <v>632</v>
      </c>
      <c r="O1469" t="s">
        <v>111</v>
      </c>
      <c r="P1469" t="str">
        <f>"85379-4386"</f>
        <v>85379-4386</v>
      </c>
      <c r="Q1469" t="s">
        <v>113</v>
      </c>
      <c r="R1469" t="str">
        <f>"509-15-466"</f>
        <v>509-15-466</v>
      </c>
      <c r="S1469" t="s">
        <v>7110</v>
      </c>
      <c r="U1469">
        <v>4242</v>
      </c>
      <c r="V1469">
        <v>0</v>
      </c>
      <c r="W1469">
        <v>5</v>
      </c>
      <c r="X1469">
        <v>2004</v>
      </c>
      <c r="Z1469">
        <v>2</v>
      </c>
      <c r="AA1469" t="s">
        <v>26</v>
      </c>
      <c r="AB1469">
        <v>0</v>
      </c>
      <c r="AC1469" t="s">
        <v>115</v>
      </c>
      <c r="AD1469">
        <v>3</v>
      </c>
      <c r="AE1469" t="s">
        <v>115</v>
      </c>
      <c r="AF1469">
        <v>0</v>
      </c>
      <c r="AG1469">
        <v>0</v>
      </c>
      <c r="AH1469" t="s">
        <v>116</v>
      </c>
      <c r="AI1469" s="1">
        <v>77244</v>
      </c>
      <c r="AJ1469" s="2">
        <v>0.19</v>
      </c>
      <c r="AK1469" s="1">
        <v>412969</v>
      </c>
      <c r="AL1469" t="s">
        <v>117</v>
      </c>
      <c r="AM1469" t="s">
        <v>118</v>
      </c>
      <c r="AN1469">
        <v>10667</v>
      </c>
      <c r="AO1469">
        <v>0.24</v>
      </c>
      <c r="AP1469">
        <v>1</v>
      </c>
      <c r="AR1469">
        <v>1</v>
      </c>
      <c r="AS1469" s="1">
        <v>30450</v>
      </c>
      <c r="AT1469" s="1">
        <v>6090</v>
      </c>
      <c r="AU1469" s="1">
        <v>24360</v>
      </c>
      <c r="AV1469">
        <v>80</v>
      </c>
      <c r="AX1469" s="1">
        <v>2468.7600000000002</v>
      </c>
      <c r="AY1469" t="s">
        <v>5615</v>
      </c>
      <c r="AZ1469" t="s">
        <v>5615</v>
      </c>
      <c r="BA1469" t="s">
        <v>635</v>
      </c>
      <c r="BE1469" s="3">
        <v>42461</v>
      </c>
      <c r="BF1469" s="1">
        <v>325000</v>
      </c>
      <c r="BG1469" t="s">
        <v>9995</v>
      </c>
      <c r="BH1469" s="1">
        <v>76.61</v>
      </c>
      <c r="BI1469" s="1">
        <v>335725</v>
      </c>
      <c r="BJ1469" s="3">
        <v>42461</v>
      </c>
      <c r="BK1469" t="s">
        <v>123</v>
      </c>
      <c r="BL1469" t="str">
        <f>"2016.217984"</f>
        <v>2016.217984</v>
      </c>
      <c r="BM1469" t="s">
        <v>9996</v>
      </c>
      <c r="BO1469" t="s">
        <v>9997</v>
      </c>
      <c r="BS1469">
        <v>30</v>
      </c>
      <c r="BW1469" t="str">
        <f>""</f>
        <v/>
      </c>
      <c r="CH1469" t="str">
        <f>""</f>
        <v/>
      </c>
      <c r="CS1469" t="str">
        <f>""</f>
        <v/>
      </c>
    </row>
    <row r="1470" spans="1:97" x14ac:dyDescent="0.25">
      <c r="A1470" t="s">
        <v>1109</v>
      </c>
      <c r="B1470" t="s">
        <v>7143</v>
      </c>
      <c r="C1470" t="s">
        <v>9998</v>
      </c>
      <c r="D1470" t="s">
        <v>7143</v>
      </c>
      <c r="E1470" t="s">
        <v>9999</v>
      </c>
      <c r="F1470" t="s">
        <v>108</v>
      </c>
      <c r="H1470" t="s">
        <v>10000</v>
      </c>
      <c r="I1470" t="s">
        <v>499</v>
      </c>
      <c r="J1470" t="s">
        <v>111</v>
      </c>
      <c r="K1470" t="str">
        <f>"85395"</f>
        <v>85395</v>
      </c>
      <c r="L1470" t="s">
        <v>168</v>
      </c>
      <c r="M1470" t="s">
        <v>10000</v>
      </c>
      <c r="N1470" t="s">
        <v>499</v>
      </c>
      <c r="O1470" t="s">
        <v>111</v>
      </c>
      <c r="P1470" t="str">
        <f>"85395-6443"</f>
        <v>85395-6443</v>
      </c>
      <c r="Q1470" t="s">
        <v>113</v>
      </c>
      <c r="R1470" t="str">
        <f>"501-62-863"</f>
        <v>501-62-863</v>
      </c>
      <c r="S1470" t="s">
        <v>10001</v>
      </c>
      <c r="T1470" t="s">
        <v>10002</v>
      </c>
      <c r="U1470">
        <v>2288</v>
      </c>
      <c r="V1470">
        <v>0</v>
      </c>
      <c r="W1470">
        <v>3</v>
      </c>
      <c r="X1470">
        <v>2014</v>
      </c>
      <c r="Z1470">
        <v>1</v>
      </c>
      <c r="AA1470" t="s">
        <v>26</v>
      </c>
      <c r="AB1470">
        <v>0</v>
      </c>
      <c r="AC1470" t="s">
        <v>115</v>
      </c>
      <c r="AD1470">
        <v>3</v>
      </c>
      <c r="AE1470" t="s">
        <v>115</v>
      </c>
      <c r="AF1470">
        <v>0</v>
      </c>
      <c r="AG1470">
        <v>0</v>
      </c>
      <c r="AH1470" t="s">
        <v>116</v>
      </c>
      <c r="AI1470" s="1">
        <v>58017</v>
      </c>
      <c r="AJ1470" s="2">
        <v>0.15</v>
      </c>
      <c r="AK1470" s="1">
        <v>393103</v>
      </c>
      <c r="AL1470" t="s">
        <v>117</v>
      </c>
      <c r="AM1470" t="s">
        <v>118</v>
      </c>
      <c r="AN1470">
        <v>8400</v>
      </c>
      <c r="AO1470">
        <v>0.19</v>
      </c>
      <c r="AR1470">
        <v>1</v>
      </c>
      <c r="AS1470" s="1">
        <v>27530</v>
      </c>
      <c r="AT1470" s="1">
        <v>5500</v>
      </c>
      <c r="AU1470" s="1">
        <v>22030</v>
      </c>
      <c r="AV1470">
        <v>80.02</v>
      </c>
      <c r="AX1470" s="1">
        <v>2751.28</v>
      </c>
      <c r="AY1470" t="s">
        <v>3019</v>
      </c>
      <c r="AZ1470" t="s">
        <v>504</v>
      </c>
      <c r="BA1470" t="s">
        <v>3154</v>
      </c>
      <c r="BE1470" s="3">
        <v>41929</v>
      </c>
      <c r="BF1470" s="1">
        <v>294815</v>
      </c>
      <c r="BG1470" t="s">
        <v>3021</v>
      </c>
      <c r="BH1470" s="1">
        <v>128.85</v>
      </c>
      <c r="BI1470" s="1">
        <v>303586</v>
      </c>
      <c r="BJ1470" s="3">
        <v>42629</v>
      </c>
      <c r="BK1470" t="s">
        <v>123</v>
      </c>
      <c r="BL1470" t="str">
        <f>"2016.674489"</f>
        <v>2016.674489</v>
      </c>
      <c r="BM1470" t="s">
        <v>594</v>
      </c>
      <c r="BN1470" t="s">
        <v>10003</v>
      </c>
      <c r="BO1470" t="s">
        <v>10004</v>
      </c>
      <c r="BS1470">
        <v>30</v>
      </c>
      <c r="BT1470" s="1">
        <v>31500</v>
      </c>
      <c r="BU1470" s="3">
        <v>43509</v>
      </c>
      <c r="BW1470" t="str">
        <f>"2019.99913"</f>
        <v>2019.99913</v>
      </c>
      <c r="BX1470" t="s">
        <v>10005</v>
      </c>
      <c r="BY1470" t="s">
        <v>10006</v>
      </c>
      <c r="BZ1470" t="s">
        <v>10007</v>
      </c>
      <c r="CA1470" t="s">
        <v>10008</v>
      </c>
      <c r="CC1470" t="s">
        <v>346</v>
      </c>
      <c r="CH1470" t="str">
        <f>""</f>
        <v/>
      </c>
      <c r="CS1470" t="str">
        <f>""</f>
        <v/>
      </c>
    </row>
    <row r="1471" spans="1:97" x14ac:dyDescent="0.25">
      <c r="A1471" t="s">
        <v>1774</v>
      </c>
      <c r="B1471" t="s">
        <v>10009</v>
      </c>
      <c r="C1471" t="s">
        <v>537</v>
      </c>
      <c r="D1471" t="s">
        <v>10009</v>
      </c>
      <c r="E1471" t="s">
        <v>10010</v>
      </c>
      <c r="F1471" t="s">
        <v>108</v>
      </c>
      <c r="H1471" t="s">
        <v>10011</v>
      </c>
      <c r="I1471" t="s">
        <v>188</v>
      </c>
      <c r="J1471" t="s">
        <v>111</v>
      </c>
      <c r="K1471" t="str">
        <f>"85142"</f>
        <v>85142</v>
      </c>
      <c r="L1471" t="s">
        <v>5775</v>
      </c>
      <c r="M1471" t="s">
        <v>10011</v>
      </c>
      <c r="N1471" t="s">
        <v>188</v>
      </c>
      <c r="O1471" t="s">
        <v>111</v>
      </c>
      <c r="P1471" t="str">
        <f>"85142-8582"</f>
        <v>85142-8582</v>
      </c>
      <c r="Q1471" t="s">
        <v>113</v>
      </c>
      <c r="R1471" t="str">
        <f>"304-61-166"</f>
        <v>304-61-166</v>
      </c>
      <c r="S1471" t="s">
        <v>10012</v>
      </c>
      <c r="U1471">
        <v>2773</v>
      </c>
      <c r="V1471">
        <v>0</v>
      </c>
      <c r="W1471">
        <v>4</v>
      </c>
      <c r="X1471">
        <v>2006</v>
      </c>
      <c r="Z1471">
        <v>2</v>
      </c>
      <c r="AA1471" t="s">
        <v>26</v>
      </c>
      <c r="AB1471">
        <v>0</v>
      </c>
      <c r="AC1471" t="s">
        <v>115</v>
      </c>
      <c r="AD1471">
        <v>2</v>
      </c>
      <c r="AE1471" t="s">
        <v>115</v>
      </c>
      <c r="AF1471">
        <v>0</v>
      </c>
      <c r="AG1471">
        <v>0</v>
      </c>
      <c r="AH1471" t="s">
        <v>116</v>
      </c>
      <c r="AI1471" s="1">
        <v>71380</v>
      </c>
      <c r="AJ1471" s="2">
        <v>0.19</v>
      </c>
      <c r="AK1471" s="1">
        <v>380850</v>
      </c>
      <c r="AL1471" t="s">
        <v>117</v>
      </c>
      <c r="AM1471" t="s">
        <v>191</v>
      </c>
      <c r="AN1471">
        <v>6300</v>
      </c>
      <c r="AO1471">
        <v>0.14000000000000001</v>
      </c>
      <c r="AR1471">
        <v>1</v>
      </c>
      <c r="AS1471" s="1">
        <v>26850</v>
      </c>
      <c r="AT1471" s="1">
        <v>5370</v>
      </c>
      <c r="AU1471" s="1">
        <v>21480</v>
      </c>
      <c r="AV1471">
        <v>80</v>
      </c>
      <c r="AX1471" s="1">
        <v>2393.7600000000002</v>
      </c>
      <c r="AY1471" t="s">
        <v>5792</v>
      </c>
      <c r="AZ1471" t="s">
        <v>5792</v>
      </c>
      <c r="BA1471" t="s">
        <v>290</v>
      </c>
      <c r="BE1471" s="3">
        <v>41781</v>
      </c>
      <c r="BF1471" s="1">
        <v>275000</v>
      </c>
      <c r="BG1471" t="s">
        <v>10013</v>
      </c>
      <c r="BH1471" s="1">
        <v>99.17</v>
      </c>
      <c r="BI1471" s="1">
        <v>280395</v>
      </c>
      <c r="BJ1471" s="3">
        <v>42564</v>
      </c>
      <c r="BK1471" t="s">
        <v>123</v>
      </c>
      <c r="BL1471" t="str">
        <f>"2016.493711"</f>
        <v>2016.493711</v>
      </c>
      <c r="BM1471" t="s">
        <v>5867</v>
      </c>
      <c r="BO1471" t="s">
        <v>10014</v>
      </c>
      <c r="BS1471">
        <v>30</v>
      </c>
      <c r="BT1471" s="1">
        <v>29075</v>
      </c>
      <c r="BU1471" s="3">
        <v>42625</v>
      </c>
      <c r="BV1471" t="s">
        <v>134</v>
      </c>
      <c r="BW1471" t="str">
        <f>"2016.657568"</f>
        <v>2016.657568</v>
      </c>
      <c r="BX1471" t="s">
        <v>198</v>
      </c>
      <c r="BZ1471" t="s">
        <v>10014</v>
      </c>
      <c r="CD1471">
        <v>15</v>
      </c>
      <c r="CH1471" t="str">
        <f>""</f>
        <v/>
      </c>
      <c r="CS1471" t="str">
        <f>""</f>
        <v/>
      </c>
    </row>
    <row r="1472" spans="1:97" x14ac:dyDescent="0.25">
      <c r="A1472" t="s">
        <v>3212</v>
      </c>
      <c r="B1472" t="s">
        <v>10015</v>
      </c>
      <c r="C1472" t="s">
        <v>976</v>
      </c>
      <c r="D1472" t="s">
        <v>10015</v>
      </c>
      <c r="E1472" t="s">
        <v>10016</v>
      </c>
      <c r="F1472" t="s">
        <v>108</v>
      </c>
      <c r="H1472" t="s">
        <v>10017</v>
      </c>
      <c r="I1472" t="s">
        <v>203</v>
      </c>
      <c r="J1472" t="s">
        <v>111</v>
      </c>
      <c r="K1472" t="str">
        <f>"85234"</f>
        <v>85234</v>
      </c>
      <c r="L1472" t="s">
        <v>4259</v>
      </c>
      <c r="M1472" t="s">
        <v>10017</v>
      </c>
      <c r="N1472" t="s">
        <v>203</v>
      </c>
      <c r="O1472" t="s">
        <v>111</v>
      </c>
      <c r="P1472" t="str">
        <f>"85234-7503"</f>
        <v>85234-7503</v>
      </c>
      <c r="Q1472" t="s">
        <v>113</v>
      </c>
      <c r="R1472" t="str">
        <f>"304-16-184"</f>
        <v>304-16-184</v>
      </c>
      <c r="S1472" t="s">
        <v>10018</v>
      </c>
      <c r="T1472" t="s">
        <v>10018</v>
      </c>
      <c r="U1472">
        <v>2402</v>
      </c>
      <c r="V1472">
        <v>0</v>
      </c>
      <c r="W1472">
        <v>4</v>
      </c>
      <c r="X1472">
        <v>1998</v>
      </c>
      <c r="Z1472">
        <v>2</v>
      </c>
      <c r="AA1472" t="s">
        <v>26</v>
      </c>
      <c r="AB1472">
        <v>0</v>
      </c>
      <c r="AC1472" t="s">
        <v>115</v>
      </c>
      <c r="AD1472">
        <v>3</v>
      </c>
      <c r="AE1472" t="s">
        <v>115</v>
      </c>
      <c r="AF1472">
        <v>0</v>
      </c>
      <c r="AG1472">
        <v>0</v>
      </c>
      <c r="AH1472" t="s">
        <v>116</v>
      </c>
      <c r="AI1472" s="1">
        <v>69662</v>
      </c>
      <c r="AJ1472" s="2">
        <v>0.18</v>
      </c>
      <c r="AK1472" s="1">
        <v>394024</v>
      </c>
      <c r="AL1472" t="s">
        <v>117</v>
      </c>
      <c r="AM1472" t="s">
        <v>393</v>
      </c>
      <c r="AN1472">
        <v>7497</v>
      </c>
      <c r="AO1472">
        <v>0.17</v>
      </c>
      <c r="AP1472">
        <v>1</v>
      </c>
      <c r="AR1472">
        <v>1</v>
      </c>
      <c r="AS1472" s="1">
        <v>28180</v>
      </c>
      <c r="AT1472" s="1">
        <v>5630</v>
      </c>
      <c r="AU1472" s="1">
        <v>22550</v>
      </c>
      <c r="AV1472">
        <v>80.02</v>
      </c>
      <c r="AX1472" s="1">
        <v>2120.14</v>
      </c>
      <c r="AY1472" t="s">
        <v>7213</v>
      </c>
      <c r="AZ1472" t="s">
        <v>571</v>
      </c>
      <c r="BA1472" t="s">
        <v>521</v>
      </c>
      <c r="BE1472" s="3">
        <v>42216</v>
      </c>
      <c r="BF1472" s="1">
        <v>284000</v>
      </c>
      <c r="BG1472" t="s">
        <v>10019</v>
      </c>
      <c r="BH1472" s="1">
        <v>118.23</v>
      </c>
      <c r="BI1472" s="1">
        <v>324362</v>
      </c>
      <c r="BJ1472" s="3">
        <v>42744</v>
      </c>
      <c r="BK1472" t="s">
        <v>123</v>
      </c>
      <c r="BL1472" t="str">
        <f>"2017.16632"</f>
        <v>2017.16632</v>
      </c>
      <c r="BM1472" t="s">
        <v>10020</v>
      </c>
      <c r="BO1472" t="s">
        <v>10021</v>
      </c>
      <c r="BS1472">
        <v>30</v>
      </c>
      <c r="BW1472" t="str">
        <f>""</f>
        <v/>
      </c>
      <c r="CH1472" t="str">
        <f>""</f>
        <v/>
      </c>
      <c r="CS1472" t="str">
        <f>""</f>
        <v/>
      </c>
    </row>
    <row r="1473" spans="1:97" x14ac:dyDescent="0.25">
      <c r="A1473" t="s">
        <v>10022</v>
      </c>
      <c r="B1473" t="s">
        <v>10023</v>
      </c>
      <c r="C1473" t="s">
        <v>10024</v>
      </c>
      <c r="D1473" t="s">
        <v>10023</v>
      </c>
      <c r="E1473" t="s">
        <v>10025</v>
      </c>
      <c r="F1473" t="s">
        <v>108</v>
      </c>
      <c r="H1473" t="s">
        <v>10026</v>
      </c>
      <c r="I1473" t="s">
        <v>2874</v>
      </c>
      <c r="J1473" t="s">
        <v>111</v>
      </c>
      <c r="K1473" t="str">
        <f>"85308"</f>
        <v>85308</v>
      </c>
      <c r="L1473" t="s">
        <v>3151</v>
      </c>
      <c r="M1473" t="s">
        <v>10026</v>
      </c>
      <c r="N1473" t="s">
        <v>2874</v>
      </c>
      <c r="O1473" t="s">
        <v>111</v>
      </c>
      <c r="P1473" t="str">
        <f>"85308-6439"</f>
        <v>85308-6439</v>
      </c>
      <c r="Q1473" t="s">
        <v>113</v>
      </c>
      <c r="R1473" t="str">
        <f>"206-15-336"</f>
        <v>206-15-336</v>
      </c>
      <c r="S1473" t="s">
        <v>10027</v>
      </c>
      <c r="T1473" t="s">
        <v>10027</v>
      </c>
      <c r="U1473">
        <v>2725</v>
      </c>
      <c r="V1473">
        <v>0</v>
      </c>
      <c r="W1473">
        <v>3</v>
      </c>
      <c r="X1473">
        <v>2016</v>
      </c>
      <c r="Z1473">
        <v>1</v>
      </c>
      <c r="AA1473" t="s">
        <v>26</v>
      </c>
      <c r="AB1473">
        <v>0</v>
      </c>
      <c r="AC1473" t="s">
        <v>115</v>
      </c>
      <c r="AD1473">
        <v>3</v>
      </c>
      <c r="AE1473" t="s">
        <v>115</v>
      </c>
      <c r="AF1473">
        <v>0</v>
      </c>
      <c r="AG1473">
        <v>0</v>
      </c>
      <c r="AH1473" t="s">
        <v>116</v>
      </c>
      <c r="AI1473" s="1">
        <v>296194</v>
      </c>
      <c r="AJ1473" s="2">
        <v>0.46</v>
      </c>
      <c r="AK1473" s="1">
        <v>646194</v>
      </c>
      <c r="AL1473" t="s">
        <v>117</v>
      </c>
      <c r="AM1473" t="s">
        <v>616</v>
      </c>
      <c r="AN1473">
        <v>24208</v>
      </c>
      <c r="AO1473">
        <v>0.56000000000000005</v>
      </c>
      <c r="AR1473">
        <v>1</v>
      </c>
      <c r="AS1473" s="1">
        <v>61770</v>
      </c>
      <c r="AT1473" s="1">
        <v>12350</v>
      </c>
      <c r="AU1473" s="1">
        <v>49420</v>
      </c>
      <c r="AV1473">
        <v>80.010000000000005</v>
      </c>
      <c r="AX1473" s="1">
        <v>2975.86</v>
      </c>
      <c r="AY1473" t="s">
        <v>9121</v>
      </c>
      <c r="AZ1473" t="s">
        <v>2357</v>
      </c>
      <c r="BA1473" t="s">
        <v>1462</v>
      </c>
      <c r="BE1473" s="3">
        <v>42538</v>
      </c>
      <c r="BF1473" s="1">
        <v>714523</v>
      </c>
      <c r="BG1473" t="s">
        <v>10028</v>
      </c>
      <c r="BH1473" s="1">
        <v>262.20999999999998</v>
      </c>
      <c r="BI1473" s="1">
        <v>350000</v>
      </c>
      <c r="BJ1473" s="3">
        <v>42538</v>
      </c>
      <c r="BK1473" t="s">
        <v>123</v>
      </c>
      <c r="BL1473" t="str">
        <f>"2016.423723"</f>
        <v>2016.423723</v>
      </c>
      <c r="BM1473" t="s">
        <v>124</v>
      </c>
      <c r="BO1473" t="s">
        <v>10029</v>
      </c>
      <c r="BS1473">
        <v>30</v>
      </c>
      <c r="BW1473" t="str">
        <f>""</f>
        <v/>
      </c>
      <c r="CH1473" t="str">
        <f>""</f>
        <v/>
      </c>
      <c r="CS1473" t="str">
        <f>""</f>
        <v/>
      </c>
    </row>
    <row r="1474" spans="1:97" x14ac:dyDescent="0.25">
      <c r="A1474" t="s">
        <v>10030</v>
      </c>
      <c r="B1474" t="s">
        <v>10031</v>
      </c>
      <c r="C1474" t="s">
        <v>7901</v>
      </c>
      <c r="D1474" t="s">
        <v>10031</v>
      </c>
      <c r="E1474" t="s">
        <v>10032</v>
      </c>
      <c r="F1474" t="s">
        <v>108</v>
      </c>
      <c r="H1474" t="s">
        <v>10033</v>
      </c>
      <c r="I1474" t="s">
        <v>144</v>
      </c>
      <c r="J1474" t="s">
        <v>111</v>
      </c>
      <c r="K1474" t="str">
        <f>"85396"</f>
        <v>85396</v>
      </c>
      <c r="L1474" t="s">
        <v>2820</v>
      </c>
      <c r="M1474" t="s">
        <v>10033</v>
      </c>
      <c r="N1474" t="s">
        <v>144</v>
      </c>
      <c r="O1474" t="s">
        <v>111</v>
      </c>
      <c r="P1474" t="str">
        <f>"85396-8340"</f>
        <v>85396-8340</v>
      </c>
      <c r="Q1474" t="s">
        <v>113</v>
      </c>
      <c r="R1474" t="str">
        <f>"502-62-107"</f>
        <v>502-62-107</v>
      </c>
      <c r="S1474" t="s">
        <v>10034</v>
      </c>
      <c r="T1474" t="s">
        <v>7939</v>
      </c>
      <c r="U1474">
        <v>4451</v>
      </c>
      <c r="V1474">
        <v>0</v>
      </c>
      <c r="W1474">
        <v>6</v>
      </c>
      <c r="X1474">
        <v>2014</v>
      </c>
      <c r="Z1474">
        <v>1</v>
      </c>
      <c r="AA1474" t="s">
        <v>26</v>
      </c>
      <c r="AB1474">
        <v>0</v>
      </c>
      <c r="AC1474" t="s">
        <v>115</v>
      </c>
      <c r="AD1474">
        <v>4</v>
      </c>
      <c r="AE1474" t="s">
        <v>115</v>
      </c>
      <c r="AF1474">
        <v>0</v>
      </c>
      <c r="AG1474">
        <v>0</v>
      </c>
      <c r="AH1474" t="s">
        <v>116</v>
      </c>
      <c r="AI1474" s="1">
        <v>169362</v>
      </c>
      <c r="AJ1474" s="2">
        <v>0.21</v>
      </c>
      <c r="AK1474" s="1">
        <v>816871</v>
      </c>
      <c r="AL1474" t="s">
        <v>117</v>
      </c>
      <c r="AM1474" t="s">
        <v>376</v>
      </c>
      <c r="AN1474">
        <v>46240</v>
      </c>
      <c r="AO1474">
        <v>1.06</v>
      </c>
      <c r="AR1474">
        <v>1</v>
      </c>
      <c r="AS1474" s="1">
        <v>62400</v>
      </c>
      <c r="AT1474" s="1">
        <v>12480</v>
      </c>
      <c r="AU1474" s="1">
        <v>49920</v>
      </c>
      <c r="AV1474">
        <v>80</v>
      </c>
      <c r="AX1474" s="1">
        <v>6801.26</v>
      </c>
      <c r="AY1474" t="s">
        <v>543</v>
      </c>
      <c r="AZ1474" t="s">
        <v>504</v>
      </c>
      <c r="BA1474" t="s">
        <v>218</v>
      </c>
      <c r="BE1474" s="3">
        <v>42079</v>
      </c>
      <c r="BF1474" s="1">
        <v>813096</v>
      </c>
      <c r="BG1474" t="s">
        <v>4838</v>
      </c>
      <c r="BH1474" s="1">
        <v>182.68</v>
      </c>
      <c r="BI1474" s="1">
        <v>547509</v>
      </c>
      <c r="BJ1474" s="3">
        <v>42079</v>
      </c>
      <c r="BK1474" t="s">
        <v>123</v>
      </c>
      <c r="BL1474" t="str">
        <f>"2015.174987"</f>
        <v>2015.174987</v>
      </c>
      <c r="BM1474" t="s">
        <v>1998</v>
      </c>
      <c r="BO1474" t="s">
        <v>10035</v>
      </c>
      <c r="BS1474">
        <v>30</v>
      </c>
      <c r="BT1474" s="1">
        <v>100000</v>
      </c>
      <c r="BU1474" s="3">
        <v>42536</v>
      </c>
      <c r="BV1474" t="s">
        <v>134</v>
      </c>
      <c r="BW1474" t="str">
        <f>"2016.415975"</f>
        <v>2016.415975</v>
      </c>
      <c r="BX1474" t="s">
        <v>10036</v>
      </c>
      <c r="BZ1474" t="s">
        <v>10037</v>
      </c>
      <c r="CC1474" t="s">
        <v>1480</v>
      </c>
      <c r="CD1474">
        <v>35</v>
      </c>
      <c r="CH1474" t="str">
        <f>""</f>
        <v/>
      </c>
      <c r="CS1474" t="str">
        <f>""</f>
        <v/>
      </c>
    </row>
    <row r="1475" spans="1:97" x14ac:dyDescent="0.25">
      <c r="A1475" t="s">
        <v>305</v>
      </c>
      <c r="B1475" t="s">
        <v>10038</v>
      </c>
      <c r="E1475" t="s">
        <v>10039</v>
      </c>
      <c r="F1475" t="s">
        <v>108</v>
      </c>
      <c r="H1475" t="s">
        <v>10040</v>
      </c>
      <c r="I1475" t="s">
        <v>453</v>
      </c>
      <c r="J1475" t="s">
        <v>111</v>
      </c>
      <c r="K1475" t="str">
        <f>"85382"</f>
        <v>85382</v>
      </c>
      <c r="L1475" t="s">
        <v>6788</v>
      </c>
      <c r="M1475" t="s">
        <v>10040</v>
      </c>
      <c r="N1475" t="s">
        <v>453</v>
      </c>
      <c r="O1475" t="s">
        <v>111</v>
      </c>
      <c r="P1475" t="str">
        <f>"85382-4154"</f>
        <v>85382-4154</v>
      </c>
      <c r="Q1475" t="s">
        <v>113</v>
      </c>
      <c r="R1475" t="str">
        <f>"200-38-362"</f>
        <v>200-38-362</v>
      </c>
      <c r="S1475" t="s">
        <v>10041</v>
      </c>
      <c r="T1475" t="s">
        <v>10042</v>
      </c>
      <c r="U1475">
        <v>1574</v>
      </c>
      <c r="V1475">
        <v>0</v>
      </c>
      <c r="W1475">
        <v>3</v>
      </c>
      <c r="X1475">
        <v>1987</v>
      </c>
      <c r="Z1475">
        <v>1</v>
      </c>
      <c r="AB1475">
        <v>0</v>
      </c>
      <c r="AC1475" t="s">
        <v>115</v>
      </c>
      <c r="AD1475">
        <v>2</v>
      </c>
      <c r="AE1475" t="s">
        <v>115</v>
      </c>
      <c r="AF1475">
        <v>0</v>
      </c>
      <c r="AG1475">
        <v>0</v>
      </c>
      <c r="AH1475" t="s">
        <v>116</v>
      </c>
      <c r="AI1475" s="1">
        <v>-6673</v>
      </c>
      <c r="AJ1475" s="2">
        <v>-0.03</v>
      </c>
      <c r="AK1475" s="1">
        <v>252652</v>
      </c>
      <c r="AL1475" t="s">
        <v>117</v>
      </c>
      <c r="AM1475" t="s">
        <v>393</v>
      </c>
      <c r="AN1475">
        <v>12400</v>
      </c>
      <c r="AO1475">
        <v>0.28000000000000003</v>
      </c>
      <c r="AP1475">
        <v>1</v>
      </c>
      <c r="AR1475">
        <v>1</v>
      </c>
      <c r="AS1475" s="1">
        <v>19970</v>
      </c>
      <c r="AT1475" s="1">
        <v>3990</v>
      </c>
      <c r="AU1475" s="1">
        <v>15980</v>
      </c>
      <c r="AV1475">
        <v>80.02</v>
      </c>
      <c r="AX1475" s="1">
        <v>1848.7</v>
      </c>
      <c r="AY1475" t="s">
        <v>7828</v>
      </c>
      <c r="AZ1475" t="s">
        <v>7828</v>
      </c>
      <c r="BA1475" t="s">
        <v>4219</v>
      </c>
      <c r="BE1475" s="3">
        <v>41907</v>
      </c>
      <c r="BF1475" s="1">
        <v>204000</v>
      </c>
      <c r="BG1475" t="s">
        <v>10043</v>
      </c>
      <c r="BH1475" s="1">
        <v>129.61000000000001</v>
      </c>
      <c r="BI1475" s="1">
        <v>243000</v>
      </c>
      <c r="BJ1475" s="3">
        <v>42565</v>
      </c>
      <c r="BK1475" t="s">
        <v>123</v>
      </c>
      <c r="BL1475" t="str">
        <f>"2016.496023"</f>
        <v>2016.496023</v>
      </c>
      <c r="BM1475" t="s">
        <v>248</v>
      </c>
      <c r="BN1475" t="s">
        <v>249</v>
      </c>
      <c r="BO1475" t="s">
        <v>10044</v>
      </c>
      <c r="BS1475">
        <v>30</v>
      </c>
      <c r="BT1475" s="1">
        <v>16325</v>
      </c>
      <c r="BU1475" s="3">
        <v>43229</v>
      </c>
      <c r="BW1475" t="str">
        <f>"2018.353882"</f>
        <v>2018.353882</v>
      </c>
      <c r="BX1475" t="s">
        <v>3538</v>
      </c>
      <c r="BY1475" t="s">
        <v>3539</v>
      </c>
      <c r="BZ1475" t="s">
        <v>10045</v>
      </c>
      <c r="CC1475" t="s">
        <v>346</v>
      </c>
      <c r="CH1475" t="str">
        <f>""</f>
        <v/>
      </c>
      <c r="CS1475" t="str">
        <f>""</f>
        <v/>
      </c>
    </row>
    <row r="1476" spans="1:97" x14ac:dyDescent="0.25">
      <c r="A1476" t="s">
        <v>10046</v>
      </c>
      <c r="B1476" t="s">
        <v>10047</v>
      </c>
      <c r="C1476" t="s">
        <v>259</v>
      </c>
      <c r="D1476" t="s">
        <v>10048</v>
      </c>
      <c r="E1476" t="s">
        <v>10049</v>
      </c>
      <c r="F1476" t="s">
        <v>108</v>
      </c>
      <c r="H1476" t="s">
        <v>10050</v>
      </c>
      <c r="I1476" t="s">
        <v>5863</v>
      </c>
      <c r="J1476" t="s">
        <v>111</v>
      </c>
      <c r="K1476" t="str">
        <f>"85375"</f>
        <v>85375</v>
      </c>
      <c r="L1476" t="s">
        <v>5228</v>
      </c>
      <c r="M1476" t="s">
        <v>10050</v>
      </c>
      <c r="N1476" t="s">
        <v>5863</v>
      </c>
      <c r="O1476" t="s">
        <v>111</v>
      </c>
      <c r="P1476" t="str">
        <f>"85375-5526"</f>
        <v>85375-5526</v>
      </c>
      <c r="R1476" t="str">
        <f>"232-16-475"</f>
        <v>232-16-475</v>
      </c>
      <c r="S1476" t="s">
        <v>7897</v>
      </c>
      <c r="U1476">
        <v>2018</v>
      </c>
      <c r="V1476">
        <v>0</v>
      </c>
      <c r="W1476">
        <v>3</v>
      </c>
      <c r="X1476">
        <v>1990</v>
      </c>
      <c r="Z1476">
        <v>1</v>
      </c>
      <c r="AB1476">
        <v>0</v>
      </c>
      <c r="AC1476" t="s">
        <v>115</v>
      </c>
      <c r="AD1476">
        <v>2</v>
      </c>
      <c r="AE1476" t="s">
        <v>115</v>
      </c>
      <c r="AF1476">
        <v>0</v>
      </c>
      <c r="AG1476">
        <v>0</v>
      </c>
      <c r="AH1476" t="s">
        <v>116</v>
      </c>
      <c r="AI1476" s="1">
        <v>91641</v>
      </c>
      <c r="AJ1476" s="2">
        <v>0.26</v>
      </c>
      <c r="AK1476" s="1">
        <v>352641</v>
      </c>
      <c r="AL1476" t="s">
        <v>117</v>
      </c>
      <c r="AM1476" t="s">
        <v>393</v>
      </c>
      <c r="AN1476">
        <v>9800</v>
      </c>
      <c r="AO1476">
        <v>0.22</v>
      </c>
      <c r="AP1476">
        <v>1</v>
      </c>
      <c r="AR1476">
        <v>1</v>
      </c>
      <c r="AS1476" s="1">
        <v>26020</v>
      </c>
      <c r="AT1476" s="1">
        <v>5200</v>
      </c>
      <c r="AU1476" s="1">
        <v>20820</v>
      </c>
      <c r="AV1476">
        <v>80.02</v>
      </c>
      <c r="AX1476" s="1">
        <v>2102.6</v>
      </c>
      <c r="AY1476" t="s">
        <v>320</v>
      </c>
      <c r="AZ1476" t="s">
        <v>320</v>
      </c>
      <c r="BA1476" t="s">
        <v>321</v>
      </c>
      <c r="BB1476" s="3">
        <v>42633</v>
      </c>
      <c r="BD1476" t="s">
        <v>458</v>
      </c>
      <c r="BE1476" s="3">
        <v>41765</v>
      </c>
      <c r="BF1476" s="1">
        <v>239000</v>
      </c>
      <c r="BG1476" t="s">
        <v>10051</v>
      </c>
      <c r="BH1476" s="1">
        <v>118.43</v>
      </c>
      <c r="BI1476" s="1">
        <v>236000</v>
      </c>
      <c r="BJ1476" s="3">
        <v>42633</v>
      </c>
      <c r="BK1476" t="s">
        <v>123</v>
      </c>
      <c r="BL1476" t="str">
        <f>"2016.681017"</f>
        <v>2016.681017</v>
      </c>
      <c r="BM1476" t="s">
        <v>248</v>
      </c>
      <c r="BN1476" t="s">
        <v>249</v>
      </c>
      <c r="BO1476" t="s">
        <v>10052</v>
      </c>
      <c r="BS1476">
        <v>30</v>
      </c>
      <c r="BT1476" s="1">
        <v>25000</v>
      </c>
      <c r="BU1476" s="3">
        <v>43761</v>
      </c>
      <c r="BW1476" t="str">
        <f>"2019.848166"</f>
        <v>2019.848166</v>
      </c>
      <c r="BX1476" t="s">
        <v>2042</v>
      </c>
      <c r="BY1476" t="s">
        <v>1575</v>
      </c>
      <c r="BZ1476" t="s">
        <v>10053</v>
      </c>
      <c r="CA1476" t="s">
        <v>10054</v>
      </c>
      <c r="CC1476" t="s">
        <v>346</v>
      </c>
      <c r="CH1476" t="str">
        <f>""</f>
        <v/>
      </c>
      <c r="CS1476" t="str">
        <f>""</f>
        <v/>
      </c>
    </row>
    <row r="1477" spans="1:97" x14ac:dyDescent="0.25">
      <c r="A1477" t="s">
        <v>589</v>
      </c>
      <c r="B1477" t="s">
        <v>10055</v>
      </c>
      <c r="C1477" t="s">
        <v>1845</v>
      </c>
      <c r="D1477" t="s">
        <v>10055</v>
      </c>
      <c r="E1477" t="s">
        <v>10056</v>
      </c>
      <c r="F1477" t="s">
        <v>108</v>
      </c>
      <c r="H1477" t="s">
        <v>10057</v>
      </c>
      <c r="I1477" t="s">
        <v>5863</v>
      </c>
      <c r="J1477" t="s">
        <v>111</v>
      </c>
      <c r="K1477" t="str">
        <f>"85375"</f>
        <v>85375</v>
      </c>
      <c r="L1477" t="s">
        <v>6325</v>
      </c>
      <c r="M1477" t="s">
        <v>10057</v>
      </c>
      <c r="N1477" t="s">
        <v>5863</v>
      </c>
      <c r="O1477" t="s">
        <v>111</v>
      </c>
      <c r="P1477" t="str">
        <f>"85375-3037"</f>
        <v>85375-3037</v>
      </c>
      <c r="Q1477" t="s">
        <v>113</v>
      </c>
      <c r="R1477" t="str">
        <f>"232-30-859"</f>
        <v>232-30-859</v>
      </c>
      <c r="S1477" t="s">
        <v>10058</v>
      </c>
      <c r="U1477">
        <v>2150</v>
      </c>
      <c r="V1477">
        <v>0</v>
      </c>
      <c r="W1477">
        <v>3</v>
      </c>
      <c r="X1477">
        <v>1997</v>
      </c>
      <c r="Z1477">
        <v>1</v>
      </c>
      <c r="AB1477">
        <v>0</v>
      </c>
      <c r="AC1477" t="s">
        <v>115</v>
      </c>
      <c r="AD1477">
        <v>3</v>
      </c>
      <c r="AE1477" t="s">
        <v>115</v>
      </c>
      <c r="AF1477">
        <v>0</v>
      </c>
      <c r="AG1477">
        <v>0</v>
      </c>
      <c r="AH1477" t="s">
        <v>116</v>
      </c>
      <c r="AI1477" s="1">
        <v>67821</v>
      </c>
      <c r="AJ1477" s="2">
        <v>0.16</v>
      </c>
      <c r="AK1477" s="1">
        <v>427389</v>
      </c>
      <c r="AL1477" t="s">
        <v>117</v>
      </c>
      <c r="AM1477" t="s">
        <v>191</v>
      </c>
      <c r="AN1477">
        <v>10644</v>
      </c>
      <c r="AO1477">
        <v>0.24</v>
      </c>
      <c r="AP1477">
        <v>1</v>
      </c>
      <c r="AR1477">
        <v>1</v>
      </c>
      <c r="AS1477" s="1">
        <v>30610</v>
      </c>
      <c r="AT1477" s="1">
        <v>6120</v>
      </c>
      <c r="AU1477" s="1">
        <v>24490</v>
      </c>
      <c r="AV1477">
        <v>80.010000000000005</v>
      </c>
      <c r="AX1477" s="1">
        <v>3507.22</v>
      </c>
      <c r="AY1477" t="s">
        <v>5108</v>
      </c>
      <c r="AZ1477" t="s">
        <v>5108</v>
      </c>
      <c r="BA1477" t="s">
        <v>5109</v>
      </c>
      <c r="BE1477" s="3">
        <v>42522</v>
      </c>
      <c r="BF1477" s="1">
        <v>352000</v>
      </c>
      <c r="BG1477" t="s">
        <v>10059</v>
      </c>
      <c r="BH1477" s="1">
        <v>163.72</v>
      </c>
      <c r="BI1477" s="1">
        <v>359568</v>
      </c>
      <c r="BJ1477" s="3">
        <v>42522</v>
      </c>
      <c r="BK1477" t="s">
        <v>123</v>
      </c>
      <c r="BL1477" t="str">
        <f>"2016.377862"</f>
        <v>2016.377862</v>
      </c>
      <c r="BM1477" t="s">
        <v>10060</v>
      </c>
      <c r="BO1477" t="s">
        <v>10061</v>
      </c>
      <c r="BS1477">
        <v>30</v>
      </c>
      <c r="BW1477" t="str">
        <f>""</f>
        <v/>
      </c>
      <c r="CH1477" t="str">
        <f>""</f>
        <v/>
      </c>
      <c r="CS1477" t="str">
        <f>""</f>
        <v/>
      </c>
    </row>
    <row r="1478" spans="1:97" x14ac:dyDescent="0.25">
      <c r="A1478" t="s">
        <v>996</v>
      </c>
      <c r="B1478" t="s">
        <v>10062</v>
      </c>
      <c r="C1478" t="s">
        <v>976</v>
      </c>
      <c r="D1478" t="s">
        <v>10062</v>
      </c>
      <c r="E1478" t="s">
        <v>10063</v>
      </c>
      <c r="F1478" t="s">
        <v>108</v>
      </c>
      <c r="H1478" t="s">
        <v>10064</v>
      </c>
      <c r="I1478" t="s">
        <v>499</v>
      </c>
      <c r="J1478" t="s">
        <v>111</v>
      </c>
      <c r="K1478" t="str">
        <f>"85395"</f>
        <v>85395</v>
      </c>
      <c r="L1478" t="s">
        <v>9069</v>
      </c>
      <c r="M1478" t="s">
        <v>10064</v>
      </c>
      <c r="N1478" t="s">
        <v>499</v>
      </c>
      <c r="O1478" t="s">
        <v>111</v>
      </c>
      <c r="P1478" t="str">
        <f>"85395-1654"</f>
        <v>85395-1654</v>
      </c>
      <c r="Q1478" t="s">
        <v>113</v>
      </c>
      <c r="R1478" t="str">
        <f>"501-76-838"</f>
        <v>501-76-838</v>
      </c>
      <c r="S1478" t="s">
        <v>10065</v>
      </c>
      <c r="T1478" t="s">
        <v>10065</v>
      </c>
      <c r="U1478">
        <v>2099</v>
      </c>
      <c r="V1478">
        <v>0</v>
      </c>
      <c r="W1478">
        <v>3</v>
      </c>
      <c r="X1478">
        <v>2011</v>
      </c>
      <c r="Z1478">
        <v>1</v>
      </c>
      <c r="AB1478">
        <v>0</v>
      </c>
      <c r="AC1478" t="s">
        <v>115</v>
      </c>
      <c r="AD1478">
        <v>2</v>
      </c>
      <c r="AE1478" t="s">
        <v>115</v>
      </c>
      <c r="AF1478">
        <v>0</v>
      </c>
      <c r="AG1478">
        <v>0</v>
      </c>
      <c r="AH1478" t="s">
        <v>116</v>
      </c>
      <c r="AI1478" s="1">
        <v>77424</v>
      </c>
      <c r="AJ1478" s="2">
        <v>0.23</v>
      </c>
      <c r="AK1478" s="1">
        <v>332799</v>
      </c>
      <c r="AL1478" t="s">
        <v>117</v>
      </c>
      <c r="AM1478" t="s">
        <v>118</v>
      </c>
      <c r="AN1478">
        <v>5040</v>
      </c>
      <c r="AO1478">
        <v>0.12</v>
      </c>
      <c r="AR1478">
        <v>1</v>
      </c>
      <c r="AS1478" s="1">
        <v>24400</v>
      </c>
      <c r="AT1478" s="1">
        <v>4880</v>
      </c>
      <c r="AU1478" s="1">
        <v>19520</v>
      </c>
      <c r="AV1478">
        <v>80</v>
      </c>
      <c r="AX1478" s="1">
        <v>2596.56</v>
      </c>
      <c r="AY1478" t="s">
        <v>6796</v>
      </c>
      <c r="AZ1478" t="s">
        <v>6796</v>
      </c>
      <c r="BA1478" t="s">
        <v>7186</v>
      </c>
      <c r="BE1478" s="3">
        <v>42194</v>
      </c>
      <c r="BF1478" s="1">
        <v>253000</v>
      </c>
      <c r="BG1478" t="s">
        <v>10066</v>
      </c>
      <c r="BH1478" s="1">
        <v>120.53</v>
      </c>
      <c r="BI1478" s="1">
        <v>255375</v>
      </c>
      <c r="BJ1478" s="3">
        <v>42194</v>
      </c>
      <c r="BK1478" t="s">
        <v>123</v>
      </c>
      <c r="BL1478" t="str">
        <f>"2015.492103"</f>
        <v>2015.492103</v>
      </c>
      <c r="BM1478" t="s">
        <v>544</v>
      </c>
      <c r="BO1478" t="s">
        <v>10067</v>
      </c>
      <c r="BS1478">
        <v>30</v>
      </c>
      <c r="BW1478" t="str">
        <f>""</f>
        <v/>
      </c>
      <c r="CH1478" t="str">
        <f>""</f>
        <v/>
      </c>
      <c r="CS1478" t="str">
        <f>""</f>
        <v/>
      </c>
    </row>
    <row r="1479" spans="1:97" x14ac:dyDescent="0.25">
      <c r="B1479" t="s">
        <v>10068</v>
      </c>
      <c r="E1479" t="s">
        <v>10069</v>
      </c>
      <c r="F1479" t="s">
        <v>108</v>
      </c>
      <c r="H1479" t="s">
        <v>10070</v>
      </c>
      <c r="I1479" t="s">
        <v>3150</v>
      </c>
      <c r="J1479" t="s">
        <v>111</v>
      </c>
      <c r="K1479" t="str">
        <f>"85340"</f>
        <v>85340</v>
      </c>
      <c r="L1479" t="s">
        <v>5239</v>
      </c>
      <c r="M1479" t="s">
        <v>10070</v>
      </c>
      <c r="N1479" t="s">
        <v>3150</v>
      </c>
      <c r="O1479" t="s">
        <v>111</v>
      </c>
      <c r="P1479" t="str">
        <f>"85340-9335"</f>
        <v>85340-9335</v>
      </c>
      <c r="Q1479" t="s">
        <v>113</v>
      </c>
      <c r="R1479" t="str">
        <f>"501-56-346"</f>
        <v>501-56-346</v>
      </c>
      <c r="S1479" t="s">
        <v>10071</v>
      </c>
      <c r="T1479" t="s">
        <v>10072</v>
      </c>
      <c r="U1479">
        <v>2507</v>
      </c>
      <c r="V1479">
        <v>0</v>
      </c>
      <c r="W1479">
        <v>4</v>
      </c>
      <c r="X1479">
        <v>2014</v>
      </c>
      <c r="Z1479">
        <v>1</v>
      </c>
      <c r="AA1479" t="s">
        <v>26</v>
      </c>
      <c r="AB1479">
        <v>0</v>
      </c>
      <c r="AC1479" t="s">
        <v>115</v>
      </c>
      <c r="AD1479">
        <v>5</v>
      </c>
      <c r="AE1479" t="s">
        <v>115</v>
      </c>
      <c r="AF1479">
        <v>0</v>
      </c>
      <c r="AG1479">
        <v>0</v>
      </c>
      <c r="AH1479" t="s">
        <v>116</v>
      </c>
      <c r="AI1479" s="1">
        <v>277144</v>
      </c>
      <c r="AJ1479" s="2">
        <v>0.49</v>
      </c>
      <c r="AK1479" s="1">
        <v>567144</v>
      </c>
      <c r="AL1479" t="s">
        <v>117</v>
      </c>
      <c r="AM1479" t="s">
        <v>376</v>
      </c>
      <c r="AN1479">
        <v>43628</v>
      </c>
      <c r="AO1479">
        <v>1</v>
      </c>
      <c r="AR1479">
        <v>1</v>
      </c>
      <c r="AS1479" s="1">
        <v>42150</v>
      </c>
      <c r="AT1479" s="1">
        <v>8430</v>
      </c>
      <c r="AU1479" s="1">
        <v>33720</v>
      </c>
      <c r="AV1479">
        <v>80</v>
      </c>
      <c r="AX1479" s="1">
        <v>3508.24</v>
      </c>
      <c r="AY1479" t="s">
        <v>5241</v>
      </c>
      <c r="AZ1479" t="s">
        <v>3153</v>
      </c>
      <c r="BA1479" t="s">
        <v>3154</v>
      </c>
      <c r="BB1479" s="3">
        <v>42528</v>
      </c>
      <c r="BD1479" t="s">
        <v>240</v>
      </c>
      <c r="BE1479" s="3">
        <v>41871</v>
      </c>
      <c r="BF1479" s="1">
        <v>377706</v>
      </c>
      <c r="BG1479" t="s">
        <v>158</v>
      </c>
      <c r="BH1479" s="1">
        <v>150.66</v>
      </c>
      <c r="BI1479" s="1">
        <v>290000</v>
      </c>
      <c r="BJ1479" s="3">
        <v>42248</v>
      </c>
      <c r="BK1479" t="s">
        <v>123</v>
      </c>
      <c r="BL1479" t="str">
        <f>"2015.635245"</f>
        <v>2015.635245</v>
      </c>
      <c r="BM1479" t="s">
        <v>1135</v>
      </c>
      <c r="BO1479" t="s">
        <v>10073</v>
      </c>
      <c r="BS1479">
        <v>15</v>
      </c>
      <c r="BW1479" t="str">
        <f>""</f>
        <v/>
      </c>
      <c r="CH1479" t="str">
        <f>""</f>
        <v/>
      </c>
      <c r="CS1479" t="str">
        <f>""</f>
        <v/>
      </c>
    </row>
    <row r="1480" spans="1:97" x14ac:dyDescent="0.25">
      <c r="A1480" t="s">
        <v>1979</v>
      </c>
      <c r="B1480" t="s">
        <v>10074</v>
      </c>
      <c r="C1480" t="s">
        <v>1335</v>
      </c>
      <c r="D1480" t="s">
        <v>10074</v>
      </c>
      <c r="E1480" t="s">
        <v>10075</v>
      </c>
      <c r="F1480" t="s">
        <v>108</v>
      </c>
      <c r="H1480" t="s">
        <v>10076</v>
      </c>
      <c r="I1480" t="s">
        <v>188</v>
      </c>
      <c r="J1480" t="s">
        <v>111</v>
      </c>
      <c r="K1480" t="str">
        <f>"85142"</f>
        <v>85142</v>
      </c>
      <c r="L1480" t="s">
        <v>7339</v>
      </c>
      <c r="M1480" t="s">
        <v>10076</v>
      </c>
      <c r="N1480" t="s">
        <v>188</v>
      </c>
      <c r="O1480" t="s">
        <v>111</v>
      </c>
      <c r="P1480" t="str">
        <f>"85142-7025"</f>
        <v>85142-7025</v>
      </c>
      <c r="Q1480" t="s">
        <v>113</v>
      </c>
      <c r="R1480" t="str">
        <f>"304-66-767"</f>
        <v>304-66-767</v>
      </c>
      <c r="S1480" t="s">
        <v>10077</v>
      </c>
      <c r="U1480">
        <v>2151</v>
      </c>
      <c r="V1480">
        <v>0</v>
      </c>
      <c r="W1480">
        <v>3</v>
      </c>
      <c r="X1480">
        <v>2015</v>
      </c>
      <c r="Z1480">
        <v>1</v>
      </c>
      <c r="AB1480">
        <v>0</v>
      </c>
      <c r="AC1480" t="s">
        <v>115</v>
      </c>
      <c r="AD1480">
        <v>2</v>
      </c>
      <c r="AE1480" t="s">
        <v>115</v>
      </c>
      <c r="AF1480">
        <v>0</v>
      </c>
      <c r="AG1480">
        <v>0</v>
      </c>
      <c r="AH1480" t="s">
        <v>116</v>
      </c>
      <c r="AI1480" s="1">
        <v>76742</v>
      </c>
      <c r="AJ1480" s="2">
        <v>0.23</v>
      </c>
      <c r="AK1480" s="1">
        <v>330860</v>
      </c>
      <c r="AL1480" t="s">
        <v>117</v>
      </c>
      <c r="AM1480" t="s">
        <v>229</v>
      </c>
      <c r="AN1480">
        <v>6748</v>
      </c>
      <c r="AO1480">
        <v>0.16</v>
      </c>
      <c r="AR1480">
        <v>1</v>
      </c>
      <c r="AS1480" s="1">
        <v>23160</v>
      </c>
      <c r="AT1480" s="1">
        <v>4630</v>
      </c>
      <c r="AU1480" s="1">
        <v>18530</v>
      </c>
      <c r="AV1480">
        <v>80.010000000000005</v>
      </c>
      <c r="AX1480" s="1">
        <v>2063.42</v>
      </c>
      <c r="AY1480" t="s">
        <v>5895</v>
      </c>
      <c r="AZ1480" t="s">
        <v>561</v>
      </c>
      <c r="BA1480" t="s">
        <v>194</v>
      </c>
      <c r="BB1480" s="3">
        <v>42122</v>
      </c>
      <c r="BD1480" t="s">
        <v>240</v>
      </c>
      <c r="BE1480" s="3">
        <v>42121</v>
      </c>
      <c r="BF1480" s="1">
        <v>246000</v>
      </c>
      <c r="BG1480" t="s">
        <v>10078</v>
      </c>
      <c r="BH1480" s="1">
        <v>114.37</v>
      </c>
      <c r="BI1480" s="1">
        <v>254118</v>
      </c>
      <c r="BJ1480" s="3">
        <v>42121</v>
      </c>
      <c r="BK1480" t="s">
        <v>123</v>
      </c>
      <c r="BL1480" t="str">
        <f>"2015.289163"</f>
        <v>2015.289163</v>
      </c>
      <c r="BM1480" t="s">
        <v>1287</v>
      </c>
      <c r="BO1480" t="s">
        <v>10079</v>
      </c>
      <c r="BS1480">
        <v>30</v>
      </c>
      <c r="BW1480" t="str">
        <f>""</f>
        <v/>
      </c>
      <c r="CH1480" t="str">
        <f>""</f>
        <v/>
      </c>
      <c r="CS1480" t="str">
        <f>""</f>
        <v/>
      </c>
    </row>
    <row r="1481" spans="1:97" x14ac:dyDescent="0.25">
      <c r="A1481" t="s">
        <v>177</v>
      </c>
      <c r="B1481" t="s">
        <v>10080</v>
      </c>
      <c r="C1481" t="s">
        <v>888</v>
      </c>
      <c r="D1481" t="s">
        <v>10080</v>
      </c>
      <c r="E1481" t="s">
        <v>10081</v>
      </c>
      <c r="F1481" t="s">
        <v>108</v>
      </c>
      <c r="H1481" t="s">
        <v>10082</v>
      </c>
      <c r="I1481" t="s">
        <v>203</v>
      </c>
      <c r="J1481" t="s">
        <v>111</v>
      </c>
      <c r="K1481" t="str">
        <f>"85295"</f>
        <v>85295</v>
      </c>
      <c r="L1481" t="s">
        <v>10083</v>
      </c>
      <c r="M1481" t="s">
        <v>10082</v>
      </c>
      <c r="N1481" t="s">
        <v>203</v>
      </c>
      <c r="O1481" t="s">
        <v>111</v>
      </c>
      <c r="P1481" t="str">
        <f>"85295-5590"</f>
        <v>85295-5590</v>
      </c>
      <c r="Q1481" t="s">
        <v>113</v>
      </c>
      <c r="R1481" t="str">
        <f>"309-20-369"</f>
        <v>309-20-369</v>
      </c>
      <c r="S1481" t="s">
        <v>9211</v>
      </c>
      <c r="U1481">
        <v>2136</v>
      </c>
      <c r="V1481">
        <v>0</v>
      </c>
      <c r="W1481">
        <v>3</v>
      </c>
      <c r="X1481">
        <v>2000</v>
      </c>
      <c r="Z1481">
        <v>1</v>
      </c>
      <c r="AA1481" t="s">
        <v>26</v>
      </c>
      <c r="AB1481">
        <v>0</v>
      </c>
      <c r="AC1481" t="s">
        <v>115</v>
      </c>
      <c r="AD1481">
        <v>3</v>
      </c>
      <c r="AE1481" t="s">
        <v>115</v>
      </c>
      <c r="AF1481">
        <v>0</v>
      </c>
      <c r="AG1481">
        <v>0</v>
      </c>
      <c r="AH1481" t="s">
        <v>116</v>
      </c>
      <c r="AI1481" s="1">
        <v>77771</v>
      </c>
      <c r="AJ1481" s="2">
        <v>0.2</v>
      </c>
      <c r="AK1481" s="1">
        <v>397902</v>
      </c>
      <c r="AL1481" t="s">
        <v>117</v>
      </c>
      <c r="AM1481" t="s">
        <v>393</v>
      </c>
      <c r="AN1481">
        <v>8912</v>
      </c>
      <c r="AO1481">
        <v>0.2</v>
      </c>
      <c r="AP1481">
        <v>1</v>
      </c>
      <c r="AR1481">
        <v>1</v>
      </c>
      <c r="AS1481" s="1">
        <v>28600</v>
      </c>
      <c r="AT1481" s="1">
        <v>5720</v>
      </c>
      <c r="AU1481" s="1">
        <v>22880</v>
      </c>
      <c r="AV1481">
        <v>80</v>
      </c>
      <c r="AX1481" s="1">
        <v>2043.48</v>
      </c>
      <c r="AY1481" t="s">
        <v>9212</v>
      </c>
      <c r="AZ1481" t="s">
        <v>207</v>
      </c>
      <c r="BA1481" t="s">
        <v>208</v>
      </c>
      <c r="BE1481" s="3">
        <v>42199</v>
      </c>
      <c r="BF1481" s="1">
        <v>332000</v>
      </c>
      <c r="BG1481" t="s">
        <v>10084</v>
      </c>
      <c r="BH1481" s="1">
        <v>155.43</v>
      </c>
      <c r="BI1481" s="1">
        <v>320131</v>
      </c>
      <c r="BJ1481" s="3">
        <v>42199</v>
      </c>
      <c r="BK1481" t="s">
        <v>123</v>
      </c>
      <c r="BL1481" t="str">
        <f>"2015.506185"</f>
        <v>2015.506185</v>
      </c>
      <c r="BM1481" t="s">
        <v>594</v>
      </c>
      <c r="BO1481" t="s">
        <v>10085</v>
      </c>
      <c r="BS1481">
        <v>15</v>
      </c>
      <c r="BW1481" t="str">
        <f>""</f>
        <v/>
      </c>
      <c r="CH1481" t="str">
        <f>""</f>
        <v/>
      </c>
      <c r="CS1481" t="str">
        <f>""</f>
        <v/>
      </c>
    </row>
    <row r="1482" spans="1:97" x14ac:dyDescent="0.25">
      <c r="A1482" t="s">
        <v>996</v>
      </c>
      <c r="B1482" t="s">
        <v>10086</v>
      </c>
      <c r="C1482" t="s">
        <v>817</v>
      </c>
      <c r="D1482" t="s">
        <v>10087</v>
      </c>
      <c r="E1482" t="s">
        <v>10088</v>
      </c>
      <c r="F1482" t="s">
        <v>108</v>
      </c>
      <c r="H1482" t="s">
        <v>10089</v>
      </c>
      <c r="I1482" t="s">
        <v>203</v>
      </c>
      <c r="J1482" t="s">
        <v>111</v>
      </c>
      <c r="K1482" t="str">
        <f>"85296"</f>
        <v>85296</v>
      </c>
      <c r="L1482" t="s">
        <v>4467</v>
      </c>
      <c r="M1482" t="s">
        <v>10089</v>
      </c>
      <c r="N1482" t="s">
        <v>203</v>
      </c>
      <c r="O1482" t="s">
        <v>111</v>
      </c>
      <c r="P1482" t="str">
        <f>"85296-8671"</f>
        <v>85296-8671</v>
      </c>
      <c r="Q1482" t="s">
        <v>113</v>
      </c>
      <c r="R1482" t="str">
        <f>"309-15-529"</f>
        <v>309-15-529</v>
      </c>
      <c r="S1482" t="s">
        <v>10090</v>
      </c>
      <c r="U1482">
        <v>4217</v>
      </c>
      <c r="V1482">
        <v>0</v>
      </c>
      <c r="W1482">
        <v>4</v>
      </c>
      <c r="X1482">
        <v>2007</v>
      </c>
      <c r="Z1482">
        <v>2</v>
      </c>
      <c r="AA1482" t="s">
        <v>26</v>
      </c>
      <c r="AB1482">
        <v>0</v>
      </c>
      <c r="AC1482" t="s">
        <v>115</v>
      </c>
      <c r="AD1482">
        <v>2</v>
      </c>
      <c r="AE1482" t="s">
        <v>115</v>
      </c>
      <c r="AF1482">
        <v>0</v>
      </c>
      <c r="AG1482">
        <v>0</v>
      </c>
      <c r="AH1482" t="s">
        <v>116</v>
      </c>
      <c r="AI1482" s="1">
        <v>149345</v>
      </c>
      <c r="AJ1482" s="2">
        <v>0.25</v>
      </c>
      <c r="AK1482" s="1">
        <v>604795</v>
      </c>
      <c r="AL1482" t="s">
        <v>117</v>
      </c>
      <c r="AM1482" t="s">
        <v>393</v>
      </c>
      <c r="AN1482">
        <v>8784</v>
      </c>
      <c r="AO1482">
        <v>0.2</v>
      </c>
      <c r="AP1482">
        <v>1</v>
      </c>
      <c r="AR1482">
        <v>1</v>
      </c>
      <c r="AS1482" s="1">
        <v>43700</v>
      </c>
      <c r="AT1482" s="1">
        <v>8740</v>
      </c>
      <c r="AU1482" s="1">
        <v>34960</v>
      </c>
      <c r="AV1482">
        <v>80</v>
      </c>
      <c r="AX1482" s="1">
        <v>3132.76</v>
      </c>
      <c r="AY1482" t="s">
        <v>5094</v>
      </c>
      <c r="AZ1482" t="s">
        <v>5094</v>
      </c>
      <c r="BA1482" t="s">
        <v>473</v>
      </c>
      <c r="BE1482" s="3">
        <v>41817</v>
      </c>
      <c r="BF1482" s="1">
        <v>481000</v>
      </c>
      <c r="BG1482" t="s">
        <v>10091</v>
      </c>
      <c r="BH1482" s="1">
        <v>114.06</v>
      </c>
      <c r="BI1482" s="1">
        <v>455450</v>
      </c>
      <c r="BJ1482" s="3">
        <v>42551</v>
      </c>
      <c r="BK1482" t="s">
        <v>123</v>
      </c>
      <c r="BL1482" t="str">
        <f>"2016.460324"</f>
        <v>2016.460324</v>
      </c>
      <c r="BM1482" t="s">
        <v>1192</v>
      </c>
      <c r="BO1482" t="s">
        <v>10092</v>
      </c>
      <c r="BP1482" t="s">
        <v>10093</v>
      </c>
      <c r="BS1482">
        <v>30</v>
      </c>
      <c r="BW1482" t="str">
        <f>""</f>
        <v/>
      </c>
      <c r="CH1482" t="str">
        <f>""</f>
        <v/>
      </c>
      <c r="CS1482" t="str">
        <f>""</f>
        <v/>
      </c>
    </row>
    <row r="1483" spans="1:97" x14ac:dyDescent="0.25">
      <c r="B1483" t="s">
        <v>4814</v>
      </c>
      <c r="C1483" t="s">
        <v>154</v>
      </c>
      <c r="E1483" t="s">
        <v>3066</v>
      </c>
      <c r="F1483" t="s">
        <v>108</v>
      </c>
      <c r="H1483" t="s">
        <v>10094</v>
      </c>
      <c r="I1483" t="s">
        <v>188</v>
      </c>
      <c r="J1483" t="s">
        <v>111</v>
      </c>
      <c r="K1483" t="str">
        <f>"85142"</f>
        <v>85142</v>
      </c>
      <c r="L1483" t="s">
        <v>5291</v>
      </c>
      <c r="M1483" t="s">
        <v>10094</v>
      </c>
      <c r="N1483" t="s">
        <v>188</v>
      </c>
      <c r="O1483" t="s">
        <v>111</v>
      </c>
      <c r="P1483" t="str">
        <f>"85142-5622"</f>
        <v>85142-5622</v>
      </c>
      <c r="Q1483" t="s">
        <v>113</v>
      </c>
      <c r="R1483" t="str">
        <f>"304-93-302"</f>
        <v>304-93-302</v>
      </c>
      <c r="S1483" t="s">
        <v>10095</v>
      </c>
      <c r="U1483">
        <v>3149</v>
      </c>
      <c r="V1483">
        <v>0</v>
      </c>
      <c r="W1483">
        <v>4</v>
      </c>
      <c r="X1483">
        <v>2014</v>
      </c>
      <c r="Z1483">
        <v>1</v>
      </c>
      <c r="AA1483" t="s">
        <v>26</v>
      </c>
      <c r="AB1483">
        <v>0</v>
      </c>
      <c r="AC1483" t="s">
        <v>115</v>
      </c>
      <c r="AD1483">
        <v>2</v>
      </c>
      <c r="AE1483" t="s">
        <v>115</v>
      </c>
      <c r="AF1483">
        <v>0</v>
      </c>
      <c r="AG1483">
        <v>0</v>
      </c>
      <c r="AH1483" t="s">
        <v>116</v>
      </c>
      <c r="AI1483" s="1">
        <v>119505</v>
      </c>
      <c r="AJ1483" s="2">
        <v>0.22</v>
      </c>
      <c r="AK1483" s="1">
        <v>536505</v>
      </c>
      <c r="AL1483" t="s">
        <v>117</v>
      </c>
      <c r="AM1483" t="s">
        <v>917</v>
      </c>
      <c r="AN1483">
        <v>19506</v>
      </c>
      <c r="AO1483">
        <v>0.45</v>
      </c>
      <c r="AR1483">
        <v>1</v>
      </c>
      <c r="AS1483" s="1">
        <v>41670</v>
      </c>
      <c r="AT1483" s="1">
        <v>8330</v>
      </c>
      <c r="AU1483" s="1">
        <v>33340</v>
      </c>
      <c r="AV1483">
        <v>80.010000000000005</v>
      </c>
      <c r="AX1483" s="1">
        <v>3600.14</v>
      </c>
      <c r="AY1483" t="s">
        <v>5792</v>
      </c>
      <c r="AZ1483" t="s">
        <v>5792</v>
      </c>
      <c r="BA1483" t="s">
        <v>290</v>
      </c>
      <c r="BB1483" s="3">
        <v>43663</v>
      </c>
      <c r="BC1483" s="1">
        <v>0</v>
      </c>
      <c r="BD1483" t="s">
        <v>247</v>
      </c>
      <c r="BE1483" s="3">
        <v>41911</v>
      </c>
      <c r="BF1483" s="1">
        <v>454804</v>
      </c>
      <c r="BG1483" t="s">
        <v>158</v>
      </c>
      <c r="BH1483" s="1">
        <v>144.43</v>
      </c>
      <c r="BI1483" s="1">
        <v>417000</v>
      </c>
      <c r="BJ1483" s="3">
        <v>41911</v>
      </c>
      <c r="BK1483" t="s">
        <v>123</v>
      </c>
      <c r="BL1483" t="str">
        <f>"2014.643284"</f>
        <v>2014.643284</v>
      </c>
      <c r="BM1483" t="s">
        <v>241</v>
      </c>
      <c r="BN1483" t="s">
        <v>1025</v>
      </c>
      <c r="BO1483" t="s">
        <v>10096</v>
      </c>
      <c r="BS1483">
        <v>30</v>
      </c>
      <c r="BW1483" t="str">
        <f>""</f>
        <v/>
      </c>
      <c r="CH1483" t="str">
        <f>""</f>
        <v/>
      </c>
      <c r="CS1483" t="str">
        <f>""</f>
        <v/>
      </c>
    </row>
    <row r="1484" spans="1:97" x14ac:dyDescent="0.25">
      <c r="A1484" t="s">
        <v>464</v>
      </c>
      <c r="B1484" t="s">
        <v>10097</v>
      </c>
      <c r="C1484" t="s">
        <v>10098</v>
      </c>
      <c r="D1484" t="s">
        <v>10097</v>
      </c>
      <c r="E1484" t="s">
        <v>10099</v>
      </c>
      <c r="F1484" t="s">
        <v>108</v>
      </c>
      <c r="H1484" t="s">
        <v>10100</v>
      </c>
      <c r="I1484" t="s">
        <v>2874</v>
      </c>
      <c r="J1484" t="s">
        <v>111</v>
      </c>
      <c r="K1484" t="str">
        <f>"85308"</f>
        <v>85308</v>
      </c>
      <c r="L1484" t="s">
        <v>6902</v>
      </c>
      <c r="M1484" t="s">
        <v>10100</v>
      </c>
      <c r="N1484" t="s">
        <v>2874</v>
      </c>
      <c r="O1484" t="s">
        <v>111</v>
      </c>
      <c r="P1484" t="str">
        <f>"85308-9199"</f>
        <v>85308-9199</v>
      </c>
      <c r="Q1484" t="s">
        <v>113</v>
      </c>
      <c r="R1484" t="str">
        <f>"231-13-154"</f>
        <v>231-13-154</v>
      </c>
      <c r="S1484" t="s">
        <v>10101</v>
      </c>
      <c r="T1484" t="s">
        <v>10102</v>
      </c>
      <c r="U1484">
        <v>1746</v>
      </c>
      <c r="V1484">
        <v>0</v>
      </c>
      <c r="W1484">
        <v>3</v>
      </c>
      <c r="X1484">
        <v>1995</v>
      </c>
      <c r="Z1484">
        <v>1</v>
      </c>
      <c r="AB1484">
        <v>0</v>
      </c>
      <c r="AC1484" t="s">
        <v>115</v>
      </c>
      <c r="AD1484">
        <v>2</v>
      </c>
      <c r="AE1484" t="s">
        <v>115</v>
      </c>
      <c r="AF1484">
        <v>0</v>
      </c>
      <c r="AG1484">
        <v>0</v>
      </c>
      <c r="AH1484" t="s">
        <v>116</v>
      </c>
      <c r="AI1484" s="1">
        <v>80343</v>
      </c>
      <c r="AJ1484" s="2">
        <v>0.2</v>
      </c>
      <c r="AK1484" s="1">
        <v>406999</v>
      </c>
      <c r="AL1484" t="s">
        <v>117</v>
      </c>
      <c r="AM1484" t="s">
        <v>191</v>
      </c>
      <c r="AN1484">
        <v>7273</v>
      </c>
      <c r="AO1484">
        <v>0.17</v>
      </c>
      <c r="AP1484">
        <v>1</v>
      </c>
      <c r="AR1484">
        <v>1</v>
      </c>
      <c r="AS1484" s="1">
        <v>29160</v>
      </c>
      <c r="AT1484" s="1">
        <v>5830</v>
      </c>
      <c r="AU1484" s="1">
        <v>23330</v>
      </c>
      <c r="AV1484">
        <v>80.010000000000005</v>
      </c>
      <c r="AX1484" s="1">
        <v>2462.7800000000002</v>
      </c>
      <c r="AY1484" t="s">
        <v>7455</v>
      </c>
      <c r="AZ1484" t="s">
        <v>3049</v>
      </c>
      <c r="BA1484" t="s">
        <v>2223</v>
      </c>
      <c r="BB1484" s="3">
        <v>42244</v>
      </c>
      <c r="BD1484" t="s">
        <v>240</v>
      </c>
      <c r="BE1484" s="3">
        <v>42242</v>
      </c>
      <c r="BF1484" s="1">
        <v>319000</v>
      </c>
      <c r="BG1484" t="s">
        <v>10103</v>
      </c>
      <c r="BH1484" s="1">
        <v>182.7</v>
      </c>
      <c r="BI1484" s="1">
        <v>326656</v>
      </c>
      <c r="BJ1484" s="3">
        <v>42242</v>
      </c>
      <c r="BK1484" t="s">
        <v>123</v>
      </c>
      <c r="BL1484" t="str">
        <f>"2015.619432"</f>
        <v>2015.619432</v>
      </c>
      <c r="BM1484" t="s">
        <v>4014</v>
      </c>
      <c r="BO1484" t="s">
        <v>10104</v>
      </c>
      <c r="BS1484">
        <v>30</v>
      </c>
      <c r="BW1484" t="str">
        <f>""</f>
        <v/>
      </c>
      <c r="CH1484" t="str">
        <f>""</f>
        <v/>
      </c>
      <c r="CS1484" t="str">
        <f>""</f>
        <v/>
      </c>
    </row>
    <row r="1485" spans="1:97" x14ac:dyDescent="0.25">
      <c r="A1485" t="s">
        <v>2374</v>
      </c>
      <c r="B1485" t="s">
        <v>10105</v>
      </c>
      <c r="C1485" t="s">
        <v>4364</v>
      </c>
      <c r="D1485" t="s">
        <v>9584</v>
      </c>
      <c r="E1485" t="s">
        <v>10106</v>
      </c>
      <c r="F1485" t="s">
        <v>108</v>
      </c>
      <c r="H1485" t="s">
        <v>10107</v>
      </c>
      <c r="I1485" t="s">
        <v>188</v>
      </c>
      <c r="J1485" t="s">
        <v>111</v>
      </c>
      <c r="K1485" t="str">
        <f>"85142"</f>
        <v>85142</v>
      </c>
      <c r="L1485" t="s">
        <v>5893</v>
      </c>
      <c r="M1485" t="s">
        <v>10107</v>
      </c>
      <c r="N1485" t="s">
        <v>188</v>
      </c>
      <c r="O1485" t="s">
        <v>111</v>
      </c>
      <c r="P1485" t="str">
        <f>"85142-4826"</f>
        <v>85142-4826</v>
      </c>
      <c r="Q1485" t="s">
        <v>113</v>
      </c>
      <c r="R1485" t="str">
        <f>"314-04-727"</f>
        <v>314-04-727</v>
      </c>
      <c r="S1485" t="s">
        <v>5894</v>
      </c>
      <c r="T1485" t="s">
        <v>5894</v>
      </c>
      <c r="U1485">
        <v>1735</v>
      </c>
      <c r="V1485">
        <v>0</v>
      </c>
      <c r="W1485">
        <v>3</v>
      </c>
      <c r="X1485">
        <v>2015</v>
      </c>
      <c r="Z1485">
        <v>1</v>
      </c>
      <c r="AB1485">
        <v>0</v>
      </c>
      <c r="AC1485" t="s">
        <v>115</v>
      </c>
      <c r="AD1485">
        <v>2</v>
      </c>
      <c r="AE1485" t="s">
        <v>115</v>
      </c>
      <c r="AF1485">
        <v>0</v>
      </c>
      <c r="AG1485">
        <v>0</v>
      </c>
      <c r="AH1485" t="s">
        <v>116</v>
      </c>
      <c r="AI1485" s="1">
        <v>48587</v>
      </c>
      <c r="AJ1485" s="2">
        <v>0.16</v>
      </c>
      <c r="AK1485" s="1">
        <v>305987</v>
      </c>
      <c r="AL1485" t="s">
        <v>117</v>
      </c>
      <c r="AM1485" t="s">
        <v>191</v>
      </c>
      <c r="AN1485">
        <v>6823</v>
      </c>
      <c r="AO1485">
        <v>0.16</v>
      </c>
      <c r="AR1485">
        <v>1</v>
      </c>
      <c r="AS1485" s="1">
        <v>21230</v>
      </c>
      <c r="AT1485" s="1">
        <v>4240</v>
      </c>
      <c r="AU1485" s="1">
        <v>16990</v>
      </c>
      <c r="AV1485">
        <v>80.03</v>
      </c>
      <c r="AX1485" s="1">
        <v>1818.64</v>
      </c>
      <c r="AY1485" t="s">
        <v>5895</v>
      </c>
      <c r="AZ1485" t="s">
        <v>561</v>
      </c>
      <c r="BA1485" t="s">
        <v>194</v>
      </c>
      <c r="BB1485" s="3">
        <v>43643</v>
      </c>
      <c r="BC1485" s="1">
        <v>0</v>
      </c>
      <c r="BD1485" t="s">
        <v>247</v>
      </c>
      <c r="BE1485" s="3">
        <v>42003</v>
      </c>
      <c r="BF1485" s="1">
        <v>220915</v>
      </c>
      <c r="BG1485" t="s">
        <v>617</v>
      </c>
      <c r="BH1485" s="1">
        <v>127.33</v>
      </c>
      <c r="BI1485" s="1">
        <v>257400</v>
      </c>
      <c r="BJ1485" s="3">
        <v>43643</v>
      </c>
      <c r="BK1485" t="s">
        <v>123</v>
      </c>
      <c r="BL1485" t="str">
        <f>"2019.484106"</f>
        <v>2019.484106</v>
      </c>
      <c r="BM1485" t="s">
        <v>5842</v>
      </c>
      <c r="BN1485" t="s">
        <v>5843</v>
      </c>
      <c r="BO1485" t="s">
        <v>10108</v>
      </c>
      <c r="BP1485" t="s">
        <v>10109</v>
      </c>
      <c r="BR1485" t="s">
        <v>139</v>
      </c>
      <c r="BW1485" t="str">
        <f>""</f>
        <v/>
      </c>
      <c r="CH1485" t="str">
        <f>""</f>
        <v/>
      </c>
      <c r="CS1485" t="str">
        <f>""</f>
        <v/>
      </c>
    </row>
    <row r="1486" spans="1:97" x14ac:dyDescent="0.25">
      <c r="B1486" t="s">
        <v>10110</v>
      </c>
      <c r="E1486" t="s">
        <v>10111</v>
      </c>
      <c r="F1486" t="s">
        <v>108</v>
      </c>
      <c r="H1486" t="s">
        <v>10112</v>
      </c>
      <c r="I1486" t="s">
        <v>390</v>
      </c>
      <c r="J1486" t="s">
        <v>111</v>
      </c>
      <c r="K1486" t="str">
        <f>"85083"</f>
        <v>85083</v>
      </c>
      <c r="L1486" t="s">
        <v>3520</v>
      </c>
      <c r="M1486" t="s">
        <v>10112</v>
      </c>
      <c r="N1486" t="s">
        <v>390</v>
      </c>
      <c r="O1486" t="s">
        <v>111</v>
      </c>
      <c r="P1486" t="str">
        <f>"85083-5820"</f>
        <v>85083-5820</v>
      </c>
      <c r="Q1486" t="s">
        <v>113</v>
      </c>
      <c r="R1486" t="str">
        <f>"205-03-053"</f>
        <v>205-03-053</v>
      </c>
      <c r="S1486" t="s">
        <v>10113</v>
      </c>
      <c r="T1486" t="s">
        <v>10113</v>
      </c>
      <c r="U1486">
        <v>3904</v>
      </c>
      <c r="V1486">
        <v>0</v>
      </c>
      <c r="W1486">
        <v>4</v>
      </c>
      <c r="X1486">
        <v>2002</v>
      </c>
      <c r="Z1486">
        <v>2</v>
      </c>
      <c r="AA1486" t="s">
        <v>26</v>
      </c>
      <c r="AB1486">
        <v>0</v>
      </c>
      <c r="AC1486" t="s">
        <v>115</v>
      </c>
      <c r="AD1486">
        <v>3</v>
      </c>
      <c r="AE1486" t="s">
        <v>115</v>
      </c>
      <c r="AF1486">
        <v>0</v>
      </c>
      <c r="AG1486">
        <v>0</v>
      </c>
      <c r="AH1486" t="s">
        <v>116</v>
      </c>
      <c r="AI1486" s="1">
        <v>130810</v>
      </c>
      <c r="AJ1486" s="2">
        <v>0.3</v>
      </c>
      <c r="AK1486" s="1">
        <v>436910</v>
      </c>
      <c r="AL1486" t="s">
        <v>117</v>
      </c>
      <c r="AM1486" t="s">
        <v>171</v>
      </c>
      <c r="AN1486">
        <v>11210</v>
      </c>
      <c r="AO1486">
        <v>0.26</v>
      </c>
      <c r="AP1486">
        <v>1</v>
      </c>
      <c r="AR1486">
        <v>1</v>
      </c>
      <c r="AS1486" s="1">
        <v>33010</v>
      </c>
      <c r="AT1486" s="1">
        <v>6600</v>
      </c>
      <c r="AU1486" s="1">
        <v>26410</v>
      </c>
      <c r="AV1486">
        <v>80.010000000000005</v>
      </c>
      <c r="AX1486" s="1">
        <v>2952.42</v>
      </c>
      <c r="AY1486" t="s">
        <v>3522</v>
      </c>
      <c r="AZ1486" t="s">
        <v>3522</v>
      </c>
      <c r="BA1486" t="s">
        <v>1386</v>
      </c>
      <c r="BB1486" s="3">
        <v>42607</v>
      </c>
      <c r="BD1486" t="s">
        <v>458</v>
      </c>
      <c r="BE1486" s="3">
        <v>41652</v>
      </c>
      <c r="BF1486" s="1">
        <v>350000</v>
      </c>
      <c r="BG1486" t="s">
        <v>10114</v>
      </c>
      <c r="BH1486" s="1">
        <v>89.65</v>
      </c>
      <c r="BI1486" s="1">
        <v>306100</v>
      </c>
      <c r="BJ1486" s="3">
        <v>42072</v>
      </c>
      <c r="BK1486" t="s">
        <v>123</v>
      </c>
      <c r="BL1486" t="str">
        <f>"2015.154574"</f>
        <v>2015.154574</v>
      </c>
      <c r="BM1486" t="s">
        <v>124</v>
      </c>
      <c r="BO1486" t="s">
        <v>10115</v>
      </c>
      <c r="BS1486">
        <v>30</v>
      </c>
      <c r="BW1486" t="str">
        <f>""</f>
        <v/>
      </c>
      <c r="CH1486" t="str">
        <f>""</f>
        <v/>
      </c>
      <c r="CS1486" t="str">
        <f>""</f>
        <v/>
      </c>
    </row>
    <row r="1487" spans="1:97" x14ac:dyDescent="0.25">
      <c r="A1487" t="s">
        <v>1295</v>
      </c>
      <c r="B1487" t="s">
        <v>1820</v>
      </c>
      <c r="C1487" t="s">
        <v>2099</v>
      </c>
      <c r="D1487" t="s">
        <v>10116</v>
      </c>
      <c r="E1487" t="s">
        <v>10117</v>
      </c>
      <c r="F1487" t="s">
        <v>108</v>
      </c>
      <c r="H1487" t="s">
        <v>10118</v>
      </c>
      <c r="I1487" t="s">
        <v>390</v>
      </c>
      <c r="J1487" t="s">
        <v>111</v>
      </c>
      <c r="K1487" t="str">
        <f>"85048"</f>
        <v>85048</v>
      </c>
      <c r="L1487" t="s">
        <v>2547</v>
      </c>
      <c r="M1487" t="s">
        <v>10118</v>
      </c>
      <c r="N1487" t="s">
        <v>390</v>
      </c>
      <c r="O1487" t="s">
        <v>111</v>
      </c>
      <c r="P1487" t="str">
        <f>"85048-4324"</f>
        <v>85048-4324</v>
      </c>
      <c r="Q1487" t="s">
        <v>113</v>
      </c>
      <c r="R1487" t="str">
        <f>"301-75-127"</f>
        <v>301-75-127</v>
      </c>
      <c r="S1487" t="s">
        <v>10119</v>
      </c>
      <c r="T1487" t="s">
        <v>10120</v>
      </c>
      <c r="U1487">
        <v>2203</v>
      </c>
      <c r="V1487">
        <v>0</v>
      </c>
      <c r="W1487">
        <v>3</v>
      </c>
      <c r="X1487">
        <v>1992</v>
      </c>
      <c r="Z1487">
        <v>1</v>
      </c>
      <c r="AA1487" t="s">
        <v>26</v>
      </c>
      <c r="AB1487">
        <v>0</v>
      </c>
      <c r="AC1487" t="s">
        <v>115</v>
      </c>
      <c r="AD1487">
        <v>2</v>
      </c>
      <c r="AE1487" t="s">
        <v>115</v>
      </c>
      <c r="AF1487">
        <v>0</v>
      </c>
      <c r="AG1487">
        <v>0</v>
      </c>
      <c r="AH1487" t="s">
        <v>116</v>
      </c>
      <c r="AI1487" s="1">
        <v>63730</v>
      </c>
      <c r="AJ1487" s="2">
        <v>0.16</v>
      </c>
      <c r="AK1487" s="1">
        <v>408030</v>
      </c>
      <c r="AL1487" t="s">
        <v>117</v>
      </c>
      <c r="AM1487" t="s">
        <v>191</v>
      </c>
      <c r="AN1487">
        <v>7717</v>
      </c>
      <c r="AO1487">
        <v>0.18</v>
      </c>
      <c r="AP1487">
        <v>1</v>
      </c>
      <c r="AR1487">
        <v>1</v>
      </c>
      <c r="AS1487" s="1">
        <v>29880</v>
      </c>
      <c r="AT1487" s="1">
        <v>5970</v>
      </c>
      <c r="AU1487" s="1">
        <v>23910</v>
      </c>
      <c r="AV1487">
        <v>80.02</v>
      </c>
      <c r="AX1487" s="1">
        <v>3028.8</v>
      </c>
      <c r="AY1487" t="s">
        <v>10121</v>
      </c>
      <c r="AZ1487" t="s">
        <v>2967</v>
      </c>
      <c r="BA1487" t="s">
        <v>930</v>
      </c>
      <c r="BE1487" s="3">
        <v>42410</v>
      </c>
      <c r="BF1487" s="1">
        <v>338500</v>
      </c>
      <c r="BG1487" t="s">
        <v>10122</v>
      </c>
      <c r="BH1487" s="1">
        <v>153.65</v>
      </c>
      <c r="BI1487" s="1">
        <v>344300</v>
      </c>
      <c r="BJ1487" s="3">
        <v>42766</v>
      </c>
      <c r="BK1487" t="s">
        <v>123</v>
      </c>
      <c r="BL1487" t="str">
        <f>"2017.77260"</f>
        <v>2017.77260</v>
      </c>
      <c r="BM1487" t="s">
        <v>255</v>
      </c>
      <c r="BO1487" t="s">
        <v>10123</v>
      </c>
      <c r="BP1487" t="s">
        <v>10124</v>
      </c>
      <c r="BS1487">
        <v>30</v>
      </c>
      <c r="BW1487" t="str">
        <f>""</f>
        <v/>
      </c>
      <c r="CH1487" t="str">
        <f>""</f>
        <v/>
      </c>
      <c r="CS1487" t="str">
        <f>""</f>
        <v/>
      </c>
    </row>
    <row r="1488" spans="1:97" x14ac:dyDescent="0.25">
      <c r="A1488" t="s">
        <v>140</v>
      </c>
      <c r="B1488" t="s">
        <v>10125</v>
      </c>
      <c r="C1488" t="s">
        <v>1126</v>
      </c>
      <c r="D1488" t="s">
        <v>10125</v>
      </c>
      <c r="E1488" t="s">
        <v>10126</v>
      </c>
      <c r="F1488" t="s">
        <v>108</v>
      </c>
      <c r="H1488" t="s">
        <v>10127</v>
      </c>
      <c r="I1488" t="s">
        <v>390</v>
      </c>
      <c r="J1488" t="s">
        <v>111</v>
      </c>
      <c r="K1488" t="str">
        <f>"85048"</f>
        <v>85048</v>
      </c>
      <c r="L1488" t="s">
        <v>5209</v>
      </c>
      <c r="M1488" t="s">
        <v>10127</v>
      </c>
      <c r="N1488" t="s">
        <v>390</v>
      </c>
      <c r="O1488" t="s">
        <v>111</v>
      </c>
      <c r="P1488" t="str">
        <f>"85048"</f>
        <v>85048</v>
      </c>
      <c r="Q1488" t="s">
        <v>113</v>
      </c>
      <c r="R1488" t="str">
        <f>"301-69-488"</f>
        <v>301-69-488</v>
      </c>
      <c r="S1488" t="s">
        <v>10128</v>
      </c>
      <c r="T1488" t="s">
        <v>10129</v>
      </c>
      <c r="U1488">
        <v>2764</v>
      </c>
      <c r="V1488">
        <v>0</v>
      </c>
      <c r="W1488">
        <v>4</v>
      </c>
      <c r="X1488">
        <v>1987</v>
      </c>
      <c r="Z1488">
        <v>2</v>
      </c>
      <c r="AA1488" t="s">
        <v>26</v>
      </c>
      <c r="AB1488">
        <v>0</v>
      </c>
      <c r="AC1488" t="s">
        <v>115</v>
      </c>
      <c r="AD1488">
        <v>3</v>
      </c>
      <c r="AE1488" t="s">
        <v>115</v>
      </c>
      <c r="AF1488">
        <v>0</v>
      </c>
      <c r="AG1488">
        <v>0</v>
      </c>
      <c r="AH1488" t="s">
        <v>116</v>
      </c>
      <c r="AI1488" s="1">
        <v>86032</v>
      </c>
      <c r="AJ1488" s="2">
        <v>0.22</v>
      </c>
      <c r="AK1488" s="1">
        <v>398675</v>
      </c>
      <c r="AL1488" t="s">
        <v>117</v>
      </c>
      <c r="AM1488" t="s">
        <v>191</v>
      </c>
      <c r="AN1488">
        <v>6107</v>
      </c>
      <c r="AO1488">
        <v>0.14000000000000001</v>
      </c>
      <c r="AP1488">
        <v>1</v>
      </c>
      <c r="AR1488">
        <v>1</v>
      </c>
      <c r="AS1488" s="1">
        <v>28550</v>
      </c>
      <c r="AT1488" s="1">
        <v>5710</v>
      </c>
      <c r="AU1488" s="1">
        <v>22840</v>
      </c>
      <c r="AV1488">
        <v>80</v>
      </c>
      <c r="AX1488" s="1">
        <v>2607.3000000000002</v>
      </c>
      <c r="AY1488" t="s">
        <v>6633</v>
      </c>
      <c r="AZ1488" t="s">
        <v>929</v>
      </c>
      <c r="BA1488" t="s">
        <v>930</v>
      </c>
      <c r="BE1488" s="3">
        <v>42205</v>
      </c>
      <c r="BF1488" s="1">
        <v>304000</v>
      </c>
      <c r="BG1488" t="s">
        <v>10130</v>
      </c>
      <c r="BH1488" s="1">
        <v>109.99</v>
      </c>
      <c r="BI1488" s="1">
        <v>312643</v>
      </c>
      <c r="BJ1488" s="3">
        <v>42649</v>
      </c>
      <c r="BK1488" t="s">
        <v>123</v>
      </c>
      <c r="BL1488" t="str">
        <f>"2016.735558"</f>
        <v>2016.735558</v>
      </c>
      <c r="BM1488" t="s">
        <v>709</v>
      </c>
      <c r="BO1488" t="s">
        <v>10131</v>
      </c>
      <c r="BS1488">
        <v>30</v>
      </c>
      <c r="BW1488" t="str">
        <f>""</f>
        <v/>
      </c>
      <c r="CH1488" t="str">
        <f>""</f>
        <v/>
      </c>
      <c r="CS1488" t="str">
        <f>""</f>
        <v/>
      </c>
    </row>
    <row r="1489" spans="1:97" x14ac:dyDescent="0.25">
      <c r="A1489" t="s">
        <v>639</v>
      </c>
      <c r="B1489" t="s">
        <v>10132</v>
      </c>
      <c r="C1489" t="s">
        <v>10133</v>
      </c>
      <c r="D1489" t="s">
        <v>10132</v>
      </c>
      <c r="E1489" t="s">
        <v>10134</v>
      </c>
      <c r="F1489" t="s">
        <v>108</v>
      </c>
      <c r="H1489" t="s">
        <v>10135</v>
      </c>
      <c r="I1489" t="s">
        <v>632</v>
      </c>
      <c r="J1489" t="s">
        <v>111</v>
      </c>
      <c r="K1489" t="str">
        <f>"85388"</f>
        <v>85388</v>
      </c>
      <c r="L1489" t="s">
        <v>5165</v>
      </c>
      <c r="M1489" t="s">
        <v>10135</v>
      </c>
      <c r="N1489" t="s">
        <v>632</v>
      </c>
      <c r="O1489" t="s">
        <v>111</v>
      </c>
      <c r="P1489" t="str">
        <f>"85388-5077"</f>
        <v>85388-5077</v>
      </c>
      <c r="Q1489" t="s">
        <v>113</v>
      </c>
      <c r="R1489" t="str">
        <f>"502-05-439"</f>
        <v>502-05-439</v>
      </c>
      <c r="S1489" t="s">
        <v>5166</v>
      </c>
      <c r="T1489" t="s">
        <v>5167</v>
      </c>
      <c r="U1489">
        <v>3215</v>
      </c>
      <c r="V1489">
        <v>0</v>
      </c>
      <c r="W1489">
        <v>4</v>
      </c>
      <c r="X1489">
        <v>2007</v>
      </c>
      <c r="Z1489">
        <v>2</v>
      </c>
      <c r="AA1489" t="s">
        <v>26</v>
      </c>
      <c r="AB1489">
        <v>0</v>
      </c>
      <c r="AC1489" t="s">
        <v>115</v>
      </c>
      <c r="AD1489">
        <v>4</v>
      </c>
      <c r="AE1489" t="s">
        <v>115</v>
      </c>
      <c r="AF1489">
        <v>0</v>
      </c>
      <c r="AG1489">
        <v>0</v>
      </c>
      <c r="AH1489" t="s">
        <v>116</v>
      </c>
      <c r="AI1489" s="1">
        <v>67099</v>
      </c>
      <c r="AJ1489" s="2">
        <v>0.18</v>
      </c>
      <c r="AK1489" s="1">
        <v>363672</v>
      </c>
      <c r="AL1489" t="s">
        <v>117</v>
      </c>
      <c r="AM1489" t="s">
        <v>118</v>
      </c>
      <c r="AN1489">
        <v>10525</v>
      </c>
      <c r="AO1489">
        <v>0.24</v>
      </c>
      <c r="AR1489">
        <v>1</v>
      </c>
      <c r="AS1489" s="1">
        <v>26720</v>
      </c>
      <c r="AT1489" s="1">
        <v>5340</v>
      </c>
      <c r="AU1489" s="1">
        <v>21380</v>
      </c>
      <c r="AV1489">
        <v>80.010000000000005</v>
      </c>
      <c r="AX1489" s="1">
        <v>2182.56</v>
      </c>
      <c r="AY1489" t="s">
        <v>5168</v>
      </c>
      <c r="AZ1489" t="s">
        <v>5168</v>
      </c>
      <c r="BA1489" t="s">
        <v>5061</v>
      </c>
      <c r="BE1489" s="3">
        <v>42464</v>
      </c>
      <c r="BF1489" s="1">
        <v>296500</v>
      </c>
      <c r="BG1489" t="s">
        <v>10136</v>
      </c>
      <c r="BH1489" s="1">
        <v>92.22</v>
      </c>
      <c r="BI1489" s="1">
        <v>296573</v>
      </c>
      <c r="BJ1489" s="3">
        <v>42674</v>
      </c>
      <c r="BK1489" t="s">
        <v>123</v>
      </c>
      <c r="BL1489" t="str">
        <f>"2016.801093"</f>
        <v>2016.801093</v>
      </c>
      <c r="BM1489" t="s">
        <v>9928</v>
      </c>
      <c r="BO1489" t="s">
        <v>10137</v>
      </c>
      <c r="BS1489">
        <v>30</v>
      </c>
      <c r="BW1489" t="str">
        <f>""</f>
        <v/>
      </c>
      <c r="CH1489" t="str">
        <f>""</f>
        <v/>
      </c>
      <c r="CS1489" t="str">
        <f>""</f>
        <v/>
      </c>
    </row>
    <row r="1490" spans="1:97" x14ac:dyDescent="0.25">
      <c r="A1490" t="s">
        <v>10138</v>
      </c>
      <c r="B1490" t="s">
        <v>10139</v>
      </c>
      <c r="E1490" t="s">
        <v>10140</v>
      </c>
      <c r="F1490" t="s">
        <v>108</v>
      </c>
      <c r="H1490" t="s">
        <v>10141</v>
      </c>
      <c r="I1490" t="s">
        <v>5636</v>
      </c>
      <c r="J1490" t="s">
        <v>111</v>
      </c>
      <c r="K1490" t="str">
        <f>"85268"</f>
        <v>85268</v>
      </c>
      <c r="L1490" t="s">
        <v>3758</v>
      </c>
      <c r="M1490" t="s">
        <v>10141</v>
      </c>
      <c r="N1490" t="s">
        <v>5636</v>
      </c>
      <c r="O1490" t="s">
        <v>111</v>
      </c>
      <c r="P1490" t="str">
        <f>"85268-1400"</f>
        <v>85268-1400</v>
      </c>
      <c r="Q1490" t="s">
        <v>113</v>
      </c>
      <c r="R1490" t="str">
        <f>"176-22-521"</f>
        <v>176-22-521</v>
      </c>
      <c r="S1490" t="s">
        <v>10142</v>
      </c>
      <c r="U1490">
        <v>1974</v>
      </c>
      <c r="V1490">
        <v>0</v>
      </c>
      <c r="W1490">
        <v>4</v>
      </c>
      <c r="X1490">
        <v>1996</v>
      </c>
      <c r="Z1490">
        <v>2</v>
      </c>
      <c r="AA1490" t="s">
        <v>26</v>
      </c>
      <c r="AB1490">
        <v>0</v>
      </c>
      <c r="AC1490" t="s">
        <v>115</v>
      </c>
      <c r="AD1490">
        <v>2</v>
      </c>
      <c r="AE1490" t="s">
        <v>115</v>
      </c>
      <c r="AF1490">
        <v>0</v>
      </c>
      <c r="AG1490">
        <v>0</v>
      </c>
      <c r="AH1490" t="s">
        <v>116</v>
      </c>
      <c r="AI1490" s="1">
        <v>35600</v>
      </c>
      <c r="AJ1490" s="2">
        <v>7.0000000000000007E-2</v>
      </c>
      <c r="AK1490" s="1">
        <v>486650</v>
      </c>
      <c r="AL1490" t="s">
        <v>117</v>
      </c>
      <c r="AM1490" t="s">
        <v>1302</v>
      </c>
      <c r="AN1490">
        <v>15673</v>
      </c>
      <c r="AO1490">
        <v>0.36</v>
      </c>
      <c r="AP1490">
        <v>1</v>
      </c>
      <c r="AR1490">
        <v>1</v>
      </c>
      <c r="AS1490" s="1">
        <v>35120</v>
      </c>
      <c r="AT1490" s="1">
        <v>7020</v>
      </c>
      <c r="AU1490" s="1">
        <v>28100</v>
      </c>
      <c r="AV1490">
        <v>80.010000000000005</v>
      </c>
      <c r="AX1490" s="1">
        <v>2221.42</v>
      </c>
      <c r="AY1490" t="s">
        <v>5639</v>
      </c>
      <c r="AZ1490" t="s">
        <v>5640</v>
      </c>
      <c r="BA1490" t="s">
        <v>5641</v>
      </c>
      <c r="BE1490" s="3">
        <v>42045</v>
      </c>
      <c r="BF1490" s="1">
        <v>405000</v>
      </c>
      <c r="BG1490" t="s">
        <v>10143</v>
      </c>
      <c r="BH1490" s="1">
        <v>205.17</v>
      </c>
      <c r="BI1490" s="1">
        <v>451050</v>
      </c>
      <c r="BJ1490" s="3">
        <v>43123</v>
      </c>
      <c r="BK1490" t="s">
        <v>123</v>
      </c>
      <c r="BL1490" t="str">
        <f>"2018.53798"</f>
        <v>2018.53798</v>
      </c>
      <c r="BM1490" t="s">
        <v>673</v>
      </c>
      <c r="BN1490" t="s">
        <v>674</v>
      </c>
      <c r="BO1490" t="s">
        <v>10140</v>
      </c>
      <c r="BR1490" t="s">
        <v>346</v>
      </c>
      <c r="BT1490" s="1">
        <v>451050</v>
      </c>
      <c r="BU1490" s="3">
        <v>43123</v>
      </c>
      <c r="BV1490" t="s">
        <v>123</v>
      </c>
      <c r="BW1490" t="str">
        <f>"2018.53798"</f>
        <v>2018.53798</v>
      </c>
      <c r="BX1490" t="s">
        <v>673</v>
      </c>
      <c r="BY1490" t="s">
        <v>674</v>
      </c>
      <c r="BZ1490" t="s">
        <v>10140</v>
      </c>
      <c r="CC1490" t="s">
        <v>346</v>
      </c>
      <c r="CH1490" t="str">
        <f>""</f>
        <v/>
      </c>
      <c r="CS1490" t="str">
        <f>""</f>
        <v/>
      </c>
    </row>
    <row r="1491" spans="1:97" x14ac:dyDescent="0.25">
      <c r="A1491" t="s">
        <v>10144</v>
      </c>
      <c r="B1491" t="s">
        <v>4306</v>
      </c>
      <c r="E1491" t="s">
        <v>10145</v>
      </c>
      <c r="F1491" t="s">
        <v>108</v>
      </c>
      <c r="H1491" t="s">
        <v>10146</v>
      </c>
      <c r="I1491" t="s">
        <v>188</v>
      </c>
      <c r="J1491" t="s">
        <v>111</v>
      </c>
      <c r="K1491" t="str">
        <f>"85142"</f>
        <v>85142</v>
      </c>
      <c r="L1491" t="s">
        <v>3645</v>
      </c>
      <c r="M1491" t="s">
        <v>10146</v>
      </c>
      <c r="N1491" t="s">
        <v>188</v>
      </c>
      <c r="O1491" t="s">
        <v>111</v>
      </c>
      <c r="P1491" t="str">
        <f>"85142-7424"</f>
        <v>85142-7424</v>
      </c>
      <c r="Q1491" t="s">
        <v>113</v>
      </c>
      <c r="R1491" t="str">
        <f>"314-08-614"</f>
        <v>314-08-614</v>
      </c>
      <c r="S1491" t="s">
        <v>9258</v>
      </c>
      <c r="T1491" t="s">
        <v>4400</v>
      </c>
      <c r="U1491">
        <v>3194</v>
      </c>
      <c r="V1491">
        <v>0</v>
      </c>
      <c r="W1491">
        <v>5</v>
      </c>
      <c r="X1491">
        <v>2014</v>
      </c>
      <c r="Z1491">
        <v>1</v>
      </c>
      <c r="AB1491">
        <v>0</v>
      </c>
      <c r="AC1491" t="s">
        <v>115</v>
      </c>
      <c r="AD1491">
        <v>3</v>
      </c>
      <c r="AE1491" t="s">
        <v>115</v>
      </c>
      <c r="AF1491">
        <v>0</v>
      </c>
      <c r="AG1491">
        <v>0</v>
      </c>
      <c r="AH1491" t="s">
        <v>116</v>
      </c>
      <c r="AI1491" s="1">
        <v>48298</v>
      </c>
      <c r="AJ1491" s="2">
        <v>0.09</v>
      </c>
      <c r="AK1491" s="1">
        <v>515245</v>
      </c>
      <c r="AL1491" t="s">
        <v>117</v>
      </c>
      <c r="AM1491" t="s">
        <v>917</v>
      </c>
      <c r="AN1491">
        <v>15609</v>
      </c>
      <c r="AO1491">
        <v>0.36</v>
      </c>
      <c r="AR1491">
        <v>1</v>
      </c>
      <c r="AS1491" s="1">
        <v>34450</v>
      </c>
      <c r="AT1491" s="1">
        <v>6890</v>
      </c>
      <c r="AU1491" s="1">
        <v>27560</v>
      </c>
      <c r="AV1491">
        <v>80</v>
      </c>
      <c r="AX1491" s="1">
        <v>3423.9</v>
      </c>
      <c r="AY1491" t="s">
        <v>560</v>
      </c>
      <c r="AZ1491" t="s">
        <v>561</v>
      </c>
      <c r="BA1491" t="s">
        <v>194</v>
      </c>
      <c r="BE1491" s="3">
        <v>42062</v>
      </c>
      <c r="BF1491" s="1">
        <v>477957</v>
      </c>
      <c r="BG1491" t="s">
        <v>749</v>
      </c>
      <c r="BH1491" s="1">
        <v>149.63999999999999</v>
      </c>
      <c r="BI1491" s="1">
        <v>466947</v>
      </c>
      <c r="BJ1491" s="3">
        <v>42062</v>
      </c>
      <c r="BK1491" t="s">
        <v>123</v>
      </c>
      <c r="BL1491" t="str">
        <f>"2015.134628"</f>
        <v>2015.134628</v>
      </c>
      <c r="BM1491" t="s">
        <v>1968</v>
      </c>
      <c r="BO1491" t="s">
        <v>10147</v>
      </c>
      <c r="BS1491">
        <v>30</v>
      </c>
      <c r="BW1491" t="str">
        <f>""</f>
        <v/>
      </c>
      <c r="CH1491" t="str">
        <f>""</f>
        <v/>
      </c>
      <c r="CS1491" t="str">
        <f>""</f>
        <v/>
      </c>
    </row>
    <row r="1492" spans="1:97" x14ac:dyDescent="0.25">
      <c r="A1492" t="s">
        <v>10148</v>
      </c>
      <c r="B1492" t="s">
        <v>10149</v>
      </c>
      <c r="C1492" t="s">
        <v>2793</v>
      </c>
      <c r="D1492" t="s">
        <v>10149</v>
      </c>
      <c r="E1492" t="s">
        <v>10150</v>
      </c>
      <c r="F1492" t="s">
        <v>108</v>
      </c>
      <c r="H1492" t="s">
        <v>10151</v>
      </c>
      <c r="I1492" t="s">
        <v>203</v>
      </c>
      <c r="J1492" t="s">
        <v>111</v>
      </c>
      <c r="K1492" t="str">
        <f>"85234"</f>
        <v>85234</v>
      </c>
      <c r="L1492" t="s">
        <v>5816</v>
      </c>
      <c r="M1492" t="s">
        <v>10151</v>
      </c>
      <c r="N1492" t="s">
        <v>203</v>
      </c>
      <c r="O1492" t="s">
        <v>111</v>
      </c>
      <c r="P1492" t="str">
        <f>"85234"</f>
        <v>85234</v>
      </c>
      <c r="Q1492" t="s">
        <v>113</v>
      </c>
      <c r="R1492" t="str">
        <f>"313-12-613"</f>
        <v>313-12-613</v>
      </c>
      <c r="S1492" t="s">
        <v>10152</v>
      </c>
      <c r="T1492" t="s">
        <v>10152</v>
      </c>
      <c r="U1492">
        <v>1456</v>
      </c>
      <c r="V1492">
        <v>0</v>
      </c>
      <c r="W1492">
        <v>3</v>
      </c>
      <c r="X1492">
        <v>2007</v>
      </c>
      <c r="Z1492">
        <v>1</v>
      </c>
      <c r="AB1492">
        <v>0</v>
      </c>
      <c r="AC1492" t="s">
        <v>115</v>
      </c>
      <c r="AD1492">
        <v>2</v>
      </c>
      <c r="AE1492" t="s">
        <v>115</v>
      </c>
      <c r="AF1492">
        <v>0</v>
      </c>
      <c r="AG1492">
        <v>0</v>
      </c>
      <c r="AH1492" t="s">
        <v>116</v>
      </c>
      <c r="AI1492" s="1">
        <v>36232</v>
      </c>
      <c r="AJ1492" s="2">
        <v>0.12</v>
      </c>
      <c r="AK1492" s="1">
        <v>300225</v>
      </c>
      <c r="AL1492" t="s">
        <v>117</v>
      </c>
      <c r="AM1492" t="s">
        <v>191</v>
      </c>
      <c r="AN1492">
        <v>6050</v>
      </c>
      <c r="AO1492">
        <v>0.14000000000000001</v>
      </c>
      <c r="AR1492">
        <v>1</v>
      </c>
      <c r="AS1492" s="1">
        <v>21200</v>
      </c>
      <c r="AT1492" s="1">
        <v>4240</v>
      </c>
      <c r="AU1492" s="1">
        <v>16960</v>
      </c>
      <c r="AV1492">
        <v>80</v>
      </c>
      <c r="AX1492" s="1">
        <v>1463.46</v>
      </c>
      <c r="AY1492" t="s">
        <v>5565</v>
      </c>
      <c r="AZ1492" t="s">
        <v>520</v>
      </c>
      <c r="BA1492" t="s">
        <v>521</v>
      </c>
      <c r="BE1492" s="3">
        <v>42122</v>
      </c>
      <c r="BF1492" s="1">
        <v>225000</v>
      </c>
      <c r="BG1492" t="s">
        <v>10153</v>
      </c>
      <c r="BH1492" s="1">
        <v>154.53</v>
      </c>
      <c r="BI1492" s="1">
        <v>263993</v>
      </c>
      <c r="BJ1492" s="3">
        <v>43014</v>
      </c>
      <c r="BK1492" t="s">
        <v>123</v>
      </c>
      <c r="BL1492" t="str">
        <f>"2017.742238"</f>
        <v>2017.742238</v>
      </c>
      <c r="BM1492" t="s">
        <v>10154</v>
      </c>
      <c r="BO1492" t="s">
        <v>10155</v>
      </c>
      <c r="BS1492">
        <v>30</v>
      </c>
      <c r="BW1492" t="str">
        <f>""</f>
        <v/>
      </c>
      <c r="CH1492" t="str">
        <f>""</f>
        <v/>
      </c>
      <c r="CS1492" t="str">
        <f>""</f>
        <v/>
      </c>
    </row>
    <row r="1493" spans="1:97" x14ac:dyDescent="0.25">
      <c r="A1493" t="s">
        <v>10156</v>
      </c>
      <c r="B1493" t="s">
        <v>10157</v>
      </c>
      <c r="C1493" t="s">
        <v>10158</v>
      </c>
      <c r="D1493" t="s">
        <v>10157</v>
      </c>
      <c r="E1493" t="s">
        <v>10159</v>
      </c>
      <c r="F1493" t="s">
        <v>108</v>
      </c>
      <c r="H1493" t="s">
        <v>10160</v>
      </c>
      <c r="I1493" t="s">
        <v>110</v>
      </c>
      <c r="J1493" t="s">
        <v>111</v>
      </c>
      <c r="K1493" t="str">
        <f>"85225"</f>
        <v>85225</v>
      </c>
      <c r="L1493" t="s">
        <v>6691</v>
      </c>
      <c r="M1493" t="s">
        <v>10160</v>
      </c>
      <c r="N1493" t="s">
        <v>110</v>
      </c>
      <c r="O1493" t="s">
        <v>111</v>
      </c>
      <c r="P1493" t="str">
        <f>"85225-4254"</f>
        <v>85225-4254</v>
      </c>
      <c r="Q1493" t="s">
        <v>113</v>
      </c>
      <c r="R1493" t="str">
        <f>"310-11-760"</f>
        <v>310-11-760</v>
      </c>
      <c r="S1493" t="s">
        <v>10161</v>
      </c>
      <c r="T1493" t="s">
        <v>10161</v>
      </c>
      <c r="U1493">
        <v>3016</v>
      </c>
      <c r="V1493">
        <v>0</v>
      </c>
      <c r="W1493">
        <v>4</v>
      </c>
      <c r="X1493">
        <v>2004</v>
      </c>
      <c r="Z1493">
        <v>2</v>
      </c>
      <c r="AB1493">
        <v>0</v>
      </c>
      <c r="AC1493" t="s">
        <v>115</v>
      </c>
      <c r="AD1493">
        <v>3</v>
      </c>
      <c r="AE1493" t="s">
        <v>115</v>
      </c>
      <c r="AF1493">
        <v>0</v>
      </c>
      <c r="AG1493">
        <v>0</v>
      </c>
      <c r="AH1493" t="s">
        <v>116</v>
      </c>
      <c r="AI1493" s="1">
        <v>118818</v>
      </c>
      <c r="AJ1493" s="2">
        <v>0.27</v>
      </c>
      <c r="AK1493" s="1">
        <v>440317</v>
      </c>
      <c r="AL1493" t="s">
        <v>117</v>
      </c>
      <c r="AM1493" t="s">
        <v>118</v>
      </c>
      <c r="AN1493">
        <v>7936</v>
      </c>
      <c r="AO1493">
        <v>0.18</v>
      </c>
      <c r="AP1493">
        <v>1</v>
      </c>
      <c r="AR1493">
        <v>1</v>
      </c>
      <c r="AS1493" s="1">
        <v>32350</v>
      </c>
      <c r="AT1493" s="1">
        <v>6470</v>
      </c>
      <c r="AU1493" s="1">
        <v>25880</v>
      </c>
      <c r="AV1493">
        <v>80</v>
      </c>
      <c r="AX1493" s="1">
        <v>2495.8200000000002</v>
      </c>
      <c r="AY1493" t="s">
        <v>2905</v>
      </c>
      <c r="AZ1493" t="s">
        <v>2906</v>
      </c>
      <c r="BA1493" t="s">
        <v>303</v>
      </c>
      <c r="BE1493" s="3">
        <v>42341</v>
      </c>
      <c r="BF1493" s="1">
        <v>335000</v>
      </c>
      <c r="BG1493" t="s">
        <v>10162</v>
      </c>
      <c r="BH1493" s="1">
        <v>111.07</v>
      </c>
      <c r="BI1493" s="1">
        <v>321499</v>
      </c>
      <c r="BJ1493" s="3">
        <v>42629</v>
      </c>
      <c r="BK1493" t="s">
        <v>123</v>
      </c>
      <c r="BL1493" t="str">
        <f>"2016.674529"</f>
        <v>2016.674529</v>
      </c>
      <c r="BM1493" t="s">
        <v>425</v>
      </c>
      <c r="BO1493" t="s">
        <v>10163</v>
      </c>
      <c r="BS1493">
        <v>30</v>
      </c>
      <c r="BW1493" t="str">
        <f>""</f>
        <v/>
      </c>
      <c r="CH1493" t="str">
        <f>""</f>
        <v/>
      </c>
      <c r="CS1493" t="str">
        <f>""</f>
        <v/>
      </c>
    </row>
    <row r="1494" spans="1:97" x14ac:dyDescent="0.25">
      <c r="A1494" t="s">
        <v>305</v>
      </c>
      <c r="B1494" t="s">
        <v>10164</v>
      </c>
      <c r="C1494" t="s">
        <v>496</v>
      </c>
      <c r="D1494" t="s">
        <v>10164</v>
      </c>
      <c r="E1494" t="s">
        <v>10165</v>
      </c>
      <c r="F1494" t="s">
        <v>108</v>
      </c>
      <c r="H1494" t="s">
        <v>10166</v>
      </c>
      <c r="I1494" t="s">
        <v>203</v>
      </c>
      <c r="J1494" t="s">
        <v>111</v>
      </c>
      <c r="K1494" t="str">
        <f>"85233"</f>
        <v>85233</v>
      </c>
      <c r="L1494" t="s">
        <v>6308</v>
      </c>
      <c r="M1494" t="s">
        <v>10166</v>
      </c>
      <c r="N1494" t="s">
        <v>203</v>
      </c>
      <c r="O1494" t="s">
        <v>111</v>
      </c>
      <c r="P1494" t="str">
        <f>"85233-7049"</f>
        <v>85233-7049</v>
      </c>
      <c r="Q1494" t="s">
        <v>113</v>
      </c>
      <c r="R1494" t="str">
        <f>"310-04-338"</f>
        <v>310-04-338</v>
      </c>
      <c r="S1494" t="s">
        <v>10167</v>
      </c>
      <c r="T1494" t="s">
        <v>10168</v>
      </c>
      <c r="U1494">
        <v>2719</v>
      </c>
      <c r="V1494">
        <v>0</v>
      </c>
      <c r="W1494">
        <v>4</v>
      </c>
      <c r="X1494">
        <v>1994</v>
      </c>
      <c r="Z1494">
        <v>2</v>
      </c>
      <c r="AA1494" t="s">
        <v>26</v>
      </c>
      <c r="AB1494">
        <v>0</v>
      </c>
      <c r="AC1494" t="s">
        <v>115</v>
      </c>
      <c r="AD1494">
        <v>3</v>
      </c>
      <c r="AE1494" t="s">
        <v>115</v>
      </c>
      <c r="AF1494">
        <v>0</v>
      </c>
      <c r="AG1494">
        <v>0</v>
      </c>
      <c r="AH1494" t="s">
        <v>116</v>
      </c>
      <c r="AI1494" s="1">
        <v>59209</v>
      </c>
      <c r="AJ1494" s="2">
        <v>0.14000000000000001</v>
      </c>
      <c r="AK1494" s="1">
        <v>423858</v>
      </c>
      <c r="AL1494" t="s">
        <v>117</v>
      </c>
      <c r="AM1494" t="s">
        <v>393</v>
      </c>
      <c r="AN1494">
        <v>8537</v>
      </c>
      <c r="AO1494">
        <v>0.2</v>
      </c>
      <c r="AP1494">
        <v>1</v>
      </c>
      <c r="AR1494">
        <v>1</v>
      </c>
      <c r="AS1494" s="1">
        <v>30930</v>
      </c>
      <c r="AT1494" s="1">
        <v>6180</v>
      </c>
      <c r="AU1494" s="1">
        <v>24750</v>
      </c>
      <c r="AV1494">
        <v>80.02</v>
      </c>
      <c r="AX1494" s="1">
        <v>2306.06</v>
      </c>
      <c r="AY1494" t="s">
        <v>5477</v>
      </c>
      <c r="AZ1494" t="s">
        <v>5478</v>
      </c>
      <c r="BA1494" t="s">
        <v>5479</v>
      </c>
      <c r="BE1494" s="3">
        <v>42488</v>
      </c>
      <c r="BF1494" s="1">
        <v>353000</v>
      </c>
      <c r="BG1494" t="s">
        <v>10169</v>
      </c>
      <c r="BH1494" s="1">
        <v>129.83000000000001</v>
      </c>
      <c r="BI1494" s="1">
        <v>364649</v>
      </c>
      <c r="BJ1494" s="3">
        <v>42488</v>
      </c>
      <c r="BK1494" t="s">
        <v>123</v>
      </c>
      <c r="BL1494" t="str">
        <f>"2016.286750"</f>
        <v>2016.286750</v>
      </c>
      <c r="BM1494" t="s">
        <v>2683</v>
      </c>
      <c r="BO1494" t="s">
        <v>10170</v>
      </c>
      <c r="BS1494">
        <v>30</v>
      </c>
      <c r="BW1494" t="str">
        <f>""</f>
        <v/>
      </c>
      <c r="CH1494" t="str">
        <f>""</f>
        <v/>
      </c>
      <c r="CS1494" t="str">
        <f>""</f>
        <v/>
      </c>
    </row>
    <row r="1495" spans="1:97" x14ac:dyDescent="0.25">
      <c r="A1495" t="s">
        <v>938</v>
      </c>
      <c r="B1495" t="s">
        <v>10171</v>
      </c>
      <c r="C1495" t="s">
        <v>10172</v>
      </c>
      <c r="D1495" t="s">
        <v>10171</v>
      </c>
      <c r="E1495" t="s">
        <v>10173</v>
      </c>
      <c r="F1495" t="s">
        <v>108</v>
      </c>
      <c r="H1495" t="s">
        <v>10174</v>
      </c>
      <c r="I1495" t="s">
        <v>110</v>
      </c>
      <c r="J1495" t="s">
        <v>111</v>
      </c>
      <c r="K1495" t="str">
        <f>"85224"</f>
        <v>85224</v>
      </c>
      <c r="L1495" t="s">
        <v>5106</v>
      </c>
      <c r="M1495" t="s">
        <v>10174</v>
      </c>
      <c r="N1495" t="s">
        <v>110</v>
      </c>
      <c r="O1495" t="s">
        <v>111</v>
      </c>
      <c r="P1495" t="str">
        <f>"85224-7255"</f>
        <v>85224-7255</v>
      </c>
      <c r="Q1495" t="s">
        <v>113</v>
      </c>
      <c r="R1495" t="str">
        <f>"303-75-113"</f>
        <v>303-75-113</v>
      </c>
      <c r="S1495" t="s">
        <v>10175</v>
      </c>
      <c r="T1495" t="s">
        <v>10176</v>
      </c>
      <c r="U1495">
        <v>1868</v>
      </c>
      <c r="V1495">
        <v>0</v>
      </c>
      <c r="W1495">
        <v>4</v>
      </c>
      <c r="X1495">
        <v>1996</v>
      </c>
      <c r="Z1495">
        <v>2</v>
      </c>
      <c r="AB1495">
        <v>0</v>
      </c>
      <c r="AC1495" t="s">
        <v>115</v>
      </c>
      <c r="AD1495">
        <v>2</v>
      </c>
      <c r="AE1495" t="s">
        <v>115</v>
      </c>
      <c r="AF1495">
        <v>0</v>
      </c>
      <c r="AG1495">
        <v>0</v>
      </c>
      <c r="AH1495" t="s">
        <v>116</v>
      </c>
      <c r="AI1495" s="1">
        <v>45756</v>
      </c>
      <c r="AJ1495" s="2">
        <v>0.14000000000000001</v>
      </c>
      <c r="AK1495" s="1">
        <v>327986</v>
      </c>
      <c r="AL1495" t="s">
        <v>117</v>
      </c>
      <c r="AM1495" t="s">
        <v>118</v>
      </c>
      <c r="AN1495">
        <v>5497</v>
      </c>
      <c r="AO1495">
        <v>0.13</v>
      </c>
      <c r="AP1495">
        <v>1</v>
      </c>
      <c r="AR1495">
        <v>1</v>
      </c>
      <c r="AS1495" s="1">
        <v>22870</v>
      </c>
      <c r="AT1495" s="1">
        <v>4570</v>
      </c>
      <c r="AU1495" s="1">
        <v>18300</v>
      </c>
      <c r="AV1495">
        <v>80.02</v>
      </c>
      <c r="AX1495" s="1">
        <v>1763.02</v>
      </c>
      <c r="AY1495" t="s">
        <v>6015</v>
      </c>
      <c r="AZ1495" t="s">
        <v>5078</v>
      </c>
      <c r="BA1495" t="s">
        <v>121</v>
      </c>
      <c r="BE1495" s="3">
        <v>41726</v>
      </c>
      <c r="BF1495" s="1">
        <v>223000</v>
      </c>
      <c r="BG1495" t="s">
        <v>10177</v>
      </c>
      <c r="BH1495" s="1">
        <v>119.38</v>
      </c>
      <c r="BI1495" s="1">
        <v>222230</v>
      </c>
      <c r="BJ1495" s="3">
        <v>42342</v>
      </c>
      <c r="BK1495" t="s">
        <v>123</v>
      </c>
      <c r="BL1495" t="str">
        <f>"2015.861095"</f>
        <v>2015.861095</v>
      </c>
      <c r="BM1495" t="s">
        <v>724</v>
      </c>
      <c r="BN1495" t="s">
        <v>5423</v>
      </c>
      <c r="BO1495" t="s">
        <v>10178</v>
      </c>
      <c r="BS1495">
        <v>15</v>
      </c>
      <c r="BT1495" s="1">
        <v>60000</v>
      </c>
      <c r="BU1495" s="3">
        <v>43382</v>
      </c>
      <c r="BW1495" t="str">
        <f>"2018.754671"</f>
        <v>2018.754671</v>
      </c>
      <c r="BX1495" t="s">
        <v>1214</v>
      </c>
      <c r="BY1495" t="s">
        <v>1215</v>
      </c>
      <c r="BZ1495" t="s">
        <v>10179</v>
      </c>
      <c r="CA1495" t="s">
        <v>10180</v>
      </c>
      <c r="CC1495" t="s">
        <v>346</v>
      </c>
      <c r="CH1495" t="str">
        <f>""</f>
        <v/>
      </c>
      <c r="CS1495" t="str">
        <f>""</f>
        <v/>
      </c>
    </row>
    <row r="1496" spans="1:97" x14ac:dyDescent="0.25">
      <c r="A1496" t="s">
        <v>1176</v>
      </c>
      <c r="B1496" t="s">
        <v>4527</v>
      </c>
      <c r="C1496" t="s">
        <v>10181</v>
      </c>
      <c r="D1496" t="s">
        <v>4527</v>
      </c>
      <c r="E1496" t="s">
        <v>10182</v>
      </c>
      <c r="F1496" t="s">
        <v>108</v>
      </c>
      <c r="H1496" t="s">
        <v>10183</v>
      </c>
      <c r="I1496" t="s">
        <v>632</v>
      </c>
      <c r="J1496" t="s">
        <v>111</v>
      </c>
      <c r="K1496" t="str">
        <f>"85388"</f>
        <v>85388</v>
      </c>
      <c r="L1496" t="s">
        <v>4159</v>
      </c>
      <c r="M1496" t="s">
        <v>10183</v>
      </c>
      <c r="N1496" t="s">
        <v>632</v>
      </c>
      <c r="O1496" t="s">
        <v>111</v>
      </c>
      <c r="P1496" t="str">
        <f>"85388-1732"</f>
        <v>85388-1732</v>
      </c>
      <c r="Q1496" t="s">
        <v>113</v>
      </c>
      <c r="R1496" t="str">
        <f>"502-84-736"</f>
        <v>502-84-736</v>
      </c>
      <c r="S1496" t="s">
        <v>9278</v>
      </c>
      <c r="T1496" t="s">
        <v>9279</v>
      </c>
      <c r="U1496">
        <v>2800</v>
      </c>
      <c r="V1496">
        <v>0</v>
      </c>
      <c r="W1496">
        <v>4</v>
      </c>
      <c r="X1496">
        <v>2010</v>
      </c>
      <c r="Z1496">
        <v>2</v>
      </c>
      <c r="AA1496" t="s">
        <v>26</v>
      </c>
      <c r="AB1496">
        <v>0</v>
      </c>
      <c r="AC1496" t="s">
        <v>115</v>
      </c>
      <c r="AD1496">
        <v>2</v>
      </c>
      <c r="AE1496" t="s">
        <v>115</v>
      </c>
      <c r="AF1496">
        <v>0</v>
      </c>
      <c r="AG1496">
        <v>0</v>
      </c>
      <c r="AH1496" t="s">
        <v>116</v>
      </c>
      <c r="AI1496" s="1">
        <v>64594</v>
      </c>
      <c r="AJ1496" s="2">
        <v>0.19</v>
      </c>
      <c r="AK1496" s="1">
        <v>345570</v>
      </c>
      <c r="AL1496" t="s">
        <v>117</v>
      </c>
      <c r="AM1496" t="s">
        <v>118</v>
      </c>
      <c r="AN1496">
        <v>8125</v>
      </c>
      <c r="AO1496">
        <v>0.19</v>
      </c>
      <c r="AR1496">
        <v>1</v>
      </c>
      <c r="AS1496" s="1">
        <v>25110</v>
      </c>
      <c r="AT1496" s="1">
        <v>5020</v>
      </c>
      <c r="AU1496" s="1">
        <v>20090</v>
      </c>
      <c r="AV1496">
        <v>80.010000000000005</v>
      </c>
      <c r="AX1496" s="1">
        <v>1930.32</v>
      </c>
      <c r="AY1496" t="s">
        <v>5168</v>
      </c>
      <c r="AZ1496" t="s">
        <v>5168</v>
      </c>
      <c r="BA1496" t="s">
        <v>5109</v>
      </c>
      <c r="BE1496" s="3">
        <v>42480</v>
      </c>
      <c r="BF1496" s="1">
        <v>272000</v>
      </c>
      <c r="BG1496" t="s">
        <v>10184</v>
      </c>
      <c r="BH1496" s="1">
        <v>97.14</v>
      </c>
      <c r="BI1496" s="1">
        <v>280976</v>
      </c>
      <c r="BJ1496" s="3">
        <v>42480</v>
      </c>
      <c r="BK1496" t="s">
        <v>123</v>
      </c>
      <c r="BL1496" t="str">
        <f>"2016.263988"</f>
        <v>2016.263988</v>
      </c>
      <c r="BM1496" t="s">
        <v>1154</v>
      </c>
      <c r="BO1496" t="s">
        <v>10185</v>
      </c>
      <c r="BS1496">
        <v>30</v>
      </c>
      <c r="BW1496" t="str">
        <f>""</f>
        <v/>
      </c>
      <c r="CH1496" t="str">
        <f>""</f>
        <v/>
      </c>
      <c r="CS1496" t="str">
        <f>""</f>
        <v/>
      </c>
    </row>
    <row r="1497" spans="1:97" x14ac:dyDescent="0.25">
      <c r="A1497" t="s">
        <v>1067</v>
      </c>
      <c r="B1497" t="s">
        <v>10186</v>
      </c>
      <c r="C1497" t="s">
        <v>2817</v>
      </c>
      <c r="D1497" t="s">
        <v>3158</v>
      </c>
      <c r="E1497" t="s">
        <v>10187</v>
      </c>
      <c r="F1497" t="s">
        <v>108</v>
      </c>
      <c r="H1497" t="s">
        <v>10188</v>
      </c>
      <c r="I1497" t="s">
        <v>203</v>
      </c>
      <c r="J1497" t="s">
        <v>111</v>
      </c>
      <c r="K1497" t="str">
        <f>"85234"</f>
        <v>85234</v>
      </c>
      <c r="L1497" t="s">
        <v>5228</v>
      </c>
      <c r="M1497" t="s">
        <v>10188</v>
      </c>
      <c r="N1497" t="s">
        <v>203</v>
      </c>
      <c r="O1497" t="s">
        <v>111</v>
      </c>
      <c r="P1497" t="str">
        <f>"85234-3810"</f>
        <v>85234-3810</v>
      </c>
      <c r="Q1497" t="s">
        <v>113</v>
      </c>
      <c r="R1497" t="str">
        <f>"304-09-463"</f>
        <v>304-09-463</v>
      </c>
      <c r="S1497" t="s">
        <v>10189</v>
      </c>
      <c r="T1497" t="s">
        <v>10190</v>
      </c>
      <c r="U1497">
        <v>2756</v>
      </c>
      <c r="V1497">
        <v>0</v>
      </c>
      <c r="W1497">
        <v>4</v>
      </c>
      <c r="X1497">
        <v>1988</v>
      </c>
      <c r="Z1497">
        <v>2</v>
      </c>
      <c r="AA1497" t="s">
        <v>26</v>
      </c>
      <c r="AB1497">
        <v>0</v>
      </c>
      <c r="AC1497" t="s">
        <v>115</v>
      </c>
      <c r="AD1497">
        <v>3</v>
      </c>
      <c r="AE1497" t="s">
        <v>115</v>
      </c>
      <c r="AF1497">
        <v>0</v>
      </c>
      <c r="AG1497">
        <v>0</v>
      </c>
      <c r="AH1497" t="s">
        <v>116</v>
      </c>
      <c r="AI1497" s="1">
        <v>78197</v>
      </c>
      <c r="AJ1497" s="2">
        <v>0.18</v>
      </c>
      <c r="AK1497" s="1">
        <v>443362</v>
      </c>
      <c r="AL1497" t="s">
        <v>117</v>
      </c>
      <c r="AM1497" t="s">
        <v>393</v>
      </c>
      <c r="AN1497">
        <v>9030</v>
      </c>
      <c r="AO1497">
        <v>0.21</v>
      </c>
      <c r="AP1497">
        <v>1</v>
      </c>
      <c r="AR1497">
        <v>1</v>
      </c>
      <c r="AS1497" s="1">
        <v>31280</v>
      </c>
      <c r="AT1497" s="1">
        <v>6250</v>
      </c>
      <c r="AU1497" s="1">
        <v>25030</v>
      </c>
      <c r="AV1497">
        <v>80.02</v>
      </c>
      <c r="AX1497" s="1">
        <v>2721</v>
      </c>
      <c r="AY1497" t="s">
        <v>10191</v>
      </c>
      <c r="AZ1497" t="s">
        <v>571</v>
      </c>
      <c r="BA1497" t="s">
        <v>521</v>
      </c>
      <c r="BE1497" s="3">
        <v>42178</v>
      </c>
      <c r="BF1497" s="1">
        <v>353500</v>
      </c>
      <c r="BG1497" t="s">
        <v>10192</v>
      </c>
      <c r="BH1497" s="1">
        <v>128.27000000000001</v>
      </c>
      <c r="BI1497" s="1">
        <v>365165</v>
      </c>
      <c r="BJ1497" s="3">
        <v>42178</v>
      </c>
      <c r="BK1497" t="s">
        <v>123</v>
      </c>
      <c r="BL1497" t="str">
        <f>"2015.448509"</f>
        <v>2015.448509</v>
      </c>
      <c r="BM1497" t="s">
        <v>10193</v>
      </c>
      <c r="BO1497" t="s">
        <v>10194</v>
      </c>
      <c r="BP1497" t="s">
        <v>10195</v>
      </c>
      <c r="BS1497">
        <v>30</v>
      </c>
      <c r="BW1497" t="str">
        <f>""</f>
        <v/>
      </c>
      <c r="CH1497" t="str">
        <f>""</f>
        <v/>
      </c>
      <c r="CS1497" t="str">
        <f>""</f>
        <v/>
      </c>
    </row>
    <row r="1498" spans="1:97" x14ac:dyDescent="0.25">
      <c r="B1498" t="s">
        <v>10196</v>
      </c>
      <c r="C1498" t="s">
        <v>1729</v>
      </c>
      <c r="E1498" t="s">
        <v>10197</v>
      </c>
      <c r="F1498" t="s">
        <v>108</v>
      </c>
      <c r="H1498" t="s">
        <v>10198</v>
      </c>
      <c r="I1498" t="s">
        <v>632</v>
      </c>
      <c r="J1498" t="s">
        <v>111</v>
      </c>
      <c r="K1498" t="str">
        <f>"85388"</f>
        <v>85388</v>
      </c>
      <c r="L1498" t="s">
        <v>4159</v>
      </c>
      <c r="M1498" t="s">
        <v>10198</v>
      </c>
      <c r="N1498" t="s">
        <v>632</v>
      </c>
      <c r="O1498" t="s">
        <v>111</v>
      </c>
      <c r="P1498" t="str">
        <f>"85388-3100"</f>
        <v>85388-3100</v>
      </c>
      <c r="Q1498" t="s">
        <v>113</v>
      </c>
      <c r="R1498" t="str">
        <f>"502-84-800"</f>
        <v>502-84-800</v>
      </c>
      <c r="S1498" t="s">
        <v>9278</v>
      </c>
      <c r="T1498" t="s">
        <v>9279</v>
      </c>
      <c r="U1498">
        <v>2420</v>
      </c>
      <c r="V1498">
        <v>0</v>
      </c>
      <c r="W1498">
        <v>4</v>
      </c>
      <c r="X1498">
        <v>2005</v>
      </c>
      <c r="Z1498">
        <v>1</v>
      </c>
      <c r="AA1498" t="s">
        <v>26</v>
      </c>
      <c r="AB1498">
        <v>0</v>
      </c>
      <c r="AC1498" t="s">
        <v>115</v>
      </c>
      <c r="AD1498">
        <v>3</v>
      </c>
      <c r="AE1498" t="s">
        <v>115</v>
      </c>
      <c r="AF1498">
        <v>0</v>
      </c>
      <c r="AG1498">
        <v>0</v>
      </c>
      <c r="AH1498" t="s">
        <v>116</v>
      </c>
      <c r="AI1498" s="1">
        <v>23690</v>
      </c>
      <c r="AJ1498" s="2">
        <v>7.0000000000000007E-2</v>
      </c>
      <c r="AK1498" s="1">
        <v>334269</v>
      </c>
      <c r="AL1498" t="s">
        <v>117</v>
      </c>
      <c r="AM1498" t="s">
        <v>118</v>
      </c>
      <c r="AN1498">
        <v>8125</v>
      </c>
      <c r="AO1498">
        <v>0.19</v>
      </c>
      <c r="AR1498">
        <v>1</v>
      </c>
      <c r="AS1498" s="1">
        <v>24920</v>
      </c>
      <c r="AT1498" s="1">
        <v>4980</v>
      </c>
      <c r="AU1498" s="1">
        <v>19940</v>
      </c>
      <c r="AV1498">
        <v>80.02</v>
      </c>
      <c r="AX1498" s="1">
        <v>1656.36</v>
      </c>
      <c r="AY1498" t="s">
        <v>5168</v>
      </c>
      <c r="AZ1498" t="s">
        <v>5168</v>
      </c>
      <c r="BA1498" t="s">
        <v>5109</v>
      </c>
      <c r="BB1498" s="3">
        <v>43783</v>
      </c>
      <c r="BC1498" s="1">
        <v>0</v>
      </c>
      <c r="BD1498" t="s">
        <v>247</v>
      </c>
      <c r="BE1498" s="3">
        <v>42489</v>
      </c>
      <c r="BF1498" s="1">
        <v>301000</v>
      </c>
      <c r="BG1498" t="s">
        <v>10199</v>
      </c>
      <c r="BH1498" s="1">
        <v>124.38</v>
      </c>
      <c r="BI1498" s="1">
        <v>310579</v>
      </c>
      <c r="BJ1498" s="3">
        <v>43076</v>
      </c>
      <c r="BK1498" t="s">
        <v>123</v>
      </c>
      <c r="BL1498" t="str">
        <f>"2017.905115"</f>
        <v>2017.905115</v>
      </c>
      <c r="BM1498" t="s">
        <v>10200</v>
      </c>
      <c r="BN1498">
        <v>92618</v>
      </c>
      <c r="BO1498" t="s">
        <v>10201</v>
      </c>
      <c r="BP1498" t="s">
        <v>10202</v>
      </c>
      <c r="BS1498">
        <v>30</v>
      </c>
      <c r="BW1498" t="str">
        <f>""</f>
        <v/>
      </c>
      <c r="CH1498" t="str">
        <f>""</f>
        <v/>
      </c>
      <c r="CS1498" t="str">
        <f>""</f>
        <v/>
      </c>
    </row>
    <row r="1499" spans="1:97" x14ac:dyDescent="0.25">
      <c r="A1499" t="s">
        <v>2403</v>
      </c>
      <c r="B1499" t="s">
        <v>10203</v>
      </c>
      <c r="C1499" t="s">
        <v>10204</v>
      </c>
      <c r="D1499" t="s">
        <v>10203</v>
      </c>
      <c r="E1499" t="s">
        <v>10205</v>
      </c>
      <c r="F1499" t="s">
        <v>108</v>
      </c>
      <c r="H1499" t="s">
        <v>10206</v>
      </c>
      <c r="I1499" t="s">
        <v>632</v>
      </c>
      <c r="J1499" t="s">
        <v>111</v>
      </c>
      <c r="K1499" t="str">
        <f>"85379"</f>
        <v>85379</v>
      </c>
      <c r="L1499" t="s">
        <v>269</v>
      </c>
      <c r="M1499" t="s">
        <v>10206</v>
      </c>
      <c r="N1499" t="s">
        <v>632</v>
      </c>
      <c r="O1499" t="s">
        <v>111</v>
      </c>
      <c r="P1499" t="str">
        <f>"85379-4785"</f>
        <v>85379-4785</v>
      </c>
      <c r="Q1499" t="s">
        <v>113</v>
      </c>
      <c r="R1499" t="str">
        <f>"501-40-304"</f>
        <v>501-40-304</v>
      </c>
      <c r="S1499" t="s">
        <v>10207</v>
      </c>
      <c r="U1499">
        <v>3077</v>
      </c>
      <c r="V1499">
        <v>0</v>
      </c>
      <c r="W1499">
        <v>4</v>
      </c>
      <c r="X1499">
        <v>2006</v>
      </c>
      <c r="Z1499">
        <v>2</v>
      </c>
      <c r="AB1499">
        <v>0</v>
      </c>
      <c r="AC1499" t="s">
        <v>115</v>
      </c>
      <c r="AD1499">
        <v>3</v>
      </c>
      <c r="AE1499" t="s">
        <v>115</v>
      </c>
      <c r="AF1499">
        <v>0</v>
      </c>
      <c r="AG1499">
        <v>0</v>
      </c>
      <c r="AH1499" t="s">
        <v>116</v>
      </c>
      <c r="AI1499" s="1">
        <v>82510</v>
      </c>
      <c r="AJ1499" s="2">
        <v>0.27</v>
      </c>
      <c r="AK1499" s="1">
        <v>307704</v>
      </c>
      <c r="AL1499" t="s">
        <v>117</v>
      </c>
      <c r="AM1499" t="s">
        <v>118</v>
      </c>
      <c r="AN1499">
        <v>6380</v>
      </c>
      <c r="AO1499">
        <v>0.15</v>
      </c>
      <c r="AR1499">
        <v>1</v>
      </c>
      <c r="AS1499" s="1">
        <v>21720</v>
      </c>
      <c r="AT1499" s="1">
        <v>4340</v>
      </c>
      <c r="AU1499" s="1">
        <v>17380</v>
      </c>
      <c r="AV1499">
        <v>80.02</v>
      </c>
      <c r="AX1499" s="1">
        <v>1787.08</v>
      </c>
      <c r="AY1499" t="s">
        <v>5060</v>
      </c>
      <c r="AZ1499" t="s">
        <v>5060</v>
      </c>
      <c r="BA1499" t="s">
        <v>5061</v>
      </c>
      <c r="BB1499" s="3">
        <v>41802</v>
      </c>
      <c r="BD1499" t="s">
        <v>240</v>
      </c>
      <c r="BE1499" s="3">
        <v>41802</v>
      </c>
      <c r="BF1499" s="1">
        <v>218000</v>
      </c>
      <c r="BG1499" t="s">
        <v>10208</v>
      </c>
      <c r="BH1499" s="1">
        <v>70.849999999999994</v>
      </c>
      <c r="BI1499" s="1">
        <v>225194</v>
      </c>
      <c r="BJ1499" s="3">
        <v>41802</v>
      </c>
      <c r="BK1499" t="s">
        <v>123</v>
      </c>
      <c r="BL1499" t="str">
        <f>"2014.383169"</f>
        <v>2014.383169</v>
      </c>
      <c r="BM1499" t="s">
        <v>6784</v>
      </c>
      <c r="BO1499" t="s">
        <v>10209</v>
      </c>
      <c r="BS1499">
        <v>30</v>
      </c>
      <c r="BW1499" t="str">
        <f>""</f>
        <v/>
      </c>
      <c r="CH1499" t="str">
        <f>""</f>
        <v/>
      </c>
      <c r="CS1499" t="str">
        <f>""</f>
        <v/>
      </c>
    </row>
    <row r="1500" spans="1:97" x14ac:dyDescent="0.25">
      <c r="A1500" t="s">
        <v>10210</v>
      </c>
      <c r="B1500" t="s">
        <v>10211</v>
      </c>
      <c r="C1500" t="s">
        <v>370</v>
      </c>
      <c r="D1500" t="s">
        <v>10212</v>
      </c>
      <c r="E1500" t="s">
        <v>10213</v>
      </c>
      <c r="F1500" t="s">
        <v>108</v>
      </c>
      <c r="H1500" t="s">
        <v>10214</v>
      </c>
      <c r="I1500" t="s">
        <v>3150</v>
      </c>
      <c r="J1500" t="s">
        <v>111</v>
      </c>
      <c r="K1500" t="str">
        <f>"85340"</f>
        <v>85340</v>
      </c>
      <c r="L1500" t="s">
        <v>2765</v>
      </c>
      <c r="M1500" t="s">
        <v>10214</v>
      </c>
      <c r="N1500" t="s">
        <v>3150</v>
      </c>
      <c r="O1500" t="s">
        <v>111</v>
      </c>
      <c r="P1500" t="str">
        <f>"85340-6213"</f>
        <v>85340-6213</v>
      </c>
      <c r="Q1500" t="s">
        <v>113</v>
      </c>
      <c r="R1500" t="str">
        <f>"502-27-806"</f>
        <v>502-27-806</v>
      </c>
      <c r="S1500" t="s">
        <v>7560</v>
      </c>
      <c r="T1500" t="s">
        <v>7560</v>
      </c>
      <c r="U1500">
        <v>2342</v>
      </c>
      <c r="V1500">
        <v>0</v>
      </c>
      <c r="W1500">
        <v>3</v>
      </c>
      <c r="X1500">
        <v>2012</v>
      </c>
      <c r="Z1500">
        <v>1</v>
      </c>
      <c r="AB1500">
        <v>0</v>
      </c>
      <c r="AC1500" t="s">
        <v>115</v>
      </c>
      <c r="AD1500">
        <v>4</v>
      </c>
      <c r="AE1500" t="s">
        <v>115</v>
      </c>
      <c r="AF1500">
        <v>0</v>
      </c>
      <c r="AG1500">
        <v>0</v>
      </c>
      <c r="AH1500" t="s">
        <v>116</v>
      </c>
      <c r="AI1500" s="1">
        <v>136063</v>
      </c>
      <c r="AJ1500" s="2">
        <v>0.32</v>
      </c>
      <c r="AK1500" s="1">
        <v>431063</v>
      </c>
      <c r="AL1500" t="s">
        <v>117</v>
      </c>
      <c r="AM1500" t="s">
        <v>1302</v>
      </c>
      <c r="AN1500">
        <v>13775</v>
      </c>
      <c r="AO1500">
        <v>0.32</v>
      </c>
      <c r="AR1500">
        <v>1</v>
      </c>
      <c r="AS1500" s="1">
        <v>28750</v>
      </c>
      <c r="AT1500" s="1">
        <v>5750</v>
      </c>
      <c r="AU1500" s="1">
        <v>23000</v>
      </c>
      <c r="AV1500">
        <v>80</v>
      </c>
      <c r="AX1500" s="1">
        <v>3131.74</v>
      </c>
      <c r="AY1500" t="s">
        <v>503</v>
      </c>
      <c r="AZ1500" t="s">
        <v>504</v>
      </c>
      <c r="BA1500" t="s">
        <v>218</v>
      </c>
      <c r="BE1500" s="3">
        <v>42453</v>
      </c>
      <c r="BF1500" s="1">
        <v>395000</v>
      </c>
      <c r="BG1500" t="s">
        <v>10215</v>
      </c>
      <c r="BH1500" s="1">
        <v>178.73</v>
      </c>
      <c r="BI1500" s="1">
        <v>295000</v>
      </c>
      <c r="BJ1500" s="3">
        <v>42674</v>
      </c>
      <c r="BK1500" t="s">
        <v>123</v>
      </c>
      <c r="BL1500" t="str">
        <f>"2016.799668"</f>
        <v>2016.799668</v>
      </c>
      <c r="BM1500" t="s">
        <v>2716</v>
      </c>
      <c r="BO1500" t="s">
        <v>10216</v>
      </c>
      <c r="BP1500" t="s">
        <v>10217</v>
      </c>
      <c r="BS1500">
        <v>30</v>
      </c>
      <c r="BW1500" t="str">
        <f>""</f>
        <v/>
      </c>
      <c r="CH1500" t="str">
        <f>""</f>
        <v/>
      </c>
      <c r="CS1500" t="str">
        <f>""</f>
        <v/>
      </c>
    </row>
    <row r="1501" spans="1:97" x14ac:dyDescent="0.25">
      <c r="A1501" t="s">
        <v>589</v>
      </c>
      <c r="B1501" t="s">
        <v>10218</v>
      </c>
      <c r="E1501" t="s">
        <v>10219</v>
      </c>
      <c r="F1501" t="s">
        <v>108</v>
      </c>
      <c r="H1501" t="s">
        <v>10220</v>
      </c>
      <c r="I1501" t="s">
        <v>225</v>
      </c>
      <c r="J1501" t="s">
        <v>111</v>
      </c>
      <c r="K1501" t="str">
        <f>"85213"</f>
        <v>85213</v>
      </c>
      <c r="L1501" t="s">
        <v>926</v>
      </c>
      <c r="M1501" t="s">
        <v>10220</v>
      </c>
      <c r="N1501" t="s">
        <v>225</v>
      </c>
      <c r="O1501" t="s">
        <v>111</v>
      </c>
      <c r="P1501" t="str">
        <f>"85213-5901"</f>
        <v>85213-5901</v>
      </c>
      <c r="Q1501" t="s">
        <v>113</v>
      </c>
      <c r="R1501" t="str">
        <f>"140-08-104"</f>
        <v>140-08-104</v>
      </c>
      <c r="S1501" t="s">
        <v>10221</v>
      </c>
      <c r="T1501" t="s">
        <v>10222</v>
      </c>
      <c r="U1501">
        <v>1896</v>
      </c>
      <c r="V1501">
        <v>0</v>
      </c>
      <c r="W1501">
        <v>2</v>
      </c>
      <c r="X1501">
        <v>1972</v>
      </c>
      <c r="Z1501">
        <v>2</v>
      </c>
      <c r="AB1501">
        <v>0</v>
      </c>
      <c r="AC1501" t="s">
        <v>115</v>
      </c>
      <c r="AD1501">
        <v>2</v>
      </c>
      <c r="AE1501" t="s">
        <v>115</v>
      </c>
      <c r="AF1501">
        <v>0</v>
      </c>
      <c r="AG1501">
        <v>0</v>
      </c>
      <c r="AH1501" t="s">
        <v>116</v>
      </c>
      <c r="AI1501" s="1">
        <v>-113052</v>
      </c>
      <c r="AJ1501" s="2">
        <v>-0.36</v>
      </c>
      <c r="AK1501" s="1">
        <v>311148</v>
      </c>
      <c r="AL1501" t="s">
        <v>117</v>
      </c>
      <c r="AM1501" t="s">
        <v>917</v>
      </c>
      <c r="AN1501">
        <v>10807</v>
      </c>
      <c r="AO1501">
        <v>0.25</v>
      </c>
      <c r="AP1501">
        <v>1</v>
      </c>
      <c r="AR1501">
        <v>1</v>
      </c>
      <c r="AS1501" s="1">
        <v>22620</v>
      </c>
      <c r="AT1501" s="1">
        <v>4520</v>
      </c>
      <c r="AU1501" s="1">
        <v>18100</v>
      </c>
      <c r="AV1501">
        <v>80.02</v>
      </c>
      <c r="AX1501" s="1">
        <v>1462.26</v>
      </c>
      <c r="AY1501" t="s">
        <v>9091</v>
      </c>
      <c r="AZ1501" t="s">
        <v>1523</v>
      </c>
      <c r="BA1501" t="s">
        <v>1524</v>
      </c>
      <c r="BB1501" s="3">
        <v>43467</v>
      </c>
      <c r="BC1501" s="1">
        <v>0</v>
      </c>
      <c r="BD1501" t="s">
        <v>247</v>
      </c>
      <c r="BE1501" s="3">
        <v>41795</v>
      </c>
      <c r="BF1501" s="1">
        <v>212100</v>
      </c>
      <c r="BG1501" t="s">
        <v>10223</v>
      </c>
      <c r="BH1501" s="1">
        <v>111.87</v>
      </c>
      <c r="BI1501" s="1">
        <v>212100</v>
      </c>
      <c r="BJ1501" s="3">
        <v>41795</v>
      </c>
      <c r="BK1501" t="s">
        <v>123</v>
      </c>
      <c r="BL1501" t="str">
        <f>"2014.369055"</f>
        <v>2014.369055</v>
      </c>
      <c r="BM1501" t="s">
        <v>594</v>
      </c>
      <c r="BN1501" t="s">
        <v>595</v>
      </c>
      <c r="BO1501" t="s">
        <v>10224</v>
      </c>
      <c r="BS1501">
        <v>30</v>
      </c>
      <c r="BT1501" s="1">
        <v>212100</v>
      </c>
      <c r="BU1501" s="3">
        <v>43467</v>
      </c>
      <c r="BV1501" t="s">
        <v>123</v>
      </c>
      <c r="BW1501" t="str">
        <f>"2019.627"</f>
        <v>2019.627</v>
      </c>
      <c r="BX1501" t="s">
        <v>1977</v>
      </c>
      <c r="BY1501" t="s">
        <v>595</v>
      </c>
      <c r="BZ1501" t="s">
        <v>10225</v>
      </c>
      <c r="CC1501" t="s">
        <v>139</v>
      </c>
      <c r="CH1501" t="str">
        <f>""</f>
        <v/>
      </c>
      <c r="CS1501" t="str">
        <f>""</f>
        <v/>
      </c>
    </row>
    <row r="1502" spans="1:97" x14ac:dyDescent="0.25">
      <c r="A1502" t="s">
        <v>370</v>
      </c>
      <c r="B1502" t="s">
        <v>10226</v>
      </c>
      <c r="C1502" t="s">
        <v>365</v>
      </c>
      <c r="D1502" t="s">
        <v>10226</v>
      </c>
      <c r="E1502" t="s">
        <v>10227</v>
      </c>
      <c r="F1502" t="s">
        <v>108</v>
      </c>
      <c r="H1502" t="s">
        <v>10228</v>
      </c>
      <c r="I1502" t="s">
        <v>110</v>
      </c>
      <c r="J1502" t="s">
        <v>111</v>
      </c>
      <c r="K1502" t="str">
        <f>"85225"</f>
        <v>85225</v>
      </c>
      <c r="L1502" t="s">
        <v>2903</v>
      </c>
      <c r="M1502" t="s">
        <v>10228</v>
      </c>
      <c r="N1502" t="s">
        <v>110</v>
      </c>
      <c r="O1502" t="s">
        <v>111</v>
      </c>
      <c r="P1502" t="str">
        <f>"85225-4222"</f>
        <v>85225-4222</v>
      </c>
      <c r="Q1502" t="s">
        <v>113</v>
      </c>
      <c r="R1502" t="str">
        <f>"310-11-564"</f>
        <v>310-11-564</v>
      </c>
      <c r="S1502" t="s">
        <v>10229</v>
      </c>
      <c r="T1502" t="s">
        <v>10230</v>
      </c>
      <c r="U1502">
        <v>1623</v>
      </c>
      <c r="V1502">
        <v>0</v>
      </c>
      <c r="W1502">
        <v>3</v>
      </c>
      <c r="X1502">
        <v>1999</v>
      </c>
      <c r="Z1502">
        <v>1</v>
      </c>
      <c r="AB1502">
        <v>0</v>
      </c>
      <c r="AC1502" t="s">
        <v>115</v>
      </c>
      <c r="AD1502">
        <v>2</v>
      </c>
      <c r="AE1502" t="s">
        <v>115</v>
      </c>
      <c r="AF1502">
        <v>0</v>
      </c>
      <c r="AG1502">
        <v>0</v>
      </c>
      <c r="AH1502" t="s">
        <v>116</v>
      </c>
      <c r="AI1502" s="1">
        <v>94761</v>
      </c>
      <c r="AJ1502" s="2">
        <v>0.3</v>
      </c>
      <c r="AK1502" s="1">
        <v>318061</v>
      </c>
      <c r="AL1502" t="s">
        <v>117</v>
      </c>
      <c r="AM1502" t="s">
        <v>118</v>
      </c>
      <c r="AN1502">
        <v>6599</v>
      </c>
      <c r="AO1502">
        <v>0.15</v>
      </c>
      <c r="AP1502">
        <v>1</v>
      </c>
      <c r="AR1502">
        <v>1</v>
      </c>
      <c r="AS1502" s="1">
        <v>21520</v>
      </c>
      <c r="AT1502" s="1">
        <v>4300</v>
      </c>
      <c r="AU1502" s="1">
        <v>17220</v>
      </c>
      <c r="AV1502">
        <v>80.02</v>
      </c>
      <c r="AX1502" s="1">
        <v>1606.32</v>
      </c>
      <c r="AY1502" t="s">
        <v>2905</v>
      </c>
      <c r="AZ1502" t="s">
        <v>2906</v>
      </c>
      <c r="BA1502" t="s">
        <v>303</v>
      </c>
      <c r="BE1502" s="3">
        <v>42384</v>
      </c>
      <c r="BF1502" s="1">
        <v>234000</v>
      </c>
      <c r="BG1502" t="s">
        <v>10231</v>
      </c>
      <c r="BH1502" s="1">
        <v>144.18</v>
      </c>
      <c r="BI1502" s="1">
        <v>223300</v>
      </c>
      <c r="BJ1502" s="3">
        <v>42384</v>
      </c>
      <c r="BK1502" t="s">
        <v>123</v>
      </c>
      <c r="BL1502" t="str">
        <f>"2016.31509"</f>
        <v>2016.31509</v>
      </c>
      <c r="BM1502" t="s">
        <v>724</v>
      </c>
      <c r="BO1502" t="s">
        <v>10232</v>
      </c>
      <c r="BS1502">
        <v>30</v>
      </c>
      <c r="BW1502" t="str">
        <f>""</f>
        <v/>
      </c>
      <c r="CH1502" t="str">
        <f>""</f>
        <v/>
      </c>
      <c r="CS1502" t="str">
        <f>""</f>
        <v/>
      </c>
    </row>
    <row r="1503" spans="1:97" x14ac:dyDescent="0.25">
      <c r="A1503" t="s">
        <v>243</v>
      </c>
      <c r="B1503" t="s">
        <v>10233</v>
      </c>
      <c r="C1503" t="s">
        <v>10234</v>
      </c>
      <c r="D1503" t="s">
        <v>10235</v>
      </c>
      <c r="E1503" t="s">
        <v>10236</v>
      </c>
      <c r="F1503" t="s">
        <v>108</v>
      </c>
      <c r="H1503" t="s">
        <v>10237</v>
      </c>
      <c r="I1503" t="s">
        <v>1936</v>
      </c>
      <c r="J1503" t="s">
        <v>111</v>
      </c>
      <c r="K1503" t="str">
        <f>"85260"</f>
        <v>85260</v>
      </c>
      <c r="L1503" t="s">
        <v>10238</v>
      </c>
      <c r="M1503" t="s">
        <v>10237</v>
      </c>
      <c r="N1503" t="s">
        <v>1936</v>
      </c>
      <c r="O1503" t="s">
        <v>111</v>
      </c>
      <c r="P1503" t="str">
        <f>"85260-4832"</f>
        <v>85260-4832</v>
      </c>
      <c r="Q1503" t="s">
        <v>113</v>
      </c>
      <c r="R1503" t="str">
        <f>"175-10-108"</f>
        <v>175-10-108</v>
      </c>
      <c r="S1503" t="s">
        <v>10239</v>
      </c>
      <c r="T1503" t="s">
        <v>10240</v>
      </c>
      <c r="U1503">
        <v>3359</v>
      </c>
      <c r="V1503">
        <v>0</v>
      </c>
      <c r="W1503">
        <v>4</v>
      </c>
      <c r="X1503">
        <v>1985</v>
      </c>
      <c r="Z1503">
        <v>1</v>
      </c>
      <c r="AA1503" t="s">
        <v>26</v>
      </c>
      <c r="AB1503">
        <v>0</v>
      </c>
      <c r="AC1503" t="s">
        <v>115</v>
      </c>
      <c r="AD1503">
        <v>2</v>
      </c>
      <c r="AE1503" t="s">
        <v>115</v>
      </c>
      <c r="AF1503">
        <v>0</v>
      </c>
      <c r="AG1503">
        <v>0</v>
      </c>
      <c r="AH1503" t="s">
        <v>116</v>
      </c>
      <c r="AI1503" s="1">
        <v>156674</v>
      </c>
      <c r="AJ1503" s="2">
        <v>0.2</v>
      </c>
      <c r="AK1503" s="1">
        <v>792424</v>
      </c>
      <c r="AL1503" t="s">
        <v>117</v>
      </c>
      <c r="AM1503" t="s">
        <v>1302</v>
      </c>
      <c r="AN1503">
        <v>17197</v>
      </c>
      <c r="AO1503">
        <v>0.4</v>
      </c>
      <c r="AP1503">
        <v>1</v>
      </c>
      <c r="AR1503">
        <v>1</v>
      </c>
      <c r="AS1503" s="1">
        <v>57580</v>
      </c>
      <c r="AT1503" s="1">
        <v>11510</v>
      </c>
      <c r="AU1503" s="1">
        <v>46070</v>
      </c>
      <c r="AV1503">
        <v>80.010000000000005</v>
      </c>
      <c r="AX1503" s="1">
        <v>5240.66</v>
      </c>
      <c r="AY1503" t="s">
        <v>8787</v>
      </c>
      <c r="AZ1503" t="s">
        <v>7739</v>
      </c>
      <c r="BA1503" t="s">
        <v>6302</v>
      </c>
      <c r="BE1503" s="3">
        <v>41789</v>
      </c>
      <c r="BF1503" s="1">
        <v>642000</v>
      </c>
      <c r="BG1503" t="s">
        <v>10241</v>
      </c>
      <c r="BH1503" s="1">
        <v>191.13</v>
      </c>
      <c r="BI1503" s="1">
        <v>585750</v>
      </c>
      <c r="BJ1503" s="3">
        <v>41789</v>
      </c>
      <c r="BK1503" t="s">
        <v>123</v>
      </c>
      <c r="BL1503" t="str">
        <f>"2014.356121"</f>
        <v>2014.356121</v>
      </c>
      <c r="BM1503" t="s">
        <v>1227</v>
      </c>
      <c r="BO1503" t="s">
        <v>10242</v>
      </c>
      <c r="BP1503" t="s">
        <v>10243</v>
      </c>
      <c r="BS1503">
        <v>30</v>
      </c>
      <c r="BT1503" s="1">
        <v>50000</v>
      </c>
      <c r="BU1503" s="3">
        <v>42733</v>
      </c>
      <c r="BV1503" t="s">
        <v>134</v>
      </c>
      <c r="BW1503" t="str">
        <f>"2016.961624"</f>
        <v>2016.961624</v>
      </c>
      <c r="BX1503" t="s">
        <v>3810</v>
      </c>
      <c r="BZ1503" t="s">
        <v>10242</v>
      </c>
      <c r="CA1503" t="s">
        <v>10243</v>
      </c>
      <c r="CD1503">
        <v>25</v>
      </c>
      <c r="CH1503" t="str">
        <f>""</f>
        <v/>
      </c>
      <c r="CS1503" t="str">
        <f>""</f>
        <v/>
      </c>
    </row>
    <row r="1504" spans="1:97" x14ac:dyDescent="0.25">
      <c r="A1504" t="s">
        <v>6443</v>
      </c>
      <c r="B1504" t="s">
        <v>10244</v>
      </c>
      <c r="E1504" t="s">
        <v>10245</v>
      </c>
      <c r="F1504" t="s">
        <v>108</v>
      </c>
      <c r="H1504" t="s">
        <v>10246</v>
      </c>
      <c r="I1504" t="s">
        <v>203</v>
      </c>
      <c r="J1504" t="s">
        <v>111</v>
      </c>
      <c r="K1504" t="str">
        <f>"85298"</f>
        <v>85298</v>
      </c>
      <c r="L1504" t="s">
        <v>337</v>
      </c>
      <c r="M1504" t="s">
        <v>10246</v>
      </c>
      <c r="N1504" t="s">
        <v>203</v>
      </c>
      <c r="O1504" t="s">
        <v>111</v>
      </c>
      <c r="P1504" t="str">
        <f>"85298-9746"</f>
        <v>85298-9746</v>
      </c>
      <c r="Q1504" t="s">
        <v>113</v>
      </c>
      <c r="R1504" t="str">
        <f>"304-85-225"</f>
        <v>304-85-225</v>
      </c>
      <c r="S1504" t="s">
        <v>10247</v>
      </c>
      <c r="T1504" t="s">
        <v>271</v>
      </c>
      <c r="U1504">
        <v>2615</v>
      </c>
      <c r="V1504">
        <v>0</v>
      </c>
      <c r="W1504">
        <v>4</v>
      </c>
      <c r="X1504">
        <v>2010</v>
      </c>
      <c r="Z1504">
        <v>1</v>
      </c>
      <c r="AB1504">
        <v>0</v>
      </c>
      <c r="AC1504" t="s">
        <v>115</v>
      </c>
      <c r="AD1504">
        <v>4</v>
      </c>
      <c r="AE1504" t="s">
        <v>115</v>
      </c>
      <c r="AF1504">
        <v>0</v>
      </c>
      <c r="AG1504">
        <v>0</v>
      </c>
      <c r="AH1504" t="s">
        <v>116</v>
      </c>
      <c r="AI1504" s="1">
        <v>15438</v>
      </c>
      <c r="AJ1504" s="2">
        <v>0.04</v>
      </c>
      <c r="AK1504" s="1">
        <v>432438</v>
      </c>
      <c r="AL1504" t="s">
        <v>117</v>
      </c>
      <c r="AM1504" t="s">
        <v>393</v>
      </c>
      <c r="AN1504">
        <v>8300</v>
      </c>
      <c r="AO1504">
        <v>0.19</v>
      </c>
      <c r="AR1504">
        <v>1</v>
      </c>
      <c r="AS1504" s="1">
        <v>30580</v>
      </c>
      <c r="AT1504" s="1">
        <v>6110</v>
      </c>
      <c r="AU1504" s="1">
        <v>24470</v>
      </c>
      <c r="AV1504">
        <v>80.02</v>
      </c>
      <c r="AX1504" s="1">
        <v>2826.96</v>
      </c>
      <c r="AY1504" t="s">
        <v>272</v>
      </c>
      <c r="AZ1504" t="s">
        <v>273</v>
      </c>
      <c r="BA1504" t="s">
        <v>274</v>
      </c>
      <c r="BE1504" s="3">
        <v>42048</v>
      </c>
      <c r="BF1504" s="1">
        <v>418000</v>
      </c>
      <c r="BG1504" t="s">
        <v>275</v>
      </c>
      <c r="BH1504" s="1">
        <v>159.85</v>
      </c>
      <c r="BI1504" s="1">
        <v>417000</v>
      </c>
      <c r="BJ1504" s="3">
        <v>42048</v>
      </c>
      <c r="BK1504" t="s">
        <v>123</v>
      </c>
      <c r="BL1504" t="str">
        <f>"2015.94366"</f>
        <v>2015.94366</v>
      </c>
      <c r="BM1504" t="s">
        <v>5348</v>
      </c>
      <c r="BO1504" t="s">
        <v>10248</v>
      </c>
      <c r="BS1504">
        <v>30</v>
      </c>
      <c r="BW1504" t="str">
        <f>""</f>
        <v/>
      </c>
      <c r="CH1504" t="str">
        <f>""</f>
        <v/>
      </c>
      <c r="CS1504" t="str">
        <f>""</f>
        <v/>
      </c>
    </row>
    <row r="1505" spans="1:97" x14ac:dyDescent="0.25">
      <c r="A1505" t="s">
        <v>894</v>
      </c>
      <c r="B1505" t="s">
        <v>10249</v>
      </c>
      <c r="C1505" t="s">
        <v>3938</v>
      </c>
      <c r="D1505" t="s">
        <v>10249</v>
      </c>
      <c r="E1505" t="s">
        <v>10250</v>
      </c>
      <c r="F1505" t="s">
        <v>108</v>
      </c>
      <c r="H1505" t="s">
        <v>10251</v>
      </c>
      <c r="I1505" t="s">
        <v>499</v>
      </c>
      <c r="J1505" t="s">
        <v>111</v>
      </c>
      <c r="K1505" t="str">
        <f>"85395"</f>
        <v>85395</v>
      </c>
      <c r="L1505" t="s">
        <v>500</v>
      </c>
      <c r="M1505" t="s">
        <v>10251</v>
      </c>
      <c r="N1505" t="s">
        <v>499</v>
      </c>
      <c r="O1505" t="s">
        <v>111</v>
      </c>
      <c r="P1505" t="str">
        <f>"85395-5217"</f>
        <v>85395-5217</v>
      </c>
      <c r="Q1505" t="s">
        <v>113</v>
      </c>
      <c r="R1505" t="str">
        <f>"502-30-228"</f>
        <v>502-30-228</v>
      </c>
      <c r="S1505" t="s">
        <v>5769</v>
      </c>
      <c r="T1505" t="s">
        <v>502</v>
      </c>
      <c r="U1505">
        <v>3110</v>
      </c>
      <c r="V1505">
        <v>0</v>
      </c>
      <c r="W1505">
        <v>4</v>
      </c>
      <c r="X1505">
        <v>2015</v>
      </c>
      <c r="Z1505">
        <v>1</v>
      </c>
      <c r="AA1505" t="s">
        <v>26</v>
      </c>
      <c r="AB1505">
        <v>0</v>
      </c>
      <c r="AC1505" t="s">
        <v>115</v>
      </c>
      <c r="AD1505">
        <v>3</v>
      </c>
      <c r="AE1505" t="s">
        <v>115</v>
      </c>
      <c r="AF1505">
        <v>0</v>
      </c>
      <c r="AG1505">
        <v>0</v>
      </c>
      <c r="AH1505" t="s">
        <v>116</v>
      </c>
      <c r="AI1505" s="1">
        <v>58998</v>
      </c>
      <c r="AJ1505" s="2">
        <v>0.14000000000000001</v>
      </c>
      <c r="AK1505" s="1">
        <v>425498</v>
      </c>
      <c r="AL1505" t="s">
        <v>117</v>
      </c>
      <c r="AM1505" t="s">
        <v>118</v>
      </c>
      <c r="AN1505">
        <v>10359</v>
      </c>
      <c r="AO1505">
        <v>0.24</v>
      </c>
      <c r="AR1505">
        <v>1</v>
      </c>
      <c r="AS1505" s="1">
        <v>30920</v>
      </c>
      <c r="AT1505" s="1">
        <v>6180</v>
      </c>
      <c r="AU1505" s="1">
        <v>24740</v>
      </c>
      <c r="AV1505">
        <v>80.010000000000005</v>
      </c>
      <c r="AX1505" s="1">
        <v>2630.64</v>
      </c>
      <c r="AY1505" t="s">
        <v>503</v>
      </c>
      <c r="AZ1505" t="s">
        <v>504</v>
      </c>
      <c r="BA1505" t="s">
        <v>218</v>
      </c>
      <c r="BE1505" s="3">
        <v>42277</v>
      </c>
      <c r="BF1505" s="1">
        <v>318199</v>
      </c>
      <c r="BG1505" t="s">
        <v>209</v>
      </c>
      <c r="BH1505" s="1">
        <v>102.31</v>
      </c>
      <c r="BI1505" s="1">
        <v>366500</v>
      </c>
      <c r="BJ1505" s="3">
        <v>43089</v>
      </c>
      <c r="BK1505" t="s">
        <v>123</v>
      </c>
      <c r="BL1505" t="str">
        <f>"2017.941008"</f>
        <v>2017.941008</v>
      </c>
      <c r="BM1505" t="s">
        <v>807</v>
      </c>
      <c r="BO1505" t="s">
        <v>10252</v>
      </c>
      <c r="BS1505">
        <v>31</v>
      </c>
      <c r="BW1505" t="str">
        <f>""</f>
        <v/>
      </c>
      <c r="CH1505" t="str">
        <f>""</f>
        <v/>
      </c>
      <c r="CS1505" t="str">
        <f>""</f>
        <v/>
      </c>
    </row>
    <row r="1506" spans="1:97" x14ac:dyDescent="0.25">
      <c r="A1506" t="s">
        <v>10186</v>
      </c>
      <c r="B1506" t="s">
        <v>10253</v>
      </c>
      <c r="C1506" t="s">
        <v>8044</v>
      </c>
      <c r="D1506" t="s">
        <v>10253</v>
      </c>
      <c r="E1506" t="s">
        <v>10254</v>
      </c>
      <c r="F1506" t="s">
        <v>108</v>
      </c>
      <c r="H1506" t="s">
        <v>10255</v>
      </c>
      <c r="I1506" t="s">
        <v>632</v>
      </c>
      <c r="J1506" t="s">
        <v>111</v>
      </c>
      <c r="K1506" t="str">
        <f>"85388"</f>
        <v>85388</v>
      </c>
      <c r="L1506" t="s">
        <v>4467</v>
      </c>
      <c r="M1506" t="s">
        <v>10255</v>
      </c>
      <c r="N1506" t="s">
        <v>632</v>
      </c>
      <c r="O1506" t="s">
        <v>111</v>
      </c>
      <c r="P1506" t="str">
        <f>"85388-7662"</f>
        <v>85388-7662</v>
      </c>
      <c r="Q1506" t="s">
        <v>113</v>
      </c>
      <c r="R1506" t="str">
        <f>"502-03-901"</f>
        <v>502-03-901</v>
      </c>
      <c r="S1506" t="s">
        <v>10256</v>
      </c>
      <c r="T1506" t="s">
        <v>7876</v>
      </c>
      <c r="U1506">
        <v>2510</v>
      </c>
      <c r="V1506">
        <v>0</v>
      </c>
      <c r="W1506">
        <v>3</v>
      </c>
      <c r="X1506">
        <v>2006</v>
      </c>
      <c r="Z1506">
        <v>1</v>
      </c>
      <c r="AB1506">
        <v>0</v>
      </c>
      <c r="AC1506" t="s">
        <v>115</v>
      </c>
      <c r="AD1506">
        <v>3</v>
      </c>
      <c r="AE1506" t="s">
        <v>115</v>
      </c>
      <c r="AF1506">
        <v>0</v>
      </c>
      <c r="AG1506">
        <v>0</v>
      </c>
      <c r="AH1506" t="s">
        <v>116</v>
      </c>
      <c r="AI1506" s="1">
        <v>51439</v>
      </c>
      <c r="AJ1506" s="2">
        <v>0.15</v>
      </c>
      <c r="AK1506" s="1">
        <v>335389</v>
      </c>
      <c r="AL1506" t="s">
        <v>117</v>
      </c>
      <c r="AM1506" t="s">
        <v>118</v>
      </c>
      <c r="AN1506">
        <v>9600</v>
      </c>
      <c r="AO1506">
        <v>0.22</v>
      </c>
      <c r="AR1506">
        <v>1</v>
      </c>
      <c r="AS1506" s="1">
        <v>23730</v>
      </c>
      <c r="AT1506" s="1">
        <v>4740</v>
      </c>
      <c r="AU1506" s="1">
        <v>18990</v>
      </c>
      <c r="AV1506">
        <v>80.03</v>
      </c>
      <c r="AX1506" s="1">
        <v>2001.38</v>
      </c>
      <c r="AY1506" t="s">
        <v>6262</v>
      </c>
      <c r="AZ1506" t="s">
        <v>6262</v>
      </c>
      <c r="BA1506" t="s">
        <v>5061</v>
      </c>
      <c r="BE1506" s="3">
        <v>42411</v>
      </c>
      <c r="BF1506" s="1">
        <v>278000</v>
      </c>
      <c r="BG1506" t="s">
        <v>10257</v>
      </c>
      <c r="BH1506" s="1">
        <v>110.76</v>
      </c>
      <c r="BI1506" s="1">
        <v>283950</v>
      </c>
      <c r="BJ1506" s="3">
        <v>42411</v>
      </c>
      <c r="BK1506" t="s">
        <v>123</v>
      </c>
      <c r="BL1506" t="str">
        <f>"2016.90369"</f>
        <v>2016.90369</v>
      </c>
      <c r="BM1506" t="s">
        <v>7531</v>
      </c>
      <c r="BO1506" t="s">
        <v>10258</v>
      </c>
      <c r="BS1506">
        <v>30</v>
      </c>
      <c r="BW1506" t="str">
        <f>""</f>
        <v/>
      </c>
      <c r="CH1506" t="str">
        <f>""</f>
        <v/>
      </c>
      <c r="CS1506" t="str">
        <f>""</f>
        <v/>
      </c>
    </row>
    <row r="1507" spans="1:97" x14ac:dyDescent="0.25">
      <c r="A1507" t="s">
        <v>2045</v>
      </c>
      <c r="B1507" t="s">
        <v>10259</v>
      </c>
      <c r="C1507" t="s">
        <v>10260</v>
      </c>
      <c r="D1507" t="s">
        <v>10259</v>
      </c>
      <c r="E1507" t="s">
        <v>10261</v>
      </c>
      <c r="F1507" t="s">
        <v>108</v>
      </c>
      <c r="H1507" t="s">
        <v>10262</v>
      </c>
      <c r="I1507" t="s">
        <v>499</v>
      </c>
      <c r="J1507" t="s">
        <v>111</v>
      </c>
      <c r="K1507" t="str">
        <f>"85395"</f>
        <v>85395</v>
      </c>
      <c r="L1507" t="s">
        <v>541</v>
      </c>
      <c r="M1507" t="s">
        <v>10262</v>
      </c>
      <c r="N1507" t="s">
        <v>499</v>
      </c>
      <c r="O1507" t="s">
        <v>111</v>
      </c>
      <c r="P1507" t="str">
        <f>"85395-7540"</f>
        <v>85395-7540</v>
      </c>
      <c r="Q1507" t="s">
        <v>113</v>
      </c>
      <c r="R1507" t="str">
        <f>"508-11-386"</f>
        <v>508-11-386</v>
      </c>
      <c r="S1507" t="s">
        <v>5752</v>
      </c>
      <c r="T1507" t="s">
        <v>5753</v>
      </c>
      <c r="U1507">
        <v>3130</v>
      </c>
      <c r="V1507">
        <v>0</v>
      </c>
      <c r="W1507">
        <v>4</v>
      </c>
      <c r="X1507">
        <v>2013</v>
      </c>
      <c r="Z1507">
        <v>1</v>
      </c>
      <c r="AB1507">
        <v>0</v>
      </c>
      <c r="AC1507" t="s">
        <v>115</v>
      </c>
      <c r="AD1507">
        <v>3</v>
      </c>
      <c r="AE1507" t="s">
        <v>115</v>
      </c>
      <c r="AF1507">
        <v>0</v>
      </c>
      <c r="AG1507">
        <v>0</v>
      </c>
      <c r="AH1507" t="s">
        <v>116</v>
      </c>
      <c r="AI1507" s="1">
        <v>53564</v>
      </c>
      <c r="AJ1507" s="2">
        <v>0.11</v>
      </c>
      <c r="AK1507" s="1">
        <v>474564</v>
      </c>
      <c r="AL1507" t="s">
        <v>117</v>
      </c>
      <c r="AM1507" t="s">
        <v>118</v>
      </c>
      <c r="AN1507">
        <v>9100</v>
      </c>
      <c r="AO1507">
        <v>0.21</v>
      </c>
      <c r="AR1507">
        <v>1</v>
      </c>
      <c r="AS1507" s="1">
        <v>34020</v>
      </c>
      <c r="AT1507" s="1">
        <v>6800</v>
      </c>
      <c r="AU1507" s="1">
        <v>27220</v>
      </c>
      <c r="AV1507">
        <v>80.010000000000005</v>
      </c>
      <c r="AX1507" s="1">
        <v>3688.48</v>
      </c>
      <c r="AY1507" t="s">
        <v>3019</v>
      </c>
      <c r="AZ1507" t="s">
        <v>3020</v>
      </c>
      <c r="BA1507" t="s">
        <v>218</v>
      </c>
      <c r="BE1507" s="3">
        <v>41876</v>
      </c>
      <c r="BF1507" s="1">
        <v>370716</v>
      </c>
      <c r="BG1507" t="s">
        <v>562</v>
      </c>
      <c r="BH1507" s="1">
        <v>118.44</v>
      </c>
      <c r="BI1507" s="1">
        <v>421000</v>
      </c>
      <c r="BJ1507" s="3">
        <v>43605</v>
      </c>
      <c r="BK1507" t="s">
        <v>123</v>
      </c>
      <c r="BL1507" t="str">
        <f>"2019.366778"</f>
        <v>2019.366778</v>
      </c>
      <c r="BM1507" t="s">
        <v>10263</v>
      </c>
      <c r="BN1507" t="s">
        <v>655</v>
      </c>
      <c r="BO1507" t="s">
        <v>10264</v>
      </c>
      <c r="BP1507" t="s">
        <v>10265</v>
      </c>
      <c r="BR1507" t="s">
        <v>139</v>
      </c>
      <c r="BW1507" t="str">
        <f>""</f>
        <v/>
      </c>
      <c r="CH1507" t="str">
        <f>""</f>
        <v/>
      </c>
      <c r="CS1507" t="str">
        <f>""</f>
        <v/>
      </c>
    </row>
    <row r="1508" spans="1:97" x14ac:dyDescent="0.25">
      <c r="A1508" t="s">
        <v>404</v>
      </c>
      <c r="B1508" t="s">
        <v>10266</v>
      </c>
      <c r="C1508" t="s">
        <v>10267</v>
      </c>
      <c r="D1508" t="s">
        <v>10266</v>
      </c>
      <c r="E1508" t="s">
        <v>10268</v>
      </c>
      <c r="F1508" t="s">
        <v>108</v>
      </c>
      <c r="H1508" t="s">
        <v>10269</v>
      </c>
      <c r="I1508" t="s">
        <v>1936</v>
      </c>
      <c r="J1508" t="s">
        <v>111</v>
      </c>
      <c r="K1508" t="str">
        <f>"85260"</f>
        <v>85260</v>
      </c>
      <c r="L1508" t="s">
        <v>6325</v>
      </c>
      <c r="M1508" t="s">
        <v>10269</v>
      </c>
      <c r="N1508" t="s">
        <v>1936</v>
      </c>
      <c r="O1508" t="s">
        <v>111</v>
      </c>
      <c r="P1508" t="str">
        <f>"85260-6821"</f>
        <v>85260-6821</v>
      </c>
      <c r="Q1508" t="s">
        <v>113</v>
      </c>
      <c r="R1508" t="str">
        <f>"217-25-855"</f>
        <v>217-25-855</v>
      </c>
      <c r="S1508" t="s">
        <v>10270</v>
      </c>
      <c r="T1508" t="s">
        <v>10271</v>
      </c>
      <c r="U1508">
        <v>1814</v>
      </c>
      <c r="V1508">
        <v>0</v>
      </c>
      <c r="W1508">
        <v>3</v>
      </c>
      <c r="X1508">
        <v>1985</v>
      </c>
      <c r="Z1508">
        <v>1</v>
      </c>
      <c r="AA1508" t="s">
        <v>26</v>
      </c>
      <c r="AB1508">
        <v>0</v>
      </c>
      <c r="AC1508" t="s">
        <v>115</v>
      </c>
      <c r="AD1508">
        <v>2</v>
      </c>
      <c r="AE1508" t="s">
        <v>115</v>
      </c>
      <c r="AF1508">
        <v>0</v>
      </c>
      <c r="AG1508">
        <v>0</v>
      </c>
      <c r="AH1508" t="s">
        <v>116</v>
      </c>
      <c r="AI1508" s="1">
        <v>70302</v>
      </c>
      <c r="AJ1508" s="2">
        <v>0.15</v>
      </c>
      <c r="AK1508" s="1">
        <v>463875</v>
      </c>
      <c r="AL1508" t="s">
        <v>117</v>
      </c>
      <c r="AM1508" t="s">
        <v>393</v>
      </c>
      <c r="AN1508">
        <v>7099</v>
      </c>
      <c r="AO1508">
        <v>0.16</v>
      </c>
      <c r="AP1508">
        <v>1</v>
      </c>
      <c r="AR1508">
        <v>1</v>
      </c>
      <c r="AS1508" s="1">
        <v>33400</v>
      </c>
      <c r="AT1508" s="1">
        <v>6680</v>
      </c>
      <c r="AU1508" s="1">
        <v>26720</v>
      </c>
      <c r="AV1508">
        <v>80</v>
      </c>
      <c r="AX1508" s="1">
        <v>2021.7</v>
      </c>
      <c r="AY1508" t="s">
        <v>5904</v>
      </c>
      <c r="AZ1508" t="s">
        <v>5420</v>
      </c>
      <c r="BA1508" t="s">
        <v>5763</v>
      </c>
      <c r="BB1508" s="3">
        <v>42216</v>
      </c>
      <c r="BD1508" t="s">
        <v>240</v>
      </c>
      <c r="BE1508" s="3">
        <v>42216</v>
      </c>
      <c r="BF1508" s="1">
        <v>381000</v>
      </c>
      <c r="BG1508" t="s">
        <v>10272</v>
      </c>
      <c r="BH1508" s="1">
        <v>210.03</v>
      </c>
      <c r="BI1508" s="1">
        <v>393573</v>
      </c>
      <c r="BJ1508" s="3">
        <v>42216</v>
      </c>
      <c r="BK1508" t="s">
        <v>123</v>
      </c>
      <c r="BL1508" t="str">
        <f>"2015.554800"</f>
        <v>2015.554800</v>
      </c>
      <c r="BM1508" t="s">
        <v>135</v>
      </c>
      <c r="BO1508" t="s">
        <v>10273</v>
      </c>
      <c r="BS1508">
        <v>30</v>
      </c>
      <c r="BW1508" t="str">
        <f>""</f>
        <v/>
      </c>
      <c r="CH1508" t="str">
        <f>""</f>
        <v/>
      </c>
      <c r="CS1508" t="str">
        <f>""</f>
        <v/>
      </c>
    </row>
    <row r="1509" spans="1:97" x14ac:dyDescent="0.25">
      <c r="A1509" t="s">
        <v>2915</v>
      </c>
      <c r="B1509" t="s">
        <v>10274</v>
      </c>
      <c r="C1509" t="s">
        <v>5505</v>
      </c>
      <c r="D1509" t="s">
        <v>10275</v>
      </c>
      <c r="E1509" t="s">
        <v>10276</v>
      </c>
      <c r="F1509" t="s">
        <v>108</v>
      </c>
      <c r="H1509" t="s">
        <v>10277</v>
      </c>
      <c r="I1509" t="s">
        <v>1936</v>
      </c>
      <c r="J1509" t="s">
        <v>111</v>
      </c>
      <c r="K1509" t="str">
        <f>"85260"</f>
        <v>85260</v>
      </c>
      <c r="L1509" t="s">
        <v>8034</v>
      </c>
      <c r="M1509" t="s">
        <v>10277</v>
      </c>
      <c r="N1509" t="s">
        <v>1936</v>
      </c>
      <c r="O1509" t="s">
        <v>111</v>
      </c>
      <c r="P1509" t="str">
        <f>"85260-2895"</f>
        <v>85260-2895</v>
      </c>
      <c r="Q1509" t="s">
        <v>113</v>
      </c>
      <c r="R1509" t="str">
        <f>"217-54-333"</f>
        <v>217-54-333</v>
      </c>
      <c r="S1509" t="s">
        <v>10278</v>
      </c>
      <c r="T1509" t="s">
        <v>10279</v>
      </c>
      <c r="U1509">
        <v>1812</v>
      </c>
      <c r="V1509">
        <v>0</v>
      </c>
      <c r="W1509">
        <v>3</v>
      </c>
      <c r="X1509">
        <v>1996</v>
      </c>
      <c r="Z1509">
        <v>1</v>
      </c>
      <c r="AA1509" t="s">
        <v>26</v>
      </c>
      <c r="AB1509">
        <v>0</v>
      </c>
      <c r="AC1509" t="s">
        <v>115</v>
      </c>
      <c r="AD1509">
        <v>2</v>
      </c>
      <c r="AE1509" t="s">
        <v>115</v>
      </c>
      <c r="AF1509">
        <v>0</v>
      </c>
      <c r="AG1509">
        <v>0</v>
      </c>
      <c r="AH1509" t="s">
        <v>116</v>
      </c>
      <c r="AI1509" s="1">
        <v>80269</v>
      </c>
      <c r="AJ1509" s="2">
        <v>0.18</v>
      </c>
      <c r="AK1509" s="1">
        <v>449638</v>
      </c>
      <c r="AL1509" t="s">
        <v>117</v>
      </c>
      <c r="AM1509" t="s">
        <v>5516</v>
      </c>
      <c r="AN1509">
        <v>4950</v>
      </c>
      <c r="AO1509">
        <v>0.11</v>
      </c>
      <c r="AP1509">
        <v>1</v>
      </c>
      <c r="AR1509">
        <v>1</v>
      </c>
      <c r="AS1509" s="1">
        <v>33320</v>
      </c>
      <c r="AT1509" s="1">
        <v>6660</v>
      </c>
      <c r="AU1509" s="1">
        <v>26660</v>
      </c>
      <c r="AV1509">
        <v>80.010000000000005</v>
      </c>
      <c r="AX1509" s="1">
        <v>2252.3200000000002</v>
      </c>
      <c r="AY1509" t="s">
        <v>5904</v>
      </c>
      <c r="AZ1509" t="s">
        <v>5420</v>
      </c>
      <c r="BA1509" t="s">
        <v>5763</v>
      </c>
      <c r="BE1509" s="3">
        <v>42489</v>
      </c>
      <c r="BF1509" s="1">
        <v>369369</v>
      </c>
      <c r="BG1509" t="s">
        <v>10280</v>
      </c>
      <c r="BH1509" s="1">
        <v>203.85</v>
      </c>
      <c r="BI1509" s="1">
        <v>369369</v>
      </c>
      <c r="BJ1509" s="3">
        <v>42489</v>
      </c>
      <c r="BK1509" t="s">
        <v>123</v>
      </c>
      <c r="BL1509" t="str">
        <f>"2016.293007"</f>
        <v>2016.293007</v>
      </c>
      <c r="BM1509" t="s">
        <v>1287</v>
      </c>
      <c r="BO1509" t="s">
        <v>10281</v>
      </c>
      <c r="BP1509" t="s">
        <v>10282</v>
      </c>
      <c r="BS1509">
        <v>30</v>
      </c>
      <c r="BW1509" t="str">
        <f>""</f>
        <v/>
      </c>
      <c r="CH1509" t="str">
        <f>""</f>
        <v/>
      </c>
      <c r="CS1509" t="str">
        <f>""</f>
        <v/>
      </c>
    </row>
    <row r="1510" spans="1:97" x14ac:dyDescent="0.25">
      <c r="B1510" t="s">
        <v>10283</v>
      </c>
      <c r="C1510" t="s">
        <v>4364</v>
      </c>
      <c r="E1510" t="s">
        <v>10284</v>
      </c>
      <c r="F1510" t="s">
        <v>108</v>
      </c>
      <c r="H1510" t="s">
        <v>10285</v>
      </c>
      <c r="I1510" t="s">
        <v>110</v>
      </c>
      <c r="J1510" t="s">
        <v>111</v>
      </c>
      <c r="K1510" t="str">
        <f>"85226"</f>
        <v>85226</v>
      </c>
      <c r="L1510" t="s">
        <v>7339</v>
      </c>
      <c r="M1510" t="s">
        <v>10286</v>
      </c>
      <c r="N1510" t="s">
        <v>4058</v>
      </c>
      <c r="O1510" t="s">
        <v>111</v>
      </c>
      <c r="P1510" t="str">
        <f>"85390-1017"</f>
        <v>85390-1017</v>
      </c>
      <c r="Q1510" t="s">
        <v>113</v>
      </c>
      <c r="R1510" t="str">
        <f>"308-09-277"</f>
        <v>308-09-277</v>
      </c>
      <c r="S1510" t="s">
        <v>10287</v>
      </c>
      <c r="T1510" t="s">
        <v>10288</v>
      </c>
      <c r="U1510">
        <v>1707</v>
      </c>
      <c r="V1510">
        <v>0</v>
      </c>
      <c r="W1510">
        <v>3</v>
      </c>
      <c r="X1510">
        <v>1994</v>
      </c>
      <c r="Z1510">
        <v>1</v>
      </c>
      <c r="AB1510">
        <v>0</v>
      </c>
      <c r="AC1510" t="s">
        <v>115</v>
      </c>
      <c r="AD1510">
        <v>2</v>
      </c>
      <c r="AE1510" t="s">
        <v>115</v>
      </c>
      <c r="AF1510">
        <v>0</v>
      </c>
      <c r="AG1510">
        <v>0</v>
      </c>
      <c r="AH1510" t="s">
        <v>116</v>
      </c>
      <c r="AI1510" s="1">
        <v>79125</v>
      </c>
      <c r="AJ1510" s="2">
        <v>0.23</v>
      </c>
      <c r="AK1510" s="1">
        <v>344715</v>
      </c>
      <c r="AL1510" t="s">
        <v>117</v>
      </c>
      <c r="AM1510" t="s">
        <v>118</v>
      </c>
      <c r="AN1510">
        <v>6612</v>
      </c>
      <c r="AO1510">
        <v>0.15</v>
      </c>
      <c r="AP1510">
        <v>1</v>
      </c>
      <c r="AR1510">
        <v>1</v>
      </c>
      <c r="AS1510" s="1">
        <v>24910</v>
      </c>
      <c r="AT1510" s="1">
        <v>4980</v>
      </c>
      <c r="AU1510" s="1">
        <v>19930</v>
      </c>
      <c r="AV1510">
        <v>80.010000000000005</v>
      </c>
      <c r="AX1510" s="1">
        <v>1871.08</v>
      </c>
      <c r="AY1510" t="s">
        <v>5200</v>
      </c>
      <c r="AZ1510" t="s">
        <v>5201</v>
      </c>
      <c r="BA1510" t="s">
        <v>5202</v>
      </c>
      <c r="BB1510" s="3">
        <v>43266</v>
      </c>
      <c r="BC1510" s="1">
        <v>0</v>
      </c>
      <c r="BD1510" t="s">
        <v>247</v>
      </c>
      <c r="BE1510" s="3">
        <v>42300</v>
      </c>
      <c r="BF1510" s="1">
        <v>260000</v>
      </c>
      <c r="BG1510" t="s">
        <v>10289</v>
      </c>
      <c r="BH1510" s="1">
        <v>152.31</v>
      </c>
      <c r="BI1510" s="1">
        <v>265590</v>
      </c>
      <c r="BJ1510" s="3">
        <v>42300</v>
      </c>
      <c r="BK1510" t="s">
        <v>123</v>
      </c>
      <c r="BL1510" t="str">
        <f>"2015.764774"</f>
        <v>2015.764774</v>
      </c>
      <c r="BM1510" t="s">
        <v>724</v>
      </c>
      <c r="BN1510" t="s">
        <v>5423</v>
      </c>
      <c r="BO1510" t="s">
        <v>10290</v>
      </c>
      <c r="BP1510" t="s">
        <v>10291</v>
      </c>
      <c r="BS1510">
        <v>30</v>
      </c>
      <c r="BW1510" t="str">
        <f>""</f>
        <v/>
      </c>
      <c r="CH1510" t="str">
        <f>""</f>
        <v/>
      </c>
      <c r="CS1510" t="str">
        <f>""</f>
        <v/>
      </c>
    </row>
    <row r="1511" spans="1:97" x14ac:dyDescent="0.25">
      <c r="A1511" t="s">
        <v>1514</v>
      </c>
      <c r="B1511" t="s">
        <v>10292</v>
      </c>
      <c r="C1511" t="s">
        <v>2184</v>
      </c>
      <c r="D1511" t="s">
        <v>10292</v>
      </c>
      <c r="E1511" t="s">
        <v>10293</v>
      </c>
      <c r="F1511" t="s">
        <v>108</v>
      </c>
      <c r="H1511" t="s">
        <v>10294</v>
      </c>
      <c r="I1511" t="s">
        <v>632</v>
      </c>
      <c r="J1511" t="s">
        <v>111</v>
      </c>
      <c r="K1511" t="str">
        <f>"85379"</f>
        <v>85379</v>
      </c>
      <c r="L1511" t="s">
        <v>6416</v>
      </c>
      <c r="M1511" t="s">
        <v>10294</v>
      </c>
      <c r="N1511" t="s">
        <v>632</v>
      </c>
      <c r="O1511" t="s">
        <v>111</v>
      </c>
      <c r="P1511" t="str">
        <f>"85379-4251"</f>
        <v>85379-4251</v>
      </c>
      <c r="Q1511" t="s">
        <v>113</v>
      </c>
      <c r="R1511" t="str">
        <f>"509-08-548"</f>
        <v>509-08-548</v>
      </c>
      <c r="S1511" t="s">
        <v>6417</v>
      </c>
      <c r="U1511">
        <v>4105</v>
      </c>
      <c r="V1511">
        <v>0</v>
      </c>
      <c r="W1511">
        <v>5</v>
      </c>
      <c r="X1511">
        <v>2014</v>
      </c>
      <c r="Z1511">
        <v>2</v>
      </c>
      <c r="AB1511">
        <v>0</v>
      </c>
      <c r="AC1511" t="s">
        <v>115</v>
      </c>
      <c r="AD1511">
        <v>3</v>
      </c>
      <c r="AE1511" t="s">
        <v>115</v>
      </c>
      <c r="AF1511">
        <v>0</v>
      </c>
      <c r="AG1511">
        <v>0</v>
      </c>
      <c r="AH1511" t="s">
        <v>116</v>
      </c>
      <c r="AI1511" s="1">
        <v>59492</v>
      </c>
      <c r="AJ1511" s="2">
        <v>0.13</v>
      </c>
      <c r="AK1511" s="1">
        <v>466492</v>
      </c>
      <c r="AL1511" t="s">
        <v>117</v>
      </c>
      <c r="AM1511" t="s">
        <v>118</v>
      </c>
      <c r="AN1511">
        <v>15361</v>
      </c>
      <c r="AO1511">
        <v>0.35</v>
      </c>
      <c r="AR1511">
        <v>1</v>
      </c>
      <c r="AS1511" s="1">
        <v>34780</v>
      </c>
      <c r="AT1511" s="1">
        <v>6950</v>
      </c>
      <c r="AU1511" s="1">
        <v>27830</v>
      </c>
      <c r="AV1511">
        <v>80.02</v>
      </c>
      <c r="AX1511" s="1">
        <v>4308.9799999999996</v>
      </c>
      <c r="AY1511" t="s">
        <v>634</v>
      </c>
      <c r="AZ1511" t="s">
        <v>634</v>
      </c>
      <c r="BA1511" t="s">
        <v>635</v>
      </c>
      <c r="BE1511" s="3">
        <v>42061</v>
      </c>
      <c r="BF1511" s="1">
        <v>416306</v>
      </c>
      <c r="BG1511" t="s">
        <v>636</v>
      </c>
      <c r="BH1511" s="1">
        <v>101.41</v>
      </c>
      <c r="BI1511" s="1">
        <v>407000</v>
      </c>
      <c r="BJ1511" s="3">
        <v>42061</v>
      </c>
      <c r="BK1511" t="s">
        <v>123</v>
      </c>
      <c r="BL1511" t="str">
        <f>"2015.128776"</f>
        <v>2015.128776</v>
      </c>
      <c r="BM1511" t="s">
        <v>637</v>
      </c>
      <c r="BO1511" t="s">
        <v>10295</v>
      </c>
      <c r="BS1511">
        <v>30</v>
      </c>
      <c r="BW1511" t="str">
        <f>""</f>
        <v/>
      </c>
      <c r="CH1511" t="str">
        <f>""</f>
        <v/>
      </c>
      <c r="CS1511" t="str">
        <f>""</f>
        <v/>
      </c>
    </row>
    <row r="1512" spans="1:97" x14ac:dyDescent="0.25">
      <c r="A1512" t="s">
        <v>610</v>
      </c>
      <c r="B1512" t="s">
        <v>10296</v>
      </c>
      <c r="E1512" t="s">
        <v>10297</v>
      </c>
      <c r="F1512" t="s">
        <v>108</v>
      </c>
      <c r="H1512" t="s">
        <v>10298</v>
      </c>
      <c r="I1512" t="s">
        <v>203</v>
      </c>
      <c r="J1512" t="s">
        <v>111</v>
      </c>
      <c r="K1512" t="str">
        <f>"85233"</f>
        <v>85233</v>
      </c>
      <c r="L1512" t="s">
        <v>3225</v>
      </c>
      <c r="M1512" t="s">
        <v>10298</v>
      </c>
      <c r="N1512" t="s">
        <v>203</v>
      </c>
      <c r="O1512" t="s">
        <v>111</v>
      </c>
      <c r="P1512" t="str">
        <f>"85233-4601"</f>
        <v>85233-4601</v>
      </c>
      <c r="Q1512" t="s">
        <v>113</v>
      </c>
      <c r="R1512" t="str">
        <f>"302-21-656"</f>
        <v>302-21-656</v>
      </c>
      <c r="S1512" t="s">
        <v>10299</v>
      </c>
      <c r="T1512" t="s">
        <v>10299</v>
      </c>
      <c r="U1512">
        <v>2468</v>
      </c>
      <c r="V1512">
        <v>0</v>
      </c>
      <c r="W1512">
        <v>4</v>
      </c>
      <c r="X1512">
        <v>1995</v>
      </c>
      <c r="Z1512">
        <v>2</v>
      </c>
      <c r="AA1512" t="s">
        <v>26</v>
      </c>
      <c r="AB1512">
        <v>0</v>
      </c>
      <c r="AC1512" t="s">
        <v>115</v>
      </c>
      <c r="AD1512">
        <v>3</v>
      </c>
      <c r="AE1512" t="s">
        <v>115</v>
      </c>
      <c r="AF1512">
        <v>0</v>
      </c>
      <c r="AG1512">
        <v>0</v>
      </c>
      <c r="AH1512" t="s">
        <v>116</v>
      </c>
      <c r="AI1512" s="1">
        <v>99321</v>
      </c>
      <c r="AJ1512" s="2">
        <v>0.25</v>
      </c>
      <c r="AK1512" s="1">
        <v>397088</v>
      </c>
      <c r="AL1512" t="s">
        <v>117</v>
      </c>
      <c r="AM1512" t="s">
        <v>288</v>
      </c>
      <c r="AN1512">
        <v>8137</v>
      </c>
      <c r="AO1512">
        <v>0.19</v>
      </c>
      <c r="AP1512">
        <v>1</v>
      </c>
      <c r="AR1512">
        <v>1</v>
      </c>
      <c r="AS1512" s="1">
        <v>28580</v>
      </c>
      <c r="AT1512" s="1">
        <v>5710</v>
      </c>
      <c r="AU1512" s="1">
        <v>22870</v>
      </c>
      <c r="AV1512">
        <v>80.02</v>
      </c>
      <c r="AX1512" s="1">
        <v>2190.62</v>
      </c>
      <c r="AY1512" t="s">
        <v>9989</v>
      </c>
      <c r="AZ1512" t="s">
        <v>5478</v>
      </c>
      <c r="BA1512" t="s">
        <v>5479</v>
      </c>
      <c r="BE1512" s="3">
        <v>41977</v>
      </c>
      <c r="BF1512" s="1">
        <v>298250</v>
      </c>
      <c r="BG1512" t="s">
        <v>10300</v>
      </c>
      <c r="BH1512" s="1">
        <v>120.85</v>
      </c>
      <c r="BI1512" s="1">
        <v>297767</v>
      </c>
      <c r="BJ1512" s="3">
        <v>41977</v>
      </c>
      <c r="BK1512" t="s">
        <v>123</v>
      </c>
      <c r="BL1512" t="str">
        <f>"2014.798997"</f>
        <v>2014.798997</v>
      </c>
      <c r="BM1512" t="s">
        <v>6784</v>
      </c>
      <c r="BO1512" t="s">
        <v>10301</v>
      </c>
      <c r="BS1512">
        <v>30</v>
      </c>
      <c r="BW1512" t="str">
        <f>""</f>
        <v/>
      </c>
      <c r="CH1512" t="str">
        <f>""</f>
        <v/>
      </c>
      <c r="CS1512" t="str">
        <f>""</f>
        <v/>
      </c>
    </row>
    <row r="1513" spans="1:97" x14ac:dyDescent="0.25">
      <c r="B1513" t="s">
        <v>10302</v>
      </c>
      <c r="C1513" t="s">
        <v>259</v>
      </c>
      <c r="E1513" t="s">
        <v>10303</v>
      </c>
      <c r="F1513" t="s">
        <v>139</v>
      </c>
      <c r="H1513" t="s">
        <v>10304</v>
      </c>
      <c r="I1513" t="s">
        <v>453</v>
      </c>
      <c r="J1513" t="s">
        <v>111</v>
      </c>
      <c r="K1513" t="str">
        <f>"85383"</f>
        <v>85383</v>
      </c>
      <c r="L1513" t="s">
        <v>6316</v>
      </c>
      <c r="M1513" t="s">
        <v>10304</v>
      </c>
      <c r="N1513" t="s">
        <v>453</v>
      </c>
      <c r="O1513" t="s">
        <v>111</v>
      </c>
      <c r="P1513" t="str">
        <f>"85383-3142"</f>
        <v>85383-3142</v>
      </c>
      <c r="Q1513" t="s">
        <v>113</v>
      </c>
      <c r="R1513" t="str">
        <f>"231-27-061"</f>
        <v>231-27-061</v>
      </c>
      <c r="S1513" t="s">
        <v>10305</v>
      </c>
      <c r="U1513">
        <v>2512</v>
      </c>
      <c r="V1513">
        <v>0</v>
      </c>
      <c r="W1513">
        <v>4</v>
      </c>
      <c r="X1513">
        <v>2001</v>
      </c>
      <c r="Z1513">
        <v>2</v>
      </c>
      <c r="AA1513" t="s">
        <v>26</v>
      </c>
      <c r="AB1513">
        <v>0</v>
      </c>
      <c r="AC1513" t="s">
        <v>115</v>
      </c>
      <c r="AD1513">
        <v>3</v>
      </c>
      <c r="AE1513" t="s">
        <v>115</v>
      </c>
      <c r="AF1513">
        <v>0</v>
      </c>
      <c r="AG1513">
        <v>0</v>
      </c>
      <c r="AH1513" t="s">
        <v>116</v>
      </c>
      <c r="AI1513" s="1">
        <v>38409</v>
      </c>
      <c r="AJ1513" s="2">
        <v>0.1</v>
      </c>
      <c r="AK1513" s="1">
        <v>385251</v>
      </c>
      <c r="AL1513" t="s">
        <v>117</v>
      </c>
      <c r="AM1513" t="s">
        <v>118</v>
      </c>
      <c r="AN1513">
        <v>7848</v>
      </c>
      <c r="AO1513">
        <v>0.18</v>
      </c>
      <c r="AP1513">
        <v>1</v>
      </c>
      <c r="AR1513">
        <v>1</v>
      </c>
      <c r="AS1513" s="1">
        <v>27670</v>
      </c>
      <c r="AT1513" s="1">
        <v>5530</v>
      </c>
      <c r="AU1513" s="1">
        <v>22140</v>
      </c>
      <c r="AV1513">
        <v>80.010000000000005</v>
      </c>
      <c r="AX1513" s="1">
        <v>2549.8200000000002</v>
      </c>
      <c r="AY1513" t="s">
        <v>4218</v>
      </c>
      <c r="AZ1513" t="s">
        <v>4218</v>
      </c>
      <c r="BA1513" t="s">
        <v>4219</v>
      </c>
      <c r="BB1513" s="3">
        <v>43577</v>
      </c>
      <c r="BC1513" s="1">
        <v>0</v>
      </c>
      <c r="BD1513" t="s">
        <v>247</v>
      </c>
      <c r="BE1513" s="3">
        <v>42153</v>
      </c>
      <c r="BF1513" s="1">
        <v>295000</v>
      </c>
      <c r="BG1513" t="s">
        <v>10306</v>
      </c>
      <c r="BH1513" s="1">
        <v>117.44</v>
      </c>
      <c r="BI1513" s="1">
        <v>301342</v>
      </c>
      <c r="BJ1513" s="3">
        <v>42153</v>
      </c>
      <c r="BK1513" t="s">
        <v>123</v>
      </c>
      <c r="BL1513" t="str">
        <f>"2015.382258"</f>
        <v>2015.382258</v>
      </c>
      <c r="BM1513" t="s">
        <v>1544</v>
      </c>
      <c r="BN1513" t="s">
        <v>10307</v>
      </c>
      <c r="BO1513" t="s">
        <v>10308</v>
      </c>
      <c r="BS1513">
        <v>30</v>
      </c>
      <c r="BT1513" s="1">
        <v>45500</v>
      </c>
      <c r="BU1513" s="3">
        <v>43102</v>
      </c>
      <c r="BV1513" t="s">
        <v>134</v>
      </c>
      <c r="BW1513" t="str">
        <f>"2018.1756"</f>
        <v>2018.1756</v>
      </c>
      <c r="BX1513" t="s">
        <v>135</v>
      </c>
      <c r="BY1513" t="s">
        <v>136</v>
      </c>
      <c r="BZ1513" t="s">
        <v>10309</v>
      </c>
      <c r="CA1513" t="s">
        <v>10310</v>
      </c>
      <c r="CC1513" t="s">
        <v>139</v>
      </c>
      <c r="CH1513" t="str">
        <f>""</f>
        <v/>
      </c>
      <c r="CS1513" t="str">
        <f>""</f>
        <v/>
      </c>
    </row>
    <row r="1514" spans="1:97" x14ac:dyDescent="0.25">
      <c r="A1514" t="s">
        <v>1393</v>
      </c>
      <c r="B1514" t="s">
        <v>8838</v>
      </c>
      <c r="C1514" t="s">
        <v>484</v>
      </c>
      <c r="D1514" t="s">
        <v>8838</v>
      </c>
      <c r="E1514" t="s">
        <v>10311</v>
      </c>
      <c r="F1514" t="s">
        <v>108</v>
      </c>
      <c r="H1514" t="s">
        <v>10312</v>
      </c>
      <c r="I1514" t="s">
        <v>225</v>
      </c>
      <c r="J1514" t="s">
        <v>111</v>
      </c>
      <c r="K1514" t="str">
        <f>"85203"</f>
        <v>85203</v>
      </c>
      <c r="L1514" t="s">
        <v>4003</v>
      </c>
      <c r="M1514" t="s">
        <v>10312</v>
      </c>
      <c r="N1514" t="s">
        <v>225</v>
      </c>
      <c r="O1514" t="s">
        <v>111</v>
      </c>
      <c r="P1514" t="str">
        <f>"85203-5023"</f>
        <v>85203-5023</v>
      </c>
      <c r="Q1514" t="s">
        <v>113</v>
      </c>
      <c r="R1514" t="str">
        <f>"137-03-020"</f>
        <v>137-03-020</v>
      </c>
      <c r="S1514" t="s">
        <v>10313</v>
      </c>
      <c r="T1514" t="s">
        <v>10314</v>
      </c>
      <c r="U1514">
        <v>2273</v>
      </c>
      <c r="V1514">
        <v>0</v>
      </c>
      <c r="W1514">
        <v>2</v>
      </c>
      <c r="X1514">
        <v>1971</v>
      </c>
      <c r="Z1514">
        <v>1</v>
      </c>
      <c r="AA1514" t="s">
        <v>26</v>
      </c>
      <c r="AB1514">
        <v>0</v>
      </c>
      <c r="AC1514" t="s">
        <v>115</v>
      </c>
      <c r="AD1514">
        <v>2</v>
      </c>
      <c r="AE1514" t="s">
        <v>115</v>
      </c>
      <c r="AF1514">
        <v>0</v>
      </c>
      <c r="AG1514">
        <v>0</v>
      </c>
      <c r="AH1514" t="s">
        <v>116</v>
      </c>
      <c r="AI1514" s="1">
        <v>98868</v>
      </c>
      <c r="AJ1514" s="2">
        <v>0.27</v>
      </c>
      <c r="AK1514" s="1">
        <v>362283</v>
      </c>
      <c r="AL1514" t="s">
        <v>117</v>
      </c>
      <c r="AM1514" t="s">
        <v>917</v>
      </c>
      <c r="AN1514">
        <v>14998</v>
      </c>
      <c r="AO1514">
        <v>0.34</v>
      </c>
      <c r="AP1514">
        <v>1</v>
      </c>
      <c r="AR1514">
        <v>1</v>
      </c>
      <c r="AS1514" s="1">
        <v>25320</v>
      </c>
      <c r="AT1514" s="1">
        <v>5060</v>
      </c>
      <c r="AU1514" s="1">
        <v>20260</v>
      </c>
      <c r="AV1514">
        <v>80.02</v>
      </c>
      <c r="AX1514" s="1">
        <v>1693.02</v>
      </c>
      <c r="AY1514" t="s">
        <v>7578</v>
      </c>
      <c r="AZ1514" t="s">
        <v>1523</v>
      </c>
      <c r="BA1514" t="s">
        <v>1524</v>
      </c>
      <c r="BE1514" s="3">
        <v>42283</v>
      </c>
      <c r="BF1514" s="1">
        <v>255000</v>
      </c>
      <c r="BG1514" t="s">
        <v>10315</v>
      </c>
      <c r="BH1514" s="1">
        <v>112.19</v>
      </c>
      <c r="BI1514" s="1">
        <v>263415</v>
      </c>
      <c r="BJ1514" s="3">
        <v>42283</v>
      </c>
      <c r="BK1514" t="s">
        <v>123</v>
      </c>
      <c r="BL1514" t="str">
        <f>"2015.719945"</f>
        <v>2015.719945</v>
      </c>
      <c r="BM1514" t="s">
        <v>2683</v>
      </c>
      <c r="BO1514" t="s">
        <v>10316</v>
      </c>
      <c r="BS1514">
        <v>30</v>
      </c>
      <c r="BW1514" t="str">
        <f>""</f>
        <v/>
      </c>
      <c r="CH1514" t="str">
        <f>""</f>
        <v/>
      </c>
      <c r="CS1514" t="str">
        <f>""</f>
        <v/>
      </c>
    </row>
    <row r="1515" spans="1:97" x14ac:dyDescent="0.25">
      <c r="A1515" t="s">
        <v>10317</v>
      </c>
      <c r="B1515" t="s">
        <v>10318</v>
      </c>
      <c r="C1515" t="s">
        <v>524</v>
      </c>
      <c r="D1515" t="s">
        <v>10318</v>
      </c>
      <c r="E1515" t="s">
        <v>10319</v>
      </c>
      <c r="F1515" t="s">
        <v>108</v>
      </c>
      <c r="H1515" t="s">
        <v>10320</v>
      </c>
      <c r="I1515" t="s">
        <v>1397</v>
      </c>
      <c r="J1515" t="s">
        <v>111</v>
      </c>
      <c r="K1515" t="str">
        <f>"85331"</f>
        <v>85331</v>
      </c>
      <c r="L1515" t="s">
        <v>7816</v>
      </c>
      <c r="M1515" t="s">
        <v>10320</v>
      </c>
      <c r="N1515" t="s">
        <v>1397</v>
      </c>
      <c r="O1515" t="s">
        <v>111</v>
      </c>
      <c r="P1515" t="str">
        <f>"85331-5562"</f>
        <v>85331-5562</v>
      </c>
      <c r="Q1515" t="s">
        <v>113</v>
      </c>
      <c r="R1515" t="str">
        <f>"211-37-257"</f>
        <v>211-37-257</v>
      </c>
      <c r="S1515" t="s">
        <v>7817</v>
      </c>
      <c r="T1515" t="s">
        <v>7818</v>
      </c>
      <c r="U1515">
        <v>2766</v>
      </c>
      <c r="V1515">
        <v>0</v>
      </c>
      <c r="W1515">
        <v>4</v>
      </c>
      <c r="X1515">
        <v>1997</v>
      </c>
      <c r="Z1515">
        <v>1</v>
      </c>
      <c r="AA1515" t="s">
        <v>26</v>
      </c>
      <c r="AB1515">
        <v>0</v>
      </c>
      <c r="AC1515" t="s">
        <v>115</v>
      </c>
      <c r="AD1515">
        <v>3</v>
      </c>
      <c r="AE1515" t="s">
        <v>115</v>
      </c>
      <c r="AF1515">
        <v>0</v>
      </c>
      <c r="AG1515">
        <v>0</v>
      </c>
      <c r="AH1515" t="s">
        <v>116</v>
      </c>
      <c r="AI1515" s="1">
        <v>265965</v>
      </c>
      <c r="AJ1515" s="2">
        <v>0.48</v>
      </c>
      <c r="AK1515" s="1">
        <v>549465</v>
      </c>
      <c r="AL1515" t="s">
        <v>117</v>
      </c>
      <c r="AM1515" t="s">
        <v>616</v>
      </c>
      <c r="AN1515">
        <v>8500</v>
      </c>
      <c r="AO1515">
        <v>0.2</v>
      </c>
      <c r="AP1515">
        <v>1</v>
      </c>
      <c r="AR1515">
        <v>1</v>
      </c>
      <c r="AS1515" s="1">
        <v>37660</v>
      </c>
      <c r="AT1515" s="1">
        <v>7530</v>
      </c>
      <c r="AU1515" s="1">
        <v>30130</v>
      </c>
      <c r="AV1515">
        <v>80.010000000000005</v>
      </c>
      <c r="AX1515" s="1">
        <v>2537.46</v>
      </c>
      <c r="AY1515" t="s">
        <v>1401</v>
      </c>
      <c r="AZ1515" t="s">
        <v>1402</v>
      </c>
      <c r="BA1515" t="s">
        <v>1403</v>
      </c>
      <c r="BE1515" s="3">
        <v>42125</v>
      </c>
      <c r="BF1515" s="1">
        <v>420000</v>
      </c>
      <c r="BG1515" t="s">
        <v>10321</v>
      </c>
      <c r="BH1515" s="1">
        <v>151.84</v>
      </c>
      <c r="BI1515" s="1">
        <v>283500</v>
      </c>
      <c r="BJ1515" s="3">
        <v>42125</v>
      </c>
      <c r="BK1515" t="s">
        <v>123</v>
      </c>
      <c r="BL1515" t="str">
        <f>"2015.309381"</f>
        <v>2015.309381</v>
      </c>
      <c r="BM1515" t="s">
        <v>1306</v>
      </c>
      <c r="BO1515" t="s">
        <v>10322</v>
      </c>
      <c r="BS1515">
        <v>30</v>
      </c>
      <c r="BW1515" t="str">
        <f>""</f>
        <v/>
      </c>
      <c r="CH1515" t="str">
        <f>""</f>
        <v/>
      </c>
      <c r="CS1515" t="str">
        <f>""</f>
        <v/>
      </c>
    </row>
    <row r="1516" spans="1:97" x14ac:dyDescent="0.25">
      <c r="A1516" t="s">
        <v>10323</v>
      </c>
      <c r="B1516" t="s">
        <v>10324</v>
      </c>
      <c r="C1516" t="s">
        <v>10325</v>
      </c>
      <c r="D1516" t="s">
        <v>10324</v>
      </c>
      <c r="E1516" t="s">
        <v>10326</v>
      </c>
      <c r="F1516" t="s">
        <v>108</v>
      </c>
      <c r="H1516" t="s">
        <v>10327</v>
      </c>
      <c r="I1516" t="s">
        <v>453</v>
      </c>
      <c r="J1516" t="s">
        <v>111</v>
      </c>
      <c r="K1516" t="str">
        <f>"85383"</f>
        <v>85383</v>
      </c>
      <c r="L1516" t="s">
        <v>2220</v>
      </c>
      <c r="M1516" t="s">
        <v>10327</v>
      </c>
      <c r="N1516" t="s">
        <v>453</v>
      </c>
      <c r="O1516" t="s">
        <v>111</v>
      </c>
      <c r="P1516" t="str">
        <f>"85383-1879"</f>
        <v>85383-1879</v>
      </c>
      <c r="Q1516" t="s">
        <v>113</v>
      </c>
      <c r="R1516" t="str">
        <f>"201-14-462"</f>
        <v>201-14-462</v>
      </c>
      <c r="S1516" t="s">
        <v>10328</v>
      </c>
      <c r="T1516" t="s">
        <v>10329</v>
      </c>
      <c r="U1516">
        <v>3980</v>
      </c>
      <c r="V1516">
        <v>0</v>
      </c>
      <c r="W1516">
        <v>6</v>
      </c>
      <c r="X1516">
        <v>2014</v>
      </c>
      <c r="Z1516">
        <v>1</v>
      </c>
      <c r="AA1516" t="s">
        <v>26</v>
      </c>
      <c r="AB1516">
        <v>0</v>
      </c>
      <c r="AC1516" t="s">
        <v>115</v>
      </c>
      <c r="AD1516">
        <v>3</v>
      </c>
      <c r="AE1516" t="s">
        <v>115</v>
      </c>
      <c r="AF1516">
        <v>0</v>
      </c>
      <c r="AG1516">
        <v>0</v>
      </c>
      <c r="AH1516" t="s">
        <v>116</v>
      </c>
      <c r="AI1516" s="1">
        <v>116851</v>
      </c>
      <c r="AJ1516" s="2">
        <v>0.15</v>
      </c>
      <c r="AK1516" s="1">
        <v>770054</v>
      </c>
      <c r="AL1516" t="s">
        <v>117</v>
      </c>
      <c r="AM1516" t="s">
        <v>376</v>
      </c>
      <c r="AN1516">
        <v>43689</v>
      </c>
      <c r="AO1516">
        <v>1</v>
      </c>
      <c r="AR1516">
        <v>1</v>
      </c>
      <c r="AS1516" s="1">
        <v>65920</v>
      </c>
      <c r="AT1516" s="1">
        <v>13180</v>
      </c>
      <c r="AU1516" s="1">
        <v>52740</v>
      </c>
      <c r="AV1516">
        <v>80.010000000000005</v>
      </c>
      <c r="AX1516" s="1">
        <v>6216.1</v>
      </c>
      <c r="AY1516" t="s">
        <v>4218</v>
      </c>
      <c r="AZ1516" t="s">
        <v>4218</v>
      </c>
      <c r="BA1516" t="s">
        <v>4219</v>
      </c>
      <c r="BE1516" s="3">
        <v>41985</v>
      </c>
      <c r="BF1516" s="1">
        <v>628726</v>
      </c>
      <c r="BG1516" t="s">
        <v>292</v>
      </c>
      <c r="BH1516" s="1">
        <v>157.97</v>
      </c>
      <c r="BI1516" s="1">
        <v>584430</v>
      </c>
      <c r="BJ1516" s="3">
        <v>41985</v>
      </c>
      <c r="BK1516" t="s">
        <v>123</v>
      </c>
      <c r="BL1516" t="str">
        <f>"2014.816847"</f>
        <v>2014.816847</v>
      </c>
      <c r="BM1516" t="s">
        <v>1831</v>
      </c>
      <c r="BO1516" t="s">
        <v>10330</v>
      </c>
      <c r="BP1516" t="s">
        <v>10331</v>
      </c>
      <c r="BS1516">
        <v>30</v>
      </c>
      <c r="BT1516" s="1">
        <v>68773</v>
      </c>
      <c r="BU1516" s="3">
        <v>42067</v>
      </c>
      <c r="BV1516" t="s">
        <v>134</v>
      </c>
      <c r="BW1516" t="str">
        <f>"2015.145995"</f>
        <v>2015.145995</v>
      </c>
      <c r="BX1516" t="s">
        <v>198</v>
      </c>
      <c r="BZ1516" t="s">
        <v>10332</v>
      </c>
      <c r="CD1516">
        <v>15</v>
      </c>
      <c r="CH1516" t="str">
        <f>""</f>
        <v/>
      </c>
      <c r="CS1516" t="str">
        <f>""</f>
        <v/>
      </c>
    </row>
    <row r="1517" spans="1:97" x14ac:dyDescent="0.25">
      <c r="A1517" t="s">
        <v>511</v>
      </c>
      <c r="B1517" t="s">
        <v>5914</v>
      </c>
      <c r="C1517" t="s">
        <v>10333</v>
      </c>
      <c r="D1517" t="s">
        <v>5914</v>
      </c>
      <c r="E1517" t="s">
        <v>10334</v>
      </c>
      <c r="F1517" t="s">
        <v>108</v>
      </c>
      <c r="H1517" t="s">
        <v>10335</v>
      </c>
      <c r="I1517" t="s">
        <v>5863</v>
      </c>
      <c r="J1517" t="s">
        <v>111</v>
      </c>
      <c r="K1517" t="str">
        <f>"85375"</f>
        <v>85375</v>
      </c>
      <c r="L1517" t="s">
        <v>926</v>
      </c>
      <c r="M1517" t="s">
        <v>10335</v>
      </c>
      <c r="N1517" t="s">
        <v>5863</v>
      </c>
      <c r="O1517" t="s">
        <v>111</v>
      </c>
      <c r="P1517" t="str">
        <f>"85375-5586"</f>
        <v>85375-5586</v>
      </c>
      <c r="Q1517" t="s">
        <v>113</v>
      </c>
      <c r="R1517" t="str">
        <f>"232-16-421"</f>
        <v>232-16-421</v>
      </c>
      <c r="S1517" t="s">
        <v>10336</v>
      </c>
      <c r="U1517">
        <v>1858</v>
      </c>
      <c r="V1517">
        <v>0</v>
      </c>
      <c r="W1517">
        <v>3</v>
      </c>
      <c r="X1517">
        <v>1990</v>
      </c>
      <c r="Z1517">
        <v>1</v>
      </c>
      <c r="AB1517">
        <v>0</v>
      </c>
      <c r="AC1517" t="s">
        <v>115</v>
      </c>
      <c r="AD1517">
        <v>2</v>
      </c>
      <c r="AE1517" t="s">
        <v>115</v>
      </c>
      <c r="AF1517">
        <v>0</v>
      </c>
      <c r="AG1517">
        <v>0</v>
      </c>
      <c r="AH1517" t="s">
        <v>116</v>
      </c>
      <c r="AI1517" s="1">
        <v>27681</v>
      </c>
      <c r="AJ1517" s="2">
        <v>0.1</v>
      </c>
      <c r="AK1517" s="1">
        <v>278536</v>
      </c>
      <c r="AL1517" t="s">
        <v>117</v>
      </c>
      <c r="AM1517" t="s">
        <v>3345</v>
      </c>
      <c r="AN1517">
        <v>7900</v>
      </c>
      <c r="AO1517">
        <v>0.18</v>
      </c>
      <c r="AP1517">
        <v>1</v>
      </c>
      <c r="AR1517">
        <v>1</v>
      </c>
      <c r="AS1517" s="1">
        <v>18210</v>
      </c>
      <c r="AT1517" s="1">
        <v>3640</v>
      </c>
      <c r="AU1517" s="1">
        <v>14570</v>
      </c>
      <c r="AV1517">
        <v>80.010000000000005</v>
      </c>
      <c r="AX1517" s="1">
        <v>1418.44</v>
      </c>
      <c r="AY1517" t="s">
        <v>320</v>
      </c>
      <c r="AZ1517" t="s">
        <v>320</v>
      </c>
      <c r="BA1517" t="s">
        <v>321</v>
      </c>
      <c r="BE1517" s="3">
        <v>41718</v>
      </c>
      <c r="BF1517" s="1">
        <v>187500</v>
      </c>
      <c r="BG1517" t="s">
        <v>10337</v>
      </c>
      <c r="BH1517" s="1">
        <v>100.91</v>
      </c>
      <c r="BI1517" s="1">
        <v>215355</v>
      </c>
      <c r="BJ1517" s="3">
        <v>42605</v>
      </c>
      <c r="BK1517" t="s">
        <v>123</v>
      </c>
      <c r="BL1517" t="str">
        <f>"2016.602674"</f>
        <v>2016.602674</v>
      </c>
      <c r="BM1517" t="s">
        <v>322</v>
      </c>
      <c r="BN1517" t="s">
        <v>534</v>
      </c>
      <c r="BO1517" t="s">
        <v>10338</v>
      </c>
      <c r="BS1517">
        <v>30</v>
      </c>
      <c r="BT1517" s="1">
        <v>35500</v>
      </c>
      <c r="BU1517" s="3">
        <v>43434</v>
      </c>
      <c r="BV1517" t="s">
        <v>134</v>
      </c>
      <c r="BW1517" t="str">
        <f>"2018.883945"</f>
        <v>2018.883945</v>
      </c>
      <c r="BX1517" t="s">
        <v>3538</v>
      </c>
      <c r="BY1517" t="s">
        <v>3539</v>
      </c>
      <c r="BZ1517" t="s">
        <v>10339</v>
      </c>
      <c r="CA1517" t="s">
        <v>10340</v>
      </c>
      <c r="CC1517" t="s">
        <v>139</v>
      </c>
      <c r="CH1517" t="str">
        <f>""</f>
        <v/>
      </c>
      <c r="CS1517" t="str">
        <f>""</f>
        <v/>
      </c>
    </row>
    <row r="1518" spans="1:97" x14ac:dyDescent="0.25">
      <c r="A1518" t="s">
        <v>1344</v>
      </c>
      <c r="B1518" t="s">
        <v>1920</v>
      </c>
      <c r="E1518" t="s">
        <v>10341</v>
      </c>
      <c r="F1518" t="s">
        <v>108</v>
      </c>
      <c r="H1518" t="s">
        <v>10342</v>
      </c>
      <c r="I1518" t="s">
        <v>203</v>
      </c>
      <c r="J1518" t="s">
        <v>111</v>
      </c>
      <c r="K1518" t="str">
        <f>"85295"</f>
        <v>85295</v>
      </c>
      <c r="L1518" t="s">
        <v>7983</v>
      </c>
      <c r="M1518" t="s">
        <v>10342</v>
      </c>
      <c r="N1518" t="s">
        <v>203</v>
      </c>
      <c r="O1518" t="s">
        <v>111</v>
      </c>
      <c r="P1518" t="str">
        <f>"85295-7732"</f>
        <v>85295-7732</v>
      </c>
      <c r="Q1518" t="s">
        <v>113</v>
      </c>
      <c r="R1518" t="str">
        <f>"304-38-166"</f>
        <v>304-38-166</v>
      </c>
      <c r="S1518" t="s">
        <v>10343</v>
      </c>
      <c r="T1518" t="s">
        <v>10343</v>
      </c>
      <c r="U1518">
        <v>2028</v>
      </c>
      <c r="V1518">
        <v>0</v>
      </c>
      <c r="W1518">
        <v>3</v>
      </c>
      <c r="X1518">
        <v>2002</v>
      </c>
      <c r="Z1518">
        <v>1</v>
      </c>
      <c r="AA1518" t="s">
        <v>26</v>
      </c>
      <c r="AB1518">
        <v>0</v>
      </c>
      <c r="AC1518" t="s">
        <v>115</v>
      </c>
      <c r="AD1518">
        <v>3</v>
      </c>
      <c r="AE1518" t="s">
        <v>115</v>
      </c>
      <c r="AF1518">
        <v>0</v>
      </c>
      <c r="AG1518">
        <v>0</v>
      </c>
      <c r="AH1518" t="s">
        <v>116</v>
      </c>
      <c r="AI1518" s="1">
        <v>76342</v>
      </c>
      <c r="AJ1518" s="2">
        <v>0.2</v>
      </c>
      <c r="AK1518" s="1">
        <v>374342</v>
      </c>
      <c r="AL1518" t="s">
        <v>117</v>
      </c>
      <c r="AM1518" t="s">
        <v>171</v>
      </c>
      <c r="AN1518">
        <v>9588</v>
      </c>
      <c r="AO1518">
        <v>0.22</v>
      </c>
      <c r="AP1518">
        <v>1</v>
      </c>
      <c r="AR1518">
        <v>1</v>
      </c>
      <c r="AS1518" s="1">
        <v>26820</v>
      </c>
      <c r="AT1518" s="1">
        <v>5360</v>
      </c>
      <c r="AU1518" s="1">
        <v>21460</v>
      </c>
      <c r="AV1518">
        <v>80.010000000000005</v>
      </c>
      <c r="AX1518" s="1">
        <v>2251.3000000000002</v>
      </c>
      <c r="AY1518" t="s">
        <v>472</v>
      </c>
      <c r="AZ1518" t="s">
        <v>472</v>
      </c>
      <c r="BA1518" t="s">
        <v>473</v>
      </c>
      <c r="BE1518" s="3">
        <v>41698</v>
      </c>
      <c r="BF1518" s="1">
        <v>298000</v>
      </c>
      <c r="BG1518" t="s">
        <v>10344</v>
      </c>
      <c r="BH1518" s="1">
        <v>146.94</v>
      </c>
      <c r="BI1518" s="1">
        <v>298000</v>
      </c>
      <c r="BJ1518" s="3">
        <v>41698</v>
      </c>
      <c r="BK1518" t="s">
        <v>123</v>
      </c>
      <c r="BL1518" t="str">
        <f>"2014.133127"</f>
        <v>2014.133127</v>
      </c>
      <c r="BM1518" t="s">
        <v>2716</v>
      </c>
      <c r="BO1518" t="s">
        <v>10345</v>
      </c>
      <c r="BS1518">
        <v>30</v>
      </c>
      <c r="BW1518" t="str">
        <f>""</f>
        <v/>
      </c>
      <c r="CH1518" t="str">
        <f>""</f>
        <v/>
      </c>
      <c r="CS1518" t="str">
        <f>""</f>
        <v/>
      </c>
    </row>
    <row r="1519" spans="1:97" x14ac:dyDescent="0.25">
      <c r="A1519" t="s">
        <v>464</v>
      </c>
      <c r="B1519" t="s">
        <v>10346</v>
      </c>
      <c r="C1519" t="s">
        <v>3831</v>
      </c>
      <c r="D1519" t="s">
        <v>10346</v>
      </c>
      <c r="E1519" t="s">
        <v>10347</v>
      </c>
      <c r="F1519" t="s">
        <v>108</v>
      </c>
      <c r="H1519" t="s">
        <v>10348</v>
      </c>
      <c r="I1519" t="s">
        <v>390</v>
      </c>
      <c r="J1519" t="s">
        <v>111</v>
      </c>
      <c r="K1519" t="str">
        <f>"85048"</f>
        <v>85048</v>
      </c>
      <c r="L1519" t="s">
        <v>9597</v>
      </c>
      <c r="M1519" t="s">
        <v>10348</v>
      </c>
      <c r="N1519" t="s">
        <v>390</v>
      </c>
      <c r="O1519" t="s">
        <v>111</v>
      </c>
      <c r="P1519" t="str">
        <f>"85048-8909"</f>
        <v>85048-8909</v>
      </c>
      <c r="Q1519" t="s">
        <v>113</v>
      </c>
      <c r="R1519" t="str">
        <f>"301-76-076"</f>
        <v>301-76-076</v>
      </c>
      <c r="S1519" t="s">
        <v>10349</v>
      </c>
      <c r="U1519">
        <v>1568</v>
      </c>
      <c r="V1519">
        <v>0</v>
      </c>
      <c r="W1519">
        <v>3</v>
      </c>
      <c r="X1519">
        <v>1988</v>
      </c>
      <c r="Z1519">
        <v>1</v>
      </c>
      <c r="AA1519" t="s">
        <v>26</v>
      </c>
      <c r="AB1519">
        <v>0</v>
      </c>
      <c r="AC1519" t="s">
        <v>115</v>
      </c>
      <c r="AD1519">
        <v>2</v>
      </c>
      <c r="AE1519" t="s">
        <v>115</v>
      </c>
      <c r="AF1519">
        <v>0</v>
      </c>
      <c r="AG1519">
        <v>0</v>
      </c>
      <c r="AH1519" t="s">
        <v>116</v>
      </c>
      <c r="AI1519" s="1">
        <v>56627</v>
      </c>
      <c r="AJ1519" s="2">
        <v>0.17</v>
      </c>
      <c r="AK1519" s="1">
        <v>338091</v>
      </c>
      <c r="AL1519" t="s">
        <v>117</v>
      </c>
      <c r="AM1519" t="s">
        <v>191</v>
      </c>
      <c r="AN1519">
        <v>6316</v>
      </c>
      <c r="AO1519">
        <v>0.14000000000000001</v>
      </c>
      <c r="AP1519">
        <v>1</v>
      </c>
      <c r="AR1519">
        <v>1</v>
      </c>
      <c r="AS1519" s="1">
        <v>23220</v>
      </c>
      <c r="AT1519" s="1">
        <v>4640</v>
      </c>
      <c r="AU1519" s="1">
        <v>18580</v>
      </c>
      <c r="AV1519">
        <v>80.02</v>
      </c>
      <c r="AX1519" s="1">
        <v>2137.64</v>
      </c>
      <c r="AY1519" t="s">
        <v>10121</v>
      </c>
      <c r="AZ1519" t="s">
        <v>2967</v>
      </c>
      <c r="BA1519" t="s">
        <v>930</v>
      </c>
      <c r="BE1519" s="3">
        <v>41946</v>
      </c>
      <c r="BF1519" s="1">
        <v>265000</v>
      </c>
      <c r="BG1519" t="s">
        <v>10350</v>
      </c>
      <c r="BH1519" s="1">
        <v>169.01</v>
      </c>
      <c r="BI1519" s="1">
        <v>281464</v>
      </c>
      <c r="BJ1519" s="3">
        <v>42261</v>
      </c>
      <c r="BK1519" t="s">
        <v>123</v>
      </c>
      <c r="BL1519" t="str">
        <f>"2015.661769"</f>
        <v>2015.661769</v>
      </c>
      <c r="BM1519" t="s">
        <v>10351</v>
      </c>
      <c r="BO1519" t="s">
        <v>10352</v>
      </c>
      <c r="BQ1519" t="str">
        <f>"2.2500%"</f>
        <v>2.2500%</v>
      </c>
      <c r="BR1519" t="s">
        <v>1480</v>
      </c>
      <c r="BS1519">
        <v>30</v>
      </c>
      <c r="BW1519" t="str">
        <f>""</f>
        <v/>
      </c>
      <c r="CH1519" t="str">
        <f>""</f>
        <v/>
      </c>
      <c r="CS1519" t="str">
        <f>""</f>
        <v/>
      </c>
    </row>
    <row r="1520" spans="1:97" x14ac:dyDescent="0.25">
      <c r="A1520" t="s">
        <v>10353</v>
      </c>
      <c r="B1520" t="s">
        <v>10354</v>
      </c>
      <c r="C1520" t="s">
        <v>10355</v>
      </c>
      <c r="D1520" t="s">
        <v>10354</v>
      </c>
      <c r="E1520" t="s">
        <v>10356</v>
      </c>
      <c r="F1520" t="s">
        <v>108</v>
      </c>
      <c r="H1520" t="s">
        <v>10357</v>
      </c>
      <c r="I1520" t="s">
        <v>632</v>
      </c>
      <c r="J1520" t="s">
        <v>111</v>
      </c>
      <c r="K1520" t="str">
        <f>"85379"</f>
        <v>85379</v>
      </c>
      <c r="L1520" t="s">
        <v>6416</v>
      </c>
      <c r="M1520" t="s">
        <v>10357</v>
      </c>
      <c r="N1520" t="s">
        <v>632</v>
      </c>
      <c r="O1520" t="s">
        <v>111</v>
      </c>
      <c r="P1520" t="str">
        <f>"85379-9115"</f>
        <v>85379-9115</v>
      </c>
      <c r="Q1520" t="s">
        <v>113</v>
      </c>
      <c r="R1520" t="str">
        <f>"509-18-508"</f>
        <v>509-18-508</v>
      </c>
      <c r="S1520" t="s">
        <v>10358</v>
      </c>
      <c r="U1520">
        <v>3665</v>
      </c>
      <c r="V1520">
        <v>0</v>
      </c>
      <c r="W1520">
        <v>4</v>
      </c>
      <c r="X1520">
        <v>2006</v>
      </c>
      <c r="Z1520">
        <v>2</v>
      </c>
      <c r="AB1520">
        <v>0</v>
      </c>
      <c r="AC1520" t="s">
        <v>115</v>
      </c>
      <c r="AD1520">
        <v>3</v>
      </c>
      <c r="AE1520" t="s">
        <v>115</v>
      </c>
      <c r="AF1520">
        <v>0</v>
      </c>
      <c r="AG1520">
        <v>0</v>
      </c>
      <c r="AH1520" t="s">
        <v>116</v>
      </c>
      <c r="AI1520" s="1">
        <v>75457</v>
      </c>
      <c r="AJ1520" s="2">
        <v>0.19</v>
      </c>
      <c r="AK1520" s="1">
        <v>396416</v>
      </c>
      <c r="AL1520" t="s">
        <v>117</v>
      </c>
      <c r="AM1520" t="s">
        <v>118</v>
      </c>
      <c r="AN1520">
        <v>17114</v>
      </c>
      <c r="AO1520">
        <v>0.39</v>
      </c>
      <c r="AR1520">
        <v>1</v>
      </c>
      <c r="AS1520" s="1">
        <v>30360</v>
      </c>
      <c r="AT1520" s="1">
        <v>6070</v>
      </c>
      <c r="AU1520" s="1">
        <v>24290</v>
      </c>
      <c r="AV1520">
        <v>80.010000000000005</v>
      </c>
      <c r="AX1520" s="1">
        <v>3653.88</v>
      </c>
      <c r="AY1520" t="s">
        <v>634</v>
      </c>
      <c r="AZ1520" t="s">
        <v>634</v>
      </c>
      <c r="BA1520" t="s">
        <v>635</v>
      </c>
      <c r="BE1520" s="3">
        <v>41788</v>
      </c>
      <c r="BF1520" s="1">
        <v>255000</v>
      </c>
      <c r="BG1520" t="s">
        <v>10359</v>
      </c>
      <c r="BH1520" s="1">
        <v>69.58</v>
      </c>
      <c r="BI1520" s="1">
        <v>320959</v>
      </c>
      <c r="BJ1520" s="3">
        <v>42359</v>
      </c>
      <c r="BK1520" t="s">
        <v>123</v>
      </c>
      <c r="BL1520" t="str">
        <f>"2015.899212"</f>
        <v>2015.899212</v>
      </c>
      <c r="BM1520" t="s">
        <v>2117</v>
      </c>
      <c r="BO1520" t="s">
        <v>10360</v>
      </c>
      <c r="BQ1520" t="str">
        <f>"1.7500%"</f>
        <v>1.7500%</v>
      </c>
      <c r="BR1520" t="s">
        <v>1480</v>
      </c>
      <c r="BS1520">
        <v>30</v>
      </c>
      <c r="BW1520" t="str">
        <f>""</f>
        <v/>
      </c>
      <c r="CH1520" t="str">
        <f>""</f>
        <v/>
      </c>
      <c r="CS1520" t="str">
        <f>""</f>
        <v/>
      </c>
    </row>
    <row r="1521" spans="1:97" x14ac:dyDescent="0.25">
      <c r="A1521" t="s">
        <v>10361</v>
      </c>
      <c r="B1521" t="s">
        <v>10362</v>
      </c>
      <c r="E1521" t="s">
        <v>10363</v>
      </c>
      <c r="F1521" t="s">
        <v>108</v>
      </c>
      <c r="H1521" t="s">
        <v>10364</v>
      </c>
      <c r="I1521" t="s">
        <v>1788</v>
      </c>
      <c r="J1521" t="s">
        <v>111</v>
      </c>
      <c r="K1521" t="str">
        <f>"85355"</f>
        <v>85355</v>
      </c>
      <c r="L1521" t="s">
        <v>3758</v>
      </c>
      <c r="M1521" t="s">
        <v>10364</v>
      </c>
      <c r="N1521" t="s">
        <v>1788</v>
      </c>
      <c r="O1521" t="s">
        <v>111</v>
      </c>
      <c r="P1521" t="str">
        <f>"85355-7549"</f>
        <v>85355-7549</v>
      </c>
      <c r="Q1521" t="s">
        <v>113</v>
      </c>
      <c r="R1521" t="str">
        <f>"502-83-075"</f>
        <v>502-83-075</v>
      </c>
      <c r="S1521" t="s">
        <v>10365</v>
      </c>
      <c r="T1521" t="s">
        <v>5971</v>
      </c>
      <c r="U1521">
        <v>3146</v>
      </c>
      <c r="V1521">
        <v>0</v>
      </c>
      <c r="W1521">
        <v>4</v>
      </c>
      <c r="X1521">
        <v>2008</v>
      </c>
      <c r="Z1521">
        <v>2</v>
      </c>
      <c r="AB1521">
        <v>0</v>
      </c>
      <c r="AC1521" t="s">
        <v>115</v>
      </c>
      <c r="AD1521">
        <v>3</v>
      </c>
      <c r="AE1521" t="s">
        <v>115</v>
      </c>
      <c r="AF1521">
        <v>0</v>
      </c>
      <c r="AG1521">
        <v>0</v>
      </c>
      <c r="AH1521" t="s">
        <v>116</v>
      </c>
      <c r="AI1521" s="1">
        <v>53839</v>
      </c>
      <c r="AJ1521" s="2">
        <v>0.17</v>
      </c>
      <c r="AK1521" s="1">
        <v>323957</v>
      </c>
      <c r="AL1521" t="s">
        <v>117</v>
      </c>
      <c r="AM1521" t="s">
        <v>393</v>
      </c>
      <c r="AN1521">
        <v>7800</v>
      </c>
      <c r="AO1521">
        <v>0.18</v>
      </c>
      <c r="AR1521">
        <v>1</v>
      </c>
      <c r="AS1521" s="1">
        <v>22470</v>
      </c>
      <c r="AT1521" s="1">
        <v>4490</v>
      </c>
      <c r="AU1521" s="1">
        <v>17980</v>
      </c>
      <c r="AV1521">
        <v>80.02</v>
      </c>
      <c r="AX1521" s="1">
        <v>1838.28</v>
      </c>
      <c r="AY1521" t="s">
        <v>5972</v>
      </c>
      <c r="AZ1521" t="s">
        <v>5972</v>
      </c>
      <c r="BA1521" t="s">
        <v>5061</v>
      </c>
      <c r="BE1521" s="3">
        <v>42262</v>
      </c>
      <c r="BF1521" s="1">
        <v>263000</v>
      </c>
      <c r="BG1521" t="s">
        <v>10366</v>
      </c>
      <c r="BH1521" s="1">
        <v>83.6</v>
      </c>
      <c r="BI1521" s="1">
        <v>270118</v>
      </c>
      <c r="BJ1521" s="3">
        <v>42719</v>
      </c>
      <c r="BK1521" t="s">
        <v>123</v>
      </c>
      <c r="BL1521" t="str">
        <f>"2016.923873"</f>
        <v>2016.923873</v>
      </c>
      <c r="BM1521" t="s">
        <v>425</v>
      </c>
      <c r="BO1521" t="s">
        <v>10367</v>
      </c>
      <c r="BS1521">
        <v>30</v>
      </c>
      <c r="BW1521" t="str">
        <f>""</f>
        <v/>
      </c>
      <c r="CH1521" t="str">
        <f>""</f>
        <v/>
      </c>
      <c r="CS1521" t="str">
        <f>""</f>
        <v/>
      </c>
    </row>
    <row r="1522" spans="1:97" x14ac:dyDescent="0.25">
      <c r="A1522" t="s">
        <v>894</v>
      </c>
      <c r="B1522" t="s">
        <v>1552</v>
      </c>
      <c r="C1522" t="s">
        <v>10368</v>
      </c>
      <c r="D1522" t="s">
        <v>1552</v>
      </c>
      <c r="E1522" t="s">
        <v>10369</v>
      </c>
      <c r="F1522" t="s">
        <v>108</v>
      </c>
      <c r="H1522" t="s">
        <v>10370</v>
      </c>
      <c r="I1522" t="s">
        <v>632</v>
      </c>
      <c r="J1522" t="s">
        <v>111</v>
      </c>
      <c r="K1522" t="str">
        <f>"85379"</f>
        <v>85379</v>
      </c>
      <c r="L1522" t="s">
        <v>6308</v>
      </c>
      <c r="M1522" t="s">
        <v>10370</v>
      </c>
      <c r="N1522" t="s">
        <v>632</v>
      </c>
      <c r="O1522" t="s">
        <v>111</v>
      </c>
      <c r="P1522" t="str">
        <f>"85379-8662"</f>
        <v>85379-8662</v>
      </c>
      <c r="Q1522" t="s">
        <v>113</v>
      </c>
      <c r="R1522" t="str">
        <f>"509-17-602"</f>
        <v>509-17-602</v>
      </c>
      <c r="S1522" t="s">
        <v>10371</v>
      </c>
      <c r="U1522">
        <v>4068</v>
      </c>
      <c r="V1522">
        <v>0</v>
      </c>
      <c r="W1522">
        <v>5</v>
      </c>
      <c r="X1522">
        <v>2004</v>
      </c>
      <c r="Z1522">
        <v>2</v>
      </c>
      <c r="AA1522" t="s">
        <v>26</v>
      </c>
      <c r="AB1522">
        <v>0</v>
      </c>
      <c r="AC1522" t="s">
        <v>115</v>
      </c>
      <c r="AD1522">
        <v>3</v>
      </c>
      <c r="AE1522" t="s">
        <v>115</v>
      </c>
      <c r="AF1522">
        <v>0</v>
      </c>
      <c r="AG1522">
        <v>0</v>
      </c>
      <c r="AH1522" t="s">
        <v>116</v>
      </c>
      <c r="AI1522" s="1">
        <v>107412</v>
      </c>
      <c r="AJ1522" s="2">
        <v>0.28000000000000003</v>
      </c>
      <c r="AK1522" s="1">
        <v>383908</v>
      </c>
      <c r="AL1522" t="s">
        <v>117</v>
      </c>
      <c r="AM1522" t="s">
        <v>118</v>
      </c>
      <c r="AN1522">
        <v>7888</v>
      </c>
      <c r="AO1522">
        <v>0.18</v>
      </c>
      <c r="AR1522">
        <v>1</v>
      </c>
      <c r="AS1522" s="1">
        <v>28880</v>
      </c>
      <c r="AT1522" s="1">
        <v>5770</v>
      </c>
      <c r="AU1522" s="1">
        <v>23110</v>
      </c>
      <c r="AV1522">
        <v>80.02</v>
      </c>
      <c r="AX1522" s="1">
        <v>2160.4</v>
      </c>
      <c r="AY1522" t="s">
        <v>5818</v>
      </c>
      <c r="AZ1522" t="s">
        <v>5818</v>
      </c>
      <c r="BA1522" t="s">
        <v>321</v>
      </c>
      <c r="BB1522" s="3">
        <v>42013</v>
      </c>
      <c r="BD1522" t="s">
        <v>458</v>
      </c>
      <c r="BE1522" s="3">
        <v>41808</v>
      </c>
      <c r="BF1522" s="1">
        <v>265000</v>
      </c>
      <c r="BG1522" t="s">
        <v>10372</v>
      </c>
      <c r="BH1522" s="1">
        <v>65.14</v>
      </c>
      <c r="BI1522" s="1">
        <v>276496</v>
      </c>
      <c r="BJ1522" s="3">
        <v>42013</v>
      </c>
      <c r="BK1522" t="s">
        <v>123</v>
      </c>
      <c r="BL1522" t="str">
        <f>"2015.15000"</f>
        <v>2015.15000</v>
      </c>
      <c r="BM1522" t="s">
        <v>843</v>
      </c>
      <c r="BO1522" t="s">
        <v>10373</v>
      </c>
      <c r="BS1522">
        <v>30</v>
      </c>
      <c r="BW1522" t="str">
        <f>""</f>
        <v/>
      </c>
      <c r="CH1522" t="str">
        <f>""</f>
        <v/>
      </c>
      <c r="CS1522" t="str">
        <f>""</f>
        <v/>
      </c>
    </row>
    <row r="1523" spans="1:97" x14ac:dyDescent="0.25">
      <c r="A1523" t="s">
        <v>10374</v>
      </c>
      <c r="B1523" t="s">
        <v>10375</v>
      </c>
      <c r="C1523" t="s">
        <v>2099</v>
      </c>
      <c r="D1523" t="s">
        <v>10376</v>
      </c>
      <c r="E1523" t="s">
        <v>10377</v>
      </c>
      <c r="F1523" t="s">
        <v>108</v>
      </c>
      <c r="H1523" t="s">
        <v>10378</v>
      </c>
      <c r="I1523" t="s">
        <v>632</v>
      </c>
      <c r="J1523" t="s">
        <v>111</v>
      </c>
      <c r="K1523" t="str">
        <f>"85379"</f>
        <v>85379</v>
      </c>
      <c r="L1523" t="s">
        <v>1244</v>
      </c>
      <c r="M1523" t="s">
        <v>10378</v>
      </c>
      <c r="N1523" t="s">
        <v>632</v>
      </c>
      <c r="O1523" t="s">
        <v>111</v>
      </c>
      <c r="P1523" t="str">
        <f>"85379-8026"</f>
        <v>85379-8026</v>
      </c>
      <c r="Q1523" t="s">
        <v>113</v>
      </c>
      <c r="R1523" t="str">
        <f>"509-02-656"</f>
        <v>509-02-656</v>
      </c>
      <c r="S1523" t="s">
        <v>10379</v>
      </c>
      <c r="T1523" t="s">
        <v>10380</v>
      </c>
      <c r="U1523">
        <v>2172</v>
      </c>
      <c r="V1523">
        <v>0</v>
      </c>
      <c r="W1523">
        <v>3</v>
      </c>
      <c r="X1523">
        <v>2004</v>
      </c>
      <c r="Z1523">
        <v>1</v>
      </c>
      <c r="AB1523">
        <v>0</v>
      </c>
      <c r="AC1523" t="s">
        <v>115</v>
      </c>
      <c r="AD1523">
        <v>3</v>
      </c>
      <c r="AE1523" t="s">
        <v>115</v>
      </c>
      <c r="AF1523">
        <v>0</v>
      </c>
      <c r="AG1523">
        <v>0</v>
      </c>
      <c r="AH1523" t="s">
        <v>116</v>
      </c>
      <c r="AI1523" s="1">
        <v>27941</v>
      </c>
      <c r="AJ1523" s="2">
        <v>0.1</v>
      </c>
      <c r="AK1523" s="1">
        <v>286191</v>
      </c>
      <c r="AL1523" t="s">
        <v>117</v>
      </c>
      <c r="AM1523" t="s">
        <v>118</v>
      </c>
      <c r="AN1523">
        <v>6670</v>
      </c>
      <c r="AO1523">
        <v>0.15</v>
      </c>
      <c r="AP1523">
        <v>1</v>
      </c>
      <c r="AR1523">
        <v>1</v>
      </c>
      <c r="AS1523" s="1">
        <v>19970</v>
      </c>
      <c r="AT1523" s="1">
        <v>3990</v>
      </c>
      <c r="AU1523" s="1">
        <v>15980</v>
      </c>
      <c r="AV1523">
        <v>80.02</v>
      </c>
      <c r="AX1523" s="1">
        <v>1455.36</v>
      </c>
      <c r="AY1523" t="s">
        <v>6615</v>
      </c>
      <c r="AZ1523" t="s">
        <v>6615</v>
      </c>
      <c r="BA1523" t="s">
        <v>321</v>
      </c>
      <c r="BE1523" s="3">
        <v>41772</v>
      </c>
      <c r="BF1523" s="1">
        <v>202000</v>
      </c>
      <c r="BG1523" t="s">
        <v>10381</v>
      </c>
      <c r="BH1523" s="1">
        <v>93</v>
      </c>
      <c r="BI1523" s="1">
        <v>258250</v>
      </c>
      <c r="BJ1523" s="3">
        <v>43216</v>
      </c>
      <c r="BK1523" t="s">
        <v>123</v>
      </c>
      <c r="BL1523" t="str">
        <f>"2018.318859"</f>
        <v>2018.318859</v>
      </c>
      <c r="BM1523" t="s">
        <v>2051</v>
      </c>
      <c r="BN1523" t="s">
        <v>10382</v>
      </c>
      <c r="BO1523" t="s">
        <v>10383</v>
      </c>
      <c r="BP1523" t="s">
        <v>10384</v>
      </c>
      <c r="BR1523" t="s">
        <v>139</v>
      </c>
      <c r="BW1523" t="str">
        <f>""</f>
        <v/>
      </c>
      <c r="CH1523" t="str">
        <f>""</f>
        <v/>
      </c>
      <c r="CS1523" t="str">
        <f>""</f>
        <v/>
      </c>
    </row>
    <row r="1524" spans="1:97" x14ac:dyDescent="0.25">
      <c r="A1524" t="s">
        <v>1850</v>
      </c>
      <c r="B1524" t="s">
        <v>2350</v>
      </c>
      <c r="C1524" t="s">
        <v>2852</v>
      </c>
      <c r="D1524" t="s">
        <v>2350</v>
      </c>
      <c r="E1524" t="s">
        <v>10385</v>
      </c>
      <c r="F1524" t="s">
        <v>108</v>
      </c>
      <c r="H1524" t="s">
        <v>10386</v>
      </c>
      <c r="I1524" t="s">
        <v>188</v>
      </c>
      <c r="J1524" t="s">
        <v>111</v>
      </c>
      <c r="K1524" t="str">
        <f>"85142"</f>
        <v>85142</v>
      </c>
      <c r="L1524" t="s">
        <v>3326</v>
      </c>
      <c r="M1524" t="s">
        <v>10386</v>
      </c>
      <c r="N1524" t="s">
        <v>188</v>
      </c>
      <c r="O1524" t="s">
        <v>111</v>
      </c>
      <c r="P1524" t="str">
        <f>"85142-7349"</f>
        <v>85142-7349</v>
      </c>
      <c r="R1524" t="str">
        <f>"304-88-084-M"</f>
        <v>304-88-084-M</v>
      </c>
      <c r="S1524" t="s">
        <v>3834</v>
      </c>
      <c r="U1524">
        <v>2506</v>
      </c>
      <c r="V1524">
        <v>0</v>
      </c>
      <c r="W1524">
        <v>4</v>
      </c>
      <c r="X1524">
        <v>2015</v>
      </c>
      <c r="Z1524">
        <v>1</v>
      </c>
      <c r="AB1524">
        <v>0</v>
      </c>
      <c r="AC1524" t="s">
        <v>115</v>
      </c>
      <c r="AD1524">
        <v>3</v>
      </c>
      <c r="AE1524" t="s">
        <v>115</v>
      </c>
      <c r="AF1524">
        <v>0</v>
      </c>
      <c r="AG1524">
        <v>0</v>
      </c>
      <c r="AH1524" t="s">
        <v>116</v>
      </c>
      <c r="AI1524" s="1">
        <v>52882</v>
      </c>
      <c r="AJ1524" s="2">
        <v>0.1</v>
      </c>
      <c r="AK1524" s="1">
        <v>513248</v>
      </c>
      <c r="AL1524" t="s">
        <v>117</v>
      </c>
      <c r="AM1524" t="s">
        <v>376</v>
      </c>
      <c r="AN1524">
        <v>47121</v>
      </c>
      <c r="AO1524">
        <v>1.08</v>
      </c>
      <c r="AR1524">
        <v>1</v>
      </c>
      <c r="AS1524" s="1">
        <v>36120</v>
      </c>
      <c r="AT1524" s="1">
        <v>7220</v>
      </c>
      <c r="AU1524" s="1">
        <v>28900</v>
      </c>
      <c r="AV1524">
        <v>80.010000000000005</v>
      </c>
      <c r="AX1524" s="1">
        <v>3101.68</v>
      </c>
      <c r="AY1524" t="s">
        <v>1133</v>
      </c>
      <c r="AZ1524" t="s">
        <v>1134</v>
      </c>
      <c r="BA1524" t="s">
        <v>1134</v>
      </c>
      <c r="BE1524" s="3">
        <v>42291</v>
      </c>
      <c r="BF1524" s="1">
        <v>420000</v>
      </c>
      <c r="BG1524" t="s">
        <v>10387</v>
      </c>
      <c r="BH1524" s="1">
        <v>167.6</v>
      </c>
      <c r="BI1524" s="1">
        <v>435366</v>
      </c>
      <c r="BJ1524" s="3">
        <v>42636</v>
      </c>
      <c r="BK1524" t="s">
        <v>123</v>
      </c>
      <c r="BL1524" t="str">
        <f>"2016.693418"</f>
        <v>2016.693418</v>
      </c>
      <c r="BM1524" t="s">
        <v>673</v>
      </c>
      <c r="BN1524" t="s">
        <v>674</v>
      </c>
      <c r="BO1524" t="s">
        <v>10388</v>
      </c>
      <c r="BS1524">
        <v>30</v>
      </c>
      <c r="BT1524" s="1">
        <v>25000</v>
      </c>
      <c r="BU1524" s="3">
        <v>43721</v>
      </c>
      <c r="BW1524" t="str">
        <f>"2019.720102"</f>
        <v>2019.720102</v>
      </c>
      <c r="BX1524" t="s">
        <v>1948</v>
      </c>
      <c r="BY1524" t="s">
        <v>2988</v>
      </c>
      <c r="BZ1524" t="s">
        <v>10389</v>
      </c>
      <c r="CA1524" t="s">
        <v>10390</v>
      </c>
      <c r="CC1524" t="s">
        <v>346</v>
      </c>
      <c r="CH1524" t="str">
        <f>""</f>
        <v/>
      </c>
      <c r="CS1524" t="str">
        <f>""</f>
        <v/>
      </c>
    </row>
    <row r="1525" spans="1:97" x14ac:dyDescent="0.25">
      <c r="B1525" t="s">
        <v>10391</v>
      </c>
      <c r="E1525" t="s">
        <v>10392</v>
      </c>
      <c r="F1525" t="s">
        <v>108</v>
      </c>
      <c r="H1525" t="s">
        <v>10393</v>
      </c>
      <c r="I1525" t="s">
        <v>225</v>
      </c>
      <c r="J1525" t="s">
        <v>111</v>
      </c>
      <c r="K1525" t="str">
        <f>"85205"</f>
        <v>85205</v>
      </c>
      <c r="L1525" t="s">
        <v>5218</v>
      </c>
      <c r="M1525" t="s">
        <v>10393</v>
      </c>
      <c r="N1525" t="s">
        <v>225</v>
      </c>
      <c r="O1525" t="s">
        <v>111</v>
      </c>
      <c r="P1525" t="str">
        <f>"85205-6319"</f>
        <v>85205-6319</v>
      </c>
      <c r="Q1525" t="s">
        <v>113</v>
      </c>
      <c r="R1525" t="str">
        <f>"140-15-307"</f>
        <v>140-15-307</v>
      </c>
      <c r="S1525" t="s">
        <v>8914</v>
      </c>
      <c r="T1525" t="s">
        <v>8914</v>
      </c>
      <c r="U1525">
        <v>3039</v>
      </c>
      <c r="V1525">
        <v>0</v>
      </c>
      <c r="W1525">
        <v>4</v>
      </c>
      <c r="X1525">
        <v>2000</v>
      </c>
      <c r="Z1525">
        <v>1</v>
      </c>
      <c r="AA1525" t="s">
        <v>26</v>
      </c>
      <c r="AB1525">
        <v>0</v>
      </c>
      <c r="AC1525" t="s">
        <v>115</v>
      </c>
      <c r="AD1525">
        <v>3</v>
      </c>
      <c r="AE1525" t="s">
        <v>115</v>
      </c>
      <c r="AF1525">
        <v>0</v>
      </c>
      <c r="AG1525">
        <v>0</v>
      </c>
      <c r="AH1525" t="s">
        <v>116</v>
      </c>
      <c r="AI1525" s="1">
        <v>82234</v>
      </c>
      <c r="AJ1525" s="2">
        <v>0.17</v>
      </c>
      <c r="AK1525" s="1">
        <v>475511</v>
      </c>
      <c r="AL1525" t="s">
        <v>117</v>
      </c>
      <c r="AM1525" t="s">
        <v>1521</v>
      </c>
      <c r="AN1525">
        <v>15080</v>
      </c>
      <c r="AO1525">
        <v>0.35</v>
      </c>
      <c r="AP1525">
        <v>1</v>
      </c>
      <c r="AR1525">
        <v>1</v>
      </c>
      <c r="AS1525" s="1">
        <v>34770</v>
      </c>
      <c r="AT1525" s="1">
        <v>6950</v>
      </c>
      <c r="AU1525" s="1">
        <v>27820</v>
      </c>
      <c r="AV1525">
        <v>80.010000000000005</v>
      </c>
      <c r="AX1525" s="1">
        <v>3165.04</v>
      </c>
      <c r="AY1525" t="s">
        <v>7054</v>
      </c>
      <c r="AZ1525" t="s">
        <v>5275</v>
      </c>
      <c r="BA1525" t="s">
        <v>3119</v>
      </c>
      <c r="BB1525" s="3">
        <v>43371</v>
      </c>
      <c r="BC1525" s="1">
        <v>0</v>
      </c>
      <c r="BD1525" t="s">
        <v>247</v>
      </c>
      <c r="BE1525" s="3">
        <v>42300</v>
      </c>
      <c r="BF1525" s="1">
        <v>395000</v>
      </c>
      <c r="BG1525" t="s">
        <v>10394</v>
      </c>
      <c r="BH1525" s="1">
        <v>129.97999999999999</v>
      </c>
      <c r="BI1525" s="1">
        <v>393277</v>
      </c>
      <c r="BJ1525" s="3">
        <v>42300</v>
      </c>
      <c r="BK1525" t="s">
        <v>123</v>
      </c>
      <c r="BL1525" t="str">
        <f>"2015.763613"</f>
        <v>2015.763613</v>
      </c>
      <c r="BM1525" t="s">
        <v>594</v>
      </c>
      <c r="BN1525" t="s">
        <v>595</v>
      </c>
      <c r="BO1525" t="s">
        <v>10395</v>
      </c>
      <c r="BS1525">
        <v>30</v>
      </c>
      <c r="BW1525" t="str">
        <f>""</f>
        <v/>
      </c>
      <c r="CH1525" t="str">
        <f>""</f>
        <v/>
      </c>
      <c r="CS1525" t="str">
        <f>""</f>
        <v/>
      </c>
    </row>
    <row r="1526" spans="1:97" x14ac:dyDescent="0.25">
      <c r="A1526" t="s">
        <v>1465</v>
      </c>
      <c r="B1526" t="s">
        <v>10396</v>
      </c>
      <c r="E1526" t="s">
        <v>10397</v>
      </c>
      <c r="F1526" t="s">
        <v>108</v>
      </c>
      <c r="H1526" t="s">
        <v>10398</v>
      </c>
      <c r="I1526" t="s">
        <v>1397</v>
      </c>
      <c r="J1526" t="s">
        <v>111</v>
      </c>
      <c r="K1526" t="str">
        <f>"85331"</f>
        <v>85331</v>
      </c>
      <c r="L1526" t="s">
        <v>10399</v>
      </c>
      <c r="M1526" t="s">
        <v>10398</v>
      </c>
      <c r="N1526" t="s">
        <v>1397</v>
      </c>
      <c r="O1526" t="s">
        <v>111</v>
      </c>
      <c r="P1526" t="str">
        <f>"85331-5809"</f>
        <v>85331-5809</v>
      </c>
      <c r="Q1526" t="s">
        <v>113</v>
      </c>
      <c r="R1526" t="str">
        <f>"211-62-101"</f>
        <v>211-62-101</v>
      </c>
      <c r="S1526" t="s">
        <v>10400</v>
      </c>
      <c r="T1526" t="s">
        <v>10400</v>
      </c>
      <c r="U1526">
        <v>2210</v>
      </c>
      <c r="V1526">
        <v>0</v>
      </c>
      <c r="W1526">
        <v>3</v>
      </c>
      <c r="X1526">
        <v>1989</v>
      </c>
      <c r="Z1526">
        <v>1</v>
      </c>
      <c r="AA1526" t="s">
        <v>26</v>
      </c>
      <c r="AB1526">
        <v>0</v>
      </c>
      <c r="AC1526" t="s">
        <v>115</v>
      </c>
      <c r="AD1526">
        <v>3</v>
      </c>
      <c r="AE1526" t="s">
        <v>115</v>
      </c>
      <c r="AF1526">
        <v>0</v>
      </c>
      <c r="AG1526">
        <v>0</v>
      </c>
      <c r="AH1526" t="s">
        <v>116</v>
      </c>
      <c r="AI1526" s="1">
        <v>23198</v>
      </c>
      <c r="AJ1526" s="2">
        <v>0.05</v>
      </c>
      <c r="AK1526" s="1">
        <v>474798</v>
      </c>
      <c r="AL1526" t="s">
        <v>117</v>
      </c>
      <c r="AM1526" t="s">
        <v>1302</v>
      </c>
      <c r="AN1526">
        <v>10633</v>
      </c>
      <c r="AO1526">
        <v>0.24</v>
      </c>
      <c r="AP1526">
        <v>1</v>
      </c>
      <c r="AR1526">
        <v>1</v>
      </c>
      <c r="AS1526" s="1">
        <v>32770</v>
      </c>
      <c r="AT1526" s="1">
        <v>6550</v>
      </c>
      <c r="AU1526" s="1">
        <v>26220</v>
      </c>
      <c r="AV1526">
        <v>80.010000000000005</v>
      </c>
      <c r="AX1526" s="1">
        <v>2117.7199999999998</v>
      </c>
      <c r="AY1526" t="s">
        <v>7763</v>
      </c>
      <c r="AZ1526" t="s">
        <v>1402</v>
      </c>
      <c r="BA1526" t="s">
        <v>1403</v>
      </c>
      <c r="BE1526" s="3">
        <v>42060</v>
      </c>
      <c r="BF1526" s="1">
        <v>418000</v>
      </c>
      <c r="BG1526" t="s">
        <v>10401</v>
      </c>
      <c r="BH1526" s="1">
        <v>189.14</v>
      </c>
      <c r="BI1526" s="1">
        <v>451600</v>
      </c>
      <c r="BJ1526" s="3">
        <v>43644</v>
      </c>
      <c r="BK1526" t="s">
        <v>123</v>
      </c>
      <c r="BL1526" t="str">
        <f>"2019.495110"</f>
        <v>2019.495110</v>
      </c>
      <c r="BM1526" t="s">
        <v>10402</v>
      </c>
      <c r="BN1526" t="s">
        <v>10403</v>
      </c>
      <c r="BO1526" t="s">
        <v>10404</v>
      </c>
      <c r="BR1526" t="s">
        <v>139</v>
      </c>
      <c r="BW1526" t="str">
        <f>""</f>
        <v/>
      </c>
      <c r="CH1526" t="str">
        <f>""</f>
        <v/>
      </c>
      <c r="CS1526" t="str">
        <f>""</f>
        <v/>
      </c>
    </row>
    <row r="1527" spans="1:97" x14ac:dyDescent="0.25">
      <c r="A1527" t="s">
        <v>1109</v>
      </c>
      <c r="B1527" t="s">
        <v>10405</v>
      </c>
      <c r="C1527" t="s">
        <v>945</v>
      </c>
      <c r="D1527" t="s">
        <v>10405</v>
      </c>
      <c r="E1527" t="s">
        <v>10406</v>
      </c>
      <c r="F1527" t="s">
        <v>108</v>
      </c>
      <c r="H1527" t="s">
        <v>10407</v>
      </c>
      <c r="I1527" t="s">
        <v>1936</v>
      </c>
      <c r="J1527" t="s">
        <v>111</v>
      </c>
      <c r="K1527" t="str">
        <f>"85255"</f>
        <v>85255</v>
      </c>
      <c r="L1527" t="s">
        <v>541</v>
      </c>
      <c r="M1527" t="s">
        <v>10407</v>
      </c>
      <c r="N1527" t="s">
        <v>1936</v>
      </c>
      <c r="O1527" t="s">
        <v>111</v>
      </c>
      <c r="P1527" t="str">
        <f>"85255-5880"</f>
        <v>85255-5880</v>
      </c>
      <c r="Q1527" t="s">
        <v>113</v>
      </c>
      <c r="R1527" t="str">
        <f>"215-08-206"</f>
        <v>215-08-206</v>
      </c>
      <c r="S1527" t="s">
        <v>10408</v>
      </c>
      <c r="T1527" t="s">
        <v>10409</v>
      </c>
      <c r="U1527">
        <v>2253</v>
      </c>
      <c r="V1527">
        <v>0</v>
      </c>
      <c r="W1527">
        <v>3</v>
      </c>
      <c r="X1527">
        <v>1995</v>
      </c>
      <c r="Z1527">
        <v>1</v>
      </c>
      <c r="AB1527">
        <v>0</v>
      </c>
      <c r="AC1527" t="s">
        <v>115</v>
      </c>
      <c r="AD1527">
        <v>2</v>
      </c>
      <c r="AE1527" t="s">
        <v>115</v>
      </c>
      <c r="AF1527">
        <v>0</v>
      </c>
      <c r="AG1527">
        <v>0</v>
      </c>
      <c r="AH1527" t="s">
        <v>116</v>
      </c>
      <c r="AI1527" s="1">
        <v>101441</v>
      </c>
      <c r="AJ1527" s="2">
        <v>0.17</v>
      </c>
      <c r="AK1527" s="1">
        <v>590965</v>
      </c>
      <c r="AL1527" t="s">
        <v>117</v>
      </c>
      <c r="AM1527" t="s">
        <v>5516</v>
      </c>
      <c r="AN1527">
        <v>5768</v>
      </c>
      <c r="AO1527">
        <v>0.13</v>
      </c>
      <c r="AP1527">
        <v>1</v>
      </c>
      <c r="AR1527">
        <v>1</v>
      </c>
      <c r="AS1527" s="1">
        <v>41820</v>
      </c>
      <c r="AT1527" s="1">
        <v>8360</v>
      </c>
      <c r="AU1527" s="1">
        <v>33460</v>
      </c>
      <c r="AV1527">
        <v>80.010000000000005</v>
      </c>
      <c r="AX1527" s="1">
        <v>3640.78</v>
      </c>
      <c r="AY1527" t="s">
        <v>8787</v>
      </c>
      <c r="AZ1527" t="s">
        <v>7739</v>
      </c>
      <c r="BA1527" t="s">
        <v>6302</v>
      </c>
      <c r="BE1527" s="3">
        <v>41730</v>
      </c>
      <c r="BF1527" s="1">
        <v>515000</v>
      </c>
      <c r="BG1527" t="s">
        <v>10410</v>
      </c>
      <c r="BH1527" s="1">
        <v>228.58</v>
      </c>
      <c r="BI1527" s="1">
        <v>489524</v>
      </c>
      <c r="BJ1527" s="3">
        <v>42096</v>
      </c>
      <c r="BK1527" t="s">
        <v>123</v>
      </c>
      <c r="BL1527" t="str">
        <f>"2015.224703"</f>
        <v>2015.224703</v>
      </c>
      <c r="BM1527" t="s">
        <v>402</v>
      </c>
      <c r="BO1527" t="s">
        <v>10411</v>
      </c>
      <c r="BS1527">
        <v>30</v>
      </c>
      <c r="BW1527" t="str">
        <f>""</f>
        <v/>
      </c>
      <c r="CH1527" t="str">
        <f>""</f>
        <v/>
      </c>
      <c r="CS1527" t="str">
        <f>""</f>
        <v/>
      </c>
    </row>
    <row r="1528" spans="1:97" x14ac:dyDescent="0.25">
      <c r="A1528" t="s">
        <v>494</v>
      </c>
      <c r="B1528" t="s">
        <v>10412</v>
      </c>
      <c r="C1528" t="s">
        <v>1845</v>
      </c>
      <c r="D1528" t="s">
        <v>10412</v>
      </c>
      <c r="E1528" t="s">
        <v>10413</v>
      </c>
      <c r="F1528" t="s">
        <v>108</v>
      </c>
      <c r="H1528" t="s">
        <v>10414</v>
      </c>
      <c r="I1528" t="s">
        <v>203</v>
      </c>
      <c r="J1528" t="s">
        <v>111</v>
      </c>
      <c r="K1528" t="str">
        <f>"85296"</f>
        <v>85296</v>
      </c>
      <c r="L1528" t="s">
        <v>2015</v>
      </c>
      <c r="M1528" t="s">
        <v>10414</v>
      </c>
      <c r="N1528" t="s">
        <v>203</v>
      </c>
      <c r="O1528" t="s">
        <v>111</v>
      </c>
      <c r="P1528" t="str">
        <f>"85296-2119"</f>
        <v>85296-2119</v>
      </c>
      <c r="Q1528" t="s">
        <v>113</v>
      </c>
      <c r="R1528" t="str">
        <f>"304-21-542"</f>
        <v>304-21-542</v>
      </c>
      <c r="S1528" t="s">
        <v>10415</v>
      </c>
      <c r="T1528" t="s">
        <v>10416</v>
      </c>
      <c r="U1528">
        <v>1867</v>
      </c>
      <c r="V1528">
        <v>0</v>
      </c>
      <c r="W1528">
        <v>3</v>
      </c>
      <c r="X1528">
        <v>1999</v>
      </c>
      <c r="Z1528">
        <v>1</v>
      </c>
      <c r="AA1528" t="s">
        <v>26</v>
      </c>
      <c r="AB1528">
        <v>0</v>
      </c>
      <c r="AC1528" t="s">
        <v>115</v>
      </c>
      <c r="AD1528">
        <v>3</v>
      </c>
      <c r="AE1528" t="s">
        <v>115</v>
      </c>
      <c r="AF1528">
        <v>0</v>
      </c>
      <c r="AG1528">
        <v>0</v>
      </c>
      <c r="AH1528" t="s">
        <v>116</v>
      </c>
      <c r="AI1528" s="1">
        <v>129012</v>
      </c>
      <c r="AJ1528" s="2">
        <v>0.36</v>
      </c>
      <c r="AK1528" s="1">
        <v>359012</v>
      </c>
      <c r="AL1528" t="s">
        <v>117</v>
      </c>
      <c r="AM1528" t="s">
        <v>393</v>
      </c>
      <c r="AN1528">
        <v>6887</v>
      </c>
      <c r="AO1528">
        <v>0.16</v>
      </c>
      <c r="AP1528">
        <v>1</v>
      </c>
      <c r="AR1528">
        <v>1</v>
      </c>
      <c r="AS1528" s="1">
        <v>24820</v>
      </c>
      <c r="AT1528" s="1">
        <v>4960</v>
      </c>
      <c r="AU1528" s="1">
        <v>19860</v>
      </c>
      <c r="AV1528">
        <v>80.02</v>
      </c>
      <c r="AX1528" s="1">
        <v>2100.2399999999998</v>
      </c>
      <c r="AY1528" t="s">
        <v>5032</v>
      </c>
      <c r="AZ1528" t="s">
        <v>520</v>
      </c>
      <c r="BA1528" t="s">
        <v>5033</v>
      </c>
      <c r="BE1528" s="3">
        <v>41751</v>
      </c>
      <c r="BF1528" s="1">
        <v>273000</v>
      </c>
      <c r="BG1528" t="s">
        <v>10417</v>
      </c>
      <c r="BH1528" s="1">
        <v>146.22</v>
      </c>
      <c r="BI1528" s="1">
        <v>230000</v>
      </c>
      <c r="BJ1528" s="3">
        <v>42753</v>
      </c>
      <c r="BK1528" t="s">
        <v>123</v>
      </c>
      <c r="BL1528" t="str">
        <f>"2017.39101"</f>
        <v>2017.39101</v>
      </c>
      <c r="BM1528" t="s">
        <v>10418</v>
      </c>
      <c r="BO1528" t="s">
        <v>10419</v>
      </c>
      <c r="BS1528">
        <v>30</v>
      </c>
      <c r="BW1528" t="str">
        <f>""</f>
        <v/>
      </c>
      <c r="CH1528" t="str">
        <f>""</f>
        <v/>
      </c>
      <c r="CS1528" t="str">
        <f>""</f>
        <v/>
      </c>
    </row>
    <row r="1529" spans="1:97" x14ac:dyDescent="0.25">
      <c r="A1529" t="s">
        <v>140</v>
      </c>
      <c r="B1529" t="s">
        <v>10420</v>
      </c>
      <c r="C1529" t="s">
        <v>976</v>
      </c>
      <c r="D1529" t="s">
        <v>10420</v>
      </c>
      <c r="E1529" t="s">
        <v>10421</v>
      </c>
      <c r="F1529" t="s">
        <v>108</v>
      </c>
      <c r="H1529" t="s">
        <v>10422</v>
      </c>
      <c r="I1529" t="s">
        <v>188</v>
      </c>
      <c r="J1529" t="s">
        <v>111</v>
      </c>
      <c r="K1529" t="str">
        <f>"85142"</f>
        <v>85142</v>
      </c>
      <c r="L1529" t="s">
        <v>189</v>
      </c>
      <c r="M1529" t="s">
        <v>10422</v>
      </c>
      <c r="N1529" t="s">
        <v>188</v>
      </c>
      <c r="O1529" t="s">
        <v>111</v>
      </c>
      <c r="P1529" t="str">
        <f>"85142-8662"</f>
        <v>85142-8662</v>
      </c>
      <c r="Q1529" t="s">
        <v>113</v>
      </c>
      <c r="R1529" t="str">
        <f>"314-02-543"</f>
        <v>314-02-543</v>
      </c>
      <c r="S1529" t="s">
        <v>10423</v>
      </c>
      <c r="U1529">
        <v>2600</v>
      </c>
      <c r="V1529">
        <v>0</v>
      </c>
      <c r="W1529">
        <v>4</v>
      </c>
      <c r="X1529">
        <v>2004</v>
      </c>
      <c r="Z1529">
        <v>2</v>
      </c>
      <c r="AB1529">
        <v>0</v>
      </c>
      <c r="AC1529" t="s">
        <v>115</v>
      </c>
      <c r="AD1529">
        <v>2</v>
      </c>
      <c r="AE1529" t="s">
        <v>115</v>
      </c>
      <c r="AF1529">
        <v>0</v>
      </c>
      <c r="AG1529">
        <v>0</v>
      </c>
      <c r="AH1529" t="s">
        <v>116</v>
      </c>
      <c r="AI1529" s="1">
        <v>76950</v>
      </c>
      <c r="AJ1529" s="2">
        <v>0.22</v>
      </c>
      <c r="AK1529" s="1">
        <v>342431</v>
      </c>
      <c r="AL1529" t="s">
        <v>117</v>
      </c>
      <c r="AM1529" t="s">
        <v>191</v>
      </c>
      <c r="AN1529">
        <v>6600</v>
      </c>
      <c r="AO1529">
        <v>0.15</v>
      </c>
      <c r="AP1529">
        <v>1</v>
      </c>
      <c r="AR1529">
        <v>1</v>
      </c>
      <c r="AS1529" s="1">
        <v>22470</v>
      </c>
      <c r="AT1529" s="1">
        <v>4490</v>
      </c>
      <c r="AU1529" s="1">
        <v>17980</v>
      </c>
      <c r="AV1529">
        <v>80.02</v>
      </c>
      <c r="AX1529" s="1">
        <v>1985.98</v>
      </c>
      <c r="AY1529" t="s">
        <v>192</v>
      </c>
      <c r="AZ1529" t="s">
        <v>193</v>
      </c>
      <c r="BA1529" t="s">
        <v>194</v>
      </c>
      <c r="BE1529" s="3">
        <v>41705</v>
      </c>
      <c r="BF1529" s="1">
        <v>225000</v>
      </c>
      <c r="BG1529" t="s">
        <v>10424</v>
      </c>
      <c r="BH1529" s="1">
        <v>86.54</v>
      </c>
      <c r="BI1529" s="1">
        <v>265481</v>
      </c>
      <c r="BJ1529" s="3">
        <v>42972</v>
      </c>
      <c r="BK1529" t="s">
        <v>123</v>
      </c>
      <c r="BL1529" t="str">
        <f>"2017.628056"</f>
        <v>2017.628056</v>
      </c>
      <c r="BM1529" t="s">
        <v>10425</v>
      </c>
      <c r="BO1529" t="s">
        <v>10426</v>
      </c>
      <c r="BS1529">
        <v>30</v>
      </c>
      <c r="BW1529" t="str">
        <f>""</f>
        <v/>
      </c>
      <c r="CH1529" t="str">
        <f>""</f>
        <v/>
      </c>
      <c r="CS1529" t="str">
        <f>""</f>
        <v/>
      </c>
    </row>
    <row r="1530" spans="1:97" x14ac:dyDescent="0.25">
      <c r="A1530" t="s">
        <v>140</v>
      </c>
      <c r="B1530" t="s">
        <v>4247</v>
      </c>
      <c r="E1530" t="s">
        <v>10427</v>
      </c>
      <c r="F1530" t="s">
        <v>108</v>
      </c>
      <c r="H1530" t="s">
        <v>10428</v>
      </c>
      <c r="I1530" t="s">
        <v>225</v>
      </c>
      <c r="J1530" t="s">
        <v>111</v>
      </c>
      <c r="K1530" t="str">
        <f>"85212"</f>
        <v>85212</v>
      </c>
      <c r="L1530" t="s">
        <v>5239</v>
      </c>
      <c r="M1530" t="s">
        <v>10428</v>
      </c>
      <c r="N1530" t="s">
        <v>225</v>
      </c>
      <c r="O1530" t="s">
        <v>111</v>
      </c>
      <c r="P1530" t="str">
        <f>"85212-7096"</f>
        <v>85212-7096</v>
      </c>
      <c r="Q1530" t="s">
        <v>113</v>
      </c>
      <c r="R1530" t="str">
        <f>"312-14-595"</f>
        <v>312-14-595</v>
      </c>
      <c r="S1530" t="s">
        <v>8852</v>
      </c>
      <c r="T1530" t="s">
        <v>8853</v>
      </c>
      <c r="U1530">
        <v>2135</v>
      </c>
      <c r="V1530">
        <v>0</v>
      </c>
      <c r="W1530">
        <v>3</v>
      </c>
      <c r="X1530">
        <v>2008</v>
      </c>
      <c r="Z1530">
        <v>1</v>
      </c>
      <c r="AA1530" t="s">
        <v>26</v>
      </c>
      <c r="AB1530">
        <v>0</v>
      </c>
      <c r="AC1530" t="s">
        <v>115</v>
      </c>
      <c r="AD1530">
        <v>3</v>
      </c>
      <c r="AE1530" t="s">
        <v>115</v>
      </c>
      <c r="AF1530">
        <v>0</v>
      </c>
      <c r="AG1530">
        <v>0</v>
      </c>
      <c r="AH1530" t="s">
        <v>116</v>
      </c>
      <c r="AI1530" s="1">
        <v>115849</v>
      </c>
      <c r="AJ1530" s="2">
        <v>0.33</v>
      </c>
      <c r="AK1530" s="1">
        <v>347649</v>
      </c>
      <c r="AL1530" t="s">
        <v>117</v>
      </c>
      <c r="AM1530" t="s">
        <v>191</v>
      </c>
      <c r="AN1530">
        <v>7625</v>
      </c>
      <c r="AO1530">
        <v>0.18</v>
      </c>
      <c r="AR1530">
        <v>1</v>
      </c>
      <c r="AS1530" s="1">
        <v>23860</v>
      </c>
      <c r="AT1530" s="1">
        <v>4770</v>
      </c>
      <c r="AU1530" s="1">
        <v>19090</v>
      </c>
      <c r="AV1530">
        <v>80.010000000000005</v>
      </c>
      <c r="AX1530" s="1">
        <v>2073.2199999999998</v>
      </c>
      <c r="AY1530" t="s">
        <v>560</v>
      </c>
      <c r="AZ1530" t="s">
        <v>561</v>
      </c>
      <c r="BA1530" t="s">
        <v>194</v>
      </c>
      <c r="BE1530" s="3">
        <v>41768</v>
      </c>
      <c r="BF1530" s="1">
        <v>265000</v>
      </c>
      <c r="BG1530" t="s">
        <v>5694</v>
      </c>
      <c r="BH1530" s="1">
        <v>124.12</v>
      </c>
      <c r="BI1530" s="1">
        <v>231800</v>
      </c>
      <c r="BJ1530" s="3">
        <v>42977</v>
      </c>
      <c r="BK1530" t="s">
        <v>123</v>
      </c>
      <c r="BL1530" t="str">
        <f>"2017.639947"</f>
        <v>2017.639947</v>
      </c>
      <c r="BM1530" t="s">
        <v>10429</v>
      </c>
      <c r="BO1530" t="s">
        <v>10430</v>
      </c>
      <c r="BS1530">
        <v>30</v>
      </c>
      <c r="BW1530" t="str">
        <f>""</f>
        <v/>
      </c>
      <c r="CH1530" t="str">
        <f>""</f>
        <v/>
      </c>
      <c r="CS1530" t="str">
        <f>""</f>
        <v/>
      </c>
    </row>
    <row r="1531" spans="1:97" x14ac:dyDescent="0.25">
      <c r="A1531" t="s">
        <v>815</v>
      </c>
      <c r="B1531" t="s">
        <v>10431</v>
      </c>
      <c r="C1531" t="s">
        <v>1210</v>
      </c>
      <c r="D1531" t="s">
        <v>10432</v>
      </c>
      <c r="E1531" t="s">
        <v>10433</v>
      </c>
      <c r="F1531" t="s">
        <v>108</v>
      </c>
      <c r="H1531" t="s">
        <v>10434</v>
      </c>
      <c r="I1531" t="s">
        <v>2874</v>
      </c>
      <c r="J1531" t="s">
        <v>111</v>
      </c>
      <c r="K1531" t="str">
        <f>"85303"</f>
        <v>85303</v>
      </c>
      <c r="L1531" t="s">
        <v>5464</v>
      </c>
      <c r="M1531" t="s">
        <v>10434</v>
      </c>
      <c r="N1531" t="s">
        <v>2874</v>
      </c>
      <c r="O1531" t="s">
        <v>111</v>
      </c>
      <c r="P1531" t="str">
        <f>"85303-5529"</f>
        <v>85303-5529</v>
      </c>
      <c r="Q1531" t="s">
        <v>113</v>
      </c>
      <c r="R1531" t="str">
        <f>"102-09-263"</f>
        <v>102-09-263</v>
      </c>
      <c r="S1531" t="s">
        <v>10435</v>
      </c>
      <c r="T1531" t="s">
        <v>10436</v>
      </c>
      <c r="U1531">
        <v>2236</v>
      </c>
      <c r="V1531">
        <v>0</v>
      </c>
      <c r="W1531">
        <v>2</v>
      </c>
      <c r="X1531">
        <v>2005</v>
      </c>
      <c r="Z1531">
        <v>1</v>
      </c>
      <c r="AB1531">
        <v>0</v>
      </c>
      <c r="AC1531" t="s">
        <v>115</v>
      </c>
      <c r="AD1531">
        <v>3</v>
      </c>
      <c r="AE1531" t="s">
        <v>115</v>
      </c>
      <c r="AF1531">
        <v>0</v>
      </c>
      <c r="AG1531">
        <v>0</v>
      </c>
      <c r="AH1531" t="s">
        <v>116</v>
      </c>
      <c r="AI1531" s="1">
        <v>57977</v>
      </c>
      <c r="AJ1531" s="2">
        <v>0.16</v>
      </c>
      <c r="AK1531" s="1">
        <v>367977</v>
      </c>
      <c r="AL1531" t="s">
        <v>117</v>
      </c>
      <c r="AM1531" t="s">
        <v>6005</v>
      </c>
      <c r="AN1531">
        <v>17167</v>
      </c>
      <c r="AO1531">
        <v>0.39</v>
      </c>
      <c r="AP1531">
        <v>1</v>
      </c>
      <c r="AR1531">
        <v>1</v>
      </c>
      <c r="AS1531" s="1">
        <v>25320</v>
      </c>
      <c r="AT1531" s="1">
        <v>5060</v>
      </c>
      <c r="AU1531" s="1">
        <v>20260</v>
      </c>
      <c r="AV1531">
        <v>80.02</v>
      </c>
      <c r="AX1531" s="1">
        <v>2667.44</v>
      </c>
      <c r="AY1531" t="s">
        <v>10437</v>
      </c>
      <c r="AZ1531" t="s">
        <v>10437</v>
      </c>
      <c r="BA1531" t="s">
        <v>2878</v>
      </c>
      <c r="BE1531" s="3">
        <v>42013</v>
      </c>
      <c r="BF1531" s="1">
        <v>310000</v>
      </c>
      <c r="BG1531" t="s">
        <v>10438</v>
      </c>
      <c r="BH1531" s="1">
        <v>138.63999999999999</v>
      </c>
      <c r="BI1531" s="1">
        <v>310000</v>
      </c>
      <c r="BJ1531" s="3">
        <v>42013</v>
      </c>
      <c r="BK1531" t="s">
        <v>123</v>
      </c>
      <c r="BL1531" t="str">
        <f>"2015.13691"</f>
        <v>2015.13691</v>
      </c>
      <c r="BM1531" t="s">
        <v>724</v>
      </c>
      <c r="BO1531" t="s">
        <v>10439</v>
      </c>
      <c r="BP1531" t="s">
        <v>10440</v>
      </c>
      <c r="BS1531">
        <v>30</v>
      </c>
      <c r="BW1531" t="str">
        <f>""</f>
        <v/>
      </c>
      <c r="CH1531" t="str">
        <f>""</f>
        <v/>
      </c>
      <c r="CS1531" t="str">
        <f>""</f>
        <v/>
      </c>
    </row>
    <row r="1532" spans="1:97" x14ac:dyDescent="0.25">
      <c r="A1532" t="s">
        <v>1421</v>
      </c>
      <c r="B1532" t="s">
        <v>1428</v>
      </c>
      <c r="C1532" t="s">
        <v>199</v>
      </c>
      <c r="D1532" t="s">
        <v>1428</v>
      </c>
      <c r="E1532" t="s">
        <v>10441</v>
      </c>
      <c r="F1532" t="s">
        <v>108</v>
      </c>
      <c r="H1532" t="s">
        <v>10442</v>
      </c>
      <c r="I1532" t="s">
        <v>1397</v>
      </c>
      <c r="J1532" t="s">
        <v>111</v>
      </c>
      <c r="K1532" t="str">
        <f>"85331"</f>
        <v>85331</v>
      </c>
      <c r="L1532" t="s">
        <v>5009</v>
      </c>
      <c r="M1532" t="s">
        <v>10442</v>
      </c>
      <c r="N1532" t="s">
        <v>1397</v>
      </c>
      <c r="O1532" t="s">
        <v>111</v>
      </c>
      <c r="P1532" t="str">
        <f>"85331-3631"</f>
        <v>85331-3631</v>
      </c>
      <c r="Q1532" t="s">
        <v>113</v>
      </c>
      <c r="R1532" t="str">
        <f>"212-12-004-N"</f>
        <v>212-12-004-N</v>
      </c>
      <c r="U1532">
        <v>2458</v>
      </c>
      <c r="V1532">
        <v>0</v>
      </c>
      <c r="W1532">
        <v>3</v>
      </c>
      <c r="X1532">
        <v>2000</v>
      </c>
      <c r="Z1532">
        <v>1</v>
      </c>
      <c r="AB1532">
        <v>0</v>
      </c>
      <c r="AC1532" t="s">
        <v>115</v>
      </c>
      <c r="AD1532">
        <v>3</v>
      </c>
      <c r="AE1532" t="s">
        <v>115</v>
      </c>
      <c r="AF1532">
        <v>0</v>
      </c>
      <c r="AG1532">
        <v>0</v>
      </c>
      <c r="AH1532" t="s">
        <v>116</v>
      </c>
      <c r="AI1532" s="1">
        <v>108591</v>
      </c>
      <c r="AJ1532" s="2">
        <v>0.19</v>
      </c>
      <c r="AK1532" s="1">
        <v>564126</v>
      </c>
      <c r="AL1532" t="s">
        <v>117</v>
      </c>
      <c r="AM1532" t="s">
        <v>376</v>
      </c>
      <c r="AN1532">
        <v>54581</v>
      </c>
      <c r="AO1532">
        <v>1.25</v>
      </c>
      <c r="AP1532">
        <v>1</v>
      </c>
      <c r="AR1532">
        <v>1</v>
      </c>
      <c r="AS1532" s="1">
        <v>43530</v>
      </c>
      <c r="AT1532" s="1">
        <v>8700</v>
      </c>
      <c r="AU1532" s="1">
        <v>34830</v>
      </c>
      <c r="AV1532">
        <v>80.010000000000005</v>
      </c>
      <c r="AX1532" s="1">
        <v>2008.92</v>
      </c>
      <c r="AY1532" t="s">
        <v>6361</v>
      </c>
      <c r="AZ1532" t="s">
        <v>1402</v>
      </c>
      <c r="BA1532" t="s">
        <v>1403</v>
      </c>
      <c r="BE1532" s="3">
        <v>42061</v>
      </c>
      <c r="BF1532" s="1">
        <v>415000</v>
      </c>
      <c r="BG1532" t="s">
        <v>10443</v>
      </c>
      <c r="BH1532" s="1">
        <v>168.84</v>
      </c>
      <c r="BI1532" s="1">
        <v>415000</v>
      </c>
      <c r="BJ1532" s="3">
        <v>42061</v>
      </c>
      <c r="BK1532" t="s">
        <v>123</v>
      </c>
      <c r="BL1532" t="str">
        <f>"2015.127971"</f>
        <v>2015.127971</v>
      </c>
      <c r="BM1532" t="s">
        <v>3710</v>
      </c>
      <c r="BN1532" t="s">
        <v>10444</v>
      </c>
      <c r="BO1532" t="s">
        <v>10445</v>
      </c>
      <c r="BS1532">
        <v>30</v>
      </c>
      <c r="BT1532" s="1">
        <v>40535</v>
      </c>
      <c r="BU1532" s="3">
        <v>43620</v>
      </c>
      <c r="BW1532" t="str">
        <f>"2019.415189"</f>
        <v>2019.415189</v>
      </c>
      <c r="BX1532" t="s">
        <v>3538</v>
      </c>
      <c r="BY1532" t="s">
        <v>3539</v>
      </c>
      <c r="BZ1532" t="s">
        <v>10446</v>
      </c>
      <c r="CA1532" t="s">
        <v>10447</v>
      </c>
      <c r="CC1532" t="s">
        <v>346</v>
      </c>
      <c r="CH1532" t="str">
        <f>""</f>
        <v/>
      </c>
      <c r="CS1532" t="str">
        <f>""</f>
        <v/>
      </c>
    </row>
    <row r="1533" spans="1:97" x14ac:dyDescent="0.25">
      <c r="B1533" t="s">
        <v>10448</v>
      </c>
      <c r="C1533" t="s">
        <v>1289</v>
      </c>
      <c r="E1533" t="s">
        <v>10449</v>
      </c>
      <c r="F1533" t="s">
        <v>108</v>
      </c>
      <c r="H1533" t="s">
        <v>10450</v>
      </c>
      <c r="I1533" t="s">
        <v>203</v>
      </c>
      <c r="J1533" t="s">
        <v>111</v>
      </c>
      <c r="K1533" t="str">
        <f>"85298"</f>
        <v>85298</v>
      </c>
      <c r="L1533" t="s">
        <v>7243</v>
      </c>
      <c r="M1533" t="s">
        <v>10450</v>
      </c>
      <c r="N1533" t="s">
        <v>203</v>
      </c>
      <c r="O1533" t="s">
        <v>111</v>
      </c>
      <c r="P1533" t="str">
        <f>"85298-4015"</f>
        <v>85298-4015</v>
      </c>
      <c r="Q1533" t="s">
        <v>113</v>
      </c>
      <c r="R1533" t="str">
        <f>"304-78-770"</f>
        <v>304-78-770</v>
      </c>
      <c r="S1533" t="s">
        <v>10451</v>
      </c>
      <c r="T1533" t="s">
        <v>10452</v>
      </c>
      <c r="U1533">
        <v>2740</v>
      </c>
      <c r="V1533">
        <v>0</v>
      </c>
      <c r="W1533">
        <v>3</v>
      </c>
      <c r="X1533">
        <v>2001</v>
      </c>
      <c r="Z1533">
        <v>1</v>
      </c>
      <c r="AA1533" t="s">
        <v>26</v>
      </c>
      <c r="AB1533">
        <v>0</v>
      </c>
      <c r="AC1533" t="s">
        <v>115</v>
      </c>
      <c r="AD1533">
        <v>3</v>
      </c>
      <c r="AE1533" t="s">
        <v>115</v>
      </c>
      <c r="AF1533">
        <v>0</v>
      </c>
      <c r="AG1533">
        <v>0</v>
      </c>
      <c r="AH1533" t="s">
        <v>116</v>
      </c>
      <c r="AI1533" s="1">
        <v>53259</v>
      </c>
      <c r="AJ1533" s="2">
        <v>0.11</v>
      </c>
      <c r="AK1533" s="1">
        <v>499629</v>
      </c>
      <c r="AL1533" t="s">
        <v>117</v>
      </c>
      <c r="AM1533" t="s">
        <v>1302</v>
      </c>
      <c r="AN1533">
        <v>10400</v>
      </c>
      <c r="AO1533">
        <v>0.24</v>
      </c>
      <c r="AP1533">
        <v>1</v>
      </c>
      <c r="AR1533">
        <v>1</v>
      </c>
      <c r="AS1533" s="1">
        <v>32480</v>
      </c>
      <c r="AT1533" s="1">
        <v>6490</v>
      </c>
      <c r="AU1533" s="1">
        <v>25990</v>
      </c>
      <c r="AV1533">
        <v>80.02</v>
      </c>
      <c r="AX1533" s="1">
        <v>2980.36</v>
      </c>
      <c r="AY1533" t="s">
        <v>5875</v>
      </c>
      <c r="AZ1533" t="s">
        <v>1134</v>
      </c>
      <c r="BA1533" t="s">
        <v>1134</v>
      </c>
      <c r="BB1533" s="3">
        <v>43634</v>
      </c>
      <c r="BC1533" s="1">
        <v>0</v>
      </c>
      <c r="BD1533" t="s">
        <v>247</v>
      </c>
      <c r="BE1533" s="3">
        <v>41932</v>
      </c>
      <c r="BF1533" s="1">
        <v>387000</v>
      </c>
      <c r="BG1533" t="s">
        <v>10453</v>
      </c>
      <c r="BH1533" s="1">
        <v>141.24</v>
      </c>
      <c r="BI1533" s="1">
        <v>391370</v>
      </c>
      <c r="BJ1533" s="3">
        <v>42704</v>
      </c>
      <c r="BK1533" t="s">
        <v>123</v>
      </c>
      <c r="BL1533" t="str">
        <f>"2016.882700"</f>
        <v>2016.882700</v>
      </c>
      <c r="BM1533" t="s">
        <v>255</v>
      </c>
      <c r="BN1533" t="s">
        <v>2398</v>
      </c>
      <c r="BO1533" t="s">
        <v>10454</v>
      </c>
      <c r="BS1533">
        <v>30</v>
      </c>
      <c r="BT1533" s="1">
        <v>55000</v>
      </c>
      <c r="BU1533" s="3">
        <v>43068</v>
      </c>
      <c r="BW1533" t="str">
        <f>"2017.882272"</f>
        <v>2017.882272</v>
      </c>
      <c r="BX1533" t="s">
        <v>10455</v>
      </c>
      <c r="BY1533">
        <v>85225</v>
      </c>
      <c r="BZ1533" t="s">
        <v>10456</v>
      </c>
      <c r="CH1533" t="str">
        <f>""</f>
        <v/>
      </c>
      <c r="CS1533" t="str">
        <f>""</f>
        <v/>
      </c>
    </row>
    <row r="1534" spans="1:97" x14ac:dyDescent="0.25">
      <c r="A1534" t="s">
        <v>10457</v>
      </c>
      <c r="B1534" t="s">
        <v>10458</v>
      </c>
      <c r="C1534" t="s">
        <v>703</v>
      </c>
      <c r="D1534" t="s">
        <v>10458</v>
      </c>
      <c r="E1534" t="s">
        <v>10459</v>
      </c>
      <c r="F1534" t="s">
        <v>108</v>
      </c>
      <c r="H1534" t="s">
        <v>10460</v>
      </c>
      <c r="I1534" t="s">
        <v>390</v>
      </c>
      <c r="J1534" t="s">
        <v>111</v>
      </c>
      <c r="K1534" t="str">
        <f>"85085"</f>
        <v>85085</v>
      </c>
      <c r="L1534" t="s">
        <v>269</v>
      </c>
      <c r="M1534" t="s">
        <v>10460</v>
      </c>
      <c r="N1534" t="s">
        <v>390</v>
      </c>
      <c r="O1534" t="s">
        <v>111</v>
      </c>
      <c r="P1534" t="str">
        <f>"85085-5018"</f>
        <v>85085-5018</v>
      </c>
      <c r="Q1534" t="s">
        <v>113</v>
      </c>
      <c r="R1534" t="str">
        <f>"204-01-208"</f>
        <v>204-01-208</v>
      </c>
      <c r="S1534" t="s">
        <v>10461</v>
      </c>
      <c r="T1534" t="s">
        <v>10461</v>
      </c>
      <c r="U1534">
        <v>2872</v>
      </c>
      <c r="V1534">
        <v>0</v>
      </c>
      <c r="W1534">
        <v>4</v>
      </c>
      <c r="X1534">
        <v>2005</v>
      </c>
      <c r="Z1534">
        <v>1</v>
      </c>
      <c r="AB1534">
        <v>0</v>
      </c>
      <c r="AC1534" t="s">
        <v>115</v>
      </c>
      <c r="AD1534">
        <v>3</v>
      </c>
      <c r="AE1534" t="s">
        <v>115</v>
      </c>
      <c r="AF1534">
        <v>0</v>
      </c>
      <c r="AG1534">
        <v>0</v>
      </c>
      <c r="AH1534" t="s">
        <v>116</v>
      </c>
      <c r="AI1534" s="1">
        <v>66813</v>
      </c>
      <c r="AJ1534" s="2">
        <v>0.16</v>
      </c>
      <c r="AK1534" s="1">
        <v>424813</v>
      </c>
      <c r="AL1534" t="s">
        <v>117</v>
      </c>
      <c r="AM1534" t="s">
        <v>171</v>
      </c>
      <c r="AN1534">
        <v>8743</v>
      </c>
      <c r="AO1534">
        <v>0.2</v>
      </c>
      <c r="AR1534">
        <v>1</v>
      </c>
      <c r="AS1534" s="1">
        <v>31960</v>
      </c>
      <c r="AT1534" s="1">
        <v>6390</v>
      </c>
      <c r="AU1534" s="1">
        <v>25570</v>
      </c>
      <c r="AV1534">
        <v>80.010000000000005</v>
      </c>
      <c r="AX1534" s="1">
        <v>2746.12</v>
      </c>
      <c r="AY1534" t="s">
        <v>1587</v>
      </c>
      <c r="AZ1534" t="s">
        <v>1587</v>
      </c>
      <c r="BA1534" t="s">
        <v>1462</v>
      </c>
      <c r="BE1534" s="3">
        <v>42517</v>
      </c>
      <c r="BF1534" s="1">
        <v>358000</v>
      </c>
      <c r="BG1534" t="s">
        <v>10462</v>
      </c>
      <c r="BH1534" s="1">
        <v>124.65</v>
      </c>
      <c r="BI1534" s="1">
        <v>358000</v>
      </c>
      <c r="BJ1534" s="3">
        <v>42517</v>
      </c>
      <c r="BK1534" t="s">
        <v>123</v>
      </c>
      <c r="BL1534" t="str">
        <f>"2016.369482"</f>
        <v>2016.369482</v>
      </c>
      <c r="BM1534" t="s">
        <v>2472</v>
      </c>
      <c r="BO1534" t="s">
        <v>10463</v>
      </c>
      <c r="BS1534">
        <v>30</v>
      </c>
      <c r="BW1534" t="str">
        <f>""</f>
        <v/>
      </c>
      <c r="CH1534" t="str">
        <f>""</f>
        <v/>
      </c>
      <c r="CS1534" t="str">
        <f>""</f>
        <v/>
      </c>
    </row>
    <row r="1535" spans="1:97" x14ac:dyDescent="0.25">
      <c r="B1535" t="s">
        <v>10464</v>
      </c>
      <c r="E1535" t="s">
        <v>10464</v>
      </c>
      <c r="F1535" t="s">
        <v>108</v>
      </c>
      <c r="H1535" t="s">
        <v>10465</v>
      </c>
      <c r="I1535" t="s">
        <v>453</v>
      </c>
      <c r="J1535" t="s">
        <v>111</v>
      </c>
      <c r="K1535" t="str">
        <f>"85382"</f>
        <v>85382</v>
      </c>
      <c r="L1535" t="s">
        <v>2765</v>
      </c>
      <c r="M1535" t="s">
        <v>10465</v>
      </c>
      <c r="N1535" t="s">
        <v>453</v>
      </c>
      <c r="O1535" t="s">
        <v>111</v>
      </c>
      <c r="P1535" t="str">
        <f>"85382-4656"</f>
        <v>85382-4656</v>
      </c>
      <c r="Q1535" t="s">
        <v>113</v>
      </c>
      <c r="R1535" t="str">
        <f>"231-12-179"</f>
        <v>231-12-179</v>
      </c>
      <c r="S1535" t="s">
        <v>10466</v>
      </c>
      <c r="T1535" t="s">
        <v>10467</v>
      </c>
      <c r="U1535">
        <v>1883</v>
      </c>
      <c r="V1535">
        <v>0</v>
      </c>
      <c r="W1535">
        <v>3</v>
      </c>
      <c r="X1535">
        <v>1996</v>
      </c>
      <c r="Z1535">
        <v>1</v>
      </c>
      <c r="AB1535">
        <v>0</v>
      </c>
      <c r="AC1535" t="s">
        <v>115</v>
      </c>
      <c r="AD1535">
        <v>2</v>
      </c>
      <c r="AE1535" t="s">
        <v>115</v>
      </c>
      <c r="AF1535">
        <v>0</v>
      </c>
      <c r="AG1535">
        <v>0</v>
      </c>
      <c r="AH1535" t="s">
        <v>116</v>
      </c>
      <c r="AI1535" s="1">
        <v>70802</v>
      </c>
      <c r="AJ1535" s="2">
        <v>0.22</v>
      </c>
      <c r="AK1535" s="1">
        <v>320482</v>
      </c>
      <c r="AL1535" t="s">
        <v>117</v>
      </c>
      <c r="AM1535" t="s">
        <v>118</v>
      </c>
      <c r="AN1535">
        <v>7441</v>
      </c>
      <c r="AO1535">
        <v>0.17</v>
      </c>
      <c r="AP1535">
        <v>1</v>
      </c>
      <c r="AR1535">
        <v>1</v>
      </c>
      <c r="AS1535" s="1">
        <v>22970</v>
      </c>
      <c r="AT1535" s="1">
        <v>4590</v>
      </c>
      <c r="AU1535" s="1">
        <v>18380</v>
      </c>
      <c r="AV1535">
        <v>80.02</v>
      </c>
      <c r="AX1535" s="1">
        <v>2219.3200000000002</v>
      </c>
      <c r="AY1535" t="s">
        <v>7828</v>
      </c>
      <c r="AZ1535" t="s">
        <v>7828</v>
      </c>
      <c r="BA1535" t="s">
        <v>4219</v>
      </c>
      <c r="BB1535" s="3">
        <v>42517</v>
      </c>
      <c r="BD1535" t="s">
        <v>458</v>
      </c>
      <c r="BE1535" s="3">
        <v>42307</v>
      </c>
      <c r="BF1535" s="1">
        <v>240000</v>
      </c>
      <c r="BG1535" t="s">
        <v>10468</v>
      </c>
      <c r="BH1535" s="1">
        <v>127.46</v>
      </c>
      <c r="BI1535" s="1">
        <v>249680</v>
      </c>
      <c r="BJ1535" s="3">
        <v>42517</v>
      </c>
      <c r="BK1535" t="s">
        <v>123</v>
      </c>
      <c r="BL1535" t="str">
        <f>"2016.368063"</f>
        <v>2016.368063</v>
      </c>
      <c r="BM1535" t="s">
        <v>544</v>
      </c>
      <c r="BO1535" t="s">
        <v>10469</v>
      </c>
      <c r="BS1535">
        <v>30</v>
      </c>
      <c r="BW1535" t="str">
        <f>""</f>
        <v/>
      </c>
      <c r="CH1535" t="str">
        <f>""</f>
        <v/>
      </c>
      <c r="CS1535" t="str">
        <f>""</f>
        <v/>
      </c>
    </row>
    <row r="1536" spans="1:97" x14ac:dyDescent="0.25">
      <c r="A1536" t="s">
        <v>10470</v>
      </c>
      <c r="B1536" t="s">
        <v>10471</v>
      </c>
      <c r="E1536" t="s">
        <v>10472</v>
      </c>
      <c r="F1536" t="s">
        <v>108</v>
      </c>
      <c r="H1536" t="s">
        <v>10473</v>
      </c>
      <c r="I1536" t="s">
        <v>2874</v>
      </c>
      <c r="J1536" t="s">
        <v>111</v>
      </c>
      <c r="K1536" t="str">
        <f>"85305"</f>
        <v>85305</v>
      </c>
      <c r="L1536" t="s">
        <v>10474</v>
      </c>
      <c r="M1536" t="s">
        <v>10473</v>
      </c>
      <c r="N1536" t="s">
        <v>2874</v>
      </c>
      <c r="O1536" t="s">
        <v>111</v>
      </c>
      <c r="P1536" t="str">
        <f>"85305-3941"</f>
        <v>85305-3941</v>
      </c>
      <c r="Q1536" t="s">
        <v>113</v>
      </c>
      <c r="R1536" t="str">
        <f>"142-28-268"</f>
        <v>142-28-268</v>
      </c>
      <c r="S1536" t="s">
        <v>10475</v>
      </c>
      <c r="T1536" t="s">
        <v>10475</v>
      </c>
      <c r="U1536">
        <v>2841</v>
      </c>
      <c r="V1536">
        <v>0</v>
      </c>
      <c r="W1536">
        <v>4</v>
      </c>
      <c r="X1536">
        <v>2005</v>
      </c>
      <c r="Z1536">
        <v>1</v>
      </c>
      <c r="AB1536">
        <v>0</v>
      </c>
      <c r="AC1536" t="s">
        <v>115</v>
      </c>
      <c r="AD1536">
        <v>3</v>
      </c>
      <c r="AE1536" t="s">
        <v>115</v>
      </c>
      <c r="AF1536">
        <v>0</v>
      </c>
      <c r="AG1536">
        <v>0</v>
      </c>
      <c r="AH1536" t="s">
        <v>116</v>
      </c>
      <c r="AI1536" s="1">
        <v>44177</v>
      </c>
      <c r="AJ1536" s="2">
        <v>0.12</v>
      </c>
      <c r="AK1536" s="1">
        <v>377177</v>
      </c>
      <c r="AL1536" t="s">
        <v>117</v>
      </c>
      <c r="AM1536" t="s">
        <v>171</v>
      </c>
      <c r="AN1536">
        <v>9000</v>
      </c>
      <c r="AO1536">
        <v>0.21</v>
      </c>
      <c r="AR1536">
        <v>1</v>
      </c>
      <c r="AS1536" s="1">
        <v>29200</v>
      </c>
      <c r="AT1536" s="1">
        <v>5840</v>
      </c>
      <c r="AU1536" s="1">
        <v>23360</v>
      </c>
      <c r="AV1536">
        <v>80</v>
      </c>
      <c r="AX1536" s="1">
        <v>2172.8200000000002</v>
      </c>
      <c r="AY1536" t="s">
        <v>6944</v>
      </c>
      <c r="AZ1536" t="s">
        <v>6944</v>
      </c>
      <c r="BA1536" t="s">
        <v>6945</v>
      </c>
      <c r="BB1536" s="3">
        <v>43637</v>
      </c>
      <c r="BC1536" s="1">
        <v>0</v>
      </c>
      <c r="BD1536" t="s">
        <v>247</v>
      </c>
      <c r="BE1536" s="3">
        <v>41822</v>
      </c>
      <c r="BF1536" s="1">
        <v>285000</v>
      </c>
      <c r="BG1536" t="s">
        <v>10476</v>
      </c>
      <c r="BH1536" s="1">
        <v>100.32</v>
      </c>
      <c r="BI1536" s="1">
        <v>333000</v>
      </c>
      <c r="BJ1536" s="3">
        <v>43637</v>
      </c>
      <c r="BK1536" t="s">
        <v>123</v>
      </c>
      <c r="BL1536" t="str">
        <f>"2019.467530"</f>
        <v>2019.467530</v>
      </c>
      <c r="BM1536" t="s">
        <v>1038</v>
      </c>
      <c r="BN1536" t="s">
        <v>1624</v>
      </c>
      <c r="BO1536" t="s">
        <v>10472</v>
      </c>
      <c r="BR1536" t="s">
        <v>139</v>
      </c>
      <c r="BW1536" t="str">
        <f>""</f>
        <v/>
      </c>
      <c r="CH1536" t="str">
        <f>""</f>
        <v/>
      </c>
      <c r="CS1536" t="str">
        <f>""</f>
        <v/>
      </c>
    </row>
    <row r="1537" spans="1:97" x14ac:dyDescent="0.25">
      <c r="A1537" t="s">
        <v>7387</v>
      </c>
      <c r="B1537" t="s">
        <v>10477</v>
      </c>
      <c r="C1537" t="s">
        <v>3958</v>
      </c>
      <c r="D1537" t="s">
        <v>10477</v>
      </c>
      <c r="E1537" t="s">
        <v>10478</v>
      </c>
      <c r="F1537" t="s">
        <v>108</v>
      </c>
      <c r="H1537" t="s">
        <v>10479</v>
      </c>
      <c r="I1537" t="s">
        <v>632</v>
      </c>
      <c r="J1537" t="s">
        <v>111</v>
      </c>
      <c r="K1537" t="str">
        <f>"85379"</f>
        <v>85379</v>
      </c>
      <c r="L1537" t="s">
        <v>375</v>
      </c>
      <c r="M1537" t="s">
        <v>10479</v>
      </c>
      <c r="N1537" t="s">
        <v>632</v>
      </c>
      <c r="O1537" t="s">
        <v>111</v>
      </c>
      <c r="P1537" t="str">
        <f>"85379-8120"</f>
        <v>85379-8120</v>
      </c>
      <c r="Q1537" t="s">
        <v>113</v>
      </c>
      <c r="R1537" t="str">
        <f>"509-15-848"</f>
        <v>509-15-848</v>
      </c>
      <c r="S1537" t="s">
        <v>10480</v>
      </c>
      <c r="U1537">
        <v>2527</v>
      </c>
      <c r="V1537">
        <v>0</v>
      </c>
      <c r="W1537">
        <v>4</v>
      </c>
      <c r="X1537">
        <v>2015</v>
      </c>
      <c r="Z1537">
        <v>1</v>
      </c>
      <c r="AB1537">
        <v>0</v>
      </c>
      <c r="AC1537" t="s">
        <v>115</v>
      </c>
      <c r="AD1537">
        <v>3</v>
      </c>
      <c r="AE1537" t="s">
        <v>115</v>
      </c>
      <c r="AF1537">
        <v>0</v>
      </c>
      <c r="AG1537">
        <v>0</v>
      </c>
      <c r="AH1537" t="s">
        <v>116</v>
      </c>
      <c r="AI1537" s="1">
        <v>28577</v>
      </c>
      <c r="AJ1537" s="2">
        <v>0.08</v>
      </c>
      <c r="AK1537" s="1">
        <v>346375</v>
      </c>
      <c r="AL1537" t="s">
        <v>117</v>
      </c>
      <c r="AM1537" t="s">
        <v>118</v>
      </c>
      <c r="AN1537">
        <v>8400</v>
      </c>
      <c r="AO1537">
        <v>0.19</v>
      </c>
      <c r="AR1537">
        <v>1</v>
      </c>
      <c r="AS1537" s="1">
        <v>26550</v>
      </c>
      <c r="AT1537" s="1">
        <v>5310</v>
      </c>
      <c r="AU1537" s="1">
        <v>21240</v>
      </c>
      <c r="AV1537">
        <v>80</v>
      </c>
      <c r="AX1537" s="1">
        <v>2972.04</v>
      </c>
      <c r="AY1537" t="s">
        <v>634</v>
      </c>
      <c r="AZ1537" t="s">
        <v>634</v>
      </c>
      <c r="BA1537" t="s">
        <v>635</v>
      </c>
      <c r="BE1537" s="3">
        <v>42215</v>
      </c>
      <c r="BF1537" s="1">
        <v>307646</v>
      </c>
      <c r="BG1537" t="s">
        <v>158</v>
      </c>
      <c r="BH1537" s="1">
        <v>121.74</v>
      </c>
      <c r="BI1537" s="1">
        <v>317798</v>
      </c>
      <c r="BJ1537" s="3">
        <v>42215</v>
      </c>
      <c r="BK1537" t="s">
        <v>123</v>
      </c>
      <c r="BL1537" t="str">
        <f>"2015.552181"</f>
        <v>2015.552181</v>
      </c>
      <c r="BM1537" t="s">
        <v>241</v>
      </c>
      <c r="BO1537" t="s">
        <v>10481</v>
      </c>
      <c r="BS1537">
        <v>30</v>
      </c>
      <c r="BW1537" t="str">
        <f>""</f>
        <v/>
      </c>
      <c r="CH1537" t="str">
        <f>""</f>
        <v/>
      </c>
      <c r="CS1537" t="str">
        <f>""</f>
        <v/>
      </c>
    </row>
    <row r="1538" spans="1:97" x14ac:dyDescent="0.25">
      <c r="A1538" t="s">
        <v>701</v>
      </c>
      <c r="B1538" t="s">
        <v>10482</v>
      </c>
      <c r="C1538" t="s">
        <v>4515</v>
      </c>
      <c r="D1538" t="s">
        <v>1423</v>
      </c>
      <c r="E1538" t="s">
        <v>10483</v>
      </c>
      <c r="F1538" t="s">
        <v>108</v>
      </c>
      <c r="H1538" t="s">
        <v>10484</v>
      </c>
      <c r="I1538" t="s">
        <v>2874</v>
      </c>
      <c r="J1538" t="s">
        <v>111</v>
      </c>
      <c r="K1538" t="str">
        <f>"85302"</f>
        <v>85302</v>
      </c>
      <c r="L1538" t="s">
        <v>3982</v>
      </c>
      <c r="M1538" t="s">
        <v>10484</v>
      </c>
      <c r="N1538" t="s">
        <v>2874</v>
      </c>
      <c r="O1538" t="s">
        <v>111</v>
      </c>
      <c r="P1538" t="str">
        <f>"85302-1319"</f>
        <v>85302-1319</v>
      </c>
      <c r="Q1538" t="s">
        <v>113</v>
      </c>
      <c r="R1538" t="str">
        <f>"148-23-514"</f>
        <v>148-23-514</v>
      </c>
      <c r="S1538" t="s">
        <v>10485</v>
      </c>
      <c r="T1538" t="s">
        <v>10485</v>
      </c>
      <c r="U1538">
        <v>1969</v>
      </c>
      <c r="V1538">
        <v>0</v>
      </c>
      <c r="W1538">
        <v>3</v>
      </c>
      <c r="X1538">
        <v>1994</v>
      </c>
      <c r="Z1538">
        <v>1</v>
      </c>
      <c r="AB1538">
        <v>0</v>
      </c>
      <c r="AC1538" t="s">
        <v>115</v>
      </c>
      <c r="AD1538">
        <v>2</v>
      </c>
      <c r="AE1538" t="s">
        <v>115</v>
      </c>
      <c r="AF1538">
        <v>0</v>
      </c>
      <c r="AG1538">
        <v>0</v>
      </c>
      <c r="AH1538" t="s">
        <v>116</v>
      </c>
      <c r="AI1538" s="1">
        <v>69342</v>
      </c>
      <c r="AJ1538" s="2">
        <v>0.23</v>
      </c>
      <c r="AK1538" s="1">
        <v>299242</v>
      </c>
      <c r="AL1538" t="s">
        <v>117</v>
      </c>
      <c r="AM1538" t="s">
        <v>393</v>
      </c>
      <c r="AN1538">
        <v>6643</v>
      </c>
      <c r="AO1538">
        <v>0.15</v>
      </c>
      <c r="AP1538">
        <v>1</v>
      </c>
      <c r="AR1538">
        <v>1</v>
      </c>
      <c r="AS1538" s="1">
        <v>20420</v>
      </c>
      <c r="AT1538" s="1">
        <v>4080</v>
      </c>
      <c r="AU1538" s="1">
        <v>16340</v>
      </c>
      <c r="AV1538">
        <v>80.02</v>
      </c>
      <c r="AX1538" s="1">
        <v>1386.6</v>
      </c>
      <c r="AY1538" t="s">
        <v>8680</v>
      </c>
      <c r="AZ1538" t="s">
        <v>8680</v>
      </c>
      <c r="BA1538" t="s">
        <v>8681</v>
      </c>
      <c r="BE1538" s="3">
        <v>42152</v>
      </c>
      <c r="BF1538" s="1">
        <v>229900</v>
      </c>
      <c r="BG1538" t="s">
        <v>10486</v>
      </c>
      <c r="BH1538" s="1">
        <v>116.82</v>
      </c>
      <c r="BI1538" s="1">
        <v>229900</v>
      </c>
      <c r="BJ1538" s="3">
        <v>42152</v>
      </c>
      <c r="BK1538" t="s">
        <v>123</v>
      </c>
      <c r="BL1538" t="str">
        <f>"2015.378268"</f>
        <v>2015.378268</v>
      </c>
      <c r="BM1538" t="s">
        <v>3810</v>
      </c>
      <c r="BO1538" t="s">
        <v>10487</v>
      </c>
      <c r="BS1538">
        <v>30</v>
      </c>
      <c r="BW1538" t="str">
        <f>""</f>
        <v/>
      </c>
      <c r="CH1538" t="str">
        <f>""</f>
        <v/>
      </c>
      <c r="CS1538" t="str">
        <f>""</f>
        <v/>
      </c>
    </row>
    <row r="1539" spans="1:97" x14ac:dyDescent="0.25">
      <c r="A1539" t="s">
        <v>996</v>
      </c>
      <c r="B1539" t="s">
        <v>10488</v>
      </c>
      <c r="E1539" t="s">
        <v>10489</v>
      </c>
      <c r="F1539" t="s">
        <v>108</v>
      </c>
      <c r="H1539" t="s">
        <v>10490</v>
      </c>
      <c r="I1539" t="s">
        <v>632</v>
      </c>
      <c r="J1539" t="s">
        <v>111</v>
      </c>
      <c r="K1539" t="str">
        <f>"85374"</f>
        <v>85374</v>
      </c>
      <c r="L1539" t="s">
        <v>10491</v>
      </c>
      <c r="M1539" t="s">
        <v>10490</v>
      </c>
      <c r="N1539" t="s">
        <v>632</v>
      </c>
      <c r="O1539" t="s">
        <v>111</v>
      </c>
      <c r="P1539" t="str">
        <f>"85374-6415"</f>
        <v>85374-6415</v>
      </c>
      <c r="Q1539" t="s">
        <v>113</v>
      </c>
      <c r="R1539" t="str">
        <f>"232-38-355"</f>
        <v>232-38-355</v>
      </c>
      <c r="S1539" t="s">
        <v>10492</v>
      </c>
      <c r="T1539" t="s">
        <v>10492</v>
      </c>
      <c r="U1539">
        <v>1616</v>
      </c>
      <c r="V1539">
        <v>0</v>
      </c>
      <c r="W1539">
        <v>3</v>
      </c>
      <c r="X1539">
        <v>1999</v>
      </c>
      <c r="Z1539">
        <v>1</v>
      </c>
      <c r="AB1539">
        <v>0</v>
      </c>
      <c r="AC1539" t="s">
        <v>115</v>
      </c>
      <c r="AD1539">
        <v>2</v>
      </c>
      <c r="AE1539" t="s">
        <v>115</v>
      </c>
      <c r="AF1539">
        <v>0</v>
      </c>
      <c r="AG1539">
        <v>0</v>
      </c>
      <c r="AH1539" t="s">
        <v>116</v>
      </c>
      <c r="AI1539" s="1">
        <v>81693</v>
      </c>
      <c r="AJ1539" s="2">
        <v>0.27</v>
      </c>
      <c r="AK1539" s="1">
        <v>298170</v>
      </c>
      <c r="AL1539" t="s">
        <v>117</v>
      </c>
      <c r="AM1539" t="s">
        <v>118</v>
      </c>
      <c r="AN1539">
        <v>8460</v>
      </c>
      <c r="AO1539">
        <v>0.19</v>
      </c>
      <c r="AP1539">
        <v>1</v>
      </c>
      <c r="AR1539">
        <v>1</v>
      </c>
      <c r="AS1539" s="1">
        <v>20300</v>
      </c>
      <c r="AT1539" s="1">
        <v>4060</v>
      </c>
      <c r="AU1539" s="1">
        <v>16240</v>
      </c>
      <c r="AV1539">
        <v>80</v>
      </c>
      <c r="AX1539" s="1">
        <v>2059.42</v>
      </c>
      <c r="AY1539" t="s">
        <v>5108</v>
      </c>
      <c r="AZ1539" t="s">
        <v>5108</v>
      </c>
      <c r="BA1539" t="s">
        <v>5109</v>
      </c>
      <c r="BE1539" s="3">
        <v>42283</v>
      </c>
      <c r="BF1539" s="1">
        <v>235000</v>
      </c>
      <c r="BG1539" t="s">
        <v>10493</v>
      </c>
      <c r="BH1539" s="1">
        <v>145.41999999999999</v>
      </c>
      <c r="BI1539" s="1">
        <v>216477</v>
      </c>
      <c r="BJ1539" s="3">
        <v>42583</v>
      </c>
      <c r="BK1539" t="s">
        <v>123</v>
      </c>
      <c r="BL1539" t="str">
        <f>"2016.546759"</f>
        <v>2016.546759</v>
      </c>
      <c r="BM1539" t="s">
        <v>673</v>
      </c>
      <c r="BO1539" t="s">
        <v>10494</v>
      </c>
      <c r="BS1539">
        <v>30</v>
      </c>
      <c r="BW1539" t="str">
        <f>""</f>
        <v/>
      </c>
      <c r="CH1539" t="str">
        <f>""</f>
        <v/>
      </c>
      <c r="CS1539" t="str">
        <f>""</f>
        <v/>
      </c>
    </row>
    <row r="1540" spans="1:97" x14ac:dyDescent="0.25">
      <c r="A1540" t="s">
        <v>140</v>
      </c>
      <c r="B1540" t="s">
        <v>10495</v>
      </c>
      <c r="C1540" t="s">
        <v>1162</v>
      </c>
      <c r="D1540" t="s">
        <v>10495</v>
      </c>
      <c r="E1540" t="s">
        <v>10496</v>
      </c>
      <c r="F1540" t="s">
        <v>108</v>
      </c>
      <c r="H1540" t="s">
        <v>10497</v>
      </c>
      <c r="I1540" t="s">
        <v>203</v>
      </c>
      <c r="J1540" t="s">
        <v>111</v>
      </c>
      <c r="K1540" t="str">
        <f>"85295"</f>
        <v>85295</v>
      </c>
      <c r="L1540" t="s">
        <v>5496</v>
      </c>
      <c r="M1540" t="s">
        <v>10497</v>
      </c>
      <c r="N1540" t="s">
        <v>203</v>
      </c>
      <c r="O1540" t="s">
        <v>111</v>
      </c>
      <c r="P1540" t="str">
        <f>"85295"</f>
        <v>85295</v>
      </c>
      <c r="Q1540" t="s">
        <v>113</v>
      </c>
      <c r="R1540" t="str">
        <f>"313-13-588"</f>
        <v>313-13-588</v>
      </c>
      <c r="S1540" t="s">
        <v>10498</v>
      </c>
      <c r="U1540">
        <v>2780</v>
      </c>
      <c r="V1540">
        <v>0</v>
      </c>
      <c r="W1540">
        <v>4</v>
      </c>
      <c r="X1540">
        <v>2015</v>
      </c>
      <c r="Z1540">
        <v>2</v>
      </c>
      <c r="AB1540">
        <v>0</v>
      </c>
      <c r="AC1540" t="s">
        <v>115</v>
      </c>
      <c r="AD1540">
        <v>2</v>
      </c>
      <c r="AE1540" t="s">
        <v>115</v>
      </c>
      <c r="AF1540">
        <v>0</v>
      </c>
      <c r="AG1540">
        <v>0</v>
      </c>
      <c r="AH1540" t="s">
        <v>116</v>
      </c>
      <c r="AI1540" s="1">
        <v>74646</v>
      </c>
      <c r="AJ1540" s="2">
        <v>0.19</v>
      </c>
      <c r="AK1540" s="1">
        <v>394876</v>
      </c>
      <c r="AL1540" t="s">
        <v>117</v>
      </c>
      <c r="AM1540" t="s">
        <v>288</v>
      </c>
      <c r="AN1540">
        <v>6776</v>
      </c>
      <c r="AO1540">
        <v>0.16</v>
      </c>
      <c r="AR1540">
        <v>1</v>
      </c>
      <c r="AS1540" s="1">
        <v>28550</v>
      </c>
      <c r="AT1540" s="1">
        <v>5710</v>
      </c>
      <c r="AU1540" s="1">
        <v>22840</v>
      </c>
      <c r="AV1540">
        <v>80</v>
      </c>
      <c r="AX1540" s="1">
        <v>2503.14</v>
      </c>
      <c r="AY1540" t="s">
        <v>5094</v>
      </c>
      <c r="AZ1540" t="s">
        <v>5094</v>
      </c>
      <c r="BA1540" t="s">
        <v>473</v>
      </c>
      <c r="BE1540" s="3">
        <v>42145</v>
      </c>
      <c r="BF1540" s="1">
        <v>310000</v>
      </c>
      <c r="BG1540" t="s">
        <v>209</v>
      </c>
      <c r="BH1540" s="1">
        <v>111.51</v>
      </c>
      <c r="BI1540" s="1">
        <v>320230</v>
      </c>
      <c r="BJ1540" s="3">
        <v>42145</v>
      </c>
      <c r="BK1540" t="s">
        <v>123</v>
      </c>
      <c r="BL1540" t="str">
        <f>"2015.360699"</f>
        <v>2015.360699</v>
      </c>
      <c r="BM1540" t="s">
        <v>10499</v>
      </c>
      <c r="BO1540" t="s">
        <v>10500</v>
      </c>
      <c r="BS1540">
        <v>30</v>
      </c>
      <c r="BW1540" t="str">
        <f>""</f>
        <v/>
      </c>
      <c r="CH1540" t="str">
        <f>""</f>
        <v/>
      </c>
      <c r="CS1540" t="str">
        <f>""</f>
        <v/>
      </c>
    </row>
    <row r="1541" spans="1:97" x14ac:dyDescent="0.25">
      <c r="A1541" t="s">
        <v>494</v>
      </c>
      <c r="B1541" t="s">
        <v>10501</v>
      </c>
      <c r="E1541" t="s">
        <v>10502</v>
      </c>
      <c r="F1541" t="s">
        <v>108</v>
      </c>
      <c r="H1541" t="s">
        <v>10503</v>
      </c>
      <c r="I1541" t="s">
        <v>9186</v>
      </c>
      <c r="J1541" t="s">
        <v>111</v>
      </c>
      <c r="K1541" t="str">
        <f>"85377"</f>
        <v>85377</v>
      </c>
      <c r="M1541" t="s">
        <v>10503</v>
      </c>
      <c r="N1541" t="s">
        <v>9186</v>
      </c>
      <c r="O1541" t="s">
        <v>111</v>
      </c>
      <c r="P1541" t="str">
        <f>"85377"</f>
        <v>85377</v>
      </c>
      <c r="Q1541" t="s">
        <v>113</v>
      </c>
      <c r="R1541" t="str">
        <f>"219-11-309"</f>
        <v>219-11-309</v>
      </c>
      <c r="S1541" t="s">
        <v>10504</v>
      </c>
      <c r="T1541" t="s">
        <v>10505</v>
      </c>
      <c r="U1541">
        <v>3136</v>
      </c>
      <c r="V1541">
        <v>0</v>
      </c>
      <c r="W1541">
        <v>4</v>
      </c>
      <c r="X1541">
        <v>1998</v>
      </c>
      <c r="Z1541">
        <v>1</v>
      </c>
      <c r="AB1541">
        <v>0</v>
      </c>
      <c r="AC1541" t="s">
        <v>115</v>
      </c>
      <c r="AD1541">
        <v>3</v>
      </c>
      <c r="AE1541" t="s">
        <v>115</v>
      </c>
      <c r="AF1541">
        <v>0</v>
      </c>
      <c r="AG1541">
        <v>0</v>
      </c>
      <c r="AH1541" t="s">
        <v>116</v>
      </c>
      <c r="AI1541" s="1">
        <v>14735</v>
      </c>
      <c r="AJ1541" s="2">
        <v>0.02</v>
      </c>
      <c r="AK1541" s="1">
        <v>825950</v>
      </c>
      <c r="AL1541" t="s">
        <v>117</v>
      </c>
      <c r="AM1541" t="s">
        <v>376</v>
      </c>
      <c r="AN1541">
        <v>48364</v>
      </c>
      <c r="AO1541">
        <v>1.1100000000000001</v>
      </c>
      <c r="AP1541">
        <v>1</v>
      </c>
      <c r="AR1541">
        <v>1</v>
      </c>
      <c r="AS1541" s="1">
        <v>53250</v>
      </c>
      <c r="AT1541" s="1">
        <v>10650</v>
      </c>
      <c r="AU1541" s="1">
        <v>42600</v>
      </c>
      <c r="AV1541">
        <v>80</v>
      </c>
      <c r="AX1541" s="1">
        <v>2440.1799999999998</v>
      </c>
      <c r="AY1541" t="s">
        <v>7359</v>
      </c>
      <c r="AZ1541" t="s">
        <v>1402</v>
      </c>
      <c r="BA1541" t="s">
        <v>1403</v>
      </c>
      <c r="BB1541" s="3">
        <v>43053</v>
      </c>
      <c r="BD1541" t="s">
        <v>157</v>
      </c>
      <c r="BE1541" s="3">
        <v>42275</v>
      </c>
      <c r="BF1541" s="1">
        <v>818000</v>
      </c>
      <c r="BG1541" t="s">
        <v>10506</v>
      </c>
      <c r="BH1541" s="1">
        <v>260.83999999999997</v>
      </c>
      <c r="BI1541" s="1">
        <v>726215</v>
      </c>
      <c r="BJ1541" s="3">
        <v>42275</v>
      </c>
      <c r="BK1541" t="s">
        <v>123</v>
      </c>
      <c r="BL1541" t="str">
        <f>"2015.695869"</f>
        <v>2015.695869</v>
      </c>
      <c r="BM1541" t="s">
        <v>10507</v>
      </c>
      <c r="BN1541" t="s">
        <v>10508</v>
      </c>
      <c r="BO1541" t="s">
        <v>10509</v>
      </c>
      <c r="BS1541">
        <v>30</v>
      </c>
      <c r="BT1541" s="1">
        <v>85000</v>
      </c>
      <c r="BU1541" s="3">
        <v>43692</v>
      </c>
      <c r="BV1541" t="s">
        <v>134</v>
      </c>
      <c r="BW1541" t="str">
        <f>"2019.628109"</f>
        <v>2019.628109</v>
      </c>
      <c r="BX1541" t="s">
        <v>10510</v>
      </c>
      <c r="BY1541" t="s">
        <v>10511</v>
      </c>
      <c r="BZ1541" t="s">
        <v>10512</v>
      </c>
      <c r="CC1541" t="s">
        <v>139</v>
      </c>
      <c r="CH1541" t="str">
        <f>""</f>
        <v/>
      </c>
      <c r="CS1541" t="str">
        <f>""</f>
        <v/>
      </c>
    </row>
    <row r="1542" spans="1:97" x14ac:dyDescent="0.25">
      <c r="A1542" t="s">
        <v>589</v>
      </c>
      <c r="B1542" t="s">
        <v>10513</v>
      </c>
      <c r="C1542" t="s">
        <v>104</v>
      </c>
      <c r="D1542" t="s">
        <v>10513</v>
      </c>
      <c r="E1542" t="s">
        <v>10514</v>
      </c>
      <c r="F1542" t="s">
        <v>108</v>
      </c>
      <c r="H1542" t="s">
        <v>10515</v>
      </c>
      <c r="I1542" t="s">
        <v>499</v>
      </c>
      <c r="J1542" t="s">
        <v>111</v>
      </c>
      <c r="K1542" t="str">
        <f>"85395"</f>
        <v>85395</v>
      </c>
      <c r="L1542" t="s">
        <v>3885</v>
      </c>
      <c r="M1542" t="s">
        <v>10515</v>
      </c>
      <c r="N1542" t="s">
        <v>499</v>
      </c>
      <c r="O1542" t="s">
        <v>111</v>
      </c>
      <c r="P1542" t="str">
        <f>"85395-1470"</f>
        <v>85395-1470</v>
      </c>
      <c r="Q1542" t="s">
        <v>113</v>
      </c>
      <c r="R1542" t="str">
        <f>"501-76-730"</f>
        <v>501-76-730</v>
      </c>
      <c r="S1542" t="s">
        <v>10516</v>
      </c>
      <c r="T1542" t="s">
        <v>10517</v>
      </c>
      <c r="U1542">
        <v>3496</v>
      </c>
      <c r="V1542">
        <v>0</v>
      </c>
      <c r="W1542">
        <v>5</v>
      </c>
      <c r="X1542">
        <v>2004</v>
      </c>
      <c r="Z1542">
        <v>2</v>
      </c>
      <c r="AA1542" t="s">
        <v>26</v>
      </c>
      <c r="AB1542">
        <v>0</v>
      </c>
      <c r="AC1542" t="s">
        <v>115</v>
      </c>
      <c r="AD1542">
        <v>3</v>
      </c>
      <c r="AE1542" t="s">
        <v>115</v>
      </c>
      <c r="AF1542">
        <v>0</v>
      </c>
      <c r="AG1542">
        <v>0</v>
      </c>
      <c r="AH1542" t="s">
        <v>116</v>
      </c>
      <c r="AI1542" s="1">
        <v>75057</v>
      </c>
      <c r="AJ1542" s="2">
        <v>0.18</v>
      </c>
      <c r="AK1542" s="1">
        <v>427057</v>
      </c>
      <c r="AL1542" t="s">
        <v>117</v>
      </c>
      <c r="AM1542" t="s">
        <v>118</v>
      </c>
      <c r="AN1542">
        <v>9450</v>
      </c>
      <c r="AO1542">
        <v>0.22</v>
      </c>
      <c r="AP1542">
        <v>1</v>
      </c>
      <c r="AR1542">
        <v>1</v>
      </c>
      <c r="AS1542" s="1">
        <v>31180</v>
      </c>
      <c r="AT1542" s="1">
        <v>6230</v>
      </c>
      <c r="AU1542" s="1">
        <v>24950</v>
      </c>
      <c r="AV1542">
        <v>80.02</v>
      </c>
      <c r="AX1542" s="1">
        <v>3625.44</v>
      </c>
      <c r="AY1542" t="s">
        <v>6796</v>
      </c>
      <c r="AZ1542" t="s">
        <v>6796</v>
      </c>
      <c r="BA1542" t="s">
        <v>7186</v>
      </c>
      <c r="BE1542" s="3">
        <v>42283</v>
      </c>
      <c r="BF1542" s="1">
        <v>352000</v>
      </c>
      <c r="BG1542" t="s">
        <v>10518</v>
      </c>
      <c r="BH1542" s="1">
        <v>100.69</v>
      </c>
      <c r="BI1542" s="1">
        <v>352000</v>
      </c>
      <c r="BJ1542" s="3">
        <v>42283</v>
      </c>
      <c r="BK1542" t="s">
        <v>123</v>
      </c>
      <c r="BL1542" t="str">
        <f>"2015.719058"</f>
        <v>2015.719058</v>
      </c>
      <c r="BM1542" t="s">
        <v>5534</v>
      </c>
      <c r="BO1542" t="s">
        <v>10519</v>
      </c>
      <c r="BS1542">
        <v>30</v>
      </c>
      <c r="BW1542" t="str">
        <f>""</f>
        <v/>
      </c>
      <c r="CH1542" t="str">
        <f>""</f>
        <v/>
      </c>
      <c r="CS1542" t="str">
        <f>""</f>
        <v/>
      </c>
    </row>
    <row r="1543" spans="1:97" x14ac:dyDescent="0.25">
      <c r="A1543" t="s">
        <v>701</v>
      </c>
      <c r="B1543" t="s">
        <v>10520</v>
      </c>
      <c r="C1543" t="s">
        <v>1252</v>
      </c>
      <c r="D1543" t="s">
        <v>10520</v>
      </c>
      <c r="E1543" t="s">
        <v>10521</v>
      </c>
      <c r="F1543" t="s">
        <v>108</v>
      </c>
      <c r="H1543" t="s">
        <v>10522</v>
      </c>
      <c r="I1543" t="s">
        <v>225</v>
      </c>
      <c r="J1543" t="s">
        <v>111</v>
      </c>
      <c r="K1543" t="str">
        <f>"85209"</f>
        <v>85209</v>
      </c>
      <c r="L1543" t="s">
        <v>3530</v>
      </c>
      <c r="M1543" t="s">
        <v>10522</v>
      </c>
      <c r="N1543" t="s">
        <v>225</v>
      </c>
      <c r="O1543" t="s">
        <v>111</v>
      </c>
      <c r="P1543" t="str">
        <f>"85209-1251"</f>
        <v>85209-1251</v>
      </c>
      <c r="Q1543" t="s">
        <v>113</v>
      </c>
      <c r="R1543" t="str">
        <f>"312-11-520"</f>
        <v>312-11-520</v>
      </c>
      <c r="S1543" t="s">
        <v>6377</v>
      </c>
      <c r="U1543">
        <v>3711</v>
      </c>
      <c r="V1543">
        <v>0</v>
      </c>
      <c r="W1543">
        <v>4</v>
      </c>
      <c r="X1543">
        <v>2003</v>
      </c>
      <c r="Z1543">
        <v>2</v>
      </c>
      <c r="AA1543" t="s">
        <v>26</v>
      </c>
      <c r="AB1543">
        <v>0</v>
      </c>
      <c r="AC1543" t="s">
        <v>115</v>
      </c>
      <c r="AD1543">
        <v>3</v>
      </c>
      <c r="AE1543" t="s">
        <v>115</v>
      </c>
      <c r="AF1543">
        <v>0</v>
      </c>
      <c r="AG1543">
        <v>0</v>
      </c>
      <c r="AH1543" t="s">
        <v>116</v>
      </c>
      <c r="AI1543" s="1">
        <v>59915</v>
      </c>
      <c r="AJ1543" s="2">
        <v>0.13</v>
      </c>
      <c r="AK1543" s="1">
        <v>450565</v>
      </c>
      <c r="AL1543" t="s">
        <v>117</v>
      </c>
      <c r="AM1543" t="s">
        <v>393</v>
      </c>
      <c r="AN1543">
        <v>9438</v>
      </c>
      <c r="AO1543">
        <v>0.22</v>
      </c>
      <c r="AP1543">
        <v>1</v>
      </c>
      <c r="AR1543">
        <v>1</v>
      </c>
      <c r="AS1543" s="1">
        <v>31720</v>
      </c>
      <c r="AT1543" s="1">
        <v>6340</v>
      </c>
      <c r="AU1543" s="1">
        <v>25380</v>
      </c>
      <c r="AV1543">
        <v>80.010000000000005</v>
      </c>
      <c r="AX1543" s="1">
        <v>2495.5</v>
      </c>
      <c r="AY1543" t="s">
        <v>4370</v>
      </c>
      <c r="AZ1543" t="s">
        <v>777</v>
      </c>
      <c r="BA1543" t="s">
        <v>572</v>
      </c>
      <c r="BE1543" s="3">
        <v>42409</v>
      </c>
      <c r="BF1543" s="1">
        <v>378245</v>
      </c>
      <c r="BG1543" t="s">
        <v>10523</v>
      </c>
      <c r="BH1543" s="1">
        <v>101.93</v>
      </c>
      <c r="BI1543" s="1">
        <v>390650</v>
      </c>
      <c r="BJ1543" s="3">
        <v>42409</v>
      </c>
      <c r="BK1543" t="s">
        <v>123</v>
      </c>
      <c r="BL1543" t="str">
        <f>"2016.84663"</f>
        <v>2016.84663</v>
      </c>
      <c r="BM1543" t="s">
        <v>1192</v>
      </c>
      <c r="BO1543" t="s">
        <v>10524</v>
      </c>
      <c r="BS1543">
        <v>30</v>
      </c>
      <c r="BW1543" t="str">
        <f>""</f>
        <v/>
      </c>
      <c r="CH1543" t="str">
        <f>""</f>
        <v/>
      </c>
      <c r="CS1543" t="str">
        <f>""</f>
        <v/>
      </c>
    </row>
    <row r="1544" spans="1:97" x14ac:dyDescent="0.25">
      <c r="A1544" t="s">
        <v>920</v>
      </c>
      <c r="B1544" t="s">
        <v>10525</v>
      </c>
      <c r="E1544" t="s">
        <v>10526</v>
      </c>
      <c r="F1544" t="s">
        <v>108</v>
      </c>
      <c r="H1544" t="s">
        <v>10527</v>
      </c>
      <c r="I1544" t="s">
        <v>203</v>
      </c>
      <c r="J1544" t="s">
        <v>111</v>
      </c>
      <c r="K1544" t="str">
        <f>"85233"</f>
        <v>85233</v>
      </c>
      <c r="L1544" t="s">
        <v>4316</v>
      </c>
      <c r="M1544" t="s">
        <v>10527</v>
      </c>
      <c r="N1544" t="s">
        <v>203</v>
      </c>
      <c r="O1544" t="s">
        <v>111</v>
      </c>
      <c r="P1544" t="str">
        <f>"85233-4258"</f>
        <v>85233-4258</v>
      </c>
      <c r="Q1544" t="s">
        <v>113</v>
      </c>
      <c r="R1544" t="str">
        <f>"310-08-043"</f>
        <v>310-08-043</v>
      </c>
      <c r="S1544" t="s">
        <v>10528</v>
      </c>
      <c r="T1544" t="s">
        <v>10529</v>
      </c>
      <c r="U1544">
        <v>2653</v>
      </c>
      <c r="V1544">
        <v>0</v>
      </c>
      <c r="W1544">
        <v>4</v>
      </c>
      <c r="X1544">
        <v>1998</v>
      </c>
      <c r="Z1544">
        <v>2</v>
      </c>
      <c r="AA1544" t="s">
        <v>26</v>
      </c>
      <c r="AB1544">
        <v>0</v>
      </c>
      <c r="AC1544" t="s">
        <v>115</v>
      </c>
      <c r="AD1544">
        <v>3</v>
      </c>
      <c r="AE1544" t="s">
        <v>115</v>
      </c>
      <c r="AF1544">
        <v>0</v>
      </c>
      <c r="AG1544">
        <v>0</v>
      </c>
      <c r="AH1544" t="s">
        <v>116</v>
      </c>
      <c r="AI1544" s="1">
        <v>68410</v>
      </c>
      <c r="AJ1544" s="2">
        <v>0.17</v>
      </c>
      <c r="AK1544" s="1">
        <v>413017</v>
      </c>
      <c r="AL1544" t="s">
        <v>117</v>
      </c>
      <c r="AM1544" t="s">
        <v>393</v>
      </c>
      <c r="AN1544">
        <v>7222</v>
      </c>
      <c r="AO1544">
        <v>0.17</v>
      </c>
      <c r="AP1544">
        <v>1</v>
      </c>
      <c r="AR1544">
        <v>1</v>
      </c>
      <c r="AS1544" s="1">
        <v>29450</v>
      </c>
      <c r="AT1544" s="1">
        <v>5890</v>
      </c>
      <c r="AU1544" s="1">
        <v>23560</v>
      </c>
      <c r="AV1544">
        <v>80</v>
      </c>
      <c r="AX1544" s="1">
        <v>2277.42</v>
      </c>
      <c r="AY1544" t="s">
        <v>9989</v>
      </c>
      <c r="AZ1544" t="s">
        <v>5478</v>
      </c>
      <c r="BA1544" t="s">
        <v>5479</v>
      </c>
      <c r="BB1544" s="3">
        <v>42670</v>
      </c>
      <c r="BD1544" t="s">
        <v>240</v>
      </c>
      <c r="BE1544" s="3">
        <v>42419</v>
      </c>
      <c r="BF1544" s="1">
        <v>345000</v>
      </c>
      <c r="BG1544" t="s">
        <v>10530</v>
      </c>
      <c r="BH1544" s="1">
        <v>130.04</v>
      </c>
      <c r="BI1544" s="1">
        <v>344607</v>
      </c>
      <c r="BJ1544" s="3">
        <v>42611</v>
      </c>
      <c r="BK1544" t="s">
        <v>123</v>
      </c>
      <c r="BL1544" t="str">
        <f>"2016.619100"</f>
        <v>2016.619100</v>
      </c>
      <c r="BM1544" t="s">
        <v>402</v>
      </c>
      <c r="BO1544" t="s">
        <v>10531</v>
      </c>
      <c r="BP1544" t="s">
        <v>10532</v>
      </c>
      <c r="BS1544">
        <v>30</v>
      </c>
      <c r="BW1544" t="str">
        <f>""</f>
        <v/>
      </c>
      <c r="CH1544" t="str">
        <f>""</f>
        <v/>
      </c>
      <c r="CS1544" t="str">
        <f>""</f>
        <v/>
      </c>
    </row>
    <row r="1545" spans="1:97" x14ac:dyDescent="0.25">
      <c r="A1545" t="s">
        <v>305</v>
      </c>
      <c r="B1545" t="s">
        <v>10533</v>
      </c>
      <c r="C1545" t="s">
        <v>10534</v>
      </c>
      <c r="D1545" t="s">
        <v>10533</v>
      </c>
      <c r="E1545" t="s">
        <v>10535</v>
      </c>
      <c r="F1545" t="s">
        <v>108</v>
      </c>
      <c r="H1545" t="s">
        <v>10536</v>
      </c>
      <c r="I1545" t="s">
        <v>188</v>
      </c>
      <c r="J1545" t="s">
        <v>111</v>
      </c>
      <c r="K1545" t="str">
        <f>"85142"</f>
        <v>85142</v>
      </c>
      <c r="L1545" t="s">
        <v>5131</v>
      </c>
      <c r="M1545" t="s">
        <v>10536</v>
      </c>
      <c r="N1545" t="s">
        <v>188</v>
      </c>
      <c r="O1545" t="s">
        <v>111</v>
      </c>
      <c r="P1545" t="str">
        <f>"85142-8589"</f>
        <v>85142-8589</v>
      </c>
      <c r="Q1545" t="s">
        <v>113</v>
      </c>
      <c r="R1545" t="str">
        <f>"304-89-062-A"</f>
        <v>304-89-062-A</v>
      </c>
      <c r="S1545" t="s">
        <v>7932</v>
      </c>
      <c r="U1545">
        <v>2570</v>
      </c>
      <c r="V1545">
        <v>0</v>
      </c>
      <c r="W1545">
        <v>3</v>
      </c>
      <c r="X1545">
        <v>2003</v>
      </c>
      <c r="Z1545">
        <v>1</v>
      </c>
      <c r="AB1545">
        <v>0</v>
      </c>
      <c r="AC1545" t="s">
        <v>115</v>
      </c>
      <c r="AD1545">
        <v>3</v>
      </c>
      <c r="AE1545" t="s">
        <v>115</v>
      </c>
      <c r="AF1545">
        <v>0</v>
      </c>
      <c r="AG1545">
        <v>0</v>
      </c>
      <c r="AH1545" t="s">
        <v>116</v>
      </c>
      <c r="AI1545" s="1">
        <v>95787</v>
      </c>
      <c r="AJ1545" s="2">
        <v>0.19</v>
      </c>
      <c r="AK1545" s="1">
        <v>505487</v>
      </c>
      <c r="AL1545" t="s">
        <v>117</v>
      </c>
      <c r="AM1545" t="s">
        <v>376</v>
      </c>
      <c r="AN1545">
        <v>47134</v>
      </c>
      <c r="AO1545">
        <v>1.08</v>
      </c>
      <c r="AP1545">
        <v>1</v>
      </c>
      <c r="AR1545">
        <v>1</v>
      </c>
      <c r="AS1545" s="1">
        <v>34670</v>
      </c>
      <c r="AT1545" s="1">
        <v>6930</v>
      </c>
      <c r="AU1545" s="1">
        <v>27740</v>
      </c>
      <c r="AV1545">
        <v>80.010000000000005</v>
      </c>
      <c r="AX1545" s="1">
        <v>3182.58</v>
      </c>
      <c r="AY1545" t="s">
        <v>1133</v>
      </c>
      <c r="AZ1545" t="s">
        <v>1134</v>
      </c>
      <c r="BA1545" t="s">
        <v>1134</v>
      </c>
      <c r="BE1545" s="3">
        <v>41838</v>
      </c>
      <c r="BF1545" s="1">
        <v>416000</v>
      </c>
      <c r="BG1545" t="s">
        <v>10537</v>
      </c>
      <c r="BH1545" s="1">
        <v>161.87</v>
      </c>
      <c r="BI1545" s="1">
        <v>409700</v>
      </c>
      <c r="BJ1545" s="3">
        <v>42793</v>
      </c>
      <c r="BK1545" t="s">
        <v>123</v>
      </c>
      <c r="BL1545" t="str">
        <f>"2017.139972"</f>
        <v>2017.139972</v>
      </c>
      <c r="BM1545" t="s">
        <v>248</v>
      </c>
      <c r="BO1545" t="s">
        <v>10538</v>
      </c>
      <c r="BS1545">
        <v>28</v>
      </c>
      <c r="BW1545" t="str">
        <f>""</f>
        <v/>
      </c>
      <c r="CH1545" t="str">
        <f>""</f>
        <v/>
      </c>
      <c r="CS1545" t="str">
        <f>""</f>
        <v/>
      </c>
    </row>
    <row r="1546" spans="1:97" x14ac:dyDescent="0.25">
      <c r="A1546" t="s">
        <v>1109</v>
      </c>
      <c r="B1546" t="s">
        <v>6807</v>
      </c>
      <c r="C1546" t="s">
        <v>10539</v>
      </c>
      <c r="D1546" t="s">
        <v>10540</v>
      </c>
      <c r="E1546" t="s">
        <v>10541</v>
      </c>
      <c r="F1546" t="s">
        <v>108</v>
      </c>
      <c r="H1546" t="s">
        <v>10542</v>
      </c>
      <c r="I1546" t="s">
        <v>3150</v>
      </c>
      <c r="J1546" t="s">
        <v>111</v>
      </c>
      <c r="K1546" t="str">
        <f>"85340"</f>
        <v>85340</v>
      </c>
      <c r="L1546" t="s">
        <v>5176</v>
      </c>
      <c r="M1546" t="s">
        <v>10542</v>
      </c>
      <c r="N1546" t="s">
        <v>3150</v>
      </c>
      <c r="O1546" t="s">
        <v>111</v>
      </c>
      <c r="P1546" t="str">
        <f>"85340-2738"</f>
        <v>85340-2738</v>
      </c>
      <c r="Q1546" t="s">
        <v>113</v>
      </c>
      <c r="R1546" t="str">
        <f>"508-15-360"</f>
        <v>508-15-360</v>
      </c>
      <c r="S1546" t="s">
        <v>5177</v>
      </c>
      <c r="T1546" t="s">
        <v>5178</v>
      </c>
      <c r="U1546">
        <v>6114</v>
      </c>
      <c r="V1546">
        <v>0</v>
      </c>
      <c r="W1546">
        <v>6</v>
      </c>
      <c r="X1546">
        <v>2008</v>
      </c>
      <c r="Z1546">
        <v>2</v>
      </c>
      <c r="AA1546" t="s">
        <v>26</v>
      </c>
      <c r="AB1546">
        <v>0</v>
      </c>
      <c r="AC1546" t="s">
        <v>115</v>
      </c>
      <c r="AD1546">
        <v>4</v>
      </c>
      <c r="AE1546" t="s">
        <v>115</v>
      </c>
      <c r="AF1546">
        <v>0</v>
      </c>
      <c r="AG1546">
        <v>0</v>
      </c>
      <c r="AH1546" t="s">
        <v>116</v>
      </c>
      <c r="AI1546" s="1">
        <v>28877</v>
      </c>
      <c r="AJ1546" s="2">
        <v>0.04</v>
      </c>
      <c r="AK1546" s="1">
        <v>733877</v>
      </c>
      <c r="AL1546" t="s">
        <v>117</v>
      </c>
      <c r="AM1546" t="s">
        <v>191</v>
      </c>
      <c r="AN1546">
        <v>16377</v>
      </c>
      <c r="AO1546">
        <v>0.38</v>
      </c>
      <c r="AR1546">
        <v>1</v>
      </c>
      <c r="AS1546" s="1">
        <v>55310</v>
      </c>
      <c r="AT1546" s="1">
        <v>11060</v>
      </c>
      <c r="AU1546" s="1">
        <v>44250</v>
      </c>
      <c r="AV1546">
        <v>80</v>
      </c>
      <c r="AX1546" s="1">
        <v>7155.78</v>
      </c>
      <c r="AY1546" t="s">
        <v>3020</v>
      </c>
      <c r="AZ1546" t="s">
        <v>3020</v>
      </c>
      <c r="BA1546" t="s">
        <v>3154</v>
      </c>
      <c r="BB1546" s="3">
        <v>42976</v>
      </c>
      <c r="BD1546" t="s">
        <v>157</v>
      </c>
      <c r="BE1546" s="3">
        <v>41681</v>
      </c>
      <c r="BF1546" s="1">
        <v>800000</v>
      </c>
      <c r="BG1546" t="s">
        <v>10543</v>
      </c>
      <c r="BH1546" s="1">
        <v>130.85</v>
      </c>
      <c r="BI1546" s="1">
        <v>705000</v>
      </c>
      <c r="BJ1546" s="3">
        <v>42206</v>
      </c>
      <c r="BK1546" t="s">
        <v>123</v>
      </c>
      <c r="BL1546" t="str">
        <f>"2015.523230"</f>
        <v>2015.523230</v>
      </c>
      <c r="BM1546" t="s">
        <v>124</v>
      </c>
      <c r="BN1546" t="s">
        <v>1575</v>
      </c>
      <c r="BO1546" t="s">
        <v>10544</v>
      </c>
      <c r="BP1546" t="s">
        <v>10545</v>
      </c>
      <c r="BS1546">
        <v>30</v>
      </c>
      <c r="BW1546" t="str">
        <f>""</f>
        <v/>
      </c>
      <c r="CH1546" t="str">
        <f>""</f>
        <v/>
      </c>
      <c r="CS1546" t="str">
        <f>""</f>
        <v/>
      </c>
    </row>
    <row r="1547" spans="1:97" x14ac:dyDescent="0.25">
      <c r="A1547" t="s">
        <v>1040</v>
      </c>
      <c r="B1547" t="s">
        <v>10546</v>
      </c>
      <c r="C1547" t="s">
        <v>4386</v>
      </c>
      <c r="D1547" t="s">
        <v>10546</v>
      </c>
      <c r="E1547" t="s">
        <v>10547</v>
      </c>
      <c r="F1547" t="s">
        <v>108</v>
      </c>
      <c r="H1547" t="s">
        <v>10548</v>
      </c>
      <c r="I1547" t="s">
        <v>499</v>
      </c>
      <c r="J1547" t="s">
        <v>111</v>
      </c>
      <c r="K1547" t="str">
        <f>"85338"</f>
        <v>85338</v>
      </c>
      <c r="L1547" t="s">
        <v>5990</v>
      </c>
      <c r="M1547" t="s">
        <v>10548</v>
      </c>
      <c r="N1547" t="s">
        <v>499</v>
      </c>
      <c r="O1547" t="s">
        <v>111</v>
      </c>
      <c r="P1547" t="str">
        <f>"85338-2456"</f>
        <v>85338-2456</v>
      </c>
      <c r="Q1547" t="s">
        <v>113</v>
      </c>
      <c r="R1547" t="str">
        <f>"500-06-138"</f>
        <v>500-06-138</v>
      </c>
      <c r="S1547" t="s">
        <v>7185</v>
      </c>
      <c r="T1547" t="s">
        <v>10549</v>
      </c>
      <c r="U1547">
        <v>3137</v>
      </c>
      <c r="V1547">
        <v>0</v>
      </c>
      <c r="W1547">
        <v>4</v>
      </c>
      <c r="X1547">
        <v>2002</v>
      </c>
      <c r="Z1547">
        <v>1</v>
      </c>
      <c r="AA1547" t="s">
        <v>26</v>
      </c>
      <c r="AB1547">
        <v>0</v>
      </c>
      <c r="AC1547" t="s">
        <v>115</v>
      </c>
      <c r="AD1547">
        <v>3</v>
      </c>
      <c r="AE1547" t="s">
        <v>115</v>
      </c>
      <c r="AF1547">
        <v>0</v>
      </c>
      <c r="AG1547">
        <v>0</v>
      </c>
      <c r="AH1547" t="s">
        <v>116</v>
      </c>
      <c r="AI1547" s="1">
        <v>96011</v>
      </c>
      <c r="AJ1547" s="2">
        <v>0.18</v>
      </c>
      <c r="AK1547" s="1">
        <v>529575</v>
      </c>
      <c r="AL1547" t="s">
        <v>117</v>
      </c>
      <c r="AM1547" t="s">
        <v>3111</v>
      </c>
      <c r="AN1547">
        <v>44844</v>
      </c>
      <c r="AO1547">
        <v>1.03</v>
      </c>
      <c r="AP1547">
        <v>1</v>
      </c>
      <c r="AR1547">
        <v>1</v>
      </c>
      <c r="AS1547" s="1">
        <v>41230</v>
      </c>
      <c r="AT1547" s="1">
        <v>8240</v>
      </c>
      <c r="AU1547" s="1">
        <v>32990</v>
      </c>
      <c r="AV1547">
        <v>80.010000000000005</v>
      </c>
      <c r="AX1547" s="1">
        <v>4048.54</v>
      </c>
      <c r="AY1547" t="s">
        <v>6319</v>
      </c>
      <c r="AZ1547" t="s">
        <v>6319</v>
      </c>
      <c r="BA1547" t="s">
        <v>7186</v>
      </c>
      <c r="BE1547" s="3">
        <v>42215</v>
      </c>
      <c r="BF1547" s="1">
        <v>430000</v>
      </c>
      <c r="BG1547" t="s">
        <v>10550</v>
      </c>
      <c r="BH1547" s="1">
        <v>137.07</v>
      </c>
      <c r="BI1547" s="1">
        <v>433564</v>
      </c>
      <c r="BJ1547" s="3">
        <v>42215</v>
      </c>
      <c r="BK1547" t="s">
        <v>123</v>
      </c>
      <c r="BL1547" t="str">
        <f>"2015.553640"</f>
        <v>2015.553640</v>
      </c>
      <c r="BM1547" t="s">
        <v>175</v>
      </c>
      <c r="BO1547" t="s">
        <v>10551</v>
      </c>
      <c r="BS1547">
        <v>30</v>
      </c>
      <c r="BW1547" t="str">
        <f>""</f>
        <v/>
      </c>
      <c r="CH1547" t="str">
        <f>""</f>
        <v/>
      </c>
      <c r="CS1547" t="str">
        <f>""</f>
        <v/>
      </c>
    </row>
    <row r="1548" spans="1:97" x14ac:dyDescent="0.25">
      <c r="A1548" t="s">
        <v>10552</v>
      </c>
      <c r="B1548" t="s">
        <v>7889</v>
      </c>
      <c r="C1548" t="s">
        <v>3707</v>
      </c>
      <c r="D1548" t="s">
        <v>10553</v>
      </c>
      <c r="E1548" t="s">
        <v>10554</v>
      </c>
      <c r="F1548" t="s">
        <v>108</v>
      </c>
      <c r="H1548" t="s">
        <v>10555</v>
      </c>
      <c r="I1548" t="s">
        <v>390</v>
      </c>
      <c r="J1548" t="s">
        <v>111</v>
      </c>
      <c r="K1548" t="str">
        <f>"85023"</f>
        <v>85023</v>
      </c>
      <c r="L1548" t="s">
        <v>1312</v>
      </c>
      <c r="M1548" t="s">
        <v>10555</v>
      </c>
      <c r="N1548" t="s">
        <v>390</v>
      </c>
      <c r="O1548" t="s">
        <v>111</v>
      </c>
      <c r="P1548" t="str">
        <f>"85023-5178"</f>
        <v>85023-5178</v>
      </c>
      <c r="Q1548" t="s">
        <v>113</v>
      </c>
      <c r="R1548" t="str">
        <f>"208-16-207"</f>
        <v>208-16-207</v>
      </c>
      <c r="S1548" t="s">
        <v>10556</v>
      </c>
      <c r="T1548" t="s">
        <v>10557</v>
      </c>
      <c r="U1548">
        <v>3506</v>
      </c>
      <c r="V1548">
        <v>0</v>
      </c>
      <c r="W1548">
        <v>4</v>
      </c>
      <c r="X1548">
        <v>1985</v>
      </c>
      <c r="Z1548">
        <v>1</v>
      </c>
      <c r="AA1548" t="s">
        <v>26</v>
      </c>
      <c r="AB1548">
        <v>0</v>
      </c>
      <c r="AC1548" t="s">
        <v>115</v>
      </c>
      <c r="AD1548">
        <v>6</v>
      </c>
      <c r="AE1548" t="s">
        <v>115</v>
      </c>
      <c r="AF1548">
        <v>0</v>
      </c>
      <c r="AG1548">
        <v>0</v>
      </c>
      <c r="AH1548" t="s">
        <v>116</v>
      </c>
      <c r="AI1548" s="1">
        <v>293072</v>
      </c>
      <c r="AJ1548" s="2">
        <v>0.41</v>
      </c>
      <c r="AK1548" s="1">
        <v>723384</v>
      </c>
      <c r="AL1548" t="s">
        <v>117</v>
      </c>
      <c r="AM1548" t="s">
        <v>10558</v>
      </c>
      <c r="AN1548">
        <v>15523</v>
      </c>
      <c r="AO1548">
        <v>0.36</v>
      </c>
      <c r="AP1548">
        <v>1</v>
      </c>
      <c r="AR1548">
        <v>1</v>
      </c>
      <c r="AS1548" s="1">
        <v>57200</v>
      </c>
      <c r="AT1548" s="1">
        <v>11440</v>
      </c>
      <c r="AU1548" s="1">
        <v>45760</v>
      </c>
      <c r="AV1548">
        <v>80</v>
      </c>
      <c r="AX1548" s="1">
        <v>5903.36</v>
      </c>
      <c r="AY1548" t="s">
        <v>9170</v>
      </c>
      <c r="AZ1548" t="s">
        <v>8648</v>
      </c>
      <c r="BA1548" t="s">
        <v>8649</v>
      </c>
      <c r="BE1548" s="3">
        <v>42081</v>
      </c>
      <c r="BF1548" s="1">
        <v>625000</v>
      </c>
      <c r="BG1548" t="s">
        <v>10559</v>
      </c>
      <c r="BH1548" s="1">
        <v>178.27</v>
      </c>
      <c r="BI1548" s="1">
        <v>430312</v>
      </c>
      <c r="BJ1548" s="3">
        <v>42081</v>
      </c>
      <c r="BK1548" t="s">
        <v>123</v>
      </c>
      <c r="BL1548" t="str">
        <f>"2015.182015"</f>
        <v>2015.182015</v>
      </c>
      <c r="BM1548" t="s">
        <v>820</v>
      </c>
      <c r="BO1548" t="s">
        <v>10560</v>
      </c>
      <c r="BP1548" t="s">
        <v>10561</v>
      </c>
      <c r="BS1548">
        <v>30</v>
      </c>
      <c r="BW1548" t="str">
        <f>""</f>
        <v/>
      </c>
      <c r="CH1548" t="str">
        <f>""</f>
        <v/>
      </c>
      <c r="CS1548" t="str">
        <f>""</f>
        <v/>
      </c>
    </row>
    <row r="1549" spans="1:97" x14ac:dyDescent="0.25">
      <c r="A1549" t="s">
        <v>1938</v>
      </c>
      <c r="B1549" t="s">
        <v>203</v>
      </c>
      <c r="C1549" t="s">
        <v>10562</v>
      </c>
      <c r="D1549" t="s">
        <v>203</v>
      </c>
      <c r="E1549" t="s">
        <v>10563</v>
      </c>
      <c r="F1549" t="s">
        <v>108</v>
      </c>
      <c r="H1549" t="s">
        <v>10564</v>
      </c>
      <c r="I1549" t="s">
        <v>632</v>
      </c>
      <c r="J1549" t="s">
        <v>111</v>
      </c>
      <c r="K1549" t="str">
        <f>"85379"</f>
        <v>85379</v>
      </c>
      <c r="L1549" t="s">
        <v>269</v>
      </c>
      <c r="M1549" t="s">
        <v>10564</v>
      </c>
      <c r="N1549" t="s">
        <v>632</v>
      </c>
      <c r="O1549" t="s">
        <v>111</v>
      </c>
      <c r="P1549" t="str">
        <f>"85379-5345"</f>
        <v>85379-5345</v>
      </c>
      <c r="R1549" t="str">
        <f>"501-96-502"</f>
        <v>501-96-502</v>
      </c>
      <c r="S1549" t="s">
        <v>8193</v>
      </c>
      <c r="U1549">
        <v>3750</v>
      </c>
      <c r="V1549">
        <v>0</v>
      </c>
      <c r="W1549">
        <v>5</v>
      </c>
      <c r="X1549">
        <v>2004</v>
      </c>
      <c r="Z1549">
        <v>1</v>
      </c>
      <c r="AB1549">
        <v>0</v>
      </c>
      <c r="AC1549" t="s">
        <v>115</v>
      </c>
      <c r="AD1549">
        <v>3</v>
      </c>
      <c r="AE1549" t="s">
        <v>115</v>
      </c>
      <c r="AF1549">
        <v>0</v>
      </c>
      <c r="AG1549">
        <v>0</v>
      </c>
      <c r="AH1549" t="s">
        <v>116</v>
      </c>
      <c r="AI1549" s="1">
        <v>50640</v>
      </c>
      <c r="AJ1549" s="2">
        <v>0.11</v>
      </c>
      <c r="AK1549" s="1">
        <v>457140</v>
      </c>
      <c r="AL1549" t="s">
        <v>117</v>
      </c>
      <c r="AM1549" t="s">
        <v>118</v>
      </c>
      <c r="AN1549">
        <v>17273</v>
      </c>
      <c r="AO1549">
        <v>0.4</v>
      </c>
      <c r="AR1549">
        <v>1</v>
      </c>
      <c r="AS1549" s="1">
        <v>32810</v>
      </c>
      <c r="AT1549" s="1">
        <v>6560</v>
      </c>
      <c r="AU1549" s="1">
        <v>26250</v>
      </c>
      <c r="AV1549">
        <v>80.010000000000005</v>
      </c>
      <c r="AX1549" s="1">
        <v>2925.72</v>
      </c>
      <c r="AY1549" t="s">
        <v>5615</v>
      </c>
      <c r="AZ1549" t="s">
        <v>5615</v>
      </c>
      <c r="BA1549" t="s">
        <v>635</v>
      </c>
      <c r="BE1549" s="3">
        <v>41691</v>
      </c>
      <c r="BF1549" s="1">
        <v>370000</v>
      </c>
      <c r="BG1549" t="s">
        <v>10565</v>
      </c>
      <c r="BH1549" s="1">
        <v>98.67</v>
      </c>
      <c r="BI1549" s="1">
        <v>367500</v>
      </c>
      <c r="BJ1549" s="3">
        <v>42044</v>
      </c>
      <c r="BK1549" t="s">
        <v>123</v>
      </c>
      <c r="BL1549" t="str">
        <f>"2015.82374"</f>
        <v>2015.82374</v>
      </c>
      <c r="BM1549" t="s">
        <v>6337</v>
      </c>
      <c r="BN1549" t="s">
        <v>10566</v>
      </c>
      <c r="BO1549" t="s">
        <v>10567</v>
      </c>
      <c r="BS1549">
        <v>30</v>
      </c>
      <c r="BT1549" s="1">
        <v>39000</v>
      </c>
      <c r="BU1549" s="3">
        <v>43726</v>
      </c>
      <c r="BW1549" t="str">
        <f>"2019.732597"</f>
        <v>2019.732597</v>
      </c>
      <c r="BX1549" t="s">
        <v>1051</v>
      </c>
      <c r="BY1549" t="s">
        <v>1052</v>
      </c>
      <c r="BZ1549" t="s">
        <v>10568</v>
      </c>
      <c r="CA1549" t="s">
        <v>10569</v>
      </c>
      <c r="CC1549" t="s">
        <v>346</v>
      </c>
      <c r="CH1549" t="str">
        <f>""</f>
        <v/>
      </c>
      <c r="CS1549" t="str">
        <f>""</f>
        <v/>
      </c>
    </row>
    <row r="1550" spans="1:97" x14ac:dyDescent="0.25">
      <c r="A1550" t="s">
        <v>10570</v>
      </c>
      <c r="B1550" t="s">
        <v>10571</v>
      </c>
      <c r="C1550" t="s">
        <v>604</v>
      </c>
      <c r="D1550" t="s">
        <v>10572</v>
      </c>
      <c r="E1550" t="s">
        <v>10573</v>
      </c>
      <c r="F1550" t="s">
        <v>282</v>
      </c>
      <c r="H1550" t="s">
        <v>10574</v>
      </c>
      <c r="I1550" t="s">
        <v>3150</v>
      </c>
      <c r="J1550" t="s">
        <v>111</v>
      </c>
      <c r="K1550" t="str">
        <f>"85340"</f>
        <v>85340</v>
      </c>
      <c r="L1550" t="s">
        <v>5074</v>
      </c>
      <c r="M1550" t="s">
        <v>10575</v>
      </c>
      <c r="N1550" t="s">
        <v>10576</v>
      </c>
      <c r="O1550" t="s">
        <v>360</v>
      </c>
      <c r="P1550" t="str">
        <f>"94952-4847"</f>
        <v>94952-4847</v>
      </c>
      <c r="Q1550" t="s">
        <v>113</v>
      </c>
      <c r="R1550" t="str">
        <f>"501-68-790"</f>
        <v>501-68-790</v>
      </c>
      <c r="S1550" t="s">
        <v>10577</v>
      </c>
      <c r="T1550" t="s">
        <v>5178</v>
      </c>
      <c r="U1550">
        <v>3557</v>
      </c>
      <c r="V1550">
        <v>0</v>
      </c>
      <c r="W1550">
        <v>5</v>
      </c>
      <c r="X1550">
        <v>2005</v>
      </c>
      <c r="Z1550">
        <v>1</v>
      </c>
      <c r="AA1550" t="s">
        <v>26</v>
      </c>
      <c r="AB1550">
        <v>0</v>
      </c>
      <c r="AC1550" t="s">
        <v>115</v>
      </c>
      <c r="AD1550">
        <v>3</v>
      </c>
      <c r="AE1550" t="s">
        <v>115</v>
      </c>
      <c r="AF1550">
        <v>0</v>
      </c>
      <c r="AG1550">
        <v>0</v>
      </c>
      <c r="AH1550" t="s">
        <v>116</v>
      </c>
      <c r="AI1550" s="1">
        <v>76626</v>
      </c>
      <c r="AJ1550" s="2">
        <v>0.16</v>
      </c>
      <c r="AK1550" s="1">
        <v>471626</v>
      </c>
      <c r="AL1550" t="s">
        <v>117</v>
      </c>
      <c r="AM1550" t="s">
        <v>171</v>
      </c>
      <c r="AN1550">
        <v>11960</v>
      </c>
      <c r="AO1550">
        <v>0.28000000000000003</v>
      </c>
      <c r="AR1550">
        <v>1</v>
      </c>
      <c r="AS1550" s="1">
        <v>41210</v>
      </c>
      <c r="AT1550" s="1">
        <v>8240</v>
      </c>
      <c r="AU1550" s="1">
        <v>32970</v>
      </c>
      <c r="AV1550">
        <v>80</v>
      </c>
      <c r="AX1550" s="1">
        <v>4961.4399999999996</v>
      </c>
      <c r="AY1550" t="s">
        <v>3020</v>
      </c>
      <c r="AZ1550" t="s">
        <v>3020</v>
      </c>
      <c r="BA1550" t="s">
        <v>3154</v>
      </c>
      <c r="BE1550" s="3">
        <v>42290</v>
      </c>
      <c r="BF1550" s="1">
        <v>395000</v>
      </c>
      <c r="BG1550" t="s">
        <v>10578</v>
      </c>
      <c r="BH1550" s="1">
        <v>111.05</v>
      </c>
      <c r="BI1550" s="1">
        <v>395000</v>
      </c>
      <c r="BJ1550" s="3">
        <v>42290</v>
      </c>
      <c r="BK1550" t="s">
        <v>123</v>
      </c>
      <c r="BL1550" t="str">
        <f>"2015.735107"</f>
        <v>2015.735107</v>
      </c>
      <c r="BM1550" t="s">
        <v>1185</v>
      </c>
      <c r="BO1550" t="s">
        <v>10579</v>
      </c>
      <c r="BP1550" t="s">
        <v>10580</v>
      </c>
      <c r="BS1550">
        <v>30</v>
      </c>
      <c r="BW1550" t="str">
        <f>""</f>
        <v/>
      </c>
      <c r="CH1550" t="str">
        <f>""</f>
        <v/>
      </c>
      <c r="CS1550" t="str">
        <f>""</f>
        <v/>
      </c>
    </row>
    <row r="1551" spans="1:97" x14ac:dyDescent="0.25">
      <c r="A1551" t="s">
        <v>5771</v>
      </c>
      <c r="B1551" t="s">
        <v>4378</v>
      </c>
      <c r="C1551" t="s">
        <v>10581</v>
      </c>
      <c r="D1551" t="s">
        <v>4378</v>
      </c>
      <c r="E1551" t="s">
        <v>10582</v>
      </c>
      <c r="F1551" t="s">
        <v>108</v>
      </c>
      <c r="H1551" t="s">
        <v>10583</v>
      </c>
      <c r="I1551" t="s">
        <v>374</v>
      </c>
      <c r="J1551" t="s">
        <v>111</v>
      </c>
      <c r="K1551" t="str">
        <f>"85087"</f>
        <v>85087</v>
      </c>
      <c r="L1551" t="s">
        <v>375</v>
      </c>
      <c r="M1551" t="s">
        <v>10583</v>
      </c>
      <c r="N1551" t="s">
        <v>374</v>
      </c>
      <c r="O1551" t="s">
        <v>111</v>
      </c>
      <c r="P1551" t="str">
        <f>"85087-6140"</f>
        <v>85087-6140</v>
      </c>
      <c r="Q1551" t="s">
        <v>113</v>
      </c>
      <c r="R1551" t="str">
        <f>"202-23-100"</f>
        <v>202-23-100</v>
      </c>
      <c r="S1551" t="s">
        <v>10584</v>
      </c>
      <c r="T1551" t="s">
        <v>664</v>
      </c>
      <c r="U1551">
        <v>2565</v>
      </c>
      <c r="V1551">
        <v>0</v>
      </c>
      <c r="W1551">
        <v>4</v>
      </c>
      <c r="X1551">
        <v>2014</v>
      </c>
      <c r="Z1551">
        <v>1</v>
      </c>
      <c r="AB1551">
        <v>0</v>
      </c>
      <c r="AC1551" t="s">
        <v>115</v>
      </c>
      <c r="AD1551">
        <v>2</v>
      </c>
      <c r="AE1551" t="s">
        <v>115</v>
      </c>
      <c r="AF1551">
        <v>0</v>
      </c>
      <c r="AG1551">
        <v>0</v>
      </c>
      <c r="AH1551" t="s">
        <v>116</v>
      </c>
      <c r="AI1551" s="1">
        <v>72885</v>
      </c>
      <c r="AJ1551" s="2">
        <v>0.19</v>
      </c>
      <c r="AK1551" s="1">
        <v>386628</v>
      </c>
      <c r="AL1551" t="s">
        <v>117</v>
      </c>
      <c r="AM1551" t="s">
        <v>393</v>
      </c>
      <c r="AN1551">
        <v>7800</v>
      </c>
      <c r="AO1551">
        <v>0.18</v>
      </c>
      <c r="AR1551">
        <v>1</v>
      </c>
      <c r="AS1551" s="1">
        <v>27910</v>
      </c>
      <c r="AT1551" s="1">
        <v>5580</v>
      </c>
      <c r="AU1551" s="1">
        <v>22330</v>
      </c>
      <c r="AV1551">
        <v>80.010000000000005</v>
      </c>
      <c r="AX1551" s="1">
        <v>2684.72</v>
      </c>
      <c r="AY1551" t="s">
        <v>665</v>
      </c>
      <c r="AZ1551" t="s">
        <v>665</v>
      </c>
      <c r="BA1551" t="s">
        <v>378</v>
      </c>
      <c r="BE1551" s="3">
        <v>42041</v>
      </c>
      <c r="BF1551" s="1">
        <v>303721</v>
      </c>
      <c r="BG1551" t="s">
        <v>209</v>
      </c>
      <c r="BH1551" s="1">
        <v>118.41</v>
      </c>
      <c r="BI1551" s="1">
        <v>313743</v>
      </c>
      <c r="BJ1551" s="3">
        <v>42041</v>
      </c>
      <c r="BK1551" t="s">
        <v>123</v>
      </c>
      <c r="BL1551" t="str">
        <f>"2015.80315"</f>
        <v>2015.80315</v>
      </c>
      <c r="BM1551" t="s">
        <v>175</v>
      </c>
      <c r="BO1551" t="s">
        <v>10585</v>
      </c>
      <c r="BS1551">
        <v>30</v>
      </c>
      <c r="BW1551" t="str">
        <f>""</f>
        <v/>
      </c>
      <c r="CH1551" t="str">
        <f>""</f>
        <v/>
      </c>
      <c r="CS1551" t="str">
        <f>""</f>
        <v/>
      </c>
    </row>
    <row r="1552" spans="1:97" x14ac:dyDescent="0.25">
      <c r="A1552" t="s">
        <v>9055</v>
      </c>
      <c r="B1552" t="s">
        <v>10586</v>
      </c>
      <c r="C1552" t="s">
        <v>10587</v>
      </c>
      <c r="D1552" t="s">
        <v>10586</v>
      </c>
      <c r="E1552" t="s">
        <v>10588</v>
      </c>
      <c r="F1552" t="s">
        <v>108</v>
      </c>
      <c r="H1552" t="s">
        <v>10589</v>
      </c>
      <c r="I1552" t="s">
        <v>390</v>
      </c>
      <c r="J1552" t="s">
        <v>111</v>
      </c>
      <c r="K1552" t="str">
        <f>"85041"</f>
        <v>85041</v>
      </c>
      <c r="L1552" t="s">
        <v>6891</v>
      </c>
      <c r="M1552" t="s">
        <v>10589</v>
      </c>
      <c r="N1552" t="s">
        <v>390</v>
      </c>
      <c r="O1552" t="s">
        <v>111</v>
      </c>
      <c r="P1552" t="str">
        <f>"85041-5225"</f>
        <v>85041-5225</v>
      </c>
      <c r="Q1552" t="s">
        <v>113</v>
      </c>
      <c r="R1552" t="str">
        <f>"105-85-413"</f>
        <v>105-85-413</v>
      </c>
      <c r="S1552" t="s">
        <v>10590</v>
      </c>
      <c r="T1552" t="s">
        <v>10590</v>
      </c>
      <c r="U1552">
        <v>3771</v>
      </c>
      <c r="V1552">
        <v>0</v>
      </c>
      <c r="W1552">
        <v>5</v>
      </c>
      <c r="X1552">
        <v>2005</v>
      </c>
      <c r="Z1552">
        <v>2</v>
      </c>
      <c r="AA1552" t="s">
        <v>26</v>
      </c>
      <c r="AB1552">
        <v>0</v>
      </c>
      <c r="AC1552" t="s">
        <v>115</v>
      </c>
      <c r="AD1552">
        <v>2</v>
      </c>
      <c r="AE1552" t="s">
        <v>115</v>
      </c>
      <c r="AF1552">
        <v>0</v>
      </c>
      <c r="AG1552">
        <v>0</v>
      </c>
      <c r="AH1552" t="s">
        <v>116</v>
      </c>
      <c r="AI1552" s="1">
        <v>75463</v>
      </c>
      <c r="AJ1552" s="2">
        <v>0.22</v>
      </c>
      <c r="AK1552" s="1">
        <v>344117</v>
      </c>
      <c r="AL1552" t="s">
        <v>117</v>
      </c>
      <c r="AM1552" t="s">
        <v>171</v>
      </c>
      <c r="AN1552">
        <v>8800</v>
      </c>
      <c r="AO1552">
        <v>0.2</v>
      </c>
      <c r="AR1552">
        <v>1</v>
      </c>
      <c r="AS1552" s="1">
        <v>24170</v>
      </c>
      <c r="AT1552" s="1">
        <v>4830</v>
      </c>
      <c r="AU1552" s="1">
        <v>19340</v>
      </c>
      <c r="AV1552">
        <v>80.02</v>
      </c>
      <c r="AX1552" s="1">
        <v>2964.96</v>
      </c>
      <c r="AY1552" t="s">
        <v>5220</v>
      </c>
      <c r="AZ1552" t="s">
        <v>5220</v>
      </c>
      <c r="BA1552" t="s">
        <v>1661</v>
      </c>
      <c r="BE1552" s="3">
        <v>42482</v>
      </c>
      <c r="BF1552" s="1">
        <v>263000</v>
      </c>
      <c r="BG1552" t="s">
        <v>10591</v>
      </c>
      <c r="BH1552" s="1">
        <v>69.739999999999995</v>
      </c>
      <c r="BI1552" s="1">
        <v>268654</v>
      </c>
      <c r="BJ1552" s="3">
        <v>42482</v>
      </c>
      <c r="BK1552" t="s">
        <v>123</v>
      </c>
      <c r="BL1552" t="str">
        <f>"2016.272744"</f>
        <v>2016.272744</v>
      </c>
      <c r="BM1552" t="s">
        <v>1185</v>
      </c>
      <c r="BO1552" t="s">
        <v>10592</v>
      </c>
      <c r="BS1552">
        <v>30</v>
      </c>
      <c r="BW1552" t="str">
        <f>""</f>
        <v/>
      </c>
      <c r="CH1552" t="str">
        <f>""</f>
        <v/>
      </c>
      <c r="CS1552" t="str">
        <f>""</f>
        <v/>
      </c>
    </row>
    <row r="1553" spans="1:97" x14ac:dyDescent="0.25">
      <c r="A1553" t="s">
        <v>996</v>
      </c>
      <c r="B1553" t="s">
        <v>10593</v>
      </c>
      <c r="C1553" t="s">
        <v>7732</v>
      </c>
      <c r="D1553" t="s">
        <v>10593</v>
      </c>
      <c r="E1553" t="s">
        <v>10594</v>
      </c>
      <c r="F1553" t="s">
        <v>108</v>
      </c>
      <c r="H1553" t="s">
        <v>10595</v>
      </c>
      <c r="I1553" t="s">
        <v>632</v>
      </c>
      <c r="J1553" t="s">
        <v>111</v>
      </c>
      <c r="K1553" t="str">
        <f>"85387"</f>
        <v>85387</v>
      </c>
      <c r="L1553" t="s">
        <v>6529</v>
      </c>
      <c r="M1553" t="s">
        <v>10595</v>
      </c>
      <c r="N1553" t="s">
        <v>632</v>
      </c>
      <c r="O1553" t="s">
        <v>111</v>
      </c>
      <c r="P1553" t="str">
        <f>"85387-1132"</f>
        <v>85387-1132</v>
      </c>
      <c r="Q1553" t="s">
        <v>113</v>
      </c>
      <c r="R1553" t="str">
        <f>"510-04-785"</f>
        <v>510-04-785</v>
      </c>
      <c r="S1553" t="s">
        <v>8907</v>
      </c>
      <c r="T1553" t="s">
        <v>5498</v>
      </c>
      <c r="U1553">
        <v>1753</v>
      </c>
      <c r="V1553">
        <v>0</v>
      </c>
      <c r="W1553">
        <v>3</v>
      </c>
      <c r="X1553">
        <v>2016</v>
      </c>
      <c r="Z1553">
        <v>1</v>
      </c>
      <c r="AB1553">
        <v>0</v>
      </c>
      <c r="AC1553" t="s">
        <v>115</v>
      </c>
      <c r="AD1553">
        <v>2</v>
      </c>
      <c r="AE1553" t="s">
        <v>115</v>
      </c>
      <c r="AF1553">
        <v>0</v>
      </c>
      <c r="AG1553">
        <v>0</v>
      </c>
      <c r="AH1553" t="s">
        <v>116</v>
      </c>
      <c r="AI1553" s="1">
        <v>43904</v>
      </c>
      <c r="AJ1553" s="2">
        <v>0.16</v>
      </c>
      <c r="AK1553" s="1">
        <v>271609</v>
      </c>
      <c r="AL1553" t="s">
        <v>117</v>
      </c>
      <c r="AM1553" t="s">
        <v>118</v>
      </c>
      <c r="AN1553">
        <v>7475</v>
      </c>
      <c r="AO1553">
        <v>0.17</v>
      </c>
      <c r="AR1553">
        <v>1</v>
      </c>
      <c r="AS1553" s="1">
        <v>19360</v>
      </c>
      <c r="AT1553" s="1">
        <v>3870</v>
      </c>
      <c r="AU1553" s="1">
        <v>15490</v>
      </c>
      <c r="AV1553">
        <v>80.010000000000005</v>
      </c>
      <c r="AX1553" s="1">
        <v>1083.0999999999999</v>
      </c>
      <c r="AY1553" t="s">
        <v>5499</v>
      </c>
      <c r="AZ1553" t="s">
        <v>5499</v>
      </c>
      <c r="BE1553" s="3">
        <v>42493</v>
      </c>
      <c r="BF1553" s="1">
        <v>227705</v>
      </c>
      <c r="BG1553" t="s">
        <v>6320</v>
      </c>
      <c r="BH1553" s="1">
        <v>129.88999999999999</v>
      </c>
      <c r="BI1553" s="1">
        <v>227705</v>
      </c>
      <c r="BJ1553" s="3">
        <v>42493</v>
      </c>
      <c r="BK1553" t="s">
        <v>123</v>
      </c>
      <c r="BL1553" t="str">
        <f>"2016.299940"</f>
        <v>2016.299940</v>
      </c>
      <c r="BM1553" t="s">
        <v>573</v>
      </c>
      <c r="BO1553" t="s">
        <v>10596</v>
      </c>
      <c r="BS1553">
        <v>30</v>
      </c>
      <c r="BW1553" t="str">
        <f>""</f>
        <v/>
      </c>
      <c r="CH1553" t="str">
        <f>""</f>
        <v/>
      </c>
      <c r="CS1553" t="str">
        <f>""</f>
        <v/>
      </c>
    </row>
    <row r="1554" spans="1:97" x14ac:dyDescent="0.25">
      <c r="A1554" t="s">
        <v>1272</v>
      </c>
      <c r="B1554" t="s">
        <v>10597</v>
      </c>
      <c r="E1554" t="s">
        <v>10598</v>
      </c>
      <c r="F1554" t="s">
        <v>108</v>
      </c>
      <c r="H1554" t="s">
        <v>10599</v>
      </c>
      <c r="I1554" t="s">
        <v>390</v>
      </c>
      <c r="J1554" t="s">
        <v>111</v>
      </c>
      <c r="K1554" t="str">
        <f>"85022"</f>
        <v>85022</v>
      </c>
      <c r="L1554" t="s">
        <v>2903</v>
      </c>
      <c r="M1554" t="s">
        <v>10599</v>
      </c>
      <c r="N1554" t="s">
        <v>390</v>
      </c>
      <c r="O1554" t="s">
        <v>111</v>
      </c>
      <c r="P1554" t="str">
        <f>"85022-3389"</f>
        <v>85022-3389</v>
      </c>
      <c r="Q1554" t="s">
        <v>113</v>
      </c>
      <c r="R1554" t="str">
        <f>"214-19-417"</f>
        <v>214-19-417</v>
      </c>
      <c r="S1554" t="s">
        <v>10600</v>
      </c>
      <c r="T1554" t="s">
        <v>10601</v>
      </c>
      <c r="U1554">
        <v>1839</v>
      </c>
      <c r="V1554">
        <v>0</v>
      </c>
      <c r="W1554">
        <v>3</v>
      </c>
      <c r="X1554">
        <v>1994</v>
      </c>
      <c r="Z1554">
        <v>1</v>
      </c>
      <c r="AB1554">
        <v>0</v>
      </c>
      <c r="AC1554" t="s">
        <v>115</v>
      </c>
      <c r="AD1554">
        <v>2</v>
      </c>
      <c r="AE1554" t="s">
        <v>115</v>
      </c>
      <c r="AF1554">
        <v>0</v>
      </c>
      <c r="AG1554">
        <v>0</v>
      </c>
      <c r="AH1554" t="s">
        <v>116</v>
      </c>
      <c r="AI1554" s="1">
        <v>68640</v>
      </c>
      <c r="AJ1554" s="2">
        <v>0.17</v>
      </c>
      <c r="AK1554" s="1">
        <v>395490</v>
      </c>
      <c r="AL1554" t="s">
        <v>117</v>
      </c>
      <c r="AM1554" t="s">
        <v>171</v>
      </c>
      <c r="AN1554">
        <v>7872</v>
      </c>
      <c r="AO1554">
        <v>0.18</v>
      </c>
      <c r="AP1554">
        <v>1</v>
      </c>
      <c r="AR1554">
        <v>1</v>
      </c>
      <c r="AS1554" s="1">
        <v>30230</v>
      </c>
      <c r="AT1554" s="1">
        <v>6040</v>
      </c>
      <c r="AU1554" s="1">
        <v>24190</v>
      </c>
      <c r="AV1554">
        <v>80.02</v>
      </c>
      <c r="AX1554" s="1">
        <v>2720.76</v>
      </c>
      <c r="AY1554" t="s">
        <v>5442</v>
      </c>
      <c r="AZ1554" t="s">
        <v>5231</v>
      </c>
      <c r="BA1554" t="s">
        <v>2551</v>
      </c>
      <c r="BE1554" s="3">
        <v>42506</v>
      </c>
      <c r="BF1554" s="1">
        <v>320000</v>
      </c>
      <c r="BG1554" t="s">
        <v>10602</v>
      </c>
      <c r="BH1554" s="1">
        <v>174.01</v>
      </c>
      <c r="BI1554" s="1">
        <v>326850</v>
      </c>
      <c r="BJ1554" s="3">
        <v>42506</v>
      </c>
      <c r="BK1554" t="s">
        <v>123</v>
      </c>
      <c r="BL1554" t="str">
        <f>"2016.333462"</f>
        <v>2016.333462</v>
      </c>
      <c r="BM1554" t="s">
        <v>1192</v>
      </c>
      <c r="BO1554" t="s">
        <v>10603</v>
      </c>
      <c r="BS1554">
        <v>30</v>
      </c>
      <c r="BW1554" t="str">
        <f>""</f>
        <v/>
      </c>
      <c r="CH1554" t="str">
        <f>""</f>
        <v/>
      </c>
      <c r="CS1554" t="str">
        <f>""</f>
        <v/>
      </c>
    </row>
    <row r="1555" spans="1:97" x14ac:dyDescent="0.25">
      <c r="A1555" t="s">
        <v>817</v>
      </c>
      <c r="B1555" t="s">
        <v>10604</v>
      </c>
      <c r="E1555" t="s">
        <v>10605</v>
      </c>
      <c r="F1555" t="s">
        <v>108</v>
      </c>
      <c r="H1555" t="s">
        <v>10606</v>
      </c>
      <c r="I1555" t="s">
        <v>390</v>
      </c>
      <c r="J1555" t="s">
        <v>111</v>
      </c>
      <c r="K1555" t="str">
        <f>"85021"</f>
        <v>85021</v>
      </c>
      <c r="L1555" t="s">
        <v>3982</v>
      </c>
      <c r="M1555" t="s">
        <v>10606</v>
      </c>
      <c r="N1555" t="s">
        <v>390</v>
      </c>
      <c r="O1555" t="s">
        <v>111</v>
      </c>
      <c r="P1555" t="str">
        <f>"85021-4402"</f>
        <v>85021-4402</v>
      </c>
      <c r="Q1555" t="s">
        <v>113</v>
      </c>
      <c r="R1555" t="str">
        <f>"158-18-049"</f>
        <v>158-18-049</v>
      </c>
      <c r="S1555" t="s">
        <v>10607</v>
      </c>
      <c r="T1555" t="s">
        <v>10607</v>
      </c>
      <c r="U1555">
        <v>2325</v>
      </c>
      <c r="V1555">
        <v>0</v>
      </c>
      <c r="W1555">
        <v>2</v>
      </c>
      <c r="X1555">
        <v>1965</v>
      </c>
      <c r="Z1555">
        <v>1</v>
      </c>
      <c r="AA1555" t="s">
        <v>26</v>
      </c>
      <c r="AB1555">
        <v>0</v>
      </c>
      <c r="AC1555" t="s">
        <v>115</v>
      </c>
      <c r="AD1555">
        <v>2</v>
      </c>
      <c r="AE1555" t="s">
        <v>115</v>
      </c>
      <c r="AF1555">
        <v>0</v>
      </c>
      <c r="AG1555">
        <v>0</v>
      </c>
      <c r="AH1555" t="s">
        <v>116</v>
      </c>
      <c r="AI1555" s="1">
        <v>43723</v>
      </c>
      <c r="AJ1555" s="2">
        <v>0.09</v>
      </c>
      <c r="AK1555" s="1">
        <v>493078</v>
      </c>
      <c r="AL1555" t="s">
        <v>117</v>
      </c>
      <c r="AM1555" t="s">
        <v>1302</v>
      </c>
      <c r="AN1555">
        <v>10785</v>
      </c>
      <c r="AO1555">
        <v>0.25</v>
      </c>
      <c r="AP1555">
        <v>1</v>
      </c>
      <c r="AR1555">
        <v>1</v>
      </c>
      <c r="AS1555" s="1">
        <v>32070</v>
      </c>
      <c r="AT1555" s="1">
        <v>6410</v>
      </c>
      <c r="AU1555" s="1">
        <v>25660</v>
      </c>
      <c r="AV1555">
        <v>80.010000000000005</v>
      </c>
      <c r="AX1555" s="1">
        <v>2953.1</v>
      </c>
      <c r="AY1555" t="s">
        <v>6147</v>
      </c>
      <c r="AZ1555" t="s">
        <v>6148</v>
      </c>
      <c r="BA1555" t="s">
        <v>6149</v>
      </c>
      <c r="BE1555" s="3">
        <v>41698</v>
      </c>
      <c r="BF1555" s="1">
        <v>367000</v>
      </c>
      <c r="BG1555" t="s">
        <v>10608</v>
      </c>
      <c r="BH1555" s="1">
        <v>154.33000000000001</v>
      </c>
      <c r="BI1555" s="1">
        <v>449355</v>
      </c>
      <c r="BJ1555" s="3">
        <v>43108</v>
      </c>
      <c r="BK1555" t="s">
        <v>123</v>
      </c>
      <c r="BL1555" t="str">
        <f>"2018.15982"</f>
        <v>2018.15982</v>
      </c>
      <c r="BM1555" t="s">
        <v>10609</v>
      </c>
      <c r="BN1555" t="s">
        <v>10610</v>
      </c>
      <c r="BO1555" t="s">
        <v>10611</v>
      </c>
      <c r="BR1555" t="s">
        <v>139</v>
      </c>
      <c r="BW1555" t="str">
        <f>""</f>
        <v/>
      </c>
      <c r="CH1555" t="str">
        <f>""</f>
        <v/>
      </c>
      <c r="CS1555" t="str">
        <f>""</f>
        <v/>
      </c>
    </row>
    <row r="1556" spans="1:97" x14ac:dyDescent="0.25">
      <c r="A1556" t="s">
        <v>10612</v>
      </c>
      <c r="B1556" t="s">
        <v>4610</v>
      </c>
      <c r="E1556" t="s">
        <v>10613</v>
      </c>
      <c r="F1556" t="s">
        <v>108</v>
      </c>
      <c r="H1556" t="s">
        <v>10614</v>
      </c>
      <c r="I1556" t="s">
        <v>390</v>
      </c>
      <c r="J1556" t="s">
        <v>111</v>
      </c>
      <c r="K1556" t="str">
        <f>"85022"</f>
        <v>85022</v>
      </c>
      <c r="L1556" t="s">
        <v>5709</v>
      </c>
      <c r="M1556" t="s">
        <v>10614</v>
      </c>
      <c r="N1556" t="s">
        <v>390</v>
      </c>
      <c r="O1556" t="s">
        <v>111</v>
      </c>
      <c r="P1556" t="str">
        <f>"85022-3060"</f>
        <v>85022-3060</v>
      </c>
      <c r="Q1556" t="s">
        <v>113</v>
      </c>
      <c r="R1556" t="str">
        <f>"208-12-748"</f>
        <v>208-12-748</v>
      </c>
      <c r="S1556" t="s">
        <v>10615</v>
      </c>
      <c r="T1556" t="s">
        <v>10616</v>
      </c>
      <c r="U1556">
        <v>2710</v>
      </c>
      <c r="V1556">
        <v>0</v>
      </c>
      <c r="W1556">
        <v>3</v>
      </c>
      <c r="X1556">
        <v>1993</v>
      </c>
      <c r="Z1556">
        <v>1</v>
      </c>
      <c r="AA1556" t="s">
        <v>26</v>
      </c>
      <c r="AB1556">
        <v>0</v>
      </c>
      <c r="AC1556" t="s">
        <v>115</v>
      </c>
      <c r="AD1556">
        <v>2</v>
      </c>
      <c r="AE1556" t="s">
        <v>115</v>
      </c>
      <c r="AF1556">
        <v>0</v>
      </c>
      <c r="AG1556">
        <v>0</v>
      </c>
      <c r="AH1556" t="s">
        <v>116</v>
      </c>
      <c r="AI1556" s="1">
        <v>91571</v>
      </c>
      <c r="AJ1556" s="2">
        <v>0.2</v>
      </c>
      <c r="AK1556" s="1">
        <v>462571</v>
      </c>
      <c r="AL1556" t="s">
        <v>117</v>
      </c>
      <c r="AM1556" t="s">
        <v>191</v>
      </c>
      <c r="AN1556">
        <v>9345</v>
      </c>
      <c r="AO1556">
        <v>0.22</v>
      </c>
      <c r="AP1556">
        <v>1</v>
      </c>
      <c r="AR1556">
        <v>1</v>
      </c>
      <c r="AS1556" s="1">
        <v>33710</v>
      </c>
      <c r="AT1556" s="1">
        <v>6740</v>
      </c>
      <c r="AU1556" s="1">
        <v>26970</v>
      </c>
      <c r="AV1556">
        <v>80.010000000000005</v>
      </c>
      <c r="AX1556" s="1">
        <v>3890.32</v>
      </c>
      <c r="AY1556" t="s">
        <v>9170</v>
      </c>
      <c r="AZ1556" t="s">
        <v>8648</v>
      </c>
      <c r="BA1556" t="s">
        <v>8649</v>
      </c>
      <c r="BE1556" s="3">
        <v>42549</v>
      </c>
      <c r="BF1556" s="1">
        <v>369400</v>
      </c>
      <c r="BG1556" t="s">
        <v>10617</v>
      </c>
      <c r="BH1556" s="1">
        <v>136.31</v>
      </c>
      <c r="BI1556" s="1">
        <v>371000</v>
      </c>
      <c r="BJ1556" s="3">
        <v>42769</v>
      </c>
      <c r="BK1556" t="s">
        <v>123</v>
      </c>
      <c r="BL1556" t="str">
        <f>"2017.84974"</f>
        <v>2017.84974</v>
      </c>
      <c r="BM1556" t="s">
        <v>248</v>
      </c>
      <c r="BO1556" t="s">
        <v>10618</v>
      </c>
      <c r="BS1556">
        <v>30</v>
      </c>
      <c r="BW1556" t="str">
        <f>""</f>
        <v/>
      </c>
      <c r="CH1556" t="str">
        <f>""</f>
        <v/>
      </c>
      <c r="CS1556" t="str">
        <f>""</f>
        <v/>
      </c>
    </row>
    <row r="1557" spans="1:97" x14ac:dyDescent="0.25">
      <c r="A1557" t="s">
        <v>5740</v>
      </c>
      <c r="B1557" t="s">
        <v>10619</v>
      </c>
      <c r="C1557" t="s">
        <v>996</v>
      </c>
      <c r="D1557" t="s">
        <v>10619</v>
      </c>
      <c r="E1557" t="s">
        <v>10620</v>
      </c>
      <c r="F1557" t="s">
        <v>108</v>
      </c>
      <c r="H1557" t="s">
        <v>10621</v>
      </c>
      <c r="I1557" t="s">
        <v>1397</v>
      </c>
      <c r="J1557" t="s">
        <v>111</v>
      </c>
      <c r="K1557" t="str">
        <f>"85331"</f>
        <v>85331</v>
      </c>
      <c r="L1557" t="s">
        <v>10622</v>
      </c>
      <c r="M1557" t="s">
        <v>10621</v>
      </c>
      <c r="N1557" t="s">
        <v>1397</v>
      </c>
      <c r="O1557" t="s">
        <v>111</v>
      </c>
      <c r="P1557" t="str">
        <f>"85331-4512"</f>
        <v>85331-4512</v>
      </c>
      <c r="Q1557" t="s">
        <v>113</v>
      </c>
      <c r="R1557" t="str">
        <f>"211-37-383"</f>
        <v>211-37-383</v>
      </c>
      <c r="S1557" t="s">
        <v>10623</v>
      </c>
      <c r="T1557" t="s">
        <v>10623</v>
      </c>
      <c r="U1557">
        <v>3376</v>
      </c>
      <c r="V1557">
        <v>0</v>
      </c>
      <c r="W1557">
        <v>4</v>
      </c>
      <c r="X1557">
        <v>1999</v>
      </c>
      <c r="Z1557">
        <v>2</v>
      </c>
      <c r="AA1557" t="s">
        <v>26</v>
      </c>
      <c r="AB1557">
        <v>0</v>
      </c>
      <c r="AC1557" t="s">
        <v>115</v>
      </c>
      <c r="AD1557">
        <v>3</v>
      </c>
      <c r="AE1557" t="s">
        <v>115</v>
      </c>
      <c r="AF1557">
        <v>0</v>
      </c>
      <c r="AG1557">
        <v>0</v>
      </c>
      <c r="AH1557" t="s">
        <v>116</v>
      </c>
      <c r="AI1557" s="1">
        <v>147985</v>
      </c>
      <c r="AJ1557" s="2">
        <v>0.23</v>
      </c>
      <c r="AK1557" s="1">
        <v>638835</v>
      </c>
      <c r="AL1557" t="s">
        <v>117</v>
      </c>
      <c r="AM1557" t="s">
        <v>616</v>
      </c>
      <c r="AN1557">
        <v>11925</v>
      </c>
      <c r="AO1557">
        <v>0.27</v>
      </c>
      <c r="AP1557">
        <v>1</v>
      </c>
      <c r="AR1557">
        <v>1</v>
      </c>
      <c r="AS1557" s="1">
        <v>43830</v>
      </c>
      <c r="AT1557" s="1">
        <v>8760</v>
      </c>
      <c r="AU1557" s="1">
        <v>35070</v>
      </c>
      <c r="AV1557">
        <v>80.010000000000005</v>
      </c>
      <c r="AX1557" s="1">
        <v>3104.62</v>
      </c>
      <c r="AY1557" t="s">
        <v>7359</v>
      </c>
      <c r="AZ1557" t="s">
        <v>1402</v>
      </c>
      <c r="BA1557" t="s">
        <v>1403</v>
      </c>
      <c r="BE1557" s="3">
        <v>41723</v>
      </c>
      <c r="BF1557" s="1">
        <v>495000</v>
      </c>
      <c r="BG1557" t="s">
        <v>10624</v>
      </c>
      <c r="BH1557" s="1">
        <v>146.62</v>
      </c>
      <c r="BI1557" s="1">
        <v>490850</v>
      </c>
      <c r="BJ1557" s="3">
        <v>42153</v>
      </c>
      <c r="BK1557" t="s">
        <v>123</v>
      </c>
      <c r="BL1557" t="str">
        <f>"2015.379638"</f>
        <v>2015.379638</v>
      </c>
      <c r="BM1557" t="s">
        <v>1201</v>
      </c>
      <c r="BO1557" t="s">
        <v>10625</v>
      </c>
      <c r="BS1557">
        <v>30</v>
      </c>
      <c r="BW1557" t="str">
        <f>""</f>
        <v/>
      </c>
      <c r="CH1557" t="str">
        <f>""</f>
        <v/>
      </c>
      <c r="CS1557" t="str">
        <f>""</f>
        <v/>
      </c>
    </row>
    <row r="1558" spans="1:97" x14ac:dyDescent="0.25">
      <c r="A1558" t="s">
        <v>10626</v>
      </c>
      <c r="B1558" t="s">
        <v>976</v>
      </c>
      <c r="C1558" t="s">
        <v>10627</v>
      </c>
      <c r="D1558" t="s">
        <v>976</v>
      </c>
      <c r="E1558" t="s">
        <v>10628</v>
      </c>
      <c r="F1558" t="s">
        <v>108</v>
      </c>
      <c r="H1558" t="s">
        <v>10629</v>
      </c>
      <c r="I1558" t="s">
        <v>203</v>
      </c>
      <c r="J1558" t="s">
        <v>111</v>
      </c>
      <c r="K1558" t="str">
        <f>"85234"</f>
        <v>85234</v>
      </c>
      <c r="L1558" t="s">
        <v>8199</v>
      </c>
      <c r="M1558" t="s">
        <v>10629</v>
      </c>
      <c r="N1558" t="s">
        <v>203</v>
      </c>
      <c r="O1558" t="s">
        <v>111</v>
      </c>
      <c r="P1558" t="str">
        <f>"85234-3677"</f>
        <v>85234-3677</v>
      </c>
      <c r="Q1558" t="s">
        <v>113</v>
      </c>
      <c r="R1558" t="str">
        <f>"309-03-550"</f>
        <v>309-03-550</v>
      </c>
      <c r="S1558" t="s">
        <v>10630</v>
      </c>
      <c r="U1558">
        <v>1910</v>
      </c>
      <c r="V1558">
        <v>0</v>
      </c>
      <c r="W1558">
        <v>4</v>
      </c>
      <c r="X1558">
        <v>1992</v>
      </c>
      <c r="Z1558">
        <v>1</v>
      </c>
      <c r="AA1558" t="s">
        <v>26</v>
      </c>
      <c r="AB1558">
        <v>0</v>
      </c>
      <c r="AC1558" t="s">
        <v>115</v>
      </c>
      <c r="AD1558">
        <v>2</v>
      </c>
      <c r="AE1558" t="s">
        <v>115</v>
      </c>
      <c r="AF1558">
        <v>0</v>
      </c>
      <c r="AG1558">
        <v>0</v>
      </c>
      <c r="AH1558" t="s">
        <v>116</v>
      </c>
      <c r="AI1558" s="1">
        <v>74882</v>
      </c>
      <c r="AJ1558" s="2">
        <v>0.23</v>
      </c>
      <c r="AK1558" s="1">
        <v>322132</v>
      </c>
      <c r="AL1558" t="s">
        <v>117</v>
      </c>
      <c r="AM1558" t="s">
        <v>393</v>
      </c>
      <c r="AN1558">
        <v>6591</v>
      </c>
      <c r="AO1558">
        <v>0.15</v>
      </c>
      <c r="AP1558">
        <v>1</v>
      </c>
      <c r="AR1558">
        <v>1</v>
      </c>
      <c r="AS1558" s="1">
        <v>22250</v>
      </c>
      <c r="AT1558" s="1">
        <v>4450</v>
      </c>
      <c r="AU1558" s="1">
        <v>17800</v>
      </c>
      <c r="AV1558">
        <v>80</v>
      </c>
      <c r="AX1558" s="1">
        <v>1940.56</v>
      </c>
      <c r="AY1558" t="s">
        <v>272</v>
      </c>
      <c r="AZ1558" t="s">
        <v>5478</v>
      </c>
      <c r="BA1558" t="s">
        <v>5033</v>
      </c>
      <c r="BE1558" s="3">
        <v>42550</v>
      </c>
      <c r="BF1558" s="1">
        <v>247250</v>
      </c>
      <c r="BG1558" t="s">
        <v>10631</v>
      </c>
      <c r="BH1558" s="1">
        <v>129.44999999999999</v>
      </c>
      <c r="BI1558" s="1">
        <v>247250</v>
      </c>
      <c r="BJ1558" s="3">
        <v>42550</v>
      </c>
      <c r="BK1558" t="s">
        <v>123</v>
      </c>
      <c r="BL1558" t="str">
        <f>"2016.456925"</f>
        <v>2016.456925</v>
      </c>
      <c r="BM1558" t="s">
        <v>5747</v>
      </c>
      <c r="BO1558" t="s">
        <v>10632</v>
      </c>
      <c r="BS1558">
        <v>30</v>
      </c>
      <c r="BW1558" t="str">
        <f>""</f>
        <v/>
      </c>
      <c r="CH1558" t="str">
        <f>""</f>
        <v/>
      </c>
      <c r="CS1558" t="str">
        <f>""</f>
        <v/>
      </c>
    </row>
    <row r="1559" spans="1:97" x14ac:dyDescent="0.25">
      <c r="A1559" t="s">
        <v>1349</v>
      </c>
      <c r="B1559" t="s">
        <v>10633</v>
      </c>
      <c r="E1559" t="s">
        <v>10634</v>
      </c>
      <c r="F1559" t="s">
        <v>108</v>
      </c>
      <c r="H1559" t="s">
        <v>10635</v>
      </c>
      <c r="I1559" t="s">
        <v>632</v>
      </c>
      <c r="J1559" t="s">
        <v>111</v>
      </c>
      <c r="K1559" t="str">
        <f>"85387"</f>
        <v>85387</v>
      </c>
      <c r="L1559" t="s">
        <v>5496</v>
      </c>
      <c r="M1559" t="s">
        <v>10635</v>
      </c>
      <c r="N1559" t="s">
        <v>632</v>
      </c>
      <c r="O1559" t="s">
        <v>111</v>
      </c>
      <c r="P1559" t="str">
        <f>"85387-6866"</f>
        <v>85387-6866</v>
      </c>
      <c r="Q1559" t="s">
        <v>113</v>
      </c>
      <c r="R1559" t="str">
        <f>"503-73-637"</f>
        <v>503-73-637</v>
      </c>
      <c r="S1559" t="s">
        <v>10636</v>
      </c>
      <c r="T1559" t="s">
        <v>5498</v>
      </c>
      <c r="U1559">
        <v>1320</v>
      </c>
      <c r="V1559">
        <v>0</v>
      </c>
      <c r="W1559">
        <v>3</v>
      </c>
      <c r="X1559">
        <v>2006</v>
      </c>
      <c r="Z1559">
        <v>1</v>
      </c>
      <c r="AA1559" t="s">
        <v>26</v>
      </c>
      <c r="AB1559">
        <v>0</v>
      </c>
      <c r="AC1559" t="s">
        <v>115</v>
      </c>
      <c r="AD1559">
        <v>2</v>
      </c>
      <c r="AE1559" t="s">
        <v>115</v>
      </c>
      <c r="AF1559">
        <v>0</v>
      </c>
      <c r="AG1559">
        <v>0</v>
      </c>
      <c r="AH1559" t="s">
        <v>116</v>
      </c>
      <c r="AI1559" s="1">
        <v>4821</v>
      </c>
      <c r="AJ1559" s="2">
        <v>0.02</v>
      </c>
      <c r="AK1559" s="1">
        <v>216854</v>
      </c>
      <c r="AL1559" t="s">
        <v>117</v>
      </c>
      <c r="AM1559" t="s">
        <v>118</v>
      </c>
      <c r="AN1559">
        <v>6435</v>
      </c>
      <c r="AO1559">
        <v>0.15</v>
      </c>
      <c r="AR1559">
        <v>1</v>
      </c>
      <c r="AS1559" s="1">
        <v>14410</v>
      </c>
      <c r="AT1559" s="1">
        <v>2880</v>
      </c>
      <c r="AU1559" s="1">
        <v>11530</v>
      </c>
      <c r="AV1559">
        <v>80.010000000000005</v>
      </c>
      <c r="AX1559" s="1">
        <v>939.62</v>
      </c>
      <c r="AY1559" t="s">
        <v>5108</v>
      </c>
      <c r="AZ1559" t="s">
        <v>5108</v>
      </c>
      <c r="BA1559" t="s">
        <v>5109</v>
      </c>
      <c r="BE1559" s="3">
        <v>42433</v>
      </c>
      <c r="BF1559" s="1">
        <v>164900</v>
      </c>
      <c r="BG1559" t="s">
        <v>10637</v>
      </c>
      <c r="BH1559" s="1">
        <v>124.92</v>
      </c>
      <c r="BI1559" s="1">
        <v>212033</v>
      </c>
      <c r="BJ1559" s="3">
        <v>43539</v>
      </c>
      <c r="BK1559" t="s">
        <v>123</v>
      </c>
      <c r="BL1559" t="str">
        <f>"2019.182712"</f>
        <v>2019.182712</v>
      </c>
      <c r="BM1559" t="s">
        <v>5534</v>
      </c>
      <c r="BN1559" t="s">
        <v>6390</v>
      </c>
      <c r="BO1559" t="s">
        <v>10638</v>
      </c>
      <c r="BR1559" t="s">
        <v>139</v>
      </c>
      <c r="BW1559" t="str">
        <f>""</f>
        <v/>
      </c>
      <c r="CH1559" t="str">
        <f>""</f>
        <v/>
      </c>
      <c r="CS1559" t="str">
        <f>""</f>
        <v/>
      </c>
    </row>
    <row r="1560" spans="1:97" x14ac:dyDescent="0.25">
      <c r="A1560" t="s">
        <v>10639</v>
      </c>
      <c r="B1560" t="s">
        <v>10640</v>
      </c>
      <c r="C1560" t="s">
        <v>984</v>
      </c>
      <c r="D1560" t="s">
        <v>10640</v>
      </c>
      <c r="E1560" t="s">
        <v>10641</v>
      </c>
      <c r="F1560" t="s">
        <v>108</v>
      </c>
      <c r="H1560" t="s">
        <v>10642</v>
      </c>
      <c r="I1560" t="s">
        <v>632</v>
      </c>
      <c r="J1560" t="s">
        <v>111</v>
      </c>
      <c r="K1560" t="str">
        <f>"85388"</f>
        <v>85388</v>
      </c>
      <c r="L1560" t="s">
        <v>5727</v>
      </c>
      <c r="M1560" t="s">
        <v>10642</v>
      </c>
      <c r="N1560" t="s">
        <v>632</v>
      </c>
      <c r="O1560" t="s">
        <v>111</v>
      </c>
      <c r="P1560" t="str">
        <f>"85388-5629"</f>
        <v>85388-5629</v>
      </c>
      <c r="Q1560" t="s">
        <v>113</v>
      </c>
      <c r="R1560" t="str">
        <f>"502-06-146"</f>
        <v>502-06-146</v>
      </c>
      <c r="S1560" t="s">
        <v>5728</v>
      </c>
      <c r="T1560" t="s">
        <v>5167</v>
      </c>
      <c r="U1560">
        <v>3241</v>
      </c>
      <c r="V1560">
        <v>0</v>
      </c>
      <c r="W1560">
        <v>3</v>
      </c>
      <c r="X1560">
        <v>2011</v>
      </c>
      <c r="Z1560">
        <v>2</v>
      </c>
      <c r="AA1560" t="s">
        <v>26</v>
      </c>
      <c r="AB1560">
        <v>0</v>
      </c>
      <c r="AC1560" t="s">
        <v>115</v>
      </c>
      <c r="AD1560">
        <v>3</v>
      </c>
      <c r="AE1560" t="s">
        <v>115</v>
      </c>
      <c r="AF1560">
        <v>0</v>
      </c>
      <c r="AG1560">
        <v>0</v>
      </c>
      <c r="AH1560" t="s">
        <v>116</v>
      </c>
      <c r="AI1560" s="1">
        <v>87533</v>
      </c>
      <c r="AJ1560" s="2">
        <v>0.25</v>
      </c>
      <c r="AK1560" s="1">
        <v>348015</v>
      </c>
      <c r="AL1560" t="s">
        <v>117</v>
      </c>
      <c r="AM1560" t="s">
        <v>118</v>
      </c>
      <c r="AN1560">
        <v>6095</v>
      </c>
      <c r="AO1560">
        <v>0.14000000000000001</v>
      </c>
      <c r="AR1560">
        <v>1</v>
      </c>
      <c r="AS1560" s="1">
        <v>25330</v>
      </c>
      <c r="AT1560" s="1">
        <v>5060</v>
      </c>
      <c r="AU1560" s="1">
        <v>20270</v>
      </c>
      <c r="AV1560">
        <v>80.02</v>
      </c>
      <c r="AX1560" s="1">
        <v>2369.1</v>
      </c>
      <c r="AY1560" t="s">
        <v>5168</v>
      </c>
      <c r="AZ1560" t="s">
        <v>5168</v>
      </c>
      <c r="BA1560" t="s">
        <v>5061</v>
      </c>
      <c r="BE1560" s="3">
        <v>42179</v>
      </c>
      <c r="BF1560" s="1">
        <v>255000</v>
      </c>
      <c r="BG1560" t="s">
        <v>5034</v>
      </c>
      <c r="BH1560" s="1">
        <v>78.680000000000007</v>
      </c>
      <c r="BI1560" s="1">
        <v>260482</v>
      </c>
      <c r="BJ1560" s="3">
        <v>42179</v>
      </c>
      <c r="BK1560" t="s">
        <v>123</v>
      </c>
      <c r="BL1560" t="str">
        <f>"2015.449487"</f>
        <v>2015.449487</v>
      </c>
      <c r="BM1560" t="s">
        <v>475</v>
      </c>
      <c r="BO1560" t="s">
        <v>10643</v>
      </c>
      <c r="BS1560">
        <v>30</v>
      </c>
      <c r="BW1560" t="str">
        <f>""</f>
        <v/>
      </c>
      <c r="CH1560" t="str">
        <f>""</f>
        <v/>
      </c>
      <c r="CS1560" t="str">
        <f>""</f>
        <v/>
      </c>
    </row>
    <row r="1561" spans="1:97" x14ac:dyDescent="0.25">
      <c r="A1561" t="s">
        <v>177</v>
      </c>
      <c r="B1561" t="s">
        <v>10644</v>
      </c>
      <c r="C1561" t="s">
        <v>10645</v>
      </c>
      <c r="D1561" t="s">
        <v>10644</v>
      </c>
      <c r="E1561" t="s">
        <v>10646</v>
      </c>
      <c r="F1561" t="s">
        <v>108</v>
      </c>
      <c r="H1561" t="s">
        <v>10647</v>
      </c>
      <c r="I1561" t="s">
        <v>453</v>
      </c>
      <c r="J1561" t="s">
        <v>111</v>
      </c>
      <c r="K1561" t="str">
        <f>"85382"</f>
        <v>85382</v>
      </c>
      <c r="L1561" t="s">
        <v>4159</v>
      </c>
      <c r="M1561" t="s">
        <v>10647</v>
      </c>
      <c r="N1561" t="s">
        <v>453</v>
      </c>
      <c r="O1561" t="s">
        <v>111</v>
      </c>
      <c r="P1561" t="str">
        <f>"85382-5471"</f>
        <v>85382-5471</v>
      </c>
      <c r="Q1561" t="s">
        <v>113</v>
      </c>
      <c r="R1561" t="str">
        <f>"200-17-094"</f>
        <v>200-17-094</v>
      </c>
      <c r="S1561" t="s">
        <v>10648</v>
      </c>
      <c r="U1561">
        <v>1685</v>
      </c>
      <c r="V1561">
        <v>0</v>
      </c>
      <c r="W1561">
        <v>3</v>
      </c>
      <c r="X1561">
        <v>1999</v>
      </c>
      <c r="Z1561">
        <v>1</v>
      </c>
      <c r="AB1561">
        <v>0</v>
      </c>
      <c r="AC1561" t="s">
        <v>115</v>
      </c>
      <c r="AD1561">
        <v>2</v>
      </c>
      <c r="AE1561" t="s">
        <v>115</v>
      </c>
      <c r="AF1561">
        <v>0</v>
      </c>
      <c r="AG1561">
        <v>0</v>
      </c>
      <c r="AH1561" t="s">
        <v>116</v>
      </c>
      <c r="AI1561" s="1">
        <v>78800</v>
      </c>
      <c r="AJ1561" s="2">
        <v>0.26</v>
      </c>
      <c r="AK1561" s="1">
        <v>297800</v>
      </c>
      <c r="AL1561" t="s">
        <v>117</v>
      </c>
      <c r="AM1561" t="s">
        <v>118</v>
      </c>
      <c r="AN1561">
        <v>5430</v>
      </c>
      <c r="AO1561">
        <v>0.12</v>
      </c>
      <c r="AP1561">
        <v>1</v>
      </c>
      <c r="AR1561">
        <v>1</v>
      </c>
      <c r="AS1561" s="1">
        <v>19380</v>
      </c>
      <c r="AT1561" s="1">
        <v>3870</v>
      </c>
      <c r="AU1561" s="1">
        <v>15510</v>
      </c>
      <c r="AV1561">
        <v>80.03</v>
      </c>
      <c r="AX1561" s="1">
        <v>1609.32</v>
      </c>
      <c r="AY1561" t="s">
        <v>4218</v>
      </c>
      <c r="AZ1561" t="s">
        <v>4218</v>
      </c>
      <c r="BA1561" t="s">
        <v>4219</v>
      </c>
      <c r="BE1561" s="3">
        <v>41948</v>
      </c>
      <c r="BF1561" s="1">
        <v>218000</v>
      </c>
      <c r="BG1561" t="s">
        <v>10649</v>
      </c>
      <c r="BH1561" s="1">
        <v>129.38</v>
      </c>
      <c r="BI1561" s="1">
        <v>219000</v>
      </c>
      <c r="BJ1561" s="3">
        <v>42486</v>
      </c>
      <c r="BK1561" t="s">
        <v>123</v>
      </c>
      <c r="BL1561" t="str">
        <f>"2016.277509"</f>
        <v>2016.277509</v>
      </c>
      <c r="BM1561" t="s">
        <v>248</v>
      </c>
      <c r="BO1561" t="s">
        <v>10650</v>
      </c>
      <c r="BS1561">
        <v>30</v>
      </c>
      <c r="BW1561" t="str">
        <f>""</f>
        <v/>
      </c>
      <c r="CH1561" t="str">
        <f>""</f>
        <v/>
      </c>
      <c r="CS1561" t="str">
        <f>""</f>
        <v/>
      </c>
    </row>
    <row r="1562" spans="1:97" x14ac:dyDescent="0.25">
      <c r="A1562" t="s">
        <v>2668</v>
      </c>
      <c r="B1562" t="s">
        <v>6938</v>
      </c>
      <c r="C1562" t="s">
        <v>2530</v>
      </c>
      <c r="D1562" t="s">
        <v>6938</v>
      </c>
      <c r="E1562" t="s">
        <v>10651</v>
      </c>
      <c r="F1562" t="s">
        <v>108</v>
      </c>
      <c r="H1562" t="s">
        <v>10652</v>
      </c>
      <c r="I1562" t="s">
        <v>203</v>
      </c>
      <c r="J1562" t="s">
        <v>111</v>
      </c>
      <c r="K1562" t="str">
        <f>"85234"</f>
        <v>85234</v>
      </c>
      <c r="L1562" t="s">
        <v>688</v>
      </c>
      <c r="M1562" t="s">
        <v>10652</v>
      </c>
      <c r="N1562" t="s">
        <v>203</v>
      </c>
      <c r="O1562" t="s">
        <v>111</v>
      </c>
      <c r="P1562" t="str">
        <f>"85234-2933"</f>
        <v>85234-2933</v>
      </c>
      <c r="Q1562" t="s">
        <v>113</v>
      </c>
      <c r="R1562" t="str">
        <f>"304-07-132"</f>
        <v>304-07-132</v>
      </c>
      <c r="S1562" t="s">
        <v>10653</v>
      </c>
      <c r="T1562" t="s">
        <v>10653</v>
      </c>
      <c r="U1562">
        <v>2622</v>
      </c>
      <c r="V1562">
        <v>0</v>
      </c>
      <c r="W1562">
        <v>4</v>
      </c>
      <c r="X1562">
        <v>1997</v>
      </c>
      <c r="Z1562">
        <v>2</v>
      </c>
      <c r="AB1562">
        <v>0</v>
      </c>
      <c r="AC1562" t="s">
        <v>115</v>
      </c>
      <c r="AD1562">
        <v>3</v>
      </c>
      <c r="AE1562" t="s">
        <v>115</v>
      </c>
      <c r="AF1562">
        <v>0</v>
      </c>
      <c r="AG1562">
        <v>0</v>
      </c>
      <c r="AH1562" t="s">
        <v>116</v>
      </c>
      <c r="AI1562" s="1">
        <v>69913</v>
      </c>
      <c r="AJ1562" s="2">
        <v>0.19</v>
      </c>
      <c r="AK1562" s="1">
        <v>375341</v>
      </c>
      <c r="AL1562" t="s">
        <v>117</v>
      </c>
      <c r="AM1562" t="s">
        <v>393</v>
      </c>
      <c r="AN1562">
        <v>7135</v>
      </c>
      <c r="AO1562">
        <v>0.16</v>
      </c>
      <c r="AP1562">
        <v>1</v>
      </c>
      <c r="AR1562">
        <v>1</v>
      </c>
      <c r="AS1562" s="1">
        <v>26360</v>
      </c>
      <c r="AT1562" s="1">
        <v>5270</v>
      </c>
      <c r="AU1562" s="1">
        <v>21090</v>
      </c>
      <c r="AV1562">
        <v>80.010000000000005</v>
      </c>
      <c r="AX1562" s="1">
        <v>1928.72</v>
      </c>
      <c r="AY1562" t="s">
        <v>10654</v>
      </c>
      <c r="AZ1562" t="s">
        <v>571</v>
      </c>
      <c r="BA1562" t="s">
        <v>521</v>
      </c>
      <c r="BE1562" s="3">
        <v>42090</v>
      </c>
      <c r="BF1562" s="1">
        <v>299000</v>
      </c>
      <c r="BG1562" t="s">
        <v>10655</v>
      </c>
      <c r="BH1562" s="1">
        <v>114.04</v>
      </c>
      <c r="BI1562" s="1">
        <v>305428</v>
      </c>
      <c r="BJ1562" s="3">
        <v>42090</v>
      </c>
      <c r="BK1562" t="s">
        <v>123</v>
      </c>
      <c r="BL1562" t="str">
        <f>"2015.208724"</f>
        <v>2015.208724</v>
      </c>
      <c r="BM1562" t="s">
        <v>5534</v>
      </c>
      <c r="BO1562" t="s">
        <v>10656</v>
      </c>
      <c r="BS1562">
        <v>30</v>
      </c>
      <c r="BW1562" t="str">
        <f>""</f>
        <v/>
      </c>
      <c r="CH1562" t="str">
        <f>""</f>
        <v/>
      </c>
      <c r="CS1562" t="str">
        <f>""</f>
        <v/>
      </c>
    </row>
    <row r="1563" spans="1:97" x14ac:dyDescent="0.25">
      <c r="A1563" t="s">
        <v>701</v>
      </c>
      <c r="B1563" t="s">
        <v>9289</v>
      </c>
      <c r="C1563" t="s">
        <v>10657</v>
      </c>
      <c r="D1563" t="s">
        <v>9289</v>
      </c>
      <c r="E1563" t="s">
        <v>10658</v>
      </c>
      <c r="F1563" t="s">
        <v>108</v>
      </c>
      <c r="H1563" t="s">
        <v>10659</v>
      </c>
      <c r="I1563" t="s">
        <v>5551</v>
      </c>
      <c r="J1563" t="s">
        <v>111</v>
      </c>
      <c r="K1563" t="str">
        <f>"85248"</f>
        <v>85248</v>
      </c>
      <c r="L1563" t="s">
        <v>3885</v>
      </c>
      <c r="M1563" t="s">
        <v>10659</v>
      </c>
      <c r="N1563" t="s">
        <v>5551</v>
      </c>
      <c r="O1563" t="s">
        <v>111</v>
      </c>
      <c r="P1563" t="str">
        <f>"85248-6824"</f>
        <v>85248-6824</v>
      </c>
      <c r="Q1563" t="s">
        <v>113</v>
      </c>
      <c r="R1563" t="str">
        <f>"303-60-741"</f>
        <v>303-60-741</v>
      </c>
      <c r="S1563" t="s">
        <v>10660</v>
      </c>
      <c r="U1563">
        <v>1867</v>
      </c>
      <c r="V1563">
        <v>0</v>
      </c>
      <c r="W1563">
        <v>4</v>
      </c>
      <c r="X1563">
        <v>1985</v>
      </c>
      <c r="Z1563">
        <v>1</v>
      </c>
      <c r="AB1563">
        <v>0</v>
      </c>
      <c r="AC1563" t="s">
        <v>115</v>
      </c>
      <c r="AD1563">
        <v>2</v>
      </c>
      <c r="AE1563" t="s">
        <v>115</v>
      </c>
      <c r="AF1563">
        <v>0</v>
      </c>
      <c r="AG1563">
        <v>0</v>
      </c>
      <c r="AH1563" t="s">
        <v>116</v>
      </c>
      <c r="AI1563" s="1">
        <v>97031</v>
      </c>
      <c r="AJ1563" s="2">
        <v>0.33</v>
      </c>
      <c r="AK1563" s="1">
        <v>297031</v>
      </c>
      <c r="AL1563" t="s">
        <v>117</v>
      </c>
      <c r="AM1563" t="s">
        <v>191</v>
      </c>
      <c r="AN1563">
        <v>7484</v>
      </c>
      <c r="AO1563">
        <v>0.17</v>
      </c>
      <c r="AP1563">
        <v>1</v>
      </c>
      <c r="AR1563">
        <v>1</v>
      </c>
      <c r="AS1563" s="1">
        <v>20150</v>
      </c>
      <c r="AT1563" s="1">
        <v>4030</v>
      </c>
      <c r="AU1563" s="1">
        <v>16120</v>
      </c>
      <c r="AV1563">
        <v>80</v>
      </c>
      <c r="AX1563" s="1">
        <v>2174.62</v>
      </c>
      <c r="AY1563" t="s">
        <v>1881</v>
      </c>
      <c r="AZ1563" t="s">
        <v>1882</v>
      </c>
      <c r="BA1563" t="s">
        <v>121</v>
      </c>
      <c r="BE1563" s="3">
        <v>42234</v>
      </c>
      <c r="BF1563" s="1">
        <v>196000</v>
      </c>
      <c r="BG1563" t="s">
        <v>10661</v>
      </c>
      <c r="BH1563" s="1">
        <v>104.98</v>
      </c>
      <c r="BI1563" s="1">
        <v>200000</v>
      </c>
      <c r="BJ1563" s="3">
        <v>42612</v>
      </c>
      <c r="BK1563" t="s">
        <v>123</v>
      </c>
      <c r="BL1563" t="str">
        <f>"2016.623036"</f>
        <v>2016.623036</v>
      </c>
      <c r="BM1563" t="s">
        <v>709</v>
      </c>
      <c r="BO1563" t="s">
        <v>10662</v>
      </c>
      <c r="BS1563">
        <v>30</v>
      </c>
      <c r="BW1563" t="str">
        <f>""</f>
        <v/>
      </c>
      <c r="CH1563" t="str">
        <f>""</f>
        <v/>
      </c>
      <c r="CS1563" t="str">
        <f>""</f>
        <v/>
      </c>
    </row>
    <row r="1564" spans="1:97" x14ac:dyDescent="0.25">
      <c r="A1564" t="s">
        <v>177</v>
      </c>
      <c r="B1564" t="s">
        <v>10663</v>
      </c>
      <c r="C1564" t="s">
        <v>986</v>
      </c>
      <c r="D1564" t="s">
        <v>10663</v>
      </c>
      <c r="E1564" t="s">
        <v>10664</v>
      </c>
      <c r="F1564" t="s">
        <v>108</v>
      </c>
      <c r="H1564" t="s">
        <v>10665</v>
      </c>
      <c r="I1564" t="s">
        <v>499</v>
      </c>
      <c r="J1564" t="s">
        <v>111</v>
      </c>
      <c r="K1564" t="str">
        <f>"85338"</f>
        <v>85338</v>
      </c>
      <c r="L1564" t="s">
        <v>8146</v>
      </c>
      <c r="M1564" t="s">
        <v>10665</v>
      </c>
      <c r="N1564" t="s">
        <v>499</v>
      </c>
      <c r="O1564" t="s">
        <v>111</v>
      </c>
      <c r="P1564" t="str">
        <f>"85338-7516"</f>
        <v>85338-7516</v>
      </c>
      <c r="Q1564" t="s">
        <v>113</v>
      </c>
      <c r="R1564" t="str">
        <f>"502-44-143"</f>
        <v>502-44-143</v>
      </c>
      <c r="S1564" t="s">
        <v>5101</v>
      </c>
      <c r="T1564" t="s">
        <v>5102</v>
      </c>
      <c r="U1564">
        <v>2489</v>
      </c>
      <c r="V1564">
        <v>0</v>
      </c>
      <c r="W1564">
        <v>5</v>
      </c>
      <c r="X1564">
        <v>2013</v>
      </c>
      <c r="Z1564">
        <v>1</v>
      </c>
      <c r="AB1564">
        <v>0</v>
      </c>
      <c r="AC1564" t="s">
        <v>115</v>
      </c>
      <c r="AD1564">
        <v>2</v>
      </c>
      <c r="AE1564" t="s">
        <v>115</v>
      </c>
      <c r="AF1564">
        <v>0</v>
      </c>
      <c r="AG1564">
        <v>0</v>
      </c>
      <c r="AH1564" t="s">
        <v>116</v>
      </c>
      <c r="AI1564" s="1">
        <v>55582</v>
      </c>
      <c r="AJ1564" s="2">
        <v>0.17</v>
      </c>
      <c r="AK1564" s="1">
        <v>328174</v>
      </c>
      <c r="AL1564" t="s">
        <v>117</v>
      </c>
      <c r="AM1564" t="s">
        <v>118</v>
      </c>
      <c r="AN1564">
        <v>8402</v>
      </c>
      <c r="AO1564">
        <v>0.19</v>
      </c>
      <c r="AR1564">
        <v>1</v>
      </c>
      <c r="AS1564" s="1">
        <v>24180</v>
      </c>
      <c r="AT1564" s="1">
        <v>4830</v>
      </c>
      <c r="AU1564" s="1">
        <v>19350</v>
      </c>
      <c r="AV1564">
        <v>80.02</v>
      </c>
      <c r="AX1564" s="1">
        <v>1966.04</v>
      </c>
      <c r="AY1564" t="s">
        <v>2767</v>
      </c>
      <c r="AZ1564" t="s">
        <v>2767</v>
      </c>
      <c r="BA1564" t="s">
        <v>1247</v>
      </c>
      <c r="BE1564" s="3">
        <v>41691</v>
      </c>
      <c r="BF1564" s="1">
        <v>239584</v>
      </c>
      <c r="BG1564" t="s">
        <v>275</v>
      </c>
      <c r="BH1564" s="1">
        <v>96.26</v>
      </c>
      <c r="BI1564" s="1">
        <v>272592</v>
      </c>
      <c r="BJ1564" s="3">
        <v>42426</v>
      </c>
      <c r="BK1564" t="s">
        <v>123</v>
      </c>
      <c r="BL1564" t="str">
        <f>"2016.121427"</f>
        <v>2016.121427</v>
      </c>
      <c r="BM1564" t="s">
        <v>1695</v>
      </c>
      <c r="BN1564" t="s">
        <v>9191</v>
      </c>
      <c r="BO1564" t="s">
        <v>10666</v>
      </c>
      <c r="BS1564">
        <v>30</v>
      </c>
      <c r="BW1564" t="str">
        <f>""</f>
        <v/>
      </c>
      <c r="CH1564" t="str">
        <f>""</f>
        <v/>
      </c>
      <c r="CS1564" t="str">
        <f>""</f>
        <v/>
      </c>
    </row>
    <row r="1565" spans="1:97" x14ac:dyDescent="0.25">
      <c r="A1565" t="s">
        <v>4578</v>
      </c>
      <c r="B1565" t="s">
        <v>10667</v>
      </c>
      <c r="C1565" t="s">
        <v>9998</v>
      </c>
      <c r="D1565" t="s">
        <v>10667</v>
      </c>
      <c r="E1565" t="s">
        <v>10668</v>
      </c>
      <c r="F1565" t="s">
        <v>108</v>
      </c>
      <c r="H1565" t="s">
        <v>10669</v>
      </c>
      <c r="I1565" t="s">
        <v>188</v>
      </c>
      <c r="J1565" t="s">
        <v>111</v>
      </c>
      <c r="K1565" t="str">
        <f>"85142"</f>
        <v>85142</v>
      </c>
      <c r="L1565" t="s">
        <v>1789</v>
      </c>
      <c r="M1565" t="s">
        <v>10669</v>
      </c>
      <c r="N1565" t="s">
        <v>188</v>
      </c>
      <c r="O1565" t="s">
        <v>111</v>
      </c>
      <c r="P1565" t="str">
        <f>"85142-9729"</f>
        <v>85142-9729</v>
      </c>
      <c r="Q1565" t="s">
        <v>113</v>
      </c>
      <c r="R1565" t="str">
        <f>"304-68-216"</f>
        <v>304-68-216</v>
      </c>
      <c r="S1565" t="s">
        <v>10670</v>
      </c>
      <c r="U1565">
        <v>2200</v>
      </c>
      <c r="V1565">
        <v>0</v>
      </c>
      <c r="W1565">
        <v>3</v>
      </c>
      <c r="X1565">
        <v>1989</v>
      </c>
      <c r="Z1565">
        <v>1</v>
      </c>
      <c r="AA1565" t="s">
        <v>26</v>
      </c>
      <c r="AB1565">
        <v>0</v>
      </c>
      <c r="AC1565" t="s">
        <v>7038</v>
      </c>
      <c r="AD1565">
        <v>2</v>
      </c>
      <c r="AE1565" t="s">
        <v>7038</v>
      </c>
      <c r="AF1565">
        <v>0</v>
      </c>
      <c r="AG1565">
        <v>0</v>
      </c>
      <c r="AH1565" t="s">
        <v>116</v>
      </c>
      <c r="AI1565" s="1">
        <v>110630</v>
      </c>
      <c r="AJ1565" s="2">
        <v>0.23</v>
      </c>
      <c r="AK1565" s="1">
        <v>474942</v>
      </c>
      <c r="AL1565" t="s">
        <v>117</v>
      </c>
      <c r="AM1565" t="s">
        <v>376</v>
      </c>
      <c r="AN1565">
        <v>44109</v>
      </c>
      <c r="AO1565">
        <v>1.01</v>
      </c>
      <c r="AP1565">
        <v>1</v>
      </c>
      <c r="AR1565">
        <v>1</v>
      </c>
      <c r="AS1565" s="1">
        <v>33030</v>
      </c>
      <c r="AT1565" s="1">
        <v>6600</v>
      </c>
      <c r="AU1565" s="1">
        <v>26430</v>
      </c>
      <c r="AV1565">
        <v>80.02</v>
      </c>
      <c r="AX1565" s="1">
        <v>3298.2</v>
      </c>
      <c r="AY1565" t="s">
        <v>192</v>
      </c>
      <c r="AZ1565" t="s">
        <v>193</v>
      </c>
      <c r="BA1565" t="s">
        <v>194</v>
      </c>
      <c r="BE1565" s="3">
        <v>42293</v>
      </c>
      <c r="BF1565" s="1">
        <v>347000</v>
      </c>
      <c r="BG1565" t="s">
        <v>10671</v>
      </c>
      <c r="BH1565" s="1">
        <v>157.72999999999999</v>
      </c>
      <c r="BI1565" s="1">
        <v>364312</v>
      </c>
      <c r="BJ1565" s="3">
        <v>42556</v>
      </c>
      <c r="BK1565" t="s">
        <v>123</v>
      </c>
      <c r="BL1565" t="str">
        <f>"2016.469136"</f>
        <v>2016.469136</v>
      </c>
      <c r="BM1565" t="s">
        <v>361</v>
      </c>
      <c r="BO1565" t="s">
        <v>10672</v>
      </c>
      <c r="BS1565">
        <v>30</v>
      </c>
      <c r="BW1565" t="str">
        <f>""</f>
        <v/>
      </c>
      <c r="CH1565" t="str">
        <f>""</f>
        <v/>
      </c>
      <c r="CS1565" t="str">
        <f>""</f>
        <v/>
      </c>
    </row>
    <row r="1566" spans="1:97" x14ac:dyDescent="0.25">
      <c r="A1566" t="s">
        <v>1109</v>
      </c>
      <c r="B1566" t="s">
        <v>4426</v>
      </c>
      <c r="C1566" t="s">
        <v>10673</v>
      </c>
      <c r="D1566" t="s">
        <v>4426</v>
      </c>
      <c r="E1566" t="s">
        <v>10674</v>
      </c>
      <c r="F1566" t="s">
        <v>108</v>
      </c>
      <c r="H1566" t="s">
        <v>10675</v>
      </c>
      <c r="I1566" t="s">
        <v>499</v>
      </c>
      <c r="J1566" t="s">
        <v>111</v>
      </c>
      <c r="K1566" t="str">
        <f>"85338"</f>
        <v>85338</v>
      </c>
      <c r="L1566" t="s">
        <v>8255</v>
      </c>
      <c r="M1566" t="s">
        <v>10675</v>
      </c>
      <c r="N1566" t="s">
        <v>499</v>
      </c>
      <c r="O1566" t="s">
        <v>111</v>
      </c>
      <c r="P1566" t="str">
        <f>"85338-6026"</f>
        <v>85338-6026</v>
      </c>
      <c r="Q1566" t="s">
        <v>113</v>
      </c>
      <c r="R1566" t="str">
        <f>"502-39-155"</f>
        <v>502-39-155</v>
      </c>
      <c r="S1566" t="s">
        <v>10676</v>
      </c>
      <c r="T1566" t="s">
        <v>6318</v>
      </c>
      <c r="U1566">
        <v>2205</v>
      </c>
      <c r="V1566">
        <v>0</v>
      </c>
      <c r="W1566">
        <v>3</v>
      </c>
      <c r="X1566">
        <v>2006</v>
      </c>
      <c r="Z1566">
        <v>1</v>
      </c>
      <c r="AB1566">
        <v>0</v>
      </c>
      <c r="AC1566" t="s">
        <v>115</v>
      </c>
      <c r="AD1566">
        <v>3</v>
      </c>
      <c r="AE1566" t="s">
        <v>115</v>
      </c>
      <c r="AF1566">
        <v>0</v>
      </c>
      <c r="AG1566">
        <v>0</v>
      </c>
      <c r="AH1566" t="s">
        <v>116</v>
      </c>
      <c r="AI1566" s="1">
        <v>26846</v>
      </c>
      <c r="AJ1566" s="2">
        <v>0.09</v>
      </c>
      <c r="AK1566" s="1">
        <v>286846</v>
      </c>
      <c r="AL1566" t="s">
        <v>117</v>
      </c>
      <c r="AM1566" t="s">
        <v>118</v>
      </c>
      <c r="AN1566">
        <v>6900</v>
      </c>
      <c r="AO1566">
        <v>0.16</v>
      </c>
      <c r="AR1566">
        <v>1</v>
      </c>
      <c r="AS1566" s="1">
        <v>20630</v>
      </c>
      <c r="AT1566" s="1">
        <v>4120</v>
      </c>
      <c r="AU1566" s="1">
        <v>16510</v>
      </c>
      <c r="AV1566">
        <v>80.03</v>
      </c>
      <c r="AX1566" s="1">
        <v>1928.14</v>
      </c>
      <c r="AY1566" t="s">
        <v>4311</v>
      </c>
      <c r="AZ1566" t="s">
        <v>4311</v>
      </c>
      <c r="BA1566" t="s">
        <v>218</v>
      </c>
      <c r="BE1566" s="3">
        <v>42293</v>
      </c>
      <c r="BF1566" s="1">
        <v>241700</v>
      </c>
      <c r="BG1566" t="s">
        <v>10677</v>
      </c>
      <c r="BH1566" s="1">
        <v>109.61</v>
      </c>
      <c r="BI1566" s="1">
        <v>260000</v>
      </c>
      <c r="BJ1566" s="3">
        <v>43620</v>
      </c>
      <c r="BK1566" t="s">
        <v>123</v>
      </c>
      <c r="BL1566" t="str">
        <f>"2019.411289"</f>
        <v>2019.411289</v>
      </c>
      <c r="BM1566" t="s">
        <v>248</v>
      </c>
      <c r="BN1566" t="s">
        <v>249</v>
      </c>
      <c r="BO1566" t="s">
        <v>10678</v>
      </c>
      <c r="BP1566" t="s">
        <v>10679</v>
      </c>
      <c r="BR1566" t="s">
        <v>139</v>
      </c>
      <c r="BW1566" t="str">
        <f>""</f>
        <v/>
      </c>
      <c r="CH1566" t="str">
        <f>""</f>
        <v/>
      </c>
      <c r="CS1566" t="str">
        <f>""</f>
        <v/>
      </c>
    </row>
    <row r="1567" spans="1:97" x14ac:dyDescent="0.25">
      <c r="A1567" t="s">
        <v>2915</v>
      </c>
      <c r="B1567" t="s">
        <v>10680</v>
      </c>
      <c r="E1567" t="s">
        <v>10681</v>
      </c>
      <c r="F1567" t="s">
        <v>108</v>
      </c>
      <c r="H1567" t="s">
        <v>10682</v>
      </c>
      <c r="I1567" t="s">
        <v>390</v>
      </c>
      <c r="J1567" t="s">
        <v>111</v>
      </c>
      <c r="K1567" t="str">
        <f>"85027"</f>
        <v>85027</v>
      </c>
      <c r="L1567" t="s">
        <v>6891</v>
      </c>
      <c r="M1567" t="s">
        <v>10682</v>
      </c>
      <c r="N1567" t="s">
        <v>390</v>
      </c>
      <c r="O1567" t="s">
        <v>111</v>
      </c>
      <c r="P1567" t="str">
        <f>"85027-4228"</f>
        <v>85027-4228</v>
      </c>
      <c r="Q1567" t="s">
        <v>113</v>
      </c>
      <c r="R1567" t="str">
        <f>"209-13-380"</f>
        <v>209-13-380</v>
      </c>
      <c r="S1567" t="s">
        <v>10683</v>
      </c>
      <c r="U1567">
        <v>1524</v>
      </c>
      <c r="V1567">
        <v>0</v>
      </c>
      <c r="W1567">
        <v>2</v>
      </c>
      <c r="X1567">
        <v>1975</v>
      </c>
      <c r="Z1567">
        <v>1</v>
      </c>
      <c r="AA1567" t="s">
        <v>26</v>
      </c>
      <c r="AB1567">
        <v>0</v>
      </c>
      <c r="AC1567" t="s">
        <v>5188</v>
      </c>
      <c r="AD1567">
        <v>2</v>
      </c>
      <c r="AE1567" t="s">
        <v>5188</v>
      </c>
      <c r="AF1567">
        <v>0</v>
      </c>
      <c r="AG1567">
        <v>0</v>
      </c>
      <c r="AH1567" t="s">
        <v>116</v>
      </c>
      <c r="AI1567" s="1">
        <v>33121</v>
      </c>
      <c r="AJ1567" s="2">
        <v>0.13</v>
      </c>
      <c r="AK1567" s="1">
        <v>263707</v>
      </c>
      <c r="AL1567" t="s">
        <v>117</v>
      </c>
      <c r="AM1567" t="s">
        <v>191</v>
      </c>
      <c r="AN1567">
        <v>7212</v>
      </c>
      <c r="AO1567">
        <v>0.17</v>
      </c>
      <c r="AP1567">
        <v>1</v>
      </c>
      <c r="AR1567">
        <v>1</v>
      </c>
      <c r="AS1567" s="1">
        <v>15280</v>
      </c>
      <c r="AT1567" s="1">
        <v>3050</v>
      </c>
      <c r="AU1567" s="1">
        <v>12230</v>
      </c>
      <c r="AV1567">
        <v>80.040000000000006</v>
      </c>
      <c r="AX1567" s="1">
        <v>921.72</v>
      </c>
      <c r="AY1567" t="s">
        <v>10684</v>
      </c>
      <c r="AZ1567" t="s">
        <v>2357</v>
      </c>
      <c r="BA1567" t="s">
        <v>1462</v>
      </c>
      <c r="BB1567" s="3">
        <v>43243</v>
      </c>
      <c r="BC1567" s="1">
        <v>0</v>
      </c>
      <c r="BD1567" t="s">
        <v>247</v>
      </c>
      <c r="BE1567" s="3">
        <v>41758</v>
      </c>
      <c r="BF1567" s="1">
        <v>170000</v>
      </c>
      <c r="BG1567" t="s">
        <v>10685</v>
      </c>
      <c r="BH1567" s="1">
        <v>111.55</v>
      </c>
      <c r="BI1567" s="1">
        <v>230586</v>
      </c>
      <c r="BJ1567" s="3">
        <v>43243</v>
      </c>
      <c r="BK1567" t="s">
        <v>123</v>
      </c>
      <c r="BL1567" t="str">
        <f>"2018.394281"</f>
        <v>2018.394281</v>
      </c>
      <c r="BM1567" t="s">
        <v>10686</v>
      </c>
      <c r="BN1567" t="s">
        <v>10687</v>
      </c>
      <c r="BO1567" t="s">
        <v>10688</v>
      </c>
      <c r="BR1567" t="s">
        <v>139</v>
      </c>
      <c r="BW1567" t="str">
        <f>""</f>
        <v/>
      </c>
      <c r="CH1567" t="str">
        <f>""</f>
        <v/>
      </c>
      <c r="CS1567" t="str">
        <f>""</f>
        <v/>
      </c>
    </row>
    <row r="1568" spans="1:97" x14ac:dyDescent="0.25">
      <c r="A1568" t="s">
        <v>305</v>
      </c>
      <c r="B1568" t="s">
        <v>183</v>
      </c>
      <c r="C1568" t="s">
        <v>2294</v>
      </c>
      <c r="D1568" t="s">
        <v>10689</v>
      </c>
      <c r="E1568" t="s">
        <v>10690</v>
      </c>
      <c r="F1568" t="s">
        <v>108</v>
      </c>
      <c r="H1568" t="s">
        <v>10691</v>
      </c>
      <c r="I1568" t="s">
        <v>2874</v>
      </c>
      <c r="J1568" t="s">
        <v>111</v>
      </c>
      <c r="K1568" t="str">
        <f>"85310"</f>
        <v>85310</v>
      </c>
      <c r="L1568" t="s">
        <v>5775</v>
      </c>
      <c r="M1568" t="s">
        <v>10691</v>
      </c>
      <c r="N1568" t="s">
        <v>2874</v>
      </c>
      <c r="O1568" t="s">
        <v>111</v>
      </c>
      <c r="P1568" t="str">
        <f>"85310-5632"</f>
        <v>85310-5632</v>
      </c>
      <c r="Q1568" t="s">
        <v>113</v>
      </c>
      <c r="R1568" t="str">
        <f>"200-06-838"</f>
        <v>200-06-838</v>
      </c>
      <c r="S1568" t="s">
        <v>10692</v>
      </c>
      <c r="T1568" t="s">
        <v>10693</v>
      </c>
      <c r="U1568">
        <v>2070</v>
      </c>
      <c r="V1568">
        <v>0</v>
      </c>
      <c r="W1568">
        <v>4</v>
      </c>
      <c r="X1568">
        <v>1994</v>
      </c>
      <c r="Z1568">
        <v>2</v>
      </c>
      <c r="AA1568" t="s">
        <v>26</v>
      </c>
      <c r="AB1568">
        <v>0</v>
      </c>
      <c r="AC1568" t="s">
        <v>115</v>
      </c>
      <c r="AD1568">
        <v>2</v>
      </c>
      <c r="AE1568" t="s">
        <v>115</v>
      </c>
      <c r="AF1568">
        <v>0</v>
      </c>
      <c r="AG1568">
        <v>0</v>
      </c>
      <c r="AH1568" t="s">
        <v>116</v>
      </c>
      <c r="AI1568" s="1">
        <v>68760</v>
      </c>
      <c r="AJ1568" s="2">
        <v>0.2</v>
      </c>
      <c r="AK1568" s="1">
        <v>348688</v>
      </c>
      <c r="AL1568" t="s">
        <v>117</v>
      </c>
      <c r="AM1568" t="s">
        <v>118</v>
      </c>
      <c r="AN1568">
        <v>7865</v>
      </c>
      <c r="AO1568">
        <v>0.18</v>
      </c>
      <c r="AP1568">
        <v>1</v>
      </c>
      <c r="AR1568">
        <v>1</v>
      </c>
      <c r="AS1568" s="1">
        <v>24600</v>
      </c>
      <c r="AT1568" s="1">
        <v>4920</v>
      </c>
      <c r="AU1568" s="1">
        <v>19680</v>
      </c>
      <c r="AV1568">
        <v>80</v>
      </c>
      <c r="AX1568" s="1">
        <v>1975.76</v>
      </c>
      <c r="AY1568" t="s">
        <v>3048</v>
      </c>
      <c r="AZ1568" t="s">
        <v>3049</v>
      </c>
      <c r="BA1568" t="s">
        <v>2223</v>
      </c>
      <c r="BE1568" s="3">
        <v>42480</v>
      </c>
      <c r="BF1568" s="1">
        <v>277750</v>
      </c>
      <c r="BG1568" t="s">
        <v>10694</v>
      </c>
      <c r="BH1568" s="1">
        <v>134.18</v>
      </c>
      <c r="BI1568" s="1">
        <v>279928</v>
      </c>
      <c r="BJ1568" s="3">
        <v>42723</v>
      </c>
      <c r="BK1568" t="s">
        <v>123</v>
      </c>
      <c r="BL1568" t="str">
        <f>"2016.931034"</f>
        <v>2016.931034</v>
      </c>
      <c r="BM1568" t="s">
        <v>5832</v>
      </c>
      <c r="BO1568" t="s">
        <v>10695</v>
      </c>
      <c r="BP1568" t="s">
        <v>10696</v>
      </c>
      <c r="BS1568">
        <v>30</v>
      </c>
      <c r="BW1568" t="str">
        <f>""</f>
        <v/>
      </c>
      <c r="CH1568" t="str">
        <f>""</f>
        <v/>
      </c>
      <c r="CS1568" t="str">
        <f>""</f>
        <v/>
      </c>
    </row>
    <row r="1569" spans="1:97" x14ac:dyDescent="0.25">
      <c r="A1569" t="s">
        <v>177</v>
      </c>
      <c r="B1569" t="s">
        <v>10697</v>
      </c>
      <c r="E1569" t="s">
        <v>10698</v>
      </c>
      <c r="F1569" t="s">
        <v>108</v>
      </c>
      <c r="H1569" t="s">
        <v>10699</v>
      </c>
      <c r="I1569" t="s">
        <v>110</v>
      </c>
      <c r="J1569" t="s">
        <v>111</v>
      </c>
      <c r="K1569" t="str">
        <f>"85226"</f>
        <v>85226</v>
      </c>
      <c r="L1569" t="s">
        <v>5325</v>
      </c>
      <c r="M1569" t="s">
        <v>10699</v>
      </c>
      <c r="N1569" t="s">
        <v>110</v>
      </c>
      <c r="O1569" t="s">
        <v>111</v>
      </c>
      <c r="P1569" t="str">
        <f>"85226-4618"</f>
        <v>85226-4618</v>
      </c>
      <c r="Q1569" t="s">
        <v>113</v>
      </c>
      <c r="R1569" t="str">
        <f>"308-04-307"</f>
        <v>308-04-307</v>
      </c>
      <c r="S1569" t="s">
        <v>10700</v>
      </c>
      <c r="U1569">
        <v>1511</v>
      </c>
      <c r="V1569">
        <v>0</v>
      </c>
      <c r="W1569">
        <v>3</v>
      </c>
      <c r="X1569">
        <v>1987</v>
      </c>
      <c r="Z1569">
        <v>1</v>
      </c>
      <c r="AA1569" t="s">
        <v>26</v>
      </c>
      <c r="AB1569">
        <v>0</v>
      </c>
      <c r="AC1569" t="s">
        <v>115</v>
      </c>
      <c r="AD1569">
        <v>2</v>
      </c>
      <c r="AE1569" t="s">
        <v>115</v>
      </c>
      <c r="AF1569">
        <v>0</v>
      </c>
      <c r="AG1569">
        <v>0</v>
      </c>
      <c r="AH1569" t="s">
        <v>116</v>
      </c>
      <c r="AI1569" s="1">
        <v>32722</v>
      </c>
      <c r="AJ1569" s="2">
        <v>0.1</v>
      </c>
      <c r="AK1569" s="1">
        <v>316797</v>
      </c>
      <c r="AL1569" t="s">
        <v>117</v>
      </c>
      <c r="AM1569" t="s">
        <v>118</v>
      </c>
      <c r="AN1569">
        <v>8272</v>
      </c>
      <c r="AO1569">
        <v>0.19</v>
      </c>
      <c r="AP1569">
        <v>1</v>
      </c>
      <c r="AR1569">
        <v>1</v>
      </c>
      <c r="AS1569" s="1">
        <v>22420</v>
      </c>
      <c r="AT1569" s="1">
        <v>4480</v>
      </c>
      <c r="AU1569" s="1">
        <v>17940</v>
      </c>
      <c r="AV1569">
        <v>80.02</v>
      </c>
      <c r="AX1569" s="1">
        <v>1598.14</v>
      </c>
      <c r="AY1569" t="s">
        <v>5200</v>
      </c>
      <c r="AZ1569" t="s">
        <v>5201</v>
      </c>
      <c r="BA1569" t="s">
        <v>5202</v>
      </c>
      <c r="BE1569" s="3">
        <v>42538</v>
      </c>
      <c r="BF1569" s="1">
        <v>275000</v>
      </c>
      <c r="BG1569" t="s">
        <v>10701</v>
      </c>
      <c r="BH1569" s="1">
        <v>182</v>
      </c>
      <c r="BI1569" s="1">
        <v>284075</v>
      </c>
      <c r="BJ1569" s="3">
        <v>42538</v>
      </c>
      <c r="BK1569" t="s">
        <v>123</v>
      </c>
      <c r="BL1569" t="str">
        <f>"2016.422541"</f>
        <v>2016.422541</v>
      </c>
      <c r="BM1569" t="s">
        <v>5867</v>
      </c>
      <c r="BO1569" t="s">
        <v>10702</v>
      </c>
      <c r="BS1569">
        <v>30</v>
      </c>
      <c r="BW1569" t="str">
        <f>""</f>
        <v/>
      </c>
      <c r="CH1569" t="str">
        <f>""</f>
        <v/>
      </c>
      <c r="CS1569" t="str">
        <f>""</f>
        <v/>
      </c>
    </row>
    <row r="1570" spans="1:97" x14ac:dyDescent="0.25">
      <c r="A1570" t="s">
        <v>10703</v>
      </c>
      <c r="B1570" t="s">
        <v>3730</v>
      </c>
      <c r="C1570" t="s">
        <v>9365</v>
      </c>
      <c r="D1570" t="s">
        <v>3730</v>
      </c>
      <c r="E1570" t="s">
        <v>10704</v>
      </c>
      <c r="F1570" t="s">
        <v>108</v>
      </c>
      <c r="H1570" t="s">
        <v>10705</v>
      </c>
      <c r="I1570" t="s">
        <v>632</v>
      </c>
      <c r="J1570" t="s">
        <v>111</v>
      </c>
      <c r="K1570" t="str">
        <f>"85388"</f>
        <v>85388</v>
      </c>
      <c r="L1570" t="s">
        <v>4467</v>
      </c>
      <c r="M1570" t="s">
        <v>10705</v>
      </c>
      <c r="N1570" t="s">
        <v>632</v>
      </c>
      <c r="O1570" t="s">
        <v>111</v>
      </c>
      <c r="P1570" t="str">
        <f>"85388-7550"</f>
        <v>85388-7550</v>
      </c>
      <c r="Q1570" t="s">
        <v>113</v>
      </c>
      <c r="R1570" t="str">
        <f>"502-03-225"</f>
        <v>502-03-225</v>
      </c>
      <c r="S1570" t="s">
        <v>10706</v>
      </c>
      <c r="U1570">
        <v>2463</v>
      </c>
      <c r="V1570">
        <v>0</v>
      </c>
      <c r="W1570">
        <v>4</v>
      </c>
      <c r="X1570">
        <v>2004</v>
      </c>
      <c r="Z1570">
        <v>2</v>
      </c>
      <c r="AA1570" t="s">
        <v>26</v>
      </c>
      <c r="AB1570">
        <v>0</v>
      </c>
      <c r="AC1570" t="s">
        <v>115</v>
      </c>
      <c r="AD1570">
        <v>2</v>
      </c>
      <c r="AE1570" t="s">
        <v>115</v>
      </c>
      <c r="AF1570">
        <v>0</v>
      </c>
      <c r="AG1570">
        <v>0</v>
      </c>
      <c r="AH1570" t="s">
        <v>116</v>
      </c>
      <c r="AI1570" s="1">
        <v>95244</v>
      </c>
      <c r="AJ1570" s="2">
        <v>0.3</v>
      </c>
      <c r="AK1570" s="1">
        <v>313095</v>
      </c>
      <c r="AL1570" t="s">
        <v>117</v>
      </c>
      <c r="AM1570" t="s">
        <v>118</v>
      </c>
      <c r="AN1570">
        <v>8539</v>
      </c>
      <c r="AO1570">
        <v>0.2</v>
      </c>
      <c r="AP1570">
        <v>1</v>
      </c>
      <c r="AR1570">
        <v>1</v>
      </c>
      <c r="AS1570" s="1">
        <v>21800</v>
      </c>
      <c r="AT1570" s="1">
        <v>4360</v>
      </c>
      <c r="AU1570" s="1">
        <v>17440</v>
      </c>
      <c r="AV1570">
        <v>80</v>
      </c>
      <c r="AX1570" s="1">
        <v>1707.7</v>
      </c>
      <c r="AY1570" t="s">
        <v>6262</v>
      </c>
      <c r="AZ1570" t="s">
        <v>6262</v>
      </c>
      <c r="BA1570" t="s">
        <v>5061</v>
      </c>
      <c r="BB1570" s="3">
        <v>42495</v>
      </c>
      <c r="BD1570" t="s">
        <v>458</v>
      </c>
      <c r="BE1570" s="3">
        <v>41859</v>
      </c>
      <c r="BF1570" s="1">
        <v>217000</v>
      </c>
      <c r="BG1570" t="s">
        <v>10707</v>
      </c>
      <c r="BH1570" s="1">
        <v>88.1</v>
      </c>
      <c r="BI1570" s="1">
        <v>217851</v>
      </c>
      <c r="BJ1570" s="3">
        <v>42769</v>
      </c>
      <c r="BK1570" t="s">
        <v>123</v>
      </c>
      <c r="BL1570" t="str">
        <f>"2017.84462"</f>
        <v>2017.84462</v>
      </c>
      <c r="BM1570" t="s">
        <v>7000</v>
      </c>
      <c r="BO1570" t="s">
        <v>10708</v>
      </c>
      <c r="BS1570">
        <v>30</v>
      </c>
      <c r="BW1570" t="str">
        <f>""</f>
        <v/>
      </c>
      <c r="CH1570" t="str">
        <f>""</f>
        <v/>
      </c>
      <c r="CS1570" t="str">
        <f>""</f>
        <v/>
      </c>
    </row>
    <row r="1571" spans="1:97" x14ac:dyDescent="0.25">
      <c r="A1571" t="s">
        <v>370</v>
      </c>
      <c r="B1571" t="s">
        <v>3719</v>
      </c>
      <c r="E1571" t="s">
        <v>10709</v>
      </c>
      <c r="F1571" t="s">
        <v>108</v>
      </c>
      <c r="H1571" t="s">
        <v>10710</v>
      </c>
      <c r="I1571" t="s">
        <v>225</v>
      </c>
      <c r="J1571" t="s">
        <v>111</v>
      </c>
      <c r="K1571" t="str">
        <f>"85209"</f>
        <v>85209</v>
      </c>
      <c r="L1571" t="s">
        <v>3885</v>
      </c>
      <c r="M1571" t="s">
        <v>10710</v>
      </c>
      <c r="N1571" t="s">
        <v>225</v>
      </c>
      <c r="O1571" t="s">
        <v>111</v>
      </c>
      <c r="P1571" t="str">
        <f>"85209-4360"</f>
        <v>85209-4360</v>
      </c>
      <c r="Q1571" t="s">
        <v>113</v>
      </c>
      <c r="R1571" t="str">
        <f>"312-08-164"</f>
        <v>312-08-164</v>
      </c>
      <c r="S1571" t="s">
        <v>10711</v>
      </c>
      <c r="U1571">
        <v>1886</v>
      </c>
      <c r="V1571">
        <v>0</v>
      </c>
      <c r="W1571">
        <v>3</v>
      </c>
      <c r="X1571">
        <v>2003</v>
      </c>
      <c r="Z1571">
        <v>2</v>
      </c>
      <c r="AB1571">
        <v>0</v>
      </c>
      <c r="AC1571" t="s">
        <v>115</v>
      </c>
      <c r="AD1571">
        <v>2</v>
      </c>
      <c r="AE1571" t="s">
        <v>115</v>
      </c>
      <c r="AF1571">
        <v>0</v>
      </c>
      <c r="AG1571">
        <v>0</v>
      </c>
      <c r="AH1571" t="s">
        <v>116</v>
      </c>
      <c r="AI1571" s="1">
        <v>70143</v>
      </c>
      <c r="AJ1571" s="2">
        <v>0.26</v>
      </c>
      <c r="AK1571" s="1">
        <v>273143</v>
      </c>
      <c r="AL1571" t="s">
        <v>117</v>
      </c>
      <c r="AM1571" t="s">
        <v>191</v>
      </c>
      <c r="AN1571">
        <v>3300</v>
      </c>
      <c r="AO1571">
        <v>0.76</v>
      </c>
      <c r="AP1571">
        <v>1</v>
      </c>
      <c r="AR1571">
        <v>1</v>
      </c>
      <c r="AS1571" s="1">
        <v>17670</v>
      </c>
      <c r="AT1571" s="1">
        <v>3530</v>
      </c>
      <c r="AU1571" s="1">
        <v>14140</v>
      </c>
      <c r="AV1571">
        <v>80.02</v>
      </c>
      <c r="AX1571" s="1">
        <v>1154.0999999999999</v>
      </c>
      <c r="AY1571" t="s">
        <v>570</v>
      </c>
      <c r="AZ1571" t="s">
        <v>777</v>
      </c>
      <c r="BA1571" t="s">
        <v>572</v>
      </c>
      <c r="BE1571" s="3">
        <v>42059</v>
      </c>
      <c r="BF1571" s="1">
        <v>203000</v>
      </c>
      <c r="BG1571" t="s">
        <v>10712</v>
      </c>
      <c r="BH1571" s="1">
        <v>107.64</v>
      </c>
      <c r="BI1571" s="1">
        <v>203000</v>
      </c>
      <c r="BJ1571" s="3">
        <v>42059</v>
      </c>
      <c r="BK1571" t="s">
        <v>123</v>
      </c>
      <c r="BL1571" t="str">
        <f>"2015.118815"</f>
        <v>2015.118815</v>
      </c>
      <c r="BM1571" t="s">
        <v>1185</v>
      </c>
      <c r="BO1571" t="s">
        <v>10713</v>
      </c>
      <c r="BS1571">
        <v>30</v>
      </c>
      <c r="BW1571" t="str">
        <f>""</f>
        <v/>
      </c>
      <c r="CH1571" t="str">
        <f>""</f>
        <v/>
      </c>
      <c r="CS1571" t="str">
        <f>""</f>
        <v/>
      </c>
    </row>
    <row r="1572" spans="1:97" x14ac:dyDescent="0.25">
      <c r="A1572" t="s">
        <v>104</v>
      </c>
      <c r="B1572" t="s">
        <v>10714</v>
      </c>
      <c r="E1572" t="s">
        <v>10715</v>
      </c>
      <c r="F1572" t="s">
        <v>108</v>
      </c>
      <c r="H1572" t="s">
        <v>10716</v>
      </c>
      <c r="I1572" t="s">
        <v>110</v>
      </c>
      <c r="J1572" t="s">
        <v>111</v>
      </c>
      <c r="K1572" t="str">
        <f>"85286"</f>
        <v>85286</v>
      </c>
      <c r="L1572" t="s">
        <v>145</v>
      </c>
      <c r="M1572" t="s">
        <v>10716</v>
      </c>
      <c r="N1572" t="s">
        <v>110</v>
      </c>
      <c r="O1572" t="s">
        <v>111</v>
      </c>
      <c r="P1572" t="str">
        <f>"85286-7524"</f>
        <v>85286-7524</v>
      </c>
      <c r="Q1572" t="s">
        <v>113</v>
      </c>
      <c r="R1572" t="str">
        <f>"303-35-505"</f>
        <v>303-35-505</v>
      </c>
      <c r="S1572" t="s">
        <v>10717</v>
      </c>
      <c r="U1572">
        <v>1609</v>
      </c>
      <c r="V1572">
        <v>0</v>
      </c>
      <c r="W1572">
        <v>3</v>
      </c>
      <c r="X1572">
        <v>1995</v>
      </c>
      <c r="Z1572">
        <v>2</v>
      </c>
      <c r="AA1572" t="s">
        <v>26</v>
      </c>
      <c r="AB1572">
        <v>0</v>
      </c>
      <c r="AC1572" t="s">
        <v>115</v>
      </c>
      <c r="AD1572">
        <v>2</v>
      </c>
      <c r="AE1572" t="s">
        <v>115</v>
      </c>
      <c r="AF1572">
        <v>0</v>
      </c>
      <c r="AG1572">
        <v>0</v>
      </c>
      <c r="AH1572" t="s">
        <v>116</v>
      </c>
      <c r="AI1572" s="1">
        <v>84812</v>
      </c>
      <c r="AJ1572" s="2">
        <v>0.27</v>
      </c>
      <c r="AK1572" s="1">
        <v>319757</v>
      </c>
      <c r="AL1572" t="s">
        <v>117</v>
      </c>
      <c r="AM1572" t="s">
        <v>118</v>
      </c>
      <c r="AN1572">
        <v>5162</v>
      </c>
      <c r="AO1572">
        <v>0.12</v>
      </c>
      <c r="AP1572">
        <v>1</v>
      </c>
      <c r="AR1572">
        <v>1</v>
      </c>
      <c r="AS1572" s="1">
        <v>21900</v>
      </c>
      <c r="AT1572" s="1">
        <v>4380</v>
      </c>
      <c r="AU1572" s="1">
        <v>17520</v>
      </c>
      <c r="AV1572">
        <v>80</v>
      </c>
      <c r="AX1572" s="1">
        <v>1695.48</v>
      </c>
      <c r="AY1572" t="s">
        <v>10718</v>
      </c>
      <c r="AZ1572" t="s">
        <v>1882</v>
      </c>
      <c r="BA1572" t="s">
        <v>121</v>
      </c>
      <c r="BE1572" s="3">
        <v>42431</v>
      </c>
      <c r="BF1572" s="1">
        <v>230000</v>
      </c>
      <c r="BG1572" t="s">
        <v>10719</v>
      </c>
      <c r="BH1572" s="1">
        <v>142.94999999999999</v>
      </c>
      <c r="BI1572" s="1">
        <v>234945</v>
      </c>
      <c r="BJ1572" s="3">
        <v>42431</v>
      </c>
      <c r="BK1572" t="s">
        <v>123</v>
      </c>
      <c r="BL1572" t="str">
        <f>"2016.136373"</f>
        <v>2016.136373</v>
      </c>
      <c r="BM1572" t="s">
        <v>1185</v>
      </c>
      <c r="BO1572" t="s">
        <v>10720</v>
      </c>
      <c r="BS1572">
        <v>30</v>
      </c>
      <c r="BW1572" t="str">
        <f>""</f>
        <v/>
      </c>
      <c r="CH1572" t="str">
        <f>""</f>
        <v/>
      </c>
      <c r="CS1572" t="str">
        <f>""</f>
        <v/>
      </c>
    </row>
    <row r="1573" spans="1:97" x14ac:dyDescent="0.25">
      <c r="A1573" t="s">
        <v>589</v>
      </c>
      <c r="B1573" t="s">
        <v>10721</v>
      </c>
      <c r="C1573" t="s">
        <v>10722</v>
      </c>
      <c r="D1573" t="s">
        <v>10723</v>
      </c>
      <c r="E1573" t="s">
        <v>10724</v>
      </c>
      <c r="F1573" t="s">
        <v>108</v>
      </c>
      <c r="H1573" t="s">
        <v>10725</v>
      </c>
      <c r="I1573" t="s">
        <v>390</v>
      </c>
      <c r="J1573" t="s">
        <v>111</v>
      </c>
      <c r="K1573" t="str">
        <f>"85024"</f>
        <v>85024</v>
      </c>
      <c r="L1573" t="s">
        <v>2354</v>
      </c>
      <c r="M1573" t="s">
        <v>10725</v>
      </c>
      <c r="N1573" t="s">
        <v>390</v>
      </c>
      <c r="O1573" t="s">
        <v>111</v>
      </c>
      <c r="P1573" t="str">
        <f>"85024-7600"</f>
        <v>85024-7600</v>
      </c>
      <c r="Q1573" t="s">
        <v>113</v>
      </c>
      <c r="R1573" t="str">
        <f>"213-03-967"</f>
        <v>213-03-967</v>
      </c>
      <c r="S1573" t="s">
        <v>10726</v>
      </c>
      <c r="T1573" t="s">
        <v>10726</v>
      </c>
      <c r="U1573">
        <v>1849</v>
      </c>
      <c r="V1573">
        <v>0</v>
      </c>
      <c r="W1573">
        <v>3</v>
      </c>
      <c r="X1573">
        <v>2000</v>
      </c>
      <c r="Z1573">
        <v>1</v>
      </c>
      <c r="AA1573" t="s">
        <v>26</v>
      </c>
      <c r="AB1573">
        <v>0</v>
      </c>
      <c r="AC1573" t="s">
        <v>115</v>
      </c>
      <c r="AD1573">
        <v>2</v>
      </c>
      <c r="AE1573" t="s">
        <v>115</v>
      </c>
      <c r="AF1573">
        <v>0</v>
      </c>
      <c r="AG1573">
        <v>0</v>
      </c>
      <c r="AH1573" t="s">
        <v>116</v>
      </c>
      <c r="AI1573" s="1">
        <v>47131</v>
      </c>
      <c r="AJ1573" s="2">
        <v>0.12</v>
      </c>
      <c r="AK1573" s="1">
        <v>380273</v>
      </c>
      <c r="AL1573" t="s">
        <v>117</v>
      </c>
      <c r="AM1573" t="s">
        <v>376</v>
      </c>
      <c r="AN1573">
        <v>5085</v>
      </c>
      <c r="AO1573">
        <v>0.12</v>
      </c>
      <c r="AP1573">
        <v>1</v>
      </c>
      <c r="AR1573">
        <v>1</v>
      </c>
      <c r="AS1573" s="1">
        <v>28010</v>
      </c>
      <c r="AT1573" s="1">
        <v>5600</v>
      </c>
      <c r="AU1573" s="1">
        <v>22410</v>
      </c>
      <c r="AV1573">
        <v>80.010000000000005</v>
      </c>
      <c r="AX1573" s="1">
        <v>2235.14</v>
      </c>
      <c r="AY1573" t="s">
        <v>570</v>
      </c>
      <c r="AZ1573" t="s">
        <v>761</v>
      </c>
      <c r="BA1573" t="s">
        <v>762</v>
      </c>
      <c r="BE1573" s="3">
        <v>42390</v>
      </c>
      <c r="BF1573" s="1">
        <v>322500</v>
      </c>
      <c r="BG1573" t="s">
        <v>10727</v>
      </c>
      <c r="BH1573" s="1">
        <v>174.42</v>
      </c>
      <c r="BI1573" s="1">
        <v>333142</v>
      </c>
      <c r="BJ1573" s="3">
        <v>42390</v>
      </c>
      <c r="BK1573" t="s">
        <v>123</v>
      </c>
      <c r="BL1573" t="str">
        <f>"2016.41436"</f>
        <v>2016.41436</v>
      </c>
      <c r="BM1573" t="s">
        <v>10728</v>
      </c>
      <c r="BO1573" t="s">
        <v>10729</v>
      </c>
      <c r="BP1573" t="s">
        <v>10730</v>
      </c>
      <c r="BS1573">
        <v>30</v>
      </c>
      <c r="BW1573" t="str">
        <f>""</f>
        <v/>
      </c>
      <c r="CH1573" t="str">
        <f>""</f>
        <v/>
      </c>
      <c r="CS1573" t="str">
        <f>""</f>
        <v/>
      </c>
    </row>
    <row r="1574" spans="1:97" x14ac:dyDescent="0.25">
      <c r="A1574" t="s">
        <v>10731</v>
      </c>
      <c r="B1574" t="s">
        <v>10732</v>
      </c>
      <c r="E1574" t="s">
        <v>10733</v>
      </c>
      <c r="F1574" t="s">
        <v>108</v>
      </c>
      <c r="H1574" t="s">
        <v>10734</v>
      </c>
      <c r="I1574" t="s">
        <v>110</v>
      </c>
      <c r="J1574" t="s">
        <v>111</v>
      </c>
      <c r="K1574" t="str">
        <f>"85224"</f>
        <v>85224</v>
      </c>
      <c r="L1574" t="s">
        <v>5209</v>
      </c>
      <c r="M1574" t="s">
        <v>10734</v>
      </c>
      <c r="N1574" t="s">
        <v>110</v>
      </c>
      <c r="O1574" t="s">
        <v>111</v>
      </c>
      <c r="P1574" t="str">
        <f>"85224-2762"</f>
        <v>85224-2762</v>
      </c>
      <c r="Q1574" t="s">
        <v>113</v>
      </c>
      <c r="R1574" t="str">
        <f>"302-81-042"</f>
        <v>302-81-042</v>
      </c>
      <c r="S1574" t="s">
        <v>10735</v>
      </c>
      <c r="T1574" t="s">
        <v>8456</v>
      </c>
      <c r="U1574">
        <v>1604</v>
      </c>
      <c r="V1574">
        <v>0</v>
      </c>
      <c r="W1574">
        <v>3</v>
      </c>
      <c r="X1574">
        <v>1980</v>
      </c>
      <c r="Z1574">
        <v>1</v>
      </c>
      <c r="AA1574" t="s">
        <v>26</v>
      </c>
      <c r="AB1574">
        <v>0</v>
      </c>
      <c r="AC1574" t="s">
        <v>115</v>
      </c>
      <c r="AD1574">
        <v>2</v>
      </c>
      <c r="AE1574" t="s">
        <v>115</v>
      </c>
      <c r="AF1574">
        <v>0</v>
      </c>
      <c r="AG1574">
        <v>0</v>
      </c>
      <c r="AH1574" t="s">
        <v>116</v>
      </c>
      <c r="AI1574" s="1">
        <v>97869</v>
      </c>
      <c r="AJ1574" s="2">
        <v>0.32</v>
      </c>
      <c r="AK1574" s="1">
        <v>307174</v>
      </c>
      <c r="AL1574" t="s">
        <v>117</v>
      </c>
      <c r="AM1574" t="s">
        <v>5077</v>
      </c>
      <c r="AN1574">
        <v>8189</v>
      </c>
      <c r="AO1574">
        <v>0.19</v>
      </c>
      <c r="AP1574">
        <v>1</v>
      </c>
      <c r="AR1574">
        <v>1</v>
      </c>
      <c r="AS1574" s="1">
        <v>20810</v>
      </c>
      <c r="AT1574" s="1">
        <v>4160</v>
      </c>
      <c r="AU1574" s="1">
        <v>16650</v>
      </c>
      <c r="AV1574">
        <v>80.010000000000005</v>
      </c>
      <c r="AX1574" s="1">
        <v>1340.38</v>
      </c>
      <c r="AY1574" t="s">
        <v>5722</v>
      </c>
      <c r="AZ1574" t="s">
        <v>5078</v>
      </c>
      <c r="BA1574" t="s">
        <v>2957</v>
      </c>
      <c r="BE1574" s="3">
        <v>41738</v>
      </c>
      <c r="BF1574" s="1">
        <v>204900</v>
      </c>
      <c r="BG1574" t="s">
        <v>10736</v>
      </c>
      <c r="BH1574" s="1">
        <v>127.74</v>
      </c>
      <c r="BI1574" s="1">
        <v>209305</v>
      </c>
      <c r="BJ1574" s="3">
        <v>41738</v>
      </c>
      <c r="BK1574" t="s">
        <v>123</v>
      </c>
      <c r="BL1574" t="str">
        <f>"2014.227164"</f>
        <v>2014.227164</v>
      </c>
      <c r="BM1574" t="s">
        <v>2489</v>
      </c>
      <c r="BO1574" t="s">
        <v>10737</v>
      </c>
      <c r="BS1574">
        <v>30</v>
      </c>
      <c r="BW1574" t="str">
        <f>""</f>
        <v/>
      </c>
      <c r="CH1574" t="str">
        <f>""</f>
        <v/>
      </c>
      <c r="CS1574" t="str">
        <f>""</f>
        <v/>
      </c>
    </row>
    <row r="1575" spans="1:97" x14ac:dyDescent="0.25">
      <c r="A1575" t="s">
        <v>894</v>
      </c>
      <c r="B1575" t="s">
        <v>1125</v>
      </c>
      <c r="C1575" t="s">
        <v>1547</v>
      </c>
      <c r="D1575" t="s">
        <v>1125</v>
      </c>
      <c r="E1575" t="s">
        <v>10738</v>
      </c>
      <c r="F1575" t="s">
        <v>108</v>
      </c>
      <c r="H1575" t="s">
        <v>10739</v>
      </c>
      <c r="I1575" t="s">
        <v>5387</v>
      </c>
      <c r="J1575" t="s">
        <v>111</v>
      </c>
      <c r="K1575" t="str">
        <f>"85283"</f>
        <v>85283</v>
      </c>
      <c r="L1575" t="s">
        <v>9737</v>
      </c>
      <c r="M1575" t="s">
        <v>10739</v>
      </c>
      <c r="N1575" t="s">
        <v>5387</v>
      </c>
      <c r="O1575" t="s">
        <v>111</v>
      </c>
      <c r="P1575" t="str">
        <f>"85283-2418"</f>
        <v>85283-2418</v>
      </c>
      <c r="Q1575" t="s">
        <v>113</v>
      </c>
      <c r="R1575" t="str">
        <f>"305-01-138"</f>
        <v>305-01-138</v>
      </c>
      <c r="S1575" t="s">
        <v>10740</v>
      </c>
      <c r="T1575" t="s">
        <v>9739</v>
      </c>
      <c r="U1575">
        <v>1572</v>
      </c>
      <c r="V1575">
        <v>0</v>
      </c>
      <c r="W1575">
        <v>2</v>
      </c>
      <c r="X1575">
        <v>1974</v>
      </c>
      <c r="Z1575">
        <v>1</v>
      </c>
      <c r="AA1575" t="s">
        <v>26</v>
      </c>
      <c r="AB1575">
        <v>0</v>
      </c>
      <c r="AC1575" t="s">
        <v>115</v>
      </c>
      <c r="AD1575">
        <v>2</v>
      </c>
      <c r="AE1575" t="s">
        <v>115</v>
      </c>
      <c r="AF1575">
        <v>0</v>
      </c>
      <c r="AG1575">
        <v>0</v>
      </c>
      <c r="AH1575" t="s">
        <v>116</v>
      </c>
      <c r="AI1575" s="1">
        <v>96774</v>
      </c>
      <c r="AJ1575" s="2">
        <v>0.3</v>
      </c>
      <c r="AK1575" s="1">
        <v>327582</v>
      </c>
      <c r="AL1575" t="s">
        <v>117</v>
      </c>
      <c r="AM1575" t="s">
        <v>191</v>
      </c>
      <c r="AN1575">
        <v>7349</v>
      </c>
      <c r="AO1575">
        <v>0.17</v>
      </c>
      <c r="AP1575">
        <v>1</v>
      </c>
      <c r="AR1575">
        <v>1</v>
      </c>
      <c r="AS1575" s="1">
        <v>22310</v>
      </c>
      <c r="AT1575" s="1">
        <v>4460</v>
      </c>
      <c r="AU1575" s="1">
        <v>17850</v>
      </c>
      <c r="AV1575">
        <v>80.010000000000005</v>
      </c>
      <c r="AX1575" s="1">
        <v>2016.84</v>
      </c>
      <c r="AY1575" t="s">
        <v>9740</v>
      </c>
      <c r="AZ1575" t="s">
        <v>6726</v>
      </c>
      <c r="BA1575" t="s">
        <v>5392</v>
      </c>
      <c r="BE1575" s="3">
        <v>41774</v>
      </c>
      <c r="BF1575" s="1">
        <v>240000</v>
      </c>
      <c r="BG1575" t="s">
        <v>10741</v>
      </c>
      <c r="BH1575" s="1">
        <v>152.66999999999999</v>
      </c>
      <c r="BI1575" s="1">
        <v>230808</v>
      </c>
      <c r="BJ1575" s="3">
        <v>42536</v>
      </c>
      <c r="BK1575" t="s">
        <v>123</v>
      </c>
      <c r="BL1575" t="str">
        <f>"2016.414878"</f>
        <v>2016.414878</v>
      </c>
      <c r="BM1575" t="s">
        <v>135</v>
      </c>
      <c r="BO1575" t="s">
        <v>10742</v>
      </c>
      <c r="BS1575">
        <v>30</v>
      </c>
      <c r="BW1575" t="str">
        <f>""</f>
        <v/>
      </c>
      <c r="CH1575" t="str">
        <f>""</f>
        <v/>
      </c>
      <c r="CS1575" t="str">
        <f>""</f>
        <v/>
      </c>
    </row>
    <row r="1576" spans="1:97" x14ac:dyDescent="0.25">
      <c r="A1576" t="s">
        <v>6547</v>
      </c>
      <c r="B1576" t="s">
        <v>6696</v>
      </c>
      <c r="C1576" t="s">
        <v>10743</v>
      </c>
      <c r="D1576" t="s">
        <v>6696</v>
      </c>
      <c r="E1576" t="s">
        <v>10744</v>
      </c>
      <c r="F1576" t="s">
        <v>108</v>
      </c>
      <c r="H1576" t="s">
        <v>10745</v>
      </c>
      <c r="I1576" t="s">
        <v>499</v>
      </c>
      <c r="J1576" t="s">
        <v>111</v>
      </c>
      <c r="K1576" t="str">
        <f>"85395"</f>
        <v>85395</v>
      </c>
      <c r="L1576" t="s">
        <v>3885</v>
      </c>
      <c r="M1576" t="s">
        <v>10745</v>
      </c>
      <c r="N1576" t="s">
        <v>499</v>
      </c>
      <c r="O1576" t="s">
        <v>111</v>
      </c>
      <c r="P1576" t="str">
        <f>"85395-8333"</f>
        <v>85395-8333</v>
      </c>
      <c r="Q1576" t="s">
        <v>113</v>
      </c>
      <c r="R1576" t="str">
        <f>"501-70-584"</f>
        <v>501-70-584</v>
      </c>
      <c r="S1576" t="s">
        <v>10746</v>
      </c>
      <c r="T1576" t="s">
        <v>10747</v>
      </c>
      <c r="U1576">
        <v>2143</v>
      </c>
      <c r="V1576">
        <v>0</v>
      </c>
      <c r="W1576">
        <v>4</v>
      </c>
      <c r="X1576">
        <v>2002</v>
      </c>
      <c r="Z1576">
        <v>2</v>
      </c>
      <c r="AA1576" t="s">
        <v>26</v>
      </c>
      <c r="AB1576">
        <v>0</v>
      </c>
      <c r="AC1576" t="s">
        <v>115</v>
      </c>
      <c r="AD1576">
        <v>2</v>
      </c>
      <c r="AE1576" t="s">
        <v>115</v>
      </c>
      <c r="AF1576">
        <v>0</v>
      </c>
      <c r="AG1576">
        <v>0</v>
      </c>
      <c r="AH1576" t="s">
        <v>116</v>
      </c>
      <c r="AI1576" s="1">
        <v>-2593</v>
      </c>
      <c r="AJ1576" s="2">
        <v>-0.01</v>
      </c>
      <c r="AK1576" s="1">
        <v>275013</v>
      </c>
      <c r="AL1576" t="s">
        <v>117</v>
      </c>
      <c r="AM1576" t="s">
        <v>118</v>
      </c>
      <c r="AN1576">
        <v>6250</v>
      </c>
      <c r="AO1576">
        <v>0.14000000000000001</v>
      </c>
      <c r="AP1576">
        <v>1</v>
      </c>
      <c r="AR1576">
        <v>1</v>
      </c>
      <c r="AS1576" s="1">
        <v>20930</v>
      </c>
      <c r="AT1576" s="1">
        <v>4180</v>
      </c>
      <c r="AU1576" s="1">
        <v>16750</v>
      </c>
      <c r="AV1576">
        <v>80.03</v>
      </c>
      <c r="AX1576" s="1">
        <v>2468.14</v>
      </c>
      <c r="AY1576" t="s">
        <v>3020</v>
      </c>
      <c r="AZ1576" t="s">
        <v>3020</v>
      </c>
      <c r="BA1576" t="s">
        <v>3154</v>
      </c>
      <c r="BE1576" s="3">
        <v>42124</v>
      </c>
      <c r="BF1576" s="1">
        <v>237500</v>
      </c>
      <c r="BG1576" t="s">
        <v>10748</v>
      </c>
      <c r="BH1576" s="1">
        <v>110.83</v>
      </c>
      <c r="BI1576" s="1">
        <v>242606</v>
      </c>
      <c r="BJ1576" s="3">
        <v>42124</v>
      </c>
      <c r="BK1576" t="s">
        <v>123</v>
      </c>
      <c r="BL1576" t="str">
        <f>"2015.303738"</f>
        <v>2015.303738</v>
      </c>
      <c r="BM1576" t="s">
        <v>10749</v>
      </c>
      <c r="BN1576" t="s">
        <v>10750</v>
      </c>
      <c r="BO1576" t="s">
        <v>10751</v>
      </c>
      <c r="BS1576">
        <v>30</v>
      </c>
      <c r="BT1576" s="1">
        <v>35000</v>
      </c>
      <c r="BU1576" s="3">
        <v>43213</v>
      </c>
      <c r="BW1576" t="str">
        <f>"2018.303225"</f>
        <v>2018.303225</v>
      </c>
      <c r="BX1576" t="s">
        <v>10752</v>
      </c>
      <c r="BY1576" t="s">
        <v>10753</v>
      </c>
      <c r="BZ1576" t="s">
        <v>10754</v>
      </c>
      <c r="CA1576" t="s">
        <v>6704</v>
      </c>
      <c r="CC1576" t="s">
        <v>346</v>
      </c>
      <c r="CH1576" t="str">
        <f>""</f>
        <v/>
      </c>
      <c r="CS1576" t="str">
        <f>""</f>
        <v/>
      </c>
    </row>
    <row r="1577" spans="1:97" x14ac:dyDescent="0.25">
      <c r="A1577" t="s">
        <v>1850</v>
      </c>
      <c r="B1577" t="s">
        <v>10755</v>
      </c>
      <c r="C1577" t="s">
        <v>10098</v>
      </c>
      <c r="D1577" t="s">
        <v>10755</v>
      </c>
      <c r="E1577" t="s">
        <v>10756</v>
      </c>
      <c r="F1577" t="s">
        <v>108</v>
      </c>
      <c r="H1577" t="s">
        <v>10757</v>
      </c>
      <c r="I1577" t="s">
        <v>453</v>
      </c>
      <c r="J1577" t="s">
        <v>111</v>
      </c>
      <c r="K1577" t="str">
        <f>"85381"</f>
        <v>85381</v>
      </c>
      <c r="L1577" t="s">
        <v>6438</v>
      </c>
      <c r="M1577" t="s">
        <v>10757</v>
      </c>
      <c r="N1577" t="s">
        <v>453</v>
      </c>
      <c r="O1577" t="s">
        <v>111</v>
      </c>
      <c r="P1577" t="str">
        <f>"85381-4007"</f>
        <v>85381-4007</v>
      </c>
      <c r="Q1577" t="s">
        <v>113</v>
      </c>
      <c r="R1577" t="str">
        <f>"200-78-675"</f>
        <v>200-78-675</v>
      </c>
      <c r="S1577" t="s">
        <v>10758</v>
      </c>
      <c r="T1577" t="s">
        <v>10759</v>
      </c>
      <c r="U1577">
        <v>1914</v>
      </c>
      <c r="V1577">
        <v>0</v>
      </c>
      <c r="W1577">
        <v>3</v>
      </c>
      <c r="X1577">
        <v>1985</v>
      </c>
      <c r="Z1577">
        <v>1</v>
      </c>
      <c r="AB1577">
        <v>0</v>
      </c>
      <c r="AC1577" t="s">
        <v>115</v>
      </c>
      <c r="AD1577">
        <v>2</v>
      </c>
      <c r="AE1577" t="s">
        <v>115</v>
      </c>
      <c r="AF1577">
        <v>0</v>
      </c>
      <c r="AG1577">
        <v>0</v>
      </c>
      <c r="AH1577" t="s">
        <v>116</v>
      </c>
      <c r="AI1577" s="1">
        <v>62631</v>
      </c>
      <c r="AJ1577" s="2">
        <v>0.21</v>
      </c>
      <c r="AK1577" s="1">
        <v>300221</v>
      </c>
      <c r="AL1577" t="s">
        <v>117</v>
      </c>
      <c r="AM1577" t="s">
        <v>171</v>
      </c>
      <c r="AN1577">
        <v>12415</v>
      </c>
      <c r="AO1577">
        <v>0.28000000000000003</v>
      </c>
      <c r="AP1577">
        <v>1</v>
      </c>
      <c r="AR1577">
        <v>1</v>
      </c>
      <c r="AS1577" s="1">
        <v>19760</v>
      </c>
      <c r="AT1577" s="1">
        <v>3950</v>
      </c>
      <c r="AU1577" s="1">
        <v>15810</v>
      </c>
      <c r="AV1577">
        <v>80.010000000000005</v>
      </c>
      <c r="AX1577" s="1">
        <v>1527.86</v>
      </c>
      <c r="AY1577" t="s">
        <v>6872</v>
      </c>
      <c r="AZ1577" t="s">
        <v>6872</v>
      </c>
      <c r="BA1577" t="s">
        <v>1800</v>
      </c>
      <c r="BE1577" s="3">
        <v>41729</v>
      </c>
      <c r="BF1577" s="1">
        <v>230000</v>
      </c>
      <c r="BG1577" t="s">
        <v>10760</v>
      </c>
      <c r="BH1577" s="1">
        <v>120.17</v>
      </c>
      <c r="BI1577" s="1">
        <v>237590</v>
      </c>
      <c r="BJ1577" s="3">
        <v>41729</v>
      </c>
      <c r="BK1577" t="s">
        <v>123</v>
      </c>
      <c r="BL1577" t="str">
        <f>"2014.204984"</f>
        <v>2014.204984</v>
      </c>
      <c r="BM1577" t="s">
        <v>594</v>
      </c>
      <c r="BO1577" t="s">
        <v>10761</v>
      </c>
      <c r="BS1577">
        <v>30</v>
      </c>
      <c r="BW1577" t="str">
        <f>""</f>
        <v/>
      </c>
      <c r="CH1577" t="str">
        <f>""</f>
        <v/>
      </c>
      <c r="CS1577" t="str">
        <f>""</f>
        <v/>
      </c>
    </row>
    <row r="1578" spans="1:97" x14ac:dyDescent="0.25">
      <c r="A1578" t="s">
        <v>2915</v>
      </c>
      <c r="B1578" t="s">
        <v>10762</v>
      </c>
      <c r="C1578" t="s">
        <v>767</v>
      </c>
      <c r="D1578" t="s">
        <v>10762</v>
      </c>
      <c r="E1578" t="s">
        <v>10763</v>
      </c>
      <c r="F1578" t="s">
        <v>108</v>
      </c>
      <c r="H1578" t="s">
        <v>10764</v>
      </c>
      <c r="I1578" t="s">
        <v>2874</v>
      </c>
      <c r="J1578" t="s">
        <v>111</v>
      </c>
      <c r="K1578" t="str">
        <f>"85308"</f>
        <v>85308</v>
      </c>
      <c r="L1578" t="s">
        <v>5291</v>
      </c>
      <c r="M1578" t="s">
        <v>10764</v>
      </c>
      <c r="N1578" t="s">
        <v>2874</v>
      </c>
      <c r="O1578" t="s">
        <v>111</v>
      </c>
      <c r="P1578" t="str">
        <f>"85308-5960"</f>
        <v>85308-5960</v>
      </c>
      <c r="Q1578" t="s">
        <v>113</v>
      </c>
      <c r="R1578" t="str">
        <f>"200-30-677"</f>
        <v>200-30-677</v>
      </c>
      <c r="S1578" t="s">
        <v>10765</v>
      </c>
      <c r="T1578" t="s">
        <v>10766</v>
      </c>
      <c r="U1578">
        <v>1566</v>
      </c>
      <c r="V1578">
        <v>0</v>
      </c>
      <c r="W1578">
        <v>3</v>
      </c>
      <c r="X1578">
        <v>1990</v>
      </c>
      <c r="Z1578">
        <v>2</v>
      </c>
      <c r="AA1578" t="s">
        <v>26</v>
      </c>
      <c r="AB1578">
        <v>0</v>
      </c>
      <c r="AC1578" t="s">
        <v>115</v>
      </c>
      <c r="AD1578">
        <v>2</v>
      </c>
      <c r="AE1578" t="s">
        <v>115</v>
      </c>
      <c r="AF1578">
        <v>0</v>
      </c>
      <c r="AG1578">
        <v>0</v>
      </c>
      <c r="AH1578" t="s">
        <v>116</v>
      </c>
      <c r="AI1578" s="1">
        <v>18233</v>
      </c>
      <c r="AJ1578" s="2">
        <v>0.06</v>
      </c>
      <c r="AK1578" s="1">
        <v>280820</v>
      </c>
      <c r="AL1578" t="s">
        <v>117</v>
      </c>
      <c r="AM1578" t="s">
        <v>191</v>
      </c>
      <c r="AN1578">
        <v>7100</v>
      </c>
      <c r="AO1578">
        <v>0.16</v>
      </c>
      <c r="AP1578">
        <v>1</v>
      </c>
      <c r="AR1578">
        <v>1</v>
      </c>
      <c r="AS1578" s="1">
        <v>19550</v>
      </c>
      <c r="AT1578" s="1">
        <v>3910</v>
      </c>
      <c r="AU1578" s="1">
        <v>15640</v>
      </c>
      <c r="AV1578">
        <v>80</v>
      </c>
      <c r="AX1578" s="1">
        <v>1708.18</v>
      </c>
      <c r="AY1578" t="s">
        <v>8400</v>
      </c>
      <c r="AZ1578" t="s">
        <v>8400</v>
      </c>
      <c r="BA1578" t="s">
        <v>2223</v>
      </c>
      <c r="BE1578" s="3">
        <v>42513</v>
      </c>
      <c r="BF1578" s="1">
        <v>250000</v>
      </c>
      <c r="BG1578" t="s">
        <v>10767</v>
      </c>
      <c r="BH1578" s="1">
        <v>159.63999999999999</v>
      </c>
      <c r="BI1578" s="1">
        <v>262587</v>
      </c>
      <c r="BJ1578" s="3">
        <v>42667</v>
      </c>
      <c r="BK1578" t="s">
        <v>123</v>
      </c>
      <c r="BL1578" t="str">
        <f>"2016.776926"</f>
        <v>2016.776926</v>
      </c>
      <c r="BM1578" t="s">
        <v>2117</v>
      </c>
      <c r="BO1578" t="s">
        <v>10768</v>
      </c>
      <c r="BQ1578" t="str">
        <f>"1.7500%"</f>
        <v>1.7500%</v>
      </c>
      <c r="BR1578" t="s">
        <v>1480</v>
      </c>
      <c r="BS1578">
        <v>30</v>
      </c>
      <c r="BW1578" t="str">
        <f>""</f>
        <v/>
      </c>
      <c r="CH1578" t="str">
        <f>""</f>
        <v/>
      </c>
      <c r="CS1578" t="str">
        <f>""</f>
        <v/>
      </c>
    </row>
    <row r="1579" spans="1:97" x14ac:dyDescent="0.25">
      <c r="A1579" t="s">
        <v>140</v>
      </c>
      <c r="B1579" t="s">
        <v>10769</v>
      </c>
      <c r="E1579" t="s">
        <v>10770</v>
      </c>
      <c r="F1579" t="s">
        <v>108</v>
      </c>
      <c r="H1579" t="s">
        <v>10771</v>
      </c>
      <c r="I1579" t="s">
        <v>2874</v>
      </c>
      <c r="J1579" t="s">
        <v>111</v>
      </c>
      <c r="K1579" t="str">
        <f>"85303"</f>
        <v>85303</v>
      </c>
      <c r="L1579" t="s">
        <v>6682</v>
      </c>
      <c r="M1579" t="s">
        <v>10771</v>
      </c>
      <c r="N1579" t="s">
        <v>2874</v>
      </c>
      <c r="O1579" t="s">
        <v>111</v>
      </c>
      <c r="P1579" t="str">
        <f>"85303-1830"</f>
        <v>85303-1830</v>
      </c>
      <c r="Q1579" t="s">
        <v>113</v>
      </c>
      <c r="R1579" t="str">
        <f>"142-27-240"</f>
        <v>142-27-240</v>
      </c>
      <c r="S1579" t="s">
        <v>6683</v>
      </c>
      <c r="T1579" t="s">
        <v>6683</v>
      </c>
      <c r="U1579">
        <v>1719</v>
      </c>
      <c r="V1579">
        <v>0</v>
      </c>
      <c r="W1579">
        <v>3</v>
      </c>
      <c r="X1579">
        <v>2000</v>
      </c>
      <c r="Z1579">
        <v>1</v>
      </c>
      <c r="AA1579" t="s">
        <v>26</v>
      </c>
      <c r="AB1579">
        <v>0</v>
      </c>
      <c r="AC1579" t="s">
        <v>115</v>
      </c>
      <c r="AD1579">
        <v>3</v>
      </c>
      <c r="AE1579" t="s">
        <v>115</v>
      </c>
      <c r="AF1579">
        <v>0</v>
      </c>
      <c r="AG1579">
        <v>0</v>
      </c>
      <c r="AH1579" t="s">
        <v>116</v>
      </c>
      <c r="AI1579" s="1">
        <v>46637</v>
      </c>
      <c r="AJ1579" s="2">
        <v>0.16</v>
      </c>
      <c r="AK1579" s="1">
        <v>291637</v>
      </c>
      <c r="AL1579" t="s">
        <v>117</v>
      </c>
      <c r="AM1579" t="s">
        <v>171</v>
      </c>
      <c r="AN1579">
        <v>8198</v>
      </c>
      <c r="AO1579">
        <v>0.19</v>
      </c>
      <c r="AP1579">
        <v>1</v>
      </c>
      <c r="AR1579">
        <v>1</v>
      </c>
      <c r="AS1579" s="1">
        <v>20380</v>
      </c>
      <c r="AT1579" s="1">
        <v>4070</v>
      </c>
      <c r="AU1579" s="1">
        <v>16310</v>
      </c>
      <c r="AV1579">
        <v>80.03</v>
      </c>
      <c r="AX1579" s="1">
        <v>1988.62</v>
      </c>
      <c r="AY1579" t="s">
        <v>6684</v>
      </c>
      <c r="AZ1579" t="s">
        <v>6684</v>
      </c>
      <c r="BA1579" t="s">
        <v>2878</v>
      </c>
      <c r="BE1579" s="3">
        <v>42531</v>
      </c>
      <c r="BF1579" s="1">
        <v>245000</v>
      </c>
      <c r="BG1579" t="s">
        <v>10772</v>
      </c>
      <c r="BH1579" s="1">
        <v>142.52000000000001</v>
      </c>
      <c r="BI1579" s="1">
        <v>245000</v>
      </c>
      <c r="BJ1579" s="3">
        <v>42531</v>
      </c>
      <c r="BK1579" t="s">
        <v>123</v>
      </c>
      <c r="BL1579" t="str">
        <f>"2016.404323"</f>
        <v>2016.404323</v>
      </c>
      <c r="BM1579" t="s">
        <v>7523</v>
      </c>
      <c r="BN1579" t="s">
        <v>10773</v>
      </c>
      <c r="BO1579" t="s">
        <v>10774</v>
      </c>
      <c r="BS1579">
        <v>30</v>
      </c>
      <c r="BW1579" t="str">
        <f>""</f>
        <v/>
      </c>
      <c r="CH1579" t="str">
        <f>""</f>
        <v/>
      </c>
      <c r="CS1579" t="str">
        <f>""</f>
        <v/>
      </c>
    </row>
    <row r="1580" spans="1:97" x14ac:dyDescent="0.25">
      <c r="A1580" t="s">
        <v>815</v>
      </c>
      <c r="B1580" t="s">
        <v>1089</v>
      </c>
      <c r="C1580" t="s">
        <v>10775</v>
      </c>
      <c r="D1580" t="s">
        <v>10776</v>
      </c>
      <c r="E1580" t="s">
        <v>10777</v>
      </c>
      <c r="F1580" t="s">
        <v>108</v>
      </c>
      <c r="H1580" t="s">
        <v>10778</v>
      </c>
      <c r="I1580" t="s">
        <v>453</v>
      </c>
      <c r="J1580" t="s">
        <v>111</v>
      </c>
      <c r="K1580" t="str">
        <f>"85345"</f>
        <v>85345</v>
      </c>
      <c r="L1580" t="s">
        <v>5308</v>
      </c>
      <c r="M1580" t="s">
        <v>10778</v>
      </c>
      <c r="N1580" t="s">
        <v>453</v>
      </c>
      <c r="O1580" t="s">
        <v>111</v>
      </c>
      <c r="P1580" t="str">
        <f>"85345-6793"</f>
        <v>85345-6793</v>
      </c>
      <c r="Q1580" t="s">
        <v>113</v>
      </c>
      <c r="R1580" t="str">
        <f>"142-12-377"</f>
        <v>142-12-377</v>
      </c>
      <c r="S1580" t="s">
        <v>10779</v>
      </c>
      <c r="T1580" t="s">
        <v>10780</v>
      </c>
      <c r="U1580">
        <v>2249</v>
      </c>
      <c r="V1580">
        <v>0</v>
      </c>
      <c r="W1580">
        <v>4</v>
      </c>
      <c r="X1580">
        <v>1988</v>
      </c>
      <c r="Z1580">
        <v>2</v>
      </c>
      <c r="AB1580">
        <v>0</v>
      </c>
      <c r="AC1580" t="s">
        <v>115</v>
      </c>
      <c r="AD1580">
        <v>2</v>
      </c>
      <c r="AE1580" t="s">
        <v>115</v>
      </c>
      <c r="AF1580">
        <v>0</v>
      </c>
      <c r="AG1580">
        <v>0</v>
      </c>
      <c r="AH1580" t="s">
        <v>116</v>
      </c>
      <c r="AI1580" s="1">
        <v>73747</v>
      </c>
      <c r="AJ1580" s="2">
        <v>0.27</v>
      </c>
      <c r="AK1580" s="1">
        <v>277025</v>
      </c>
      <c r="AL1580" t="s">
        <v>117</v>
      </c>
      <c r="AM1580" t="s">
        <v>171</v>
      </c>
      <c r="AN1580">
        <v>8960</v>
      </c>
      <c r="AO1580">
        <v>0.21</v>
      </c>
      <c r="AP1580">
        <v>1</v>
      </c>
      <c r="AR1580">
        <v>1</v>
      </c>
      <c r="AS1580" s="1">
        <v>19180</v>
      </c>
      <c r="AT1580" s="1">
        <v>3830</v>
      </c>
      <c r="AU1580" s="1">
        <v>15350</v>
      </c>
      <c r="AV1580">
        <v>80.03</v>
      </c>
      <c r="AX1580" s="1">
        <v>1014.6</v>
      </c>
      <c r="AY1580" t="s">
        <v>10781</v>
      </c>
      <c r="AZ1580" t="s">
        <v>10781</v>
      </c>
      <c r="BA1580" t="s">
        <v>4007</v>
      </c>
      <c r="BE1580" s="3">
        <v>42286</v>
      </c>
      <c r="BF1580" s="1">
        <v>199000</v>
      </c>
      <c r="BG1580" t="s">
        <v>10782</v>
      </c>
      <c r="BH1580" s="1">
        <v>88.48</v>
      </c>
      <c r="BI1580" s="1">
        <v>203278</v>
      </c>
      <c r="BJ1580" s="3">
        <v>42286</v>
      </c>
      <c r="BK1580" t="s">
        <v>123</v>
      </c>
      <c r="BL1580" t="str">
        <f>"2015.729702"</f>
        <v>2015.729702</v>
      </c>
      <c r="BM1580" t="s">
        <v>594</v>
      </c>
      <c r="BO1580" t="s">
        <v>10783</v>
      </c>
      <c r="BP1580" t="s">
        <v>10784</v>
      </c>
      <c r="BS1580">
        <v>30</v>
      </c>
      <c r="BW1580" t="str">
        <f>""</f>
        <v/>
      </c>
      <c r="CH1580" t="str">
        <f>""</f>
        <v/>
      </c>
      <c r="CS1580" t="str">
        <f>""</f>
        <v/>
      </c>
    </row>
    <row r="1581" spans="1:97" x14ac:dyDescent="0.25">
      <c r="A1581" t="s">
        <v>177</v>
      </c>
      <c r="B1581" t="s">
        <v>10785</v>
      </c>
      <c r="C1581" t="s">
        <v>179</v>
      </c>
      <c r="D1581" t="s">
        <v>10785</v>
      </c>
      <c r="E1581" t="s">
        <v>10786</v>
      </c>
      <c r="F1581" t="s">
        <v>108</v>
      </c>
      <c r="H1581" t="s">
        <v>10787</v>
      </c>
      <c r="I1581" t="s">
        <v>5636</v>
      </c>
      <c r="J1581" t="s">
        <v>111</v>
      </c>
      <c r="K1581" t="str">
        <f>"85268"</f>
        <v>85268</v>
      </c>
      <c r="L1581" t="s">
        <v>3758</v>
      </c>
      <c r="M1581" t="s">
        <v>10787</v>
      </c>
      <c r="N1581" t="s">
        <v>5636</v>
      </c>
      <c r="O1581" t="s">
        <v>111</v>
      </c>
      <c r="P1581" t="str">
        <f>"85268-1710"</f>
        <v>85268-1710</v>
      </c>
      <c r="Q1581" t="s">
        <v>113</v>
      </c>
      <c r="R1581" t="str">
        <f>"176-17-472"</f>
        <v>176-17-472</v>
      </c>
      <c r="S1581" t="s">
        <v>10788</v>
      </c>
      <c r="T1581" t="s">
        <v>10789</v>
      </c>
      <c r="U1581">
        <v>3222</v>
      </c>
      <c r="V1581">
        <v>0</v>
      </c>
      <c r="W1581">
        <v>4</v>
      </c>
      <c r="X1581">
        <v>1993</v>
      </c>
      <c r="Z1581">
        <v>1</v>
      </c>
      <c r="AA1581" t="s">
        <v>26</v>
      </c>
      <c r="AB1581">
        <v>0</v>
      </c>
      <c r="AC1581" t="s">
        <v>115</v>
      </c>
      <c r="AD1581">
        <v>3</v>
      </c>
      <c r="AE1581" t="s">
        <v>115</v>
      </c>
      <c r="AF1581">
        <v>0</v>
      </c>
      <c r="AG1581">
        <v>0</v>
      </c>
      <c r="AH1581" t="s">
        <v>116</v>
      </c>
      <c r="AI1581" s="1">
        <v>179454</v>
      </c>
      <c r="AJ1581" s="2">
        <v>0.24</v>
      </c>
      <c r="AK1581" s="1">
        <v>748704</v>
      </c>
      <c r="AL1581" t="s">
        <v>117</v>
      </c>
      <c r="AM1581" t="s">
        <v>1302</v>
      </c>
      <c r="AN1581">
        <v>17711</v>
      </c>
      <c r="AO1581">
        <v>0.41</v>
      </c>
      <c r="AP1581">
        <v>1</v>
      </c>
      <c r="AR1581">
        <v>1</v>
      </c>
      <c r="AS1581" s="1">
        <v>58500</v>
      </c>
      <c r="AT1581" s="1">
        <v>11700</v>
      </c>
      <c r="AU1581" s="1">
        <v>46800</v>
      </c>
      <c r="AV1581">
        <v>80</v>
      </c>
      <c r="AX1581" s="1">
        <v>3645.72</v>
      </c>
      <c r="AY1581" t="s">
        <v>5639</v>
      </c>
      <c r="AZ1581" t="s">
        <v>5640</v>
      </c>
      <c r="BA1581" t="s">
        <v>5641</v>
      </c>
      <c r="BE1581" s="3">
        <v>42205</v>
      </c>
      <c r="BF1581" s="1">
        <v>620100</v>
      </c>
      <c r="BG1581" t="s">
        <v>10790</v>
      </c>
      <c r="BH1581" s="1">
        <v>192.46</v>
      </c>
      <c r="BI1581" s="1">
        <v>569250</v>
      </c>
      <c r="BJ1581" s="3">
        <v>42205</v>
      </c>
      <c r="BK1581" t="s">
        <v>123</v>
      </c>
      <c r="BL1581" t="str">
        <f>"2015.519811"</f>
        <v>2015.519811</v>
      </c>
      <c r="BM1581" t="s">
        <v>709</v>
      </c>
      <c r="BO1581" t="s">
        <v>10791</v>
      </c>
      <c r="BS1581">
        <v>30</v>
      </c>
      <c r="BW1581" t="str">
        <f>""</f>
        <v/>
      </c>
      <c r="CH1581" t="str">
        <f>""</f>
        <v/>
      </c>
      <c r="CS1581" t="str">
        <f>""</f>
        <v/>
      </c>
    </row>
    <row r="1582" spans="1:97" x14ac:dyDescent="0.25">
      <c r="A1582" t="s">
        <v>140</v>
      </c>
      <c r="B1582" t="s">
        <v>10792</v>
      </c>
      <c r="C1582" t="s">
        <v>397</v>
      </c>
      <c r="D1582" t="s">
        <v>10792</v>
      </c>
      <c r="E1582" t="s">
        <v>10793</v>
      </c>
      <c r="F1582" t="s">
        <v>108</v>
      </c>
      <c r="H1582" t="s">
        <v>10794</v>
      </c>
      <c r="I1582" t="s">
        <v>188</v>
      </c>
      <c r="J1582" t="s">
        <v>111</v>
      </c>
      <c r="K1582" t="str">
        <f>"85142"</f>
        <v>85142</v>
      </c>
      <c r="L1582" t="s">
        <v>5893</v>
      </c>
      <c r="M1582" t="s">
        <v>10794</v>
      </c>
      <c r="N1582" t="s">
        <v>188</v>
      </c>
      <c r="O1582" t="s">
        <v>111</v>
      </c>
      <c r="P1582" t="str">
        <f>"85142-3218"</f>
        <v>85142-3218</v>
      </c>
      <c r="Q1582" t="s">
        <v>113</v>
      </c>
      <c r="R1582" t="str">
        <f>"314-06-052"</f>
        <v>314-06-052</v>
      </c>
      <c r="S1582" t="s">
        <v>10795</v>
      </c>
      <c r="U1582">
        <v>2519</v>
      </c>
      <c r="V1582">
        <v>0</v>
      </c>
      <c r="W1582">
        <v>4</v>
      </c>
      <c r="X1582">
        <v>2005</v>
      </c>
      <c r="Z1582">
        <v>2</v>
      </c>
      <c r="AB1582">
        <v>0</v>
      </c>
      <c r="AC1582" t="s">
        <v>115</v>
      </c>
      <c r="AD1582">
        <v>3</v>
      </c>
      <c r="AE1582" t="s">
        <v>115</v>
      </c>
      <c r="AF1582">
        <v>0</v>
      </c>
      <c r="AG1582">
        <v>0</v>
      </c>
      <c r="AH1582" t="s">
        <v>116</v>
      </c>
      <c r="AI1582" s="1">
        <v>99429</v>
      </c>
      <c r="AJ1582" s="2">
        <v>0.31</v>
      </c>
      <c r="AK1582" s="1">
        <v>317929</v>
      </c>
      <c r="AL1582" t="s">
        <v>117</v>
      </c>
      <c r="AM1582" t="s">
        <v>5379</v>
      </c>
      <c r="AN1582">
        <v>5500</v>
      </c>
      <c r="AO1582">
        <v>0.13</v>
      </c>
      <c r="AR1582">
        <v>1</v>
      </c>
      <c r="AS1582" s="1">
        <v>21320</v>
      </c>
      <c r="AT1582" s="1">
        <v>4260</v>
      </c>
      <c r="AU1582" s="1">
        <v>17060</v>
      </c>
      <c r="AV1582">
        <v>80.02</v>
      </c>
      <c r="AX1582" s="1">
        <v>1793.4</v>
      </c>
      <c r="AY1582" t="s">
        <v>5895</v>
      </c>
      <c r="AZ1582" t="s">
        <v>561</v>
      </c>
      <c r="BA1582" t="s">
        <v>194</v>
      </c>
      <c r="BE1582" s="3">
        <v>42367</v>
      </c>
      <c r="BF1582" s="1">
        <v>230000</v>
      </c>
      <c r="BG1582" t="s">
        <v>10796</v>
      </c>
      <c r="BH1582" s="1">
        <v>91.31</v>
      </c>
      <c r="BI1582" s="1">
        <v>218500</v>
      </c>
      <c r="BJ1582" s="3">
        <v>42367</v>
      </c>
      <c r="BK1582" t="s">
        <v>123</v>
      </c>
      <c r="BL1582" t="str">
        <f>"2015.914882"</f>
        <v>2015.914882</v>
      </c>
      <c r="BM1582" t="s">
        <v>4014</v>
      </c>
      <c r="BO1582" t="s">
        <v>10797</v>
      </c>
      <c r="BS1582">
        <v>30</v>
      </c>
      <c r="BW1582" t="str">
        <f>""</f>
        <v/>
      </c>
      <c r="CH1582" t="str">
        <f>""</f>
        <v/>
      </c>
      <c r="CS1582" t="str">
        <f>""</f>
        <v/>
      </c>
    </row>
    <row r="1583" spans="1:97" x14ac:dyDescent="0.25">
      <c r="A1583" t="s">
        <v>464</v>
      </c>
      <c r="B1583" t="s">
        <v>10798</v>
      </c>
      <c r="C1583" t="s">
        <v>2104</v>
      </c>
      <c r="D1583" t="s">
        <v>10798</v>
      </c>
      <c r="E1583" t="s">
        <v>10799</v>
      </c>
      <c r="F1583" t="s">
        <v>108</v>
      </c>
      <c r="H1583" t="s">
        <v>10800</v>
      </c>
      <c r="I1583" t="s">
        <v>225</v>
      </c>
      <c r="J1583" t="s">
        <v>111</v>
      </c>
      <c r="K1583" t="str">
        <f>"85212"</f>
        <v>85212</v>
      </c>
      <c r="L1583" t="s">
        <v>4035</v>
      </c>
      <c r="M1583" t="s">
        <v>10800</v>
      </c>
      <c r="N1583" t="s">
        <v>225</v>
      </c>
      <c r="O1583" t="s">
        <v>111</v>
      </c>
      <c r="P1583" t="str">
        <f>"85212-2013"</f>
        <v>85212-2013</v>
      </c>
      <c r="Q1583" t="s">
        <v>113</v>
      </c>
      <c r="R1583" t="str">
        <f>"304-02-588"</f>
        <v>304-02-588</v>
      </c>
      <c r="S1583" t="s">
        <v>10801</v>
      </c>
      <c r="T1583" t="s">
        <v>7301</v>
      </c>
      <c r="U1583">
        <v>2472</v>
      </c>
      <c r="V1583">
        <v>0</v>
      </c>
      <c r="W1583">
        <v>3</v>
      </c>
      <c r="X1583">
        <v>1999</v>
      </c>
      <c r="Z1583">
        <v>1</v>
      </c>
      <c r="AA1583" t="s">
        <v>26</v>
      </c>
      <c r="AB1583">
        <v>0</v>
      </c>
      <c r="AC1583" t="s">
        <v>115</v>
      </c>
      <c r="AD1583">
        <v>3</v>
      </c>
      <c r="AE1583" t="s">
        <v>115</v>
      </c>
      <c r="AF1583">
        <v>0</v>
      </c>
      <c r="AG1583">
        <v>0</v>
      </c>
      <c r="AH1583" t="s">
        <v>116</v>
      </c>
      <c r="AI1583" s="1">
        <v>98485</v>
      </c>
      <c r="AJ1583" s="2">
        <v>0.26</v>
      </c>
      <c r="AK1583" s="1">
        <v>376735</v>
      </c>
      <c r="AL1583" t="s">
        <v>117</v>
      </c>
      <c r="AM1583" t="s">
        <v>191</v>
      </c>
      <c r="AN1583">
        <v>8793</v>
      </c>
      <c r="AO1583">
        <v>0.2</v>
      </c>
      <c r="AP1583">
        <v>1</v>
      </c>
      <c r="AR1583">
        <v>1</v>
      </c>
      <c r="AS1583" s="1">
        <v>26380</v>
      </c>
      <c r="AT1583" s="1">
        <v>5270</v>
      </c>
      <c r="AU1583" s="1">
        <v>21110</v>
      </c>
      <c r="AV1583">
        <v>80.02</v>
      </c>
      <c r="AX1583" s="1">
        <v>1890.5</v>
      </c>
      <c r="AY1583" t="s">
        <v>7302</v>
      </c>
      <c r="AZ1583" t="s">
        <v>777</v>
      </c>
      <c r="BA1583" t="s">
        <v>572</v>
      </c>
      <c r="BE1583" s="3">
        <v>42384</v>
      </c>
      <c r="BF1583" s="1">
        <v>280000</v>
      </c>
      <c r="BG1583" t="s">
        <v>10802</v>
      </c>
      <c r="BH1583" s="1">
        <v>113.27</v>
      </c>
      <c r="BI1583" s="1">
        <v>278250</v>
      </c>
      <c r="BJ1583" s="3">
        <v>42384</v>
      </c>
      <c r="BK1583" t="s">
        <v>123</v>
      </c>
      <c r="BL1583" t="str">
        <f>"2016.29477"</f>
        <v>2016.29477</v>
      </c>
      <c r="BM1583" t="s">
        <v>1192</v>
      </c>
      <c r="BO1583" t="s">
        <v>10803</v>
      </c>
      <c r="BS1583">
        <v>30</v>
      </c>
      <c r="BW1583" t="str">
        <f>""</f>
        <v/>
      </c>
      <c r="CH1583" t="str">
        <f>""</f>
        <v/>
      </c>
      <c r="CS1583" t="str">
        <f>""</f>
        <v/>
      </c>
    </row>
    <row r="1584" spans="1:97" x14ac:dyDescent="0.25">
      <c r="A1584" t="s">
        <v>9910</v>
      </c>
      <c r="B1584" t="s">
        <v>10804</v>
      </c>
      <c r="C1584" t="s">
        <v>10805</v>
      </c>
      <c r="D1584" t="s">
        <v>10804</v>
      </c>
      <c r="E1584" t="s">
        <v>10806</v>
      </c>
      <c r="F1584" t="s">
        <v>108</v>
      </c>
      <c r="H1584" t="s">
        <v>10807</v>
      </c>
      <c r="I1584" t="s">
        <v>390</v>
      </c>
      <c r="J1584" t="s">
        <v>111</v>
      </c>
      <c r="K1584" t="str">
        <f>"85027"</f>
        <v>85027</v>
      </c>
      <c r="L1584" t="s">
        <v>6902</v>
      </c>
      <c r="M1584" t="s">
        <v>10807</v>
      </c>
      <c r="N1584" t="s">
        <v>390</v>
      </c>
      <c r="O1584" t="s">
        <v>111</v>
      </c>
      <c r="P1584" t="str">
        <f>"85027-1606"</f>
        <v>85027-1606</v>
      </c>
      <c r="R1584" t="str">
        <f>"206-03-437"</f>
        <v>206-03-437</v>
      </c>
      <c r="S1584" t="s">
        <v>10808</v>
      </c>
      <c r="T1584" t="s">
        <v>10809</v>
      </c>
      <c r="U1584">
        <v>1608</v>
      </c>
      <c r="V1584">
        <v>0</v>
      </c>
      <c r="W1584">
        <v>2</v>
      </c>
      <c r="X1584">
        <v>1994</v>
      </c>
      <c r="Z1584">
        <v>1</v>
      </c>
      <c r="AB1584">
        <v>0</v>
      </c>
      <c r="AC1584" t="s">
        <v>115</v>
      </c>
      <c r="AD1584">
        <v>2</v>
      </c>
      <c r="AE1584" t="s">
        <v>115</v>
      </c>
      <c r="AF1584">
        <v>0</v>
      </c>
      <c r="AG1584">
        <v>0</v>
      </c>
      <c r="AH1584" t="s">
        <v>116</v>
      </c>
      <c r="AI1584" s="1">
        <v>23133</v>
      </c>
      <c r="AJ1584" s="2">
        <v>0.08</v>
      </c>
      <c r="AK1584" s="1">
        <v>281383</v>
      </c>
      <c r="AL1584" t="s">
        <v>117</v>
      </c>
      <c r="AM1584" t="s">
        <v>191</v>
      </c>
      <c r="AN1584">
        <v>6437</v>
      </c>
      <c r="AO1584">
        <v>0.15</v>
      </c>
      <c r="AP1584">
        <v>1</v>
      </c>
      <c r="AR1584">
        <v>1</v>
      </c>
      <c r="AS1584" s="1">
        <v>18720</v>
      </c>
      <c r="AT1584" s="1">
        <v>3740</v>
      </c>
      <c r="AU1584" s="1">
        <v>14980</v>
      </c>
      <c r="AV1584">
        <v>80.02</v>
      </c>
      <c r="AX1584" s="1">
        <v>1513.66</v>
      </c>
      <c r="AY1584" t="s">
        <v>6926</v>
      </c>
      <c r="AZ1584" t="s">
        <v>6926</v>
      </c>
      <c r="BA1584" t="s">
        <v>1462</v>
      </c>
      <c r="BE1584" s="3">
        <v>41962</v>
      </c>
      <c r="BF1584" s="1">
        <v>198000</v>
      </c>
      <c r="BG1584" t="s">
        <v>10810</v>
      </c>
      <c r="BH1584" s="1">
        <v>123.13</v>
      </c>
      <c r="BI1584" s="1">
        <v>258250</v>
      </c>
      <c r="BJ1584" s="3">
        <v>43501</v>
      </c>
      <c r="BK1584" t="s">
        <v>123</v>
      </c>
      <c r="BL1584" t="str">
        <f>"2019.77884"</f>
        <v>2019.77884</v>
      </c>
      <c r="BM1584" t="s">
        <v>460</v>
      </c>
      <c r="BN1584" t="s">
        <v>461</v>
      </c>
      <c r="BO1584" t="s">
        <v>10811</v>
      </c>
      <c r="BP1584" t="s">
        <v>10812</v>
      </c>
      <c r="BR1584" t="s">
        <v>139</v>
      </c>
      <c r="BW1584" t="str">
        <f>""</f>
        <v/>
      </c>
      <c r="CH1584" t="str">
        <f>""</f>
        <v/>
      </c>
      <c r="CS1584" t="str">
        <f>""</f>
        <v/>
      </c>
    </row>
    <row r="1585" spans="1:97" x14ac:dyDescent="0.25">
      <c r="A1585" t="s">
        <v>1950</v>
      </c>
      <c r="B1585" t="s">
        <v>10813</v>
      </c>
      <c r="E1585" t="s">
        <v>10814</v>
      </c>
      <c r="F1585" t="s">
        <v>108</v>
      </c>
      <c r="H1585" t="s">
        <v>10815</v>
      </c>
      <c r="I1585" t="s">
        <v>390</v>
      </c>
      <c r="J1585" t="s">
        <v>111</v>
      </c>
      <c r="K1585" t="str">
        <f>"85028"</f>
        <v>85028</v>
      </c>
      <c r="L1585" t="s">
        <v>9168</v>
      </c>
      <c r="M1585" t="s">
        <v>10815</v>
      </c>
      <c r="N1585" t="s">
        <v>390</v>
      </c>
      <c r="O1585" t="s">
        <v>111</v>
      </c>
      <c r="P1585" t="str">
        <f>"85028-2703"</f>
        <v>85028-2703</v>
      </c>
      <c r="Q1585" t="s">
        <v>113</v>
      </c>
      <c r="R1585" t="str">
        <f>"166-36-051"</f>
        <v>166-36-051</v>
      </c>
      <c r="S1585" t="s">
        <v>10816</v>
      </c>
      <c r="T1585" t="s">
        <v>10817</v>
      </c>
      <c r="U1585">
        <v>2118</v>
      </c>
      <c r="V1585">
        <v>0</v>
      </c>
      <c r="W1585">
        <v>2</v>
      </c>
      <c r="X1585">
        <v>1970</v>
      </c>
      <c r="Z1585">
        <v>1</v>
      </c>
      <c r="AA1585" t="s">
        <v>26</v>
      </c>
      <c r="AB1585">
        <v>0</v>
      </c>
      <c r="AC1585" t="s">
        <v>115</v>
      </c>
      <c r="AD1585">
        <v>2</v>
      </c>
      <c r="AE1585" t="s">
        <v>115</v>
      </c>
      <c r="AF1585">
        <v>0</v>
      </c>
      <c r="AG1585">
        <v>0</v>
      </c>
      <c r="AH1585" t="s">
        <v>116</v>
      </c>
      <c r="AI1585" s="1">
        <v>72318</v>
      </c>
      <c r="AJ1585" s="2">
        <v>0.18</v>
      </c>
      <c r="AK1585" s="1">
        <v>400878</v>
      </c>
      <c r="AL1585" t="s">
        <v>117</v>
      </c>
      <c r="AM1585" t="s">
        <v>1302</v>
      </c>
      <c r="AN1585">
        <v>13131</v>
      </c>
      <c r="AO1585">
        <v>0.3</v>
      </c>
      <c r="AP1585">
        <v>1</v>
      </c>
      <c r="AR1585">
        <v>1</v>
      </c>
      <c r="AS1585" s="1">
        <v>29000</v>
      </c>
      <c r="AT1585" s="1">
        <v>5800</v>
      </c>
      <c r="AU1585" s="1">
        <v>23200</v>
      </c>
      <c r="AV1585">
        <v>80</v>
      </c>
      <c r="AX1585" s="1">
        <v>2179.02</v>
      </c>
      <c r="AY1585" t="s">
        <v>5488</v>
      </c>
      <c r="AZ1585" t="s">
        <v>5489</v>
      </c>
      <c r="BA1585" t="s">
        <v>5232</v>
      </c>
      <c r="BE1585" s="3">
        <v>42536</v>
      </c>
      <c r="BF1585" s="1">
        <v>320000</v>
      </c>
      <c r="BG1585" t="s">
        <v>10818</v>
      </c>
      <c r="BH1585" s="1">
        <v>151.09</v>
      </c>
      <c r="BI1585" s="1">
        <v>328560</v>
      </c>
      <c r="BJ1585" s="3">
        <v>42536</v>
      </c>
      <c r="BK1585" t="s">
        <v>123</v>
      </c>
      <c r="BL1585" t="str">
        <f>"2016.416538"</f>
        <v>2016.416538</v>
      </c>
      <c r="BM1585" t="s">
        <v>724</v>
      </c>
      <c r="BO1585" t="s">
        <v>10819</v>
      </c>
      <c r="BS1585">
        <v>30</v>
      </c>
      <c r="BW1585" t="str">
        <f>""</f>
        <v/>
      </c>
      <c r="CH1585" t="str">
        <f>""</f>
        <v/>
      </c>
      <c r="CS1585" t="str">
        <f>""</f>
        <v/>
      </c>
    </row>
    <row r="1586" spans="1:97" x14ac:dyDescent="0.25">
      <c r="A1586" t="s">
        <v>10820</v>
      </c>
      <c r="B1586" t="s">
        <v>1552</v>
      </c>
      <c r="C1586" t="s">
        <v>496</v>
      </c>
      <c r="D1586" t="s">
        <v>10821</v>
      </c>
      <c r="E1586" t="s">
        <v>10822</v>
      </c>
      <c r="F1586" t="s">
        <v>139</v>
      </c>
      <c r="H1586" t="s">
        <v>10823</v>
      </c>
      <c r="I1586" t="s">
        <v>5636</v>
      </c>
      <c r="J1586" t="s">
        <v>111</v>
      </c>
      <c r="K1586" t="str">
        <f>"85268"</f>
        <v>85268</v>
      </c>
      <c r="L1586" t="s">
        <v>168</v>
      </c>
      <c r="M1586" t="s">
        <v>10824</v>
      </c>
      <c r="N1586" t="s">
        <v>5636</v>
      </c>
      <c r="O1586" t="s">
        <v>111</v>
      </c>
      <c r="P1586" t="str">
        <f>"85269-7893"</f>
        <v>85269-7893</v>
      </c>
      <c r="Q1586" t="s">
        <v>113</v>
      </c>
      <c r="R1586" t="str">
        <f>"176-04-234"</f>
        <v>176-04-234</v>
      </c>
      <c r="S1586" t="s">
        <v>10825</v>
      </c>
      <c r="U1586">
        <v>1414</v>
      </c>
      <c r="V1586">
        <v>0</v>
      </c>
      <c r="W1586">
        <v>2</v>
      </c>
      <c r="X1586">
        <v>1985</v>
      </c>
      <c r="Z1586">
        <v>1</v>
      </c>
      <c r="AB1586">
        <v>0</v>
      </c>
      <c r="AC1586" t="s">
        <v>115</v>
      </c>
      <c r="AD1586">
        <v>2</v>
      </c>
      <c r="AE1586" t="s">
        <v>115</v>
      </c>
      <c r="AF1586">
        <v>0</v>
      </c>
      <c r="AG1586">
        <v>0</v>
      </c>
      <c r="AH1586" t="s">
        <v>116</v>
      </c>
      <c r="AI1586" s="1">
        <v>69979</v>
      </c>
      <c r="AJ1586" s="2">
        <v>0.22</v>
      </c>
      <c r="AK1586" s="1">
        <v>316323</v>
      </c>
      <c r="AL1586" t="s">
        <v>117</v>
      </c>
      <c r="AM1586" t="s">
        <v>171</v>
      </c>
      <c r="AN1586">
        <v>10001</v>
      </c>
      <c r="AO1586">
        <v>0.23</v>
      </c>
      <c r="AP1586">
        <v>1</v>
      </c>
      <c r="AR1586">
        <v>1</v>
      </c>
      <c r="AS1586" s="1">
        <v>19950</v>
      </c>
      <c r="AT1586" s="1">
        <v>3990</v>
      </c>
      <c r="AU1586" s="1">
        <v>15960</v>
      </c>
      <c r="AV1586">
        <v>80</v>
      </c>
      <c r="AX1586" s="1">
        <v>1089.08</v>
      </c>
      <c r="AY1586" t="s">
        <v>6485</v>
      </c>
      <c r="AZ1586" t="s">
        <v>5640</v>
      </c>
      <c r="BA1586" t="s">
        <v>5641</v>
      </c>
      <c r="BE1586" s="3">
        <v>41697</v>
      </c>
      <c r="BF1586" s="1">
        <v>238000</v>
      </c>
      <c r="BG1586" t="s">
        <v>10826</v>
      </c>
      <c r="BH1586" s="1">
        <v>168.32</v>
      </c>
      <c r="BI1586" s="1">
        <v>246344</v>
      </c>
      <c r="BJ1586" s="3">
        <v>42107</v>
      </c>
      <c r="BK1586" t="s">
        <v>123</v>
      </c>
      <c r="BL1586" t="str">
        <f>"2015.250768"</f>
        <v>2015.250768</v>
      </c>
      <c r="BM1586" t="s">
        <v>402</v>
      </c>
      <c r="BO1586" t="s">
        <v>10827</v>
      </c>
      <c r="BP1586" t="s">
        <v>10828</v>
      </c>
      <c r="BS1586">
        <v>30</v>
      </c>
      <c r="BW1586" t="str">
        <f>""</f>
        <v/>
      </c>
      <c r="CH1586" t="str">
        <f>""</f>
        <v/>
      </c>
      <c r="CS1586" t="str">
        <f>""</f>
        <v/>
      </c>
    </row>
    <row r="1587" spans="1:97" x14ac:dyDescent="0.25">
      <c r="A1587" t="s">
        <v>548</v>
      </c>
      <c r="B1587" t="s">
        <v>10829</v>
      </c>
      <c r="C1587" t="s">
        <v>10830</v>
      </c>
      <c r="D1587" t="s">
        <v>10829</v>
      </c>
      <c r="E1587" t="s">
        <v>10831</v>
      </c>
      <c r="F1587" t="s">
        <v>108</v>
      </c>
      <c r="H1587" t="s">
        <v>10832</v>
      </c>
      <c r="I1587" t="s">
        <v>144</v>
      </c>
      <c r="J1587" t="s">
        <v>111</v>
      </c>
      <c r="K1587" t="str">
        <f>"85326"</f>
        <v>85326</v>
      </c>
      <c r="L1587" t="s">
        <v>7607</v>
      </c>
      <c r="M1587" t="s">
        <v>10832</v>
      </c>
      <c r="N1587" t="s">
        <v>144</v>
      </c>
      <c r="O1587" t="s">
        <v>111</v>
      </c>
      <c r="P1587" t="str">
        <f>"85326-8049"</f>
        <v>85326-8049</v>
      </c>
      <c r="Q1587" t="s">
        <v>113</v>
      </c>
      <c r="R1587" t="str">
        <f>"504-27-478"</f>
        <v>504-27-478</v>
      </c>
      <c r="S1587" t="s">
        <v>10833</v>
      </c>
      <c r="U1587">
        <v>2469</v>
      </c>
      <c r="V1587">
        <v>0</v>
      </c>
      <c r="W1587">
        <v>3</v>
      </c>
      <c r="X1587">
        <v>2006</v>
      </c>
      <c r="Z1587">
        <v>2</v>
      </c>
      <c r="AB1587">
        <v>0</v>
      </c>
      <c r="AC1587" t="s">
        <v>115</v>
      </c>
      <c r="AD1587">
        <v>2</v>
      </c>
      <c r="AE1587" t="s">
        <v>115</v>
      </c>
      <c r="AF1587">
        <v>0</v>
      </c>
      <c r="AG1587">
        <v>0</v>
      </c>
      <c r="AH1587" t="s">
        <v>116</v>
      </c>
      <c r="AI1587" s="1">
        <v>9121</v>
      </c>
      <c r="AJ1587" s="2">
        <v>0.04</v>
      </c>
      <c r="AK1587" s="1">
        <v>247100</v>
      </c>
      <c r="AL1587" t="s">
        <v>117</v>
      </c>
      <c r="AM1587" t="s">
        <v>118</v>
      </c>
      <c r="AN1587">
        <v>5750</v>
      </c>
      <c r="AO1587">
        <v>0.13</v>
      </c>
      <c r="AR1587">
        <v>1</v>
      </c>
      <c r="AS1587" s="1">
        <v>16220</v>
      </c>
      <c r="AT1587" s="1">
        <v>3240</v>
      </c>
      <c r="AU1587" s="1">
        <v>12980</v>
      </c>
      <c r="AV1587">
        <v>80.02</v>
      </c>
      <c r="AX1587" s="1">
        <v>1388.04</v>
      </c>
      <c r="AY1587" t="s">
        <v>8444</v>
      </c>
      <c r="AZ1587" t="s">
        <v>8444</v>
      </c>
      <c r="BA1587" t="s">
        <v>5025</v>
      </c>
      <c r="BE1587" s="3">
        <v>42500</v>
      </c>
      <c r="BF1587" s="1">
        <v>172000</v>
      </c>
      <c r="BG1587" t="s">
        <v>10834</v>
      </c>
      <c r="BH1587" s="1">
        <v>69.66</v>
      </c>
      <c r="BI1587" s="1">
        <v>237979</v>
      </c>
      <c r="BJ1587" s="3">
        <v>43306</v>
      </c>
      <c r="BK1587" t="s">
        <v>123</v>
      </c>
      <c r="BL1587" t="str">
        <f>"2018.562929"</f>
        <v>2018.562929</v>
      </c>
      <c r="BM1587" t="s">
        <v>4672</v>
      </c>
      <c r="BN1587" t="s">
        <v>1922</v>
      </c>
      <c r="BO1587" t="s">
        <v>10835</v>
      </c>
      <c r="BP1587" t="s">
        <v>10836</v>
      </c>
      <c r="BR1587" t="s">
        <v>346</v>
      </c>
      <c r="BW1587" t="str">
        <f>""</f>
        <v/>
      </c>
      <c r="CH1587" t="str">
        <f>""</f>
        <v/>
      </c>
      <c r="CS1587" t="str">
        <f>""</f>
        <v/>
      </c>
    </row>
    <row r="1588" spans="1:97" x14ac:dyDescent="0.25">
      <c r="A1588" t="s">
        <v>1963</v>
      </c>
      <c r="B1588" t="s">
        <v>141</v>
      </c>
      <c r="C1588" t="s">
        <v>2002</v>
      </c>
      <c r="D1588" t="s">
        <v>141</v>
      </c>
      <c r="E1588" t="s">
        <v>10837</v>
      </c>
      <c r="F1588" t="s">
        <v>108</v>
      </c>
      <c r="H1588" t="s">
        <v>10838</v>
      </c>
      <c r="I1588" t="s">
        <v>2874</v>
      </c>
      <c r="J1588" t="s">
        <v>111</v>
      </c>
      <c r="K1588" t="str">
        <f>"85302"</f>
        <v>85302</v>
      </c>
      <c r="L1588" t="s">
        <v>6983</v>
      </c>
      <c r="M1588" t="s">
        <v>10838</v>
      </c>
      <c r="N1588" t="s">
        <v>2874</v>
      </c>
      <c r="O1588" t="s">
        <v>111</v>
      </c>
      <c r="P1588" t="str">
        <f>"85302-2424"</f>
        <v>85302-2424</v>
      </c>
      <c r="Q1588" t="s">
        <v>113</v>
      </c>
      <c r="R1588" t="str">
        <f>"148-05-409"</f>
        <v>148-05-409</v>
      </c>
      <c r="S1588" t="s">
        <v>10839</v>
      </c>
      <c r="T1588" t="s">
        <v>8384</v>
      </c>
      <c r="U1588">
        <v>1763</v>
      </c>
      <c r="V1588">
        <v>0</v>
      </c>
      <c r="W1588">
        <v>2</v>
      </c>
      <c r="X1588">
        <v>1976</v>
      </c>
      <c r="Z1588">
        <v>1</v>
      </c>
      <c r="AA1588" t="s">
        <v>26</v>
      </c>
      <c r="AB1588">
        <v>0</v>
      </c>
      <c r="AC1588" t="s">
        <v>115</v>
      </c>
      <c r="AD1588">
        <v>2</v>
      </c>
      <c r="AE1588" t="s">
        <v>115</v>
      </c>
      <c r="AF1588">
        <v>0</v>
      </c>
      <c r="AG1588">
        <v>0</v>
      </c>
      <c r="AH1588" t="s">
        <v>116</v>
      </c>
      <c r="AI1588" s="1">
        <v>29557</v>
      </c>
      <c r="AJ1588" s="2">
        <v>0.12</v>
      </c>
      <c r="AK1588" s="1">
        <v>256817</v>
      </c>
      <c r="AL1588" t="s">
        <v>117</v>
      </c>
      <c r="AM1588" t="s">
        <v>191</v>
      </c>
      <c r="AN1588">
        <v>7893</v>
      </c>
      <c r="AO1588">
        <v>0.18</v>
      </c>
      <c r="AP1588">
        <v>1</v>
      </c>
      <c r="AR1588">
        <v>1</v>
      </c>
      <c r="AS1588" s="1">
        <v>16550</v>
      </c>
      <c r="AT1588" s="1">
        <v>3310</v>
      </c>
      <c r="AU1588" s="1">
        <v>13240</v>
      </c>
      <c r="AV1588">
        <v>80</v>
      </c>
      <c r="AX1588" s="1">
        <v>1183.8599999999999</v>
      </c>
      <c r="AY1588" t="s">
        <v>6985</v>
      </c>
      <c r="AZ1588" t="s">
        <v>6986</v>
      </c>
      <c r="BA1588" t="s">
        <v>6987</v>
      </c>
      <c r="BE1588" s="3">
        <v>42248</v>
      </c>
      <c r="BF1588" s="1">
        <v>160000</v>
      </c>
      <c r="BG1588" t="s">
        <v>10840</v>
      </c>
      <c r="BH1588" s="1">
        <v>90.75</v>
      </c>
      <c r="BI1588" s="1">
        <v>227260</v>
      </c>
      <c r="BJ1588" s="3">
        <v>43259</v>
      </c>
      <c r="BK1588" t="s">
        <v>123</v>
      </c>
      <c r="BL1588" t="str">
        <f>"2018.437313"</f>
        <v>2018.437313</v>
      </c>
      <c r="BM1588" t="s">
        <v>460</v>
      </c>
      <c r="BN1588" t="s">
        <v>461</v>
      </c>
      <c r="BO1588" t="s">
        <v>10841</v>
      </c>
      <c r="BP1588" t="s">
        <v>10842</v>
      </c>
      <c r="BR1588" t="s">
        <v>139</v>
      </c>
      <c r="BW1588" t="str">
        <f>""</f>
        <v/>
      </c>
      <c r="CH1588" t="str">
        <f>""</f>
        <v/>
      </c>
      <c r="CS1588" t="str">
        <f>""</f>
        <v/>
      </c>
    </row>
    <row r="1589" spans="1:97" x14ac:dyDescent="0.25">
      <c r="A1589" t="s">
        <v>10843</v>
      </c>
      <c r="B1589" t="s">
        <v>10844</v>
      </c>
      <c r="E1589" t="s">
        <v>10845</v>
      </c>
      <c r="F1589" t="s">
        <v>282</v>
      </c>
      <c r="H1589" t="s">
        <v>10846</v>
      </c>
      <c r="I1589" t="s">
        <v>390</v>
      </c>
      <c r="J1589" t="s">
        <v>111</v>
      </c>
      <c r="K1589" t="str">
        <f>"85041"</f>
        <v>85041</v>
      </c>
      <c r="L1589" t="s">
        <v>5209</v>
      </c>
      <c r="M1589" t="s">
        <v>10847</v>
      </c>
      <c r="N1589" t="s">
        <v>10848</v>
      </c>
      <c r="O1589" t="s">
        <v>10849</v>
      </c>
      <c r="P1589" t="str">
        <f>"78244-3531"</f>
        <v>78244-3531</v>
      </c>
      <c r="Q1589" t="s">
        <v>113</v>
      </c>
      <c r="R1589" t="str">
        <f>"105-88-926"</f>
        <v>105-88-926</v>
      </c>
      <c r="S1589" t="s">
        <v>10850</v>
      </c>
      <c r="T1589" t="s">
        <v>10850</v>
      </c>
      <c r="U1589">
        <v>2235</v>
      </c>
      <c r="V1589">
        <v>0</v>
      </c>
      <c r="W1589">
        <v>4</v>
      </c>
      <c r="X1589">
        <v>2014</v>
      </c>
      <c r="Z1589">
        <v>1</v>
      </c>
      <c r="AB1589">
        <v>0</v>
      </c>
      <c r="AC1589" t="s">
        <v>115</v>
      </c>
      <c r="AD1589">
        <v>2</v>
      </c>
      <c r="AE1589" t="s">
        <v>115</v>
      </c>
      <c r="AF1589">
        <v>0</v>
      </c>
      <c r="AG1589">
        <v>0</v>
      </c>
      <c r="AH1589" t="s">
        <v>116</v>
      </c>
      <c r="AI1589" s="1">
        <v>84254</v>
      </c>
      <c r="AJ1589" s="2">
        <v>0.27</v>
      </c>
      <c r="AK1589" s="1">
        <v>315605</v>
      </c>
      <c r="AL1589" t="s">
        <v>117</v>
      </c>
      <c r="AM1589" t="s">
        <v>760</v>
      </c>
      <c r="AN1589">
        <v>8261</v>
      </c>
      <c r="AO1589">
        <v>0.19</v>
      </c>
      <c r="AR1589">
        <v>1</v>
      </c>
      <c r="AS1589" s="1">
        <v>23310</v>
      </c>
      <c r="AT1589" s="1">
        <v>4660</v>
      </c>
      <c r="AU1589" s="1">
        <v>18650</v>
      </c>
      <c r="AV1589">
        <v>80.010000000000005</v>
      </c>
      <c r="AX1589" s="1">
        <v>2492.2199999999998</v>
      </c>
      <c r="AY1589" t="s">
        <v>5211</v>
      </c>
      <c r="AZ1589" t="s">
        <v>5211</v>
      </c>
      <c r="BA1589" t="s">
        <v>1661</v>
      </c>
      <c r="BE1589" s="3">
        <v>41829</v>
      </c>
      <c r="BF1589" s="1">
        <v>221255</v>
      </c>
      <c r="BG1589" t="s">
        <v>3062</v>
      </c>
      <c r="BH1589" s="1">
        <v>99</v>
      </c>
      <c r="BI1589" s="1">
        <v>231351</v>
      </c>
      <c r="BJ1589" s="3">
        <v>42536</v>
      </c>
      <c r="BK1589" t="s">
        <v>123</v>
      </c>
      <c r="BL1589" t="str">
        <f>"2016.415836"</f>
        <v>2016.415836</v>
      </c>
      <c r="BM1589" t="s">
        <v>673</v>
      </c>
      <c r="BO1589" t="s">
        <v>10851</v>
      </c>
      <c r="BQ1589" t="str">
        <f>"2.2500%"</f>
        <v>2.2500%</v>
      </c>
      <c r="BR1589" t="s">
        <v>1480</v>
      </c>
      <c r="BS1589">
        <v>30</v>
      </c>
      <c r="BW1589" t="str">
        <f>""</f>
        <v/>
      </c>
      <c r="CH1589" t="str">
        <f>""</f>
        <v/>
      </c>
      <c r="CS1589" t="str">
        <f>""</f>
        <v/>
      </c>
    </row>
    <row r="1590" spans="1:97" x14ac:dyDescent="0.25">
      <c r="A1590" t="s">
        <v>10852</v>
      </c>
      <c r="B1590" t="s">
        <v>10853</v>
      </c>
      <c r="C1590" t="s">
        <v>259</v>
      </c>
      <c r="D1590" t="s">
        <v>10853</v>
      </c>
      <c r="E1590" t="s">
        <v>10854</v>
      </c>
      <c r="F1590" t="s">
        <v>108</v>
      </c>
      <c r="H1590" t="s">
        <v>10855</v>
      </c>
      <c r="I1590" t="s">
        <v>5387</v>
      </c>
      <c r="J1590" t="s">
        <v>111</v>
      </c>
      <c r="K1590" t="str">
        <f>"85282"</f>
        <v>85282</v>
      </c>
      <c r="L1590" t="s">
        <v>6803</v>
      </c>
      <c r="M1590" t="s">
        <v>10855</v>
      </c>
      <c r="N1590" t="s">
        <v>5387</v>
      </c>
      <c r="O1590" t="s">
        <v>111</v>
      </c>
      <c r="P1590" t="str">
        <f>"85282-7413"</f>
        <v>85282-7413</v>
      </c>
      <c r="Q1590" t="s">
        <v>113</v>
      </c>
      <c r="R1590" t="str">
        <f>"133-35-109"</f>
        <v>133-35-109</v>
      </c>
      <c r="S1590" t="s">
        <v>10856</v>
      </c>
      <c r="T1590" t="s">
        <v>10857</v>
      </c>
      <c r="U1590">
        <v>1669</v>
      </c>
      <c r="V1590">
        <v>0</v>
      </c>
      <c r="W1590">
        <v>2</v>
      </c>
      <c r="X1590">
        <v>1972</v>
      </c>
      <c r="Z1590">
        <v>1</v>
      </c>
      <c r="AA1590" t="s">
        <v>26</v>
      </c>
      <c r="AB1590">
        <v>0</v>
      </c>
      <c r="AC1590" t="s">
        <v>115</v>
      </c>
      <c r="AD1590">
        <v>2</v>
      </c>
      <c r="AE1590" t="s">
        <v>115</v>
      </c>
      <c r="AF1590">
        <v>0</v>
      </c>
      <c r="AG1590">
        <v>0</v>
      </c>
      <c r="AH1590" t="s">
        <v>116</v>
      </c>
      <c r="AI1590" s="1">
        <v>75293</v>
      </c>
      <c r="AJ1590" s="2">
        <v>0.22</v>
      </c>
      <c r="AK1590" s="1">
        <v>343619</v>
      </c>
      <c r="AL1590" t="s">
        <v>117</v>
      </c>
      <c r="AM1590" t="s">
        <v>191</v>
      </c>
      <c r="AN1590">
        <v>9047</v>
      </c>
      <c r="AO1590">
        <v>0.21</v>
      </c>
      <c r="AP1590">
        <v>1</v>
      </c>
      <c r="AR1590">
        <v>1</v>
      </c>
      <c r="AS1590" s="1">
        <v>23020</v>
      </c>
      <c r="AT1590" s="1">
        <v>4600</v>
      </c>
      <c r="AU1590" s="1">
        <v>18420</v>
      </c>
      <c r="AV1590">
        <v>80.02</v>
      </c>
      <c r="AX1590" s="1">
        <v>1852.96</v>
      </c>
      <c r="AY1590" t="s">
        <v>9740</v>
      </c>
      <c r="AZ1590" t="s">
        <v>6726</v>
      </c>
      <c r="BA1590" t="s">
        <v>10858</v>
      </c>
      <c r="BB1590" s="3">
        <v>42552</v>
      </c>
      <c r="BD1590" t="s">
        <v>10859</v>
      </c>
      <c r="BE1590" s="3">
        <v>42233</v>
      </c>
      <c r="BF1590" s="1">
        <v>262000</v>
      </c>
      <c r="BG1590" t="s">
        <v>10860</v>
      </c>
      <c r="BH1590" s="1">
        <v>156.97999999999999</v>
      </c>
      <c r="BI1590" s="1">
        <v>268326</v>
      </c>
      <c r="BJ1590" s="3">
        <v>42233</v>
      </c>
      <c r="BK1590" t="s">
        <v>123</v>
      </c>
      <c r="BL1590" t="str">
        <f>"2015.595135"</f>
        <v>2015.595135</v>
      </c>
      <c r="BM1590" t="s">
        <v>1185</v>
      </c>
      <c r="BO1590" t="s">
        <v>10861</v>
      </c>
      <c r="BS1590">
        <v>30</v>
      </c>
      <c r="BW1590" t="str">
        <f>""</f>
        <v/>
      </c>
      <c r="CH1590" t="str">
        <f>""</f>
        <v/>
      </c>
      <c r="CS1590" t="str">
        <f>""</f>
        <v/>
      </c>
    </row>
    <row r="1591" spans="1:97" x14ac:dyDescent="0.25">
      <c r="B1591" t="s">
        <v>10862</v>
      </c>
      <c r="E1591" t="s">
        <v>10862</v>
      </c>
      <c r="F1591" t="s">
        <v>108</v>
      </c>
      <c r="H1591" t="s">
        <v>10863</v>
      </c>
      <c r="I1591" t="s">
        <v>632</v>
      </c>
      <c r="J1591" t="s">
        <v>111</v>
      </c>
      <c r="K1591" t="str">
        <f>"85379"</f>
        <v>85379</v>
      </c>
      <c r="L1591" t="s">
        <v>375</v>
      </c>
      <c r="M1591" t="s">
        <v>10863</v>
      </c>
      <c r="N1591" t="s">
        <v>632</v>
      </c>
      <c r="O1591" t="s">
        <v>111</v>
      </c>
      <c r="P1591" t="str">
        <f>"85379-4256"</f>
        <v>85379-4256</v>
      </c>
      <c r="Q1591" t="s">
        <v>113</v>
      </c>
      <c r="R1591" t="str">
        <f>"509-08-864"</f>
        <v>509-08-864</v>
      </c>
      <c r="S1591" t="s">
        <v>10864</v>
      </c>
      <c r="U1591">
        <v>1949</v>
      </c>
      <c r="V1591">
        <v>0</v>
      </c>
      <c r="W1591">
        <v>3</v>
      </c>
      <c r="X1591">
        <v>2013</v>
      </c>
      <c r="Z1591">
        <v>2</v>
      </c>
      <c r="AA1591" t="s">
        <v>26</v>
      </c>
      <c r="AB1591">
        <v>0</v>
      </c>
      <c r="AC1591" t="s">
        <v>115</v>
      </c>
      <c r="AD1591">
        <v>2</v>
      </c>
      <c r="AE1591" t="s">
        <v>115</v>
      </c>
      <c r="AF1591">
        <v>0</v>
      </c>
      <c r="AG1591">
        <v>0</v>
      </c>
      <c r="AH1591" t="s">
        <v>116</v>
      </c>
      <c r="AI1591" s="1">
        <v>25638</v>
      </c>
      <c r="AJ1591" s="2">
        <v>0.08</v>
      </c>
      <c r="AK1591" s="1">
        <v>316944</v>
      </c>
      <c r="AL1591" t="s">
        <v>117</v>
      </c>
      <c r="AM1591" t="s">
        <v>118</v>
      </c>
      <c r="AN1591">
        <v>5400</v>
      </c>
      <c r="AO1591">
        <v>0.12</v>
      </c>
      <c r="AR1591">
        <v>1</v>
      </c>
      <c r="AS1591" s="1">
        <v>22960</v>
      </c>
      <c r="AT1591" s="1">
        <v>4590</v>
      </c>
      <c r="AU1591" s="1">
        <v>18370</v>
      </c>
      <c r="AV1591">
        <v>80.010000000000005</v>
      </c>
      <c r="AX1591" s="1">
        <v>2479.2399999999998</v>
      </c>
      <c r="AY1591" t="s">
        <v>634</v>
      </c>
      <c r="AZ1591" t="s">
        <v>634</v>
      </c>
      <c r="BA1591" t="s">
        <v>635</v>
      </c>
      <c r="BE1591" s="3">
        <v>42403</v>
      </c>
      <c r="BF1591" s="1">
        <v>248000</v>
      </c>
      <c r="BG1591" t="s">
        <v>10865</v>
      </c>
      <c r="BH1591" s="1">
        <v>127.24</v>
      </c>
      <c r="BI1591" s="1">
        <v>291306</v>
      </c>
      <c r="BJ1591" s="3">
        <v>42963</v>
      </c>
      <c r="BK1591" t="s">
        <v>123</v>
      </c>
      <c r="BL1591" t="str">
        <f>"2017.603129"</f>
        <v>2017.603129</v>
      </c>
      <c r="BM1591" t="s">
        <v>10866</v>
      </c>
      <c r="BO1591" t="s">
        <v>10867</v>
      </c>
      <c r="BS1591">
        <v>30</v>
      </c>
      <c r="BW1591" t="str">
        <f>""</f>
        <v/>
      </c>
      <c r="CH1591" t="str">
        <f>""</f>
        <v/>
      </c>
      <c r="CS1591" t="str">
        <f>""</f>
        <v/>
      </c>
    </row>
    <row r="1592" spans="1:97" x14ac:dyDescent="0.25">
      <c r="A1592" t="s">
        <v>2350</v>
      </c>
      <c r="B1592" t="s">
        <v>10868</v>
      </c>
      <c r="C1592" t="s">
        <v>1289</v>
      </c>
      <c r="D1592" t="s">
        <v>10868</v>
      </c>
      <c r="E1592" t="s">
        <v>10869</v>
      </c>
      <c r="F1592" t="s">
        <v>108</v>
      </c>
      <c r="H1592" t="s">
        <v>10870</v>
      </c>
      <c r="I1592" t="s">
        <v>453</v>
      </c>
      <c r="J1592" t="s">
        <v>111</v>
      </c>
      <c r="K1592" t="str">
        <f>"85383"</f>
        <v>85383</v>
      </c>
      <c r="L1592" t="s">
        <v>516</v>
      </c>
      <c r="M1592" t="s">
        <v>10870</v>
      </c>
      <c r="N1592" t="s">
        <v>453</v>
      </c>
      <c r="O1592" t="s">
        <v>111</v>
      </c>
      <c r="P1592" t="str">
        <f>"85383-9654"</f>
        <v>85383-9654</v>
      </c>
      <c r="Q1592" t="s">
        <v>113</v>
      </c>
      <c r="R1592" t="str">
        <f>"201-17-286"</f>
        <v>201-17-286</v>
      </c>
      <c r="S1592" t="s">
        <v>10871</v>
      </c>
      <c r="T1592" t="s">
        <v>4519</v>
      </c>
      <c r="U1592">
        <v>2172</v>
      </c>
      <c r="V1592">
        <v>0</v>
      </c>
      <c r="W1592">
        <v>3</v>
      </c>
      <c r="X1592">
        <v>2012</v>
      </c>
      <c r="Z1592">
        <v>1</v>
      </c>
      <c r="AB1592">
        <v>0</v>
      </c>
      <c r="AC1592" t="s">
        <v>115</v>
      </c>
      <c r="AD1592">
        <v>2</v>
      </c>
      <c r="AE1592" t="s">
        <v>115</v>
      </c>
      <c r="AF1592">
        <v>0</v>
      </c>
      <c r="AG1592">
        <v>0</v>
      </c>
      <c r="AH1592" t="s">
        <v>116</v>
      </c>
      <c r="AI1592" s="1">
        <v>35043</v>
      </c>
      <c r="AJ1592" s="2">
        <v>0.1</v>
      </c>
      <c r="AK1592" s="1">
        <v>366636</v>
      </c>
      <c r="AL1592" t="s">
        <v>117</v>
      </c>
      <c r="AM1592" t="s">
        <v>118</v>
      </c>
      <c r="AN1592">
        <v>8160</v>
      </c>
      <c r="AO1592">
        <v>0.19</v>
      </c>
      <c r="AR1592">
        <v>1</v>
      </c>
      <c r="AS1592" s="1">
        <v>25700</v>
      </c>
      <c r="AT1592" s="1">
        <v>5140</v>
      </c>
      <c r="AU1592" s="1">
        <v>20560</v>
      </c>
      <c r="AV1592">
        <v>80</v>
      </c>
      <c r="AX1592" s="1">
        <v>3040.46</v>
      </c>
      <c r="AY1592" t="s">
        <v>4520</v>
      </c>
      <c r="AZ1592" t="s">
        <v>4520</v>
      </c>
      <c r="BA1592" t="s">
        <v>4219</v>
      </c>
      <c r="BE1592" s="3">
        <v>42551</v>
      </c>
      <c r="BF1592" s="1">
        <v>321000</v>
      </c>
      <c r="BG1592" t="s">
        <v>10872</v>
      </c>
      <c r="BH1592" s="1">
        <v>147.79</v>
      </c>
      <c r="BI1592" s="1">
        <v>331593</v>
      </c>
      <c r="BJ1592" s="3">
        <v>42551</v>
      </c>
      <c r="BK1592" t="s">
        <v>123</v>
      </c>
      <c r="BL1592" t="str">
        <f>"2016.458575"</f>
        <v>2016.458575</v>
      </c>
      <c r="BM1592" t="s">
        <v>131</v>
      </c>
      <c r="BO1592" t="s">
        <v>10873</v>
      </c>
      <c r="BS1592">
        <v>30</v>
      </c>
      <c r="BW1592" t="str">
        <f>""</f>
        <v/>
      </c>
      <c r="CH1592" t="str">
        <f>""</f>
        <v/>
      </c>
      <c r="CS1592" t="str">
        <f>""</f>
        <v/>
      </c>
    </row>
    <row r="1593" spans="1:97" x14ac:dyDescent="0.25">
      <c r="A1593" t="s">
        <v>3580</v>
      </c>
      <c r="B1593" t="s">
        <v>7026</v>
      </c>
      <c r="C1593" t="s">
        <v>10874</v>
      </c>
      <c r="D1593" t="s">
        <v>7026</v>
      </c>
      <c r="E1593" t="s">
        <v>10875</v>
      </c>
      <c r="F1593" t="s">
        <v>108</v>
      </c>
      <c r="H1593" t="s">
        <v>10876</v>
      </c>
      <c r="I1593" t="s">
        <v>5114</v>
      </c>
      <c r="J1593" t="s">
        <v>111</v>
      </c>
      <c r="K1593" t="str">
        <f>"85392"</f>
        <v>85392</v>
      </c>
      <c r="L1593" t="s">
        <v>3430</v>
      </c>
      <c r="M1593" t="s">
        <v>10876</v>
      </c>
      <c r="N1593" t="s">
        <v>5114</v>
      </c>
      <c r="O1593" t="s">
        <v>111</v>
      </c>
      <c r="P1593" t="str">
        <f>"85392-4045"</f>
        <v>85392-4045</v>
      </c>
      <c r="Q1593" t="s">
        <v>113</v>
      </c>
      <c r="R1593" t="str">
        <f>"102-28-697"</f>
        <v>102-28-697</v>
      </c>
      <c r="S1593" t="s">
        <v>10877</v>
      </c>
      <c r="T1593" t="s">
        <v>8083</v>
      </c>
      <c r="U1593">
        <v>2049</v>
      </c>
      <c r="V1593">
        <v>0</v>
      </c>
      <c r="W1593">
        <v>3</v>
      </c>
      <c r="X1593">
        <v>1992</v>
      </c>
      <c r="Z1593">
        <v>1</v>
      </c>
      <c r="AB1593">
        <v>0</v>
      </c>
      <c r="AC1593" t="s">
        <v>115</v>
      </c>
      <c r="AD1593">
        <v>2</v>
      </c>
      <c r="AE1593" t="s">
        <v>115</v>
      </c>
      <c r="AF1593">
        <v>0</v>
      </c>
      <c r="AG1593">
        <v>0</v>
      </c>
      <c r="AH1593" t="s">
        <v>116</v>
      </c>
      <c r="AI1593" s="1">
        <v>66688</v>
      </c>
      <c r="AJ1593" s="2">
        <v>0.24</v>
      </c>
      <c r="AK1593" s="1">
        <v>282068</v>
      </c>
      <c r="AL1593" t="s">
        <v>117</v>
      </c>
      <c r="AM1593" t="s">
        <v>118</v>
      </c>
      <c r="AN1593">
        <v>7305</v>
      </c>
      <c r="AO1593">
        <v>0.17</v>
      </c>
      <c r="AP1593">
        <v>1</v>
      </c>
      <c r="AR1593">
        <v>1</v>
      </c>
      <c r="AS1593" s="1">
        <v>19200</v>
      </c>
      <c r="AT1593" s="1">
        <v>3840</v>
      </c>
      <c r="AU1593" s="1">
        <v>15360</v>
      </c>
      <c r="AV1593">
        <v>80</v>
      </c>
      <c r="AX1593" s="1">
        <v>1921.28</v>
      </c>
      <c r="AY1593" t="s">
        <v>8084</v>
      </c>
      <c r="AZ1593" t="s">
        <v>8084</v>
      </c>
      <c r="BA1593" t="s">
        <v>5118</v>
      </c>
      <c r="BE1593" s="3">
        <v>41780</v>
      </c>
      <c r="BF1593" s="1">
        <v>208500</v>
      </c>
      <c r="BG1593" t="s">
        <v>10878</v>
      </c>
      <c r="BH1593" s="1">
        <v>101.76</v>
      </c>
      <c r="BI1593" s="1">
        <v>215380</v>
      </c>
      <c r="BJ1593" s="3">
        <v>41780</v>
      </c>
      <c r="BK1593" t="s">
        <v>123</v>
      </c>
      <c r="BL1593" t="str">
        <f>"2014.330148"</f>
        <v>2014.330148</v>
      </c>
      <c r="BM1593" t="s">
        <v>544</v>
      </c>
      <c r="BO1593" t="s">
        <v>10879</v>
      </c>
      <c r="BS1593">
        <v>30</v>
      </c>
      <c r="BW1593" t="str">
        <f>""</f>
        <v/>
      </c>
      <c r="CH1593" t="str">
        <f>""</f>
        <v/>
      </c>
      <c r="CS1593" t="str">
        <f>""</f>
        <v/>
      </c>
    </row>
    <row r="1594" spans="1:97" x14ac:dyDescent="0.25">
      <c r="A1594" t="s">
        <v>1979</v>
      </c>
      <c r="B1594" t="s">
        <v>2345</v>
      </c>
      <c r="C1594" t="s">
        <v>10880</v>
      </c>
      <c r="D1594" t="s">
        <v>163</v>
      </c>
      <c r="E1594" t="s">
        <v>10881</v>
      </c>
      <c r="F1594" t="s">
        <v>282</v>
      </c>
      <c r="H1594" t="s">
        <v>10882</v>
      </c>
      <c r="I1594" t="s">
        <v>2874</v>
      </c>
      <c r="J1594" t="s">
        <v>111</v>
      </c>
      <c r="K1594" t="str">
        <f>"85304"</f>
        <v>85304</v>
      </c>
      <c r="L1594" t="s">
        <v>5228</v>
      </c>
      <c r="M1594" t="s">
        <v>10883</v>
      </c>
      <c r="N1594" t="s">
        <v>10884</v>
      </c>
      <c r="O1594" t="s">
        <v>360</v>
      </c>
      <c r="P1594" t="str">
        <f>"93654-3527"</f>
        <v>93654-3527</v>
      </c>
      <c r="Q1594" t="s">
        <v>113</v>
      </c>
      <c r="R1594" t="str">
        <f>"148-01-110"</f>
        <v>148-01-110</v>
      </c>
      <c r="S1594" t="s">
        <v>10885</v>
      </c>
      <c r="T1594" t="s">
        <v>10886</v>
      </c>
      <c r="U1594">
        <v>1707</v>
      </c>
      <c r="V1594">
        <v>0</v>
      </c>
      <c r="W1594">
        <v>2</v>
      </c>
      <c r="X1594">
        <v>1971</v>
      </c>
      <c r="Z1594">
        <v>1</v>
      </c>
      <c r="AA1594" t="s">
        <v>26</v>
      </c>
      <c r="AB1594">
        <v>0</v>
      </c>
      <c r="AC1594" t="s">
        <v>115</v>
      </c>
      <c r="AD1594">
        <v>2</v>
      </c>
      <c r="AE1594" t="s">
        <v>115</v>
      </c>
      <c r="AF1594">
        <v>0</v>
      </c>
      <c r="AG1594">
        <v>0</v>
      </c>
      <c r="AH1594" t="s">
        <v>116</v>
      </c>
      <c r="AI1594" s="1">
        <v>26119</v>
      </c>
      <c r="AJ1594" s="2">
        <v>0.1</v>
      </c>
      <c r="AK1594" s="1">
        <v>252892</v>
      </c>
      <c r="AL1594" t="s">
        <v>117</v>
      </c>
      <c r="AM1594" t="s">
        <v>191</v>
      </c>
      <c r="AN1594">
        <v>7044</v>
      </c>
      <c r="AO1594">
        <v>0.16</v>
      </c>
      <c r="AP1594">
        <v>1</v>
      </c>
      <c r="AR1594">
        <v>1</v>
      </c>
      <c r="AS1594" s="1">
        <v>16060</v>
      </c>
      <c r="AT1594" s="1">
        <v>3210</v>
      </c>
      <c r="AU1594" s="1">
        <v>12850</v>
      </c>
      <c r="AV1594">
        <v>80.010000000000005</v>
      </c>
      <c r="AX1594" s="1">
        <v>1231.18</v>
      </c>
      <c r="AY1594" t="s">
        <v>10887</v>
      </c>
      <c r="AZ1594" t="s">
        <v>6986</v>
      </c>
      <c r="BA1594" t="s">
        <v>10888</v>
      </c>
      <c r="BE1594" s="3">
        <v>42535</v>
      </c>
      <c r="BF1594" s="1">
        <v>222000</v>
      </c>
      <c r="BG1594" t="s">
        <v>10889</v>
      </c>
      <c r="BH1594" s="1">
        <v>130.05000000000001</v>
      </c>
      <c r="BI1594" s="1">
        <v>226773</v>
      </c>
      <c r="BJ1594" s="3">
        <v>42535</v>
      </c>
      <c r="BK1594" t="s">
        <v>123</v>
      </c>
      <c r="BL1594" t="str">
        <f>"2016.411286"</f>
        <v>2016.411286</v>
      </c>
      <c r="BM1594" t="s">
        <v>135</v>
      </c>
      <c r="BO1594" t="s">
        <v>10890</v>
      </c>
      <c r="BP1594" t="s">
        <v>10891</v>
      </c>
      <c r="BS1594">
        <v>30</v>
      </c>
      <c r="BW1594" t="str">
        <f>""</f>
        <v/>
      </c>
      <c r="CH1594" t="str">
        <f>""</f>
        <v/>
      </c>
      <c r="CS1594" t="str">
        <f>""</f>
        <v/>
      </c>
    </row>
    <row r="1595" spans="1:97" x14ac:dyDescent="0.25">
      <c r="A1595" t="s">
        <v>325</v>
      </c>
      <c r="B1595" t="s">
        <v>6495</v>
      </c>
      <c r="C1595" t="s">
        <v>2099</v>
      </c>
      <c r="D1595" t="s">
        <v>6495</v>
      </c>
      <c r="E1595" t="s">
        <v>10892</v>
      </c>
      <c r="F1595" t="s">
        <v>108</v>
      </c>
      <c r="H1595" t="s">
        <v>10893</v>
      </c>
      <c r="I1595" t="s">
        <v>4251</v>
      </c>
      <c r="J1595" t="s">
        <v>111</v>
      </c>
      <c r="K1595" t="str">
        <f>"85353"</f>
        <v>85353</v>
      </c>
      <c r="L1595" t="s">
        <v>1789</v>
      </c>
      <c r="M1595" t="s">
        <v>10893</v>
      </c>
      <c r="N1595" t="s">
        <v>4251</v>
      </c>
      <c r="O1595" t="s">
        <v>111</v>
      </c>
      <c r="P1595" t="str">
        <f>"85353-8417"</f>
        <v>85353-8417</v>
      </c>
      <c r="Q1595" t="s">
        <v>113</v>
      </c>
      <c r="R1595" t="str">
        <f>"101-25-480"</f>
        <v>101-25-480</v>
      </c>
      <c r="S1595" t="s">
        <v>10894</v>
      </c>
      <c r="U1595">
        <v>1636</v>
      </c>
      <c r="V1595">
        <v>0</v>
      </c>
      <c r="W1595">
        <v>3</v>
      </c>
      <c r="X1595">
        <v>2002</v>
      </c>
      <c r="Z1595">
        <v>1</v>
      </c>
      <c r="AB1595">
        <v>0</v>
      </c>
      <c r="AC1595" t="s">
        <v>115</v>
      </c>
      <c r="AD1595">
        <v>2</v>
      </c>
      <c r="AE1595" t="s">
        <v>115</v>
      </c>
      <c r="AF1595">
        <v>0</v>
      </c>
      <c r="AG1595">
        <v>0</v>
      </c>
      <c r="AH1595" t="s">
        <v>116</v>
      </c>
      <c r="AI1595" s="1">
        <v>30814</v>
      </c>
      <c r="AJ1595" s="2">
        <v>0.13</v>
      </c>
      <c r="AK1595" s="1">
        <v>237414</v>
      </c>
      <c r="AL1595" t="s">
        <v>117</v>
      </c>
      <c r="AM1595" t="s">
        <v>1302</v>
      </c>
      <c r="AN1595">
        <v>8823</v>
      </c>
      <c r="AO1595">
        <v>0.2</v>
      </c>
      <c r="AP1595">
        <v>1</v>
      </c>
      <c r="AR1595">
        <v>1</v>
      </c>
      <c r="AS1595" s="1">
        <v>15530</v>
      </c>
      <c r="AT1595" s="1">
        <v>3100</v>
      </c>
      <c r="AU1595" s="1">
        <v>12430</v>
      </c>
      <c r="AV1595">
        <v>80.040000000000006</v>
      </c>
      <c r="AX1595" s="1">
        <v>1344.3</v>
      </c>
      <c r="AY1595" t="s">
        <v>5150</v>
      </c>
      <c r="AZ1595" t="s">
        <v>5150</v>
      </c>
      <c r="BA1595" t="s">
        <v>4254</v>
      </c>
      <c r="BE1595" s="3">
        <v>42160</v>
      </c>
      <c r="BF1595" s="1">
        <v>160000</v>
      </c>
      <c r="BG1595" t="s">
        <v>10895</v>
      </c>
      <c r="BH1595" s="1">
        <v>97.8</v>
      </c>
      <c r="BI1595" s="1">
        <v>206600</v>
      </c>
      <c r="BJ1595" s="3">
        <v>43209</v>
      </c>
      <c r="BK1595" t="s">
        <v>123</v>
      </c>
      <c r="BL1595" t="str">
        <f>"2018.294140"</f>
        <v>2018.294140</v>
      </c>
      <c r="BM1595" t="s">
        <v>10896</v>
      </c>
      <c r="BN1595" t="s">
        <v>7229</v>
      </c>
      <c r="BO1595" t="s">
        <v>10897</v>
      </c>
      <c r="BP1595" t="s">
        <v>10898</v>
      </c>
      <c r="BR1595" t="s">
        <v>139</v>
      </c>
      <c r="BW1595" t="str">
        <f>""</f>
        <v/>
      </c>
      <c r="CH1595" t="str">
        <f>""</f>
        <v/>
      </c>
      <c r="CS1595" t="str">
        <f>""</f>
        <v/>
      </c>
    </row>
    <row r="1596" spans="1:97" x14ac:dyDescent="0.25">
      <c r="A1596" t="s">
        <v>494</v>
      </c>
      <c r="B1596" t="s">
        <v>10899</v>
      </c>
      <c r="C1596" t="s">
        <v>703</v>
      </c>
      <c r="D1596" t="s">
        <v>10899</v>
      </c>
      <c r="E1596" t="s">
        <v>10900</v>
      </c>
      <c r="F1596" t="s">
        <v>282</v>
      </c>
      <c r="H1596" t="s">
        <v>10901</v>
      </c>
      <c r="I1596" t="s">
        <v>225</v>
      </c>
      <c r="J1596" t="s">
        <v>111</v>
      </c>
      <c r="K1596" t="str">
        <f>"85209"</f>
        <v>85209</v>
      </c>
      <c r="L1596" t="s">
        <v>7904</v>
      </c>
      <c r="M1596" t="s">
        <v>10902</v>
      </c>
      <c r="N1596" t="s">
        <v>10903</v>
      </c>
      <c r="O1596" t="s">
        <v>10904</v>
      </c>
      <c r="P1596" t="str">
        <f>"80439-8979"</f>
        <v>80439-8979</v>
      </c>
      <c r="Q1596" t="s">
        <v>113</v>
      </c>
      <c r="R1596" t="str">
        <f>"312-06-914"</f>
        <v>312-06-914</v>
      </c>
      <c r="S1596" t="s">
        <v>10905</v>
      </c>
      <c r="U1596">
        <v>1660</v>
      </c>
      <c r="V1596">
        <v>0</v>
      </c>
      <c r="W1596">
        <v>3</v>
      </c>
      <c r="X1596">
        <v>2003</v>
      </c>
      <c r="Z1596">
        <v>1</v>
      </c>
      <c r="AB1596">
        <v>0</v>
      </c>
      <c r="AC1596" t="s">
        <v>115</v>
      </c>
      <c r="AD1596">
        <v>2</v>
      </c>
      <c r="AE1596" t="s">
        <v>115</v>
      </c>
      <c r="AF1596">
        <v>0</v>
      </c>
      <c r="AG1596">
        <v>0</v>
      </c>
      <c r="AH1596" t="s">
        <v>116</v>
      </c>
      <c r="AI1596" s="1">
        <v>65317</v>
      </c>
      <c r="AJ1596" s="2">
        <v>0.2</v>
      </c>
      <c r="AK1596" s="1">
        <v>325817</v>
      </c>
      <c r="AL1596" t="s">
        <v>117</v>
      </c>
      <c r="AM1596" t="s">
        <v>191</v>
      </c>
      <c r="AN1596">
        <v>6660</v>
      </c>
      <c r="AO1596">
        <v>0.15</v>
      </c>
      <c r="AP1596">
        <v>1</v>
      </c>
      <c r="AR1596">
        <v>1</v>
      </c>
      <c r="AS1596" s="1">
        <v>22000</v>
      </c>
      <c r="AT1596" s="1">
        <v>4400</v>
      </c>
      <c r="AU1596" s="1">
        <v>17600</v>
      </c>
      <c r="AV1596">
        <v>80</v>
      </c>
      <c r="AX1596" s="1">
        <v>2038.92</v>
      </c>
      <c r="AY1596" t="s">
        <v>4370</v>
      </c>
      <c r="AZ1596" t="s">
        <v>777</v>
      </c>
      <c r="BA1596" t="s">
        <v>572</v>
      </c>
      <c r="BE1596" s="3">
        <v>42457</v>
      </c>
      <c r="BF1596" s="1">
        <v>260500</v>
      </c>
      <c r="BG1596" t="s">
        <v>10906</v>
      </c>
      <c r="BH1596" s="1">
        <v>156.93</v>
      </c>
      <c r="BI1596" s="1">
        <v>260500</v>
      </c>
      <c r="BJ1596" s="3">
        <v>42457</v>
      </c>
      <c r="BK1596" t="s">
        <v>123</v>
      </c>
      <c r="BL1596" t="str">
        <f>"2016.197127"</f>
        <v>2016.197127</v>
      </c>
      <c r="BM1596" t="s">
        <v>936</v>
      </c>
      <c r="BO1596" t="s">
        <v>10907</v>
      </c>
      <c r="BS1596">
        <v>30</v>
      </c>
      <c r="BW1596" t="str">
        <f>""</f>
        <v/>
      </c>
      <c r="CH1596" t="str">
        <f>""</f>
        <v/>
      </c>
      <c r="CS1596" t="str">
        <f>""</f>
        <v/>
      </c>
    </row>
    <row r="1597" spans="1:97" x14ac:dyDescent="0.25">
      <c r="A1597" t="s">
        <v>1938</v>
      </c>
      <c r="B1597" t="s">
        <v>4137</v>
      </c>
      <c r="C1597" t="s">
        <v>703</v>
      </c>
      <c r="D1597" t="s">
        <v>4137</v>
      </c>
      <c r="E1597" t="s">
        <v>10908</v>
      </c>
      <c r="F1597" t="s">
        <v>108</v>
      </c>
      <c r="H1597" t="s">
        <v>10909</v>
      </c>
      <c r="I1597" t="s">
        <v>5551</v>
      </c>
      <c r="J1597" t="s">
        <v>111</v>
      </c>
      <c r="K1597" t="str">
        <f>"85248"</f>
        <v>85248</v>
      </c>
      <c r="L1597" t="s">
        <v>316</v>
      </c>
      <c r="M1597" t="s">
        <v>10909</v>
      </c>
      <c r="N1597" t="s">
        <v>5551</v>
      </c>
      <c r="O1597" t="s">
        <v>111</v>
      </c>
      <c r="P1597" t="str">
        <f>"85248-7124"</f>
        <v>85248-7124</v>
      </c>
      <c r="Q1597" t="s">
        <v>113</v>
      </c>
      <c r="R1597" t="str">
        <f>"303-66-305"</f>
        <v>303-66-305</v>
      </c>
      <c r="S1597" t="s">
        <v>10910</v>
      </c>
      <c r="U1597">
        <v>1725</v>
      </c>
      <c r="V1597">
        <v>0</v>
      </c>
      <c r="W1597">
        <v>3</v>
      </c>
      <c r="X1597">
        <v>1981</v>
      </c>
      <c r="Z1597">
        <v>1</v>
      </c>
      <c r="AB1597">
        <v>0</v>
      </c>
      <c r="AC1597" t="s">
        <v>115</v>
      </c>
      <c r="AD1597">
        <v>2</v>
      </c>
      <c r="AE1597" t="s">
        <v>115</v>
      </c>
      <c r="AF1597">
        <v>0</v>
      </c>
      <c r="AG1597">
        <v>0</v>
      </c>
      <c r="AH1597" t="s">
        <v>116</v>
      </c>
      <c r="AI1597" s="1">
        <v>81185</v>
      </c>
      <c r="AJ1597" s="2">
        <v>0.28999999999999998</v>
      </c>
      <c r="AK1597" s="1">
        <v>282134</v>
      </c>
      <c r="AL1597" t="s">
        <v>117</v>
      </c>
      <c r="AM1597" t="s">
        <v>191</v>
      </c>
      <c r="AN1597">
        <v>7157</v>
      </c>
      <c r="AO1597">
        <v>0.16</v>
      </c>
      <c r="AP1597">
        <v>1</v>
      </c>
      <c r="AR1597">
        <v>1</v>
      </c>
      <c r="AS1597" s="1">
        <v>18660</v>
      </c>
      <c r="AT1597" s="1">
        <v>3730</v>
      </c>
      <c r="AU1597" s="1">
        <v>14930</v>
      </c>
      <c r="AV1597">
        <v>80.010000000000005</v>
      </c>
      <c r="AX1597" s="1">
        <v>1975.28</v>
      </c>
      <c r="AY1597" t="s">
        <v>1881</v>
      </c>
      <c r="AZ1597" t="s">
        <v>1882</v>
      </c>
      <c r="BA1597" t="s">
        <v>121</v>
      </c>
      <c r="BE1597" s="3">
        <v>41806</v>
      </c>
      <c r="BF1597" s="1">
        <v>198900</v>
      </c>
      <c r="BG1597" t="s">
        <v>10911</v>
      </c>
      <c r="BH1597" s="1">
        <v>115.3</v>
      </c>
      <c r="BI1597" s="1">
        <v>200949</v>
      </c>
      <c r="BJ1597" s="3">
        <v>43053</v>
      </c>
      <c r="BK1597" t="s">
        <v>123</v>
      </c>
      <c r="BL1597" t="str">
        <f>"2017.843421"</f>
        <v>2017.843421</v>
      </c>
      <c r="BM1597" t="s">
        <v>10912</v>
      </c>
      <c r="BO1597" t="s">
        <v>10913</v>
      </c>
      <c r="BS1597">
        <v>30</v>
      </c>
      <c r="BW1597" t="str">
        <f>""</f>
        <v/>
      </c>
      <c r="CH1597" t="str">
        <f>""</f>
        <v/>
      </c>
      <c r="CS1597" t="str">
        <f>""</f>
        <v/>
      </c>
    </row>
    <row r="1598" spans="1:97" x14ac:dyDescent="0.25">
      <c r="A1598" t="s">
        <v>370</v>
      </c>
      <c r="B1598" t="s">
        <v>10914</v>
      </c>
      <c r="C1598" t="s">
        <v>976</v>
      </c>
      <c r="D1598" t="s">
        <v>10914</v>
      </c>
      <c r="E1598" t="s">
        <v>10915</v>
      </c>
      <c r="F1598" t="s">
        <v>108</v>
      </c>
      <c r="H1598" t="s">
        <v>10916</v>
      </c>
      <c r="I1598" t="s">
        <v>632</v>
      </c>
      <c r="J1598" t="s">
        <v>111</v>
      </c>
      <c r="K1598" t="str">
        <f>"85379"</f>
        <v>85379</v>
      </c>
      <c r="L1598" t="s">
        <v>6416</v>
      </c>
      <c r="M1598" t="s">
        <v>10916</v>
      </c>
      <c r="N1598" t="s">
        <v>632</v>
      </c>
      <c r="O1598" t="s">
        <v>111</v>
      </c>
      <c r="P1598" t="str">
        <f>"85379-4241"</f>
        <v>85379-4241</v>
      </c>
      <c r="Q1598" t="s">
        <v>113</v>
      </c>
      <c r="R1598" t="str">
        <f>"509-08-568"</f>
        <v>509-08-568</v>
      </c>
      <c r="S1598" t="s">
        <v>6417</v>
      </c>
      <c r="U1598">
        <v>2342</v>
      </c>
      <c r="V1598">
        <v>0</v>
      </c>
      <c r="W1598">
        <v>4</v>
      </c>
      <c r="X1598">
        <v>2013</v>
      </c>
      <c r="Z1598">
        <v>1</v>
      </c>
      <c r="AB1598">
        <v>0</v>
      </c>
      <c r="AC1598" t="s">
        <v>115</v>
      </c>
      <c r="AD1598">
        <v>2</v>
      </c>
      <c r="AE1598" t="s">
        <v>115</v>
      </c>
      <c r="AF1598">
        <v>0</v>
      </c>
      <c r="AG1598">
        <v>0</v>
      </c>
      <c r="AH1598" t="s">
        <v>116</v>
      </c>
      <c r="AI1598" s="1">
        <v>31093</v>
      </c>
      <c r="AJ1598" s="2">
        <v>0.09</v>
      </c>
      <c r="AK1598" s="1">
        <v>350284</v>
      </c>
      <c r="AL1598" t="s">
        <v>117</v>
      </c>
      <c r="AM1598" t="s">
        <v>118</v>
      </c>
      <c r="AN1598">
        <v>8574</v>
      </c>
      <c r="AO1598">
        <v>0.2</v>
      </c>
      <c r="AR1598">
        <v>1</v>
      </c>
      <c r="AS1598" s="1">
        <v>26400</v>
      </c>
      <c r="AT1598" s="1">
        <v>5280</v>
      </c>
      <c r="AU1598" s="1">
        <v>21120</v>
      </c>
      <c r="AV1598">
        <v>80</v>
      </c>
      <c r="AX1598" s="1">
        <v>2887.38</v>
      </c>
      <c r="AY1598" t="s">
        <v>634</v>
      </c>
      <c r="AZ1598" t="s">
        <v>634</v>
      </c>
      <c r="BA1598" t="s">
        <v>635</v>
      </c>
      <c r="BE1598" s="3">
        <v>41880</v>
      </c>
      <c r="BF1598" s="1">
        <v>285000</v>
      </c>
      <c r="BG1598" t="s">
        <v>158</v>
      </c>
      <c r="BH1598" s="1">
        <v>121.69</v>
      </c>
      <c r="BI1598" s="1">
        <v>276991</v>
      </c>
      <c r="BJ1598" s="3">
        <v>42577</v>
      </c>
      <c r="BK1598" t="s">
        <v>123</v>
      </c>
      <c r="BL1598" t="str">
        <f>"2016.524739"</f>
        <v>2016.524739</v>
      </c>
      <c r="BM1598" t="s">
        <v>492</v>
      </c>
      <c r="BN1598" t="s">
        <v>4706</v>
      </c>
      <c r="BO1598" t="s">
        <v>10917</v>
      </c>
      <c r="BS1598">
        <v>30</v>
      </c>
      <c r="BT1598" s="1">
        <v>42200</v>
      </c>
      <c r="BU1598" s="3">
        <v>43544</v>
      </c>
      <c r="BW1598" t="str">
        <f>"2019.193163"</f>
        <v>2019.193163</v>
      </c>
      <c r="BX1598" t="s">
        <v>9931</v>
      </c>
      <c r="BY1598" t="s">
        <v>9932</v>
      </c>
      <c r="BZ1598" t="s">
        <v>10918</v>
      </c>
      <c r="CA1598" t="s">
        <v>10919</v>
      </c>
      <c r="CC1598" t="s">
        <v>346</v>
      </c>
      <c r="CH1598" t="str">
        <f>""</f>
        <v/>
      </c>
      <c r="CS1598" t="str">
        <f>""</f>
        <v/>
      </c>
    </row>
    <row r="1599" spans="1:97" x14ac:dyDescent="0.25">
      <c r="A1599" t="s">
        <v>325</v>
      </c>
      <c r="B1599" t="s">
        <v>10920</v>
      </c>
      <c r="C1599" t="s">
        <v>7799</v>
      </c>
      <c r="D1599" t="s">
        <v>10920</v>
      </c>
      <c r="E1599" t="s">
        <v>10921</v>
      </c>
      <c r="F1599" t="s">
        <v>108</v>
      </c>
      <c r="H1599" t="s">
        <v>10922</v>
      </c>
      <c r="I1599" t="s">
        <v>203</v>
      </c>
      <c r="J1599" t="s">
        <v>111</v>
      </c>
      <c r="K1599" t="str">
        <f>"85233"</f>
        <v>85233</v>
      </c>
      <c r="L1599" t="s">
        <v>4316</v>
      </c>
      <c r="M1599" t="s">
        <v>10922</v>
      </c>
      <c r="N1599" t="s">
        <v>203</v>
      </c>
      <c r="O1599" t="s">
        <v>111</v>
      </c>
      <c r="P1599" t="str">
        <f>"85233-4750"</f>
        <v>85233-4750</v>
      </c>
      <c r="Q1599" t="s">
        <v>113</v>
      </c>
      <c r="R1599" t="str">
        <f>"310-09-309"</f>
        <v>310-09-309</v>
      </c>
      <c r="S1599" t="s">
        <v>10923</v>
      </c>
      <c r="T1599" t="s">
        <v>10924</v>
      </c>
      <c r="U1599">
        <v>2324</v>
      </c>
      <c r="V1599">
        <v>0</v>
      </c>
      <c r="W1599">
        <v>4</v>
      </c>
      <c r="X1599">
        <v>1999</v>
      </c>
      <c r="Z1599">
        <v>2</v>
      </c>
      <c r="AA1599" t="s">
        <v>26</v>
      </c>
      <c r="AB1599">
        <v>0</v>
      </c>
      <c r="AC1599" t="s">
        <v>115</v>
      </c>
      <c r="AD1599">
        <v>2</v>
      </c>
      <c r="AE1599" t="s">
        <v>115</v>
      </c>
      <c r="AF1599">
        <v>0</v>
      </c>
      <c r="AG1599">
        <v>0</v>
      </c>
      <c r="AH1599" t="s">
        <v>116</v>
      </c>
      <c r="AI1599" s="1">
        <v>99015</v>
      </c>
      <c r="AJ1599" s="2">
        <v>0.26</v>
      </c>
      <c r="AK1599" s="1">
        <v>385986</v>
      </c>
      <c r="AL1599" t="s">
        <v>117</v>
      </c>
      <c r="AM1599" t="s">
        <v>393</v>
      </c>
      <c r="AN1599">
        <v>8385</v>
      </c>
      <c r="AO1599">
        <v>0.19</v>
      </c>
      <c r="AP1599">
        <v>1</v>
      </c>
      <c r="AR1599">
        <v>1</v>
      </c>
      <c r="AS1599" s="1">
        <v>27920</v>
      </c>
      <c r="AT1599" s="1">
        <v>5580</v>
      </c>
      <c r="AU1599" s="1">
        <v>22340</v>
      </c>
      <c r="AV1599">
        <v>80.010000000000005</v>
      </c>
      <c r="AX1599" s="1">
        <v>2067</v>
      </c>
      <c r="AY1599" t="s">
        <v>9989</v>
      </c>
      <c r="AZ1599" t="s">
        <v>5478</v>
      </c>
      <c r="BA1599" t="s">
        <v>5479</v>
      </c>
      <c r="BE1599" s="3">
        <v>41942</v>
      </c>
      <c r="BF1599" s="1">
        <v>280000</v>
      </c>
      <c r="BG1599" t="s">
        <v>10925</v>
      </c>
      <c r="BH1599" s="1">
        <v>120.48</v>
      </c>
      <c r="BI1599" s="1">
        <v>286971</v>
      </c>
      <c r="BJ1599" s="3">
        <v>42636</v>
      </c>
      <c r="BK1599" t="s">
        <v>123</v>
      </c>
      <c r="BL1599" t="str">
        <f>"2016.692799"</f>
        <v>2016.692799</v>
      </c>
      <c r="BM1599" t="s">
        <v>1695</v>
      </c>
      <c r="BO1599" t="s">
        <v>10926</v>
      </c>
      <c r="BS1599">
        <v>30</v>
      </c>
      <c r="BW1599" t="str">
        <f>""</f>
        <v/>
      </c>
      <c r="CH1599" t="str">
        <f>""</f>
        <v/>
      </c>
      <c r="CS1599" t="str">
        <f>""</f>
        <v/>
      </c>
    </row>
    <row r="1600" spans="1:97" x14ac:dyDescent="0.25">
      <c r="A1600" t="s">
        <v>1850</v>
      </c>
      <c r="B1600" t="s">
        <v>10927</v>
      </c>
      <c r="E1600" t="s">
        <v>10928</v>
      </c>
      <c r="F1600" t="s">
        <v>108</v>
      </c>
      <c r="H1600" t="s">
        <v>10929</v>
      </c>
      <c r="I1600" t="s">
        <v>2874</v>
      </c>
      <c r="J1600" t="s">
        <v>111</v>
      </c>
      <c r="K1600" t="str">
        <f>"85304"</f>
        <v>85304</v>
      </c>
      <c r="L1600" t="s">
        <v>9168</v>
      </c>
      <c r="M1600" t="s">
        <v>10929</v>
      </c>
      <c r="N1600" t="s">
        <v>2874</v>
      </c>
      <c r="O1600" t="s">
        <v>111</v>
      </c>
      <c r="P1600" t="str">
        <f>"85304-1994"</f>
        <v>85304-1994</v>
      </c>
      <c r="Q1600" t="s">
        <v>113</v>
      </c>
      <c r="R1600" t="str">
        <f>"148-27-568"</f>
        <v>148-27-568</v>
      </c>
      <c r="S1600" t="s">
        <v>10930</v>
      </c>
      <c r="T1600" t="s">
        <v>10930</v>
      </c>
      <c r="U1600">
        <v>1691</v>
      </c>
      <c r="V1600">
        <v>0</v>
      </c>
      <c r="W1600">
        <v>3</v>
      </c>
      <c r="X1600">
        <v>2003</v>
      </c>
      <c r="Z1600">
        <v>2</v>
      </c>
      <c r="AB1600">
        <v>0</v>
      </c>
      <c r="AC1600" t="s">
        <v>115</v>
      </c>
      <c r="AD1600">
        <v>2</v>
      </c>
      <c r="AE1600" t="s">
        <v>115</v>
      </c>
      <c r="AF1600">
        <v>0</v>
      </c>
      <c r="AG1600">
        <v>0</v>
      </c>
      <c r="AH1600" t="s">
        <v>116</v>
      </c>
      <c r="AI1600" s="1">
        <v>34006</v>
      </c>
      <c r="AJ1600" s="2">
        <v>0.14000000000000001</v>
      </c>
      <c r="AK1600" s="1">
        <v>245227</v>
      </c>
      <c r="AL1600" t="s">
        <v>117</v>
      </c>
      <c r="AM1600" t="s">
        <v>288</v>
      </c>
      <c r="AN1600">
        <v>2921</v>
      </c>
      <c r="AO1600">
        <v>0.67</v>
      </c>
      <c r="AP1600">
        <v>1</v>
      </c>
      <c r="AR1600">
        <v>1</v>
      </c>
      <c r="AS1600" s="1">
        <v>15560</v>
      </c>
      <c r="AT1600" s="1">
        <v>3110</v>
      </c>
      <c r="AU1600" s="1">
        <v>12450</v>
      </c>
      <c r="AV1600">
        <v>80.010000000000005</v>
      </c>
      <c r="AX1600" s="1">
        <v>1056.52</v>
      </c>
      <c r="AY1600" t="s">
        <v>10931</v>
      </c>
      <c r="AZ1600" t="s">
        <v>10931</v>
      </c>
      <c r="BA1600" t="s">
        <v>8681</v>
      </c>
      <c r="BE1600" s="3">
        <v>42380</v>
      </c>
      <c r="BF1600" s="1">
        <v>179900</v>
      </c>
      <c r="BG1600" t="s">
        <v>10932</v>
      </c>
      <c r="BH1600" s="1">
        <v>116.36</v>
      </c>
      <c r="BI1600" s="1">
        <v>211221</v>
      </c>
      <c r="BJ1600" s="3">
        <v>43608</v>
      </c>
      <c r="BK1600" t="s">
        <v>123</v>
      </c>
      <c r="BL1600" t="str">
        <f>"2019.378953"</f>
        <v>2019.378953</v>
      </c>
      <c r="BM1600" t="s">
        <v>6896</v>
      </c>
      <c r="BN1600" t="s">
        <v>1371</v>
      </c>
      <c r="BO1600" t="s">
        <v>10933</v>
      </c>
      <c r="BR1600" t="s">
        <v>139</v>
      </c>
      <c r="BW1600" t="str">
        <f>""</f>
        <v/>
      </c>
      <c r="CH1600" t="str">
        <f>""</f>
        <v/>
      </c>
      <c r="CS1600" t="str">
        <f>""</f>
        <v/>
      </c>
    </row>
    <row r="1601" spans="1:97" x14ac:dyDescent="0.25">
      <c r="A1601" t="s">
        <v>222</v>
      </c>
      <c r="B1601" t="s">
        <v>10934</v>
      </c>
      <c r="E1601" t="s">
        <v>10935</v>
      </c>
      <c r="F1601" t="s">
        <v>108</v>
      </c>
      <c r="H1601" t="s">
        <v>10936</v>
      </c>
      <c r="I1601" t="s">
        <v>390</v>
      </c>
      <c r="J1601" t="s">
        <v>111</v>
      </c>
      <c r="K1601" t="str">
        <f>"85043"</f>
        <v>85043</v>
      </c>
      <c r="L1601" t="s">
        <v>3151</v>
      </c>
      <c r="M1601" t="s">
        <v>10936</v>
      </c>
      <c r="N1601" t="s">
        <v>390</v>
      </c>
      <c r="O1601" t="s">
        <v>111</v>
      </c>
      <c r="P1601" t="str">
        <f>"85043-7710"</f>
        <v>85043-7710</v>
      </c>
      <c r="Q1601" t="s">
        <v>113</v>
      </c>
      <c r="R1601" t="str">
        <f>"104-37-360"</f>
        <v>104-37-360</v>
      </c>
      <c r="S1601" t="s">
        <v>10937</v>
      </c>
      <c r="T1601" t="s">
        <v>10938</v>
      </c>
      <c r="U1601">
        <v>2049</v>
      </c>
      <c r="V1601">
        <v>0</v>
      </c>
      <c r="W1601">
        <v>2</v>
      </c>
      <c r="X1601">
        <v>2004</v>
      </c>
      <c r="Z1601">
        <v>1</v>
      </c>
      <c r="AA1601" t="s">
        <v>26</v>
      </c>
      <c r="AB1601">
        <v>0</v>
      </c>
      <c r="AC1601" t="s">
        <v>115</v>
      </c>
      <c r="AD1601">
        <v>2</v>
      </c>
      <c r="AE1601" t="s">
        <v>115</v>
      </c>
      <c r="AF1601">
        <v>0</v>
      </c>
      <c r="AG1601">
        <v>0</v>
      </c>
      <c r="AH1601" t="s">
        <v>116</v>
      </c>
      <c r="AI1601" s="1">
        <v>55747</v>
      </c>
      <c r="AJ1601" s="2">
        <v>0.21</v>
      </c>
      <c r="AK1601" s="1">
        <v>265247</v>
      </c>
      <c r="AL1601" t="s">
        <v>117</v>
      </c>
      <c r="AM1601" t="s">
        <v>171</v>
      </c>
      <c r="AN1601">
        <v>7029</v>
      </c>
      <c r="AO1601">
        <v>0.16</v>
      </c>
      <c r="AP1601">
        <v>1</v>
      </c>
      <c r="AR1601">
        <v>1</v>
      </c>
      <c r="AS1601" s="1">
        <v>17610</v>
      </c>
      <c r="AT1601" s="1">
        <v>3520</v>
      </c>
      <c r="AU1601" s="1">
        <v>14090</v>
      </c>
      <c r="AV1601">
        <v>80.010000000000005</v>
      </c>
      <c r="AX1601" s="1">
        <v>1358.12</v>
      </c>
      <c r="AY1601" t="s">
        <v>10939</v>
      </c>
      <c r="AZ1601" t="s">
        <v>5370</v>
      </c>
      <c r="BA1601" t="s">
        <v>5371</v>
      </c>
      <c r="BE1601" s="3">
        <v>41793</v>
      </c>
      <c r="BF1601" s="1">
        <v>165000</v>
      </c>
      <c r="BG1601" t="s">
        <v>10940</v>
      </c>
      <c r="BH1601" s="1">
        <v>80.53</v>
      </c>
      <c r="BI1601" s="1">
        <v>209500</v>
      </c>
      <c r="BJ1601" s="3">
        <v>42912</v>
      </c>
      <c r="BK1601" t="s">
        <v>123</v>
      </c>
      <c r="BL1601" t="str">
        <f>"2017.462936"</f>
        <v>2017.462936</v>
      </c>
      <c r="BM1601" t="s">
        <v>1249</v>
      </c>
      <c r="BO1601" t="s">
        <v>10941</v>
      </c>
      <c r="BS1601">
        <v>30</v>
      </c>
      <c r="BW1601" t="str">
        <f>""</f>
        <v/>
      </c>
      <c r="CH1601" t="str">
        <f>""</f>
        <v/>
      </c>
      <c r="CS1601" t="str">
        <f>""</f>
        <v/>
      </c>
    </row>
    <row r="1602" spans="1:97" x14ac:dyDescent="0.25">
      <c r="A1602" t="s">
        <v>1963</v>
      </c>
      <c r="B1602" t="s">
        <v>3671</v>
      </c>
      <c r="C1602" t="s">
        <v>10942</v>
      </c>
      <c r="D1602" t="s">
        <v>3671</v>
      </c>
      <c r="E1602" t="s">
        <v>10943</v>
      </c>
      <c r="F1602" t="s">
        <v>139</v>
      </c>
      <c r="H1602" t="s">
        <v>10944</v>
      </c>
      <c r="I1602" t="s">
        <v>5387</v>
      </c>
      <c r="J1602" t="s">
        <v>111</v>
      </c>
      <c r="K1602" t="str">
        <f>"85283"</f>
        <v>85283</v>
      </c>
      <c r="L1602" t="s">
        <v>6691</v>
      </c>
      <c r="M1602" t="s">
        <v>10945</v>
      </c>
      <c r="N1602" t="s">
        <v>4745</v>
      </c>
      <c r="O1602" t="s">
        <v>111</v>
      </c>
      <c r="P1602" t="str">
        <f>"86327"</f>
        <v>86327</v>
      </c>
      <c r="Q1602" t="s">
        <v>113</v>
      </c>
      <c r="R1602" t="str">
        <f>"301-47-590"</f>
        <v>301-47-590</v>
      </c>
      <c r="S1602" t="s">
        <v>10946</v>
      </c>
      <c r="T1602" t="s">
        <v>10947</v>
      </c>
      <c r="U1602">
        <v>2016</v>
      </c>
      <c r="V1602">
        <v>0</v>
      </c>
      <c r="W1602">
        <v>2</v>
      </c>
      <c r="X1602">
        <v>1978</v>
      </c>
      <c r="Z1602">
        <v>1</v>
      </c>
      <c r="AA1602" t="s">
        <v>26</v>
      </c>
      <c r="AB1602">
        <v>0</v>
      </c>
      <c r="AC1602" t="s">
        <v>115</v>
      </c>
      <c r="AD1602">
        <v>2</v>
      </c>
      <c r="AE1602" t="s">
        <v>115</v>
      </c>
      <c r="AF1602">
        <v>0</v>
      </c>
      <c r="AG1602">
        <v>0</v>
      </c>
      <c r="AH1602" t="s">
        <v>116</v>
      </c>
      <c r="AI1602" s="1">
        <v>17168</v>
      </c>
      <c r="AJ1602" s="2">
        <v>0.06</v>
      </c>
      <c r="AK1602" s="1">
        <v>279182</v>
      </c>
      <c r="AL1602" t="s">
        <v>117</v>
      </c>
      <c r="AM1602" t="s">
        <v>191</v>
      </c>
      <c r="AN1602">
        <v>9731</v>
      </c>
      <c r="AO1602">
        <v>0.22</v>
      </c>
      <c r="AP1602">
        <v>1</v>
      </c>
      <c r="AR1602">
        <v>1</v>
      </c>
      <c r="AS1602" s="1">
        <v>23250</v>
      </c>
      <c r="AT1602" s="1">
        <v>4650</v>
      </c>
      <c r="AU1602" s="1">
        <v>18600</v>
      </c>
      <c r="AV1602">
        <v>80</v>
      </c>
      <c r="AX1602" s="1">
        <v>2181.38</v>
      </c>
      <c r="AY1602" t="s">
        <v>5857</v>
      </c>
      <c r="AZ1602" t="s">
        <v>5391</v>
      </c>
      <c r="BA1602" t="s">
        <v>5392</v>
      </c>
      <c r="BE1602" s="3">
        <v>41733</v>
      </c>
      <c r="BF1602" s="1">
        <v>256500</v>
      </c>
      <c r="BG1602" t="s">
        <v>10948</v>
      </c>
      <c r="BH1602" s="1">
        <v>127.23</v>
      </c>
      <c r="BI1602" s="1">
        <v>262014</v>
      </c>
      <c r="BJ1602" s="3">
        <v>41733</v>
      </c>
      <c r="BK1602" t="s">
        <v>123</v>
      </c>
      <c r="BL1602" t="str">
        <f>"2014.217155"</f>
        <v>2014.217155</v>
      </c>
      <c r="BM1602" t="s">
        <v>1038</v>
      </c>
      <c r="BO1602" t="s">
        <v>10949</v>
      </c>
      <c r="BS1602">
        <v>30</v>
      </c>
      <c r="BW1602" t="str">
        <f>""</f>
        <v/>
      </c>
      <c r="CH1602" t="str">
        <f>""</f>
        <v/>
      </c>
      <c r="CS1602" t="str">
        <f>""</f>
        <v/>
      </c>
    </row>
    <row r="1603" spans="1:97" x14ac:dyDescent="0.25">
      <c r="A1603" t="s">
        <v>996</v>
      </c>
      <c r="B1603" t="s">
        <v>9819</v>
      </c>
      <c r="C1603" t="s">
        <v>8505</v>
      </c>
      <c r="D1603" t="s">
        <v>9819</v>
      </c>
      <c r="E1603" t="s">
        <v>10950</v>
      </c>
      <c r="F1603" t="s">
        <v>108</v>
      </c>
      <c r="H1603" t="s">
        <v>10951</v>
      </c>
      <c r="I1603" t="s">
        <v>3150</v>
      </c>
      <c r="J1603" t="s">
        <v>111</v>
      </c>
      <c r="K1603" t="str">
        <f>"85340"</f>
        <v>85340</v>
      </c>
      <c r="L1603" t="s">
        <v>1789</v>
      </c>
      <c r="M1603" t="s">
        <v>10951</v>
      </c>
      <c r="N1603" t="s">
        <v>3150</v>
      </c>
      <c r="O1603" t="s">
        <v>111</v>
      </c>
      <c r="P1603" t="str">
        <f>"85340-7316"</f>
        <v>85340-7316</v>
      </c>
      <c r="Q1603" t="s">
        <v>113</v>
      </c>
      <c r="R1603" t="str">
        <f>"508-06-397"</f>
        <v>508-06-397</v>
      </c>
      <c r="S1603" t="s">
        <v>6579</v>
      </c>
      <c r="U1603">
        <v>2533</v>
      </c>
      <c r="V1603">
        <v>0</v>
      </c>
      <c r="W1603">
        <v>3</v>
      </c>
      <c r="X1603">
        <v>2003</v>
      </c>
      <c r="Z1603">
        <v>1</v>
      </c>
      <c r="AB1603">
        <v>0</v>
      </c>
      <c r="AC1603" t="s">
        <v>115</v>
      </c>
      <c r="AD1603">
        <v>3</v>
      </c>
      <c r="AE1603" t="s">
        <v>115</v>
      </c>
      <c r="AF1603">
        <v>0</v>
      </c>
      <c r="AG1603">
        <v>0</v>
      </c>
      <c r="AH1603" t="s">
        <v>116</v>
      </c>
      <c r="AI1603" s="1">
        <v>40995</v>
      </c>
      <c r="AJ1603" s="2">
        <v>0.13</v>
      </c>
      <c r="AK1603" s="1">
        <v>321770</v>
      </c>
      <c r="AL1603" t="s">
        <v>117</v>
      </c>
      <c r="AM1603" t="s">
        <v>1302</v>
      </c>
      <c r="AN1603">
        <v>9150</v>
      </c>
      <c r="AO1603">
        <v>0.21</v>
      </c>
      <c r="AP1603">
        <v>1</v>
      </c>
      <c r="AR1603">
        <v>1</v>
      </c>
      <c r="AS1603" s="1">
        <v>22480</v>
      </c>
      <c r="AT1603" s="1">
        <v>4490</v>
      </c>
      <c r="AU1603" s="1">
        <v>17990</v>
      </c>
      <c r="AV1603">
        <v>80.03</v>
      </c>
      <c r="AX1603" s="1">
        <v>1856.96</v>
      </c>
      <c r="AY1603" t="s">
        <v>6580</v>
      </c>
      <c r="AZ1603" t="s">
        <v>3153</v>
      </c>
      <c r="BA1603" t="s">
        <v>3154</v>
      </c>
      <c r="BE1603" s="3">
        <v>42496</v>
      </c>
      <c r="BF1603" s="1">
        <v>278000</v>
      </c>
      <c r="BG1603" t="s">
        <v>10952</v>
      </c>
      <c r="BH1603" s="1">
        <v>109.75</v>
      </c>
      <c r="BI1603" s="1">
        <v>280775</v>
      </c>
      <c r="BJ1603" s="3">
        <v>42496</v>
      </c>
      <c r="BK1603" t="s">
        <v>123</v>
      </c>
      <c r="BL1603" t="str">
        <f>"2016.312381"</f>
        <v>2016.312381</v>
      </c>
      <c r="BM1603" t="s">
        <v>724</v>
      </c>
      <c r="BO1603" t="s">
        <v>10953</v>
      </c>
      <c r="BS1603">
        <v>30</v>
      </c>
      <c r="BW1603" t="str">
        <f>""</f>
        <v/>
      </c>
      <c r="CH1603" t="str">
        <f>""</f>
        <v/>
      </c>
      <c r="CS1603" t="str">
        <f>""</f>
        <v/>
      </c>
    </row>
    <row r="1604" spans="1:97" x14ac:dyDescent="0.25">
      <c r="A1604" t="s">
        <v>1009</v>
      </c>
      <c r="B1604" t="s">
        <v>10954</v>
      </c>
      <c r="C1604" t="s">
        <v>2568</v>
      </c>
      <c r="D1604" t="s">
        <v>10954</v>
      </c>
      <c r="E1604" t="s">
        <v>10955</v>
      </c>
      <c r="F1604" t="s">
        <v>108</v>
      </c>
      <c r="H1604" t="s">
        <v>10956</v>
      </c>
      <c r="I1604" t="s">
        <v>453</v>
      </c>
      <c r="J1604" t="s">
        <v>111</v>
      </c>
      <c r="K1604" t="str">
        <f>"85382"</f>
        <v>85382</v>
      </c>
      <c r="L1604" t="s">
        <v>7339</v>
      </c>
      <c r="M1604" t="s">
        <v>10956</v>
      </c>
      <c r="N1604" t="s">
        <v>453</v>
      </c>
      <c r="O1604" t="s">
        <v>111</v>
      </c>
      <c r="P1604" t="str">
        <f>"85382-8086"</f>
        <v>85382-8086</v>
      </c>
      <c r="Q1604" t="s">
        <v>113</v>
      </c>
      <c r="R1604" t="str">
        <f>"200-42-888"</f>
        <v>200-42-888</v>
      </c>
      <c r="S1604" t="s">
        <v>10957</v>
      </c>
      <c r="T1604" t="s">
        <v>10958</v>
      </c>
      <c r="U1604">
        <v>2090</v>
      </c>
      <c r="V1604">
        <v>0</v>
      </c>
      <c r="W1604">
        <v>4</v>
      </c>
      <c r="X1604">
        <v>1995</v>
      </c>
      <c r="Z1604">
        <v>2</v>
      </c>
      <c r="AB1604">
        <v>0</v>
      </c>
      <c r="AC1604" t="s">
        <v>115</v>
      </c>
      <c r="AD1604">
        <v>2</v>
      </c>
      <c r="AE1604" t="s">
        <v>115</v>
      </c>
      <c r="AF1604">
        <v>0</v>
      </c>
      <c r="AG1604">
        <v>0</v>
      </c>
      <c r="AH1604" t="s">
        <v>116</v>
      </c>
      <c r="AI1604" s="1">
        <v>76391</v>
      </c>
      <c r="AJ1604" s="2">
        <v>0.24</v>
      </c>
      <c r="AK1604" s="1">
        <v>313379</v>
      </c>
      <c r="AL1604" t="s">
        <v>117</v>
      </c>
      <c r="AM1604" t="s">
        <v>118</v>
      </c>
      <c r="AN1604">
        <v>8100</v>
      </c>
      <c r="AO1604">
        <v>0.19</v>
      </c>
      <c r="AP1604">
        <v>1</v>
      </c>
      <c r="AR1604">
        <v>1</v>
      </c>
      <c r="AS1604" s="1">
        <v>21580</v>
      </c>
      <c r="AT1604" s="1">
        <v>4310</v>
      </c>
      <c r="AU1604" s="1">
        <v>17270</v>
      </c>
      <c r="AV1604">
        <v>80.03</v>
      </c>
      <c r="AX1604" s="1">
        <v>1714.18</v>
      </c>
      <c r="AY1604" t="s">
        <v>7828</v>
      </c>
      <c r="AZ1604" t="s">
        <v>7828</v>
      </c>
      <c r="BA1604" t="s">
        <v>4219</v>
      </c>
      <c r="BE1604" s="3">
        <v>41684</v>
      </c>
      <c r="BF1604" s="1">
        <v>232000</v>
      </c>
      <c r="BG1604" t="s">
        <v>10959</v>
      </c>
      <c r="BH1604" s="1">
        <v>111</v>
      </c>
      <c r="BI1604" s="1">
        <v>236988</v>
      </c>
      <c r="BJ1604" s="3">
        <v>41684</v>
      </c>
      <c r="BK1604" t="s">
        <v>123</v>
      </c>
      <c r="BL1604" t="str">
        <f>"2014.100126"</f>
        <v>2014.100126</v>
      </c>
      <c r="BM1604" t="s">
        <v>135</v>
      </c>
      <c r="BO1604" t="s">
        <v>10960</v>
      </c>
      <c r="BS1604">
        <v>30</v>
      </c>
      <c r="BW1604" t="str">
        <f>""</f>
        <v/>
      </c>
      <c r="CH1604" t="str">
        <f>""</f>
        <v/>
      </c>
      <c r="CS1604" t="str">
        <f>""</f>
        <v/>
      </c>
    </row>
    <row r="1605" spans="1:97" x14ac:dyDescent="0.25">
      <c r="A1605" t="s">
        <v>1009</v>
      </c>
      <c r="B1605" t="s">
        <v>10961</v>
      </c>
      <c r="C1605" t="s">
        <v>10962</v>
      </c>
      <c r="D1605" t="s">
        <v>10961</v>
      </c>
      <c r="E1605" t="s">
        <v>10963</v>
      </c>
      <c r="F1605" t="s">
        <v>108</v>
      </c>
      <c r="H1605" t="s">
        <v>10964</v>
      </c>
      <c r="I1605" t="s">
        <v>632</v>
      </c>
      <c r="J1605" t="s">
        <v>111</v>
      </c>
      <c r="K1605" t="str">
        <f>"85388"</f>
        <v>85388</v>
      </c>
      <c r="L1605" t="s">
        <v>7607</v>
      </c>
      <c r="M1605" t="s">
        <v>10964</v>
      </c>
      <c r="N1605" t="s">
        <v>632</v>
      </c>
      <c r="O1605" t="s">
        <v>111</v>
      </c>
      <c r="P1605" t="str">
        <f>"85388-1607"</f>
        <v>85388-1607</v>
      </c>
      <c r="Q1605" t="s">
        <v>113</v>
      </c>
      <c r="R1605" t="str">
        <f>"502-02-420"</f>
        <v>502-02-420</v>
      </c>
      <c r="S1605" t="s">
        <v>10965</v>
      </c>
      <c r="T1605" t="s">
        <v>10966</v>
      </c>
      <c r="U1605">
        <v>2285</v>
      </c>
      <c r="V1605">
        <v>0</v>
      </c>
      <c r="W1605">
        <v>3</v>
      </c>
      <c r="X1605">
        <v>2006</v>
      </c>
      <c r="Z1605">
        <v>2</v>
      </c>
      <c r="AB1605">
        <v>0</v>
      </c>
      <c r="AC1605" t="s">
        <v>115</v>
      </c>
      <c r="AD1605">
        <v>2</v>
      </c>
      <c r="AE1605" t="s">
        <v>115</v>
      </c>
      <c r="AF1605">
        <v>0</v>
      </c>
      <c r="AG1605">
        <v>0</v>
      </c>
      <c r="AH1605" t="s">
        <v>116</v>
      </c>
      <c r="AI1605" s="1">
        <v>49035</v>
      </c>
      <c r="AJ1605" s="2">
        <v>0.19</v>
      </c>
      <c r="AK1605" s="1">
        <v>259767</v>
      </c>
      <c r="AL1605" t="s">
        <v>117</v>
      </c>
      <c r="AM1605" t="s">
        <v>118</v>
      </c>
      <c r="AN1605">
        <v>5175</v>
      </c>
      <c r="AO1605">
        <v>0.12</v>
      </c>
      <c r="AR1605">
        <v>1</v>
      </c>
      <c r="AS1605" s="1">
        <v>18010</v>
      </c>
      <c r="AT1605" s="1">
        <v>3600</v>
      </c>
      <c r="AU1605" s="1">
        <v>14410</v>
      </c>
      <c r="AV1605">
        <v>80.010000000000005</v>
      </c>
      <c r="AX1605" s="1">
        <v>1529.22</v>
      </c>
      <c r="AY1605" t="s">
        <v>5168</v>
      </c>
      <c r="AZ1605" t="s">
        <v>5168</v>
      </c>
      <c r="BA1605" t="s">
        <v>5109</v>
      </c>
      <c r="BE1605" s="3">
        <v>42482</v>
      </c>
      <c r="BF1605" s="1">
        <v>204000</v>
      </c>
      <c r="BG1605" t="s">
        <v>10967</v>
      </c>
      <c r="BH1605" s="1">
        <v>89.28</v>
      </c>
      <c r="BI1605" s="1">
        <v>210732</v>
      </c>
      <c r="BJ1605" s="3">
        <v>42482</v>
      </c>
      <c r="BK1605" t="s">
        <v>123</v>
      </c>
      <c r="BL1605" t="str">
        <f>"2016.272226"</f>
        <v>2016.272226</v>
      </c>
      <c r="BM1605" t="s">
        <v>2716</v>
      </c>
      <c r="BO1605" t="s">
        <v>10968</v>
      </c>
      <c r="BS1605">
        <v>30</v>
      </c>
      <c r="BW1605" t="str">
        <f>""</f>
        <v/>
      </c>
      <c r="CH1605" t="str">
        <f>""</f>
        <v/>
      </c>
      <c r="CS1605" t="str">
        <f>""</f>
        <v/>
      </c>
    </row>
    <row r="1606" spans="1:97" x14ac:dyDescent="0.25">
      <c r="A1606" t="s">
        <v>177</v>
      </c>
      <c r="B1606" t="s">
        <v>6696</v>
      </c>
      <c r="C1606" t="s">
        <v>10969</v>
      </c>
      <c r="D1606" t="s">
        <v>6696</v>
      </c>
      <c r="E1606" t="s">
        <v>10970</v>
      </c>
      <c r="F1606" t="s">
        <v>108</v>
      </c>
      <c r="H1606" t="s">
        <v>10971</v>
      </c>
      <c r="I1606" t="s">
        <v>225</v>
      </c>
      <c r="J1606" t="s">
        <v>111</v>
      </c>
      <c r="K1606" t="str">
        <f>"85209"</f>
        <v>85209</v>
      </c>
      <c r="L1606" t="s">
        <v>4326</v>
      </c>
      <c r="M1606" t="s">
        <v>10971</v>
      </c>
      <c r="N1606" t="s">
        <v>225</v>
      </c>
      <c r="O1606" t="s">
        <v>111</v>
      </c>
      <c r="P1606" t="str">
        <f>"85209-7308"</f>
        <v>85209-7308</v>
      </c>
      <c r="Q1606" t="s">
        <v>113</v>
      </c>
      <c r="R1606" t="str">
        <f>"312-03-146"</f>
        <v>312-03-146</v>
      </c>
      <c r="S1606" t="s">
        <v>9681</v>
      </c>
      <c r="U1606">
        <v>2055</v>
      </c>
      <c r="V1606">
        <v>0</v>
      </c>
      <c r="W1606">
        <v>3</v>
      </c>
      <c r="X1606">
        <v>2000</v>
      </c>
      <c r="Z1606">
        <v>1</v>
      </c>
      <c r="AA1606" t="s">
        <v>26</v>
      </c>
      <c r="AB1606">
        <v>0</v>
      </c>
      <c r="AC1606" t="s">
        <v>115</v>
      </c>
      <c r="AD1606">
        <v>2</v>
      </c>
      <c r="AE1606" t="s">
        <v>115</v>
      </c>
      <c r="AF1606">
        <v>0</v>
      </c>
      <c r="AG1606">
        <v>0</v>
      </c>
      <c r="AH1606" t="s">
        <v>116</v>
      </c>
      <c r="AI1606" s="1">
        <v>83251</v>
      </c>
      <c r="AJ1606" s="2">
        <v>0.25</v>
      </c>
      <c r="AK1606" s="1">
        <v>331251</v>
      </c>
      <c r="AL1606" t="s">
        <v>117</v>
      </c>
      <c r="AM1606" t="s">
        <v>393</v>
      </c>
      <c r="AN1606">
        <v>7150</v>
      </c>
      <c r="AO1606">
        <v>0.16</v>
      </c>
      <c r="AP1606">
        <v>1</v>
      </c>
      <c r="AR1606">
        <v>1</v>
      </c>
      <c r="AS1606" s="1">
        <v>23110</v>
      </c>
      <c r="AT1606" s="1">
        <v>4620</v>
      </c>
      <c r="AU1606" s="1">
        <v>18490</v>
      </c>
      <c r="AV1606">
        <v>80.010000000000005</v>
      </c>
      <c r="AX1606" s="1">
        <v>1597.76</v>
      </c>
      <c r="AY1606" t="s">
        <v>570</v>
      </c>
      <c r="AZ1606" t="s">
        <v>777</v>
      </c>
      <c r="BA1606" t="s">
        <v>572</v>
      </c>
      <c r="BE1606" s="3">
        <v>42153</v>
      </c>
      <c r="BF1606" s="1">
        <v>248000</v>
      </c>
      <c r="BG1606" t="s">
        <v>10972</v>
      </c>
      <c r="BH1606" s="1">
        <v>120.68</v>
      </c>
      <c r="BI1606" s="1">
        <v>248000</v>
      </c>
      <c r="BJ1606" s="3">
        <v>42153</v>
      </c>
      <c r="BK1606" t="s">
        <v>123</v>
      </c>
      <c r="BL1606" t="str">
        <f>"2015.384314"</f>
        <v>2015.384314</v>
      </c>
      <c r="BM1606" t="s">
        <v>1544</v>
      </c>
      <c r="BO1606" t="s">
        <v>10973</v>
      </c>
      <c r="BS1606">
        <v>30</v>
      </c>
      <c r="BW1606" t="str">
        <f>""</f>
        <v/>
      </c>
      <c r="CH1606" t="str">
        <f>""</f>
        <v/>
      </c>
      <c r="CS1606" t="str">
        <f>""</f>
        <v/>
      </c>
    </row>
    <row r="1607" spans="1:97" x14ac:dyDescent="0.25">
      <c r="B1607" t="s">
        <v>10974</v>
      </c>
      <c r="E1607" t="s">
        <v>10975</v>
      </c>
      <c r="F1607" t="s">
        <v>108</v>
      </c>
      <c r="H1607" t="s">
        <v>10976</v>
      </c>
      <c r="I1607" t="s">
        <v>225</v>
      </c>
      <c r="J1607" t="s">
        <v>111</v>
      </c>
      <c r="K1607" t="str">
        <f>"85207"</f>
        <v>85207</v>
      </c>
      <c r="L1607" t="s">
        <v>6308</v>
      </c>
      <c r="M1607" t="s">
        <v>10976</v>
      </c>
      <c r="N1607" t="s">
        <v>225</v>
      </c>
      <c r="O1607" t="s">
        <v>111</v>
      </c>
      <c r="P1607" t="str">
        <f>"85207-6614"</f>
        <v>85207-6614</v>
      </c>
      <c r="Q1607" t="s">
        <v>113</v>
      </c>
      <c r="R1607" t="str">
        <f>"218-08-345"</f>
        <v>218-08-345</v>
      </c>
      <c r="S1607" t="s">
        <v>6559</v>
      </c>
      <c r="T1607" t="s">
        <v>6559</v>
      </c>
      <c r="U1607">
        <v>1357</v>
      </c>
      <c r="V1607">
        <v>0</v>
      </c>
      <c r="W1607">
        <v>3</v>
      </c>
      <c r="X1607">
        <v>1995</v>
      </c>
      <c r="Z1607">
        <v>1</v>
      </c>
      <c r="AB1607">
        <v>0</v>
      </c>
      <c r="AC1607" t="s">
        <v>115</v>
      </c>
      <c r="AD1607">
        <v>3</v>
      </c>
      <c r="AE1607" t="s">
        <v>115</v>
      </c>
      <c r="AF1607">
        <v>0</v>
      </c>
      <c r="AG1607">
        <v>0</v>
      </c>
      <c r="AH1607" t="s">
        <v>116</v>
      </c>
      <c r="AI1607" s="1">
        <v>5082</v>
      </c>
      <c r="AJ1607" s="2">
        <v>0.02</v>
      </c>
      <c r="AK1607" s="1">
        <v>266431</v>
      </c>
      <c r="AL1607" t="s">
        <v>117</v>
      </c>
      <c r="AM1607" t="s">
        <v>393</v>
      </c>
      <c r="AN1607">
        <v>7623</v>
      </c>
      <c r="AO1607">
        <v>0.18</v>
      </c>
      <c r="AP1607">
        <v>1</v>
      </c>
      <c r="AR1607">
        <v>1</v>
      </c>
      <c r="AS1607" s="1">
        <v>18100</v>
      </c>
      <c r="AT1607" s="1">
        <v>3620</v>
      </c>
      <c r="AU1607" s="1">
        <v>14480</v>
      </c>
      <c r="AV1607">
        <v>80</v>
      </c>
      <c r="AX1607" s="1">
        <v>1295.74</v>
      </c>
      <c r="AY1607" t="s">
        <v>4567</v>
      </c>
      <c r="AZ1607" t="s">
        <v>231</v>
      </c>
      <c r="BA1607" t="s">
        <v>3119</v>
      </c>
      <c r="BB1607" s="3">
        <v>43544</v>
      </c>
      <c r="BC1607" s="1">
        <v>0</v>
      </c>
      <c r="BD1607" t="s">
        <v>247</v>
      </c>
      <c r="BE1607" s="3">
        <v>42412</v>
      </c>
      <c r="BF1607" s="1">
        <v>212000</v>
      </c>
      <c r="BG1607" t="s">
        <v>10977</v>
      </c>
      <c r="BH1607" s="1">
        <v>156.22999999999999</v>
      </c>
      <c r="BI1607" s="1">
        <v>261349</v>
      </c>
      <c r="BJ1607" s="3">
        <v>43544</v>
      </c>
      <c r="BK1607" t="s">
        <v>123</v>
      </c>
      <c r="BL1607" t="str">
        <f>"2019.191348"</f>
        <v>2019.191348</v>
      </c>
      <c r="BM1607" t="s">
        <v>1809</v>
      </c>
      <c r="BN1607" t="s">
        <v>1810</v>
      </c>
      <c r="BO1607" t="s">
        <v>10978</v>
      </c>
      <c r="BR1607" t="s">
        <v>139</v>
      </c>
      <c r="BW1607" t="str">
        <f>""</f>
        <v/>
      </c>
      <c r="CH1607" t="str">
        <f>""</f>
        <v/>
      </c>
      <c r="CS1607" t="str">
        <f>""</f>
        <v/>
      </c>
    </row>
    <row r="1608" spans="1:97" x14ac:dyDescent="0.25">
      <c r="A1608" t="s">
        <v>10979</v>
      </c>
      <c r="B1608" t="s">
        <v>10980</v>
      </c>
      <c r="C1608" t="s">
        <v>10981</v>
      </c>
      <c r="D1608" t="s">
        <v>10980</v>
      </c>
      <c r="E1608" t="s">
        <v>10982</v>
      </c>
      <c r="F1608" t="s">
        <v>108</v>
      </c>
      <c r="H1608" t="s">
        <v>10983</v>
      </c>
      <c r="I1608" t="s">
        <v>144</v>
      </c>
      <c r="J1608" t="s">
        <v>111</v>
      </c>
      <c r="K1608" t="str">
        <f>"85326"</f>
        <v>85326</v>
      </c>
      <c r="L1608" t="s">
        <v>8146</v>
      </c>
      <c r="M1608" t="s">
        <v>10983</v>
      </c>
      <c r="N1608" t="s">
        <v>144</v>
      </c>
      <c r="O1608" t="s">
        <v>111</v>
      </c>
      <c r="P1608" t="str">
        <f>"85326-6661"</f>
        <v>85326-6661</v>
      </c>
      <c r="Q1608" t="s">
        <v>113</v>
      </c>
      <c r="R1608" t="str">
        <f>"502-35-402"</f>
        <v>502-35-402</v>
      </c>
      <c r="S1608" t="s">
        <v>10984</v>
      </c>
      <c r="U1608">
        <v>1895</v>
      </c>
      <c r="V1608">
        <v>0</v>
      </c>
      <c r="W1608">
        <v>4</v>
      </c>
      <c r="X1608">
        <v>2016</v>
      </c>
      <c r="Z1608">
        <v>1</v>
      </c>
      <c r="AA1608" t="s">
        <v>26</v>
      </c>
      <c r="AB1608">
        <v>0</v>
      </c>
      <c r="AC1608" t="s">
        <v>115</v>
      </c>
      <c r="AD1608">
        <v>2</v>
      </c>
      <c r="AE1608" t="s">
        <v>115</v>
      </c>
      <c r="AF1608">
        <v>0</v>
      </c>
      <c r="AG1608">
        <v>0</v>
      </c>
      <c r="AH1608" t="s">
        <v>116</v>
      </c>
      <c r="AI1608" s="1">
        <v>30236</v>
      </c>
      <c r="AJ1608" s="2">
        <v>0.1</v>
      </c>
      <c r="AK1608" s="1">
        <v>289683</v>
      </c>
      <c r="AL1608" t="s">
        <v>117</v>
      </c>
      <c r="AM1608" t="s">
        <v>118</v>
      </c>
      <c r="AN1608">
        <v>9065</v>
      </c>
      <c r="AO1608">
        <v>0.21</v>
      </c>
      <c r="AR1608">
        <v>1</v>
      </c>
      <c r="AS1608" s="1">
        <v>20770</v>
      </c>
      <c r="AT1608" s="1">
        <v>4150</v>
      </c>
      <c r="AU1608" s="1">
        <v>16620</v>
      </c>
      <c r="AV1608">
        <v>80.02</v>
      </c>
      <c r="AX1608" s="1">
        <v>1720.6</v>
      </c>
      <c r="AY1608" t="s">
        <v>2767</v>
      </c>
      <c r="AZ1608" t="s">
        <v>2767</v>
      </c>
      <c r="BA1608" t="s">
        <v>5025</v>
      </c>
      <c r="BE1608" s="3">
        <v>42459</v>
      </c>
      <c r="BF1608" s="1">
        <v>230536</v>
      </c>
      <c r="BG1608" t="s">
        <v>1079</v>
      </c>
      <c r="BH1608" s="1">
        <v>121.65</v>
      </c>
      <c r="BI1608" s="1">
        <v>230536</v>
      </c>
      <c r="BJ1608" s="3">
        <v>42459</v>
      </c>
      <c r="BK1608" t="s">
        <v>123</v>
      </c>
      <c r="BL1608" t="str">
        <f>"2016.205944"</f>
        <v>2016.205944</v>
      </c>
      <c r="BM1608" t="s">
        <v>475</v>
      </c>
      <c r="BO1608" t="s">
        <v>10985</v>
      </c>
      <c r="BS1608">
        <v>30</v>
      </c>
      <c r="BT1608" s="1">
        <v>28911</v>
      </c>
      <c r="BU1608" s="3">
        <v>42902</v>
      </c>
      <c r="BW1608" t="str">
        <f>"2017.440796"</f>
        <v>2017.440796</v>
      </c>
      <c r="BX1608" t="s">
        <v>198</v>
      </c>
      <c r="BZ1608" t="s">
        <v>10985</v>
      </c>
      <c r="CD1608">
        <v>10</v>
      </c>
      <c r="CH1608" t="str">
        <f>""</f>
        <v/>
      </c>
      <c r="CS1608" t="str">
        <f>""</f>
        <v/>
      </c>
    </row>
    <row r="1609" spans="1:97" x14ac:dyDescent="0.25">
      <c r="A1609" t="s">
        <v>10986</v>
      </c>
      <c r="B1609" t="s">
        <v>1539</v>
      </c>
      <c r="C1609" t="s">
        <v>1906</v>
      </c>
      <c r="D1609" t="s">
        <v>1539</v>
      </c>
      <c r="E1609" t="s">
        <v>10987</v>
      </c>
      <c r="F1609" t="s">
        <v>108</v>
      </c>
      <c r="H1609" t="s">
        <v>10988</v>
      </c>
      <c r="I1609" t="s">
        <v>5114</v>
      </c>
      <c r="J1609" t="s">
        <v>111</v>
      </c>
      <c r="K1609" t="str">
        <f>"85392"</f>
        <v>85392</v>
      </c>
      <c r="L1609" t="s">
        <v>5228</v>
      </c>
      <c r="M1609" t="s">
        <v>10988</v>
      </c>
      <c r="N1609" t="s">
        <v>5114</v>
      </c>
      <c r="O1609" t="s">
        <v>111</v>
      </c>
      <c r="P1609" t="str">
        <f>"85392-5900"</f>
        <v>85392-5900</v>
      </c>
      <c r="R1609" t="str">
        <f>"102-29-693"</f>
        <v>102-29-693</v>
      </c>
      <c r="S1609" t="s">
        <v>5115</v>
      </c>
      <c r="T1609" t="s">
        <v>5116</v>
      </c>
      <c r="U1609">
        <v>1957</v>
      </c>
      <c r="V1609">
        <v>0</v>
      </c>
      <c r="W1609">
        <v>3</v>
      </c>
      <c r="X1609">
        <v>2001</v>
      </c>
      <c r="Z1609">
        <v>1</v>
      </c>
      <c r="AA1609" t="s">
        <v>26</v>
      </c>
      <c r="AB1609">
        <v>0</v>
      </c>
      <c r="AC1609" t="s">
        <v>115</v>
      </c>
      <c r="AD1609">
        <v>2</v>
      </c>
      <c r="AE1609" t="s">
        <v>115</v>
      </c>
      <c r="AF1609">
        <v>0</v>
      </c>
      <c r="AG1609">
        <v>0</v>
      </c>
      <c r="AH1609" t="s">
        <v>116</v>
      </c>
      <c r="AI1609" s="1">
        <v>30851</v>
      </c>
      <c r="AJ1609" s="2">
        <v>0.1</v>
      </c>
      <c r="AK1609" s="1">
        <v>295299</v>
      </c>
      <c r="AL1609" t="s">
        <v>117</v>
      </c>
      <c r="AM1609" t="s">
        <v>118</v>
      </c>
      <c r="AN1609">
        <v>6930</v>
      </c>
      <c r="AO1609">
        <v>0.16</v>
      </c>
      <c r="AP1609">
        <v>1</v>
      </c>
      <c r="AR1609">
        <v>1</v>
      </c>
      <c r="AS1609" s="1">
        <v>20570</v>
      </c>
      <c r="AT1609" s="1">
        <v>4110</v>
      </c>
      <c r="AU1609" s="1">
        <v>16460</v>
      </c>
      <c r="AV1609">
        <v>80.02</v>
      </c>
      <c r="AX1609" s="1">
        <v>2148.48</v>
      </c>
      <c r="AY1609" t="s">
        <v>9887</v>
      </c>
      <c r="AZ1609" t="s">
        <v>9887</v>
      </c>
      <c r="BA1609" t="s">
        <v>5118</v>
      </c>
      <c r="BE1609" s="3">
        <v>42531</v>
      </c>
      <c r="BF1609" s="1">
        <v>256000</v>
      </c>
      <c r="BG1609" t="s">
        <v>10989</v>
      </c>
      <c r="BH1609" s="1">
        <v>130.81</v>
      </c>
      <c r="BI1609" s="1">
        <v>264448</v>
      </c>
      <c r="BJ1609" s="3">
        <v>42531</v>
      </c>
      <c r="BK1609" t="s">
        <v>123</v>
      </c>
      <c r="BL1609" t="str">
        <f>"2016.403286"</f>
        <v>2016.403286</v>
      </c>
      <c r="BM1609" t="s">
        <v>1038</v>
      </c>
      <c r="BN1609" t="s">
        <v>132</v>
      </c>
      <c r="BO1609" t="s">
        <v>10990</v>
      </c>
      <c r="BS1609">
        <v>30</v>
      </c>
      <c r="BW1609" t="str">
        <f>""</f>
        <v/>
      </c>
      <c r="CH1609" t="str">
        <f>""</f>
        <v/>
      </c>
      <c r="CS1609" t="str">
        <f>""</f>
        <v/>
      </c>
    </row>
    <row r="1610" spans="1:97" x14ac:dyDescent="0.25">
      <c r="B1610" t="s">
        <v>10991</v>
      </c>
      <c r="E1610" t="s">
        <v>10992</v>
      </c>
      <c r="F1610" t="s">
        <v>108</v>
      </c>
      <c r="H1610" t="s">
        <v>10993</v>
      </c>
      <c r="I1610" t="s">
        <v>390</v>
      </c>
      <c r="J1610" t="s">
        <v>111</v>
      </c>
      <c r="K1610" t="str">
        <f>"85028"</f>
        <v>85028</v>
      </c>
      <c r="L1610" t="s">
        <v>6169</v>
      </c>
      <c r="M1610" t="s">
        <v>10993</v>
      </c>
      <c r="N1610" t="s">
        <v>390</v>
      </c>
      <c r="O1610" t="s">
        <v>111</v>
      </c>
      <c r="P1610" t="str">
        <f>"85028-1444"</f>
        <v>85028-1444</v>
      </c>
      <c r="Q1610" t="s">
        <v>113</v>
      </c>
      <c r="R1610" t="str">
        <f>"166-34-328"</f>
        <v>166-34-328</v>
      </c>
      <c r="S1610" t="s">
        <v>10994</v>
      </c>
      <c r="T1610" t="s">
        <v>9579</v>
      </c>
      <c r="U1610">
        <v>2207</v>
      </c>
      <c r="V1610">
        <v>0</v>
      </c>
      <c r="W1610">
        <v>2</v>
      </c>
      <c r="X1610">
        <v>1972</v>
      </c>
      <c r="Z1610">
        <v>1</v>
      </c>
      <c r="AA1610" t="s">
        <v>26</v>
      </c>
      <c r="AB1610">
        <v>0</v>
      </c>
      <c r="AC1610" t="s">
        <v>5188</v>
      </c>
      <c r="AD1610">
        <v>2</v>
      </c>
      <c r="AE1610" t="s">
        <v>5188</v>
      </c>
      <c r="AF1610">
        <v>0</v>
      </c>
      <c r="AG1610">
        <v>0</v>
      </c>
      <c r="AH1610" t="s">
        <v>116</v>
      </c>
      <c r="AI1610" s="1">
        <v>76553</v>
      </c>
      <c r="AJ1610" s="2">
        <v>0.22</v>
      </c>
      <c r="AK1610" s="1">
        <v>350573</v>
      </c>
      <c r="AL1610" t="s">
        <v>117</v>
      </c>
      <c r="AM1610" t="s">
        <v>171</v>
      </c>
      <c r="AN1610">
        <v>9001</v>
      </c>
      <c r="AO1610">
        <v>0.21</v>
      </c>
      <c r="AP1610">
        <v>1</v>
      </c>
      <c r="AR1610">
        <v>1</v>
      </c>
      <c r="AS1610" s="1">
        <v>24430</v>
      </c>
      <c r="AT1610" s="1">
        <v>4880</v>
      </c>
      <c r="AU1610" s="1">
        <v>19550</v>
      </c>
      <c r="AV1610">
        <v>80.02</v>
      </c>
      <c r="AX1610" s="1">
        <v>1967.46</v>
      </c>
      <c r="AY1610" t="s">
        <v>9580</v>
      </c>
      <c r="AZ1610" t="s">
        <v>5489</v>
      </c>
      <c r="BA1610" t="s">
        <v>5232</v>
      </c>
      <c r="BB1610" s="3">
        <v>42569</v>
      </c>
      <c r="BD1610" t="s">
        <v>240</v>
      </c>
      <c r="BE1610" s="3">
        <v>42076</v>
      </c>
      <c r="BF1610" s="1">
        <v>275000</v>
      </c>
      <c r="BG1610" t="s">
        <v>10995</v>
      </c>
      <c r="BH1610" s="1">
        <v>144.21</v>
      </c>
      <c r="BI1610" s="1">
        <v>274020</v>
      </c>
      <c r="BJ1610" s="3">
        <v>42478</v>
      </c>
      <c r="BK1610" t="s">
        <v>123</v>
      </c>
      <c r="BL1610" t="str">
        <f>"2016.254177"</f>
        <v>2016.254177</v>
      </c>
      <c r="BM1610" t="s">
        <v>492</v>
      </c>
      <c r="BO1610" t="s">
        <v>10996</v>
      </c>
      <c r="BS1610">
        <v>30</v>
      </c>
      <c r="BW1610" t="str">
        <f>""</f>
        <v/>
      </c>
      <c r="CH1610" t="str">
        <f>""</f>
        <v/>
      </c>
      <c r="CS1610" t="str">
        <f>""</f>
        <v/>
      </c>
    </row>
    <row r="1611" spans="1:97" x14ac:dyDescent="0.25">
      <c r="B1611" t="s">
        <v>10997</v>
      </c>
      <c r="E1611" t="s">
        <v>10998</v>
      </c>
      <c r="F1611" t="s">
        <v>108</v>
      </c>
      <c r="H1611" t="s">
        <v>10999</v>
      </c>
      <c r="I1611" t="s">
        <v>5523</v>
      </c>
      <c r="J1611" t="s">
        <v>111</v>
      </c>
      <c r="K1611" t="str">
        <f>"85373"</f>
        <v>85373</v>
      </c>
      <c r="L1611" t="s">
        <v>168</v>
      </c>
      <c r="M1611" t="s">
        <v>10999</v>
      </c>
      <c r="N1611" t="s">
        <v>5523</v>
      </c>
      <c r="O1611" t="s">
        <v>111</v>
      </c>
      <c r="P1611" t="str">
        <f>"85373-3301"</f>
        <v>85373-3301</v>
      </c>
      <c r="Q1611" t="s">
        <v>113</v>
      </c>
      <c r="R1611" t="str">
        <f>"200-12-507"</f>
        <v>200-12-507</v>
      </c>
      <c r="S1611" t="s">
        <v>11000</v>
      </c>
      <c r="T1611" t="s">
        <v>11001</v>
      </c>
      <c r="U1611">
        <v>2247</v>
      </c>
      <c r="V1611">
        <v>0</v>
      </c>
      <c r="W1611">
        <v>3</v>
      </c>
      <c r="X1611">
        <v>1995</v>
      </c>
      <c r="Z1611">
        <v>1</v>
      </c>
      <c r="AB1611">
        <v>0</v>
      </c>
      <c r="AC1611" t="s">
        <v>115</v>
      </c>
      <c r="AD1611">
        <v>3</v>
      </c>
      <c r="AE1611" t="s">
        <v>115</v>
      </c>
      <c r="AF1611">
        <v>0</v>
      </c>
      <c r="AG1611">
        <v>0</v>
      </c>
      <c r="AH1611" t="s">
        <v>116</v>
      </c>
      <c r="AI1611" s="1">
        <v>97153</v>
      </c>
      <c r="AJ1611" s="2">
        <v>0.3</v>
      </c>
      <c r="AK1611" s="1">
        <v>323653</v>
      </c>
      <c r="AL1611" t="s">
        <v>117</v>
      </c>
      <c r="AM1611" t="s">
        <v>3345</v>
      </c>
      <c r="AN1611">
        <v>8111</v>
      </c>
      <c r="AO1611">
        <v>0.19</v>
      </c>
      <c r="AP1611">
        <v>1</v>
      </c>
      <c r="AR1611">
        <v>1</v>
      </c>
      <c r="AS1611" s="1">
        <v>22180</v>
      </c>
      <c r="AT1611" s="1">
        <v>4430</v>
      </c>
      <c r="AU1611" s="1">
        <v>17750</v>
      </c>
      <c r="AV1611">
        <v>80.03</v>
      </c>
      <c r="AX1611" s="1">
        <v>1999.64</v>
      </c>
      <c r="AY1611" t="s">
        <v>4520</v>
      </c>
      <c r="AZ1611" t="s">
        <v>4520</v>
      </c>
      <c r="BA1611" t="s">
        <v>4219</v>
      </c>
      <c r="BB1611" s="3">
        <v>42879</v>
      </c>
      <c r="BD1611" t="s">
        <v>240</v>
      </c>
      <c r="BE1611" s="3">
        <v>42429</v>
      </c>
      <c r="BF1611" s="1">
        <v>251500</v>
      </c>
      <c r="BG1611" t="s">
        <v>11002</v>
      </c>
      <c r="BH1611" s="1">
        <v>111.93</v>
      </c>
      <c r="BI1611" s="1">
        <v>226500</v>
      </c>
      <c r="BJ1611" s="3">
        <v>42688</v>
      </c>
      <c r="BK1611" t="s">
        <v>123</v>
      </c>
      <c r="BL1611" t="str">
        <f>"2016.834554"</f>
        <v>2016.834554</v>
      </c>
      <c r="BM1611" t="s">
        <v>322</v>
      </c>
      <c r="BN1611" t="s">
        <v>534</v>
      </c>
      <c r="BO1611" t="s">
        <v>11003</v>
      </c>
      <c r="BP1611" t="s">
        <v>11004</v>
      </c>
      <c r="BS1611">
        <v>30</v>
      </c>
      <c r="BW1611" t="str">
        <f>""</f>
        <v/>
      </c>
      <c r="CH1611" t="str">
        <f>""</f>
        <v/>
      </c>
      <c r="CS1611" t="str">
        <f>""</f>
        <v/>
      </c>
    </row>
    <row r="1612" spans="1:97" x14ac:dyDescent="0.25">
      <c r="A1612" t="s">
        <v>11005</v>
      </c>
      <c r="B1612" t="s">
        <v>11006</v>
      </c>
      <c r="C1612" t="s">
        <v>3241</v>
      </c>
      <c r="D1612" t="s">
        <v>11006</v>
      </c>
      <c r="E1612" t="s">
        <v>11007</v>
      </c>
      <c r="F1612" t="s">
        <v>108</v>
      </c>
      <c r="H1612" t="s">
        <v>11008</v>
      </c>
      <c r="I1612" t="s">
        <v>5114</v>
      </c>
      <c r="J1612" t="s">
        <v>111</v>
      </c>
      <c r="K1612" t="str">
        <f>"85323"</f>
        <v>85323</v>
      </c>
      <c r="L1612" t="s">
        <v>189</v>
      </c>
      <c r="M1612" t="s">
        <v>11008</v>
      </c>
      <c r="N1612" t="s">
        <v>5114</v>
      </c>
      <c r="O1612" t="s">
        <v>111</v>
      </c>
      <c r="P1612" t="str">
        <f>"85323-3337"</f>
        <v>85323-3337</v>
      </c>
      <c r="Q1612" t="s">
        <v>113</v>
      </c>
      <c r="R1612" t="str">
        <f>"101-01-636"</f>
        <v>101-01-636</v>
      </c>
      <c r="S1612" t="s">
        <v>9031</v>
      </c>
      <c r="T1612" t="s">
        <v>9032</v>
      </c>
      <c r="U1612">
        <v>2560</v>
      </c>
      <c r="V1612">
        <v>0</v>
      </c>
      <c r="W1612">
        <v>4</v>
      </c>
      <c r="X1612">
        <v>2008</v>
      </c>
      <c r="Z1612">
        <v>2</v>
      </c>
      <c r="AB1612">
        <v>0</v>
      </c>
      <c r="AC1612" t="s">
        <v>115</v>
      </c>
      <c r="AD1612">
        <v>3</v>
      </c>
      <c r="AE1612" t="s">
        <v>115</v>
      </c>
      <c r="AF1612">
        <v>0</v>
      </c>
      <c r="AG1612">
        <v>0</v>
      </c>
      <c r="AH1612" t="s">
        <v>116</v>
      </c>
      <c r="AI1612" s="1">
        <v>82110</v>
      </c>
      <c r="AJ1612" s="2">
        <v>0.28000000000000003</v>
      </c>
      <c r="AK1612" s="1">
        <v>294582</v>
      </c>
      <c r="AL1612" t="s">
        <v>117</v>
      </c>
      <c r="AM1612" t="s">
        <v>118</v>
      </c>
      <c r="AN1612">
        <v>6741</v>
      </c>
      <c r="AO1612">
        <v>0.16</v>
      </c>
      <c r="AR1612">
        <v>1</v>
      </c>
      <c r="AS1612" s="1">
        <v>21610</v>
      </c>
      <c r="AT1612" s="1">
        <v>4320</v>
      </c>
      <c r="AU1612" s="1">
        <v>17290</v>
      </c>
      <c r="AV1612">
        <v>80.010000000000005</v>
      </c>
      <c r="AX1612" s="1">
        <v>2085.1799999999998</v>
      </c>
      <c r="AY1612" t="s">
        <v>9033</v>
      </c>
      <c r="AZ1612" t="s">
        <v>9033</v>
      </c>
      <c r="BA1612" t="s">
        <v>4254</v>
      </c>
      <c r="BE1612" s="3">
        <v>42167</v>
      </c>
      <c r="BF1612" s="1">
        <v>208000</v>
      </c>
      <c r="BG1612" t="s">
        <v>11009</v>
      </c>
      <c r="BH1612" s="1">
        <v>81.25</v>
      </c>
      <c r="BI1612" s="1">
        <v>212472</v>
      </c>
      <c r="BJ1612" s="3">
        <v>42167</v>
      </c>
      <c r="BK1612" t="s">
        <v>123</v>
      </c>
      <c r="BL1612" t="str">
        <f>"2015.421894"</f>
        <v>2015.421894</v>
      </c>
      <c r="BM1612" t="s">
        <v>544</v>
      </c>
      <c r="BO1612" t="s">
        <v>11010</v>
      </c>
      <c r="BS1612">
        <v>30</v>
      </c>
      <c r="BW1612" t="str">
        <f>""</f>
        <v/>
      </c>
      <c r="CH1612" t="str">
        <f>""</f>
        <v/>
      </c>
      <c r="CS1612" t="str">
        <f>""</f>
        <v/>
      </c>
    </row>
    <row r="1613" spans="1:97" x14ac:dyDescent="0.25">
      <c r="A1613" t="s">
        <v>11011</v>
      </c>
      <c r="B1613" t="s">
        <v>11012</v>
      </c>
      <c r="E1613" t="s">
        <v>11013</v>
      </c>
      <c r="F1613" t="s">
        <v>108</v>
      </c>
      <c r="H1613" t="s">
        <v>11014</v>
      </c>
      <c r="I1613" t="s">
        <v>188</v>
      </c>
      <c r="J1613" t="s">
        <v>111</v>
      </c>
      <c r="K1613" t="str">
        <f>"85142"</f>
        <v>85142</v>
      </c>
      <c r="L1613" t="s">
        <v>1070</v>
      </c>
      <c r="M1613" t="s">
        <v>11014</v>
      </c>
      <c r="N1613" t="s">
        <v>188</v>
      </c>
      <c r="O1613" t="s">
        <v>111</v>
      </c>
      <c r="P1613" t="str">
        <f>"85142-5126"</f>
        <v>85142-5126</v>
      </c>
      <c r="Q1613" t="s">
        <v>113</v>
      </c>
      <c r="R1613" t="str">
        <f>"314-09-624"</f>
        <v>314-09-624</v>
      </c>
      <c r="S1613" t="s">
        <v>11015</v>
      </c>
      <c r="T1613" t="s">
        <v>1073</v>
      </c>
      <c r="U1613">
        <v>1561</v>
      </c>
      <c r="V1613">
        <v>0</v>
      </c>
      <c r="W1613">
        <v>3</v>
      </c>
      <c r="X1613">
        <v>2014</v>
      </c>
      <c r="Z1613">
        <v>1</v>
      </c>
      <c r="AB1613">
        <v>0</v>
      </c>
      <c r="AC1613" t="s">
        <v>115</v>
      </c>
      <c r="AD1613">
        <v>2</v>
      </c>
      <c r="AE1613" t="s">
        <v>115</v>
      </c>
      <c r="AF1613">
        <v>0</v>
      </c>
      <c r="AG1613">
        <v>0</v>
      </c>
      <c r="AH1613" t="s">
        <v>116</v>
      </c>
      <c r="AI1613" s="1">
        <v>65223</v>
      </c>
      <c r="AJ1613" s="2">
        <v>0.24</v>
      </c>
      <c r="AK1613" s="1">
        <v>273737</v>
      </c>
      <c r="AL1613" t="s">
        <v>117</v>
      </c>
      <c r="AM1613" t="s">
        <v>5379</v>
      </c>
      <c r="AN1613">
        <v>5076</v>
      </c>
      <c r="AO1613">
        <v>0.12</v>
      </c>
      <c r="AR1613">
        <v>1</v>
      </c>
      <c r="AS1613" s="1">
        <v>18580</v>
      </c>
      <c r="AT1613" s="1">
        <v>3710</v>
      </c>
      <c r="AU1613" s="1">
        <v>14870</v>
      </c>
      <c r="AV1613">
        <v>80.03</v>
      </c>
      <c r="AX1613" s="1">
        <v>1768.24</v>
      </c>
      <c r="AY1613" t="s">
        <v>1074</v>
      </c>
      <c r="AZ1613" t="s">
        <v>193</v>
      </c>
      <c r="BA1613" t="s">
        <v>194</v>
      </c>
      <c r="BE1613" s="3">
        <v>41915</v>
      </c>
      <c r="BF1613" s="1">
        <v>196037</v>
      </c>
      <c r="BG1613" t="s">
        <v>2842</v>
      </c>
      <c r="BH1613" s="1">
        <v>125.58</v>
      </c>
      <c r="BI1613" s="1">
        <v>208514</v>
      </c>
      <c r="BJ1613" s="3">
        <v>42286</v>
      </c>
      <c r="BK1613" t="s">
        <v>123</v>
      </c>
      <c r="BL1613" t="str">
        <f>"2015.730477"</f>
        <v>2015.730477</v>
      </c>
      <c r="BM1613" t="s">
        <v>10351</v>
      </c>
      <c r="BO1613" t="s">
        <v>11016</v>
      </c>
      <c r="BQ1613" t="str">
        <f>"1.7500%"</f>
        <v>1.7500%</v>
      </c>
      <c r="BR1613" t="s">
        <v>1480</v>
      </c>
      <c r="BS1613">
        <v>30</v>
      </c>
      <c r="BW1613" t="str">
        <f>""</f>
        <v/>
      </c>
      <c r="CH1613" t="str">
        <f>""</f>
        <v/>
      </c>
      <c r="CS1613" t="str">
        <f>""</f>
        <v/>
      </c>
    </row>
    <row r="1614" spans="1:97" x14ac:dyDescent="0.25">
      <c r="A1614" t="s">
        <v>1393</v>
      </c>
      <c r="B1614" t="s">
        <v>11017</v>
      </c>
      <c r="C1614" t="s">
        <v>11018</v>
      </c>
      <c r="D1614" t="s">
        <v>4599</v>
      </c>
      <c r="E1614" t="s">
        <v>11019</v>
      </c>
      <c r="F1614" t="s">
        <v>108</v>
      </c>
      <c r="H1614" t="s">
        <v>11020</v>
      </c>
      <c r="I1614" t="s">
        <v>390</v>
      </c>
      <c r="J1614" t="s">
        <v>111</v>
      </c>
      <c r="K1614" t="str">
        <f>"85032"</f>
        <v>85032</v>
      </c>
      <c r="L1614" t="s">
        <v>6691</v>
      </c>
      <c r="M1614" t="s">
        <v>11020</v>
      </c>
      <c r="N1614" t="s">
        <v>390</v>
      </c>
      <c r="O1614" t="s">
        <v>111</v>
      </c>
      <c r="P1614" t="str">
        <f>"85032-1718"</f>
        <v>85032-1718</v>
      </c>
      <c r="Q1614" t="s">
        <v>113</v>
      </c>
      <c r="R1614" t="str">
        <f>"215-13-159"</f>
        <v>215-13-159</v>
      </c>
      <c r="S1614" t="s">
        <v>11021</v>
      </c>
      <c r="T1614" t="s">
        <v>11022</v>
      </c>
      <c r="U1614">
        <v>1812</v>
      </c>
      <c r="V1614">
        <v>0</v>
      </c>
      <c r="W1614">
        <v>2</v>
      </c>
      <c r="X1614">
        <v>1970</v>
      </c>
      <c r="Z1614">
        <v>1</v>
      </c>
      <c r="AB1614">
        <v>0</v>
      </c>
      <c r="AC1614" t="s">
        <v>5188</v>
      </c>
      <c r="AD1614">
        <v>1</v>
      </c>
      <c r="AE1614" t="s">
        <v>5188</v>
      </c>
      <c r="AF1614">
        <v>0</v>
      </c>
      <c r="AG1614">
        <v>0</v>
      </c>
      <c r="AH1614" t="s">
        <v>116</v>
      </c>
      <c r="AI1614" s="1">
        <v>66339</v>
      </c>
      <c r="AJ1614" s="2">
        <v>0.21</v>
      </c>
      <c r="AK1614" s="1">
        <v>310477</v>
      </c>
      <c r="AL1614" t="s">
        <v>117</v>
      </c>
      <c r="AM1614" t="s">
        <v>171</v>
      </c>
      <c r="AN1614">
        <v>7486</v>
      </c>
      <c r="AO1614">
        <v>0.17</v>
      </c>
      <c r="AP1614">
        <v>1</v>
      </c>
      <c r="AR1614">
        <v>1</v>
      </c>
      <c r="AS1614" s="1">
        <v>18660</v>
      </c>
      <c r="AT1614" s="1">
        <v>3730</v>
      </c>
      <c r="AU1614" s="1">
        <v>14930</v>
      </c>
      <c r="AV1614">
        <v>80.010000000000005</v>
      </c>
      <c r="AX1614" s="1">
        <v>1435.66</v>
      </c>
      <c r="AY1614" t="s">
        <v>1316</v>
      </c>
      <c r="AZ1614" t="s">
        <v>1317</v>
      </c>
      <c r="BA1614" t="s">
        <v>1318</v>
      </c>
      <c r="BE1614" s="3">
        <v>42164</v>
      </c>
      <c r="BF1614" s="1">
        <v>239000</v>
      </c>
      <c r="BG1614" t="s">
        <v>11023</v>
      </c>
      <c r="BH1614" s="1">
        <v>131.9</v>
      </c>
      <c r="BI1614" s="1">
        <v>244138</v>
      </c>
      <c r="BJ1614" s="3">
        <v>42164</v>
      </c>
      <c r="BK1614" t="s">
        <v>123</v>
      </c>
      <c r="BL1614" t="str">
        <f>"2015.411579"</f>
        <v>2015.411579</v>
      </c>
      <c r="BM1614" t="s">
        <v>1038</v>
      </c>
      <c r="BO1614" t="s">
        <v>11024</v>
      </c>
      <c r="BP1614" t="s">
        <v>11025</v>
      </c>
      <c r="BS1614">
        <v>30</v>
      </c>
      <c r="BW1614" t="str">
        <f>""</f>
        <v/>
      </c>
      <c r="CH1614" t="str">
        <f>""</f>
        <v/>
      </c>
      <c r="CS1614" t="str">
        <f>""</f>
        <v/>
      </c>
    </row>
    <row r="1615" spans="1:97" x14ac:dyDescent="0.25">
      <c r="A1615" t="s">
        <v>3187</v>
      </c>
      <c r="B1615" t="s">
        <v>11026</v>
      </c>
      <c r="E1615" t="s">
        <v>11027</v>
      </c>
      <c r="F1615" t="s">
        <v>108</v>
      </c>
      <c r="H1615" t="s">
        <v>11028</v>
      </c>
      <c r="I1615" t="s">
        <v>390</v>
      </c>
      <c r="J1615" t="s">
        <v>111</v>
      </c>
      <c r="K1615" t="str">
        <f>"85045"</f>
        <v>85045</v>
      </c>
      <c r="L1615" t="s">
        <v>5185</v>
      </c>
      <c r="M1615" t="s">
        <v>11028</v>
      </c>
      <c r="N1615" t="s">
        <v>390</v>
      </c>
      <c r="O1615" t="s">
        <v>111</v>
      </c>
      <c r="P1615" t="str">
        <f>"85045-1601"</f>
        <v>85045-1601</v>
      </c>
      <c r="Q1615" t="s">
        <v>113</v>
      </c>
      <c r="R1615" t="str">
        <f>"311-01-729"</f>
        <v>311-01-729</v>
      </c>
      <c r="S1615" t="s">
        <v>11029</v>
      </c>
      <c r="U1615">
        <v>2209</v>
      </c>
      <c r="V1615">
        <v>0</v>
      </c>
      <c r="W1615">
        <v>3</v>
      </c>
      <c r="X1615">
        <v>1998</v>
      </c>
      <c r="Z1615">
        <v>1</v>
      </c>
      <c r="AA1615" t="s">
        <v>26</v>
      </c>
      <c r="AB1615">
        <v>0</v>
      </c>
      <c r="AC1615" t="s">
        <v>115</v>
      </c>
      <c r="AD1615">
        <v>2</v>
      </c>
      <c r="AE1615" t="s">
        <v>115</v>
      </c>
      <c r="AF1615">
        <v>0</v>
      </c>
      <c r="AG1615">
        <v>0</v>
      </c>
      <c r="AH1615" t="s">
        <v>116</v>
      </c>
      <c r="AI1615" s="1">
        <v>64696</v>
      </c>
      <c r="AJ1615" s="2">
        <v>0.17</v>
      </c>
      <c r="AK1615" s="1">
        <v>383404</v>
      </c>
      <c r="AL1615" t="s">
        <v>117</v>
      </c>
      <c r="AM1615" t="s">
        <v>118</v>
      </c>
      <c r="AN1615">
        <v>6537</v>
      </c>
      <c r="AO1615">
        <v>0.15</v>
      </c>
      <c r="AP1615">
        <v>1</v>
      </c>
      <c r="AR1615">
        <v>1</v>
      </c>
      <c r="AS1615" s="1">
        <v>27710</v>
      </c>
      <c r="AT1615" s="1">
        <v>5540</v>
      </c>
      <c r="AU1615" s="1">
        <v>22170</v>
      </c>
      <c r="AV1615">
        <v>80.010000000000005</v>
      </c>
      <c r="AX1615" s="1">
        <v>2915.92</v>
      </c>
      <c r="AY1615" t="s">
        <v>2966</v>
      </c>
      <c r="AZ1615" t="s">
        <v>2967</v>
      </c>
      <c r="BA1615" t="s">
        <v>930</v>
      </c>
      <c r="BE1615" s="3">
        <v>42144</v>
      </c>
      <c r="BF1615" s="1">
        <v>312000</v>
      </c>
      <c r="BG1615" t="s">
        <v>11030</v>
      </c>
      <c r="BH1615" s="1">
        <v>141.24</v>
      </c>
      <c r="BI1615" s="1">
        <v>318708</v>
      </c>
      <c r="BJ1615" s="3">
        <v>42144</v>
      </c>
      <c r="BK1615" t="s">
        <v>123</v>
      </c>
      <c r="BL1615" t="str">
        <f>"2015.354388"</f>
        <v>2015.354388</v>
      </c>
      <c r="BM1615" t="s">
        <v>594</v>
      </c>
      <c r="BO1615" t="s">
        <v>11031</v>
      </c>
      <c r="BS1615">
        <v>30</v>
      </c>
      <c r="BW1615" t="str">
        <f>""</f>
        <v/>
      </c>
      <c r="CH1615" t="str">
        <f>""</f>
        <v/>
      </c>
      <c r="CS1615" t="str">
        <f>""</f>
        <v/>
      </c>
    </row>
    <row r="1616" spans="1:97" x14ac:dyDescent="0.25">
      <c r="A1616" t="s">
        <v>370</v>
      </c>
      <c r="B1616" t="s">
        <v>4116</v>
      </c>
      <c r="C1616" t="s">
        <v>11032</v>
      </c>
      <c r="D1616" t="s">
        <v>4116</v>
      </c>
      <c r="E1616" t="s">
        <v>11033</v>
      </c>
      <c r="F1616" t="s">
        <v>108</v>
      </c>
      <c r="H1616" t="s">
        <v>11034</v>
      </c>
      <c r="I1616" t="s">
        <v>188</v>
      </c>
      <c r="J1616" t="s">
        <v>111</v>
      </c>
      <c r="K1616" t="str">
        <f>"85142"</f>
        <v>85142</v>
      </c>
      <c r="L1616" t="s">
        <v>3885</v>
      </c>
      <c r="M1616" t="s">
        <v>11034</v>
      </c>
      <c r="N1616" t="s">
        <v>188</v>
      </c>
      <c r="O1616" t="s">
        <v>111</v>
      </c>
      <c r="P1616" t="str">
        <f>"85142-5026"</f>
        <v>85142-5026</v>
      </c>
      <c r="Q1616" t="s">
        <v>113</v>
      </c>
      <c r="R1616" t="str">
        <f>"304-90-604"</f>
        <v>304-90-604</v>
      </c>
      <c r="S1616" t="s">
        <v>11035</v>
      </c>
      <c r="T1616" t="s">
        <v>11036</v>
      </c>
      <c r="U1616">
        <v>1618</v>
      </c>
      <c r="V1616">
        <v>0</v>
      </c>
      <c r="W1616">
        <v>2</v>
      </c>
      <c r="X1616">
        <v>2001</v>
      </c>
      <c r="Z1616">
        <v>1</v>
      </c>
      <c r="AB1616">
        <v>0</v>
      </c>
      <c r="AC1616" t="s">
        <v>115</v>
      </c>
      <c r="AD1616">
        <v>2</v>
      </c>
      <c r="AE1616" t="s">
        <v>115</v>
      </c>
      <c r="AF1616">
        <v>0</v>
      </c>
      <c r="AG1616">
        <v>0</v>
      </c>
      <c r="AH1616" t="s">
        <v>116</v>
      </c>
      <c r="AI1616" s="1">
        <v>-17795</v>
      </c>
      <c r="AJ1616" s="2">
        <v>-0.05</v>
      </c>
      <c r="AK1616" s="1">
        <v>362204</v>
      </c>
      <c r="AL1616" t="s">
        <v>117</v>
      </c>
      <c r="AM1616" t="s">
        <v>3973</v>
      </c>
      <c r="AN1616">
        <v>37850</v>
      </c>
      <c r="AO1616">
        <v>0.87</v>
      </c>
      <c r="AP1616">
        <v>1</v>
      </c>
      <c r="AR1616">
        <v>1</v>
      </c>
      <c r="AS1616" s="1">
        <v>25100</v>
      </c>
      <c r="AT1616" s="1">
        <v>5020</v>
      </c>
      <c r="AU1616" s="1">
        <v>20080</v>
      </c>
      <c r="AV1616">
        <v>80</v>
      </c>
      <c r="AX1616" s="1">
        <v>2018.1</v>
      </c>
      <c r="AY1616" t="s">
        <v>1074</v>
      </c>
      <c r="AZ1616" t="s">
        <v>193</v>
      </c>
      <c r="BA1616" t="s">
        <v>194</v>
      </c>
      <c r="BB1616" s="3">
        <v>43056</v>
      </c>
      <c r="BD1616" t="s">
        <v>157</v>
      </c>
      <c r="BE1616" s="3">
        <v>42543</v>
      </c>
      <c r="BF1616" s="1">
        <v>289900</v>
      </c>
      <c r="BG1616" t="s">
        <v>11037</v>
      </c>
      <c r="BH1616" s="1">
        <v>179.17</v>
      </c>
      <c r="BI1616" s="1">
        <v>379999</v>
      </c>
      <c r="BJ1616" s="3">
        <v>43602</v>
      </c>
      <c r="BK1616" t="s">
        <v>123</v>
      </c>
      <c r="BL1616" t="str">
        <f>"2019.364816"</f>
        <v>2019.364816</v>
      </c>
      <c r="BM1616" t="s">
        <v>1038</v>
      </c>
      <c r="BN1616" t="s">
        <v>1624</v>
      </c>
      <c r="BO1616" t="s">
        <v>11038</v>
      </c>
      <c r="BP1616" t="s">
        <v>11039</v>
      </c>
      <c r="BR1616" t="s">
        <v>139</v>
      </c>
      <c r="BW1616" t="str">
        <f>""</f>
        <v/>
      </c>
      <c r="CH1616" t="str">
        <f>""</f>
        <v/>
      </c>
      <c r="CS1616" t="str">
        <f>""</f>
        <v/>
      </c>
    </row>
    <row r="1617" spans="1:97" x14ac:dyDescent="0.25">
      <c r="A1617" t="s">
        <v>11040</v>
      </c>
      <c r="B1617" t="s">
        <v>11041</v>
      </c>
      <c r="C1617" t="s">
        <v>1366</v>
      </c>
      <c r="D1617" t="s">
        <v>5013</v>
      </c>
      <c r="E1617" t="s">
        <v>11042</v>
      </c>
      <c r="F1617" t="s">
        <v>108</v>
      </c>
      <c r="H1617" t="s">
        <v>11043</v>
      </c>
      <c r="I1617" t="s">
        <v>4251</v>
      </c>
      <c r="J1617" t="s">
        <v>111</v>
      </c>
      <c r="K1617" t="str">
        <f>"85353"</f>
        <v>85353</v>
      </c>
      <c r="L1617" t="s">
        <v>3758</v>
      </c>
      <c r="M1617" t="s">
        <v>11043</v>
      </c>
      <c r="N1617" t="s">
        <v>4251</v>
      </c>
      <c r="O1617" t="s">
        <v>111</v>
      </c>
      <c r="P1617" t="str">
        <f>"85353-7676"</f>
        <v>85353-7676</v>
      </c>
      <c r="Q1617" t="s">
        <v>113</v>
      </c>
      <c r="R1617" t="str">
        <f>"101-25-744"</f>
        <v>101-25-744</v>
      </c>
      <c r="S1617" t="s">
        <v>5149</v>
      </c>
      <c r="T1617" t="s">
        <v>5149</v>
      </c>
      <c r="U1617">
        <v>3053</v>
      </c>
      <c r="V1617">
        <v>0</v>
      </c>
      <c r="W1617">
        <v>4</v>
      </c>
      <c r="X1617">
        <v>2015</v>
      </c>
      <c r="Z1617">
        <v>1</v>
      </c>
      <c r="AB1617">
        <v>0</v>
      </c>
      <c r="AC1617" t="s">
        <v>115</v>
      </c>
      <c r="AD1617">
        <v>3</v>
      </c>
      <c r="AE1617" t="s">
        <v>115</v>
      </c>
      <c r="AF1617">
        <v>0</v>
      </c>
      <c r="AG1617">
        <v>0</v>
      </c>
      <c r="AH1617" t="s">
        <v>116</v>
      </c>
      <c r="AI1617" s="1">
        <v>44454</v>
      </c>
      <c r="AJ1617" s="2">
        <v>0.13</v>
      </c>
      <c r="AK1617" s="1">
        <v>335189</v>
      </c>
      <c r="AL1617" t="s">
        <v>117</v>
      </c>
      <c r="AM1617" t="s">
        <v>1302</v>
      </c>
      <c r="AN1617">
        <v>9375</v>
      </c>
      <c r="AO1617">
        <v>0.22</v>
      </c>
      <c r="AR1617">
        <v>1</v>
      </c>
      <c r="AS1617" s="1">
        <v>24830</v>
      </c>
      <c r="AT1617" s="1">
        <v>4960</v>
      </c>
      <c r="AU1617" s="1">
        <v>19870</v>
      </c>
      <c r="AV1617">
        <v>80.02</v>
      </c>
      <c r="AX1617" s="1">
        <v>2843.04</v>
      </c>
      <c r="AY1617" t="s">
        <v>5150</v>
      </c>
      <c r="AZ1617" t="s">
        <v>5150</v>
      </c>
      <c r="BA1617" t="s">
        <v>4254</v>
      </c>
      <c r="BE1617" s="3">
        <v>42249</v>
      </c>
      <c r="BF1617" s="1">
        <v>281448</v>
      </c>
      <c r="BG1617" t="s">
        <v>209</v>
      </c>
      <c r="BH1617" s="1">
        <v>92.19</v>
      </c>
      <c r="BI1617" s="1">
        <v>290735</v>
      </c>
      <c r="BJ1617" s="3">
        <v>42249</v>
      </c>
      <c r="BK1617" t="s">
        <v>123</v>
      </c>
      <c r="BL1617" t="str">
        <f>"2015.639971"</f>
        <v>2015.639971</v>
      </c>
      <c r="BM1617" t="s">
        <v>175</v>
      </c>
      <c r="BO1617" t="s">
        <v>11044</v>
      </c>
      <c r="BP1617" t="s">
        <v>11045</v>
      </c>
      <c r="BS1617">
        <v>30</v>
      </c>
      <c r="BW1617" t="str">
        <f>""</f>
        <v/>
      </c>
      <c r="CH1617" t="str">
        <f>""</f>
        <v/>
      </c>
      <c r="CS1617" t="str">
        <f>""</f>
        <v/>
      </c>
    </row>
    <row r="1618" spans="1:97" x14ac:dyDescent="0.25">
      <c r="A1618" t="s">
        <v>177</v>
      </c>
      <c r="B1618" t="s">
        <v>11046</v>
      </c>
      <c r="C1618" t="s">
        <v>5705</v>
      </c>
      <c r="D1618" t="s">
        <v>11046</v>
      </c>
      <c r="E1618" t="s">
        <v>11047</v>
      </c>
      <c r="F1618" t="s">
        <v>108</v>
      </c>
      <c r="H1618" t="s">
        <v>11048</v>
      </c>
      <c r="I1618" t="s">
        <v>144</v>
      </c>
      <c r="J1618" t="s">
        <v>111</v>
      </c>
      <c r="K1618" t="str">
        <f>"85326"</f>
        <v>85326</v>
      </c>
      <c r="L1618" t="s">
        <v>6431</v>
      </c>
      <c r="M1618" t="s">
        <v>11048</v>
      </c>
      <c r="N1618" t="s">
        <v>144</v>
      </c>
      <c r="O1618" t="s">
        <v>111</v>
      </c>
      <c r="P1618" t="str">
        <f>"85326-7341"</f>
        <v>85326-7341</v>
      </c>
      <c r="Q1618" t="s">
        <v>113</v>
      </c>
      <c r="R1618" t="str">
        <f>"504-43-119"</f>
        <v>504-43-119</v>
      </c>
      <c r="S1618" t="s">
        <v>11049</v>
      </c>
      <c r="T1618" t="s">
        <v>11050</v>
      </c>
      <c r="U1618">
        <v>2085</v>
      </c>
      <c r="V1618">
        <v>0</v>
      </c>
      <c r="W1618">
        <v>3</v>
      </c>
      <c r="X1618">
        <v>2015</v>
      </c>
      <c r="Z1618">
        <v>1</v>
      </c>
      <c r="AB1618">
        <v>0</v>
      </c>
      <c r="AC1618" t="s">
        <v>115</v>
      </c>
      <c r="AD1618">
        <v>2</v>
      </c>
      <c r="AE1618" t="s">
        <v>115</v>
      </c>
      <c r="AF1618">
        <v>0</v>
      </c>
      <c r="AG1618">
        <v>0</v>
      </c>
      <c r="AH1618" t="s">
        <v>116</v>
      </c>
      <c r="AI1618" s="1">
        <v>29679</v>
      </c>
      <c r="AJ1618" s="2">
        <v>0.12</v>
      </c>
      <c r="AK1618" s="1">
        <v>248158</v>
      </c>
      <c r="AL1618" t="s">
        <v>117</v>
      </c>
      <c r="AM1618" t="s">
        <v>5023</v>
      </c>
      <c r="AN1618">
        <v>6670</v>
      </c>
      <c r="AO1618">
        <v>0.15</v>
      </c>
      <c r="AR1618">
        <v>1</v>
      </c>
      <c r="AS1618" s="1">
        <v>17550</v>
      </c>
      <c r="AT1618" s="1">
        <v>3510</v>
      </c>
      <c r="AU1618" s="1">
        <v>14040</v>
      </c>
      <c r="AV1618">
        <v>80</v>
      </c>
      <c r="AX1618" s="1">
        <v>1711.98</v>
      </c>
      <c r="AY1618" t="s">
        <v>11051</v>
      </c>
      <c r="AZ1618" t="s">
        <v>7333</v>
      </c>
      <c r="BA1618" t="s">
        <v>9622</v>
      </c>
      <c r="BE1618" s="3">
        <v>42426</v>
      </c>
      <c r="BF1618" s="1">
        <v>199276</v>
      </c>
      <c r="BG1618" t="s">
        <v>1975</v>
      </c>
      <c r="BH1618" s="1">
        <v>95.58</v>
      </c>
      <c r="BI1618" s="1">
        <v>218479</v>
      </c>
      <c r="BJ1618" s="3">
        <v>43634</v>
      </c>
      <c r="BK1618" t="s">
        <v>123</v>
      </c>
      <c r="BL1618" t="str">
        <f>"2019.453102"</f>
        <v>2019.453102</v>
      </c>
      <c r="BM1618" t="s">
        <v>361</v>
      </c>
      <c r="BN1618" t="s">
        <v>884</v>
      </c>
      <c r="BO1618" t="s">
        <v>11052</v>
      </c>
      <c r="BP1618" t="s">
        <v>11053</v>
      </c>
      <c r="BR1618" t="s">
        <v>139</v>
      </c>
      <c r="BW1618" t="str">
        <f>""</f>
        <v/>
      </c>
      <c r="CH1618" t="str">
        <f>""</f>
        <v/>
      </c>
      <c r="CS1618" t="str">
        <f>""</f>
        <v/>
      </c>
    </row>
    <row r="1619" spans="1:97" x14ac:dyDescent="0.25">
      <c r="A1619" t="s">
        <v>11054</v>
      </c>
      <c r="B1619" t="s">
        <v>11055</v>
      </c>
      <c r="C1619" t="s">
        <v>11056</v>
      </c>
      <c r="D1619" t="s">
        <v>11055</v>
      </c>
      <c r="E1619" t="s">
        <v>11057</v>
      </c>
      <c r="F1619" t="s">
        <v>108</v>
      </c>
      <c r="H1619" t="s">
        <v>11058</v>
      </c>
      <c r="I1619" t="s">
        <v>144</v>
      </c>
      <c r="J1619" t="s">
        <v>111</v>
      </c>
      <c r="K1619" t="str">
        <f>"85396"</f>
        <v>85396</v>
      </c>
      <c r="L1619" t="s">
        <v>6667</v>
      </c>
      <c r="M1619" t="s">
        <v>11058</v>
      </c>
      <c r="N1619" t="s">
        <v>144</v>
      </c>
      <c r="O1619" t="s">
        <v>111</v>
      </c>
      <c r="P1619" t="str">
        <f>"85396-1301"</f>
        <v>85396-1301</v>
      </c>
      <c r="Q1619" t="s">
        <v>113</v>
      </c>
      <c r="R1619" t="str">
        <f>"502-77-452"</f>
        <v>502-77-452</v>
      </c>
      <c r="S1619" t="s">
        <v>6668</v>
      </c>
      <c r="U1619">
        <v>1878</v>
      </c>
      <c r="V1619">
        <v>0</v>
      </c>
      <c r="W1619">
        <v>4</v>
      </c>
      <c r="X1619">
        <v>2016</v>
      </c>
      <c r="Z1619">
        <v>2</v>
      </c>
      <c r="AB1619">
        <v>0</v>
      </c>
      <c r="AC1619" t="s">
        <v>115</v>
      </c>
      <c r="AD1619">
        <v>2</v>
      </c>
      <c r="AE1619" t="s">
        <v>115</v>
      </c>
      <c r="AF1619">
        <v>0</v>
      </c>
      <c r="AG1619">
        <v>0</v>
      </c>
      <c r="AH1619" t="s">
        <v>116</v>
      </c>
      <c r="AI1619" s="1">
        <v>36971</v>
      </c>
      <c r="AJ1619" s="2">
        <v>0.14000000000000001</v>
      </c>
      <c r="AK1619" s="1">
        <v>263971</v>
      </c>
      <c r="AL1619" t="s">
        <v>117</v>
      </c>
      <c r="AM1619" t="s">
        <v>118</v>
      </c>
      <c r="AN1619">
        <v>2914</v>
      </c>
      <c r="AO1619">
        <v>0.67</v>
      </c>
      <c r="AR1619">
        <v>1</v>
      </c>
      <c r="AS1619" s="1">
        <v>17960</v>
      </c>
      <c r="AT1619" s="1">
        <v>3590</v>
      </c>
      <c r="AU1619" s="1">
        <v>14370</v>
      </c>
      <c r="AV1619">
        <v>80.010000000000005</v>
      </c>
      <c r="AX1619" s="1">
        <v>2520.38</v>
      </c>
      <c r="AY1619" t="s">
        <v>217</v>
      </c>
      <c r="AZ1619" t="s">
        <v>217</v>
      </c>
      <c r="BA1619" t="s">
        <v>218</v>
      </c>
      <c r="BE1619" s="3">
        <v>42459</v>
      </c>
      <c r="BF1619" s="1">
        <v>220600</v>
      </c>
      <c r="BG1619" t="s">
        <v>6669</v>
      </c>
      <c r="BH1619" s="1">
        <v>117.47</v>
      </c>
      <c r="BI1619" s="1">
        <v>227000</v>
      </c>
      <c r="BJ1619" s="3">
        <v>42552</v>
      </c>
      <c r="BK1619" t="s">
        <v>123</v>
      </c>
      <c r="BL1619" t="str">
        <f>"2016.466917"</f>
        <v>2016.466917</v>
      </c>
      <c r="BM1619" t="s">
        <v>322</v>
      </c>
      <c r="BO1619" t="s">
        <v>11059</v>
      </c>
      <c r="BS1619">
        <v>30</v>
      </c>
      <c r="BW1619" t="str">
        <f>""</f>
        <v/>
      </c>
      <c r="CH1619" t="str">
        <f>""</f>
        <v/>
      </c>
      <c r="CS1619" t="str">
        <f>""</f>
        <v/>
      </c>
    </row>
    <row r="1620" spans="1:97" x14ac:dyDescent="0.25">
      <c r="A1620" t="s">
        <v>2863</v>
      </c>
      <c r="B1620" t="s">
        <v>11060</v>
      </c>
      <c r="C1620" t="s">
        <v>7901</v>
      </c>
      <c r="D1620" t="s">
        <v>11060</v>
      </c>
      <c r="E1620" t="s">
        <v>11061</v>
      </c>
      <c r="F1620" t="s">
        <v>108</v>
      </c>
      <c r="H1620" t="s">
        <v>11062</v>
      </c>
      <c r="I1620" t="s">
        <v>203</v>
      </c>
      <c r="J1620" t="s">
        <v>111</v>
      </c>
      <c r="K1620" t="str">
        <f>"85234"</f>
        <v>85234</v>
      </c>
      <c r="L1620" t="s">
        <v>5816</v>
      </c>
      <c r="M1620" t="s">
        <v>11062</v>
      </c>
      <c r="N1620" t="s">
        <v>203</v>
      </c>
      <c r="O1620" t="s">
        <v>111</v>
      </c>
      <c r="P1620" t="str">
        <f>"85234-4105"</f>
        <v>85234-4105</v>
      </c>
      <c r="Q1620" t="s">
        <v>113</v>
      </c>
      <c r="R1620" t="str">
        <f>"309-23-499"</f>
        <v>309-23-499</v>
      </c>
      <c r="S1620" t="s">
        <v>11063</v>
      </c>
      <c r="T1620" t="s">
        <v>11063</v>
      </c>
      <c r="U1620">
        <v>2490</v>
      </c>
      <c r="V1620">
        <v>0</v>
      </c>
      <c r="W1620">
        <v>4</v>
      </c>
      <c r="X1620">
        <v>2000</v>
      </c>
      <c r="Z1620">
        <v>2</v>
      </c>
      <c r="AA1620" t="s">
        <v>26</v>
      </c>
      <c r="AB1620">
        <v>0</v>
      </c>
      <c r="AC1620" t="s">
        <v>115</v>
      </c>
      <c r="AD1620">
        <v>3</v>
      </c>
      <c r="AE1620" t="s">
        <v>115</v>
      </c>
      <c r="AF1620">
        <v>0</v>
      </c>
      <c r="AG1620">
        <v>0</v>
      </c>
      <c r="AH1620" t="s">
        <v>116</v>
      </c>
      <c r="AI1620" s="1">
        <v>37819</v>
      </c>
      <c r="AJ1620" s="2">
        <v>0.09</v>
      </c>
      <c r="AK1620" s="1">
        <v>430359</v>
      </c>
      <c r="AL1620" t="s">
        <v>117</v>
      </c>
      <c r="AM1620" t="s">
        <v>1293</v>
      </c>
      <c r="AN1620">
        <v>9000</v>
      </c>
      <c r="AO1620">
        <v>0.21</v>
      </c>
      <c r="AP1620">
        <v>1</v>
      </c>
      <c r="AR1620">
        <v>1</v>
      </c>
      <c r="AS1620" s="1">
        <v>30380</v>
      </c>
      <c r="AT1620" s="1">
        <v>6070</v>
      </c>
      <c r="AU1620" s="1">
        <v>24310</v>
      </c>
      <c r="AV1620">
        <v>80.02</v>
      </c>
      <c r="AX1620" s="1">
        <v>2347.46</v>
      </c>
      <c r="AY1620" t="s">
        <v>5565</v>
      </c>
      <c r="AZ1620" t="s">
        <v>571</v>
      </c>
      <c r="BA1620" t="s">
        <v>521</v>
      </c>
      <c r="BE1620" s="3">
        <v>41912</v>
      </c>
      <c r="BF1620" s="1">
        <v>344900</v>
      </c>
      <c r="BG1620" t="s">
        <v>11064</v>
      </c>
      <c r="BH1620" s="1">
        <v>138.51</v>
      </c>
      <c r="BI1620" s="1">
        <v>392540</v>
      </c>
      <c r="BJ1620" s="3">
        <v>43599</v>
      </c>
      <c r="BK1620" t="s">
        <v>123</v>
      </c>
      <c r="BL1620" t="str">
        <f>"2019.348428"</f>
        <v>2019.348428</v>
      </c>
      <c r="BM1620" t="s">
        <v>533</v>
      </c>
      <c r="BN1620" t="s">
        <v>534</v>
      </c>
      <c r="BO1620" t="s">
        <v>11065</v>
      </c>
      <c r="BP1620" t="s">
        <v>11066</v>
      </c>
      <c r="BR1620" t="s">
        <v>139</v>
      </c>
      <c r="BW1620" t="str">
        <f>""</f>
        <v/>
      </c>
      <c r="CH1620" t="str">
        <f>""</f>
        <v/>
      </c>
      <c r="CS1620" t="str">
        <f>""</f>
        <v/>
      </c>
    </row>
    <row r="1621" spans="1:97" x14ac:dyDescent="0.25">
      <c r="A1621" t="s">
        <v>6619</v>
      </c>
      <c r="B1621" t="s">
        <v>11067</v>
      </c>
      <c r="C1621" t="s">
        <v>1995</v>
      </c>
      <c r="D1621" t="s">
        <v>11067</v>
      </c>
      <c r="E1621" t="s">
        <v>11068</v>
      </c>
      <c r="F1621" t="s">
        <v>108</v>
      </c>
      <c r="H1621" t="s">
        <v>11069</v>
      </c>
      <c r="I1621" t="s">
        <v>5387</v>
      </c>
      <c r="J1621" t="s">
        <v>111</v>
      </c>
      <c r="K1621" t="str">
        <f>"85282"</f>
        <v>85282</v>
      </c>
      <c r="L1621" t="s">
        <v>6169</v>
      </c>
      <c r="M1621" t="s">
        <v>11069</v>
      </c>
      <c r="N1621" t="s">
        <v>5387</v>
      </c>
      <c r="O1621" t="s">
        <v>111</v>
      </c>
      <c r="P1621" t="str">
        <f>"85282-2620"</f>
        <v>85282-2620</v>
      </c>
      <c r="Q1621" t="s">
        <v>113</v>
      </c>
      <c r="R1621" t="str">
        <f>"133-31-252"</f>
        <v>133-31-252</v>
      </c>
      <c r="S1621" t="s">
        <v>11070</v>
      </c>
      <c r="T1621" t="s">
        <v>11071</v>
      </c>
      <c r="U1621">
        <v>1613</v>
      </c>
      <c r="V1621">
        <v>0</v>
      </c>
      <c r="W1621">
        <v>2</v>
      </c>
      <c r="X1621">
        <v>1969</v>
      </c>
      <c r="Z1621">
        <v>1</v>
      </c>
      <c r="AA1621" t="s">
        <v>26</v>
      </c>
      <c r="AB1621">
        <v>0</v>
      </c>
      <c r="AC1621" t="s">
        <v>115</v>
      </c>
      <c r="AD1621">
        <v>2</v>
      </c>
      <c r="AE1621" t="s">
        <v>115</v>
      </c>
      <c r="AF1621">
        <v>0</v>
      </c>
      <c r="AG1621">
        <v>0</v>
      </c>
      <c r="AH1621" t="s">
        <v>5467</v>
      </c>
      <c r="AI1621" s="1">
        <v>42247</v>
      </c>
      <c r="AJ1621" s="2">
        <v>0.13</v>
      </c>
      <c r="AK1621" s="1">
        <v>330247</v>
      </c>
      <c r="AL1621" t="s">
        <v>117</v>
      </c>
      <c r="AM1621" t="s">
        <v>191</v>
      </c>
      <c r="AN1621">
        <v>7205</v>
      </c>
      <c r="AO1621">
        <v>0.16</v>
      </c>
      <c r="AP1621">
        <v>1</v>
      </c>
      <c r="AR1621">
        <v>1</v>
      </c>
      <c r="AS1621" s="1">
        <v>22030</v>
      </c>
      <c r="AT1621" s="1">
        <v>4400</v>
      </c>
      <c r="AU1621" s="1">
        <v>17630</v>
      </c>
      <c r="AV1621">
        <v>80.03</v>
      </c>
      <c r="AX1621" s="1">
        <v>1889.54</v>
      </c>
      <c r="AY1621" t="s">
        <v>11072</v>
      </c>
      <c r="AZ1621" t="s">
        <v>11073</v>
      </c>
      <c r="BA1621" t="s">
        <v>10858</v>
      </c>
      <c r="BE1621" s="3">
        <v>42275</v>
      </c>
      <c r="BF1621" s="1">
        <v>288000</v>
      </c>
      <c r="BG1621" t="s">
        <v>11074</v>
      </c>
      <c r="BH1621" s="1">
        <v>178.55</v>
      </c>
      <c r="BI1621" s="1">
        <v>288000</v>
      </c>
      <c r="BJ1621" s="3">
        <v>42275</v>
      </c>
      <c r="BK1621" t="s">
        <v>123</v>
      </c>
      <c r="BL1621" t="str">
        <f>"2015.696164"</f>
        <v>2015.696164</v>
      </c>
      <c r="BM1621" t="s">
        <v>724</v>
      </c>
      <c r="BO1621" t="s">
        <v>11075</v>
      </c>
      <c r="BS1621">
        <v>15</v>
      </c>
      <c r="BW1621" t="str">
        <f>""</f>
        <v/>
      </c>
      <c r="CH1621" t="str">
        <f>""</f>
        <v/>
      </c>
      <c r="CS1621" t="str">
        <f>""</f>
        <v/>
      </c>
    </row>
    <row r="1622" spans="1:97" x14ac:dyDescent="0.25">
      <c r="A1622" t="s">
        <v>5771</v>
      </c>
      <c r="B1622" t="s">
        <v>11076</v>
      </c>
      <c r="C1622" t="s">
        <v>1826</v>
      </c>
      <c r="D1622" t="s">
        <v>11076</v>
      </c>
      <c r="E1622" t="s">
        <v>11077</v>
      </c>
      <c r="F1622" t="s">
        <v>108</v>
      </c>
      <c r="H1622" t="s">
        <v>11078</v>
      </c>
      <c r="I1622" t="s">
        <v>390</v>
      </c>
      <c r="J1622" t="s">
        <v>111</v>
      </c>
      <c r="K1622" t="str">
        <f>"85043"</f>
        <v>85043</v>
      </c>
      <c r="L1622" t="s">
        <v>5367</v>
      </c>
      <c r="M1622" t="s">
        <v>11078</v>
      </c>
      <c r="N1622" t="s">
        <v>390</v>
      </c>
      <c r="O1622" t="s">
        <v>111</v>
      </c>
      <c r="P1622" t="str">
        <f>"85043-1591"</f>
        <v>85043-1591</v>
      </c>
      <c r="Q1622" t="s">
        <v>113</v>
      </c>
      <c r="R1622" t="str">
        <f>"104-55-422"</f>
        <v>104-55-422</v>
      </c>
      <c r="S1622" t="s">
        <v>5368</v>
      </c>
      <c r="T1622" t="s">
        <v>5368</v>
      </c>
      <c r="U1622">
        <v>1905</v>
      </c>
      <c r="V1622">
        <v>0</v>
      </c>
      <c r="W1622">
        <v>3</v>
      </c>
      <c r="X1622">
        <v>2014</v>
      </c>
      <c r="Z1622">
        <v>1</v>
      </c>
      <c r="AB1622">
        <v>0</v>
      </c>
      <c r="AC1622" t="s">
        <v>115</v>
      </c>
      <c r="AD1622">
        <v>2</v>
      </c>
      <c r="AE1622" t="s">
        <v>115</v>
      </c>
      <c r="AF1622">
        <v>0</v>
      </c>
      <c r="AG1622">
        <v>0</v>
      </c>
      <c r="AH1622" t="s">
        <v>116</v>
      </c>
      <c r="AI1622" s="1">
        <v>41411</v>
      </c>
      <c r="AJ1622" s="2">
        <v>0.16</v>
      </c>
      <c r="AK1622" s="1">
        <v>260860</v>
      </c>
      <c r="AL1622" t="s">
        <v>117</v>
      </c>
      <c r="AM1622" t="s">
        <v>171</v>
      </c>
      <c r="AN1622">
        <v>5504</v>
      </c>
      <c r="AO1622">
        <v>0.13</v>
      </c>
      <c r="AR1622">
        <v>1</v>
      </c>
      <c r="AS1622" s="1">
        <v>18920</v>
      </c>
      <c r="AT1622" s="1">
        <v>3780</v>
      </c>
      <c r="AU1622" s="1">
        <v>15140</v>
      </c>
      <c r="AV1622">
        <v>80.02</v>
      </c>
      <c r="AX1622" s="1">
        <v>1949.2</v>
      </c>
      <c r="AY1622" t="s">
        <v>5369</v>
      </c>
      <c r="AZ1622" t="s">
        <v>5370</v>
      </c>
      <c r="BA1622" t="s">
        <v>5371</v>
      </c>
      <c r="BE1622" s="3">
        <v>41837</v>
      </c>
      <c r="BF1622" s="1">
        <v>215250</v>
      </c>
      <c r="BG1622" t="s">
        <v>2289</v>
      </c>
      <c r="BH1622" s="1">
        <v>112.99</v>
      </c>
      <c r="BI1622" s="1">
        <v>219449</v>
      </c>
      <c r="BJ1622" s="3">
        <v>42171</v>
      </c>
      <c r="BK1622" t="s">
        <v>123</v>
      </c>
      <c r="BL1622" t="str">
        <f>"2015.428821"</f>
        <v>2015.428821</v>
      </c>
      <c r="BM1622" t="s">
        <v>750</v>
      </c>
      <c r="BO1622" t="s">
        <v>11079</v>
      </c>
      <c r="BQ1622" t="str">
        <f>"2.2500%"</f>
        <v>2.2500%</v>
      </c>
      <c r="BR1622" t="s">
        <v>1480</v>
      </c>
      <c r="BS1622">
        <v>30</v>
      </c>
      <c r="BW1622" t="str">
        <f>""</f>
        <v/>
      </c>
      <c r="CH1622" t="str">
        <f>""</f>
        <v/>
      </c>
      <c r="CS1622" t="str">
        <f>""</f>
        <v/>
      </c>
    </row>
    <row r="1623" spans="1:97" x14ac:dyDescent="0.25">
      <c r="A1623" t="s">
        <v>3377</v>
      </c>
      <c r="B1623" t="s">
        <v>11080</v>
      </c>
      <c r="C1623" t="s">
        <v>11081</v>
      </c>
      <c r="D1623" t="s">
        <v>11080</v>
      </c>
      <c r="E1623" t="s">
        <v>11082</v>
      </c>
      <c r="F1623" t="s">
        <v>108</v>
      </c>
      <c r="H1623" t="s">
        <v>11083</v>
      </c>
      <c r="I1623" t="s">
        <v>632</v>
      </c>
      <c r="J1623" t="s">
        <v>111</v>
      </c>
      <c r="K1623" t="str">
        <f>"85379"</f>
        <v>85379</v>
      </c>
      <c r="L1623" t="s">
        <v>454</v>
      </c>
      <c r="M1623" t="s">
        <v>11083</v>
      </c>
      <c r="N1623" t="s">
        <v>632</v>
      </c>
      <c r="O1623" t="s">
        <v>111</v>
      </c>
      <c r="P1623" t="str">
        <f>"85379-1014"</f>
        <v>85379-1014</v>
      </c>
      <c r="Q1623" t="s">
        <v>113</v>
      </c>
      <c r="R1623" t="str">
        <f>"501-46-507"</f>
        <v>501-46-507</v>
      </c>
      <c r="S1623" t="s">
        <v>5319</v>
      </c>
      <c r="U1623">
        <v>2455</v>
      </c>
      <c r="V1623">
        <v>0</v>
      </c>
      <c r="W1623">
        <v>5</v>
      </c>
      <c r="X1623">
        <v>2015</v>
      </c>
      <c r="Z1623">
        <v>1</v>
      </c>
      <c r="AB1623">
        <v>0</v>
      </c>
      <c r="AC1623" t="s">
        <v>115</v>
      </c>
      <c r="AD1623">
        <v>2</v>
      </c>
      <c r="AE1623" t="s">
        <v>115</v>
      </c>
      <c r="AF1623">
        <v>0</v>
      </c>
      <c r="AG1623">
        <v>0</v>
      </c>
      <c r="AH1623" t="s">
        <v>116</v>
      </c>
      <c r="AI1623" s="1">
        <v>43806</v>
      </c>
      <c r="AJ1623" s="2">
        <v>0.13</v>
      </c>
      <c r="AK1623" s="1">
        <v>328422</v>
      </c>
      <c r="AL1623" t="s">
        <v>117</v>
      </c>
      <c r="AM1623" t="s">
        <v>118</v>
      </c>
      <c r="AN1623">
        <v>6670</v>
      </c>
      <c r="AO1623">
        <v>0.15</v>
      </c>
      <c r="AR1623">
        <v>1</v>
      </c>
      <c r="AS1623" s="1">
        <v>23030</v>
      </c>
      <c r="AT1623" s="1">
        <v>4600</v>
      </c>
      <c r="AU1623" s="1">
        <v>18430</v>
      </c>
      <c r="AV1623">
        <v>80.03</v>
      </c>
      <c r="AX1623" s="1">
        <v>1937.96</v>
      </c>
      <c r="AY1623" t="s">
        <v>5060</v>
      </c>
      <c r="AZ1623" t="s">
        <v>5060</v>
      </c>
      <c r="BA1623" t="s">
        <v>5061</v>
      </c>
      <c r="BE1623" s="3">
        <v>42352</v>
      </c>
      <c r="BF1623" s="1">
        <v>274544</v>
      </c>
      <c r="BG1623" t="s">
        <v>158</v>
      </c>
      <c r="BH1623" s="1">
        <v>111.83</v>
      </c>
      <c r="BI1623" s="1">
        <v>284616</v>
      </c>
      <c r="BJ1623" s="3">
        <v>42583</v>
      </c>
      <c r="BK1623" t="s">
        <v>123</v>
      </c>
      <c r="BL1623" t="str">
        <f>"2016.546027"</f>
        <v>2016.546027</v>
      </c>
      <c r="BM1623" t="s">
        <v>248</v>
      </c>
      <c r="BO1623" t="s">
        <v>11084</v>
      </c>
      <c r="BS1623">
        <v>30</v>
      </c>
      <c r="BW1623" t="str">
        <f>""</f>
        <v/>
      </c>
      <c r="CH1623" t="str">
        <f>""</f>
        <v/>
      </c>
      <c r="CS1623" t="str">
        <f>""</f>
        <v/>
      </c>
    </row>
    <row r="1624" spans="1:97" x14ac:dyDescent="0.25">
      <c r="A1624" t="s">
        <v>2007</v>
      </c>
      <c r="B1624" t="s">
        <v>11085</v>
      </c>
      <c r="C1624" t="s">
        <v>11086</v>
      </c>
      <c r="D1624" t="s">
        <v>11085</v>
      </c>
      <c r="E1624" t="s">
        <v>11087</v>
      </c>
      <c r="F1624" t="s">
        <v>108</v>
      </c>
      <c r="H1624" t="s">
        <v>11088</v>
      </c>
      <c r="I1624" t="s">
        <v>390</v>
      </c>
      <c r="J1624" t="s">
        <v>111</v>
      </c>
      <c r="K1624" t="str">
        <f>"85037"</f>
        <v>85037</v>
      </c>
      <c r="L1624" t="s">
        <v>11089</v>
      </c>
      <c r="M1624" t="s">
        <v>11088</v>
      </c>
      <c r="N1624" t="s">
        <v>390</v>
      </c>
      <c r="O1624" t="s">
        <v>111</v>
      </c>
      <c r="P1624" t="str">
        <f>"85037-1353"</f>
        <v>85037-1353</v>
      </c>
      <c r="Q1624" t="s">
        <v>113</v>
      </c>
      <c r="R1624" t="str">
        <f>"102-72-382"</f>
        <v>102-72-382</v>
      </c>
      <c r="S1624" t="s">
        <v>11090</v>
      </c>
      <c r="T1624" t="s">
        <v>11091</v>
      </c>
      <c r="U1624">
        <v>2221</v>
      </c>
      <c r="V1624">
        <v>0</v>
      </c>
      <c r="W1624">
        <v>2</v>
      </c>
      <c r="X1624">
        <v>2007</v>
      </c>
      <c r="Z1624">
        <v>2</v>
      </c>
      <c r="AB1624">
        <v>0</v>
      </c>
      <c r="AC1624" t="s">
        <v>115</v>
      </c>
      <c r="AD1624">
        <v>2</v>
      </c>
      <c r="AE1624" t="s">
        <v>115</v>
      </c>
      <c r="AF1624">
        <v>0</v>
      </c>
      <c r="AG1624">
        <v>0</v>
      </c>
      <c r="AH1624" t="s">
        <v>116</v>
      </c>
      <c r="AI1624" s="1">
        <v>54675</v>
      </c>
      <c r="AJ1624" s="2">
        <v>0.21</v>
      </c>
      <c r="AK1624" s="1">
        <v>255570</v>
      </c>
      <c r="AL1624" t="s">
        <v>117</v>
      </c>
      <c r="AM1624" t="s">
        <v>191</v>
      </c>
      <c r="AN1624">
        <v>8735</v>
      </c>
      <c r="AO1624">
        <v>0.2</v>
      </c>
      <c r="AR1624">
        <v>1</v>
      </c>
      <c r="AS1624" s="1">
        <v>17910</v>
      </c>
      <c r="AT1624" s="1">
        <v>3580</v>
      </c>
      <c r="AU1624" s="1">
        <v>14330</v>
      </c>
      <c r="AV1624">
        <v>80.010000000000005</v>
      </c>
      <c r="AX1624" s="1">
        <v>1730.64</v>
      </c>
      <c r="AY1624" t="s">
        <v>11092</v>
      </c>
      <c r="AZ1624" t="s">
        <v>11092</v>
      </c>
      <c r="BA1624" t="s">
        <v>5118</v>
      </c>
      <c r="BE1624" s="3">
        <v>42488</v>
      </c>
      <c r="BF1624" s="1">
        <v>197000</v>
      </c>
      <c r="BG1624" t="s">
        <v>11093</v>
      </c>
      <c r="BH1624" s="1">
        <v>88.7</v>
      </c>
      <c r="BI1624" s="1">
        <v>200895</v>
      </c>
      <c r="BJ1624" s="3">
        <v>42488</v>
      </c>
      <c r="BK1624" t="s">
        <v>123</v>
      </c>
      <c r="BL1624" t="str">
        <f>"2016.286008"</f>
        <v>2016.286008</v>
      </c>
      <c r="BM1624" t="s">
        <v>1185</v>
      </c>
      <c r="BO1624" t="s">
        <v>11094</v>
      </c>
      <c r="BS1624">
        <v>30</v>
      </c>
      <c r="BW1624" t="str">
        <f>""</f>
        <v/>
      </c>
      <c r="CH1624" t="str">
        <f>""</f>
        <v/>
      </c>
      <c r="CS1624" t="str">
        <f>""</f>
        <v/>
      </c>
    </row>
    <row r="1625" spans="1:97" x14ac:dyDescent="0.25">
      <c r="A1625" t="s">
        <v>2374</v>
      </c>
      <c r="B1625" t="s">
        <v>1820</v>
      </c>
      <c r="E1625" t="s">
        <v>11095</v>
      </c>
      <c r="F1625" t="s">
        <v>108</v>
      </c>
      <c r="H1625" t="s">
        <v>11096</v>
      </c>
      <c r="I1625" t="s">
        <v>1936</v>
      </c>
      <c r="J1625" t="s">
        <v>111</v>
      </c>
      <c r="K1625" t="str">
        <f>"85250"</f>
        <v>85250</v>
      </c>
      <c r="L1625" t="s">
        <v>11097</v>
      </c>
      <c r="M1625" t="s">
        <v>11096</v>
      </c>
      <c r="N1625" t="s">
        <v>1936</v>
      </c>
      <c r="O1625" t="s">
        <v>111</v>
      </c>
      <c r="P1625" t="str">
        <f>"85250-6714"</f>
        <v>85250-6714</v>
      </c>
      <c r="Q1625" t="s">
        <v>113</v>
      </c>
      <c r="R1625" t="str">
        <f>"173-71-044"</f>
        <v>173-71-044</v>
      </c>
      <c r="S1625" t="s">
        <v>11098</v>
      </c>
      <c r="U1625">
        <v>2094</v>
      </c>
      <c r="V1625">
        <v>0</v>
      </c>
      <c r="W1625">
        <v>2</v>
      </c>
      <c r="X1625">
        <v>1962</v>
      </c>
      <c r="Z1625">
        <v>1</v>
      </c>
      <c r="AB1625">
        <v>0</v>
      </c>
      <c r="AC1625" t="s">
        <v>115</v>
      </c>
      <c r="AD1625">
        <v>2</v>
      </c>
      <c r="AE1625" t="s">
        <v>115</v>
      </c>
      <c r="AF1625">
        <v>0</v>
      </c>
      <c r="AG1625">
        <v>0</v>
      </c>
      <c r="AH1625" t="s">
        <v>116</v>
      </c>
      <c r="AI1625" s="1">
        <v>111791</v>
      </c>
      <c r="AJ1625" s="2">
        <v>0.24</v>
      </c>
      <c r="AK1625" s="1">
        <v>471716</v>
      </c>
      <c r="AL1625" t="s">
        <v>117</v>
      </c>
      <c r="AM1625" t="s">
        <v>393</v>
      </c>
      <c r="AN1625">
        <v>10038</v>
      </c>
      <c r="AO1625">
        <v>0.23</v>
      </c>
      <c r="AP1625">
        <v>1</v>
      </c>
      <c r="AR1625">
        <v>1</v>
      </c>
      <c r="AS1625" s="1">
        <v>32570</v>
      </c>
      <c r="AT1625" s="1">
        <v>6510</v>
      </c>
      <c r="AU1625" s="1">
        <v>26060</v>
      </c>
      <c r="AV1625">
        <v>80.010000000000005</v>
      </c>
      <c r="AX1625" s="1">
        <v>1795.9</v>
      </c>
      <c r="AY1625" t="s">
        <v>11099</v>
      </c>
      <c r="AZ1625" t="s">
        <v>6975</v>
      </c>
      <c r="BA1625" t="s">
        <v>6976</v>
      </c>
      <c r="BE1625" s="3">
        <v>41722</v>
      </c>
      <c r="BF1625" s="1">
        <v>350000</v>
      </c>
      <c r="BG1625" t="s">
        <v>11100</v>
      </c>
      <c r="BH1625" s="1">
        <v>167.14</v>
      </c>
      <c r="BI1625" s="1">
        <v>359925</v>
      </c>
      <c r="BJ1625" s="3">
        <v>41722</v>
      </c>
      <c r="BK1625" t="s">
        <v>123</v>
      </c>
      <c r="BL1625" t="str">
        <f>"2014.184431"</f>
        <v>2014.184431</v>
      </c>
      <c r="BM1625" t="s">
        <v>724</v>
      </c>
      <c r="BO1625" t="s">
        <v>11101</v>
      </c>
      <c r="BS1625">
        <v>15</v>
      </c>
      <c r="BW1625" t="str">
        <f>""</f>
        <v/>
      </c>
      <c r="CH1625" t="str">
        <f>""</f>
        <v/>
      </c>
      <c r="CS1625" t="str">
        <f>""</f>
        <v/>
      </c>
    </row>
    <row r="1626" spans="1:97" x14ac:dyDescent="0.25">
      <c r="A1626" t="s">
        <v>11102</v>
      </c>
      <c r="B1626" t="s">
        <v>11103</v>
      </c>
      <c r="C1626" t="s">
        <v>3282</v>
      </c>
      <c r="D1626" t="s">
        <v>11103</v>
      </c>
      <c r="E1626" t="s">
        <v>11104</v>
      </c>
      <c r="F1626" t="s">
        <v>108</v>
      </c>
      <c r="H1626" t="s">
        <v>11105</v>
      </c>
      <c r="I1626" t="s">
        <v>632</v>
      </c>
      <c r="J1626" t="s">
        <v>111</v>
      </c>
      <c r="K1626" t="str">
        <f>"85388"</f>
        <v>85388</v>
      </c>
      <c r="L1626" t="s">
        <v>3094</v>
      </c>
      <c r="M1626" t="s">
        <v>11105</v>
      </c>
      <c r="N1626" t="s">
        <v>632</v>
      </c>
      <c r="O1626" t="s">
        <v>111</v>
      </c>
      <c r="P1626" t="str">
        <f>"85388-7520"</f>
        <v>85388-7520</v>
      </c>
      <c r="Q1626" t="s">
        <v>113</v>
      </c>
      <c r="R1626" t="str">
        <f>"502-88-280"</f>
        <v>502-88-280</v>
      </c>
      <c r="S1626" t="s">
        <v>11106</v>
      </c>
      <c r="T1626" t="s">
        <v>11107</v>
      </c>
      <c r="U1626">
        <v>2453</v>
      </c>
      <c r="V1626">
        <v>0</v>
      </c>
      <c r="W1626">
        <v>4</v>
      </c>
      <c r="X1626">
        <v>2005</v>
      </c>
      <c r="Z1626">
        <v>2</v>
      </c>
      <c r="AA1626" t="s">
        <v>26</v>
      </c>
      <c r="AB1626">
        <v>0</v>
      </c>
      <c r="AC1626" t="s">
        <v>115</v>
      </c>
      <c r="AD1626">
        <v>2</v>
      </c>
      <c r="AE1626" t="s">
        <v>115</v>
      </c>
      <c r="AF1626">
        <v>0</v>
      </c>
      <c r="AG1626">
        <v>0</v>
      </c>
      <c r="AH1626" t="s">
        <v>116</v>
      </c>
      <c r="AI1626" s="1">
        <v>58074</v>
      </c>
      <c r="AJ1626" s="2">
        <v>0.19</v>
      </c>
      <c r="AK1626" s="1">
        <v>303294</v>
      </c>
      <c r="AL1626" t="s">
        <v>117</v>
      </c>
      <c r="AM1626" t="s">
        <v>118</v>
      </c>
      <c r="AN1626">
        <v>6380</v>
      </c>
      <c r="AO1626">
        <v>0.15</v>
      </c>
      <c r="AP1626">
        <v>1</v>
      </c>
      <c r="AR1626">
        <v>1</v>
      </c>
      <c r="AS1626" s="1">
        <v>21050</v>
      </c>
      <c r="AT1626" s="1">
        <v>4210</v>
      </c>
      <c r="AU1626" s="1">
        <v>16840</v>
      </c>
      <c r="AV1626">
        <v>80</v>
      </c>
      <c r="AX1626" s="1">
        <v>1657.3</v>
      </c>
      <c r="AY1626" t="s">
        <v>6262</v>
      </c>
      <c r="AZ1626" t="s">
        <v>6262</v>
      </c>
      <c r="BA1626" t="s">
        <v>5061</v>
      </c>
      <c r="BE1626" s="3">
        <v>42521</v>
      </c>
      <c r="BF1626" s="1">
        <v>238500</v>
      </c>
      <c r="BG1626" t="s">
        <v>11108</v>
      </c>
      <c r="BH1626" s="1">
        <v>97.23</v>
      </c>
      <c r="BI1626" s="1">
        <v>245220</v>
      </c>
      <c r="BJ1626" s="3">
        <v>42767</v>
      </c>
      <c r="BK1626" t="s">
        <v>123</v>
      </c>
      <c r="BL1626" t="str">
        <f>"2017.78656"</f>
        <v>2017.78656</v>
      </c>
      <c r="BM1626" t="s">
        <v>425</v>
      </c>
      <c r="BO1626" t="s">
        <v>11109</v>
      </c>
      <c r="BS1626">
        <v>30</v>
      </c>
      <c r="BW1626" t="str">
        <f>""</f>
        <v/>
      </c>
      <c r="CH1626" t="str">
        <f>""</f>
        <v/>
      </c>
      <c r="CS1626" t="str">
        <f>""</f>
        <v/>
      </c>
    </row>
    <row r="1627" spans="1:97" x14ac:dyDescent="0.25">
      <c r="A1627" t="s">
        <v>2402</v>
      </c>
      <c r="B1627" t="s">
        <v>2894</v>
      </c>
      <c r="E1627" t="s">
        <v>11110</v>
      </c>
      <c r="F1627" t="s">
        <v>108</v>
      </c>
      <c r="H1627" t="s">
        <v>11111</v>
      </c>
      <c r="I1627" t="s">
        <v>225</v>
      </c>
      <c r="J1627" t="s">
        <v>111</v>
      </c>
      <c r="K1627" t="str">
        <f>"85206"</f>
        <v>85206</v>
      </c>
      <c r="L1627" t="s">
        <v>6169</v>
      </c>
      <c r="M1627" t="s">
        <v>11111</v>
      </c>
      <c r="N1627" t="s">
        <v>225</v>
      </c>
      <c r="O1627" t="s">
        <v>111</v>
      </c>
      <c r="P1627" t="str">
        <f>"85206-5825"</f>
        <v>85206-5825</v>
      </c>
      <c r="Q1627" t="s">
        <v>113</v>
      </c>
      <c r="R1627" t="str">
        <f>"141-94-032"</f>
        <v>141-94-032</v>
      </c>
      <c r="S1627" t="s">
        <v>11112</v>
      </c>
      <c r="U1627">
        <v>1945</v>
      </c>
      <c r="V1627">
        <v>0</v>
      </c>
      <c r="W1627">
        <v>2</v>
      </c>
      <c r="X1627">
        <v>1998</v>
      </c>
      <c r="Z1627">
        <v>1</v>
      </c>
      <c r="AB1627">
        <v>0</v>
      </c>
      <c r="AC1627" t="s">
        <v>115</v>
      </c>
      <c r="AD1627">
        <v>2</v>
      </c>
      <c r="AE1627" t="s">
        <v>115</v>
      </c>
      <c r="AF1627">
        <v>0</v>
      </c>
      <c r="AG1627">
        <v>0</v>
      </c>
      <c r="AH1627" t="s">
        <v>116</v>
      </c>
      <c r="AI1627" s="1">
        <v>45020</v>
      </c>
      <c r="AJ1627" s="2">
        <v>0.15</v>
      </c>
      <c r="AK1627" s="1">
        <v>301521</v>
      </c>
      <c r="AL1627" t="s">
        <v>117</v>
      </c>
      <c r="AM1627" t="s">
        <v>393</v>
      </c>
      <c r="AN1627">
        <v>8457</v>
      </c>
      <c r="AO1627">
        <v>0.19</v>
      </c>
      <c r="AP1627">
        <v>1</v>
      </c>
      <c r="AR1627">
        <v>1</v>
      </c>
      <c r="AS1627" s="1">
        <v>19680</v>
      </c>
      <c r="AT1627" s="1">
        <v>3930</v>
      </c>
      <c r="AU1627" s="1">
        <v>15750</v>
      </c>
      <c r="AV1627">
        <v>80.03</v>
      </c>
      <c r="AX1627" s="1">
        <v>1660.36</v>
      </c>
      <c r="AY1627" t="s">
        <v>230</v>
      </c>
      <c r="AZ1627" t="s">
        <v>5158</v>
      </c>
      <c r="BA1627" t="s">
        <v>5159</v>
      </c>
      <c r="BE1627" s="3">
        <v>42284</v>
      </c>
      <c r="BF1627" s="1">
        <v>239999</v>
      </c>
      <c r="BG1627" t="s">
        <v>11113</v>
      </c>
      <c r="BH1627" s="1">
        <v>123.39</v>
      </c>
      <c r="BI1627" s="1">
        <v>256501</v>
      </c>
      <c r="BJ1627" s="3">
        <v>42962</v>
      </c>
      <c r="BK1627" t="s">
        <v>123</v>
      </c>
      <c r="BL1627" t="str">
        <f>"2017.598569"</f>
        <v>2017.598569</v>
      </c>
      <c r="BM1627" t="s">
        <v>361</v>
      </c>
      <c r="BO1627" t="s">
        <v>11114</v>
      </c>
      <c r="BS1627">
        <v>30</v>
      </c>
      <c r="BW1627" t="str">
        <f>""</f>
        <v/>
      </c>
      <c r="CH1627" t="str">
        <f>""</f>
        <v/>
      </c>
      <c r="CS1627" t="str">
        <f>""</f>
        <v/>
      </c>
    </row>
    <row r="1628" spans="1:97" x14ac:dyDescent="0.25">
      <c r="A1628" t="s">
        <v>2915</v>
      </c>
      <c r="B1628" t="s">
        <v>4306</v>
      </c>
      <c r="E1628" t="s">
        <v>11115</v>
      </c>
      <c r="F1628" t="s">
        <v>108</v>
      </c>
      <c r="H1628" t="s">
        <v>11116</v>
      </c>
      <c r="I1628" t="s">
        <v>499</v>
      </c>
      <c r="J1628" t="s">
        <v>111</v>
      </c>
      <c r="K1628" t="str">
        <f>"85338"</f>
        <v>85338</v>
      </c>
      <c r="L1628" t="s">
        <v>5239</v>
      </c>
      <c r="M1628" t="s">
        <v>11116</v>
      </c>
      <c r="N1628" t="s">
        <v>499</v>
      </c>
      <c r="O1628" t="s">
        <v>111</v>
      </c>
      <c r="P1628" t="str">
        <f>"85338-2894"</f>
        <v>85338-2894</v>
      </c>
      <c r="Q1628" t="s">
        <v>113</v>
      </c>
      <c r="R1628" t="str">
        <f>"500-05-686"</f>
        <v>500-05-686</v>
      </c>
      <c r="S1628" t="s">
        <v>11117</v>
      </c>
      <c r="U1628">
        <v>1862</v>
      </c>
      <c r="V1628">
        <v>0</v>
      </c>
      <c r="W1628">
        <v>3</v>
      </c>
      <c r="X1628">
        <v>1999</v>
      </c>
      <c r="Z1628">
        <v>2</v>
      </c>
      <c r="AA1628" t="s">
        <v>26</v>
      </c>
      <c r="AB1628">
        <v>0</v>
      </c>
      <c r="AC1628" t="s">
        <v>115</v>
      </c>
      <c r="AD1628">
        <v>3</v>
      </c>
      <c r="AE1628" t="s">
        <v>115</v>
      </c>
      <c r="AF1628">
        <v>0</v>
      </c>
      <c r="AG1628">
        <v>0</v>
      </c>
      <c r="AH1628" t="s">
        <v>116</v>
      </c>
      <c r="AI1628" s="1">
        <v>12240</v>
      </c>
      <c r="AJ1628" s="2">
        <v>0.05</v>
      </c>
      <c r="AK1628" s="1">
        <v>247240</v>
      </c>
      <c r="AL1628" t="s">
        <v>117</v>
      </c>
      <c r="AM1628" t="s">
        <v>118</v>
      </c>
      <c r="AN1628">
        <v>7220</v>
      </c>
      <c r="AO1628">
        <v>0.17</v>
      </c>
      <c r="AP1628">
        <v>1</v>
      </c>
      <c r="AR1628">
        <v>1</v>
      </c>
      <c r="AS1628" s="1">
        <v>17420</v>
      </c>
      <c r="AT1628" s="1">
        <v>3480</v>
      </c>
      <c r="AU1628" s="1">
        <v>13940</v>
      </c>
      <c r="AV1628">
        <v>80.02</v>
      </c>
      <c r="AX1628" s="1">
        <v>1506.72</v>
      </c>
      <c r="AY1628" t="s">
        <v>11118</v>
      </c>
      <c r="AZ1628" t="s">
        <v>11118</v>
      </c>
      <c r="BA1628" t="s">
        <v>7186</v>
      </c>
      <c r="BB1628" s="3">
        <v>43620</v>
      </c>
      <c r="BC1628" s="1">
        <v>0</v>
      </c>
      <c r="BD1628" t="s">
        <v>247</v>
      </c>
      <c r="BE1628" s="3">
        <v>42045</v>
      </c>
      <c r="BF1628" s="1">
        <v>160000</v>
      </c>
      <c r="BG1628" t="s">
        <v>11119</v>
      </c>
      <c r="BH1628" s="1">
        <v>85.93</v>
      </c>
      <c r="BI1628" s="1">
        <v>235000</v>
      </c>
      <c r="BJ1628" s="3">
        <v>43620</v>
      </c>
      <c r="BK1628" t="s">
        <v>123</v>
      </c>
      <c r="BL1628" t="str">
        <f>"2019.411306"</f>
        <v>2019.411306</v>
      </c>
      <c r="BM1628" t="s">
        <v>248</v>
      </c>
      <c r="BN1628" t="s">
        <v>249</v>
      </c>
      <c r="BO1628" t="s">
        <v>11120</v>
      </c>
      <c r="BR1628" t="s">
        <v>139</v>
      </c>
      <c r="BW1628" t="str">
        <f>""</f>
        <v/>
      </c>
      <c r="CH1628" t="str">
        <f>""</f>
        <v/>
      </c>
      <c r="CS1628" t="str">
        <f>""</f>
        <v/>
      </c>
    </row>
    <row r="1629" spans="1:97" x14ac:dyDescent="0.25">
      <c r="A1629" t="s">
        <v>11121</v>
      </c>
      <c r="B1629" t="s">
        <v>11122</v>
      </c>
      <c r="C1629" t="s">
        <v>1769</v>
      </c>
      <c r="D1629" t="s">
        <v>11122</v>
      </c>
      <c r="E1629" t="s">
        <v>11123</v>
      </c>
      <c r="F1629" t="s">
        <v>108</v>
      </c>
      <c r="H1629" t="s">
        <v>11124</v>
      </c>
      <c r="I1629" t="s">
        <v>632</v>
      </c>
      <c r="J1629" t="s">
        <v>111</v>
      </c>
      <c r="K1629" t="str">
        <f>"85379"</f>
        <v>85379</v>
      </c>
      <c r="L1629" t="s">
        <v>454</v>
      </c>
      <c r="M1629" t="s">
        <v>11124</v>
      </c>
      <c r="N1629" t="s">
        <v>632</v>
      </c>
      <c r="O1629" t="s">
        <v>111</v>
      </c>
      <c r="P1629" t="str">
        <f>"85379-1015"</f>
        <v>85379-1015</v>
      </c>
      <c r="Q1629" t="s">
        <v>113</v>
      </c>
      <c r="R1629" t="str">
        <f>"501-46-519"</f>
        <v>501-46-519</v>
      </c>
      <c r="S1629" t="s">
        <v>5319</v>
      </c>
      <c r="U1629">
        <v>2949</v>
      </c>
      <c r="V1629">
        <v>0</v>
      </c>
      <c r="W1629">
        <v>4</v>
      </c>
      <c r="X1629">
        <v>2015</v>
      </c>
      <c r="Z1629">
        <v>2</v>
      </c>
      <c r="AB1629">
        <v>0</v>
      </c>
      <c r="AC1629" t="s">
        <v>115</v>
      </c>
      <c r="AD1629">
        <v>2</v>
      </c>
      <c r="AE1629" t="s">
        <v>115</v>
      </c>
      <c r="AF1629">
        <v>0</v>
      </c>
      <c r="AG1629">
        <v>0</v>
      </c>
      <c r="AH1629" t="s">
        <v>116</v>
      </c>
      <c r="AI1629" s="1">
        <v>49100</v>
      </c>
      <c r="AJ1629" s="2">
        <v>0.14000000000000001</v>
      </c>
      <c r="AK1629" s="1">
        <v>340670</v>
      </c>
      <c r="AL1629" t="s">
        <v>117</v>
      </c>
      <c r="AM1629" t="s">
        <v>118</v>
      </c>
      <c r="AN1629">
        <v>6670</v>
      </c>
      <c r="AO1629">
        <v>0.15</v>
      </c>
      <c r="AR1629">
        <v>1</v>
      </c>
      <c r="AS1629" s="1">
        <v>23350</v>
      </c>
      <c r="AT1629" s="1">
        <v>4670</v>
      </c>
      <c r="AU1629" s="1">
        <v>18680</v>
      </c>
      <c r="AV1629">
        <v>80</v>
      </c>
      <c r="AX1629" s="1">
        <v>1902.14</v>
      </c>
      <c r="AY1629" t="s">
        <v>5060</v>
      </c>
      <c r="AZ1629" t="s">
        <v>5060</v>
      </c>
      <c r="BA1629" t="s">
        <v>5061</v>
      </c>
      <c r="BE1629" s="3">
        <v>42152</v>
      </c>
      <c r="BF1629" s="1">
        <v>291570</v>
      </c>
      <c r="BG1629" t="s">
        <v>158</v>
      </c>
      <c r="BH1629" s="1">
        <v>98.87</v>
      </c>
      <c r="BI1629" s="1">
        <v>291570</v>
      </c>
      <c r="BJ1629" s="3">
        <v>42152</v>
      </c>
      <c r="BK1629" t="s">
        <v>123</v>
      </c>
      <c r="BL1629" t="str">
        <f>"2015.377851"</f>
        <v>2015.377851</v>
      </c>
      <c r="BM1629" t="s">
        <v>241</v>
      </c>
      <c r="BO1629" t="s">
        <v>11125</v>
      </c>
      <c r="BS1629">
        <v>30</v>
      </c>
      <c r="BW1629" t="str">
        <f>""</f>
        <v/>
      </c>
      <c r="CH1629" t="str">
        <f>""</f>
        <v/>
      </c>
      <c r="CS1629" t="str">
        <f>""</f>
        <v/>
      </c>
    </row>
    <row r="1630" spans="1:97" x14ac:dyDescent="0.25">
      <c r="B1630" t="s">
        <v>11126</v>
      </c>
      <c r="C1630" t="s">
        <v>11127</v>
      </c>
      <c r="E1630" t="s">
        <v>11128</v>
      </c>
      <c r="F1630" t="s">
        <v>108</v>
      </c>
      <c r="H1630" t="s">
        <v>11129</v>
      </c>
      <c r="I1630" t="s">
        <v>5551</v>
      </c>
      <c r="J1630" t="s">
        <v>111</v>
      </c>
      <c r="K1630" t="str">
        <f>"85248"</f>
        <v>85248</v>
      </c>
      <c r="L1630" t="s">
        <v>3151</v>
      </c>
      <c r="M1630" t="s">
        <v>11129</v>
      </c>
      <c r="N1630" t="s">
        <v>5551</v>
      </c>
      <c r="O1630" t="s">
        <v>111</v>
      </c>
      <c r="P1630" t="str">
        <f>"85248-6891"</f>
        <v>85248-6891</v>
      </c>
      <c r="Q1630" t="s">
        <v>113</v>
      </c>
      <c r="R1630" t="str">
        <f>"303-59-531"</f>
        <v>303-59-531</v>
      </c>
      <c r="S1630" t="s">
        <v>11130</v>
      </c>
      <c r="U1630">
        <v>1948</v>
      </c>
      <c r="V1630">
        <v>0</v>
      </c>
      <c r="W1630">
        <v>3</v>
      </c>
      <c r="X1630">
        <v>1984</v>
      </c>
      <c r="Z1630">
        <v>1</v>
      </c>
      <c r="AB1630">
        <v>0</v>
      </c>
      <c r="AC1630" t="s">
        <v>115</v>
      </c>
      <c r="AD1630">
        <v>2</v>
      </c>
      <c r="AE1630" t="s">
        <v>115</v>
      </c>
      <c r="AF1630">
        <v>0</v>
      </c>
      <c r="AG1630">
        <v>0</v>
      </c>
      <c r="AH1630" t="s">
        <v>116</v>
      </c>
      <c r="AI1630" s="1">
        <v>49347</v>
      </c>
      <c r="AJ1630" s="2">
        <v>0.13</v>
      </c>
      <c r="AK1630" s="1">
        <v>369577</v>
      </c>
      <c r="AL1630" t="s">
        <v>117</v>
      </c>
      <c r="AM1630" t="s">
        <v>191</v>
      </c>
      <c r="AN1630">
        <v>5789</v>
      </c>
      <c r="AO1630">
        <v>0.13</v>
      </c>
      <c r="AP1630">
        <v>1</v>
      </c>
      <c r="AR1630">
        <v>1</v>
      </c>
      <c r="AS1630" s="1">
        <v>26180</v>
      </c>
      <c r="AT1630" s="1">
        <v>5230</v>
      </c>
      <c r="AU1630" s="1">
        <v>20950</v>
      </c>
      <c r="AV1630">
        <v>80.02</v>
      </c>
      <c r="AX1630" s="1">
        <v>2964.9</v>
      </c>
      <c r="AY1630" t="s">
        <v>1881</v>
      </c>
      <c r="AZ1630" t="s">
        <v>1882</v>
      </c>
      <c r="BA1630" t="s">
        <v>121</v>
      </c>
      <c r="BB1630" s="3">
        <v>43537</v>
      </c>
      <c r="BC1630" s="1">
        <v>0</v>
      </c>
      <c r="BD1630" t="s">
        <v>247</v>
      </c>
      <c r="BE1630" s="3">
        <v>42488</v>
      </c>
      <c r="BF1630" s="1">
        <v>310000</v>
      </c>
      <c r="BG1630" t="s">
        <v>11131</v>
      </c>
      <c r="BH1630" s="1">
        <v>159.13999999999999</v>
      </c>
      <c r="BI1630" s="1">
        <v>320230</v>
      </c>
      <c r="BJ1630" s="3">
        <v>42488</v>
      </c>
      <c r="BK1630" t="s">
        <v>123</v>
      </c>
      <c r="BL1630" t="str">
        <f>"2016.285885"</f>
        <v>2016.285885</v>
      </c>
      <c r="BM1630" t="s">
        <v>2489</v>
      </c>
      <c r="BN1630" t="s">
        <v>4819</v>
      </c>
      <c r="BO1630" t="s">
        <v>11132</v>
      </c>
      <c r="BS1630">
        <v>30</v>
      </c>
      <c r="BW1630" t="str">
        <f>""</f>
        <v/>
      </c>
      <c r="CH1630" t="str">
        <f>""</f>
        <v/>
      </c>
      <c r="CS1630" t="str">
        <f>""</f>
        <v/>
      </c>
    </row>
    <row r="1631" spans="1:97" x14ac:dyDescent="0.25">
      <c r="A1631" t="s">
        <v>11133</v>
      </c>
      <c r="B1631" t="s">
        <v>1144</v>
      </c>
      <c r="E1631" t="s">
        <v>11134</v>
      </c>
      <c r="F1631" t="s">
        <v>108</v>
      </c>
      <c r="H1631" t="s">
        <v>11135</v>
      </c>
      <c r="I1631" t="s">
        <v>390</v>
      </c>
      <c r="J1631" t="s">
        <v>111</v>
      </c>
      <c r="K1631" t="str">
        <f>"85042"</f>
        <v>85042</v>
      </c>
      <c r="L1631" t="s">
        <v>11136</v>
      </c>
      <c r="M1631" t="s">
        <v>11135</v>
      </c>
      <c r="N1631" t="s">
        <v>390</v>
      </c>
      <c r="O1631" t="s">
        <v>111</v>
      </c>
      <c r="P1631" t="str">
        <f>"85042-6879"</f>
        <v>85042-6879</v>
      </c>
      <c r="Q1631" t="s">
        <v>113</v>
      </c>
      <c r="R1631" t="str">
        <f>"301-33-302"</f>
        <v>301-33-302</v>
      </c>
      <c r="S1631" t="s">
        <v>11137</v>
      </c>
      <c r="T1631" t="s">
        <v>11137</v>
      </c>
      <c r="U1631">
        <v>2169</v>
      </c>
      <c r="V1631">
        <v>0</v>
      </c>
      <c r="W1631">
        <v>3</v>
      </c>
      <c r="X1631">
        <v>2003</v>
      </c>
      <c r="Z1631">
        <v>1</v>
      </c>
      <c r="AA1631" t="s">
        <v>26</v>
      </c>
      <c r="AB1631">
        <v>0</v>
      </c>
      <c r="AC1631" t="s">
        <v>115</v>
      </c>
      <c r="AD1631">
        <v>3</v>
      </c>
      <c r="AE1631" t="s">
        <v>115</v>
      </c>
      <c r="AF1631">
        <v>0</v>
      </c>
      <c r="AG1631">
        <v>0</v>
      </c>
      <c r="AH1631" t="s">
        <v>116</v>
      </c>
      <c r="AI1631" s="1">
        <v>49779</v>
      </c>
      <c r="AJ1631" s="2">
        <v>0.14000000000000001</v>
      </c>
      <c r="AK1631" s="1">
        <v>348935</v>
      </c>
      <c r="AL1631" t="s">
        <v>117</v>
      </c>
      <c r="AM1631" t="s">
        <v>1302</v>
      </c>
      <c r="AN1631">
        <v>8675</v>
      </c>
      <c r="AO1631">
        <v>0.2</v>
      </c>
      <c r="AP1631">
        <v>1</v>
      </c>
      <c r="AR1631">
        <v>1</v>
      </c>
      <c r="AS1631" s="1">
        <v>24320</v>
      </c>
      <c r="AT1631" s="1">
        <v>4860</v>
      </c>
      <c r="AU1631" s="1">
        <v>19460</v>
      </c>
      <c r="AV1631">
        <v>80.02</v>
      </c>
      <c r="AX1631" s="1">
        <v>3194.12</v>
      </c>
      <c r="AY1631" t="s">
        <v>6115</v>
      </c>
      <c r="AZ1631" t="s">
        <v>6115</v>
      </c>
      <c r="BA1631" t="s">
        <v>2860</v>
      </c>
      <c r="BE1631" s="3">
        <v>42062</v>
      </c>
      <c r="BF1631" s="1">
        <v>289800</v>
      </c>
      <c r="BG1631" t="s">
        <v>11138</v>
      </c>
      <c r="BH1631" s="1">
        <v>133.61000000000001</v>
      </c>
      <c r="BI1631" s="1">
        <v>299156</v>
      </c>
      <c r="BJ1631" s="3">
        <v>42062</v>
      </c>
      <c r="BK1631" t="s">
        <v>123</v>
      </c>
      <c r="BL1631" t="str">
        <f>"2015.135493"</f>
        <v>2015.135493</v>
      </c>
      <c r="BM1631" t="s">
        <v>594</v>
      </c>
      <c r="BO1631" t="s">
        <v>11139</v>
      </c>
      <c r="BS1631">
        <v>30</v>
      </c>
      <c r="BW1631" t="str">
        <f>""</f>
        <v/>
      </c>
      <c r="CH1631" t="str">
        <f>""</f>
        <v/>
      </c>
      <c r="CS1631" t="str">
        <f>""</f>
        <v/>
      </c>
    </row>
    <row r="1632" spans="1:97" x14ac:dyDescent="0.25">
      <c r="A1632" t="s">
        <v>604</v>
      </c>
      <c r="B1632" t="s">
        <v>11140</v>
      </c>
      <c r="E1632" t="s">
        <v>11141</v>
      </c>
      <c r="F1632" t="s">
        <v>108</v>
      </c>
      <c r="H1632" t="s">
        <v>11142</v>
      </c>
      <c r="I1632" t="s">
        <v>390</v>
      </c>
      <c r="J1632" t="s">
        <v>111</v>
      </c>
      <c r="K1632" t="str">
        <f>"85050"</f>
        <v>85050</v>
      </c>
      <c r="L1632" t="s">
        <v>8034</v>
      </c>
      <c r="M1632" t="s">
        <v>11142</v>
      </c>
      <c r="N1632" t="s">
        <v>390</v>
      </c>
      <c r="O1632" t="s">
        <v>111</v>
      </c>
      <c r="P1632" t="str">
        <f>"85050-6351"</f>
        <v>85050-6351</v>
      </c>
      <c r="Q1632" t="s">
        <v>113</v>
      </c>
      <c r="R1632" t="str">
        <f>"213-30-202"</f>
        <v>213-30-202</v>
      </c>
      <c r="S1632" t="s">
        <v>11143</v>
      </c>
      <c r="T1632" t="s">
        <v>11144</v>
      </c>
      <c r="U1632">
        <v>2222</v>
      </c>
      <c r="V1632">
        <v>0</v>
      </c>
      <c r="W1632">
        <v>4</v>
      </c>
      <c r="X1632">
        <v>1996</v>
      </c>
      <c r="Z1632">
        <v>2</v>
      </c>
      <c r="AB1632">
        <v>0</v>
      </c>
      <c r="AC1632" t="s">
        <v>115</v>
      </c>
      <c r="AD1632">
        <v>2</v>
      </c>
      <c r="AE1632" t="s">
        <v>115</v>
      </c>
      <c r="AF1632">
        <v>0</v>
      </c>
      <c r="AG1632">
        <v>0</v>
      </c>
      <c r="AH1632" t="s">
        <v>116</v>
      </c>
      <c r="AI1632" s="1">
        <v>82280</v>
      </c>
      <c r="AJ1632" s="2">
        <v>0.22</v>
      </c>
      <c r="AK1632" s="1">
        <v>371380</v>
      </c>
      <c r="AL1632" t="s">
        <v>117</v>
      </c>
      <c r="AM1632" t="s">
        <v>1315</v>
      </c>
      <c r="AN1632">
        <v>5357</v>
      </c>
      <c r="AO1632">
        <v>0.12</v>
      </c>
      <c r="AP1632">
        <v>1</v>
      </c>
      <c r="AR1632">
        <v>1</v>
      </c>
      <c r="AS1632" s="1">
        <v>26600</v>
      </c>
      <c r="AT1632" s="1">
        <v>5320</v>
      </c>
      <c r="AU1632" s="1">
        <v>21280</v>
      </c>
      <c r="AV1632">
        <v>80</v>
      </c>
      <c r="AX1632" s="1">
        <v>1875.4</v>
      </c>
      <c r="AY1632" t="s">
        <v>8037</v>
      </c>
      <c r="AZ1632" t="s">
        <v>2550</v>
      </c>
      <c r="BA1632" t="s">
        <v>1318</v>
      </c>
      <c r="BE1632" s="3">
        <v>42551</v>
      </c>
      <c r="BF1632" s="1">
        <v>250000</v>
      </c>
      <c r="BG1632" t="s">
        <v>11145</v>
      </c>
      <c r="BH1632" s="1">
        <v>112.51</v>
      </c>
      <c r="BI1632" s="1">
        <v>289100</v>
      </c>
      <c r="BJ1632" s="3">
        <v>43607</v>
      </c>
      <c r="BK1632" t="s">
        <v>123</v>
      </c>
      <c r="BL1632" t="str">
        <f>"2019.377717"</f>
        <v>2019.377717</v>
      </c>
      <c r="BM1632" t="s">
        <v>9590</v>
      </c>
      <c r="BN1632" t="s">
        <v>9591</v>
      </c>
      <c r="BO1632" t="s">
        <v>11146</v>
      </c>
      <c r="BR1632" t="s">
        <v>139</v>
      </c>
      <c r="BW1632" t="str">
        <f>""</f>
        <v/>
      </c>
      <c r="CH1632" t="str">
        <f>""</f>
        <v/>
      </c>
      <c r="CS1632" t="str">
        <f>""</f>
        <v/>
      </c>
    </row>
    <row r="1633" spans="1:97" x14ac:dyDescent="0.25">
      <c r="A1633" t="s">
        <v>7232</v>
      </c>
      <c r="B1633" t="s">
        <v>11147</v>
      </c>
      <c r="C1633" t="s">
        <v>933</v>
      </c>
      <c r="D1633" t="s">
        <v>11147</v>
      </c>
      <c r="E1633" t="s">
        <v>11148</v>
      </c>
      <c r="F1633" t="s">
        <v>108</v>
      </c>
      <c r="H1633" t="s">
        <v>11149</v>
      </c>
      <c r="I1633" t="s">
        <v>390</v>
      </c>
      <c r="J1633" t="s">
        <v>111</v>
      </c>
      <c r="K1633" t="str">
        <f>"85041"</f>
        <v>85041</v>
      </c>
      <c r="L1633" t="s">
        <v>375</v>
      </c>
      <c r="M1633" t="s">
        <v>11149</v>
      </c>
      <c r="N1633" t="s">
        <v>390</v>
      </c>
      <c r="O1633" t="s">
        <v>111</v>
      </c>
      <c r="P1633" t="str">
        <f>"85041-7757"</f>
        <v>85041-7757</v>
      </c>
      <c r="Q1633" t="s">
        <v>113</v>
      </c>
      <c r="R1633" t="str">
        <f>"300-17-616"</f>
        <v>300-17-616</v>
      </c>
      <c r="S1633" t="s">
        <v>11150</v>
      </c>
      <c r="T1633" t="s">
        <v>7014</v>
      </c>
      <c r="U1633">
        <v>2962</v>
      </c>
      <c r="V1633">
        <v>0</v>
      </c>
      <c r="W1633">
        <v>4</v>
      </c>
      <c r="X1633">
        <v>2007</v>
      </c>
      <c r="Z1633">
        <v>2</v>
      </c>
      <c r="AA1633" t="s">
        <v>26</v>
      </c>
      <c r="AB1633">
        <v>0</v>
      </c>
      <c r="AC1633" t="s">
        <v>115</v>
      </c>
      <c r="AD1633">
        <v>2</v>
      </c>
      <c r="AE1633" t="s">
        <v>115</v>
      </c>
      <c r="AF1633">
        <v>0</v>
      </c>
      <c r="AG1633">
        <v>0</v>
      </c>
      <c r="AH1633" t="s">
        <v>116</v>
      </c>
      <c r="AI1633" s="1">
        <v>129412</v>
      </c>
      <c r="AJ1633" s="2">
        <v>0.36</v>
      </c>
      <c r="AK1633" s="1">
        <v>358135</v>
      </c>
      <c r="AL1633" t="s">
        <v>117</v>
      </c>
      <c r="AM1633" t="s">
        <v>760</v>
      </c>
      <c r="AN1633">
        <v>7867</v>
      </c>
      <c r="AO1633">
        <v>0.18</v>
      </c>
      <c r="AR1633">
        <v>1</v>
      </c>
      <c r="AS1633" s="1">
        <v>25780</v>
      </c>
      <c r="AT1633" s="1">
        <v>5150</v>
      </c>
      <c r="AU1633" s="1">
        <v>20630</v>
      </c>
      <c r="AV1633">
        <v>80.02</v>
      </c>
      <c r="AX1633" s="1">
        <v>3659.36</v>
      </c>
      <c r="AY1633" t="s">
        <v>7015</v>
      </c>
      <c r="AZ1633" t="s">
        <v>7015</v>
      </c>
      <c r="BA1633" t="s">
        <v>1661</v>
      </c>
      <c r="BE1633" s="3">
        <v>41698</v>
      </c>
      <c r="BF1633" s="1">
        <v>251000</v>
      </c>
      <c r="BG1633" t="s">
        <v>11151</v>
      </c>
      <c r="BH1633" s="1">
        <v>84.74</v>
      </c>
      <c r="BI1633" s="1">
        <v>228723</v>
      </c>
      <c r="BJ1633" s="3">
        <v>41698</v>
      </c>
      <c r="BK1633" t="s">
        <v>123</v>
      </c>
      <c r="BL1633" t="str">
        <f>"2014.132097"</f>
        <v>2014.132097</v>
      </c>
      <c r="BM1633" t="s">
        <v>724</v>
      </c>
      <c r="BO1633" t="s">
        <v>11152</v>
      </c>
      <c r="BS1633">
        <v>30</v>
      </c>
      <c r="BW1633" t="str">
        <f>""</f>
        <v/>
      </c>
      <c r="CH1633" t="str">
        <f>""</f>
        <v/>
      </c>
      <c r="CS1633" t="str">
        <f>""</f>
        <v/>
      </c>
    </row>
    <row r="1634" spans="1:97" x14ac:dyDescent="0.25">
      <c r="A1634" t="s">
        <v>370</v>
      </c>
      <c r="B1634" t="s">
        <v>11153</v>
      </c>
      <c r="E1634" t="s">
        <v>11154</v>
      </c>
      <c r="F1634" t="s">
        <v>139</v>
      </c>
      <c r="H1634" t="s">
        <v>11155</v>
      </c>
      <c r="I1634" t="s">
        <v>1936</v>
      </c>
      <c r="J1634" t="s">
        <v>111</v>
      </c>
      <c r="K1634" t="str">
        <f>"85251"</f>
        <v>85251</v>
      </c>
      <c r="L1634" t="s">
        <v>8345</v>
      </c>
      <c r="M1634" t="s">
        <v>11156</v>
      </c>
      <c r="N1634" t="s">
        <v>1936</v>
      </c>
      <c r="O1634" t="s">
        <v>111</v>
      </c>
      <c r="P1634" t="str">
        <f>"85252-1417"</f>
        <v>85252-1417</v>
      </c>
      <c r="Q1634" t="s">
        <v>113</v>
      </c>
      <c r="R1634" t="str">
        <f>"130-15-011"</f>
        <v>130-15-011</v>
      </c>
      <c r="S1634" t="s">
        <v>11157</v>
      </c>
      <c r="T1634" t="s">
        <v>11157</v>
      </c>
      <c r="U1634">
        <v>1448</v>
      </c>
      <c r="V1634">
        <v>0</v>
      </c>
      <c r="W1634">
        <v>3</v>
      </c>
      <c r="X1634">
        <v>1956</v>
      </c>
      <c r="Z1634">
        <v>1</v>
      </c>
      <c r="AB1634">
        <v>0</v>
      </c>
      <c r="AC1634" t="s">
        <v>5188</v>
      </c>
      <c r="AD1634">
        <v>1</v>
      </c>
      <c r="AE1634" t="s">
        <v>5188</v>
      </c>
      <c r="AF1634">
        <v>0</v>
      </c>
      <c r="AG1634">
        <v>0</v>
      </c>
      <c r="AH1634" t="s">
        <v>116</v>
      </c>
      <c r="AI1634" s="1">
        <v>119845</v>
      </c>
      <c r="AJ1634" s="2">
        <v>0.3</v>
      </c>
      <c r="AK1634" s="1">
        <v>398755</v>
      </c>
      <c r="AL1634" t="s">
        <v>117</v>
      </c>
      <c r="AM1634" t="s">
        <v>393</v>
      </c>
      <c r="AN1634">
        <v>7420</v>
      </c>
      <c r="AO1634">
        <v>0.17</v>
      </c>
      <c r="AP1634">
        <v>1</v>
      </c>
      <c r="AR1634">
        <v>1</v>
      </c>
      <c r="AS1634" s="1">
        <v>26880</v>
      </c>
      <c r="AT1634" s="1">
        <v>5370</v>
      </c>
      <c r="AU1634" s="1">
        <v>21510</v>
      </c>
      <c r="AV1634">
        <v>80.02</v>
      </c>
      <c r="AX1634" s="1">
        <v>1227.06</v>
      </c>
      <c r="AY1634" t="s">
        <v>6894</v>
      </c>
      <c r="AZ1634" t="s">
        <v>6894</v>
      </c>
      <c r="BA1634" t="s">
        <v>5421</v>
      </c>
      <c r="BE1634" s="3">
        <v>41977</v>
      </c>
      <c r="BF1634" s="1">
        <v>268000</v>
      </c>
      <c r="BG1634" t="s">
        <v>11158</v>
      </c>
      <c r="BH1634" s="1">
        <v>185.08</v>
      </c>
      <c r="BI1634" s="1">
        <v>278910</v>
      </c>
      <c r="BJ1634" s="3">
        <v>41977</v>
      </c>
      <c r="BK1634" t="s">
        <v>123</v>
      </c>
      <c r="BL1634" t="str">
        <f>"2014.799804"</f>
        <v>2014.799804</v>
      </c>
      <c r="BM1634" t="s">
        <v>544</v>
      </c>
      <c r="BO1634" t="s">
        <v>11159</v>
      </c>
      <c r="BS1634">
        <v>30</v>
      </c>
      <c r="BW1634" t="str">
        <f>""</f>
        <v/>
      </c>
      <c r="CH1634" t="str">
        <f>""</f>
        <v/>
      </c>
      <c r="CS1634" t="str">
        <f>""</f>
        <v/>
      </c>
    </row>
    <row r="1635" spans="1:97" x14ac:dyDescent="0.25">
      <c r="A1635" t="s">
        <v>8440</v>
      </c>
      <c r="B1635" t="s">
        <v>11160</v>
      </c>
      <c r="C1635" t="s">
        <v>2333</v>
      </c>
      <c r="D1635" t="s">
        <v>11160</v>
      </c>
      <c r="E1635" t="s">
        <v>11161</v>
      </c>
      <c r="F1635" t="s">
        <v>108</v>
      </c>
      <c r="H1635" t="s">
        <v>11162</v>
      </c>
      <c r="I1635" t="s">
        <v>2874</v>
      </c>
      <c r="J1635" t="s">
        <v>111</v>
      </c>
      <c r="K1635" t="str">
        <f>"85301"</f>
        <v>85301</v>
      </c>
      <c r="L1635" t="s">
        <v>2875</v>
      </c>
      <c r="M1635" t="s">
        <v>11162</v>
      </c>
      <c r="N1635" t="s">
        <v>2874</v>
      </c>
      <c r="O1635" t="s">
        <v>111</v>
      </c>
      <c r="P1635" t="str">
        <f>"85301-2221"</f>
        <v>85301-2221</v>
      </c>
      <c r="Q1635" t="s">
        <v>113</v>
      </c>
      <c r="R1635" t="str">
        <f>"147-10-089-A"</f>
        <v>147-10-089-A</v>
      </c>
      <c r="S1635" t="s">
        <v>11163</v>
      </c>
      <c r="T1635" t="s">
        <v>11163</v>
      </c>
      <c r="U1635">
        <v>2197</v>
      </c>
      <c r="V1635">
        <v>0</v>
      </c>
      <c r="W1635">
        <v>2</v>
      </c>
      <c r="X1635">
        <v>1973</v>
      </c>
      <c r="Z1635">
        <v>1</v>
      </c>
      <c r="AA1635" t="s">
        <v>26</v>
      </c>
      <c r="AB1635">
        <v>0</v>
      </c>
      <c r="AC1635" t="s">
        <v>115</v>
      </c>
      <c r="AD1635">
        <v>3</v>
      </c>
      <c r="AE1635" t="s">
        <v>115</v>
      </c>
      <c r="AF1635">
        <v>0</v>
      </c>
      <c r="AG1635">
        <v>0</v>
      </c>
      <c r="AH1635" t="s">
        <v>116</v>
      </c>
      <c r="AI1635" s="1">
        <v>39843</v>
      </c>
      <c r="AJ1635" s="2">
        <v>0.13</v>
      </c>
      <c r="AK1635" s="1">
        <v>304843</v>
      </c>
      <c r="AL1635" t="s">
        <v>117</v>
      </c>
      <c r="AM1635" t="s">
        <v>191</v>
      </c>
      <c r="AN1635">
        <v>13059</v>
      </c>
      <c r="AO1635">
        <v>0.3</v>
      </c>
      <c r="AP1635">
        <v>1</v>
      </c>
      <c r="AR1635">
        <v>1</v>
      </c>
      <c r="AS1635" s="1">
        <v>19330</v>
      </c>
      <c r="AT1635" s="1">
        <v>3860</v>
      </c>
      <c r="AU1635" s="1">
        <v>15470</v>
      </c>
      <c r="AV1635">
        <v>80.03</v>
      </c>
      <c r="AX1635" s="1">
        <v>1674.2</v>
      </c>
      <c r="AY1635" t="s">
        <v>11164</v>
      </c>
      <c r="AZ1635" t="s">
        <v>11164</v>
      </c>
      <c r="BA1635" t="s">
        <v>6987</v>
      </c>
      <c r="BE1635" s="3">
        <v>42403</v>
      </c>
      <c r="BF1635" s="1">
        <v>265000</v>
      </c>
      <c r="BG1635" t="s">
        <v>11165</v>
      </c>
      <c r="BH1635" s="1">
        <v>94.21</v>
      </c>
      <c r="BI1635" s="1">
        <v>265000</v>
      </c>
      <c r="BJ1635" s="3">
        <v>42403</v>
      </c>
      <c r="BK1635" t="s">
        <v>123</v>
      </c>
      <c r="BL1635" t="str">
        <f>"2016.70688"</f>
        <v>2016.70688</v>
      </c>
      <c r="BM1635" t="s">
        <v>1760</v>
      </c>
      <c r="BO1635" t="s">
        <v>11166</v>
      </c>
      <c r="BS1635">
        <v>30</v>
      </c>
      <c r="BW1635" t="str">
        <f>""</f>
        <v/>
      </c>
      <c r="CH1635" t="str">
        <f>""</f>
        <v/>
      </c>
      <c r="CS1635" t="str">
        <f>""</f>
        <v/>
      </c>
    </row>
    <row r="1636" spans="1:97" x14ac:dyDescent="0.25">
      <c r="A1636" t="s">
        <v>370</v>
      </c>
      <c r="B1636" t="s">
        <v>11167</v>
      </c>
      <c r="E1636" t="s">
        <v>11168</v>
      </c>
      <c r="F1636" t="s">
        <v>108</v>
      </c>
      <c r="H1636" t="s">
        <v>11169</v>
      </c>
      <c r="I1636" t="s">
        <v>144</v>
      </c>
      <c r="J1636" t="s">
        <v>111</v>
      </c>
      <c r="K1636" t="str">
        <f>"85326"</f>
        <v>85326</v>
      </c>
      <c r="L1636" t="s">
        <v>7607</v>
      </c>
      <c r="M1636" t="s">
        <v>11169</v>
      </c>
      <c r="N1636" t="s">
        <v>144</v>
      </c>
      <c r="O1636" t="s">
        <v>111</v>
      </c>
      <c r="P1636" t="str">
        <f>"85326-9022"</f>
        <v>85326-9022</v>
      </c>
      <c r="Q1636" t="s">
        <v>113</v>
      </c>
      <c r="R1636" t="str">
        <f>"504-61-066"</f>
        <v>504-61-066</v>
      </c>
      <c r="S1636" t="s">
        <v>8443</v>
      </c>
      <c r="U1636">
        <v>2228</v>
      </c>
      <c r="V1636">
        <v>0</v>
      </c>
      <c r="W1636">
        <v>3</v>
      </c>
      <c r="X1636">
        <v>2014</v>
      </c>
      <c r="Z1636">
        <v>1</v>
      </c>
      <c r="AB1636">
        <v>0</v>
      </c>
      <c r="AC1636" t="s">
        <v>115</v>
      </c>
      <c r="AD1636">
        <v>2</v>
      </c>
      <c r="AE1636" t="s">
        <v>115</v>
      </c>
      <c r="AF1636">
        <v>0</v>
      </c>
      <c r="AG1636">
        <v>0</v>
      </c>
      <c r="AH1636" t="s">
        <v>116</v>
      </c>
      <c r="AI1636" s="1">
        <v>88989</v>
      </c>
      <c r="AJ1636" s="2">
        <v>0.31</v>
      </c>
      <c r="AK1636" s="1">
        <v>289384</v>
      </c>
      <c r="AL1636" t="s">
        <v>117</v>
      </c>
      <c r="AM1636" t="s">
        <v>118</v>
      </c>
      <c r="AN1636">
        <v>9284</v>
      </c>
      <c r="AO1636">
        <v>0.21</v>
      </c>
      <c r="AR1636">
        <v>1</v>
      </c>
      <c r="AS1636" s="1">
        <v>21260</v>
      </c>
      <c r="AT1636" s="1">
        <v>4250</v>
      </c>
      <c r="AU1636" s="1">
        <v>17010</v>
      </c>
      <c r="AV1636">
        <v>80.010000000000005</v>
      </c>
      <c r="AX1636" s="1">
        <v>1814</v>
      </c>
      <c r="AY1636" t="s">
        <v>8444</v>
      </c>
      <c r="AZ1636" t="s">
        <v>8444</v>
      </c>
      <c r="BA1636" t="s">
        <v>5025</v>
      </c>
      <c r="BE1636" s="3">
        <v>41876</v>
      </c>
      <c r="BF1636" s="1">
        <v>200395</v>
      </c>
      <c r="BG1636" t="s">
        <v>1404</v>
      </c>
      <c r="BH1636" s="1">
        <v>89.94</v>
      </c>
      <c r="BI1636" s="1">
        <v>200395</v>
      </c>
      <c r="BJ1636" s="3">
        <v>41876</v>
      </c>
      <c r="BK1636" t="s">
        <v>123</v>
      </c>
      <c r="BL1636" t="str">
        <f>"2014.563512"</f>
        <v>2014.563512</v>
      </c>
      <c r="BM1636" t="s">
        <v>3294</v>
      </c>
      <c r="BO1636" t="s">
        <v>11170</v>
      </c>
      <c r="BS1636">
        <v>30</v>
      </c>
      <c r="BW1636" t="str">
        <f>""</f>
        <v/>
      </c>
      <c r="CH1636" t="str">
        <f>""</f>
        <v/>
      </c>
      <c r="CS1636" t="str">
        <f>""</f>
        <v/>
      </c>
    </row>
    <row r="1637" spans="1:97" x14ac:dyDescent="0.25">
      <c r="A1637" t="s">
        <v>11171</v>
      </c>
      <c r="B1637" t="s">
        <v>11172</v>
      </c>
      <c r="E1637" t="s">
        <v>11173</v>
      </c>
      <c r="F1637" t="s">
        <v>108</v>
      </c>
      <c r="H1637" t="s">
        <v>11174</v>
      </c>
      <c r="I1637" t="s">
        <v>499</v>
      </c>
      <c r="J1637" t="s">
        <v>111</v>
      </c>
      <c r="K1637" t="str">
        <f>"85338"</f>
        <v>85338</v>
      </c>
      <c r="L1637" t="s">
        <v>11175</v>
      </c>
      <c r="M1637" t="s">
        <v>11174</v>
      </c>
      <c r="N1637" t="s">
        <v>499</v>
      </c>
      <c r="O1637" t="s">
        <v>111</v>
      </c>
      <c r="P1637" t="str">
        <f>"85338-9496"</f>
        <v>85338-9496</v>
      </c>
      <c r="Q1637" t="s">
        <v>113</v>
      </c>
      <c r="R1637" t="str">
        <f>"500-07-811"</f>
        <v>500-07-811</v>
      </c>
      <c r="S1637" t="s">
        <v>11176</v>
      </c>
      <c r="T1637" t="s">
        <v>11176</v>
      </c>
      <c r="U1637">
        <v>1888</v>
      </c>
      <c r="V1637">
        <v>0</v>
      </c>
      <c r="W1637">
        <v>3</v>
      </c>
      <c r="X1637">
        <v>2008</v>
      </c>
      <c r="Z1637">
        <v>1</v>
      </c>
      <c r="AB1637">
        <v>0</v>
      </c>
      <c r="AC1637" t="s">
        <v>115</v>
      </c>
      <c r="AD1637">
        <v>2</v>
      </c>
      <c r="AE1637" t="s">
        <v>115</v>
      </c>
      <c r="AF1637">
        <v>0</v>
      </c>
      <c r="AG1637">
        <v>0</v>
      </c>
      <c r="AH1637" t="s">
        <v>116</v>
      </c>
      <c r="AI1637" s="1">
        <v>51953</v>
      </c>
      <c r="AJ1637" s="2">
        <v>0.2</v>
      </c>
      <c r="AK1637" s="1">
        <v>256253</v>
      </c>
      <c r="AL1637" t="s">
        <v>117</v>
      </c>
      <c r="AM1637" t="s">
        <v>118</v>
      </c>
      <c r="AN1637">
        <v>6900</v>
      </c>
      <c r="AO1637">
        <v>0.16</v>
      </c>
      <c r="AR1637">
        <v>1</v>
      </c>
      <c r="AS1637" s="1">
        <v>17650</v>
      </c>
      <c r="AT1637" s="1">
        <v>3530</v>
      </c>
      <c r="AU1637" s="1">
        <v>14120</v>
      </c>
      <c r="AV1637">
        <v>80</v>
      </c>
      <c r="AX1637" s="1">
        <v>1684.58</v>
      </c>
      <c r="AY1637" t="s">
        <v>11177</v>
      </c>
      <c r="AZ1637" t="s">
        <v>11177</v>
      </c>
      <c r="BA1637" t="s">
        <v>7186</v>
      </c>
      <c r="BE1637" s="3">
        <v>42437</v>
      </c>
      <c r="BF1637" s="1">
        <v>200000</v>
      </c>
      <c r="BG1637" t="s">
        <v>11178</v>
      </c>
      <c r="BH1637" s="1">
        <v>105.93</v>
      </c>
      <c r="BI1637" s="1">
        <v>204300</v>
      </c>
      <c r="BJ1637" s="3">
        <v>42437</v>
      </c>
      <c r="BK1637" t="s">
        <v>123</v>
      </c>
      <c r="BL1637" t="str">
        <f>"2016.149577"</f>
        <v>2016.149577</v>
      </c>
      <c r="BM1637" t="s">
        <v>9996</v>
      </c>
      <c r="BO1637" t="s">
        <v>11179</v>
      </c>
      <c r="BS1637">
        <v>30</v>
      </c>
      <c r="BW1637" t="str">
        <f>""</f>
        <v/>
      </c>
      <c r="CH1637" t="str">
        <f>""</f>
        <v/>
      </c>
      <c r="CS1637" t="str">
        <f>""</f>
        <v/>
      </c>
    </row>
    <row r="1638" spans="1:97" x14ac:dyDescent="0.25">
      <c r="A1638" t="s">
        <v>11180</v>
      </c>
      <c r="B1638" t="s">
        <v>348</v>
      </c>
      <c r="C1638" t="s">
        <v>11181</v>
      </c>
      <c r="D1638" t="s">
        <v>348</v>
      </c>
      <c r="E1638" t="s">
        <v>11182</v>
      </c>
      <c r="F1638" t="s">
        <v>108</v>
      </c>
      <c r="H1638" t="s">
        <v>11183</v>
      </c>
      <c r="I1638" t="s">
        <v>5863</v>
      </c>
      <c r="J1638" t="s">
        <v>111</v>
      </c>
      <c r="K1638" t="str">
        <f>"85375"</f>
        <v>85375</v>
      </c>
      <c r="L1638" t="s">
        <v>8034</v>
      </c>
      <c r="M1638" t="s">
        <v>11183</v>
      </c>
      <c r="N1638" t="s">
        <v>5863</v>
      </c>
      <c r="O1638" t="s">
        <v>111</v>
      </c>
      <c r="P1638" t="str">
        <f>"85375-2376"</f>
        <v>85375-2376</v>
      </c>
      <c r="Q1638" t="s">
        <v>113</v>
      </c>
      <c r="R1638" t="str">
        <f>"503-58-622"</f>
        <v>503-58-622</v>
      </c>
      <c r="S1638" t="s">
        <v>9480</v>
      </c>
      <c r="T1638" t="s">
        <v>9481</v>
      </c>
      <c r="U1638">
        <v>1684</v>
      </c>
      <c r="V1638">
        <v>0</v>
      </c>
      <c r="W1638">
        <v>3</v>
      </c>
      <c r="X1638">
        <v>2006</v>
      </c>
      <c r="Z1638">
        <v>1</v>
      </c>
      <c r="AB1638">
        <v>0</v>
      </c>
      <c r="AC1638" t="s">
        <v>115</v>
      </c>
      <c r="AD1638">
        <v>2</v>
      </c>
      <c r="AE1638" t="s">
        <v>115</v>
      </c>
      <c r="AF1638">
        <v>0</v>
      </c>
      <c r="AG1638">
        <v>0</v>
      </c>
      <c r="AH1638" t="s">
        <v>116</v>
      </c>
      <c r="AI1638" s="1">
        <v>60531</v>
      </c>
      <c r="AJ1638" s="2">
        <v>0.19</v>
      </c>
      <c r="AK1638" s="1">
        <v>315531</v>
      </c>
      <c r="AL1638" t="s">
        <v>117</v>
      </c>
      <c r="AM1638" t="s">
        <v>191</v>
      </c>
      <c r="AN1638">
        <v>7202</v>
      </c>
      <c r="AO1638">
        <v>0.16</v>
      </c>
      <c r="AP1638">
        <v>1</v>
      </c>
      <c r="AR1638">
        <v>1</v>
      </c>
      <c r="AS1638" s="1">
        <v>21320</v>
      </c>
      <c r="AT1638" s="1">
        <v>4260</v>
      </c>
      <c r="AU1638" s="1">
        <v>17060</v>
      </c>
      <c r="AV1638">
        <v>80.02</v>
      </c>
      <c r="AX1638" s="1">
        <v>2386.9</v>
      </c>
      <c r="AY1638" t="s">
        <v>3228</v>
      </c>
      <c r="AZ1638" t="s">
        <v>3228</v>
      </c>
      <c r="BA1638" t="s">
        <v>457</v>
      </c>
      <c r="BE1638" s="3">
        <v>41667</v>
      </c>
      <c r="BF1638" s="1">
        <v>222500</v>
      </c>
      <c r="BG1638" t="s">
        <v>11184</v>
      </c>
      <c r="BH1638" s="1">
        <v>132.13</v>
      </c>
      <c r="BI1638" s="1">
        <v>255000</v>
      </c>
      <c r="BJ1638" s="3">
        <v>43158</v>
      </c>
      <c r="BK1638" t="s">
        <v>123</v>
      </c>
      <c r="BL1638" t="str">
        <f>"2018.145232"</f>
        <v>2018.145232</v>
      </c>
      <c r="BM1638" t="s">
        <v>11185</v>
      </c>
      <c r="BN1638" t="s">
        <v>1282</v>
      </c>
      <c r="BO1638" t="s">
        <v>11186</v>
      </c>
      <c r="BP1638" t="s">
        <v>11187</v>
      </c>
      <c r="BR1638" t="s">
        <v>139</v>
      </c>
      <c r="BW1638" t="str">
        <f>""</f>
        <v/>
      </c>
      <c r="CH1638" t="str">
        <f>""</f>
        <v/>
      </c>
      <c r="CS1638" t="str">
        <f>""</f>
        <v/>
      </c>
    </row>
    <row r="1639" spans="1:97" x14ac:dyDescent="0.25">
      <c r="A1639" t="s">
        <v>3212</v>
      </c>
      <c r="B1639" t="s">
        <v>11188</v>
      </c>
      <c r="C1639" t="s">
        <v>2002</v>
      </c>
      <c r="D1639" t="s">
        <v>11188</v>
      </c>
      <c r="E1639" t="s">
        <v>11189</v>
      </c>
      <c r="F1639" t="s">
        <v>108</v>
      </c>
      <c r="H1639" t="s">
        <v>11190</v>
      </c>
      <c r="I1639" t="s">
        <v>632</v>
      </c>
      <c r="J1639" t="s">
        <v>111</v>
      </c>
      <c r="K1639" t="str">
        <f>"85379"</f>
        <v>85379</v>
      </c>
      <c r="L1639" t="s">
        <v>6416</v>
      </c>
      <c r="M1639" t="s">
        <v>11190</v>
      </c>
      <c r="N1639" t="s">
        <v>632</v>
      </c>
      <c r="O1639" t="s">
        <v>111</v>
      </c>
      <c r="P1639" t="str">
        <f>"85379-8154"</f>
        <v>85379-8154</v>
      </c>
      <c r="Q1639" t="s">
        <v>113</v>
      </c>
      <c r="R1639" t="str">
        <f>"509-18-227"</f>
        <v>509-18-227</v>
      </c>
      <c r="S1639" t="s">
        <v>11191</v>
      </c>
      <c r="U1639">
        <v>2022</v>
      </c>
      <c r="V1639">
        <v>0</v>
      </c>
      <c r="W1639">
        <v>3</v>
      </c>
      <c r="X1639">
        <v>2006</v>
      </c>
      <c r="Z1639">
        <v>1</v>
      </c>
      <c r="AA1639" t="s">
        <v>26</v>
      </c>
      <c r="AB1639">
        <v>0</v>
      </c>
      <c r="AC1639" t="s">
        <v>115</v>
      </c>
      <c r="AD1639">
        <v>2</v>
      </c>
      <c r="AE1639" t="s">
        <v>115</v>
      </c>
      <c r="AF1639">
        <v>0</v>
      </c>
      <c r="AG1639">
        <v>0</v>
      </c>
      <c r="AH1639" t="s">
        <v>116</v>
      </c>
      <c r="AI1639" s="1">
        <v>64316</v>
      </c>
      <c r="AJ1639" s="2">
        <v>0.19</v>
      </c>
      <c r="AK1639" s="1">
        <v>331316</v>
      </c>
      <c r="AL1639" t="s">
        <v>117</v>
      </c>
      <c r="AM1639" t="s">
        <v>118</v>
      </c>
      <c r="AN1639">
        <v>9125</v>
      </c>
      <c r="AO1639">
        <v>0.21</v>
      </c>
      <c r="AR1639">
        <v>1</v>
      </c>
      <c r="AS1639" s="1">
        <v>24180</v>
      </c>
      <c r="AT1639" s="1">
        <v>4830</v>
      </c>
      <c r="AU1639" s="1">
        <v>19350</v>
      </c>
      <c r="AV1639">
        <v>80.02</v>
      </c>
      <c r="AX1639" s="1">
        <v>2497.2399999999998</v>
      </c>
      <c r="AY1639" t="s">
        <v>634</v>
      </c>
      <c r="AZ1639" t="s">
        <v>634</v>
      </c>
      <c r="BA1639" t="s">
        <v>635</v>
      </c>
      <c r="BE1639" s="3">
        <v>42515</v>
      </c>
      <c r="BF1639" s="1">
        <v>267000</v>
      </c>
      <c r="BG1639" t="s">
        <v>11192</v>
      </c>
      <c r="BH1639" s="1">
        <v>132.05000000000001</v>
      </c>
      <c r="BI1639" s="1">
        <v>267000</v>
      </c>
      <c r="BJ1639" s="3">
        <v>42515</v>
      </c>
      <c r="BK1639" t="s">
        <v>123</v>
      </c>
      <c r="BL1639" t="str">
        <f>"2016.359500"</f>
        <v>2016.359500</v>
      </c>
      <c r="BM1639" t="s">
        <v>131</v>
      </c>
      <c r="BO1639" t="s">
        <v>11193</v>
      </c>
      <c r="BS1639">
        <v>30</v>
      </c>
      <c r="BW1639" t="str">
        <f>""</f>
        <v/>
      </c>
      <c r="CH1639" t="str">
        <f>""</f>
        <v/>
      </c>
      <c r="CS1639" t="str">
        <f>""</f>
        <v/>
      </c>
    </row>
    <row r="1640" spans="1:97" x14ac:dyDescent="0.25">
      <c r="A1640" t="s">
        <v>7951</v>
      </c>
      <c r="B1640" t="s">
        <v>11194</v>
      </c>
      <c r="E1640" t="s">
        <v>11195</v>
      </c>
      <c r="F1640" t="s">
        <v>108</v>
      </c>
      <c r="H1640" t="s">
        <v>11196</v>
      </c>
      <c r="I1640" t="s">
        <v>5387</v>
      </c>
      <c r="J1640" t="s">
        <v>111</v>
      </c>
      <c r="K1640" t="str">
        <f>"85282"</f>
        <v>85282</v>
      </c>
      <c r="L1640" t="s">
        <v>5408</v>
      </c>
      <c r="M1640" t="s">
        <v>11196</v>
      </c>
      <c r="N1640" t="s">
        <v>5387</v>
      </c>
      <c r="O1640" t="s">
        <v>111</v>
      </c>
      <c r="P1640" t="str">
        <f>"85282-4828"</f>
        <v>85282-4828</v>
      </c>
      <c r="Q1640" t="s">
        <v>113</v>
      </c>
      <c r="R1640" t="str">
        <f>"123-46-018"</f>
        <v>123-46-018</v>
      </c>
      <c r="S1640" t="s">
        <v>11197</v>
      </c>
      <c r="U1640">
        <v>1538</v>
      </c>
      <c r="V1640">
        <v>0</v>
      </c>
      <c r="W1640">
        <v>2</v>
      </c>
      <c r="X1640">
        <v>1972</v>
      </c>
      <c r="Z1640">
        <v>1</v>
      </c>
      <c r="AA1640" t="s">
        <v>26</v>
      </c>
      <c r="AB1640">
        <v>0</v>
      </c>
      <c r="AC1640" t="s">
        <v>5188</v>
      </c>
      <c r="AD1640">
        <v>2</v>
      </c>
      <c r="AE1640" t="s">
        <v>5188</v>
      </c>
      <c r="AF1640">
        <v>0</v>
      </c>
      <c r="AG1640">
        <v>0</v>
      </c>
      <c r="AH1640" t="s">
        <v>116</v>
      </c>
      <c r="AI1640" s="1">
        <v>75749</v>
      </c>
      <c r="AJ1640" s="2">
        <v>0.26</v>
      </c>
      <c r="AK1640" s="1">
        <v>295341</v>
      </c>
      <c r="AL1640" t="s">
        <v>117</v>
      </c>
      <c r="AM1640" t="s">
        <v>191</v>
      </c>
      <c r="AN1640">
        <v>8825</v>
      </c>
      <c r="AO1640">
        <v>0.2</v>
      </c>
      <c r="AP1640">
        <v>1</v>
      </c>
      <c r="AR1640">
        <v>1</v>
      </c>
      <c r="AS1640" s="1">
        <v>20460</v>
      </c>
      <c r="AT1640" s="1">
        <v>4090</v>
      </c>
      <c r="AU1640" s="1">
        <v>16370</v>
      </c>
      <c r="AV1640">
        <v>80.010000000000005</v>
      </c>
      <c r="AX1640" s="1">
        <v>1512.3</v>
      </c>
      <c r="AY1640" t="s">
        <v>9517</v>
      </c>
      <c r="AZ1640" t="s">
        <v>9518</v>
      </c>
      <c r="BA1640" t="s">
        <v>9519</v>
      </c>
      <c r="BE1640" s="3">
        <v>42305</v>
      </c>
      <c r="BF1640" s="1">
        <v>215000</v>
      </c>
      <c r="BG1640" t="s">
        <v>11198</v>
      </c>
      <c r="BH1640" s="1">
        <v>139.79</v>
      </c>
      <c r="BI1640" s="1">
        <v>219592</v>
      </c>
      <c r="BJ1640" s="3">
        <v>42551</v>
      </c>
      <c r="BK1640" t="s">
        <v>123</v>
      </c>
      <c r="BL1640" t="str">
        <f>"2016.459171"</f>
        <v>2016.459171</v>
      </c>
      <c r="BM1640" t="s">
        <v>2716</v>
      </c>
      <c r="BO1640" t="s">
        <v>11199</v>
      </c>
      <c r="BS1640">
        <v>30</v>
      </c>
      <c r="BW1640" t="str">
        <f>""</f>
        <v/>
      </c>
      <c r="CH1640" t="str">
        <f>""</f>
        <v/>
      </c>
      <c r="CS1640" t="str">
        <f>""</f>
        <v/>
      </c>
    </row>
    <row r="1641" spans="1:97" x14ac:dyDescent="0.25">
      <c r="A1641" t="s">
        <v>11200</v>
      </c>
      <c r="B1641" t="s">
        <v>11201</v>
      </c>
      <c r="E1641" t="s">
        <v>11202</v>
      </c>
      <c r="F1641" t="s">
        <v>108</v>
      </c>
      <c r="H1641" t="s">
        <v>11203</v>
      </c>
      <c r="I1641" t="s">
        <v>5114</v>
      </c>
      <c r="J1641" t="s">
        <v>111</v>
      </c>
      <c r="K1641" t="str">
        <f>"85323"</f>
        <v>85323</v>
      </c>
      <c r="L1641" t="s">
        <v>4316</v>
      </c>
      <c r="M1641" t="s">
        <v>11203</v>
      </c>
      <c r="N1641" t="s">
        <v>5114</v>
      </c>
      <c r="O1641" t="s">
        <v>111</v>
      </c>
      <c r="P1641" t="str">
        <f>"85323-9162"</f>
        <v>85323-9162</v>
      </c>
      <c r="Q1641" t="s">
        <v>113</v>
      </c>
      <c r="R1641" t="str">
        <f>"500-95-360"</f>
        <v>500-95-360</v>
      </c>
      <c r="S1641" t="s">
        <v>9639</v>
      </c>
      <c r="T1641" t="s">
        <v>9639</v>
      </c>
      <c r="U1641">
        <v>4040</v>
      </c>
      <c r="V1641">
        <v>0</v>
      </c>
      <c r="W1641">
        <v>5</v>
      </c>
      <c r="X1641">
        <v>2004</v>
      </c>
      <c r="Z1641">
        <v>2</v>
      </c>
      <c r="AB1641">
        <v>0</v>
      </c>
      <c r="AC1641" t="s">
        <v>115</v>
      </c>
      <c r="AD1641">
        <v>3</v>
      </c>
      <c r="AE1641" t="s">
        <v>115</v>
      </c>
      <c r="AF1641">
        <v>0</v>
      </c>
      <c r="AG1641">
        <v>0</v>
      </c>
      <c r="AH1641" t="s">
        <v>116</v>
      </c>
      <c r="AI1641" s="1">
        <v>59510</v>
      </c>
      <c r="AJ1641" s="2">
        <v>0.18</v>
      </c>
      <c r="AK1641" s="1">
        <v>338420</v>
      </c>
      <c r="AL1641" t="s">
        <v>117</v>
      </c>
      <c r="AM1641" t="s">
        <v>118</v>
      </c>
      <c r="AN1641">
        <v>7803</v>
      </c>
      <c r="AO1641">
        <v>0.18</v>
      </c>
      <c r="AP1641">
        <v>1</v>
      </c>
      <c r="AR1641">
        <v>1</v>
      </c>
      <c r="AS1641" s="1">
        <v>23630</v>
      </c>
      <c r="AT1641" s="1">
        <v>4720</v>
      </c>
      <c r="AU1641" s="1">
        <v>18910</v>
      </c>
      <c r="AV1641">
        <v>80.03</v>
      </c>
      <c r="AX1641" s="1">
        <v>2486.94</v>
      </c>
      <c r="AY1641" t="s">
        <v>9447</v>
      </c>
      <c r="AZ1641" t="s">
        <v>9447</v>
      </c>
      <c r="BA1641" t="s">
        <v>4254</v>
      </c>
      <c r="BE1641" s="3">
        <v>42242</v>
      </c>
      <c r="BF1641" s="1">
        <v>234000</v>
      </c>
      <c r="BG1641" t="s">
        <v>11204</v>
      </c>
      <c r="BH1641" s="1">
        <v>57.92</v>
      </c>
      <c r="BI1641" s="1">
        <v>278910</v>
      </c>
      <c r="BJ1641" s="3">
        <v>42823</v>
      </c>
      <c r="BK1641" t="s">
        <v>123</v>
      </c>
      <c r="BL1641" t="str">
        <f>"2017.218112"</f>
        <v>2017.218112</v>
      </c>
      <c r="BM1641" t="s">
        <v>361</v>
      </c>
      <c r="BO1641" t="s">
        <v>11205</v>
      </c>
      <c r="BS1641">
        <v>30</v>
      </c>
      <c r="BW1641" t="str">
        <f>""</f>
        <v/>
      </c>
      <c r="CH1641" t="str">
        <f>""</f>
        <v/>
      </c>
      <c r="CS1641" t="str">
        <f>""</f>
        <v/>
      </c>
    </row>
    <row r="1642" spans="1:97" x14ac:dyDescent="0.25">
      <c r="A1642" t="s">
        <v>4854</v>
      </c>
      <c r="B1642" t="s">
        <v>11206</v>
      </c>
      <c r="C1642" t="s">
        <v>817</v>
      </c>
      <c r="D1642" t="s">
        <v>1619</v>
      </c>
      <c r="E1642" t="s">
        <v>11207</v>
      </c>
      <c r="F1642" t="s">
        <v>108</v>
      </c>
      <c r="H1642" t="s">
        <v>11208</v>
      </c>
      <c r="I1642" t="s">
        <v>390</v>
      </c>
      <c r="J1642" t="s">
        <v>111</v>
      </c>
      <c r="K1642" t="str">
        <f>"85050"</f>
        <v>85050</v>
      </c>
      <c r="L1642" t="s">
        <v>7746</v>
      </c>
      <c r="M1642" t="s">
        <v>11208</v>
      </c>
      <c r="N1642" t="s">
        <v>390</v>
      </c>
      <c r="O1642" t="s">
        <v>111</v>
      </c>
      <c r="P1642" t="str">
        <f>"85050-6948"</f>
        <v>85050-6948</v>
      </c>
      <c r="Q1642" t="s">
        <v>113</v>
      </c>
      <c r="R1642" t="str">
        <f>"212-34-597"</f>
        <v>212-34-597</v>
      </c>
      <c r="S1642" t="s">
        <v>11209</v>
      </c>
      <c r="U1642">
        <v>1663</v>
      </c>
      <c r="V1642">
        <v>0</v>
      </c>
      <c r="W1642">
        <v>3</v>
      </c>
      <c r="X1642">
        <v>1997</v>
      </c>
      <c r="Z1642">
        <v>1</v>
      </c>
      <c r="AA1642" t="s">
        <v>26</v>
      </c>
      <c r="AB1642">
        <v>0</v>
      </c>
      <c r="AC1642" t="s">
        <v>115</v>
      </c>
      <c r="AD1642">
        <v>2</v>
      </c>
      <c r="AE1642" t="s">
        <v>115</v>
      </c>
      <c r="AF1642">
        <v>0</v>
      </c>
      <c r="AG1642">
        <v>0</v>
      </c>
      <c r="AH1642" t="s">
        <v>116</v>
      </c>
      <c r="AI1642" s="1">
        <v>78053</v>
      </c>
      <c r="AJ1642" s="2">
        <v>0.19</v>
      </c>
      <c r="AK1642" s="1">
        <v>401053</v>
      </c>
      <c r="AL1642" t="s">
        <v>117</v>
      </c>
      <c r="AM1642" t="s">
        <v>1315</v>
      </c>
      <c r="AN1642">
        <v>4969</v>
      </c>
      <c r="AO1642">
        <v>0.11</v>
      </c>
      <c r="AP1642">
        <v>1</v>
      </c>
      <c r="AR1642">
        <v>1</v>
      </c>
      <c r="AS1642" s="1">
        <v>28130</v>
      </c>
      <c r="AT1642" s="1">
        <v>5620</v>
      </c>
      <c r="AU1642" s="1">
        <v>22510</v>
      </c>
      <c r="AV1642">
        <v>80.02</v>
      </c>
      <c r="AX1642" s="1">
        <v>2653.18</v>
      </c>
      <c r="AY1642" t="s">
        <v>6351</v>
      </c>
      <c r="AZ1642" t="s">
        <v>6352</v>
      </c>
      <c r="BA1642" t="s">
        <v>762</v>
      </c>
      <c r="BE1642" s="3">
        <v>42544</v>
      </c>
      <c r="BF1642" s="1">
        <v>340000</v>
      </c>
      <c r="BG1642" t="s">
        <v>11210</v>
      </c>
      <c r="BH1642" s="1">
        <v>204.45</v>
      </c>
      <c r="BI1642" s="1">
        <v>323000</v>
      </c>
      <c r="BJ1642" s="3">
        <v>42919</v>
      </c>
      <c r="BK1642" t="s">
        <v>123</v>
      </c>
      <c r="BL1642" t="str">
        <f>"2017.485830"</f>
        <v>2017.485830</v>
      </c>
      <c r="BM1642" t="s">
        <v>11211</v>
      </c>
      <c r="BO1642" t="s">
        <v>11212</v>
      </c>
      <c r="BP1642" t="s">
        <v>11213</v>
      </c>
      <c r="BS1642">
        <v>30</v>
      </c>
      <c r="BW1642" t="str">
        <f>""</f>
        <v/>
      </c>
      <c r="CH1642" t="str">
        <f>""</f>
        <v/>
      </c>
      <c r="CS1642" t="str">
        <f>""</f>
        <v/>
      </c>
    </row>
    <row r="1643" spans="1:97" x14ac:dyDescent="0.25">
      <c r="A1643" t="s">
        <v>894</v>
      </c>
      <c r="B1643" t="s">
        <v>1552</v>
      </c>
      <c r="E1643" t="s">
        <v>11214</v>
      </c>
      <c r="F1643" t="s">
        <v>108</v>
      </c>
      <c r="H1643" t="s">
        <v>11215</v>
      </c>
      <c r="I1643" t="s">
        <v>5114</v>
      </c>
      <c r="J1643" t="s">
        <v>111</v>
      </c>
      <c r="K1643" t="str">
        <f>"85392"</f>
        <v>85392</v>
      </c>
      <c r="L1643" t="s">
        <v>6333</v>
      </c>
      <c r="M1643" t="s">
        <v>11215</v>
      </c>
      <c r="N1643" t="s">
        <v>5114</v>
      </c>
      <c r="O1643" t="s">
        <v>111</v>
      </c>
      <c r="P1643" t="str">
        <f>"85392-6378"</f>
        <v>85392-6378</v>
      </c>
      <c r="Q1643" t="s">
        <v>113</v>
      </c>
      <c r="R1643" t="str">
        <f>"501-72-040"</f>
        <v>501-72-040</v>
      </c>
      <c r="S1643" t="s">
        <v>11216</v>
      </c>
      <c r="T1643" t="s">
        <v>11217</v>
      </c>
      <c r="U1643">
        <v>2406</v>
      </c>
      <c r="V1643">
        <v>0</v>
      </c>
      <c r="W1643">
        <v>4</v>
      </c>
      <c r="X1643">
        <v>2002</v>
      </c>
      <c r="Z1643">
        <v>2</v>
      </c>
      <c r="AA1643" t="s">
        <v>26</v>
      </c>
      <c r="AB1643">
        <v>0</v>
      </c>
      <c r="AC1643" t="s">
        <v>115</v>
      </c>
      <c r="AD1643">
        <v>2</v>
      </c>
      <c r="AE1643" t="s">
        <v>115</v>
      </c>
      <c r="AF1643">
        <v>0</v>
      </c>
      <c r="AG1643">
        <v>0</v>
      </c>
      <c r="AH1643" t="s">
        <v>116</v>
      </c>
      <c r="AI1643" s="1">
        <v>80997</v>
      </c>
      <c r="AJ1643" s="2">
        <v>0.27</v>
      </c>
      <c r="AK1643" s="1">
        <v>295880</v>
      </c>
      <c r="AL1643" t="s">
        <v>117</v>
      </c>
      <c r="AM1643" t="s">
        <v>118</v>
      </c>
      <c r="AN1643">
        <v>6526</v>
      </c>
      <c r="AO1643">
        <v>0.15</v>
      </c>
      <c r="AP1643">
        <v>1</v>
      </c>
      <c r="AR1643">
        <v>1</v>
      </c>
      <c r="AS1643" s="1">
        <v>21460</v>
      </c>
      <c r="AT1643" s="1">
        <v>4290</v>
      </c>
      <c r="AU1643" s="1">
        <v>17170</v>
      </c>
      <c r="AV1643">
        <v>80.010000000000005</v>
      </c>
      <c r="AX1643" s="1">
        <v>1673.06</v>
      </c>
      <c r="AY1643" t="s">
        <v>6700</v>
      </c>
      <c r="AZ1643" t="s">
        <v>6701</v>
      </c>
      <c r="BA1643" t="s">
        <v>6702</v>
      </c>
      <c r="BE1643" s="3">
        <v>41723</v>
      </c>
      <c r="BF1643" s="1">
        <v>209500</v>
      </c>
      <c r="BG1643" t="s">
        <v>11218</v>
      </c>
      <c r="BH1643" s="1">
        <v>87.07</v>
      </c>
      <c r="BI1643" s="1">
        <v>214883</v>
      </c>
      <c r="BJ1643" s="3">
        <v>42580</v>
      </c>
      <c r="BK1643" t="s">
        <v>123</v>
      </c>
      <c r="BL1643" t="str">
        <f>"2016.539029"</f>
        <v>2016.539029</v>
      </c>
      <c r="BM1643" t="s">
        <v>1695</v>
      </c>
      <c r="BO1643" t="s">
        <v>11219</v>
      </c>
      <c r="BS1643">
        <v>30</v>
      </c>
      <c r="BW1643" t="str">
        <f>""</f>
        <v/>
      </c>
      <c r="CH1643" t="str">
        <f>""</f>
        <v/>
      </c>
      <c r="CS1643" t="str">
        <f>""</f>
        <v/>
      </c>
    </row>
    <row r="1644" spans="1:97" x14ac:dyDescent="0.25">
      <c r="A1644" t="s">
        <v>488</v>
      </c>
      <c r="B1644" t="s">
        <v>11220</v>
      </c>
      <c r="E1644" t="s">
        <v>11221</v>
      </c>
      <c r="F1644" t="s">
        <v>108</v>
      </c>
      <c r="H1644" t="s">
        <v>11222</v>
      </c>
      <c r="I1644" t="s">
        <v>499</v>
      </c>
      <c r="J1644" t="s">
        <v>111</v>
      </c>
      <c r="K1644" t="str">
        <f>"85338"</f>
        <v>85338</v>
      </c>
      <c r="L1644" t="s">
        <v>6481</v>
      </c>
      <c r="M1644" t="s">
        <v>11222</v>
      </c>
      <c r="N1644" t="s">
        <v>499</v>
      </c>
      <c r="O1644" t="s">
        <v>111</v>
      </c>
      <c r="P1644" t="str">
        <f>"85338-4534"</f>
        <v>85338-4534</v>
      </c>
      <c r="Q1644" t="s">
        <v>113</v>
      </c>
      <c r="R1644" t="str">
        <f>"500-96-590"</f>
        <v>500-96-590</v>
      </c>
      <c r="S1644" t="s">
        <v>11223</v>
      </c>
      <c r="U1644">
        <v>2735</v>
      </c>
      <c r="V1644">
        <v>0</v>
      </c>
      <c r="W1644">
        <v>4</v>
      </c>
      <c r="X1644">
        <v>2015</v>
      </c>
      <c r="Z1644">
        <v>2</v>
      </c>
      <c r="AA1644" t="s">
        <v>26</v>
      </c>
      <c r="AB1644">
        <v>0</v>
      </c>
      <c r="AC1644" t="s">
        <v>115</v>
      </c>
      <c r="AD1644">
        <v>2</v>
      </c>
      <c r="AE1644" t="s">
        <v>115</v>
      </c>
      <c r="AF1644">
        <v>0</v>
      </c>
      <c r="AG1644">
        <v>0</v>
      </c>
      <c r="AH1644" t="s">
        <v>116</v>
      </c>
      <c r="AI1644" s="1">
        <v>-19796</v>
      </c>
      <c r="AJ1644" s="2">
        <v>-0.06</v>
      </c>
      <c r="AK1644" s="1">
        <v>319028</v>
      </c>
      <c r="AL1644" t="s">
        <v>117</v>
      </c>
      <c r="AM1644" t="s">
        <v>118</v>
      </c>
      <c r="AN1644">
        <v>6325</v>
      </c>
      <c r="AO1644">
        <v>0.14000000000000001</v>
      </c>
      <c r="AR1644">
        <v>1</v>
      </c>
      <c r="AS1644" s="1">
        <v>22630</v>
      </c>
      <c r="AT1644" s="1">
        <v>4520</v>
      </c>
      <c r="AU1644" s="1">
        <v>18110</v>
      </c>
      <c r="AV1644">
        <v>80.03</v>
      </c>
      <c r="AX1644" s="1">
        <v>1779.94</v>
      </c>
      <c r="AY1644" t="s">
        <v>6319</v>
      </c>
      <c r="AZ1644" t="s">
        <v>6319</v>
      </c>
      <c r="BA1644" t="s">
        <v>218</v>
      </c>
      <c r="BE1644" s="3">
        <v>42338</v>
      </c>
      <c r="BF1644" s="1">
        <v>281800</v>
      </c>
      <c r="BG1644" t="s">
        <v>158</v>
      </c>
      <c r="BH1644" s="1">
        <v>103.03</v>
      </c>
      <c r="BI1644" s="1">
        <v>338824</v>
      </c>
      <c r="BJ1644" s="3">
        <v>43494</v>
      </c>
      <c r="BK1644" t="s">
        <v>123</v>
      </c>
      <c r="BL1644" t="str">
        <f>"2019.61028"</f>
        <v>2019.61028</v>
      </c>
      <c r="BM1644" t="s">
        <v>6896</v>
      </c>
      <c r="BN1644" t="s">
        <v>1371</v>
      </c>
      <c r="BO1644" t="s">
        <v>11221</v>
      </c>
      <c r="BR1644" t="s">
        <v>139</v>
      </c>
      <c r="BW1644" t="str">
        <f>""</f>
        <v/>
      </c>
      <c r="CH1644" t="str">
        <f>""</f>
        <v/>
      </c>
      <c r="CS1644" t="str">
        <f>""</f>
        <v/>
      </c>
    </row>
    <row r="1645" spans="1:97" x14ac:dyDescent="0.25">
      <c r="A1645" t="s">
        <v>183</v>
      </c>
      <c r="B1645" t="s">
        <v>1898</v>
      </c>
      <c r="E1645" t="s">
        <v>11224</v>
      </c>
      <c r="F1645" t="s">
        <v>108</v>
      </c>
      <c r="H1645" t="s">
        <v>11225</v>
      </c>
      <c r="I1645" t="s">
        <v>2874</v>
      </c>
      <c r="J1645" t="s">
        <v>111</v>
      </c>
      <c r="K1645" t="str">
        <f>"85310"</f>
        <v>85310</v>
      </c>
      <c r="L1645" t="s">
        <v>5325</v>
      </c>
      <c r="M1645" t="s">
        <v>11225</v>
      </c>
      <c r="N1645" t="s">
        <v>2874</v>
      </c>
      <c r="O1645" t="s">
        <v>111</v>
      </c>
      <c r="P1645" t="str">
        <f>"85310-3226"</f>
        <v>85310-3226</v>
      </c>
      <c r="Q1645" t="s">
        <v>113</v>
      </c>
      <c r="R1645" t="str">
        <f>"205-11-799"</f>
        <v>205-11-799</v>
      </c>
      <c r="S1645" t="s">
        <v>11226</v>
      </c>
      <c r="T1645" t="s">
        <v>8419</v>
      </c>
      <c r="U1645">
        <v>1787</v>
      </c>
      <c r="V1645">
        <v>0</v>
      </c>
      <c r="W1645">
        <v>3</v>
      </c>
      <c r="X1645">
        <v>1989</v>
      </c>
      <c r="Z1645">
        <v>1</v>
      </c>
      <c r="AB1645">
        <v>0</v>
      </c>
      <c r="AC1645" t="s">
        <v>115</v>
      </c>
      <c r="AD1645">
        <v>2</v>
      </c>
      <c r="AE1645" t="s">
        <v>115</v>
      </c>
      <c r="AF1645">
        <v>0</v>
      </c>
      <c r="AG1645">
        <v>0</v>
      </c>
      <c r="AH1645" t="s">
        <v>116</v>
      </c>
      <c r="AI1645" s="1">
        <v>68869</v>
      </c>
      <c r="AJ1645" s="2">
        <v>0.23</v>
      </c>
      <c r="AK1645" s="1">
        <v>302319</v>
      </c>
      <c r="AL1645" t="s">
        <v>117</v>
      </c>
      <c r="AM1645" t="s">
        <v>1302</v>
      </c>
      <c r="AN1645">
        <v>9077</v>
      </c>
      <c r="AO1645">
        <v>0.21</v>
      </c>
      <c r="AP1645">
        <v>1</v>
      </c>
      <c r="AR1645">
        <v>1</v>
      </c>
      <c r="AS1645" s="1">
        <v>20700</v>
      </c>
      <c r="AT1645" s="1">
        <v>4140</v>
      </c>
      <c r="AU1645" s="1">
        <v>16560</v>
      </c>
      <c r="AV1645">
        <v>80</v>
      </c>
      <c r="AX1645" s="1">
        <v>1692.6</v>
      </c>
      <c r="AY1645" t="s">
        <v>5701</v>
      </c>
      <c r="AZ1645" t="s">
        <v>3049</v>
      </c>
      <c r="BA1645" t="s">
        <v>1386</v>
      </c>
      <c r="BE1645" s="3">
        <v>42538</v>
      </c>
      <c r="BF1645" s="1">
        <v>244000</v>
      </c>
      <c r="BG1645" t="s">
        <v>11227</v>
      </c>
      <c r="BH1645" s="1">
        <v>136.54</v>
      </c>
      <c r="BI1645" s="1">
        <v>233450</v>
      </c>
      <c r="BJ1645" s="3">
        <v>42538</v>
      </c>
      <c r="BK1645" t="s">
        <v>123</v>
      </c>
      <c r="BL1645" t="str">
        <f>"2016.424779"</f>
        <v>2016.424779</v>
      </c>
      <c r="BM1645" t="s">
        <v>5534</v>
      </c>
      <c r="BO1645" t="s">
        <v>11228</v>
      </c>
      <c r="BS1645">
        <v>30</v>
      </c>
      <c r="BW1645" t="str">
        <f>""</f>
        <v/>
      </c>
      <c r="CH1645" t="str">
        <f>""</f>
        <v/>
      </c>
      <c r="CS1645" t="str">
        <f>""</f>
        <v/>
      </c>
    </row>
    <row r="1646" spans="1:97" x14ac:dyDescent="0.25">
      <c r="A1646" t="s">
        <v>3580</v>
      </c>
      <c r="B1646" t="s">
        <v>11229</v>
      </c>
      <c r="C1646" t="s">
        <v>11230</v>
      </c>
      <c r="D1646" t="s">
        <v>11229</v>
      </c>
      <c r="E1646" t="s">
        <v>11231</v>
      </c>
      <c r="F1646" t="s">
        <v>108</v>
      </c>
      <c r="H1646" t="s">
        <v>11232</v>
      </c>
      <c r="I1646" t="s">
        <v>110</v>
      </c>
      <c r="J1646" t="s">
        <v>111</v>
      </c>
      <c r="K1646" t="str">
        <f>"85225"</f>
        <v>85225</v>
      </c>
      <c r="L1646" t="s">
        <v>6316</v>
      </c>
      <c r="M1646" t="s">
        <v>11232</v>
      </c>
      <c r="N1646" t="s">
        <v>110</v>
      </c>
      <c r="O1646" t="s">
        <v>111</v>
      </c>
      <c r="P1646" t="str">
        <f>"85225-6116"</f>
        <v>85225-6116</v>
      </c>
      <c r="Q1646" t="s">
        <v>113</v>
      </c>
      <c r="R1646" t="str">
        <f>"303-71-097"</f>
        <v>303-71-097</v>
      </c>
      <c r="S1646" t="s">
        <v>11233</v>
      </c>
      <c r="T1646" t="s">
        <v>11233</v>
      </c>
      <c r="U1646">
        <v>1542</v>
      </c>
      <c r="V1646">
        <v>0</v>
      </c>
      <c r="W1646">
        <v>3</v>
      </c>
      <c r="X1646">
        <v>1994</v>
      </c>
      <c r="Z1646">
        <v>1</v>
      </c>
      <c r="AA1646" t="s">
        <v>26</v>
      </c>
      <c r="AB1646">
        <v>0</v>
      </c>
      <c r="AC1646" t="s">
        <v>115</v>
      </c>
      <c r="AD1646">
        <v>2</v>
      </c>
      <c r="AE1646" t="s">
        <v>115</v>
      </c>
      <c r="AF1646">
        <v>0</v>
      </c>
      <c r="AG1646">
        <v>0</v>
      </c>
      <c r="AH1646" t="s">
        <v>116</v>
      </c>
      <c r="AI1646" s="1">
        <v>57093</v>
      </c>
      <c r="AJ1646" s="2">
        <v>0.19</v>
      </c>
      <c r="AK1646" s="1">
        <v>303993</v>
      </c>
      <c r="AL1646" t="s">
        <v>117</v>
      </c>
      <c r="AM1646" t="s">
        <v>191</v>
      </c>
      <c r="AN1646">
        <v>7636</v>
      </c>
      <c r="AO1646">
        <v>0.18</v>
      </c>
      <c r="AP1646">
        <v>1</v>
      </c>
      <c r="AR1646">
        <v>1</v>
      </c>
      <c r="AS1646" s="1">
        <v>20670</v>
      </c>
      <c r="AT1646" s="1">
        <v>4130</v>
      </c>
      <c r="AU1646" s="1">
        <v>16540</v>
      </c>
      <c r="AV1646">
        <v>80.02</v>
      </c>
      <c r="AX1646" s="1">
        <v>1574.28</v>
      </c>
      <c r="AY1646" t="s">
        <v>3185</v>
      </c>
      <c r="AZ1646" t="s">
        <v>2906</v>
      </c>
      <c r="BA1646" t="s">
        <v>303</v>
      </c>
      <c r="BE1646" s="3">
        <v>41814</v>
      </c>
      <c r="BF1646" s="1">
        <v>223000</v>
      </c>
      <c r="BG1646" t="s">
        <v>11234</v>
      </c>
      <c r="BH1646" s="1">
        <v>144.62</v>
      </c>
      <c r="BI1646" s="1">
        <v>246900</v>
      </c>
      <c r="BJ1646" s="3">
        <v>43196</v>
      </c>
      <c r="BK1646" t="s">
        <v>123</v>
      </c>
      <c r="BL1646" t="str">
        <f>"2018.259011"</f>
        <v>2018.259011</v>
      </c>
      <c r="BM1646" t="s">
        <v>673</v>
      </c>
      <c r="BN1646" t="s">
        <v>11235</v>
      </c>
      <c r="BO1646" t="s">
        <v>11236</v>
      </c>
      <c r="BP1646" t="s">
        <v>11237</v>
      </c>
      <c r="BR1646" t="s">
        <v>139</v>
      </c>
      <c r="BW1646" t="str">
        <f>""</f>
        <v/>
      </c>
      <c r="CH1646" t="str">
        <f>""</f>
        <v/>
      </c>
      <c r="CS1646" t="str">
        <f>""</f>
        <v/>
      </c>
    </row>
    <row r="1647" spans="1:97" x14ac:dyDescent="0.25">
      <c r="A1647" t="s">
        <v>1692</v>
      </c>
      <c r="B1647" t="s">
        <v>11238</v>
      </c>
      <c r="C1647" t="s">
        <v>325</v>
      </c>
      <c r="D1647" t="s">
        <v>11238</v>
      </c>
      <c r="E1647" t="s">
        <v>11239</v>
      </c>
      <c r="F1647" t="s">
        <v>108</v>
      </c>
      <c r="H1647" t="s">
        <v>11240</v>
      </c>
      <c r="I1647" t="s">
        <v>453</v>
      </c>
      <c r="J1647" t="s">
        <v>111</v>
      </c>
      <c r="K1647" t="str">
        <f>"85381"</f>
        <v>85381</v>
      </c>
      <c r="L1647" t="s">
        <v>9597</v>
      </c>
      <c r="M1647" t="s">
        <v>11240</v>
      </c>
      <c r="N1647" t="s">
        <v>453</v>
      </c>
      <c r="O1647" t="s">
        <v>111</v>
      </c>
      <c r="P1647" t="str">
        <f>"85381-4932"</f>
        <v>85381-4932</v>
      </c>
      <c r="Q1647" t="s">
        <v>113</v>
      </c>
      <c r="R1647" t="str">
        <f>"200-97-364"</f>
        <v>200-97-364</v>
      </c>
      <c r="S1647" t="s">
        <v>9723</v>
      </c>
      <c r="T1647" t="s">
        <v>9724</v>
      </c>
      <c r="U1647">
        <v>2387</v>
      </c>
      <c r="V1647">
        <v>0</v>
      </c>
      <c r="W1647">
        <v>4</v>
      </c>
      <c r="X1647">
        <v>2014</v>
      </c>
      <c r="Z1647">
        <v>2</v>
      </c>
      <c r="AB1647">
        <v>0</v>
      </c>
      <c r="AC1647" t="s">
        <v>115</v>
      </c>
      <c r="AD1647">
        <v>2</v>
      </c>
      <c r="AE1647" t="s">
        <v>115</v>
      </c>
      <c r="AF1647">
        <v>0</v>
      </c>
      <c r="AG1647">
        <v>0</v>
      </c>
      <c r="AH1647" t="s">
        <v>116</v>
      </c>
      <c r="AI1647" s="1">
        <v>73460</v>
      </c>
      <c r="AJ1647" s="2">
        <v>0.21</v>
      </c>
      <c r="AK1647" s="1">
        <v>343188</v>
      </c>
      <c r="AL1647" t="s">
        <v>117</v>
      </c>
      <c r="AM1647" t="s">
        <v>118</v>
      </c>
      <c r="AN1647">
        <v>4671</v>
      </c>
      <c r="AO1647">
        <v>0.11</v>
      </c>
      <c r="AR1647">
        <v>1</v>
      </c>
      <c r="AS1647" s="1">
        <v>25570</v>
      </c>
      <c r="AT1647" s="1">
        <v>5110</v>
      </c>
      <c r="AU1647" s="1">
        <v>20460</v>
      </c>
      <c r="AV1647">
        <v>80.02</v>
      </c>
      <c r="AX1647" s="1">
        <v>2000.82</v>
      </c>
      <c r="AY1647" t="s">
        <v>5629</v>
      </c>
      <c r="AZ1647" t="s">
        <v>5629</v>
      </c>
      <c r="BA1647" t="s">
        <v>4007</v>
      </c>
      <c r="BE1647" s="3">
        <v>41803</v>
      </c>
      <c r="BF1647" s="1">
        <v>261112</v>
      </c>
      <c r="BG1647" t="s">
        <v>9725</v>
      </c>
      <c r="BH1647" s="1">
        <v>109.39</v>
      </c>
      <c r="BI1647" s="1">
        <v>269728</v>
      </c>
      <c r="BJ1647" s="3">
        <v>41803</v>
      </c>
      <c r="BK1647" t="s">
        <v>123</v>
      </c>
      <c r="BL1647" t="str">
        <f>"2014.389029"</f>
        <v>2014.389029</v>
      </c>
      <c r="BM1647" t="s">
        <v>544</v>
      </c>
      <c r="BO1647" t="s">
        <v>11241</v>
      </c>
      <c r="BS1647">
        <v>30</v>
      </c>
      <c r="BW1647" t="str">
        <f>""</f>
        <v/>
      </c>
      <c r="CH1647" t="str">
        <f>""</f>
        <v/>
      </c>
      <c r="CS1647" t="str">
        <f>""</f>
        <v/>
      </c>
    </row>
    <row r="1648" spans="1:97" x14ac:dyDescent="0.25">
      <c r="A1648" t="s">
        <v>589</v>
      </c>
      <c r="B1648" t="s">
        <v>2007</v>
      </c>
      <c r="E1648" t="s">
        <v>11242</v>
      </c>
      <c r="F1648" t="s">
        <v>108</v>
      </c>
      <c r="H1648" t="s">
        <v>11243</v>
      </c>
      <c r="I1648" t="s">
        <v>2874</v>
      </c>
      <c r="J1648" t="s">
        <v>111</v>
      </c>
      <c r="K1648" t="str">
        <f>"85308"</f>
        <v>85308</v>
      </c>
      <c r="L1648" t="s">
        <v>8034</v>
      </c>
      <c r="M1648" t="s">
        <v>11243</v>
      </c>
      <c r="N1648" t="s">
        <v>2874</v>
      </c>
      <c r="O1648" t="s">
        <v>111</v>
      </c>
      <c r="P1648" t="str">
        <f>"85308-3023"</f>
        <v>85308-3023</v>
      </c>
      <c r="Q1648" t="s">
        <v>113</v>
      </c>
      <c r="R1648" t="str">
        <f>"207-18-260"</f>
        <v>207-18-260</v>
      </c>
      <c r="S1648" t="s">
        <v>11244</v>
      </c>
      <c r="T1648" t="s">
        <v>8465</v>
      </c>
      <c r="U1648">
        <v>1785</v>
      </c>
      <c r="V1648">
        <v>0</v>
      </c>
      <c r="W1648">
        <v>2</v>
      </c>
      <c r="X1648">
        <v>1979</v>
      </c>
      <c r="Z1648">
        <v>1</v>
      </c>
      <c r="AA1648" t="s">
        <v>26</v>
      </c>
      <c r="AB1648">
        <v>0</v>
      </c>
      <c r="AC1648" t="s">
        <v>115</v>
      </c>
      <c r="AD1648">
        <v>2</v>
      </c>
      <c r="AE1648" t="s">
        <v>115</v>
      </c>
      <c r="AF1648">
        <v>0</v>
      </c>
      <c r="AG1648">
        <v>0</v>
      </c>
      <c r="AH1648" t="s">
        <v>116</v>
      </c>
      <c r="AI1648" s="1">
        <v>-3020</v>
      </c>
      <c r="AJ1648" s="2">
        <v>-0.01</v>
      </c>
      <c r="AK1648" s="1">
        <v>213980</v>
      </c>
      <c r="AL1648" t="s">
        <v>117</v>
      </c>
      <c r="AM1648" t="s">
        <v>171</v>
      </c>
      <c r="AN1648">
        <v>8924</v>
      </c>
      <c r="AO1648">
        <v>0.2</v>
      </c>
      <c r="AP1648">
        <v>1</v>
      </c>
      <c r="AR1648">
        <v>1</v>
      </c>
      <c r="AS1648" s="1">
        <v>19480</v>
      </c>
      <c r="AT1648" s="1">
        <v>3890</v>
      </c>
      <c r="AU1648" s="1">
        <v>15590</v>
      </c>
      <c r="AV1648">
        <v>80.03</v>
      </c>
      <c r="AX1648" s="1">
        <v>1375.6</v>
      </c>
      <c r="AY1648" t="s">
        <v>8466</v>
      </c>
      <c r="AZ1648" t="s">
        <v>5142</v>
      </c>
      <c r="BA1648" t="s">
        <v>5143</v>
      </c>
      <c r="BE1648" s="3">
        <v>42290</v>
      </c>
      <c r="BF1648" s="1">
        <v>217000</v>
      </c>
      <c r="BG1648" t="s">
        <v>11245</v>
      </c>
      <c r="BH1648" s="1">
        <v>121.57</v>
      </c>
      <c r="BI1648" s="1">
        <v>217000</v>
      </c>
      <c r="BJ1648" s="3">
        <v>42290</v>
      </c>
      <c r="BK1648" t="s">
        <v>123</v>
      </c>
      <c r="BL1648" t="str">
        <f>"2015.736769"</f>
        <v>2015.736769</v>
      </c>
      <c r="BM1648" t="s">
        <v>1287</v>
      </c>
      <c r="BO1648" t="s">
        <v>11246</v>
      </c>
      <c r="BS1648">
        <v>30</v>
      </c>
      <c r="BW1648" t="str">
        <f>""</f>
        <v/>
      </c>
      <c r="CH1648" t="str">
        <f>""</f>
        <v/>
      </c>
      <c r="CS1648" t="str">
        <f>""</f>
        <v/>
      </c>
    </row>
    <row r="1649" spans="1:97" x14ac:dyDescent="0.25">
      <c r="A1649" t="s">
        <v>325</v>
      </c>
      <c r="B1649" t="s">
        <v>1552</v>
      </c>
      <c r="C1649" t="s">
        <v>11247</v>
      </c>
      <c r="D1649" t="s">
        <v>1552</v>
      </c>
      <c r="E1649" t="s">
        <v>11248</v>
      </c>
      <c r="F1649" t="s">
        <v>108</v>
      </c>
      <c r="H1649" t="s">
        <v>11249</v>
      </c>
      <c r="I1649" t="s">
        <v>5114</v>
      </c>
      <c r="J1649" t="s">
        <v>111</v>
      </c>
      <c r="K1649" t="str">
        <f>"85323"</f>
        <v>85323</v>
      </c>
      <c r="L1649" t="s">
        <v>4316</v>
      </c>
      <c r="M1649" t="s">
        <v>11249</v>
      </c>
      <c r="N1649" t="s">
        <v>5114</v>
      </c>
      <c r="O1649" t="s">
        <v>111</v>
      </c>
      <c r="P1649" t="str">
        <f>"85323-9101"</f>
        <v>85323-9101</v>
      </c>
      <c r="Q1649" t="s">
        <v>113</v>
      </c>
      <c r="R1649" t="str">
        <f>"500-95-270"</f>
        <v>500-95-270</v>
      </c>
      <c r="S1649" t="s">
        <v>9639</v>
      </c>
      <c r="T1649" t="s">
        <v>9639</v>
      </c>
      <c r="U1649">
        <v>2130</v>
      </c>
      <c r="V1649">
        <v>0</v>
      </c>
      <c r="W1649">
        <v>4</v>
      </c>
      <c r="X1649">
        <v>2004</v>
      </c>
      <c r="Z1649">
        <v>2</v>
      </c>
      <c r="AB1649">
        <v>0</v>
      </c>
      <c r="AC1649" t="s">
        <v>115</v>
      </c>
      <c r="AD1649">
        <v>2</v>
      </c>
      <c r="AE1649" t="s">
        <v>115</v>
      </c>
      <c r="AF1649">
        <v>0</v>
      </c>
      <c r="AG1649">
        <v>0</v>
      </c>
      <c r="AH1649" t="s">
        <v>116</v>
      </c>
      <c r="AI1649" s="1">
        <v>53325</v>
      </c>
      <c r="AJ1649" s="2">
        <v>0.21</v>
      </c>
      <c r="AK1649" s="1">
        <v>256125</v>
      </c>
      <c r="AL1649" t="s">
        <v>117</v>
      </c>
      <c r="AM1649" t="s">
        <v>118</v>
      </c>
      <c r="AN1649">
        <v>6050</v>
      </c>
      <c r="AO1649">
        <v>0.14000000000000001</v>
      </c>
      <c r="AP1649">
        <v>1</v>
      </c>
      <c r="AR1649">
        <v>1</v>
      </c>
      <c r="AS1649" s="1">
        <v>16230</v>
      </c>
      <c r="AT1649" s="1">
        <v>3240</v>
      </c>
      <c r="AU1649" s="1">
        <v>12990</v>
      </c>
      <c r="AV1649">
        <v>80.040000000000006</v>
      </c>
      <c r="AX1649" s="1">
        <v>1570.56</v>
      </c>
      <c r="AY1649" t="s">
        <v>9447</v>
      </c>
      <c r="AZ1649" t="s">
        <v>9447</v>
      </c>
      <c r="BA1649" t="s">
        <v>4254</v>
      </c>
      <c r="BE1649" s="3">
        <v>42194</v>
      </c>
      <c r="BF1649" s="1">
        <v>200000</v>
      </c>
      <c r="BG1649" t="s">
        <v>11250</v>
      </c>
      <c r="BH1649" s="1">
        <v>93.9</v>
      </c>
      <c r="BI1649" s="1">
        <v>202800</v>
      </c>
      <c r="BJ1649" s="3">
        <v>42494</v>
      </c>
      <c r="BK1649" t="s">
        <v>123</v>
      </c>
      <c r="BL1649" t="str">
        <f>"2016.304420"</f>
        <v>2016.304420</v>
      </c>
      <c r="BM1649" t="s">
        <v>2489</v>
      </c>
      <c r="BO1649" t="s">
        <v>11251</v>
      </c>
      <c r="BS1649">
        <v>30</v>
      </c>
      <c r="BW1649" t="str">
        <f>""</f>
        <v/>
      </c>
      <c r="CH1649" t="str">
        <f>""</f>
        <v/>
      </c>
      <c r="CS1649" t="str">
        <f>""</f>
        <v/>
      </c>
    </row>
    <row r="1650" spans="1:97" x14ac:dyDescent="0.25">
      <c r="A1650" t="s">
        <v>11252</v>
      </c>
      <c r="B1650" t="s">
        <v>11253</v>
      </c>
      <c r="C1650" t="s">
        <v>179</v>
      </c>
      <c r="D1650" t="s">
        <v>11253</v>
      </c>
      <c r="E1650" t="s">
        <v>11254</v>
      </c>
      <c r="F1650" t="s">
        <v>108</v>
      </c>
      <c r="H1650" t="s">
        <v>11255</v>
      </c>
      <c r="I1650" t="s">
        <v>2874</v>
      </c>
      <c r="J1650" t="s">
        <v>111</v>
      </c>
      <c r="K1650" t="str">
        <f>"85303"</f>
        <v>85303</v>
      </c>
      <c r="L1650" t="s">
        <v>6682</v>
      </c>
      <c r="M1650" t="s">
        <v>11255</v>
      </c>
      <c r="N1650" t="s">
        <v>2874</v>
      </c>
      <c r="O1650" t="s">
        <v>111</v>
      </c>
      <c r="P1650" t="str">
        <f>"85303-1934"</f>
        <v>85303-1934</v>
      </c>
      <c r="Q1650" t="s">
        <v>113</v>
      </c>
      <c r="R1650" t="str">
        <f>"142-26-377"</f>
        <v>142-26-377</v>
      </c>
      <c r="S1650" t="s">
        <v>11256</v>
      </c>
      <c r="U1650">
        <v>1855</v>
      </c>
      <c r="V1650">
        <v>0</v>
      </c>
      <c r="W1650">
        <v>3</v>
      </c>
      <c r="X1650">
        <v>2003</v>
      </c>
      <c r="Z1650">
        <v>1</v>
      </c>
      <c r="AA1650" t="s">
        <v>26</v>
      </c>
      <c r="AB1650">
        <v>0</v>
      </c>
      <c r="AC1650" t="s">
        <v>115</v>
      </c>
      <c r="AD1650">
        <v>2</v>
      </c>
      <c r="AE1650" t="s">
        <v>115</v>
      </c>
      <c r="AF1650">
        <v>0</v>
      </c>
      <c r="AG1650">
        <v>0</v>
      </c>
      <c r="AH1650" t="s">
        <v>116</v>
      </c>
      <c r="AI1650" s="1">
        <v>53626</v>
      </c>
      <c r="AJ1650" s="2">
        <v>0.2</v>
      </c>
      <c r="AK1650" s="1">
        <v>264757</v>
      </c>
      <c r="AL1650" t="s">
        <v>117</v>
      </c>
      <c r="AM1650" t="s">
        <v>393</v>
      </c>
      <c r="AN1650">
        <v>7150</v>
      </c>
      <c r="AO1650">
        <v>0.16</v>
      </c>
      <c r="AP1650">
        <v>1</v>
      </c>
      <c r="AR1650">
        <v>1</v>
      </c>
      <c r="AS1650" s="1">
        <v>17720</v>
      </c>
      <c r="AT1650" s="1">
        <v>3540</v>
      </c>
      <c r="AU1650" s="1">
        <v>14180</v>
      </c>
      <c r="AV1650">
        <v>80.02</v>
      </c>
      <c r="AX1650" s="1">
        <v>1622.14</v>
      </c>
      <c r="AY1650" t="s">
        <v>6684</v>
      </c>
      <c r="AZ1650" t="s">
        <v>6684</v>
      </c>
      <c r="BA1650" t="s">
        <v>2878</v>
      </c>
      <c r="BB1650" s="3">
        <v>43560</v>
      </c>
      <c r="BC1650" s="1">
        <v>0</v>
      </c>
      <c r="BD1650" t="s">
        <v>247</v>
      </c>
      <c r="BE1650" s="3">
        <v>42194</v>
      </c>
      <c r="BF1650" s="1">
        <v>194000</v>
      </c>
      <c r="BG1650" t="s">
        <v>11257</v>
      </c>
      <c r="BH1650" s="1">
        <v>104.58</v>
      </c>
      <c r="BI1650" s="1">
        <v>211131</v>
      </c>
      <c r="BJ1650" s="3">
        <v>43560</v>
      </c>
      <c r="BK1650" t="s">
        <v>123</v>
      </c>
      <c r="BL1650" t="str">
        <f>"2019.238705"</f>
        <v>2019.238705</v>
      </c>
      <c r="BM1650" t="s">
        <v>3562</v>
      </c>
      <c r="BN1650" t="s">
        <v>3686</v>
      </c>
      <c r="BO1650" t="s">
        <v>11258</v>
      </c>
      <c r="BP1650" t="s">
        <v>11259</v>
      </c>
      <c r="BR1650" t="s">
        <v>139</v>
      </c>
      <c r="BW1650" t="str">
        <f>""</f>
        <v/>
      </c>
      <c r="CH1650" t="str">
        <f>""</f>
        <v/>
      </c>
      <c r="CS1650" t="str">
        <f>""</f>
        <v/>
      </c>
    </row>
    <row r="1651" spans="1:97" x14ac:dyDescent="0.25">
      <c r="A1651" t="s">
        <v>610</v>
      </c>
      <c r="B1651" t="s">
        <v>11260</v>
      </c>
      <c r="C1651" t="s">
        <v>1119</v>
      </c>
      <c r="D1651" t="s">
        <v>11260</v>
      </c>
      <c r="E1651" t="s">
        <v>11261</v>
      </c>
      <c r="F1651" t="s">
        <v>108</v>
      </c>
      <c r="H1651" t="s">
        <v>11262</v>
      </c>
      <c r="I1651" t="s">
        <v>499</v>
      </c>
      <c r="J1651" t="s">
        <v>111</v>
      </c>
      <c r="K1651" t="str">
        <f>"85338"</f>
        <v>85338</v>
      </c>
      <c r="L1651" t="s">
        <v>8146</v>
      </c>
      <c r="M1651" t="s">
        <v>11262</v>
      </c>
      <c r="N1651" t="s">
        <v>499</v>
      </c>
      <c r="O1651" t="s">
        <v>111</v>
      </c>
      <c r="P1651" t="str">
        <f>"85338-7511"</f>
        <v>85338-7511</v>
      </c>
      <c r="Q1651" t="s">
        <v>113</v>
      </c>
      <c r="R1651" t="str">
        <f>"502-44-197"</f>
        <v>502-44-197</v>
      </c>
      <c r="S1651" t="s">
        <v>5101</v>
      </c>
      <c r="T1651" t="s">
        <v>5102</v>
      </c>
      <c r="U1651">
        <v>3961</v>
      </c>
      <c r="V1651">
        <v>0</v>
      </c>
      <c r="W1651">
        <v>6</v>
      </c>
      <c r="X1651">
        <v>2015</v>
      </c>
      <c r="Z1651">
        <v>2</v>
      </c>
      <c r="AB1651">
        <v>0</v>
      </c>
      <c r="AC1651" t="s">
        <v>115</v>
      </c>
      <c r="AD1651">
        <v>4</v>
      </c>
      <c r="AE1651" t="s">
        <v>115</v>
      </c>
      <c r="AF1651">
        <v>0</v>
      </c>
      <c r="AG1651">
        <v>0</v>
      </c>
      <c r="AH1651" t="s">
        <v>116</v>
      </c>
      <c r="AI1651" s="1">
        <v>92141</v>
      </c>
      <c r="AJ1651" s="2">
        <v>0.22</v>
      </c>
      <c r="AK1651" s="1">
        <v>413357</v>
      </c>
      <c r="AL1651" t="s">
        <v>117</v>
      </c>
      <c r="AM1651" t="s">
        <v>118</v>
      </c>
      <c r="AN1651">
        <v>9160</v>
      </c>
      <c r="AO1651">
        <v>0.21</v>
      </c>
      <c r="AR1651">
        <v>1</v>
      </c>
      <c r="AS1651" s="1">
        <v>30550</v>
      </c>
      <c r="AT1651" s="1">
        <v>6110</v>
      </c>
      <c r="AU1651" s="1">
        <v>24440</v>
      </c>
      <c r="AV1651">
        <v>80</v>
      </c>
      <c r="AX1651" s="1">
        <v>2424.84</v>
      </c>
      <c r="AY1651" t="s">
        <v>2767</v>
      </c>
      <c r="AZ1651" t="s">
        <v>2767</v>
      </c>
      <c r="BA1651" t="s">
        <v>1247</v>
      </c>
      <c r="BE1651" s="3">
        <v>42135</v>
      </c>
      <c r="BF1651" s="1">
        <v>314456</v>
      </c>
      <c r="BG1651" t="s">
        <v>275</v>
      </c>
      <c r="BH1651" s="1">
        <v>79.39</v>
      </c>
      <c r="BI1651" s="1">
        <v>321216</v>
      </c>
      <c r="BJ1651" s="3">
        <v>42135</v>
      </c>
      <c r="BK1651" t="s">
        <v>123</v>
      </c>
      <c r="BL1651" t="str">
        <f>"2015.330978"</f>
        <v>2015.330978</v>
      </c>
      <c r="BM1651" t="s">
        <v>651</v>
      </c>
      <c r="BO1651" t="s">
        <v>11263</v>
      </c>
      <c r="BS1651">
        <v>30</v>
      </c>
      <c r="BW1651" t="str">
        <f>""</f>
        <v/>
      </c>
      <c r="CH1651" t="str">
        <f>""</f>
        <v/>
      </c>
      <c r="CS1651" t="str">
        <f>""</f>
        <v/>
      </c>
    </row>
    <row r="1652" spans="1:97" x14ac:dyDescent="0.25">
      <c r="A1652" t="s">
        <v>11264</v>
      </c>
      <c r="B1652" t="s">
        <v>11265</v>
      </c>
      <c r="C1652" t="s">
        <v>11266</v>
      </c>
      <c r="D1652" t="s">
        <v>11265</v>
      </c>
      <c r="E1652" t="s">
        <v>11267</v>
      </c>
      <c r="F1652" t="s">
        <v>108</v>
      </c>
      <c r="H1652" t="s">
        <v>11268</v>
      </c>
      <c r="I1652" t="s">
        <v>144</v>
      </c>
      <c r="J1652" t="s">
        <v>111</v>
      </c>
      <c r="K1652" t="str">
        <f>"85326"</f>
        <v>85326</v>
      </c>
      <c r="L1652" t="s">
        <v>7607</v>
      </c>
      <c r="M1652" t="s">
        <v>11268</v>
      </c>
      <c r="N1652" t="s">
        <v>144</v>
      </c>
      <c r="O1652" t="s">
        <v>111</v>
      </c>
      <c r="P1652" t="str">
        <f>"85326-6280"</f>
        <v>85326-6280</v>
      </c>
      <c r="Q1652" t="s">
        <v>113</v>
      </c>
      <c r="R1652" t="str">
        <f>"504-60-908"</f>
        <v>504-60-908</v>
      </c>
      <c r="S1652" t="s">
        <v>11269</v>
      </c>
      <c r="U1652">
        <v>2375</v>
      </c>
      <c r="V1652">
        <v>0</v>
      </c>
      <c r="W1652">
        <v>3</v>
      </c>
      <c r="X1652">
        <v>2005</v>
      </c>
      <c r="Z1652">
        <v>2</v>
      </c>
      <c r="AB1652">
        <v>0</v>
      </c>
      <c r="AC1652" t="s">
        <v>115</v>
      </c>
      <c r="AD1652">
        <v>2</v>
      </c>
      <c r="AE1652" t="s">
        <v>115</v>
      </c>
      <c r="AF1652">
        <v>0</v>
      </c>
      <c r="AG1652">
        <v>0</v>
      </c>
      <c r="AH1652" t="s">
        <v>116</v>
      </c>
      <c r="AI1652" s="1">
        <v>20375</v>
      </c>
      <c r="AJ1652" s="2">
        <v>0.08</v>
      </c>
      <c r="AK1652" s="1">
        <v>241178</v>
      </c>
      <c r="AL1652" t="s">
        <v>117</v>
      </c>
      <c r="AM1652" t="s">
        <v>118</v>
      </c>
      <c r="AN1652">
        <v>5363</v>
      </c>
      <c r="AO1652">
        <v>0.12</v>
      </c>
      <c r="AR1652">
        <v>1</v>
      </c>
      <c r="AS1652" s="1">
        <v>15530</v>
      </c>
      <c r="AT1652" s="1">
        <v>3100</v>
      </c>
      <c r="AU1652" s="1">
        <v>12430</v>
      </c>
      <c r="AV1652">
        <v>80.040000000000006</v>
      </c>
      <c r="AX1652" s="1">
        <v>1375.4</v>
      </c>
      <c r="AY1652" t="s">
        <v>8444</v>
      </c>
      <c r="AZ1652" t="s">
        <v>8444</v>
      </c>
      <c r="BA1652" t="s">
        <v>5025</v>
      </c>
      <c r="BE1652" s="3">
        <v>42025</v>
      </c>
      <c r="BF1652" s="1">
        <v>159900</v>
      </c>
      <c r="BG1652" t="s">
        <v>11270</v>
      </c>
      <c r="BH1652" s="1">
        <v>67.33</v>
      </c>
      <c r="BI1652" s="1">
        <v>220803</v>
      </c>
      <c r="BJ1652" s="3">
        <v>43593</v>
      </c>
      <c r="BK1652" t="s">
        <v>123</v>
      </c>
      <c r="BL1652" t="str">
        <f>"2019.331874"</f>
        <v>2019.331874</v>
      </c>
      <c r="BM1652" t="s">
        <v>1610</v>
      </c>
      <c r="BN1652" t="s">
        <v>1611</v>
      </c>
      <c r="BO1652" t="s">
        <v>11271</v>
      </c>
      <c r="BP1652" t="s">
        <v>11272</v>
      </c>
      <c r="BR1652" t="s">
        <v>139</v>
      </c>
      <c r="BW1652" t="str">
        <f>""</f>
        <v/>
      </c>
      <c r="CH1652" t="str">
        <f>""</f>
        <v/>
      </c>
      <c r="CS1652" t="str">
        <f>""</f>
        <v/>
      </c>
    </row>
    <row r="1653" spans="1:97" x14ac:dyDescent="0.25">
      <c r="A1653" t="s">
        <v>11273</v>
      </c>
      <c r="B1653" t="s">
        <v>11274</v>
      </c>
      <c r="E1653" t="s">
        <v>11275</v>
      </c>
      <c r="F1653" t="s">
        <v>108</v>
      </c>
      <c r="H1653" t="s">
        <v>11276</v>
      </c>
      <c r="I1653" t="s">
        <v>390</v>
      </c>
      <c r="J1653" t="s">
        <v>111</v>
      </c>
      <c r="K1653" t="str">
        <f>"85037"</f>
        <v>85037</v>
      </c>
      <c r="L1653" t="s">
        <v>5910</v>
      </c>
      <c r="M1653" t="s">
        <v>11276</v>
      </c>
      <c r="N1653" t="s">
        <v>390</v>
      </c>
      <c r="O1653" t="s">
        <v>111</v>
      </c>
      <c r="P1653" t="str">
        <f>"85037-6311"</f>
        <v>85037-6311</v>
      </c>
      <c r="Q1653" t="s">
        <v>113</v>
      </c>
      <c r="R1653" t="str">
        <f>"102-34-117"</f>
        <v>102-34-117</v>
      </c>
      <c r="S1653" t="s">
        <v>11277</v>
      </c>
      <c r="T1653" t="s">
        <v>11278</v>
      </c>
      <c r="U1653">
        <v>3050</v>
      </c>
      <c r="V1653">
        <v>0</v>
      </c>
      <c r="W1653">
        <v>4</v>
      </c>
      <c r="X1653">
        <v>2004</v>
      </c>
      <c r="Z1653">
        <v>2</v>
      </c>
      <c r="AA1653" t="s">
        <v>26</v>
      </c>
      <c r="AB1653">
        <v>0</v>
      </c>
      <c r="AC1653" t="s">
        <v>115</v>
      </c>
      <c r="AD1653">
        <v>3</v>
      </c>
      <c r="AE1653" t="s">
        <v>115</v>
      </c>
      <c r="AF1653">
        <v>0</v>
      </c>
      <c r="AG1653">
        <v>0</v>
      </c>
      <c r="AH1653" t="s">
        <v>116</v>
      </c>
      <c r="AI1653" s="1">
        <v>68406</v>
      </c>
      <c r="AJ1653" s="2">
        <v>0.22</v>
      </c>
      <c r="AK1653" s="1">
        <v>305906</v>
      </c>
      <c r="AL1653" t="s">
        <v>117</v>
      </c>
      <c r="AM1653" t="s">
        <v>171</v>
      </c>
      <c r="AN1653">
        <v>7245</v>
      </c>
      <c r="AO1653">
        <v>0.17</v>
      </c>
      <c r="AP1653">
        <v>1</v>
      </c>
      <c r="AR1653">
        <v>1</v>
      </c>
      <c r="AS1653" s="1">
        <v>20820</v>
      </c>
      <c r="AT1653" s="1">
        <v>4160</v>
      </c>
      <c r="AU1653" s="1">
        <v>16660</v>
      </c>
      <c r="AV1653">
        <v>80.02</v>
      </c>
      <c r="AX1653" s="1">
        <v>2002.26</v>
      </c>
      <c r="AY1653" t="s">
        <v>11279</v>
      </c>
      <c r="AZ1653" t="s">
        <v>11279</v>
      </c>
      <c r="BA1653" t="s">
        <v>11280</v>
      </c>
      <c r="BE1653" s="3">
        <v>42223</v>
      </c>
      <c r="BF1653" s="1">
        <v>237500</v>
      </c>
      <c r="BG1653" t="s">
        <v>11281</v>
      </c>
      <c r="BH1653" s="1">
        <v>77.87</v>
      </c>
      <c r="BI1653" s="1">
        <v>237500</v>
      </c>
      <c r="BJ1653" s="3">
        <v>42223</v>
      </c>
      <c r="BK1653" t="s">
        <v>123</v>
      </c>
      <c r="BL1653" t="str">
        <f>"2015.575157"</f>
        <v>2015.575157</v>
      </c>
      <c r="BM1653" t="s">
        <v>11282</v>
      </c>
      <c r="BO1653" t="s">
        <v>11283</v>
      </c>
      <c r="BS1653">
        <v>30</v>
      </c>
      <c r="BW1653" t="str">
        <f>""</f>
        <v/>
      </c>
      <c r="CH1653" t="str">
        <f>""</f>
        <v/>
      </c>
      <c r="CS1653" t="str">
        <f>""</f>
        <v/>
      </c>
    </row>
    <row r="1654" spans="1:97" x14ac:dyDescent="0.25">
      <c r="A1654" t="s">
        <v>11264</v>
      </c>
      <c r="B1654" t="s">
        <v>3786</v>
      </c>
      <c r="E1654" t="s">
        <v>11284</v>
      </c>
      <c r="F1654" t="s">
        <v>108</v>
      </c>
      <c r="H1654" t="s">
        <v>11285</v>
      </c>
      <c r="I1654" t="s">
        <v>5114</v>
      </c>
      <c r="J1654" t="s">
        <v>111</v>
      </c>
      <c r="K1654" t="str">
        <f>"85392"</f>
        <v>85392</v>
      </c>
      <c r="L1654" t="s">
        <v>3430</v>
      </c>
      <c r="M1654" t="s">
        <v>11285</v>
      </c>
      <c r="N1654" t="s">
        <v>5114</v>
      </c>
      <c r="O1654" t="s">
        <v>111</v>
      </c>
      <c r="P1654" t="str">
        <f>"85392-4357"</f>
        <v>85392-4357</v>
      </c>
      <c r="Q1654" t="s">
        <v>113</v>
      </c>
      <c r="R1654" t="str">
        <f>"102-86-827"</f>
        <v>102-86-827</v>
      </c>
      <c r="S1654" t="s">
        <v>11286</v>
      </c>
      <c r="T1654" t="s">
        <v>11287</v>
      </c>
      <c r="U1654">
        <v>1816</v>
      </c>
      <c r="V1654">
        <v>0</v>
      </c>
      <c r="W1654">
        <v>3</v>
      </c>
      <c r="X1654">
        <v>1996</v>
      </c>
      <c r="Z1654">
        <v>1</v>
      </c>
      <c r="AA1654" t="s">
        <v>26</v>
      </c>
      <c r="AB1654">
        <v>0</v>
      </c>
      <c r="AC1654" t="s">
        <v>115</v>
      </c>
      <c r="AD1654">
        <v>2</v>
      </c>
      <c r="AE1654" t="s">
        <v>115</v>
      </c>
      <c r="AF1654">
        <v>0</v>
      </c>
      <c r="AG1654">
        <v>0</v>
      </c>
      <c r="AH1654" t="s">
        <v>116</v>
      </c>
      <c r="AI1654" s="1">
        <v>59260</v>
      </c>
      <c r="AJ1654" s="2">
        <v>0.23</v>
      </c>
      <c r="AK1654" s="1">
        <v>262503</v>
      </c>
      <c r="AL1654" t="s">
        <v>117</v>
      </c>
      <c r="AM1654" t="s">
        <v>118</v>
      </c>
      <c r="AN1654">
        <v>6500</v>
      </c>
      <c r="AO1654">
        <v>0.15</v>
      </c>
      <c r="AP1654">
        <v>1</v>
      </c>
      <c r="AR1654">
        <v>1</v>
      </c>
      <c r="AS1654" s="1">
        <v>18530</v>
      </c>
      <c r="AT1654" s="1">
        <v>3700</v>
      </c>
      <c r="AU1654" s="1">
        <v>14830</v>
      </c>
      <c r="AV1654">
        <v>80.03</v>
      </c>
      <c r="AX1654" s="1">
        <v>1818.3</v>
      </c>
      <c r="AY1654" t="s">
        <v>8084</v>
      </c>
      <c r="AZ1654" t="s">
        <v>8084</v>
      </c>
      <c r="BA1654" t="s">
        <v>5118</v>
      </c>
      <c r="BE1654" s="3">
        <v>41887</v>
      </c>
      <c r="BF1654" s="1">
        <v>179900</v>
      </c>
      <c r="BG1654" t="s">
        <v>11288</v>
      </c>
      <c r="BH1654" s="1">
        <v>99.06</v>
      </c>
      <c r="BI1654" s="1">
        <v>203243</v>
      </c>
      <c r="BJ1654" s="3">
        <v>43082</v>
      </c>
      <c r="BK1654" t="s">
        <v>123</v>
      </c>
      <c r="BL1654" t="str">
        <f>"2017.919989"</f>
        <v>2017.919989</v>
      </c>
      <c r="BM1654" t="s">
        <v>3638</v>
      </c>
      <c r="BO1654" t="s">
        <v>11289</v>
      </c>
      <c r="BS1654">
        <v>31</v>
      </c>
      <c r="BW1654" t="str">
        <f>""</f>
        <v/>
      </c>
      <c r="CH1654" t="str">
        <f>""</f>
        <v/>
      </c>
      <c r="CS1654" t="str">
        <f>""</f>
        <v/>
      </c>
    </row>
    <row r="1655" spans="1:97" x14ac:dyDescent="0.25">
      <c r="A1655" t="s">
        <v>11290</v>
      </c>
      <c r="B1655" t="s">
        <v>11291</v>
      </c>
      <c r="C1655" t="s">
        <v>4515</v>
      </c>
      <c r="D1655" t="s">
        <v>11291</v>
      </c>
      <c r="E1655" t="s">
        <v>11292</v>
      </c>
      <c r="F1655" t="s">
        <v>108</v>
      </c>
      <c r="H1655" t="s">
        <v>11293</v>
      </c>
      <c r="I1655" t="s">
        <v>453</v>
      </c>
      <c r="J1655" t="s">
        <v>111</v>
      </c>
      <c r="K1655" t="str">
        <f>"85383"</f>
        <v>85383</v>
      </c>
      <c r="L1655" t="s">
        <v>4467</v>
      </c>
      <c r="M1655" t="s">
        <v>11293</v>
      </c>
      <c r="N1655" t="s">
        <v>453</v>
      </c>
      <c r="O1655" t="s">
        <v>111</v>
      </c>
      <c r="P1655" t="str">
        <f>"85383-3495"</f>
        <v>85383-3495</v>
      </c>
      <c r="Q1655" t="s">
        <v>113</v>
      </c>
      <c r="R1655" t="str">
        <f>"510-01-222"</f>
        <v>510-01-222</v>
      </c>
      <c r="S1655" t="s">
        <v>11294</v>
      </c>
      <c r="T1655" t="s">
        <v>11295</v>
      </c>
      <c r="U1655">
        <v>2544</v>
      </c>
      <c r="V1655">
        <v>0</v>
      </c>
      <c r="W1655">
        <v>4</v>
      </c>
      <c r="X1655">
        <v>2005</v>
      </c>
      <c r="Z1655">
        <v>2</v>
      </c>
      <c r="AA1655" t="s">
        <v>26</v>
      </c>
      <c r="AB1655">
        <v>0</v>
      </c>
      <c r="AC1655" t="s">
        <v>115</v>
      </c>
      <c r="AD1655">
        <v>3</v>
      </c>
      <c r="AE1655" t="s">
        <v>115</v>
      </c>
      <c r="AF1655">
        <v>0</v>
      </c>
      <c r="AG1655">
        <v>0</v>
      </c>
      <c r="AH1655" t="s">
        <v>116</v>
      </c>
      <c r="AI1655" s="1">
        <v>2390</v>
      </c>
      <c r="AJ1655" s="2">
        <v>0.01</v>
      </c>
      <c r="AK1655" s="1">
        <v>348013</v>
      </c>
      <c r="AL1655" t="s">
        <v>117</v>
      </c>
      <c r="AM1655" t="s">
        <v>118</v>
      </c>
      <c r="AN1655">
        <v>6433</v>
      </c>
      <c r="AO1655">
        <v>0.15</v>
      </c>
      <c r="AR1655">
        <v>1</v>
      </c>
      <c r="AS1655" s="1">
        <v>23800</v>
      </c>
      <c r="AT1655" s="1">
        <v>4760</v>
      </c>
      <c r="AU1655" s="1">
        <v>19040</v>
      </c>
      <c r="AV1655">
        <v>80</v>
      </c>
      <c r="AX1655" s="1">
        <v>2652.84</v>
      </c>
      <c r="AY1655" t="s">
        <v>627</v>
      </c>
      <c r="AZ1655" t="s">
        <v>627</v>
      </c>
      <c r="BA1655" t="s">
        <v>457</v>
      </c>
      <c r="BE1655" s="3">
        <v>42214</v>
      </c>
      <c r="BF1655" s="1">
        <v>284900</v>
      </c>
      <c r="BG1655" t="s">
        <v>11296</v>
      </c>
      <c r="BH1655" s="1">
        <v>111.99</v>
      </c>
      <c r="BI1655" s="1">
        <v>345623</v>
      </c>
      <c r="BJ1655" s="3">
        <v>43167</v>
      </c>
      <c r="BK1655" t="s">
        <v>123</v>
      </c>
      <c r="BL1655" t="str">
        <f>"2018.175612"</f>
        <v>2018.175612</v>
      </c>
      <c r="BM1655" t="s">
        <v>5534</v>
      </c>
      <c r="BN1655" t="s">
        <v>6390</v>
      </c>
      <c r="BO1655" t="s">
        <v>11297</v>
      </c>
      <c r="BP1655" t="s">
        <v>11298</v>
      </c>
      <c r="BR1655" t="s">
        <v>139</v>
      </c>
      <c r="BW1655" t="str">
        <f>""</f>
        <v/>
      </c>
      <c r="CH1655" t="str">
        <f>""</f>
        <v/>
      </c>
      <c r="CS1655" t="str">
        <f>""</f>
        <v/>
      </c>
    </row>
    <row r="1656" spans="1:97" x14ac:dyDescent="0.25">
      <c r="A1656" t="s">
        <v>305</v>
      </c>
      <c r="B1656" t="s">
        <v>11299</v>
      </c>
      <c r="E1656" t="s">
        <v>11300</v>
      </c>
      <c r="F1656" t="s">
        <v>108</v>
      </c>
      <c r="H1656" t="s">
        <v>11301</v>
      </c>
      <c r="I1656" t="s">
        <v>390</v>
      </c>
      <c r="J1656" t="s">
        <v>111</v>
      </c>
      <c r="K1656" t="str">
        <f>"85048"</f>
        <v>85048</v>
      </c>
      <c r="L1656" t="s">
        <v>8034</v>
      </c>
      <c r="M1656" t="s">
        <v>11301</v>
      </c>
      <c r="N1656" t="s">
        <v>390</v>
      </c>
      <c r="O1656" t="s">
        <v>111</v>
      </c>
      <c r="P1656" t="str">
        <f>"85048-9594"</f>
        <v>85048-9594</v>
      </c>
      <c r="Q1656" t="s">
        <v>113</v>
      </c>
      <c r="R1656" t="str">
        <f>"301-75-723"</f>
        <v>301-75-723</v>
      </c>
      <c r="S1656" t="s">
        <v>11302</v>
      </c>
      <c r="U1656">
        <v>2292</v>
      </c>
      <c r="V1656">
        <v>0</v>
      </c>
      <c r="W1656">
        <v>3</v>
      </c>
      <c r="X1656">
        <v>1994</v>
      </c>
      <c r="Z1656">
        <v>1</v>
      </c>
      <c r="AA1656" t="s">
        <v>26</v>
      </c>
      <c r="AB1656">
        <v>0</v>
      </c>
      <c r="AC1656" t="s">
        <v>115</v>
      </c>
      <c r="AD1656">
        <v>3</v>
      </c>
      <c r="AE1656" t="s">
        <v>115</v>
      </c>
      <c r="AF1656">
        <v>0</v>
      </c>
      <c r="AG1656">
        <v>0</v>
      </c>
      <c r="AH1656" t="s">
        <v>116</v>
      </c>
      <c r="AI1656" s="1">
        <v>66143</v>
      </c>
      <c r="AJ1656" s="2">
        <v>0.15</v>
      </c>
      <c r="AK1656" s="1">
        <v>452743</v>
      </c>
      <c r="AL1656" t="s">
        <v>117</v>
      </c>
      <c r="AM1656" t="str">
        <f>"R1-10"</f>
        <v>R1-10</v>
      </c>
      <c r="AN1656">
        <v>10193</v>
      </c>
      <c r="AO1656">
        <v>0.23</v>
      </c>
      <c r="AP1656">
        <v>1</v>
      </c>
      <c r="AR1656">
        <v>1</v>
      </c>
      <c r="AS1656" s="1">
        <v>33410</v>
      </c>
      <c r="AT1656" s="1">
        <v>6680</v>
      </c>
      <c r="AU1656" s="1">
        <v>26730</v>
      </c>
      <c r="AV1656">
        <v>80.010000000000005</v>
      </c>
      <c r="AX1656" s="1">
        <v>3301.28</v>
      </c>
      <c r="AY1656" t="s">
        <v>10121</v>
      </c>
      <c r="AZ1656" t="s">
        <v>2967</v>
      </c>
      <c r="BA1656" t="s">
        <v>930</v>
      </c>
      <c r="BE1656" s="3">
        <v>42047</v>
      </c>
      <c r="BF1656" s="1">
        <v>380000</v>
      </c>
      <c r="BG1656" t="s">
        <v>11303</v>
      </c>
      <c r="BH1656" s="1">
        <v>165.79</v>
      </c>
      <c r="BI1656" s="1">
        <v>386600</v>
      </c>
      <c r="BJ1656" s="3">
        <v>42047</v>
      </c>
      <c r="BK1656" t="s">
        <v>123</v>
      </c>
      <c r="BL1656" t="str">
        <f>"2015.91737"</f>
        <v>2015.91737</v>
      </c>
      <c r="BM1656" t="s">
        <v>1791</v>
      </c>
      <c r="BO1656" t="s">
        <v>11304</v>
      </c>
      <c r="BS1656">
        <v>30</v>
      </c>
      <c r="BW1656" t="str">
        <f>""</f>
        <v/>
      </c>
      <c r="CH1656" t="str">
        <f>""</f>
        <v/>
      </c>
      <c r="CS1656" t="str">
        <f>""</f>
        <v/>
      </c>
    </row>
    <row r="1657" spans="1:97" x14ac:dyDescent="0.25">
      <c r="B1657" t="s">
        <v>11305</v>
      </c>
      <c r="E1657" t="s">
        <v>3333</v>
      </c>
      <c r="F1657" t="s">
        <v>108</v>
      </c>
      <c r="H1657" t="s">
        <v>11306</v>
      </c>
      <c r="I1657" t="s">
        <v>390</v>
      </c>
      <c r="J1657" t="s">
        <v>111</v>
      </c>
      <c r="K1657" t="str">
        <f>"85032"</f>
        <v>85032</v>
      </c>
      <c r="L1657" t="s">
        <v>5176</v>
      </c>
      <c r="M1657" t="s">
        <v>11306</v>
      </c>
      <c r="N1657" t="s">
        <v>390</v>
      </c>
      <c r="O1657" t="s">
        <v>111</v>
      </c>
      <c r="P1657" t="str">
        <f>"85032-8511"</f>
        <v>85032-8511</v>
      </c>
      <c r="Q1657" t="s">
        <v>113</v>
      </c>
      <c r="R1657" t="str">
        <f>"215-70-345"</f>
        <v>215-70-345</v>
      </c>
      <c r="S1657" t="s">
        <v>11307</v>
      </c>
      <c r="T1657" t="s">
        <v>11308</v>
      </c>
      <c r="U1657">
        <v>2570</v>
      </c>
      <c r="V1657">
        <v>0</v>
      </c>
      <c r="W1657">
        <v>3</v>
      </c>
      <c r="X1657">
        <v>1996</v>
      </c>
      <c r="Z1657">
        <v>1</v>
      </c>
      <c r="AA1657" t="s">
        <v>26</v>
      </c>
      <c r="AB1657">
        <v>0</v>
      </c>
      <c r="AC1657" t="s">
        <v>115</v>
      </c>
      <c r="AD1657">
        <v>3</v>
      </c>
      <c r="AE1657" t="s">
        <v>115</v>
      </c>
      <c r="AF1657">
        <v>0</v>
      </c>
      <c r="AG1657">
        <v>0</v>
      </c>
      <c r="AH1657" t="s">
        <v>116</v>
      </c>
      <c r="AI1657" s="1">
        <v>76760</v>
      </c>
      <c r="AJ1657" s="2">
        <v>0.15</v>
      </c>
      <c r="AK1657" s="1">
        <v>525090</v>
      </c>
      <c r="AL1657" t="s">
        <v>117</v>
      </c>
      <c r="AM1657" t="s">
        <v>1302</v>
      </c>
      <c r="AN1657">
        <v>13876</v>
      </c>
      <c r="AO1657">
        <v>0.32</v>
      </c>
      <c r="AP1657">
        <v>1</v>
      </c>
      <c r="AR1657">
        <v>1</v>
      </c>
      <c r="AS1657" s="1">
        <v>38420</v>
      </c>
      <c r="AT1657" s="1">
        <v>7680</v>
      </c>
      <c r="AU1657" s="1">
        <v>30740</v>
      </c>
      <c r="AV1657">
        <v>80.010000000000005</v>
      </c>
      <c r="AX1657" s="1">
        <v>3631.5</v>
      </c>
      <c r="AY1657" t="s">
        <v>1316</v>
      </c>
      <c r="AZ1657" t="s">
        <v>1317</v>
      </c>
      <c r="BA1657" t="s">
        <v>1318</v>
      </c>
      <c r="BB1657" s="3">
        <v>42277</v>
      </c>
      <c r="BD1657" t="s">
        <v>240</v>
      </c>
      <c r="BE1657" s="3">
        <v>42277</v>
      </c>
      <c r="BF1657" s="1">
        <v>475200</v>
      </c>
      <c r="BG1657" t="s">
        <v>11309</v>
      </c>
      <c r="BH1657" s="1">
        <v>184.9</v>
      </c>
      <c r="BI1657" s="1">
        <v>448330</v>
      </c>
      <c r="BJ1657" s="3">
        <v>42674</v>
      </c>
      <c r="BK1657" t="s">
        <v>123</v>
      </c>
      <c r="BL1657" t="str">
        <f>"2016.801863"</f>
        <v>2016.801863</v>
      </c>
      <c r="BM1657" t="s">
        <v>2472</v>
      </c>
      <c r="BO1657" t="s">
        <v>11305</v>
      </c>
      <c r="BS1657">
        <v>30</v>
      </c>
      <c r="BW1657" t="str">
        <f>""</f>
        <v/>
      </c>
      <c r="CH1657" t="str">
        <f>""</f>
        <v/>
      </c>
      <c r="CS1657" t="str">
        <f>""</f>
        <v/>
      </c>
    </row>
    <row r="1658" spans="1:97" x14ac:dyDescent="0.25">
      <c r="A1658" t="s">
        <v>11310</v>
      </c>
      <c r="B1658" t="s">
        <v>11311</v>
      </c>
      <c r="E1658" t="s">
        <v>11312</v>
      </c>
      <c r="F1658" t="s">
        <v>108</v>
      </c>
      <c r="H1658" t="s">
        <v>11313</v>
      </c>
      <c r="I1658" t="s">
        <v>203</v>
      </c>
      <c r="J1658" t="s">
        <v>111</v>
      </c>
      <c r="K1658" t="str">
        <f>"85234"</f>
        <v>85234</v>
      </c>
      <c r="L1658" t="s">
        <v>375</v>
      </c>
      <c r="M1658" t="s">
        <v>11313</v>
      </c>
      <c r="N1658" t="s">
        <v>203</v>
      </c>
      <c r="O1658" t="s">
        <v>111</v>
      </c>
      <c r="P1658" t="str">
        <f>"85234-4808"</f>
        <v>85234-4808</v>
      </c>
      <c r="Q1658" t="s">
        <v>113</v>
      </c>
      <c r="R1658" t="str">
        <f>"304-13-809"</f>
        <v>304-13-809</v>
      </c>
      <c r="S1658" t="s">
        <v>9016</v>
      </c>
      <c r="T1658" t="s">
        <v>9017</v>
      </c>
      <c r="U1658">
        <v>2230</v>
      </c>
      <c r="V1658">
        <v>0</v>
      </c>
      <c r="W1658">
        <v>4</v>
      </c>
      <c r="X1658">
        <v>1989</v>
      </c>
      <c r="Z1658">
        <v>2</v>
      </c>
      <c r="AB1658">
        <v>0</v>
      </c>
      <c r="AC1658" t="s">
        <v>115</v>
      </c>
      <c r="AD1658">
        <v>2</v>
      </c>
      <c r="AE1658" t="s">
        <v>115</v>
      </c>
      <c r="AF1658">
        <v>0</v>
      </c>
      <c r="AG1658">
        <v>0</v>
      </c>
      <c r="AH1658" t="s">
        <v>116</v>
      </c>
      <c r="AI1658" s="1">
        <v>70814</v>
      </c>
      <c r="AJ1658" s="2">
        <v>0.21</v>
      </c>
      <c r="AK1658" s="1">
        <v>334164</v>
      </c>
      <c r="AL1658" t="s">
        <v>117</v>
      </c>
      <c r="AM1658" t="s">
        <v>393</v>
      </c>
      <c r="AN1658">
        <v>6094</v>
      </c>
      <c r="AO1658">
        <v>0.14000000000000001</v>
      </c>
      <c r="AP1658">
        <v>1</v>
      </c>
      <c r="AR1658">
        <v>1</v>
      </c>
      <c r="AS1658" s="1">
        <v>22970</v>
      </c>
      <c r="AT1658" s="1">
        <v>4590</v>
      </c>
      <c r="AU1658" s="1">
        <v>18380</v>
      </c>
      <c r="AV1658">
        <v>80.02</v>
      </c>
      <c r="AX1658" s="1">
        <v>1584.96</v>
      </c>
      <c r="AY1658" t="s">
        <v>272</v>
      </c>
      <c r="AZ1658" t="s">
        <v>5478</v>
      </c>
      <c r="BA1658" t="s">
        <v>5033</v>
      </c>
      <c r="BE1658" s="3">
        <v>42440</v>
      </c>
      <c r="BF1658" s="1">
        <v>250000</v>
      </c>
      <c r="BG1658" t="s">
        <v>11314</v>
      </c>
      <c r="BH1658" s="1">
        <v>112.11</v>
      </c>
      <c r="BI1658" s="1">
        <v>263350</v>
      </c>
      <c r="BJ1658" s="3">
        <v>42584</v>
      </c>
      <c r="BK1658" t="s">
        <v>123</v>
      </c>
      <c r="BL1658" t="str">
        <f>"2016.547911"</f>
        <v>2016.547911</v>
      </c>
      <c r="BM1658" t="s">
        <v>248</v>
      </c>
      <c r="BO1658" t="s">
        <v>11315</v>
      </c>
      <c r="BS1658">
        <v>30</v>
      </c>
      <c r="BW1658" t="str">
        <f>""</f>
        <v/>
      </c>
      <c r="CH1658" t="str">
        <f>""</f>
        <v/>
      </c>
      <c r="CS1658" t="str">
        <f>""</f>
        <v/>
      </c>
    </row>
    <row r="1659" spans="1:97" x14ac:dyDescent="0.25">
      <c r="A1659" t="s">
        <v>610</v>
      </c>
      <c r="B1659" t="s">
        <v>11316</v>
      </c>
      <c r="C1659" t="s">
        <v>2852</v>
      </c>
      <c r="D1659" t="s">
        <v>11316</v>
      </c>
      <c r="E1659" t="s">
        <v>11317</v>
      </c>
      <c r="F1659" t="s">
        <v>108</v>
      </c>
      <c r="H1659" t="s">
        <v>11318</v>
      </c>
      <c r="I1659" t="s">
        <v>203</v>
      </c>
      <c r="J1659" t="s">
        <v>111</v>
      </c>
      <c r="K1659" t="str">
        <f>"85295"</f>
        <v>85295</v>
      </c>
      <c r="L1659" t="s">
        <v>8435</v>
      </c>
      <c r="M1659" t="s">
        <v>11318</v>
      </c>
      <c r="N1659" t="s">
        <v>203</v>
      </c>
      <c r="O1659" t="s">
        <v>111</v>
      </c>
      <c r="P1659" t="str">
        <f>"85295-3470"</f>
        <v>85295-3470</v>
      </c>
      <c r="Q1659" t="s">
        <v>113</v>
      </c>
      <c r="R1659" t="str">
        <f>"304-46-685"</f>
        <v>304-46-685</v>
      </c>
      <c r="S1659" t="s">
        <v>8436</v>
      </c>
      <c r="U1659">
        <v>2356</v>
      </c>
      <c r="V1659">
        <v>0</v>
      </c>
      <c r="W1659">
        <v>3</v>
      </c>
      <c r="X1659">
        <v>2011</v>
      </c>
      <c r="Z1659">
        <v>2</v>
      </c>
      <c r="AB1659">
        <v>0</v>
      </c>
      <c r="AC1659" t="s">
        <v>115</v>
      </c>
      <c r="AD1659">
        <v>2</v>
      </c>
      <c r="AE1659" t="s">
        <v>115</v>
      </c>
      <c r="AF1659">
        <v>0</v>
      </c>
      <c r="AG1659">
        <v>0</v>
      </c>
      <c r="AH1659" t="s">
        <v>116</v>
      </c>
      <c r="AI1659" s="1">
        <v>89672</v>
      </c>
      <c r="AJ1659" s="2">
        <v>0.27</v>
      </c>
      <c r="AK1659" s="1">
        <v>333672</v>
      </c>
      <c r="AL1659" t="s">
        <v>117</v>
      </c>
      <c r="AM1659" t="s">
        <v>288</v>
      </c>
      <c r="AN1659">
        <v>4642</v>
      </c>
      <c r="AO1659">
        <v>0.11</v>
      </c>
      <c r="AR1659">
        <v>1</v>
      </c>
      <c r="AS1659" s="1">
        <v>22850</v>
      </c>
      <c r="AT1659" s="1">
        <v>4570</v>
      </c>
      <c r="AU1659" s="1">
        <v>18280</v>
      </c>
      <c r="AV1659">
        <v>80</v>
      </c>
      <c r="AX1659" s="1">
        <v>2128.54</v>
      </c>
      <c r="AY1659" t="s">
        <v>5094</v>
      </c>
      <c r="AZ1659" t="s">
        <v>5094</v>
      </c>
      <c r="BA1659" t="s">
        <v>473</v>
      </c>
      <c r="BE1659" s="3">
        <v>41670</v>
      </c>
      <c r="BF1659" s="1">
        <v>242000</v>
      </c>
      <c r="BG1659" t="s">
        <v>11319</v>
      </c>
      <c r="BH1659" s="1">
        <v>102.72</v>
      </c>
      <c r="BI1659" s="1">
        <v>244000</v>
      </c>
      <c r="BJ1659" s="3">
        <v>42529</v>
      </c>
      <c r="BK1659" t="s">
        <v>123</v>
      </c>
      <c r="BL1659" t="str">
        <f>"2016.396139"</f>
        <v>2016.396139</v>
      </c>
      <c r="BM1659" t="s">
        <v>1122</v>
      </c>
      <c r="BO1659" t="s">
        <v>11320</v>
      </c>
      <c r="BS1659">
        <v>30</v>
      </c>
      <c r="BW1659" t="str">
        <f>""</f>
        <v/>
      </c>
      <c r="CH1659" t="str">
        <f>""</f>
        <v/>
      </c>
      <c r="CS1659" t="str">
        <f>""</f>
        <v/>
      </c>
    </row>
    <row r="1660" spans="1:97" x14ac:dyDescent="0.25">
      <c r="A1660" t="s">
        <v>257</v>
      </c>
      <c r="B1660" t="s">
        <v>1697</v>
      </c>
      <c r="C1660" t="s">
        <v>11321</v>
      </c>
      <c r="D1660" t="s">
        <v>1697</v>
      </c>
      <c r="E1660" t="s">
        <v>11322</v>
      </c>
      <c r="F1660" t="s">
        <v>108</v>
      </c>
      <c r="H1660" t="s">
        <v>11323</v>
      </c>
      <c r="I1660" t="s">
        <v>390</v>
      </c>
      <c r="J1660" t="s">
        <v>111</v>
      </c>
      <c r="K1660" t="str">
        <f>"85032"</f>
        <v>85032</v>
      </c>
      <c r="L1660" t="s">
        <v>1300</v>
      </c>
      <c r="M1660" t="s">
        <v>11323</v>
      </c>
      <c r="N1660" t="s">
        <v>390</v>
      </c>
      <c r="O1660" t="s">
        <v>111</v>
      </c>
      <c r="P1660" t="str">
        <f>"85032-7339"</f>
        <v>85032-7339</v>
      </c>
      <c r="Q1660" t="s">
        <v>113</v>
      </c>
      <c r="R1660" t="str">
        <f>"166-01-930-A"</f>
        <v>166-01-930-A</v>
      </c>
      <c r="S1660" t="s">
        <v>11324</v>
      </c>
      <c r="T1660" t="s">
        <v>11325</v>
      </c>
      <c r="U1660">
        <v>1416</v>
      </c>
      <c r="V1660">
        <v>0</v>
      </c>
      <c r="W1660">
        <v>2</v>
      </c>
      <c r="X1660">
        <v>1979</v>
      </c>
      <c r="Z1660">
        <v>1</v>
      </c>
      <c r="AB1660">
        <v>0</v>
      </c>
      <c r="AC1660" t="s">
        <v>115</v>
      </c>
      <c r="AD1660">
        <v>2</v>
      </c>
      <c r="AE1660" t="s">
        <v>115</v>
      </c>
      <c r="AF1660">
        <v>0</v>
      </c>
      <c r="AG1660">
        <v>0</v>
      </c>
      <c r="AH1660" t="s">
        <v>116</v>
      </c>
      <c r="AI1660" s="1">
        <v>91199</v>
      </c>
      <c r="AJ1660" s="2">
        <v>0.31</v>
      </c>
      <c r="AK1660" s="1">
        <v>297542</v>
      </c>
      <c r="AL1660" t="s">
        <v>117</v>
      </c>
      <c r="AM1660" t="s">
        <v>171</v>
      </c>
      <c r="AN1660">
        <v>7201</v>
      </c>
      <c r="AO1660">
        <v>0.16</v>
      </c>
      <c r="AP1660">
        <v>1</v>
      </c>
      <c r="AR1660">
        <v>1</v>
      </c>
      <c r="AS1660" s="1">
        <v>19980</v>
      </c>
      <c r="AT1660" s="1">
        <v>3990</v>
      </c>
      <c r="AU1660" s="1">
        <v>15990</v>
      </c>
      <c r="AV1660">
        <v>80.03</v>
      </c>
      <c r="AX1660" s="1">
        <v>1236.5</v>
      </c>
      <c r="AY1660" t="s">
        <v>5488</v>
      </c>
      <c r="AZ1660" t="s">
        <v>5489</v>
      </c>
      <c r="BA1660" t="s">
        <v>5232</v>
      </c>
      <c r="BE1660" s="3">
        <v>41775</v>
      </c>
      <c r="BF1660" s="1">
        <v>202000</v>
      </c>
      <c r="BG1660" t="s">
        <v>11326</v>
      </c>
      <c r="BH1660" s="1">
        <v>142.66</v>
      </c>
      <c r="BI1660" s="1">
        <v>206343</v>
      </c>
      <c r="BJ1660" s="3">
        <v>41775</v>
      </c>
      <c r="BK1660" t="s">
        <v>123</v>
      </c>
      <c r="BL1660" t="str">
        <f>"2014.319976"</f>
        <v>2014.319976</v>
      </c>
      <c r="BM1660" t="s">
        <v>11327</v>
      </c>
      <c r="BO1660" t="s">
        <v>11328</v>
      </c>
      <c r="BS1660">
        <v>30</v>
      </c>
      <c r="BW1660" t="str">
        <f>""</f>
        <v/>
      </c>
      <c r="CH1660" t="str">
        <f>""</f>
        <v/>
      </c>
      <c r="CS1660" t="str">
        <f>""</f>
        <v/>
      </c>
    </row>
    <row r="1661" spans="1:97" x14ac:dyDescent="0.25">
      <c r="A1661" t="s">
        <v>2201</v>
      </c>
      <c r="B1661" t="s">
        <v>1619</v>
      </c>
      <c r="C1661" t="s">
        <v>11329</v>
      </c>
      <c r="D1661" t="s">
        <v>11330</v>
      </c>
      <c r="E1661" t="s">
        <v>11331</v>
      </c>
      <c r="F1661" t="s">
        <v>108</v>
      </c>
      <c r="H1661" t="s">
        <v>11332</v>
      </c>
      <c r="I1661" t="s">
        <v>632</v>
      </c>
      <c r="J1661" t="s">
        <v>111</v>
      </c>
      <c r="K1661" t="str">
        <f>"85388"</f>
        <v>85388</v>
      </c>
      <c r="L1661" t="s">
        <v>5727</v>
      </c>
      <c r="M1661" t="s">
        <v>11332</v>
      </c>
      <c r="N1661" t="s">
        <v>632</v>
      </c>
      <c r="O1661" t="s">
        <v>111</v>
      </c>
      <c r="P1661" t="str">
        <f>"85388-5655"</f>
        <v>85388-5655</v>
      </c>
      <c r="Q1661" t="s">
        <v>113</v>
      </c>
      <c r="R1661" t="str">
        <f>"502-06-229"</f>
        <v>502-06-229</v>
      </c>
      <c r="S1661" t="s">
        <v>5728</v>
      </c>
      <c r="T1661" t="s">
        <v>5167</v>
      </c>
      <c r="U1661">
        <v>2229</v>
      </c>
      <c r="V1661">
        <v>0</v>
      </c>
      <c r="W1661">
        <v>3</v>
      </c>
      <c r="X1661">
        <v>2009</v>
      </c>
      <c r="Z1661">
        <v>1</v>
      </c>
      <c r="AB1661">
        <v>0</v>
      </c>
      <c r="AC1661" t="s">
        <v>115</v>
      </c>
      <c r="AD1661">
        <v>3</v>
      </c>
      <c r="AE1661" t="s">
        <v>115</v>
      </c>
      <c r="AF1661">
        <v>0</v>
      </c>
      <c r="AG1661">
        <v>0</v>
      </c>
      <c r="AH1661" t="s">
        <v>116</v>
      </c>
      <c r="AI1661" s="1">
        <v>56115</v>
      </c>
      <c r="AJ1661" s="2">
        <v>0.19</v>
      </c>
      <c r="AK1661" s="1">
        <v>293115</v>
      </c>
      <c r="AL1661" t="s">
        <v>117</v>
      </c>
      <c r="AM1661" t="s">
        <v>118</v>
      </c>
      <c r="AN1661">
        <v>6764</v>
      </c>
      <c r="AO1661">
        <v>0.16</v>
      </c>
      <c r="AR1661">
        <v>1</v>
      </c>
      <c r="AS1661" s="1">
        <v>20520</v>
      </c>
      <c r="AT1661" s="1">
        <v>4100</v>
      </c>
      <c r="AU1661" s="1">
        <v>16420</v>
      </c>
      <c r="AV1661">
        <v>80.02</v>
      </c>
      <c r="AX1661" s="1">
        <v>1769.46</v>
      </c>
      <c r="AY1661" t="s">
        <v>5168</v>
      </c>
      <c r="AZ1661" t="s">
        <v>5168</v>
      </c>
      <c r="BA1661" t="s">
        <v>5061</v>
      </c>
      <c r="BE1661" s="3">
        <v>41974</v>
      </c>
      <c r="BF1661" s="1">
        <v>240000</v>
      </c>
      <c r="BG1661" t="s">
        <v>11333</v>
      </c>
      <c r="BH1661" s="1">
        <v>107.67</v>
      </c>
      <c r="BI1661" s="1">
        <v>237000</v>
      </c>
      <c r="BJ1661" s="3">
        <v>43312</v>
      </c>
      <c r="BK1661" t="s">
        <v>123</v>
      </c>
      <c r="BL1661" t="str">
        <f>"2018.578756"</f>
        <v>2018.578756</v>
      </c>
      <c r="BM1661" t="s">
        <v>1809</v>
      </c>
      <c r="BN1661" t="s">
        <v>1810</v>
      </c>
      <c r="BO1661" t="s">
        <v>11334</v>
      </c>
      <c r="BP1661" t="s">
        <v>11335</v>
      </c>
      <c r="BR1661" t="s">
        <v>139</v>
      </c>
      <c r="BW1661" t="str">
        <f>""</f>
        <v/>
      </c>
      <c r="CH1661" t="str">
        <f>""</f>
        <v/>
      </c>
      <c r="CS1661" t="str">
        <f>""</f>
        <v/>
      </c>
    </row>
    <row r="1662" spans="1:97" x14ac:dyDescent="0.25">
      <c r="A1662" t="s">
        <v>4169</v>
      </c>
      <c r="B1662" t="s">
        <v>11336</v>
      </c>
      <c r="C1662" t="s">
        <v>1857</v>
      </c>
      <c r="D1662" t="s">
        <v>11336</v>
      </c>
      <c r="E1662" t="s">
        <v>11337</v>
      </c>
      <c r="F1662" t="s">
        <v>108</v>
      </c>
      <c r="H1662" t="s">
        <v>11338</v>
      </c>
      <c r="I1662" t="s">
        <v>144</v>
      </c>
      <c r="J1662" t="s">
        <v>111</v>
      </c>
      <c r="K1662" t="str">
        <f>"85396"</f>
        <v>85396</v>
      </c>
      <c r="L1662" t="s">
        <v>11339</v>
      </c>
      <c r="M1662" t="s">
        <v>11338</v>
      </c>
      <c r="N1662" t="s">
        <v>144</v>
      </c>
      <c r="O1662" t="s">
        <v>111</v>
      </c>
      <c r="P1662" t="str">
        <f>"85396-7211"</f>
        <v>85396-7211</v>
      </c>
      <c r="Q1662" t="s">
        <v>113</v>
      </c>
      <c r="R1662" t="str">
        <f>"503-85-099"</f>
        <v>503-85-099</v>
      </c>
      <c r="S1662" t="s">
        <v>11340</v>
      </c>
      <c r="U1662">
        <v>2502</v>
      </c>
      <c r="V1662">
        <v>0</v>
      </c>
      <c r="W1662">
        <v>4</v>
      </c>
      <c r="X1662">
        <v>2008</v>
      </c>
      <c r="Z1662">
        <v>1</v>
      </c>
      <c r="AA1662" t="s">
        <v>26</v>
      </c>
      <c r="AB1662">
        <v>0</v>
      </c>
      <c r="AC1662" t="s">
        <v>115</v>
      </c>
      <c r="AD1662">
        <v>3</v>
      </c>
      <c r="AE1662" t="s">
        <v>115</v>
      </c>
      <c r="AF1662">
        <v>0</v>
      </c>
      <c r="AG1662">
        <v>0</v>
      </c>
      <c r="AH1662" t="s">
        <v>116</v>
      </c>
      <c r="AI1662" s="1">
        <v>66216</v>
      </c>
      <c r="AJ1662" s="2">
        <v>0.2</v>
      </c>
      <c r="AK1662" s="1">
        <v>338716</v>
      </c>
      <c r="AL1662" t="s">
        <v>117</v>
      </c>
      <c r="AM1662" t="s">
        <v>118</v>
      </c>
      <c r="AN1662">
        <v>8141</v>
      </c>
      <c r="AO1662">
        <v>0.19</v>
      </c>
      <c r="AR1662">
        <v>1</v>
      </c>
      <c r="AS1662" s="1">
        <v>23020</v>
      </c>
      <c r="AT1662" s="1">
        <v>4600</v>
      </c>
      <c r="AU1662" s="1">
        <v>18420</v>
      </c>
      <c r="AV1662">
        <v>80.02</v>
      </c>
      <c r="AX1662" s="1">
        <v>2228.48</v>
      </c>
      <c r="AY1662" t="s">
        <v>444</v>
      </c>
      <c r="AZ1662" t="s">
        <v>444</v>
      </c>
      <c r="BA1662" t="s">
        <v>445</v>
      </c>
      <c r="BE1662" s="3">
        <v>42536</v>
      </c>
      <c r="BF1662" s="1">
        <v>272500</v>
      </c>
      <c r="BG1662" t="s">
        <v>11341</v>
      </c>
      <c r="BH1662" s="1">
        <v>108.91</v>
      </c>
      <c r="BI1662" s="1">
        <v>272500</v>
      </c>
      <c r="BJ1662" s="3">
        <v>42536</v>
      </c>
      <c r="BK1662" t="s">
        <v>123</v>
      </c>
      <c r="BL1662" t="str">
        <f>"2016.416273"</f>
        <v>2016.416273</v>
      </c>
      <c r="BM1662" t="s">
        <v>544</v>
      </c>
      <c r="BO1662" t="s">
        <v>11342</v>
      </c>
      <c r="BS1662">
        <v>30</v>
      </c>
      <c r="BW1662" t="str">
        <f>""</f>
        <v/>
      </c>
      <c r="CH1662" t="str">
        <f>""</f>
        <v/>
      </c>
      <c r="CS1662" t="str">
        <f>""</f>
        <v/>
      </c>
    </row>
    <row r="1663" spans="1:97" x14ac:dyDescent="0.25">
      <c r="A1663" t="s">
        <v>639</v>
      </c>
      <c r="B1663" t="s">
        <v>10458</v>
      </c>
      <c r="E1663" t="s">
        <v>11343</v>
      </c>
      <c r="F1663" t="s">
        <v>108</v>
      </c>
      <c r="H1663" t="s">
        <v>11344</v>
      </c>
      <c r="I1663" t="s">
        <v>374</v>
      </c>
      <c r="J1663" t="s">
        <v>111</v>
      </c>
      <c r="K1663" t="str">
        <f>"85087"</f>
        <v>85087</v>
      </c>
      <c r="L1663" t="s">
        <v>11089</v>
      </c>
      <c r="M1663" t="s">
        <v>11344</v>
      </c>
      <c r="N1663" t="s">
        <v>374</v>
      </c>
      <c r="O1663" t="s">
        <v>111</v>
      </c>
      <c r="P1663" t="str">
        <f>"85087-3084"</f>
        <v>85087-3084</v>
      </c>
      <c r="Q1663" t="s">
        <v>113</v>
      </c>
      <c r="R1663" t="str">
        <f>"202-22-812"</f>
        <v>202-22-812</v>
      </c>
      <c r="S1663" t="s">
        <v>11345</v>
      </c>
      <c r="U1663">
        <v>2915</v>
      </c>
      <c r="V1663">
        <v>0</v>
      </c>
      <c r="W1663">
        <v>5</v>
      </c>
      <c r="X1663">
        <v>2007</v>
      </c>
      <c r="Z1663">
        <v>1</v>
      </c>
      <c r="AA1663" t="s">
        <v>26</v>
      </c>
      <c r="AB1663">
        <v>0</v>
      </c>
      <c r="AC1663" t="s">
        <v>115</v>
      </c>
      <c r="AD1663">
        <v>2</v>
      </c>
      <c r="AE1663" t="s">
        <v>115</v>
      </c>
      <c r="AF1663">
        <v>0</v>
      </c>
      <c r="AG1663">
        <v>0</v>
      </c>
      <c r="AH1663" t="s">
        <v>116</v>
      </c>
      <c r="AI1663" s="1">
        <v>134612</v>
      </c>
      <c r="AJ1663" s="2">
        <v>0.3</v>
      </c>
      <c r="AK1663" s="1">
        <v>447076</v>
      </c>
      <c r="AL1663" t="s">
        <v>117</v>
      </c>
      <c r="AM1663" t="s">
        <v>3973</v>
      </c>
      <c r="AN1663">
        <v>10405</v>
      </c>
      <c r="AO1663">
        <v>0.24</v>
      </c>
      <c r="AR1663">
        <v>1</v>
      </c>
      <c r="AS1663" s="1">
        <v>34410</v>
      </c>
      <c r="AT1663" s="1">
        <v>6880</v>
      </c>
      <c r="AU1663" s="1">
        <v>27530</v>
      </c>
      <c r="AV1663">
        <v>80.010000000000005</v>
      </c>
      <c r="AX1663" s="1">
        <v>3520.5</v>
      </c>
      <c r="AY1663" t="s">
        <v>665</v>
      </c>
      <c r="AZ1663" t="s">
        <v>665</v>
      </c>
      <c r="BA1663" t="s">
        <v>378</v>
      </c>
      <c r="BE1663" s="3">
        <v>41761</v>
      </c>
      <c r="BF1663" s="1">
        <v>350000</v>
      </c>
      <c r="BG1663" t="s">
        <v>11346</v>
      </c>
      <c r="BH1663" s="1">
        <v>120.07</v>
      </c>
      <c r="BI1663" s="1">
        <v>312464</v>
      </c>
      <c r="BJ1663" s="3">
        <v>42457</v>
      </c>
      <c r="BK1663" t="s">
        <v>123</v>
      </c>
      <c r="BL1663" t="str">
        <f>"2016.197875"</f>
        <v>2016.197875</v>
      </c>
      <c r="BM1663" t="s">
        <v>2383</v>
      </c>
      <c r="BO1663" t="s">
        <v>11347</v>
      </c>
      <c r="BS1663">
        <v>30</v>
      </c>
      <c r="BW1663" t="str">
        <f>""</f>
        <v/>
      </c>
      <c r="CH1663" t="str">
        <f>""</f>
        <v/>
      </c>
      <c r="CS1663" t="str">
        <f>""</f>
        <v/>
      </c>
    </row>
    <row r="1664" spans="1:97" x14ac:dyDescent="0.25">
      <c r="A1664" t="s">
        <v>140</v>
      </c>
      <c r="B1664" t="s">
        <v>11348</v>
      </c>
      <c r="C1664" t="s">
        <v>1845</v>
      </c>
      <c r="D1664" t="s">
        <v>11348</v>
      </c>
      <c r="E1664" t="s">
        <v>11349</v>
      </c>
      <c r="F1664" t="s">
        <v>108</v>
      </c>
      <c r="H1664" t="s">
        <v>11350</v>
      </c>
      <c r="I1664" t="s">
        <v>5387</v>
      </c>
      <c r="J1664" t="s">
        <v>111</v>
      </c>
      <c r="K1664" t="str">
        <f>"85283"</f>
        <v>85283</v>
      </c>
      <c r="L1664" t="s">
        <v>9006</v>
      </c>
      <c r="M1664" t="s">
        <v>11350</v>
      </c>
      <c r="N1664" t="s">
        <v>5387</v>
      </c>
      <c r="O1664" t="s">
        <v>111</v>
      </c>
      <c r="P1664" t="str">
        <f>"85283-3355"</f>
        <v>85283-3355</v>
      </c>
      <c r="Q1664" t="s">
        <v>113</v>
      </c>
      <c r="R1664" t="str">
        <f>"301-49-612"</f>
        <v>301-49-612</v>
      </c>
      <c r="S1664" t="s">
        <v>11351</v>
      </c>
      <c r="T1664" t="s">
        <v>11352</v>
      </c>
      <c r="U1664">
        <v>2979</v>
      </c>
      <c r="V1664">
        <v>0</v>
      </c>
      <c r="W1664">
        <v>4</v>
      </c>
      <c r="X1664">
        <v>1992</v>
      </c>
      <c r="Z1664">
        <v>2</v>
      </c>
      <c r="AA1664" t="s">
        <v>26</v>
      </c>
      <c r="AB1664">
        <v>0</v>
      </c>
      <c r="AC1664" t="s">
        <v>115</v>
      </c>
      <c r="AD1664">
        <v>3</v>
      </c>
      <c r="AE1664" t="s">
        <v>115</v>
      </c>
      <c r="AF1664">
        <v>0</v>
      </c>
      <c r="AG1664">
        <v>0</v>
      </c>
      <c r="AH1664" t="s">
        <v>116</v>
      </c>
      <c r="AI1664" s="1">
        <v>86910</v>
      </c>
      <c r="AJ1664" s="2">
        <v>0.18</v>
      </c>
      <c r="AK1664" s="1">
        <v>484610</v>
      </c>
      <c r="AL1664" t="s">
        <v>117</v>
      </c>
      <c r="AM1664" t="s">
        <v>393</v>
      </c>
      <c r="AN1664">
        <v>9836</v>
      </c>
      <c r="AO1664">
        <v>0.23</v>
      </c>
      <c r="AP1664">
        <v>1</v>
      </c>
      <c r="AR1664">
        <v>1</v>
      </c>
      <c r="AS1664" s="1">
        <v>36300</v>
      </c>
      <c r="AT1664" s="1">
        <v>7260</v>
      </c>
      <c r="AU1664" s="1">
        <v>29040</v>
      </c>
      <c r="AV1664">
        <v>80</v>
      </c>
      <c r="AX1664" s="1">
        <v>3531.78</v>
      </c>
      <c r="AY1664" t="s">
        <v>5390</v>
      </c>
      <c r="AZ1664" t="s">
        <v>5391</v>
      </c>
      <c r="BA1664" t="s">
        <v>5392</v>
      </c>
      <c r="BE1664" s="3">
        <v>42464</v>
      </c>
      <c r="BF1664" s="1">
        <v>399500</v>
      </c>
      <c r="BG1664" t="s">
        <v>11353</v>
      </c>
      <c r="BH1664" s="1">
        <v>134.11000000000001</v>
      </c>
      <c r="BI1664" s="1">
        <v>397700</v>
      </c>
      <c r="BJ1664" s="3">
        <v>42688</v>
      </c>
      <c r="BK1664" t="s">
        <v>123</v>
      </c>
      <c r="BL1664" t="str">
        <f>"2016.838137"</f>
        <v>2016.838137</v>
      </c>
      <c r="BM1664" t="s">
        <v>1695</v>
      </c>
      <c r="BO1664" t="s">
        <v>11354</v>
      </c>
      <c r="BS1664">
        <v>30</v>
      </c>
      <c r="BW1664" t="str">
        <f>""</f>
        <v/>
      </c>
      <c r="CH1664" t="str">
        <f>""</f>
        <v/>
      </c>
      <c r="CS1664" t="str">
        <f>""</f>
        <v/>
      </c>
    </row>
    <row r="1665" spans="1:97" x14ac:dyDescent="0.25">
      <c r="A1665" t="s">
        <v>11355</v>
      </c>
      <c r="B1665" t="s">
        <v>11356</v>
      </c>
      <c r="C1665" t="s">
        <v>11266</v>
      </c>
      <c r="D1665" t="s">
        <v>11356</v>
      </c>
      <c r="E1665" t="s">
        <v>11357</v>
      </c>
      <c r="F1665" t="s">
        <v>108</v>
      </c>
      <c r="H1665" t="s">
        <v>11358</v>
      </c>
      <c r="I1665" t="s">
        <v>1936</v>
      </c>
      <c r="J1665" t="s">
        <v>111</v>
      </c>
      <c r="K1665" t="str">
        <f>"85255"</f>
        <v>85255</v>
      </c>
      <c r="L1665" t="s">
        <v>337</v>
      </c>
      <c r="M1665" t="s">
        <v>11358</v>
      </c>
      <c r="N1665" t="s">
        <v>1936</v>
      </c>
      <c r="O1665" t="s">
        <v>111</v>
      </c>
      <c r="P1665" t="str">
        <f>"85255-2446"</f>
        <v>85255-2446</v>
      </c>
      <c r="Q1665" t="s">
        <v>113</v>
      </c>
      <c r="R1665" t="str">
        <f>"217-14-267"</f>
        <v>217-14-267</v>
      </c>
      <c r="S1665" t="s">
        <v>11359</v>
      </c>
      <c r="U1665">
        <v>2197</v>
      </c>
      <c r="V1665">
        <v>0</v>
      </c>
      <c r="W1665">
        <v>4</v>
      </c>
      <c r="X1665">
        <v>1998</v>
      </c>
      <c r="Z1665">
        <v>2</v>
      </c>
      <c r="AB1665">
        <v>0</v>
      </c>
      <c r="AC1665" t="s">
        <v>115</v>
      </c>
      <c r="AD1665">
        <v>2</v>
      </c>
      <c r="AE1665" t="s">
        <v>115</v>
      </c>
      <c r="AF1665">
        <v>0</v>
      </c>
      <c r="AG1665">
        <v>0</v>
      </c>
      <c r="AH1665" t="s">
        <v>116</v>
      </c>
      <c r="AI1665" s="1">
        <v>107002</v>
      </c>
      <c r="AJ1665" s="2">
        <v>0.21</v>
      </c>
      <c r="AK1665" s="1">
        <v>517002</v>
      </c>
      <c r="AL1665" t="s">
        <v>117</v>
      </c>
      <c r="AM1665" t="s">
        <v>5516</v>
      </c>
      <c r="AN1665">
        <v>6100</v>
      </c>
      <c r="AO1665">
        <v>0.14000000000000001</v>
      </c>
      <c r="AP1665">
        <v>1</v>
      </c>
      <c r="AR1665">
        <v>1</v>
      </c>
      <c r="AS1665" s="1">
        <v>39110</v>
      </c>
      <c r="AT1665" s="1">
        <v>7820</v>
      </c>
      <c r="AU1665" s="1">
        <v>31290</v>
      </c>
      <c r="AV1665">
        <v>80.010000000000005</v>
      </c>
      <c r="AX1665" s="1">
        <v>2959.62</v>
      </c>
      <c r="AY1665" t="s">
        <v>11360</v>
      </c>
      <c r="AZ1665" t="s">
        <v>5420</v>
      </c>
      <c r="BA1665" t="s">
        <v>5763</v>
      </c>
      <c r="BE1665" s="3">
        <v>42174</v>
      </c>
      <c r="BF1665" s="1">
        <v>410000</v>
      </c>
      <c r="BG1665" t="s">
        <v>11361</v>
      </c>
      <c r="BH1665" s="1">
        <v>186.62</v>
      </c>
      <c r="BI1665" s="1">
        <v>410000</v>
      </c>
      <c r="BJ1665" s="3">
        <v>42174</v>
      </c>
      <c r="BK1665" t="s">
        <v>123</v>
      </c>
      <c r="BL1665" t="str">
        <f>"2015.438044"</f>
        <v>2015.438044</v>
      </c>
      <c r="BM1665" t="s">
        <v>5832</v>
      </c>
      <c r="BO1665" t="s">
        <v>11362</v>
      </c>
      <c r="BP1665" t="s">
        <v>11363</v>
      </c>
      <c r="BS1665">
        <v>30</v>
      </c>
      <c r="BW1665" t="str">
        <f>""</f>
        <v/>
      </c>
      <c r="CH1665" t="str">
        <f>""</f>
        <v/>
      </c>
      <c r="CS1665" t="str">
        <f>""</f>
        <v/>
      </c>
    </row>
    <row r="1666" spans="1:97" x14ac:dyDescent="0.25">
      <c r="A1666" t="s">
        <v>11364</v>
      </c>
      <c r="B1666" t="s">
        <v>827</v>
      </c>
      <c r="C1666" t="s">
        <v>5120</v>
      </c>
      <c r="D1666" t="s">
        <v>827</v>
      </c>
      <c r="E1666" t="s">
        <v>11365</v>
      </c>
      <c r="F1666" t="s">
        <v>108</v>
      </c>
      <c r="H1666" t="s">
        <v>11366</v>
      </c>
      <c r="I1666" t="s">
        <v>203</v>
      </c>
      <c r="J1666" t="s">
        <v>111</v>
      </c>
      <c r="K1666" t="str">
        <f>"85233"</f>
        <v>85233</v>
      </c>
      <c r="L1666" t="s">
        <v>6682</v>
      </c>
      <c r="M1666" t="s">
        <v>11366</v>
      </c>
      <c r="N1666" t="s">
        <v>203</v>
      </c>
      <c r="O1666" t="s">
        <v>111</v>
      </c>
      <c r="P1666" t="str">
        <f>"85233-5429"</f>
        <v>85233-5429</v>
      </c>
      <c r="Q1666" t="s">
        <v>113</v>
      </c>
      <c r="R1666" t="str">
        <f>"302-19-016"</f>
        <v>302-19-016</v>
      </c>
      <c r="S1666" t="s">
        <v>11367</v>
      </c>
      <c r="T1666" t="s">
        <v>11368</v>
      </c>
      <c r="U1666">
        <v>1114</v>
      </c>
      <c r="V1666">
        <v>0</v>
      </c>
      <c r="W1666">
        <v>2</v>
      </c>
      <c r="X1666">
        <v>1994</v>
      </c>
      <c r="Z1666">
        <v>1</v>
      </c>
      <c r="AB1666">
        <v>0</v>
      </c>
      <c r="AC1666" t="s">
        <v>115</v>
      </c>
      <c r="AD1666">
        <v>2</v>
      </c>
      <c r="AE1666" t="s">
        <v>115</v>
      </c>
      <c r="AF1666">
        <v>0</v>
      </c>
      <c r="AG1666">
        <v>0</v>
      </c>
      <c r="AH1666" t="s">
        <v>116</v>
      </c>
      <c r="AI1666" s="1">
        <v>48424</v>
      </c>
      <c r="AJ1666" s="2">
        <v>0.19</v>
      </c>
      <c r="AK1666" s="1">
        <v>256057</v>
      </c>
      <c r="AL1666" t="s">
        <v>117</v>
      </c>
      <c r="AM1666" t="s">
        <v>288</v>
      </c>
      <c r="AN1666">
        <v>4731</v>
      </c>
      <c r="AO1666">
        <v>0.11</v>
      </c>
      <c r="AP1666">
        <v>1</v>
      </c>
      <c r="AR1666">
        <v>1</v>
      </c>
      <c r="AS1666" s="1">
        <v>16520</v>
      </c>
      <c r="AT1666" s="1">
        <v>3300</v>
      </c>
      <c r="AU1666" s="1">
        <v>13220</v>
      </c>
      <c r="AV1666">
        <v>80.02</v>
      </c>
      <c r="AX1666" s="1">
        <v>1109.4000000000001</v>
      </c>
      <c r="AY1666" t="s">
        <v>5601</v>
      </c>
      <c r="AZ1666" t="s">
        <v>5478</v>
      </c>
      <c r="BA1666" t="s">
        <v>5479</v>
      </c>
      <c r="BB1666" s="3">
        <v>43350</v>
      </c>
      <c r="BC1666" s="1">
        <v>0</v>
      </c>
      <c r="BD1666" t="s">
        <v>247</v>
      </c>
      <c r="BE1666" s="3">
        <v>42345</v>
      </c>
      <c r="BF1666" s="1">
        <v>201000</v>
      </c>
      <c r="BG1666" t="s">
        <v>11369</v>
      </c>
      <c r="BH1666" s="1">
        <v>180.43</v>
      </c>
      <c r="BI1666" s="1">
        <v>207633</v>
      </c>
      <c r="BJ1666" s="3">
        <v>42345</v>
      </c>
      <c r="BK1666" t="s">
        <v>123</v>
      </c>
      <c r="BL1666" t="str">
        <f>"2015.865892"</f>
        <v>2015.865892</v>
      </c>
      <c r="BM1666" t="s">
        <v>2472</v>
      </c>
      <c r="BN1666" t="s">
        <v>2473</v>
      </c>
      <c r="BO1666" t="s">
        <v>11370</v>
      </c>
      <c r="BS1666">
        <v>30</v>
      </c>
      <c r="BW1666" t="str">
        <f>""</f>
        <v/>
      </c>
      <c r="CH1666" t="str">
        <f>""</f>
        <v/>
      </c>
      <c r="CS1666" t="str">
        <f>""</f>
        <v/>
      </c>
    </row>
    <row r="1667" spans="1:97" x14ac:dyDescent="0.25">
      <c r="B1667" t="s">
        <v>11371</v>
      </c>
      <c r="E1667" t="s">
        <v>11372</v>
      </c>
      <c r="F1667" t="s">
        <v>108</v>
      </c>
      <c r="H1667" t="s">
        <v>11373</v>
      </c>
      <c r="I1667" t="s">
        <v>1397</v>
      </c>
      <c r="J1667" t="s">
        <v>111</v>
      </c>
      <c r="K1667" t="str">
        <f>"85331"</f>
        <v>85331</v>
      </c>
      <c r="L1667" t="s">
        <v>10399</v>
      </c>
      <c r="M1667" t="s">
        <v>11373</v>
      </c>
      <c r="N1667" t="s">
        <v>1397</v>
      </c>
      <c r="O1667" t="s">
        <v>111</v>
      </c>
      <c r="P1667" t="str">
        <f>"85331-5805"</f>
        <v>85331-5805</v>
      </c>
      <c r="Q1667" t="s">
        <v>113</v>
      </c>
      <c r="R1667" t="str">
        <f>"211-62-077"</f>
        <v>211-62-077</v>
      </c>
      <c r="S1667" t="s">
        <v>10400</v>
      </c>
      <c r="T1667" t="s">
        <v>10400</v>
      </c>
      <c r="U1667">
        <v>2470</v>
      </c>
      <c r="V1667">
        <v>0</v>
      </c>
      <c r="W1667">
        <v>3</v>
      </c>
      <c r="X1667">
        <v>1990</v>
      </c>
      <c r="Z1667">
        <v>1</v>
      </c>
      <c r="AB1667">
        <v>0</v>
      </c>
      <c r="AC1667" t="s">
        <v>115</v>
      </c>
      <c r="AD1667">
        <v>3</v>
      </c>
      <c r="AE1667" t="s">
        <v>115</v>
      </c>
      <c r="AF1667">
        <v>0</v>
      </c>
      <c r="AG1667">
        <v>0</v>
      </c>
      <c r="AH1667" t="s">
        <v>116</v>
      </c>
      <c r="AI1667" s="1">
        <v>60254</v>
      </c>
      <c r="AJ1667" s="2">
        <v>0.12</v>
      </c>
      <c r="AK1667" s="1">
        <v>487839</v>
      </c>
      <c r="AL1667" t="s">
        <v>117</v>
      </c>
      <c r="AM1667" t="s">
        <v>1302</v>
      </c>
      <c r="AN1667">
        <v>9920</v>
      </c>
      <c r="AO1667">
        <v>0.23</v>
      </c>
      <c r="AP1667">
        <v>1</v>
      </c>
      <c r="AR1667">
        <v>1</v>
      </c>
      <c r="AS1667" s="1">
        <v>34130</v>
      </c>
      <c r="AT1667" s="1">
        <v>6820</v>
      </c>
      <c r="AU1667" s="1">
        <v>27310</v>
      </c>
      <c r="AV1667">
        <v>80.02</v>
      </c>
      <c r="AX1667" s="1">
        <v>2214.8000000000002</v>
      </c>
      <c r="AY1667" t="s">
        <v>7763</v>
      </c>
      <c r="AZ1667" t="s">
        <v>1402</v>
      </c>
      <c r="BA1667" t="s">
        <v>1403</v>
      </c>
      <c r="BB1667" s="3">
        <v>42676</v>
      </c>
      <c r="BD1667" t="s">
        <v>480</v>
      </c>
      <c r="BE1667" s="3">
        <v>42115</v>
      </c>
      <c r="BF1667" s="1">
        <v>408000</v>
      </c>
      <c r="BG1667" t="s">
        <v>11374</v>
      </c>
      <c r="BH1667" s="1">
        <v>165.18</v>
      </c>
      <c r="BI1667" s="1">
        <v>427585</v>
      </c>
      <c r="BJ1667" s="3">
        <v>42541</v>
      </c>
      <c r="BK1667" t="s">
        <v>123</v>
      </c>
      <c r="BL1667" t="str">
        <f>"2016.425854"</f>
        <v>2016.425854</v>
      </c>
      <c r="BM1667" t="s">
        <v>402</v>
      </c>
      <c r="BO1667" t="s">
        <v>11375</v>
      </c>
      <c r="BQ1667" t="str">
        <f>"2.2500%"</f>
        <v>2.2500%</v>
      </c>
      <c r="BR1667" t="s">
        <v>1480</v>
      </c>
      <c r="BS1667">
        <v>30</v>
      </c>
      <c r="BW1667" t="str">
        <f>""</f>
        <v/>
      </c>
      <c r="CH1667" t="str">
        <f>""</f>
        <v/>
      </c>
      <c r="CS1667" t="str">
        <f>""</f>
        <v/>
      </c>
    </row>
    <row r="1668" spans="1:97" x14ac:dyDescent="0.25">
      <c r="A1668" t="s">
        <v>1514</v>
      </c>
      <c r="B1668" t="s">
        <v>11376</v>
      </c>
      <c r="C1668" t="s">
        <v>4386</v>
      </c>
      <c r="D1668" t="s">
        <v>11376</v>
      </c>
      <c r="E1668" t="s">
        <v>11377</v>
      </c>
      <c r="F1668" t="s">
        <v>108</v>
      </c>
      <c r="H1668" t="s">
        <v>11378</v>
      </c>
      <c r="I1668" t="s">
        <v>225</v>
      </c>
      <c r="J1668" t="s">
        <v>111</v>
      </c>
      <c r="K1668" t="str">
        <f>"85207"</f>
        <v>85207</v>
      </c>
      <c r="L1668" t="s">
        <v>1796</v>
      </c>
      <c r="M1668" t="s">
        <v>11378</v>
      </c>
      <c r="N1668" t="s">
        <v>225</v>
      </c>
      <c r="O1668" t="s">
        <v>111</v>
      </c>
      <c r="P1668" t="str">
        <f>"85207-1846"</f>
        <v>85207-1846</v>
      </c>
      <c r="Q1668" t="s">
        <v>113</v>
      </c>
      <c r="R1668" t="str">
        <f>"219-19-431"</f>
        <v>219-19-431</v>
      </c>
      <c r="S1668" t="s">
        <v>11379</v>
      </c>
      <c r="T1668" t="s">
        <v>11380</v>
      </c>
      <c r="U1668">
        <v>2732</v>
      </c>
      <c r="V1668">
        <v>0</v>
      </c>
      <c r="W1668">
        <v>4</v>
      </c>
      <c r="X1668">
        <v>1999</v>
      </c>
      <c r="Z1668">
        <v>2</v>
      </c>
      <c r="AA1668" t="s">
        <v>26</v>
      </c>
      <c r="AB1668">
        <v>0</v>
      </c>
      <c r="AC1668" t="s">
        <v>115</v>
      </c>
      <c r="AD1668">
        <v>3</v>
      </c>
      <c r="AE1668" t="s">
        <v>115</v>
      </c>
      <c r="AF1668">
        <v>0</v>
      </c>
      <c r="AG1668">
        <v>0</v>
      </c>
      <c r="AH1668" t="s">
        <v>116</v>
      </c>
      <c r="AI1668" s="1">
        <v>-326390</v>
      </c>
      <c r="AJ1668" s="2">
        <v>-0.69</v>
      </c>
      <c r="AK1668" s="1">
        <v>473610</v>
      </c>
      <c r="AL1668" t="s">
        <v>117</v>
      </c>
      <c r="AM1668" t="s">
        <v>917</v>
      </c>
      <c r="AN1668">
        <v>8978</v>
      </c>
      <c r="AO1668">
        <v>0.21</v>
      </c>
      <c r="AP1668">
        <v>1</v>
      </c>
      <c r="AR1668">
        <v>1</v>
      </c>
      <c r="AS1668" s="1">
        <v>34830</v>
      </c>
      <c r="AT1668" s="1">
        <v>6960</v>
      </c>
      <c r="AU1668" s="1">
        <v>27870</v>
      </c>
      <c r="AV1668">
        <v>80.02</v>
      </c>
      <c r="AX1668" s="1">
        <v>3622.14</v>
      </c>
      <c r="AY1668" t="s">
        <v>9337</v>
      </c>
      <c r="AZ1668" t="s">
        <v>231</v>
      </c>
      <c r="BA1668" t="s">
        <v>3119</v>
      </c>
      <c r="BE1668" s="3">
        <v>42551</v>
      </c>
      <c r="BF1668" s="1">
        <v>400000</v>
      </c>
      <c r="BG1668" t="s">
        <v>11381</v>
      </c>
      <c r="BH1668" s="1">
        <v>146.41</v>
      </c>
      <c r="BI1668" s="1">
        <v>400000</v>
      </c>
      <c r="BJ1668" s="3">
        <v>42551</v>
      </c>
      <c r="BK1668" t="s">
        <v>123</v>
      </c>
      <c r="BL1668" t="str">
        <f>"2016.459739"</f>
        <v>2016.459739</v>
      </c>
      <c r="BM1668" t="s">
        <v>724</v>
      </c>
      <c r="BO1668" t="s">
        <v>11382</v>
      </c>
      <c r="BS1668">
        <v>30</v>
      </c>
      <c r="BT1668" s="1">
        <v>400000</v>
      </c>
      <c r="BU1668" s="3">
        <v>42587</v>
      </c>
      <c r="BV1668" t="s">
        <v>123</v>
      </c>
      <c r="BW1668" t="str">
        <f>"2016.559548"</f>
        <v>2016.559548</v>
      </c>
      <c r="BX1668" t="s">
        <v>724</v>
      </c>
      <c r="BZ1668" t="s">
        <v>11383</v>
      </c>
      <c r="CD1668">
        <v>30</v>
      </c>
      <c r="CH1668" t="str">
        <f>""</f>
        <v/>
      </c>
      <c r="CS1668" t="str">
        <f>""</f>
        <v/>
      </c>
    </row>
    <row r="1669" spans="1:97" x14ac:dyDescent="0.25">
      <c r="A1669" t="s">
        <v>11384</v>
      </c>
      <c r="B1669" t="s">
        <v>11385</v>
      </c>
      <c r="C1669" t="s">
        <v>1005</v>
      </c>
      <c r="D1669" t="s">
        <v>7196</v>
      </c>
      <c r="E1669" t="s">
        <v>11386</v>
      </c>
      <c r="F1669" t="s">
        <v>108</v>
      </c>
      <c r="H1669" t="s">
        <v>11387</v>
      </c>
      <c r="I1669" t="s">
        <v>453</v>
      </c>
      <c r="J1669" t="s">
        <v>111</v>
      </c>
      <c r="K1669" t="str">
        <f>"85383"</f>
        <v>85383</v>
      </c>
      <c r="L1669" t="s">
        <v>4698</v>
      </c>
      <c r="M1669" t="s">
        <v>11387</v>
      </c>
      <c r="N1669" t="s">
        <v>453</v>
      </c>
      <c r="O1669" t="s">
        <v>111</v>
      </c>
      <c r="P1669" t="str">
        <f>"85383-3927"</f>
        <v>85383-3927</v>
      </c>
      <c r="Q1669" t="s">
        <v>113</v>
      </c>
      <c r="R1669" t="str">
        <f>"510-03-053"</f>
        <v>510-03-053</v>
      </c>
      <c r="S1669" t="s">
        <v>11388</v>
      </c>
      <c r="U1669">
        <v>1874</v>
      </c>
      <c r="V1669">
        <v>0</v>
      </c>
      <c r="W1669">
        <v>4</v>
      </c>
      <c r="X1669">
        <v>2006</v>
      </c>
      <c r="Z1669">
        <v>1</v>
      </c>
      <c r="AB1669">
        <v>0</v>
      </c>
      <c r="AC1669" t="s">
        <v>115</v>
      </c>
      <c r="AD1669">
        <v>2</v>
      </c>
      <c r="AE1669" t="s">
        <v>115</v>
      </c>
      <c r="AF1669">
        <v>0</v>
      </c>
      <c r="AG1669">
        <v>0</v>
      </c>
      <c r="AH1669" t="s">
        <v>116</v>
      </c>
      <c r="AI1669" s="1">
        <v>154151</v>
      </c>
      <c r="AJ1669" s="2">
        <v>0.31</v>
      </c>
      <c r="AK1669" s="1">
        <v>495271</v>
      </c>
      <c r="AL1669" t="s">
        <v>117</v>
      </c>
      <c r="AM1669" t="s">
        <v>118</v>
      </c>
      <c r="AN1669">
        <v>8113</v>
      </c>
      <c r="AO1669">
        <v>0.19</v>
      </c>
      <c r="AR1669">
        <v>1</v>
      </c>
      <c r="AS1669" s="1">
        <v>39150</v>
      </c>
      <c r="AT1669" s="1">
        <v>7830</v>
      </c>
      <c r="AU1669" s="1">
        <v>31320</v>
      </c>
      <c r="AV1669">
        <v>80</v>
      </c>
      <c r="AX1669" s="1">
        <v>4626.2</v>
      </c>
      <c r="AY1669" t="s">
        <v>456</v>
      </c>
      <c r="AZ1669" t="s">
        <v>456</v>
      </c>
      <c r="BA1669" t="s">
        <v>457</v>
      </c>
      <c r="BE1669" s="3">
        <v>42422</v>
      </c>
      <c r="BF1669" s="1">
        <v>425000</v>
      </c>
      <c r="BG1669" t="s">
        <v>11389</v>
      </c>
      <c r="BH1669" s="1">
        <v>226.79</v>
      </c>
      <c r="BI1669" s="1">
        <v>341120</v>
      </c>
      <c r="BJ1669" s="3">
        <v>42564</v>
      </c>
      <c r="BK1669" t="s">
        <v>123</v>
      </c>
      <c r="BL1669" t="str">
        <f>"2016.490452"</f>
        <v>2016.490452</v>
      </c>
      <c r="BM1669" t="s">
        <v>402</v>
      </c>
      <c r="BO1669" t="s">
        <v>11390</v>
      </c>
      <c r="BP1669" t="s">
        <v>11391</v>
      </c>
      <c r="BS1669">
        <v>30</v>
      </c>
      <c r="BW1669" t="str">
        <f>""</f>
        <v/>
      </c>
      <c r="CH1669" t="str">
        <f>""</f>
        <v/>
      </c>
      <c r="CS1669" t="str">
        <f>""</f>
        <v/>
      </c>
    </row>
    <row r="1670" spans="1:97" x14ac:dyDescent="0.25">
      <c r="A1670" t="s">
        <v>370</v>
      </c>
      <c r="B1670" t="s">
        <v>6227</v>
      </c>
      <c r="C1670" t="s">
        <v>11392</v>
      </c>
      <c r="D1670" t="s">
        <v>6227</v>
      </c>
      <c r="E1670" t="s">
        <v>11393</v>
      </c>
      <c r="F1670" t="s">
        <v>108</v>
      </c>
      <c r="H1670" t="s">
        <v>11394</v>
      </c>
      <c r="I1670" t="s">
        <v>2874</v>
      </c>
      <c r="J1670" t="s">
        <v>111</v>
      </c>
      <c r="K1670" t="str">
        <f>"85302"</f>
        <v>85302</v>
      </c>
      <c r="L1670" t="s">
        <v>6631</v>
      </c>
      <c r="M1670" t="s">
        <v>11394</v>
      </c>
      <c r="N1670" t="s">
        <v>2874</v>
      </c>
      <c r="O1670" t="s">
        <v>111</v>
      </c>
      <c r="P1670" t="str">
        <f>"85302-1901"</f>
        <v>85302-1901</v>
      </c>
      <c r="Q1670" t="s">
        <v>113</v>
      </c>
      <c r="R1670" t="str">
        <f>"148-06-208"</f>
        <v>148-06-208</v>
      </c>
      <c r="S1670" t="s">
        <v>11395</v>
      </c>
      <c r="T1670" t="s">
        <v>11396</v>
      </c>
      <c r="U1670">
        <v>1216</v>
      </c>
      <c r="V1670">
        <v>0</v>
      </c>
      <c r="W1670">
        <v>2</v>
      </c>
      <c r="X1670">
        <v>1977</v>
      </c>
      <c r="Z1670">
        <v>1</v>
      </c>
      <c r="AB1670">
        <v>0</v>
      </c>
      <c r="AC1670" t="s">
        <v>115</v>
      </c>
      <c r="AD1670">
        <v>2</v>
      </c>
      <c r="AE1670" t="s">
        <v>115</v>
      </c>
      <c r="AF1670">
        <v>0</v>
      </c>
      <c r="AG1670">
        <v>0</v>
      </c>
      <c r="AH1670" t="s">
        <v>116</v>
      </c>
      <c r="AI1670" s="1">
        <v>-7367</v>
      </c>
      <c r="AJ1670" s="2">
        <v>-0.03</v>
      </c>
      <c r="AK1670" s="1">
        <v>217633</v>
      </c>
      <c r="AL1670" t="s">
        <v>117</v>
      </c>
      <c r="AM1670" t="s">
        <v>191</v>
      </c>
      <c r="AN1670">
        <v>8093</v>
      </c>
      <c r="AO1670">
        <v>0.19</v>
      </c>
      <c r="AP1670">
        <v>1</v>
      </c>
      <c r="AR1670">
        <v>1</v>
      </c>
      <c r="AS1670" s="1">
        <v>13930</v>
      </c>
      <c r="AT1670" s="1">
        <v>2780</v>
      </c>
      <c r="AU1670" s="1">
        <v>11150</v>
      </c>
      <c r="AV1670">
        <v>80.040000000000006</v>
      </c>
      <c r="AX1670" s="1">
        <v>427.26</v>
      </c>
      <c r="AY1670" t="s">
        <v>6985</v>
      </c>
      <c r="AZ1670" t="s">
        <v>6986</v>
      </c>
      <c r="BA1670" t="s">
        <v>6987</v>
      </c>
      <c r="BB1670" s="3">
        <v>43633</v>
      </c>
      <c r="BC1670" s="1">
        <v>0</v>
      </c>
      <c r="BD1670" t="s">
        <v>247</v>
      </c>
      <c r="BE1670" s="3">
        <v>41815</v>
      </c>
      <c r="BF1670" s="1">
        <v>145000</v>
      </c>
      <c r="BG1670" t="s">
        <v>11397</v>
      </c>
      <c r="BH1670" s="1">
        <v>119.24</v>
      </c>
      <c r="BI1670" s="1">
        <v>225000</v>
      </c>
      <c r="BJ1670" s="3">
        <v>43633</v>
      </c>
      <c r="BK1670" t="s">
        <v>123</v>
      </c>
      <c r="BL1670" t="str">
        <f>"2019.452538"</f>
        <v>2019.452538</v>
      </c>
      <c r="BM1670" t="s">
        <v>9590</v>
      </c>
      <c r="BN1670" t="s">
        <v>9591</v>
      </c>
      <c r="BO1670" t="s">
        <v>11398</v>
      </c>
      <c r="BP1670" t="s">
        <v>11399</v>
      </c>
      <c r="BR1670" t="s">
        <v>139</v>
      </c>
      <c r="BW1670" t="str">
        <f>""</f>
        <v/>
      </c>
      <c r="CH1670" t="str">
        <f>""</f>
        <v/>
      </c>
      <c r="CS1670" t="str">
        <f>""</f>
        <v/>
      </c>
    </row>
    <row r="1671" spans="1:97" x14ac:dyDescent="0.25">
      <c r="A1671" t="s">
        <v>1119</v>
      </c>
      <c r="B1671" t="s">
        <v>11400</v>
      </c>
      <c r="C1671" t="s">
        <v>4306</v>
      </c>
      <c r="D1671" t="s">
        <v>11401</v>
      </c>
      <c r="E1671" t="s">
        <v>11402</v>
      </c>
      <c r="F1671" t="s">
        <v>108</v>
      </c>
      <c r="H1671" t="s">
        <v>11403</v>
      </c>
      <c r="I1671" t="s">
        <v>499</v>
      </c>
      <c r="J1671" t="s">
        <v>111</v>
      </c>
      <c r="K1671" t="str">
        <f>"85395"</f>
        <v>85395</v>
      </c>
      <c r="L1671" t="s">
        <v>500</v>
      </c>
      <c r="M1671" t="s">
        <v>11403</v>
      </c>
      <c r="N1671" t="s">
        <v>499</v>
      </c>
      <c r="O1671" t="s">
        <v>111</v>
      </c>
      <c r="P1671" t="str">
        <f>"85395-7626"</f>
        <v>85395-7626</v>
      </c>
      <c r="Q1671" t="s">
        <v>113</v>
      </c>
      <c r="R1671" t="str">
        <f>"502-30-322"</f>
        <v>502-30-322</v>
      </c>
      <c r="S1671" t="s">
        <v>11404</v>
      </c>
      <c r="T1671" t="s">
        <v>502</v>
      </c>
      <c r="U1671">
        <v>3050</v>
      </c>
      <c r="V1671">
        <v>0</v>
      </c>
      <c r="W1671">
        <v>4</v>
      </c>
      <c r="X1671">
        <v>2014</v>
      </c>
      <c r="Z1671">
        <v>1</v>
      </c>
      <c r="AA1671" t="s">
        <v>26</v>
      </c>
      <c r="AB1671">
        <v>0</v>
      </c>
      <c r="AC1671" t="s">
        <v>115</v>
      </c>
      <c r="AD1671">
        <v>3</v>
      </c>
      <c r="AE1671" t="s">
        <v>115</v>
      </c>
      <c r="AF1671">
        <v>0</v>
      </c>
      <c r="AG1671">
        <v>0</v>
      </c>
      <c r="AH1671" t="s">
        <v>116</v>
      </c>
      <c r="AI1671" s="1">
        <v>76084</v>
      </c>
      <c r="AJ1671" s="2">
        <v>0.16</v>
      </c>
      <c r="AK1671" s="1">
        <v>461577</v>
      </c>
      <c r="AL1671" t="s">
        <v>117</v>
      </c>
      <c r="AM1671" t="s">
        <v>118</v>
      </c>
      <c r="AN1671">
        <v>14464</v>
      </c>
      <c r="AO1671">
        <v>0.33</v>
      </c>
      <c r="AR1671">
        <v>1</v>
      </c>
      <c r="AS1671" s="1">
        <v>35210</v>
      </c>
      <c r="AT1671" s="1">
        <v>7040</v>
      </c>
      <c r="AU1671" s="1">
        <v>28170</v>
      </c>
      <c r="AV1671">
        <v>80.010000000000005</v>
      </c>
      <c r="AX1671" s="1">
        <v>3207.44</v>
      </c>
      <c r="AY1671" t="s">
        <v>503</v>
      </c>
      <c r="AZ1671" t="s">
        <v>504</v>
      </c>
      <c r="BA1671" t="s">
        <v>218</v>
      </c>
      <c r="BE1671" s="3">
        <v>41991</v>
      </c>
      <c r="BF1671" s="1">
        <v>373179</v>
      </c>
      <c r="BG1671" t="s">
        <v>209</v>
      </c>
      <c r="BH1671" s="1">
        <v>122.35</v>
      </c>
      <c r="BI1671" s="1">
        <v>385493</v>
      </c>
      <c r="BJ1671" s="3">
        <v>41991</v>
      </c>
      <c r="BK1671" t="s">
        <v>123</v>
      </c>
      <c r="BL1671" t="str">
        <f>"2014.832326"</f>
        <v>2014.832326</v>
      </c>
      <c r="BM1671" t="s">
        <v>175</v>
      </c>
      <c r="BO1671" t="s">
        <v>11405</v>
      </c>
      <c r="BP1671" t="s">
        <v>11406</v>
      </c>
      <c r="BS1671">
        <v>30</v>
      </c>
      <c r="BW1671" t="str">
        <f>""</f>
        <v/>
      </c>
      <c r="CH1671" t="str">
        <f>""</f>
        <v/>
      </c>
      <c r="CS1671" t="str">
        <f>""</f>
        <v/>
      </c>
    </row>
    <row r="1672" spans="1:97" x14ac:dyDescent="0.25">
      <c r="B1672" t="s">
        <v>11407</v>
      </c>
      <c r="E1672" t="s">
        <v>11407</v>
      </c>
      <c r="F1672" t="s">
        <v>108</v>
      </c>
      <c r="H1672" t="s">
        <v>11408</v>
      </c>
      <c r="I1672" t="s">
        <v>203</v>
      </c>
      <c r="J1672" t="s">
        <v>111</v>
      </c>
      <c r="K1672" t="str">
        <f>"85298"</f>
        <v>85298</v>
      </c>
      <c r="L1672" t="s">
        <v>681</v>
      </c>
      <c r="M1672" t="s">
        <v>11408</v>
      </c>
      <c r="N1672" t="s">
        <v>203</v>
      </c>
      <c r="O1672" t="s">
        <v>111</v>
      </c>
      <c r="P1672" t="str">
        <f>"85298"</f>
        <v>85298</v>
      </c>
      <c r="Q1672" t="s">
        <v>113</v>
      </c>
      <c r="R1672" t="str">
        <f>"304-71-608"</f>
        <v>304-71-608</v>
      </c>
      <c r="S1672" t="s">
        <v>11409</v>
      </c>
      <c r="T1672" t="s">
        <v>287</v>
      </c>
      <c r="U1672">
        <v>2206</v>
      </c>
      <c r="V1672">
        <v>0</v>
      </c>
      <c r="W1672">
        <v>4</v>
      </c>
      <c r="X1672">
        <v>2014</v>
      </c>
      <c r="Z1672">
        <v>1</v>
      </c>
      <c r="AB1672">
        <v>0</v>
      </c>
      <c r="AC1672" t="s">
        <v>115</v>
      </c>
      <c r="AD1672">
        <v>2</v>
      </c>
      <c r="AE1672" t="s">
        <v>115</v>
      </c>
      <c r="AF1672">
        <v>0</v>
      </c>
      <c r="AG1672">
        <v>0</v>
      </c>
      <c r="AH1672" t="s">
        <v>116</v>
      </c>
      <c r="AI1672" s="1">
        <v>100013</v>
      </c>
      <c r="AJ1672" s="2">
        <v>0.26</v>
      </c>
      <c r="AK1672" s="1">
        <v>377656</v>
      </c>
      <c r="AL1672" t="s">
        <v>117</v>
      </c>
      <c r="AM1672" t="s">
        <v>191</v>
      </c>
      <c r="AN1672">
        <v>6428</v>
      </c>
      <c r="AO1672">
        <v>0.15</v>
      </c>
      <c r="AR1672">
        <v>1</v>
      </c>
      <c r="AS1672" s="1">
        <v>27170</v>
      </c>
      <c r="AT1672" s="1">
        <v>5430</v>
      </c>
      <c r="AU1672" s="1">
        <v>21740</v>
      </c>
      <c r="AV1672">
        <v>80.010000000000005</v>
      </c>
      <c r="AX1672" s="1">
        <v>2182.9</v>
      </c>
      <c r="AY1672" t="s">
        <v>289</v>
      </c>
      <c r="AZ1672" t="s">
        <v>289</v>
      </c>
      <c r="BA1672" t="s">
        <v>290</v>
      </c>
      <c r="BB1672" s="3">
        <v>42534</v>
      </c>
      <c r="BD1672" t="s">
        <v>240</v>
      </c>
      <c r="BE1672" s="3">
        <v>42062</v>
      </c>
      <c r="BF1672" s="1">
        <v>271800</v>
      </c>
      <c r="BG1672" t="s">
        <v>195</v>
      </c>
      <c r="BH1672" s="1">
        <v>123.21</v>
      </c>
      <c r="BI1672" s="1">
        <v>277643</v>
      </c>
      <c r="BJ1672" s="3">
        <v>42062</v>
      </c>
      <c r="BK1672" t="s">
        <v>123</v>
      </c>
      <c r="BL1672" t="str">
        <f>"2015.132400"</f>
        <v>2015.132400</v>
      </c>
      <c r="BM1672" t="s">
        <v>196</v>
      </c>
      <c r="BO1672" t="s">
        <v>11410</v>
      </c>
      <c r="BS1672">
        <v>30</v>
      </c>
      <c r="BW1672" t="str">
        <f>""</f>
        <v/>
      </c>
      <c r="CH1672" t="str">
        <f>""</f>
        <v/>
      </c>
      <c r="CS1672" t="str">
        <f>""</f>
        <v/>
      </c>
    </row>
    <row r="1673" spans="1:97" x14ac:dyDescent="0.25">
      <c r="B1673" t="s">
        <v>11411</v>
      </c>
      <c r="E1673" t="s">
        <v>11412</v>
      </c>
      <c r="F1673" t="s">
        <v>108</v>
      </c>
      <c r="H1673" t="s">
        <v>11413</v>
      </c>
      <c r="I1673" t="s">
        <v>2874</v>
      </c>
      <c r="J1673" t="s">
        <v>111</v>
      </c>
      <c r="K1673" t="str">
        <f>"85310"</f>
        <v>85310</v>
      </c>
      <c r="L1673" t="s">
        <v>5910</v>
      </c>
      <c r="M1673" t="s">
        <v>11413</v>
      </c>
      <c r="N1673" t="s">
        <v>2874</v>
      </c>
      <c r="O1673" t="s">
        <v>111</v>
      </c>
      <c r="P1673" t="str">
        <f>"85310-3471"</f>
        <v>85310-3471</v>
      </c>
      <c r="Q1673" t="s">
        <v>113</v>
      </c>
      <c r="R1673" t="str">
        <f>"201-12-397"</f>
        <v>201-12-397</v>
      </c>
      <c r="S1673" t="s">
        <v>11414</v>
      </c>
      <c r="T1673" t="s">
        <v>11414</v>
      </c>
      <c r="U1673">
        <v>2341</v>
      </c>
      <c r="V1673">
        <v>0</v>
      </c>
      <c r="W1673">
        <v>3</v>
      </c>
      <c r="X1673">
        <v>1999</v>
      </c>
      <c r="Z1673">
        <v>1</v>
      </c>
      <c r="AA1673" t="s">
        <v>26</v>
      </c>
      <c r="AB1673">
        <v>0</v>
      </c>
      <c r="AC1673" t="s">
        <v>115</v>
      </c>
      <c r="AD1673">
        <v>3</v>
      </c>
      <c r="AE1673" t="s">
        <v>115</v>
      </c>
      <c r="AF1673">
        <v>0</v>
      </c>
      <c r="AG1673">
        <v>0</v>
      </c>
      <c r="AH1673" t="s">
        <v>116</v>
      </c>
      <c r="AI1673" s="1">
        <v>95922</v>
      </c>
      <c r="AJ1673" s="2">
        <v>0.24</v>
      </c>
      <c r="AK1673" s="1">
        <v>396372</v>
      </c>
      <c r="AL1673" t="s">
        <v>117</v>
      </c>
      <c r="AM1673" t="s">
        <v>616</v>
      </c>
      <c r="AN1673">
        <v>8928</v>
      </c>
      <c r="AO1673">
        <v>0.2</v>
      </c>
      <c r="AP1673">
        <v>1</v>
      </c>
      <c r="AR1673">
        <v>1</v>
      </c>
      <c r="AS1673" s="1">
        <v>29080</v>
      </c>
      <c r="AT1673" s="1">
        <v>5810</v>
      </c>
      <c r="AU1673" s="1">
        <v>23270</v>
      </c>
      <c r="AV1673">
        <v>80.02</v>
      </c>
      <c r="AX1673" s="1">
        <v>2650.76</v>
      </c>
      <c r="AY1673" t="s">
        <v>3048</v>
      </c>
      <c r="AZ1673" t="s">
        <v>3049</v>
      </c>
      <c r="BA1673" t="s">
        <v>2223</v>
      </c>
      <c r="BB1673" s="3">
        <v>42872</v>
      </c>
      <c r="BD1673" t="s">
        <v>480</v>
      </c>
      <c r="BE1673" s="3">
        <v>41793</v>
      </c>
      <c r="BF1673" s="1">
        <v>295000</v>
      </c>
      <c r="BG1673" t="s">
        <v>11415</v>
      </c>
      <c r="BH1673" s="1">
        <v>126.01</v>
      </c>
      <c r="BI1673" s="1">
        <v>300450</v>
      </c>
      <c r="BJ1673" s="3">
        <v>42436</v>
      </c>
      <c r="BK1673" t="s">
        <v>123</v>
      </c>
      <c r="BL1673" t="str">
        <f>"2016.146839"</f>
        <v>2016.146839</v>
      </c>
      <c r="BM1673" t="s">
        <v>4014</v>
      </c>
      <c r="BO1673" t="s">
        <v>11416</v>
      </c>
      <c r="BS1673">
        <v>30</v>
      </c>
      <c r="BW1673" t="str">
        <f>""</f>
        <v/>
      </c>
      <c r="CH1673" t="str">
        <f>""</f>
        <v/>
      </c>
      <c r="CS1673" t="str">
        <f>""</f>
        <v/>
      </c>
    </row>
    <row r="1674" spans="1:97" x14ac:dyDescent="0.25">
      <c r="A1674" t="s">
        <v>1009</v>
      </c>
      <c r="B1674" t="s">
        <v>1365</v>
      </c>
      <c r="C1674" t="s">
        <v>524</v>
      </c>
      <c r="D1674" t="s">
        <v>11417</v>
      </c>
      <c r="E1674" t="s">
        <v>11418</v>
      </c>
      <c r="F1674" t="s">
        <v>282</v>
      </c>
      <c r="H1674" t="s">
        <v>11419</v>
      </c>
      <c r="I1674" t="s">
        <v>499</v>
      </c>
      <c r="J1674" t="s">
        <v>111</v>
      </c>
      <c r="K1674" t="str">
        <f>"85395"</f>
        <v>85395</v>
      </c>
      <c r="L1674" t="s">
        <v>4159</v>
      </c>
      <c r="M1674" t="s">
        <v>11420</v>
      </c>
      <c r="N1674" t="s">
        <v>3150</v>
      </c>
      <c r="O1674" t="s">
        <v>111</v>
      </c>
      <c r="P1674" t="str">
        <f>"85340-8318"</f>
        <v>85340-8318</v>
      </c>
      <c r="Q1674" t="s">
        <v>113</v>
      </c>
      <c r="R1674" t="str">
        <f>"501-61-409"</f>
        <v>501-61-409</v>
      </c>
      <c r="S1674" t="s">
        <v>11421</v>
      </c>
      <c r="T1674" t="s">
        <v>11422</v>
      </c>
      <c r="U1674">
        <v>3134</v>
      </c>
      <c r="V1674">
        <v>0</v>
      </c>
      <c r="W1674">
        <v>5</v>
      </c>
      <c r="X1674">
        <v>2007</v>
      </c>
      <c r="Z1674">
        <v>2</v>
      </c>
      <c r="AA1674" t="s">
        <v>26</v>
      </c>
      <c r="AB1674">
        <v>0</v>
      </c>
      <c r="AC1674" t="s">
        <v>115</v>
      </c>
      <c r="AD1674">
        <v>3</v>
      </c>
      <c r="AE1674" t="s">
        <v>115</v>
      </c>
      <c r="AF1674">
        <v>0</v>
      </c>
      <c r="AG1674">
        <v>0</v>
      </c>
      <c r="AH1674" t="s">
        <v>116</v>
      </c>
      <c r="AI1674" s="1">
        <v>98361</v>
      </c>
      <c r="AJ1674" s="2">
        <v>0.24</v>
      </c>
      <c r="AK1674" s="1">
        <v>411645</v>
      </c>
      <c r="AL1674" t="s">
        <v>117</v>
      </c>
      <c r="AM1674" t="s">
        <v>118</v>
      </c>
      <c r="AN1674">
        <v>11385</v>
      </c>
      <c r="AO1674">
        <v>0.26</v>
      </c>
      <c r="AR1674">
        <v>1</v>
      </c>
      <c r="AS1674" s="1">
        <v>30910</v>
      </c>
      <c r="AT1674" s="1">
        <v>6180</v>
      </c>
      <c r="AU1674" s="1">
        <v>24730</v>
      </c>
      <c r="AV1674">
        <v>80.010000000000005</v>
      </c>
      <c r="AX1674" s="1">
        <v>3268.3</v>
      </c>
      <c r="AY1674" t="s">
        <v>3019</v>
      </c>
      <c r="AZ1674" t="s">
        <v>504</v>
      </c>
      <c r="BA1674" t="s">
        <v>3154</v>
      </c>
      <c r="BE1674" s="3">
        <v>42440</v>
      </c>
      <c r="BF1674" s="1">
        <v>324900</v>
      </c>
      <c r="BG1674" t="s">
        <v>11423</v>
      </c>
      <c r="BH1674" s="1">
        <v>103.67</v>
      </c>
      <c r="BI1674" s="1">
        <v>313284</v>
      </c>
      <c r="BJ1674" s="3">
        <v>42440</v>
      </c>
      <c r="BK1674" t="s">
        <v>123</v>
      </c>
      <c r="BL1674" t="str">
        <f>"2016.157898"</f>
        <v>2016.157898</v>
      </c>
      <c r="BM1674" t="s">
        <v>2472</v>
      </c>
      <c r="BO1674" t="s">
        <v>11424</v>
      </c>
      <c r="BP1674" t="s">
        <v>11425</v>
      </c>
      <c r="BS1674">
        <v>30</v>
      </c>
      <c r="BW1674" t="str">
        <f>""</f>
        <v/>
      </c>
      <c r="CH1674" t="str">
        <f>""</f>
        <v/>
      </c>
      <c r="CS1674" t="str">
        <f>""</f>
        <v/>
      </c>
    </row>
    <row r="1675" spans="1:97" x14ac:dyDescent="0.25">
      <c r="A1675" t="s">
        <v>11426</v>
      </c>
      <c r="B1675" t="s">
        <v>11427</v>
      </c>
      <c r="C1675" t="s">
        <v>1335</v>
      </c>
      <c r="D1675" t="s">
        <v>11427</v>
      </c>
      <c r="E1675" t="s">
        <v>11428</v>
      </c>
      <c r="F1675" t="s">
        <v>108</v>
      </c>
      <c r="H1675" t="s">
        <v>11429</v>
      </c>
      <c r="I1675" t="s">
        <v>110</v>
      </c>
      <c r="J1675" t="s">
        <v>111</v>
      </c>
      <c r="K1675" t="str">
        <f>"85286"</f>
        <v>85286</v>
      </c>
      <c r="L1675" t="s">
        <v>5743</v>
      </c>
      <c r="M1675" t="s">
        <v>11429</v>
      </c>
      <c r="N1675" t="s">
        <v>110</v>
      </c>
      <c r="O1675" t="s">
        <v>111</v>
      </c>
      <c r="P1675" t="str">
        <f>"85286-2384"</f>
        <v>85286-2384</v>
      </c>
      <c r="Q1675" t="s">
        <v>113</v>
      </c>
      <c r="R1675" t="str">
        <f>"303-43-464"</f>
        <v>303-43-464</v>
      </c>
      <c r="S1675" t="s">
        <v>11430</v>
      </c>
      <c r="T1675" t="s">
        <v>11431</v>
      </c>
      <c r="U1675">
        <v>2922</v>
      </c>
      <c r="V1675">
        <v>0</v>
      </c>
      <c r="W1675">
        <v>4</v>
      </c>
      <c r="X1675">
        <v>2006</v>
      </c>
      <c r="Z1675">
        <v>2</v>
      </c>
      <c r="AB1675">
        <v>0</v>
      </c>
      <c r="AC1675" t="s">
        <v>115</v>
      </c>
      <c r="AD1675">
        <v>3</v>
      </c>
      <c r="AE1675" t="s">
        <v>115</v>
      </c>
      <c r="AF1675">
        <v>0</v>
      </c>
      <c r="AG1675">
        <v>0</v>
      </c>
      <c r="AH1675" t="s">
        <v>116</v>
      </c>
      <c r="AI1675" s="1">
        <v>64602</v>
      </c>
      <c r="AJ1675" s="2">
        <v>0.13</v>
      </c>
      <c r="AK1675" s="1">
        <v>492470</v>
      </c>
      <c r="AL1675" t="s">
        <v>117</v>
      </c>
      <c r="AM1675" t="s">
        <v>118</v>
      </c>
      <c r="AN1675">
        <v>12029</v>
      </c>
      <c r="AO1675">
        <v>0.28000000000000003</v>
      </c>
      <c r="AR1675">
        <v>1</v>
      </c>
      <c r="AS1675" s="1">
        <v>36370</v>
      </c>
      <c r="AT1675" s="1">
        <v>7270</v>
      </c>
      <c r="AU1675" s="1">
        <v>29100</v>
      </c>
      <c r="AV1675">
        <v>80.010000000000005</v>
      </c>
      <c r="AX1675" s="1">
        <v>3249.3</v>
      </c>
      <c r="AY1675" t="s">
        <v>737</v>
      </c>
      <c r="AZ1675" t="s">
        <v>120</v>
      </c>
      <c r="BA1675" t="s">
        <v>303</v>
      </c>
      <c r="BE1675" s="3">
        <v>42475</v>
      </c>
      <c r="BF1675" s="1">
        <v>417000</v>
      </c>
      <c r="BG1675" t="s">
        <v>11432</v>
      </c>
      <c r="BH1675" s="1">
        <v>142.71</v>
      </c>
      <c r="BI1675" s="1">
        <v>427868</v>
      </c>
      <c r="BJ1675" s="3">
        <v>42475</v>
      </c>
      <c r="BK1675" t="s">
        <v>123</v>
      </c>
      <c r="BL1675" t="str">
        <f>"2016.252467"</f>
        <v>2016.252467</v>
      </c>
      <c r="BM1675" t="s">
        <v>2489</v>
      </c>
      <c r="BO1675" t="s">
        <v>11433</v>
      </c>
      <c r="BS1675">
        <v>30</v>
      </c>
      <c r="BW1675" t="str">
        <f>""</f>
        <v/>
      </c>
      <c r="CH1675" t="str">
        <f>""</f>
        <v/>
      </c>
      <c r="CS1675" t="str">
        <f>""</f>
        <v/>
      </c>
    </row>
    <row r="1676" spans="1:97" x14ac:dyDescent="0.25">
      <c r="A1676" t="s">
        <v>1344</v>
      </c>
      <c r="B1676" t="s">
        <v>11434</v>
      </c>
      <c r="C1676" t="s">
        <v>2178</v>
      </c>
      <c r="D1676" t="s">
        <v>11434</v>
      </c>
      <c r="E1676" t="s">
        <v>11435</v>
      </c>
      <c r="F1676" t="s">
        <v>108</v>
      </c>
      <c r="H1676" t="s">
        <v>11436</v>
      </c>
      <c r="I1676" t="s">
        <v>110</v>
      </c>
      <c r="J1676" t="s">
        <v>111</v>
      </c>
      <c r="K1676" t="str">
        <f>"85249"</f>
        <v>85249</v>
      </c>
      <c r="L1676" t="s">
        <v>4035</v>
      </c>
      <c r="M1676" t="s">
        <v>11436</v>
      </c>
      <c r="N1676" t="s">
        <v>110</v>
      </c>
      <c r="O1676" t="s">
        <v>111</v>
      </c>
      <c r="P1676" t="str">
        <f>"85249-5482"</f>
        <v>85249-5482</v>
      </c>
      <c r="Q1676" t="s">
        <v>113</v>
      </c>
      <c r="R1676" t="str">
        <f>"304-76-474"</f>
        <v>304-76-474</v>
      </c>
      <c r="S1676" t="s">
        <v>11437</v>
      </c>
      <c r="T1676" t="s">
        <v>11438</v>
      </c>
      <c r="U1676">
        <v>3014</v>
      </c>
      <c r="V1676">
        <v>0</v>
      </c>
      <c r="W1676">
        <v>4</v>
      </c>
      <c r="X1676">
        <v>2007</v>
      </c>
      <c r="Z1676">
        <v>1</v>
      </c>
      <c r="AA1676" t="s">
        <v>26</v>
      </c>
      <c r="AB1676">
        <v>0</v>
      </c>
      <c r="AC1676" t="s">
        <v>115</v>
      </c>
      <c r="AD1676">
        <v>3</v>
      </c>
      <c r="AE1676" t="s">
        <v>115</v>
      </c>
      <c r="AF1676">
        <v>0</v>
      </c>
      <c r="AG1676">
        <v>0</v>
      </c>
      <c r="AH1676" t="s">
        <v>116</v>
      </c>
      <c r="AI1676" s="1">
        <v>108694</v>
      </c>
      <c r="AJ1676" s="2">
        <v>0.2</v>
      </c>
      <c r="AK1676" s="1">
        <v>545081</v>
      </c>
      <c r="AL1676" t="s">
        <v>117</v>
      </c>
      <c r="AM1676" t="s">
        <v>118</v>
      </c>
      <c r="AN1676">
        <v>11364</v>
      </c>
      <c r="AO1676">
        <v>0.26</v>
      </c>
      <c r="AR1676">
        <v>1</v>
      </c>
      <c r="AS1676" s="1">
        <v>39780</v>
      </c>
      <c r="AT1676" s="1">
        <v>7950</v>
      </c>
      <c r="AU1676" s="1">
        <v>31830</v>
      </c>
      <c r="AV1676">
        <v>80.02</v>
      </c>
      <c r="AX1676" s="1">
        <v>3945.32</v>
      </c>
      <c r="AY1676" t="s">
        <v>419</v>
      </c>
      <c r="AZ1676" t="s">
        <v>273</v>
      </c>
      <c r="BA1676" t="s">
        <v>303</v>
      </c>
      <c r="BE1676" s="3">
        <v>42157</v>
      </c>
      <c r="BF1676" s="1">
        <v>511000</v>
      </c>
      <c r="BG1676" t="s">
        <v>11439</v>
      </c>
      <c r="BH1676" s="1">
        <v>169.54</v>
      </c>
      <c r="BI1676" s="1">
        <v>436387</v>
      </c>
      <c r="BJ1676" s="3">
        <v>42157</v>
      </c>
      <c r="BK1676" t="s">
        <v>123</v>
      </c>
      <c r="BL1676" t="str">
        <f>"2015.393583"</f>
        <v>2015.393583</v>
      </c>
      <c r="BM1676" t="s">
        <v>475</v>
      </c>
      <c r="BO1676" t="s">
        <v>11440</v>
      </c>
      <c r="BS1676">
        <v>30</v>
      </c>
      <c r="BW1676" t="str">
        <f>""</f>
        <v/>
      </c>
      <c r="CH1676" t="str">
        <f>""</f>
        <v/>
      </c>
      <c r="CS1676" t="str">
        <f>""</f>
        <v/>
      </c>
    </row>
    <row r="1677" spans="1:97" x14ac:dyDescent="0.25">
      <c r="A1677" t="s">
        <v>1664</v>
      </c>
      <c r="B1677" t="s">
        <v>832</v>
      </c>
      <c r="E1677" t="s">
        <v>11441</v>
      </c>
      <c r="F1677" t="s">
        <v>108</v>
      </c>
      <c r="H1677" t="s">
        <v>11442</v>
      </c>
      <c r="I1677" t="s">
        <v>499</v>
      </c>
      <c r="J1677" t="s">
        <v>111</v>
      </c>
      <c r="K1677" t="str">
        <f>"85395"</f>
        <v>85395</v>
      </c>
      <c r="L1677" t="s">
        <v>541</v>
      </c>
      <c r="M1677" t="s">
        <v>11442</v>
      </c>
      <c r="N1677" t="s">
        <v>499</v>
      </c>
      <c r="O1677" t="s">
        <v>111</v>
      </c>
      <c r="P1677" t="str">
        <f>"85395-7111"</f>
        <v>85395-7111</v>
      </c>
      <c r="Q1677" t="s">
        <v>113</v>
      </c>
      <c r="R1677" t="str">
        <f>"508-14-761"</f>
        <v>508-14-761</v>
      </c>
      <c r="S1677" t="s">
        <v>7193</v>
      </c>
      <c r="T1677" t="s">
        <v>3018</v>
      </c>
      <c r="U1677">
        <v>3121</v>
      </c>
      <c r="V1677">
        <v>0</v>
      </c>
      <c r="W1677">
        <v>5</v>
      </c>
      <c r="X1677">
        <v>2014</v>
      </c>
      <c r="Z1677">
        <v>1</v>
      </c>
      <c r="AA1677" t="s">
        <v>26</v>
      </c>
      <c r="AB1677">
        <v>0</v>
      </c>
      <c r="AC1677" t="s">
        <v>115</v>
      </c>
      <c r="AD1677">
        <v>3</v>
      </c>
      <c r="AE1677" t="s">
        <v>115</v>
      </c>
      <c r="AF1677">
        <v>0</v>
      </c>
      <c r="AG1677">
        <v>0</v>
      </c>
      <c r="AH1677" t="s">
        <v>116</v>
      </c>
      <c r="AI1677" s="1">
        <v>123897</v>
      </c>
      <c r="AJ1677" s="2">
        <v>0.27</v>
      </c>
      <c r="AK1677" s="1">
        <v>452887</v>
      </c>
      <c r="AL1677" t="s">
        <v>117</v>
      </c>
      <c r="AM1677" t="s">
        <v>118</v>
      </c>
      <c r="AN1677">
        <v>9804</v>
      </c>
      <c r="AO1677">
        <v>0.22</v>
      </c>
      <c r="AR1677">
        <v>1</v>
      </c>
      <c r="AS1677" s="1">
        <v>34000</v>
      </c>
      <c r="AT1677" s="1">
        <v>6800</v>
      </c>
      <c r="AU1677" s="1">
        <v>27200</v>
      </c>
      <c r="AV1677">
        <v>80</v>
      </c>
      <c r="AX1677" s="1">
        <v>2661.86</v>
      </c>
      <c r="AY1677" t="s">
        <v>3019</v>
      </c>
      <c r="AZ1677" t="s">
        <v>3020</v>
      </c>
      <c r="BA1677" t="s">
        <v>218</v>
      </c>
      <c r="BE1677" s="3">
        <v>42236</v>
      </c>
      <c r="BF1677" s="1">
        <v>328990</v>
      </c>
      <c r="BG1677" t="s">
        <v>459</v>
      </c>
      <c r="BH1677" s="1">
        <v>105.41</v>
      </c>
      <c r="BI1677" s="1">
        <v>328990</v>
      </c>
      <c r="BJ1677" s="3">
        <v>42236</v>
      </c>
      <c r="BK1677" t="s">
        <v>123</v>
      </c>
      <c r="BL1677" t="str">
        <f>"2015.605523"</f>
        <v>2015.605523</v>
      </c>
      <c r="BM1677" t="s">
        <v>1866</v>
      </c>
      <c r="BO1677" t="s">
        <v>11443</v>
      </c>
      <c r="BS1677">
        <v>30</v>
      </c>
      <c r="BW1677" t="str">
        <f>""</f>
        <v/>
      </c>
      <c r="CH1677" t="str">
        <f>""</f>
        <v/>
      </c>
      <c r="CS1677" t="str">
        <f>""</f>
        <v/>
      </c>
    </row>
    <row r="1678" spans="1:97" x14ac:dyDescent="0.25">
      <c r="A1678" t="s">
        <v>7969</v>
      </c>
      <c r="B1678" t="s">
        <v>1208</v>
      </c>
      <c r="C1678" t="s">
        <v>2281</v>
      </c>
      <c r="D1678" t="s">
        <v>1208</v>
      </c>
      <c r="E1678" t="s">
        <v>11444</v>
      </c>
      <c r="F1678" t="s">
        <v>108</v>
      </c>
      <c r="H1678" t="s">
        <v>11445</v>
      </c>
      <c r="I1678" t="s">
        <v>6646</v>
      </c>
      <c r="J1678" t="s">
        <v>111</v>
      </c>
      <c r="K1678" t="str">
        <f>"85086"</f>
        <v>85086</v>
      </c>
      <c r="L1678" t="s">
        <v>2015</v>
      </c>
      <c r="M1678" t="s">
        <v>11445</v>
      </c>
      <c r="N1678" t="s">
        <v>6646</v>
      </c>
      <c r="O1678" t="s">
        <v>111</v>
      </c>
      <c r="P1678" t="str">
        <f>"85086-1736"</f>
        <v>85086-1736</v>
      </c>
      <c r="Q1678" t="s">
        <v>113</v>
      </c>
      <c r="R1678" t="str">
        <f>"203-10-623"</f>
        <v>203-10-623</v>
      </c>
      <c r="S1678" t="s">
        <v>11446</v>
      </c>
      <c r="U1678">
        <v>2152</v>
      </c>
      <c r="V1678">
        <v>0</v>
      </c>
      <c r="W1678">
        <v>3</v>
      </c>
      <c r="X1678">
        <v>2000</v>
      </c>
      <c r="Z1678">
        <v>1</v>
      </c>
      <c r="AA1678" t="s">
        <v>26</v>
      </c>
      <c r="AB1678">
        <v>0</v>
      </c>
      <c r="AC1678" t="s">
        <v>115</v>
      </c>
      <c r="AD1678">
        <v>2</v>
      </c>
      <c r="AE1678" t="s">
        <v>115</v>
      </c>
      <c r="AF1678">
        <v>0</v>
      </c>
      <c r="AG1678">
        <v>0</v>
      </c>
      <c r="AH1678" t="s">
        <v>116</v>
      </c>
      <c r="AI1678" s="1">
        <v>94821</v>
      </c>
      <c r="AJ1678" s="2">
        <v>0.26</v>
      </c>
      <c r="AK1678" s="1">
        <v>363401</v>
      </c>
      <c r="AL1678" t="s">
        <v>117</v>
      </c>
      <c r="AM1678" t="s">
        <v>393</v>
      </c>
      <c r="AN1678">
        <v>6825</v>
      </c>
      <c r="AO1678">
        <v>0.16</v>
      </c>
      <c r="AP1678">
        <v>1</v>
      </c>
      <c r="AR1678">
        <v>1</v>
      </c>
      <c r="AS1678" s="1">
        <v>26310</v>
      </c>
      <c r="AT1678" s="1">
        <v>5260</v>
      </c>
      <c r="AU1678" s="1">
        <v>21050</v>
      </c>
      <c r="AV1678">
        <v>80.010000000000005</v>
      </c>
      <c r="AX1678" s="1">
        <v>2804.48</v>
      </c>
      <c r="AY1678" t="s">
        <v>6648</v>
      </c>
      <c r="AZ1678" t="s">
        <v>6648</v>
      </c>
      <c r="BA1678" t="s">
        <v>378</v>
      </c>
      <c r="BE1678" s="3">
        <v>42527</v>
      </c>
      <c r="BF1678" s="1">
        <v>305000</v>
      </c>
      <c r="BG1678" t="s">
        <v>11447</v>
      </c>
      <c r="BH1678" s="1">
        <v>141.72999999999999</v>
      </c>
      <c r="BI1678" s="1">
        <v>268580</v>
      </c>
      <c r="BJ1678" s="3">
        <v>43556</v>
      </c>
      <c r="BK1678" t="s">
        <v>123</v>
      </c>
      <c r="BL1678" t="str">
        <f>"2019.224532"</f>
        <v>2019.224532</v>
      </c>
      <c r="BM1678" t="s">
        <v>11448</v>
      </c>
      <c r="BN1678" t="s">
        <v>11449</v>
      </c>
      <c r="BO1678" t="s">
        <v>11450</v>
      </c>
      <c r="BP1678" t="s">
        <v>11451</v>
      </c>
      <c r="BR1678" t="s">
        <v>139</v>
      </c>
      <c r="BW1678" t="str">
        <f>""</f>
        <v/>
      </c>
      <c r="CH1678" t="str">
        <f>""</f>
        <v/>
      </c>
      <c r="CS1678" t="str">
        <f>""</f>
        <v/>
      </c>
    </row>
    <row r="1679" spans="1:97" x14ac:dyDescent="0.25">
      <c r="A1679" t="s">
        <v>3924</v>
      </c>
      <c r="B1679" t="s">
        <v>3689</v>
      </c>
      <c r="C1679" t="s">
        <v>976</v>
      </c>
      <c r="D1679" t="s">
        <v>1428</v>
      </c>
      <c r="E1679" t="s">
        <v>11452</v>
      </c>
      <c r="F1679" t="s">
        <v>108</v>
      </c>
      <c r="H1679" t="s">
        <v>11453</v>
      </c>
      <c r="I1679" t="s">
        <v>390</v>
      </c>
      <c r="J1679" t="s">
        <v>111</v>
      </c>
      <c r="K1679" t="str">
        <f>"85037"</f>
        <v>85037</v>
      </c>
      <c r="L1679" t="s">
        <v>5325</v>
      </c>
      <c r="M1679" t="s">
        <v>11453</v>
      </c>
      <c r="N1679" t="s">
        <v>390</v>
      </c>
      <c r="O1679" t="s">
        <v>111</v>
      </c>
      <c r="P1679" t="str">
        <f>"85037-1042"</f>
        <v>85037-1042</v>
      </c>
      <c r="Q1679" t="s">
        <v>113</v>
      </c>
      <c r="R1679" t="str">
        <f>"102-18-129"</f>
        <v>102-18-129</v>
      </c>
      <c r="S1679" t="s">
        <v>11454</v>
      </c>
      <c r="T1679" t="s">
        <v>11454</v>
      </c>
      <c r="U1679">
        <v>2881</v>
      </c>
      <c r="V1679">
        <v>0</v>
      </c>
      <c r="W1679">
        <v>3</v>
      </c>
      <c r="X1679">
        <v>2000</v>
      </c>
      <c r="Z1679">
        <v>2</v>
      </c>
      <c r="AB1679">
        <v>0</v>
      </c>
      <c r="AC1679" t="s">
        <v>115</v>
      </c>
      <c r="AD1679">
        <v>2</v>
      </c>
      <c r="AE1679" t="s">
        <v>115</v>
      </c>
      <c r="AF1679">
        <v>0</v>
      </c>
      <c r="AG1679">
        <v>0</v>
      </c>
      <c r="AH1679" t="s">
        <v>116</v>
      </c>
      <c r="AI1679" s="1">
        <v>67110</v>
      </c>
      <c r="AJ1679" s="2">
        <v>0.23</v>
      </c>
      <c r="AK1679" s="1">
        <v>286732</v>
      </c>
      <c r="AL1679" t="s">
        <v>117</v>
      </c>
      <c r="AM1679" t="s">
        <v>191</v>
      </c>
      <c r="AN1679">
        <v>7064</v>
      </c>
      <c r="AO1679">
        <v>0.16</v>
      </c>
      <c r="AP1679">
        <v>1</v>
      </c>
      <c r="AR1679">
        <v>1</v>
      </c>
      <c r="AS1679" s="1">
        <v>18800</v>
      </c>
      <c r="AT1679" s="1">
        <v>3760</v>
      </c>
      <c r="AU1679" s="1">
        <v>15040</v>
      </c>
      <c r="AV1679">
        <v>80</v>
      </c>
      <c r="AX1679" s="1">
        <v>1934.58</v>
      </c>
      <c r="AY1679" t="s">
        <v>4285</v>
      </c>
      <c r="AZ1679" t="s">
        <v>4285</v>
      </c>
      <c r="BA1679" t="s">
        <v>4286</v>
      </c>
      <c r="BE1679" s="3">
        <v>42235</v>
      </c>
      <c r="BF1679" s="1">
        <v>215000</v>
      </c>
      <c r="BG1679" t="s">
        <v>11455</v>
      </c>
      <c r="BH1679" s="1">
        <v>74.63</v>
      </c>
      <c r="BI1679" s="1">
        <v>219622</v>
      </c>
      <c r="BJ1679" s="3">
        <v>42235</v>
      </c>
      <c r="BK1679" t="s">
        <v>123</v>
      </c>
      <c r="BL1679" t="str">
        <f>"2015.601411"</f>
        <v>2015.601411</v>
      </c>
      <c r="BM1679" t="s">
        <v>4014</v>
      </c>
      <c r="BO1679" t="s">
        <v>11456</v>
      </c>
      <c r="BP1679" t="s">
        <v>11457</v>
      </c>
      <c r="BS1679">
        <v>30</v>
      </c>
      <c r="BW1679" t="str">
        <f>""</f>
        <v/>
      </c>
      <c r="CH1679" t="str">
        <f>""</f>
        <v/>
      </c>
      <c r="CS1679" t="str">
        <f>""</f>
        <v/>
      </c>
    </row>
    <row r="1680" spans="1:97" x14ac:dyDescent="0.25">
      <c r="A1680" t="s">
        <v>11458</v>
      </c>
      <c r="B1680" t="s">
        <v>11459</v>
      </c>
      <c r="C1680" t="s">
        <v>154</v>
      </c>
      <c r="D1680" t="s">
        <v>11459</v>
      </c>
      <c r="E1680" t="s">
        <v>11460</v>
      </c>
      <c r="F1680" t="s">
        <v>108</v>
      </c>
      <c r="H1680" t="s">
        <v>11461</v>
      </c>
      <c r="I1680" t="s">
        <v>203</v>
      </c>
      <c r="J1680" t="s">
        <v>111</v>
      </c>
      <c r="K1680" t="str">
        <f>"85234"</f>
        <v>85234</v>
      </c>
      <c r="L1680" t="s">
        <v>5228</v>
      </c>
      <c r="M1680" t="s">
        <v>11461</v>
      </c>
      <c r="N1680" t="s">
        <v>203</v>
      </c>
      <c r="O1680" t="s">
        <v>111</v>
      </c>
      <c r="P1680" t="str">
        <f>"85234-2025"</f>
        <v>85234-2025</v>
      </c>
      <c r="Q1680" t="s">
        <v>113</v>
      </c>
      <c r="R1680" t="str">
        <f>"312-07-123"</f>
        <v>312-07-123</v>
      </c>
      <c r="S1680" t="s">
        <v>11462</v>
      </c>
      <c r="T1680" t="s">
        <v>11462</v>
      </c>
      <c r="U1680">
        <v>2445</v>
      </c>
      <c r="V1680">
        <v>0</v>
      </c>
      <c r="W1680">
        <v>3</v>
      </c>
      <c r="X1680">
        <v>2001</v>
      </c>
      <c r="Z1680">
        <v>1</v>
      </c>
      <c r="AA1680" t="s">
        <v>26</v>
      </c>
      <c r="AB1680">
        <v>0</v>
      </c>
      <c r="AC1680" t="s">
        <v>115</v>
      </c>
      <c r="AD1680">
        <v>3</v>
      </c>
      <c r="AE1680" t="s">
        <v>115</v>
      </c>
      <c r="AF1680">
        <v>0</v>
      </c>
      <c r="AG1680">
        <v>0</v>
      </c>
      <c r="AH1680" t="s">
        <v>116</v>
      </c>
      <c r="AI1680" s="1">
        <v>86484</v>
      </c>
      <c r="AJ1680" s="2">
        <v>0.19</v>
      </c>
      <c r="AK1680" s="1">
        <v>454835</v>
      </c>
      <c r="AL1680" t="s">
        <v>117</v>
      </c>
      <c r="AM1680" t="s">
        <v>1302</v>
      </c>
      <c r="AN1680">
        <v>11028</v>
      </c>
      <c r="AO1680">
        <v>0.25</v>
      </c>
      <c r="AP1680">
        <v>1</v>
      </c>
      <c r="AR1680">
        <v>1</v>
      </c>
      <c r="AS1680" s="1">
        <v>32760</v>
      </c>
      <c r="AT1680" s="1">
        <v>6550</v>
      </c>
      <c r="AU1680" s="1">
        <v>26210</v>
      </c>
      <c r="AV1680">
        <v>80.010000000000005</v>
      </c>
      <c r="AX1680" s="1">
        <v>2510.3200000000002</v>
      </c>
      <c r="AY1680" t="s">
        <v>8450</v>
      </c>
      <c r="AZ1680" t="s">
        <v>571</v>
      </c>
      <c r="BA1680" t="s">
        <v>521</v>
      </c>
      <c r="BE1680" s="3">
        <v>42247</v>
      </c>
      <c r="BF1680" s="1">
        <v>362000</v>
      </c>
      <c r="BG1680" t="s">
        <v>11463</v>
      </c>
      <c r="BH1680" s="1">
        <v>148.06</v>
      </c>
      <c r="BI1680" s="1">
        <v>368351</v>
      </c>
      <c r="BJ1680" s="3">
        <v>42681</v>
      </c>
      <c r="BK1680" t="s">
        <v>123</v>
      </c>
      <c r="BL1680" t="str">
        <f>"2016.821242"</f>
        <v>2016.821242</v>
      </c>
      <c r="BM1680" t="s">
        <v>2094</v>
      </c>
      <c r="BO1680" t="s">
        <v>11464</v>
      </c>
      <c r="BS1680">
        <v>30</v>
      </c>
      <c r="BW1680" t="str">
        <f>""</f>
        <v/>
      </c>
      <c r="CH1680" t="str">
        <f>""</f>
        <v/>
      </c>
      <c r="CS1680" t="str">
        <f>""</f>
        <v/>
      </c>
    </row>
    <row r="1681" spans="1:97" x14ac:dyDescent="0.25">
      <c r="A1681" t="s">
        <v>11465</v>
      </c>
      <c r="B1681" t="s">
        <v>11466</v>
      </c>
      <c r="C1681" t="s">
        <v>986</v>
      </c>
      <c r="D1681" t="s">
        <v>11466</v>
      </c>
      <c r="E1681" t="s">
        <v>11467</v>
      </c>
      <c r="F1681" t="s">
        <v>108</v>
      </c>
      <c r="H1681" t="s">
        <v>11468</v>
      </c>
      <c r="I1681" t="s">
        <v>390</v>
      </c>
      <c r="J1681" t="s">
        <v>111</v>
      </c>
      <c r="K1681" t="str">
        <f>"85048"</f>
        <v>85048</v>
      </c>
      <c r="L1681" t="s">
        <v>2547</v>
      </c>
      <c r="M1681" t="s">
        <v>11468</v>
      </c>
      <c r="N1681" t="s">
        <v>390</v>
      </c>
      <c r="O1681" t="s">
        <v>111</v>
      </c>
      <c r="P1681" t="str">
        <f>"85048-9024"</f>
        <v>85048-9024</v>
      </c>
      <c r="Q1681" t="s">
        <v>113</v>
      </c>
      <c r="R1681" t="str">
        <f>"301-76-504"</f>
        <v>301-76-504</v>
      </c>
      <c r="S1681" t="s">
        <v>11469</v>
      </c>
      <c r="T1681" t="s">
        <v>11469</v>
      </c>
      <c r="U1681">
        <v>3235</v>
      </c>
      <c r="V1681">
        <v>0</v>
      </c>
      <c r="W1681">
        <v>4</v>
      </c>
      <c r="X1681">
        <v>1990</v>
      </c>
      <c r="Z1681">
        <v>2</v>
      </c>
      <c r="AA1681" t="s">
        <v>26</v>
      </c>
      <c r="AB1681">
        <v>0</v>
      </c>
      <c r="AC1681" t="s">
        <v>115</v>
      </c>
      <c r="AD1681">
        <v>2</v>
      </c>
      <c r="AE1681" t="s">
        <v>115</v>
      </c>
      <c r="AF1681">
        <v>0</v>
      </c>
      <c r="AG1681">
        <v>0</v>
      </c>
      <c r="AH1681" t="s">
        <v>116</v>
      </c>
      <c r="AI1681" s="1">
        <v>20936</v>
      </c>
      <c r="AJ1681" s="2">
        <v>0.04</v>
      </c>
      <c r="AK1681" s="1">
        <v>537824</v>
      </c>
      <c r="AL1681" t="s">
        <v>117</v>
      </c>
      <c r="AM1681" t="s">
        <v>191</v>
      </c>
      <c r="AN1681">
        <v>11622</v>
      </c>
      <c r="AO1681">
        <v>0.27</v>
      </c>
      <c r="AP1681">
        <v>1</v>
      </c>
      <c r="AR1681">
        <v>1</v>
      </c>
      <c r="AS1681" s="1">
        <v>40860</v>
      </c>
      <c r="AT1681" s="1">
        <v>8170</v>
      </c>
      <c r="AU1681" s="1">
        <v>32690</v>
      </c>
      <c r="AV1681">
        <v>80</v>
      </c>
      <c r="AX1681" s="1">
        <v>3914.18</v>
      </c>
      <c r="AY1681" t="s">
        <v>10121</v>
      </c>
      <c r="AZ1681" t="s">
        <v>2967</v>
      </c>
      <c r="BA1681" t="s">
        <v>930</v>
      </c>
      <c r="BE1681" s="3">
        <v>42487</v>
      </c>
      <c r="BF1681" s="1">
        <v>540000</v>
      </c>
      <c r="BG1681" t="s">
        <v>11470</v>
      </c>
      <c r="BH1681" s="1">
        <v>166.92</v>
      </c>
      <c r="BI1681" s="1">
        <v>516888</v>
      </c>
      <c r="BJ1681" s="3">
        <v>42487</v>
      </c>
      <c r="BK1681" t="s">
        <v>123</v>
      </c>
      <c r="BL1681" t="str">
        <f>"2016.280418"</f>
        <v>2016.280418</v>
      </c>
      <c r="BM1681" t="s">
        <v>2683</v>
      </c>
      <c r="BO1681" t="s">
        <v>11471</v>
      </c>
      <c r="BS1681">
        <v>30</v>
      </c>
      <c r="BW1681" t="str">
        <f>""</f>
        <v/>
      </c>
      <c r="CH1681" t="str">
        <f>""</f>
        <v/>
      </c>
      <c r="CS1681" t="str">
        <f>""</f>
        <v/>
      </c>
    </row>
    <row r="1682" spans="1:97" x14ac:dyDescent="0.25">
      <c r="A1682" t="s">
        <v>11252</v>
      </c>
      <c r="B1682" t="s">
        <v>11472</v>
      </c>
      <c r="C1682" t="s">
        <v>11473</v>
      </c>
      <c r="D1682" t="s">
        <v>11472</v>
      </c>
      <c r="E1682" t="s">
        <v>11474</v>
      </c>
      <c r="F1682" t="s">
        <v>108</v>
      </c>
      <c r="H1682" t="s">
        <v>11475</v>
      </c>
      <c r="I1682" t="s">
        <v>203</v>
      </c>
      <c r="J1682" t="s">
        <v>111</v>
      </c>
      <c r="K1682" t="str">
        <f>"85296"</f>
        <v>85296</v>
      </c>
      <c r="L1682" t="s">
        <v>2820</v>
      </c>
      <c r="M1682" t="s">
        <v>11475</v>
      </c>
      <c r="N1682" t="s">
        <v>203</v>
      </c>
      <c r="O1682" t="s">
        <v>111</v>
      </c>
      <c r="P1682" t="str">
        <f>"85296-1967"</f>
        <v>85296-1967</v>
      </c>
      <c r="Q1682" t="s">
        <v>113</v>
      </c>
      <c r="R1682" t="str">
        <f>"304-19-315"</f>
        <v>304-19-315</v>
      </c>
      <c r="S1682" t="s">
        <v>7786</v>
      </c>
      <c r="T1682" t="s">
        <v>7786</v>
      </c>
      <c r="U1682">
        <v>3496</v>
      </c>
      <c r="V1682">
        <v>0</v>
      </c>
      <c r="W1682">
        <v>5</v>
      </c>
      <c r="X1682">
        <v>2008</v>
      </c>
      <c r="Z1682">
        <v>2</v>
      </c>
      <c r="AA1682" t="s">
        <v>26</v>
      </c>
      <c r="AB1682">
        <v>0</v>
      </c>
      <c r="AC1682" t="s">
        <v>115</v>
      </c>
      <c r="AD1682">
        <v>3</v>
      </c>
      <c r="AE1682" t="s">
        <v>115</v>
      </c>
      <c r="AF1682">
        <v>0</v>
      </c>
      <c r="AG1682">
        <v>0</v>
      </c>
      <c r="AH1682" t="s">
        <v>116</v>
      </c>
      <c r="AI1682" s="1">
        <v>94306</v>
      </c>
      <c r="AJ1682" s="2">
        <v>0.18</v>
      </c>
      <c r="AK1682" s="1">
        <v>530806</v>
      </c>
      <c r="AL1682" t="s">
        <v>117</v>
      </c>
      <c r="AM1682" t="s">
        <v>393</v>
      </c>
      <c r="AN1682">
        <v>7800</v>
      </c>
      <c r="AO1682">
        <v>0.18</v>
      </c>
      <c r="AR1682">
        <v>1</v>
      </c>
      <c r="AS1682" s="1">
        <v>37020</v>
      </c>
      <c r="AT1682" s="1">
        <v>7400</v>
      </c>
      <c r="AU1682" s="1">
        <v>29620</v>
      </c>
      <c r="AV1682">
        <v>80.010000000000005</v>
      </c>
      <c r="AX1682" s="1">
        <v>3319.26</v>
      </c>
      <c r="AY1682" t="s">
        <v>519</v>
      </c>
      <c r="AZ1682" t="s">
        <v>520</v>
      </c>
      <c r="BA1682" t="s">
        <v>521</v>
      </c>
      <c r="BE1682" s="3">
        <v>42515</v>
      </c>
      <c r="BF1682" s="1">
        <v>443000</v>
      </c>
      <c r="BG1682" t="s">
        <v>11476</v>
      </c>
      <c r="BH1682" s="1">
        <v>126.72</v>
      </c>
      <c r="BI1682" s="1">
        <v>436500</v>
      </c>
      <c r="BJ1682" s="3">
        <v>42515</v>
      </c>
      <c r="BK1682" t="s">
        <v>123</v>
      </c>
      <c r="BL1682" t="str">
        <f>"2016.359921"</f>
        <v>2016.359921</v>
      </c>
      <c r="BM1682" t="s">
        <v>150</v>
      </c>
      <c r="BO1682" t="s">
        <v>11477</v>
      </c>
      <c r="BS1682">
        <v>30</v>
      </c>
      <c r="BW1682" t="str">
        <f>""</f>
        <v/>
      </c>
      <c r="CH1682" t="str">
        <f>""</f>
        <v/>
      </c>
      <c r="CS1682" t="str">
        <f>""</f>
        <v/>
      </c>
    </row>
    <row r="1683" spans="1:97" x14ac:dyDescent="0.25">
      <c r="A1683" t="s">
        <v>589</v>
      </c>
      <c r="B1683" t="s">
        <v>11478</v>
      </c>
      <c r="C1683" t="s">
        <v>1666</v>
      </c>
      <c r="D1683" t="s">
        <v>11478</v>
      </c>
      <c r="E1683" t="s">
        <v>11479</v>
      </c>
      <c r="F1683" t="s">
        <v>108</v>
      </c>
      <c r="H1683" t="s">
        <v>11480</v>
      </c>
      <c r="I1683" t="s">
        <v>390</v>
      </c>
      <c r="J1683" t="s">
        <v>111</v>
      </c>
      <c r="K1683" t="str">
        <f>"85083"</f>
        <v>85083</v>
      </c>
      <c r="L1683" t="s">
        <v>299</v>
      </c>
      <c r="M1683" t="s">
        <v>11480</v>
      </c>
      <c r="N1683" t="s">
        <v>390</v>
      </c>
      <c r="O1683" t="s">
        <v>111</v>
      </c>
      <c r="P1683" t="str">
        <f>"85083-1644"</f>
        <v>85083-1644</v>
      </c>
      <c r="Q1683" t="s">
        <v>113</v>
      </c>
      <c r="R1683" t="str">
        <f>"201-33-684"</f>
        <v>201-33-684</v>
      </c>
      <c r="S1683" t="s">
        <v>11481</v>
      </c>
      <c r="U1683">
        <v>2309</v>
      </c>
      <c r="V1683">
        <v>0</v>
      </c>
      <c r="W1683">
        <v>4</v>
      </c>
      <c r="X1683">
        <v>2002</v>
      </c>
      <c r="Z1683">
        <v>1</v>
      </c>
      <c r="AA1683" t="s">
        <v>26</v>
      </c>
      <c r="AB1683">
        <v>0</v>
      </c>
      <c r="AC1683" t="s">
        <v>115</v>
      </c>
      <c r="AD1683">
        <v>3</v>
      </c>
      <c r="AE1683" t="s">
        <v>115</v>
      </c>
      <c r="AF1683">
        <v>0</v>
      </c>
      <c r="AG1683">
        <v>0</v>
      </c>
      <c r="AH1683" t="s">
        <v>116</v>
      </c>
      <c r="AI1683" s="1">
        <v>54914</v>
      </c>
      <c r="AJ1683" s="2">
        <v>0.12</v>
      </c>
      <c r="AK1683" s="1">
        <v>468482</v>
      </c>
      <c r="AL1683" t="s">
        <v>117</v>
      </c>
      <c r="AM1683" t="s">
        <v>171</v>
      </c>
      <c r="AN1683">
        <v>10646</v>
      </c>
      <c r="AO1683">
        <v>0.24</v>
      </c>
      <c r="AP1683">
        <v>1</v>
      </c>
      <c r="AR1683">
        <v>1</v>
      </c>
      <c r="AS1683" s="1">
        <v>34710</v>
      </c>
      <c r="AT1683" s="1">
        <v>6940</v>
      </c>
      <c r="AU1683" s="1">
        <v>27770</v>
      </c>
      <c r="AV1683">
        <v>80.010000000000005</v>
      </c>
      <c r="AX1683" s="1">
        <v>2990.5</v>
      </c>
      <c r="AY1683" t="s">
        <v>3522</v>
      </c>
      <c r="AZ1683" t="s">
        <v>3522</v>
      </c>
      <c r="BA1683" t="s">
        <v>1386</v>
      </c>
      <c r="BE1683" s="3">
        <v>41746</v>
      </c>
      <c r="BF1683" s="1">
        <v>435000</v>
      </c>
      <c r="BG1683" t="s">
        <v>11482</v>
      </c>
      <c r="BH1683" s="1">
        <v>188.39</v>
      </c>
      <c r="BI1683" s="1">
        <v>413568</v>
      </c>
      <c r="BJ1683" s="3">
        <v>42606</v>
      </c>
      <c r="BK1683" t="s">
        <v>123</v>
      </c>
      <c r="BL1683" t="str">
        <f>"2016.608039"</f>
        <v>2016.608039</v>
      </c>
      <c r="BM1683" t="s">
        <v>936</v>
      </c>
      <c r="BO1683" t="s">
        <v>11483</v>
      </c>
      <c r="BS1683">
        <v>30</v>
      </c>
      <c r="BW1683" t="str">
        <f>""</f>
        <v/>
      </c>
      <c r="CH1683" t="str">
        <f>""</f>
        <v/>
      </c>
      <c r="CS1683" t="str">
        <f>""</f>
        <v/>
      </c>
    </row>
    <row r="1684" spans="1:97" x14ac:dyDescent="0.25">
      <c r="A1684" t="s">
        <v>11484</v>
      </c>
      <c r="B1684" t="s">
        <v>11485</v>
      </c>
      <c r="E1684" t="s">
        <v>11486</v>
      </c>
      <c r="F1684" t="s">
        <v>108</v>
      </c>
      <c r="H1684" t="s">
        <v>11487</v>
      </c>
      <c r="I1684" t="s">
        <v>390</v>
      </c>
      <c r="J1684" t="s">
        <v>111</v>
      </c>
      <c r="K1684" t="str">
        <f>"85022"</f>
        <v>85022</v>
      </c>
      <c r="L1684" t="s">
        <v>7626</v>
      </c>
      <c r="M1684" t="s">
        <v>11487</v>
      </c>
      <c r="N1684" t="s">
        <v>390</v>
      </c>
      <c r="O1684" t="s">
        <v>111</v>
      </c>
      <c r="P1684" t="str">
        <f>"85022-4741"</f>
        <v>85022-4741</v>
      </c>
      <c r="Q1684" t="s">
        <v>113</v>
      </c>
      <c r="R1684" t="str">
        <f>"208-17-505"</f>
        <v>208-17-505</v>
      </c>
      <c r="S1684" t="s">
        <v>11488</v>
      </c>
      <c r="T1684" t="s">
        <v>11489</v>
      </c>
      <c r="U1684">
        <v>1847</v>
      </c>
      <c r="V1684">
        <v>0</v>
      </c>
      <c r="W1684">
        <v>3</v>
      </c>
      <c r="X1684">
        <v>1977</v>
      </c>
      <c r="Z1684">
        <v>1</v>
      </c>
      <c r="AB1684">
        <v>0</v>
      </c>
      <c r="AC1684" t="s">
        <v>115</v>
      </c>
      <c r="AD1684">
        <v>2</v>
      </c>
      <c r="AE1684" t="s">
        <v>115</v>
      </c>
      <c r="AF1684">
        <v>0</v>
      </c>
      <c r="AG1684">
        <v>0</v>
      </c>
      <c r="AH1684" t="s">
        <v>116</v>
      </c>
      <c r="AI1684" s="1">
        <v>61466</v>
      </c>
      <c r="AJ1684" s="2">
        <v>0.18</v>
      </c>
      <c r="AK1684" s="1">
        <v>337271</v>
      </c>
      <c r="AL1684" t="s">
        <v>117</v>
      </c>
      <c r="AM1684" t="s">
        <v>5441</v>
      </c>
      <c r="AN1684">
        <v>13907</v>
      </c>
      <c r="AO1684">
        <v>0.32</v>
      </c>
      <c r="AP1684">
        <v>1</v>
      </c>
      <c r="AR1684">
        <v>1</v>
      </c>
      <c r="AS1684" s="1">
        <v>21000</v>
      </c>
      <c r="AT1684" s="1">
        <v>4200</v>
      </c>
      <c r="AU1684" s="1">
        <v>16800</v>
      </c>
      <c r="AV1684">
        <v>80</v>
      </c>
      <c r="AX1684" s="1">
        <v>2168.42</v>
      </c>
      <c r="AY1684" t="s">
        <v>9170</v>
      </c>
      <c r="AZ1684" t="s">
        <v>8648</v>
      </c>
      <c r="BA1684" t="s">
        <v>8649</v>
      </c>
      <c r="BE1684" s="3">
        <v>42324</v>
      </c>
      <c r="BF1684" s="1">
        <v>270000</v>
      </c>
      <c r="BG1684" t="s">
        <v>11490</v>
      </c>
      <c r="BH1684" s="1">
        <v>146.18</v>
      </c>
      <c r="BI1684" s="1">
        <v>275805</v>
      </c>
      <c r="BJ1684" s="3">
        <v>42324</v>
      </c>
      <c r="BK1684" t="s">
        <v>123</v>
      </c>
      <c r="BL1684" t="str">
        <f>"2015.816143"</f>
        <v>2015.816143</v>
      </c>
      <c r="BM1684" t="s">
        <v>1185</v>
      </c>
      <c r="BO1684" t="s">
        <v>11491</v>
      </c>
      <c r="BS1684">
        <v>30</v>
      </c>
      <c r="BW1684" t="str">
        <f>""</f>
        <v/>
      </c>
      <c r="CH1684" t="str">
        <f>""</f>
        <v/>
      </c>
      <c r="CS1684" t="str">
        <f>""</f>
        <v/>
      </c>
    </row>
    <row r="1685" spans="1:97" x14ac:dyDescent="0.25">
      <c r="A1685" t="s">
        <v>11492</v>
      </c>
      <c r="B1685" t="s">
        <v>585</v>
      </c>
      <c r="C1685" t="s">
        <v>2002</v>
      </c>
      <c r="D1685" t="s">
        <v>585</v>
      </c>
      <c r="E1685" t="s">
        <v>11493</v>
      </c>
      <c r="F1685" t="s">
        <v>108</v>
      </c>
      <c r="H1685" t="s">
        <v>11494</v>
      </c>
      <c r="I1685" t="s">
        <v>453</v>
      </c>
      <c r="J1685" t="s">
        <v>111</v>
      </c>
      <c r="K1685" t="str">
        <f>"85383"</f>
        <v>85383</v>
      </c>
      <c r="L1685" t="s">
        <v>299</v>
      </c>
      <c r="M1685" t="s">
        <v>11494</v>
      </c>
      <c r="N1685" t="s">
        <v>453</v>
      </c>
      <c r="O1685" t="s">
        <v>111</v>
      </c>
      <c r="P1685" t="str">
        <f>"85383-2307"</f>
        <v>85383-2307</v>
      </c>
      <c r="Q1685" t="s">
        <v>113</v>
      </c>
      <c r="R1685" t="str">
        <f>"200-08-494"</f>
        <v>200-08-494</v>
      </c>
      <c r="S1685" t="s">
        <v>11495</v>
      </c>
      <c r="T1685" t="s">
        <v>11495</v>
      </c>
      <c r="U1685">
        <v>3395</v>
      </c>
      <c r="V1685">
        <v>0</v>
      </c>
      <c r="W1685">
        <v>5</v>
      </c>
      <c r="X1685">
        <v>2015</v>
      </c>
      <c r="Z1685">
        <v>1</v>
      </c>
      <c r="AA1685" t="s">
        <v>26</v>
      </c>
      <c r="AB1685">
        <v>0</v>
      </c>
      <c r="AC1685" t="s">
        <v>115</v>
      </c>
      <c r="AD1685">
        <v>4</v>
      </c>
      <c r="AE1685" t="s">
        <v>115</v>
      </c>
      <c r="AF1685">
        <v>0</v>
      </c>
      <c r="AG1685">
        <v>0</v>
      </c>
      <c r="AH1685" t="s">
        <v>116</v>
      </c>
      <c r="AI1685" s="1">
        <v>27026</v>
      </c>
      <c r="AJ1685" s="2">
        <v>0.05</v>
      </c>
      <c r="AK1685" s="1">
        <v>559205</v>
      </c>
      <c r="AL1685" t="s">
        <v>117</v>
      </c>
      <c r="AM1685" t="s">
        <v>616</v>
      </c>
      <c r="AN1685">
        <v>19337</v>
      </c>
      <c r="AO1685">
        <v>0.44</v>
      </c>
      <c r="AR1685">
        <v>1</v>
      </c>
      <c r="AS1685" s="1">
        <v>45910</v>
      </c>
      <c r="AT1685" s="1">
        <v>9180</v>
      </c>
      <c r="AU1685" s="1">
        <v>36730</v>
      </c>
      <c r="AV1685">
        <v>80</v>
      </c>
      <c r="AX1685" s="1">
        <v>4092.82</v>
      </c>
      <c r="AY1685" t="s">
        <v>6311</v>
      </c>
      <c r="AZ1685" t="s">
        <v>6311</v>
      </c>
      <c r="BA1685" t="s">
        <v>4219</v>
      </c>
      <c r="BE1685" s="3">
        <v>42292</v>
      </c>
      <c r="BF1685" s="1">
        <v>557900</v>
      </c>
      <c r="BG1685" t="s">
        <v>3062</v>
      </c>
      <c r="BH1685" s="1">
        <v>164.33</v>
      </c>
      <c r="BI1685" s="1">
        <v>532179</v>
      </c>
      <c r="BJ1685" s="3">
        <v>42457</v>
      </c>
      <c r="BK1685" t="s">
        <v>123</v>
      </c>
      <c r="BL1685" t="str">
        <f>"2016.198372"</f>
        <v>2016.198372</v>
      </c>
      <c r="BM1685" t="s">
        <v>3400</v>
      </c>
      <c r="BO1685" t="s">
        <v>11496</v>
      </c>
      <c r="BS1685">
        <v>30</v>
      </c>
      <c r="BW1685" t="str">
        <f>""</f>
        <v/>
      </c>
      <c r="CH1685" t="str">
        <f>""</f>
        <v/>
      </c>
      <c r="CS1685" t="str">
        <f>""</f>
        <v/>
      </c>
    </row>
    <row r="1686" spans="1:97" x14ac:dyDescent="0.25">
      <c r="A1686" t="s">
        <v>305</v>
      </c>
      <c r="B1686" t="s">
        <v>11497</v>
      </c>
      <c r="C1686" t="s">
        <v>817</v>
      </c>
      <c r="D1686" t="s">
        <v>11497</v>
      </c>
      <c r="E1686" t="s">
        <v>11498</v>
      </c>
      <c r="F1686" t="s">
        <v>108</v>
      </c>
      <c r="H1686" t="s">
        <v>11499</v>
      </c>
      <c r="I1686" t="s">
        <v>453</v>
      </c>
      <c r="J1686" t="s">
        <v>111</v>
      </c>
      <c r="K1686" t="str">
        <f>"85382"</f>
        <v>85382</v>
      </c>
      <c r="L1686" t="s">
        <v>4159</v>
      </c>
      <c r="M1686" t="s">
        <v>11499</v>
      </c>
      <c r="N1686" t="s">
        <v>453</v>
      </c>
      <c r="O1686" t="s">
        <v>111</v>
      </c>
      <c r="P1686" t="str">
        <f>"85382-5434"</f>
        <v>85382-5434</v>
      </c>
      <c r="Q1686" t="s">
        <v>113</v>
      </c>
      <c r="R1686" t="str">
        <f>"200-18-123"</f>
        <v>200-18-123</v>
      </c>
      <c r="S1686" t="s">
        <v>11500</v>
      </c>
      <c r="U1686">
        <v>2136</v>
      </c>
      <c r="V1686">
        <v>0</v>
      </c>
      <c r="W1686">
        <v>3</v>
      </c>
      <c r="X1686">
        <v>1999</v>
      </c>
      <c r="Z1686">
        <v>1</v>
      </c>
      <c r="AA1686" t="s">
        <v>26</v>
      </c>
      <c r="AB1686">
        <v>0</v>
      </c>
      <c r="AC1686" t="s">
        <v>115</v>
      </c>
      <c r="AD1686">
        <v>3</v>
      </c>
      <c r="AE1686" t="s">
        <v>115</v>
      </c>
      <c r="AF1686">
        <v>0</v>
      </c>
      <c r="AG1686">
        <v>0</v>
      </c>
      <c r="AH1686" t="s">
        <v>116</v>
      </c>
      <c r="AI1686" s="1">
        <v>81033</v>
      </c>
      <c r="AJ1686" s="2">
        <v>0.22</v>
      </c>
      <c r="AK1686" s="1">
        <v>360569</v>
      </c>
      <c r="AL1686" t="s">
        <v>117</v>
      </c>
      <c r="AM1686" t="s">
        <v>118</v>
      </c>
      <c r="AN1686">
        <v>6380</v>
      </c>
      <c r="AO1686">
        <v>0.15</v>
      </c>
      <c r="AP1686">
        <v>1</v>
      </c>
      <c r="AR1686">
        <v>1</v>
      </c>
      <c r="AS1686" s="1">
        <v>25650</v>
      </c>
      <c r="AT1686" s="1">
        <v>5130</v>
      </c>
      <c r="AU1686" s="1">
        <v>20520</v>
      </c>
      <c r="AV1686">
        <v>80</v>
      </c>
      <c r="AX1686" s="1">
        <v>2284.06</v>
      </c>
      <c r="AY1686" t="s">
        <v>4218</v>
      </c>
      <c r="AZ1686" t="s">
        <v>4218</v>
      </c>
      <c r="BA1686" t="s">
        <v>4219</v>
      </c>
      <c r="BE1686" s="3">
        <v>42097</v>
      </c>
      <c r="BF1686" s="1">
        <v>289900</v>
      </c>
      <c r="BG1686" t="s">
        <v>11501</v>
      </c>
      <c r="BH1686" s="1">
        <v>135.72</v>
      </c>
      <c r="BI1686" s="1">
        <v>279536</v>
      </c>
      <c r="BJ1686" s="3">
        <v>42097</v>
      </c>
      <c r="BK1686" t="s">
        <v>123</v>
      </c>
      <c r="BL1686" t="str">
        <f>"2015.228953"</f>
        <v>2015.228953</v>
      </c>
      <c r="BM1686" t="s">
        <v>11502</v>
      </c>
      <c r="BO1686" t="s">
        <v>11503</v>
      </c>
      <c r="BS1686">
        <v>30</v>
      </c>
      <c r="BW1686" t="str">
        <f>""</f>
        <v/>
      </c>
      <c r="CH1686" t="str">
        <f>""</f>
        <v/>
      </c>
      <c r="CS1686" t="str">
        <f>""</f>
        <v/>
      </c>
    </row>
    <row r="1687" spans="1:97" x14ac:dyDescent="0.25">
      <c r="A1687" t="s">
        <v>524</v>
      </c>
      <c r="B1687" t="s">
        <v>11504</v>
      </c>
      <c r="E1687" t="s">
        <v>11505</v>
      </c>
      <c r="F1687" t="s">
        <v>139</v>
      </c>
      <c r="H1687" t="s">
        <v>11506</v>
      </c>
      <c r="I1687" t="s">
        <v>5114</v>
      </c>
      <c r="J1687" t="s">
        <v>111</v>
      </c>
      <c r="K1687" t="str">
        <f>"85392"</f>
        <v>85392</v>
      </c>
      <c r="L1687" t="s">
        <v>8199</v>
      </c>
      <c r="M1687" t="s">
        <v>11507</v>
      </c>
      <c r="N1687" t="s">
        <v>5863</v>
      </c>
      <c r="O1687" t="s">
        <v>111</v>
      </c>
      <c r="P1687" t="str">
        <f>"85375-5804"</f>
        <v>85375-5804</v>
      </c>
      <c r="Q1687" t="s">
        <v>113</v>
      </c>
      <c r="R1687" t="str">
        <f>"501-73-260"</f>
        <v>501-73-260</v>
      </c>
      <c r="S1687" t="s">
        <v>11508</v>
      </c>
      <c r="T1687" t="s">
        <v>11509</v>
      </c>
      <c r="U1687">
        <v>2009</v>
      </c>
      <c r="V1687">
        <v>0</v>
      </c>
      <c r="W1687">
        <v>3</v>
      </c>
      <c r="X1687">
        <v>1995</v>
      </c>
      <c r="Z1687">
        <v>1</v>
      </c>
      <c r="AB1687">
        <v>0</v>
      </c>
      <c r="AC1687" t="s">
        <v>115</v>
      </c>
      <c r="AD1687">
        <v>2</v>
      </c>
      <c r="AE1687" t="s">
        <v>115</v>
      </c>
      <c r="AF1687">
        <v>0</v>
      </c>
      <c r="AG1687">
        <v>0</v>
      </c>
      <c r="AH1687" t="s">
        <v>116</v>
      </c>
      <c r="AI1687" s="1">
        <v>66565</v>
      </c>
      <c r="AJ1687" s="2">
        <v>0.24</v>
      </c>
      <c r="AK1687" s="1">
        <v>279363</v>
      </c>
      <c r="AL1687" t="s">
        <v>117</v>
      </c>
      <c r="AM1687" t="s">
        <v>118</v>
      </c>
      <c r="AN1687">
        <v>7658</v>
      </c>
      <c r="AO1687">
        <v>0.18</v>
      </c>
      <c r="AP1687">
        <v>1</v>
      </c>
      <c r="AR1687">
        <v>1</v>
      </c>
      <c r="AS1687" s="1">
        <v>18720</v>
      </c>
      <c r="AT1687" s="1">
        <v>3740</v>
      </c>
      <c r="AU1687" s="1">
        <v>14980</v>
      </c>
      <c r="AV1687">
        <v>80.02</v>
      </c>
      <c r="AX1687" s="1">
        <v>1974.84</v>
      </c>
      <c r="AY1687" t="s">
        <v>8084</v>
      </c>
      <c r="AZ1687" t="s">
        <v>8084</v>
      </c>
      <c r="BA1687" t="s">
        <v>5118</v>
      </c>
      <c r="BB1687" s="3">
        <v>43697</v>
      </c>
      <c r="BC1687" s="1">
        <v>0</v>
      </c>
      <c r="BD1687" t="s">
        <v>291</v>
      </c>
      <c r="BE1687" s="3">
        <v>42062</v>
      </c>
      <c r="BF1687" s="1">
        <v>206000</v>
      </c>
      <c r="BG1687" t="s">
        <v>11510</v>
      </c>
      <c r="BH1687" s="1">
        <v>102.54</v>
      </c>
      <c r="BI1687" s="1">
        <v>212798</v>
      </c>
      <c r="BJ1687" s="3">
        <v>42062</v>
      </c>
      <c r="BK1687" t="s">
        <v>123</v>
      </c>
      <c r="BL1687" t="str">
        <f>"2015.131731"</f>
        <v>2015.131731</v>
      </c>
      <c r="BM1687" t="s">
        <v>475</v>
      </c>
      <c r="BN1687" t="s">
        <v>1282</v>
      </c>
      <c r="BO1687" t="s">
        <v>11511</v>
      </c>
      <c r="BS1687">
        <v>30</v>
      </c>
      <c r="BW1687" t="str">
        <f>""</f>
        <v/>
      </c>
      <c r="CH1687" t="str">
        <f>""</f>
        <v/>
      </c>
      <c r="CS1687" t="str">
        <f>""</f>
        <v/>
      </c>
    </row>
    <row r="1688" spans="1:97" x14ac:dyDescent="0.25">
      <c r="A1688" t="s">
        <v>1421</v>
      </c>
      <c r="B1688" t="s">
        <v>11512</v>
      </c>
      <c r="C1688" t="s">
        <v>852</v>
      </c>
      <c r="D1688" t="s">
        <v>11512</v>
      </c>
      <c r="E1688" t="s">
        <v>11513</v>
      </c>
      <c r="F1688" t="s">
        <v>108</v>
      </c>
      <c r="H1688" t="s">
        <v>11514</v>
      </c>
      <c r="I1688" t="s">
        <v>203</v>
      </c>
      <c r="J1688" t="s">
        <v>111</v>
      </c>
      <c r="K1688" t="str">
        <f>"85233"</f>
        <v>85233</v>
      </c>
      <c r="L1688" t="s">
        <v>567</v>
      </c>
      <c r="M1688" t="s">
        <v>11514</v>
      </c>
      <c r="N1688" t="s">
        <v>203</v>
      </c>
      <c r="O1688" t="s">
        <v>111</v>
      </c>
      <c r="P1688" t="str">
        <f>"85233-3713"</f>
        <v>85233-3713</v>
      </c>
      <c r="Q1688" t="s">
        <v>113</v>
      </c>
      <c r="R1688" t="str">
        <f>"302-21-278"</f>
        <v>302-21-278</v>
      </c>
      <c r="S1688" t="s">
        <v>11515</v>
      </c>
      <c r="T1688" t="s">
        <v>11516</v>
      </c>
      <c r="U1688">
        <v>2475</v>
      </c>
      <c r="V1688">
        <v>0</v>
      </c>
      <c r="W1688">
        <v>4</v>
      </c>
      <c r="X1688">
        <v>1995</v>
      </c>
      <c r="Z1688">
        <v>2</v>
      </c>
      <c r="AA1688" t="s">
        <v>26</v>
      </c>
      <c r="AB1688">
        <v>0</v>
      </c>
      <c r="AC1688" t="s">
        <v>115</v>
      </c>
      <c r="AD1688">
        <v>3</v>
      </c>
      <c r="AE1688" t="s">
        <v>115</v>
      </c>
      <c r="AF1688">
        <v>0</v>
      </c>
      <c r="AG1688">
        <v>0</v>
      </c>
      <c r="AH1688" t="s">
        <v>116</v>
      </c>
      <c r="AI1688" s="1">
        <v>50987</v>
      </c>
      <c r="AJ1688" s="2">
        <v>0.13</v>
      </c>
      <c r="AK1688" s="1">
        <v>403387</v>
      </c>
      <c r="AL1688" t="s">
        <v>117</v>
      </c>
      <c r="AM1688" t="s">
        <v>393</v>
      </c>
      <c r="AN1688">
        <v>8882</v>
      </c>
      <c r="AO1688">
        <v>0.2</v>
      </c>
      <c r="AP1688">
        <v>1</v>
      </c>
      <c r="AR1688">
        <v>1</v>
      </c>
      <c r="AS1688" s="1">
        <v>28670</v>
      </c>
      <c r="AT1688" s="1">
        <v>5730</v>
      </c>
      <c r="AU1688" s="1">
        <v>22940</v>
      </c>
      <c r="AV1688">
        <v>80.010000000000005</v>
      </c>
      <c r="AX1688" s="1">
        <v>2201.84</v>
      </c>
      <c r="AY1688" t="s">
        <v>9989</v>
      </c>
      <c r="AZ1688" t="s">
        <v>5478</v>
      </c>
      <c r="BA1688" t="s">
        <v>5479</v>
      </c>
      <c r="BE1688" s="3">
        <v>42185</v>
      </c>
      <c r="BF1688" s="1">
        <v>345000</v>
      </c>
      <c r="BG1688" t="s">
        <v>11517</v>
      </c>
      <c r="BH1688" s="1">
        <v>139.38999999999999</v>
      </c>
      <c r="BI1688" s="1">
        <v>352400</v>
      </c>
      <c r="BJ1688" s="3">
        <v>42185</v>
      </c>
      <c r="BK1688" t="s">
        <v>123</v>
      </c>
      <c r="BL1688" t="str">
        <f>"2015.471091"</f>
        <v>2015.471091</v>
      </c>
      <c r="BM1688" t="s">
        <v>1192</v>
      </c>
      <c r="BO1688" t="s">
        <v>11518</v>
      </c>
      <c r="BS1688">
        <v>30</v>
      </c>
      <c r="BW1688" t="str">
        <f>""</f>
        <v/>
      </c>
      <c r="CH1688" t="str">
        <f>""</f>
        <v/>
      </c>
      <c r="CS1688" t="str">
        <f>""</f>
        <v/>
      </c>
    </row>
    <row r="1689" spans="1:97" x14ac:dyDescent="0.25">
      <c r="B1689" t="s">
        <v>11519</v>
      </c>
      <c r="E1689" t="s">
        <v>11520</v>
      </c>
      <c r="F1689" t="s">
        <v>108</v>
      </c>
      <c r="H1689" t="s">
        <v>11521</v>
      </c>
      <c r="I1689" t="s">
        <v>110</v>
      </c>
      <c r="J1689" t="s">
        <v>111</v>
      </c>
      <c r="K1689" t="str">
        <f>"85286"</f>
        <v>85286</v>
      </c>
      <c r="L1689" t="s">
        <v>5260</v>
      </c>
      <c r="M1689" t="s">
        <v>11521</v>
      </c>
      <c r="N1689" t="s">
        <v>110</v>
      </c>
      <c r="O1689" t="s">
        <v>111</v>
      </c>
      <c r="P1689" t="str">
        <f>"85286-1153"</f>
        <v>85286-1153</v>
      </c>
      <c r="Q1689" t="s">
        <v>113</v>
      </c>
      <c r="R1689" t="str">
        <f>"303-29-339"</f>
        <v>303-29-339</v>
      </c>
      <c r="S1689" t="s">
        <v>11522</v>
      </c>
      <c r="T1689" t="s">
        <v>11522</v>
      </c>
      <c r="U1689">
        <v>2149</v>
      </c>
      <c r="V1689">
        <v>0</v>
      </c>
      <c r="W1689">
        <v>3</v>
      </c>
      <c r="X1689">
        <v>2001</v>
      </c>
      <c r="Z1689">
        <v>1</v>
      </c>
      <c r="AA1689" t="s">
        <v>26</v>
      </c>
      <c r="AB1689">
        <v>0</v>
      </c>
      <c r="AC1689" t="s">
        <v>115</v>
      </c>
      <c r="AD1689">
        <v>3</v>
      </c>
      <c r="AE1689" t="s">
        <v>115</v>
      </c>
      <c r="AF1689">
        <v>0</v>
      </c>
      <c r="AG1689">
        <v>0</v>
      </c>
      <c r="AH1689" t="s">
        <v>116</v>
      </c>
      <c r="AI1689" s="1">
        <v>82493</v>
      </c>
      <c r="AJ1689" s="2">
        <v>0.22</v>
      </c>
      <c r="AK1689" s="1">
        <v>373493</v>
      </c>
      <c r="AL1689" t="s">
        <v>117</v>
      </c>
      <c r="AM1689" t="s">
        <v>118</v>
      </c>
      <c r="AN1689">
        <v>7800</v>
      </c>
      <c r="AO1689">
        <v>0.18</v>
      </c>
      <c r="AP1689">
        <v>1</v>
      </c>
      <c r="AR1689">
        <v>1</v>
      </c>
      <c r="AS1689" s="1">
        <v>26660</v>
      </c>
      <c r="AT1689" s="1">
        <v>5330</v>
      </c>
      <c r="AU1689" s="1">
        <v>21330</v>
      </c>
      <c r="AV1689">
        <v>80.010000000000005</v>
      </c>
      <c r="AX1689" s="1">
        <v>2110.6999999999998</v>
      </c>
      <c r="AY1689" t="s">
        <v>3185</v>
      </c>
      <c r="AZ1689" t="s">
        <v>120</v>
      </c>
      <c r="BA1689" t="s">
        <v>303</v>
      </c>
      <c r="BB1689" s="3">
        <v>43202</v>
      </c>
      <c r="BC1689" s="1">
        <v>0</v>
      </c>
      <c r="BD1689" t="s">
        <v>247</v>
      </c>
      <c r="BE1689" s="3">
        <v>41729</v>
      </c>
      <c r="BF1689" s="1">
        <v>284200</v>
      </c>
      <c r="BG1689" t="s">
        <v>11523</v>
      </c>
      <c r="BH1689" s="1">
        <v>132.25</v>
      </c>
      <c r="BI1689" s="1">
        <v>291000</v>
      </c>
      <c r="BJ1689" s="3">
        <v>41729</v>
      </c>
      <c r="BK1689" t="s">
        <v>123</v>
      </c>
      <c r="BL1689" t="str">
        <f>"2014.202368"</f>
        <v>2014.202368</v>
      </c>
      <c r="BM1689" t="s">
        <v>11524</v>
      </c>
      <c r="BN1689" t="s">
        <v>461</v>
      </c>
      <c r="BO1689" t="s">
        <v>11525</v>
      </c>
      <c r="BS1689">
        <v>30</v>
      </c>
      <c r="BW1689" t="str">
        <f>""</f>
        <v/>
      </c>
      <c r="CH1689" t="str">
        <f>""</f>
        <v/>
      </c>
      <c r="CS1689" t="str">
        <f>""</f>
        <v/>
      </c>
    </row>
    <row r="1690" spans="1:97" x14ac:dyDescent="0.25">
      <c r="A1690" t="s">
        <v>1727</v>
      </c>
      <c r="B1690" t="s">
        <v>11526</v>
      </c>
      <c r="C1690" t="s">
        <v>11527</v>
      </c>
      <c r="D1690" t="s">
        <v>11528</v>
      </c>
      <c r="E1690" t="s">
        <v>11529</v>
      </c>
      <c r="F1690" t="s">
        <v>108</v>
      </c>
      <c r="H1690" t="s">
        <v>11530</v>
      </c>
      <c r="I1690" t="s">
        <v>2874</v>
      </c>
      <c r="J1690" t="s">
        <v>111</v>
      </c>
      <c r="K1690" t="str">
        <f>"85308"</f>
        <v>85308</v>
      </c>
      <c r="L1690" t="s">
        <v>168</v>
      </c>
      <c r="M1690" t="s">
        <v>11530</v>
      </c>
      <c r="N1690" t="s">
        <v>2874</v>
      </c>
      <c r="O1690" t="s">
        <v>111</v>
      </c>
      <c r="P1690" t="str">
        <f>"85308-7379"</f>
        <v>85308-7379</v>
      </c>
      <c r="Q1690" t="s">
        <v>113</v>
      </c>
      <c r="R1690" t="str">
        <f>"206-31-258"</f>
        <v>206-31-258</v>
      </c>
      <c r="S1690" t="s">
        <v>8585</v>
      </c>
      <c r="T1690" t="s">
        <v>8586</v>
      </c>
      <c r="U1690">
        <v>1704</v>
      </c>
      <c r="V1690">
        <v>0</v>
      </c>
      <c r="W1690">
        <v>3</v>
      </c>
      <c r="X1690">
        <v>1988</v>
      </c>
      <c r="Z1690">
        <v>1</v>
      </c>
      <c r="AA1690" t="s">
        <v>26</v>
      </c>
      <c r="AB1690">
        <v>0</v>
      </c>
      <c r="AC1690" t="s">
        <v>115</v>
      </c>
      <c r="AD1690">
        <v>2</v>
      </c>
      <c r="AE1690" t="s">
        <v>115</v>
      </c>
      <c r="AF1690">
        <v>0</v>
      </c>
      <c r="AG1690">
        <v>0</v>
      </c>
      <c r="AH1690" t="s">
        <v>116</v>
      </c>
      <c r="AI1690" s="1">
        <v>14523</v>
      </c>
      <c r="AJ1690" s="2">
        <v>0.05</v>
      </c>
      <c r="AK1690" s="1">
        <v>282523</v>
      </c>
      <c r="AL1690" t="s">
        <v>117</v>
      </c>
      <c r="AM1690" t="s">
        <v>191</v>
      </c>
      <c r="AN1690">
        <v>7031</v>
      </c>
      <c r="AO1690">
        <v>0.16</v>
      </c>
      <c r="AP1690">
        <v>1</v>
      </c>
      <c r="AR1690">
        <v>1</v>
      </c>
      <c r="AS1690" s="1">
        <v>20010</v>
      </c>
      <c r="AT1690" s="1">
        <v>4000</v>
      </c>
      <c r="AU1690" s="1">
        <v>16010</v>
      </c>
      <c r="AV1690">
        <v>80.010000000000005</v>
      </c>
      <c r="AX1690" s="1">
        <v>1596.54</v>
      </c>
      <c r="AY1690" t="s">
        <v>8587</v>
      </c>
      <c r="AZ1690" t="s">
        <v>5142</v>
      </c>
      <c r="BA1690" t="s">
        <v>5143</v>
      </c>
      <c r="BB1690" s="3">
        <v>43598</v>
      </c>
      <c r="BC1690" s="1">
        <v>0</v>
      </c>
      <c r="BD1690" t="s">
        <v>247</v>
      </c>
      <c r="BE1690" s="3">
        <v>41968</v>
      </c>
      <c r="BF1690" s="1">
        <v>205000</v>
      </c>
      <c r="BG1690" t="s">
        <v>11531</v>
      </c>
      <c r="BH1690" s="1">
        <v>120.31</v>
      </c>
      <c r="BI1690" s="1">
        <v>268000</v>
      </c>
      <c r="BJ1690" s="3">
        <v>43598</v>
      </c>
      <c r="BK1690" t="s">
        <v>123</v>
      </c>
      <c r="BL1690" t="str">
        <f>"2019.347092"</f>
        <v>2019.347092</v>
      </c>
      <c r="BM1690" t="s">
        <v>7638</v>
      </c>
      <c r="BN1690" t="s">
        <v>7639</v>
      </c>
      <c r="BO1690" t="s">
        <v>11532</v>
      </c>
      <c r="BP1690" t="s">
        <v>11533</v>
      </c>
      <c r="BR1690" t="s">
        <v>139</v>
      </c>
      <c r="BW1690" t="str">
        <f>""</f>
        <v/>
      </c>
      <c r="CH1690" t="str">
        <f>""</f>
        <v/>
      </c>
      <c r="CS1690" t="str">
        <f>""</f>
        <v/>
      </c>
    </row>
    <row r="1691" spans="1:97" x14ac:dyDescent="0.25">
      <c r="A1691" t="s">
        <v>140</v>
      </c>
      <c r="B1691" t="s">
        <v>1820</v>
      </c>
      <c r="C1691" t="s">
        <v>3786</v>
      </c>
      <c r="D1691" t="s">
        <v>6696</v>
      </c>
      <c r="E1691" t="s">
        <v>11534</v>
      </c>
      <c r="F1691" t="s">
        <v>108</v>
      </c>
      <c r="H1691" t="s">
        <v>11535</v>
      </c>
      <c r="I1691" t="s">
        <v>110</v>
      </c>
      <c r="J1691" t="s">
        <v>111</v>
      </c>
      <c r="K1691" t="str">
        <f>"85286"</f>
        <v>85286</v>
      </c>
      <c r="L1691" t="s">
        <v>1796</v>
      </c>
      <c r="M1691" t="s">
        <v>11535</v>
      </c>
      <c r="N1691" t="s">
        <v>110</v>
      </c>
      <c r="O1691" t="s">
        <v>111</v>
      </c>
      <c r="P1691" t="str">
        <f>"85286-8054"</f>
        <v>85286-8054</v>
      </c>
      <c r="Q1691" t="s">
        <v>113</v>
      </c>
      <c r="R1691" t="str">
        <f>"303-36-159"</f>
        <v>303-36-159</v>
      </c>
      <c r="S1691" t="s">
        <v>11536</v>
      </c>
      <c r="U1691">
        <v>2242</v>
      </c>
      <c r="V1691">
        <v>0</v>
      </c>
      <c r="W1691">
        <v>3</v>
      </c>
      <c r="X1691">
        <v>1996</v>
      </c>
      <c r="Z1691">
        <v>1</v>
      </c>
      <c r="AA1691" t="s">
        <v>26</v>
      </c>
      <c r="AB1691">
        <v>0</v>
      </c>
      <c r="AC1691" t="s">
        <v>115</v>
      </c>
      <c r="AD1691">
        <v>3</v>
      </c>
      <c r="AE1691" t="s">
        <v>115</v>
      </c>
      <c r="AF1691">
        <v>0</v>
      </c>
      <c r="AG1691">
        <v>0</v>
      </c>
      <c r="AH1691" t="s">
        <v>116</v>
      </c>
      <c r="AI1691" s="1">
        <v>28260</v>
      </c>
      <c r="AJ1691" s="2">
        <v>7.0000000000000007E-2</v>
      </c>
      <c r="AK1691" s="1">
        <v>431369</v>
      </c>
      <c r="AL1691" t="s">
        <v>117</v>
      </c>
      <c r="AM1691" t="s">
        <v>118</v>
      </c>
      <c r="AN1691">
        <v>11130</v>
      </c>
      <c r="AO1691">
        <v>0.26</v>
      </c>
      <c r="AP1691">
        <v>1</v>
      </c>
      <c r="AR1691">
        <v>1</v>
      </c>
      <c r="AS1691" s="1">
        <v>31130</v>
      </c>
      <c r="AT1691" s="1">
        <v>6220</v>
      </c>
      <c r="AU1691" s="1">
        <v>24910</v>
      </c>
      <c r="AV1691">
        <v>80.02</v>
      </c>
      <c r="AX1691" s="1">
        <v>2848.34</v>
      </c>
      <c r="AY1691" t="s">
        <v>10718</v>
      </c>
      <c r="AZ1691" t="s">
        <v>1882</v>
      </c>
      <c r="BA1691" t="s">
        <v>121</v>
      </c>
      <c r="BE1691" s="3">
        <v>42124</v>
      </c>
      <c r="BF1691" s="1">
        <v>360000</v>
      </c>
      <c r="BG1691" t="s">
        <v>11537</v>
      </c>
      <c r="BH1691" s="1">
        <v>160.57</v>
      </c>
      <c r="BI1691" s="1">
        <v>362823</v>
      </c>
      <c r="BJ1691" s="3">
        <v>42710</v>
      </c>
      <c r="BK1691" t="s">
        <v>123</v>
      </c>
      <c r="BL1691" t="str">
        <f>"2016.899832"</f>
        <v>2016.899832</v>
      </c>
      <c r="BM1691" t="s">
        <v>402</v>
      </c>
      <c r="BN1691" t="s">
        <v>461</v>
      </c>
      <c r="BO1691" t="s">
        <v>11538</v>
      </c>
      <c r="BP1691" t="s">
        <v>11539</v>
      </c>
      <c r="BS1691">
        <v>30</v>
      </c>
      <c r="BT1691" s="1">
        <v>40286</v>
      </c>
      <c r="BU1691" s="3">
        <v>43693</v>
      </c>
      <c r="BV1691" t="s">
        <v>134</v>
      </c>
      <c r="BW1691" t="str">
        <f>"2019.634028"</f>
        <v>2019.634028</v>
      </c>
      <c r="BX1691" t="s">
        <v>383</v>
      </c>
      <c r="BY1691" t="s">
        <v>384</v>
      </c>
      <c r="BZ1691" t="s">
        <v>11540</v>
      </c>
      <c r="CA1691" t="s">
        <v>11541</v>
      </c>
      <c r="CC1691" t="s">
        <v>139</v>
      </c>
      <c r="CH1691" t="str">
        <f>""</f>
        <v/>
      </c>
      <c r="CS1691" t="str">
        <f>""</f>
        <v/>
      </c>
    </row>
    <row r="1692" spans="1:97" x14ac:dyDescent="0.25">
      <c r="A1692" t="s">
        <v>11542</v>
      </c>
      <c r="B1692" t="s">
        <v>11543</v>
      </c>
      <c r="E1692" t="s">
        <v>11544</v>
      </c>
      <c r="F1692" t="s">
        <v>108</v>
      </c>
      <c r="H1692" t="s">
        <v>11545</v>
      </c>
      <c r="I1692" t="s">
        <v>225</v>
      </c>
      <c r="J1692" t="s">
        <v>111</v>
      </c>
      <c r="K1692" t="str">
        <f>"85205"</f>
        <v>85205</v>
      </c>
      <c r="L1692" t="s">
        <v>5464</v>
      </c>
      <c r="M1692" t="s">
        <v>11545</v>
      </c>
      <c r="N1692" t="s">
        <v>225</v>
      </c>
      <c r="O1692" t="s">
        <v>111</v>
      </c>
      <c r="P1692" t="str">
        <f>"85205-6414"</f>
        <v>85205-6414</v>
      </c>
      <c r="Q1692" t="s">
        <v>113</v>
      </c>
      <c r="R1692" t="str">
        <f>"140-16-043"</f>
        <v>140-16-043</v>
      </c>
      <c r="S1692" t="s">
        <v>11546</v>
      </c>
      <c r="T1692" t="s">
        <v>6748</v>
      </c>
      <c r="U1692">
        <v>2753</v>
      </c>
      <c r="V1692">
        <v>0</v>
      </c>
      <c r="W1692">
        <v>3</v>
      </c>
      <c r="X1692">
        <v>1986</v>
      </c>
      <c r="Z1692">
        <v>2</v>
      </c>
      <c r="AA1692" t="s">
        <v>26</v>
      </c>
      <c r="AB1692">
        <v>0</v>
      </c>
      <c r="AC1692" t="s">
        <v>115</v>
      </c>
      <c r="AD1692">
        <v>2</v>
      </c>
      <c r="AE1692" t="s">
        <v>115</v>
      </c>
      <c r="AF1692">
        <v>0</v>
      </c>
      <c r="AG1692">
        <v>0</v>
      </c>
      <c r="AH1692" t="s">
        <v>116</v>
      </c>
      <c r="AI1692" s="1">
        <v>75406</v>
      </c>
      <c r="AJ1692" s="2">
        <v>0.22</v>
      </c>
      <c r="AK1692" s="1">
        <v>336016</v>
      </c>
      <c r="AL1692" t="s">
        <v>117</v>
      </c>
      <c r="AM1692" t="s">
        <v>393</v>
      </c>
      <c r="AN1692">
        <v>7030</v>
      </c>
      <c r="AO1692">
        <v>0.16</v>
      </c>
      <c r="AP1692">
        <v>1</v>
      </c>
      <c r="AR1692">
        <v>1</v>
      </c>
      <c r="AS1692" s="1">
        <v>23330</v>
      </c>
      <c r="AT1692" s="1">
        <v>4660</v>
      </c>
      <c r="AU1692" s="1">
        <v>18670</v>
      </c>
      <c r="AV1692">
        <v>80.03</v>
      </c>
      <c r="AX1692" s="1">
        <v>1574.06</v>
      </c>
      <c r="AY1692" t="s">
        <v>7054</v>
      </c>
      <c r="AZ1692" t="s">
        <v>5275</v>
      </c>
      <c r="BA1692" t="s">
        <v>3119</v>
      </c>
      <c r="BE1692" s="3">
        <v>42157</v>
      </c>
      <c r="BF1692" s="1">
        <v>255000</v>
      </c>
      <c r="BG1692" t="s">
        <v>11547</v>
      </c>
      <c r="BH1692" s="1">
        <v>92.63</v>
      </c>
      <c r="BI1692" s="1">
        <v>260610</v>
      </c>
      <c r="BJ1692" s="3">
        <v>42157</v>
      </c>
      <c r="BK1692" t="s">
        <v>123</v>
      </c>
      <c r="BL1692" t="str">
        <f>"2015.393462"</f>
        <v>2015.393462</v>
      </c>
      <c r="BM1692" t="s">
        <v>820</v>
      </c>
      <c r="BO1692" t="s">
        <v>11548</v>
      </c>
      <c r="BS1692">
        <v>30</v>
      </c>
      <c r="BW1692" t="str">
        <f>""</f>
        <v/>
      </c>
      <c r="CH1692" t="str">
        <f>""</f>
        <v/>
      </c>
      <c r="CS1692" t="str">
        <f>""</f>
        <v/>
      </c>
    </row>
    <row r="1693" spans="1:97" x14ac:dyDescent="0.25">
      <c r="A1693" t="s">
        <v>6619</v>
      </c>
      <c r="B1693" t="s">
        <v>11549</v>
      </c>
      <c r="E1693" t="s">
        <v>11550</v>
      </c>
      <c r="F1693" t="s">
        <v>108</v>
      </c>
      <c r="H1693" t="s">
        <v>11551</v>
      </c>
      <c r="I1693" t="s">
        <v>3150</v>
      </c>
      <c r="J1693" t="s">
        <v>111</v>
      </c>
      <c r="K1693" t="str">
        <f>"85340"</f>
        <v>85340</v>
      </c>
      <c r="L1693" t="s">
        <v>11097</v>
      </c>
      <c r="M1693" t="s">
        <v>11551</v>
      </c>
      <c r="N1693" t="s">
        <v>3150</v>
      </c>
      <c r="O1693" t="s">
        <v>111</v>
      </c>
      <c r="P1693" t="str">
        <f>"85340-4639"</f>
        <v>85340-4639</v>
      </c>
      <c r="Q1693" t="s">
        <v>113</v>
      </c>
      <c r="R1693" t="str">
        <f>"501-70-060"</f>
        <v>501-70-060</v>
      </c>
      <c r="S1693" t="s">
        <v>11552</v>
      </c>
      <c r="U1693">
        <v>2020</v>
      </c>
      <c r="V1693">
        <v>0</v>
      </c>
      <c r="W1693">
        <v>2</v>
      </c>
      <c r="X1693">
        <v>1973</v>
      </c>
      <c r="Z1693">
        <v>1</v>
      </c>
      <c r="AB1693">
        <v>0</v>
      </c>
      <c r="AC1693" t="s">
        <v>115</v>
      </c>
      <c r="AD1693">
        <v>2</v>
      </c>
      <c r="AE1693" t="s">
        <v>115</v>
      </c>
      <c r="AF1693">
        <v>0</v>
      </c>
      <c r="AG1693">
        <v>0</v>
      </c>
      <c r="AH1693" t="s">
        <v>116</v>
      </c>
      <c r="AI1693" s="1">
        <v>79430</v>
      </c>
      <c r="AJ1693" s="2">
        <v>0.25</v>
      </c>
      <c r="AK1693" s="1">
        <v>312842</v>
      </c>
      <c r="AL1693" t="s">
        <v>117</v>
      </c>
      <c r="AM1693" t="s">
        <v>1521</v>
      </c>
      <c r="AN1693">
        <v>9493</v>
      </c>
      <c r="AO1693">
        <v>0.22</v>
      </c>
      <c r="AP1693">
        <v>1</v>
      </c>
      <c r="AR1693">
        <v>1</v>
      </c>
      <c r="AS1693" s="1">
        <v>22710</v>
      </c>
      <c r="AT1693" s="1">
        <v>4540</v>
      </c>
      <c r="AU1693" s="1">
        <v>18170</v>
      </c>
      <c r="AV1693">
        <v>80.010000000000005</v>
      </c>
      <c r="AX1693" s="1">
        <v>1610.38</v>
      </c>
      <c r="AY1693" t="s">
        <v>11553</v>
      </c>
      <c r="AZ1693" t="s">
        <v>11553</v>
      </c>
      <c r="BA1693" t="s">
        <v>3154</v>
      </c>
      <c r="BE1693" s="3">
        <v>42118</v>
      </c>
      <c r="BF1693" s="1">
        <v>228500</v>
      </c>
      <c r="BG1693" t="s">
        <v>11554</v>
      </c>
      <c r="BH1693" s="1">
        <v>113.12</v>
      </c>
      <c r="BI1693" s="1">
        <v>233412</v>
      </c>
      <c r="BJ1693" s="3">
        <v>42118</v>
      </c>
      <c r="BK1693" t="s">
        <v>123</v>
      </c>
      <c r="BL1693" t="str">
        <f>"2015.285719"</f>
        <v>2015.285719</v>
      </c>
      <c r="BM1693" t="s">
        <v>3611</v>
      </c>
      <c r="BO1693" t="s">
        <v>11555</v>
      </c>
      <c r="BS1693">
        <v>30</v>
      </c>
      <c r="BW1693" t="str">
        <f>""</f>
        <v/>
      </c>
      <c r="CH1693" t="str">
        <f>""</f>
        <v/>
      </c>
      <c r="CS1693" t="str">
        <f>""</f>
        <v/>
      </c>
    </row>
    <row r="1694" spans="1:97" x14ac:dyDescent="0.25">
      <c r="B1694" t="s">
        <v>11556</v>
      </c>
      <c r="C1694" t="s">
        <v>484</v>
      </c>
      <c r="E1694" t="s">
        <v>11557</v>
      </c>
      <c r="F1694" t="s">
        <v>108</v>
      </c>
      <c r="H1694" t="s">
        <v>11558</v>
      </c>
      <c r="I1694" t="s">
        <v>225</v>
      </c>
      <c r="J1694" t="s">
        <v>111</v>
      </c>
      <c r="K1694" t="str">
        <f>"85207"</f>
        <v>85207</v>
      </c>
      <c r="L1694" t="s">
        <v>2211</v>
      </c>
      <c r="M1694" t="s">
        <v>11558</v>
      </c>
      <c r="N1694" t="s">
        <v>225</v>
      </c>
      <c r="O1694" t="s">
        <v>111</v>
      </c>
      <c r="P1694" t="str">
        <f>"85207-2236"</f>
        <v>85207-2236</v>
      </c>
      <c r="Q1694" t="s">
        <v>113</v>
      </c>
      <c r="R1694" t="str">
        <f>"220-09-185"</f>
        <v>220-09-185</v>
      </c>
      <c r="S1694" t="s">
        <v>11559</v>
      </c>
      <c r="T1694" t="s">
        <v>11559</v>
      </c>
      <c r="U1694">
        <v>3035</v>
      </c>
      <c r="V1694">
        <v>0</v>
      </c>
      <c r="W1694">
        <v>4</v>
      </c>
      <c r="X1694">
        <v>2003</v>
      </c>
      <c r="Z1694">
        <v>2</v>
      </c>
      <c r="AA1694" t="s">
        <v>26</v>
      </c>
      <c r="AB1694">
        <v>0</v>
      </c>
      <c r="AC1694" t="s">
        <v>115</v>
      </c>
      <c r="AD1694">
        <v>3</v>
      </c>
      <c r="AE1694" t="s">
        <v>115</v>
      </c>
      <c r="AF1694">
        <v>0</v>
      </c>
      <c r="AG1694">
        <v>0</v>
      </c>
      <c r="AH1694" t="s">
        <v>116</v>
      </c>
      <c r="AI1694" s="1">
        <v>86640</v>
      </c>
      <c r="AJ1694" s="2">
        <v>0.22</v>
      </c>
      <c r="AK1694" s="1">
        <v>399639</v>
      </c>
      <c r="AL1694" t="s">
        <v>117</v>
      </c>
      <c r="AM1694" t="s">
        <v>917</v>
      </c>
      <c r="AN1694">
        <v>8775</v>
      </c>
      <c r="AO1694">
        <v>0.2</v>
      </c>
      <c r="AP1694">
        <v>1</v>
      </c>
      <c r="AR1694">
        <v>1</v>
      </c>
      <c r="AS1694" s="1">
        <v>28750</v>
      </c>
      <c r="AT1694" s="1">
        <v>5750</v>
      </c>
      <c r="AU1694" s="1">
        <v>23000</v>
      </c>
      <c r="AV1694">
        <v>80</v>
      </c>
      <c r="AX1694" s="1">
        <v>2226.66</v>
      </c>
      <c r="AY1694" t="s">
        <v>6572</v>
      </c>
      <c r="AZ1694" t="s">
        <v>3761</v>
      </c>
      <c r="BA1694" t="s">
        <v>232</v>
      </c>
      <c r="BB1694" s="3">
        <v>43472</v>
      </c>
      <c r="BC1694" s="1">
        <v>0</v>
      </c>
      <c r="BD1694" t="s">
        <v>247</v>
      </c>
      <c r="BE1694" s="3">
        <v>41941</v>
      </c>
      <c r="BF1694" s="1">
        <v>290000</v>
      </c>
      <c r="BG1694" t="s">
        <v>11560</v>
      </c>
      <c r="BH1694" s="1">
        <v>95.55</v>
      </c>
      <c r="BI1694" s="1">
        <v>312999</v>
      </c>
      <c r="BJ1694" s="3">
        <v>43151</v>
      </c>
      <c r="BK1694" t="s">
        <v>123</v>
      </c>
      <c r="BL1694" t="str">
        <f>"2018.126191"</f>
        <v>2018.126191</v>
      </c>
      <c r="BM1694" t="s">
        <v>3562</v>
      </c>
      <c r="BN1694" t="s">
        <v>11561</v>
      </c>
      <c r="BO1694" t="s">
        <v>11562</v>
      </c>
      <c r="BP1694" t="s">
        <v>11563</v>
      </c>
      <c r="BR1694" t="s">
        <v>139</v>
      </c>
      <c r="BW1694" t="str">
        <f>""</f>
        <v/>
      </c>
      <c r="CH1694" t="str">
        <f>""</f>
        <v/>
      </c>
      <c r="CS1694" t="str">
        <f>""</f>
        <v/>
      </c>
    </row>
    <row r="1695" spans="1:97" x14ac:dyDescent="0.25">
      <c r="A1695" t="s">
        <v>1176</v>
      </c>
      <c r="B1695" t="s">
        <v>212</v>
      </c>
      <c r="E1695" t="s">
        <v>11564</v>
      </c>
      <c r="F1695" t="s">
        <v>108</v>
      </c>
      <c r="H1695" t="s">
        <v>11565</v>
      </c>
      <c r="I1695" t="s">
        <v>225</v>
      </c>
      <c r="J1695" t="s">
        <v>111</v>
      </c>
      <c r="K1695" t="str">
        <f>"85213"</f>
        <v>85213</v>
      </c>
      <c r="L1695" t="s">
        <v>11566</v>
      </c>
      <c r="M1695" t="s">
        <v>11565</v>
      </c>
      <c r="N1695" t="s">
        <v>225</v>
      </c>
      <c r="O1695" t="s">
        <v>111</v>
      </c>
      <c r="P1695" t="str">
        <f>"85213-7053"</f>
        <v>85213-7053</v>
      </c>
      <c r="Q1695" t="s">
        <v>113</v>
      </c>
      <c r="R1695" t="str">
        <f>"140-12-016"</f>
        <v>140-12-016</v>
      </c>
      <c r="S1695" t="s">
        <v>11567</v>
      </c>
      <c r="U1695">
        <v>2962</v>
      </c>
      <c r="V1695">
        <v>0</v>
      </c>
      <c r="W1695">
        <v>4</v>
      </c>
      <c r="X1695">
        <v>1988</v>
      </c>
      <c r="Z1695">
        <v>1</v>
      </c>
      <c r="AA1695" t="s">
        <v>26</v>
      </c>
      <c r="AB1695">
        <v>0</v>
      </c>
      <c r="AC1695" t="s">
        <v>115</v>
      </c>
      <c r="AD1695">
        <v>3</v>
      </c>
      <c r="AE1695" t="s">
        <v>115</v>
      </c>
      <c r="AF1695">
        <v>0</v>
      </c>
      <c r="AG1695">
        <v>0</v>
      </c>
      <c r="AH1695" t="s">
        <v>116</v>
      </c>
      <c r="AI1695" s="1">
        <v>138217</v>
      </c>
      <c r="AJ1695" s="2">
        <v>0.25</v>
      </c>
      <c r="AK1695" s="1">
        <v>555217</v>
      </c>
      <c r="AL1695" t="s">
        <v>117</v>
      </c>
      <c r="AM1695" t="s">
        <v>1521</v>
      </c>
      <c r="AN1695">
        <v>16453</v>
      </c>
      <c r="AO1695">
        <v>0.38</v>
      </c>
      <c r="AP1695">
        <v>1</v>
      </c>
      <c r="AR1695">
        <v>1</v>
      </c>
      <c r="AS1695" s="1">
        <v>42110</v>
      </c>
      <c r="AT1695" s="1">
        <v>8420</v>
      </c>
      <c r="AU1695" s="1">
        <v>33690</v>
      </c>
      <c r="AV1695">
        <v>80</v>
      </c>
      <c r="AX1695" s="1">
        <v>3269.96</v>
      </c>
      <c r="AY1695" t="s">
        <v>7654</v>
      </c>
      <c r="AZ1695" t="s">
        <v>1523</v>
      </c>
      <c r="BA1695" t="s">
        <v>1524</v>
      </c>
      <c r="BE1695" s="3">
        <v>42174</v>
      </c>
      <c r="BF1695" s="1">
        <v>469000</v>
      </c>
      <c r="BG1695" t="s">
        <v>11568</v>
      </c>
      <c r="BH1695" s="1">
        <v>158.34</v>
      </c>
      <c r="BI1695" s="1">
        <v>417000</v>
      </c>
      <c r="BJ1695" s="3">
        <v>42174</v>
      </c>
      <c r="BK1695" t="s">
        <v>123</v>
      </c>
      <c r="BL1695" t="str">
        <f>"2015.440796"</f>
        <v>2015.440796</v>
      </c>
      <c r="BM1695" t="s">
        <v>2716</v>
      </c>
      <c r="BO1695" t="s">
        <v>11569</v>
      </c>
      <c r="BS1695">
        <v>30</v>
      </c>
      <c r="BW1695" t="str">
        <f>""</f>
        <v/>
      </c>
      <c r="CH1695" t="str">
        <f>""</f>
        <v/>
      </c>
      <c r="CS1695" t="str">
        <f>""</f>
        <v/>
      </c>
    </row>
    <row r="1696" spans="1:97" x14ac:dyDescent="0.25">
      <c r="A1696" t="s">
        <v>9020</v>
      </c>
      <c r="B1696" t="s">
        <v>11570</v>
      </c>
      <c r="E1696" t="s">
        <v>11571</v>
      </c>
      <c r="F1696" t="s">
        <v>108</v>
      </c>
      <c r="H1696" t="s">
        <v>11572</v>
      </c>
      <c r="I1696" t="s">
        <v>167</v>
      </c>
      <c r="J1696" t="s">
        <v>111</v>
      </c>
      <c r="K1696" t="str">
        <f>"85339"</f>
        <v>85339</v>
      </c>
      <c r="L1696" t="s">
        <v>3885</v>
      </c>
      <c r="M1696" t="s">
        <v>11572</v>
      </c>
      <c r="N1696" t="s">
        <v>167</v>
      </c>
      <c r="O1696" t="s">
        <v>111</v>
      </c>
      <c r="P1696" t="str">
        <f>"85339-7139"</f>
        <v>85339-7139</v>
      </c>
      <c r="Q1696" t="s">
        <v>113</v>
      </c>
      <c r="R1696" t="str">
        <f>"300-10-540"</f>
        <v>300-10-540</v>
      </c>
      <c r="S1696" t="s">
        <v>6076</v>
      </c>
      <c r="T1696" t="s">
        <v>6076</v>
      </c>
      <c r="U1696">
        <v>3648</v>
      </c>
      <c r="V1696">
        <v>0</v>
      </c>
      <c r="W1696">
        <v>4</v>
      </c>
      <c r="X1696">
        <v>2006</v>
      </c>
      <c r="Z1696">
        <v>2</v>
      </c>
      <c r="AB1696">
        <v>0</v>
      </c>
      <c r="AC1696" t="s">
        <v>115</v>
      </c>
      <c r="AD1696">
        <v>3</v>
      </c>
      <c r="AE1696" t="s">
        <v>115</v>
      </c>
      <c r="AF1696">
        <v>0</v>
      </c>
      <c r="AG1696">
        <v>0</v>
      </c>
      <c r="AH1696" t="s">
        <v>116</v>
      </c>
      <c r="AI1696" s="1">
        <v>20059</v>
      </c>
      <c r="AJ1696" s="2">
        <v>0.05</v>
      </c>
      <c r="AK1696" s="1">
        <v>407434</v>
      </c>
      <c r="AL1696" t="s">
        <v>117</v>
      </c>
      <c r="AM1696" t="s">
        <v>1302</v>
      </c>
      <c r="AN1696">
        <v>10834</v>
      </c>
      <c r="AO1696">
        <v>0.25</v>
      </c>
      <c r="AR1696">
        <v>1</v>
      </c>
      <c r="AS1696" s="1">
        <v>29310</v>
      </c>
      <c r="AT1696" s="1">
        <v>5860</v>
      </c>
      <c r="AU1696" s="1">
        <v>23450</v>
      </c>
      <c r="AV1696">
        <v>80.010000000000005</v>
      </c>
      <c r="AX1696" s="1">
        <v>4385.68</v>
      </c>
      <c r="AY1696" t="s">
        <v>806</v>
      </c>
      <c r="AZ1696" t="s">
        <v>806</v>
      </c>
      <c r="BA1696" t="s">
        <v>173</v>
      </c>
      <c r="BB1696" s="3">
        <v>43122</v>
      </c>
      <c r="BC1696" s="1">
        <v>0</v>
      </c>
      <c r="BD1696" t="s">
        <v>247</v>
      </c>
      <c r="BE1696" s="3">
        <v>42394</v>
      </c>
      <c r="BF1696" s="1">
        <v>350000</v>
      </c>
      <c r="BG1696" t="s">
        <v>11573</v>
      </c>
      <c r="BH1696" s="1">
        <v>95.94</v>
      </c>
      <c r="BI1696" s="1">
        <v>387375</v>
      </c>
      <c r="BJ1696" s="3">
        <v>43122</v>
      </c>
      <c r="BK1696" t="s">
        <v>123</v>
      </c>
      <c r="BL1696" t="str">
        <f>"2018.49896"</f>
        <v>2018.49896</v>
      </c>
      <c r="BM1696" t="s">
        <v>361</v>
      </c>
      <c r="BN1696" t="s">
        <v>884</v>
      </c>
      <c r="BO1696" t="s">
        <v>11571</v>
      </c>
      <c r="BR1696" t="s">
        <v>139</v>
      </c>
      <c r="BW1696" t="str">
        <f>""</f>
        <v/>
      </c>
      <c r="CH1696" t="str">
        <f>""</f>
        <v/>
      </c>
      <c r="CS1696" t="str">
        <f>""</f>
        <v/>
      </c>
    </row>
    <row r="1697" spans="1:97" x14ac:dyDescent="0.25">
      <c r="A1697" t="s">
        <v>701</v>
      </c>
      <c r="B1697" t="s">
        <v>11574</v>
      </c>
      <c r="C1697" t="s">
        <v>11575</v>
      </c>
      <c r="D1697" t="s">
        <v>11574</v>
      </c>
      <c r="E1697" t="s">
        <v>11576</v>
      </c>
      <c r="F1697" t="s">
        <v>108</v>
      </c>
      <c r="H1697" t="s">
        <v>11577</v>
      </c>
      <c r="I1697" t="s">
        <v>203</v>
      </c>
      <c r="J1697" t="s">
        <v>111</v>
      </c>
      <c r="K1697" t="str">
        <f>"85295"</f>
        <v>85295</v>
      </c>
      <c r="L1697" t="s">
        <v>10083</v>
      </c>
      <c r="M1697" t="s">
        <v>11577</v>
      </c>
      <c r="N1697" t="s">
        <v>203</v>
      </c>
      <c r="O1697" t="s">
        <v>111</v>
      </c>
      <c r="P1697" t="str">
        <f>"85295-5566"</f>
        <v>85295-5566</v>
      </c>
      <c r="Q1697" t="s">
        <v>113</v>
      </c>
      <c r="R1697" t="str">
        <f>"309-20-342"</f>
        <v>309-20-342</v>
      </c>
      <c r="S1697" t="s">
        <v>9211</v>
      </c>
      <c r="U1697">
        <v>2603</v>
      </c>
      <c r="V1697">
        <v>0</v>
      </c>
      <c r="W1697">
        <v>4</v>
      </c>
      <c r="X1697">
        <v>2002</v>
      </c>
      <c r="Z1697">
        <v>1</v>
      </c>
      <c r="AA1697" t="s">
        <v>26</v>
      </c>
      <c r="AB1697">
        <v>0</v>
      </c>
      <c r="AC1697" t="s">
        <v>115</v>
      </c>
      <c r="AD1697">
        <v>3</v>
      </c>
      <c r="AE1697" t="s">
        <v>115</v>
      </c>
      <c r="AF1697">
        <v>0</v>
      </c>
      <c r="AG1697">
        <v>0</v>
      </c>
      <c r="AH1697" t="s">
        <v>116</v>
      </c>
      <c r="AI1697" s="1">
        <v>91365</v>
      </c>
      <c r="AJ1697" s="2">
        <v>0.2</v>
      </c>
      <c r="AK1697" s="1">
        <v>446365</v>
      </c>
      <c r="AL1697" t="s">
        <v>117</v>
      </c>
      <c r="AM1697" t="s">
        <v>1302</v>
      </c>
      <c r="AN1697">
        <v>16884</v>
      </c>
      <c r="AO1697">
        <v>0.39</v>
      </c>
      <c r="AP1697">
        <v>1</v>
      </c>
      <c r="AR1697">
        <v>1</v>
      </c>
      <c r="AS1697" s="1">
        <v>34760</v>
      </c>
      <c r="AT1697" s="1">
        <v>6950</v>
      </c>
      <c r="AU1697" s="1">
        <v>27810</v>
      </c>
      <c r="AV1697">
        <v>80.010000000000005</v>
      </c>
      <c r="AX1697" s="1">
        <v>2474.6999999999998</v>
      </c>
      <c r="AY1697" t="s">
        <v>9212</v>
      </c>
      <c r="AZ1697" t="s">
        <v>207</v>
      </c>
      <c r="BA1697" t="s">
        <v>208</v>
      </c>
      <c r="BE1697" s="3">
        <v>42433</v>
      </c>
      <c r="BF1697" s="1">
        <v>355000</v>
      </c>
      <c r="BG1697" t="s">
        <v>11578</v>
      </c>
      <c r="BH1697" s="1">
        <v>136.38</v>
      </c>
      <c r="BI1697" s="1">
        <v>355000</v>
      </c>
      <c r="BJ1697" s="3">
        <v>42433</v>
      </c>
      <c r="BK1697" t="s">
        <v>123</v>
      </c>
      <c r="BL1697" t="str">
        <f>"2016.143324"</f>
        <v>2016.143324</v>
      </c>
      <c r="BM1697" t="s">
        <v>724</v>
      </c>
      <c r="BO1697" t="s">
        <v>11579</v>
      </c>
      <c r="BS1697">
        <v>30</v>
      </c>
      <c r="BW1697" t="str">
        <f>""</f>
        <v/>
      </c>
      <c r="CH1697" t="str">
        <f>""</f>
        <v/>
      </c>
      <c r="CS1697" t="str">
        <f>""</f>
        <v/>
      </c>
    </row>
    <row r="1698" spans="1:97" x14ac:dyDescent="0.25">
      <c r="A1698" t="s">
        <v>894</v>
      </c>
      <c r="B1698" t="s">
        <v>11580</v>
      </c>
      <c r="E1698" t="s">
        <v>11581</v>
      </c>
      <c r="F1698" t="s">
        <v>108</v>
      </c>
      <c r="H1698" t="s">
        <v>11582</v>
      </c>
      <c r="I1698" t="s">
        <v>5387</v>
      </c>
      <c r="J1698" t="s">
        <v>111</v>
      </c>
      <c r="K1698" t="str">
        <f>"85283"</f>
        <v>85283</v>
      </c>
      <c r="L1698" t="s">
        <v>5539</v>
      </c>
      <c r="M1698" t="s">
        <v>11582</v>
      </c>
      <c r="N1698" t="s">
        <v>5387</v>
      </c>
      <c r="O1698" t="s">
        <v>111</v>
      </c>
      <c r="P1698" t="str">
        <f>"85283-2216"</f>
        <v>85283-2216</v>
      </c>
      <c r="Q1698" t="s">
        <v>113</v>
      </c>
      <c r="R1698" t="str">
        <f>"301-94-153"</f>
        <v>301-94-153</v>
      </c>
      <c r="S1698" t="s">
        <v>11583</v>
      </c>
      <c r="T1698" t="s">
        <v>11584</v>
      </c>
      <c r="U1698">
        <v>2236</v>
      </c>
      <c r="V1698">
        <v>0</v>
      </c>
      <c r="W1698">
        <v>2</v>
      </c>
      <c r="X1698">
        <v>1975</v>
      </c>
      <c r="Z1698">
        <v>1</v>
      </c>
      <c r="AA1698" t="s">
        <v>26</v>
      </c>
      <c r="AB1698">
        <v>0</v>
      </c>
      <c r="AC1698" t="s">
        <v>115</v>
      </c>
      <c r="AD1698">
        <v>2</v>
      </c>
      <c r="AE1698" t="s">
        <v>115</v>
      </c>
      <c r="AF1698">
        <v>0</v>
      </c>
      <c r="AG1698">
        <v>0</v>
      </c>
      <c r="AH1698" t="s">
        <v>116</v>
      </c>
      <c r="AI1698" s="1">
        <v>143210</v>
      </c>
      <c r="AJ1698" s="2">
        <v>0.37</v>
      </c>
      <c r="AK1698" s="1">
        <v>388370</v>
      </c>
      <c r="AL1698" t="s">
        <v>117</v>
      </c>
      <c r="AM1698" t="s">
        <v>393</v>
      </c>
      <c r="AN1698">
        <v>8451</v>
      </c>
      <c r="AO1698">
        <v>0.19</v>
      </c>
      <c r="AP1698">
        <v>1</v>
      </c>
      <c r="AR1698">
        <v>1</v>
      </c>
      <c r="AS1698" s="1">
        <v>26870</v>
      </c>
      <c r="AT1698" s="1">
        <v>5370</v>
      </c>
      <c r="AU1698" s="1">
        <v>21500</v>
      </c>
      <c r="AV1698">
        <v>80.010000000000005</v>
      </c>
      <c r="AX1698" s="1">
        <v>2635.68</v>
      </c>
      <c r="AY1698" t="s">
        <v>9740</v>
      </c>
      <c r="AZ1698" t="s">
        <v>6726</v>
      </c>
      <c r="BA1698" t="s">
        <v>5392</v>
      </c>
      <c r="BE1698" s="3">
        <v>42241</v>
      </c>
      <c r="BF1698" s="1">
        <v>240000</v>
      </c>
      <c r="BG1698" t="s">
        <v>11585</v>
      </c>
      <c r="BH1698" s="1">
        <v>107.33</v>
      </c>
      <c r="BI1698" s="1">
        <v>245160</v>
      </c>
      <c r="BJ1698" s="3">
        <v>42241</v>
      </c>
      <c r="BK1698" t="s">
        <v>123</v>
      </c>
      <c r="BL1698" t="str">
        <f>"2015.616521"</f>
        <v>2015.616521</v>
      </c>
      <c r="BM1698" t="s">
        <v>150</v>
      </c>
      <c r="BO1698" t="s">
        <v>11586</v>
      </c>
      <c r="BS1698">
        <v>30</v>
      </c>
      <c r="BW1698" t="str">
        <f>""</f>
        <v/>
      </c>
      <c r="CH1698" t="str">
        <f>""</f>
        <v/>
      </c>
      <c r="CS1698" t="str">
        <f>""</f>
        <v/>
      </c>
    </row>
    <row r="1699" spans="1:97" x14ac:dyDescent="0.25">
      <c r="A1699" t="s">
        <v>7387</v>
      </c>
      <c r="B1699" t="s">
        <v>603</v>
      </c>
      <c r="C1699" t="s">
        <v>2184</v>
      </c>
      <c r="D1699" t="s">
        <v>603</v>
      </c>
      <c r="E1699" t="s">
        <v>11587</v>
      </c>
      <c r="F1699" t="s">
        <v>108</v>
      </c>
      <c r="H1699" t="s">
        <v>11588</v>
      </c>
      <c r="I1699" t="s">
        <v>225</v>
      </c>
      <c r="J1699" t="s">
        <v>111</v>
      </c>
      <c r="K1699" t="str">
        <f>"85205"</f>
        <v>85205</v>
      </c>
      <c r="L1699" t="s">
        <v>5218</v>
      </c>
      <c r="M1699" t="s">
        <v>11588</v>
      </c>
      <c r="N1699" t="s">
        <v>225</v>
      </c>
      <c r="O1699" t="s">
        <v>111</v>
      </c>
      <c r="P1699" t="str">
        <f>"85205-6343"</f>
        <v>85205-6343</v>
      </c>
      <c r="Q1699" t="s">
        <v>113</v>
      </c>
      <c r="R1699" t="str">
        <f>"140-15-378"</f>
        <v>140-15-378</v>
      </c>
      <c r="S1699" t="s">
        <v>8914</v>
      </c>
      <c r="T1699" t="s">
        <v>8914</v>
      </c>
      <c r="U1699">
        <v>2691</v>
      </c>
      <c r="V1699">
        <v>0</v>
      </c>
      <c r="W1699">
        <v>3</v>
      </c>
      <c r="X1699">
        <v>2001</v>
      </c>
      <c r="Z1699">
        <v>1</v>
      </c>
      <c r="AA1699" t="s">
        <v>26</v>
      </c>
      <c r="AB1699">
        <v>0</v>
      </c>
      <c r="AC1699" t="s">
        <v>115</v>
      </c>
      <c r="AD1699">
        <v>3</v>
      </c>
      <c r="AE1699" t="s">
        <v>115</v>
      </c>
      <c r="AF1699">
        <v>0</v>
      </c>
      <c r="AG1699">
        <v>0</v>
      </c>
      <c r="AH1699" t="s">
        <v>116</v>
      </c>
      <c r="AI1699" s="1">
        <v>48285</v>
      </c>
      <c r="AJ1699" s="2">
        <v>0.12</v>
      </c>
      <c r="AK1699" s="1">
        <v>404670</v>
      </c>
      <c r="AL1699" t="s">
        <v>117</v>
      </c>
      <c r="AM1699" t="s">
        <v>917</v>
      </c>
      <c r="AN1699">
        <v>9000</v>
      </c>
      <c r="AO1699">
        <v>0.21</v>
      </c>
      <c r="AP1699">
        <v>1</v>
      </c>
      <c r="AR1699">
        <v>1</v>
      </c>
      <c r="AS1699" s="1">
        <v>29660</v>
      </c>
      <c r="AT1699" s="1">
        <v>5930</v>
      </c>
      <c r="AU1699" s="1">
        <v>23730</v>
      </c>
      <c r="AV1699">
        <v>80.010000000000005</v>
      </c>
      <c r="AX1699" s="1">
        <v>2639.12</v>
      </c>
      <c r="AY1699" t="s">
        <v>7054</v>
      </c>
      <c r="AZ1699" t="s">
        <v>5275</v>
      </c>
      <c r="BA1699" t="s">
        <v>3119</v>
      </c>
      <c r="BE1699" s="3">
        <v>42457</v>
      </c>
      <c r="BF1699" s="1">
        <v>345000</v>
      </c>
      <c r="BG1699" t="s">
        <v>11589</v>
      </c>
      <c r="BH1699" s="1">
        <v>128.21</v>
      </c>
      <c r="BI1699" s="1">
        <v>356385</v>
      </c>
      <c r="BJ1699" s="3">
        <v>42457</v>
      </c>
      <c r="BK1699" t="s">
        <v>123</v>
      </c>
      <c r="BL1699" t="str">
        <f>"2016.197778"</f>
        <v>2016.197778</v>
      </c>
      <c r="BM1699" t="s">
        <v>544</v>
      </c>
      <c r="BO1699" t="s">
        <v>11590</v>
      </c>
      <c r="BS1699">
        <v>30</v>
      </c>
      <c r="BW1699" t="str">
        <f>""</f>
        <v/>
      </c>
      <c r="CH1699" t="str">
        <f>""</f>
        <v/>
      </c>
      <c r="CS1699" t="str">
        <f>""</f>
        <v/>
      </c>
    </row>
    <row r="1700" spans="1:97" x14ac:dyDescent="0.25">
      <c r="A1700" t="s">
        <v>1850</v>
      </c>
      <c r="B1700" t="s">
        <v>11591</v>
      </c>
      <c r="C1700" t="s">
        <v>10172</v>
      </c>
      <c r="D1700" t="s">
        <v>11591</v>
      </c>
      <c r="E1700" t="s">
        <v>11592</v>
      </c>
      <c r="F1700" t="s">
        <v>108</v>
      </c>
      <c r="H1700" t="s">
        <v>11593</v>
      </c>
      <c r="I1700" t="s">
        <v>203</v>
      </c>
      <c r="J1700" t="s">
        <v>111</v>
      </c>
      <c r="K1700" t="str">
        <f>"85295"</f>
        <v>85295</v>
      </c>
      <c r="L1700" t="s">
        <v>7983</v>
      </c>
      <c r="M1700" t="s">
        <v>11593</v>
      </c>
      <c r="N1700" t="s">
        <v>203</v>
      </c>
      <c r="O1700" t="s">
        <v>111</v>
      </c>
      <c r="P1700" t="str">
        <f>"85295-7729"</f>
        <v>85295-7729</v>
      </c>
      <c r="Q1700" t="s">
        <v>113</v>
      </c>
      <c r="R1700" t="str">
        <f>"304-38-157"</f>
        <v>304-38-157</v>
      </c>
      <c r="S1700" t="s">
        <v>10343</v>
      </c>
      <c r="T1700" t="s">
        <v>10343</v>
      </c>
      <c r="U1700">
        <v>2735</v>
      </c>
      <c r="V1700">
        <v>0</v>
      </c>
      <c r="W1700">
        <v>4</v>
      </c>
      <c r="X1700">
        <v>2002</v>
      </c>
      <c r="Z1700">
        <v>1</v>
      </c>
      <c r="AA1700" t="s">
        <v>26</v>
      </c>
      <c r="AB1700">
        <v>0</v>
      </c>
      <c r="AC1700" t="s">
        <v>115</v>
      </c>
      <c r="AD1700">
        <v>3</v>
      </c>
      <c r="AE1700" t="s">
        <v>115</v>
      </c>
      <c r="AF1700">
        <v>0</v>
      </c>
      <c r="AG1700">
        <v>0</v>
      </c>
      <c r="AH1700" t="s">
        <v>116</v>
      </c>
      <c r="AI1700" s="1">
        <v>77815</v>
      </c>
      <c r="AJ1700" s="2">
        <v>0.18</v>
      </c>
      <c r="AK1700" s="1">
        <v>429035</v>
      </c>
      <c r="AL1700" t="s">
        <v>117</v>
      </c>
      <c r="AM1700" t="s">
        <v>171</v>
      </c>
      <c r="AN1700">
        <v>9973</v>
      </c>
      <c r="AO1700">
        <v>0.23</v>
      </c>
      <c r="AP1700">
        <v>1</v>
      </c>
      <c r="AR1700">
        <v>1</v>
      </c>
      <c r="AS1700" s="1">
        <v>31360</v>
      </c>
      <c r="AT1700" s="1">
        <v>6270</v>
      </c>
      <c r="AU1700" s="1">
        <v>25090</v>
      </c>
      <c r="AV1700">
        <v>80.010000000000005</v>
      </c>
      <c r="AX1700" s="1">
        <v>2683.82</v>
      </c>
      <c r="AY1700" t="s">
        <v>472</v>
      </c>
      <c r="AZ1700" t="s">
        <v>472</v>
      </c>
      <c r="BA1700" t="s">
        <v>473</v>
      </c>
      <c r="BE1700" s="3">
        <v>41949</v>
      </c>
      <c r="BF1700" s="1">
        <v>340000</v>
      </c>
      <c r="BG1700" t="s">
        <v>11594</v>
      </c>
      <c r="BH1700" s="1">
        <v>124.31</v>
      </c>
      <c r="BI1700" s="1">
        <v>351220</v>
      </c>
      <c r="BJ1700" s="3">
        <v>41949</v>
      </c>
      <c r="BK1700" t="s">
        <v>123</v>
      </c>
      <c r="BL1700" t="str">
        <f>"2014.737668"</f>
        <v>2014.737668</v>
      </c>
      <c r="BM1700" t="s">
        <v>2716</v>
      </c>
      <c r="BO1700" t="s">
        <v>11595</v>
      </c>
      <c r="BS1700">
        <v>30</v>
      </c>
      <c r="BW1700" t="str">
        <f>""</f>
        <v/>
      </c>
      <c r="CH1700" t="str">
        <f>""</f>
        <v/>
      </c>
      <c r="CS1700" t="str">
        <f>""</f>
        <v/>
      </c>
    </row>
    <row r="1701" spans="1:97" x14ac:dyDescent="0.25">
      <c r="A1701" t="s">
        <v>894</v>
      </c>
      <c r="B1701" t="s">
        <v>11596</v>
      </c>
      <c r="E1701" t="s">
        <v>11597</v>
      </c>
      <c r="F1701" t="s">
        <v>108</v>
      </c>
      <c r="H1701" t="s">
        <v>11598</v>
      </c>
      <c r="I1701" t="s">
        <v>203</v>
      </c>
      <c r="J1701" t="s">
        <v>111</v>
      </c>
      <c r="K1701" t="str">
        <f>"85298"</f>
        <v>85298</v>
      </c>
      <c r="L1701" t="s">
        <v>5872</v>
      </c>
      <c r="M1701" t="s">
        <v>11598</v>
      </c>
      <c r="N1701" t="s">
        <v>203</v>
      </c>
      <c r="O1701" t="s">
        <v>111</v>
      </c>
      <c r="P1701" t="str">
        <f>"85298-9091"</f>
        <v>85298-9091</v>
      </c>
      <c r="Q1701" t="s">
        <v>113</v>
      </c>
      <c r="R1701" t="str">
        <f>"313-07-222"</f>
        <v>313-07-222</v>
      </c>
      <c r="S1701" t="s">
        <v>5873</v>
      </c>
      <c r="T1701" t="s">
        <v>5874</v>
      </c>
      <c r="U1701">
        <v>2200</v>
      </c>
      <c r="V1701">
        <v>0</v>
      </c>
      <c r="W1701">
        <v>4</v>
      </c>
      <c r="X1701">
        <v>2005</v>
      </c>
      <c r="Z1701">
        <v>2</v>
      </c>
      <c r="AA1701" t="s">
        <v>26</v>
      </c>
      <c r="AB1701">
        <v>0</v>
      </c>
      <c r="AC1701" t="s">
        <v>115</v>
      </c>
      <c r="AD1701">
        <v>3</v>
      </c>
      <c r="AE1701" t="s">
        <v>115</v>
      </c>
      <c r="AF1701">
        <v>0</v>
      </c>
      <c r="AG1701">
        <v>0</v>
      </c>
      <c r="AH1701" t="s">
        <v>116</v>
      </c>
      <c r="AI1701" s="1">
        <v>125302</v>
      </c>
      <c r="AJ1701" s="2">
        <v>0.34</v>
      </c>
      <c r="AK1701" s="1">
        <v>365145</v>
      </c>
      <c r="AL1701" t="s">
        <v>117</v>
      </c>
      <c r="AM1701" t="s">
        <v>191</v>
      </c>
      <c r="AN1701">
        <v>6560</v>
      </c>
      <c r="AO1701">
        <v>0.15</v>
      </c>
      <c r="AR1701">
        <v>1</v>
      </c>
      <c r="AS1701" s="1">
        <v>25630</v>
      </c>
      <c r="AT1701" s="1">
        <v>5120</v>
      </c>
      <c r="AU1701" s="1">
        <v>20510</v>
      </c>
      <c r="AV1701">
        <v>80.02</v>
      </c>
      <c r="AX1701" s="1">
        <v>2450.2800000000002</v>
      </c>
      <c r="AY1701" t="s">
        <v>5875</v>
      </c>
      <c r="AZ1701" t="s">
        <v>1134</v>
      </c>
      <c r="BA1701" t="s">
        <v>1134</v>
      </c>
      <c r="BE1701" s="3">
        <v>41771</v>
      </c>
      <c r="BF1701" s="1">
        <v>256000</v>
      </c>
      <c r="BG1701" t="s">
        <v>11599</v>
      </c>
      <c r="BH1701" s="1">
        <v>116.36</v>
      </c>
      <c r="BI1701" s="1">
        <v>239843</v>
      </c>
      <c r="BJ1701" s="3">
        <v>42466</v>
      </c>
      <c r="BK1701" t="s">
        <v>123</v>
      </c>
      <c r="BL1701" t="str">
        <f>"2016.225136"</f>
        <v>2016.225136</v>
      </c>
      <c r="BM1701" t="s">
        <v>322</v>
      </c>
      <c r="BO1701" t="s">
        <v>11600</v>
      </c>
      <c r="BS1701">
        <v>30</v>
      </c>
      <c r="BW1701" t="str">
        <f>""</f>
        <v/>
      </c>
      <c r="CH1701" t="str">
        <f>""</f>
        <v/>
      </c>
      <c r="CS1701" t="str">
        <f>""</f>
        <v/>
      </c>
    </row>
    <row r="1702" spans="1:97" x14ac:dyDescent="0.25">
      <c r="A1702" t="s">
        <v>370</v>
      </c>
      <c r="B1702" t="s">
        <v>11601</v>
      </c>
      <c r="C1702" t="s">
        <v>2099</v>
      </c>
      <c r="D1702" t="s">
        <v>11602</v>
      </c>
      <c r="E1702" t="s">
        <v>11603</v>
      </c>
      <c r="F1702" t="s">
        <v>108</v>
      </c>
      <c r="H1702" t="s">
        <v>11604</v>
      </c>
      <c r="I1702" t="s">
        <v>203</v>
      </c>
      <c r="J1702" t="s">
        <v>111</v>
      </c>
      <c r="K1702" t="str">
        <f>"85234"</f>
        <v>85234</v>
      </c>
      <c r="L1702" t="s">
        <v>4751</v>
      </c>
      <c r="M1702" t="s">
        <v>11604</v>
      </c>
      <c r="N1702" t="s">
        <v>203</v>
      </c>
      <c r="O1702" t="s">
        <v>111</v>
      </c>
      <c r="P1702" t="str">
        <f>"85234-8215"</f>
        <v>85234-8215</v>
      </c>
      <c r="Q1702" t="s">
        <v>113</v>
      </c>
      <c r="R1702" t="str">
        <f>"309-04-497"</f>
        <v>309-04-497</v>
      </c>
      <c r="S1702" t="s">
        <v>11605</v>
      </c>
      <c r="T1702" t="s">
        <v>11605</v>
      </c>
      <c r="U1702">
        <v>3452</v>
      </c>
      <c r="V1702">
        <v>0</v>
      </c>
      <c r="W1702">
        <v>4</v>
      </c>
      <c r="X1702">
        <v>1994</v>
      </c>
      <c r="Z1702">
        <v>2</v>
      </c>
      <c r="AA1702" t="s">
        <v>26</v>
      </c>
      <c r="AB1702">
        <v>0</v>
      </c>
      <c r="AC1702" t="s">
        <v>115</v>
      </c>
      <c r="AD1702">
        <v>2</v>
      </c>
      <c r="AE1702" t="s">
        <v>115</v>
      </c>
      <c r="AF1702">
        <v>0</v>
      </c>
      <c r="AG1702">
        <v>0</v>
      </c>
      <c r="AH1702" t="s">
        <v>116</v>
      </c>
      <c r="AI1702" s="1">
        <v>95860</v>
      </c>
      <c r="AJ1702" s="2">
        <v>0.2</v>
      </c>
      <c r="AK1702" s="1">
        <v>488116</v>
      </c>
      <c r="AL1702" t="s">
        <v>117</v>
      </c>
      <c r="AM1702" t="s">
        <v>393</v>
      </c>
      <c r="AN1702">
        <v>12820</v>
      </c>
      <c r="AO1702">
        <v>0.28999999999999998</v>
      </c>
      <c r="AP1702">
        <v>1</v>
      </c>
      <c r="AR1702">
        <v>1</v>
      </c>
      <c r="AS1702" s="1">
        <v>35020</v>
      </c>
      <c r="AT1702" s="1">
        <v>7000</v>
      </c>
      <c r="AU1702" s="1">
        <v>28020</v>
      </c>
      <c r="AV1702">
        <v>80.010000000000005</v>
      </c>
      <c r="AX1702" s="1">
        <v>2508.58</v>
      </c>
      <c r="AY1702" t="s">
        <v>6506</v>
      </c>
      <c r="AZ1702" t="s">
        <v>520</v>
      </c>
      <c r="BA1702" t="s">
        <v>5033</v>
      </c>
      <c r="BE1702" s="3">
        <v>42093</v>
      </c>
      <c r="BF1702" s="1">
        <v>384000</v>
      </c>
      <c r="BG1702" t="s">
        <v>11606</v>
      </c>
      <c r="BH1702" s="1">
        <v>111.24</v>
      </c>
      <c r="BI1702" s="1">
        <v>392256</v>
      </c>
      <c r="BJ1702" s="3">
        <v>42093</v>
      </c>
      <c r="BK1702" t="s">
        <v>123</v>
      </c>
      <c r="BL1702" t="str">
        <f>"2015.210624"</f>
        <v>2015.210624</v>
      </c>
      <c r="BM1702" t="s">
        <v>3611</v>
      </c>
      <c r="BO1702" t="s">
        <v>11607</v>
      </c>
      <c r="BP1702" t="s">
        <v>11608</v>
      </c>
      <c r="BS1702">
        <v>30</v>
      </c>
      <c r="BW1702" t="str">
        <f>""</f>
        <v/>
      </c>
      <c r="CH1702" t="str">
        <f>""</f>
        <v/>
      </c>
      <c r="CS1702" t="str">
        <f>""</f>
        <v/>
      </c>
    </row>
    <row r="1703" spans="1:97" x14ac:dyDescent="0.25">
      <c r="A1703" t="s">
        <v>6449</v>
      </c>
      <c r="B1703" t="s">
        <v>11609</v>
      </c>
      <c r="C1703" t="s">
        <v>5528</v>
      </c>
      <c r="D1703" t="s">
        <v>11609</v>
      </c>
      <c r="E1703" t="s">
        <v>11610</v>
      </c>
      <c r="F1703" t="s">
        <v>108</v>
      </c>
      <c r="H1703" t="s">
        <v>11611</v>
      </c>
      <c r="I1703" t="s">
        <v>110</v>
      </c>
      <c r="J1703" t="s">
        <v>111</v>
      </c>
      <c r="K1703" t="str">
        <f>"85248"</f>
        <v>85248</v>
      </c>
      <c r="L1703" t="s">
        <v>189</v>
      </c>
      <c r="M1703" t="s">
        <v>11611</v>
      </c>
      <c r="N1703" t="s">
        <v>110</v>
      </c>
      <c r="O1703" t="s">
        <v>111</v>
      </c>
      <c r="P1703" t="str">
        <f>"85248-4018"</f>
        <v>85248-4018</v>
      </c>
      <c r="Q1703" t="s">
        <v>113</v>
      </c>
      <c r="R1703" t="str">
        <f>"303-87-498"</f>
        <v>303-87-498</v>
      </c>
      <c r="S1703" t="s">
        <v>11612</v>
      </c>
      <c r="T1703" t="s">
        <v>11612</v>
      </c>
      <c r="U1703">
        <v>2704</v>
      </c>
      <c r="V1703">
        <v>0</v>
      </c>
      <c r="W1703">
        <v>3</v>
      </c>
      <c r="X1703">
        <v>2006</v>
      </c>
      <c r="Z1703">
        <v>2</v>
      </c>
      <c r="AB1703">
        <v>0</v>
      </c>
      <c r="AC1703" t="s">
        <v>115</v>
      </c>
      <c r="AD1703">
        <v>3</v>
      </c>
      <c r="AE1703" t="s">
        <v>115</v>
      </c>
      <c r="AF1703">
        <v>0</v>
      </c>
      <c r="AG1703">
        <v>0</v>
      </c>
      <c r="AH1703" t="s">
        <v>116</v>
      </c>
      <c r="AI1703" s="1">
        <v>94704</v>
      </c>
      <c r="AJ1703" s="2">
        <v>0.22</v>
      </c>
      <c r="AK1703" s="1">
        <v>421584</v>
      </c>
      <c r="AL1703" t="s">
        <v>117</v>
      </c>
      <c r="AM1703" t="s">
        <v>118</v>
      </c>
      <c r="AN1703">
        <v>4500</v>
      </c>
      <c r="AO1703">
        <v>0.1</v>
      </c>
      <c r="AR1703">
        <v>1</v>
      </c>
      <c r="AS1703" s="1">
        <v>29480</v>
      </c>
      <c r="AT1703" s="1">
        <v>5890</v>
      </c>
      <c r="AU1703" s="1">
        <v>23590</v>
      </c>
      <c r="AV1703">
        <v>80.02</v>
      </c>
      <c r="AX1703" s="1">
        <v>2493.1799999999998</v>
      </c>
      <c r="AY1703" t="s">
        <v>9063</v>
      </c>
      <c r="AZ1703" t="s">
        <v>1882</v>
      </c>
      <c r="BA1703" t="s">
        <v>121</v>
      </c>
      <c r="BE1703" s="3">
        <v>42396</v>
      </c>
      <c r="BF1703" s="1">
        <v>320000</v>
      </c>
      <c r="BG1703" t="s">
        <v>11613</v>
      </c>
      <c r="BH1703" s="1">
        <v>118.34</v>
      </c>
      <c r="BI1703" s="1">
        <v>326880</v>
      </c>
      <c r="BJ1703" s="3">
        <v>42396</v>
      </c>
      <c r="BK1703" t="s">
        <v>123</v>
      </c>
      <c r="BL1703" t="str">
        <f>"2016.54633"</f>
        <v>2016.54633</v>
      </c>
      <c r="BM1703" t="s">
        <v>1325</v>
      </c>
      <c r="BO1703" t="s">
        <v>11614</v>
      </c>
      <c r="BS1703">
        <v>30</v>
      </c>
      <c r="BW1703" t="str">
        <f>""</f>
        <v/>
      </c>
      <c r="CH1703" t="str">
        <f>""</f>
        <v/>
      </c>
      <c r="CS1703" t="str">
        <f>""</f>
        <v/>
      </c>
    </row>
    <row r="1704" spans="1:97" x14ac:dyDescent="0.25">
      <c r="A1704" t="s">
        <v>2123</v>
      </c>
      <c r="B1704" t="s">
        <v>11615</v>
      </c>
      <c r="E1704" t="s">
        <v>11616</v>
      </c>
      <c r="F1704" t="s">
        <v>108</v>
      </c>
      <c r="H1704" t="s">
        <v>11617</v>
      </c>
      <c r="I1704" t="s">
        <v>453</v>
      </c>
      <c r="J1704" t="s">
        <v>111</v>
      </c>
      <c r="K1704" t="str">
        <f>"85382"</f>
        <v>85382</v>
      </c>
      <c r="L1704" t="s">
        <v>6308</v>
      </c>
      <c r="M1704" t="s">
        <v>11617</v>
      </c>
      <c r="N1704" t="s">
        <v>453</v>
      </c>
      <c r="O1704" t="s">
        <v>111</v>
      </c>
      <c r="P1704" t="str">
        <f>"85382-5347"</f>
        <v>85382-5347</v>
      </c>
      <c r="Q1704" t="s">
        <v>113</v>
      </c>
      <c r="R1704" t="str">
        <f>"200-15-784"</f>
        <v>200-15-784</v>
      </c>
      <c r="S1704" t="s">
        <v>11618</v>
      </c>
      <c r="T1704" t="s">
        <v>11618</v>
      </c>
      <c r="U1704">
        <v>2328</v>
      </c>
      <c r="V1704">
        <v>0</v>
      </c>
      <c r="W1704">
        <v>3</v>
      </c>
      <c r="X1704">
        <v>1999</v>
      </c>
      <c r="Z1704">
        <v>2</v>
      </c>
      <c r="AA1704" t="s">
        <v>26</v>
      </c>
      <c r="AB1704">
        <v>0</v>
      </c>
      <c r="AC1704" t="s">
        <v>115</v>
      </c>
      <c r="AD1704">
        <v>2</v>
      </c>
      <c r="AE1704" t="s">
        <v>115</v>
      </c>
      <c r="AF1704">
        <v>0</v>
      </c>
      <c r="AG1704">
        <v>0</v>
      </c>
      <c r="AH1704" t="s">
        <v>116</v>
      </c>
      <c r="AI1704" s="1">
        <v>72417</v>
      </c>
      <c r="AJ1704" s="2">
        <v>0.22</v>
      </c>
      <c r="AK1704" s="1">
        <v>332839</v>
      </c>
      <c r="AL1704" t="s">
        <v>117</v>
      </c>
      <c r="AM1704" t="s">
        <v>118</v>
      </c>
      <c r="AN1704">
        <v>7814</v>
      </c>
      <c r="AO1704">
        <v>0.18</v>
      </c>
      <c r="AP1704">
        <v>1</v>
      </c>
      <c r="AR1704">
        <v>1</v>
      </c>
      <c r="AS1704" s="1">
        <v>23570</v>
      </c>
      <c r="AT1704" s="1">
        <v>4710</v>
      </c>
      <c r="AU1704" s="1">
        <v>18860</v>
      </c>
      <c r="AV1704">
        <v>80.02</v>
      </c>
      <c r="AX1704" s="1">
        <v>2330.6999999999998</v>
      </c>
      <c r="AY1704" t="s">
        <v>6311</v>
      </c>
      <c r="AZ1704" t="s">
        <v>6311</v>
      </c>
      <c r="BA1704" t="s">
        <v>4219</v>
      </c>
      <c r="BE1704" s="3">
        <v>41878</v>
      </c>
      <c r="BF1704" s="1">
        <v>227000</v>
      </c>
      <c r="BG1704" t="s">
        <v>11619</v>
      </c>
      <c r="BH1704" s="1">
        <v>97.51</v>
      </c>
      <c r="BI1704" s="1">
        <v>230422</v>
      </c>
      <c r="BJ1704" s="3">
        <v>42653</v>
      </c>
      <c r="BK1704" t="s">
        <v>123</v>
      </c>
      <c r="BL1704" t="str">
        <f>"2016.740913"</f>
        <v>2016.740913</v>
      </c>
      <c r="BM1704" t="s">
        <v>402</v>
      </c>
      <c r="BN1704" t="s">
        <v>461</v>
      </c>
      <c r="BO1704" t="s">
        <v>11620</v>
      </c>
      <c r="BS1704">
        <v>25</v>
      </c>
      <c r="BT1704" s="1">
        <v>30000</v>
      </c>
      <c r="BU1704" s="3">
        <v>43570</v>
      </c>
      <c r="BV1704" t="s">
        <v>134</v>
      </c>
      <c r="BW1704" t="str">
        <f>"2019.260508"</f>
        <v>2019.260508</v>
      </c>
      <c r="BX1704" t="s">
        <v>135</v>
      </c>
      <c r="BY1704" t="s">
        <v>136</v>
      </c>
      <c r="BZ1704" t="s">
        <v>11621</v>
      </c>
      <c r="CC1704" t="s">
        <v>2083</v>
      </c>
      <c r="CH1704" t="str">
        <f>""</f>
        <v/>
      </c>
      <c r="CS1704" t="str">
        <f>""</f>
        <v/>
      </c>
    </row>
    <row r="1705" spans="1:97" x14ac:dyDescent="0.25">
      <c r="A1705" t="s">
        <v>1109</v>
      </c>
      <c r="B1705" t="s">
        <v>11622</v>
      </c>
      <c r="C1705" t="s">
        <v>397</v>
      </c>
      <c r="D1705" t="s">
        <v>11622</v>
      </c>
      <c r="E1705" t="s">
        <v>11623</v>
      </c>
      <c r="F1705" t="s">
        <v>108</v>
      </c>
      <c r="H1705" t="s">
        <v>11624</v>
      </c>
      <c r="I1705" t="s">
        <v>225</v>
      </c>
      <c r="J1705" t="s">
        <v>111</v>
      </c>
      <c r="K1705" t="str">
        <f>"85206"</f>
        <v>85206</v>
      </c>
      <c r="L1705" t="s">
        <v>6169</v>
      </c>
      <c r="M1705" t="s">
        <v>11624</v>
      </c>
      <c r="N1705" t="s">
        <v>225</v>
      </c>
      <c r="O1705" t="s">
        <v>111</v>
      </c>
      <c r="P1705" t="str">
        <f>"85206-2246"</f>
        <v>85206-2246</v>
      </c>
      <c r="Q1705" t="s">
        <v>113</v>
      </c>
      <c r="R1705" t="str">
        <f>"141-52-054"</f>
        <v>141-52-054</v>
      </c>
      <c r="S1705" t="s">
        <v>11625</v>
      </c>
      <c r="T1705" t="s">
        <v>11626</v>
      </c>
      <c r="U1705">
        <v>2291</v>
      </c>
      <c r="V1705">
        <v>0</v>
      </c>
      <c r="W1705">
        <v>3</v>
      </c>
      <c r="X1705">
        <v>1980</v>
      </c>
      <c r="Z1705">
        <v>1</v>
      </c>
      <c r="AA1705" t="s">
        <v>26</v>
      </c>
      <c r="AB1705">
        <v>0</v>
      </c>
      <c r="AC1705" t="s">
        <v>115</v>
      </c>
      <c r="AD1705">
        <v>2</v>
      </c>
      <c r="AE1705" t="s">
        <v>115</v>
      </c>
      <c r="AF1705">
        <v>0</v>
      </c>
      <c r="AG1705">
        <v>0</v>
      </c>
      <c r="AH1705" t="s">
        <v>116</v>
      </c>
      <c r="AI1705" s="1">
        <v>83225</v>
      </c>
      <c r="AJ1705" s="2">
        <v>0.24</v>
      </c>
      <c r="AK1705" s="1">
        <v>342766</v>
      </c>
      <c r="AL1705" t="s">
        <v>117</v>
      </c>
      <c r="AM1705" t="s">
        <v>917</v>
      </c>
      <c r="AN1705">
        <v>10068</v>
      </c>
      <c r="AO1705">
        <v>0.23</v>
      </c>
      <c r="AP1705">
        <v>1</v>
      </c>
      <c r="AR1705">
        <v>1</v>
      </c>
      <c r="AS1705" s="1">
        <v>23550</v>
      </c>
      <c r="AT1705" s="1">
        <v>4710</v>
      </c>
      <c r="AU1705" s="1">
        <v>18840</v>
      </c>
      <c r="AV1705">
        <v>80</v>
      </c>
      <c r="AX1705" s="1">
        <v>1840.18</v>
      </c>
      <c r="AY1705" t="s">
        <v>230</v>
      </c>
      <c r="AZ1705" t="s">
        <v>5158</v>
      </c>
      <c r="BA1705" t="s">
        <v>5159</v>
      </c>
      <c r="BE1705" s="3">
        <v>42215</v>
      </c>
      <c r="BF1705" s="1">
        <v>255000</v>
      </c>
      <c r="BG1705" t="s">
        <v>11627</v>
      </c>
      <c r="BH1705" s="1">
        <v>111.31</v>
      </c>
      <c r="BI1705" s="1">
        <v>259541</v>
      </c>
      <c r="BJ1705" s="3">
        <v>42597</v>
      </c>
      <c r="BK1705" t="s">
        <v>123</v>
      </c>
      <c r="BL1705" t="str">
        <f>"2016.579199"</f>
        <v>2016.579199</v>
      </c>
      <c r="BM1705" t="s">
        <v>361</v>
      </c>
      <c r="BN1705" t="s">
        <v>884</v>
      </c>
      <c r="BO1705" t="s">
        <v>11628</v>
      </c>
      <c r="BS1705">
        <v>30</v>
      </c>
      <c r="BT1705" s="1">
        <v>259541</v>
      </c>
      <c r="BU1705" s="3">
        <v>42597</v>
      </c>
      <c r="BV1705" t="s">
        <v>123</v>
      </c>
      <c r="BW1705" t="str">
        <f>"2016.579199"</f>
        <v>2016.579199</v>
      </c>
      <c r="BX1705" t="s">
        <v>361</v>
      </c>
      <c r="BZ1705" t="s">
        <v>11628</v>
      </c>
      <c r="CD1705">
        <v>30</v>
      </c>
      <c r="CH1705" t="str">
        <f>""</f>
        <v/>
      </c>
      <c r="CS1705" t="str">
        <f>""</f>
        <v/>
      </c>
    </row>
    <row r="1706" spans="1:97" x14ac:dyDescent="0.25">
      <c r="A1706" t="s">
        <v>1295</v>
      </c>
      <c r="B1706" t="s">
        <v>11629</v>
      </c>
      <c r="C1706" t="s">
        <v>1649</v>
      </c>
      <c r="D1706" t="s">
        <v>11629</v>
      </c>
      <c r="E1706" t="s">
        <v>11630</v>
      </c>
      <c r="F1706" t="s">
        <v>108</v>
      </c>
      <c r="H1706" t="s">
        <v>11631</v>
      </c>
      <c r="I1706" t="s">
        <v>390</v>
      </c>
      <c r="J1706" t="s">
        <v>111</v>
      </c>
      <c r="K1706" t="str">
        <f>"85044"</f>
        <v>85044</v>
      </c>
      <c r="L1706" t="s">
        <v>10491</v>
      </c>
      <c r="M1706" t="s">
        <v>11631</v>
      </c>
      <c r="N1706" t="s">
        <v>390</v>
      </c>
      <c r="O1706" t="s">
        <v>111</v>
      </c>
      <c r="P1706" t="str">
        <f>"85044-6707"</f>
        <v>85044-6707</v>
      </c>
      <c r="Q1706" t="s">
        <v>113</v>
      </c>
      <c r="R1706" t="str">
        <f>"301-83-118"</f>
        <v>301-83-118</v>
      </c>
      <c r="S1706" t="s">
        <v>11632</v>
      </c>
      <c r="U1706">
        <v>1141</v>
      </c>
      <c r="V1706">
        <v>0</v>
      </c>
      <c r="W1706">
        <v>3</v>
      </c>
      <c r="X1706">
        <v>1985</v>
      </c>
      <c r="Z1706">
        <v>1</v>
      </c>
      <c r="AA1706" t="s">
        <v>26</v>
      </c>
      <c r="AB1706">
        <v>0</v>
      </c>
      <c r="AC1706" t="s">
        <v>115</v>
      </c>
      <c r="AD1706">
        <v>2</v>
      </c>
      <c r="AE1706" t="s">
        <v>115</v>
      </c>
      <c r="AF1706">
        <v>0</v>
      </c>
      <c r="AG1706">
        <v>0</v>
      </c>
      <c r="AH1706" t="s">
        <v>116</v>
      </c>
      <c r="AI1706" s="1">
        <v>31438</v>
      </c>
      <c r="AJ1706" s="2">
        <v>0.12</v>
      </c>
      <c r="AK1706" s="1">
        <v>271338</v>
      </c>
      <c r="AL1706" t="s">
        <v>117</v>
      </c>
      <c r="AM1706" t="s">
        <v>3345</v>
      </c>
      <c r="AN1706">
        <v>5693</v>
      </c>
      <c r="AO1706">
        <v>0.13</v>
      </c>
      <c r="AP1706">
        <v>1</v>
      </c>
      <c r="AR1706">
        <v>1</v>
      </c>
      <c r="AS1706" s="1">
        <v>18920</v>
      </c>
      <c r="AT1706" s="1">
        <v>3780</v>
      </c>
      <c r="AU1706" s="1">
        <v>15140</v>
      </c>
      <c r="AV1706">
        <v>80.02</v>
      </c>
      <c r="AX1706" s="1">
        <v>1727.08</v>
      </c>
      <c r="AY1706" t="s">
        <v>7418</v>
      </c>
      <c r="AZ1706" t="s">
        <v>7255</v>
      </c>
      <c r="BA1706" t="s">
        <v>5328</v>
      </c>
      <c r="BE1706" s="3">
        <v>42451</v>
      </c>
      <c r="BF1706" s="1">
        <v>239900</v>
      </c>
      <c r="BG1706" t="s">
        <v>11633</v>
      </c>
      <c r="BH1706" s="1">
        <v>210.25</v>
      </c>
      <c r="BI1706" s="1">
        <v>239900</v>
      </c>
      <c r="BJ1706" s="3">
        <v>42451</v>
      </c>
      <c r="BK1706" t="s">
        <v>123</v>
      </c>
      <c r="BL1706" t="str">
        <f>"2016.184699"</f>
        <v>2016.184699</v>
      </c>
      <c r="BM1706" t="s">
        <v>2980</v>
      </c>
      <c r="BO1706" t="s">
        <v>11634</v>
      </c>
      <c r="BS1706">
        <v>30</v>
      </c>
      <c r="BW1706" t="str">
        <f>""</f>
        <v/>
      </c>
      <c r="CH1706" t="str">
        <f>""</f>
        <v/>
      </c>
      <c r="CS1706" t="str">
        <f>""</f>
        <v/>
      </c>
    </row>
    <row r="1707" spans="1:97" x14ac:dyDescent="0.25">
      <c r="A1707" t="s">
        <v>7313</v>
      </c>
      <c r="B1707" t="s">
        <v>1272</v>
      </c>
      <c r="C1707" t="s">
        <v>513</v>
      </c>
      <c r="D1707" t="s">
        <v>1272</v>
      </c>
      <c r="E1707" t="s">
        <v>11635</v>
      </c>
      <c r="F1707" t="s">
        <v>108</v>
      </c>
      <c r="H1707" t="s">
        <v>11636</v>
      </c>
      <c r="I1707" t="s">
        <v>632</v>
      </c>
      <c r="J1707" t="s">
        <v>111</v>
      </c>
      <c r="K1707" t="str">
        <f>"85388"</f>
        <v>85388</v>
      </c>
      <c r="L1707" t="s">
        <v>4467</v>
      </c>
      <c r="M1707" t="s">
        <v>11636</v>
      </c>
      <c r="N1707" t="s">
        <v>632</v>
      </c>
      <c r="O1707" t="s">
        <v>111</v>
      </c>
      <c r="P1707" t="str">
        <f>"85388-7564"</f>
        <v>85388-7564</v>
      </c>
      <c r="R1707" t="str">
        <f>"502-03-697"</f>
        <v>502-03-697</v>
      </c>
      <c r="S1707" t="s">
        <v>6261</v>
      </c>
      <c r="U1707">
        <v>2717</v>
      </c>
      <c r="V1707">
        <v>0</v>
      </c>
      <c r="W1707">
        <v>3</v>
      </c>
      <c r="X1707">
        <v>2005</v>
      </c>
      <c r="Z1707">
        <v>1</v>
      </c>
      <c r="AB1707">
        <v>0</v>
      </c>
      <c r="AC1707" t="s">
        <v>115</v>
      </c>
      <c r="AD1707">
        <v>3</v>
      </c>
      <c r="AE1707" t="s">
        <v>115</v>
      </c>
      <c r="AF1707">
        <v>0</v>
      </c>
      <c r="AG1707">
        <v>0</v>
      </c>
      <c r="AH1707" t="s">
        <v>116</v>
      </c>
      <c r="AI1707" s="1">
        <v>9495</v>
      </c>
      <c r="AJ1707" s="2">
        <v>0.03</v>
      </c>
      <c r="AK1707" s="1">
        <v>322860</v>
      </c>
      <c r="AL1707" t="s">
        <v>117</v>
      </c>
      <c r="AM1707" t="s">
        <v>118</v>
      </c>
      <c r="AN1707">
        <v>7888</v>
      </c>
      <c r="AO1707">
        <v>0.18</v>
      </c>
      <c r="AR1707">
        <v>1</v>
      </c>
      <c r="AS1707" s="1">
        <v>22000</v>
      </c>
      <c r="AT1707" s="1">
        <v>4400</v>
      </c>
      <c r="AU1707" s="1">
        <v>17600</v>
      </c>
      <c r="AV1707">
        <v>80</v>
      </c>
      <c r="AX1707" s="1">
        <v>1776.5</v>
      </c>
      <c r="AY1707" t="s">
        <v>6262</v>
      </c>
      <c r="AZ1707" t="s">
        <v>6262</v>
      </c>
      <c r="BA1707" t="s">
        <v>5061</v>
      </c>
      <c r="BE1707" s="3">
        <v>42534</v>
      </c>
      <c r="BF1707" s="1">
        <v>266000</v>
      </c>
      <c r="BG1707" t="s">
        <v>11637</v>
      </c>
      <c r="BH1707" s="1">
        <v>97.9</v>
      </c>
      <c r="BI1707" s="1">
        <v>256490</v>
      </c>
      <c r="BJ1707" s="3">
        <v>42534</v>
      </c>
      <c r="BK1707" t="s">
        <v>123</v>
      </c>
      <c r="BL1707" t="str">
        <f>"2016.408363"</f>
        <v>2016.408363</v>
      </c>
      <c r="BM1707" t="s">
        <v>724</v>
      </c>
      <c r="BN1707" t="s">
        <v>5423</v>
      </c>
      <c r="BO1707" t="s">
        <v>11638</v>
      </c>
      <c r="BS1707">
        <v>30</v>
      </c>
      <c r="BT1707" s="1">
        <v>56875</v>
      </c>
      <c r="BU1707" s="3">
        <v>43777</v>
      </c>
      <c r="BV1707" t="s">
        <v>134</v>
      </c>
      <c r="BW1707" t="str">
        <f>"2019.903430"</f>
        <v>2019.903430</v>
      </c>
      <c r="BX1707" t="s">
        <v>5619</v>
      </c>
      <c r="BY1707" t="s">
        <v>5620</v>
      </c>
      <c r="BZ1707" t="s">
        <v>11639</v>
      </c>
      <c r="CA1707" t="s">
        <v>11640</v>
      </c>
      <c r="CC1707" t="s">
        <v>139</v>
      </c>
      <c r="CH1707" t="str">
        <f>""</f>
        <v/>
      </c>
      <c r="CS1707" t="str">
        <f>""</f>
        <v/>
      </c>
    </row>
    <row r="1708" spans="1:97" x14ac:dyDescent="0.25">
      <c r="A1708" t="s">
        <v>11641</v>
      </c>
      <c r="B1708" t="s">
        <v>11642</v>
      </c>
      <c r="E1708" t="s">
        <v>11643</v>
      </c>
      <c r="F1708" t="s">
        <v>108</v>
      </c>
      <c r="H1708" t="s">
        <v>11644</v>
      </c>
      <c r="I1708" t="s">
        <v>453</v>
      </c>
      <c r="J1708" t="s">
        <v>111</v>
      </c>
      <c r="K1708" t="str">
        <f>"85383"</f>
        <v>85383</v>
      </c>
      <c r="L1708" t="s">
        <v>3318</v>
      </c>
      <c r="M1708" t="s">
        <v>11644</v>
      </c>
      <c r="N1708" t="s">
        <v>453</v>
      </c>
      <c r="O1708" t="s">
        <v>111</v>
      </c>
      <c r="P1708" t="str">
        <f>"85383-3745"</f>
        <v>85383-3745</v>
      </c>
      <c r="Q1708" t="s">
        <v>113</v>
      </c>
      <c r="R1708" t="str">
        <f>"201-39-123"</f>
        <v>201-39-123</v>
      </c>
      <c r="S1708" t="s">
        <v>11645</v>
      </c>
      <c r="U1708">
        <v>2056</v>
      </c>
      <c r="V1708">
        <v>0</v>
      </c>
      <c r="W1708">
        <v>3</v>
      </c>
      <c r="X1708">
        <v>2006</v>
      </c>
      <c r="Z1708">
        <v>1</v>
      </c>
      <c r="AB1708">
        <v>0</v>
      </c>
      <c r="AC1708" t="s">
        <v>115</v>
      </c>
      <c r="AD1708">
        <v>2</v>
      </c>
      <c r="AE1708" t="s">
        <v>115</v>
      </c>
      <c r="AF1708">
        <v>0</v>
      </c>
      <c r="AG1708">
        <v>0</v>
      </c>
      <c r="AH1708" t="s">
        <v>116</v>
      </c>
      <c r="AI1708" s="1">
        <v>-6765</v>
      </c>
      <c r="AJ1708" s="2">
        <v>-0.02</v>
      </c>
      <c r="AK1708" s="1">
        <v>313235</v>
      </c>
      <c r="AL1708" t="s">
        <v>117</v>
      </c>
      <c r="AM1708" t="s">
        <v>118</v>
      </c>
      <c r="AN1708">
        <v>6557</v>
      </c>
      <c r="AO1708">
        <v>0.15</v>
      </c>
      <c r="AR1708">
        <v>1</v>
      </c>
      <c r="AS1708" s="1">
        <v>23080</v>
      </c>
      <c r="AT1708" s="1">
        <v>4610</v>
      </c>
      <c r="AU1708" s="1">
        <v>18470</v>
      </c>
      <c r="AV1708">
        <v>80.03</v>
      </c>
      <c r="AX1708" s="1">
        <v>1963.14</v>
      </c>
      <c r="AY1708" t="s">
        <v>8323</v>
      </c>
      <c r="AZ1708" t="s">
        <v>8323</v>
      </c>
      <c r="BA1708" t="s">
        <v>1386</v>
      </c>
      <c r="BE1708" s="3">
        <v>42467</v>
      </c>
      <c r="BF1708" s="1">
        <v>274000</v>
      </c>
      <c r="BG1708" t="s">
        <v>11646</v>
      </c>
      <c r="BH1708" s="1">
        <v>133.27000000000001</v>
      </c>
      <c r="BI1708" s="1">
        <v>320000</v>
      </c>
      <c r="BJ1708" s="3">
        <v>43642</v>
      </c>
      <c r="BK1708" t="s">
        <v>123</v>
      </c>
      <c r="BL1708" t="str">
        <f>"2019.480320"</f>
        <v>2019.480320</v>
      </c>
      <c r="BM1708" t="s">
        <v>1038</v>
      </c>
      <c r="BN1708" t="s">
        <v>1624</v>
      </c>
      <c r="BO1708" t="s">
        <v>11647</v>
      </c>
      <c r="BR1708" t="s">
        <v>139</v>
      </c>
      <c r="BW1708" t="str">
        <f>""</f>
        <v/>
      </c>
      <c r="CH1708" t="str">
        <f>""</f>
        <v/>
      </c>
      <c r="CS1708" t="str">
        <f>""</f>
        <v/>
      </c>
    </row>
    <row r="1709" spans="1:97" x14ac:dyDescent="0.25">
      <c r="A1709" t="s">
        <v>11648</v>
      </c>
      <c r="B1709" t="s">
        <v>11649</v>
      </c>
      <c r="C1709" t="s">
        <v>970</v>
      </c>
      <c r="D1709" t="s">
        <v>11649</v>
      </c>
      <c r="E1709" t="s">
        <v>11650</v>
      </c>
      <c r="F1709" t="s">
        <v>108</v>
      </c>
      <c r="H1709" t="s">
        <v>11651</v>
      </c>
      <c r="I1709" t="s">
        <v>1788</v>
      </c>
      <c r="J1709" t="s">
        <v>111</v>
      </c>
      <c r="K1709" t="str">
        <f>"85355"</f>
        <v>85355</v>
      </c>
      <c r="L1709" t="s">
        <v>3758</v>
      </c>
      <c r="M1709" t="s">
        <v>11651</v>
      </c>
      <c r="N1709" t="s">
        <v>1788</v>
      </c>
      <c r="O1709" t="s">
        <v>111</v>
      </c>
      <c r="P1709" t="str">
        <f>"85355-7536"</f>
        <v>85355-7536</v>
      </c>
      <c r="Q1709" t="s">
        <v>113</v>
      </c>
      <c r="R1709" t="str">
        <f>"502-83-053"</f>
        <v>502-83-053</v>
      </c>
      <c r="S1709" t="s">
        <v>10365</v>
      </c>
      <c r="T1709" t="s">
        <v>5971</v>
      </c>
      <c r="U1709">
        <v>3548</v>
      </c>
      <c r="V1709">
        <v>0</v>
      </c>
      <c r="W1709">
        <v>4</v>
      </c>
      <c r="X1709">
        <v>2013</v>
      </c>
      <c r="Z1709">
        <v>2</v>
      </c>
      <c r="AA1709" t="s">
        <v>26</v>
      </c>
      <c r="AB1709">
        <v>0</v>
      </c>
      <c r="AC1709" t="s">
        <v>115</v>
      </c>
      <c r="AD1709">
        <v>3</v>
      </c>
      <c r="AE1709" t="s">
        <v>115</v>
      </c>
      <c r="AF1709">
        <v>0</v>
      </c>
      <c r="AG1709">
        <v>0</v>
      </c>
      <c r="AH1709" t="s">
        <v>116</v>
      </c>
      <c r="AI1709" s="1">
        <v>1073</v>
      </c>
      <c r="AJ1709" s="2">
        <v>0</v>
      </c>
      <c r="AK1709" s="1">
        <v>366501</v>
      </c>
      <c r="AL1709" t="s">
        <v>117</v>
      </c>
      <c r="AM1709" t="s">
        <v>393</v>
      </c>
      <c r="AN1709">
        <v>10527</v>
      </c>
      <c r="AO1709">
        <v>0.24</v>
      </c>
      <c r="AR1709">
        <v>1</v>
      </c>
      <c r="AS1709" s="1">
        <v>27410</v>
      </c>
      <c r="AT1709" s="1">
        <v>5480</v>
      </c>
      <c r="AU1709" s="1">
        <v>21930</v>
      </c>
      <c r="AV1709">
        <v>80.010000000000005</v>
      </c>
      <c r="AX1709" s="1">
        <v>2060.36</v>
      </c>
      <c r="AY1709" t="s">
        <v>5972</v>
      </c>
      <c r="AZ1709" t="s">
        <v>5972</v>
      </c>
      <c r="BA1709" t="s">
        <v>5061</v>
      </c>
      <c r="BE1709" s="3">
        <v>42159</v>
      </c>
      <c r="BF1709" s="1">
        <v>299000</v>
      </c>
      <c r="BG1709" t="s">
        <v>11652</v>
      </c>
      <c r="BH1709" s="1">
        <v>84.27</v>
      </c>
      <c r="BI1709" s="1">
        <v>305428</v>
      </c>
      <c r="BJ1709" s="3">
        <v>42159</v>
      </c>
      <c r="BK1709" t="s">
        <v>123</v>
      </c>
      <c r="BL1709" t="str">
        <f>"2015.399523"</f>
        <v>2015.399523</v>
      </c>
      <c r="BM1709" t="s">
        <v>724</v>
      </c>
      <c r="BN1709" t="s">
        <v>5737</v>
      </c>
      <c r="BO1709" t="s">
        <v>11653</v>
      </c>
      <c r="BS1709">
        <v>30</v>
      </c>
      <c r="BT1709" s="1">
        <v>60000</v>
      </c>
      <c r="BU1709" s="3">
        <v>43482</v>
      </c>
      <c r="BW1709" t="str">
        <f>"2019.35580"</f>
        <v>2019.35580</v>
      </c>
      <c r="BX1709" t="s">
        <v>5002</v>
      </c>
      <c r="BY1709" t="s">
        <v>5003</v>
      </c>
      <c r="BZ1709" t="s">
        <v>11654</v>
      </c>
      <c r="CA1709" t="s">
        <v>11655</v>
      </c>
      <c r="CC1709" t="s">
        <v>346</v>
      </c>
      <c r="CH1709" t="str">
        <f>""</f>
        <v/>
      </c>
      <c r="CS1709" t="str">
        <f>""</f>
        <v/>
      </c>
    </row>
    <row r="1710" spans="1:97" x14ac:dyDescent="0.25">
      <c r="A1710" t="s">
        <v>11656</v>
      </c>
      <c r="B1710" t="s">
        <v>11657</v>
      </c>
      <c r="C1710" t="s">
        <v>11656</v>
      </c>
      <c r="E1710" t="s">
        <v>11658</v>
      </c>
      <c r="F1710" t="s">
        <v>108</v>
      </c>
      <c r="H1710" t="s">
        <v>11659</v>
      </c>
      <c r="I1710" t="s">
        <v>5863</v>
      </c>
      <c r="J1710" t="s">
        <v>111</v>
      </c>
      <c r="K1710" t="str">
        <f>"85375"</f>
        <v>85375</v>
      </c>
      <c r="L1710" t="s">
        <v>1300</v>
      </c>
      <c r="M1710" t="s">
        <v>11659</v>
      </c>
      <c r="N1710" t="s">
        <v>5863</v>
      </c>
      <c r="O1710" t="s">
        <v>111</v>
      </c>
      <c r="P1710" t="str">
        <f>"85375-5217"</f>
        <v>85375-5217</v>
      </c>
      <c r="Q1710" t="s">
        <v>113</v>
      </c>
      <c r="R1710" t="str">
        <f>"232-15-257"</f>
        <v>232-15-257</v>
      </c>
      <c r="S1710" t="s">
        <v>11660</v>
      </c>
      <c r="U1710">
        <v>2103</v>
      </c>
      <c r="V1710">
        <v>0</v>
      </c>
      <c r="W1710">
        <v>3</v>
      </c>
      <c r="X1710">
        <v>1985</v>
      </c>
      <c r="Z1710">
        <v>1</v>
      </c>
      <c r="AB1710">
        <v>0</v>
      </c>
      <c r="AC1710" t="s">
        <v>115</v>
      </c>
      <c r="AD1710">
        <v>2</v>
      </c>
      <c r="AE1710" t="s">
        <v>115</v>
      </c>
      <c r="AF1710">
        <v>0</v>
      </c>
      <c r="AG1710">
        <v>0</v>
      </c>
      <c r="AH1710" t="s">
        <v>116</v>
      </c>
      <c r="AI1710" s="1">
        <v>49663</v>
      </c>
      <c r="AJ1710" s="2">
        <v>0.18</v>
      </c>
      <c r="AK1710" s="1">
        <v>278663</v>
      </c>
      <c r="AL1710" t="s">
        <v>117</v>
      </c>
      <c r="AM1710" t="s">
        <v>393</v>
      </c>
      <c r="AN1710">
        <v>12800</v>
      </c>
      <c r="AO1710">
        <v>0.28999999999999998</v>
      </c>
      <c r="AP1710">
        <v>1</v>
      </c>
      <c r="AR1710">
        <v>1</v>
      </c>
      <c r="AS1710" s="1">
        <v>17370</v>
      </c>
      <c r="AT1710" s="1">
        <v>3470</v>
      </c>
      <c r="AU1710" s="1">
        <v>13900</v>
      </c>
      <c r="AV1710">
        <v>80.02</v>
      </c>
      <c r="AX1710" s="1">
        <v>1362.9</v>
      </c>
      <c r="AY1710" t="s">
        <v>320</v>
      </c>
      <c r="AZ1710" t="s">
        <v>320</v>
      </c>
      <c r="BA1710" t="s">
        <v>321</v>
      </c>
      <c r="BB1710" s="3">
        <v>43007</v>
      </c>
      <c r="BD1710" t="s">
        <v>157</v>
      </c>
      <c r="BE1710" s="3">
        <v>42489</v>
      </c>
      <c r="BF1710" s="1">
        <v>229000</v>
      </c>
      <c r="BG1710" t="s">
        <v>11661</v>
      </c>
      <c r="BH1710" s="1">
        <v>108.89</v>
      </c>
      <c r="BI1710" s="1">
        <v>229000</v>
      </c>
      <c r="BJ1710" s="3">
        <v>42489</v>
      </c>
      <c r="BK1710" t="s">
        <v>123</v>
      </c>
      <c r="BL1710" t="str">
        <f>"2016.289904"</f>
        <v>2016.289904</v>
      </c>
      <c r="BM1710" t="s">
        <v>709</v>
      </c>
      <c r="BN1710" t="s">
        <v>863</v>
      </c>
      <c r="BO1710" t="s">
        <v>11662</v>
      </c>
      <c r="BS1710">
        <v>30</v>
      </c>
      <c r="BW1710" t="str">
        <f>""</f>
        <v/>
      </c>
      <c r="CH1710" t="str">
        <f>""</f>
        <v/>
      </c>
      <c r="CS1710" t="str">
        <f>""</f>
        <v/>
      </c>
    </row>
    <row r="1711" spans="1:97" x14ac:dyDescent="0.25">
      <c r="A1711" t="s">
        <v>305</v>
      </c>
      <c r="B1711" t="s">
        <v>11663</v>
      </c>
      <c r="C1711" t="s">
        <v>4328</v>
      </c>
      <c r="D1711" t="s">
        <v>11663</v>
      </c>
      <c r="E1711" t="s">
        <v>11664</v>
      </c>
      <c r="F1711" t="s">
        <v>108</v>
      </c>
      <c r="H1711" t="s">
        <v>11665</v>
      </c>
      <c r="I1711" t="s">
        <v>203</v>
      </c>
      <c r="J1711" t="s">
        <v>111</v>
      </c>
      <c r="K1711" t="str">
        <f>"85297"</f>
        <v>85297</v>
      </c>
      <c r="L1711" t="s">
        <v>5048</v>
      </c>
      <c r="M1711" t="s">
        <v>11665</v>
      </c>
      <c r="N1711" t="s">
        <v>203</v>
      </c>
      <c r="O1711" t="s">
        <v>111</v>
      </c>
      <c r="P1711" t="str">
        <f>"85297-7759"</f>
        <v>85297-7759</v>
      </c>
      <c r="Q1711" t="s">
        <v>113</v>
      </c>
      <c r="R1711" t="str">
        <f>"304-51-378"</f>
        <v>304-51-378</v>
      </c>
      <c r="S1711" t="s">
        <v>11666</v>
      </c>
      <c r="U1711">
        <v>2544</v>
      </c>
      <c r="V1711">
        <v>0</v>
      </c>
      <c r="W1711">
        <v>3</v>
      </c>
      <c r="X1711">
        <v>2001</v>
      </c>
      <c r="Z1711">
        <v>1</v>
      </c>
      <c r="AA1711" t="s">
        <v>26</v>
      </c>
      <c r="AB1711">
        <v>0</v>
      </c>
      <c r="AC1711" t="s">
        <v>115</v>
      </c>
      <c r="AD1711">
        <v>2</v>
      </c>
      <c r="AE1711" t="s">
        <v>115</v>
      </c>
      <c r="AF1711">
        <v>0</v>
      </c>
      <c r="AG1711">
        <v>0</v>
      </c>
      <c r="AH1711" t="s">
        <v>116</v>
      </c>
      <c r="AI1711" s="1">
        <v>1165</v>
      </c>
      <c r="AJ1711" s="2">
        <v>0</v>
      </c>
      <c r="AK1711" s="1">
        <v>385745</v>
      </c>
      <c r="AL1711" t="s">
        <v>117</v>
      </c>
      <c r="AM1711" t="s">
        <v>171</v>
      </c>
      <c r="AN1711">
        <v>8879</v>
      </c>
      <c r="AO1711">
        <v>0.2</v>
      </c>
      <c r="AP1711">
        <v>1</v>
      </c>
      <c r="AR1711">
        <v>1</v>
      </c>
      <c r="AS1711" s="1">
        <v>26850</v>
      </c>
      <c r="AT1711" s="1">
        <v>5370</v>
      </c>
      <c r="AU1711" s="1">
        <v>21480</v>
      </c>
      <c r="AV1711">
        <v>80</v>
      </c>
      <c r="AX1711" s="1">
        <v>2246.6999999999998</v>
      </c>
      <c r="AY1711" t="s">
        <v>394</v>
      </c>
      <c r="AZ1711" t="s">
        <v>394</v>
      </c>
      <c r="BA1711" t="s">
        <v>290</v>
      </c>
      <c r="BE1711" s="3">
        <v>41747</v>
      </c>
      <c r="BF1711" s="1">
        <v>295000</v>
      </c>
      <c r="BG1711" t="s">
        <v>11667</v>
      </c>
      <c r="BH1711" s="1">
        <v>115.96</v>
      </c>
      <c r="BI1711" s="1">
        <v>384580</v>
      </c>
      <c r="BJ1711" s="3">
        <v>43621</v>
      </c>
      <c r="BK1711" t="s">
        <v>123</v>
      </c>
      <c r="BL1711" t="str">
        <f>"2019.415473"</f>
        <v>2019.415473</v>
      </c>
      <c r="BM1711" t="s">
        <v>460</v>
      </c>
      <c r="BN1711" t="s">
        <v>461</v>
      </c>
      <c r="BO1711" t="s">
        <v>11668</v>
      </c>
      <c r="BP1711" t="s">
        <v>11669</v>
      </c>
      <c r="BR1711" t="s">
        <v>139</v>
      </c>
      <c r="BW1711" t="str">
        <f>""</f>
        <v/>
      </c>
      <c r="CH1711" t="str">
        <f>""</f>
        <v/>
      </c>
      <c r="CS1711" t="str">
        <f>""</f>
        <v/>
      </c>
    </row>
    <row r="1712" spans="1:97" x14ac:dyDescent="0.25">
      <c r="A1712" t="s">
        <v>996</v>
      </c>
      <c r="B1712" t="s">
        <v>11670</v>
      </c>
      <c r="E1712" t="s">
        <v>11671</v>
      </c>
      <c r="F1712" t="s">
        <v>108</v>
      </c>
      <c r="H1712" t="s">
        <v>11672</v>
      </c>
      <c r="I1712" t="s">
        <v>5114</v>
      </c>
      <c r="J1712" t="s">
        <v>111</v>
      </c>
      <c r="K1712" t="str">
        <f>"85323"</f>
        <v>85323</v>
      </c>
      <c r="L1712" t="s">
        <v>4316</v>
      </c>
      <c r="M1712" t="s">
        <v>11672</v>
      </c>
      <c r="N1712" t="s">
        <v>5114</v>
      </c>
      <c r="O1712" t="s">
        <v>111</v>
      </c>
      <c r="P1712" t="str">
        <f>"85323-8441"</f>
        <v>85323-8441</v>
      </c>
      <c r="Q1712" t="s">
        <v>113</v>
      </c>
      <c r="R1712" t="str">
        <f>"500-92-320"</f>
        <v>500-92-320</v>
      </c>
      <c r="S1712" t="s">
        <v>11673</v>
      </c>
      <c r="U1712">
        <v>1914</v>
      </c>
      <c r="V1712">
        <v>0</v>
      </c>
      <c r="W1712">
        <v>4</v>
      </c>
      <c r="X1712">
        <v>2003</v>
      </c>
      <c r="Z1712">
        <v>1</v>
      </c>
      <c r="AB1712">
        <v>0</v>
      </c>
      <c r="AC1712" t="s">
        <v>115</v>
      </c>
      <c r="AD1712">
        <v>2</v>
      </c>
      <c r="AE1712" t="s">
        <v>115</v>
      </c>
      <c r="AF1712">
        <v>0</v>
      </c>
      <c r="AG1712">
        <v>0</v>
      </c>
      <c r="AH1712" t="s">
        <v>116</v>
      </c>
      <c r="AI1712" s="1">
        <v>50581</v>
      </c>
      <c r="AJ1712" s="2">
        <v>0.2</v>
      </c>
      <c r="AK1712" s="1">
        <v>254082</v>
      </c>
      <c r="AL1712" t="s">
        <v>117</v>
      </c>
      <c r="AM1712" t="s">
        <v>118</v>
      </c>
      <c r="AN1712">
        <v>5982</v>
      </c>
      <c r="AO1712">
        <v>0.14000000000000001</v>
      </c>
      <c r="AP1712">
        <v>1</v>
      </c>
      <c r="AR1712">
        <v>1</v>
      </c>
      <c r="AS1712" s="1">
        <v>17380</v>
      </c>
      <c r="AT1712" s="1">
        <v>3470</v>
      </c>
      <c r="AU1712" s="1">
        <v>13910</v>
      </c>
      <c r="AV1712">
        <v>80.03</v>
      </c>
      <c r="AX1712" s="1">
        <v>1629.96</v>
      </c>
      <c r="AY1712" t="s">
        <v>9447</v>
      </c>
      <c r="AZ1712" t="s">
        <v>9447</v>
      </c>
      <c r="BA1712" t="s">
        <v>4254</v>
      </c>
      <c r="BE1712" s="3">
        <v>42500</v>
      </c>
      <c r="BF1712" s="1">
        <v>197000</v>
      </c>
      <c r="BG1712" t="s">
        <v>11674</v>
      </c>
      <c r="BH1712" s="1">
        <v>102.93</v>
      </c>
      <c r="BI1712" s="1">
        <v>203501</v>
      </c>
      <c r="BJ1712" s="3">
        <v>42500</v>
      </c>
      <c r="BK1712" t="s">
        <v>123</v>
      </c>
      <c r="BL1712" t="str">
        <f>"2016.319948"</f>
        <v>2016.319948</v>
      </c>
      <c r="BM1712" t="s">
        <v>11675</v>
      </c>
      <c r="BO1712" t="s">
        <v>11676</v>
      </c>
      <c r="BS1712">
        <v>30</v>
      </c>
      <c r="BW1712" t="str">
        <f>""</f>
        <v/>
      </c>
      <c r="CH1712" t="str">
        <f>""</f>
        <v/>
      </c>
      <c r="CS1712" t="str">
        <f>""</f>
        <v/>
      </c>
    </row>
    <row r="1713" spans="1:97" x14ac:dyDescent="0.25">
      <c r="A1713" t="s">
        <v>11677</v>
      </c>
      <c r="B1713" t="s">
        <v>11678</v>
      </c>
      <c r="C1713" t="s">
        <v>11679</v>
      </c>
      <c r="D1713" t="s">
        <v>11678</v>
      </c>
      <c r="E1713" t="s">
        <v>11680</v>
      </c>
      <c r="F1713" t="s">
        <v>108</v>
      </c>
      <c r="H1713" t="s">
        <v>11681</v>
      </c>
      <c r="I1713" t="s">
        <v>390</v>
      </c>
      <c r="J1713" t="s">
        <v>111</v>
      </c>
      <c r="K1713" t="str">
        <f>"85085"</f>
        <v>85085</v>
      </c>
      <c r="L1713" t="s">
        <v>1244</v>
      </c>
      <c r="M1713" t="s">
        <v>11681</v>
      </c>
      <c r="N1713" t="s">
        <v>390</v>
      </c>
      <c r="O1713" t="s">
        <v>111</v>
      </c>
      <c r="P1713" t="str">
        <f>"85085-3776"</f>
        <v>85085-3776</v>
      </c>
      <c r="Q1713" t="s">
        <v>113</v>
      </c>
      <c r="R1713" t="str">
        <f>"210-20-187"</f>
        <v>210-20-187</v>
      </c>
      <c r="S1713" t="s">
        <v>11682</v>
      </c>
      <c r="T1713" t="s">
        <v>11683</v>
      </c>
      <c r="U1713">
        <v>2174</v>
      </c>
      <c r="V1713">
        <v>0</v>
      </c>
      <c r="W1713">
        <v>3</v>
      </c>
      <c r="X1713">
        <v>2006</v>
      </c>
      <c r="Z1713">
        <v>1</v>
      </c>
      <c r="AA1713" t="s">
        <v>26</v>
      </c>
      <c r="AB1713">
        <v>0</v>
      </c>
      <c r="AC1713" t="s">
        <v>115</v>
      </c>
      <c r="AD1713">
        <v>3</v>
      </c>
      <c r="AE1713" t="s">
        <v>115</v>
      </c>
      <c r="AF1713">
        <v>0</v>
      </c>
      <c r="AG1713">
        <v>0</v>
      </c>
      <c r="AH1713" t="s">
        <v>116</v>
      </c>
      <c r="AI1713" s="1">
        <v>62204</v>
      </c>
      <c r="AJ1713" s="2">
        <v>0.16</v>
      </c>
      <c r="AK1713" s="1">
        <v>391595</v>
      </c>
      <c r="AL1713" t="s">
        <v>117</v>
      </c>
      <c r="AM1713" t="s">
        <v>171</v>
      </c>
      <c r="AN1713">
        <v>8712</v>
      </c>
      <c r="AO1713">
        <v>0.2</v>
      </c>
      <c r="AR1713">
        <v>1</v>
      </c>
      <c r="AS1713" s="1">
        <v>29710</v>
      </c>
      <c r="AT1713" s="1">
        <v>5940</v>
      </c>
      <c r="AU1713" s="1">
        <v>23770</v>
      </c>
      <c r="AV1713">
        <v>80.010000000000005</v>
      </c>
      <c r="AX1713" s="1">
        <v>2591.1799999999998</v>
      </c>
      <c r="AY1713" t="s">
        <v>1461</v>
      </c>
      <c r="AZ1713" t="s">
        <v>1461</v>
      </c>
      <c r="BA1713" t="s">
        <v>1462</v>
      </c>
      <c r="BE1713" s="3">
        <v>42198</v>
      </c>
      <c r="BF1713" s="1">
        <v>325000</v>
      </c>
      <c r="BG1713" t="s">
        <v>11684</v>
      </c>
      <c r="BH1713" s="1">
        <v>149.49</v>
      </c>
      <c r="BI1713" s="1">
        <v>329391</v>
      </c>
      <c r="BJ1713" s="3">
        <v>43027</v>
      </c>
      <c r="BK1713" t="s">
        <v>123</v>
      </c>
      <c r="BL1713" t="str">
        <f>"2017.775756"</f>
        <v>2017.775756</v>
      </c>
      <c r="BM1713" t="s">
        <v>11685</v>
      </c>
      <c r="BO1713" t="s">
        <v>11686</v>
      </c>
      <c r="BS1713">
        <v>30</v>
      </c>
      <c r="BW1713" t="str">
        <f>""</f>
        <v/>
      </c>
      <c r="CH1713" t="str">
        <f>""</f>
        <v/>
      </c>
      <c r="CS1713" t="str">
        <f>""</f>
        <v/>
      </c>
    </row>
    <row r="1714" spans="1:97" x14ac:dyDescent="0.25">
      <c r="A1714" t="s">
        <v>1109</v>
      </c>
      <c r="B1714" t="s">
        <v>11687</v>
      </c>
      <c r="C1714" t="s">
        <v>355</v>
      </c>
      <c r="D1714" t="s">
        <v>11687</v>
      </c>
      <c r="E1714" t="s">
        <v>11688</v>
      </c>
      <c r="F1714" t="s">
        <v>139</v>
      </c>
      <c r="H1714" t="s">
        <v>11689</v>
      </c>
      <c r="I1714" t="s">
        <v>390</v>
      </c>
      <c r="J1714" t="s">
        <v>111</v>
      </c>
      <c r="K1714" t="str">
        <f>"85032"</f>
        <v>85032</v>
      </c>
      <c r="L1714" t="s">
        <v>5464</v>
      </c>
      <c r="M1714" t="s">
        <v>11690</v>
      </c>
      <c r="N1714" t="s">
        <v>390</v>
      </c>
      <c r="O1714" t="s">
        <v>111</v>
      </c>
      <c r="P1714" t="str">
        <f>"85032-5520"</f>
        <v>85032-5520</v>
      </c>
      <c r="Q1714" t="s">
        <v>113</v>
      </c>
      <c r="R1714" t="str">
        <f>"215-69-252"</f>
        <v>215-69-252</v>
      </c>
      <c r="S1714" t="s">
        <v>11691</v>
      </c>
      <c r="T1714" t="s">
        <v>11692</v>
      </c>
      <c r="U1714">
        <v>2133</v>
      </c>
      <c r="V1714">
        <v>0</v>
      </c>
      <c r="W1714">
        <v>3</v>
      </c>
      <c r="X1714">
        <v>1982</v>
      </c>
      <c r="Z1714">
        <v>1</v>
      </c>
      <c r="AB1714">
        <v>0</v>
      </c>
      <c r="AC1714" t="s">
        <v>115</v>
      </c>
      <c r="AD1714">
        <v>2</v>
      </c>
      <c r="AE1714" t="s">
        <v>115</v>
      </c>
      <c r="AF1714">
        <v>0</v>
      </c>
      <c r="AG1714">
        <v>0</v>
      </c>
      <c r="AH1714" t="s">
        <v>116</v>
      </c>
      <c r="AI1714" s="1">
        <v>63227</v>
      </c>
      <c r="AJ1714" s="2">
        <v>0.15</v>
      </c>
      <c r="AK1714" s="1">
        <v>417546</v>
      </c>
      <c r="AL1714" t="s">
        <v>117</v>
      </c>
      <c r="AM1714" t="s">
        <v>1302</v>
      </c>
      <c r="AN1714">
        <v>10350</v>
      </c>
      <c r="AO1714">
        <v>0.24</v>
      </c>
      <c r="AP1714">
        <v>1</v>
      </c>
      <c r="AR1714">
        <v>1</v>
      </c>
      <c r="AS1714" s="1">
        <v>29420</v>
      </c>
      <c r="AT1714" s="1">
        <v>5880</v>
      </c>
      <c r="AU1714" s="1">
        <v>23540</v>
      </c>
      <c r="AV1714">
        <v>80.010000000000005</v>
      </c>
      <c r="AX1714" s="1">
        <v>2723.4</v>
      </c>
      <c r="AY1714" t="s">
        <v>5230</v>
      </c>
      <c r="AZ1714" t="s">
        <v>1317</v>
      </c>
      <c r="BA1714" t="s">
        <v>1318</v>
      </c>
      <c r="BE1714" s="3">
        <v>41792</v>
      </c>
      <c r="BF1714" s="1">
        <v>317500</v>
      </c>
      <c r="BG1714" t="s">
        <v>11693</v>
      </c>
      <c r="BH1714" s="1">
        <v>148.85</v>
      </c>
      <c r="BI1714" s="1">
        <v>354319</v>
      </c>
      <c r="BJ1714" s="3">
        <v>43525</v>
      </c>
      <c r="BK1714" t="s">
        <v>123</v>
      </c>
      <c r="BL1714" t="str">
        <f>"2019.145295"</f>
        <v>2019.145295</v>
      </c>
      <c r="BM1714" t="s">
        <v>1610</v>
      </c>
      <c r="BN1714" t="s">
        <v>1611</v>
      </c>
      <c r="BO1714" t="s">
        <v>11694</v>
      </c>
      <c r="BP1714" t="s">
        <v>11695</v>
      </c>
      <c r="BR1714" t="s">
        <v>139</v>
      </c>
      <c r="BW1714" t="str">
        <f>""</f>
        <v/>
      </c>
      <c r="CH1714" t="str">
        <f>""</f>
        <v/>
      </c>
      <c r="CS1714" t="str">
        <f>""</f>
        <v/>
      </c>
    </row>
    <row r="1715" spans="1:97" x14ac:dyDescent="0.25">
      <c r="A1715" t="s">
        <v>370</v>
      </c>
      <c r="B1715" t="s">
        <v>482</v>
      </c>
      <c r="C1715" t="s">
        <v>2286</v>
      </c>
      <c r="D1715" t="s">
        <v>482</v>
      </c>
      <c r="E1715" t="s">
        <v>11696</v>
      </c>
      <c r="F1715" t="s">
        <v>108</v>
      </c>
      <c r="H1715" t="s">
        <v>11697</v>
      </c>
      <c r="I1715" t="s">
        <v>203</v>
      </c>
      <c r="J1715" t="s">
        <v>111</v>
      </c>
      <c r="K1715" t="str">
        <f>"85295"</f>
        <v>85295</v>
      </c>
      <c r="L1715" t="s">
        <v>5084</v>
      </c>
      <c r="M1715" t="s">
        <v>11697</v>
      </c>
      <c r="N1715" t="s">
        <v>203</v>
      </c>
      <c r="O1715" t="s">
        <v>111</v>
      </c>
      <c r="P1715" t="str">
        <f>"85295-2143"</f>
        <v>85295-2143</v>
      </c>
      <c r="Q1715" t="s">
        <v>113</v>
      </c>
      <c r="R1715" t="str">
        <f>"304-48-814"</f>
        <v>304-48-814</v>
      </c>
      <c r="S1715" t="s">
        <v>11698</v>
      </c>
      <c r="T1715" t="s">
        <v>11698</v>
      </c>
      <c r="U1715">
        <v>2145</v>
      </c>
      <c r="V1715">
        <v>0</v>
      </c>
      <c r="W1715">
        <v>3</v>
      </c>
      <c r="X1715">
        <v>2004</v>
      </c>
      <c r="Z1715">
        <v>1</v>
      </c>
      <c r="AB1715">
        <v>0</v>
      </c>
      <c r="AC1715" t="s">
        <v>115</v>
      </c>
      <c r="AD1715">
        <v>3</v>
      </c>
      <c r="AE1715" t="s">
        <v>115</v>
      </c>
      <c r="AF1715">
        <v>0</v>
      </c>
      <c r="AG1715">
        <v>0</v>
      </c>
      <c r="AH1715" t="s">
        <v>116</v>
      </c>
      <c r="AI1715" s="1">
        <v>96163</v>
      </c>
      <c r="AJ1715" s="2">
        <v>0.26</v>
      </c>
      <c r="AK1715" s="1">
        <v>367713</v>
      </c>
      <c r="AL1715" t="s">
        <v>117</v>
      </c>
      <c r="AM1715" t="s">
        <v>393</v>
      </c>
      <c r="AN1715">
        <v>8050</v>
      </c>
      <c r="AO1715">
        <v>0.18</v>
      </c>
      <c r="AP1715">
        <v>1</v>
      </c>
      <c r="AR1715">
        <v>1</v>
      </c>
      <c r="AS1715" s="1">
        <v>25550</v>
      </c>
      <c r="AT1715" s="1">
        <v>5110</v>
      </c>
      <c r="AU1715" s="1">
        <v>20440</v>
      </c>
      <c r="AV1715">
        <v>80</v>
      </c>
      <c r="AX1715" s="1">
        <v>2142.4</v>
      </c>
      <c r="AY1715" t="s">
        <v>5087</v>
      </c>
      <c r="AZ1715" t="s">
        <v>5087</v>
      </c>
      <c r="BA1715" t="s">
        <v>473</v>
      </c>
      <c r="BE1715" s="3">
        <v>41862</v>
      </c>
      <c r="BF1715" s="1">
        <v>268500</v>
      </c>
      <c r="BG1715" t="s">
        <v>11699</v>
      </c>
      <c r="BH1715" s="1">
        <v>125.17</v>
      </c>
      <c r="BI1715" s="1">
        <v>271550</v>
      </c>
      <c r="BJ1715" s="3">
        <v>42549</v>
      </c>
      <c r="BK1715" t="s">
        <v>123</v>
      </c>
      <c r="BL1715" t="str">
        <f>"2016.450702"</f>
        <v>2016.450702</v>
      </c>
      <c r="BM1715" t="s">
        <v>131</v>
      </c>
      <c r="BO1715" t="s">
        <v>11700</v>
      </c>
      <c r="BS1715">
        <v>30</v>
      </c>
      <c r="BW1715" t="str">
        <f>""</f>
        <v/>
      </c>
      <c r="CH1715" t="str">
        <f>""</f>
        <v/>
      </c>
      <c r="CS1715" t="str">
        <f>""</f>
        <v/>
      </c>
    </row>
    <row r="1716" spans="1:97" x14ac:dyDescent="0.25">
      <c r="A1716" t="s">
        <v>1344</v>
      </c>
      <c r="B1716" t="s">
        <v>1094</v>
      </c>
      <c r="E1716" t="s">
        <v>11701</v>
      </c>
      <c r="F1716" t="s">
        <v>108</v>
      </c>
      <c r="H1716" t="s">
        <v>11702</v>
      </c>
      <c r="I1716" t="s">
        <v>167</v>
      </c>
      <c r="J1716" t="s">
        <v>111</v>
      </c>
      <c r="K1716" t="str">
        <f>"85339"</f>
        <v>85339</v>
      </c>
      <c r="L1716" t="s">
        <v>734</v>
      </c>
      <c r="M1716" t="s">
        <v>11702</v>
      </c>
      <c r="N1716" t="s">
        <v>167</v>
      </c>
      <c r="O1716" t="s">
        <v>111</v>
      </c>
      <c r="P1716" t="str">
        <f>"85339-3833"</f>
        <v>85339-3833</v>
      </c>
      <c r="Q1716" t="s">
        <v>113</v>
      </c>
      <c r="R1716" t="str">
        <f>"300-14-213"</f>
        <v>300-14-213</v>
      </c>
      <c r="S1716" t="s">
        <v>7506</v>
      </c>
      <c r="T1716" t="s">
        <v>7506</v>
      </c>
      <c r="U1716">
        <v>3023</v>
      </c>
      <c r="V1716">
        <v>0</v>
      </c>
      <c r="W1716">
        <v>4</v>
      </c>
      <c r="X1716">
        <v>2015</v>
      </c>
      <c r="Z1716">
        <v>1</v>
      </c>
      <c r="AB1716">
        <v>0</v>
      </c>
      <c r="AC1716" t="s">
        <v>115</v>
      </c>
      <c r="AD1716">
        <v>3</v>
      </c>
      <c r="AE1716" t="s">
        <v>115</v>
      </c>
      <c r="AF1716">
        <v>0</v>
      </c>
      <c r="AG1716">
        <v>0</v>
      </c>
      <c r="AH1716" t="s">
        <v>116</v>
      </c>
      <c r="AI1716" s="1">
        <v>28281</v>
      </c>
      <c r="AJ1716" s="2">
        <v>0.08</v>
      </c>
      <c r="AK1716" s="1">
        <v>375177</v>
      </c>
      <c r="AL1716" t="s">
        <v>117</v>
      </c>
      <c r="AM1716" t="s">
        <v>616</v>
      </c>
      <c r="AN1716">
        <v>12748</v>
      </c>
      <c r="AO1716">
        <v>0.28999999999999998</v>
      </c>
      <c r="AR1716">
        <v>1</v>
      </c>
      <c r="AS1716" s="1">
        <v>28300</v>
      </c>
      <c r="AT1716" s="1">
        <v>5660</v>
      </c>
      <c r="AU1716" s="1">
        <v>22640</v>
      </c>
      <c r="AV1716">
        <v>80</v>
      </c>
      <c r="AX1716" s="1">
        <v>3926.1</v>
      </c>
      <c r="AY1716" t="s">
        <v>5220</v>
      </c>
      <c r="AZ1716" t="s">
        <v>5220</v>
      </c>
      <c r="BA1716" t="s">
        <v>1661</v>
      </c>
      <c r="BE1716" s="3">
        <v>42312</v>
      </c>
      <c r="BF1716" s="1">
        <v>335815</v>
      </c>
      <c r="BG1716" t="s">
        <v>11703</v>
      </c>
      <c r="BH1716" s="1">
        <v>111.09</v>
      </c>
      <c r="BI1716" s="1">
        <v>346896</v>
      </c>
      <c r="BJ1716" s="3">
        <v>42312</v>
      </c>
      <c r="BK1716" t="s">
        <v>123</v>
      </c>
      <c r="BL1716" t="str">
        <f>"2015.793562"</f>
        <v>2015.793562</v>
      </c>
      <c r="BM1716" t="s">
        <v>11704</v>
      </c>
      <c r="BO1716" t="s">
        <v>11705</v>
      </c>
      <c r="BS1716">
        <v>30</v>
      </c>
      <c r="BW1716" t="str">
        <f>""</f>
        <v/>
      </c>
      <c r="CH1716" t="str">
        <f>""</f>
        <v/>
      </c>
      <c r="CS1716" t="str">
        <f>""</f>
        <v/>
      </c>
    </row>
    <row r="1717" spans="1:97" x14ac:dyDescent="0.25">
      <c r="A1717" t="s">
        <v>305</v>
      </c>
      <c r="B1717" t="s">
        <v>8122</v>
      </c>
      <c r="C1717" t="s">
        <v>11706</v>
      </c>
      <c r="D1717" t="s">
        <v>8122</v>
      </c>
      <c r="E1717" t="s">
        <v>11707</v>
      </c>
      <c r="F1717" t="s">
        <v>108</v>
      </c>
      <c r="H1717" t="s">
        <v>11708</v>
      </c>
      <c r="I1717" t="s">
        <v>203</v>
      </c>
      <c r="J1717" t="s">
        <v>111</v>
      </c>
      <c r="K1717" t="str">
        <f>"85298"</f>
        <v>85298</v>
      </c>
      <c r="L1717" t="s">
        <v>11709</v>
      </c>
      <c r="M1717" t="s">
        <v>11708</v>
      </c>
      <c r="N1717" t="s">
        <v>203</v>
      </c>
      <c r="O1717" t="s">
        <v>111</v>
      </c>
      <c r="P1717" t="str">
        <f>"85298-8603"</f>
        <v>85298-8603</v>
      </c>
      <c r="Q1717" t="s">
        <v>113</v>
      </c>
      <c r="R1717" t="str">
        <f>"313-01-223"</f>
        <v>313-01-223</v>
      </c>
      <c r="S1717" t="s">
        <v>11710</v>
      </c>
      <c r="T1717" t="s">
        <v>11711</v>
      </c>
      <c r="U1717">
        <v>2045</v>
      </c>
      <c r="V1717">
        <v>0</v>
      </c>
      <c r="W1717">
        <v>3</v>
      </c>
      <c r="X1717">
        <v>1999</v>
      </c>
      <c r="Z1717">
        <v>1</v>
      </c>
      <c r="AB1717">
        <v>0</v>
      </c>
      <c r="AC1717" t="s">
        <v>115</v>
      </c>
      <c r="AD1717">
        <v>2</v>
      </c>
      <c r="AE1717" t="s">
        <v>115</v>
      </c>
      <c r="AF1717">
        <v>0</v>
      </c>
      <c r="AG1717">
        <v>0</v>
      </c>
      <c r="AH1717" t="s">
        <v>116</v>
      </c>
      <c r="AI1717" s="1">
        <v>127576</v>
      </c>
      <c r="AJ1717" s="2">
        <v>0.33</v>
      </c>
      <c r="AK1717" s="1">
        <v>383436</v>
      </c>
      <c r="AL1717" t="s">
        <v>117</v>
      </c>
      <c r="AM1717" t="s">
        <v>191</v>
      </c>
      <c r="AN1717">
        <v>7980</v>
      </c>
      <c r="AO1717">
        <v>0.18</v>
      </c>
      <c r="AP1717">
        <v>1</v>
      </c>
      <c r="AR1717">
        <v>1</v>
      </c>
      <c r="AS1717" s="1">
        <v>26680</v>
      </c>
      <c r="AT1717" s="1">
        <v>5330</v>
      </c>
      <c r="AU1717" s="1">
        <v>21350</v>
      </c>
      <c r="AV1717">
        <v>80.02</v>
      </c>
      <c r="AX1717" s="1">
        <v>2396.2399999999998</v>
      </c>
      <c r="AY1717" t="s">
        <v>5792</v>
      </c>
      <c r="AZ1717" t="s">
        <v>5792</v>
      </c>
      <c r="BA1717" t="s">
        <v>290</v>
      </c>
      <c r="BE1717" s="3">
        <v>41858</v>
      </c>
      <c r="BF1717" s="1">
        <v>262500</v>
      </c>
      <c r="BG1717" t="s">
        <v>11712</v>
      </c>
      <c r="BH1717" s="1">
        <v>128.36000000000001</v>
      </c>
      <c r="BI1717" s="1">
        <v>255860</v>
      </c>
      <c r="BJ1717" s="3">
        <v>42587</v>
      </c>
      <c r="BK1717" t="s">
        <v>123</v>
      </c>
      <c r="BL1717" t="str">
        <f>"2016.556528"</f>
        <v>2016.556528</v>
      </c>
      <c r="BM1717" t="s">
        <v>709</v>
      </c>
      <c r="BO1717" t="s">
        <v>11713</v>
      </c>
      <c r="BS1717">
        <v>30</v>
      </c>
      <c r="BW1717" t="str">
        <f>""</f>
        <v/>
      </c>
      <c r="CH1717" t="str">
        <f>""</f>
        <v/>
      </c>
      <c r="CS1717" t="str">
        <f>""</f>
        <v/>
      </c>
    </row>
    <row r="1718" spans="1:97" x14ac:dyDescent="0.25">
      <c r="B1718" t="s">
        <v>11714</v>
      </c>
      <c r="E1718" t="s">
        <v>11714</v>
      </c>
      <c r="F1718" t="s">
        <v>108</v>
      </c>
      <c r="H1718" t="s">
        <v>11715</v>
      </c>
      <c r="I1718" t="s">
        <v>390</v>
      </c>
      <c r="J1718" t="s">
        <v>111</v>
      </c>
      <c r="K1718" t="str">
        <f>"85044"</f>
        <v>85044</v>
      </c>
      <c r="L1718" t="s">
        <v>9764</v>
      </c>
      <c r="M1718" t="s">
        <v>11715</v>
      </c>
      <c r="N1718" t="s">
        <v>390</v>
      </c>
      <c r="O1718" t="s">
        <v>111</v>
      </c>
      <c r="P1718" t="str">
        <f>"85044-6717"</f>
        <v>85044-6717</v>
      </c>
      <c r="Q1718" t="s">
        <v>113</v>
      </c>
      <c r="R1718" t="str">
        <f>"301-77-383"</f>
        <v>301-77-383</v>
      </c>
      <c r="S1718" t="s">
        <v>11716</v>
      </c>
      <c r="T1718" t="s">
        <v>11717</v>
      </c>
      <c r="U1718">
        <v>1729</v>
      </c>
      <c r="V1718">
        <v>0</v>
      </c>
      <c r="W1718">
        <v>3</v>
      </c>
      <c r="X1718">
        <v>1985</v>
      </c>
      <c r="Z1718">
        <v>2</v>
      </c>
      <c r="AB1718">
        <v>0</v>
      </c>
      <c r="AC1718" t="s">
        <v>115</v>
      </c>
      <c r="AD1718">
        <v>2</v>
      </c>
      <c r="AE1718" t="s">
        <v>115</v>
      </c>
      <c r="AF1718">
        <v>0</v>
      </c>
      <c r="AG1718">
        <v>0</v>
      </c>
      <c r="AH1718" t="s">
        <v>116</v>
      </c>
      <c r="AI1718" s="1">
        <v>102859</v>
      </c>
      <c r="AJ1718" s="2">
        <v>0.32</v>
      </c>
      <c r="AK1718" s="1">
        <v>325609</v>
      </c>
      <c r="AL1718" t="s">
        <v>117</v>
      </c>
      <c r="AM1718" t="s">
        <v>191</v>
      </c>
      <c r="AN1718">
        <v>8551</v>
      </c>
      <c r="AO1718">
        <v>0.2</v>
      </c>
      <c r="AP1718">
        <v>1</v>
      </c>
      <c r="AR1718">
        <v>1</v>
      </c>
      <c r="AS1718" s="1">
        <v>23610</v>
      </c>
      <c r="AT1718" s="1">
        <v>4720</v>
      </c>
      <c r="AU1718" s="1">
        <v>18890</v>
      </c>
      <c r="AV1718">
        <v>80.010000000000005</v>
      </c>
      <c r="AX1718" s="1">
        <v>2171.84</v>
      </c>
      <c r="AY1718" t="s">
        <v>7418</v>
      </c>
      <c r="AZ1718" t="s">
        <v>7255</v>
      </c>
      <c r="BA1718" t="s">
        <v>5328</v>
      </c>
      <c r="BB1718" s="3">
        <v>41947</v>
      </c>
      <c r="BD1718" t="s">
        <v>480</v>
      </c>
      <c r="BE1718" s="3">
        <v>41814</v>
      </c>
      <c r="BF1718" s="1">
        <v>300000</v>
      </c>
      <c r="BG1718" t="s">
        <v>11718</v>
      </c>
      <c r="BH1718" s="1">
        <v>173.51</v>
      </c>
      <c r="BI1718" s="1">
        <v>222750</v>
      </c>
      <c r="BJ1718" s="3">
        <v>41814</v>
      </c>
      <c r="BK1718" t="s">
        <v>123</v>
      </c>
      <c r="BL1718" t="str">
        <f>"2014.414185"</f>
        <v>2014.414185</v>
      </c>
      <c r="BM1718" t="s">
        <v>6784</v>
      </c>
      <c r="BO1718" t="s">
        <v>11719</v>
      </c>
      <c r="BS1718">
        <v>30</v>
      </c>
      <c r="BW1718" t="str">
        <f>""</f>
        <v/>
      </c>
      <c r="CH1718" t="str">
        <f>""</f>
        <v/>
      </c>
      <c r="CS1718" t="str">
        <f>""</f>
        <v/>
      </c>
    </row>
    <row r="1719" spans="1:97" x14ac:dyDescent="0.25">
      <c r="A1719" t="s">
        <v>11720</v>
      </c>
      <c r="B1719" t="s">
        <v>11721</v>
      </c>
      <c r="C1719" t="s">
        <v>11722</v>
      </c>
      <c r="D1719" t="s">
        <v>11721</v>
      </c>
      <c r="E1719" t="s">
        <v>11723</v>
      </c>
      <c r="F1719" t="s">
        <v>108</v>
      </c>
      <c r="H1719" t="s">
        <v>11724</v>
      </c>
      <c r="I1719" t="s">
        <v>203</v>
      </c>
      <c r="J1719" t="s">
        <v>111</v>
      </c>
      <c r="K1719" t="str">
        <f>"85233"</f>
        <v>85233</v>
      </c>
      <c r="L1719" t="s">
        <v>6325</v>
      </c>
      <c r="M1719" t="s">
        <v>11724</v>
      </c>
      <c r="N1719" t="s">
        <v>203</v>
      </c>
      <c r="O1719" t="s">
        <v>111</v>
      </c>
      <c r="P1719" t="str">
        <f>"85233-2620"</f>
        <v>85233-2620</v>
      </c>
      <c r="R1719" t="str">
        <f>"310-05-067"</f>
        <v>310-05-067</v>
      </c>
      <c r="S1719" t="s">
        <v>9439</v>
      </c>
      <c r="T1719" t="s">
        <v>9439</v>
      </c>
      <c r="U1719">
        <v>2152</v>
      </c>
      <c r="V1719">
        <v>0</v>
      </c>
      <c r="W1719">
        <v>3</v>
      </c>
      <c r="X1719">
        <v>1994</v>
      </c>
      <c r="Z1719">
        <v>1</v>
      </c>
      <c r="AB1719">
        <v>0</v>
      </c>
      <c r="AC1719" t="s">
        <v>115</v>
      </c>
      <c r="AD1719">
        <v>3</v>
      </c>
      <c r="AE1719" t="s">
        <v>115</v>
      </c>
      <c r="AF1719">
        <v>0</v>
      </c>
      <c r="AG1719">
        <v>0</v>
      </c>
      <c r="AH1719" t="s">
        <v>116</v>
      </c>
      <c r="AI1719" s="1">
        <v>64945</v>
      </c>
      <c r="AJ1719" s="2">
        <v>0.18</v>
      </c>
      <c r="AK1719" s="1">
        <v>369945</v>
      </c>
      <c r="AL1719" t="s">
        <v>117</v>
      </c>
      <c r="AM1719" t="s">
        <v>393</v>
      </c>
      <c r="AN1719">
        <v>10650</v>
      </c>
      <c r="AO1719">
        <v>0.24</v>
      </c>
      <c r="AP1719">
        <v>1</v>
      </c>
      <c r="AR1719">
        <v>1</v>
      </c>
      <c r="AS1719" s="1">
        <v>27110</v>
      </c>
      <c r="AT1719" s="1">
        <v>5420</v>
      </c>
      <c r="AU1719" s="1">
        <v>21690</v>
      </c>
      <c r="AV1719">
        <v>80.010000000000005</v>
      </c>
      <c r="AX1719" s="1">
        <v>1924.78</v>
      </c>
      <c r="AY1719" t="s">
        <v>8604</v>
      </c>
      <c r="AZ1719" t="s">
        <v>5478</v>
      </c>
      <c r="BA1719" t="s">
        <v>5479</v>
      </c>
      <c r="BB1719" s="3">
        <v>42615</v>
      </c>
      <c r="BD1719" t="s">
        <v>458</v>
      </c>
      <c r="BE1719" s="3">
        <v>41708</v>
      </c>
      <c r="BF1719" s="1">
        <v>210000</v>
      </c>
      <c r="BG1719" t="s">
        <v>11725</v>
      </c>
      <c r="BH1719" s="1">
        <v>97.58</v>
      </c>
      <c r="BI1719" s="1">
        <v>255000</v>
      </c>
      <c r="BJ1719" s="3">
        <v>42615</v>
      </c>
      <c r="BK1719" t="s">
        <v>123</v>
      </c>
      <c r="BL1719" t="str">
        <f>"2016.638093"</f>
        <v>2016.638093</v>
      </c>
      <c r="BM1719" t="s">
        <v>11726</v>
      </c>
      <c r="BN1719" t="s">
        <v>7780</v>
      </c>
      <c r="BO1719" t="s">
        <v>11727</v>
      </c>
      <c r="BS1719">
        <v>30</v>
      </c>
      <c r="BT1719" s="1">
        <v>50000</v>
      </c>
      <c r="BU1719" s="3">
        <v>43740</v>
      </c>
      <c r="BW1719" t="str">
        <f>"2019.784200"</f>
        <v>2019.784200</v>
      </c>
      <c r="BX1719" t="s">
        <v>654</v>
      </c>
      <c r="BY1719" t="s">
        <v>655</v>
      </c>
      <c r="BZ1719" t="s">
        <v>11728</v>
      </c>
      <c r="CA1719" t="s">
        <v>11729</v>
      </c>
      <c r="CC1719" t="s">
        <v>346</v>
      </c>
      <c r="CH1719" t="str">
        <f>""</f>
        <v/>
      </c>
      <c r="CS1719" t="str">
        <f>""</f>
        <v/>
      </c>
    </row>
    <row r="1720" spans="1:97" x14ac:dyDescent="0.25">
      <c r="A1720" t="s">
        <v>938</v>
      </c>
      <c r="B1720" t="s">
        <v>11730</v>
      </c>
      <c r="C1720" t="s">
        <v>986</v>
      </c>
      <c r="D1720" t="s">
        <v>11730</v>
      </c>
      <c r="E1720" t="s">
        <v>11731</v>
      </c>
      <c r="F1720" t="s">
        <v>108</v>
      </c>
      <c r="H1720" t="s">
        <v>11732</v>
      </c>
      <c r="I1720" t="s">
        <v>110</v>
      </c>
      <c r="J1720" t="s">
        <v>111</v>
      </c>
      <c r="K1720" t="str">
        <f>"85249"</f>
        <v>85249</v>
      </c>
      <c r="L1720" t="s">
        <v>417</v>
      </c>
      <c r="M1720" t="s">
        <v>11732</v>
      </c>
      <c r="N1720" t="s">
        <v>110</v>
      </c>
      <c r="O1720" t="s">
        <v>111</v>
      </c>
      <c r="P1720" t="str">
        <f>"85249-5864"</f>
        <v>85249-5864</v>
      </c>
      <c r="Q1720" t="s">
        <v>113</v>
      </c>
      <c r="R1720" t="str">
        <f>"304-82-252"</f>
        <v>304-82-252</v>
      </c>
      <c r="S1720" t="s">
        <v>7599</v>
      </c>
      <c r="T1720" t="s">
        <v>7599</v>
      </c>
      <c r="U1720">
        <v>3863</v>
      </c>
      <c r="V1720">
        <v>0</v>
      </c>
      <c r="W1720">
        <v>4</v>
      </c>
      <c r="X1720">
        <v>2004</v>
      </c>
      <c r="Z1720">
        <v>2</v>
      </c>
      <c r="AA1720" t="s">
        <v>26</v>
      </c>
      <c r="AB1720">
        <v>0</v>
      </c>
      <c r="AC1720" t="s">
        <v>115</v>
      </c>
      <c r="AD1720">
        <v>3</v>
      </c>
      <c r="AE1720" t="s">
        <v>115</v>
      </c>
      <c r="AF1720">
        <v>0</v>
      </c>
      <c r="AG1720">
        <v>0</v>
      </c>
      <c r="AH1720" t="s">
        <v>116</v>
      </c>
      <c r="AI1720" s="1">
        <v>166214</v>
      </c>
      <c r="AJ1720" s="2">
        <v>0.33</v>
      </c>
      <c r="AK1720" s="1">
        <v>504193</v>
      </c>
      <c r="AL1720" t="s">
        <v>117</v>
      </c>
      <c r="AM1720" t="s">
        <v>118</v>
      </c>
      <c r="AN1720">
        <v>13400</v>
      </c>
      <c r="AO1720">
        <v>0.31</v>
      </c>
      <c r="AP1720">
        <v>1</v>
      </c>
      <c r="AR1720">
        <v>1</v>
      </c>
      <c r="AS1720" s="1">
        <v>35950</v>
      </c>
      <c r="AT1720" s="1">
        <v>7190</v>
      </c>
      <c r="AU1720" s="1">
        <v>28760</v>
      </c>
      <c r="AV1720">
        <v>80</v>
      </c>
      <c r="AX1720" s="1">
        <v>3206.2</v>
      </c>
      <c r="AY1720" t="s">
        <v>3699</v>
      </c>
      <c r="AZ1720" t="s">
        <v>273</v>
      </c>
      <c r="BA1720" t="s">
        <v>274</v>
      </c>
      <c r="BE1720" s="3">
        <v>42167</v>
      </c>
      <c r="BF1720" s="1">
        <v>349650</v>
      </c>
      <c r="BG1720" t="s">
        <v>11733</v>
      </c>
      <c r="BH1720" s="1">
        <v>90.51</v>
      </c>
      <c r="BI1720" s="1">
        <v>337979</v>
      </c>
      <c r="BJ1720" s="3">
        <v>42167</v>
      </c>
      <c r="BK1720" t="s">
        <v>123</v>
      </c>
      <c r="BL1720" t="str">
        <f>"2015.420468"</f>
        <v>2015.420468</v>
      </c>
      <c r="BM1720" t="s">
        <v>1544</v>
      </c>
      <c r="BO1720" t="s">
        <v>11734</v>
      </c>
      <c r="BS1720">
        <v>30</v>
      </c>
      <c r="BW1720" t="str">
        <f>""</f>
        <v/>
      </c>
      <c r="CH1720" t="str">
        <f>""</f>
        <v/>
      </c>
      <c r="CS1720" t="str">
        <f>""</f>
        <v/>
      </c>
    </row>
    <row r="1721" spans="1:97" x14ac:dyDescent="0.25">
      <c r="A1721" t="s">
        <v>11735</v>
      </c>
      <c r="B1721" t="s">
        <v>11736</v>
      </c>
      <c r="C1721" t="s">
        <v>484</v>
      </c>
      <c r="D1721" t="s">
        <v>11736</v>
      </c>
      <c r="E1721" t="s">
        <v>11737</v>
      </c>
      <c r="F1721" t="s">
        <v>108</v>
      </c>
      <c r="H1721" t="s">
        <v>11738</v>
      </c>
      <c r="I1721" t="s">
        <v>5551</v>
      </c>
      <c r="J1721" t="s">
        <v>111</v>
      </c>
      <c r="K1721" t="str">
        <f>"85248"</f>
        <v>85248</v>
      </c>
      <c r="L1721" t="s">
        <v>5367</v>
      </c>
      <c r="M1721" t="s">
        <v>11738</v>
      </c>
      <c r="N1721" t="s">
        <v>5551</v>
      </c>
      <c r="O1721" t="s">
        <v>111</v>
      </c>
      <c r="P1721" t="str">
        <f>"85248-7259"</f>
        <v>85248-7259</v>
      </c>
      <c r="Q1721" t="s">
        <v>113</v>
      </c>
      <c r="R1721" t="str">
        <f>"303-59-070"</f>
        <v>303-59-070</v>
      </c>
      <c r="S1721" t="s">
        <v>11739</v>
      </c>
      <c r="U1721">
        <v>1823</v>
      </c>
      <c r="V1721">
        <v>0</v>
      </c>
      <c r="W1721">
        <v>3</v>
      </c>
      <c r="X1721">
        <v>1985</v>
      </c>
      <c r="Z1721">
        <v>1</v>
      </c>
      <c r="AB1721">
        <v>0</v>
      </c>
      <c r="AC1721" t="s">
        <v>115</v>
      </c>
      <c r="AD1721">
        <v>2</v>
      </c>
      <c r="AE1721" t="s">
        <v>115</v>
      </c>
      <c r="AF1721">
        <v>0</v>
      </c>
      <c r="AG1721">
        <v>0</v>
      </c>
      <c r="AH1721" t="s">
        <v>116</v>
      </c>
      <c r="AI1721" s="1">
        <v>80930</v>
      </c>
      <c r="AJ1721" s="2">
        <v>0.26</v>
      </c>
      <c r="AK1721" s="1">
        <v>307969</v>
      </c>
      <c r="AL1721" t="s">
        <v>117</v>
      </c>
      <c r="AM1721" t="s">
        <v>191</v>
      </c>
      <c r="AN1721">
        <v>8575</v>
      </c>
      <c r="AO1721">
        <v>0.2</v>
      </c>
      <c r="AP1721">
        <v>1</v>
      </c>
      <c r="AR1721">
        <v>1</v>
      </c>
      <c r="AS1721" s="1">
        <v>20150</v>
      </c>
      <c r="AT1721" s="1">
        <v>4030</v>
      </c>
      <c r="AU1721" s="1">
        <v>16120</v>
      </c>
      <c r="AV1721">
        <v>80</v>
      </c>
      <c r="AX1721" s="1">
        <v>1999.8</v>
      </c>
      <c r="AY1721" t="s">
        <v>1881</v>
      </c>
      <c r="AZ1721" t="s">
        <v>1882</v>
      </c>
      <c r="BA1721" t="s">
        <v>121</v>
      </c>
      <c r="BE1721" s="3">
        <v>41873</v>
      </c>
      <c r="BF1721" s="1">
        <v>230000</v>
      </c>
      <c r="BG1721" t="s">
        <v>11740</v>
      </c>
      <c r="BH1721" s="1">
        <v>126.17</v>
      </c>
      <c r="BI1721" s="1">
        <v>227039</v>
      </c>
      <c r="BJ1721" s="3">
        <v>42681</v>
      </c>
      <c r="BK1721" t="s">
        <v>123</v>
      </c>
      <c r="BL1721" t="str">
        <f>"2016.818756"</f>
        <v>2016.818756</v>
      </c>
      <c r="BM1721" t="s">
        <v>402</v>
      </c>
      <c r="BO1721" t="s">
        <v>11741</v>
      </c>
      <c r="BS1721">
        <v>30</v>
      </c>
      <c r="BW1721" t="str">
        <f>""</f>
        <v/>
      </c>
      <c r="CH1721" t="str">
        <f>""</f>
        <v/>
      </c>
      <c r="CS1721" t="str">
        <f>""</f>
        <v/>
      </c>
    </row>
    <row r="1722" spans="1:97" x14ac:dyDescent="0.25">
      <c r="A1722" t="s">
        <v>370</v>
      </c>
      <c r="B1722" t="s">
        <v>11742</v>
      </c>
      <c r="C1722" t="s">
        <v>524</v>
      </c>
      <c r="D1722" t="s">
        <v>11742</v>
      </c>
      <c r="E1722" t="s">
        <v>11743</v>
      </c>
      <c r="F1722" t="s">
        <v>108</v>
      </c>
      <c r="H1722" t="s">
        <v>11744</v>
      </c>
      <c r="I1722" t="s">
        <v>203</v>
      </c>
      <c r="J1722" t="s">
        <v>111</v>
      </c>
      <c r="K1722" t="str">
        <f>"85234"</f>
        <v>85234</v>
      </c>
      <c r="L1722" t="s">
        <v>3758</v>
      </c>
      <c r="M1722" t="s">
        <v>11744</v>
      </c>
      <c r="N1722" t="s">
        <v>203</v>
      </c>
      <c r="O1722" t="s">
        <v>111</v>
      </c>
      <c r="P1722" t="str">
        <f>"85234-9007"</f>
        <v>85234-9007</v>
      </c>
      <c r="Q1722" t="s">
        <v>113</v>
      </c>
      <c r="R1722" t="str">
        <f>"309-13-068"</f>
        <v>309-13-068</v>
      </c>
      <c r="S1722" t="s">
        <v>11745</v>
      </c>
      <c r="T1722" t="s">
        <v>11745</v>
      </c>
      <c r="U1722">
        <v>2437</v>
      </c>
      <c r="V1722">
        <v>0</v>
      </c>
      <c r="W1722">
        <v>4</v>
      </c>
      <c r="X1722">
        <v>1997</v>
      </c>
      <c r="Z1722">
        <v>2</v>
      </c>
      <c r="AA1722" t="s">
        <v>26</v>
      </c>
      <c r="AB1722">
        <v>0</v>
      </c>
      <c r="AC1722" t="s">
        <v>115</v>
      </c>
      <c r="AD1722">
        <v>3</v>
      </c>
      <c r="AE1722" t="s">
        <v>115</v>
      </c>
      <c r="AF1722">
        <v>0</v>
      </c>
      <c r="AG1722">
        <v>0</v>
      </c>
      <c r="AH1722" t="s">
        <v>116</v>
      </c>
      <c r="AI1722" s="1">
        <v>98226</v>
      </c>
      <c r="AJ1722" s="2">
        <v>0.26</v>
      </c>
      <c r="AK1722" s="1">
        <v>382203</v>
      </c>
      <c r="AL1722" t="s">
        <v>117</v>
      </c>
      <c r="AM1722" t="s">
        <v>191</v>
      </c>
      <c r="AN1722">
        <v>6325</v>
      </c>
      <c r="AO1722">
        <v>0.14000000000000001</v>
      </c>
      <c r="AP1722">
        <v>1</v>
      </c>
      <c r="AR1722">
        <v>1</v>
      </c>
      <c r="AS1722" s="1">
        <v>27310</v>
      </c>
      <c r="AT1722" s="1">
        <v>5460</v>
      </c>
      <c r="AU1722" s="1">
        <v>21850</v>
      </c>
      <c r="AV1722">
        <v>80.010000000000005</v>
      </c>
      <c r="AX1722" s="1">
        <v>1944</v>
      </c>
      <c r="AY1722" t="s">
        <v>6506</v>
      </c>
      <c r="AZ1722" t="s">
        <v>520</v>
      </c>
      <c r="BA1722" t="s">
        <v>5033</v>
      </c>
      <c r="BE1722" s="3">
        <v>42096</v>
      </c>
      <c r="BF1722" s="1">
        <v>278000</v>
      </c>
      <c r="BG1722" t="s">
        <v>11746</v>
      </c>
      <c r="BH1722" s="1">
        <v>114.07</v>
      </c>
      <c r="BI1722" s="1">
        <v>283977</v>
      </c>
      <c r="BJ1722" s="3">
        <v>42096</v>
      </c>
      <c r="BK1722" t="s">
        <v>123</v>
      </c>
      <c r="BL1722" t="str">
        <f>"2015.225630"</f>
        <v>2015.225630</v>
      </c>
      <c r="BM1722" t="s">
        <v>11747</v>
      </c>
      <c r="BO1722" t="s">
        <v>11748</v>
      </c>
      <c r="BS1722">
        <v>30</v>
      </c>
      <c r="BW1722" t="str">
        <f>""</f>
        <v/>
      </c>
      <c r="CH1722" t="str">
        <f>""</f>
        <v/>
      </c>
      <c r="CS1722" t="str">
        <f>""</f>
        <v/>
      </c>
    </row>
    <row r="1723" spans="1:97" x14ac:dyDescent="0.25">
      <c r="A1723" t="s">
        <v>7562</v>
      </c>
      <c r="B1723" t="s">
        <v>11749</v>
      </c>
      <c r="E1723" t="s">
        <v>11750</v>
      </c>
      <c r="F1723" t="s">
        <v>108</v>
      </c>
      <c r="H1723" t="s">
        <v>11751</v>
      </c>
      <c r="I1723" t="s">
        <v>110</v>
      </c>
      <c r="J1723" t="s">
        <v>111</v>
      </c>
      <c r="K1723" t="str">
        <f>"85224"</f>
        <v>85224</v>
      </c>
      <c r="L1723" t="s">
        <v>7746</v>
      </c>
      <c r="M1723" t="s">
        <v>11751</v>
      </c>
      <c r="N1723" t="s">
        <v>110</v>
      </c>
      <c r="O1723" t="s">
        <v>111</v>
      </c>
      <c r="P1723" t="str">
        <f>"85224-3958"</f>
        <v>85224-3958</v>
      </c>
      <c r="Q1723" t="s">
        <v>113</v>
      </c>
      <c r="R1723" t="str">
        <f>"310-01-461"</f>
        <v>310-01-461</v>
      </c>
      <c r="S1723" t="s">
        <v>11752</v>
      </c>
      <c r="T1723" t="s">
        <v>11752</v>
      </c>
      <c r="U1723">
        <v>1763</v>
      </c>
      <c r="V1723">
        <v>0</v>
      </c>
      <c r="W1723">
        <v>3</v>
      </c>
      <c r="X1723">
        <v>1994</v>
      </c>
      <c r="Z1723">
        <v>1</v>
      </c>
      <c r="AA1723" t="s">
        <v>26</v>
      </c>
      <c r="AB1723">
        <v>0</v>
      </c>
      <c r="AC1723" t="s">
        <v>115</v>
      </c>
      <c r="AD1723">
        <v>2</v>
      </c>
      <c r="AE1723" t="s">
        <v>115</v>
      </c>
      <c r="AF1723">
        <v>0</v>
      </c>
      <c r="AG1723">
        <v>0</v>
      </c>
      <c r="AH1723" t="s">
        <v>116</v>
      </c>
      <c r="AI1723" s="1">
        <v>106875</v>
      </c>
      <c r="AJ1723" s="2">
        <v>0.31</v>
      </c>
      <c r="AK1723" s="1">
        <v>345620</v>
      </c>
      <c r="AL1723" t="s">
        <v>117</v>
      </c>
      <c r="AM1723" t="s">
        <v>118</v>
      </c>
      <c r="AN1723">
        <v>5929</v>
      </c>
      <c r="AO1723">
        <v>0.14000000000000001</v>
      </c>
      <c r="AP1723">
        <v>1</v>
      </c>
      <c r="AR1723">
        <v>1</v>
      </c>
      <c r="AS1723" s="1">
        <v>24780</v>
      </c>
      <c r="AT1723" s="1">
        <v>4950</v>
      </c>
      <c r="AU1723" s="1">
        <v>19830</v>
      </c>
      <c r="AV1723">
        <v>80.02</v>
      </c>
      <c r="AX1723" s="1">
        <v>1847.58</v>
      </c>
      <c r="AY1723" t="s">
        <v>7749</v>
      </c>
      <c r="AZ1723" t="s">
        <v>5078</v>
      </c>
      <c r="BA1723" t="s">
        <v>2957</v>
      </c>
      <c r="BE1723" s="3">
        <v>41796</v>
      </c>
      <c r="BF1723" s="1">
        <v>243900</v>
      </c>
      <c r="BG1723" t="s">
        <v>11753</v>
      </c>
      <c r="BH1723" s="1">
        <v>138.34</v>
      </c>
      <c r="BI1723" s="1">
        <v>238745</v>
      </c>
      <c r="BJ1723" s="3">
        <v>42559</v>
      </c>
      <c r="BK1723" t="s">
        <v>123</v>
      </c>
      <c r="BL1723" t="str">
        <f>"2016.478963"</f>
        <v>2016.478963</v>
      </c>
      <c r="BM1723" t="s">
        <v>402</v>
      </c>
      <c r="BO1723" t="s">
        <v>11754</v>
      </c>
      <c r="BS1723">
        <v>30</v>
      </c>
      <c r="BW1723" t="str">
        <f>""</f>
        <v/>
      </c>
      <c r="CH1723" t="str">
        <f>""</f>
        <v/>
      </c>
      <c r="CS1723" t="str">
        <f>""</f>
        <v/>
      </c>
    </row>
    <row r="1724" spans="1:97" x14ac:dyDescent="0.25">
      <c r="A1724" t="s">
        <v>6687</v>
      </c>
      <c r="B1724" t="s">
        <v>11755</v>
      </c>
      <c r="E1724" t="s">
        <v>11756</v>
      </c>
      <c r="F1724" t="s">
        <v>108</v>
      </c>
      <c r="H1724" t="s">
        <v>11757</v>
      </c>
      <c r="I1724" t="s">
        <v>390</v>
      </c>
      <c r="J1724" t="s">
        <v>111</v>
      </c>
      <c r="K1724" t="str">
        <f>"85018"</f>
        <v>85018</v>
      </c>
      <c r="L1724" t="s">
        <v>1518</v>
      </c>
      <c r="M1724" t="s">
        <v>11757</v>
      </c>
      <c r="N1724" t="s">
        <v>390</v>
      </c>
      <c r="O1724" t="s">
        <v>111</v>
      </c>
      <c r="P1724" t="str">
        <f>"85018-6006"</f>
        <v>85018-6006</v>
      </c>
      <c r="Q1724" t="s">
        <v>113</v>
      </c>
      <c r="R1724" t="str">
        <f>"127-02-023-A"</f>
        <v>127-02-023-A</v>
      </c>
      <c r="S1724" t="s">
        <v>11758</v>
      </c>
      <c r="T1724" t="s">
        <v>11759</v>
      </c>
      <c r="U1724">
        <v>2601</v>
      </c>
      <c r="V1724">
        <v>0</v>
      </c>
      <c r="W1724">
        <v>2</v>
      </c>
      <c r="X1724">
        <v>1957</v>
      </c>
      <c r="Z1724">
        <v>1</v>
      </c>
      <c r="AA1724" t="s">
        <v>26</v>
      </c>
      <c r="AB1724">
        <v>0</v>
      </c>
      <c r="AC1724" t="s">
        <v>115</v>
      </c>
      <c r="AD1724">
        <v>2</v>
      </c>
      <c r="AE1724" t="s">
        <v>115</v>
      </c>
      <c r="AF1724">
        <v>0</v>
      </c>
      <c r="AG1724">
        <v>0</v>
      </c>
      <c r="AH1724" t="s">
        <v>116</v>
      </c>
      <c r="AI1724" s="1">
        <v>61584</v>
      </c>
      <c r="AJ1724" s="2">
        <v>0.1</v>
      </c>
      <c r="AK1724" s="1">
        <v>626939</v>
      </c>
      <c r="AL1724" t="s">
        <v>117</v>
      </c>
      <c r="AM1724" t="s">
        <v>1302</v>
      </c>
      <c r="AN1724">
        <v>9520</v>
      </c>
      <c r="AO1724">
        <v>0.22</v>
      </c>
      <c r="AP1724">
        <v>1</v>
      </c>
      <c r="AR1724">
        <v>1</v>
      </c>
      <c r="AS1724" s="1">
        <v>49150</v>
      </c>
      <c r="AT1724" s="1">
        <v>9830</v>
      </c>
      <c r="AU1724" s="1">
        <v>39320</v>
      </c>
      <c r="AV1724">
        <v>80</v>
      </c>
      <c r="AX1724" s="1">
        <v>2818.32</v>
      </c>
      <c r="AY1724" t="s">
        <v>8347</v>
      </c>
      <c r="AZ1724" t="s">
        <v>8348</v>
      </c>
      <c r="BA1724" t="s">
        <v>8349</v>
      </c>
      <c r="BE1724" s="3">
        <v>42475</v>
      </c>
      <c r="BF1724" s="1">
        <v>515000</v>
      </c>
      <c r="BG1724" t="s">
        <v>11760</v>
      </c>
      <c r="BH1724" s="1">
        <v>198</v>
      </c>
      <c r="BI1724" s="1">
        <v>487000</v>
      </c>
      <c r="BJ1724" s="3">
        <v>42695</v>
      </c>
      <c r="BK1724" t="s">
        <v>123</v>
      </c>
      <c r="BL1724" t="str">
        <f>"2016.856656"</f>
        <v>2016.856656</v>
      </c>
      <c r="BM1724" t="s">
        <v>1201</v>
      </c>
      <c r="BO1724" t="s">
        <v>11761</v>
      </c>
      <c r="BS1724">
        <v>30</v>
      </c>
      <c r="BT1724" s="1">
        <v>78355</v>
      </c>
      <c r="BU1724" s="3">
        <v>43060</v>
      </c>
      <c r="BW1724" t="str">
        <f>"2017.867577"</f>
        <v>2017.867577</v>
      </c>
      <c r="BX1724" t="s">
        <v>654</v>
      </c>
      <c r="BZ1724" t="s">
        <v>11761</v>
      </c>
      <c r="CC1724" t="s">
        <v>1633</v>
      </c>
      <c r="CD1724">
        <v>30</v>
      </c>
      <c r="CH1724" t="str">
        <f>""</f>
        <v/>
      </c>
      <c r="CS1724" t="str">
        <f>""</f>
        <v/>
      </c>
    </row>
    <row r="1725" spans="1:97" x14ac:dyDescent="0.25">
      <c r="A1725" t="s">
        <v>11762</v>
      </c>
      <c r="B1725" t="s">
        <v>11763</v>
      </c>
      <c r="C1725" t="s">
        <v>11764</v>
      </c>
      <c r="D1725" t="s">
        <v>641</v>
      </c>
      <c r="E1725" t="s">
        <v>11765</v>
      </c>
      <c r="F1725" t="s">
        <v>108</v>
      </c>
      <c r="H1725" t="s">
        <v>11766</v>
      </c>
      <c r="I1725" t="s">
        <v>390</v>
      </c>
      <c r="J1725" t="s">
        <v>111</v>
      </c>
      <c r="K1725" t="str">
        <f>"85043"</f>
        <v>85043</v>
      </c>
      <c r="L1725" t="s">
        <v>7339</v>
      </c>
      <c r="M1725" t="s">
        <v>11766</v>
      </c>
      <c r="N1725" t="s">
        <v>390</v>
      </c>
      <c r="O1725" t="s">
        <v>111</v>
      </c>
      <c r="P1725" t="str">
        <f>"85043-7418"</f>
        <v>85043-7418</v>
      </c>
      <c r="Q1725" t="s">
        <v>113</v>
      </c>
      <c r="R1725" t="str">
        <f>"104-33-525"</f>
        <v>104-33-525</v>
      </c>
      <c r="S1725" t="s">
        <v>11767</v>
      </c>
      <c r="T1725" t="s">
        <v>11767</v>
      </c>
      <c r="U1725">
        <v>2552</v>
      </c>
      <c r="V1725">
        <v>0</v>
      </c>
      <c r="W1725">
        <v>4</v>
      </c>
      <c r="X1725">
        <v>2000</v>
      </c>
      <c r="Z1725">
        <v>2</v>
      </c>
      <c r="AB1725">
        <v>0</v>
      </c>
      <c r="AC1725" t="s">
        <v>115</v>
      </c>
      <c r="AD1725">
        <v>3</v>
      </c>
      <c r="AE1725" t="s">
        <v>115</v>
      </c>
      <c r="AF1725">
        <v>0</v>
      </c>
      <c r="AG1725">
        <v>0</v>
      </c>
      <c r="AH1725" t="s">
        <v>116</v>
      </c>
      <c r="AI1725" s="1">
        <v>58095</v>
      </c>
      <c r="AJ1725" s="2">
        <v>0.21</v>
      </c>
      <c r="AK1725" s="1">
        <v>272610</v>
      </c>
      <c r="AL1725" t="s">
        <v>117</v>
      </c>
      <c r="AM1725" t="s">
        <v>1302</v>
      </c>
      <c r="AN1725">
        <v>7800</v>
      </c>
      <c r="AO1725">
        <v>0.18</v>
      </c>
      <c r="AP1725">
        <v>1</v>
      </c>
      <c r="AR1725">
        <v>1</v>
      </c>
      <c r="AS1725" s="1">
        <v>18600</v>
      </c>
      <c r="AT1725" s="1">
        <v>3720</v>
      </c>
      <c r="AU1725" s="1">
        <v>14880</v>
      </c>
      <c r="AV1725">
        <v>80</v>
      </c>
      <c r="AX1725" s="1">
        <v>1487.44</v>
      </c>
      <c r="AY1725" t="s">
        <v>11768</v>
      </c>
      <c r="AZ1725" t="s">
        <v>11769</v>
      </c>
      <c r="BA1725" t="s">
        <v>5371</v>
      </c>
      <c r="BE1725" s="3">
        <v>42552</v>
      </c>
      <c r="BF1725" s="1">
        <v>210000</v>
      </c>
      <c r="BG1725" t="s">
        <v>11770</v>
      </c>
      <c r="BH1725" s="1">
        <v>82.29</v>
      </c>
      <c r="BI1725" s="1">
        <v>214515</v>
      </c>
      <c r="BJ1725" s="3">
        <v>42552</v>
      </c>
      <c r="BK1725" t="s">
        <v>123</v>
      </c>
      <c r="BL1725" t="str">
        <f>"2016.465857"</f>
        <v>2016.465857</v>
      </c>
      <c r="BM1725" t="s">
        <v>135</v>
      </c>
      <c r="BO1725" t="s">
        <v>11771</v>
      </c>
      <c r="BP1725" t="s">
        <v>11772</v>
      </c>
      <c r="BS1725">
        <v>30</v>
      </c>
      <c r="BW1725" t="str">
        <f>""</f>
        <v/>
      </c>
      <c r="CH1725" t="str">
        <f>""</f>
        <v/>
      </c>
      <c r="CS1725" t="str">
        <f>""</f>
        <v/>
      </c>
    </row>
    <row r="1726" spans="1:97" x14ac:dyDescent="0.25">
      <c r="A1726" t="s">
        <v>2123</v>
      </c>
      <c r="B1726" t="s">
        <v>11773</v>
      </c>
      <c r="E1726" t="s">
        <v>11774</v>
      </c>
      <c r="F1726" t="s">
        <v>108</v>
      </c>
      <c r="H1726" t="s">
        <v>11775</v>
      </c>
      <c r="I1726" t="s">
        <v>390</v>
      </c>
      <c r="J1726" t="s">
        <v>111</v>
      </c>
      <c r="K1726" t="str">
        <f>"85050"</f>
        <v>85050</v>
      </c>
      <c r="L1726" t="s">
        <v>9368</v>
      </c>
      <c r="M1726" t="s">
        <v>11775</v>
      </c>
      <c r="N1726" t="s">
        <v>390</v>
      </c>
      <c r="O1726" t="s">
        <v>111</v>
      </c>
      <c r="P1726" t="str">
        <f>"85050-8389"</f>
        <v>85050-8389</v>
      </c>
      <c r="Q1726" t="s">
        <v>113</v>
      </c>
      <c r="R1726" t="str">
        <f>"212-39-737"</f>
        <v>212-39-737</v>
      </c>
      <c r="S1726" t="s">
        <v>11776</v>
      </c>
      <c r="T1726" t="s">
        <v>11777</v>
      </c>
      <c r="U1726">
        <v>3959</v>
      </c>
      <c r="V1726">
        <v>0</v>
      </c>
      <c r="W1726">
        <v>6</v>
      </c>
      <c r="X1726">
        <v>2011</v>
      </c>
      <c r="Z1726">
        <v>2</v>
      </c>
      <c r="AA1726" t="s">
        <v>26</v>
      </c>
      <c r="AB1726">
        <v>0</v>
      </c>
      <c r="AC1726" t="s">
        <v>115</v>
      </c>
      <c r="AD1726">
        <v>3</v>
      </c>
      <c r="AE1726" t="s">
        <v>115</v>
      </c>
      <c r="AF1726">
        <v>0</v>
      </c>
      <c r="AG1726">
        <v>0</v>
      </c>
      <c r="AH1726" t="s">
        <v>116</v>
      </c>
      <c r="AI1726" s="1">
        <v>157472</v>
      </c>
      <c r="AJ1726" s="2">
        <v>0.21</v>
      </c>
      <c r="AK1726" s="1">
        <v>750472</v>
      </c>
      <c r="AL1726" t="s">
        <v>117</v>
      </c>
      <c r="AM1726" t="s">
        <v>191</v>
      </c>
      <c r="AN1726">
        <v>8205</v>
      </c>
      <c r="AO1726">
        <v>0.19</v>
      </c>
      <c r="AR1726">
        <v>1</v>
      </c>
      <c r="AS1726" s="1">
        <v>58210</v>
      </c>
      <c r="AT1726" s="1">
        <v>11640</v>
      </c>
      <c r="AU1726" s="1">
        <v>46570</v>
      </c>
      <c r="AV1726">
        <v>80</v>
      </c>
      <c r="AX1726" s="1">
        <v>5619.78</v>
      </c>
      <c r="AY1726" t="s">
        <v>11778</v>
      </c>
      <c r="AZ1726" t="s">
        <v>6352</v>
      </c>
      <c r="BA1726" t="s">
        <v>762</v>
      </c>
      <c r="BE1726" s="3">
        <v>42179</v>
      </c>
      <c r="BF1726" s="1">
        <v>640000</v>
      </c>
      <c r="BG1726" t="s">
        <v>11779</v>
      </c>
      <c r="BH1726" s="1">
        <v>161.66</v>
      </c>
      <c r="BI1726" s="1">
        <v>593000</v>
      </c>
      <c r="BJ1726" s="3">
        <v>42179</v>
      </c>
      <c r="BK1726" t="s">
        <v>123</v>
      </c>
      <c r="BL1726" t="str">
        <f>"2015.450020"</f>
        <v>2015.450020</v>
      </c>
      <c r="BM1726" t="s">
        <v>124</v>
      </c>
      <c r="BO1726" t="s">
        <v>11780</v>
      </c>
      <c r="BS1726">
        <v>30</v>
      </c>
      <c r="BW1726" t="str">
        <f>""</f>
        <v/>
      </c>
      <c r="CH1726" t="str">
        <f>""</f>
        <v/>
      </c>
      <c r="CS1726" t="str">
        <f>""</f>
        <v/>
      </c>
    </row>
    <row r="1727" spans="1:97" x14ac:dyDescent="0.25">
      <c r="A1727" t="s">
        <v>2374</v>
      </c>
      <c r="B1727" t="s">
        <v>3943</v>
      </c>
      <c r="E1727" t="s">
        <v>11781</v>
      </c>
      <c r="F1727" t="s">
        <v>139</v>
      </c>
      <c r="H1727" t="s">
        <v>11782</v>
      </c>
      <c r="I1727" t="s">
        <v>1936</v>
      </c>
      <c r="J1727" t="s">
        <v>111</v>
      </c>
      <c r="K1727" t="str">
        <f>"85250"</f>
        <v>85250</v>
      </c>
      <c r="L1727" t="s">
        <v>5138</v>
      </c>
      <c r="M1727" t="s">
        <v>11783</v>
      </c>
      <c r="N1727" t="s">
        <v>1936</v>
      </c>
      <c r="O1727" t="s">
        <v>111</v>
      </c>
      <c r="P1727" t="str">
        <f>"85261-5962"</f>
        <v>85261-5962</v>
      </c>
      <c r="Q1727" t="s">
        <v>113</v>
      </c>
      <c r="R1727" t="str">
        <f>"173-68-124"</f>
        <v>173-68-124</v>
      </c>
      <c r="S1727" t="s">
        <v>11784</v>
      </c>
      <c r="T1727" t="s">
        <v>7030</v>
      </c>
      <c r="U1727">
        <v>1260</v>
      </c>
      <c r="V1727">
        <v>0</v>
      </c>
      <c r="W1727">
        <v>2</v>
      </c>
      <c r="X1727">
        <v>1961</v>
      </c>
      <c r="Z1727">
        <v>1</v>
      </c>
      <c r="AB1727">
        <v>0</v>
      </c>
      <c r="AC1727" t="s">
        <v>115</v>
      </c>
      <c r="AD1727">
        <v>1</v>
      </c>
      <c r="AE1727" t="s">
        <v>115</v>
      </c>
      <c r="AF1727">
        <v>0</v>
      </c>
      <c r="AG1727">
        <v>0</v>
      </c>
      <c r="AH1727" t="s">
        <v>116</v>
      </c>
      <c r="AI1727" s="1">
        <v>92670</v>
      </c>
      <c r="AJ1727" s="2">
        <v>0.3</v>
      </c>
      <c r="AK1727" s="1">
        <v>312670</v>
      </c>
      <c r="AL1727" t="s">
        <v>117</v>
      </c>
      <c r="AM1727" t="s">
        <v>393</v>
      </c>
      <c r="AN1727">
        <v>6382</v>
      </c>
      <c r="AO1727">
        <v>0.15</v>
      </c>
      <c r="AP1727">
        <v>1</v>
      </c>
      <c r="AR1727">
        <v>1</v>
      </c>
      <c r="AS1727" s="1">
        <v>20660</v>
      </c>
      <c r="AT1727" s="1">
        <v>4130</v>
      </c>
      <c r="AU1727" s="1">
        <v>16530</v>
      </c>
      <c r="AV1727">
        <v>80.010000000000005</v>
      </c>
      <c r="AX1727" s="1">
        <v>1062.7</v>
      </c>
      <c r="AY1727" t="s">
        <v>11099</v>
      </c>
      <c r="AZ1727" t="s">
        <v>6975</v>
      </c>
      <c r="BA1727" t="s">
        <v>6976</v>
      </c>
      <c r="BE1727" s="3">
        <v>41751</v>
      </c>
      <c r="BF1727" s="1">
        <v>200000</v>
      </c>
      <c r="BG1727" t="s">
        <v>11785</v>
      </c>
      <c r="BH1727" s="1">
        <v>158.72999999999999</v>
      </c>
      <c r="BI1727" s="1">
        <v>220000</v>
      </c>
      <c r="BJ1727" s="3">
        <v>42466</v>
      </c>
      <c r="BK1727" t="s">
        <v>123</v>
      </c>
      <c r="BL1727" t="str">
        <f>"2016.226190"</f>
        <v>2016.226190</v>
      </c>
      <c r="BM1727" t="s">
        <v>3810</v>
      </c>
      <c r="BO1727" t="s">
        <v>11786</v>
      </c>
      <c r="BS1727">
        <v>30</v>
      </c>
      <c r="BW1727" t="str">
        <f>""</f>
        <v/>
      </c>
      <c r="CH1727" t="str">
        <f>""</f>
        <v/>
      </c>
      <c r="CS1727" t="str">
        <f>""</f>
        <v/>
      </c>
    </row>
    <row r="1728" spans="1:97" x14ac:dyDescent="0.25">
      <c r="A1728" t="s">
        <v>1109</v>
      </c>
      <c r="B1728" t="s">
        <v>4214</v>
      </c>
      <c r="E1728" t="s">
        <v>11787</v>
      </c>
      <c r="F1728" t="s">
        <v>108</v>
      </c>
      <c r="H1728" t="s">
        <v>11788</v>
      </c>
      <c r="I1728" t="s">
        <v>5114</v>
      </c>
      <c r="J1728" t="s">
        <v>111</v>
      </c>
      <c r="K1728" t="str">
        <f>"85392"</f>
        <v>85392</v>
      </c>
      <c r="L1728" t="s">
        <v>6333</v>
      </c>
      <c r="M1728" t="s">
        <v>11788</v>
      </c>
      <c r="N1728" t="s">
        <v>5114</v>
      </c>
      <c r="O1728" t="s">
        <v>111</v>
      </c>
      <c r="P1728" t="str">
        <f>"85392-6737"</f>
        <v>85392-6737</v>
      </c>
      <c r="Q1728" t="s">
        <v>113</v>
      </c>
      <c r="R1728" t="str">
        <f>"508-03-013"</f>
        <v>508-03-013</v>
      </c>
      <c r="S1728" t="s">
        <v>11789</v>
      </c>
      <c r="T1728" t="s">
        <v>11789</v>
      </c>
      <c r="U1728">
        <v>2011</v>
      </c>
      <c r="V1728">
        <v>0</v>
      </c>
      <c r="W1728">
        <v>3</v>
      </c>
      <c r="X1728">
        <v>2002</v>
      </c>
      <c r="Z1728">
        <v>1</v>
      </c>
      <c r="AA1728" t="s">
        <v>26</v>
      </c>
      <c r="AB1728">
        <v>0</v>
      </c>
      <c r="AC1728" t="s">
        <v>115</v>
      </c>
      <c r="AD1728">
        <v>3</v>
      </c>
      <c r="AE1728" t="s">
        <v>115</v>
      </c>
      <c r="AF1728">
        <v>0</v>
      </c>
      <c r="AG1728">
        <v>0</v>
      </c>
      <c r="AH1728" t="s">
        <v>116</v>
      </c>
      <c r="AI1728" s="1">
        <v>51416</v>
      </c>
      <c r="AJ1728" s="2">
        <v>0.17</v>
      </c>
      <c r="AK1728" s="1">
        <v>306416</v>
      </c>
      <c r="AL1728" t="s">
        <v>117</v>
      </c>
      <c r="AM1728" t="s">
        <v>118</v>
      </c>
      <c r="AN1728">
        <v>10319</v>
      </c>
      <c r="AO1728">
        <v>0.24</v>
      </c>
      <c r="AP1728">
        <v>1</v>
      </c>
      <c r="AR1728">
        <v>1</v>
      </c>
      <c r="AS1728" s="1">
        <v>22320</v>
      </c>
      <c r="AT1728" s="1">
        <v>4460</v>
      </c>
      <c r="AU1728" s="1">
        <v>17860</v>
      </c>
      <c r="AV1728">
        <v>80.02</v>
      </c>
      <c r="AX1728" s="1">
        <v>1737.6</v>
      </c>
      <c r="AY1728" t="s">
        <v>6700</v>
      </c>
      <c r="AZ1728" t="s">
        <v>6701</v>
      </c>
      <c r="BA1728" t="s">
        <v>6702</v>
      </c>
      <c r="BE1728" s="3">
        <v>42265</v>
      </c>
      <c r="BF1728" s="1">
        <v>255000</v>
      </c>
      <c r="BG1728" t="s">
        <v>11790</v>
      </c>
      <c r="BH1728" s="1">
        <v>126.8</v>
      </c>
      <c r="BI1728" s="1">
        <v>255000</v>
      </c>
      <c r="BJ1728" s="3">
        <v>42265</v>
      </c>
      <c r="BK1728" t="s">
        <v>123</v>
      </c>
      <c r="BL1728" t="str">
        <f>"2015.675649"</f>
        <v>2015.675649</v>
      </c>
      <c r="BM1728" t="s">
        <v>709</v>
      </c>
      <c r="BN1728" t="s">
        <v>11791</v>
      </c>
      <c r="BO1728" t="s">
        <v>11792</v>
      </c>
      <c r="BP1728" t="s">
        <v>11793</v>
      </c>
      <c r="BS1728">
        <v>30</v>
      </c>
      <c r="BW1728" t="str">
        <f>""</f>
        <v/>
      </c>
      <c r="CH1728" t="str">
        <f>""</f>
        <v/>
      </c>
      <c r="CS1728" t="str">
        <f>""</f>
        <v/>
      </c>
    </row>
    <row r="1729" spans="1:97" x14ac:dyDescent="0.25">
      <c r="A1729" t="s">
        <v>11794</v>
      </c>
      <c r="B1729" t="s">
        <v>106</v>
      </c>
      <c r="C1729" t="s">
        <v>346</v>
      </c>
      <c r="D1729" t="s">
        <v>11795</v>
      </c>
      <c r="E1729" t="s">
        <v>11796</v>
      </c>
      <c r="F1729" t="s">
        <v>108</v>
      </c>
      <c r="H1729" t="s">
        <v>11797</v>
      </c>
      <c r="I1729" t="s">
        <v>110</v>
      </c>
      <c r="J1729" t="s">
        <v>111</v>
      </c>
      <c r="K1729" t="str">
        <f>"85249"</f>
        <v>85249</v>
      </c>
      <c r="L1729" t="s">
        <v>6529</v>
      </c>
      <c r="M1729" t="s">
        <v>11797</v>
      </c>
      <c r="N1729" t="s">
        <v>110</v>
      </c>
      <c r="O1729" t="s">
        <v>111</v>
      </c>
      <c r="P1729" t="str">
        <f>"85249-9653"</f>
        <v>85249-9653</v>
      </c>
      <c r="Q1729" t="s">
        <v>113</v>
      </c>
      <c r="R1729" t="str">
        <f>"304-82-203"</f>
        <v>304-82-203</v>
      </c>
      <c r="S1729" t="s">
        <v>11798</v>
      </c>
      <c r="T1729" t="s">
        <v>11798</v>
      </c>
      <c r="U1729">
        <v>2685</v>
      </c>
      <c r="V1729">
        <v>0</v>
      </c>
      <c r="W1729">
        <v>4</v>
      </c>
      <c r="X1729">
        <v>2002</v>
      </c>
      <c r="Z1729">
        <v>1</v>
      </c>
      <c r="AA1729" t="s">
        <v>26</v>
      </c>
      <c r="AB1729">
        <v>0</v>
      </c>
      <c r="AC1729" t="s">
        <v>115</v>
      </c>
      <c r="AD1729">
        <v>3</v>
      </c>
      <c r="AE1729" t="s">
        <v>115</v>
      </c>
      <c r="AF1729">
        <v>0</v>
      </c>
      <c r="AG1729">
        <v>0</v>
      </c>
      <c r="AH1729" t="s">
        <v>116</v>
      </c>
      <c r="AI1729" s="1">
        <v>104266</v>
      </c>
      <c r="AJ1729" s="2">
        <v>0.23</v>
      </c>
      <c r="AK1729" s="1">
        <v>450321</v>
      </c>
      <c r="AL1729" t="s">
        <v>117</v>
      </c>
      <c r="AM1729" t="s">
        <v>118</v>
      </c>
      <c r="AN1729">
        <v>8400</v>
      </c>
      <c r="AO1729">
        <v>0.19</v>
      </c>
      <c r="AP1729">
        <v>1</v>
      </c>
      <c r="AR1729">
        <v>1</v>
      </c>
      <c r="AS1729" s="1">
        <v>34100</v>
      </c>
      <c r="AT1729" s="1">
        <v>6820</v>
      </c>
      <c r="AU1729" s="1">
        <v>27280</v>
      </c>
      <c r="AV1729">
        <v>80</v>
      </c>
      <c r="AX1729" s="1">
        <v>2895.04</v>
      </c>
      <c r="AY1729" t="s">
        <v>3699</v>
      </c>
      <c r="AZ1729" t="s">
        <v>273</v>
      </c>
      <c r="BA1729" t="s">
        <v>274</v>
      </c>
      <c r="BB1729" s="3">
        <v>43340</v>
      </c>
      <c r="BC1729" s="1">
        <v>0</v>
      </c>
      <c r="BD1729" t="s">
        <v>247</v>
      </c>
      <c r="BE1729" s="3">
        <v>42055</v>
      </c>
      <c r="BF1729" s="1">
        <v>335000</v>
      </c>
      <c r="BG1729" t="s">
        <v>11799</v>
      </c>
      <c r="BH1729" s="1">
        <v>124.77</v>
      </c>
      <c r="BI1729" s="1">
        <v>346055</v>
      </c>
      <c r="BJ1729" s="3">
        <v>42055</v>
      </c>
      <c r="BK1729" t="s">
        <v>123</v>
      </c>
      <c r="BL1729" t="str">
        <f>"2015.110987"</f>
        <v>2015.110987</v>
      </c>
      <c r="BM1729" t="s">
        <v>4014</v>
      </c>
      <c r="BN1729" t="s">
        <v>2081</v>
      </c>
      <c r="BO1729" t="s">
        <v>11800</v>
      </c>
      <c r="BS1729">
        <v>30</v>
      </c>
      <c r="BW1729" t="str">
        <f>""</f>
        <v/>
      </c>
      <c r="CH1729" t="str">
        <f>""</f>
        <v/>
      </c>
      <c r="CS1729" t="str">
        <f>""</f>
        <v/>
      </c>
    </row>
    <row r="1730" spans="1:97" x14ac:dyDescent="0.25">
      <c r="A1730" t="s">
        <v>2729</v>
      </c>
      <c r="B1730" t="s">
        <v>11801</v>
      </c>
      <c r="C1730" t="s">
        <v>3464</v>
      </c>
      <c r="D1730" t="s">
        <v>11802</v>
      </c>
      <c r="E1730" t="s">
        <v>11803</v>
      </c>
      <c r="F1730" t="s">
        <v>108</v>
      </c>
      <c r="H1730" t="s">
        <v>11804</v>
      </c>
      <c r="I1730" t="s">
        <v>5863</v>
      </c>
      <c r="J1730" t="s">
        <v>111</v>
      </c>
      <c r="K1730" t="str">
        <f>"85375"</f>
        <v>85375</v>
      </c>
      <c r="L1730" t="s">
        <v>5606</v>
      </c>
      <c r="M1730" t="s">
        <v>11804</v>
      </c>
      <c r="N1730" t="s">
        <v>5863</v>
      </c>
      <c r="O1730" t="s">
        <v>111</v>
      </c>
      <c r="P1730" t="str">
        <f>"85375-2250"</f>
        <v>85375-2250</v>
      </c>
      <c r="Q1730" t="s">
        <v>113</v>
      </c>
      <c r="R1730" t="str">
        <f>"232-25-319"</f>
        <v>232-25-319</v>
      </c>
      <c r="S1730" t="s">
        <v>7810</v>
      </c>
      <c r="U1730">
        <v>1824</v>
      </c>
      <c r="V1730">
        <v>0</v>
      </c>
      <c r="W1730">
        <v>3</v>
      </c>
      <c r="X1730">
        <v>1996</v>
      </c>
      <c r="Z1730">
        <v>1</v>
      </c>
      <c r="AB1730">
        <v>0</v>
      </c>
      <c r="AC1730" t="s">
        <v>115</v>
      </c>
      <c r="AD1730">
        <v>2</v>
      </c>
      <c r="AE1730" t="s">
        <v>115</v>
      </c>
      <c r="AF1730">
        <v>0</v>
      </c>
      <c r="AG1730">
        <v>0</v>
      </c>
      <c r="AH1730" t="s">
        <v>116</v>
      </c>
      <c r="AI1730" s="1">
        <v>84374</v>
      </c>
      <c r="AJ1730" s="2">
        <v>0.28999999999999998</v>
      </c>
      <c r="AK1730" s="1">
        <v>288494</v>
      </c>
      <c r="AL1730" t="s">
        <v>117</v>
      </c>
      <c r="AM1730" t="s">
        <v>191</v>
      </c>
      <c r="AN1730">
        <v>7150</v>
      </c>
      <c r="AO1730">
        <v>0.16</v>
      </c>
      <c r="AP1730">
        <v>1</v>
      </c>
      <c r="AR1730">
        <v>1</v>
      </c>
      <c r="AS1730" s="1">
        <v>19270</v>
      </c>
      <c r="AT1730" s="1">
        <v>3850</v>
      </c>
      <c r="AU1730" s="1">
        <v>15420</v>
      </c>
      <c r="AV1730">
        <v>80.02</v>
      </c>
      <c r="AX1730" s="1">
        <v>2313.08</v>
      </c>
      <c r="AY1730" t="s">
        <v>5108</v>
      </c>
      <c r="AZ1730" t="s">
        <v>5108</v>
      </c>
      <c r="BA1730" t="s">
        <v>5109</v>
      </c>
      <c r="BE1730" s="3">
        <v>42534</v>
      </c>
      <c r="BF1730" s="1">
        <v>224000</v>
      </c>
      <c r="BG1730" t="s">
        <v>11805</v>
      </c>
      <c r="BH1730" s="1">
        <v>122.81</v>
      </c>
      <c r="BI1730" s="1">
        <v>204120</v>
      </c>
      <c r="BJ1730" s="3">
        <v>42534</v>
      </c>
      <c r="BK1730" t="s">
        <v>123</v>
      </c>
      <c r="BL1730" t="str">
        <f>"2016.407979"</f>
        <v>2016.407979</v>
      </c>
      <c r="BM1730" t="s">
        <v>2716</v>
      </c>
      <c r="BO1730" t="s">
        <v>11806</v>
      </c>
      <c r="BP1730" t="s">
        <v>11807</v>
      </c>
      <c r="BS1730">
        <v>30</v>
      </c>
      <c r="BW1730" t="str">
        <f>""</f>
        <v/>
      </c>
      <c r="CH1730" t="str">
        <f>""</f>
        <v/>
      </c>
      <c r="CS1730" t="str">
        <f>""</f>
        <v/>
      </c>
    </row>
    <row r="1731" spans="1:97" x14ac:dyDescent="0.25">
      <c r="A1731" t="s">
        <v>3613</v>
      </c>
      <c r="B1731" t="s">
        <v>659</v>
      </c>
      <c r="C1731" t="s">
        <v>220</v>
      </c>
      <c r="D1731" t="s">
        <v>659</v>
      </c>
      <c r="E1731" t="s">
        <v>11808</v>
      </c>
      <c r="F1731" t="s">
        <v>108</v>
      </c>
      <c r="H1731" t="s">
        <v>11809</v>
      </c>
      <c r="I1731" t="s">
        <v>188</v>
      </c>
      <c r="J1731" t="s">
        <v>111</v>
      </c>
      <c r="K1731" t="str">
        <f>"85142"</f>
        <v>85142</v>
      </c>
      <c r="L1731" t="s">
        <v>5893</v>
      </c>
      <c r="M1731" t="s">
        <v>11809</v>
      </c>
      <c r="N1731" t="s">
        <v>188</v>
      </c>
      <c r="O1731" t="s">
        <v>111</v>
      </c>
      <c r="P1731" t="str">
        <f>"85142-4829"</f>
        <v>85142-4829</v>
      </c>
      <c r="Q1731" t="s">
        <v>113</v>
      </c>
      <c r="R1731" t="str">
        <f>"314-04-713"</f>
        <v>314-04-713</v>
      </c>
      <c r="S1731" t="s">
        <v>5894</v>
      </c>
      <c r="T1731" t="s">
        <v>5894</v>
      </c>
      <c r="U1731">
        <v>1813</v>
      </c>
      <c r="V1731">
        <v>0</v>
      </c>
      <c r="W1731">
        <v>3</v>
      </c>
      <c r="X1731">
        <v>2015</v>
      </c>
      <c r="Z1731">
        <v>1</v>
      </c>
      <c r="AB1731">
        <v>0</v>
      </c>
      <c r="AC1731" t="s">
        <v>115</v>
      </c>
      <c r="AD1731">
        <v>2</v>
      </c>
      <c r="AE1731" t="s">
        <v>115</v>
      </c>
      <c r="AF1731">
        <v>0</v>
      </c>
      <c r="AG1731">
        <v>0</v>
      </c>
      <c r="AH1731" t="s">
        <v>116</v>
      </c>
      <c r="AI1731" s="1">
        <v>16643</v>
      </c>
      <c r="AJ1731" s="2">
        <v>0.05</v>
      </c>
      <c r="AK1731" s="1">
        <v>333739</v>
      </c>
      <c r="AL1731" t="s">
        <v>117</v>
      </c>
      <c r="AM1731" t="s">
        <v>191</v>
      </c>
      <c r="AN1731">
        <v>7703</v>
      </c>
      <c r="AO1731">
        <v>0.18</v>
      </c>
      <c r="AR1731">
        <v>1</v>
      </c>
      <c r="AS1731" s="1">
        <v>22630</v>
      </c>
      <c r="AT1731" s="1">
        <v>4520</v>
      </c>
      <c r="AU1731" s="1">
        <v>18110</v>
      </c>
      <c r="AV1731">
        <v>80.03</v>
      </c>
      <c r="AX1731" s="1">
        <v>1956.18</v>
      </c>
      <c r="AY1731" t="s">
        <v>5895</v>
      </c>
      <c r="AZ1731" t="s">
        <v>561</v>
      </c>
      <c r="BA1731" t="s">
        <v>194</v>
      </c>
      <c r="BE1731" s="3">
        <v>42417</v>
      </c>
      <c r="BF1731" s="1">
        <v>317096</v>
      </c>
      <c r="BG1731" t="s">
        <v>1079</v>
      </c>
      <c r="BH1731" s="1">
        <v>174.9</v>
      </c>
      <c r="BI1731" s="1">
        <v>317096</v>
      </c>
      <c r="BJ1731" s="3">
        <v>42417</v>
      </c>
      <c r="BK1731" t="s">
        <v>123</v>
      </c>
      <c r="BL1731" t="str">
        <f>"2016.100189"</f>
        <v>2016.100189</v>
      </c>
      <c r="BM1731" t="s">
        <v>1080</v>
      </c>
      <c r="BO1731" t="s">
        <v>11810</v>
      </c>
      <c r="BS1731">
        <v>30</v>
      </c>
      <c r="BW1731" t="str">
        <f>""</f>
        <v/>
      </c>
      <c r="CH1731" t="str">
        <f>""</f>
        <v/>
      </c>
      <c r="CS1731" t="str">
        <f>""</f>
        <v/>
      </c>
    </row>
    <row r="1732" spans="1:97" x14ac:dyDescent="0.25">
      <c r="A1732" t="s">
        <v>4098</v>
      </c>
      <c r="B1732" t="s">
        <v>1552</v>
      </c>
      <c r="C1732" t="s">
        <v>179</v>
      </c>
      <c r="D1732" t="s">
        <v>1552</v>
      </c>
      <c r="E1732" t="s">
        <v>11811</v>
      </c>
      <c r="F1732" t="s">
        <v>108</v>
      </c>
      <c r="H1732" t="s">
        <v>11812</v>
      </c>
      <c r="I1732" t="s">
        <v>225</v>
      </c>
      <c r="J1732" t="s">
        <v>111</v>
      </c>
      <c r="K1732" t="str">
        <f>"85207"</f>
        <v>85207</v>
      </c>
      <c r="L1732" t="s">
        <v>2211</v>
      </c>
      <c r="M1732" t="s">
        <v>11812</v>
      </c>
      <c r="N1732" t="s">
        <v>225</v>
      </c>
      <c r="O1732" t="s">
        <v>111</v>
      </c>
      <c r="P1732" t="str">
        <f>"85207-7234"</f>
        <v>85207-7234</v>
      </c>
      <c r="Q1732" t="s">
        <v>113</v>
      </c>
      <c r="R1732" t="str">
        <f>"220-14-079"</f>
        <v>220-14-079</v>
      </c>
      <c r="S1732" t="s">
        <v>11813</v>
      </c>
      <c r="T1732" t="s">
        <v>11813</v>
      </c>
      <c r="U1732">
        <v>2374</v>
      </c>
      <c r="V1732">
        <v>0</v>
      </c>
      <c r="W1732">
        <v>4</v>
      </c>
      <c r="X1732">
        <v>2003</v>
      </c>
      <c r="Z1732">
        <v>2</v>
      </c>
      <c r="AB1732">
        <v>0</v>
      </c>
      <c r="AC1732" t="s">
        <v>115</v>
      </c>
      <c r="AD1732">
        <v>3</v>
      </c>
      <c r="AE1732" t="s">
        <v>115</v>
      </c>
      <c r="AF1732">
        <v>0</v>
      </c>
      <c r="AG1732">
        <v>0</v>
      </c>
      <c r="AH1732" t="s">
        <v>116</v>
      </c>
      <c r="AI1732" s="1">
        <v>76860</v>
      </c>
      <c r="AJ1732" s="2">
        <v>0.24</v>
      </c>
      <c r="AK1732" s="1">
        <v>323850</v>
      </c>
      <c r="AL1732" t="s">
        <v>117</v>
      </c>
      <c r="AM1732" t="s">
        <v>191</v>
      </c>
      <c r="AN1732">
        <v>7500</v>
      </c>
      <c r="AO1732">
        <v>0.17</v>
      </c>
      <c r="AP1732">
        <v>1</v>
      </c>
      <c r="AR1732">
        <v>1</v>
      </c>
      <c r="AS1732" s="1">
        <v>21210</v>
      </c>
      <c r="AT1732" s="1">
        <v>4240</v>
      </c>
      <c r="AU1732" s="1">
        <v>16970</v>
      </c>
      <c r="AV1732">
        <v>80.010000000000005</v>
      </c>
      <c r="AX1732" s="1">
        <v>1475.22</v>
      </c>
      <c r="AY1732" t="s">
        <v>6572</v>
      </c>
      <c r="AZ1732" t="s">
        <v>3761</v>
      </c>
      <c r="BA1732" t="s">
        <v>232</v>
      </c>
      <c r="BE1732" s="3">
        <v>42278</v>
      </c>
      <c r="BF1732" s="1">
        <v>242000</v>
      </c>
      <c r="BG1732" t="s">
        <v>11814</v>
      </c>
      <c r="BH1732" s="1">
        <v>101.94</v>
      </c>
      <c r="BI1732" s="1">
        <v>246990</v>
      </c>
      <c r="BJ1732" s="3">
        <v>42731</v>
      </c>
      <c r="BK1732" t="s">
        <v>123</v>
      </c>
      <c r="BL1732" t="str">
        <f>"2016.951676"</f>
        <v>2016.951676</v>
      </c>
      <c r="BM1732" t="s">
        <v>425</v>
      </c>
      <c r="BO1732" t="s">
        <v>11815</v>
      </c>
      <c r="BS1732">
        <v>30</v>
      </c>
      <c r="BW1732" t="str">
        <f>""</f>
        <v/>
      </c>
      <c r="CH1732" t="str">
        <f>""</f>
        <v/>
      </c>
      <c r="CS1732" t="str">
        <f>""</f>
        <v/>
      </c>
    </row>
    <row r="1733" spans="1:97" x14ac:dyDescent="0.25">
      <c r="A1733" t="s">
        <v>6060</v>
      </c>
      <c r="B1733" t="s">
        <v>6643</v>
      </c>
      <c r="C1733" t="s">
        <v>1803</v>
      </c>
      <c r="D1733" t="s">
        <v>6643</v>
      </c>
      <c r="E1733" t="s">
        <v>11816</v>
      </c>
      <c r="F1733" t="s">
        <v>108</v>
      </c>
      <c r="H1733" t="s">
        <v>11817</v>
      </c>
      <c r="I1733" t="s">
        <v>453</v>
      </c>
      <c r="J1733" t="s">
        <v>111</v>
      </c>
      <c r="K1733" t="str">
        <f>"85381"</f>
        <v>85381</v>
      </c>
      <c r="L1733" t="s">
        <v>5606</v>
      </c>
      <c r="M1733" t="s">
        <v>11817</v>
      </c>
      <c r="N1733" t="s">
        <v>453</v>
      </c>
      <c r="O1733" t="s">
        <v>111</v>
      </c>
      <c r="P1733" t="str">
        <f>"85381-3703"</f>
        <v>85381-3703</v>
      </c>
      <c r="Q1733" t="s">
        <v>113</v>
      </c>
      <c r="R1733" t="str">
        <f>"200-61-488-A"</f>
        <v>200-61-488-A</v>
      </c>
      <c r="S1733" t="s">
        <v>11818</v>
      </c>
      <c r="T1733" t="s">
        <v>11819</v>
      </c>
      <c r="U1733">
        <v>2952</v>
      </c>
      <c r="V1733">
        <v>0</v>
      </c>
      <c r="W1733">
        <v>4</v>
      </c>
      <c r="X1733">
        <v>2007</v>
      </c>
      <c r="Z1733">
        <v>2</v>
      </c>
      <c r="AA1733" t="s">
        <v>26</v>
      </c>
      <c r="AB1733">
        <v>0</v>
      </c>
      <c r="AC1733" t="s">
        <v>115</v>
      </c>
      <c r="AD1733">
        <v>3</v>
      </c>
      <c r="AE1733" t="s">
        <v>115</v>
      </c>
      <c r="AF1733">
        <v>0</v>
      </c>
      <c r="AG1733">
        <v>0</v>
      </c>
      <c r="AH1733" t="s">
        <v>116</v>
      </c>
      <c r="AI1733" s="1">
        <v>73849</v>
      </c>
      <c r="AJ1733" s="2">
        <v>0.18</v>
      </c>
      <c r="AK1733" s="1">
        <v>404409</v>
      </c>
      <c r="AL1733" t="s">
        <v>117</v>
      </c>
      <c r="AM1733" t="s">
        <v>393</v>
      </c>
      <c r="AN1733">
        <v>7924</v>
      </c>
      <c r="AO1733">
        <v>0.18</v>
      </c>
      <c r="AP1733">
        <v>1</v>
      </c>
      <c r="AR1733">
        <v>1</v>
      </c>
      <c r="AS1733" s="1">
        <v>29730</v>
      </c>
      <c r="AT1733" s="1">
        <v>5940</v>
      </c>
      <c r="AU1733" s="1">
        <v>23790</v>
      </c>
      <c r="AV1733">
        <v>80.02</v>
      </c>
      <c r="AX1733" s="1">
        <v>2635.18</v>
      </c>
      <c r="AY1733" t="s">
        <v>5573</v>
      </c>
      <c r="AZ1733" t="s">
        <v>5573</v>
      </c>
      <c r="BA1733" t="s">
        <v>1800</v>
      </c>
      <c r="BE1733" s="3">
        <v>42157</v>
      </c>
      <c r="BF1733" s="1">
        <v>320000</v>
      </c>
      <c r="BG1733" t="s">
        <v>11820</v>
      </c>
      <c r="BH1733" s="1">
        <v>108.4</v>
      </c>
      <c r="BI1733" s="1">
        <v>330560</v>
      </c>
      <c r="BJ1733" s="3">
        <v>42157</v>
      </c>
      <c r="BK1733" t="s">
        <v>123</v>
      </c>
      <c r="BL1733" t="str">
        <f>"2015.393306"</f>
        <v>2015.393306</v>
      </c>
      <c r="BM1733" t="s">
        <v>131</v>
      </c>
      <c r="BO1733" t="s">
        <v>11821</v>
      </c>
      <c r="BS1733">
        <v>30</v>
      </c>
      <c r="BW1733" t="str">
        <f>""</f>
        <v/>
      </c>
      <c r="CH1733" t="str">
        <f>""</f>
        <v/>
      </c>
      <c r="CS1733" t="str">
        <f>""</f>
        <v/>
      </c>
    </row>
    <row r="1734" spans="1:97" x14ac:dyDescent="0.25">
      <c r="A1734" t="s">
        <v>11822</v>
      </c>
      <c r="B1734" t="s">
        <v>11823</v>
      </c>
      <c r="C1734" t="s">
        <v>11824</v>
      </c>
      <c r="D1734" t="s">
        <v>11825</v>
      </c>
      <c r="E1734" t="s">
        <v>11826</v>
      </c>
      <c r="F1734" t="s">
        <v>108</v>
      </c>
      <c r="H1734" t="s">
        <v>11827</v>
      </c>
      <c r="I1734" t="s">
        <v>453</v>
      </c>
      <c r="J1734" t="s">
        <v>111</v>
      </c>
      <c r="K1734" t="str">
        <f>"85382"</f>
        <v>85382</v>
      </c>
      <c r="L1734" t="s">
        <v>1796</v>
      </c>
      <c r="M1734" t="s">
        <v>11827</v>
      </c>
      <c r="N1734" t="s">
        <v>453</v>
      </c>
      <c r="O1734" t="s">
        <v>111</v>
      </c>
      <c r="P1734" t="str">
        <f>"85382-3840"</f>
        <v>85382-3840</v>
      </c>
      <c r="Q1734" t="s">
        <v>113</v>
      </c>
      <c r="R1734" t="str">
        <f>"200-53-141"</f>
        <v>200-53-141</v>
      </c>
      <c r="S1734" t="s">
        <v>11828</v>
      </c>
      <c r="T1734" t="s">
        <v>11828</v>
      </c>
      <c r="U1734">
        <v>2157</v>
      </c>
      <c r="V1734">
        <v>0</v>
      </c>
      <c r="W1734">
        <v>3</v>
      </c>
      <c r="X1734">
        <v>1998</v>
      </c>
      <c r="Z1734">
        <v>1</v>
      </c>
      <c r="AB1734">
        <v>0</v>
      </c>
      <c r="AC1734" t="s">
        <v>115</v>
      </c>
      <c r="AD1734">
        <v>3</v>
      </c>
      <c r="AE1734" t="s">
        <v>115</v>
      </c>
      <c r="AF1734">
        <v>0</v>
      </c>
      <c r="AG1734">
        <v>0</v>
      </c>
      <c r="AH1734" t="s">
        <v>116</v>
      </c>
      <c r="AI1734" s="1">
        <v>93753</v>
      </c>
      <c r="AJ1734" s="2">
        <v>0.28000000000000003</v>
      </c>
      <c r="AK1734" s="1">
        <v>339753</v>
      </c>
      <c r="AL1734" t="s">
        <v>117</v>
      </c>
      <c r="AM1734" t="s">
        <v>171</v>
      </c>
      <c r="AN1734">
        <v>9033</v>
      </c>
      <c r="AO1734">
        <v>0.21</v>
      </c>
      <c r="AP1734">
        <v>1</v>
      </c>
      <c r="AR1734">
        <v>1</v>
      </c>
      <c r="AS1734" s="1">
        <v>24100</v>
      </c>
      <c r="AT1734" s="1">
        <v>4820</v>
      </c>
      <c r="AU1734" s="1">
        <v>19280</v>
      </c>
      <c r="AV1734">
        <v>80</v>
      </c>
      <c r="AX1734" s="1">
        <v>1902.86</v>
      </c>
      <c r="AY1734" t="s">
        <v>1799</v>
      </c>
      <c r="AZ1734" t="s">
        <v>1799</v>
      </c>
      <c r="BA1734" t="s">
        <v>1800</v>
      </c>
      <c r="BE1734" s="3">
        <v>42139</v>
      </c>
      <c r="BF1734" s="1">
        <v>266000</v>
      </c>
      <c r="BG1734" t="s">
        <v>11829</v>
      </c>
      <c r="BH1734" s="1">
        <v>123.32</v>
      </c>
      <c r="BI1734" s="1">
        <v>246000</v>
      </c>
      <c r="BJ1734" s="3">
        <v>42139</v>
      </c>
      <c r="BK1734" t="s">
        <v>123</v>
      </c>
      <c r="BL1734" t="str">
        <f>"2015.342918"</f>
        <v>2015.342918</v>
      </c>
      <c r="BM1734" t="s">
        <v>6337</v>
      </c>
      <c r="BO1734" t="s">
        <v>11830</v>
      </c>
      <c r="BP1734" t="s">
        <v>11831</v>
      </c>
      <c r="BS1734">
        <v>20</v>
      </c>
      <c r="BW1734" t="str">
        <f>""</f>
        <v/>
      </c>
      <c r="CH1734" t="str">
        <f>""</f>
        <v/>
      </c>
      <c r="CS1734" t="str">
        <f>""</f>
        <v/>
      </c>
    </row>
    <row r="1735" spans="1:97" x14ac:dyDescent="0.25">
      <c r="A1735" t="s">
        <v>1963</v>
      </c>
      <c r="B1735" t="s">
        <v>5013</v>
      </c>
      <c r="C1735" t="s">
        <v>11832</v>
      </c>
      <c r="D1735" t="s">
        <v>5013</v>
      </c>
      <c r="E1735" t="s">
        <v>11833</v>
      </c>
      <c r="F1735" t="s">
        <v>108</v>
      </c>
      <c r="H1735" t="s">
        <v>11834</v>
      </c>
      <c r="I1735" t="s">
        <v>203</v>
      </c>
      <c r="J1735" t="s">
        <v>111</v>
      </c>
      <c r="K1735" t="str">
        <f>"85296"</f>
        <v>85296</v>
      </c>
      <c r="L1735" t="s">
        <v>9060</v>
      </c>
      <c r="M1735" t="s">
        <v>11834</v>
      </c>
      <c r="N1735" t="s">
        <v>203</v>
      </c>
      <c r="O1735" t="s">
        <v>111</v>
      </c>
      <c r="P1735" t="str">
        <f>"85296-9766"</f>
        <v>85296-9766</v>
      </c>
      <c r="Q1735" t="s">
        <v>113</v>
      </c>
      <c r="R1735" t="str">
        <f>"304-25-708"</f>
        <v>304-25-708</v>
      </c>
      <c r="S1735" t="s">
        <v>11835</v>
      </c>
      <c r="T1735" t="s">
        <v>9527</v>
      </c>
      <c r="U1735">
        <v>2240</v>
      </c>
      <c r="V1735">
        <v>0</v>
      </c>
      <c r="W1735">
        <v>3</v>
      </c>
      <c r="X1735">
        <v>1998</v>
      </c>
      <c r="Z1735">
        <v>1</v>
      </c>
      <c r="AA1735" t="s">
        <v>26</v>
      </c>
      <c r="AB1735">
        <v>0</v>
      </c>
      <c r="AC1735" t="s">
        <v>115</v>
      </c>
      <c r="AD1735">
        <v>3</v>
      </c>
      <c r="AE1735" t="s">
        <v>115</v>
      </c>
      <c r="AF1735">
        <v>0</v>
      </c>
      <c r="AG1735">
        <v>0</v>
      </c>
      <c r="AH1735" t="s">
        <v>116</v>
      </c>
      <c r="AI1735" s="1">
        <v>79349</v>
      </c>
      <c r="AJ1735" s="2">
        <v>0.21</v>
      </c>
      <c r="AK1735" s="1">
        <v>378357</v>
      </c>
      <c r="AL1735" t="s">
        <v>117</v>
      </c>
      <c r="AM1735" t="s">
        <v>393</v>
      </c>
      <c r="AN1735">
        <v>8991</v>
      </c>
      <c r="AO1735">
        <v>0.21</v>
      </c>
      <c r="AP1735">
        <v>1</v>
      </c>
      <c r="AR1735">
        <v>1</v>
      </c>
      <c r="AS1735" s="1">
        <v>28320</v>
      </c>
      <c r="AT1735" s="1">
        <v>5660</v>
      </c>
      <c r="AU1735" s="1">
        <v>22660</v>
      </c>
      <c r="AV1735">
        <v>80.010000000000005</v>
      </c>
      <c r="AX1735" s="1">
        <v>1997.68</v>
      </c>
      <c r="AY1735" t="s">
        <v>7837</v>
      </c>
      <c r="AZ1735" t="s">
        <v>207</v>
      </c>
      <c r="BA1735" t="s">
        <v>208</v>
      </c>
      <c r="BB1735" s="3">
        <v>42928</v>
      </c>
      <c r="BD1735" t="s">
        <v>157</v>
      </c>
      <c r="BE1735" s="3">
        <v>42466</v>
      </c>
      <c r="BF1735" s="1">
        <v>292000</v>
      </c>
      <c r="BG1735" t="s">
        <v>11836</v>
      </c>
      <c r="BH1735" s="1">
        <v>130.36000000000001</v>
      </c>
      <c r="BI1735" s="1">
        <v>299008</v>
      </c>
      <c r="BJ1735" s="3">
        <v>42466</v>
      </c>
      <c r="BK1735" t="s">
        <v>123</v>
      </c>
      <c r="BL1735" t="str">
        <f>"2016.226576"</f>
        <v>2016.226576</v>
      </c>
      <c r="BM1735" t="s">
        <v>9615</v>
      </c>
      <c r="BN1735" t="s">
        <v>11837</v>
      </c>
      <c r="BO1735" t="s">
        <v>11838</v>
      </c>
      <c r="BS1735">
        <v>30</v>
      </c>
      <c r="BW1735" t="str">
        <f>""</f>
        <v/>
      </c>
      <c r="CH1735" t="str">
        <f>""</f>
        <v/>
      </c>
      <c r="CS1735" t="str">
        <f>""</f>
        <v/>
      </c>
    </row>
    <row r="1736" spans="1:97" x14ac:dyDescent="0.25">
      <c r="A1736" t="s">
        <v>3613</v>
      </c>
      <c r="B1736" t="s">
        <v>2007</v>
      </c>
      <c r="C1736" t="s">
        <v>2693</v>
      </c>
      <c r="D1736" t="s">
        <v>2007</v>
      </c>
      <c r="E1736" t="s">
        <v>11839</v>
      </c>
      <c r="F1736" t="s">
        <v>108</v>
      </c>
      <c r="H1736" t="s">
        <v>11840</v>
      </c>
      <c r="I1736" t="s">
        <v>144</v>
      </c>
      <c r="J1736" t="s">
        <v>111</v>
      </c>
      <c r="K1736" t="str">
        <f>"85396"</f>
        <v>85396</v>
      </c>
      <c r="L1736" t="s">
        <v>1789</v>
      </c>
      <c r="M1736" t="s">
        <v>11840</v>
      </c>
      <c r="N1736" t="s">
        <v>144</v>
      </c>
      <c r="O1736" t="s">
        <v>111</v>
      </c>
      <c r="P1736" t="str">
        <f>"85396-3684"</f>
        <v>85396-3684</v>
      </c>
      <c r="Q1736" t="s">
        <v>113</v>
      </c>
      <c r="R1736" t="str">
        <f>"502-79-028"</f>
        <v>502-79-028</v>
      </c>
      <c r="S1736" t="s">
        <v>11841</v>
      </c>
      <c r="U1736">
        <v>2671</v>
      </c>
      <c r="V1736">
        <v>0</v>
      </c>
      <c r="W1736">
        <v>4</v>
      </c>
      <c r="X1736">
        <v>2005</v>
      </c>
      <c r="Z1736">
        <v>2</v>
      </c>
      <c r="AA1736" t="s">
        <v>26</v>
      </c>
      <c r="AB1736">
        <v>0</v>
      </c>
      <c r="AC1736" t="s">
        <v>115</v>
      </c>
      <c r="AD1736">
        <v>2</v>
      </c>
      <c r="AE1736" t="s">
        <v>115</v>
      </c>
      <c r="AF1736">
        <v>0</v>
      </c>
      <c r="AG1736">
        <v>0</v>
      </c>
      <c r="AH1736" t="s">
        <v>116</v>
      </c>
      <c r="AI1736" s="1">
        <v>87211</v>
      </c>
      <c r="AJ1736" s="2">
        <v>0.23</v>
      </c>
      <c r="AK1736" s="1">
        <v>385211</v>
      </c>
      <c r="AL1736" t="s">
        <v>117</v>
      </c>
      <c r="AM1736" t="s">
        <v>118</v>
      </c>
      <c r="AN1736">
        <v>7358</v>
      </c>
      <c r="AO1736">
        <v>0.17</v>
      </c>
      <c r="AR1736">
        <v>1</v>
      </c>
      <c r="AS1736" s="1">
        <v>27880</v>
      </c>
      <c r="AT1736" s="1">
        <v>5570</v>
      </c>
      <c r="AU1736" s="1">
        <v>22310</v>
      </c>
      <c r="AV1736">
        <v>80.02</v>
      </c>
      <c r="AX1736" s="1">
        <v>3491.84</v>
      </c>
      <c r="AY1736" t="s">
        <v>543</v>
      </c>
      <c r="AZ1736" t="s">
        <v>504</v>
      </c>
      <c r="BA1736" t="s">
        <v>218</v>
      </c>
      <c r="BE1736" s="3">
        <v>42247</v>
      </c>
      <c r="BF1736" s="1">
        <v>321500</v>
      </c>
      <c r="BG1736" t="s">
        <v>11842</v>
      </c>
      <c r="BH1736" s="1">
        <v>120.37</v>
      </c>
      <c r="BI1736" s="1">
        <v>298000</v>
      </c>
      <c r="BJ1736" s="3">
        <v>42247</v>
      </c>
      <c r="BK1736" t="s">
        <v>123</v>
      </c>
      <c r="BL1736" t="str">
        <f>"2015.631589"</f>
        <v>2015.631589</v>
      </c>
      <c r="BM1736" t="s">
        <v>4738</v>
      </c>
      <c r="BO1736" t="s">
        <v>11843</v>
      </c>
      <c r="BS1736">
        <v>15</v>
      </c>
      <c r="BW1736" t="str">
        <f>""</f>
        <v/>
      </c>
      <c r="CH1736" t="str">
        <f>""</f>
        <v/>
      </c>
      <c r="CS1736" t="str">
        <f>""</f>
        <v/>
      </c>
    </row>
    <row r="1737" spans="1:97" x14ac:dyDescent="0.25">
      <c r="A1737" t="s">
        <v>140</v>
      </c>
      <c r="B1737" t="s">
        <v>4864</v>
      </c>
      <c r="C1737" t="s">
        <v>2640</v>
      </c>
      <c r="D1737" t="s">
        <v>4864</v>
      </c>
      <c r="E1737" t="s">
        <v>11844</v>
      </c>
      <c r="F1737" t="s">
        <v>108</v>
      </c>
      <c r="H1737" t="s">
        <v>11845</v>
      </c>
      <c r="I1737" t="s">
        <v>374</v>
      </c>
      <c r="J1737" t="s">
        <v>111</v>
      </c>
      <c r="K1737" t="str">
        <f>"85087"</f>
        <v>85087</v>
      </c>
      <c r="L1737" t="s">
        <v>11846</v>
      </c>
      <c r="M1737" t="s">
        <v>11845</v>
      </c>
      <c r="N1737" t="s">
        <v>374</v>
      </c>
      <c r="O1737" t="s">
        <v>111</v>
      </c>
      <c r="P1737" t="str">
        <f>"85087"</f>
        <v>85087</v>
      </c>
      <c r="Q1737" t="s">
        <v>113</v>
      </c>
      <c r="R1737" t="str">
        <f>"202-20-464-C"</f>
        <v>202-20-464-C</v>
      </c>
      <c r="U1737">
        <v>2088</v>
      </c>
      <c r="V1737">
        <v>0</v>
      </c>
      <c r="W1737">
        <v>3</v>
      </c>
      <c r="X1737">
        <v>1997</v>
      </c>
      <c r="Z1737">
        <v>1</v>
      </c>
      <c r="AB1737">
        <v>0</v>
      </c>
      <c r="AC1737" t="s">
        <v>115</v>
      </c>
      <c r="AD1737">
        <v>3</v>
      </c>
      <c r="AE1737" t="s">
        <v>115</v>
      </c>
      <c r="AF1737">
        <v>0</v>
      </c>
      <c r="AG1737">
        <v>0</v>
      </c>
      <c r="AH1737" t="s">
        <v>116</v>
      </c>
      <c r="AI1737" s="1">
        <v>37807</v>
      </c>
      <c r="AJ1737" s="2">
        <v>0.09</v>
      </c>
      <c r="AK1737" s="1">
        <v>407807</v>
      </c>
      <c r="AL1737" t="s">
        <v>117</v>
      </c>
      <c r="AM1737" t="s">
        <v>376</v>
      </c>
      <c r="AN1737">
        <v>56579</v>
      </c>
      <c r="AO1737">
        <v>1.3</v>
      </c>
      <c r="AP1737">
        <v>1</v>
      </c>
      <c r="AR1737">
        <v>1</v>
      </c>
      <c r="AS1737" s="1">
        <v>30250</v>
      </c>
      <c r="AT1737" s="1">
        <v>6050</v>
      </c>
      <c r="AU1737" s="1">
        <v>24200</v>
      </c>
      <c r="AV1737">
        <v>80</v>
      </c>
      <c r="AX1737" s="1">
        <v>2865.06</v>
      </c>
      <c r="AY1737" t="s">
        <v>665</v>
      </c>
      <c r="AZ1737" t="s">
        <v>665</v>
      </c>
      <c r="BA1737" t="s">
        <v>378</v>
      </c>
      <c r="BB1737" s="3">
        <v>43622</v>
      </c>
      <c r="BC1737" s="1">
        <v>0</v>
      </c>
      <c r="BD1737" t="s">
        <v>247</v>
      </c>
      <c r="BE1737" s="3">
        <v>42048</v>
      </c>
      <c r="BF1737" s="1">
        <v>295000</v>
      </c>
      <c r="BG1737" t="s">
        <v>11847</v>
      </c>
      <c r="BH1737" s="1">
        <v>141.28</v>
      </c>
      <c r="BI1737" s="1">
        <v>370000</v>
      </c>
      <c r="BJ1737" s="3">
        <v>43622</v>
      </c>
      <c r="BK1737" t="s">
        <v>123</v>
      </c>
      <c r="BL1737" t="str">
        <f>"2019.419969"</f>
        <v>2019.419969</v>
      </c>
      <c r="BM1737" t="s">
        <v>361</v>
      </c>
      <c r="BN1737" t="s">
        <v>884</v>
      </c>
      <c r="BO1737" t="s">
        <v>11848</v>
      </c>
      <c r="BP1737" t="s">
        <v>11849</v>
      </c>
      <c r="BR1737" t="s">
        <v>139</v>
      </c>
      <c r="BW1737" t="str">
        <f>""</f>
        <v/>
      </c>
      <c r="CH1737" t="str">
        <f>""</f>
        <v/>
      </c>
      <c r="CS1737" t="str">
        <f>""</f>
        <v/>
      </c>
    </row>
    <row r="1738" spans="1:97" x14ac:dyDescent="0.25">
      <c r="A1738" t="s">
        <v>602</v>
      </c>
      <c r="B1738" t="s">
        <v>11850</v>
      </c>
      <c r="C1738" t="s">
        <v>11851</v>
      </c>
      <c r="D1738" t="s">
        <v>11850</v>
      </c>
      <c r="E1738" t="s">
        <v>11852</v>
      </c>
      <c r="F1738" t="s">
        <v>108</v>
      </c>
      <c r="H1738" t="s">
        <v>11853</v>
      </c>
      <c r="I1738" t="s">
        <v>203</v>
      </c>
      <c r="J1738" t="s">
        <v>111</v>
      </c>
      <c r="K1738" t="str">
        <f>"85297"</f>
        <v>85297</v>
      </c>
      <c r="L1738" t="s">
        <v>3269</v>
      </c>
      <c r="M1738" t="s">
        <v>11853</v>
      </c>
      <c r="N1738" t="s">
        <v>203</v>
      </c>
      <c r="O1738" t="s">
        <v>111</v>
      </c>
      <c r="P1738" t="str">
        <f>"85297-2057"</f>
        <v>85297-2057</v>
      </c>
      <c r="Q1738" t="s">
        <v>113</v>
      </c>
      <c r="R1738" t="str">
        <f>"304-53-144"</f>
        <v>304-53-144</v>
      </c>
      <c r="U1738">
        <v>1623</v>
      </c>
      <c r="V1738">
        <v>0</v>
      </c>
      <c r="W1738">
        <v>3</v>
      </c>
      <c r="X1738">
        <v>1995</v>
      </c>
      <c r="Z1738">
        <v>1</v>
      </c>
      <c r="AB1738">
        <v>0</v>
      </c>
      <c r="AC1738" t="s">
        <v>115</v>
      </c>
      <c r="AD1738">
        <v>2</v>
      </c>
      <c r="AE1738" t="s">
        <v>115</v>
      </c>
      <c r="AF1738">
        <v>0</v>
      </c>
      <c r="AG1738">
        <v>0</v>
      </c>
      <c r="AH1738" t="s">
        <v>116</v>
      </c>
      <c r="AI1738" s="1">
        <v>-39515</v>
      </c>
      <c r="AJ1738" s="2">
        <v>-0.09</v>
      </c>
      <c r="AK1738" s="1">
        <v>416435</v>
      </c>
      <c r="AL1738" t="s">
        <v>117</v>
      </c>
      <c r="AM1738" t="s">
        <v>376</v>
      </c>
      <c r="AN1738">
        <v>47742</v>
      </c>
      <c r="AO1738">
        <v>1.1000000000000001</v>
      </c>
      <c r="AP1738">
        <v>1</v>
      </c>
      <c r="AR1738">
        <v>1</v>
      </c>
      <c r="AS1738" s="1">
        <v>30820</v>
      </c>
      <c r="AT1738" s="1">
        <v>6160</v>
      </c>
      <c r="AU1738" s="1">
        <v>24660</v>
      </c>
      <c r="AV1738">
        <v>80.010000000000005</v>
      </c>
      <c r="AX1738" s="1">
        <v>2175.04</v>
      </c>
      <c r="AY1738" t="s">
        <v>206</v>
      </c>
      <c r="AZ1738" t="s">
        <v>207</v>
      </c>
      <c r="BA1738" t="s">
        <v>208</v>
      </c>
      <c r="BB1738" s="3">
        <v>42489</v>
      </c>
      <c r="BD1738" t="s">
        <v>458</v>
      </c>
      <c r="BE1738" s="3">
        <v>41788</v>
      </c>
      <c r="BF1738" s="1">
        <v>328000</v>
      </c>
      <c r="BG1738" t="s">
        <v>11854</v>
      </c>
      <c r="BH1738" s="1">
        <v>202.09</v>
      </c>
      <c r="BI1738" s="1">
        <v>330950</v>
      </c>
      <c r="BJ1738" s="3">
        <v>42489</v>
      </c>
      <c r="BK1738" t="s">
        <v>123</v>
      </c>
      <c r="BL1738" t="str">
        <f>"2016.289582"</f>
        <v>2016.289582</v>
      </c>
      <c r="BM1738" t="s">
        <v>1192</v>
      </c>
      <c r="BN1738" t="s">
        <v>11855</v>
      </c>
      <c r="BO1738" t="s">
        <v>11856</v>
      </c>
      <c r="BS1738">
        <v>30</v>
      </c>
      <c r="BT1738" s="1">
        <v>125000</v>
      </c>
      <c r="BU1738" s="3">
        <v>43586</v>
      </c>
      <c r="BW1738" t="str">
        <f>"2019.313033"</f>
        <v>2019.313033</v>
      </c>
      <c r="BX1738" t="s">
        <v>342</v>
      </c>
      <c r="BY1738" t="s">
        <v>343</v>
      </c>
      <c r="BZ1738" t="s">
        <v>11857</v>
      </c>
      <c r="CA1738" t="s">
        <v>11858</v>
      </c>
      <c r="CC1738" t="s">
        <v>346</v>
      </c>
      <c r="CH1738" t="str">
        <f>""</f>
        <v/>
      </c>
      <c r="CS1738" t="str">
        <f>""</f>
        <v/>
      </c>
    </row>
    <row r="1739" spans="1:97" x14ac:dyDescent="0.25">
      <c r="A1739" t="s">
        <v>1755</v>
      </c>
      <c r="B1739" t="s">
        <v>11859</v>
      </c>
      <c r="C1739" t="s">
        <v>1826</v>
      </c>
      <c r="D1739" t="s">
        <v>11860</v>
      </c>
      <c r="E1739" t="s">
        <v>11861</v>
      </c>
      <c r="F1739" t="s">
        <v>108</v>
      </c>
      <c r="H1739" t="s">
        <v>11862</v>
      </c>
      <c r="I1739" t="s">
        <v>632</v>
      </c>
      <c r="J1739" t="s">
        <v>111</v>
      </c>
      <c r="K1739" t="str">
        <f>"85379"</f>
        <v>85379</v>
      </c>
      <c r="L1739" t="s">
        <v>5816</v>
      </c>
      <c r="M1739" t="s">
        <v>11862</v>
      </c>
      <c r="N1739" t="s">
        <v>632</v>
      </c>
      <c r="O1739" t="s">
        <v>111</v>
      </c>
      <c r="P1739" t="str">
        <f>"85379-5938"</f>
        <v>85379-5938</v>
      </c>
      <c r="Q1739" t="s">
        <v>113</v>
      </c>
      <c r="R1739" t="str">
        <f>"501-39-626"</f>
        <v>501-39-626</v>
      </c>
      <c r="S1739" t="s">
        <v>9613</v>
      </c>
      <c r="U1739">
        <v>2285</v>
      </c>
      <c r="V1739">
        <v>0</v>
      </c>
      <c r="W1739">
        <v>3</v>
      </c>
      <c r="X1739">
        <v>2003</v>
      </c>
      <c r="Z1739">
        <v>2</v>
      </c>
      <c r="AB1739">
        <v>0</v>
      </c>
      <c r="AC1739" t="s">
        <v>115</v>
      </c>
      <c r="AD1739">
        <v>2</v>
      </c>
      <c r="AE1739" t="s">
        <v>115</v>
      </c>
      <c r="AF1739">
        <v>0</v>
      </c>
      <c r="AG1739">
        <v>0</v>
      </c>
      <c r="AH1739" t="s">
        <v>116</v>
      </c>
      <c r="AI1739" s="1">
        <v>28238</v>
      </c>
      <c r="AJ1739" s="2">
        <v>0.11</v>
      </c>
      <c r="AK1739" s="1">
        <v>260238</v>
      </c>
      <c r="AL1739" t="s">
        <v>117</v>
      </c>
      <c r="AM1739" t="s">
        <v>118</v>
      </c>
      <c r="AN1739">
        <v>5520</v>
      </c>
      <c r="AO1739">
        <v>0.13</v>
      </c>
      <c r="AP1739">
        <v>1</v>
      </c>
      <c r="AR1739">
        <v>1</v>
      </c>
      <c r="AS1739" s="1">
        <v>17370</v>
      </c>
      <c r="AT1739" s="1">
        <v>3470</v>
      </c>
      <c r="AU1739" s="1">
        <v>13900</v>
      </c>
      <c r="AV1739">
        <v>80.02</v>
      </c>
      <c r="AX1739" s="1">
        <v>1322.72</v>
      </c>
      <c r="AY1739" t="s">
        <v>634</v>
      </c>
      <c r="AZ1739" t="s">
        <v>634</v>
      </c>
      <c r="BA1739" t="s">
        <v>635</v>
      </c>
      <c r="BE1739" s="3">
        <v>42177</v>
      </c>
      <c r="BF1739" s="1">
        <v>189000</v>
      </c>
      <c r="BG1739" t="s">
        <v>11863</v>
      </c>
      <c r="BH1739" s="1">
        <v>82.71</v>
      </c>
      <c r="BI1739" s="1">
        <v>232000</v>
      </c>
      <c r="BJ1739" s="3">
        <v>43437</v>
      </c>
      <c r="BK1739" t="s">
        <v>123</v>
      </c>
      <c r="BL1739" t="str">
        <f>"2018.887588"</f>
        <v>2018.887588</v>
      </c>
      <c r="BM1739" t="s">
        <v>533</v>
      </c>
      <c r="BN1739" t="s">
        <v>534</v>
      </c>
      <c r="BO1739" t="s">
        <v>11864</v>
      </c>
      <c r="BP1739" t="s">
        <v>11865</v>
      </c>
      <c r="BR1739" t="s">
        <v>139</v>
      </c>
      <c r="BW1739" t="str">
        <f>""</f>
        <v/>
      </c>
      <c r="CH1739" t="str">
        <f>""</f>
        <v/>
      </c>
      <c r="CS1739" t="str">
        <f>""</f>
        <v/>
      </c>
    </row>
    <row r="1740" spans="1:97" x14ac:dyDescent="0.25">
      <c r="A1740" t="s">
        <v>11866</v>
      </c>
      <c r="B1740" t="s">
        <v>11867</v>
      </c>
      <c r="C1740" t="s">
        <v>11868</v>
      </c>
      <c r="D1740" t="s">
        <v>11867</v>
      </c>
      <c r="E1740" t="s">
        <v>11869</v>
      </c>
      <c r="F1740" t="s">
        <v>108</v>
      </c>
      <c r="H1740" t="s">
        <v>11870</v>
      </c>
      <c r="I1740" t="s">
        <v>390</v>
      </c>
      <c r="J1740" t="s">
        <v>111</v>
      </c>
      <c r="K1740" t="str">
        <f>"85044"</f>
        <v>85044</v>
      </c>
      <c r="L1740" t="s">
        <v>4565</v>
      </c>
      <c r="M1740" t="s">
        <v>11870</v>
      </c>
      <c r="N1740" t="s">
        <v>390</v>
      </c>
      <c r="O1740" t="s">
        <v>111</v>
      </c>
      <c r="P1740" t="str">
        <f>"85044-2434"</f>
        <v>85044-2434</v>
      </c>
      <c r="Q1740" t="s">
        <v>113</v>
      </c>
      <c r="R1740" t="str">
        <f>"306-22-764"</f>
        <v>306-22-764</v>
      </c>
      <c r="S1740" t="s">
        <v>11871</v>
      </c>
      <c r="T1740" t="s">
        <v>11871</v>
      </c>
      <c r="U1740">
        <v>1814</v>
      </c>
      <c r="V1740">
        <v>0</v>
      </c>
      <c r="W1740">
        <v>3</v>
      </c>
      <c r="X1740">
        <v>1990</v>
      </c>
      <c r="Z1740">
        <v>1</v>
      </c>
      <c r="AB1740">
        <v>0</v>
      </c>
      <c r="AC1740" t="s">
        <v>115</v>
      </c>
      <c r="AD1740">
        <v>2</v>
      </c>
      <c r="AE1740" t="s">
        <v>115</v>
      </c>
      <c r="AF1740">
        <v>0</v>
      </c>
      <c r="AG1740">
        <v>0</v>
      </c>
      <c r="AH1740" t="s">
        <v>116</v>
      </c>
      <c r="AI1740" s="1">
        <v>71375</v>
      </c>
      <c r="AJ1740" s="2">
        <v>0.21</v>
      </c>
      <c r="AK1740" s="1">
        <v>334152</v>
      </c>
      <c r="AL1740" t="s">
        <v>117</v>
      </c>
      <c r="AM1740" t="s">
        <v>3345</v>
      </c>
      <c r="AN1740">
        <v>5236</v>
      </c>
      <c r="AO1740">
        <v>0.12</v>
      </c>
      <c r="AP1740">
        <v>1</v>
      </c>
      <c r="AR1740">
        <v>1</v>
      </c>
      <c r="AS1740" s="1">
        <v>23380</v>
      </c>
      <c r="AT1740" s="1">
        <v>4670</v>
      </c>
      <c r="AU1740" s="1">
        <v>18710</v>
      </c>
      <c r="AV1740">
        <v>80.03</v>
      </c>
      <c r="AX1740" s="1">
        <v>2017.1</v>
      </c>
      <c r="AY1740" t="s">
        <v>11872</v>
      </c>
      <c r="AZ1740" t="s">
        <v>7255</v>
      </c>
      <c r="BA1740" t="s">
        <v>5328</v>
      </c>
      <c r="BB1740" s="3">
        <v>41683</v>
      </c>
      <c r="BD1740" t="s">
        <v>240</v>
      </c>
      <c r="BE1740" s="3">
        <v>41676</v>
      </c>
      <c r="BF1740" s="1">
        <v>259670</v>
      </c>
      <c r="BG1740" t="s">
        <v>11873</v>
      </c>
      <c r="BH1740" s="1">
        <v>143.15</v>
      </c>
      <c r="BI1740" s="1">
        <v>262777</v>
      </c>
      <c r="BJ1740" s="3">
        <v>42060</v>
      </c>
      <c r="BK1740" t="s">
        <v>123</v>
      </c>
      <c r="BL1740" t="str">
        <f>"2015.120254"</f>
        <v>2015.120254</v>
      </c>
      <c r="BM1740" t="s">
        <v>255</v>
      </c>
      <c r="BO1740" t="s">
        <v>11874</v>
      </c>
      <c r="BS1740">
        <v>30</v>
      </c>
      <c r="BW1740" t="str">
        <f>""</f>
        <v/>
      </c>
      <c r="CH1740" t="str">
        <f>""</f>
        <v/>
      </c>
      <c r="CS1740" t="str">
        <f>""</f>
        <v/>
      </c>
    </row>
    <row r="1741" spans="1:97" x14ac:dyDescent="0.25">
      <c r="A1741" t="s">
        <v>695</v>
      </c>
      <c r="B1741" t="s">
        <v>1768</v>
      </c>
      <c r="C1741" t="s">
        <v>817</v>
      </c>
      <c r="D1741" t="s">
        <v>5256</v>
      </c>
      <c r="E1741" t="s">
        <v>11875</v>
      </c>
      <c r="F1741" t="s">
        <v>108</v>
      </c>
      <c r="H1741" t="s">
        <v>11876</v>
      </c>
      <c r="I1741" t="s">
        <v>6646</v>
      </c>
      <c r="J1741" t="s">
        <v>111</v>
      </c>
      <c r="K1741" t="str">
        <f>"85086"</f>
        <v>85086</v>
      </c>
      <c r="L1741" t="s">
        <v>3225</v>
      </c>
      <c r="M1741" t="s">
        <v>11876</v>
      </c>
      <c r="N1741" t="s">
        <v>6646</v>
      </c>
      <c r="O1741" t="s">
        <v>111</v>
      </c>
      <c r="P1741" t="str">
        <f>"85086-1794"</f>
        <v>85086-1794</v>
      </c>
      <c r="Q1741" t="s">
        <v>113</v>
      </c>
      <c r="R1741" t="str">
        <f>"203-06-050"</f>
        <v>203-06-050</v>
      </c>
      <c r="S1741" t="s">
        <v>11877</v>
      </c>
      <c r="U1741">
        <v>3807</v>
      </c>
      <c r="V1741">
        <v>0</v>
      </c>
      <c r="W1741">
        <v>4</v>
      </c>
      <c r="X1741">
        <v>2001</v>
      </c>
      <c r="Z1741">
        <v>2</v>
      </c>
      <c r="AA1741" t="s">
        <v>26</v>
      </c>
      <c r="AB1741">
        <v>0</v>
      </c>
      <c r="AC1741" t="s">
        <v>115</v>
      </c>
      <c r="AD1741">
        <v>3</v>
      </c>
      <c r="AE1741" t="s">
        <v>115</v>
      </c>
      <c r="AF1741">
        <v>0</v>
      </c>
      <c r="AG1741">
        <v>0</v>
      </c>
      <c r="AH1741" t="s">
        <v>116</v>
      </c>
      <c r="AI1741" s="1">
        <v>71061</v>
      </c>
      <c r="AJ1741" s="2">
        <v>0.14000000000000001</v>
      </c>
      <c r="AK1741" s="1">
        <v>501822</v>
      </c>
      <c r="AL1741" t="s">
        <v>117</v>
      </c>
      <c r="AM1741" t="s">
        <v>1302</v>
      </c>
      <c r="AN1741">
        <v>10940</v>
      </c>
      <c r="AO1741">
        <v>0.25</v>
      </c>
      <c r="AP1741">
        <v>1</v>
      </c>
      <c r="AR1741">
        <v>1</v>
      </c>
      <c r="AS1741" s="1">
        <v>37030</v>
      </c>
      <c r="AT1741" s="1">
        <v>7400</v>
      </c>
      <c r="AU1741" s="1">
        <v>29630</v>
      </c>
      <c r="AV1741">
        <v>80.02</v>
      </c>
      <c r="AX1741" s="1">
        <v>4493.12</v>
      </c>
      <c r="AY1741" t="s">
        <v>665</v>
      </c>
      <c r="AZ1741" t="s">
        <v>665</v>
      </c>
      <c r="BA1741" t="s">
        <v>378</v>
      </c>
      <c r="BB1741" s="3">
        <v>43412</v>
      </c>
      <c r="BC1741" s="1">
        <v>0</v>
      </c>
      <c r="BD1741" t="s">
        <v>247</v>
      </c>
      <c r="BE1741" s="3">
        <v>42075</v>
      </c>
      <c r="BF1741" s="1">
        <v>405000</v>
      </c>
      <c r="BG1741" t="s">
        <v>11878</v>
      </c>
      <c r="BH1741" s="1">
        <v>106.38</v>
      </c>
      <c r="BI1741" s="1">
        <v>430761</v>
      </c>
      <c r="BJ1741" s="3">
        <v>42656</v>
      </c>
      <c r="BK1741" t="s">
        <v>123</v>
      </c>
      <c r="BL1741" t="str">
        <f>"2016.751494"</f>
        <v>2016.751494</v>
      </c>
      <c r="BM1741" t="s">
        <v>2748</v>
      </c>
      <c r="BN1741" t="s">
        <v>10508</v>
      </c>
      <c r="BO1741" t="s">
        <v>11879</v>
      </c>
      <c r="BS1741">
        <v>30</v>
      </c>
      <c r="BW1741" t="str">
        <f>""</f>
        <v/>
      </c>
      <c r="CH1741" t="str">
        <f>""</f>
        <v/>
      </c>
      <c r="CS1741" t="str">
        <f>""</f>
        <v/>
      </c>
    </row>
    <row r="1742" spans="1:97" x14ac:dyDescent="0.25">
      <c r="A1742" t="s">
        <v>4098</v>
      </c>
      <c r="B1742" t="s">
        <v>11880</v>
      </c>
      <c r="C1742" t="s">
        <v>11881</v>
      </c>
      <c r="D1742" t="s">
        <v>11880</v>
      </c>
      <c r="E1742" t="s">
        <v>11882</v>
      </c>
      <c r="F1742" t="s">
        <v>108</v>
      </c>
      <c r="H1742" t="s">
        <v>11883</v>
      </c>
      <c r="I1742" t="s">
        <v>3150</v>
      </c>
      <c r="J1742" t="s">
        <v>111</v>
      </c>
      <c r="K1742" t="str">
        <f>"85340"</f>
        <v>85340</v>
      </c>
      <c r="L1742" t="s">
        <v>5074</v>
      </c>
      <c r="M1742" t="s">
        <v>11883</v>
      </c>
      <c r="N1742" t="s">
        <v>3150</v>
      </c>
      <c r="O1742" t="s">
        <v>111</v>
      </c>
      <c r="P1742" t="str">
        <f>"85340-5092"</f>
        <v>85340-5092</v>
      </c>
      <c r="Q1742" t="s">
        <v>113</v>
      </c>
      <c r="R1742" t="str">
        <f>"501-68-820"</f>
        <v>501-68-820</v>
      </c>
      <c r="S1742" t="s">
        <v>10577</v>
      </c>
      <c r="T1742" t="s">
        <v>5178</v>
      </c>
      <c r="U1742">
        <v>4358</v>
      </c>
      <c r="V1742">
        <v>0</v>
      </c>
      <c r="W1742">
        <v>5</v>
      </c>
      <c r="X1742">
        <v>2005</v>
      </c>
      <c r="Z1742">
        <v>2</v>
      </c>
      <c r="AA1742" t="s">
        <v>26</v>
      </c>
      <c r="AB1742">
        <v>0</v>
      </c>
      <c r="AC1742" t="s">
        <v>115</v>
      </c>
      <c r="AD1742">
        <v>3</v>
      </c>
      <c r="AE1742" t="s">
        <v>115</v>
      </c>
      <c r="AF1742">
        <v>0</v>
      </c>
      <c r="AG1742">
        <v>0</v>
      </c>
      <c r="AH1742" t="s">
        <v>116</v>
      </c>
      <c r="AI1742" s="1">
        <v>102356</v>
      </c>
      <c r="AJ1742" s="2">
        <v>0.18</v>
      </c>
      <c r="AK1742" s="1">
        <v>581839</v>
      </c>
      <c r="AL1742" t="s">
        <v>117</v>
      </c>
      <c r="AM1742" t="s">
        <v>171</v>
      </c>
      <c r="AN1742">
        <v>13268</v>
      </c>
      <c r="AO1742">
        <v>0.3</v>
      </c>
      <c r="AR1742">
        <v>1</v>
      </c>
      <c r="AS1742" s="1">
        <v>43860</v>
      </c>
      <c r="AT1742" s="1">
        <v>8770</v>
      </c>
      <c r="AU1742" s="1">
        <v>35090</v>
      </c>
      <c r="AV1742">
        <v>80</v>
      </c>
      <c r="AX1742" s="1">
        <v>5001.6000000000004</v>
      </c>
      <c r="AY1742" t="s">
        <v>3020</v>
      </c>
      <c r="AZ1742" t="s">
        <v>3020</v>
      </c>
      <c r="BA1742" t="s">
        <v>3154</v>
      </c>
      <c r="BB1742" s="3">
        <v>42573</v>
      </c>
      <c r="BD1742" t="s">
        <v>240</v>
      </c>
      <c r="BE1742" s="3">
        <v>42529</v>
      </c>
      <c r="BF1742" s="1">
        <v>479988</v>
      </c>
      <c r="BG1742" t="s">
        <v>11884</v>
      </c>
      <c r="BH1742" s="1">
        <v>110.14</v>
      </c>
      <c r="BI1742" s="1">
        <v>479483</v>
      </c>
      <c r="BJ1742" s="3">
        <v>42529</v>
      </c>
      <c r="BK1742" t="s">
        <v>123</v>
      </c>
      <c r="BL1742" t="str">
        <f>"2016.396802"</f>
        <v>2016.396802</v>
      </c>
      <c r="BM1742" t="s">
        <v>1185</v>
      </c>
      <c r="BO1742" t="s">
        <v>11885</v>
      </c>
      <c r="BS1742">
        <v>30</v>
      </c>
      <c r="BW1742" t="str">
        <f>""</f>
        <v/>
      </c>
      <c r="CH1742" t="str">
        <f>""</f>
        <v/>
      </c>
      <c r="CS1742" t="str">
        <f>""</f>
        <v/>
      </c>
    </row>
    <row r="1743" spans="1:97" x14ac:dyDescent="0.25">
      <c r="A1743" t="s">
        <v>265</v>
      </c>
      <c r="B1743" t="s">
        <v>11886</v>
      </c>
      <c r="E1743" t="s">
        <v>11887</v>
      </c>
      <c r="F1743" t="s">
        <v>108</v>
      </c>
      <c r="H1743" t="s">
        <v>11888</v>
      </c>
      <c r="I1743" t="s">
        <v>2874</v>
      </c>
      <c r="J1743" t="s">
        <v>111</v>
      </c>
      <c r="K1743" t="str">
        <f>"85308"</f>
        <v>85308</v>
      </c>
      <c r="L1743" t="s">
        <v>3151</v>
      </c>
      <c r="M1743" t="s">
        <v>11888</v>
      </c>
      <c r="N1743" t="s">
        <v>2874</v>
      </c>
      <c r="O1743" t="s">
        <v>111</v>
      </c>
      <c r="P1743" t="str">
        <f>"85308-7568"</f>
        <v>85308-7568</v>
      </c>
      <c r="Q1743" t="s">
        <v>113</v>
      </c>
      <c r="R1743" t="str">
        <f>"206-15-172"</f>
        <v>206-15-172</v>
      </c>
      <c r="S1743" t="s">
        <v>11889</v>
      </c>
      <c r="T1743" t="s">
        <v>11889</v>
      </c>
      <c r="U1743">
        <v>3868</v>
      </c>
      <c r="V1743">
        <v>0</v>
      </c>
      <c r="W1743">
        <v>4</v>
      </c>
      <c r="X1743">
        <v>2002</v>
      </c>
      <c r="Z1743">
        <v>1</v>
      </c>
      <c r="AA1743" t="s">
        <v>26</v>
      </c>
      <c r="AB1743">
        <v>0</v>
      </c>
      <c r="AC1743" t="s">
        <v>115</v>
      </c>
      <c r="AD1743">
        <v>3</v>
      </c>
      <c r="AE1743" t="s">
        <v>115</v>
      </c>
      <c r="AF1743">
        <v>0</v>
      </c>
      <c r="AG1743">
        <v>0</v>
      </c>
      <c r="AH1743" t="s">
        <v>116</v>
      </c>
      <c r="AI1743" s="1">
        <v>125388</v>
      </c>
      <c r="AJ1743" s="2">
        <v>0.18</v>
      </c>
      <c r="AK1743" s="1">
        <v>679538</v>
      </c>
      <c r="AL1743" t="s">
        <v>117</v>
      </c>
      <c r="AM1743" t="s">
        <v>616</v>
      </c>
      <c r="AN1743">
        <v>14846</v>
      </c>
      <c r="AO1743">
        <v>0.34</v>
      </c>
      <c r="AP1743">
        <v>1</v>
      </c>
      <c r="AR1743">
        <v>1</v>
      </c>
      <c r="AS1743" s="1">
        <v>51010</v>
      </c>
      <c r="AT1743" s="1">
        <v>10200</v>
      </c>
      <c r="AU1743" s="1">
        <v>40810</v>
      </c>
      <c r="AV1743">
        <v>80</v>
      </c>
      <c r="AX1743" s="1">
        <v>4196.68</v>
      </c>
      <c r="AY1743" t="s">
        <v>9121</v>
      </c>
      <c r="AZ1743" t="s">
        <v>2357</v>
      </c>
      <c r="BA1743" t="s">
        <v>1462</v>
      </c>
      <c r="BE1743" s="3">
        <v>42244</v>
      </c>
      <c r="BF1743" s="1">
        <v>599900</v>
      </c>
      <c r="BG1743" t="s">
        <v>11890</v>
      </c>
      <c r="BH1743" s="1">
        <v>155.09</v>
      </c>
      <c r="BI1743" s="1">
        <v>554150</v>
      </c>
      <c r="BJ1743" s="3">
        <v>42244</v>
      </c>
      <c r="BK1743" t="s">
        <v>123</v>
      </c>
      <c r="BL1743" t="str">
        <f>"2015.628218"</f>
        <v>2015.628218</v>
      </c>
      <c r="BM1743" t="s">
        <v>255</v>
      </c>
      <c r="BO1743" t="s">
        <v>11891</v>
      </c>
      <c r="BS1743">
        <v>30</v>
      </c>
      <c r="BW1743" t="str">
        <f>""</f>
        <v/>
      </c>
      <c r="CH1743" t="str">
        <f>""</f>
        <v/>
      </c>
      <c r="CS1743" t="str">
        <f>""</f>
        <v/>
      </c>
    </row>
    <row r="1744" spans="1:97" x14ac:dyDescent="0.25">
      <c r="B1744" t="s">
        <v>11892</v>
      </c>
      <c r="E1744" t="s">
        <v>11893</v>
      </c>
      <c r="F1744" t="s">
        <v>108</v>
      </c>
      <c r="H1744" t="s">
        <v>11894</v>
      </c>
      <c r="I1744" t="s">
        <v>390</v>
      </c>
      <c r="J1744" t="s">
        <v>111</v>
      </c>
      <c r="K1744" t="str">
        <f>"85016"</f>
        <v>85016</v>
      </c>
      <c r="L1744" t="s">
        <v>5400</v>
      </c>
      <c r="M1744" t="s">
        <v>11894</v>
      </c>
      <c r="N1744" t="s">
        <v>390</v>
      </c>
      <c r="O1744" t="s">
        <v>111</v>
      </c>
      <c r="P1744" t="str">
        <f>"85016-5617"</f>
        <v>85016-5617</v>
      </c>
      <c r="Q1744" t="s">
        <v>113</v>
      </c>
      <c r="R1744" t="str">
        <f>"163-07-030"</f>
        <v>163-07-030</v>
      </c>
      <c r="S1744" t="s">
        <v>11895</v>
      </c>
      <c r="T1744" t="s">
        <v>11895</v>
      </c>
      <c r="U1744">
        <v>2020</v>
      </c>
      <c r="V1744">
        <v>0</v>
      </c>
      <c r="W1744">
        <v>2</v>
      </c>
      <c r="X1744">
        <v>1948</v>
      </c>
      <c r="Z1744">
        <v>1</v>
      </c>
      <c r="AA1744" t="s">
        <v>26</v>
      </c>
      <c r="AB1744">
        <v>0</v>
      </c>
      <c r="AC1744" t="s">
        <v>5188</v>
      </c>
      <c r="AD1744">
        <v>1</v>
      </c>
      <c r="AE1744" t="s">
        <v>5188</v>
      </c>
      <c r="AF1744">
        <v>0</v>
      </c>
      <c r="AG1744">
        <v>0</v>
      </c>
      <c r="AH1744" t="s">
        <v>116</v>
      </c>
      <c r="AI1744" s="1">
        <v>73515</v>
      </c>
      <c r="AJ1744" s="2">
        <v>0.16</v>
      </c>
      <c r="AK1744" s="1">
        <v>461119</v>
      </c>
      <c r="AL1744" t="s">
        <v>117</v>
      </c>
      <c r="AM1744" t="s">
        <v>191</v>
      </c>
      <c r="AN1744">
        <v>8599</v>
      </c>
      <c r="AO1744">
        <v>0.2</v>
      </c>
      <c r="AP1744">
        <v>1</v>
      </c>
      <c r="AR1744">
        <v>1</v>
      </c>
      <c r="AS1744" s="1">
        <v>28920</v>
      </c>
      <c r="AT1744" s="1">
        <v>5780</v>
      </c>
      <c r="AU1744" s="1">
        <v>23140</v>
      </c>
      <c r="AV1744">
        <v>80.010000000000005</v>
      </c>
      <c r="AX1744" s="1">
        <v>3394.44</v>
      </c>
      <c r="AY1744" t="s">
        <v>8630</v>
      </c>
      <c r="AZ1744" t="s">
        <v>8631</v>
      </c>
      <c r="BA1744" t="s">
        <v>6255</v>
      </c>
      <c r="BB1744" s="3">
        <v>42697</v>
      </c>
      <c r="BD1744" t="s">
        <v>240</v>
      </c>
      <c r="BE1744" s="3">
        <v>41698</v>
      </c>
      <c r="BF1744" s="1">
        <v>346500</v>
      </c>
      <c r="BG1744" t="s">
        <v>11896</v>
      </c>
      <c r="BH1744" s="1">
        <v>171.53</v>
      </c>
      <c r="BI1744" s="1">
        <v>347604</v>
      </c>
      <c r="BJ1744" s="3">
        <v>42156</v>
      </c>
      <c r="BK1744" t="s">
        <v>123</v>
      </c>
      <c r="BL1744" t="str">
        <f>"2015.387739"</f>
        <v>2015.387739</v>
      </c>
      <c r="BM1744" t="s">
        <v>322</v>
      </c>
      <c r="BN1744" t="s">
        <v>11897</v>
      </c>
      <c r="BO1744" t="s">
        <v>11898</v>
      </c>
      <c r="BS1744">
        <v>30</v>
      </c>
      <c r="BT1744" s="1">
        <v>40000</v>
      </c>
      <c r="BU1744" s="3">
        <v>43699</v>
      </c>
      <c r="BW1744" t="str">
        <f>"2019.648258"</f>
        <v>2019.648258</v>
      </c>
      <c r="BX1744" t="s">
        <v>1639</v>
      </c>
      <c r="BY1744" t="s">
        <v>1640</v>
      </c>
      <c r="BZ1744" t="s">
        <v>11899</v>
      </c>
      <c r="CC1744" t="s">
        <v>346</v>
      </c>
      <c r="CH1744" t="str">
        <f>""</f>
        <v/>
      </c>
      <c r="CS1744" t="str">
        <f>""</f>
        <v/>
      </c>
    </row>
    <row r="1745" spans="1:97" x14ac:dyDescent="0.25">
      <c r="A1745" t="s">
        <v>1083</v>
      </c>
      <c r="B1745" t="s">
        <v>141</v>
      </c>
      <c r="E1745" t="s">
        <v>11900</v>
      </c>
      <c r="F1745" t="s">
        <v>282</v>
      </c>
      <c r="H1745" t="s">
        <v>11901</v>
      </c>
      <c r="I1745" t="s">
        <v>225</v>
      </c>
      <c r="J1745" t="s">
        <v>111</v>
      </c>
      <c r="K1745" t="str">
        <f>"85213"</f>
        <v>85213</v>
      </c>
      <c r="L1745" t="s">
        <v>5138</v>
      </c>
      <c r="M1745" t="s">
        <v>11902</v>
      </c>
      <c r="N1745" t="s">
        <v>225</v>
      </c>
      <c r="O1745" t="s">
        <v>111</v>
      </c>
      <c r="P1745" t="str">
        <f>"85213-1555"</f>
        <v>85213-1555</v>
      </c>
      <c r="Q1745" t="s">
        <v>113</v>
      </c>
      <c r="R1745" t="str">
        <f>"140-12-309"</f>
        <v>140-12-309</v>
      </c>
      <c r="S1745" t="s">
        <v>11903</v>
      </c>
      <c r="T1745" t="s">
        <v>11903</v>
      </c>
      <c r="U1745">
        <v>4319</v>
      </c>
      <c r="V1745">
        <v>0</v>
      </c>
      <c r="W1745">
        <v>6</v>
      </c>
      <c r="X1745">
        <v>2004</v>
      </c>
      <c r="Z1745">
        <v>2</v>
      </c>
      <c r="AA1745" t="s">
        <v>26</v>
      </c>
      <c r="AB1745">
        <v>0</v>
      </c>
      <c r="AC1745" t="s">
        <v>115</v>
      </c>
      <c r="AD1745">
        <v>4</v>
      </c>
      <c r="AE1745" t="s">
        <v>115</v>
      </c>
      <c r="AF1745">
        <v>0</v>
      </c>
      <c r="AG1745">
        <v>0</v>
      </c>
      <c r="AH1745" t="s">
        <v>116</v>
      </c>
      <c r="AI1745" s="1">
        <v>115164</v>
      </c>
      <c r="AJ1745" s="2">
        <v>0.16</v>
      </c>
      <c r="AK1745" s="1">
        <v>716757</v>
      </c>
      <c r="AL1745" t="s">
        <v>117</v>
      </c>
      <c r="AM1745" t="s">
        <v>1521</v>
      </c>
      <c r="AN1745">
        <v>17542</v>
      </c>
      <c r="AO1745">
        <v>0.4</v>
      </c>
      <c r="AP1745">
        <v>1</v>
      </c>
      <c r="AR1745">
        <v>1</v>
      </c>
      <c r="AS1745" s="1">
        <v>58220</v>
      </c>
      <c r="AT1745" s="1">
        <v>11640</v>
      </c>
      <c r="AU1745" s="1">
        <v>46580</v>
      </c>
      <c r="AV1745">
        <v>80.010000000000005</v>
      </c>
      <c r="AX1745" s="1">
        <v>6218.02</v>
      </c>
      <c r="AY1745" t="s">
        <v>7654</v>
      </c>
      <c r="AZ1745" t="s">
        <v>1523</v>
      </c>
      <c r="BA1745" t="s">
        <v>1524</v>
      </c>
      <c r="BE1745" s="3">
        <v>42132</v>
      </c>
      <c r="BF1745" s="1">
        <v>585000</v>
      </c>
      <c r="BG1745" t="s">
        <v>11904</v>
      </c>
      <c r="BH1745" s="1">
        <v>135.44999999999999</v>
      </c>
      <c r="BI1745" s="1">
        <v>601593</v>
      </c>
      <c r="BJ1745" s="3">
        <v>43046</v>
      </c>
      <c r="BK1745" t="s">
        <v>123</v>
      </c>
      <c r="BL1745" t="str">
        <f>"2017.826490"</f>
        <v>2017.826490</v>
      </c>
      <c r="BM1745" t="s">
        <v>361</v>
      </c>
      <c r="BO1745" t="s">
        <v>11905</v>
      </c>
      <c r="BS1745">
        <v>30</v>
      </c>
      <c r="BW1745" t="str">
        <f>""</f>
        <v/>
      </c>
      <c r="CH1745" t="str">
        <f>""</f>
        <v/>
      </c>
      <c r="CS1745" t="str">
        <f>""</f>
        <v/>
      </c>
    </row>
    <row r="1746" spans="1:97" x14ac:dyDescent="0.25">
      <c r="A1746" t="s">
        <v>3580</v>
      </c>
      <c r="B1746" t="s">
        <v>11906</v>
      </c>
      <c r="C1746" t="s">
        <v>1727</v>
      </c>
      <c r="D1746" t="s">
        <v>1697</v>
      </c>
      <c r="E1746" t="s">
        <v>11907</v>
      </c>
      <c r="F1746" t="s">
        <v>108</v>
      </c>
      <c r="H1746" t="s">
        <v>11908</v>
      </c>
      <c r="I1746" t="s">
        <v>5636</v>
      </c>
      <c r="J1746" t="s">
        <v>111</v>
      </c>
      <c r="K1746" t="str">
        <f>"85268"</f>
        <v>85268</v>
      </c>
      <c r="L1746" t="s">
        <v>5131</v>
      </c>
      <c r="M1746" t="s">
        <v>11908</v>
      </c>
      <c r="N1746" t="s">
        <v>5636</v>
      </c>
      <c r="O1746" t="s">
        <v>111</v>
      </c>
      <c r="P1746" t="str">
        <f>"85268-6520"</f>
        <v>85268-6520</v>
      </c>
      <c r="Q1746" t="s">
        <v>113</v>
      </c>
      <c r="R1746" t="str">
        <f>"176-09-374"</f>
        <v>176-09-374</v>
      </c>
      <c r="S1746" t="s">
        <v>11909</v>
      </c>
      <c r="T1746" t="s">
        <v>11910</v>
      </c>
      <c r="U1746">
        <v>4338</v>
      </c>
      <c r="V1746">
        <v>0</v>
      </c>
      <c r="W1746">
        <v>5</v>
      </c>
      <c r="X1746">
        <v>1998</v>
      </c>
      <c r="Z1746">
        <v>2</v>
      </c>
      <c r="AA1746" t="s">
        <v>26</v>
      </c>
      <c r="AB1746">
        <v>0</v>
      </c>
      <c r="AC1746" t="s">
        <v>115</v>
      </c>
      <c r="AD1746">
        <v>6</v>
      </c>
      <c r="AE1746" t="s">
        <v>115</v>
      </c>
      <c r="AF1746">
        <v>0</v>
      </c>
      <c r="AG1746">
        <v>0</v>
      </c>
      <c r="AH1746" t="s">
        <v>116</v>
      </c>
      <c r="AI1746" s="1">
        <v>377828</v>
      </c>
      <c r="AJ1746" s="2">
        <v>0.42</v>
      </c>
      <c r="AK1746" s="1">
        <v>889140</v>
      </c>
      <c r="AL1746" t="s">
        <v>117</v>
      </c>
      <c r="AM1746" t="s">
        <v>3973</v>
      </c>
      <c r="AN1746">
        <v>42498</v>
      </c>
      <c r="AO1746">
        <v>0.98</v>
      </c>
      <c r="AP1746">
        <v>1</v>
      </c>
      <c r="AR1746">
        <v>1</v>
      </c>
      <c r="AS1746" s="1">
        <v>70760</v>
      </c>
      <c r="AT1746" s="1">
        <v>14150</v>
      </c>
      <c r="AU1746" s="1">
        <v>56610</v>
      </c>
      <c r="AV1746">
        <v>80</v>
      </c>
      <c r="AX1746" s="1">
        <v>4917.1000000000004</v>
      </c>
      <c r="AY1746" t="s">
        <v>5639</v>
      </c>
      <c r="AZ1746" t="s">
        <v>5640</v>
      </c>
      <c r="BA1746" t="s">
        <v>5641</v>
      </c>
      <c r="BE1746" s="3">
        <v>42342</v>
      </c>
      <c r="BF1746" s="1">
        <v>754000</v>
      </c>
      <c r="BG1746" t="s">
        <v>11911</v>
      </c>
      <c r="BH1746" s="1">
        <v>173.81</v>
      </c>
      <c r="BI1746" s="1">
        <v>511312</v>
      </c>
      <c r="BJ1746" s="3">
        <v>42342</v>
      </c>
      <c r="BK1746" t="s">
        <v>123</v>
      </c>
      <c r="BL1746" t="str">
        <f>"2015.861065"</f>
        <v>2015.861065</v>
      </c>
      <c r="BM1746" t="s">
        <v>6337</v>
      </c>
      <c r="BO1746" t="s">
        <v>11912</v>
      </c>
      <c r="BP1746" t="s">
        <v>11913</v>
      </c>
      <c r="BS1746">
        <v>30</v>
      </c>
      <c r="BW1746" t="str">
        <f>""</f>
        <v/>
      </c>
      <c r="CH1746" t="str">
        <f>""</f>
        <v/>
      </c>
      <c r="CS1746" t="str">
        <f>""</f>
        <v/>
      </c>
    </row>
    <row r="1747" spans="1:97" x14ac:dyDescent="0.25">
      <c r="A1747" t="s">
        <v>2499</v>
      </c>
      <c r="B1747" t="s">
        <v>371</v>
      </c>
      <c r="E1747" t="s">
        <v>11914</v>
      </c>
      <c r="F1747" t="s">
        <v>108</v>
      </c>
      <c r="H1747" t="s">
        <v>11915</v>
      </c>
      <c r="I1747" t="s">
        <v>203</v>
      </c>
      <c r="J1747" t="s">
        <v>111</v>
      </c>
      <c r="K1747" t="str">
        <f>"85234"</f>
        <v>85234</v>
      </c>
      <c r="L1747" t="s">
        <v>5990</v>
      </c>
      <c r="M1747" t="s">
        <v>11915</v>
      </c>
      <c r="N1747" t="s">
        <v>203</v>
      </c>
      <c r="O1747" t="s">
        <v>111</v>
      </c>
      <c r="P1747" t="str">
        <f>"85234-6128"</f>
        <v>85234-6128</v>
      </c>
      <c r="Q1747" t="s">
        <v>113</v>
      </c>
      <c r="R1747" t="str">
        <f>"304-09-604"</f>
        <v>304-09-604</v>
      </c>
      <c r="S1747" t="s">
        <v>11916</v>
      </c>
      <c r="T1747" t="s">
        <v>11917</v>
      </c>
      <c r="U1747">
        <v>6246</v>
      </c>
      <c r="V1747">
        <v>0</v>
      </c>
      <c r="W1747">
        <v>6</v>
      </c>
      <c r="X1747">
        <v>1990</v>
      </c>
      <c r="Z1747">
        <v>2</v>
      </c>
      <c r="AA1747" t="s">
        <v>26</v>
      </c>
      <c r="AB1747">
        <v>0</v>
      </c>
      <c r="AC1747" t="s">
        <v>115</v>
      </c>
      <c r="AD1747">
        <v>4</v>
      </c>
      <c r="AE1747" t="s">
        <v>115</v>
      </c>
      <c r="AF1747">
        <v>0</v>
      </c>
      <c r="AG1747">
        <v>0</v>
      </c>
      <c r="AH1747" t="s">
        <v>116</v>
      </c>
      <c r="AI1747" s="1">
        <v>293503</v>
      </c>
      <c r="AJ1747" s="2">
        <v>0.28000000000000003</v>
      </c>
      <c r="AK1747" s="1">
        <v>1032178</v>
      </c>
      <c r="AL1747" t="s">
        <v>117</v>
      </c>
      <c r="AM1747" t="s">
        <v>3973</v>
      </c>
      <c r="AN1747">
        <v>65819</v>
      </c>
      <c r="AO1747">
        <v>1.51</v>
      </c>
      <c r="AP1747">
        <v>1</v>
      </c>
      <c r="AR1747">
        <v>1</v>
      </c>
      <c r="AS1747" s="1">
        <v>73260</v>
      </c>
      <c r="AT1747" s="1">
        <v>14650</v>
      </c>
      <c r="AU1747" s="1">
        <v>58610</v>
      </c>
      <c r="AV1747">
        <v>80</v>
      </c>
      <c r="AX1747" s="1">
        <v>5563.56</v>
      </c>
      <c r="AY1747" t="s">
        <v>6506</v>
      </c>
      <c r="AZ1747" t="s">
        <v>520</v>
      </c>
      <c r="BA1747" t="s">
        <v>5033</v>
      </c>
      <c r="BE1747" s="3">
        <v>42080</v>
      </c>
      <c r="BF1747" s="1">
        <v>838100</v>
      </c>
      <c r="BG1747" t="s">
        <v>11918</v>
      </c>
      <c r="BH1747" s="1">
        <v>134.18</v>
      </c>
      <c r="BI1747" s="1">
        <v>738675</v>
      </c>
      <c r="BJ1747" s="3">
        <v>42514</v>
      </c>
      <c r="BK1747" t="s">
        <v>123</v>
      </c>
      <c r="BL1747" t="str">
        <f>"2016.356736"</f>
        <v>2016.356736</v>
      </c>
      <c r="BM1747" t="s">
        <v>2716</v>
      </c>
      <c r="BO1747" t="s">
        <v>11919</v>
      </c>
      <c r="BS1747">
        <v>30</v>
      </c>
      <c r="BW1747" t="str">
        <f>""</f>
        <v/>
      </c>
      <c r="CH1747" t="str">
        <f>""</f>
        <v/>
      </c>
      <c r="CS1747" t="str">
        <f>""</f>
        <v/>
      </c>
    </row>
    <row r="1748" spans="1:97" x14ac:dyDescent="0.25">
      <c r="A1748" t="s">
        <v>325</v>
      </c>
      <c r="B1748" t="s">
        <v>702</v>
      </c>
      <c r="C1748" t="s">
        <v>6221</v>
      </c>
      <c r="D1748" t="s">
        <v>702</v>
      </c>
      <c r="E1748" t="s">
        <v>11920</v>
      </c>
      <c r="F1748" t="s">
        <v>108</v>
      </c>
      <c r="H1748" t="s">
        <v>11921</v>
      </c>
      <c r="I1748" t="s">
        <v>390</v>
      </c>
      <c r="J1748" t="s">
        <v>111</v>
      </c>
      <c r="K1748" t="str">
        <f>"85086"</f>
        <v>85086</v>
      </c>
      <c r="L1748" t="s">
        <v>3645</v>
      </c>
      <c r="M1748" t="s">
        <v>11921</v>
      </c>
      <c r="N1748" t="s">
        <v>390</v>
      </c>
      <c r="O1748" t="s">
        <v>111</v>
      </c>
      <c r="P1748" t="str">
        <f>"85086-4611"</f>
        <v>85086-4611</v>
      </c>
      <c r="Q1748" t="s">
        <v>113</v>
      </c>
      <c r="R1748" t="str">
        <f>"203-06-875"</f>
        <v>203-06-875</v>
      </c>
      <c r="S1748" t="s">
        <v>11922</v>
      </c>
      <c r="U1748">
        <v>4911</v>
      </c>
      <c r="V1748">
        <v>0</v>
      </c>
      <c r="W1748">
        <v>6</v>
      </c>
      <c r="X1748">
        <v>2005</v>
      </c>
      <c r="Z1748">
        <v>2</v>
      </c>
      <c r="AB1748">
        <v>0</v>
      </c>
      <c r="AC1748" t="s">
        <v>115</v>
      </c>
      <c r="AD1748">
        <v>4</v>
      </c>
      <c r="AE1748" t="s">
        <v>115</v>
      </c>
      <c r="AF1748">
        <v>0</v>
      </c>
      <c r="AG1748">
        <v>0</v>
      </c>
      <c r="AH1748" t="s">
        <v>116</v>
      </c>
      <c r="AI1748" s="1">
        <v>136291</v>
      </c>
      <c r="AJ1748" s="2">
        <v>0.22</v>
      </c>
      <c r="AK1748" s="1">
        <v>631291</v>
      </c>
      <c r="AL1748" t="s">
        <v>117</v>
      </c>
      <c r="AM1748" t="s">
        <v>191</v>
      </c>
      <c r="AN1748">
        <v>12699</v>
      </c>
      <c r="AO1748">
        <v>0.28999999999999998</v>
      </c>
      <c r="AR1748">
        <v>1</v>
      </c>
      <c r="AS1748" s="1">
        <v>47300</v>
      </c>
      <c r="AT1748" s="1">
        <v>9460</v>
      </c>
      <c r="AU1748" s="1">
        <v>37840</v>
      </c>
      <c r="AV1748">
        <v>80</v>
      </c>
      <c r="AX1748" s="1">
        <v>5757.34</v>
      </c>
      <c r="AY1748" t="s">
        <v>6515</v>
      </c>
      <c r="AZ1748" t="s">
        <v>6515</v>
      </c>
      <c r="BA1748" t="s">
        <v>378</v>
      </c>
      <c r="BE1748" s="3">
        <v>42314</v>
      </c>
      <c r="BF1748" s="1">
        <v>525000</v>
      </c>
      <c r="BG1748" t="s">
        <v>11923</v>
      </c>
      <c r="BH1748" s="1">
        <v>106.9</v>
      </c>
      <c r="BI1748" s="1">
        <v>495000</v>
      </c>
      <c r="BJ1748" s="3">
        <v>42639</v>
      </c>
      <c r="BK1748" t="s">
        <v>123</v>
      </c>
      <c r="BL1748" t="str">
        <f>"2016.697523"</f>
        <v>2016.697523</v>
      </c>
      <c r="BM1748" t="s">
        <v>124</v>
      </c>
      <c r="BO1748" t="s">
        <v>11924</v>
      </c>
      <c r="BS1748">
        <v>30</v>
      </c>
      <c r="BW1748" t="str">
        <f>""</f>
        <v/>
      </c>
      <c r="CH1748" t="str">
        <f>""</f>
        <v/>
      </c>
      <c r="CS1748" t="str">
        <f>""</f>
        <v/>
      </c>
    </row>
    <row r="1749" spans="1:97" x14ac:dyDescent="0.25">
      <c r="B1749" t="s">
        <v>11925</v>
      </c>
      <c r="E1749" t="s">
        <v>11926</v>
      </c>
      <c r="F1749" t="s">
        <v>108</v>
      </c>
      <c r="H1749" t="s">
        <v>11927</v>
      </c>
      <c r="I1749" t="s">
        <v>390</v>
      </c>
      <c r="J1749" t="s">
        <v>111</v>
      </c>
      <c r="K1749" t="str">
        <f>"85016"</f>
        <v>85016</v>
      </c>
      <c r="L1749" t="s">
        <v>2903</v>
      </c>
      <c r="M1749" t="s">
        <v>11927</v>
      </c>
      <c r="N1749" t="s">
        <v>390</v>
      </c>
      <c r="O1749" t="s">
        <v>111</v>
      </c>
      <c r="P1749" t="str">
        <f>"85016-3722"</f>
        <v>85016-3722</v>
      </c>
      <c r="Q1749" t="s">
        <v>113</v>
      </c>
      <c r="R1749" t="str">
        <f>"164-69-829"</f>
        <v>164-69-829</v>
      </c>
      <c r="S1749" t="s">
        <v>11928</v>
      </c>
      <c r="T1749" t="s">
        <v>11929</v>
      </c>
      <c r="U1749">
        <v>2836</v>
      </c>
      <c r="V1749">
        <v>0</v>
      </c>
      <c r="W1749">
        <v>3</v>
      </c>
      <c r="X1749">
        <v>1986</v>
      </c>
      <c r="Z1749">
        <v>1</v>
      </c>
      <c r="AB1749">
        <v>0</v>
      </c>
      <c r="AC1749" t="s">
        <v>115</v>
      </c>
      <c r="AD1749">
        <v>2</v>
      </c>
      <c r="AE1749" t="s">
        <v>115</v>
      </c>
      <c r="AF1749">
        <v>0</v>
      </c>
      <c r="AG1749">
        <v>0</v>
      </c>
      <c r="AH1749" t="s">
        <v>116</v>
      </c>
      <c r="AI1749" s="1">
        <v>200603</v>
      </c>
      <c r="AJ1749" s="2">
        <v>0.24</v>
      </c>
      <c r="AK1749" s="1">
        <v>852906</v>
      </c>
      <c r="AL1749" t="s">
        <v>117</v>
      </c>
      <c r="AM1749" t="s">
        <v>5441</v>
      </c>
      <c r="AN1749">
        <v>5663</v>
      </c>
      <c r="AO1749">
        <v>0.13</v>
      </c>
      <c r="AP1749">
        <v>1</v>
      </c>
      <c r="AR1749">
        <v>1</v>
      </c>
      <c r="AS1749" s="1">
        <v>64620</v>
      </c>
      <c r="AT1749" s="1">
        <v>12920</v>
      </c>
      <c r="AU1749" s="1">
        <v>51700</v>
      </c>
      <c r="AV1749">
        <v>80.010000000000005</v>
      </c>
      <c r="AX1749" s="1">
        <v>7849.14</v>
      </c>
      <c r="AY1749" t="s">
        <v>6998</v>
      </c>
      <c r="AZ1749" t="s">
        <v>6254</v>
      </c>
      <c r="BA1749" t="s">
        <v>6255</v>
      </c>
      <c r="BB1749" s="3">
        <v>42597</v>
      </c>
      <c r="BD1749" t="s">
        <v>240</v>
      </c>
      <c r="BE1749" s="3">
        <v>42534</v>
      </c>
      <c r="BF1749" s="1">
        <v>720000</v>
      </c>
      <c r="BG1749" t="s">
        <v>11930</v>
      </c>
      <c r="BH1749" s="1">
        <v>253.88</v>
      </c>
      <c r="BI1749" s="1">
        <v>652303</v>
      </c>
      <c r="BJ1749" s="3">
        <v>42534</v>
      </c>
      <c r="BK1749" t="s">
        <v>123</v>
      </c>
      <c r="BL1749" t="str">
        <f>"2016.409273"</f>
        <v>2016.409273</v>
      </c>
      <c r="BM1749" t="s">
        <v>3929</v>
      </c>
      <c r="BO1749" t="s">
        <v>11931</v>
      </c>
      <c r="BS1749">
        <v>30</v>
      </c>
      <c r="BW1749" t="str">
        <f>""</f>
        <v/>
      </c>
      <c r="CH1749" t="str">
        <f>""</f>
        <v/>
      </c>
      <c r="CS1749" t="str">
        <f>""</f>
        <v/>
      </c>
    </row>
    <row r="1750" spans="1:97" x14ac:dyDescent="0.25">
      <c r="A1750" t="s">
        <v>1366</v>
      </c>
      <c r="B1750" t="s">
        <v>11932</v>
      </c>
      <c r="C1750" t="s">
        <v>211</v>
      </c>
      <c r="D1750" t="s">
        <v>11932</v>
      </c>
      <c r="E1750" t="s">
        <v>11933</v>
      </c>
      <c r="F1750" t="s">
        <v>108</v>
      </c>
      <c r="H1750" t="s">
        <v>11934</v>
      </c>
      <c r="I1750" t="s">
        <v>167</v>
      </c>
      <c r="J1750" t="s">
        <v>111</v>
      </c>
      <c r="K1750" t="str">
        <f>"85339"</f>
        <v>85339</v>
      </c>
      <c r="L1750" t="s">
        <v>3151</v>
      </c>
      <c r="M1750" t="s">
        <v>11934</v>
      </c>
      <c r="N1750" t="s">
        <v>167</v>
      </c>
      <c r="O1750" t="s">
        <v>111</v>
      </c>
      <c r="P1750" t="str">
        <f>"85339-2673"</f>
        <v>85339-2673</v>
      </c>
      <c r="Q1750" t="s">
        <v>113</v>
      </c>
      <c r="R1750" t="str">
        <f>"104-83-245"</f>
        <v>104-83-245</v>
      </c>
      <c r="S1750" t="s">
        <v>11935</v>
      </c>
      <c r="U1750">
        <v>3143</v>
      </c>
      <c r="V1750">
        <v>0</v>
      </c>
      <c r="W1750">
        <v>4</v>
      </c>
      <c r="X1750">
        <v>2006</v>
      </c>
      <c r="Z1750">
        <v>2</v>
      </c>
      <c r="AB1750">
        <v>0</v>
      </c>
      <c r="AC1750" t="s">
        <v>115</v>
      </c>
      <c r="AD1750">
        <v>2</v>
      </c>
      <c r="AE1750" t="s">
        <v>115</v>
      </c>
      <c r="AF1750">
        <v>0</v>
      </c>
      <c r="AG1750">
        <v>0</v>
      </c>
      <c r="AH1750" t="s">
        <v>116</v>
      </c>
      <c r="AI1750" s="1">
        <v>67361</v>
      </c>
      <c r="AJ1750" s="2">
        <v>0.23</v>
      </c>
      <c r="AK1750" s="1">
        <v>289456</v>
      </c>
      <c r="AL1750" t="s">
        <v>117</v>
      </c>
      <c r="AM1750" t="s">
        <v>171</v>
      </c>
      <c r="AN1750">
        <v>6984</v>
      </c>
      <c r="AO1750">
        <v>0.16</v>
      </c>
      <c r="AR1750">
        <v>1</v>
      </c>
      <c r="AS1750" s="1">
        <v>19610</v>
      </c>
      <c r="AT1750" s="1">
        <v>3920</v>
      </c>
      <c r="AU1750" s="1">
        <v>15690</v>
      </c>
      <c r="AV1750">
        <v>80.010000000000005</v>
      </c>
      <c r="AX1750" s="1">
        <v>2377.7199999999998</v>
      </c>
      <c r="AY1750" t="s">
        <v>172</v>
      </c>
      <c r="AZ1750" t="s">
        <v>172</v>
      </c>
      <c r="BA1750" t="s">
        <v>173</v>
      </c>
      <c r="BE1750" s="3">
        <v>42032</v>
      </c>
      <c r="BF1750" s="1">
        <v>215000</v>
      </c>
      <c r="BG1750" t="s">
        <v>11936</v>
      </c>
      <c r="BH1750" s="1">
        <v>68.41</v>
      </c>
      <c r="BI1750" s="1">
        <v>222095</v>
      </c>
      <c r="BJ1750" s="3">
        <v>42032</v>
      </c>
      <c r="BK1750" t="s">
        <v>123</v>
      </c>
      <c r="BL1750" t="str">
        <f>"2015.54044"</f>
        <v>2015.54044</v>
      </c>
      <c r="BM1750" t="s">
        <v>1038</v>
      </c>
      <c r="BO1750" t="s">
        <v>11937</v>
      </c>
      <c r="BS1750">
        <v>30</v>
      </c>
      <c r="BW1750" t="str">
        <f>""</f>
        <v/>
      </c>
      <c r="CH1750" t="str">
        <f>""</f>
        <v/>
      </c>
      <c r="CS1750" t="str">
        <f>""</f>
        <v/>
      </c>
    </row>
    <row r="1751" spans="1:97" x14ac:dyDescent="0.25">
      <c r="A1751" t="s">
        <v>589</v>
      </c>
      <c r="B1751" t="s">
        <v>11938</v>
      </c>
      <c r="C1751" t="s">
        <v>1119</v>
      </c>
      <c r="D1751" t="s">
        <v>11938</v>
      </c>
      <c r="E1751" t="s">
        <v>11939</v>
      </c>
      <c r="F1751" t="s">
        <v>108</v>
      </c>
      <c r="H1751" t="s">
        <v>11940</v>
      </c>
      <c r="I1751" t="s">
        <v>225</v>
      </c>
      <c r="J1751" t="s">
        <v>111</v>
      </c>
      <c r="K1751" t="str">
        <f>"85213"</f>
        <v>85213</v>
      </c>
      <c r="L1751" t="s">
        <v>11941</v>
      </c>
      <c r="M1751" t="s">
        <v>11940</v>
      </c>
      <c r="N1751" t="s">
        <v>225</v>
      </c>
      <c r="O1751" t="s">
        <v>111</v>
      </c>
      <c r="P1751" t="str">
        <f>"85213-1553"</f>
        <v>85213-1553</v>
      </c>
      <c r="Q1751" t="s">
        <v>113</v>
      </c>
      <c r="R1751" t="str">
        <f>"141-05-215"</f>
        <v>141-05-215</v>
      </c>
      <c r="S1751" t="s">
        <v>11942</v>
      </c>
      <c r="T1751" t="s">
        <v>11943</v>
      </c>
      <c r="U1751">
        <v>2013</v>
      </c>
      <c r="V1751">
        <v>0</v>
      </c>
      <c r="W1751">
        <v>3</v>
      </c>
      <c r="X1751">
        <v>1995</v>
      </c>
      <c r="Z1751">
        <v>1</v>
      </c>
      <c r="AB1751">
        <v>0</v>
      </c>
      <c r="AC1751" t="s">
        <v>115</v>
      </c>
      <c r="AD1751">
        <v>3</v>
      </c>
      <c r="AE1751" t="s">
        <v>115</v>
      </c>
      <c r="AF1751">
        <v>0</v>
      </c>
      <c r="AG1751">
        <v>0</v>
      </c>
      <c r="AH1751" t="s">
        <v>116</v>
      </c>
      <c r="AI1751" s="1">
        <v>39395</v>
      </c>
      <c r="AJ1751" s="2">
        <v>0.12</v>
      </c>
      <c r="AK1751" s="1">
        <v>336171</v>
      </c>
      <c r="AL1751" t="s">
        <v>117</v>
      </c>
      <c r="AM1751" t="s">
        <v>917</v>
      </c>
      <c r="AN1751">
        <v>10635</v>
      </c>
      <c r="AO1751">
        <v>0.24</v>
      </c>
      <c r="AP1751">
        <v>1</v>
      </c>
      <c r="AR1751">
        <v>1</v>
      </c>
      <c r="AS1751" s="1">
        <v>22030</v>
      </c>
      <c r="AT1751" s="1">
        <v>4400</v>
      </c>
      <c r="AU1751" s="1">
        <v>17630</v>
      </c>
      <c r="AV1751">
        <v>80.03</v>
      </c>
      <c r="AX1751" s="1">
        <v>1853.34</v>
      </c>
      <c r="AY1751" t="s">
        <v>11944</v>
      </c>
      <c r="AZ1751" t="s">
        <v>4163</v>
      </c>
      <c r="BA1751" t="s">
        <v>1524</v>
      </c>
      <c r="BE1751" s="3">
        <v>42255</v>
      </c>
      <c r="BF1751" s="1">
        <v>276900</v>
      </c>
      <c r="BG1751" t="s">
        <v>11945</v>
      </c>
      <c r="BH1751" s="1">
        <v>137.56</v>
      </c>
      <c r="BI1751" s="1">
        <v>296776</v>
      </c>
      <c r="BJ1751" s="3">
        <v>42898</v>
      </c>
      <c r="BK1751" t="s">
        <v>123</v>
      </c>
      <c r="BL1751" t="str">
        <f>"2017.426204"</f>
        <v>2017.426204</v>
      </c>
      <c r="BM1751" t="s">
        <v>807</v>
      </c>
      <c r="BN1751">
        <v>92618</v>
      </c>
      <c r="BO1751" t="s">
        <v>11946</v>
      </c>
      <c r="BQ1751" t="str">
        <f>"2.2500%"</f>
        <v>2.2500%</v>
      </c>
      <c r="BR1751" t="s">
        <v>1480</v>
      </c>
      <c r="BS1751">
        <v>30</v>
      </c>
      <c r="BW1751" t="str">
        <f>""</f>
        <v/>
      </c>
      <c r="CH1751" t="str">
        <f>""</f>
        <v/>
      </c>
      <c r="CS1751" t="str">
        <f>""</f>
        <v/>
      </c>
    </row>
    <row r="1752" spans="1:97" x14ac:dyDescent="0.25">
      <c r="A1752" t="s">
        <v>220</v>
      </c>
      <c r="B1752" t="s">
        <v>11947</v>
      </c>
      <c r="C1752" t="s">
        <v>2123</v>
      </c>
      <c r="D1752" t="s">
        <v>11947</v>
      </c>
      <c r="E1752" t="s">
        <v>11948</v>
      </c>
      <c r="F1752" t="s">
        <v>108</v>
      </c>
      <c r="H1752" t="s">
        <v>11949</v>
      </c>
      <c r="I1752" t="s">
        <v>3150</v>
      </c>
      <c r="J1752" t="s">
        <v>111</v>
      </c>
      <c r="K1752" t="str">
        <f>"85340"</f>
        <v>85340</v>
      </c>
      <c r="L1752" t="s">
        <v>2197</v>
      </c>
      <c r="M1752" t="s">
        <v>11949</v>
      </c>
      <c r="N1752" t="s">
        <v>3150</v>
      </c>
      <c r="O1752" t="s">
        <v>111</v>
      </c>
      <c r="P1752" t="str">
        <f>"85340-7376"</f>
        <v>85340-7376</v>
      </c>
      <c r="Q1752" t="s">
        <v>113</v>
      </c>
      <c r="R1752" t="str">
        <f>"501-62-266"</f>
        <v>501-62-266</v>
      </c>
      <c r="S1752" t="s">
        <v>11950</v>
      </c>
      <c r="U1752">
        <v>2166</v>
      </c>
      <c r="V1752">
        <v>0</v>
      </c>
      <c r="W1752">
        <v>4</v>
      </c>
      <c r="X1752">
        <v>2002</v>
      </c>
      <c r="Z1752">
        <v>2</v>
      </c>
      <c r="AA1752" t="s">
        <v>26</v>
      </c>
      <c r="AB1752">
        <v>0</v>
      </c>
      <c r="AC1752" t="s">
        <v>115</v>
      </c>
      <c r="AD1752">
        <v>2</v>
      </c>
      <c r="AE1752" t="s">
        <v>115</v>
      </c>
      <c r="AF1752">
        <v>0</v>
      </c>
      <c r="AG1752">
        <v>0</v>
      </c>
      <c r="AH1752" t="s">
        <v>116</v>
      </c>
      <c r="AI1752" s="1">
        <v>43555</v>
      </c>
      <c r="AJ1752" s="2">
        <v>0.15</v>
      </c>
      <c r="AK1752" s="1">
        <v>283211</v>
      </c>
      <c r="AL1752" t="s">
        <v>117</v>
      </c>
      <c r="AM1752" t="s">
        <v>191</v>
      </c>
      <c r="AN1752">
        <v>6095</v>
      </c>
      <c r="AO1752">
        <v>0.14000000000000001</v>
      </c>
      <c r="AP1752">
        <v>1</v>
      </c>
      <c r="AR1752">
        <v>1</v>
      </c>
      <c r="AS1752" s="1">
        <v>19400</v>
      </c>
      <c r="AT1752" s="1">
        <v>3880</v>
      </c>
      <c r="AU1752" s="1">
        <v>15520</v>
      </c>
      <c r="AV1752">
        <v>80</v>
      </c>
      <c r="AX1752" s="1">
        <v>1617.36</v>
      </c>
      <c r="AY1752" t="s">
        <v>6580</v>
      </c>
      <c r="AZ1752" t="s">
        <v>3153</v>
      </c>
      <c r="BA1752" t="s">
        <v>3154</v>
      </c>
      <c r="BE1752" s="3">
        <v>42164</v>
      </c>
      <c r="BF1752" s="1">
        <v>209000</v>
      </c>
      <c r="BG1752" t="s">
        <v>11951</v>
      </c>
      <c r="BH1752" s="1">
        <v>96.49</v>
      </c>
      <c r="BI1752" s="1">
        <v>239656</v>
      </c>
      <c r="BJ1752" s="3">
        <v>42787</v>
      </c>
      <c r="BK1752" t="s">
        <v>123</v>
      </c>
      <c r="BL1752" t="str">
        <f>"2017.125560"</f>
        <v>2017.125560</v>
      </c>
      <c r="BM1752" t="s">
        <v>1135</v>
      </c>
      <c r="BO1752" t="s">
        <v>11952</v>
      </c>
      <c r="BS1752">
        <v>30</v>
      </c>
      <c r="BW1752" t="str">
        <f>""</f>
        <v/>
      </c>
      <c r="CH1752" t="str">
        <f>""</f>
        <v/>
      </c>
      <c r="CS1752" t="str">
        <f>""</f>
        <v/>
      </c>
    </row>
    <row r="1753" spans="1:97" x14ac:dyDescent="0.25">
      <c r="A1753" t="s">
        <v>305</v>
      </c>
      <c r="B1753" t="s">
        <v>11953</v>
      </c>
      <c r="C1753" t="s">
        <v>945</v>
      </c>
      <c r="D1753" t="s">
        <v>11954</v>
      </c>
      <c r="E1753" t="s">
        <v>11955</v>
      </c>
      <c r="F1753" t="s">
        <v>108</v>
      </c>
      <c r="H1753" t="s">
        <v>11956</v>
      </c>
      <c r="I1753" t="s">
        <v>2874</v>
      </c>
      <c r="J1753" t="s">
        <v>111</v>
      </c>
      <c r="K1753" t="str">
        <f>"85304"</f>
        <v>85304</v>
      </c>
      <c r="L1753" t="s">
        <v>6003</v>
      </c>
      <c r="M1753" t="s">
        <v>11956</v>
      </c>
      <c r="N1753" t="s">
        <v>2874</v>
      </c>
      <c r="O1753" t="s">
        <v>111</v>
      </c>
      <c r="P1753" t="str">
        <f>"85304-3912"</f>
        <v>85304-3912</v>
      </c>
      <c r="Q1753" t="s">
        <v>113</v>
      </c>
      <c r="R1753" t="str">
        <f>"148-26-404"</f>
        <v>148-26-404</v>
      </c>
      <c r="S1753" t="s">
        <v>11957</v>
      </c>
      <c r="T1753" t="s">
        <v>11958</v>
      </c>
      <c r="U1753">
        <v>1822</v>
      </c>
      <c r="V1753">
        <v>0</v>
      </c>
      <c r="W1753">
        <v>3</v>
      </c>
      <c r="X1753">
        <v>1979</v>
      </c>
      <c r="Z1753">
        <v>1</v>
      </c>
      <c r="AA1753" t="s">
        <v>26</v>
      </c>
      <c r="AB1753">
        <v>0</v>
      </c>
      <c r="AC1753" t="s">
        <v>115</v>
      </c>
      <c r="AD1753">
        <v>2</v>
      </c>
      <c r="AE1753" t="s">
        <v>115</v>
      </c>
      <c r="AF1753">
        <v>0</v>
      </c>
      <c r="AG1753">
        <v>0</v>
      </c>
      <c r="AH1753" t="s">
        <v>116</v>
      </c>
      <c r="AI1753" s="1">
        <v>47573</v>
      </c>
      <c r="AJ1753" s="2">
        <v>0.17</v>
      </c>
      <c r="AK1753" s="1">
        <v>283773</v>
      </c>
      <c r="AL1753" t="s">
        <v>117</v>
      </c>
      <c r="AM1753" t="s">
        <v>191</v>
      </c>
      <c r="AN1753">
        <v>11173</v>
      </c>
      <c r="AO1753">
        <v>0.26</v>
      </c>
      <c r="AP1753">
        <v>1</v>
      </c>
      <c r="AR1753">
        <v>1</v>
      </c>
      <c r="AS1753" s="1">
        <v>18660</v>
      </c>
      <c r="AT1753" s="1">
        <v>3730</v>
      </c>
      <c r="AU1753" s="1">
        <v>14930</v>
      </c>
      <c r="AV1753">
        <v>80.010000000000005</v>
      </c>
      <c r="AX1753" s="1">
        <v>1223.8399999999999</v>
      </c>
      <c r="AY1753" t="s">
        <v>10931</v>
      </c>
      <c r="AZ1753" t="s">
        <v>10931</v>
      </c>
      <c r="BA1753" t="s">
        <v>8681</v>
      </c>
      <c r="BE1753" s="3">
        <v>42277</v>
      </c>
      <c r="BF1753" s="1">
        <v>235000</v>
      </c>
      <c r="BG1753" t="s">
        <v>11959</v>
      </c>
      <c r="BH1753" s="1">
        <v>128.97999999999999</v>
      </c>
      <c r="BI1753" s="1">
        <v>236200</v>
      </c>
      <c r="BJ1753" s="3">
        <v>43031</v>
      </c>
      <c r="BK1753" t="s">
        <v>123</v>
      </c>
      <c r="BL1753" t="str">
        <f>"2017.782187"</f>
        <v>2017.782187</v>
      </c>
      <c r="BM1753" t="s">
        <v>361</v>
      </c>
      <c r="BO1753" t="s">
        <v>11960</v>
      </c>
      <c r="BP1753" t="s">
        <v>11961</v>
      </c>
      <c r="BS1753">
        <v>30</v>
      </c>
      <c r="BW1753" t="str">
        <f>""</f>
        <v/>
      </c>
      <c r="CH1753" t="str">
        <f>""</f>
        <v/>
      </c>
      <c r="CS1753" t="str">
        <f>""</f>
        <v/>
      </c>
    </row>
    <row r="1754" spans="1:97" x14ac:dyDescent="0.25">
      <c r="A1754" t="s">
        <v>3416</v>
      </c>
      <c r="B1754" t="s">
        <v>11962</v>
      </c>
      <c r="E1754" t="s">
        <v>11963</v>
      </c>
      <c r="F1754" t="s">
        <v>108</v>
      </c>
      <c r="H1754" t="s">
        <v>11964</v>
      </c>
      <c r="I1754" t="s">
        <v>11965</v>
      </c>
      <c r="J1754" t="s">
        <v>111</v>
      </c>
      <c r="K1754" t="str">
        <f>"85354"</f>
        <v>85354</v>
      </c>
      <c r="L1754" t="s">
        <v>6492</v>
      </c>
      <c r="M1754" t="s">
        <v>11964</v>
      </c>
      <c r="N1754" t="s">
        <v>11965</v>
      </c>
      <c r="O1754" t="s">
        <v>111</v>
      </c>
      <c r="P1754" t="str">
        <f>"85354-7283"</f>
        <v>85354-7283</v>
      </c>
      <c r="Q1754" t="s">
        <v>113</v>
      </c>
      <c r="R1754" t="str">
        <f>"506-41-392-B"</f>
        <v>506-41-392-B</v>
      </c>
      <c r="U1754">
        <v>2976</v>
      </c>
      <c r="V1754">
        <v>0</v>
      </c>
      <c r="W1754">
        <v>3</v>
      </c>
      <c r="X1754">
        <v>2007</v>
      </c>
      <c r="Z1754">
        <v>1</v>
      </c>
      <c r="AB1754">
        <v>0</v>
      </c>
      <c r="AC1754" t="s">
        <v>115</v>
      </c>
      <c r="AD1754">
        <v>3</v>
      </c>
      <c r="AE1754" t="s">
        <v>115</v>
      </c>
      <c r="AF1754">
        <v>0</v>
      </c>
      <c r="AG1754">
        <v>0</v>
      </c>
      <c r="AH1754" t="s">
        <v>116</v>
      </c>
      <c r="AI1754" s="1">
        <v>93248</v>
      </c>
      <c r="AJ1754" s="2">
        <v>0.24</v>
      </c>
      <c r="AK1754" s="1">
        <v>385248</v>
      </c>
      <c r="AL1754" t="s">
        <v>117</v>
      </c>
      <c r="AM1754" t="s">
        <v>376</v>
      </c>
      <c r="AN1754">
        <v>46339</v>
      </c>
      <c r="AO1754">
        <v>1.06</v>
      </c>
      <c r="AR1754">
        <v>1</v>
      </c>
      <c r="AS1754" s="1">
        <v>18050</v>
      </c>
      <c r="AT1754" s="1">
        <v>3610</v>
      </c>
      <c r="AU1754" s="1">
        <v>14440</v>
      </c>
      <c r="AV1754">
        <v>80</v>
      </c>
      <c r="AX1754" s="1">
        <v>525.29999999999995</v>
      </c>
      <c r="AY1754" t="s">
        <v>11966</v>
      </c>
      <c r="AZ1754" t="s">
        <v>11966</v>
      </c>
      <c r="BA1754" t="s">
        <v>148</v>
      </c>
      <c r="BB1754" s="3">
        <v>42395</v>
      </c>
      <c r="BD1754" t="s">
        <v>458</v>
      </c>
      <c r="BE1754" s="3">
        <v>41774</v>
      </c>
      <c r="BF1754" s="1">
        <v>217000</v>
      </c>
      <c r="BG1754" t="s">
        <v>11967</v>
      </c>
      <c r="BH1754" s="1">
        <v>72.92</v>
      </c>
      <c r="BI1754" s="1">
        <v>292000</v>
      </c>
      <c r="BJ1754" s="3">
        <v>43179</v>
      </c>
      <c r="BK1754" t="s">
        <v>123</v>
      </c>
      <c r="BL1754" t="str">
        <f>"2018.205862"</f>
        <v>2018.205862</v>
      </c>
      <c r="BM1754" t="s">
        <v>460</v>
      </c>
      <c r="BN1754" t="s">
        <v>461</v>
      </c>
      <c r="BO1754" t="s">
        <v>11968</v>
      </c>
      <c r="BP1754" t="s">
        <v>11969</v>
      </c>
      <c r="BR1754" t="s">
        <v>139</v>
      </c>
      <c r="BW1754" t="str">
        <f>""</f>
        <v/>
      </c>
      <c r="CH1754" t="str">
        <f>""</f>
        <v/>
      </c>
      <c r="CS1754" t="str">
        <f>""</f>
        <v/>
      </c>
    </row>
    <row r="1755" spans="1:97" x14ac:dyDescent="0.25">
      <c r="A1755" t="s">
        <v>10133</v>
      </c>
      <c r="B1755" t="s">
        <v>603</v>
      </c>
      <c r="C1755" t="s">
        <v>4854</v>
      </c>
      <c r="D1755" t="s">
        <v>11970</v>
      </c>
      <c r="E1755" t="s">
        <v>11971</v>
      </c>
      <c r="F1755" t="s">
        <v>108</v>
      </c>
      <c r="H1755" t="s">
        <v>11972</v>
      </c>
      <c r="I1755" t="s">
        <v>390</v>
      </c>
      <c r="J1755" t="s">
        <v>111</v>
      </c>
      <c r="K1755" t="str">
        <f>"85048"</f>
        <v>85048</v>
      </c>
      <c r="L1755" t="s">
        <v>926</v>
      </c>
      <c r="M1755" t="s">
        <v>11972</v>
      </c>
      <c r="N1755" t="s">
        <v>390</v>
      </c>
      <c r="O1755" t="s">
        <v>111</v>
      </c>
      <c r="P1755" t="str">
        <f>"85048-8565"</f>
        <v>85048-8565</v>
      </c>
      <c r="Q1755" t="s">
        <v>113</v>
      </c>
      <c r="R1755" t="str">
        <f>"301-70-856"</f>
        <v>301-70-856</v>
      </c>
      <c r="S1755" t="s">
        <v>11973</v>
      </c>
      <c r="T1755" t="s">
        <v>11974</v>
      </c>
      <c r="U1755">
        <v>1452</v>
      </c>
      <c r="V1755">
        <v>0</v>
      </c>
      <c r="W1755">
        <v>3</v>
      </c>
      <c r="X1755">
        <v>1991</v>
      </c>
      <c r="Z1755">
        <v>1</v>
      </c>
      <c r="AB1755">
        <v>0</v>
      </c>
      <c r="AC1755" t="s">
        <v>115</v>
      </c>
      <c r="AD1755">
        <v>2</v>
      </c>
      <c r="AE1755" t="s">
        <v>115</v>
      </c>
      <c r="AF1755">
        <v>0</v>
      </c>
      <c r="AG1755">
        <v>0</v>
      </c>
      <c r="AH1755" t="s">
        <v>116</v>
      </c>
      <c r="AI1755" s="1">
        <v>35345</v>
      </c>
      <c r="AJ1755" s="2">
        <v>0.12</v>
      </c>
      <c r="AK1755" s="1">
        <v>302725</v>
      </c>
      <c r="AL1755" t="s">
        <v>117</v>
      </c>
      <c r="AM1755" t="s">
        <v>191</v>
      </c>
      <c r="AN1755">
        <v>5637</v>
      </c>
      <c r="AO1755">
        <v>0.13</v>
      </c>
      <c r="AP1755">
        <v>1</v>
      </c>
      <c r="AR1755">
        <v>1</v>
      </c>
      <c r="AS1755" s="1">
        <v>20710</v>
      </c>
      <c r="AT1755" s="1">
        <v>4140</v>
      </c>
      <c r="AU1755" s="1">
        <v>16570</v>
      </c>
      <c r="AV1755">
        <v>80.010000000000005</v>
      </c>
      <c r="AX1755" s="1">
        <v>1901.3</v>
      </c>
      <c r="AY1755" t="s">
        <v>928</v>
      </c>
      <c r="AZ1755" t="s">
        <v>929</v>
      </c>
      <c r="BA1755" t="s">
        <v>930</v>
      </c>
      <c r="BE1755" s="3">
        <v>42223</v>
      </c>
      <c r="BF1755" s="1">
        <v>247000</v>
      </c>
      <c r="BG1755" t="s">
        <v>11975</v>
      </c>
      <c r="BH1755" s="1">
        <v>170.11</v>
      </c>
      <c r="BI1755" s="1">
        <v>267380</v>
      </c>
      <c r="BJ1755" s="3">
        <v>43567</v>
      </c>
      <c r="BK1755" t="s">
        <v>123</v>
      </c>
      <c r="BL1755" t="str">
        <f>"2019.256983"</f>
        <v>2019.256983</v>
      </c>
      <c r="BM1755" t="s">
        <v>699</v>
      </c>
      <c r="BN1755" t="s">
        <v>1590</v>
      </c>
      <c r="BO1755" t="s">
        <v>11976</v>
      </c>
      <c r="BP1755" t="s">
        <v>11977</v>
      </c>
      <c r="BR1755" t="s">
        <v>139</v>
      </c>
      <c r="BW1755" t="str">
        <f>""</f>
        <v/>
      </c>
      <c r="CH1755" t="str">
        <f>""</f>
        <v/>
      </c>
      <c r="CS1755" t="str">
        <f>""</f>
        <v/>
      </c>
    </row>
    <row r="1756" spans="1:97" x14ac:dyDescent="0.25">
      <c r="A1756" t="s">
        <v>1009</v>
      </c>
      <c r="B1756" t="s">
        <v>11978</v>
      </c>
      <c r="C1756" t="s">
        <v>11979</v>
      </c>
      <c r="D1756" t="s">
        <v>11978</v>
      </c>
      <c r="E1756" t="s">
        <v>11980</v>
      </c>
      <c r="F1756" t="s">
        <v>108</v>
      </c>
      <c r="H1756" t="s">
        <v>11981</v>
      </c>
      <c r="I1756" t="s">
        <v>6646</v>
      </c>
      <c r="J1756" t="s">
        <v>111</v>
      </c>
      <c r="K1756" t="str">
        <f>"85086"</f>
        <v>85086</v>
      </c>
      <c r="L1756" t="s">
        <v>2015</v>
      </c>
      <c r="M1756" t="s">
        <v>11981</v>
      </c>
      <c r="N1756" t="s">
        <v>6646</v>
      </c>
      <c r="O1756" t="s">
        <v>111</v>
      </c>
      <c r="P1756" t="str">
        <f>"85086-1739"</f>
        <v>85086-1739</v>
      </c>
      <c r="Q1756" t="s">
        <v>113</v>
      </c>
      <c r="R1756" t="str">
        <f>"203-10-587"</f>
        <v>203-10-587</v>
      </c>
      <c r="S1756" t="s">
        <v>11446</v>
      </c>
      <c r="U1756">
        <v>2689</v>
      </c>
      <c r="V1756">
        <v>0</v>
      </c>
      <c r="W1756">
        <v>4</v>
      </c>
      <c r="X1756">
        <v>2000</v>
      </c>
      <c r="Z1756">
        <v>2</v>
      </c>
      <c r="AA1756" t="s">
        <v>26</v>
      </c>
      <c r="AB1756">
        <v>0</v>
      </c>
      <c r="AC1756" t="s">
        <v>115</v>
      </c>
      <c r="AD1756">
        <v>2</v>
      </c>
      <c r="AE1756" t="s">
        <v>115</v>
      </c>
      <c r="AF1756">
        <v>0</v>
      </c>
      <c r="AG1756">
        <v>0</v>
      </c>
      <c r="AH1756" t="s">
        <v>116</v>
      </c>
      <c r="AI1756" s="1">
        <v>60951</v>
      </c>
      <c r="AJ1756" s="2">
        <v>0.16</v>
      </c>
      <c r="AK1756" s="1">
        <v>388078</v>
      </c>
      <c r="AL1756" t="s">
        <v>117</v>
      </c>
      <c r="AM1756" t="s">
        <v>393</v>
      </c>
      <c r="AN1756">
        <v>8642</v>
      </c>
      <c r="AO1756">
        <v>0.2</v>
      </c>
      <c r="AP1756">
        <v>1</v>
      </c>
      <c r="AR1756">
        <v>1</v>
      </c>
      <c r="AS1756" s="1">
        <v>27530</v>
      </c>
      <c r="AT1756" s="1">
        <v>5500</v>
      </c>
      <c r="AU1756" s="1">
        <v>22030</v>
      </c>
      <c r="AV1756">
        <v>80.02</v>
      </c>
      <c r="AX1756" s="1">
        <v>3026.98</v>
      </c>
      <c r="AY1756" t="s">
        <v>6648</v>
      </c>
      <c r="AZ1756" t="s">
        <v>6648</v>
      </c>
      <c r="BA1756" t="s">
        <v>378</v>
      </c>
      <c r="BE1756" s="3">
        <v>41782</v>
      </c>
      <c r="BF1756" s="1">
        <v>315000</v>
      </c>
      <c r="BG1756" t="s">
        <v>11982</v>
      </c>
      <c r="BH1756" s="1">
        <v>117.14</v>
      </c>
      <c r="BI1756" s="1">
        <v>327127</v>
      </c>
      <c r="BJ1756" s="3">
        <v>41967</v>
      </c>
      <c r="BK1756" t="s">
        <v>123</v>
      </c>
      <c r="BL1756" t="str">
        <f>"2014.778114"</f>
        <v>2014.778114</v>
      </c>
      <c r="BM1756" t="s">
        <v>2051</v>
      </c>
      <c r="BO1756" t="s">
        <v>11983</v>
      </c>
      <c r="BS1756">
        <v>30</v>
      </c>
      <c r="BW1756" t="str">
        <f>""</f>
        <v/>
      </c>
      <c r="CH1756" t="str">
        <f>""</f>
        <v/>
      </c>
      <c r="CS1756" t="str">
        <f>""</f>
        <v/>
      </c>
    </row>
    <row r="1757" spans="1:97" x14ac:dyDescent="0.25">
      <c r="A1757" t="s">
        <v>11984</v>
      </c>
      <c r="B1757" t="s">
        <v>11985</v>
      </c>
      <c r="C1757" t="s">
        <v>11986</v>
      </c>
      <c r="D1757" t="s">
        <v>11985</v>
      </c>
      <c r="E1757" t="s">
        <v>11987</v>
      </c>
      <c r="F1757" t="s">
        <v>108</v>
      </c>
      <c r="H1757" t="s">
        <v>11988</v>
      </c>
      <c r="I1757" t="s">
        <v>188</v>
      </c>
      <c r="J1757" t="s">
        <v>111</v>
      </c>
      <c r="K1757" t="str">
        <f>"85142"</f>
        <v>85142</v>
      </c>
      <c r="L1757" t="s">
        <v>5893</v>
      </c>
      <c r="M1757" t="s">
        <v>11988</v>
      </c>
      <c r="N1757" t="s">
        <v>188</v>
      </c>
      <c r="O1757" t="s">
        <v>111</v>
      </c>
      <c r="P1757" t="str">
        <f>"85142-4832"</f>
        <v>85142-4832</v>
      </c>
      <c r="Q1757" t="s">
        <v>113</v>
      </c>
      <c r="R1757" t="str">
        <f>"314-04-773"</f>
        <v>314-04-773</v>
      </c>
      <c r="S1757" t="s">
        <v>5894</v>
      </c>
      <c r="T1757" t="s">
        <v>5894</v>
      </c>
      <c r="U1757">
        <v>2213</v>
      </c>
      <c r="V1757">
        <v>0</v>
      </c>
      <c r="W1757">
        <v>4</v>
      </c>
      <c r="X1757">
        <v>2014</v>
      </c>
      <c r="Z1757">
        <v>1</v>
      </c>
      <c r="AB1757">
        <v>0</v>
      </c>
      <c r="AC1757" t="s">
        <v>115</v>
      </c>
      <c r="AD1757">
        <v>2</v>
      </c>
      <c r="AE1757" t="s">
        <v>115</v>
      </c>
      <c r="AF1757">
        <v>0</v>
      </c>
      <c r="AG1757">
        <v>0</v>
      </c>
      <c r="AH1757" t="s">
        <v>116</v>
      </c>
      <c r="AI1757" s="1">
        <v>111362</v>
      </c>
      <c r="AJ1757" s="2">
        <v>0.32</v>
      </c>
      <c r="AK1757" s="1">
        <v>349976</v>
      </c>
      <c r="AL1757" t="s">
        <v>117</v>
      </c>
      <c r="AM1757" t="s">
        <v>191</v>
      </c>
      <c r="AN1757">
        <v>6900</v>
      </c>
      <c r="AO1757">
        <v>0.16</v>
      </c>
      <c r="AR1757">
        <v>1</v>
      </c>
      <c r="AS1757" s="1">
        <v>24570</v>
      </c>
      <c r="AT1757" s="1">
        <v>4910</v>
      </c>
      <c r="AU1757" s="1">
        <v>19660</v>
      </c>
      <c r="AV1757">
        <v>80.02</v>
      </c>
      <c r="AX1757" s="1">
        <v>1781.48</v>
      </c>
      <c r="AY1757" t="s">
        <v>5895</v>
      </c>
      <c r="AZ1757" t="s">
        <v>561</v>
      </c>
      <c r="BA1757" t="s">
        <v>194</v>
      </c>
      <c r="BE1757" s="3">
        <v>41908</v>
      </c>
      <c r="BF1757" s="1">
        <v>238614</v>
      </c>
      <c r="BG1757" t="s">
        <v>617</v>
      </c>
      <c r="BH1757" s="1">
        <v>107.82</v>
      </c>
      <c r="BI1757" s="1">
        <v>238614</v>
      </c>
      <c r="BJ1757" s="3">
        <v>41908</v>
      </c>
      <c r="BK1757" t="s">
        <v>123</v>
      </c>
      <c r="BL1757" t="str">
        <f>"2014.637649"</f>
        <v>2014.637649</v>
      </c>
      <c r="BM1757" t="s">
        <v>618</v>
      </c>
      <c r="BO1757" t="s">
        <v>11989</v>
      </c>
      <c r="BS1757">
        <v>30</v>
      </c>
      <c r="BW1757" t="str">
        <f>""</f>
        <v/>
      </c>
      <c r="CH1757" t="str">
        <f>""</f>
        <v/>
      </c>
      <c r="CS1757" t="str">
        <f>""</f>
        <v/>
      </c>
    </row>
    <row r="1758" spans="1:97" x14ac:dyDescent="0.25">
      <c r="A1758" t="s">
        <v>325</v>
      </c>
      <c r="B1758" t="s">
        <v>11990</v>
      </c>
      <c r="C1758" t="s">
        <v>11991</v>
      </c>
      <c r="D1758" t="s">
        <v>11992</v>
      </c>
      <c r="E1758" t="s">
        <v>11993</v>
      </c>
      <c r="F1758" t="s">
        <v>108</v>
      </c>
      <c r="H1758" t="s">
        <v>11994</v>
      </c>
      <c r="I1758" t="s">
        <v>453</v>
      </c>
      <c r="J1758" t="s">
        <v>111</v>
      </c>
      <c r="K1758" t="str">
        <f>"85383"</f>
        <v>85383</v>
      </c>
      <c r="L1758" t="s">
        <v>454</v>
      </c>
      <c r="M1758" t="s">
        <v>11994</v>
      </c>
      <c r="N1758" t="s">
        <v>453</v>
      </c>
      <c r="O1758" t="s">
        <v>111</v>
      </c>
      <c r="P1758" t="str">
        <f>"85383-7955"</f>
        <v>85383-7955</v>
      </c>
      <c r="Q1758" t="s">
        <v>113</v>
      </c>
      <c r="R1758" t="str">
        <f>"503-80-676"</f>
        <v>503-80-676</v>
      </c>
      <c r="S1758" t="s">
        <v>2297</v>
      </c>
      <c r="U1758">
        <v>2720</v>
      </c>
      <c r="V1758">
        <v>0</v>
      </c>
      <c r="W1758">
        <v>4</v>
      </c>
      <c r="X1758">
        <v>2016</v>
      </c>
      <c r="Z1758">
        <v>2</v>
      </c>
      <c r="AB1758">
        <v>0</v>
      </c>
      <c r="AC1758" t="s">
        <v>115</v>
      </c>
      <c r="AD1758">
        <v>2</v>
      </c>
      <c r="AE1758" t="s">
        <v>115</v>
      </c>
      <c r="AF1758">
        <v>0</v>
      </c>
      <c r="AG1758">
        <v>0</v>
      </c>
      <c r="AH1758" t="s">
        <v>116</v>
      </c>
      <c r="AI1758" s="1">
        <v>51742</v>
      </c>
      <c r="AJ1758" s="2">
        <v>0.13</v>
      </c>
      <c r="AK1758" s="1">
        <v>395486</v>
      </c>
      <c r="AL1758" t="s">
        <v>117</v>
      </c>
      <c r="AM1758" t="s">
        <v>118</v>
      </c>
      <c r="AN1758">
        <v>6187</v>
      </c>
      <c r="AO1758">
        <v>0.14000000000000001</v>
      </c>
      <c r="AR1758">
        <v>1</v>
      </c>
      <c r="AS1758" s="1">
        <v>28320</v>
      </c>
      <c r="AT1758" s="1">
        <v>5660</v>
      </c>
      <c r="AU1758" s="1">
        <v>22660</v>
      </c>
      <c r="AV1758">
        <v>80.010000000000005</v>
      </c>
      <c r="AX1758" s="1">
        <v>2846.68</v>
      </c>
      <c r="AY1758" t="s">
        <v>456</v>
      </c>
      <c r="AZ1758" t="s">
        <v>456</v>
      </c>
      <c r="BA1758" t="s">
        <v>457</v>
      </c>
      <c r="BE1758" s="3">
        <v>42475</v>
      </c>
      <c r="BF1758" s="1">
        <v>332763</v>
      </c>
      <c r="BG1758" t="s">
        <v>636</v>
      </c>
      <c r="BH1758" s="1">
        <v>122.34</v>
      </c>
      <c r="BI1758" s="1">
        <v>343744</v>
      </c>
      <c r="BJ1758" s="3">
        <v>42475</v>
      </c>
      <c r="BK1758" t="s">
        <v>123</v>
      </c>
      <c r="BL1758" t="str">
        <f>"2016.253508"</f>
        <v>2016.253508</v>
      </c>
      <c r="BM1758" t="s">
        <v>637</v>
      </c>
      <c r="BO1758" t="s">
        <v>11995</v>
      </c>
      <c r="BP1758" t="s">
        <v>11996</v>
      </c>
      <c r="BS1758">
        <v>30</v>
      </c>
      <c r="BW1758" t="str">
        <f>""</f>
        <v/>
      </c>
      <c r="CH1758" t="str">
        <f>""</f>
        <v/>
      </c>
      <c r="CS1758" t="str">
        <f>""</f>
        <v/>
      </c>
    </row>
    <row r="1759" spans="1:97" x14ac:dyDescent="0.25">
      <c r="A1759" t="s">
        <v>11735</v>
      </c>
      <c r="B1759" t="s">
        <v>9013</v>
      </c>
      <c r="E1759" t="s">
        <v>11997</v>
      </c>
      <c r="F1759" t="s">
        <v>108</v>
      </c>
      <c r="H1759" t="s">
        <v>11998</v>
      </c>
      <c r="I1759" t="s">
        <v>390</v>
      </c>
      <c r="J1759" t="s">
        <v>111</v>
      </c>
      <c r="K1759" t="str">
        <f>"85044"</f>
        <v>85044</v>
      </c>
      <c r="L1759" t="s">
        <v>5138</v>
      </c>
      <c r="M1759" t="s">
        <v>11998</v>
      </c>
      <c r="N1759" t="s">
        <v>390</v>
      </c>
      <c r="O1759" t="s">
        <v>111</v>
      </c>
      <c r="P1759" t="str">
        <f>"85044-5683"</f>
        <v>85044-5683</v>
      </c>
      <c r="Q1759" t="s">
        <v>113</v>
      </c>
      <c r="R1759" t="str">
        <f>"301-41-633"</f>
        <v>301-41-633</v>
      </c>
      <c r="S1759" t="s">
        <v>11999</v>
      </c>
      <c r="U1759">
        <v>2683</v>
      </c>
      <c r="V1759">
        <v>0</v>
      </c>
      <c r="W1759">
        <v>4</v>
      </c>
      <c r="X1759">
        <v>1993</v>
      </c>
      <c r="Z1759">
        <v>2</v>
      </c>
      <c r="AA1759" t="s">
        <v>26</v>
      </c>
      <c r="AB1759">
        <v>0</v>
      </c>
      <c r="AC1759" t="s">
        <v>115</v>
      </c>
      <c r="AD1759">
        <v>3</v>
      </c>
      <c r="AE1759" t="s">
        <v>115</v>
      </c>
      <c r="AF1759">
        <v>0</v>
      </c>
      <c r="AG1759">
        <v>0</v>
      </c>
      <c r="AH1759" t="s">
        <v>116</v>
      </c>
      <c r="AI1759" s="1">
        <v>45964</v>
      </c>
      <c r="AJ1759" s="2">
        <v>0.09</v>
      </c>
      <c r="AK1759" s="1">
        <v>489550</v>
      </c>
      <c r="AL1759" t="s">
        <v>117</v>
      </c>
      <c r="AM1759" t="s">
        <v>191</v>
      </c>
      <c r="AN1759">
        <v>5497</v>
      </c>
      <c r="AO1759">
        <v>0.13</v>
      </c>
      <c r="AP1759">
        <v>1</v>
      </c>
      <c r="AR1759">
        <v>1</v>
      </c>
      <c r="AS1759" s="1">
        <v>35400</v>
      </c>
      <c r="AT1759" s="1">
        <v>7080</v>
      </c>
      <c r="AU1759" s="1">
        <v>28320</v>
      </c>
      <c r="AV1759">
        <v>80</v>
      </c>
      <c r="AX1759" s="1">
        <v>3829</v>
      </c>
      <c r="AY1759" t="s">
        <v>11872</v>
      </c>
      <c r="AZ1759" t="s">
        <v>7255</v>
      </c>
      <c r="BA1759" t="s">
        <v>5328</v>
      </c>
      <c r="BE1759" s="3">
        <v>41869</v>
      </c>
      <c r="BF1759" s="1">
        <v>440000</v>
      </c>
      <c r="BG1759" t="s">
        <v>12000</v>
      </c>
      <c r="BH1759" s="1">
        <v>164</v>
      </c>
      <c r="BI1759" s="1">
        <v>443586</v>
      </c>
      <c r="BJ1759" s="3">
        <v>41869</v>
      </c>
      <c r="BK1759" t="s">
        <v>123</v>
      </c>
      <c r="BL1759" t="str">
        <f>"2014.543271"</f>
        <v>2014.543271</v>
      </c>
      <c r="BM1759" t="s">
        <v>135</v>
      </c>
      <c r="BO1759" t="s">
        <v>12001</v>
      </c>
      <c r="BS1759">
        <v>30</v>
      </c>
      <c r="BW1759" t="str">
        <f>""</f>
        <v/>
      </c>
      <c r="CH1759" t="str">
        <f>""</f>
        <v/>
      </c>
      <c r="CS1759" t="str">
        <f>""</f>
        <v/>
      </c>
    </row>
    <row r="1760" spans="1:97" x14ac:dyDescent="0.25">
      <c r="A1760" t="s">
        <v>12002</v>
      </c>
      <c r="B1760" t="s">
        <v>12003</v>
      </c>
      <c r="E1760" t="s">
        <v>12004</v>
      </c>
      <c r="F1760" t="s">
        <v>108</v>
      </c>
      <c r="H1760" t="s">
        <v>12005</v>
      </c>
      <c r="I1760" t="s">
        <v>3150</v>
      </c>
      <c r="J1760" t="s">
        <v>111</v>
      </c>
      <c r="K1760" t="str">
        <f>"85340"</f>
        <v>85340</v>
      </c>
      <c r="L1760" t="s">
        <v>11097</v>
      </c>
      <c r="M1760" t="s">
        <v>12005</v>
      </c>
      <c r="N1760" t="s">
        <v>3150</v>
      </c>
      <c r="O1760" t="s">
        <v>111</v>
      </c>
      <c r="P1760" t="str">
        <f>"85340-5909"</f>
        <v>85340-5909</v>
      </c>
      <c r="Q1760" t="s">
        <v>113</v>
      </c>
      <c r="R1760" t="str">
        <f>"508-02-368"</f>
        <v>508-02-368</v>
      </c>
      <c r="S1760" t="s">
        <v>9163</v>
      </c>
      <c r="T1760" t="s">
        <v>9163</v>
      </c>
      <c r="U1760">
        <v>2488</v>
      </c>
      <c r="V1760">
        <v>0</v>
      </c>
      <c r="W1760">
        <v>3</v>
      </c>
      <c r="X1760">
        <v>2005</v>
      </c>
      <c r="Z1760">
        <v>1</v>
      </c>
      <c r="AB1760">
        <v>0</v>
      </c>
      <c r="AC1760" t="s">
        <v>115</v>
      </c>
      <c r="AD1760">
        <v>2</v>
      </c>
      <c r="AE1760" t="s">
        <v>115</v>
      </c>
      <c r="AF1760">
        <v>0</v>
      </c>
      <c r="AG1760">
        <v>0</v>
      </c>
      <c r="AH1760" t="s">
        <v>116</v>
      </c>
      <c r="AI1760" s="1">
        <v>58663</v>
      </c>
      <c r="AJ1760" s="2">
        <v>0.18</v>
      </c>
      <c r="AK1760" s="1">
        <v>323663</v>
      </c>
      <c r="AL1760" t="s">
        <v>117</v>
      </c>
      <c r="AM1760" t="s">
        <v>118</v>
      </c>
      <c r="AN1760">
        <v>8131</v>
      </c>
      <c r="AO1760">
        <v>0.19</v>
      </c>
      <c r="AR1760">
        <v>1</v>
      </c>
      <c r="AS1760" s="1">
        <v>22530</v>
      </c>
      <c r="AT1760" s="1">
        <v>4500</v>
      </c>
      <c r="AU1760" s="1">
        <v>18030</v>
      </c>
      <c r="AV1760">
        <v>80.03</v>
      </c>
      <c r="AX1760" s="1">
        <v>1980.14</v>
      </c>
      <c r="AY1760" t="s">
        <v>7636</v>
      </c>
      <c r="AZ1760" t="s">
        <v>6701</v>
      </c>
      <c r="BA1760" t="s">
        <v>3154</v>
      </c>
      <c r="BE1760" s="3">
        <v>42433</v>
      </c>
      <c r="BF1760" s="1">
        <v>265000</v>
      </c>
      <c r="BG1760" t="s">
        <v>12006</v>
      </c>
      <c r="BH1760" s="1">
        <v>106.51</v>
      </c>
      <c r="BI1760" s="1">
        <v>265000</v>
      </c>
      <c r="BJ1760" s="3">
        <v>42433</v>
      </c>
      <c r="BK1760" t="s">
        <v>123</v>
      </c>
      <c r="BL1760" t="str">
        <f>"2016.140796"</f>
        <v>2016.140796</v>
      </c>
      <c r="BM1760" t="s">
        <v>135</v>
      </c>
      <c r="BO1760" t="s">
        <v>12007</v>
      </c>
      <c r="BS1760">
        <v>30</v>
      </c>
      <c r="BW1760" t="str">
        <f>""</f>
        <v/>
      </c>
      <c r="CH1760" t="str">
        <f>""</f>
        <v/>
      </c>
      <c r="CS1760" t="str">
        <f>""</f>
        <v/>
      </c>
    </row>
    <row r="1761" spans="1:97" x14ac:dyDescent="0.25">
      <c r="A1761" t="s">
        <v>1647</v>
      </c>
      <c r="B1761" t="s">
        <v>12008</v>
      </c>
      <c r="C1761" t="s">
        <v>970</v>
      </c>
      <c r="D1761" t="s">
        <v>12008</v>
      </c>
      <c r="E1761" t="s">
        <v>12009</v>
      </c>
      <c r="F1761" t="s">
        <v>108</v>
      </c>
      <c r="H1761" t="s">
        <v>12010</v>
      </c>
      <c r="I1761" t="s">
        <v>110</v>
      </c>
      <c r="J1761" t="s">
        <v>111</v>
      </c>
      <c r="K1761" t="str">
        <f>"85249"</f>
        <v>85249</v>
      </c>
      <c r="L1761" t="s">
        <v>681</v>
      </c>
      <c r="M1761" t="s">
        <v>12010</v>
      </c>
      <c r="N1761" t="s">
        <v>110</v>
      </c>
      <c r="O1761" t="s">
        <v>111</v>
      </c>
      <c r="P1761" t="str">
        <f>"85249-4597"</f>
        <v>85249-4597</v>
      </c>
      <c r="Q1761" t="s">
        <v>113</v>
      </c>
      <c r="R1761" t="str">
        <f>"303-47-047"</f>
        <v>303-47-047</v>
      </c>
      <c r="S1761" t="s">
        <v>12011</v>
      </c>
      <c r="T1761" t="s">
        <v>12011</v>
      </c>
      <c r="U1761">
        <v>2696</v>
      </c>
      <c r="V1761">
        <v>0</v>
      </c>
      <c r="W1761">
        <v>4</v>
      </c>
      <c r="X1761">
        <v>2011</v>
      </c>
      <c r="Z1761">
        <v>1</v>
      </c>
      <c r="AA1761" t="s">
        <v>26</v>
      </c>
      <c r="AB1761">
        <v>0</v>
      </c>
      <c r="AC1761" t="s">
        <v>115</v>
      </c>
      <c r="AD1761">
        <v>3</v>
      </c>
      <c r="AE1761" t="s">
        <v>115</v>
      </c>
      <c r="AF1761">
        <v>0</v>
      </c>
      <c r="AG1761">
        <v>0</v>
      </c>
      <c r="AH1761" t="s">
        <v>116</v>
      </c>
      <c r="AI1761" s="1">
        <v>121297</v>
      </c>
      <c r="AJ1761" s="2">
        <v>0.24</v>
      </c>
      <c r="AK1761" s="1">
        <v>506297</v>
      </c>
      <c r="AL1761" t="s">
        <v>117</v>
      </c>
      <c r="AM1761" t="s">
        <v>118</v>
      </c>
      <c r="AN1761">
        <v>9460</v>
      </c>
      <c r="AO1761">
        <v>0.22</v>
      </c>
      <c r="AR1761">
        <v>1</v>
      </c>
      <c r="AS1761" s="1">
        <v>38230</v>
      </c>
      <c r="AT1761" s="1">
        <v>7640</v>
      </c>
      <c r="AU1761" s="1">
        <v>30590</v>
      </c>
      <c r="AV1761">
        <v>80.02</v>
      </c>
      <c r="AX1761" s="1">
        <v>3531.8</v>
      </c>
      <c r="AY1761" t="s">
        <v>6854</v>
      </c>
      <c r="AZ1761" t="s">
        <v>120</v>
      </c>
      <c r="BA1761" t="s">
        <v>274</v>
      </c>
      <c r="BE1761" s="3">
        <v>41675</v>
      </c>
      <c r="BF1761" s="1">
        <v>385000</v>
      </c>
      <c r="BG1761" t="s">
        <v>12012</v>
      </c>
      <c r="BH1761" s="1">
        <v>142.80000000000001</v>
      </c>
      <c r="BI1761" s="1">
        <v>385000</v>
      </c>
      <c r="BJ1761" s="3">
        <v>41675</v>
      </c>
      <c r="BK1761" t="s">
        <v>123</v>
      </c>
      <c r="BL1761" t="str">
        <f>"2014.78432"</f>
        <v>2014.78432</v>
      </c>
      <c r="BM1761" t="s">
        <v>6784</v>
      </c>
      <c r="BO1761" t="s">
        <v>12013</v>
      </c>
      <c r="BS1761">
        <v>30</v>
      </c>
      <c r="BW1761" t="str">
        <f>""</f>
        <v/>
      </c>
      <c r="CH1761" t="str">
        <f>""</f>
        <v/>
      </c>
      <c r="CS1761" t="str">
        <f>""</f>
        <v/>
      </c>
    </row>
    <row r="1762" spans="1:97" x14ac:dyDescent="0.25">
      <c r="A1762" t="s">
        <v>12014</v>
      </c>
      <c r="B1762" t="s">
        <v>12015</v>
      </c>
      <c r="C1762" t="s">
        <v>2530</v>
      </c>
      <c r="D1762" t="s">
        <v>12015</v>
      </c>
      <c r="E1762" t="s">
        <v>12016</v>
      </c>
      <c r="F1762" t="s">
        <v>108</v>
      </c>
      <c r="H1762" t="s">
        <v>12017</v>
      </c>
      <c r="I1762" t="s">
        <v>390</v>
      </c>
      <c r="J1762" t="s">
        <v>111</v>
      </c>
      <c r="K1762" t="str">
        <f>"85045"</f>
        <v>85045</v>
      </c>
      <c r="L1762" t="s">
        <v>3430</v>
      </c>
      <c r="M1762" t="s">
        <v>12017</v>
      </c>
      <c r="N1762" t="s">
        <v>390</v>
      </c>
      <c r="O1762" t="s">
        <v>111</v>
      </c>
      <c r="P1762" t="str">
        <f>"85045-2212"</f>
        <v>85045-2212</v>
      </c>
      <c r="Q1762" t="s">
        <v>113</v>
      </c>
      <c r="R1762" t="str">
        <f>"300-05-558"</f>
        <v>300-05-558</v>
      </c>
      <c r="S1762" t="s">
        <v>12018</v>
      </c>
      <c r="T1762" t="s">
        <v>12019</v>
      </c>
      <c r="U1762">
        <v>2854</v>
      </c>
      <c r="V1762">
        <v>0</v>
      </c>
      <c r="W1762">
        <v>4</v>
      </c>
      <c r="X1762">
        <v>2004</v>
      </c>
      <c r="Z1762">
        <v>2</v>
      </c>
      <c r="AA1762" t="s">
        <v>26</v>
      </c>
      <c r="AB1762">
        <v>0</v>
      </c>
      <c r="AC1762" t="s">
        <v>115</v>
      </c>
      <c r="AD1762">
        <v>3</v>
      </c>
      <c r="AE1762" t="s">
        <v>115</v>
      </c>
      <c r="AF1762">
        <v>0</v>
      </c>
      <c r="AG1762">
        <v>0</v>
      </c>
      <c r="AH1762" t="s">
        <v>116</v>
      </c>
      <c r="AI1762" s="1">
        <v>58100</v>
      </c>
      <c r="AJ1762" s="2">
        <v>0.15</v>
      </c>
      <c r="AK1762" s="1">
        <v>395100</v>
      </c>
      <c r="AL1762" t="s">
        <v>117</v>
      </c>
      <c r="AM1762" t="s">
        <v>3345</v>
      </c>
      <c r="AN1762">
        <v>6304</v>
      </c>
      <c r="AO1762">
        <v>0.14000000000000001</v>
      </c>
      <c r="AP1762">
        <v>1</v>
      </c>
      <c r="AR1762">
        <v>1</v>
      </c>
      <c r="AS1762" s="1">
        <v>27960</v>
      </c>
      <c r="AT1762" s="1">
        <v>5590</v>
      </c>
      <c r="AU1762" s="1">
        <v>22370</v>
      </c>
      <c r="AV1762">
        <v>80.010000000000005</v>
      </c>
      <c r="AX1762" s="1">
        <v>2494.06</v>
      </c>
      <c r="AY1762" t="s">
        <v>6202</v>
      </c>
      <c r="AZ1762" t="s">
        <v>2967</v>
      </c>
      <c r="BA1762" t="s">
        <v>930</v>
      </c>
      <c r="BE1762" s="3">
        <v>42460</v>
      </c>
      <c r="BF1762" s="1">
        <v>337000</v>
      </c>
      <c r="BG1762" t="s">
        <v>12020</v>
      </c>
      <c r="BH1762" s="1">
        <v>118.08</v>
      </c>
      <c r="BI1762" s="1">
        <v>337000</v>
      </c>
      <c r="BJ1762" s="3">
        <v>42460</v>
      </c>
      <c r="BK1762" t="s">
        <v>123</v>
      </c>
      <c r="BL1762" t="str">
        <f>"2016.212344"</f>
        <v>2016.212344</v>
      </c>
      <c r="BM1762" t="s">
        <v>2378</v>
      </c>
      <c r="BO1762" t="s">
        <v>12021</v>
      </c>
      <c r="BS1762">
        <v>30</v>
      </c>
      <c r="BW1762" t="str">
        <f>""</f>
        <v/>
      </c>
      <c r="CH1762" t="str">
        <f>""</f>
        <v/>
      </c>
      <c r="CS1762" t="str">
        <f>""</f>
        <v/>
      </c>
    </row>
    <row r="1763" spans="1:97" x14ac:dyDescent="0.25">
      <c r="A1763" t="s">
        <v>370</v>
      </c>
      <c r="B1763" t="s">
        <v>12022</v>
      </c>
      <c r="C1763" t="s">
        <v>489</v>
      </c>
      <c r="D1763" t="s">
        <v>12022</v>
      </c>
      <c r="E1763" t="s">
        <v>12023</v>
      </c>
      <c r="F1763" t="s">
        <v>108</v>
      </c>
      <c r="H1763" t="s">
        <v>12024</v>
      </c>
      <c r="I1763" t="s">
        <v>453</v>
      </c>
      <c r="J1763" t="s">
        <v>111</v>
      </c>
      <c r="K1763" t="str">
        <f>"85383"</f>
        <v>85383</v>
      </c>
      <c r="L1763" t="s">
        <v>6316</v>
      </c>
      <c r="M1763" t="s">
        <v>12024</v>
      </c>
      <c r="N1763" t="s">
        <v>453</v>
      </c>
      <c r="O1763" t="s">
        <v>111</v>
      </c>
      <c r="P1763" t="str">
        <f>"85383-2113"</f>
        <v>85383-2113</v>
      </c>
      <c r="Q1763" t="s">
        <v>113</v>
      </c>
      <c r="R1763" t="str">
        <f>"200-07-225"</f>
        <v>200-07-225</v>
      </c>
      <c r="S1763" t="s">
        <v>9944</v>
      </c>
      <c r="T1763" t="s">
        <v>9944</v>
      </c>
      <c r="U1763">
        <v>3406</v>
      </c>
      <c r="V1763">
        <v>0</v>
      </c>
      <c r="W1763">
        <v>4</v>
      </c>
      <c r="X1763">
        <v>1999</v>
      </c>
      <c r="Z1763">
        <v>2</v>
      </c>
      <c r="AA1763" t="s">
        <v>26</v>
      </c>
      <c r="AB1763">
        <v>0</v>
      </c>
      <c r="AC1763" t="s">
        <v>115</v>
      </c>
      <c r="AD1763">
        <v>3</v>
      </c>
      <c r="AE1763" t="s">
        <v>115</v>
      </c>
      <c r="AF1763">
        <v>0</v>
      </c>
      <c r="AG1763">
        <v>0</v>
      </c>
      <c r="AH1763" t="s">
        <v>116</v>
      </c>
      <c r="AI1763" s="1">
        <v>75244</v>
      </c>
      <c r="AJ1763" s="2">
        <v>0.15</v>
      </c>
      <c r="AK1763" s="1">
        <v>486244</v>
      </c>
      <c r="AL1763" t="s">
        <v>117</v>
      </c>
      <c r="AM1763" t="s">
        <v>1302</v>
      </c>
      <c r="AN1763">
        <v>10660</v>
      </c>
      <c r="AO1763">
        <v>0.24</v>
      </c>
      <c r="AP1763">
        <v>1</v>
      </c>
      <c r="AR1763">
        <v>1</v>
      </c>
      <c r="AS1763" s="1">
        <v>35050</v>
      </c>
      <c r="AT1763" s="1">
        <v>7010</v>
      </c>
      <c r="AU1763" s="1">
        <v>28040</v>
      </c>
      <c r="AV1763">
        <v>80</v>
      </c>
      <c r="AX1763" s="1">
        <v>3628.44</v>
      </c>
      <c r="AY1763" t="s">
        <v>4218</v>
      </c>
      <c r="AZ1763" t="s">
        <v>4218</v>
      </c>
      <c r="BA1763" t="s">
        <v>4219</v>
      </c>
      <c r="BE1763" s="3">
        <v>42460</v>
      </c>
      <c r="BF1763" s="1">
        <v>411000</v>
      </c>
      <c r="BG1763" t="s">
        <v>12025</v>
      </c>
      <c r="BH1763" s="1">
        <v>120.67</v>
      </c>
      <c r="BI1763" s="1">
        <v>411000</v>
      </c>
      <c r="BJ1763" s="3">
        <v>42460</v>
      </c>
      <c r="BK1763" t="s">
        <v>123</v>
      </c>
      <c r="BL1763" t="str">
        <f>"2016.210767"</f>
        <v>2016.210767</v>
      </c>
      <c r="BM1763" t="s">
        <v>475</v>
      </c>
      <c r="BO1763" t="s">
        <v>12026</v>
      </c>
      <c r="BS1763">
        <v>30</v>
      </c>
      <c r="BW1763" t="str">
        <f>""</f>
        <v/>
      </c>
      <c r="CH1763" t="str">
        <f>""</f>
        <v/>
      </c>
      <c r="CS1763" t="str">
        <f>""</f>
        <v/>
      </c>
    </row>
    <row r="1764" spans="1:97" x14ac:dyDescent="0.25">
      <c r="A1764" t="s">
        <v>610</v>
      </c>
      <c r="B1764" t="s">
        <v>12027</v>
      </c>
      <c r="C1764" t="s">
        <v>8268</v>
      </c>
      <c r="D1764" t="s">
        <v>12027</v>
      </c>
      <c r="E1764" t="s">
        <v>12028</v>
      </c>
      <c r="F1764" t="s">
        <v>108</v>
      </c>
      <c r="H1764" t="s">
        <v>12029</v>
      </c>
      <c r="I1764" t="s">
        <v>2874</v>
      </c>
      <c r="J1764" t="s">
        <v>111</v>
      </c>
      <c r="K1764" t="str">
        <f>"85301"</f>
        <v>85301</v>
      </c>
      <c r="L1764" t="s">
        <v>7992</v>
      </c>
      <c r="M1764" t="s">
        <v>12029</v>
      </c>
      <c r="N1764" t="s">
        <v>2874</v>
      </c>
      <c r="O1764" t="s">
        <v>111</v>
      </c>
      <c r="P1764" t="str">
        <f>"85301-1615"</f>
        <v>85301-1615</v>
      </c>
      <c r="Q1764" t="s">
        <v>113</v>
      </c>
      <c r="R1764" t="str">
        <f>"147-05-117"</f>
        <v>147-05-117</v>
      </c>
      <c r="S1764" t="s">
        <v>12030</v>
      </c>
      <c r="T1764" t="s">
        <v>12031</v>
      </c>
      <c r="U1764">
        <v>2547</v>
      </c>
      <c r="V1764">
        <v>0</v>
      </c>
      <c r="W1764">
        <v>3</v>
      </c>
      <c r="X1764">
        <v>1971</v>
      </c>
      <c r="Z1764">
        <v>2</v>
      </c>
      <c r="AA1764" t="s">
        <v>26</v>
      </c>
      <c r="AB1764">
        <v>0</v>
      </c>
      <c r="AC1764" t="s">
        <v>115</v>
      </c>
      <c r="AD1764">
        <v>4</v>
      </c>
      <c r="AE1764" t="s">
        <v>115</v>
      </c>
      <c r="AF1764">
        <v>0</v>
      </c>
      <c r="AG1764">
        <v>0</v>
      </c>
      <c r="AH1764" t="s">
        <v>116</v>
      </c>
      <c r="AI1764" s="1">
        <v>66837</v>
      </c>
      <c r="AJ1764" s="2">
        <v>0.22</v>
      </c>
      <c r="AK1764" s="1">
        <v>306837</v>
      </c>
      <c r="AL1764" t="s">
        <v>117</v>
      </c>
      <c r="AM1764" t="s">
        <v>191</v>
      </c>
      <c r="AN1764">
        <v>11060</v>
      </c>
      <c r="AO1764">
        <v>0.25</v>
      </c>
      <c r="AP1764">
        <v>1</v>
      </c>
      <c r="AR1764">
        <v>1</v>
      </c>
      <c r="AS1764" s="1">
        <v>21110</v>
      </c>
      <c r="AT1764" s="1">
        <v>4220</v>
      </c>
      <c r="AU1764" s="1">
        <v>16890</v>
      </c>
      <c r="AV1764">
        <v>80.010000000000005</v>
      </c>
      <c r="AX1764" s="1">
        <v>1978.64</v>
      </c>
      <c r="AY1764" t="s">
        <v>11164</v>
      </c>
      <c r="AZ1764" t="s">
        <v>11164</v>
      </c>
      <c r="BA1764" t="s">
        <v>6987</v>
      </c>
      <c r="BE1764" s="3">
        <v>42517</v>
      </c>
      <c r="BF1764" s="1">
        <v>240000</v>
      </c>
      <c r="BG1764" t="s">
        <v>12032</v>
      </c>
      <c r="BH1764" s="1">
        <v>89.39</v>
      </c>
      <c r="BI1764" s="1">
        <v>240000</v>
      </c>
      <c r="BJ1764" s="3">
        <v>42517</v>
      </c>
      <c r="BK1764" t="s">
        <v>123</v>
      </c>
      <c r="BL1764" t="str">
        <f>"2016.369231"</f>
        <v>2016.369231</v>
      </c>
      <c r="BM1764" t="s">
        <v>475</v>
      </c>
      <c r="BO1764" t="s">
        <v>12033</v>
      </c>
      <c r="BS1764">
        <v>30</v>
      </c>
      <c r="BW1764" t="str">
        <f>""</f>
        <v/>
      </c>
      <c r="CH1764" t="str">
        <f>""</f>
        <v/>
      </c>
      <c r="CS1764" t="str">
        <f>""</f>
        <v/>
      </c>
    </row>
    <row r="1765" spans="1:97" x14ac:dyDescent="0.25">
      <c r="A1765" t="s">
        <v>8500</v>
      </c>
      <c r="B1765" t="s">
        <v>12034</v>
      </c>
      <c r="C1765" t="s">
        <v>970</v>
      </c>
      <c r="D1765" t="s">
        <v>12034</v>
      </c>
      <c r="E1765" t="s">
        <v>12035</v>
      </c>
      <c r="F1765" t="s">
        <v>108</v>
      </c>
      <c r="H1765" t="s">
        <v>12036</v>
      </c>
      <c r="I1765" t="s">
        <v>110</v>
      </c>
      <c r="J1765" t="s">
        <v>111</v>
      </c>
      <c r="K1765" t="str">
        <f>"85286"</f>
        <v>85286</v>
      </c>
      <c r="L1765" t="s">
        <v>5743</v>
      </c>
      <c r="M1765" t="s">
        <v>12036</v>
      </c>
      <c r="N1765" t="s">
        <v>110</v>
      </c>
      <c r="O1765" t="s">
        <v>111</v>
      </c>
      <c r="P1765" t="str">
        <f>"85286-2365"</f>
        <v>85286-2365</v>
      </c>
      <c r="Q1765" t="s">
        <v>113</v>
      </c>
      <c r="R1765" t="str">
        <f>"303-43-201"</f>
        <v>303-43-201</v>
      </c>
      <c r="S1765" t="s">
        <v>11430</v>
      </c>
      <c r="T1765" t="s">
        <v>11431</v>
      </c>
      <c r="U1765">
        <v>1915</v>
      </c>
      <c r="V1765">
        <v>0</v>
      </c>
      <c r="W1765">
        <v>3</v>
      </c>
      <c r="X1765">
        <v>2005</v>
      </c>
      <c r="Z1765">
        <v>1</v>
      </c>
      <c r="AA1765" t="s">
        <v>26</v>
      </c>
      <c r="AB1765">
        <v>0</v>
      </c>
      <c r="AC1765" t="s">
        <v>115</v>
      </c>
      <c r="AD1765">
        <v>3</v>
      </c>
      <c r="AE1765" t="s">
        <v>115</v>
      </c>
      <c r="AF1765">
        <v>0</v>
      </c>
      <c r="AG1765">
        <v>0</v>
      </c>
      <c r="AH1765" t="s">
        <v>116</v>
      </c>
      <c r="AI1765" s="1">
        <v>30034</v>
      </c>
      <c r="AJ1765" s="2">
        <v>7.0000000000000007E-2</v>
      </c>
      <c r="AK1765" s="1">
        <v>456784</v>
      </c>
      <c r="AL1765" t="s">
        <v>117</v>
      </c>
      <c r="AM1765" t="s">
        <v>118</v>
      </c>
      <c r="AN1765">
        <v>7899</v>
      </c>
      <c r="AO1765">
        <v>0.18</v>
      </c>
      <c r="AR1765">
        <v>1</v>
      </c>
      <c r="AS1765" s="1">
        <v>33230</v>
      </c>
      <c r="AT1765" s="1">
        <v>6640</v>
      </c>
      <c r="AU1765" s="1">
        <v>26590</v>
      </c>
      <c r="AV1765">
        <v>80.02</v>
      </c>
      <c r="AX1765" s="1">
        <v>2889.36</v>
      </c>
      <c r="AY1765" t="s">
        <v>737</v>
      </c>
      <c r="AZ1765" t="s">
        <v>120</v>
      </c>
      <c r="BA1765" t="s">
        <v>303</v>
      </c>
      <c r="BE1765" s="3">
        <v>42432</v>
      </c>
      <c r="BF1765" s="1">
        <v>430000</v>
      </c>
      <c r="BG1765" t="s">
        <v>12037</v>
      </c>
      <c r="BH1765" s="1">
        <v>224.54</v>
      </c>
      <c r="BI1765" s="1">
        <v>426750</v>
      </c>
      <c r="BJ1765" s="3">
        <v>42432</v>
      </c>
      <c r="BK1765" t="s">
        <v>123</v>
      </c>
      <c r="BL1765" t="str">
        <f>"2016.139627"</f>
        <v>2016.139627</v>
      </c>
      <c r="BM1765" t="s">
        <v>544</v>
      </c>
      <c r="BO1765" t="s">
        <v>12038</v>
      </c>
      <c r="BS1765">
        <v>30</v>
      </c>
      <c r="BW1765" t="str">
        <f>""</f>
        <v/>
      </c>
      <c r="CH1765" t="str">
        <f>""</f>
        <v/>
      </c>
      <c r="CS1765" t="str">
        <f>""</f>
        <v/>
      </c>
    </row>
    <row r="1766" spans="1:97" x14ac:dyDescent="0.25">
      <c r="A1766" t="s">
        <v>12039</v>
      </c>
      <c r="B1766" t="s">
        <v>12040</v>
      </c>
      <c r="C1766" t="s">
        <v>9706</v>
      </c>
      <c r="D1766" t="s">
        <v>10375</v>
      </c>
      <c r="E1766" t="s">
        <v>12041</v>
      </c>
      <c r="F1766" t="s">
        <v>108</v>
      </c>
      <c r="H1766" t="s">
        <v>12042</v>
      </c>
      <c r="I1766" t="s">
        <v>3150</v>
      </c>
      <c r="J1766" t="s">
        <v>111</v>
      </c>
      <c r="K1766" t="str">
        <f>"85340"</f>
        <v>85340</v>
      </c>
      <c r="L1766" t="s">
        <v>5138</v>
      </c>
      <c r="M1766" t="s">
        <v>12042</v>
      </c>
      <c r="N1766" t="s">
        <v>3150</v>
      </c>
      <c r="O1766" t="s">
        <v>111</v>
      </c>
      <c r="P1766" t="str">
        <f>"85340-4517"</f>
        <v>85340-4517</v>
      </c>
      <c r="Q1766" t="s">
        <v>113</v>
      </c>
      <c r="R1766" t="str">
        <f>"501-64-058"</f>
        <v>501-64-058</v>
      </c>
      <c r="S1766" t="s">
        <v>12043</v>
      </c>
      <c r="U1766">
        <v>2409</v>
      </c>
      <c r="V1766">
        <v>0</v>
      </c>
      <c r="W1766">
        <v>2</v>
      </c>
      <c r="X1766">
        <v>1967</v>
      </c>
      <c r="Z1766">
        <v>1</v>
      </c>
      <c r="AA1766" t="s">
        <v>26</v>
      </c>
      <c r="AB1766">
        <v>0</v>
      </c>
      <c r="AC1766" t="s">
        <v>115</v>
      </c>
      <c r="AD1766">
        <v>2</v>
      </c>
      <c r="AE1766" t="s">
        <v>115</v>
      </c>
      <c r="AF1766">
        <v>0</v>
      </c>
      <c r="AG1766">
        <v>0</v>
      </c>
      <c r="AH1766" t="s">
        <v>116</v>
      </c>
      <c r="AI1766" s="1">
        <v>65800</v>
      </c>
      <c r="AJ1766" s="2">
        <v>0.17</v>
      </c>
      <c r="AK1766" s="1">
        <v>377980</v>
      </c>
      <c r="AL1766" t="s">
        <v>117</v>
      </c>
      <c r="AM1766" t="s">
        <v>1521</v>
      </c>
      <c r="AN1766">
        <v>14040</v>
      </c>
      <c r="AO1766">
        <v>0.32</v>
      </c>
      <c r="AP1766">
        <v>1</v>
      </c>
      <c r="AR1766">
        <v>1</v>
      </c>
      <c r="AS1766" s="1">
        <v>29520</v>
      </c>
      <c r="AT1766" s="1">
        <v>5900</v>
      </c>
      <c r="AU1766" s="1">
        <v>23620</v>
      </c>
      <c r="AV1766">
        <v>80.010000000000005</v>
      </c>
      <c r="AX1766" s="1">
        <v>2059.02</v>
      </c>
      <c r="AY1766" t="s">
        <v>11553</v>
      </c>
      <c r="AZ1766" t="s">
        <v>11553</v>
      </c>
      <c r="BA1766" t="s">
        <v>3154</v>
      </c>
      <c r="BE1766" s="3">
        <v>42541</v>
      </c>
      <c r="BF1766" s="1">
        <v>315000</v>
      </c>
      <c r="BG1766" t="s">
        <v>12044</v>
      </c>
      <c r="BH1766" s="1">
        <v>130.76</v>
      </c>
      <c r="BI1766" s="1">
        <v>312180</v>
      </c>
      <c r="BJ1766" s="3">
        <v>42962</v>
      </c>
      <c r="BK1766" t="s">
        <v>123</v>
      </c>
      <c r="BL1766" t="str">
        <f>"2017.598772"</f>
        <v>2017.598772</v>
      </c>
      <c r="BM1766" t="s">
        <v>12045</v>
      </c>
      <c r="BO1766" t="s">
        <v>12046</v>
      </c>
      <c r="BP1766" t="s">
        <v>12047</v>
      </c>
      <c r="BS1766">
        <v>30</v>
      </c>
      <c r="BW1766" t="str">
        <f>""</f>
        <v/>
      </c>
      <c r="CH1766" t="str">
        <f>""</f>
        <v/>
      </c>
      <c r="CS1766" t="str">
        <f>""</f>
        <v/>
      </c>
    </row>
    <row r="1767" spans="1:97" x14ac:dyDescent="0.25">
      <c r="B1767" t="s">
        <v>12048</v>
      </c>
      <c r="E1767" t="s">
        <v>12049</v>
      </c>
      <c r="F1767" t="s">
        <v>108</v>
      </c>
      <c r="H1767" t="s">
        <v>12050</v>
      </c>
      <c r="I1767" t="s">
        <v>390</v>
      </c>
      <c r="J1767" t="s">
        <v>111</v>
      </c>
      <c r="K1767" t="str">
        <f>"85022"</f>
        <v>85022</v>
      </c>
      <c r="L1767" t="s">
        <v>5438</v>
      </c>
      <c r="M1767" t="s">
        <v>12050</v>
      </c>
      <c r="N1767" t="s">
        <v>390</v>
      </c>
      <c r="O1767" t="s">
        <v>111</v>
      </c>
      <c r="P1767" t="str">
        <f>"85022-3131"</f>
        <v>85022-3131</v>
      </c>
      <c r="Q1767" t="s">
        <v>113</v>
      </c>
      <c r="R1767" t="str">
        <f>"214-17-359"</f>
        <v>214-17-359</v>
      </c>
      <c r="S1767" t="s">
        <v>12051</v>
      </c>
      <c r="T1767" t="s">
        <v>12052</v>
      </c>
      <c r="U1767">
        <v>1916</v>
      </c>
      <c r="V1767">
        <v>0</v>
      </c>
      <c r="W1767">
        <v>3</v>
      </c>
      <c r="X1767">
        <v>1985</v>
      </c>
      <c r="Z1767">
        <v>1</v>
      </c>
      <c r="AA1767" t="s">
        <v>26</v>
      </c>
      <c r="AB1767">
        <v>0</v>
      </c>
      <c r="AC1767" t="s">
        <v>115</v>
      </c>
      <c r="AD1767">
        <v>2</v>
      </c>
      <c r="AE1767" t="s">
        <v>115</v>
      </c>
      <c r="AF1767">
        <v>0</v>
      </c>
      <c r="AG1767">
        <v>0</v>
      </c>
      <c r="AH1767" t="s">
        <v>116</v>
      </c>
      <c r="AI1767" s="1">
        <v>138657</v>
      </c>
      <c r="AJ1767" s="2">
        <v>0.38</v>
      </c>
      <c r="AK1767" s="1">
        <v>361407</v>
      </c>
      <c r="AL1767" t="s">
        <v>117</v>
      </c>
      <c r="AM1767" t="s">
        <v>1302</v>
      </c>
      <c r="AN1767">
        <v>10187</v>
      </c>
      <c r="AO1767">
        <v>0.23</v>
      </c>
      <c r="AP1767">
        <v>1</v>
      </c>
      <c r="AR1767">
        <v>1</v>
      </c>
      <c r="AS1767" s="1">
        <v>29200</v>
      </c>
      <c r="AT1767" s="1">
        <v>5840</v>
      </c>
      <c r="AU1767" s="1">
        <v>23360</v>
      </c>
      <c r="AV1767">
        <v>80</v>
      </c>
      <c r="AX1767" s="1">
        <v>2713.94</v>
      </c>
      <c r="AY1767" t="s">
        <v>5442</v>
      </c>
      <c r="AZ1767" t="s">
        <v>5231</v>
      </c>
      <c r="BA1767" t="s">
        <v>2551</v>
      </c>
      <c r="BB1767" s="3">
        <v>43206</v>
      </c>
      <c r="BC1767" s="1">
        <v>0</v>
      </c>
      <c r="BD1767" t="s">
        <v>247</v>
      </c>
      <c r="BE1767" s="3">
        <v>41977</v>
      </c>
      <c r="BF1767" s="1">
        <v>275000</v>
      </c>
      <c r="BG1767" t="s">
        <v>2533</v>
      </c>
      <c r="BH1767" s="1">
        <v>143.53</v>
      </c>
      <c r="BI1767" s="1">
        <v>222750</v>
      </c>
      <c r="BJ1767" s="3">
        <v>41977</v>
      </c>
      <c r="BK1767" t="s">
        <v>123</v>
      </c>
      <c r="BL1767" t="str">
        <f>"2014.798922"</f>
        <v>2014.798922</v>
      </c>
      <c r="BM1767" t="s">
        <v>1998</v>
      </c>
      <c r="BN1767" t="s">
        <v>3763</v>
      </c>
      <c r="BO1767" t="s">
        <v>12053</v>
      </c>
      <c r="BS1767">
        <v>30</v>
      </c>
      <c r="BW1767" t="str">
        <f>""</f>
        <v/>
      </c>
      <c r="CH1767" t="str">
        <f>""</f>
        <v/>
      </c>
      <c r="CS1767" t="str">
        <f>""</f>
        <v/>
      </c>
    </row>
    <row r="1768" spans="1:97" x14ac:dyDescent="0.25">
      <c r="A1768" t="s">
        <v>489</v>
      </c>
      <c r="B1768" t="s">
        <v>12054</v>
      </c>
      <c r="C1768" t="s">
        <v>1938</v>
      </c>
      <c r="D1768" t="s">
        <v>12055</v>
      </c>
      <c r="E1768" t="s">
        <v>12056</v>
      </c>
      <c r="F1768" t="s">
        <v>108</v>
      </c>
      <c r="H1768" t="s">
        <v>12057</v>
      </c>
      <c r="I1768" t="s">
        <v>453</v>
      </c>
      <c r="J1768" t="s">
        <v>111</v>
      </c>
      <c r="K1768" t="str">
        <f>"85383"</f>
        <v>85383</v>
      </c>
      <c r="L1768" t="s">
        <v>558</v>
      </c>
      <c r="M1768" t="s">
        <v>12057</v>
      </c>
      <c r="N1768" t="s">
        <v>453</v>
      </c>
      <c r="O1768" t="s">
        <v>111</v>
      </c>
      <c r="P1768" t="str">
        <f>"85383-2624"</f>
        <v>85383-2624</v>
      </c>
      <c r="Q1768" t="s">
        <v>113</v>
      </c>
      <c r="R1768" t="str">
        <f>"200-09-245"</f>
        <v>200-09-245</v>
      </c>
      <c r="S1768" t="s">
        <v>12058</v>
      </c>
      <c r="T1768" t="s">
        <v>12059</v>
      </c>
      <c r="U1768">
        <v>1869</v>
      </c>
      <c r="V1768">
        <v>0</v>
      </c>
      <c r="W1768">
        <v>3</v>
      </c>
      <c r="X1768">
        <v>2015</v>
      </c>
      <c r="Z1768">
        <v>1</v>
      </c>
      <c r="AB1768">
        <v>0</v>
      </c>
      <c r="AC1768" t="s">
        <v>115</v>
      </c>
      <c r="AD1768">
        <v>3</v>
      </c>
      <c r="AE1768" t="s">
        <v>115</v>
      </c>
      <c r="AF1768">
        <v>0</v>
      </c>
      <c r="AG1768">
        <v>0</v>
      </c>
      <c r="AH1768" t="s">
        <v>116</v>
      </c>
      <c r="AI1768" s="1">
        <v>49143</v>
      </c>
      <c r="AJ1768" s="2">
        <v>0.15</v>
      </c>
      <c r="AK1768" s="1">
        <v>323809</v>
      </c>
      <c r="AL1768" t="s">
        <v>117</v>
      </c>
      <c r="AM1768" t="s">
        <v>118</v>
      </c>
      <c r="AN1768">
        <v>6489</v>
      </c>
      <c r="AO1768">
        <v>0.15</v>
      </c>
      <c r="AR1768">
        <v>1</v>
      </c>
      <c r="AS1768" s="1">
        <v>23780</v>
      </c>
      <c r="AT1768" s="1">
        <v>4750</v>
      </c>
      <c r="AU1768" s="1">
        <v>19030</v>
      </c>
      <c r="AV1768">
        <v>80.03</v>
      </c>
      <c r="AX1768" s="1">
        <v>1816.14</v>
      </c>
      <c r="AY1768" t="s">
        <v>1808</v>
      </c>
      <c r="AZ1768" t="s">
        <v>1808</v>
      </c>
      <c r="BA1768" t="s">
        <v>457</v>
      </c>
      <c r="BE1768" s="3">
        <v>42230</v>
      </c>
      <c r="BF1768" s="1">
        <v>264689</v>
      </c>
      <c r="BG1768" t="s">
        <v>2358</v>
      </c>
      <c r="BH1768" s="1">
        <v>141.62</v>
      </c>
      <c r="BI1768" s="1">
        <v>274666</v>
      </c>
      <c r="BJ1768" s="3">
        <v>42723</v>
      </c>
      <c r="BK1768" t="s">
        <v>123</v>
      </c>
      <c r="BL1768" t="str">
        <f>"2016.931272"</f>
        <v>2016.931272</v>
      </c>
      <c r="BM1768" t="s">
        <v>673</v>
      </c>
      <c r="BN1768" t="s">
        <v>674</v>
      </c>
      <c r="BO1768" t="s">
        <v>12060</v>
      </c>
      <c r="BP1768" t="s">
        <v>12061</v>
      </c>
      <c r="BS1768">
        <v>30</v>
      </c>
      <c r="BW1768" t="str">
        <f>""</f>
        <v/>
      </c>
      <c r="CH1768" t="str">
        <f>""</f>
        <v/>
      </c>
      <c r="CS1768" t="str">
        <f>""</f>
        <v/>
      </c>
    </row>
    <row r="1769" spans="1:97" x14ac:dyDescent="0.25">
      <c r="A1769" t="s">
        <v>12062</v>
      </c>
      <c r="B1769" t="s">
        <v>12063</v>
      </c>
      <c r="C1769" t="s">
        <v>1366</v>
      </c>
      <c r="D1769" t="s">
        <v>12063</v>
      </c>
      <c r="E1769" t="s">
        <v>12064</v>
      </c>
      <c r="F1769" t="s">
        <v>108</v>
      </c>
      <c r="H1769" t="s">
        <v>12065</v>
      </c>
      <c r="I1769" t="s">
        <v>2874</v>
      </c>
      <c r="J1769" t="s">
        <v>111</v>
      </c>
      <c r="K1769" t="str">
        <f>"85308"</f>
        <v>85308</v>
      </c>
      <c r="L1769" t="s">
        <v>7607</v>
      </c>
      <c r="M1769" t="s">
        <v>12065</v>
      </c>
      <c r="N1769" t="s">
        <v>2874</v>
      </c>
      <c r="O1769" t="s">
        <v>111</v>
      </c>
      <c r="P1769" t="str">
        <f>"85308-8962"</f>
        <v>85308-8962</v>
      </c>
      <c r="Q1769" t="s">
        <v>113</v>
      </c>
      <c r="R1769" t="str">
        <f>"200-21-360"</f>
        <v>200-21-360</v>
      </c>
      <c r="S1769" t="s">
        <v>11431</v>
      </c>
      <c r="T1769" t="s">
        <v>11431</v>
      </c>
      <c r="U1769">
        <v>1868</v>
      </c>
      <c r="V1769">
        <v>0</v>
      </c>
      <c r="W1769">
        <v>3</v>
      </c>
      <c r="X1769">
        <v>1998</v>
      </c>
      <c r="Z1769">
        <v>1</v>
      </c>
      <c r="AA1769" t="s">
        <v>26</v>
      </c>
      <c r="AB1769">
        <v>0</v>
      </c>
      <c r="AC1769" t="s">
        <v>115</v>
      </c>
      <c r="AD1769">
        <v>2</v>
      </c>
      <c r="AE1769" t="s">
        <v>115</v>
      </c>
      <c r="AF1769">
        <v>0</v>
      </c>
      <c r="AG1769">
        <v>0</v>
      </c>
      <c r="AH1769" t="s">
        <v>116</v>
      </c>
      <c r="AI1769" s="1">
        <v>66202</v>
      </c>
      <c r="AJ1769" s="2">
        <v>0.19</v>
      </c>
      <c r="AK1769" s="1">
        <v>345202</v>
      </c>
      <c r="AL1769" t="s">
        <v>117</v>
      </c>
      <c r="AM1769" t="s">
        <v>191</v>
      </c>
      <c r="AN1769">
        <v>6620</v>
      </c>
      <c r="AO1769">
        <v>0.15</v>
      </c>
      <c r="AP1769">
        <v>1</v>
      </c>
      <c r="AR1769">
        <v>1</v>
      </c>
      <c r="AS1769" s="1">
        <v>24320</v>
      </c>
      <c r="AT1769" s="1">
        <v>4860</v>
      </c>
      <c r="AU1769" s="1">
        <v>19460</v>
      </c>
      <c r="AV1769">
        <v>80.02</v>
      </c>
      <c r="AX1769" s="1">
        <v>2191.12</v>
      </c>
      <c r="AY1769" t="s">
        <v>8358</v>
      </c>
      <c r="AZ1769" t="s">
        <v>8358</v>
      </c>
      <c r="BA1769" t="s">
        <v>2223</v>
      </c>
      <c r="BE1769" s="3">
        <v>42261</v>
      </c>
      <c r="BF1769" s="1">
        <v>279000</v>
      </c>
      <c r="BG1769" t="s">
        <v>12066</v>
      </c>
      <c r="BH1769" s="1">
        <v>149.36000000000001</v>
      </c>
      <c r="BI1769" s="1">
        <v>279000</v>
      </c>
      <c r="BJ1769" s="3">
        <v>42261</v>
      </c>
      <c r="BK1769" t="s">
        <v>123</v>
      </c>
      <c r="BL1769" t="str">
        <f>"2015.659973"</f>
        <v>2015.659973</v>
      </c>
      <c r="BM1769" t="s">
        <v>135</v>
      </c>
      <c r="BO1769" t="s">
        <v>12067</v>
      </c>
      <c r="BS1769">
        <v>30</v>
      </c>
      <c r="BW1769" t="str">
        <f>""</f>
        <v/>
      </c>
      <c r="CH1769" t="str">
        <f>""</f>
        <v/>
      </c>
      <c r="CS1769" t="str">
        <f>""</f>
        <v/>
      </c>
    </row>
    <row r="1770" spans="1:97" x14ac:dyDescent="0.25">
      <c r="A1770" t="s">
        <v>3817</v>
      </c>
      <c r="B1770" t="s">
        <v>12068</v>
      </c>
      <c r="C1770" t="s">
        <v>3105</v>
      </c>
      <c r="D1770" t="s">
        <v>12068</v>
      </c>
      <c r="E1770" t="s">
        <v>12069</v>
      </c>
      <c r="F1770" t="s">
        <v>108</v>
      </c>
      <c r="H1770" t="s">
        <v>12070</v>
      </c>
      <c r="I1770" t="s">
        <v>203</v>
      </c>
      <c r="J1770" t="s">
        <v>111</v>
      </c>
      <c r="K1770" t="str">
        <f>"85233"</f>
        <v>85233</v>
      </c>
      <c r="L1770" t="s">
        <v>567</v>
      </c>
      <c r="M1770" t="s">
        <v>12070</v>
      </c>
      <c r="N1770" t="s">
        <v>203</v>
      </c>
      <c r="O1770" t="s">
        <v>111</v>
      </c>
      <c r="P1770" t="str">
        <f>"85233-3717"</f>
        <v>85233-3717</v>
      </c>
      <c r="Q1770" t="s">
        <v>113</v>
      </c>
      <c r="R1770" t="str">
        <f>"302-21-313"</f>
        <v>302-21-313</v>
      </c>
      <c r="S1770" t="s">
        <v>11515</v>
      </c>
      <c r="T1770" t="s">
        <v>11516</v>
      </c>
      <c r="U1770">
        <v>1556</v>
      </c>
      <c r="V1770">
        <v>0</v>
      </c>
      <c r="W1770">
        <v>3</v>
      </c>
      <c r="X1770">
        <v>1995</v>
      </c>
      <c r="Z1770">
        <v>1</v>
      </c>
      <c r="AA1770" t="s">
        <v>26</v>
      </c>
      <c r="AB1770">
        <v>0</v>
      </c>
      <c r="AC1770" t="s">
        <v>115</v>
      </c>
      <c r="AD1770">
        <v>2</v>
      </c>
      <c r="AE1770" t="s">
        <v>115</v>
      </c>
      <c r="AF1770">
        <v>0</v>
      </c>
      <c r="AG1770">
        <v>0</v>
      </c>
      <c r="AH1770" t="s">
        <v>116</v>
      </c>
      <c r="AI1770" s="1">
        <v>70070</v>
      </c>
      <c r="AJ1770" s="2">
        <v>0.23</v>
      </c>
      <c r="AK1770" s="1">
        <v>310943</v>
      </c>
      <c r="AL1770" t="s">
        <v>117</v>
      </c>
      <c r="AM1770" t="s">
        <v>393</v>
      </c>
      <c r="AN1770">
        <v>6904</v>
      </c>
      <c r="AO1770">
        <v>0.16</v>
      </c>
      <c r="AP1770">
        <v>1</v>
      </c>
      <c r="AR1770">
        <v>1</v>
      </c>
      <c r="AS1770" s="1">
        <v>22080</v>
      </c>
      <c r="AT1770" s="1">
        <v>4410</v>
      </c>
      <c r="AU1770" s="1">
        <v>17670</v>
      </c>
      <c r="AV1770">
        <v>80.03</v>
      </c>
      <c r="AX1770" s="1">
        <v>1506.6</v>
      </c>
      <c r="AY1770" t="s">
        <v>9989</v>
      </c>
      <c r="AZ1770" t="s">
        <v>5478</v>
      </c>
      <c r="BA1770" t="s">
        <v>5479</v>
      </c>
      <c r="BE1770" s="3">
        <v>42318</v>
      </c>
      <c r="BF1770" s="1">
        <v>230000</v>
      </c>
      <c r="BG1770" t="s">
        <v>12071</v>
      </c>
      <c r="BH1770" s="1">
        <v>147.81</v>
      </c>
      <c r="BI1770" s="1">
        <v>240873</v>
      </c>
      <c r="BJ1770" s="3">
        <v>42450</v>
      </c>
      <c r="BK1770" t="s">
        <v>123</v>
      </c>
      <c r="BL1770" t="str">
        <f>"2016.178771"</f>
        <v>2016.178771</v>
      </c>
      <c r="BM1770" t="s">
        <v>248</v>
      </c>
      <c r="BO1770" t="s">
        <v>12072</v>
      </c>
      <c r="BS1770">
        <v>30</v>
      </c>
      <c r="BW1770" t="str">
        <f>""</f>
        <v/>
      </c>
      <c r="CH1770" t="str">
        <f>""</f>
        <v/>
      </c>
      <c r="CS1770" t="str">
        <f>""</f>
        <v/>
      </c>
    </row>
    <row r="1771" spans="1:97" x14ac:dyDescent="0.25">
      <c r="A1771" t="s">
        <v>177</v>
      </c>
      <c r="B1771" t="s">
        <v>12073</v>
      </c>
      <c r="E1771" t="s">
        <v>12074</v>
      </c>
      <c r="F1771" t="s">
        <v>108</v>
      </c>
      <c r="H1771" t="s">
        <v>12075</v>
      </c>
      <c r="I1771" t="s">
        <v>453</v>
      </c>
      <c r="J1771" t="s">
        <v>111</v>
      </c>
      <c r="K1771" t="str">
        <f>"85383"</f>
        <v>85383</v>
      </c>
      <c r="L1771" t="s">
        <v>7607</v>
      </c>
      <c r="M1771" t="s">
        <v>12075</v>
      </c>
      <c r="N1771" t="s">
        <v>453</v>
      </c>
      <c r="O1771" t="s">
        <v>111</v>
      </c>
      <c r="P1771" t="str">
        <f>"85383-7002"</f>
        <v>85383-7002</v>
      </c>
      <c r="Q1771" t="s">
        <v>113</v>
      </c>
      <c r="R1771" t="str">
        <f>"201-09-237"</f>
        <v>201-09-237</v>
      </c>
      <c r="S1771" t="s">
        <v>12076</v>
      </c>
      <c r="T1771" t="s">
        <v>2222</v>
      </c>
      <c r="U1771">
        <v>3119</v>
      </c>
      <c r="V1771">
        <v>0</v>
      </c>
      <c r="W1771">
        <v>4</v>
      </c>
      <c r="X1771">
        <v>1999</v>
      </c>
      <c r="Z1771">
        <v>2</v>
      </c>
      <c r="AA1771" t="s">
        <v>26</v>
      </c>
      <c r="AB1771">
        <v>0</v>
      </c>
      <c r="AC1771" t="s">
        <v>115</v>
      </c>
      <c r="AD1771">
        <v>3</v>
      </c>
      <c r="AE1771" t="s">
        <v>115</v>
      </c>
      <c r="AF1771">
        <v>0</v>
      </c>
      <c r="AG1771">
        <v>0</v>
      </c>
      <c r="AH1771" t="s">
        <v>116</v>
      </c>
      <c r="AI1771" s="1">
        <v>103247</v>
      </c>
      <c r="AJ1771" s="2">
        <v>0.25</v>
      </c>
      <c r="AK1771" s="1">
        <v>405897</v>
      </c>
      <c r="AL1771" t="s">
        <v>117</v>
      </c>
      <c r="AM1771" t="s">
        <v>191</v>
      </c>
      <c r="AN1771">
        <v>7875</v>
      </c>
      <c r="AO1771">
        <v>0.18</v>
      </c>
      <c r="AP1771">
        <v>1</v>
      </c>
      <c r="AR1771">
        <v>1</v>
      </c>
      <c r="AS1771" s="1">
        <v>30330</v>
      </c>
      <c r="AT1771" s="1">
        <v>6060</v>
      </c>
      <c r="AU1771" s="1">
        <v>24270</v>
      </c>
      <c r="AV1771">
        <v>80.02</v>
      </c>
      <c r="AX1771" s="1">
        <v>2719.04</v>
      </c>
      <c r="AY1771" t="s">
        <v>1385</v>
      </c>
      <c r="AZ1771" t="s">
        <v>1385</v>
      </c>
      <c r="BA1771" t="s">
        <v>2223</v>
      </c>
      <c r="BE1771" s="3">
        <v>41733</v>
      </c>
      <c r="BF1771" s="1">
        <v>225000</v>
      </c>
      <c r="BG1771" t="s">
        <v>12077</v>
      </c>
      <c r="BH1771" s="1">
        <v>72.14</v>
      </c>
      <c r="BI1771" s="1">
        <v>302650</v>
      </c>
      <c r="BJ1771" s="3">
        <v>42506</v>
      </c>
      <c r="BK1771" t="s">
        <v>123</v>
      </c>
      <c r="BL1771" t="str">
        <f>"2016.331936"</f>
        <v>2016.331936</v>
      </c>
      <c r="BM1771" t="s">
        <v>709</v>
      </c>
      <c r="BO1771" t="s">
        <v>12078</v>
      </c>
      <c r="BS1771">
        <v>30</v>
      </c>
      <c r="BW1771" t="str">
        <f>""</f>
        <v/>
      </c>
      <c r="CH1771" t="str">
        <f>""</f>
        <v/>
      </c>
      <c r="CS1771" t="str">
        <f>""</f>
        <v/>
      </c>
    </row>
    <row r="1772" spans="1:97" x14ac:dyDescent="0.25">
      <c r="A1772" t="s">
        <v>434</v>
      </c>
      <c r="B1772" t="s">
        <v>12079</v>
      </c>
      <c r="C1772" t="s">
        <v>179</v>
      </c>
      <c r="D1772" t="s">
        <v>12079</v>
      </c>
      <c r="E1772" t="s">
        <v>12080</v>
      </c>
      <c r="F1772" t="s">
        <v>108</v>
      </c>
      <c r="H1772" t="s">
        <v>12081</v>
      </c>
      <c r="I1772" t="s">
        <v>453</v>
      </c>
      <c r="J1772" t="s">
        <v>111</v>
      </c>
      <c r="K1772" t="str">
        <f>"85383"</f>
        <v>85383</v>
      </c>
      <c r="L1772" t="s">
        <v>6416</v>
      </c>
      <c r="M1772" t="s">
        <v>12081</v>
      </c>
      <c r="N1772" t="s">
        <v>453</v>
      </c>
      <c r="O1772" t="s">
        <v>111</v>
      </c>
      <c r="P1772" t="str">
        <f>"85383-6330"</f>
        <v>85383-6330</v>
      </c>
      <c r="Q1772" t="s">
        <v>113</v>
      </c>
      <c r="R1772" t="str">
        <f>"201-13-251"</f>
        <v>201-13-251</v>
      </c>
      <c r="S1772" t="s">
        <v>12082</v>
      </c>
      <c r="T1772" t="s">
        <v>12082</v>
      </c>
      <c r="U1772">
        <v>3899</v>
      </c>
      <c r="V1772">
        <v>0</v>
      </c>
      <c r="W1772">
        <v>6</v>
      </c>
      <c r="X1772">
        <v>2014</v>
      </c>
      <c r="Z1772">
        <v>1</v>
      </c>
      <c r="AB1772">
        <v>0</v>
      </c>
      <c r="AC1772" t="s">
        <v>115</v>
      </c>
      <c r="AD1772">
        <v>4</v>
      </c>
      <c r="AE1772" t="s">
        <v>115</v>
      </c>
      <c r="AF1772">
        <v>0</v>
      </c>
      <c r="AG1772">
        <v>0</v>
      </c>
      <c r="AH1772" t="s">
        <v>116</v>
      </c>
      <c r="AI1772" s="1">
        <v>199122</v>
      </c>
      <c r="AJ1772" s="2">
        <v>0.26</v>
      </c>
      <c r="AK1772" s="1">
        <v>780822</v>
      </c>
      <c r="AL1772" t="s">
        <v>117</v>
      </c>
      <c r="AM1772" t="s">
        <v>376</v>
      </c>
      <c r="AN1772">
        <v>43603</v>
      </c>
      <c r="AO1772">
        <v>1</v>
      </c>
      <c r="AR1772">
        <v>1</v>
      </c>
      <c r="AS1772" s="1">
        <v>64150</v>
      </c>
      <c r="AT1772" s="1">
        <v>12830</v>
      </c>
      <c r="AU1772" s="1">
        <v>51320</v>
      </c>
      <c r="AV1772">
        <v>80</v>
      </c>
      <c r="AX1772" s="1">
        <v>6132.5</v>
      </c>
      <c r="AY1772" t="s">
        <v>3048</v>
      </c>
      <c r="AZ1772" t="s">
        <v>3049</v>
      </c>
      <c r="BA1772" t="s">
        <v>2223</v>
      </c>
      <c r="BE1772" s="3">
        <v>41880</v>
      </c>
      <c r="BF1772" s="1">
        <v>698026</v>
      </c>
      <c r="BG1772" t="s">
        <v>275</v>
      </c>
      <c r="BH1772" s="1">
        <v>179.03</v>
      </c>
      <c r="BI1772" s="1">
        <v>581700</v>
      </c>
      <c r="BJ1772" s="3">
        <v>42362</v>
      </c>
      <c r="BK1772" t="s">
        <v>123</v>
      </c>
      <c r="BL1772" t="str">
        <f>"2015.907953"</f>
        <v>2015.907953</v>
      </c>
      <c r="BM1772" t="s">
        <v>124</v>
      </c>
      <c r="BO1772" t="s">
        <v>12083</v>
      </c>
      <c r="BS1772">
        <v>28</v>
      </c>
      <c r="BW1772" t="str">
        <f>""</f>
        <v/>
      </c>
      <c r="CH1772" t="str">
        <f>""</f>
        <v/>
      </c>
      <c r="CS1772" t="str">
        <f>""</f>
        <v/>
      </c>
    </row>
    <row r="1773" spans="1:97" x14ac:dyDescent="0.25">
      <c r="A1773" t="s">
        <v>1465</v>
      </c>
      <c r="B1773" t="s">
        <v>12084</v>
      </c>
      <c r="E1773" t="s">
        <v>12085</v>
      </c>
      <c r="F1773" t="s">
        <v>108</v>
      </c>
      <c r="H1773" t="s">
        <v>12086</v>
      </c>
      <c r="I1773" t="s">
        <v>225</v>
      </c>
      <c r="J1773" t="s">
        <v>111</v>
      </c>
      <c r="K1773" t="str">
        <f>"85204"</f>
        <v>85204</v>
      </c>
      <c r="L1773" t="s">
        <v>5228</v>
      </c>
      <c r="M1773" t="s">
        <v>12086</v>
      </c>
      <c r="N1773" t="s">
        <v>225</v>
      </c>
      <c r="O1773" t="s">
        <v>111</v>
      </c>
      <c r="P1773" t="str">
        <f>"85204-3035"</f>
        <v>85204-3035</v>
      </c>
      <c r="Q1773" t="s">
        <v>113</v>
      </c>
      <c r="R1773" t="str">
        <f>"140-75-187"</f>
        <v>140-75-187</v>
      </c>
      <c r="S1773" t="s">
        <v>12087</v>
      </c>
      <c r="T1773" t="s">
        <v>12087</v>
      </c>
      <c r="U1773">
        <v>2245</v>
      </c>
      <c r="V1773">
        <v>0</v>
      </c>
      <c r="W1773">
        <v>4</v>
      </c>
      <c r="X1773">
        <v>2001</v>
      </c>
      <c r="Z1773">
        <v>2</v>
      </c>
      <c r="AA1773" t="s">
        <v>26</v>
      </c>
      <c r="AB1773">
        <v>0</v>
      </c>
      <c r="AC1773" t="s">
        <v>115</v>
      </c>
      <c r="AD1773">
        <v>2</v>
      </c>
      <c r="AE1773" t="s">
        <v>115</v>
      </c>
      <c r="AF1773">
        <v>0</v>
      </c>
      <c r="AG1773">
        <v>0</v>
      </c>
      <c r="AH1773" t="s">
        <v>116</v>
      </c>
      <c r="AI1773" s="1">
        <v>105081</v>
      </c>
      <c r="AJ1773" s="2">
        <v>0.31</v>
      </c>
      <c r="AK1773" s="1">
        <v>340572</v>
      </c>
      <c r="AL1773" t="s">
        <v>117</v>
      </c>
      <c r="AM1773" t="s">
        <v>191</v>
      </c>
      <c r="AN1773">
        <v>4935</v>
      </c>
      <c r="AO1773">
        <v>0.11</v>
      </c>
      <c r="AP1773">
        <v>1</v>
      </c>
      <c r="AR1773">
        <v>1</v>
      </c>
      <c r="AS1773" s="1">
        <v>24780</v>
      </c>
      <c r="AT1773" s="1">
        <v>4950</v>
      </c>
      <c r="AU1773" s="1">
        <v>19830</v>
      </c>
      <c r="AV1773">
        <v>80.02</v>
      </c>
      <c r="AX1773" s="1">
        <v>1726.36</v>
      </c>
      <c r="AY1773" t="s">
        <v>8934</v>
      </c>
      <c r="AZ1773" t="s">
        <v>5158</v>
      </c>
      <c r="BA1773" t="s">
        <v>5159</v>
      </c>
      <c r="BE1773" s="3">
        <v>41726</v>
      </c>
      <c r="BF1773" s="1">
        <v>235000</v>
      </c>
      <c r="BG1773" t="s">
        <v>12088</v>
      </c>
      <c r="BH1773" s="1">
        <v>104.68</v>
      </c>
      <c r="BI1773" s="1">
        <v>235491</v>
      </c>
      <c r="BJ1773" s="3">
        <v>42739</v>
      </c>
      <c r="BK1773" t="s">
        <v>123</v>
      </c>
      <c r="BL1773" t="str">
        <f>"2017.4365"</f>
        <v>2017.4365</v>
      </c>
      <c r="BM1773" t="s">
        <v>843</v>
      </c>
      <c r="BO1773" t="s">
        <v>12089</v>
      </c>
      <c r="BS1773">
        <v>30</v>
      </c>
      <c r="BW1773" t="str">
        <f>""</f>
        <v/>
      </c>
      <c r="CH1773" t="str">
        <f>""</f>
        <v/>
      </c>
      <c r="CS1773" t="str">
        <f>""</f>
        <v/>
      </c>
    </row>
    <row r="1774" spans="1:97" x14ac:dyDescent="0.25">
      <c r="A1774" t="s">
        <v>106</v>
      </c>
      <c r="B1774" t="s">
        <v>12090</v>
      </c>
      <c r="C1774" t="s">
        <v>986</v>
      </c>
      <c r="D1774" t="s">
        <v>12090</v>
      </c>
      <c r="E1774" t="s">
        <v>12091</v>
      </c>
      <c r="F1774" t="s">
        <v>108</v>
      </c>
      <c r="H1774" t="s">
        <v>12092</v>
      </c>
      <c r="I1774" t="s">
        <v>188</v>
      </c>
      <c r="J1774" t="s">
        <v>111</v>
      </c>
      <c r="K1774" t="str">
        <f>"85142"</f>
        <v>85142</v>
      </c>
      <c r="L1774" t="s">
        <v>3151</v>
      </c>
      <c r="M1774" t="s">
        <v>12092</v>
      </c>
      <c r="N1774" t="s">
        <v>188</v>
      </c>
      <c r="O1774" t="s">
        <v>111</v>
      </c>
      <c r="P1774" t="str">
        <f>"85142-7588"</f>
        <v>85142-7588</v>
      </c>
      <c r="Q1774" t="s">
        <v>113</v>
      </c>
      <c r="R1774" t="str">
        <f>"304-91-053-D"</f>
        <v>304-91-053-D</v>
      </c>
      <c r="U1774">
        <v>2785</v>
      </c>
      <c r="V1774">
        <v>0</v>
      </c>
      <c r="W1774">
        <v>4</v>
      </c>
      <c r="X1774">
        <v>2015</v>
      </c>
      <c r="Z1774">
        <v>1</v>
      </c>
      <c r="AA1774" t="s">
        <v>26</v>
      </c>
      <c r="AB1774">
        <v>0</v>
      </c>
      <c r="AC1774" t="s">
        <v>115</v>
      </c>
      <c r="AD1774">
        <v>4</v>
      </c>
      <c r="AE1774" t="s">
        <v>115</v>
      </c>
      <c r="AF1774">
        <v>0</v>
      </c>
      <c r="AG1774">
        <v>0</v>
      </c>
      <c r="AH1774" t="s">
        <v>116</v>
      </c>
      <c r="AI1774" s="1">
        <v>121606</v>
      </c>
      <c r="AJ1774" s="2">
        <v>0.22</v>
      </c>
      <c r="AK1774" s="1">
        <v>548614</v>
      </c>
      <c r="AL1774" t="s">
        <v>117</v>
      </c>
      <c r="AM1774" t="s">
        <v>376</v>
      </c>
      <c r="AN1774">
        <v>38635</v>
      </c>
      <c r="AO1774">
        <v>0.89</v>
      </c>
      <c r="AR1774">
        <v>1</v>
      </c>
      <c r="AS1774" s="1">
        <v>40820</v>
      </c>
      <c r="AT1774" s="1">
        <v>8160</v>
      </c>
      <c r="AU1774" s="1">
        <v>32660</v>
      </c>
      <c r="AV1774">
        <v>80.010000000000005</v>
      </c>
      <c r="AX1774" s="1">
        <v>3397.48</v>
      </c>
      <c r="AY1774" t="s">
        <v>1074</v>
      </c>
      <c r="AZ1774" t="s">
        <v>193</v>
      </c>
      <c r="BA1774" t="s">
        <v>194</v>
      </c>
      <c r="BE1774" s="3">
        <v>42461</v>
      </c>
      <c r="BF1774" s="1">
        <v>420625</v>
      </c>
      <c r="BG1774" t="s">
        <v>12093</v>
      </c>
      <c r="BH1774" s="1">
        <v>151.03</v>
      </c>
      <c r="BI1774" s="1">
        <v>427008</v>
      </c>
      <c r="BJ1774" s="3">
        <v>42461</v>
      </c>
      <c r="BK1774" t="s">
        <v>123</v>
      </c>
      <c r="BL1774" t="str">
        <f>"2016.217224"</f>
        <v>2016.217224</v>
      </c>
      <c r="BM1774" t="s">
        <v>475</v>
      </c>
      <c r="BO1774" t="s">
        <v>12094</v>
      </c>
      <c r="BS1774">
        <v>30</v>
      </c>
      <c r="BW1774" t="str">
        <f>""</f>
        <v/>
      </c>
      <c r="CH1774" t="str">
        <f>""</f>
        <v/>
      </c>
      <c r="CS1774" t="str">
        <f>""</f>
        <v/>
      </c>
    </row>
    <row r="1775" spans="1:97" x14ac:dyDescent="0.25">
      <c r="A1775" t="s">
        <v>1850</v>
      </c>
      <c r="B1775" t="s">
        <v>12090</v>
      </c>
      <c r="C1775" t="s">
        <v>524</v>
      </c>
      <c r="D1775" t="s">
        <v>12090</v>
      </c>
      <c r="E1775" t="s">
        <v>12095</v>
      </c>
      <c r="F1775" t="s">
        <v>108</v>
      </c>
      <c r="H1775" t="s">
        <v>12096</v>
      </c>
      <c r="I1775" t="s">
        <v>225</v>
      </c>
      <c r="J1775" t="s">
        <v>111</v>
      </c>
      <c r="K1775" t="str">
        <f>"85206"</f>
        <v>85206</v>
      </c>
      <c r="L1775" t="s">
        <v>6631</v>
      </c>
      <c r="M1775" t="s">
        <v>12096</v>
      </c>
      <c r="N1775" t="s">
        <v>225</v>
      </c>
      <c r="O1775" t="s">
        <v>111</v>
      </c>
      <c r="P1775" t="str">
        <f>"85206-5836"</f>
        <v>85206-5836</v>
      </c>
      <c r="Q1775" t="s">
        <v>113</v>
      </c>
      <c r="R1775" t="str">
        <f>"141-94-252"</f>
        <v>141-94-252</v>
      </c>
      <c r="S1775" t="s">
        <v>12097</v>
      </c>
      <c r="U1775">
        <v>1762</v>
      </c>
      <c r="V1775">
        <v>0</v>
      </c>
      <c r="W1775">
        <v>2</v>
      </c>
      <c r="X1775">
        <v>1998</v>
      </c>
      <c r="Z1775">
        <v>1</v>
      </c>
      <c r="AB1775">
        <v>0</v>
      </c>
      <c r="AC1775" t="s">
        <v>115</v>
      </c>
      <c r="AD1775">
        <v>2</v>
      </c>
      <c r="AE1775" t="s">
        <v>115</v>
      </c>
      <c r="AF1775">
        <v>0</v>
      </c>
      <c r="AG1775">
        <v>0</v>
      </c>
      <c r="AH1775" t="s">
        <v>116</v>
      </c>
      <c r="AI1775" s="1">
        <v>62748</v>
      </c>
      <c r="AJ1775" s="2">
        <v>0.23</v>
      </c>
      <c r="AK1775" s="1">
        <v>275538</v>
      </c>
      <c r="AL1775" t="s">
        <v>117</v>
      </c>
      <c r="AM1775" t="s">
        <v>191</v>
      </c>
      <c r="AN1775">
        <v>6050</v>
      </c>
      <c r="AO1775">
        <v>0.14000000000000001</v>
      </c>
      <c r="AP1775">
        <v>1</v>
      </c>
      <c r="AR1775">
        <v>1</v>
      </c>
      <c r="AS1775" s="1">
        <v>17880</v>
      </c>
      <c r="AT1775" s="1">
        <v>3570</v>
      </c>
      <c r="AU1775" s="1">
        <v>14310</v>
      </c>
      <c r="AV1775">
        <v>80.03</v>
      </c>
      <c r="AX1775" s="1">
        <v>1394.82</v>
      </c>
      <c r="AY1775" t="s">
        <v>230</v>
      </c>
      <c r="AZ1775" t="s">
        <v>5158</v>
      </c>
      <c r="BA1775" t="s">
        <v>5159</v>
      </c>
      <c r="BE1775" s="3">
        <v>41941</v>
      </c>
      <c r="BF1775" s="1">
        <v>207000</v>
      </c>
      <c r="BG1775" t="s">
        <v>12098</v>
      </c>
      <c r="BH1775" s="1">
        <v>117.48</v>
      </c>
      <c r="BI1775" s="1">
        <v>212790</v>
      </c>
      <c r="BJ1775" s="3">
        <v>42675</v>
      </c>
      <c r="BK1775" t="s">
        <v>123</v>
      </c>
      <c r="BL1775" t="str">
        <f>"2016.805899"</f>
        <v>2016.805899</v>
      </c>
      <c r="BM1775" t="s">
        <v>402</v>
      </c>
      <c r="BO1775" t="s">
        <v>12099</v>
      </c>
      <c r="BS1775">
        <v>28</v>
      </c>
      <c r="BW1775" t="str">
        <f>""</f>
        <v/>
      </c>
      <c r="CH1775" t="str">
        <f>""</f>
        <v/>
      </c>
      <c r="CS1775" t="str">
        <f>""</f>
        <v/>
      </c>
    </row>
    <row r="1776" spans="1:97" x14ac:dyDescent="0.25">
      <c r="A1776" t="s">
        <v>3817</v>
      </c>
      <c r="B1776" t="s">
        <v>1144</v>
      </c>
      <c r="E1776" t="s">
        <v>12100</v>
      </c>
      <c r="F1776" t="s">
        <v>108</v>
      </c>
      <c r="H1776" t="s">
        <v>12101</v>
      </c>
      <c r="I1776" t="s">
        <v>4251</v>
      </c>
      <c r="J1776" t="s">
        <v>111</v>
      </c>
      <c r="K1776" t="str">
        <f>"85353"</f>
        <v>85353</v>
      </c>
      <c r="L1776" t="s">
        <v>316</v>
      </c>
      <c r="M1776" t="s">
        <v>12101</v>
      </c>
      <c r="N1776" t="s">
        <v>4251</v>
      </c>
      <c r="O1776" t="s">
        <v>111</v>
      </c>
      <c r="P1776" t="str">
        <f>"85353-4416"</f>
        <v>85353-4416</v>
      </c>
      <c r="Q1776" t="s">
        <v>113</v>
      </c>
      <c r="R1776" t="str">
        <f>"101-39-383"</f>
        <v>101-39-383</v>
      </c>
      <c r="S1776" t="s">
        <v>7206</v>
      </c>
      <c r="T1776" t="s">
        <v>7206</v>
      </c>
      <c r="U1776">
        <v>2155</v>
      </c>
      <c r="V1776">
        <v>0</v>
      </c>
      <c r="W1776">
        <v>3</v>
      </c>
      <c r="X1776">
        <v>2014</v>
      </c>
      <c r="Z1776">
        <v>1</v>
      </c>
      <c r="AB1776">
        <v>0</v>
      </c>
      <c r="AC1776" t="s">
        <v>115</v>
      </c>
      <c r="AD1776">
        <v>2</v>
      </c>
      <c r="AE1776" t="s">
        <v>115</v>
      </c>
      <c r="AF1776">
        <v>0</v>
      </c>
      <c r="AG1776">
        <v>0</v>
      </c>
      <c r="AH1776" t="s">
        <v>116</v>
      </c>
      <c r="AI1776" s="1">
        <v>42898</v>
      </c>
      <c r="AJ1776" s="2">
        <v>0.15</v>
      </c>
      <c r="AK1776" s="1">
        <v>290818</v>
      </c>
      <c r="AL1776" t="s">
        <v>117</v>
      </c>
      <c r="AM1776" t="s">
        <v>191</v>
      </c>
      <c r="AN1776">
        <v>5750</v>
      </c>
      <c r="AO1776">
        <v>0.13</v>
      </c>
      <c r="AR1776">
        <v>1</v>
      </c>
      <c r="AS1776" s="1">
        <v>19900</v>
      </c>
      <c r="AT1776" s="1">
        <v>3980</v>
      </c>
      <c r="AU1776" s="1">
        <v>15920</v>
      </c>
      <c r="AV1776">
        <v>80</v>
      </c>
      <c r="AX1776" s="1">
        <v>1957.3</v>
      </c>
      <c r="AY1776" t="s">
        <v>4253</v>
      </c>
      <c r="AZ1776" t="s">
        <v>4253</v>
      </c>
      <c r="BA1776" t="s">
        <v>4254</v>
      </c>
      <c r="BE1776" s="3">
        <v>42073</v>
      </c>
      <c r="BF1776" s="1">
        <v>205126</v>
      </c>
      <c r="BG1776" t="s">
        <v>158</v>
      </c>
      <c r="BH1776" s="1">
        <v>95.19</v>
      </c>
      <c r="BI1776" s="1">
        <v>247920</v>
      </c>
      <c r="BJ1776" s="3">
        <v>43551</v>
      </c>
      <c r="BK1776" t="s">
        <v>123</v>
      </c>
      <c r="BL1776" t="str">
        <f>"2019.213263"</f>
        <v>2019.213263</v>
      </c>
      <c r="BM1776" t="s">
        <v>248</v>
      </c>
      <c r="BN1776" t="s">
        <v>249</v>
      </c>
      <c r="BO1776" t="s">
        <v>12102</v>
      </c>
      <c r="BR1776" t="s">
        <v>139</v>
      </c>
      <c r="BW1776" t="str">
        <f>""</f>
        <v/>
      </c>
      <c r="CH1776" t="str">
        <f>""</f>
        <v/>
      </c>
      <c r="CS1776" t="str">
        <f>""</f>
        <v/>
      </c>
    </row>
    <row r="1777" spans="1:97" x14ac:dyDescent="0.25">
      <c r="A1777" t="s">
        <v>12103</v>
      </c>
      <c r="B1777" t="s">
        <v>12104</v>
      </c>
      <c r="C1777" t="s">
        <v>767</v>
      </c>
      <c r="D1777" t="s">
        <v>12104</v>
      </c>
      <c r="E1777" t="s">
        <v>12105</v>
      </c>
      <c r="F1777" t="s">
        <v>108</v>
      </c>
      <c r="H1777" t="s">
        <v>12106</v>
      </c>
      <c r="I1777" t="s">
        <v>374</v>
      </c>
      <c r="J1777" t="s">
        <v>111</v>
      </c>
      <c r="K1777" t="str">
        <f>"85087"</f>
        <v>85087</v>
      </c>
      <c r="L1777" t="s">
        <v>11089</v>
      </c>
      <c r="M1777" t="s">
        <v>12106</v>
      </c>
      <c r="N1777" t="s">
        <v>374</v>
      </c>
      <c r="O1777" t="s">
        <v>111</v>
      </c>
      <c r="P1777" t="str">
        <f>"85087-3042"</f>
        <v>85087-3042</v>
      </c>
      <c r="Q1777" t="s">
        <v>113</v>
      </c>
      <c r="R1777" t="str">
        <f>"202-22-905"</f>
        <v>202-22-905</v>
      </c>
      <c r="S1777" t="s">
        <v>11345</v>
      </c>
      <c r="U1777">
        <v>4408</v>
      </c>
      <c r="V1777">
        <v>0</v>
      </c>
      <c r="W1777">
        <v>6</v>
      </c>
      <c r="X1777">
        <v>2007</v>
      </c>
      <c r="Z1777">
        <v>2</v>
      </c>
      <c r="AB1777">
        <v>0</v>
      </c>
      <c r="AC1777" t="s">
        <v>115</v>
      </c>
      <c r="AD1777">
        <v>3</v>
      </c>
      <c r="AE1777" t="s">
        <v>115</v>
      </c>
      <c r="AF1777">
        <v>0</v>
      </c>
      <c r="AG1777">
        <v>0</v>
      </c>
      <c r="AH1777" t="s">
        <v>116</v>
      </c>
      <c r="AI1777" s="1">
        <v>134393</v>
      </c>
      <c r="AJ1777" s="2">
        <v>0.26</v>
      </c>
      <c r="AK1777" s="1">
        <v>523662</v>
      </c>
      <c r="AL1777" t="s">
        <v>117</v>
      </c>
      <c r="AM1777" t="s">
        <v>3973</v>
      </c>
      <c r="AN1777">
        <v>16940</v>
      </c>
      <c r="AO1777">
        <v>0.39</v>
      </c>
      <c r="AR1777">
        <v>1</v>
      </c>
      <c r="AS1777" s="1">
        <v>38050</v>
      </c>
      <c r="AT1777" s="1">
        <v>7610</v>
      </c>
      <c r="AU1777" s="1">
        <v>30440</v>
      </c>
      <c r="AV1777">
        <v>80</v>
      </c>
      <c r="AX1777" s="1">
        <v>3884.88</v>
      </c>
      <c r="AY1777" t="s">
        <v>665</v>
      </c>
      <c r="AZ1777" t="s">
        <v>665</v>
      </c>
      <c r="BA1777" t="s">
        <v>378</v>
      </c>
      <c r="BE1777" s="3">
        <v>41716</v>
      </c>
      <c r="BF1777" s="1">
        <v>425000</v>
      </c>
      <c r="BG1777" t="s">
        <v>12107</v>
      </c>
      <c r="BH1777" s="1">
        <v>96.42</v>
      </c>
      <c r="BI1777" s="1">
        <v>389269</v>
      </c>
      <c r="BJ1777" s="3">
        <v>42656</v>
      </c>
      <c r="BK1777" t="s">
        <v>123</v>
      </c>
      <c r="BL1777" t="str">
        <f>"2016.752398"</f>
        <v>2016.752398</v>
      </c>
      <c r="BM1777" t="s">
        <v>8868</v>
      </c>
      <c r="BO1777" t="s">
        <v>12108</v>
      </c>
      <c r="BS1777">
        <v>30</v>
      </c>
      <c r="BW1777" t="str">
        <f>""</f>
        <v/>
      </c>
      <c r="CH1777" t="str">
        <f>""</f>
        <v/>
      </c>
      <c r="CS1777" t="str">
        <f>""</f>
        <v/>
      </c>
    </row>
    <row r="1778" spans="1:97" x14ac:dyDescent="0.25">
      <c r="B1778" t="s">
        <v>12109</v>
      </c>
      <c r="E1778" t="s">
        <v>1144</v>
      </c>
      <c r="F1778" t="s">
        <v>108</v>
      </c>
      <c r="H1778" t="s">
        <v>12110</v>
      </c>
      <c r="I1778" t="s">
        <v>1936</v>
      </c>
      <c r="J1778" t="s">
        <v>111</v>
      </c>
      <c r="K1778" t="str">
        <f>"85262"</f>
        <v>85262</v>
      </c>
      <c r="L1778" t="s">
        <v>12111</v>
      </c>
      <c r="M1778" t="s">
        <v>12112</v>
      </c>
      <c r="N1778" t="s">
        <v>1936</v>
      </c>
      <c r="O1778" t="s">
        <v>111</v>
      </c>
      <c r="P1778" t="str">
        <f>"85262"</f>
        <v>85262</v>
      </c>
      <c r="Q1778" t="s">
        <v>113</v>
      </c>
      <c r="R1778" t="str">
        <f>"219-39-368-B"</f>
        <v>219-39-368-B</v>
      </c>
      <c r="U1778">
        <v>2396</v>
      </c>
      <c r="V1778">
        <v>0</v>
      </c>
      <c r="W1778">
        <v>4</v>
      </c>
      <c r="X1778">
        <v>2016</v>
      </c>
      <c r="Z1778">
        <v>1</v>
      </c>
      <c r="AB1778">
        <v>0</v>
      </c>
      <c r="AC1778" t="s">
        <v>115</v>
      </c>
      <c r="AD1778">
        <v>4</v>
      </c>
      <c r="AE1778" t="s">
        <v>115</v>
      </c>
      <c r="AF1778">
        <v>0</v>
      </c>
      <c r="AG1778">
        <v>0</v>
      </c>
      <c r="AH1778" t="s">
        <v>116</v>
      </c>
      <c r="AI1778" s="1">
        <v>-276900</v>
      </c>
      <c r="AJ1778" s="2">
        <v>-0.51</v>
      </c>
      <c r="AK1778" s="1">
        <v>541724</v>
      </c>
      <c r="AL1778" t="s">
        <v>117</v>
      </c>
      <c r="AM1778" t="s">
        <v>376</v>
      </c>
      <c r="AN1778">
        <v>43599</v>
      </c>
      <c r="AO1778">
        <v>1</v>
      </c>
      <c r="AR1778">
        <v>1</v>
      </c>
      <c r="AS1778" s="1">
        <v>38530</v>
      </c>
      <c r="AT1778" s="1">
        <v>7700</v>
      </c>
      <c r="AU1778" s="1">
        <v>30830</v>
      </c>
      <c r="AV1778">
        <v>80.02</v>
      </c>
      <c r="AX1778" s="1">
        <v>1549.08</v>
      </c>
      <c r="AY1778" t="s">
        <v>5017</v>
      </c>
      <c r="AZ1778" t="s">
        <v>1402</v>
      </c>
      <c r="BA1778" t="s">
        <v>1403</v>
      </c>
      <c r="BB1778" s="3">
        <v>43151</v>
      </c>
      <c r="BC1778" s="1">
        <v>0</v>
      </c>
      <c r="BD1778" t="s">
        <v>247</v>
      </c>
      <c r="BE1778" s="3">
        <v>42496</v>
      </c>
      <c r="BF1778" s="1">
        <v>409312</v>
      </c>
      <c r="BG1778" t="s">
        <v>1790</v>
      </c>
      <c r="BH1778" s="1">
        <v>170.83</v>
      </c>
      <c r="BI1778" s="1">
        <v>409312</v>
      </c>
      <c r="BJ1778" s="3">
        <v>42496</v>
      </c>
      <c r="BK1778" t="s">
        <v>123</v>
      </c>
      <c r="BL1778" t="str">
        <f>"2016.312152"</f>
        <v>2016.312152</v>
      </c>
      <c r="BM1778" t="s">
        <v>380</v>
      </c>
      <c r="BN1778" t="s">
        <v>381</v>
      </c>
      <c r="BO1778" t="s">
        <v>12113</v>
      </c>
      <c r="BS1778">
        <v>30</v>
      </c>
      <c r="BT1778" s="1">
        <v>409312</v>
      </c>
      <c r="BU1778" s="3">
        <v>42557</v>
      </c>
      <c r="BV1778" t="s">
        <v>123</v>
      </c>
      <c r="BW1778" t="str">
        <f>"2016.473085"</f>
        <v>2016.473085</v>
      </c>
      <c r="BX1778" t="s">
        <v>380</v>
      </c>
      <c r="BY1778" t="s">
        <v>381</v>
      </c>
      <c r="BZ1778" t="s">
        <v>12113</v>
      </c>
      <c r="CD1778">
        <v>30</v>
      </c>
      <c r="CH1778" t="str">
        <f>""</f>
        <v/>
      </c>
      <c r="CS1778" t="str">
        <f>""</f>
        <v/>
      </c>
    </row>
    <row r="1779" spans="1:97" x14ac:dyDescent="0.25">
      <c r="A1779" t="s">
        <v>243</v>
      </c>
      <c r="B1779" t="s">
        <v>832</v>
      </c>
      <c r="C1779" t="s">
        <v>1335</v>
      </c>
      <c r="D1779" t="s">
        <v>832</v>
      </c>
      <c r="E1779" t="s">
        <v>12114</v>
      </c>
      <c r="F1779" t="s">
        <v>108</v>
      </c>
      <c r="H1779" t="s">
        <v>12115</v>
      </c>
      <c r="I1779" t="s">
        <v>188</v>
      </c>
      <c r="J1779" t="s">
        <v>111</v>
      </c>
      <c r="K1779" t="str">
        <f>"85142"</f>
        <v>85142</v>
      </c>
      <c r="L1779" t="s">
        <v>5524</v>
      </c>
      <c r="M1779" t="s">
        <v>12115</v>
      </c>
      <c r="N1779" t="s">
        <v>188</v>
      </c>
      <c r="O1779" t="s">
        <v>111</v>
      </c>
      <c r="P1779" t="str">
        <f>"85142-7360"</f>
        <v>85142-7360</v>
      </c>
      <c r="Q1779" t="s">
        <v>113</v>
      </c>
      <c r="R1779" t="str">
        <f>"304-88-107"</f>
        <v>304-88-107</v>
      </c>
      <c r="S1779" t="s">
        <v>3834</v>
      </c>
      <c r="U1779">
        <v>2440</v>
      </c>
      <c r="V1779">
        <v>0</v>
      </c>
      <c r="W1779">
        <v>4</v>
      </c>
      <c r="X1779">
        <v>2002</v>
      </c>
      <c r="Z1779">
        <v>1</v>
      </c>
      <c r="AB1779">
        <v>0</v>
      </c>
      <c r="AC1779" t="s">
        <v>115</v>
      </c>
      <c r="AD1779">
        <v>2</v>
      </c>
      <c r="AE1779" t="s">
        <v>115</v>
      </c>
      <c r="AF1779">
        <v>0</v>
      </c>
      <c r="AG1779">
        <v>0</v>
      </c>
      <c r="AH1779" t="s">
        <v>116</v>
      </c>
      <c r="AI1779" s="1">
        <v>61812</v>
      </c>
      <c r="AJ1779" s="2">
        <v>0.13</v>
      </c>
      <c r="AK1779" s="1">
        <v>492573</v>
      </c>
      <c r="AL1779" t="s">
        <v>117</v>
      </c>
      <c r="AM1779" t="s">
        <v>376</v>
      </c>
      <c r="AN1779">
        <v>44692</v>
      </c>
      <c r="AO1779">
        <v>1.03</v>
      </c>
      <c r="AP1779">
        <v>1</v>
      </c>
      <c r="AR1779">
        <v>1</v>
      </c>
      <c r="AS1779" s="1">
        <v>33380</v>
      </c>
      <c r="AT1779" s="1">
        <v>6670</v>
      </c>
      <c r="AU1779" s="1">
        <v>26710</v>
      </c>
      <c r="AV1779">
        <v>80.02</v>
      </c>
      <c r="AX1779" s="1">
        <v>3017.76</v>
      </c>
      <c r="AY1779" t="s">
        <v>1133</v>
      </c>
      <c r="AZ1779" t="s">
        <v>1134</v>
      </c>
      <c r="BA1779" t="s">
        <v>1134</v>
      </c>
      <c r="BE1779" s="3">
        <v>42258</v>
      </c>
      <c r="BF1779" s="1">
        <v>417000</v>
      </c>
      <c r="BG1779" t="s">
        <v>12116</v>
      </c>
      <c r="BH1779" s="1">
        <v>170.9</v>
      </c>
      <c r="BI1779" s="1">
        <v>430761</v>
      </c>
      <c r="BJ1779" s="3">
        <v>42258</v>
      </c>
      <c r="BK1779" t="s">
        <v>123</v>
      </c>
      <c r="BL1779" t="str">
        <f>"2015.656709"</f>
        <v>2015.656709</v>
      </c>
      <c r="BM1779" t="s">
        <v>12117</v>
      </c>
      <c r="BO1779" t="s">
        <v>12118</v>
      </c>
      <c r="BS1779">
        <v>30</v>
      </c>
      <c r="BW1779" t="str">
        <f>""</f>
        <v/>
      </c>
      <c r="CH1779" t="str">
        <f>""</f>
        <v/>
      </c>
      <c r="CS1779" t="str">
        <f>""</f>
        <v/>
      </c>
    </row>
    <row r="1780" spans="1:97" x14ac:dyDescent="0.25">
      <c r="A1780" t="s">
        <v>12119</v>
      </c>
      <c r="B1780" t="s">
        <v>12120</v>
      </c>
      <c r="C1780" t="s">
        <v>1423</v>
      </c>
      <c r="D1780" t="s">
        <v>12121</v>
      </c>
      <c r="E1780" t="s">
        <v>12122</v>
      </c>
      <c r="F1780" t="s">
        <v>108</v>
      </c>
      <c r="H1780" t="s">
        <v>12123</v>
      </c>
      <c r="I1780" t="s">
        <v>390</v>
      </c>
      <c r="J1780" t="s">
        <v>111</v>
      </c>
      <c r="K1780" t="str">
        <f>"85032"</f>
        <v>85032</v>
      </c>
      <c r="L1780" t="s">
        <v>6964</v>
      </c>
      <c r="M1780" t="s">
        <v>12123</v>
      </c>
      <c r="N1780" t="s">
        <v>390</v>
      </c>
      <c r="O1780" t="s">
        <v>111</v>
      </c>
      <c r="P1780" t="str">
        <f>"85032-6526"</f>
        <v>85032-6526</v>
      </c>
      <c r="Q1780" t="s">
        <v>113</v>
      </c>
      <c r="R1780" t="str">
        <f>"166-04-094"</f>
        <v>166-04-094</v>
      </c>
      <c r="S1780" t="s">
        <v>12124</v>
      </c>
      <c r="U1780">
        <v>1584</v>
      </c>
      <c r="V1780">
        <v>0</v>
      </c>
      <c r="W1780">
        <v>2</v>
      </c>
      <c r="X1780">
        <v>1973</v>
      </c>
      <c r="Z1780">
        <v>1</v>
      </c>
      <c r="AA1780" t="s">
        <v>26</v>
      </c>
      <c r="AB1780">
        <v>0</v>
      </c>
      <c r="AC1780" t="s">
        <v>115</v>
      </c>
      <c r="AD1780">
        <v>2</v>
      </c>
      <c r="AE1780" t="s">
        <v>115</v>
      </c>
      <c r="AF1780">
        <v>0</v>
      </c>
      <c r="AG1780">
        <v>0</v>
      </c>
      <c r="AH1780" t="s">
        <v>116</v>
      </c>
      <c r="AI1780" s="1">
        <v>59523</v>
      </c>
      <c r="AJ1780" s="2">
        <v>0.22</v>
      </c>
      <c r="AK1780" s="1">
        <v>269523</v>
      </c>
      <c r="AL1780" t="s">
        <v>117</v>
      </c>
      <c r="AM1780" t="s">
        <v>171</v>
      </c>
      <c r="AN1780">
        <v>9492</v>
      </c>
      <c r="AO1780">
        <v>0.22</v>
      </c>
      <c r="AP1780">
        <v>1</v>
      </c>
      <c r="AR1780">
        <v>1</v>
      </c>
      <c r="AS1780" s="1">
        <v>20100</v>
      </c>
      <c r="AT1780" s="1">
        <v>4020</v>
      </c>
      <c r="AU1780" s="1">
        <v>16080</v>
      </c>
      <c r="AV1780">
        <v>80</v>
      </c>
      <c r="AX1780" s="1">
        <v>1557.42</v>
      </c>
      <c r="AY1780" t="s">
        <v>6904</v>
      </c>
      <c r="AZ1780" t="s">
        <v>5489</v>
      </c>
      <c r="BA1780" t="s">
        <v>5232</v>
      </c>
      <c r="BE1780" s="3">
        <v>42325</v>
      </c>
      <c r="BF1780" s="1">
        <v>210000</v>
      </c>
      <c r="BG1780" t="s">
        <v>12125</v>
      </c>
      <c r="BH1780" s="1">
        <v>156.25</v>
      </c>
      <c r="BI1780" s="1">
        <v>210000</v>
      </c>
      <c r="BJ1780" s="3">
        <v>42325</v>
      </c>
      <c r="BK1780" t="s">
        <v>123</v>
      </c>
      <c r="BL1780" t="str">
        <f>"2015.821485"</f>
        <v>2015.821485</v>
      </c>
      <c r="BM1780" t="s">
        <v>135</v>
      </c>
      <c r="BO1780" t="s">
        <v>12126</v>
      </c>
      <c r="BP1780" t="s">
        <v>12127</v>
      </c>
      <c r="BS1780">
        <v>30</v>
      </c>
      <c r="BW1780" t="str">
        <f>""</f>
        <v/>
      </c>
      <c r="CH1780" t="str">
        <f>""</f>
        <v/>
      </c>
      <c r="CS1780" t="str">
        <f>""</f>
        <v/>
      </c>
    </row>
    <row r="1781" spans="1:97" x14ac:dyDescent="0.25">
      <c r="A1781" t="s">
        <v>589</v>
      </c>
      <c r="B1781" t="s">
        <v>3443</v>
      </c>
      <c r="E1781" t="s">
        <v>12128</v>
      </c>
      <c r="F1781" t="s">
        <v>108</v>
      </c>
      <c r="H1781" t="s">
        <v>12129</v>
      </c>
      <c r="I1781" t="s">
        <v>632</v>
      </c>
      <c r="J1781" t="s">
        <v>111</v>
      </c>
      <c r="K1781" t="str">
        <f>"85388"</f>
        <v>85388</v>
      </c>
      <c r="L1781" t="s">
        <v>3094</v>
      </c>
      <c r="M1781" t="s">
        <v>12129</v>
      </c>
      <c r="N1781" t="s">
        <v>632</v>
      </c>
      <c r="O1781" t="s">
        <v>111</v>
      </c>
      <c r="P1781" t="str">
        <f>"85388-7702"</f>
        <v>85388-7702</v>
      </c>
      <c r="Q1781" t="s">
        <v>113</v>
      </c>
      <c r="R1781" t="str">
        <f>"502-88-038"</f>
        <v>502-88-038</v>
      </c>
      <c r="S1781" t="s">
        <v>12130</v>
      </c>
      <c r="T1781" t="s">
        <v>12131</v>
      </c>
      <c r="U1781">
        <v>2016</v>
      </c>
      <c r="V1781">
        <v>0</v>
      </c>
      <c r="W1781">
        <v>3</v>
      </c>
      <c r="X1781">
        <v>2004</v>
      </c>
      <c r="Z1781">
        <v>1</v>
      </c>
      <c r="AA1781" t="s">
        <v>26</v>
      </c>
      <c r="AB1781">
        <v>0</v>
      </c>
      <c r="AC1781" t="s">
        <v>115</v>
      </c>
      <c r="AD1781">
        <v>2</v>
      </c>
      <c r="AE1781" t="s">
        <v>115</v>
      </c>
      <c r="AF1781">
        <v>0</v>
      </c>
      <c r="AG1781">
        <v>0</v>
      </c>
      <c r="AH1781" t="s">
        <v>116</v>
      </c>
      <c r="AI1781" s="1">
        <v>72784</v>
      </c>
      <c r="AJ1781" s="2">
        <v>0.25</v>
      </c>
      <c r="AK1781" s="1">
        <v>288632</v>
      </c>
      <c r="AL1781" t="s">
        <v>117</v>
      </c>
      <c r="AM1781" t="s">
        <v>118</v>
      </c>
      <c r="AN1781">
        <v>6095</v>
      </c>
      <c r="AO1781">
        <v>0.14000000000000001</v>
      </c>
      <c r="AR1781">
        <v>1</v>
      </c>
      <c r="AS1781" s="1">
        <v>19460</v>
      </c>
      <c r="AT1781" s="1">
        <v>3890</v>
      </c>
      <c r="AU1781" s="1">
        <v>15570</v>
      </c>
      <c r="AV1781">
        <v>80.010000000000005</v>
      </c>
      <c r="AX1781" s="1">
        <v>1498.68</v>
      </c>
      <c r="AY1781" t="s">
        <v>6262</v>
      </c>
      <c r="AZ1781" t="s">
        <v>6262</v>
      </c>
      <c r="BA1781" t="s">
        <v>5061</v>
      </c>
      <c r="BE1781" s="3">
        <v>41872</v>
      </c>
      <c r="BF1781" s="1">
        <v>217900</v>
      </c>
      <c r="BG1781" t="s">
        <v>12132</v>
      </c>
      <c r="BH1781" s="1">
        <v>108.09</v>
      </c>
      <c r="BI1781" s="1">
        <v>215848</v>
      </c>
      <c r="BJ1781" s="3">
        <v>42656</v>
      </c>
      <c r="BK1781" t="s">
        <v>123</v>
      </c>
      <c r="BL1781" t="str">
        <f>"2016.753102"</f>
        <v>2016.753102</v>
      </c>
      <c r="BM1781" t="s">
        <v>402</v>
      </c>
      <c r="BO1781" t="s">
        <v>12133</v>
      </c>
      <c r="BS1781">
        <v>28</v>
      </c>
      <c r="BW1781" t="str">
        <f>""</f>
        <v/>
      </c>
      <c r="CH1781" t="str">
        <f>""</f>
        <v/>
      </c>
      <c r="CS1781" t="str">
        <f>""</f>
        <v/>
      </c>
    </row>
    <row r="1782" spans="1:97" x14ac:dyDescent="0.25">
      <c r="A1782" t="s">
        <v>2123</v>
      </c>
      <c r="B1782" t="s">
        <v>141</v>
      </c>
      <c r="E1782" t="s">
        <v>12134</v>
      </c>
      <c r="F1782" t="s">
        <v>108</v>
      </c>
      <c r="H1782" t="s">
        <v>12135</v>
      </c>
      <c r="I1782" t="s">
        <v>203</v>
      </c>
      <c r="J1782" t="s">
        <v>111</v>
      </c>
      <c r="K1782" t="str">
        <f>"85295"</f>
        <v>85295</v>
      </c>
      <c r="L1782" t="s">
        <v>10083</v>
      </c>
      <c r="M1782" t="s">
        <v>12135</v>
      </c>
      <c r="N1782" t="s">
        <v>203</v>
      </c>
      <c r="O1782" t="s">
        <v>111</v>
      </c>
      <c r="P1782" t="str">
        <f>"85295-6048"</f>
        <v>85295-6048</v>
      </c>
      <c r="Q1782" t="s">
        <v>113</v>
      </c>
      <c r="R1782" t="str">
        <f>"304-46-408"</f>
        <v>304-46-408</v>
      </c>
      <c r="S1782" t="s">
        <v>12136</v>
      </c>
      <c r="T1782" t="s">
        <v>12137</v>
      </c>
      <c r="U1782">
        <v>2102</v>
      </c>
      <c r="V1782">
        <v>0</v>
      </c>
      <c r="W1782">
        <v>5</v>
      </c>
      <c r="X1782">
        <v>2007</v>
      </c>
      <c r="Z1782">
        <v>2</v>
      </c>
      <c r="AB1782">
        <v>0</v>
      </c>
      <c r="AC1782" t="s">
        <v>115</v>
      </c>
      <c r="AD1782">
        <v>2</v>
      </c>
      <c r="AE1782" t="s">
        <v>115</v>
      </c>
      <c r="AF1782">
        <v>0</v>
      </c>
      <c r="AG1782">
        <v>0</v>
      </c>
      <c r="AH1782" t="s">
        <v>116</v>
      </c>
      <c r="AI1782" s="1">
        <v>75440</v>
      </c>
      <c r="AJ1782" s="2">
        <v>0.25</v>
      </c>
      <c r="AK1782" s="1">
        <v>305277</v>
      </c>
      <c r="AL1782" t="s">
        <v>117</v>
      </c>
      <c r="AM1782" t="s">
        <v>288</v>
      </c>
      <c r="AN1782">
        <v>2925</v>
      </c>
      <c r="AO1782">
        <v>0.67</v>
      </c>
      <c r="AR1782">
        <v>1</v>
      </c>
      <c r="AS1782" s="1">
        <v>20510</v>
      </c>
      <c r="AT1782" s="1">
        <v>4100</v>
      </c>
      <c r="AU1782" s="1">
        <v>16410</v>
      </c>
      <c r="AV1782">
        <v>80.010000000000005</v>
      </c>
      <c r="AX1782" s="1">
        <v>1456.66</v>
      </c>
      <c r="AY1782" t="s">
        <v>1818</v>
      </c>
      <c r="AZ1782" t="s">
        <v>207</v>
      </c>
      <c r="BA1782" t="s">
        <v>208</v>
      </c>
      <c r="BE1782" s="3">
        <v>42250</v>
      </c>
      <c r="BF1782" s="1">
        <v>225000</v>
      </c>
      <c r="BG1782" t="s">
        <v>12138</v>
      </c>
      <c r="BH1782" s="1">
        <v>107.04</v>
      </c>
      <c r="BI1782" s="1">
        <v>229837</v>
      </c>
      <c r="BJ1782" s="3">
        <v>42250</v>
      </c>
      <c r="BK1782" t="s">
        <v>123</v>
      </c>
      <c r="BL1782" t="str">
        <f>"2015.641830"</f>
        <v>2015.641830</v>
      </c>
      <c r="BM1782" t="s">
        <v>594</v>
      </c>
      <c r="BO1782" t="s">
        <v>12139</v>
      </c>
      <c r="BS1782">
        <v>30</v>
      </c>
      <c r="BW1782" t="str">
        <f>""</f>
        <v/>
      </c>
      <c r="CH1782" t="str">
        <f>""</f>
        <v/>
      </c>
      <c r="CS1782" t="str">
        <f>""</f>
        <v/>
      </c>
    </row>
    <row r="1783" spans="1:97" x14ac:dyDescent="0.25">
      <c r="A1783" t="s">
        <v>996</v>
      </c>
      <c r="B1783" t="s">
        <v>12140</v>
      </c>
      <c r="C1783" t="s">
        <v>2002</v>
      </c>
      <c r="D1783" t="s">
        <v>12140</v>
      </c>
      <c r="E1783" t="s">
        <v>12141</v>
      </c>
      <c r="F1783" t="s">
        <v>108</v>
      </c>
      <c r="H1783" t="s">
        <v>12142</v>
      </c>
      <c r="I1783" t="s">
        <v>1936</v>
      </c>
      <c r="J1783" t="s">
        <v>111</v>
      </c>
      <c r="K1783" t="str">
        <f>"85254"</f>
        <v>85254</v>
      </c>
      <c r="L1783" t="s">
        <v>6983</v>
      </c>
      <c r="M1783" t="s">
        <v>12142</v>
      </c>
      <c r="N1783" t="s">
        <v>1936</v>
      </c>
      <c r="O1783" t="s">
        <v>111</v>
      </c>
      <c r="P1783" t="str">
        <f>"85254-3607"</f>
        <v>85254-3607</v>
      </c>
      <c r="Q1783" t="s">
        <v>113</v>
      </c>
      <c r="R1783" t="str">
        <f>"167-05-228"</f>
        <v>167-05-228</v>
      </c>
      <c r="S1783" t="s">
        <v>12143</v>
      </c>
      <c r="T1783" t="s">
        <v>12144</v>
      </c>
      <c r="U1783">
        <v>2164</v>
      </c>
      <c r="V1783">
        <v>0</v>
      </c>
      <c r="W1783">
        <v>2</v>
      </c>
      <c r="X1783">
        <v>1974</v>
      </c>
      <c r="Z1783">
        <v>1</v>
      </c>
      <c r="AA1783" t="s">
        <v>26</v>
      </c>
      <c r="AB1783">
        <v>0</v>
      </c>
      <c r="AC1783" t="s">
        <v>115</v>
      </c>
      <c r="AD1783">
        <v>2</v>
      </c>
      <c r="AE1783" t="s">
        <v>115</v>
      </c>
      <c r="AF1783">
        <v>0</v>
      </c>
      <c r="AG1783">
        <v>0</v>
      </c>
      <c r="AH1783" t="s">
        <v>116</v>
      </c>
      <c r="AI1783" s="1">
        <v>98416</v>
      </c>
      <c r="AJ1783" s="2">
        <v>0.19</v>
      </c>
      <c r="AK1783" s="1">
        <v>523416</v>
      </c>
      <c r="AL1783" t="s">
        <v>117</v>
      </c>
      <c r="AM1783" t="s">
        <v>6114</v>
      </c>
      <c r="AN1783">
        <v>22159</v>
      </c>
      <c r="AO1783">
        <v>0.51</v>
      </c>
      <c r="AP1783">
        <v>1</v>
      </c>
      <c r="AR1783">
        <v>1</v>
      </c>
      <c r="AS1783" s="1">
        <v>38780</v>
      </c>
      <c r="AT1783" s="1">
        <v>7750</v>
      </c>
      <c r="AU1783" s="1">
        <v>31030</v>
      </c>
      <c r="AV1783">
        <v>80.02</v>
      </c>
      <c r="AX1783" s="1">
        <v>3221.52</v>
      </c>
      <c r="AY1783" t="s">
        <v>9010</v>
      </c>
      <c r="AZ1783" t="s">
        <v>7739</v>
      </c>
      <c r="BA1783" t="s">
        <v>6302</v>
      </c>
      <c r="BE1783" s="3">
        <v>42394</v>
      </c>
      <c r="BF1783" s="1">
        <v>425000</v>
      </c>
      <c r="BG1783" t="s">
        <v>12145</v>
      </c>
      <c r="BH1783" s="1">
        <v>196.4</v>
      </c>
      <c r="BI1783" s="1">
        <v>425000</v>
      </c>
      <c r="BJ1783" s="3">
        <v>42394</v>
      </c>
      <c r="BK1783" t="s">
        <v>123</v>
      </c>
      <c r="BL1783" t="str">
        <f>"2016.46434"</f>
        <v>2016.46434</v>
      </c>
      <c r="BM1783" t="s">
        <v>361</v>
      </c>
      <c r="BO1783" t="s">
        <v>12146</v>
      </c>
      <c r="BS1783">
        <v>30</v>
      </c>
      <c r="BW1783" t="str">
        <f>""</f>
        <v/>
      </c>
      <c r="CH1783" t="str">
        <f>""</f>
        <v/>
      </c>
      <c r="CS1783" t="str">
        <f>""</f>
        <v/>
      </c>
    </row>
    <row r="1784" spans="1:97" x14ac:dyDescent="0.25">
      <c r="A1784" t="s">
        <v>589</v>
      </c>
      <c r="B1784" t="s">
        <v>5890</v>
      </c>
      <c r="E1784" t="s">
        <v>12147</v>
      </c>
      <c r="F1784" t="s">
        <v>108</v>
      </c>
      <c r="H1784" t="s">
        <v>12148</v>
      </c>
      <c r="I1784" t="s">
        <v>632</v>
      </c>
      <c r="J1784" t="s">
        <v>111</v>
      </c>
      <c r="K1784" t="str">
        <f>"85379"</f>
        <v>85379</v>
      </c>
      <c r="L1784" t="s">
        <v>5058</v>
      </c>
      <c r="M1784" t="s">
        <v>12148</v>
      </c>
      <c r="N1784" t="s">
        <v>632</v>
      </c>
      <c r="O1784" t="s">
        <v>111</v>
      </c>
      <c r="P1784" t="str">
        <f>"85379-1187"</f>
        <v>85379-1187</v>
      </c>
      <c r="Q1784" t="s">
        <v>113</v>
      </c>
      <c r="R1784" t="str">
        <f>"501-79-408"</f>
        <v>501-79-408</v>
      </c>
      <c r="S1784" t="s">
        <v>5059</v>
      </c>
      <c r="U1784">
        <v>2085</v>
      </c>
      <c r="V1784">
        <v>0</v>
      </c>
      <c r="W1784">
        <v>3</v>
      </c>
      <c r="X1784">
        <v>2015</v>
      </c>
      <c r="Z1784">
        <v>1</v>
      </c>
      <c r="AB1784">
        <v>0</v>
      </c>
      <c r="AC1784" t="s">
        <v>115</v>
      </c>
      <c r="AD1784">
        <v>2</v>
      </c>
      <c r="AE1784" t="s">
        <v>115</v>
      </c>
      <c r="AF1784">
        <v>0</v>
      </c>
      <c r="AG1784">
        <v>0</v>
      </c>
      <c r="AH1784" t="s">
        <v>116</v>
      </c>
      <c r="AI1784" s="1">
        <v>54446</v>
      </c>
      <c r="AJ1784" s="2">
        <v>0.18</v>
      </c>
      <c r="AK1784" s="1">
        <v>304691</v>
      </c>
      <c r="AL1784" t="s">
        <v>117</v>
      </c>
      <c r="AM1784" t="s">
        <v>118</v>
      </c>
      <c r="AN1784">
        <v>7197</v>
      </c>
      <c r="AO1784">
        <v>0.16</v>
      </c>
      <c r="AR1784">
        <v>1</v>
      </c>
      <c r="AS1784" s="1">
        <v>21970</v>
      </c>
      <c r="AT1784" s="1">
        <v>4390</v>
      </c>
      <c r="AU1784" s="1">
        <v>17580</v>
      </c>
      <c r="AV1784">
        <v>80.02</v>
      </c>
      <c r="AX1784" s="1">
        <v>1713.28</v>
      </c>
      <c r="AY1784" t="s">
        <v>5060</v>
      </c>
      <c r="AZ1784" t="s">
        <v>5060</v>
      </c>
      <c r="BA1784" t="s">
        <v>5061</v>
      </c>
      <c r="BE1784" s="3">
        <v>42426</v>
      </c>
      <c r="BF1784" s="1">
        <v>253540</v>
      </c>
      <c r="BG1784" t="s">
        <v>292</v>
      </c>
      <c r="BH1784" s="1">
        <v>121.6</v>
      </c>
      <c r="BI1784" s="1">
        <v>250245</v>
      </c>
      <c r="BJ1784" s="3">
        <v>42643</v>
      </c>
      <c r="BK1784" t="s">
        <v>123</v>
      </c>
      <c r="BL1784" t="str">
        <f>"2016.714154"</f>
        <v>2016.714154</v>
      </c>
      <c r="BM1784" t="s">
        <v>7129</v>
      </c>
      <c r="BO1784" t="s">
        <v>12149</v>
      </c>
      <c r="BS1784">
        <v>30</v>
      </c>
      <c r="BW1784" t="str">
        <f>""</f>
        <v/>
      </c>
      <c r="CH1784" t="str">
        <f>""</f>
        <v/>
      </c>
      <c r="CS1784" t="str">
        <f>""</f>
        <v/>
      </c>
    </row>
    <row r="1785" spans="1:97" x14ac:dyDescent="0.25">
      <c r="B1785" t="s">
        <v>12150</v>
      </c>
      <c r="E1785" t="s">
        <v>12151</v>
      </c>
      <c r="F1785" t="s">
        <v>108</v>
      </c>
      <c r="H1785" t="s">
        <v>12152</v>
      </c>
      <c r="I1785" t="s">
        <v>203</v>
      </c>
      <c r="J1785" t="s">
        <v>111</v>
      </c>
      <c r="K1785" t="str">
        <f>"85234"</f>
        <v>85234</v>
      </c>
      <c r="L1785" t="s">
        <v>688</v>
      </c>
      <c r="M1785" t="s">
        <v>12152</v>
      </c>
      <c r="N1785" t="s">
        <v>203</v>
      </c>
      <c r="O1785" t="s">
        <v>111</v>
      </c>
      <c r="P1785" t="str">
        <f>"85234-3015"</f>
        <v>85234-3015</v>
      </c>
      <c r="Q1785" t="s">
        <v>113</v>
      </c>
      <c r="R1785" t="str">
        <f>"304-07-505"</f>
        <v>304-07-505</v>
      </c>
      <c r="S1785" t="s">
        <v>10653</v>
      </c>
      <c r="T1785" t="s">
        <v>10653</v>
      </c>
      <c r="U1785">
        <v>1681</v>
      </c>
      <c r="V1785">
        <v>0</v>
      </c>
      <c r="W1785">
        <v>3</v>
      </c>
      <c r="X1785">
        <v>1996</v>
      </c>
      <c r="Z1785">
        <v>1</v>
      </c>
      <c r="AA1785" t="s">
        <v>26</v>
      </c>
      <c r="AB1785">
        <v>0</v>
      </c>
      <c r="AC1785" t="s">
        <v>115</v>
      </c>
      <c r="AD1785">
        <v>2</v>
      </c>
      <c r="AE1785" t="s">
        <v>115</v>
      </c>
      <c r="AF1785">
        <v>0</v>
      </c>
      <c r="AG1785">
        <v>0</v>
      </c>
      <c r="AH1785" t="s">
        <v>116</v>
      </c>
      <c r="AI1785" s="1">
        <v>119385</v>
      </c>
      <c r="AJ1785" s="2">
        <v>0.36</v>
      </c>
      <c r="AK1785" s="1">
        <v>334035</v>
      </c>
      <c r="AL1785" t="s">
        <v>117</v>
      </c>
      <c r="AM1785" t="s">
        <v>393</v>
      </c>
      <c r="AN1785">
        <v>8882</v>
      </c>
      <c r="AO1785">
        <v>0.2</v>
      </c>
      <c r="AP1785">
        <v>1</v>
      </c>
      <c r="AR1785">
        <v>1</v>
      </c>
      <c r="AS1785" s="1">
        <v>23310</v>
      </c>
      <c r="AT1785" s="1">
        <v>4660</v>
      </c>
      <c r="AU1785" s="1">
        <v>18650</v>
      </c>
      <c r="AV1785">
        <v>80.010000000000005</v>
      </c>
      <c r="AX1785" s="1">
        <v>1661.24</v>
      </c>
      <c r="AY1785" t="s">
        <v>10654</v>
      </c>
      <c r="AZ1785" t="s">
        <v>571</v>
      </c>
      <c r="BA1785" t="s">
        <v>521</v>
      </c>
      <c r="BB1785" s="3">
        <v>43328</v>
      </c>
      <c r="BC1785" s="1">
        <v>0</v>
      </c>
      <c r="BD1785" t="s">
        <v>247</v>
      </c>
      <c r="BE1785" s="3">
        <v>42212</v>
      </c>
      <c r="BF1785" s="1">
        <v>292000</v>
      </c>
      <c r="BG1785" t="s">
        <v>12153</v>
      </c>
      <c r="BH1785" s="1">
        <v>173.71</v>
      </c>
      <c r="BI1785" s="1">
        <v>214650</v>
      </c>
      <c r="BJ1785" s="3">
        <v>42212</v>
      </c>
      <c r="BK1785" t="s">
        <v>123</v>
      </c>
      <c r="BL1785" t="str">
        <f>"2015.539905"</f>
        <v>2015.539905</v>
      </c>
      <c r="BM1785" t="s">
        <v>12154</v>
      </c>
      <c r="BN1785" t="s">
        <v>6856</v>
      </c>
      <c r="BO1785" t="s">
        <v>12155</v>
      </c>
      <c r="BS1785">
        <v>30</v>
      </c>
      <c r="BW1785" t="str">
        <f>""</f>
        <v/>
      </c>
      <c r="CH1785" t="str">
        <f>""</f>
        <v/>
      </c>
      <c r="CS1785" t="str">
        <f>""</f>
        <v/>
      </c>
    </row>
    <row r="1786" spans="1:97" x14ac:dyDescent="0.25">
      <c r="A1786" t="s">
        <v>370</v>
      </c>
      <c r="B1786" t="s">
        <v>12156</v>
      </c>
      <c r="C1786" t="s">
        <v>2019</v>
      </c>
      <c r="D1786" t="s">
        <v>12156</v>
      </c>
      <c r="E1786" t="s">
        <v>12157</v>
      </c>
      <c r="F1786" t="s">
        <v>108</v>
      </c>
      <c r="H1786" t="s">
        <v>12158</v>
      </c>
      <c r="I1786" t="s">
        <v>110</v>
      </c>
      <c r="J1786" t="s">
        <v>111</v>
      </c>
      <c r="K1786" t="str">
        <f>"85225"</f>
        <v>85225</v>
      </c>
      <c r="L1786" t="s">
        <v>2963</v>
      </c>
      <c r="M1786" t="s">
        <v>12158</v>
      </c>
      <c r="N1786" t="s">
        <v>110</v>
      </c>
      <c r="O1786" t="s">
        <v>111</v>
      </c>
      <c r="P1786" t="str">
        <f>"85225-2186"</f>
        <v>85225-2186</v>
      </c>
      <c r="Q1786" t="s">
        <v>113</v>
      </c>
      <c r="R1786" t="str">
        <f>"302-26-280"</f>
        <v>302-26-280</v>
      </c>
      <c r="S1786" t="s">
        <v>12159</v>
      </c>
      <c r="T1786" t="s">
        <v>12160</v>
      </c>
      <c r="U1786">
        <v>1990</v>
      </c>
      <c r="V1786">
        <v>0</v>
      </c>
      <c r="W1786">
        <v>2</v>
      </c>
      <c r="X1786">
        <v>1986</v>
      </c>
      <c r="Z1786">
        <v>1</v>
      </c>
      <c r="AB1786">
        <v>0</v>
      </c>
      <c r="AC1786" t="s">
        <v>115</v>
      </c>
      <c r="AD1786">
        <v>2</v>
      </c>
      <c r="AE1786" t="s">
        <v>115</v>
      </c>
      <c r="AF1786">
        <v>0</v>
      </c>
      <c r="AG1786">
        <v>0</v>
      </c>
      <c r="AH1786" t="s">
        <v>116</v>
      </c>
      <c r="AI1786" s="1">
        <v>98002</v>
      </c>
      <c r="AJ1786" s="2">
        <v>0.28999999999999998</v>
      </c>
      <c r="AK1786" s="1">
        <v>338356</v>
      </c>
      <c r="AL1786" t="s">
        <v>117</v>
      </c>
      <c r="AM1786" t="s">
        <v>5077</v>
      </c>
      <c r="AN1786">
        <v>10498</v>
      </c>
      <c r="AO1786">
        <v>0.24</v>
      </c>
      <c r="AP1786">
        <v>1</v>
      </c>
      <c r="AR1786">
        <v>1</v>
      </c>
      <c r="AS1786" s="1">
        <v>23030</v>
      </c>
      <c r="AT1786" s="1">
        <v>4600</v>
      </c>
      <c r="AU1786" s="1">
        <v>18430</v>
      </c>
      <c r="AV1786">
        <v>80.03</v>
      </c>
      <c r="AX1786" s="1">
        <v>1631.36</v>
      </c>
      <c r="AY1786" t="s">
        <v>7201</v>
      </c>
      <c r="AZ1786" t="s">
        <v>7201</v>
      </c>
      <c r="BA1786" t="s">
        <v>5311</v>
      </c>
      <c r="BE1786" s="3">
        <v>41745</v>
      </c>
      <c r="BF1786" s="1">
        <v>240000</v>
      </c>
      <c r="BG1786" t="s">
        <v>12161</v>
      </c>
      <c r="BH1786" s="1">
        <v>120.6</v>
      </c>
      <c r="BI1786" s="1">
        <v>240354</v>
      </c>
      <c r="BJ1786" s="3">
        <v>42171</v>
      </c>
      <c r="BK1786" t="s">
        <v>123</v>
      </c>
      <c r="BL1786" t="str">
        <f>"2015.429071"</f>
        <v>2015.429071</v>
      </c>
      <c r="BM1786" t="s">
        <v>475</v>
      </c>
      <c r="BO1786" t="s">
        <v>12162</v>
      </c>
      <c r="BS1786">
        <v>30</v>
      </c>
      <c r="BW1786" t="str">
        <f>""</f>
        <v/>
      </c>
      <c r="CH1786" t="str">
        <f>""</f>
        <v/>
      </c>
      <c r="CS1786" t="str">
        <f>""</f>
        <v/>
      </c>
    </row>
    <row r="1787" spans="1:97" x14ac:dyDescent="0.25">
      <c r="A1787" t="s">
        <v>12163</v>
      </c>
      <c r="B1787" t="s">
        <v>585</v>
      </c>
      <c r="C1787" t="s">
        <v>2575</v>
      </c>
      <c r="D1787" t="s">
        <v>585</v>
      </c>
      <c r="E1787" t="s">
        <v>12164</v>
      </c>
      <c r="F1787" t="s">
        <v>108</v>
      </c>
      <c r="H1787" t="s">
        <v>12165</v>
      </c>
      <c r="I1787" t="s">
        <v>203</v>
      </c>
      <c r="J1787" t="s">
        <v>111</v>
      </c>
      <c r="K1787" t="str">
        <f>"85297"</f>
        <v>85297</v>
      </c>
      <c r="L1787" t="s">
        <v>8335</v>
      </c>
      <c r="M1787" t="s">
        <v>12165</v>
      </c>
      <c r="N1787" t="s">
        <v>203</v>
      </c>
      <c r="O1787" t="s">
        <v>111</v>
      </c>
      <c r="P1787" t="str">
        <f>"85297-2428"</f>
        <v>85297-2428</v>
      </c>
      <c r="Q1787" t="s">
        <v>113</v>
      </c>
      <c r="R1787" t="str">
        <f>"313-17-403"</f>
        <v>313-17-403</v>
      </c>
      <c r="S1787" t="s">
        <v>12166</v>
      </c>
      <c r="T1787" t="s">
        <v>8579</v>
      </c>
      <c r="U1787">
        <v>2105</v>
      </c>
      <c r="V1787">
        <v>0</v>
      </c>
      <c r="W1787">
        <v>3</v>
      </c>
      <c r="X1787">
        <v>2012</v>
      </c>
      <c r="Z1787">
        <v>2</v>
      </c>
      <c r="AB1787">
        <v>0</v>
      </c>
      <c r="AC1787" t="s">
        <v>115</v>
      </c>
      <c r="AD1787">
        <v>2</v>
      </c>
      <c r="AE1787" t="s">
        <v>115</v>
      </c>
      <c r="AF1787">
        <v>0</v>
      </c>
      <c r="AG1787">
        <v>0</v>
      </c>
      <c r="AH1787" t="s">
        <v>116</v>
      </c>
      <c r="AI1787" s="1">
        <v>70933</v>
      </c>
      <c r="AJ1787" s="2">
        <v>0.23</v>
      </c>
      <c r="AK1787" s="1">
        <v>304758</v>
      </c>
      <c r="AL1787" t="s">
        <v>117</v>
      </c>
      <c r="AM1787" t="s">
        <v>288</v>
      </c>
      <c r="AN1787">
        <v>2660</v>
      </c>
      <c r="AO1787">
        <v>0.61</v>
      </c>
      <c r="AR1787">
        <v>1</v>
      </c>
      <c r="AS1787" s="1">
        <v>21180</v>
      </c>
      <c r="AT1787" s="1">
        <v>4230</v>
      </c>
      <c r="AU1787" s="1">
        <v>16950</v>
      </c>
      <c r="AV1787">
        <v>80.03</v>
      </c>
      <c r="AX1787" s="1">
        <v>1922.64</v>
      </c>
      <c r="AY1787" t="s">
        <v>8338</v>
      </c>
      <c r="AZ1787" t="s">
        <v>8338</v>
      </c>
      <c r="BA1787" t="s">
        <v>290</v>
      </c>
      <c r="BE1787" s="3">
        <v>42489</v>
      </c>
      <c r="BF1787" s="1">
        <v>235000</v>
      </c>
      <c r="BG1787" t="s">
        <v>12167</v>
      </c>
      <c r="BH1787" s="1">
        <v>111.64</v>
      </c>
      <c r="BI1787" s="1">
        <v>233825</v>
      </c>
      <c r="BJ1787" s="3">
        <v>42489</v>
      </c>
      <c r="BK1787" t="s">
        <v>123</v>
      </c>
      <c r="BL1787" t="str">
        <f>"2016.290852"</f>
        <v>2016.290852</v>
      </c>
      <c r="BM1787" t="s">
        <v>12168</v>
      </c>
      <c r="BO1787" t="s">
        <v>12169</v>
      </c>
      <c r="BS1787">
        <v>30</v>
      </c>
      <c r="BW1787" t="str">
        <f>""</f>
        <v/>
      </c>
      <c r="CH1787" t="str">
        <f>""</f>
        <v/>
      </c>
      <c r="CS1787" t="str">
        <f>""</f>
        <v/>
      </c>
    </row>
    <row r="1788" spans="1:97" x14ac:dyDescent="0.25">
      <c r="A1788" t="s">
        <v>177</v>
      </c>
      <c r="B1788" t="s">
        <v>4107</v>
      </c>
      <c r="C1788" t="s">
        <v>2761</v>
      </c>
      <c r="D1788" t="s">
        <v>8540</v>
      </c>
      <c r="E1788" t="s">
        <v>12170</v>
      </c>
      <c r="F1788" t="s">
        <v>108</v>
      </c>
      <c r="H1788" t="s">
        <v>12171</v>
      </c>
      <c r="I1788" t="s">
        <v>203</v>
      </c>
      <c r="J1788" t="s">
        <v>111</v>
      </c>
      <c r="K1788" t="str">
        <f>"85298"</f>
        <v>85298</v>
      </c>
      <c r="L1788" t="s">
        <v>681</v>
      </c>
      <c r="M1788" t="s">
        <v>12171</v>
      </c>
      <c r="N1788" t="s">
        <v>203</v>
      </c>
      <c r="O1788" t="s">
        <v>111</v>
      </c>
      <c r="P1788" t="str">
        <f>"85298-2220"</f>
        <v>85298-2220</v>
      </c>
      <c r="Q1788" t="s">
        <v>113</v>
      </c>
      <c r="R1788" t="str">
        <f>"304-71-923"</f>
        <v>304-71-923</v>
      </c>
      <c r="S1788" t="s">
        <v>6911</v>
      </c>
      <c r="T1788" t="s">
        <v>287</v>
      </c>
      <c r="U1788">
        <v>2177</v>
      </c>
      <c r="V1788">
        <v>0</v>
      </c>
      <c r="W1788">
        <v>4</v>
      </c>
      <c r="X1788">
        <v>2014</v>
      </c>
      <c r="Z1788">
        <v>2</v>
      </c>
      <c r="AB1788">
        <v>0</v>
      </c>
      <c r="AC1788" t="s">
        <v>115</v>
      </c>
      <c r="AD1788">
        <v>2</v>
      </c>
      <c r="AE1788" t="s">
        <v>115</v>
      </c>
      <c r="AF1788">
        <v>0</v>
      </c>
      <c r="AG1788">
        <v>0</v>
      </c>
      <c r="AH1788" t="s">
        <v>116</v>
      </c>
      <c r="AI1788" s="1">
        <v>109096</v>
      </c>
      <c r="AJ1788" s="2">
        <v>0.28000000000000003</v>
      </c>
      <c r="AK1788" s="1">
        <v>386476</v>
      </c>
      <c r="AL1788" t="s">
        <v>117</v>
      </c>
      <c r="AM1788" t="s">
        <v>288</v>
      </c>
      <c r="AN1788">
        <v>5071</v>
      </c>
      <c r="AO1788">
        <v>0.12</v>
      </c>
      <c r="AR1788">
        <v>1</v>
      </c>
      <c r="AS1788" s="1">
        <v>26580</v>
      </c>
      <c r="AT1788" s="1">
        <v>5310</v>
      </c>
      <c r="AU1788" s="1">
        <v>21270</v>
      </c>
      <c r="AV1788">
        <v>80.02</v>
      </c>
      <c r="AX1788" s="1">
        <v>2014.66</v>
      </c>
      <c r="AY1788" t="s">
        <v>289</v>
      </c>
      <c r="AZ1788" t="s">
        <v>289</v>
      </c>
      <c r="BA1788" t="s">
        <v>290</v>
      </c>
      <c r="BE1788" s="3">
        <v>41703</v>
      </c>
      <c r="BF1788" s="1">
        <v>300338</v>
      </c>
      <c r="BG1788" t="s">
        <v>6912</v>
      </c>
      <c r="BH1788" s="1">
        <v>137.96</v>
      </c>
      <c r="BI1788" s="1">
        <v>277380</v>
      </c>
      <c r="BJ1788" s="3">
        <v>42072</v>
      </c>
      <c r="BK1788" t="s">
        <v>123</v>
      </c>
      <c r="BL1788" t="str">
        <f>"2015.154507"</f>
        <v>2015.154507</v>
      </c>
      <c r="BM1788" t="s">
        <v>820</v>
      </c>
      <c r="BO1788" t="s">
        <v>12172</v>
      </c>
      <c r="BS1788">
        <v>30</v>
      </c>
      <c r="BW1788" t="str">
        <f>""</f>
        <v/>
      </c>
      <c r="CH1788" t="str">
        <f>""</f>
        <v/>
      </c>
      <c r="CS1788" t="str">
        <f>""</f>
        <v/>
      </c>
    </row>
    <row r="1789" spans="1:97" x14ac:dyDescent="0.25">
      <c r="A1789" t="s">
        <v>8500</v>
      </c>
      <c r="B1789" t="s">
        <v>12173</v>
      </c>
      <c r="C1789" t="s">
        <v>5014</v>
      </c>
      <c r="D1789" t="s">
        <v>12174</v>
      </c>
      <c r="E1789" t="s">
        <v>12175</v>
      </c>
      <c r="F1789" t="s">
        <v>108</v>
      </c>
      <c r="H1789" t="s">
        <v>12176</v>
      </c>
      <c r="I1789" t="s">
        <v>5114</v>
      </c>
      <c r="J1789" t="s">
        <v>111</v>
      </c>
      <c r="K1789" t="str">
        <f>"85392"</f>
        <v>85392</v>
      </c>
      <c r="L1789" t="s">
        <v>6169</v>
      </c>
      <c r="M1789" t="s">
        <v>12176</v>
      </c>
      <c r="N1789" t="s">
        <v>5114</v>
      </c>
      <c r="O1789" t="s">
        <v>111</v>
      </c>
      <c r="P1789" t="str">
        <f>"85392-4728"</f>
        <v>85392-4728</v>
      </c>
      <c r="Q1789" t="s">
        <v>113</v>
      </c>
      <c r="R1789" t="str">
        <f>"102-31-553"</f>
        <v>102-31-553</v>
      </c>
      <c r="S1789" t="s">
        <v>11819</v>
      </c>
      <c r="T1789" t="s">
        <v>11819</v>
      </c>
      <c r="U1789">
        <v>2173</v>
      </c>
      <c r="V1789">
        <v>0</v>
      </c>
      <c r="W1789">
        <v>3</v>
      </c>
      <c r="X1789">
        <v>2002</v>
      </c>
      <c r="Z1789">
        <v>2</v>
      </c>
      <c r="AB1789">
        <v>0</v>
      </c>
      <c r="AC1789" t="s">
        <v>115</v>
      </c>
      <c r="AD1789">
        <v>2</v>
      </c>
      <c r="AE1789" t="s">
        <v>115</v>
      </c>
      <c r="AF1789">
        <v>0</v>
      </c>
      <c r="AG1789">
        <v>0</v>
      </c>
      <c r="AH1789" t="s">
        <v>116</v>
      </c>
      <c r="AI1789" s="1">
        <v>44926</v>
      </c>
      <c r="AJ1789" s="2">
        <v>0.18</v>
      </c>
      <c r="AK1789" s="1">
        <v>247183</v>
      </c>
      <c r="AL1789" t="s">
        <v>117</v>
      </c>
      <c r="AM1789" t="s">
        <v>118</v>
      </c>
      <c r="AN1789">
        <v>4950</v>
      </c>
      <c r="AO1789">
        <v>0.11</v>
      </c>
      <c r="AP1789">
        <v>1</v>
      </c>
      <c r="AR1789">
        <v>1</v>
      </c>
      <c r="AS1789" s="1">
        <v>16680</v>
      </c>
      <c r="AT1789" s="1">
        <v>3330</v>
      </c>
      <c r="AU1789" s="1">
        <v>13350</v>
      </c>
      <c r="AV1789">
        <v>80.040000000000006</v>
      </c>
      <c r="AX1789" s="1">
        <v>1794.78</v>
      </c>
      <c r="AY1789" t="s">
        <v>9887</v>
      </c>
      <c r="AZ1789" t="s">
        <v>9887</v>
      </c>
      <c r="BA1789" t="s">
        <v>5118</v>
      </c>
      <c r="BE1789" s="3">
        <v>42485</v>
      </c>
      <c r="BF1789" s="1">
        <v>198000</v>
      </c>
      <c r="BG1789" t="s">
        <v>12177</v>
      </c>
      <c r="BH1789" s="1">
        <v>91.12</v>
      </c>
      <c r="BI1789" s="1">
        <v>202257</v>
      </c>
      <c r="BJ1789" s="3">
        <v>42485</v>
      </c>
      <c r="BK1789" t="s">
        <v>123</v>
      </c>
      <c r="BL1789" t="str">
        <f>"2016.276384"</f>
        <v>2016.276384</v>
      </c>
      <c r="BM1789" t="s">
        <v>12178</v>
      </c>
      <c r="BO1789" t="s">
        <v>12179</v>
      </c>
      <c r="BP1789" t="s">
        <v>12180</v>
      </c>
      <c r="BS1789">
        <v>30</v>
      </c>
      <c r="BW1789" t="str">
        <f>""</f>
        <v/>
      </c>
      <c r="CH1789" t="str">
        <f>""</f>
        <v/>
      </c>
      <c r="CS1789" t="str">
        <f>""</f>
        <v/>
      </c>
    </row>
    <row r="1790" spans="1:97" x14ac:dyDescent="0.25">
      <c r="A1790" t="s">
        <v>2729</v>
      </c>
      <c r="B1790" t="s">
        <v>4289</v>
      </c>
      <c r="C1790" t="s">
        <v>888</v>
      </c>
      <c r="D1790" t="s">
        <v>4289</v>
      </c>
      <c r="E1790" t="s">
        <v>12181</v>
      </c>
      <c r="F1790" t="s">
        <v>108</v>
      </c>
      <c r="H1790" t="s">
        <v>12182</v>
      </c>
      <c r="I1790" t="s">
        <v>632</v>
      </c>
      <c r="J1790" t="s">
        <v>111</v>
      </c>
      <c r="K1790" t="str">
        <f>"85379"</f>
        <v>85379</v>
      </c>
      <c r="L1790" t="s">
        <v>454</v>
      </c>
      <c r="M1790" t="s">
        <v>12182</v>
      </c>
      <c r="N1790" t="s">
        <v>632</v>
      </c>
      <c r="O1790" t="s">
        <v>111</v>
      </c>
      <c r="P1790" t="str">
        <f>"85379-1038"</f>
        <v>85379-1038</v>
      </c>
      <c r="Q1790" t="s">
        <v>113</v>
      </c>
      <c r="R1790" t="str">
        <f>"501-46-638"</f>
        <v>501-46-638</v>
      </c>
      <c r="S1790" t="s">
        <v>5319</v>
      </c>
      <c r="U1790">
        <v>3481</v>
      </c>
      <c r="V1790">
        <v>0</v>
      </c>
      <c r="W1790">
        <v>4</v>
      </c>
      <c r="X1790">
        <v>2014</v>
      </c>
      <c r="Z1790">
        <v>2</v>
      </c>
      <c r="AB1790">
        <v>0</v>
      </c>
      <c r="AC1790" t="s">
        <v>115</v>
      </c>
      <c r="AD1790">
        <v>3</v>
      </c>
      <c r="AE1790" t="s">
        <v>115</v>
      </c>
      <c r="AF1790">
        <v>0</v>
      </c>
      <c r="AG1790">
        <v>0</v>
      </c>
      <c r="AH1790" t="s">
        <v>116</v>
      </c>
      <c r="AI1790" s="1">
        <v>132909</v>
      </c>
      <c r="AJ1790" s="2">
        <v>0.36</v>
      </c>
      <c r="AK1790" s="1">
        <v>367500</v>
      </c>
      <c r="AL1790" t="s">
        <v>117</v>
      </c>
      <c r="AM1790" t="s">
        <v>118</v>
      </c>
      <c r="AN1790">
        <v>7772</v>
      </c>
      <c r="AO1790">
        <v>0.18</v>
      </c>
      <c r="AR1790">
        <v>1</v>
      </c>
      <c r="AS1790" s="1">
        <v>26360</v>
      </c>
      <c r="AT1790" s="1">
        <v>5270</v>
      </c>
      <c r="AU1790" s="1">
        <v>21090</v>
      </c>
      <c r="AV1790">
        <v>80.010000000000005</v>
      </c>
      <c r="AX1790" s="1">
        <v>2243.38</v>
      </c>
      <c r="AY1790" t="s">
        <v>5060</v>
      </c>
      <c r="AZ1790" t="s">
        <v>5060</v>
      </c>
      <c r="BA1790" t="s">
        <v>5061</v>
      </c>
      <c r="BE1790" s="3">
        <v>41943</v>
      </c>
      <c r="BF1790" s="1">
        <v>274591</v>
      </c>
      <c r="BG1790" t="s">
        <v>459</v>
      </c>
      <c r="BH1790" s="1">
        <v>78.88</v>
      </c>
      <c r="BI1790" s="1">
        <v>234591</v>
      </c>
      <c r="BJ1790" s="3">
        <v>41943</v>
      </c>
      <c r="BK1790" t="s">
        <v>123</v>
      </c>
      <c r="BL1790" t="str">
        <f>"2014.724658"</f>
        <v>2014.724658</v>
      </c>
      <c r="BM1790" t="s">
        <v>1866</v>
      </c>
      <c r="BO1790" t="s">
        <v>12183</v>
      </c>
      <c r="BS1790">
        <v>30</v>
      </c>
      <c r="BW1790" t="str">
        <f>""</f>
        <v/>
      </c>
      <c r="CH1790" t="str">
        <f>""</f>
        <v/>
      </c>
      <c r="CS1790" t="str">
        <f>""</f>
        <v/>
      </c>
    </row>
    <row r="1791" spans="1:97" x14ac:dyDescent="0.25">
      <c r="A1791" t="s">
        <v>12184</v>
      </c>
      <c r="B1791" t="s">
        <v>12185</v>
      </c>
      <c r="E1791" t="s">
        <v>12186</v>
      </c>
      <c r="F1791" t="s">
        <v>108</v>
      </c>
      <c r="H1791" t="s">
        <v>12187</v>
      </c>
      <c r="I1791" t="s">
        <v>167</v>
      </c>
      <c r="J1791" t="s">
        <v>111</v>
      </c>
      <c r="K1791" t="str">
        <f>"85339"</f>
        <v>85339</v>
      </c>
      <c r="L1791" t="s">
        <v>5367</v>
      </c>
      <c r="M1791" t="s">
        <v>12187</v>
      </c>
      <c r="N1791" t="s">
        <v>167</v>
      </c>
      <c r="O1791" t="s">
        <v>111</v>
      </c>
      <c r="P1791" t="str">
        <f>"85339-7086"</f>
        <v>85339-7086</v>
      </c>
      <c r="Q1791" t="s">
        <v>113</v>
      </c>
      <c r="R1791" t="str">
        <f>"104-87-263"</f>
        <v>104-87-263</v>
      </c>
      <c r="S1791" t="s">
        <v>12188</v>
      </c>
      <c r="U1791">
        <v>1879</v>
      </c>
      <c r="V1791">
        <v>0</v>
      </c>
      <c r="W1791">
        <v>3</v>
      </c>
      <c r="X1791">
        <v>2016</v>
      </c>
      <c r="Z1791">
        <v>1</v>
      </c>
      <c r="AB1791">
        <v>0</v>
      </c>
      <c r="AC1791" t="s">
        <v>115</v>
      </c>
      <c r="AD1791">
        <v>2</v>
      </c>
      <c r="AE1791" t="s">
        <v>115</v>
      </c>
      <c r="AF1791">
        <v>0</v>
      </c>
      <c r="AG1791">
        <v>0</v>
      </c>
      <c r="AH1791" t="s">
        <v>116</v>
      </c>
      <c r="AI1791" s="1">
        <v>44873</v>
      </c>
      <c r="AJ1791" s="2">
        <v>0.17</v>
      </c>
      <c r="AK1791" s="1">
        <v>270696</v>
      </c>
      <c r="AL1791" t="s">
        <v>117</v>
      </c>
      <c r="AM1791" t="s">
        <v>760</v>
      </c>
      <c r="AN1791">
        <v>8175</v>
      </c>
      <c r="AO1791">
        <v>0.19</v>
      </c>
      <c r="AR1791">
        <v>1</v>
      </c>
      <c r="AS1791" s="1">
        <v>19600</v>
      </c>
      <c r="AT1791" s="1">
        <v>3920</v>
      </c>
      <c r="AU1791" s="1">
        <v>15680</v>
      </c>
      <c r="AV1791">
        <v>80</v>
      </c>
      <c r="AX1791" s="1">
        <v>2448.06</v>
      </c>
      <c r="AY1791" t="s">
        <v>172</v>
      </c>
      <c r="AZ1791" t="s">
        <v>172</v>
      </c>
      <c r="BA1791" t="s">
        <v>173</v>
      </c>
      <c r="BE1791" s="3">
        <v>42545</v>
      </c>
      <c r="BF1791" s="1">
        <v>220573</v>
      </c>
      <c r="BG1791" t="s">
        <v>233</v>
      </c>
      <c r="BH1791" s="1">
        <v>117.39</v>
      </c>
      <c r="BI1791" s="1">
        <v>225823</v>
      </c>
      <c r="BJ1791" s="3">
        <v>42545</v>
      </c>
      <c r="BK1791" t="s">
        <v>123</v>
      </c>
      <c r="BL1791" t="str">
        <f>"2016.443629"</f>
        <v>2016.443629</v>
      </c>
      <c r="BM1791" t="s">
        <v>150</v>
      </c>
      <c r="BO1791" t="s">
        <v>12189</v>
      </c>
      <c r="BS1791">
        <v>30</v>
      </c>
      <c r="BW1791" t="str">
        <f>""</f>
        <v/>
      </c>
      <c r="CH1791" t="str">
        <f>""</f>
        <v/>
      </c>
      <c r="CS1791" t="str">
        <f>""</f>
        <v/>
      </c>
    </row>
    <row r="1792" spans="1:97" x14ac:dyDescent="0.25">
      <c r="A1792" t="s">
        <v>3613</v>
      </c>
      <c r="B1792" t="s">
        <v>9289</v>
      </c>
      <c r="C1792" t="s">
        <v>767</v>
      </c>
      <c r="D1792" t="s">
        <v>9289</v>
      </c>
      <c r="E1792" t="s">
        <v>12190</v>
      </c>
      <c r="F1792" t="s">
        <v>108</v>
      </c>
      <c r="H1792" t="s">
        <v>12191</v>
      </c>
      <c r="I1792" t="s">
        <v>203</v>
      </c>
      <c r="J1792" t="s">
        <v>111</v>
      </c>
      <c r="K1792" t="str">
        <f>"85296"</f>
        <v>85296</v>
      </c>
      <c r="L1792" t="s">
        <v>7235</v>
      </c>
      <c r="M1792" t="s">
        <v>12191</v>
      </c>
      <c r="N1792" t="s">
        <v>203</v>
      </c>
      <c r="O1792" t="s">
        <v>111</v>
      </c>
      <c r="P1792" t="str">
        <f>"85296-3799"</f>
        <v>85296-3799</v>
      </c>
      <c r="Q1792" t="s">
        <v>113</v>
      </c>
      <c r="R1792" t="str">
        <f>"309-17-511"</f>
        <v>309-17-511</v>
      </c>
      <c r="S1792" t="s">
        <v>12192</v>
      </c>
      <c r="T1792" t="s">
        <v>12193</v>
      </c>
      <c r="U1792">
        <v>1468</v>
      </c>
      <c r="V1792">
        <v>0</v>
      </c>
      <c r="W1792">
        <v>2</v>
      </c>
      <c r="X1792">
        <v>1999</v>
      </c>
      <c r="Z1792">
        <v>2</v>
      </c>
      <c r="AB1792">
        <v>0</v>
      </c>
      <c r="AC1792" t="s">
        <v>115</v>
      </c>
      <c r="AD1792">
        <v>2</v>
      </c>
      <c r="AE1792" t="s">
        <v>115</v>
      </c>
      <c r="AF1792">
        <v>0</v>
      </c>
      <c r="AG1792">
        <v>0</v>
      </c>
      <c r="AH1792" t="s">
        <v>116</v>
      </c>
      <c r="AI1792" s="1">
        <v>61122</v>
      </c>
      <c r="AJ1792" s="2">
        <v>0.23</v>
      </c>
      <c r="AK1792" s="1">
        <v>263889</v>
      </c>
      <c r="AL1792" t="s">
        <v>117</v>
      </c>
      <c r="AM1792" t="s">
        <v>288</v>
      </c>
      <c r="AN1792">
        <v>3480</v>
      </c>
      <c r="AO1792">
        <v>0.8</v>
      </c>
      <c r="AP1792">
        <v>1</v>
      </c>
      <c r="AR1792">
        <v>1</v>
      </c>
      <c r="AS1792" s="1">
        <v>17480</v>
      </c>
      <c r="AT1792" s="1">
        <v>3490</v>
      </c>
      <c r="AU1792" s="1">
        <v>13990</v>
      </c>
      <c r="AV1792">
        <v>80.03</v>
      </c>
      <c r="AX1792" s="1">
        <v>1114.46</v>
      </c>
      <c r="AY1792" t="s">
        <v>7837</v>
      </c>
      <c r="AZ1792" t="s">
        <v>207</v>
      </c>
      <c r="BA1792" t="s">
        <v>208</v>
      </c>
      <c r="BE1792" s="3">
        <v>42082</v>
      </c>
      <c r="BF1792" s="1">
        <v>198500</v>
      </c>
      <c r="BG1792" t="s">
        <v>12194</v>
      </c>
      <c r="BH1792" s="1">
        <v>135.22</v>
      </c>
      <c r="BI1792" s="1">
        <v>202767</v>
      </c>
      <c r="BJ1792" s="3">
        <v>42082</v>
      </c>
      <c r="BK1792" t="s">
        <v>123</v>
      </c>
      <c r="BL1792" t="str">
        <f>"2015.184618"</f>
        <v>2015.184618</v>
      </c>
      <c r="BM1792" t="s">
        <v>1201</v>
      </c>
      <c r="BO1792" t="s">
        <v>12195</v>
      </c>
      <c r="BS1792">
        <v>30</v>
      </c>
      <c r="BW1792" t="str">
        <f>""</f>
        <v/>
      </c>
      <c r="CH1792" t="str">
        <f>""</f>
        <v/>
      </c>
      <c r="CS1792" t="str">
        <f>""</f>
        <v/>
      </c>
    </row>
    <row r="1793" spans="1:97" x14ac:dyDescent="0.25">
      <c r="A1793" t="s">
        <v>996</v>
      </c>
      <c r="B1793" t="s">
        <v>12196</v>
      </c>
      <c r="E1793" t="s">
        <v>12197</v>
      </c>
      <c r="F1793" t="s">
        <v>108</v>
      </c>
      <c r="H1793" t="s">
        <v>12198</v>
      </c>
      <c r="I1793" t="s">
        <v>453</v>
      </c>
      <c r="J1793" t="s">
        <v>111</v>
      </c>
      <c r="K1793" t="str">
        <f>"85383"</f>
        <v>85383</v>
      </c>
      <c r="L1793" t="s">
        <v>5456</v>
      </c>
      <c r="M1793" t="s">
        <v>12198</v>
      </c>
      <c r="N1793" t="s">
        <v>453</v>
      </c>
      <c r="O1793" t="s">
        <v>111</v>
      </c>
      <c r="P1793" t="str">
        <f>"85383-6641"</f>
        <v>85383-6641</v>
      </c>
      <c r="Q1793" t="s">
        <v>113</v>
      </c>
      <c r="R1793" t="str">
        <f>"201-03-857"</f>
        <v>201-03-857</v>
      </c>
      <c r="S1793" t="s">
        <v>12199</v>
      </c>
      <c r="T1793" t="s">
        <v>6734</v>
      </c>
      <c r="U1793">
        <v>4054</v>
      </c>
      <c r="V1793">
        <v>0</v>
      </c>
      <c r="W1793">
        <v>5</v>
      </c>
      <c r="X1793">
        <v>2006</v>
      </c>
      <c r="Z1793">
        <v>2</v>
      </c>
      <c r="AB1793">
        <v>0</v>
      </c>
      <c r="AC1793" t="s">
        <v>115</v>
      </c>
      <c r="AD1793">
        <v>3</v>
      </c>
      <c r="AE1793" t="s">
        <v>115</v>
      </c>
      <c r="AF1793">
        <v>0</v>
      </c>
      <c r="AG1793">
        <v>0</v>
      </c>
      <c r="AH1793" t="s">
        <v>116</v>
      </c>
      <c r="AI1793" s="1">
        <v>11764</v>
      </c>
      <c r="AJ1793" s="2">
        <v>0.03</v>
      </c>
      <c r="AK1793" s="1">
        <v>450789</v>
      </c>
      <c r="AL1793" t="s">
        <v>117</v>
      </c>
      <c r="AM1793" t="s">
        <v>118</v>
      </c>
      <c r="AN1793">
        <v>8586</v>
      </c>
      <c r="AO1793">
        <v>0.2</v>
      </c>
      <c r="AR1793">
        <v>1</v>
      </c>
      <c r="AS1793" s="1">
        <v>34050</v>
      </c>
      <c r="AT1793" s="1">
        <v>6810</v>
      </c>
      <c r="AU1793" s="1">
        <v>27240</v>
      </c>
      <c r="AV1793">
        <v>80</v>
      </c>
      <c r="AX1793" s="1">
        <v>3082.86</v>
      </c>
      <c r="AY1793" t="s">
        <v>3048</v>
      </c>
      <c r="AZ1793" t="s">
        <v>3049</v>
      </c>
      <c r="BA1793" t="s">
        <v>1386</v>
      </c>
      <c r="BE1793" s="3">
        <v>41719</v>
      </c>
      <c r="BF1793" s="1">
        <v>364000</v>
      </c>
      <c r="BG1793" t="s">
        <v>12200</v>
      </c>
      <c r="BH1793" s="1">
        <v>89.79</v>
      </c>
      <c r="BI1793" s="1">
        <v>439025</v>
      </c>
      <c r="BJ1793" s="3">
        <v>43116</v>
      </c>
      <c r="BK1793" t="s">
        <v>123</v>
      </c>
      <c r="BL1793" t="str">
        <f>"2018.34813"</f>
        <v>2018.34813</v>
      </c>
      <c r="BM1793" t="s">
        <v>12201</v>
      </c>
      <c r="BN1793" t="s">
        <v>2188</v>
      </c>
      <c r="BO1793" t="s">
        <v>12197</v>
      </c>
      <c r="BR1793" t="s">
        <v>139</v>
      </c>
      <c r="BW1793" t="str">
        <f>""</f>
        <v/>
      </c>
      <c r="CH1793" t="str">
        <f>""</f>
        <v/>
      </c>
      <c r="CS1793" t="str">
        <f>""</f>
        <v/>
      </c>
    </row>
    <row r="1794" spans="1:97" x14ac:dyDescent="0.25">
      <c r="A1794" t="s">
        <v>12202</v>
      </c>
      <c r="B1794" t="s">
        <v>12203</v>
      </c>
      <c r="E1794" t="s">
        <v>12204</v>
      </c>
      <c r="F1794" t="s">
        <v>108</v>
      </c>
      <c r="H1794" t="s">
        <v>12205</v>
      </c>
      <c r="I1794" t="s">
        <v>3150</v>
      </c>
      <c r="J1794" t="s">
        <v>111</v>
      </c>
      <c r="K1794" t="str">
        <f>"85340"</f>
        <v>85340</v>
      </c>
      <c r="L1794" t="s">
        <v>5239</v>
      </c>
      <c r="M1794" t="s">
        <v>12205</v>
      </c>
      <c r="N1794" t="s">
        <v>3150</v>
      </c>
      <c r="O1794" t="s">
        <v>111</v>
      </c>
      <c r="P1794" t="str">
        <f>"85340-3803"</f>
        <v>85340-3803</v>
      </c>
      <c r="Q1794" t="s">
        <v>113</v>
      </c>
      <c r="R1794" t="str">
        <f>"508-12-001"</f>
        <v>508-12-001</v>
      </c>
      <c r="S1794" t="s">
        <v>5240</v>
      </c>
      <c r="U1794">
        <v>2313</v>
      </c>
      <c r="V1794">
        <v>0</v>
      </c>
      <c r="W1794">
        <v>3</v>
      </c>
      <c r="X1794">
        <v>2004</v>
      </c>
      <c r="Z1794">
        <v>1</v>
      </c>
      <c r="AA1794" t="s">
        <v>26</v>
      </c>
      <c r="AB1794">
        <v>0</v>
      </c>
      <c r="AC1794" t="s">
        <v>115</v>
      </c>
      <c r="AD1794">
        <v>2</v>
      </c>
      <c r="AE1794" t="s">
        <v>115</v>
      </c>
      <c r="AF1794">
        <v>0</v>
      </c>
      <c r="AG1794">
        <v>0</v>
      </c>
      <c r="AH1794" t="s">
        <v>116</v>
      </c>
      <c r="AI1794" s="1">
        <v>70730</v>
      </c>
      <c r="AJ1794" s="2">
        <v>0.22</v>
      </c>
      <c r="AK1794" s="1">
        <v>314868</v>
      </c>
      <c r="AL1794" t="s">
        <v>117</v>
      </c>
      <c r="AM1794" t="s">
        <v>191</v>
      </c>
      <c r="AN1794">
        <v>8439</v>
      </c>
      <c r="AO1794">
        <v>0.19</v>
      </c>
      <c r="AP1794">
        <v>1</v>
      </c>
      <c r="AR1794">
        <v>1</v>
      </c>
      <c r="AS1794" s="1">
        <v>20700</v>
      </c>
      <c r="AT1794" s="1">
        <v>4140</v>
      </c>
      <c r="AU1794" s="1">
        <v>16560</v>
      </c>
      <c r="AV1794">
        <v>80</v>
      </c>
      <c r="AX1794" s="1">
        <v>1908.42</v>
      </c>
      <c r="AY1794" t="s">
        <v>5241</v>
      </c>
      <c r="AZ1794" t="s">
        <v>3153</v>
      </c>
      <c r="BA1794" t="s">
        <v>3154</v>
      </c>
      <c r="BE1794" s="3">
        <v>42108</v>
      </c>
      <c r="BF1794" s="1">
        <v>239000</v>
      </c>
      <c r="BG1794" t="s">
        <v>12206</v>
      </c>
      <c r="BH1794" s="1">
        <v>103.33</v>
      </c>
      <c r="BI1794" s="1">
        <v>244138</v>
      </c>
      <c r="BJ1794" s="3">
        <v>42108</v>
      </c>
      <c r="BK1794" t="s">
        <v>123</v>
      </c>
      <c r="BL1794" t="str">
        <f>"2015.253951"</f>
        <v>2015.253951</v>
      </c>
      <c r="BM1794" t="s">
        <v>6784</v>
      </c>
      <c r="BO1794" t="s">
        <v>12207</v>
      </c>
      <c r="BS1794">
        <v>30</v>
      </c>
      <c r="BW1794" t="str">
        <f>""</f>
        <v/>
      </c>
      <c r="CH1794" t="str">
        <f>""</f>
        <v/>
      </c>
      <c r="CS1794" t="str">
        <f>""</f>
        <v/>
      </c>
    </row>
    <row r="1795" spans="1:97" x14ac:dyDescent="0.25">
      <c r="A1795" t="s">
        <v>12208</v>
      </c>
      <c r="B1795" t="s">
        <v>3333</v>
      </c>
      <c r="E1795" t="s">
        <v>12209</v>
      </c>
      <c r="F1795" t="s">
        <v>108</v>
      </c>
      <c r="H1795" t="s">
        <v>12210</v>
      </c>
      <c r="I1795" t="s">
        <v>110</v>
      </c>
      <c r="J1795" t="s">
        <v>111</v>
      </c>
      <c r="K1795" t="str">
        <f>"85225"</f>
        <v>85225</v>
      </c>
      <c r="L1795" t="s">
        <v>11097</v>
      </c>
      <c r="M1795" t="s">
        <v>12210</v>
      </c>
      <c r="N1795" t="s">
        <v>110</v>
      </c>
      <c r="O1795" t="s">
        <v>111</v>
      </c>
      <c r="P1795" t="str">
        <f>"85225-6522"</f>
        <v>85225-6522</v>
      </c>
      <c r="Q1795" t="s">
        <v>113</v>
      </c>
      <c r="R1795" t="str">
        <f>"302-43-123"</f>
        <v>302-43-123</v>
      </c>
      <c r="S1795" t="s">
        <v>12211</v>
      </c>
      <c r="T1795" t="s">
        <v>12212</v>
      </c>
      <c r="U1795">
        <v>1834</v>
      </c>
      <c r="V1795">
        <v>0</v>
      </c>
      <c r="W1795">
        <v>2</v>
      </c>
      <c r="X1795">
        <v>1975</v>
      </c>
      <c r="Z1795">
        <v>1</v>
      </c>
      <c r="AA1795" t="s">
        <v>26</v>
      </c>
      <c r="AB1795">
        <v>0</v>
      </c>
      <c r="AC1795" t="s">
        <v>115</v>
      </c>
      <c r="AD1795">
        <v>2</v>
      </c>
      <c r="AE1795" t="s">
        <v>115</v>
      </c>
      <c r="AF1795">
        <v>0</v>
      </c>
      <c r="AG1795">
        <v>0</v>
      </c>
      <c r="AH1795" t="s">
        <v>116</v>
      </c>
      <c r="AI1795" s="1">
        <v>37840</v>
      </c>
      <c r="AJ1795" s="2">
        <v>0.12</v>
      </c>
      <c r="AK1795" s="1">
        <v>311585</v>
      </c>
      <c r="AL1795" t="s">
        <v>117</v>
      </c>
      <c r="AM1795" t="s">
        <v>5077</v>
      </c>
      <c r="AN1795">
        <v>8032</v>
      </c>
      <c r="AO1795">
        <v>0.18</v>
      </c>
      <c r="AP1795">
        <v>1</v>
      </c>
      <c r="AR1795">
        <v>1</v>
      </c>
      <c r="AS1795" s="1">
        <v>21570</v>
      </c>
      <c r="AT1795" s="1">
        <v>4310</v>
      </c>
      <c r="AU1795" s="1">
        <v>17260</v>
      </c>
      <c r="AV1795">
        <v>80.02</v>
      </c>
      <c r="AX1795" s="1">
        <v>1347.36</v>
      </c>
      <c r="AY1795" t="s">
        <v>5722</v>
      </c>
      <c r="AZ1795" t="s">
        <v>5078</v>
      </c>
      <c r="BA1795" t="s">
        <v>2957</v>
      </c>
      <c r="BB1795" s="3">
        <v>42797</v>
      </c>
      <c r="BD1795" t="s">
        <v>458</v>
      </c>
      <c r="BE1795" s="3">
        <v>41942</v>
      </c>
      <c r="BF1795" s="1">
        <v>237000</v>
      </c>
      <c r="BG1795" t="s">
        <v>12213</v>
      </c>
      <c r="BH1795" s="1">
        <v>129.22999999999999</v>
      </c>
      <c r="BI1795" s="1">
        <v>273745</v>
      </c>
      <c r="BJ1795" s="3">
        <v>42797</v>
      </c>
      <c r="BK1795" t="s">
        <v>123</v>
      </c>
      <c r="BL1795" t="str">
        <f>"2017.153882"</f>
        <v>2017.153882</v>
      </c>
      <c r="BM1795" t="s">
        <v>175</v>
      </c>
      <c r="BO1795" t="s">
        <v>12214</v>
      </c>
      <c r="BS1795">
        <v>30</v>
      </c>
      <c r="BW1795" t="str">
        <f>""</f>
        <v/>
      </c>
      <c r="CH1795" t="str">
        <f>""</f>
        <v/>
      </c>
      <c r="CS1795" t="str">
        <f>""</f>
        <v/>
      </c>
    </row>
    <row r="1796" spans="1:97" x14ac:dyDescent="0.25">
      <c r="A1796" t="s">
        <v>3212</v>
      </c>
      <c r="B1796" t="s">
        <v>371</v>
      </c>
      <c r="E1796" t="s">
        <v>12215</v>
      </c>
      <c r="F1796" t="s">
        <v>282</v>
      </c>
      <c r="H1796" t="s">
        <v>12216</v>
      </c>
      <c r="I1796" t="s">
        <v>632</v>
      </c>
      <c r="J1796" t="s">
        <v>111</v>
      </c>
      <c r="K1796" t="str">
        <f>"85388"</f>
        <v>85388</v>
      </c>
      <c r="L1796" t="s">
        <v>5429</v>
      </c>
      <c r="M1796" t="s">
        <v>12217</v>
      </c>
      <c r="N1796" t="s">
        <v>632</v>
      </c>
      <c r="O1796" t="s">
        <v>111</v>
      </c>
      <c r="P1796" t="str">
        <f>"85388-1288"</f>
        <v>85388-1288</v>
      </c>
      <c r="Q1796" t="s">
        <v>113</v>
      </c>
      <c r="R1796" t="str">
        <f>"502-84-008"</f>
        <v>502-84-008</v>
      </c>
      <c r="S1796" t="s">
        <v>12218</v>
      </c>
      <c r="T1796" t="s">
        <v>12219</v>
      </c>
      <c r="U1796">
        <v>2403</v>
      </c>
      <c r="V1796">
        <v>0</v>
      </c>
      <c r="W1796">
        <v>4</v>
      </c>
      <c r="X1796">
        <v>2005</v>
      </c>
      <c r="Z1796">
        <v>2</v>
      </c>
      <c r="AB1796">
        <v>0</v>
      </c>
      <c r="AC1796" t="s">
        <v>115</v>
      </c>
      <c r="AD1796">
        <v>2</v>
      </c>
      <c r="AE1796" t="s">
        <v>115</v>
      </c>
      <c r="AF1796">
        <v>0</v>
      </c>
      <c r="AG1796">
        <v>0</v>
      </c>
      <c r="AH1796" t="s">
        <v>116</v>
      </c>
      <c r="AI1796" s="1">
        <v>75727</v>
      </c>
      <c r="AJ1796" s="2">
        <v>0.27</v>
      </c>
      <c r="AK1796" s="1">
        <v>281627</v>
      </c>
      <c r="AL1796" t="s">
        <v>117</v>
      </c>
      <c r="AM1796" t="s">
        <v>118</v>
      </c>
      <c r="AN1796">
        <v>7013</v>
      </c>
      <c r="AO1796">
        <v>0.16</v>
      </c>
      <c r="AR1796">
        <v>1</v>
      </c>
      <c r="AS1796" s="1">
        <v>19520</v>
      </c>
      <c r="AT1796" s="1">
        <v>3900</v>
      </c>
      <c r="AU1796" s="1">
        <v>15620</v>
      </c>
      <c r="AV1796">
        <v>80.02</v>
      </c>
      <c r="AX1796" s="1">
        <v>1544.82</v>
      </c>
      <c r="AY1796" t="s">
        <v>5432</v>
      </c>
      <c r="AZ1796" t="s">
        <v>5432</v>
      </c>
      <c r="BA1796" t="s">
        <v>5109</v>
      </c>
      <c r="BE1796" s="3">
        <v>41892</v>
      </c>
      <c r="BF1796" s="1">
        <v>187500</v>
      </c>
      <c r="BG1796" t="s">
        <v>12220</v>
      </c>
      <c r="BH1796" s="1">
        <v>78.03</v>
      </c>
      <c r="BI1796" s="1">
        <v>205900</v>
      </c>
      <c r="BJ1796" s="3">
        <v>42390</v>
      </c>
      <c r="BK1796" t="s">
        <v>123</v>
      </c>
      <c r="BL1796" t="str">
        <f>"2016.42023"</f>
        <v>2016.42023</v>
      </c>
      <c r="BM1796" t="s">
        <v>2181</v>
      </c>
      <c r="BO1796" t="s">
        <v>12221</v>
      </c>
      <c r="BQ1796" t="str">
        <f>"1.7500%"</f>
        <v>1.7500%</v>
      </c>
      <c r="BR1796" t="s">
        <v>1480</v>
      </c>
      <c r="BS1796">
        <v>30</v>
      </c>
      <c r="BW1796" t="str">
        <f>""</f>
        <v/>
      </c>
      <c r="CH1796" t="str">
        <f>""</f>
        <v/>
      </c>
      <c r="CS1796" t="str">
        <f>""</f>
        <v/>
      </c>
    </row>
    <row r="1797" spans="1:97" x14ac:dyDescent="0.25">
      <c r="A1797" t="s">
        <v>668</v>
      </c>
      <c r="B1797" t="s">
        <v>1061</v>
      </c>
      <c r="E1797" t="s">
        <v>12222</v>
      </c>
      <c r="F1797" t="s">
        <v>108</v>
      </c>
      <c r="H1797" t="s">
        <v>12223</v>
      </c>
      <c r="I1797" t="s">
        <v>5114</v>
      </c>
      <c r="J1797" t="s">
        <v>111</v>
      </c>
      <c r="K1797" t="str">
        <f>"85392"</f>
        <v>85392</v>
      </c>
      <c r="L1797" t="s">
        <v>6333</v>
      </c>
      <c r="M1797" t="s">
        <v>12223</v>
      </c>
      <c r="N1797" t="s">
        <v>5114</v>
      </c>
      <c r="O1797" t="s">
        <v>111</v>
      </c>
      <c r="P1797" t="str">
        <f>"85392-6669"</f>
        <v>85392-6669</v>
      </c>
      <c r="Q1797" t="s">
        <v>113</v>
      </c>
      <c r="R1797" t="str">
        <f>"508-03-423"</f>
        <v>508-03-423</v>
      </c>
      <c r="S1797" t="s">
        <v>11789</v>
      </c>
      <c r="T1797" t="s">
        <v>11789</v>
      </c>
      <c r="U1797">
        <v>2832</v>
      </c>
      <c r="V1797">
        <v>0</v>
      </c>
      <c r="W1797">
        <v>4</v>
      </c>
      <c r="X1797">
        <v>2001</v>
      </c>
      <c r="Z1797">
        <v>2</v>
      </c>
      <c r="AA1797" t="s">
        <v>26</v>
      </c>
      <c r="AB1797">
        <v>0</v>
      </c>
      <c r="AC1797" t="s">
        <v>115</v>
      </c>
      <c r="AD1797">
        <v>3</v>
      </c>
      <c r="AE1797" t="s">
        <v>115</v>
      </c>
      <c r="AF1797">
        <v>0</v>
      </c>
      <c r="AG1797">
        <v>0</v>
      </c>
      <c r="AH1797" t="s">
        <v>116</v>
      </c>
      <c r="AI1797" s="1">
        <v>59693</v>
      </c>
      <c r="AJ1797" s="2">
        <v>0.18</v>
      </c>
      <c r="AK1797" s="1">
        <v>331165</v>
      </c>
      <c r="AL1797" t="s">
        <v>117</v>
      </c>
      <c r="AM1797" t="s">
        <v>118</v>
      </c>
      <c r="AN1797">
        <v>6713</v>
      </c>
      <c r="AO1797">
        <v>0.15</v>
      </c>
      <c r="AP1797">
        <v>1</v>
      </c>
      <c r="AR1797">
        <v>1</v>
      </c>
      <c r="AS1797" s="1">
        <v>23820</v>
      </c>
      <c r="AT1797" s="1">
        <v>4760</v>
      </c>
      <c r="AU1797" s="1">
        <v>19060</v>
      </c>
      <c r="AV1797">
        <v>80.02</v>
      </c>
      <c r="AX1797" s="1">
        <v>1885.02</v>
      </c>
      <c r="AY1797" t="s">
        <v>6700</v>
      </c>
      <c r="AZ1797" t="s">
        <v>6701</v>
      </c>
      <c r="BA1797" t="s">
        <v>6702</v>
      </c>
      <c r="BE1797" s="3">
        <v>41670</v>
      </c>
      <c r="BF1797" s="1">
        <v>232200</v>
      </c>
      <c r="BG1797" t="s">
        <v>12224</v>
      </c>
      <c r="BH1797" s="1">
        <v>81.99</v>
      </c>
      <c r="BI1797" s="1">
        <v>271472</v>
      </c>
      <c r="BJ1797" s="3">
        <v>42654</v>
      </c>
      <c r="BK1797" t="s">
        <v>123</v>
      </c>
      <c r="BL1797" t="str">
        <f>"2016.744750"</f>
        <v>2016.744750</v>
      </c>
      <c r="BM1797" t="s">
        <v>709</v>
      </c>
      <c r="BO1797" t="s">
        <v>12225</v>
      </c>
      <c r="BS1797">
        <v>30</v>
      </c>
      <c r="BW1797" t="str">
        <f>""</f>
        <v/>
      </c>
      <c r="CH1797" t="str">
        <f>""</f>
        <v/>
      </c>
      <c r="CS1797" t="str">
        <f>""</f>
        <v/>
      </c>
    </row>
    <row r="1798" spans="1:97" x14ac:dyDescent="0.25">
      <c r="A1798" t="s">
        <v>12226</v>
      </c>
      <c r="B1798" t="s">
        <v>12227</v>
      </c>
      <c r="C1798" t="s">
        <v>589</v>
      </c>
      <c r="D1798" t="s">
        <v>12228</v>
      </c>
      <c r="E1798" t="s">
        <v>12229</v>
      </c>
      <c r="F1798" t="s">
        <v>108</v>
      </c>
      <c r="H1798" t="s">
        <v>12230</v>
      </c>
      <c r="I1798" t="s">
        <v>5636</v>
      </c>
      <c r="J1798" t="s">
        <v>111</v>
      </c>
      <c r="K1798" t="str">
        <f>"85268"</f>
        <v>85268</v>
      </c>
      <c r="L1798" t="s">
        <v>168</v>
      </c>
      <c r="M1798" t="s">
        <v>12230</v>
      </c>
      <c r="N1798" t="s">
        <v>5636</v>
      </c>
      <c r="O1798" t="s">
        <v>111</v>
      </c>
      <c r="P1798" t="str">
        <f>"85268-3027"</f>
        <v>85268-3027</v>
      </c>
      <c r="Q1798" t="s">
        <v>113</v>
      </c>
      <c r="R1798" t="str">
        <f>"176-03-095"</f>
        <v>176-03-095</v>
      </c>
      <c r="S1798" t="s">
        <v>12231</v>
      </c>
      <c r="U1798">
        <v>1669</v>
      </c>
      <c r="V1798">
        <v>0</v>
      </c>
      <c r="W1798">
        <v>2</v>
      </c>
      <c r="X1798">
        <v>1974</v>
      </c>
      <c r="Z1798">
        <v>1</v>
      </c>
      <c r="AB1798">
        <v>0</v>
      </c>
      <c r="AC1798" t="s">
        <v>5188</v>
      </c>
      <c r="AD1798">
        <v>2</v>
      </c>
      <c r="AE1798" t="s">
        <v>5188</v>
      </c>
      <c r="AF1798">
        <v>0</v>
      </c>
      <c r="AG1798">
        <v>0</v>
      </c>
      <c r="AH1798" t="s">
        <v>116</v>
      </c>
      <c r="AI1798" s="1">
        <v>100248</v>
      </c>
      <c r="AJ1798" s="2">
        <v>0.32</v>
      </c>
      <c r="AK1798" s="1">
        <v>310248</v>
      </c>
      <c r="AL1798" t="s">
        <v>117</v>
      </c>
      <c r="AM1798" t="s">
        <v>171</v>
      </c>
      <c r="AN1798">
        <v>10764</v>
      </c>
      <c r="AO1798">
        <v>0.25</v>
      </c>
      <c r="AP1798">
        <v>1</v>
      </c>
      <c r="AR1798">
        <v>1</v>
      </c>
      <c r="AS1798" s="1">
        <v>19850</v>
      </c>
      <c r="AT1798" s="1">
        <v>3970</v>
      </c>
      <c r="AU1798" s="1">
        <v>15880</v>
      </c>
      <c r="AV1798">
        <v>80</v>
      </c>
      <c r="AX1798" s="1">
        <v>1124.56</v>
      </c>
      <c r="AY1798" t="s">
        <v>6485</v>
      </c>
      <c r="AZ1798" t="s">
        <v>5640</v>
      </c>
      <c r="BA1798" t="s">
        <v>5641</v>
      </c>
      <c r="BB1798" s="3">
        <v>43208</v>
      </c>
      <c r="BC1798" s="1">
        <v>0</v>
      </c>
      <c r="BD1798" t="s">
        <v>247</v>
      </c>
      <c r="BE1798" s="3">
        <v>41838</v>
      </c>
      <c r="BF1798" s="1">
        <v>205000</v>
      </c>
      <c r="BG1798" t="s">
        <v>12232</v>
      </c>
      <c r="BH1798" s="1">
        <v>122.83</v>
      </c>
      <c r="BI1798" s="1">
        <v>210000</v>
      </c>
      <c r="BJ1798" s="3">
        <v>43208</v>
      </c>
      <c r="BK1798" t="s">
        <v>123</v>
      </c>
      <c r="BL1798" t="str">
        <f>"2018.291756"</f>
        <v>2018.291756</v>
      </c>
      <c r="BM1798" t="s">
        <v>12233</v>
      </c>
      <c r="BN1798" t="s">
        <v>12234</v>
      </c>
      <c r="BO1798" t="s">
        <v>12235</v>
      </c>
      <c r="BP1798" t="s">
        <v>12236</v>
      </c>
      <c r="BR1798" t="s">
        <v>139</v>
      </c>
      <c r="BW1798" t="str">
        <f>""</f>
        <v/>
      </c>
      <c r="CH1798" t="str">
        <f>""</f>
        <v/>
      </c>
      <c r="CS1798" t="str">
        <f>""</f>
        <v/>
      </c>
    </row>
    <row r="1799" spans="1:97" x14ac:dyDescent="0.25">
      <c r="A1799" t="s">
        <v>1344</v>
      </c>
      <c r="B1799" t="s">
        <v>12237</v>
      </c>
      <c r="E1799" t="s">
        <v>12238</v>
      </c>
      <c r="F1799" t="s">
        <v>108</v>
      </c>
      <c r="H1799" t="s">
        <v>12239</v>
      </c>
      <c r="I1799" t="s">
        <v>453</v>
      </c>
      <c r="J1799" t="s">
        <v>111</v>
      </c>
      <c r="K1799" t="str">
        <f>"85382"</f>
        <v>85382</v>
      </c>
      <c r="L1799" t="s">
        <v>5743</v>
      </c>
      <c r="M1799" t="s">
        <v>12239</v>
      </c>
      <c r="N1799" t="s">
        <v>453</v>
      </c>
      <c r="O1799" t="s">
        <v>111</v>
      </c>
      <c r="P1799" t="str">
        <f>"85382-2488"</f>
        <v>85382-2488</v>
      </c>
      <c r="Q1799" t="s">
        <v>113</v>
      </c>
      <c r="R1799" t="str">
        <f>"200-16-213"</f>
        <v>200-16-213</v>
      </c>
      <c r="S1799" t="s">
        <v>12240</v>
      </c>
      <c r="T1799" t="s">
        <v>12241</v>
      </c>
      <c r="U1799">
        <v>2874</v>
      </c>
      <c r="V1799">
        <v>0</v>
      </c>
      <c r="W1799">
        <v>4</v>
      </c>
      <c r="X1799">
        <v>1999</v>
      </c>
      <c r="Z1799">
        <v>2</v>
      </c>
      <c r="AA1799" t="s">
        <v>26</v>
      </c>
      <c r="AB1799">
        <v>0</v>
      </c>
      <c r="AC1799" t="s">
        <v>115</v>
      </c>
      <c r="AD1799">
        <v>3</v>
      </c>
      <c r="AE1799" t="s">
        <v>115</v>
      </c>
      <c r="AF1799">
        <v>0</v>
      </c>
      <c r="AG1799">
        <v>0</v>
      </c>
      <c r="AH1799" t="s">
        <v>116</v>
      </c>
      <c r="AI1799" s="1">
        <v>48587</v>
      </c>
      <c r="AJ1799" s="2">
        <v>0.12</v>
      </c>
      <c r="AK1799" s="1">
        <v>416561</v>
      </c>
      <c r="AL1799" t="s">
        <v>117</v>
      </c>
      <c r="AM1799" t="s">
        <v>118</v>
      </c>
      <c r="AN1799">
        <v>12190</v>
      </c>
      <c r="AO1799">
        <v>0.28000000000000003</v>
      </c>
      <c r="AP1799">
        <v>1</v>
      </c>
      <c r="AR1799">
        <v>1</v>
      </c>
      <c r="AS1799" s="1">
        <v>27930</v>
      </c>
      <c r="AT1799" s="1">
        <v>5580</v>
      </c>
      <c r="AU1799" s="1">
        <v>22350</v>
      </c>
      <c r="AV1799">
        <v>80.02</v>
      </c>
      <c r="AX1799" s="1">
        <v>2535.3000000000002</v>
      </c>
      <c r="AY1799" t="s">
        <v>6311</v>
      </c>
      <c r="AZ1799" t="s">
        <v>6311</v>
      </c>
      <c r="BA1799" t="s">
        <v>4219</v>
      </c>
      <c r="BE1799" s="3">
        <v>41792</v>
      </c>
      <c r="BF1799" s="1">
        <v>359000</v>
      </c>
      <c r="BG1799" t="s">
        <v>12242</v>
      </c>
      <c r="BH1799" s="1">
        <v>124.91</v>
      </c>
      <c r="BI1799" s="1">
        <v>367974</v>
      </c>
      <c r="BJ1799" s="3">
        <v>42300</v>
      </c>
      <c r="BK1799" t="s">
        <v>123</v>
      </c>
      <c r="BL1799" t="str">
        <f>"2015.763436"</f>
        <v>2015.763436</v>
      </c>
      <c r="BM1799" t="s">
        <v>1998</v>
      </c>
      <c r="BO1799" t="s">
        <v>12243</v>
      </c>
      <c r="BS1799">
        <v>30</v>
      </c>
      <c r="BW1799" t="str">
        <f>""</f>
        <v/>
      </c>
      <c r="CH1799" t="str">
        <f>""</f>
        <v/>
      </c>
      <c r="CS1799" t="str">
        <f>""</f>
        <v/>
      </c>
    </row>
    <row r="1800" spans="1:97" x14ac:dyDescent="0.25">
      <c r="A1800" t="s">
        <v>12244</v>
      </c>
      <c r="B1800" t="s">
        <v>12245</v>
      </c>
      <c r="E1800" t="s">
        <v>12246</v>
      </c>
      <c r="F1800" t="s">
        <v>108</v>
      </c>
      <c r="H1800" t="s">
        <v>12247</v>
      </c>
      <c r="I1800" t="s">
        <v>167</v>
      </c>
      <c r="J1800" t="s">
        <v>111</v>
      </c>
      <c r="K1800" t="str">
        <f>"85339"</f>
        <v>85339</v>
      </c>
      <c r="L1800" t="s">
        <v>2765</v>
      </c>
      <c r="M1800" t="s">
        <v>12247</v>
      </c>
      <c r="N1800" t="s">
        <v>167</v>
      </c>
      <c r="O1800" t="s">
        <v>111</v>
      </c>
      <c r="P1800" t="str">
        <f>"85339-2528"</f>
        <v>85339-2528</v>
      </c>
      <c r="Q1800" t="s">
        <v>113</v>
      </c>
      <c r="R1800" t="str">
        <f>"300-14-835"</f>
        <v>300-14-835</v>
      </c>
      <c r="S1800" t="s">
        <v>8158</v>
      </c>
      <c r="T1800" t="s">
        <v>8158</v>
      </c>
      <c r="U1800">
        <v>3498</v>
      </c>
      <c r="V1800">
        <v>0</v>
      </c>
      <c r="W1800">
        <v>5</v>
      </c>
      <c r="X1800">
        <v>2014</v>
      </c>
      <c r="Z1800">
        <v>2</v>
      </c>
      <c r="AB1800">
        <v>0</v>
      </c>
      <c r="AC1800" t="s">
        <v>115</v>
      </c>
      <c r="AD1800">
        <v>2</v>
      </c>
      <c r="AE1800" t="s">
        <v>115</v>
      </c>
      <c r="AF1800">
        <v>0</v>
      </c>
      <c r="AG1800">
        <v>0</v>
      </c>
      <c r="AH1800" t="s">
        <v>116</v>
      </c>
      <c r="AI1800" s="1">
        <v>66618</v>
      </c>
      <c r="AJ1800" s="2">
        <v>0.18</v>
      </c>
      <c r="AK1800" s="1">
        <v>367618</v>
      </c>
      <c r="AL1800" t="s">
        <v>117</v>
      </c>
      <c r="AM1800" t="s">
        <v>191</v>
      </c>
      <c r="AN1800">
        <v>7146</v>
      </c>
      <c r="AO1800">
        <v>0.16</v>
      </c>
      <c r="AR1800">
        <v>1</v>
      </c>
      <c r="AS1800" s="1">
        <v>27750</v>
      </c>
      <c r="AT1800" s="1">
        <v>5550</v>
      </c>
      <c r="AU1800" s="1">
        <v>22200</v>
      </c>
      <c r="AV1800">
        <v>80</v>
      </c>
      <c r="AX1800" s="1">
        <v>3306.36</v>
      </c>
      <c r="AY1800" t="s">
        <v>8159</v>
      </c>
      <c r="AZ1800" t="s">
        <v>8159</v>
      </c>
      <c r="BA1800" t="s">
        <v>1661</v>
      </c>
      <c r="BB1800" s="3">
        <v>43242</v>
      </c>
      <c r="BC1800" s="1">
        <v>0</v>
      </c>
      <c r="BD1800" t="s">
        <v>247</v>
      </c>
      <c r="BE1800" s="3">
        <v>42171</v>
      </c>
      <c r="BF1800" s="1">
        <v>271589</v>
      </c>
      <c r="BG1800" t="s">
        <v>2289</v>
      </c>
      <c r="BH1800" s="1">
        <v>77.64</v>
      </c>
      <c r="BI1800" s="1">
        <v>301000</v>
      </c>
      <c r="BJ1800" s="3">
        <v>43552</v>
      </c>
      <c r="BK1800" t="s">
        <v>123</v>
      </c>
      <c r="BL1800" t="str">
        <f>"2019.214530"</f>
        <v>2019.214530</v>
      </c>
      <c r="BM1800" t="s">
        <v>10609</v>
      </c>
      <c r="BN1800" t="s">
        <v>10610</v>
      </c>
      <c r="BO1800" t="s">
        <v>12248</v>
      </c>
      <c r="BR1800" t="s">
        <v>139</v>
      </c>
      <c r="BW1800" t="str">
        <f>""</f>
        <v/>
      </c>
      <c r="CH1800" t="str">
        <f>""</f>
        <v/>
      </c>
      <c r="CS1800" t="str">
        <f>""</f>
        <v/>
      </c>
    </row>
    <row r="1801" spans="1:97" x14ac:dyDescent="0.25">
      <c r="A1801" t="s">
        <v>177</v>
      </c>
      <c r="B1801" t="s">
        <v>12249</v>
      </c>
      <c r="C1801" t="s">
        <v>970</v>
      </c>
      <c r="D1801" t="s">
        <v>12249</v>
      </c>
      <c r="E1801" t="s">
        <v>12250</v>
      </c>
      <c r="F1801" t="s">
        <v>108</v>
      </c>
      <c r="H1801" t="s">
        <v>12251</v>
      </c>
      <c r="I1801" t="s">
        <v>225</v>
      </c>
      <c r="J1801" t="s">
        <v>111</v>
      </c>
      <c r="K1801" t="str">
        <f>"85207"</f>
        <v>85207</v>
      </c>
      <c r="L1801" t="s">
        <v>3116</v>
      </c>
      <c r="M1801" t="s">
        <v>12251</v>
      </c>
      <c r="N1801" t="s">
        <v>225</v>
      </c>
      <c r="O1801" t="s">
        <v>111</v>
      </c>
      <c r="P1801" t="str">
        <f>"85207-4207"</f>
        <v>85207-4207</v>
      </c>
      <c r="Q1801" t="s">
        <v>113</v>
      </c>
      <c r="R1801" t="str">
        <f>"218-06-211"</f>
        <v>218-06-211</v>
      </c>
      <c r="S1801" t="s">
        <v>12252</v>
      </c>
      <c r="T1801" t="s">
        <v>12252</v>
      </c>
      <c r="U1801">
        <v>1891</v>
      </c>
      <c r="V1801">
        <v>0</v>
      </c>
      <c r="W1801">
        <v>3</v>
      </c>
      <c r="X1801">
        <v>2001</v>
      </c>
      <c r="Z1801">
        <v>1</v>
      </c>
      <c r="AA1801" t="s">
        <v>26</v>
      </c>
      <c r="AB1801">
        <v>0</v>
      </c>
      <c r="AC1801" t="s">
        <v>115</v>
      </c>
      <c r="AD1801">
        <v>2</v>
      </c>
      <c r="AE1801" t="s">
        <v>115</v>
      </c>
      <c r="AF1801">
        <v>0</v>
      </c>
      <c r="AG1801">
        <v>0</v>
      </c>
      <c r="AH1801" t="s">
        <v>116</v>
      </c>
      <c r="AI1801" s="1">
        <v>103010</v>
      </c>
      <c r="AJ1801" s="2">
        <v>0.28999999999999998</v>
      </c>
      <c r="AK1801" s="1">
        <v>356706</v>
      </c>
      <c r="AL1801" t="s">
        <v>117</v>
      </c>
      <c r="AM1801" t="s">
        <v>393</v>
      </c>
      <c r="AN1801">
        <v>10877</v>
      </c>
      <c r="AO1801">
        <v>0.25</v>
      </c>
      <c r="AP1801">
        <v>1</v>
      </c>
      <c r="AR1801">
        <v>1</v>
      </c>
      <c r="AS1801" s="1">
        <v>25380</v>
      </c>
      <c r="AT1801" s="1">
        <v>5070</v>
      </c>
      <c r="AU1801" s="1">
        <v>20310</v>
      </c>
      <c r="AV1801">
        <v>80.02</v>
      </c>
      <c r="AX1801" s="1">
        <v>2192</v>
      </c>
      <c r="AY1801" t="s">
        <v>3118</v>
      </c>
      <c r="AZ1801" t="s">
        <v>231</v>
      </c>
      <c r="BA1801" t="s">
        <v>3119</v>
      </c>
      <c r="BE1801" s="3">
        <v>42150</v>
      </c>
      <c r="BF1801" s="1">
        <v>249800</v>
      </c>
      <c r="BG1801" t="s">
        <v>12253</v>
      </c>
      <c r="BH1801" s="1">
        <v>132.1</v>
      </c>
      <c r="BI1801" s="1">
        <v>253696</v>
      </c>
      <c r="BJ1801" s="3">
        <v>42585</v>
      </c>
      <c r="BK1801" t="s">
        <v>123</v>
      </c>
      <c r="BL1801" t="str">
        <f>"2016.552773"</f>
        <v>2016.552773</v>
      </c>
      <c r="BM1801" t="s">
        <v>402</v>
      </c>
      <c r="BO1801" t="s">
        <v>12254</v>
      </c>
      <c r="BS1801">
        <v>30</v>
      </c>
      <c r="BW1801" t="str">
        <f>""</f>
        <v/>
      </c>
      <c r="CH1801" t="str">
        <f>""</f>
        <v/>
      </c>
      <c r="CS1801" t="str">
        <f>""</f>
        <v/>
      </c>
    </row>
    <row r="1802" spans="1:97" x14ac:dyDescent="0.25">
      <c r="A1802" t="s">
        <v>12255</v>
      </c>
      <c r="B1802" t="s">
        <v>3879</v>
      </c>
      <c r="E1802" t="s">
        <v>12256</v>
      </c>
      <c r="F1802" t="s">
        <v>108</v>
      </c>
      <c r="H1802" t="s">
        <v>12257</v>
      </c>
      <c r="I1802" t="s">
        <v>453</v>
      </c>
      <c r="J1802" t="s">
        <v>111</v>
      </c>
      <c r="K1802" t="str">
        <f>"85345"</f>
        <v>85345</v>
      </c>
      <c r="L1802" t="s">
        <v>5074</v>
      </c>
      <c r="M1802" t="s">
        <v>12257</v>
      </c>
      <c r="N1802" t="s">
        <v>453</v>
      </c>
      <c r="O1802" t="s">
        <v>111</v>
      </c>
      <c r="P1802" t="str">
        <f>"85345-7309"</f>
        <v>85345-7309</v>
      </c>
      <c r="Q1802" t="s">
        <v>113</v>
      </c>
      <c r="R1802" t="str">
        <f>"142-61-329"</f>
        <v>142-61-329</v>
      </c>
      <c r="S1802" t="s">
        <v>12258</v>
      </c>
      <c r="U1802">
        <v>1284</v>
      </c>
      <c r="V1802">
        <v>0</v>
      </c>
      <c r="W1802">
        <v>2</v>
      </c>
      <c r="X1802">
        <v>1978</v>
      </c>
      <c r="Z1802">
        <v>1</v>
      </c>
      <c r="AA1802" t="s">
        <v>26</v>
      </c>
      <c r="AB1802">
        <v>0</v>
      </c>
      <c r="AC1802" t="s">
        <v>115</v>
      </c>
      <c r="AD1802">
        <v>2</v>
      </c>
      <c r="AE1802" t="s">
        <v>115</v>
      </c>
      <c r="AF1802">
        <v>0</v>
      </c>
      <c r="AG1802">
        <v>0</v>
      </c>
      <c r="AH1802" t="s">
        <v>116</v>
      </c>
      <c r="AI1802" s="1">
        <v>13930</v>
      </c>
      <c r="AJ1802" s="2">
        <v>0.06</v>
      </c>
      <c r="AK1802" s="1">
        <v>221930</v>
      </c>
      <c r="AL1802" t="s">
        <v>117</v>
      </c>
      <c r="AM1802" t="s">
        <v>191</v>
      </c>
      <c r="AN1802">
        <v>7989</v>
      </c>
      <c r="AO1802">
        <v>0.18</v>
      </c>
      <c r="AP1802">
        <v>1</v>
      </c>
      <c r="AR1802">
        <v>1</v>
      </c>
      <c r="AS1802" s="1">
        <v>14480</v>
      </c>
      <c r="AT1802" s="1">
        <v>2890</v>
      </c>
      <c r="AU1802" s="1">
        <v>11590</v>
      </c>
      <c r="AV1802">
        <v>80.040000000000006</v>
      </c>
      <c r="AX1802" s="1">
        <v>797.48</v>
      </c>
      <c r="AY1802" t="s">
        <v>12259</v>
      </c>
      <c r="AZ1802" t="s">
        <v>12259</v>
      </c>
      <c r="BA1802" t="s">
        <v>6945</v>
      </c>
      <c r="BE1802" s="3">
        <v>42354</v>
      </c>
      <c r="BF1802" s="1">
        <v>161000</v>
      </c>
      <c r="BG1802" t="s">
        <v>12260</v>
      </c>
      <c r="BH1802" s="1">
        <v>125.39</v>
      </c>
      <c r="BI1802" s="1">
        <v>208000</v>
      </c>
      <c r="BJ1802" s="3">
        <v>43608</v>
      </c>
      <c r="BK1802" t="s">
        <v>123</v>
      </c>
      <c r="BL1802" t="str">
        <f>"2019.378300"</f>
        <v>2019.378300</v>
      </c>
      <c r="BM1802" t="s">
        <v>248</v>
      </c>
      <c r="BN1802" t="s">
        <v>249</v>
      </c>
      <c r="BO1802" t="s">
        <v>12256</v>
      </c>
      <c r="BR1802" t="s">
        <v>139</v>
      </c>
      <c r="BW1802" t="str">
        <f>""</f>
        <v/>
      </c>
      <c r="CH1802" t="str">
        <f>""</f>
        <v/>
      </c>
      <c r="CS1802" t="str">
        <f>""</f>
        <v/>
      </c>
    </row>
    <row r="1803" spans="1:97" x14ac:dyDescent="0.25">
      <c r="A1803" t="s">
        <v>4578</v>
      </c>
      <c r="B1803" t="s">
        <v>12261</v>
      </c>
      <c r="C1803" t="s">
        <v>1289</v>
      </c>
      <c r="D1803" t="s">
        <v>12261</v>
      </c>
      <c r="E1803" t="s">
        <v>12262</v>
      </c>
      <c r="F1803" t="s">
        <v>108</v>
      </c>
      <c r="H1803" t="s">
        <v>12263</v>
      </c>
      <c r="I1803" t="s">
        <v>5551</v>
      </c>
      <c r="J1803" t="s">
        <v>111</v>
      </c>
      <c r="K1803" t="str">
        <f>"85248"</f>
        <v>85248</v>
      </c>
      <c r="L1803" t="s">
        <v>541</v>
      </c>
      <c r="M1803" t="s">
        <v>12263</v>
      </c>
      <c r="N1803" t="s">
        <v>5551</v>
      </c>
      <c r="O1803" t="s">
        <v>111</v>
      </c>
      <c r="P1803" t="str">
        <f>"85248-7731"</f>
        <v>85248-7731</v>
      </c>
      <c r="Q1803" t="s">
        <v>113</v>
      </c>
      <c r="R1803" t="str">
        <f>"303-74-002"</f>
        <v>303-74-002</v>
      </c>
      <c r="S1803" t="s">
        <v>12264</v>
      </c>
      <c r="T1803" t="s">
        <v>12265</v>
      </c>
      <c r="U1803">
        <v>2618</v>
      </c>
      <c r="V1803">
        <v>0</v>
      </c>
      <c r="W1803">
        <v>4</v>
      </c>
      <c r="X1803">
        <v>1993</v>
      </c>
      <c r="Z1803">
        <v>1</v>
      </c>
      <c r="AB1803">
        <v>0</v>
      </c>
      <c r="AC1803" t="s">
        <v>115</v>
      </c>
      <c r="AD1803">
        <v>2</v>
      </c>
      <c r="AE1803" t="s">
        <v>115</v>
      </c>
      <c r="AF1803">
        <v>0</v>
      </c>
      <c r="AG1803">
        <v>0</v>
      </c>
      <c r="AH1803" t="s">
        <v>116</v>
      </c>
      <c r="AI1803" s="1">
        <v>187636</v>
      </c>
      <c r="AJ1803" s="2">
        <v>0.48</v>
      </c>
      <c r="AK1803" s="1">
        <v>392171</v>
      </c>
      <c r="AL1803" t="s">
        <v>117</v>
      </c>
      <c r="AM1803" t="s">
        <v>191</v>
      </c>
      <c r="AN1803">
        <v>9130</v>
      </c>
      <c r="AO1803">
        <v>0.21</v>
      </c>
      <c r="AP1803">
        <v>1</v>
      </c>
      <c r="AR1803">
        <v>1</v>
      </c>
      <c r="AS1803" s="1">
        <v>27460</v>
      </c>
      <c r="AT1803" s="1">
        <v>5490</v>
      </c>
      <c r="AU1803" s="1">
        <v>21970</v>
      </c>
      <c r="AV1803">
        <v>80.010000000000005</v>
      </c>
      <c r="AX1803" s="1">
        <v>3114.5</v>
      </c>
      <c r="AY1803" t="s">
        <v>1881</v>
      </c>
      <c r="AZ1803" t="s">
        <v>1882</v>
      </c>
      <c r="BA1803" t="s">
        <v>121</v>
      </c>
      <c r="BE1803" s="3">
        <v>42412</v>
      </c>
      <c r="BF1803" s="1">
        <v>325000</v>
      </c>
      <c r="BG1803" t="s">
        <v>12266</v>
      </c>
      <c r="BH1803" s="1">
        <v>124.14</v>
      </c>
      <c r="BI1803" s="1">
        <v>204535</v>
      </c>
      <c r="BJ1803" s="3">
        <v>43242</v>
      </c>
      <c r="BK1803" t="s">
        <v>123</v>
      </c>
      <c r="BL1803" t="str">
        <f>"2018.389071"</f>
        <v>2018.389071</v>
      </c>
      <c r="BM1803" t="s">
        <v>2679</v>
      </c>
      <c r="BN1803" t="s">
        <v>12267</v>
      </c>
      <c r="BO1803" t="s">
        <v>12268</v>
      </c>
      <c r="BP1803" t="s">
        <v>12269</v>
      </c>
      <c r="BR1803" t="s">
        <v>139</v>
      </c>
      <c r="BW1803" t="str">
        <f>""</f>
        <v/>
      </c>
      <c r="CH1803" t="str">
        <f>""</f>
        <v/>
      </c>
      <c r="CS1803" t="str">
        <f>""</f>
        <v/>
      </c>
    </row>
    <row r="1804" spans="1:97" x14ac:dyDescent="0.25">
      <c r="A1804" t="s">
        <v>711</v>
      </c>
      <c r="B1804" t="s">
        <v>12270</v>
      </c>
      <c r="C1804" t="s">
        <v>220</v>
      </c>
      <c r="D1804" t="s">
        <v>12270</v>
      </c>
      <c r="E1804" t="s">
        <v>12271</v>
      </c>
      <c r="F1804" t="s">
        <v>108</v>
      </c>
      <c r="H1804" t="s">
        <v>12272</v>
      </c>
      <c r="I1804" t="s">
        <v>632</v>
      </c>
      <c r="J1804" t="s">
        <v>111</v>
      </c>
      <c r="K1804" t="str">
        <f>"85379"</f>
        <v>85379</v>
      </c>
      <c r="L1804" t="s">
        <v>454</v>
      </c>
      <c r="M1804" t="s">
        <v>12272</v>
      </c>
      <c r="N1804" t="s">
        <v>632</v>
      </c>
      <c r="O1804" t="s">
        <v>111</v>
      </c>
      <c r="P1804" t="str">
        <f>"85379-1015"</f>
        <v>85379-1015</v>
      </c>
      <c r="Q1804" t="s">
        <v>113</v>
      </c>
      <c r="R1804" t="str">
        <f>"501-46-514"</f>
        <v>501-46-514</v>
      </c>
      <c r="S1804" t="s">
        <v>5319</v>
      </c>
      <c r="U1804">
        <v>2246</v>
      </c>
      <c r="V1804">
        <v>0</v>
      </c>
      <c r="W1804">
        <v>4</v>
      </c>
      <c r="X1804">
        <v>2015</v>
      </c>
      <c r="Z1804">
        <v>1</v>
      </c>
      <c r="AB1804">
        <v>0</v>
      </c>
      <c r="AC1804" t="s">
        <v>115</v>
      </c>
      <c r="AD1804">
        <v>3</v>
      </c>
      <c r="AE1804" t="s">
        <v>115</v>
      </c>
      <c r="AF1804">
        <v>0</v>
      </c>
      <c r="AG1804">
        <v>0</v>
      </c>
      <c r="AH1804" t="s">
        <v>116</v>
      </c>
      <c r="AI1804" s="1">
        <v>40131</v>
      </c>
      <c r="AJ1804" s="2">
        <v>0.13</v>
      </c>
      <c r="AK1804" s="1">
        <v>314611</v>
      </c>
      <c r="AL1804" t="s">
        <v>117</v>
      </c>
      <c r="AM1804" t="s">
        <v>118</v>
      </c>
      <c r="AN1804">
        <v>6670</v>
      </c>
      <c r="AO1804">
        <v>0.15</v>
      </c>
      <c r="AR1804">
        <v>1</v>
      </c>
      <c r="AS1804" s="1">
        <v>22970</v>
      </c>
      <c r="AT1804" s="1">
        <v>4590</v>
      </c>
      <c r="AU1804" s="1">
        <v>18380</v>
      </c>
      <c r="AV1804">
        <v>80.02</v>
      </c>
      <c r="AX1804" s="1">
        <v>1950.86</v>
      </c>
      <c r="AY1804" t="s">
        <v>5060</v>
      </c>
      <c r="AZ1804" t="s">
        <v>5060</v>
      </c>
      <c r="BA1804" t="s">
        <v>5061</v>
      </c>
      <c r="BE1804" s="3">
        <v>42338</v>
      </c>
      <c r="BF1804" s="1">
        <v>268703</v>
      </c>
      <c r="BG1804" t="s">
        <v>158</v>
      </c>
      <c r="BH1804" s="1">
        <v>119.64</v>
      </c>
      <c r="BI1804" s="1">
        <v>274480</v>
      </c>
      <c r="BJ1804" s="3">
        <v>42338</v>
      </c>
      <c r="BK1804" t="s">
        <v>123</v>
      </c>
      <c r="BL1804" t="str">
        <f>"2015.850318"</f>
        <v>2015.850318</v>
      </c>
      <c r="BM1804" t="s">
        <v>241</v>
      </c>
      <c r="BO1804" t="s">
        <v>12273</v>
      </c>
      <c r="BS1804">
        <v>30</v>
      </c>
      <c r="BW1804" t="str">
        <f>""</f>
        <v/>
      </c>
      <c r="CH1804" t="str">
        <f>""</f>
        <v/>
      </c>
      <c r="CS1804" t="str">
        <f>""</f>
        <v/>
      </c>
    </row>
    <row r="1805" spans="1:97" x14ac:dyDescent="0.25">
      <c r="A1805" t="s">
        <v>484</v>
      </c>
      <c r="B1805" t="s">
        <v>1094</v>
      </c>
      <c r="C1805" t="s">
        <v>943</v>
      </c>
      <c r="D1805" t="s">
        <v>1094</v>
      </c>
      <c r="E1805" t="s">
        <v>12274</v>
      </c>
      <c r="F1805" t="s">
        <v>108</v>
      </c>
      <c r="H1805" t="s">
        <v>12275</v>
      </c>
      <c r="I1805" t="s">
        <v>499</v>
      </c>
      <c r="J1805" t="s">
        <v>111</v>
      </c>
      <c r="K1805" t="str">
        <f>"85395"</f>
        <v>85395</v>
      </c>
      <c r="L1805" t="s">
        <v>5524</v>
      </c>
      <c r="M1805" t="s">
        <v>12275</v>
      </c>
      <c r="N1805" t="s">
        <v>499</v>
      </c>
      <c r="O1805" t="s">
        <v>111</v>
      </c>
      <c r="P1805" t="str">
        <f>"85395-8538"</f>
        <v>85395-8538</v>
      </c>
      <c r="Q1805" t="s">
        <v>113</v>
      </c>
      <c r="R1805" t="str">
        <f>"501-69-264"</f>
        <v>501-69-264</v>
      </c>
      <c r="S1805" t="s">
        <v>12276</v>
      </c>
      <c r="U1805">
        <v>2214</v>
      </c>
      <c r="V1805">
        <v>0</v>
      </c>
      <c r="W1805">
        <v>3</v>
      </c>
      <c r="X1805">
        <v>1993</v>
      </c>
      <c r="Z1805">
        <v>1</v>
      </c>
      <c r="AB1805">
        <v>0</v>
      </c>
      <c r="AC1805" t="s">
        <v>115</v>
      </c>
      <c r="AD1805">
        <v>2</v>
      </c>
      <c r="AE1805" t="s">
        <v>115</v>
      </c>
      <c r="AF1805">
        <v>0</v>
      </c>
      <c r="AG1805">
        <v>0</v>
      </c>
      <c r="AH1805" t="s">
        <v>116</v>
      </c>
      <c r="AI1805" s="1">
        <v>155980</v>
      </c>
      <c r="AJ1805" s="2">
        <v>0.41</v>
      </c>
      <c r="AK1805" s="1">
        <v>383380</v>
      </c>
      <c r="AL1805" t="s">
        <v>117</v>
      </c>
      <c r="AM1805" t="s">
        <v>118</v>
      </c>
      <c r="AN1805">
        <v>7924</v>
      </c>
      <c r="AO1805">
        <v>0.18</v>
      </c>
      <c r="AP1805">
        <v>1</v>
      </c>
      <c r="AR1805">
        <v>1</v>
      </c>
      <c r="AS1805" s="1">
        <v>30780</v>
      </c>
      <c r="AT1805" s="1">
        <v>6150</v>
      </c>
      <c r="AU1805" s="1">
        <v>24630</v>
      </c>
      <c r="AV1805">
        <v>80.02</v>
      </c>
      <c r="AX1805" s="1">
        <v>3605.5</v>
      </c>
      <c r="AY1805" t="s">
        <v>3020</v>
      </c>
      <c r="AZ1805" t="s">
        <v>3020</v>
      </c>
      <c r="BA1805" t="s">
        <v>3154</v>
      </c>
      <c r="BE1805" s="3">
        <v>42226</v>
      </c>
      <c r="BF1805" s="1">
        <v>255000</v>
      </c>
      <c r="BG1805" t="s">
        <v>12277</v>
      </c>
      <c r="BH1805" s="1">
        <v>115.18</v>
      </c>
      <c r="BI1805" s="1">
        <v>227400</v>
      </c>
      <c r="BJ1805" s="3">
        <v>42608</v>
      </c>
      <c r="BK1805" t="s">
        <v>123</v>
      </c>
      <c r="BL1805" t="str">
        <f>"2016.616877"</f>
        <v>2016.616877</v>
      </c>
      <c r="BM1805" t="s">
        <v>248</v>
      </c>
      <c r="BO1805" t="s">
        <v>12278</v>
      </c>
      <c r="BS1805">
        <v>30</v>
      </c>
      <c r="BW1805" t="str">
        <f>""</f>
        <v/>
      </c>
      <c r="CH1805" t="str">
        <f>""</f>
        <v/>
      </c>
      <c r="CS1805" t="str">
        <f>""</f>
        <v/>
      </c>
    </row>
    <row r="1806" spans="1:97" x14ac:dyDescent="0.25">
      <c r="A1806" t="s">
        <v>12279</v>
      </c>
      <c r="B1806" t="s">
        <v>12280</v>
      </c>
      <c r="E1806" t="s">
        <v>12281</v>
      </c>
      <c r="F1806" t="s">
        <v>108</v>
      </c>
      <c r="H1806" t="s">
        <v>12282</v>
      </c>
      <c r="I1806" t="s">
        <v>5387</v>
      </c>
      <c r="J1806" t="s">
        <v>111</v>
      </c>
      <c r="K1806" t="str">
        <f>"85283"</f>
        <v>85283</v>
      </c>
      <c r="L1806" t="s">
        <v>2857</v>
      </c>
      <c r="M1806" t="s">
        <v>12282</v>
      </c>
      <c r="N1806" t="s">
        <v>5387</v>
      </c>
      <c r="O1806" t="s">
        <v>111</v>
      </c>
      <c r="P1806" t="str">
        <f>"85283-3211"</f>
        <v>85283-3211</v>
      </c>
      <c r="Q1806" t="s">
        <v>113</v>
      </c>
      <c r="R1806" t="str">
        <f>"301-01-272"</f>
        <v>301-01-272</v>
      </c>
      <c r="S1806" t="s">
        <v>12283</v>
      </c>
      <c r="T1806" t="s">
        <v>12284</v>
      </c>
      <c r="U1806">
        <v>1740</v>
      </c>
      <c r="V1806">
        <v>0</v>
      </c>
      <c r="W1806">
        <v>2</v>
      </c>
      <c r="X1806">
        <v>1973</v>
      </c>
      <c r="Z1806">
        <v>1</v>
      </c>
      <c r="AB1806">
        <v>0</v>
      </c>
      <c r="AC1806" t="s">
        <v>115</v>
      </c>
      <c r="AD1806">
        <v>2</v>
      </c>
      <c r="AE1806" t="s">
        <v>115</v>
      </c>
      <c r="AF1806">
        <v>0</v>
      </c>
      <c r="AG1806">
        <v>0</v>
      </c>
      <c r="AH1806" t="s">
        <v>116</v>
      </c>
      <c r="AI1806" s="1">
        <v>-154352</v>
      </c>
      <c r="AJ1806" s="2">
        <v>-0.49</v>
      </c>
      <c r="AK1806" s="1">
        <v>315988</v>
      </c>
      <c r="AL1806" t="s">
        <v>117</v>
      </c>
      <c r="AM1806" t="s">
        <v>393</v>
      </c>
      <c r="AN1806">
        <v>7897</v>
      </c>
      <c r="AO1806">
        <v>0.18</v>
      </c>
      <c r="AP1806">
        <v>1</v>
      </c>
      <c r="AR1806">
        <v>1</v>
      </c>
      <c r="AS1806" s="1">
        <v>21260</v>
      </c>
      <c r="AT1806" s="1">
        <v>4250</v>
      </c>
      <c r="AU1806" s="1">
        <v>17010</v>
      </c>
      <c r="AV1806">
        <v>80.010000000000005</v>
      </c>
      <c r="AX1806" s="1">
        <v>1420.2</v>
      </c>
      <c r="AY1806" t="s">
        <v>9740</v>
      </c>
      <c r="AZ1806" t="s">
        <v>6726</v>
      </c>
      <c r="BA1806" t="s">
        <v>5392</v>
      </c>
      <c r="BE1806" s="3">
        <v>42209</v>
      </c>
      <c r="BF1806" s="1">
        <v>246500</v>
      </c>
      <c r="BG1806" t="s">
        <v>12285</v>
      </c>
      <c r="BH1806" s="1">
        <v>141.66999999999999</v>
      </c>
      <c r="BI1806" s="1">
        <v>235170</v>
      </c>
      <c r="BJ1806" s="3">
        <v>42683</v>
      </c>
      <c r="BK1806" t="s">
        <v>123</v>
      </c>
      <c r="BL1806" t="str">
        <f>"2016.827674"</f>
        <v>2016.827674</v>
      </c>
      <c r="BM1806" t="s">
        <v>724</v>
      </c>
      <c r="BO1806" t="s">
        <v>12286</v>
      </c>
      <c r="BS1806">
        <v>30</v>
      </c>
      <c r="BT1806" s="1">
        <v>235170</v>
      </c>
      <c r="BU1806" s="3">
        <v>42719</v>
      </c>
      <c r="BV1806" t="s">
        <v>123</v>
      </c>
      <c r="BW1806" t="str">
        <f>"2016.923798"</f>
        <v>2016.923798</v>
      </c>
      <c r="BX1806" t="s">
        <v>724</v>
      </c>
      <c r="BZ1806" t="s">
        <v>12286</v>
      </c>
      <c r="CD1806">
        <v>30</v>
      </c>
      <c r="CH1806" t="str">
        <f>""</f>
        <v/>
      </c>
      <c r="CS1806" t="str">
        <f>""</f>
        <v/>
      </c>
    </row>
    <row r="1807" spans="1:97" x14ac:dyDescent="0.25">
      <c r="A1807" t="s">
        <v>4179</v>
      </c>
      <c r="B1807" t="s">
        <v>12287</v>
      </c>
      <c r="E1807" t="s">
        <v>12288</v>
      </c>
      <c r="F1807" t="s">
        <v>108</v>
      </c>
      <c r="H1807" t="s">
        <v>12289</v>
      </c>
      <c r="I1807" t="s">
        <v>390</v>
      </c>
      <c r="J1807" t="s">
        <v>111</v>
      </c>
      <c r="K1807" t="str">
        <f>"85050"</f>
        <v>85050</v>
      </c>
      <c r="L1807" t="s">
        <v>8034</v>
      </c>
      <c r="M1807" t="s">
        <v>12290</v>
      </c>
      <c r="N1807" t="s">
        <v>390</v>
      </c>
      <c r="O1807" t="s">
        <v>111</v>
      </c>
      <c r="P1807" t="str">
        <f>"85050"</f>
        <v>85050</v>
      </c>
      <c r="Q1807" t="s">
        <v>113</v>
      </c>
      <c r="R1807" t="str">
        <f>"213-30-243"</f>
        <v>213-30-243</v>
      </c>
      <c r="S1807" t="s">
        <v>11143</v>
      </c>
      <c r="T1807" t="s">
        <v>11144</v>
      </c>
      <c r="U1807">
        <v>1992</v>
      </c>
      <c r="V1807">
        <v>0</v>
      </c>
      <c r="W1807">
        <v>3</v>
      </c>
      <c r="X1807">
        <v>1996</v>
      </c>
      <c r="Z1807">
        <v>1</v>
      </c>
      <c r="AA1807" t="s">
        <v>26</v>
      </c>
      <c r="AB1807">
        <v>0</v>
      </c>
      <c r="AC1807" t="s">
        <v>115</v>
      </c>
      <c r="AD1807">
        <v>3</v>
      </c>
      <c r="AE1807" t="s">
        <v>115</v>
      </c>
      <c r="AF1807">
        <v>0</v>
      </c>
      <c r="AG1807">
        <v>0</v>
      </c>
      <c r="AH1807" t="s">
        <v>116</v>
      </c>
      <c r="AI1807" s="1">
        <v>83884</v>
      </c>
      <c r="AJ1807" s="2">
        <v>0.22</v>
      </c>
      <c r="AK1807" s="1">
        <v>389494</v>
      </c>
      <c r="AL1807" t="s">
        <v>117</v>
      </c>
      <c r="AM1807" t="s">
        <v>1315</v>
      </c>
      <c r="AN1807">
        <v>6278</v>
      </c>
      <c r="AO1807">
        <v>0.14000000000000001</v>
      </c>
      <c r="AP1807">
        <v>1</v>
      </c>
      <c r="AR1807">
        <v>1</v>
      </c>
      <c r="AS1807" s="1">
        <v>28860</v>
      </c>
      <c r="AT1807" s="1">
        <v>5770</v>
      </c>
      <c r="AU1807" s="1">
        <v>23090</v>
      </c>
      <c r="AV1807">
        <v>80.010000000000005</v>
      </c>
      <c r="AX1807" s="1">
        <v>2487.92</v>
      </c>
      <c r="AY1807" t="s">
        <v>8037</v>
      </c>
      <c r="AZ1807" t="s">
        <v>2550</v>
      </c>
      <c r="BA1807" t="s">
        <v>1318</v>
      </c>
      <c r="BE1807" s="3">
        <v>41904</v>
      </c>
      <c r="BF1807" s="1">
        <v>302500</v>
      </c>
      <c r="BG1807" t="s">
        <v>12291</v>
      </c>
      <c r="BH1807" s="1">
        <v>151.86000000000001</v>
      </c>
      <c r="BI1807" s="1">
        <v>305610</v>
      </c>
      <c r="BJ1807" s="3">
        <v>42625</v>
      </c>
      <c r="BK1807" t="s">
        <v>123</v>
      </c>
      <c r="BL1807" t="str">
        <f>"2016.660779"</f>
        <v>2016.660779</v>
      </c>
      <c r="BM1807" t="s">
        <v>1695</v>
      </c>
      <c r="BO1807" t="s">
        <v>12292</v>
      </c>
      <c r="BS1807">
        <v>25</v>
      </c>
      <c r="BW1807" t="str">
        <f>""</f>
        <v/>
      </c>
      <c r="CH1807" t="str">
        <f>""</f>
        <v/>
      </c>
      <c r="CS1807" t="str">
        <f>""</f>
        <v/>
      </c>
    </row>
    <row r="1808" spans="1:97" x14ac:dyDescent="0.25">
      <c r="A1808" t="s">
        <v>1514</v>
      </c>
      <c r="B1808" t="s">
        <v>2434</v>
      </c>
      <c r="E1808" t="s">
        <v>12293</v>
      </c>
      <c r="F1808" t="s">
        <v>108</v>
      </c>
      <c r="H1808" t="s">
        <v>12294</v>
      </c>
      <c r="I1808" t="s">
        <v>5387</v>
      </c>
      <c r="J1808" t="s">
        <v>111</v>
      </c>
      <c r="K1808" t="str">
        <f>"85283"</f>
        <v>85283</v>
      </c>
      <c r="L1808" t="s">
        <v>2857</v>
      </c>
      <c r="M1808" t="s">
        <v>12294</v>
      </c>
      <c r="N1808" t="s">
        <v>5387</v>
      </c>
      <c r="O1808" t="s">
        <v>111</v>
      </c>
      <c r="P1808" t="str">
        <f>"85283-3314"</f>
        <v>85283-3314</v>
      </c>
      <c r="Q1808" t="s">
        <v>113</v>
      </c>
      <c r="R1808" t="str">
        <f>"301-01-443"</f>
        <v>301-01-443</v>
      </c>
      <c r="S1808" t="s">
        <v>12283</v>
      </c>
      <c r="T1808" t="s">
        <v>12284</v>
      </c>
      <c r="U1808">
        <v>1746</v>
      </c>
      <c r="V1808">
        <v>0</v>
      </c>
      <c r="W1808">
        <v>2</v>
      </c>
      <c r="X1808">
        <v>1973</v>
      </c>
      <c r="Z1808">
        <v>1</v>
      </c>
      <c r="AA1808" t="s">
        <v>26</v>
      </c>
      <c r="AB1808">
        <v>0</v>
      </c>
      <c r="AC1808" t="s">
        <v>5188</v>
      </c>
      <c r="AD1808">
        <v>2</v>
      </c>
      <c r="AE1808" t="s">
        <v>5188</v>
      </c>
      <c r="AF1808">
        <v>0</v>
      </c>
      <c r="AG1808">
        <v>0</v>
      </c>
      <c r="AH1808" t="s">
        <v>116</v>
      </c>
      <c r="AI1808" s="1">
        <v>84234</v>
      </c>
      <c r="AJ1808" s="2">
        <v>0.26</v>
      </c>
      <c r="AK1808" s="1">
        <v>326989</v>
      </c>
      <c r="AL1808" t="s">
        <v>117</v>
      </c>
      <c r="AM1808" t="s">
        <v>393</v>
      </c>
      <c r="AN1808">
        <v>7693</v>
      </c>
      <c r="AO1808">
        <v>0.18</v>
      </c>
      <c r="AP1808">
        <v>1</v>
      </c>
      <c r="AR1808">
        <v>1</v>
      </c>
      <c r="AS1808" s="1">
        <v>22050</v>
      </c>
      <c r="AT1808" s="1">
        <v>4410</v>
      </c>
      <c r="AU1808" s="1">
        <v>17640</v>
      </c>
      <c r="AV1808">
        <v>80</v>
      </c>
      <c r="AX1808" s="1">
        <v>1931</v>
      </c>
      <c r="AY1808" t="s">
        <v>9740</v>
      </c>
      <c r="AZ1808" t="s">
        <v>6726</v>
      </c>
      <c r="BA1808" t="s">
        <v>5392</v>
      </c>
      <c r="BE1808" s="3">
        <v>42054</v>
      </c>
      <c r="BF1808" s="1">
        <v>235000</v>
      </c>
      <c r="BG1808" t="s">
        <v>12295</v>
      </c>
      <c r="BH1808" s="1">
        <v>134.59</v>
      </c>
      <c r="BI1808" s="1">
        <v>242755</v>
      </c>
      <c r="BJ1808" s="3">
        <v>42054</v>
      </c>
      <c r="BK1808" t="s">
        <v>123</v>
      </c>
      <c r="BL1808" t="str">
        <f>"2015.108406"</f>
        <v>2015.108406</v>
      </c>
      <c r="BM1808" t="s">
        <v>1325</v>
      </c>
      <c r="BO1808" t="s">
        <v>12296</v>
      </c>
      <c r="BS1808">
        <v>30</v>
      </c>
      <c r="BW1808" t="str">
        <f>""</f>
        <v/>
      </c>
      <c r="CH1808" t="str">
        <f>""</f>
        <v/>
      </c>
      <c r="CS1808" t="str">
        <f>""</f>
        <v/>
      </c>
    </row>
    <row r="1809" spans="1:97" x14ac:dyDescent="0.25">
      <c r="A1809" t="s">
        <v>1344</v>
      </c>
      <c r="B1809" t="s">
        <v>10317</v>
      </c>
      <c r="C1809" t="s">
        <v>976</v>
      </c>
      <c r="D1809" t="s">
        <v>10317</v>
      </c>
      <c r="E1809" t="s">
        <v>12297</v>
      </c>
      <c r="F1809" t="s">
        <v>108</v>
      </c>
      <c r="H1809" t="s">
        <v>12298</v>
      </c>
      <c r="I1809" t="s">
        <v>225</v>
      </c>
      <c r="J1809" t="s">
        <v>111</v>
      </c>
      <c r="K1809" t="str">
        <f>"85208"</f>
        <v>85208</v>
      </c>
      <c r="L1809" t="s">
        <v>5400</v>
      </c>
      <c r="M1809" t="s">
        <v>12298</v>
      </c>
      <c r="N1809" t="s">
        <v>225</v>
      </c>
      <c r="O1809" t="s">
        <v>111</v>
      </c>
      <c r="P1809" t="str">
        <f>"85208-7291"</f>
        <v>85208-7291</v>
      </c>
      <c r="Q1809" t="s">
        <v>113</v>
      </c>
      <c r="R1809" t="str">
        <f>"220-71-576"</f>
        <v>220-71-576</v>
      </c>
      <c r="S1809" t="s">
        <v>12299</v>
      </c>
      <c r="T1809" t="s">
        <v>5402</v>
      </c>
      <c r="U1809">
        <v>1687</v>
      </c>
      <c r="V1809">
        <v>0</v>
      </c>
      <c r="W1809">
        <v>3</v>
      </c>
      <c r="X1809">
        <v>1998</v>
      </c>
      <c r="Z1809">
        <v>1</v>
      </c>
      <c r="AA1809" t="s">
        <v>26</v>
      </c>
      <c r="AB1809">
        <v>0</v>
      </c>
      <c r="AC1809" t="s">
        <v>115</v>
      </c>
      <c r="AD1809">
        <v>2</v>
      </c>
      <c r="AE1809" t="s">
        <v>115</v>
      </c>
      <c r="AF1809">
        <v>0</v>
      </c>
      <c r="AG1809">
        <v>0</v>
      </c>
      <c r="AH1809" t="s">
        <v>116</v>
      </c>
      <c r="AI1809" s="1">
        <v>83042</v>
      </c>
      <c r="AJ1809" s="2">
        <v>0.28999999999999998</v>
      </c>
      <c r="AK1809" s="1">
        <v>286042</v>
      </c>
      <c r="AL1809" t="s">
        <v>117</v>
      </c>
      <c r="AM1809" t="s">
        <v>191</v>
      </c>
      <c r="AN1809">
        <v>6835</v>
      </c>
      <c r="AO1809">
        <v>0.16</v>
      </c>
      <c r="AP1809">
        <v>1</v>
      </c>
      <c r="AR1809">
        <v>1</v>
      </c>
      <c r="AS1809" s="1">
        <v>20180</v>
      </c>
      <c r="AT1809" s="1">
        <v>4030</v>
      </c>
      <c r="AU1809" s="1">
        <v>16150</v>
      </c>
      <c r="AV1809">
        <v>80.03</v>
      </c>
      <c r="AX1809" s="1">
        <v>1430.44</v>
      </c>
      <c r="AY1809" t="s">
        <v>272</v>
      </c>
      <c r="AZ1809" t="s">
        <v>3761</v>
      </c>
      <c r="BA1809" t="s">
        <v>232</v>
      </c>
      <c r="BE1809" s="3">
        <v>42156</v>
      </c>
      <c r="BF1809" s="1">
        <v>215000</v>
      </c>
      <c r="BG1809" t="s">
        <v>5034</v>
      </c>
      <c r="BH1809" s="1">
        <v>127.45</v>
      </c>
      <c r="BI1809" s="1">
        <v>203000</v>
      </c>
      <c r="BJ1809" s="3">
        <v>42156</v>
      </c>
      <c r="BK1809" t="s">
        <v>123</v>
      </c>
      <c r="BL1809" t="str">
        <f>"2015.388182"</f>
        <v>2015.388182</v>
      </c>
      <c r="BM1809" t="s">
        <v>683</v>
      </c>
      <c r="BO1809" t="s">
        <v>12300</v>
      </c>
      <c r="BS1809">
        <v>30</v>
      </c>
      <c r="BW1809" t="str">
        <f>""</f>
        <v/>
      </c>
      <c r="CH1809" t="str">
        <f>""</f>
        <v/>
      </c>
      <c r="CS1809" t="str">
        <f>""</f>
        <v/>
      </c>
    </row>
    <row r="1810" spans="1:97" x14ac:dyDescent="0.25">
      <c r="A1810" t="s">
        <v>243</v>
      </c>
      <c r="B1810" t="s">
        <v>5013</v>
      </c>
      <c r="C1810" t="s">
        <v>12301</v>
      </c>
      <c r="D1810" t="s">
        <v>5013</v>
      </c>
      <c r="E1810" t="s">
        <v>12302</v>
      </c>
      <c r="F1810" t="s">
        <v>108</v>
      </c>
      <c r="H1810" t="s">
        <v>12303</v>
      </c>
      <c r="I1810" t="s">
        <v>632</v>
      </c>
      <c r="J1810" t="s">
        <v>111</v>
      </c>
      <c r="K1810" t="str">
        <f>"85374"</f>
        <v>85374</v>
      </c>
      <c r="L1810" t="s">
        <v>6788</v>
      </c>
      <c r="M1810" t="s">
        <v>12303</v>
      </c>
      <c r="N1810" t="s">
        <v>632</v>
      </c>
      <c r="O1810" t="s">
        <v>111</v>
      </c>
      <c r="P1810" t="str">
        <f>"85374-7014"</f>
        <v>85374-7014</v>
      </c>
      <c r="Q1810" t="s">
        <v>113</v>
      </c>
      <c r="R1810" t="str">
        <f>"501-91-662"</f>
        <v>501-91-662</v>
      </c>
      <c r="S1810" t="s">
        <v>12304</v>
      </c>
      <c r="T1810" t="s">
        <v>12305</v>
      </c>
      <c r="U1810">
        <v>1883</v>
      </c>
      <c r="V1810">
        <v>0</v>
      </c>
      <c r="W1810">
        <v>3</v>
      </c>
      <c r="X1810">
        <v>2001</v>
      </c>
      <c r="Z1810">
        <v>1</v>
      </c>
      <c r="AB1810">
        <v>0</v>
      </c>
      <c r="AC1810" t="s">
        <v>115</v>
      </c>
      <c r="AD1810">
        <v>2</v>
      </c>
      <c r="AE1810" t="s">
        <v>115</v>
      </c>
      <c r="AF1810">
        <v>0</v>
      </c>
      <c r="AG1810">
        <v>0</v>
      </c>
      <c r="AH1810" t="s">
        <v>116</v>
      </c>
      <c r="AI1810" s="1">
        <v>8473</v>
      </c>
      <c r="AJ1810" s="2">
        <v>0.03</v>
      </c>
      <c r="AK1810" s="1">
        <v>248473</v>
      </c>
      <c r="AL1810" t="s">
        <v>117</v>
      </c>
      <c r="AM1810" t="s">
        <v>118</v>
      </c>
      <c r="AN1810">
        <v>6600</v>
      </c>
      <c r="AO1810">
        <v>0.15</v>
      </c>
      <c r="AP1810">
        <v>1</v>
      </c>
      <c r="AR1810">
        <v>1</v>
      </c>
      <c r="AS1810" s="1">
        <v>16850</v>
      </c>
      <c r="AT1810" s="1">
        <v>3370</v>
      </c>
      <c r="AU1810" s="1">
        <v>13480</v>
      </c>
      <c r="AV1810">
        <v>80</v>
      </c>
      <c r="AX1810" s="1">
        <v>1238.8599999999999</v>
      </c>
      <c r="AY1810" t="s">
        <v>9749</v>
      </c>
      <c r="AZ1810" t="s">
        <v>9749</v>
      </c>
      <c r="BA1810" t="s">
        <v>321</v>
      </c>
      <c r="BE1810" s="3">
        <v>42507</v>
      </c>
      <c r="BF1810" s="1">
        <v>179900</v>
      </c>
      <c r="BG1810" t="s">
        <v>12306</v>
      </c>
      <c r="BH1810" s="1">
        <v>95.54</v>
      </c>
      <c r="BI1810" s="1">
        <v>240000</v>
      </c>
      <c r="BJ1810" s="3">
        <v>43607</v>
      </c>
      <c r="BK1810" t="s">
        <v>123</v>
      </c>
      <c r="BL1810" t="str">
        <f>"2019.377613"</f>
        <v>2019.377613</v>
      </c>
      <c r="BM1810" t="s">
        <v>12307</v>
      </c>
      <c r="BN1810" t="s">
        <v>7780</v>
      </c>
      <c r="BO1810" t="s">
        <v>12308</v>
      </c>
      <c r="BP1810" t="s">
        <v>12309</v>
      </c>
      <c r="BR1810" t="s">
        <v>139</v>
      </c>
      <c r="BW1810" t="str">
        <f>""</f>
        <v/>
      </c>
      <c r="CH1810" t="str">
        <f>""</f>
        <v/>
      </c>
      <c r="CS1810" t="str">
        <f>""</f>
        <v/>
      </c>
    </row>
    <row r="1811" spans="1:97" x14ac:dyDescent="0.25">
      <c r="A1811" t="s">
        <v>11252</v>
      </c>
      <c r="B1811" t="s">
        <v>12310</v>
      </c>
      <c r="C1811" t="s">
        <v>5505</v>
      </c>
      <c r="D1811" t="s">
        <v>12310</v>
      </c>
      <c r="E1811" t="s">
        <v>12311</v>
      </c>
      <c r="F1811" t="s">
        <v>108</v>
      </c>
      <c r="H1811" t="s">
        <v>12312</v>
      </c>
      <c r="I1811" t="s">
        <v>632</v>
      </c>
      <c r="J1811" t="s">
        <v>111</v>
      </c>
      <c r="K1811" t="str">
        <f>"85379"</f>
        <v>85379</v>
      </c>
      <c r="L1811" t="s">
        <v>6316</v>
      </c>
      <c r="M1811" t="s">
        <v>12312</v>
      </c>
      <c r="N1811" t="s">
        <v>632</v>
      </c>
      <c r="O1811" t="s">
        <v>111</v>
      </c>
      <c r="P1811" t="str">
        <f>"85379-6556"</f>
        <v>85379-6556</v>
      </c>
      <c r="Q1811" t="s">
        <v>113</v>
      </c>
      <c r="R1811" t="str">
        <f>"501-15-183"</f>
        <v>501-15-183</v>
      </c>
      <c r="S1811" t="s">
        <v>12313</v>
      </c>
      <c r="U1811">
        <v>2265</v>
      </c>
      <c r="V1811">
        <v>0</v>
      </c>
      <c r="W1811">
        <v>3</v>
      </c>
      <c r="X1811">
        <v>2000</v>
      </c>
      <c r="Z1811">
        <v>1</v>
      </c>
      <c r="AA1811" t="s">
        <v>26</v>
      </c>
      <c r="AB1811">
        <v>0</v>
      </c>
      <c r="AC1811" t="s">
        <v>115</v>
      </c>
      <c r="AD1811">
        <v>3</v>
      </c>
      <c r="AE1811" t="s">
        <v>115</v>
      </c>
      <c r="AF1811">
        <v>0</v>
      </c>
      <c r="AG1811">
        <v>0</v>
      </c>
      <c r="AH1811" t="s">
        <v>116</v>
      </c>
      <c r="AI1811" s="1">
        <v>85373</v>
      </c>
      <c r="AJ1811" s="2">
        <v>0.28999999999999998</v>
      </c>
      <c r="AK1811" s="1">
        <v>299053</v>
      </c>
      <c r="AL1811" t="s">
        <v>117</v>
      </c>
      <c r="AM1811" t="s">
        <v>118</v>
      </c>
      <c r="AN1811">
        <v>7560</v>
      </c>
      <c r="AO1811">
        <v>0.17</v>
      </c>
      <c r="AP1811">
        <v>1</v>
      </c>
      <c r="AR1811">
        <v>1</v>
      </c>
      <c r="AS1811" s="1">
        <v>22350</v>
      </c>
      <c r="AT1811" s="1">
        <v>4470</v>
      </c>
      <c r="AU1811" s="1">
        <v>17880</v>
      </c>
      <c r="AV1811">
        <v>80</v>
      </c>
      <c r="AX1811" s="1">
        <v>1053.18</v>
      </c>
      <c r="AY1811" t="s">
        <v>9749</v>
      </c>
      <c r="AZ1811" t="s">
        <v>9749</v>
      </c>
      <c r="BA1811" t="s">
        <v>321</v>
      </c>
      <c r="BB1811" s="3">
        <v>42410</v>
      </c>
      <c r="BD1811" t="s">
        <v>458</v>
      </c>
      <c r="BE1811" s="3">
        <v>42233</v>
      </c>
      <c r="BF1811" s="1">
        <v>214000</v>
      </c>
      <c r="BG1811" t="s">
        <v>12314</v>
      </c>
      <c r="BH1811" s="1">
        <v>94.48</v>
      </c>
      <c r="BI1811" s="1">
        <v>213680</v>
      </c>
      <c r="BJ1811" s="3">
        <v>42668</v>
      </c>
      <c r="BK1811" t="s">
        <v>123</v>
      </c>
      <c r="BL1811" t="str">
        <f>"2016.782507"</f>
        <v>2016.782507</v>
      </c>
      <c r="BM1811" t="s">
        <v>709</v>
      </c>
      <c r="BO1811" t="s">
        <v>12315</v>
      </c>
      <c r="BS1811">
        <v>30</v>
      </c>
      <c r="BW1811" t="str">
        <f>""</f>
        <v/>
      </c>
      <c r="CH1811" t="str">
        <f>""</f>
        <v/>
      </c>
      <c r="CS1811" t="str">
        <f>""</f>
        <v/>
      </c>
    </row>
    <row r="1812" spans="1:97" x14ac:dyDescent="0.25">
      <c r="A1812" t="s">
        <v>265</v>
      </c>
      <c r="B1812" t="s">
        <v>12316</v>
      </c>
      <c r="E1812" t="s">
        <v>12317</v>
      </c>
      <c r="F1812" t="s">
        <v>108</v>
      </c>
      <c r="H1812" t="s">
        <v>12318</v>
      </c>
      <c r="I1812" t="s">
        <v>225</v>
      </c>
      <c r="J1812" t="s">
        <v>111</v>
      </c>
      <c r="K1812" t="str">
        <f>"85203"</f>
        <v>85203</v>
      </c>
      <c r="L1812" t="s">
        <v>7626</v>
      </c>
      <c r="M1812" t="s">
        <v>12318</v>
      </c>
      <c r="N1812" t="s">
        <v>225</v>
      </c>
      <c r="O1812" t="s">
        <v>111</v>
      </c>
      <c r="P1812" t="str">
        <f>"85203-8113"</f>
        <v>85203-8113</v>
      </c>
      <c r="Q1812" t="s">
        <v>113</v>
      </c>
      <c r="R1812" t="str">
        <f>"138-07-045"</f>
        <v>138-07-045</v>
      </c>
      <c r="S1812" t="s">
        <v>12319</v>
      </c>
      <c r="T1812" t="s">
        <v>12320</v>
      </c>
      <c r="U1812">
        <v>1474</v>
      </c>
      <c r="V1812">
        <v>0</v>
      </c>
      <c r="W1812">
        <v>2</v>
      </c>
      <c r="X1812">
        <v>1956</v>
      </c>
      <c r="Z1812">
        <v>1</v>
      </c>
      <c r="AA1812" t="s">
        <v>26</v>
      </c>
      <c r="AB1812">
        <v>0</v>
      </c>
      <c r="AC1812" t="s">
        <v>5188</v>
      </c>
      <c r="AD1812">
        <v>1</v>
      </c>
      <c r="AE1812" t="s">
        <v>5188</v>
      </c>
      <c r="AF1812">
        <v>0</v>
      </c>
      <c r="AG1812">
        <v>0</v>
      </c>
      <c r="AH1812" t="s">
        <v>116</v>
      </c>
      <c r="AI1812" s="1">
        <v>55594</v>
      </c>
      <c r="AJ1812" s="2">
        <v>0.2</v>
      </c>
      <c r="AK1812" s="1">
        <v>277894</v>
      </c>
      <c r="AL1812" t="s">
        <v>117</v>
      </c>
      <c r="AM1812" t="s">
        <v>917</v>
      </c>
      <c r="AN1812">
        <v>11208</v>
      </c>
      <c r="AO1812">
        <v>0.26</v>
      </c>
      <c r="AP1812">
        <v>1</v>
      </c>
      <c r="AR1812">
        <v>1</v>
      </c>
      <c r="AS1812" s="1">
        <v>17530</v>
      </c>
      <c r="AT1812" s="1">
        <v>3500</v>
      </c>
      <c r="AU1812" s="1">
        <v>14030</v>
      </c>
      <c r="AV1812">
        <v>80.03</v>
      </c>
      <c r="AX1812" s="1">
        <v>1018.44</v>
      </c>
      <c r="AY1812" t="s">
        <v>7578</v>
      </c>
      <c r="AZ1812" t="s">
        <v>1523</v>
      </c>
      <c r="BA1812" t="s">
        <v>1524</v>
      </c>
      <c r="BE1812" s="3">
        <v>41829</v>
      </c>
      <c r="BF1812" s="1">
        <v>200000</v>
      </c>
      <c r="BG1812" t="s">
        <v>12321</v>
      </c>
      <c r="BH1812" s="1">
        <v>135.69</v>
      </c>
      <c r="BI1812" s="1">
        <v>222300</v>
      </c>
      <c r="BJ1812" s="3">
        <v>43158</v>
      </c>
      <c r="BK1812" t="s">
        <v>123</v>
      </c>
      <c r="BL1812" t="str">
        <f>"2018.145528"</f>
        <v>2018.145528</v>
      </c>
      <c r="BM1812" t="s">
        <v>1809</v>
      </c>
      <c r="BN1812" t="s">
        <v>1810</v>
      </c>
      <c r="BO1812" t="s">
        <v>12322</v>
      </c>
      <c r="BR1812" t="s">
        <v>139</v>
      </c>
      <c r="BW1812" t="str">
        <f>""</f>
        <v/>
      </c>
      <c r="CH1812" t="str">
        <f>""</f>
        <v/>
      </c>
      <c r="CS1812" t="str">
        <f>""</f>
        <v/>
      </c>
    </row>
    <row r="1813" spans="1:97" x14ac:dyDescent="0.25">
      <c r="A1813" t="s">
        <v>12323</v>
      </c>
      <c r="B1813" t="s">
        <v>12324</v>
      </c>
      <c r="C1813" t="s">
        <v>4386</v>
      </c>
      <c r="D1813" t="s">
        <v>12324</v>
      </c>
      <c r="E1813" t="s">
        <v>12325</v>
      </c>
      <c r="F1813" t="s">
        <v>108</v>
      </c>
      <c r="H1813" t="s">
        <v>12326</v>
      </c>
      <c r="I1813" t="s">
        <v>2874</v>
      </c>
      <c r="J1813" t="s">
        <v>111</v>
      </c>
      <c r="K1813" t="str">
        <f>"85310"</f>
        <v>85310</v>
      </c>
      <c r="L1813" t="s">
        <v>5775</v>
      </c>
      <c r="M1813" t="s">
        <v>12326</v>
      </c>
      <c r="N1813" t="s">
        <v>2874</v>
      </c>
      <c r="O1813" t="s">
        <v>111</v>
      </c>
      <c r="P1813" t="str">
        <f>"85310-5628"</f>
        <v>85310-5628</v>
      </c>
      <c r="Q1813" t="s">
        <v>113</v>
      </c>
      <c r="R1813" t="str">
        <f>"200-06-843"</f>
        <v>200-06-843</v>
      </c>
      <c r="S1813" t="s">
        <v>10692</v>
      </c>
      <c r="T1813" t="s">
        <v>10693</v>
      </c>
      <c r="U1813">
        <v>1518</v>
      </c>
      <c r="V1813">
        <v>0</v>
      </c>
      <c r="W1813">
        <v>3</v>
      </c>
      <c r="X1813">
        <v>1994</v>
      </c>
      <c r="Z1813">
        <v>2</v>
      </c>
      <c r="AB1813">
        <v>0</v>
      </c>
      <c r="AC1813" t="s">
        <v>115</v>
      </c>
      <c r="AD1813">
        <v>2</v>
      </c>
      <c r="AE1813" t="s">
        <v>115</v>
      </c>
      <c r="AF1813">
        <v>0</v>
      </c>
      <c r="AG1813">
        <v>0</v>
      </c>
      <c r="AH1813" t="s">
        <v>116</v>
      </c>
      <c r="AI1813" s="1">
        <v>71745</v>
      </c>
      <c r="AJ1813" s="2">
        <v>0.25</v>
      </c>
      <c r="AK1813" s="1">
        <v>283510</v>
      </c>
      <c r="AL1813" t="s">
        <v>117</v>
      </c>
      <c r="AM1813" t="s">
        <v>118</v>
      </c>
      <c r="AN1813">
        <v>5600</v>
      </c>
      <c r="AO1813">
        <v>0.13</v>
      </c>
      <c r="AP1813">
        <v>1</v>
      </c>
      <c r="AR1813">
        <v>1</v>
      </c>
      <c r="AS1813" s="1">
        <v>19280</v>
      </c>
      <c r="AT1813" s="1">
        <v>3850</v>
      </c>
      <c r="AU1813" s="1">
        <v>15430</v>
      </c>
      <c r="AV1813">
        <v>80.03</v>
      </c>
      <c r="AX1813" s="1">
        <v>1593.96</v>
      </c>
      <c r="AY1813" t="s">
        <v>3048</v>
      </c>
      <c r="AZ1813" t="s">
        <v>3049</v>
      </c>
      <c r="BA1813" t="s">
        <v>2223</v>
      </c>
      <c r="BE1813" s="3">
        <v>42298</v>
      </c>
      <c r="BF1813" s="1">
        <v>205000</v>
      </c>
      <c r="BG1813" t="s">
        <v>12327</v>
      </c>
      <c r="BH1813" s="1">
        <v>135.05000000000001</v>
      </c>
      <c r="BI1813" s="1">
        <v>211765</v>
      </c>
      <c r="BJ1813" s="3">
        <v>42298</v>
      </c>
      <c r="BK1813" t="s">
        <v>123</v>
      </c>
      <c r="BL1813" t="str">
        <f>"2015.756820"</f>
        <v>2015.756820</v>
      </c>
      <c r="BM1813" t="s">
        <v>3611</v>
      </c>
      <c r="BO1813" t="s">
        <v>12328</v>
      </c>
      <c r="BS1813">
        <v>30</v>
      </c>
      <c r="BW1813" t="str">
        <f>""</f>
        <v/>
      </c>
      <c r="CH1813" t="str">
        <f>""</f>
        <v/>
      </c>
      <c r="CS1813" t="str">
        <f>""</f>
        <v/>
      </c>
    </row>
    <row r="1814" spans="1:97" x14ac:dyDescent="0.25">
      <c r="A1814" t="s">
        <v>305</v>
      </c>
      <c r="B1814" t="s">
        <v>12329</v>
      </c>
      <c r="C1814" t="s">
        <v>10942</v>
      </c>
      <c r="D1814" t="s">
        <v>12329</v>
      </c>
      <c r="E1814" t="s">
        <v>12330</v>
      </c>
      <c r="F1814" t="s">
        <v>108</v>
      </c>
      <c r="H1814" t="s">
        <v>12331</v>
      </c>
      <c r="I1814" t="s">
        <v>2874</v>
      </c>
      <c r="J1814" t="s">
        <v>111</v>
      </c>
      <c r="K1814" t="str">
        <f>"85310"</f>
        <v>85310</v>
      </c>
      <c r="L1814" t="s">
        <v>5637</v>
      </c>
      <c r="M1814" t="s">
        <v>12331</v>
      </c>
      <c r="N1814" t="s">
        <v>2874</v>
      </c>
      <c r="O1814" t="s">
        <v>111</v>
      </c>
      <c r="P1814" t="str">
        <f>"85310-5531"</f>
        <v>85310-5531</v>
      </c>
      <c r="Q1814" t="s">
        <v>113</v>
      </c>
      <c r="R1814" t="str">
        <f>"205-14-006"</f>
        <v>205-14-006</v>
      </c>
      <c r="S1814" t="s">
        <v>12332</v>
      </c>
      <c r="T1814" t="s">
        <v>12333</v>
      </c>
      <c r="U1814">
        <v>1248</v>
      </c>
      <c r="V1814">
        <v>0</v>
      </c>
      <c r="W1814">
        <v>2</v>
      </c>
      <c r="X1814">
        <v>1988</v>
      </c>
      <c r="Z1814">
        <v>1</v>
      </c>
      <c r="AB1814">
        <v>0</v>
      </c>
      <c r="AC1814" t="s">
        <v>115</v>
      </c>
      <c r="AD1814">
        <v>2</v>
      </c>
      <c r="AE1814" t="s">
        <v>115</v>
      </c>
      <c r="AF1814">
        <v>0</v>
      </c>
      <c r="AG1814">
        <v>0</v>
      </c>
      <c r="AH1814" t="s">
        <v>116</v>
      </c>
      <c r="AI1814" s="1">
        <v>29314</v>
      </c>
      <c r="AJ1814" s="2">
        <v>0.13</v>
      </c>
      <c r="AK1814" s="1">
        <v>234314</v>
      </c>
      <c r="AL1814" t="s">
        <v>117</v>
      </c>
      <c r="AM1814" t="s">
        <v>191</v>
      </c>
      <c r="AN1814">
        <v>4064</v>
      </c>
      <c r="AO1814">
        <v>0.93</v>
      </c>
      <c r="AP1814">
        <v>1</v>
      </c>
      <c r="AR1814">
        <v>1</v>
      </c>
      <c r="AS1814" s="1">
        <v>15160</v>
      </c>
      <c r="AT1814" s="1">
        <v>3030</v>
      </c>
      <c r="AU1814" s="1">
        <v>12130</v>
      </c>
      <c r="AV1814">
        <v>80.010000000000005</v>
      </c>
      <c r="AX1814" s="1">
        <v>1176.06</v>
      </c>
      <c r="AY1814" t="s">
        <v>5701</v>
      </c>
      <c r="AZ1814" t="s">
        <v>3049</v>
      </c>
      <c r="BA1814" t="s">
        <v>1386</v>
      </c>
      <c r="BB1814" s="3">
        <v>41946</v>
      </c>
      <c r="BD1814" t="s">
        <v>240</v>
      </c>
      <c r="BE1814" s="3">
        <v>41942</v>
      </c>
      <c r="BF1814" s="1">
        <v>156000</v>
      </c>
      <c r="BG1814" t="s">
        <v>12334</v>
      </c>
      <c r="BH1814" s="1">
        <v>125</v>
      </c>
      <c r="BI1814" s="1">
        <v>205000</v>
      </c>
      <c r="BJ1814" s="3">
        <v>43056</v>
      </c>
      <c r="BK1814" t="s">
        <v>123</v>
      </c>
      <c r="BL1814" t="str">
        <f>"2017.857195"</f>
        <v>2017.857195</v>
      </c>
      <c r="BM1814" t="s">
        <v>807</v>
      </c>
      <c r="BO1814" t="s">
        <v>12335</v>
      </c>
      <c r="BS1814">
        <v>30</v>
      </c>
      <c r="BW1814" t="str">
        <f>""</f>
        <v/>
      </c>
      <c r="CH1814" t="str">
        <f>""</f>
        <v/>
      </c>
      <c r="CS1814" t="str">
        <f>""</f>
        <v/>
      </c>
    </row>
    <row r="1815" spans="1:97" x14ac:dyDescent="0.25">
      <c r="A1815" t="s">
        <v>12336</v>
      </c>
      <c r="B1815" t="s">
        <v>12337</v>
      </c>
      <c r="C1815" t="s">
        <v>12338</v>
      </c>
      <c r="D1815" t="s">
        <v>12337</v>
      </c>
      <c r="E1815" t="s">
        <v>12339</v>
      </c>
      <c r="F1815" t="s">
        <v>108</v>
      </c>
      <c r="H1815" t="s">
        <v>12340</v>
      </c>
      <c r="I1815" t="s">
        <v>390</v>
      </c>
      <c r="J1815" t="s">
        <v>111</v>
      </c>
      <c r="K1815" t="str">
        <f>"85027"</f>
        <v>85027</v>
      </c>
      <c r="L1815" t="s">
        <v>7695</v>
      </c>
      <c r="M1815" t="s">
        <v>12340</v>
      </c>
      <c r="N1815" t="s">
        <v>390</v>
      </c>
      <c r="O1815" t="s">
        <v>111</v>
      </c>
      <c r="P1815" t="str">
        <f>"85027-5311"</f>
        <v>85027-5311</v>
      </c>
      <c r="Q1815" t="s">
        <v>113</v>
      </c>
      <c r="R1815" t="str">
        <f>"209-13-807"</f>
        <v>209-13-807</v>
      </c>
      <c r="S1815" t="s">
        <v>12341</v>
      </c>
      <c r="U1815">
        <v>1314</v>
      </c>
      <c r="V1815">
        <v>0</v>
      </c>
      <c r="W1815">
        <v>2</v>
      </c>
      <c r="X1815">
        <v>1976</v>
      </c>
      <c r="Z1815">
        <v>1</v>
      </c>
      <c r="AB1815">
        <v>0</v>
      </c>
      <c r="AC1815" t="s">
        <v>115</v>
      </c>
      <c r="AD1815">
        <v>2</v>
      </c>
      <c r="AE1815" t="s">
        <v>115</v>
      </c>
      <c r="AF1815">
        <v>0</v>
      </c>
      <c r="AG1815">
        <v>0</v>
      </c>
      <c r="AH1815" t="s">
        <v>116</v>
      </c>
      <c r="AI1815" s="1">
        <v>27758</v>
      </c>
      <c r="AJ1815" s="2">
        <v>0.12</v>
      </c>
      <c r="AK1815" s="1">
        <v>239523</v>
      </c>
      <c r="AL1815" t="s">
        <v>117</v>
      </c>
      <c r="AM1815" t="s">
        <v>171</v>
      </c>
      <c r="AN1815">
        <v>8127</v>
      </c>
      <c r="AO1815">
        <v>0.19</v>
      </c>
      <c r="AP1815">
        <v>1</v>
      </c>
      <c r="AR1815">
        <v>1</v>
      </c>
      <c r="AS1815" s="1">
        <v>15460</v>
      </c>
      <c r="AT1815" s="1">
        <v>3090</v>
      </c>
      <c r="AU1815" s="1">
        <v>12370</v>
      </c>
      <c r="AV1815">
        <v>80.010000000000005</v>
      </c>
      <c r="AX1815" s="1">
        <v>932.36</v>
      </c>
      <c r="AY1815" t="s">
        <v>10684</v>
      </c>
      <c r="AZ1815" t="s">
        <v>2357</v>
      </c>
      <c r="BA1815" t="s">
        <v>1462</v>
      </c>
      <c r="BE1815" s="3">
        <v>42373</v>
      </c>
      <c r="BF1815" s="1">
        <v>184000</v>
      </c>
      <c r="BG1815" t="s">
        <v>9690</v>
      </c>
      <c r="BH1815" s="1">
        <v>140.03</v>
      </c>
      <c r="BI1815" s="1">
        <v>211765</v>
      </c>
      <c r="BJ1815" s="3">
        <v>43318</v>
      </c>
      <c r="BK1815" t="s">
        <v>123</v>
      </c>
      <c r="BL1815" t="str">
        <f>"2018.593774"</f>
        <v>2018.593774</v>
      </c>
      <c r="BM1815" t="s">
        <v>2671</v>
      </c>
      <c r="BN1815" t="s">
        <v>2672</v>
      </c>
      <c r="BO1815" t="s">
        <v>12342</v>
      </c>
      <c r="BP1815" t="s">
        <v>12343</v>
      </c>
      <c r="BR1815" t="s">
        <v>139</v>
      </c>
      <c r="BW1815" t="str">
        <f>""</f>
        <v/>
      </c>
      <c r="CH1815" t="str">
        <f>""</f>
        <v/>
      </c>
      <c r="CS1815" t="str">
        <f>""</f>
        <v/>
      </c>
    </row>
    <row r="1816" spans="1:97" x14ac:dyDescent="0.25">
      <c r="B1816" t="s">
        <v>12344</v>
      </c>
      <c r="E1816" t="s">
        <v>1619</v>
      </c>
      <c r="F1816" t="s">
        <v>108</v>
      </c>
      <c r="H1816" t="s">
        <v>12345</v>
      </c>
      <c r="I1816" t="s">
        <v>5551</v>
      </c>
      <c r="J1816" t="s">
        <v>111</v>
      </c>
      <c r="K1816" t="str">
        <f>"85248"</f>
        <v>85248</v>
      </c>
      <c r="L1816" t="s">
        <v>541</v>
      </c>
      <c r="M1816" t="s">
        <v>12345</v>
      </c>
      <c r="N1816" t="s">
        <v>5551</v>
      </c>
      <c r="O1816" t="s">
        <v>111</v>
      </c>
      <c r="P1816" t="str">
        <f>"85248-7793"</f>
        <v>85248-7793</v>
      </c>
      <c r="Q1816" t="s">
        <v>113</v>
      </c>
      <c r="R1816" t="str">
        <f>"303-52-905"</f>
        <v>303-52-905</v>
      </c>
      <c r="S1816" t="s">
        <v>12346</v>
      </c>
      <c r="T1816" t="s">
        <v>12265</v>
      </c>
      <c r="U1816">
        <v>1810</v>
      </c>
      <c r="V1816">
        <v>0</v>
      </c>
      <c r="W1816">
        <v>3</v>
      </c>
      <c r="X1816">
        <v>1995</v>
      </c>
      <c r="Z1816">
        <v>1</v>
      </c>
      <c r="AA1816" t="s">
        <v>26</v>
      </c>
      <c r="AB1816">
        <v>0</v>
      </c>
      <c r="AC1816" t="s">
        <v>115</v>
      </c>
      <c r="AD1816">
        <v>2</v>
      </c>
      <c r="AE1816" t="s">
        <v>115</v>
      </c>
      <c r="AF1816">
        <v>0</v>
      </c>
      <c r="AG1816">
        <v>0</v>
      </c>
      <c r="AH1816" t="s">
        <v>116</v>
      </c>
      <c r="AI1816" s="1">
        <v>83359</v>
      </c>
      <c r="AJ1816" s="2">
        <v>0.25</v>
      </c>
      <c r="AK1816" s="1">
        <v>338359</v>
      </c>
      <c r="AL1816" t="s">
        <v>117</v>
      </c>
      <c r="AM1816" t="s">
        <v>191</v>
      </c>
      <c r="AN1816">
        <v>7209</v>
      </c>
      <c r="AO1816">
        <v>0.16</v>
      </c>
      <c r="AP1816">
        <v>1</v>
      </c>
      <c r="AR1816">
        <v>1</v>
      </c>
      <c r="AS1816" s="1">
        <v>23270</v>
      </c>
      <c r="AT1816" s="1">
        <v>4650</v>
      </c>
      <c r="AU1816" s="1">
        <v>18620</v>
      </c>
      <c r="AV1816">
        <v>80.02</v>
      </c>
      <c r="AX1816" s="1">
        <v>2554.16</v>
      </c>
      <c r="AY1816" t="s">
        <v>1881</v>
      </c>
      <c r="AZ1816" t="s">
        <v>1882</v>
      </c>
      <c r="BA1816" t="s">
        <v>121</v>
      </c>
      <c r="BB1816" s="3">
        <v>42796</v>
      </c>
      <c r="BD1816" t="s">
        <v>240</v>
      </c>
      <c r="BE1816" s="3">
        <v>42045</v>
      </c>
      <c r="BF1816" s="1">
        <v>255000</v>
      </c>
      <c r="BG1816" t="s">
        <v>12347</v>
      </c>
      <c r="BH1816" s="1">
        <v>140.88</v>
      </c>
      <c r="BI1816" s="1">
        <v>255000</v>
      </c>
      <c r="BJ1816" s="3">
        <v>42045</v>
      </c>
      <c r="BK1816" t="s">
        <v>123</v>
      </c>
      <c r="BL1816" t="str">
        <f>"2015.86743"</f>
        <v>2015.86743</v>
      </c>
      <c r="BM1816" t="s">
        <v>6784</v>
      </c>
      <c r="BO1816" t="s">
        <v>12348</v>
      </c>
      <c r="BS1816">
        <v>30</v>
      </c>
      <c r="BW1816" t="str">
        <f>""</f>
        <v/>
      </c>
      <c r="CH1816" t="str">
        <f>""</f>
        <v/>
      </c>
      <c r="CS1816" t="str">
        <f>""</f>
        <v/>
      </c>
    </row>
    <row r="1817" spans="1:97" x14ac:dyDescent="0.25">
      <c r="A1817" t="s">
        <v>12349</v>
      </c>
      <c r="B1817" t="s">
        <v>5098</v>
      </c>
      <c r="E1817" t="s">
        <v>12350</v>
      </c>
      <c r="F1817" t="s">
        <v>108</v>
      </c>
      <c r="H1817" t="s">
        <v>12351</v>
      </c>
      <c r="I1817" t="s">
        <v>5387</v>
      </c>
      <c r="J1817" t="s">
        <v>111</v>
      </c>
      <c r="K1817" t="str">
        <f>"85283"</f>
        <v>85283</v>
      </c>
      <c r="L1817" t="s">
        <v>5687</v>
      </c>
      <c r="M1817" t="s">
        <v>12351</v>
      </c>
      <c r="N1817" t="s">
        <v>5387</v>
      </c>
      <c r="O1817" t="s">
        <v>111</v>
      </c>
      <c r="P1817" t="str">
        <f>"85283-1654"</f>
        <v>85283-1654</v>
      </c>
      <c r="Q1817" t="s">
        <v>113</v>
      </c>
      <c r="R1817" t="str">
        <f>"301-07-199"</f>
        <v>301-07-199</v>
      </c>
      <c r="S1817" t="s">
        <v>12352</v>
      </c>
      <c r="T1817" t="s">
        <v>12353</v>
      </c>
      <c r="U1817">
        <v>1172</v>
      </c>
      <c r="V1817">
        <v>0</v>
      </c>
      <c r="W1817">
        <v>2</v>
      </c>
      <c r="X1817">
        <v>1979</v>
      </c>
      <c r="Z1817">
        <v>1</v>
      </c>
      <c r="AA1817" t="s">
        <v>26</v>
      </c>
      <c r="AB1817">
        <v>0</v>
      </c>
      <c r="AC1817" t="s">
        <v>115</v>
      </c>
      <c r="AD1817">
        <v>2</v>
      </c>
      <c r="AE1817" t="s">
        <v>115</v>
      </c>
      <c r="AF1817">
        <v>0</v>
      </c>
      <c r="AG1817">
        <v>0</v>
      </c>
      <c r="AH1817" t="s">
        <v>116</v>
      </c>
      <c r="AI1817" s="1">
        <v>51876</v>
      </c>
      <c r="AJ1817" s="2">
        <v>0.2</v>
      </c>
      <c r="AK1817" s="1">
        <v>264250</v>
      </c>
      <c r="AL1817" t="s">
        <v>117</v>
      </c>
      <c r="AM1817" t="s">
        <v>191</v>
      </c>
      <c r="AN1817">
        <v>13148</v>
      </c>
      <c r="AO1817">
        <v>0.3</v>
      </c>
      <c r="AP1817">
        <v>1</v>
      </c>
      <c r="AR1817">
        <v>1</v>
      </c>
      <c r="AS1817" s="1">
        <v>18660</v>
      </c>
      <c r="AT1817" s="1">
        <v>3730</v>
      </c>
      <c r="AU1817" s="1">
        <v>14930</v>
      </c>
      <c r="AV1817">
        <v>80.010000000000005</v>
      </c>
      <c r="AX1817" s="1">
        <v>1342.78</v>
      </c>
      <c r="AY1817" t="s">
        <v>12354</v>
      </c>
      <c r="AZ1817" t="s">
        <v>6726</v>
      </c>
      <c r="BA1817" t="s">
        <v>5392</v>
      </c>
      <c r="BE1817" s="3">
        <v>42325</v>
      </c>
      <c r="BF1817" s="1">
        <v>204000</v>
      </c>
      <c r="BG1817" t="s">
        <v>10889</v>
      </c>
      <c r="BH1817" s="1">
        <v>174.06</v>
      </c>
      <c r="BI1817" s="1">
        <v>212374</v>
      </c>
      <c r="BJ1817" s="3">
        <v>42534</v>
      </c>
      <c r="BK1817" t="s">
        <v>123</v>
      </c>
      <c r="BL1817" t="str">
        <f>"2016.410380"</f>
        <v>2016.410380</v>
      </c>
      <c r="BM1817" t="s">
        <v>544</v>
      </c>
      <c r="BO1817" t="s">
        <v>12355</v>
      </c>
      <c r="BS1817">
        <v>30</v>
      </c>
      <c r="BW1817" t="str">
        <f>""</f>
        <v/>
      </c>
      <c r="CH1817" t="str">
        <f>""</f>
        <v/>
      </c>
      <c r="CS1817" t="str">
        <f>""</f>
        <v/>
      </c>
    </row>
    <row r="1818" spans="1:97" x14ac:dyDescent="0.25">
      <c r="A1818" t="s">
        <v>996</v>
      </c>
      <c r="B1818" t="s">
        <v>12356</v>
      </c>
      <c r="C1818" t="s">
        <v>334</v>
      </c>
      <c r="D1818" t="s">
        <v>12356</v>
      </c>
      <c r="E1818" t="s">
        <v>12357</v>
      </c>
      <c r="F1818" t="s">
        <v>108</v>
      </c>
      <c r="H1818" t="s">
        <v>12358</v>
      </c>
      <c r="I1818" t="s">
        <v>5387</v>
      </c>
      <c r="J1818" t="s">
        <v>111</v>
      </c>
      <c r="K1818" t="str">
        <f>"85282"</f>
        <v>85282</v>
      </c>
      <c r="L1818" t="s">
        <v>12359</v>
      </c>
      <c r="M1818" t="s">
        <v>12358</v>
      </c>
      <c r="N1818" t="s">
        <v>5387</v>
      </c>
      <c r="O1818" t="s">
        <v>111</v>
      </c>
      <c r="P1818" t="str">
        <f>"85282-7319"</f>
        <v>85282-7319</v>
      </c>
      <c r="Q1818" t="s">
        <v>113</v>
      </c>
      <c r="R1818" t="str">
        <f>"133-39-064"</f>
        <v>133-39-064</v>
      </c>
      <c r="S1818" t="s">
        <v>12360</v>
      </c>
      <c r="U1818">
        <v>1852</v>
      </c>
      <c r="V1818">
        <v>0</v>
      </c>
      <c r="W1818">
        <v>2</v>
      </c>
      <c r="X1818">
        <v>1969</v>
      </c>
      <c r="Z1818">
        <v>1</v>
      </c>
      <c r="AA1818" t="s">
        <v>26</v>
      </c>
      <c r="AB1818">
        <v>0</v>
      </c>
      <c r="AC1818" t="s">
        <v>115</v>
      </c>
      <c r="AD1818">
        <v>4</v>
      </c>
      <c r="AE1818" t="s">
        <v>115</v>
      </c>
      <c r="AF1818">
        <v>0</v>
      </c>
      <c r="AG1818">
        <v>0</v>
      </c>
      <c r="AH1818" t="s">
        <v>116</v>
      </c>
      <c r="AI1818" s="1">
        <v>60867</v>
      </c>
      <c r="AJ1818" s="2">
        <v>0.17</v>
      </c>
      <c r="AK1818" s="1">
        <v>361517</v>
      </c>
      <c r="AL1818" t="s">
        <v>117</v>
      </c>
      <c r="AM1818" t="s">
        <v>191</v>
      </c>
      <c r="AN1818">
        <v>14275</v>
      </c>
      <c r="AO1818">
        <v>0.33</v>
      </c>
      <c r="AP1818">
        <v>1</v>
      </c>
      <c r="AR1818">
        <v>1</v>
      </c>
      <c r="AS1818" s="1">
        <v>23720</v>
      </c>
      <c r="AT1818" s="1">
        <v>4740</v>
      </c>
      <c r="AU1818" s="1">
        <v>18980</v>
      </c>
      <c r="AV1818">
        <v>80.02</v>
      </c>
      <c r="AX1818" s="1">
        <v>1949.38</v>
      </c>
      <c r="AY1818" t="s">
        <v>9564</v>
      </c>
      <c r="AZ1818" t="s">
        <v>11073</v>
      </c>
      <c r="BA1818" t="s">
        <v>10858</v>
      </c>
      <c r="BE1818" s="3">
        <v>41719</v>
      </c>
      <c r="BF1818" s="1">
        <v>310000</v>
      </c>
      <c r="BG1818" t="s">
        <v>12361</v>
      </c>
      <c r="BH1818" s="1">
        <v>167.39</v>
      </c>
      <c r="BI1818" s="1">
        <v>300650</v>
      </c>
      <c r="BJ1818" s="3">
        <v>42650</v>
      </c>
      <c r="BK1818" t="s">
        <v>123</v>
      </c>
      <c r="BL1818" t="str">
        <f>"2016.737369"</f>
        <v>2016.737369</v>
      </c>
      <c r="BM1818" t="s">
        <v>124</v>
      </c>
      <c r="BO1818" t="s">
        <v>12362</v>
      </c>
      <c r="BS1818">
        <v>30</v>
      </c>
      <c r="BW1818" t="str">
        <f>""</f>
        <v/>
      </c>
      <c r="CH1818" t="str">
        <f>""</f>
        <v/>
      </c>
      <c r="CS1818" t="str">
        <f>""</f>
        <v/>
      </c>
    </row>
    <row r="1819" spans="1:97" x14ac:dyDescent="0.25">
      <c r="A1819" t="s">
        <v>12363</v>
      </c>
      <c r="B1819" t="s">
        <v>327</v>
      </c>
      <c r="C1819" t="s">
        <v>6449</v>
      </c>
      <c r="D1819" t="s">
        <v>327</v>
      </c>
      <c r="E1819" t="s">
        <v>12364</v>
      </c>
      <c r="F1819" t="s">
        <v>108</v>
      </c>
      <c r="H1819" t="s">
        <v>12365</v>
      </c>
      <c r="I1819" t="s">
        <v>2874</v>
      </c>
      <c r="J1819" t="s">
        <v>111</v>
      </c>
      <c r="K1819" t="str">
        <f>"85310"</f>
        <v>85310</v>
      </c>
      <c r="L1819" t="s">
        <v>5325</v>
      </c>
      <c r="M1819" t="s">
        <v>12365</v>
      </c>
      <c r="N1819" t="s">
        <v>2874</v>
      </c>
      <c r="O1819" t="s">
        <v>111</v>
      </c>
      <c r="P1819" t="str">
        <f>"85310-5554"</f>
        <v>85310-5554</v>
      </c>
      <c r="Q1819" t="s">
        <v>113</v>
      </c>
      <c r="R1819" t="str">
        <f>"205-11-678"</f>
        <v>205-11-678</v>
      </c>
      <c r="S1819" t="s">
        <v>8418</v>
      </c>
      <c r="T1819" t="s">
        <v>8419</v>
      </c>
      <c r="U1819">
        <v>1870</v>
      </c>
      <c r="V1819">
        <v>0</v>
      </c>
      <c r="W1819">
        <v>3</v>
      </c>
      <c r="X1819">
        <v>1990</v>
      </c>
      <c r="Z1819">
        <v>1</v>
      </c>
      <c r="AB1819">
        <v>0</v>
      </c>
      <c r="AC1819" t="s">
        <v>115</v>
      </c>
      <c r="AD1819">
        <v>2</v>
      </c>
      <c r="AE1819" t="s">
        <v>115</v>
      </c>
      <c r="AF1819">
        <v>0</v>
      </c>
      <c r="AG1819">
        <v>0</v>
      </c>
      <c r="AH1819" t="s">
        <v>116</v>
      </c>
      <c r="AI1819" s="1">
        <v>75595</v>
      </c>
      <c r="AJ1819" s="2">
        <v>0.25</v>
      </c>
      <c r="AK1819" s="1">
        <v>297853</v>
      </c>
      <c r="AL1819" t="s">
        <v>117</v>
      </c>
      <c r="AM1819" t="s">
        <v>171</v>
      </c>
      <c r="AN1819">
        <v>6385</v>
      </c>
      <c r="AO1819">
        <v>0.15</v>
      </c>
      <c r="AP1819">
        <v>1</v>
      </c>
      <c r="AR1819">
        <v>1</v>
      </c>
      <c r="AS1819" s="1">
        <v>19860</v>
      </c>
      <c r="AT1819" s="1">
        <v>3970</v>
      </c>
      <c r="AU1819" s="1">
        <v>15890</v>
      </c>
      <c r="AV1819">
        <v>80.010000000000005</v>
      </c>
      <c r="AX1819" s="1">
        <v>1610.22</v>
      </c>
      <c r="AY1819" t="s">
        <v>5701</v>
      </c>
      <c r="AZ1819" t="s">
        <v>3049</v>
      </c>
      <c r="BA1819" t="s">
        <v>1386</v>
      </c>
      <c r="BE1819" s="3">
        <v>41850</v>
      </c>
      <c r="BF1819" s="1">
        <v>219900</v>
      </c>
      <c r="BG1819" t="s">
        <v>12366</v>
      </c>
      <c r="BH1819" s="1">
        <v>117.59</v>
      </c>
      <c r="BI1819" s="1">
        <v>222258</v>
      </c>
      <c r="BJ1819" s="3">
        <v>41850</v>
      </c>
      <c r="BK1819" t="s">
        <v>123</v>
      </c>
      <c r="BL1819" t="str">
        <f>"2014.497004"</f>
        <v>2014.497004</v>
      </c>
      <c r="BM1819" t="s">
        <v>724</v>
      </c>
      <c r="BO1819" t="s">
        <v>12367</v>
      </c>
      <c r="BS1819">
        <v>30</v>
      </c>
      <c r="BW1819" t="str">
        <f>""</f>
        <v/>
      </c>
      <c r="CH1819" t="str">
        <f>""</f>
        <v/>
      </c>
      <c r="CS1819" t="str">
        <f>""</f>
        <v/>
      </c>
    </row>
    <row r="1820" spans="1:97" x14ac:dyDescent="0.25">
      <c r="A1820" t="s">
        <v>12368</v>
      </c>
      <c r="B1820" t="s">
        <v>12369</v>
      </c>
      <c r="E1820" t="s">
        <v>12370</v>
      </c>
      <c r="F1820" t="s">
        <v>108</v>
      </c>
      <c r="H1820" t="s">
        <v>12371</v>
      </c>
      <c r="I1820" t="s">
        <v>632</v>
      </c>
      <c r="J1820" t="s">
        <v>111</v>
      </c>
      <c r="K1820" t="str">
        <f>"85388"</f>
        <v>85388</v>
      </c>
      <c r="L1820" t="s">
        <v>4467</v>
      </c>
      <c r="M1820" t="s">
        <v>12371</v>
      </c>
      <c r="N1820" t="s">
        <v>632</v>
      </c>
      <c r="O1820" t="s">
        <v>111</v>
      </c>
      <c r="P1820" t="str">
        <f>"85388-2369"</f>
        <v>85388-2369</v>
      </c>
      <c r="Q1820" t="s">
        <v>113</v>
      </c>
      <c r="R1820" t="str">
        <f>"502-09-607"</f>
        <v>502-09-607</v>
      </c>
      <c r="S1820" t="s">
        <v>5359</v>
      </c>
      <c r="T1820" t="s">
        <v>5360</v>
      </c>
      <c r="U1820">
        <v>2188</v>
      </c>
      <c r="V1820">
        <v>0</v>
      </c>
      <c r="W1820">
        <v>3</v>
      </c>
      <c r="X1820">
        <v>2014</v>
      </c>
      <c r="Z1820">
        <v>1</v>
      </c>
      <c r="AB1820">
        <v>0</v>
      </c>
      <c r="AC1820" t="s">
        <v>115</v>
      </c>
      <c r="AD1820">
        <v>3</v>
      </c>
      <c r="AE1820" t="s">
        <v>115</v>
      </c>
      <c r="AF1820">
        <v>0</v>
      </c>
      <c r="AG1820">
        <v>0</v>
      </c>
      <c r="AH1820" t="s">
        <v>116</v>
      </c>
      <c r="AI1820" s="1">
        <v>55635</v>
      </c>
      <c r="AJ1820" s="2">
        <v>0.18</v>
      </c>
      <c r="AK1820" s="1">
        <v>313065</v>
      </c>
      <c r="AL1820" t="s">
        <v>117</v>
      </c>
      <c r="AM1820" t="s">
        <v>118</v>
      </c>
      <c r="AN1820">
        <v>7416</v>
      </c>
      <c r="AO1820">
        <v>0.17</v>
      </c>
      <c r="AR1820">
        <v>1</v>
      </c>
      <c r="AS1820" s="1">
        <v>22520</v>
      </c>
      <c r="AT1820" s="1">
        <v>4500</v>
      </c>
      <c r="AU1820" s="1">
        <v>18020</v>
      </c>
      <c r="AV1820">
        <v>80.02</v>
      </c>
      <c r="AX1820" s="1">
        <v>1872</v>
      </c>
      <c r="AY1820" t="s">
        <v>5168</v>
      </c>
      <c r="AZ1820" t="s">
        <v>5168</v>
      </c>
      <c r="BA1820" t="s">
        <v>5109</v>
      </c>
      <c r="BE1820" s="3">
        <v>41810</v>
      </c>
      <c r="BF1820" s="1">
        <v>249821</v>
      </c>
      <c r="BG1820" t="s">
        <v>2289</v>
      </c>
      <c r="BH1820" s="1">
        <v>114.18</v>
      </c>
      <c r="BI1820" s="1">
        <v>257430</v>
      </c>
      <c r="BJ1820" s="3">
        <v>42156</v>
      </c>
      <c r="BK1820" t="s">
        <v>123</v>
      </c>
      <c r="BL1820" t="str">
        <f>"2015.386248"</f>
        <v>2015.386248</v>
      </c>
      <c r="BM1820" t="s">
        <v>750</v>
      </c>
      <c r="BO1820" t="s">
        <v>12372</v>
      </c>
      <c r="BS1820">
        <v>30</v>
      </c>
      <c r="BW1820" t="str">
        <f>""</f>
        <v/>
      </c>
      <c r="CH1820" t="str">
        <f>""</f>
        <v/>
      </c>
      <c r="CS1820" t="str">
        <f>""</f>
        <v/>
      </c>
    </row>
    <row r="1821" spans="1:97" x14ac:dyDescent="0.25">
      <c r="A1821" t="s">
        <v>12373</v>
      </c>
      <c r="B1821" t="s">
        <v>963</v>
      </c>
      <c r="E1821" t="s">
        <v>12374</v>
      </c>
      <c r="F1821" t="s">
        <v>108</v>
      </c>
      <c r="H1821" t="s">
        <v>12375</v>
      </c>
      <c r="I1821" t="s">
        <v>4251</v>
      </c>
      <c r="J1821" t="s">
        <v>111</v>
      </c>
      <c r="K1821" t="str">
        <f>"85353"</f>
        <v>85353</v>
      </c>
      <c r="L1821" t="s">
        <v>316</v>
      </c>
      <c r="M1821" t="s">
        <v>12375</v>
      </c>
      <c r="N1821" t="s">
        <v>4251</v>
      </c>
      <c r="O1821" t="s">
        <v>111</v>
      </c>
      <c r="P1821" t="str">
        <f>"85353-4417"</f>
        <v>85353-4417</v>
      </c>
      <c r="Q1821" t="s">
        <v>113</v>
      </c>
      <c r="R1821" t="str">
        <f>"101-39-419"</f>
        <v>101-39-419</v>
      </c>
      <c r="S1821" t="s">
        <v>7206</v>
      </c>
      <c r="T1821" t="s">
        <v>7206</v>
      </c>
      <c r="U1821">
        <v>2900</v>
      </c>
      <c r="V1821">
        <v>0</v>
      </c>
      <c r="W1821">
        <v>5</v>
      </c>
      <c r="X1821">
        <v>2013</v>
      </c>
      <c r="Z1821">
        <v>2</v>
      </c>
      <c r="AB1821">
        <v>0</v>
      </c>
      <c r="AC1821" t="s">
        <v>115</v>
      </c>
      <c r="AD1821">
        <v>3</v>
      </c>
      <c r="AE1821" t="s">
        <v>115</v>
      </c>
      <c r="AF1821">
        <v>0</v>
      </c>
      <c r="AG1821">
        <v>0</v>
      </c>
      <c r="AH1821" t="s">
        <v>116</v>
      </c>
      <c r="AI1821" s="1">
        <v>97715</v>
      </c>
      <c r="AJ1821" s="2">
        <v>0.3</v>
      </c>
      <c r="AK1821" s="1">
        <v>321515</v>
      </c>
      <c r="AL1821" t="s">
        <v>117</v>
      </c>
      <c r="AM1821" t="s">
        <v>191</v>
      </c>
      <c r="AN1821">
        <v>5500</v>
      </c>
      <c r="AO1821">
        <v>0.13</v>
      </c>
      <c r="AR1821">
        <v>1</v>
      </c>
      <c r="AS1821" s="1">
        <v>23020</v>
      </c>
      <c r="AT1821" s="1">
        <v>4600</v>
      </c>
      <c r="AU1821" s="1">
        <v>18420</v>
      </c>
      <c r="AV1821">
        <v>80.02</v>
      </c>
      <c r="AX1821" s="1">
        <v>2148.8000000000002</v>
      </c>
      <c r="AY1821" t="s">
        <v>4253</v>
      </c>
      <c r="AZ1821" t="s">
        <v>4253</v>
      </c>
      <c r="BA1821" t="s">
        <v>4254</v>
      </c>
      <c r="BE1821" s="3">
        <v>41757</v>
      </c>
      <c r="BF1821" s="1">
        <v>225032</v>
      </c>
      <c r="BG1821" t="s">
        <v>158</v>
      </c>
      <c r="BH1821" s="1">
        <v>77.599999999999994</v>
      </c>
      <c r="BI1821" s="1">
        <v>223800</v>
      </c>
      <c r="BJ1821" s="3">
        <v>42671</v>
      </c>
      <c r="BK1821" t="s">
        <v>123</v>
      </c>
      <c r="BL1821" t="str">
        <f>"2016.792973"</f>
        <v>2016.792973</v>
      </c>
      <c r="BM1821" t="s">
        <v>1707</v>
      </c>
      <c r="BO1821" t="s">
        <v>12376</v>
      </c>
      <c r="BS1821">
        <v>30</v>
      </c>
      <c r="BW1821" t="str">
        <f>""</f>
        <v/>
      </c>
      <c r="CH1821" t="str">
        <f>""</f>
        <v/>
      </c>
      <c r="CS1821" t="str">
        <f>""</f>
        <v/>
      </c>
    </row>
    <row r="1822" spans="1:97" x14ac:dyDescent="0.25">
      <c r="A1822" t="s">
        <v>12377</v>
      </c>
      <c r="B1822" t="s">
        <v>670</v>
      </c>
      <c r="C1822" t="s">
        <v>2276</v>
      </c>
      <c r="D1822" t="s">
        <v>670</v>
      </c>
      <c r="E1822" t="s">
        <v>12378</v>
      </c>
      <c r="F1822" t="s">
        <v>282</v>
      </c>
      <c r="H1822" t="s">
        <v>12379</v>
      </c>
      <c r="I1822" t="s">
        <v>225</v>
      </c>
      <c r="J1822" t="s">
        <v>111</v>
      </c>
      <c r="K1822" t="str">
        <f>"85206"</f>
        <v>85206</v>
      </c>
      <c r="L1822" t="s">
        <v>2963</v>
      </c>
      <c r="M1822" t="s">
        <v>12380</v>
      </c>
      <c r="N1822" t="s">
        <v>225</v>
      </c>
      <c r="O1822" t="s">
        <v>111</v>
      </c>
      <c r="P1822" t="str">
        <f>"85206-5418"</f>
        <v>85206-5418</v>
      </c>
      <c r="Q1822" t="s">
        <v>113</v>
      </c>
      <c r="R1822" t="str">
        <f>"141-83-428"</f>
        <v>141-83-428</v>
      </c>
      <c r="S1822" t="s">
        <v>12381</v>
      </c>
      <c r="T1822" t="s">
        <v>12382</v>
      </c>
      <c r="U1822">
        <v>1848</v>
      </c>
      <c r="V1822">
        <v>0</v>
      </c>
      <c r="W1822">
        <v>3</v>
      </c>
      <c r="X1822">
        <v>1987</v>
      </c>
      <c r="Z1822">
        <v>1</v>
      </c>
      <c r="AB1822">
        <v>0</v>
      </c>
      <c r="AC1822" t="s">
        <v>115</v>
      </c>
      <c r="AD1822">
        <v>2</v>
      </c>
      <c r="AE1822" t="s">
        <v>115</v>
      </c>
      <c r="AF1822">
        <v>0</v>
      </c>
      <c r="AG1822">
        <v>0</v>
      </c>
      <c r="AH1822" t="s">
        <v>116</v>
      </c>
      <c r="AI1822" s="1">
        <v>73777</v>
      </c>
      <c r="AJ1822" s="2">
        <v>0.26</v>
      </c>
      <c r="AK1822" s="1">
        <v>288957</v>
      </c>
      <c r="AL1822" t="s">
        <v>117</v>
      </c>
      <c r="AM1822" t="s">
        <v>191</v>
      </c>
      <c r="AN1822">
        <v>8668</v>
      </c>
      <c r="AO1822">
        <v>0.2</v>
      </c>
      <c r="AP1822">
        <v>1</v>
      </c>
      <c r="AR1822">
        <v>1</v>
      </c>
      <c r="AS1822" s="1">
        <v>20160</v>
      </c>
      <c r="AT1822" s="1">
        <v>4030</v>
      </c>
      <c r="AU1822" s="1">
        <v>16130</v>
      </c>
      <c r="AV1822">
        <v>80.010000000000005</v>
      </c>
      <c r="AX1822" s="1">
        <v>2207.2800000000002</v>
      </c>
      <c r="AY1822" t="s">
        <v>230</v>
      </c>
      <c r="AZ1822" t="s">
        <v>231</v>
      </c>
      <c r="BA1822" t="s">
        <v>232</v>
      </c>
      <c r="BE1822" s="3">
        <v>42146</v>
      </c>
      <c r="BF1822" s="1">
        <v>232000</v>
      </c>
      <c r="BG1822" t="s">
        <v>12383</v>
      </c>
      <c r="BH1822" s="1">
        <v>125.54</v>
      </c>
      <c r="BI1822" s="1">
        <v>215180</v>
      </c>
      <c r="BJ1822" s="3">
        <v>42146</v>
      </c>
      <c r="BK1822" t="s">
        <v>123</v>
      </c>
      <c r="BL1822" t="str">
        <f>"2015.364678"</f>
        <v>2015.364678</v>
      </c>
      <c r="BM1822" t="s">
        <v>8916</v>
      </c>
      <c r="BN1822" t="s">
        <v>8917</v>
      </c>
      <c r="BO1822" t="s">
        <v>12384</v>
      </c>
      <c r="BS1822">
        <v>30</v>
      </c>
      <c r="BW1822" t="str">
        <f>""</f>
        <v/>
      </c>
      <c r="CH1822" t="str">
        <f>""</f>
        <v/>
      </c>
      <c r="CS1822" t="str">
        <f>""</f>
        <v/>
      </c>
    </row>
    <row r="1823" spans="1:97" x14ac:dyDescent="0.25">
      <c r="A1823" t="s">
        <v>220</v>
      </c>
      <c r="B1823" t="s">
        <v>12385</v>
      </c>
      <c r="C1823" t="s">
        <v>11648</v>
      </c>
      <c r="D1823" t="s">
        <v>12385</v>
      </c>
      <c r="E1823" t="s">
        <v>12386</v>
      </c>
      <c r="F1823" t="s">
        <v>108</v>
      </c>
      <c r="H1823" t="s">
        <v>12387</v>
      </c>
      <c r="I1823" t="s">
        <v>632</v>
      </c>
      <c r="J1823" t="s">
        <v>111</v>
      </c>
      <c r="K1823" t="str">
        <f>"85379"</f>
        <v>85379</v>
      </c>
      <c r="L1823" t="s">
        <v>375</v>
      </c>
      <c r="M1823" t="s">
        <v>12387</v>
      </c>
      <c r="N1823" t="s">
        <v>632</v>
      </c>
      <c r="O1823" t="s">
        <v>111</v>
      </c>
      <c r="P1823" t="str">
        <f>"85379-9177"</f>
        <v>85379-9177</v>
      </c>
      <c r="Q1823" t="s">
        <v>113</v>
      </c>
      <c r="R1823" t="str">
        <f>"501-46-216"</f>
        <v>501-46-216</v>
      </c>
      <c r="S1823" t="s">
        <v>5508</v>
      </c>
      <c r="U1823">
        <v>2342</v>
      </c>
      <c r="V1823">
        <v>0</v>
      </c>
      <c r="W1823">
        <v>4</v>
      </c>
      <c r="X1823">
        <v>2016</v>
      </c>
      <c r="Z1823">
        <v>1</v>
      </c>
      <c r="AB1823">
        <v>0</v>
      </c>
      <c r="AC1823" t="s">
        <v>115</v>
      </c>
      <c r="AD1823">
        <v>3</v>
      </c>
      <c r="AE1823" t="s">
        <v>115</v>
      </c>
      <c r="AF1823">
        <v>0</v>
      </c>
      <c r="AG1823">
        <v>0</v>
      </c>
      <c r="AH1823" t="s">
        <v>116</v>
      </c>
      <c r="AI1823" s="1">
        <v>70816</v>
      </c>
      <c r="AJ1823" s="2">
        <v>0.21</v>
      </c>
      <c r="AK1823" s="1">
        <v>342379</v>
      </c>
      <c r="AL1823" t="s">
        <v>117</v>
      </c>
      <c r="AM1823" t="s">
        <v>118</v>
      </c>
      <c r="AN1823">
        <v>7800</v>
      </c>
      <c r="AO1823">
        <v>0.18</v>
      </c>
      <c r="AR1823">
        <v>1</v>
      </c>
      <c r="AS1823" s="1">
        <v>26630</v>
      </c>
      <c r="AT1823" s="1">
        <v>5320</v>
      </c>
      <c r="AU1823" s="1">
        <v>21310</v>
      </c>
      <c r="AV1823">
        <v>80.02</v>
      </c>
      <c r="AX1823" s="1">
        <v>2830.82</v>
      </c>
      <c r="AY1823" t="s">
        <v>634</v>
      </c>
      <c r="AZ1823" t="s">
        <v>634</v>
      </c>
      <c r="BA1823" t="s">
        <v>635</v>
      </c>
      <c r="BE1823" s="3">
        <v>42531</v>
      </c>
      <c r="BF1823" s="1">
        <v>271563</v>
      </c>
      <c r="BG1823" t="s">
        <v>158</v>
      </c>
      <c r="BH1823" s="1">
        <v>115.95</v>
      </c>
      <c r="BI1823" s="1">
        <v>271563</v>
      </c>
      <c r="BJ1823" s="3">
        <v>42531</v>
      </c>
      <c r="BK1823" t="s">
        <v>123</v>
      </c>
      <c r="BL1823" t="str">
        <f>"2016.403414"</f>
        <v>2016.403414</v>
      </c>
      <c r="BM1823" t="s">
        <v>241</v>
      </c>
      <c r="BO1823" t="s">
        <v>12388</v>
      </c>
      <c r="BS1823">
        <v>30</v>
      </c>
      <c r="BW1823" t="str">
        <f>""</f>
        <v/>
      </c>
      <c r="CH1823" t="str">
        <f>""</f>
        <v/>
      </c>
      <c r="CS1823" t="str">
        <f>""</f>
        <v/>
      </c>
    </row>
    <row r="1824" spans="1:97" x14ac:dyDescent="0.25">
      <c r="A1824" t="s">
        <v>1272</v>
      </c>
      <c r="B1824" t="s">
        <v>12389</v>
      </c>
      <c r="E1824" t="s">
        <v>12390</v>
      </c>
      <c r="F1824" t="s">
        <v>108</v>
      </c>
      <c r="H1824" t="s">
        <v>12391</v>
      </c>
      <c r="I1824" t="s">
        <v>225</v>
      </c>
      <c r="J1824" t="s">
        <v>111</v>
      </c>
      <c r="K1824" t="str">
        <f>"85206"</f>
        <v>85206</v>
      </c>
      <c r="L1824" t="s">
        <v>6631</v>
      </c>
      <c r="M1824" t="s">
        <v>12391</v>
      </c>
      <c r="N1824" t="s">
        <v>225</v>
      </c>
      <c r="O1824" t="s">
        <v>111</v>
      </c>
      <c r="P1824" t="str">
        <f>"85206-4125"</f>
        <v>85206-4125</v>
      </c>
      <c r="Q1824" t="s">
        <v>113</v>
      </c>
      <c r="R1824" t="str">
        <f>"140-35-486"</f>
        <v>140-35-486</v>
      </c>
      <c r="S1824" t="s">
        <v>12392</v>
      </c>
      <c r="T1824" t="s">
        <v>12393</v>
      </c>
      <c r="U1824">
        <v>1906</v>
      </c>
      <c r="V1824">
        <v>0</v>
      </c>
      <c r="W1824">
        <v>3</v>
      </c>
      <c r="X1824">
        <v>1996</v>
      </c>
      <c r="Z1824">
        <v>2</v>
      </c>
      <c r="AA1824" t="s">
        <v>26</v>
      </c>
      <c r="AB1824">
        <v>0</v>
      </c>
      <c r="AC1824" t="s">
        <v>115</v>
      </c>
      <c r="AD1824">
        <v>2</v>
      </c>
      <c r="AE1824" t="s">
        <v>115</v>
      </c>
      <c r="AF1824">
        <v>0</v>
      </c>
      <c r="AG1824">
        <v>0</v>
      </c>
      <c r="AH1824" t="s">
        <v>116</v>
      </c>
      <c r="AI1824" s="1">
        <v>15276</v>
      </c>
      <c r="AJ1824" s="2">
        <v>0.05</v>
      </c>
      <c r="AK1824" s="1">
        <v>295276</v>
      </c>
      <c r="AL1824" t="s">
        <v>117</v>
      </c>
      <c r="AM1824" t="s">
        <v>191</v>
      </c>
      <c r="AN1824">
        <v>6232</v>
      </c>
      <c r="AO1824">
        <v>0.14000000000000001</v>
      </c>
      <c r="AP1824">
        <v>1</v>
      </c>
      <c r="AR1824">
        <v>1</v>
      </c>
      <c r="AS1824" s="1">
        <v>20280</v>
      </c>
      <c r="AT1824" s="1">
        <v>4050</v>
      </c>
      <c r="AU1824" s="1">
        <v>16230</v>
      </c>
      <c r="AV1824">
        <v>80.03</v>
      </c>
      <c r="AX1824" s="1">
        <v>1644.36</v>
      </c>
      <c r="AY1824" t="s">
        <v>230</v>
      </c>
      <c r="AZ1824" t="s">
        <v>5158</v>
      </c>
      <c r="BA1824" t="s">
        <v>5159</v>
      </c>
      <c r="BB1824" s="3">
        <v>42944</v>
      </c>
      <c r="BD1824" t="s">
        <v>157</v>
      </c>
      <c r="BE1824" s="3">
        <v>41859</v>
      </c>
      <c r="BF1824" s="1">
        <v>215000</v>
      </c>
      <c r="BG1824" t="s">
        <v>12394</v>
      </c>
      <c r="BH1824" s="1">
        <v>112.8</v>
      </c>
      <c r="BI1824" s="1">
        <v>280000</v>
      </c>
      <c r="BJ1824" s="3">
        <v>43461</v>
      </c>
      <c r="BK1824" t="s">
        <v>123</v>
      </c>
      <c r="BL1824" t="str">
        <f>"2018.947505"</f>
        <v>2018.947505</v>
      </c>
      <c r="BM1824" t="s">
        <v>8671</v>
      </c>
      <c r="BN1824" t="s">
        <v>8672</v>
      </c>
      <c r="BO1824" t="s">
        <v>12395</v>
      </c>
      <c r="BR1824" t="s">
        <v>139</v>
      </c>
      <c r="BW1824" t="str">
        <f>""</f>
        <v/>
      </c>
      <c r="CH1824" t="str">
        <f>""</f>
        <v/>
      </c>
      <c r="CS1824" t="str">
        <f>""</f>
        <v/>
      </c>
    </row>
    <row r="1825" spans="1:97" x14ac:dyDescent="0.25">
      <c r="A1825" t="s">
        <v>996</v>
      </c>
      <c r="B1825" t="s">
        <v>12396</v>
      </c>
      <c r="C1825" t="s">
        <v>12397</v>
      </c>
      <c r="D1825" t="s">
        <v>12396</v>
      </c>
      <c r="E1825" t="s">
        <v>12398</v>
      </c>
      <c r="F1825" t="s">
        <v>108</v>
      </c>
      <c r="H1825" t="s">
        <v>12399</v>
      </c>
      <c r="I1825" t="s">
        <v>5551</v>
      </c>
      <c r="J1825" t="s">
        <v>111</v>
      </c>
      <c r="K1825" t="str">
        <f>"85248"</f>
        <v>85248</v>
      </c>
      <c r="L1825" t="s">
        <v>5367</v>
      </c>
      <c r="M1825" t="s">
        <v>12399</v>
      </c>
      <c r="N1825" t="s">
        <v>5551</v>
      </c>
      <c r="O1825" t="s">
        <v>111</v>
      </c>
      <c r="P1825" t="str">
        <f>"85248-6854"</f>
        <v>85248-6854</v>
      </c>
      <c r="Q1825" t="s">
        <v>113</v>
      </c>
      <c r="R1825" t="str">
        <f>"303-59-261"</f>
        <v>303-59-261</v>
      </c>
      <c r="S1825" t="s">
        <v>11739</v>
      </c>
      <c r="U1825">
        <v>1922</v>
      </c>
      <c r="V1825">
        <v>0</v>
      </c>
      <c r="W1825">
        <v>3</v>
      </c>
      <c r="X1825">
        <v>1984</v>
      </c>
      <c r="Z1825">
        <v>1</v>
      </c>
      <c r="AB1825">
        <v>0</v>
      </c>
      <c r="AC1825" t="s">
        <v>115</v>
      </c>
      <c r="AD1825">
        <v>2</v>
      </c>
      <c r="AE1825" t="s">
        <v>115</v>
      </c>
      <c r="AF1825">
        <v>0</v>
      </c>
      <c r="AG1825">
        <v>0</v>
      </c>
      <c r="AH1825" t="s">
        <v>116</v>
      </c>
      <c r="AI1825" s="1">
        <v>57964</v>
      </c>
      <c r="AJ1825" s="2">
        <v>0.18</v>
      </c>
      <c r="AK1825" s="1">
        <v>314549</v>
      </c>
      <c r="AL1825" t="s">
        <v>117</v>
      </c>
      <c r="AM1825" t="s">
        <v>191</v>
      </c>
      <c r="AN1825">
        <v>8721</v>
      </c>
      <c r="AO1825">
        <v>0.2</v>
      </c>
      <c r="AP1825">
        <v>1</v>
      </c>
      <c r="AR1825">
        <v>1</v>
      </c>
      <c r="AS1825" s="1">
        <v>20950</v>
      </c>
      <c r="AT1825" s="1">
        <v>4190</v>
      </c>
      <c r="AU1825" s="1">
        <v>16760</v>
      </c>
      <c r="AV1825">
        <v>80</v>
      </c>
      <c r="AX1825" s="1">
        <v>2135.3000000000002</v>
      </c>
      <c r="AY1825" t="s">
        <v>1881</v>
      </c>
      <c r="AZ1825" t="s">
        <v>1882</v>
      </c>
      <c r="BA1825" t="s">
        <v>121</v>
      </c>
      <c r="BE1825" s="3">
        <v>42412</v>
      </c>
      <c r="BF1825" s="1">
        <v>250000</v>
      </c>
      <c r="BG1825" t="s">
        <v>12400</v>
      </c>
      <c r="BH1825" s="1">
        <v>130.07</v>
      </c>
      <c r="BI1825" s="1">
        <v>256585</v>
      </c>
      <c r="BJ1825" s="3">
        <v>42712</v>
      </c>
      <c r="BK1825" t="s">
        <v>123</v>
      </c>
      <c r="BL1825" t="str">
        <f>"2016.905534"</f>
        <v>2016.905534</v>
      </c>
      <c r="BM1825" t="s">
        <v>2378</v>
      </c>
      <c r="BO1825" t="s">
        <v>12401</v>
      </c>
      <c r="BS1825">
        <v>30</v>
      </c>
      <c r="BW1825" t="str">
        <f>""</f>
        <v/>
      </c>
      <c r="CH1825" t="str">
        <f>""</f>
        <v/>
      </c>
      <c r="CS1825" t="str">
        <f>""</f>
        <v/>
      </c>
    </row>
    <row r="1826" spans="1:97" x14ac:dyDescent="0.25">
      <c r="A1826" t="s">
        <v>3613</v>
      </c>
      <c r="B1826" t="s">
        <v>12402</v>
      </c>
      <c r="C1826" t="s">
        <v>2575</v>
      </c>
      <c r="D1826" t="s">
        <v>12402</v>
      </c>
      <c r="E1826" t="s">
        <v>12403</v>
      </c>
      <c r="F1826" t="s">
        <v>108</v>
      </c>
      <c r="H1826" t="s">
        <v>12404</v>
      </c>
      <c r="I1826" t="s">
        <v>632</v>
      </c>
      <c r="J1826" t="s">
        <v>111</v>
      </c>
      <c r="K1826" t="str">
        <f>"85374"</f>
        <v>85374</v>
      </c>
      <c r="L1826" t="s">
        <v>7746</v>
      </c>
      <c r="M1826" t="s">
        <v>12404</v>
      </c>
      <c r="N1826" t="s">
        <v>632</v>
      </c>
      <c r="O1826" t="s">
        <v>111</v>
      </c>
      <c r="P1826" t="str">
        <f>"85374-4805"</f>
        <v>85374-4805</v>
      </c>
      <c r="Q1826" t="s">
        <v>113</v>
      </c>
      <c r="R1826" t="str">
        <f>"232-36-337"</f>
        <v>232-36-337</v>
      </c>
      <c r="S1826" t="s">
        <v>12405</v>
      </c>
      <c r="T1826" t="s">
        <v>12406</v>
      </c>
      <c r="U1826">
        <v>1667</v>
      </c>
      <c r="V1826">
        <v>0</v>
      </c>
      <c r="W1826">
        <v>3</v>
      </c>
      <c r="X1826">
        <v>1997</v>
      </c>
      <c r="Z1826">
        <v>1</v>
      </c>
      <c r="AB1826">
        <v>0</v>
      </c>
      <c r="AC1826" t="s">
        <v>115</v>
      </c>
      <c r="AD1826">
        <v>2</v>
      </c>
      <c r="AE1826" t="s">
        <v>115</v>
      </c>
      <c r="AF1826">
        <v>0</v>
      </c>
      <c r="AG1826">
        <v>0</v>
      </c>
      <c r="AH1826" t="s">
        <v>116</v>
      </c>
      <c r="AI1826" s="1">
        <v>38256</v>
      </c>
      <c r="AJ1826" s="2">
        <v>0.16</v>
      </c>
      <c r="AK1826" s="1">
        <v>246256</v>
      </c>
      <c r="AL1826" t="s">
        <v>117</v>
      </c>
      <c r="AM1826" t="s">
        <v>118</v>
      </c>
      <c r="AN1826">
        <v>8764</v>
      </c>
      <c r="AO1826">
        <v>0.2</v>
      </c>
      <c r="AP1826">
        <v>1</v>
      </c>
      <c r="AR1826">
        <v>1</v>
      </c>
      <c r="AS1826" s="1">
        <v>15520</v>
      </c>
      <c r="AT1826" s="1">
        <v>3100</v>
      </c>
      <c r="AU1826" s="1">
        <v>12420</v>
      </c>
      <c r="AV1826">
        <v>80.03</v>
      </c>
      <c r="AX1826" s="1">
        <v>1078.98</v>
      </c>
      <c r="AY1826" t="s">
        <v>5108</v>
      </c>
      <c r="AZ1826" t="s">
        <v>5108</v>
      </c>
      <c r="BA1826" t="s">
        <v>5109</v>
      </c>
      <c r="BE1826" s="3">
        <v>42501</v>
      </c>
      <c r="BF1826" s="1">
        <v>208000</v>
      </c>
      <c r="BG1826" t="s">
        <v>12407</v>
      </c>
      <c r="BH1826" s="1">
        <v>124.78</v>
      </c>
      <c r="BI1826" s="1">
        <v>208000</v>
      </c>
      <c r="BJ1826" s="3">
        <v>42501</v>
      </c>
      <c r="BK1826" t="s">
        <v>123</v>
      </c>
      <c r="BL1826" t="str">
        <f>"2016.322648"</f>
        <v>2016.322648</v>
      </c>
      <c r="BM1826" t="s">
        <v>12408</v>
      </c>
      <c r="BO1826" t="s">
        <v>12409</v>
      </c>
      <c r="BS1826">
        <v>30</v>
      </c>
      <c r="BW1826" t="str">
        <f>""</f>
        <v/>
      </c>
      <c r="CH1826" t="str">
        <f>""</f>
        <v/>
      </c>
      <c r="CS1826" t="str">
        <f>""</f>
        <v/>
      </c>
    </row>
    <row r="1827" spans="1:97" x14ac:dyDescent="0.25">
      <c r="A1827" t="s">
        <v>305</v>
      </c>
      <c r="B1827" t="s">
        <v>12410</v>
      </c>
      <c r="E1827" t="s">
        <v>12411</v>
      </c>
      <c r="F1827" t="s">
        <v>108</v>
      </c>
      <c r="H1827" t="s">
        <v>12412</v>
      </c>
      <c r="I1827" t="s">
        <v>390</v>
      </c>
      <c r="J1827" t="s">
        <v>111</v>
      </c>
      <c r="K1827" t="str">
        <f>"85085"</f>
        <v>85085</v>
      </c>
      <c r="L1827" t="s">
        <v>3318</v>
      </c>
      <c r="M1827" t="s">
        <v>12412</v>
      </c>
      <c r="N1827" t="s">
        <v>390</v>
      </c>
      <c r="O1827" t="s">
        <v>111</v>
      </c>
      <c r="P1827" t="str">
        <f>"85085"</f>
        <v>85085</v>
      </c>
      <c r="Q1827" t="s">
        <v>113</v>
      </c>
      <c r="R1827" t="str">
        <f>"204-24-480"</f>
        <v>204-24-480</v>
      </c>
      <c r="S1827" t="s">
        <v>12413</v>
      </c>
      <c r="T1827" t="s">
        <v>9959</v>
      </c>
      <c r="U1827">
        <v>1844</v>
      </c>
      <c r="V1827">
        <v>0</v>
      </c>
      <c r="W1827">
        <v>3</v>
      </c>
      <c r="X1827">
        <v>2007</v>
      </c>
      <c r="Z1827">
        <v>1</v>
      </c>
      <c r="AA1827" t="s">
        <v>26</v>
      </c>
      <c r="AB1827">
        <v>0</v>
      </c>
      <c r="AC1827" t="s">
        <v>115</v>
      </c>
      <c r="AD1827">
        <v>2</v>
      </c>
      <c r="AE1827" t="s">
        <v>115</v>
      </c>
      <c r="AF1827">
        <v>0</v>
      </c>
      <c r="AG1827">
        <v>0</v>
      </c>
      <c r="AH1827" t="s">
        <v>116</v>
      </c>
      <c r="AI1827" s="1">
        <v>55855</v>
      </c>
      <c r="AJ1827" s="2">
        <v>0.16</v>
      </c>
      <c r="AK1827" s="1">
        <v>343407</v>
      </c>
      <c r="AL1827" t="s">
        <v>117</v>
      </c>
      <c r="AM1827" t="s">
        <v>191</v>
      </c>
      <c r="AN1827">
        <v>5903</v>
      </c>
      <c r="AO1827">
        <v>0.14000000000000001</v>
      </c>
      <c r="AR1827">
        <v>1</v>
      </c>
      <c r="AS1827" s="1">
        <v>24480</v>
      </c>
      <c r="AT1827" s="1">
        <v>4890</v>
      </c>
      <c r="AU1827" s="1">
        <v>19590</v>
      </c>
      <c r="AV1827">
        <v>80.02</v>
      </c>
      <c r="AX1827" s="1">
        <v>2112.96</v>
      </c>
      <c r="AY1827" t="s">
        <v>2651</v>
      </c>
      <c r="AZ1827" t="s">
        <v>2651</v>
      </c>
      <c r="BA1827" t="s">
        <v>1462</v>
      </c>
      <c r="BE1827" s="3">
        <v>42207</v>
      </c>
      <c r="BF1827" s="1">
        <v>281500</v>
      </c>
      <c r="BG1827" t="s">
        <v>12414</v>
      </c>
      <c r="BH1827" s="1">
        <v>152.66</v>
      </c>
      <c r="BI1827" s="1">
        <v>287552</v>
      </c>
      <c r="BJ1827" s="3">
        <v>42207</v>
      </c>
      <c r="BK1827" t="s">
        <v>123</v>
      </c>
      <c r="BL1827" t="str">
        <f>"2015.526309"</f>
        <v>2015.526309</v>
      </c>
      <c r="BM1827" t="s">
        <v>1325</v>
      </c>
      <c r="BO1827" t="s">
        <v>12415</v>
      </c>
      <c r="BS1827">
        <v>30</v>
      </c>
      <c r="BW1827" t="str">
        <f>""</f>
        <v/>
      </c>
      <c r="CH1827" t="str">
        <f>""</f>
        <v/>
      </c>
      <c r="CS1827" t="str">
        <f>""</f>
        <v/>
      </c>
    </row>
    <row r="1828" spans="1:97" x14ac:dyDescent="0.25">
      <c r="A1828" t="s">
        <v>1208</v>
      </c>
      <c r="B1828" t="s">
        <v>11434</v>
      </c>
      <c r="C1828" t="s">
        <v>4515</v>
      </c>
      <c r="D1828" t="s">
        <v>11434</v>
      </c>
      <c r="E1828" t="s">
        <v>12416</v>
      </c>
      <c r="F1828" t="s">
        <v>108</v>
      </c>
      <c r="H1828" t="s">
        <v>12417</v>
      </c>
      <c r="I1828" t="s">
        <v>499</v>
      </c>
      <c r="J1828" t="s">
        <v>111</v>
      </c>
      <c r="K1828" t="str">
        <f>"85338"</f>
        <v>85338</v>
      </c>
      <c r="L1828" t="s">
        <v>5775</v>
      </c>
      <c r="M1828" t="s">
        <v>12417</v>
      </c>
      <c r="N1828" t="s">
        <v>499</v>
      </c>
      <c r="O1828" t="s">
        <v>111</v>
      </c>
      <c r="P1828" t="str">
        <f>"85338-3244"</f>
        <v>85338-3244</v>
      </c>
      <c r="Q1828" t="s">
        <v>113</v>
      </c>
      <c r="R1828" t="str">
        <f>"500-10-603"</f>
        <v>500-10-603</v>
      </c>
      <c r="S1828" t="s">
        <v>9551</v>
      </c>
      <c r="T1828" t="s">
        <v>9551</v>
      </c>
      <c r="U1828">
        <v>2309</v>
      </c>
      <c r="V1828">
        <v>0</v>
      </c>
      <c r="W1828">
        <v>3</v>
      </c>
      <c r="X1828">
        <v>2015</v>
      </c>
      <c r="Z1828">
        <v>1</v>
      </c>
      <c r="AB1828">
        <v>0</v>
      </c>
      <c r="AC1828" t="s">
        <v>115</v>
      </c>
      <c r="AD1828">
        <v>2</v>
      </c>
      <c r="AE1828" t="s">
        <v>115</v>
      </c>
      <c r="AF1828">
        <v>0</v>
      </c>
      <c r="AG1828">
        <v>0</v>
      </c>
      <c r="AH1828" t="s">
        <v>116</v>
      </c>
      <c r="AI1828" s="1">
        <v>34644</v>
      </c>
      <c r="AJ1828" s="2">
        <v>0.11</v>
      </c>
      <c r="AK1828" s="1">
        <v>319535</v>
      </c>
      <c r="AL1828" t="s">
        <v>117</v>
      </c>
      <c r="AM1828" t="s">
        <v>118</v>
      </c>
      <c r="AN1828">
        <v>6900</v>
      </c>
      <c r="AO1828">
        <v>0.16</v>
      </c>
      <c r="AR1828">
        <v>1</v>
      </c>
      <c r="AS1828" s="1">
        <v>22950</v>
      </c>
      <c r="AT1828" s="1">
        <v>4590</v>
      </c>
      <c r="AU1828" s="1">
        <v>18360</v>
      </c>
      <c r="AV1828">
        <v>80</v>
      </c>
      <c r="AX1828" s="1">
        <v>1978.28</v>
      </c>
      <c r="AY1828" t="s">
        <v>4311</v>
      </c>
      <c r="AZ1828" t="s">
        <v>4311</v>
      </c>
      <c r="BA1828" t="s">
        <v>7186</v>
      </c>
      <c r="BE1828" s="3">
        <v>42152</v>
      </c>
      <c r="BF1828" s="1">
        <v>278895</v>
      </c>
      <c r="BG1828" t="s">
        <v>158</v>
      </c>
      <c r="BH1828" s="1">
        <v>120.79</v>
      </c>
      <c r="BI1828" s="1">
        <v>284891</v>
      </c>
      <c r="BJ1828" s="3">
        <v>42152</v>
      </c>
      <c r="BK1828" t="s">
        <v>123</v>
      </c>
      <c r="BL1828" t="str">
        <f>"2015.376986"</f>
        <v>2015.376986</v>
      </c>
      <c r="BM1828" t="s">
        <v>241</v>
      </c>
      <c r="BO1828" t="s">
        <v>12418</v>
      </c>
      <c r="BS1828">
        <v>30</v>
      </c>
      <c r="BW1828" t="str">
        <f>""</f>
        <v/>
      </c>
      <c r="CH1828" t="str">
        <f>""</f>
        <v/>
      </c>
      <c r="CS1828" t="str">
        <f>""</f>
        <v/>
      </c>
    </row>
    <row r="1829" spans="1:97" x14ac:dyDescent="0.25">
      <c r="A1829" t="s">
        <v>12419</v>
      </c>
      <c r="B1829" t="s">
        <v>478</v>
      </c>
      <c r="C1829" t="s">
        <v>12420</v>
      </c>
      <c r="D1829" t="s">
        <v>478</v>
      </c>
      <c r="E1829" t="s">
        <v>12421</v>
      </c>
      <c r="F1829" t="s">
        <v>108</v>
      </c>
      <c r="H1829" t="s">
        <v>12422</v>
      </c>
      <c r="I1829" t="s">
        <v>3150</v>
      </c>
      <c r="J1829" t="s">
        <v>111</v>
      </c>
      <c r="K1829" t="str">
        <f>"85340"</f>
        <v>85340</v>
      </c>
      <c r="L1829" t="s">
        <v>168</v>
      </c>
      <c r="M1829" t="s">
        <v>12422</v>
      </c>
      <c r="N1829" t="s">
        <v>3150</v>
      </c>
      <c r="O1829" t="s">
        <v>111</v>
      </c>
      <c r="P1829" t="str">
        <f>"85340-5546"</f>
        <v>85340-5546</v>
      </c>
      <c r="Q1829" t="s">
        <v>113</v>
      </c>
      <c r="R1829" t="str">
        <f>"508-11-214"</f>
        <v>508-11-214</v>
      </c>
      <c r="S1829" t="s">
        <v>12423</v>
      </c>
      <c r="U1829">
        <v>2166</v>
      </c>
      <c r="V1829">
        <v>0</v>
      </c>
      <c r="W1829">
        <v>3</v>
      </c>
      <c r="X1829">
        <v>2003</v>
      </c>
      <c r="Z1829">
        <v>1</v>
      </c>
      <c r="AB1829">
        <v>0</v>
      </c>
      <c r="AC1829" t="s">
        <v>115</v>
      </c>
      <c r="AD1829">
        <v>2</v>
      </c>
      <c r="AE1829" t="s">
        <v>115</v>
      </c>
      <c r="AF1829">
        <v>0</v>
      </c>
      <c r="AG1829">
        <v>0</v>
      </c>
      <c r="AH1829" t="s">
        <v>116</v>
      </c>
      <c r="AI1829" s="1">
        <v>45627</v>
      </c>
      <c r="AJ1829" s="2">
        <v>0.16</v>
      </c>
      <c r="AK1829" s="1">
        <v>288382</v>
      </c>
      <c r="AL1829" t="s">
        <v>117</v>
      </c>
      <c r="AM1829" t="s">
        <v>171</v>
      </c>
      <c r="AN1829">
        <v>9144</v>
      </c>
      <c r="AO1829">
        <v>0.21</v>
      </c>
      <c r="AP1829">
        <v>1</v>
      </c>
      <c r="AR1829">
        <v>1</v>
      </c>
      <c r="AS1829" s="1">
        <v>20160</v>
      </c>
      <c r="AT1829" s="1">
        <v>4030</v>
      </c>
      <c r="AU1829" s="1">
        <v>16130</v>
      </c>
      <c r="AV1829">
        <v>80.010000000000005</v>
      </c>
      <c r="AX1829" s="1">
        <v>1952.52</v>
      </c>
      <c r="AY1829" t="s">
        <v>6700</v>
      </c>
      <c r="AZ1829" t="s">
        <v>6701</v>
      </c>
      <c r="BA1829" t="s">
        <v>6702</v>
      </c>
      <c r="BE1829" s="3">
        <v>41788</v>
      </c>
      <c r="BF1829" s="1">
        <v>195000</v>
      </c>
      <c r="BG1829" t="s">
        <v>12424</v>
      </c>
      <c r="BH1829" s="1">
        <v>90.03</v>
      </c>
      <c r="BI1829" s="1">
        <v>242755</v>
      </c>
      <c r="BJ1829" s="3">
        <v>43231</v>
      </c>
      <c r="BK1829" t="s">
        <v>123</v>
      </c>
      <c r="BL1829" t="str">
        <f>"2018.361256"</f>
        <v>2018.361256</v>
      </c>
      <c r="BM1829" t="s">
        <v>7319</v>
      </c>
      <c r="BN1829" t="s">
        <v>7320</v>
      </c>
      <c r="BO1829" t="s">
        <v>12425</v>
      </c>
      <c r="BP1829" t="s">
        <v>12426</v>
      </c>
      <c r="BR1829" t="s">
        <v>139</v>
      </c>
      <c r="BW1829" t="str">
        <f>""</f>
        <v/>
      </c>
      <c r="CH1829" t="str">
        <f>""</f>
        <v/>
      </c>
      <c r="CS1829" t="str">
        <f>""</f>
        <v/>
      </c>
    </row>
    <row r="1830" spans="1:97" x14ac:dyDescent="0.25">
      <c r="A1830" t="s">
        <v>464</v>
      </c>
      <c r="B1830" t="s">
        <v>12427</v>
      </c>
      <c r="E1830" t="s">
        <v>12428</v>
      </c>
      <c r="F1830" t="s">
        <v>282</v>
      </c>
      <c r="H1830" t="s">
        <v>12429</v>
      </c>
      <c r="I1830" t="s">
        <v>390</v>
      </c>
      <c r="J1830" t="s">
        <v>111</v>
      </c>
      <c r="K1830" t="str">
        <f>"85007"</f>
        <v>85007</v>
      </c>
      <c r="L1830" t="s">
        <v>5709</v>
      </c>
      <c r="M1830" t="s">
        <v>12430</v>
      </c>
      <c r="N1830" t="s">
        <v>390</v>
      </c>
      <c r="O1830" t="s">
        <v>111</v>
      </c>
      <c r="P1830" t="str">
        <f>"85012-2005"</f>
        <v>85012-2005</v>
      </c>
      <c r="Q1830" t="s">
        <v>113</v>
      </c>
      <c r="R1830" t="str">
        <f>"112-03-073"</f>
        <v>112-03-073</v>
      </c>
      <c r="S1830" t="s">
        <v>12431</v>
      </c>
      <c r="T1830" t="s">
        <v>12431</v>
      </c>
      <c r="U1830">
        <v>1150</v>
      </c>
      <c r="V1830">
        <v>0</v>
      </c>
      <c r="W1830">
        <v>2</v>
      </c>
      <c r="X1830">
        <v>1926</v>
      </c>
      <c r="Z1830">
        <v>1</v>
      </c>
      <c r="AB1830">
        <v>0</v>
      </c>
      <c r="AC1830" t="s">
        <v>7038</v>
      </c>
      <c r="AD1830">
        <v>0</v>
      </c>
      <c r="AE1830" t="s">
        <v>7038</v>
      </c>
      <c r="AF1830">
        <v>0</v>
      </c>
      <c r="AG1830">
        <v>0</v>
      </c>
      <c r="AH1830" t="s">
        <v>116</v>
      </c>
      <c r="AI1830" s="1">
        <v>48157</v>
      </c>
      <c r="AJ1830" s="2">
        <v>0.16</v>
      </c>
      <c r="AK1830" s="1">
        <v>308639</v>
      </c>
      <c r="AL1830" t="s">
        <v>117</v>
      </c>
      <c r="AM1830" t="s">
        <v>229</v>
      </c>
      <c r="AN1830">
        <v>6250</v>
      </c>
      <c r="AO1830">
        <v>0.14000000000000001</v>
      </c>
      <c r="AP1830">
        <v>1</v>
      </c>
      <c r="AR1830">
        <v>1</v>
      </c>
      <c r="AS1830" s="1">
        <v>19800</v>
      </c>
      <c r="AT1830" s="1">
        <v>3960</v>
      </c>
      <c r="AU1830" s="1">
        <v>15840</v>
      </c>
      <c r="AV1830">
        <v>80</v>
      </c>
      <c r="AX1830" s="1">
        <v>2445.7199999999998</v>
      </c>
      <c r="AY1830" t="s">
        <v>12432</v>
      </c>
      <c r="AZ1830" t="s">
        <v>12432</v>
      </c>
      <c r="BA1830" t="s">
        <v>5469</v>
      </c>
      <c r="BE1830" s="3">
        <v>41984</v>
      </c>
      <c r="BF1830" s="1">
        <v>255000</v>
      </c>
      <c r="BG1830" t="s">
        <v>12433</v>
      </c>
      <c r="BH1830" s="1">
        <v>221.74</v>
      </c>
      <c r="BI1830" s="1">
        <v>260482</v>
      </c>
      <c r="BJ1830" s="3">
        <v>41984</v>
      </c>
      <c r="BK1830" t="s">
        <v>123</v>
      </c>
      <c r="BL1830" t="str">
        <f>"2014.816068"</f>
        <v>2014.816068</v>
      </c>
      <c r="BM1830" t="s">
        <v>3611</v>
      </c>
      <c r="BO1830" t="s">
        <v>12434</v>
      </c>
      <c r="BS1830">
        <v>30</v>
      </c>
      <c r="BW1830" t="str">
        <f>""</f>
        <v/>
      </c>
      <c r="CH1830" t="str">
        <f>""</f>
        <v/>
      </c>
      <c r="CS1830" t="str">
        <f>""</f>
        <v/>
      </c>
    </row>
    <row r="1831" spans="1:97" x14ac:dyDescent="0.25">
      <c r="A1831" t="s">
        <v>2350</v>
      </c>
      <c r="B1831" t="s">
        <v>12435</v>
      </c>
      <c r="E1831" t="s">
        <v>12436</v>
      </c>
      <c r="F1831" t="s">
        <v>108</v>
      </c>
      <c r="H1831" t="s">
        <v>12437</v>
      </c>
      <c r="I1831" t="s">
        <v>167</v>
      </c>
      <c r="J1831" t="s">
        <v>111</v>
      </c>
      <c r="K1831" t="str">
        <f>"85339"</f>
        <v>85339</v>
      </c>
      <c r="L1831" t="s">
        <v>5367</v>
      </c>
      <c r="M1831" t="s">
        <v>12437</v>
      </c>
      <c r="N1831" t="s">
        <v>167</v>
      </c>
      <c r="O1831" t="s">
        <v>111</v>
      </c>
      <c r="P1831" t="str">
        <f>"85339-7087"</f>
        <v>85339-7087</v>
      </c>
      <c r="Q1831" t="s">
        <v>113</v>
      </c>
      <c r="R1831" t="str">
        <f>"104-87-270"</f>
        <v>104-87-270</v>
      </c>
      <c r="S1831" t="s">
        <v>12188</v>
      </c>
      <c r="U1831">
        <v>1879</v>
      </c>
      <c r="V1831">
        <v>0</v>
      </c>
      <c r="W1831">
        <v>3</v>
      </c>
      <c r="X1831">
        <v>2014</v>
      </c>
      <c r="Z1831">
        <v>1</v>
      </c>
      <c r="AB1831">
        <v>0</v>
      </c>
      <c r="AC1831" t="s">
        <v>115</v>
      </c>
      <c r="AD1831">
        <v>2</v>
      </c>
      <c r="AE1831" t="s">
        <v>115</v>
      </c>
      <c r="AF1831">
        <v>0</v>
      </c>
      <c r="AG1831">
        <v>0</v>
      </c>
      <c r="AH1831" t="s">
        <v>116</v>
      </c>
      <c r="AI1831" s="1">
        <v>36903</v>
      </c>
      <c r="AJ1831" s="2">
        <v>0.13</v>
      </c>
      <c r="AK1831" s="1">
        <v>282757</v>
      </c>
      <c r="AL1831" t="s">
        <v>117</v>
      </c>
      <c r="AM1831" t="s">
        <v>760</v>
      </c>
      <c r="AN1831">
        <v>8024</v>
      </c>
      <c r="AO1831">
        <v>0.18</v>
      </c>
      <c r="AR1831">
        <v>1</v>
      </c>
      <c r="AS1831" s="1">
        <v>19550</v>
      </c>
      <c r="AT1831" s="1">
        <v>3910</v>
      </c>
      <c r="AU1831" s="1">
        <v>15640</v>
      </c>
      <c r="AV1831">
        <v>80</v>
      </c>
      <c r="AX1831" s="1">
        <v>2758.86</v>
      </c>
      <c r="AY1831" t="s">
        <v>172</v>
      </c>
      <c r="AZ1831" t="s">
        <v>172</v>
      </c>
      <c r="BA1831" t="s">
        <v>173</v>
      </c>
      <c r="BE1831" s="3">
        <v>41900</v>
      </c>
      <c r="BF1831" s="1">
        <v>205958</v>
      </c>
      <c r="BG1831" t="s">
        <v>233</v>
      </c>
      <c r="BH1831" s="1">
        <v>109.61</v>
      </c>
      <c r="BI1831" s="1">
        <v>245854</v>
      </c>
      <c r="BJ1831" s="3">
        <v>43511</v>
      </c>
      <c r="BK1831" t="s">
        <v>123</v>
      </c>
      <c r="BL1831" t="str">
        <f>"2019.105685"</f>
        <v>2019.105685</v>
      </c>
      <c r="BM1831" t="s">
        <v>361</v>
      </c>
      <c r="BN1831" t="s">
        <v>884</v>
      </c>
      <c r="BO1831" t="s">
        <v>12438</v>
      </c>
      <c r="BR1831" t="s">
        <v>139</v>
      </c>
      <c r="BW1831" t="str">
        <f>""</f>
        <v/>
      </c>
      <c r="CH1831" t="str">
        <f>""</f>
        <v/>
      </c>
      <c r="CS1831" t="str">
        <f>""</f>
        <v/>
      </c>
    </row>
    <row r="1832" spans="1:97" x14ac:dyDescent="0.25">
      <c r="A1832" t="s">
        <v>12439</v>
      </c>
      <c r="B1832" t="s">
        <v>12440</v>
      </c>
      <c r="E1832" t="s">
        <v>12441</v>
      </c>
      <c r="F1832" t="s">
        <v>108</v>
      </c>
      <c r="H1832" t="s">
        <v>12442</v>
      </c>
      <c r="I1832" t="s">
        <v>110</v>
      </c>
      <c r="J1832" t="s">
        <v>111</v>
      </c>
      <c r="K1832" t="str">
        <f>"85224"</f>
        <v>85224</v>
      </c>
      <c r="L1832" t="s">
        <v>5106</v>
      </c>
      <c r="M1832" t="s">
        <v>12442</v>
      </c>
      <c r="N1832" t="s">
        <v>110</v>
      </c>
      <c r="O1832" t="s">
        <v>111</v>
      </c>
      <c r="P1832" t="str">
        <f>"85224-7582"</f>
        <v>85224-7582</v>
      </c>
      <c r="Q1832" t="s">
        <v>113</v>
      </c>
      <c r="R1832" t="str">
        <f>"303-23-874"</f>
        <v>303-23-874</v>
      </c>
      <c r="S1832" t="s">
        <v>12443</v>
      </c>
      <c r="T1832" t="s">
        <v>12444</v>
      </c>
      <c r="U1832">
        <v>1517</v>
      </c>
      <c r="V1832">
        <v>0</v>
      </c>
      <c r="W1832">
        <v>3</v>
      </c>
      <c r="X1832">
        <v>1994</v>
      </c>
      <c r="Z1832">
        <v>1</v>
      </c>
      <c r="AB1832">
        <v>0</v>
      </c>
      <c r="AC1832" t="s">
        <v>115</v>
      </c>
      <c r="AD1832">
        <v>2</v>
      </c>
      <c r="AE1832" t="s">
        <v>115</v>
      </c>
      <c r="AF1832">
        <v>0</v>
      </c>
      <c r="AG1832">
        <v>0</v>
      </c>
      <c r="AH1832" t="s">
        <v>116</v>
      </c>
      <c r="AI1832" s="1">
        <v>54204</v>
      </c>
      <c r="AJ1832" s="2">
        <v>0.18</v>
      </c>
      <c r="AK1832" s="1">
        <v>293473</v>
      </c>
      <c r="AL1832" t="s">
        <v>117</v>
      </c>
      <c r="AM1832" t="s">
        <v>118</v>
      </c>
      <c r="AN1832">
        <v>5937</v>
      </c>
      <c r="AO1832">
        <v>0.14000000000000001</v>
      </c>
      <c r="AP1832">
        <v>1</v>
      </c>
      <c r="AR1832">
        <v>1</v>
      </c>
      <c r="AS1832" s="1">
        <v>20450</v>
      </c>
      <c r="AT1832" s="1">
        <v>4090</v>
      </c>
      <c r="AU1832" s="1">
        <v>16360</v>
      </c>
      <c r="AV1832">
        <v>80</v>
      </c>
      <c r="AX1832" s="1">
        <v>1566.2</v>
      </c>
      <c r="AY1832" t="s">
        <v>6015</v>
      </c>
      <c r="AZ1832" t="s">
        <v>5078</v>
      </c>
      <c r="BA1832" t="s">
        <v>121</v>
      </c>
      <c r="BB1832" s="3">
        <v>43539</v>
      </c>
      <c r="BC1832" s="1">
        <v>0</v>
      </c>
      <c r="BD1832" t="s">
        <v>247</v>
      </c>
      <c r="BE1832" s="3">
        <v>42235</v>
      </c>
      <c r="BF1832" s="1">
        <v>219500</v>
      </c>
      <c r="BG1832" t="s">
        <v>12445</v>
      </c>
      <c r="BH1832" s="1">
        <v>144.69</v>
      </c>
      <c r="BI1832" s="1">
        <v>221269</v>
      </c>
      <c r="BJ1832" s="3">
        <v>42566</v>
      </c>
      <c r="BK1832" t="s">
        <v>123</v>
      </c>
      <c r="BL1832" t="str">
        <f>"2016.498954"</f>
        <v>2016.498954</v>
      </c>
      <c r="BM1832" t="s">
        <v>2117</v>
      </c>
      <c r="BN1832" t="s">
        <v>2118</v>
      </c>
      <c r="BO1832" t="s">
        <v>12446</v>
      </c>
      <c r="BS1832">
        <v>30</v>
      </c>
      <c r="BT1832" s="1">
        <v>18000</v>
      </c>
      <c r="BU1832" s="3">
        <v>43539</v>
      </c>
      <c r="BW1832" t="str">
        <f>"2019.181703"</f>
        <v>2019.181703</v>
      </c>
      <c r="BX1832" t="s">
        <v>1156</v>
      </c>
      <c r="BY1832" t="s">
        <v>1157</v>
      </c>
      <c r="BZ1832" t="s">
        <v>12447</v>
      </c>
      <c r="CC1832" t="s">
        <v>346</v>
      </c>
      <c r="CH1832" t="str">
        <f>""</f>
        <v/>
      </c>
      <c r="CS1832" t="str">
        <f>""</f>
        <v/>
      </c>
    </row>
    <row r="1833" spans="1:97" x14ac:dyDescent="0.25">
      <c r="A1833" t="s">
        <v>325</v>
      </c>
      <c r="B1833" t="s">
        <v>12448</v>
      </c>
      <c r="C1833" t="s">
        <v>2930</v>
      </c>
      <c r="D1833" t="s">
        <v>12449</v>
      </c>
      <c r="E1833" t="s">
        <v>12450</v>
      </c>
      <c r="F1833" t="s">
        <v>108</v>
      </c>
      <c r="H1833" t="s">
        <v>12451</v>
      </c>
      <c r="I1833" t="s">
        <v>1936</v>
      </c>
      <c r="J1833" t="s">
        <v>111</v>
      </c>
      <c r="K1833" t="str">
        <f>"85257"</f>
        <v>85257</v>
      </c>
      <c r="L1833" t="s">
        <v>9764</v>
      </c>
      <c r="M1833" t="s">
        <v>12451</v>
      </c>
      <c r="N1833" t="s">
        <v>1936</v>
      </c>
      <c r="O1833" t="s">
        <v>111</v>
      </c>
      <c r="P1833" t="str">
        <f>"85257-4565"</f>
        <v>85257-4565</v>
      </c>
      <c r="Q1833" t="s">
        <v>113</v>
      </c>
      <c r="R1833" t="str">
        <f>"131-07-222"</f>
        <v>131-07-222</v>
      </c>
      <c r="S1833" t="s">
        <v>12452</v>
      </c>
      <c r="T1833" t="s">
        <v>12453</v>
      </c>
      <c r="U1833">
        <v>1502</v>
      </c>
      <c r="V1833">
        <v>0</v>
      </c>
      <c r="W1833">
        <v>3</v>
      </c>
      <c r="X1833">
        <v>1982</v>
      </c>
      <c r="Z1833">
        <v>1</v>
      </c>
      <c r="AB1833">
        <v>0</v>
      </c>
      <c r="AC1833" t="s">
        <v>115</v>
      </c>
      <c r="AD1833">
        <v>2</v>
      </c>
      <c r="AE1833" t="s">
        <v>115</v>
      </c>
      <c r="AF1833">
        <v>0</v>
      </c>
      <c r="AG1833">
        <v>0</v>
      </c>
      <c r="AH1833" t="s">
        <v>116</v>
      </c>
      <c r="AI1833" s="1">
        <v>126146</v>
      </c>
      <c r="AJ1833" s="2">
        <v>0.36</v>
      </c>
      <c r="AK1833" s="1">
        <v>348241</v>
      </c>
      <c r="AL1833" t="s">
        <v>117</v>
      </c>
      <c r="AM1833" t="s">
        <v>393</v>
      </c>
      <c r="AN1833">
        <v>5253</v>
      </c>
      <c r="AO1833">
        <v>0.12</v>
      </c>
      <c r="AP1833">
        <v>1</v>
      </c>
      <c r="AR1833">
        <v>1</v>
      </c>
      <c r="AS1833" s="1">
        <v>24060</v>
      </c>
      <c r="AT1833" s="1">
        <v>4810</v>
      </c>
      <c r="AU1833" s="1">
        <v>19250</v>
      </c>
      <c r="AV1833">
        <v>80.010000000000005</v>
      </c>
      <c r="AX1833" s="1">
        <v>1207.1600000000001</v>
      </c>
      <c r="AY1833" t="s">
        <v>5419</v>
      </c>
      <c r="AZ1833" t="s">
        <v>5420</v>
      </c>
      <c r="BA1833" t="s">
        <v>5421</v>
      </c>
      <c r="BB1833" s="3">
        <v>41855</v>
      </c>
      <c r="BD1833" t="s">
        <v>240</v>
      </c>
      <c r="BE1833" s="3">
        <v>41677</v>
      </c>
      <c r="BF1833" s="1">
        <v>215000</v>
      </c>
      <c r="BG1833" t="s">
        <v>12454</v>
      </c>
      <c r="BH1833" s="1">
        <v>143.13999999999999</v>
      </c>
      <c r="BI1833" s="1">
        <v>222095</v>
      </c>
      <c r="BJ1833" s="3">
        <v>41677</v>
      </c>
      <c r="BK1833" t="s">
        <v>123</v>
      </c>
      <c r="BL1833" t="str">
        <f>"2014.83809"</f>
        <v>2014.83809</v>
      </c>
      <c r="BM1833" t="s">
        <v>475</v>
      </c>
      <c r="BO1833" t="s">
        <v>12455</v>
      </c>
      <c r="BS1833">
        <v>30</v>
      </c>
      <c r="BW1833" t="str">
        <f>""</f>
        <v/>
      </c>
      <c r="CH1833" t="str">
        <f>""</f>
        <v/>
      </c>
      <c r="CS1833" t="str">
        <f>""</f>
        <v/>
      </c>
    </row>
    <row r="1834" spans="1:97" x14ac:dyDescent="0.25">
      <c r="A1834" t="s">
        <v>3924</v>
      </c>
      <c r="B1834" t="s">
        <v>212</v>
      </c>
      <c r="C1834" t="s">
        <v>328</v>
      </c>
      <c r="D1834" t="s">
        <v>212</v>
      </c>
      <c r="E1834" t="s">
        <v>12456</v>
      </c>
      <c r="F1834" t="s">
        <v>108</v>
      </c>
      <c r="H1834" t="s">
        <v>12457</v>
      </c>
      <c r="I1834" t="s">
        <v>390</v>
      </c>
      <c r="J1834" t="s">
        <v>111</v>
      </c>
      <c r="K1834" t="str">
        <f>"85024"</f>
        <v>85024</v>
      </c>
      <c r="L1834" t="s">
        <v>10474</v>
      </c>
      <c r="M1834" t="s">
        <v>12457</v>
      </c>
      <c r="N1834" t="s">
        <v>390</v>
      </c>
      <c r="O1834" t="s">
        <v>111</v>
      </c>
      <c r="P1834" t="str">
        <f>"85024-4121"</f>
        <v>85024-4121</v>
      </c>
      <c r="Q1834" t="s">
        <v>113</v>
      </c>
      <c r="R1834" t="str">
        <f>"213-05-800"</f>
        <v>213-05-800</v>
      </c>
      <c r="S1834" t="s">
        <v>12458</v>
      </c>
      <c r="T1834" t="s">
        <v>12458</v>
      </c>
      <c r="U1834">
        <v>2409</v>
      </c>
      <c r="V1834">
        <v>0</v>
      </c>
      <c r="W1834">
        <v>3</v>
      </c>
      <c r="X1834">
        <v>1999</v>
      </c>
      <c r="Z1834">
        <v>2</v>
      </c>
      <c r="AB1834">
        <v>0</v>
      </c>
      <c r="AC1834" t="s">
        <v>115</v>
      </c>
      <c r="AD1834">
        <v>3</v>
      </c>
      <c r="AE1834" t="s">
        <v>115</v>
      </c>
      <c r="AF1834">
        <v>0</v>
      </c>
      <c r="AG1834">
        <v>0</v>
      </c>
      <c r="AH1834" t="s">
        <v>116</v>
      </c>
      <c r="AI1834" s="1">
        <v>90688</v>
      </c>
      <c r="AJ1834" s="2">
        <v>0.26</v>
      </c>
      <c r="AK1834" s="1">
        <v>354103</v>
      </c>
      <c r="AL1834" t="s">
        <v>117</v>
      </c>
      <c r="AM1834" t="s">
        <v>191</v>
      </c>
      <c r="AN1834">
        <v>6071</v>
      </c>
      <c r="AO1834">
        <v>0.14000000000000001</v>
      </c>
      <c r="AP1834">
        <v>1</v>
      </c>
      <c r="AR1834">
        <v>1</v>
      </c>
      <c r="AS1834" s="1">
        <v>26170</v>
      </c>
      <c r="AT1834" s="1">
        <v>5230</v>
      </c>
      <c r="AU1834" s="1">
        <v>20940</v>
      </c>
      <c r="AV1834">
        <v>80.02</v>
      </c>
      <c r="AX1834" s="1">
        <v>2257.6999999999998</v>
      </c>
      <c r="AY1834" t="s">
        <v>10684</v>
      </c>
      <c r="AZ1834" t="s">
        <v>2357</v>
      </c>
      <c r="BA1834" t="s">
        <v>1462</v>
      </c>
      <c r="BE1834" s="3">
        <v>41786</v>
      </c>
      <c r="BF1834" s="1">
        <v>252000</v>
      </c>
      <c r="BG1834" t="s">
        <v>12459</v>
      </c>
      <c r="BH1834" s="1">
        <v>104.61</v>
      </c>
      <c r="BI1834" s="1">
        <v>263415</v>
      </c>
      <c r="BJ1834" s="3">
        <v>43060</v>
      </c>
      <c r="BK1834" t="s">
        <v>123</v>
      </c>
      <c r="BL1834" t="str">
        <f>"2017.864990"</f>
        <v>2017.864990</v>
      </c>
      <c r="BM1834" t="s">
        <v>1992</v>
      </c>
      <c r="BO1834" t="s">
        <v>12460</v>
      </c>
      <c r="BS1834">
        <v>30</v>
      </c>
      <c r="BW1834" t="str">
        <f>""</f>
        <v/>
      </c>
      <c r="CH1834" t="str">
        <f>""</f>
        <v/>
      </c>
      <c r="CS1834" t="str">
        <f>""</f>
        <v/>
      </c>
    </row>
    <row r="1835" spans="1:97" x14ac:dyDescent="0.25">
      <c r="A1835" t="s">
        <v>12461</v>
      </c>
      <c r="B1835" t="s">
        <v>3863</v>
      </c>
      <c r="C1835" t="s">
        <v>12462</v>
      </c>
      <c r="D1835" t="s">
        <v>3863</v>
      </c>
      <c r="E1835" t="s">
        <v>12463</v>
      </c>
      <c r="F1835" t="s">
        <v>108</v>
      </c>
      <c r="H1835" t="s">
        <v>12464</v>
      </c>
      <c r="I1835" t="s">
        <v>144</v>
      </c>
      <c r="J1835" t="s">
        <v>111</v>
      </c>
      <c r="K1835" t="str">
        <f>"85396"</f>
        <v>85396</v>
      </c>
      <c r="L1835" t="s">
        <v>1244</v>
      </c>
      <c r="M1835" t="s">
        <v>12464</v>
      </c>
      <c r="N1835" t="s">
        <v>144</v>
      </c>
      <c r="O1835" t="s">
        <v>111</v>
      </c>
      <c r="P1835" t="str">
        <f>"85396-7745"</f>
        <v>85396-7745</v>
      </c>
      <c r="Q1835" t="s">
        <v>113</v>
      </c>
      <c r="R1835" t="str">
        <f>"502-81-511"</f>
        <v>502-81-511</v>
      </c>
      <c r="S1835" t="s">
        <v>12465</v>
      </c>
      <c r="U1835">
        <v>2296</v>
      </c>
      <c r="V1835">
        <v>0</v>
      </c>
      <c r="W1835">
        <v>3</v>
      </c>
      <c r="X1835">
        <v>2010</v>
      </c>
      <c r="Z1835">
        <v>2</v>
      </c>
      <c r="AA1835" t="s">
        <v>26</v>
      </c>
      <c r="AB1835">
        <v>0</v>
      </c>
      <c r="AC1835" t="s">
        <v>115</v>
      </c>
      <c r="AD1835">
        <v>2</v>
      </c>
      <c r="AE1835" t="s">
        <v>115</v>
      </c>
      <c r="AF1835">
        <v>0</v>
      </c>
      <c r="AG1835">
        <v>0</v>
      </c>
      <c r="AH1835" t="s">
        <v>116</v>
      </c>
      <c r="AI1835" s="1">
        <v>53172</v>
      </c>
      <c r="AJ1835" s="2">
        <v>0.17</v>
      </c>
      <c r="AK1835" s="1">
        <v>320719</v>
      </c>
      <c r="AL1835" t="s">
        <v>117</v>
      </c>
      <c r="AM1835" t="s">
        <v>118</v>
      </c>
      <c r="AN1835">
        <v>9876</v>
      </c>
      <c r="AO1835">
        <v>0.23</v>
      </c>
      <c r="AR1835">
        <v>1</v>
      </c>
      <c r="AS1835" s="1">
        <v>22680</v>
      </c>
      <c r="AT1835" s="1">
        <v>4530</v>
      </c>
      <c r="AU1835" s="1">
        <v>18150</v>
      </c>
      <c r="AV1835">
        <v>80.03</v>
      </c>
      <c r="AX1835" s="1">
        <v>3188.54</v>
      </c>
      <c r="AY1835" t="s">
        <v>217</v>
      </c>
      <c r="AZ1835" t="s">
        <v>217</v>
      </c>
      <c r="BA1835" t="s">
        <v>218</v>
      </c>
      <c r="BE1835" s="3">
        <v>41900</v>
      </c>
      <c r="BF1835" s="1">
        <v>224900</v>
      </c>
      <c r="BG1835" t="s">
        <v>12466</v>
      </c>
      <c r="BH1835" s="1">
        <v>97.95</v>
      </c>
      <c r="BI1835" s="1">
        <v>267547</v>
      </c>
      <c r="BJ1835" s="3">
        <v>42576</v>
      </c>
      <c r="BK1835" t="s">
        <v>123</v>
      </c>
      <c r="BL1835" t="str">
        <f>"2016.521169"</f>
        <v>2016.521169</v>
      </c>
      <c r="BM1835" t="s">
        <v>6517</v>
      </c>
      <c r="BO1835" t="s">
        <v>12467</v>
      </c>
      <c r="BS1835">
        <v>30</v>
      </c>
      <c r="BW1835" t="str">
        <f>""</f>
        <v/>
      </c>
      <c r="CH1835" t="str">
        <f>""</f>
        <v/>
      </c>
      <c r="CS1835" t="str">
        <f>""</f>
        <v/>
      </c>
    </row>
    <row r="1836" spans="1:97" x14ac:dyDescent="0.25">
      <c r="A1836" t="s">
        <v>2529</v>
      </c>
      <c r="B1836" t="s">
        <v>1925</v>
      </c>
      <c r="E1836" t="s">
        <v>12468</v>
      </c>
      <c r="F1836" t="s">
        <v>108</v>
      </c>
      <c r="H1836" t="s">
        <v>12469</v>
      </c>
      <c r="I1836" t="s">
        <v>110</v>
      </c>
      <c r="J1836" t="s">
        <v>111</v>
      </c>
      <c r="K1836" t="str">
        <f>"85249"</f>
        <v>85249</v>
      </c>
      <c r="L1836" t="s">
        <v>6529</v>
      </c>
      <c r="M1836" t="s">
        <v>12469</v>
      </c>
      <c r="N1836" t="s">
        <v>110</v>
      </c>
      <c r="O1836" t="s">
        <v>111</v>
      </c>
      <c r="P1836" t="str">
        <f>"85249-4855"</f>
        <v>85249-4855</v>
      </c>
      <c r="Q1836" t="s">
        <v>113</v>
      </c>
      <c r="R1836" t="str">
        <f>"303-84-087"</f>
        <v>303-84-087</v>
      </c>
      <c r="S1836" t="s">
        <v>12470</v>
      </c>
      <c r="U1836">
        <v>1701</v>
      </c>
      <c r="V1836">
        <v>0</v>
      </c>
      <c r="W1836">
        <v>3</v>
      </c>
      <c r="X1836">
        <v>2001</v>
      </c>
      <c r="Z1836">
        <v>1</v>
      </c>
      <c r="AB1836">
        <v>0</v>
      </c>
      <c r="AC1836" t="s">
        <v>115</v>
      </c>
      <c r="AD1836">
        <v>2</v>
      </c>
      <c r="AE1836" t="s">
        <v>115</v>
      </c>
      <c r="AF1836">
        <v>0</v>
      </c>
      <c r="AG1836">
        <v>0</v>
      </c>
      <c r="AH1836" t="s">
        <v>116</v>
      </c>
      <c r="AI1836" s="1">
        <v>54505</v>
      </c>
      <c r="AJ1836" s="2">
        <v>0.18</v>
      </c>
      <c r="AK1836" s="1">
        <v>302720</v>
      </c>
      <c r="AL1836" t="s">
        <v>117</v>
      </c>
      <c r="AM1836" t="s">
        <v>118</v>
      </c>
      <c r="AN1836">
        <v>7655</v>
      </c>
      <c r="AO1836">
        <v>0.18</v>
      </c>
      <c r="AP1836">
        <v>1</v>
      </c>
      <c r="AR1836">
        <v>1</v>
      </c>
      <c r="AS1836" s="1">
        <v>21270</v>
      </c>
      <c r="AT1836" s="1">
        <v>4250</v>
      </c>
      <c r="AU1836" s="1">
        <v>17020</v>
      </c>
      <c r="AV1836">
        <v>80.02</v>
      </c>
      <c r="AX1836" s="1">
        <v>1658.66</v>
      </c>
      <c r="AY1836" t="s">
        <v>5050</v>
      </c>
      <c r="AZ1836" t="s">
        <v>120</v>
      </c>
      <c r="BA1836" t="s">
        <v>274</v>
      </c>
      <c r="BE1836" s="3">
        <v>41848</v>
      </c>
      <c r="BF1836" s="1">
        <v>221000</v>
      </c>
      <c r="BG1836" t="s">
        <v>12471</v>
      </c>
      <c r="BH1836" s="1">
        <v>129.91999999999999</v>
      </c>
      <c r="BI1836" s="1">
        <v>248215</v>
      </c>
      <c r="BJ1836" s="3">
        <v>42944</v>
      </c>
      <c r="BK1836" t="s">
        <v>123</v>
      </c>
      <c r="BL1836" t="str">
        <f>"2017.553350"</f>
        <v>2017.553350</v>
      </c>
      <c r="BM1836" t="s">
        <v>12472</v>
      </c>
      <c r="BO1836" t="s">
        <v>12473</v>
      </c>
      <c r="BS1836">
        <v>30</v>
      </c>
      <c r="BW1836" t="str">
        <f>""</f>
        <v/>
      </c>
      <c r="CH1836" t="str">
        <f>""</f>
        <v/>
      </c>
      <c r="CS1836" t="str">
        <f>""</f>
        <v/>
      </c>
    </row>
    <row r="1837" spans="1:97" x14ac:dyDescent="0.25">
      <c r="A1837" t="s">
        <v>1124</v>
      </c>
      <c r="B1837" t="s">
        <v>12474</v>
      </c>
      <c r="C1837" t="s">
        <v>3831</v>
      </c>
      <c r="D1837" t="s">
        <v>12474</v>
      </c>
      <c r="E1837" t="s">
        <v>12475</v>
      </c>
      <c r="F1837" t="s">
        <v>108</v>
      </c>
      <c r="H1837" t="s">
        <v>12476</v>
      </c>
      <c r="I1837" t="s">
        <v>499</v>
      </c>
      <c r="J1837" t="s">
        <v>111</v>
      </c>
      <c r="K1837" t="str">
        <f>"85338"</f>
        <v>85338</v>
      </c>
      <c r="L1837" t="s">
        <v>8146</v>
      </c>
      <c r="M1837" t="s">
        <v>12476</v>
      </c>
      <c r="N1837" t="s">
        <v>499</v>
      </c>
      <c r="O1837" t="s">
        <v>111</v>
      </c>
      <c r="P1837" t="str">
        <f>"85338-7476"</f>
        <v>85338-7476</v>
      </c>
      <c r="Q1837" t="s">
        <v>113</v>
      </c>
      <c r="R1837" t="str">
        <f>"502-44-122"</f>
        <v>502-44-122</v>
      </c>
      <c r="S1837" t="s">
        <v>5101</v>
      </c>
      <c r="T1837" t="s">
        <v>5102</v>
      </c>
      <c r="U1837">
        <v>2489</v>
      </c>
      <c r="V1837">
        <v>0</v>
      </c>
      <c r="W1837">
        <v>5</v>
      </c>
      <c r="X1837">
        <v>2015</v>
      </c>
      <c r="Z1837">
        <v>1</v>
      </c>
      <c r="AB1837">
        <v>0</v>
      </c>
      <c r="AC1837" t="s">
        <v>115</v>
      </c>
      <c r="AD1837">
        <v>2</v>
      </c>
      <c r="AE1837" t="s">
        <v>115</v>
      </c>
      <c r="AF1837">
        <v>0</v>
      </c>
      <c r="AG1837">
        <v>0</v>
      </c>
      <c r="AH1837" t="s">
        <v>116</v>
      </c>
      <c r="AI1837" s="1">
        <v>70871</v>
      </c>
      <c r="AJ1837" s="2">
        <v>0.21</v>
      </c>
      <c r="AK1837" s="1">
        <v>333438</v>
      </c>
      <c r="AL1837" t="s">
        <v>117</v>
      </c>
      <c r="AM1837" t="s">
        <v>118</v>
      </c>
      <c r="AN1837">
        <v>8411</v>
      </c>
      <c r="AO1837">
        <v>0.19</v>
      </c>
      <c r="AR1837">
        <v>1</v>
      </c>
      <c r="AS1837" s="1">
        <v>24830</v>
      </c>
      <c r="AT1837" s="1">
        <v>4960</v>
      </c>
      <c r="AU1837" s="1">
        <v>19870</v>
      </c>
      <c r="AV1837">
        <v>80.02</v>
      </c>
      <c r="AX1837" s="1">
        <v>1761.82</v>
      </c>
      <c r="AY1837" t="s">
        <v>2767</v>
      </c>
      <c r="AZ1837" t="s">
        <v>2767</v>
      </c>
      <c r="BA1837" t="s">
        <v>1247</v>
      </c>
      <c r="BE1837" s="3">
        <v>42198</v>
      </c>
      <c r="BF1837" s="1">
        <v>254180</v>
      </c>
      <c r="BG1837" t="s">
        <v>275</v>
      </c>
      <c r="BH1837" s="1">
        <v>102.12</v>
      </c>
      <c r="BI1837" s="1">
        <v>262567</v>
      </c>
      <c r="BJ1837" s="3">
        <v>42198</v>
      </c>
      <c r="BK1837" t="s">
        <v>123</v>
      </c>
      <c r="BL1837" t="str">
        <f>"2015.502452"</f>
        <v>2015.502452</v>
      </c>
      <c r="BM1837" t="s">
        <v>651</v>
      </c>
      <c r="BO1837" t="s">
        <v>12477</v>
      </c>
      <c r="BS1837">
        <v>30</v>
      </c>
      <c r="BW1837" t="str">
        <f>""</f>
        <v/>
      </c>
      <c r="CH1837" t="str">
        <f>""</f>
        <v/>
      </c>
      <c r="CS1837" t="str">
        <f>""</f>
        <v/>
      </c>
    </row>
    <row r="1838" spans="1:97" x14ac:dyDescent="0.25">
      <c r="A1838" t="s">
        <v>305</v>
      </c>
      <c r="B1838" t="s">
        <v>12478</v>
      </c>
      <c r="E1838" t="s">
        <v>12479</v>
      </c>
      <c r="F1838" t="s">
        <v>108</v>
      </c>
      <c r="H1838" t="s">
        <v>12480</v>
      </c>
      <c r="I1838" t="s">
        <v>453</v>
      </c>
      <c r="J1838" t="s">
        <v>111</v>
      </c>
      <c r="K1838" t="str">
        <f>"85345"</f>
        <v>85345</v>
      </c>
      <c r="L1838" t="s">
        <v>5176</v>
      </c>
      <c r="M1838" t="s">
        <v>12480</v>
      </c>
      <c r="N1838" t="s">
        <v>453</v>
      </c>
      <c r="O1838" t="s">
        <v>111</v>
      </c>
      <c r="P1838" t="str">
        <f>"85345-7727"</f>
        <v>85345-7727</v>
      </c>
      <c r="Q1838" t="s">
        <v>113</v>
      </c>
      <c r="R1838" t="str">
        <f>"142-55-295"</f>
        <v>142-55-295</v>
      </c>
      <c r="S1838" t="s">
        <v>12481</v>
      </c>
      <c r="T1838" t="s">
        <v>12481</v>
      </c>
      <c r="U1838">
        <v>2134</v>
      </c>
      <c r="V1838">
        <v>0</v>
      </c>
      <c r="W1838">
        <v>3</v>
      </c>
      <c r="X1838">
        <v>2003</v>
      </c>
      <c r="Z1838">
        <v>1</v>
      </c>
      <c r="AB1838">
        <v>0</v>
      </c>
      <c r="AC1838" t="s">
        <v>115</v>
      </c>
      <c r="AD1838">
        <v>3</v>
      </c>
      <c r="AE1838" t="s">
        <v>115</v>
      </c>
      <c r="AF1838">
        <v>0</v>
      </c>
      <c r="AG1838">
        <v>0</v>
      </c>
      <c r="AH1838" t="s">
        <v>116</v>
      </c>
      <c r="AI1838" s="1">
        <v>7411</v>
      </c>
      <c r="AJ1838" s="2">
        <v>0.02</v>
      </c>
      <c r="AK1838" s="1">
        <v>331401</v>
      </c>
      <c r="AL1838" t="s">
        <v>117</v>
      </c>
      <c r="AM1838" t="s">
        <v>5791</v>
      </c>
      <c r="AN1838">
        <v>13037</v>
      </c>
      <c r="AO1838">
        <v>0.3</v>
      </c>
      <c r="AP1838">
        <v>1</v>
      </c>
      <c r="AR1838">
        <v>1</v>
      </c>
      <c r="AS1838" s="1">
        <v>22220</v>
      </c>
      <c r="AT1838" s="1">
        <v>4440</v>
      </c>
      <c r="AU1838" s="1">
        <v>17780</v>
      </c>
      <c r="AV1838">
        <v>80.02</v>
      </c>
      <c r="AX1838" s="1">
        <v>1695.2</v>
      </c>
      <c r="AY1838" t="s">
        <v>12482</v>
      </c>
      <c r="AZ1838" t="s">
        <v>12482</v>
      </c>
      <c r="BA1838" t="s">
        <v>6945</v>
      </c>
      <c r="BE1838" s="3">
        <v>42128</v>
      </c>
      <c r="BF1838" s="1">
        <v>265000</v>
      </c>
      <c r="BG1838" t="s">
        <v>12483</v>
      </c>
      <c r="BH1838" s="1">
        <v>124.18</v>
      </c>
      <c r="BI1838" s="1">
        <v>323990</v>
      </c>
      <c r="BJ1838" s="3">
        <v>43605</v>
      </c>
      <c r="BK1838" t="s">
        <v>123</v>
      </c>
      <c r="BL1838" t="str">
        <f>"2019.368033"</f>
        <v>2019.368033</v>
      </c>
      <c r="BM1838" t="s">
        <v>159</v>
      </c>
      <c r="BN1838" t="s">
        <v>160</v>
      </c>
      <c r="BO1838" t="s">
        <v>12479</v>
      </c>
      <c r="BR1838" t="s">
        <v>139</v>
      </c>
      <c r="BW1838" t="str">
        <f>""</f>
        <v/>
      </c>
      <c r="CH1838" t="str">
        <f>""</f>
        <v/>
      </c>
      <c r="CS1838" t="str">
        <f>""</f>
        <v/>
      </c>
    </row>
    <row r="1839" spans="1:97" x14ac:dyDescent="0.25">
      <c r="A1839" t="s">
        <v>140</v>
      </c>
      <c r="B1839" t="s">
        <v>12484</v>
      </c>
      <c r="E1839" t="s">
        <v>12485</v>
      </c>
      <c r="F1839" t="s">
        <v>108</v>
      </c>
      <c r="H1839" t="s">
        <v>12486</v>
      </c>
      <c r="I1839" t="s">
        <v>5114</v>
      </c>
      <c r="J1839" t="s">
        <v>111</v>
      </c>
      <c r="K1839" t="str">
        <f>"85392"</f>
        <v>85392</v>
      </c>
      <c r="L1839" t="s">
        <v>3430</v>
      </c>
      <c r="M1839" t="s">
        <v>12486</v>
      </c>
      <c r="N1839" t="s">
        <v>5114</v>
      </c>
      <c r="O1839" t="s">
        <v>111</v>
      </c>
      <c r="P1839" t="str">
        <f>"85392-4302"</f>
        <v>85392-4302</v>
      </c>
      <c r="Q1839" t="s">
        <v>113</v>
      </c>
      <c r="R1839" t="str">
        <f>"102-86-109"</f>
        <v>102-86-109</v>
      </c>
      <c r="S1839" t="s">
        <v>12487</v>
      </c>
      <c r="T1839" t="s">
        <v>12488</v>
      </c>
      <c r="U1839">
        <v>2253</v>
      </c>
      <c r="V1839">
        <v>0</v>
      </c>
      <c r="W1839">
        <v>3</v>
      </c>
      <c r="X1839">
        <v>1990</v>
      </c>
      <c r="Z1839">
        <v>1</v>
      </c>
      <c r="AA1839" t="s">
        <v>26</v>
      </c>
      <c r="AB1839">
        <v>0</v>
      </c>
      <c r="AC1839" t="s">
        <v>115</v>
      </c>
      <c r="AD1839">
        <v>2</v>
      </c>
      <c r="AE1839" t="s">
        <v>115</v>
      </c>
      <c r="AF1839">
        <v>0</v>
      </c>
      <c r="AG1839">
        <v>0</v>
      </c>
      <c r="AH1839" t="s">
        <v>116</v>
      </c>
      <c r="AI1839" s="1">
        <v>52756</v>
      </c>
      <c r="AJ1839" s="2">
        <v>0.16</v>
      </c>
      <c r="AK1839" s="1">
        <v>320225</v>
      </c>
      <c r="AL1839" t="s">
        <v>117</v>
      </c>
      <c r="AM1839" t="s">
        <v>118</v>
      </c>
      <c r="AN1839">
        <v>9339</v>
      </c>
      <c r="AO1839">
        <v>0.21</v>
      </c>
      <c r="AP1839">
        <v>1</v>
      </c>
      <c r="AR1839">
        <v>1</v>
      </c>
      <c r="AS1839" s="1">
        <v>24010</v>
      </c>
      <c r="AT1839" s="1">
        <v>4800</v>
      </c>
      <c r="AU1839" s="1">
        <v>19210</v>
      </c>
      <c r="AV1839">
        <v>80.010000000000005</v>
      </c>
      <c r="AX1839" s="1">
        <v>2444.5</v>
      </c>
      <c r="AY1839" t="s">
        <v>8084</v>
      </c>
      <c r="AZ1839" t="s">
        <v>8084</v>
      </c>
      <c r="BA1839" t="s">
        <v>5118</v>
      </c>
      <c r="BB1839" s="3">
        <v>42692</v>
      </c>
      <c r="BD1839" t="s">
        <v>458</v>
      </c>
      <c r="BE1839" s="3">
        <v>42416</v>
      </c>
      <c r="BF1839" s="1">
        <v>255000</v>
      </c>
      <c r="BG1839" t="s">
        <v>12489</v>
      </c>
      <c r="BH1839" s="1">
        <v>113.18</v>
      </c>
      <c r="BI1839" s="1">
        <v>267469</v>
      </c>
      <c r="BJ1839" s="3">
        <v>42692</v>
      </c>
      <c r="BK1839" t="s">
        <v>123</v>
      </c>
      <c r="BL1839" t="str">
        <f>"2016.852848"</f>
        <v>2016.852848</v>
      </c>
      <c r="BM1839" t="s">
        <v>492</v>
      </c>
      <c r="BO1839" t="s">
        <v>12490</v>
      </c>
      <c r="BS1839">
        <v>30</v>
      </c>
      <c r="BW1839" t="str">
        <f>""</f>
        <v/>
      </c>
      <c r="CH1839" t="str">
        <f>""</f>
        <v/>
      </c>
      <c r="CS1839" t="str">
        <f>""</f>
        <v/>
      </c>
    </row>
    <row r="1840" spans="1:97" x14ac:dyDescent="0.25">
      <c r="A1840" t="s">
        <v>12491</v>
      </c>
      <c r="B1840" t="s">
        <v>488</v>
      </c>
      <c r="C1840" t="s">
        <v>154</v>
      </c>
      <c r="D1840" t="s">
        <v>488</v>
      </c>
      <c r="E1840" t="s">
        <v>12492</v>
      </c>
      <c r="F1840" t="s">
        <v>108</v>
      </c>
      <c r="H1840" t="s">
        <v>12493</v>
      </c>
      <c r="I1840" t="s">
        <v>5387</v>
      </c>
      <c r="J1840" t="s">
        <v>111</v>
      </c>
      <c r="K1840" t="str">
        <f>"85284"</f>
        <v>85284</v>
      </c>
      <c r="L1840" t="s">
        <v>2197</v>
      </c>
      <c r="M1840" t="s">
        <v>12493</v>
      </c>
      <c r="N1840" t="s">
        <v>5387</v>
      </c>
      <c r="O1840" t="s">
        <v>111</v>
      </c>
      <c r="P1840" t="str">
        <f>"85284-3173"</f>
        <v>85284-3173</v>
      </c>
      <c r="Q1840" t="s">
        <v>113</v>
      </c>
      <c r="R1840" t="str">
        <f>"301-61-655"</f>
        <v>301-61-655</v>
      </c>
      <c r="S1840" t="s">
        <v>12494</v>
      </c>
      <c r="T1840" t="s">
        <v>12495</v>
      </c>
      <c r="U1840">
        <v>2003</v>
      </c>
      <c r="V1840">
        <v>0</v>
      </c>
      <c r="W1840">
        <v>4</v>
      </c>
      <c r="X1840">
        <v>1989</v>
      </c>
      <c r="Z1840">
        <v>2</v>
      </c>
      <c r="AB1840">
        <v>0</v>
      </c>
      <c r="AC1840" t="s">
        <v>115</v>
      </c>
      <c r="AD1840">
        <v>2</v>
      </c>
      <c r="AE1840" t="s">
        <v>115</v>
      </c>
      <c r="AF1840">
        <v>0</v>
      </c>
      <c r="AG1840">
        <v>0</v>
      </c>
      <c r="AH1840" t="s">
        <v>116</v>
      </c>
      <c r="AI1840" s="1">
        <v>-3886</v>
      </c>
      <c r="AJ1840" s="2">
        <v>-0.01</v>
      </c>
      <c r="AK1840" s="1">
        <v>291114</v>
      </c>
      <c r="AL1840" t="s">
        <v>117</v>
      </c>
      <c r="AM1840" t="s">
        <v>288</v>
      </c>
      <c r="AN1840">
        <v>4944</v>
      </c>
      <c r="AO1840">
        <v>0.11</v>
      </c>
      <c r="AP1840">
        <v>1</v>
      </c>
      <c r="AR1840">
        <v>1</v>
      </c>
      <c r="AS1840" s="1">
        <v>25970</v>
      </c>
      <c r="AT1840" s="1">
        <v>5190</v>
      </c>
      <c r="AU1840" s="1">
        <v>20780</v>
      </c>
      <c r="AV1840">
        <v>80.02</v>
      </c>
      <c r="AX1840" s="1">
        <v>2525.34</v>
      </c>
      <c r="AY1840" t="s">
        <v>12496</v>
      </c>
      <c r="AZ1840" t="s">
        <v>5201</v>
      </c>
      <c r="BA1840" t="s">
        <v>5202</v>
      </c>
      <c r="BE1840" s="3">
        <v>42292</v>
      </c>
      <c r="BF1840" s="1">
        <v>295000</v>
      </c>
      <c r="BG1840" t="s">
        <v>12497</v>
      </c>
      <c r="BH1840" s="1">
        <v>147.28</v>
      </c>
      <c r="BI1840" s="1">
        <v>295000</v>
      </c>
      <c r="BJ1840" s="3">
        <v>42292</v>
      </c>
      <c r="BK1840" t="s">
        <v>123</v>
      </c>
      <c r="BL1840" t="str">
        <f>"2015.741176"</f>
        <v>2015.741176</v>
      </c>
      <c r="BM1840" t="s">
        <v>12498</v>
      </c>
      <c r="BO1840" t="s">
        <v>12499</v>
      </c>
      <c r="BS1840">
        <v>30</v>
      </c>
      <c r="BW1840" t="str">
        <f>""</f>
        <v/>
      </c>
      <c r="CH1840" t="str">
        <f>""</f>
        <v/>
      </c>
      <c r="CS1840" t="str">
        <f>""</f>
        <v/>
      </c>
    </row>
    <row r="1841" spans="1:97" x14ac:dyDescent="0.25">
      <c r="A1841" t="s">
        <v>4306</v>
      </c>
      <c r="B1841" t="s">
        <v>12500</v>
      </c>
      <c r="C1841" t="s">
        <v>12501</v>
      </c>
      <c r="D1841" t="s">
        <v>12500</v>
      </c>
      <c r="E1841" t="s">
        <v>12502</v>
      </c>
      <c r="F1841" t="s">
        <v>108</v>
      </c>
      <c r="H1841" t="s">
        <v>12503</v>
      </c>
      <c r="I1841" t="s">
        <v>225</v>
      </c>
      <c r="J1841" t="s">
        <v>111</v>
      </c>
      <c r="K1841" t="str">
        <f>"85208"</f>
        <v>85208</v>
      </c>
      <c r="L1841" t="s">
        <v>8345</v>
      </c>
      <c r="M1841" t="s">
        <v>12503</v>
      </c>
      <c r="N1841" t="s">
        <v>225</v>
      </c>
      <c r="O1841" t="s">
        <v>111</v>
      </c>
      <c r="P1841" t="str">
        <f>"85208-2096"</f>
        <v>85208-2096</v>
      </c>
      <c r="Q1841" t="s">
        <v>113</v>
      </c>
      <c r="R1841" t="str">
        <f>"218-64-420"</f>
        <v>218-64-420</v>
      </c>
      <c r="S1841" t="s">
        <v>12504</v>
      </c>
      <c r="T1841" t="s">
        <v>12505</v>
      </c>
      <c r="U1841">
        <v>1430</v>
      </c>
      <c r="V1841">
        <v>0</v>
      </c>
      <c r="W1841">
        <v>3</v>
      </c>
      <c r="X1841">
        <v>1989</v>
      </c>
      <c r="Z1841">
        <v>1</v>
      </c>
      <c r="AB1841">
        <v>0</v>
      </c>
      <c r="AC1841" t="s">
        <v>115</v>
      </c>
      <c r="AD1841">
        <v>2</v>
      </c>
      <c r="AE1841" t="s">
        <v>115</v>
      </c>
      <c r="AF1841">
        <v>0</v>
      </c>
      <c r="AG1841">
        <v>0</v>
      </c>
      <c r="AH1841" t="s">
        <v>116</v>
      </c>
      <c r="AI1841" s="1">
        <v>44069</v>
      </c>
      <c r="AJ1841" s="2">
        <v>0.18</v>
      </c>
      <c r="AK1841" s="1">
        <v>250669</v>
      </c>
      <c r="AL1841" t="s">
        <v>117</v>
      </c>
      <c r="AM1841" t="s">
        <v>393</v>
      </c>
      <c r="AN1841">
        <v>8011</v>
      </c>
      <c r="AO1841">
        <v>0.18</v>
      </c>
      <c r="AP1841">
        <v>1</v>
      </c>
      <c r="AR1841">
        <v>1</v>
      </c>
      <c r="AS1841" s="1">
        <v>16500</v>
      </c>
      <c r="AT1841" s="1">
        <v>3300</v>
      </c>
      <c r="AU1841" s="1">
        <v>13200</v>
      </c>
      <c r="AV1841">
        <v>80</v>
      </c>
      <c r="AX1841" s="1">
        <v>1106.9000000000001</v>
      </c>
      <c r="AY1841" t="s">
        <v>12506</v>
      </c>
      <c r="AZ1841" t="s">
        <v>231</v>
      </c>
      <c r="BA1841" t="s">
        <v>232</v>
      </c>
      <c r="BE1841" s="3">
        <v>41729</v>
      </c>
      <c r="BF1841" s="1">
        <v>160000</v>
      </c>
      <c r="BG1841" t="s">
        <v>12507</v>
      </c>
      <c r="BH1841" s="1">
        <v>111.89</v>
      </c>
      <c r="BI1841" s="1">
        <v>206600</v>
      </c>
      <c r="BJ1841" s="3">
        <v>43220</v>
      </c>
      <c r="BK1841" t="s">
        <v>123</v>
      </c>
      <c r="BL1841" t="str">
        <f>"2018.328869"</f>
        <v>2018.328869</v>
      </c>
      <c r="BM1841" t="s">
        <v>12508</v>
      </c>
      <c r="BN1841" t="s">
        <v>8917</v>
      </c>
      <c r="BO1841" t="s">
        <v>12509</v>
      </c>
      <c r="BP1841" t="s">
        <v>12510</v>
      </c>
      <c r="BR1841" t="s">
        <v>139</v>
      </c>
      <c r="BW1841" t="str">
        <f>""</f>
        <v/>
      </c>
      <c r="CH1841" t="str">
        <f>""</f>
        <v/>
      </c>
      <c r="CS1841" t="str">
        <f>""</f>
        <v/>
      </c>
    </row>
    <row r="1842" spans="1:97" x14ac:dyDescent="0.25">
      <c r="A1842" t="s">
        <v>1727</v>
      </c>
      <c r="B1842" t="s">
        <v>12511</v>
      </c>
      <c r="C1842" t="s">
        <v>852</v>
      </c>
      <c r="D1842" t="s">
        <v>12511</v>
      </c>
      <c r="E1842" t="s">
        <v>12512</v>
      </c>
      <c r="F1842" t="s">
        <v>108</v>
      </c>
      <c r="H1842" t="s">
        <v>12513</v>
      </c>
      <c r="I1842" t="s">
        <v>188</v>
      </c>
      <c r="J1842" t="s">
        <v>111</v>
      </c>
      <c r="K1842" t="str">
        <f>"85142"</f>
        <v>85142</v>
      </c>
      <c r="L1842" t="s">
        <v>516</v>
      </c>
      <c r="M1842" t="s">
        <v>12513</v>
      </c>
      <c r="N1842" t="s">
        <v>188</v>
      </c>
      <c r="O1842" t="s">
        <v>111</v>
      </c>
      <c r="P1842" t="str">
        <f>"85142-9050"</f>
        <v>85142-9050</v>
      </c>
      <c r="Q1842" t="s">
        <v>113</v>
      </c>
      <c r="R1842" t="str">
        <f>"304-92-071"</f>
        <v>304-92-071</v>
      </c>
      <c r="S1842" t="s">
        <v>12514</v>
      </c>
      <c r="T1842" t="s">
        <v>12514</v>
      </c>
      <c r="U1842">
        <v>2460</v>
      </c>
      <c r="V1842">
        <v>0</v>
      </c>
      <c r="W1842">
        <v>3</v>
      </c>
      <c r="X1842">
        <v>1998</v>
      </c>
      <c r="Z1842">
        <v>1</v>
      </c>
      <c r="AB1842">
        <v>0</v>
      </c>
      <c r="AC1842" t="s">
        <v>115</v>
      </c>
      <c r="AD1842">
        <v>1</v>
      </c>
      <c r="AE1842" t="s">
        <v>115</v>
      </c>
      <c r="AF1842">
        <v>0</v>
      </c>
      <c r="AG1842">
        <v>0</v>
      </c>
      <c r="AH1842" t="s">
        <v>116</v>
      </c>
      <c r="AI1842" s="1">
        <v>109081</v>
      </c>
      <c r="AJ1842" s="2">
        <v>0.27</v>
      </c>
      <c r="AK1842" s="1">
        <v>406081</v>
      </c>
      <c r="AL1842" t="s">
        <v>117</v>
      </c>
      <c r="AM1842" t="s">
        <v>376</v>
      </c>
      <c r="AN1842">
        <v>46287</v>
      </c>
      <c r="AO1842">
        <v>1.06</v>
      </c>
      <c r="AP1842">
        <v>1</v>
      </c>
      <c r="AR1842">
        <v>1</v>
      </c>
      <c r="AS1842" s="1">
        <v>28400</v>
      </c>
      <c r="AT1842" s="1">
        <v>5680</v>
      </c>
      <c r="AU1842" s="1">
        <v>22720</v>
      </c>
      <c r="AV1842">
        <v>80</v>
      </c>
      <c r="AX1842" s="1">
        <v>4577.22</v>
      </c>
      <c r="AY1842" t="s">
        <v>1074</v>
      </c>
      <c r="AZ1842" t="s">
        <v>193</v>
      </c>
      <c r="BA1842" t="s">
        <v>194</v>
      </c>
      <c r="BE1842" s="3">
        <v>42454</v>
      </c>
      <c r="BF1842" s="1">
        <v>305000</v>
      </c>
      <c r="BG1842" t="s">
        <v>12515</v>
      </c>
      <c r="BH1842" s="1">
        <v>123.98</v>
      </c>
      <c r="BI1842" s="1">
        <v>297000</v>
      </c>
      <c r="BJ1842" s="3">
        <v>42454</v>
      </c>
      <c r="BK1842" t="s">
        <v>123</v>
      </c>
      <c r="BL1842" t="str">
        <f>"2016.193245"</f>
        <v>2016.193245</v>
      </c>
      <c r="BM1842" t="s">
        <v>683</v>
      </c>
      <c r="BO1842" t="s">
        <v>12516</v>
      </c>
      <c r="BS1842">
        <v>30</v>
      </c>
      <c r="BW1842" t="str">
        <f>""</f>
        <v/>
      </c>
      <c r="CH1842" t="str">
        <f>""</f>
        <v/>
      </c>
      <c r="CS1842" t="str">
        <f>""</f>
        <v/>
      </c>
    </row>
    <row r="1843" spans="1:97" x14ac:dyDescent="0.25">
      <c r="A1843" t="s">
        <v>1755</v>
      </c>
      <c r="B1843" t="s">
        <v>12517</v>
      </c>
      <c r="C1843" t="s">
        <v>1507</v>
      </c>
      <c r="D1843" t="s">
        <v>12517</v>
      </c>
      <c r="E1843" t="s">
        <v>12518</v>
      </c>
      <c r="F1843" t="s">
        <v>108</v>
      </c>
      <c r="H1843" t="s">
        <v>12519</v>
      </c>
      <c r="I1843" t="s">
        <v>632</v>
      </c>
      <c r="J1843" t="s">
        <v>111</v>
      </c>
      <c r="K1843" t="str">
        <f>"85379"</f>
        <v>85379</v>
      </c>
      <c r="L1843" t="s">
        <v>454</v>
      </c>
      <c r="M1843" t="s">
        <v>12519</v>
      </c>
      <c r="N1843" t="s">
        <v>632</v>
      </c>
      <c r="O1843" t="s">
        <v>111</v>
      </c>
      <c r="P1843" t="str">
        <f>"85379-1004"</f>
        <v>85379-1004</v>
      </c>
      <c r="Q1843" t="s">
        <v>113</v>
      </c>
      <c r="R1843" t="str">
        <f>"501-46-472"</f>
        <v>501-46-472</v>
      </c>
      <c r="S1843" t="s">
        <v>5319</v>
      </c>
      <c r="U1843">
        <v>2414</v>
      </c>
      <c r="V1843">
        <v>0</v>
      </c>
      <c r="W1843">
        <v>4</v>
      </c>
      <c r="X1843">
        <v>2015</v>
      </c>
      <c r="Z1843">
        <v>1</v>
      </c>
      <c r="AB1843">
        <v>0</v>
      </c>
      <c r="AC1843" t="s">
        <v>115</v>
      </c>
      <c r="AD1843">
        <v>3</v>
      </c>
      <c r="AE1843" t="s">
        <v>115</v>
      </c>
      <c r="AF1843">
        <v>0</v>
      </c>
      <c r="AG1843">
        <v>0</v>
      </c>
      <c r="AH1843" t="s">
        <v>116</v>
      </c>
      <c r="AI1843" s="1">
        <v>51435</v>
      </c>
      <c r="AJ1843" s="2">
        <v>0.16</v>
      </c>
      <c r="AK1843" s="1">
        <v>322785</v>
      </c>
      <c r="AL1843" t="s">
        <v>117</v>
      </c>
      <c r="AM1843" t="s">
        <v>118</v>
      </c>
      <c r="AN1843">
        <v>6924</v>
      </c>
      <c r="AO1843">
        <v>0.16</v>
      </c>
      <c r="AR1843">
        <v>1</v>
      </c>
      <c r="AS1843" s="1">
        <v>23050</v>
      </c>
      <c r="AT1843" s="1">
        <v>4610</v>
      </c>
      <c r="AU1843" s="1">
        <v>18440</v>
      </c>
      <c r="AV1843">
        <v>80</v>
      </c>
      <c r="AX1843" s="1">
        <v>1872.6</v>
      </c>
      <c r="AY1843" t="s">
        <v>5060</v>
      </c>
      <c r="AZ1843" t="s">
        <v>5060</v>
      </c>
      <c r="BA1843" t="s">
        <v>5061</v>
      </c>
      <c r="BE1843" s="3">
        <v>42338</v>
      </c>
      <c r="BF1843" s="1">
        <v>275270</v>
      </c>
      <c r="BG1843" t="s">
        <v>158</v>
      </c>
      <c r="BH1843" s="1">
        <v>114.03</v>
      </c>
      <c r="BI1843" s="1">
        <v>271350</v>
      </c>
      <c r="BJ1843" s="3">
        <v>42338</v>
      </c>
      <c r="BK1843" t="s">
        <v>123</v>
      </c>
      <c r="BL1843" t="str">
        <f>"2015.850338"</f>
        <v>2015.850338</v>
      </c>
      <c r="BM1843" t="s">
        <v>124</v>
      </c>
      <c r="BO1843" t="s">
        <v>12520</v>
      </c>
      <c r="BS1843">
        <v>30</v>
      </c>
      <c r="BW1843" t="str">
        <f>""</f>
        <v/>
      </c>
      <c r="CH1843" t="str">
        <f>""</f>
        <v/>
      </c>
      <c r="CS1843" t="str">
        <f>""</f>
        <v/>
      </c>
    </row>
    <row r="1844" spans="1:97" x14ac:dyDescent="0.25">
      <c r="A1844" t="s">
        <v>140</v>
      </c>
      <c r="B1844" t="s">
        <v>12521</v>
      </c>
      <c r="C1844" t="s">
        <v>1289</v>
      </c>
      <c r="D1844" t="s">
        <v>12521</v>
      </c>
      <c r="E1844" t="s">
        <v>12522</v>
      </c>
      <c r="F1844" t="s">
        <v>108</v>
      </c>
      <c r="H1844" t="s">
        <v>12523</v>
      </c>
      <c r="I1844" t="s">
        <v>5551</v>
      </c>
      <c r="J1844" t="s">
        <v>111</v>
      </c>
      <c r="K1844" t="str">
        <f>"85248"</f>
        <v>85248</v>
      </c>
      <c r="L1844" t="s">
        <v>2765</v>
      </c>
      <c r="M1844" t="s">
        <v>12523</v>
      </c>
      <c r="N1844" t="s">
        <v>5551</v>
      </c>
      <c r="O1844" t="s">
        <v>111</v>
      </c>
      <c r="P1844" t="str">
        <f>"85248-7132"</f>
        <v>85248-7132</v>
      </c>
      <c r="Q1844" t="s">
        <v>113</v>
      </c>
      <c r="R1844" t="str">
        <f>"303-66-094"</f>
        <v>303-66-094</v>
      </c>
      <c r="S1844" t="s">
        <v>5552</v>
      </c>
      <c r="U1844">
        <v>1922</v>
      </c>
      <c r="V1844">
        <v>0</v>
      </c>
      <c r="W1844">
        <v>3</v>
      </c>
      <c r="X1844">
        <v>1985</v>
      </c>
      <c r="Z1844">
        <v>1</v>
      </c>
      <c r="AB1844">
        <v>0</v>
      </c>
      <c r="AC1844" t="s">
        <v>115</v>
      </c>
      <c r="AD1844">
        <v>2</v>
      </c>
      <c r="AE1844" t="s">
        <v>115</v>
      </c>
      <c r="AF1844">
        <v>0</v>
      </c>
      <c r="AG1844">
        <v>0</v>
      </c>
      <c r="AH1844" t="s">
        <v>116</v>
      </c>
      <c r="AI1844" s="1">
        <v>43441</v>
      </c>
      <c r="AJ1844" s="2">
        <v>0.14000000000000001</v>
      </c>
      <c r="AK1844" s="1">
        <v>312941</v>
      </c>
      <c r="AL1844" t="s">
        <v>117</v>
      </c>
      <c r="AM1844" t="s">
        <v>191</v>
      </c>
      <c r="AN1844">
        <v>6830</v>
      </c>
      <c r="AO1844">
        <v>0.16</v>
      </c>
      <c r="AP1844">
        <v>1</v>
      </c>
      <c r="AR1844">
        <v>1</v>
      </c>
      <c r="AS1844" s="1">
        <v>19980</v>
      </c>
      <c r="AT1844" s="1">
        <v>3990</v>
      </c>
      <c r="AU1844" s="1">
        <v>15990</v>
      </c>
      <c r="AV1844">
        <v>80.03</v>
      </c>
      <c r="AX1844" s="1">
        <v>2193.48</v>
      </c>
      <c r="AY1844" t="s">
        <v>1881</v>
      </c>
      <c r="AZ1844" t="s">
        <v>1882</v>
      </c>
      <c r="BA1844" t="s">
        <v>121</v>
      </c>
      <c r="BE1844" s="3">
        <v>42543</v>
      </c>
      <c r="BF1844" s="1">
        <v>271000</v>
      </c>
      <c r="BG1844" t="s">
        <v>12524</v>
      </c>
      <c r="BH1844" s="1">
        <v>141</v>
      </c>
      <c r="BI1844" s="1">
        <v>269500</v>
      </c>
      <c r="BJ1844" s="3">
        <v>42543</v>
      </c>
      <c r="BK1844" t="s">
        <v>123</v>
      </c>
      <c r="BL1844" t="str">
        <f>"2016.437441"</f>
        <v>2016.437441</v>
      </c>
      <c r="BM1844" t="s">
        <v>7942</v>
      </c>
      <c r="BO1844" t="s">
        <v>12525</v>
      </c>
      <c r="BS1844">
        <v>30</v>
      </c>
      <c r="BW1844" t="str">
        <f>""</f>
        <v/>
      </c>
      <c r="CH1844" t="str">
        <f>""</f>
        <v/>
      </c>
      <c r="CS1844" t="str">
        <f>""</f>
        <v/>
      </c>
    </row>
    <row r="1845" spans="1:97" x14ac:dyDescent="0.25">
      <c r="A1845" t="s">
        <v>886</v>
      </c>
      <c r="B1845" t="s">
        <v>12526</v>
      </c>
      <c r="E1845" t="s">
        <v>12527</v>
      </c>
      <c r="F1845" t="s">
        <v>108</v>
      </c>
      <c r="H1845" t="s">
        <v>12528</v>
      </c>
      <c r="I1845" t="s">
        <v>5387</v>
      </c>
      <c r="J1845" t="s">
        <v>111</v>
      </c>
      <c r="K1845" t="str">
        <f>"85283"</f>
        <v>85283</v>
      </c>
      <c r="L1845" t="s">
        <v>12529</v>
      </c>
      <c r="M1845" t="s">
        <v>12528</v>
      </c>
      <c r="N1845" t="s">
        <v>5387</v>
      </c>
      <c r="O1845" t="s">
        <v>111</v>
      </c>
      <c r="P1845" t="str">
        <f>"85283-2452"</f>
        <v>85283-2452</v>
      </c>
      <c r="Q1845" t="s">
        <v>113</v>
      </c>
      <c r="R1845" t="str">
        <f>"301-97-633"</f>
        <v>301-97-633</v>
      </c>
      <c r="S1845" t="s">
        <v>12530</v>
      </c>
      <c r="T1845" t="s">
        <v>12531</v>
      </c>
      <c r="U1845">
        <v>1628</v>
      </c>
      <c r="V1845">
        <v>0</v>
      </c>
      <c r="W1845">
        <v>2</v>
      </c>
      <c r="X1845">
        <v>1977</v>
      </c>
      <c r="Z1845">
        <v>1</v>
      </c>
      <c r="AB1845">
        <v>0</v>
      </c>
      <c r="AC1845" t="s">
        <v>115</v>
      </c>
      <c r="AD1845">
        <v>2</v>
      </c>
      <c r="AE1845" t="s">
        <v>115</v>
      </c>
      <c r="AF1845">
        <v>0</v>
      </c>
      <c r="AG1845">
        <v>0</v>
      </c>
      <c r="AH1845" t="s">
        <v>116</v>
      </c>
      <c r="AI1845" s="1">
        <v>67353</v>
      </c>
      <c r="AJ1845" s="2">
        <v>0.21</v>
      </c>
      <c r="AK1845" s="1">
        <v>318087</v>
      </c>
      <c r="AL1845" t="s">
        <v>117</v>
      </c>
      <c r="AM1845" t="s">
        <v>393</v>
      </c>
      <c r="AN1845">
        <v>7353</v>
      </c>
      <c r="AO1845">
        <v>0.17</v>
      </c>
      <c r="AP1845">
        <v>1</v>
      </c>
      <c r="AR1845">
        <v>1</v>
      </c>
      <c r="AS1845" s="1">
        <v>21430</v>
      </c>
      <c r="AT1845" s="1">
        <v>4280</v>
      </c>
      <c r="AU1845" s="1">
        <v>17150</v>
      </c>
      <c r="AV1845">
        <v>80.03</v>
      </c>
      <c r="AX1845" s="1">
        <v>1983.7</v>
      </c>
      <c r="AY1845" t="s">
        <v>9740</v>
      </c>
      <c r="AZ1845" t="s">
        <v>6726</v>
      </c>
      <c r="BA1845" t="s">
        <v>5392</v>
      </c>
      <c r="BE1845" s="3">
        <v>42118</v>
      </c>
      <c r="BF1845" s="1">
        <v>247000</v>
      </c>
      <c r="BG1845" t="s">
        <v>12532</v>
      </c>
      <c r="BH1845" s="1">
        <v>151.72</v>
      </c>
      <c r="BI1845" s="1">
        <v>250734</v>
      </c>
      <c r="BJ1845" s="3">
        <v>42682</v>
      </c>
      <c r="BK1845" t="s">
        <v>123</v>
      </c>
      <c r="BL1845" t="str">
        <f>"2016.823098"</f>
        <v>2016.823098</v>
      </c>
      <c r="BM1845" t="s">
        <v>1185</v>
      </c>
      <c r="BO1845" t="s">
        <v>12533</v>
      </c>
      <c r="BS1845">
        <v>30</v>
      </c>
      <c r="BW1845" t="str">
        <f>""</f>
        <v/>
      </c>
      <c r="CH1845" t="str">
        <f>""</f>
        <v/>
      </c>
      <c r="CS1845" t="str">
        <f>""</f>
        <v/>
      </c>
    </row>
    <row r="1846" spans="1:97" x14ac:dyDescent="0.25">
      <c r="A1846" t="s">
        <v>4854</v>
      </c>
      <c r="B1846" t="s">
        <v>12534</v>
      </c>
      <c r="C1846" t="s">
        <v>727</v>
      </c>
      <c r="D1846" t="s">
        <v>12535</v>
      </c>
      <c r="E1846" t="s">
        <v>12536</v>
      </c>
      <c r="F1846" t="s">
        <v>108</v>
      </c>
      <c r="H1846" t="s">
        <v>12537</v>
      </c>
      <c r="I1846" t="s">
        <v>390</v>
      </c>
      <c r="J1846" t="s">
        <v>111</v>
      </c>
      <c r="K1846" t="str">
        <f>"85053"</f>
        <v>85053</v>
      </c>
      <c r="L1846" t="s">
        <v>6169</v>
      </c>
      <c r="M1846" t="s">
        <v>12537</v>
      </c>
      <c r="N1846" t="s">
        <v>390</v>
      </c>
      <c r="O1846" t="s">
        <v>111</v>
      </c>
      <c r="P1846" t="str">
        <f>"85053-4614"</f>
        <v>85053-4614</v>
      </c>
      <c r="Q1846" t="s">
        <v>113</v>
      </c>
      <c r="R1846" t="str">
        <f>"207-10-489"</f>
        <v>207-10-489</v>
      </c>
      <c r="S1846" t="s">
        <v>12538</v>
      </c>
      <c r="T1846" t="s">
        <v>12539</v>
      </c>
      <c r="U1846">
        <v>1820</v>
      </c>
      <c r="V1846">
        <v>0</v>
      </c>
      <c r="W1846">
        <v>2</v>
      </c>
      <c r="X1846">
        <v>1971</v>
      </c>
      <c r="Z1846">
        <v>1</v>
      </c>
      <c r="AA1846" t="s">
        <v>26</v>
      </c>
      <c r="AB1846">
        <v>0</v>
      </c>
      <c r="AC1846" t="s">
        <v>115</v>
      </c>
      <c r="AD1846">
        <v>2</v>
      </c>
      <c r="AE1846" t="s">
        <v>115</v>
      </c>
      <c r="AF1846">
        <v>0</v>
      </c>
      <c r="AG1846">
        <v>0</v>
      </c>
      <c r="AH1846" t="s">
        <v>116</v>
      </c>
      <c r="AI1846" s="1">
        <v>63676</v>
      </c>
      <c r="AJ1846" s="2">
        <v>0.23</v>
      </c>
      <c r="AK1846" s="1">
        <v>278701</v>
      </c>
      <c r="AL1846" t="s">
        <v>117</v>
      </c>
      <c r="AM1846" t="s">
        <v>191</v>
      </c>
      <c r="AN1846">
        <v>11378</v>
      </c>
      <c r="AO1846">
        <v>0.26</v>
      </c>
      <c r="AP1846">
        <v>1</v>
      </c>
      <c r="AR1846">
        <v>1</v>
      </c>
      <c r="AS1846" s="1">
        <v>18760</v>
      </c>
      <c r="AT1846" s="1">
        <v>3750</v>
      </c>
      <c r="AU1846" s="1">
        <v>15010</v>
      </c>
      <c r="AV1846">
        <v>80.010000000000005</v>
      </c>
      <c r="AX1846" s="1">
        <v>1479.34</v>
      </c>
      <c r="AY1846" t="s">
        <v>8546</v>
      </c>
      <c r="AZ1846" t="s">
        <v>2997</v>
      </c>
      <c r="BA1846" t="s">
        <v>2998</v>
      </c>
      <c r="BE1846" s="3">
        <v>41754</v>
      </c>
      <c r="BF1846" s="1">
        <v>210500</v>
      </c>
      <c r="BG1846" t="s">
        <v>12540</v>
      </c>
      <c r="BH1846" s="1">
        <v>115.66</v>
      </c>
      <c r="BI1846" s="1">
        <v>215025</v>
      </c>
      <c r="BJ1846" s="3">
        <v>41754</v>
      </c>
      <c r="BK1846" t="s">
        <v>123</v>
      </c>
      <c r="BL1846" t="str">
        <f>"2014.269844"</f>
        <v>2014.269844</v>
      </c>
      <c r="BM1846" t="s">
        <v>9665</v>
      </c>
      <c r="BO1846" t="s">
        <v>12541</v>
      </c>
      <c r="BP1846" t="s">
        <v>12542</v>
      </c>
      <c r="BS1846">
        <v>30</v>
      </c>
      <c r="BW1846" t="str">
        <f>""</f>
        <v/>
      </c>
      <c r="CH1846" t="str">
        <f>""</f>
        <v/>
      </c>
      <c r="CS1846" t="str">
        <f>""</f>
        <v/>
      </c>
    </row>
    <row r="1847" spans="1:97" x14ac:dyDescent="0.25">
      <c r="A1847" t="s">
        <v>12543</v>
      </c>
      <c r="B1847" t="s">
        <v>4156</v>
      </c>
      <c r="E1847" t="s">
        <v>12544</v>
      </c>
      <c r="F1847" t="s">
        <v>108</v>
      </c>
      <c r="H1847" t="s">
        <v>12545</v>
      </c>
      <c r="I1847" t="s">
        <v>5114</v>
      </c>
      <c r="J1847" t="s">
        <v>111</v>
      </c>
      <c r="K1847" t="str">
        <f>"85392"</f>
        <v>85392</v>
      </c>
      <c r="L1847" t="s">
        <v>1300</v>
      </c>
      <c r="M1847" t="s">
        <v>12545</v>
      </c>
      <c r="N1847" t="s">
        <v>5114</v>
      </c>
      <c r="O1847" t="s">
        <v>111</v>
      </c>
      <c r="P1847" t="str">
        <f>"85392-7153"</f>
        <v>85392-7153</v>
      </c>
      <c r="Q1847" t="s">
        <v>113</v>
      </c>
      <c r="R1847" t="str">
        <f>"501-90-185"</f>
        <v>501-90-185</v>
      </c>
      <c r="S1847" t="s">
        <v>12546</v>
      </c>
      <c r="U1847">
        <v>2232</v>
      </c>
      <c r="V1847">
        <v>0</v>
      </c>
      <c r="W1847">
        <v>3</v>
      </c>
      <c r="X1847">
        <v>1999</v>
      </c>
      <c r="Z1847">
        <v>2</v>
      </c>
      <c r="AB1847">
        <v>0</v>
      </c>
      <c r="AC1847" t="s">
        <v>115</v>
      </c>
      <c r="AD1847">
        <v>2</v>
      </c>
      <c r="AE1847" t="s">
        <v>115</v>
      </c>
      <c r="AF1847">
        <v>0</v>
      </c>
      <c r="AG1847">
        <v>0</v>
      </c>
      <c r="AH1847" t="s">
        <v>116</v>
      </c>
      <c r="AI1847" s="1">
        <v>52455</v>
      </c>
      <c r="AJ1847" s="2">
        <v>0.2</v>
      </c>
      <c r="AK1847" s="1">
        <v>257455</v>
      </c>
      <c r="AL1847" t="s">
        <v>117</v>
      </c>
      <c r="AM1847" t="s">
        <v>118</v>
      </c>
      <c r="AN1847">
        <v>4140</v>
      </c>
      <c r="AO1847">
        <v>0.95</v>
      </c>
      <c r="AP1847">
        <v>1</v>
      </c>
      <c r="AR1847">
        <v>1</v>
      </c>
      <c r="AS1847" s="1">
        <v>16880</v>
      </c>
      <c r="AT1847" s="1">
        <v>3370</v>
      </c>
      <c r="AU1847" s="1">
        <v>13510</v>
      </c>
      <c r="AV1847">
        <v>80.040000000000006</v>
      </c>
      <c r="AX1847" s="1">
        <v>1209.6600000000001</v>
      </c>
      <c r="AY1847" t="s">
        <v>7636</v>
      </c>
      <c r="AZ1847" t="s">
        <v>6701</v>
      </c>
      <c r="BA1847" t="s">
        <v>6702</v>
      </c>
      <c r="BE1847" s="3">
        <v>42517</v>
      </c>
      <c r="BF1847" s="1">
        <v>205000</v>
      </c>
      <c r="BG1847" t="s">
        <v>7720</v>
      </c>
      <c r="BH1847" s="1">
        <v>91.85</v>
      </c>
      <c r="BI1847" s="1">
        <v>205000</v>
      </c>
      <c r="BJ1847" s="3">
        <v>42517</v>
      </c>
      <c r="BK1847" t="s">
        <v>123</v>
      </c>
      <c r="BL1847" t="str">
        <f>"2016.369340"</f>
        <v>2016.369340</v>
      </c>
      <c r="BM1847" t="s">
        <v>1154</v>
      </c>
      <c r="BO1847" t="s">
        <v>12547</v>
      </c>
      <c r="BS1847">
        <v>30</v>
      </c>
      <c r="BW1847" t="str">
        <f>""</f>
        <v/>
      </c>
      <c r="CH1847" t="str">
        <f>""</f>
        <v/>
      </c>
      <c r="CS1847" t="str">
        <f>""</f>
        <v/>
      </c>
    </row>
    <row r="1848" spans="1:97" x14ac:dyDescent="0.25">
      <c r="A1848" t="s">
        <v>886</v>
      </c>
      <c r="B1848" t="s">
        <v>12548</v>
      </c>
      <c r="E1848" t="s">
        <v>12549</v>
      </c>
      <c r="F1848" t="s">
        <v>108</v>
      </c>
      <c r="H1848" t="s">
        <v>12550</v>
      </c>
      <c r="I1848" t="s">
        <v>203</v>
      </c>
      <c r="J1848" t="s">
        <v>111</v>
      </c>
      <c r="K1848" t="str">
        <f>"85297"</f>
        <v>85297</v>
      </c>
      <c r="L1848" t="s">
        <v>7725</v>
      </c>
      <c r="M1848" t="s">
        <v>12550</v>
      </c>
      <c r="N1848" t="s">
        <v>203</v>
      </c>
      <c r="O1848" t="s">
        <v>111</v>
      </c>
      <c r="P1848" t="str">
        <f>"85297-9569"</f>
        <v>85297-9569</v>
      </c>
      <c r="Q1848" t="s">
        <v>113</v>
      </c>
      <c r="R1848" t="str">
        <f>"313-02-102"</f>
        <v>313-02-102</v>
      </c>
      <c r="S1848" t="s">
        <v>8020</v>
      </c>
      <c r="T1848" t="s">
        <v>8021</v>
      </c>
      <c r="U1848">
        <v>2126</v>
      </c>
      <c r="V1848">
        <v>0</v>
      </c>
      <c r="W1848">
        <v>4</v>
      </c>
      <c r="X1848">
        <v>2001</v>
      </c>
      <c r="Z1848">
        <v>2</v>
      </c>
      <c r="AA1848" t="s">
        <v>26</v>
      </c>
      <c r="AB1848">
        <v>0</v>
      </c>
      <c r="AC1848" t="s">
        <v>115</v>
      </c>
      <c r="AD1848">
        <v>2</v>
      </c>
      <c r="AE1848" t="s">
        <v>115</v>
      </c>
      <c r="AF1848">
        <v>0</v>
      </c>
      <c r="AG1848">
        <v>0</v>
      </c>
      <c r="AH1848" t="s">
        <v>116</v>
      </c>
      <c r="AI1848" s="1">
        <v>66554</v>
      </c>
      <c r="AJ1848" s="2">
        <v>0.18</v>
      </c>
      <c r="AK1848" s="1">
        <v>362003</v>
      </c>
      <c r="AL1848" t="s">
        <v>117</v>
      </c>
      <c r="AM1848" t="s">
        <v>191</v>
      </c>
      <c r="AN1848">
        <v>9033</v>
      </c>
      <c r="AO1848">
        <v>0.21</v>
      </c>
      <c r="AP1848">
        <v>1</v>
      </c>
      <c r="AR1848">
        <v>1</v>
      </c>
      <c r="AS1848" s="1">
        <v>25020</v>
      </c>
      <c r="AT1848" s="1">
        <v>5000</v>
      </c>
      <c r="AU1848" s="1">
        <v>20020</v>
      </c>
      <c r="AV1848">
        <v>80.02</v>
      </c>
      <c r="AX1848" s="1">
        <v>2042.28</v>
      </c>
      <c r="AY1848" t="s">
        <v>289</v>
      </c>
      <c r="AZ1848" t="s">
        <v>289</v>
      </c>
      <c r="BA1848" t="s">
        <v>290</v>
      </c>
      <c r="BE1848" s="3">
        <v>41908</v>
      </c>
      <c r="BF1848" s="1">
        <v>285000</v>
      </c>
      <c r="BG1848" t="s">
        <v>12551</v>
      </c>
      <c r="BH1848" s="1">
        <v>134.05000000000001</v>
      </c>
      <c r="BI1848" s="1">
        <v>295449</v>
      </c>
      <c r="BJ1848" s="3">
        <v>42165</v>
      </c>
      <c r="BK1848" t="s">
        <v>123</v>
      </c>
      <c r="BL1848" t="str">
        <f>"2015.412380"</f>
        <v>2015.412380</v>
      </c>
      <c r="BM1848" t="s">
        <v>594</v>
      </c>
      <c r="BO1848" t="s">
        <v>12552</v>
      </c>
      <c r="BS1848">
        <v>30</v>
      </c>
      <c r="BW1848" t="str">
        <f>""</f>
        <v/>
      </c>
      <c r="CH1848" t="str">
        <f>""</f>
        <v/>
      </c>
      <c r="CS1848" t="str">
        <f>""</f>
        <v/>
      </c>
    </row>
    <row r="1849" spans="1:97" x14ac:dyDescent="0.25">
      <c r="A1849" t="s">
        <v>1672</v>
      </c>
      <c r="B1849" t="s">
        <v>12553</v>
      </c>
      <c r="E1849" t="s">
        <v>12554</v>
      </c>
      <c r="F1849" t="s">
        <v>108</v>
      </c>
      <c r="H1849" t="s">
        <v>12555</v>
      </c>
      <c r="I1849" t="s">
        <v>390</v>
      </c>
      <c r="J1849" t="s">
        <v>111</v>
      </c>
      <c r="K1849" t="str">
        <f>"85012"</f>
        <v>85012</v>
      </c>
      <c r="L1849" t="s">
        <v>5485</v>
      </c>
      <c r="M1849" t="s">
        <v>12555</v>
      </c>
      <c r="N1849" t="s">
        <v>390</v>
      </c>
      <c r="O1849" t="s">
        <v>111</v>
      </c>
      <c r="P1849" t="str">
        <f>"85012-2350"</f>
        <v>85012-2350</v>
      </c>
      <c r="Q1849" t="s">
        <v>113</v>
      </c>
      <c r="R1849" t="str">
        <f>"118-23-117"</f>
        <v>118-23-117</v>
      </c>
      <c r="S1849" t="s">
        <v>12556</v>
      </c>
      <c r="T1849" t="s">
        <v>12556</v>
      </c>
      <c r="U1849">
        <v>1306</v>
      </c>
      <c r="V1849">
        <v>0</v>
      </c>
      <c r="W1849">
        <v>2</v>
      </c>
      <c r="X1849">
        <v>1995</v>
      </c>
      <c r="Z1849">
        <v>1</v>
      </c>
      <c r="AB1849">
        <v>0</v>
      </c>
      <c r="AC1849" t="s">
        <v>115</v>
      </c>
      <c r="AD1849">
        <v>2</v>
      </c>
      <c r="AE1849" t="s">
        <v>115</v>
      </c>
      <c r="AF1849">
        <v>0</v>
      </c>
      <c r="AG1849">
        <v>0</v>
      </c>
      <c r="AH1849" t="s">
        <v>116</v>
      </c>
      <c r="AI1849" s="1">
        <v>68956</v>
      </c>
      <c r="AJ1849" s="2">
        <v>0.19</v>
      </c>
      <c r="AK1849" s="1">
        <v>354873</v>
      </c>
      <c r="AL1849" t="s">
        <v>117</v>
      </c>
      <c r="AM1849" t="s">
        <v>191</v>
      </c>
      <c r="AN1849">
        <v>7688</v>
      </c>
      <c r="AO1849">
        <v>0.18</v>
      </c>
      <c r="AP1849">
        <v>1</v>
      </c>
      <c r="AR1849">
        <v>1</v>
      </c>
      <c r="AS1849" s="1">
        <v>25530</v>
      </c>
      <c r="AT1849" s="1">
        <v>5100</v>
      </c>
      <c r="AU1849" s="1">
        <v>20430</v>
      </c>
      <c r="AV1849">
        <v>80.02</v>
      </c>
      <c r="AX1849" s="1">
        <v>1123.68</v>
      </c>
      <c r="AY1849" t="s">
        <v>5689</v>
      </c>
      <c r="AZ1849" t="s">
        <v>5690</v>
      </c>
      <c r="BA1849" t="s">
        <v>5469</v>
      </c>
      <c r="BE1849" s="3">
        <v>42382</v>
      </c>
      <c r="BF1849" s="1">
        <v>279900</v>
      </c>
      <c r="BG1849" t="s">
        <v>12557</v>
      </c>
      <c r="BH1849" s="1">
        <v>214.32</v>
      </c>
      <c r="BI1849" s="1">
        <v>285917</v>
      </c>
      <c r="BJ1849" s="3">
        <v>42382</v>
      </c>
      <c r="BK1849" t="s">
        <v>123</v>
      </c>
      <c r="BL1849" t="str">
        <f>"2016.23577"</f>
        <v>2016.23577</v>
      </c>
      <c r="BM1849" t="s">
        <v>12558</v>
      </c>
      <c r="BO1849" t="s">
        <v>12559</v>
      </c>
      <c r="BS1849">
        <v>30</v>
      </c>
      <c r="BW1849" t="str">
        <f>""</f>
        <v/>
      </c>
      <c r="CH1849" t="str">
        <f>""</f>
        <v/>
      </c>
      <c r="CS1849" t="str">
        <f>""</f>
        <v/>
      </c>
    </row>
    <row r="1850" spans="1:97" x14ac:dyDescent="0.25">
      <c r="A1850" t="s">
        <v>370</v>
      </c>
      <c r="B1850" t="s">
        <v>2580</v>
      </c>
      <c r="C1850" t="s">
        <v>12560</v>
      </c>
      <c r="D1850" t="s">
        <v>2580</v>
      </c>
      <c r="E1850" t="s">
        <v>12561</v>
      </c>
      <c r="F1850" t="s">
        <v>108</v>
      </c>
      <c r="H1850" t="s">
        <v>12562</v>
      </c>
      <c r="I1850" t="s">
        <v>453</v>
      </c>
      <c r="J1850" t="s">
        <v>111</v>
      </c>
      <c r="K1850" t="str">
        <f>"85345"</f>
        <v>85345</v>
      </c>
      <c r="L1850" t="s">
        <v>6964</v>
      </c>
      <c r="M1850" t="s">
        <v>12562</v>
      </c>
      <c r="N1850" t="s">
        <v>453</v>
      </c>
      <c r="O1850" t="s">
        <v>111</v>
      </c>
      <c r="P1850" t="str">
        <f>"85345-7822"</f>
        <v>85345-7822</v>
      </c>
      <c r="Q1850" t="s">
        <v>113</v>
      </c>
      <c r="R1850" t="str">
        <f>"142-32-511"</f>
        <v>142-32-511</v>
      </c>
      <c r="S1850" t="s">
        <v>8048</v>
      </c>
      <c r="T1850" t="s">
        <v>8048</v>
      </c>
      <c r="U1850">
        <v>1508</v>
      </c>
      <c r="V1850">
        <v>0</v>
      </c>
      <c r="W1850">
        <v>2</v>
      </c>
      <c r="X1850">
        <v>2000</v>
      </c>
      <c r="Z1850">
        <v>1</v>
      </c>
      <c r="AA1850" t="s">
        <v>26</v>
      </c>
      <c r="AB1850">
        <v>0</v>
      </c>
      <c r="AC1850" t="s">
        <v>115</v>
      </c>
      <c r="AD1850">
        <v>2</v>
      </c>
      <c r="AE1850" t="s">
        <v>115</v>
      </c>
      <c r="AF1850">
        <v>0</v>
      </c>
      <c r="AG1850">
        <v>0</v>
      </c>
      <c r="AH1850" t="s">
        <v>116</v>
      </c>
      <c r="AI1850" s="1">
        <v>20098</v>
      </c>
      <c r="AJ1850" s="2">
        <v>0.08</v>
      </c>
      <c r="AK1850" s="1">
        <v>252848</v>
      </c>
      <c r="AL1850" t="s">
        <v>117</v>
      </c>
      <c r="AM1850" t="s">
        <v>191</v>
      </c>
      <c r="AN1850">
        <v>6050</v>
      </c>
      <c r="AO1850">
        <v>0.14000000000000001</v>
      </c>
      <c r="AP1850">
        <v>1</v>
      </c>
      <c r="AR1850">
        <v>1</v>
      </c>
      <c r="AS1850" s="1">
        <v>17020</v>
      </c>
      <c r="AT1850" s="1">
        <v>3400</v>
      </c>
      <c r="AU1850" s="1">
        <v>13620</v>
      </c>
      <c r="AV1850">
        <v>80.02</v>
      </c>
      <c r="AX1850" s="1">
        <v>1101.7</v>
      </c>
      <c r="AY1850" t="s">
        <v>6944</v>
      </c>
      <c r="AZ1850" t="s">
        <v>6944</v>
      </c>
      <c r="BA1850" t="s">
        <v>6945</v>
      </c>
      <c r="BE1850" s="3">
        <v>42489</v>
      </c>
      <c r="BF1850" s="1">
        <v>199900</v>
      </c>
      <c r="BG1850" t="s">
        <v>12563</v>
      </c>
      <c r="BH1850" s="1">
        <v>132.56</v>
      </c>
      <c r="BI1850" s="1">
        <v>232750</v>
      </c>
      <c r="BJ1850" s="3">
        <v>43343</v>
      </c>
      <c r="BK1850" t="s">
        <v>123</v>
      </c>
      <c r="BL1850" t="str">
        <f>"2018.658914"</f>
        <v>2018.658914</v>
      </c>
      <c r="BM1850" t="s">
        <v>843</v>
      </c>
      <c r="BN1850" t="s">
        <v>12564</v>
      </c>
      <c r="BO1850" t="s">
        <v>12565</v>
      </c>
      <c r="BP1850" t="s">
        <v>12566</v>
      </c>
      <c r="BR1850" t="s">
        <v>139</v>
      </c>
      <c r="BW1850" t="str">
        <f>""</f>
        <v/>
      </c>
      <c r="CH1850" t="str">
        <f>""</f>
        <v/>
      </c>
      <c r="CS1850" t="str">
        <f>""</f>
        <v/>
      </c>
    </row>
    <row r="1851" spans="1:97" x14ac:dyDescent="0.25">
      <c r="A1851" t="s">
        <v>7406</v>
      </c>
      <c r="B1851" t="s">
        <v>4652</v>
      </c>
      <c r="E1851" t="s">
        <v>12567</v>
      </c>
      <c r="F1851" t="s">
        <v>108</v>
      </c>
      <c r="H1851" t="s">
        <v>12568</v>
      </c>
      <c r="I1851" t="s">
        <v>390</v>
      </c>
      <c r="J1851" t="s">
        <v>111</v>
      </c>
      <c r="K1851" t="str">
        <f>"85027"</f>
        <v>85027</v>
      </c>
      <c r="L1851" t="s">
        <v>5900</v>
      </c>
      <c r="M1851" t="s">
        <v>12568</v>
      </c>
      <c r="N1851" t="s">
        <v>390</v>
      </c>
      <c r="O1851" t="s">
        <v>111</v>
      </c>
      <c r="P1851" t="str">
        <f>"85027-4447"</f>
        <v>85027-4447</v>
      </c>
      <c r="Q1851" t="s">
        <v>113</v>
      </c>
      <c r="R1851" t="str">
        <f>"209-24-674"</f>
        <v>209-24-674</v>
      </c>
      <c r="S1851" t="s">
        <v>12569</v>
      </c>
      <c r="T1851" t="s">
        <v>12570</v>
      </c>
      <c r="U1851">
        <v>1593</v>
      </c>
      <c r="V1851">
        <v>0</v>
      </c>
      <c r="W1851">
        <v>3</v>
      </c>
      <c r="X1851">
        <v>1992</v>
      </c>
      <c r="Z1851">
        <v>1</v>
      </c>
      <c r="AB1851">
        <v>0</v>
      </c>
      <c r="AC1851" t="s">
        <v>115</v>
      </c>
      <c r="AD1851">
        <v>2</v>
      </c>
      <c r="AE1851" t="s">
        <v>115</v>
      </c>
      <c r="AF1851">
        <v>0</v>
      </c>
      <c r="AG1851">
        <v>0</v>
      </c>
      <c r="AH1851" t="s">
        <v>116</v>
      </c>
      <c r="AI1851" s="1">
        <v>58583</v>
      </c>
      <c r="AJ1851" s="2">
        <v>0.22</v>
      </c>
      <c r="AK1851" s="1">
        <v>269582</v>
      </c>
      <c r="AL1851" t="s">
        <v>117</v>
      </c>
      <c r="AM1851" t="s">
        <v>191</v>
      </c>
      <c r="AN1851">
        <v>6953</v>
      </c>
      <c r="AO1851">
        <v>0.16</v>
      </c>
      <c r="AP1851">
        <v>1</v>
      </c>
      <c r="AR1851">
        <v>1</v>
      </c>
      <c r="AS1851" s="1">
        <v>19580</v>
      </c>
      <c r="AT1851" s="1">
        <v>3910</v>
      </c>
      <c r="AU1851" s="1">
        <v>15670</v>
      </c>
      <c r="AV1851">
        <v>80.03</v>
      </c>
      <c r="AX1851" s="1">
        <v>1578.66</v>
      </c>
      <c r="AY1851" t="s">
        <v>12571</v>
      </c>
      <c r="AZ1851" t="s">
        <v>2550</v>
      </c>
      <c r="BA1851" t="s">
        <v>2551</v>
      </c>
      <c r="BE1851" s="3">
        <v>42139</v>
      </c>
      <c r="BF1851" s="1">
        <v>215900</v>
      </c>
      <c r="BG1851" t="s">
        <v>12572</v>
      </c>
      <c r="BH1851" s="1">
        <v>135.53</v>
      </c>
      <c r="BI1851" s="1">
        <v>210999</v>
      </c>
      <c r="BJ1851" s="3">
        <v>42583</v>
      </c>
      <c r="BK1851" t="s">
        <v>123</v>
      </c>
      <c r="BL1851" t="str">
        <f>"2016.543555"</f>
        <v>2016.543555</v>
      </c>
      <c r="BM1851" t="s">
        <v>402</v>
      </c>
      <c r="BO1851" t="s">
        <v>12573</v>
      </c>
      <c r="BS1851">
        <v>30</v>
      </c>
      <c r="BW1851" t="str">
        <f>""</f>
        <v/>
      </c>
      <c r="CH1851" t="str">
        <f>""</f>
        <v/>
      </c>
      <c r="CS1851" t="str">
        <f>""</f>
        <v/>
      </c>
    </row>
    <row r="1852" spans="1:97" x14ac:dyDescent="0.25">
      <c r="A1852" t="s">
        <v>12574</v>
      </c>
      <c r="B1852" t="s">
        <v>12575</v>
      </c>
      <c r="E1852" t="s">
        <v>12576</v>
      </c>
      <c r="F1852" t="s">
        <v>108</v>
      </c>
      <c r="H1852" t="s">
        <v>12577</v>
      </c>
      <c r="I1852" t="s">
        <v>499</v>
      </c>
      <c r="J1852" t="s">
        <v>111</v>
      </c>
      <c r="K1852" t="str">
        <f>"85395"</f>
        <v>85395</v>
      </c>
      <c r="L1852" t="s">
        <v>5743</v>
      </c>
      <c r="M1852" t="s">
        <v>12577</v>
      </c>
      <c r="N1852" t="s">
        <v>499</v>
      </c>
      <c r="O1852" t="s">
        <v>111</v>
      </c>
      <c r="P1852" t="str">
        <f>"85395-6351"</f>
        <v>85395-6351</v>
      </c>
      <c r="Q1852" t="s">
        <v>113</v>
      </c>
      <c r="R1852" t="str">
        <f>"501-61-766"</f>
        <v>501-61-766</v>
      </c>
      <c r="S1852" t="s">
        <v>12578</v>
      </c>
      <c r="T1852" t="s">
        <v>12579</v>
      </c>
      <c r="U1852">
        <v>4135</v>
      </c>
      <c r="V1852">
        <v>0</v>
      </c>
      <c r="W1852">
        <v>6</v>
      </c>
      <c r="X1852">
        <v>2007</v>
      </c>
      <c r="Z1852">
        <v>2</v>
      </c>
      <c r="AA1852" t="s">
        <v>26</v>
      </c>
      <c r="AB1852">
        <v>0</v>
      </c>
      <c r="AC1852" t="s">
        <v>115</v>
      </c>
      <c r="AD1852">
        <v>4</v>
      </c>
      <c r="AE1852" t="s">
        <v>115</v>
      </c>
      <c r="AF1852">
        <v>0</v>
      </c>
      <c r="AG1852">
        <v>0</v>
      </c>
      <c r="AH1852" t="s">
        <v>116</v>
      </c>
      <c r="AI1852" s="1">
        <v>105267</v>
      </c>
      <c r="AJ1852" s="2">
        <v>0.24</v>
      </c>
      <c r="AK1852" s="1">
        <v>444467</v>
      </c>
      <c r="AL1852" t="s">
        <v>117</v>
      </c>
      <c r="AM1852" t="s">
        <v>118</v>
      </c>
      <c r="AN1852">
        <v>10493</v>
      </c>
      <c r="AO1852">
        <v>0.24</v>
      </c>
      <c r="AR1852">
        <v>1</v>
      </c>
      <c r="AS1852" s="1">
        <v>34020</v>
      </c>
      <c r="AT1852" s="1">
        <v>6800</v>
      </c>
      <c r="AU1852" s="1">
        <v>27220</v>
      </c>
      <c r="AV1852">
        <v>80.010000000000005</v>
      </c>
      <c r="AX1852" s="1">
        <v>4334.3</v>
      </c>
      <c r="AY1852" t="s">
        <v>3020</v>
      </c>
      <c r="AZ1852" t="s">
        <v>3020</v>
      </c>
      <c r="BA1852" t="s">
        <v>3154</v>
      </c>
      <c r="BE1852" s="3">
        <v>42164</v>
      </c>
      <c r="BF1852" s="1">
        <v>315000</v>
      </c>
      <c r="BG1852" t="s">
        <v>12580</v>
      </c>
      <c r="BH1852" s="1">
        <v>76.180000000000007</v>
      </c>
      <c r="BI1852" s="1">
        <v>339200</v>
      </c>
      <c r="BJ1852" s="3">
        <v>43083</v>
      </c>
      <c r="BK1852" t="s">
        <v>123</v>
      </c>
      <c r="BL1852" t="str">
        <f>"2017.925103"</f>
        <v>2017.925103</v>
      </c>
      <c r="BM1852" t="s">
        <v>1992</v>
      </c>
      <c r="BN1852">
        <v>48226</v>
      </c>
      <c r="BO1852" t="s">
        <v>12581</v>
      </c>
      <c r="BS1852">
        <v>30</v>
      </c>
      <c r="BT1852" s="1">
        <v>339200</v>
      </c>
      <c r="BU1852" s="3">
        <v>43083</v>
      </c>
      <c r="BV1852" t="s">
        <v>123</v>
      </c>
      <c r="BW1852" t="str">
        <f>"2017.925103"</f>
        <v>2017.925103</v>
      </c>
      <c r="BX1852" t="s">
        <v>1992</v>
      </c>
      <c r="BZ1852" t="s">
        <v>12581</v>
      </c>
      <c r="CD1852">
        <v>30</v>
      </c>
      <c r="CH1852" t="str">
        <f>""</f>
        <v/>
      </c>
      <c r="CS1852" t="str">
        <f>""</f>
        <v/>
      </c>
    </row>
    <row r="1853" spans="1:97" x14ac:dyDescent="0.25">
      <c r="A1853" t="s">
        <v>3613</v>
      </c>
      <c r="B1853" t="s">
        <v>12582</v>
      </c>
      <c r="C1853" t="s">
        <v>10562</v>
      </c>
      <c r="D1853" t="s">
        <v>12582</v>
      </c>
      <c r="E1853" t="s">
        <v>12583</v>
      </c>
      <c r="F1853" t="s">
        <v>108</v>
      </c>
      <c r="H1853" t="s">
        <v>12584</v>
      </c>
      <c r="I1853" t="s">
        <v>632</v>
      </c>
      <c r="J1853" t="s">
        <v>111</v>
      </c>
      <c r="K1853" t="str">
        <f>"85388"</f>
        <v>85388</v>
      </c>
      <c r="L1853" t="s">
        <v>1796</v>
      </c>
      <c r="M1853" t="s">
        <v>12584</v>
      </c>
      <c r="N1853" t="s">
        <v>632</v>
      </c>
      <c r="O1853" t="s">
        <v>111</v>
      </c>
      <c r="P1853" t="str">
        <f>"85388-1269"</f>
        <v>85388-1269</v>
      </c>
      <c r="Q1853" t="s">
        <v>113</v>
      </c>
      <c r="R1853" t="str">
        <f>"502-01-394"</f>
        <v>502-01-394</v>
      </c>
      <c r="S1853" t="s">
        <v>12585</v>
      </c>
      <c r="T1853" t="s">
        <v>5431</v>
      </c>
      <c r="U1853">
        <v>2285</v>
      </c>
      <c r="V1853">
        <v>0</v>
      </c>
      <c r="W1853">
        <v>3</v>
      </c>
      <c r="X1853">
        <v>2004</v>
      </c>
      <c r="Z1853">
        <v>2</v>
      </c>
      <c r="AA1853" t="s">
        <v>26</v>
      </c>
      <c r="AB1853">
        <v>0</v>
      </c>
      <c r="AC1853" t="s">
        <v>115</v>
      </c>
      <c r="AD1853">
        <v>2</v>
      </c>
      <c r="AE1853" t="s">
        <v>115</v>
      </c>
      <c r="AF1853">
        <v>0</v>
      </c>
      <c r="AG1853">
        <v>0</v>
      </c>
      <c r="AH1853" t="s">
        <v>116</v>
      </c>
      <c r="AI1853" s="1">
        <v>67332</v>
      </c>
      <c r="AJ1853" s="2">
        <v>0.24</v>
      </c>
      <c r="AK1853" s="1">
        <v>282332</v>
      </c>
      <c r="AL1853" t="s">
        <v>117</v>
      </c>
      <c r="AM1853" t="s">
        <v>118</v>
      </c>
      <c r="AN1853">
        <v>6900</v>
      </c>
      <c r="AO1853">
        <v>0.16</v>
      </c>
      <c r="AP1853">
        <v>1</v>
      </c>
      <c r="AR1853">
        <v>1</v>
      </c>
      <c r="AS1853" s="1">
        <v>19800</v>
      </c>
      <c r="AT1853" s="1">
        <v>3960</v>
      </c>
      <c r="AU1853" s="1">
        <v>15840</v>
      </c>
      <c r="AV1853">
        <v>80</v>
      </c>
      <c r="AX1853" s="1">
        <v>1393.2</v>
      </c>
      <c r="AY1853" t="s">
        <v>5432</v>
      </c>
      <c r="AZ1853" t="s">
        <v>5432</v>
      </c>
      <c r="BA1853" t="s">
        <v>5109</v>
      </c>
      <c r="BE1853" s="3">
        <v>42551</v>
      </c>
      <c r="BF1853" s="1">
        <v>215000</v>
      </c>
      <c r="BG1853" t="s">
        <v>12586</v>
      </c>
      <c r="BH1853" s="1">
        <v>94.09</v>
      </c>
      <c r="BI1853" s="1">
        <v>215000</v>
      </c>
      <c r="BJ1853" s="3">
        <v>42551</v>
      </c>
      <c r="BK1853" t="s">
        <v>123</v>
      </c>
      <c r="BL1853" t="str">
        <f>"2016.463148"</f>
        <v>2016.463148</v>
      </c>
      <c r="BM1853" t="s">
        <v>724</v>
      </c>
      <c r="BO1853" t="s">
        <v>12587</v>
      </c>
      <c r="BS1853">
        <v>30</v>
      </c>
      <c r="BW1853" t="str">
        <f>""</f>
        <v/>
      </c>
      <c r="CH1853" t="str">
        <f>""</f>
        <v/>
      </c>
      <c r="CS1853" t="str">
        <f>""</f>
        <v/>
      </c>
    </row>
    <row r="1854" spans="1:97" x14ac:dyDescent="0.25">
      <c r="A1854" t="s">
        <v>894</v>
      </c>
      <c r="B1854" t="s">
        <v>12588</v>
      </c>
      <c r="C1854" t="s">
        <v>12589</v>
      </c>
      <c r="D1854" t="s">
        <v>12588</v>
      </c>
      <c r="E1854" t="s">
        <v>12590</v>
      </c>
      <c r="F1854" t="s">
        <v>108</v>
      </c>
      <c r="H1854" t="s">
        <v>12591</v>
      </c>
      <c r="I1854" t="s">
        <v>5114</v>
      </c>
      <c r="J1854" t="s">
        <v>111</v>
      </c>
      <c r="K1854" t="str">
        <f>"85392"</f>
        <v>85392</v>
      </c>
      <c r="L1854" t="s">
        <v>5308</v>
      </c>
      <c r="M1854" t="s">
        <v>12591</v>
      </c>
      <c r="N1854" t="s">
        <v>5114</v>
      </c>
      <c r="O1854" t="s">
        <v>111</v>
      </c>
      <c r="P1854" t="str">
        <f>"85392-5220"</f>
        <v>85392-5220</v>
      </c>
      <c r="Q1854" t="s">
        <v>113</v>
      </c>
      <c r="R1854" t="str">
        <f>"102-32-228"</f>
        <v>102-32-228</v>
      </c>
      <c r="S1854" t="s">
        <v>12592</v>
      </c>
      <c r="T1854" t="s">
        <v>12593</v>
      </c>
      <c r="U1854">
        <v>2912</v>
      </c>
      <c r="V1854">
        <v>0</v>
      </c>
      <c r="W1854">
        <v>4</v>
      </c>
      <c r="X1854">
        <v>2008</v>
      </c>
      <c r="Z1854">
        <v>2</v>
      </c>
      <c r="AB1854">
        <v>0</v>
      </c>
      <c r="AC1854" t="s">
        <v>115</v>
      </c>
      <c r="AD1854">
        <v>3</v>
      </c>
      <c r="AE1854" t="s">
        <v>115</v>
      </c>
      <c r="AF1854">
        <v>0</v>
      </c>
      <c r="AG1854">
        <v>0</v>
      </c>
      <c r="AH1854" t="s">
        <v>116</v>
      </c>
      <c r="AI1854" s="1">
        <v>-62955</v>
      </c>
      <c r="AJ1854" s="2">
        <v>-0.24</v>
      </c>
      <c r="AK1854" s="1">
        <v>262440</v>
      </c>
      <c r="AL1854" t="s">
        <v>117</v>
      </c>
      <c r="AM1854" t="s">
        <v>191</v>
      </c>
      <c r="AN1854">
        <v>7277</v>
      </c>
      <c r="AO1854">
        <v>0.17</v>
      </c>
      <c r="AR1854">
        <v>1</v>
      </c>
      <c r="AS1854" s="1">
        <v>23000</v>
      </c>
      <c r="AT1854" s="1">
        <v>4600</v>
      </c>
      <c r="AU1854" s="1">
        <v>18400</v>
      </c>
      <c r="AV1854">
        <v>80</v>
      </c>
      <c r="AX1854" s="1">
        <v>3109.18</v>
      </c>
      <c r="AY1854" t="s">
        <v>5117</v>
      </c>
      <c r="AZ1854" t="s">
        <v>5117</v>
      </c>
      <c r="BA1854" t="s">
        <v>5118</v>
      </c>
      <c r="BE1854" s="3">
        <v>42293</v>
      </c>
      <c r="BF1854" s="1">
        <v>252000</v>
      </c>
      <c r="BG1854" t="s">
        <v>12594</v>
      </c>
      <c r="BH1854" s="1">
        <v>86.54</v>
      </c>
      <c r="BI1854" s="1">
        <v>325395</v>
      </c>
      <c r="BJ1854" s="3">
        <v>43342</v>
      </c>
      <c r="BK1854" t="s">
        <v>123</v>
      </c>
      <c r="BL1854" t="str">
        <f>"2018.655782"</f>
        <v>2018.655782</v>
      </c>
      <c r="BM1854" t="s">
        <v>2891</v>
      </c>
      <c r="BN1854" t="s">
        <v>381</v>
      </c>
      <c r="BO1854" t="s">
        <v>12595</v>
      </c>
      <c r="BP1854" t="s">
        <v>12596</v>
      </c>
      <c r="BR1854" t="s">
        <v>139</v>
      </c>
      <c r="BW1854" t="str">
        <f>""</f>
        <v/>
      </c>
      <c r="CH1854" t="str">
        <f>""</f>
        <v/>
      </c>
      <c r="CS1854" t="str">
        <f>""</f>
        <v/>
      </c>
    </row>
    <row r="1855" spans="1:97" x14ac:dyDescent="0.25">
      <c r="A1855" t="s">
        <v>179</v>
      </c>
      <c r="B1855" t="s">
        <v>12597</v>
      </c>
      <c r="E1855" t="s">
        <v>12598</v>
      </c>
      <c r="F1855" t="s">
        <v>108</v>
      </c>
      <c r="H1855" t="s">
        <v>12599</v>
      </c>
      <c r="I1855" t="s">
        <v>188</v>
      </c>
      <c r="J1855" t="s">
        <v>111</v>
      </c>
      <c r="K1855" t="str">
        <f>"85142"</f>
        <v>85142</v>
      </c>
      <c r="L1855" t="s">
        <v>11339</v>
      </c>
      <c r="M1855" t="s">
        <v>12599</v>
      </c>
      <c r="N1855" t="s">
        <v>188</v>
      </c>
      <c r="O1855" t="s">
        <v>111</v>
      </c>
      <c r="P1855" t="str">
        <f>"85142-4579"</f>
        <v>85142-4579</v>
      </c>
      <c r="R1855" t="str">
        <f>"304-64-359"</f>
        <v>304-64-359</v>
      </c>
      <c r="S1855" t="s">
        <v>12600</v>
      </c>
      <c r="T1855" t="s">
        <v>12600</v>
      </c>
      <c r="U1855">
        <v>3743</v>
      </c>
      <c r="V1855">
        <v>0</v>
      </c>
      <c r="W1855">
        <v>5</v>
      </c>
      <c r="X1855">
        <v>2015</v>
      </c>
      <c r="Z1855">
        <v>1</v>
      </c>
      <c r="AB1855">
        <v>0</v>
      </c>
      <c r="AC1855" t="s">
        <v>115</v>
      </c>
      <c r="AD1855">
        <v>3</v>
      </c>
      <c r="AE1855" t="s">
        <v>115</v>
      </c>
      <c r="AF1855">
        <v>0</v>
      </c>
      <c r="AG1855">
        <v>0</v>
      </c>
      <c r="AH1855" t="s">
        <v>116</v>
      </c>
      <c r="AI1855" s="1">
        <v>28260</v>
      </c>
      <c r="AJ1855" s="2">
        <v>0.05</v>
      </c>
      <c r="AK1855" s="1">
        <v>541011</v>
      </c>
      <c r="AL1855" t="s">
        <v>117</v>
      </c>
      <c r="AM1855" t="s">
        <v>1521</v>
      </c>
      <c r="AN1855">
        <v>16120</v>
      </c>
      <c r="AO1855">
        <v>0.37</v>
      </c>
      <c r="AR1855">
        <v>1</v>
      </c>
      <c r="AS1855" s="1">
        <v>39620</v>
      </c>
      <c r="AT1855" s="1">
        <v>7920</v>
      </c>
      <c r="AU1855" s="1">
        <v>31700</v>
      </c>
      <c r="AV1855">
        <v>80.010000000000005</v>
      </c>
      <c r="AX1855" s="1">
        <v>3567.76</v>
      </c>
      <c r="AY1855" t="s">
        <v>560</v>
      </c>
      <c r="AZ1855" t="s">
        <v>561</v>
      </c>
      <c r="BA1855" t="s">
        <v>194</v>
      </c>
      <c r="BE1855" s="3">
        <v>42369</v>
      </c>
      <c r="BF1855" s="1">
        <v>448309</v>
      </c>
      <c r="BG1855" t="s">
        <v>158</v>
      </c>
      <c r="BH1855" s="1">
        <v>119.77</v>
      </c>
      <c r="BI1855" s="1">
        <v>449951</v>
      </c>
      <c r="BJ1855" s="3">
        <v>42369</v>
      </c>
      <c r="BK1855" t="s">
        <v>123</v>
      </c>
      <c r="BL1855" t="str">
        <f>"2015.922371"</f>
        <v>2015.922371</v>
      </c>
      <c r="BM1855" t="s">
        <v>241</v>
      </c>
      <c r="BN1855" t="s">
        <v>1025</v>
      </c>
      <c r="BO1855" t="s">
        <v>12601</v>
      </c>
      <c r="BS1855">
        <v>30</v>
      </c>
      <c r="BT1855" s="1">
        <v>62800</v>
      </c>
      <c r="BU1855" s="3">
        <v>43761</v>
      </c>
      <c r="BV1855" t="s">
        <v>134</v>
      </c>
      <c r="BW1855" t="str">
        <f>"2019.844169"</f>
        <v>2019.844169</v>
      </c>
      <c r="BX1855" t="s">
        <v>383</v>
      </c>
      <c r="BY1855" t="s">
        <v>384</v>
      </c>
      <c r="BZ1855" t="s">
        <v>12602</v>
      </c>
      <c r="CC1855" t="s">
        <v>139</v>
      </c>
      <c r="CH1855" t="str">
        <f>""</f>
        <v/>
      </c>
      <c r="CS1855" t="str">
        <f>""</f>
        <v/>
      </c>
    </row>
    <row r="1856" spans="1:97" x14ac:dyDescent="0.25">
      <c r="A1856" t="s">
        <v>12603</v>
      </c>
      <c r="B1856" t="s">
        <v>348</v>
      </c>
      <c r="C1856" t="s">
        <v>2019</v>
      </c>
      <c r="D1856" t="s">
        <v>348</v>
      </c>
      <c r="E1856" t="s">
        <v>12604</v>
      </c>
      <c r="F1856" t="s">
        <v>108</v>
      </c>
      <c r="H1856" t="s">
        <v>12605</v>
      </c>
      <c r="I1856" t="s">
        <v>453</v>
      </c>
      <c r="J1856" t="s">
        <v>111</v>
      </c>
      <c r="K1856" t="str">
        <f>"85383"</f>
        <v>85383</v>
      </c>
      <c r="L1856" t="s">
        <v>5637</v>
      </c>
      <c r="M1856" t="s">
        <v>12605</v>
      </c>
      <c r="N1856" t="s">
        <v>453</v>
      </c>
      <c r="O1856" t="s">
        <v>111</v>
      </c>
      <c r="P1856" t="str">
        <f>"85383-1154"</f>
        <v>85383-1154</v>
      </c>
      <c r="Q1856" t="s">
        <v>113</v>
      </c>
      <c r="R1856" t="str">
        <f>"201-16-073"</f>
        <v>201-16-073</v>
      </c>
      <c r="S1856" t="s">
        <v>12606</v>
      </c>
      <c r="T1856" t="s">
        <v>12607</v>
      </c>
      <c r="U1856">
        <v>3228</v>
      </c>
      <c r="V1856">
        <v>0</v>
      </c>
      <c r="W1856">
        <v>4</v>
      </c>
      <c r="X1856">
        <v>1986</v>
      </c>
      <c r="Z1856">
        <v>1</v>
      </c>
      <c r="AA1856" t="s">
        <v>26</v>
      </c>
      <c r="AB1856">
        <v>0</v>
      </c>
      <c r="AC1856" t="s">
        <v>115</v>
      </c>
      <c r="AD1856">
        <v>3</v>
      </c>
      <c r="AE1856" t="s">
        <v>115</v>
      </c>
      <c r="AF1856">
        <v>0</v>
      </c>
      <c r="AG1856">
        <v>0</v>
      </c>
      <c r="AH1856" t="s">
        <v>116</v>
      </c>
      <c r="AI1856" s="1">
        <v>111038</v>
      </c>
      <c r="AJ1856" s="2">
        <v>0.19</v>
      </c>
      <c r="AK1856" s="1">
        <v>575113</v>
      </c>
      <c r="AL1856" t="s">
        <v>117</v>
      </c>
      <c r="AM1856" t="s">
        <v>616</v>
      </c>
      <c r="AN1856">
        <v>23800</v>
      </c>
      <c r="AO1856">
        <v>0.55000000000000004</v>
      </c>
      <c r="AP1856">
        <v>1</v>
      </c>
      <c r="AR1856">
        <v>1</v>
      </c>
      <c r="AS1856" s="1">
        <v>43170</v>
      </c>
      <c r="AT1856" s="1">
        <v>8630</v>
      </c>
      <c r="AU1856" s="1">
        <v>34540</v>
      </c>
      <c r="AV1856">
        <v>80.010000000000005</v>
      </c>
      <c r="AX1856" s="1">
        <v>3779.54</v>
      </c>
      <c r="AY1856" t="s">
        <v>1808</v>
      </c>
      <c r="AZ1856" t="s">
        <v>1808</v>
      </c>
      <c r="BA1856" t="s">
        <v>457</v>
      </c>
      <c r="BE1856" s="3">
        <v>41731</v>
      </c>
      <c r="BF1856" s="1">
        <v>460000</v>
      </c>
      <c r="BG1856" t="s">
        <v>12608</v>
      </c>
      <c r="BH1856" s="1">
        <v>142.5</v>
      </c>
      <c r="BI1856" s="1">
        <v>464075</v>
      </c>
      <c r="BJ1856" s="3">
        <v>41731</v>
      </c>
      <c r="BK1856" t="s">
        <v>123</v>
      </c>
      <c r="BL1856" t="str">
        <f>"2014.210101"</f>
        <v>2014.210101</v>
      </c>
      <c r="BM1856" t="s">
        <v>150</v>
      </c>
      <c r="BO1856" t="s">
        <v>12609</v>
      </c>
      <c r="BS1856">
        <v>30</v>
      </c>
      <c r="BW1856" t="str">
        <f>""</f>
        <v/>
      </c>
      <c r="CH1856" t="str">
        <f>""</f>
        <v/>
      </c>
      <c r="CS1856" t="str">
        <f>""</f>
        <v/>
      </c>
    </row>
    <row r="1857" spans="1:97" x14ac:dyDescent="0.25">
      <c r="A1857" t="s">
        <v>3089</v>
      </c>
      <c r="B1857" t="s">
        <v>8664</v>
      </c>
      <c r="C1857" t="s">
        <v>179</v>
      </c>
      <c r="D1857" t="s">
        <v>8664</v>
      </c>
      <c r="E1857" t="s">
        <v>12610</v>
      </c>
      <c r="F1857" t="s">
        <v>108</v>
      </c>
      <c r="H1857" t="s">
        <v>12611</v>
      </c>
      <c r="I1857" t="s">
        <v>390</v>
      </c>
      <c r="J1857" t="s">
        <v>111</v>
      </c>
      <c r="K1857" t="str">
        <f>"85045"</f>
        <v>85045</v>
      </c>
      <c r="L1857" t="s">
        <v>8199</v>
      </c>
      <c r="M1857" t="s">
        <v>12611</v>
      </c>
      <c r="N1857" t="s">
        <v>390</v>
      </c>
      <c r="O1857" t="s">
        <v>111</v>
      </c>
      <c r="P1857" t="str">
        <f>"85045-1807"</f>
        <v>85045-1807</v>
      </c>
      <c r="Q1857" t="s">
        <v>113</v>
      </c>
      <c r="R1857" t="str">
        <f>"300-95-349"</f>
        <v>300-95-349</v>
      </c>
      <c r="S1857" t="s">
        <v>12612</v>
      </c>
      <c r="T1857" t="s">
        <v>12613</v>
      </c>
      <c r="U1857">
        <v>3241</v>
      </c>
      <c r="V1857">
        <v>0</v>
      </c>
      <c r="W1857">
        <v>4</v>
      </c>
      <c r="X1857">
        <v>1994</v>
      </c>
      <c r="Z1857">
        <v>2</v>
      </c>
      <c r="AA1857" t="s">
        <v>26</v>
      </c>
      <c r="AB1857">
        <v>0</v>
      </c>
      <c r="AC1857" t="s">
        <v>115</v>
      </c>
      <c r="AD1857">
        <v>3</v>
      </c>
      <c r="AE1857" t="s">
        <v>115</v>
      </c>
      <c r="AF1857">
        <v>0</v>
      </c>
      <c r="AG1857">
        <v>0</v>
      </c>
      <c r="AH1857" t="s">
        <v>116</v>
      </c>
      <c r="AI1857" s="1">
        <v>51244</v>
      </c>
      <c r="AJ1857" s="2">
        <v>0.11</v>
      </c>
      <c r="AK1857" s="1">
        <v>454114</v>
      </c>
      <c r="AL1857" t="s">
        <v>117</v>
      </c>
      <c r="AM1857" t="s">
        <v>191</v>
      </c>
      <c r="AN1857">
        <v>6421</v>
      </c>
      <c r="AO1857">
        <v>0.15</v>
      </c>
      <c r="AP1857">
        <v>1</v>
      </c>
      <c r="AR1857">
        <v>1</v>
      </c>
      <c r="AS1857" s="1">
        <v>34560</v>
      </c>
      <c r="AT1857" s="1">
        <v>6910</v>
      </c>
      <c r="AU1857" s="1">
        <v>27650</v>
      </c>
      <c r="AV1857">
        <v>80.010000000000005</v>
      </c>
      <c r="AX1857" s="1">
        <v>3723.9</v>
      </c>
      <c r="AY1857" t="s">
        <v>6202</v>
      </c>
      <c r="AZ1857" t="s">
        <v>2967</v>
      </c>
      <c r="BA1857" t="s">
        <v>930</v>
      </c>
      <c r="BE1857" s="3">
        <v>42248</v>
      </c>
      <c r="BF1857" s="1">
        <v>370000</v>
      </c>
      <c r="BG1857" t="s">
        <v>12614</v>
      </c>
      <c r="BH1857" s="1">
        <v>114.16</v>
      </c>
      <c r="BI1857" s="1">
        <v>402870</v>
      </c>
      <c r="BJ1857" s="3">
        <v>42734</v>
      </c>
      <c r="BK1857" t="s">
        <v>123</v>
      </c>
      <c r="BL1857" t="str">
        <f>"2016.965704"</f>
        <v>2016.965704</v>
      </c>
      <c r="BM1857" t="s">
        <v>1185</v>
      </c>
      <c r="BO1857" t="s">
        <v>12615</v>
      </c>
      <c r="BS1857">
        <v>30</v>
      </c>
      <c r="BW1857" t="str">
        <f>""</f>
        <v/>
      </c>
      <c r="CH1857" t="str">
        <f>""</f>
        <v/>
      </c>
      <c r="CS1857" t="str">
        <f>""</f>
        <v/>
      </c>
    </row>
    <row r="1858" spans="1:97" x14ac:dyDescent="0.25">
      <c r="A1858" t="s">
        <v>701</v>
      </c>
      <c r="B1858" t="s">
        <v>12616</v>
      </c>
      <c r="E1858" t="s">
        <v>12617</v>
      </c>
      <c r="F1858" t="s">
        <v>108</v>
      </c>
      <c r="H1858" t="s">
        <v>12618</v>
      </c>
      <c r="I1858" t="s">
        <v>5523</v>
      </c>
      <c r="J1858" t="s">
        <v>111</v>
      </c>
      <c r="K1858" t="str">
        <f>"85373"</f>
        <v>85373</v>
      </c>
      <c r="L1858" t="s">
        <v>5524</v>
      </c>
      <c r="M1858" t="s">
        <v>12618</v>
      </c>
      <c r="N1858" t="s">
        <v>5523</v>
      </c>
      <c r="O1858" t="s">
        <v>111</v>
      </c>
      <c r="P1858" t="str">
        <f>"85373-5608"</f>
        <v>85373-5608</v>
      </c>
      <c r="Q1858" t="s">
        <v>113</v>
      </c>
      <c r="R1858" t="str">
        <f>"503-88-411"</f>
        <v>503-88-411</v>
      </c>
      <c r="S1858" t="s">
        <v>8902</v>
      </c>
      <c r="T1858" t="s">
        <v>6818</v>
      </c>
      <c r="U1858">
        <v>2347</v>
      </c>
      <c r="V1858">
        <v>0</v>
      </c>
      <c r="W1858">
        <v>3</v>
      </c>
      <c r="X1858">
        <v>2006</v>
      </c>
      <c r="Z1858">
        <v>1</v>
      </c>
      <c r="AA1858" t="s">
        <v>26</v>
      </c>
      <c r="AB1858">
        <v>0</v>
      </c>
      <c r="AC1858" t="s">
        <v>115</v>
      </c>
      <c r="AD1858">
        <v>3</v>
      </c>
      <c r="AE1858" t="s">
        <v>115</v>
      </c>
      <c r="AF1858">
        <v>0</v>
      </c>
      <c r="AG1858">
        <v>0</v>
      </c>
      <c r="AH1858" t="s">
        <v>116</v>
      </c>
      <c r="AI1858" s="1">
        <v>99802</v>
      </c>
      <c r="AJ1858" s="2">
        <v>0.3</v>
      </c>
      <c r="AK1858" s="1">
        <v>337006</v>
      </c>
      <c r="AL1858" t="s">
        <v>117</v>
      </c>
      <c r="AM1858" t="s">
        <v>393</v>
      </c>
      <c r="AN1858">
        <v>7921</v>
      </c>
      <c r="AO1858">
        <v>0.18</v>
      </c>
      <c r="AR1858">
        <v>1</v>
      </c>
      <c r="AS1858" s="1">
        <v>24310</v>
      </c>
      <c r="AT1858" s="1">
        <v>4860</v>
      </c>
      <c r="AU1858" s="1">
        <v>19450</v>
      </c>
      <c r="AV1858">
        <v>80.010000000000005</v>
      </c>
      <c r="AX1858" s="1">
        <v>2518.42</v>
      </c>
      <c r="AY1858" t="s">
        <v>3228</v>
      </c>
      <c r="AZ1858" t="s">
        <v>3228</v>
      </c>
      <c r="BA1858" t="s">
        <v>457</v>
      </c>
      <c r="BE1858" s="3">
        <v>41712</v>
      </c>
      <c r="BF1858" s="1">
        <v>259900</v>
      </c>
      <c r="BG1858" t="s">
        <v>12619</v>
      </c>
      <c r="BH1858" s="1">
        <v>110.74</v>
      </c>
      <c r="BI1858" s="1">
        <v>237204</v>
      </c>
      <c r="BJ1858" s="3">
        <v>41943</v>
      </c>
      <c r="BK1858" t="s">
        <v>123</v>
      </c>
      <c r="BL1858" t="str">
        <f>"2014.723920"</f>
        <v>2014.723920</v>
      </c>
      <c r="BM1858" t="s">
        <v>255</v>
      </c>
      <c r="BO1858" t="s">
        <v>12620</v>
      </c>
      <c r="BS1858">
        <v>30</v>
      </c>
      <c r="BW1858" t="str">
        <f>""</f>
        <v/>
      </c>
      <c r="CH1858" t="str">
        <f>""</f>
        <v/>
      </c>
      <c r="CS1858" t="str">
        <f>""</f>
        <v/>
      </c>
    </row>
    <row r="1859" spans="1:97" x14ac:dyDescent="0.25">
      <c r="A1859" t="s">
        <v>2685</v>
      </c>
      <c r="B1859" t="s">
        <v>12621</v>
      </c>
      <c r="C1859" t="s">
        <v>364</v>
      </c>
      <c r="D1859" t="s">
        <v>12621</v>
      </c>
      <c r="E1859" t="s">
        <v>12622</v>
      </c>
      <c r="F1859" t="s">
        <v>108</v>
      </c>
      <c r="H1859" t="s">
        <v>12623</v>
      </c>
      <c r="I1859" t="s">
        <v>144</v>
      </c>
      <c r="J1859" t="s">
        <v>111</v>
      </c>
      <c r="K1859" t="str">
        <f>"85326"</f>
        <v>85326</v>
      </c>
      <c r="L1859" t="s">
        <v>8146</v>
      </c>
      <c r="M1859" t="s">
        <v>12623</v>
      </c>
      <c r="N1859" t="s">
        <v>144</v>
      </c>
      <c r="O1859" t="s">
        <v>111</v>
      </c>
      <c r="P1859" t="str">
        <f>"85326-6639"</f>
        <v>85326-6639</v>
      </c>
      <c r="Q1859" t="s">
        <v>113</v>
      </c>
      <c r="R1859" t="str">
        <f>"502-35-431"</f>
        <v>502-35-431</v>
      </c>
      <c r="S1859" t="s">
        <v>10984</v>
      </c>
      <c r="U1859">
        <v>2693</v>
      </c>
      <c r="V1859">
        <v>0</v>
      </c>
      <c r="W1859">
        <v>4</v>
      </c>
      <c r="X1859">
        <v>2015</v>
      </c>
      <c r="Z1859">
        <v>2</v>
      </c>
      <c r="AB1859">
        <v>0</v>
      </c>
      <c r="AC1859" t="s">
        <v>115</v>
      </c>
      <c r="AD1859">
        <v>2</v>
      </c>
      <c r="AE1859" t="s">
        <v>115</v>
      </c>
      <c r="AF1859">
        <v>0</v>
      </c>
      <c r="AG1859">
        <v>0</v>
      </c>
      <c r="AH1859" t="s">
        <v>116</v>
      </c>
      <c r="AI1859" s="1">
        <v>62899</v>
      </c>
      <c r="AJ1859" s="2">
        <v>0.19</v>
      </c>
      <c r="AK1859" s="1">
        <v>334899</v>
      </c>
      <c r="AL1859" t="s">
        <v>117</v>
      </c>
      <c r="AM1859" t="s">
        <v>118</v>
      </c>
      <c r="AN1859">
        <v>12115</v>
      </c>
      <c r="AO1859">
        <v>0.28000000000000003</v>
      </c>
      <c r="AR1859">
        <v>1</v>
      </c>
      <c r="AS1859" s="1">
        <v>23200</v>
      </c>
      <c r="AT1859" s="1">
        <v>4640</v>
      </c>
      <c r="AU1859" s="1">
        <v>18560</v>
      </c>
      <c r="AV1859">
        <v>80</v>
      </c>
      <c r="AX1859" s="1">
        <v>1966</v>
      </c>
      <c r="AY1859" t="s">
        <v>2767</v>
      </c>
      <c r="AZ1859" t="s">
        <v>2767</v>
      </c>
      <c r="BA1859" t="s">
        <v>5025</v>
      </c>
      <c r="BE1859" s="3">
        <v>42180</v>
      </c>
      <c r="BF1859" s="1">
        <v>277479</v>
      </c>
      <c r="BG1859" t="s">
        <v>749</v>
      </c>
      <c r="BH1859" s="1">
        <v>103.04</v>
      </c>
      <c r="BI1859" s="1">
        <v>272000</v>
      </c>
      <c r="BJ1859" s="3">
        <v>43186</v>
      </c>
      <c r="BK1859" t="s">
        <v>123</v>
      </c>
      <c r="BL1859" t="str">
        <f>"2018.227617"</f>
        <v>2018.227617</v>
      </c>
      <c r="BM1859" t="s">
        <v>11502</v>
      </c>
      <c r="BN1859" t="s">
        <v>12624</v>
      </c>
      <c r="BO1859" t="s">
        <v>12625</v>
      </c>
      <c r="BP1859" t="s">
        <v>12626</v>
      </c>
      <c r="BR1859" t="s">
        <v>139</v>
      </c>
      <c r="BW1859" t="str">
        <f>""</f>
        <v/>
      </c>
      <c r="CH1859" t="str">
        <f>""</f>
        <v/>
      </c>
      <c r="CS1859" t="str">
        <f>""</f>
        <v/>
      </c>
    </row>
    <row r="1860" spans="1:97" x14ac:dyDescent="0.25">
      <c r="A1860" t="s">
        <v>370</v>
      </c>
      <c r="B1860" t="s">
        <v>12627</v>
      </c>
      <c r="E1860" t="s">
        <v>12628</v>
      </c>
      <c r="F1860" t="s">
        <v>108</v>
      </c>
      <c r="H1860" t="s">
        <v>12629</v>
      </c>
      <c r="I1860" t="s">
        <v>390</v>
      </c>
      <c r="J1860" t="s">
        <v>111</v>
      </c>
      <c r="K1860" t="str">
        <f>"85048"</f>
        <v>85048</v>
      </c>
      <c r="L1860" t="s">
        <v>5228</v>
      </c>
      <c r="M1860" t="s">
        <v>12629</v>
      </c>
      <c r="N1860" t="s">
        <v>390</v>
      </c>
      <c r="O1860" t="s">
        <v>111</v>
      </c>
      <c r="P1860" t="str">
        <f>"85048-9448"</f>
        <v>85048-9448</v>
      </c>
      <c r="Q1860" t="s">
        <v>113</v>
      </c>
      <c r="R1860" t="str">
        <f>"301-78-636"</f>
        <v>301-78-636</v>
      </c>
      <c r="S1860" t="s">
        <v>12630</v>
      </c>
      <c r="T1860" t="s">
        <v>12631</v>
      </c>
      <c r="U1860">
        <v>3093</v>
      </c>
      <c r="V1860">
        <v>0</v>
      </c>
      <c r="W1860">
        <v>4</v>
      </c>
      <c r="X1860">
        <v>1994</v>
      </c>
      <c r="Z1860">
        <v>2</v>
      </c>
      <c r="AA1860" t="s">
        <v>26</v>
      </c>
      <c r="AB1860">
        <v>0</v>
      </c>
      <c r="AC1860" t="s">
        <v>115</v>
      </c>
      <c r="AD1860">
        <v>3</v>
      </c>
      <c r="AE1860" t="s">
        <v>115</v>
      </c>
      <c r="AF1860">
        <v>0</v>
      </c>
      <c r="AG1860">
        <v>0</v>
      </c>
      <c r="AH1860" t="s">
        <v>116</v>
      </c>
      <c r="AI1860" s="1">
        <v>135624</v>
      </c>
      <c r="AJ1860" s="2">
        <v>0.24</v>
      </c>
      <c r="AK1860" s="1">
        <v>557836</v>
      </c>
      <c r="AL1860" t="s">
        <v>117</v>
      </c>
      <c r="AM1860" t="s">
        <v>5700</v>
      </c>
      <c r="AN1860">
        <v>7697</v>
      </c>
      <c r="AO1860">
        <v>0.18</v>
      </c>
      <c r="AP1860">
        <v>1</v>
      </c>
      <c r="AR1860">
        <v>1</v>
      </c>
      <c r="AS1860" s="1">
        <v>38150</v>
      </c>
      <c r="AT1860" s="1">
        <v>7630</v>
      </c>
      <c r="AU1860" s="1">
        <v>30520</v>
      </c>
      <c r="AV1860">
        <v>80</v>
      </c>
      <c r="AX1860" s="1">
        <v>4173.08</v>
      </c>
      <c r="AY1860" t="s">
        <v>928</v>
      </c>
      <c r="AZ1860" t="s">
        <v>929</v>
      </c>
      <c r="BA1860" t="s">
        <v>930</v>
      </c>
      <c r="BE1860" s="3">
        <v>42485</v>
      </c>
      <c r="BF1860" s="1">
        <v>468000</v>
      </c>
      <c r="BG1860" t="s">
        <v>12632</v>
      </c>
      <c r="BH1860" s="1">
        <v>151.31</v>
      </c>
      <c r="BI1860" s="1">
        <v>422212</v>
      </c>
      <c r="BJ1860" s="3">
        <v>42485</v>
      </c>
      <c r="BK1860" t="s">
        <v>123</v>
      </c>
      <c r="BL1860" t="str">
        <f>"2016.276395"</f>
        <v>2016.276395</v>
      </c>
      <c r="BM1860" t="s">
        <v>594</v>
      </c>
      <c r="BO1860" t="s">
        <v>12633</v>
      </c>
      <c r="BS1860">
        <v>30</v>
      </c>
      <c r="BW1860" t="str">
        <f>""</f>
        <v/>
      </c>
      <c r="CH1860" t="str">
        <f>""</f>
        <v/>
      </c>
      <c r="CS1860" t="str">
        <f>""</f>
        <v/>
      </c>
    </row>
    <row r="1861" spans="1:97" x14ac:dyDescent="0.25">
      <c r="A1861" t="s">
        <v>12634</v>
      </c>
      <c r="B1861" t="s">
        <v>12635</v>
      </c>
      <c r="C1861" t="s">
        <v>12636</v>
      </c>
      <c r="D1861" t="s">
        <v>12635</v>
      </c>
      <c r="E1861" t="s">
        <v>12637</v>
      </c>
      <c r="F1861" t="s">
        <v>108</v>
      </c>
      <c r="H1861" t="s">
        <v>12638</v>
      </c>
      <c r="I1861" t="s">
        <v>2874</v>
      </c>
      <c r="J1861" t="s">
        <v>111</v>
      </c>
      <c r="K1861" t="str">
        <f>"85308"</f>
        <v>85308</v>
      </c>
      <c r="L1861" t="s">
        <v>734</v>
      </c>
      <c r="M1861" t="s">
        <v>12638</v>
      </c>
      <c r="N1861" t="s">
        <v>2874</v>
      </c>
      <c r="O1861" t="s">
        <v>111</v>
      </c>
      <c r="P1861" t="str">
        <f>"85308-7338"</f>
        <v>85308-7338</v>
      </c>
      <c r="Q1861" t="s">
        <v>113</v>
      </c>
      <c r="R1861" t="str">
        <f>"206-30-436"</f>
        <v>206-30-436</v>
      </c>
      <c r="S1861" t="s">
        <v>12639</v>
      </c>
      <c r="T1861" t="s">
        <v>8586</v>
      </c>
      <c r="U1861">
        <v>1704</v>
      </c>
      <c r="V1861">
        <v>0</v>
      </c>
      <c r="W1861">
        <v>3</v>
      </c>
      <c r="X1861">
        <v>1988</v>
      </c>
      <c r="Z1861">
        <v>1</v>
      </c>
      <c r="AA1861" t="s">
        <v>26</v>
      </c>
      <c r="AB1861">
        <v>0</v>
      </c>
      <c r="AC1861" t="s">
        <v>115</v>
      </c>
      <c r="AD1861">
        <v>2</v>
      </c>
      <c r="AE1861" t="s">
        <v>115</v>
      </c>
      <c r="AF1861">
        <v>0</v>
      </c>
      <c r="AG1861">
        <v>0</v>
      </c>
      <c r="AH1861" t="s">
        <v>116</v>
      </c>
      <c r="AI1861" s="1">
        <v>54101</v>
      </c>
      <c r="AJ1861" s="2">
        <v>0.19</v>
      </c>
      <c r="AK1861" s="1">
        <v>280028</v>
      </c>
      <c r="AL1861" t="s">
        <v>117</v>
      </c>
      <c r="AM1861" t="s">
        <v>191</v>
      </c>
      <c r="AN1861">
        <v>6425</v>
      </c>
      <c r="AO1861">
        <v>0.15</v>
      </c>
      <c r="AP1861">
        <v>1</v>
      </c>
      <c r="AR1861">
        <v>1</v>
      </c>
      <c r="AS1861" s="1">
        <v>19600</v>
      </c>
      <c r="AT1861" s="1">
        <v>3920</v>
      </c>
      <c r="AU1861" s="1">
        <v>15680</v>
      </c>
      <c r="AV1861">
        <v>80</v>
      </c>
      <c r="AX1861" s="1">
        <v>1326.92</v>
      </c>
      <c r="AY1861" t="s">
        <v>8587</v>
      </c>
      <c r="AZ1861" t="s">
        <v>5142</v>
      </c>
      <c r="BA1861" t="s">
        <v>5143</v>
      </c>
      <c r="BB1861" s="3">
        <v>42263</v>
      </c>
      <c r="BD1861" t="s">
        <v>458</v>
      </c>
      <c r="BE1861" s="3">
        <v>42089</v>
      </c>
      <c r="BF1861" s="1">
        <v>218000</v>
      </c>
      <c r="BG1861" t="s">
        <v>12640</v>
      </c>
      <c r="BH1861" s="1">
        <v>127.93</v>
      </c>
      <c r="BI1861" s="1">
        <v>225927</v>
      </c>
      <c r="BJ1861" s="3">
        <v>42614</v>
      </c>
      <c r="BK1861" t="s">
        <v>123</v>
      </c>
      <c r="BL1861" t="str">
        <f>"2016.637350"</f>
        <v>2016.637350</v>
      </c>
      <c r="BM1861" t="s">
        <v>402</v>
      </c>
      <c r="BO1861" t="s">
        <v>12641</v>
      </c>
      <c r="BS1861">
        <v>30</v>
      </c>
      <c r="BW1861" t="str">
        <f>""</f>
        <v/>
      </c>
      <c r="CH1861" t="str">
        <f>""</f>
        <v/>
      </c>
      <c r="CS1861" t="str">
        <f>""</f>
        <v/>
      </c>
    </row>
    <row r="1862" spans="1:97" x14ac:dyDescent="0.25">
      <c r="A1862" t="s">
        <v>12642</v>
      </c>
      <c r="B1862" t="s">
        <v>12643</v>
      </c>
      <c r="C1862" t="s">
        <v>12644</v>
      </c>
      <c r="D1862" t="s">
        <v>12643</v>
      </c>
      <c r="E1862" t="s">
        <v>12645</v>
      </c>
      <c r="F1862" t="s">
        <v>108</v>
      </c>
      <c r="H1862" t="s">
        <v>12646</v>
      </c>
      <c r="I1862" t="s">
        <v>499</v>
      </c>
      <c r="J1862" t="s">
        <v>111</v>
      </c>
      <c r="K1862" t="str">
        <f>"85338"</f>
        <v>85338</v>
      </c>
      <c r="L1862" t="s">
        <v>1796</v>
      </c>
      <c r="M1862" t="s">
        <v>12646</v>
      </c>
      <c r="N1862" t="s">
        <v>499</v>
      </c>
      <c r="O1862" t="s">
        <v>111</v>
      </c>
      <c r="P1862" t="str">
        <f>"85338-5065"</f>
        <v>85338-5065</v>
      </c>
      <c r="Q1862" t="s">
        <v>113</v>
      </c>
      <c r="R1862" t="str">
        <f>"400-80-025"</f>
        <v>400-80-025</v>
      </c>
      <c r="S1862" t="s">
        <v>12647</v>
      </c>
      <c r="U1862">
        <v>3432</v>
      </c>
      <c r="V1862">
        <v>0</v>
      </c>
      <c r="W1862">
        <v>5</v>
      </c>
      <c r="X1862">
        <v>2006</v>
      </c>
      <c r="Z1862">
        <v>2</v>
      </c>
      <c r="AB1862">
        <v>0</v>
      </c>
      <c r="AC1862" t="s">
        <v>115</v>
      </c>
      <c r="AD1862">
        <v>3</v>
      </c>
      <c r="AE1862" t="s">
        <v>115</v>
      </c>
      <c r="AF1862">
        <v>0</v>
      </c>
      <c r="AG1862">
        <v>0</v>
      </c>
      <c r="AH1862" t="s">
        <v>116</v>
      </c>
      <c r="AI1862" s="1">
        <v>116062</v>
      </c>
      <c r="AJ1862" s="2">
        <v>0.28000000000000003</v>
      </c>
      <c r="AK1862" s="1">
        <v>411562</v>
      </c>
      <c r="AL1862" t="s">
        <v>117</v>
      </c>
      <c r="AM1862" t="s">
        <v>118</v>
      </c>
      <c r="AN1862">
        <v>9289</v>
      </c>
      <c r="AO1862">
        <v>0.21</v>
      </c>
      <c r="AR1862">
        <v>1</v>
      </c>
      <c r="AS1862" s="1">
        <v>28320</v>
      </c>
      <c r="AT1862" s="1">
        <v>5660</v>
      </c>
      <c r="AU1862" s="1">
        <v>22660</v>
      </c>
      <c r="AV1862">
        <v>80.010000000000005</v>
      </c>
      <c r="AX1862" s="1">
        <v>3623.88</v>
      </c>
      <c r="AY1862" t="s">
        <v>1246</v>
      </c>
      <c r="AZ1862" t="s">
        <v>1246</v>
      </c>
      <c r="BA1862" t="s">
        <v>1247</v>
      </c>
      <c r="BE1862" s="3">
        <v>42460</v>
      </c>
      <c r="BF1862" s="1">
        <v>295500</v>
      </c>
      <c r="BG1862" t="s">
        <v>12648</v>
      </c>
      <c r="BH1862" s="1">
        <v>86.1</v>
      </c>
      <c r="BI1862" s="1">
        <v>295500</v>
      </c>
      <c r="BJ1862" s="3">
        <v>42460</v>
      </c>
      <c r="BK1862" t="s">
        <v>123</v>
      </c>
      <c r="BL1862" t="str">
        <f>"2016.212107"</f>
        <v>2016.212107</v>
      </c>
      <c r="BM1862" t="s">
        <v>135</v>
      </c>
      <c r="BO1862" t="s">
        <v>12649</v>
      </c>
      <c r="BS1862">
        <v>30</v>
      </c>
      <c r="BW1862" t="str">
        <f>""</f>
        <v/>
      </c>
      <c r="CH1862" t="str">
        <f>""</f>
        <v/>
      </c>
      <c r="CS1862" t="str">
        <f>""</f>
        <v/>
      </c>
    </row>
    <row r="1863" spans="1:97" x14ac:dyDescent="0.25">
      <c r="A1863" t="s">
        <v>464</v>
      </c>
      <c r="B1863" t="s">
        <v>12650</v>
      </c>
      <c r="C1863" t="s">
        <v>1734</v>
      </c>
      <c r="D1863" t="s">
        <v>12650</v>
      </c>
      <c r="E1863" t="s">
        <v>12651</v>
      </c>
      <c r="F1863" t="s">
        <v>108</v>
      </c>
      <c r="H1863" t="s">
        <v>12652</v>
      </c>
      <c r="I1863" t="s">
        <v>453</v>
      </c>
      <c r="J1863" t="s">
        <v>111</v>
      </c>
      <c r="K1863" t="str">
        <f>"85383"</f>
        <v>85383</v>
      </c>
      <c r="L1863" t="s">
        <v>7607</v>
      </c>
      <c r="M1863" t="s">
        <v>12652</v>
      </c>
      <c r="N1863" t="s">
        <v>453</v>
      </c>
      <c r="O1863" t="s">
        <v>111</v>
      </c>
      <c r="P1863" t="str">
        <f>"85383-7121"</f>
        <v>85383-7121</v>
      </c>
      <c r="Q1863" t="s">
        <v>113</v>
      </c>
      <c r="R1863" t="str">
        <f>"201-09-834"</f>
        <v>201-09-834</v>
      </c>
      <c r="S1863" t="s">
        <v>12653</v>
      </c>
      <c r="T1863" t="s">
        <v>2222</v>
      </c>
      <c r="U1863">
        <v>3480</v>
      </c>
      <c r="V1863">
        <v>0</v>
      </c>
      <c r="W1863">
        <v>4</v>
      </c>
      <c r="X1863">
        <v>1999</v>
      </c>
      <c r="Z1863">
        <v>2</v>
      </c>
      <c r="AA1863" t="s">
        <v>26</v>
      </c>
      <c r="AB1863">
        <v>0</v>
      </c>
      <c r="AC1863" t="s">
        <v>115</v>
      </c>
      <c r="AD1863">
        <v>3</v>
      </c>
      <c r="AE1863" t="s">
        <v>115</v>
      </c>
      <c r="AF1863">
        <v>0</v>
      </c>
      <c r="AG1863">
        <v>0</v>
      </c>
      <c r="AH1863" t="s">
        <v>116</v>
      </c>
      <c r="AI1863" s="1">
        <v>55147</v>
      </c>
      <c r="AJ1863" s="2">
        <v>0.13</v>
      </c>
      <c r="AK1863" s="1">
        <v>424001</v>
      </c>
      <c r="AL1863" t="s">
        <v>117</v>
      </c>
      <c r="AM1863" t="s">
        <v>171</v>
      </c>
      <c r="AN1863">
        <v>8050</v>
      </c>
      <c r="AO1863">
        <v>0.18</v>
      </c>
      <c r="AP1863">
        <v>1</v>
      </c>
      <c r="AR1863">
        <v>1</v>
      </c>
      <c r="AS1863" s="1">
        <v>33330</v>
      </c>
      <c r="AT1863" s="1">
        <v>6660</v>
      </c>
      <c r="AU1863" s="1">
        <v>26670</v>
      </c>
      <c r="AV1863">
        <v>80.02</v>
      </c>
      <c r="AX1863" s="1">
        <v>2979.2</v>
      </c>
      <c r="AY1863" t="s">
        <v>1385</v>
      </c>
      <c r="AZ1863" t="s">
        <v>1385</v>
      </c>
      <c r="BA1863" t="s">
        <v>2223</v>
      </c>
      <c r="BE1863" s="3">
        <v>42018</v>
      </c>
      <c r="BF1863" s="1">
        <v>313000</v>
      </c>
      <c r="BG1863" t="s">
        <v>12654</v>
      </c>
      <c r="BH1863" s="1">
        <v>89.94</v>
      </c>
      <c r="BI1863" s="1">
        <v>368854</v>
      </c>
      <c r="BJ1863" s="3">
        <v>42941</v>
      </c>
      <c r="BK1863" t="s">
        <v>123</v>
      </c>
      <c r="BL1863" t="str">
        <f>"2017.540724"</f>
        <v>2017.540724</v>
      </c>
      <c r="BM1863" t="s">
        <v>12045</v>
      </c>
      <c r="BO1863" t="s">
        <v>12655</v>
      </c>
      <c r="BS1863">
        <v>30</v>
      </c>
      <c r="BW1863" t="str">
        <f>""</f>
        <v/>
      </c>
      <c r="CH1863" t="str">
        <f>""</f>
        <v/>
      </c>
      <c r="CS1863" t="str">
        <f>""</f>
        <v/>
      </c>
    </row>
    <row r="1864" spans="1:97" x14ac:dyDescent="0.25">
      <c r="A1864" t="s">
        <v>1444</v>
      </c>
      <c r="B1864" t="s">
        <v>12656</v>
      </c>
      <c r="C1864" t="s">
        <v>12657</v>
      </c>
      <c r="D1864" t="s">
        <v>12656</v>
      </c>
      <c r="E1864" t="s">
        <v>12658</v>
      </c>
      <c r="F1864" t="s">
        <v>108</v>
      </c>
      <c r="H1864" t="s">
        <v>12659</v>
      </c>
      <c r="I1864" t="s">
        <v>225</v>
      </c>
      <c r="J1864" t="s">
        <v>111</v>
      </c>
      <c r="K1864" t="str">
        <f>"85205"</f>
        <v>85205</v>
      </c>
      <c r="L1864" t="s">
        <v>5408</v>
      </c>
      <c r="M1864" t="s">
        <v>12659</v>
      </c>
      <c r="N1864" t="s">
        <v>225</v>
      </c>
      <c r="O1864" t="s">
        <v>111</v>
      </c>
      <c r="P1864" t="str">
        <f>"85205-6231"</f>
        <v>85205-6231</v>
      </c>
      <c r="Q1864" t="s">
        <v>113</v>
      </c>
      <c r="R1864" t="str">
        <f>"140-14-318"</f>
        <v>140-14-318</v>
      </c>
      <c r="S1864" t="s">
        <v>12660</v>
      </c>
      <c r="T1864" t="s">
        <v>9538</v>
      </c>
      <c r="U1864">
        <v>1860</v>
      </c>
      <c r="V1864">
        <v>0</v>
      </c>
      <c r="W1864">
        <v>2</v>
      </c>
      <c r="X1864">
        <v>1988</v>
      </c>
      <c r="Z1864">
        <v>1</v>
      </c>
      <c r="AA1864" t="s">
        <v>26</v>
      </c>
      <c r="AB1864">
        <v>0</v>
      </c>
      <c r="AC1864" t="s">
        <v>115</v>
      </c>
      <c r="AD1864">
        <v>1</v>
      </c>
      <c r="AE1864" t="s">
        <v>115</v>
      </c>
      <c r="AF1864">
        <v>0</v>
      </c>
      <c r="AG1864">
        <v>0</v>
      </c>
      <c r="AH1864" t="s">
        <v>116</v>
      </c>
      <c r="AI1864" s="1">
        <v>47942</v>
      </c>
      <c r="AJ1864" s="2">
        <v>0.15</v>
      </c>
      <c r="AK1864" s="1">
        <v>316942</v>
      </c>
      <c r="AL1864" t="s">
        <v>117</v>
      </c>
      <c r="AM1864" t="s">
        <v>393</v>
      </c>
      <c r="AN1864">
        <v>8018</v>
      </c>
      <c r="AO1864">
        <v>0.18</v>
      </c>
      <c r="AP1864">
        <v>1</v>
      </c>
      <c r="AR1864">
        <v>1</v>
      </c>
      <c r="AS1864" s="1">
        <v>20420</v>
      </c>
      <c r="AT1864" s="1">
        <v>4080</v>
      </c>
      <c r="AU1864" s="1">
        <v>16340</v>
      </c>
      <c r="AV1864">
        <v>80.02</v>
      </c>
      <c r="AX1864" s="1">
        <v>1414.26</v>
      </c>
      <c r="AY1864" t="s">
        <v>1522</v>
      </c>
      <c r="AZ1864" t="s">
        <v>1523</v>
      </c>
      <c r="BA1864" t="s">
        <v>1524</v>
      </c>
      <c r="BE1864" s="3">
        <v>42486</v>
      </c>
      <c r="BF1864" s="1">
        <v>269000</v>
      </c>
      <c r="BG1864" t="s">
        <v>12661</v>
      </c>
      <c r="BH1864" s="1">
        <v>144.62</v>
      </c>
      <c r="BI1864" s="1">
        <v>269000</v>
      </c>
      <c r="BJ1864" s="3">
        <v>42486</v>
      </c>
      <c r="BK1864" t="s">
        <v>123</v>
      </c>
      <c r="BL1864" t="str">
        <f>"2016.279470"</f>
        <v>2016.279470</v>
      </c>
      <c r="BM1864" t="s">
        <v>1287</v>
      </c>
      <c r="BO1864" t="s">
        <v>12662</v>
      </c>
      <c r="BS1864">
        <v>30</v>
      </c>
      <c r="BW1864" t="str">
        <f>""</f>
        <v/>
      </c>
      <c r="CH1864" t="str">
        <f>""</f>
        <v/>
      </c>
      <c r="CS1864" t="str">
        <f>""</f>
        <v/>
      </c>
    </row>
    <row r="1865" spans="1:97" x14ac:dyDescent="0.25">
      <c r="A1865" t="s">
        <v>12663</v>
      </c>
      <c r="B1865" t="s">
        <v>184</v>
      </c>
      <c r="E1865" t="s">
        <v>12664</v>
      </c>
      <c r="F1865" t="s">
        <v>108</v>
      </c>
      <c r="H1865" t="s">
        <v>12665</v>
      </c>
      <c r="I1865" t="s">
        <v>390</v>
      </c>
      <c r="J1865" t="s">
        <v>111</v>
      </c>
      <c r="K1865" t="str">
        <f>"85015"</f>
        <v>85015</v>
      </c>
      <c r="L1865" t="s">
        <v>5176</v>
      </c>
      <c r="M1865" t="s">
        <v>12665</v>
      </c>
      <c r="N1865" t="s">
        <v>390</v>
      </c>
      <c r="O1865" t="s">
        <v>111</v>
      </c>
      <c r="P1865" t="str">
        <f>"85015-6028"</f>
        <v>85015-6028</v>
      </c>
      <c r="Q1865" t="s">
        <v>113</v>
      </c>
      <c r="R1865" t="str">
        <f>"110-35-051"</f>
        <v>110-35-051</v>
      </c>
      <c r="S1865" t="s">
        <v>12666</v>
      </c>
      <c r="T1865" t="s">
        <v>12666</v>
      </c>
      <c r="U1865">
        <v>1804</v>
      </c>
      <c r="V1865">
        <v>0</v>
      </c>
      <c r="W1865">
        <v>3</v>
      </c>
      <c r="X1865">
        <v>1952</v>
      </c>
      <c r="Z1865">
        <v>1</v>
      </c>
      <c r="AB1865">
        <v>0</v>
      </c>
      <c r="AC1865" t="s">
        <v>7038</v>
      </c>
      <c r="AD1865">
        <v>0</v>
      </c>
      <c r="AE1865" t="s">
        <v>7038</v>
      </c>
      <c r="AF1865">
        <v>0</v>
      </c>
      <c r="AG1865">
        <v>0</v>
      </c>
      <c r="AH1865" t="s">
        <v>116</v>
      </c>
      <c r="AI1865" s="1">
        <v>38015</v>
      </c>
      <c r="AJ1865" s="2">
        <v>0.13</v>
      </c>
      <c r="AK1865" s="1">
        <v>293287</v>
      </c>
      <c r="AL1865" t="s">
        <v>117</v>
      </c>
      <c r="AM1865" t="s">
        <v>191</v>
      </c>
      <c r="AN1865">
        <v>7401</v>
      </c>
      <c r="AO1865">
        <v>0.17</v>
      </c>
      <c r="AP1865">
        <v>1</v>
      </c>
      <c r="AR1865">
        <v>1</v>
      </c>
      <c r="AS1865" s="1">
        <v>17820</v>
      </c>
      <c r="AT1865" s="1">
        <v>3560</v>
      </c>
      <c r="AU1865" s="1">
        <v>14260</v>
      </c>
      <c r="AV1865">
        <v>80.02</v>
      </c>
      <c r="AX1865" s="1">
        <v>1344.14</v>
      </c>
      <c r="AY1865" t="s">
        <v>8243</v>
      </c>
      <c r="AZ1865" t="s">
        <v>8243</v>
      </c>
      <c r="BA1865" t="s">
        <v>5469</v>
      </c>
      <c r="BE1865" s="3">
        <v>42493</v>
      </c>
      <c r="BF1865" s="1">
        <v>249900</v>
      </c>
      <c r="BG1865" t="s">
        <v>12667</v>
      </c>
      <c r="BH1865" s="1">
        <v>142.88</v>
      </c>
      <c r="BI1865" s="1">
        <v>255272</v>
      </c>
      <c r="BJ1865" s="3">
        <v>42493</v>
      </c>
      <c r="BK1865" t="s">
        <v>123</v>
      </c>
      <c r="BL1865" t="str">
        <f>"2016.301556"</f>
        <v>2016.301556</v>
      </c>
      <c r="BM1865" t="s">
        <v>8916</v>
      </c>
      <c r="BO1865" t="s">
        <v>12668</v>
      </c>
      <c r="BS1865">
        <v>30</v>
      </c>
      <c r="BW1865" t="str">
        <f>""</f>
        <v/>
      </c>
      <c r="CH1865" t="str">
        <f>""</f>
        <v/>
      </c>
      <c r="CS1865" t="str">
        <f>""</f>
        <v/>
      </c>
    </row>
    <row r="1866" spans="1:97" x14ac:dyDescent="0.25">
      <c r="A1866" t="s">
        <v>1850</v>
      </c>
      <c r="B1866" t="s">
        <v>12669</v>
      </c>
      <c r="C1866" t="s">
        <v>12670</v>
      </c>
      <c r="D1866" t="s">
        <v>12669</v>
      </c>
      <c r="E1866" t="s">
        <v>12671</v>
      </c>
      <c r="F1866" t="s">
        <v>108</v>
      </c>
      <c r="H1866" t="s">
        <v>12672</v>
      </c>
      <c r="I1866" t="s">
        <v>315</v>
      </c>
      <c r="J1866" t="s">
        <v>111</v>
      </c>
      <c r="K1866" t="str">
        <f>"85335"</f>
        <v>85335</v>
      </c>
      <c r="L1866" t="s">
        <v>2765</v>
      </c>
      <c r="M1866" t="s">
        <v>12672</v>
      </c>
      <c r="N1866" t="s">
        <v>315</v>
      </c>
      <c r="O1866" t="s">
        <v>111</v>
      </c>
      <c r="P1866" t="str">
        <f>"85335-7214"</f>
        <v>85335-7214</v>
      </c>
      <c r="Q1866" t="s">
        <v>113</v>
      </c>
      <c r="R1866" t="str">
        <f>"509-09-352"</f>
        <v>509-09-352</v>
      </c>
      <c r="S1866" t="s">
        <v>12673</v>
      </c>
      <c r="T1866" t="s">
        <v>12674</v>
      </c>
      <c r="U1866">
        <v>1972</v>
      </c>
      <c r="V1866">
        <v>0</v>
      </c>
      <c r="W1866">
        <v>3</v>
      </c>
      <c r="X1866">
        <v>2002</v>
      </c>
      <c r="Z1866">
        <v>1</v>
      </c>
      <c r="AB1866">
        <v>0</v>
      </c>
      <c r="AC1866" t="s">
        <v>115</v>
      </c>
      <c r="AD1866">
        <v>2</v>
      </c>
      <c r="AE1866" t="s">
        <v>115</v>
      </c>
      <c r="AF1866">
        <v>0</v>
      </c>
      <c r="AG1866">
        <v>0</v>
      </c>
      <c r="AH1866" t="s">
        <v>116</v>
      </c>
      <c r="AI1866" s="1">
        <v>33594</v>
      </c>
      <c r="AJ1866" s="2">
        <v>0.14000000000000001</v>
      </c>
      <c r="AK1866" s="1">
        <v>248594</v>
      </c>
      <c r="AL1866" t="s">
        <v>117</v>
      </c>
      <c r="AM1866" t="s">
        <v>319</v>
      </c>
      <c r="AN1866">
        <v>6720</v>
      </c>
      <c r="AO1866">
        <v>0.15</v>
      </c>
      <c r="AP1866">
        <v>1</v>
      </c>
      <c r="AR1866">
        <v>1</v>
      </c>
      <c r="AS1866" s="1">
        <v>16450</v>
      </c>
      <c r="AT1866" s="1">
        <v>3290</v>
      </c>
      <c r="AU1866" s="1">
        <v>13160</v>
      </c>
      <c r="AV1866">
        <v>80</v>
      </c>
      <c r="AX1866" s="1">
        <v>1306.6199999999999</v>
      </c>
      <c r="AY1866" t="s">
        <v>12675</v>
      </c>
      <c r="AZ1866" t="s">
        <v>12675</v>
      </c>
      <c r="BA1866" t="s">
        <v>635</v>
      </c>
      <c r="BB1866" s="3">
        <v>41936</v>
      </c>
      <c r="BD1866" t="s">
        <v>458</v>
      </c>
      <c r="BE1866" s="3">
        <v>41928</v>
      </c>
      <c r="BF1866" s="1">
        <v>163500</v>
      </c>
      <c r="BG1866" t="s">
        <v>12676</v>
      </c>
      <c r="BH1866" s="1">
        <v>82.91</v>
      </c>
      <c r="BI1866" s="1">
        <v>215000</v>
      </c>
      <c r="BJ1866" s="3">
        <v>43433</v>
      </c>
      <c r="BK1866" t="s">
        <v>123</v>
      </c>
      <c r="BL1866" t="str">
        <f>"2018.878695"</f>
        <v>2018.878695</v>
      </c>
      <c r="BM1866" t="s">
        <v>533</v>
      </c>
      <c r="BN1866" t="s">
        <v>534</v>
      </c>
      <c r="BO1866" t="s">
        <v>12677</v>
      </c>
      <c r="BP1866" t="s">
        <v>12678</v>
      </c>
      <c r="BR1866" t="s">
        <v>139</v>
      </c>
      <c r="BW1866" t="str">
        <f>""</f>
        <v/>
      </c>
      <c r="CH1866" t="str">
        <f>""</f>
        <v/>
      </c>
      <c r="CS1866" t="str">
        <f>""</f>
        <v/>
      </c>
    </row>
    <row r="1867" spans="1:97" x14ac:dyDescent="0.25">
      <c r="A1867" t="s">
        <v>370</v>
      </c>
      <c r="B1867" t="s">
        <v>12679</v>
      </c>
      <c r="C1867" t="s">
        <v>12680</v>
      </c>
      <c r="D1867" t="s">
        <v>12679</v>
      </c>
      <c r="E1867" t="s">
        <v>12681</v>
      </c>
      <c r="F1867" t="s">
        <v>108</v>
      </c>
      <c r="H1867" t="s">
        <v>12682</v>
      </c>
      <c r="I1867" t="s">
        <v>5387</v>
      </c>
      <c r="J1867" t="s">
        <v>111</v>
      </c>
      <c r="K1867" t="str">
        <f>"85282"</f>
        <v>85282</v>
      </c>
      <c r="L1867" t="s">
        <v>5606</v>
      </c>
      <c r="M1867" t="s">
        <v>12682</v>
      </c>
      <c r="N1867" t="s">
        <v>5387</v>
      </c>
      <c r="O1867" t="s">
        <v>111</v>
      </c>
      <c r="P1867" t="str">
        <f>"85282-7004"</f>
        <v>85282-7004</v>
      </c>
      <c r="Q1867" t="s">
        <v>113</v>
      </c>
      <c r="R1867" t="str">
        <f>"133-41-507"</f>
        <v>133-41-507</v>
      </c>
      <c r="S1867" t="s">
        <v>12683</v>
      </c>
      <c r="U1867">
        <v>2307</v>
      </c>
      <c r="V1867">
        <v>0</v>
      </c>
      <c r="W1867">
        <v>2</v>
      </c>
      <c r="X1867">
        <v>1970</v>
      </c>
      <c r="Z1867">
        <v>2</v>
      </c>
      <c r="AB1867">
        <v>0</v>
      </c>
      <c r="AC1867" t="s">
        <v>115</v>
      </c>
      <c r="AD1867">
        <v>2</v>
      </c>
      <c r="AE1867" t="s">
        <v>115</v>
      </c>
      <c r="AF1867">
        <v>0</v>
      </c>
      <c r="AG1867">
        <v>0</v>
      </c>
      <c r="AH1867" t="s">
        <v>116</v>
      </c>
      <c r="AI1867" s="1">
        <v>118296</v>
      </c>
      <c r="AJ1867" s="2">
        <v>0.35</v>
      </c>
      <c r="AK1867" s="1">
        <v>335226</v>
      </c>
      <c r="AL1867" t="s">
        <v>117</v>
      </c>
      <c r="AM1867" t="s">
        <v>191</v>
      </c>
      <c r="AN1867">
        <v>7379</v>
      </c>
      <c r="AO1867">
        <v>0.17</v>
      </c>
      <c r="AP1867">
        <v>1</v>
      </c>
      <c r="AR1867">
        <v>1</v>
      </c>
      <c r="AS1867" s="1">
        <v>22870</v>
      </c>
      <c r="AT1867" s="1">
        <v>4570</v>
      </c>
      <c r="AU1867" s="1">
        <v>18300</v>
      </c>
      <c r="AV1867">
        <v>80.02</v>
      </c>
      <c r="AX1867" s="1">
        <v>1927.64</v>
      </c>
      <c r="AY1867" t="s">
        <v>9564</v>
      </c>
      <c r="AZ1867" t="s">
        <v>11073</v>
      </c>
      <c r="BA1867" t="s">
        <v>9519</v>
      </c>
      <c r="BE1867" s="3">
        <v>42452</v>
      </c>
      <c r="BF1867" s="1">
        <v>210000</v>
      </c>
      <c r="BG1867" t="s">
        <v>12684</v>
      </c>
      <c r="BH1867" s="1">
        <v>91.03</v>
      </c>
      <c r="BI1867" s="1">
        <v>216930</v>
      </c>
      <c r="BJ1867" s="3">
        <v>42452</v>
      </c>
      <c r="BK1867" t="s">
        <v>123</v>
      </c>
      <c r="BL1867" t="str">
        <f>"2016.187264"</f>
        <v>2016.187264</v>
      </c>
      <c r="BM1867" t="s">
        <v>709</v>
      </c>
      <c r="BO1867" t="s">
        <v>12685</v>
      </c>
      <c r="BS1867">
        <v>30</v>
      </c>
      <c r="BW1867" t="str">
        <f>""</f>
        <v/>
      </c>
      <c r="CH1867" t="str">
        <f>""</f>
        <v/>
      </c>
      <c r="CS1867" t="str">
        <f>""</f>
        <v/>
      </c>
    </row>
    <row r="1868" spans="1:97" x14ac:dyDescent="0.25">
      <c r="A1868" t="s">
        <v>12686</v>
      </c>
      <c r="B1868" t="s">
        <v>12687</v>
      </c>
      <c r="C1868" t="s">
        <v>1692</v>
      </c>
      <c r="D1868" t="s">
        <v>12687</v>
      </c>
      <c r="E1868" t="s">
        <v>12688</v>
      </c>
      <c r="F1868" t="s">
        <v>108</v>
      </c>
      <c r="H1868" t="s">
        <v>12689</v>
      </c>
      <c r="I1868" t="s">
        <v>203</v>
      </c>
      <c r="J1868" t="s">
        <v>111</v>
      </c>
      <c r="K1868" t="str">
        <f>"85296"</f>
        <v>85296</v>
      </c>
      <c r="L1868" t="s">
        <v>8103</v>
      </c>
      <c r="M1868" t="s">
        <v>12689</v>
      </c>
      <c r="N1868" t="s">
        <v>203</v>
      </c>
      <c r="O1868" t="s">
        <v>111</v>
      </c>
      <c r="P1868" t="str">
        <f>"85296-8897"</f>
        <v>85296-8897</v>
      </c>
      <c r="Q1868" t="s">
        <v>113</v>
      </c>
      <c r="R1868" t="str">
        <f>"309-15-188"</f>
        <v>309-15-188</v>
      </c>
      <c r="S1868" t="s">
        <v>12690</v>
      </c>
      <c r="T1868" t="s">
        <v>12690</v>
      </c>
      <c r="U1868">
        <v>3891</v>
      </c>
      <c r="V1868">
        <v>0</v>
      </c>
      <c r="W1868">
        <v>4</v>
      </c>
      <c r="X1868">
        <v>2000</v>
      </c>
      <c r="Z1868">
        <v>2</v>
      </c>
      <c r="AA1868" t="s">
        <v>26</v>
      </c>
      <c r="AB1868">
        <v>0</v>
      </c>
      <c r="AC1868" t="s">
        <v>115</v>
      </c>
      <c r="AD1868">
        <v>3</v>
      </c>
      <c r="AE1868" t="s">
        <v>115</v>
      </c>
      <c r="AF1868">
        <v>0</v>
      </c>
      <c r="AG1868">
        <v>0</v>
      </c>
      <c r="AH1868" t="s">
        <v>116</v>
      </c>
      <c r="AI1868" s="1">
        <v>124664</v>
      </c>
      <c r="AJ1868" s="2">
        <v>0.24</v>
      </c>
      <c r="AK1868" s="1">
        <v>511955</v>
      </c>
      <c r="AL1868" t="s">
        <v>117</v>
      </c>
      <c r="AM1868" t="s">
        <v>393</v>
      </c>
      <c r="AN1868">
        <v>11230</v>
      </c>
      <c r="AO1868">
        <v>0.26</v>
      </c>
      <c r="AP1868">
        <v>1</v>
      </c>
      <c r="AR1868">
        <v>1</v>
      </c>
      <c r="AS1868" s="1">
        <v>37630</v>
      </c>
      <c r="AT1868" s="1">
        <v>7520</v>
      </c>
      <c r="AU1868" s="1">
        <v>30110</v>
      </c>
      <c r="AV1868">
        <v>80.02</v>
      </c>
      <c r="AX1868" s="1">
        <v>3122.76</v>
      </c>
      <c r="AY1868" t="s">
        <v>5094</v>
      </c>
      <c r="AZ1868" t="s">
        <v>5094</v>
      </c>
      <c r="BA1868" t="s">
        <v>473</v>
      </c>
      <c r="BE1868" s="3">
        <v>41809</v>
      </c>
      <c r="BF1868" s="1">
        <v>397500</v>
      </c>
      <c r="BG1868" t="s">
        <v>12691</v>
      </c>
      <c r="BH1868" s="1">
        <v>102.16</v>
      </c>
      <c r="BI1868" s="1">
        <v>387291</v>
      </c>
      <c r="BJ1868" s="3">
        <v>42704</v>
      </c>
      <c r="BK1868" t="s">
        <v>123</v>
      </c>
      <c r="BL1868" t="str">
        <f>"2016.884879"</f>
        <v>2016.884879</v>
      </c>
      <c r="BM1868" t="s">
        <v>402</v>
      </c>
      <c r="BO1868" t="s">
        <v>12692</v>
      </c>
      <c r="BS1868">
        <v>30</v>
      </c>
      <c r="BW1868" t="str">
        <f>""</f>
        <v/>
      </c>
      <c r="CH1868" t="str">
        <f>""</f>
        <v/>
      </c>
      <c r="CS1868" t="str">
        <f>""</f>
        <v/>
      </c>
    </row>
    <row r="1869" spans="1:97" x14ac:dyDescent="0.25">
      <c r="A1869" t="s">
        <v>305</v>
      </c>
      <c r="B1869" t="s">
        <v>10375</v>
      </c>
      <c r="C1869" t="s">
        <v>817</v>
      </c>
      <c r="D1869" t="s">
        <v>10375</v>
      </c>
      <c r="E1869" t="s">
        <v>12693</v>
      </c>
      <c r="F1869" t="s">
        <v>108</v>
      </c>
      <c r="H1869" t="s">
        <v>12694</v>
      </c>
      <c r="I1869" t="s">
        <v>390</v>
      </c>
      <c r="J1869" t="s">
        <v>111</v>
      </c>
      <c r="K1869" t="str">
        <f>"85044"</f>
        <v>85044</v>
      </c>
      <c r="L1869" t="s">
        <v>7746</v>
      </c>
      <c r="M1869" t="s">
        <v>12694</v>
      </c>
      <c r="N1869" t="s">
        <v>390</v>
      </c>
      <c r="O1869" t="s">
        <v>111</v>
      </c>
      <c r="P1869" t="str">
        <f>"85044-3420"</f>
        <v>85044-3420</v>
      </c>
      <c r="Q1869" t="s">
        <v>113</v>
      </c>
      <c r="R1869" t="str">
        <f>"301-56-374"</f>
        <v>301-56-374</v>
      </c>
      <c r="S1869" t="s">
        <v>12695</v>
      </c>
      <c r="U1869">
        <v>2720</v>
      </c>
      <c r="V1869">
        <v>0</v>
      </c>
      <c r="W1869">
        <v>3</v>
      </c>
      <c r="X1869">
        <v>1985</v>
      </c>
      <c r="Z1869">
        <v>1</v>
      </c>
      <c r="AA1869" t="s">
        <v>26</v>
      </c>
      <c r="AB1869">
        <v>0</v>
      </c>
      <c r="AC1869" t="s">
        <v>115</v>
      </c>
      <c r="AD1869">
        <v>3</v>
      </c>
      <c r="AE1869" t="s">
        <v>115</v>
      </c>
      <c r="AF1869">
        <v>0</v>
      </c>
      <c r="AG1869">
        <v>0</v>
      </c>
      <c r="AH1869" t="s">
        <v>116</v>
      </c>
      <c r="AI1869" s="1">
        <v>404628</v>
      </c>
      <c r="AJ1869" s="2">
        <v>0.67</v>
      </c>
      <c r="AK1869" s="1">
        <v>606323</v>
      </c>
      <c r="AL1869" t="s">
        <v>117</v>
      </c>
      <c r="AM1869" t="s">
        <v>616</v>
      </c>
      <c r="AN1869">
        <v>22011</v>
      </c>
      <c r="AO1869">
        <v>0.5</v>
      </c>
      <c r="AP1869">
        <v>1</v>
      </c>
      <c r="AR1869">
        <v>1</v>
      </c>
      <c r="AS1869" s="1">
        <v>47760</v>
      </c>
      <c r="AT1869" s="1">
        <v>9550</v>
      </c>
      <c r="AU1869" s="1">
        <v>38210</v>
      </c>
      <c r="AV1869">
        <v>80</v>
      </c>
      <c r="AX1869" s="1">
        <v>4695.8</v>
      </c>
      <c r="AY1869" t="s">
        <v>7254</v>
      </c>
      <c r="AZ1869" t="s">
        <v>7255</v>
      </c>
      <c r="BA1869" t="s">
        <v>5328</v>
      </c>
      <c r="BE1869" s="3">
        <v>42061</v>
      </c>
      <c r="BF1869" s="1">
        <v>522500</v>
      </c>
      <c r="BG1869" t="s">
        <v>12696</v>
      </c>
      <c r="BH1869" s="1">
        <v>192.1</v>
      </c>
      <c r="BI1869" s="1">
        <v>201695</v>
      </c>
      <c r="BJ1869" s="3">
        <v>42272</v>
      </c>
      <c r="BK1869" t="s">
        <v>123</v>
      </c>
      <c r="BL1869" t="str">
        <f>"2015.691016"</f>
        <v>2015.691016</v>
      </c>
      <c r="BM1869" t="s">
        <v>2683</v>
      </c>
      <c r="BO1869" t="s">
        <v>12697</v>
      </c>
      <c r="BS1869">
        <v>30</v>
      </c>
      <c r="BW1869" t="str">
        <f>""</f>
        <v/>
      </c>
      <c r="CH1869" t="str">
        <f>""</f>
        <v/>
      </c>
      <c r="CS1869" t="str">
        <f>""</f>
        <v/>
      </c>
    </row>
    <row r="1870" spans="1:97" x14ac:dyDescent="0.25">
      <c r="A1870" t="s">
        <v>370</v>
      </c>
      <c r="B1870" t="s">
        <v>2692</v>
      </c>
      <c r="C1870" t="s">
        <v>327</v>
      </c>
      <c r="D1870" t="s">
        <v>1577</v>
      </c>
      <c r="E1870" t="s">
        <v>12698</v>
      </c>
      <c r="F1870" t="s">
        <v>108</v>
      </c>
      <c r="H1870" t="s">
        <v>12699</v>
      </c>
      <c r="I1870" t="s">
        <v>1936</v>
      </c>
      <c r="J1870" t="s">
        <v>111</v>
      </c>
      <c r="K1870" t="str">
        <f>"85257"</f>
        <v>85257</v>
      </c>
      <c r="L1870" t="s">
        <v>1300</v>
      </c>
      <c r="M1870" t="s">
        <v>12699</v>
      </c>
      <c r="N1870" t="s">
        <v>1936</v>
      </c>
      <c r="O1870" t="s">
        <v>111</v>
      </c>
      <c r="P1870" t="str">
        <f>"85257-1520"</f>
        <v>85257-1520</v>
      </c>
      <c r="Q1870" t="s">
        <v>113</v>
      </c>
      <c r="R1870" t="str">
        <f>"131-28-218"</f>
        <v>131-28-218</v>
      </c>
      <c r="S1870" t="s">
        <v>12700</v>
      </c>
      <c r="T1870" t="s">
        <v>8495</v>
      </c>
      <c r="U1870">
        <v>1484</v>
      </c>
      <c r="V1870">
        <v>0</v>
      </c>
      <c r="W1870">
        <v>2</v>
      </c>
      <c r="X1870">
        <v>1959</v>
      </c>
      <c r="Z1870">
        <v>1</v>
      </c>
      <c r="AA1870" t="s">
        <v>26</v>
      </c>
      <c r="AB1870">
        <v>0</v>
      </c>
      <c r="AC1870" t="s">
        <v>115</v>
      </c>
      <c r="AD1870">
        <v>2</v>
      </c>
      <c r="AE1870" t="s">
        <v>115</v>
      </c>
      <c r="AF1870">
        <v>0</v>
      </c>
      <c r="AG1870">
        <v>0</v>
      </c>
      <c r="AH1870" t="s">
        <v>116</v>
      </c>
      <c r="AI1870" s="1">
        <v>38898</v>
      </c>
      <c r="AJ1870" s="2">
        <v>0.1</v>
      </c>
      <c r="AK1870" s="1">
        <v>388798</v>
      </c>
      <c r="AL1870" t="s">
        <v>117</v>
      </c>
      <c r="AM1870" t="s">
        <v>393</v>
      </c>
      <c r="AN1870">
        <v>6962</v>
      </c>
      <c r="AO1870">
        <v>0.16</v>
      </c>
      <c r="AP1870">
        <v>1</v>
      </c>
      <c r="AR1870">
        <v>1</v>
      </c>
      <c r="AS1870" s="1">
        <v>25930</v>
      </c>
      <c r="AT1870" s="1">
        <v>5180</v>
      </c>
      <c r="AU1870" s="1">
        <v>20750</v>
      </c>
      <c r="AV1870">
        <v>80.02</v>
      </c>
      <c r="AX1870" s="1">
        <v>1292.98</v>
      </c>
      <c r="AY1870" t="s">
        <v>7031</v>
      </c>
      <c r="AZ1870" t="s">
        <v>5420</v>
      </c>
      <c r="BA1870" t="s">
        <v>5421</v>
      </c>
      <c r="BE1870" s="3">
        <v>42199</v>
      </c>
      <c r="BF1870" s="1">
        <v>349900</v>
      </c>
      <c r="BG1870" t="s">
        <v>12701</v>
      </c>
      <c r="BH1870" s="1">
        <v>235.78</v>
      </c>
      <c r="BI1870" s="1">
        <v>349900</v>
      </c>
      <c r="BJ1870" s="3">
        <v>42199</v>
      </c>
      <c r="BK1870" t="s">
        <v>123</v>
      </c>
      <c r="BL1870" t="str">
        <f>"2015.504686"</f>
        <v>2015.504686</v>
      </c>
      <c r="BM1870" t="s">
        <v>135</v>
      </c>
      <c r="BO1870" t="s">
        <v>12702</v>
      </c>
      <c r="BP1870" t="s">
        <v>12703</v>
      </c>
      <c r="BS1870">
        <v>30</v>
      </c>
      <c r="BW1870" t="str">
        <f>""</f>
        <v/>
      </c>
      <c r="CH1870" t="str">
        <f>""</f>
        <v/>
      </c>
      <c r="CS1870" t="str">
        <f>""</f>
        <v/>
      </c>
    </row>
    <row r="1871" spans="1:97" x14ac:dyDescent="0.25">
      <c r="A1871" t="s">
        <v>12704</v>
      </c>
      <c r="B1871" t="s">
        <v>12705</v>
      </c>
      <c r="E1871" t="s">
        <v>12706</v>
      </c>
      <c r="F1871" t="s">
        <v>108</v>
      </c>
      <c r="H1871" t="s">
        <v>12707</v>
      </c>
      <c r="I1871" t="s">
        <v>225</v>
      </c>
      <c r="J1871" t="s">
        <v>111</v>
      </c>
      <c r="K1871" t="str">
        <f>"85202"</f>
        <v>85202</v>
      </c>
      <c r="L1871" t="s">
        <v>6803</v>
      </c>
      <c r="M1871" t="s">
        <v>12707</v>
      </c>
      <c r="N1871" t="s">
        <v>225</v>
      </c>
      <c r="O1871" t="s">
        <v>111</v>
      </c>
      <c r="P1871" t="str">
        <f>"85202-3858"</f>
        <v>85202-3858</v>
      </c>
      <c r="Q1871" t="s">
        <v>113</v>
      </c>
      <c r="R1871" t="str">
        <f>"134-42-122"</f>
        <v>134-42-122</v>
      </c>
      <c r="S1871" t="s">
        <v>12708</v>
      </c>
      <c r="T1871" t="s">
        <v>12708</v>
      </c>
      <c r="U1871">
        <v>1455</v>
      </c>
      <c r="V1871">
        <v>0</v>
      </c>
      <c r="W1871">
        <v>2</v>
      </c>
      <c r="X1871">
        <v>1972</v>
      </c>
      <c r="Z1871">
        <v>1</v>
      </c>
      <c r="AA1871" t="s">
        <v>26</v>
      </c>
      <c r="AB1871">
        <v>0</v>
      </c>
      <c r="AC1871" t="s">
        <v>115</v>
      </c>
      <c r="AD1871">
        <v>2</v>
      </c>
      <c r="AE1871" t="s">
        <v>115</v>
      </c>
      <c r="AF1871">
        <v>0</v>
      </c>
      <c r="AG1871">
        <v>0</v>
      </c>
      <c r="AH1871" t="s">
        <v>116</v>
      </c>
      <c r="AI1871" s="1">
        <v>64268</v>
      </c>
      <c r="AJ1871" s="2">
        <v>0.24</v>
      </c>
      <c r="AK1871" s="1">
        <v>269268</v>
      </c>
      <c r="AL1871" t="s">
        <v>117</v>
      </c>
      <c r="AM1871" t="s">
        <v>191</v>
      </c>
      <c r="AN1871">
        <v>12301</v>
      </c>
      <c r="AO1871">
        <v>0.28000000000000003</v>
      </c>
      <c r="AP1871">
        <v>1</v>
      </c>
      <c r="AR1871">
        <v>1</v>
      </c>
      <c r="AS1871" s="1">
        <v>18900</v>
      </c>
      <c r="AT1871" s="1">
        <v>3780</v>
      </c>
      <c r="AU1871" s="1">
        <v>15120</v>
      </c>
      <c r="AV1871">
        <v>80</v>
      </c>
      <c r="AX1871" s="1">
        <v>1244.72</v>
      </c>
      <c r="AY1871" t="s">
        <v>7849</v>
      </c>
      <c r="AZ1871" t="s">
        <v>7850</v>
      </c>
      <c r="BA1871" t="s">
        <v>5191</v>
      </c>
      <c r="BE1871" s="3">
        <v>42132</v>
      </c>
      <c r="BF1871" s="1">
        <v>182000</v>
      </c>
      <c r="BG1871" t="s">
        <v>12709</v>
      </c>
      <c r="BH1871" s="1">
        <v>125.09</v>
      </c>
      <c r="BI1871" s="1">
        <v>205000</v>
      </c>
      <c r="BJ1871" s="3">
        <v>42576</v>
      </c>
      <c r="BK1871" t="s">
        <v>123</v>
      </c>
      <c r="BL1871" t="str">
        <f>"2016.523618"</f>
        <v>2016.523618</v>
      </c>
      <c r="BM1871" t="s">
        <v>594</v>
      </c>
      <c r="BO1871" t="s">
        <v>12710</v>
      </c>
      <c r="BS1871">
        <v>30</v>
      </c>
      <c r="BW1871" t="str">
        <f>""</f>
        <v/>
      </c>
      <c r="CH1871" t="str">
        <f>""</f>
        <v/>
      </c>
      <c r="CS1871" t="str">
        <f>""</f>
        <v/>
      </c>
    </row>
    <row r="1872" spans="1:97" x14ac:dyDescent="0.25">
      <c r="A1872" t="s">
        <v>12711</v>
      </c>
      <c r="B1872" t="s">
        <v>12712</v>
      </c>
      <c r="C1872" t="s">
        <v>3526</v>
      </c>
      <c r="D1872" t="s">
        <v>12712</v>
      </c>
      <c r="E1872" t="s">
        <v>12713</v>
      </c>
      <c r="F1872" t="s">
        <v>108</v>
      </c>
      <c r="H1872" t="s">
        <v>12714</v>
      </c>
      <c r="I1872" t="s">
        <v>225</v>
      </c>
      <c r="J1872" t="s">
        <v>111</v>
      </c>
      <c r="K1872" t="str">
        <f>"85202"</f>
        <v>85202</v>
      </c>
      <c r="L1872" t="s">
        <v>8462</v>
      </c>
      <c r="M1872" t="s">
        <v>12714</v>
      </c>
      <c r="N1872" t="s">
        <v>225</v>
      </c>
      <c r="O1872" t="s">
        <v>111</v>
      </c>
      <c r="P1872" t="str">
        <f>"85202-8026"</f>
        <v>85202-8026</v>
      </c>
      <c r="Q1872" t="s">
        <v>113</v>
      </c>
      <c r="R1872" t="str">
        <f>"302-78-128"</f>
        <v>302-78-128</v>
      </c>
      <c r="S1872" t="s">
        <v>12715</v>
      </c>
      <c r="T1872" t="s">
        <v>12716</v>
      </c>
      <c r="U1872">
        <v>1497</v>
      </c>
      <c r="V1872">
        <v>0</v>
      </c>
      <c r="W1872">
        <v>3</v>
      </c>
      <c r="X1872">
        <v>1977</v>
      </c>
      <c r="Z1872">
        <v>2</v>
      </c>
      <c r="AA1872" t="s">
        <v>26</v>
      </c>
      <c r="AB1872">
        <v>0</v>
      </c>
      <c r="AC1872" t="s">
        <v>115</v>
      </c>
      <c r="AD1872">
        <v>2</v>
      </c>
      <c r="AE1872" t="s">
        <v>115</v>
      </c>
      <c r="AF1872">
        <v>0</v>
      </c>
      <c r="AG1872">
        <v>0</v>
      </c>
      <c r="AH1872" t="s">
        <v>116</v>
      </c>
      <c r="AI1872" s="1">
        <v>75514</v>
      </c>
      <c r="AJ1872" s="2">
        <v>0.27</v>
      </c>
      <c r="AK1872" s="1">
        <v>275514</v>
      </c>
      <c r="AL1872" t="s">
        <v>117</v>
      </c>
      <c r="AM1872" t="s">
        <v>191</v>
      </c>
      <c r="AN1872">
        <v>7645</v>
      </c>
      <c r="AO1872">
        <v>0.18</v>
      </c>
      <c r="AP1872">
        <v>1</v>
      </c>
      <c r="AR1872">
        <v>1</v>
      </c>
      <c r="AS1872" s="1">
        <v>18130</v>
      </c>
      <c r="AT1872" s="1">
        <v>3620</v>
      </c>
      <c r="AU1872" s="1">
        <v>14510</v>
      </c>
      <c r="AV1872">
        <v>80.03</v>
      </c>
      <c r="AX1872" s="1">
        <v>1262.0999999999999</v>
      </c>
      <c r="AY1872" t="s">
        <v>5310</v>
      </c>
      <c r="AZ1872" t="s">
        <v>5310</v>
      </c>
      <c r="BA1872" t="s">
        <v>5311</v>
      </c>
      <c r="BE1872" s="3">
        <v>42062</v>
      </c>
      <c r="BF1872" s="1">
        <v>199000</v>
      </c>
      <c r="BG1872" t="s">
        <v>12717</v>
      </c>
      <c r="BH1872" s="1">
        <v>132.93</v>
      </c>
      <c r="BI1872" s="1">
        <v>200000</v>
      </c>
      <c r="BJ1872" s="3">
        <v>42443</v>
      </c>
      <c r="BK1872" t="s">
        <v>123</v>
      </c>
      <c r="BL1872" t="str">
        <f>"2016.161365"</f>
        <v>2016.161365</v>
      </c>
      <c r="BM1872" t="s">
        <v>820</v>
      </c>
      <c r="BO1872" t="s">
        <v>12718</v>
      </c>
      <c r="BS1872">
        <v>30</v>
      </c>
      <c r="BW1872" t="str">
        <f>""</f>
        <v/>
      </c>
      <c r="CH1872" t="str">
        <f>""</f>
        <v/>
      </c>
      <c r="CS1872" t="str">
        <f>""</f>
        <v/>
      </c>
    </row>
    <row r="1873" spans="1:97" x14ac:dyDescent="0.25">
      <c r="A1873" t="s">
        <v>701</v>
      </c>
      <c r="B1873" t="s">
        <v>12719</v>
      </c>
      <c r="C1873" t="s">
        <v>12720</v>
      </c>
      <c r="D1873" t="s">
        <v>12721</v>
      </c>
      <c r="E1873" t="s">
        <v>12722</v>
      </c>
      <c r="F1873" t="s">
        <v>108</v>
      </c>
      <c r="H1873" t="s">
        <v>12723</v>
      </c>
      <c r="I1873" t="s">
        <v>2874</v>
      </c>
      <c r="J1873" t="s">
        <v>111</v>
      </c>
      <c r="K1873" t="str">
        <f>"85308"</f>
        <v>85308</v>
      </c>
      <c r="L1873" t="s">
        <v>3151</v>
      </c>
      <c r="M1873" t="s">
        <v>12723</v>
      </c>
      <c r="N1873" t="s">
        <v>2874</v>
      </c>
      <c r="O1873" t="s">
        <v>111</v>
      </c>
      <c r="P1873" t="str">
        <f>"85308-2260"</f>
        <v>85308-2260</v>
      </c>
      <c r="Q1873" t="s">
        <v>113</v>
      </c>
      <c r="R1873" t="str">
        <f>"206-16-202"</f>
        <v>206-16-202</v>
      </c>
      <c r="S1873" t="s">
        <v>12724</v>
      </c>
      <c r="T1873" t="s">
        <v>12724</v>
      </c>
      <c r="U1873">
        <v>2921</v>
      </c>
      <c r="V1873">
        <v>0</v>
      </c>
      <c r="W1873">
        <v>4</v>
      </c>
      <c r="X1873">
        <v>2002</v>
      </c>
      <c r="Z1873">
        <v>1</v>
      </c>
      <c r="AA1873" t="s">
        <v>26</v>
      </c>
      <c r="AB1873">
        <v>0</v>
      </c>
      <c r="AC1873" t="s">
        <v>115</v>
      </c>
      <c r="AD1873">
        <v>5</v>
      </c>
      <c r="AE1873" t="s">
        <v>115</v>
      </c>
      <c r="AF1873">
        <v>0</v>
      </c>
      <c r="AG1873">
        <v>0</v>
      </c>
      <c r="AH1873" t="s">
        <v>116</v>
      </c>
      <c r="AI1873" s="1">
        <v>153143</v>
      </c>
      <c r="AJ1873" s="2">
        <v>0.22</v>
      </c>
      <c r="AK1873" s="1">
        <v>702619</v>
      </c>
      <c r="AL1873" t="s">
        <v>117</v>
      </c>
      <c r="AM1873" t="s">
        <v>3973</v>
      </c>
      <c r="AN1873">
        <v>37905</v>
      </c>
      <c r="AO1873">
        <v>0.87</v>
      </c>
      <c r="AP1873">
        <v>1</v>
      </c>
      <c r="AR1873">
        <v>1</v>
      </c>
      <c r="AS1873" s="1">
        <v>56270</v>
      </c>
      <c r="AT1873" s="1">
        <v>11250</v>
      </c>
      <c r="AU1873" s="1">
        <v>45020</v>
      </c>
      <c r="AV1873">
        <v>80.010000000000005</v>
      </c>
      <c r="AX1873" s="1">
        <v>4919.6000000000004</v>
      </c>
      <c r="AY1873" t="s">
        <v>9121</v>
      </c>
      <c r="AZ1873" t="s">
        <v>2357</v>
      </c>
      <c r="BA1873" t="s">
        <v>1462</v>
      </c>
      <c r="BE1873" s="3">
        <v>42398</v>
      </c>
      <c r="BF1873" s="1">
        <v>580000</v>
      </c>
      <c r="BG1873" t="s">
        <v>12725</v>
      </c>
      <c r="BH1873" s="1">
        <v>198.56</v>
      </c>
      <c r="BI1873" s="1">
        <v>549476</v>
      </c>
      <c r="BJ1873" s="3">
        <v>42549</v>
      </c>
      <c r="BK1873" t="s">
        <v>123</v>
      </c>
      <c r="BL1873" t="str">
        <f>"2016.452088"</f>
        <v>2016.452088</v>
      </c>
      <c r="BM1873" t="s">
        <v>9665</v>
      </c>
      <c r="BO1873" t="s">
        <v>12726</v>
      </c>
      <c r="BS1873">
        <v>30</v>
      </c>
      <c r="BW1873" t="str">
        <f>""</f>
        <v/>
      </c>
      <c r="CH1873" t="str">
        <f>""</f>
        <v/>
      </c>
      <c r="CS1873" t="str">
        <f>""</f>
        <v/>
      </c>
    </row>
    <row r="1874" spans="1:97" x14ac:dyDescent="0.25">
      <c r="A1874" t="s">
        <v>9328</v>
      </c>
      <c r="B1874" t="s">
        <v>12727</v>
      </c>
      <c r="E1874" t="s">
        <v>12728</v>
      </c>
      <c r="F1874" t="s">
        <v>108</v>
      </c>
      <c r="H1874" t="s">
        <v>12729</v>
      </c>
      <c r="I1874" t="s">
        <v>203</v>
      </c>
      <c r="J1874" t="s">
        <v>111</v>
      </c>
      <c r="K1874" t="str">
        <f>"85298"</f>
        <v>85298</v>
      </c>
      <c r="L1874" t="s">
        <v>721</v>
      </c>
      <c r="M1874" t="s">
        <v>12729</v>
      </c>
      <c r="N1874" t="s">
        <v>203</v>
      </c>
      <c r="O1874" t="s">
        <v>111</v>
      </c>
      <c r="P1874" t="str">
        <f>"85298-8170"</f>
        <v>85298-8170</v>
      </c>
      <c r="Q1874" t="s">
        <v>113</v>
      </c>
      <c r="R1874" t="str">
        <f>"304-86-085"</f>
        <v>304-86-085</v>
      </c>
      <c r="S1874" t="s">
        <v>5950</v>
      </c>
      <c r="T1874" t="s">
        <v>5951</v>
      </c>
      <c r="U1874">
        <v>3514</v>
      </c>
      <c r="V1874">
        <v>0</v>
      </c>
      <c r="W1874">
        <v>5</v>
      </c>
      <c r="X1874">
        <v>2014</v>
      </c>
      <c r="Z1874">
        <v>1</v>
      </c>
      <c r="AA1874" t="s">
        <v>26</v>
      </c>
      <c r="AB1874">
        <v>0</v>
      </c>
      <c r="AC1874" t="s">
        <v>115</v>
      </c>
      <c r="AD1874">
        <v>4</v>
      </c>
      <c r="AE1874" t="s">
        <v>115</v>
      </c>
      <c r="AF1874">
        <v>0</v>
      </c>
      <c r="AG1874">
        <v>0</v>
      </c>
      <c r="AH1874" t="s">
        <v>116</v>
      </c>
      <c r="AI1874" s="1">
        <v>220140</v>
      </c>
      <c r="AJ1874" s="2">
        <v>0.27</v>
      </c>
      <c r="AK1874" s="1">
        <v>818890</v>
      </c>
      <c r="AL1874" t="s">
        <v>117</v>
      </c>
      <c r="AM1874" t="s">
        <v>1521</v>
      </c>
      <c r="AN1874">
        <v>21043</v>
      </c>
      <c r="AO1874">
        <v>0.48</v>
      </c>
      <c r="AR1874">
        <v>1</v>
      </c>
      <c r="AS1874" s="1">
        <v>65000</v>
      </c>
      <c r="AT1874" s="1">
        <v>13000</v>
      </c>
      <c r="AU1874" s="1">
        <v>52000</v>
      </c>
      <c r="AV1874">
        <v>80</v>
      </c>
      <c r="AX1874" s="1">
        <v>4457.88</v>
      </c>
      <c r="AY1874" t="s">
        <v>272</v>
      </c>
      <c r="AZ1874" t="s">
        <v>273</v>
      </c>
      <c r="BA1874" t="s">
        <v>274</v>
      </c>
      <c r="BB1874" s="3">
        <v>42629</v>
      </c>
      <c r="BD1874" t="s">
        <v>458</v>
      </c>
      <c r="BE1874" s="3">
        <v>42338</v>
      </c>
      <c r="BF1874" s="1">
        <v>660000</v>
      </c>
      <c r="BG1874" t="s">
        <v>1238</v>
      </c>
      <c r="BH1874" s="1">
        <v>187.82</v>
      </c>
      <c r="BI1874" s="1">
        <v>598750</v>
      </c>
      <c r="BJ1874" s="3">
        <v>42629</v>
      </c>
      <c r="BK1874" t="s">
        <v>123</v>
      </c>
      <c r="BL1874" t="str">
        <f>"2016.675974"</f>
        <v>2016.675974</v>
      </c>
      <c r="BM1874" t="s">
        <v>1122</v>
      </c>
      <c r="BO1874" t="s">
        <v>12730</v>
      </c>
      <c r="BS1874">
        <v>30</v>
      </c>
      <c r="BW1874" t="str">
        <f>""</f>
        <v/>
      </c>
      <c r="CH1874" t="str">
        <f>""</f>
        <v/>
      </c>
      <c r="CS1874" t="str">
        <f>""</f>
        <v/>
      </c>
    </row>
    <row r="1875" spans="1:97" x14ac:dyDescent="0.25">
      <c r="B1875" t="s">
        <v>12731</v>
      </c>
      <c r="E1875" t="s">
        <v>12732</v>
      </c>
      <c r="F1875" t="s">
        <v>108</v>
      </c>
      <c r="H1875" t="s">
        <v>12733</v>
      </c>
      <c r="I1875" t="s">
        <v>203</v>
      </c>
      <c r="J1875" t="s">
        <v>111</v>
      </c>
      <c r="K1875" t="str">
        <f>"85234"</f>
        <v>85234</v>
      </c>
      <c r="L1875" t="s">
        <v>7607</v>
      </c>
      <c r="M1875" t="s">
        <v>12733</v>
      </c>
      <c r="N1875" t="s">
        <v>203</v>
      </c>
      <c r="O1875" t="s">
        <v>111</v>
      </c>
      <c r="P1875" t="str">
        <f>"85234-6179"</f>
        <v>85234-6179</v>
      </c>
      <c r="Q1875" t="s">
        <v>113</v>
      </c>
      <c r="R1875" t="str">
        <f>"309-21-113"</f>
        <v>309-21-113</v>
      </c>
      <c r="S1875" t="s">
        <v>12734</v>
      </c>
      <c r="T1875" t="s">
        <v>12734</v>
      </c>
      <c r="U1875">
        <v>2781</v>
      </c>
      <c r="V1875">
        <v>0</v>
      </c>
      <c r="W1875">
        <v>4</v>
      </c>
      <c r="X1875">
        <v>1999</v>
      </c>
      <c r="Z1875">
        <v>1</v>
      </c>
      <c r="AA1875" t="s">
        <v>26</v>
      </c>
      <c r="AB1875">
        <v>0</v>
      </c>
      <c r="AC1875" t="s">
        <v>115</v>
      </c>
      <c r="AD1875">
        <v>3</v>
      </c>
      <c r="AE1875" t="s">
        <v>115</v>
      </c>
      <c r="AF1875">
        <v>0</v>
      </c>
      <c r="AG1875">
        <v>0</v>
      </c>
      <c r="AH1875" t="s">
        <v>116</v>
      </c>
      <c r="AI1875" s="1">
        <v>100275</v>
      </c>
      <c r="AJ1875" s="2">
        <v>0.22</v>
      </c>
      <c r="AK1875" s="1">
        <v>464924</v>
      </c>
      <c r="AL1875" t="s">
        <v>117</v>
      </c>
      <c r="AM1875" t="s">
        <v>171</v>
      </c>
      <c r="AN1875">
        <v>13555</v>
      </c>
      <c r="AO1875">
        <v>0.31</v>
      </c>
      <c r="AP1875">
        <v>1</v>
      </c>
      <c r="AR1875">
        <v>1</v>
      </c>
      <c r="AS1875" s="1">
        <v>34130</v>
      </c>
      <c r="AT1875" s="1">
        <v>6820</v>
      </c>
      <c r="AU1875" s="1">
        <v>27310</v>
      </c>
      <c r="AV1875">
        <v>80.02</v>
      </c>
      <c r="AX1875" s="1">
        <v>2486.84</v>
      </c>
      <c r="AY1875" t="s">
        <v>6506</v>
      </c>
      <c r="AZ1875" t="s">
        <v>520</v>
      </c>
      <c r="BA1875" t="s">
        <v>5033</v>
      </c>
      <c r="BB1875" s="3">
        <v>42579</v>
      </c>
      <c r="BD1875" t="s">
        <v>240</v>
      </c>
      <c r="BE1875" s="3">
        <v>41810</v>
      </c>
      <c r="BF1875" s="1">
        <v>353000</v>
      </c>
      <c r="BG1875" t="s">
        <v>12735</v>
      </c>
      <c r="BH1875" s="1">
        <v>126.93</v>
      </c>
      <c r="BI1875" s="1">
        <v>364649</v>
      </c>
      <c r="BJ1875" s="3">
        <v>41810</v>
      </c>
      <c r="BK1875" t="s">
        <v>123</v>
      </c>
      <c r="BL1875" t="str">
        <f>"2014.406935"</f>
        <v>2014.406935</v>
      </c>
      <c r="BM1875" t="s">
        <v>8340</v>
      </c>
      <c r="BO1875" t="s">
        <v>12736</v>
      </c>
      <c r="BS1875">
        <v>30</v>
      </c>
      <c r="BW1875" t="str">
        <f>""</f>
        <v/>
      </c>
      <c r="CH1875" t="str">
        <f>""</f>
        <v/>
      </c>
      <c r="CS1875" t="str">
        <f>""</f>
        <v/>
      </c>
    </row>
    <row r="1876" spans="1:97" x14ac:dyDescent="0.25">
      <c r="A1876" t="s">
        <v>2374</v>
      </c>
      <c r="B1876" t="s">
        <v>12737</v>
      </c>
      <c r="C1876" t="s">
        <v>976</v>
      </c>
      <c r="D1876" t="s">
        <v>12737</v>
      </c>
      <c r="E1876" t="s">
        <v>12738</v>
      </c>
      <c r="F1876" t="s">
        <v>108</v>
      </c>
      <c r="H1876" t="s">
        <v>12739</v>
      </c>
      <c r="I1876" t="s">
        <v>5387</v>
      </c>
      <c r="J1876" t="s">
        <v>111</v>
      </c>
      <c r="K1876" t="str">
        <f>"85284"</f>
        <v>85284</v>
      </c>
      <c r="L1876" t="s">
        <v>168</v>
      </c>
      <c r="M1876" t="s">
        <v>12739</v>
      </c>
      <c r="N1876" t="s">
        <v>5387</v>
      </c>
      <c r="O1876" t="s">
        <v>111</v>
      </c>
      <c r="P1876" t="str">
        <f>"85284-3356"</f>
        <v>85284-3356</v>
      </c>
      <c r="Q1876" t="s">
        <v>113</v>
      </c>
      <c r="R1876" t="str">
        <f>"308-02-071"</f>
        <v>308-02-071</v>
      </c>
      <c r="S1876" t="s">
        <v>12740</v>
      </c>
      <c r="T1876" t="s">
        <v>12741</v>
      </c>
      <c r="U1876">
        <v>4084</v>
      </c>
      <c r="V1876">
        <v>0</v>
      </c>
      <c r="W1876">
        <v>5</v>
      </c>
      <c r="X1876">
        <v>1994</v>
      </c>
      <c r="Z1876">
        <v>2</v>
      </c>
      <c r="AA1876" t="s">
        <v>26</v>
      </c>
      <c r="AB1876">
        <v>0</v>
      </c>
      <c r="AC1876" t="s">
        <v>115</v>
      </c>
      <c r="AD1876">
        <v>3</v>
      </c>
      <c r="AE1876" t="s">
        <v>115</v>
      </c>
      <c r="AF1876">
        <v>0</v>
      </c>
      <c r="AG1876">
        <v>0</v>
      </c>
      <c r="AH1876" t="s">
        <v>116</v>
      </c>
      <c r="AI1876" s="1">
        <v>198082</v>
      </c>
      <c r="AJ1876" s="2">
        <v>0.28000000000000003</v>
      </c>
      <c r="AK1876" s="1">
        <v>718777</v>
      </c>
      <c r="AL1876" t="s">
        <v>117</v>
      </c>
      <c r="AM1876" t="s">
        <v>1521</v>
      </c>
      <c r="AN1876">
        <v>15577</v>
      </c>
      <c r="AO1876">
        <v>0.36</v>
      </c>
      <c r="AP1876">
        <v>1</v>
      </c>
      <c r="AR1876">
        <v>1</v>
      </c>
      <c r="AS1876" s="1">
        <v>59470</v>
      </c>
      <c r="AT1876" s="1">
        <v>11890</v>
      </c>
      <c r="AU1876" s="1">
        <v>47580</v>
      </c>
      <c r="AV1876">
        <v>80.010000000000005</v>
      </c>
      <c r="AX1876" s="1">
        <v>6837.42</v>
      </c>
      <c r="AY1876" t="s">
        <v>5921</v>
      </c>
      <c r="AZ1876" t="s">
        <v>5922</v>
      </c>
      <c r="BA1876" t="s">
        <v>5202</v>
      </c>
      <c r="BE1876" s="3">
        <v>42374</v>
      </c>
      <c r="BF1876" s="1">
        <v>545000</v>
      </c>
      <c r="BG1876" t="s">
        <v>12742</v>
      </c>
      <c r="BH1876" s="1">
        <v>133.44999999999999</v>
      </c>
      <c r="BI1876" s="1">
        <v>520695</v>
      </c>
      <c r="BJ1876" s="3">
        <v>42374</v>
      </c>
      <c r="BK1876" t="s">
        <v>123</v>
      </c>
      <c r="BL1876" t="str">
        <f>"2016.5297"</f>
        <v>2016.5297</v>
      </c>
      <c r="BM1876" t="s">
        <v>594</v>
      </c>
      <c r="BO1876" t="s">
        <v>12743</v>
      </c>
      <c r="BS1876">
        <v>30</v>
      </c>
      <c r="BW1876" t="str">
        <f>""</f>
        <v/>
      </c>
      <c r="CH1876" t="str">
        <f>""</f>
        <v/>
      </c>
      <c r="CS1876" t="str">
        <f>""</f>
        <v/>
      </c>
    </row>
    <row r="1877" spans="1:97" x14ac:dyDescent="0.25">
      <c r="A1877" t="s">
        <v>12744</v>
      </c>
      <c r="B1877" t="s">
        <v>12745</v>
      </c>
      <c r="C1877" t="s">
        <v>12746</v>
      </c>
      <c r="D1877" t="s">
        <v>12745</v>
      </c>
      <c r="E1877" t="s">
        <v>12747</v>
      </c>
      <c r="F1877" t="s">
        <v>108</v>
      </c>
      <c r="H1877" t="s">
        <v>12748</v>
      </c>
      <c r="I1877" t="s">
        <v>225</v>
      </c>
      <c r="J1877" t="s">
        <v>111</v>
      </c>
      <c r="K1877" t="str">
        <f>"85212"</f>
        <v>85212</v>
      </c>
      <c r="L1877" t="s">
        <v>5239</v>
      </c>
      <c r="M1877" t="s">
        <v>12748</v>
      </c>
      <c r="N1877" t="s">
        <v>225</v>
      </c>
      <c r="O1877" t="s">
        <v>111</v>
      </c>
      <c r="P1877" t="str">
        <f>"85212-7126"</f>
        <v>85212-7126</v>
      </c>
      <c r="Q1877" t="s">
        <v>113</v>
      </c>
      <c r="R1877" t="str">
        <f>"312-14-882"</f>
        <v>312-14-882</v>
      </c>
      <c r="S1877" t="s">
        <v>12749</v>
      </c>
      <c r="T1877" t="s">
        <v>8853</v>
      </c>
      <c r="U1877">
        <v>1969</v>
      </c>
      <c r="V1877">
        <v>0</v>
      </c>
      <c r="W1877">
        <v>3</v>
      </c>
      <c r="X1877">
        <v>2006</v>
      </c>
      <c r="Z1877">
        <v>1</v>
      </c>
      <c r="AB1877">
        <v>0</v>
      </c>
      <c r="AC1877" t="s">
        <v>115</v>
      </c>
      <c r="AD1877">
        <v>2</v>
      </c>
      <c r="AE1877" t="s">
        <v>115</v>
      </c>
      <c r="AF1877">
        <v>0</v>
      </c>
      <c r="AG1877">
        <v>0</v>
      </c>
      <c r="AH1877" t="s">
        <v>116</v>
      </c>
      <c r="AI1877" s="1">
        <v>91646</v>
      </c>
      <c r="AJ1877" s="2">
        <v>0.28999999999999998</v>
      </c>
      <c r="AK1877" s="1">
        <v>312350</v>
      </c>
      <c r="AL1877" t="s">
        <v>117</v>
      </c>
      <c r="AM1877" t="s">
        <v>191</v>
      </c>
      <c r="AN1877">
        <v>7533</v>
      </c>
      <c r="AO1877">
        <v>0.17</v>
      </c>
      <c r="AR1877">
        <v>1</v>
      </c>
      <c r="AS1877" s="1">
        <v>21020</v>
      </c>
      <c r="AT1877" s="1">
        <v>4200</v>
      </c>
      <c r="AU1877" s="1">
        <v>16820</v>
      </c>
      <c r="AV1877">
        <v>80.02</v>
      </c>
      <c r="AX1877" s="1">
        <v>1761.86</v>
      </c>
      <c r="AY1877" t="s">
        <v>560</v>
      </c>
      <c r="AZ1877" t="s">
        <v>561</v>
      </c>
      <c r="BA1877" t="s">
        <v>194</v>
      </c>
      <c r="BE1877" s="3">
        <v>41995</v>
      </c>
      <c r="BF1877" s="1">
        <v>220000</v>
      </c>
      <c r="BG1877" t="s">
        <v>12750</v>
      </c>
      <c r="BH1877" s="1">
        <v>111.73</v>
      </c>
      <c r="BI1877" s="1">
        <v>220704</v>
      </c>
      <c r="BJ1877" s="3">
        <v>42663</v>
      </c>
      <c r="BK1877" t="s">
        <v>123</v>
      </c>
      <c r="BL1877" t="str">
        <f>"2016.769551"</f>
        <v>2016.769551</v>
      </c>
      <c r="BM1877" t="s">
        <v>402</v>
      </c>
      <c r="BO1877" t="s">
        <v>12751</v>
      </c>
      <c r="BS1877">
        <v>30</v>
      </c>
      <c r="BW1877" t="str">
        <f>""</f>
        <v/>
      </c>
      <c r="CH1877" t="str">
        <f>""</f>
        <v/>
      </c>
      <c r="CS1877" t="str">
        <f>""</f>
        <v/>
      </c>
    </row>
    <row r="1878" spans="1:97" x14ac:dyDescent="0.25">
      <c r="A1878" t="s">
        <v>3613</v>
      </c>
      <c r="B1878" t="s">
        <v>12752</v>
      </c>
      <c r="C1878" t="s">
        <v>976</v>
      </c>
      <c r="D1878" t="s">
        <v>1365</v>
      </c>
      <c r="E1878" t="s">
        <v>12753</v>
      </c>
      <c r="F1878" t="s">
        <v>108</v>
      </c>
      <c r="H1878" t="s">
        <v>12754</v>
      </c>
      <c r="I1878" t="s">
        <v>203</v>
      </c>
      <c r="J1878" t="s">
        <v>111</v>
      </c>
      <c r="K1878" t="str">
        <f>"85298"</f>
        <v>85298</v>
      </c>
      <c r="L1878" t="s">
        <v>681</v>
      </c>
      <c r="M1878" t="s">
        <v>12754</v>
      </c>
      <c r="N1878" t="s">
        <v>203</v>
      </c>
      <c r="O1878" t="s">
        <v>111</v>
      </c>
      <c r="P1878" t="str">
        <f>"85298-2345"</f>
        <v>85298-2345</v>
      </c>
      <c r="Q1878" t="s">
        <v>113</v>
      </c>
      <c r="R1878" t="str">
        <f>"304-71-718"</f>
        <v>304-71-718</v>
      </c>
      <c r="S1878" t="s">
        <v>9053</v>
      </c>
      <c r="T1878" t="s">
        <v>287</v>
      </c>
      <c r="U1878">
        <v>2713</v>
      </c>
      <c r="V1878">
        <v>0</v>
      </c>
      <c r="W1878">
        <v>4</v>
      </c>
      <c r="X1878">
        <v>2015</v>
      </c>
      <c r="Z1878">
        <v>1</v>
      </c>
      <c r="AA1878" t="s">
        <v>26</v>
      </c>
      <c r="AB1878">
        <v>0</v>
      </c>
      <c r="AC1878" t="s">
        <v>115</v>
      </c>
      <c r="AD1878">
        <v>3</v>
      </c>
      <c r="AE1878" t="s">
        <v>115</v>
      </c>
      <c r="AF1878">
        <v>0</v>
      </c>
      <c r="AG1878">
        <v>0</v>
      </c>
      <c r="AH1878" t="s">
        <v>116</v>
      </c>
      <c r="AI1878" s="1">
        <v>117983</v>
      </c>
      <c r="AJ1878" s="2">
        <v>0.24</v>
      </c>
      <c r="AK1878" s="1">
        <v>485719</v>
      </c>
      <c r="AL1878" t="s">
        <v>117</v>
      </c>
      <c r="AM1878" t="s">
        <v>393</v>
      </c>
      <c r="AN1878">
        <v>8435</v>
      </c>
      <c r="AO1878">
        <v>0.19</v>
      </c>
      <c r="AR1878">
        <v>1</v>
      </c>
      <c r="AS1878" s="1">
        <v>35160</v>
      </c>
      <c r="AT1878" s="1">
        <v>7030</v>
      </c>
      <c r="AU1878" s="1">
        <v>28130</v>
      </c>
      <c r="AV1878">
        <v>80.010000000000005</v>
      </c>
      <c r="AX1878" s="1">
        <v>2655.66</v>
      </c>
      <c r="AY1878" t="s">
        <v>289</v>
      </c>
      <c r="AZ1878" t="s">
        <v>289</v>
      </c>
      <c r="BA1878" t="s">
        <v>290</v>
      </c>
      <c r="BB1878" s="3">
        <v>42333</v>
      </c>
      <c r="BD1878" t="s">
        <v>842</v>
      </c>
      <c r="BE1878" s="3">
        <v>42306</v>
      </c>
      <c r="BF1878" s="1">
        <v>359997</v>
      </c>
      <c r="BG1878" t="s">
        <v>459</v>
      </c>
      <c r="BH1878" s="1">
        <v>132.69</v>
      </c>
      <c r="BI1878" s="1">
        <v>367736</v>
      </c>
      <c r="BJ1878" s="3">
        <v>42306</v>
      </c>
      <c r="BK1878" t="s">
        <v>123</v>
      </c>
      <c r="BL1878" t="str">
        <f>"2015.779572"</f>
        <v>2015.779572</v>
      </c>
      <c r="BM1878" t="s">
        <v>4738</v>
      </c>
      <c r="BO1878" t="s">
        <v>12755</v>
      </c>
      <c r="BP1878" t="s">
        <v>12756</v>
      </c>
      <c r="BS1878">
        <v>30</v>
      </c>
      <c r="BW1878" t="str">
        <f>""</f>
        <v/>
      </c>
      <c r="CH1878" t="str">
        <f>""</f>
        <v/>
      </c>
      <c r="CS1878" t="str">
        <f>""</f>
        <v/>
      </c>
    </row>
    <row r="1879" spans="1:97" x14ac:dyDescent="0.25">
      <c r="A1879" t="s">
        <v>1109</v>
      </c>
      <c r="B1879" t="s">
        <v>12757</v>
      </c>
      <c r="C1879" t="s">
        <v>2178</v>
      </c>
      <c r="D1879" t="s">
        <v>12758</v>
      </c>
      <c r="E1879" t="s">
        <v>12759</v>
      </c>
      <c r="F1879" t="s">
        <v>108</v>
      </c>
      <c r="H1879" t="s">
        <v>12760</v>
      </c>
      <c r="I1879" t="s">
        <v>225</v>
      </c>
      <c r="J1879" t="s">
        <v>111</v>
      </c>
      <c r="K1879" t="str">
        <f>"85213"</f>
        <v>85213</v>
      </c>
      <c r="L1879" t="s">
        <v>12761</v>
      </c>
      <c r="M1879" t="s">
        <v>12760</v>
      </c>
      <c r="N1879" t="s">
        <v>225</v>
      </c>
      <c r="O1879" t="s">
        <v>111</v>
      </c>
      <c r="P1879" t="str">
        <f>"85213-1990"</f>
        <v>85213-1990</v>
      </c>
      <c r="Q1879" t="s">
        <v>113</v>
      </c>
      <c r="R1879" t="str">
        <f>"141-18-279"</f>
        <v>141-18-279</v>
      </c>
      <c r="S1879" t="s">
        <v>5667</v>
      </c>
      <c r="U1879">
        <v>1695</v>
      </c>
      <c r="V1879">
        <v>0</v>
      </c>
      <c r="W1879">
        <v>3</v>
      </c>
      <c r="X1879">
        <v>2014</v>
      </c>
      <c r="Z1879">
        <v>1</v>
      </c>
      <c r="AB1879">
        <v>0</v>
      </c>
      <c r="AC1879" t="s">
        <v>115</v>
      </c>
      <c r="AD1879">
        <v>2</v>
      </c>
      <c r="AE1879" t="s">
        <v>115</v>
      </c>
      <c r="AF1879">
        <v>0</v>
      </c>
      <c r="AG1879">
        <v>0</v>
      </c>
      <c r="AH1879" t="s">
        <v>116</v>
      </c>
      <c r="AI1879" s="1">
        <v>78152</v>
      </c>
      <c r="AJ1879" s="2">
        <v>0.23</v>
      </c>
      <c r="AK1879" s="1">
        <v>337898</v>
      </c>
      <c r="AL1879" t="s">
        <v>117</v>
      </c>
      <c r="AM1879" t="s">
        <v>917</v>
      </c>
      <c r="AN1879">
        <v>5250</v>
      </c>
      <c r="AO1879">
        <v>0.12</v>
      </c>
      <c r="AR1879">
        <v>1</v>
      </c>
      <c r="AS1879" s="1">
        <v>22560</v>
      </c>
      <c r="AT1879" s="1">
        <v>4510</v>
      </c>
      <c r="AU1879" s="1">
        <v>18050</v>
      </c>
      <c r="AV1879">
        <v>80.010000000000005</v>
      </c>
      <c r="AX1879" s="1">
        <v>1905.56</v>
      </c>
      <c r="AY1879" t="s">
        <v>4162</v>
      </c>
      <c r="AZ1879" t="s">
        <v>4163</v>
      </c>
      <c r="BA1879" t="s">
        <v>1524</v>
      </c>
      <c r="BE1879" s="3">
        <v>42121</v>
      </c>
      <c r="BF1879" s="1">
        <v>254279</v>
      </c>
      <c r="BG1879" t="s">
        <v>2842</v>
      </c>
      <c r="BH1879" s="1">
        <v>150.02000000000001</v>
      </c>
      <c r="BI1879" s="1">
        <v>259746</v>
      </c>
      <c r="BJ1879" s="3">
        <v>42121</v>
      </c>
      <c r="BK1879" t="s">
        <v>123</v>
      </c>
      <c r="BL1879" t="str">
        <f>"2015.289966"</f>
        <v>2015.289966</v>
      </c>
      <c r="BM1879" t="s">
        <v>2912</v>
      </c>
      <c r="BO1879" t="s">
        <v>12762</v>
      </c>
      <c r="BP1879" t="s">
        <v>12763</v>
      </c>
      <c r="BS1879">
        <v>30</v>
      </c>
      <c r="BW1879" t="str">
        <f>""</f>
        <v/>
      </c>
      <c r="CH1879" t="str">
        <f>""</f>
        <v/>
      </c>
      <c r="CS1879" t="str">
        <f>""</f>
        <v/>
      </c>
    </row>
    <row r="1880" spans="1:97" x14ac:dyDescent="0.25">
      <c r="A1880" t="s">
        <v>1344</v>
      </c>
      <c r="B1880" t="s">
        <v>12764</v>
      </c>
      <c r="E1880" t="s">
        <v>12765</v>
      </c>
      <c r="F1880" t="s">
        <v>108</v>
      </c>
      <c r="H1880" t="s">
        <v>12766</v>
      </c>
      <c r="I1880" t="s">
        <v>390</v>
      </c>
      <c r="J1880" t="s">
        <v>111</v>
      </c>
      <c r="K1880" t="str">
        <f>"85022"</f>
        <v>85022</v>
      </c>
      <c r="L1880" t="s">
        <v>9168</v>
      </c>
      <c r="M1880" t="s">
        <v>12766</v>
      </c>
      <c r="N1880" t="s">
        <v>390</v>
      </c>
      <c r="O1880" t="s">
        <v>111</v>
      </c>
      <c r="P1880" t="str">
        <f>"85022-3776"</f>
        <v>85022-3776</v>
      </c>
      <c r="Q1880" t="s">
        <v>113</v>
      </c>
      <c r="R1880" t="str">
        <f>"214-42-181"</f>
        <v>214-42-181</v>
      </c>
      <c r="S1880" t="s">
        <v>12767</v>
      </c>
      <c r="T1880" t="s">
        <v>12768</v>
      </c>
      <c r="U1880">
        <v>2989</v>
      </c>
      <c r="V1880">
        <v>0</v>
      </c>
      <c r="W1880">
        <v>3</v>
      </c>
      <c r="X1880">
        <v>1986</v>
      </c>
      <c r="Z1880">
        <v>2</v>
      </c>
      <c r="AA1880" t="s">
        <v>26</v>
      </c>
      <c r="AB1880">
        <v>0</v>
      </c>
      <c r="AC1880" t="s">
        <v>115</v>
      </c>
      <c r="AD1880">
        <v>2</v>
      </c>
      <c r="AE1880" t="s">
        <v>115</v>
      </c>
      <c r="AF1880">
        <v>0</v>
      </c>
      <c r="AG1880">
        <v>0</v>
      </c>
      <c r="AH1880" t="s">
        <v>116</v>
      </c>
      <c r="AI1880" s="1">
        <v>63167</v>
      </c>
      <c r="AJ1880" s="2">
        <v>0.13</v>
      </c>
      <c r="AK1880" s="1">
        <v>471202</v>
      </c>
      <c r="AL1880" t="s">
        <v>117</v>
      </c>
      <c r="AM1880" t="s">
        <v>1302</v>
      </c>
      <c r="AN1880">
        <v>10479</v>
      </c>
      <c r="AO1880">
        <v>0.24</v>
      </c>
      <c r="AP1880">
        <v>1</v>
      </c>
      <c r="AR1880">
        <v>1</v>
      </c>
      <c r="AS1880" s="1">
        <v>31380</v>
      </c>
      <c r="AT1880" s="1">
        <v>6270</v>
      </c>
      <c r="AU1880" s="1">
        <v>25110</v>
      </c>
      <c r="AV1880">
        <v>80.02</v>
      </c>
      <c r="AX1880" s="1">
        <v>2640.86</v>
      </c>
      <c r="AY1880" t="s">
        <v>5802</v>
      </c>
      <c r="AZ1880" t="s">
        <v>5489</v>
      </c>
      <c r="BA1880" t="s">
        <v>5232</v>
      </c>
      <c r="BB1880" s="3">
        <v>42345</v>
      </c>
      <c r="BD1880" t="s">
        <v>458</v>
      </c>
      <c r="BE1880" s="3">
        <v>42152</v>
      </c>
      <c r="BF1880" s="1">
        <v>385000</v>
      </c>
      <c r="BG1880" t="s">
        <v>12769</v>
      </c>
      <c r="BH1880" s="1">
        <v>128.81</v>
      </c>
      <c r="BI1880" s="1">
        <v>408035</v>
      </c>
      <c r="BJ1880" s="3">
        <v>43375</v>
      </c>
      <c r="BK1880" t="s">
        <v>123</v>
      </c>
      <c r="BL1880" t="str">
        <f>"2018.739815"</f>
        <v>2018.739815</v>
      </c>
      <c r="BM1880" t="s">
        <v>9928</v>
      </c>
      <c r="BN1880" t="s">
        <v>9929</v>
      </c>
      <c r="BO1880" t="s">
        <v>12770</v>
      </c>
      <c r="BR1880" t="s">
        <v>139</v>
      </c>
      <c r="BW1880" t="str">
        <f>""</f>
        <v/>
      </c>
      <c r="CH1880" t="str">
        <f>""</f>
        <v/>
      </c>
      <c r="CS1880" t="str">
        <f>""</f>
        <v/>
      </c>
    </row>
    <row r="1881" spans="1:97" x14ac:dyDescent="0.25">
      <c r="A1881" t="s">
        <v>1465</v>
      </c>
      <c r="B1881" t="s">
        <v>12771</v>
      </c>
      <c r="C1881" t="s">
        <v>2939</v>
      </c>
      <c r="D1881" t="s">
        <v>12771</v>
      </c>
      <c r="E1881" t="s">
        <v>12772</v>
      </c>
      <c r="F1881" t="s">
        <v>108</v>
      </c>
      <c r="H1881" t="s">
        <v>12773</v>
      </c>
      <c r="I1881" t="s">
        <v>390</v>
      </c>
      <c r="J1881" t="s">
        <v>111</v>
      </c>
      <c r="K1881" t="str">
        <f>"85048"</f>
        <v>85048</v>
      </c>
      <c r="L1881" t="s">
        <v>6003</v>
      </c>
      <c r="M1881" t="s">
        <v>12773</v>
      </c>
      <c r="N1881" t="s">
        <v>390</v>
      </c>
      <c r="O1881" t="s">
        <v>111</v>
      </c>
      <c r="P1881" t="str">
        <f>"85048-7967"</f>
        <v>85048-7967</v>
      </c>
      <c r="Q1881" t="s">
        <v>113</v>
      </c>
      <c r="R1881" t="str">
        <f>"306-02-504"</f>
        <v>306-02-504</v>
      </c>
      <c r="S1881" t="s">
        <v>12774</v>
      </c>
      <c r="T1881" t="s">
        <v>12775</v>
      </c>
      <c r="U1881">
        <v>3250</v>
      </c>
      <c r="V1881">
        <v>0</v>
      </c>
      <c r="W1881">
        <v>4</v>
      </c>
      <c r="X1881">
        <v>1991</v>
      </c>
      <c r="Z1881">
        <v>2</v>
      </c>
      <c r="AA1881" t="s">
        <v>26</v>
      </c>
      <c r="AB1881">
        <v>0</v>
      </c>
      <c r="AC1881" t="s">
        <v>115</v>
      </c>
      <c r="AD1881">
        <v>3</v>
      </c>
      <c r="AE1881" t="s">
        <v>115</v>
      </c>
      <c r="AF1881">
        <v>0</v>
      </c>
      <c r="AG1881">
        <v>0</v>
      </c>
      <c r="AH1881" t="s">
        <v>116</v>
      </c>
      <c r="AI1881" s="1">
        <v>109940</v>
      </c>
      <c r="AJ1881" s="2">
        <v>0.22</v>
      </c>
      <c r="AK1881" s="1">
        <v>501777</v>
      </c>
      <c r="AL1881" t="s">
        <v>117</v>
      </c>
      <c r="AM1881" t="s">
        <v>171</v>
      </c>
      <c r="AN1881">
        <v>10428</v>
      </c>
      <c r="AO1881">
        <v>0.24</v>
      </c>
      <c r="AP1881">
        <v>1</v>
      </c>
      <c r="AR1881">
        <v>1</v>
      </c>
      <c r="AS1881" s="1">
        <v>37300</v>
      </c>
      <c r="AT1881" s="1">
        <v>7460</v>
      </c>
      <c r="AU1881" s="1">
        <v>29840</v>
      </c>
      <c r="AV1881">
        <v>80</v>
      </c>
      <c r="AX1881" s="1">
        <v>3875.52</v>
      </c>
      <c r="AY1881" t="s">
        <v>928</v>
      </c>
      <c r="AZ1881" t="s">
        <v>929</v>
      </c>
      <c r="BA1881" t="s">
        <v>930</v>
      </c>
      <c r="BE1881" s="3">
        <v>42524</v>
      </c>
      <c r="BF1881" s="1">
        <v>447000</v>
      </c>
      <c r="BG1881" t="s">
        <v>12776</v>
      </c>
      <c r="BH1881" s="1">
        <v>137.54</v>
      </c>
      <c r="BI1881" s="1">
        <v>391837</v>
      </c>
      <c r="BJ1881" s="3">
        <v>42524</v>
      </c>
      <c r="BK1881" t="s">
        <v>123</v>
      </c>
      <c r="BL1881" t="str">
        <f>"2016.385173"</f>
        <v>2016.385173</v>
      </c>
      <c r="BM1881" t="s">
        <v>709</v>
      </c>
      <c r="BO1881" t="s">
        <v>12777</v>
      </c>
      <c r="BS1881">
        <v>30</v>
      </c>
      <c r="BW1881" t="str">
        <f>""</f>
        <v/>
      </c>
      <c r="CH1881" t="str">
        <f>""</f>
        <v/>
      </c>
      <c r="CS1881" t="str">
        <f>""</f>
        <v/>
      </c>
    </row>
    <row r="1882" spans="1:97" x14ac:dyDescent="0.25">
      <c r="A1882" t="s">
        <v>996</v>
      </c>
      <c r="B1882" t="s">
        <v>12778</v>
      </c>
      <c r="C1882" t="s">
        <v>6619</v>
      </c>
      <c r="D1882" t="s">
        <v>478</v>
      </c>
      <c r="E1882" t="s">
        <v>12779</v>
      </c>
      <c r="F1882" t="s">
        <v>108</v>
      </c>
      <c r="H1882" t="s">
        <v>12780</v>
      </c>
      <c r="I1882" t="s">
        <v>110</v>
      </c>
      <c r="J1882" t="s">
        <v>111</v>
      </c>
      <c r="K1882" t="str">
        <f>"85249"</f>
        <v>85249</v>
      </c>
      <c r="L1882" t="s">
        <v>6595</v>
      </c>
      <c r="M1882" t="s">
        <v>12780</v>
      </c>
      <c r="N1882" t="s">
        <v>110</v>
      </c>
      <c r="O1882" t="s">
        <v>111</v>
      </c>
      <c r="P1882" t="str">
        <f>"85249-7152"</f>
        <v>85249-7152</v>
      </c>
      <c r="Q1882" t="s">
        <v>113</v>
      </c>
      <c r="R1882" t="str">
        <f>"304-84-163"</f>
        <v>304-84-163</v>
      </c>
      <c r="S1882" t="s">
        <v>12781</v>
      </c>
      <c r="U1882">
        <v>1842</v>
      </c>
      <c r="V1882">
        <v>0</v>
      </c>
      <c r="W1882">
        <v>3</v>
      </c>
      <c r="X1882">
        <v>2002</v>
      </c>
      <c r="Z1882">
        <v>1</v>
      </c>
      <c r="AB1882">
        <v>0</v>
      </c>
      <c r="AC1882" t="s">
        <v>115</v>
      </c>
      <c r="AD1882">
        <v>2</v>
      </c>
      <c r="AE1882" t="s">
        <v>115</v>
      </c>
      <c r="AF1882">
        <v>0</v>
      </c>
      <c r="AG1882">
        <v>0</v>
      </c>
      <c r="AH1882" t="s">
        <v>116</v>
      </c>
      <c r="AI1882" s="1">
        <v>66450</v>
      </c>
      <c r="AJ1882" s="2">
        <v>0.21</v>
      </c>
      <c r="AK1882" s="1">
        <v>315282</v>
      </c>
      <c r="AL1882" t="s">
        <v>117</v>
      </c>
      <c r="AM1882" t="s">
        <v>118</v>
      </c>
      <c r="AN1882">
        <v>7137</v>
      </c>
      <c r="AO1882">
        <v>0.16</v>
      </c>
      <c r="AP1882">
        <v>1</v>
      </c>
      <c r="AR1882">
        <v>1</v>
      </c>
      <c r="AS1882" s="1">
        <v>21400</v>
      </c>
      <c r="AT1882" s="1">
        <v>4280</v>
      </c>
      <c r="AU1882" s="1">
        <v>17120</v>
      </c>
      <c r="AV1882">
        <v>80</v>
      </c>
      <c r="AX1882" s="1">
        <v>1653.98</v>
      </c>
      <c r="AY1882" t="s">
        <v>6269</v>
      </c>
      <c r="AZ1882" t="s">
        <v>273</v>
      </c>
      <c r="BA1882" t="s">
        <v>274</v>
      </c>
      <c r="BE1882" s="3">
        <v>42478</v>
      </c>
      <c r="BF1882" s="1">
        <v>243000</v>
      </c>
      <c r="BG1882" t="s">
        <v>12782</v>
      </c>
      <c r="BH1882" s="1">
        <v>131.91999999999999</v>
      </c>
      <c r="BI1882" s="1">
        <v>248832</v>
      </c>
      <c r="BJ1882" s="3">
        <v>42478</v>
      </c>
      <c r="BK1882" t="s">
        <v>123</v>
      </c>
      <c r="BL1882" t="str">
        <f>"2016.255396"</f>
        <v>2016.255396</v>
      </c>
      <c r="BM1882" t="s">
        <v>5567</v>
      </c>
      <c r="BO1882" t="s">
        <v>12783</v>
      </c>
      <c r="BP1882" t="s">
        <v>12784</v>
      </c>
      <c r="BS1882">
        <v>30</v>
      </c>
      <c r="BW1882" t="str">
        <f>""</f>
        <v/>
      </c>
      <c r="CH1882" t="str">
        <f>""</f>
        <v/>
      </c>
      <c r="CS1882" t="str">
        <f>""</f>
        <v/>
      </c>
    </row>
    <row r="1883" spans="1:97" x14ac:dyDescent="0.25">
      <c r="A1883" t="s">
        <v>305</v>
      </c>
      <c r="B1883" t="s">
        <v>212</v>
      </c>
      <c r="C1883" t="s">
        <v>12785</v>
      </c>
      <c r="D1883" t="s">
        <v>212</v>
      </c>
      <c r="E1883" t="s">
        <v>12786</v>
      </c>
      <c r="F1883" t="s">
        <v>108</v>
      </c>
      <c r="H1883" t="s">
        <v>12787</v>
      </c>
      <c r="I1883" t="s">
        <v>390</v>
      </c>
      <c r="J1883" t="s">
        <v>111</v>
      </c>
      <c r="K1883" t="str">
        <f>"85023"</f>
        <v>85023</v>
      </c>
      <c r="L1883" t="s">
        <v>2547</v>
      </c>
      <c r="M1883" t="s">
        <v>12787</v>
      </c>
      <c r="N1883" t="s">
        <v>390</v>
      </c>
      <c r="O1883" t="s">
        <v>111</v>
      </c>
      <c r="P1883" t="str">
        <f>"85023-6237"</f>
        <v>85023-6237</v>
      </c>
      <c r="Q1883" t="s">
        <v>113</v>
      </c>
      <c r="R1883" t="str">
        <f>"208-27-573-A"</f>
        <v>208-27-573-A</v>
      </c>
      <c r="S1883" t="s">
        <v>12788</v>
      </c>
      <c r="U1883">
        <v>2095</v>
      </c>
      <c r="V1883">
        <v>0</v>
      </c>
      <c r="W1883">
        <v>2</v>
      </c>
      <c r="X1883">
        <v>1973</v>
      </c>
      <c r="Z1883">
        <v>1</v>
      </c>
      <c r="AA1883" t="s">
        <v>26</v>
      </c>
      <c r="AB1883">
        <v>0</v>
      </c>
      <c r="AC1883" t="s">
        <v>115</v>
      </c>
      <c r="AD1883">
        <v>4</v>
      </c>
      <c r="AE1883" t="s">
        <v>115</v>
      </c>
      <c r="AF1883">
        <v>0</v>
      </c>
      <c r="AG1883">
        <v>0</v>
      </c>
      <c r="AH1883" t="s">
        <v>116</v>
      </c>
      <c r="AI1883" s="1">
        <v>80790</v>
      </c>
      <c r="AJ1883" s="2">
        <v>0.19</v>
      </c>
      <c r="AK1883" s="1">
        <v>415656</v>
      </c>
      <c r="AL1883" t="s">
        <v>117</v>
      </c>
      <c r="AM1883" t="s">
        <v>1302</v>
      </c>
      <c r="AN1883">
        <v>11746</v>
      </c>
      <c r="AO1883">
        <v>0.27</v>
      </c>
      <c r="AP1883">
        <v>1</v>
      </c>
      <c r="AR1883">
        <v>1</v>
      </c>
      <c r="AS1883" s="1">
        <v>30710</v>
      </c>
      <c r="AT1883" s="1">
        <v>6140</v>
      </c>
      <c r="AU1883" s="1">
        <v>24570</v>
      </c>
      <c r="AV1883">
        <v>80.010000000000005</v>
      </c>
      <c r="AX1883" s="1">
        <v>3373.42</v>
      </c>
      <c r="AY1883" t="s">
        <v>9170</v>
      </c>
      <c r="AZ1883" t="s">
        <v>8648</v>
      </c>
      <c r="BA1883" t="s">
        <v>8649</v>
      </c>
      <c r="BE1883" s="3">
        <v>42130</v>
      </c>
      <c r="BF1883" s="1">
        <v>320000</v>
      </c>
      <c r="BG1883" t="s">
        <v>12789</v>
      </c>
      <c r="BH1883" s="1">
        <v>152.74</v>
      </c>
      <c r="BI1883" s="1">
        <v>334866</v>
      </c>
      <c r="BJ1883" s="3">
        <v>42639</v>
      </c>
      <c r="BK1883" t="s">
        <v>123</v>
      </c>
      <c r="BL1883" t="str">
        <f>"2016.697167"</f>
        <v>2016.697167</v>
      </c>
      <c r="BM1883" t="s">
        <v>2368</v>
      </c>
      <c r="BO1883" t="s">
        <v>12790</v>
      </c>
      <c r="BS1883">
        <v>30</v>
      </c>
      <c r="BW1883" t="str">
        <f>""</f>
        <v/>
      </c>
      <c r="CH1883" t="str">
        <f>""</f>
        <v/>
      </c>
      <c r="CS1883" t="str">
        <f>""</f>
        <v/>
      </c>
    </row>
    <row r="1884" spans="1:97" x14ac:dyDescent="0.25">
      <c r="A1884" t="s">
        <v>1295</v>
      </c>
      <c r="B1884" t="s">
        <v>252</v>
      </c>
      <c r="C1884" t="s">
        <v>908</v>
      </c>
      <c r="D1884" t="s">
        <v>252</v>
      </c>
      <c r="E1884" t="s">
        <v>12791</v>
      </c>
      <c r="F1884" t="s">
        <v>108</v>
      </c>
      <c r="H1884" t="s">
        <v>12792</v>
      </c>
      <c r="I1884" t="s">
        <v>499</v>
      </c>
      <c r="J1884" t="s">
        <v>111</v>
      </c>
      <c r="K1884" t="str">
        <f>"85395"</f>
        <v>85395</v>
      </c>
      <c r="L1884" t="s">
        <v>5743</v>
      </c>
      <c r="M1884" t="s">
        <v>12792</v>
      </c>
      <c r="N1884" t="s">
        <v>499</v>
      </c>
      <c r="O1884" t="s">
        <v>111</v>
      </c>
      <c r="P1884" t="str">
        <f>"85395-7723"</f>
        <v>85395-7723</v>
      </c>
      <c r="Q1884" t="s">
        <v>113</v>
      </c>
      <c r="R1884" t="str">
        <f>"508-13-536"</f>
        <v>508-13-536</v>
      </c>
      <c r="S1884" t="s">
        <v>12793</v>
      </c>
      <c r="T1884" t="s">
        <v>12794</v>
      </c>
      <c r="U1884">
        <v>3712</v>
      </c>
      <c r="V1884">
        <v>0</v>
      </c>
      <c r="W1884">
        <v>4</v>
      </c>
      <c r="X1884">
        <v>2007</v>
      </c>
      <c r="Z1884">
        <v>2</v>
      </c>
      <c r="AA1884" t="s">
        <v>26</v>
      </c>
      <c r="AB1884">
        <v>0</v>
      </c>
      <c r="AC1884" t="s">
        <v>115</v>
      </c>
      <c r="AD1884">
        <v>4</v>
      </c>
      <c r="AE1884" t="s">
        <v>115</v>
      </c>
      <c r="AF1884">
        <v>0</v>
      </c>
      <c r="AG1884">
        <v>0</v>
      </c>
      <c r="AH1884" t="s">
        <v>116</v>
      </c>
      <c r="AI1884" s="1">
        <v>60820</v>
      </c>
      <c r="AJ1884" s="2">
        <v>0.13</v>
      </c>
      <c r="AK1884" s="1">
        <v>460077</v>
      </c>
      <c r="AL1884" t="s">
        <v>117</v>
      </c>
      <c r="AM1884" t="s">
        <v>118</v>
      </c>
      <c r="AN1884">
        <v>10800</v>
      </c>
      <c r="AO1884">
        <v>0.25</v>
      </c>
      <c r="AR1884">
        <v>1</v>
      </c>
      <c r="AS1884" s="1">
        <v>34570</v>
      </c>
      <c r="AT1884" s="1">
        <v>6910</v>
      </c>
      <c r="AU1884" s="1">
        <v>27660</v>
      </c>
      <c r="AV1884">
        <v>80.010000000000005</v>
      </c>
      <c r="AX1884" s="1">
        <v>3934.04</v>
      </c>
      <c r="AY1884" t="s">
        <v>3020</v>
      </c>
      <c r="AZ1884" t="s">
        <v>3020</v>
      </c>
      <c r="BA1884" t="s">
        <v>3154</v>
      </c>
      <c r="BE1884" s="3">
        <v>42541</v>
      </c>
      <c r="BF1884" s="1">
        <v>389900</v>
      </c>
      <c r="BG1884" t="s">
        <v>12795</v>
      </c>
      <c r="BH1884" s="1">
        <v>105.04</v>
      </c>
      <c r="BI1884" s="1">
        <v>399257</v>
      </c>
      <c r="BJ1884" s="3">
        <v>42541</v>
      </c>
      <c r="BK1884" t="s">
        <v>123</v>
      </c>
      <c r="BL1884" t="str">
        <f>"2016.429751"</f>
        <v>2016.429751</v>
      </c>
      <c r="BM1884" t="s">
        <v>12796</v>
      </c>
      <c r="BO1884" t="s">
        <v>12797</v>
      </c>
      <c r="BS1884">
        <v>30</v>
      </c>
      <c r="BW1884" t="str">
        <f>""</f>
        <v/>
      </c>
      <c r="CH1884" t="str">
        <f>""</f>
        <v/>
      </c>
      <c r="CS1884" t="str">
        <f>""</f>
        <v/>
      </c>
    </row>
    <row r="1885" spans="1:97" x14ac:dyDescent="0.25">
      <c r="A1885" t="s">
        <v>140</v>
      </c>
      <c r="B1885" t="s">
        <v>12798</v>
      </c>
      <c r="C1885" t="s">
        <v>2852</v>
      </c>
      <c r="D1885" t="s">
        <v>12798</v>
      </c>
      <c r="E1885" t="s">
        <v>12799</v>
      </c>
      <c r="F1885" t="s">
        <v>108</v>
      </c>
      <c r="H1885" t="s">
        <v>12800</v>
      </c>
      <c r="I1885" t="s">
        <v>5636</v>
      </c>
      <c r="J1885" t="s">
        <v>111</v>
      </c>
      <c r="K1885" t="str">
        <f>"85268"</f>
        <v>85268</v>
      </c>
      <c r="L1885" t="s">
        <v>168</v>
      </c>
      <c r="M1885" t="s">
        <v>12800</v>
      </c>
      <c r="N1885" t="s">
        <v>5636</v>
      </c>
      <c r="O1885" t="s">
        <v>111</v>
      </c>
      <c r="P1885" t="str">
        <f>"85268-2634"</f>
        <v>85268-2634</v>
      </c>
      <c r="Q1885" t="s">
        <v>113</v>
      </c>
      <c r="R1885" t="str">
        <f>"176-04-239"</f>
        <v>176-04-239</v>
      </c>
      <c r="S1885" t="s">
        <v>10825</v>
      </c>
      <c r="U1885">
        <v>2358</v>
      </c>
      <c r="V1885">
        <v>0</v>
      </c>
      <c r="W1885">
        <v>4</v>
      </c>
      <c r="X1885">
        <v>1979</v>
      </c>
      <c r="Z1885">
        <v>1</v>
      </c>
      <c r="AA1885" t="s">
        <v>26</v>
      </c>
      <c r="AB1885">
        <v>0</v>
      </c>
      <c r="AC1885" t="s">
        <v>115</v>
      </c>
      <c r="AD1885">
        <v>2</v>
      </c>
      <c r="AE1885" t="s">
        <v>115</v>
      </c>
      <c r="AF1885">
        <v>0</v>
      </c>
      <c r="AG1885">
        <v>0</v>
      </c>
      <c r="AH1885" t="s">
        <v>116</v>
      </c>
      <c r="AI1885" s="1">
        <v>82662</v>
      </c>
      <c r="AJ1885" s="2">
        <v>0.17</v>
      </c>
      <c r="AK1885" s="1">
        <v>486154</v>
      </c>
      <c r="AL1885" t="s">
        <v>117</v>
      </c>
      <c r="AM1885" t="s">
        <v>171</v>
      </c>
      <c r="AN1885">
        <v>10001</v>
      </c>
      <c r="AO1885">
        <v>0.23</v>
      </c>
      <c r="AP1885">
        <v>1</v>
      </c>
      <c r="AR1885">
        <v>1</v>
      </c>
      <c r="AS1885" s="1">
        <v>30920</v>
      </c>
      <c r="AT1885" s="1">
        <v>6180</v>
      </c>
      <c r="AU1885" s="1">
        <v>24740</v>
      </c>
      <c r="AV1885">
        <v>80.010000000000005</v>
      </c>
      <c r="AX1885" s="1">
        <v>1770.26</v>
      </c>
      <c r="AY1885" t="s">
        <v>6485</v>
      </c>
      <c r="AZ1885" t="s">
        <v>5640</v>
      </c>
      <c r="BA1885" t="s">
        <v>5641</v>
      </c>
      <c r="BB1885" s="3">
        <v>42080</v>
      </c>
      <c r="BD1885" t="s">
        <v>842</v>
      </c>
      <c r="BE1885" s="3">
        <v>42079</v>
      </c>
      <c r="BF1885" s="1">
        <v>395000</v>
      </c>
      <c r="BG1885" t="s">
        <v>12801</v>
      </c>
      <c r="BH1885" s="1">
        <v>167.51</v>
      </c>
      <c r="BI1885" s="1">
        <v>403492</v>
      </c>
      <c r="BJ1885" s="3">
        <v>42079</v>
      </c>
      <c r="BK1885" t="s">
        <v>123</v>
      </c>
      <c r="BL1885" t="str">
        <f>"2015.174291"</f>
        <v>2015.174291</v>
      </c>
      <c r="BM1885" t="s">
        <v>1038</v>
      </c>
      <c r="BO1885" t="s">
        <v>12802</v>
      </c>
      <c r="BS1885">
        <v>30</v>
      </c>
      <c r="BW1885" t="str">
        <f>""</f>
        <v/>
      </c>
      <c r="CH1885" t="str">
        <f>""</f>
        <v/>
      </c>
      <c r="CS1885" t="str">
        <f>""</f>
        <v/>
      </c>
    </row>
    <row r="1886" spans="1:97" x14ac:dyDescent="0.25">
      <c r="A1886" t="s">
        <v>12803</v>
      </c>
      <c r="B1886" t="s">
        <v>12804</v>
      </c>
      <c r="C1886" t="s">
        <v>179</v>
      </c>
      <c r="D1886" t="s">
        <v>12804</v>
      </c>
      <c r="E1886" t="s">
        <v>12805</v>
      </c>
      <c r="F1886" t="s">
        <v>108</v>
      </c>
      <c r="H1886" t="s">
        <v>12806</v>
      </c>
      <c r="I1886" t="s">
        <v>203</v>
      </c>
      <c r="J1886" t="s">
        <v>111</v>
      </c>
      <c r="K1886" t="str">
        <f>"85297"</f>
        <v>85297</v>
      </c>
      <c r="L1886" t="s">
        <v>5048</v>
      </c>
      <c r="M1886" t="s">
        <v>12806</v>
      </c>
      <c r="N1886" t="s">
        <v>203</v>
      </c>
      <c r="O1886" t="s">
        <v>111</v>
      </c>
      <c r="P1886" t="str">
        <f>"85297-7697"</f>
        <v>85297-7697</v>
      </c>
      <c r="Q1886" t="s">
        <v>113</v>
      </c>
      <c r="R1886" t="str">
        <f>"304-52-577"</f>
        <v>304-52-577</v>
      </c>
      <c r="S1886" t="s">
        <v>12807</v>
      </c>
      <c r="T1886" t="s">
        <v>12807</v>
      </c>
      <c r="U1886">
        <v>2492</v>
      </c>
      <c r="V1886">
        <v>0</v>
      </c>
      <c r="W1886">
        <v>4</v>
      </c>
      <c r="X1886">
        <v>2012</v>
      </c>
      <c r="Z1886">
        <v>1</v>
      </c>
      <c r="AB1886">
        <v>0</v>
      </c>
      <c r="AC1886" t="s">
        <v>115</v>
      </c>
      <c r="AD1886">
        <v>3</v>
      </c>
      <c r="AE1886" t="s">
        <v>115</v>
      </c>
      <c r="AF1886">
        <v>0</v>
      </c>
      <c r="AG1886">
        <v>0</v>
      </c>
      <c r="AH1886" t="s">
        <v>116</v>
      </c>
      <c r="AI1886" s="1">
        <v>71432</v>
      </c>
      <c r="AJ1886" s="2">
        <v>0.17</v>
      </c>
      <c r="AK1886" s="1">
        <v>418742</v>
      </c>
      <c r="AL1886" t="s">
        <v>117</v>
      </c>
      <c r="AM1886" t="s">
        <v>191</v>
      </c>
      <c r="AN1886">
        <v>9836</v>
      </c>
      <c r="AO1886">
        <v>0.23</v>
      </c>
      <c r="AR1886">
        <v>1</v>
      </c>
      <c r="AS1886" s="1">
        <v>30650</v>
      </c>
      <c r="AT1886" s="1">
        <v>6130</v>
      </c>
      <c r="AU1886" s="1">
        <v>24520</v>
      </c>
      <c r="AV1886">
        <v>80</v>
      </c>
      <c r="AX1886" s="1">
        <v>2966.34</v>
      </c>
      <c r="AY1886" t="s">
        <v>394</v>
      </c>
      <c r="AZ1886" t="s">
        <v>394</v>
      </c>
      <c r="BA1886" t="s">
        <v>290</v>
      </c>
      <c r="BE1886" s="3">
        <v>42292</v>
      </c>
      <c r="BF1886" s="1">
        <v>340000</v>
      </c>
      <c r="BG1886" t="s">
        <v>12808</v>
      </c>
      <c r="BH1886" s="1">
        <v>136.44</v>
      </c>
      <c r="BI1886" s="1">
        <v>347310</v>
      </c>
      <c r="BJ1886" s="3">
        <v>42292</v>
      </c>
      <c r="BK1886" t="s">
        <v>123</v>
      </c>
      <c r="BL1886" t="str">
        <f>"2015.744266"</f>
        <v>2015.744266</v>
      </c>
      <c r="BM1886" t="s">
        <v>955</v>
      </c>
      <c r="BO1886" t="s">
        <v>12809</v>
      </c>
      <c r="BP1886" t="s">
        <v>12810</v>
      </c>
      <c r="BS1886">
        <v>30</v>
      </c>
      <c r="BW1886" t="str">
        <f>""</f>
        <v/>
      </c>
      <c r="CH1886" t="str">
        <f>""</f>
        <v/>
      </c>
      <c r="CS1886" t="str">
        <f>""</f>
        <v/>
      </c>
    </row>
    <row r="1887" spans="1:97" x14ac:dyDescent="0.25">
      <c r="A1887" t="s">
        <v>12811</v>
      </c>
      <c r="B1887" t="s">
        <v>12812</v>
      </c>
      <c r="C1887" t="s">
        <v>12813</v>
      </c>
      <c r="D1887" t="s">
        <v>12812</v>
      </c>
      <c r="E1887" t="s">
        <v>12814</v>
      </c>
      <c r="F1887" t="s">
        <v>108</v>
      </c>
      <c r="H1887" t="s">
        <v>12815</v>
      </c>
      <c r="I1887" t="s">
        <v>390</v>
      </c>
      <c r="J1887" t="s">
        <v>111</v>
      </c>
      <c r="K1887" t="str">
        <f>"85044"</f>
        <v>85044</v>
      </c>
      <c r="L1887" t="s">
        <v>6983</v>
      </c>
      <c r="M1887" t="s">
        <v>12815</v>
      </c>
      <c r="N1887" t="s">
        <v>390</v>
      </c>
      <c r="O1887" t="s">
        <v>111</v>
      </c>
      <c r="P1887" t="str">
        <f>"85044-4560"</f>
        <v>85044-4560</v>
      </c>
      <c r="Q1887" t="s">
        <v>113</v>
      </c>
      <c r="R1887" t="str">
        <f>"306-01-336"</f>
        <v>306-01-336</v>
      </c>
      <c r="S1887" t="s">
        <v>12816</v>
      </c>
      <c r="U1887">
        <v>1453</v>
      </c>
      <c r="V1887">
        <v>0</v>
      </c>
      <c r="W1887">
        <v>3</v>
      </c>
      <c r="X1887">
        <v>1987</v>
      </c>
      <c r="Z1887">
        <v>1</v>
      </c>
      <c r="AA1887" t="s">
        <v>26</v>
      </c>
      <c r="AB1887">
        <v>0</v>
      </c>
      <c r="AC1887" t="s">
        <v>115</v>
      </c>
      <c r="AD1887">
        <v>2</v>
      </c>
      <c r="AE1887" t="s">
        <v>115</v>
      </c>
      <c r="AF1887">
        <v>0</v>
      </c>
      <c r="AG1887">
        <v>0</v>
      </c>
      <c r="AH1887" t="s">
        <v>116</v>
      </c>
      <c r="AI1887" s="1">
        <v>80770</v>
      </c>
      <c r="AJ1887" s="2">
        <v>0.27</v>
      </c>
      <c r="AK1887" s="1">
        <v>295644</v>
      </c>
      <c r="AL1887" t="s">
        <v>117</v>
      </c>
      <c r="AM1887" t="s">
        <v>191</v>
      </c>
      <c r="AN1887">
        <v>7092</v>
      </c>
      <c r="AO1887">
        <v>0.16</v>
      </c>
      <c r="AP1887">
        <v>1</v>
      </c>
      <c r="AR1887">
        <v>1</v>
      </c>
      <c r="AS1887" s="1">
        <v>22030</v>
      </c>
      <c r="AT1887" s="1">
        <v>4400</v>
      </c>
      <c r="AU1887" s="1">
        <v>17630</v>
      </c>
      <c r="AV1887">
        <v>80.03</v>
      </c>
      <c r="AX1887" s="1">
        <v>1984.08</v>
      </c>
      <c r="AY1887" t="s">
        <v>7254</v>
      </c>
      <c r="AZ1887" t="s">
        <v>7255</v>
      </c>
      <c r="BA1887" t="s">
        <v>5328</v>
      </c>
      <c r="BE1887" s="3">
        <v>42543</v>
      </c>
      <c r="BF1887" s="1">
        <v>265000</v>
      </c>
      <c r="BG1887" t="s">
        <v>12817</v>
      </c>
      <c r="BH1887" s="1">
        <v>182.38</v>
      </c>
      <c r="BI1887" s="1">
        <v>214874</v>
      </c>
      <c r="BJ1887" s="3">
        <v>42543</v>
      </c>
      <c r="BK1887" t="s">
        <v>123</v>
      </c>
      <c r="BL1887" t="str">
        <f>"2016.437898"</f>
        <v>2016.437898</v>
      </c>
      <c r="BM1887" t="s">
        <v>5253</v>
      </c>
      <c r="BO1887" t="s">
        <v>12818</v>
      </c>
      <c r="BS1887">
        <v>30</v>
      </c>
      <c r="BW1887" t="str">
        <f>""</f>
        <v/>
      </c>
      <c r="CH1887" t="str">
        <f>""</f>
        <v/>
      </c>
      <c r="CS1887" t="str">
        <f>""</f>
        <v/>
      </c>
    </row>
    <row r="1888" spans="1:97" x14ac:dyDescent="0.25">
      <c r="A1888" t="s">
        <v>2591</v>
      </c>
      <c r="B1888" t="s">
        <v>4718</v>
      </c>
      <c r="E1888" t="s">
        <v>12819</v>
      </c>
      <c r="F1888" t="s">
        <v>108</v>
      </c>
      <c r="H1888" t="s">
        <v>12820</v>
      </c>
      <c r="I1888" t="s">
        <v>390</v>
      </c>
      <c r="J1888" t="s">
        <v>111</v>
      </c>
      <c r="K1888" t="str">
        <f>"85083"</f>
        <v>85083</v>
      </c>
      <c r="L1888" t="s">
        <v>12821</v>
      </c>
      <c r="M1888" t="s">
        <v>12820</v>
      </c>
      <c r="N1888" t="s">
        <v>390</v>
      </c>
      <c r="O1888" t="s">
        <v>111</v>
      </c>
      <c r="P1888" t="str">
        <f>"85083-9335"</f>
        <v>85083-9335</v>
      </c>
      <c r="Q1888" t="s">
        <v>113</v>
      </c>
      <c r="R1888" t="str">
        <f>"201-41-184"</f>
        <v>201-41-184</v>
      </c>
      <c r="S1888" t="s">
        <v>12822</v>
      </c>
      <c r="U1888">
        <v>3090</v>
      </c>
      <c r="V1888">
        <v>0</v>
      </c>
      <c r="W1888">
        <v>5</v>
      </c>
      <c r="X1888">
        <v>2007</v>
      </c>
      <c r="Z1888">
        <v>1</v>
      </c>
      <c r="AB1888">
        <v>0</v>
      </c>
      <c r="AC1888" t="s">
        <v>115</v>
      </c>
      <c r="AD1888">
        <v>3</v>
      </c>
      <c r="AE1888" t="s">
        <v>115</v>
      </c>
      <c r="AF1888">
        <v>0</v>
      </c>
      <c r="AG1888">
        <v>0</v>
      </c>
      <c r="AH1888" t="s">
        <v>116</v>
      </c>
      <c r="AI1888" s="1">
        <v>264826</v>
      </c>
      <c r="AJ1888" s="2">
        <v>0.54</v>
      </c>
      <c r="AK1888" s="1">
        <v>492638</v>
      </c>
      <c r="AL1888" t="s">
        <v>117</v>
      </c>
      <c r="AM1888" t="s">
        <v>760</v>
      </c>
      <c r="AN1888">
        <v>11550</v>
      </c>
      <c r="AO1888">
        <v>0.26</v>
      </c>
      <c r="AR1888">
        <v>1</v>
      </c>
      <c r="AS1888" s="1">
        <v>36210</v>
      </c>
      <c r="AT1888" s="1">
        <v>7240</v>
      </c>
      <c r="AU1888" s="1">
        <v>28970</v>
      </c>
      <c r="AV1888">
        <v>80.010000000000005</v>
      </c>
      <c r="AX1888" s="1">
        <v>3977</v>
      </c>
      <c r="AY1888" t="s">
        <v>5125</v>
      </c>
      <c r="AZ1888" t="s">
        <v>3049</v>
      </c>
      <c r="BA1888" t="s">
        <v>1386</v>
      </c>
      <c r="BE1888" s="3">
        <v>41926</v>
      </c>
      <c r="BF1888" s="1">
        <v>428000</v>
      </c>
      <c r="BG1888" t="s">
        <v>12823</v>
      </c>
      <c r="BH1888" s="1">
        <v>138.51</v>
      </c>
      <c r="BI1888" s="1">
        <v>227812</v>
      </c>
      <c r="BJ1888" s="3">
        <v>41926</v>
      </c>
      <c r="BK1888" t="s">
        <v>123</v>
      </c>
      <c r="BL1888" t="str">
        <f>"2014.679704"</f>
        <v>2014.679704</v>
      </c>
      <c r="BM1888" t="s">
        <v>738</v>
      </c>
      <c r="BO1888" t="s">
        <v>12824</v>
      </c>
      <c r="BS1888">
        <v>30</v>
      </c>
      <c r="BW1888" t="str">
        <f>""</f>
        <v/>
      </c>
      <c r="CH1888" t="str">
        <f>""</f>
        <v/>
      </c>
      <c r="CS1888" t="str">
        <f>""</f>
        <v/>
      </c>
    </row>
    <row r="1889" spans="1:97" x14ac:dyDescent="0.25">
      <c r="A1889" t="s">
        <v>10852</v>
      </c>
      <c r="B1889" t="s">
        <v>12825</v>
      </c>
      <c r="C1889" t="s">
        <v>2852</v>
      </c>
      <c r="D1889" t="s">
        <v>12825</v>
      </c>
      <c r="E1889" t="s">
        <v>12826</v>
      </c>
      <c r="F1889" t="s">
        <v>108</v>
      </c>
      <c r="H1889" t="s">
        <v>12827</v>
      </c>
      <c r="I1889" t="s">
        <v>225</v>
      </c>
      <c r="J1889" t="s">
        <v>111</v>
      </c>
      <c r="K1889" t="str">
        <f>"85203"</f>
        <v>85203</v>
      </c>
      <c r="L1889" t="s">
        <v>8543</v>
      </c>
      <c r="M1889" t="s">
        <v>12827</v>
      </c>
      <c r="N1889" t="s">
        <v>225</v>
      </c>
      <c r="O1889" t="s">
        <v>111</v>
      </c>
      <c r="P1889" t="str">
        <f>"85203-3643"</f>
        <v>85203-3643</v>
      </c>
      <c r="Q1889" t="s">
        <v>113</v>
      </c>
      <c r="R1889" t="str">
        <f>"136-26-737"</f>
        <v>136-26-737</v>
      </c>
      <c r="S1889" t="s">
        <v>12828</v>
      </c>
      <c r="T1889" t="s">
        <v>12829</v>
      </c>
      <c r="U1889">
        <v>1817</v>
      </c>
      <c r="V1889">
        <v>0</v>
      </c>
      <c r="W1889">
        <v>3</v>
      </c>
      <c r="X1889">
        <v>1983</v>
      </c>
      <c r="Z1889">
        <v>1</v>
      </c>
      <c r="AA1889" t="s">
        <v>26</v>
      </c>
      <c r="AB1889">
        <v>0</v>
      </c>
      <c r="AC1889" t="s">
        <v>115</v>
      </c>
      <c r="AD1889">
        <v>2</v>
      </c>
      <c r="AE1889" t="s">
        <v>115</v>
      </c>
      <c r="AF1889">
        <v>0</v>
      </c>
      <c r="AG1889">
        <v>0</v>
      </c>
      <c r="AH1889" t="s">
        <v>116</v>
      </c>
      <c r="AI1889" s="1">
        <v>66242</v>
      </c>
      <c r="AJ1889" s="2">
        <v>0.2</v>
      </c>
      <c r="AK1889" s="1">
        <v>334385</v>
      </c>
      <c r="AL1889" t="s">
        <v>117</v>
      </c>
      <c r="AM1889" t="s">
        <v>393</v>
      </c>
      <c r="AN1889">
        <v>20173</v>
      </c>
      <c r="AO1889">
        <v>0.46</v>
      </c>
      <c r="AP1889">
        <v>1</v>
      </c>
      <c r="AR1889">
        <v>1</v>
      </c>
      <c r="AS1889" s="1">
        <v>25180</v>
      </c>
      <c r="AT1889" s="1">
        <v>5030</v>
      </c>
      <c r="AU1889" s="1">
        <v>20150</v>
      </c>
      <c r="AV1889">
        <v>80.02</v>
      </c>
      <c r="AX1889" s="1">
        <v>1720.52</v>
      </c>
      <c r="AY1889" t="s">
        <v>12830</v>
      </c>
      <c r="AZ1889" t="s">
        <v>5190</v>
      </c>
      <c r="BA1889" t="s">
        <v>5191</v>
      </c>
      <c r="BE1889" s="3">
        <v>42083</v>
      </c>
      <c r="BF1889" s="1">
        <v>262500</v>
      </c>
      <c r="BG1889" t="s">
        <v>12831</v>
      </c>
      <c r="BH1889" s="1">
        <v>144.47</v>
      </c>
      <c r="BI1889" s="1">
        <v>268143</v>
      </c>
      <c r="BJ1889" s="3">
        <v>42083</v>
      </c>
      <c r="BK1889" t="s">
        <v>123</v>
      </c>
      <c r="BL1889" t="str">
        <f>"2015.187747"</f>
        <v>2015.187747</v>
      </c>
      <c r="BM1889" t="s">
        <v>2716</v>
      </c>
      <c r="BO1889" t="s">
        <v>12832</v>
      </c>
      <c r="BS1889">
        <v>30</v>
      </c>
      <c r="BW1889" t="str">
        <f>""</f>
        <v/>
      </c>
      <c r="CH1889" t="str">
        <f>""</f>
        <v/>
      </c>
      <c r="CS1889" t="str">
        <f>""</f>
        <v/>
      </c>
    </row>
    <row r="1890" spans="1:97" x14ac:dyDescent="0.25">
      <c r="A1890" t="s">
        <v>1514</v>
      </c>
      <c r="B1890" t="s">
        <v>3943</v>
      </c>
      <c r="E1890" t="s">
        <v>12833</v>
      </c>
      <c r="F1890" t="s">
        <v>108</v>
      </c>
      <c r="H1890" t="s">
        <v>12834</v>
      </c>
      <c r="I1890" t="s">
        <v>225</v>
      </c>
      <c r="J1890" t="s">
        <v>111</v>
      </c>
      <c r="K1890" t="str">
        <f>"85206"</f>
        <v>85206</v>
      </c>
      <c r="L1890" t="s">
        <v>11709</v>
      </c>
      <c r="M1890" t="s">
        <v>12834</v>
      </c>
      <c r="N1890" t="s">
        <v>225</v>
      </c>
      <c r="O1890" t="s">
        <v>111</v>
      </c>
      <c r="P1890" t="str">
        <f>"85206-3805"</f>
        <v>85206-3805</v>
      </c>
      <c r="Q1890" t="s">
        <v>113</v>
      </c>
      <c r="R1890" t="str">
        <f>"140-66-759"</f>
        <v>140-66-759</v>
      </c>
      <c r="S1890" t="s">
        <v>12835</v>
      </c>
      <c r="T1890" t="s">
        <v>12835</v>
      </c>
      <c r="U1890">
        <v>2462</v>
      </c>
      <c r="V1890">
        <v>0</v>
      </c>
      <c r="W1890">
        <v>4</v>
      </c>
      <c r="X1890">
        <v>1994</v>
      </c>
      <c r="Z1890">
        <v>2</v>
      </c>
      <c r="AB1890">
        <v>0</v>
      </c>
      <c r="AC1890" t="s">
        <v>115</v>
      </c>
      <c r="AD1890">
        <v>3</v>
      </c>
      <c r="AE1890" t="s">
        <v>115</v>
      </c>
      <c r="AF1890">
        <v>0</v>
      </c>
      <c r="AG1890">
        <v>0</v>
      </c>
      <c r="AH1890" t="s">
        <v>116</v>
      </c>
      <c r="AI1890" s="1">
        <v>70870</v>
      </c>
      <c r="AJ1890" s="2">
        <v>0.2</v>
      </c>
      <c r="AK1890" s="1">
        <v>359954</v>
      </c>
      <c r="AL1890" t="s">
        <v>117</v>
      </c>
      <c r="AM1890" t="s">
        <v>191</v>
      </c>
      <c r="AN1890">
        <v>10340</v>
      </c>
      <c r="AO1890">
        <v>0.24</v>
      </c>
      <c r="AP1890">
        <v>1</v>
      </c>
      <c r="AR1890">
        <v>1</v>
      </c>
      <c r="AS1890" s="1">
        <v>23170</v>
      </c>
      <c r="AT1890" s="1">
        <v>4630</v>
      </c>
      <c r="AU1890" s="1">
        <v>18540</v>
      </c>
      <c r="AV1890">
        <v>80.02</v>
      </c>
      <c r="AX1890" s="1">
        <v>1510.98</v>
      </c>
      <c r="AY1890" t="s">
        <v>8450</v>
      </c>
      <c r="AZ1890" t="s">
        <v>5478</v>
      </c>
      <c r="BA1890" t="s">
        <v>521</v>
      </c>
      <c r="BE1890" s="3">
        <v>41789</v>
      </c>
      <c r="BF1890" s="1">
        <v>283000</v>
      </c>
      <c r="BG1890" t="s">
        <v>12836</v>
      </c>
      <c r="BH1890" s="1">
        <v>114.95</v>
      </c>
      <c r="BI1890" s="1">
        <v>289084</v>
      </c>
      <c r="BJ1890" s="3">
        <v>41789</v>
      </c>
      <c r="BK1890" t="s">
        <v>123</v>
      </c>
      <c r="BL1890" t="str">
        <f>"2014.356512"</f>
        <v>2014.356512</v>
      </c>
      <c r="BM1890" t="s">
        <v>1227</v>
      </c>
      <c r="BO1890" t="s">
        <v>12837</v>
      </c>
      <c r="BS1890">
        <v>30</v>
      </c>
      <c r="BW1890" t="str">
        <f>""</f>
        <v/>
      </c>
      <c r="CH1890" t="str">
        <f>""</f>
        <v/>
      </c>
      <c r="CS1890" t="str">
        <f>""</f>
        <v/>
      </c>
    </row>
    <row r="1891" spans="1:97" x14ac:dyDescent="0.25">
      <c r="A1891" t="s">
        <v>1979</v>
      </c>
      <c r="B1891" t="s">
        <v>12838</v>
      </c>
      <c r="E1891" t="s">
        <v>12839</v>
      </c>
      <c r="F1891" t="s">
        <v>108</v>
      </c>
      <c r="H1891" t="s">
        <v>12840</v>
      </c>
      <c r="I1891" t="s">
        <v>390</v>
      </c>
      <c r="J1891" t="s">
        <v>111</v>
      </c>
      <c r="K1891" t="str">
        <f>"85053"</f>
        <v>85053</v>
      </c>
      <c r="L1891" t="s">
        <v>5438</v>
      </c>
      <c r="M1891" t="s">
        <v>12840</v>
      </c>
      <c r="N1891" t="s">
        <v>390</v>
      </c>
      <c r="O1891" t="s">
        <v>111</v>
      </c>
      <c r="P1891" t="str">
        <f>"85053-3725"</f>
        <v>85053-3725</v>
      </c>
      <c r="Q1891" t="s">
        <v>113</v>
      </c>
      <c r="R1891" t="str">
        <f>"207-15-039"</f>
        <v>207-15-039</v>
      </c>
      <c r="S1891" t="s">
        <v>12841</v>
      </c>
      <c r="T1891" t="s">
        <v>12842</v>
      </c>
      <c r="U1891">
        <v>3605</v>
      </c>
      <c r="V1891">
        <v>0</v>
      </c>
      <c r="W1891">
        <v>3</v>
      </c>
      <c r="X1891">
        <v>1984</v>
      </c>
      <c r="Z1891">
        <v>2</v>
      </c>
      <c r="AA1891" t="s">
        <v>26</v>
      </c>
      <c r="AB1891">
        <v>0</v>
      </c>
      <c r="AC1891" t="s">
        <v>115</v>
      </c>
      <c r="AD1891">
        <v>6</v>
      </c>
      <c r="AE1891" t="s">
        <v>115</v>
      </c>
      <c r="AF1891">
        <v>0</v>
      </c>
      <c r="AG1891">
        <v>0</v>
      </c>
      <c r="AH1891" t="s">
        <v>116</v>
      </c>
      <c r="AI1891" s="1">
        <v>128928</v>
      </c>
      <c r="AJ1891" s="2">
        <v>0.25</v>
      </c>
      <c r="AK1891" s="1">
        <v>519348</v>
      </c>
      <c r="AL1891" t="s">
        <v>117</v>
      </c>
      <c r="AM1891" t="s">
        <v>616</v>
      </c>
      <c r="AN1891">
        <v>22862</v>
      </c>
      <c r="AO1891">
        <v>0.52</v>
      </c>
      <c r="AP1891">
        <v>1</v>
      </c>
      <c r="AR1891">
        <v>1</v>
      </c>
      <c r="AS1891" s="1">
        <v>36300</v>
      </c>
      <c r="AT1891" s="1">
        <v>7260</v>
      </c>
      <c r="AU1891" s="1">
        <v>29040</v>
      </c>
      <c r="AV1891">
        <v>80</v>
      </c>
      <c r="AX1891" s="1">
        <v>4362.08</v>
      </c>
      <c r="AY1891" t="s">
        <v>2996</v>
      </c>
      <c r="AZ1891" t="s">
        <v>2997</v>
      </c>
      <c r="BA1891" t="s">
        <v>2998</v>
      </c>
      <c r="BE1891" s="3">
        <v>41661</v>
      </c>
      <c r="BF1891" s="1">
        <v>460000</v>
      </c>
      <c r="BG1891" t="s">
        <v>12843</v>
      </c>
      <c r="BH1891" s="1">
        <v>127.6</v>
      </c>
      <c r="BI1891" s="1">
        <v>390420</v>
      </c>
      <c r="BJ1891" s="3">
        <v>42150</v>
      </c>
      <c r="BK1891" t="s">
        <v>123</v>
      </c>
      <c r="BL1891" t="str">
        <f>"2015.367599"</f>
        <v>2015.367599</v>
      </c>
      <c r="BM1891" t="s">
        <v>2716</v>
      </c>
      <c r="BO1891" t="s">
        <v>12844</v>
      </c>
      <c r="BS1891">
        <v>30</v>
      </c>
      <c r="BW1891" t="str">
        <f>""</f>
        <v/>
      </c>
      <c r="CH1891" t="str">
        <f>""</f>
        <v/>
      </c>
      <c r="CS1891" t="str">
        <f>""</f>
        <v/>
      </c>
    </row>
    <row r="1892" spans="1:97" x14ac:dyDescent="0.25">
      <c r="A1892" t="s">
        <v>12845</v>
      </c>
      <c r="B1892" t="s">
        <v>12846</v>
      </c>
      <c r="C1892" t="s">
        <v>1845</v>
      </c>
      <c r="D1892" t="s">
        <v>12846</v>
      </c>
      <c r="E1892" t="s">
        <v>12847</v>
      </c>
      <c r="F1892" t="s">
        <v>282</v>
      </c>
      <c r="H1892" t="s">
        <v>12848</v>
      </c>
      <c r="I1892" t="s">
        <v>632</v>
      </c>
      <c r="J1892" t="s">
        <v>111</v>
      </c>
      <c r="K1892" t="str">
        <f>"85374"</f>
        <v>85374</v>
      </c>
      <c r="L1892" t="s">
        <v>9178</v>
      </c>
      <c r="M1892" t="s">
        <v>12849</v>
      </c>
      <c r="N1892" t="s">
        <v>12850</v>
      </c>
      <c r="O1892" t="s">
        <v>10849</v>
      </c>
      <c r="P1892" t="str">
        <f>"78418-6463"</f>
        <v>78418-6463</v>
      </c>
      <c r="Q1892" t="s">
        <v>113</v>
      </c>
      <c r="R1892" t="str">
        <f>"232-41-360"</f>
        <v>232-41-360</v>
      </c>
      <c r="S1892" t="s">
        <v>12851</v>
      </c>
      <c r="T1892" t="s">
        <v>12852</v>
      </c>
      <c r="U1892">
        <v>2035</v>
      </c>
      <c r="V1892">
        <v>0</v>
      </c>
      <c r="W1892">
        <v>3</v>
      </c>
      <c r="X1892">
        <v>2001</v>
      </c>
      <c r="Z1892">
        <v>1</v>
      </c>
      <c r="AA1892" t="s">
        <v>26</v>
      </c>
      <c r="AB1892">
        <v>0</v>
      </c>
      <c r="AC1892" t="s">
        <v>115</v>
      </c>
      <c r="AD1892">
        <v>2</v>
      </c>
      <c r="AE1892" t="s">
        <v>115</v>
      </c>
      <c r="AF1892">
        <v>0</v>
      </c>
      <c r="AG1892">
        <v>0</v>
      </c>
      <c r="AH1892" t="s">
        <v>116</v>
      </c>
      <c r="AI1892" s="1">
        <v>127976</v>
      </c>
      <c r="AJ1892" s="2">
        <v>0.36</v>
      </c>
      <c r="AK1892" s="1">
        <v>351536</v>
      </c>
      <c r="AL1892" t="s">
        <v>117</v>
      </c>
      <c r="AM1892" t="s">
        <v>118</v>
      </c>
      <c r="AN1892">
        <v>11233</v>
      </c>
      <c r="AO1892">
        <v>0.26</v>
      </c>
      <c r="AP1892">
        <v>1</v>
      </c>
      <c r="AR1892">
        <v>1</v>
      </c>
      <c r="AS1892" s="1">
        <v>26560</v>
      </c>
      <c r="AT1892" s="1">
        <v>5310</v>
      </c>
      <c r="AU1892" s="1">
        <v>21250</v>
      </c>
      <c r="AV1892">
        <v>80.010000000000005</v>
      </c>
      <c r="AX1892" s="1">
        <v>2760.68</v>
      </c>
      <c r="AY1892" t="s">
        <v>5108</v>
      </c>
      <c r="AZ1892" t="s">
        <v>5108</v>
      </c>
      <c r="BA1892" t="s">
        <v>5109</v>
      </c>
      <c r="BE1892" s="3">
        <v>42303</v>
      </c>
      <c r="BF1892" s="1">
        <v>276000</v>
      </c>
      <c r="BG1892" t="s">
        <v>12853</v>
      </c>
      <c r="BH1892" s="1">
        <v>135.63</v>
      </c>
      <c r="BI1892" s="1">
        <v>223560</v>
      </c>
      <c r="BJ1892" s="3">
        <v>42303</v>
      </c>
      <c r="BK1892" t="s">
        <v>123</v>
      </c>
      <c r="BL1892" t="str">
        <f>"2015.767878"</f>
        <v>2015.767878</v>
      </c>
      <c r="BM1892" t="s">
        <v>709</v>
      </c>
      <c r="BO1892" t="s">
        <v>12854</v>
      </c>
      <c r="BS1892">
        <v>30</v>
      </c>
      <c r="BW1892" t="str">
        <f>""</f>
        <v/>
      </c>
      <c r="CH1892" t="str">
        <f>""</f>
        <v/>
      </c>
      <c r="CS1892" t="str">
        <f>""</f>
        <v/>
      </c>
    </row>
    <row r="1893" spans="1:97" x14ac:dyDescent="0.25">
      <c r="A1893" t="s">
        <v>1930</v>
      </c>
      <c r="B1893" t="s">
        <v>12855</v>
      </c>
      <c r="E1893" t="s">
        <v>12856</v>
      </c>
      <c r="F1893" t="s">
        <v>108</v>
      </c>
      <c r="H1893" t="s">
        <v>12857</v>
      </c>
      <c r="I1893" t="s">
        <v>3150</v>
      </c>
      <c r="J1893" t="s">
        <v>111</v>
      </c>
      <c r="K1893" t="str">
        <f>"85340"</f>
        <v>85340</v>
      </c>
      <c r="L1893" t="s">
        <v>1789</v>
      </c>
      <c r="M1893" t="s">
        <v>12857</v>
      </c>
      <c r="N1893" t="s">
        <v>3150</v>
      </c>
      <c r="O1893" t="s">
        <v>111</v>
      </c>
      <c r="P1893" t="str">
        <f>"85340-7300"</f>
        <v>85340-7300</v>
      </c>
      <c r="Q1893" t="s">
        <v>113</v>
      </c>
      <c r="R1893" t="str">
        <f>"508-06-347"</f>
        <v>508-06-347</v>
      </c>
      <c r="S1893" t="s">
        <v>6579</v>
      </c>
      <c r="U1893">
        <v>3923</v>
      </c>
      <c r="V1893">
        <v>0</v>
      </c>
      <c r="W1893">
        <v>4</v>
      </c>
      <c r="X1893">
        <v>2002</v>
      </c>
      <c r="Z1893">
        <v>2</v>
      </c>
      <c r="AA1893" t="s">
        <v>26</v>
      </c>
      <c r="AB1893">
        <v>0</v>
      </c>
      <c r="AC1893" t="s">
        <v>115</v>
      </c>
      <c r="AD1893">
        <v>3</v>
      </c>
      <c r="AE1893" t="s">
        <v>115</v>
      </c>
      <c r="AF1893">
        <v>0</v>
      </c>
      <c r="AG1893">
        <v>0</v>
      </c>
      <c r="AH1893" t="s">
        <v>116</v>
      </c>
      <c r="AI1893" s="1">
        <v>67043</v>
      </c>
      <c r="AJ1893" s="2">
        <v>0.18</v>
      </c>
      <c r="AK1893" s="1">
        <v>383043</v>
      </c>
      <c r="AL1893" t="s">
        <v>117</v>
      </c>
      <c r="AM1893" t="s">
        <v>1302</v>
      </c>
      <c r="AN1893">
        <v>9162</v>
      </c>
      <c r="AO1893">
        <v>0.21</v>
      </c>
      <c r="AP1893">
        <v>1</v>
      </c>
      <c r="AR1893">
        <v>1</v>
      </c>
      <c r="AS1893" s="1">
        <v>27520</v>
      </c>
      <c r="AT1893" s="1">
        <v>5500</v>
      </c>
      <c r="AU1893" s="1">
        <v>22020</v>
      </c>
      <c r="AV1893">
        <v>80.010000000000005</v>
      </c>
      <c r="AX1893" s="1">
        <v>2718.58</v>
      </c>
      <c r="AY1893" t="s">
        <v>6580</v>
      </c>
      <c r="AZ1893" t="s">
        <v>3153</v>
      </c>
      <c r="BA1893" t="s">
        <v>3154</v>
      </c>
      <c r="BB1893" s="3">
        <v>42172</v>
      </c>
      <c r="BD1893" t="s">
        <v>240</v>
      </c>
      <c r="BE1893" s="3">
        <v>41942</v>
      </c>
      <c r="BF1893" s="1">
        <v>288500</v>
      </c>
      <c r="BG1893" t="s">
        <v>12858</v>
      </c>
      <c r="BH1893" s="1">
        <v>73.540000000000006</v>
      </c>
      <c r="BI1893" s="1">
        <v>316000</v>
      </c>
      <c r="BJ1893" s="3">
        <v>43024</v>
      </c>
      <c r="BK1893" t="s">
        <v>123</v>
      </c>
      <c r="BL1893" t="str">
        <f>"2017.764317"</f>
        <v>2017.764317</v>
      </c>
      <c r="BM1893" t="s">
        <v>340</v>
      </c>
      <c r="BN1893">
        <v>8054</v>
      </c>
      <c r="BO1893" t="s">
        <v>12859</v>
      </c>
      <c r="BS1893">
        <v>30</v>
      </c>
      <c r="BT1893" s="1">
        <v>316000</v>
      </c>
      <c r="BU1893" s="3">
        <v>43024</v>
      </c>
      <c r="BV1893" t="s">
        <v>123</v>
      </c>
      <c r="BW1893" t="str">
        <f>"2017.764317"</f>
        <v>2017.764317</v>
      </c>
      <c r="BX1893" t="s">
        <v>340</v>
      </c>
      <c r="BZ1893" t="s">
        <v>12859</v>
      </c>
      <c r="CD1893">
        <v>30</v>
      </c>
      <c r="CH1893" t="str">
        <f>""</f>
        <v/>
      </c>
      <c r="CS1893" t="str">
        <f>""</f>
        <v/>
      </c>
    </row>
    <row r="1894" spans="1:97" x14ac:dyDescent="0.25">
      <c r="A1894" t="s">
        <v>177</v>
      </c>
      <c r="B1894" t="s">
        <v>12860</v>
      </c>
      <c r="C1894" t="s">
        <v>12861</v>
      </c>
      <c r="D1894" t="s">
        <v>12860</v>
      </c>
      <c r="E1894" t="s">
        <v>12862</v>
      </c>
      <c r="F1894" t="s">
        <v>108</v>
      </c>
      <c r="H1894" t="s">
        <v>12863</v>
      </c>
      <c r="I1894" t="s">
        <v>225</v>
      </c>
      <c r="J1894" t="s">
        <v>111</v>
      </c>
      <c r="K1894" t="str">
        <f>"85212"</f>
        <v>85212</v>
      </c>
      <c r="L1894" t="s">
        <v>1569</v>
      </c>
      <c r="M1894" t="s">
        <v>12863</v>
      </c>
      <c r="N1894" t="s">
        <v>225</v>
      </c>
      <c r="O1894" t="s">
        <v>111</v>
      </c>
      <c r="P1894" t="str">
        <f>"85212-1991"</f>
        <v>85212-1991</v>
      </c>
      <c r="Q1894" t="s">
        <v>113</v>
      </c>
      <c r="R1894" t="str">
        <f>"312-05-038"</f>
        <v>312-05-038</v>
      </c>
      <c r="S1894" t="s">
        <v>12864</v>
      </c>
      <c r="T1894" t="s">
        <v>12865</v>
      </c>
      <c r="U1894">
        <v>2279</v>
      </c>
      <c r="V1894">
        <v>0</v>
      </c>
      <c r="W1894">
        <v>3</v>
      </c>
      <c r="X1894">
        <v>2002</v>
      </c>
      <c r="Z1894">
        <v>1</v>
      </c>
      <c r="AB1894">
        <v>0</v>
      </c>
      <c r="AC1894" t="s">
        <v>115</v>
      </c>
      <c r="AD1894">
        <v>3</v>
      </c>
      <c r="AE1894" t="s">
        <v>115</v>
      </c>
      <c r="AF1894">
        <v>0</v>
      </c>
      <c r="AG1894">
        <v>0</v>
      </c>
      <c r="AH1894" t="s">
        <v>116</v>
      </c>
      <c r="AI1894" s="1">
        <v>114726</v>
      </c>
      <c r="AJ1894" s="2">
        <v>0.32</v>
      </c>
      <c r="AK1894" s="1">
        <v>357626</v>
      </c>
      <c r="AL1894" t="s">
        <v>117</v>
      </c>
      <c r="AM1894" t="s">
        <v>393</v>
      </c>
      <c r="AN1894">
        <v>8421</v>
      </c>
      <c r="AO1894">
        <v>0.19</v>
      </c>
      <c r="AP1894">
        <v>1</v>
      </c>
      <c r="AR1894">
        <v>1</v>
      </c>
      <c r="AS1894" s="1">
        <v>23220</v>
      </c>
      <c r="AT1894" s="1">
        <v>4640</v>
      </c>
      <c r="AU1894" s="1">
        <v>18580</v>
      </c>
      <c r="AV1894">
        <v>80.02</v>
      </c>
      <c r="AX1894" s="1">
        <v>1652.46</v>
      </c>
      <c r="AY1894" t="s">
        <v>776</v>
      </c>
      <c r="AZ1894" t="s">
        <v>777</v>
      </c>
      <c r="BA1894" t="s">
        <v>572</v>
      </c>
      <c r="BE1894" s="3">
        <v>41976</v>
      </c>
      <c r="BF1894" s="1">
        <v>269900</v>
      </c>
      <c r="BG1894" t="s">
        <v>12866</v>
      </c>
      <c r="BH1894" s="1">
        <v>118.43</v>
      </c>
      <c r="BI1894" s="1">
        <v>242900</v>
      </c>
      <c r="BJ1894" s="3">
        <v>41976</v>
      </c>
      <c r="BK1894" t="s">
        <v>123</v>
      </c>
      <c r="BL1894" t="str">
        <f>"2014.796433"</f>
        <v>2014.796433</v>
      </c>
      <c r="BM1894" t="s">
        <v>709</v>
      </c>
      <c r="BO1894" t="s">
        <v>12867</v>
      </c>
      <c r="BS1894">
        <v>30</v>
      </c>
      <c r="BW1894" t="str">
        <f>""</f>
        <v/>
      </c>
      <c r="CH1894" t="str">
        <f>""</f>
        <v/>
      </c>
      <c r="CS1894" t="str">
        <f>""</f>
        <v/>
      </c>
    </row>
    <row r="1895" spans="1:97" x14ac:dyDescent="0.25">
      <c r="A1895" t="s">
        <v>962</v>
      </c>
      <c r="B1895" t="s">
        <v>12868</v>
      </c>
      <c r="E1895" t="s">
        <v>12869</v>
      </c>
      <c r="F1895" t="s">
        <v>108</v>
      </c>
      <c r="H1895" t="s">
        <v>12870</v>
      </c>
      <c r="I1895" t="s">
        <v>110</v>
      </c>
      <c r="J1895" t="s">
        <v>111</v>
      </c>
      <c r="K1895" t="str">
        <f>"85225"</f>
        <v>85225</v>
      </c>
      <c r="L1895" t="s">
        <v>6333</v>
      </c>
      <c r="M1895" t="s">
        <v>12870</v>
      </c>
      <c r="N1895" t="s">
        <v>110</v>
      </c>
      <c r="O1895" t="s">
        <v>111</v>
      </c>
      <c r="P1895" t="str">
        <f>"85225-3962"</f>
        <v>85225-3962</v>
      </c>
      <c r="Q1895" t="s">
        <v>113</v>
      </c>
      <c r="R1895" t="str">
        <f>"302-68-858"</f>
        <v>302-68-858</v>
      </c>
      <c r="S1895" t="s">
        <v>9837</v>
      </c>
      <c r="T1895" t="s">
        <v>9838</v>
      </c>
      <c r="U1895">
        <v>1592</v>
      </c>
      <c r="V1895">
        <v>0</v>
      </c>
      <c r="W1895">
        <v>3</v>
      </c>
      <c r="X1895">
        <v>1996</v>
      </c>
      <c r="Z1895">
        <v>2</v>
      </c>
      <c r="AA1895" t="s">
        <v>26</v>
      </c>
      <c r="AB1895">
        <v>0</v>
      </c>
      <c r="AC1895" t="s">
        <v>115</v>
      </c>
      <c r="AD1895">
        <v>2</v>
      </c>
      <c r="AE1895" t="s">
        <v>115</v>
      </c>
      <c r="AF1895">
        <v>0</v>
      </c>
      <c r="AG1895">
        <v>0</v>
      </c>
      <c r="AH1895" t="s">
        <v>116</v>
      </c>
      <c r="AI1895" s="1">
        <v>92989</v>
      </c>
      <c r="AJ1895" s="2">
        <v>0.32</v>
      </c>
      <c r="AK1895" s="1">
        <v>292989</v>
      </c>
      <c r="AL1895" t="s">
        <v>117</v>
      </c>
      <c r="AM1895" t="s">
        <v>118</v>
      </c>
      <c r="AN1895">
        <v>5502</v>
      </c>
      <c r="AO1895">
        <v>0.13</v>
      </c>
      <c r="AP1895">
        <v>1</v>
      </c>
      <c r="AR1895">
        <v>1</v>
      </c>
      <c r="AS1895" s="1">
        <v>20200</v>
      </c>
      <c r="AT1895" s="1">
        <v>4040</v>
      </c>
      <c r="AU1895" s="1">
        <v>16160</v>
      </c>
      <c r="AV1895">
        <v>80</v>
      </c>
      <c r="AX1895" s="1">
        <v>1419.96</v>
      </c>
      <c r="AY1895" t="s">
        <v>9839</v>
      </c>
      <c r="AZ1895" t="s">
        <v>2906</v>
      </c>
      <c r="BA1895" t="s">
        <v>2957</v>
      </c>
      <c r="BE1895" s="3">
        <v>41843</v>
      </c>
      <c r="BF1895" s="1">
        <v>200000</v>
      </c>
      <c r="BG1895" t="s">
        <v>12871</v>
      </c>
      <c r="BH1895" s="1">
        <v>125.63</v>
      </c>
      <c r="BI1895" s="1">
        <v>200000</v>
      </c>
      <c r="BJ1895" s="3">
        <v>41843</v>
      </c>
      <c r="BK1895" t="s">
        <v>123</v>
      </c>
      <c r="BL1895" t="str">
        <f>"2014.480642"</f>
        <v>2014.480642</v>
      </c>
      <c r="BM1895" t="s">
        <v>135</v>
      </c>
      <c r="BO1895" t="s">
        <v>12872</v>
      </c>
      <c r="BS1895">
        <v>30</v>
      </c>
      <c r="BW1895" t="str">
        <f>""</f>
        <v/>
      </c>
      <c r="CH1895" t="str">
        <f>""</f>
        <v/>
      </c>
      <c r="CS1895" t="str">
        <f>""</f>
        <v/>
      </c>
    </row>
    <row r="1896" spans="1:97" x14ac:dyDescent="0.25">
      <c r="A1896" t="s">
        <v>494</v>
      </c>
      <c r="B1896" t="s">
        <v>12873</v>
      </c>
      <c r="C1896" t="s">
        <v>12874</v>
      </c>
      <c r="D1896" t="s">
        <v>12873</v>
      </c>
      <c r="E1896" t="s">
        <v>12875</v>
      </c>
      <c r="F1896" t="s">
        <v>108</v>
      </c>
      <c r="H1896" t="s">
        <v>12876</v>
      </c>
      <c r="I1896" t="s">
        <v>203</v>
      </c>
      <c r="J1896" t="s">
        <v>111</v>
      </c>
      <c r="K1896" t="str">
        <f>"85234"</f>
        <v>85234</v>
      </c>
      <c r="L1896" t="s">
        <v>12877</v>
      </c>
      <c r="M1896" t="s">
        <v>12876</v>
      </c>
      <c r="N1896" t="s">
        <v>203</v>
      </c>
      <c r="O1896" t="s">
        <v>111</v>
      </c>
      <c r="P1896" t="str">
        <f>"85234-2110"</f>
        <v>85234-2110</v>
      </c>
      <c r="Q1896" t="s">
        <v>113</v>
      </c>
      <c r="R1896" t="str">
        <f>"304-07-694"</f>
        <v>304-07-694</v>
      </c>
      <c r="S1896" t="s">
        <v>12878</v>
      </c>
      <c r="U1896">
        <v>2506</v>
      </c>
      <c r="V1896">
        <v>0</v>
      </c>
      <c r="W1896">
        <v>4</v>
      </c>
      <c r="X1896">
        <v>1998</v>
      </c>
      <c r="Z1896">
        <v>2</v>
      </c>
      <c r="AA1896" t="s">
        <v>26</v>
      </c>
      <c r="AB1896">
        <v>0</v>
      </c>
      <c r="AC1896" t="s">
        <v>115</v>
      </c>
      <c r="AD1896">
        <v>2</v>
      </c>
      <c r="AE1896" t="s">
        <v>115</v>
      </c>
      <c r="AF1896">
        <v>0</v>
      </c>
      <c r="AG1896">
        <v>0</v>
      </c>
      <c r="AH1896" t="s">
        <v>116</v>
      </c>
      <c r="AI1896" s="1">
        <v>75249</v>
      </c>
      <c r="AJ1896" s="2">
        <v>0.19</v>
      </c>
      <c r="AK1896" s="1">
        <v>395592</v>
      </c>
      <c r="AL1896" t="s">
        <v>117</v>
      </c>
      <c r="AM1896" t="s">
        <v>191</v>
      </c>
      <c r="AN1896">
        <v>9683</v>
      </c>
      <c r="AO1896">
        <v>0.22</v>
      </c>
      <c r="AP1896">
        <v>1</v>
      </c>
      <c r="AR1896">
        <v>1</v>
      </c>
      <c r="AS1896" s="1">
        <v>28310</v>
      </c>
      <c r="AT1896" s="1">
        <v>5660</v>
      </c>
      <c r="AU1896" s="1">
        <v>22650</v>
      </c>
      <c r="AV1896">
        <v>80.010000000000005</v>
      </c>
      <c r="AX1896" s="1">
        <v>2088.58</v>
      </c>
      <c r="AY1896" t="s">
        <v>10654</v>
      </c>
      <c r="AZ1896" t="s">
        <v>571</v>
      </c>
      <c r="BA1896" t="s">
        <v>521</v>
      </c>
      <c r="BE1896" s="3">
        <v>42164</v>
      </c>
      <c r="BF1896" s="1">
        <v>310000</v>
      </c>
      <c r="BG1896" t="s">
        <v>12879</v>
      </c>
      <c r="BH1896" s="1">
        <v>123.7</v>
      </c>
      <c r="BI1896" s="1">
        <v>320343</v>
      </c>
      <c r="BJ1896" s="3">
        <v>42495</v>
      </c>
      <c r="BK1896" t="s">
        <v>123</v>
      </c>
      <c r="BL1896" t="str">
        <f>"2016.305607"</f>
        <v>2016.305607</v>
      </c>
      <c r="BM1896" t="s">
        <v>361</v>
      </c>
      <c r="BO1896" t="s">
        <v>12880</v>
      </c>
      <c r="BS1896">
        <v>30</v>
      </c>
      <c r="BW1896" t="str">
        <f>""</f>
        <v/>
      </c>
      <c r="CH1896" t="str">
        <f>""</f>
        <v/>
      </c>
      <c r="CS1896" t="str">
        <f>""</f>
        <v/>
      </c>
    </row>
    <row r="1897" spans="1:97" x14ac:dyDescent="0.25">
      <c r="A1897" t="s">
        <v>211</v>
      </c>
      <c r="B1897" t="s">
        <v>12881</v>
      </c>
      <c r="C1897" t="s">
        <v>933</v>
      </c>
      <c r="D1897" t="s">
        <v>12881</v>
      </c>
      <c r="E1897" t="s">
        <v>12882</v>
      </c>
      <c r="F1897" t="s">
        <v>108</v>
      </c>
      <c r="H1897" t="s">
        <v>12883</v>
      </c>
      <c r="I1897" t="s">
        <v>225</v>
      </c>
      <c r="J1897" t="s">
        <v>111</v>
      </c>
      <c r="K1897" t="str">
        <f>"85205"</f>
        <v>85205</v>
      </c>
      <c r="L1897" t="s">
        <v>6169</v>
      </c>
      <c r="M1897" t="s">
        <v>12883</v>
      </c>
      <c r="N1897" t="s">
        <v>225</v>
      </c>
      <c r="O1897" t="s">
        <v>111</v>
      </c>
      <c r="P1897" t="str">
        <f>"85205-3563"</f>
        <v>85205-3563</v>
      </c>
      <c r="Q1897" t="s">
        <v>113</v>
      </c>
      <c r="R1897" t="str">
        <f>"141-89-112"</f>
        <v>141-89-112</v>
      </c>
      <c r="S1897" t="s">
        <v>12884</v>
      </c>
      <c r="T1897" t="s">
        <v>8803</v>
      </c>
      <c r="U1897">
        <v>2094</v>
      </c>
      <c r="V1897">
        <v>0</v>
      </c>
      <c r="W1897">
        <v>3</v>
      </c>
      <c r="X1897">
        <v>1991</v>
      </c>
      <c r="Z1897">
        <v>1</v>
      </c>
      <c r="AA1897" t="s">
        <v>26</v>
      </c>
      <c r="AB1897">
        <v>0</v>
      </c>
      <c r="AC1897" t="s">
        <v>115</v>
      </c>
      <c r="AD1897">
        <v>3</v>
      </c>
      <c r="AE1897" t="s">
        <v>115</v>
      </c>
      <c r="AF1897">
        <v>0</v>
      </c>
      <c r="AG1897">
        <v>0</v>
      </c>
      <c r="AH1897" t="s">
        <v>116</v>
      </c>
      <c r="AI1897" s="1">
        <v>29803</v>
      </c>
      <c r="AJ1897" s="2">
        <v>0.08</v>
      </c>
      <c r="AK1897" s="1">
        <v>362503</v>
      </c>
      <c r="AL1897" t="s">
        <v>117</v>
      </c>
      <c r="AM1897" t="s">
        <v>191</v>
      </c>
      <c r="AN1897">
        <v>10032</v>
      </c>
      <c r="AO1897">
        <v>0.23</v>
      </c>
      <c r="AP1897">
        <v>1</v>
      </c>
      <c r="AR1897">
        <v>1</v>
      </c>
      <c r="AS1897" s="1">
        <v>26170</v>
      </c>
      <c r="AT1897" s="1">
        <v>5230</v>
      </c>
      <c r="AU1897" s="1">
        <v>20940</v>
      </c>
      <c r="AV1897">
        <v>80.02</v>
      </c>
      <c r="AX1897" s="1">
        <v>2260.1999999999998</v>
      </c>
      <c r="AY1897" t="s">
        <v>5274</v>
      </c>
      <c r="AZ1897" t="s">
        <v>5275</v>
      </c>
      <c r="BA1897" t="s">
        <v>3119</v>
      </c>
      <c r="BE1897" s="3">
        <v>41880</v>
      </c>
      <c r="BF1897" s="1">
        <v>290000</v>
      </c>
      <c r="BG1897" t="s">
        <v>12885</v>
      </c>
      <c r="BH1897" s="1">
        <v>138.49</v>
      </c>
      <c r="BI1897" s="1">
        <v>332700</v>
      </c>
      <c r="BJ1897" s="3">
        <v>43546</v>
      </c>
      <c r="BK1897" t="s">
        <v>123</v>
      </c>
      <c r="BL1897" t="str">
        <f>"2019.201352"</f>
        <v>2019.201352</v>
      </c>
      <c r="BM1897" t="s">
        <v>248</v>
      </c>
      <c r="BN1897" t="s">
        <v>249</v>
      </c>
      <c r="BO1897" t="s">
        <v>12886</v>
      </c>
      <c r="BP1897" t="s">
        <v>12887</v>
      </c>
      <c r="BR1897" t="s">
        <v>139</v>
      </c>
      <c r="BW1897" t="str">
        <f>""</f>
        <v/>
      </c>
      <c r="CH1897" t="str">
        <f>""</f>
        <v/>
      </c>
      <c r="CS1897" t="str">
        <f>""</f>
        <v/>
      </c>
    </row>
    <row r="1898" spans="1:97" x14ac:dyDescent="0.25">
      <c r="A1898" t="s">
        <v>4327</v>
      </c>
      <c r="B1898" t="s">
        <v>12888</v>
      </c>
      <c r="C1898" t="s">
        <v>1047</v>
      </c>
      <c r="D1898" t="s">
        <v>12888</v>
      </c>
      <c r="E1898" t="s">
        <v>12889</v>
      </c>
      <c r="F1898" t="s">
        <v>108</v>
      </c>
      <c r="H1898" t="s">
        <v>12890</v>
      </c>
      <c r="I1898" t="s">
        <v>5387</v>
      </c>
      <c r="J1898" t="s">
        <v>111</v>
      </c>
      <c r="K1898" t="str">
        <f>"85283"</f>
        <v>85283</v>
      </c>
      <c r="L1898" t="s">
        <v>3982</v>
      </c>
      <c r="M1898" t="s">
        <v>12890</v>
      </c>
      <c r="N1898" t="s">
        <v>5387</v>
      </c>
      <c r="O1898" t="s">
        <v>111</v>
      </c>
      <c r="P1898" t="str">
        <f>"85283-4764"</f>
        <v>85283-4764</v>
      </c>
      <c r="Q1898" t="s">
        <v>113</v>
      </c>
      <c r="R1898" t="str">
        <f>"301-91-771"</f>
        <v>301-91-771</v>
      </c>
      <c r="S1898" t="s">
        <v>12891</v>
      </c>
      <c r="T1898" t="s">
        <v>12892</v>
      </c>
      <c r="U1898">
        <v>2273</v>
      </c>
      <c r="V1898">
        <v>0</v>
      </c>
      <c r="W1898">
        <v>3</v>
      </c>
      <c r="X1898">
        <v>1986</v>
      </c>
      <c r="Z1898">
        <v>1</v>
      </c>
      <c r="AB1898">
        <v>0</v>
      </c>
      <c r="AC1898" t="s">
        <v>115</v>
      </c>
      <c r="AD1898">
        <v>3</v>
      </c>
      <c r="AE1898" t="s">
        <v>115</v>
      </c>
      <c r="AF1898">
        <v>0</v>
      </c>
      <c r="AG1898">
        <v>0</v>
      </c>
      <c r="AH1898" t="s">
        <v>116</v>
      </c>
      <c r="AI1898" s="1">
        <v>91923</v>
      </c>
      <c r="AJ1898" s="2">
        <v>0.23</v>
      </c>
      <c r="AK1898" s="1">
        <v>406923</v>
      </c>
      <c r="AL1898" t="s">
        <v>117</v>
      </c>
      <c r="AM1898" t="s">
        <v>393</v>
      </c>
      <c r="AN1898">
        <v>8817</v>
      </c>
      <c r="AO1898">
        <v>0.2</v>
      </c>
      <c r="AP1898">
        <v>1</v>
      </c>
      <c r="AR1898">
        <v>1</v>
      </c>
      <c r="AS1898" s="1">
        <v>29810</v>
      </c>
      <c r="AT1898" s="1">
        <v>5960</v>
      </c>
      <c r="AU1898" s="1">
        <v>23850</v>
      </c>
      <c r="AV1898">
        <v>80.010000000000005</v>
      </c>
      <c r="AX1898" s="1">
        <v>2840.22</v>
      </c>
      <c r="AY1898" t="s">
        <v>5857</v>
      </c>
      <c r="AZ1898" t="s">
        <v>5391</v>
      </c>
      <c r="BA1898" t="s">
        <v>5392</v>
      </c>
      <c r="BE1898" s="3">
        <v>42439</v>
      </c>
      <c r="BF1898" s="1">
        <v>315000</v>
      </c>
      <c r="BG1898" t="s">
        <v>12893</v>
      </c>
      <c r="BH1898" s="1">
        <v>138.58000000000001</v>
      </c>
      <c r="BI1898" s="1">
        <v>315000</v>
      </c>
      <c r="BJ1898" s="3">
        <v>42439</v>
      </c>
      <c r="BK1898" t="s">
        <v>123</v>
      </c>
      <c r="BL1898" t="str">
        <f>"2016.154401"</f>
        <v>2016.154401</v>
      </c>
      <c r="BM1898" t="s">
        <v>135</v>
      </c>
      <c r="BO1898" t="s">
        <v>12894</v>
      </c>
      <c r="BS1898">
        <v>30</v>
      </c>
      <c r="BW1898" t="str">
        <f>""</f>
        <v/>
      </c>
      <c r="CH1898" t="str">
        <f>""</f>
        <v/>
      </c>
      <c r="CS1898" t="str">
        <f>""</f>
        <v/>
      </c>
    </row>
    <row r="1899" spans="1:97" x14ac:dyDescent="0.25">
      <c r="A1899" t="s">
        <v>2255</v>
      </c>
      <c r="B1899" t="s">
        <v>2104</v>
      </c>
      <c r="C1899" t="s">
        <v>12895</v>
      </c>
      <c r="D1899" t="s">
        <v>2104</v>
      </c>
      <c r="E1899" t="s">
        <v>12896</v>
      </c>
      <c r="F1899" t="s">
        <v>108</v>
      </c>
      <c r="H1899" t="s">
        <v>12897</v>
      </c>
      <c r="I1899" t="s">
        <v>110</v>
      </c>
      <c r="J1899" t="s">
        <v>111</v>
      </c>
      <c r="K1899" t="str">
        <f>"85226"</f>
        <v>85226</v>
      </c>
      <c r="L1899" t="s">
        <v>4003</v>
      </c>
      <c r="M1899" t="s">
        <v>12897</v>
      </c>
      <c r="N1899" t="s">
        <v>110</v>
      </c>
      <c r="O1899" t="s">
        <v>111</v>
      </c>
      <c r="P1899" t="str">
        <f>"85226-1254"</f>
        <v>85226-1254</v>
      </c>
      <c r="Q1899" t="s">
        <v>113</v>
      </c>
      <c r="R1899" t="str">
        <f>"308-07-494"</f>
        <v>308-07-494</v>
      </c>
      <c r="S1899" t="s">
        <v>12898</v>
      </c>
      <c r="U1899">
        <v>3477</v>
      </c>
      <c r="V1899">
        <v>0</v>
      </c>
      <c r="W1899">
        <v>4</v>
      </c>
      <c r="X1899">
        <v>1993</v>
      </c>
      <c r="Z1899">
        <v>2</v>
      </c>
      <c r="AA1899" t="s">
        <v>26</v>
      </c>
      <c r="AB1899">
        <v>0</v>
      </c>
      <c r="AC1899" t="s">
        <v>115</v>
      </c>
      <c r="AD1899">
        <v>2</v>
      </c>
      <c r="AE1899" t="s">
        <v>115</v>
      </c>
      <c r="AF1899">
        <v>0</v>
      </c>
      <c r="AG1899">
        <v>0</v>
      </c>
      <c r="AH1899" t="s">
        <v>116</v>
      </c>
      <c r="AI1899" s="1">
        <v>251913</v>
      </c>
      <c r="AJ1899" s="2">
        <v>0.45</v>
      </c>
      <c r="AK1899" s="1">
        <v>555663</v>
      </c>
      <c r="AL1899" t="s">
        <v>117</v>
      </c>
      <c r="AM1899" t="s">
        <v>118</v>
      </c>
      <c r="AN1899">
        <v>10899</v>
      </c>
      <c r="AO1899">
        <v>0.25</v>
      </c>
      <c r="AP1899">
        <v>1</v>
      </c>
      <c r="AR1899">
        <v>1</v>
      </c>
      <c r="AS1899" s="1">
        <v>42970</v>
      </c>
      <c r="AT1899" s="1">
        <v>8590</v>
      </c>
      <c r="AU1899" s="1">
        <v>34380</v>
      </c>
      <c r="AV1899">
        <v>80.010000000000005</v>
      </c>
      <c r="AX1899" s="1">
        <v>4001.96</v>
      </c>
      <c r="AY1899" t="s">
        <v>12496</v>
      </c>
      <c r="AZ1899" t="s">
        <v>5201</v>
      </c>
      <c r="BA1899" t="s">
        <v>5202</v>
      </c>
      <c r="BE1899" s="3">
        <v>42201</v>
      </c>
      <c r="BF1899" s="1">
        <v>439900</v>
      </c>
      <c r="BG1899" t="s">
        <v>12899</v>
      </c>
      <c r="BH1899" s="1">
        <v>126.52</v>
      </c>
      <c r="BI1899" s="1">
        <v>303750</v>
      </c>
      <c r="BJ1899" s="3">
        <v>42201</v>
      </c>
      <c r="BK1899" t="s">
        <v>123</v>
      </c>
      <c r="BL1899" t="str">
        <f>"2015.512601"</f>
        <v>2015.512601</v>
      </c>
      <c r="BM1899" t="s">
        <v>2472</v>
      </c>
      <c r="BO1899" t="s">
        <v>12900</v>
      </c>
      <c r="BS1899">
        <v>30</v>
      </c>
      <c r="BW1899" t="str">
        <f>""</f>
        <v/>
      </c>
      <c r="CH1899" t="str">
        <f>""</f>
        <v/>
      </c>
      <c r="CS1899" t="str">
        <f>""</f>
        <v/>
      </c>
    </row>
    <row r="1900" spans="1:97" x14ac:dyDescent="0.25">
      <c r="A1900" t="s">
        <v>3104</v>
      </c>
      <c r="B1900" t="s">
        <v>6227</v>
      </c>
      <c r="C1900" t="s">
        <v>12901</v>
      </c>
      <c r="D1900" t="s">
        <v>6227</v>
      </c>
      <c r="E1900" t="s">
        <v>12902</v>
      </c>
      <c r="F1900" t="s">
        <v>108</v>
      </c>
      <c r="H1900" t="s">
        <v>12903</v>
      </c>
      <c r="I1900" t="s">
        <v>3150</v>
      </c>
      <c r="J1900" t="s">
        <v>111</v>
      </c>
      <c r="K1900" t="str">
        <f>"85340"</f>
        <v>85340</v>
      </c>
      <c r="L1900" t="s">
        <v>734</v>
      </c>
      <c r="M1900" t="s">
        <v>12903</v>
      </c>
      <c r="N1900" t="s">
        <v>3150</v>
      </c>
      <c r="O1900" t="s">
        <v>111</v>
      </c>
      <c r="P1900" t="str">
        <f>"85340-5769"</f>
        <v>85340-5769</v>
      </c>
      <c r="Q1900" t="s">
        <v>113</v>
      </c>
      <c r="R1900" t="str">
        <f>"502-28-517"</f>
        <v>502-28-517</v>
      </c>
      <c r="S1900" t="s">
        <v>5998</v>
      </c>
      <c r="T1900" t="s">
        <v>5998</v>
      </c>
      <c r="U1900">
        <v>1931</v>
      </c>
      <c r="V1900">
        <v>0</v>
      </c>
      <c r="W1900">
        <v>3</v>
      </c>
      <c r="X1900">
        <v>2014</v>
      </c>
      <c r="Z1900">
        <v>1</v>
      </c>
      <c r="AB1900">
        <v>0</v>
      </c>
      <c r="AC1900" t="s">
        <v>115</v>
      </c>
      <c r="AD1900">
        <v>2</v>
      </c>
      <c r="AE1900" t="s">
        <v>115</v>
      </c>
      <c r="AF1900">
        <v>0</v>
      </c>
      <c r="AG1900">
        <v>0</v>
      </c>
      <c r="AH1900" t="s">
        <v>116</v>
      </c>
      <c r="AI1900" s="1">
        <v>-42726</v>
      </c>
      <c r="AJ1900" s="2">
        <v>-0.14000000000000001</v>
      </c>
      <c r="AK1900" s="1">
        <v>305188</v>
      </c>
      <c r="AL1900" t="s">
        <v>117</v>
      </c>
      <c r="AM1900" t="s">
        <v>1302</v>
      </c>
      <c r="AN1900">
        <v>10941</v>
      </c>
      <c r="AO1900">
        <v>0.25</v>
      </c>
      <c r="AR1900">
        <v>1</v>
      </c>
      <c r="AS1900" s="1">
        <v>21030</v>
      </c>
      <c r="AT1900" s="1">
        <v>4200</v>
      </c>
      <c r="AU1900" s="1">
        <v>16830</v>
      </c>
      <c r="AV1900">
        <v>80.03</v>
      </c>
      <c r="AX1900" s="1">
        <v>2204.7600000000002</v>
      </c>
      <c r="AY1900" t="s">
        <v>543</v>
      </c>
      <c r="AZ1900" t="s">
        <v>504</v>
      </c>
      <c r="BA1900" t="s">
        <v>218</v>
      </c>
      <c r="BE1900" s="3">
        <v>41738</v>
      </c>
      <c r="BF1900" s="1">
        <v>284949</v>
      </c>
      <c r="BG1900" t="s">
        <v>292</v>
      </c>
      <c r="BH1900" s="1">
        <v>147.57</v>
      </c>
      <c r="BI1900" s="1">
        <v>347914</v>
      </c>
      <c r="BJ1900" s="3">
        <v>43376</v>
      </c>
      <c r="BK1900" t="s">
        <v>123</v>
      </c>
      <c r="BL1900" t="str">
        <f>"2018.742815"</f>
        <v>2018.742815</v>
      </c>
      <c r="BM1900" t="s">
        <v>1809</v>
      </c>
      <c r="BN1900" t="s">
        <v>1810</v>
      </c>
      <c r="BO1900" t="s">
        <v>12904</v>
      </c>
      <c r="BP1900" t="s">
        <v>12905</v>
      </c>
      <c r="BR1900" t="s">
        <v>139</v>
      </c>
      <c r="BW1900" t="str">
        <f>""</f>
        <v/>
      </c>
      <c r="CH1900" t="str">
        <f>""</f>
        <v/>
      </c>
      <c r="CS1900" t="str">
        <f>""</f>
        <v/>
      </c>
    </row>
    <row r="1901" spans="1:97" x14ac:dyDescent="0.25">
      <c r="A1901" t="s">
        <v>106</v>
      </c>
      <c r="B1901" t="s">
        <v>12906</v>
      </c>
      <c r="C1901" t="s">
        <v>12907</v>
      </c>
      <c r="D1901" t="s">
        <v>12906</v>
      </c>
      <c r="E1901" t="s">
        <v>12908</v>
      </c>
      <c r="F1901" t="s">
        <v>108</v>
      </c>
      <c r="H1901" t="s">
        <v>12909</v>
      </c>
      <c r="I1901" t="s">
        <v>225</v>
      </c>
      <c r="J1901" t="s">
        <v>111</v>
      </c>
      <c r="K1901" t="str">
        <f>"85212"</f>
        <v>85212</v>
      </c>
      <c r="L1901" t="s">
        <v>7619</v>
      </c>
      <c r="M1901" t="s">
        <v>12909</v>
      </c>
      <c r="N1901" t="s">
        <v>225</v>
      </c>
      <c r="O1901" t="s">
        <v>111</v>
      </c>
      <c r="P1901" t="str">
        <f>"85212-2583"</f>
        <v>85212-2583</v>
      </c>
      <c r="Q1901" t="s">
        <v>113</v>
      </c>
      <c r="R1901" t="str">
        <f>"304-34-249"</f>
        <v>304-34-249</v>
      </c>
      <c r="S1901" t="s">
        <v>12910</v>
      </c>
      <c r="T1901" t="s">
        <v>7621</v>
      </c>
      <c r="U1901">
        <v>2080</v>
      </c>
      <c r="V1901">
        <v>0</v>
      </c>
      <c r="W1901">
        <v>4</v>
      </c>
      <c r="X1901">
        <v>2009</v>
      </c>
      <c r="Z1901">
        <v>1</v>
      </c>
      <c r="AB1901">
        <v>0</v>
      </c>
      <c r="AC1901" t="s">
        <v>115</v>
      </c>
      <c r="AD1901">
        <v>3</v>
      </c>
      <c r="AE1901" t="s">
        <v>115</v>
      </c>
      <c r="AF1901">
        <v>0</v>
      </c>
      <c r="AG1901">
        <v>0</v>
      </c>
      <c r="AH1901" t="s">
        <v>116</v>
      </c>
      <c r="AI1901" s="1">
        <v>-40349</v>
      </c>
      <c r="AJ1901" s="2">
        <v>-0.14000000000000001</v>
      </c>
      <c r="AK1901" s="1">
        <v>294201</v>
      </c>
      <c r="AL1901" t="s">
        <v>117</v>
      </c>
      <c r="AM1901" t="s">
        <v>393</v>
      </c>
      <c r="AN1901">
        <v>12600</v>
      </c>
      <c r="AO1901">
        <v>0.28999999999999998</v>
      </c>
      <c r="AR1901">
        <v>1</v>
      </c>
      <c r="AS1901" s="1">
        <v>25130</v>
      </c>
      <c r="AT1901" s="1">
        <v>5020</v>
      </c>
      <c r="AU1901" s="1">
        <v>20110</v>
      </c>
      <c r="AV1901">
        <v>80.02</v>
      </c>
      <c r="AX1901" s="1">
        <v>2098.66</v>
      </c>
      <c r="AY1901" t="s">
        <v>776</v>
      </c>
      <c r="AZ1901" t="s">
        <v>777</v>
      </c>
      <c r="BA1901" t="s">
        <v>572</v>
      </c>
      <c r="BE1901" s="3">
        <v>42473</v>
      </c>
      <c r="BF1901" s="1">
        <v>296000</v>
      </c>
      <c r="BG1901" t="s">
        <v>12911</v>
      </c>
      <c r="BH1901" s="1">
        <v>142.31</v>
      </c>
      <c r="BI1901" s="1">
        <v>334550</v>
      </c>
      <c r="BJ1901" s="3">
        <v>43640</v>
      </c>
      <c r="BK1901" t="s">
        <v>123</v>
      </c>
      <c r="BL1901" t="str">
        <f>"2019.471345"</f>
        <v>2019.471345</v>
      </c>
      <c r="BM1901" t="s">
        <v>159</v>
      </c>
      <c r="BN1901" t="s">
        <v>160</v>
      </c>
      <c r="BO1901" t="s">
        <v>12912</v>
      </c>
      <c r="BP1901" t="s">
        <v>12913</v>
      </c>
      <c r="BR1901" t="s">
        <v>139</v>
      </c>
      <c r="BT1901" s="1">
        <v>334550</v>
      </c>
      <c r="BU1901" s="3">
        <v>43640</v>
      </c>
      <c r="BV1901" t="s">
        <v>123</v>
      </c>
      <c r="BW1901" t="str">
        <f>"2019.471345"</f>
        <v>2019.471345</v>
      </c>
      <c r="BX1901" t="s">
        <v>159</v>
      </c>
      <c r="BY1901" t="s">
        <v>160</v>
      </c>
      <c r="BZ1901" t="s">
        <v>12912</v>
      </c>
      <c r="CA1901" t="s">
        <v>12913</v>
      </c>
      <c r="CC1901" t="s">
        <v>139</v>
      </c>
      <c r="CH1901" t="str">
        <f>""</f>
        <v/>
      </c>
      <c r="CS1901" t="str">
        <f>""</f>
        <v/>
      </c>
    </row>
    <row r="1902" spans="1:97" x14ac:dyDescent="0.25">
      <c r="A1902" t="s">
        <v>1210</v>
      </c>
      <c r="B1902" t="s">
        <v>7143</v>
      </c>
      <c r="E1902" t="s">
        <v>12914</v>
      </c>
      <c r="F1902" t="s">
        <v>108</v>
      </c>
      <c r="H1902" t="s">
        <v>12915</v>
      </c>
      <c r="I1902" t="s">
        <v>5114</v>
      </c>
      <c r="J1902" t="s">
        <v>111</v>
      </c>
      <c r="K1902" t="str">
        <f>"85323"</f>
        <v>85323</v>
      </c>
      <c r="L1902" t="s">
        <v>688</v>
      </c>
      <c r="M1902" t="s">
        <v>12915</v>
      </c>
      <c r="N1902" t="s">
        <v>5114</v>
      </c>
      <c r="O1902" t="s">
        <v>111</v>
      </c>
      <c r="P1902" t="str">
        <f>"85323-7723"</f>
        <v>85323-7723</v>
      </c>
      <c r="Q1902" t="s">
        <v>113</v>
      </c>
      <c r="R1902" t="str">
        <f>"500-32-192"</f>
        <v>500-32-192</v>
      </c>
      <c r="S1902" t="s">
        <v>9433</v>
      </c>
      <c r="U1902">
        <v>3433</v>
      </c>
      <c r="V1902">
        <v>0</v>
      </c>
      <c r="W1902">
        <v>4</v>
      </c>
      <c r="X1902">
        <v>2016</v>
      </c>
      <c r="Z1902">
        <v>2</v>
      </c>
      <c r="AB1902">
        <v>0</v>
      </c>
      <c r="AC1902" t="s">
        <v>115</v>
      </c>
      <c r="AD1902">
        <v>3</v>
      </c>
      <c r="AE1902" t="s">
        <v>115</v>
      </c>
      <c r="AF1902">
        <v>0</v>
      </c>
      <c r="AG1902">
        <v>0</v>
      </c>
      <c r="AH1902" t="s">
        <v>116</v>
      </c>
      <c r="AI1902" s="1">
        <v>63944</v>
      </c>
      <c r="AJ1902" s="2">
        <v>0.19</v>
      </c>
      <c r="AK1902" s="1">
        <v>336019</v>
      </c>
      <c r="AL1902" t="s">
        <v>117</v>
      </c>
      <c r="AM1902" t="s">
        <v>118</v>
      </c>
      <c r="AN1902">
        <v>6900</v>
      </c>
      <c r="AO1902">
        <v>0.16</v>
      </c>
      <c r="AR1902">
        <v>1</v>
      </c>
      <c r="AS1902" s="1">
        <v>23950</v>
      </c>
      <c r="AT1902" s="1">
        <v>4790</v>
      </c>
      <c r="AU1902" s="1">
        <v>19160</v>
      </c>
      <c r="AV1902">
        <v>80</v>
      </c>
      <c r="AX1902" s="1">
        <v>2639.52</v>
      </c>
      <c r="AY1902" t="s">
        <v>5458</v>
      </c>
      <c r="AZ1902" t="s">
        <v>5458</v>
      </c>
      <c r="BA1902" t="s">
        <v>4254</v>
      </c>
      <c r="BE1902" s="3">
        <v>42423</v>
      </c>
      <c r="BF1902" s="1">
        <v>274000</v>
      </c>
      <c r="BG1902" t="s">
        <v>158</v>
      </c>
      <c r="BH1902" s="1">
        <v>79.81</v>
      </c>
      <c r="BI1902" s="1">
        <v>272075</v>
      </c>
      <c r="BJ1902" s="3">
        <v>42656</v>
      </c>
      <c r="BK1902" t="s">
        <v>123</v>
      </c>
      <c r="BL1902" t="str">
        <f>"2016.753100"</f>
        <v>2016.753100</v>
      </c>
      <c r="BM1902" t="s">
        <v>402</v>
      </c>
      <c r="BO1902" t="s">
        <v>12916</v>
      </c>
      <c r="BS1902">
        <v>30</v>
      </c>
      <c r="BW1902" t="str">
        <f>""</f>
        <v/>
      </c>
      <c r="CH1902" t="str">
        <f>""</f>
        <v/>
      </c>
      <c r="CS1902" t="str">
        <f>""</f>
        <v/>
      </c>
    </row>
    <row r="1903" spans="1:97" x14ac:dyDescent="0.25">
      <c r="A1903" t="s">
        <v>370</v>
      </c>
      <c r="B1903" t="s">
        <v>12917</v>
      </c>
      <c r="E1903" t="s">
        <v>12918</v>
      </c>
      <c r="F1903" t="s">
        <v>108</v>
      </c>
      <c r="H1903" t="s">
        <v>12919</v>
      </c>
      <c r="I1903" t="s">
        <v>390</v>
      </c>
      <c r="J1903" t="s">
        <v>111</v>
      </c>
      <c r="K1903" t="str">
        <f>"85006"</f>
        <v>85006</v>
      </c>
      <c r="L1903" t="s">
        <v>5138</v>
      </c>
      <c r="M1903" t="s">
        <v>12919</v>
      </c>
      <c r="N1903" t="s">
        <v>390</v>
      </c>
      <c r="O1903" t="s">
        <v>111</v>
      </c>
      <c r="P1903" t="str">
        <f>"85006-2252"</f>
        <v>85006-2252</v>
      </c>
      <c r="Q1903" t="s">
        <v>113</v>
      </c>
      <c r="R1903" t="str">
        <f>"117-17-146"</f>
        <v>117-17-146</v>
      </c>
      <c r="S1903" t="s">
        <v>12920</v>
      </c>
      <c r="T1903" t="s">
        <v>12920</v>
      </c>
      <c r="U1903">
        <v>1488</v>
      </c>
      <c r="V1903">
        <v>0</v>
      </c>
      <c r="W1903">
        <v>2</v>
      </c>
      <c r="X1903">
        <v>1945</v>
      </c>
      <c r="Z1903">
        <v>1</v>
      </c>
      <c r="AB1903">
        <v>0</v>
      </c>
      <c r="AC1903" t="s">
        <v>115</v>
      </c>
      <c r="AD1903">
        <v>1</v>
      </c>
      <c r="AE1903" t="s">
        <v>115</v>
      </c>
      <c r="AF1903">
        <v>0</v>
      </c>
      <c r="AG1903">
        <v>0</v>
      </c>
      <c r="AH1903" t="s">
        <v>116</v>
      </c>
      <c r="AI1903" s="1">
        <v>93916</v>
      </c>
      <c r="AJ1903" s="2">
        <v>0.27</v>
      </c>
      <c r="AK1903" s="1">
        <v>351944</v>
      </c>
      <c r="AL1903" t="s">
        <v>117</v>
      </c>
      <c r="AM1903" t="s">
        <v>191</v>
      </c>
      <c r="AN1903">
        <v>8381</v>
      </c>
      <c r="AO1903">
        <v>0.19</v>
      </c>
      <c r="AP1903">
        <v>1</v>
      </c>
      <c r="AR1903">
        <v>1</v>
      </c>
      <c r="AS1903" s="1">
        <v>27010</v>
      </c>
      <c r="AT1903" s="1">
        <v>5400</v>
      </c>
      <c r="AU1903" s="1">
        <v>21610</v>
      </c>
      <c r="AV1903">
        <v>80.010000000000005</v>
      </c>
      <c r="AX1903" s="1">
        <v>1964.96</v>
      </c>
      <c r="AY1903" t="s">
        <v>8411</v>
      </c>
      <c r="AZ1903" t="s">
        <v>8411</v>
      </c>
      <c r="BA1903" t="s">
        <v>8412</v>
      </c>
      <c r="BE1903" s="3">
        <v>41670</v>
      </c>
      <c r="BF1903" s="1">
        <v>234000</v>
      </c>
      <c r="BG1903" t="s">
        <v>12921</v>
      </c>
      <c r="BH1903" s="1">
        <v>157.26</v>
      </c>
      <c r="BI1903" s="1">
        <v>203028</v>
      </c>
      <c r="BJ1903" s="3">
        <v>41670</v>
      </c>
      <c r="BK1903" t="s">
        <v>123</v>
      </c>
      <c r="BL1903" t="str">
        <f>"2014.69166"</f>
        <v>2014.69166</v>
      </c>
      <c r="BM1903" t="s">
        <v>1038</v>
      </c>
      <c r="BN1903" t="s">
        <v>12922</v>
      </c>
      <c r="BO1903" t="s">
        <v>12923</v>
      </c>
      <c r="BS1903">
        <v>30</v>
      </c>
      <c r="BT1903" s="1">
        <v>55000</v>
      </c>
      <c r="BU1903" s="3">
        <v>43549</v>
      </c>
      <c r="BW1903" t="str">
        <f>"2019.203489"</f>
        <v>2019.203489</v>
      </c>
      <c r="BX1903" t="s">
        <v>342</v>
      </c>
      <c r="BY1903" t="s">
        <v>343</v>
      </c>
      <c r="BZ1903" t="s">
        <v>12924</v>
      </c>
      <c r="CC1903" t="s">
        <v>346</v>
      </c>
      <c r="CH1903" t="str">
        <f>""</f>
        <v/>
      </c>
      <c r="CS1903" t="str">
        <f>""</f>
        <v/>
      </c>
    </row>
    <row r="1904" spans="1:97" x14ac:dyDescent="0.25">
      <c r="A1904" t="s">
        <v>815</v>
      </c>
      <c r="B1904" t="s">
        <v>12925</v>
      </c>
      <c r="C1904" t="s">
        <v>986</v>
      </c>
      <c r="D1904" t="s">
        <v>12925</v>
      </c>
      <c r="E1904" t="s">
        <v>12926</v>
      </c>
      <c r="F1904" t="s">
        <v>108</v>
      </c>
      <c r="H1904" t="s">
        <v>12927</v>
      </c>
      <c r="I1904" t="s">
        <v>167</v>
      </c>
      <c r="J1904" t="s">
        <v>111</v>
      </c>
      <c r="K1904" t="str">
        <f>"85339"</f>
        <v>85339</v>
      </c>
      <c r="L1904" t="s">
        <v>3885</v>
      </c>
      <c r="M1904" t="s">
        <v>12927</v>
      </c>
      <c r="N1904" t="s">
        <v>167</v>
      </c>
      <c r="O1904" t="s">
        <v>111</v>
      </c>
      <c r="P1904" t="str">
        <f>"85339-2062"</f>
        <v>85339-2062</v>
      </c>
      <c r="Q1904" t="s">
        <v>113</v>
      </c>
      <c r="R1904" t="str">
        <f>"300-10-223"</f>
        <v>300-10-223</v>
      </c>
      <c r="S1904" t="s">
        <v>12928</v>
      </c>
      <c r="T1904" t="s">
        <v>12928</v>
      </c>
      <c r="U1904">
        <v>3085</v>
      </c>
      <c r="V1904">
        <v>0</v>
      </c>
      <c r="W1904">
        <v>4</v>
      </c>
      <c r="X1904">
        <v>2005</v>
      </c>
      <c r="Z1904">
        <v>2</v>
      </c>
      <c r="AA1904" t="s">
        <v>26</v>
      </c>
      <c r="AB1904">
        <v>0</v>
      </c>
      <c r="AC1904" t="s">
        <v>115</v>
      </c>
      <c r="AD1904">
        <v>3</v>
      </c>
      <c r="AE1904" t="s">
        <v>115</v>
      </c>
      <c r="AF1904">
        <v>0</v>
      </c>
      <c r="AG1904">
        <v>0</v>
      </c>
      <c r="AH1904" t="s">
        <v>116</v>
      </c>
      <c r="AI1904" s="1">
        <v>86660</v>
      </c>
      <c r="AJ1904" s="2">
        <v>0.23</v>
      </c>
      <c r="AK1904" s="1">
        <v>371660</v>
      </c>
      <c r="AL1904" t="s">
        <v>117</v>
      </c>
      <c r="AM1904" t="s">
        <v>1302</v>
      </c>
      <c r="AN1904">
        <v>10645</v>
      </c>
      <c r="AO1904">
        <v>0.24</v>
      </c>
      <c r="AR1904">
        <v>1</v>
      </c>
      <c r="AS1904" s="1">
        <v>27720</v>
      </c>
      <c r="AT1904" s="1">
        <v>5540</v>
      </c>
      <c r="AU1904" s="1">
        <v>22180</v>
      </c>
      <c r="AV1904">
        <v>80.010000000000005</v>
      </c>
      <c r="AX1904" s="1">
        <v>3815.14</v>
      </c>
      <c r="AY1904" t="s">
        <v>806</v>
      </c>
      <c r="AZ1904" t="s">
        <v>806</v>
      </c>
      <c r="BA1904" t="s">
        <v>173</v>
      </c>
      <c r="BE1904" s="3">
        <v>41992</v>
      </c>
      <c r="BF1904" s="1">
        <v>285000</v>
      </c>
      <c r="BG1904" t="s">
        <v>12929</v>
      </c>
      <c r="BH1904" s="1">
        <v>92.38</v>
      </c>
      <c r="BI1904" s="1">
        <v>285000</v>
      </c>
      <c r="BJ1904" s="3">
        <v>41992</v>
      </c>
      <c r="BK1904" t="s">
        <v>123</v>
      </c>
      <c r="BL1904" t="str">
        <f>"2014.836728"</f>
        <v>2014.836728</v>
      </c>
      <c r="BM1904" t="s">
        <v>724</v>
      </c>
      <c r="BO1904" t="s">
        <v>12930</v>
      </c>
      <c r="BS1904">
        <v>30</v>
      </c>
      <c r="BW1904" t="str">
        <f>""</f>
        <v/>
      </c>
      <c r="CH1904" t="str">
        <f>""</f>
        <v/>
      </c>
      <c r="CS1904" t="str">
        <f>""</f>
        <v/>
      </c>
    </row>
    <row r="1905" spans="1:97" x14ac:dyDescent="0.25">
      <c r="A1905" t="s">
        <v>12931</v>
      </c>
      <c r="B1905" t="s">
        <v>12932</v>
      </c>
      <c r="C1905" t="s">
        <v>2319</v>
      </c>
      <c r="D1905" t="s">
        <v>12932</v>
      </c>
      <c r="E1905" t="s">
        <v>12933</v>
      </c>
      <c r="F1905" t="s">
        <v>108</v>
      </c>
      <c r="H1905" t="s">
        <v>12934</v>
      </c>
      <c r="I1905" t="s">
        <v>499</v>
      </c>
      <c r="J1905" t="s">
        <v>111</v>
      </c>
      <c r="K1905" t="str">
        <f>"85338"</f>
        <v>85338</v>
      </c>
      <c r="L1905" t="s">
        <v>5291</v>
      </c>
      <c r="M1905" t="s">
        <v>12934</v>
      </c>
      <c r="N1905" t="s">
        <v>499</v>
      </c>
      <c r="O1905" t="s">
        <v>111</v>
      </c>
      <c r="P1905" t="str">
        <f>"85338-5208"</f>
        <v>85338-5208</v>
      </c>
      <c r="Q1905" t="s">
        <v>113</v>
      </c>
      <c r="R1905" t="str">
        <f>"400-52-506"</f>
        <v>400-52-506</v>
      </c>
      <c r="S1905" t="s">
        <v>12935</v>
      </c>
      <c r="U1905">
        <v>1677</v>
      </c>
      <c r="V1905">
        <v>0</v>
      </c>
      <c r="W1905">
        <v>3</v>
      </c>
      <c r="X1905">
        <v>1990</v>
      </c>
      <c r="Z1905">
        <v>1</v>
      </c>
      <c r="AA1905" t="s">
        <v>26</v>
      </c>
      <c r="AB1905">
        <v>0</v>
      </c>
      <c r="AC1905" t="s">
        <v>115</v>
      </c>
      <c r="AD1905">
        <v>2</v>
      </c>
      <c r="AE1905" t="s">
        <v>115</v>
      </c>
      <c r="AF1905">
        <v>0</v>
      </c>
      <c r="AG1905">
        <v>0</v>
      </c>
      <c r="AH1905" t="s">
        <v>116</v>
      </c>
      <c r="AI1905" s="1">
        <v>56827</v>
      </c>
      <c r="AJ1905" s="2">
        <v>0.21</v>
      </c>
      <c r="AK1905" s="1">
        <v>271342</v>
      </c>
      <c r="AL1905" t="s">
        <v>117</v>
      </c>
      <c r="AM1905" t="s">
        <v>118</v>
      </c>
      <c r="AN1905">
        <v>6405</v>
      </c>
      <c r="AO1905">
        <v>0.15</v>
      </c>
      <c r="AP1905">
        <v>1</v>
      </c>
      <c r="AR1905">
        <v>1</v>
      </c>
      <c r="AS1905" s="1">
        <v>18280</v>
      </c>
      <c r="AT1905" s="1">
        <v>3650</v>
      </c>
      <c r="AU1905" s="1">
        <v>14630</v>
      </c>
      <c r="AV1905">
        <v>80.03</v>
      </c>
      <c r="AX1905" s="1">
        <v>1540.64</v>
      </c>
      <c r="AY1905" t="s">
        <v>4236</v>
      </c>
      <c r="AZ1905" t="s">
        <v>4236</v>
      </c>
      <c r="BA1905" t="s">
        <v>1247</v>
      </c>
      <c r="BE1905" s="3">
        <v>42300</v>
      </c>
      <c r="BF1905" s="1">
        <v>210000</v>
      </c>
      <c r="BG1905" t="s">
        <v>6855</v>
      </c>
      <c r="BH1905" s="1">
        <v>125.22</v>
      </c>
      <c r="BI1905" s="1">
        <v>214515</v>
      </c>
      <c r="BJ1905" s="3">
        <v>42300</v>
      </c>
      <c r="BK1905" t="s">
        <v>123</v>
      </c>
      <c r="BL1905" t="str">
        <f>"2015.765217"</f>
        <v>2015.765217</v>
      </c>
      <c r="BM1905" t="s">
        <v>2489</v>
      </c>
      <c r="BO1905" t="s">
        <v>12936</v>
      </c>
      <c r="BS1905">
        <v>30</v>
      </c>
      <c r="BW1905" t="str">
        <f>""</f>
        <v/>
      </c>
      <c r="CH1905" t="str">
        <f>""</f>
        <v/>
      </c>
      <c r="CS1905" t="str">
        <f>""</f>
        <v/>
      </c>
    </row>
    <row r="1906" spans="1:97" x14ac:dyDescent="0.25">
      <c r="A1906" t="s">
        <v>1393</v>
      </c>
      <c r="B1906" t="s">
        <v>4099</v>
      </c>
      <c r="E1906" t="s">
        <v>12937</v>
      </c>
      <c r="F1906" t="s">
        <v>108</v>
      </c>
      <c r="H1906" t="s">
        <v>12938</v>
      </c>
      <c r="I1906" t="s">
        <v>5863</v>
      </c>
      <c r="J1906" t="s">
        <v>111</v>
      </c>
      <c r="K1906" t="str">
        <f>"85375"</f>
        <v>85375</v>
      </c>
      <c r="L1906" t="s">
        <v>6325</v>
      </c>
      <c r="M1906" t="s">
        <v>12938</v>
      </c>
      <c r="N1906" t="s">
        <v>5863</v>
      </c>
      <c r="O1906" t="s">
        <v>111</v>
      </c>
      <c r="P1906" t="str">
        <f>"85375-3070"</f>
        <v>85375-3070</v>
      </c>
      <c r="Q1906" t="s">
        <v>113</v>
      </c>
      <c r="R1906" t="str">
        <f>"232-31-217"</f>
        <v>232-31-217</v>
      </c>
      <c r="S1906" t="s">
        <v>12939</v>
      </c>
      <c r="U1906">
        <v>1366</v>
      </c>
      <c r="V1906">
        <v>0</v>
      </c>
      <c r="W1906">
        <v>3</v>
      </c>
      <c r="X1906">
        <v>1997</v>
      </c>
      <c r="Z1906">
        <v>1</v>
      </c>
      <c r="AB1906">
        <v>0</v>
      </c>
      <c r="AC1906" t="s">
        <v>115</v>
      </c>
      <c r="AD1906">
        <v>2</v>
      </c>
      <c r="AE1906" t="s">
        <v>115</v>
      </c>
      <c r="AF1906">
        <v>0</v>
      </c>
      <c r="AG1906">
        <v>0</v>
      </c>
      <c r="AH1906" t="s">
        <v>116</v>
      </c>
      <c r="AI1906" s="1">
        <v>-1755</v>
      </c>
      <c r="AJ1906" s="2">
        <v>-0.01</v>
      </c>
      <c r="AK1906" s="1">
        <v>229245</v>
      </c>
      <c r="AL1906" t="s">
        <v>117</v>
      </c>
      <c r="AM1906" t="s">
        <v>191</v>
      </c>
      <c r="AN1906">
        <v>4959</v>
      </c>
      <c r="AO1906">
        <v>0.11</v>
      </c>
      <c r="AP1906">
        <v>1</v>
      </c>
      <c r="AR1906">
        <v>1</v>
      </c>
      <c r="AS1906" s="1">
        <v>14580</v>
      </c>
      <c r="AT1906" s="1">
        <v>2910</v>
      </c>
      <c r="AU1906" s="1">
        <v>11670</v>
      </c>
      <c r="AV1906">
        <v>80.040000000000006</v>
      </c>
      <c r="AX1906" s="1">
        <v>1739.62</v>
      </c>
      <c r="AY1906" t="s">
        <v>5108</v>
      </c>
      <c r="AZ1906" t="s">
        <v>5108</v>
      </c>
      <c r="BA1906" t="s">
        <v>5109</v>
      </c>
      <c r="BE1906" s="3">
        <v>42412</v>
      </c>
      <c r="BF1906" s="1">
        <v>173000</v>
      </c>
      <c r="BG1906" t="s">
        <v>12940</v>
      </c>
      <c r="BH1906" s="1">
        <v>126.65</v>
      </c>
      <c r="BI1906" s="1">
        <v>231000</v>
      </c>
      <c r="BJ1906" s="3">
        <v>43509</v>
      </c>
      <c r="BK1906" t="s">
        <v>123</v>
      </c>
      <c r="BL1906" t="str">
        <f>"2019.99636"</f>
        <v>2019.99636</v>
      </c>
      <c r="BM1906" t="s">
        <v>12941</v>
      </c>
      <c r="BN1906" t="s">
        <v>12942</v>
      </c>
      <c r="BO1906" t="s">
        <v>12937</v>
      </c>
      <c r="BR1906" t="s">
        <v>346</v>
      </c>
      <c r="BW1906" t="str">
        <f>""</f>
        <v/>
      </c>
      <c r="CH1906" t="str">
        <f>""</f>
        <v/>
      </c>
      <c r="CS1906" t="str">
        <f>""</f>
        <v/>
      </c>
    </row>
    <row r="1907" spans="1:97" x14ac:dyDescent="0.25">
      <c r="A1907" t="s">
        <v>996</v>
      </c>
      <c r="B1907" t="s">
        <v>12943</v>
      </c>
      <c r="C1907" t="s">
        <v>4500</v>
      </c>
      <c r="D1907" t="s">
        <v>12943</v>
      </c>
      <c r="E1907" t="s">
        <v>12944</v>
      </c>
      <c r="F1907" t="s">
        <v>108</v>
      </c>
      <c r="H1907" t="s">
        <v>12945</v>
      </c>
      <c r="I1907" t="s">
        <v>390</v>
      </c>
      <c r="J1907" t="s">
        <v>111</v>
      </c>
      <c r="K1907" t="str">
        <f>"85022"</f>
        <v>85022</v>
      </c>
      <c r="L1907" t="s">
        <v>2903</v>
      </c>
      <c r="M1907" t="s">
        <v>12945</v>
      </c>
      <c r="N1907" t="s">
        <v>390</v>
      </c>
      <c r="O1907" t="s">
        <v>111</v>
      </c>
      <c r="P1907" t="str">
        <f>"85022-3326"</f>
        <v>85022-3326</v>
      </c>
      <c r="Q1907" t="s">
        <v>113</v>
      </c>
      <c r="R1907" t="str">
        <f>"214-18-126"</f>
        <v>214-18-126</v>
      </c>
      <c r="S1907" t="s">
        <v>12946</v>
      </c>
      <c r="T1907" t="s">
        <v>5210</v>
      </c>
      <c r="U1907">
        <v>2936</v>
      </c>
      <c r="V1907">
        <v>0</v>
      </c>
      <c r="W1907">
        <v>4</v>
      </c>
      <c r="X1907">
        <v>1987</v>
      </c>
      <c r="Z1907">
        <v>2</v>
      </c>
      <c r="AA1907" t="s">
        <v>26</v>
      </c>
      <c r="AB1907">
        <v>0</v>
      </c>
      <c r="AC1907" t="s">
        <v>115</v>
      </c>
      <c r="AD1907">
        <v>2</v>
      </c>
      <c r="AE1907" t="s">
        <v>115</v>
      </c>
      <c r="AF1907">
        <v>0</v>
      </c>
      <c r="AG1907">
        <v>0</v>
      </c>
      <c r="AH1907" t="s">
        <v>116</v>
      </c>
      <c r="AI1907" s="1">
        <v>77599</v>
      </c>
      <c r="AJ1907" s="2">
        <v>0.15</v>
      </c>
      <c r="AK1907" s="1">
        <v>508360</v>
      </c>
      <c r="AL1907" t="s">
        <v>117</v>
      </c>
      <c r="AM1907" t="s">
        <v>171</v>
      </c>
      <c r="AN1907">
        <v>10311</v>
      </c>
      <c r="AO1907">
        <v>0.24</v>
      </c>
      <c r="AP1907">
        <v>1</v>
      </c>
      <c r="AR1907">
        <v>1</v>
      </c>
      <c r="AS1907" s="1">
        <v>35850</v>
      </c>
      <c r="AT1907" s="1">
        <v>7170</v>
      </c>
      <c r="AU1907" s="1">
        <v>28680</v>
      </c>
      <c r="AV1907">
        <v>80</v>
      </c>
      <c r="AX1907" s="1">
        <v>3434.32</v>
      </c>
      <c r="AY1907" t="s">
        <v>5442</v>
      </c>
      <c r="AZ1907" t="s">
        <v>5231</v>
      </c>
      <c r="BA1907" t="s">
        <v>2551</v>
      </c>
      <c r="BE1907" s="3">
        <v>42426</v>
      </c>
      <c r="BF1907" s="1">
        <v>417000</v>
      </c>
      <c r="BG1907" t="s">
        <v>12947</v>
      </c>
      <c r="BH1907" s="1">
        <v>142.03</v>
      </c>
      <c r="BI1907" s="1">
        <v>430761</v>
      </c>
      <c r="BJ1907" s="3">
        <v>42426</v>
      </c>
      <c r="BK1907" t="s">
        <v>123</v>
      </c>
      <c r="BL1907" t="str">
        <f>"2016.122046"</f>
        <v>2016.122046</v>
      </c>
      <c r="BM1907" t="s">
        <v>544</v>
      </c>
      <c r="BO1907" t="s">
        <v>12948</v>
      </c>
      <c r="BS1907">
        <v>30</v>
      </c>
      <c r="BW1907" t="str">
        <f>""</f>
        <v/>
      </c>
      <c r="CH1907" t="str">
        <f>""</f>
        <v/>
      </c>
      <c r="CS1907" t="str">
        <f>""</f>
        <v/>
      </c>
    </row>
    <row r="1908" spans="1:97" x14ac:dyDescent="0.25">
      <c r="A1908" t="s">
        <v>305</v>
      </c>
      <c r="B1908" t="s">
        <v>12949</v>
      </c>
      <c r="E1908" t="s">
        <v>12950</v>
      </c>
      <c r="F1908" t="s">
        <v>108</v>
      </c>
      <c r="H1908" t="s">
        <v>12951</v>
      </c>
      <c r="I1908" t="s">
        <v>5523</v>
      </c>
      <c r="J1908" t="s">
        <v>111</v>
      </c>
      <c r="K1908" t="str">
        <f>"85373"</f>
        <v>85373</v>
      </c>
      <c r="L1908" t="s">
        <v>5524</v>
      </c>
      <c r="M1908" t="s">
        <v>12951</v>
      </c>
      <c r="N1908" t="s">
        <v>5523</v>
      </c>
      <c r="O1908" t="s">
        <v>111</v>
      </c>
      <c r="P1908" t="str">
        <f>"85373-5411"</f>
        <v>85373-5411</v>
      </c>
      <c r="Q1908" t="s">
        <v>113</v>
      </c>
      <c r="R1908" t="str">
        <f>"503-88-217"</f>
        <v>503-88-217</v>
      </c>
      <c r="S1908" t="s">
        <v>12952</v>
      </c>
      <c r="T1908" t="s">
        <v>6818</v>
      </c>
      <c r="U1908">
        <v>3101</v>
      </c>
      <c r="V1908">
        <v>0</v>
      </c>
      <c r="W1908">
        <v>4</v>
      </c>
      <c r="X1908">
        <v>2010</v>
      </c>
      <c r="Z1908">
        <v>2</v>
      </c>
      <c r="AB1908">
        <v>0</v>
      </c>
      <c r="AC1908" t="s">
        <v>115</v>
      </c>
      <c r="AD1908">
        <v>3</v>
      </c>
      <c r="AE1908" t="s">
        <v>115</v>
      </c>
      <c r="AF1908">
        <v>0</v>
      </c>
      <c r="AG1908">
        <v>0</v>
      </c>
      <c r="AH1908" t="s">
        <v>116</v>
      </c>
      <c r="AI1908" s="1">
        <v>67721</v>
      </c>
      <c r="AJ1908" s="2">
        <v>0.2</v>
      </c>
      <c r="AK1908" s="1">
        <v>344621</v>
      </c>
      <c r="AL1908" t="s">
        <v>117</v>
      </c>
      <c r="AM1908" t="str">
        <f>"R1-7"</f>
        <v>R1-7</v>
      </c>
      <c r="AN1908">
        <v>7475</v>
      </c>
      <c r="AO1908">
        <v>0.17</v>
      </c>
      <c r="AR1908">
        <v>1</v>
      </c>
      <c r="AS1908" s="1">
        <v>25420</v>
      </c>
      <c r="AT1908" s="1">
        <v>5080</v>
      </c>
      <c r="AU1908" s="1">
        <v>20340</v>
      </c>
      <c r="AV1908">
        <v>80.02</v>
      </c>
      <c r="AX1908" s="1">
        <v>2890.22</v>
      </c>
      <c r="AY1908" t="s">
        <v>3228</v>
      </c>
      <c r="AZ1908" t="s">
        <v>3228</v>
      </c>
      <c r="BA1908" t="s">
        <v>457</v>
      </c>
      <c r="BE1908" s="3">
        <v>42552</v>
      </c>
      <c r="BF1908" s="1">
        <v>276900</v>
      </c>
      <c r="BG1908" t="s">
        <v>12953</v>
      </c>
      <c r="BH1908" s="1">
        <v>89.29</v>
      </c>
      <c r="BI1908" s="1">
        <v>276900</v>
      </c>
      <c r="BJ1908" s="3">
        <v>42552</v>
      </c>
      <c r="BK1908" t="s">
        <v>123</v>
      </c>
      <c r="BL1908" t="str">
        <f>"2016.467539"</f>
        <v>2016.467539</v>
      </c>
      <c r="BM1908" t="s">
        <v>475</v>
      </c>
      <c r="BO1908" t="s">
        <v>12954</v>
      </c>
      <c r="BS1908">
        <v>30</v>
      </c>
      <c r="BW1908" t="str">
        <f>""</f>
        <v/>
      </c>
      <c r="CH1908" t="str">
        <f>""</f>
        <v/>
      </c>
      <c r="CS1908" t="str">
        <f>""</f>
        <v/>
      </c>
    </row>
    <row r="1909" spans="1:97" x14ac:dyDescent="0.25">
      <c r="A1909" t="s">
        <v>12955</v>
      </c>
      <c r="B1909" t="s">
        <v>12956</v>
      </c>
      <c r="C1909" t="s">
        <v>2319</v>
      </c>
      <c r="D1909" t="s">
        <v>12956</v>
      </c>
      <c r="E1909" t="s">
        <v>12957</v>
      </c>
      <c r="F1909" t="s">
        <v>108</v>
      </c>
      <c r="H1909" t="s">
        <v>12958</v>
      </c>
      <c r="I1909" t="s">
        <v>188</v>
      </c>
      <c r="J1909" t="s">
        <v>111</v>
      </c>
      <c r="K1909" t="str">
        <f>"85142"</f>
        <v>85142</v>
      </c>
      <c r="L1909" t="s">
        <v>625</v>
      </c>
      <c r="M1909" t="s">
        <v>12958</v>
      </c>
      <c r="N1909" t="s">
        <v>188</v>
      </c>
      <c r="O1909" t="s">
        <v>111</v>
      </c>
      <c r="P1909" t="str">
        <f>"85142-6347"</f>
        <v>85142-6347</v>
      </c>
      <c r="Q1909" t="s">
        <v>113</v>
      </c>
      <c r="R1909" t="str">
        <f>"304-64-549"</f>
        <v>304-64-549</v>
      </c>
      <c r="S1909" t="s">
        <v>12959</v>
      </c>
      <c r="T1909" t="s">
        <v>12959</v>
      </c>
      <c r="U1909">
        <v>3732</v>
      </c>
      <c r="V1909">
        <v>0</v>
      </c>
      <c r="W1909">
        <v>5</v>
      </c>
      <c r="X1909">
        <v>2015</v>
      </c>
      <c r="Z1909">
        <v>1</v>
      </c>
      <c r="AA1909" t="s">
        <v>26</v>
      </c>
      <c r="AB1909">
        <v>0</v>
      </c>
      <c r="AC1909" t="s">
        <v>115</v>
      </c>
      <c r="AD1909">
        <v>3</v>
      </c>
      <c r="AE1909" t="s">
        <v>115</v>
      </c>
      <c r="AF1909">
        <v>0</v>
      </c>
      <c r="AG1909">
        <v>0</v>
      </c>
      <c r="AH1909" t="s">
        <v>116</v>
      </c>
      <c r="AI1909" s="1">
        <v>69371</v>
      </c>
      <c r="AJ1909" s="2">
        <v>0.12</v>
      </c>
      <c r="AK1909" s="1">
        <v>591067</v>
      </c>
      <c r="AL1909" t="s">
        <v>117</v>
      </c>
      <c r="AM1909" t="s">
        <v>1521</v>
      </c>
      <c r="AN1909">
        <v>16963</v>
      </c>
      <c r="AO1909">
        <v>0.39</v>
      </c>
      <c r="AR1909">
        <v>1</v>
      </c>
      <c r="AS1909" s="1">
        <v>45830</v>
      </c>
      <c r="AT1909" s="1">
        <v>9160</v>
      </c>
      <c r="AU1909" s="1">
        <v>36670</v>
      </c>
      <c r="AV1909">
        <v>80.010000000000005</v>
      </c>
      <c r="AX1909" s="1">
        <v>4074.96</v>
      </c>
      <c r="AY1909" t="s">
        <v>560</v>
      </c>
      <c r="AZ1909" t="s">
        <v>561</v>
      </c>
      <c r="BA1909" t="s">
        <v>194</v>
      </c>
      <c r="BE1909" s="3">
        <v>42340</v>
      </c>
      <c r="BF1909" s="1">
        <v>459740</v>
      </c>
      <c r="BG1909" t="s">
        <v>122</v>
      </c>
      <c r="BH1909" s="1">
        <v>123.19</v>
      </c>
      <c r="BI1909" s="1">
        <v>471696</v>
      </c>
      <c r="BJ1909" s="3">
        <v>42460</v>
      </c>
      <c r="BK1909" t="s">
        <v>123</v>
      </c>
      <c r="BL1909" t="str">
        <f>"2016.210562"</f>
        <v>2016.210562</v>
      </c>
      <c r="BM1909" t="s">
        <v>248</v>
      </c>
      <c r="BO1909" t="s">
        <v>12960</v>
      </c>
      <c r="BS1909">
        <v>30</v>
      </c>
      <c r="BT1909" s="1">
        <v>50000</v>
      </c>
      <c r="BU1909" s="3">
        <v>42369</v>
      </c>
      <c r="BV1909" t="s">
        <v>134</v>
      </c>
      <c r="BW1909" t="str">
        <f>"2015.922148"</f>
        <v>2015.922148</v>
      </c>
      <c r="BX1909" t="s">
        <v>198</v>
      </c>
      <c r="BZ1909" t="s">
        <v>12960</v>
      </c>
      <c r="CD1909">
        <v>15</v>
      </c>
      <c r="CH1909" t="str">
        <f>""</f>
        <v/>
      </c>
      <c r="CS1909" t="str">
        <f>""</f>
        <v/>
      </c>
    </row>
    <row r="1910" spans="1:97" x14ac:dyDescent="0.25">
      <c r="A1910" t="s">
        <v>370</v>
      </c>
      <c r="B1910" t="s">
        <v>12961</v>
      </c>
      <c r="C1910" t="s">
        <v>970</v>
      </c>
      <c r="D1910" t="s">
        <v>12961</v>
      </c>
      <c r="E1910" t="s">
        <v>12962</v>
      </c>
      <c r="F1910" t="s">
        <v>282</v>
      </c>
      <c r="H1910" t="s">
        <v>12963</v>
      </c>
      <c r="I1910" t="s">
        <v>203</v>
      </c>
      <c r="J1910" t="s">
        <v>111</v>
      </c>
      <c r="K1910" t="str">
        <f>"85233"</f>
        <v>85233</v>
      </c>
      <c r="L1910" t="s">
        <v>926</v>
      </c>
      <c r="M1910" t="s">
        <v>12964</v>
      </c>
      <c r="N1910" t="s">
        <v>203</v>
      </c>
      <c r="O1910" t="s">
        <v>111</v>
      </c>
      <c r="P1910" t="str">
        <f>"85233-2904"</f>
        <v>85233-2904</v>
      </c>
      <c r="Q1910" t="s">
        <v>113</v>
      </c>
      <c r="R1910" t="str">
        <f>"302-09-339"</f>
        <v>302-09-339</v>
      </c>
      <c r="S1910" t="s">
        <v>12965</v>
      </c>
      <c r="U1910">
        <v>2041</v>
      </c>
      <c r="V1910">
        <v>0</v>
      </c>
      <c r="W1910">
        <v>4</v>
      </c>
      <c r="X1910">
        <v>1995</v>
      </c>
      <c r="Z1910">
        <v>2</v>
      </c>
      <c r="AB1910">
        <v>0</v>
      </c>
      <c r="AC1910" t="s">
        <v>115</v>
      </c>
      <c r="AD1910">
        <v>2</v>
      </c>
      <c r="AE1910" t="s">
        <v>115</v>
      </c>
      <c r="AF1910">
        <v>0</v>
      </c>
      <c r="AG1910">
        <v>0</v>
      </c>
      <c r="AH1910" t="s">
        <v>116</v>
      </c>
      <c r="AI1910" s="1">
        <v>54190</v>
      </c>
      <c r="AJ1910" s="2">
        <v>0.17</v>
      </c>
      <c r="AK1910" s="1">
        <v>326930</v>
      </c>
      <c r="AL1910" t="s">
        <v>117</v>
      </c>
      <c r="AM1910" t="s">
        <v>288</v>
      </c>
      <c r="AN1910">
        <v>5467</v>
      </c>
      <c r="AO1910">
        <v>0.13</v>
      </c>
      <c r="AP1910">
        <v>1</v>
      </c>
      <c r="AR1910">
        <v>1</v>
      </c>
      <c r="AS1910" s="1">
        <v>22360</v>
      </c>
      <c r="AT1910" s="1">
        <v>4470</v>
      </c>
      <c r="AU1910" s="1">
        <v>17890</v>
      </c>
      <c r="AV1910">
        <v>80.010000000000005</v>
      </c>
      <c r="AX1910" s="1">
        <v>1723.78</v>
      </c>
      <c r="AY1910" t="s">
        <v>9989</v>
      </c>
      <c r="AZ1910" t="s">
        <v>5478</v>
      </c>
      <c r="BA1910" t="s">
        <v>5479</v>
      </c>
      <c r="BE1910" s="3">
        <v>42496</v>
      </c>
      <c r="BF1910" s="1">
        <v>267000</v>
      </c>
      <c r="BG1910" t="s">
        <v>12966</v>
      </c>
      <c r="BH1910" s="1">
        <v>130.82</v>
      </c>
      <c r="BI1910" s="1">
        <v>272740</v>
      </c>
      <c r="BJ1910" s="3">
        <v>42496</v>
      </c>
      <c r="BK1910" t="s">
        <v>123</v>
      </c>
      <c r="BL1910" t="str">
        <f>"2016.312426"</f>
        <v>2016.312426</v>
      </c>
      <c r="BM1910" t="s">
        <v>594</v>
      </c>
      <c r="BO1910" t="s">
        <v>12967</v>
      </c>
      <c r="BS1910">
        <v>30</v>
      </c>
      <c r="BW1910" t="str">
        <f>""</f>
        <v/>
      </c>
      <c r="CH1910" t="str">
        <f>""</f>
        <v/>
      </c>
      <c r="CS1910" t="str">
        <f>""</f>
        <v/>
      </c>
    </row>
    <row r="1911" spans="1:97" x14ac:dyDescent="0.25">
      <c r="A1911" t="s">
        <v>12968</v>
      </c>
      <c r="B1911" t="s">
        <v>371</v>
      </c>
      <c r="C1911" t="s">
        <v>2710</v>
      </c>
      <c r="D1911" t="s">
        <v>371</v>
      </c>
      <c r="E1911" t="s">
        <v>12969</v>
      </c>
      <c r="F1911" t="s">
        <v>108</v>
      </c>
      <c r="H1911" t="s">
        <v>12970</v>
      </c>
      <c r="I1911" t="s">
        <v>167</v>
      </c>
      <c r="J1911" t="s">
        <v>111</v>
      </c>
      <c r="K1911" t="str">
        <f>"85339"</f>
        <v>85339</v>
      </c>
      <c r="L1911" t="s">
        <v>3885</v>
      </c>
      <c r="M1911" t="s">
        <v>12970</v>
      </c>
      <c r="N1911" t="s">
        <v>167</v>
      </c>
      <c r="O1911" t="s">
        <v>111</v>
      </c>
      <c r="P1911" t="str">
        <f>"85339-7733"</f>
        <v>85339-7733</v>
      </c>
      <c r="Q1911" t="s">
        <v>113</v>
      </c>
      <c r="R1911" t="str">
        <f>"300-10-234"</f>
        <v>300-10-234</v>
      </c>
      <c r="S1911" t="s">
        <v>12928</v>
      </c>
      <c r="T1911" t="s">
        <v>12928</v>
      </c>
      <c r="U1911">
        <v>2948</v>
      </c>
      <c r="V1911">
        <v>0</v>
      </c>
      <c r="W1911">
        <v>4</v>
      </c>
      <c r="X1911">
        <v>2005</v>
      </c>
      <c r="Z1911">
        <v>2</v>
      </c>
      <c r="AA1911" t="s">
        <v>26</v>
      </c>
      <c r="AB1911">
        <v>0</v>
      </c>
      <c r="AC1911" t="s">
        <v>115</v>
      </c>
      <c r="AD1911">
        <v>3</v>
      </c>
      <c r="AE1911" t="s">
        <v>115</v>
      </c>
      <c r="AF1911">
        <v>0</v>
      </c>
      <c r="AG1911">
        <v>0</v>
      </c>
      <c r="AH1911" t="s">
        <v>116</v>
      </c>
      <c r="AI1911" s="1">
        <v>31595</v>
      </c>
      <c r="AJ1911" s="2">
        <v>0.1</v>
      </c>
      <c r="AK1911" s="1">
        <v>324845</v>
      </c>
      <c r="AL1911" t="s">
        <v>117</v>
      </c>
      <c r="AM1911" t="s">
        <v>1302</v>
      </c>
      <c r="AN1911">
        <v>13572</v>
      </c>
      <c r="AO1911">
        <v>0.31</v>
      </c>
      <c r="AR1911">
        <v>1</v>
      </c>
      <c r="AS1911" s="1">
        <v>27480</v>
      </c>
      <c r="AT1911" s="1">
        <v>5490</v>
      </c>
      <c r="AU1911" s="1">
        <v>21990</v>
      </c>
      <c r="AV1911">
        <v>80.02</v>
      </c>
      <c r="AX1911" s="1">
        <v>3800.48</v>
      </c>
      <c r="AY1911" t="s">
        <v>806</v>
      </c>
      <c r="AZ1911" t="s">
        <v>806</v>
      </c>
      <c r="BA1911" t="s">
        <v>173</v>
      </c>
      <c r="BE1911" s="3">
        <v>42250</v>
      </c>
      <c r="BF1911" s="1">
        <v>293250</v>
      </c>
      <c r="BG1911" t="s">
        <v>12971</v>
      </c>
      <c r="BH1911" s="1">
        <v>99.47</v>
      </c>
      <c r="BI1911" s="1">
        <v>293250</v>
      </c>
      <c r="BJ1911" s="3">
        <v>42250</v>
      </c>
      <c r="BK1911" t="s">
        <v>123</v>
      </c>
      <c r="BL1911" t="str">
        <f>"2015.642983"</f>
        <v>2015.642983</v>
      </c>
      <c r="BM1911" t="s">
        <v>1033</v>
      </c>
      <c r="BO1911" t="s">
        <v>12972</v>
      </c>
      <c r="BS1911">
        <v>30</v>
      </c>
      <c r="BW1911" t="str">
        <f>""</f>
        <v/>
      </c>
      <c r="CH1911" t="str">
        <f>""</f>
        <v/>
      </c>
      <c r="CS1911" t="str">
        <f>""</f>
        <v/>
      </c>
    </row>
    <row r="1912" spans="1:97" x14ac:dyDescent="0.25">
      <c r="A1912" t="s">
        <v>589</v>
      </c>
      <c r="B1912" t="s">
        <v>12973</v>
      </c>
      <c r="C1912" t="s">
        <v>1857</v>
      </c>
      <c r="D1912" t="s">
        <v>12973</v>
      </c>
      <c r="E1912" t="s">
        <v>12974</v>
      </c>
      <c r="F1912" t="s">
        <v>108</v>
      </c>
      <c r="H1912" t="s">
        <v>12975</v>
      </c>
      <c r="I1912" t="s">
        <v>390</v>
      </c>
      <c r="J1912" t="s">
        <v>111</v>
      </c>
      <c r="K1912" t="str">
        <f>"85028"</f>
        <v>85028</v>
      </c>
      <c r="L1912" t="s">
        <v>6541</v>
      </c>
      <c r="M1912" t="s">
        <v>12975</v>
      </c>
      <c r="N1912" t="s">
        <v>390</v>
      </c>
      <c r="O1912" t="s">
        <v>111</v>
      </c>
      <c r="P1912" t="str">
        <f>"85028-2527"</f>
        <v>85028-2527</v>
      </c>
      <c r="Q1912" t="s">
        <v>113</v>
      </c>
      <c r="R1912" t="str">
        <f>"166-30-148"</f>
        <v>166-30-148</v>
      </c>
      <c r="S1912" t="s">
        <v>12976</v>
      </c>
      <c r="T1912" t="s">
        <v>12976</v>
      </c>
      <c r="U1912">
        <v>2303</v>
      </c>
      <c r="V1912">
        <v>0</v>
      </c>
      <c r="W1912">
        <v>2</v>
      </c>
      <c r="X1912">
        <v>1972</v>
      </c>
      <c r="Z1912">
        <v>1</v>
      </c>
      <c r="AA1912" t="s">
        <v>26</v>
      </c>
      <c r="AB1912">
        <v>0</v>
      </c>
      <c r="AC1912" t="s">
        <v>115</v>
      </c>
      <c r="AD1912">
        <v>2</v>
      </c>
      <c r="AE1912" t="s">
        <v>115</v>
      </c>
      <c r="AF1912">
        <v>0</v>
      </c>
      <c r="AG1912">
        <v>0</v>
      </c>
      <c r="AH1912" t="s">
        <v>116</v>
      </c>
      <c r="AI1912" s="1">
        <v>135606</v>
      </c>
      <c r="AJ1912" s="2">
        <v>0.3</v>
      </c>
      <c r="AK1912" s="1">
        <v>452737</v>
      </c>
      <c r="AL1912" t="s">
        <v>117</v>
      </c>
      <c r="AM1912" t="s">
        <v>1302</v>
      </c>
      <c r="AN1912">
        <v>14039</v>
      </c>
      <c r="AO1912">
        <v>0.32</v>
      </c>
      <c r="AP1912">
        <v>1</v>
      </c>
      <c r="AR1912">
        <v>1</v>
      </c>
      <c r="AS1912" s="1">
        <v>32100</v>
      </c>
      <c r="AT1912" s="1">
        <v>6420</v>
      </c>
      <c r="AU1912" s="1">
        <v>25680</v>
      </c>
      <c r="AV1912">
        <v>80</v>
      </c>
      <c r="AX1912" s="1">
        <v>2677.6</v>
      </c>
      <c r="AY1912" t="s">
        <v>5488</v>
      </c>
      <c r="AZ1912" t="s">
        <v>5489</v>
      </c>
      <c r="BA1912" t="s">
        <v>5232</v>
      </c>
      <c r="BE1912" s="3">
        <v>41936</v>
      </c>
      <c r="BF1912" s="1">
        <v>317000</v>
      </c>
      <c r="BG1912" t="s">
        <v>12977</v>
      </c>
      <c r="BH1912" s="1">
        <v>137.65</v>
      </c>
      <c r="BI1912" s="1">
        <v>317131</v>
      </c>
      <c r="BJ1912" s="3">
        <v>41936</v>
      </c>
      <c r="BK1912" t="s">
        <v>123</v>
      </c>
      <c r="BL1912" t="str">
        <f>"2014.707419"</f>
        <v>2014.707419</v>
      </c>
      <c r="BM1912" t="s">
        <v>724</v>
      </c>
      <c r="BO1912" t="s">
        <v>12978</v>
      </c>
      <c r="BS1912">
        <v>30</v>
      </c>
      <c r="BW1912" t="str">
        <f>""</f>
        <v/>
      </c>
      <c r="CH1912" t="str">
        <f>""</f>
        <v/>
      </c>
      <c r="CS1912" t="str">
        <f>""</f>
        <v/>
      </c>
    </row>
    <row r="1913" spans="1:97" x14ac:dyDescent="0.25">
      <c r="A1913" t="s">
        <v>152</v>
      </c>
      <c r="B1913" t="s">
        <v>12979</v>
      </c>
      <c r="C1913" t="s">
        <v>12980</v>
      </c>
      <c r="D1913" t="s">
        <v>12979</v>
      </c>
      <c r="E1913" t="s">
        <v>12981</v>
      </c>
      <c r="F1913" t="s">
        <v>108</v>
      </c>
      <c r="H1913" t="s">
        <v>12982</v>
      </c>
      <c r="I1913" t="s">
        <v>390</v>
      </c>
      <c r="J1913" t="s">
        <v>111</v>
      </c>
      <c r="K1913" t="str">
        <f>"85041"</f>
        <v>85041</v>
      </c>
      <c r="L1913" t="s">
        <v>5709</v>
      </c>
      <c r="M1913" t="s">
        <v>12982</v>
      </c>
      <c r="N1913" t="s">
        <v>390</v>
      </c>
      <c r="O1913" t="s">
        <v>111</v>
      </c>
      <c r="P1913" t="str">
        <f>"85041-4969"</f>
        <v>85041-4969</v>
      </c>
      <c r="Q1913" t="s">
        <v>113</v>
      </c>
      <c r="R1913" t="str">
        <f>"105-90-341"</f>
        <v>105-90-341</v>
      </c>
      <c r="S1913" t="s">
        <v>12983</v>
      </c>
      <c r="T1913" t="s">
        <v>12983</v>
      </c>
      <c r="U1913">
        <v>3370</v>
      </c>
      <c r="V1913">
        <v>0</v>
      </c>
      <c r="W1913">
        <v>4</v>
      </c>
      <c r="X1913">
        <v>2005</v>
      </c>
      <c r="Z1913">
        <v>2</v>
      </c>
      <c r="AA1913" t="s">
        <v>26</v>
      </c>
      <c r="AB1913">
        <v>0</v>
      </c>
      <c r="AC1913" t="s">
        <v>115</v>
      </c>
      <c r="AD1913">
        <v>2</v>
      </c>
      <c r="AE1913" t="s">
        <v>115</v>
      </c>
      <c r="AF1913">
        <v>0</v>
      </c>
      <c r="AG1913">
        <v>0</v>
      </c>
      <c r="AH1913" t="s">
        <v>116</v>
      </c>
      <c r="AI1913" s="1">
        <v>63988</v>
      </c>
      <c r="AJ1913" s="2">
        <v>0.18</v>
      </c>
      <c r="AK1913" s="1">
        <v>348038</v>
      </c>
      <c r="AL1913" t="s">
        <v>117</v>
      </c>
      <c r="AM1913" t="s">
        <v>171</v>
      </c>
      <c r="AN1913">
        <v>6050</v>
      </c>
      <c r="AO1913">
        <v>0.14000000000000001</v>
      </c>
      <c r="AR1913">
        <v>1</v>
      </c>
      <c r="AS1913" s="1">
        <v>24510</v>
      </c>
      <c r="AT1913" s="1">
        <v>4900</v>
      </c>
      <c r="AU1913" s="1">
        <v>19610</v>
      </c>
      <c r="AV1913">
        <v>80.010000000000005</v>
      </c>
      <c r="AX1913" s="1">
        <v>3086.02</v>
      </c>
      <c r="AY1913" t="s">
        <v>12984</v>
      </c>
      <c r="AZ1913" t="s">
        <v>12984</v>
      </c>
      <c r="BA1913" t="s">
        <v>1661</v>
      </c>
      <c r="BE1913" s="3">
        <v>42549</v>
      </c>
      <c r="BF1913" s="1">
        <v>275000</v>
      </c>
      <c r="BG1913" t="s">
        <v>12985</v>
      </c>
      <c r="BH1913" s="1">
        <v>81.599999999999994</v>
      </c>
      <c r="BI1913" s="1">
        <v>284050</v>
      </c>
      <c r="BJ1913" s="3">
        <v>42549</v>
      </c>
      <c r="BK1913" t="s">
        <v>123</v>
      </c>
      <c r="BL1913" t="str">
        <f>"2016.453503"</f>
        <v>2016.453503</v>
      </c>
      <c r="BM1913" t="s">
        <v>7531</v>
      </c>
      <c r="BO1913" t="s">
        <v>12986</v>
      </c>
      <c r="BS1913">
        <v>30</v>
      </c>
      <c r="BW1913" t="str">
        <f>""</f>
        <v/>
      </c>
      <c r="CH1913" t="str">
        <f>""</f>
        <v/>
      </c>
      <c r="CS1913" t="str">
        <f>""</f>
        <v/>
      </c>
    </row>
    <row r="1914" spans="1:97" x14ac:dyDescent="0.25">
      <c r="A1914" t="s">
        <v>589</v>
      </c>
      <c r="B1914" t="s">
        <v>12987</v>
      </c>
      <c r="C1914" t="s">
        <v>1252</v>
      </c>
      <c r="D1914" t="s">
        <v>12987</v>
      </c>
      <c r="E1914" t="s">
        <v>12988</v>
      </c>
      <c r="F1914" t="s">
        <v>108</v>
      </c>
      <c r="H1914" t="s">
        <v>12989</v>
      </c>
      <c r="I1914" t="s">
        <v>188</v>
      </c>
      <c r="J1914" t="s">
        <v>111</v>
      </c>
      <c r="K1914" t="str">
        <f>"85142"</f>
        <v>85142</v>
      </c>
      <c r="L1914" t="s">
        <v>11339</v>
      </c>
      <c r="M1914" t="s">
        <v>12989</v>
      </c>
      <c r="N1914" t="s">
        <v>188</v>
      </c>
      <c r="O1914" t="s">
        <v>111</v>
      </c>
      <c r="P1914" t="str">
        <f>"85142-4585"</f>
        <v>85142-4585</v>
      </c>
      <c r="Q1914" t="s">
        <v>113</v>
      </c>
      <c r="R1914" t="str">
        <f>"304-64-328"</f>
        <v>304-64-328</v>
      </c>
      <c r="S1914" t="s">
        <v>12600</v>
      </c>
      <c r="T1914" t="s">
        <v>12600</v>
      </c>
      <c r="U1914">
        <v>2736</v>
      </c>
      <c r="V1914">
        <v>0</v>
      </c>
      <c r="W1914">
        <v>4</v>
      </c>
      <c r="X1914">
        <v>2014</v>
      </c>
      <c r="Z1914">
        <v>2</v>
      </c>
      <c r="AA1914" t="s">
        <v>26</v>
      </c>
      <c r="AB1914">
        <v>0</v>
      </c>
      <c r="AC1914" t="s">
        <v>115</v>
      </c>
      <c r="AD1914">
        <v>4</v>
      </c>
      <c r="AE1914" t="s">
        <v>115</v>
      </c>
      <c r="AF1914">
        <v>0</v>
      </c>
      <c r="AG1914">
        <v>0</v>
      </c>
      <c r="AH1914" t="s">
        <v>116</v>
      </c>
      <c r="AI1914" s="1">
        <v>61799</v>
      </c>
      <c r="AJ1914" s="2">
        <v>0.14000000000000001</v>
      </c>
      <c r="AK1914" s="1">
        <v>455833</v>
      </c>
      <c r="AL1914" t="s">
        <v>117</v>
      </c>
      <c r="AM1914" t="s">
        <v>5791</v>
      </c>
      <c r="AN1914">
        <v>12240</v>
      </c>
      <c r="AO1914">
        <v>0.28000000000000003</v>
      </c>
      <c r="AR1914">
        <v>1</v>
      </c>
      <c r="AS1914" s="1">
        <v>34660</v>
      </c>
      <c r="AT1914" s="1">
        <v>6930</v>
      </c>
      <c r="AU1914" s="1">
        <v>27730</v>
      </c>
      <c r="AV1914">
        <v>80.010000000000005</v>
      </c>
      <c r="AX1914" s="1">
        <v>3222.2</v>
      </c>
      <c r="AY1914" t="s">
        <v>560</v>
      </c>
      <c r="AZ1914" t="s">
        <v>561</v>
      </c>
      <c r="BA1914" t="s">
        <v>194</v>
      </c>
      <c r="BE1914" s="3">
        <v>42152</v>
      </c>
      <c r="BF1914" s="1">
        <v>364990</v>
      </c>
      <c r="BG1914" t="s">
        <v>158</v>
      </c>
      <c r="BH1914" s="1">
        <v>133.4</v>
      </c>
      <c r="BI1914" s="1">
        <v>377034</v>
      </c>
      <c r="BJ1914" s="3">
        <v>42152</v>
      </c>
      <c r="BK1914" t="s">
        <v>123</v>
      </c>
      <c r="BL1914" t="str">
        <f>"2015.377286"</f>
        <v>2015.377286</v>
      </c>
      <c r="BM1914" t="s">
        <v>241</v>
      </c>
      <c r="BO1914" t="s">
        <v>12990</v>
      </c>
      <c r="BS1914">
        <v>30</v>
      </c>
      <c r="BT1914" s="1">
        <v>17000</v>
      </c>
      <c r="BU1914" s="3">
        <v>42192</v>
      </c>
      <c r="BV1914" t="s">
        <v>134</v>
      </c>
      <c r="BW1914" t="str">
        <f>"2015.486389"</f>
        <v>2015.486389</v>
      </c>
      <c r="BX1914" t="s">
        <v>369</v>
      </c>
      <c r="BZ1914" t="s">
        <v>12991</v>
      </c>
      <c r="CD1914">
        <v>15</v>
      </c>
      <c r="CH1914" t="str">
        <f>""</f>
        <v/>
      </c>
      <c r="CS1914" t="str">
        <f>""</f>
        <v/>
      </c>
    </row>
    <row r="1915" spans="1:97" x14ac:dyDescent="0.25">
      <c r="A1915" t="s">
        <v>183</v>
      </c>
      <c r="B1915" t="s">
        <v>12992</v>
      </c>
      <c r="C1915" t="s">
        <v>524</v>
      </c>
      <c r="D1915" t="s">
        <v>12992</v>
      </c>
      <c r="E1915" t="s">
        <v>12993</v>
      </c>
      <c r="F1915" t="s">
        <v>108</v>
      </c>
      <c r="H1915" t="s">
        <v>12994</v>
      </c>
      <c r="I1915" t="s">
        <v>453</v>
      </c>
      <c r="J1915" t="s">
        <v>111</v>
      </c>
      <c r="K1915" t="str">
        <f>"85383"</f>
        <v>85383</v>
      </c>
      <c r="L1915" t="s">
        <v>3225</v>
      </c>
      <c r="M1915" t="s">
        <v>12994</v>
      </c>
      <c r="N1915" t="s">
        <v>453</v>
      </c>
      <c r="O1915" t="s">
        <v>111</v>
      </c>
      <c r="P1915" t="str">
        <f>"85383-5857"</f>
        <v>85383-5857</v>
      </c>
      <c r="Q1915" t="s">
        <v>113</v>
      </c>
      <c r="R1915" t="str">
        <f>"503-66-565"</f>
        <v>503-66-565</v>
      </c>
      <c r="S1915" t="s">
        <v>9145</v>
      </c>
      <c r="T1915" t="s">
        <v>7704</v>
      </c>
      <c r="U1915">
        <v>1888</v>
      </c>
      <c r="V1915">
        <v>0</v>
      </c>
      <c r="W1915">
        <v>4</v>
      </c>
      <c r="X1915">
        <v>2013</v>
      </c>
      <c r="Z1915">
        <v>1</v>
      </c>
      <c r="AB1915">
        <v>0</v>
      </c>
      <c r="AC1915" t="s">
        <v>115</v>
      </c>
      <c r="AD1915">
        <v>2</v>
      </c>
      <c r="AE1915" t="s">
        <v>115</v>
      </c>
      <c r="AF1915">
        <v>0</v>
      </c>
      <c r="AG1915">
        <v>0</v>
      </c>
      <c r="AH1915" t="s">
        <v>116</v>
      </c>
      <c r="AI1915" s="1">
        <v>92710</v>
      </c>
      <c r="AJ1915" s="2">
        <v>0.31</v>
      </c>
      <c r="AK1915" s="1">
        <v>299053</v>
      </c>
      <c r="AL1915" t="s">
        <v>117</v>
      </c>
      <c r="AM1915" t="s">
        <v>191</v>
      </c>
      <c r="AN1915">
        <v>4950</v>
      </c>
      <c r="AO1915">
        <v>0.11</v>
      </c>
      <c r="AR1915">
        <v>1</v>
      </c>
      <c r="AS1915" s="1">
        <v>21180</v>
      </c>
      <c r="AT1915" s="1">
        <v>4230</v>
      </c>
      <c r="AU1915" s="1">
        <v>16950</v>
      </c>
      <c r="AV1915">
        <v>80.03</v>
      </c>
      <c r="AX1915" s="1">
        <v>1837.56</v>
      </c>
      <c r="AY1915" t="s">
        <v>456</v>
      </c>
      <c r="AZ1915" t="s">
        <v>456</v>
      </c>
      <c r="BA1915" t="s">
        <v>457</v>
      </c>
      <c r="BE1915" s="3">
        <v>41750</v>
      </c>
      <c r="BF1915" s="1">
        <v>224209</v>
      </c>
      <c r="BG1915" t="s">
        <v>749</v>
      </c>
      <c r="BH1915" s="1">
        <v>118.75</v>
      </c>
      <c r="BI1915" s="1">
        <v>206343</v>
      </c>
      <c r="BJ1915" s="3">
        <v>42552</v>
      </c>
      <c r="BK1915" t="s">
        <v>123</v>
      </c>
      <c r="BL1915" t="str">
        <f>"2016.464853"</f>
        <v>2016.464853</v>
      </c>
      <c r="BM1915" t="s">
        <v>911</v>
      </c>
      <c r="BO1915" t="s">
        <v>12995</v>
      </c>
      <c r="BS1915">
        <v>30</v>
      </c>
      <c r="BW1915" t="str">
        <f>""</f>
        <v/>
      </c>
      <c r="CH1915" t="str">
        <f>""</f>
        <v/>
      </c>
      <c r="CS1915" t="str">
        <f>""</f>
        <v/>
      </c>
    </row>
    <row r="1916" spans="1:97" x14ac:dyDescent="0.25">
      <c r="A1916" t="s">
        <v>370</v>
      </c>
      <c r="B1916" t="s">
        <v>12996</v>
      </c>
      <c r="C1916" t="s">
        <v>2930</v>
      </c>
      <c r="D1916" t="s">
        <v>12996</v>
      </c>
      <c r="E1916" t="s">
        <v>12997</v>
      </c>
      <c r="F1916" t="s">
        <v>108</v>
      </c>
      <c r="H1916" t="s">
        <v>12998</v>
      </c>
      <c r="I1916" t="s">
        <v>203</v>
      </c>
      <c r="J1916" t="s">
        <v>111</v>
      </c>
      <c r="K1916" t="str">
        <f>"85295"</f>
        <v>85295</v>
      </c>
      <c r="L1916" t="s">
        <v>7109</v>
      </c>
      <c r="M1916" t="s">
        <v>12998</v>
      </c>
      <c r="N1916" t="s">
        <v>203</v>
      </c>
      <c r="O1916" t="s">
        <v>111</v>
      </c>
      <c r="P1916" t="str">
        <f>"85295-1703"</f>
        <v>85295-1703</v>
      </c>
      <c r="Q1916" t="s">
        <v>113</v>
      </c>
      <c r="R1916" t="str">
        <f>"304-45-220"</f>
        <v>304-45-220</v>
      </c>
      <c r="S1916" t="s">
        <v>12999</v>
      </c>
      <c r="T1916" t="s">
        <v>13000</v>
      </c>
      <c r="U1916">
        <v>3067</v>
      </c>
      <c r="V1916">
        <v>0</v>
      </c>
      <c r="W1916">
        <v>4</v>
      </c>
      <c r="X1916">
        <v>2004</v>
      </c>
      <c r="Z1916">
        <v>2</v>
      </c>
      <c r="AA1916" t="s">
        <v>26</v>
      </c>
      <c r="AB1916">
        <v>0</v>
      </c>
      <c r="AC1916" t="s">
        <v>115</v>
      </c>
      <c r="AD1916">
        <v>3</v>
      </c>
      <c r="AE1916" t="s">
        <v>115</v>
      </c>
      <c r="AF1916">
        <v>0</v>
      </c>
      <c r="AG1916">
        <v>0</v>
      </c>
      <c r="AH1916" t="s">
        <v>116</v>
      </c>
      <c r="AI1916" s="1">
        <v>82065</v>
      </c>
      <c r="AJ1916" s="2">
        <v>0.17</v>
      </c>
      <c r="AK1916" s="1">
        <v>476671</v>
      </c>
      <c r="AL1916" t="s">
        <v>117</v>
      </c>
      <c r="AM1916" t="s">
        <v>191</v>
      </c>
      <c r="AN1916">
        <v>7991</v>
      </c>
      <c r="AO1916">
        <v>0.18</v>
      </c>
      <c r="AP1916">
        <v>1</v>
      </c>
      <c r="AR1916">
        <v>1</v>
      </c>
      <c r="AS1916" s="1">
        <v>33930</v>
      </c>
      <c r="AT1916" s="1">
        <v>6780</v>
      </c>
      <c r="AU1916" s="1">
        <v>27150</v>
      </c>
      <c r="AV1916">
        <v>80.02</v>
      </c>
      <c r="AX1916" s="1">
        <v>2719.34</v>
      </c>
      <c r="AY1916" t="s">
        <v>1818</v>
      </c>
      <c r="AZ1916" t="s">
        <v>207</v>
      </c>
      <c r="BA1916" t="s">
        <v>208</v>
      </c>
      <c r="BE1916" s="3">
        <v>41985</v>
      </c>
      <c r="BF1916" s="1">
        <v>382000</v>
      </c>
      <c r="BG1916" t="s">
        <v>13001</v>
      </c>
      <c r="BH1916" s="1">
        <v>124.55</v>
      </c>
      <c r="BI1916" s="1">
        <v>394606</v>
      </c>
      <c r="BJ1916" s="3">
        <v>41985</v>
      </c>
      <c r="BK1916" t="s">
        <v>123</v>
      </c>
      <c r="BL1916" t="str">
        <f>"2014.817220"</f>
        <v>2014.817220</v>
      </c>
      <c r="BM1916" t="s">
        <v>2051</v>
      </c>
      <c r="BO1916" t="s">
        <v>13002</v>
      </c>
      <c r="BS1916">
        <v>30</v>
      </c>
      <c r="BW1916" t="str">
        <f>""</f>
        <v/>
      </c>
      <c r="CH1916" t="str">
        <f>""</f>
        <v/>
      </c>
      <c r="CS1916" t="str">
        <f>""</f>
        <v/>
      </c>
    </row>
    <row r="1917" spans="1:97" x14ac:dyDescent="0.25">
      <c r="A1917" t="s">
        <v>11648</v>
      </c>
      <c r="B1917" t="s">
        <v>1552</v>
      </c>
      <c r="C1917" t="s">
        <v>976</v>
      </c>
      <c r="D1917" t="s">
        <v>1552</v>
      </c>
      <c r="E1917" t="s">
        <v>13003</v>
      </c>
      <c r="F1917" t="s">
        <v>108</v>
      </c>
      <c r="H1917" t="s">
        <v>13004</v>
      </c>
      <c r="I1917" t="s">
        <v>5387</v>
      </c>
      <c r="J1917" t="s">
        <v>111</v>
      </c>
      <c r="K1917" t="str">
        <f>"85283"</f>
        <v>85283</v>
      </c>
      <c r="L1917" t="s">
        <v>6460</v>
      </c>
      <c r="M1917" t="s">
        <v>13004</v>
      </c>
      <c r="N1917" t="s">
        <v>5387</v>
      </c>
      <c r="O1917" t="s">
        <v>111</v>
      </c>
      <c r="P1917" t="str">
        <f>"85283-3927"</f>
        <v>85283-3927</v>
      </c>
      <c r="Q1917" t="s">
        <v>113</v>
      </c>
      <c r="R1917" t="str">
        <f>"301-48-824"</f>
        <v>301-48-824</v>
      </c>
      <c r="S1917" t="s">
        <v>13005</v>
      </c>
      <c r="T1917" t="s">
        <v>13006</v>
      </c>
      <c r="U1917">
        <v>2146</v>
      </c>
      <c r="V1917">
        <v>0</v>
      </c>
      <c r="W1917">
        <v>3</v>
      </c>
      <c r="X1917">
        <v>1979</v>
      </c>
      <c r="Z1917">
        <v>1</v>
      </c>
      <c r="AA1917" t="s">
        <v>26</v>
      </c>
      <c r="AB1917">
        <v>0</v>
      </c>
      <c r="AC1917" t="s">
        <v>115</v>
      </c>
      <c r="AD1917">
        <v>3</v>
      </c>
      <c r="AE1917" t="s">
        <v>115</v>
      </c>
      <c r="AF1917">
        <v>0</v>
      </c>
      <c r="AG1917">
        <v>0</v>
      </c>
      <c r="AH1917" t="s">
        <v>116</v>
      </c>
      <c r="AI1917" s="1">
        <v>53039</v>
      </c>
      <c r="AJ1917" s="2">
        <v>0.14000000000000001</v>
      </c>
      <c r="AK1917" s="1">
        <v>373269</v>
      </c>
      <c r="AL1917" t="s">
        <v>117</v>
      </c>
      <c r="AM1917" t="s">
        <v>191</v>
      </c>
      <c r="AN1917">
        <v>7958</v>
      </c>
      <c r="AO1917">
        <v>0.18</v>
      </c>
      <c r="AP1917">
        <v>1</v>
      </c>
      <c r="AR1917">
        <v>1</v>
      </c>
      <c r="AS1917" s="1">
        <v>26810</v>
      </c>
      <c r="AT1917" s="1">
        <v>5360</v>
      </c>
      <c r="AU1917" s="1">
        <v>21450</v>
      </c>
      <c r="AV1917">
        <v>80.010000000000005</v>
      </c>
      <c r="AX1917" s="1">
        <v>2417.7399999999998</v>
      </c>
      <c r="AY1917" t="s">
        <v>5390</v>
      </c>
      <c r="AZ1917" t="s">
        <v>5391</v>
      </c>
      <c r="BA1917" t="s">
        <v>5392</v>
      </c>
      <c r="BE1917" s="3">
        <v>42492</v>
      </c>
      <c r="BF1917" s="1">
        <v>310000</v>
      </c>
      <c r="BG1917" t="s">
        <v>13007</v>
      </c>
      <c r="BH1917" s="1">
        <v>144.44999999999999</v>
      </c>
      <c r="BI1917" s="1">
        <v>320230</v>
      </c>
      <c r="BJ1917" s="3">
        <v>42492</v>
      </c>
      <c r="BK1917" t="s">
        <v>123</v>
      </c>
      <c r="BL1917" t="str">
        <f>"2016.297990"</f>
        <v>2016.297990</v>
      </c>
      <c r="BM1917" t="s">
        <v>3562</v>
      </c>
      <c r="BO1917" t="s">
        <v>13008</v>
      </c>
      <c r="BS1917">
        <v>30</v>
      </c>
      <c r="BW1917" t="str">
        <f>""</f>
        <v/>
      </c>
      <c r="CH1917" t="str">
        <f>""</f>
        <v/>
      </c>
      <c r="CS1917" t="str">
        <f>""</f>
        <v/>
      </c>
    </row>
    <row r="1918" spans="1:97" x14ac:dyDescent="0.25">
      <c r="A1918" t="s">
        <v>565</v>
      </c>
      <c r="B1918" t="s">
        <v>767</v>
      </c>
      <c r="C1918" t="s">
        <v>1821</v>
      </c>
      <c r="D1918" t="s">
        <v>767</v>
      </c>
      <c r="E1918" t="s">
        <v>13009</v>
      </c>
      <c r="F1918" t="s">
        <v>108</v>
      </c>
      <c r="H1918" t="s">
        <v>13010</v>
      </c>
      <c r="I1918" t="s">
        <v>499</v>
      </c>
      <c r="J1918" t="s">
        <v>111</v>
      </c>
      <c r="K1918" t="str">
        <f>"85395"</f>
        <v>85395</v>
      </c>
      <c r="L1918" t="s">
        <v>3885</v>
      </c>
      <c r="M1918" t="s">
        <v>13010</v>
      </c>
      <c r="N1918" t="s">
        <v>499</v>
      </c>
      <c r="O1918" t="s">
        <v>111</v>
      </c>
      <c r="P1918" t="str">
        <f>"85395-1490"</f>
        <v>85395-1490</v>
      </c>
      <c r="Q1918" t="s">
        <v>113</v>
      </c>
      <c r="R1918" t="str">
        <f>"501-76-644"</f>
        <v>501-76-644</v>
      </c>
      <c r="S1918" t="s">
        <v>10516</v>
      </c>
      <c r="T1918" t="s">
        <v>10517</v>
      </c>
      <c r="U1918">
        <v>4122</v>
      </c>
      <c r="V1918">
        <v>0</v>
      </c>
      <c r="W1918">
        <v>4</v>
      </c>
      <c r="X1918">
        <v>2004</v>
      </c>
      <c r="Z1918">
        <v>2</v>
      </c>
      <c r="AB1918">
        <v>0</v>
      </c>
      <c r="AC1918" t="s">
        <v>115</v>
      </c>
      <c r="AD1918">
        <v>3</v>
      </c>
      <c r="AE1918" t="s">
        <v>115</v>
      </c>
      <c r="AF1918">
        <v>0</v>
      </c>
      <c r="AG1918">
        <v>0</v>
      </c>
      <c r="AH1918" t="s">
        <v>116</v>
      </c>
      <c r="AI1918" s="1">
        <v>67248</v>
      </c>
      <c r="AJ1918" s="2">
        <v>0.15</v>
      </c>
      <c r="AK1918" s="1">
        <v>439510</v>
      </c>
      <c r="AL1918" t="s">
        <v>117</v>
      </c>
      <c r="AM1918" t="s">
        <v>118</v>
      </c>
      <c r="AN1918">
        <v>9800</v>
      </c>
      <c r="AO1918">
        <v>0.22</v>
      </c>
      <c r="AP1918">
        <v>1</v>
      </c>
      <c r="AR1918">
        <v>1</v>
      </c>
      <c r="AS1918" s="1">
        <v>30850</v>
      </c>
      <c r="AT1918" s="1">
        <v>6170</v>
      </c>
      <c r="AU1918" s="1">
        <v>24680</v>
      </c>
      <c r="AV1918">
        <v>80</v>
      </c>
      <c r="AX1918" s="1">
        <v>3585.66</v>
      </c>
      <c r="AY1918" t="s">
        <v>3020</v>
      </c>
      <c r="AZ1918" t="s">
        <v>3020</v>
      </c>
      <c r="BA1918" t="s">
        <v>7186</v>
      </c>
      <c r="BE1918" s="3">
        <v>41814</v>
      </c>
      <c r="BF1918" s="1">
        <v>352000</v>
      </c>
      <c r="BG1918" t="s">
        <v>13011</v>
      </c>
      <c r="BH1918" s="1">
        <v>85.4</v>
      </c>
      <c r="BI1918" s="1">
        <v>372262</v>
      </c>
      <c r="BJ1918" s="3">
        <v>41969</v>
      </c>
      <c r="BK1918" t="s">
        <v>123</v>
      </c>
      <c r="BL1918" t="str">
        <f>"2014.785721"</f>
        <v>2014.785721</v>
      </c>
      <c r="BM1918" t="s">
        <v>544</v>
      </c>
      <c r="BO1918" t="s">
        <v>13012</v>
      </c>
      <c r="BS1918">
        <v>30</v>
      </c>
      <c r="BW1918" t="str">
        <f>""</f>
        <v/>
      </c>
      <c r="CH1918" t="str">
        <f>""</f>
        <v/>
      </c>
      <c r="CS1918" t="str">
        <f>""</f>
        <v/>
      </c>
    </row>
    <row r="1919" spans="1:97" x14ac:dyDescent="0.25">
      <c r="A1919" t="s">
        <v>1938</v>
      </c>
      <c r="B1919" t="s">
        <v>13013</v>
      </c>
      <c r="E1919" t="s">
        <v>13014</v>
      </c>
      <c r="F1919" t="s">
        <v>108</v>
      </c>
      <c r="H1919" t="s">
        <v>13015</v>
      </c>
      <c r="I1919" t="s">
        <v>390</v>
      </c>
      <c r="J1919" t="s">
        <v>111</v>
      </c>
      <c r="K1919" t="str">
        <f>"85083"</f>
        <v>85083</v>
      </c>
      <c r="L1919" t="s">
        <v>5743</v>
      </c>
      <c r="M1919" t="s">
        <v>13015</v>
      </c>
      <c r="N1919" t="s">
        <v>390</v>
      </c>
      <c r="O1919" t="s">
        <v>111</v>
      </c>
      <c r="P1919" t="str">
        <f>"85083-4435"</f>
        <v>85083-4435</v>
      </c>
      <c r="Q1919" t="s">
        <v>113</v>
      </c>
      <c r="R1919" t="str">
        <f>"201-38-678"</f>
        <v>201-38-678</v>
      </c>
      <c r="S1919" t="s">
        <v>7771</v>
      </c>
      <c r="U1919">
        <v>3153</v>
      </c>
      <c r="V1919">
        <v>0</v>
      </c>
      <c r="W1919">
        <v>4</v>
      </c>
      <c r="X1919">
        <v>2005</v>
      </c>
      <c r="Z1919">
        <v>2</v>
      </c>
      <c r="AB1919">
        <v>0</v>
      </c>
      <c r="AC1919" t="s">
        <v>115</v>
      </c>
      <c r="AD1919">
        <v>3</v>
      </c>
      <c r="AE1919" t="s">
        <v>115</v>
      </c>
      <c r="AF1919">
        <v>0</v>
      </c>
      <c r="AG1919">
        <v>0</v>
      </c>
      <c r="AH1919" t="s">
        <v>116</v>
      </c>
      <c r="AI1919" s="1">
        <v>60931</v>
      </c>
      <c r="AJ1919" s="2">
        <v>0.13</v>
      </c>
      <c r="AK1919" s="1">
        <v>480329</v>
      </c>
      <c r="AL1919" t="s">
        <v>117</v>
      </c>
      <c r="AM1919" t="s">
        <v>1302</v>
      </c>
      <c r="AN1919">
        <v>7200</v>
      </c>
      <c r="AO1919">
        <v>0.16</v>
      </c>
      <c r="AR1919">
        <v>1</v>
      </c>
      <c r="AS1919" s="1">
        <v>30330</v>
      </c>
      <c r="AT1919" s="1">
        <v>6060</v>
      </c>
      <c r="AU1919" s="1">
        <v>24270</v>
      </c>
      <c r="AV1919">
        <v>80.02</v>
      </c>
      <c r="AX1919" s="1">
        <v>2821.34</v>
      </c>
      <c r="AY1919" t="s">
        <v>5125</v>
      </c>
      <c r="AZ1919" t="s">
        <v>3049</v>
      </c>
      <c r="BA1919" t="s">
        <v>1386</v>
      </c>
      <c r="BE1919" s="3">
        <v>42534</v>
      </c>
      <c r="BF1919" s="1">
        <v>406000</v>
      </c>
      <c r="BG1919" t="s">
        <v>13016</v>
      </c>
      <c r="BH1919" s="1">
        <v>128.77000000000001</v>
      </c>
      <c r="BI1919" s="1">
        <v>419398</v>
      </c>
      <c r="BJ1919" s="3">
        <v>42534</v>
      </c>
      <c r="BK1919" t="s">
        <v>123</v>
      </c>
      <c r="BL1919" t="str">
        <f>"2016.410294"</f>
        <v>2016.410294</v>
      </c>
      <c r="BM1919" t="s">
        <v>8797</v>
      </c>
      <c r="BO1919" t="s">
        <v>13017</v>
      </c>
      <c r="BS1919">
        <v>30</v>
      </c>
      <c r="BW1919" t="str">
        <f>""</f>
        <v/>
      </c>
      <c r="CH1919" t="str">
        <f>""</f>
        <v/>
      </c>
      <c r="CS1919" t="str">
        <f>""</f>
        <v/>
      </c>
    </row>
    <row r="1920" spans="1:97" x14ac:dyDescent="0.25">
      <c r="A1920" t="s">
        <v>13018</v>
      </c>
      <c r="B1920" t="s">
        <v>259</v>
      </c>
      <c r="C1920" t="s">
        <v>3057</v>
      </c>
      <c r="D1920" t="s">
        <v>259</v>
      </c>
      <c r="E1920" t="s">
        <v>13019</v>
      </c>
      <c r="F1920" t="s">
        <v>108</v>
      </c>
      <c r="H1920" t="s">
        <v>13020</v>
      </c>
      <c r="I1920" t="s">
        <v>1936</v>
      </c>
      <c r="J1920" t="s">
        <v>111</v>
      </c>
      <c r="K1920" t="str">
        <f>"85258"</f>
        <v>85258</v>
      </c>
      <c r="L1920" t="s">
        <v>6691</v>
      </c>
      <c r="M1920" t="s">
        <v>13020</v>
      </c>
      <c r="N1920" t="s">
        <v>1936</v>
      </c>
      <c r="O1920" t="s">
        <v>111</v>
      </c>
      <c r="P1920" t="str">
        <f>"85258-3710"</f>
        <v>85258-3710</v>
      </c>
      <c r="Q1920" t="s">
        <v>113</v>
      </c>
      <c r="R1920" t="str">
        <f>"177-03-058"</f>
        <v>177-03-058</v>
      </c>
      <c r="S1920" t="s">
        <v>13021</v>
      </c>
      <c r="U1920">
        <v>1984</v>
      </c>
      <c r="V1920">
        <v>0</v>
      </c>
      <c r="W1920">
        <v>3</v>
      </c>
      <c r="X1920">
        <v>1974</v>
      </c>
      <c r="Z1920">
        <v>1</v>
      </c>
      <c r="AA1920" t="s">
        <v>26</v>
      </c>
      <c r="AB1920">
        <v>0</v>
      </c>
      <c r="AC1920" t="s">
        <v>115</v>
      </c>
      <c r="AD1920">
        <v>2</v>
      </c>
      <c r="AE1920" t="s">
        <v>115</v>
      </c>
      <c r="AF1920">
        <v>0</v>
      </c>
      <c r="AG1920">
        <v>0</v>
      </c>
      <c r="AH1920" t="s">
        <v>116</v>
      </c>
      <c r="AI1920" s="1">
        <v>-6301</v>
      </c>
      <c r="AJ1920" s="2">
        <v>-0.01</v>
      </c>
      <c r="AK1920" s="1">
        <v>500724</v>
      </c>
      <c r="AL1920" t="s">
        <v>117</v>
      </c>
      <c r="AM1920" t="s">
        <v>1302</v>
      </c>
      <c r="AN1920">
        <v>13607</v>
      </c>
      <c r="AO1920">
        <v>0.31</v>
      </c>
      <c r="AP1920">
        <v>1</v>
      </c>
      <c r="AR1920">
        <v>1</v>
      </c>
      <c r="AS1920" s="1">
        <v>41960</v>
      </c>
      <c r="AT1920" s="1">
        <v>8390</v>
      </c>
      <c r="AU1920" s="1">
        <v>33570</v>
      </c>
      <c r="AV1920">
        <v>80</v>
      </c>
      <c r="AX1920" s="1">
        <v>2730.5</v>
      </c>
      <c r="AY1920" t="s">
        <v>13022</v>
      </c>
      <c r="AZ1920" t="s">
        <v>6975</v>
      </c>
      <c r="BA1920" t="s">
        <v>6976</v>
      </c>
      <c r="BE1920" s="3">
        <v>41724</v>
      </c>
      <c r="BF1920" s="1">
        <v>395000</v>
      </c>
      <c r="BG1920" t="s">
        <v>13023</v>
      </c>
      <c r="BH1920" s="1">
        <v>199.09</v>
      </c>
      <c r="BI1920" s="1">
        <v>407025</v>
      </c>
      <c r="BJ1920" s="3">
        <v>42069</v>
      </c>
      <c r="BK1920" t="s">
        <v>123</v>
      </c>
      <c r="BL1920" t="str">
        <f>"2015.152500"</f>
        <v>2015.152500</v>
      </c>
      <c r="BM1920" t="s">
        <v>175</v>
      </c>
      <c r="BN1920" t="s">
        <v>132</v>
      </c>
      <c r="BO1920" t="s">
        <v>13024</v>
      </c>
      <c r="BS1920">
        <v>30</v>
      </c>
      <c r="BT1920" s="1">
        <v>100000</v>
      </c>
      <c r="BU1920" s="3">
        <v>43440</v>
      </c>
      <c r="BV1920" t="s">
        <v>134</v>
      </c>
      <c r="BW1920" t="str">
        <f>"2018.895396"</f>
        <v>2018.895396</v>
      </c>
      <c r="BX1920" t="s">
        <v>135</v>
      </c>
      <c r="BY1920" t="s">
        <v>136</v>
      </c>
      <c r="BZ1920" t="s">
        <v>13025</v>
      </c>
      <c r="CA1920" t="s">
        <v>13026</v>
      </c>
      <c r="CC1920" t="s">
        <v>139</v>
      </c>
      <c r="CH1920" t="str">
        <f>""</f>
        <v/>
      </c>
      <c r="CS1920" t="str">
        <f>""</f>
        <v/>
      </c>
    </row>
    <row r="1921" spans="1:97" x14ac:dyDescent="0.25">
      <c r="A1921" t="s">
        <v>589</v>
      </c>
      <c r="B1921" t="s">
        <v>13027</v>
      </c>
      <c r="E1921" t="s">
        <v>13028</v>
      </c>
      <c r="F1921" t="s">
        <v>108</v>
      </c>
      <c r="H1921" t="s">
        <v>13029</v>
      </c>
      <c r="I1921" t="s">
        <v>2874</v>
      </c>
      <c r="J1921" t="s">
        <v>111</v>
      </c>
      <c r="K1921" t="str">
        <f>"85308"</f>
        <v>85308</v>
      </c>
      <c r="L1921" t="s">
        <v>3982</v>
      </c>
      <c r="M1921" t="s">
        <v>13029</v>
      </c>
      <c r="N1921" t="s">
        <v>2874</v>
      </c>
      <c r="O1921" t="s">
        <v>111</v>
      </c>
      <c r="P1921" t="str">
        <f>"85308"</f>
        <v>85308</v>
      </c>
      <c r="Q1921" t="s">
        <v>113</v>
      </c>
      <c r="R1921" t="str">
        <f>"200-47-358"</f>
        <v>200-47-358</v>
      </c>
      <c r="S1921" t="s">
        <v>13030</v>
      </c>
      <c r="T1921" t="s">
        <v>13030</v>
      </c>
      <c r="U1921">
        <v>2315</v>
      </c>
      <c r="V1921">
        <v>0</v>
      </c>
      <c r="W1921">
        <v>3</v>
      </c>
      <c r="X1921">
        <v>2003</v>
      </c>
      <c r="Z1921">
        <v>1</v>
      </c>
      <c r="AB1921">
        <v>0</v>
      </c>
      <c r="AC1921" t="s">
        <v>115</v>
      </c>
      <c r="AD1921">
        <v>2</v>
      </c>
      <c r="AE1921" t="s">
        <v>115</v>
      </c>
      <c r="AF1921">
        <v>0</v>
      </c>
      <c r="AG1921">
        <v>0</v>
      </c>
      <c r="AH1921" t="s">
        <v>116</v>
      </c>
      <c r="AI1921" s="1">
        <v>29342</v>
      </c>
      <c r="AJ1921" s="2">
        <v>0.1</v>
      </c>
      <c r="AK1921" s="1">
        <v>282242</v>
      </c>
      <c r="AL1921" t="s">
        <v>117</v>
      </c>
      <c r="AM1921" t="s">
        <v>393</v>
      </c>
      <c r="AN1921">
        <v>7040</v>
      </c>
      <c r="AO1921">
        <v>0.16</v>
      </c>
      <c r="AP1921">
        <v>1</v>
      </c>
      <c r="AR1921">
        <v>1</v>
      </c>
      <c r="AS1921" s="1">
        <v>24010</v>
      </c>
      <c r="AT1921" s="1">
        <v>4800</v>
      </c>
      <c r="AU1921" s="1">
        <v>19210</v>
      </c>
      <c r="AV1921">
        <v>80.010000000000005</v>
      </c>
      <c r="AX1921" s="1">
        <v>1662.58</v>
      </c>
      <c r="AY1921" t="s">
        <v>7283</v>
      </c>
      <c r="AZ1921" t="s">
        <v>7283</v>
      </c>
      <c r="BA1921" t="s">
        <v>5143</v>
      </c>
      <c r="BE1921" s="3">
        <v>42279</v>
      </c>
      <c r="BF1921" s="1">
        <v>257000</v>
      </c>
      <c r="BG1921" t="s">
        <v>13031</v>
      </c>
      <c r="BH1921" s="1">
        <v>111.02</v>
      </c>
      <c r="BI1921" s="1">
        <v>252900</v>
      </c>
      <c r="BJ1921" s="3">
        <v>42733</v>
      </c>
      <c r="BK1921" t="s">
        <v>123</v>
      </c>
      <c r="BL1921" t="str">
        <f>"2016.960130"</f>
        <v>2016.960130</v>
      </c>
      <c r="BM1921" t="s">
        <v>1185</v>
      </c>
      <c r="BO1921" t="s">
        <v>13032</v>
      </c>
      <c r="BS1921">
        <v>30</v>
      </c>
      <c r="BW1921" t="str">
        <f>""</f>
        <v/>
      </c>
      <c r="CH1921" t="str">
        <f>""</f>
        <v/>
      </c>
      <c r="CS1921" t="str">
        <f>""</f>
        <v/>
      </c>
    </row>
    <row r="1922" spans="1:97" x14ac:dyDescent="0.25">
      <c r="B1922" t="s">
        <v>13033</v>
      </c>
      <c r="E1922" t="s">
        <v>13034</v>
      </c>
      <c r="F1922" t="s">
        <v>108</v>
      </c>
      <c r="H1922" t="s">
        <v>13035</v>
      </c>
      <c r="I1922" t="s">
        <v>3150</v>
      </c>
      <c r="J1922" t="s">
        <v>111</v>
      </c>
      <c r="K1922" t="str">
        <f>"85340"</f>
        <v>85340</v>
      </c>
      <c r="L1922" t="s">
        <v>2765</v>
      </c>
      <c r="M1922" t="s">
        <v>13035</v>
      </c>
      <c r="N1922" t="s">
        <v>3150</v>
      </c>
      <c r="O1922" t="s">
        <v>111</v>
      </c>
      <c r="P1922" t="str">
        <f>"85340-6225"</f>
        <v>85340-6225</v>
      </c>
      <c r="Q1922" t="s">
        <v>113</v>
      </c>
      <c r="R1922" t="str">
        <f>"502-27-744"</f>
        <v>502-27-744</v>
      </c>
      <c r="S1922" t="s">
        <v>7560</v>
      </c>
      <c r="T1922" t="s">
        <v>7560</v>
      </c>
      <c r="U1922">
        <v>2842</v>
      </c>
      <c r="V1922">
        <v>0</v>
      </c>
      <c r="W1922">
        <v>4</v>
      </c>
      <c r="X1922">
        <v>2012</v>
      </c>
      <c r="Z1922">
        <v>1</v>
      </c>
      <c r="AB1922">
        <v>0</v>
      </c>
      <c r="AC1922" t="s">
        <v>115</v>
      </c>
      <c r="AD1922">
        <v>3</v>
      </c>
      <c r="AE1922" t="s">
        <v>115</v>
      </c>
      <c r="AF1922">
        <v>0</v>
      </c>
      <c r="AG1922">
        <v>0</v>
      </c>
      <c r="AH1922" t="s">
        <v>116</v>
      </c>
      <c r="AI1922" s="1">
        <v>78705</v>
      </c>
      <c r="AJ1922" s="2">
        <v>0.18</v>
      </c>
      <c r="AK1922" s="1">
        <v>431474</v>
      </c>
      <c r="AL1922" t="s">
        <v>117</v>
      </c>
      <c r="AM1922" t="s">
        <v>1302</v>
      </c>
      <c r="AN1922">
        <v>13775</v>
      </c>
      <c r="AO1922">
        <v>0.32</v>
      </c>
      <c r="AR1922">
        <v>1</v>
      </c>
      <c r="AS1922" s="1">
        <v>29820</v>
      </c>
      <c r="AT1922" s="1">
        <v>5960</v>
      </c>
      <c r="AU1922" s="1">
        <v>23860</v>
      </c>
      <c r="AV1922">
        <v>80.010000000000005</v>
      </c>
      <c r="AX1922" s="1">
        <v>3323.32</v>
      </c>
      <c r="AY1922" t="s">
        <v>503</v>
      </c>
      <c r="AZ1922" t="s">
        <v>504</v>
      </c>
      <c r="BA1922" t="s">
        <v>218</v>
      </c>
      <c r="BB1922" s="3">
        <v>42874</v>
      </c>
      <c r="BD1922" t="s">
        <v>480</v>
      </c>
      <c r="BE1922" s="3">
        <v>42534</v>
      </c>
      <c r="BF1922" s="1">
        <v>341500</v>
      </c>
      <c r="BG1922" t="s">
        <v>13036</v>
      </c>
      <c r="BH1922" s="1">
        <v>120.16</v>
      </c>
      <c r="BI1922" s="1">
        <v>352769</v>
      </c>
      <c r="BJ1922" s="3">
        <v>42534</v>
      </c>
      <c r="BK1922" t="s">
        <v>123</v>
      </c>
      <c r="BL1922" t="str">
        <f>"2016.409935"</f>
        <v>2016.409935</v>
      </c>
      <c r="BM1922" t="s">
        <v>13037</v>
      </c>
      <c r="BN1922" t="s">
        <v>13038</v>
      </c>
      <c r="BO1922" t="s">
        <v>13039</v>
      </c>
      <c r="BS1922">
        <v>30</v>
      </c>
      <c r="BW1922" t="str">
        <f>""</f>
        <v/>
      </c>
      <c r="CH1922" t="str">
        <f>""</f>
        <v/>
      </c>
      <c r="CS1922" t="str">
        <f>""</f>
        <v/>
      </c>
    </row>
    <row r="1923" spans="1:97" x14ac:dyDescent="0.25">
      <c r="A1923" t="s">
        <v>7387</v>
      </c>
      <c r="B1923" t="s">
        <v>13040</v>
      </c>
      <c r="C1923" t="s">
        <v>8089</v>
      </c>
      <c r="D1923" t="s">
        <v>13040</v>
      </c>
      <c r="E1923" t="s">
        <v>13041</v>
      </c>
      <c r="F1923" t="s">
        <v>108</v>
      </c>
      <c r="H1923" t="s">
        <v>13042</v>
      </c>
      <c r="I1923" t="s">
        <v>453</v>
      </c>
      <c r="J1923" t="s">
        <v>111</v>
      </c>
      <c r="K1923" t="str">
        <f>"85383"</f>
        <v>85383</v>
      </c>
      <c r="L1923" t="s">
        <v>2820</v>
      </c>
      <c r="M1923" t="s">
        <v>13042</v>
      </c>
      <c r="N1923" t="s">
        <v>453</v>
      </c>
      <c r="O1923" t="s">
        <v>111</v>
      </c>
      <c r="P1923" t="str">
        <f>"85383-2804"</f>
        <v>85383-2804</v>
      </c>
      <c r="Q1923" t="s">
        <v>113</v>
      </c>
      <c r="R1923" t="str">
        <f>"510-02-400"</f>
        <v>510-02-400</v>
      </c>
      <c r="S1923" t="s">
        <v>13043</v>
      </c>
      <c r="U1923">
        <v>2977</v>
      </c>
      <c r="V1923">
        <v>0</v>
      </c>
      <c r="W1923">
        <v>5</v>
      </c>
      <c r="X1923">
        <v>2005</v>
      </c>
      <c r="Z1923">
        <v>1</v>
      </c>
      <c r="AB1923">
        <v>0</v>
      </c>
      <c r="AC1923" t="s">
        <v>115</v>
      </c>
      <c r="AD1923">
        <v>3</v>
      </c>
      <c r="AE1923" t="s">
        <v>115</v>
      </c>
      <c r="AF1923">
        <v>0</v>
      </c>
      <c r="AG1923">
        <v>0</v>
      </c>
      <c r="AH1923" t="s">
        <v>116</v>
      </c>
      <c r="AI1923" s="1">
        <v>61794</v>
      </c>
      <c r="AJ1923" s="2">
        <v>0.11</v>
      </c>
      <c r="AK1923" s="1">
        <v>549894</v>
      </c>
      <c r="AL1923" t="s">
        <v>117</v>
      </c>
      <c r="AM1923" t="s">
        <v>118</v>
      </c>
      <c r="AN1923">
        <v>9126</v>
      </c>
      <c r="AO1923">
        <v>0.21</v>
      </c>
      <c r="AR1923">
        <v>1</v>
      </c>
      <c r="AS1923" s="1">
        <v>40280</v>
      </c>
      <c r="AT1923" s="1">
        <v>8050</v>
      </c>
      <c r="AU1923" s="1">
        <v>32230</v>
      </c>
      <c r="AV1923">
        <v>80.010000000000005</v>
      </c>
      <c r="AX1923" s="1">
        <v>4955.3</v>
      </c>
      <c r="AY1923" t="s">
        <v>456</v>
      </c>
      <c r="AZ1923" t="s">
        <v>456</v>
      </c>
      <c r="BA1923" t="s">
        <v>457</v>
      </c>
      <c r="BE1923" s="3">
        <v>42510</v>
      </c>
      <c r="BF1923" s="1">
        <v>412000</v>
      </c>
      <c r="BG1923" t="s">
        <v>13044</v>
      </c>
      <c r="BH1923" s="1">
        <v>138.38999999999999</v>
      </c>
      <c r="BI1923" s="1">
        <v>488100</v>
      </c>
      <c r="BJ1923" s="3">
        <v>42961</v>
      </c>
      <c r="BK1923" t="s">
        <v>123</v>
      </c>
      <c r="BL1923" t="str">
        <f>"2017.594221"</f>
        <v>2017.594221</v>
      </c>
      <c r="BM1923" t="s">
        <v>807</v>
      </c>
      <c r="BN1923">
        <v>92618</v>
      </c>
      <c r="BO1923" t="s">
        <v>13045</v>
      </c>
      <c r="BQ1923" t="str">
        <f>"2.2500%"</f>
        <v>2.2500%</v>
      </c>
      <c r="BR1923" t="s">
        <v>1480</v>
      </c>
      <c r="BS1923">
        <v>30</v>
      </c>
      <c r="BW1923" t="str">
        <f>""</f>
        <v/>
      </c>
      <c r="CH1923" t="str">
        <f>""</f>
        <v/>
      </c>
      <c r="CS1923" t="str">
        <f>""</f>
        <v/>
      </c>
    </row>
    <row r="1924" spans="1:97" x14ac:dyDescent="0.25">
      <c r="B1924" t="s">
        <v>13046</v>
      </c>
      <c r="E1924" t="s">
        <v>13046</v>
      </c>
      <c r="F1924" t="s">
        <v>108</v>
      </c>
      <c r="H1924" t="s">
        <v>13047</v>
      </c>
      <c r="I1924" t="s">
        <v>203</v>
      </c>
      <c r="J1924" t="s">
        <v>111</v>
      </c>
      <c r="K1924" t="str">
        <f>"85233"</f>
        <v>85233</v>
      </c>
      <c r="L1924" t="s">
        <v>5709</v>
      </c>
      <c r="M1924" t="s">
        <v>13047</v>
      </c>
      <c r="N1924" t="s">
        <v>203</v>
      </c>
      <c r="O1924" t="s">
        <v>111</v>
      </c>
      <c r="P1924" t="str">
        <f>"85233-6356"</f>
        <v>85233-6356</v>
      </c>
      <c r="Q1924" t="s">
        <v>113</v>
      </c>
      <c r="R1924" t="str">
        <f>"302-32-313"</f>
        <v>302-32-313</v>
      </c>
      <c r="S1924" t="s">
        <v>13048</v>
      </c>
      <c r="T1924" t="s">
        <v>13049</v>
      </c>
      <c r="U1924">
        <v>2200</v>
      </c>
      <c r="V1924">
        <v>0</v>
      </c>
      <c r="W1924">
        <v>4</v>
      </c>
      <c r="X1924">
        <v>1993</v>
      </c>
      <c r="Z1924">
        <v>2</v>
      </c>
      <c r="AB1924">
        <v>0</v>
      </c>
      <c r="AC1924" t="s">
        <v>115</v>
      </c>
      <c r="AD1924">
        <v>3</v>
      </c>
      <c r="AE1924" t="s">
        <v>115</v>
      </c>
      <c r="AF1924">
        <v>0</v>
      </c>
      <c r="AG1924">
        <v>0</v>
      </c>
      <c r="AH1924" t="s">
        <v>116</v>
      </c>
      <c r="AI1924" s="1">
        <v>78404</v>
      </c>
      <c r="AJ1924" s="2">
        <v>0.22</v>
      </c>
      <c r="AK1924" s="1">
        <v>357320</v>
      </c>
      <c r="AL1924" t="s">
        <v>117</v>
      </c>
      <c r="AM1924" t="s">
        <v>393</v>
      </c>
      <c r="AN1924">
        <v>6682</v>
      </c>
      <c r="AO1924">
        <v>0.15</v>
      </c>
      <c r="AP1924">
        <v>1</v>
      </c>
      <c r="AR1924">
        <v>1</v>
      </c>
      <c r="AS1924" s="1">
        <v>24460</v>
      </c>
      <c r="AT1924" s="1">
        <v>4890</v>
      </c>
      <c r="AU1924" s="1">
        <v>19570</v>
      </c>
      <c r="AV1924">
        <v>80.010000000000005</v>
      </c>
      <c r="AX1924" s="1">
        <v>2123.46</v>
      </c>
      <c r="AY1924" t="s">
        <v>5601</v>
      </c>
      <c r="AZ1924" t="s">
        <v>5478</v>
      </c>
      <c r="BA1924" t="s">
        <v>5479</v>
      </c>
      <c r="BE1924" s="3">
        <v>41879</v>
      </c>
      <c r="BF1924" s="1">
        <v>272000</v>
      </c>
      <c r="BG1924" t="s">
        <v>13050</v>
      </c>
      <c r="BH1924" s="1">
        <v>123.64</v>
      </c>
      <c r="BI1924" s="1">
        <v>278916</v>
      </c>
      <c r="BJ1924" s="3">
        <v>41879</v>
      </c>
      <c r="BK1924" t="s">
        <v>123</v>
      </c>
      <c r="BL1924" t="str">
        <f>"2014.570999"</f>
        <v>2014.570999</v>
      </c>
      <c r="BM1924" t="s">
        <v>175</v>
      </c>
      <c r="BO1924" t="s">
        <v>13051</v>
      </c>
      <c r="BS1924">
        <v>30</v>
      </c>
      <c r="BW1924" t="str">
        <f>""</f>
        <v/>
      </c>
      <c r="CH1924" t="str">
        <f>""</f>
        <v/>
      </c>
      <c r="CS1924" t="str">
        <f>""</f>
        <v/>
      </c>
    </row>
    <row r="1925" spans="1:97" x14ac:dyDescent="0.25">
      <c r="A1925" t="s">
        <v>13052</v>
      </c>
      <c r="B1925" t="s">
        <v>2104</v>
      </c>
      <c r="C1925" t="s">
        <v>13053</v>
      </c>
      <c r="D1925" t="s">
        <v>2104</v>
      </c>
      <c r="E1925" t="s">
        <v>13054</v>
      </c>
      <c r="F1925" t="s">
        <v>108</v>
      </c>
      <c r="H1925" t="s">
        <v>13055</v>
      </c>
      <c r="I1925" t="s">
        <v>632</v>
      </c>
      <c r="J1925" t="s">
        <v>111</v>
      </c>
      <c r="K1925" t="str">
        <f>"85387"</f>
        <v>85387</v>
      </c>
      <c r="L1925" t="s">
        <v>1569</v>
      </c>
      <c r="M1925" t="s">
        <v>13055</v>
      </c>
      <c r="N1925" t="s">
        <v>632</v>
      </c>
      <c r="O1925" t="s">
        <v>111</v>
      </c>
      <c r="P1925" t="str">
        <f>"85387-6491"</f>
        <v>85387-6491</v>
      </c>
      <c r="Q1925" t="s">
        <v>113</v>
      </c>
      <c r="R1925" t="str">
        <f>"232-44-282"</f>
        <v>232-44-282</v>
      </c>
      <c r="S1925" t="s">
        <v>13056</v>
      </c>
      <c r="T1925" t="s">
        <v>13056</v>
      </c>
      <c r="U1925">
        <v>2356</v>
      </c>
      <c r="V1925">
        <v>0</v>
      </c>
      <c r="W1925">
        <v>3</v>
      </c>
      <c r="X1925">
        <v>2003</v>
      </c>
      <c r="Z1925">
        <v>1</v>
      </c>
      <c r="AB1925">
        <v>0</v>
      </c>
      <c r="AC1925" t="s">
        <v>115</v>
      </c>
      <c r="AD1925">
        <v>3</v>
      </c>
      <c r="AE1925" t="s">
        <v>115</v>
      </c>
      <c r="AF1925">
        <v>0</v>
      </c>
      <c r="AG1925">
        <v>0</v>
      </c>
      <c r="AH1925" t="s">
        <v>116</v>
      </c>
      <c r="AI1925" s="1">
        <v>94520</v>
      </c>
      <c r="AJ1925" s="2">
        <v>0.23</v>
      </c>
      <c r="AK1925" s="1">
        <v>404520</v>
      </c>
      <c r="AL1925" t="s">
        <v>117</v>
      </c>
      <c r="AM1925" t="s">
        <v>118</v>
      </c>
      <c r="AN1925">
        <v>9200</v>
      </c>
      <c r="AO1925">
        <v>0.21</v>
      </c>
      <c r="AP1925">
        <v>1</v>
      </c>
      <c r="AR1925">
        <v>1</v>
      </c>
      <c r="AS1925" s="1">
        <v>29430</v>
      </c>
      <c r="AT1925" s="1">
        <v>5880</v>
      </c>
      <c r="AU1925" s="1">
        <v>23550</v>
      </c>
      <c r="AV1925">
        <v>80.02</v>
      </c>
      <c r="AX1925" s="1">
        <v>2996.6</v>
      </c>
      <c r="AY1925" t="s">
        <v>5108</v>
      </c>
      <c r="AZ1925" t="s">
        <v>5108</v>
      </c>
      <c r="BA1925" t="s">
        <v>5109</v>
      </c>
      <c r="BE1925" s="3">
        <v>42481</v>
      </c>
      <c r="BF1925" s="1">
        <v>310000</v>
      </c>
      <c r="BG1925" t="s">
        <v>13057</v>
      </c>
      <c r="BH1925" s="1">
        <v>131.58000000000001</v>
      </c>
      <c r="BI1925" s="1">
        <v>310000</v>
      </c>
      <c r="BJ1925" s="3">
        <v>42481</v>
      </c>
      <c r="BK1925" t="s">
        <v>123</v>
      </c>
      <c r="BL1925" t="str">
        <f>"2016.267773"</f>
        <v>2016.267773</v>
      </c>
      <c r="BM1925" t="s">
        <v>936</v>
      </c>
      <c r="BO1925" t="s">
        <v>13058</v>
      </c>
      <c r="BS1925">
        <v>30</v>
      </c>
      <c r="BW1925" t="str">
        <f>""</f>
        <v/>
      </c>
      <c r="CH1925" t="str">
        <f>""</f>
        <v/>
      </c>
      <c r="CS1925" t="str">
        <f>""</f>
        <v/>
      </c>
    </row>
    <row r="1926" spans="1:97" x14ac:dyDescent="0.25">
      <c r="A1926" t="s">
        <v>5755</v>
      </c>
      <c r="B1926" t="s">
        <v>13059</v>
      </c>
      <c r="C1926" t="s">
        <v>13060</v>
      </c>
      <c r="D1926" t="s">
        <v>13059</v>
      </c>
      <c r="E1926" t="s">
        <v>13061</v>
      </c>
      <c r="F1926" t="s">
        <v>108</v>
      </c>
      <c r="H1926" t="s">
        <v>13062</v>
      </c>
      <c r="I1926" t="s">
        <v>144</v>
      </c>
      <c r="J1926" t="s">
        <v>111</v>
      </c>
      <c r="K1926" t="str">
        <f>"85396"</f>
        <v>85396</v>
      </c>
      <c r="L1926" t="s">
        <v>5893</v>
      </c>
      <c r="M1926" t="s">
        <v>13062</v>
      </c>
      <c r="N1926" t="s">
        <v>144</v>
      </c>
      <c r="O1926" t="s">
        <v>111</v>
      </c>
      <c r="P1926" t="str">
        <f>"85396-7166"</f>
        <v>85396-7166</v>
      </c>
      <c r="Q1926" t="s">
        <v>113</v>
      </c>
      <c r="R1926" t="str">
        <f>"504-07-509"</f>
        <v>504-07-509</v>
      </c>
      <c r="S1926" t="s">
        <v>9710</v>
      </c>
      <c r="U1926">
        <v>2034</v>
      </c>
      <c r="V1926">
        <v>0</v>
      </c>
      <c r="W1926">
        <v>3</v>
      </c>
      <c r="X1926">
        <v>2006</v>
      </c>
      <c r="Z1926">
        <v>1</v>
      </c>
      <c r="AA1926" t="s">
        <v>26</v>
      </c>
      <c r="AB1926">
        <v>0</v>
      </c>
      <c r="AC1926" t="s">
        <v>115</v>
      </c>
      <c r="AD1926">
        <v>3</v>
      </c>
      <c r="AE1926" t="s">
        <v>115</v>
      </c>
      <c r="AF1926">
        <v>0</v>
      </c>
      <c r="AG1926">
        <v>0</v>
      </c>
      <c r="AH1926" t="s">
        <v>116</v>
      </c>
      <c r="AI1926" s="1">
        <v>38919</v>
      </c>
      <c r="AJ1926" s="2">
        <v>0.15</v>
      </c>
      <c r="AK1926" s="1">
        <v>258919</v>
      </c>
      <c r="AL1926" t="s">
        <v>117</v>
      </c>
      <c r="AM1926" t="s">
        <v>118</v>
      </c>
      <c r="AN1926">
        <v>8004</v>
      </c>
      <c r="AO1926">
        <v>0.18</v>
      </c>
      <c r="AR1926">
        <v>1</v>
      </c>
      <c r="AS1926" s="1">
        <v>17380</v>
      </c>
      <c r="AT1926" s="1">
        <v>3470</v>
      </c>
      <c r="AU1926" s="1">
        <v>13910</v>
      </c>
      <c r="AV1926">
        <v>80.03</v>
      </c>
      <c r="AX1926" s="1">
        <v>1519.26</v>
      </c>
      <c r="AY1926" t="s">
        <v>147</v>
      </c>
      <c r="AZ1926" t="s">
        <v>147</v>
      </c>
      <c r="BA1926" t="s">
        <v>148</v>
      </c>
      <c r="BE1926" s="3">
        <v>42549</v>
      </c>
      <c r="BF1926" s="1">
        <v>220000</v>
      </c>
      <c r="BG1926" t="s">
        <v>13063</v>
      </c>
      <c r="BH1926" s="1">
        <v>108.16</v>
      </c>
      <c r="BI1926" s="1">
        <v>220000</v>
      </c>
      <c r="BJ1926" s="3">
        <v>42549</v>
      </c>
      <c r="BK1926" t="s">
        <v>123</v>
      </c>
      <c r="BL1926" t="str">
        <f>"2016.450881"</f>
        <v>2016.450881</v>
      </c>
      <c r="BM1926" t="s">
        <v>724</v>
      </c>
      <c r="BO1926" t="s">
        <v>13064</v>
      </c>
      <c r="BS1926">
        <v>30</v>
      </c>
      <c r="BW1926" t="str">
        <f>""</f>
        <v/>
      </c>
      <c r="CH1926" t="str">
        <f>""</f>
        <v/>
      </c>
      <c r="CS1926" t="str">
        <f>""</f>
        <v/>
      </c>
    </row>
    <row r="1927" spans="1:97" x14ac:dyDescent="0.25">
      <c r="A1927" t="s">
        <v>13065</v>
      </c>
      <c r="B1927" t="s">
        <v>6495</v>
      </c>
      <c r="C1927" t="s">
        <v>13066</v>
      </c>
      <c r="D1927" t="s">
        <v>6495</v>
      </c>
      <c r="E1927" t="s">
        <v>13067</v>
      </c>
      <c r="F1927" t="s">
        <v>108</v>
      </c>
      <c r="H1927" t="s">
        <v>13068</v>
      </c>
      <c r="I1927" t="s">
        <v>3150</v>
      </c>
      <c r="J1927" t="s">
        <v>111</v>
      </c>
      <c r="K1927" t="str">
        <f>"85340"</f>
        <v>85340</v>
      </c>
      <c r="L1927" t="s">
        <v>1789</v>
      </c>
      <c r="M1927" t="s">
        <v>13068</v>
      </c>
      <c r="N1927" t="s">
        <v>3150</v>
      </c>
      <c r="O1927" t="s">
        <v>111</v>
      </c>
      <c r="P1927" t="str">
        <f>"85340-5333"</f>
        <v>85340-5333</v>
      </c>
      <c r="Q1927" t="s">
        <v>113</v>
      </c>
      <c r="R1927" t="str">
        <f>"508-05-774"</f>
        <v>508-05-774</v>
      </c>
      <c r="S1927" t="s">
        <v>13069</v>
      </c>
      <c r="U1927">
        <v>2582</v>
      </c>
      <c r="V1927">
        <v>0</v>
      </c>
      <c r="W1927">
        <v>3</v>
      </c>
      <c r="X1927">
        <v>2002</v>
      </c>
      <c r="Z1927">
        <v>2</v>
      </c>
      <c r="AB1927">
        <v>0</v>
      </c>
      <c r="AC1927" t="s">
        <v>115</v>
      </c>
      <c r="AD1927">
        <v>2</v>
      </c>
      <c r="AE1927" t="s">
        <v>115</v>
      </c>
      <c r="AF1927">
        <v>0</v>
      </c>
      <c r="AG1927">
        <v>0</v>
      </c>
      <c r="AH1927" t="s">
        <v>116</v>
      </c>
      <c r="AI1927" s="1">
        <v>53517</v>
      </c>
      <c r="AJ1927" s="2">
        <v>0.19</v>
      </c>
      <c r="AK1927" s="1">
        <v>287440</v>
      </c>
      <c r="AL1927" t="s">
        <v>117</v>
      </c>
      <c r="AM1927" t="s">
        <v>191</v>
      </c>
      <c r="AN1927">
        <v>6095</v>
      </c>
      <c r="AO1927">
        <v>0.14000000000000001</v>
      </c>
      <c r="AP1927">
        <v>1</v>
      </c>
      <c r="AR1927">
        <v>1</v>
      </c>
      <c r="AS1927" s="1">
        <v>19260</v>
      </c>
      <c r="AT1927" s="1">
        <v>3850</v>
      </c>
      <c r="AU1927" s="1">
        <v>15410</v>
      </c>
      <c r="AV1927">
        <v>80.010000000000005</v>
      </c>
      <c r="AX1927" s="1">
        <v>1776.98</v>
      </c>
      <c r="AY1927" t="s">
        <v>6580</v>
      </c>
      <c r="AZ1927" t="s">
        <v>3153</v>
      </c>
      <c r="BA1927" t="s">
        <v>3154</v>
      </c>
      <c r="BE1927" s="3">
        <v>42535</v>
      </c>
      <c r="BF1927" s="1">
        <v>229000</v>
      </c>
      <c r="BG1927" t="s">
        <v>13070</v>
      </c>
      <c r="BH1927" s="1">
        <v>88.69</v>
      </c>
      <c r="BI1927" s="1">
        <v>233923</v>
      </c>
      <c r="BJ1927" s="3">
        <v>42535</v>
      </c>
      <c r="BK1927" t="s">
        <v>123</v>
      </c>
      <c r="BL1927" t="str">
        <f>"2016.413908"</f>
        <v>2016.413908</v>
      </c>
      <c r="BM1927" t="s">
        <v>135</v>
      </c>
      <c r="BO1927" t="s">
        <v>13071</v>
      </c>
      <c r="BS1927">
        <v>30</v>
      </c>
      <c r="BW1927" t="str">
        <f>""</f>
        <v/>
      </c>
      <c r="CH1927" t="str">
        <f>""</f>
        <v/>
      </c>
      <c r="CS1927" t="str">
        <f>""</f>
        <v/>
      </c>
    </row>
    <row r="1928" spans="1:97" x14ac:dyDescent="0.25">
      <c r="A1928" t="s">
        <v>265</v>
      </c>
      <c r="B1928" t="s">
        <v>1109</v>
      </c>
      <c r="C1928" t="s">
        <v>13072</v>
      </c>
      <c r="D1928" t="s">
        <v>1109</v>
      </c>
      <c r="E1928" t="s">
        <v>13073</v>
      </c>
      <c r="F1928" t="s">
        <v>108</v>
      </c>
      <c r="H1928" t="s">
        <v>13074</v>
      </c>
      <c r="I1928" t="s">
        <v>110</v>
      </c>
      <c r="J1928" t="s">
        <v>111</v>
      </c>
      <c r="K1928" t="str">
        <f>"85286"</f>
        <v>85286</v>
      </c>
      <c r="L1928" t="s">
        <v>375</v>
      </c>
      <c r="M1928" t="s">
        <v>13074</v>
      </c>
      <c r="N1928" t="s">
        <v>110</v>
      </c>
      <c r="O1928" t="s">
        <v>111</v>
      </c>
      <c r="P1928" t="str">
        <f>"85286-5709"</f>
        <v>85286-5709</v>
      </c>
      <c r="Q1928" t="s">
        <v>113</v>
      </c>
      <c r="R1928" t="str">
        <f>"304-56-582"</f>
        <v>304-56-582</v>
      </c>
      <c r="S1928" t="s">
        <v>7371</v>
      </c>
      <c r="T1928" t="s">
        <v>7372</v>
      </c>
      <c r="U1928">
        <v>2298</v>
      </c>
      <c r="V1928">
        <v>0</v>
      </c>
      <c r="W1928">
        <v>4</v>
      </c>
      <c r="X1928">
        <v>2004</v>
      </c>
      <c r="Z1928">
        <v>2</v>
      </c>
      <c r="AB1928">
        <v>0</v>
      </c>
      <c r="AC1928" t="s">
        <v>115</v>
      </c>
      <c r="AD1928">
        <v>2</v>
      </c>
      <c r="AE1928" t="s">
        <v>115</v>
      </c>
      <c r="AF1928">
        <v>0</v>
      </c>
      <c r="AG1928">
        <v>0</v>
      </c>
      <c r="AH1928" t="s">
        <v>116</v>
      </c>
      <c r="AI1928" s="1">
        <v>31226</v>
      </c>
      <c r="AJ1928" s="2">
        <v>0.09</v>
      </c>
      <c r="AK1928" s="1">
        <v>361889</v>
      </c>
      <c r="AL1928" t="s">
        <v>117</v>
      </c>
      <c r="AM1928" t="s">
        <v>118</v>
      </c>
      <c r="AN1928">
        <v>7225</v>
      </c>
      <c r="AO1928">
        <v>0.17</v>
      </c>
      <c r="AP1928">
        <v>1</v>
      </c>
      <c r="AR1928">
        <v>1</v>
      </c>
      <c r="AS1928" s="1">
        <v>25270</v>
      </c>
      <c r="AT1928" s="1">
        <v>5050</v>
      </c>
      <c r="AU1928" s="1">
        <v>20220</v>
      </c>
      <c r="AV1928">
        <v>80.02</v>
      </c>
      <c r="AX1928" s="1">
        <v>2084.36</v>
      </c>
      <c r="AY1928" t="s">
        <v>737</v>
      </c>
      <c r="AZ1928" t="s">
        <v>120</v>
      </c>
      <c r="BA1928" t="s">
        <v>303</v>
      </c>
      <c r="BB1928" s="3">
        <v>42499</v>
      </c>
      <c r="BD1928" t="s">
        <v>240</v>
      </c>
      <c r="BE1928" s="3">
        <v>42146</v>
      </c>
      <c r="BF1928" s="1">
        <v>282000</v>
      </c>
      <c r="BG1928" t="s">
        <v>13075</v>
      </c>
      <c r="BH1928" s="1">
        <v>122.72</v>
      </c>
      <c r="BI1928" s="1">
        <v>330663</v>
      </c>
      <c r="BJ1928" s="3">
        <v>43600</v>
      </c>
      <c r="BK1928" t="s">
        <v>123</v>
      </c>
      <c r="BL1928" t="str">
        <f>"2019.355894"</f>
        <v>2019.355894</v>
      </c>
      <c r="BM1928" t="s">
        <v>13076</v>
      </c>
      <c r="BN1928" t="s">
        <v>674</v>
      </c>
      <c r="BO1928" t="s">
        <v>13077</v>
      </c>
      <c r="BP1928" t="s">
        <v>13078</v>
      </c>
      <c r="BR1928" t="s">
        <v>139</v>
      </c>
      <c r="BW1928" t="str">
        <f>""</f>
        <v/>
      </c>
      <c r="CH1928" t="str">
        <f>""</f>
        <v/>
      </c>
      <c r="CS1928" t="str">
        <f>""</f>
        <v/>
      </c>
    </row>
    <row r="1929" spans="1:97" x14ac:dyDescent="0.25">
      <c r="A1929" t="s">
        <v>13079</v>
      </c>
      <c r="B1929" t="s">
        <v>10732</v>
      </c>
      <c r="C1929" t="s">
        <v>13080</v>
      </c>
      <c r="D1929" t="s">
        <v>10732</v>
      </c>
      <c r="E1929" t="s">
        <v>13081</v>
      </c>
      <c r="F1929" t="s">
        <v>108</v>
      </c>
      <c r="H1929" t="s">
        <v>13082</v>
      </c>
      <c r="I1929" t="s">
        <v>188</v>
      </c>
      <c r="J1929" t="s">
        <v>111</v>
      </c>
      <c r="K1929" t="str">
        <f>"85142"</f>
        <v>85142</v>
      </c>
      <c r="L1929" t="s">
        <v>688</v>
      </c>
      <c r="M1929" t="s">
        <v>13082</v>
      </c>
      <c r="N1929" t="s">
        <v>188</v>
      </c>
      <c r="O1929" t="s">
        <v>111</v>
      </c>
      <c r="P1929" t="str">
        <f>"85142-7495"</f>
        <v>85142-7495</v>
      </c>
      <c r="Q1929" t="s">
        <v>113</v>
      </c>
      <c r="R1929" t="str">
        <f>"314-05-894"</f>
        <v>314-05-894</v>
      </c>
      <c r="S1929" t="s">
        <v>13083</v>
      </c>
      <c r="T1929" t="s">
        <v>691</v>
      </c>
      <c r="U1929">
        <v>2712</v>
      </c>
      <c r="V1929">
        <v>0</v>
      </c>
      <c r="W1929">
        <v>5</v>
      </c>
      <c r="X1929">
        <v>2014</v>
      </c>
      <c r="Z1929">
        <v>1</v>
      </c>
      <c r="AB1929">
        <v>0</v>
      </c>
      <c r="AC1929" t="s">
        <v>115</v>
      </c>
      <c r="AD1929">
        <v>2</v>
      </c>
      <c r="AE1929" t="s">
        <v>115</v>
      </c>
      <c r="AF1929">
        <v>0</v>
      </c>
      <c r="AG1929">
        <v>0</v>
      </c>
      <c r="AH1929" t="s">
        <v>116</v>
      </c>
      <c r="AI1929" s="1">
        <v>91308</v>
      </c>
      <c r="AJ1929" s="2">
        <v>0.22</v>
      </c>
      <c r="AK1929" s="1">
        <v>420519</v>
      </c>
      <c r="AL1929" t="s">
        <v>117</v>
      </c>
      <c r="AM1929" t="s">
        <v>393</v>
      </c>
      <c r="AN1929">
        <v>8207</v>
      </c>
      <c r="AO1929">
        <v>0.19</v>
      </c>
      <c r="AR1929">
        <v>1</v>
      </c>
      <c r="AS1929" s="1">
        <v>28760</v>
      </c>
      <c r="AT1929" s="1">
        <v>5750</v>
      </c>
      <c r="AU1929" s="1">
        <v>23010</v>
      </c>
      <c r="AV1929">
        <v>80.010000000000005</v>
      </c>
      <c r="AX1929" s="1">
        <v>2912.5</v>
      </c>
      <c r="AY1929" t="s">
        <v>192</v>
      </c>
      <c r="AZ1929" t="s">
        <v>193</v>
      </c>
      <c r="BA1929" t="s">
        <v>194</v>
      </c>
      <c r="BE1929" s="3">
        <v>41863</v>
      </c>
      <c r="BF1929" s="1">
        <v>322282</v>
      </c>
      <c r="BG1929" t="s">
        <v>275</v>
      </c>
      <c r="BH1929" s="1">
        <v>118.84</v>
      </c>
      <c r="BI1929" s="1">
        <v>329211</v>
      </c>
      <c r="BJ1929" s="3">
        <v>41863</v>
      </c>
      <c r="BK1929" t="s">
        <v>123</v>
      </c>
      <c r="BL1929" t="str">
        <f>"2014.530529"</f>
        <v>2014.530529</v>
      </c>
      <c r="BM1929" t="s">
        <v>628</v>
      </c>
      <c r="BO1929" t="s">
        <v>13084</v>
      </c>
      <c r="BS1929">
        <v>30</v>
      </c>
      <c r="BW1929" t="str">
        <f>""</f>
        <v/>
      </c>
      <c r="CH1929" t="str">
        <f>""</f>
        <v/>
      </c>
      <c r="CS1929" t="str">
        <f>""</f>
        <v/>
      </c>
    </row>
    <row r="1930" spans="1:97" x14ac:dyDescent="0.25">
      <c r="A1930" t="s">
        <v>7797</v>
      </c>
      <c r="B1930" t="s">
        <v>13085</v>
      </c>
      <c r="C1930" t="s">
        <v>259</v>
      </c>
      <c r="D1930" t="s">
        <v>13085</v>
      </c>
      <c r="E1930" t="s">
        <v>13086</v>
      </c>
      <c r="F1930" t="s">
        <v>108</v>
      </c>
      <c r="H1930" t="s">
        <v>13087</v>
      </c>
      <c r="I1930" t="s">
        <v>499</v>
      </c>
      <c r="J1930" t="s">
        <v>111</v>
      </c>
      <c r="K1930" t="str">
        <f>"85395"</f>
        <v>85395</v>
      </c>
      <c r="L1930" t="s">
        <v>168</v>
      </c>
      <c r="M1930" t="s">
        <v>13087</v>
      </c>
      <c r="N1930" t="s">
        <v>499</v>
      </c>
      <c r="O1930" t="s">
        <v>111</v>
      </c>
      <c r="P1930" t="str">
        <f>"85395-7743"</f>
        <v>85395-7743</v>
      </c>
      <c r="Q1930" t="s">
        <v>113</v>
      </c>
      <c r="R1930" t="str">
        <f>"501-62-836"</f>
        <v>501-62-836</v>
      </c>
      <c r="S1930" t="s">
        <v>10001</v>
      </c>
      <c r="T1930" t="s">
        <v>10002</v>
      </c>
      <c r="U1930">
        <v>2830</v>
      </c>
      <c r="V1930">
        <v>0</v>
      </c>
      <c r="W1930">
        <v>4</v>
      </c>
      <c r="X1930">
        <v>2014</v>
      </c>
      <c r="Z1930">
        <v>1</v>
      </c>
      <c r="AB1930">
        <v>0</v>
      </c>
      <c r="AC1930" t="s">
        <v>115</v>
      </c>
      <c r="AD1930">
        <v>2</v>
      </c>
      <c r="AE1930" t="s">
        <v>115</v>
      </c>
      <c r="AF1930">
        <v>0</v>
      </c>
      <c r="AG1930">
        <v>0</v>
      </c>
      <c r="AH1930" t="s">
        <v>116</v>
      </c>
      <c r="AI1930" s="1">
        <v>92328</v>
      </c>
      <c r="AJ1930" s="2">
        <v>0.23</v>
      </c>
      <c r="AK1930" s="1">
        <v>401408</v>
      </c>
      <c r="AL1930" t="s">
        <v>117</v>
      </c>
      <c r="AM1930" t="s">
        <v>118</v>
      </c>
      <c r="AN1930">
        <v>7735</v>
      </c>
      <c r="AO1930">
        <v>0.18</v>
      </c>
      <c r="AR1930">
        <v>1</v>
      </c>
      <c r="AS1930" s="1">
        <v>27680</v>
      </c>
      <c r="AT1930" s="1">
        <v>5530</v>
      </c>
      <c r="AU1930" s="1">
        <v>22150</v>
      </c>
      <c r="AV1930">
        <v>80.02</v>
      </c>
      <c r="AX1930" s="1">
        <v>2739.42</v>
      </c>
      <c r="AY1930" t="s">
        <v>3019</v>
      </c>
      <c r="AZ1930" t="s">
        <v>504</v>
      </c>
      <c r="BA1930" t="s">
        <v>3154</v>
      </c>
      <c r="BE1930" s="3">
        <v>42066</v>
      </c>
      <c r="BF1930" s="1">
        <v>323609</v>
      </c>
      <c r="BG1930" t="s">
        <v>3021</v>
      </c>
      <c r="BH1930" s="1">
        <v>114.35</v>
      </c>
      <c r="BI1930" s="1">
        <v>309080</v>
      </c>
      <c r="BJ1930" s="3">
        <v>42814</v>
      </c>
      <c r="BK1930" t="s">
        <v>123</v>
      </c>
      <c r="BL1930" t="str">
        <f>"2017.193681"</f>
        <v>2017.193681</v>
      </c>
      <c r="BM1930" t="s">
        <v>716</v>
      </c>
      <c r="BO1930" t="s">
        <v>13088</v>
      </c>
      <c r="BS1930">
        <v>30</v>
      </c>
      <c r="BW1930" t="str">
        <f>""</f>
        <v/>
      </c>
      <c r="CH1930" t="str">
        <f>""</f>
        <v/>
      </c>
      <c r="CS1930" t="str">
        <f>""</f>
        <v/>
      </c>
    </row>
    <row r="1931" spans="1:97" x14ac:dyDescent="0.25">
      <c r="A1931" t="s">
        <v>2915</v>
      </c>
      <c r="B1931" t="s">
        <v>13089</v>
      </c>
      <c r="C1931" t="s">
        <v>13090</v>
      </c>
      <c r="D1931" t="s">
        <v>13089</v>
      </c>
      <c r="E1931" t="s">
        <v>13091</v>
      </c>
      <c r="F1931" t="s">
        <v>108</v>
      </c>
      <c r="H1931" t="s">
        <v>13092</v>
      </c>
      <c r="I1931" t="s">
        <v>5114</v>
      </c>
      <c r="J1931" t="s">
        <v>111</v>
      </c>
      <c r="K1931" t="str">
        <f>"85392"</f>
        <v>85392</v>
      </c>
      <c r="L1931" t="s">
        <v>625</v>
      </c>
      <c r="M1931" t="s">
        <v>13092</v>
      </c>
      <c r="N1931" t="s">
        <v>5114</v>
      </c>
      <c r="O1931" t="s">
        <v>111</v>
      </c>
      <c r="P1931" t="str">
        <f>"85392-3547"</f>
        <v>85392-3547</v>
      </c>
      <c r="Q1931" t="s">
        <v>113</v>
      </c>
      <c r="R1931" t="str">
        <f>"508-02-674"</f>
        <v>508-02-674</v>
      </c>
      <c r="S1931" t="s">
        <v>13093</v>
      </c>
      <c r="T1931" t="s">
        <v>13093</v>
      </c>
      <c r="U1931">
        <v>2545</v>
      </c>
      <c r="V1931">
        <v>0</v>
      </c>
      <c r="W1931">
        <v>4</v>
      </c>
      <c r="X1931">
        <v>2007</v>
      </c>
      <c r="Z1931">
        <v>2</v>
      </c>
      <c r="AA1931" t="s">
        <v>26</v>
      </c>
      <c r="AB1931">
        <v>0</v>
      </c>
      <c r="AC1931" t="s">
        <v>115</v>
      </c>
      <c r="AD1931">
        <v>3</v>
      </c>
      <c r="AE1931" t="s">
        <v>115</v>
      </c>
      <c r="AF1931">
        <v>0</v>
      </c>
      <c r="AG1931">
        <v>0</v>
      </c>
      <c r="AH1931" t="s">
        <v>116</v>
      </c>
      <c r="AI1931" s="1">
        <v>86049</v>
      </c>
      <c r="AJ1931" s="2">
        <v>0.24</v>
      </c>
      <c r="AK1931" s="1">
        <v>365449</v>
      </c>
      <c r="AL1931" t="s">
        <v>117</v>
      </c>
      <c r="AM1931" t="s">
        <v>118</v>
      </c>
      <c r="AN1931">
        <v>7500</v>
      </c>
      <c r="AO1931">
        <v>0.17</v>
      </c>
      <c r="AR1931">
        <v>1</v>
      </c>
      <c r="AS1931" s="1">
        <v>24710</v>
      </c>
      <c r="AT1931" s="1">
        <v>4940</v>
      </c>
      <c r="AU1931" s="1">
        <v>19770</v>
      </c>
      <c r="AV1931">
        <v>80.010000000000005</v>
      </c>
      <c r="AX1931" s="1">
        <v>2368.5</v>
      </c>
      <c r="AY1931" t="s">
        <v>11553</v>
      </c>
      <c r="AZ1931" t="s">
        <v>11553</v>
      </c>
      <c r="BA1931" t="s">
        <v>3154</v>
      </c>
      <c r="BE1931" s="3">
        <v>41926</v>
      </c>
      <c r="BF1931" s="1">
        <v>268000</v>
      </c>
      <c r="BG1931" t="s">
        <v>13094</v>
      </c>
      <c r="BH1931" s="1">
        <v>105.3</v>
      </c>
      <c r="BI1931" s="1">
        <v>279400</v>
      </c>
      <c r="BJ1931" s="3">
        <v>42331</v>
      </c>
      <c r="BK1931" t="s">
        <v>123</v>
      </c>
      <c r="BL1931" t="str">
        <f>"2015.832653"</f>
        <v>2015.832653</v>
      </c>
      <c r="BM1931" t="s">
        <v>322</v>
      </c>
      <c r="BO1931" t="s">
        <v>13095</v>
      </c>
      <c r="BS1931">
        <v>30</v>
      </c>
      <c r="BW1931" t="str">
        <f>""</f>
        <v/>
      </c>
      <c r="CH1931" t="str">
        <f>""</f>
        <v/>
      </c>
      <c r="CS1931" t="str">
        <f>""</f>
        <v/>
      </c>
    </row>
    <row r="1932" spans="1:97" x14ac:dyDescent="0.25">
      <c r="A1932" t="s">
        <v>1664</v>
      </c>
      <c r="B1932" t="s">
        <v>1552</v>
      </c>
      <c r="C1932" t="s">
        <v>13096</v>
      </c>
      <c r="D1932" t="s">
        <v>1552</v>
      </c>
      <c r="E1932" t="s">
        <v>13097</v>
      </c>
      <c r="F1932" t="s">
        <v>108</v>
      </c>
      <c r="H1932" t="s">
        <v>13098</v>
      </c>
      <c r="I1932" t="s">
        <v>2874</v>
      </c>
      <c r="J1932" t="s">
        <v>111</v>
      </c>
      <c r="K1932" t="str">
        <f>"85308"</f>
        <v>85308</v>
      </c>
      <c r="L1932" t="s">
        <v>6481</v>
      </c>
      <c r="M1932" t="s">
        <v>13098</v>
      </c>
      <c r="N1932" t="s">
        <v>2874</v>
      </c>
      <c r="O1932" t="s">
        <v>111</v>
      </c>
      <c r="P1932" t="str">
        <f>"85308-2078"</f>
        <v>85308-2078</v>
      </c>
      <c r="Q1932" t="s">
        <v>113</v>
      </c>
      <c r="R1932" t="str">
        <f>"206-19-191"</f>
        <v>206-19-191</v>
      </c>
      <c r="S1932" t="s">
        <v>9120</v>
      </c>
      <c r="U1932">
        <v>3590</v>
      </c>
      <c r="V1932">
        <v>0</v>
      </c>
      <c r="W1932">
        <v>7</v>
      </c>
      <c r="X1932">
        <v>2006</v>
      </c>
      <c r="Z1932">
        <v>2</v>
      </c>
      <c r="AB1932">
        <v>0</v>
      </c>
      <c r="AC1932" t="s">
        <v>115</v>
      </c>
      <c r="AD1932">
        <v>2</v>
      </c>
      <c r="AE1932" t="s">
        <v>115</v>
      </c>
      <c r="AF1932">
        <v>0</v>
      </c>
      <c r="AG1932">
        <v>0</v>
      </c>
      <c r="AH1932" t="s">
        <v>116</v>
      </c>
      <c r="AI1932" s="1">
        <v>111087</v>
      </c>
      <c r="AJ1932" s="2">
        <v>0.28000000000000003</v>
      </c>
      <c r="AK1932" s="1">
        <v>403087</v>
      </c>
      <c r="AL1932" t="s">
        <v>117</v>
      </c>
      <c r="AM1932" t="s">
        <v>191</v>
      </c>
      <c r="AN1932">
        <v>6097</v>
      </c>
      <c r="AO1932">
        <v>0.14000000000000001</v>
      </c>
      <c r="AR1932">
        <v>1</v>
      </c>
      <c r="AS1932" s="1">
        <v>31450</v>
      </c>
      <c r="AT1932" s="1">
        <v>6290</v>
      </c>
      <c r="AU1932" s="1">
        <v>25160</v>
      </c>
      <c r="AV1932">
        <v>80</v>
      </c>
      <c r="AX1932" s="1">
        <v>2132.8200000000002</v>
      </c>
      <c r="AY1932" t="s">
        <v>9121</v>
      </c>
      <c r="AZ1932" t="s">
        <v>2357</v>
      </c>
      <c r="BA1932" t="s">
        <v>1462</v>
      </c>
      <c r="BE1932" s="3">
        <v>42061</v>
      </c>
      <c r="BF1932" s="1">
        <v>292000</v>
      </c>
      <c r="BG1932" t="s">
        <v>13099</v>
      </c>
      <c r="BH1932" s="1">
        <v>81.34</v>
      </c>
      <c r="BI1932" s="1">
        <v>292000</v>
      </c>
      <c r="BJ1932" s="3">
        <v>42061</v>
      </c>
      <c r="BK1932" t="s">
        <v>123</v>
      </c>
      <c r="BL1932" t="str">
        <f>"2015.127824"</f>
        <v>2015.127824</v>
      </c>
      <c r="BM1932" t="s">
        <v>1185</v>
      </c>
      <c r="BO1932" t="s">
        <v>13100</v>
      </c>
      <c r="BS1932">
        <v>30</v>
      </c>
      <c r="BW1932" t="str">
        <f>""</f>
        <v/>
      </c>
      <c r="CH1932" t="str">
        <f>""</f>
        <v/>
      </c>
      <c r="CS1932" t="str">
        <f>""</f>
        <v/>
      </c>
    </row>
    <row r="1933" spans="1:97" x14ac:dyDescent="0.25">
      <c r="A1933" t="s">
        <v>3718</v>
      </c>
      <c r="B1933" t="s">
        <v>2594</v>
      </c>
      <c r="C1933" t="s">
        <v>6232</v>
      </c>
      <c r="D1933" t="s">
        <v>2594</v>
      </c>
      <c r="E1933" t="s">
        <v>13101</v>
      </c>
      <c r="F1933" t="s">
        <v>108</v>
      </c>
      <c r="H1933" t="s">
        <v>13102</v>
      </c>
      <c r="I1933" t="s">
        <v>2874</v>
      </c>
      <c r="J1933" t="s">
        <v>111</v>
      </c>
      <c r="K1933" t="str">
        <f>"85308"</f>
        <v>85308</v>
      </c>
      <c r="L1933" t="s">
        <v>6481</v>
      </c>
      <c r="M1933" t="s">
        <v>13102</v>
      </c>
      <c r="N1933" t="s">
        <v>2874</v>
      </c>
      <c r="O1933" t="s">
        <v>111</v>
      </c>
      <c r="P1933" t="str">
        <f>"85308-4745"</f>
        <v>85308-4745</v>
      </c>
      <c r="Q1933" t="s">
        <v>113</v>
      </c>
      <c r="R1933" t="str">
        <f>"206-18-185"</f>
        <v>206-18-185</v>
      </c>
      <c r="S1933" t="s">
        <v>13103</v>
      </c>
      <c r="T1933" t="s">
        <v>13104</v>
      </c>
      <c r="U1933">
        <v>1759</v>
      </c>
      <c r="V1933">
        <v>0</v>
      </c>
      <c r="W1933">
        <v>3</v>
      </c>
      <c r="X1933">
        <v>1995</v>
      </c>
      <c r="Z1933">
        <v>1</v>
      </c>
      <c r="AB1933">
        <v>0</v>
      </c>
      <c r="AC1933" t="s">
        <v>115</v>
      </c>
      <c r="AD1933">
        <v>2</v>
      </c>
      <c r="AE1933" t="s">
        <v>115</v>
      </c>
      <c r="AF1933">
        <v>0</v>
      </c>
      <c r="AG1933">
        <v>0</v>
      </c>
      <c r="AH1933" t="s">
        <v>116</v>
      </c>
      <c r="AI1933" s="1">
        <v>55587</v>
      </c>
      <c r="AJ1933" s="2">
        <v>0.19</v>
      </c>
      <c r="AK1933" s="1">
        <v>285424</v>
      </c>
      <c r="AL1933" t="s">
        <v>117</v>
      </c>
      <c r="AM1933" t="s">
        <v>191</v>
      </c>
      <c r="AN1933">
        <v>5982</v>
      </c>
      <c r="AO1933">
        <v>0.14000000000000001</v>
      </c>
      <c r="AP1933">
        <v>1</v>
      </c>
      <c r="AR1933">
        <v>1</v>
      </c>
      <c r="AS1933" s="1">
        <v>20580</v>
      </c>
      <c r="AT1933" s="1">
        <v>4110</v>
      </c>
      <c r="AU1933" s="1">
        <v>16470</v>
      </c>
      <c r="AV1933">
        <v>80.03</v>
      </c>
      <c r="AX1933" s="1">
        <v>1663.62</v>
      </c>
      <c r="AY1933" t="s">
        <v>9121</v>
      </c>
      <c r="AZ1933" t="s">
        <v>2357</v>
      </c>
      <c r="BA1933" t="s">
        <v>1462</v>
      </c>
      <c r="BE1933" s="3">
        <v>42251</v>
      </c>
      <c r="BF1933" s="1">
        <v>225000</v>
      </c>
      <c r="BG1933" t="s">
        <v>13105</v>
      </c>
      <c r="BH1933" s="1">
        <v>127.91</v>
      </c>
      <c r="BI1933" s="1">
        <v>229837</v>
      </c>
      <c r="BJ1933" s="3">
        <v>42251</v>
      </c>
      <c r="BK1933" t="s">
        <v>123</v>
      </c>
      <c r="BL1933" t="str">
        <f>"2015.645121"</f>
        <v>2015.645121</v>
      </c>
      <c r="BM1933" t="s">
        <v>5348</v>
      </c>
      <c r="BO1933" t="s">
        <v>13106</v>
      </c>
      <c r="BS1933">
        <v>30</v>
      </c>
      <c r="BW1933" t="str">
        <f>""</f>
        <v/>
      </c>
      <c r="CH1933" t="str">
        <f>""</f>
        <v/>
      </c>
      <c r="CS1933" t="str">
        <f>""</f>
        <v/>
      </c>
    </row>
    <row r="1934" spans="1:97" x14ac:dyDescent="0.25">
      <c r="A1934" t="s">
        <v>1406</v>
      </c>
      <c r="B1934" t="s">
        <v>13107</v>
      </c>
      <c r="C1934" t="s">
        <v>13108</v>
      </c>
      <c r="D1934" t="s">
        <v>13107</v>
      </c>
      <c r="E1934" t="s">
        <v>13109</v>
      </c>
      <c r="F1934" t="s">
        <v>108</v>
      </c>
      <c r="H1934" t="s">
        <v>13110</v>
      </c>
      <c r="I1934" t="s">
        <v>2874</v>
      </c>
      <c r="J1934" t="s">
        <v>111</v>
      </c>
      <c r="K1934" t="str">
        <f>"85302"</f>
        <v>85302</v>
      </c>
      <c r="L1934" t="s">
        <v>6983</v>
      </c>
      <c r="M1934" t="s">
        <v>13110</v>
      </c>
      <c r="N1934" t="s">
        <v>2874</v>
      </c>
      <c r="O1934" t="s">
        <v>111</v>
      </c>
      <c r="P1934" t="str">
        <f>"85302-2515"</f>
        <v>85302-2515</v>
      </c>
      <c r="Q1934" t="s">
        <v>113</v>
      </c>
      <c r="R1934" t="str">
        <f>"148-05-304"</f>
        <v>148-05-304</v>
      </c>
      <c r="S1934" t="s">
        <v>8383</v>
      </c>
      <c r="T1934" t="s">
        <v>8384</v>
      </c>
      <c r="U1934">
        <v>1820</v>
      </c>
      <c r="V1934">
        <v>0</v>
      </c>
      <c r="W1934">
        <v>2</v>
      </c>
      <c r="X1934">
        <v>1975</v>
      </c>
      <c r="Z1934">
        <v>1</v>
      </c>
      <c r="AA1934" t="s">
        <v>26</v>
      </c>
      <c r="AB1934">
        <v>0</v>
      </c>
      <c r="AC1934" t="s">
        <v>115</v>
      </c>
      <c r="AD1934">
        <v>2</v>
      </c>
      <c r="AE1934" t="s">
        <v>115</v>
      </c>
      <c r="AF1934">
        <v>0</v>
      </c>
      <c r="AG1934">
        <v>0</v>
      </c>
      <c r="AH1934" t="s">
        <v>116</v>
      </c>
      <c r="AI1934" s="1">
        <v>27497</v>
      </c>
      <c r="AJ1934" s="2">
        <v>0.11</v>
      </c>
      <c r="AK1934" s="1">
        <v>257997</v>
      </c>
      <c r="AL1934" t="s">
        <v>117</v>
      </c>
      <c r="AM1934" t="s">
        <v>191</v>
      </c>
      <c r="AN1934">
        <v>7671</v>
      </c>
      <c r="AO1934">
        <v>0.18</v>
      </c>
      <c r="AP1934">
        <v>1</v>
      </c>
      <c r="AR1934">
        <v>1</v>
      </c>
      <c r="AS1934" s="1">
        <v>16910</v>
      </c>
      <c r="AT1934" s="1">
        <v>3380</v>
      </c>
      <c r="AU1934" s="1">
        <v>13530</v>
      </c>
      <c r="AV1934">
        <v>80.010000000000005</v>
      </c>
      <c r="AX1934" s="1">
        <v>1154.6400000000001</v>
      </c>
      <c r="AY1934" t="s">
        <v>6985</v>
      </c>
      <c r="AZ1934" t="s">
        <v>6986</v>
      </c>
      <c r="BA1934" t="s">
        <v>6987</v>
      </c>
      <c r="BE1934" s="3">
        <v>42551</v>
      </c>
      <c r="BF1934" s="1">
        <v>235000</v>
      </c>
      <c r="BG1934" t="s">
        <v>11842</v>
      </c>
      <c r="BH1934" s="1">
        <v>135.06</v>
      </c>
      <c r="BI1934" s="1">
        <v>230500</v>
      </c>
      <c r="BJ1934" s="3">
        <v>42667</v>
      </c>
      <c r="BK1934" t="s">
        <v>123</v>
      </c>
      <c r="BL1934" t="str">
        <f>"2016.779763"</f>
        <v>2016.779763</v>
      </c>
      <c r="BM1934" t="s">
        <v>594</v>
      </c>
      <c r="BO1934" t="s">
        <v>13111</v>
      </c>
      <c r="BS1934">
        <v>30</v>
      </c>
      <c r="BW1934" t="str">
        <f>""</f>
        <v/>
      </c>
      <c r="CH1934" t="str">
        <f>""</f>
        <v/>
      </c>
      <c r="CS1934" t="str">
        <f>""</f>
        <v/>
      </c>
    </row>
    <row r="1935" spans="1:97" x14ac:dyDescent="0.25">
      <c r="A1935" t="s">
        <v>1727</v>
      </c>
      <c r="B1935" t="s">
        <v>13112</v>
      </c>
      <c r="E1935" t="s">
        <v>13113</v>
      </c>
      <c r="F1935" t="s">
        <v>108</v>
      </c>
      <c r="H1935" t="s">
        <v>13114</v>
      </c>
      <c r="I1935" t="s">
        <v>390</v>
      </c>
      <c r="J1935" t="s">
        <v>111</v>
      </c>
      <c r="K1935" t="str">
        <f>"85045"</f>
        <v>85045</v>
      </c>
      <c r="L1935" t="s">
        <v>8199</v>
      </c>
      <c r="M1935" t="s">
        <v>13114</v>
      </c>
      <c r="N1935" t="s">
        <v>390</v>
      </c>
      <c r="O1935" t="s">
        <v>111</v>
      </c>
      <c r="P1935" t="str">
        <f>"85045-1820"</f>
        <v>85045-1820</v>
      </c>
      <c r="Q1935" t="s">
        <v>113</v>
      </c>
      <c r="R1935" t="str">
        <f>"300-95-771"</f>
        <v>300-95-771</v>
      </c>
      <c r="S1935" t="s">
        <v>13115</v>
      </c>
      <c r="T1935" t="s">
        <v>12613</v>
      </c>
      <c r="U1935">
        <v>2050</v>
      </c>
      <c r="V1935">
        <v>0</v>
      </c>
      <c r="W1935">
        <v>3</v>
      </c>
      <c r="X1935">
        <v>1994</v>
      </c>
      <c r="Z1935">
        <v>1</v>
      </c>
      <c r="AA1935" t="s">
        <v>26</v>
      </c>
      <c r="AB1935">
        <v>0</v>
      </c>
      <c r="AC1935" t="s">
        <v>115</v>
      </c>
      <c r="AD1935">
        <v>3</v>
      </c>
      <c r="AE1935" t="s">
        <v>115</v>
      </c>
      <c r="AF1935">
        <v>0</v>
      </c>
      <c r="AG1935">
        <v>0</v>
      </c>
      <c r="AH1935" t="s">
        <v>116</v>
      </c>
      <c r="AI1935" s="1">
        <v>97996</v>
      </c>
      <c r="AJ1935" s="2">
        <v>0.25</v>
      </c>
      <c r="AK1935" s="1">
        <v>395657</v>
      </c>
      <c r="AL1935" t="s">
        <v>117</v>
      </c>
      <c r="AM1935" t="s">
        <v>191</v>
      </c>
      <c r="AN1935">
        <v>6813</v>
      </c>
      <c r="AO1935">
        <v>0.16</v>
      </c>
      <c r="AP1935">
        <v>1</v>
      </c>
      <c r="AR1935">
        <v>1</v>
      </c>
      <c r="AS1935" s="1">
        <v>29150</v>
      </c>
      <c r="AT1935" s="1">
        <v>5830</v>
      </c>
      <c r="AU1935" s="1">
        <v>23320</v>
      </c>
      <c r="AV1935">
        <v>80</v>
      </c>
      <c r="AX1935" s="1">
        <v>3081.42</v>
      </c>
      <c r="AY1935" t="s">
        <v>6202</v>
      </c>
      <c r="AZ1935" t="s">
        <v>2967</v>
      </c>
      <c r="BA1935" t="s">
        <v>930</v>
      </c>
      <c r="BB1935" s="3">
        <v>42529</v>
      </c>
      <c r="BD1935" t="s">
        <v>458</v>
      </c>
      <c r="BE1935" s="3">
        <v>42529</v>
      </c>
      <c r="BF1935" s="1">
        <v>333000</v>
      </c>
      <c r="BG1935" t="s">
        <v>13116</v>
      </c>
      <c r="BH1935" s="1">
        <v>162.44</v>
      </c>
      <c r="BI1935" s="1">
        <v>297661</v>
      </c>
      <c r="BJ1935" s="3">
        <v>42529</v>
      </c>
      <c r="BK1935" t="s">
        <v>123</v>
      </c>
      <c r="BL1935" t="str">
        <f>"2016.397581"</f>
        <v>2016.397581</v>
      </c>
      <c r="BM1935" t="s">
        <v>594</v>
      </c>
      <c r="BO1935" t="s">
        <v>13117</v>
      </c>
      <c r="BS1935">
        <v>30</v>
      </c>
      <c r="BW1935" t="str">
        <f>""</f>
        <v/>
      </c>
      <c r="CH1935" t="str">
        <f>""</f>
        <v/>
      </c>
      <c r="CS1935" t="str">
        <f>""</f>
        <v/>
      </c>
    </row>
    <row r="1936" spans="1:97" x14ac:dyDescent="0.25">
      <c r="B1936" t="s">
        <v>13118</v>
      </c>
      <c r="C1936" t="s">
        <v>104</v>
      </c>
      <c r="E1936" t="s">
        <v>1552</v>
      </c>
      <c r="F1936" t="s">
        <v>108</v>
      </c>
      <c r="H1936" t="s">
        <v>13119</v>
      </c>
      <c r="I1936" t="s">
        <v>453</v>
      </c>
      <c r="J1936" t="s">
        <v>111</v>
      </c>
      <c r="K1936" t="str">
        <f>"85383"</f>
        <v>85383</v>
      </c>
      <c r="L1936" t="s">
        <v>7243</v>
      </c>
      <c r="M1936" t="s">
        <v>13119</v>
      </c>
      <c r="N1936" t="s">
        <v>453</v>
      </c>
      <c r="O1936" t="s">
        <v>111</v>
      </c>
      <c r="P1936" t="str">
        <f>"85383-4830"</f>
        <v>85383-4830</v>
      </c>
      <c r="Q1936" t="s">
        <v>113</v>
      </c>
      <c r="R1936" t="str">
        <f>"201-37-137"</f>
        <v>201-37-137</v>
      </c>
      <c r="S1936" t="s">
        <v>13120</v>
      </c>
      <c r="U1936">
        <v>2409</v>
      </c>
      <c r="V1936">
        <v>0</v>
      </c>
      <c r="W1936">
        <v>4</v>
      </c>
      <c r="X1936">
        <v>2004</v>
      </c>
      <c r="Z1936">
        <v>2</v>
      </c>
      <c r="AB1936">
        <v>0</v>
      </c>
      <c r="AC1936" t="s">
        <v>115</v>
      </c>
      <c r="AD1936">
        <v>2</v>
      </c>
      <c r="AE1936" t="s">
        <v>115</v>
      </c>
      <c r="AF1936">
        <v>0</v>
      </c>
      <c r="AG1936">
        <v>0</v>
      </c>
      <c r="AH1936" t="s">
        <v>116</v>
      </c>
      <c r="AI1936" s="1">
        <v>66475</v>
      </c>
      <c r="AJ1936" s="2">
        <v>0.2</v>
      </c>
      <c r="AK1936" s="1">
        <v>334951</v>
      </c>
      <c r="AL1936" t="s">
        <v>117</v>
      </c>
      <c r="AM1936" t="s">
        <v>118</v>
      </c>
      <c r="AN1936">
        <v>6908</v>
      </c>
      <c r="AO1936">
        <v>0.16</v>
      </c>
      <c r="AP1936">
        <v>1</v>
      </c>
      <c r="AR1936">
        <v>1</v>
      </c>
      <c r="AS1936" s="1">
        <v>24120</v>
      </c>
      <c r="AT1936" s="1">
        <v>4820</v>
      </c>
      <c r="AU1936" s="1">
        <v>19300</v>
      </c>
      <c r="AV1936">
        <v>80.02</v>
      </c>
      <c r="AX1936" s="1">
        <v>2063.88</v>
      </c>
      <c r="AY1936" t="s">
        <v>8323</v>
      </c>
      <c r="AZ1936" t="s">
        <v>8323</v>
      </c>
      <c r="BA1936" t="s">
        <v>1386</v>
      </c>
      <c r="BB1936" s="3">
        <v>43509</v>
      </c>
      <c r="BC1936" s="1">
        <v>0</v>
      </c>
      <c r="BD1936" t="s">
        <v>247</v>
      </c>
      <c r="BE1936" s="3">
        <v>42081</v>
      </c>
      <c r="BF1936" s="1">
        <v>259900</v>
      </c>
      <c r="BG1936" t="s">
        <v>13121</v>
      </c>
      <c r="BH1936" s="1">
        <v>107.89</v>
      </c>
      <c r="BI1936" s="1">
        <v>268476</v>
      </c>
      <c r="BJ1936" s="3">
        <v>42081</v>
      </c>
      <c r="BK1936" t="s">
        <v>123</v>
      </c>
      <c r="BL1936" t="str">
        <f>"2015.181649"</f>
        <v>2015.181649</v>
      </c>
      <c r="BM1936" t="s">
        <v>131</v>
      </c>
      <c r="BN1936" t="s">
        <v>132</v>
      </c>
      <c r="BO1936" t="s">
        <v>13122</v>
      </c>
      <c r="BS1936">
        <v>30</v>
      </c>
      <c r="BW1936" t="str">
        <f>""</f>
        <v/>
      </c>
      <c r="CH1936" t="str">
        <f>""</f>
        <v/>
      </c>
      <c r="CS1936" t="str">
        <f>""</f>
        <v/>
      </c>
    </row>
    <row r="1937" spans="1:97" x14ac:dyDescent="0.25">
      <c r="A1937" t="s">
        <v>4229</v>
      </c>
      <c r="B1937" t="s">
        <v>13123</v>
      </c>
      <c r="C1937" t="s">
        <v>13124</v>
      </c>
      <c r="D1937" t="s">
        <v>13123</v>
      </c>
      <c r="E1937" t="s">
        <v>13125</v>
      </c>
      <c r="F1937" t="s">
        <v>108</v>
      </c>
      <c r="H1937" t="s">
        <v>13126</v>
      </c>
      <c r="I1937" t="s">
        <v>632</v>
      </c>
      <c r="J1937" t="s">
        <v>111</v>
      </c>
      <c r="K1937" t="str">
        <f>"85388"</f>
        <v>85388</v>
      </c>
      <c r="L1937" t="s">
        <v>7607</v>
      </c>
      <c r="M1937" t="s">
        <v>13126</v>
      </c>
      <c r="N1937" t="s">
        <v>632</v>
      </c>
      <c r="O1937" t="s">
        <v>111</v>
      </c>
      <c r="P1937" t="str">
        <f>"85388-1616"</f>
        <v>85388-1616</v>
      </c>
      <c r="Q1937" t="s">
        <v>113</v>
      </c>
      <c r="R1937" t="str">
        <f>"502-02-118"</f>
        <v>502-02-118</v>
      </c>
      <c r="S1937" t="s">
        <v>13127</v>
      </c>
      <c r="T1937" t="s">
        <v>13128</v>
      </c>
      <c r="U1937">
        <v>2090</v>
      </c>
      <c r="V1937">
        <v>0</v>
      </c>
      <c r="W1937">
        <v>3</v>
      </c>
      <c r="X1937">
        <v>2014</v>
      </c>
      <c r="Z1937">
        <v>1</v>
      </c>
      <c r="AA1937" t="s">
        <v>26</v>
      </c>
      <c r="AB1937">
        <v>0</v>
      </c>
      <c r="AC1937" t="s">
        <v>115</v>
      </c>
      <c r="AD1937">
        <v>3</v>
      </c>
      <c r="AE1937" t="s">
        <v>115</v>
      </c>
      <c r="AF1937">
        <v>0</v>
      </c>
      <c r="AG1937">
        <v>0</v>
      </c>
      <c r="AH1937" t="s">
        <v>116</v>
      </c>
      <c r="AI1937" s="1">
        <v>80342</v>
      </c>
      <c r="AJ1937" s="2">
        <v>0.27</v>
      </c>
      <c r="AK1937" s="1">
        <v>294382</v>
      </c>
      <c r="AL1937" t="s">
        <v>117</v>
      </c>
      <c r="AM1937" t="s">
        <v>118</v>
      </c>
      <c r="AN1937">
        <v>6000</v>
      </c>
      <c r="AO1937">
        <v>0.14000000000000001</v>
      </c>
      <c r="AR1937">
        <v>1</v>
      </c>
      <c r="AS1937" s="1">
        <v>22770</v>
      </c>
      <c r="AT1937" s="1">
        <v>4550</v>
      </c>
      <c r="AU1937" s="1">
        <v>18220</v>
      </c>
      <c r="AV1937">
        <v>80.02</v>
      </c>
      <c r="AX1937" s="1">
        <v>1740.66</v>
      </c>
      <c r="AY1937" t="s">
        <v>5168</v>
      </c>
      <c r="AZ1937" t="s">
        <v>5168</v>
      </c>
      <c r="BA1937" t="s">
        <v>5109</v>
      </c>
      <c r="BE1937" s="3">
        <v>41997</v>
      </c>
      <c r="BF1937" s="1">
        <v>214040</v>
      </c>
      <c r="BG1937" t="s">
        <v>13129</v>
      </c>
      <c r="BH1937" s="1">
        <v>102.41</v>
      </c>
      <c r="BI1937" s="1">
        <v>214040</v>
      </c>
      <c r="BJ1937" s="3">
        <v>41997</v>
      </c>
      <c r="BK1937" t="s">
        <v>123</v>
      </c>
      <c r="BL1937" t="str">
        <f>"2014.849144"</f>
        <v>2014.849144</v>
      </c>
      <c r="BM1937" t="s">
        <v>8868</v>
      </c>
      <c r="BO1937" t="s">
        <v>13130</v>
      </c>
      <c r="BS1937">
        <v>30</v>
      </c>
      <c r="BW1937" t="str">
        <f>""</f>
        <v/>
      </c>
      <c r="CH1937" t="str">
        <f>""</f>
        <v/>
      </c>
      <c r="CS1937" t="str">
        <f>""</f>
        <v/>
      </c>
    </row>
    <row r="1938" spans="1:97" x14ac:dyDescent="0.25">
      <c r="A1938" t="s">
        <v>1850</v>
      </c>
      <c r="B1938" t="s">
        <v>13131</v>
      </c>
      <c r="C1938" t="s">
        <v>13132</v>
      </c>
      <c r="D1938" t="s">
        <v>13131</v>
      </c>
      <c r="E1938" t="s">
        <v>13133</v>
      </c>
      <c r="F1938" t="s">
        <v>108</v>
      </c>
      <c r="H1938" t="s">
        <v>13134</v>
      </c>
      <c r="I1938" t="s">
        <v>3150</v>
      </c>
      <c r="J1938" t="s">
        <v>111</v>
      </c>
      <c r="K1938" t="str">
        <f>"85340"</f>
        <v>85340</v>
      </c>
      <c r="L1938" t="s">
        <v>3151</v>
      </c>
      <c r="M1938" t="s">
        <v>13134</v>
      </c>
      <c r="N1938" t="s">
        <v>3150</v>
      </c>
      <c r="O1938" t="s">
        <v>111</v>
      </c>
      <c r="P1938" t="str">
        <f>"85340-8549"</f>
        <v>85340-8549</v>
      </c>
      <c r="Q1938" t="s">
        <v>113</v>
      </c>
      <c r="R1938" t="str">
        <f>"502-64-138"</f>
        <v>502-64-138</v>
      </c>
      <c r="S1938" t="s">
        <v>13135</v>
      </c>
      <c r="T1938" t="s">
        <v>13136</v>
      </c>
      <c r="U1938">
        <v>3067</v>
      </c>
      <c r="V1938">
        <v>0</v>
      </c>
      <c r="W1938">
        <v>4</v>
      </c>
      <c r="X1938">
        <v>2004</v>
      </c>
      <c r="Z1938">
        <v>1</v>
      </c>
      <c r="AA1938" t="s">
        <v>26</v>
      </c>
      <c r="AB1938">
        <v>0</v>
      </c>
      <c r="AC1938" t="s">
        <v>115</v>
      </c>
      <c r="AD1938">
        <v>3</v>
      </c>
      <c r="AE1938" t="s">
        <v>115</v>
      </c>
      <c r="AF1938">
        <v>0</v>
      </c>
      <c r="AG1938">
        <v>0</v>
      </c>
      <c r="AH1938" t="s">
        <v>116</v>
      </c>
      <c r="AI1938" s="1">
        <v>96519</v>
      </c>
      <c r="AJ1938" s="2">
        <v>0.2</v>
      </c>
      <c r="AK1938" s="1">
        <v>486519</v>
      </c>
      <c r="AL1938" t="s">
        <v>117</v>
      </c>
      <c r="AM1938" t="s">
        <v>376</v>
      </c>
      <c r="AN1938">
        <v>43801</v>
      </c>
      <c r="AO1938">
        <v>1.01</v>
      </c>
      <c r="AP1938">
        <v>1</v>
      </c>
      <c r="AR1938">
        <v>1</v>
      </c>
      <c r="AS1938" s="1">
        <v>34360</v>
      </c>
      <c r="AT1938" s="1">
        <v>6870</v>
      </c>
      <c r="AU1938" s="1">
        <v>27490</v>
      </c>
      <c r="AV1938">
        <v>80.010000000000005</v>
      </c>
      <c r="AX1938" s="1">
        <v>4553.1400000000003</v>
      </c>
      <c r="AY1938" t="s">
        <v>503</v>
      </c>
      <c r="AZ1938" t="s">
        <v>503</v>
      </c>
      <c r="BA1938" t="s">
        <v>218</v>
      </c>
      <c r="BE1938" s="3">
        <v>42321</v>
      </c>
      <c r="BF1938" s="1">
        <v>390000</v>
      </c>
      <c r="BG1938" t="s">
        <v>13137</v>
      </c>
      <c r="BH1938" s="1">
        <v>127.16</v>
      </c>
      <c r="BI1938" s="1">
        <v>390000</v>
      </c>
      <c r="BJ1938" s="3">
        <v>42321</v>
      </c>
      <c r="BK1938" t="s">
        <v>123</v>
      </c>
      <c r="BL1938" t="str">
        <f>"2015.815074"</f>
        <v>2015.815074</v>
      </c>
      <c r="BM1938" t="s">
        <v>544</v>
      </c>
      <c r="BO1938" t="s">
        <v>13138</v>
      </c>
      <c r="BS1938">
        <v>30</v>
      </c>
      <c r="BW1938" t="str">
        <f>""</f>
        <v/>
      </c>
      <c r="CH1938" t="str">
        <f>""</f>
        <v/>
      </c>
      <c r="CS1938" t="str">
        <f>""</f>
        <v/>
      </c>
    </row>
    <row r="1939" spans="1:97" x14ac:dyDescent="0.25">
      <c r="A1939" t="s">
        <v>3077</v>
      </c>
      <c r="B1939" t="s">
        <v>7026</v>
      </c>
      <c r="C1939" t="s">
        <v>1335</v>
      </c>
      <c r="D1939" t="s">
        <v>13139</v>
      </c>
      <c r="E1939" t="s">
        <v>13140</v>
      </c>
      <c r="F1939" t="s">
        <v>108</v>
      </c>
      <c r="H1939" t="s">
        <v>13141</v>
      </c>
      <c r="I1939" t="s">
        <v>374</v>
      </c>
      <c r="J1939" t="s">
        <v>111</v>
      </c>
      <c r="K1939" t="str">
        <f>"85087"</f>
        <v>85087</v>
      </c>
      <c r="L1939" t="s">
        <v>11846</v>
      </c>
      <c r="M1939" t="s">
        <v>13141</v>
      </c>
      <c r="N1939" t="s">
        <v>374</v>
      </c>
      <c r="O1939" t="s">
        <v>111</v>
      </c>
      <c r="P1939" t="str">
        <f>"85087-7979"</f>
        <v>85087-7979</v>
      </c>
      <c r="Q1939" t="s">
        <v>113</v>
      </c>
      <c r="R1939" t="str">
        <f>"202-20-709"</f>
        <v>202-20-709</v>
      </c>
      <c r="U1939">
        <v>2597</v>
      </c>
      <c r="V1939">
        <v>0</v>
      </c>
      <c r="W1939">
        <v>4</v>
      </c>
      <c r="X1939">
        <v>2006</v>
      </c>
      <c r="Z1939">
        <v>1</v>
      </c>
      <c r="AB1939">
        <v>0</v>
      </c>
      <c r="AC1939" t="s">
        <v>115</v>
      </c>
      <c r="AD1939">
        <v>4</v>
      </c>
      <c r="AE1939" t="s">
        <v>115</v>
      </c>
      <c r="AF1939">
        <v>0</v>
      </c>
      <c r="AG1939">
        <v>0</v>
      </c>
      <c r="AH1939" t="s">
        <v>116</v>
      </c>
      <c r="AI1939" s="1">
        <v>64244</v>
      </c>
      <c r="AJ1939" s="2">
        <v>0.14000000000000001</v>
      </c>
      <c r="AK1939" s="1">
        <v>461949</v>
      </c>
      <c r="AL1939" t="s">
        <v>117</v>
      </c>
      <c r="AM1939" t="s">
        <v>376</v>
      </c>
      <c r="AN1939">
        <v>45687</v>
      </c>
      <c r="AO1939">
        <v>1.05</v>
      </c>
      <c r="AR1939">
        <v>1</v>
      </c>
      <c r="AS1939" s="1">
        <v>35770</v>
      </c>
      <c r="AT1939" s="1">
        <v>7150</v>
      </c>
      <c r="AU1939" s="1">
        <v>28620</v>
      </c>
      <c r="AV1939">
        <v>80.010000000000005</v>
      </c>
      <c r="AX1939" s="1">
        <v>3487.02</v>
      </c>
      <c r="AY1939" t="s">
        <v>665</v>
      </c>
      <c r="AZ1939" t="s">
        <v>665</v>
      </c>
      <c r="BA1939" t="s">
        <v>378</v>
      </c>
      <c r="BB1939" s="3">
        <v>42754</v>
      </c>
      <c r="BD1939" t="s">
        <v>458</v>
      </c>
      <c r="BE1939" s="3">
        <v>42489</v>
      </c>
      <c r="BF1939" s="1">
        <v>385000</v>
      </c>
      <c r="BG1939" t="s">
        <v>13142</v>
      </c>
      <c r="BH1939" s="1">
        <v>148.25</v>
      </c>
      <c r="BI1939" s="1">
        <v>397705</v>
      </c>
      <c r="BJ1939" s="3">
        <v>42489</v>
      </c>
      <c r="BK1939" t="s">
        <v>123</v>
      </c>
      <c r="BL1939" t="str">
        <f>"2016.291096"</f>
        <v>2016.291096</v>
      </c>
      <c r="BM1939" t="s">
        <v>1154</v>
      </c>
      <c r="BN1939" t="s">
        <v>1136</v>
      </c>
      <c r="BO1939" t="s">
        <v>13143</v>
      </c>
      <c r="BS1939">
        <v>30</v>
      </c>
      <c r="BW1939" t="str">
        <f>""</f>
        <v/>
      </c>
      <c r="CH1939" t="str">
        <f>""</f>
        <v/>
      </c>
      <c r="CS1939" t="str">
        <f>""</f>
        <v/>
      </c>
    </row>
    <row r="1940" spans="1:97" x14ac:dyDescent="0.25">
      <c r="B1940" t="s">
        <v>13144</v>
      </c>
      <c r="E1940" t="s">
        <v>13144</v>
      </c>
      <c r="F1940" t="s">
        <v>108</v>
      </c>
      <c r="H1940" t="s">
        <v>13145</v>
      </c>
      <c r="I1940" t="s">
        <v>632</v>
      </c>
      <c r="J1940" t="s">
        <v>111</v>
      </c>
      <c r="K1940" t="str">
        <f>"85387"</f>
        <v>85387</v>
      </c>
      <c r="L1940" t="s">
        <v>11709</v>
      </c>
      <c r="M1940" t="s">
        <v>13145</v>
      </c>
      <c r="N1940" t="s">
        <v>632</v>
      </c>
      <c r="O1940" t="s">
        <v>111</v>
      </c>
      <c r="P1940" t="str">
        <f>"85387-7259"</f>
        <v>85387-7259</v>
      </c>
      <c r="Q1940" t="s">
        <v>113</v>
      </c>
      <c r="R1940" t="str">
        <f>"232-45-167"</f>
        <v>232-45-167</v>
      </c>
      <c r="S1940" t="s">
        <v>13146</v>
      </c>
      <c r="T1940" t="s">
        <v>13146</v>
      </c>
      <c r="U1940">
        <v>1854</v>
      </c>
      <c r="V1940">
        <v>0</v>
      </c>
      <c r="W1940">
        <v>3</v>
      </c>
      <c r="X1940">
        <v>2003</v>
      </c>
      <c r="Z1940">
        <v>1</v>
      </c>
      <c r="AB1940">
        <v>0</v>
      </c>
      <c r="AC1940" t="s">
        <v>115</v>
      </c>
      <c r="AD1940">
        <v>2</v>
      </c>
      <c r="AE1940" t="s">
        <v>115</v>
      </c>
      <c r="AF1940">
        <v>0</v>
      </c>
      <c r="AG1940">
        <v>0</v>
      </c>
      <c r="AH1940" t="s">
        <v>116</v>
      </c>
      <c r="AI1940" s="1">
        <v>86959</v>
      </c>
      <c r="AJ1940" s="2">
        <v>0.25</v>
      </c>
      <c r="AK1940" s="1">
        <v>351959</v>
      </c>
      <c r="AL1940" t="s">
        <v>117</v>
      </c>
      <c r="AM1940" t="s">
        <v>118</v>
      </c>
      <c r="AN1940">
        <v>7023</v>
      </c>
      <c r="AO1940">
        <v>0.16</v>
      </c>
      <c r="AP1940">
        <v>1</v>
      </c>
      <c r="AR1940">
        <v>1</v>
      </c>
      <c r="AS1940" s="1">
        <v>22060</v>
      </c>
      <c r="AT1940" s="1">
        <v>4410</v>
      </c>
      <c r="AU1940" s="1">
        <v>17650</v>
      </c>
      <c r="AV1940">
        <v>80.010000000000005</v>
      </c>
      <c r="AX1940" s="1">
        <v>2246.1799999999998</v>
      </c>
      <c r="AY1940" t="s">
        <v>5108</v>
      </c>
      <c r="AZ1940" t="s">
        <v>5108</v>
      </c>
      <c r="BA1940" t="s">
        <v>5109</v>
      </c>
      <c r="BB1940" s="3">
        <v>42647</v>
      </c>
      <c r="BD1940" t="s">
        <v>240</v>
      </c>
      <c r="BE1940" s="3">
        <v>41926</v>
      </c>
      <c r="BF1940" s="1">
        <v>258500</v>
      </c>
      <c r="BG1940" t="s">
        <v>13147</v>
      </c>
      <c r="BH1940" s="1">
        <v>139.43</v>
      </c>
      <c r="BI1940" s="1">
        <v>265000</v>
      </c>
      <c r="BJ1940" s="3">
        <v>42853</v>
      </c>
      <c r="BK1940" t="s">
        <v>123</v>
      </c>
      <c r="BL1940" t="str">
        <f>"2017.308981"</f>
        <v>2017.308981</v>
      </c>
      <c r="BM1940" t="s">
        <v>13148</v>
      </c>
      <c r="BN1940" t="s">
        <v>12234</v>
      </c>
      <c r="BO1940" t="s">
        <v>13149</v>
      </c>
      <c r="BS1940">
        <v>30</v>
      </c>
      <c r="BT1940" s="1">
        <v>265000</v>
      </c>
      <c r="BU1940" s="3">
        <v>42853</v>
      </c>
      <c r="BV1940" t="s">
        <v>123</v>
      </c>
      <c r="BW1940" t="str">
        <f>"2017.308981"</f>
        <v>2017.308981</v>
      </c>
      <c r="BX1940" t="s">
        <v>13148</v>
      </c>
      <c r="BZ1940" t="s">
        <v>13149</v>
      </c>
      <c r="CD1940">
        <v>30</v>
      </c>
      <c r="CH1940" t="str">
        <f>""</f>
        <v/>
      </c>
      <c r="CS1940" t="str">
        <f>""</f>
        <v/>
      </c>
    </row>
    <row r="1941" spans="1:97" x14ac:dyDescent="0.25">
      <c r="A1941" t="s">
        <v>1160</v>
      </c>
      <c r="B1941" t="s">
        <v>13150</v>
      </c>
      <c r="E1941" t="s">
        <v>13151</v>
      </c>
      <c r="F1941" t="s">
        <v>108</v>
      </c>
      <c r="H1941" t="s">
        <v>13152</v>
      </c>
      <c r="I1941" t="s">
        <v>374</v>
      </c>
      <c r="J1941" t="s">
        <v>111</v>
      </c>
      <c r="K1941" t="str">
        <f>"85087"</f>
        <v>85087</v>
      </c>
      <c r="L1941" t="s">
        <v>375</v>
      </c>
      <c r="M1941" t="s">
        <v>13152</v>
      </c>
      <c r="N1941" t="s">
        <v>374</v>
      </c>
      <c r="O1941" t="s">
        <v>111</v>
      </c>
      <c r="P1941" t="str">
        <f>"85087-7184"</f>
        <v>85087-7184</v>
      </c>
      <c r="Q1941" t="s">
        <v>113</v>
      </c>
      <c r="R1941" t="str">
        <f>"202-13-052-C"</f>
        <v>202-13-052-C</v>
      </c>
      <c r="S1941" t="s">
        <v>13153</v>
      </c>
      <c r="U1941">
        <v>2448</v>
      </c>
      <c r="V1941">
        <v>0</v>
      </c>
      <c r="W1941">
        <v>4</v>
      </c>
      <c r="X1941">
        <v>2015</v>
      </c>
      <c r="Z1941">
        <v>1</v>
      </c>
      <c r="AB1941">
        <v>0</v>
      </c>
      <c r="AC1941" t="s">
        <v>115</v>
      </c>
      <c r="AD1941">
        <v>3</v>
      </c>
      <c r="AE1941" t="s">
        <v>115</v>
      </c>
      <c r="AF1941">
        <v>0</v>
      </c>
      <c r="AG1941">
        <v>0</v>
      </c>
      <c r="AH1941" t="s">
        <v>116</v>
      </c>
      <c r="AI1941" s="1">
        <v>45891</v>
      </c>
      <c r="AJ1941" s="2">
        <v>0.1</v>
      </c>
      <c r="AK1941" s="1">
        <v>439464</v>
      </c>
      <c r="AL1941" t="s">
        <v>117</v>
      </c>
      <c r="AM1941" t="s">
        <v>376</v>
      </c>
      <c r="AN1941">
        <v>43522</v>
      </c>
      <c r="AO1941">
        <v>1</v>
      </c>
      <c r="AR1941">
        <v>1</v>
      </c>
      <c r="AS1941" s="1">
        <v>31860</v>
      </c>
      <c r="AT1941" s="1">
        <v>6370</v>
      </c>
      <c r="AU1941" s="1">
        <v>25490</v>
      </c>
      <c r="AV1941">
        <v>80.010000000000005</v>
      </c>
      <c r="AX1941" s="1">
        <v>2616.9</v>
      </c>
      <c r="AY1941" t="s">
        <v>377</v>
      </c>
      <c r="AZ1941" t="s">
        <v>377</v>
      </c>
      <c r="BA1941" t="s">
        <v>378</v>
      </c>
      <c r="BB1941" s="3">
        <v>42926</v>
      </c>
      <c r="BD1941" t="s">
        <v>157</v>
      </c>
      <c r="BE1941" s="3">
        <v>42293</v>
      </c>
      <c r="BF1941" s="1">
        <v>349800</v>
      </c>
      <c r="BG1941" t="s">
        <v>379</v>
      </c>
      <c r="BH1941" s="1">
        <v>142.88999999999999</v>
      </c>
      <c r="BI1941" s="1">
        <v>393573</v>
      </c>
      <c r="BJ1941" s="3">
        <v>42926</v>
      </c>
      <c r="BK1941" t="s">
        <v>123</v>
      </c>
      <c r="BL1941" t="str">
        <f>"2017.502056"</f>
        <v>2017.502056</v>
      </c>
      <c r="BM1941" t="s">
        <v>13154</v>
      </c>
      <c r="BN1941">
        <v>84123</v>
      </c>
      <c r="BO1941" t="s">
        <v>13155</v>
      </c>
      <c r="BS1941">
        <v>30</v>
      </c>
      <c r="BW1941" t="str">
        <f>""</f>
        <v/>
      </c>
      <c r="CH1941" t="str">
        <f>""</f>
        <v/>
      </c>
      <c r="CS1941" t="str">
        <f>""</f>
        <v/>
      </c>
    </row>
    <row r="1942" spans="1:97" x14ac:dyDescent="0.25">
      <c r="A1942" t="s">
        <v>9020</v>
      </c>
      <c r="B1942" t="s">
        <v>3576</v>
      </c>
      <c r="E1942" t="s">
        <v>13156</v>
      </c>
      <c r="F1942" t="s">
        <v>139</v>
      </c>
      <c r="H1942" t="s">
        <v>13157</v>
      </c>
      <c r="I1942" t="s">
        <v>1397</v>
      </c>
      <c r="J1942" t="s">
        <v>111</v>
      </c>
      <c r="K1942" t="str">
        <f>"85331"</f>
        <v>85331</v>
      </c>
      <c r="L1942" t="s">
        <v>7816</v>
      </c>
      <c r="M1942" t="s">
        <v>13157</v>
      </c>
      <c r="N1942" t="s">
        <v>1397</v>
      </c>
      <c r="O1942" t="s">
        <v>111</v>
      </c>
      <c r="P1942" t="str">
        <f>"85331-5747"</f>
        <v>85331-5747</v>
      </c>
      <c r="Q1942" t="s">
        <v>113</v>
      </c>
      <c r="R1942" t="str">
        <f>"216-50-074-B"</f>
        <v>216-50-074-B</v>
      </c>
      <c r="U1942">
        <v>1449</v>
      </c>
      <c r="V1942">
        <v>0</v>
      </c>
      <c r="W1942">
        <v>3</v>
      </c>
      <c r="X1942">
        <v>1984</v>
      </c>
      <c r="Z1942">
        <v>1</v>
      </c>
      <c r="AB1942">
        <v>0</v>
      </c>
      <c r="AC1942" t="s">
        <v>7038</v>
      </c>
      <c r="AD1942">
        <v>0</v>
      </c>
      <c r="AE1942" t="s">
        <v>7038</v>
      </c>
      <c r="AF1942">
        <v>0</v>
      </c>
      <c r="AG1942">
        <v>0</v>
      </c>
      <c r="AH1942" t="s">
        <v>116</v>
      </c>
      <c r="AI1942" s="1">
        <v>123091</v>
      </c>
      <c r="AJ1942" s="2">
        <v>0.32</v>
      </c>
      <c r="AK1942" s="1">
        <v>386591</v>
      </c>
      <c r="AL1942" t="s">
        <v>117</v>
      </c>
      <c r="AM1942" t="s">
        <v>376</v>
      </c>
      <c r="AN1942">
        <v>60069</v>
      </c>
      <c r="AO1942">
        <v>1.38</v>
      </c>
      <c r="AP1942">
        <v>1</v>
      </c>
      <c r="AR1942">
        <v>1</v>
      </c>
      <c r="AS1942" s="1">
        <v>26220</v>
      </c>
      <c r="AT1942" s="1">
        <v>5240</v>
      </c>
      <c r="AU1942" s="1">
        <v>20980</v>
      </c>
      <c r="AV1942">
        <v>80.02</v>
      </c>
      <c r="AX1942" s="1">
        <v>1167.76</v>
      </c>
      <c r="AY1942" t="s">
        <v>1401</v>
      </c>
      <c r="AZ1942" t="s">
        <v>1402</v>
      </c>
      <c r="BA1942" t="s">
        <v>1403</v>
      </c>
      <c r="BB1942" s="3">
        <v>42977</v>
      </c>
      <c r="BD1942" t="s">
        <v>458</v>
      </c>
      <c r="BE1942" s="3">
        <v>41950</v>
      </c>
      <c r="BF1942" s="1">
        <v>285000</v>
      </c>
      <c r="BG1942" t="s">
        <v>13158</v>
      </c>
      <c r="BH1942" s="1">
        <v>196.69</v>
      </c>
      <c r="BI1942" s="1">
        <v>263500</v>
      </c>
      <c r="BJ1942" s="3">
        <v>42977</v>
      </c>
      <c r="BK1942" t="s">
        <v>123</v>
      </c>
      <c r="BL1942" t="str">
        <f>"2017.640000"</f>
        <v>2017.640000</v>
      </c>
      <c r="BM1942" t="s">
        <v>13159</v>
      </c>
      <c r="BO1942" t="s">
        <v>13160</v>
      </c>
      <c r="BS1942">
        <v>30</v>
      </c>
      <c r="BW1942" t="str">
        <f>""</f>
        <v/>
      </c>
      <c r="CH1942" t="str">
        <f>""</f>
        <v/>
      </c>
      <c r="CS1942" t="str">
        <f>""</f>
        <v/>
      </c>
    </row>
    <row r="1943" spans="1:97" x14ac:dyDescent="0.25">
      <c r="A1943" t="s">
        <v>13161</v>
      </c>
      <c r="B1943" t="s">
        <v>13162</v>
      </c>
      <c r="C1943" t="s">
        <v>370</v>
      </c>
      <c r="D1943" t="s">
        <v>13162</v>
      </c>
      <c r="E1943" t="s">
        <v>13163</v>
      </c>
      <c r="F1943" t="s">
        <v>108</v>
      </c>
      <c r="H1943" t="s">
        <v>13164</v>
      </c>
      <c r="I1943" t="s">
        <v>225</v>
      </c>
      <c r="J1943" t="s">
        <v>111</v>
      </c>
      <c r="K1943" t="str">
        <f>"85205"</f>
        <v>85205</v>
      </c>
      <c r="L1943" t="s">
        <v>1518</v>
      </c>
      <c r="M1943" t="s">
        <v>13164</v>
      </c>
      <c r="N1943" t="s">
        <v>225</v>
      </c>
      <c r="O1943" t="s">
        <v>111</v>
      </c>
      <c r="P1943" t="str">
        <f>"85205-5014"</f>
        <v>85205-5014</v>
      </c>
      <c r="Q1943" t="s">
        <v>113</v>
      </c>
      <c r="R1943" t="str">
        <f>"140-03-222"</f>
        <v>140-03-222</v>
      </c>
      <c r="S1943" t="s">
        <v>13165</v>
      </c>
      <c r="T1943" t="s">
        <v>13165</v>
      </c>
      <c r="U1943">
        <v>3740</v>
      </c>
      <c r="V1943">
        <v>0</v>
      </c>
      <c r="W1943">
        <v>5</v>
      </c>
      <c r="X1943">
        <v>1998</v>
      </c>
      <c r="Z1943">
        <v>1</v>
      </c>
      <c r="AA1943" t="s">
        <v>26</v>
      </c>
      <c r="AB1943">
        <v>0</v>
      </c>
      <c r="AC1943" t="s">
        <v>115</v>
      </c>
      <c r="AD1943">
        <v>3</v>
      </c>
      <c r="AE1943" t="s">
        <v>115</v>
      </c>
      <c r="AF1943">
        <v>0</v>
      </c>
      <c r="AG1943">
        <v>0</v>
      </c>
      <c r="AH1943" t="s">
        <v>116</v>
      </c>
      <c r="AI1943" s="1">
        <v>127913</v>
      </c>
      <c r="AJ1943" s="2">
        <v>0.21</v>
      </c>
      <c r="AK1943" s="1">
        <v>600395</v>
      </c>
      <c r="AL1943" t="s">
        <v>117</v>
      </c>
      <c r="AM1943" t="s">
        <v>1521</v>
      </c>
      <c r="AN1943">
        <v>20140</v>
      </c>
      <c r="AO1943">
        <v>0.46</v>
      </c>
      <c r="AP1943">
        <v>1</v>
      </c>
      <c r="AR1943">
        <v>1</v>
      </c>
      <c r="AS1943" s="1">
        <v>45510</v>
      </c>
      <c r="AT1943" s="1">
        <v>9100</v>
      </c>
      <c r="AU1943" s="1">
        <v>36410</v>
      </c>
      <c r="AV1943">
        <v>80</v>
      </c>
      <c r="AX1943" s="1">
        <v>4865.24</v>
      </c>
      <c r="AY1943" t="s">
        <v>6044</v>
      </c>
      <c r="AZ1943" t="s">
        <v>4163</v>
      </c>
      <c r="BA1943" t="s">
        <v>1524</v>
      </c>
      <c r="BE1943" s="3">
        <v>41838</v>
      </c>
      <c r="BF1943" s="1">
        <v>490000</v>
      </c>
      <c r="BG1943" t="s">
        <v>13166</v>
      </c>
      <c r="BH1943" s="1">
        <v>131.02000000000001</v>
      </c>
      <c r="BI1943" s="1">
        <v>472482</v>
      </c>
      <c r="BJ1943" s="3">
        <v>41838</v>
      </c>
      <c r="BK1943" t="s">
        <v>123</v>
      </c>
      <c r="BL1943" t="str">
        <f>"2014.473430"</f>
        <v>2014.473430</v>
      </c>
      <c r="BM1943" t="s">
        <v>544</v>
      </c>
      <c r="BO1943" t="s">
        <v>13167</v>
      </c>
      <c r="BS1943">
        <v>30</v>
      </c>
      <c r="BW1943" t="str">
        <f>""</f>
        <v/>
      </c>
      <c r="CH1943" t="str">
        <f>""</f>
        <v/>
      </c>
      <c r="CS1943" t="str">
        <f>""</f>
        <v/>
      </c>
    </row>
    <row r="1944" spans="1:97" x14ac:dyDescent="0.25">
      <c r="A1944" t="s">
        <v>1850</v>
      </c>
      <c r="B1944" t="s">
        <v>1697</v>
      </c>
      <c r="C1944" t="s">
        <v>3464</v>
      </c>
      <c r="D1944" t="s">
        <v>1697</v>
      </c>
      <c r="E1944" t="s">
        <v>13168</v>
      </c>
      <c r="F1944" t="s">
        <v>108</v>
      </c>
      <c r="H1944" t="s">
        <v>13169</v>
      </c>
      <c r="I1944" t="s">
        <v>453</v>
      </c>
      <c r="J1944" t="s">
        <v>111</v>
      </c>
      <c r="K1944" t="str">
        <f>"85383"</f>
        <v>85383</v>
      </c>
      <c r="L1944" t="s">
        <v>6416</v>
      </c>
      <c r="M1944" t="s">
        <v>13169</v>
      </c>
      <c r="N1944" t="s">
        <v>453</v>
      </c>
      <c r="O1944" t="s">
        <v>111</v>
      </c>
      <c r="P1944" t="str">
        <f>"85383-3246"</f>
        <v>85383-3246</v>
      </c>
      <c r="Q1944" t="s">
        <v>113</v>
      </c>
      <c r="R1944" t="str">
        <f>"201-13-071"</f>
        <v>201-13-071</v>
      </c>
      <c r="S1944" t="s">
        <v>13170</v>
      </c>
      <c r="T1944" t="s">
        <v>13170</v>
      </c>
      <c r="U1944">
        <v>4155</v>
      </c>
      <c r="V1944">
        <v>0</v>
      </c>
      <c r="W1944">
        <v>5</v>
      </c>
      <c r="X1944">
        <v>2001</v>
      </c>
      <c r="Z1944">
        <v>2</v>
      </c>
      <c r="AA1944" t="s">
        <v>26</v>
      </c>
      <c r="AB1944">
        <v>0</v>
      </c>
      <c r="AC1944" t="s">
        <v>115</v>
      </c>
      <c r="AD1944">
        <v>3</v>
      </c>
      <c r="AE1944" t="s">
        <v>115</v>
      </c>
      <c r="AF1944">
        <v>0</v>
      </c>
      <c r="AG1944">
        <v>0</v>
      </c>
      <c r="AH1944" t="s">
        <v>116</v>
      </c>
      <c r="AI1944" s="1">
        <v>123210</v>
      </c>
      <c r="AJ1944" s="2">
        <v>0.18</v>
      </c>
      <c r="AK1944" s="1">
        <v>702521</v>
      </c>
      <c r="AL1944" t="s">
        <v>117</v>
      </c>
      <c r="AM1944" t="s">
        <v>616</v>
      </c>
      <c r="AN1944">
        <v>38650</v>
      </c>
      <c r="AO1944">
        <v>0.89</v>
      </c>
      <c r="AP1944">
        <v>1</v>
      </c>
      <c r="AR1944">
        <v>1</v>
      </c>
      <c r="AS1944" s="1">
        <v>56260</v>
      </c>
      <c r="AT1944" s="1">
        <v>11250</v>
      </c>
      <c r="AU1944" s="1">
        <v>45010</v>
      </c>
      <c r="AV1944">
        <v>80</v>
      </c>
      <c r="AX1944" s="1">
        <v>5854.78</v>
      </c>
      <c r="AY1944" t="s">
        <v>3048</v>
      </c>
      <c r="AZ1944" t="s">
        <v>3049</v>
      </c>
      <c r="BA1944" t="s">
        <v>2223</v>
      </c>
      <c r="BB1944" s="3">
        <v>42111</v>
      </c>
      <c r="BD1944" t="s">
        <v>480</v>
      </c>
      <c r="BE1944" s="3">
        <v>42107</v>
      </c>
      <c r="BF1944" s="1">
        <v>622000</v>
      </c>
      <c r="BG1944" t="s">
        <v>13171</v>
      </c>
      <c r="BH1944" s="1">
        <v>149.69999999999999</v>
      </c>
      <c r="BI1944" s="1">
        <v>579311</v>
      </c>
      <c r="BJ1944" s="3">
        <v>42107</v>
      </c>
      <c r="BK1944" t="s">
        <v>123</v>
      </c>
      <c r="BL1944" t="str">
        <f>"2015.249718"</f>
        <v>2015.249718</v>
      </c>
      <c r="BM1944" t="s">
        <v>150</v>
      </c>
      <c r="BO1944" t="s">
        <v>13172</v>
      </c>
      <c r="BS1944">
        <v>30</v>
      </c>
      <c r="BW1944" t="str">
        <f>""</f>
        <v/>
      </c>
      <c r="CH1944" t="str">
        <f>""</f>
        <v/>
      </c>
      <c r="CS1944" t="str">
        <f>""</f>
        <v/>
      </c>
    </row>
    <row r="1945" spans="1:97" x14ac:dyDescent="0.25">
      <c r="A1945" t="s">
        <v>894</v>
      </c>
      <c r="B1945" t="s">
        <v>13173</v>
      </c>
      <c r="C1945" t="s">
        <v>1845</v>
      </c>
      <c r="D1945" t="s">
        <v>13173</v>
      </c>
      <c r="E1945" t="s">
        <v>13174</v>
      </c>
      <c r="F1945" t="s">
        <v>108</v>
      </c>
      <c r="H1945" t="s">
        <v>13175</v>
      </c>
      <c r="I1945" t="s">
        <v>1936</v>
      </c>
      <c r="J1945" t="s">
        <v>111</v>
      </c>
      <c r="K1945" t="str">
        <f>"85262"</f>
        <v>85262</v>
      </c>
      <c r="L1945" t="s">
        <v>1130</v>
      </c>
      <c r="M1945" t="s">
        <v>13175</v>
      </c>
      <c r="N1945" t="s">
        <v>1936</v>
      </c>
      <c r="O1945" t="s">
        <v>111</v>
      </c>
      <c r="P1945" t="str">
        <f>"85262-4032"</f>
        <v>85262-4032</v>
      </c>
      <c r="Q1945" t="s">
        <v>113</v>
      </c>
      <c r="R1945" t="str">
        <f>"219-60-498"</f>
        <v>219-60-498</v>
      </c>
      <c r="S1945" t="s">
        <v>9247</v>
      </c>
      <c r="T1945" t="s">
        <v>9247</v>
      </c>
      <c r="U1945">
        <v>4257</v>
      </c>
      <c r="V1945">
        <v>0</v>
      </c>
      <c r="W1945">
        <v>5</v>
      </c>
      <c r="X1945">
        <v>2015</v>
      </c>
      <c r="Z1945">
        <v>1</v>
      </c>
      <c r="AA1945" t="s">
        <v>26</v>
      </c>
      <c r="AB1945">
        <v>0</v>
      </c>
      <c r="AC1945" t="s">
        <v>115</v>
      </c>
      <c r="AD1945">
        <v>3</v>
      </c>
      <c r="AE1945" t="s">
        <v>115</v>
      </c>
      <c r="AF1945">
        <v>0</v>
      </c>
      <c r="AG1945">
        <v>0</v>
      </c>
      <c r="AH1945" t="s">
        <v>116</v>
      </c>
      <c r="AI1945" s="1">
        <v>177285</v>
      </c>
      <c r="AJ1945" s="2">
        <v>0.16</v>
      </c>
      <c r="AK1945" s="1">
        <v>1142447</v>
      </c>
      <c r="AL1945" t="s">
        <v>117</v>
      </c>
      <c r="AM1945" t="s">
        <v>376</v>
      </c>
      <c r="AN1945">
        <v>49004</v>
      </c>
      <c r="AO1945">
        <v>1.1200000000000001</v>
      </c>
      <c r="AR1945">
        <v>1</v>
      </c>
      <c r="AS1945" s="1">
        <v>83520</v>
      </c>
      <c r="AT1945" s="1">
        <v>16700</v>
      </c>
      <c r="AU1945" s="1">
        <v>66820</v>
      </c>
      <c r="AV1945">
        <v>80</v>
      </c>
      <c r="AX1945" s="1">
        <v>4125</v>
      </c>
      <c r="AY1945" t="s">
        <v>7359</v>
      </c>
      <c r="AZ1945" t="s">
        <v>1402</v>
      </c>
      <c r="BA1945" t="s">
        <v>1403</v>
      </c>
      <c r="BE1945" s="3">
        <v>42446</v>
      </c>
      <c r="BF1945" s="1">
        <v>1147883</v>
      </c>
      <c r="BG1945" t="s">
        <v>593</v>
      </c>
      <c r="BH1945" s="1">
        <v>269.64999999999998</v>
      </c>
      <c r="BI1945" s="1">
        <v>965162</v>
      </c>
      <c r="BJ1945" s="3">
        <v>42446</v>
      </c>
      <c r="BK1945" t="s">
        <v>123</v>
      </c>
      <c r="BL1945" t="str">
        <f>"2016.172998"</f>
        <v>2016.172998</v>
      </c>
      <c r="BM1945" t="s">
        <v>724</v>
      </c>
      <c r="BO1945" t="s">
        <v>13176</v>
      </c>
      <c r="BS1945">
        <v>30</v>
      </c>
      <c r="BW1945" t="str">
        <f>""</f>
        <v/>
      </c>
      <c r="CH1945" t="str">
        <f>""</f>
        <v/>
      </c>
      <c r="CS1945" t="str">
        <f>""</f>
        <v/>
      </c>
    </row>
    <row r="1946" spans="1:97" x14ac:dyDescent="0.25">
      <c r="A1946" t="s">
        <v>13177</v>
      </c>
      <c r="B1946" t="s">
        <v>13178</v>
      </c>
      <c r="C1946" t="s">
        <v>8737</v>
      </c>
      <c r="D1946" t="s">
        <v>13178</v>
      </c>
      <c r="E1946" t="s">
        <v>13179</v>
      </c>
      <c r="F1946" t="s">
        <v>108</v>
      </c>
      <c r="H1946" t="s">
        <v>13180</v>
      </c>
      <c r="I1946" t="s">
        <v>1936</v>
      </c>
      <c r="J1946" t="s">
        <v>111</v>
      </c>
      <c r="K1946" t="str">
        <f>"85266"</f>
        <v>85266</v>
      </c>
      <c r="L1946" t="s">
        <v>284</v>
      </c>
      <c r="M1946" t="s">
        <v>13180</v>
      </c>
      <c r="N1946" t="s">
        <v>1936</v>
      </c>
      <c r="O1946" t="s">
        <v>111</v>
      </c>
      <c r="P1946" t="str">
        <f>"85266-2746"</f>
        <v>85266-2746</v>
      </c>
      <c r="Q1946" t="s">
        <v>113</v>
      </c>
      <c r="R1946" t="str">
        <f>"216-66-359"</f>
        <v>216-66-359</v>
      </c>
      <c r="S1946" t="s">
        <v>13181</v>
      </c>
      <c r="T1946" t="s">
        <v>13182</v>
      </c>
      <c r="U1946">
        <v>2390</v>
      </c>
      <c r="V1946">
        <v>0</v>
      </c>
      <c r="W1946">
        <v>4</v>
      </c>
      <c r="X1946">
        <v>1999</v>
      </c>
      <c r="Z1946">
        <v>1</v>
      </c>
      <c r="AA1946" t="s">
        <v>26</v>
      </c>
      <c r="AB1946">
        <v>0</v>
      </c>
      <c r="AC1946" t="s">
        <v>115</v>
      </c>
      <c r="AD1946">
        <v>3</v>
      </c>
      <c r="AE1946" t="s">
        <v>115</v>
      </c>
      <c r="AF1946">
        <v>0</v>
      </c>
      <c r="AG1946">
        <v>0</v>
      </c>
      <c r="AH1946" t="s">
        <v>116</v>
      </c>
      <c r="AI1946" s="1">
        <v>222533</v>
      </c>
      <c r="AJ1946" s="2">
        <v>0.31</v>
      </c>
      <c r="AK1946" s="1">
        <v>710908</v>
      </c>
      <c r="AL1946" t="s">
        <v>117</v>
      </c>
      <c r="AM1946" t="s">
        <v>616</v>
      </c>
      <c r="AN1946">
        <v>12825</v>
      </c>
      <c r="AO1946">
        <v>0.28999999999999998</v>
      </c>
      <c r="AP1946">
        <v>1</v>
      </c>
      <c r="AR1946">
        <v>1</v>
      </c>
      <c r="AS1946" s="1">
        <v>57630</v>
      </c>
      <c r="AT1946" s="1">
        <v>11520</v>
      </c>
      <c r="AU1946" s="1">
        <v>46110</v>
      </c>
      <c r="AV1946">
        <v>80.010000000000005</v>
      </c>
      <c r="AX1946" s="1">
        <v>3177.34</v>
      </c>
      <c r="AY1946" t="s">
        <v>1401</v>
      </c>
      <c r="AZ1946" t="s">
        <v>1402</v>
      </c>
      <c r="BA1946" t="s">
        <v>1403</v>
      </c>
      <c r="BE1946" s="3">
        <v>42247</v>
      </c>
      <c r="BF1946" s="1">
        <v>625000</v>
      </c>
      <c r="BG1946" t="s">
        <v>13183</v>
      </c>
      <c r="BH1946" s="1">
        <v>261.51</v>
      </c>
      <c r="BI1946" s="1">
        <v>488375</v>
      </c>
      <c r="BJ1946" s="3">
        <v>42695</v>
      </c>
      <c r="BK1946" t="s">
        <v>123</v>
      </c>
      <c r="BL1946" t="str">
        <f>"2016.857373"</f>
        <v>2016.857373</v>
      </c>
      <c r="BM1946" t="s">
        <v>2472</v>
      </c>
      <c r="BO1946" t="s">
        <v>13184</v>
      </c>
      <c r="BS1946">
        <v>30</v>
      </c>
      <c r="BW1946" t="str">
        <f>""</f>
        <v/>
      </c>
      <c r="CH1946" t="str">
        <f>""</f>
        <v/>
      </c>
      <c r="CS1946" t="str">
        <f>""</f>
        <v/>
      </c>
    </row>
    <row r="1947" spans="1:97" x14ac:dyDescent="0.25">
      <c r="A1947" t="s">
        <v>1850</v>
      </c>
      <c r="B1947" t="s">
        <v>3901</v>
      </c>
      <c r="C1947" t="s">
        <v>489</v>
      </c>
      <c r="D1947" t="s">
        <v>3901</v>
      </c>
      <c r="E1947" t="s">
        <v>13185</v>
      </c>
      <c r="F1947" t="s">
        <v>108</v>
      </c>
      <c r="H1947" t="s">
        <v>13186</v>
      </c>
      <c r="I1947" t="s">
        <v>1397</v>
      </c>
      <c r="J1947" t="s">
        <v>111</v>
      </c>
      <c r="K1947" t="str">
        <f>"85331"</f>
        <v>85331</v>
      </c>
      <c r="L1947" t="s">
        <v>12821</v>
      </c>
      <c r="M1947" t="s">
        <v>13186</v>
      </c>
      <c r="N1947" t="s">
        <v>1397</v>
      </c>
      <c r="O1947" t="s">
        <v>111</v>
      </c>
      <c r="P1947" t="str">
        <f>"85331-9162"</f>
        <v>85331-9162</v>
      </c>
      <c r="Q1947" t="s">
        <v>113</v>
      </c>
      <c r="R1947" t="str">
        <f>"211-28-328"</f>
        <v>211-28-328</v>
      </c>
      <c r="S1947" t="s">
        <v>13187</v>
      </c>
      <c r="T1947" t="s">
        <v>13188</v>
      </c>
      <c r="U1947">
        <v>2705</v>
      </c>
      <c r="V1947">
        <v>0</v>
      </c>
      <c r="W1947">
        <v>4</v>
      </c>
      <c r="X1947">
        <v>1995</v>
      </c>
      <c r="Z1947">
        <v>1</v>
      </c>
      <c r="AA1947" t="s">
        <v>26</v>
      </c>
      <c r="AB1947">
        <v>0</v>
      </c>
      <c r="AC1947" t="s">
        <v>115</v>
      </c>
      <c r="AD1947">
        <v>2</v>
      </c>
      <c r="AE1947" t="s">
        <v>115</v>
      </c>
      <c r="AF1947">
        <v>0</v>
      </c>
      <c r="AG1947">
        <v>0</v>
      </c>
      <c r="AH1947" t="s">
        <v>116</v>
      </c>
      <c r="AI1947" s="1">
        <v>283128</v>
      </c>
      <c r="AJ1947" s="2">
        <v>0.41</v>
      </c>
      <c r="AK1947" s="1">
        <v>698253</v>
      </c>
      <c r="AL1947" t="s">
        <v>117</v>
      </c>
      <c r="AM1947" t="s">
        <v>3973</v>
      </c>
      <c r="AN1947">
        <v>38286</v>
      </c>
      <c r="AO1947">
        <v>0.88</v>
      </c>
      <c r="AP1947">
        <v>1</v>
      </c>
      <c r="AR1947">
        <v>1</v>
      </c>
      <c r="AS1947" s="1">
        <v>50930</v>
      </c>
      <c r="AT1947" s="1">
        <v>10180</v>
      </c>
      <c r="AU1947" s="1">
        <v>40750</v>
      </c>
      <c r="AV1947">
        <v>80.010000000000005</v>
      </c>
      <c r="AX1947" s="1">
        <v>2394.42</v>
      </c>
      <c r="AY1947" t="s">
        <v>7359</v>
      </c>
      <c r="AZ1947" t="s">
        <v>1402</v>
      </c>
      <c r="BA1947" t="s">
        <v>1403</v>
      </c>
      <c r="BE1947" s="3">
        <v>41869</v>
      </c>
      <c r="BF1947" s="1">
        <v>477500</v>
      </c>
      <c r="BG1947" t="s">
        <v>13189</v>
      </c>
      <c r="BH1947" s="1">
        <v>176.52</v>
      </c>
      <c r="BI1947" s="1">
        <v>415125</v>
      </c>
      <c r="BJ1947" s="3">
        <v>41869</v>
      </c>
      <c r="BK1947" t="s">
        <v>123</v>
      </c>
      <c r="BL1947" t="str">
        <f>"2014.543626"</f>
        <v>2014.543626</v>
      </c>
      <c r="BM1947" t="s">
        <v>1695</v>
      </c>
      <c r="BO1947" t="s">
        <v>13190</v>
      </c>
      <c r="BS1947">
        <v>30</v>
      </c>
      <c r="BW1947" t="str">
        <f>""</f>
        <v/>
      </c>
      <c r="CH1947" t="str">
        <f>""</f>
        <v/>
      </c>
      <c r="CS1947" t="str">
        <f>""</f>
        <v/>
      </c>
    </row>
    <row r="1948" spans="1:97" x14ac:dyDescent="0.25">
      <c r="A1948" t="s">
        <v>265</v>
      </c>
      <c r="B1948" t="s">
        <v>13191</v>
      </c>
      <c r="E1948" t="s">
        <v>13192</v>
      </c>
      <c r="F1948" t="s">
        <v>108</v>
      </c>
      <c r="H1948" t="s">
        <v>13193</v>
      </c>
      <c r="I1948" t="s">
        <v>13194</v>
      </c>
      <c r="J1948" t="s">
        <v>111</v>
      </c>
      <c r="K1948" t="str">
        <f>"85253"</f>
        <v>85253</v>
      </c>
      <c r="L1948" t="s">
        <v>8199</v>
      </c>
      <c r="M1948" t="s">
        <v>13193</v>
      </c>
      <c r="N1948" t="s">
        <v>13194</v>
      </c>
      <c r="O1948" t="s">
        <v>111</v>
      </c>
      <c r="P1948" t="str">
        <f>"85253-2819"</f>
        <v>85253-2819</v>
      </c>
      <c r="Q1948" t="s">
        <v>113</v>
      </c>
      <c r="R1948" t="str">
        <f>"169-16-132"</f>
        <v>169-16-132</v>
      </c>
      <c r="S1948" t="s">
        <v>13195</v>
      </c>
      <c r="T1948" t="s">
        <v>13196</v>
      </c>
      <c r="U1948">
        <v>4765</v>
      </c>
      <c r="V1948">
        <v>0</v>
      </c>
      <c r="W1948">
        <v>5</v>
      </c>
      <c r="X1948">
        <v>1978</v>
      </c>
      <c r="Z1948">
        <v>2</v>
      </c>
      <c r="AA1948" t="s">
        <v>26</v>
      </c>
      <c r="AB1948">
        <v>0</v>
      </c>
      <c r="AC1948" t="s">
        <v>115</v>
      </c>
      <c r="AD1948">
        <v>2</v>
      </c>
      <c r="AE1948" t="s">
        <v>115</v>
      </c>
      <c r="AF1948">
        <v>0</v>
      </c>
      <c r="AG1948">
        <v>0</v>
      </c>
      <c r="AH1948" t="s">
        <v>116</v>
      </c>
      <c r="AI1948" s="1">
        <v>556700</v>
      </c>
      <c r="AJ1948" s="2">
        <v>0.37</v>
      </c>
      <c r="AK1948" s="1">
        <v>1491685</v>
      </c>
      <c r="AL1948" t="s">
        <v>117</v>
      </c>
      <c r="AM1948" t="s">
        <v>376</v>
      </c>
      <c r="AN1948">
        <v>53332</v>
      </c>
      <c r="AO1948">
        <v>1.22</v>
      </c>
      <c r="AP1948">
        <v>1</v>
      </c>
      <c r="AR1948">
        <v>1</v>
      </c>
      <c r="AS1948" s="1">
        <v>132420</v>
      </c>
      <c r="AT1948" s="1">
        <v>26480</v>
      </c>
      <c r="AU1948" s="1">
        <v>105940</v>
      </c>
      <c r="AV1948">
        <v>80</v>
      </c>
      <c r="AX1948" s="1">
        <v>9531.0400000000009</v>
      </c>
      <c r="AY1948" t="s">
        <v>13022</v>
      </c>
      <c r="AZ1948" t="s">
        <v>6975</v>
      </c>
      <c r="BA1948" t="s">
        <v>6976</v>
      </c>
      <c r="BE1948" s="3">
        <v>42552</v>
      </c>
      <c r="BF1948" s="1">
        <v>1050000</v>
      </c>
      <c r="BG1948" t="s">
        <v>13197</v>
      </c>
      <c r="BH1948" s="1">
        <v>220.87</v>
      </c>
      <c r="BI1948" s="1">
        <v>891725</v>
      </c>
      <c r="BJ1948" s="3">
        <v>42552</v>
      </c>
      <c r="BK1948" t="s">
        <v>123</v>
      </c>
      <c r="BL1948" t="str">
        <f>"2016.465989"</f>
        <v>2016.465989</v>
      </c>
      <c r="BM1948" t="s">
        <v>709</v>
      </c>
      <c r="BN1948" t="s">
        <v>863</v>
      </c>
      <c r="BO1948" t="s">
        <v>13198</v>
      </c>
      <c r="BQ1948" t="str">
        <f>"2.8750%"</f>
        <v>2.8750%</v>
      </c>
      <c r="BR1948" t="s">
        <v>1480</v>
      </c>
      <c r="BS1948">
        <v>30</v>
      </c>
      <c r="BT1948" s="1">
        <v>43260</v>
      </c>
      <c r="BU1948" s="3">
        <v>43558</v>
      </c>
      <c r="BW1948" t="str">
        <f>"2019.231531"</f>
        <v>2019.231531</v>
      </c>
      <c r="BX1948" t="s">
        <v>13199</v>
      </c>
      <c r="BY1948" t="s">
        <v>5620</v>
      </c>
      <c r="BZ1948" t="s">
        <v>13200</v>
      </c>
      <c r="CC1948" t="s">
        <v>346</v>
      </c>
      <c r="CH1948" t="str">
        <f>""</f>
        <v/>
      </c>
      <c r="CS1948" t="str">
        <f>""</f>
        <v/>
      </c>
    </row>
    <row r="1949" spans="1:97" x14ac:dyDescent="0.25">
      <c r="A1949" t="s">
        <v>4992</v>
      </c>
      <c r="B1949" t="s">
        <v>464</v>
      </c>
      <c r="E1949" t="s">
        <v>13201</v>
      </c>
      <c r="F1949" t="s">
        <v>108</v>
      </c>
      <c r="H1949" t="s">
        <v>13202</v>
      </c>
      <c r="I1949" t="s">
        <v>203</v>
      </c>
      <c r="J1949" t="s">
        <v>111</v>
      </c>
      <c r="K1949" t="str">
        <f>"85233"</f>
        <v>85233</v>
      </c>
      <c r="L1949" t="s">
        <v>1070</v>
      </c>
      <c r="M1949" t="s">
        <v>13202</v>
      </c>
      <c r="N1949" t="s">
        <v>203</v>
      </c>
      <c r="O1949" t="s">
        <v>111</v>
      </c>
      <c r="P1949" t="str">
        <f>"85233-8612"</f>
        <v>85233-8612</v>
      </c>
      <c r="Q1949" t="s">
        <v>113</v>
      </c>
      <c r="R1949" t="str">
        <f>"302-83-786"</f>
        <v>302-83-786</v>
      </c>
      <c r="S1949" t="s">
        <v>13203</v>
      </c>
      <c r="T1949" t="s">
        <v>13203</v>
      </c>
      <c r="U1949">
        <v>1447</v>
      </c>
      <c r="V1949">
        <v>0</v>
      </c>
      <c r="W1949">
        <v>3</v>
      </c>
      <c r="X1949">
        <v>1997</v>
      </c>
      <c r="Z1949">
        <v>1</v>
      </c>
      <c r="AB1949">
        <v>0</v>
      </c>
      <c r="AC1949" t="s">
        <v>115</v>
      </c>
      <c r="AD1949">
        <v>2</v>
      </c>
      <c r="AE1949" t="s">
        <v>115</v>
      </c>
      <c r="AF1949">
        <v>0</v>
      </c>
      <c r="AG1949">
        <v>0</v>
      </c>
      <c r="AH1949" t="s">
        <v>116</v>
      </c>
      <c r="AI1949" s="1">
        <v>71254</v>
      </c>
      <c r="AJ1949" s="2">
        <v>0.24</v>
      </c>
      <c r="AK1949" s="1">
        <v>295984</v>
      </c>
      <c r="AL1949" t="s">
        <v>117</v>
      </c>
      <c r="AM1949" t="s">
        <v>393</v>
      </c>
      <c r="AN1949">
        <v>9060</v>
      </c>
      <c r="AO1949">
        <v>0.21</v>
      </c>
      <c r="AP1949">
        <v>1</v>
      </c>
      <c r="AR1949">
        <v>1</v>
      </c>
      <c r="AS1949" s="1">
        <v>21170</v>
      </c>
      <c r="AT1949" s="1">
        <v>4230</v>
      </c>
      <c r="AU1949" s="1">
        <v>16940</v>
      </c>
      <c r="AV1949">
        <v>80.02</v>
      </c>
      <c r="AX1949" s="1">
        <v>1464.34</v>
      </c>
      <c r="AY1949" t="s">
        <v>2905</v>
      </c>
      <c r="AZ1949" t="s">
        <v>2906</v>
      </c>
      <c r="BA1949" t="s">
        <v>303</v>
      </c>
      <c r="BE1949" s="3">
        <v>42468</v>
      </c>
      <c r="BF1949" s="1">
        <v>220000</v>
      </c>
      <c r="BG1949" t="s">
        <v>13204</v>
      </c>
      <c r="BH1949" s="1">
        <v>152.04</v>
      </c>
      <c r="BI1949" s="1">
        <v>224730</v>
      </c>
      <c r="BJ1949" s="3">
        <v>42468</v>
      </c>
      <c r="BK1949" t="s">
        <v>123</v>
      </c>
      <c r="BL1949" t="str">
        <f>"2016.233023"</f>
        <v>2016.233023</v>
      </c>
      <c r="BM1949" t="s">
        <v>3453</v>
      </c>
      <c r="BO1949" t="s">
        <v>13205</v>
      </c>
      <c r="BS1949">
        <v>30</v>
      </c>
      <c r="BW1949" t="str">
        <f>""</f>
        <v/>
      </c>
      <c r="CH1949" t="str">
        <f>""</f>
        <v/>
      </c>
      <c r="CS1949" t="str">
        <f>""</f>
        <v/>
      </c>
    </row>
    <row r="1950" spans="1:97" x14ac:dyDescent="0.25">
      <c r="A1950" t="s">
        <v>13206</v>
      </c>
      <c r="B1950" t="s">
        <v>13207</v>
      </c>
      <c r="C1950" t="s">
        <v>2762</v>
      </c>
      <c r="D1950" t="s">
        <v>13207</v>
      </c>
      <c r="E1950" t="s">
        <v>13208</v>
      </c>
      <c r="F1950" t="s">
        <v>108</v>
      </c>
      <c r="H1950" t="s">
        <v>13209</v>
      </c>
      <c r="I1950" t="s">
        <v>144</v>
      </c>
      <c r="J1950" t="s">
        <v>111</v>
      </c>
      <c r="K1950" t="str">
        <f>"85326"</f>
        <v>85326</v>
      </c>
      <c r="L1950" t="s">
        <v>1796</v>
      </c>
      <c r="M1950" t="s">
        <v>13209</v>
      </c>
      <c r="N1950" t="s">
        <v>144</v>
      </c>
      <c r="O1950" t="s">
        <v>111</v>
      </c>
      <c r="P1950" t="str">
        <f>"85326-4081"</f>
        <v>85326-4081</v>
      </c>
      <c r="Q1950" t="s">
        <v>113</v>
      </c>
      <c r="R1950" t="str">
        <f>"504-22-819"</f>
        <v>504-22-819</v>
      </c>
      <c r="S1950" t="s">
        <v>13210</v>
      </c>
      <c r="T1950" t="s">
        <v>13211</v>
      </c>
      <c r="U1950">
        <v>3009</v>
      </c>
      <c r="V1950">
        <v>0</v>
      </c>
      <c r="W1950">
        <v>3</v>
      </c>
      <c r="X1950">
        <v>2005</v>
      </c>
      <c r="Z1950">
        <v>1</v>
      </c>
      <c r="AA1950" t="s">
        <v>26</v>
      </c>
      <c r="AB1950">
        <v>0</v>
      </c>
      <c r="AC1950" t="s">
        <v>115</v>
      </c>
      <c r="AD1950">
        <v>3</v>
      </c>
      <c r="AE1950" t="s">
        <v>115</v>
      </c>
      <c r="AF1950">
        <v>0</v>
      </c>
      <c r="AG1950">
        <v>0</v>
      </c>
      <c r="AH1950" t="s">
        <v>116</v>
      </c>
      <c r="AI1950" s="1">
        <v>60393</v>
      </c>
      <c r="AJ1950" s="2">
        <v>0.17</v>
      </c>
      <c r="AK1950" s="1">
        <v>351893</v>
      </c>
      <c r="AL1950" t="s">
        <v>117</v>
      </c>
      <c r="AM1950" t="s">
        <v>118</v>
      </c>
      <c r="AN1950">
        <v>17100</v>
      </c>
      <c r="AO1950">
        <v>0.39</v>
      </c>
      <c r="AR1950">
        <v>1</v>
      </c>
      <c r="AS1950" s="1">
        <v>24720</v>
      </c>
      <c r="AT1950" s="1">
        <v>4940</v>
      </c>
      <c r="AU1950" s="1">
        <v>19780</v>
      </c>
      <c r="AV1950">
        <v>80.02</v>
      </c>
      <c r="AX1950" s="1">
        <v>2744.38</v>
      </c>
      <c r="AY1950" t="s">
        <v>5024</v>
      </c>
      <c r="AZ1950" t="s">
        <v>5024</v>
      </c>
      <c r="BA1950" t="s">
        <v>5025</v>
      </c>
      <c r="BE1950" s="3">
        <v>41963</v>
      </c>
      <c r="BF1950" s="1">
        <v>291500</v>
      </c>
      <c r="BG1950" t="s">
        <v>13212</v>
      </c>
      <c r="BH1950" s="1">
        <v>96.88</v>
      </c>
      <c r="BI1950" s="1">
        <v>291500</v>
      </c>
      <c r="BJ1950" s="3">
        <v>41963</v>
      </c>
      <c r="BK1950" t="s">
        <v>123</v>
      </c>
      <c r="BL1950" t="str">
        <f>"2014.768787"</f>
        <v>2014.768787</v>
      </c>
      <c r="BM1950" t="s">
        <v>135</v>
      </c>
      <c r="BO1950" t="s">
        <v>13213</v>
      </c>
      <c r="BS1950">
        <v>30</v>
      </c>
      <c r="BW1950" t="str">
        <f>""</f>
        <v/>
      </c>
      <c r="CH1950" t="str">
        <f>""</f>
        <v/>
      </c>
      <c r="CS1950" t="str">
        <f>""</f>
        <v/>
      </c>
    </row>
    <row r="1951" spans="1:97" x14ac:dyDescent="0.25">
      <c r="A1951" t="s">
        <v>13214</v>
      </c>
      <c r="B1951" t="s">
        <v>1955</v>
      </c>
      <c r="C1951" t="s">
        <v>13215</v>
      </c>
      <c r="D1951" t="s">
        <v>1955</v>
      </c>
      <c r="E1951" t="s">
        <v>13216</v>
      </c>
      <c r="F1951" t="s">
        <v>108</v>
      </c>
      <c r="H1951" t="s">
        <v>13217</v>
      </c>
      <c r="I1951" t="s">
        <v>499</v>
      </c>
      <c r="J1951" t="s">
        <v>111</v>
      </c>
      <c r="K1951" t="str">
        <f>"85338"</f>
        <v>85338</v>
      </c>
      <c r="L1951" t="s">
        <v>5325</v>
      </c>
      <c r="M1951" t="s">
        <v>13217</v>
      </c>
      <c r="N1951" t="s">
        <v>499</v>
      </c>
      <c r="O1951" t="s">
        <v>111</v>
      </c>
      <c r="P1951" t="str">
        <f>"85338-4902"</f>
        <v>85338-4902</v>
      </c>
      <c r="Q1951" t="s">
        <v>113</v>
      </c>
      <c r="R1951" t="str">
        <f>"400-79-091"</f>
        <v>400-79-091</v>
      </c>
      <c r="S1951" t="s">
        <v>9894</v>
      </c>
      <c r="T1951" t="s">
        <v>9895</v>
      </c>
      <c r="U1951">
        <v>2183</v>
      </c>
      <c r="V1951">
        <v>0</v>
      </c>
      <c r="W1951">
        <v>3</v>
      </c>
      <c r="X1951">
        <v>2001</v>
      </c>
      <c r="Z1951">
        <v>1</v>
      </c>
      <c r="AA1951" t="s">
        <v>26</v>
      </c>
      <c r="AB1951">
        <v>0</v>
      </c>
      <c r="AC1951" t="s">
        <v>115</v>
      </c>
      <c r="AD1951">
        <v>3</v>
      </c>
      <c r="AE1951" t="s">
        <v>115</v>
      </c>
      <c r="AF1951">
        <v>0</v>
      </c>
      <c r="AG1951">
        <v>0</v>
      </c>
      <c r="AH1951" t="s">
        <v>116</v>
      </c>
      <c r="AI1951" s="1">
        <v>55966</v>
      </c>
      <c r="AJ1951" s="2">
        <v>0.18</v>
      </c>
      <c r="AK1951" s="1">
        <v>318348</v>
      </c>
      <c r="AL1951" t="s">
        <v>117</v>
      </c>
      <c r="AM1951" t="s">
        <v>118</v>
      </c>
      <c r="AN1951">
        <v>8675</v>
      </c>
      <c r="AO1951">
        <v>0.2</v>
      </c>
      <c r="AP1951">
        <v>1</v>
      </c>
      <c r="AR1951">
        <v>1</v>
      </c>
      <c r="AS1951" s="1">
        <v>22820</v>
      </c>
      <c r="AT1951" s="1">
        <v>4560</v>
      </c>
      <c r="AU1951" s="1">
        <v>18260</v>
      </c>
      <c r="AV1951">
        <v>80.02</v>
      </c>
      <c r="AX1951" s="1">
        <v>2109.2800000000002</v>
      </c>
      <c r="AY1951" t="s">
        <v>4236</v>
      </c>
      <c r="AZ1951" t="s">
        <v>4236</v>
      </c>
      <c r="BA1951" t="s">
        <v>1247</v>
      </c>
      <c r="BE1951" s="3">
        <v>42214</v>
      </c>
      <c r="BF1951" s="1">
        <v>254000</v>
      </c>
      <c r="BG1951" t="s">
        <v>13218</v>
      </c>
      <c r="BH1951" s="1">
        <v>116.35</v>
      </c>
      <c r="BI1951" s="1">
        <v>262382</v>
      </c>
      <c r="BJ1951" s="3">
        <v>42214</v>
      </c>
      <c r="BK1951" t="s">
        <v>123</v>
      </c>
      <c r="BL1951" t="str">
        <f>"2015.549514"</f>
        <v>2015.549514</v>
      </c>
      <c r="BM1951" t="s">
        <v>1033</v>
      </c>
      <c r="BO1951" t="s">
        <v>13219</v>
      </c>
      <c r="BS1951">
        <v>30</v>
      </c>
      <c r="BW1951" t="str">
        <f>""</f>
        <v/>
      </c>
      <c r="CH1951" t="str">
        <f>""</f>
        <v/>
      </c>
      <c r="CS1951" t="str">
        <f>""</f>
        <v/>
      </c>
    </row>
    <row r="1952" spans="1:97" x14ac:dyDescent="0.25">
      <c r="A1952" t="s">
        <v>996</v>
      </c>
      <c r="B1952" t="s">
        <v>13220</v>
      </c>
      <c r="E1952" t="s">
        <v>13221</v>
      </c>
      <c r="F1952" t="s">
        <v>108</v>
      </c>
      <c r="H1952" t="s">
        <v>13222</v>
      </c>
      <c r="I1952" t="s">
        <v>632</v>
      </c>
      <c r="J1952" t="s">
        <v>111</v>
      </c>
      <c r="K1952" t="str">
        <f>"85388"</f>
        <v>85388</v>
      </c>
      <c r="L1952" t="s">
        <v>5165</v>
      </c>
      <c r="M1952" t="s">
        <v>13222</v>
      </c>
      <c r="N1952" t="s">
        <v>632</v>
      </c>
      <c r="O1952" t="s">
        <v>111</v>
      </c>
      <c r="P1952" t="str">
        <f>"85388-5004"</f>
        <v>85388-5004</v>
      </c>
      <c r="Q1952" t="s">
        <v>113</v>
      </c>
      <c r="R1952" t="str">
        <f>"502-05-515"</f>
        <v>502-05-515</v>
      </c>
      <c r="S1952" t="s">
        <v>5166</v>
      </c>
      <c r="T1952" t="s">
        <v>5167</v>
      </c>
      <c r="U1952">
        <v>2288</v>
      </c>
      <c r="V1952">
        <v>0</v>
      </c>
      <c r="W1952">
        <v>4</v>
      </c>
      <c r="X1952">
        <v>2006</v>
      </c>
      <c r="Z1952">
        <v>1</v>
      </c>
      <c r="AB1952">
        <v>0</v>
      </c>
      <c r="AC1952" t="s">
        <v>115</v>
      </c>
      <c r="AD1952">
        <v>3</v>
      </c>
      <c r="AE1952" t="s">
        <v>115</v>
      </c>
      <c r="AF1952">
        <v>0</v>
      </c>
      <c r="AG1952">
        <v>0</v>
      </c>
      <c r="AH1952" t="s">
        <v>116</v>
      </c>
      <c r="AI1952" s="1">
        <v>70656</v>
      </c>
      <c r="AJ1952" s="2">
        <v>0.23</v>
      </c>
      <c r="AK1952" s="1">
        <v>305498</v>
      </c>
      <c r="AL1952" t="s">
        <v>117</v>
      </c>
      <c r="AM1952" t="s">
        <v>118</v>
      </c>
      <c r="AN1952">
        <v>9682</v>
      </c>
      <c r="AO1952">
        <v>0.22</v>
      </c>
      <c r="AR1952">
        <v>1</v>
      </c>
      <c r="AS1952" s="1">
        <v>21900</v>
      </c>
      <c r="AT1952" s="1">
        <v>4380</v>
      </c>
      <c r="AU1952" s="1">
        <v>17520</v>
      </c>
      <c r="AV1952">
        <v>80</v>
      </c>
      <c r="AX1952" s="1">
        <v>1809.34</v>
      </c>
      <c r="AY1952" t="s">
        <v>5168</v>
      </c>
      <c r="AZ1952" t="s">
        <v>5168</v>
      </c>
      <c r="BA1952" t="s">
        <v>5061</v>
      </c>
      <c r="BE1952" s="3">
        <v>42366</v>
      </c>
      <c r="BF1952" s="1">
        <v>229000</v>
      </c>
      <c r="BG1952" t="s">
        <v>13223</v>
      </c>
      <c r="BH1952" s="1">
        <v>100.09</v>
      </c>
      <c r="BI1952" s="1">
        <v>234842</v>
      </c>
      <c r="BJ1952" s="3">
        <v>42366</v>
      </c>
      <c r="BK1952" t="s">
        <v>123</v>
      </c>
      <c r="BL1952" t="str">
        <f>"2015.910996"</f>
        <v>2015.910996</v>
      </c>
      <c r="BM1952" t="s">
        <v>9665</v>
      </c>
      <c r="BO1952" t="s">
        <v>13224</v>
      </c>
      <c r="BS1952">
        <v>30</v>
      </c>
      <c r="BW1952" t="str">
        <f>""</f>
        <v/>
      </c>
      <c r="CH1952" t="str">
        <f>""</f>
        <v/>
      </c>
      <c r="CS1952" t="str">
        <f>""</f>
        <v/>
      </c>
    </row>
    <row r="1953" spans="1:97" x14ac:dyDescent="0.25">
      <c r="A1953" t="s">
        <v>464</v>
      </c>
      <c r="B1953" t="s">
        <v>13225</v>
      </c>
      <c r="C1953" t="s">
        <v>13226</v>
      </c>
      <c r="D1953" t="s">
        <v>13225</v>
      </c>
      <c r="E1953" t="s">
        <v>13227</v>
      </c>
      <c r="F1953" t="s">
        <v>108</v>
      </c>
      <c r="H1953" t="s">
        <v>13228</v>
      </c>
      <c r="I1953" t="s">
        <v>203</v>
      </c>
      <c r="J1953" t="s">
        <v>111</v>
      </c>
      <c r="K1953" t="str">
        <f>"85296"</f>
        <v>85296</v>
      </c>
      <c r="L1953" t="s">
        <v>5588</v>
      </c>
      <c r="M1953" t="s">
        <v>13228</v>
      </c>
      <c r="N1953" t="s">
        <v>203</v>
      </c>
      <c r="O1953" t="s">
        <v>111</v>
      </c>
      <c r="P1953" t="str">
        <f>"85296-7349"</f>
        <v>85296-7349</v>
      </c>
      <c r="Q1953" t="s">
        <v>113</v>
      </c>
      <c r="R1953" t="str">
        <f>"313-15-413"</f>
        <v>313-15-413</v>
      </c>
      <c r="S1953" t="s">
        <v>5589</v>
      </c>
      <c r="U1953">
        <v>2851</v>
      </c>
      <c r="V1953">
        <v>0</v>
      </c>
      <c r="W1953">
        <v>4</v>
      </c>
      <c r="X1953">
        <v>2009</v>
      </c>
      <c r="Z1953">
        <v>2</v>
      </c>
      <c r="AB1953">
        <v>0</v>
      </c>
      <c r="AC1953" t="s">
        <v>115</v>
      </c>
      <c r="AD1953">
        <v>2</v>
      </c>
      <c r="AE1953" t="s">
        <v>115</v>
      </c>
      <c r="AF1953">
        <v>0</v>
      </c>
      <c r="AG1953">
        <v>0</v>
      </c>
      <c r="AH1953" t="s">
        <v>116</v>
      </c>
      <c r="AI1953" s="1">
        <v>73235</v>
      </c>
      <c r="AJ1953" s="2">
        <v>0.21</v>
      </c>
      <c r="AK1953" s="1">
        <v>354147</v>
      </c>
      <c r="AL1953" t="s">
        <v>117</v>
      </c>
      <c r="AM1953" t="s">
        <v>288</v>
      </c>
      <c r="AN1953">
        <v>5850</v>
      </c>
      <c r="AO1953">
        <v>0.13</v>
      </c>
      <c r="AR1953">
        <v>1</v>
      </c>
      <c r="AS1953" s="1">
        <v>25800</v>
      </c>
      <c r="AT1953" s="1">
        <v>5160</v>
      </c>
      <c r="AU1953" s="1">
        <v>20640</v>
      </c>
      <c r="AV1953">
        <v>80</v>
      </c>
      <c r="AX1953" s="1">
        <v>2355.58</v>
      </c>
      <c r="AY1953" t="s">
        <v>472</v>
      </c>
      <c r="AZ1953" t="s">
        <v>472</v>
      </c>
      <c r="BA1953" t="s">
        <v>473</v>
      </c>
      <c r="BE1953" s="3">
        <v>42219</v>
      </c>
      <c r="BF1953" s="1">
        <v>275000</v>
      </c>
      <c r="BG1953" t="s">
        <v>13229</v>
      </c>
      <c r="BH1953" s="1">
        <v>96.46</v>
      </c>
      <c r="BI1953" s="1">
        <v>280912</v>
      </c>
      <c r="BJ1953" s="3">
        <v>42219</v>
      </c>
      <c r="BK1953" t="s">
        <v>123</v>
      </c>
      <c r="BL1953" t="str">
        <f>"2015.561242"</f>
        <v>2015.561242</v>
      </c>
      <c r="BM1953" t="s">
        <v>5348</v>
      </c>
      <c r="BO1953" t="s">
        <v>13230</v>
      </c>
      <c r="BS1953">
        <v>30</v>
      </c>
      <c r="BW1953" t="str">
        <f>""</f>
        <v/>
      </c>
      <c r="CH1953" t="str">
        <f>""</f>
        <v/>
      </c>
      <c r="CS1953" t="str">
        <f>""</f>
        <v/>
      </c>
    </row>
    <row r="1954" spans="1:97" x14ac:dyDescent="0.25">
      <c r="A1954" t="s">
        <v>294</v>
      </c>
      <c r="B1954" t="s">
        <v>13231</v>
      </c>
      <c r="C1954" t="s">
        <v>817</v>
      </c>
      <c r="D1954" t="s">
        <v>13231</v>
      </c>
      <c r="E1954" t="s">
        <v>13232</v>
      </c>
      <c r="F1954" t="s">
        <v>108</v>
      </c>
      <c r="H1954" t="s">
        <v>13233</v>
      </c>
      <c r="I1954" t="s">
        <v>203</v>
      </c>
      <c r="J1954" t="s">
        <v>111</v>
      </c>
      <c r="K1954" t="str">
        <f>"85234"</f>
        <v>85234</v>
      </c>
      <c r="L1954" t="s">
        <v>6891</v>
      </c>
      <c r="M1954" t="s">
        <v>13233</v>
      </c>
      <c r="N1954" t="s">
        <v>203</v>
      </c>
      <c r="O1954" t="s">
        <v>111</v>
      </c>
      <c r="P1954" t="str">
        <f>"85234-2709"</f>
        <v>85234-2709</v>
      </c>
      <c r="Q1954" t="s">
        <v>113</v>
      </c>
      <c r="R1954" t="str">
        <f>"309-04-007"</f>
        <v>309-04-007</v>
      </c>
      <c r="S1954" t="s">
        <v>13234</v>
      </c>
      <c r="T1954" t="s">
        <v>13235</v>
      </c>
      <c r="U1954">
        <v>2870</v>
      </c>
      <c r="V1954">
        <v>0</v>
      </c>
      <c r="W1954">
        <v>4</v>
      </c>
      <c r="X1954">
        <v>1991</v>
      </c>
      <c r="Z1954">
        <v>2</v>
      </c>
      <c r="AB1954">
        <v>0</v>
      </c>
      <c r="AC1954" t="s">
        <v>115</v>
      </c>
      <c r="AD1954">
        <v>3</v>
      </c>
      <c r="AE1954" t="s">
        <v>115</v>
      </c>
      <c r="AF1954">
        <v>0</v>
      </c>
      <c r="AG1954">
        <v>0</v>
      </c>
      <c r="AH1954" t="s">
        <v>116</v>
      </c>
      <c r="AI1954" s="1">
        <v>185665</v>
      </c>
      <c r="AJ1954" s="2">
        <v>0.28000000000000003</v>
      </c>
      <c r="AK1954" s="1">
        <v>665235</v>
      </c>
      <c r="AL1954" t="s">
        <v>117</v>
      </c>
      <c r="AM1954" t="s">
        <v>393</v>
      </c>
      <c r="AN1954">
        <v>10402</v>
      </c>
      <c r="AO1954">
        <v>0.24</v>
      </c>
      <c r="AP1954">
        <v>1</v>
      </c>
      <c r="AR1954">
        <v>1</v>
      </c>
      <c r="AS1954" s="1">
        <v>42430</v>
      </c>
      <c r="AT1954" s="1">
        <v>8480</v>
      </c>
      <c r="AU1954" s="1">
        <v>33950</v>
      </c>
      <c r="AV1954">
        <v>80.010000000000005</v>
      </c>
      <c r="AX1954" s="1">
        <v>3565.36</v>
      </c>
      <c r="AY1954" t="s">
        <v>10191</v>
      </c>
      <c r="AZ1954" t="s">
        <v>571</v>
      </c>
      <c r="BA1954" t="s">
        <v>521</v>
      </c>
      <c r="BE1954" s="3">
        <v>42543</v>
      </c>
      <c r="BF1954" s="1">
        <v>480000</v>
      </c>
      <c r="BG1954" t="s">
        <v>13236</v>
      </c>
      <c r="BH1954" s="1">
        <v>167.25</v>
      </c>
      <c r="BI1954" s="1">
        <v>479570</v>
      </c>
      <c r="BJ1954" s="3">
        <v>42543</v>
      </c>
      <c r="BK1954" t="s">
        <v>123</v>
      </c>
      <c r="BL1954" t="str">
        <f>"2016.437501"</f>
        <v>2016.437501</v>
      </c>
      <c r="BM1954" t="s">
        <v>1287</v>
      </c>
      <c r="BO1954" t="s">
        <v>13237</v>
      </c>
      <c r="BS1954">
        <v>30</v>
      </c>
      <c r="BW1954" t="str">
        <f>""</f>
        <v/>
      </c>
      <c r="CH1954" t="str">
        <f>""</f>
        <v/>
      </c>
      <c r="CS1954" t="str">
        <f>""</f>
        <v/>
      </c>
    </row>
    <row r="1955" spans="1:97" x14ac:dyDescent="0.25">
      <c r="A1955" t="s">
        <v>370</v>
      </c>
      <c r="B1955" t="s">
        <v>110</v>
      </c>
      <c r="C1955" t="s">
        <v>13238</v>
      </c>
      <c r="D1955" t="s">
        <v>110</v>
      </c>
      <c r="E1955" t="s">
        <v>13239</v>
      </c>
      <c r="F1955" t="s">
        <v>108</v>
      </c>
      <c r="H1955" t="s">
        <v>13240</v>
      </c>
      <c r="I1955" t="s">
        <v>2874</v>
      </c>
      <c r="J1955" t="s">
        <v>111</v>
      </c>
      <c r="K1955" t="str">
        <f>"85308"</f>
        <v>85308</v>
      </c>
      <c r="L1955" t="s">
        <v>5239</v>
      </c>
      <c r="M1955" t="s">
        <v>13240</v>
      </c>
      <c r="N1955" t="s">
        <v>2874</v>
      </c>
      <c r="O1955" t="s">
        <v>111</v>
      </c>
      <c r="P1955" t="str">
        <f>"85308-5618"</f>
        <v>85308-5618</v>
      </c>
      <c r="Q1955" t="s">
        <v>113</v>
      </c>
      <c r="R1955" t="str">
        <f>"200-29-160"</f>
        <v>200-29-160</v>
      </c>
      <c r="S1955" t="s">
        <v>13241</v>
      </c>
      <c r="T1955" t="s">
        <v>13242</v>
      </c>
      <c r="U1955">
        <v>1955</v>
      </c>
      <c r="V1955">
        <v>0</v>
      </c>
      <c r="W1955">
        <v>3</v>
      </c>
      <c r="X1955">
        <v>1986</v>
      </c>
      <c r="Z1955">
        <v>1</v>
      </c>
      <c r="AB1955">
        <v>0</v>
      </c>
      <c r="AC1955" t="s">
        <v>115</v>
      </c>
      <c r="AD1955">
        <v>2</v>
      </c>
      <c r="AE1955" t="s">
        <v>115</v>
      </c>
      <c r="AF1955">
        <v>0</v>
      </c>
      <c r="AG1955">
        <v>0</v>
      </c>
      <c r="AH1955" t="s">
        <v>116</v>
      </c>
      <c r="AI1955" s="1">
        <v>23388</v>
      </c>
      <c r="AJ1955" s="2">
        <v>7.0000000000000007E-2</v>
      </c>
      <c r="AK1955" s="1">
        <v>331582</v>
      </c>
      <c r="AL1955" t="s">
        <v>117</v>
      </c>
      <c r="AM1955" t="s">
        <v>191</v>
      </c>
      <c r="AN1955">
        <v>6400</v>
      </c>
      <c r="AO1955">
        <v>0.15</v>
      </c>
      <c r="AP1955">
        <v>1</v>
      </c>
      <c r="AR1955">
        <v>1</v>
      </c>
      <c r="AS1955" s="1">
        <v>23700</v>
      </c>
      <c r="AT1955" s="1">
        <v>4740</v>
      </c>
      <c r="AU1955" s="1">
        <v>18960</v>
      </c>
      <c r="AV1955">
        <v>80</v>
      </c>
      <c r="AX1955" s="1">
        <v>2630.8</v>
      </c>
      <c r="AY1955" t="s">
        <v>8400</v>
      </c>
      <c r="AZ1955" t="s">
        <v>8400</v>
      </c>
      <c r="BA1955" t="s">
        <v>2223</v>
      </c>
      <c r="BB1955" s="3">
        <v>42192</v>
      </c>
      <c r="BD1955" t="s">
        <v>240</v>
      </c>
      <c r="BE1955" s="3">
        <v>42192</v>
      </c>
      <c r="BF1955" s="1">
        <v>299900</v>
      </c>
      <c r="BG1955" t="s">
        <v>13243</v>
      </c>
      <c r="BH1955" s="1">
        <v>153.4</v>
      </c>
      <c r="BI1955" s="1">
        <v>308194</v>
      </c>
      <c r="BJ1955" s="3">
        <v>42439</v>
      </c>
      <c r="BK1955" t="s">
        <v>123</v>
      </c>
      <c r="BL1955" t="str">
        <f>"2016.154050"</f>
        <v>2016.154050</v>
      </c>
      <c r="BM1955" t="s">
        <v>402</v>
      </c>
      <c r="BO1955" t="s">
        <v>13244</v>
      </c>
      <c r="BS1955">
        <v>30</v>
      </c>
      <c r="BW1955" t="str">
        <f>""</f>
        <v/>
      </c>
      <c r="CH1955" t="str">
        <f>""</f>
        <v/>
      </c>
      <c r="CS1955" t="str">
        <f>""</f>
        <v/>
      </c>
    </row>
    <row r="1956" spans="1:97" x14ac:dyDescent="0.25">
      <c r="A1956" t="s">
        <v>305</v>
      </c>
      <c r="B1956" t="s">
        <v>1979</v>
      </c>
      <c r="C1956" t="s">
        <v>13053</v>
      </c>
      <c r="D1956" t="s">
        <v>1979</v>
      </c>
      <c r="E1956" t="s">
        <v>13245</v>
      </c>
      <c r="F1956" t="s">
        <v>108</v>
      </c>
      <c r="H1956" t="s">
        <v>13246</v>
      </c>
      <c r="I1956" t="s">
        <v>6646</v>
      </c>
      <c r="J1956" t="s">
        <v>111</v>
      </c>
      <c r="K1956" t="str">
        <f>"85086"</f>
        <v>85086</v>
      </c>
      <c r="L1956" t="s">
        <v>1070</v>
      </c>
      <c r="M1956" t="s">
        <v>13246</v>
      </c>
      <c r="N1956" t="s">
        <v>6646</v>
      </c>
      <c r="O1956" t="s">
        <v>111</v>
      </c>
      <c r="P1956" t="str">
        <f>"85086-1601"</f>
        <v>85086-1601</v>
      </c>
      <c r="Q1956" t="s">
        <v>113</v>
      </c>
      <c r="R1956" t="str">
        <f>"203-10-171"</f>
        <v>203-10-171</v>
      </c>
      <c r="S1956" t="s">
        <v>13247</v>
      </c>
      <c r="U1956">
        <v>2140</v>
      </c>
      <c r="V1956">
        <v>0</v>
      </c>
      <c r="W1956">
        <v>4</v>
      </c>
      <c r="X1956">
        <v>2000</v>
      </c>
      <c r="Z1956">
        <v>2</v>
      </c>
      <c r="AA1956" t="s">
        <v>26</v>
      </c>
      <c r="AB1956">
        <v>0</v>
      </c>
      <c r="AC1956" t="s">
        <v>115</v>
      </c>
      <c r="AD1956">
        <v>2</v>
      </c>
      <c r="AE1956" t="s">
        <v>115</v>
      </c>
      <c r="AF1956">
        <v>0</v>
      </c>
      <c r="AG1956">
        <v>0</v>
      </c>
      <c r="AH1956" t="s">
        <v>116</v>
      </c>
      <c r="AI1956" s="1">
        <v>41103</v>
      </c>
      <c r="AJ1956" s="2">
        <v>0.13</v>
      </c>
      <c r="AK1956" s="1">
        <v>315603</v>
      </c>
      <c r="AL1956" t="s">
        <v>117</v>
      </c>
      <c r="AM1956" t="s">
        <v>393</v>
      </c>
      <c r="AN1956">
        <v>5240</v>
      </c>
      <c r="AO1956">
        <v>0.12</v>
      </c>
      <c r="AP1956">
        <v>1</v>
      </c>
      <c r="AR1956">
        <v>1</v>
      </c>
      <c r="AS1956" s="1">
        <v>22170</v>
      </c>
      <c r="AT1956" s="1">
        <v>4430</v>
      </c>
      <c r="AU1956" s="1">
        <v>17740</v>
      </c>
      <c r="AV1956">
        <v>80.02</v>
      </c>
      <c r="AX1956" s="1">
        <v>2280.58</v>
      </c>
      <c r="AY1956" t="s">
        <v>6648</v>
      </c>
      <c r="AZ1956" t="s">
        <v>6648</v>
      </c>
      <c r="BA1956" t="s">
        <v>378</v>
      </c>
      <c r="BE1956" s="3">
        <v>41729</v>
      </c>
      <c r="BF1956" s="1">
        <v>230000</v>
      </c>
      <c r="BG1956" t="s">
        <v>13248</v>
      </c>
      <c r="BH1956" s="1">
        <v>107.48</v>
      </c>
      <c r="BI1956" s="1">
        <v>274500</v>
      </c>
      <c r="BJ1956" s="3">
        <v>43305</v>
      </c>
      <c r="BK1956" t="s">
        <v>123</v>
      </c>
      <c r="BL1956" t="str">
        <f>"2018.557837"</f>
        <v>2018.557837</v>
      </c>
      <c r="BM1956" t="s">
        <v>5842</v>
      </c>
      <c r="BN1956" t="s">
        <v>5843</v>
      </c>
      <c r="BO1956" t="s">
        <v>13249</v>
      </c>
      <c r="BP1956" t="s">
        <v>13250</v>
      </c>
      <c r="BR1956" t="s">
        <v>139</v>
      </c>
      <c r="BW1956" t="str">
        <f>""</f>
        <v/>
      </c>
      <c r="CH1956" t="str">
        <f>""</f>
        <v/>
      </c>
      <c r="CS1956" t="str">
        <f>""</f>
        <v/>
      </c>
    </row>
    <row r="1957" spans="1:97" x14ac:dyDescent="0.25">
      <c r="A1957" t="s">
        <v>251</v>
      </c>
      <c r="B1957" t="s">
        <v>13251</v>
      </c>
      <c r="C1957" t="s">
        <v>713</v>
      </c>
      <c r="D1957" t="s">
        <v>13251</v>
      </c>
      <c r="E1957" t="s">
        <v>13252</v>
      </c>
      <c r="F1957" t="s">
        <v>108</v>
      </c>
      <c r="H1957" t="s">
        <v>13253</v>
      </c>
      <c r="I1957" t="s">
        <v>203</v>
      </c>
      <c r="J1957" t="s">
        <v>111</v>
      </c>
      <c r="K1957" t="str">
        <f>"85295"</f>
        <v>85295</v>
      </c>
      <c r="L1957" t="s">
        <v>7109</v>
      </c>
      <c r="M1957" t="s">
        <v>13253</v>
      </c>
      <c r="N1957" t="s">
        <v>203</v>
      </c>
      <c r="O1957" t="s">
        <v>111</v>
      </c>
      <c r="P1957" t="str">
        <f>"85295-1721"</f>
        <v>85295-1721</v>
      </c>
      <c r="Q1957" t="s">
        <v>113</v>
      </c>
      <c r="R1957" t="str">
        <f>"304-45-293"</f>
        <v>304-45-293</v>
      </c>
      <c r="S1957" t="s">
        <v>12999</v>
      </c>
      <c r="T1957" t="s">
        <v>13000</v>
      </c>
      <c r="U1957">
        <v>3067</v>
      </c>
      <c r="V1957">
        <v>0</v>
      </c>
      <c r="W1957">
        <v>4</v>
      </c>
      <c r="X1957">
        <v>2004</v>
      </c>
      <c r="Z1957">
        <v>2</v>
      </c>
      <c r="AA1957" t="s">
        <v>26</v>
      </c>
      <c r="AB1957">
        <v>0</v>
      </c>
      <c r="AC1957" t="s">
        <v>115</v>
      </c>
      <c r="AD1957">
        <v>3</v>
      </c>
      <c r="AE1957" t="s">
        <v>115</v>
      </c>
      <c r="AF1957">
        <v>0</v>
      </c>
      <c r="AG1957">
        <v>0</v>
      </c>
      <c r="AH1957" t="s">
        <v>116</v>
      </c>
      <c r="AI1957" s="1">
        <v>112834</v>
      </c>
      <c r="AJ1957" s="2">
        <v>0.23</v>
      </c>
      <c r="AK1957" s="1">
        <v>495641</v>
      </c>
      <c r="AL1957" t="s">
        <v>117</v>
      </c>
      <c r="AM1957" t="s">
        <v>191</v>
      </c>
      <c r="AN1957">
        <v>10250</v>
      </c>
      <c r="AO1957">
        <v>0.24</v>
      </c>
      <c r="AP1957">
        <v>1</v>
      </c>
      <c r="AR1957">
        <v>1</v>
      </c>
      <c r="AS1957" s="1">
        <v>35930</v>
      </c>
      <c r="AT1957" s="1">
        <v>7180</v>
      </c>
      <c r="AU1957" s="1">
        <v>28750</v>
      </c>
      <c r="AV1957">
        <v>80.02</v>
      </c>
      <c r="AX1957" s="1">
        <v>2892.1</v>
      </c>
      <c r="AY1957" t="s">
        <v>1818</v>
      </c>
      <c r="AZ1957" t="s">
        <v>207</v>
      </c>
      <c r="BA1957" t="s">
        <v>208</v>
      </c>
      <c r="BE1957" s="3">
        <v>41982</v>
      </c>
      <c r="BF1957" s="1">
        <v>397000</v>
      </c>
      <c r="BG1957" t="s">
        <v>13254</v>
      </c>
      <c r="BH1957" s="1">
        <v>129.44</v>
      </c>
      <c r="BI1957" s="1">
        <v>382807</v>
      </c>
      <c r="BJ1957" s="3">
        <v>41982</v>
      </c>
      <c r="BK1957" t="s">
        <v>123</v>
      </c>
      <c r="BL1957" t="str">
        <f>"2014.808577"</f>
        <v>2014.808577</v>
      </c>
      <c r="BM1957" t="s">
        <v>2885</v>
      </c>
      <c r="BO1957" t="s">
        <v>13255</v>
      </c>
      <c r="BS1957">
        <v>30</v>
      </c>
      <c r="BW1957" t="str">
        <f>""</f>
        <v/>
      </c>
      <c r="CH1957" t="str">
        <f>""</f>
        <v/>
      </c>
      <c r="CS1957" t="str">
        <f>""</f>
        <v/>
      </c>
    </row>
    <row r="1958" spans="1:97" x14ac:dyDescent="0.25">
      <c r="A1958" t="s">
        <v>3817</v>
      </c>
      <c r="B1958" t="s">
        <v>2303</v>
      </c>
      <c r="C1958" t="s">
        <v>348</v>
      </c>
      <c r="D1958" t="s">
        <v>13256</v>
      </c>
      <c r="E1958" t="s">
        <v>13257</v>
      </c>
      <c r="F1958" t="s">
        <v>108</v>
      </c>
      <c r="H1958" t="s">
        <v>13258</v>
      </c>
      <c r="I1958" t="s">
        <v>203</v>
      </c>
      <c r="J1958" t="s">
        <v>111</v>
      </c>
      <c r="K1958" t="str">
        <f>"85298"</f>
        <v>85298</v>
      </c>
      <c r="L1958" t="s">
        <v>558</v>
      </c>
      <c r="M1958" t="s">
        <v>13258</v>
      </c>
      <c r="N1958" t="s">
        <v>203</v>
      </c>
      <c r="O1958" t="s">
        <v>111</v>
      </c>
      <c r="P1958" t="str">
        <f>"85298-4267"</f>
        <v>85298-4267</v>
      </c>
      <c r="Q1958" t="s">
        <v>113</v>
      </c>
      <c r="R1958" t="str">
        <f>"304-79-728"</f>
        <v>304-79-728</v>
      </c>
      <c r="S1958" t="s">
        <v>13259</v>
      </c>
      <c r="T1958" t="s">
        <v>13260</v>
      </c>
      <c r="U1958">
        <v>2674</v>
      </c>
      <c r="V1958">
        <v>0</v>
      </c>
      <c r="W1958">
        <v>5</v>
      </c>
      <c r="X1958">
        <v>2012</v>
      </c>
      <c r="Z1958">
        <v>1</v>
      </c>
      <c r="AA1958" t="s">
        <v>26</v>
      </c>
      <c r="AB1958">
        <v>0</v>
      </c>
      <c r="AC1958" t="s">
        <v>115</v>
      </c>
      <c r="AD1958">
        <v>3</v>
      </c>
      <c r="AE1958" t="s">
        <v>115</v>
      </c>
      <c r="AF1958">
        <v>0</v>
      </c>
      <c r="AG1958">
        <v>0</v>
      </c>
      <c r="AH1958" t="s">
        <v>116</v>
      </c>
      <c r="AI1958" s="1">
        <v>90100</v>
      </c>
      <c r="AJ1958" s="2">
        <v>0.16</v>
      </c>
      <c r="AK1958" s="1">
        <v>551100</v>
      </c>
      <c r="AL1958" t="s">
        <v>117</v>
      </c>
      <c r="AM1958" t="s">
        <v>191</v>
      </c>
      <c r="AN1958">
        <v>11288</v>
      </c>
      <c r="AO1958">
        <v>0.26</v>
      </c>
      <c r="AR1958">
        <v>1</v>
      </c>
      <c r="AS1958" s="1">
        <v>41870</v>
      </c>
      <c r="AT1958" s="1">
        <v>8370</v>
      </c>
      <c r="AU1958" s="1">
        <v>33500</v>
      </c>
      <c r="AV1958">
        <v>80.010000000000005</v>
      </c>
      <c r="AX1958" s="1">
        <v>2361.94</v>
      </c>
      <c r="AY1958" t="s">
        <v>5875</v>
      </c>
      <c r="AZ1958" t="s">
        <v>1134</v>
      </c>
      <c r="BA1958" t="s">
        <v>1134</v>
      </c>
      <c r="BE1958" s="3">
        <v>42247</v>
      </c>
      <c r="BF1958" s="1">
        <v>490000</v>
      </c>
      <c r="BG1958" t="s">
        <v>13261</v>
      </c>
      <c r="BH1958" s="1">
        <v>183.25</v>
      </c>
      <c r="BI1958" s="1">
        <v>461000</v>
      </c>
      <c r="BJ1958" s="3">
        <v>42529</v>
      </c>
      <c r="BK1958" t="s">
        <v>123</v>
      </c>
      <c r="BL1958" t="str">
        <f>"2016.395969"</f>
        <v>2016.395969</v>
      </c>
      <c r="BM1958" t="s">
        <v>1154</v>
      </c>
      <c r="BO1958" t="s">
        <v>13262</v>
      </c>
      <c r="BP1958" t="s">
        <v>13263</v>
      </c>
      <c r="BS1958">
        <v>30</v>
      </c>
      <c r="BW1958" t="str">
        <f>""</f>
        <v/>
      </c>
      <c r="CH1958" t="str">
        <f>""</f>
        <v/>
      </c>
      <c r="CS1958" t="str">
        <f>""</f>
        <v/>
      </c>
    </row>
    <row r="1959" spans="1:97" x14ac:dyDescent="0.25">
      <c r="A1959" t="s">
        <v>370</v>
      </c>
      <c r="B1959" t="s">
        <v>1667</v>
      </c>
      <c r="C1959" t="s">
        <v>2294</v>
      </c>
      <c r="D1959" t="s">
        <v>1667</v>
      </c>
      <c r="E1959" t="s">
        <v>13264</v>
      </c>
      <c r="F1959" t="s">
        <v>108</v>
      </c>
      <c r="H1959" t="s">
        <v>13265</v>
      </c>
      <c r="I1959" t="s">
        <v>203</v>
      </c>
      <c r="J1959" t="s">
        <v>111</v>
      </c>
      <c r="K1959" t="str">
        <f>"85298"</f>
        <v>85298</v>
      </c>
      <c r="L1959" t="s">
        <v>558</v>
      </c>
      <c r="M1959" t="s">
        <v>13265</v>
      </c>
      <c r="N1959" t="s">
        <v>203</v>
      </c>
      <c r="O1959" t="s">
        <v>111</v>
      </c>
      <c r="P1959" t="str">
        <f>"85298-4893"</f>
        <v>85298-4893</v>
      </c>
      <c r="R1959" t="str">
        <f>"304-78-669"</f>
        <v>304-78-669</v>
      </c>
      <c r="S1959" t="s">
        <v>13266</v>
      </c>
      <c r="T1959" t="s">
        <v>13267</v>
      </c>
      <c r="U1959">
        <v>2740</v>
      </c>
      <c r="V1959">
        <v>0</v>
      </c>
      <c r="W1959">
        <v>4</v>
      </c>
      <c r="X1959">
        <v>2003</v>
      </c>
      <c r="Z1959">
        <v>1</v>
      </c>
      <c r="AA1959" t="s">
        <v>26</v>
      </c>
      <c r="AB1959">
        <v>0</v>
      </c>
      <c r="AC1959" t="s">
        <v>115</v>
      </c>
      <c r="AD1959">
        <v>3</v>
      </c>
      <c r="AE1959" t="s">
        <v>115</v>
      </c>
      <c r="AF1959">
        <v>0</v>
      </c>
      <c r="AG1959">
        <v>0</v>
      </c>
      <c r="AH1959" t="s">
        <v>116</v>
      </c>
      <c r="AI1959" s="1">
        <v>57931</v>
      </c>
      <c r="AJ1959" s="2">
        <v>0.12</v>
      </c>
      <c r="AK1959" s="1">
        <v>482931</v>
      </c>
      <c r="AL1959" t="s">
        <v>117</v>
      </c>
      <c r="AM1959" t="s">
        <v>171</v>
      </c>
      <c r="AN1959">
        <v>10230</v>
      </c>
      <c r="AO1959">
        <v>0.24</v>
      </c>
      <c r="AP1959">
        <v>1</v>
      </c>
      <c r="AR1959">
        <v>1</v>
      </c>
      <c r="AS1959" s="1">
        <v>33910</v>
      </c>
      <c r="AT1959" s="1">
        <v>6780</v>
      </c>
      <c r="AU1959" s="1">
        <v>27130</v>
      </c>
      <c r="AV1959">
        <v>80.010000000000005</v>
      </c>
      <c r="AX1959" s="1">
        <v>3075.02</v>
      </c>
      <c r="AY1959" t="s">
        <v>5875</v>
      </c>
      <c r="AZ1959" t="s">
        <v>1134</v>
      </c>
      <c r="BA1959" t="s">
        <v>1134</v>
      </c>
      <c r="BE1959" s="3">
        <v>42422</v>
      </c>
      <c r="BF1959" s="1">
        <v>375000</v>
      </c>
      <c r="BG1959" t="s">
        <v>13268</v>
      </c>
      <c r="BH1959" s="1">
        <v>136.86000000000001</v>
      </c>
      <c r="BI1959" s="1">
        <v>375000</v>
      </c>
      <c r="BJ1959" s="3">
        <v>42422</v>
      </c>
      <c r="BK1959" t="s">
        <v>123</v>
      </c>
      <c r="BL1959" t="str">
        <f>"2016.110560"</f>
        <v>2016.110560</v>
      </c>
      <c r="BM1959" t="s">
        <v>4049</v>
      </c>
      <c r="BN1959" t="s">
        <v>461</v>
      </c>
      <c r="BO1959" t="s">
        <v>13269</v>
      </c>
      <c r="BS1959">
        <v>30</v>
      </c>
      <c r="BT1959" s="1">
        <v>50000</v>
      </c>
      <c r="BU1959" s="3">
        <v>43753</v>
      </c>
      <c r="BV1959" t="s">
        <v>134</v>
      </c>
      <c r="BW1959" t="str">
        <f>"2019.818437"</f>
        <v>2019.818437</v>
      </c>
      <c r="BX1959" t="s">
        <v>13270</v>
      </c>
      <c r="BY1959" t="s">
        <v>13271</v>
      </c>
      <c r="BZ1959" t="s">
        <v>13272</v>
      </c>
      <c r="CA1959" t="s">
        <v>13273</v>
      </c>
      <c r="CC1959" t="s">
        <v>139</v>
      </c>
      <c r="CH1959" t="str">
        <f>""</f>
        <v/>
      </c>
      <c r="CS1959" t="str">
        <f>""</f>
        <v/>
      </c>
    </row>
    <row r="1960" spans="1:97" x14ac:dyDescent="0.25">
      <c r="A1960" t="s">
        <v>13274</v>
      </c>
      <c r="B1960" t="s">
        <v>13275</v>
      </c>
      <c r="C1960" t="s">
        <v>13276</v>
      </c>
      <c r="D1960" t="s">
        <v>13275</v>
      </c>
      <c r="E1960" t="s">
        <v>13277</v>
      </c>
      <c r="F1960" t="s">
        <v>108</v>
      </c>
      <c r="H1960" t="s">
        <v>13278</v>
      </c>
      <c r="I1960" t="s">
        <v>390</v>
      </c>
      <c r="J1960" t="s">
        <v>111</v>
      </c>
      <c r="K1960" t="str">
        <f>"85023"</f>
        <v>85023</v>
      </c>
      <c r="L1960" t="s">
        <v>2547</v>
      </c>
      <c r="M1960" t="s">
        <v>13278</v>
      </c>
      <c r="N1960" t="s">
        <v>390</v>
      </c>
      <c r="O1960" t="s">
        <v>111</v>
      </c>
      <c r="P1960" t="str">
        <f>"85023-6246"</f>
        <v>85023-6246</v>
      </c>
      <c r="Q1960" t="s">
        <v>113</v>
      </c>
      <c r="R1960" t="str">
        <f>"208-27-222"</f>
        <v>208-27-222</v>
      </c>
      <c r="S1960" t="s">
        <v>13279</v>
      </c>
      <c r="U1960">
        <v>2820</v>
      </c>
      <c r="V1960">
        <v>0</v>
      </c>
      <c r="W1960">
        <v>5</v>
      </c>
      <c r="X1960">
        <v>1962</v>
      </c>
      <c r="Z1960">
        <v>1</v>
      </c>
      <c r="AA1960" t="s">
        <v>26</v>
      </c>
      <c r="AB1960">
        <v>0</v>
      </c>
      <c r="AC1960" t="s">
        <v>115</v>
      </c>
      <c r="AD1960">
        <v>2</v>
      </c>
      <c r="AE1960" t="s">
        <v>115</v>
      </c>
      <c r="AF1960">
        <v>0</v>
      </c>
      <c r="AG1960">
        <v>0</v>
      </c>
      <c r="AH1960" t="s">
        <v>116</v>
      </c>
      <c r="AI1960" s="1">
        <v>65015</v>
      </c>
      <c r="AJ1960" s="2">
        <v>0.11</v>
      </c>
      <c r="AK1960" s="1">
        <v>600250</v>
      </c>
      <c r="AL1960" t="s">
        <v>117</v>
      </c>
      <c r="AM1960" t="s">
        <v>1302</v>
      </c>
      <c r="AN1960">
        <v>16343</v>
      </c>
      <c r="AO1960">
        <v>0.38</v>
      </c>
      <c r="AP1960">
        <v>1</v>
      </c>
      <c r="AR1960">
        <v>1</v>
      </c>
      <c r="AS1960" s="1">
        <v>43980</v>
      </c>
      <c r="AT1960" s="1">
        <v>8790</v>
      </c>
      <c r="AU1960" s="1">
        <v>35190</v>
      </c>
      <c r="AV1960">
        <v>80.010000000000005</v>
      </c>
      <c r="AX1960" s="1">
        <v>6014.14</v>
      </c>
      <c r="AY1960" t="s">
        <v>9170</v>
      </c>
      <c r="AZ1960" t="s">
        <v>8648</v>
      </c>
      <c r="BA1960" t="s">
        <v>8649</v>
      </c>
      <c r="BB1960" s="3">
        <v>43280</v>
      </c>
      <c r="BC1960" s="1">
        <v>0</v>
      </c>
      <c r="BD1960" t="s">
        <v>247</v>
      </c>
      <c r="BE1960" s="3">
        <v>42086</v>
      </c>
      <c r="BF1960" s="1">
        <v>475000</v>
      </c>
      <c r="BG1960" t="s">
        <v>13280</v>
      </c>
      <c r="BH1960" s="1">
        <v>145.97</v>
      </c>
      <c r="BI1960" s="1">
        <v>469435</v>
      </c>
      <c r="BJ1960" s="3">
        <v>42521</v>
      </c>
      <c r="BK1960" t="s">
        <v>123</v>
      </c>
      <c r="BL1960" t="str">
        <f>"2016.375921"</f>
        <v>2016.375921</v>
      </c>
      <c r="BM1960" t="s">
        <v>2051</v>
      </c>
      <c r="BN1960" t="s">
        <v>13281</v>
      </c>
      <c r="BO1960" t="s">
        <v>13282</v>
      </c>
      <c r="BS1960">
        <v>30</v>
      </c>
      <c r="BT1960" s="1">
        <v>65800</v>
      </c>
      <c r="BU1960" s="3">
        <v>43280</v>
      </c>
      <c r="BW1960" t="str">
        <f>"2018.496258"</f>
        <v>2018.496258</v>
      </c>
      <c r="BX1960" t="s">
        <v>5065</v>
      </c>
      <c r="BY1960" t="s">
        <v>5066</v>
      </c>
      <c r="BZ1960" t="s">
        <v>13283</v>
      </c>
      <c r="CA1960" t="s">
        <v>13284</v>
      </c>
      <c r="CC1960" t="s">
        <v>346</v>
      </c>
      <c r="CH1960" t="str">
        <f>""</f>
        <v/>
      </c>
      <c r="CS1960" t="str">
        <f>""</f>
        <v/>
      </c>
    </row>
    <row r="1961" spans="1:97" x14ac:dyDescent="0.25">
      <c r="A1961" t="s">
        <v>211</v>
      </c>
      <c r="B1961" t="s">
        <v>13285</v>
      </c>
      <c r="C1961" t="s">
        <v>13286</v>
      </c>
      <c r="D1961" t="s">
        <v>13285</v>
      </c>
      <c r="E1961" t="s">
        <v>13287</v>
      </c>
      <c r="F1961" t="s">
        <v>108</v>
      </c>
      <c r="H1961" t="s">
        <v>13288</v>
      </c>
      <c r="I1961" t="s">
        <v>499</v>
      </c>
      <c r="J1961" t="s">
        <v>111</v>
      </c>
      <c r="K1961" t="str">
        <f>"85395"</f>
        <v>85395</v>
      </c>
      <c r="L1961" t="s">
        <v>9069</v>
      </c>
      <c r="M1961" t="s">
        <v>13288</v>
      </c>
      <c r="N1961" t="s">
        <v>499</v>
      </c>
      <c r="O1961" t="s">
        <v>111</v>
      </c>
      <c r="P1961" t="str">
        <f>"85395-1654"</f>
        <v>85395-1654</v>
      </c>
      <c r="Q1961" t="s">
        <v>113</v>
      </c>
      <c r="R1961" t="str">
        <f>"501-76-853"</f>
        <v>501-76-853</v>
      </c>
      <c r="S1961" t="s">
        <v>10065</v>
      </c>
      <c r="T1961" t="s">
        <v>10065</v>
      </c>
      <c r="U1961">
        <v>3065</v>
      </c>
      <c r="V1961">
        <v>0</v>
      </c>
      <c r="W1961">
        <v>4</v>
      </c>
      <c r="X1961">
        <v>2005</v>
      </c>
      <c r="Z1961">
        <v>2</v>
      </c>
      <c r="AB1961">
        <v>0</v>
      </c>
      <c r="AC1961" t="s">
        <v>115</v>
      </c>
      <c r="AD1961">
        <v>2</v>
      </c>
      <c r="AE1961" t="s">
        <v>115</v>
      </c>
      <c r="AF1961">
        <v>0</v>
      </c>
      <c r="AG1961">
        <v>0</v>
      </c>
      <c r="AH1961" t="s">
        <v>116</v>
      </c>
      <c r="AI1961" s="1">
        <v>90646</v>
      </c>
      <c r="AJ1961" s="2">
        <v>0.23</v>
      </c>
      <c r="AK1961" s="1">
        <v>385846</v>
      </c>
      <c r="AL1961" t="s">
        <v>117</v>
      </c>
      <c r="AM1961" t="s">
        <v>118</v>
      </c>
      <c r="AN1961">
        <v>5809</v>
      </c>
      <c r="AO1961">
        <v>0.13</v>
      </c>
      <c r="AR1961">
        <v>1</v>
      </c>
      <c r="AS1961" s="1">
        <v>28060</v>
      </c>
      <c r="AT1961" s="1">
        <v>5610</v>
      </c>
      <c r="AU1961" s="1">
        <v>22450</v>
      </c>
      <c r="AV1961">
        <v>80.010000000000005</v>
      </c>
      <c r="AX1961" s="1">
        <v>3206.26</v>
      </c>
      <c r="AY1961" t="s">
        <v>6796</v>
      </c>
      <c r="AZ1961" t="s">
        <v>6796</v>
      </c>
      <c r="BA1961" t="s">
        <v>7186</v>
      </c>
      <c r="BE1961" s="3">
        <v>41787</v>
      </c>
      <c r="BF1961" s="1">
        <v>293000</v>
      </c>
      <c r="BG1961" t="s">
        <v>13289</v>
      </c>
      <c r="BH1961" s="1">
        <v>95.6</v>
      </c>
      <c r="BI1961" s="1">
        <v>295200</v>
      </c>
      <c r="BJ1961" s="3">
        <v>42048</v>
      </c>
      <c r="BK1961" t="s">
        <v>123</v>
      </c>
      <c r="BL1961" t="str">
        <f>"2015.94068"</f>
        <v>2015.94068</v>
      </c>
      <c r="BM1961" t="s">
        <v>1791</v>
      </c>
      <c r="BO1961" t="s">
        <v>13290</v>
      </c>
      <c r="BS1961">
        <v>30</v>
      </c>
      <c r="BW1961" t="str">
        <f>""</f>
        <v/>
      </c>
      <c r="CH1961" t="str">
        <f>""</f>
        <v/>
      </c>
      <c r="CS1961" t="str">
        <f>""</f>
        <v/>
      </c>
    </row>
    <row r="1962" spans="1:97" x14ac:dyDescent="0.25">
      <c r="A1962" t="s">
        <v>815</v>
      </c>
      <c r="B1962" t="s">
        <v>13291</v>
      </c>
      <c r="C1962" t="s">
        <v>1181</v>
      </c>
      <c r="D1962" t="s">
        <v>13291</v>
      </c>
      <c r="E1962" t="s">
        <v>13292</v>
      </c>
      <c r="F1962" t="s">
        <v>108</v>
      </c>
      <c r="H1962" t="s">
        <v>13293</v>
      </c>
      <c r="I1962" t="s">
        <v>499</v>
      </c>
      <c r="J1962" t="s">
        <v>111</v>
      </c>
      <c r="K1962" t="str">
        <f>"85395"</f>
        <v>85395</v>
      </c>
      <c r="L1962" t="s">
        <v>500</v>
      </c>
      <c r="M1962" t="s">
        <v>13293</v>
      </c>
      <c r="N1962" t="s">
        <v>499</v>
      </c>
      <c r="O1962" t="s">
        <v>111</v>
      </c>
      <c r="P1962" t="str">
        <f>"85395-7825"</f>
        <v>85395-7825</v>
      </c>
      <c r="Q1962" t="s">
        <v>113</v>
      </c>
      <c r="R1962" t="str">
        <f>"502-30-308"</f>
        <v>502-30-308</v>
      </c>
      <c r="S1962" t="s">
        <v>11404</v>
      </c>
      <c r="T1962" t="s">
        <v>502</v>
      </c>
      <c r="U1962">
        <v>5023</v>
      </c>
      <c r="V1962">
        <v>0</v>
      </c>
      <c r="W1962">
        <v>7</v>
      </c>
      <c r="X1962">
        <v>2013</v>
      </c>
      <c r="Z1962">
        <v>2</v>
      </c>
      <c r="AB1962">
        <v>0</v>
      </c>
      <c r="AC1962" t="s">
        <v>115</v>
      </c>
      <c r="AD1962">
        <v>3</v>
      </c>
      <c r="AE1962" t="s">
        <v>115</v>
      </c>
      <c r="AF1962">
        <v>0</v>
      </c>
      <c r="AG1962">
        <v>0</v>
      </c>
      <c r="AH1962" t="s">
        <v>116</v>
      </c>
      <c r="AI1962" s="1">
        <v>-44365</v>
      </c>
      <c r="AJ1962" s="2">
        <v>-0.09</v>
      </c>
      <c r="AK1962" s="1">
        <v>483265</v>
      </c>
      <c r="AL1962" t="s">
        <v>117</v>
      </c>
      <c r="AM1962" t="s">
        <v>118</v>
      </c>
      <c r="AN1962">
        <v>16258</v>
      </c>
      <c r="AO1962">
        <v>0.37</v>
      </c>
      <c r="AR1962">
        <v>1</v>
      </c>
      <c r="AS1962" s="1">
        <v>37470</v>
      </c>
      <c r="AT1962" s="1">
        <v>7490</v>
      </c>
      <c r="AU1962" s="1">
        <v>29980</v>
      </c>
      <c r="AV1962">
        <v>80.010000000000005</v>
      </c>
      <c r="AX1962" s="1">
        <v>3963.46</v>
      </c>
      <c r="AY1962" t="s">
        <v>503</v>
      </c>
      <c r="AZ1962" t="s">
        <v>504</v>
      </c>
      <c r="BA1962" t="s">
        <v>218</v>
      </c>
      <c r="BE1962" s="3">
        <v>41668</v>
      </c>
      <c r="BF1962" s="1">
        <v>455566</v>
      </c>
      <c r="BG1962" t="s">
        <v>209</v>
      </c>
      <c r="BH1962" s="1">
        <v>90.7</v>
      </c>
      <c r="BI1962" s="1">
        <v>527630</v>
      </c>
      <c r="BJ1962" s="3">
        <v>43336</v>
      </c>
      <c r="BK1962" t="s">
        <v>123</v>
      </c>
      <c r="BL1962" t="str">
        <f>"2018.640608"</f>
        <v>2018.640608</v>
      </c>
      <c r="BM1962" t="s">
        <v>361</v>
      </c>
      <c r="BN1962" t="s">
        <v>884</v>
      </c>
      <c r="BO1962" t="s">
        <v>13294</v>
      </c>
      <c r="BP1962" t="s">
        <v>13295</v>
      </c>
      <c r="BR1962" t="s">
        <v>139</v>
      </c>
      <c r="BW1962" t="str">
        <f>""</f>
        <v/>
      </c>
      <c r="CH1962" t="str">
        <f>""</f>
        <v/>
      </c>
      <c r="CS1962" t="str">
        <f>""</f>
        <v/>
      </c>
    </row>
    <row r="1963" spans="1:97" x14ac:dyDescent="0.25">
      <c r="A1963" t="s">
        <v>13296</v>
      </c>
      <c r="B1963" t="s">
        <v>963</v>
      </c>
      <c r="C1963" t="s">
        <v>1181</v>
      </c>
      <c r="D1963" t="s">
        <v>2894</v>
      </c>
      <c r="E1963" t="s">
        <v>13297</v>
      </c>
      <c r="F1963" t="s">
        <v>108</v>
      </c>
      <c r="H1963" t="s">
        <v>13298</v>
      </c>
      <c r="I1963" t="s">
        <v>499</v>
      </c>
      <c r="J1963" t="s">
        <v>111</v>
      </c>
      <c r="K1963" t="str">
        <f>"85338"</f>
        <v>85338</v>
      </c>
      <c r="L1963" t="s">
        <v>6431</v>
      </c>
      <c r="M1963" t="s">
        <v>13298</v>
      </c>
      <c r="N1963" t="s">
        <v>499</v>
      </c>
      <c r="O1963" t="s">
        <v>111</v>
      </c>
      <c r="P1963" t="str">
        <f>"85338-7371"</f>
        <v>85338-7371</v>
      </c>
      <c r="Q1963" t="s">
        <v>113</v>
      </c>
      <c r="R1963" t="str">
        <f>"500-97-589"</f>
        <v>500-97-589</v>
      </c>
      <c r="S1963" t="s">
        <v>13299</v>
      </c>
      <c r="T1963" t="s">
        <v>13300</v>
      </c>
      <c r="U1963">
        <v>4070</v>
      </c>
      <c r="V1963">
        <v>0</v>
      </c>
      <c r="W1963">
        <v>5</v>
      </c>
      <c r="X1963">
        <v>2007</v>
      </c>
      <c r="Z1963">
        <v>2</v>
      </c>
      <c r="AB1963">
        <v>0</v>
      </c>
      <c r="AC1963" t="s">
        <v>115</v>
      </c>
      <c r="AD1963">
        <v>3</v>
      </c>
      <c r="AE1963" t="s">
        <v>115</v>
      </c>
      <c r="AF1963">
        <v>0</v>
      </c>
      <c r="AG1963">
        <v>0</v>
      </c>
      <c r="AH1963" t="s">
        <v>116</v>
      </c>
      <c r="AI1963" s="1">
        <v>98775</v>
      </c>
      <c r="AJ1963" s="2">
        <v>0.26</v>
      </c>
      <c r="AK1963" s="1">
        <v>375775</v>
      </c>
      <c r="AL1963" t="s">
        <v>117</v>
      </c>
      <c r="AM1963" t="s">
        <v>118</v>
      </c>
      <c r="AN1963">
        <v>8400</v>
      </c>
      <c r="AO1963">
        <v>0.19</v>
      </c>
      <c r="AR1963">
        <v>1</v>
      </c>
      <c r="AS1963" s="1">
        <v>27680</v>
      </c>
      <c r="AT1963" s="1">
        <v>5530</v>
      </c>
      <c r="AU1963" s="1">
        <v>22150</v>
      </c>
      <c r="AV1963">
        <v>80.02</v>
      </c>
      <c r="AX1963" s="1">
        <v>2988.34</v>
      </c>
      <c r="AY1963" t="s">
        <v>6319</v>
      </c>
      <c r="AZ1963" t="s">
        <v>6319</v>
      </c>
      <c r="BA1963" t="s">
        <v>218</v>
      </c>
      <c r="BE1963" s="3">
        <v>41904</v>
      </c>
      <c r="BF1963" s="1">
        <v>277000</v>
      </c>
      <c r="BG1963" t="s">
        <v>13301</v>
      </c>
      <c r="BH1963" s="1">
        <v>68.06</v>
      </c>
      <c r="BI1963" s="1">
        <v>277000</v>
      </c>
      <c r="BJ1963" s="3">
        <v>41904</v>
      </c>
      <c r="BK1963" t="s">
        <v>123</v>
      </c>
      <c r="BL1963" t="str">
        <f>"2014.626747"</f>
        <v>2014.626747</v>
      </c>
      <c r="BM1963" t="s">
        <v>135</v>
      </c>
      <c r="BO1963" t="s">
        <v>13302</v>
      </c>
      <c r="BP1963" t="s">
        <v>13303</v>
      </c>
      <c r="BS1963">
        <v>30</v>
      </c>
      <c r="BW1963" t="str">
        <f>""</f>
        <v/>
      </c>
      <c r="CH1963" t="str">
        <f>""</f>
        <v/>
      </c>
      <c r="CS1963" t="str">
        <f>""</f>
        <v/>
      </c>
    </row>
    <row r="1964" spans="1:97" x14ac:dyDescent="0.25">
      <c r="A1964" t="s">
        <v>2123</v>
      </c>
      <c r="B1964" t="s">
        <v>13304</v>
      </c>
      <c r="C1964" t="s">
        <v>1507</v>
      </c>
      <c r="D1964" t="s">
        <v>13304</v>
      </c>
      <c r="E1964" t="s">
        <v>13305</v>
      </c>
      <c r="F1964" t="s">
        <v>108</v>
      </c>
      <c r="H1964" t="s">
        <v>13306</v>
      </c>
      <c r="I1964" t="s">
        <v>203</v>
      </c>
      <c r="J1964" t="s">
        <v>111</v>
      </c>
      <c r="K1964" t="str">
        <f>"85295"</f>
        <v>85295</v>
      </c>
      <c r="L1964" t="s">
        <v>6529</v>
      </c>
      <c r="M1964" t="s">
        <v>13306</v>
      </c>
      <c r="N1964" t="s">
        <v>203</v>
      </c>
      <c r="O1964" t="s">
        <v>111</v>
      </c>
      <c r="P1964" t="str">
        <f>"85295-5677"</f>
        <v>85295-5677</v>
      </c>
      <c r="Q1964" t="s">
        <v>113</v>
      </c>
      <c r="R1964" t="str">
        <f>"304-41-161"</f>
        <v>304-41-161</v>
      </c>
      <c r="S1964" t="s">
        <v>13307</v>
      </c>
      <c r="U1964">
        <v>2039</v>
      </c>
      <c r="V1964">
        <v>0</v>
      </c>
      <c r="W1964">
        <v>4</v>
      </c>
      <c r="X1964">
        <v>1998</v>
      </c>
      <c r="Z1964">
        <v>2</v>
      </c>
      <c r="AA1964" t="s">
        <v>26</v>
      </c>
      <c r="AB1964">
        <v>0</v>
      </c>
      <c r="AC1964" t="s">
        <v>115</v>
      </c>
      <c r="AD1964">
        <v>2</v>
      </c>
      <c r="AE1964" t="s">
        <v>115</v>
      </c>
      <c r="AF1964">
        <v>0</v>
      </c>
      <c r="AG1964">
        <v>0</v>
      </c>
      <c r="AH1964" t="s">
        <v>116</v>
      </c>
      <c r="AI1964" s="1">
        <v>67471</v>
      </c>
      <c r="AJ1964" s="2">
        <v>0.2</v>
      </c>
      <c r="AK1964" s="1">
        <v>343649</v>
      </c>
      <c r="AL1964" t="s">
        <v>117</v>
      </c>
      <c r="AM1964" t="s">
        <v>191</v>
      </c>
      <c r="AN1964">
        <v>5721</v>
      </c>
      <c r="AO1964">
        <v>0.13</v>
      </c>
      <c r="AP1964">
        <v>1</v>
      </c>
      <c r="AR1964">
        <v>1</v>
      </c>
      <c r="AS1964" s="1">
        <v>23800</v>
      </c>
      <c r="AT1964" s="1">
        <v>4760</v>
      </c>
      <c r="AU1964" s="1">
        <v>19040</v>
      </c>
      <c r="AV1964">
        <v>80</v>
      </c>
      <c r="AX1964" s="1">
        <v>1738.86</v>
      </c>
      <c r="AY1964" t="s">
        <v>9212</v>
      </c>
      <c r="AZ1964" t="s">
        <v>207</v>
      </c>
      <c r="BA1964" t="s">
        <v>208</v>
      </c>
      <c r="BE1964" s="3">
        <v>41866</v>
      </c>
      <c r="BF1964" s="1">
        <v>256000</v>
      </c>
      <c r="BG1964" t="s">
        <v>13308</v>
      </c>
      <c r="BH1964" s="1">
        <v>125.55</v>
      </c>
      <c r="BI1964" s="1">
        <v>276178</v>
      </c>
      <c r="BJ1964" s="3">
        <v>42156</v>
      </c>
      <c r="BK1964" t="s">
        <v>123</v>
      </c>
      <c r="BL1964" t="str">
        <f>"2015.388173"</f>
        <v>2015.388173</v>
      </c>
      <c r="BM1964" t="s">
        <v>2117</v>
      </c>
      <c r="BO1964" t="s">
        <v>13309</v>
      </c>
      <c r="BQ1964" t="str">
        <f>"1.7500%"</f>
        <v>1.7500%</v>
      </c>
      <c r="BR1964" t="s">
        <v>1480</v>
      </c>
      <c r="BS1964">
        <v>30</v>
      </c>
      <c r="BW1964" t="str">
        <f>""</f>
        <v/>
      </c>
      <c r="CH1964" t="str">
        <f>""</f>
        <v/>
      </c>
      <c r="CS1964" t="str">
        <f>""</f>
        <v/>
      </c>
    </row>
    <row r="1965" spans="1:97" x14ac:dyDescent="0.25">
      <c r="A1965" t="s">
        <v>2591</v>
      </c>
      <c r="B1965" t="s">
        <v>6227</v>
      </c>
      <c r="C1965" t="s">
        <v>2286</v>
      </c>
      <c r="D1965" t="s">
        <v>6227</v>
      </c>
      <c r="E1965" t="s">
        <v>13310</v>
      </c>
      <c r="F1965" t="s">
        <v>108</v>
      </c>
      <c r="H1965" t="s">
        <v>13311</v>
      </c>
      <c r="I1965" t="s">
        <v>225</v>
      </c>
      <c r="J1965" t="s">
        <v>111</v>
      </c>
      <c r="K1965" t="str">
        <f>"85213"</f>
        <v>85213</v>
      </c>
      <c r="L1965" t="s">
        <v>9069</v>
      </c>
      <c r="M1965" t="s">
        <v>13311</v>
      </c>
      <c r="N1965" t="s">
        <v>225</v>
      </c>
      <c r="O1965" t="s">
        <v>111</v>
      </c>
      <c r="P1965" t="str">
        <f>"85213-2933"</f>
        <v>85213-2933</v>
      </c>
      <c r="Q1965" t="s">
        <v>113</v>
      </c>
      <c r="R1965" t="str">
        <f>"141-10-489"</f>
        <v>141-10-489</v>
      </c>
      <c r="S1965" t="s">
        <v>13312</v>
      </c>
      <c r="T1965" t="s">
        <v>13313</v>
      </c>
      <c r="U1965">
        <v>2463</v>
      </c>
      <c r="V1965">
        <v>0</v>
      </c>
      <c r="W1965">
        <v>4</v>
      </c>
      <c r="X1965">
        <v>1987</v>
      </c>
      <c r="Z1965">
        <v>2</v>
      </c>
      <c r="AA1965" t="s">
        <v>26</v>
      </c>
      <c r="AB1965">
        <v>0</v>
      </c>
      <c r="AC1965" t="s">
        <v>115</v>
      </c>
      <c r="AD1965">
        <v>2</v>
      </c>
      <c r="AE1965" t="s">
        <v>115</v>
      </c>
      <c r="AF1965">
        <v>0</v>
      </c>
      <c r="AG1965">
        <v>0</v>
      </c>
      <c r="AH1965" t="s">
        <v>116</v>
      </c>
      <c r="AI1965" s="1">
        <v>89587</v>
      </c>
      <c r="AJ1965" s="2">
        <v>0.22</v>
      </c>
      <c r="AK1965" s="1">
        <v>400587</v>
      </c>
      <c r="AL1965" t="s">
        <v>117</v>
      </c>
      <c r="AM1965" t="s">
        <v>917</v>
      </c>
      <c r="AN1965">
        <v>11420</v>
      </c>
      <c r="AO1965">
        <v>0.26</v>
      </c>
      <c r="AP1965">
        <v>1</v>
      </c>
      <c r="AR1965">
        <v>1</v>
      </c>
      <c r="AS1965" s="1">
        <v>28130</v>
      </c>
      <c r="AT1965" s="1">
        <v>5620</v>
      </c>
      <c r="AU1965" s="1">
        <v>22510</v>
      </c>
      <c r="AV1965">
        <v>80.02</v>
      </c>
      <c r="AX1965" s="1">
        <v>2331.2800000000002</v>
      </c>
      <c r="AY1965" t="s">
        <v>7102</v>
      </c>
      <c r="AZ1965" t="s">
        <v>1523</v>
      </c>
      <c r="BA1965" t="s">
        <v>1524</v>
      </c>
      <c r="BE1965" s="3">
        <v>41941</v>
      </c>
      <c r="BF1965" s="1">
        <v>311000</v>
      </c>
      <c r="BG1965" t="s">
        <v>13314</v>
      </c>
      <c r="BH1965" s="1">
        <v>126.27</v>
      </c>
      <c r="BI1965" s="1">
        <v>311000</v>
      </c>
      <c r="BJ1965" s="3">
        <v>41941</v>
      </c>
      <c r="BK1965" t="s">
        <v>123</v>
      </c>
      <c r="BL1965" t="str">
        <f>"2014.718281"</f>
        <v>2014.718281</v>
      </c>
      <c r="BM1965" t="s">
        <v>7531</v>
      </c>
      <c r="BO1965" t="s">
        <v>13315</v>
      </c>
      <c r="BS1965">
        <v>30</v>
      </c>
      <c r="BW1965" t="str">
        <f>""</f>
        <v/>
      </c>
      <c r="CH1965" t="str">
        <f>""</f>
        <v/>
      </c>
      <c r="CS1965" t="str">
        <f>""</f>
        <v/>
      </c>
    </row>
    <row r="1966" spans="1:97" x14ac:dyDescent="0.25">
      <c r="A1966" t="s">
        <v>13316</v>
      </c>
      <c r="B1966" t="s">
        <v>1552</v>
      </c>
      <c r="C1966" t="s">
        <v>2761</v>
      </c>
      <c r="D1966" t="s">
        <v>1552</v>
      </c>
      <c r="E1966" t="s">
        <v>13317</v>
      </c>
      <c r="F1966" t="s">
        <v>108</v>
      </c>
      <c r="H1966" t="s">
        <v>13318</v>
      </c>
      <c r="I1966" t="s">
        <v>5387</v>
      </c>
      <c r="J1966" t="s">
        <v>111</v>
      </c>
      <c r="K1966" t="str">
        <f>"85284"</f>
        <v>85284</v>
      </c>
      <c r="L1966" t="s">
        <v>1518</v>
      </c>
      <c r="M1966" t="s">
        <v>13318</v>
      </c>
      <c r="N1966" t="s">
        <v>5387</v>
      </c>
      <c r="O1966" t="s">
        <v>111</v>
      </c>
      <c r="P1966" t="str">
        <f>"85284-1705"</f>
        <v>85284-1705</v>
      </c>
      <c r="Q1966" t="s">
        <v>113</v>
      </c>
      <c r="R1966" t="str">
        <f>"301-50-571"</f>
        <v>301-50-571</v>
      </c>
      <c r="S1966" t="s">
        <v>13319</v>
      </c>
      <c r="U1966">
        <v>1918</v>
      </c>
      <c r="V1966">
        <v>0</v>
      </c>
      <c r="W1966">
        <v>3</v>
      </c>
      <c r="X1966">
        <v>1985</v>
      </c>
      <c r="Z1966">
        <v>1</v>
      </c>
      <c r="AA1966" t="s">
        <v>26</v>
      </c>
      <c r="AB1966">
        <v>0</v>
      </c>
      <c r="AC1966" t="s">
        <v>115</v>
      </c>
      <c r="AD1966">
        <v>2</v>
      </c>
      <c r="AE1966" t="s">
        <v>115</v>
      </c>
      <c r="AF1966">
        <v>0</v>
      </c>
      <c r="AG1966">
        <v>0</v>
      </c>
      <c r="AH1966" t="s">
        <v>116</v>
      </c>
      <c r="AI1966" s="1">
        <v>46013</v>
      </c>
      <c r="AJ1966" s="2">
        <v>0.12</v>
      </c>
      <c r="AK1966" s="1">
        <v>382513</v>
      </c>
      <c r="AL1966" t="s">
        <v>117</v>
      </c>
      <c r="AM1966" t="s">
        <v>393</v>
      </c>
      <c r="AN1966">
        <v>8599</v>
      </c>
      <c r="AO1966">
        <v>0.2</v>
      </c>
      <c r="AP1966">
        <v>1</v>
      </c>
      <c r="AR1966">
        <v>1</v>
      </c>
      <c r="AS1966" s="1">
        <v>28280</v>
      </c>
      <c r="AT1966" s="1">
        <v>5650</v>
      </c>
      <c r="AU1966" s="1">
        <v>22630</v>
      </c>
      <c r="AV1966">
        <v>80.02</v>
      </c>
      <c r="AX1966" s="1">
        <v>2633.42</v>
      </c>
      <c r="AY1966" t="s">
        <v>8795</v>
      </c>
      <c r="AZ1966" t="s">
        <v>5391</v>
      </c>
      <c r="BA1966" t="s">
        <v>5202</v>
      </c>
      <c r="BE1966" s="3">
        <v>42517</v>
      </c>
      <c r="BF1966" s="1">
        <v>336500</v>
      </c>
      <c r="BG1966" t="s">
        <v>13320</v>
      </c>
      <c r="BH1966" s="1">
        <v>175.44</v>
      </c>
      <c r="BI1966" s="1">
        <v>336500</v>
      </c>
      <c r="BJ1966" s="3">
        <v>42517</v>
      </c>
      <c r="BK1966" t="s">
        <v>123</v>
      </c>
      <c r="BL1966" t="str">
        <f>"2016.368349"</f>
        <v>2016.368349</v>
      </c>
      <c r="BM1966" t="s">
        <v>724</v>
      </c>
      <c r="BO1966" t="s">
        <v>13321</v>
      </c>
      <c r="BS1966">
        <v>30</v>
      </c>
      <c r="BW1966" t="str">
        <f>""</f>
        <v/>
      </c>
      <c r="CH1966" t="str">
        <f>""</f>
        <v/>
      </c>
      <c r="CS1966" t="str">
        <f>""</f>
        <v/>
      </c>
    </row>
    <row r="1967" spans="1:97" x14ac:dyDescent="0.25">
      <c r="A1967" t="s">
        <v>13322</v>
      </c>
      <c r="B1967" t="s">
        <v>13323</v>
      </c>
      <c r="C1967" t="s">
        <v>2761</v>
      </c>
      <c r="D1967" t="s">
        <v>13323</v>
      </c>
      <c r="E1967" t="s">
        <v>13324</v>
      </c>
      <c r="F1967" t="s">
        <v>108</v>
      </c>
      <c r="H1967" t="s">
        <v>13325</v>
      </c>
      <c r="I1967" t="s">
        <v>5387</v>
      </c>
      <c r="J1967" t="s">
        <v>111</v>
      </c>
      <c r="K1967" t="str">
        <f>"85283"</f>
        <v>85283</v>
      </c>
      <c r="L1967" t="s">
        <v>5209</v>
      </c>
      <c r="M1967" t="s">
        <v>13325</v>
      </c>
      <c r="N1967" t="s">
        <v>5387</v>
      </c>
      <c r="O1967" t="s">
        <v>111</v>
      </c>
      <c r="P1967" t="str">
        <f>"85283-4145"</f>
        <v>85283-4145</v>
      </c>
      <c r="Q1967" t="s">
        <v>113</v>
      </c>
      <c r="R1967" t="str">
        <f>"301-48-934"</f>
        <v>301-48-934</v>
      </c>
      <c r="S1967" t="s">
        <v>13005</v>
      </c>
      <c r="T1967" t="s">
        <v>13006</v>
      </c>
      <c r="U1967">
        <v>1956</v>
      </c>
      <c r="V1967">
        <v>0</v>
      </c>
      <c r="W1967">
        <v>3</v>
      </c>
      <c r="X1967">
        <v>1979</v>
      </c>
      <c r="Z1967">
        <v>1</v>
      </c>
      <c r="AA1967" t="s">
        <v>26</v>
      </c>
      <c r="AB1967">
        <v>0</v>
      </c>
      <c r="AC1967" t="s">
        <v>115</v>
      </c>
      <c r="AD1967">
        <v>2</v>
      </c>
      <c r="AE1967" t="s">
        <v>115</v>
      </c>
      <c r="AF1967">
        <v>0</v>
      </c>
      <c r="AG1967">
        <v>0</v>
      </c>
      <c r="AH1967" t="s">
        <v>116</v>
      </c>
      <c r="AI1967" s="1">
        <v>59762</v>
      </c>
      <c r="AJ1967" s="2">
        <v>0.16</v>
      </c>
      <c r="AK1967" s="1">
        <v>382556</v>
      </c>
      <c r="AL1967" t="s">
        <v>117</v>
      </c>
      <c r="AM1967" t="s">
        <v>191</v>
      </c>
      <c r="AN1967">
        <v>7052</v>
      </c>
      <c r="AO1967">
        <v>0.16</v>
      </c>
      <c r="AP1967">
        <v>1</v>
      </c>
      <c r="AR1967">
        <v>1</v>
      </c>
      <c r="AS1967" s="1">
        <v>24660</v>
      </c>
      <c r="AT1967" s="1">
        <v>4930</v>
      </c>
      <c r="AU1967" s="1">
        <v>19730</v>
      </c>
      <c r="AV1967">
        <v>80.010000000000005</v>
      </c>
      <c r="AX1967" s="1">
        <v>2176.46</v>
      </c>
      <c r="AY1967" t="s">
        <v>5390</v>
      </c>
      <c r="AZ1967" t="s">
        <v>5391</v>
      </c>
      <c r="BA1967" t="s">
        <v>5392</v>
      </c>
      <c r="BE1967" s="3">
        <v>42397</v>
      </c>
      <c r="BF1967" s="1">
        <v>316000</v>
      </c>
      <c r="BG1967" t="s">
        <v>13326</v>
      </c>
      <c r="BH1967" s="1">
        <v>161.55000000000001</v>
      </c>
      <c r="BI1967" s="1">
        <v>322794</v>
      </c>
      <c r="BJ1967" s="3">
        <v>42397</v>
      </c>
      <c r="BK1967" t="s">
        <v>123</v>
      </c>
      <c r="BL1967" t="str">
        <f>"2016.59159"</f>
        <v>2016.59159</v>
      </c>
      <c r="BM1967" t="s">
        <v>2051</v>
      </c>
      <c r="BO1967" t="s">
        <v>13327</v>
      </c>
      <c r="BS1967">
        <v>30</v>
      </c>
      <c r="BW1967" t="str">
        <f>""</f>
        <v/>
      </c>
      <c r="CH1967" t="str">
        <f>""</f>
        <v/>
      </c>
      <c r="CS1967" t="str">
        <f>""</f>
        <v/>
      </c>
    </row>
    <row r="1968" spans="1:97" x14ac:dyDescent="0.25">
      <c r="A1968" t="s">
        <v>177</v>
      </c>
      <c r="B1968" t="s">
        <v>13328</v>
      </c>
      <c r="C1968" t="s">
        <v>13329</v>
      </c>
      <c r="D1968" t="s">
        <v>13328</v>
      </c>
      <c r="E1968" t="s">
        <v>13330</v>
      </c>
      <c r="F1968" t="s">
        <v>108</v>
      </c>
      <c r="H1968" t="s">
        <v>13331</v>
      </c>
      <c r="I1968" t="s">
        <v>632</v>
      </c>
      <c r="J1968" t="s">
        <v>111</v>
      </c>
      <c r="K1968" t="str">
        <f>"85388"</f>
        <v>85388</v>
      </c>
      <c r="L1968" t="s">
        <v>5165</v>
      </c>
      <c r="M1968" t="s">
        <v>13331</v>
      </c>
      <c r="N1968" t="s">
        <v>632</v>
      </c>
      <c r="O1968" t="s">
        <v>111</v>
      </c>
      <c r="P1968" t="str">
        <f>"85388-5073"</f>
        <v>85388-5073</v>
      </c>
      <c r="Q1968" t="s">
        <v>113</v>
      </c>
      <c r="R1968" t="str">
        <f>"502-05-102"</f>
        <v>502-05-102</v>
      </c>
      <c r="S1968" t="s">
        <v>5166</v>
      </c>
      <c r="T1968" t="s">
        <v>5167</v>
      </c>
      <c r="U1968">
        <v>2526</v>
      </c>
      <c r="V1968">
        <v>0</v>
      </c>
      <c r="W1968">
        <v>3</v>
      </c>
      <c r="X1968">
        <v>2006</v>
      </c>
      <c r="Z1968">
        <v>1</v>
      </c>
      <c r="AB1968">
        <v>0</v>
      </c>
      <c r="AC1968" t="s">
        <v>115</v>
      </c>
      <c r="AD1968">
        <v>3</v>
      </c>
      <c r="AE1968" t="s">
        <v>115</v>
      </c>
      <c r="AF1968">
        <v>0</v>
      </c>
      <c r="AG1968">
        <v>0</v>
      </c>
      <c r="AH1968" t="s">
        <v>116</v>
      </c>
      <c r="AI1968" s="1">
        <v>66146</v>
      </c>
      <c r="AJ1968" s="2">
        <v>0.21</v>
      </c>
      <c r="AK1968" s="1">
        <v>313146</v>
      </c>
      <c r="AL1968" t="s">
        <v>117</v>
      </c>
      <c r="AM1968" t="s">
        <v>118</v>
      </c>
      <c r="AN1968">
        <v>9033</v>
      </c>
      <c r="AO1968">
        <v>0.21</v>
      </c>
      <c r="AP1968">
        <v>1</v>
      </c>
      <c r="AR1968">
        <v>1</v>
      </c>
      <c r="AS1968" s="1">
        <v>22260</v>
      </c>
      <c r="AT1968" s="1">
        <v>4450</v>
      </c>
      <c r="AU1968" s="1">
        <v>17810</v>
      </c>
      <c r="AV1968">
        <v>80.010000000000005</v>
      </c>
      <c r="AX1968" s="1">
        <v>1984.34</v>
      </c>
      <c r="AY1968" t="s">
        <v>5168</v>
      </c>
      <c r="AZ1968" t="s">
        <v>5168</v>
      </c>
      <c r="BA1968" t="s">
        <v>5061</v>
      </c>
      <c r="BE1968" s="3">
        <v>42551</v>
      </c>
      <c r="BF1968" s="1">
        <v>247000</v>
      </c>
      <c r="BG1968" t="s">
        <v>13332</v>
      </c>
      <c r="BH1968" s="1">
        <v>97.78</v>
      </c>
      <c r="BI1968" s="1">
        <v>247000</v>
      </c>
      <c r="BJ1968" s="3">
        <v>42551</v>
      </c>
      <c r="BK1968" t="s">
        <v>123</v>
      </c>
      <c r="BL1968" t="str">
        <f>"2016.461496"</f>
        <v>2016.461496</v>
      </c>
      <c r="BM1968" t="s">
        <v>124</v>
      </c>
      <c r="BO1968" t="s">
        <v>13333</v>
      </c>
      <c r="BS1968">
        <v>30</v>
      </c>
      <c r="BW1968" t="str">
        <f>""</f>
        <v/>
      </c>
      <c r="CH1968" t="str">
        <f>""</f>
        <v/>
      </c>
      <c r="CS1968" t="str">
        <f>""</f>
        <v/>
      </c>
    </row>
    <row r="1969" spans="1:97" x14ac:dyDescent="0.25">
      <c r="A1969" t="s">
        <v>370</v>
      </c>
      <c r="B1969" t="s">
        <v>13334</v>
      </c>
      <c r="C1969" t="s">
        <v>537</v>
      </c>
      <c r="D1969" t="s">
        <v>13334</v>
      </c>
      <c r="E1969" t="s">
        <v>13335</v>
      </c>
      <c r="F1969" t="s">
        <v>108</v>
      </c>
      <c r="H1969" t="s">
        <v>13336</v>
      </c>
      <c r="I1969" t="s">
        <v>203</v>
      </c>
      <c r="J1969" t="s">
        <v>111</v>
      </c>
      <c r="K1969" t="str">
        <f>"85234"</f>
        <v>85234</v>
      </c>
      <c r="L1969" t="s">
        <v>8199</v>
      </c>
      <c r="M1969" t="s">
        <v>13337</v>
      </c>
      <c r="N1969" t="s">
        <v>203</v>
      </c>
      <c r="O1969" t="s">
        <v>111</v>
      </c>
      <c r="P1969" t="str">
        <f>"85234-2509"</f>
        <v>85234-2509</v>
      </c>
      <c r="Q1969" t="s">
        <v>113</v>
      </c>
      <c r="R1969" t="str">
        <f>"304-10-044"</f>
        <v>304-10-044</v>
      </c>
      <c r="S1969" t="s">
        <v>13338</v>
      </c>
      <c r="T1969" t="s">
        <v>13338</v>
      </c>
      <c r="U1969">
        <v>2748</v>
      </c>
      <c r="V1969">
        <v>0</v>
      </c>
      <c r="W1969">
        <v>5</v>
      </c>
      <c r="X1969">
        <v>1987</v>
      </c>
      <c r="Y1969">
        <v>2001</v>
      </c>
      <c r="Z1969">
        <v>1</v>
      </c>
      <c r="AA1969" t="s">
        <v>26</v>
      </c>
      <c r="AB1969">
        <v>0</v>
      </c>
      <c r="AC1969" t="s">
        <v>115</v>
      </c>
      <c r="AD1969">
        <v>3</v>
      </c>
      <c r="AE1969" t="s">
        <v>115</v>
      </c>
      <c r="AF1969">
        <v>0</v>
      </c>
      <c r="AG1969">
        <v>0</v>
      </c>
      <c r="AH1969" t="s">
        <v>116</v>
      </c>
      <c r="AI1969" s="1">
        <v>28028</v>
      </c>
      <c r="AJ1969" s="2">
        <v>0.04</v>
      </c>
      <c r="AK1969" s="1">
        <v>663323</v>
      </c>
      <c r="AL1969" t="s">
        <v>117</v>
      </c>
      <c r="AM1969" t="s">
        <v>3973</v>
      </c>
      <c r="AN1969">
        <v>54962</v>
      </c>
      <c r="AO1969">
        <v>1.26</v>
      </c>
      <c r="AP1969">
        <v>1</v>
      </c>
      <c r="AR1969">
        <v>1</v>
      </c>
      <c r="AS1969" s="1">
        <v>52110</v>
      </c>
      <c r="AT1969" s="1">
        <v>10420</v>
      </c>
      <c r="AU1969" s="1">
        <v>41690</v>
      </c>
      <c r="AV1969">
        <v>80</v>
      </c>
      <c r="AX1969" s="1">
        <v>3982.78</v>
      </c>
      <c r="AY1969" t="s">
        <v>7062</v>
      </c>
      <c r="AZ1969" t="s">
        <v>5478</v>
      </c>
      <c r="BA1969" t="s">
        <v>5033</v>
      </c>
      <c r="BB1969" s="3">
        <v>43637</v>
      </c>
      <c r="BC1969" s="1">
        <v>0</v>
      </c>
      <c r="BD1969" t="s">
        <v>247</v>
      </c>
      <c r="BE1969" s="3">
        <v>42104</v>
      </c>
      <c r="BF1969" s="1">
        <v>620000</v>
      </c>
      <c r="BG1969" t="s">
        <v>13339</v>
      </c>
      <c r="BH1969" s="1">
        <v>225.62</v>
      </c>
      <c r="BI1969" s="1">
        <v>635295</v>
      </c>
      <c r="BJ1969" s="3">
        <v>43637</v>
      </c>
      <c r="BK1969" t="s">
        <v>123</v>
      </c>
      <c r="BL1969" t="str">
        <f>"2019.466925"</f>
        <v>2019.466925</v>
      </c>
      <c r="BM1969" t="s">
        <v>9590</v>
      </c>
      <c r="BN1969" t="s">
        <v>9591</v>
      </c>
      <c r="BO1969" t="s">
        <v>13340</v>
      </c>
      <c r="BP1969" t="s">
        <v>13341</v>
      </c>
      <c r="BR1969" t="s">
        <v>139</v>
      </c>
      <c r="BW1969" t="str">
        <f>""</f>
        <v/>
      </c>
      <c r="CH1969" t="str">
        <f>""</f>
        <v/>
      </c>
      <c r="CS1969" t="str">
        <f>""</f>
        <v/>
      </c>
    </row>
    <row r="1970" spans="1:97" x14ac:dyDescent="0.25">
      <c r="A1970" t="s">
        <v>3924</v>
      </c>
      <c r="B1970" t="s">
        <v>6211</v>
      </c>
      <c r="C1970" t="s">
        <v>945</v>
      </c>
      <c r="D1970" t="s">
        <v>6211</v>
      </c>
      <c r="E1970" t="s">
        <v>13342</v>
      </c>
      <c r="F1970" t="s">
        <v>108</v>
      </c>
      <c r="H1970" t="s">
        <v>13343</v>
      </c>
      <c r="I1970" t="s">
        <v>225</v>
      </c>
      <c r="J1970" t="s">
        <v>111</v>
      </c>
      <c r="K1970" t="str">
        <f>"85213"</f>
        <v>85213</v>
      </c>
      <c r="L1970" t="s">
        <v>2197</v>
      </c>
      <c r="M1970" t="s">
        <v>13343</v>
      </c>
      <c r="N1970" t="s">
        <v>225</v>
      </c>
      <c r="O1970" t="s">
        <v>111</v>
      </c>
      <c r="P1970" t="str">
        <f>"85213-2361"</f>
        <v>85213-2361</v>
      </c>
      <c r="Q1970" t="s">
        <v>113</v>
      </c>
      <c r="R1970" t="str">
        <f>"141-08-048"</f>
        <v>141-08-048</v>
      </c>
      <c r="S1970" t="s">
        <v>13344</v>
      </c>
      <c r="T1970" t="s">
        <v>13345</v>
      </c>
      <c r="U1970">
        <v>1877</v>
      </c>
      <c r="V1970">
        <v>0</v>
      </c>
      <c r="W1970">
        <v>3</v>
      </c>
      <c r="X1970">
        <v>1983</v>
      </c>
      <c r="Z1970">
        <v>1</v>
      </c>
      <c r="AA1970" t="s">
        <v>26</v>
      </c>
      <c r="AB1970">
        <v>0</v>
      </c>
      <c r="AC1970" t="s">
        <v>115</v>
      </c>
      <c r="AD1970">
        <v>2</v>
      </c>
      <c r="AE1970" t="s">
        <v>115</v>
      </c>
      <c r="AF1970">
        <v>0</v>
      </c>
      <c r="AG1970">
        <v>0</v>
      </c>
      <c r="AH1970" t="s">
        <v>116</v>
      </c>
      <c r="AI1970" s="1">
        <v>81338</v>
      </c>
      <c r="AJ1970" s="2">
        <v>0.23</v>
      </c>
      <c r="AK1970" s="1">
        <v>346238</v>
      </c>
      <c r="AL1970" t="s">
        <v>117</v>
      </c>
      <c r="AM1970" t="s">
        <v>917</v>
      </c>
      <c r="AN1970">
        <v>9428</v>
      </c>
      <c r="AO1970">
        <v>0.22</v>
      </c>
      <c r="AP1970">
        <v>1</v>
      </c>
      <c r="AR1970">
        <v>1</v>
      </c>
      <c r="AS1970" s="1">
        <v>24410</v>
      </c>
      <c r="AT1970" s="1">
        <v>4880</v>
      </c>
      <c r="AU1970" s="1">
        <v>19530</v>
      </c>
      <c r="AV1970">
        <v>80.010000000000005</v>
      </c>
      <c r="AX1970" s="1">
        <v>2011.12</v>
      </c>
      <c r="AY1970" t="s">
        <v>11944</v>
      </c>
      <c r="AZ1970" t="s">
        <v>4163</v>
      </c>
      <c r="BA1970" t="s">
        <v>1524</v>
      </c>
      <c r="BE1970" s="3">
        <v>42550</v>
      </c>
      <c r="BF1970" s="1">
        <v>281000</v>
      </c>
      <c r="BG1970" t="s">
        <v>13346</v>
      </c>
      <c r="BH1970" s="1">
        <v>149.71</v>
      </c>
      <c r="BI1970" s="1">
        <v>264900</v>
      </c>
      <c r="BJ1970" s="3">
        <v>42550</v>
      </c>
      <c r="BK1970" t="s">
        <v>123</v>
      </c>
      <c r="BL1970" t="str">
        <f>"2016.453796"</f>
        <v>2016.453796</v>
      </c>
      <c r="BM1970" t="s">
        <v>1192</v>
      </c>
      <c r="BN1970" t="s">
        <v>11855</v>
      </c>
      <c r="BO1970" t="s">
        <v>13347</v>
      </c>
      <c r="BS1970">
        <v>30</v>
      </c>
      <c r="BW1970" t="str">
        <f>""</f>
        <v/>
      </c>
      <c r="CH1970" t="str">
        <f>""</f>
        <v/>
      </c>
      <c r="CS1970" t="str">
        <f>""</f>
        <v/>
      </c>
    </row>
    <row r="1971" spans="1:97" x14ac:dyDescent="0.25">
      <c r="A1971" t="s">
        <v>13348</v>
      </c>
      <c r="B1971" t="s">
        <v>3265</v>
      </c>
      <c r="C1971" t="s">
        <v>4026</v>
      </c>
      <c r="D1971" t="s">
        <v>3265</v>
      </c>
      <c r="E1971" t="s">
        <v>13349</v>
      </c>
      <c r="F1971" t="s">
        <v>108</v>
      </c>
      <c r="H1971" t="s">
        <v>13350</v>
      </c>
      <c r="I1971" t="s">
        <v>144</v>
      </c>
      <c r="J1971" t="s">
        <v>111</v>
      </c>
      <c r="K1971" t="str">
        <f>"85396"</f>
        <v>85396</v>
      </c>
      <c r="L1971" t="s">
        <v>1789</v>
      </c>
      <c r="M1971" t="s">
        <v>13350</v>
      </c>
      <c r="N1971" t="s">
        <v>144</v>
      </c>
      <c r="O1971" t="s">
        <v>111</v>
      </c>
      <c r="P1971" t="str">
        <f>"85396-3669"</f>
        <v>85396-3669</v>
      </c>
      <c r="Q1971" t="s">
        <v>113</v>
      </c>
      <c r="R1971" t="str">
        <f>"502-77-067"</f>
        <v>502-77-067</v>
      </c>
      <c r="S1971" t="s">
        <v>13351</v>
      </c>
      <c r="U1971">
        <v>3117</v>
      </c>
      <c r="V1971">
        <v>0</v>
      </c>
      <c r="W1971">
        <v>4</v>
      </c>
      <c r="X1971">
        <v>2005</v>
      </c>
      <c r="Z1971">
        <v>1</v>
      </c>
      <c r="AB1971">
        <v>0</v>
      </c>
      <c r="AC1971" t="s">
        <v>115</v>
      </c>
      <c r="AD1971">
        <v>3</v>
      </c>
      <c r="AE1971" t="s">
        <v>115</v>
      </c>
      <c r="AF1971">
        <v>0</v>
      </c>
      <c r="AG1971">
        <v>0</v>
      </c>
      <c r="AH1971" t="s">
        <v>116</v>
      </c>
      <c r="AI1971" s="1">
        <v>219949</v>
      </c>
      <c r="AJ1971" s="2">
        <v>0.52</v>
      </c>
      <c r="AK1971" s="1">
        <v>422449</v>
      </c>
      <c r="AL1971" t="s">
        <v>117</v>
      </c>
      <c r="AM1971" t="s">
        <v>118</v>
      </c>
      <c r="AN1971">
        <v>10452</v>
      </c>
      <c r="AO1971">
        <v>0.24</v>
      </c>
      <c r="AR1971">
        <v>1</v>
      </c>
      <c r="AS1971" s="1">
        <v>32350</v>
      </c>
      <c r="AT1971" s="1">
        <v>6470</v>
      </c>
      <c r="AU1971" s="1">
        <v>25880</v>
      </c>
      <c r="AV1971">
        <v>80</v>
      </c>
      <c r="AX1971" s="1">
        <v>4010.78</v>
      </c>
      <c r="AY1971" t="s">
        <v>543</v>
      </c>
      <c r="AZ1971" t="s">
        <v>504</v>
      </c>
      <c r="BA1971" t="s">
        <v>218</v>
      </c>
      <c r="BE1971" s="3">
        <v>42265</v>
      </c>
      <c r="BF1971" s="1">
        <v>250000</v>
      </c>
      <c r="BG1971" t="s">
        <v>13352</v>
      </c>
      <c r="BH1971" s="1">
        <v>80.209999999999994</v>
      </c>
      <c r="BI1971" s="1">
        <v>202500</v>
      </c>
      <c r="BJ1971" s="3">
        <v>42265</v>
      </c>
      <c r="BK1971" t="s">
        <v>123</v>
      </c>
      <c r="BL1971" t="str">
        <f>"2015.675832"</f>
        <v>2015.675832</v>
      </c>
      <c r="BM1971" t="s">
        <v>8868</v>
      </c>
      <c r="BO1971" t="s">
        <v>13353</v>
      </c>
      <c r="BS1971">
        <v>15</v>
      </c>
      <c r="BW1971" t="str">
        <f>""</f>
        <v/>
      </c>
      <c r="CH1971" t="str">
        <f>""</f>
        <v/>
      </c>
      <c r="CS1971" t="str">
        <f>""</f>
        <v/>
      </c>
    </row>
    <row r="1972" spans="1:97" x14ac:dyDescent="0.25">
      <c r="A1972" t="s">
        <v>2668</v>
      </c>
      <c r="B1972" t="s">
        <v>745</v>
      </c>
      <c r="C1972" t="s">
        <v>13354</v>
      </c>
      <c r="D1972" t="s">
        <v>745</v>
      </c>
      <c r="E1972" t="s">
        <v>13355</v>
      </c>
      <c r="F1972" t="s">
        <v>108</v>
      </c>
      <c r="H1972" t="s">
        <v>13356</v>
      </c>
      <c r="I1972" t="s">
        <v>2874</v>
      </c>
      <c r="J1972" t="s">
        <v>111</v>
      </c>
      <c r="K1972" t="str">
        <f>"85302"</f>
        <v>85302</v>
      </c>
      <c r="L1972" t="s">
        <v>1658</v>
      </c>
      <c r="M1972" t="s">
        <v>13356</v>
      </c>
      <c r="N1972" t="s">
        <v>2874</v>
      </c>
      <c r="O1972" t="s">
        <v>111</v>
      </c>
      <c r="P1972" t="str">
        <f>"85302-1519"</f>
        <v>85302-1519</v>
      </c>
      <c r="Q1972" t="s">
        <v>113</v>
      </c>
      <c r="R1972" t="str">
        <f>"148-24-244-A"</f>
        <v>148-24-244-A</v>
      </c>
      <c r="S1972" t="s">
        <v>13357</v>
      </c>
      <c r="T1972" t="s">
        <v>13357</v>
      </c>
      <c r="U1972">
        <v>1486</v>
      </c>
      <c r="V1972">
        <v>0</v>
      </c>
      <c r="W1972">
        <v>3</v>
      </c>
      <c r="X1972">
        <v>1985</v>
      </c>
      <c r="Z1972">
        <v>1</v>
      </c>
      <c r="AA1972" t="s">
        <v>26</v>
      </c>
      <c r="AB1972">
        <v>0</v>
      </c>
      <c r="AC1972" t="s">
        <v>115</v>
      </c>
      <c r="AD1972">
        <v>2</v>
      </c>
      <c r="AE1972" t="s">
        <v>115</v>
      </c>
      <c r="AF1972">
        <v>0</v>
      </c>
      <c r="AG1972">
        <v>0</v>
      </c>
      <c r="AH1972" t="s">
        <v>116</v>
      </c>
      <c r="AI1972" s="1">
        <v>54479</v>
      </c>
      <c r="AJ1972" s="2">
        <v>0.2</v>
      </c>
      <c r="AK1972" s="1">
        <v>266479</v>
      </c>
      <c r="AL1972" t="s">
        <v>117</v>
      </c>
      <c r="AM1972" t="s">
        <v>393</v>
      </c>
      <c r="AN1972">
        <v>8552</v>
      </c>
      <c r="AO1972">
        <v>0.2</v>
      </c>
      <c r="AP1972">
        <v>1</v>
      </c>
      <c r="AR1972">
        <v>1</v>
      </c>
      <c r="AS1972" s="1">
        <v>19250</v>
      </c>
      <c r="AT1972" s="1">
        <v>3850</v>
      </c>
      <c r="AU1972" s="1">
        <v>15400</v>
      </c>
      <c r="AV1972">
        <v>80</v>
      </c>
      <c r="AX1972" s="1">
        <v>1386.6</v>
      </c>
      <c r="AY1972" t="s">
        <v>8680</v>
      </c>
      <c r="AZ1972" t="s">
        <v>8680</v>
      </c>
      <c r="BA1972" t="s">
        <v>8681</v>
      </c>
      <c r="BE1972" s="3">
        <v>42481</v>
      </c>
      <c r="BF1972" s="1">
        <v>212000</v>
      </c>
      <c r="BG1972" t="s">
        <v>13358</v>
      </c>
      <c r="BH1972" s="1">
        <v>142.66</v>
      </c>
      <c r="BI1972" s="1">
        <v>212000</v>
      </c>
      <c r="BJ1972" s="3">
        <v>42481</v>
      </c>
      <c r="BK1972" t="s">
        <v>123</v>
      </c>
      <c r="BL1972" t="str">
        <f>"2016.268496"</f>
        <v>2016.268496</v>
      </c>
      <c r="BM1972" t="s">
        <v>544</v>
      </c>
      <c r="BO1972" t="s">
        <v>13359</v>
      </c>
      <c r="BS1972">
        <v>30</v>
      </c>
      <c r="BW1972" t="str">
        <f>""</f>
        <v/>
      </c>
      <c r="CH1972" t="str">
        <f>""</f>
        <v/>
      </c>
      <c r="CS1972" t="str">
        <f>""</f>
        <v/>
      </c>
    </row>
    <row r="1973" spans="1:97" x14ac:dyDescent="0.25">
      <c r="A1973" t="s">
        <v>5528</v>
      </c>
      <c r="B1973" t="s">
        <v>1365</v>
      </c>
      <c r="C1973" t="s">
        <v>5847</v>
      </c>
      <c r="D1973" t="s">
        <v>1365</v>
      </c>
      <c r="E1973" t="s">
        <v>13360</v>
      </c>
      <c r="F1973" t="s">
        <v>108</v>
      </c>
      <c r="H1973" t="s">
        <v>13361</v>
      </c>
      <c r="I1973" t="s">
        <v>390</v>
      </c>
      <c r="J1973" t="s">
        <v>111</v>
      </c>
      <c r="K1973" t="str">
        <f>"85085"</f>
        <v>85085</v>
      </c>
      <c r="L1973" t="s">
        <v>3101</v>
      </c>
      <c r="M1973" t="s">
        <v>13361</v>
      </c>
      <c r="N1973" t="s">
        <v>390</v>
      </c>
      <c r="O1973" t="s">
        <v>111</v>
      </c>
      <c r="P1973" t="str">
        <f>"85085-5308"</f>
        <v>85085-5308</v>
      </c>
      <c r="Q1973" t="s">
        <v>113</v>
      </c>
      <c r="R1973" t="str">
        <f>"210-02-071"</f>
        <v>210-02-071</v>
      </c>
      <c r="S1973" t="s">
        <v>13362</v>
      </c>
      <c r="T1973" t="s">
        <v>13363</v>
      </c>
      <c r="U1973">
        <v>2639</v>
      </c>
      <c r="V1973">
        <v>0</v>
      </c>
      <c r="W1973">
        <v>4</v>
      </c>
      <c r="X1973">
        <v>2008</v>
      </c>
      <c r="Z1973">
        <v>2</v>
      </c>
      <c r="AB1973">
        <v>0</v>
      </c>
      <c r="AC1973" t="s">
        <v>115</v>
      </c>
      <c r="AD1973">
        <v>3</v>
      </c>
      <c r="AE1973" t="s">
        <v>115</v>
      </c>
      <c r="AF1973">
        <v>0</v>
      </c>
      <c r="AG1973">
        <v>0</v>
      </c>
      <c r="AH1973" t="s">
        <v>116</v>
      </c>
      <c r="AI1973" s="1">
        <v>57276</v>
      </c>
      <c r="AJ1973" s="2">
        <v>0.13</v>
      </c>
      <c r="AK1973" s="1">
        <v>429592</v>
      </c>
      <c r="AL1973" t="s">
        <v>117</v>
      </c>
      <c r="AM1973" t="s">
        <v>191</v>
      </c>
      <c r="AN1973">
        <v>6644</v>
      </c>
      <c r="AO1973">
        <v>0.15</v>
      </c>
      <c r="AR1973">
        <v>1</v>
      </c>
      <c r="AS1973" s="1">
        <v>31660</v>
      </c>
      <c r="AT1973" s="1">
        <v>6330</v>
      </c>
      <c r="AU1973" s="1">
        <v>25330</v>
      </c>
      <c r="AV1973">
        <v>80.010000000000005</v>
      </c>
      <c r="AX1973" s="1">
        <v>2795.5</v>
      </c>
      <c r="AY1973" t="s">
        <v>1461</v>
      </c>
      <c r="AZ1973" t="s">
        <v>1461</v>
      </c>
      <c r="BA1973" t="s">
        <v>1462</v>
      </c>
      <c r="BE1973" s="3">
        <v>42174</v>
      </c>
      <c r="BF1973" s="1">
        <v>365000</v>
      </c>
      <c r="BG1973" t="s">
        <v>13364</v>
      </c>
      <c r="BH1973" s="1">
        <v>138.31</v>
      </c>
      <c r="BI1973" s="1">
        <v>372316</v>
      </c>
      <c r="BJ1973" s="3">
        <v>42678</v>
      </c>
      <c r="BK1973" t="s">
        <v>123</v>
      </c>
      <c r="BL1973" t="str">
        <f>"2016.818273"</f>
        <v>2016.818273</v>
      </c>
      <c r="BM1973" t="s">
        <v>402</v>
      </c>
      <c r="BO1973" t="s">
        <v>13365</v>
      </c>
      <c r="BS1973">
        <v>30</v>
      </c>
      <c r="BW1973" t="str">
        <f>""</f>
        <v/>
      </c>
      <c r="CH1973" t="str">
        <f>""</f>
        <v/>
      </c>
      <c r="CS1973" t="str">
        <f>""</f>
        <v/>
      </c>
    </row>
    <row r="1974" spans="1:97" x14ac:dyDescent="0.25">
      <c r="A1974" t="s">
        <v>13366</v>
      </c>
      <c r="B1974" t="s">
        <v>13367</v>
      </c>
      <c r="C1974" t="s">
        <v>1692</v>
      </c>
      <c r="D1974" t="s">
        <v>13367</v>
      </c>
      <c r="E1974" t="s">
        <v>13368</v>
      </c>
      <c r="F1974" t="s">
        <v>108</v>
      </c>
      <c r="H1974" t="s">
        <v>13369</v>
      </c>
      <c r="I1974" t="s">
        <v>6646</v>
      </c>
      <c r="J1974" t="s">
        <v>111</v>
      </c>
      <c r="K1974" t="str">
        <f>"85086"</f>
        <v>85086</v>
      </c>
      <c r="L1974" t="s">
        <v>2015</v>
      </c>
      <c r="M1974" t="s">
        <v>13369</v>
      </c>
      <c r="N1974" t="s">
        <v>6646</v>
      </c>
      <c r="O1974" t="s">
        <v>111</v>
      </c>
      <c r="P1974" t="str">
        <f>"85086-1765"</f>
        <v>85086-1765</v>
      </c>
      <c r="Q1974" t="s">
        <v>113</v>
      </c>
      <c r="R1974" t="str">
        <f>"203-07-819"</f>
        <v>203-07-819</v>
      </c>
      <c r="S1974" t="s">
        <v>8835</v>
      </c>
      <c r="U1974">
        <v>2469</v>
      </c>
      <c r="V1974">
        <v>0</v>
      </c>
      <c r="W1974">
        <v>4</v>
      </c>
      <c r="X1974">
        <v>2001</v>
      </c>
      <c r="Z1974">
        <v>2</v>
      </c>
      <c r="AB1974">
        <v>0</v>
      </c>
      <c r="AC1974" t="s">
        <v>115</v>
      </c>
      <c r="AD1974">
        <v>3</v>
      </c>
      <c r="AE1974" t="s">
        <v>115</v>
      </c>
      <c r="AF1974">
        <v>0</v>
      </c>
      <c r="AG1974">
        <v>0</v>
      </c>
      <c r="AH1974" t="s">
        <v>116</v>
      </c>
      <c r="AI1974" s="1">
        <v>61946</v>
      </c>
      <c r="AJ1974" s="2">
        <v>0.17</v>
      </c>
      <c r="AK1974" s="1">
        <v>370296</v>
      </c>
      <c r="AL1974" t="s">
        <v>117</v>
      </c>
      <c r="AM1974" t="s">
        <v>393</v>
      </c>
      <c r="AN1974">
        <v>8123</v>
      </c>
      <c r="AO1974">
        <v>0.19</v>
      </c>
      <c r="AP1974">
        <v>1</v>
      </c>
      <c r="AR1974">
        <v>1</v>
      </c>
      <c r="AS1974" s="1">
        <v>25760</v>
      </c>
      <c r="AT1974" s="1">
        <v>5150</v>
      </c>
      <c r="AU1974" s="1">
        <v>20610</v>
      </c>
      <c r="AV1974">
        <v>80.010000000000005</v>
      </c>
      <c r="AX1974" s="1">
        <v>2750.68</v>
      </c>
      <c r="AY1974" t="s">
        <v>665</v>
      </c>
      <c r="AZ1974" t="s">
        <v>665</v>
      </c>
      <c r="BA1974" t="s">
        <v>378</v>
      </c>
      <c r="BE1974" s="3">
        <v>42013</v>
      </c>
      <c r="BF1974" s="1">
        <v>298500</v>
      </c>
      <c r="BG1974" t="s">
        <v>13370</v>
      </c>
      <c r="BH1974" s="1">
        <v>120.9</v>
      </c>
      <c r="BI1974" s="1">
        <v>308350</v>
      </c>
      <c r="BJ1974" s="3">
        <v>42013</v>
      </c>
      <c r="BK1974" t="s">
        <v>123</v>
      </c>
      <c r="BL1974" t="str">
        <f>"2015.15138"</f>
        <v>2015.15138</v>
      </c>
      <c r="BM1974" t="s">
        <v>724</v>
      </c>
      <c r="BO1974" t="s">
        <v>13371</v>
      </c>
      <c r="BS1974">
        <v>30</v>
      </c>
      <c r="BW1974" t="str">
        <f>""</f>
        <v/>
      </c>
      <c r="CH1974" t="str">
        <f>""</f>
        <v/>
      </c>
      <c r="CS1974" t="str">
        <f>""</f>
        <v/>
      </c>
    </row>
    <row r="1975" spans="1:97" x14ac:dyDescent="0.25">
      <c r="A1975" t="s">
        <v>325</v>
      </c>
      <c r="B1975" t="s">
        <v>13372</v>
      </c>
      <c r="C1975" t="s">
        <v>2168</v>
      </c>
      <c r="D1975" t="s">
        <v>13372</v>
      </c>
      <c r="E1975" t="s">
        <v>13373</v>
      </c>
      <c r="F1975" t="s">
        <v>108</v>
      </c>
      <c r="H1975" t="s">
        <v>13374</v>
      </c>
      <c r="I1975" t="s">
        <v>203</v>
      </c>
      <c r="J1975" t="s">
        <v>111</v>
      </c>
      <c r="K1975" t="str">
        <f>"85298"</f>
        <v>85298</v>
      </c>
      <c r="L1975" t="s">
        <v>558</v>
      </c>
      <c r="M1975" t="s">
        <v>13374</v>
      </c>
      <c r="N1975" t="s">
        <v>203</v>
      </c>
      <c r="O1975" t="s">
        <v>111</v>
      </c>
      <c r="P1975" t="str">
        <f>"85298-9186"</f>
        <v>85298-9186</v>
      </c>
      <c r="Q1975" t="s">
        <v>113</v>
      </c>
      <c r="R1975" t="str">
        <f>"304-79-538"</f>
        <v>304-79-538</v>
      </c>
      <c r="S1975" t="s">
        <v>13375</v>
      </c>
      <c r="T1975" t="s">
        <v>13376</v>
      </c>
      <c r="U1975">
        <v>2410</v>
      </c>
      <c r="V1975">
        <v>0</v>
      </c>
      <c r="W1975">
        <v>4</v>
      </c>
      <c r="X1975">
        <v>2007</v>
      </c>
      <c r="Z1975">
        <v>2</v>
      </c>
      <c r="AA1975" t="s">
        <v>26</v>
      </c>
      <c r="AB1975">
        <v>0</v>
      </c>
      <c r="AC1975" t="s">
        <v>115</v>
      </c>
      <c r="AD1975">
        <v>3</v>
      </c>
      <c r="AE1975" t="s">
        <v>115</v>
      </c>
      <c r="AF1975">
        <v>0</v>
      </c>
      <c r="AG1975">
        <v>0</v>
      </c>
      <c r="AH1975" t="s">
        <v>116</v>
      </c>
      <c r="AI1975" s="1">
        <v>76208</v>
      </c>
      <c r="AJ1975" s="2">
        <v>0.18</v>
      </c>
      <c r="AK1975" s="1">
        <v>427428</v>
      </c>
      <c r="AL1975" t="s">
        <v>117</v>
      </c>
      <c r="AM1975" t="s">
        <v>171</v>
      </c>
      <c r="AN1975">
        <v>9889</v>
      </c>
      <c r="AO1975">
        <v>0.23</v>
      </c>
      <c r="AR1975">
        <v>1</v>
      </c>
      <c r="AS1975" s="1">
        <v>31180</v>
      </c>
      <c r="AT1975" s="1">
        <v>6230</v>
      </c>
      <c r="AU1975" s="1">
        <v>24950</v>
      </c>
      <c r="AV1975">
        <v>80.02</v>
      </c>
      <c r="AX1975" s="1">
        <v>2311.02</v>
      </c>
      <c r="AY1975" t="s">
        <v>5875</v>
      </c>
      <c r="AZ1975" t="s">
        <v>1134</v>
      </c>
      <c r="BA1975" t="s">
        <v>1134</v>
      </c>
      <c r="BE1975" s="3">
        <v>42069</v>
      </c>
      <c r="BF1975" s="1">
        <v>340000</v>
      </c>
      <c r="BG1975" t="s">
        <v>13377</v>
      </c>
      <c r="BH1975" s="1">
        <v>141.08000000000001</v>
      </c>
      <c r="BI1975" s="1">
        <v>351220</v>
      </c>
      <c r="BJ1975" s="3">
        <v>42069</v>
      </c>
      <c r="BK1975" t="s">
        <v>123</v>
      </c>
      <c r="BL1975" t="str">
        <f>"2015.151132"</f>
        <v>2015.151132</v>
      </c>
      <c r="BM1975" t="s">
        <v>724</v>
      </c>
      <c r="BO1975" t="s">
        <v>13378</v>
      </c>
      <c r="BS1975">
        <v>30</v>
      </c>
      <c r="BW1975" t="str">
        <f>""</f>
        <v/>
      </c>
      <c r="CH1975" t="str">
        <f>""</f>
        <v/>
      </c>
      <c r="CS1975" t="str">
        <f>""</f>
        <v/>
      </c>
    </row>
    <row r="1976" spans="1:97" x14ac:dyDescent="0.25">
      <c r="A1976" t="s">
        <v>13379</v>
      </c>
      <c r="B1976" t="s">
        <v>13380</v>
      </c>
      <c r="C1976" t="s">
        <v>3702</v>
      </c>
      <c r="D1976" t="s">
        <v>13380</v>
      </c>
      <c r="E1976" t="s">
        <v>13381</v>
      </c>
      <c r="F1976" t="s">
        <v>108</v>
      </c>
      <c r="H1976" t="s">
        <v>13382</v>
      </c>
      <c r="I1976" t="s">
        <v>499</v>
      </c>
      <c r="J1976" t="s">
        <v>111</v>
      </c>
      <c r="K1976" t="str">
        <f>"85338"</f>
        <v>85338</v>
      </c>
      <c r="L1976" t="s">
        <v>7339</v>
      </c>
      <c r="M1976" t="s">
        <v>13382</v>
      </c>
      <c r="N1976" t="s">
        <v>499</v>
      </c>
      <c r="O1976" t="s">
        <v>111</v>
      </c>
      <c r="P1976" t="str">
        <f>"85338-5771"</f>
        <v>85338-5771</v>
      </c>
      <c r="Q1976" t="s">
        <v>113</v>
      </c>
      <c r="R1976" t="str">
        <f>"400-81-221"</f>
        <v>400-81-221</v>
      </c>
      <c r="S1976" t="s">
        <v>13383</v>
      </c>
      <c r="U1976">
        <v>3212</v>
      </c>
      <c r="V1976">
        <v>0</v>
      </c>
      <c r="W1976">
        <v>4</v>
      </c>
      <c r="X1976">
        <v>2001</v>
      </c>
      <c r="Z1976">
        <v>1</v>
      </c>
      <c r="AA1976" t="s">
        <v>26</v>
      </c>
      <c r="AB1976">
        <v>0</v>
      </c>
      <c r="AC1976" t="s">
        <v>115</v>
      </c>
      <c r="AD1976">
        <v>3</v>
      </c>
      <c r="AE1976" t="s">
        <v>115</v>
      </c>
      <c r="AF1976">
        <v>0</v>
      </c>
      <c r="AG1976">
        <v>0</v>
      </c>
      <c r="AH1976" t="s">
        <v>116</v>
      </c>
      <c r="AI1976" s="1">
        <v>79544</v>
      </c>
      <c r="AJ1976" s="2">
        <v>0.14000000000000001</v>
      </c>
      <c r="AK1976" s="1">
        <v>555110</v>
      </c>
      <c r="AL1976" t="s">
        <v>117</v>
      </c>
      <c r="AM1976" t="s">
        <v>118</v>
      </c>
      <c r="AN1976">
        <v>35904</v>
      </c>
      <c r="AO1976">
        <v>0.82</v>
      </c>
      <c r="AP1976">
        <v>1</v>
      </c>
      <c r="AR1976">
        <v>1</v>
      </c>
      <c r="AS1976" s="1">
        <v>43360</v>
      </c>
      <c r="AT1976" s="1">
        <v>8670</v>
      </c>
      <c r="AU1976" s="1">
        <v>34690</v>
      </c>
      <c r="AV1976">
        <v>80</v>
      </c>
      <c r="AX1976" s="1">
        <v>5526.08</v>
      </c>
      <c r="AY1976" t="s">
        <v>1246</v>
      </c>
      <c r="AZ1976" t="s">
        <v>1246</v>
      </c>
      <c r="BA1976" t="s">
        <v>1247</v>
      </c>
      <c r="BE1976" s="3">
        <v>42034</v>
      </c>
      <c r="BF1976" s="1">
        <v>405000</v>
      </c>
      <c r="BG1976" t="s">
        <v>13384</v>
      </c>
      <c r="BH1976" s="1">
        <v>126.09</v>
      </c>
      <c r="BI1976" s="1">
        <v>475566</v>
      </c>
      <c r="BJ1976" s="3">
        <v>42527</v>
      </c>
      <c r="BK1976" t="s">
        <v>123</v>
      </c>
      <c r="BL1976" t="str">
        <f>"2016.389903"</f>
        <v>2016.389903</v>
      </c>
      <c r="BM1976" t="s">
        <v>1791</v>
      </c>
      <c r="BO1976" t="s">
        <v>13385</v>
      </c>
      <c r="BS1976">
        <v>30</v>
      </c>
      <c r="BW1976" t="str">
        <f>""</f>
        <v/>
      </c>
      <c r="CH1976" t="str">
        <f>""</f>
        <v/>
      </c>
      <c r="CS1976" t="str">
        <f>""</f>
        <v/>
      </c>
    </row>
    <row r="1977" spans="1:97" x14ac:dyDescent="0.25">
      <c r="A1977" t="s">
        <v>152</v>
      </c>
      <c r="B1977" t="s">
        <v>13386</v>
      </c>
      <c r="C1977" t="s">
        <v>5014</v>
      </c>
      <c r="D1977" t="s">
        <v>13386</v>
      </c>
      <c r="E1977" t="s">
        <v>13387</v>
      </c>
      <c r="F1977" t="s">
        <v>108</v>
      </c>
      <c r="H1977" t="s">
        <v>13388</v>
      </c>
      <c r="I1977" t="s">
        <v>188</v>
      </c>
      <c r="J1977" t="s">
        <v>111</v>
      </c>
      <c r="K1977" t="str">
        <f>"85142"</f>
        <v>85142</v>
      </c>
      <c r="L1977" t="s">
        <v>516</v>
      </c>
      <c r="M1977" t="s">
        <v>13388</v>
      </c>
      <c r="N1977" t="s">
        <v>188</v>
      </c>
      <c r="O1977" t="s">
        <v>111</v>
      </c>
      <c r="P1977" t="str">
        <f>"85142-5380"</f>
        <v>85142-5380</v>
      </c>
      <c r="Q1977" t="s">
        <v>113</v>
      </c>
      <c r="R1977" t="str">
        <f>"304-91-004-Z"</f>
        <v>304-91-004-Z</v>
      </c>
      <c r="U1977">
        <v>2299</v>
      </c>
      <c r="V1977">
        <v>0</v>
      </c>
      <c r="W1977">
        <v>4</v>
      </c>
      <c r="X1977">
        <v>2003</v>
      </c>
      <c r="Z1977">
        <v>1</v>
      </c>
      <c r="AB1977">
        <v>0</v>
      </c>
      <c r="AC1977" t="s">
        <v>115</v>
      </c>
      <c r="AD1977">
        <v>3</v>
      </c>
      <c r="AE1977" t="s">
        <v>115</v>
      </c>
      <c r="AF1977">
        <v>0</v>
      </c>
      <c r="AG1977">
        <v>0</v>
      </c>
      <c r="AH1977" t="s">
        <v>116</v>
      </c>
      <c r="AI1977" s="1">
        <v>53123</v>
      </c>
      <c r="AJ1977" s="2">
        <v>0.11</v>
      </c>
      <c r="AK1977" s="1">
        <v>483884</v>
      </c>
      <c r="AL1977" t="s">
        <v>117</v>
      </c>
      <c r="AM1977" t="s">
        <v>376</v>
      </c>
      <c r="AN1977">
        <v>52916</v>
      </c>
      <c r="AO1977">
        <v>1.22</v>
      </c>
      <c r="AP1977">
        <v>1</v>
      </c>
      <c r="AR1977">
        <v>1</v>
      </c>
      <c r="AS1977" s="1">
        <v>32460</v>
      </c>
      <c r="AT1977" s="1">
        <v>6490</v>
      </c>
      <c r="AU1977" s="1">
        <v>25970</v>
      </c>
      <c r="AV1977">
        <v>80.010000000000005</v>
      </c>
      <c r="AX1977" s="1">
        <v>2948.62</v>
      </c>
      <c r="AY1977" t="s">
        <v>1074</v>
      </c>
      <c r="AZ1977" t="s">
        <v>193</v>
      </c>
      <c r="BA1977" t="s">
        <v>194</v>
      </c>
      <c r="BE1977" s="3">
        <v>42123</v>
      </c>
      <c r="BF1977" s="1">
        <v>417000</v>
      </c>
      <c r="BG1977" t="s">
        <v>13389</v>
      </c>
      <c r="BH1977" s="1">
        <v>181.38</v>
      </c>
      <c r="BI1977" s="1">
        <v>430761</v>
      </c>
      <c r="BJ1977" s="3">
        <v>42123</v>
      </c>
      <c r="BK1977" t="s">
        <v>123</v>
      </c>
      <c r="BL1977" t="str">
        <f>"2015.295477"</f>
        <v>2015.295477</v>
      </c>
      <c r="BM1977" t="s">
        <v>475</v>
      </c>
      <c r="BO1977" t="s">
        <v>13390</v>
      </c>
      <c r="BS1977">
        <v>30</v>
      </c>
      <c r="BW1977" t="str">
        <f>""</f>
        <v/>
      </c>
      <c r="CH1977" t="str">
        <f>""</f>
        <v/>
      </c>
      <c r="CS1977" t="str">
        <f>""</f>
        <v/>
      </c>
    </row>
    <row r="1978" spans="1:97" x14ac:dyDescent="0.25">
      <c r="A1978" t="s">
        <v>305</v>
      </c>
      <c r="B1978" t="s">
        <v>13391</v>
      </c>
      <c r="C1978" t="s">
        <v>13392</v>
      </c>
      <c r="D1978" t="s">
        <v>13391</v>
      </c>
      <c r="E1978" t="s">
        <v>13393</v>
      </c>
      <c r="F1978" t="s">
        <v>108</v>
      </c>
      <c r="H1978" t="s">
        <v>13394</v>
      </c>
      <c r="I1978" t="s">
        <v>3150</v>
      </c>
      <c r="J1978" t="s">
        <v>111</v>
      </c>
      <c r="K1978" t="str">
        <f>"85340"</f>
        <v>85340</v>
      </c>
      <c r="L1978" t="s">
        <v>2765</v>
      </c>
      <c r="M1978" t="s">
        <v>13394</v>
      </c>
      <c r="N1978" t="s">
        <v>3150</v>
      </c>
      <c r="O1978" t="s">
        <v>111</v>
      </c>
      <c r="P1978" t="str">
        <f>"85340-6217"</f>
        <v>85340-6217</v>
      </c>
      <c r="Q1978" t="s">
        <v>113</v>
      </c>
      <c r="R1978" t="str">
        <f>"502-27-866"</f>
        <v>502-27-866</v>
      </c>
      <c r="S1978" t="s">
        <v>7560</v>
      </c>
      <c r="T1978" t="s">
        <v>7560</v>
      </c>
      <c r="U1978">
        <v>2527</v>
      </c>
      <c r="V1978">
        <v>0</v>
      </c>
      <c r="W1978">
        <v>4</v>
      </c>
      <c r="X1978">
        <v>2013</v>
      </c>
      <c r="Z1978">
        <v>1</v>
      </c>
      <c r="AA1978" t="s">
        <v>26</v>
      </c>
      <c r="AB1978">
        <v>0</v>
      </c>
      <c r="AC1978" t="s">
        <v>115</v>
      </c>
      <c r="AD1978">
        <v>4</v>
      </c>
      <c r="AE1978" t="s">
        <v>115</v>
      </c>
      <c r="AF1978">
        <v>0</v>
      </c>
      <c r="AG1978">
        <v>0</v>
      </c>
      <c r="AH1978" t="s">
        <v>116</v>
      </c>
      <c r="AI1978" s="1">
        <v>93665</v>
      </c>
      <c r="AJ1978" s="2">
        <v>0.19</v>
      </c>
      <c r="AK1978" s="1">
        <v>481040</v>
      </c>
      <c r="AL1978" t="s">
        <v>117</v>
      </c>
      <c r="AM1978" t="s">
        <v>1302</v>
      </c>
      <c r="AN1978">
        <v>22337</v>
      </c>
      <c r="AO1978">
        <v>0.51</v>
      </c>
      <c r="AR1978">
        <v>1</v>
      </c>
      <c r="AS1978" s="1">
        <v>34780</v>
      </c>
      <c r="AT1978" s="1">
        <v>6950</v>
      </c>
      <c r="AU1978" s="1">
        <v>27830</v>
      </c>
      <c r="AV1978">
        <v>80.02</v>
      </c>
      <c r="AX1978" s="1">
        <v>3589.76</v>
      </c>
      <c r="AY1978" t="s">
        <v>503</v>
      </c>
      <c r="AZ1978" t="s">
        <v>504</v>
      </c>
      <c r="BA1978" t="s">
        <v>218</v>
      </c>
      <c r="BE1978" s="3">
        <v>42055</v>
      </c>
      <c r="BF1978" s="1">
        <v>375000</v>
      </c>
      <c r="BG1978" t="s">
        <v>13395</v>
      </c>
      <c r="BH1978" s="1">
        <v>149.58000000000001</v>
      </c>
      <c r="BI1978" s="1">
        <v>387375</v>
      </c>
      <c r="BJ1978" s="3">
        <v>42055</v>
      </c>
      <c r="BK1978" t="s">
        <v>123</v>
      </c>
      <c r="BL1978" t="str">
        <f>"2015.109915"</f>
        <v>2015.109915</v>
      </c>
      <c r="BM1978" t="s">
        <v>724</v>
      </c>
      <c r="BO1978" t="s">
        <v>13396</v>
      </c>
      <c r="BS1978">
        <v>30</v>
      </c>
      <c r="BW1978" t="str">
        <f>""</f>
        <v/>
      </c>
      <c r="CH1978" t="str">
        <f>""</f>
        <v/>
      </c>
      <c r="CS1978" t="str">
        <f>""</f>
        <v/>
      </c>
    </row>
    <row r="1979" spans="1:97" x14ac:dyDescent="0.25">
      <c r="A1979" t="s">
        <v>13397</v>
      </c>
      <c r="B1979" t="s">
        <v>11160</v>
      </c>
      <c r="E1979" t="s">
        <v>13398</v>
      </c>
      <c r="F1979" t="s">
        <v>108</v>
      </c>
      <c r="H1979" t="s">
        <v>13399</v>
      </c>
      <c r="I1979" t="s">
        <v>499</v>
      </c>
      <c r="J1979" t="s">
        <v>111</v>
      </c>
      <c r="K1979" t="str">
        <f>"85338"</f>
        <v>85338</v>
      </c>
      <c r="L1979" t="s">
        <v>2197</v>
      </c>
      <c r="M1979" t="s">
        <v>13399</v>
      </c>
      <c r="N1979" t="s">
        <v>499</v>
      </c>
      <c r="O1979" t="s">
        <v>111</v>
      </c>
      <c r="P1979" t="str">
        <f>"85338-3592"</f>
        <v>85338-3592</v>
      </c>
      <c r="Q1979" t="s">
        <v>113</v>
      </c>
      <c r="R1979" t="str">
        <f>"500-07-194"</f>
        <v>500-07-194</v>
      </c>
      <c r="S1979" t="s">
        <v>13400</v>
      </c>
      <c r="U1979">
        <v>3006</v>
      </c>
      <c r="V1979">
        <v>0</v>
      </c>
      <c r="W1979">
        <v>4</v>
      </c>
      <c r="X1979">
        <v>2006</v>
      </c>
      <c r="Z1979">
        <v>2</v>
      </c>
      <c r="AB1979">
        <v>0</v>
      </c>
      <c r="AC1979" t="s">
        <v>115</v>
      </c>
      <c r="AD1979">
        <v>3</v>
      </c>
      <c r="AE1979" t="s">
        <v>115</v>
      </c>
      <c r="AF1979">
        <v>0</v>
      </c>
      <c r="AG1979">
        <v>0</v>
      </c>
      <c r="AH1979" t="s">
        <v>116</v>
      </c>
      <c r="AI1979" s="1">
        <v>85741</v>
      </c>
      <c r="AJ1979" s="2">
        <v>0.26</v>
      </c>
      <c r="AK1979" s="1">
        <v>325741</v>
      </c>
      <c r="AL1979" t="s">
        <v>117</v>
      </c>
      <c r="AM1979" t="s">
        <v>118</v>
      </c>
      <c r="AN1979">
        <v>10652</v>
      </c>
      <c r="AO1979">
        <v>0.24</v>
      </c>
      <c r="AR1979">
        <v>1</v>
      </c>
      <c r="AS1979" s="1">
        <v>22780</v>
      </c>
      <c r="AT1979" s="1">
        <v>4550</v>
      </c>
      <c r="AU1979" s="1">
        <v>18230</v>
      </c>
      <c r="AV1979">
        <v>80.03</v>
      </c>
      <c r="AX1979" s="1">
        <v>2273.16</v>
      </c>
      <c r="AY1979" t="s">
        <v>11177</v>
      </c>
      <c r="AZ1979" t="s">
        <v>11177</v>
      </c>
      <c r="BA1979" t="s">
        <v>7186</v>
      </c>
      <c r="BE1979" s="3">
        <v>42103</v>
      </c>
      <c r="BF1979" s="1">
        <v>240000</v>
      </c>
      <c r="BG1979" t="s">
        <v>13401</v>
      </c>
      <c r="BH1979" s="1">
        <v>79.84</v>
      </c>
      <c r="BI1979" s="1">
        <v>240000</v>
      </c>
      <c r="BJ1979" s="3">
        <v>42103</v>
      </c>
      <c r="BK1979" t="s">
        <v>123</v>
      </c>
      <c r="BL1979" t="str">
        <f>"2015.243208"</f>
        <v>2015.243208</v>
      </c>
      <c r="BM1979" t="s">
        <v>8916</v>
      </c>
      <c r="BO1979" t="s">
        <v>13402</v>
      </c>
      <c r="BS1979">
        <v>30</v>
      </c>
      <c r="BW1979" t="str">
        <f>""</f>
        <v/>
      </c>
      <c r="CH1979" t="str">
        <f>""</f>
        <v/>
      </c>
      <c r="CS1979" t="str">
        <f>""</f>
        <v/>
      </c>
    </row>
    <row r="1980" spans="1:97" x14ac:dyDescent="0.25">
      <c r="A1980" t="s">
        <v>464</v>
      </c>
      <c r="B1980" t="s">
        <v>13403</v>
      </c>
      <c r="E1980" t="s">
        <v>13404</v>
      </c>
      <c r="F1980" t="s">
        <v>108</v>
      </c>
      <c r="H1980" t="s">
        <v>13405</v>
      </c>
      <c r="I1980" t="s">
        <v>632</v>
      </c>
      <c r="J1980" t="s">
        <v>111</v>
      </c>
      <c r="K1980" t="str">
        <f>"85388"</f>
        <v>85388</v>
      </c>
      <c r="L1980" t="s">
        <v>541</v>
      </c>
      <c r="M1980" t="s">
        <v>13405</v>
      </c>
      <c r="N1980" t="s">
        <v>632</v>
      </c>
      <c r="O1980" t="s">
        <v>111</v>
      </c>
      <c r="P1980" t="str">
        <f>"85388-1191"</f>
        <v>85388-1191</v>
      </c>
      <c r="Q1980" t="s">
        <v>113</v>
      </c>
      <c r="R1980" t="str">
        <f>"509-10-386"</f>
        <v>509-10-386</v>
      </c>
      <c r="S1980" t="s">
        <v>13406</v>
      </c>
      <c r="U1980">
        <v>1824</v>
      </c>
      <c r="V1980">
        <v>0</v>
      </c>
      <c r="W1980">
        <v>3</v>
      </c>
      <c r="X1980">
        <v>2003</v>
      </c>
      <c r="Z1980">
        <v>1</v>
      </c>
      <c r="AA1980" t="s">
        <v>26</v>
      </c>
      <c r="AB1980">
        <v>0</v>
      </c>
      <c r="AC1980" t="s">
        <v>115</v>
      </c>
      <c r="AD1980">
        <v>2</v>
      </c>
      <c r="AE1980" t="s">
        <v>115</v>
      </c>
      <c r="AF1980">
        <v>0</v>
      </c>
      <c r="AG1980">
        <v>0</v>
      </c>
      <c r="AH1980" t="s">
        <v>116</v>
      </c>
      <c r="AI1980" s="1">
        <v>58786</v>
      </c>
      <c r="AJ1980" s="2">
        <v>0.22</v>
      </c>
      <c r="AK1980" s="1">
        <v>268770</v>
      </c>
      <c r="AL1980" t="s">
        <v>117</v>
      </c>
      <c r="AM1980" t="s">
        <v>118</v>
      </c>
      <c r="AN1980">
        <v>6632</v>
      </c>
      <c r="AO1980">
        <v>0.15</v>
      </c>
      <c r="AP1980">
        <v>1</v>
      </c>
      <c r="AR1980">
        <v>1</v>
      </c>
      <c r="AS1980" s="1">
        <v>18570</v>
      </c>
      <c r="AT1980" s="1">
        <v>3710</v>
      </c>
      <c r="AU1980" s="1">
        <v>14860</v>
      </c>
      <c r="AV1980">
        <v>80.02</v>
      </c>
      <c r="AX1980" s="1">
        <v>1339.98</v>
      </c>
      <c r="AY1980" t="s">
        <v>5517</v>
      </c>
      <c r="AZ1980" t="s">
        <v>5517</v>
      </c>
      <c r="BA1980" t="s">
        <v>5109</v>
      </c>
      <c r="BE1980" s="3">
        <v>42235</v>
      </c>
      <c r="BF1980" s="1">
        <v>204000</v>
      </c>
      <c r="BG1980" t="s">
        <v>13407</v>
      </c>
      <c r="BH1980" s="1">
        <v>111.84</v>
      </c>
      <c r="BI1980" s="1">
        <v>209984</v>
      </c>
      <c r="BJ1980" s="3">
        <v>42460</v>
      </c>
      <c r="BK1980" t="s">
        <v>123</v>
      </c>
      <c r="BL1980" t="str">
        <f>"2016.208060"</f>
        <v>2016.208060</v>
      </c>
      <c r="BM1980" t="s">
        <v>1325</v>
      </c>
      <c r="BO1980" t="s">
        <v>13408</v>
      </c>
      <c r="BS1980">
        <v>30</v>
      </c>
      <c r="BW1980" t="str">
        <f>""</f>
        <v/>
      </c>
      <c r="CH1980" t="str">
        <f>""</f>
        <v/>
      </c>
      <c r="CS1980" t="str">
        <f>""</f>
        <v/>
      </c>
    </row>
    <row r="1981" spans="1:97" x14ac:dyDescent="0.25">
      <c r="A1981" t="s">
        <v>1140</v>
      </c>
      <c r="B1981" t="s">
        <v>7313</v>
      </c>
      <c r="E1981" t="s">
        <v>13409</v>
      </c>
      <c r="F1981" t="s">
        <v>108</v>
      </c>
      <c r="H1981" t="s">
        <v>13410</v>
      </c>
      <c r="I1981" t="s">
        <v>225</v>
      </c>
      <c r="J1981" t="s">
        <v>111</v>
      </c>
      <c r="K1981" t="str">
        <f>"85209"</f>
        <v>85209</v>
      </c>
      <c r="L1981" t="s">
        <v>2820</v>
      </c>
      <c r="M1981" t="s">
        <v>13410</v>
      </c>
      <c r="N1981" t="s">
        <v>225</v>
      </c>
      <c r="O1981" t="s">
        <v>111</v>
      </c>
      <c r="P1981" t="str">
        <f>"85209-7208"</f>
        <v>85209-7208</v>
      </c>
      <c r="Q1981" t="s">
        <v>113</v>
      </c>
      <c r="R1981" t="str">
        <f>"309-09-268"</f>
        <v>309-09-268</v>
      </c>
      <c r="S1981" t="s">
        <v>13411</v>
      </c>
      <c r="T1981" t="s">
        <v>6551</v>
      </c>
      <c r="U1981">
        <v>1668</v>
      </c>
      <c r="V1981">
        <v>0</v>
      </c>
      <c r="W1981">
        <v>3</v>
      </c>
      <c r="X1981">
        <v>1996</v>
      </c>
      <c r="Z1981">
        <v>1</v>
      </c>
      <c r="AA1981" t="s">
        <v>26</v>
      </c>
      <c r="AB1981">
        <v>0</v>
      </c>
      <c r="AC1981" t="s">
        <v>115</v>
      </c>
      <c r="AD1981">
        <v>2</v>
      </c>
      <c r="AE1981" t="s">
        <v>115</v>
      </c>
      <c r="AF1981">
        <v>0</v>
      </c>
      <c r="AG1981">
        <v>0</v>
      </c>
      <c r="AH1981" t="s">
        <v>116</v>
      </c>
      <c r="AI1981" s="1">
        <v>75160</v>
      </c>
      <c r="AJ1981" s="2">
        <v>0.24</v>
      </c>
      <c r="AK1981" s="1">
        <v>313260</v>
      </c>
      <c r="AL1981" t="s">
        <v>117</v>
      </c>
      <c r="AM1981" t="s">
        <v>191</v>
      </c>
      <c r="AN1981">
        <v>6835</v>
      </c>
      <c r="AO1981">
        <v>0.16</v>
      </c>
      <c r="AP1981">
        <v>1</v>
      </c>
      <c r="AR1981">
        <v>1</v>
      </c>
      <c r="AS1981" s="1">
        <v>21630</v>
      </c>
      <c r="AT1981" s="1">
        <v>4320</v>
      </c>
      <c r="AU1981" s="1">
        <v>17310</v>
      </c>
      <c r="AV1981">
        <v>80.03</v>
      </c>
      <c r="AX1981" s="1">
        <v>1506.64</v>
      </c>
      <c r="AY1981" t="s">
        <v>6552</v>
      </c>
      <c r="AZ1981" t="s">
        <v>571</v>
      </c>
      <c r="BA1981" t="s">
        <v>572</v>
      </c>
      <c r="BE1981" s="3">
        <v>42061</v>
      </c>
      <c r="BF1981" s="1">
        <v>230500</v>
      </c>
      <c r="BG1981" t="s">
        <v>13412</v>
      </c>
      <c r="BH1981" s="1">
        <v>138.19</v>
      </c>
      <c r="BI1981" s="1">
        <v>238100</v>
      </c>
      <c r="BJ1981" s="3">
        <v>42061</v>
      </c>
      <c r="BK1981" t="s">
        <v>123</v>
      </c>
      <c r="BL1981" t="str">
        <f>"2015.127258"</f>
        <v>2015.127258</v>
      </c>
      <c r="BM1981" t="s">
        <v>7531</v>
      </c>
      <c r="BO1981" t="s">
        <v>13413</v>
      </c>
      <c r="BS1981">
        <v>30</v>
      </c>
      <c r="BW1981" t="str">
        <f>""</f>
        <v/>
      </c>
      <c r="CH1981" t="str">
        <f>""</f>
        <v/>
      </c>
      <c r="CS1981" t="str">
        <f>""</f>
        <v/>
      </c>
    </row>
    <row r="1982" spans="1:97" x14ac:dyDescent="0.25">
      <c r="A1982" t="s">
        <v>894</v>
      </c>
      <c r="B1982" t="s">
        <v>13414</v>
      </c>
      <c r="C1982" t="s">
        <v>489</v>
      </c>
      <c r="D1982" t="s">
        <v>13414</v>
      </c>
      <c r="E1982" t="s">
        <v>13415</v>
      </c>
      <c r="F1982" t="s">
        <v>108</v>
      </c>
      <c r="H1982" t="s">
        <v>13416</v>
      </c>
      <c r="I1982" t="s">
        <v>632</v>
      </c>
      <c r="J1982" t="s">
        <v>111</v>
      </c>
      <c r="K1982" t="str">
        <f>"85379"</f>
        <v>85379</v>
      </c>
      <c r="L1982" t="s">
        <v>558</v>
      </c>
      <c r="M1982" t="s">
        <v>13416</v>
      </c>
      <c r="N1982" t="s">
        <v>632</v>
      </c>
      <c r="O1982" t="s">
        <v>111</v>
      </c>
      <c r="P1982" t="str">
        <f>"85379-5218"</f>
        <v>85379-5218</v>
      </c>
      <c r="Q1982" t="s">
        <v>113</v>
      </c>
      <c r="R1982" t="str">
        <f>"509-14-316"</f>
        <v>509-14-316</v>
      </c>
      <c r="S1982" t="s">
        <v>5614</v>
      </c>
      <c r="U1982">
        <v>2568</v>
      </c>
      <c r="V1982">
        <v>0</v>
      </c>
      <c r="W1982">
        <v>4</v>
      </c>
      <c r="X1982">
        <v>2004</v>
      </c>
      <c r="Z1982">
        <v>2</v>
      </c>
      <c r="AA1982" t="s">
        <v>26</v>
      </c>
      <c r="AB1982">
        <v>0</v>
      </c>
      <c r="AC1982" t="s">
        <v>115</v>
      </c>
      <c r="AD1982">
        <v>3</v>
      </c>
      <c r="AE1982" t="s">
        <v>115</v>
      </c>
      <c r="AF1982">
        <v>0</v>
      </c>
      <c r="AG1982">
        <v>0</v>
      </c>
      <c r="AH1982" t="s">
        <v>116</v>
      </c>
      <c r="AI1982" s="1">
        <v>38318</v>
      </c>
      <c r="AJ1982" s="2">
        <v>0.12</v>
      </c>
      <c r="AK1982" s="1">
        <v>332886</v>
      </c>
      <c r="AL1982" t="s">
        <v>117</v>
      </c>
      <c r="AM1982" t="s">
        <v>118</v>
      </c>
      <c r="AN1982">
        <v>7245</v>
      </c>
      <c r="AO1982">
        <v>0.17</v>
      </c>
      <c r="AP1982">
        <v>1</v>
      </c>
      <c r="AR1982">
        <v>1</v>
      </c>
      <c r="AS1982" s="1">
        <v>23210</v>
      </c>
      <c r="AT1982" s="1">
        <v>4640</v>
      </c>
      <c r="AU1982" s="1">
        <v>18570</v>
      </c>
      <c r="AV1982">
        <v>80.010000000000005</v>
      </c>
      <c r="AX1982" s="1">
        <v>1779.34</v>
      </c>
      <c r="AY1982" t="s">
        <v>5615</v>
      </c>
      <c r="AZ1982" t="s">
        <v>5615</v>
      </c>
      <c r="BA1982" t="s">
        <v>635</v>
      </c>
      <c r="BE1982" s="3">
        <v>41914</v>
      </c>
      <c r="BF1982" s="1">
        <v>259000</v>
      </c>
      <c r="BG1982" t="s">
        <v>13417</v>
      </c>
      <c r="BH1982" s="1">
        <v>100.86</v>
      </c>
      <c r="BI1982" s="1">
        <v>264568</v>
      </c>
      <c r="BJ1982" s="3">
        <v>41914</v>
      </c>
      <c r="BK1982" t="s">
        <v>123</v>
      </c>
      <c r="BL1982" t="str">
        <f>"2014.653704"</f>
        <v>2014.653704</v>
      </c>
      <c r="BM1982" t="s">
        <v>12154</v>
      </c>
      <c r="BN1982" t="s">
        <v>6856</v>
      </c>
      <c r="BO1982" t="s">
        <v>13418</v>
      </c>
      <c r="BS1982">
        <v>30</v>
      </c>
      <c r="BT1982" s="1">
        <v>30000</v>
      </c>
      <c r="BU1982" s="3">
        <v>43553</v>
      </c>
      <c r="BW1982" t="str">
        <f>"2019.217947"</f>
        <v>2019.217947</v>
      </c>
      <c r="BX1982" t="s">
        <v>13419</v>
      </c>
      <c r="BY1982" t="s">
        <v>13420</v>
      </c>
      <c r="BZ1982" t="s">
        <v>13421</v>
      </c>
      <c r="CA1982" t="s">
        <v>13422</v>
      </c>
      <c r="CC1982" t="s">
        <v>346</v>
      </c>
      <c r="CH1982" t="str">
        <f>""</f>
        <v/>
      </c>
      <c r="CS1982" t="str">
        <f>""</f>
        <v/>
      </c>
    </row>
    <row r="1983" spans="1:97" x14ac:dyDescent="0.25">
      <c r="A1983" t="s">
        <v>305</v>
      </c>
      <c r="B1983" t="s">
        <v>11046</v>
      </c>
      <c r="C1983" t="s">
        <v>13423</v>
      </c>
      <c r="D1983" t="s">
        <v>11046</v>
      </c>
      <c r="E1983" t="s">
        <v>13424</v>
      </c>
      <c r="F1983" t="s">
        <v>108</v>
      </c>
      <c r="H1983" t="s">
        <v>13425</v>
      </c>
      <c r="I1983" t="s">
        <v>203</v>
      </c>
      <c r="J1983" t="s">
        <v>111</v>
      </c>
      <c r="K1983" t="str">
        <f>"85297"</f>
        <v>85297</v>
      </c>
      <c r="L1983" t="s">
        <v>8335</v>
      </c>
      <c r="M1983" t="s">
        <v>13425</v>
      </c>
      <c r="N1983" t="s">
        <v>203</v>
      </c>
      <c r="O1983" t="s">
        <v>111</v>
      </c>
      <c r="P1983" t="str">
        <f>"85297-4408"</f>
        <v>85297-4408</v>
      </c>
      <c r="Q1983" t="s">
        <v>113</v>
      </c>
      <c r="R1983" t="str">
        <f>"309-28-124"</f>
        <v>309-28-124</v>
      </c>
      <c r="S1983" t="s">
        <v>8336</v>
      </c>
      <c r="T1983" t="s">
        <v>8337</v>
      </c>
      <c r="U1983">
        <v>1575</v>
      </c>
      <c r="V1983">
        <v>0</v>
      </c>
      <c r="W1983">
        <v>2</v>
      </c>
      <c r="X1983">
        <v>2008</v>
      </c>
      <c r="Z1983">
        <v>1</v>
      </c>
      <c r="AB1983">
        <v>0</v>
      </c>
      <c r="AC1983" t="s">
        <v>115</v>
      </c>
      <c r="AD1983">
        <v>2</v>
      </c>
      <c r="AE1983" t="s">
        <v>115</v>
      </c>
      <c r="AF1983">
        <v>0</v>
      </c>
      <c r="AG1983">
        <v>0</v>
      </c>
      <c r="AH1983" t="s">
        <v>116</v>
      </c>
      <c r="AI1983" s="1">
        <v>49293</v>
      </c>
      <c r="AJ1983" s="2">
        <v>0.16</v>
      </c>
      <c r="AK1983" s="1">
        <v>307543</v>
      </c>
      <c r="AL1983" t="s">
        <v>117</v>
      </c>
      <c r="AM1983" t="s">
        <v>288</v>
      </c>
      <c r="AN1983">
        <v>5308</v>
      </c>
      <c r="AO1983">
        <v>0.12</v>
      </c>
      <c r="AR1983">
        <v>1</v>
      </c>
      <c r="AS1983" s="1">
        <v>21270</v>
      </c>
      <c r="AT1983" s="1">
        <v>4250</v>
      </c>
      <c r="AU1983" s="1">
        <v>17020</v>
      </c>
      <c r="AV1983">
        <v>80.02</v>
      </c>
      <c r="AX1983" s="1">
        <v>1910.24</v>
      </c>
      <c r="AY1983" t="s">
        <v>8338</v>
      </c>
      <c r="AZ1983" t="s">
        <v>8338</v>
      </c>
      <c r="BA1983" t="s">
        <v>290</v>
      </c>
      <c r="BE1983" s="3">
        <v>41892</v>
      </c>
      <c r="BF1983" s="1">
        <v>218600</v>
      </c>
      <c r="BG1983" t="s">
        <v>13426</v>
      </c>
      <c r="BH1983" s="1">
        <v>138.79</v>
      </c>
      <c r="BI1983" s="1">
        <v>258250</v>
      </c>
      <c r="BJ1983" s="3">
        <v>42984</v>
      </c>
      <c r="BK1983" t="s">
        <v>123</v>
      </c>
      <c r="BL1983" t="str">
        <f>"2017.657212"</f>
        <v>2017.657212</v>
      </c>
      <c r="BM1983" t="s">
        <v>361</v>
      </c>
      <c r="BO1983" t="s">
        <v>13427</v>
      </c>
      <c r="BS1983">
        <v>30</v>
      </c>
      <c r="BW1983" t="str">
        <f>""</f>
        <v/>
      </c>
      <c r="CH1983" t="str">
        <f>""</f>
        <v/>
      </c>
      <c r="CS1983" t="str">
        <f>""</f>
        <v/>
      </c>
    </row>
    <row r="1984" spans="1:97" x14ac:dyDescent="0.25">
      <c r="A1984" t="s">
        <v>13428</v>
      </c>
      <c r="B1984" t="s">
        <v>2434</v>
      </c>
      <c r="C1984" t="s">
        <v>817</v>
      </c>
      <c r="D1984" t="s">
        <v>2434</v>
      </c>
      <c r="E1984" t="s">
        <v>13429</v>
      </c>
      <c r="F1984" t="s">
        <v>108</v>
      </c>
      <c r="H1984" t="s">
        <v>13430</v>
      </c>
      <c r="I1984" t="s">
        <v>632</v>
      </c>
      <c r="J1984" t="s">
        <v>111</v>
      </c>
      <c r="K1984" t="str">
        <f>"85374"</f>
        <v>85374</v>
      </c>
      <c r="L1984" t="s">
        <v>5990</v>
      </c>
      <c r="M1984" t="s">
        <v>13430</v>
      </c>
      <c r="N1984" t="s">
        <v>632</v>
      </c>
      <c r="O1984" t="s">
        <v>111</v>
      </c>
      <c r="P1984" t="str">
        <f>"85374-8812"</f>
        <v>85374-8812</v>
      </c>
      <c r="R1984" t="str">
        <f>"501-93-903"</f>
        <v>501-93-903</v>
      </c>
      <c r="S1984" t="s">
        <v>13431</v>
      </c>
      <c r="U1984">
        <v>2219</v>
      </c>
      <c r="V1984">
        <v>0</v>
      </c>
      <c r="W1984">
        <v>4</v>
      </c>
      <c r="X1984">
        <v>2001</v>
      </c>
      <c r="Z1984">
        <v>2</v>
      </c>
      <c r="AB1984">
        <v>0</v>
      </c>
      <c r="AC1984" t="s">
        <v>115</v>
      </c>
      <c r="AD1984">
        <v>2</v>
      </c>
      <c r="AE1984" t="s">
        <v>115</v>
      </c>
      <c r="AF1984">
        <v>0</v>
      </c>
      <c r="AG1984">
        <v>0</v>
      </c>
      <c r="AH1984" t="s">
        <v>116</v>
      </c>
      <c r="AI1984" s="1">
        <v>-241167</v>
      </c>
      <c r="AJ1984" s="2">
        <v>-0.92</v>
      </c>
      <c r="AK1984" s="1">
        <v>263433</v>
      </c>
      <c r="AL1984" t="s">
        <v>117</v>
      </c>
      <c r="AM1984" t="s">
        <v>118</v>
      </c>
      <c r="AN1984">
        <v>5830</v>
      </c>
      <c r="AO1984">
        <v>0.13</v>
      </c>
      <c r="AP1984">
        <v>1</v>
      </c>
      <c r="AR1984">
        <v>1</v>
      </c>
      <c r="AS1984" s="1">
        <v>17920</v>
      </c>
      <c r="AT1984" s="1">
        <v>3580</v>
      </c>
      <c r="AU1984" s="1">
        <v>14340</v>
      </c>
      <c r="AV1984">
        <v>80.02</v>
      </c>
      <c r="AX1984" s="1">
        <v>1295.74</v>
      </c>
      <c r="AY1984" t="s">
        <v>5983</v>
      </c>
      <c r="AZ1984" t="s">
        <v>5983</v>
      </c>
      <c r="BA1984" t="s">
        <v>5109</v>
      </c>
      <c r="BB1984" s="3">
        <v>42424</v>
      </c>
      <c r="BD1984" t="s">
        <v>458</v>
      </c>
      <c r="BE1984" s="3">
        <v>41848</v>
      </c>
      <c r="BF1984" s="1">
        <v>175200</v>
      </c>
      <c r="BG1984" t="s">
        <v>13432</v>
      </c>
      <c r="BH1984" s="1">
        <v>78.95</v>
      </c>
      <c r="BI1984" s="1">
        <v>252300</v>
      </c>
      <c r="BJ1984" s="3">
        <v>43613</v>
      </c>
      <c r="BK1984" t="s">
        <v>123</v>
      </c>
      <c r="BL1984" t="str">
        <f>"2019.391251"</f>
        <v>2019.391251</v>
      </c>
      <c r="BM1984" t="s">
        <v>13433</v>
      </c>
      <c r="BN1984" t="s">
        <v>1136</v>
      </c>
      <c r="BO1984" t="s">
        <v>13434</v>
      </c>
      <c r="BP1984" t="s">
        <v>13435</v>
      </c>
      <c r="BR1984" t="s">
        <v>139</v>
      </c>
      <c r="BT1984" s="1">
        <v>252300</v>
      </c>
      <c r="BU1984" s="3">
        <v>43634</v>
      </c>
      <c r="BV1984" t="s">
        <v>123</v>
      </c>
      <c r="BW1984" t="str">
        <f>"2019.455061"</f>
        <v>2019.455061</v>
      </c>
      <c r="BX1984" t="s">
        <v>13433</v>
      </c>
      <c r="BY1984" t="s">
        <v>1136</v>
      </c>
      <c r="BZ1984" t="s">
        <v>13436</v>
      </c>
      <c r="CC1984" t="s">
        <v>139</v>
      </c>
      <c r="CH1984" t="str">
        <f>""</f>
        <v/>
      </c>
      <c r="CS1984" t="str">
        <f>""</f>
        <v/>
      </c>
    </row>
    <row r="1985" spans="1:97" x14ac:dyDescent="0.25">
      <c r="A1985" t="s">
        <v>13437</v>
      </c>
      <c r="B1985" t="s">
        <v>13438</v>
      </c>
      <c r="E1985" t="s">
        <v>13439</v>
      </c>
      <c r="F1985" t="s">
        <v>108</v>
      </c>
      <c r="H1985" t="s">
        <v>13440</v>
      </c>
      <c r="I1985" t="s">
        <v>203</v>
      </c>
      <c r="J1985" t="s">
        <v>111</v>
      </c>
      <c r="K1985" t="str">
        <f>"85296"</f>
        <v>85296</v>
      </c>
      <c r="L1985" t="s">
        <v>8103</v>
      </c>
      <c r="M1985" t="s">
        <v>13440</v>
      </c>
      <c r="N1985" t="s">
        <v>203</v>
      </c>
      <c r="O1985" t="s">
        <v>111</v>
      </c>
      <c r="P1985" t="str">
        <f>"85296-8848"</f>
        <v>85296-8848</v>
      </c>
      <c r="Q1985" t="s">
        <v>113</v>
      </c>
      <c r="R1985" t="str">
        <f>"304-27-465"</f>
        <v>304-27-465</v>
      </c>
      <c r="S1985" t="s">
        <v>13441</v>
      </c>
      <c r="U1985">
        <v>1427</v>
      </c>
      <c r="V1985">
        <v>0</v>
      </c>
      <c r="W1985">
        <v>3</v>
      </c>
      <c r="X1985">
        <v>2000</v>
      </c>
      <c r="Z1985">
        <v>1</v>
      </c>
      <c r="AA1985" t="s">
        <v>26</v>
      </c>
      <c r="AB1985">
        <v>0</v>
      </c>
      <c r="AC1985" t="s">
        <v>115</v>
      </c>
      <c r="AD1985">
        <v>2</v>
      </c>
      <c r="AE1985" t="s">
        <v>115</v>
      </c>
      <c r="AF1985">
        <v>0</v>
      </c>
      <c r="AG1985">
        <v>0</v>
      </c>
      <c r="AH1985" t="s">
        <v>116</v>
      </c>
      <c r="AI1985" s="1">
        <v>64552</v>
      </c>
      <c r="AJ1985" s="2">
        <v>0.22</v>
      </c>
      <c r="AK1985" s="1">
        <v>289705</v>
      </c>
      <c r="AL1985" t="s">
        <v>117</v>
      </c>
      <c r="AM1985" t="s">
        <v>191</v>
      </c>
      <c r="AN1985">
        <v>5793</v>
      </c>
      <c r="AO1985">
        <v>0.13</v>
      </c>
      <c r="AP1985">
        <v>1</v>
      </c>
      <c r="AR1985">
        <v>1</v>
      </c>
      <c r="AS1985" s="1">
        <v>20310</v>
      </c>
      <c r="AT1985" s="1">
        <v>4060</v>
      </c>
      <c r="AU1985" s="1">
        <v>16250</v>
      </c>
      <c r="AV1985">
        <v>80.010000000000005</v>
      </c>
      <c r="AX1985" s="1">
        <v>1616.62</v>
      </c>
      <c r="AY1985" t="s">
        <v>5094</v>
      </c>
      <c r="AZ1985" t="s">
        <v>5094</v>
      </c>
      <c r="BA1985" t="s">
        <v>473</v>
      </c>
      <c r="BE1985" s="3">
        <v>42460</v>
      </c>
      <c r="BF1985" s="1">
        <v>220415</v>
      </c>
      <c r="BG1985" t="s">
        <v>13442</v>
      </c>
      <c r="BH1985" s="1">
        <v>154.46</v>
      </c>
      <c r="BI1985" s="1">
        <v>225153</v>
      </c>
      <c r="BJ1985" s="3">
        <v>42460</v>
      </c>
      <c r="BK1985" t="s">
        <v>123</v>
      </c>
      <c r="BL1985" t="str">
        <f>"2016.213463"</f>
        <v>2016.213463</v>
      </c>
      <c r="BM1985" t="s">
        <v>2980</v>
      </c>
      <c r="BO1985" t="s">
        <v>13443</v>
      </c>
      <c r="BS1985">
        <v>30</v>
      </c>
      <c r="BW1985" t="str">
        <f>""</f>
        <v/>
      </c>
      <c r="CH1985" t="str">
        <f>""</f>
        <v/>
      </c>
      <c r="CS1985" t="str">
        <f>""</f>
        <v/>
      </c>
    </row>
    <row r="1986" spans="1:97" x14ac:dyDescent="0.25">
      <c r="B1986" t="s">
        <v>13444</v>
      </c>
      <c r="E1986" t="s">
        <v>13445</v>
      </c>
      <c r="F1986" t="s">
        <v>139</v>
      </c>
      <c r="H1986" t="s">
        <v>13446</v>
      </c>
      <c r="I1986" t="s">
        <v>5523</v>
      </c>
      <c r="J1986" t="s">
        <v>111</v>
      </c>
      <c r="K1986" t="str">
        <f>"85373"</f>
        <v>85373</v>
      </c>
      <c r="L1986" t="s">
        <v>6996</v>
      </c>
      <c r="M1986" t="s">
        <v>13446</v>
      </c>
      <c r="N1986" t="s">
        <v>5523</v>
      </c>
      <c r="O1986" t="s">
        <v>111</v>
      </c>
      <c r="P1986" t="str">
        <f>"85373-2115"</f>
        <v>85373-2115</v>
      </c>
      <c r="Q1986" t="s">
        <v>113</v>
      </c>
      <c r="R1986" t="str">
        <f>"230-07-297"</f>
        <v>230-07-297</v>
      </c>
      <c r="S1986" t="s">
        <v>13447</v>
      </c>
      <c r="U1986">
        <v>2150</v>
      </c>
      <c r="V1986">
        <v>0</v>
      </c>
      <c r="W1986">
        <v>2</v>
      </c>
      <c r="X1986">
        <v>1978</v>
      </c>
      <c r="Z1986">
        <v>1</v>
      </c>
      <c r="AA1986" t="s">
        <v>26</v>
      </c>
      <c r="AB1986">
        <v>0</v>
      </c>
      <c r="AC1986" t="s">
        <v>115</v>
      </c>
      <c r="AD1986">
        <v>2</v>
      </c>
      <c r="AE1986" t="s">
        <v>115</v>
      </c>
      <c r="AF1986">
        <v>0</v>
      </c>
      <c r="AG1986">
        <v>0</v>
      </c>
      <c r="AH1986" t="s">
        <v>116</v>
      </c>
      <c r="AI1986" s="1">
        <v>102770</v>
      </c>
      <c r="AJ1986" s="2">
        <v>0.28000000000000003</v>
      </c>
      <c r="AK1986" s="1">
        <v>372770</v>
      </c>
      <c r="AL1986" t="s">
        <v>117</v>
      </c>
      <c r="AM1986" t="s">
        <v>191</v>
      </c>
      <c r="AN1986">
        <v>7823</v>
      </c>
      <c r="AO1986">
        <v>0.18</v>
      </c>
      <c r="AP1986">
        <v>1</v>
      </c>
      <c r="AR1986">
        <v>1</v>
      </c>
      <c r="AS1986" s="1">
        <v>27300</v>
      </c>
      <c r="AT1986" s="1">
        <v>5460</v>
      </c>
      <c r="AU1986" s="1">
        <v>21840</v>
      </c>
      <c r="AV1986">
        <v>80</v>
      </c>
      <c r="AX1986" s="1">
        <v>1909.7</v>
      </c>
      <c r="AY1986" t="s">
        <v>4520</v>
      </c>
      <c r="AZ1986" t="s">
        <v>4520</v>
      </c>
      <c r="BA1986" t="s">
        <v>3360</v>
      </c>
      <c r="BB1986" s="3">
        <v>43243</v>
      </c>
      <c r="BC1986" s="1">
        <v>0</v>
      </c>
      <c r="BD1986" t="s">
        <v>247</v>
      </c>
      <c r="BE1986" s="3">
        <v>42310</v>
      </c>
      <c r="BF1986" s="1">
        <v>328000</v>
      </c>
      <c r="BG1986" t="s">
        <v>13448</v>
      </c>
      <c r="BH1986" s="1">
        <v>152.56</v>
      </c>
      <c r="BI1986" s="1">
        <v>270000</v>
      </c>
      <c r="BJ1986" s="3">
        <v>43033</v>
      </c>
      <c r="BK1986" t="s">
        <v>123</v>
      </c>
      <c r="BL1986" t="str">
        <f>"2017.789957"</f>
        <v>2017.789957</v>
      </c>
      <c r="BM1986" t="s">
        <v>135</v>
      </c>
      <c r="BN1986">
        <v>22180</v>
      </c>
      <c r="BO1986" t="s">
        <v>13449</v>
      </c>
      <c r="BS1986">
        <v>15</v>
      </c>
      <c r="BW1986" t="str">
        <f>""</f>
        <v/>
      </c>
      <c r="CH1986" t="str">
        <f>""</f>
        <v/>
      </c>
      <c r="CS1986" t="str">
        <f>""</f>
        <v/>
      </c>
    </row>
    <row r="1987" spans="1:97" x14ac:dyDescent="0.25">
      <c r="A1987" t="s">
        <v>305</v>
      </c>
      <c r="B1987" t="s">
        <v>13450</v>
      </c>
      <c r="C1987" t="s">
        <v>970</v>
      </c>
      <c r="D1987" t="s">
        <v>13450</v>
      </c>
      <c r="E1987" t="s">
        <v>13451</v>
      </c>
      <c r="F1987" t="s">
        <v>108</v>
      </c>
      <c r="H1987" t="s">
        <v>13452</v>
      </c>
      <c r="I1987" t="s">
        <v>144</v>
      </c>
      <c r="J1987" t="s">
        <v>111</v>
      </c>
      <c r="K1987" t="str">
        <f>"85326"</f>
        <v>85326</v>
      </c>
      <c r="L1987" t="s">
        <v>7243</v>
      </c>
      <c r="M1987" t="s">
        <v>13452</v>
      </c>
      <c r="N1987" t="s">
        <v>144</v>
      </c>
      <c r="O1987" t="s">
        <v>111</v>
      </c>
      <c r="P1987" t="str">
        <f>"85326"</f>
        <v>85326</v>
      </c>
      <c r="Q1987" t="s">
        <v>113</v>
      </c>
      <c r="R1987" t="str">
        <f>"504-33-315"</f>
        <v>504-33-315</v>
      </c>
      <c r="S1987" t="s">
        <v>13453</v>
      </c>
      <c r="U1987">
        <v>1832</v>
      </c>
      <c r="V1987">
        <v>0</v>
      </c>
      <c r="W1987">
        <v>2</v>
      </c>
      <c r="X1987">
        <v>2015</v>
      </c>
      <c r="Z1987">
        <v>1</v>
      </c>
      <c r="AB1987">
        <v>0</v>
      </c>
      <c r="AC1987" t="s">
        <v>115</v>
      </c>
      <c r="AD1987">
        <v>2</v>
      </c>
      <c r="AE1987" t="s">
        <v>115</v>
      </c>
      <c r="AF1987">
        <v>0</v>
      </c>
      <c r="AG1987">
        <v>0</v>
      </c>
      <c r="AH1987" t="s">
        <v>116</v>
      </c>
      <c r="AI1987" s="1">
        <v>59594</v>
      </c>
      <c r="AJ1987" s="2">
        <v>0.22</v>
      </c>
      <c r="AK1987" s="1">
        <v>276049</v>
      </c>
      <c r="AL1987" t="s">
        <v>117</v>
      </c>
      <c r="AM1987" t="s">
        <v>118</v>
      </c>
      <c r="AN1987">
        <v>5654</v>
      </c>
      <c r="AO1987">
        <v>0.13</v>
      </c>
      <c r="AR1987">
        <v>1</v>
      </c>
      <c r="AS1987" s="1">
        <v>21670</v>
      </c>
      <c r="AT1987" s="1">
        <v>4330</v>
      </c>
      <c r="AU1987" s="1">
        <v>17340</v>
      </c>
      <c r="AV1987">
        <v>80.02</v>
      </c>
      <c r="AX1987" s="1">
        <v>2547.7399999999998</v>
      </c>
      <c r="AY1987" t="s">
        <v>7333</v>
      </c>
      <c r="AZ1987" t="s">
        <v>7333</v>
      </c>
      <c r="BA1987" t="s">
        <v>5025</v>
      </c>
      <c r="BE1987" s="3">
        <v>42418</v>
      </c>
      <c r="BF1987" s="1">
        <v>211900</v>
      </c>
      <c r="BG1987" t="s">
        <v>9623</v>
      </c>
      <c r="BH1987" s="1">
        <v>115.67</v>
      </c>
      <c r="BI1987" s="1">
        <v>216455</v>
      </c>
      <c r="BJ1987" s="3">
        <v>42418</v>
      </c>
      <c r="BK1987" t="s">
        <v>123</v>
      </c>
      <c r="BL1987" t="str">
        <f>"2016.101471"</f>
        <v>2016.101471</v>
      </c>
      <c r="BM1987" t="s">
        <v>175</v>
      </c>
      <c r="BO1987" t="s">
        <v>13454</v>
      </c>
      <c r="BS1987">
        <v>30</v>
      </c>
      <c r="BW1987" t="str">
        <f>""</f>
        <v/>
      </c>
      <c r="CH1987" t="str">
        <f>""</f>
        <v/>
      </c>
      <c r="CS1987" t="str">
        <f>""</f>
        <v/>
      </c>
    </row>
    <row r="1988" spans="1:97" x14ac:dyDescent="0.25">
      <c r="A1988" t="s">
        <v>211</v>
      </c>
      <c r="B1988" t="s">
        <v>13455</v>
      </c>
      <c r="C1988" t="s">
        <v>1252</v>
      </c>
      <c r="D1988" t="s">
        <v>13455</v>
      </c>
      <c r="E1988" t="s">
        <v>13456</v>
      </c>
      <c r="F1988" t="s">
        <v>108</v>
      </c>
      <c r="H1988" t="s">
        <v>13457</v>
      </c>
      <c r="I1988" t="s">
        <v>390</v>
      </c>
      <c r="J1988" t="s">
        <v>111</v>
      </c>
      <c r="K1988" t="str">
        <f>"85042"</f>
        <v>85042</v>
      </c>
      <c r="L1988" t="s">
        <v>6803</v>
      </c>
      <c r="M1988" t="s">
        <v>13457</v>
      </c>
      <c r="N1988" t="s">
        <v>390</v>
      </c>
      <c r="O1988" t="s">
        <v>111</v>
      </c>
      <c r="P1988" t="str">
        <f>"85042-6111"</f>
        <v>85042-6111</v>
      </c>
      <c r="R1988" t="str">
        <f>"122-97-206"</f>
        <v>122-97-206</v>
      </c>
      <c r="S1988" t="s">
        <v>13458</v>
      </c>
      <c r="T1988" t="s">
        <v>13458</v>
      </c>
      <c r="U1988">
        <v>1670</v>
      </c>
      <c r="V1988">
        <v>0</v>
      </c>
      <c r="W1988">
        <v>3</v>
      </c>
      <c r="X1988">
        <v>1999</v>
      </c>
      <c r="Z1988">
        <v>1</v>
      </c>
      <c r="AB1988">
        <v>0</v>
      </c>
      <c r="AC1988" t="s">
        <v>115</v>
      </c>
      <c r="AD1988">
        <v>2</v>
      </c>
      <c r="AE1988" t="s">
        <v>115</v>
      </c>
      <c r="AF1988">
        <v>0</v>
      </c>
      <c r="AG1988">
        <v>0</v>
      </c>
      <c r="AH1988" t="s">
        <v>116</v>
      </c>
      <c r="AI1988" s="1">
        <v>16869</v>
      </c>
      <c r="AJ1988" s="2">
        <v>0.06</v>
      </c>
      <c r="AK1988" s="1">
        <v>272244</v>
      </c>
      <c r="AL1988" t="s">
        <v>117</v>
      </c>
      <c r="AM1988" t="s">
        <v>118</v>
      </c>
      <c r="AN1988">
        <v>4087</v>
      </c>
      <c r="AO1988">
        <v>0.94</v>
      </c>
      <c r="AP1988">
        <v>1</v>
      </c>
      <c r="AR1988">
        <v>1</v>
      </c>
      <c r="AS1988" s="1">
        <v>18480</v>
      </c>
      <c r="AT1988" s="1">
        <v>3690</v>
      </c>
      <c r="AU1988" s="1">
        <v>14790</v>
      </c>
      <c r="AV1988">
        <v>80.03</v>
      </c>
      <c r="AX1988" s="1">
        <v>2209.38</v>
      </c>
      <c r="AY1988" t="s">
        <v>6115</v>
      </c>
      <c r="AZ1988" t="s">
        <v>6115</v>
      </c>
      <c r="BA1988" t="s">
        <v>2860</v>
      </c>
      <c r="BE1988" s="3">
        <v>42011</v>
      </c>
      <c r="BF1988" s="1">
        <v>199000</v>
      </c>
      <c r="BG1988" t="s">
        <v>13459</v>
      </c>
      <c r="BH1988" s="1">
        <v>119.16</v>
      </c>
      <c r="BI1988" s="1">
        <v>255375</v>
      </c>
      <c r="BJ1988" s="3">
        <v>43493</v>
      </c>
      <c r="BK1988" t="s">
        <v>123</v>
      </c>
      <c r="BL1988" t="str">
        <f>"2019.58396"</f>
        <v>2019.58396</v>
      </c>
      <c r="BM1988" t="s">
        <v>1809</v>
      </c>
      <c r="BN1988" t="s">
        <v>1810</v>
      </c>
      <c r="BO1988" t="s">
        <v>13460</v>
      </c>
      <c r="BP1988" t="s">
        <v>13461</v>
      </c>
      <c r="BR1988" t="s">
        <v>139</v>
      </c>
      <c r="BW1988" t="str">
        <f>""</f>
        <v/>
      </c>
      <c r="CH1988" t="str">
        <f>""</f>
        <v/>
      </c>
      <c r="CS1988" t="str">
        <f>""</f>
        <v/>
      </c>
    </row>
    <row r="1989" spans="1:97" x14ac:dyDescent="0.25">
      <c r="A1989" t="s">
        <v>13462</v>
      </c>
      <c r="B1989" t="s">
        <v>13463</v>
      </c>
      <c r="C1989" t="s">
        <v>10325</v>
      </c>
      <c r="D1989" t="s">
        <v>13463</v>
      </c>
      <c r="E1989" t="s">
        <v>13464</v>
      </c>
      <c r="F1989" t="s">
        <v>108</v>
      </c>
      <c r="H1989" t="s">
        <v>13465</v>
      </c>
      <c r="I1989" t="s">
        <v>5114</v>
      </c>
      <c r="J1989" t="s">
        <v>111</v>
      </c>
      <c r="K1989" t="str">
        <f>"85392"</f>
        <v>85392</v>
      </c>
      <c r="L1989" t="s">
        <v>8199</v>
      </c>
      <c r="M1989" t="s">
        <v>13465</v>
      </c>
      <c r="N1989" t="s">
        <v>5114</v>
      </c>
      <c r="O1989" t="s">
        <v>111</v>
      </c>
      <c r="P1989" t="str">
        <f>"85392-3622"</f>
        <v>85392-3622</v>
      </c>
      <c r="Q1989" t="s">
        <v>113</v>
      </c>
      <c r="R1989" t="str">
        <f>"102-28-350"</f>
        <v>102-28-350</v>
      </c>
      <c r="S1989" t="s">
        <v>13466</v>
      </c>
      <c r="T1989" t="s">
        <v>13467</v>
      </c>
      <c r="U1989">
        <v>2223</v>
      </c>
      <c r="V1989">
        <v>0</v>
      </c>
      <c r="W1989">
        <v>3</v>
      </c>
      <c r="X1989">
        <v>1987</v>
      </c>
      <c r="Z1989">
        <v>1</v>
      </c>
      <c r="AA1989" t="s">
        <v>26</v>
      </c>
      <c r="AB1989">
        <v>0</v>
      </c>
      <c r="AC1989" t="s">
        <v>115</v>
      </c>
      <c r="AD1989">
        <v>2</v>
      </c>
      <c r="AE1989" t="s">
        <v>115</v>
      </c>
      <c r="AF1989">
        <v>0</v>
      </c>
      <c r="AG1989">
        <v>0</v>
      </c>
      <c r="AH1989" t="s">
        <v>116</v>
      </c>
      <c r="AI1989" s="1">
        <v>70922</v>
      </c>
      <c r="AJ1989" s="2">
        <v>0.23</v>
      </c>
      <c r="AK1989" s="1">
        <v>309922</v>
      </c>
      <c r="AL1989" t="s">
        <v>117</v>
      </c>
      <c r="AM1989" t="s">
        <v>118</v>
      </c>
      <c r="AN1989">
        <v>8159</v>
      </c>
      <c r="AO1989">
        <v>0.19</v>
      </c>
      <c r="AP1989">
        <v>1</v>
      </c>
      <c r="AR1989">
        <v>1</v>
      </c>
      <c r="AS1989" s="1">
        <v>21950</v>
      </c>
      <c r="AT1989" s="1">
        <v>4390</v>
      </c>
      <c r="AU1989" s="1">
        <v>17560</v>
      </c>
      <c r="AV1989">
        <v>80</v>
      </c>
      <c r="AX1989" s="1">
        <v>2264.2399999999998</v>
      </c>
      <c r="AY1989" t="s">
        <v>8084</v>
      </c>
      <c r="AZ1989" t="s">
        <v>8084</v>
      </c>
      <c r="BA1989" t="s">
        <v>5118</v>
      </c>
      <c r="BE1989" s="3">
        <v>41816</v>
      </c>
      <c r="BF1989" s="1">
        <v>240000</v>
      </c>
      <c r="BG1989" t="s">
        <v>13468</v>
      </c>
      <c r="BH1989" s="1">
        <v>107.96</v>
      </c>
      <c r="BI1989" s="1">
        <v>239000</v>
      </c>
      <c r="BJ1989" s="3">
        <v>41816</v>
      </c>
      <c r="BK1989" t="s">
        <v>123</v>
      </c>
      <c r="BL1989" t="str">
        <f>"2014.421011"</f>
        <v>2014.421011</v>
      </c>
      <c r="BM1989" t="s">
        <v>13469</v>
      </c>
      <c r="BO1989" t="s">
        <v>13470</v>
      </c>
      <c r="BS1989">
        <v>30</v>
      </c>
      <c r="BW1989" t="str">
        <f>""</f>
        <v/>
      </c>
      <c r="CH1989" t="str">
        <f>""</f>
        <v/>
      </c>
      <c r="CS1989" t="str">
        <f>""</f>
        <v/>
      </c>
    </row>
    <row r="1990" spans="1:97" x14ac:dyDescent="0.25">
      <c r="A1990" t="s">
        <v>4179</v>
      </c>
      <c r="B1990" t="s">
        <v>10412</v>
      </c>
      <c r="C1990" t="s">
        <v>703</v>
      </c>
      <c r="D1990" t="s">
        <v>10412</v>
      </c>
      <c r="E1990" t="s">
        <v>13471</v>
      </c>
      <c r="F1990" t="s">
        <v>108</v>
      </c>
      <c r="H1990" t="s">
        <v>13472</v>
      </c>
      <c r="I1990" t="s">
        <v>499</v>
      </c>
      <c r="J1990" t="s">
        <v>111</v>
      </c>
      <c r="K1990" t="str">
        <f>"85395"</f>
        <v>85395</v>
      </c>
      <c r="L1990" t="s">
        <v>3151</v>
      </c>
      <c r="M1990" t="s">
        <v>13472</v>
      </c>
      <c r="N1990" t="s">
        <v>499</v>
      </c>
      <c r="O1990" t="s">
        <v>111</v>
      </c>
      <c r="P1990" t="str">
        <f>"85395-8839"</f>
        <v>85395-8839</v>
      </c>
      <c r="Q1990" t="s">
        <v>113</v>
      </c>
      <c r="R1990" t="str">
        <f>"501-87-574"</f>
        <v>501-87-574</v>
      </c>
      <c r="S1990" t="s">
        <v>13473</v>
      </c>
      <c r="U1990">
        <v>2033</v>
      </c>
      <c r="V1990">
        <v>0</v>
      </c>
      <c r="W1990">
        <v>3</v>
      </c>
      <c r="X1990">
        <v>1999</v>
      </c>
      <c r="Z1990">
        <v>1</v>
      </c>
      <c r="AB1990">
        <v>0</v>
      </c>
      <c r="AC1990" t="s">
        <v>115</v>
      </c>
      <c r="AD1990">
        <v>2</v>
      </c>
      <c r="AE1990" t="s">
        <v>115</v>
      </c>
      <c r="AF1990">
        <v>0</v>
      </c>
      <c r="AG1990">
        <v>0</v>
      </c>
      <c r="AH1990" t="s">
        <v>116</v>
      </c>
      <c r="AI1990" s="1">
        <v>76706</v>
      </c>
      <c r="AJ1990" s="2">
        <v>0.21</v>
      </c>
      <c r="AK1990" s="1">
        <v>361706</v>
      </c>
      <c r="AL1990" t="s">
        <v>117</v>
      </c>
      <c r="AM1990" t="s">
        <v>118</v>
      </c>
      <c r="AN1990">
        <v>8809</v>
      </c>
      <c r="AO1990">
        <v>0.2</v>
      </c>
      <c r="AP1990">
        <v>1</v>
      </c>
      <c r="AR1990">
        <v>1</v>
      </c>
      <c r="AS1990" s="1">
        <v>26550</v>
      </c>
      <c r="AT1990" s="1">
        <v>5310</v>
      </c>
      <c r="AU1990" s="1">
        <v>21240</v>
      </c>
      <c r="AV1990">
        <v>80</v>
      </c>
      <c r="AX1990" s="1">
        <v>3005.64</v>
      </c>
      <c r="AY1990" t="s">
        <v>3020</v>
      </c>
      <c r="AZ1990" t="s">
        <v>3020</v>
      </c>
      <c r="BA1990" t="s">
        <v>3154</v>
      </c>
      <c r="BE1990" s="3">
        <v>42114</v>
      </c>
      <c r="BF1990" s="1">
        <v>285000</v>
      </c>
      <c r="BG1990" t="s">
        <v>13474</v>
      </c>
      <c r="BH1990" s="1">
        <v>140.19</v>
      </c>
      <c r="BI1990" s="1">
        <v>285000</v>
      </c>
      <c r="BJ1990" s="3">
        <v>42114</v>
      </c>
      <c r="BK1990" t="s">
        <v>123</v>
      </c>
      <c r="BL1990" t="str">
        <f>"2015.269515"</f>
        <v>2015.269515</v>
      </c>
      <c r="BM1990" t="s">
        <v>1544</v>
      </c>
      <c r="BO1990" t="s">
        <v>13475</v>
      </c>
      <c r="BS1990">
        <v>30</v>
      </c>
      <c r="BW1990" t="str">
        <f>""</f>
        <v/>
      </c>
      <c r="CH1990" t="str">
        <f>""</f>
        <v/>
      </c>
      <c r="CS1990" t="str">
        <f>""</f>
        <v/>
      </c>
    </row>
    <row r="1991" spans="1:97" x14ac:dyDescent="0.25">
      <c r="A1991" t="s">
        <v>1755</v>
      </c>
      <c r="B1991" t="s">
        <v>13476</v>
      </c>
      <c r="E1991" t="s">
        <v>13477</v>
      </c>
      <c r="F1991" t="s">
        <v>108</v>
      </c>
      <c r="H1991" t="s">
        <v>13478</v>
      </c>
      <c r="I1991" t="s">
        <v>5114</v>
      </c>
      <c r="J1991" t="s">
        <v>111</v>
      </c>
      <c r="K1991" t="str">
        <f>"85392"</f>
        <v>85392</v>
      </c>
      <c r="L1991" t="s">
        <v>3430</v>
      </c>
      <c r="M1991" t="s">
        <v>13478</v>
      </c>
      <c r="N1991" t="s">
        <v>5114</v>
      </c>
      <c r="O1991" t="s">
        <v>111</v>
      </c>
      <c r="P1991" t="str">
        <f>"85392-4680"</f>
        <v>85392-4680</v>
      </c>
      <c r="Q1991" t="s">
        <v>113</v>
      </c>
      <c r="R1991" t="str">
        <f>"102-31-691"</f>
        <v>102-31-691</v>
      </c>
      <c r="S1991" t="s">
        <v>13479</v>
      </c>
      <c r="T1991" t="s">
        <v>13480</v>
      </c>
      <c r="U1991">
        <v>2934</v>
      </c>
      <c r="V1991">
        <v>0</v>
      </c>
      <c r="W1991">
        <v>4</v>
      </c>
      <c r="X1991">
        <v>2005</v>
      </c>
      <c r="Z1991">
        <v>2</v>
      </c>
      <c r="AB1991">
        <v>0</v>
      </c>
      <c r="AC1991" t="s">
        <v>115</v>
      </c>
      <c r="AD1991">
        <v>2</v>
      </c>
      <c r="AE1991" t="s">
        <v>115</v>
      </c>
      <c r="AF1991">
        <v>0</v>
      </c>
      <c r="AG1991">
        <v>0</v>
      </c>
      <c r="AH1991" t="s">
        <v>116</v>
      </c>
      <c r="AI1991" s="1">
        <v>77165</v>
      </c>
      <c r="AJ1991" s="2">
        <v>0.23</v>
      </c>
      <c r="AK1991" s="1">
        <v>332316</v>
      </c>
      <c r="AL1991" t="s">
        <v>117</v>
      </c>
      <c r="AM1991" t="s">
        <v>118</v>
      </c>
      <c r="AN1991">
        <v>9827</v>
      </c>
      <c r="AO1991">
        <v>0.23</v>
      </c>
      <c r="AR1991">
        <v>1</v>
      </c>
      <c r="AS1991" s="1">
        <v>22770</v>
      </c>
      <c r="AT1991" s="1">
        <v>4550</v>
      </c>
      <c r="AU1991" s="1">
        <v>18220</v>
      </c>
      <c r="AV1991">
        <v>80.02</v>
      </c>
      <c r="AX1991" s="1">
        <v>2395.14</v>
      </c>
      <c r="AY1991" t="s">
        <v>9887</v>
      </c>
      <c r="AZ1991" t="s">
        <v>9887</v>
      </c>
      <c r="BA1991" t="s">
        <v>5118</v>
      </c>
      <c r="BE1991" s="3">
        <v>42128</v>
      </c>
      <c r="BF1991" s="1">
        <v>247000</v>
      </c>
      <c r="BG1991" t="s">
        <v>13481</v>
      </c>
      <c r="BH1991" s="1">
        <v>84.19</v>
      </c>
      <c r="BI1991" s="1">
        <v>255151</v>
      </c>
      <c r="BJ1991" s="3">
        <v>42128</v>
      </c>
      <c r="BK1991" t="s">
        <v>123</v>
      </c>
      <c r="BL1991" t="str">
        <f>"2015.312545"</f>
        <v>2015.312545</v>
      </c>
      <c r="BM1991" t="s">
        <v>1791</v>
      </c>
      <c r="BO1991" t="s">
        <v>13482</v>
      </c>
      <c r="BS1991">
        <v>30</v>
      </c>
      <c r="BW1991" t="str">
        <f>""</f>
        <v/>
      </c>
      <c r="CH1991" t="str">
        <f>""</f>
        <v/>
      </c>
      <c r="CS1991" t="str">
        <f>""</f>
        <v/>
      </c>
    </row>
    <row r="1992" spans="1:97" x14ac:dyDescent="0.25">
      <c r="A1992" t="s">
        <v>13483</v>
      </c>
      <c r="B1992" t="s">
        <v>10212</v>
      </c>
      <c r="C1992" t="s">
        <v>13484</v>
      </c>
      <c r="D1992" t="s">
        <v>10212</v>
      </c>
      <c r="E1992" t="s">
        <v>13485</v>
      </c>
      <c r="F1992" t="s">
        <v>108</v>
      </c>
      <c r="H1992" t="s">
        <v>13486</v>
      </c>
      <c r="I1992" t="s">
        <v>632</v>
      </c>
      <c r="J1992" t="s">
        <v>111</v>
      </c>
      <c r="K1992" t="str">
        <f>"85388"</f>
        <v>85388</v>
      </c>
      <c r="L1992" t="s">
        <v>4467</v>
      </c>
      <c r="M1992" t="s">
        <v>13486</v>
      </c>
      <c r="N1992" t="s">
        <v>632</v>
      </c>
      <c r="O1992" t="s">
        <v>111</v>
      </c>
      <c r="P1992" t="str">
        <f>"85388-2358"</f>
        <v>85388-2358</v>
      </c>
      <c r="Q1992" t="s">
        <v>113</v>
      </c>
      <c r="R1992" t="str">
        <f>"502-09-598"</f>
        <v>502-09-598</v>
      </c>
      <c r="S1992" t="s">
        <v>5359</v>
      </c>
      <c r="T1992" t="s">
        <v>5360</v>
      </c>
      <c r="U1992">
        <v>2519</v>
      </c>
      <c r="V1992">
        <v>0</v>
      </c>
      <c r="W1992">
        <v>3</v>
      </c>
      <c r="X1992">
        <v>2014</v>
      </c>
      <c r="Z1992">
        <v>1</v>
      </c>
      <c r="AA1992" t="s">
        <v>26</v>
      </c>
      <c r="AB1992">
        <v>0</v>
      </c>
      <c r="AC1992" t="s">
        <v>115</v>
      </c>
      <c r="AD1992">
        <v>3</v>
      </c>
      <c r="AE1992" t="s">
        <v>115</v>
      </c>
      <c r="AF1992">
        <v>0</v>
      </c>
      <c r="AG1992">
        <v>0</v>
      </c>
      <c r="AH1992" t="s">
        <v>116</v>
      </c>
      <c r="AI1992" s="1">
        <v>70814</v>
      </c>
      <c r="AJ1992" s="2">
        <v>0.21</v>
      </c>
      <c r="AK1992" s="1">
        <v>339394</v>
      </c>
      <c r="AL1992" t="s">
        <v>117</v>
      </c>
      <c r="AM1992" t="s">
        <v>118</v>
      </c>
      <c r="AN1992">
        <v>7442</v>
      </c>
      <c r="AO1992">
        <v>0.17</v>
      </c>
      <c r="AR1992">
        <v>1</v>
      </c>
      <c r="AS1992" s="1">
        <v>25930</v>
      </c>
      <c r="AT1992" s="1">
        <v>5180</v>
      </c>
      <c r="AU1992" s="1">
        <v>20750</v>
      </c>
      <c r="AV1992">
        <v>80.02</v>
      </c>
      <c r="AX1992" s="1">
        <v>2024.02</v>
      </c>
      <c r="AY1992" t="s">
        <v>5168</v>
      </c>
      <c r="AZ1992" t="s">
        <v>5168</v>
      </c>
      <c r="BA1992" t="s">
        <v>5109</v>
      </c>
      <c r="BE1992" s="3">
        <v>41718</v>
      </c>
      <c r="BF1992" s="1">
        <v>238449</v>
      </c>
      <c r="BG1992" t="s">
        <v>2289</v>
      </c>
      <c r="BH1992" s="1">
        <v>94.66</v>
      </c>
      <c r="BI1992" s="1">
        <v>268580</v>
      </c>
      <c r="BJ1992" s="3">
        <v>42619</v>
      </c>
      <c r="BK1992" t="s">
        <v>123</v>
      </c>
      <c r="BL1992" t="str">
        <f>"2016.641899"</f>
        <v>2016.641899</v>
      </c>
      <c r="BM1992" t="s">
        <v>903</v>
      </c>
      <c r="BO1992" t="s">
        <v>13487</v>
      </c>
      <c r="BS1992">
        <v>30</v>
      </c>
      <c r="BW1992" t="str">
        <f>""</f>
        <v/>
      </c>
      <c r="CH1992" t="str">
        <f>""</f>
        <v/>
      </c>
      <c r="CS1992" t="str">
        <f>""</f>
        <v/>
      </c>
    </row>
    <row r="1993" spans="1:97" x14ac:dyDescent="0.25">
      <c r="A1993" t="s">
        <v>370</v>
      </c>
      <c r="B1993" t="s">
        <v>13488</v>
      </c>
      <c r="E1993" t="s">
        <v>13489</v>
      </c>
      <c r="F1993" t="s">
        <v>108</v>
      </c>
      <c r="H1993" t="s">
        <v>13490</v>
      </c>
      <c r="I1993" t="s">
        <v>2874</v>
      </c>
      <c r="J1993" t="s">
        <v>111</v>
      </c>
      <c r="K1993" t="str">
        <f>"85310"</f>
        <v>85310</v>
      </c>
      <c r="L1993" t="s">
        <v>5637</v>
      </c>
      <c r="M1993" t="s">
        <v>13490</v>
      </c>
      <c r="N1993" t="s">
        <v>2874</v>
      </c>
      <c r="O1993" t="s">
        <v>111</v>
      </c>
      <c r="P1993" t="str">
        <f>"85310-4183"</f>
        <v>85310-4183</v>
      </c>
      <c r="Q1993" t="s">
        <v>113</v>
      </c>
      <c r="R1993" t="str">
        <f>"205-15-182"</f>
        <v>205-15-182</v>
      </c>
      <c r="S1993" t="s">
        <v>13491</v>
      </c>
      <c r="T1993" t="s">
        <v>5699</v>
      </c>
      <c r="U1993">
        <v>1749</v>
      </c>
      <c r="V1993">
        <v>0</v>
      </c>
      <c r="W1993">
        <v>3</v>
      </c>
      <c r="X1993">
        <v>1997</v>
      </c>
      <c r="Z1993">
        <v>2</v>
      </c>
      <c r="AA1993" t="s">
        <v>26</v>
      </c>
      <c r="AB1993">
        <v>0</v>
      </c>
      <c r="AC1993" t="s">
        <v>115</v>
      </c>
      <c r="AD1993">
        <v>2</v>
      </c>
      <c r="AE1993" t="s">
        <v>115</v>
      </c>
      <c r="AF1993">
        <v>0</v>
      </c>
      <c r="AG1993">
        <v>0</v>
      </c>
      <c r="AH1993" t="s">
        <v>116</v>
      </c>
      <c r="AI1993" s="1">
        <v>82365</v>
      </c>
      <c r="AJ1993" s="2">
        <v>0.26</v>
      </c>
      <c r="AK1993" s="1">
        <v>316830</v>
      </c>
      <c r="AL1993" t="s">
        <v>117</v>
      </c>
      <c r="AM1993" t="s">
        <v>1315</v>
      </c>
      <c r="AN1993">
        <v>11158</v>
      </c>
      <c r="AO1993">
        <v>0.26</v>
      </c>
      <c r="AP1993">
        <v>1</v>
      </c>
      <c r="AR1993">
        <v>1</v>
      </c>
      <c r="AS1993" s="1">
        <v>21750</v>
      </c>
      <c r="AT1993" s="1">
        <v>4350</v>
      </c>
      <c r="AU1993" s="1">
        <v>17400</v>
      </c>
      <c r="AV1993">
        <v>80</v>
      </c>
      <c r="AX1993" s="1">
        <v>1634.66</v>
      </c>
      <c r="AY1993" t="s">
        <v>5701</v>
      </c>
      <c r="AZ1993" t="s">
        <v>3049</v>
      </c>
      <c r="BA1993" t="s">
        <v>1386</v>
      </c>
      <c r="BE1993" s="3">
        <v>42367</v>
      </c>
      <c r="BF1993" s="1">
        <v>251000</v>
      </c>
      <c r="BG1993" t="s">
        <v>13492</v>
      </c>
      <c r="BH1993" s="1">
        <v>143.51</v>
      </c>
      <c r="BI1993" s="1">
        <v>234465</v>
      </c>
      <c r="BJ1993" s="3">
        <v>42367</v>
      </c>
      <c r="BK1993" t="s">
        <v>123</v>
      </c>
      <c r="BL1993" t="str">
        <f>"2015.915016"</f>
        <v>2015.915016</v>
      </c>
      <c r="BM1993" t="s">
        <v>1185</v>
      </c>
      <c r="BO1993" t="s">
        <v>13493</v>
      </c>
      <c r="BS1993">
        <v>30</v>
      </c>
      <c r="BW1993" t="str">
        <f>""</f>
        <v/>
      </c>
      <c r="CH1993" t="str">
        <f>""</f>
        <v/>
      </c>
      <c r="CS1993" t="str">
        <f>""</f>
        <v/>
      </c>
    </row>
    <row r="1994" spans="1:97" x14ac:dyDescent="0.25">
      <c r="A1994" t="s">
        <v>1308</v>
      </c>
      <c r="B1994" t="s">
        <v>13494</v>
      </c>
      <c r="E1994" t="s">
        <v>13495</v>
      </c>
      <c r="F1994" t="s">
        <v>108</v>
      </c>
      <c r="H1994" t="s">
        <v>13496</v>
      </c>
      <c r="I1994" t="s">
        <v>225</v>
      </c>
      <c r="J1994" t="s">
        <v>111</v>
      </c>
      <c r="K1994" t="str">
        <f>"85208"</f>
        <v>85208</v>
      </c>
      <c r="L1994" t="s">
        <v>5416</v>
      </c>
      <c r="M1994" t="s">
        <v>13496</v>
      </c>
      <c r="N1994" t="s">
        <v>225</v>
      </c>
      <c r="O1994" t="s">
        <v>111</v>
      </c>
      <c r="P1994" t="str">
        <f>"85208-7477"</f>
        <v>85208-7477</v>
      </c>
      <c r="Q1994" t="s">
        <v>113</v>
      </c>
      <c r="R1994" t="str">
        <f>"220-71-944"</f>
        <v>220-71-944</v>
      </c>
      <c r="S1994" t="s">
        <v>13497</v>
      </c>
      <c r="T1994" t="s">
        <v>13498</v>
      </c>
      <c r="U1994">
        <v>1948</v>
      </c>
      <c r="V1994">
        <v>0</v>
      </c>
      <c r="W1994">
        <v>3</v>
      </c>
      <c r="X1994">
        <v>2002</v>
      </c>
      <c r="Z1994">
        <v>2</v>
      </c>
      <c r="AA1994" t="s">
        <v>26</v>
      </c>
      <c r="AB1994">
        <v>0</v>
      </c>
      <c r="AC1994" t="s">
        <v>115</v>
      </c>
      <c r="AD1994">
        <v>2</v>
      </c>
      <c r="AE1994" t="s">
        <v>115</v>
      </c>
      <c r="AF1994">
        <v>0</v>
      </c>
      <c r="AG1994">
        <v>0</v>
      </c>
      <c r="AH1994" t="s">
        <v>116</v>
      </c>
      <c r="AI1994" s="1">
        <v>48649</v>
      </c>
      <c r="AJ1994" s="2">
        <v>0.17</v>
      </c>
      <c r="AK1994" s="1">
        <v>280041</v>
      </c>
      <c r="AL1994" t="s">
        <v>117</v>
      </c>
      <c r="AM1994" t="s">
        <v>191</v>
      </c>
      <c r="AN1994">
        <v>7295</v>
      </c>
      <c r="AO1994">
        <v>0.17</v>
      </c>
      <c r="AP1994">
        <v>1</v>
      </c>
      <c r="AR1994">
        <v>1</v>
      </c>
      <c r="AS1994" s="1">
        <v>19510</v>
      </c>
      <c r="AT1994" s="1">
        <v>3900</v>
      </c>
      <c r="AU1994" s="1">
        <v>15610</v>
      </c>
      <c r="AV1994">
        <v>80.010000000000005</v>
      </c>
      <c r="AX1994" s="1">
        <v>1411.96</v>
      </c>
      <c r="AY1994" t="s">
        <v>272</v>
      </c>
      <c r="AZ1994" t="s">
        <v>3761</v>
      </c>
      <c r="BA1994" t="s">
        <v>232</v>
      </c>
      <c r="BE1994" s="3">
        <v>42390</v>
      </c>
      <c r="BF1994" s="1">
        <v>224000</v>
      </c>
      <c r="BG1994" t="s">
        <v>13499</v>
      </c>
      <c r="BH1994" s="1">
        <v>114.99</v>
      </c>
      <c r="BI1994" s="1">
        <v>231392</v>
      </c>
      <c r="BJ1994" s="3">
        <v>42390</v>
      </c>
      <c r="BK1994" t="s">
        <v>123</v>
      </c>
      <c r="BL1994" t="str">
        <f>"2016.42076"</f>
        <v>2016.42076</v>
      </c>
      <c r="BM1994" t="s">
        <v>2716</v>
      </c>
      <c r="BO1994" t="s">
        <v>13500</v>
      </c>
      <c r="BS1994">
        <v>30</v>
      </c>
      <c r="BW1994" t="str">
        <f>""</f>
        <v/>
      </c>
      <c r="CH1994" t="str">
        <f>""</f>
        <v/>
      </c>
      <c r="CS1994" t="str">
        <f>""</f>
        <v/>
      </c>
    </row>
    <row r="1995" spans="1:97" x14ac:dyDescent="0.25">
      <c r="A1995" t="s">
        <v>1109</v>
      </c>
      <c r="B1995" t="s">
        <v>13501</v>
      </c>
      <c r="E1995" t="s">
        <v>13502</v>
      </c>
      <c r="F1995" t="s">
        <v>108</v>
      </c>
      <c r="H1995" t="s">
        <v>13503</v>
      </c>
      <c r="I1995" t="s">
        <v>110</v>
      </c>
      <c r="J1995" t="s">
        <v>111</v>
      </c>
      <c r="K1995" t="str">
        <f>"85286"</f>
        <v>85286</v>
      </c>
      <c r="L1995" t="s">
        <v>6481</v>
      </c>
      <c r="M1995" t="s">
        <v>13503</v>
      </c>
      <c r="N1995" t="s">
        <v>110</v>
      </c>
      <c r="O1995" t="s">
        <v>111</v>
      </c>
      <c r="P1995" t="str">
        <f>"85286-1479"</f>
        <v>85286-1479</v>
      </c>
      <c r="Q1995" t="s">
        <v>113</v>
      </c>
      <c r="R1995" t="str">
        <f>"303-29-805"</f>
        <v>303-29-805</v>
      </c>
      <c r="S1995" t="s">
        <v>10930</v>
      </c>
      <c r="T1995" t="s">
        <v>10930</v>
      </c>
      <c r="U1995">
        <v>1434</v>
      </c>
      <c r="V1995">
        <v>0</v>
      </c>
      <c r="W1995">
        <v>3</v>
      </c>
      <c r="X1995">
        <v>2005</v>
      </c>
      <c r="Z1995">
        <v>1</v>
      </c>
      <c r="AB1995">
        <v>0</v>
      </c>
      <c r="AC1995" t="s">
        <v>115</v>
      </c>
      <c r="AD1995">
        <v>2</v>
      </c>
      <c r="AE1995" t="s">
        <v>115</v>
      </c>
      <c r="AF1995">
        <v>0</v>
      </c>
      <c r="AG1995">
        <v>0</v>
      </c>
      <c r="AH1995" t="s">
        <v>116</v>
      </c>
      <c r="AI1995" s="1">
        <v>70819</v>
      </c>
      <c r="AJ1995" s="2">
        <v>0.25</v>
      </c>
      <c r="AK1995" s="1">
        <v>284819</v>
      </c>
      <c r="AL1995" t="s">
        <v>117</v>
      </c>
      <c r="AM1995" t="s">
        <v>118</v>
      </c>
      <c r="AN1995">
        <v>4050</v>
      </c>
      <c r="AO1995">
        <v>0.93</v>
      </c>
      <c r="AR1995">
        <v>1</v>
      </c>
      <c r="AS1995" s="1">
        <v>19330</v>
      </c>
      <c r="AT1995" s="1">
        <v>3860</v>
      </c>
      <c r="AU1995" s="1">
        <v>15470</v>
      </c>
      <c r="AV1995">
        <v>80.03</v>
      </c>
      <c r="AX1995" s="1">
        <v>1377.42</v>
      </c>
      <c r="AY1995" t="s">
        <v>3185</v>
      </c>
      <c r="AZ1995" t="s">
        <v>120</v>
      </c>
      <c r="BA1995" t="s">
        <v>303</v>
      </c>
      <c r="BE1995" s="3">
        <v>42059</v>
      </c>
      <c r="BF1995" s="1">
        <v>214000</v>
      </c>
      <c r="BG1995" t="s">
        <v>13504</v>
      </c>
      <c r="BH1995" s="1">
        <v>149.22999999999999</v>
      </c>
      <c r="BI1995" s="1">
        <v>214000</v>
      </c>
      <c r="BJ1995" s="3">
        <v>42059</v>
      </c>
      <c r="BK1995" t="s">
        <v>123</v>
      </c>
      <c r="BL1995" t="str">
        <f>"2015.118429"</f>
        <v>2015.118429</v>
      </c>
      <c r="BM1995" t="s">
        <v>2716</v>
      </c>
      <c r="BN1995" t="s">
        <v>13505</v>
      </c>
      <c r="BO1995" t="s">
        <v>13506</v>
      </c>
      <c r="BS1995">
        <v>30</v>
      </c>
      <c r="BW1995" t="str">
        <f>""</f>
        <v/>
      </c>
      <c r="CH1995" t="str">
        <f>""</f>
        <v/>
      </c>
      <c r="CS1995" t="str">
        <f>""</f>
        <v/>
      </c>
    </row>
    <row r="1996" spans="1:97" x14ac:dyDescent="0.25">
      <c r="A1996" t="s">
        <v>13507</v>
      </c>
      <c r="B1996" t="s">
        <v>9875</v>
      </c>
      <c r="C1996" t="s">
        <v>7343</v>
      </c>
      <c r="D1996" t="s">
        <v>9875</v>
      </c>
      <c r="E1996" t="s">
        <v>13508</v>
      </c>
      <c r="F1996" t="s">
        <v>108</v>
      </c>
      <c r="H1996" t="s">
        <v>13509</v>
      </c>
      <c r="I1996" t="s">
        <v>225</v>
      </c>
      <c r="J1996" t="s">
        <v>111</v>
      </c>
      <c r="K1996" t="str">
        <f>"85212"</f>
        <v>85212</v>
      </c>
      <c r="L1996" t="s">
        <v>1569</v>
      </c>
      <c r="M1996" t="s">
        <v>13509</v>
      </c>
      <c r="N1996" t="s">
        <v>225</v>
      </c>
      <c r="O1996" t="s">
        <v>111</v>
      </c>
      <c r="P1996" t="str">
        <f>"85212-4043"</f>
        <v>85212-4043</v>
      </c>
      <c r="R1996" t="str">
        <f>"304-33-050"</f>
        <v>304-33-050</v>
      </c>
      <c r="S1996" t="s">
        <v>13510</v>
      </c>
      <c r="T1996" t="s">
        <v>13511</v>
      </c>
      <c r="U1996">
        <v>3096</v>
      </c>
      <c r="V1996">
        <v>0</v>
      </c>
      <c r="W1996">
        <v>3</v>
      </c>
      <c r="X1996">
        <v>2001</v>
      </c>
      <c r="Z1996">
        <v>2</v>
      </c>
      <c r="AA1996" t="s">
        <v>26</v>
      </c>
      <c r="AB1996">
        <v>0</v>
      </c>
      <c r="AC1996" t="s">
        <v>115</v>
      </c>
      <c r="AD1996">
        <v>2</v>
      </c>
      <c r="AE1996" t="s">
        <v>115</v>
      </c>
      <c r="AF1996">
        <v>0</v>
      </c>
      <c r="AG1996">
        <v>0</v>
      </c>
      <c r="AH1996" t="s">
        <v>116</v>
      </c>
      <c r="AI1996" s="1">
        <v>62532</v>
      </c>
      <c r="AJ1996" s="2">
        <v>0.17</v>
      </c>
      <c r="AK1996" s="1">
        <v>360782</v>
      </c>
      <c r="AL1996" t="s">
        <v>117</v>
      </c>
      <c r="AM1996" t="s">
        <v>393</v>
      </c>
      <c r="AN1996">
        <v>7043</v>
      </c>
      <c r="AO1996">
        <v>0.16</v>
      </c>
      <c r="AP1996">
        <v>1</v>
      </c>
      <c r="AR1996">
        <v>1</v>
      </c>
      <c r="AS1996" s="1">
        <v>23780</v>
      </c>
      <c r="AT1996" s="1">
        <v>4750</v>
      </c>
      <c r="AU1996" s="1">
        <v>19030</v>
      </c>
      <c r="AV1996">
        <v>80.03</v>
      </c>
      <c r="AX1996" s="1">
        <v>1736.94</v>
      </c>
      <c r="AY1996" t="s">
        <v>776</v>
      </c>
      <c r="AZ1996" t="s">
        <v>777</v>
      </c>
      <c r="BA1996" t="s">
        <v>572</v>
      </c>
      <c r="BE1996" s="3">
        <v>41891</v>
      </c>
      <c r="BF1996" s="1">
        <v>256900</v>
      </c>
      <c r="BG1996" t="s">
        <v>13512</v>
      </c>
      <c r="BH1996" s="1">
        <v>82.98</v>
      </c>
      <c r="BI1996" s="1">
        <v>298250</v>
      </c>
      <c r="BJ1996" s="3">
        <v>42947</v>
      </c>
      <c r="BK1996" t="s">
        <v>123</v>
      </c>
      <c r="BL1996" t="str">
        <f>"2017.561072"</f>
        <v>2017.561072</v>
      </c>
      <c r="BM1996" t="s">
        <v>13513</v>
      </c>
      <c r="BN1996">
        <v>8816</v>
      </c>
      <c r="BO1996" t="s">
        <v>13514</v>
      </c>
      <c r="BS1996">
        <v>30</v>
      </c>
      <c r="BW1996" t="str">
        <f>""</f>
        <v/>
      </c>
      <c r="CH1996" t="str">
        <f>""</f>
        <v/>
      </c>
      <c r="CS1996" t="str">
        <f>""</f>
        <v/>
      </c>
    </row>
    <row r="1997" spans="1:97" x14ac:dyDescent="0.25">
      <c r="A1997" t="s">
        <v>8735</v>
      </c>
      <c r="B1997" t="s">
        <v>13515</v>
      </c>
      <c r="C1997" t="s">
        <v>5560</v>
      </c>
      <c r="D1997" t="s">
        <v>13515</v>
      </c>
      <c r="E1997" t="s">
        <v>13516</v>
      </c>
      <c r="F1997" t="s">
        <v>108</v>
      </c>
      <c r="H1997" t="s">
        <v>13517</v>
      </c>
      <c r="I1997" t="s">
        <v>144</v>
      </c>
      <c r="J1997" t="s">
        <v>111</v>
      </c>
      <c r="K1997" t="str">
        <f>"85396"</f>
        <v>85396</v>
      </c>
      <c r="L1997" t="s">
        <v>5893</v>
      </c>
      <c r="M1997" t="s">
        <v>13517</v>
      </c>
      <c r="N1997" t="s">
        <v>144</v>
      </c>
      <c r="O1997" t="s">
        <v>111</v>
      </c>
      <c r="P1997" t="str">
        <f>"85396-7168"</f>
        <v>85396-7168</v>
      </c>
      <c r="Q1997" t="s">
        <v>113</v>
      </c>
      <c r="R1997" t="str">
        <f>"504-07-499"</f>
        <v>504-07-499</v>
      </c>
      <c r="S1997" t="s">
        <v>9710</v>
      </c>
      <c r="U1997">
        <v>4021</v>
      </c>
      <c r="V1997">
        <v>0</v>
      </c>
      <c r="W1997">
        <v>5</v>
      </c>
      <c r="X1997">
        <v>2006</v>
      </c>
      <c r="Z1997">
        <v>2</v>
      </c>
      <c r="AA1997" t="s">
        <v>26</v>
      </c>
      <c r="AB1997">
        <v>0</v>
      </c>
      <c r="AC1997" t="s">
        <v>115</v>
      </c>
      <c r="AD1997">
        <v>3</v>
      </c>
      <c r="AE1997" t="s">
        <v>115</v>
      </c>
      <c r="AF1997">
        <v>0</v>
      </c>
      <c r="AG1997">
        <v>0</v>
      </c>
      <c r="AH1997" t="s">
        <v>116</v>
      </c>
      <c r="AI1997" s="1">
        <v>66660</v>
      </c>
      <c r="AJ1997" s="2">
        <v>0.2</v>
      </c>
      <c r="AK1997" s="1">
        <v>332250</v>
      </c>
      <c r="AL1997" t="s">
        <v>117</v>
      </c>
      <c r="AM1997" t="s">
        <v>118</v>
      </c>
      <c r="AN1997">
        <v>9090</v>
      </c>
      <c r="AO1997">
        <v>0.21</v>
      </c>
      <c r="AR1997">
        <v>1</v>
      </c>
      <c r="AS1997" s="1">
        <v>23300</v>
      </c>
      <c r="AT1997" s="1">
        <v>4660</v>
      </c>
      <c r="AU1997" s="1">
        <v>18640</v>
      </c>
      <c r="AV1997">
        <v>80</v>
      </c>
      <c r="AX1997" s="1">
        <v>1861.12</v>
      </c>
      <c r="AY1997" t="s">
        <v>147</v>
      </c>
      <c r="AZ1997" t="s">
        <v>147</v>
      </c>
      <c r="BA1997" t="s">
        <v>148</v>
      </c>
      <c r="BE1997" s="3">
        <v>42418</v>
      </c>
      <c r="BF1997" s="1">
        <v>260000</v>
      </c>
      <c r="BG1997" t="s">
        <v>13518</v>
      </c>
      <c r="BH1997" s="1">
        <v>64.66</v>
      </c>
      <c r="BI1997" s="1">
        <v>265590</v>
      </c>
      <c r="BJ1997" s="3">
        <v>42418</v>
      </c>
      <c r="BK1997" t="s">
        <v>123</v>
      </c>
      <c r="BL1997" t="str">
        <f>"2016.102653"</f>
        <v>2016.102653</v>
      </c>
      <c r="BM1997" t="s">
        <v>2368</v>
      </c>
      <c r="BO1997" t="s">
        <v>13519</v>
      </c>
      <c r="BS1997">
        <v>30</v>
      </c>
      <c r="BW1997" t="str">
        <f>""</f>
        <v/>
      </c>
      <c r="CH1997" t="str">
        <f>""</f>
        <v/>
      </c>
      <c r="CS1997" t="str">
        <f>""</f>
        <v/>
      </c>
    </row>
    <row r="1998" spans="1:97" x14ac:dyDescent="0.25">
      <c r="A1998" t="s">
        <v>3831</v>
      </c>
      <c r="B1998" t="s">
        <v>2468</v>
      </c>
      <c r="E1998" t="s">
        <v>13520</v>
      </c>
      <c r="F1998" t="s">
        <v>108</v>
      </c>
      <c r="H1998" t="s">
        <v>13521</v>
      </c>
      <c r="I1998" t="s">
        <v>453</v>
      </c>
      <c r="J1998" t="s">
        <v>111</v>
      </c>
      <c r="K1998" t="str">
        <f>"85381"</f>
        <v>85381</v>
      </c>
      <c r="L1998" t="s">
        <v>9597</v>
      </c>
      <c r="M1998" t="s">
        <v>13521</v>
      </c>
      <c r="N1998" t="s">
        <v>453</v>
      </c>
      <c r="O1998" t="s">
        <v>111</v>
      </c>
      <c r="P1998" t="str">
        <f>"85381-8220"</f>
        <v>85381-8220</v>
      </c>
      <c r="Q1998" t="s">
        <v>113</v>
      </c>
      <c r="R1998" t="str">
        <f>"200-87-664"</f>
        <v>200-87-664</v>
      </c>
      <c r="S1998" t="s">
        <v>13522</v>
      </c>
      <c r="T1998" t="s">
        <v>9724</v>
      </c>
      <c r="U1998">
        <v>1487</v>
      </c>
      <c r="V1998">
        <v>0</v>
      </c>
      <c r="W1998">
        <v>3</v>
      </c>
      <c r="X1998">
        <v>2015</v>
      </c>
      <c r="Z1998">
        <v>1</v>
      </c>
      <c r="AB1998">
        <v>0</v>
      </c>
      <c r="AC1998" t="s">
        <v>115</v>
      </c>
      <c r="AD1998">
        <v>2</v>
      </c>
      <c r="AE1998" t="s">
        <v>115</v>
      </c>
      <c r="AF1998">
        <v>0</v>
      </c>
      <c r="AG1998">
        <v>0</v>
      </c>
      <c r="AH1998" t="s">
        <v>116</v>
      </c>
      <c r="AI1998" s="1">
        <v>49314</v>
      </c>
      <c r="AJ1998" s="2">
        <v>0.17</v>
      </c>
      <c r="AK1998" s="1">
        <v>283115</v>
      </c>
      <c r="AL1998" t="s">
        <v>117</v>
      </c>
      <c r="AM1998" t="s">
        <v>118</v>
      </c>
      <c r="AN1998">
        <v>4821</v>
      </c>
      <c r="AO1998">
        <v>0.11</v>
      </c>
      <c r="AR1998">
        <v>1</v>
      </c>
      <c r="AS1998" s="1">
        <v>20980</v>
      </c>
      <c r="AT1998" s="1">
        <v>4190</v>
      </c>
      <c r="AU1998" s="1">
        <v>16790</v>
      </c>
      <c r="AV1998">
        <v>80.03</v>
      </c>
      <c r="AX1998" s="1">
        <v>1727.14</v>
      </c>
      <c r="AY1998" t="s">
        <v>5629</v>
      </c>
      <c r="AZ1998" t="s">
        <v>5629</v>
      </c>
      <c r="BA1998" t="s">
        <v>4007</v>
      </c>
      <c r="BE1998" s="3">
        <v>42366</v>
      </c>
      <c r="BF1998" s="1">
        <v>233801</v>
      </c>
      <c r="BG1998" t="s">
        <v>9725</v>
      </c>
      <c r="BH1998" s="1">
        <v>157.22999999999999</v>
      </c>
      <c r="BI1998" s="1">
        <v>233801</v>
      </c>
      <c r="BJ1998" s="3">
        <v>42366</v>
      </c>
      <c r="BK1998" t="s">
        <v>123</v>
      </c>
      <c r="BL1998" t="str">
        <f>"2015.910131"</f>
        <v>2015.910131</v>
      </c>
      <c r="BM1998" t="s">
        <v>175</v>
      </c>
      <c r="BO1998" t="s">
        <v>13523</v>
      </c>
      <c r="BS1998">
        <v>30</v>
      </c>
      <c r="BW1998" t="str">
        <f>""</f>
        <v/>
      </c>
      <c r="CH1998" t="str">
        <f>""</f>
        <v/>
      </c>
      <c r="CS1998" t="str">
        <f>""</f>
        <v/>
      </c>
    </row>
    <row r="1999" spans="1:97" x14ac:dyDescent="0.25">
      <c r="A1999" t="s">
        <v>177</v>
      </c>
      <c r="B1999" t="s">
        <v>13524</v>
      </c>
      <c r="E1999" t="s">
        <v>13525</v>
      </c>
      <c r="F1999" t="s">
        <v>108</v>
      </c>
      <c r="H1999" t="s">
        <v>13526</v>
      </c>
      <c r="I1999" t="s">
        <v>390</v>
      </c>
      <c r="J1999" t="s">
        <v>111</v>
      </c>
      <c r="K1999" t="str">
        <f>"85086"</f>
        <v>85086</v>
      </c>
      <c r="L1999" t="s">
        <v>7351</v>
      </c>
      <c r="M1999" t="s">
        <v>13526</v>
      </c>
      <c r="N1999" t="s">
        <v>390</v>
      </c>
      <c r="O1999" t="s">
        <v>111</v>
      </c>
      <c r="P1999" t="str">
        <f>"85086-7430"</f>
        <v>85086-7430</v>
      </c>
      <c r="Q1999" t="s">
        <v>113</v>
      </c>
      <c r="R1999" t="str">
        <f>"211-68-043-J"</f>
        <v>211-68-043-J</v>
      </c>
      <c r="U1999">
        <v>2225</v>
      </c>
      <c r="V1999">
        <v>0</v>
      </c>
      <c r="W1999">
        <v>3</v>
      </c>
      <c r="X1999">
        <v>1982</v>
      </c>
      <c r="Z1999">
        <v>1</v>
      </c>
      <c r="AA1999" t="s">
        <v>26</v>
      </c>
      <c r="AB1999">
        <v>0</v>
      </c>
      <c r="AC1999" t="s">
        <v>115</v>
      </c>
      <c r="AD1999">
        <v>2</v>
      </c>
      <c r="AE1999" t="s">
        <v>115</v>
      </c>
      <c r="AF1999">
        <v>0</v>
      </c>
      <c r="AG1999">
        <v>0</v>
      </c>
      <c r="AH1999" t="s">
        <v>116</v>
      </c>
      <c r="AI1999" s="1">
        <v>32995</v>
      </c>
      <c r="AJ1999" s="2">
        <v>7.0000000000000007E-2</v>
      </c>
      <c r="AK1999" s="1">
        <v>461690</v>
      </c>
      <c r="AL1999" t="s">
        <v>117</v>
      </c>
      <c r="AM1999" t="s">
        <v>376</v>
      </c>
      <c r="AN1999">
        <v>62204</v>
      </c>
      <c r="AO1999">
        <v>1.43</v>
      </c>
      <c r="AP1999">
        <v>1</v>
      </c>
      <c r="AR1999">
        <v>1</v>
      </c>
      <c r="AS1999" s="1">
        <v>35120</v>
      </c>
      <c r="AT1999" s="1">
        <v>7020</v>
      </c>
      <c r="AU1999" s="1">
        <v>28100</v>
      </c>
      <c r="AV1999">
        <v>80.010000000000005</v>
      </c>
      <c r="AX1999" s="1">
        <v>3430.34</v>
      </c>
      <c r="AY1999" t="s">
        <v>1587</v>
      </c>
      <c r="AZ1999" t="s">
        <v>1587</v>
      </c>
      <c r="BA1999" t="s">
        <v>378</v>
      </c>
      <c r="BB1999" s="3">
        <v>43640</v>
      </c>
      <c r="BC1999" s="1">
        <v>0</v>
      </c>
      <c r="BD1999" t="s">
        <v>247</v>
      </c>
      <c r="BE1999" s="3">
        <v>42215</v>
      </c>
      <c r="BF1999" s="1">
        <v>366000</v>
      </c>
      <c r="BG1999" t="s">
        <v>13527</v>
      </c>
      <c r="BH1999" s="1">
        <v>164.49</v>
      </c>
      <c r="BI1999" s="1">
        <v>428695</v>
      </c>
      <c r="BJ1999" s="3">
        <v>43640</v>
      </c>
      <c r="BK1999" t="s">
        <v>123</v>
      </c>
      <c r="BL1999" t="str">
        <f>"2019.470083"</f>
        <v>2019.470083</v>
      </c>
      <c r="BM1999" t="s">
        <v>1038</v>
      </c>
      <c r="BN1999" t="s">
        <v>1624</v>
      </c>
      <c r="BO1999" t="s">
        <v>13528</v>
      </c>
      <c r="BR1999" t="s">
        <v>139</v>
      </c>
      <c r="BW1999" t="str">
        <f>""</f>
        <v/>
      </c>
      <c r="CH1999" t="str">
        <f>""</f>
        <v/>
      </c>
      <c r="CS1999" t="str">
        <f>""</f>
        <v/>
      </c>
    </row>
    <row r="2000" spans="1:97" x14ac:dyDescent="0.25">
      <c r="A2000" t="s">
        <v>13529</v>
      </c>
      <c r="B2000" t="s">
        <v>1089</v>
      </c>
      <c r="E2000" t="s">
        <v>13530</v>
      </c>
      <c r="F2000" t="s">
        <v>108</v>
      </c>
      <c r="H2000" t="s">
        <v>13531</v>
      </c>
      <c r="I2000" t="s">
        <v>5114</v>
      </c>
      <c r="J2000" t="s">
        <v>111</v>
      </c>
      <c r="K2000" t="str">
        <f>"85323"</f>
        <v>85323</v>
      </c>
      <c r="L2000" t="s">
        <v>189</v>
      </c>
      <c r="M2000" t="s">
        <v>13531</v>
      </c>
      <c r="N2000" t="s">
        <v>5114</v>
      </c>
      <c r="O2000" t="s">
        <v>111</v>
      </c>
      <c r="P2000" t="str">
        <f>"85323-6892"</f>
        <v>85323-6892</v>
      </c>
      <c r="Q2000" t="s">
        <v>113</v>
      </c>
      <c r="R2000" t="str">
        <f>"101-01-463"</f>
        <v>101-01-463</v>
      </c>
      <c r="S2000" t="s">
        <v>9031</v>
      </c>
      <c r="T2000" t="s">
        <v>9032</v>
      </c>
      <c r="U2000">
        <v>1905</v>
      </c>
      <c r="V2000">
        <v>0</v>
      </c>
      <c r="W2000">
        <v>3</v>
      </c>
      <c r="X2000">
        <v>2016</v>
      </c>
      <c r="Z2000">
        <v>1</v>
      </c>
      <c r="AB2000">
        <v>0</v>
      </c>
      <c r="AC2000" t="s">
        <v>115</v>
      </c>
      <c r="AD2000">
        <v>2</v>
      </c>
      <c r="AE2000" t="s">
        <v>115</v>
      </c>
      <c r="AF2000">
        <v>0</v>
      </c>
      <c r="AG2000">
        <v>0</v>
      </c>
      <c r="AH2000" t="s">
        <v>116</v>
      </c>
      <c r="AI2000" s="1">
        <v>30070</v>
      </c>
      <c r="AJ2000" s="2">
        <v>0.11</v>
      </c>
      <c r="AK2000" s="1">
        <v>264433</v>
      </c>
      <c r="AL2000" t="s">
        <v>117</v>
      </c>
      <c r="AM2000" t="s">
        <v>118</v>
      </c>
      <c r="AN2000">
        <v>6787</v>
      </c>
      <c r="AO2000">
        <v>0.16</v>
      </c>
      <c r="AR2000">
        <v>1</v>
      </c>
      <c r="AS2000" s="1">
        <v>18720</v>
      </c>
      <c r="AT2000" s="1">
        <v>3740</v>
      </c>
      <c r="AU2000" s="1">
        <v>14980</v>
      </c>
      <c r="AV2000">
        <v>80.02</v>
      </c>
      <c r="AX2000" s="1">
        <v>1737.6</v>
      </c>
      <c r="AY2000" t="s">
        <v>9033</v>
      </c>
      <c r="AZ2000" t="s">
        <v>9033</v>
      </c>
      <c r="BA2000" t="s">
        <v>4254</v>
      </c>
      <c r="BE2000" s="3">
        <v>42551</v>
      </c>
      <c r="BF2000" s="1">
        <v>234636</v>
      </c>
      <c r="BG2000" t="s">
        <v>2289</v>
      </c>
      <c r="BH2000" s="1">
        <v>123.17</v>
      </c>
      <c r="BI2000" s="1">
        <v>234363</v>
      </c>
      <c r="BJ2000" s="3">
        <v>42551</v>
      </c>
      <c r="BK2000" t="s">
        <v>123</v>
      </c>
      <c r="BL2000" t="str">
        <f>"2016.463864"</f>
        <v>2016.463864</v>
      </c>
      <c r="BM2000" t="s">
        <v>1038</v>
      </c>
      <c r="BO2000" t="s">
        <v>13532</v>
      </c>
      <c r="BS2000">
        <v>30</v>
      </c>
      <c r="BW2000" t="str">
        <f>""</f>
        <v/>
      </c>
      <c r="CH2000" t="str">
        <f>""</f>
        <v/>
      </c>
      <c r="CS2000" t="str">
        <f>""</f>
        <v/>
      </c>
    </row>
    <row r="2001" spans="1:97" x14ac:dyDescent="0.25">
      <c r="A2001" t="s">
        <v>7888</v>
      </c>
      <c r="B2001" t="s">
        <v>9720</v>
      </c>
      <c r="C2001" t="s">
        <v>13533</v>
      </c>
      <c r="D2001" t="s">
        <v>9720</v>
      </c>
      <c r="E2001" t="s">
        <v>13534</v>
      </c>
      <c r="F2001" t="s">
        <v>108</v>
      </c>
      <c r="H2001" t="s">
        <v>13535</v>
      </c>
      <c r="I2001" t="s">
        <v>390</v>
      </c>
      <c r="J2001" t="s">
        <v>111</v>
      </c>
      <c r="K2001" t="str">
        <f>"85041"</f>
        <v>85041</v>
      </c>
      <c r="L2001" t="s">
        <v>375</v>
      </c>
      <c r="M2001" t="s">
        <v>13535</v>
      </c>
      <c r="N2001" t="s">
        <v>390</v>
      </c>
      <c r="O2001" t="s">
        <v>111</v>
      </c>
      <c r="P2001" t="str">
        <f>"85041-7657"</f>
        <v>85041-7657</v>
      </c>
      <c r="Q2001" t="s">
        <v>113</v>
      </c>
      <c r="R2001" t="str">
        <f>"300-17-232"</f>
        <v>300-17-232</v>
      </c>
      <c r="S2001" t="s">
        <v>7013</v>
      </c>
      <c r="T2001" t="s">
        <v>7014</v>
      </c>
      <c r="U2001">
        <v>2522</v>
      </c>
      <c r="V2001">
        <v>0</v>
      </c>
      <c r="W2001">
        <v>3</v>
      </c>
      <c r="X2001">
        <v>2014</v>
      </c>
      <c r="Z2001">
        <v>1</v>
      </c>
      <c r="AB2001">
        <v>0</v>
      </c>
      <c r="AC2001" t="s">
        <v>115</v>
      </c>
      <c r="AD2001">
        <v>3</v>
      </c>
      <c r="AE2001" t="s">
        <v>115</v>
      </c>
      <c r="AF2001">
        <v>0</v>
      </c>
      <c r="AG2001">
        <v>0</v>
      </c>
      <c r="AH2001" t="s">
        <v>116</v>
      </c>
      <c r="AI2001" s="1">
        <v>24214</v>
      </c>
      <c r="AJ2001" s="2">
        <v>7.0000000000000007E-2</v>
      </c>
      <c r="AK2001" s="1">
        <v>332048</v>
      </c>
      <c r="AL2001" t="s">
        <v>117</v>
      </c>
      <c r="AM2001" t="s">
        <v>760</v>
      </c>
      <c r="AN2001">
        <v>12799</v>
      </c>
      <c r="AO2001">
        <v>0.28999999999999998</v>
      </c>
      <c r="AR2001">
        <v>1</v>
      </c>
      <c r="AS2001" s="1">
        <v>24100</v>
      </c>
      <c r="AT2001" s="1">
        <v>4820</v>
      </c>
      <c r="AU2001" s="1">
        <v>19280</v>
      </c>
      <c r="AV2001">
        <v>80</v>
      </c>
      <c r="AX2001" s="1">
        <v>3120.1</v>
      </c>
      <c r="AY2001" t="s">
        <v>7015</v>
      </c>
      <c r="AZ2001" t="s">
        <v>7015</v>
      </c>
      <c r="BA2001" t="s">
        <v>1661</v>
      </c>
      <c r="BE2001" s="3">
        <v>41817</v>
      </c>
      <c r="BF2001" s="1">
        <v>289932</v>
      </c>
      <c r="BG2001" t="s">
        <v>2289</v>
      </c>
      <c r="BH2001" s="1">
        <v>114.96</v>
      </c>
      <c r="BI2001" s="1">
        <v>307834</v>
      </c>
      <c r="BJ2001" s="3">
        <v>42536</v>
      </c>
      <c r="BK2001" t="s">
        <v>123</v>
      </c>
      <c r="BL2001" t="str">
        <f>"2016.417210"</f>
        <v>2016.417210</v>
      </c>
      <c r="BM2001" t="s">
        <v>699</v>
      </c>
      <c r="BO2001" t="s">
        <v>13536</v>
      </c>
      <c r="BS2001">
        <v>30</v>
      </c>
      <c r="BW2001" t="str">
        <f>""</f>
        <v/>
      </c>
      <c r="CH2001" t="str">
        <f>""</f>
        <v/>
      </c>
      <c r="CS2001" t="str">
        <f>""</f>
        <v/>
      </c>
    </row>
    <row r="2002" spans="1:97" x14ac:dyDescent="0.25">
      <c r="A2002" t="s">
        <v>1187</v>
      </c>
      <c r="B2002" t="s">
        <v>5236</v>
      </c>
      <c r="C2002" t="s">
        <v>4574</v>
      </c>
      <c r="D2002" t="s">
        <v>5236</v>
      </c>
      <c r="E2002" t="s">
        <v>13537</v>
      </c>
      <c r="F2002" t="s">
        <v>108</v>
      </c>
      <c r="H2002" t="s">
        <v>13538</v>
      </c>
      <c r="I2002" t="s">
        <v>390</v>
      </c>
      <c r="J2002" t="s">
        <v>111</v>
      </c>
      <c r="K2002" t="str">
        <f>"85050"</f>
        <v>85050</v>
      </c>
      <c r="L2002" t="s">
        <v>5209</v>
      </c>
      <c r="M2002" t="s">
        <v>13538</v>
      </c>
      <c r="N2002" t="s">
        <v>390</v>
      </c>
      <c r="O2002" t="s">
        <v>111</v>
      </c>
      <c r="P2002" t="str">
        <f>"85050-3507"</f>
        <v>85050-3507</v>
      </c>
      <c r="Q2002" t="s">
        <v>113</v>
      </c>
      <c r="R2002" t="str">
        <f>"213-17-316"</f>
        <v>213-17-316</v>
      </c>
      <c r="S2002" t="s">
        <v>13539</v>
      </c>
      <c r="T2002" t="s">
        <v>13539</v>
      </c>
      <c r="U2002">
        <v>1469</v>
      </c>
      <c r="V2002">
        <v>0</v>
      </c>
      <c r="W2002">
        <v>4</v>
      </c>
      <c r="X2002">
        <v>1993</v>
      </c>
      <c r="Z2002">
        <v>2</v>
      </c>
      <c r="AB2002">
        <v>0</v>
      </c>
      <c r="AC2002" t="s">
        <v>115</v>
      </c>
      <c r="AD2002">
        <v>2</v>
      </c>
      <c r="AE2002" t="s">
        <v>115</v>
      </c>
      <c r="AF2002">
        <v>0</v>
      </c>
      <c r="AG2002">
        <v>0</v>
      </c>
      <c r="AH2002" t="s">
        <v>116</v>
      </c>
      <c r="AI2002" s="1">
        <v>44341</v>
      </c>
      <c r="AJ2002" s="2">
        <v>0.16</v>
      </c>
      <c r="AK2002" s="1">
        <v>284393</v>
      </c>
      <c r="AL2002" t="s">
        <v>117</v>
      </c>
      <c r="AM2002" t="s">
        <v>1315</v>
      </c>
      <c r="AN2002">
        <v>4817</v>
      </c>
      <c r="AO2002">
        <v>0.11</v>
      </c>
      <c r="AP2002">
        <v>1</v>
      </c>
      <c r="AR2002">
        <v>1</v>
      </c>
      <c r="AS2002" s="1">
        <v>20330</v>
      </c>
      <c r="AT2002" s="1">
        <v>4060</v>
      </c>
      <c r="AU2002" s="1">
        <v>16270</v>
      </c>
      <c r="AV2002">
        <v>80.03</v>
      </c>
      <c r="AX2002" s="1">
        <v>1681.98</v>
      </c>
      <c r="AY2002" t="s">
        <v>5710</v>
      </c>
      <c r="AZ2002" t="s">
        <v>761</v>
      </c>
      <c r="BA2002" t="s">
        <v>762</v>
      </c>
      <c r="BE2002" s="3">
        <v>42040</v>
      </c>
      <c r="BF2002" s="1">
        <v>235100</v>
      </c>
      <c r="BG2002" t="s">
        <v>13540</v>
      </c>
      <c r="BH2002" s="1">
        <v>160.04</v>
      </c>
      <c r="BI2002" s="1">
        <v>240052</v>
      </c>
      <c r="BJ2002" s="3">
        <v>42040</v>
      </c>
      <c r="BK2002" t="s">
        <v>123</v>
      </c>
      <c r="BL2002" t="str">
        <f>"2015.75793"</f>
        <v>2015.75793</v>
      </c>
      <c r="BM2002" t="s">
        <v>5348</v>
      </c>
      <c r="BO2002" t="s">
        <v>13541</v>
      </c>
      <c r="BS2002">
        <v>30</v>
      </c>
      <c r="BW2002" t="str">
        <f>""</f>
        <v/>
      </c>
      <c r="CH2002" t="str">
        <f>""</f>
        <v/>
      </c>
      <c r="CS2002" t="str">
        <f>""</f>
        <v/>
      </c>
    </row>
    <row r="2003" spans="1:97" x14ac:dyDescent="0.25">
      <c r="A2003" t="s">
        <v>589</v>
      </c>
      <c r="B2003" t="s">
        <v>13542</v>
      </c>
      <c r="E2003" t="s">
        <v>13543</v>
      </c>
      <c r="F2003" t="s">
        <v>108</v>
      </c>
      <c r="H2003" t="s">
        <v>13544</v>
      </c>
      <c r="I2003" t="s">
        <v>110</v>
      </c>
      <c r="J2003" t="s">
        <v>111</v>
      </c>
      <c r="K2003" t="str">
        <f>"85286"</f>
        <v>85286</v>
      </c>
      <c r="L2003" t="s">
        <v>3520</v>
      </c>
      <c r="M2003" t="s">
        <v>13544</v>
      </c>
      <c r="N2003" t="s">
        <v>110</v>
      </c>
      <c r="O2003" t="s">
        <v>111</v>
      </c>
      <c r="P2003" t="str">
        <f>"85286-8104"</f>
        <v>85286-8104</v>
      </c>
      <c r="Q2003" t="s">
        <v>113</v>
      </c>
      <c r="R2003" t="str">
        <f>"303-77-488"</f>
        <v>303-77-488</v>
      </c>
      <c r="S2003" t="s">
        <v>13545</v>
      </c>
      <c r="U2003">
        <v>2135</v>
      </c>
      <c r="V2003">
        <v>0</v>
      </c>
      <c r="W2003">
        <v>3</v>
      </c>
      <c r="X2003">
        <v>1998</v>
      </c>
      <c r="Z2003">
        <v>1</v>
      </c>
      <c r="AA2003" t="s">
        <v>26</v>
      </c>
      <c r="AB2003">
        <v>0</v>
      </c>
      <c r="AC2003" t="s">
        <v>115</v>
      </c>
      <c r="AD2003">
        <v>2</v>
      </c>
      <c r="AE2003" t="s">
        <v>115</v>
      </c>
      <c r="AF2003">
        <v>0</v>
      </c>
      <c r="AG2003">
        <v>0</v>
      </c>
      <c r="AH2003" t="s">
        <v>116</v>
      </c>
      <c r="AI2003" s="1">
        <v>129904</v>
      </c>
      <c r="AJ2003" s="2">
        <v>0.32</v>
      </c>
      <c r="AK2003" s="1">
        <v>410852</v>
      </c>
      <c r="AL2003" t="s">
        <v>117</v>
      </c>
      <c r="AM2003" t="s">
        <v>118</v>
      </c>
      <c r="AN2003">
        <v>11025</v>
      </c>
      <c r="AO2003">
        <v>0.25</v>
      </c>
      <c r="AP2003">
        <v>1</v>
      </c>
      <c r="AR2003">
        <v>1</v>
      </c>
      <c r="AS2003" s="1">
        <v>29550</v>
      </c>
      <c r="AT2003" s="1">
        <v>5910</v>
      </c>
      <c r="AU2003" s="1">
        <v>23640</v>
      </c>
      <c r="AV2003">
        <v>80</v>
      </c>
      <c r="AX2003" s="1">
        <v>2479.52</v>
      </c>
      <c r="AY2003" t="s">
        <v>10718</v>
      </c>
      <c r="AZ2003" t="s">
        <v>1882</v>
      </c>
      <c r="BA2003" t="s">
        <v>121</v>
      </c>
      <c r="BE2003" s="3">
        <v>42074</v>
      </c>
      <c r="BF2003" s="1">
        <v>310000</v>
      </c>
      <c r="BG2003" t="s">
        <v>13546</v>
      </c>
      <c r="BH2003" s="1">
        <v>145.19999999999999</v>
      </c>
      <c r="BI2003" s="1">
        <v>280948</v>
      </c>
      <c r="BJ2003" s="3">
        <v>42823</v>
      </c>
      <c r="BK2003" t="s">
        <v>123</v>
      </c>
      <c r="BL2003" t="str">
        <f>"2017.222152"</f>
        <v>2017.222152</v>
      </c>
      <c r="BM2003" t="s">
        <v>361</v>
      </c>
      <c r="BO2003" t="s">
        <v>13547</v>
      </c>
      <c r="BS2003">
        <v>25</v>
      </c>
      <c r="BW2003" t="str">
        <f>""</f>
        <v/>
      </c>
      <c r="CH2003" t="str">
        <f>""</f>
        <v/>
      </c>
      <c r="CS2003" t="str">
        <f>""</f>
        <v/>
      </c>
    </row>
    <row r="2004" spans="1:97" x14ac:dyDescent="0.25">
      <c r="A2004" t="s">
        <v>1067</v>
      </c>
      <c r="B2004" t="s">
        <v>529</v>
      </c>
      <c r="C2004" t="s">
        <v>484</v>
      </c>
      <c r="D2004" t="s">
        <v>529</v>
      </c>
      <c r="E2004" t="s">
        <v>13548</v>
      </c>
      <c r="F2004" t="s">
        <v>282</v>
      </c>
      <c r="H2004" t="s">
        <v>13549</v>
      </c>
      <c r="I2004" t="s">
        <v>203</v>
      </c>
      <c r="J2004" t="s">
        <v>111</v>
      </c>
      <c r="K2004" t="str">
        <f>"85297"</f>
        <v>85297</v>
      </c>
      <c r="L2004" t="s">
        <v>8335</v>
      </c>
      <c r="M2004" t="s">
        <v>13550</v>
      </c>
      <c r="N2004" t="s">
        <v>203</v>
      </c>
      <c r="O2004" t="s">
        <v>111</v>
      </c>
      <c r="P2004" t="str">
        <f>"85296-7344"</f>
        <v>85296-7344</v>
      </c>
      <c r="Q2004" t="s">
        <v>113</v>
      </c>
      <c r="R2004" t="str">
        <f>"313-17-464"</f>
        <v>313-17-464</v>
      </c>
      <c r="S2004" t="s">
        <v>12166</v>
      </c>
      <c r="T2004" t="s">
        <v>8579</v>
      </c>
      <c r="U2004">
        <v>2105</v>
      </c>
      <c r="V2004">
        <v>0</v>
      </c>
      <c r="W2004">
        <v>3</v>
      </c>
      <c r="X2004">
        <v>2011</v>
      </c>
      <c r="Z2004">
        <v>2</v>
      </c>
      <c r="AB2004">
        <v>0</v>
      </c>
      <c r="AC2004" t="s">
        <v>115</v>
      </c>
      <c r="AD2004">
        <v>2</v>
      </c>
      <c r="AE2004" t="s">
        <v>115</v>
      </c>
      <c r="AF2004">
        <v>0</v>
      </c>
      <c r="AG2004">
        <v>0</v>
      </c>
      <c r="AH2004" t="s">
        <v>116</v>
      </c>
      <c r="AI2004" s="1">
        <v>51040</v>
      </c>
      <c r="AJ2004" s="2">
        <v>0.17</v>
      </c>
      <c r="AK2004" s="1">
        <v>305727</v>
      </c>
      <c r="AL2004" t="s">
        <v>117</v>
      </c>
      <c r="AM2004" t="s">
        <v>288</v>
      </c>
      <c r="AN2004">
        <v>2660</v>
      </c>
      <c r="AO2004">
        <v>0.61</v>
      </c>
      <c r="AR2004">
        <v>1</v>
      </c>
      <c r="AS2004" s="1">
        <v>20780</v>
      </c>
      <c r="AT2004" s="1">
        <v>4150</v>
      </c>
      <c r="AU2004" s="1">
        <v>16630</v>
      </c>
      <c r="AV2004">
        <v>80.03</v>
      </c>
      <c r="AX2004" s="1">
        <v>1922.64</v>
      </c>
      <c r="AY2004" t="s">
        <v>8338</v>
      </c>
      <c r="AZ2004" t="s">
        <v>8338</v>
      </c>
      <c r="BA2004" t="s">
        <v>290</v>
      </c>
      <c r="BE2004" s="3">
        <v>41926</v>
      </c>
      <c r="BF2004" s="1">
        <v>218000</v>
      </c>
      <c r="BG2004" t="s">
        <v>13551</v>
      </c>
      <c r="BH2004" s="1">
        <v>103.56</v>
      </c>
      <c r="BI2004" s="1">
        <v>222687</v>
      </c>
      <c r="BJ2004" s="3">
        <v>41926</v>
      </c>
      <c r="BK2004" t="s">
        <v>123</v>
      </c>
      <c r="BL2004" t="str">
        <f>"2014.679663"</f>
        <v>2014.679663</v>
      </c>
      <c r="BM2004" t="s">
        <v>683</v>
      </c>
      <c r="BN2004" t="s">
        <v>5502</v>
      </c>
      <c r="BO2004" t="s">
        <v>13552</v>
      </c>
      <c r="BS2004">
        <v>30</v>
      </c>
      <c r="BT2004" s="1">
        <v>32000</v>
      </c>
      <c r="BU2004" s="3">
        <v>43633</v>
      </c>
      <c r="BV2004" t="s">
        <v>134</v>
      </c>
      <c r="BW2004" t="str">
        <f>"2019.450991"</f>
        <v>2019.450991</v>
      </c>
      <c r="BX2004" t="s">
        <v>13553</v>
      </c>
      <c r="BY2004" t="s">
        <v>13554</v>
      </c>
      <c r="BZ2004" t="s">
        <v>9815</v>
      </c>
      <c r="CA2004" t="s">
        <v>13555</v>
      </c>
      <c r="CC2004" t="s">
        <v>139</v>
      </c>
      <c r="CH2004" t="str">
        <f>""</f>
        <v/>
      </c>
      <c r="CS2004" t="str">
        <f>""</f>
        <v/>
      </c>
    </row>
    <row r="2005" spans="1:97" x14ac:dyDescent="0.25">
      <c r="A2005" t="s">
        <v>695</v>
      </c>
      <c r="B2005" t="s">
        <v>13556</v>
      </c>
      <c r="C2005" t="s">
        <v>5847</v>
      </c>
      <c r="D2005" t="s">
        <v>13557</v>
      </c>
      <c r="E2005" t="s">
        <v>13558</v>
      </c>
      <c r="F2005" t="s">
        <v>108</v>
      </c>
      <c r="H2005" t="s">
        <v>13559</v>
      </c>
      <c r="I2005" t="s">
        <v>110</v>
      </c>
      <c r="J2005" t="s">
        <v>111</v>
      </c>
      <c r="K2005" t="str">
        <f>"85225"</f>
        <v>85225</v>
      </c>
      <c r="L2005" t="s">
        <v>7626</v>
      </c>
      <c r="M2005" t="s">
        <v>13559</v>
      </c>
      <c r="N2005" t="s">
        <v>110</v>
      </c>
      <c r="O2005" t="s">
        <v>111</v>
      </c>
      <c r="P2005" t="str">
        <f>"85225-5415"</f>
        <v>85225-5415</v>
      </c>
      <c r="Q2005" t="s">
        <v>113</v>
      </c>
      <c r="R2005" t="str">
        <f>"303-69-458"</f>
        <v>303-69-458</v>
      </c>
      <c r="S2005" t="s">
        <v>13560</v>
      </c>
      <c r="T2005" t="s">
        <v>13561</v>
      </c>
      <c r="U2005">
        <v>1848</v>
      </c>
      <c r="V2005">
        <v>0</v>
      </c>
      <c r="W2005">
        <v>3</v>
      </c>
      <c r="X2005">
        <v>1994</v>
      </c>
      <c r="Z2005">
        <v>1</v>
      </c>
      <c r="AA2005" t="s">
        <v>26</v>
      </c>
      <c r="AB2005">
        <v>0</v>
      </c>
      <c r="AC2005" t="s">
        <v>115</v>
      </c>
      <c r="AD2005">
        <v>3</v>
      </c>
      <c r="AE2005" t="s">
        <v>115</v>
      </c>
      <c r="AF2005">
        <v>0</v>
      </c>
      <c r="AG2005">
        <v>0</v>
      </c>
      <c r="AH2005" t="s">
        <v>116</v>
      </c>
      <c r="AI2005" s="1">
        <v>31905</v>
      </c>
      <c r="AJ2005" s="2">
        <v>0.09</v>
      </c>
      <c r="AK2005" s="1">
        <v>364102</v>
      </c>
      <c r="AL2005" t="s">
        <v>117</v>
      </c>
      <c r="AM2005" t="s">
        <v>118</v>
      </c>
      <c r="AN2005">
        <v>11330</v>
      </c>
      <c r="AO2005">
        <v>0.26</v>
      </c>
      <c r="AP2005">
        <v>1</v>
      </c>
      <c r="AR2005">
        <v>1</v>
      </c>
      <c r="AS2005" s="1">
        <v>25880</v>
      </c>
      <c r="AT2005" s="1">
        <v>5170</v>
      </c>
      <c r="AU2005" s="1">
        <v>20710</v>
      </c>
      <c r="AV2005">
        <v>80.02</v>
      </c>
      <c r="AX2005" s="1">
        <v>1954.48</v>
      </c>
      <c r="AY2005" t="s">
        <v>5650</v>
      </c>
      <c r="AZ2005" t="s">
        <v>2906</v>
      </c>
      <c r="BA2005" t="s">
        <v>303</v>
      </c>
      <c r="BE2005" s="3">
        <v>41946</v>
      </c>
      <c r="BF2005" s="1">
        <v>285000</v>
      </c>
      <c r="BG2005" t="s">
        <v>13562</v>
      </c>
      <c r="BH2005" s="1">
        <v>154.22</v>
      </c>
      <c r="BI2005" s="1">
        <v>285132</v>
      </c>
      <c r="BJ2005" s="3">
        <v>42152</v>
      </c>
      <c r="BK2005" t="s">
        <v>123</v>
      </c>
      <c r="BL2005" t="str">
        <f>"2015.375313"</f>
        <v>2015.375313</v>
      </c>
      <c r="BM2005" t="s">
        <v>255</v>
      </c>
      <c r="BO2005" t="s">
        <v>13563</v>
      </c>
      <c r="BP2005" t="s">
        <v>13564</v>
      </c>
      <c r="BS2005">
        <v>30</v>
      </c>
      <c r="BT2005" s="1">
        <v>47065</v>
      </c>
      <c r="BU2005" s="3">
        <v>42559</v>
      </c>
      <c r="BV2005" t="s">
        <v>134</v>
      </c>
      <c r="BW2005" t="str">
        <f>"2016.479760"</f>
        <v>2016.479760</v>
      </c>
      <c r="BX2005" t="s">
        <v>13565</v>
      </c>
      <c r="BZ2005" t="s">
        <v>13563</v>
      </c>
      <c r="CA2005" t="s">
        <v>13564</v>
      </c>
      <c r="CH2005" t="str">
        <f>""</f>
        <v/>
      </c>
      <c r="CS2005" t="str">
        <f>""</f>
        <v/>
      </c>
    </row>
    <row r="2006" spans="1:97" x14ac:dyDescent="0.25">
      <c r="A2006" t="s">
        <v>13566</v>
      </c>
      <c r="B2006" t="s">
        <v>13567</v>
      </c>
      <c r="C2006" t="s">
        <v>8332</v>
      </c>
      <c r="D2006" t="s">
        <v>13567</v>
      </c>
      <c r="E2006" t="s">
        <v>13568</v>
      </c>
      <c r="F2006" t="s">
        <v>108</v>
      </c>
      <c r="H2006" t="s">
        <v>13569</v>
      </c>
      <c r="I2006" t="s">
        <v>110</v>
      </c>
      <c r="J2006" t="s">
        <v>111</v>
      </c>
      <c r="K2006" t="str">
        <f>"85249"</f>
        <v>85249</v>
      </c>
      <c r="L2006" t="s">
        <v>8747</v>
      </c>
      <c r="M2006" t="s">
        <v>13569</v>
      </c>
      <c r="N2006" t="s">
        <v>110</v>
      </c>
      <c r="O2006" t="s">
        <v>111</v>
      </c>
      <c r="P2006" t="str">
        <f>"85249-4185"</f>
        <v>85249-4185</v>
      </c>
      <c r="Q2006" t="s">
        <v>113</v>
      </c>
      <c r="R2006" t="str">
        <f>"303-56-300"</f>
        <v>303-56-300</v>
      </c>
      <c r="S2006" t="s">
        <v>13570</v>
      </c>
      <c r="U2006">
        <v>2058</v>
      </c>
      <c r="V2006">
        <v>0</v>
      </c>
      <c r="W2006">
        <v>3</v>
      </c>
      <c r="X2006">
        <v>2000</v>
      </c>
      <c r="Z2006">
        <v>1</v>
      </c>
      <c r="AA2006" t="s">
        <v>26</v>
      </c>
      <c r="AB2006">
        <v>0</v>
      </c>
      <c r="AC2006" t="s">
        <v>115</v>
      </c>
      <c r="AD2006">
        <v>3</v>
      </c>
      <c r="AE2006" t="s">
        <v>115</v>
      </c>
      <c r="AF2006">
        <v>0</v>
      </c>
      <c r="AG2006">
        <v>0</v>
      </c>
      <c r="AH2006" t="s">
        <v>116</v>
      </c>
      <c r="AI2006" s="1">
        <v>46306</v>
      </c>
      <c r="AJ2006" s="2">
        <v>0.12</v>
      </c>
      <c r="AK2006" s="1">
        <v>392778</v>
      </c>
      <c r="AL2006" t="s">
        <v>117</v>
      </c>
      <c r="AM2006" t="s">
        <v>118</v>
      </c>
      <c r="AN2006">
        <v>11352</v>
      </c>
      <c r="AO2006">
        <v>0.26</v>
      </c>
      <c r="AP2006">
        <v>1</v>
      </c>
      <c r="AR2006">
        <v>1</v>
      </c>
      <c r="AS2006" s="1">
        <v>28280</v>
      </c>
      <c r="AT2006" s="1">
        <v>5650</v>
      </c>
      <c r="AU2006" s="1">
        <v>22630</v>
      </c>
      <c r="AV2006">
        <v>80.02</v>
      </c>
      <c r="AX2006" s="1">
        <v>2237.4</v>
      </c>
      <c r="AY2006" t="s">
        <v>5050</v>
      </c>
      <c r="AZ2006" t="s">
        <v>120</v>
      </c>
      <c r="BA2006" t="s">
        <v>274</v>
      </c>
      <c r="BB2006" s="3">
        <v>43479</v>
      </c>
      <c r="BC2006" s="1">
        <v>0</v>
      </c>
      <c r="BD2006" t="s">
        <v>247</v>
      </c>
      <c r="BE2006" s="3">
        <v>42459</v>
      </c>
      <c r="BF2006" s="1">
        <v>349000</v>
      </c>
      <c r="BG2006" t="s">
        <v>13571</v>
      </c>
      <c r="BH2006" s="1">
        <v>169.58</v>
      </c>
      <c r="BI2006" s="1">
        <v>346472</v>
      </c>
      <c r="BJ2006" s="3">
        <v>43479</v>
      </c>
      <c r="BK2006" t="s">
        <v>123</v>
      </c>
      <c r="BL2006" t="str">
        <f>"2019.25332"</f>
        <v>2019.25332</v>
      </c>
      <c r="BM2006" t="s">
        <v>2716</v>
      </c>
      <c r="BN2006" t="s">
        <v>13572</v>
      </c>
      <c r="BO2006" t="s">
        <v>13573</v>
      </c>
      <c r="BP2006" t="s">
        <v>13574</v>
      </c>
      <c r="BR2006" t="s">
        <v>139</v>
      </c>
      <c r="BW2006" t="str">
        <f>""</f>
        <v/>
      </c>
      <c r="CH2006" t="str">
        <f>""</f>
        <v/>
      </c>
      <c r="CS2006" t="str">
        <f>""</f>
        <v/>
      </c>
    </row>
    <row r="2007" spans="1:97" x14ac:dyDescent="0.25">
      <c r="A2007" t="s">
        <v>1109</v>
      </c>
      <c r="B2007" t="s">
        <v>13575</v>
      </c>
      <c r="C2007" t="s">
        <v>2184</v>
      </c>
      <c r="D2007" t="s">
        <v>13575</v>
      </c>
      <c r="E2007" t="s">
        <v>13576</v>
      </c>
      <c r="F2007" t="s">
        <v>108</v>
      </c>
      <c r="H2007" t="s">
        <v>13577</v>
      </c>
      <c r="I2007" t="s">
        <v>225</v>
      </c>
      <c r="J2007" t="s">
        <v>111</v>
      </c>
      <c r="K2007" t="str">
        <f>"85212"</f>
        <v>85212</v>
      </c>
      <c r="L2007" t="s">
        <v>5239</v>
      </c>
      <c r="M2007" t="s">
        <v>13577</v>
      </c>
      <c r="N2007" t="s">
        <v>225</v>
      </c>
      <c r="O2007" t="s">
        <v>111</v>
      </c>
      <c r="P2007" t="str">
        <f>"85212-4072"</f>
        <v>85212-4072</v>
      </c>
      <c r="Q2007" t="s">
        <v>113</v>
      </c>
      <c r="R2007" t="str">
        <f>"304-33-247"</f>
        <v>304-33-247</v>
      </c>
      <c r="S2007" t="s">
        <v>13578</v>
      </c>
      <c r="T2007" t="s">
        <v>13511</v>
      </c>
      <c r="U2007">
        <v>2175</v>
      </c>
      <c r="V2007">
        <v>0</v>
      </c>
      <c r="W2007">
        <v>3</v>
      </c>
      <c r="X2007">
        <v>2002</v>
      </c>
      <c r="Z2007">
        <v>1</v>
      </c>
      <c r="AB2007">
        <v>0</v>
      </c>
      <c r="AC2007" t="s">
        <v>115</v>
      </c>
      <c r="AD2007">
        <v>2</v>
      </c>
      <c r="AE2007" t="s">
        <v>115</v>
      </c>
      <c r="AF2007">
        <v>0</v>
      </c>
      <c r="AG2007">
        <v>0</v>
      </c>
      <c r="AH2007" t="s">
        <v>116</v>
      </c>
      <c r="AI2007" s="1">
        <v>84828</v>
      </c>
      <c r="AJ2007" s="2">
        <v>0.28000000000000003</v>
      </c>
      <c r="AK2007" s="1">
        <v>301478</v>
      </c>
      <c r="AL2007" t="s">
        <v>117</v>
      </c>
      <c r="AM2007" t="s">
        <v>393</v>
      </c>
      <c r="AN2007">
        <v>7857</v>
      </c>
      <c r="AO2007">
        <v>0.18</v>
      </c>
      <c r="AP2007">
        <v>1</v>
      </c>
      <c r="AR2007">
        <v>1</v>
      </c>
      <c r="AS2007" s="1">
        <v>20150</v>
      </c>
      <c r="AT2007" s="1">
        <v>4030</v>
      </c>
      <c r="AU2007" s="1">
        <v>16120</v>
      </c>
      <c r="AV2007">
        <v>80</v>
      </c>
      <c r="AX2007" s="1">
        <v>1399.96</v>
      </c>
      <c r="AY2007" t="s">
        <v>776</v>
      </c>
      <c r="AZ2007" t="s">
        <v>777</v>
      </c>
      <c r="BA2007" t="s">
        <v>572</v>
      </c>
      <c r="BE2007" s="3">
        <v>41702</v>
      </c>
      <c r="BF2007" s="1">
        <v>215000</v>
      </c>
      <c r="BG2007" t="s">
        <v>13579</v>
      </c>
      <c r="BH2007" s="1">
        <v>98.85</v>
      </c>
      <c r="BI2007" s="1">
        <v>216650</v>
      </c>
      <c r="BJ2007" s="3">
        <v>42613</v>
      </c>
      <c r="BK2007" t="s">
        <v>123</v>
      </c>
      <c r="BL2007" t="str">
        <f>"2016.628949"</f>
        <v>2016.628949</v>
      </c>
      <c r="BM2007" t="s">
        <v>124</v>
      </c>
      <c r="BO2007" t="s">
        <v>13580</v>
      </c>
      <c r="BS2007">
        <v>30</v>
      </c>
      <c r="BW2007" t="str">
        <f>""</f>
        <v/>
      </c>
      <c r="CH2007" t="str">
        <f>""</f>
        <v/>
      </c>
      <c r="CS2007" t="str">
        <f>""</f>
        <v/>
      </c>
    </row>
    <row r="2008" spans="1:97" x14ac:dyDescent="0.25">
      <c r="A2008" t="s">
        <v>13581</v>
      </c>
      <c r="B2008" t="s">
        <v>13582</v>
      </c>
      <c r="E2008" t="s">
        <v>13583</v>
      </c>
      <c r="F2008" t="s">
        <v>108</v>
      </c>
      <c r="H2008" t="s">
        <v>13584</v>
      </c>
      <c r="I2008" t="s">
        <v>203</v>
      </c>
      <c r="J2008" t="s">
        <v>111</v>
      </c>
      <c r="K2008" t="str">
        <f>"85296"</f>
        <v>85296</v>
      </c>
      <c r="L2008" t="s">
        <v>5456</v>
      </c>
      <c r="M2008" t="s">
        <v>13584</v>
      </c>
      <c r="N2008" t="s">
        <v>203</v>
      </c>
      <c r="O2008" t="s">
        <v>111</v>
      </c>
      <c r="P2008" t="str">
        <f>"85296-4108"</f>
        <v>85296-4108</v>
      </c>
      <c r="Q2008" t="s">
        <v>113</v>
      </c>
      <c r="R2008" t="str">
        <f>"304-24-332"</f>
        <v>304-24-332</v>
      </c>
      <c r="S2008" t="s">
        <v>13585</v>
      </c>
      <c r="T2008" t="s">
        <v>13585</v>
      </c>
      <c r="U2008">
        <v>2562</v>
      </c>
      <c r="V2008">
        <v>0</v>
      </c>
      <c r="W2008">
        <v>4</v>
      </c>
      <c r="X2008">
        <v>1996</v>
      </c>
      <c r="Z2008">
        <v>2</v>
      </c>
      <c r="AA2008" t="s">
        <v>26</v>
      </c>
      <c r="AB2008">
        <v>0</v>
      </c>
      <c r="AC2008" t="s">
        <v>115</v>
      </c>
      <c r="AD2008">
        <v>3</v>
      </c>
      <c r="AE2008" t="s">
        <v>115</v>
      </c>
      <c r="AF2008">
        <v>0</v>
      </c>
      <c r="AG2008">
        <v>0</v>
      </c>
      <c r="AH2008" t="s">
        <v>116</v>
      </c>
      <c r="AI2008" s="1">
        <v>56945</v>
      </c>
      <c r="AJ2008" s="2">
        <v>0.15</v>
      </c>
      <c r="AK2008" s="1">
        <v>375142</v>
      </c>
      <c r="AL2008" t="s">
        <v>117</v>
      </c>
      <c r="AM2008" t="s">
        <v>191</v>
      </c>
      <c r="AN2008">
        <v>5728</v>
      </c>
      <c r="AO2008">
        <v>0.13</v>
      </c>
      <c r="AP2008">
        <v>1</v>
      </c>
      <c r="AR2008">
        <v>1</v>
      </c>
      <c r="AS2008" s="1">
        <v>26230</v>
      </c>
      <c r="AT2008" s="1">
        <v>5240</v>
      </c>
      <c r="AU2008" s="1">
        <v>20990</v>
      </c>
      <c r="AV2008">
        <v>80.02</v>
      </c>
      <c r="AX2008" s="1">
        <v>1884.68</v>
      </c>
      <c r="AY2008" t="s">
        <v>7046</v>
      </c>
      <c r="AZ2008" t="s">
        <v>207</v>
      </c>
      <c r="BA2008" t="s">
        <v>208</v>
      </c>
      <c r="BB2008" s="3">
        <v>42724</v>
      </c>
      <c r="BD2008" t="s">
        <v>458</v>
      </c>
      <c r="BE2008" s="3">
        <v>42445</v>
      </c>
      <c r="BF2008" s="1">
        <v>311500</v>
      </c>
      <c r="BG2008" t="s">
        <v>13586</v>
      </c>
      <c r="BH2008" s="1">
        <v>121.58</v>
      </c>
      <c r="BI2008" s="1">
        <v>318197</v>
      </c>
      <c r="BJ2008" s="3">
        <v>42445</v>
      </c>
      <c r="BK2008" t="s">
        <v>123</v>
      </c>
      <c r="BL2008" t="str">
        <f>"2016.169905"</f>
        <v>2016.169905</v>
      </c>
      <c r="BM2008" t="s">
        <v>1154</v>
      </c>
      <c r="BO2008" t="s">
        <v>13587</v>
      </c>
      <c r="BS2008">
        <v>30</v>
      </c>
      <c r="BW2008" t="str">
        <f>""</f>
        <v/>
      </c>
      <c r="CH2008" t="str">
        <f>""</f>
        <v/>
      </c>
      <c r="CS2008" t="str">
        <f>""</f>
        <v/>
      </c>
    </row>
    <row r="2009" spans="1:97" x14ac:dyDescent="0.25">
      <c r="A2009" t="s">
        <v>13588</v>
      </c>
      <c r="B2009" t="s">
        <v>10031</v>
      </c>
      <c r="C2009" t="s">
        <v>1005</v>
      </c>
      <c r="D2009" t="s">
        <v>10031</v>
      </c>
      <c r="E2009" t="s">
        <v>13589</v>
      </c>
      <c r="F2009" t="s">
        <v>108</v>
      </c>
      <c r="H2009" t="s">
        <v>13590</v>
      </c>
      <c r="I2009" t="s">
        <v>453</v>
      </c>
      <c r="J2009" t="s">
        <v>111</v>
      </c>
      <c r="K2009" t="str">
        <f>"85345"</f>
        <v>85345</v>
      </c>
      <c r="L2009" t="s">
        <v>6145</v>
      </c>
      <c r="M2009" t="s">
        <v>13590</v>
      </c>
      <c r="N2009" t="s">
        <v>453</v>
      </c>
      <c r="O2009" t="s">
        <v>111</v>
      </c>
      <c r="P2009" t="str">
        <f>"85345-8268"</f>
        <v>85345-8268</v>
      </c>
      <c r="Q2009" t="s">
        <v>113</v>
      </c>
      <c r="R2009" t="str">
        <f>"142-11-092"</f>
        <v>142-11-092</v>
      </c>
      <c r="S2009" t="s">
        <v>13591</v>
      </c>
      <c r="T2009" t="s">
        <v>13592</v>
      </c>
      <c r="U2009">
        <v>2075</v>
      </c>
      <c r="V2009">
        <v>0</v>
      </c>
      <c r="W2009">
        <v>3</v>
      </c>
      <c r="X2009">
        <v>1986</v>
      </c>
      <c r="Z2009">
        <v>2</v>
      </c>
      <c r="AB2009">
        <v>0</v>
      </c>
      <c r="AC2009" t="s">
        <v>115</v>
      </c>
      <c r="AD2009">
        <v>2</v>
      </c>
      <c r="AE2009" t="s">
        <v>115</v>
      </c>
      <c r="AF2009">
        <v>0</v>
      </c>
      <c r="AG2009">
        <v>0</v>
      </c>
      <c r="AH2009" t="s">
        <v>116</v>
      </c>
      <c r="AI2009" s="1">
        <v>34660</v>
      </c>
      <c r="AJ2009" s="2">
        <v>0.12</v>
      </c>
      <c r="AK2009" s="1">
        <v>278448</v>
      </c>
      <c r="AL2009" t="s">
        <v>117</v>
      </c>
      <c r="AM2009" t="s">
        <v>171</v>
      </c>
      <c r="AN2009">
        <v>8107</v>
      </c>
      <c r="AO2009">
        <v>0.19</v>
      </c>
      <c r="AP2009">
        <v>1</v>
      </c>
      <c r="AR2009">
        <v>1</v>
      </c>
      <c r="AS2009" s="1">
        <v>17370</v>
      </c>
      <c r="AT2009" s="1">
        <v>3470</v>
      </c>
      <c r="AU2009" s="1">
        <v>13900</v>
      </c>
      <c r="AV2009">
        <v>80.02</v>
      </c>
      <c r="AX2009" s="1">
        <v>1256.76</v>
      </c>
      <c r="AY2009" t="s">
        <v>7077</v>
      </c>
      <c r="AZ2009" t="s">
        <v>7077</v>
      </c>
      <c r="BA2009" t="s">
        <v>4007</v>
      </c>
      <c r="BE2009" s="3">
        <v>42268</v>
      </c>
      <c r="BF2009" s="1">
        <v>236000</v>
      </c>
      <c r="BG2009" t="s">
        <v>13593</v>
      </c>
      <c r="BH2009" s="1">
        <v>113.73</v>
      </c>
      <c r="BI2009" s="1">
        <v>243788</v>
      </c>
      <c r="BJ2009" s="3">
        <v>42268</v>
      </c>
      <c r="BK2009" t="s">
        <v>123</v>
      </c>
      <c r="BL2009" t="str">
        <f>"2015.678225"</f>
        <v>2015.678225</v>
      </c>
      <c r="BM2009" t="s">
        <v>135</v>
      </c>
      <c r="BO2009" t="s">
        <v>13594</v>
      </c>
      <c r="BS2009">
        <v>30</v>
      </c>
      <c r="BW2009" t="str">
        <f>""</f>
        <v/>
      </c>
      <c r="CH2009" t="str">
        <f>""</f>
        <v/>
      </c>
      <c r="CS2009" t="str">
        <f>""</f>
        <v/>
      </c>
    </row>
    <row r="2010" spans="1:97" x14ac:dyDescent="0.25">
      <c r="A2010" t="s">
        <v>13595</v>
      </c>
      <c r="B2010" t="s">
        <v>13596</v>
      </c>
      <c r="C2010" t="s">
        <v>2853</v>
      </c>
      <c r="D2010" t="s">
        <v>13596</v>
      </c>
      <c r="E2010" t="s">
        <v>13597</v>
      </c>
      <c r="F2010" t="s">
        <v>108</v>
      </c>
      <c r="H2010" t="s">
        <v>13598</v>
      </c>
      <c r="I2010" t="s">
        <v>3150</v>
      </c>
      <c r="J2010" t="s">
        <v>111</v>
      </c>
      <c r="K2010" t="str">
        <f>"85340"</f>
        <v>85340</v>
      </c>
      <c r="L2010" t="s">
        <v>3758</v>
      </c>
      <c r="M2010" t="s">
        <v>13598</v>
      </c>
      <c r="N2010" t="s">
        <v>3150</v>
      </c>
      <c r="O2010" t="s">
        <v>111</v>
      </c>
      <c r="P2010" t="str">
        <f>"85340-4170"</f>
        <v>85340-4170</v>
      </c>
      <c r="Q2010" t="s">
        <v>113</v>
      </c>
      <c r="R2010" t="str">
        <f>"508-10-238"</f>
        <v>508-10-238</v>
      </c>
      <c r="S2010" t="s">
        <v>13599</v>
      </c>
      <c r="U2010">
        <v>1862</v>
      </c>
      <c r="V2010">
        <v>0</v>
      </c>
      <c r="W2010">
        <v>3</v>
      </c>
      <c r="X2010">
        <v>2002</v>
      </c>
      <c r="Z2010">
        <v>1</v>
      </c>
      <c r="AA2010" t="s">
        <v>26</v>
      </c>
      <c r="AB2010">
        <v>0</v>
      </c>
      <c r="AC2010" t="s">
        <v>115</v>
      </c>
      <c r="AD2010">
        <v>2</v>
      </c>
      <c r="AE2010" t="s">
        <v>115</v>
      </c>
      <c r="AF2010">
        <v>0</v>
      </c>
      <c r="AG2010">
        <v>0</v>
      </c>
      <c r="AH2010" t="s">
        <v>116</v>
      </c>
      <c r="AI2010" s="1">
        <v>33256</v>
      </c>
      <c r="AJ2010" s="2">
        <v>0.11</v>
      </c>
      <c r="AK2010" s="1">
        <v>290736</v>
      </c>
      <c r="AL2010" t="s">
        <v>117</v>
      </c>
      <c r="AM2010" t="s">
        <v>191</v>
      </c>
      <c r="AN2010">
        <v>6441</v>
      </c>
      <c r="AO2010">
        <v>0.15</v>
      </c>
      <c r="AP2010">
        <v>1</v>
      </c>
      <c r="AR2010">
        <v>1</v>
      </c>
      <c r="AS2010" s="1">
        <v>18550</v>
      </c>
      <c r="AT2010" s="1">
        <v>3710</v>
      </c>
      <c r="AU2010" s="1">
        <v>14840</v>
      </c>
      <c r="AV2010">
        <v>80</v>
      </c>
      <c r="AX2010" s="1">
        <v>1261.4000000000001</v>
      </c>
      <c r="AY2010" t="s">
        <v>5241</v>
      </c>
      <c r="AZ2010" t="s">
        <v>3153</v>
      </c>
      <c r="BA2010" t="s">
        <v>3154</v>
      </c>
      <c r="BE2010" s="3">
        <v>42548</v>
      </c>
      <c r="BF2010" s="1">
        <v>249255</v>
      </c>
      <c r="BG2010" t="s">
        <v>13600</v>
      </c>
      <c r="BH2010" s="1">
        <v>133.86000000000001</v>
      </c>
      <c r="BI2010" s="1">
        <v>257480</v>
      </c>
      <c r="BJ2010" s="3">
        <v>42548</v>
      </c>
      <c r="BK2010" t="s">
        <v>123</v>
      </c>
      <c r="BL2010" t="str">
        <f>"2016.449180"</f>
        <v>2016.449180</v>
      </c>
      <c r="BM2010" t="s">
        <v>7181</v>
      </c>
      <c r="BO2010" t="s">
        <v>13601</v>
      </c>
      <c r="BS2010">
        <v>30</v>
      </c>
      <c r="BW2010" t="str">
        <f>""</f>
        <v/>
      </c>
      <c r="CH2010" t="str">
        <f>""</f>
        <v/>
      </c>
      <c r="CS2010" t="str">
        <f>""</f>
        <v/>
      </c>
    </row>
    <row r="2011" spans="1:97" x14ac:dyDescent="0.25">
      <c r="A2011" t="s">
        <v>12368</v>
      </c>
      <c r="B2011" t="s">
        <v>4774</v>
      </c>
      <c r="C2011" t="s">
        <v>13602</v>
      </c>
      <c r="D2011" t="s">
        <v>13603</v>
      </c>
      <c r="E2011" t="s">
        <v>13604</v>
      </c>
      <c r="F2011" t="s">
        <v>108</v>
      </c>
      <c r="H2011" t="s">
        <v>13605</v>
      </c>
      <c r="I2011" t="s">
        <v>5523</v>
      </c>
      <c r="J2011" t="s">
        <v>111</v>
      </c>
      <c r="K2011" t="str">
        <f>"85373"</f>
        <v>85373</v>
      </c>
      <c r="L2011" t="s">
        <v>5524</v>
      </c>
      <c r="M2011" t="s">
        <v>13605</v>
      </c>
      <c r="N2011" t="s">
        <v>5523</v>
      </c>
      <c r="O2011" t="s">
        <v>111</v>
      </c>
      <c r="P2011" t="str">
        <f>"85373-5646"</f>
        <v>85373-5646</v>
      </c>
      <c r="Q2011" t="s">
        <v>113</v>
      </c>
      <c r="R2011" t="str">
        <f>"503-88-587"</f>
        <v>503-88-587</v>
      </c>
      <c r="S2011" t="s">
        <v>5525</v>
      </c>
      <c r="T2011" t="s">
        <v>5526</v>
      </c>
      <c r="U2011">
        <v>2466</v>
      </c>
      <c r="V2011">
        <v>0</v>
      </c>
      <c r="W2011">
        <v>4</v>
      </c>
      <c r="X2011">
        <v>2014</v>
      </c>
      <c r="Z2011">
        <v>2</v>
      </c>
      <c r="AA2011" t="s">
        <v>26</v>
      </c>
      <c r="AB2011">
        <v>0</v>
      </c>
      <c r="AC2011" t="s">
        <v>115</v>
      </c>
      <c r="AD2011">
        <v>3</v>
      </c>
      <c r="AE2011" t="s">
        <v>115</v>
      </c>
      <c r="AF2011">
        <v>0</v>
      </c>
      <c r="AG2011">
        <v>0</v>
      </c>
      <c r="AH2011" t="s">
        <v>116</v>
      </c>
      <c r="AI2011" s="1">
        <v>74063</v>
      </c>
      <c r="AJ2011" s="2">
        <v>0.23</v>
      </c>
      <c r="AK2011" s="1">
        <v>323363</v>
      </c>
      <c r="AL2011" t="s">
        <v>117</v>
      </c>
      <c r="AM2011" t="s">
        <v>191</v>
      </c>
      <c r="AN2011">
        <v>6900</v>
      </c>
      <c r="AO2011">
        <v>0.16</v>
      </c>
      <c r="AR2011">
        <v>1</v>
      </c>
      <c r="AS2011" s="1">
        <v>24080</v>
      </c>
      <c r="AT2011" s="1">
        <v>4810</v>
      </c>
      <c r="AU2011" s="1">
        <v>19270</v>
      </c>
      <c r="AV2011">
        <v>80.02</v>
      </c>
      <c r="AX2011" s="1">
        <v>2228.04</v>
      </c>
      <c r="AY2011" t="s">
        <v>3228</v>
      </c>
      <c r="AZ2011" t="s">
        <v>3228</v>
      </c>
      <c r="BA2011" t="s">
        <v>457</v>
      </c>
      <c r="BE2011" s="3">
        <v>41794</v>
      </c>
      <c r="BF2011" s="1">
        <v>297760</v>
      </c>
      <c r="BG2011" t="s">
        <v>2199</v>
      </c>
      <c r="BH2011" s="1">
        <v>120.75</v>
      </c>
      <c r="BI2011" s="1">
        <v>249300</v>
      </c>
      <c r="BJ2011" s="3">
        <v>41794</v>
      </c>
      <c r="BK2011" t="s">
        <v>123</v>
      </c>
      <c r="BL2011" t="str">
        <f>"2014.363860"</f>
        <v>2014.363860</v>
      </c>
      <c r="BM2011" t="s">
        <v>2245</v>
      </c>
      <c r="BO2011" t="s">
        <v>13606</v>
      </c>
      <c r="BP2011" t="s">
        <v>13607</v>
      </c>
      <c r="BS2011">
        <v>30</v>
      </c>
      <c r="BW2011" t="str">
        <f>""</f>
        <v/>
      </c>
      <c r="CH2011" t="str">
        <f>""</f>
        <v/>
      </c>
      <c r="CS2011" t="str">
        <f>""</f>
        <v/>
      </c>
    </row>
    <row r="2012" spans="1:97" x14ac:dyDescent="0.25">
      <c r="A2012" t="s">
        <v>938</v>
      </c>
      <c r="B2012" t="s">
        <v>13608</v>
      </c>
      <c r="C2012" t="s">
        <v>11081</v>
      </c>
      <c r="D2012" t="s">
        <v>13609</v>
      </c>
      <c r="E2012" t="s">
        <v>13610</v>
      </c>
      <c r="F2012" t="s">
        <v>108</v>
      </c>
      <c r="H2012" t="s">
        <v>13611</v>
      </c>
      <c r="I2012" t="s">
        <v>203</v>
      </c>
      <c r="J2012" t="s">
        <v>111</v>
      </c>
      <c r="K2012" t="str">
        <f>"85296"</f>
        <v>85296</v>
      </c>
      <c r="L2012" t="s">
        <v>3326</v>
      </c>
      <c r="M2012" t="s">
        <v>13611</v>
      </c>
      <c r="N2012" t="s">
        <v>203</v>
      </c>
      <c r="O2012" t="s">
        <v>111</v>
      </c>
      <c r="P2012" t="str">
        <f>"85296-2060"</f>
        <v>85296-2060</v>
      </c>
      <c r="Q2012" t="s">
        <v>113</v>
      </c>
      <c r="R2012" t="str">
        <f>"309-11-845"</f>
        <v>309-11-845</v>
      </c>
      <c r="S2012" t="s">
        <v>13612</v>
      </c>
      <c r="T2012" t="s">
        <v>11050</v>
      </c>
      <c r="U2012">
        <v>3448</v>
      </c>
      <c r="V2012">
        <v>0</v>
      </c>
      <c r="W2012">
        <v>4</v>
      </c>
      <c r="X2012">
        <v>2001</v>
      </c>
      <c r="Z2012">
        <v>2</v>
      </c>
      <c r="AA2012" t="s">
        <v>26</v>
      </c>
      <c r="AB2012">
        <v>0</v>
      </c>
      <c r="AC2012" t="s">
        <v>115</v>
      </c>
      <c r="AD2012">
        <v>4</v>
      </c>
      <c r="AE2012" t="s">
        <v>115</v>
      </c>
      <c r="AF2012">
        <v>0</v>
      </c>
      <c r="AG2012">
        <v>0</v>
      </c>
      <c r="AH2012" t="s">
        <v>116</v>
      </c>
      <c r="AI2012" s="1">
        <v>133157</v>
      </c>
      <c r="AJ2012" s="2">
        <v>0.21</v>
      </c>
      <c r="AK2012" s="1">
        <v>619907</v>
      </c>
      <c r="AL2012" t="s">
        <v>117</v>
      </c>
      <c r="AM2012" t="s">
        <v>3973</v>
      </c>
      <c r="AN2012">
        <v>33562</v>
      </c>
      <c r="AO2012">
        <v>0.77</v>
      </c>
      <c r="AP2012">
        <v>1</v>
      </c>
      <c r="AR2012">
        <v>1</v>
      </c>
      <c r="AS2012" s="1">
        <v>47110</v>
      </c>
      <c r="AT2012" s="1">
        <v>9420</v>
      </c>
      <c r="AU2012" s="1">
        <v>37690</v>
      </c>
      <c r="AV2012">
        <v>80</v>
      </c>
      <c r="AX2012" s="1">
        <v>3362.8</v>
      </c>
      <c r="AY2012" t="s">
        <v>5032</v>
      </c>
      <c r="AZ2012" t="s">
        <v>520</v>
      </c>
      <c r="BA2012" t="s">
        <v>5033</v>
      </c>
      <c r="BE2012" s="3">
        <v>41939</v>
      </c>
      <c r="BF2012" s="1">
        <v>510000</v>
      </c>
      <c r="BG2012" t="s">
        <v>13613</v>
      </c>
      <c r="BH2012" s="1">
        <v>147.91</v>
      </c>
      <c r="BI2012" s="1">
        <v>486750</v>
      </c>
      <c r="BJ2012" s="3">
        <v>41939</v>
      </c>
      <c r="BK2012" t="s">
        <v>123</v>
      </c>
      <c r="BL2012" t="str">
        <f>"2014.709172"</f>
        <v>2014.709172</v>
      </c>
      <c r="BM2012" t="s">
        <v>1192</v>
      </c>
      <c r="BO2012" t="s">
        <v>13614</v>
      </c>
      <c r="BP2012" t="s">
        <v>13615</v>
      </c>
      <c r="BS2012">
        <v>15</v>
      </c>
      <c r="BW2012" t="str">
        <f>""</f>
        <v/>
      </c>
      <c r="CH2012" t="str">
        <f>""</f>
        <v/>
      </c>
      <c r="CS2012" t="str">
        <f>""</f>
        <v/>
      </c>
    </row>
    <row r="2013" spans="1:97" x14ac:dyDescent="0.25">
      <c r="A2013" t="s">
        <v>938</v>
      </c>
      <c r="B2013" t="s">
        <v>13616</v>
      </c>
      <c r="E2013" t="s">
        <v>13617</v>
      </c>
      <c r="F2013" t="s">
        <v>108</v>
      </c>
      <c r="H2013" t="s">
        <v>13618</v>
      </c>
      <c r="I2013" t="s">
        <v>144</v>
      </c>
      <c r="J2013" t="s">
        <v>111</v>
      </c>
      <c r="K2013" t="str">
        <f>"85326"</f>
        <v>85326</v>
      </c>
      <c r="L2013" t="s">
        <v>13619</v>
      </c>
      <c r="M2013" t="s">
        <v>13618</v>
      </c>
      <c r="N2013" t="s">
        <v>144</v>
      </c>
      <c r="O2013" t="s">
        <v>111</v>
      </c>
      <c r="P2013" t="str">
        <f>"85326-7259"</f>
        <v>85326-7259</v>
      </c>
      <c r="Q2013" t="s">
        <v>113</v>
      </c>
      <c r="R2013" t="str">
        <f>"504-42-393"</f>
        <v>504-42-393</v>
      </c>
      <c r="S2013" t="s">
        <v>13620</v>
      </c>
      <c r="T2013" t="s">
        <v>13621</v>
      </c>
      <c r="U2013">
        <v>4023</v>
      </c>
      <c r="V2013">
        <v>0</v>
      </c>
      <c r="W2013">
        <v>5</v>
      </c>
      <c r="X2013">
        <v>2008</v>
      </c>
      <c r="Z2013">
        <v>2</v>
      </c>
      <c r="AB2013">
        <v>0</v>
      </c>
      <c r="AC2013" t="s">
        <v>115</v>
      </c>
      <c r="AD2013">
        <v>3</v>
      </c>
      <c r="AE2013" t="s">
        <v>115</v>
      </c>
      <c r="AF2013">
        <v>0</v>
      </c>
      <c r="AG2013">
        <v>0</v>
      </c>
      <c r="AH2013" t="s">
        <v>116</v>
      </c>
      <c r="AI2013" s="1">
        <v>52705</v>
      </c>
      <c r="AJ2013" s="2">
        <v>0.2</v>
      </c>
      <c r="AK2013" s="1">
        <v>262946</v>
      </c>
      <c r="AL2013" t="s">
        <v>117</v>
      </c>
      <c r="AM2013" t="s">
        <v>5023</v>
      </c>
      <c r="AN2013">
        <v>8636</v>
      </c>
      <c r="AO2013">
        <v>0.2</v>
      </c>
      <c r="AR2013">
        <v>1</v>
      </c>
      <c r="AS2013" s="1">
        <v>22720</v>
      </c>
      <c r="AT2013" s="1">
        <v>4540</v>
      </c>
      <c r="AU2013" s="1">
        <v>18180</v>
      </c>
      <c r="AV2013">
        <v>80.02</v>
      </c>
      <c r="AX2013" s="1">
        <v>2031.4</v>
      </c>
      <c r="AY2013" t="s">
        <v>11051</v>
      </c>
      <c r="AZ2013" t="s">
        <v>7333</v>
      </c>
      <c r="BA2013" t="s">
        <v>9622</v>
      </c>
      <c r="BE2013" s="3">
        <v>41901</v>
      </c>
      <c r="BF2013" s="1">
        <v>177500</v>
      </c>
      <c r="BG2013" t="s">
        <v>13622</v>
      </c>
      <c r="BH2013" s="1">
        <v>44.12</v>
      </c>
      <c r="BI2013" s="1">
        <v>210241</v>
      </c>
      <c r="BJ2013" s="3">
        <v>42954</v>
      </c>
      <c r="BK2013" t="s">
        <v>123</v>
      </c>
      <c r="BL2013" t="str">
        <f>"2017.576049"</f>
        <v>2017.576049</v>
      </c>
      <c r="BM2013" t="s">
        <v>135</v>
      </c>
      <c r="BO2013" t="s">
        <v>13623</v>
      </c>
      <c r="BS2013">
        <v>30</v>
      </c>
      <c r="BW2013" t="str">
        <f>""</f>
        <v/>
      </c>
      <c r="CH2013" t="str">
        <f>""</f>
        <v/>
      </c>
      <c r="CS2013" t="str">
        <f>""</f>
        <v/>
      </c>
    </row>
    <row r="2014" spans="1:97" x14ac:dyDescent="0.25">
      <c r="A2014" t="s">
        <v>1344</v>
      </c>
      <c r="B2014" t="s">
        <v>13624</v>
      </c>
      <c r="C2014" t="s">
        <v>13625</v>
      </c>
      <c r="D2014" t="s">
        <v>13624</v>
      </c>
      <c r="E2014" t="s">
        <v>13626</v>
      </c>
      <c r="F2014" t="s">
        <v>108</v>
      </c>
      <c r="H2014" t="s">
        <v>13627</v>
      </c>
      <c r="I2014" t="s">
        <v>6646</v>
      </c>
      <c r="J2014" t="s">
        <v>111</v>
      </c>
      <c r="K2014" t="str">
        <f>"85086"</f>
        <v>85086</v>
      </c>
      <c r="L2014" t="s">
        <v>3326</v>
      </c>
      <c r="M2014" t="s">
        <v>13627</v>
      </c>
      <c r="N2014" t="s">
        <v>6646</v>
      </c>
      <c r="O2014" t="s">
        <v>111</v>
      </c>
      <c r="P2014" t="str">
        <f>"85086-2772"</f>
        <v>85086-2772</v>
      </c>
      <c r="Q2014" t="s">
        <v>113</v>
      </c>
      <c r="R2014" t="str">
        <f>"203-03-756"</f>
        <v>203-03-756</v>
      </c>
      <c r="S2014" t="s">
        <v>13628</v>
      </c>
      <c r="U2014">
        <v>2168</v>
      </c>
      <c r="V2014">
        <v>0</v>
      </c>
      <c r="W2014">
        <v>3</v>
      </c>
      <c r="X2014">
        <v>2005</v>
      </c>
      <c r="Z2014">
        <v>2</v>
      </c>
      <c r="AB2014">
        <v>0</v>
      </c>
      <c r="AC2014" t="s">
        <v>115</v>
      </c>
      <c r="AD2014">
        <v>2</v>
      </c>
      <c r="AE2014" t="s">
        <v>115</v>
      </c>
      <c r="AF2014">
        <v>0</v>
      </c>
      <c r="AG2014">
        <v>0</v>
      </c>
      <c r="AH2014" t="s">
        <v>116</v>
      </c>
      <c r="AI2014" s="1">
        <v>68270</v>
      </c>
      <c r="AJ2014" s="2">
        <v>0.22</v>
      </c>
      <c r="AK2014" s="1">
        <v>310365</v>
      </c>
      <c r="AL2014" t="s">
        <v>117</v>
      </c>
      <c r="AM2014" t="s">
        <v>191</v>
      </c>
      <c r="AN2014">
        <v>6575</v>
      </c>
      <c r="AO2014">
        <v>0.15</v>
      </c>
      <c r="AR2014">
        <v>1</v>
      </c>
      <c r="AS2014" s="1">
        <v>21870</v>
      </c>
      <c r="AT2014" s="1">
        <v>4370</v>
      </c>
      <c r="AU2014" s="1">
        <v>17500</v>
      </c>
      <c r="AV2014">
        <v>80.02</v>
      </c>
      <c r="AX2014" s="1">
        <v>2334.46</v>
      </c>
      <c r="AY2014" t="s">
        <v>5380</v>
      </c>
      <c r="AZ2014" t="s">
        <v>5380</v>
      </c>
      <c r="BA2014" t="s">
        <v>378</v>
      </c>
      <c r="BE2014" s="3">
        <v>42314</v>
      </c>
      <c r="BF2014" s="1">
        <v>237000</v>
      </c>
      <c r="BG2014" t="s">
        <v>13629</v>
      </c>
      <c r="BH2014" s="1">
        <v>109.32</v>
      </c>
      <c r="BI2014" s="1">
        <v>242095</v>
      </c>
      <c r="BJ2014" s="3">
        <v>42314</v>
      </c>
      <c r="BK2014" t="s">
        <v>123</v>
      </c>
      <c r="BL2014" t="str">
        <f>"2015.800602"</f>
        <v>2015.800602</v>
      </c>
      <c r="BM2014" t="s">
        <v>6517</v>
      </c>
      <c r="BO2014" t="s">
        <v>13630</v>
      </c>
      <c r="BS2014">
        <v>30</v>
      </c>
      <c r="BW2014" t="str">
        <f>""</f>
        <v/>
      </c>
      <c r="CH2014" t="str">
        <f>""</f>
        <v/>
      </c>
      <c r="CS2014" t="str">
        <f>""</f>
        <v/>
      </c>
    </row>
    <row r="2015" spans="1:97" x14ac:dyDescent="0.25">
      <c r="A2015" t="s">
        <v>13079</v>
      </c>
      <c r="B2015" t="s">
        <v>13631</v>
      </c>
      <c r="C2015" t="s">
        <v>496</v>
      </c>
      <c r="D2015" t="s">
        <v>13631</v>
      </c>
      <c r="E2015" t="s">
        <v>13632</v>
      </c>
      <c r="F2015" t="s">
        <v>108</v>
      </c>
      <c r="H2015" t="s">
        <v>13633</v>
      </c>
      <c r="I2015" t="s">
        <v>1936</v>
      </c>
      <c r="J2015" t="s">
        <v>111</v>
      </c>
      <c r="K2015" t="str">
        <f>"85260"</f>
        <v>85260</v>
      </c>
      <c r="L2015" t="s">
        <v>6923</v>
      </c>
      <c r="M2015" t="s">
        <v>13633</v>
      </c>
      <c r="N2015" t="s">
        <v>1936</v>
      </c>
      <c r="O2015" t="s">
        <v>111</v>
      </c>
      <c r="P2015" t="str">
        <f>"85260-4010"</f>
        <v>85260-4010</v>
      </c>
      <c r="Q2015" t="s">
        <v>113</v>
      </c>
      <c r="R2015" t="str">
        <f>"175-66-038"</f>
        <v>175-66-038</v>
      </c>
      <c r="S2015" t="s">
        <v>13634</v>
      </c>
      <c r="T2015" t="s">
        <v>13634</v>
      </c>
      <c r="U2015">
        <v>3007</v>
      </c>
      <c r="V2015">
        <v>0</v>
      </c>
      <c r="W2015">
        <v>4</v>
      </c>
      <c r="X2015">
        <v>1974</v>
      </c>
      <c r="Z2015">
        <v>1</v>
      </c>
      <c r="AA2015" t="s">
        <v>26</v>
      </c>
      <c r="AB2015">
        <v>0</v>
      </c>
      <c r="AC2015" t="s">
        <v>115</v>
      </c>
      <c r="AD2015">
        <v>2</v>
      </c>
      <c r="AE2015" t="s">
        <v>115</v>
      </c>
      <c r="AF2015">
        <v>0</v>
      </c>
      <c r="AG2015">
        <v>0</v>
      </c>
      <c r="AH2015" t="s">
        <v>116</v>
      </c>
      <c r="AI2015" s="1">
        <v>219202</v>
      </c>
      <c r="AJ2015" s="2">
        <v>0.32</v>
      </c>
      <c r="AK2015" s="1">
        <v>683939</v>
      </c>
      <c r="AL2015" t="s">
        <v>117</v>
      </c>
      <c r="AM2015" t="s">
        <v>3973</v>
      </c>
      <c r="AN2015">
        <v>35170</v>
      </c>
      <c r="AO2015">
        <v>0.81</v>
      </c>
      <c r="AP2015">
        <v>1</v>
      </c>
      <c r="AR2015">
        <v>1</v>
      </c>
      <c r="AS2015" s="1">
        <v>51250</v>
      </c>
      <c r="AT2015" s="1">
        <v>10250</v>
      </c>
      <c r="AU2015" s="1">
        <v>41000</v>
      </c>
      <c r="AV2015">
        <v>80</v>
      </c>
      <c r="AX2015" s="1">
        <v>4015.12</v>
      </c>
      <c r="AY2015" t="s">
        <v>8787</v>
      </c>
      <c r="AZ2015" t="s">
        <v>7739</v>
      </c>
      <c r="BA2015" t="s">
        <v>6302</v>
      </c>
      <c r="BB2015" s="3">
        <v>43014</v>
      </c>
      <c r="BD2015" t="s">
        <v>157</v>
      </c>
      <c r="BE2015" s="3">
        <v>42221</v>
      </c>
      <c r="BF2015" s="1">
        <v>510000</v>
      </c>
      <c r="BG2015" t="s">
        <v>13635</v>
      </c>
      <c r="BH2015" s="1">
        <v>182.27</v>
      </c>
      <c r="BI2015" s="1">
        <v>464737</v>
      </c>
      <c r="BJ2015" s="3">
        <v>42221</v>
      </c>
      <c r="BK2015" t="s">
        <v>123</v>
      </c>
      <c r="BL2015" t="str">
        <f>"2015.566234"</f>
        <v>2015.566234</v>
      </c>
      <c r="BM2015" t="s">
        <v>2489</v>
      </c>
      <c r="BO2015" t="s">
        <v>13636</v>
      </c>
      <c r="BS2015">
        <v>30</v>
      </c>
      <c r="BW2015" t="str">
        <f>""</f>
        <v/>
      </c>
      <c r="CH2015" t="str">
        <f>""</f>
        <v/>
      </c>
      <c r="CS2015" t="str">
        <f>""</f>
        <v/>
      </c>
    </row>
    <row r="2016" spans="1:97" x14ac:dyDescent="0.25">
      <c r="A2016" t="s">
        <v>1160</v>
      </c>
      <c r="B2016" t="s">
        <v>1667</v>
      </c>
      <c r="C2016" t="s">
        <v>13637</v>
      </c>
      <c r="D2016" t="s">
        <v>1667</v>
      </c>
      <c r="E2016" t="s">
        <v>13638</v>
      </c>
      <c r="F2016" t="s">
        <v>108</v>
      </c>
      <c r="H2016" t="s">
        <v>13639</v>
      </c>
      <c r="I2016" t="s">
        <v>390</v>
      </c>
      <c r="J2016" t="s">
        <v>111</v>
      </c>
      <c r="K2016" t="str">
        <f>"85028"</f>
        <v>85028</v>
      </c>
      <c r="L2016" t="s">
        <v>6169</v>
      </c>
      <c r="M2016" t="s">
        <v>13639</v>
      </c>
      <c r="N2016" t="s">
        <v>390</v>
      </c>
      <c r="O2016" t="s">
        <v>111</v>
      </c>
      <c r="P2016" t="str">
        <f>"85028-2012"</f>
        <v>85028-2012</v>
      </c>
      <c r="Q2016" t="s">
        <v>113</v>
      </c>
      <c r="R2016" t="str">
        <f>"166-33-186"</f>
        <v>166-33-186</v>
      </c>
      <c r="S2016" t="s">
        <v>13640</v>
      </c>
      <c r="U2016">
        <v>1371</v>
      </c>
      <c r="V2016">
        <v>0</v>
      </c>
      <c r="W2016">
        <v>2</v>
      </c>
      <c r="X2016">
        <v>1971</v>
      </c>
      <c r="Z2016">
        <v>1</v>
      </c>
      <c r="AB2016">
        <v>0</v>
      </c>
      <c r="AC2016" t="s">
        <v>115</v>
      </c>
      <c r="AD2016">
        <v>2</v>
      </c>
      <c r="AE2016" t="s">
        <v>115</v>
      </c>
      <c r="AF2016">
        <v>0</v>
      </c>
      <c r="AG2016">
        <v>0</v>
      </c>
      <c r="AH2016" t="s">
        <v>116</v>
      </c>
      <c r="AI2016" s="1">
        <v>75438</v>
      </c>
      <c r="AJ2016" s="2">
        <v>0.26</v>
      </c>
      <c r="AK2016" s="1">
        <v>294330</v>
      </c>
      <c r="AL2016" t="s">
        <v>117</v>
      </c>
      <c r="AM2016" t="s">
        <v>171</v>
      </c>
      <c r="AN2016">
        <v>8042</v>
      </c>
      <c r="AO2016">
        <v>0.18</v>
      </c>
      <c r="AP2016">
        <v>1</v>
      </c>
      <c r="AR2016">
        <v>1</v>
      </c>
      <c r="AS2016" s="1">
        <v>19960</v>
      </c>
      <c r="AT2016" s="1">
        <v>3990</v>
      </c>
      <c r="AU2016" s="1">
        <v>15970</v>
      </c>
      <c r="AV2016">
        <v>80.010000000000005</v>
      </c>
      <c r="AX2016" s="1">
        <v>1335.1</v>
      </c>
      <c r="AY2016" t="s">
        <v>5488</v>
      </c>
      <c r="AZ2016" t="s">
        <v>5489</v>
      </c>
      <c r="BA2016" t="s">
        <v>5232</v>
      </c>
      <c r="BE2016" s="3">
        <v>41725</v>
      </c>
      <c r="BF2016" s="1">
        <v>211900</v>
      </c>
      <c r="BG2016" t="s">
        <v>13641</v>
      </c>
      <c r="BH2016" s="1">
        <v>154.56</v>
      </c>
      <c r="BI2016" s="1">
        <v>218892</v>
      </c>
      <c r="BJ2016" s="3">
        <v>41725</v>
      </c>
      <c r="BK2016" t="s">
        <v>123</v>
      </c>
      <c r="BL2016" t="str">
        <f>"2014.196196"</f>
        <v>2014.196196</v>
      </c>
      <c r="BM2016" t="s">
        <v>6761</v>
      </c>
      <c r="BO2016" t="s">
        <v>13642</v>
      </c>
      <c r="BS2016">
        <v>30</v>
      </c>
      <c r="BW2016" t="str">
        <f>""</f>
        <v/>
      </c>
      <c r="CH2016" t="str">
        <f>""</f>
        <v/>
      </c>
      <c r="CS2016" t="str">
        <f>""</f>
        <v/>
      </c>
    </row>
    <row r="2017" spans="1:97" x14ac:dyDescent="0.25">
      <c r="A2017" t="s">
        <v>13643</v>
      </c>
      <c r="B2017" t="s">
        <v>13644</v>
      </c>
      <c r="C2017" t="s">
        <v>13645</v>
      </c>
      <c r="D2017" t="s">
        <v>13644</v>
      </c>
      <c r="E2017" t="s">
        <v>13646</v>
      </c>
      <c r="F2017" t="s">
        <v>108</v>
      </c>
      <c r="H2017" t="s">
        <v>13647</v>
      </c>
      <c r="I2017" t="s">
        <v>3150</v>
      </c>
      <c r="J2017" t="s">
        <v>111</v>
      </c>
      <c r="K2017" t="str">
        <f>"85340"</f>
        <v>85340</v>
      </c>
      <c r="L2017" t="s">
        <v>168</v>
      </c>
      <c r="M2017" t="s">
        <v>13647</v>
      </c>
      <c r="N2017" t="s">
        <v>3150</v>
      </c>
      <c r="O2017" t="s">
        <v>111</v>
      </c>
      <c r="P2017" t="str">
        <f>"85340-5538"</f>
        <v>85340-5538</v>
      </c>
      <c r="Q2017" t="s">
        <v>113</v>
      </c>
      <c r="R2017" t="str">
        <f>"508-07-458"</f>
        <v>508-07-458</v>
      </c>
      <c r="S2017" t="s">
        <v>13648</v>
      </c>
      <c r="U2017">
        <v>3394</v>
      </c>
      <c r="V2017">
        <v>0</v>
      </c>
      <c r="W2017">
        <v>4</v>
      </c>
      <c r="X2017">
        <v>2003</v>
      </c>
      <c r="Z2017">
        <v>2</v>
      </c>
      <c r="AB2017">
        <v>0</v>
      </c>
      <c r="AC2017" t="s">
        <v>115</v>
      </c>
      <c r="AD2017">
        <v>2</v>
      </c>
      <c r="AE2017" t="s">
        <v>115</v>
      </c>
      <c r="AF2017">
        <v>0</v>
      </c>
      <c r="AG2017">
        <v>0</v>
      </c>
      <c r="AH2017" t="s">
        <v>116</v>
      </c>
      <c r="AI2017" s="1">
        <v>69301</v>
      </c>
      <c r="AJ2017" s="2">
        <v>0.2</v>
      </c>
      <c r="AK2017" s="1">
        <v>353301</v>
      </c>
      <c r="AL2017" t="s">
        <v>117</v>
      </c>
      <c r="AM2017" t="s">
        <v>393</v>
      </c>
      <c r="AN2017">
        <v>7650</v>
      </c>
      <c r="AO2017">
        <v>0.18</v>
      </c>
      <c r="AP2017">
        <v>1</v>
      </c>
      <c r="AR2017">
        <v>1</v>
      </c>
      <c r="AS2017" s="1">
        <v>23930</v>
      </c>
      <c r="AT2017" s="1">
        <v>4780</v>
      </c>
      <c r="AU2017" s="1">
        <v>19150</v>
      </c>
      <c r="AV2017">
        <v>80.03</v>
      </c>
      <c r="AX2017" s="1">
        <v>1956.6</v>
      </c>
      <c r="AY2017" t="s">
        <v>6700</v>
      </c>
      <c r="AZ2017" t="s">
        <v>6701</v>
      </c>
      <c r="BA2017" t="s">
        <v>6702</v>
      </c>
      <c r="BE2017" s="3">
        <v>42478</v>
      </c>
      <c r="BF2017" s="1">
        <v>284000</v>
      </c>
      <c r="BG2017" t="s">
        <v>13649</v>
      </c>
      <c r="BH2017" s="1">
        <v>83.68</v>
      </c>
      <c r="BI2017" s="1">
        <v>284000</v>
      </c>
      <c r="BJ2017" s="3">
        <v>42478</v>
      </c>
      <c r="BK2017" t="s">
        <v>123</v>
      </c>
      <c r="BL2017" t="str">
        <f>"2016.256113"</f>
        <v>2016.256113</v>
      </c>
      <c r="BM2017" t="s">
        <v>820</v>
      </c>
      <c r="BO2017" t="s">
        <v>13650</v>
      </c>
      <c r="BS2017">
        <v>30</v>
      </c>
      <c r="BW2017" t="str">
        <f>""</f>
        <v/>
      </c>
      <c r="CH2017" t="str">
        <f>""</f>
        <v/>
      </c>
      <c r="CS2017" t="str">
        <f>""</f>
        <v/>
      </c>
    </row>
    <row r="2018" spans="1:97" x14ac:dyDescent="0.25">
      <c r="A2018" t="s">
        <v>13651</v>
      </c>
      <c r="B2018" t="s">
        <v>2894</v>
      </c>
      <c r="C2018" t="s">
        <v>703</v>
      </c>
      <c r="D2018" t="s">
        <v>2894</v>
      </c>
      <c r="E2018" t="s">
        <v>13652</v>
      </c>
      <c r="F2018" t="s">
        <v>108</v>
      </c>
      <c r="H2018" t="s">
        <v>13653</v>
      </c>
      <c r="I2018" t="s">
        <v>390</v>
      </c>
      <c r="J2018" t="s">
        <v>111</v>
      </c>
      <c r="K2018" t="str">
        <f>"85037"</f>
        <v>85037</v>
      </c>
      <c r="L2018" t="s">
        <v>5910</v>
      </c>
      <c r="M2018" t="s">
        <v>13653</v>
      </c>
      <c r="N2018" t="s">
        <v>390</v>
      </c>
      <c r="O2018" t="s">
        <v>111</v>
      </c>
      <c r="P2018" t="str">
        <f>"85037-6305"</f>
        <v>85037-6305</v>
      </c>
      <c r="Q2018" t="s">
        <v>113</v>
      </c>
      <c r="R2018" t="str">
        <f>"102-34-123"</f>
        <v>102-34-123</v>
      </c>
      <c r="S2018" t="s">
        <v>11277</v>
      </c>
      <c r="T2018" t="s">
        <v>11278</v>
      </c>
      <c r="U2018">
        <v>3674</v>
      </c>
      <c r="V2018">
        <v>0</v>
      </c>
      <c r="W2018">
        <v>4</v>
      </c>
      <c r="X2018">
        <v>2004</v>
      </c>
      <c r="Z2018">
        <v>2</v>
      </c>
      <c r="AA2018" t="s">
        <v>26</v>
      </c>
      <c r="AB2018">
        <v>0</v>
      </c>
      <c r="AC2018" t="s">
        <v>115</v>
      </c>
      <c r="AD2018">
        <v>3</v>
      </c>
      <c r="AE2018" t="s">
        <v>115</v>
      </c>
      <c r="AF2018">
        <v>0</v>
      </c>
      <c r="AG2018">
        <v>0</v>
      </c>
      <c r="AH2018" t="s">
        <v>116</v>
      </c>
      <c r="AI2018" s="1">
        <v>62192</v>
      </c>
      <c r="AJ2018" s="2">
        <v>0.19</v>
      </c>
      <c r="AK2018" s="1">
        <v>336054</v>
      </c>
      <c r="AL2018" t="s">
        <v>117</v>
      </c>
      <c r="AM2018" t="s">
        <v>171</v>
      </c>
      <c r="AN2018">
        <v>7722</v>
      </c>
      <c r="AO2018">
        <v>0.18</v>
      </c>
      <c r="AP2018">
        <v>1</v>
      </c>
      <c r="AR2018">
        <v>1</v>
      </c>
      <c r="AS2018" s="1">
        <v>22050</v>
      </c>
      <c r="AT2018" s="1">
        <v>4410</v>
      </c>
      <c r="AU2018" s="1">
        <v>17640</v>
      </c>
      <c r="AV2018">
        <v>80</v>
      </c>
      <c r="AX2018" s="1">
        <v>2211.94</v>
      </c>
      <c r="AY2018" t="s">
        <v>11279</v>
      </c>
      <c r="AZ2018" t="s">
        <v>11279</v>
      </c>
      <c r="BA2018" t="s">
        <v>11280</v>
      </c>
      <c r="BE2018" s="3">
        <v>41841</v>
      </c>
      <c r="BF2018" s="1">
        <v>256000</v>
      </c>
      <c r="BG2018" t="s">
        <v>13654</v>
      </c>
      <c r="BH2018" s="1">
        <v>69.680000000000007</v>
      </c>
      <c r="BI2018" s="1">
        <v>273862</v>
      </c>
      <c r="BJ2018" s="3">
        <v>42696</v>
      </c>
      <c r="BK2018" t="s">
        <v>123</v>
      </c>
      <c r="BL2018" t="str">
        <f>"2016.863903"</f>
        <v>2016.863903</v>
      </c>
      <c r="BM2018" t="s">
        <v>673</v>
      </c>
      <c r="BO2018" t="s">
        <v>13655</v>
      </c>
      <c r="BS2018">
        <v>30</v>
      </c>
      <c r="BW2018" t="str">
        <f>""</f>
        <v/>
      </c>
      <c r="CH2018" t="str">
        <f>""</f>
        <v/>
      </c>
      <c r="CS2018" t="str">
        <f>""</f>
        <v/>
      </c>
    </row>
    <row r="2019" spans="1:97" x14ac:dyDescent="0.25">
      <c r="A2019" t="s">
        <v>2668</v>
      </c>
      <c r="B2019" t="s">
        <v>13656</v>
      </c>
      <c r="C2019" t="s">
        <v>2852</v>
      </c>
      <c r="D2019" t="s">
        <v>13656</v>
      </c>
      <c r="E2019" t="s">
        <v>13657</v>
      </c>
      <c r="F2019" t="s">
        <v>108</v>
      </c>
      <c r="H2019" t="s">
        <v>13658</v>
      </c>
      <c r="I2019" t="s">
        <v>4251</v>
      </c>
      <c r="J2019" t="s">
        <v>111</v>
      </c>
      <c r="K2019" t="str">
        <f>"85353"</f>
        <v>85353</v>
      </c>
      <c r="L2019" t="s">
        <v>3151</v>
      </c>
      <c r="M2019" t="s">
        <v>13658</v>
      </c>
      <c r="N2019" t="s">
        <v>4251</v>
      </c>
      <c r="O2019" t="s">
        <v>111</v>
      </c>
      <c r="P2019" t="str">
        <f>"85353-4227"</f>
        <v>85353-4227</v>
      </c>
      <c r="Q2019" t="s">
        <v>113</v>
      </c>
      <c r="R2019" t="str">
        <f>"101-29-225"</f>
        <v>101-29-225</v>
      </c>
      <c r="S2019" t="s">
        <v>13659</v>
      </c>
      <c r="T2019" t="s">
        <v>13659</v>
      </c>
      <c r="U2019">
        <v>1905</v>
      </c>
      <c r="V2019">
        <v>0</v>
      </c>
      <c r="W2019">
        <v>3</v>
      </c>
      <c r="X2019">
        <v>2016</v>
      </c>
      <c r="Z2019">
        <v>1</v>
      </c>
      <c r="AB2019">
        <v>0</v>
      </c>
      <c r="AC2019" t="s">
        <v>115</v>
      </c>
      <c r="AD2019">
        <v>2</v>
      </c>
      <c r="AE2019" t="s">
        <v>115</v>
      </c>
      <c r="AF2019">
        <v>0</v>
      </c>
      <c r="AG2019">
        <v>0</v>
      </c>
      <c r="AH2019" t="s">
        <v>116</v>
      </c>
      <c r="AI2019" s="1">
        <v>51699</v>
      </c>
      <c r="AJ2019" s="2">
        <v>0.19</v>
      </c>
      <c r="AK2019" s="1">
        <v>267741</v>
      </c>
      <c r="AL2019" t="s">
        <v>117</v>
      </c>
      <c r="AM2019" t="s">
        <v>171</v>
      </c>
      <c r="AN2019">
        <v>5750</v>
      </c>
      <c r="AO2019">
        <v>0.13</v>
      </c>
      <c r="AR2019">
        <v>1</v>
      </c>
      <c r="AS2019" s="1">
        <v>19180</v>
      </c>
      <c r="AT2019" s="1">
        <v>3830</v>
      </c>
      <c r="AU2019" s="1">
        <v>15350</v>
      </c>
      <c r="AV2019">
        <v>80.03</v>
      </c>
      <c r="AX2019" s="1">
        <v>1663.76</v>
      </c>
      <c r="AY2019" t="s">
        <v>13660</v>
      </c>
      <c r="AZ2019" t="s">
        <v>13661</v>
      </c>
      <c r="BA2019" t="s">
        <v>11280</v>
      </c>
      <c r="BE2019" s="3">
        <v>42550</v>
      </c>
      <c r="BF2019" s="1">
        <v>217248</v>
      </c>
      <c r="BG2019" t="s">
        <v>2289</v>
      </c>
      <c r="BH2019" s="1">
        <v>114.04</v>
      </c>
      <c r="BI2019" s="1">
        <v>216042</v>
      </c>
      <c r="BJ2019" s="3">
        <v>42961</v>
      </c>
      <c r="BK2019" t="s">
        <v>123</v>
      </c>
      <c r="BL2019" t="str">
        <f>"2017.596161"</f>
        <v>2017.596161</v>
      </c>
      <c r="BM2019" t="s">
        <v>3638</v>
      </c>
      <c r="BO2019" t="s">
        <v>13662</v>
      </c>
      <c r="BS2019">
        <v>30</v>
      </c>
      <c r="BW2019" t="str">
        <f>""</f>
        <v/>
      </c>
      <c r="CH2019" t="str">
        <f>""</f>
        <v/>
      </c>
      <c r="CS2019" t="str">
        <f>""</f>
        <v/>
      </c>
    </row>
    <row r="2020" spans="1:97" x14ac:dyDescent="0.25">
      <c r="A2020" t="s">
        <v>1067</v>
      </c>
      <c r="B2020" t="s">
        <v>4060</v>
      </c>
      <c r="E2020" t="s">
        <v>13663</v>
      </c>
      <c r="F2020" t="s">
        <v>108</v>
      </c>
      <c r="H2020" t="s">
        <v>13664</v>
      </c>
      <c r="I2020" t="s">
        <v>1936</v>
      </c>
      <c r="J2020" t="s">
        <v>111</v>
      </c>
      <c r="K2020" t="str">
        <f>"85251"</f>
        <v>85251</v>
      </c>
      <c r="L2020" t="s">
        <v>8199</v>
      </c>
      <c r="M2020" t="s">
        <v>13664</v>
      </c>
      <c r="N2020" t="s">
        <v>1936</v>
      </c>
      <c r="O2020" t="s">
        <v>111</v>
      </c>
      <c r="P2020" t="str">
        <f>"85251-1847"</f>
        <v>85251-1847</v>
      </c>
      <c r="Q2020" t="s">
        <v>113</v>
      </c>
      <c r="R2020" t="str">
        <f>"173-62-067"</f>
        <v>173-62-067</v>
      </c>
      <c r="S2020" t="s">
        <v>13665</v>
      </c>
      <c r="T2020" t="s">
        <v>13666</v>
      </c>
      <c r="U2020">
        <v>1416</v>
      </c>
      <c r="V2020">
        <v>0</v>
      </c>
      <c r="W2020">
        <v>2</v>
      </c>
      <c r="X2020">
        <v>1960</v>
      </c>
      <c r="Z2020">
        <v>1</v>
      </c>
      <c r="AB2020">
        <v>0</v>
      </c>
      <c r="AC2020" t="s">
        <v>5188</v>
      </c>
      <c r="AD2020">
        <v>1</v>
      </c>
      <c r="AE2020" t="s">
        <v>5188</v>
      </c>
      <c r="AF2020">
        <v>0</v>
      </c>
      <c r="AG2020">
        <v>0</v>
      </c>
      <c r="AH2020" t="s">
        <v>116</v>
      </c>
      <c r="AI2020" s="1">
        <v>27684</v>
      </c>
      <c r="AJ2020" s="2">
        <v>7.0000000000000007E-2</v>
      </c>
      <c r="AK2020" s="1">
        <v>373972</v>
      </c>
      <c r="AL2020" t="s">
        <v>117</v>
      </c>
      <c r="AM2020" t="s">
        <v>393</v>
      </c>
      <c r="AN2020">
        <v>10948</v>
      </c>
      <c r="AO2020">
        <v>0.25</v>
      </c>
      <c r="AP2020">
        <v>1</v>
      </c>
      <c r="AR2020">
        <v>1</v>
      </c>
      <c r="AS2020" s="1">
        <v>25530</v>
      </c>
      <c r="AT2020" s="1">
        <v>5100</v>
      </c>
      <c r="AU2020" s="1">
        <v>20430</v>
      </c>
      <c r="AV2020">
        <v>80.02</v>
      </c>
      <c r="AX2020" s="1">
        <v>1350.84</v>
      </c>
      <c r="AY2020" t="s">
        <v>11099</v>
      </c>
      <c r="AZ2020" t="s">
        <v>6975</v>
      </c>
      <c r="BA2020" t="s">
        <v>6976</v>
      </c>
      <c r="BE2020" s="3">
        <v>42488</v>
      </c>
      <c r="BF2020" s="1">
        <v>339000</v>
      </c>
      <c r="BG2020" t="s">
        <v>13667</v>
      </c>
      <c r="BH2020" s="1">
        <v>239.41</v>
      </c>
      <c r="BI2020" s="1">
        <v>346288</v>
      </c>
      <c r="BJ2020" s="3">
        <v>42488</v>
      </c>
      <c r="BK2020" t="s">
        <v>123</v>
      </c>
      <c r="BL2020" t="str">
        <f>"2016.286692"</f>
        <v>2016.286692</v>
      </c>
      <c r="BM2020" t="s">
        <v>1544</v>
      </c>
      <c r="BO2020" t="s">
        <v>13668</v>
      </c>
      <c r="BS2020">
        <v>30</v>
      </c>
      <c r="BW2020" t="str">
        <f>""</f>
        <v/>
      </c>
      <c r="CH2020" t="str">
        <f>""</f>
        <v/>
      </c>
      <c r="CS2020" t="str">
        <f>""</f>
        <v/>
      </c>
    </row>
    <row r="2021" spans="1:97" x14ac:dyDescent="0.25">
      <c r="A2021" t="s">
        <v>1938</v>
      </c>
      <c r="B2021" t="s">
        <v>3333</v>
      </c>
      <c r="C2021" t="s">
        <v>6055</v>
      </c>
      <c r="D2021" t="s">
        <v>3333</v>
      </c>
      <c r="E2021" t="s">
        <v>13669</v>
      </c>
      <c r="F2021" t="s">
        <v>108</v>
      </c>
      <c r="H2021" t="s">
        <v>13670</v>
      </c>
      <c r="I2021" t="s">
        <v>2874</v>
      </c>
      <c r="J2021" t="s">
        <v>111</v>
      </c>
      <c r="K2021" t="str">
        <f>"85308"</f>
        <v>85308</v>
      </c>
      <c r="L2021" t="s">
        <v>8034</v>
      </c>
      <c r="M2021" t="s">
        <v>13670</v>
      </c>
      <c r="N2021" t="s">
        <v>2874</v>
      </c>
      <c r="O2021" t="s">
        <v>111</v>
      </c>
      <c r="P2021" t="str">
        <f>"85308-2809"</f>
        <v>85308-2809</v>
      </c>
      <c r="Q2021" t="s">
        <v>113</v>
      </c>
      <c r="R2021" t="str">
        <f>"207-20-241"</f>
        <v>207-20-241</v>
      </c>
      <c r="S2021" t="s">
        <v>13671</v>
      </c>
      <c r="T2021" t="s">
        <v>13672</v>
      </c>
      <c r="U2021">
        <v>1343</v>
      </c>
      <c r="V2021">
        <v>0</v>
      </c>
      <c r="W2021">
        <v>2</v>
      </c>
      <c r="X2021">
        <v>1980</v>
      </c>
      <c r="Z2021">
        <v>1</v>
      </c>
      <c r="AA2021" t="s">
        <v>26</v>
      </c>
      <c r="AB2021">
        <v>0</v>
      </c>
      <c r="AC2021" t="s">
        <v>115</v>
      </c>
      <c r="AD2021">
        <v>2</v>
      </c>
      <c r="AE2021" t="s">
        <v>115</v>
      </c>
      <c r="AF2021">
        <v>0</v>
      </c>
      <c r="AG2021">
        <v>0</v>
      </c>
      <c r="AH2021" t="s">
        <v>116</v>
      </c>
      <c r="AI2021" s="1">
        <v>23439</v>
      </c>
      <c r="AJ2021" s="2">
        <v>0.09</v>
      </c>
      <c r="AK2021" s="1">
        <v>249149</v>
      </c>
      <c r="AL2021" t="s">
        <v>117</v>
      </c>
      <c r="AM2021" t="s">
        <v>191</v>
      </c>
      <c r="AN2021">
        <v>7138</v>
      </c>
      <c r="AO2021">
        <v>0.16</v>
      </c>
      <c r="AP2021">
        <v>1</v>
      </c>
      <c r="AR2021">
        <v>1</v>
      </c>
      <c r="AS2021" s="1">
        <v>16850</v>
      </c>
      <c r="AT2021" s="1">
        <v>3370</v>
      </c>
      <c r="AU2021" s="1">
        <v>13480</v>
      </c>
      <c r="AV2021">
        <v>80</v>
      </c>
      <c r="AX2021" s="1">
        <v>1005.48</v>
      </c>
      <c r="AY2021" t="s">
        <v>8466</v>
      </c>
      <c r="AZ2021" t="s">
        <v>5142</v>
      </c>
      <c r="BA2021" t="s">
        <v>5143</v>
      </c>
      <c r="BE2021" s="3">
        <v>42464</v>
      </c>
      <c r="BF2021" s="1">
        <v>218500</v>
      </c>
      <c r="BG2021" t="s">
        <v>13673</v>
      </c>
      <c r="BH2021" s="1">
        <v>162.69999999999999</v>
      </c>
      <c r="BI2021" s="1">
        <v>225710</v>
      </c>
      <c r="BJ2021" s="3">
        <v>42464</v>
      </c>
      <c r="BK2021" t="s">
        <v>123</v>
      </c>
      <c r="BL2021" t="str">
        <f>"2016.220416"</f>
        <v>2016.220416</v>
      </c>
      <c r="BM2021" t="s">
        <v>475</v>
      </c>
      <c r="BO2021" t="s">
        <v>13674</v>
      </c>
      <c r="BS2021">
        <v>30</v>
      </c>
      <c r="BW2021" t="str">
        <f>""</f>
        <v/>
      </c>
      <c r="CH2021" t="str">
        <f>""</f>
        <v/>
      </c>
      <c r="CS2021" t="str">
        <f>""</f>
        <v/>
      </c>
    </row>
    <row r="2022" spans="1:97" x14ac:dyDescent="0.25">
      <c r="A2022" t="s">
        <v>3028</v>
      </c>
      <c r="B2022" t="s">
        <v>13675</v>
      </c>
      <c r="E2022" t="s">
        <v>13676</v>
      </c>
      <c r="F2022" t="s">
        <v>108</v>
      </c>
      <c r="H2022" t="s">
        <v>13677</v>
      </c>
      <c r="I2022" t="s">
        <v>110</v>
      </c>
      <c r="J2022" t="s">
        <v>111</v>
      </c>
      <c r="K2022" t="str">
        <f>"85224"</f>
        <v>85224</v>
      </c>
      <c r="L2022" t="s">
        <v>6438</v>
      </c>
      <c r="M2022" t="s">
        <v>13677</v>
      </c>
      <c r="N2022" t="s">
        <v>110</v>
      </c>
      <c r="O2022" t="s">
        <v>111</v>
      </c>
      <c r="P2022" t="str">
        <f>"85224-3949"</f>
        <v>85224-3949</v>
      </c>
      <c r="Q2022" t="s">
        <v>113</v>
      </c>
      <c r="R2022" t="str">
        <f>"310-01-162"</f>
        <v>310-01-162</v>
      </c>
      <c r="S2022" t="s">
        <v>13678</v>
      </c>
      <c r="T2022" t="s">
        <v>13679</v>
      </c>
      <c r="U2022">
        <v>1501</v>
      </c>
      <c r="V2022">
        <v>0</v>
      </c>
      <c r="W2022">
        <v>3</v>
      </c>
      <c r="X2022">
        <v>1990</v>
      </c>
      <c r="Z2022">
        <v>1</v>
      </c>
      <c r="AB2022">
        <v>0</v>
      </c>
      <c r="AC2022" t="s">
        <v>115</v>
      </c>
      <c r="AD2022">
        <v>2</v>
      </c>
      <c r="AE2022" t="s">
        <v>115</v>
      </c>
      <c r="AF2022">
        <v>0</v>
      </c>
      <c r="AG2022">
        <v>0</v>
      </c>
      <c r="AH2022" t="s">
        <v>116</v>
      </c>
      <c r="AI2022" s="1">
        <v>81051</v>
      </c>
      <c r="AJ2022" s="2">
        <v>0.28000000000000003</v>
      </c>
      <c r="AK2022" s="1">
        <v>293119</v>
      </c>
      <c r="AL2022" t="s">
        <v>117</v>
      </c>
      <c r="AM2022" t="s">
        <v>118</v>
      </c>
      <c r="AN2022">
        <v>5201</v>
      </c>
      <c r="AO2022">
        <v>0.12</v>
      </c>
      <c r="AP2022">
        <v>1</v>
      </c>
      <c r="AR2022">
        <v>1</v>
      </c>
      <c r="AS2022" s="1">
        <v>19850</v>
      </c>
      <c r="AT2022" s="1">
        <v>3970</v>
      </c>
      <c r="AU2022" s="1">
        <v>15880</v>
      </c>
      <c r="AV2022">
        <v>80</v>
      </c>
      <c r="AX2022" s="1">
        <v>1481.56</v>
      </c>
      <c r="AY2022" t="s">
        <v>7749</v>
      </c>
      <c r="AZ2022" t="s">
        <v>5078</v>
      </c>
      <c r="BA2022" t="s">
        <v>2957</v>
      </c>
      <c r="BE2022" s="3">
        <v>41656</v>
      </c>
      <c r="BF2022" s="1">
        <v>206000</v>
      </c>
      <c r="BG2022" t="s">
        <v>13680</v>
      </c>
      <c r="BH2022" s="1">
        <v>137.24</v>
      </c>
      <c r="BI2022" s="1">
        <v>212068</v>
      </c>
      <c r="BJ2022" s="3">
        <v>42478</v>
      </c>
      <c r="BK2022" t="s">
        <v>123</v>
      </c>
      <c r="BL2022" t="str">
        <f>"2016.253997"</f>
        <v>2016.253997</v>
      </c>
      <c r="BM2022" t="s">
        <v>750</v>
      </c>
      <c r="BO2022" t="s">
        <v>13681</v>
      </c>
      <c r="BQ2022" t="str">
        <f>"2.2500%"</f>
        <v>2.2500%</v>
      </c>
      <c r="BR2022" t="s">
        <v>1480</v>
      </c>
      <c r="BS2022">
        <v>30</v>
      </c>
      <c r="BW2022" t="str">
        <f>""</f>
        <v/>
      </c>
      <c r="CH2022" t="str">
        <f>""</f>
        <v/>
      </c>
      <c r="CS2022" t="str">
        <f>""</f>
        <v/>
      </c>
    </row>
    <row r="2023" spans="1:97" x14ac:dyDescent="0.25">
      <c r="A2023" t="s">
        <v>464</v>
      </c>
      <c r="B2023" t="s">
        <v>13682</v>
      </c>
      <c r="C2023" t="s">
        <v>604</v>
      </c>
      <c r="D2023" t="s">
        <v>13682</v>
      </c>
      <c r="E2023" t="s">
        <v>13683</v>
      </c>
      <c r="F2023" t="s">
        <v>108</v>
      </c>
      <c r="H2023" t="s">
        <v>13684</v>
      </c>
      <c r="I2023" t="s">
        <v>499</v>
      </c>
      <c r="J2023" t="s">
        <v>111</v>
      </c>
      <c r="K2023" t="str">
        <f>"85338"</f>
        <v>85338</v>
      </c>
      <c r="L2023" t="s">
        <v>6788</v>
      </c>
      <c r="M2023" t="s">
        <v>13684</v>
      </c>
      <c r="N2023" t="s">
        <v>499</v>
      </c>
      <c r="O2023" t="s">
        <v>111</v>
      </c>
      <c r="P2023" t="str">
        <f>"85338-7813"</f>
        <v>85338-7813</v>
      </c>
      <c r="Q2023" t="s">
        <v>113</v>
      </c>
      <c r="R2023" t="str">
        <f>"502-46-131"</f>
        <v>502-46-131</v>
      </c>
      <c r="S2023" t="s">
        <v>6789</v>
      </c>
      <c r="T2023" t="s">
        <v>6789</v>
      </c>
      <c r="U2023">
        <v>2342</v>
      </c>
      <c r="V2023">
        <v>0</v>
      </c>
      <c r="W2023">
        <v>3</v>
      </c>
      <c r="X2023">
        <v>2015</v>
      </c>
      <c r="Z2023">
        <v>1</v>
      </c>
      <c r="AB2023">
        <v>0</v>
      </c>
      <c r="AC2023" t="s">
        <v>115</v>
      </c>
      <c r="AD2023">
        <v>2</v>
      </c>
      <c r="AE2023" t="s">
        <v>115</v>
      </c>
      <c r="AF2023">
        <v>0</v>
      </c>
      <c r="AG2023">
        <v>0</v>
      </c>
      <c r="AH2023" t="s">
        <v>116</v>
      </c>
      <c r="AI2023" s="1">
        <v>91922</v>
      </c>
      <c r="AJ2023" s="2">
        <v>0.3</v>
      </c>
      <c r="AK2023" s="1">
        <v>306426</v>
      </c>
      <c r="AL2023" t="s">
        <v>117</v>
      </c>
      <c r="AM2023" t="s">
        <v>118</v>
      </c>
      <c r="AN2023">
        <v>6600</v>
      </c>
      <c r="AO2023">
        <v>0.15</v>
      </c>
      <c r="AR2023">
        <v>1</v>
      </c>
      <c r="AS2023" s="1">
        <v>22030</v>
      </c>
      <c r="AT2023" s="1">
        <v>4400</v>
      </c>
      <c r="AU2023" s="1">
        <v>17630</v>
      </c>
      <c r="AV2023">
        <v>80.03</v>
      </c>
      <c r="AX2023" s="1">
        <v>2005.04</v>
      </c>
      <c r="AY2023" t="s">
        <v>6790</v>
      </c>
      <c r="AZ2023" t="s">
        <v>6790</v>
      </c>
      <c r="BA2023" t="s">
        <v>218</v>
      </c>
      <c r="BB2023" s="3">
        <v>42773</v>
      </c>
      <c r="BD2023" t="s">
        <v>240</v>
      </c>
      <c r="BE2023" s="3">
        <v>42430</v>
      </c>
      <c r="BF2023" s="1">
        <v>209990</v>
      </c>
      <c r="BG2023" t="s">
        <v>233</v>
      </c>
      <c r="BH2023" s="1">
        <v>89.66</v>
      </c>
      <c r="BI2023" s="1">
        <v>214504</v>
      </c>
      <c r="BJ2023" s="3">
        <v>42430</v>
      </c>
      <c r="BK2023" t="s">
        <v>123</v>
      </c>
      <c r="BL2023" t="str">
        <f>"2016.132148"</f>
        <v>2016.132148</v>
      </c>
      <c r="BM2023" t="s">
        <v>234</v>
      </c>
      <c r="BO2023" t="s">
        <v>13685</v>
      </c>
      <c r="BS2023">
        <v>30</v>
      </c>
      <c r="BW2023" t="str">
        <f>""</f>
        <v/>
      </c>
      <c r="CH2023" t="str">
        <f>""</f>
        <v/>
      </c>
      <c r="CS2023" t="str">
        <f>""</f>
        <v/>
      </c>
    </row>
    <row r="2024" spans="1:97" x14ac:dyDescent="0.25">
      <c r="A2024" t="s">
        <v>589</v>
      </c>
      <c r="B2024" t="s">
        <v>13686</v>
      </c>
      <c r="C2024" t="s">
        <v>7856</v>
      </c>
      <c r="D2024" t="s">
        <v>13686</v>
      </c>
      <c r="E2024" t="s">
        <v>13687</v>
      </c>
      <c r="F2024" t="s">
        <v>108</v>
      </c>
      <c r="H2024" t="s">
        <v>13688</v>
      </c>
      <c r="I2024" t="s">
        <v>453</v>
      </c>
      <c r="J2024" t="s">
        <v>111</v>
      </c>
      <c r="K2024" t="str">
        <f>"85383"</f>
        <v>85383</v>
      </c>
      <c r="L2024" t="s">
        <v>516</v>
      </c>
      <c r="M2024" t="s">
        <v>13688</v>
      </c>
      <c r="N2024" t="s">
        <v>453</v>
      </c>
      <c r="O2024" t="s">
        <v>111</v>
      </c>
      <c r="P2024" t="str">
        <f>"85383-9659"</f>
        <v>85383-9659</v>
      </c>
      <c r="Q2024" t="s">
        <v>113</v>
      </c>
      <c r="R2024" t="str">
        <f>"201-17-257"</f>
        <v>201-17-257</v>
      </c>
      <c r="S2024" t="s">
        <v>10871</v>
      </c>
      <c r="T2024" t="s">
        <v>4519</v>
      </c>
      <c r="U2024">
        <v>2402</v>
      </c>
      <c r="V2024">
        <v>0</v>
      </c>
      <c r="W2024">
        <v>3</v>
      </c>
      <c r="X2024">
        <v>2013</v>
      </c>
      <c r="Z2024">
        <v>1</v>
      </c>
      <c r="AA2024" t="s">
        <v>26</v>
      </c>
      <c r="AB2024">
        <v>0</v>
      </c>
      <c r="AC2024" t="s">
        <v>115</v>
      </c>
      <c r="AD2024">
        <v>3</v>
      </c>
      <c r="AE2024" t="s">
        <v>115</v>
      </c>
      <c r="AF2024">
        <v>0</v>
      </c>
      <c r="AG2024">
        <v>0</v>
      </c>
      <c r="AH2024" t="s">
        <v>116</v>
      </c>
      <c r="AI2024" s="1">
        <v>-17648</v>
      </c>
      <c r="AJ2024" s="2">
        <v>-0.05</v>
      </c>
      <c r="AK2024" s="1">
        <v>341836</v>
      </c>
      <c r="AL2024" t="s">
        <v>117</v>
      </c>
      <c r="AM2024" t="s">
        <v>118</v>
      </c>
      <c r="AN2024">
        <v>8059</v>
      </c>
      <c r="AO2024">
        <v>0.18</v>
      </c>
      <c r="AR2024">
        <v>1</v>
      </c>
      <c r="AS2024" s="1">
        <v>30130</v>
      </c>
      <c r="AT2024" s="1">
        <v>6020</v>
      </c>
      <c r="AU2024" s="1">
        <v>24110</v>
      </c>
      <c r="AV2024">
        <v>80.02</v>
      </c>
      <c r="AX2024" s="1">
        <v>2926.04</v>
      </c>
      <c r="AY2024" t="s">
        <v>4520</v>
      </c>
      <c r="AZ2024" t="s">
        <v>4520</v>
      </c>
      <c r="BA2024" t="s">
        <v>4219</v>
      </c>
      <c r="BE2024" s="3">
        <v>42293</v>
      </c>
      <c r="BF2024" s="1">
        <v>348000</v>
      </c>
      <c r="BG2024" t="s">
        <v>13689</v>
      </c>
      <c r="BH2024" s="1">
        <v>144.88</v>
      </c>
      <c r="BI2024" s="1">
        <v>359484</v>
      </c>
      <c r="BJ2024" s="3">
        <v>42293</v>
      </c>
      <c r="BK2024" t="s">
        <v>123</v>
      </c>
      <c r="BL2024" t="str">
        <f>"2015.745650"</f>
        <v>2015.745650</v>
      </c>
      <c r="BM2024" t="s">
        <v>1033</v>
      </c>
      <c r="BO2024" t="s">
        <v>13690</v>
      </c>
      <c r="BS2024">
        <v>30</v>
      </c>
      <c r="BW2024" t="str">
        <f>""</f>
        <v/>
      </c>
      <c r="CH2024" t="str">
        <f>""</f>
        <v/>
      </c>
      <c r="CS2024" t="str">
        <f>""</f>
        <v/>
      </c>
    </row>
    <row r="2025" spans="1:97" x14ac:dyDescent="0.25">
      <c r="A2025" t="s">
        <v>1465</v>
      </c>
      <c r="B2025" t="s">
        <v>13691</v>
      </c>
      <c r="C2025" t="s">
        <v>6930</v>
      </c>
      <c r="D2025" t="s">
        <v>13691</v>
      </c>
      <c r="E2025" t="s">
        <v>13692</v>
      </c>
      <c r="F2025" t="s">
        <v>108</v>
      </c>
      <c r="H2025" t="s">
        <v>13693</v>
      </c>
      <c r="I2025" t="s">
        <v>632</v>
      </c>
      <c r="J2025" t="s">
        <v>111</v>
      </c>
      <c r="K2025" t="str">
        <f>"85387"</f>
        <v>85387</v>
      </c>
      <c r="L2025" t="s">
        <v>6529</v>
      </c>
      <c r="M2025" t="s">
        <v>13693</v>
      </c>
      <c r="N2025" t="s">
        <v>632</v>
      </c>
      <c r="O2025" t="s">
        <v>111</v>
      </c>
      <c r="P2025" t="str">
        <f>"85387-1033"</f>
        <v>85387-1033</v>
      </c>
      <c r="Q2025" t="s">
        <v>113</v>
      </c>
      <c r="R2025" t="str">
        <f>"503-51-618"</f>
        <v>503-51-618</v>
      </c>
      <c r="S2025" t="s">
        <v>13694</v>
      </c>
      <c r="T2025" t="s">
        <v>5498</v>
      </c>
      <c r="U2025">
        <v>2115</v>
      </c>
      <c r="V2025">
        <v>0</v>
      </c>
      <c r="W2025">
        <v>3</v>
      </c>
      <c r="X2025">
        <v>2008</v>
      </c>
      <c r="Z2025">
        <v>2</v>
      </c>
      <c r="AB2025">
        <v>0</v>
      </c>
      <c r="AC2025" t="s">
        <v>115</v>
      </c>
      <c r="AD2025">
        <v>2</v>
      </c>
      <c r="AE2025" t="s">
        <v>115</v>
      </c>
      <c r="AF2025">
        <v>0</v>
      </c>
      <c r="AG2025">
        <v>0</v>
      </c>
      <c r="AH2025" t="s">
        <v>116</v>
      </c>
      <c r="AI2025" s="1">
        <v>47557</v>
      </c>
      <c r="AJ2025" s="2">
        <v>0.19</v>
      </c>
      <c r="AK2025" s="1">
        <v>253557</v>
      </c>
      <c r="AL2025" t="s">
        <v>117</v>
      </c>
      <c r="AM2025" t="s">
        <v>118</v>
      </c>
      <c r="AN2025">
        <v>6380</v>
      </c>
      <c r="AO2025">
        <v>0.15</v>
      </c>
      <c r="AR2025">
        <v>1</v>
      </c>
      <c r="AS2025" s="1">
        <v>16030</v>
      </c>
      <c r="AT2025" s="1">
        <v>3200</v>
      </c>
      <c r="AU2025" s="1">
        <v>12830</v>
      </c>
      <c r="AV2025">
        <v>80.040000000000006</v>
      </c>
      <c r="AX2025" s="1">
        <v>1012.62</v>
      </c>
      <c r="AY2025" t="s">
        <v>5499</v>
      </c>
      <c r="AZ2025" t="s">
        <v>5499</v>
      </c>
      <c r="BE2025" s="3">
        <v>42549</v>
      </c>
      <c r="BF2025" s="1">
        <v>206000</v>
      </c>
      <c r="BG2025" t="s">
        <v>13695</v>
      </c>
      <c r="BH2025" s="1">
        <v>97.4</v>
      </c>
      <c r="BI2025" s="1">
        <v>206000</v>
      </c>
      <c r="BJ2025" s="3">
        <v>42549</v>
      </c>
      <c r="BK2025" t="s">
        <v>123</v>
      </c>
      <c r="BL2025" t="str">
        <f>"2016.451692"</f>
        <v>2016.451692</v>
      </c>
      <c r="BM2025" t="s">
        <v>1185</v>
      </c>
      <c r="BO2025" t="s">
        <v>13696</v>
      </c>
      <c r="BS2025">
        <v>30</v>
      </c>
      <c r="BW2025" t="str">
        <f>""</f>
        <v/>
      </c>
      <c r="CH2025" t="str">
        <f>""</f>
        <v/>
      </c>
      <c r="CS2025" t="str">
        <f>""</f>
        <v/>
      </c>
    </row>
    <row r="2026" spans="1:97" x14ac:dyDescent="0.25">
      <c r="A2026" t="s">
        <v>1768</v>
      </c>
      <c r="B2026" t="s">
        <v>13697</v>
      </c>
      <c r="C2026" t="s">
        <v>13698</v>
      </c>
      <c r="D2026" t="s">
        <v>13697</v>
      </c>
      <c r="E2026" t="s">
        <v>13699</v>
      </c>
      <c r="F2026" t="s">
        <v>108</v>
      </c>
      <c r="H2026" t="s">
        <v>13700</v>
      </c>
      <c r="I2026" t="s">
        <v>632</v>
      </c>
      <c r="J2026" t="s">
        <v>111</v>
      </c>
      <c r="K2026" t="str">
        <f>"85379"</f>
        <v>85379</v>
      </c>
      <c r="L2026" t="s">
        <v>1244</v>
      </c>
      <c r="M2026" t="s">
        <v>13700</v>
      </c>
      <c r="N2026" t="s">
        <v>632</v>
      </c>
      <c r="O2026" t="s">
        <v>111</v>
      </c>
      <c r="P2026" t="str">
        <f>"85379-7066"</f>
        <v>85379-7066</v>
      </c>
      <c r="Q2026" t="s">
        <v>113</v>
      </c>
      <c r="R2026" t="str">
        <f>"501-95-683"</f>
        <v>501-95-683</v>
      </c>
      <c r="S2026" t="s">
        <v>13701</v>
      </c>
      <c r="U2026">
        <v>2065</v>
      </c>
      <c r="V2026">
        <v>0</v>
      </c>
      <c r="W2026">
        <v>3</v>
      </c>
      <c r="X2026">
        <v>2002</v>
      </c>
      <c r="Z2026">
        <v>1</v>
      </c>
      <c r="AB2026">
        <v>0</v>
      </c>
      <c r="AC2026" t="s">
        <v>115</v>
      </c>
      <c r="AD2026">
        <v>2</v>
      </c>
      <c r="AE2026" t="s">
        <v>115</v>
      </c>
      <c r="AF2026">
        <v>0</v>
      </c>
      <c r="AG2026">
        <v>0</v>
      </c>
      <c r="AH2026" t="s">
        <v>116</v>
      </c>
      <c r="AI2026" s="1">
        <v>52742</v>
      </c>
      <c r="AJ2026" s="2">
        <v>0.2</v>
      </c>
      <c r="AK2026" s="1">
        <v>267742</v>
      </c>
      <c r="AL2026" t="s">
        <v>117</v>
      </c>
      <c r="AM2026" t="s">
        <v>118</v>
      </c>
      <c r="AN2026">
        <v>6930</v>
      </c>
      <c r="AO2026">
        <v>0.16</v>
      </c>
      <c r="AP2026">
        <v>1</v>
      </c>
      <c r="AR2026">
        <v>1</v>
      </c>
      <c r="AS2026" s="1">
        <v>18350</v>
      </c>
      <c r="AT2026" s="1">
        <v>3670</v>
      </c>
      <c r="AU2026" s="1">
        <v>14680</v>
      </c>
      <c r="AV2026">
        <v>80</v>
      </c>
      <c r="AX2026" s="1">
        <v>1312.7</v>
      </c>
      <c r="AY2026" t="s">
        <v>6615</v>
      </c>
      <c r="AZ2026" t="s">
        <v>6615</v>
      </c>
      <c r="BA2026" t="s">
        <v>321</v>
      </c>
      <c r="BE2026" s="3">
        <v>42475</v>
      </c>
      <c r="BF2026" s="1">
        <v>215000</v>
      </c>
      <c r="BG2026" t="s">
        <v>13702</v>
      </c>
      <c r="BH2026" s="1">
        <v>104.12</v>
      </c>
      <c r="BI2026" s="1">
        <v>215000</v>
      </c>
      <c r="BJ2026" s="3">
        <v>42475</v>
      </c>
      <c r="BK2026" t="s">
        <v>123</v>
      </c>
      <c r="BL2026" t="str">
        <f>"2016.251948"</f>
        <v>2016.251948</v>
      </c>
      <c r="BM2026" t="s">
        <v>9928</v>
      </c>
      <c r="BO2026" t="s">
        <v>13703</v>
      </c>
      <c r="BS2026">
        <v>30</v>
      </c>
      <c r="BW2026" t="str">
        <f>""</f>
        <v/>
      </c>
      <c r="CH2026" t="str">
        <f>""</f>
        <v/>
      </c>
      <c r="CS2026" t="str">
        <f>""</f>
        <v/>
      </c>
    </row>
    <row r="2027" spans="1:97" x14ac:dyDescent="0.25">
      <c r="A2027" t="s">
        <v>13704</v>
      </c>
      <c r="B2027" t="s">
        <v>104</v>
      </c>
      <c r="C2027" t="s">
        <v>7488</v>
      </c>
      <c r="D2027" t="s">
        <v>104</v>
      </c>
      <c r="E2027" t="s">
        <v>13705</v>
      </c>
      <c r="F2027" t="s">
        <v>108</v>
      </c>
      <c r="H2027" t="s">
        <v>13706</v>
      </c>
      <c r="I2027" t="s">
        <v>6646</v>
      </c>
      <c r="J2027" t="s">
        <v>111</v>
      </c>
      <c r="K2027" t="str">
        <f>"85086"</f>
        <v>85086</v>
      </c>
      <c r="L2027" t="s">
        <v>3161</v>
      </c>
      <c r="M2027" t="s">
        <v>13706</v>
      </c>
      <c r="N2027" t="s">
        <v>6646</v>
      </c>
      <c r="O2027" t="s">
        <v>111</v>
      </c>
      <c r="P2027" t="str">
        <f>"85086-8117"</f>
        <v>85086-8117</v>
      </c>
      <c r="Q2027" t="s">
        <v>113</v>
      </c>
      <c r="R2027" t="str">
        <f>"202-22-619"</f>
        <v>202-22-619</v>
      </c>
      <c r="S2027" t="s">
        <v>13707</v>
      </c>
      <c r="U2027">
        <v>2199</v>
      </c>
      <c r="V2027">
        <v>0</v>
      </c>
      <c r="W2027">
        <v>4</v>
      </c>
      <c r="X2027">
        <v>2005</v>
      </c>
      <c r="Z2027">
        <v>2</v>
      </c>
      <c r="AB2027">
        <v>0</v>
      </c>
      <c r="AC2027" t="s">
        <v>115</v>
      </c>
      <c r="AD2027">
        <v>2</v>
      </c>
      <c r="AE2027" t="s">
        <v>115</v>
      </c>
      <c r="AF2027">
        <v>0</v>
      </c>
      <c r="AG2027">
        <v>0</v>
      </c>
      <c r="AH2027" t="s">
        <v>116</v>
      </c>
      <c r="AI2027" s="1">
        <v>88778</v>
      </c>
      <c r="AJ2027" s="2">
        <v>0.28999999999999998</v>
      </c>
      <c r="AK2027" s="1">
        <v>303345</v>
      </c>
      <c r="AL2027" t="s">
        <v>117</v>
      </c>
      <c r="AM2027" t="s">
        <v>191</v>
      </c>
      <c r="AN2027">
        <v>5183</v>
      </c>
      <c r="AO2027">
        <v>0.12</v>
      </c>
      <c r="AR2027">
        <v>1</v>
      </c>
      <c r="AS2027" s="1">
        <v>21430</v>
      </c>
      <c r="AT2027" s="1">
        <v>4280</v>
      </c>
      <c r="AU2027" s="1">
        <v>17150</v>
      </c>
      <c r="AV2027">
        <v>80.03</v>
      </c>
      <c r="AX2027" s="1">
        <v>2273.44</v>
      </c>
      <c r="AY2027" t="s">
        <v>5380</v>
      </c>
      <c r="AZ2027" t="s">
        <v>5380</v>
      </c>
      <c r="BA2027" t="s">
        <v>378</v>
      </c>
      <c r="BB2027" s="3">
        <v>42681</v>
      </c>
      <c r="BD2027" t="s">
        <v>458</v>
      </c>
      <c r="BE2027" s="3">
        <v>42089</v>
      </c>
      <c r="BF2027" s="1">
        <v>217100</v>
      </c>
      <c r="BG2027" t="s">
        <v>13708</v>
      </c>
      <c r="BH2027" s="1">
        <v>98.73</v>
      </c>
      <c r="BI2027" s="1">
        <v>214567</v>
      </c>
      <c r="BJ2027" s="3">
        <v>42681</v>
      </c>
      <c r="BK2027" t="s">
        <v>123</v>
      </c>
      <c r="BL2027" t="str">
        <f>"2016.818819"</f>
        <v>2016.818819</v>
      </c>
      <c r="BM2027" t="s">
        <v>322</v>
      </c>
      <c r="BO2027" t="s">
        <v>13709</v>
      </c>
      <c r="BS2027">
        <v>30</v>
      </c>
      <c r="BW2027" t="str">
        <f>""</f>
        <v/>
      </c>
      <c r="CH2027" t="str">
        <f>""</f>
        <v/>
      </c>
      <c r="CS2027" t="str">
        <f>""</f>
        <v/>
      </c>
    </row>
    <row r="2028" spans="1:97" x14ac:dyDescent="0.25">
      <c r="A2028" t="s">
        <v>2852</v>
      </c>
      <c r="B2028" t="s">
        <v>13710</v>
      </c>
      <c r="E2028" t="s">
        <v>13711</v>
      </c>
      <c r="F2028" t="s">
        <v>108</v>
      </c>
      <c r="H2028" t="s">
        <v>13712</v>
      </c>
      <c r="I2028" t="s">
        <v>110</v>
      </c>
      <c r="J2028" t="s">
        <v>111</v>
      </c>
      <c r="K2028" t="str">
        <f>"85224"</f>
        <v>85224</v>
      </c>
      <c r="L2028" t="s">
        <v>6169</v>
      </c>
      <c r="M2028" t="s">
        <v>13712</v>
      </c>
      <c r="N2028" t="s">
        <v>110</v>
      </c>
      <c r="O2028" t="s">
        <v>111</v>
      </c>
      <c r="P2028" t="str">
        <f>"85224-2649"</f>
        <v>85224-2649</v>
      </c>
      <c r="Q2028" t="s">
        <v>113</v>
      </c>
      <c r="R2028" t="str">
        <f>"302-81-254"</f>
        <v>302-81-254</v>
      </c>
      <c r="S2028" t="s">
        <v>13713</v>
      </c>
      <c r="U2028">
        <v>1574</v>
      </c>
      <c r="V2028">
        <v>0</v>
      </c>
      <c r="W2028">
        <v>2</v>
      </c>
      <c r="X2028">
        <v>1982</v>
      </c>
      <c r="Z2028">
        <v>1</v>
      </c>
      <c r="AB2028">
        <v>0</v>
      </c>
      <c r="AC2028" t="s">
        <v>115</v>
      </c>
      <c r="AD2028">
        <v>2</v>
      </c>
      <c r="AE2028" t="s">
        <v>115</v>
      </c>
      <c r="AF2028">
        <v>0</v>
      </c>
      <c r="AG2028">
        <v>0</v>
      </c>
      <c r="AH2028" t="s">
        <v>116</v>
      </c>
      <c r="AI2028" s="1">
        <v>52732</v>
      </c>
      <c r="AJ2028" s="2">
        <v>0.19</v>
      </c>
      <c r="AK2028" s="1">
        <v>282569</v>
      </c>
      <c r="AL2028" t="s">
        <v>117</v>
      </c>
      <c r="AM2028" t="s">
        <v>5077</v>
      </c>
      <c r="AN2028">
        <v>7357</v>
      </c>
      <c r="AO2028">
        <v>0.17</v>
      </c>
      <c r="AP2028">
        <v>1</v>
      </c>
      <c r="AR2028">
        <v>1</v>
      </c>
      <c r="AS2028" s="1">
        <v>18700</v>
      </c>
      <c r="AT2028" s="1">
        <v>3740</v>
      </c>
      <c r="AU2028" s="1">
        <v>14960</v>
      </c>
      <c r="AV2028">
        <v>80</v>
      </c>
      <c r="AX2028" s="1">
        <v>1162.26</v>
      </c>
      <c r="AY2028" t="s">
        <v>5722</v>
      </c>
      <c r="AZ2028" t="s">
        <v>5078</v>
      </c>
      <c r="BA2028" t="s">
        <v>2957</v>
      </c>
      <c r="BE2028" s="3">
        <v>42537</v>
      </c>
      <c r="BF2028" s="1">
        <v>225000</v>
      </c>
      <c r="BG2028" t="s">
        <v>13714</v>
      </c>
      <c r="BH2028" s="1">
        <v>142.94999999999999</v>
      </c>
      <c r="BI2028" s="1">
        <v>229837</v>
      </c>
      <c r="BJ2028" s="3">
        <v>42537</v>
      </c>
      <c r="BK2028" t="s">
        <v>123</v>
      </c>
      <c r="BL2028" t="str">
        <f>"2016.420856"</f>
        <v>2016.420856</v>
      </c>
      <c r="BM2028" t="s">
        <v>135</v>
      </c>
      <c r="BO2028" t="s">
        <v>13715</v>
      </c>
      <c r="BS2028">
        <v>30</v>
      </c>
      <c r="BW2028" t="str">
        <f>""</f>
        <v/>
      </c>
      <c r="CH2028" t="str">
        <f>""</f>
        <v/>
      </c>
      <c r="CS2028" t="str">
        <f>""</f>
        <v/>
      </c>
    </row>
    <row r="2029" spans="1:97" x14ac:dyDescent="0.25">
      <c r="A2029" t="s">
        <v>1295</v>
      </c>
      <c r="B2029" t="s">
        <v>13716</v>
      </c>
      <c r="E2029" t="s">
        <v>13717</v>
      </c>
      <c r="F2029" t="s">
        <v>108</v>
      </c>
      <c r="H2029" t="s">
        <v>13718</v>
      </c>
      <c r="I2029" t="s">
        <v>453</v>
      </c>
      <c r="J2029" t="s">
        <v>111</v>
      </c>
      <c r="K2029" t="str">
        <f>"85382"</f>
        <v>85382</v>
      </c>
      <c r="L2029" t="s">
        <v>4159</v>
      </c>
      <c r="M2029" t="s">
        <v>13718</v>
      </c>
      <c r="N2029" t="s">
        <v>453</v>
      </c>
      <c r="O2029" t="s">
        <v>111</v>
      </c>
      <c r="P2029" t="str">
        <f>"85382-2823"</f>
        <v>85382-2823</v>
      </c>
      <c r="Q2029" t="s">
        <v>113</v>
      </c>
      <c r="R2029" t="str">
        <f>"233-06-065"</f>
        <v>233-06-065</v>
      </c>
      <c r="S2029" t="s">
        <v>9505</v>
      </c>
      <c r="U2029">
        <v>1701</v>
      </c>
      <c r="V2029">
        <v>0</v>
      </c>
      <c r="W2029">
        <v>3</v>
      </c>
      <c r="X2029">
        <v>2003</v>
      </c>
      <c r="Z2029">
        <v>1</v>
      </c>
      <c r="AA2029" t="s">
        <v>26</v>
      </c>
      <c r="AB2029">
        <v>0</v>
      </c>
      <c r="AC2029" t="s">
        <v>115</v>
      </c>
      <c r="AD2029">
        <v>2</v>
      </c>
      <c r="AE2029" t="s">
        <v>115</v>
      </c>
      <c r="AF2029">
        <v>0</v>
      </c>
      <c r="AG2029">
        <v>0</v>
      </c>
      <c r="AH2029" t="s">
        <v>116</v>
      </c>
      <c r="AI2029" s="1">
        <v>76012</v>
      </c>
      <c r="AJ2029" s="2">
        <v>0.25</v>
      </c>
      <c r="AK2029" s="1">
        <v>305747</v>
      </c>
      <c r="AL2029" t="s">
        <v>117</v>
      </c>
      <c r="AM2029" t="s">
        <v>118</v>
      </c>
      <c r="AN2029">
        <v>5705</v>
      </c>
      <c r="AO2029">
        <v>0.13</v>
      </c>
      <c r="AP2029">
        <v>1</v>
      </c>
      <c r="AR2029">
        <v>1</v>
      </c>
      <c r="AS2029" s="1">
        <v>21330</v>
      </c>
      <c r="AT2029" s="1">
        <v>4260</v>
      </c>
      <c r="AU2029" s="1">
        <v>17070</v>
      </c>
      <c r="AV2029">
        <v>80.03</v>
      </c>
      <c r="AX2029" s="1">
        <v>2035.8</v>
      </c>
      <c r="AY2029" t="s">
        <v>7828</v>
      </c>
      <c r="AZ2029" t="s">
        <v>7828</v>
      </c>
      <c r="BA2029" t="s">
        <v>4219</v>
      </c>
      <c r="BE2029" s="3">
        <v>42013</v>
      </c>
      <c r="BF2029" s="1">
        <v>224900</v>
      </c>
      <c r="BG2029" t="s">
        <v>13719</v>
      </c>
      <c r="BH2029" s="1">
        <v>132.22</v>
      </c>
      <c r="BI2029" s="1">
        <v>229735</v>
      </c>
      <c r="BJ2029" s="3">
        <v>42013</v>
      </c>
      <c r="BK2029" t="s">
        <v>123</v>
      </c>
      <c r="BL2029" t="str">
        <f>"2015.14788"</f>
        <v>2015.14788</v>
      </c>
      <c r="BM2029" t="s">
        <v>1038</v>
      </c>
      <c r="BN2029" t="s">
        <v>132</v>
      </c>
      <c r="BO2029" t="s">
        <v>13720</v>
      </c>
      <c r="BS2029">
        <v>30</v>
      </c>
      <c r="BW2029" t="str">
        <f>""</f>
        <v/>
      </c>
      <c r="CH2029" t="str">
        <f>""</f>
        <v/>
      </c>
      <c r="CS2029" t="str">
        <f>""</f>
        <v/>
      </c>
    </row>
    <row r="2030" spans="1:97" x14ac:dyDescent="0.25">
      <c r="A2030" t="s">
        <v>2374</v>
      </c>
      <c r="B2030" t="s">
        <v>13721</v>
      </c>
      <c r="C2030" t="s">
        <v>3265</v>
      </c>
      <c r="D2030" t="s">
        <v>13721</v>
      </c>
      <c r="E2030" t="s">
        <v>13722</v>
      </c>
      <c r="F2030" t="s">
        <v>108</v>
      </c>
      <c r="H2030" t="s">
        <v>13723</v>
      </c>
      <c r="I2030" t="s">
        <v>203</v>
      </c>
      <c r="J2030" t="s">
        <v>111</v>
      </c>
      <c r="K2030" t="str">
        <f>"85295"</f>
        <v>85295</v>
      </c>
      <c r="L2030" t="s">
        <v>7983</v>
      </c>
      <c r="M2030" t="s">
        <v>13723</v>
      </c>
      <c r="N2030" t="s">
        <v>203</v>
      </c>
      <c r="O2030" t="s">
        <v>111</v>
      </c>
      <c r="P2030" t="str">
        <f>"85295-7802"</f>
        <v>85295-7802</v>
      </c>
      <c r="Q2030" t="s">
        <v>113</v>
      </c>
      <c r="R2030" t="str">
        <f>"304-38-509"</f>
        <v>304-38-509</v>
      </c>
      <c r="S2030" t="s">
        <v>10343</v>
      </c>
      <c r="T2030" t="s">
        <v>10343</v>
      </c>
      <c r="U2030">
        <v>1359</v>
      </c>
      <c r="V2030">
        <v>0</v>
      </c>
      <c r="W2030">
        <v>3</v>
      </c>
      <c r="X2030">
        <v>2001</v>
      </c>
      <c r="Z2030">
        <v>1</v>
      </c>
      <c r="AB2030">
        <v>0</v>
      </c>
      <c r="AC2030" t="s">
        <v>115</v>
      </c>
      <c r="AD2030">
        <v>2</v>
      </c>
      <c r="AE2030" t="s">
        <v>115</v>
      </c>
      <c r="AF2030">
        <v>0</v>
      </c>
      <c r="AG2030">
        <v>0</v>
      </c>
      <c r="AH2030" t="s">
        <v>116</v>
      </c>
      <c r="AI2030" s="1">
        <v>59553</v>
      </c>
      <c r="AJ2030" s="2">
        <v>0.23</v>
      </c>
      <c r="AK2030" s="1">
        <v>263648</v>
      </c>
      <c r="AL2030" t="s">
        <v>117</v>
      </c>
      <c r="AM2030" t="s">
        <v>191</v>
      </c>
      <c r="AN2030">
        <v>6325</v>
      </c>
      <c r="AO2030">
        <v>0.14000000000000001</v>
      </c>
      <c r="AP2030">
        <v>1</v>
      </c>
      <c r="AR2030">
        <v>1</v>
      </c>
      <c r="AS2030" s="1">
        <v>17870</v>
      </c>
      <c r="AT2030" s="1">
        <v>3570</v>
      </c>
      <c r="AU2030" s="1">
        <v>14300</v>
      </c>
      <c r="AV2030">
        <v>80.02</v>
      </c>
      <c r="AX2030" s="1">
        <v>1370.86</v>
      </c>
      <c r="AY2030" t="s">
        <v>472</v>
      </c>
      <c r="AZ2030" t="s">
        <v>472</v>
      </c>
      <c r="BA2030" t="s">
        <v>473</v>
      </c>
      <c r="BE2030" s="3">
        <v>42321</v>
      </c>
      <c r="BF2030" s="1">
        <v>199800</v>
      </c>
      <c r="BG2030" t="s">
        <v>13724</v>
      </c>
      <c r="BH2030" s="1">
        <v>147.02000000000001</v>
      </c>
      <c r="BI2030" s="1">
        <v>204095</v>
      </c>
      <c r="BJ2030" s="3">
        <v>42321</v>
      </c>
      <c r="BK2030" t="s">
        <v>123</v>
      </c>
      <c r="BL2030" t="str">
        <f>"2015.814120"</f>
        <v>2015.814120</v>
      </c>
      <c r="BM2030" t="s">
        <v>594</v>
      </c>
      <c r="BO2030" t="s">
        <v>13725</v>
      </c>
      <c r="BS2030">
        <v>30</v>
      </c>
      <c r="BW2030" t="str">
        <f>""</f>
        <v/>
      </c>
      <c r="CH2030" t="str">
        <f>""</f>
        <v/>
      </c>
      <c r="CS2030" t="str">
        <f>""</f>
        <v/>
      </c>
    </row>
    <row r="2031" spans="1:97" x14ac:dyDescent="0.25">
      <c r="A2031" t="s">
        <v>13726</v>
      </c>
      <c r="B2031" t="s">
        <v>13727</v>
      </c>
      <c r="C2031" t="s">
        <v>2333</v>
      </c>
      <c r="D2031" t="s">
        <v>13727</v>
      </c>
      <c r="E2031" t="s">
        <v>13728</v>
      </c>
      <c r="F2031" t="s">
        <v>108</v>
      </c>
      <c r="H2031" t="s">
        <v>13729</v>
      </c>
      <c r="I2031" t="s">
        <v>453</v>
      </c>
      <c r="J2031" t="s">
        <v>111</v>
      </c>
      <c r="K2031" t="str">
        <f>"85345"</f>
        <v>85345</v>
      </c>
      <c r="L2031" t="s">
        <v>5308</v>
      </c>
      <c r="M2031" t="s">
        <v>13729</v>
      </c>
      <c r="N2031" t="s">
        <v>453</v>
      </c>
      <c r="O2031" t="s">
        <v>111</v>
      </c>
      <c r="P2031" t="str">
        <f>"85345-6777"</f>
        <v>85345-6777</v>
      </c>
      <c r="Q2031" t="s">
        <v>113</v>
      </c>
      <c r="R2031" t="str">
        <f>"142-12-262"</f>
        <v>142-12-262</v>
      </c>
      <c r="S2031" t="s">
        <v>13730</v>
      </c>
      <c r="T2031" t="s">
        <v>13731</v>
      </c>
      <c r="U2031">
        <v>2328</v>
      </c>
      <c r="V2031">
        <v>0</v>
      </c>
      <c r="W2031">
        <v>3</v>
      </c>
      <c r="X2031">
        <v>1992</v>
      </c>
      <c r="Z2031">
        <v>2</v>
      </c>
      <c r="AA2031" t="s">
        <v>26</v>
      </c>
      <c r="AB2031">
        <v>0</v>
      </c>
      <c r="AC2031" t="s">
        <v>115</v>
      </c>
      <c r="AD2031">
        <v>2</v>
      </c>
      <c r="AE2031" t="s">
        <v>115</v>
      </c>
      <c r="AF2031">
        <v>0</v>
      </c>
      <c r="AG2031">
        <v>0</v>
      </c>
      <c r="AH2031" t="s">
        <v>116</v>
      </c>
      <c r="AI2031" s="1">
        <v>-42732</v>
      </c>
      <c r="AJ2031" s="2">
        <v>-0.19</v>
      </c>
      <c r="AK2031" s="1">
        <v>227242</v>
      </c>
      <c r="AL2031" t="s">
        <v>117</v>
      </c>
      <c r="AM2031" t="s">
        <v>3345</v>
      </c>
      <c r="AN2031">
        <v>9426</v>
      </c>
      <c r="AO2031">
        <v>0.22</v>
      </c>
      <c r="AP2031">
        <v>1</v>
      </c>
      <c r="AR2031">
        <v>1</v>
      </c>
      <c r="AS2031" s="1">
        <v>20050</v>
      </c>
      <c r="AT2031" s="1">
        <v>4010</v>
      </c>
      <c r="AU2031" s="1">
        <v>16040</v>
      </c>
      <c r="AV2031">
        <v>80</v>
      </c>
      <c r="AX2031" s="1">
        <v>1335.32</v>
      </c>
      <c r="AY2031" t="s">
        <v>10781</v>
      </c>
      <c r="AZ2031" t="s">
        <v>10781</v>
      </c>
      <c r="BA2031" t="s">
        <v>4007</v>
      </c>
      <c r="BE2031" s="3">
        <v>41991</v>
      </c>
      <c r="BF2031" s="1">
        <v>194500</v>
      </c>
      <c r="BG2031" t="s">
        <v>13732</v>
      </c>
      <c r="BH2031" s="1">
        <v>83.55</v>
      </c>
      <c r="BI2031" s="1">
        <v>269974</v>
      </c>
      <c r="BJ2031" s="3">
        <v>43579</v>
      </c>
      <c r="BK2031" t="s">
        <v>123</v>
      </c>
      <c r="BL2031" t="str">
        <f>"2019.289051"</f>
        <v>2019.289051</v>
      </c>
      <c r="BM2031" t="s">
        <v>2716</v>
      </c>
      <c r="BN2031" t="s">
        <v>13572</v>
      </c>
      <c r="BO2031" t="s">
        <v>13733</v>
      </c>
      <c r="BP2031" t="s">
        <v>13734</v>
      </c>
      <c r="BR2031" t="s">
        <v>139</v>
      </c>
      <c r="BT2031" s="1">
        <v>269974</v>
      </c>
      <c r="BU2031" s="3">
        <v>43579</v>
      </c>
      <c r="BV2031" t="s">
        <v>123</v>
      </c>
      <c r="BW2031" t="str">
        <f>"2019.289051"</f>
        <v>2019.289051</v>
      </c>
      <c r="BX2031" t="s">
        <v>2716</v>
      </c>
      <c r="BY2031" t="s">
        <v>13572</v>
      </c>
      <c r="BZ2031" t="s">
        <v>13733</v>
      </c>
      <c r="CA2031" t="s">
        <v>13734</v>
      </c>
      <c r="CC2031" t="s">
        <v>139</v>
      </c>
      <c r="CH2031" t="str">
        <f>""</f>
        <v/>
      </c>
      <c r="CS2031" t="str">
        <f>""</f>
        <v/>
      </c>
    </row>
    <row r="2032" spans="1:97" x14ac:dyDescent="0.25">
      <c r="A2032" t="s">
        <v>13735</v>
      </c>
      <c r="B2032" t="s">
        <v>163</v>
      </c>
      <c r="E2032" t="s">
        <v>13736</v>
      </c>
      <c r="F2032" t="s">
        <v>108</v>
      </c>
      <c r="H2032" t="s">
        <v>13737</v>
      </c>
      <c r="I2032" t="s">
        <v>390</v>
      </c>
      <c r="J2032" t="s">
        <v>111</v>
      </c>
      <c r="K2032" t="str">
        <f>"85048"</f>
        <v>85048</v>
      </c>
      <c r="L2032" t="s">
        <v>6631</v>
      </c>
      <c r="M2032" t="s">
        <v>13737</v>
      </c>
      <c r="N2032" t="s">
        <v>390</v>
      </c>
      <c r="O2032" t="s">
        <v>111</v>
      </c>
      <c r="P2032" t="str">
        <f>"85048"</f>
        <v>85048</v>
      </c>
      <c r="Q2032" t="s">
        <v>113</v>
      </c>
      <c r="R2032" t="str">
        <f>"301-69-405"</f>
        <v>301-69-405</v>
      </c>
      <c r="S2032" t="s">
        <v>10128</v>
      </c>
      <c r="T2032" t="s">
        <v>10129</v>
      </c>
      <c r="U2032">
        <v>1700</v>
      </c>
      <c r="V2032">
        <v>0</v>
      </c>
      <c r="W2032">
        <v>3</v>
      </c>
      <c r="X2032">
        <v>1987</v>
      </c>
      <c r="Z2032">
        <v>1</v>
      </c>
      <c r="AA2032" t="s">
        <v>26</v>
      </c>
      <c r="AB2032">
        <v>0</v>
      </c>
      <c r="AC2032" t="s">
        <v>115</v>
      </c>
      <c r="AD2032">
        <v>2</v>
      </c>
      <c r="AE2032" t="s">
        <v>115</v>
      </c>
      <c r="AF2032">
        <v>0</v>
      </c>
      <c r="AG2032">
        <v>0</v>
      </c>
      <c r="AH2032" t="s">
        <v>116</v>
      </c>
      <c r="AI2032" s="1">
        <v>64085</v>
      </c>
      <c r="AJ2032" s="2">
        <v>0.21</v>
      </c>
      <c r="AK2032" s="1">
        <v>309245</v>
      </c>
      <c r="AL2032" t="s">
        <v>117</v>
      </c>
      <c r="AM2032" t="s">
        <v>191</v>
      </c>
      <c r="AN2032">
        <v>6592</v>
      </c>
      <c r="AO2032">
        <v>0.15</v>
      </c>
      <c r="AP2032">
        <v>1</v>
      </c>
      <c r="AR2032">
        <v>1</v>
      </c>
      <c r="AS2032" s="1">
        <v>21500</v>
      </c>
      <c r="AT2032" s="1">
        <v>4300</v>
      </c>
      <c r="AU2032" s="1">
        <v>17200</v>
      </c>
      <c r="AV2032">
        <v>80</v>
      </c>
      <c r="AX2032" s="1">
        <v>1813.92</v>
      </c>
      <c r="AY2032" t="s">
        <v>6633</v>
      </c>
      <c r="AZ2032" t="s">
        <v>929</v>
      </c>
      <c r="BA2032" t="s">
        <v>930</v>
      </c>
      <c r="BE2032" s="3">
        <v>42433</v>
      </c>
      <c r="BF2032" s="1">
        <v>240000</v>
      </c>
      <c r="BG2032" t="s">
        <v>13738</v>
      </c>
      <c r="BH2032" s="1">
        <v>141.18</v>
      </c>
      <c r="BI2032" s="1">
        <v>245160</v>
      </c>
      <c r="BJ2032" s="3">
        <v>42433</v>
      </c>
      <c r="BK2032" t="s">
        <v>123</v>
      </c>
      <c r="BL2032" t="str">
        <f>"2016.141119"</f>
        <v>2016.141119</v>
      </c>
      <c r="BM2032" t="s">
        <v>2683</v>
      </c>
      <c r="BO2032" t="s">
        <v>13739</v>
      </c>
      <c r="BS2032">
        <v>30</v>
      </c>
      <c r="BW2032" t="str">
        <f>""</f>
        <v/>
      </c>
      <c r="CH2032" t="str">
        <f>""</f>
        <v/>
      </c>
      <c r="CS2032" t="str">
        <f>""</f>
        <v/>
      </c>
    </row>
    <row r="2033" spans="1:97" x14ac:dyDescent="0.25">
      <c r="A2033" t="s">
        <v>2537</v>
      </c>
      <c r="B2033" t="s">
        <v>13740</v>
      </c>
      <c r="C2033" t="s">
        <v>1845</v>
      </c>
      <c r="D2033" t="s">
        <v>13740</v>
      </c>
      <c r="E2033" t="s">
        <v>13741</v>
      </c>
      <c r="F2033" t="s">
        <v>108</v>
      </c>
      <c r="H2033" t="s">
        <v>13742</v>
      </c>
      <c r="I2033" t="s">
        <v>2874</v>
      </c>
      <c r="J2033" t="s">
        <v>111</v>
      </c>
      <c r="K2033" t="str">
        <f>"85308"</f>
        <v>85308</v>
      </c>
      <c r="L2033" t="s">
        <v>8462</v>
      </c>
      <c r="M2033" t="s">
        <v>13742</v>
      </c>
      <c r="N2033" t="s">
        <v>2874</v>
      </c>
      <c r="O2033" t="s">
        <v>111</v>
      </c>
      <c r="P2033" t="str">
        <f>"85308-2919"</f>
        <v>85308-2919</v>
      </c>
      <c r="Q2033" t="s">
        <v>113</v>
      </c>
      <c r="R2033" t="str">
        <f>"207-18-496"</f>
        <v>207-18-496</v>
      </c>
      <c r="S2033" t="s">
        <v>13743</v>
      </c>
      <c r="T2033" t="s">
        <v>8465</v>
      </c>
      <c r="U2033">
        <v>1234</v>
      </c>
      <c r="V2033">
        <v>0</v>
      </c>
      <c r="W2033">
        <v>3</v>
      </c>
      <c r="X2033">
        <v>1983</v>
      </c>
      <c r="Z2033">
        <v>1</v>
      </c>
      <c r="AA2033" t="s">
        <v>26</v>
      </c>
      <c r="AB2033">
        <v>0</v>
      </c>
      <c r="AC2033" t="s">
        <v>115</v>
      </c>
      <c r="AD2033">
        <v>2</v>
      </c>
      <c r="AE2033" t="s">
        <v>115</v>
      </c>
      <c r="AF2033">
        <v>0</v>
      </c>
      <c r="AG2033">
        <v>0</v>
      </c>
      <c r="AH2033" t="s">
        <v>116</v>
      </c>
      <c r="AI2033" s="1">
        <v>18311</v>
      </c>
      <c r="AJ2033" s="2">
        <v>0.08</v>
      </c>
      <c r="AK2033" s="1">
        <v>226977</v>
      </c>
      <c r="AL2033" t="s">
        <v>117</v>
      </c>
      <c r="AM2033" t="s">
        <v>171</v>
      </c>
      <c r="AN2033">
        <v>8233</v>
      </c>
      <c r="AO2033">
        <v>0.19</v>
      </c>
      <c r="AP2033">
        <v>1</v>
      </c>
      <c r="AR2033">
        <v>1</v>
      </c>
      <c r="AS2033" s="1">
        <v>17010</v>
      </c>
      <c r="AT2033" s="1">
        <v>3400</v>
      </c>
      <c r="AU2033" s="1">
        <v>13610</v>
      </c>
      <c r="AV2033">
        <v>80.010000000000005</v>
      </c>
      <c r="AX2033" s="1">
        <v>1150.26</v>
      </c>
      <c r="AY2033" t="s">
        <v>8466</v>
      </c>
      <c r="AZ2033" t="s">
        <v>5142</v>
      </c>
      <c r="BA2033" t="s">
        <v>5143</v>
      </c>
      <c r="BE2033" s="3">
        <v>41915</v>
      </c>
      <c r="BF2033" s="1">
        <v>150000</v>
      </c>
      <c r="BG2033" t="s">
        <v>13744</v>
      </c>
      <c r="BH2033" s="1">
        <v>121.56</v>
      </c>
      <c r="BI2033" s="1">
        <v>208666</v>
      </c>
      <c r="BJ2033" s="3">
        <v>43046</v>
      </c>
      <c r="BK2033" t="s">
        <v>123</v>
      </c>
      <c r="BL2033" t="str">
        <f>"2017.826103"</f>
        <v>2017.826103</v>
      </c>
      <c r="BM2033" t="s">
        <v>13745</v>
      </c>
      <c r="BO2033" t="s">
        <v>13746</v>
      </c>
      <c r="BP2033" t="s">
        <v>13747</v>
      </c>
      <c r="BS2033">
        <v>30</v>
      </c>
      <c r="BW2033" t="str">
        <f>""</f>
        <v/>
      </c>
      <c r="CH2033" t="str">
        <f>""</f>
        <v/>
      </c>
      <c r="CS2033" t="str">
        <f>""</f>
        <v/>
      </c>
    </row>
    <row r="2034" spans="1:97" x14ac:dyDescent="0.25">
      <c r="A2034" t="s">
        <v>265</v>
      </c>
      <c r="B2034" t="s">
        <v>13748</v>
      </c>
      <c r="C2034" t="s">
        <v>13749</v>
      </c>
      <c r="D2034" t="s">
        <v>13748</v>
      </c>
      <c r="E2034" t="s">
        <v>13750</v>
      </c>
      <c r="F2034" t="s">
        <v>108</v>
      </c>
      <c r="H2034" t="s">
        <v>13751</v>
      </c>
      <c r="I2034" t="s">
        <v>5114</v>
      </c>
      <c r="J2034" t="s">
        <v>111</v>
      </c>
      <c r="K2034" t="str">
        <f>"85323"</f>
        <v>85323</v>
      </c>
      <c r="L2034" t="s">
        <v>189</v>
      </c>
      <c r="M2034" t="s">
        <v>13751</v>
      </c>
      <c r="N2034" t="s">
        <v>5114</v>
      </c>
      <c r="O2034" t="s">
        <v>111</v>
      </c>
      <c r="P2034" t="str">
        <f>"85323-3303"</f>
        <v>85323-3303</v>
      </c>
      <c r="Q2034" t="s">
        <v>113</v>
      </c>
      <c r="R2034" t="str">
        <f>"101-01-689"</f>
        <v>101-01-689</v>
      </c>
      <c r="S2034" t="s">
        <v>9031</v>
      </c>
      <c r="T2034" t="s">
        <v>9032</v>
      </c>
      <c r="U2034">
        <v>3035</v>
      </c>
      <c r="V2034">
        <v>0</v>
      </c>
      <c r="W2034">
        <v>4</v>
      </c>
      <c r="X2034">
        <v>2006</v>
      </c>
      <c r="Z2034">
        <v>2</v>
      </c>
      <c r="AB2034">
        <v>0</v>
      </c>
      <c r="AC2034" t="s">
        <v>115</v>
      </c>
      <c r="AD2034">
        <v>2</v>
      </c>
      <c r="AE2034" t="s">
        <v>115</v>
      </c>
      <c r="AF2034">
        <v>0</v>
      </c>
      <c r="AG2034">
        <v>0</v>
      </c>
      <c r="AH2034" t="s">
        <v>116</v>
      </c>
      <c r="AI2034" s="1">
        <v>60169</v>
      </c>
      <c r="AJ2034" s="2">
        <v>0.19</v>
      </c>
      <c r="AK2034" s="1">
        <v>314169</v>
      </c>
      <c r="AL2034" t="s">
        <v>117</v>
      </c>
      <c r="AM2034" t="s">
        <v>118</v>
      </c>
      <c r="AN2034">
        <v>6866</v>
      </c>
      <c r="AO2034">
        <v>0.16</v>
      </c>
      <c r="AR2034">
        <v>1</v>
      </c>
      <c r="AS2034" s="1">
        <v>22430</v>
      </c>
      <c r="AT2034" s="1">
        <v>4480</v>
      </c>
      <c r="AU2034" s="1">
        <v>17950</v>
      </c>
      <c r="AV2034">
        <v>80.03</v>
      </c>
      <c r="AX2034" s="1">
        <v>2218.34</v>
      </c>
      <c r="AY2034" t="s">
        <v>9033</v>
      </c>
      <c r="AZ2034" t="s">
        <v>9033</v>
      </c>
      <c r="BA2034" t="s">
        <v>4254</v>
      </c>
      <c r="BE2034" s="3">
        <v>42179</v>
      </c>
      <c r="BF2034" s="1">
        <v>235000</v>
      </c>
      <c r="BG2034" t="s">
        <v>13752</v>
      </c>
      <c r="BH2034" s="1">
        <v>77.430000000000007</v>
      </c>
      <c r="BI2034" s="1">
        <v>254000</v>
      </c>
      <c r="BJ2034" s="3">
        <v>42998</v>
      </c>
      <c r="BK2034" t="s">
        <v>123</v>
      </c>
      <c r="BL2034" t="str">
        <f>"2017.693485"</f>
        <v>2017.693485</v>
      </c>
      <c r="BM2034" t="s">
        <v>10866</v>
      </c>
      <c r="BO2034" t="s">
        <v>13753</v>
      </c>
      <c r="BS2034">
        <v>30</v>
      </c>
      <c r="BW2034" t="str">
        <f>""</f>
        <v/>
      </c>
      <c r="CH2034" t="str">
        <f>""</f>
        <v/>
      </c>
      <c r="CS2034" t="str">
        <f>""</f>
        <v/>
      </c>
    </row>
    <row r="2035" spans="1:97" x14ac:dyDescent="0.25">
      <c r="A2035" t="s">
        <v>589</v>
      </c>
      <c r="B2035" t="s">
        <v>13754</v>
      </c>
      <c r="C2035" t="s">
        <v>703</v>
      </c>
      <c r="D2035" t="s">
        <v>13755</v>
      </c>
      <c r="E2035" t="s">
        <v>13756</v>
      </c>
      <c r="F2035" t="s">
        <v>282</v>
      </c>
      <c r="H2035" t="s">
        <v>13757</v>
      </c>
      <c r="I2035" t="s">
        <v>5551</v>
      </c>
      <c r="J2035" t="s">
        <v>111</v>
      </c>
      <c r="K2035" t="str">
        <f>"85248"</f>
        <v>85248</v>
      </c>
      <c r="L2035" t="s">
        <v>316</v>
      </c>
      <c r="M2035" t="s">
        <v>13758</v>
      </c>
      <c r="N2035" t="s">
        <v>13759</v>
      </c>
      <c r="O2035" t="s">
        <v>10904</v>
      </c>
      <c r="P2035" t="str">
        <f>"80908-5005"</f>
        <v>80908-5005</v>
      </c>
      <c r="Q2035" t="s">
        <v>113</v>
      </c>
      <c r="R2035" t="str">
        <f>"303-66-809"</f>
        <v>303-66-809</v>
      </c>
      <c r="S2035" t="s">
        <v>13760</v>
      </c>
      <c r="U2035">
        <v>1967</v>
      </c>
      <c r="V2035">
        <v>0</v>
      </c>
      <c r="W2035">
        <v>3</v>
      </c>
      <c r="X2035">
        <v>1984</v>
      </c>
      <c r="Z2035">
        <v>1</v>
      </c>
      <c r="AB2035">
        <v>0</v>
      </c>
      <c r="AC2035" t="s">
        <v>115</v>
      </c>
      <c r="AD2035">
        <v>2</v>
      </c>
      <c r="AE2035" t="s">
        <v>115</v>
      </c>
      <c r="AF2035">
        <v>0</v>
      </c>
      <c r="AG2035">
        <v>0</v>
      </c>
      <c r="AH2035" t="s">
        <v>116</v>
      </c>
      <c r="AI2035" s="1">
        <v>67933</v>
      </c>
      <c r="AJ2035" s="2">
        <v>0.23</v>
      </c>
      <c r="AK2035" s="1">
        <v>299325</v>
      </c>
      <c r="AL2035" t="s">
        <v>117</v>
      </c>
      <c r="AM2035" t="s">
        <v>191</v>
      </c>
      <c r="AN2035">
        <v>7044</v>
      </c>
      <c r="AO2035">
        <v>0.16</v>
      </c>
      <c r="AP2035">
        <v>1</v>
      </c>
      <c r="AR2035">
        <v>1</v>
      </c>
      <c r="AS2035" s="1">
        <v>19720</v>
      </c>
      <c r="AT2035" s="1">
        <v>3940</v>
      </c>
      <c r="AU2035" s="1">
        <v>15780</v>
      </c>
      <c r="AV2035">
        <v>80.02</v>
      </c>
      <c r="AX2035" s="1">
        <v>2453.34</v>
      </c>
      <c r="AY2035" t="s">
        <v>1881</v>
      </c>
      <c r="AZ2035" t="s">
        <v>1882</v>
      </c>
      <c r="BA2035" t="s">
        <v>121</v>
      </c>
      <c r="BB2035" s="3">
        <v>42647</v>
      </c>
      <c r="BD2035" t="s">
        <v>458</v>
      </c>
      <c r="BE2035" s="3">
        <v>42374</v>
      </c>
      <c r="BF2035" s="1">
        <v>224000</v>
      </c>
      <c r="BG2035" t="s">
        <v>13761</v>
      </c>
      <c r="BH2035" s="1">
        <v>113.88</v>
      </c>
      <c r="BI2035" s="1">
        <v>231392</v>
      </c>
      <c r="BJ2035" s="3">
        <v>42374</v>
      </c>
      <c r="BK2035" t="s">
        <v>123</v>
      </c>
      <c r="BL2035" t="str">
        <f>"2016.5567"</f>
        <v>2016.5567</v>
      </c>
      <c r="BM2035" t="s">
        <v>1325</v>
      </c>
      <c r="BO2035" t="s">
        <v>13762</v>
      </c>
      <c r="BS2035">
        <v>30</v>
      </c>
      <c r="BW2035" t="str">
        <f>""</f>
        <v/>
      </c>
      <c r="CH2035" t="str">
        <f>""</f>
        <v/>
      </c>
      <c r="CS2035" t="str">
        <f>""</f>
        <v/>
      </c>
    </row>
    <row r="2036" spans="1:97" x14ac:dyDescent="0.25">
      <c r="A2036" t="s">
        <v>3258</v>
      </c>
      <c r="B2036" t="s">
        <v>13763</v>
      </c>
      <c r="E2036" t="s">
        <v>13764</v>
      </c>
      <c r="F2036" t="s">
        <v>108</v>
      </c>
      <c r="H2036" t="s">
        <v>13765</v>
      </c>
      <c r="I2036" t="s">
        <v>225</v>
      </c>
      <c r="J2036" t="s">
        <v>111</v>
      </c>
      <c r="K2036" t="str">
        <f>"85208"</f>
        <v>85208</v>
      </c>
      <c r="L2036" t="s">
        <v>5400</v>
      </c>
      <c r="M2036" t="s">
        <v>13765</v>
      </c>
      <c r="N2036" t="s">
        <v>225</v>
      </c>
      <c r="O2036" t="s">
        <v>111</v>
      </c>
      <c r="P2036" t="str">
        <f>"85208-7139"</f>
        <v>85208-7139</v>
      </c>
      <c r="Q2036" t="s">
        <v>113</v>
      </c>
      <c r="R2036" t="str">
        <f>"220-71-219"</f>
        <v>220-71-219</v>
      </c>
      <c r="S2036" t="s">
        <v>13766</v>
      </c>
      <c r="T2036" t="s">
        <v>13767</v>
      </c>
      <c r="U2036">
        <v>1627</v>
      </c>
      <c r="V2036">
        <v>0</v>
      </c>
      <c r="W2036">
        <v>3</v>
      </c>
      <c r="X2036">
        <v>1998</v>
      </c>
      <c r="Z2036">
        <v>1</v>
      </c>
      <c r="AB2036">
        <v>0</v>
      </c>
      <c r="AC2036" t="s">
        <v>115</v>
      </c>
      <c r="AD2036">
        <v>2</v>
      </c>
      <c r="AE2036" t="s">
        <v>115</v>
      </c>
      <c r="AF2036">
        <v>0</v>
      </c>
      <c r="AG2036">
        <v>0</v>
      </c>
      <c r="AH2036" t="s">
        <v>116</v>
      </c>
      <c r="AI2036" s="1">
        <v>58317</v>
      </c>
      <c r="AJ2036" s="2">
        <v>0.22</v>
      </c>
      <c r="AK2036" s="1">
        <v>267448</v>
      </c>
      <c r="AL2036" t="s">
        <v>117</v>
      </c>
      <c r="AM2036" t="s">
        <v>191</v>
      </c>
      <c r="AN2036">
        <v>6608</v>
      </c>
      <c r="AO2036">
        <v>0.15</v>
      </c>
      <c r="AP2036">
        <v>1</v>
      </c>
      <c r="AR2036">
        <v>1</v>
      </c>
      <c r="AS2036" s="1">
        <v>18660</v>
      </c>
      <c r="AT2036" s="1">
        <v>3730</v>
      </c>
      <c r="AU2036" s="1">
        <v>14930</v>
      </c>
      <c r="AV2036">
        <v>80.010000000000005</v>
      </c>
      <c r="AX2036" s="1">
        <v>1307.04</v>
      </c>
      <c r="AY2036" t="s">
        <v>272</v>
      </c>
      <c r="AZ2036" t="s">
        <v>3761</v>
      </c>
      <c r="BA2036" t="s">
        <v>232</v>
      </c>
      <c r="BE2036" s="3">
        <v>42360</v>
      </c>
      <c r="BF2036" s="1">
        <v>205000</v>
      </c>
      <c r="BG2036" t="s">
        <v>13768</v>
      </c>
      <c r="BH2036" s="1">
        <v>126</v>
      </c>
      <c r="BI2036" s="1">
        <v>209131</v>
      </c>
      <c r="BJ2036" s="3">
        <v>42675</v>
      </c>
      <c r="BK2036" t="s">
        <v>123</v>
      </c>
      <c r="BL2036" t="str">
        <f>"2016.804387"</f>
        <v>2016.804387</v>
      </c>
      <c r="BM2036" t="s">
        <v>955</v>
      </c>
      <c r="BO2036" t="s">
        <v>13769</v>
      </c>
      <c r="BS2036">
        <v>30</v>
      </c>
      <c r="BW2036" t="str">
        <f>""</f>
        <v/>
      </c>
      <c r="CH2036" t="str">
        <f>""</f>
        <v/>
      </c>
      <c r="CS2036" t="str">
        <f>""</f>
        <v/>
      </c>
    </row>
    <row r="2037" spans="1:97" x14ac:dyDescent="0.25">
      <c r="A2037" t="s">
        <v>1335</v>
      </c>
      <c r="B2037" t="s">
        <v>13770</v>
      </c>
      <c r="C2037" t="s">
        <v>1444</v>
      </c>
      <c r="D2037" t="s">
        <v>13770</v>
      </c>
      <c r="E2037" t="s">
        <v>13771</v>
      </c>
      <c r="F2037" t="s">
        <v>108</v>
      </c>
      <c r="H2037" t="s">
        <v>13772</v>
      </c>
      <c r="I2037" t="s">
        <v>499</v>
      </c>
      <c r="J2037" t="s">
        <v>111</v>
      </c>
      <c r="K2037" t="str">
        <f>"85338"</f>
        <v>85338</v>
      </c>
      <c r="L2037" t="s">
        <v>2765</v>
      </c>
      <c r="M2037" t="s">
        <v>13772</v>
      </c>
      <c r="N2037" t="s">
        <v>499</v>
      </c>
      <c r="O2037" t="s">
        <v>111</v>
      </c>
      <c r="P2037" t="str">
        <f>"85338-7638"</f>
        <v>85338-7638</v>
      </c>
      <c r="Q2037" t="s">
        <v>113</v>
      </c>
      <c r="R2037" t="str">
        <f>"502-44-524"</f>
        <v>502-44-524</v>
      </c>
      <c r="S2037" t="s">
        <v>13773</v>
      </c>
      <c r="T2037" t="s">
        <v>5102</v>
      </c>
      <c r="U2037">
        <v>1739</v>
      </c>
      <c r="V2037">
        <v>0</v>
      </c>
      <c r="W2037">
        <v>2</v>
      </c>
      <c r="X2037">
        <v>2013</v>
      </c>
      <c r="Z2037">
        <v>1</v>
      </c>
      <c r="AB2037">
        <v>0</v>
      </c>
      <c r="AC2037" t="s">
        <v>115</v>
      </c>
      <c r="AD2037">
        <v>2</v>
      </c>
      <c r="AE2037" t="s">
        <v>115</v>
      </c>
      <c r="AF2037">
        <v>0</v>
      </c>
      <c r="AG2037">
        <v>0</v>
      </c>
      <c r="AH2037" t="s">
        <v>116</v>
      </c>
      <c r="AI2037" s="1">
        <v>41459</v>
      </c>
      <c r="AJ2037" s="2">
        <v>0.16</v>
      </c>
      <c r="AK2037" s="1">
        <v>258389</v>
      </c>
      <c r="AL2037" t="s">
        <v>117</v>
      </c>
      <c r="AM2037" t="s">
        <v>118</v>
      </c>
      <c r="AN2037">
        <v>6435</v>
      </c>
      <c r="AO2037">
        <v>0.15</v>
      </c>
      <c r="AR2037">
        <v>1</v>
      </c>
      <c r="AS2037" s="1">
        <v>18230</v>
      </c>
      <c r="AT2037" s="1">
        <v>3640</v>
      </c>
      <c r="AU2037" s="1">
        <v>14590</v>
      </c>
      <c r="AV2037">
        <v>80.03</v>
      </c>
      <c r="AX2037" s="1">
        <v>1436.68</v>
      </c>
      <c r="AY2037" t="s">
        <v>2767</v>
      </c>
      <c r="AZ2037" t="s">
        <v>2767</v>
      </c>
      <c r="BA2037" t="s">
        <v>1247</v>
      </c>
      <c r="BB2037" s="3">
        <v>42823</v>
      </c>
      <c r="BD2037" t="s">
        <v>240</v>
      </c>
      <c r="BE2037" s="3">
        <v>41712</v>
      </c>
      <c r="BF2037" s="1">
        <v>180412</v>
      </c>
      <c r="BG2037" t="s">
        <v>275</v>
      </c>
      <c r="BH2037" s="1">
        <v>103.74</v>
      </c>
      <c r="BI2037" s="1">
        <v>216930</v>
      </c>
      <c r="BJ2037" s="3">
        <v>42823</v>
      </c>
      <c r="BK2037" t="s">
        <v>123</v>
      </c>
      <c r="BL2037" t="str">
        <f>"2017.220593"</f>
        <v>2017.220593</v>
      </c>
      <c r="BM2037" t="s">
        <v>1135</v>
      </c>
      <c r="BO2037" t="s">
        <v>13774</v>
      </c>
      <c r="BS2037">
        <v>30</v>
      </c>
      <c r="BW2037" t="str">
        <f>""</f>
        <v/>
      </c>
      <c r="CH2037" t="str">
        <f>""</f>
        <v/>
      </c>
      <c r="CS2037" t="str">
        <f>""</f>
        <v/>
      </c>
    </row>
    <row r="2038" spans="1:97" x14ac:dyDescent="0.25">
      <c r="A2038" t="s">
        <v>639</v>
      </c>
      <c r="B2038" t="s">
        <v>13775</v>
      </c>
      <c r="C2038" t="s">
        <v>13776</v>
      </c>
      <c r="D2038" t="s">
        <v>13775</v>
      </c>
      <c r="E2038" t="s">
        <v>13777</v>
      </c>
      <c r="F2038" t="s">
        <v>108</v>
      </c>
      <c r="H2038" t="s">
        <v>13778</v>
      </c>
      <c r="I2038" t="s">
        <v>632</v>
      </c>
      <c r="J2038" t="s">
        <v>111</v>
      </c>
      <c r="K2038" t="str">
        <f>"85374"</f>
        <v>85374</v>
      </c>
      <c r="L2038" t="s">
        <v>7147</v>
      </c>
      <c r="M2038" t="s">
        <v>13778</v>
      </c>
      <c r="N2038" t="s">
        <v>632</v>
      </c>
      <c r="O2038" t="s">
        <v>111</v>
      </c>
      <c r="P2038" t="str">
        <f>"85374-7328"</f>
        <v>85374-7328</v>
      </c>
      <c r="Q2038" t="s">
        <v>113</v>
      </c>
      <c r="R2038" t="str">
        <f>"503-76-251"</f>
        <v>503-76-251</v>
      </c>
      <c r="S2038" t="s">
        <v>13779</v>
      </c>
      <c r="U2038">
        <v>2199</v>
      </c>
      <c r="V2038">
        <v>0</v>
      </c>
      <c r="W2038">
        <v>4</v>
      </c>
      <c r="X2038">
        <v>2006</v>
      </c>
      <c r="Z2038">
        <v>1</v>
      </c>
      <c r="AB2038">
        <v>0</v>
      </c>
      <c r="AC2038" t="s">
        <v>115</v>
      </c>
      <c r="AD2038">
        <v>3</v>
      </c>
      <c r="AE2038" t="s">
        <v>115</v>
      </c>
      <c r="AF2038">
        <v>0</v>
      </c>
      <c r="AG2038">
        <v>0</v>
      </c>
      <c r="AH2038" t="s">
        <v>116</v>
      </c>
      <c r="AI2038" s="1">
        <v>98019</v>
      </c>
      <c r="AJ2038" s="2">
        <v>0.26</v>
      </c>
      <c r="AK2038" s="1">
        <v>374533</v>
      </c>
      <c r="AL2038" t="s">
        <v>117</v>
      </c>
      <c r="AM2038" t="s">
        <v>118</v>
      </c>
      <c r="AN2038">
        <v>8862</v>
      </c>
      <c r="AO2038">
        <v>0.2</v>
      </c>
      <c r="AR2038">
        <v>1</v>
      </c>
      <c r="AS2038" s="1">
        <v>27970</v>
      </c>
      <c r="AT2038" s="1">
        <v>5590</v>
      </c>
      <c r="AU2038" s="1">
        <v>22380</v>
      </c>
      <c r="AV2038">
        <v>80.010000000000005</v>
      </c>
      <c r="AX2038" s="1">
        <v>2416.48</v>
      </c>
      <c r="AY2038" t="s">
        <v>5168</v>
      </c>
      <c r="AZ2038" t="s">
        <v>5168</v>
      </c>
      <c r="BA2038" t="s">
        <v>5109</v>
      </c>
      <c r="BE2038" s="3">
        <v>42361</v>
      </c>
      <c r="BF2038" s="1">
        <v>279000</v>
      </c>
      <c r="BG2038" t="s">
        <v>13780</v>
      </c>
      <c r="BH2038" s="1">
        <v>126.88</v>
      </c>
      <c r="BI2038" s="1">
        <v>276514</v>
      </c>
      <c r="BJ2038" s="3">
        <v>42654</v>
      </c>
      <c r="BK2038" t="s">
        <v>123</v>
      </c>
      <c r="BL2038" t="str">
        <f>"2016.744199"</f>
        <v>2016.744199</v>
      </c>
      <c r="BM2038" t="s">
        <v>425</v>
      </c>
      <c r="BO2038" t="s">
        <v>13781</v>
      </c>
      <c r="BS2038">
        <v>30</v>
      </c>
      <c r="BW2038" t="str">
        <f>""</f>
        <v/>
      </c>
      <c r="CH2038" t="str">
        <f>""</f>
        <v/>
      </c>
      <c r="CS2038" t="str">
        <f>""</f>
        <v/>
      </c>
    </row>
    <row r="2039" spans="1:97" x14ac:dyDescent="0.25">
      <c r="A2039" t="s">
        <v>325</v>
      </c>
      <c r="B2039" t="s">
        <v>13782</v>
      </c>
      <c r="E2039" t="s">
        <v>13783</v>
      </c>
      <c r="F2039" t="s">
        <v>108</v>
      </c>
      <c r="H2039" t="s">
        <v>13784</v>
      </c>
      <c r="I2039" t="s">
        <v>499</v>
      </c>
      <c r="J2039" t="s">
        <v>111</v>
      </c>
      <c r="K2039" t="str">
        <f>"85338"</f>
        <v>85338</v>
      </c>
      <c r="L2039" t="s">
        <v>6481</v>
      </c>
      <c r="M2039" t="s">
        <v>13784</v>
      </c>
      <c r="N2039" t="s">
        <v>499</v>
      </c>
      <c r="O2039" t="s">
        <v>111</v>
      </c>
      <c r="P2039" t="str">
        <f>"85338-2792"</f>
        <v>85338-2792</v>
      </c>
      <c r="Q2039" t="s">
        <v>113</v>
      </c>
      <c r="R2039" t="str">
        <f>"500-96-349"</f>
        <v>500-96-349</v>
      </c>
      <c r="S2039" t="s">
        <v>13785</v>
      </c>
      <c r="U2039">
        <v>2460</v>
      </c>
      <c r="V2039">
        <v>0</v>
      </c>
      <c r="W2039">
        <v>4</v>
      </c>
      <c r="X2039">
        <v>2006</v>
      </c>
      <c r="Z2039">
        <v>2</v>
      </c>
      <c r="AB2039">
        <v>0</v>
      </c>
      <c r="AC2039" t="s">
        <v>115</v>
      </c>
      <c r="AD2039">
        <v>2</v>
      </c>
      <c r="AE2039" t="s">
        <v>115</v>
      </c>
      <c r="AF2039">
        <v>0</v>
      </c>
      <c r="AG2039">
        <v>0</v>
      </c>
      <c r="AH2039" t="s">
        <v>116</v>
      </c>
      <c r="AI2039" s="1">
        <v>81363</v>
      </c>
      <c r="AJ2039" s="2">
        <v>0.28000000000000003</v>
      </c>
      <c r="AK2039" s="1">
        <v>291792</v>
      </c>
      <c r="AL2039" t="s">
        <v>117</v>
      </c>
      <c r="AM2039" t="s">
        <v>118</v>
      </c>
      <c r="AN2039">
        <v>9300</v>
      </c>
      <c r="AO2039">
        <v>0.21</v>
      </c>
      <c r="AR2039">
        <v>1</v>
      </c>
      <c r="AS2039" s="1">
        <v>20010</v>
      </c>
      <c r="AT2039" s="1">
        <v>4000</v>
      </c>
      <c r="AU2039" s="1">
        <v>16010</v>
      </c>
      <c r="AV2039">
        <v>80.010000000000005</v>
      </c>
      <c r="AX2039" s="1">
        <v>1634.36</v>
      </c>
      <c r="AY2039" t="s">
        <v>6319</v>
      </c>
      <c r="AZ2039" t="s">
        <v>6319</v>
      </c>
      <c r="BA2039" t="s">
        <v>7186</v>
      </c>
      <c r="BE2039" s="3">
        <v>41673</v>
      </c>
      <c r="BF2039" s="1">
        <v>206000</v>
      </c>
      <c r="BG2039" t="s">
        <v>13786</v>
      </c>
      <c r="BH2039" s="1">
        <v>83.74</v>
      </c>
      <c r="BI2039" s="1">
        <v>210429</v>
      </c>
      <c r="BJ2039" s="3">
        <v>41673</v>
      </c>
      <c r="BK2039" t="s">
        <v>123</v>
      </c>
      <c r="BL2039" t="str">
        <f>"2014.73346"</f>
        <v>2014.73346</v>
      </c>
      <c r="BM2039" t="s">
        <v>1554</v>
      </c>
      <c r="BO2039" t="s">
        <v>13787</v>
      </c>
      <c r="BS2039">
        <v>30</v>
      </c>
      <c r="BW2039" t="str">
        <f>""</f>
        <v/>
      </c>
      <c r="CH2039" t="str">
        <f>""</f>
        <v/>
      </c>
      <c r="CS2039" t="str">
        <f>""</f>
        <v/>
      </c>
    </row>
    <row r="2040" spans="1:97" x14ac:dyDescent="0.25">
      <c r="A2040" t="s">
        <v>2045</v>
      </c>
      <c r="B2040" t="s">
        <v>12316</v>
      </c>
      <c r="E2040" t="s">
        <v>13788</v>
      </c>
      <c r="F2040" t="s">
        <v>108</v>
      </c>
      <c r="H2040" t="s">
        <v>13789</v>
      </c>
      <c r="I2040" t="s">
        <v>144</v>
      </c>
      <c r="J2040" t="s">
        <v>111</v>
      </c>
      <c r="K2040" t="str">
        <f>"85396"</f>
        <v>85396</v>
      </c>
      <c r="L2040" t="s">
        <v>5893</v>
      </c>
      <c r="M2040" t="s">
        <v>13789</v>
      </c>
      <c r="N2040" t="s">
        <v>144</v>
      </c>
      <c r="O2040" t="s">
        <v>111</v>
      </c>
      <c r="P2040" t="str">
        <f>"85396-7108"</f>
        <v>85396-7108</v>
      </c>
      <c r="Q2040" t="s">
        <v>113</v>
      </c>
      <c r="R2040" t="str">
        <f>"504-07-113"</f>
        <v>504-07-113</v>
      </c>
      <c r="S2040" t="s">
        <v>9710</v>
      </c>
      <c r="U2040">
        <v>2229</v>
      </c>
      <c r="V2040">
        <v>0</v>
      </c>
      <c r="W2040">
        <v>3</v>
      </c>
      <c r="X2040">
        <v>2007</v>
      </c>
      <c r="Z2040">
        <v>2</v>
      </c>
      <c r="AB2040">
        <v>0</v>
      </c>
      <c r="AC2040" t="s">
        <v>115</v>
      </c>
      <c r="AD2040">
        <v>2</v>
      </c>
      <c r="AE2040" t="s">
        <v>115</v>
      </c>
      <c r="AF2040">
        <v>0</v>
      </c>
      <c r="AG2040">
        <v>0</v>
      </c>
      <c r="AH2040" t="s">
        <v>116</v>
      </c>
      <c r="AI2040" s="1">
        <v>15471</v>
      </c>
      <c r="AJ2040" s="2">
        <v>7.0000000000000007E-2</v>
      </c>
      <c r="AK2040" s="1">
        <v>223471</v>
      </c>
      <c r="AL2040" t="s">
        <v>117</v>
      </c>
      <c r="AM2040" t="s">
        <v>118</v>
      </c>
      <c r="AN2040">
        <v>5208</v>
      </c>
      <c r="AO2040">
        <v>0.12</v>
      </c>
      <c r="AR2040">
        <v>1</v>
      </c>
      <c r="AS2040" s="1">
        <v>14070</v>
      </c>
      <c r="AT2040" s="1">
        <v>2810</v>
      </c>
      <c r="AU2040" s="1">
        <v>11260</v>
      </c>
      <c r="AV2040">
        <v>80.03</v>
      </c>
      <c r="AX2040" s="1">
        <v>1276.3</v>
      </c>
      <c r="AY2040" t="s">
        <v>147</v>
      </c>
      <c r="AZ2040" t="s">
        <v>147</v>
      </c>
      <c r="BA2040" t="s">
        <v>148</v>
      </c>
      <c r="BE2040" s="3">
        <v>42258</v>
      </c>
      <c r="BF2040" s="1">
        <v>160000</v>
      </c>
      <c r="BG2040" t="s">
        <v>13790</v>
      </c>
      <c r="BH2040" s="1">
        <v>71.78</v>
      </c>
      <c r="BI2040" s="1">
        <v>208000</v>
      </c>
      <c r="BJ2040" s="3">
        <v>43515</v>
      </c>
      <c r="BK2040" t="s">
        <v>123</v>
      </c>
      <c r="BL2040" t="str">
        <f>"2019.109429"</f>
        <v>2019.109429</v>
      </c>
      <c r="BM2040" t="s">
        <v>6896</v>
      </c>
      <c r="BN2040" t="s">
        <v>1371</v>
      </c>
      <c r="BO2040" t="s">
        <v>13788</v>
      </c>
      <c r="BR2040" t="s">
        <v>139</v>
      </c>
      <c r="BW2040" t="str">
        <f>""</f>
        <v/>
      </c>
      <c r="CH2040" t="str">
        <f>""</f>
        <v/>
      </c>
      <c r="CS2040" t="str">
        <f>""</f>
        <v/>
      </c>
    </row>
    <row r="2041" spans="1:97" x14ac:dyDescent="0.25">
      <c r="A2041" t="s">
        <v>886</v>
      </c>
      <c r="B2041" t="s">
        <v>2007</v>
      </c>
      <c r="C2041" t="s">
        <v>13791</v>
      </c>
      <c r="D2041" t="s">
        <v>2007</v>
      </c>
      <c r="E2041" t="s">
        <v>13792</v>
      </c>
      <c r="F2041" t="s">
        <v>108</v>
      </c>
      <c r="H2041" t="s">
        <v>13793</v>
      </c>
      <c r="I2041" t="s">
        <v>632</v>
      </c>
      <c r="J2041" t="s">
        <v>111</v>
      </c>
      <c r="K2041" t="str">
        <f>"85379"</f>
        <v>85379</v>
      </c>
      <c r="L2041" t="s">
        <v>6416</v>
      </c>
      <c r="M2041" t="s">
        <v>13793</v>
      </c>
      <c r="N2041" t="s">
        <v>632</v>
      </c>
      <c r="O2041" t="s">
        <v>111</v>
      </c>
      <c r="P2041" t="str">
        <f>"85379-4242"</f>
        <v>85379-4242</v>
      </c>
      <c r="Q2041" t="s">
        <v>113</v>
      </c>
      <c r="R2041" t="str">
        <f>"509-08-415"</f>
        <v>509-08-415</v>
      </c>
      <c r="S2041" t="s">
        <v>13794</v>
      </c>
      <c r="U2041">
        <v>1988</v>
      </c>
      <c r="V2041">
        <v>0</v>
      </c>
      <c r="W2041">
        <v>3</v>
      </c>
      <c r="X2041">
        <v>2013</v>
      </c>
      <c r="Z2041">
        <v>2</v>
      </c>
      <c r="AB2041">
        <v>0</v>
      </c>
      <c r="AC2041" t="s">
        <v>115</v>
      </c>
      <c r="AD2041">
        <v>2</v>
      </c>
      <c r="AE2041" t="s">
        <v>115</v>
      </c>
      <c r="AF2041">
        <v>0</v>
      </c>
      <c r="AG2041">
        <v>0</v>
      </c>
      <c r="AH2041" t="s">
        <v>116</v>
      </c>
      <c r="AI2041" s="1">
        <v>93344</v>
      </c>
      <c r="AJ2041" s="2">
        <v>0.32</v>
      </c>
      <c r="AK2041" s="1">
        <v>294464</v>
      </c>
      <c r="AL2041" t="s">
        <v>117</v>
      </c>
      <c r="AM2041" t="s">
        <v>118</v>
      </c>
      <c r="AN2041">
        <v>5729</v>
      </c>
      <c r="AO2041">
        <v>0.13</v>
      </c>
      <c r="AR2041">
        <v>1</v>
      </c>
      <c r="AS2041" s="1">
        <v>21260</v>
      </c>
      <c r="AT2041" s="1">
        <v>4250</v>
      </c>
      <c r="AU2041" s="1">
        <v>17010</v>
      </c>
      <c r="AV2041">
        <v>80.010000000000005</v>
      </c>
      <c r="AX2041" s="1">
        <v>2257.08</v>
      </c>
      <c r="AY2041" t="s">
        <v>634</v>
      </c>
      <c r="AZ2041" t="s">
        <v>634</v>
      </c>
      <c r="BA2041" t="s">
        <v>635</v>
      </c>
      <c r="BE2041" s="3">
        <v>41834</v>
      </c>
      <c r="BF2041" s="1">
        <v>201591</v>
      </c>
      <c r="BG2041" t="s">
        <v>13795</v>
      </c>
      <c r="BH2041" s="1">
        <v>101.4</v>
      </c>
      <c r="BI2041" s="1">
        <v>201120</v>
      </c>
      <c r="BJ2041" s="3">
        <v>42702</v>
      </c>
      <c r="BK2041" t="s">
        <v>123</v>
      </c>
      <c r="BL2041" t="str">
        <f>"2016.870960"</f>
        <v>2016.870960</v>
      </c>
      <c r="BM2041" t="s">
        <v>724</v>
      </c>
      <c r="BO2041" t="s">
        <v>13796</v>
      </c>
      <c r="BS2041">
        <v>30</v>
      </c>
      <c r="BW2041" t="str">
        <f>""</f>
        <v/>
      </c>
      <c r="CH2041" t="str">
        <f>""</f>
        <v/>
      </c>
      <c r="CS2041" t="str">
        <f>""</f>
        <v/>
      </c>
    </row>
    <row r="2042" spans="1:97" x14ac:dyDescent="0.25">
      <c r="A2042" t="s">
        <v>992</v>
      </c>
      <c r="B2042" t="s">
        <v>13797</v>
      </c>
      <c r="E2042" t="s">
        <v>13798</v>
      </c>
      <c r="F2042" t="s">
        <v>108</v>
      </c>
      <c r="H2042" t="s">
        <v>13799</v>
      </c>
      <c r="I2042" t="s">
        <v>632</v>
      </c>
      <c r="J2042" t="s">
        <v>111</v>
      </c>
      <c r="K2042" t="str">
        <f>"85388"</f>
        <v>85388</v>
      </c>
      <c r="L2042" t="s">
        <v>541</v>
      </c>
      <c r="M2042" t="s">
        <v>13799</v>
      </c>
      <c r="N2042" t="s">
        <v>632</v>
      </c>
      <c r="O2042" t="s">
        <v>111</v>
      </c>
      <c r="P2042" t="str">
        <f>"85388-1179"</f>
        <v>85388-1179</v>
      </c>
      <c r="Q2042" t="s">
        <v>113</v>
      </c>
      <c r="R2042" t="str">
        <f>"509-10-483"</f>
        <v>509-10-483</v>
      </c>
      <c r="S2042" t="s">
        <v>13800</v>
      </c>
      <c r="U2042">
        <v>2173</v>
      </c>
      <c r="V2042">
        <v>0</v>
      </c>
      <c r="W2042">
        <v>4</v>
      </c>
      <c r="X2042">
        <v>2002</v>
      </c>
      <c r="Z2042">
        <v>1</v>
      </c>
      <c r="AB2042">
        <v>0</v>
      </c>
      <c r="AC2042" t="s">
        <v>115</v>
      </c>
      <c r="AD2042">
        <v>3</v>
      </c>
      <c r="AE2042" t="s">
        <v>115</v>
      </c>
      <c r="AF2042">
        <v>0</v>
      </c>
      <c r="AG2042">
        <v>0</v>
      </c>
      <c r="AH2042" t="s">
        <v>116</v>
      </c>
      <c r="AI2042" s="1">
        <v>61429</v>
      </c>
      <c r="AJ2042" s="2">
        <v>0.22</v>
      </c>
      <c r="AK2042" s="1">
        <v>284429</v>
      </c>
      <c r="AL2042" t="s">
        <v>117</v>
      </c>
      <c r="AM2042" t="s">
        <v>118</v>
      </c>
      <c r="AN2042">
        <v>6892</v>
      </c>
      <c r="AO2042">
        <v>0.16</v>
      </c>
      <c r="AP2042">
        <v>1</v>
      </c>
      <c r="AR2042">
        <v>1</v>
      </c>
      <c r="AS2042" s="1">
        <v>19810</v>
      </c>
      <c r="AT2042" s="1">
        <v>3960</v>
      </c>
      <c r="AU2042" s="1">
        <v>15850</v>
      </c>
      <c r="AV2042">
        <v>80.010000000000005</v>
      </c>
      <c r="AX2042" s="1">
        <v>1464.18</v>
      </c>
      <c r="AY2042" t="s">
        <v>5517</v>
      </c>
      <c r="AZ2042" t="s">
        <v>5517</v>
      </c>
      <c r="BA2042" t="s">
        <v>5109</v>
      </c>
      <c r="BB2042" s="3">
        <v>43623</v>
      </c>
      <c r="BC2042" s="1">
        <v>0</v>
      </c>
      <c r="BD2042" t="s">
        <v>247</v>
      </c>
      <c r="BE2042" s="3">
        <v>42333</v>
      </c>
      <c r="BF2042" s="1">
        <v>223000</v>
      </c>
      <c r="BG2042" t="s">
        <v>13801</v>
      </c>
      <c r="BH2042" s="1">
        <v>102.62</v>
      </c>
      <c r="BI2042" s="1">
        <v>223000</v>
      </c>
      <c r="BJ2042" s="3">
        <v>42333</v>
      </c>
      <c r="BK2042" t="s">
        <v>123</v>
      </c>
      <c r="BL2042" t="str">
        <f>"2015.844155"</f>
        <v>2015.844155</v>
      </c>
      <c r="BM2042" t="s">
        <v>124</v>
      </c>
      <c r="BN2042" t="s">
        <v>1575</v>
      </c>
      <c r="BO2042" t="s">
        <v>13802</v>
      </c>
      <c r="BS2042">
        <v>30</v>
      </c>
      <c r="BW2042" t="str">
        <f>""</f>
        <v/>
      </c>
      <c r="CH2042" t="str">
        <f>""</f>
        <v/>
      </c>
      <c r="CS2042" t="str">
        <f>""</f>
        <v/>
      </c>
    </row>
    <row r="2043" spans="1:97" x14ac:dyDescent="0.25">
      <c r="A2043" t="s">
        <v>3265</v>
      </c>
      <c r="B2043" t="s">
        <v>13803</v>
      </c>
      <c r="C2043" t="s">
        <v>703</v>
      </c>
      <c r="D2043" t="s">
        <v>13803</v>
      </c>
      <c r="E2043" t="s">
        <v>13804</v>
      </c>
      <c r="F2043" t="s">
        <v>108</v>
      </c>
      <c r="H2043" t="s">
        <v>13805</v>
      </c>
      <c r="I2043" t="s">
        <v>499</v>
      </c>
      <c r="J2043" t="s">
        <v>111</v>
      </c>
      <c r="K2043" t="str">
        <f>"85338"</f>
        <v>85338</v>
      </c>
      <c r="L2043" t="s">
        <v>6308</v>
      </c>
      <c r="M2043" t="s">
        <v>13805</v>
      </c>
      <c r="N2043" t="s">
        <v>499</v>
      </c>
      <c r="O2043" t="s">
        <v>111</v>
      </c>
      <c r="P2043" t="str">
        <f>"85338-6305"</f>
        <v>85338-6305</v>
      </c>
      <c r="Q2043" t="s">
        <v>113</v>
      </c>
      <c r="R2043" t="str">
        <f>"400-56-524"</f>
        <v>400-56-524</v>
      </c>
      <c r="S2043" t="s">
        <v>6774</v>
      </c>
      <c r="T2043" t="s">
        <v>6775</v>
      </c>
      <c r="U2043">
        <v>1695</v>
      </c>
      <c r="V2043">
        <v>0</v>
      </c>
      <c r="W2043">
        <v>3</v>
      </c>
      <c r="X2043">
        <v>2016</v>
      </c>
      <c r="Z2043">
        <v>1</v>
      </c>
      <c r="AB2043">
        <v>0</v>
      </c>
      <c r="AC2043" t="s">
        <v>115</v>
      </c>
      <c r="AD2043">
        <v>2</v>
      </c>
      <c r="AE2043" t="s">
        <v>115</v>
      </c>
      <c r="AF2043">
        <v>0</v>
      </c>
      <c r="AG2043">
        <v>0</v>
      </c>
      <c r="AH2043" t="s">
        <v>116</v>
      </c>
      <c r="AI2043" s="1">
        <v>6980</v>
      </c>
      <c r="AJ2043" s="2">
        <v>0.02</v>
      </c>
      <c r="AK2043" s="1">
        <v>304948</v>
      </c>
      <c r="AL2043" t="s">
        <v>117</v>
      </c>
      <c r="AM2043" t="s">
        <v>118</v>
      </c>
      <c r="AN2043">
        <v>5160</v>
      </c>
      <c r="AO2043">
        <v>0.12</v>
      </c>
      <c r="AR2043">
        <v>1</v>
      </c>
      <c r="AS2043" s="1">
        <v>19720</v>
      </c>
      <c r="AT2043" s="1">
        <v>3940</v>
      </c>
      <c r="AU2043" s="1">
        <v>15780</v>
      </c>
      <c r="AV2043">
        <v>80.02</v>
      </c>
      <c r="AX2043" s="1">
        <v>1913.12</v>
      </c>
      <c r="AY2043" t="s">
        <v>1246</v>
      </c>
      <c r="AZ2043" t="s">
        <v>1246</v>
      </c>
      <c r="BA2043" t="s">
        <v>1247</v>
      </c>
      <c r="BE2043" s="3">
        <v>42516</v>
      </c>
      <c r="BF2043" s="1">
        <v>230560</v>
      </c>
      <c r="BG2043" t="s">
        <v>2780</v>
      </c>
      <c r="BH2043" s="1">
        <v>136.02000000000001</v>
      </c>
      <c r="BI2043" s="1">
        <v>297968</v>
      </c>
      <c r="BJ2043" s="3">
        <v>43593</v>
      </c>
      <c r="BK2043" t="s">
        <v>123</v>
      </c>
      <c r="BL2043" t="str">
        <f>"2019.331804"</f>
        <v>2019.331804</v>
      </c>
      <c r="BM2043" t="s">
        <v>1915</v>
      </c>
      <c r="BN2043" t="s">
        <v>13806</v>
      </c>
      <c r="BO2043" t="s">
        <v>13807</v>
      </c>
      <c r="BP2043" t="s">
        <v>13808</v>
      </c>
      <c r="BR2043" t="s">
        <v>139</v>
      </c>
      <c r="BW2043" t="str">
        <f>""</f>
        <v/>
      </c>
      <c r="CH2043" t="str">
        <f>""</f>
        <v/>
      </c>
      <c r="CS2043" t="str">
        <f>""</f>
        <v/>
      </c>
    </row>
    <row r="2044" spans="1:97" x14ac:dyDescent="0.25">
      <c r="A2044" t="s">
        <v>2915</v>
      </c>
      <c r="B2044" t="s">
        <v>603</v>
      </c>
      <c r="C2044" t="s">
        <v>13809</v>
      </c>
      <c r="D2044" t="s">
        <v>603</v>
      </c>
      <c r="E2044" t="s">
        <v>13810</v>
      </c>
      <c r="F2044" t="s">
        <v>108</v>
      </c>
      <c r="H2044" t="s">
        <v>13811</v>
      </c>
      <c r="I2044" t="s">
        <v>5523</v>
      </c>
      <c r="J2044" t="s">
        <v>111</v>
      </c>
      <c r="K2044" t="str">
        <f>"85373"</f>
        <v>85373</v>
      </c>
      <c r="L2044" t="s">
        <v>5524</v>
      </c>
      <c r="M2044" t="s">
        <v>13811</v>
      </c>
      <c r="N2044" t="s">
        <v>5523</v>
      </c>
      <c r="O2044" t="s">
        <v>111</v>
      </c>
      <c r="P2044" t="str">
        <f>"85373-5626"</f>
        <v>85373-5626</v>
      </c>
      <c r="Q2044" t="s">
        <v>113</v>
      </c>
      <c r="R2044" t="str">
        <f>"503-97-181"</f>
        <v>503-97-181</v>
      </c>
      <c r="S2044" t="s">
        <v>8164</v>
      </c>
      <c r="T2044" t="s">
        <v>8165</v>
      </c>
      <c r="U2044">
        <v>2880</v>
      </c>
      <c r="V2044">
        <v>0</v>
      </c>
      <c r="W2044">
        <v>4</v>
      </c>
      <c r="X2044">
        <v>2006</v>
      </c>
      <c r="Z2044">
        <v>2</v>
      </c>
      <c r="AB2044">
        <v>0</v>
      </c>
      <c r="AC2044" t="s">
        <v>115</v>
      </c>
      <c r="AD2044">
        <v>2</v>
      </c>
      <c r="AE2044" t="s">
        <v>115</v>
      </c>
      <c r="AF2044">
        <v>0</v>
      </c>
      <c r="AG2044">
        <v>0</v>
      </c>
      <c r="AH2044" t="s">
        <v>116</v>
      </c>
      <c r="AI2044" s="1">
        <v>49387</v>
      </c>
      <c r="AJ2044" s="2">
        <v>0.16</v>
      </c>
      <c r="AK2044" s="1">
        <v>311387</v>
      </c>
      <c r="AL2044" t="s">
        <v>117</v>
      </c>
      <c r="AM2044" t="s">
        <v>191</v>
      </c>
      <c r="AN2044">
        <v>6325</v>
      </c>
      <c r="AO2044">
        <v>0.14000000000000001</v>
      </c>
      <c r="AR2044">
        <v>1</v>
      </c>
      <c r="AS2044" s="1">
        <v>21420</v>
      </c>
      <c r="AT2044" s="1">
        <v>4280</v>
      </c>
      <c r="AU2044" s="1">
        <v>17140</v>
      </c>
      <c r="AV2044">
        <v>80.02</v>
      </c>
      <c r="AX2044" s="1">
        <v>2184.58</v>
      </c>
      <c r="AY2044" t="s">
        <v>3228</v>
      </c>
      <c r="AZ2044" t="s">
        <v>3228</v>
      </c>
      <c r="BA2044" t="s">
        <v>457</v>
      </c>
      <c r="BE2044" s="3">
        <v>42489</v>
      </c>
      <c r="BF2044" s="1">
        <v>262000</v>
      </c>
      <c r="BG2044" t="s">
        <v>13812</v>
      </c>
      <c r="BH2044" s="1">
        <v>90.97</v>
      </c>
      <c r="BI2044" s="1">
        <v>262000</v>
      </c>
      <c r="BJ2044" s="3">
        <v>42489</v>
      </c>
      <c r="BK2044" t="s">
        <v>123</v>
      </c>
      <c r="BL2044" t="str">
        <f>"2016.293736"</f>
        <v>2016.293736</v>
      </c>
      <c r="BM2044" t="s">
        <v>1287</v>
      </c>
      <c r="BO2044" t="s">
        <v>13813</v>
      </c>
      <c r="BS2044">
        <v>30</v>
      </c>
      <c r="BW2044" t="str">
        <f>""</f>
        <v/>
      </c>
      <c r="CH2044" t="str">
        <f>""</f>
        <v/>
      </c>
      <c r="CS2044" t="str">
        <f>""</f>
        <v/>
      </c>
    </row>
    <row r="2045" spans="1:97" x14ac:dyDescent="0.25">
      <c r="A2045" t="s">
        <v>1850</v>
      </c>
      <c r="B2045" t="s">
        <v>13814</v>
      </c>
      <c r="C2045" t="s">
        <v>13423</v>
      </c>
      <c r="D2045" t="s">
        <v>13814</v>
      </c>
      <c r="E2045" t="s">
        <v>13815</v>
      </c>
      <c r="F2045" t="s">
        <v>108</v>
      </c>
      <c r="H2045" t="s">
        <v>13816</v>
      </c>
      <c r="I2045" t="s">
        <v>453</v>
      </c>
      <c r="J2045" t="s">
        <v>111</v>
      </c>
      <c r="K2045" t="str">
        <f>"85345"</f>
        <v>85345</v>
      </c>
      <c r="L2045" t="s">
        <v>5176</v>
      </c>
      <c r="M2045" t="s">
        <v>13816</v>
      </c>
      <c r="N2045" t="s">
        <v>453</v>
      </c>
      <c r="O2045" t="s">
        <v>111</v>
      </c>
      <c r="P2045" t="str">
        <f>"85345-8029"</f>
        <v>85345-8029</v>
      </c>
      <c r="Q2045" t="s">
        <v>113</v>
      </c>
      <c r="R2045" t="str">
        <f>"142-35-408"</f>
        <v>142-35-408</v>
      </c>
      <c r="S2045" t="s">
        <v>6942</v>
      </c>
      <c r="T2045" t="s">
        <v>6943</v>
      </c>
      <c r="U2045">
        <v>2437</v>
      </c>
      <c r="V2045">
        <v>0</v>
      </c>
      <c r="W2045">
        <v>3</v>
      </c>
      <c r="X2045">
        <v>2014</v>
      </c>
      <c r="Z2045">
        <v>1</v>
      </c>
      <c r="AB2045">
        <v>0</v>
      </c>
      <c r="AC2045" t="s">
        <v>115</v>
      </c>
      <c r="AD2045">
        <v>3</v>
      </c>
      <c r="AE2045" t="s">
        <v>115</v>
      </c>
      <c r="AF2045">
        <v>0</v>
      </c>
      <c r="AG2045">
        <v>0</v>
      </c>
      <c r="AH2045" t="s">
        <v>116</v>
      </c>
      <c r="AI2045" s="1">
        <v>1153</v>
      </c>
      <c r="AJ2045" s="2">
        <v>0</v>
      </c>
      <c r="AK2045" s="1">
        <v>302953</v>
      </c>
      <c r="AL2045" t="s">
        <v>117</v>
      </c>
      <c r="AM2045" t="s">
        <v>118</v>
      </c>
      <c r="AN2045">
        <v>7440</v>
      </c>
      <c r="AO2045">
        <v>0.17</v>
      </c>
      <c r="AR2045">
        <v>1</v>
      </c>
      <c r="AS2045" s="1">
        <v>24410</v>
      </c>
      <c r="AT2045" s="1">
        <v>4880</v>
      </c>
      <c r="AU2045" s="1">
        <v>19530</v>
      </c>
      <c r="AV2045">
        <v>80.010000000000005</v>
      </c>
      <c r="AX2045" s="1">
        <v>2633.88</v>
      </c>
      <c r="AY2045" t="s">
        <v>6944</v>
      </c>
      <c r="AZ2045" t="s">
        <v>6944</v>
      </c>
      <c r="BA2045" t="s">
        <v>6945</v>
      </c>
      <c r="BB2045" s="3">
        <v>43083</v>
      </c>
      <c r="BD2045" t="s">
        <v>157</v>
      </c>
      <c r="BE2045" s="3">
        <v>41894</v>
      </c>
      <c r="BF2045" s="1">
        <v>292941</v>
      </c>
      <c r="BG2045" t="s">
        <v>636</v>
      </c>
      <c r="BH2045" s="1">
        <v>120.21</v>
      </c>
      <c r="BI2045" s="1">
        <v>301800</v>
      </c>
      <c r="BJ2045" s="3">
        <v>43083</v>
      </c>
      <c r="BK2045" t="s">
        <v>123</v>
      </c>
      <c r="BL2045" t="str">
        <f>"2017.924718"</f>
        <v>2017.924718</v>
      </c>
      <c r="BM2045" t="s">
        <v>807</v>
      </c>
      <c r="BO2045" t="s">
        <v>13817</v>
      </c>
      <c r="BP2045" t="s">
        <v>13818</v>
      </c>
      <c r="BQ2045" t="str">
        <f>"2.6200%"</f>
        <v>2.6200%</v>
      </c>
      <c r="BR2045" t="s">
        <v>1480</v>
      </c>
      <c r="BS2045">
        <v>31</v>
      </c>
      <c r="BW2045" t="str">
        <f>""</f>
        <v/>
      </c>
      <c r="CH2045" t="str">
        <f>""</f>
        <v/>
      </c>
      <c r="CS2045" t="str">
        <f>""</f>
        <v/>
      </c>
    </row>
    <row r="2046" spans="1:97" x14ac:dyDescent="0.25">
      <c r="A2046" t="s">
        <v>251</v>
      </c>
      <c r="B2046" t="s">
        <v>13819</v>
      </c>
      <c r="E2046" t="s">
        <v>13820</v>
      </c>
      <c r="F2046" t="s">
        <v>108</v>
      </c>
      <c r="H2046" t="s">
        <v>13821</v>
      </c>
      <c r="I2046" t="s">
        <v>499</v>
      </c>
      <c r="J2046" t="s">
        <v>111</v>
      </c>
      <c r="K2046" t="str">
        <f>"85338"</f>
        <v>85338</v>
      </c>
      <c r="L2046" t="s">
        <v>11175</v>
      </c>
      <c r="M2046" t="s">
        <v>13821</v>
      </c>
      <c r="N2046" t="s">
        <v>499</v>
      </c>
      <c r="O2046" t="s">
        <v>111</v>
      </c>
      <c r="P2046" t="str">
        <f>"85338-7924"</f>
        <v>85338-7924</v>
      </c>
      <c r="Q2046" t="s">
        <v>113</v>
      </c>
      <c r="R2046" t="str">
        <f>"500-07-703"</f>
        <v>500-07-703</v>
      </c>
      <c r="S2046" t="s">
        <v>11176</v>
      </c>
      <c r="T2046" t="s">
        <v>11176</v>
      </c>
      <c r="U2046">
        <v>2079</v>
      </c>
      <c r="V2046">
        <v>0</v>
      </c>
      <c r="W2046">
        <v>4</v>
      </c>
      <c r="X2046">
        <v>2007</v>
      </c>
      <c r="Z2046">
        <v>2</v>
      </c>
      <c r="AB2046">
        <v>0</v>
      </c>
      <c r="AC2046" t="s">
        <v>115</v>
      </c>
      <c r="AD2046">
        <v>2</v>
      </c>
      <c r="AE2046" t="s">
        <v>115</v>
      </c>
      <c r="AF2046">
        <v>0</v>
      </c>
      <c r="AG2046">
        <v>0</v>
      </c>
      <c r="AH2046" t="s">
        <v>116</v>
      </c>
      <c r="AI2046" s="1">
        <v>6317</v>
      </c>
      <c r="AJ2046" s="2">
        <v>0.02</v>
      </c>
      <c r="AK2046" s="1">
        <v>259402</v>
      </c>
      <c r="AL2046" t="s">
        <v>117</v>
      </c>
      <c r="AM2046" t="s">
        <v>118</v>
      </c>
      <c r="AN2046">
        <v>7242</v>
      </c>
      <c r="AO2046">
        <v>0.17</v>
      </c>
      <c r="AR2046">
        <v>1</v>
      </c>
      <c r="AS2046" s="1">
        <v>17400</v>
      </c>
      <c r="AT2046" s="1">
        <v>3480</v>
      </c>
      <c r="AU2046" s="1">
        <v>13920</v>
      </c>
      <c r="AV2046">
        <v>80</v>
      </c>
      <c r="AX2046" s="1">
        <v>1674.88</v>
      </c>
      <c r="AY2046" t="s">
        <v>11177</v>
      </c>
      <c r="AZ2046" t="s">
        <v>11177</v>
      </c>
      <c r="BA2046" t="s">
        <v>7186</v>
      </c>
      <c r="BE2046" s="3">
        <v>42467</v>
      </c>
      <c r="BF2046" s="1">
        <v>205000</v>
      </c>
      <c r="BG2046" t="s">
        <v>13822</v>
      </c>
      <c r="BH2046" s="1">
        <v>98.61</v>
      </c>
      <c r="BI2046" s="1">
        <v>253085</v>
      </c>
      <c r="BJ2046" s="3">
        <v>42976</v>
      </c>
      <c r="BK2046" t="s">
        <v>123</v>
      </c>
      <c r="BL2046" t="str">
        <f>"2017.639038"</f>
        <v>2017.639038</v>
      </c>
      <c r="BM2046" t="s">
        <v>2643</v>
      </c>
      <c r="BO2046" t="s">
        <v>13823</v>
      </c>
      <c r="BS2046">
        <v>30</v>
      </c>
      <c r="BW2046" t="str">
        <f>""</f>
        <v/>
      </c>
      <c r="CH2046" t="str">
        <f>""</f>
        <v/>
      </c>
      <c r="CS2046" t="str">
        <f>""</f>
        <v/>
      </c>
    </row>
    <row r="2047" spans="1:97" x14ac:dyDescent="0.25">
      <c r="B2047" t="s">
        <v>13824</v>
      </c>
      <c r="E2047" t="s">
        <v>13825</v>
      </c>
      <c r="F2047" t="s">
        <v>108</v>
      </c>
      <c r="H2047" t="s">
        <v>13826</v>
      </c>
      <c r="I2047" t="s">
        <v>5863</v>
      </c>
      <c r="J2047" t="s">
        <v>111</v>
      </c>
      <c r="K2047" t="str">
        <f>"85375"</f>
        <v>85375</v>
      </c>
      <c r="L2047" t="s">
        <v>1300</v>
      </c>
      <c r="M2047" t="s">
        <v>13826</v>
      </c>
      <c r="N2047" t="s">
        <v>5863</v>
      </c>
      <c r="O2047" t="s">
        <v>111</v>
      </c>
      <c r="P2047" t="str">
        <f>"85375-5217"</f>
        <v>85375-5217</v>
      </c>
      <c r="Q2047" t="s">
        <v>113</v>
      </c>
      <c r="R2047" t="str">
        <f>"232-15-260"</f>
        <v>232-15-260</v>
      </c>
      <c r="S2047" t="s">
        <v>11660</v>
      </c>
      <c r="U2047">
        <v>2021</v>
      </c>
      <c r="V2047">
        <v>0</v>
      </c>
      <c r="W2047">
        <v>3</v>
      </c>
      <c r="X2047">
        <v>1985</v>
      </c>
      <c r="Z2047">
        <v>1</v>
      </c>
      <c r="AA2047" t="s">
        <v>26</v>
      </c>
      <c r="AB2047">
        <v>0</v>
      </c>
      <c r="AC2047" t="s">
        <v>115</v>
      </c>
      <c r="AD2047">
        <v>3</v>
      </c>
      <c r="AE2047" t="s">
        <v>115</v>
      </c>
      <c r="AF2047">
        <v>0</v>
      </c>
      <c r="AG2047">
        <v>0</v>
      </c>
      <c r="AH2047" t="s">
        <v>116</v>
      </c>
      <c r="AI2047" s="1">
        <v>54366</v>
      </c>
      <c r="AJ2047" s="2">
        <v>0.17</v>
      </c>
      <c r="AK2047" s="1">
        <v>314366</v>
      </c>
      <c r="AL2047" t="s">
        <v>117</v>
      </c>
      <c r="AM2047" t="s">
        <v>393</v>
      </c>
      <c r="AN2047">
        <v>12900</v>
      </c>
      <c r="AO2047">
        <v>0.3</v>
      </c>
      <c r="AP2047">
        <v>1</v>
      </c>
      <c r="AR2047">
        <v>1</v>
      </c>
      <c r="AS2047" s="1">
        <v>20020</v>
      </c>
      <c r="AT2047" s="1">
        <v>4000</v>
      </c>
      <c r="AU2047" s="1">
        <v>16020</v>
      </c>
      <c r="AV2047">
        <v>80.02</v>
      </c>
      <c r="AX2047" s="1">
        <v>1512.64</v>
      </c>
      <c r="AY2047" t="s">
        <v>320</v>
      </c>
      <c r="AZ2047" t="s">
        <v>320</v>
      </c>
      <c r="BA2047" t="s">
        <v>321</v>
      </c>
      <c r="BB2047" s="3">
        <v>43578</v>
      </c>
      <c r="BC2047" s="1">
        <v>0</v>
      </c>
      <c r="BD2047" t="s">
        <v>247</v>
      </c>
      <c r="BE2047" s="3">
        <v>42263</v>
      </c>
      <c r="BF2047" s="1">
        <v>260000</v>
      </c>
      <c r="BG2047" t="s">
        <v>13827</v>
      </c>
      <c r="BH2047" s="1">
        <v>128.65</v>
      </c>
      <c r="BI2047" s="1">
        <v>260000</v>
      </c>
      <c r="BJ2047" s="3">
        <v>43578</v>
      </c>
      <c r="BK2047" t="s">
        <v>123</v>
      </c>
      <c r="BL2047" t="str">
        <f>"2019.285522"</f>
        <v>2019.285522</v>
      </c>
      <c r="BM2047" t="s">
        <v>1809</v>
      </c>
      <c r="BN2047" t="s">
        <v>1810</v>
      </c>
      <c r="BO2047" t="s">
        <v>13828</v>
      </c>
      <c r="BR2047" t="s">
        <v>139</v>
      </c>
      <c r="BW2047" t="str">
        <f>""</f>
        <v/>
      </c>
      <c r="CH2047" t="str">
        <f>""</f>
        <v/>
      </c>
      <c r="CS2047" t="str">
        <f>""</f>
        <v/>
      </c>
    </row>
    <row r="2048" spans="1:97" x14ac:dyDescent="0.25">
      <c r="A2048" t="s">
        <v>13829</v>
      </c>
      <c r="B2048" t="s">
        <v>13830</v>
      </c>
      <c r="C2048" t="s">
        <v>251</v>
      </c>
      <c r="D2048" t="s">
        <v>13830</v>
      </c>
      <c r="E2048" t="s">
        <v>13831</v>
      </c>
      <c r="F2048" t="s">
        <v>108</v>
      </c>
      <c r="H2048" t="s">
        <v>13832</v>
      </c>
      <c r="I2048" t="s">
        <v>2874</v>
      </c>
      <c r="J2048" t="s">
        <v>111</v>
      </c>
      <c r="K2048" t="str">
        <f>"85304"</f>
        <v>85304</v>
      </c>
      <c r="L2048" t="s">
        <v>4565</v>
      </c>
      <c r="M2048" t="s">
        <v>13832</v>
      </c>
      <c r="N2048" t="s">
        <v>2874</v>
      </c>
      <c r="O2048" t="s">
        <v>111</v>
      </c>
      <c r="P2048" t="str">
        <f>"85304-1378"</f>
        <v>85304-1378</v>
      </c>
      <c r="Q2048" t="s">
        <v>113</v>
      </c>
      <c r="R2048" t="str">
        <f>"200-75-701"</f>
        <v>200-75-701</v>
      </c>
      <c r="S2048" t="s">
        <v>13833</v>
      </c>
      <c r="T2048" t="s">
        <v>13834</v>
      </c>
      <c r="U2048">
        <v>2846</v>
      </c>
      <c r="V2048">
        <v>0</v>
      </c>
      <c r="W2048">
        <v>4</v>
      </c>
      <c r="X2048">
        <v>1985</v>
      </c>
      <c r="Z2048">
        <v>2</v>
      </c>
      <c r="AA2048" t="s">
        <v>26</v>
      </c>
      <c r="AB2048">
        <v>0</v>
      </c>
      <c r="AC2048" t="s">
        <v>115</v>
      </c>
      <c r="AD2048">
        <v>3</v>
      </c>
      <c r="AE2048" t="s">
        <v>115</v>
      </c>
      <c r="AF2048">
        <v>0</v>
      </c>
      <c r="AG2048">
        <v>0</v>
      </c>
      <c r="AH2048" t="s">
        <v>116</v>
      </c>
      <c r="AI2048" s="1">
        <v>84875</v>
      </c>
      <c r="AJ2048" s="2">
        <v>0.23</v>
      </c>
      <c r="AK2048" s="1">
        <v>368075</v>
      </c>
      <c r="AL2048" t="s">
        <v>117</v>
      </c>
      <c r="AM2048" t="s">
        <v>191</v>
      </c>
      <c r="AN2048">
        <v>10148</v>
      </c>
      <c r="AO2048">
        <v>0.23</v>
      </c>
      <c r="AP2048">
        <v>1</v>
      </c>
      <c r="AR2048">
        <v>1</v>
      </c>
      <c r="AS2048" s="1">
        <v>27400</v>
      </c>
      <c r="AT2048" s="1">
        <v>5480</v>
      </c>
      <c r="AU2048" s="1">
        <v>21920</v>
      </c>
      <c r="AV2048">
        <v>80</v>
      </c>
      <c r="AX2048" s="1">
        <v>2039.3</v>
      </c>
      <c r="AY2048" t="s">
        <v>1808</v>
      </c>
      <c r="AZ2048" t="s">
        <v>1808</v>
      </c>
      <c r="BA2048" t="s">
        <v>8681</v>
      </c>
      <c r="BE2048" s="3">
        <v>42137</v>
      </c>
      <c r="BF2048" s="1">
        <v>293200</v>
      </c>
      <c r="BG2048" t="s">
        <v>13835</v>
      </c>
      <c r="BH2048" s="1">
        <v>103.31</v>
      </c>
      <c r="BI2048" s="1">
        <v>283200</v>
      </c>
      <c r="BJ2048" s="3">
        <v>42137</v>
      </c>
      <c r="BK2048" t="s">
        <v>123</v>
      </c>
      <c r="BL2048" t="str">
        <f>"2015.334885"</f>
        <v>2015.334885</v>
      </c>
      <c r="BM2048" t="s">
        <v>475</v>
      </c>
      <c r="BO2048" t="s">
        <v>13836</v>
      </c>
      <c r="BS2048">
        <v>30</v>
      </c>
      <c r="BW2048" t="str">
        <f>""</f>
        <v/>
      </c>
      <c r="CH2048" t="str">
        <f>""</f>
        <v/>
      </c>
      <c r="CS2048" t="str">
        <f>""</f>
        <v/>
      </c>
    </row>
    <row r="2049" spans="1:97" x14ac:dyDescent="0.25">
      <c r="A2049" t="s">
        <v>11040</v>
      </c>
      <c r="B2049" t="s">
        <v>13837</v>
      </c>
      <c r="C2049" t="s">
        <v>334</v>
      </c>
      <c r="D2049" t="s">
        <v>13837</v>
      </c>
      <c r="E2049" t="s">
        <v>13838</v>
      </c>
      <c r="F2049" t="s">
        <v>108</v>
      </c>
      <c r="H2049" t="s">
        <v>13839</v>
      </c>
      <c r="I2049" t="s">
        <v>632</v>
      </c>
      <c r="J2049" t="s">
        <v>111</v>
      </c>
      <c r="K2049" t="str">
        <f>"85388"</f>
        <v>85388</v>
      </c>
      <c r="L2049" t="s">
        <v>3094</v>
      </c>
      <c r="M2049" t="s">
        <v>13839</v>
      </c>
      <c r="N2049" t="s">
        <v>632</v>
      </c>
      <c r="O2049" t="s">
        <v>111</v>
      </c>
      <c r="P2049" t="str">
        <f>"85388-7824"</f>
        <v>85388-7824</v>
      </c>
      <c r="Q2049" t="s">
        <v>113</v>
      </c>
      <c r="R2049" t="str">
        <f>"502-87-885"</f>
        <v>502-87-885</v>
      </c>
      <c r="S2049" t="s">
        <v>13840</v>
      </c>
      <c r="T2049" t="s">
        <v>12131</v>
      </c>
      <c r="U2049">
        <v>2048</v>
      </c>
      <c r="V2049">
        <v>0</v>
      </c>
      <c r="W2049">
        <v>3</v>
      </c>
      <c r="X2049">
        <v>2004</v>
      </c>
      <c r="Z2049">
        <v>2</v>
      </c>
      <c r="AB2049">
        <v>0</v>
      </c>
      <c r="AC2049" t="s">
        <v>115</v>
      </c>
      <c r="AD2049">
        <v>2</v>
      </c>
      <c r="AE2049" t="s">
        <v>115</v>
      </c>
      <c r="AF2049">
        <v>0</v>
      </c>
      <c r="AG2049">
        <v>0</v>
      </c>
      <c r="AH2049" t="s">
        <v>116</v>
      </c>
      <c r="AI2049" s="1">
        <v>45671</v>
      </c>
      <c r="AJ2049" s="2">
        <v>0.18</v>
      </c>
      <c r="AK2049" s="1">
        <v>251238</v>
      </c>
      <c r="AL2049" t="s">
        <v>117</v>
      </c>
      <c r="AM2049" t="s">
        <v>118</v>
      </c>
      <c r="AN2049">
        <v>6096</v>
      </c>
      <c r="AO2049">
        <v>0.14000000000000001</v>
      </c>
      <c r="AP2049">
        <v>1</v>
      </c>
      <c r="AR2049">
        <v>1</v>
      </c>
      <c r="AS2049" s="1">
        <v>16720</v>
      </c>
      <c r="AT2049" s="1">
        <v>3340</v>
      </c>
      <c r="AU2049" s="1">
        <v>13380</v>
      </c>
      <c r="AV2049">
        <v>80.02</v>
      </c>
      <c r="AX2049" s="1">
        <v>1309.06</v>
      </c>
      <c r="AY2049" t="s">
        <v>6262</v>
      </c>
      <c r="AZ2049" t="s">
        <v>6262</v>
      </c>
      <c r="BA2049" t="s">
        <v>5061</v>
      </c>
      <c r="BB2049" s="3">
        <v>43312</v>
      </c>
      <c r="BC2049" s="1">
        <v>0</v>
      </c>
      <c r="BD2049" t="s">
        <v>247</v>
      </c>
      <c r="BE2049" s="3">
        <v>41688</v>
      </c>
      <c r="BF2049" s="1">
        <v>159100</v>
      </c>
      <c r="BG2049" t="s">
        <v>13841</v>
      </c>
      <c r="BH2049" s="1">
        <v>77.69</v>
      </c>
      <c r="BI2049" s="1">
        <v>205567</v>
      </c>
      <c r="BJ2049" s="3">
        <v>43312</v>
      </c>
      <c r="BK2049" t="s">
        <v>123</v>
      </c>
      <c r="BL2049" t="str">
        <f>"2018.578087"</f>
        <v>2018.578087</v>
      </c>
      <c r="BM2049" t="s">
        <v>5842</v>
      </c>
      <c r="BN2049" t="s">
        <v>5843</v>
      </c>
      <c r="BO2049" t="s">
        <v>13842</v>
      </c>
      <c r="BP2049" t="s">
        <v>13843</v>
      </c>
      <c r="BR2049" t="s">
        <v>139</v>
      </c>
      <c r="BW2049" t="str">
        <f>""</f>
        <v/>
      </c>
      <c r="CH2049" t="str">
        <f>""</f>
        <v/>
      </c>
      <c r="CS2049" t="str">
        <f>""</f>
        <v/>
      </c>
    </row>
    <row r="2050" spans="1:97" x14ac:dyDescent="0.25">
      <c r="B2050" t="s">
        <v>13844</v>
      </c>
      <c r="E2050" t="s">
        <v>13845</v>
      </c>
      <c r="F2050" t="s">
        <v>108</v>
      </c>
      <c r="H2050" t="s">
        <v>13846</v>
      </c>
      <c r="I2050" t="s">
        <v>390</v>
      </c>
      <c r="J2050" t="s">
        <v>111</v>
      </c>
      <c r="K2050" t="str">
        <f>"85042"</f>
        <v>85042</v>
      </c>
      <c r="L2050" t="s">
        <v>6601</v>
      </c>
      <c r="M2050" t="s">
        <v>13846</v>
      </c>
      <c r="N2050" t="s">
        <v>390</v>
      </c>
      <c r="O2050" t="s">
        <v>111</v>
      </c>
      <c r="P2050" t="str">
        <f>"85042-7264"</f>
        <v>85042-7264</v>
      </c>
      <c r="Q2050" t="s">
        <v>113</v>
      </c>
      <c r="R2050" t="str">
        <f>"301-23-063"</f>
        <v>301-23-063</v>
      </c>
      <c r="S2050" t="s">
        <v>13847</v>
      </c>
      <c r="T2050" t="s">
        <v>13848</v>
      </c>
      <c r="U2050">
        <v>1630</v>
      </c>
      <c r="V2050">
        <v>0</v>
      </c>
      <c r="W2050">
        <v>3</v>
      </c>
      <c r="X2050">
        <v>1998</v>
      </c>
      <c r="Z2050">
        <v>1</v>
      </c>
      <c r="AB2050">
        <v>0</v>
      </c>
      <c r="AC2050" t="s">
        <v>115</v>
      </c>
      <c r="AD2050">
        <v>2</v>
      </c>
      <c r="AE2050" t="s">
        <v>115</v>
      </c>
      <c r="AF2050">
        <v>0</v>
      </c>
      <c r="AG2050">
        <v>0</v>
      </c>
      <c r="AH2050" t="s">
        <v>116</v>
      </c>
      <c r="AI2050" s="1">
        <v>70729</v>
      </c>
      <c r="AJ2050" s="2">
        <v>0.26</v>
      </c>
      <c r="AK2050" s="1">
        <v>274040</v>
      </c>
      <c r="AL2050" t="s">
        <v>117</v>
      </c>
      <c r="AM2050" t="s">
        <v>191</v>
      </c>
      <c r="AN2050">
        <v>5580</v>
      </c>
      <c r="AO2050">
        <v>0.13</v>
      </c>
      <c r="AP2050">
        <v>1</v>
      </c>
      <c r="AR2050">
        <v>1</v>
      </c>
      <c r="AS2050" s="1">
        <v>17960</v>
      </c>
      <c r="AT2050" s="1">
        <v>3590</v>
      </c>
      <c r="AU2050" s="1">
        <v>14370</v>
      </c>
      <c r="AV2050">
        <v>80.010000000000005</v>
      </c>
      <c r="AX2050" s="1">
        <v>2344.06</v>
      </c>
      <c r="AY2050" t="s">
        <v>6115</v>
      </c>
      <c r="AZ2050" t="s">
        <v>6115</v>
      </c>
      <c r="BA2050" t="s">
        <v>2860</v>
      </c>
      <c r="BB2050" s="3">
        <v>42489</v>
      </c>
      <c r="BD2050" t="s">
        <v>240</v>
      </c>
      <c r="BE2050" s="3">
        <v>41820</v>
      </c>
      <c r="BF2050" s="1">
        <v>199900</v>
      </c>
      <c r="BG2050" t="s">
        <v>13849</v>
      </c>
      <c r="BH2050" s="1">
        <v>122.64</v>
      </c>
      <c r="BI2050" s="1">
        <v>203311</v>
      </c>
      <c r="BJ2050" s="3">
        <v>42489</v>
      </c>
      <c r="BK2050" t="s">
        <v>123</v>
      </c>
      <c r="BL2050" t="str">
        <f>"2016.292249"</f>
        <v>2016.292249</v>
      </c>
      <c r="BM2050" t="s">
        <v>1544</v>
      </c>
      <c r="BO2050" t="s">
        <v>13850</v>
      </c>
      <c r="BS2050">
        <v>30</v>
      </c>
      <c r="BW2050" t="str">
        <f>""</f>
        <v/>
      </c>
      <c r="CH2050" t="str">
        <f>""</f>
        <v/>
      </c>
      <c r="CS2050" t="str">
        <f>""</f>
        <v/>
      </c>
    </row>
    <row r="2051" spans="1:97" x14ac:dyDescent="0.25">
      <c r="A2051" t="s">
        <v>464</v>
      </c>
      <c r="B2051" t="s">
        <v>13851</v>
      </c>
      <c r="C2051" t="s">
        <v>5633</v>
      </c>
      <c r="D2051" t="s">
        <v>13851</v>
      </c>
      <c r="E2051" t="s">
        <v>13852</v>
      </c>
      <c r="F2051" t="s">
        <v>108</v>
      </c>
      <c r="H2051" t="s">
        <v>13853</v>
      </c>
      <c r="I2051" t="s">
        <v>225</v>
      </c>
      <c r="J2051" t="s">
        <v>111</v>
      </c>
      <c r="K2051" t="str">
        <f>"85215"</f>
        <v>85215</v>
      </c>
      <c r="L2051" t="s">
        <v>8255</v>
      </c>
      <c r="M2051" t="s">
        <v>13853</v>
      </c>
      <c r="N2051" t="s">
        <v>225</v>
      </c>
      <c r="O2051" t="s">
        <v>111</v>
      </c>
      <c r="P2051" t="str">
        <f>"85215-1577"</f>
        <v>85215-1577</v>
      </c>
      <c r="Q2051" t="s">
        <v>113</v>
      </c>
      <c r="R2051" t="str">
        <f>"141-93-245"</f>
        <v>141-93-245</v>
      </c>
      <c r="S2051" t="s">
        <v>13854</v>
      </c>
      <c r="T2051" t="s">
        <v>758</v>
      </c>
      <c r="U2051">
        <v>1706</v>
      </c>
      <c r="V2051">
        <v>0</v>
      </c>
      <c r="W2051">
        <v>3</v>
      </c>
      <c r="X2051">
        <v>1994</v>
      </c>
      <c r="Z2051">
        <v>1</v>
      </c>
      <c r="AB2051">
        <v>0</v>
      </c>
      <c r="AC2051" t="s">
        <v>115</v>
      </c>
      <c r="AD2051">
        <v>2</v>
      </c>
      <c r="AE2051" t="s">
        <v>115</v>
      </c>
      <c r="AF2051">
        <v>0</v>
      </c>
      <c r="AG2051">
        <v>0</v>
      </c>
      <c r="AH2051" t="s">
        <v>116</v>
      </c>
      <c r="AI2051" s="1">
        <v>84675</v>
      </c>
      <c r="AJ2051" s="2">
        <v>0.28000000000000003</v>
      </c>
      <c r="AK2051" s="1">
        <v>301233</v>
      </c>
      <c r="AL2051" t="s">
        <v>117</v>
      </c>
      <c r="AM2051" t="s">
        <v>393</v>
      </c>
      <c r="AN2051">
        <v>7667</v>
      </c>
      <c r="AO2051">
        <v>0.18</v>
      </c>
      <c r="AP2051">
        <v>1</v>
      </c>
      <c r="AR2051">
        <v>1</v>
      </c>
      <c r="AS2051" s="1">
        <v>21210</v>
      </c>
      <c r="AT2051" s="1">
        <v>4240</v>
      </c>
      <c r="AU2051" s="1">
        <v>16970</v>
      </c>
      <c r="AV2051">
        <v>80.010000000000005</v>
      </c>
      <c r="AX2051" s="1">
        <v>1668.34</v>
      </c>
      <c r="AY2051" t="s">
        <v>6662</v>
      </c>
      <c r="AZ2051" t="s">
        <v>5275</v>
      </c>
      <c r="BA2051" t="s">
        <v>3119</v>
      </c>
      <c r="BE2051" s="3">
        <v>41726</v>
      </c>
      <c r="BF2051" s="1">
        <v>212000</v>
      </c>
      <c r="BG2051" t="s">
        <v>13855</v>
      </c>
      <c r="BH2051" s="1">
        <v>124.27</v>
      </c>
      <c r="BI2051" s="1">
        <v>216558</v>
      </c>
      <c r="BJ2051" s="3">
        <v>41726</v>
      </c>
      <c r="BK2051" t="s">
        <v>123</v>
      </c>
      <c r="BL2051" t="str">
        <f>"2014.200886"</f>
        <v>2014.200886</v>
      </c>
      <c r="BM2051" t="s">
        <v>2716</v>
      </c>
      <c r="BO2051" t="s">
        <v>13856</v>
      </c>
      <c r="BS2051">
        <v>30</v>
      </c>
      <c r="BW2051" t="str">
        <f>""</f>
        <v/>
      </c>
      <c r="CH2051" t="str">
        <f>""</f>
        <v/>
      </c>
      <c r="CS2051" t="str">
        <f>""</f>
        <v/>
      </c>
    </row>
    <row r="2052" spans="1:97" x14ac:dyDescent="0.25">
      <c r="A2052" t="s">
        <v>701</v>
      </c>
      <c r="B2052" t="s">
        <v>3028</v>
      </c>
      <c r="E2052" t="s">
        <v>13857</v>
      </c>
      <c r="F2052" t="s">
        <v>108</v>
      </c>
      <c r="H2052" t="s">
        <v>13858</v>
      </c>
      <c r="I2052" t="s">
        <v>499</v>
      </c>
      <c r="J2052" t="s">
        <v>111</v>
      </c>
      <c r="K2052" t="str">
        <f>"85395"</f>
        <v>85395</v>
      </c>
      <c r="L2052" t="s">
        <v>541</v>
      </c>
      <c r="M2052" t="s">
        <v>13858</v>
      </c>
      <c r="N2052" t="s">
        <v>499</v>
      </c>
      <c r="O2052" t="s">
        <v>111</v>
      </c>
      <c r="P2052" t="str">
        <f>"85395-7101"</f>
        <v>85395-7101</v>
      </c>
      <c r="Q2052" t="s">
        <v>113</v>
      </c>
      <c r="R2052" t="str">
        <f>"508-14-873"</f>
        <v>508-14-873</v>
      </c>
      <c r="S2052" t="s">
        <v>7193</v>
      </c>
      <c r="T2052" t="s">
        <v>3018</v>
      </c>
      <c r="U2052">
        <v>3047</v>
      </c>
      <c r="V2052">
        <v>0</v>
      </c>
      <c r="W2052">
        <v>4</v>
      </c>
      <c r="X2052">
        <v>2015</v>
      </c>
      <c r="Z2052">
        <v>1</v>
      </c>
      <c r="AB2052">
        <v>0</v>
      </c>
      <c r="AC2052" t="s">
        <v>115</v>
      </c>
      <c r="AD2052">
        <v>2</v>
      </c>
      <c r="AE2052" t="s">
        <v>115</v>
      </c>
      <c r="AF2052">
        <v>0</v>
      </c>
      <c r="AG2052">
        <v>0</v>
      </c>
      <c r="AH2052" t="s">
        <v>116</v>
      </c>
      <c r="AI2052" s="1">
        <v>98116</v>
      </c>
      <c r="AJ2052" s="2">
        <v>0.22</v>
      </c>
      <c r="AK2052" s="1">
        <v>436801</v>
      </c>
      <c r="AL2052" t="s">
        <v>117</v>
      </c>
      <c r="AM2052" t="s">
        <v>118</v>
      </c>
      <c r="AN2052">
        <v>10068</v>
      </c>
      <c r="AO2052">
        <v>0.23</v>
      </c>
      <c r="AR2052">
        <v>1</v>
      </c>
      <c r="AS2052" s="1">
        <v>30130</v>
      </c>
      <c r="AT2052" s="1">
        <v>6020</v>
      </c>
      <c r="AU2052" s="1">
        <v>24110</v>
      </c>
      <c r="AV2052">
        <v>80.02</v>
      </c>
      <c r="AX2052" s="1">
        <v>2964.04</v>
      </c>
      <c r="AY2052" t="s">
        <v>3019</v>
      </c>
      <c r="AZ2052" t="s">
        <v>3020</v>
      </c>
      <c r="BA2052" t="s">
        <v>218</v>
      </c>
      <c r="BE2052" s="3">
        <v>42185</v>
      </c>
      <c r="BF2052" s="1">
        <v>330269</v>
      </c>
      <c r="BG2052" t="s">
        <v>459</v>
      </c>
      <c r="BH2052" s="1">
        <v>108.39</v>
      </c>
      <c r="BI2052" s="1">
        <v>338685</v>
      </c>
      <c r="BJ2052" s="3">
        <v>42563</v>
      </c>
      <c r="BK2052" t="s">
        <v>123</v>
      </c>
      <c r="BL2052" t="str">
        <f>"2016.487170"</f>
        <v>2016.487170</v>
      </c>
      <c r="BM2052" t="s">
        <v>724</v>
      </c>
      <c r="BO2052" t="s">
        <v>13859</v>
      </c>
      <c r="BP2052" t="s">
        <v>13860</v>
      </c>
      <c r="BS2052">
        <v>30</v>
      </c>
      <c r="BW2052" t="str">
        <f>""</f>
        <v/>
      </c>
      <c r="CH2052" t="str">
        <f>""</f>
        <v/>
      </c>
      <c r="CS2052" t="str">
        <f>""</f>
        <v/>
      </c>
    </row>
    <row r="2053" spans="1:97" x14ac:dyDescent="0.25">
      <c r="A2053" t="s">
        <v>6158</v>
      </c>
      <c r="B2053" t="s">
        <v>13861</v>
      </c>
      <c r="C2053" t="s">
        <v>585</v>
      </c>
      <c r="D2053" t="s">
        <v>13861</v>
      </c>
      <c r="E2053" t="s">
        <v>13862</v>
      </c>
      <c r="F2053" t="s">
        <v>108</v>
      </c>
      <c r="H2053" t="s">
        <v>13863</v>
      </c>
      <c r="I2053" t="s">
        <v>499</v>
      </c>
      <c r="J2053" t="s">
        <v>111</v>
      </c>
      <c r="K2053" t="str">
        <f>"85338"</f>
        <v>85338</v>
      </c>
      <c r="L2053" t="s">
        <v>5239</v>
      </c>
      <c r="M2053" t="s">
        <v>13863</v>
      </c>
      <c r="N2053" t="s">
        <v>499</v>
      </c>
      <c r="O2053" t="s">
        <v>111</v>
      </c>
      <c r="P2053" t="str">
        <f>"85338-2818"</f>
        <v>85338-2818</v>
      </c>
      <c r="Q2053" t="s">
        <v>113</v>
      </c>
      <c r="R2053" t="str">
        <f>"500-05-114"</f>
        <v>500-05-114</v>
      </c>
      <c r="S2053" t="s">
        <v>13864</v>
      </c>
      <c r="U2053">
        <v>2556</v>
      </c>
      <c r="V2053">
        <v>0</v>
      </c>
      <c r="W2053">
        <v>4</v>
      </c>
      <c r="X2053">
        <v>1997</v>
      </c>
      <c r="Z2053">
        <v>2</v>
      </c>
      <c r="AB2053">
        <v>0</v>
      </c>
      <c r="AC2053" t="s">
        <v>115</v>
      </c>
      <c r="AD2053">
        <v>2</v>
      </c>
      <c r="AE2053" t="s">
        <v>115</v>
      </c>
      <c r="AF2053">
        <v>0</v>
      </c>
      <c r="AG2053">
        <v>0</v>
      </c>
      <c r="AH2053" t="s">
        <v>116</v>
      </c>
      <c r="AI2053" s="1">
        <v>25092</v>
      </c>
      <c r="AJ2053" s="2">
        <v>0.09</v>
      </c>
      <c r="AK2053" s="1">
        <v>280092</v>
      </c>
      <c r="AL2053" t="s">
        <v>117</v>
      </c>
      <c r="AM2053" t="s">
        <v>118</v>
      </c>
      <c r="AN2053">
        <v>7700</v>
      </c>
      <c r="AO2053">
        <v>0.18</v>
      </c>
      <c r="AP2053">
        <v>1</v>
      </c>
      <c r="AR2053">
        <v>1</v>
      </c>
      <c r="AS2053" s="1">
        <v>19280</v>
      </c>
      <c r="AT2053" s="1">
        <v>3850</v>
      </c>
      <c r="AU2053" s="1">
        <v>15430</v>
      </c>
      <c r="AV2053">
        <v>80.03</v>
      </c>
      <c r="AX2053" s="1">
        <v>1716.9</v>
      </c>
      <c r="AY2053" t="s">
        <v>11118</v>
      </c>
      <c r="AZ2053" t="s">
        <v>11118</v>
      </c>
      <c r="BA2053" t="s">
        <v>7186</v>
      </c>
      <c r="BE2053" s="3">
        <v>42432</v>
      </c>
      <c r="BF2053" s="1">
        <v>206900</v>
      </c>
      <c r="BG2053" t="s">
        <v>13865</v>
      </c>
      <c r="BH2053" s="1">
        <v>80.95</v>
      </c>
      <c r="BI2053" s="1">
        <v>255000</v>
      </c>
      <c r="BJ2053" s="3">
        <v>43307</v>
      </c>
      <c r="BK2053" t="s">
        <v>123</v>
      </c>
      <c r="BL2053" t="str">
        <f>"2018.566861"</f>
        <v>2018.566861</v>
      </c>
      <c r="BM2053" t="s">
        <v>13866</v>
      </c>
      <c r="BN2053" t="s">
        <v>13867</v>
      </c>
      <c r="BO2053" t="s">
        <v>13868</v>
      </c>
      <c r="BP2053" t="s">
        <v>13869</v>
      </c>
      <c r="BR2053" t="s">
        <v>139</v>
      </c>
      <c r="BW2053" t="str">
        <f>""</f>
        <v/>
      </c>
      <c r="CH2053" t="str">
        <f>""</f>
        <v/>
      </c>
      <c r="CS2053" t="str">
        <f>""</f>
        <v/>
      </c>
    </row>
    <row r="2054" spans="1:97" x14ac:dyDescent="0.25">
      <c r="B2054" t="s">
        <v>13870</v>
      </c>
      <c r="C2054" t="s">
        <v>524</v>
      </c>
      <c r="E2054" t="s">
        <v>13871</v>
      </c>
      <c r="F2054" t="s">
        <v>108</v>
      </c>
      <c r="H2054" t="s">
        <v>13872</v>
      </c>
      <c r="I2054" t="s">
        <v>203</v>
      </c>
      <c r="J2054" t="s">
        <v>111</v>
      </c>
      <c r="K2054" t="str">
        <f>"85297"</f>
        <v>85297</v>
      </c>
      <c r="L2054" t="s">
        <v>8335</v>
      </c>
      <c r="M2054" t="s">
        <v>13872</v>
      </c>
      <c r="N2054" t="s">
        <v>203</v>
      </c>
      <c r="O2054" t="s">
        <v>111</v>
      </c>
      <c r="P2054" t="str">
        <f>"85297-2408"</f>
        <v>85297-2408</v>
      </c>
      <c r="Q2054" t="s">
        <v>113</v>
      </c>
      <c r="R2054" t="str">
        <f>"313-17-513"</f>
        <v>313-17-513</v>
      </c>
      <c r="S2054" t="s">
        <v>12166</v>
      </c>
      <c r="T2054" t="s">
        <v>8579</v>
      </c>
      <c r="U2054">
        <v>2105</v>
      </c>
      <c r="V2054">
        <v>0</v>
      </c>
      <c r="W2054">
        <v>3</v>
      </c>
      <c r="X2054">
        <v>2011</v>
      </c>
      <c r="Z2054">
        <v>2</v>
      </c>
      <c r="AB2054">
        <v>0</v>
      </c>
      <c r="AC2054" t="s">
        <v>115</v>
      </c>
      <c r="AD2054">
        <v>2</v>
      </c>
      <c r="AE2054" t="s">
        <v>115</v>
      </c>
      <c r="AF2054">
        <v>0</v>
      </c>
      <c r="AG2054">
        <v>0</v>
      </c>
      <c r="AH2054" t="s">
        <v>116</v>
      </c>
      <c r="AI2054" s="1">
        <v>47866</v>
      </c>
      <c r="AJ2054" s="2">
        <v>0.16</v>
      </c>
      <c r="AK2054" s="1">
        <v>307866</v>
      </c>
      <c r="AL2054" t="s">
        <v>117</v>
      </c>
      <c r="AM2054" t="s">
        <v>288</v>
      </c>
      <c r="AN2054">
        <v>3221</v>
      </c>
      <c r="AO2054">
        <v>0.74</v>
      </c>
      <c r="AR2054">
        <v>1</v>
      </c>
      <c r="AS2054" s="1">
        <v>21260</v>
      </c>
      <c r="AT2054" s="1">
        <v>4250</v>
      </c>
      <c r="AU2054" s="1">
        <v>17010</v>
      </c>
      <c r="AV2054">
        <v>80.010000000000005</v>
      </c>
      <c r="AX2054" s="1">
        <v>1984.28</v>
      </c>
      <c r="AY2054" t="s">
        <v>8338</v>
      </c>
      <c r="AZ2054" t="s">
        <v>8338</v>
      </c>
      <c r="BA2054" t="s">
        <v>290</v>
      </c>
      <c r="BB2054" s="3">
        <v>43508</v>
      </c>
      <c r="BC2054" s="1">
        <v>0</v>
      </c>
      <c r="BD2054" t="s">
        <v>247</v>
      </c>
      <c r="BE2054" s="3">
        <v>42425</v>
      </c>
      <c r="BF2054" s="1">
        <v>240000</v>
      </c>
      <c r="BG2054" t="s">
        <v>13873</v>
      </c>
      <c r="BH2054" s="1">
        <v>114.01</v>
      </c>
      <c r="BI2054" s="1">
        <v>260000</v>
      </c>
      <c r="BJ2054" s="3">
        <v>43069</v>
      </c>
      <c r="BK2054" t="s">
        <v>123</v>
      </c>
      <c r="BL2054" t="str">
        <f>"2017.887900"</f>
        <v>2017.887900</v>
      </c>
      <c r="BM2054" t="s">
        <v>13874</v>
      </c>
      <c r="BN2054">
        <v>95661</v>
      </c>
      <c r="BO2054" t="s">
        <v>13875</v>
      </c>
      <c r="BS2054">
        <v>30</v>
      </c>
      <c r="BW2054" t="str">
        <f>""</f>
        <v/>
      </c>
      <c r="CH2054" t="str">
        <f>""</f>
        <v/>
      </c>
      <c r="CS2054" t="str">
        <f>""</f>
        <v/>
      </c>
    </row>
    <row r="2055" spans="1:97" x14ac:dyDescent="0.25">
      <c r="A2055" t="s">
        <v>13876</v>
      </c>
      <c r="B2055" t="s">
        <v>13877</v>
      </c>
      <c r="E2055" t="s">
        <v>13878</v>
      </c>
      <c r="F2055" t="s">
        <v>108</v>
      </c>
      <c r="H2055" t="s">
        <v>13879</v>
      </c>
      <c r="I2055" t="s">
        <v>499</v>
      </c>
      <c r="J2055" t="s">
        <v>111</v>
      </c>
      <c r="K2055" t="str">
        <f>"85338"</f>
        <v>85338</v>
      </c>
      <c r="L2055" t="s">
        <v>8255</v>
      </c>
      <c r="M2055" t="s">
        <v>13879</v>
      </c>
      <c r="N2055" t="s">
        <v>499</v>
      </c>
      <c r="O2055" t="s">
        <v>111</v>
      </c>
      <c r="P2055" t="str">
        <f>"85338-4014"</f>
        <v>85338-4014</v>
      </c>
      <c r="Q2055" t="s">
        <v>113</v>
      </c>
      <c r="R2055" t="str">
        <f>"502-39-347"</f>
        <v>502-39-347</v>
      </c>
      <c r="S2055" t="s">
        <v>13880</v>
      </c>
      <c r="T2055" t="s">
        <v>6318</v>
      </c>
      <c r="U2055">
        <v>2584</v>
      </c>
      <c r="V2055">
        <v>0</v>
      </c>
      <c r="W2055">
        <v>4</v>
      </c>
      <c r="X2055">
        <v>2007</v>
      </c>
      <c r="Z2055">
        <v>2</v>
      </c>
      <c r="AB2055">
        <v>0</v>
      </c>
      <c r="AC2055" t="s">
        <v>115</v>
      </c>
      <c r="AD2055">
        <v>2</v>
      </c>
      <c r="AE2055" t="s">
        <v>115</v>
      </c>
      <c r="AF2055">
        <v>0</v>
      </c>
      <c r="AG2055">
        <v>0</v>
      </c>
      <c r="AH2055" t="s">
        <v>116</v>
      </c>
      <c r="AI2055" s="1">
        <v>46942</v>
      </c>
      <c r="AJ2055" s="2">
        <v>0.16</v>
      </c>
      <c r="AK2055" s="1">
        <v>286994</v>
      </c>
      <c r="AL2055" t="s">
        <v>117</v>
      </c>
      <c r="AM2055" t="s">
        <v>118</v>
      </c>
      <c r="AN2055">
        <v>5500</v>
      </c>
      <c r="AO2055">
        <v>0.13</v>
      </c>
      <c r="AR2055">
        <v>1</v>
      </c>
      <c r="AS2055" s="1">
        <v>19580</v>
      </c>
      <c r="AT2055" s="1">
        <v>3910</v>
      </c>
      <c r="AU2055" s="1">
        <v>15670</v>
      </c>
      <c r="AV2055">
        <v>80.03</v>
      </c>
      <c r="AX2055" s="1">
        <v>1792.18</v>
      </c>
      <c r="AY2055" t="s">
        <v>4311</v>
      </c>
      <c r="AZ2055" t="s">
        <v>4311</v>
      </c>
      <c r="BA2055" t="s">
        <v>218</v>
      </c>
      <c r="BE2055" s="3">
        <v>42486</v>
      </c>
      <c r="BF2055" s="1">
        <v>235000</v>
      </c>
      <c r="BG2055" t="s">
        <v>13881</v>
      </c>
      <c r="BH2055" s="1">
        <v>90.94</v>
      </c>
      <c r="BI2055" s="1">
        <v>240052</v>
      </c>
      <c r="BJ2055" s="3">
        <v>42486</v>
      </c>
      <c r="BK2055" t="s">
        <v>123</v>
      </c>
      <c r="BL2055" t="str">
        <f>"2016.277160"</f>
        <v>2016.277160</v>
      </c>
      <c r="BM2055" t="s">
        <v>135</v>
      </c>
      <c r="BO2055" t="s">
        <v>13882</v>
      </c>
      <c r="BS2055">
        <v>30</v>
      </c>
      <c r="BW2055" t="str">
        <f>""</f>
        <v/>
      </c>
      <c r="CH2055" t="str">
        <f>""</f>
        <v/>
      </c>
      <c r="CS2055" t="str">
        <f>""</f>
        <v/>
      </c>
    </row>
    <row r="2056" spans="1:97" x14ac:dyDescent="0.25">
      <c r="B2056" t="s">
        <v>13883</v>
      </c>
      <c r="E2056" t="s">
        <v>13884</v>
      </c>
      <c r="F2056" t="s">
        <v>108</v>
      </c>
      <c r="H2056" t="s">
        <v>13885</v>
      </c>
      <c r="I2056" t="s">
        <v>225</v>
      </c>
      <c r="J2056" t="s">
        <v>111</v>
      </c>
      <c r="K2056" t="str">
        <f>"85213"</f>
        <v>85213</v>
      </c>
      <c r="L2056" t="s">
        <v>4159</v>
      </c>
      <c r="M2056" t="s">
        <v>13885</v>
      </c>
      <c r="N2056" t="s">
        <v>225</v>
      </c>
      <c r="O2056" t="s">
        <v>111</v>
      </c>
      <c r="P2056" t="str">
        <f>"85213-1967"</f>
        <v>85213-1967</v>
      </c>
      <c r="Q2056" t="s">
        <v>113</v>
      </c>
      <c r="R2056" t="str">
        <f>"141-18-133"</f>
        <v>141-18-133</v>
      </c>
      <c r="S2056" t="s">
        <v>5667</v>
      </c>
      <c r="T2056" t="s">
        <v>5668</v>
      </c>
      <c r="U2056">
        <v>2237</v>
      </c>
      <c r="V2056">
        <v>0</v>
      </c>
      <c r="W2056">
        <v>3</v>
      </c>
      <c r="X2056">
        <v>2015</v>
      </c>
      <c r="Z2056">
        <v>1</v>
      </c>
      <c r="AB2056">
        <v>0</v>
      </c>
      <c r="AC2056" t="s">
        <v>115</v>
      </c>
      <c r="AD2056">
        <v>2</v>
      </c>
      <c r="AE2056" t="s">
        <v>115</v>
      </c>
      <c r="AF2056">
        <v>0</v>
      </c>
      <c r="AG2056">
        <v>0</v>
      </c>
      <c r="AH2056" t="s">
        <v>116</v>
      </c>
      <c r="AI2056" s="1">
        <v>104668</v>
      </c>
      <c r="AJ2056" s="2">
        <v>0.27</v>
      </c>
      <c r="AK2056" s="1">
        <v>383573</v>
      </c>
      <c r="AL2056" t="s">
        <v>117</v>
      </c>
      <c r="AM2056" t="s">
        <v>917</v>
      </c>
      <c r="AN2056">
        <v>6285</v>
      </c>
      <c r="AO2056">
        <v>0.14000000000000001</v>
      </c>
      <c r="AR2056">
        <v>1</v>
      </c>
      <c r="AS2056" s="1">
        <v>26850</v>
      </c>
      <c r="AT2056" s="1">
        <v>5370</v>
      </c>
      <c r="AU2056" s="1">
        <v>21480</v>
      </c>
      <c r="AV2056">
        <v>80</v>
      </c>
      <c r="AX2056" s="1">
        <v>2261.7399999999998</v>
      </c>
      <c r="AY2056" t="s">
        <v>4162</v>
      </c>
      <c r="AZ2056" t="s">
        <v>4163</v>
      </c>
      <c r="BA2056" t="s">
        <v>1524</v>
      </c>
      <c r="BB2056" s="3">
        <v>43186</v>
      </c>
      <c r="BC2056" s="1">
        <v>0</v>
      </c>
      <c r="BD2056" t="s">
        <v>247</v>
      </c>
      <c r="BE2056" s="3">
        <v>42158</v>
      </c>
      <c r="BF2056" s="1">
        <v>273035</v>
      </c>
      <c r="BG2056" t="s">
        <v>2842</v>
      </c>
      <c r="BH2056" s="1">
        <v>122.05</v>
      </c>
      <c r="BI2056" s="1">
        <v>278905</v>
      </c>
      <c r="BJ2056" s="3">
        <v>42158</v>
      </c>
      <c r="BK2056" t="s">
        <v>123</v>
      </c>
      <c r="BL2056" t="str">
        <f>"2015.395037"</f>
        <v>2015.395037</v>
      </c>
      <c r="BM2056" t="s">
        <v>1325</v>
      </c>
      <c r="BN2056" t="s">
        <v>13886</v>
      </c>
      <c r="BO2056" t="s">
        <v>13887</v>
      </c>
      <c r="BS2056">
        <v>30</v>
      </c>
      <c r="BW2056" t="str">
        <f>""</f>
        <v/>
      </c>
      <c r="CH2056" t="str">
        <f>""</f>
        <v/>
      </c>
      <c r="CS2056" t="str">
        <f>""</f>
        <v/>
      </c>
    </row>
    <row r="2057" spans="1:97" x14ac:dyDescent="0.25">
      <c r="A2057" t="s">
        <v>489</v>
      </c>
      <c r="B2057" t="s">
        <v>13888</v>
      </c>
      <c r="E2057" t="s">
        <v>13889</v>
      </c>
      <c r="F2057" t="s">
        <v>108</v>
      </c>
      <c r="H2057" t="s">
        <v>13890</v>
      </c>
      <c r="I2057" t="s">
        <v>144</v>
      </c>
      <c r="J2057" t="s">
        <v>111</v>
      </c>
      <c r="K2057" t="str">
        <f>"85326"</f>
        <v>85326</v>
      </c>
      <c r="L2057" t="s">
        <v>8146</v>
      </c>
      <c r="M2057" t="s">
        <v>13890</v>
      </c>
      <c r="N2057" t="s">
        <v>144</v>
      </c>
      <c r="O2057" t="s">
        <v>111</v>
      </c>
      <c r="P2057" t="str">
        <f>"85326-8203"</f>
        <v>85326-8203</v>
      </c>
      <c r="Q2057" t="s">
        <v>113</v>
      </c>
      <c r="R2057" t="str">
        <f>"502-35-735"</f>
        <v>502-35-735</v>
      </c>
      <c r="S2057" t="s">
        <v>13891</v>
      </c>
      <c r="U2057">
        <v>1850</v>
      </c>
      <c r="V2057">
        <v>0</v>
      </c>
      <c r="W2057">
        <v>4</v>
      </c>
      <c r="X2057">
        <v>2012</v>
      </c>
      <c r="Z2057">
        <v>1</v>
      </c>
      <c r="AB2057">
        <v>0</v>
      </c>
      <c r="AC2057" t="s">
        <v>115</v>
      </c>
      <c r="AD2057">
        <v>2</v>
      </c>
      <c r="AE2057" t="s">
        <v>115</v>
      </c>
      <c r="AF2057">
        <v>0</v>
      </c>
      <c r="AG2057">
        <v>0</v>
      </c>
      <c r="AH2057" t="s">
        <v>116</v>
      </c>
      <c r="AI2057" s="1">
        <v>49179</v>
      </c>
      <c r="AJ2057" s="2">
        <v>0.19</v>
      </c>
      <c r="AK2057" s="1">
        <v>253479</v>
      </c>
      <c r="AL2057" t="s">
        <v>117</v>
      </c>
      <c r="AM2057" t="s">
        <v>118</v>
      </c>
      <c r="AN2057">
        <v>10392</v>
      </c>
      <c r="AO2057">
        <v>0.24</v>
      </c>
      <c r="AR2057">
        <v>1</v>
      </c>
      <c r="AS2057" s="1">
        <v>19320</v>
      </c>
      <c r="AT2057" s="1">
        <v>3860</v>
      </c>
      <c r="AU2057" s="1">
        <v>15460</v>
      </c>
      <c r="AV2057">
        <v>80.02</v>
      </c>
      <c r="AX2057" s="1">
        <v>1855.16</v>
      </c>
      <c r="AY2057" t="s">
        <v>2767</v>
      </c>
      <c r="AZ2057" t="s">
        <v>2767</v>
      </c>
      <c r="BA2057" t="s">
        <v>5025</v>
      </c>
      <c r="BE2057" s="3">
        <v>42468</v>
      </c>
      <c r="BF2057" s="1">
        <v>200000</v>
      </c>
      <c r="BG2057" t="s">
        <v>13892</v>
      </c>
      <c r="BH2057" s="1">
        <v>108.11</v>
      </c>
      <c r="BI2057" s="1">
        <v>204300</v>
      </c>
      <c r="BJ2057" s="3">
        <v>42468</v>
      </c>
      <c r="BK2057" t="s">
        <v>123</v>
      </c>
      <c r="BL2057" t="str">
        <f>"2016.234462"</f>
        <v>2016.234462</v>
      </c>
      <c r="BM2057" t="s">
        <v>150</v>
      </c>
      <c r="BO2057" t="s">
        <v>13893</v>
      </c>
      <c r="BS2057">
        <v>30</v>
      </c>
      <c r="BW2057" t="str">
        <f>""</f>
        <v/>
      </c>
      <c r="CH2057" t="str">
        <f>""</f>
        <v/>
      </c>
      <c r="CS2057" t="str">
        <f>""</f>
        <v/>
      </c>
    </row>
    <row r="2058" spans="1:97" x14ac:dyDescent="0.25">
      <c r="A2058" t="s">
        <v>13894</v>
      </c>
      <c r="B2058" t="s">
        <v>13895</v>
      </c>
      <c r="E2058" t="s">
        <v>13896</v>
      </c>
      <c r="F2058" t="s">
        <v>108</v>
      </c>
      <c r="H2058" t="s">
        <v>13897</v>
      </c>
      <c r="I2058" t="s">
        <v>499</v>
      </c>
      <c r="J2058" t="s">
        <v>111</v>
      </c>
      <c r="K2058" t="str">
        <f>"85338"</f>
        <v>85338</v>
      </c>
      <c r="L2058" t="s">
        <v>7339</v>
      </c>
      <c r="M2058" t="s">
        <v>13897</v>
      </c>
      <c r="N2058" t="s">
        <v>499</v>
      </c>
      <c r="O2058" t="s">
        <v>111</v>
      </c>
      <c r="P2058" t="str">
        <f>"85338-5716"</f>
        <v>85338-5716</v>
      </c>
      <c r="Q2058" t="s">
        <v>113</v>
      </c>
      <c r="R2058" t="str">
        <f>"400-03-591"</f>
        <v>400-03-591</v>
      </c>
      <c r="S2058" t="s">
        <v>13898</v>
      </c>
      <c r="U2058">
        <v>1746</v>
      </c>
      <c r="V2058">
        <v>0</v>
      </c>
      <c r="W2058">
        <v>3</v>
      </c>
      <c r="X2058">
        <v>2001</v>
      </c>
      <c r="Z2058">
        <v>1</v>
      </c>
      <c r="AB2058">
        <v>0</v>
      </c>
      <c r="AC2058" t="s">
        <v>115</v>
      </c>
      <c r="AD2058">
        <v>2</v>
      </c>
      <c r="AE2058" t="s">
        <v>115</v>
      </c>
      <c r="AF2058">
        <v>0</v>
      </c>
      <c r="AG2058">
        <v>0</v>
      </c>
      <c r="AH2058" t="s">
        <v>116</v>
      </c>
      <c r="AI2058" s="1">
        <v>55929</v>
      </c>
      <c r="AJ2058" s="2">
        <v>0.21</v>
      </c>
      <c r="AK2058" s="1">
        <v>260929</v>
      </c>
      <c r="AL2058" t="s">
        <v>117</v>
      </c>
      <c r="AM2058" t="s">
        <v>118</v>
      </c>
      <c r="AN2058">
        <v>5720</v>
      </c>
      <c r="AO2058">
        <v>0.13</v>
      </c>
      <c r="AP2058">
        <v>1</v>
      </c>
      <c r="AR2058">
        <v>1</v>
      </c>
      <c r="AS2058" s="1">
        <v>17450</v>
      </c>
      <c r="AT2058" s="1">
        <v>3490</v>
      </c>
      <c r="AU2058" s="1">
        <v>13960</v>
      </c>
      <c r="AV2058">
        <v>80</v>
      </c>
      <c r="AX2058" s="1">
        <v>1429.68</v>
      </c>
      <c r="AY2058" t="s">
        <v>1246</v>
      </c>
      <c r="AZ2058" t="s">
        <v>1246</v>
      </c>
      <c r="BA2058" t="s">
        <v>1247</v>
      </c>
      <c r="BE2058" s="3">
        <v>42095</v>
      </c>
      <c r="BF2058" s="1">
        <v>173000</v>
      </c>
      <c r="BG2058" t="s">
        <v>13899</v>
      </c>
      <c r="BH2058" s="1">
        <v>99.08</v>
      </c>
      <c r="BI2058" s="1">
        <v>205000</v>
      </c>
      <c r="BJ2058" s="3">
        <v>43627</v>
      </c>
      <c r="BK2058" t="s">
        <v>123</v>
      </c>
      <c r="BL2058" t="str">
        <f>"2019.433064"</f>
        <v>2019.433064</v>
      </c>
      <c r="BM2058" t="s">
        <v>460</v>
      </c>
      <c r="BN2058" t="s">
        <v>1903</v>
      </c>
      <c r="BO2058" t="s">
        <v>13900</v>
      </c>
      <c r="BR2058" t="s">
        <v>139</v>
      </c>
      <c r="BW2058" t="str">
        <f>""</f>
        <v/>
      </c>
      <c r="CH2058" t="str">
        <f>""</f>
        <v/>
      </c>
      <c r="CS2058" t="str">
        <f>""</f>
        <v/>
      </c>
    </row>
    <row r="2059" spans="1:97" x14ac:dyDescent="0.25">
      <c r="A2059" t="s">
        <v>13901</v>
      </c>
      <c r="B2059" t="s">
        <v>13902</v>
      </c>
      <c r="C2059" t="s">
        <v>13903</v>
      </c>
      <c r="D2059" t="s">
        <v>13902</v>
      </c>
      <c r="E2059" t="s">
        <v>13904</v>
      </c>
      <c r="F2059" t="s">
        <v>108</v>
      </c>
      <c r="H2059" t="s">
        <v>13905</v>
      </c>
      <c r="I2059" t="s">
        <v>203</v>
      </c>
      <c r="J2059" t="s">
        <v>111</v>
      </c>
      <c r="K2059" t="str">
        <f>"85296"</f>
        <v>85296</v>
      </c>
      <c r="L2059" t="s">
        <v>4467</v>
      </c>
      <c r="M2059" t="s">
        <v>13905</v>
      </c>
      <c r="N2059" t="s">
        <v>203</v>
      </c>
      <c r="O2059" t="s">
        <v>111</v>
      </c>
      <c r="P2059" t="str">
        <f>"85296-8953"</f>
        <v>85296-8953</v>
      </c>
      <c r="Q2059" t="s">
        <v>113</v>
      </c>
      <c r="R2059" t="str">
        <f>"304-27-261"</f>
        <v>304-27-261</v>
      </c>
      <c r="S2059" t="s">
        <v>13906</v>
      </c>
      <c r="U2059">
        <v>1618</v>
      </c>
      <c r="V2059">
        <v>0</v>
      </c>
      <c r="W2059">
        <v>3</v>
      </c>
      <c r="X2059">
        <v>1998</v>
      </c>
      <c r="Z2059">
        <v>1</v>
      </c>
      <c r="AB2059">
        <v>0</v>
      </c>
      <c r="AC2059" t="s">
        <v>115</v>
      </c>
      <c r="AD2059">
        <v>2</v>
      </c>
      <c r="AE2059" t="s">
        <v>115</v>
      </c>
      <c r="AF2059">
        <v>0</v>
      </c>
      <c r="AG2059">
        <v>0</v>
      </c>
      <c r="AH2059" t="s">
        <v>116</v>
      </c>
      <c r="AI2059" s="1">
        <v>86636</v>
      </c>
      <c r="AJ2059" s="2">
        <v>0.28999999999999998</v>
      </c>
      <c r="AK2059" s="1">
        <v>303566</v>
      </c>
      <c r="AL2059" t="s">
        <v>117</v>
      </c>
      <c r="AM2059" t="s">
        <v>191</v>
      </c>
      <c r="AN2059">
        <v>11840</v>
      </c>
      <c r="AO2059">
        <v>0.27</v>
      </c>
      <c r="AP2059">
        <v>1</v>
      </c>
      <c r="AR2059">
        <v>1</v>
      </c>
      <c r="AS2059" s="1">
        <v>21610</v>
      </c>
      <c r="AT2059" s="1">
        <v>4320</v>
      </c>
      <c r="AU2059" s="1">
        <v>17290</v>
      </c>
      <c r="AV2059">
        <v>80.010000000000005</v>
      </c>
      <c r="AX2059" s="1">
        <v>1599.8</v>
      </c>
      <c r="AY2059" t="s">
        <v>5094</v>
      </c>
      <c r="AZ2059" t="s">
        <v>5094</v>
      </c>
      <c r="BA2059" t="s">
        <v>473</v>
      </c>
      <c r="BE2059" s="3">
        <v>42167</v>
      </c>
      <c r="BF2059" s="1">
        <v>210000</v>
      </c>
      <c r="BG2059" t="s">
        <v>13907</v>
      </c>
      <c r="BH2059" s="1">
        <v>129.79</v>
      </c>
      <c r="BI2059" s="1">
        <v>216930</v>
      </c>
      <c r="BJ2059" s="3">
        <v>42167</v>
      </c>
      <c r="BK2059" t="s">
        <v>123</v>
      </c>
      <c r="BL2059" t="str">
        <f>"2015.422864"</f>
        <v>2015.422864</v>
      </c>
      <c r="BM2059" t="s">
        <v>150</v>
      </c>
      <c r="BO2059" t="s">
        <v>13908</v>
      </c>
      <c r="BS2059">
        <v>30</v>
      </c>
      <c r="BW2059" t="str">
        <f>""</f>
        <v/>
      </c>
      <c r="CH2059" t="str">
        <f>""</f>
        <v/>
      </c>
      <c r="CS2059" t="str">
        <f>""</f>
        <v/>
      </c>
    </row>
    <row r="2060" spans="1:97" x14ac:dyDescent="0.25">
      <c r="A2060" t="s">
        <v>13909</v>
      </c>
      <c r="B2060" t="s">
        <v>13910</v>
      </c>
      <c r="E2060" t="s">
        <v>13911</v>
      </c>
      <c r="F2060" t="s">
        <v>108</v>
      </c>
      <c r="H2060" t="s">
        <v>13912</v>
      </c>
      <c r="I2060" t="s">
        <v>390</v>
      </c>
      <c r="J2060" t="s">
        <v>111</v>
      </c>
      <c r="K2060" t="str">
        <f>"85032"</f>
        <v>85032</v>
      </c>
      <c r="L2060" t="s">
        <v>6003</v>
      </c>
      <c r="M2060" t="s">
        <v>13912</v>
      </c>
      <c r="N2060" t="s">
        <v>390</v>
      </c>
      <c r="O2060" t="s">
        <v>111</v>
      </c>
      <c r="P2060" t="str">
        <f>"85032-4924"</f>
        <v>85032-4924</v>
      </c>
      <c r="R2060" t="str">
        <f>"214-66-112"</f>
        <v>214-66-112</v>
      </c>
      <c r="S2060" t="s">
        <v>13913</v>
      </c>
      <c r="T2060" t="s">
        <v>13913</v>
      </c>
      <c r="U2060">
        <v>1638</v>
      </c>
      <c r="V2060">
        <v>0</v>
      </c>
      <c r="W2060">
        <v>3</v>
      </c>
      <c r="X2060">
        <v>1970</v>
      </c>
      <c r="Z2060">
        <v>1</v>
      </c>
      <c r="AA2060" t="s">
        <v>26</v>
      </c>
      <c r="AB2060">
        <v>0</v>
      </c>
      <c r="AC2060" t="s">
        <v>5188</v>
      </c>
      <c r="AD2060">
        <v>1</v>
      </c>
      <c r="AE2060" t="s">
        <v>5188</v>
      </c>
      <c r="AF2060">
        <v>0</v>
      </c>
      <c r="AG2060">
        <v>0</v>
      </c>
      <c r="AH2060" t="s">
        <v>116</v>
      </c>
      <c r="AI2060" s="1">
        <v>64915</v>
      </c>
      <c r="AJ2060" s="2">
        <v>0.22</v>
      </c>
      <c r="AK2060" s="1">
        <v>291113</v>
      </c>
      <c r="AL2060" t="s">
        <v>117</v>
      </c>
      <c r="AM2060" t="s">
        <v>191</v>
      </c>
      <c r="AN2060">
        <v>8641</v>
      </c>
      <c r="AO2060">
        <v>0.2</v>
      </c>
      <c r="AP2060">
        <v>1</v>
      </c>
      <c r="AR2060">
        <v>1</v>
      </c>
      <c r="AS2060" s="1">
        <v>20070</v>
      </c>
      <c r="AT2060" s="1">
        <v>4010</v>
      </c>
      <c r="AU2060" s="1">
        <v>16060</v>
      </c>
      <c r="AV2060">
        <v>80.02</v>
      </c>
      <c r="AX2060" s="1">
        <v>1560.32</v>
      </c>
      <c r="AY2060" t="s">
        <v>13914</v>
      </c>
      <c r="AZ2060" t="s">
        <v>5231</v>
      </c>
      <c r="BA2060" t="s">
        <v>2551</v>
      </c>
      <c r="BE2060" s="3">
        <v>42158</v>
      </c>
      <c r="BF2060" s="1">
        <v>224900</v>
      </c>
      <c r="BG2060" t="s">
        <v>13915</v>
      </c>
      <c r="BH2060" s="1">
        <v>137.30000000000001</v>
      </c>
      <c r="BI2060" s="1">
        <v>219200</v>
      </c>
      <c r="BJ2060" s="3">
        <v>42158</v>
      </c>
      <c r="BK2060" t="s">
        <v>123</v>
      </c>
      <c r="BL2060" t="str">
        <f>"2015.395740"</f>
        <v>2015.395740</v>
      </c>
      <c r="BM2060" t="s">
        <v>2716</v>
      </c>
      <c r="BN2060" t="s">
        <v>13505</v>
      </c>
      <c r="BO2060" t="s">
        <v>13916</v>
      </c>
      <c r="BS2060">
        <v>30</v>
      </c>
      <c r="BT2060" s="1">
        <v>6998</v>
      </c>
      <c r="BU2060" s="3">
        <v>43318</v>
      </c>
      <c r="BW2060" t="str">
        <f>"2018.593708"</f>
        <v>2018.593708</v>
      </c>
      <c r="BX2060" t="s">
        <v>9881</v>
      </c>
      <c r="BY2060" t="s">
        <v>9882</v>
      </c>
      <c r="BZ2060" t="s">
        <v>13917</v>
      </c>
      <c r="CC2060" t="s">
        <v>346</v>
      </c>
      <c r="CH2060" t="str">
        <f>""</f>
        <v/>
      </c>
      <c r="CS2060" t="str">
        <f>""</f>
        <v/>
      </c>
    </row>
    <row r="2061" spans="1:97" x14ac:dyDescent="0.25">
      <c r="A2061" t="s">
        <v>13918</v>
      </c>
      <c r="B2061" t="s">
        <v>13919</v>
      </c>
      <c r="C2061" t="s">
        <v>1666</v>
      </c>
      <c r="D2061" t="s">
        <v>13919</v>
      </c>
      <c r="E2061" t="s">
        <v>13920</v>
      </c>
      <c r="F2061" t="s">
        <v>108</v>
      </c>
      <c r="H2061" t="s">
        <v>13921</v>
      </c>
      <c r="I2061" t="s">
        <v>390</v>
      </c>
      <c r="J2061" t="s">
        <v>111</v>
      </c>
      <c r="K2061" t="str">
        <f>"85032"</f>
        <v>85032</v>
      </c>
      <c r="L2061" t="s">
        <v>5176</v>
      </c>
      <c r="M2061" t="s">
        <v>13921</v>
      </c>
      <c r="N2061" t="s">
        <v>390</v>
      </c>
      <c r="O2061" t="s">
        <v>111</v>
      </c>
      <c r="P2061" t="str">
        <f>"85032-4846"</f>
        <v>85032-4846</v>
      </c>
      <c r="Q2061" t="s">
        <v>113</v>
      </c>
      <c r="R2061" t="str">
        <f>"215-70-144"</f>
        <v>215-70-144</v>
      </c>
      <c r="S2061" t="s">
        <v>13922</v>
      </c>
      <c r="T2061" t="s">
        <v>13923</v>
      </c>
      <c r="U2061">
        <v>1687</v>
      </c>
      <c r="V2061">
        <v>0</v>
      </c>
      <c r="W2061">
        <v>3</v>
      </c>
      <c r="X2061">
        <v>1983</v>
      </c>
      <c r="Z2061">
        <v>1</v>
      </c>
      <c r="AA2061" t="s">
        <v>26</v>
      </c>
      <c r="AB2061">
        <v>0</v>
      </c>
      <c r="AC2061" t="s">
        <v>115</v>
      </c>
      <c r="AD2061">
        <v>2</v>
      </c>
      <c r="AE2061" t="s">
        <v>115</v>
      </c>
      <c r="AF2061">
        <v>0</v>
      </c>
      <c r="AG2061">
        <v>0</v>
      </c>
      <c r="AH2061" t="s">
        <v>116</v>
      </c>
      <c r="AI2061" s="1">
        <v>42242</v>
      </c>
      <c r="AJ2061" s="2">
        <v>0.11</v>
      </c>
      <c r="AK2061" s="1">
        <v>377967</v>
      </c>
      <c r="AL2061" t="s">
        <v>117</v>
      </c>
      <c r="AM2061" t="s">
        <v>1302</v>
      </c>
      <c r="AN2061">
        <v>11466</v>
      </c>
      <c r="AO2061">
        <v>0.26</v>
      </c>
      <c r="AP2061">
        <v>1</v>
      </c>
      <c r="AR2061">
        <v>1</v>
      </c>
      <c r="AS2061" s="1">
        <v>26700</v>
      </c>
      <c r="AT2061" s="1">
        <v>5340</v>
      </c>
      <c r="AU2061" s="1">
        <v>21360</v>
      </c>
      <c r="AV2061">
        <v>80</v>
      </c>
      <c r="AX2061" s="1">
        <v>2078.5</v>
      </c>
      <c r="AY2061" t="s">
        <v>1316</v>
      </c>
      <c r="AZ2061" t="s">
        <v>1317</v>
      </c>
      <c r="BA2061" t="s">
        <v>1318</v>
      </c>
      <c r="BE2061" s="3">
        <v>42527</v>
      </c>
      <c r="BF2061" s="1">
        <v>325000</v>
      </c>
      <c r="BG2061" t="s">
        <v>13924</v>
      </c>
      <c r="BH2061" s="1">
        <v>192.65</v>
      </c>
      <c r="BI2061" s="1">
        <v>335725</v>
      </c>
      <c r="BJ2061" s="3">
        <v>42527</v>
      </c>
      <c r="BK2061" t="s">
        <v>123</v>
      </c>
      <c r="BL2061" t="str">
        <f>"2016.389419"</f>
        <v>2016.389419</v>
      </c>
      <c r="BM2061" t="s">
        <v>5747</v>
      </c>
      <c r="BO2061" t="s">
        <v>13925</v>
      </c>
      <c r="BS2061">
        <v>30</v>
      </c>
      <c r="BW2061" t="str">
        <f>""</f>
        <v/>
      </c>
      <c r="CH2061" t="str">
        <f>""</f>
        <v/>
      </c>
      <c r="CS2061" t="str">
        <f>""</f>
        <v/>
      </c>
    </row>
    <row r="2062" spans="1:97" x14ac:dyDescent="0.25">
      <c r="A2062" t="s">
        <v>257</v>
      </c>
      <c r="B2062" t="s">
        <v>13926</v>
      </c>
      <c r="C2062" t="s">
        <v>13927</v>
      </c>
      <c r="D2062" t="s">
        <v>13926</v>
      </c>
      <c r="E2062" t="s">
        <v>13928</v>
      </c>
      <c r="F2062" t="s">
        <v>282</v>
      </c>
      <c r="H2062" t="s">
        <v>13929</v>
      </c>
      <c r="I2062" t="s">
        <v>499</v>
      </c>
      <c r="J2062" t="s">
        <v>111</v>
      </c>
      <c r="K2062" t="str">
        <f>"85395"</f>
        <v>85395</v>
      </c>
      <c r="L2062" t="s">
        <v>7147</v>
      </c>
      <c r="M2062" t="s">
        <v>13930</v>
      </c>
      <c r="N2062" t="s">
        <v>499</v>
      </c>
      <c r="O2062" t="s">
        <v>111</v>
      </c>
      <c r="P2062" t="str">
        <f>"85395-2420"</f>
        <v>85395-2420</v>
      </c>
      <c r="Q2062" t="s">
        <v>113</v>
      </c>
      <c r="R2062" t="str">
        <f>"508-01-353"</f>
        <v>508-01-353</v>
      </c>
      <c r="S2062" t="s">
        <v>7148</v>
      </c>
      <c r="T2062" t="s">
        <v>7149</v>
      </c>
      <c r="U2062">
        <v>2635</v>
      </c>
      <c r="V2062">
        <v>0</v>
      </c>
      <c r="W2062">
        <v>4</v>
      </c>
      <c r="X2062">
        <v>2001</v>
      </c>
      <c r="Z2062">
        <v>2</v>
      </c>
      <c r="AA2062" t="s">
        <v>26</v>
      </c>
      <c r="AB2062">
        <v>0</v>
      </c>
      <c r="AC2062" t="s">
        <v>115</v>
      </c>
      <c r="AD2062">
        <v>2</v>
      </c>
      <c r="AE2062" t="s">
        <v>115</v>
      </c>
      <c r="AF2062">
        <v>0</v>
      </c>
      <c r="AG2062">
        <v>0</v>
      </c>
      <c r="AH2062" t="s">
        <v>116</v>
      </c>
      <c r="AI2062" s="1">
        <v>31018</v>
      </c>
      <c r="AJ2062" s="2">
        <v>0.09</v>
      </c>
      <c r="AK2062" s="1">
        <v>348045</v>
      </c>
      <c r="AL2062" t="s">
        <v>117</v>
      </c>
      <c r="AM2062" t="s">
        <v>118</v>
      </c>
      <c r="AN2062">
        <v>11907</v>
      </c>
      <c r="AO2062">
        <v>0.27</v>
      </c>
      <c r="AP2062">
        <v>1</v>
      </c>
      <c r="AR2062">
        <v>1</v>
      </c>
      <c r="AS2062" s="1">
        <v>24010</v>
      </c>
      <c r="AT2062" s="1">
        <v>4800</v>
      </c>
      <c r="AU2062" s="1">
        <v>19210</v>
      </c>
      <c r="AV2062">
        <v>80.010000000000005</v>
      </c>
      <c r="AX2062" s="1">
        <v>2818.22</v>
      </c>
      <c r="AY2062" t="s">
        <v>11553</v>
      </c>
      <c r="AZ2062" t="s">
        <v>11553</v>
      </c>
      <c r="BA2062" t="s">
        <v>3154</v>
      </c>
      <c r="BE2062" s="3">
        <v>42243</v>
      </c>
      <c r="BF2062" s="1">
        <v>302000</v>
      </c>
      <c r="BG2062" t="s">
        <v>13931</v>
      </c>
      <c r="BH2062" s="1">
        <v>114.61</v>
      </c>
      <c r="BI2062" s="1">
        <v>317027</v>
      </c>
      <c r="BJ2062" s="3">
        <v>42828</v>
      </c>
      <c r="BK2062" t="s">
        <v>123</v>
      </c>
      <c r="BL2062" t="str">
        <f>"2017.234576"</f>
        <v>2017.234576</v>
      </c>
      <c r="BM2062" t="s">
        <v>248</v>
      </c>
      <c r="BO2062" t="s">
        <v>13932</v>
      </c>
      <c r="BS2062">
        <v>30</v>
      </c>
      <c r="BW2062" t="str">
        <f>""</f>
        <v/>
      </c>
      <c r="CH2062" t="str">
        <f>""</f>
        <v/>
      </c>
      <c r="CS2062" t="str">
        <f>""</f>
        <v/>
      </c>
    </row>
    <row r="2063" spans="1:97" x14ac:dyDescent="0.25">
      <c r="A2063" t="s">
        <v>177</v>
      </c>
      <c r="B2063" t="s">
        <v>13933</v>
      </c>
      <c r="E2063" t="s">
        <v>13934</v>
      </c>
      <c r="F2063" t="s">
        <v>108</v>
      </c>
      <c r="H2063" t="s">
        <v>13935</v>
      </c>
      <c r="I2063" t="s">
        <v>632</v>
      </c>
      <c r="J2063" t="s">
        <v>111</v>
      </c>
      <c r="K2063" t="str">
        <f>"85388"</f>
        <v>85388</v>
      </c>
      <c r="L2063" t="s">
        <v>417</v>
      </c>
      <c r="M2063" t="s">
        <v>13935</v>
      </c>
      <c r="N2063" t="s">
        <v>632</v>
      </c>
      <c r="O2063" t="s">
        <v>111</v>
      </c>
      <c r="P2063" t="str">
        <f>"85388-7786"</f>
        <v>85388-7786</v>
      </c>
      <c r="Q2063" t="s">
        <v>113</v>
      </c>
      <c r="R2063" t="str">
        <f>"502-87-266"</f>
        <v>502-87-266</v>
      </c>
      <c r="S2063" t="s">
        <v>13936</v>
      </c>
      <c r="U2063">
        <v>2401</v>
      </c>
      <c r="V2063">
        <v>0</v>
      </c>
      <c r="W2063">
        <v>4</v>
      </c>
      <c r="X2063">
        <v>2004</v>
      </c>
      <c r="Z2063">
        <v>1</v>
      </c>
      <c r="AA2063" t="s">
        <v>26</v>
      </c>
      <c r="AB2063">
        <v>0</v>
      </c>
      <c r="AC2063" t="s">
        <v>115</v>
      </c>
      <c r="AD2063">
        <v>2</v>
      </c>
      <c r="AE2063" t="s">
        <v>115</v>
      </c>
      <c r="AF2063">
        <v>0</v>
      </c>
      <c r="AG2063">
        <v>0</v>
      </c>
      <c r="AH2063" t="s">
        <v>116</v>
      </c>
      <c r="AI2063" s="1">
        <v>58396</v>
      </c>
      <c r="AJ2063" s="2">
        <v>0.19</v>
      </c>
      <c r="AK2063" s="1">
        <v>308898</v>
      </c>
      <c r="AL2063" t="s">
        <v>117</v>
      </c>
      <c r="AM2063" t="s">
        <v>118</v>
      </c>
      <c r="AN2063">
        <v>6930</v>
      </c>
      <c r="AO2063">
        <v>0.16</v>
      </c>
      <c r="AP2063">
        <v>1</v>
      </c>
      <c r="AR2063">
        <v>1</v>
      </c>
      <c r="AS2063" s="1">
        <v>21450</v>
      </c>
      <c r="AT2063" s="1">
        <v>4290</v>
      </c>
      <c r="AU2063" s="1">
        <v>17160</v>
      </c>
      <c r="AV2063">
        <v>80</v>
      </c>
      <c r="AX2063" s="1">
        <v>1716.36</v>
      </c>
      <c r="AY2063" t="s">
        <v>6262</v>
      </c>
      <c r="AZ2063" t="s">
        <v>6262</v>
      </c>
      <c r="BA2063" t="s">
        <v>5061</v>
      </c>
      <c r="BE2063" s="3">
        <v>42361</v>
      </c>
      <c r="BF2063" s="1">
        <v>242500</v>
      </c>
      <c r="BG2063" t="s">
        <v>13937</v>
      </c>
      <c r="BH2063" s="1">
        <v>101</v>
      </c>
      <c r="BI2063" s="1">
        <v>250502</v>
      </c>
      <c r="BJ2063" s="3">
        <v>42361</v>
      </c>
      <c r="BK2063" t="s">
        <v>123</v>
      </c>
      <c r="BL2063" t="str">
        <f>"2015.907444"</f>
        <v>2015.907444</v>
      </c>
      <c r="BM2063" t="s">
        <v>3920</v>
      </c>
      <c r="BO2063" t="s">
        <v>13938</v>
      </c>
      <c r="BS2063">
        <v>30</v>
      </c>
      <c r="BW2063" t="str">
        <f>""</f>
        <v/>
      </c>
      <c r="CH2063" t="str">
        <f>""</f>
        <v/>
      </c>
      <c r="CS2063" t="str">
        <f>""</f>
        <v/>
      </c>
    </row>
    <row r="2064" spans="1:97" x14ac:dyDescent="0.25">
      <c r="A2064" t="s">
        <v>370</v>
      </c>
      <c r="B2064" t="s">
        <v>13939</v>
      </c>
      <c r="C2064" t="s">
        <v>7799</v>
      </c>
      <c r="D2064" t="s">
        <v>13940</v>
      </c>
      <c r="E2064" t="s">
        <v>13941</v>
      </c>
      <c r="F2064" t="s">
        <v>108</v>
      </c>
      <c r="H2064" t="s">
        <v>13942</v>
      </c>
      <c r="I2064" t="s">
        <v>390</v>
      </c>
      <c r="J2064" t="s">
        <v>111</v>
      </c>
      <c r="K2064" t="str">
        <f>"85032"</f>
        <v>85032</v>
      </c>
      <c r="L2064" t="s">
        <v>2547</v>
      </c>
      <c r="M2064" t="s">
        <v>13942</v>
      </c>
      <c r="N2064" t="s">
        <v>390</v>
      </c>
      <c r="O2064" t="s">
        <v>111</v>
      </c>
      <c r="P2064" t="str">
        <f>"85032-7032"</f>
        <v>85032-7032</v>
      </c>
      <c r="Q2064" t="s">
        <v>113</v>
      </c>
      <c r="R2064" t="str">
        <f>"166-54-142"</f>
        <v>166-54-142</v>
      </c>
      <c r="S2064" t="s">
        <v>13943</v>
      </c>
      <c r="T2064" t="s">
        <v>13944</v>
      </c>
      <c r="U2064">
        <v>1692</v>
      </c>
      <c r="V2064">
        <v>0</v>
      </c>
      <c r="W2064">
        <v>2</v>
      </c>
      <c r="X2064">
        <v>1969</v>
      </c>
      <c r="Z2064">
        <v>1</v>
      </c>
      <c r="AA2064" t="s">
        <v>26</v>
      </c>
      <c r="AB2064">
        <v>0</v>
      </c>
      <c r="AC2064" t="s">
        <v>115</v>
      </c>
      <c r="AD2064">
        <v>1</v>
      </c>
      <c r="AE2064" t="s">
        <v>115</v>
      </c>
      <c r="AF2064">
        <v>0</v>
      </c>
      <c r="AG2064">
        <v>0</v>
      </c>
      <c r="AH2064" t="s">
        <v>116</v>
      </c>
      <c r="AI2064" s="1">
        <v>47483</v>
      </c>
      <c r="AJ2064" s="2">
        <v>0.16</v>
      </c>
      <c r="AK2064" s="1">
        <v>299483</v>
      </c>
      <c r="AL2064" t="s">
        <v>117</v>
      </c>
      <c r="AM2064" t="s">
        <v>191</v>
      </c>
      <c r="AN2064">
        <v>6104</v>
      </c>
      <c r="AO2064">
        <v>0.14000000000000001</v>
      </c>
      <c r="AP2064">
        <v>1</v>
      </c>
      <c r="AR2064">
        <v>1</v>
      </c>
      <c r="AS2064" s="1">
        <v>19780</v>
      </c>
      <c r="AT2064" s="1">
        <v>3950</v>
      </c>
      <c r="AU2064" s="1">
        <v>15830</v>
      </c>
      <c r="AV2064">
        <v>80.03</v>
      </c>
      <c r="AX2064" s="1">
        <v>1515.42</v>
      </c>
      <c r="AY2064" t="s">
        <v>6904</v>
      </c>
      <c r="AZ2064" t="s">
        <v>5489</v>
      </c>
      <c r="BA2064" t="s">
        <v>5232</v>
      </c>
      <c r="BE2064" s="3">
        <v>41773</v>
      </c>
      <c r="BF2064" s="1">
        <v>210000</v>
      </c>
      <c r="BG2064" t="s">
        <v>13945</v>
      </c>
      <c r="BH2064" s="1">
        <v>138.97999999999999</v>
      </c>
      <c r="BI2064" s="1">
        <v>252000</v>
      </c>
      <c r="BJ2064" s="3">
        <v>43011</v>
      </c>
      <c r="BK2064" t="s">
        <v>123</v>
      </c>
      <c r="BL2064" t="str">
        <f>"2017.732728"</f>
        <v>2017.732728</v>
      </c>
      <c r="BM2064" t="s">
        <v>724</v>
      </c>
      <c r="BO2064" t="s">
        <v>13946</v>
      </c>
      <c r="BP2064" t="s">
        <v>13947</v>
      </c>
      <c r="BS2064">
        <v>30</v>
      </c>
      <c r="BW2064" t="str">
        <f>""</f>
        <v/>
      </c>
      <c r="CH2064" t="str">
        <f>""</f>
        <v/>
      </c>
      <c r="CS2064" t="str">
        <f>""</f>
        <v/>
      </c>
    </row>
    <row r="2065" spans="1:97" x14ac:dyDescent="0.25">
      <c r="A2065" t="s">
        <v>305</v>
      </c>
      <c r="B2065" t="s">
        <v>1350</v>
      </c>
      <c r="E2065" t="s">
        <v>13948</v>
      </c>
      <c r="F2065" t="s">
        <v>108</v>
      </c>
      <c r="H2065" t="s">
        <v>13949</v>
      </c>
      <c r="I2065" t="s">
        <v>632</v>
      </c>
      <c r="J2065" t="s">
        <v>111</v>
      </c>
      <c r="K2065" t="str">
        <f>"85374"</f>
        <v>85374</v>
      </c>
      <c r="L2065" t="s">
        <v>6481</v>
      </c>
      <c r="M2065" t="s">
        <v>13949</v>
      </c>
      <c r="N2065" t="s">
        <v>632</v>
      </c>
      <c r="O2065" t="s">
        <v>111</v>
      </c>
      <c r="P2065" t="str">
        <f>"85374-1457"</f>
        <v>85374-1457</v>
      </c>
      <c r="Q2065" t="s">
        <v>113</v>
      </c>
      <c r="R2065" t="str">
        <f>"501-17-820"</f>
        <v>501-17-820</v>
      </c>
      <c r="S2065" t="s">
        <v>13950</v>
      </c>
      <c r="U2065">
        <v>3169</v>
      </c>
      <c r="V2065">
        <v>0</v>
      </c>
      <c r="W2065">
        <v>4</v>
      </c>
      <c r="X2065">
        <v>2005</v>
      </c>
      <c r="Z2065">
        <v>2</v>
      </c>
      <c r="AA2065" t="s">
        <v>26</v>
      </c>
      <c r="AB2065">
        <v>0</v>
      </c>
      <c r="AC2065" t="s">
        <v>115</v>
      </c>
      <c r="AD2065">
        <v>3</v>
      </c>
      <c r="AE2065" t="s">
        <v>115</v>
      </c>
      <c r="AF2065">
        <v>0</v>
      </c>
      <c r="AG2065">
        <v>0</v>
      </c>
      <c r="AH2065" t="s">
        <v>116</v>
      </c>
      <c r="AI2065" s="1">
        <v>123948</v>
      </c>
      <c r="AJ2065" s="2">
        <v>0.37</v>
      </c>
      <c r="AK2065" s="1">
        <v>336576</v>
      </c>
      <c r="AL2065" t="s">
        <v>117</v>
      </c>
      <c r="AM2065" t="s">
        <v>118</v>
      </c>
      <c r="AN2065">
        <v>5830</v>
      </c>
      <c r="AO2065">
        <v>0.13</v>
      </c>
      <c r="AR2065">
        <v>1</v>
      </c>
      <c r="AS2065" s="1">
        <v>25110</v>
      </c>
      <c r="AT2065" s="1">
        <v>5020</v>
      </c>
      <c r="AU2065" s="1">
        <v>20090</v>
      </c>
      <c r="AV2065">
        <v>80.010000000000005</v>
      </c>
      <c r="AX2065" s="1">
        <v>1708.12</v>
      </c>
      <c r="AY2065" t="s">
        <v>5983</v>
      </c>
      <c r="AZ2065" t="s">
        <v>5983</v>
      </c>
      <c r="BA2065" t="s">
        <v>321</v>
      </c>
      <c r="BE2065" s="3">
        <v>41781</v>
      </c>
      <c r="BF2065" s="1">
        <v>217500</v>
      </c>
      <c r="BG2065" t="s">
        <v>13951</v>
      </c>
      <c r="BH2065" s="1">
        <v>68.63</v>
      </c>
      <c r="BI2065" s="1">
        <v>212628</v>
      </c>
      <c r="BJ2065" s="3">
        <v>42612</v>
      </c>
      <c r="BK2065" t="s">
        <v>123</v>
      </c>
      <c r="BL2065" t="str">
        <f>"2016.623455"</f>
        <v>2016.623455</v>
      </c>
      <c r="BM2065" t="s">
        <v>724</v>
      </c>
      <c r="BO2065" t="s">
        <v>13952</v>
      </c>
      <c r="BS2065">
        <v>15</v>
      </c>
      <c r="BW2065" t="str">
        <f>""</f>
        <v/>
      </c>
      <c r="CH2065" t="str">
        <f>""</f>
        <v/>
      </c>
      <c r="CS2065" t="str">
        <f>""</f>
        <v/>
      </c>
    </row>
    <row r="2066" spans="1:97" x14ac:dyDescent="0.25">
      <c r="A2066" t="s">
        <v>1344</v>
      </c>
      <c r="B2066" t="s">
        <v>13953</v>
      </c>
      <c r="C2066" t="s">
        <v>1735</v>
      </c>
      <c r="D2066" t="s">
        <v>13953</v>
      </c>
      <c r="E2066" t="s">
        <v>13954</v>
      </c>
      <c r="F2066" t="s">
        <v>108</v>
      </c>
      <c r="H2066" t="s">
        <v>13955</v>
      </c>
      <c r="I2066" t="s">
        <v>453</v>
      </c>
      <c r="J2066" t="s">
        <v>111</v>
      </c>
      <c r="K2066" t="str">
        <f>"85383"</f>
        <v>85383</v>
      </c>
      <c r="L2066" t="s">
        <v>5893</v>
      </c>
      <c r="M2066" t="s">
        <v>13955</v>
      </c>
      <c r="N2066" t="s">
        <v>453</v>
      </c>
      <c r="O2066" t="s">
        <v>111</v>
      </c>
      <c r="P2066" t="str">
        <f>"85383-7802"</f>
        <v>85383-7802</v>
      </c>
      <c r="Q2066" t="s">
        <v>113</v>
      </c>
      <c r="R2066" t="str">
        <f>"510-01-898"</f>
        <v>510-01-898</v>
      </c>
      <c r="S2066" t="s">
        <v>13956</v>
      </c>
      <c r="T2066" t="s">
        <v>13957</v>
      </c>
      <c r="U2066">
        <v>2398</v>
      </c>
      <c r="V2066">
        <v>0</v>
      </c>
      <c r="W2066">
        <v>4</v>
      </c>
      <c r="X2066">
        <v>2005</v>
      </c>
      <c r="Z2066">
        <v>2</v>
      </c>
      <c r="AB2066">
        <v>0</v>
      </c>
      <c r="AC2066" t="s">
        <v>115</v>
      </c>
      <c r="AD2066">
        <v>2</v>
      </c>
      <c r="AE2066" t="s">
        <v>115</v>
      </c>
      <c r="AF2066">
        <v>0</v>
      </c>
      <c r="AG2066">
        <v>0</v>
      </c>
      <c r="AH2066" t="s">
        <v>116</v>
      </c>
      <c r="AI2066" s="1">
        <v>78512</v>
      </c>
      <c r="AJ2066" s="2">
        <v>0.24</v>
      </c>
      <c r="AK2066" s="1">
        <v>329392</v>
      </c>
      <c r="AL2066" t="s">
        <v>117</v>
      </c>
      <c r="AM2066" t="s">
        <v>118</v>
      </c>
      <c r="AN2066">
        <v>6095</v>
      </c>
      <c r="AO2066">
        <v>0.14000000000000001</v>
      </c>
      <c r="AR2066">
        <v>1</v>
      </c>
      <c r="AS2066" s="1">
        <v>22320</v>
      </c>
      <c r="AT2066" s="1">
        <v>4460</v>
      </c>
      <c r="AU2066" s="1">
        <v>17860</v>
      </c>
      <c r="AV2066">
        <v>80.02</v>
      </c>
      <c r="AX2066" s="1">
        <v>2238.2399999999998</v>
      </c>
      <c r="AY2066" t="s">
        <v>627</v>
      </c>
      <c r="AZ2066" t="s">
        <v>627</v>
      </c>
      <c r="BA2066" t="s">
        <v>457</v>
      </c>
      <c r="BB2066" s="3">
        <v>42689</v>
      </c>
      <c r="BD2066" t="s">
        <v>291</v>
      </c>
      <c r="BE2066" s="3">
        <v>42130</v>
      </c>
      <c r="BF2066" s="1">
        <v>245000</v>
      </c>
      <c r="BG2066" t="s">
        <v>13958</v>
      </c>
      <c r="BH2066" s="1">
        <v>102.17</v>
      </c>
      <c r="BI2066" s="1">
        <v>250880</v>
      </c>
      <c r="BJ2066" s="3">
        <v>42130</v>
      </c>
      <c r="BK2066" t="s">
        <v>123</v>
      </c>
      <c r="BL2066" t="str">
        <f>"2015.319502"</f>
        <v>2015.319502</v>
      </c>
      <c r="BM2066" t="s">
        <v>135</v>
      </c>
      <c r="BO2066" t="s">
        <v>13959</v>
      </c>
      <c r="BS2066">
        <v>30</v>
      </c>
      <c r="BW2066" t="str">
        <f>""</f>
        <v/>
      </c>
      <c r="CH2066" t="str">
        <f>""</f>
        <v/>
      </c>
      <c r="CS2066" t="str">
        <f>""</f>
        <v/>
      </c>
    </row>
    <row r="2067" spans="1:97" x14ac:dyDescent="0.25">
      <c r="A2067" t="s">
        <v>243</v>
      </c>
      <c r="B2067" t="s">
        <v>13960</v>
      </c>
      <c r="C2067" t="s">
        <v>13961</v>
      </c>
      <c r="D2067" t="s">
        <v>13960</v>
      </c>
      <c r="E2067" t="s">
        <v>13962</v>
      </c>
      <c r="F2067" t="s">
        <v>108</v>
      </c>
      <c r="H2067" t="s">
        <v>13963</v>
      </c>
      <c r="I2067" t="s">
        <v>110</v>
      </c>
      <c r="J2067" t="s">
        <v>111</v>
      </c>
      <c r="K2067" t="str">
        <f>"85226"</f>
        <v>85226</v>
      </c>
      <c r="L2067" t="s">
        <v>7834</v>
      </c>
      <c r="M2067" t="s">
        <v>13963</v>
      </c>
      <c r="N2067" t="s">
        <v>110</v>
      </c>
      <c r="O2067" t="s">
        <v>111</v>
      </c>
      <c r="P2067" t="str">
        <f>"85226-4969"</f>
        <v>85226-4969</v>
      </c>
      <c r="Q2067" t="s">
        <v>113</v>
      </c>
      <c r="R2067" t="str">
        <f>"301-65-516"</f>
        <v>301-65-516</v>
      </c>
      <c r="S2067" t="s">
        <v>13964</v>
      </c>
      <c r="U2067">
        <v>1425</v>
      </c>
      <c r="V2067">
        <v>0</v>
      </c>
      <c r="W2067">
        <v>2</v>
      </c>
      <c r="X2067">
        <v>1989</v>
      </c>
      <c r="Z2067">
        <v>1</v>
      </c>
      <c r="AB2067">
        <v>0</v>
      </c>
      <c r="AC2067" t="s">
        <v>115</v>
      </c>
      <c r="AD2067">
        <v>2</v>
      </c>
      <c r="AE2067" t="s">
        <v>115</v>
      </c>
      <c r="AF2067">
        <v>0</v>
      </c>
      <c r="AG2067">
        <v>0</v>
      </c>
      <c r="AH2067" t="s">
        <v>116</v>
      </c>
      <c r="AI2067" s="1">
        <v>23043</v>
      </c>
      <c r="AJ2067" s="2">
        <v>0.08</v>
      </c>
      <c r="AK2067" s="1">
        <v>286458</v>
      </c>
      <c r="AL2067" t="s">
        <v>117</v>
      </c>
      <c r="AM2067" t="s">
        <v>118</v>
      </c>
      <c r="AN2067">
        <v>5489</v>
      </c>
      <c r="AO2067">
        <v>0.13</v>
      </c>
      <c r="AP2067">
        <v>1</v>
      </c>
      <c r="AR2067">
        <v>1</v>
      </c>
      <c r="AS2067" s="1">
        <v>19400</v>
      </c>
      <c r="AT2067" s="1">
        <v>3880</v>
      </c>
      <c r="AU2067" s="1">
        <v>15520</v>
      </c>
      <c r="AV2067">
        <v>80</v>
      </c>
      <c r="AX2067" s="1">
        <v>1407</v>
      </c>
      <c r="AY2067" t="s">
        <v>8225</v>
      </c>
      <c r="AZ2067" t="s">
        <v>5922</v>
      </c>
      <c r="BA2067" t="s">
        <v>5202</v>
      </c>
      <c r="BE2067" s="3">
        <v>42328</v>
      </c>
      <c r="BF2067" s="1">
        <v>219900</v>
      </c>
      <c r="BG2067" t="s">
        <v>13965</v>
      </c>
      <c r="BH2067" s="1">
        <v>154.32</v>
      </c>
      <c r="BI2067" s="1">
        <v>263415</v>
      </c>
      <c r="BJ2067" s="3">
        <v>43378</v>
      </c>
      <c r="BK2067" t="s">
        <v>123</v>
      </c>
      <c r="BL2067" t="str">
        <f>"2018.748598"</f>
        <v>2018.748598</v>
      </c>
      <c r="BM2067" t="s">
        <v>13966</v>
      </c>
      <c r="BN2067" t="s">
        <v>13967</v>
      </c>
      <c r="BO2067" t="s">
        <v>13968</v>
      </c>
      <c r="BP2067" t="s">
        <v>13969</v>
      </c>
      <c r="BR2067" t="s">
        <v>139</v>
      </c>
      <c r="BW2067" t="str">
        <f>""</f>
        <v/>
      </c>
      <c r="CH2067" t="str">
        <f>""</f>
        <v/>
      </c>
      <c r="CS2067" t="str">
        <f>""</f>
        <v/>
      </c>
    </row>
    <row r="2068" spans="1:97" x14ac:dyDescent="0.25">
      <c r="A2068" t="s">
        <v>11465</v>
      </c>
      <c r="B2068" t="s">
        <v>13970</v>
      </c>
      <c r="C2068" t="s">
        <v>13971</v>
      </c>
      <c r="D2068" t="s">
        <v>13970</v>
      </c>
      <c r="E2068" t="s">
        <v>13972</v>
      </c>
      <c r="F2068" t="s">
        <v>108</v>
      </c>
      <c r="H2068" t="s">
        <v>13973</v>
      </c>
      <c r="I2068" t="s">
        <v>499</v>
      </c>
      <c r="J2068" t="s">
        <v>111</v>
      </c>
      <c r="K2068" t="str">
        <f>"85338"</f>
        <v>85338</v>
      </c>
      <c r="L2068" t="s">
        <v>8255</v>
      </c>
      <c r="M2068" t="s">
        <v>13973</v>
      </c>
      <c r="N2068" t="s">
        <v>499</v>
      </c>
      <c r="O2068" t="s">
        <v>111</v>
      </c>
      <c r="P2068" t="str">
        <f>"85338-6032"</f>
        <v>85338-6032</v>
      </c>
      <c r="Q2068" t="s">
        <v>113</v>
      </c>
      <c r="R2068" t="str">
        <f>"502-39-127"</f>
        <v>502-39-127</v>
      </c>
      <c r="S2068" t="s">
        <v>10676</v>
      </c>
      <c r="T2068" t="s">
        <v>6318</v>
      </c>
      <c r="U2068">
        <v>2337</v>
      </c>
      <c r="V2068">
        <v>0</v>
      </c>
      <c r="W2068">
        <v>3</v>
      </c>
      <c r="X2068">
        <v>2006</v>
      </c>
      <c r="Z2068">
        <v>1</v>
      </c>
      <c r="AB2068">
        <v>0</v>
      </c>
      <c r="AC2068" t="s">
        <v>115</v>
      </c>
      <c r="AD2068">
        <v>3</v>
      </c>
      <c r="AE2068" t="s">
        <v>115</v>
      </c>
      <c r="AF2068">
        <v>0</v>
      </c>
      <c r="AG2068">
        <v>0</v>
      </c>
      <c r="AH2068" t="s">
        <v>116</v>
      </c>
      <c r="AI2068" s="1">
        <v>81984</v>
      </c>
      <c r="AJ2068" s="2">
        <v>0.28999999999999998</v>
      </c>
      <c r="AK2068" s="1">
        <v>281984</v>
      </c>
      <c r="AL2068" t="s">
        <v>117</v>
      </c>
      <c r="AM2068" t="s">
        <v>118</v>
      </c>
      <c r="AN2068">
        <v>6900</v>
      </c>
      <c r="AO2068">
        <v>0.16</v>
      </c>
      <c r="AR2068">
        <v>1</v>
      </c>
      <c r="AS2068" s="1">
        <v>21280</v>
      </c>
      <c r="AT2068" s="1">
        <v>4250</v>
      </c>
      <c r="AU2068" s="1">
        <v>17030</v>
      </c>
      <c r="AV2068">
        <v>80.03</v>
      </c>
      <c r="AX2068" s="1">
        <v>2001.58</v>
      </c>
      <c r="AY2068" t="s">
        <v>4311</v>
      </c>
      <c r="AZ2068" t="s">
        <v>4311</v>
      </c>
      <c r="BA2068" t="s">
        <v>218</v>
      </c>
      <c r="BE2068" s="3">
        <v>41803</v>
      </c>
      <c r="BF2068" s="1">
        <v>200000</v>
      </c>
      <c r="BG2068" t="s">
        <v>13974</v>
      </c>
      <c r="BH2068" s="1">
        <v>85.58</v>
      </c>
      <c r="BI2068" s="1">
        <v>200000</v>
      </c>
      <c r="BJ2068" s="3">
        <v>41803</v>
      </c>
      <c r="BK2068" t="s">
        <v>123</v>
      </c>
      <c r="BL2068" t="str">
        <f>"2014.386946"</f>
        <v>2014.386946</v>
      </c>
      <c r="BM2068" t="s">
        <v>1185</v>
      </c>
      <c r="BO2068" t="s">
        <v>13975</v>
      </c>
      <c r="BS2068">
        <v>30</v>
      </c>
      <c r="BW2068" t="str">
        <f>""</f>
        <v/>
      </c>
      <c r="CH2068" t="str">
        <f>""</f>
        <v/>
      </c>
      <c r="CS2068" t="str">
        <f>""</f>
        <v/>
      </c>
    </row>
    <row r="2069" spans="1:97" x14ac:dyDescent="0.25">
      <c r="A2069" t="s">
        <v>3580</v>
      </c>
      <c r="B2069" t="s">
        <v>13976</v>
      </c>
      <c r="C2069" t="s">
        <v>3057</v>
      </c>
      <c r="D2069" t="s">
        <v>13976</v>
      </c>
      <c r="E2069" t="s">
        <v>13977</v>
      </c>
      <c r="F2069" t="s">
        <v>108</v>
      </c>
      <c r="H2069" t="s">
        <v>13978</v>
      </c>
      <c r="I2069" t="s">
        <v>5114</v>
      </c>
      <c r="J2069" t="s">
        <v>111</v>
      </c>
      <c r="K2069" t="str">
        <f>"85392"</f>
        <v>85392</v>
      </c>
      <c r="L2069" t="s">
        <v>8199</v>
      </c>
      <c r="M2069" t="s">
        <v>13978</v>
      </c>
      <c r="N2069" t="s">
        <v>5114</v>
      </c>
      <c r="O2069" t="s">
        <v>111</v>
      </c>
      <c r="P2069" t="str">
        <f>"85392-4109"</f>
        <v>85392-4109</v>
      </c>
      <c r="Q2069" t="s">
        <v>113</v>
      </c>
      <c r="R2069" t="str">
        <f>"501-73-404"</f>
        <v>501-73-404</v>
      </c>
      <c r="S2069" t="s">
        <v>13979</v>
      </c>
      <c r="T2069" t="s">
        <v>11509</v>
      </c>
      <c r="U2069">
        <v>1866</v>
      </c>
      <c r="V2069">
        <v>0</v>
      </c>
      <c r="W2069">
        <v>3</v>
      </c>
      <c r="X2069">
        <v>1994</v>
      </c>
      <c r="Z2069">
        <v>1</v>
      </c>
      <c r="AB2069">
        <v>0</v>
      </c>
      <c r="AC2069" t="s">
        <v>115</v>
      </c>
      <c r="AD2069">
        <v>2</v>
      </c>
      <c r="AE2069" t="s">
        <v>115</v>
      </c>
      <c r="AF2069">
        <v>0</v>
      </c>
      <c r="AG2069">
        <v>0</v>
      </c>
      <c r="AH2069" t="s">
        <v>116</v>
      </c>
      <c r="AI2069" s="1">
        <v>24904</v>
      </c>
      <c r="AJ2069" s="2">
        <v>0.1</v>
      </c>
      <c r="AK2069" s="1">
        <v>245178</v>
      </c>
      <c r="AL2069" t="s">
        <v>117</v>
      </c>
      <c r="AM2069" t="s">
        <v>118</v>
      </c>
      <c r="AN2069">
        <v>6177</v>
      </c>
      <c r="AO2069">
        <v>0.14000000000000001</v>
      </c>
      <c r="AP2069">
        <v>1</v>
      </c>
      <c r="AR2069">
        <v>1</v>
      </c>
      <c r="AS2069" s="1">
        <v>17180</v>
      </c>
      <c r="AT2069" s="1">
        <v>3430</v>
      </c>
      <c r="AU2069" s="1">
        <v>13750</v>
      </c>
      <c r="AV2069">
        <v>80.03</v>
      </c>
      <c r="AX2069" s="1">
        <v>1661.72</v>
      </c>
      <c r="AY2069" t="s">
        <v>8084</v>
      </c>
      <c r="AZ2069" t="s">
        <v>8084</v>
      </c>
      <c r="BA2069" t="s">
        <v>5118</v>
      </c>
      <c r="BE2069" s="3">
        <v>42107</v>
      </c>
      <c r="BF2069" s="1">
        <v>214000</v>
      </c>
      <c r="BG2069" t="s">
        <v>13980</v>
      </c>
      <c r="BH2069" s="1">
        <v>114.68</v>
      </c>
      <c r="BI2069" s="1">
        <v>220274</v>
      </c>
      <c r="BJ2069" s="3">
        <v>42541</v>
      </c>
      <c r="BK2069" t="s">
        <v>123</v>
      </c>
      <c r="BL2069" t="str">
        <f>"2016.428374"</f>
        <v>2016.428374</v>
      </c>
      <c r="BM2069" t="s">
        <v>2117</v>
      </c>
      <c r="BO2069" t="s">
        <v>13981</v>
      </c>
      <c r="BS2069">
        <v>30</v>
      </c>
      <c r="BW2069" t="str">
        <f>""</f>
        <v/>
      </c>
      <c r="CH2069" t="str">
        <f>""</f>
        <v/>
      </c>
      <c r="CS2069" t="str">
        <f>""</f>
        <v/>
      </c>
    </row>
    <row r="2070" spans="1:97" x14ac:dyDescent="0.25">
      <c r="A2070" t="s">
        <v>1160</v>
      </c>
      <c r="B2070" t="s">
        <v>1415</v>
      </c>
      <c r="C2070" t="s">
        <v>13982</v>
      </c>
      <c r="D2070" t="s">
        <v>1415</v>
      </c>
      <c r="E2070" t="s">
        <v>13983</v>
      </c>
      <c r="F2070" t="s">
        <v>108</v>
      </c>
      <c r="H2070" t="s">
        <v>13984</v>
      </c>
      <c r="I2070" t="s">
        <v>2874</v>
      </c>
      <c r="J2070" t="s">
        <v>111</v>
      </c>
      <c r="K2070" t="str">
        <f>"85306"</f>
        <v>85306</v>
      </c>
      <c r="L2070" t="s">
        <v>6145</v>
      </c>
      <c r="M2070" t="s">
        <v>13984</v>
      </c>
      <c r="N2070" t="s">
        <v>2874</v>
      </c>
      <c r="O2070" t="s">
        <v>111</v>
      </c>
      <c r="P2070" t="str">
        <f>"85306-4206"</f>
        <v>85306-4206</v>
      </c>
      <c r="Q2070" t="s">
        <v>113</v>
      </c>
      <c r="R2070" t="str">
        <f>"231-05-315"</f>
        <v>231-05-315</v>
      </c>
      <c r="S2070" t="s">
        <v>13985</v>
      </c>
      <c r="U2070">
        <v>1901</v>
      </c>
      <c r="V2070">
        <v>0</v>
      </c>
      <c r="W2070">
        <v>2</v>
      </c>
      <c r="X2070">
        <v>1978</v>
      </c>
      <c r="Z2070">
        <v>1</v>
      </c>
      <c r="AB2070">
        <v>0</v>
      </c>
      <c r="AC2070" t="s">
        <v>115</v>
      </c>
      <c r="AD2070">
        <v>2</v>
      </c>
      <c r="AE2070" t="s">
        <v>115</v>
      </c>
      <c r="AF2070">
        <v>0</v>
      </c>
      <c r="AG2070">
        <v>0</v>
      </c>
      <c r="AH2070" t="s">
        <v>116</v>
      </c>
      <c r="AI2070" s="1">
        <v>66065</v>
      </c>
      <c r="AJ2070" s="2">
        <v>0.24</v>
      </c>
      <c r="AK2070" s="1">
        <v>271065</v>
      </c>
      <c r="AL2070" t="s">
        <v>117</v>
      </c>
      <c r="AM2070" t="s">
        <v>191</v>
      </c>
      <c r="AN2070">
        <v>7992</v>
      </c>
      <c r="AO2070">
        <v>0.18</v>
      </c>
      <c r="AP2070">
        <v>1</v>
      </c>
      <c r="AR2070">
        <v>1</v>
      </c>
      <c r="AS2070" s="1">
        <v>18670</v>
      </c>
      <c r="AT2070" s="1">
        <v>3730</v>
      </c>
      <c r="AU2070" s="1">
        <v>14940</v>
      </c>
      <c r="AV2070">
        <v>80.02</v>
      </c>
      <c r="AX2070" s="1">
        <v>1299.0999999999999</v>
      </c>
      <c r="AY2070" t="s">
        <v>13986</v>
      </c>
      <c r="AZ2070" t="s">
        <v>13986</v>
      </c>
      <c r="BA2070" t="s">
        <v>3360</v>
      </c>
      <c r="BB2070" s="3">
        <v>43027</v>
      </c>
      <c r="BD2070" t="s">
        <v>157</v>
      </c>
      <c r="BE2070" s="3">
        <v>42122</v>
      </c>
      <c r="BF2070" s="1">
        <v>188000</v>
      </c>
      <c r="BG2070" t="s">
        <v>13987</v>
      </c>
      <c r="BH2070" s="1">
        <v>98.9</v>
      </c>
      <c r="BI2070" s="1">
        <v>205000</v>
      </c>
      <c r="BJ2070" s="3">
        <v>43027</v>
      </c>
      <c r="BK2070" t="s">
        <v>123</v>
      </c>
      <c r="BL2070" t="str">
        <f>"2017.776557"</f>
        <v>2017.776557</v>
      </c>
      <c r="BM2070" t="s">
        <v>763</v>
      </c>
      <c r="BO2070" t="s">
        <v>13988</v>
      </c>
      <c r="BS2070">
        <v>30</v>
      </c>
      <c r="BW2070" t="str">
        <f>""</f>
        <v/>
      </c>
      <c r="CH2070" t="str">
        <f>""</f>
        <v/>
      </c>
      <c r="CS2070" t="str">
        <f>""</f>
        <v/>
      </c>
    </row>
    <row r="2071" spans="1:97" x14ac:dyDescent="0.25">
      <c r="A2071" t="s">
        <v>9055</v>
      </c>
      <c r="B2071" t="s">
        <v>13989</v>
      </c>
      <c r="C2071" t="s">
        <v>259</v>
      </c>
      <c r="D2071" t="s">
        <v>13989</v>
      </c>
      <c r="E2071" t="s">
        <v>13990</v>
      </c>
      <c r="F2071" t="s">
        <v>108</v>
      </c>
      <c r="H2071" t="s">
        <v>13991</v>
      </c>
      <c r="I2071" t="s">
        <v>167</v>
      </c>
      <c r="J2071" t="s">
        <v>111</v>
      </c>
      <c r="K2071" t="str">
        <f>"85339"</f>
        <v>85339</v>
      </c>
      <c r="L2071" t="s">
        <v>5775</v>
      </c>
      <c r="M2071" t="s">
        <v>13991</v>
      </c>
      <c r="N2071" t="s">
        <v>167</v>
      </c>
      <c r="O2071" t="s">
        <v>111</v>
      </c>
      <c r="P2071" t="str">
        <f>"85339-2329"</f>
        <v>85339-2329</v>
      </c>
      <c r="Q2071" t="s">
        <v>113</v>
      </c>
      <c r="R2071" t="str">
        <f>"300-84-056"</f>
        <v>300-84-056</v>
      </c>
      <c r="S2071" t="s">
        <v>13992</v>
      </c>
      <c r="U2071">
        <v>2207</v>
      </c>
      <c r="V2071">
        <v>0</v>
      </c>
      <c r="W2071">
        <v>3</v>
      </c>
      <c r="X2071">
        <v>2004</v>
      </c>
      <c r="Z2071">
        <v>2</v>
      </c>
      <c r="AA2071" t="s">
        <v>26</v>
      </c>
      <c r="AB2071">
        <v>0</v>
      </c>
      <c r="AC2071" t="s">
        <v>115</v>
      </c>
      <c r="AD2071">
        <v>2</v>
      </c>
      <c r="AE2071" t="s">
        <v>115</v>
      </c>
      <c r="AF2071">
        <v>0</v>
      </c>
      <c r="AG2071">
        <v>0</v>
      </c>
      <c r="AH2071" t="s">
        <v>116</v>
      </c>
      <c r="AI2071" s="1">
        <v>31481</v>
      </c>
      <c r="AJ2071" s="2">
        <v>0.12</v>
      </c>
      <c r="AK2071" s="1">
        <v>261581</v>
      </c>
      <c r="AL2071" t="s">
        <v>117</v>
      </c>
      <c r="AM2071" t="s">
        <v>171</v>
      </c>
      <c r="AN2071">
        <v>6305</v>
      </c>
      <c r="AO2071">
        <v>0.14000000000000001</v>
      </c>
      <c r="AP2071">
        <v>1</v>
      </c>
      <c r="AR2071">
        <v>1</v>
      </c>
      <c r="AS2071" s="1">
        <v>18420</v>
      </c>
      <c r="AT2071" s="1">
        <v>3680</v>
      </c>
      <c r="AU2071" s="1">
        <v>14740</v>
      </c>
      <c r="AV2071">
        <v>80.02</v>
      </c>
      <c r="AX2071" s="1">
        <v>1990.88</v>
      </c>
      <c r="AY2071" t="s">
        <v>5777</v>
      </c>
      <c r="AZ2071" t="s">
        <v>5777</v>
      </c>
      <c r="BA2071" t="s">
        <v>173</v>
      </c>
      <c r="BB2071" s="3">
        <v>42093</v>
      </c>
      <c r="BD2071" t="s">
        <v>240</v>
      </c>
      <c r="BE2071" s="3">
        <v>42093</v>
      </c>
      <c r="BF2071" s="1">
        <v>175000</v>
      </c>
      <c r="BG2071" t="s">
        <v>13993</v>
      </c>
      <c r="BH2071" s="1">
        <v>79.290000000000006</v>
      </c>
      <c r="BI2071" s="1">
        <v>230100</v>
      </c>
      <c r="BJ2071" s="3">
        <v>43419</v>
      </c>
      <c r="BK2071" t="s">
        <v>123</v>
      </c>
      <c r="BL2071" t="str">
        <f>"2018.848264"</f>
        <v>2018.848264</v>
      </c>
      <c r="BM2071" t="s">
        <v>2774</v>
      </c>
      <c r="BN2071" t="s">
        <v>2775</v>
      </c>
      <c r="BO2071" t="s">
        <v>13994</v>
      </c>
      <c r="BR2071" t="s">
        <v>139</v>
      </c>
      <c r="BW2071" t="str">
        <f>""</f>
        <v/>
      </c>
      <c r="CH2071" t="str">
        <f>""</f>
        <v/>
      </c>
      <c r="CS2071" t="str">
        <f>""</f>
        <v/>
      </c>
    </row>
    <row r="2072" spans="1:97" x14ac:dyDescent="0.25">
      <c r="A2072" t="s">
        <v>908</v>
      </c>
      <c r="B2072" t="s">
        <v>13995</v>
      </c>
      <c r="C2072" t="s">
        <v>211</v>
      </c>
      <c r="D2072" t="s">
        <v>13995</v>
      </c>
      <c r="E2072" t="s">
        <v>13996</v>
      </c>
      <c r="F2072" t="s">
        <v>108</v>
      </c>
      <c r="H2072" t="s">
        <v>13997</v>
      </c>
      <c r="I2072" t="s">
        <v>632</v>
      </c>
      <c r="J2072" t="s">
        <v>111</v>
      </c>
      <c r="K2072" t="str">
        <f>"85388"</f>
        <v>85388</v>
      </c>
      <c r="L2072" t="s">
        <v>417</v>
      </c>
      <c r="M2072" t="s">
        <v>13997</v>
      </c>
      <c r="N2072" t="s">
        <v>632</v>
      </c>
      <c r="O2072" t="s">
        <v>111</v>
      </c>
      <c r="P2072" t="str">
        <f>"85388-1309"</f>
        <v>85388-1309</v>
      </c>
      <c r="Q2072" t="s">
        <v>113</v>
      </c>
      <c r="R2072" t="str">
        <f>"501-12-727"</f>
        <v>501-12-727</v>
      </c>
      <c r="S2072" t="s">
        <v>13998</v>
      </c>
      <c r="T2072" t="s">
        <v>12219</v>
      </c>
      <c r="U2072">
        <v>3006</v>
      </c>
      <c r="V2072">
        <v>0</v>
      </c>
      <c r="W2072">
        <v>4</v>
      </c>
      <c r="X2072">
        <v>2004</v>
      </c>
      <c r="Z2072">
        <v>2</v>
      </c>
      <c r="AA2072" t="s">
        <v>26</v>
      </c>
      <c r="AB2072">
        <v>0</v>
      </c>
      <c r="AC2072" t="s">
        <v>115</v>
      </c>
      <c r="AD2072">
        <v>3</v>
      </c>
      <c r="AE2072" t="s">
        <v>115</v>
      </c>
      <c r="AF2072">
        <v>0</v>
      </c>
      <c r="AG2072">
        <v>0</v>
      </c>
      <c r="AH2072" t="s">
        <v>116</v>
      </c>
      <c r="AI2072" s="1">
        <v>72150</v>
      </c>
      <c r="AJ2072" s="2">
        <v>0.21</v>
      </c>
      <c r="AK2072" s="1">
        <v>341347</v>
      </c>
      <c r="AL2072" t="s">
        <v>117</v>
      </c>
      <c r="AM2072" t="s">
        <v>118</v>
      </c>
      <c r="AN2072">
        <v>6618</v>
      </c>
      <c r="AO2072">
        <v>0.15</v>
      </c>
      <c r="AP2072">
        <v>1</v>
      </c>
      <c r="AR2072">
        <v>1</v>
      </c>
      <c r="AS2072" s="1">
        <v>22770</v>
      </c>
      <c r="AT2072" s="1">
        <v>4550</v>
      </c>
      <c r="AU2072" s="1">
        <v>18220</v>
      </c>
      <c r="AV2072">
        <v>80.02</v>
      </c>
      <c r="AX2072" s="1">
        <v>1821.88</v>
      </c>
      <c r="AY2072" t="s">
        <v>5517</v>
      </c>
      <c r="AZ2072" t="s">
        <v>5517</v>
      </c>
      <c r="BA2072" t="s">
        <v>5109</v>
      </c>
      <c r="BE2072" s="3">
        <v>42318</v>
      </c>
      <c r="BF2072" s="1">
        <v>265000</v>
      </c>
      <c r="BG2072" t="s">
        <v>13999</v>
      </c>
      <c r="BH2072" s="1">
        <v>88.16</v>
      </c>
      <c r="BI2072" s="1">
        <v>269197</v>
      </c>
      <c r="BJ2072" s="3">
        <v>42318</v>
      </c>
      <c r="BK2072" t="s">
        <v>123</v>
      </c>
      <c r="BL2072" t="str">
        <f>"2015.806674"</f>
        <v>2015.806674</v>
      </c>
      <c r="BM2072" t="s">
        <v>936</v>
      </c>
      <c r="BO2072" t="s">
        <v>14000</v>
      </c>
      <c r="BS2072">
        <v>30</v>
      </c>
      <c r="BW2072" t="str">
        <f>""</f>
        <v/>
      </c>
      <c r="CH2072" t="str">
        <f>""</f>
        <v/>
      </c>
      <c r="CS2072" t="str">
        <f>""</f>
        <v/>
      </c>
    </row>
    <row r="2073" spans="1:97" x14ac:dyDescent="0.25">
      <c r="A2073" t="s">
        <v>14001</v>
      </c>
      <c r="B2073" t="s">
        <v>1099</v>
      </c>
      <c r="C2073" t="s">
        <v>1099</v>
      </c>
      <c r="D2073" t="s">
        <v>14002</v>
      </c>
      <c r="E2073" t="s">
        <v>14003</v>
      </c>
      <c r="F2073" t="s">
        <v>108</v>
      </c>
      <c r="H2073" t="s">
        <v>14004</v>
      </c>
      <c r="I2073" t="s">
        <v>167</v>
      </c>
      <c r="J2073" t="s">
        <v>111</v>
      </c>
      <c r="K2073" t="str">
        <f>"85339"</f>
        <v>85339</v>
      </c>
      <c r="L2073" t="s">
        <v>5367</v>
      </c>
      <c r="M2073" t="s">
        <v>14004</v>
      </c>
      <c r="N2073" t="s">
        <v>167</v>
      </c>
      <c r="O2073" t="s">
        <v>111</v>
      </c>
      <c r="P2073" t="str">
        <f>"85339-7084"</f>
        <v>85339-7084</v>
      </c>
      <c r="R2073" t="str">
        <f>"104-87-218"</f>
        <v>104-87-218</v>
      </c>
      <c r="S2073" t="s">
        <v>12188</v>
      </c>
      <c r="U2073">
        <v>2423</v>
      </c>
      <c r="V2073">
        <v>0</v>
      </c>
      <c r="W2073">
        <v>3</v>
      </c>
      <c r="X2073">
        <v>2015</v>
      </c>
      <c r="Z2073">
        <v>1</v>
      </c>
      <c r="AB2073">
        <v>0</v>
      </c>
      <c r="AC2073" t="s">
        <v>115</v>
      </c>
      <c r="AD2073">
        <v>2</v>
      </c>
      <c r="AE2073" t="s">
        <v>115</v>
      </c>
      <c r="AF2073">
        <v>0</v>
      </c>
      <c r="AG2073">
        <v>0</v>
      </c>
      <c r="AH2073" t="s">
        <v>116</v>
      </c>
      <c r="AI2073" s="1">
        <v>27403</v>
      </c>
      <c r="AJ2073" s="2">
        <v>0.09</v>
      </c>
      <c r="AK2073" s="1">
        <v>297074</v>
      </c>
      <c r="AL2073" t="s">
        <v>117</v>
      </c>
      <c r="AM2073" t="s">
        <v>760</v>
      </c>
      <c r="AN2073">
        <v>7529</v>
      </c>
      <c r="AO2073">
        <v>0.17</v>
      </c>
      <c r="AR2073">
        <v>1</v>
      </c>
      <c r="AS2073" s="1">
        <v>21500</v>
      </c>
      <c r="AT2073" s="1">
        <v>4300</v>
      </c>
      <c r="AU2073" s="1">
        <v>17200</v>
      </c>
      <c r="AV2073">
        <v>80</v>
      </c>
      <c r="AX2073" s="1">
        <v>2816.76</v>
      </c>
      <c r="AY2073" t="s">
        <v>172</v>
      </c>
      <c r="AZ2073" t="s">
        <v>172</v>
      </c>
      <c r="BA2073" t="s">
        <v>173</v>
      </c>
      <c r="BE2073" s="3">
        <v>42159</v>
      </c>
      <c r="BF2073" s="1">
        <v>220430</v>
      </c>
      <c r="BG2073" t="s">
        <v>233</v>
      </c>
      <c r="BH2073" s="1">
        <v>90.97</v>
      </c>
      <c r="BI2073" s="1">
        <v>269671</v>
      </c>
      <c r="BJ2073" s="3">
        <v>43528</v>
      </c>
      <c r="BK2073" t="s">
        <v>123</v>
      </c>
      <c r="BL2073" t="str">
        <f>"2019.145736"</f>
        <v>2019.145736</v>
      </c>
      <c r="BM2073" t="s">
        <v>361</v>
      </c>
      <c r="BN2073" t="s">
        <v>884</v>
      </c>
      <c r="BO2073" t="s">
        <v>14005</v>
      </c>
      <c r="BP2073" t="s">
        <v>14006</v>
      </c>
      <c r="BR2073" t="s">
        <v>139</v>
      </c>
      <c r="BW2073" t="str">
        <f>""</f>
        <v/>
      </c>
      <c r="CH2073" t="str">
        <f>""</f>
        <v/>
      </c>
      <c r="CS2073" t="str">
        <f>""</f>
        <v/>
      </c>
    </row>
    <row r="2074" spans="1:97" x14ac:dyDescent="0.25">
      <c r="A2074" t="s">
        <v>1366</v>
      </c>
      <c r="B2074" t="s">
        <v>14007</v>
      </c>
      <c r="D2074" t="s">
        <v>14008</v>
      </c>
      <c r="E2074" t="s">
        <v>14009</v>
      </c>
      <c r="F2074" t="s">
        <v>108</v>
      </c>
      <c r="H2074" t="s">
        <v>14010</v>
      </c>
      <c r="I2074" t="s">
        <v>225</v>
      </c>
      <c r="J2074" t="s">
        <v>111</v>
      </c>
      <c r="K2074" t="str">
        <f>"85201"</f>
        <v>85201</v>
      </c>
      <c r="L2074" t="s">
        <v>12529</v>
      </c>
      <c r="M2074" t="s">
        <v>14010</v>
      </c>
      <c r="N2074" t="s">
        <v>225</v>
      </c>
      <c r="O2074" t="s">
        <v>111</v>
      </c>
      <c r="P2074" t="str">
        <f>"85201-3905"</f>
        <v>85201-3905</v>
      </c>
      <c r="Q2074" t="s">
        <v>113</v>
      </c>
      <c r="R2074" t="str">
        <f>"135-21-029-B"</f>
        <v>135-21-029-B</v>
      </c>
      <c r="U2074">
        <v>2983</v>
      </c>
      <c r="V2074">
        <v>0</v>
      </c>
      <c r="W2074">
        <v>3</v>
      </c>
      <c r="X2074">
        <v>1948</v>
      </c>
      <c r="Z2074">
        <v>1</v>
      </c>
      <c r="AB2074">
        <v>0</v>
      </c>
      <c r="AC2074" t="s">
        <v>5188</v>
      </c>
      <c r="AD2074">
        <v>2</v>
      </c>
      <c r="AE2074" t="s">
        <v>5188</v>
      </c>
      <c r="AF2074">
        <v>0</v>
      </c>
      <c r="AG2074">
        <v>0</v>
      </c>
      <c r="AH2074" t="s">
        <v>116</v>
      </c>
      <c r="AI2074" s="1">
        <v>159140</v>
      </c>
      <c r="AJ2074" s="2">
        <v>0.44</v>
      </c>
      <c r="AK2074" s="1">
        <v>363484</v>
      </c>
      <c r="AL2074" t="s">
        <v>117</v>
      </c>
      <c r="AM2074" t="s">
        <v>191</v>
      </c>
      <c r="AN2074">
        <v>10641</v>
      </c>
      <c r="AO2074">
        <v>0.24</v>
      </c>
      <c r="AP2074">
        <v>1</v>
      </c>
      <c r="AR2074">
        <v>1</v>
      </c>
      <c r="AS2074" s="1">
        <v>23720</v>
      </c>
      <c r="AT2074" s="1">
        <v>4740</v>
      </c>
      <c r="AU2074" s="1">
        <v>18980</v>
      </c>
      <c r="AV2074">
        <v>80.02</v>
      </c>
      <c r="AX2074" s="1">
        <v>1697.38</v>
      </c>
      <c r="AY2074" t="s">
        <v>14011</v>
      </c>
      <c r="AZ2074" t="s">
        <v>7850</v>
      </c>
      <c r="BA2074" t="s">
        <v>5191</v>
      </c>
      <c r="BB2074" s="3">
        <v>42919</v>
      </c>
      <c r="BD2074" t="s">
        <v>157</v>
      </c>
      <c r="BE2074" s="3">
        <v>42405</v>
      </c>
      <c r="BF2074" s="1">
        <v>280000</v>
      </c>
      <c r="BG2074" t="s">
        <v>14012</v>
      </c>
      <c r="BH2074" s="1">
        <v>93.87</v>
      </c>
      <c r="BI2074" s="1">
        <v>204344</v>
      </c>
      <c r="BJ2074" s="3">
        <v>42703</v>
      </c>
      <c r="BK2074" t="s">
        <v>123</v>
      </c>
      <c r="BL2074" t="str">
        <f>"2016.875897"</f>
        <v>2016.875897</v>
      </c>
      <c r="BM2074" t="s">
        <v>5534</v>
      </c>
      <c r="BO2074" t="s">
        <v>14013</v>
      </c>
      <c r="BS2074">
        <v>30</v>
      </c>
      <c r="BW2074" t="str">
        <f>""</f>
        <v/>
      </c>
      <c r="CH2074" t="str">
        <f>""</f>
        <v/>
      </c>
      <c r="CS2074" t="str">
        <f>""</f>
        <v/>
      </c>
    </row>
    <row r="2075" spans="1:97" x14ac:dyDescent="0.25">
      <c r="B2075" t="s">
        <v>14014</v>
      </c>
      <c r="E2075" t="s">
        <v>14015</v>
      </c>
      <c r="F2075" t="s">
        <v>108</v>
      </c>
      <c r="H2075" t="s">
        <v>14016</v>
      </c>
      <c r="I2075" t="s">
        <v>3150</v>
      </c>
      <c r="J2075" t="s">
        <v>111</v>
      </c>
      <c r="K2075" t="str">
        <f>"85340"</f>
        <v>85340</v>
      </c>
      <c r="L2075" t="s">
        <v>734</v>
      </c>
      <c r="M2075" t="s">
        <v>14016</v>
      </c>
      <c r="N2075" t="s">
        <v>3150</v>
      </c>
      <c r="O2075" t="s">
        <v>111</v>
      </c>
      <c r="P2075" t="str">
        <f>"85340-6631"</f>
        <v>85340-6631</v>
      </c>
      <c r="Q2075" t="s">
        <v>113</v>
      </c>
      <c r="R2075" t="str">
        <f>"502-28-045-D"</f>
        <v>502-28-045-D</v>
      </c>
      <c r="U2075">
        <v>2034</v>
      </c>
      <c r="V2075">
        <v>0</v>
      </c>
      <c r="W2075">
        <v>3</v>
      </c>
      <c r="X2075">
        <v>1999</v>
      </c>
      <c r="Z2075">
        <v>1</v>
      </c>
      <c r="AA2075" t="s">
        <v>26</v>
      </c>
      <c r="AB2075">
        <v>0</v>
      </c>
      <c r="AC2075" t="s">
        <v>115</v>
      </c>
      <c r="AD2075">
        <v>4</v>
      </c>
      <c r="AE2075" t="s">
        <v>115</v>
      </c>
      <c r="AF2075">
        <v>0</v>
      </c>
      <c r="AG2075">
        <v>0</v>
      </c>
      <c r="AH2075" t="s">
        <v>116</v>
      </c>
      <c r="AI2075" s="1">
        <v>20670</v>
      </c>
      <c r="AJ2075" s="2">
        <v>0.05</v>
      </c>
      <c r="AK2075" s="1">
        <v>420670</v>
      </c>
      <c r="AL2075" t="s">
        <v>117</v>
      </c>
      <c r="AM2075" t="s">
        <v>376</v>
      </c>
      <c r="AN2075">
        <v>93397</v>
      </c>
      <c r="AO2075">
        <v>2.14</v>
      </c>
      <c r="AP2075">
        <v>1</v>
      </c>
      <c r="AR2075">
        <v>1</v>
      </c>
      <c r="AS2075" s="1">
        <v>29870</v>
      </c>
      <c r="AT2075" s="1">
        <v>5970</v>
      </c>
      <c r="AU2075" s="1">
        <v>23900</v>
      </c>
      <c r="AV2075">
        <v>80.010000000000005</v>
      </c>
      <c r="AX2075" s="1">
        <v>3590.72</v>
      </c>
      <c r="AY2075" t="s">
        <v>543</v>
      </c>
      <c r="AZ2075" t="s">
        <v>504</v>
      </c>
      <c r="BA2075" t="s">
        <v>218</v>
      </c>
      <c r="BB2075" s="3">
        <v>43621</v>
      </c>
      <c r="BC2075" s="1">
        <v>0</v>
      </c>
      <c r="BD2075" t="s">
        <v>247</v>
      </c>
      <c r="BE2075" s="3">
        <v>42481</v>
      </c>
      <c r="BF2075" s="1">
        <v>363000</v>
      </c>
      <c r="BG2075" t="s">
        <v>14017</v>
      </c>
      <c r="BH2075" s="1">
        <v>178.47</v>
      </c>
      <c r="BI2075" s="1">
        <v>400000</v>
      </c>
      <c r="BJ2075" s="3">
        <v>43621</v>
      </c>
      <c r="BK2075" t="s">
        <v>123</v>
      </c>
      <c r="BL2075" t="str">
        <f>"2019.418510"</f>
        <v>2019.418510</v>
      </c>
      <c r="BM2075" t="s">
        <v>2671</v>
      </c>
      <c r="BN2075" t="s">
        <v>2672</v>
      </c>
      <c r="BO2075" t="s">
        <v>14018</v>
      </c>
      <c r="BR2075" t="s">
        <v>139</v>
      </c>
      <c r="BW2075" t="str">
        <f>""</f>
        <v/>
      </c>
      <c r="CH2075" t="str">
        <f>""</f>
        <v/>
      </c>
      <c r="CS2075" t="str">
        <f>""</f>
        <v/>
      </c>
    </row>
    <row r="2076" spans="1:97" x14ac:dyDescent="0.25">
      <c r="A2076" t="s">
        <v>14019</v>
      </c>
      <c r="B2076" t="s">
        <v>14020</v>
      </c>
      <c r="C2076" t="s">
        <v>14021</v>
      </c>
      <c r="D2076" t="s">
        <v>14020</v>
      </c>
      <c r="E2076" t="s">
        <v>14022</v>
      </c>
      <c r="F2076" t="s">
        <v>108</v>
      </c>
      <c r="H2076" t="s">
        <v>14023</v>
      </c>
      <c r="I2076" t="s">
        <v>374</v>
      </c>
      <c r="J2076" t="s">
        <v>111</v>
      </c>
      <c r="K2076" t="str">
        <f>"85087"</f>
        <v>85087</v>
      </c>
      <c r="L2076" t="s">
        <v>11846</v>
      </c>
      <c r="M2076" t="s">
        <v>14023</v>
      </c>
      <c r="N2076" t="s">
        <v>374</v>
      </c>
      <c r="O2076" t="s">
        <v>111</v>
      </c>
      <c r="P2076" t="str">
        <f>"85087-7602"</f>
        <v>85087-7602</v>
      </c>
      <c r="Q2076" t="s">
        <v>113</v>
      </c>
      <c r="R2076" t="str">
        <f>"202-20-668-E"</f>
        <v>202-20-668-E</v>
      </c>
      <c r="U2076">
        <v>1590</v>
      </c>
      <c r="V2076">
        <v>0</v>
      </c>
      <c r="W2076">
        <v>3</v>
      </c>
      <c r="X2076">
        <v>2014</v>
      </c>
      <c r="Z2076">
        <v>1</v>
      </c>
      <c r="AB2076">
        <v>0</v>
      </c>
      <c r="AC2076" t="s">
        <v>115</v>
      </c>
      <c r="AD2076">
        <v>2</v>
      </c>
      <c r="AE2076" t="s">
        <v>115</v>
      </c>
      <c r="AF2076">
        <v>0</v>
      </c>
      <c r="AG2076">
        <v>0</v>
      </c>
      <c r="AH2076" t="s">
        <v>116</v>
      </c>
      <c r="AI2076" s="1">
        <v>87289</v>
      </c>
      <c r="AJ2076" s="2">
        <v>0.26</v>
      </c>
      <c r="AK2076" s="1">
        <v>338731</v>
      </c>
      <c r="AL2076" t="s">
        <v>117</v>
      </c>
      <c r="AM2076" t="s">
        <v>376</v>
      </c>
      <c r="AN2076">
        <v>43875</v>
      </c>
      <c r="AO2076">
        <v>1.01</v>
      </c>
      <c r="AR2076">
        <v>1</v>
      </c>
      <c r="AS2076" s="1">
        <v>24380</v>
      </c>
      <c r="AT2076" s="1">
        <v>4870</v>
      </c>
      <c r="AU2076" s="1">
        <v>19510</v>
      </c>
      <c r="AV2076">
        <v>80.02</v>
      </c>
      <c r="AX2076" s="1">
        <v>2153</v>
      </c>
      <c r="AY2076" t="s">
        <v>665</v>
      </c>
      <c r="AZ2076" t="s">
        <v>665</v>
      </c>
      <c r="BA2076" t="s">
        <v>378</v>
      </c>
      <c r="BE2076" s="3">
        <v>42094</v>
      </c>
      <c r="BF2076" s="1">
        <v>249900</v>
      </c>
      <c r="BG2076" t="s">
        <v>379</v>
      </c>
      <c r="BH2076" s="1">
        <v>157.16999999999999</v>
      </c>
      <c r="BI2076" s="1">
        <v>251442</v>
      </c>
      <c r="BJ2076" s="3">
        <v>42094</v>
      </c>
      <c r="BK2076" t="s">
        <v>123</v>
      </c>
      <c r="BL2076" t="str">
        <f>"2015.218773"</f>
        <v>2015.218773</v>
      </c>
      <c r="BM2076" t="s">
        <v>5867</v>
      </c>
      <c r="BO2076" t="s">
        <v>14024</v>
      </c>
      <c r="BS2076">
        <v>30</v>
      </c>
      <c r="BW2076" t="str">
        <f>""</f>
        <v/>
      </c>
      <c r="CH2076" t="str">
        <f>""</f>
        <v/>
      </c>
      <c r="CS2076" t="str">
        <f>""</f>
        <v/>
      </c>
    </row>
    <row r="2077" spans="1:97" x14ac:dyDescent="0.25">
      <c r="A2077" t="s">
        <v>13304</v>
      </c>
      <c r="B2077" t="s">
        <v>1704</v>
      </c>
      <c r="C2077" t="s">
        <v>524</v>
      </c>
      <c r="D2077" t="s">
        <v>1704</v>
      </c>
      <c r="E2077" t="s">
        <v>14025</v>
      </c>
      <c r="F2077" t="s">
        <v>282</v>
      </c>
      <c r="H2077" t="s">
        <v>14026</v>
      </c>
      <c r="I2077" t="s">
        <v>390</v>
      </c>
      <c r="J2077" t="s">
        <v>111</v>
      </c>
      <c r="K2077" t="str">
        <f>"85086"</f>
        <v>85086</v>
      </c>
      <c r="L2077" t="s">
        <v>14027</v>
      </c>
      <c r="M2077" t="s">
        <v>14028</v>
      </c>
      <c r="N2077" t="s">
        <v>14029</v>
      </c>
      <c r="O2077" t="s">
        <v>111</v>
      </c>
      <c r="P2077" t="str">
        <f>"86409-1829"</f>
        <v>86409-1829</v>
      </c>
      <c r="Q2077" t="s">
        <v>113</v>
      </c>
      <c r="R2077" t="str">
        <f>"211-53-036-Z"</f>
        <v>211-53-036-Z</v>
      </c>
      <c r="U2077">
        <v>1598</v>
      </c>
      <c r="V2077">
        <v>0</v>
      </c>
      <c r="W2077">
        <v>3</v>
      </c>
      <c r="X2077">
        <v>2001</v>
      </c>
      <c r="Z2077">
        <v>1</v>
      </c>
      <c r="AB2077">
        <v>0</v>
      </c>
      <c r="AC2077" t="s">
        <v>115</v>
      </c>
      <c r="AD2077">
        <v>2</v>
      </c>
      <c r="AE2077" t="s">
        <v>115</v>
      </c>
      <c r="AF2077">
        <v>0</v>
      </c>
      <c r="AG2077">
        <v>0</v>
      </c>
      <c r="AH2077" t="s">
        <v>116</v>
      </c>
      <c r="AI2077" s="1">
        <v>92465</v>
      </c>
      <c r="AJ2077" s="2">
        <v>0.25</v>
      </c>
      <c r="AK2077" s="1">
        <v>376643</v>
      </c>
      <c r="AL2077" t="s">
        <v>117</v>
      </c>
      <c r="AM2077" t="s">
        <v>376</v>
      </c>
      <c r="AN2077">
        <v>54463</v>
      </c>
      <c r="AO2077">
        <v>1.25</v>
      </c>
      <c r="AP2077">
        <v>1</v>
      </c>
      <c r="AR2077">
        <v>1</v>
      </c>
      <c r="AS2077" s="1">
        <v>26860</v>
      </c>
      <c r="AT2077" s="1">
        <v>5370</v>
      </c>
      <c r="AU2077" s="1">
        <v>21490</v>
      </c>
      <c r="AV2077">
        <v>80.010000000000005</v>
      </c>
      <c r="AX2077" s="1">
        <v>2937.22</v>
      </c>
      <c r="AY2077" t="s">
        <v>1587</v>
      </c>
      <c r="AZ2077" t="s">
        <v>1587</v>
      </c>
      <c r="BA2077" t="s">
        <v>378</v>
      </c>
      <c r="BE2077" s="3">
        <v>41673</v>
      </c>
      <c r="BF2077" s="1">
        <v>325000</v>
      </c>
      <c r="BG2077" t="s">
        <v>14030</v>
      </c>
      <c r="BH2077" s="1">
        <v>203.38</v>
      </c>
      <c r="BI2077" s="1">
        <v>284178</v>
      </c>
      <c r="BJ2077" s="3">
        <v>42613</v>
      </c>
      <c r="BK2077" t="s">
        <v>123</v>
      </c>
      <c r="BL2077" t="str">
        <f>"2016.629745"</f>
        <v>2016.629745</v>
      </c>
      <c r="BM2077" t="s">
        <v>6367</v>
      </c>
      <c r="BO2077" t="s">
        <v>14031</v>
      </c>
      <c r="BS2077">
        <v>30</v>
      </c>
      <c r="BW2077" t="str">
        <f>""</f>
        <v/>
      </c>
      <c r="CH2077" t="str">
        <f>""</f>
        <v/>
      </c>
      <c r="CS2077" t="str">
        <f>""</f>
        <v/>
      </c>
    </row>
    <row r="2078" spans="1:97" x14ac:dyDescent="0.25">
      <c r="A2078" t="s">
        <v>513</v>
      </c>
      <c r="B2078" t="s">
        <v>14032</v>
      </c>
      <c r="E2078" t="s">
        <v>14033</v>
      </c>
      <c r="F2078" t="s">
        <v>108</v>
      </c>
      <c r="H2078" t="s">
        <v>14034</v>
      </c>
      <c r="I2078" t="s">
        <v>110</v>
      </c>
      <c r="J2078" t="s">
        <v>111</v>
      </c>
      <c r="K2078" t="str">
        <f>"85286"</f>
        <v>85286</v>
      </c>
      <c r="L2078" t="s">
        <v>2220</v>
      </c>
      <c r="M2078" t="s">
        <v>14034</v>
      </c>
      <c r="N2078" t="s">
        <v>110</v>
      </c>
      <c r="O2078" t="s">
        <v>111</v>
      </c>
      <c r="P2078" t="str">
        <f>"85286-4581"</f>
        <v>85286-4581</v>
      </c>
      <c r="Q2078" t="s">
        <v>113</v>
      </c>
      <c r="R2078" t="str">
        <f>"303-34-900"</f>
        <v>303-34-900</v>
      </c>
      <c r="S2078" t="s">
        <v>14035</v>
      </c>
      <c r="T2078" t="s">
        <v>14036</v>
      </c>
      <c r="U2078">
        <v>1860</v>
      </c>
      <c r="V2078">
        <v>0</v>
      </c>
      <c r="W2078">
        <v>3</v>
      </c>
      <c r="X2078">
        <v>2000</v>
      </c>
      <c r="Z2078">
        <v>1</v>
      </c>
      <c r="AB2078">
        <v>0</v>
      </c>
      <c r="AC2078" t="s">
        <v>115</v>
      </c>
      <c r="AD2078">
        <v>2</v>
      </c>
      <c r="AE2078" t="s">
        <v>115</v>
      </c>
      <c r="AF2078">
        <v>0</v>
      </c>
      <c r="AG2078">
        <v>0</v>
      </c>
      <c r="AH2078" t="s">
        <v>116</v>
      </c>
      <c r="AI2078" s="1">
        <v>-142740</v>
      </c>
      <c r="AJ2078" s="2">
        <v>-0.39</v>
      </c>
      <c r="AK2078" s="1">
        <v>370260</v>
      </c>
      <c r="AL2078" t="s">
        <v>117</v>
      </c>
      <c r="AM2078" t="s">
        <v>118</v>
      </c>
      <c r="AN2078">
        <v>7020</v>
      </c>
      <c r="AO2078">
        <v>0.16</v>
      </c>
      <c r="AP2078">
        <v>1</v>
      </c>
      <c r="AR2078">
        <v>1</v>
      </c>
      <c r="AS2078" s="1">
        <v>25360</v>
      </c>
      <c r="AT2078" s="1">
        <v>5070</v>
      </c>
      <c r="AU2078" s="1">
        <v>20290</v>
      </c>
      <c r="AV2078">
        <v>80.010000000000005</v>
      </c>
      <c r="AX2078" s="1">
        <v>2332.46</v>
      </c>
      <c r="AY2078" t="s">
        <v>14037</v>
      </c>
      <c r="AZ2078" t="s">
        <v>1882</v>
      </c>
      <c r="BA2078" t="s">
        <v>121</v>
      </c>
      <c r="BB2078" s="3">
        <v>43383</v>
      </c>
      <c r="BC2078" s="1">
        <v>0</v>
      </c>
      <c r="BD2078" t="s">
        <v>291</v>
      </c>
      <c r="BE2078" s="3">
        <v>41880</v>
      </c>
      <c r="BF2078" s="1">
        <v>300000</v>
      </c>
      <c r="BG2078" t="s">
        <v>14038</v>
      </c>
      <c r="BH2078" s="1">
        <v>161.29</v>
      </c>
      <c r="BI2078" s="1">
        <v>256500</v>
      </c>
      <c r="BJ2078" s="3">
        <v>41880</v>
      </c>
      <c r="BK2078" t="s">
        <v>123</v>
      </c>
      <c r="BL2078" t="str">
        <f>"2014.577569"</f>
        <v>2014.577569</v>
      </c>
      <c r="BM2078" t="s">
        <v>9499</v>
      </c>
      <c r="BN2078" t="s">
        <v>1916</v>
      </c>
      <c r="BO2078" t="s">
        <v>14039</v>
      </c>
      <c r="BS2078">
        <v>30</v>
      </c>
      <c r="BT2078" s="1">
        <v>256500</v>
      </c>
      <c r="BU2078" s="3">
        <v>41899</v>
      </c>
      <c r="BV2078" t="s">
        <v>123</v>
      </c>
      <c r="BW2078" t="str">
        <f>"2014.614745"</f>
        <v>2014.614745</v>
      </c>
      <c r="BX2078" t="s">
        <v>9499</v>
      </c>
      <c r="BY2078" t="s">
        <v>1916</v>
      </c>
      <c r="BZ2078" t="s">
        <v>14040</v>
      </c>
      <c r="CD2078">
        <v>30</v>
      </c>
      <c r="CH2078" t="str">
        <f>""</f>
        <v/>
      </c>
      <c r="CS2078" t="str">
        <f>""</f>
        <v/>
      </c>
    </row>
    <row r="2079" spans="1:97" x14ac:dyDescent="0.25">
      <c r="A2079" t="s">
        <v>14041</v>
      </c>
      <c r="B2079" t="s">
        <v>364</v>
      </c>
      <c r="C2079" t="s">
        <v>2281</v>
      </c>
      <c r="D2079" t="s">
        <v>364</v>
      </c>
      <c r="E2079" t="s">
        <v>14042</v>
      </c>
      <c r="F2079" t="s">
        <v>108</v>
      </c>
      <c r="H2079" t="s">
        <v>14043</v>
      </c>
      <c r="I2079" t="s">
        <v>453</v>
      </c>
      <c r="J2079" t="s">
        <v>111</v>
      </c>
      <c r="K2079" t="str">
        <f>"85383"</f>
        <v>85383</v>
      </c>
      <c r="L2079" t="s">
        <v>7243</v>
      </c>
      <c r="M2079" t="s">
        <v>14043</v>
      </c>
      <c r="N2079" t="s">
        <v>453</v>
      </c>
      <c r="O2079" t="s">
        <v>111</v>
      </c>
      <c r="P2079" t="str">
        <f>"85383-6225"</f>
        <v>85383-6225</v>
      </c>
      <c r="Q2079" t="s">
        <v>113</v>
      </c>
      <c r="R2079" t="str">
        <f>"201-20-271"</f>
        <v>201-20-271</v>
      </c>
      <c r="S2079" t="s">
        <v>8847</v>
      </c>
      <c r="T2079" t="s">
        <v>8847</v>
      </c>
      <c r="U2079">
        <v>2312</v>
      </c>
      <c r="V2079">
        <v>0</v>
      </c>
      <c r="W2079">
        <v>4</v>
      </c>
      <c r="X2079">
        <v>2016</v>
      </c>
      <c r="Z2079">
        <v>1</v>
      </c>
      <c r="AB2079">
        <v>0</v>
      </c>
      <c r="AC2079" t="s">
        <v>115</v>
      </c>
      <c r="AD2079">
        <v>3</v>
      </c>
      <c r="AE2079" t="s">
        <v>115</v>
      </c>
      <c r="AF2079">
        <v>0</v>
      </c>
      <c r="AG2079">
        <v>0</v>
      </c>
      <c r="AH2079" t="s">
        <v>116</v>
      </c>
      <c r="AI2079" s="1">
        <v>15139</v>
      </c>
      <c r="AJ2079" s="2">
        <v>0.04</v>
      </c>
      <c r="AK2079" s="1">
        <v>395715</v>
      </c>
      <c r="AL2079" t="s">
        <v>117</v>
      </c>
      <c r="AM2079" t="s">
        <v>118</v>
      </c>
      <c r="AN2079">
        <v>7560</v>
      </c>
      <c r="AO2079">
        <v>0.17</v>
      </c>
      <c r="AR2079">
        <v>1</v>
      </c>
      <c r="AS2079" s="1">
        <v>30370</v>
      </c>
      <c r="AT2079" s="1">
        <v>6070</v>
      </c>
      <c r="AU2079" s="1">
        <v>24300</v>
      </c>
      <c r="AV2079">
        <v>80.010000000000005</v>
      </c>
      <c r="AX2079" s="1">
        <v>2346.64</v>
      </c>
      <c r="AY2079" t="s">
        <v>1385</v>
      </c>
      <c r="AZ2079" t="s">
        <v>1385</v>
      </c>
      <c r="BA2079" t="s">
        <v>1386</v>
      </c>
      <c r="BE2079" s="3">
        <v>42489</v>
      </c>
      <c r="BF2079" s="1">
        <v>392526</v>
      </c>
      <c r="BG2079" t="s">
        <v>2199</v>
      </c>
      <c r="BH2079" s="1">
        <v>169.78</v>
      </c>
      <c r="BI2079" s="1">
        <v>380576</v>
      </c>
      <c r="BJ2079" s="3">
        <v>42489</v>
      </c>
      <c r="BK2079" t="s">
        <v>123</v>
      </c>
      <c r="BL2079" t="str">
        <f>"2016.290771"</f>
        <v>2016.290771</v>
      </c>
      <c r="BM2079" t="s">
        <v>2245</v>
      </c>
      <c r="BO2079" t="s">
        <v>14044</v>
      </c>
      <c r="BS2079">
        <v>30</v>
      </c>
      <c r="BW2079" t="str">
        <f>""</f>
        <v/>
      </c>
      <c r="CH2079" t="str">
        <f>""</f>
        <v/>
      </c>
      <c r="CS2079" t="str">
        <f>""</f>
        <v/>
      </c>
    </row>
    <row r="2080" spans="1:97" x14ac:dyDescent="0.25">
      <c r="A2080" t="s">
        <v>1444</v>
      </c>
      <c r="B2080" t="s">
        <v>6779</v>
      </c>
      <c r="C2080" t="s">
        <v>7560</v>
      </c>
      <c r="D2080" t="s">
        <v>6779</v>
      </c>
      <c r="E2080" t="s">
        <v>14045</v>
      </c>
      <c r="F2080" t="s">
        <v>108</v>
      </c>
      <c r="H2080" t="s">
        <v>14046</v>
      </c>
      <c r="I2080" t="s">
        <v>453</v>
      </c>
      <c r="J2080" t="s">
        <v>111</v>
      </c>
      <c r="K2080" t="str">
        <f>"85382"</f>
        <v>85382</v>
      </c>
      <c r="L2080" t="s">
        <v>5021</v>
      </c>
      <c r="M2080" t="s">
        <v>14046</v>
      </c>
      <c r="N2080" t="s">
        <v>453</v>
      </c>
      <c r="O2080" t="s">
        <v>111</v>
      </c>
      <c r="P2080" t="str">
        <f>"85382-1451"</f>
        <v>85382-1451</v>
      </c>
      <c r="Q2080" t="s">
        <v>113</v>
      </c>
      <c r="R2080" t="str">
        <f>"200-17-759"</f>
        <v>200-17-759</v>
      </c>
      <c r="S2080" t="s">
        <v>14047</v>
      </c>
      <c r="U2080">
        <v>2634</v>
      </c>
      <c r="V2080">
        <v>0</v>
      </c>
      <c r="W2080">
        <v>4</v>
      </c>
      <c r="X2080">
        <v>2002</v>
      </c>
      <c r="Z2080">
        <v>2</v>
      </c>
      <c r="AB2080">
        <v>0</v>
      </c>
      <c r="AC2080" t="s">
        <v>115</v>
      </c>
      <c r="AD2080">
        <v>2</v>
      </c>
      <c r="AE2080" t="s">
        <v>115</v>
      </c>
      <c r="AF2080">
        <v>0</v>
      </c>
      <c r="AG2080">
        <v>0</v>
      </c>
      <c r="AH2080" t="s">
        <v>116</v>
      </c>
      <c r="AI2080" s="1">
        <v>79823</v>
      </c>
      <c r="AJ2080" s="2">
        <v>0.21</v>
      </c>
      <c r="AK2080" s="1">
        <v>375380</v>
      </c>
      <c r="AL2080" t="s">
        <v>117</v>
      </c>
      <c r="AM2080" t="s">
        <v>118</v>
      </c>
      <c r="AN2080">
        <v>10262</v>
      </c>
      <c r="AO2080">
        <v>0.24</v>
      </c>
      <c r="AP2080">
        <v>1</v>
      </c>
      <c r="AR2080">
        <v>1</v>
      </c>
      <c r="AS2080" s="1">
        <v>25580</v>
      </c>
      <c r="AT2080" s="1">
        <v>5110</v>
      </c>
      <c r="AU2080" s="1">
        <v>20470</v>
      </c>
      <c r="AV2080">
        <v>80.02</v>
      </c>
      <c r="AX2080" s="1">
        <v>2278.94</v>
      </c>
      <c r="AY2080" t="s">
        <v>6311</v>
      </c>
      <c r="AZ2080" t="s">
        <v>6311</v>
      </c>
      <c r="BA2080" t="s">
        <v>4219</v>
      </c>
      <c r="BE2080" s="3">
        <v>41780</v>
      </c>
      <c r="BF2080" s="1">
        <v>290000</v>
      </c>
      <c r="BG2080" t="s">
        <v>14048</v>
      </c>
      <c r="BH2080" s="1">
        <v>110.1</v>
      </c>
      <c r="BI2080" s="1">
        <v>295557</v>
      </c>
      <c r="BJ2080" s="3">
        <v>42473</v>
      </c>
      <c r="BK2080" t="s">
        <v>123</v>
      </c>
      <c r="BL2080" t="str">
        <f>"2016.244097"</f>
        <v>2016.244097</v>
      </c>
      <c r="BM2080" t="s">
        <v>544</v>
      </c>
      <c r="BO2080" t="s">
        <v>14049</v>
      </c>
      <c r="BS2080">
        <v>30</v>
      </c>
      <c r="BW2080" t="str">
        <f>""</f>
        <v/>
      </c>
      <c r="CH2080" t="str">
        <f>""</f>
        <v/>
      </c>
      <c r="CS2080" t="str">
        <f>""</f>
        <v/>
      </c>
    </row>
    <row r="2081" spans="1:97" x14ac:dyDescent="0.25">
      <c r="A2081" t="s">
        <v>1393</v>
      </c>
      <c r="B2081" t="s">
        <v>14050</v>
      </c>
      <c r="C2081" t="s">
        <v>703</v>
      </c>
      <c r="D2081" t="s">
        <v>14050</v>
      </c>
      <c r="E2081" t="s">
        <v>14051</v>
      </c>
      <c r="F2081" t="s">
        <v>108</v>
      </c>
      <c r="H2081" t="s">
        <v>14052</v>
      </c>
      <c r="I2081" t="s">
        <v>144</v>
      </c>
      <c r="J2081" t="s">
        <v>111</v>
      </c>
      <c r="K2081" t="str">
        <f>"85396"</f>
        <v>85396</v>
      </c>
      <c r="L2081" t="s">
        <v>11339</v>
      </c>
      <c r="M2081" t="s">
        <v>14052</v>
      </c>
      <c r="N2081" t="s">
        <v>144</v>
      </c>
      <c r="O2081" t="s">
        <v>111</v>
      </c>
      <c r="P2081" t="str">
        <f>"85396-7240"</f>
        <v>85396-7240</v>
      </c>
      <c r="Q2081" t="s">
        <v>113</v>
      </c>
      <c r="R2081" t="str">
        <f>"503-85-232"</f>
        <v>503-85-232</v>
      </c>
      <c r="S2081" t="s">
        <v>11340</v>
      </c>
      <c r="U2081">
        <v>3548</v>
      </c>
      <c r="V2081">
        <v>0</v>
      </c>
      <c r="W2081">
        <v>5</v>
      </c>
      <c r="X2081">
        <v>2009</v>
      </c>
      <c r="Z2081">
        <v>2</v>
      </c>
      <c r="AB2081">
        <v>0</v>
      </c>
      <c r="AC2081" t="s">
        <v>115</v>
      </c>
      <c r="AD2081">
        <v>3</v>
      </c>
      <c r="AE2081" t="s">
        <v>115</v>
      </c>
      <c r="AF2081">
        <v>0</v>
      </c>
      <c r="AG2081">
        <v>0</v>
      </c>
      <c r="AH2081" t="s">
        <v>116</v>
      </c>
      <c r="AI2081" s="1">
        <v>74395</v>
      </c>
      <c r="AJ2081" s="2">
        <v>0.24</v>
      </c>
      <c r="AK2081" s="1">
        <v>309710</v>
      </c>
      <c r="AL2081" t="s">
        <v>117</v>
      </c>
      <c r="AM2081" t="s">
        <v>118</v>
      </c>
      <c r="AN2081">
        <v>7076</v>
      </c>
      <c r="AO2081">
        <v>0.16</v>
      </c>
      <c r="AR2081">
        <v>1</v>
      </c>
      <c r="AS2081" s="1">
        <v>22410</v>
      </c>
      <c r="AT2081" s="1">
        <v>4480</v>
      </c>
      <c r="AU2081" s="1">
        <v>17930</v>
      </c>
      <c r="AV2081">
        <v>80.010000000000005</v>
      </c>
      <c r="AX2081" s="1">
        <v>2371.34</v>
      </c>
      <c r="AY2081" t="s">
        <v>444</v>
      </c>
      <c r="AZ2081" t="s">
        <v>444</v>
      </c>
      <c r="BA2081" t="s">
        <v>445</v>
      </c>
      <c r="BE2081" s="3">
        <v>42480</v>
      </c>
      <c r="BF2081" s="1">
        <v>235000</v>
      </c>
      <c r="BG2081" t="s">
        <v>14053</v>
      </c>
      <c r="BH2081" s="1">
        <v>66.23</v>
      </c>
      <c r="BI2081" s="1">
        <v>235315</v>
      </c>
      <c r="BJ2081" s="3">
        <v>42702</v>
      </c>
      <c r="BK2081" t="s">
        <v>123</v>
      </c>
      <c r="BL2081" t="str">
        <f>"2016.869432"</f>
        <v>2016.869432</v>
      </c>
      <c r="BM2081" t="s">
        <v>309</v>
      </c>
      <c r="BO2081" t="s">
        <v>14054</v>
      </c>
      <c r="BS2081">
        <v>30</v>
      </c>
      <c r="BW2081" t="str">
        <f>""</f>
        <v/>
      </c>
      <c r="CH2081" t="str">
        <f>""</f>
        <v/>
      </c>
      <c r="CS2081" t="str">
        <f>""</f>
        <v/>
      </c>
    </row>
    <row r="2082" spans="1:97" x14ac:dyDescent="0.25">
      <c r="A2082" t="s">
        <v>14055</v>
      </c>
      <c r="B2082" t="s">
        <v>14056</v>
      </c>
      <c r="C2082" t="s">
        <v>945</v>
      </c>
      <c r="D2082" t="s">
        <v>14056</v>
      </c>
      <c r="E2082" t="s">
        <v>14057</v>
      </c>
      <c r="F2082" t="s">
        <v>108</v>
      </c>
      <c r="H2082" t="s">
        <v>14058</v>
      </c>
      <c r="I2082" t="s">
        <v>390</v>
      </c>
      <c r="J2082" t="s">
        <v>111</v>
      </c>
      <c r="K2082" t="str">
        <f>"85022"</f>
        <v>85022</v>
      </c>
      <c r="L2082" t="s">
        <v>7626</v>
      </c>
      <c r="M2082" t="s">
        <v>14058</v>
      </c>
      <c r="N2082" t="s">
        <v>390</v>
      </c>
      <c r="O2082" t="s">
        <v>111</v>
      </c>
      <c r="P2082" t="str">
        <f>"85022-4219"</f>
        <v>85022-4219</v>
      </c>
      <c r="Q2082" t="s">
        <v>113</v>
      </c>
      <c r="R2082" t="str">
        <f>"208-17-552"</f>
        <v>208-17-552</v>
      </c>
      <c r="S2082" t="s">
        <v>14059</v>
      </c>
      <c r="T2082" t="s">
        <v>11489</v>
      </c>
      <c r="U2082">
        <v>1340</v>
      </c>
      <c r="V2082">
        <v>0</v>
      </c>
      <c r="W2082">
        <v>2</v>
      </c>
      <c r="X2082">
        <v>1978</v>
      </c>
      <c r="Z2082">
        <v>1</v>
      </c>
      <c r="AB2082">
        <v>0</v>
      </c>
      <c r="AC2082" t="s">
        <v>115</v>
      </c>
      <c r="AD2082">
        <v>2</v>
      </c>
      <c r="AE2082" t="s">
        <v>115</v>
      </c>
      <c r="AF2082">
        <v>0</v>
      </c>
      <c r="AG2082">
        <v>0</v>
      </c>
      <c r="AH2082" t="s">
        <v>116</v>
      </c>
      <c r="AI2082" s="1">
        <v>62345</v>
      </c>
      <c r="AJ2082" s="2">
        <v>0.22</v>
      </c>
      <c r="AK2082" s="1">
        <v>286560</v>
      </c>
      <c r="AL2082" t="s">
        <v>117</v>
      </c>
      <c r="AM2082" t="s">
        <v>5441</v>
      </c>
      <c r="AN2082">
        <v>9356</v>
      </c>
      <c r="AO2082">
        <v>0.22</v>
      </c>
      <c r="AP2082">
        <v>1</v>
      </c>
      <c r="AR2082">
        <v>1</v>
      </c>
      <c r="AS2082" s="1">
        <v>19200</v>
      </c>
      <c r="AT2082" s="1">
        <v>3840</v>
      </c>
      <c r="AU2082" s="1">
        <v>15360</v>
      </c>
      <c r="AV2082">
        <v>80</v>
      </c>
      <c r="AX2082" s="1">
        <v>1788.02</v>
      </c>
      <c r="AY2082" t="s">
        <v>9170</v>
      </c>
      <c r="AZ2082" t="s">
        <v>8648</v>
      </c>
      <c r="BA2082" t="s">
        <v>8649</v>
      </c>
      <c r="BE2082" s="3">
        <v>42339</v>
      </c>
      <c r="BF2082" s="1">
        <v>220500</v>
      </c>
      <c r="BG2082" t="s">
        <v>14060</v>
      </c>
      <c r="BH2082" s="1">
        <v>164.55</v>
      </c>
      <c r="BI2082" s="1">
        <v>224215</v>
      </c>
      <c r="BJ2082" s="3">
        <v>42738</v>
      </c>
      <c r="BK2082" t="s">
        <v>123</v>
      </c>
      <c r="BL2082" t="str">
        <f>"2017.523"</f>
        <v>2017.523</v>
      </c>
      <c r="BM2082" t="s">
        <v>1848</v>
      </c>
      <c r="BO2082" t="s">
        <v>14061</v>
      </c>
      <c r="BS2082">
        <v>30</v>
      </c>
      <c r="BW2082" t="str">
        <f>""</f>
        <v/>
      </c>
      <c r="CH2082" t="str">
        <f>""</f>
        <v/>
      </c>
      <c r="CS2082" t="str">
        <f>""</f>
        <v/>
      </c>
    </row>
    <row r="2083" spans="1:97" x14ac:dyDescent="0.25">
      <c r="A2083" t="s">
        <v>1094</v>
      </c>
      <c r="B2083" t="s">
        <v>7705</v>
      </c>
      <c r="C2083" t="s">
        <v>1857</v>
      </c>
      <c r="D2083" t="s">
        <v>7705</v>
      </c>
      <c r="E2083" t="s">
        <v>14062</v>
      </c>
      <c r="F2083" t="s">
        <v>108</v>
      </c>
      <c r="H2083" t="s">
        <v>14063</v>
      </c>
      <c r="I2083" t="s">
        <v>203</v>
      </c>
      <c r="J2083" t="s">
        <v>111</v>
      </c>
      <c r="K2083" t="str">
        <f>"85234"</f>
        <v>85234</v>
      </c>
      <c r="L2083" t="s">
        <v>8199</v>
      </c>
      <c r="M2083" t="s">
        <v>14063</v>
      </c>
      <c r="N2083" t="s">
        <v>203</v>
      </c>
      <c r="O2083" t="s">
        <v>111</v>
      </c>
      <c r="P2083" t="str">
        <f>"85234-3541"</f>
        <v>85234-3541</v>
      </c>
      <c r="Q2083" t="s">
        <v>113</v>
      </c>
      <c r="R2083" t="str">
        <f>"304-96-232"</f>
        <v>304-96-232</v>
      </c>
      <c r="S2083" t="s">
        <v>14064</v>
      </c>
      <c r="T2083" t="s">
        <v>14065</v>
      </c>
      <c r="U2083">
        <v>2583</v>
      </c>
      <c r="V2083">
        <v>0</v>
      </c>
      <c r="W2083">
        <v>3</v>
      </c>
      <c r="X2083">
        <v>1992</v>
      </c>
      <c r="Z2083">
        <v>2</v>
      </c>
      <c r="AA2083" t="s">
        <v>26</v>
      </c>
      <c r="AB2083">
        <v>0</v>
      </c>
      <c r="AC2083" t="s">
        <v>115</v>
      </c>
      <c r="AD2083">
        <v>3</v>
      </c>
      <c r="AE2083" t="s">
        <v>115</v>
      </c>
      <c r="AF2083">
        <v>0</v>
      </c>
      <c r="AG2083">
        <v>0</v>
      </c>
      <c r="AH2083" t="s">
        <v>116</v>
      </c>
      <c r="AI2083" s="1">
        <v>94340</v>
      </c>
      <c r="AJ2083" s="2">
        <v>0.23</v>
      </c>
      <c r="AK2083" s="1">
        <v>403459</v>
      </c>
      <c r="AL2083" t="s">
        <v>117</v>
      </c>
      <c r="AM2083" t="s">
        <v>171</v>
      </c>
      <c r="AN2083">
        <v>7976</v>
      </c>
      <c r="AO2083">
        <v>0.18</v>
      </c>
      <c r="AP2083">
        <v>1</v>
      </c>
      <c r="AR2083">
        <v>1</v>
      </c>
      <c r="AS2083" s="1">
        <v>29080</v>
      </c>
      <c r="AT2083" s="1">
        <v>5810</v>
      </c>
      <c r="AU2083" s="1">
        <v>23270</v>
      </c>
      <c r="AV2083">
        <v>80.02</v>
      </c>
      <c r="AX2083" s="1">
        <v>2547.46</v>
      </c>
      <c r="AY2083" t="s">
        <v>7062</v>
      </c>
      <c r="AZ2083" t="s">
        <v>5478</v>
      </c>
      <c r="BA2083" t="s">
        <v>5033</v>
      </c>
      <c r="BE2083" s="3">
        <v>41870</v>
      </c>
      <c r="BF2083" s="1">
        <v>310000</v>
      </c>
      <c r="BG2083" t="s">
        <v>14066</v>
      </c>
      <c r="BH2083" s="1">
        <v>120.02</v>
      </c>
      <c r="BI2083" s="1">
        <v>309119</v>
      </c>
      <c r="BJ2083" s="3">
        <v>42572</v>
      </c>
      <c r="BK2083" t="s">
        <v>123</v>
      </c>
      <c r="BL2083" t="str">
        <f>"2016.515362"</f>
        <v>2016.515362</v>
      </c>
      <c r="BM2083" t="s">
        <v>402</v>
      </c>
      <c r="BO2083" t="s">
        <v>14067</v>
      </c>
      <c r="BS2083">
        <v>28</v>
      </c>
      <c r="BW2083" t="str">
        <f>""</f>
        <v/>
      </c>
      <c r="CH2083" t="str">
        <f>""</f>
        <v/>
      </c>
      <c r="CS2083" t="str">
        <f>""</f>
        <v/>
      </c>
    </row>
    <row r="2084" spans="1:97" x14ac:dyDescent="0.25">
      <c r="A2084" t="s">
        <v>14068</v>
      </c>
      <c r="B2084" t="s">
        <v>1552</v>
      </c>
      <c r="C2084" t="s">
        <v>14069</v>
      </c>
      <c r="D2084" t="s">
        <v>1552</v>
      </c>
      <c r="E2084" t="s">
        <v>14070</v>
      </c>
      <c r="F2084" t="s">
        <v>108</v>
      </c>
      <c r="H2084" t="s">
        <v>14071</v>
      </c>
      <c r="I2084" t="s">
        <v>110</v>
      </c>
      <c r="J2084" t="s">
        <v>111</v>
      </c>
      <c r="K2084" t="str">
        <f>"85248"</f>
        <v>85248</v>
      </c>
      <c r="L2084" t="s">
        <v>5131</v>
      </c>
      <c r="M2084" t="s">
        <v>14071</v>
      </c>
      <c r="N2084" t="s">
        <v>110</v>
      </c>
      <c r="O2084" t="s">
        <v>111</v>
      </c>
      <c r="P2084" t="str">
        <f>"85248-5323"</f>
        <v>85248-5323</v>
      </c>
      <c r="Q2084" t="s">
        <v>113</v>
      </c>
      <c r="R2084" t="str">
        <f>"303-49-314"</f>
        <v>303-49-314</v>
      </c>
      <c r="S2084" t="s">
        <v>14072</v>
      </c>
      <c r="U2084">
        <v>2558</v>
      </c>
      <c r="V2084">
        <v>0</v>
      </c>
      <c r="W2084">
        <v>4</v>
      </c>
      <c r="X2084">
        <v>2012</v>
      </c>
      <c r="Z2084">
        <v>1</v>
      </c>
      <c r="AA2084" t="s">
        <v>26</v>
      </c>
      <c r="AB2084">
        <v>0</v>
      </c>
      <c r="AC2084" t="s">
        <v>115</v>
      </c>
      <c r="AD2084">
        <v>3</v>
      </c>
      <c r="AE2084" t="s">
        <v>115</v>
      </c>
      <c r="AF2084">
        <v>0</v>
      </c>
      <c r="AG2084">
        <v>0</v>
      </c>
      <c r="AH2084" t="s">
        <v>116</v>
      </c>
      <c r="AI2084" s="1">
        <v>114127</v>
      </c>
      <c r="AJ2084" s="2">
        <v>0.2</v>
      </c>
      <c r="AK2084" s="1">
        <v>562127</v>
      </c>
      <c r="AL2084" t="s">
        <v>117</v>
      </c>
      <c r="AM2084" t="s">
        <v>118</v>
      </c>
      <c r="AN2084">
        <v>9246</v>
      </c>
      <c r="AO2084">
        <v>0.21</v>
      </c>
      <c r="AR2084">
        <v>1</v>
      </c>
      <c r="AS2084" s="1">
        <v>40900</v>
      </c>
      <c r="AT2084" s="1">
        <v>8180</v>
      </c>
      <c r="AU2084" s="1">
        <v>32720</v>
      </c>
      <c r="AV2084">
        <v>80</v>
      </c>
      <c r="AX2084" s="1">
        <v>3728.58</v>
      </c>
      <c r="AY2084" t="s">
        <v>119</v>
      </c>
      <c r="AZ2084" t="s">
        <v>1882</v>
      </c>
      <c r="BA2084" t="s">
        <v>121</v>
      </c>
      <c r="BE2084" s="3">
        <v>42157</v>
      </c>
      <c r="BF2084" s="1">
        <v>497900</v>
      </c>
      <c r="BG2084" t="s">
        <v>14073</v>
      </c>
      <c r="BH2084" s="1">
        <v>194.64</v>
      </c>
      <c r="BI2084" s="1">
        <v>448000</v>
      </c>
      <c r="BJ2084" s="3">
        <v>42157</v>
      </c>
      <c r="BK2084" t="s">
        <v>123</v>
      </c>
      <c r="BL2084" t="str">
        <f>"2015.393086"</f>
        <v>2015.393086</v>
      </c>
      <c r="BM2084" t="s">
        <v>1544</v>
      </c>
      <c r="BO2084" t="s">
        <v>14074</v>
      </c>
      <c r="BS2084">
        <v>30</v>
      </c>
      <c r="BW2084" t="str">
        <f>""</f>
        <v/>
      </c>
      <c r="CH2084" t="str">
        <f>""</f>
        <v/>
      </c>
      <c r="CS2084" t="str">
        <f>""</f>
        <v/>
      </c>
    </row>
    <row r="2085" spans="1:97" x14ac:dyDescent="0.25">
      <c r="A2085" t="s">
        <v>305</v>
      </c>
      <c r="B2085" t="s">
        <v>1552</v>
      </c>
      <c r="E2085" t="s">
        <v>14075</v>
      </c>
      <c r="F2085" t="s">
        <v>108</v>
      </c>
      <c r="H2085" t="s">
        <v>14076</v>
      </c>
      <c r="I2085" t="s">
        <v>203</v>
      </c>
      <c r="J2085" t="s">
        <v>111</v>
      </c>
      <c r="K2085" t="str">
        <f>"85234"</f>
        <v>85234</v>
      </c>
      <c r="L2085" t="s">
        <v>6891</v>
      </c>
      <c r="M2085" t="s">
        <v>14076</v>
      </c>
      <c r="N2085" t="s">
        <v>203</v>
      </c>
      <c r="O2085" t="s">
        <v>111</v>
      </c>
      <c r="P2085" t="str">
        <f>"85234-2716"</f>
        <v>85234-2716</v>
      </c>
      <c r="Q2085" t="s">
        <v>113</v>
      </c>
      <c r="R2085" t="str">
        <f>"309-04-055"</f>
        <v>309-04-055</v>
      </c>
      <c r="S2085" t="s">
        <v>13234</v>
      </c>
      <c r="T2085" t="s">
        <v>13235</v>
      </c>
      <c r="U2085">
        <v>2870</v>
      </c>
      <c r="V2085">
        <v>0</v>
      </c>
      <c r="W2085">
        <v>4</v>
      </c>
      <c r="X2085">
        <v>1992</v>
      </c>
      <c r="Z2085">
        <v>2</v>
      </c>
      <c r="AA2085" t="s">
        <v>26</v>
      </c>
      <c r="AB2085">
        <v>0</v>
      </c>
      <c r="AC2085" t="s">
        <v>115</v>
      </c>
      <c r="AD2085">
        <v>3</v>
      </c>
      <c r="AE2085" t="s">
        <v>115</v>
      </c>
      <c r="AF2085">
        <v>0</v>
      </c>
      <c r="AG2085">
        <v>0</v>
      </c>
      <c r="AH2085" t="s">
        <v>116</v>
      </c>
      <c r="AI2085" s="1">
        <v>134588</v>
      </c>
      <c r="AJ2085" s="2">
        <v>0.22</v>
      </c>
      <c r="AK2085" s="1">
        <v>599484</v>
      </c>
      <c r="AL2085" t="s">
        <v>117</v>
      </c>
      <c r="AM2085" t="s">
        <v>393</v>
      </c>
      <c r="AN2085">
        <v>18400</v>
      </c>
      <c r="AO2085">
        <v>0.42</v>
      </c>
      <c r="AP2085">
        <v>1</v>
      </c>
      <c r="AR2085">
        <v>1</v>
      </c>
      <c r="AS2085" s="1">
        <v>50610</v>
      </c>
      <c r="AT2085" s="1">
        <v>10120</v>
      </c>
      <c r="AU2085" s="1">
        <v>40490</v>
      </c>
      <c r="AV2085">
        <v>80</v>
      </c>
      <c r="AX2085" s="1">
        <v>4341.88</v>
      </c>
      <c r="AY2085" t="s">
        <v>10191</v>
      </c>
      <c r="AZ2085" t="s">
        <v>571</v>
      </c>
      <c r="BA2085" t="s">
        <v>521</v>
      </c>
      <c r="BB2085" s="3">
        <v>42688</v>
      </c>
      <c r="BD2085" t="s">
        <v>458</v>
      </c>
      <c r="BE2085" s="3">
        <v>42130</v>
      </c>
      <c r="BF2085" s="1">
        <v>480000</v>
      </c>
      <c r="BG2085" t="s">
        <v>14077</v>
      </c>
      <c r="BH2085" s="1">
        <v>167.25</v>
      </c>
      <c r="BI2085" s="1">
        <v>464896</v>
      </c>
      <c r="BJ2085" s="3">
        <v>42688</v>
      </c>
      <c r="BK2085" t="s">
        <v>123</v>
      </c>
      <c r="BL2085" t="str">
        <f>"2016.837145"</f>
        <v>2016.837145</v>
      </c>
      <c r="BM2085" t="s">
        <v>361</v>
      </c>
      <c r="BO2085" t="s">
        <v>14078</v>
      </c>
      <c r="BS2085">
        <v>30</v>
      </c>
      <c r="BW2085" t="str">
        <f>""</f>
        <v/>
      </c>
      <c r="CH2085" t="str">
        <f>""</f>
        <v/>
      </c>
      <c r="CS2085" t="str">
        <f>""</f>
        <v/>
      </c>
    </row>
    <row r="2086" spans="1:97" x14ac:dyDescent="0.25">
      <c r="A2086" t="s">
        <v>1109</v>
      </c>
      <c r="B2086" t="s">
        <v>9450</v>
      </c>
      <c r="E2086" t="s">
        <v>14079</v>
      </c>
      <c r="F2086" t="s">
        <v>108</v>
      </c>
      <c r="H2086" t="s">
        <v>14080</v>
      </c>
      <c r="I2086" t="s">
        <v>5863</v>
      </c>
      <c r="J2086" t="s">
        <v>111</v>
      </c>
      <c r="K2086" t="str">
        <f>"85375"</f>
        <v>85375</v>
      </c>
      <c r="L2086" t="s">
        <v>6438</v>
      </c>
      <c r="M2086" t="s">
        <v>14080</v>
      </c>
      <c r="N2086" t="s">
        <v>5863</v>
      </c>
      <c r="O2086" t="s">
        <v>111</v>
      </c>
      <c r="P2086" t="str">
        <f>"85375-2034"</f>
        <v>85375-2034</v>
      </c>
      <c r="Q2086" t="s">
        <v>113</v>
      </c>
      <c r="R2086" t="str">
        <f>"232-24-323"</f>
        <v>232-24-323</v>
      </c>
      <c r="S2086" t="s">
        <v>14081</v>
      </c>
      <c r="U2086">
        <v>1669</v>
      </c>
      <c r="V2086">
        <v>0</v>
      </c>
      <c r="W2086">
        <v>3</v>
      </c>
      <c r="X2086">
        <v>1994</v>
      </c>
      <c r="Z2086">
        <v>1</v>
      </c>
      <c r="AB2086">
        <v>0</v>
      </c>
      <c r="AC2086" t="s">
        <v>115</v>
      </c>
      <c r="AD2086">
        <v>2</v>
      </c>
      <c r="AE2086" t="s">
        <v>115</v>
      </c>
      <c r="AF2086">
        <v>0</v>
      </c>
      <c r="AG2086">
        <v>0</v>
      </c>
      <c r="AH2086" t="s">
        <v>116</v>
      </c>
      <c r="AI2086" s="1">
        <v>31756</v>
      </c>
      <c r="AJ2086" s="2">
        <v>0.12</v>
      </c>
      <c r="AK2086" s="1">
        <v>274511</v>
      </c>
      <c r="AL2086" t="s">
        <v>117</v>
      </c>
      <c r="AM2086" t="s">
        <v>191</v>
      </c>
      <c r="AN2086">
        <v>9455</v>
      </c>
      <c r="AO2086">
        <v>0.22</v>
      </c>
      <c r="AP2086">
        <v>1</v>
      </c>
      <c r="AR2086">
        <v>1</v>
      </c>
      <c r="AS2086" s="1">
        <v>18480</v>
      </c>
      <c r="AT2086" s="1">
        <v>3690</v>
      </c>
      <c r="AU2086" s="1">
        <v>14790</v>
      </c>
      <c r="AV2086">
        <v>80.03</v>
      </c>
      <c r="AX2086" s="1">
        <v>2232.16</v>
      </c>
      <c r="AY2086" t="s">
        <v>3228</v>
      </c>
      <c r="AZ2086" t="s">
        <v>3228</v>
      </c>
      <c r="BA2086" t="s">
        <v>457</v>
      </c>
      <c r="BE2086" s="3">
        <v>42024</v>
      </c>
      <c r="BF2086" s="1">
        <v>196000</v>
      </c>
      <c r="BG2086" t="s">
        <v>14082</v>
      </c>
      <c r="BH2086" s="1">
        <v>117.44</v>
      </c>
      <c r="BI2086" s="1">
        <v>242755</v>
      </c>
      <c r="BJ2086" s="3">
        <v>43551</v>
      </c>
      <c r="BK2086" t="s">
        <v>123</v>
      </c>
      <c r="BL2086" t="str">
        <f>"2019.210174"</f>
        <v>2019.210174</v>
      </c>
      <c r="BM2086" t="s">
        <v>14083</v>
      </c>
      <c r="BN2086" t="s">
        <v>14084</v>
      </c>
      <c r="BO2086" t="s">
        <v>14079</v>
      </c>
      <c r="BR2086" t="s">
        <v>139</v>
      </c>
      <c r="BW2086" t="str">
        <f>""</f>
        <v/>
      </c>
      <c r="CH2086" t="str">
        <f>""</f>
        <v/>
      </c>
      <c r="CS2086" t="str">
        <f>""</f>
        <v/>
      </c>
    </row>
    <row r="2087" spans="1:97" x14ac:dyDescent="0.25">
      <c r="A2087" t="s">
        <v>2915</v>
      </c>
      <c r="B2087" t="s">
        <v>4543</v>
      </c>
      <c r="C2087" t="s">
        <v>2544</v>
      </c>
      <c r="D2087" t="s">
        <v>4543</v>
      </c>
      <c r="E2087" t="s">
        <v>14085</v>
      </c>
      <c r="F2087" t="s">
        <v>108</v>
      </c>
      <c r="H2087" t="s">
        <v>14086</v>
      </c>
      <c r="I2087" t="s">
        <v>2874</v>
      </c>
      <c r="J2087" t="s">
        <v>111</v>
      </c>
      <c r="K2087" t="str">
        <f>"85308"</f>
        <v>85308</v>
      </c>
      <c r="L2087" t="s">
        <v>5218</v>
      </c>
      <c r="M2087" t="s">
        <v>14086</v>
      </c>
      <c r="N2087" t="s">
        <v>2874</v>
      </c>
      <c r="O2087" t="s">
        <v>111</v>
      </c>
      <c r="P2087" t="str">
        <f>"85308-1000"</f>
        <v>85308-1000</v>
      </c>
      <c r="Q2087" t="s">
        <v>113</v>
      </c>
      <c r="R2087" t="str">
        <f>"200-46-116"</f>
        <v>200-46-116</v>
      </c>
      <c r="S2087" t="s">
        <v>14087</v>
      </c>
      <c r="T2087" t="s">
        <v>14088</v>
      </c>
      <c r="U2087">
        <v>2679</v>
      </c>
      <c r="V2087">
        <v>0</v>
      </c>
      <c r="W2087">
        <v>4</v>
      </c>
      <c r="X2087">
        <v>1985</v>
      </c>
      <c r="Z2087">
        <v>1</v>
      </c>
      <c r="AA2087" t="s">
        <v>26</v>
      </c>
      <c r="AB2087">
        <v>0</v>
      </c>
      <c r="AC2087" t="s">
        <v>115</v>
      </c>
      <c r="AD2087">
        <v>3</v>
      </c>
      <c r="AE2087" t="s">
        <v>115</v>
      </c>
      <c r="AF2087">
        <v>0</v>
      </c>
      <c r="AG2087">
        <v>0</v>
      </c>
      <c r="AH2087" t="s">
        <v>116</v>
      </c>
      <c r="AI2087" s="1">
        <v>62116</v>
      </c>
      <c r="AJ2087" s="2">
        <v>0.13</v>
      </c>
      <c r="AK2087" s="1">
        <v>465608</v>
      </c>
      <c r="AL2087" t="s">
        <v>117</v>
      </c>
      <c r="AM2087" t="s">
        <v>6005</v>
      </c>
      <c r="AN2087">
        <v>18000</v>
      </c>
      <c r="AO2087">
        <v>0.41</v>
      </c>
      <c r="AP2087">
        <v>1</v>
      </c>
      <c r="AR2087">
        <v>1</v>
      </c>
      <c r="AS2087" s="1">
        <v>32850</v>
      </c>
      <c r="AT2087" s="1">
        <v>6570</v>
      </c>
      <c r="AU2087" s="1">
        <v>26280</v>
      </c>
      <c r="AV2087">
        <v>80</v>
      </c>
      <c r="AX2087" s="1">
        <v>2875.72</v>
      </c>
      <c r="AY2087" t="s">
        <v>6740</v>
      </c>
      <c r="AZ2087" t="s">
        <v>6740</v>
      </c>
      <c r="BA2087" t="s">
        <v>5143</v>
      </c>
      <c r="BE2087" s="3">
        <v>42458</v>
      </c>
      <c r="BF2087" s="1">
        <v>395000</v>
      </c>
      <c r="BG2087" t="s">
        <v>14089</v>
      </c>
      <c r="BH2087" s="1">
        <v>147.44</v>
      </c>
      <c r="BI2087" s="1">
        <v>403492</v>
      </c>
      <c r="BJ2087" s="3">
        <v>42458</v>
      </c>
      <c r="BK2087" t="s">
        <v>123</v>
      </c>
      <c r="BL2087" t="str">
        <f>"2016.203065"</f>
        <v>2016.203065</v>
      </c>
      <c r="BM2087" t="s">
        <v>1033</v>
      </c>
      <c r="BO2087" t="s">
        <v>14090</v>
      </c>
      <c r="BS2087">
        <v>30</v>
      </c>
      <c r="BW2087" t="str">
        <f>""</f>
        <v/>
      </c>
      <c r="CH2087" t="str">
        <f>""</f>
        <v/>
      </c>
      <c r="CS2087" t="str">
        <f>""</f>
        <v/>
      </c>
    </row>
    <row r="2088" spans="1:97" x14ac:dyDescent="0.25">
      <c r="A2088" t="s">
        <v>211</v>
      </c>
      <c r="B2088" t="s">
        <v>565</v>
      </c>
      <c r="C2088" t="s">
        <v>817</v>
      </c>
      <c r="D2088" t="s">
        <v>565</v>
      </c>
      <c r="E2088" t="s">
        <v>14091</v>
      </c>
      <c r="F2088" t="s">
        <v>108</v>
      </c>
      <c r="H2088" t="s">
        <v>14092</v>
      </c>
      <c r="I2088" t="s">
        <v>1936</v>
      </c>
      <c r="J2088" t="s">
        <v>111</v>
      </c>
      <c r="K2088" t="str">
        <f>"85255"</f>
        <v>85255</v>
      </c>
      <c r="L2088" t="s">
        <v>145</v>
      </c>
      <c r="M2088" t="s">
        <v>14092</v>
      </c>
      <c r="N2088" t="s">
        <v>1936</v>
      </c>
      <c r="O2088" t="s">
        <v>111</v>
      </c>
      <c r="P2088" t="str">
        <f>"85255-4241"</f>
        <v>85255-4241</v>
      </c>
      <c r="Q2088" t="s">
        <v>113</v>
      </c>
      <c r="R2088" t="str">
        <f>"212-01-181"</f>
        <v>212-01-181</v>
      </c>
      <c r="S2088" t="s">
        <v>14093</v>
      </c>
      <c r="T2088" t="s">
        <v>9966</v>
      </c>
      <c r="U2088">
        <v>3019</v>
      </c>
      <c r="V2088">
        <v>0</v>
      </c>
      <c r="W2088">
        <v>3</v>
      </c>
      <c r="X2088">
        <v>1987</v>
      </c>
      <c r="Z2088">
        <v>1</v>
      </c>
      <c r="AA2088" t="s">
        <v>26</v>
      </c>
      <c r="AB2088">
        <v>0</v>
      </c>
      <c r="AC2088" t="s">
        <v>115</v>
      </c>
      <c r="AD2088">
        <v>3</v>
      </c>
      <c r="AE2088" t="s">
        <v>115</v>
      </c>
      <c r="AF2088">
        <v>0</v>
      </c>
      <c r="AG2088">
        <v>0</v>
      </c>
      <c r="AH2088" t="s">
        <v>116</v>
      </c>
      <c r="AI2088" s="1">
        <v>243521</v>
      </c>
      <c r="AJ2088" s="2">
        <v>0.31</v>
      </c>
      <c r="AK2088" s="1">
        <v>788576</v>
      </c>
      <c r="AL2088" t="s">
        <v>117</v>
      </c>
      <c r="AM2088" t="s">
        <v>376</v>
      </c>
      <c r="AN2088">
        <v>58627</v>
      </c>
      <c r="AO2088">
        <v>1.35</v>
      </c>
      <c r="AP2088">
        <v>1</v>
      </c>
      <c r="AR2088">
        <v>1</v>
      </c>
      <c r="AS2088" s="1">
        <v>59770</v>
      </c>
      <c r="AT2088" s="1">
        <v>11950</v>
      </c>
      <c r="AU2088" s="1">
        <v>47820</v>
      </c>
      <c r="AV2088">
        <v>80.010000000000005</v>
      </c>
      <c r="AX2088" s="1">
        <v>6093.82</v>
      </c>
      <c r="AY2088" t="s">
        <v>9968</v>
      </c>
      <c r="AZ2088" t="s">
        <v>761</v>
      </c>
      <c r="BA2088" t="s">
        <v>762</v>
      </c>
      <c r="BE2088" s="3">
        <v>42062</v>
      </c>
      <c r="BF2088" s="1">
        <v>577000</v>
      </c>
      <c r="BG2088" t="s">
        <v>14094</v>
      </c>
      <c r="BH2088" s="1">
        <v>191.12</v>
      </c>
      <c r="BI2088" s="1">
        <v>545055</v>
      </c>
      <c r="BJ2088" s="3">
        <v>42062</v>
      </c>
      <c r="BK2088" t="s">
        <v>123</v>
      </c>
      <c r="BL2088" t="str">
        <f>"2015.132381"</f>
        <v>2015.132381</v>
      </c>
      <c r="BM2088" t="s">
        <v>135</v>
      </c>
      <c r="BO2088" t="s">
        <v>14095</v>
      </c>
      <c r="BS2088">
        <v>30</v>
      </c>
      <c r="BW2088" t="str">
        <f>""</f>
        <v/>
      </c>
      <c r="CH2088" t="str">
        <f>""</f>
        <v/>
      </c>
      <c r="CS2088" t="str">
        <f>""</f>
        <v/>
      </c>
    </row>
    <row r="2089" spans="1:97" x14ac:dyDescent="0.25">
      <c r="A2089" t="s">
        <v>265</v>
      </c>
      <c r="B2089" t="s">
        <v>1099</v>
      </c>
      <c r="E2089" t="s">
        <v>14096</v>
      </c>
      <c r="F2089" t="s">
        <v>108</v>
      </c>
      <c r="H2089" t="s">
        <v>14097</v>
      </c>
      <c r="I2089" t="s">
        <v>390</v>
      </c>
      <c r="J2089" t="s">
        <v>111</v>
      </c>
      <c r="K2089" t="str">
        <f>"85048"</f>
        <v>85048</v>
      </c>
      <c r="L2089" t="s">
        <v>5209</v>
      </c>
      <c r="M2089" t="s">
        <v>14097</v>
      </c>
      <c r="N2089" t="s">
        <v>390</v>
      </c>
      <c r="O2089" t="s">
        <v>111</v>
      </c>
      <c r="P2089" t="str">
        <f>"85048-8652"</f>
        <v>85048-8652</v>
      </c>
      <c r="Q2089" t="s">
        <v>113</v>
      </c>
      <c r="R2089" t="str">
        <f>"300-36-032"</f>
        <v>300-36-032</v>
      </c>
      <c r="S2089" t="s">
        <v>14098</v>
      </c>
      <c r="T2089" t="s">
        <v>14099</v>
      </c>
      <c r="U2089">
        <v>1551</v>
      </c>
      <c r="V2089">
        <v>0</v>
      </c>
      <c r="W2089">
        <v>3</v>
      </c>
      <c r="X2089">
        <v>1989</v>
      </c>
      <c r="Z2089">
        <v>1</v>
      </c>
      <c r="AA2089" t="s">
        <v>26</v>
      </c>
      <c r="AB2089">
        <v>0</v>
      </c>
      <c r="AC2089" t="s">
        <v>115</v>
      </c>
      <c r="AD2089">
        <v>2</v>
      </c>
      <c r="AE2089" t="s">
        <v>115</v>
      </c>
      <c r="AF2089">
        <v>0</v>
      </c>
      <c r="AG2089">
        <v>0</v>
      </c>
      <c r="AH2089" t="s">
        <v>116</v>
      </c>
      <c r="AI2089" s="1">
        <v>57352</v>
      </c>
      <c r="AJ2089" s="2">
        <v>0.17</v>
      </c>
      <c r="AK2089" s="1">
        <v>341402</v>
      </c>
      <c r="AL2089" t="s">
        <v>117</v>
      </c>
      <c r="AM2089" t="s">
        <v>1315</v>
      </c>
      <c r="AN2089">
        <v>5153</v>
      </c>
      <c r="AO2089">
        <v>0.12</v>
      </c>
      <c r="AP2089">
        <v>1</v>
      </c>
      <c r="AR2089">
        <v>1</v>
      </c>
      <c r="AS2089" s="1">
        <v>24520</v>
      </c>
      <c r="AT2089" s="1">
        <v>4900</v>
      </c>
      <c r="AU2089" s="1">
        <v>19620</v>
      </c>
      <c r="AV2089">
        <v>80.02</v>
      </c>
      <c r="AX2089" s="1">
        <v>2396.5</v>
      </c>
      <c r="AY2089" t="s">
        <v>2966</v>
      </c>
      <c r="AZ2089" t="s">
        <v>2967</v>
      </c>
      <c r="BA2089" t="s">
        <v>930</v>
      </c>
      <c r="BE2089" s="3">
        <v>42450</v>
      </c>
      <c r="BF2089" s="1">
        <v>292000</v>
      </c>
      <c r="BG2089" t="s">
        <v>14100</v>
      </c>
      <c r="BH2089" s="1">
        <v>188.27</v>
      </c>
      <c r="BI2089" s="1">
        <v>284050</v>
      </c>
      <c r="BJ2089" s="3">
        <v>42450</v>
      </c>
      <c r="BK2089" t="s">
        <v>123</v>
      </c>
      <c r="BL2089" t="str">
        <f>"2016.179381"</f>
        <v>2016.179381</v>
      </c>
      <c r="BM2089" t="s">
        <v>1325</v>
      </c>
      <c r="BO2089" t="s">
        <v>14101</v>
      </c>
      <c r="BS2089">
        <v>30</v>
      </c>
      <c r="BW2089" t="str">
        <f>""</f>
        <v/>
      </c>
      <c r="CH2089" t="str">
        <f>""</f>
        <v/>
      </c>
      <c r="CS2089" t="str">
        <f>""</f>
        <v/>
      </c>
    </row>
    <row r="2090" spans="1:97" x14ac:dyDescent="0.25">
      <c r="A2090" t="s">
        <v>13735</v>
      </c>
      <c r="B2090" t="s">
        <v>14102</v>
      </c>
      <c r="C2090" t="s">
        <v>727</v>
      </c>
      <c r="D2090" t="s">
        <v>14102</v>
      </c>
      <c r="E2090" t="s">
        <v>14103</v>
      </c>
      <c r="F2090" t="s">
        <v>108</v>
      </c>
      <c r="H2090" t="s">
        <v>14104</v>
      </c>
      <c r="I2090" t="s">
        <v>390</v>
      </c>
      <c r="J2090" t="s">
        <v>111</v>
      </c>
      <c r="K2090" t="str">
        <f>"85086"</f>
        <v>85086</v>
      </c>
      <c r="L2090" t="s">
        <v>3116</v>
      </c>
      <c r="M2090" t="s">
        <v>14104</v>
      </c>
      <c r="N2090" t="s">
        <v>390</v>
      </c>
      <c r="O2090" t="s">
        <v>111</v>
      </c>
      <c r="P2090" t="str">
        <f>"85086-1859"</f>
        <v>85086-1859</v>
      </c>
      <c r="Q2090" t="s">
        <v>113</v>
      </c>
      <c r="R2090" t="str">
        <f>"203-06-532"</f>
        <v>203-06-532</v>
      </c>
      <c r="S2090" t="s">
        <v>14105</v>
      </c>
      <c r="U2090">
        <v>2663</v>
      </c>
      <c r="V2090">
        <v>0</v>
      </c>
      <c r="W2090">
        <v>4</v>
      </c>
      <c r="X2090">
        <v>2002</v>
      </c>
      <c r="Z2090">
        <v>1</v>
      </c>
      <c r="AA2090" t="s">
        <v>26</v>
      </c>
      <c r="AB2090">
        <v>0</v>
      </c>
      <c r="AC2090" t="s">
        <v>115</v>
      </c>
      <c r="AD2090">
        <v>3</v>
      </c>
      <c r="AE2090" t="s">
        <v>115</v>
      </c>
      <c r="AF2090">
        <v>0</v>
      </c>
      <c r="AG2090">
        <v>0</v>
      </c>
      <c r="AH2090" t="s">
        <v>116</v>
      </c>
      <c r="AI2090" s="1">
        <v>85995</v>
      </c>
      <c r="AJ2090" s="2">
        <v>0.21</v>
      </c>
      <c r="AK2090" s="1">
        <v>416555</v>
      </c>
      <c r="AL2090" t="s">
        <v>117</v>
      </c>
      <c r="AM2090" t="s">
        <v>191</v>
      </c>
      <c r="AN2090">
        <v>12173</v>
      </c>
      <c r="AO2090">
        <v>0.28000000000000003</v>
      </c>
      <c r="AP2090">
        <v>1</v>
      </c>
      <c r="AR2090">
        <v>1</v>
      </c>
      <c r="AS2090" s="1">
        <v>31230</v>
      </c>
      <c r="AT2090" s="1">
        <v>6240</v>
      </c>
      <c r="AU2090" s="1">
        <v>24990</v>
      </c>
      <c r="AV2090">
        <v>80.02</v>
      </c>
      <c r="AX2090" s="1">
        <v>3445.06</v>
      </c>
      <c r="AY2090" t="s">
        <v>6515</v>
      </c>
      <c r="AZ2090" t="s">
        <v>6515</v>
      </c>
      <c r="BA2090" t="s">
        <v>378</v>
      </c>
      <c r="BE2090" s="3">
        <v>42509</v>
      </c>
      <c r="BF2090" s="1">
        <v>320000</v>
      </c>
      <c r="BG2090" t="s">
        <v>14106</v>
      </c>
      <c r="BH2090" s="1">
        <v>120.17</v>
      </c>
      <c r="BI2090" s="1">
        <v>330560</v>
      </c>
      <c r="BJ2090" s="3">
        <v>42509</v>
      </c>
      <c r="BK2090" t="s">
        <v>123</v>
      </c>
      <c r="BL2090" t="str">
        <f>"2016.344025"</f>
        <v>2016.344025</v>
      </c>
      <c r="BM2090" t="s">
        <v>1998</v>
      </c>
      <c r="BO2090" t="s">
        <v>14107</v>
      </c>
      <c r="BS2090">
        <v>30</v>
      </c>
      <c r="BW2090" t="str">
        <f>""</f>
        <v/>
      </c>
      <c r="CH2090" t="str">
        <f>""</f>
        <v/>
      </c>
      <c r="CS2090" t="str">
        <f>""</f>
        <v/>
      </c>
    </row>
    <row r="2091" spans="1:97" x14ac:dyDescent="0.25">
      <c r="A2091" t="s">
        <v>1774</v>
      </c>
      <c r="B2091" t="s">
        <v>14108</v>
      </c>
      <c r="C2091" t="s">
        <v>8540</v>
      </c>
      <c r="D2091" t="s">
        <v>14108</v>
      </c>
      <c r="E2091" t="s">
        <v>14109</v>
      </c>
      <c r="F2091" t="s">
        <v>108</v>
      </c>
      <c r="H2091" t="s">
        <v>14110</v>
      </c>
      <c r="I2091" t="s">
        <v>453</v>
      </c>
      <c r="J2091" t="s">
        <v>111</v>
      </c>
      <c r="K2091" t="str">
        <f>"85383"</f>
        <v>85383</v>
      </c>
      <c r="L2091" t="s">
        <v>454</v>
      </c>
      <c r="M2091" t="s">
        <v>14110</v>
      </c>
      <c r="N2091" t="s">
        <v>453</v>
      </c>
      <c r="O2091" t="s">
        <v>111</v>
      </c>
      <c r="P2091" t="str">
        <f>"85383-8000"</f>
        <v>85383-8000</v>
      </c>
      <c r="Q2091" t="s">
        <v>113</v>
      </c>
      <c r="R2091" t="str">
        <f>"503-81-265"</f>
        <v>503-81-265</v>
      </c>
      <c r="S2091" t="s">
        <v>14111</v>
      </c>
      <c r="U2091">
        <v>3486</v>
      </c>
      <c r="V2091">
        <v>0</v>
      </c>
      <c r="W2091">
        <v>4</v>
      </c>
      <c r="X2091">
        <v>2013</v>
      </c>
      <c r="Z2091">
        <v>2</v>
      </c>
      <c r="AA2091" t="s">
        <v>26</v>
      </c>
      <c r="AB2091">
        <v>0</v>
      </c>
      <c r="AC2091" t="s">
        <v>115</v>
      </c>
      <c r="AD2091">
        <v>3</v>
      </c>
      <c r="AE2091" t="s">
        <v>115</v>
      </c>
      <c r="AF2091">
        <v>0</v>
      </c>
      <c r="AG2091">
        <v>0</v>
      </c>
      <c r="AH2091" t="s">
        <v>116</v>
      </c>
      <c r="AI2091" s="1">
        <v>45298</v>
      </c>
      <c r="AJ2091" s="2">
        <v>0.09</v>
      </c>
      <c r="AK2091" s="1">
        <v>499897</v>
      </c>
      <c r="AL2091" t="s">
        <v>117</v>
      </c>
      <c r="AM2091" t="s">
        <v>118</v>
      </c>
      <c r="AN2091">
        <v>9846</v>
      </c>
      <c r="AO2091">
        <v>0.23</v>
      </c>
      <c r="AR2091">
        <v>1</v>
      </c>
      <c r="AS2091" s="1">
        <v>36180</v>
      </c>
      <c r="AT2091" s="1">
        <v>7230</v>
      </c>
      <c r="AU2091" s="1">
        <v>28950</v>
      </c>
      <c r="AV2091">
        <v>80.02</v>
      </c>
      <c r="AX2091" s="1">
        <v>4645.46</v>
      </c>
      <c r="AY2091" t="s">
        <v>456</v>
      </c>
      <c r="AZ2091" t="s">
        <v>456</v>
      </c>
      <c r="BA2091" t="s">
        <v>457</v>
      </c>
      <c r="BB2091" s="3">
        <v>43055</v>
      </c>
      <c r="BD2091" t="s">
        <v>157</v>
      </c>
      <c r="BE2091" s="3">
        <v>41661</v>
      </c>
      <c r="BF2091" s="1">
        <v>441692</v>
      </c>
      <c r="BG2091" t="s">
        <v>14112</v>
      </c>
      <c r="BH2091" s="1">
        <v>126.7</v>
      </c>
      <c r="BI2091" s="1">
        <v>401799</v>
      </c>
      <c r="BJ2091" s="3">
        <v>42591</v>
      </c>
      <c r="BK2091" t="s">
        <v>123</v>
      </c>
      <c r="BL2091" t="str">
        <f>"2016.564862"</f>
        <v>2016.564862</v>
      </c>
      <c r="BM2091" t="s">
        <v>14113</v>
      </c>
      <c r="BN2091" t="s">
        <v>14114</v>
      </c>
      <c r="BO2091" t="s">
        <v>14115</v>
      </c>
      <c r="BS2091">
        <v>30</v>
      </c>
      <c r="BT2091" s="1">
        <v>52800</v>
      </c>
      <c r="BU2091" s="3">
        <v>43007</v>
      </c>
      <c r="BW2091" t="str">
        <f>"2017.723232"</f>
        <v>2017.723232</v>
      </c>
      <c r="BX2091" t="s">
        <v>14116</v>
      </c>
      <c r="BY2091">
        <v>84084</v>
      </c>
      <c r="BZ2091" t="s">
        <v>14115</v>
      </c>
      <c r="CC2091" t="s">
        <v>1633</v>
      </c>
      <c r="CH2091" t="str">
        <f>""</f>
        <v/>
      </c>
      <c r="CS2091" t="str">
        <f>""</f>
        <v/>
      </c>
    </row>
    <row r="2092" spans="1:97" x14ac:dyDescent="0.25">
      <c r="A2092" t="s">
        <v>1308</v>
      </c>
      <c r="B2092" t="s">
        <v>7143</v>
      </c>
      <c r="E2092" t="s">
        <v>14117</v>
      </c>
      <c r="F2092" t="s">
        <v>108</v>
      </c>
      <c r="H2092" t="s">
        <v>14118</v>
      </c>
      <c r="I2092" t="s">
        <v>390</v>
      </c>
      <c r="J2092" t="s">
        <v>111</v>
      </c>
      <c r="K2092" t="str">
        <f>"85085"</f>
        <v>85085</v>
      </c>
      <c r="L2092" t="s">
        <v>3318</v>
      </c>
      <c r="M2092" t="s">
        <v>14118</v>
      </c>
      <c r="N2092" t="s">
        <v>390</v>
      </c>
      <c r="O2092" t="s">
        <v>111</v>
      </c>
      <c r="P2092" t="str">
        <f>"85085-2791"</f>
        <v>85085-2791</v>
      </c>
      <c r="Q2092" t="s">
        <v>113</v>
      </c>
      <c r="R2092" t="str">
        <f>"204-24-736"</f>
        <v>204-24-736</v>
      </c>
      <c r="S2092" t="s">
        <v>14119</v>
      </c>
      <c r="T2092" t="s">
        <v>6201</v>
      </c>
      <c r="U2092">
        <v>2783</v>
      </c>
      <c r="V2092">
        <v>0</v>
      </c>
      <c r="W2092">
        <v>4</v>
      </c>
      <c r="X2092">
        <v>2006</v>
      </c>
      <c r="Z2092">
        <v>2</v>
      </c>
      <c r="AA2092" t="s">
        <v>26</v>
      </c>
      <c r="AB2092">
        <v>0</v>
      </c>
      <c r="AC2092" t="s">
        <v>115</v>
      </c>
      <c r="AD2092">
        <v>3</v>
      </c>
      <c r="AE2092" t="s">
        <v>115</v>
      </c>
      <c r="AF2092">
        <v>0</v>
      </c>
      <c r="AG2092">
        <v>0</v>
      </c>
      <c r="AH2092" t="s">
        <v>116</v>
      </c>
      <c r="AI2092" s="1">
        <v>55393</v>
      </c>
      <c r="AJ2092" s="2">
        <v>0.12</v>
      </c>
      <c r="AK2092" s="1">
        <v>465098</v>
      </c>
      <c r="AL2092" t="s">
        <v>117</v>
      </c>
      <c r="AM2092" t="s">
        <v>616</v>
      </c>
      <c r="AN2092">
        <v>12203</v>
      </c>
      <c r="AO2092">
        <v>0.28000000000000003</v>
      </c>
      <c r="AR2092">
        <v>1</v>
      </c>
      <c r="AS2092" s="1">
        <v>35210</v>
      </c>
      <c r="AT2092" s="1">
        <v>7040</v>
      </c>
      <c r="AU2092" s="1">
        <v>28170</v>
      </c>
      <c r="AV2092">
        <v>80.010000000000005</v>
      </c>
      <c r="AX2092" s="1">
        <v>3072.76</v>
      </c>
      <c r="AY2092" t="s">
        <v>1461</v>
      </c>
      <c r="AZ2092" t="s">
        <v>1461</v>
      </c>
      <c r="BA2092" t="s">
        <v>1462</v>
      </c>
      <c r="BE2092" s="3">
        <v>42478</v>
      </c>
      <c r="BF2092" s="1">
        <v>397000</v>
      </c>
      <c r="BG2092" t="s">
        <v>14120</v>
      </c>
      <c r="BH2092" s="1">
        <v>142.65</v>
      </c>
      <c r="BI2092" s="1">
        <v>409705</v>
      </c>
      <c r="BJ2092" s="3">
        <v>42478</v>
      </c>
      <c r="BK2092" t="s">
        <v>123</v>
      </c>
      <c r="BL2092" t="str">
        <f>"2016.255382"</f>
        <v>2016.255382</v>
      </c>
      <c r="BM2092" t="s">
        <v>724</v>
      </c>
      <c r="BO2092" t="s">
        <v>14121</v>
      </c>
      <c r="BS2092">
        <v>30</v>
      </c>
      <c r="BW2092" t="str">
        <f>""</f>
        <v/>
      </c>
      <c r="CH2092" t="str">
        <f>""</f>
        <v/>
      </c>
      <c r="CS2092" t="str">
        <f>""</f>
        <v/>
      </c>
    </row>
    <row r="2093" spans="1:97" x14ac:dyDescent="0.25">
      <c r="A2093" t="s">
        <v>14122</v>
      </c>
      <c r="B2093" t="s">
        <v>3265</v>
      </c>
      <c r="C2093" t="s">
        <v>2168</v>
      </c>
      <c r="D2093" t="s">
        <v>3265</v>
      </c>
      <c r="E2093" t="s">
        <v>14123</v>
      </c>
      <c r="F2093" t="s">
        <v>108</v>
      </c>
      <c r="H2093" t="s">
        <v>14124</v>
      </c>
      <c r="I2093" t="s">
        <v>2874</v>
      </c>
      <c r="J2093" t="s">
        <v>111</v>
      </c>
      <c r="K2093" t="str">
        <f>"85304"</f>
        <v>85304</v>
      </c>
      <c r="L2093" t="s">
        <v>11566</v>
      </c>
      <c r="M2093" t="s">
        <v>14124</v>
      </c>
      <c r="N2093" t="s">
        <v>2874</v>
      </c>
      <c r="O2093" t="s">
        <v>111</v>
      </c>
      <c r="P2093" t="str">
        <f>"85304-1828"</f>
        <v>85304-1828</v>
      </c>
      <c r="Q2093" t="s">
        <v>113</v>
      </c>
      <c r="R2093" t="str">
        <f>"200-39-346"</f>
        <v>200-39-346</v>
      </c>
      <c r="S2093" t="s">
        <v>14125</v>
      </c>
      <c r="T2093" t="s">
        <v>14126</v>
      </c>
      <c r="U2093">
        <v>2932</v>
      </c>
      <c r="V2093">
        <v>0</v>
      </c>
      <c r="W2093">
        <v>4</v>
      </c>
      <c r="X2093">
        <v>1992</v>
      </c>
      <c r="Z2093">
        <v>2</v>
      </c>
      <c r="AA2093" t="s">
        <v>26</v>
      </c>
      <c r="AB2093">
        <v>0</v>
      </c>
      <c r="AC2093" t="s">
        <v>115</v>
      </c>
      <c r="AD2093">
        <v>3</v>
      </c>
      <c r="AE2093" t="s">
        <v>115</v>
      </c>
      <c r="AF2093">
        <v>0</v>
      </c>
      <c r="AG2093">
        <v>0</v>
      </c>
      <c r="AH2093" t="s">
        <v>116</v>
      </c>
      <c r="AI2093" s="1">
        <v>68533</v>
      </c>
      <c r="AJ2093" s="2">
        <v>0.17</v>
      </c>
      <c r="AK2093" s="1">
        <v>393033</v>
      </c>
      <c r="AL2093" t="s">
        <v>117</v>
      </c>
      <c r="AM2093" t="s">
        <v>118</v>
      </c>
      <c r="AN2093">
        <v>10964</v>
      </c>
      <c r="AO2093">
        <v>0.25</v>
      </c>
      <c r="AP2093">
        <v>1</v>
      </c>
      <c r="AR2093">
        <v>1</v>
      </c>
      <c r="AS2093" s="1">
        <v>30870</v>
      </c>
      <c r="AT2093" s="1">
        <v>6170</v>
      </c>
      <c r="AU2093" s="1">
        <v>24700</v>
      </c>
      <c r="AV2093">
        <v>80.010000000000005</v>
      </c>
      <c r="AX2093" s="1">
        <v>2489.16</v>
      </c>
      <c r="AY2093" t="s">
        <v>1808</v>
      </c>
      <c r="AZ2093" t="s">
        <v>1808</v>
      </c>
      <c r="BA2093" t="s">
        <v>8681</v>
      </c>
      <c r="BB2093" s="3">
        <v>41964</v>
      </c>
      <c r="BD2093" t="s">
        <v>240</v>
      </c>
      <c r="BE2093" s="3">
        <v>41964</v>
      </c>
      <c r="BF2093" s="1">
        <v>310000</v>
      </c>
      <c r="BG2093" t="s">
        <v>14127</v>
      </c>
      <c r="BH2093" s="1">
        <v>105.66</v>
      </c>
      <c r="BI2093" s="1">
        <v>324500</v>
      </c>
      <c r="BJ2093" s="3">
        <v>42143</v>
      </c>
      <c r="BK2093" t="s">
        <v>123</v>
      </c>
      <c r="BL2093" t="str">
        <f>"2015.350255"</f>
        <v>2015.350255</v>
      </c>
      <c r="BM2093" t="s">
        <v>1707</v>
      </c>
      <c r="BO2093" t="s">
        <v>14128</v>
      </c>
      <c r="BS2093">
        <v>30</v>
      </c>
      <c r="BW2093" t="str">
        <f>""</f>
        <v/>
      </c>
      <c r="CH2093" t="str">
        <f>""</f>
        <v/>
      </c>
      <c r="CS2093" t="str">
        <f>""</f>
        <v/>
      </c>
    </row>
    <row r="2094" spans="1:97" x14ac:dyDescent="0.25">
      <c r="A2094" t="s">
        <v>177</v>
      </c>
      <c r="B2094" t="s">
        <v>14129</v>
      </c>
      <c r="C2094" t="s">
        <v>1204</v>
      </c>
      <c r="D2094" t="s">
        <v>14129</v>
      </c>
      <c r="E2094" t="s">
        <v>14130</v>
      </c>
      <c r="F2094" t="s">
        <v>108</v>
      </c>
      <c r="H2094" t="s">
        <v>14131</v>
      </c>
      <c r="I2094" t="s">
        <v>390</v>
      </c>
      <c r="J2094" t="s">
        <v>111</v>
      </c>
      <c r="K2094" t="str">
        <f>"85042"</f>
        <v>85042</v>
      </c>
      <c r="L2094" t="s">
        <v>5799</v>
      </c>
      <c r="M2094" t="s">
        <v>14131</v>
      </c>
      <c r="N2094" t="s">
        <v>390</v>
      </c>
      <c r="O2094" t="s">
        <v>111</v>
      </c>
      <c r="P2094" t="str">
        <f>"85042-7963"</f>
        <v>85042-7963</v>
      </c>
      <c r="Q2094" t="s">
        <v>113</v>
      </c>
      <c r="R2094" t="str">
        <f>"300-37-298"</f>
        <v>300-37-298</v>
      </c>
      <c r="S2094" t="s">
        <v>14132</v>
      </c>
      <c r="T2094" t="s">
        <v>14132</v>
      </c>
      <c r="U2094">
        <v>3079</v>
      </c>
      <c r="V2094">
        <v>0</v>
      </c>
      <c r="W2094">
        <v>3</v>
      </c>
      <c r="X2094">
        <v>2002</v>
      </c>
      <c r="Z2094">
        <v>2</v>
      </c>
      <c r="AA2094" t="s">
        <v>26</v>
      </c>
      <c r="AB2094">
        <v>0</v>
      </c>
      <c r="AC2094" t="s">
        <v>115</v>
      </c>
      <c r="AD2094">
        <v>3</v>
      </c>
      <c r="AE2094" t="s">
        <v>115</v>
      </c>
      <c r="AF2094">
        <v>0</v>
      </c>
      <c r="AG2094">
        <v>0</v>
      </c>
      <c r="AH2094" t="s">
        <v>116</v>
      </c>
      <c r="AI2094" s="1">
        <v>66736</v>
      </c>
      <c r="AJ2094" s="2">
        <v>0.17</v>
      </c>
      <c r="AK2094" s="1">
        <v>393616</v>
      </c>
      <c r="AL2094" t="s">
        <v>117</v>
      </c>
      <c r="AM2094" t="s">
        <v>1302</v>
      </c>
      <c r="AN2094">
        <v>10274</v>
      </c>
      <c r="AO2094">
        <v>0.24</v>
      </c>
      <c r="AP2094">
        <v>1</v>
      </c>
      <c r="AR2094">
        <v>1</v>
      </c>
      <c r="AS2094" s="1">
        <v>25480</v>
      </c>
      <c r="AT2094" s="1">
        <v>5090</v>
      </c>
      <c r="AU2094" s="1">
        <v>20390</v>
      </c>
      <c r="AV2094">
        <v>80.02</v>
      </c>
      <c r="AX2094" s="1">
        <v>3393.1</v>
      </c>
      <c r="AY2094" t="s">
        <v>2859</v>
      </c>
      <c r="AZ2094" t="s">
        <v>2859</v>
      </c>
      <c r="BA2094" t="s">
        <v>2860</v>
      </c>
      <c r="BE2094" s="3">
        <v>42265</v>
      </c>
      <c r="BF2094" s="1">
        <v>320000</v>
      </c>
      <c r="BG2094" t="s">
        <v>14133</v>
      </c>
      <c r="BH2094" s="1">
        <v>103.93</v>
      </c>
      <c r="BI2094" s="1">
        <v>326880</v>
      </c>
      <c r="BJ2094" s="3">
        <v>42265</v>
      </c>
      <c r="BK2094" t="s">
        <v>123</v>
      </c>
      <c r="BL2094" t="str">
        <f>"2015.675139"</f>
        <v>2015.675139</v>
      </c>
      <c r="BM2094" t="s">
        <v>1185</v>
      </c>
      <c r="BO2094" t="s">
        <v>14134</v>
      </c>
      <c r="BS2094">
        <v>30</v>
      </c>
      <c r="BW2094" t="str">
        <f>""</f>
        <v/>
      </c>
      <c r="CH2094" t="str">
        <f>""</f>
        <v/>
      </c>
      <c r="CS2094" t="str">
        <f>""</f>
        <v/>
      </c>
    </row>
    <row r="2095" spans="1:97" x14ac:dyDescent="0.25">
      <c r="A2095" t="s">
        <v>3613</v>
      </c>
      <c r="B2095" t="s">
        <v>14135</v>
      </c>
      <c r="E2095" t="s">
        <v>14136</v>
      </c>
      <c r="F2095" t="s">
        <v>108</v>
      </c>
      <c r="H2095" t="s">
        <v>14137</v>
      </c>
      <c r="I2095" t="s">
        <v>110</v>
      </c>
      <c r="J2095" t="s">
        <v>111</v>
      </c>
      <c r="K2095" t="str">
        <f>"85286"</f>
        <v>85286</v>
      </c>
      <c r="L2095" t="s">
        <v>5743</v>
      </c>
      <c r="M2095" t="s">
        <v>14137</v>
      </c>
      <c r="N2095" t="s">
        <v>110</v>
      </c>
      <c r="O2095" t="s">
        <v>111</v>
      </c>
      <c r="P2095" t="str">
        <f>"85286-2342"</f>
        <v>85286-2342</v>
      </c>
      <c r="Q2095" t="s">
        <v>113</v>
      </c>
      <c r="R2095" t="str">
        <f>"303-43-272"</f>
        <v>303-43-272</v>
      </c>
      <c r="S2095" t="s">
        <v>11430</v>
      </c>
      <c r="T2095" t="s">
        <v>11431</v>
      </c>
      <c r="U2095">
        <v>2097</v>
      </c>
      <c r="V2095">
        <v>0</v>
      </c>
      <c r="W2095">
        <v>4</v>
      </c>
      <c r="X2095">
        <v>2006</v>
      </c>
      <c r="Z2095">
        <v>2</v>
      </c>
      <c r="AA2095" t="s">
        <v>26</v>
      </c>
      <c r="AB2095">
        <v>0</v>
      </c>
      <c r="AC2095" t="s">
        <v>115</v>
      </c>
      <c r="AD2095">
        <v>2</v>
      </c>
      <c r="AE2095" t="s">
        <v>115</v>
      </c>
      <c r="AF2095">
        <v>0</v>
      </c>
      <c r="AG2095">
        <v>0</v>
      </c>
      <c r="AH2095" t="s">
        <v>116</v>
      </c>
      <c r="AI2095" s="1">
        <v>68881</v>
      </c>
      <c r="AJ2095" s="2">
        <v>0.16</v>
      </c>
      <c r="AK2095" s="1">
        <v>427719</v>
      </c>
      <c r="AL2095" t="s">
        <v>117</v>
      </c>
      <c r="AM2095" t="s">
        <v>118</v>
      </c>
      <c r="AN2095">
        <v>9408</v>
      </c>
      <c r="AO2095">
        <v>0.22</v>
      </c>
      <c r="AR2095">
        <v>1</v>
      </c>
      <c r="AS2095" s="1">
        <v>31230</v>
      </c>
      <c r="AT2095" s="1">
        <v>6240</v>
      </c>
      <c r="AU2095" s="1">
        <v>24990</v>
      </c>
      <c r="AV2095">
        <v>80.02</v>
      </c>
      <c r="AX2095" s="1">
        <v>2697.02</v>
      </c>
      <c r="AY2095" t="s">
        <v>737</v>
      </c>
      <c r="AZ2095" t="s">
        <v>120</v>
      </c>
      <c r="BA2095" t="s">
        <v>303</v>
      </c>
      <c r="BE2095" s="3">
        <v>42352</v>
      </c>
      <c r="BF2095" s="1">
        <v>365000</v>
      </c>
      <c r="BG2095" t="s">
        <v>14138</v>
      </c>
      <c r="BH2095" s="1">
        <v>174.06</v>
      </c>
      <c r="BI2095" s="1">
        <v>358838</v>
      </c>
      <c r="BJ2095" s="3">
        <v>43028</v>
      </c>
      <c r="BK2095" t="s">
        <v>123</v>
      </c>
      <c r="BL2095" t="str">
        <f>"2017.780391"</f>
        <v>2017.780391</v>
      </c>
      <c r="BM2095" t="s">
        <v>3638</v>
      </c>
      <c r="BO2095" t="s">
        <v>14139</v>
      </c>
      <c r="BS2095">
        <v>30</v>
      </c>
      <c r="BW2095" t="str">
        <f>""</f>
        <v/>
      </c>
      <c r="CH2095" t="str">
        <f>""</f>
        <v/>
      </c>
      <c r="CS2095" t="str">
        <f>""</f>
        <v/>
      </c>
    </row>
    <row r="2096" spans="1:97" x14ac:dyDescent="0.25">
      <c r="A2096" t="s">
        <v>353</v>
      </c>
      <c r="B2096" t="s">
        <v>1552</v>
      </c>
      <c r="C2096" t="s">
        <v>5560</v>
      </c>
      <c r="D2096" t="s">
        <v>14140</v>
      </c>
      <c r="E2096" t="s">
        <v>14141</v>
      </c>
      <c r="F2096" t="s">
        <v>108</v>
      </c>
      <c r="H2096" t="s">
        <v>14142</v>
      </c>
      <c r="I2096" t="s">
        <v>3150</v>
      </c>
      <c r="J2096" t="s">
        <v>111</v>
      </c>
      <c r="K2096" t="str">
        <f>"85340"</f>
        <v>85340</v>
      </c>
      <c r="L2096" t="s">
        <v>5239</v>
      </c>
      <c r="M2096" t="s">
        <v>14142</v>
      </c>
      <c r="N2096" t="s">
        <v>3150</v>
      </c>
      <c r="O2096" t="s">
        <v>111</v>
      </c>
      <c r="P2096" t="str">
        <f>"85340-9343"</f>
        <v>85340-9343</v>
      </c>
      <c r="Q2096" t="s">
        <v>113</v>
      </c>
      <c r="R2096" t="str">
        <f>"501-56-417"</f>
        <v>501-56-417</v>
      </c>
      <c r="S2096" t="s">
        <v>7397</v>
      </c>
      <c r="T2096" t="s">
        <v>7397</v>
      </c>
      <c r="U2096">
        <v>2501</v>
      </c>
      <c r="V2096">
        <v>0</v>
      </c>
      <c r="W2096">
        <v>4</v>
      </c>
      <c r="X2096">
        <v>2014</v>
      </c>
      <c r="Z2096">
        <v>1</v>
      </c>
      <c r="AB2096">
        <v>0</v>
      </c>
      <c r="AC2096" t="s">
        <v>115</v>
      </c>
      <c r="AD2096">
        <v>2</v>
      </c>
      <c r="AE2096" t="s">
        <v>115</v>
      </c>
      <c r="AF2096">
        <v>0</v>
      </c>
      <c r="AG2096">
        <v>0</v>
      </c>
      <c r="AH2096" t="s">
        <v>116</v>
      </c>
      <c r="AI2096" s="1">
        <v>100953</v>
      </c>
      <c r="AJ2096" s="2">
        <v>0.24</v>
      </c>
      <c r="AK2096" s="1">
        <v>423400</v>
      </c>
      <c r="AL2096" t="s">
        <v>117</v>
      </c>
      <c r="AM2096" t="s">
        <v>376</v>
      </c>
      <c r="AN2096">
        <v>32935</v>
      </c>
      <c r="AO2096">
        <v>0.76</v>
      </c>
      <c r="AR2096">
        <v>1</v>
      </c>
      <c r="AS2096" s="1">
        <v>32130</v>
      </c>
      <c r="AT2096" s="1">
        <v>6420</v>
      </c>
      <c r="AU2096" s="1">
        <v>25710</v>
      </c>
      <c r="AV2096">
        <v>80.02</v>
      </c>
      <c r="AX2096" s="1">
        <v>2372.2600000000002</v>
      </c>
      <c r="AY2096" t="s">
        <v>5241</v>
      </c>
      <c r="AZ2096" t="s">
        <v>3153</v>
      </c>
      <c r="BA2096" t="s">
        <v>3154</v>
      </c>
      <c r="BE2096" s="3">
        <v>41996</v>
      </c>
      <c r="BF2096" s="1">
        <v>338930</v>
      </c>
      <c r="BG2096" t="s">
        <v>158</v>
      </c>
      <c r="BH2096" s="1">
        <v>135.52000000000001</v>
      </c>
      <c r="BI2096" s="1">
        <v>322447</v>
      </c>
      <c r="BJ2096" s="3">
        <v>41996</v>
      </c>
      <c r="BK2096" t="s">
        <v>123</v>
      </c>
      <c r="BL2096" t="str">
        <f>"2014.845410"</f>
        <v>2014.845410</v>
      </c>
      <c r="BM2096" t="s">
        <v>241</v>
      </c>
      <c r="BO2096" t="s">
        <v>14143</v>
      </c>
      <c r="BP2096" t="s">
        <v>14144</v>
      </c>
      <c r="BS2096">
        <v>30</v>
      </c>
      <c r="BW2096" t="str">
        <f>""</f>
        <v/>
      </c>
      <c r="CH2096" t="str">
        <f>""</f>
        <v/>
      </c>
      <c r="CS2096" t="str">
        <f>""</f>
        <v/>
      </c>
    </row>
    <row r="2097" spans="1:97" x14ac:dyDescent="0.25">
      <c r="A2097" t="s">
        <v>996</v>
      </c>
      <c r="B2097" t="s">
        <v>14145</v>
      </c>
      <c r="E2097" t="s">
        <v>14146</v>
      </c>
      <c r="F2097" t="s">
        <v>108</v>
      </c>
      <c r="H2097" t="s">
        <v>14147</v>
      </c>
      <c r="I2097" t="s">
        <v>225</v>
      </c>
      <c r="J2097" t="s">
        <v>111</v>
      </c>
      <c r="K2097" t="str">
        <f>"85207"</f>
        <v>85207</v>
      </c>
      <c r="L2097" t="s">
        <v>2220</v>
      </c>
      <c r="M2097" t="s">
        <v>14147</v>
      </c>
      <c r="N2097" t="s">
        <v>225</v>
      </c>
      <c r="O2097" t="s">
        <v>111</v>
      </c>
      <c r="P2097" t="str">
        <f>"85207"</f>
        <v>85207</v>
      </c>
      <c r="Q2097" t="s">
        <v>113</v>
      </c>
      <c r="R2097" t="str">
        <f>"219-25-746"</f>
        <v>219-25-746</v>
      </c>
      <c r="S2097" t="s">
        <v>14148</v>
      </c>
      <c r="T2097" t="s">
        <v>14148</v>
      </c>
      <c r="U2097">
        <v>1926</v>
      </c>
      <c r="V2097">
        <v>0</v>
      </c>
      <c r="W2097">
        <v>5</v>
      </c>
      <c r="X2097">
        <v>2007</v>
      </c>
      <c r="Z2097">
        <v>1</v>
      </c>
      <c r="AA2097" t="s">
        <v>26</v>
      </c>
      <c r="AB2097">
        <v>0</v>
      </c>
      <c r="AC2097" t="s">
        <v>115</v>
      </c>
      <c r="AD2097">
        <v>2</v>
      </c>
      <c r="AE2097" t="s">
        <v>115</v>
      </c>
      <c r="AF2097">
        <v>0</v>
      </c>
      <c r="AG2097">
        <v>0</v>
      </c>
      <c r="AH2097" t="s">
        <v>116</v>
      </c>
      <c r="AI2097" s="1">
        <v>78755</v>
      </c>
      <c r="AJ2097" s="2">
        <v>0.19</v>
      </c>
      <c r="AK2097" s="1">
        <v>405267</v>
      </c>
      <c r="AL2097" t="s">
        <v>117</v>
      </c>
      <c r="AM2097" t="s">
        <v>393</v>
      </c>
      <c r="AN2097">
        <v>7256</v>
      </c>
      <c r="AO2097">
        <v>0.17</v>
      </c>
      <c r="AR2097">
        <v>1</v>
      </c>
      <c r="AS2097" s="1">
        <v>28050</v>
      </c>
      <c r="AT2097" s="1">
        <v>5610</v>
      </c>
      <c r="AU2097" s="1">
        <v>22440</v>
      </c>
      <c r="AV2097">
        <v>80</v>
      </c>
      <c r="AX2097" s="1">
        <v>2486</v>
      </c>
      <c r="AY2097" t="s">
        <v>9337</v>
      </c>
      <c r="AZ2097" t="s">
        <v>231</v>
      </c>
      <c r="BA2097" t="s">
        <v>3119</v>
      </c>
      <c r="BE2097" s="3">
        <v>42139</v>
      </c>
      <c r="BF2097" s="1">
        <v>325000</v>
      </c>
      <c r="BG2097" t="s">
        <v>14149</v>
      </c>
      <c r="BH2097" s="1">
        <v>168.74</v>
      </c>
      <c r="BI2097" s="1">
        <v>326512</v>
      </c>
      <c r="BJ2097" s="3">
        <v>42488</v>
      </c>
      <c r="BK2097" t="s">
        <v>123</v>
      </c>
      <c r="BL2097" t="str">
        <f>"2016.285328"</f>
        <v>2016.285328</v>
      </c>
      <c r="BM2097" t="s">
        <v>699</v>
      </c>
      <c r="BO2097" t="s">
        <v>14150</v>
      </c>
      <c r="BS2097">
        <v>30</v>
      </c>
      <c r="BW2097" t="str">
        <f>""</f>
        <v/>
      </c>
      <c r="CH2097" t="str">
        <f>""</f>
        <v/>
      </c>
      <c r="CS2097" t="str">
        <f>""</f>
        <v/>
      </c>
    </row>
    <row r="2098" spans="1:97" x14ac:dyDescent="0.25">
      <c r="A2098" t="s">
        <v>511</v>
      </c>
      <c r="B2098" t="s">
        <v>1667</v>
      </c>
      <c r="E2098" t="s">
        <v>14151</v>
      </c>
      <c r="F2098" t="s">
        <v>108</v>
      </c>
      <c r="H2098" t="s">
        <v>14152</v>
      </c>
      <c r="I2098" t="s">
        <v>390</v>
      </c>
      <c r="J2098" t="s">
        <v>111</v>
      </c>
      <c r="K2098" t="str">
        <f>"85022"</f>
        <v>85022</v>
      </c>
      <c r="L2098" t="s">
        <v>6541</v>
      </c>
      <c r="M2098" t="s">
        <v>14152</v>
      </c>
      <c r="N2098" t="s">
        <v>390</v>
      </c>
      <c r="O2098" t="s">
        <v>111</v>
      </c>
      <c r="P2098" t="str">
        <f>"85022-4430"</f>
        <v>85022-4430</v>
      </c>
      <c r="Q2098" t="s">
        <v>113</v>
      </c>
      <c r="R2098" t="str">
        <f>"214-47-400"</f>
        <v>214-47-400</v>
      </c>
      <c r="S2098" t="s">
        <v>14153</v>
      </c>
      <c r="T2098" t="s">
        <v>6544</v>
      </c>
      <c r="U2098">
        <v>2319</v>
      </c>
      <c r="V2098">
        <v>0</v>
      </c>
      <c r="W2098">
        <v>4</v>
      </c>
      <c r="X2098">
        <v>1995</v>
      </c>
      <c r="Z2098">
        <v>2</v>
      </c>
      <c r="AB2098">
        <v>0</v>
      </c>
      <c r="AC2098" t="s">
        <v>115</v>
      </c>
      <c r="AD2098">
        <v>2</v>
      </c>
      <c r="AE2098" t="s">
        <v>115</v>
      </c>
      <c r="AF2098">
        <v>0</v>
      </c>
      <c r="AG2098">
        <v>0</v>
      </c>
      <c r="AH2098" t="s">
        <v>116</v>
      </c>
      <c r="AI2098" s="1">
        <v>29429</v>
      </c>
      <c r="AJ2098" s="2">
        <v>0.1</v>
      </c>
      <c r="AK2098" s="1">
        <v>288179</v>
      </c>
      <c r="AL2098" t="s">
        <v>117</v>
      </c>
      <c r="AM2098" t="s">
        <v>1302</v>
      </c>
      <c r="AN2098">
        <v>6182</v>
      </c>
      <c r="AO2098">
        <v>0.14000000000000001</v>
      </c>
      <c r="AP2098">
        <v>1</v>
      </c>
      <c r="AR2098">
        <v>1</v>
      </c>
      <c r="AS2098" s="1">
        <v>31460</v>
      </c>
      <c r="AT2098" s="1">
        <v>6290</v>
      </c>
      <c r="AU2098" s="1">
        <v>25170</v>
      </c>
      <c r="AV2098">
        <v>80.010000000000005</v>
      </c>
      <c r="AX2098" s="1">
        <v>3313.12</v>
      </c>
      <c r="AY2098" t="s">
        <v>5802</v>
      </c>
      <c r="AZ2098" t="s">
        <v>5489</v>
      </c>
      <c r="BA2098" t="s">
        <v>5232</v>
      </c>
      <c r="BE2098" s="3">
        <v>41789</v>
      </c>
      <c r="BF2098" s="1">
        <v>295000</v>
      </c>
      <c r="BG2098" t="s">
        <v>14154</v>
      </c>
      <c r="BH2098" s="1">
        <v>127.21</v>
      </c>
      <c r="BI2098" s="1">
        <v>258750</v>
      </c>
      <c r="BJ2098" s="3">
        <v>41789</v>
      </c>
      <c r="BK2098" t="s">
        <v>123</v>
      </c>
      <c r="BL2098" t="str">
        <f>"2014.351573"</f>
        <v>2014.351573</v>
      </c>
      <c r="BM2098" t="s">
        <v>5867</v>
      </c>
      <c r="BO2098" t="s">
        <v>14155</v>
      </c>
      <c r="BS2098">
        <v>30</v>
      </c>
      <c r="BW2098" t="str">
        <f>""</f>
        <v/>
      </c>
      <c r="CH2098" t="str">
        <f>""</f>
        <v/>
      </c>
      <c r="CS2098" t="str">
        <f>""</f>
        <v/>
      </c>
    </row>
    <row r="2099" spans="1:97" x14ac:dyDescent="0.25">
      <c r="A2099" t="s">
        <v>14156</v>
      </c>
      <c r="B2099" t="s">
        <v>14157</v>
      </c>
      <c r="E2099" t="s">
        <v>14158</v>
      </c>
      <c r="F2099" t="s">
        <v>108</v>
      </c>
      <c r="H2099" t="s">
        <v>14159</v>
      </c>
      <c r="I2099" t="s">
        <v>110</v>
      </c>
      <c r="J2099" t="s">
        <v>111</v>
      </c>
      <c r="K2099" t="str">
        <f>"85226"</f>
        <v>85226</v>
      </c>
      <c r="L2099" t="s">
        <v>5918</v>
      </c>
      <c r="M2099" t="s">
        <v>14159</v>
      </c>
      <c r="N2099" t="s">
        <v>110</v>
      </c>
      <c r="O2099" t="s">
        <v>111</v>
      </c>
      <c r="P2099" t="str">
        <f>"85226-1302"</f>
        <v>85226-1302</v>
      </c>
      <c r="Q2099" t="s">
        <v>113</v>
      </c>
      <c r="R2099" t="str">
        <f>"308-06-914"</f>
        <v>308-06-914</v>
      </c>
      <c r="S2099" t="s">
        <v>14160</v>
      </c>
      <c r="T2099" t="s">
        <v>14161</v>
      </c>
      <c r="U2099">
        <v>1615</v>
      </c>
      <c r="V2099">
        <v>0</v>
      </c>
      <c r="W2099">
        <v>3</v>
      </c>
      <c r="X2099">
        <v>1993</v>
      </c>
      <c r="Z2099">
        <v>1</v>
      </c>
      <c r="AB2099">
        <v>0</v>
      </c>
      <c r="AC2099" t="s">
        <v>115</v>
      </c>
      <c r="AD2099">
        <v>3</v>
      </c>
      <c r="AE2099" t="s">
        <v>115</v>
      </c>
      <c r="AF2099">
        <v>0</v>
      </c>
      <c r="AG2099">
        <v>0</v>
      </c>
      <c r="AH2099" t="s">
        <v>116</v>
      </c>
      <c r="AI2099" s="1">
        <v>94679</v>
      </c>
      <c r="AJ2099" s="2">
        <v>0.27</v>
      </c>
      <c r="AK2099" s="1">
        <v>349493</v>
      </c>
      <c r="AL2099" t="s">
        <v>117</v>
      </c>
      <c r="AM2099" t="s">
        <v>118</v>
      </c>
      <c r="AN2099">
        <v>6377</v>
      </c>
      <c r="AO2099">
        <v>0.15</v>
      </c>
      <c r="AP2099">
        <v>1</v>
      </c>
      <c r="AR2099">
        <v>1</v>
      </c>
      <c r="AS2099" s="1">
        <v>24750</v>
      </c>
      <c r="AT2099" s="1">
        <v>4950</v>
      </c>
      <c r="AU2099" s="1">
        <v>19800</v>
      </c>
      <c r="AV2099">
        <v>80</v>
      </c>
      <c r="AX2099" s="1">
        <v>2412.46</v>
      </c>
      <c r="AY2099" t="s">
        <v>5921</v>
      </c>
      <c r="AZ2099" t="s">
        <v>5922</v>
      </c>
      <c r="BA2099" t="s">
        <v>5202</v>
      </c>
      <c r="BE2099" s="3">
        <v>41969</v>
      </c>
      <c r="BF2099" s="1">
        <v>255000</v>
      </c>
      <c r="BG2099" t="s">
        <v>14162</v>
      </c>
      <c r="BH2099" s="1">
        <v>157.88999999999999</v>
      </c>
      <c r="BI2099" s="1">
        <v>254814</v>
      </c>
      <c r="BJ2099" s="3">
        <v>42083</v>
      </c>
      <c r="BK2099" t="s">
        <v>123</v>
      </c>
      <c r="BL2099" t="str">
        <f>"2015.187494"</f>
        <v>2015.187494</v>
      </c>
      <c r="BM2099" t="s">
        <v>255</v>
      </c>
      <c r="BO2099" t="s">
        <v>14163</v>
      </c>
      <c r="BS2099">
        <v>30</v>
      </c>
      <c r="BW2099" t="str">
        <f>""</f>
        <v/>
      </c>
      <c r="CH2099" t="str">
        <f>""</f>
        <v/>
      </c>
      <c r="CS2099" t="str">
        <f>""</f>
        <v/>
      </c>
    </row>
    <row r="2100" spans="1:97" x14ac:dyDescent="0.25">
      <c r="A2100" t="s">
        <v>6830</v>
      </c>
      <c r="B2100" t="s">
        <v>7569</v>
      </c>
      <c r="C2100" t="s">
        <v>2099</v>
      </c>
      <c r="D2100" t="s">
        <v>7569</v>
      </c>
      <c r="E2100" t="s">
        <v>14164</v>
      </c>
      <c r="F2100" t="s">
        <v>108</v>
      </c>
      <c r="H2100" t="s">
        <v>14165</v>
      </c>
      <c r="I2100" t="s">
        <v>225</v>
      </c>
      <c r="J2100" t="s">
        <v>111</v>
      </c>
      <c r="K2100" t="str">
        <f>"85203"</f>
        <v>85203</v>
      </c>
      <c r="L2100" t="s">
        <v>4565</v>
      </c>
      <c r="M2100" t="s">
        <v>14165</v>
      </c>
      <c r="N2100" t="s">
        <v>225</v>
      </c>
      <c r="O2100" t="s">
        <v>111</v>
      </c>
      <c r="P2100" t="str">
        <f>"85203-5820"</f>
        <v>85203-5820</v>
      </c>
      <c r="Q2100" t="s">
        <v>113</v>
      </c>
      <c r="R2100" t="str">
        <f>"137-02-065"</f>
        <v>137-02-065</v>
      </c>
      <c r="S2100" t="s">
        <v>14166</v>
      </c>
      <c r="T2100" t="s">
        <v>7577</v>
      </c>
      <c r="U2100">
        <v>2112</v>
      </c>
      <c r="V2100">
        <v>0</v>
      </c>
      <c r="W2100">
        <v>3</v>
      </c>
      <c r="X2100">
        <v>1997</v>
      </c>
      <c r="Z2100">
        <v>1</v>
      </c>
      <c r="AB2100">
        <v>0</v>
      </c>
      <c r="AC2100" t="s">
        <v>115</v>
      </c>
      <c r="AD2100">
        <v>2</v>
      </c>
      <c r="AE2100" t="s">
        <v>115</v>
      </c>
      <c r="AF2100">
        <v>0</v>
      </c>
      <c r="AG2100">
        <v>0</v>
      </c>
      <c r="AH2100" t="s">
        <v>116</v>
      </c>
      <c r="AI2100" s="1">
        <v>51713</v>
      </c>
      <c r="AJ2100" s="2">
        <v>0.16</v>
      </c>
      <c r="AK2100" s="1">
        <v>327193</v>
      </c>
      <c r="AL2100" t="s">
        <v>117</v>
      </c>
      <c r="AM2100" t="s">
        <v>917</v>
      </c>
      <c r="AN2100">
        <v>9060</v>
      </c>
      <c r="AO2100">
        <v>0.21</v>
      </c>
      <c r="AP2100">
        <v>1</v>
      </c>
      <c r="AR2100">
        <v>1</v>
      </c>
      <c r="AS2100" s="1">
        <v>21430</v>
      </c>
      <c r="AT2100" s="1">
        <v>4280</v>
      </c>
      <c r="AU2100" s="1">
        <v>17150</v>
      </c>
      <c r="AV2100">
        <v>80.03</v>
      </c>
      <c r="AX2100" s="1">
        <v>1531.92</v>
      </c>
      <c r="AY2100" t="s">
        <v>7578</v>
      </c>
      <c r="AZ2100" t="s">
        <v>1523</v>
      </c>
      <c r="BA2100" t="s">
        <v>1524</v>
      </c>
      <c r="BE2100" s="3">
        <v>42429</v>
      </c>
      <c r="BF2100" s="1">
        <v>265000</v>
      </c>
      <c r="BG2100" t="s">
        <v>14167</v>
      </c>
      <c r="BH2100" s="1">
        <v>125.47</v>
      </c>
      <c r="BI2100" s="1">
        <v>275480</v>
      </c>
      <c r="BJ2100" s="3">
        <v>42675</v>
      </c>
      <c r="BK2100" t="s">
        <v>123</v>
      </c>
      <c r="BL2100" t="str">
        <f>"2016.803241"</f>
        <v>2016.803241</v>
      </c>
      <c r="BM2100" t="s">
        <v>1695</v>
      </c>
      <c r="BO2100" t="s">
        <v>14168</v>
      </c>
      <c r="BS2100">
        <v>30</v>
      </c>
      <c r="BW2100" t="str">
        <f>""</f>
        <v/>
      </c>
      <c r="CH2100" t="str">
        <f>""</f>
        <v/>
      </c>
      <c r="CS2100" t="str">
        <f>""</f>
        <v/>
      </c>
    </row>
    <row r="2101" spans="1:97" x14ac:dyDescent="0.25">
      <c r="A2101" t="s">
        <v>370</v>
      </c>
      <c r="B2101" t="s">
        <v>14169</v>
      </c>
      <c r="C2101" t="s">
        <v>976</v>
      </c>
      <c r="D2101" t="s">
        <v>14169</v>
      </c>
      <c r="E2101" t="s">
        <v>14170</v>
      </c>
      <c r="F2101" t="s">
        <v>108</v>
      </c>
      <c r="H2101" t="s">
        <v>14171</v>
      </c>
      <c r="I2101" t="s">
        <v>188</v>
      </c>
      <c r="J2101" t="s">
        <v>111</v>
      </c>
      <c r="K2101" t="str">
        <f>"85142"</f>
        <v>85142</v>
      </c>
      <c r="L2101" t="s">
        <v>5456</v>
      </c>
      <c r="M2101" t="s">
        <v>14171</v>
      </c>
      <c r="N2101" t="s">
        <v>188</v>
      </c>
      <c r="O2101" t="s">
        <v>111</v>
      </c>
      <c r="P2101" t="str">
        <f>"85142-6007"</f>
        <v>85142-6007</v>
      </c>
      <c r="Q2101" t="s">
        <v>113</v>
      </c>
      <c r="R2101" t="str">
        <f>"304-67-062"</f>
        <v>304-67-062</v>
      </c>
      <c r="S2101" t="s">
        <v>7390</v>
      </c>
      <c r="T2101" t="s">
        <v>7391</v>
      </c>
      <c r="U2101">
        <v>1930</v>
      </c>
      <c r="V2101">
        <v>0</v>
      </c>
      <c r="W2101">
        <v>3</v>
      </c>
      <c r="X2101">
        <v>2003</v>
      </c>
      <c r="Z2101">
        <v>1</v>
      </c>
      <c r="AB2101">
        <v>0</v>
      </c>
      <c r="AC2101" t="s">
        <v>115</v>
      </c>
      <c r="AD2101">
        <v>3</v>
      </c>
      <c r="AE2101" t="s">
        <v>115</v>
      </c>
      <c r="AF2101">
        <v>0</v>
      </c>
      <c r="AG2101">
        <v>0</v>
      </c>
      <c r="AH2101" t="s">
        <v>116</v>
      </c>
      <c r="AI2101" s="1">
        <v>46487</v>
      </c>
      <c r="AJ2101" s="2">
        <v>0.13</v>
      </c>
      <c r="AK2101" s="1">
        <v>356387</v>
      </c>
      <c r="AL2101" t="s">
        <v>117</v>
      </c>
      <c r="AM2101" t="s">
        <v>171</v>
      </c>
      <c r="AN2101">
        <v>10831</v>
      </c>
      <c r="AO2101">
        <v>0.25</v>
      </c>
      <c r="AP2101">
        <v>1</v>
      </c>
      <c r="AR2101">
        <v>1</v>
      </c>
      <c r="AS2101" s="1">
        <v>25460</v>
      </c>
      <c r="AT2101" s="1">
        <v>5090</v>
      </c>
      <c r="AU2101" s="1">
        <v>20370</v>
      </c>
      <c r="AV2101">
        <v>80.010000000000005</v>
      </c>
      <c r="AX2101" s="1">
        <v>2462.3000000000002</v>
      </c>
      <c r="AY2101" t="s">
        <v>192</v>
      </c>
      <c r="AZ2101" t="s">
        <v>193</v>
      </c>
      <c r="BA2101" t="s">
        <v>194</v>
      </c>
      <c r="BE2101" s="3">
        <v>41726</v>
      </c>
      <c r="BF2101" s="1">
        <v>255000</v>
      </c>
      <c r="BG2101" t="s">
        <v>14172</v>
      </c>
      <c r="BH2101" s="1">
        <v>132.12</v>
      </c>
      <c r="BI2101" s="1">
        <v>309900</v>
      </c>
      <c r="BJ2101" s="3">
        <v>43579</v>
      </c>
      <c r="BK2101" t="s">
        <v>123</v>
      </c>
      <c r="BL2101" t="str">
        <f>"2019.290944"</f>
        <v>2019.290944</v>
      </c>
      <c r="BM2101" t="s">
        <v>159</v>
      </c>
      <c r="BN2101" t="s">
        <v>14173</v>
      </c>
      <c r="BO2101" t="s">
        <v>14174</v>
      </c>
      <c r="BP2101" t="s">
        <v>14175</v>
      </c>
      <c r="BR2101" t="s">
        <v>139</v>
      </c>
      <c r="BW2101" t="str">
        <f>""</f>
        <v/>
      </c>
      <c r="CH2101" t="str">
        <f>""</f>
        <v/>
      </c>
      <c r="CS2101" t="str">
        <f>""</f>
        <v/>
      </c>
    </row>
    <row r="2102" spans="1:97" x14ac:dyDescent="0.25">
      <c r="A2102" t="s">
        <v>511</v>
      </c>
      <c r="B2102" t="s">
        <v>14176</v>
      </c>
      <c r="C2102" t="s">
        <v>2002</v>
      </c>
      <c r="D2102" t="s">
        <v>14176</v>
      </c>
      <c r="E2102" t="s">
        <v>14177</v>
      </c>
      <c r="F2102" t="s">
        <v>108</v>
      </c>
      <c r="H2102" t="s">
        <v>14178</v>
      </c>
      <c r="I2102" t="s">
        <v>144</v>
      </c>
      <c r="J2102" t="s">
        <v>111</v>
      </c>
      <c r="K2102" t="str">
        <f>"85396"</f>
        <v>85396</v>
      </c>
      <c r="L2102" t="s">
        <v>1244</v>
      </c>
      <c r="M2102" t="s">
        <v>14178</v>
      </c>
      <c r="N2102" t="s">
        <v>144</v>
      </c>
      <c r="O2102" t="s">
        <v>111</v>
      </c>
      <c r="P2102" t="str">
        <f>"85396-7797"</f>
        <v>85396-7797</v>
      </c>
      <c r="Q2102" t="s">
        <v>113</v>
      </c>
      <c r="R2102" t="str">
        <f>"502-81-199"</f>
        <v>502-81-199</v>
      </c>
      <c r="S2102" t="s">
        <v>14179</v>
      </c>
      <c r="U2102">
        <v>2266</v>
      </c>
      <c r="V2102">
        <v>0</v>
      </c>
      <c r="W2102">
        <v>3</v>
      </c>
      <c r="X2102">
        <v>2007</v>
      </c>
      <c r="Z2102">
        <v>1</v>
      </c>
      <c r="AB2102">
        <v>0</v>
      </c>
      <c r="AC2102" t="s">
        <v>115</v>
      </c>
      <c r="AD2102">
        <v>2</v>
      </c>
      <c r="AE2102" t="s">
        <v>115</v>
      </c>
      <c r="AF2102">
        <v>0</v>
      </c>
      <c r="AG2102">
        <v>0</v>
      </c>
      <c r="AH2102" t="s">
        <v>116</v>
      </c>
      <c r="AI2102" s="1">
        <v>23814</v>
      </c>
      <c r="AJ2102" s="2">
        <v>7.0000000000000007E-2</v>
      </c>
      <c r="AK2102" s="1">
        <v>348814</v>
      </c>
      <c r="AL2102" t="s">
        <v>117</v>
      </c>
      <c r="AM2102" t="s">
        <v>118</v>
      </c>
      <c r="AN2102">
        <v>10459</v>
      </c>
      <c r="AO2102">
        <v>0.24</v>
      </c>
      <c r="AR2102">
        <v>1</v>
      </c>
      <c r="AS2102" s="1">
        <v>26550</v>
      </c>
      <c r="AT2102" s="1">
        <v>5310</v>
      </c>
      <c r="AU2102" s="1">
        <v>21240</v>
      </c>
      <c r="AV2102">
        <v>80</v>
      </c>
      <c r="AX2102" s="1">
        <v>3279.38</v>
      </c>
      <c r="AY2102" t="s">
        <v>217</v>
      </c>
      <c r="AZ2102" t="s">
        <v>217</v>
      </c>
      <c r="BA2102" t="s">
        <v>218</v>
      </c>
      <c r="BE2102" s="3">
        <v>42499</v>
      </c>
      <c r="BF2102" s="1">
        <v>280000</v>
      </c>
      <c r="BG2102" t="s">
        <v>14180</v>
      </c>
      <c r="BH2102" s="1">
        <v>123.57</v>
      </c>
      <c r="BI2102" s="1">
        <v>325000</v>
      </c>
      <c r="BJ2102" s="3">
        <v>43319</v>
      </c>
      <c r="BK2102" t="s">
        <v>123</v>
      </c>
      <c r="BL2102" t="str">
        <f>"2018.598820"</f>
        <v>2018.598820</v>
      </c>
      <c r="BM2102" t="s">
        <v>1915</v>
      </c>
      <c r="BN2102" t="s">
        <v>1916</v>
      </c>
      <c r="BO2102" t="s">
        <v>14181</v>
      </c>
      <c r="BP2102" t="s">
        <v>14182</v>
      </c>
      <c r="BR2102" t="s">
        <v>139</v>
      </c>
      <c r="BW2102" t="str">
        <f>""</f>
        <v/>
      </c>
      <c r="CH2102" t="str">
        <f>""</f>
        <v/>
      </c>
      <c r="CS2102" t="str">
        <f>""</f>
        <v/>
      </c>
    </row>
    <row r="2103" spans="1:97" x14ac:dyDescent="0.25">
      <c r="B2103" t="s">
        <v>14183</v>
      </c>
      <c r="E2103" t="s">
        <v>14184</v>
      </c>
      <c r="F2103" t="s">
        <v>108</v>
      </c>
      <c r="H2103" t="s">
        <v>14185</v>
      </c>
      <c r="I2103" t="s">
        <v>499</v>
      </c>
      <c r="J2103" t="s">
        <v>111</v>
      </c>
      <c r="K2103" t="str">
        <f>"85395"</f>
        <v>85395</v>
      </c>
      <c r="L2103" t="s">
        <v>500</v>
      </c>
      <c r="M2103" t="s">
        <v>14185</v>
      </c>
      <c r="N2103" t="s">
        <v>499</v>
      </c>
      <c r="O2103" t="s">
        <v>111</v>
      </c>
      <c r="P2103" t="str">
        <f>"85395-5209"</f>
        <v>85395-5209</v>
      </c>
      <c r="Q2103" t="s">
        <v>113</v>
      </c>
      <c r="R2103" t="str">
        <f>"502-30-246"</f>
        <v>502-30-246</v>
      </c>
      <c r="S2103" t="s">
        <v>5769</v>
      </c>
      <c r="T2103" t="s">
        <v>502</v>
      </c>
      <c r="U2103">
        <v>2795</v>
      </c>
      <c r="V2103">
        <v>0</v>
      </c>
      <c r="W2103">
        <v>3</v>
      </c>
      <c r="X2103">
        <v>2014</v>
      </c>
      <c r="Z2103">
        <v>1</v>
      </c>
      <c r="AB2103">
        <v>0</v>
      </c>
      <c r="AC2103" t="s">
        <v>115</v>
      </c>
      <c r="AD2103">
        <v>2</v>
      </c>
      <c r="AE2103" t="s">
        <v>115</v>
      </c>
      <c r="AF2103">
        <v>0</v>
      </c>
      <c r="AG2103">
        <v>0</v>
      </c>
      <c r="AH2103" t="s">
        <v>116</v>
      </c>
      <c r="AI2103" s="1">
        <v>63608</v>
      </c>
      <c r="AJ2103" s="2">
        <v>0.16</v>
      </c>
      <c r="AK2103" s="1">
        <v>394168</v>
      </c>
      <c r="AL2103" t="s">
        <v>117</v>
      </c>
      <c r="AM2103" t="s">
        <v>118</v>
      </c>
      <c r="AN2103">
        <v>16083</v>
      </c>
      <c r="AO2103">
        <v>0.37</v>
      </c>
      <c r="AR2103">
        <v>1</v>
      </c>
      <c r="AS2103" s="1">
        <v>27870</v>
      </c>
      <c r="AT2103" s="1">
        <v>5570</v>
      </c>
      <c r="AU2103" s="1">
        <v>22300</v>
      </c>
      <c r="AV2103">
        <v>80.010000000000005</v>
      </c>
      <c r="AX2103" s="1">
        <v>2634.3</v>
      </c>
      <c r="AY2103" t="s">
        <v>503</v>
      </c>
      <c r="AZ2103" t="s">
        <v>504</v>
      </c>
      <c r="BA2103" t="s">
        <v>218</v>
      </c>
      <c r="BB2103" s="3">
        <v>42382</v>
      </c>
      <c r="BD2103" t="s">
        <v>480</v>
      </c>
      <c r="BE2103" s="3">
        <v>41858</v>
      </c>
      <c r="BF2103" s="1">
        <v>337276</v>
      </c>
      <c r="BG2103" t="s">
        <v>209</v>
      </c>
      <c r="BH2103" s="1">
        <v>120.67</v>
      </c>
      <c r="BI2103" s="1">
        <v>330560</v>
      </c>
      <c r="BJ2103" s="3">
        <v>41858</v>
      </c>
      <c r="BK2103" t="s">
        <v>123</v>
      </c>
      <c r="BL2103" t="str">
        <f>"2014.521710"</f>
        <v>2014.521710</v>
      </c>
      <c r="BM2103" t="s">
        <v>175</v>
      </c>
      <c r="BO2103" t="s">
        <v>14186</v>
      </c>
      <c r="BS2103">
        <v>15</v>
      </c>
      <c r="BW2103" t="str">
        <f>""</f>
        <v/>
      </c>
      <c r="CH2103" t="str">
        <f>""</f>
        <v/>
      </c>
      <c r="CS2103" t="str">
        <f>""</f>
        <v/>
      </c>
    </row>
    <row r="2104" spans="1:97" x14ac:dyDescent="0.25">
      <c r="A2104" t="s">
        <v>14187</v>
      </c>
      <c r="B2104" t="s">
        <v>603</v>
      </c>
      <c r="C2104" t="s">
        <v>2591</v>
      </c>
      <c r="D2104" t="s">
        <v>10055</v>
      </c>
      <c r="E2104" t="s">
        <v>14188</v>
      </c>
      <c r="F2104" t="s">
        <v>108</v>
      </c>
      <c r="H2104" t="s">
        <v>14189</v>
      </c>
      <c r="I2104" t="s">
        <v>1397</v>
      </c>
      <c r="J2104" t="s">
        <v>111</v>
      </c>
      <c r="K2104" t="str">
        <f>"85331"</f>
        <v>85331</v>
      </c>
      <c r="L2104" t="s">
        <v>14190</v>
      </c>
      <c r="M2104" t="s">
        <v>14189</v>
      </c>
      <c r="N2104" t="s">
        <v>1397</v>
      </c>
      <c r="O2104" t="s">
        <v>111</v>
      </c>
      <c r="P2104" t="str">
        <f>"85331-1508"</f>
        <v>85331-1508</v>
      </c>
      <c r="Q2104" t="s">
        <v>113</v>
      </c>
      <c r="R2104" t="str">
        <f>"211-48-170"</f>
        <v>211-48-170</v>
      </c>
      <c r="S2104" t="s">
        <v>5959</v>
      </c>
      <c r="U2104">
        <v>3037</v>
      </c>
      <c r="V2104">
        <v>0</v>
      </c>
      <c r="W2104">
        <v>4</v>
      </c>
      <c r="X2104">
        <v>2013</v>
      </c>
      <c r="Z2104">
        <v>1</v>
      </c>
      <c r="AB2104">
        <v>0</v>
      </c>
      <c r="AC2104" t="s">
        <v>115</v>
      </c>
      <c r="AD2104">
        <v>3</v>
      </c>
      <c r="AE2104" t="s">
        <v>115</v>
      </c>
      <c r="AF2104">
        <v>0</v>
      </c>
      <c r="AG2104">
        <v>0</v>
      </c>
      <c r="AH2104" t="s">
        <v>116</v>
      </c>
      <c r="AI2104" s="1">
        <v>179456</v>
      </c>
      <c r="AJ2104" s="2">
        <v>0.26</v>
      </c>
      <c r="AK2104" s="1">
        <v>693781</v>
      </c>
      <c r="AL2104" t="s">
        <v>117</v>
      </c>
      <c r="AM2104" t="s">
        <v>3973</v>
      </c>
      <c r="AN2104">
        <v>12009</v>
      </c>
      <c r="AO2104">
        <v>0.28000000000000003</v>
      </c>
      <c r="AR2104">
        <v>1</v>
      </c>
      <c r="AS2104" s="1">
        <v>49500</v>
      </c>
      <c r="AT2104" s="1">
        <v>9900</v>
      </c>
      <c r="AU2104" s="1">
        <v>39600</v>
      </c>
      <c r="AV2104">
        <v>80</v>
      </c>
      <c r="AX2104" s="1">
        <v>2815.76</v>
      </c>
      <c r="AY2104" t="s">
        <v>1401</v>
      </c>
      <c r="AZ2104" t="s">
        <v>1402</v>
      </c>
      <c r="BA2104" t="s">
        <v>1403</v>
      </c>
      <c r="BE2104" s="3">
        <v>41698</v>
      </c>
      <c r="BF2104" s="1">
        <v>553090</v>
      </c>
      <c r="BG2104" t="s">
        <v>195</v>
      </c>
      <c r="BH2104" s="1">
        <v>182.12</v>
      </c>
      <c r="BI2104" s="1">
        <v>514325</v>
      </c>
      <c r="BJ2104" s="3">
        <v>42150</v>
      </c>
      <c r="BK2104" t="s">
        <v>123</v>
      </c>
      <c r="BL2104" t="str">
        <f>"2015.366516"</f>
        <v>2015.366516</v>
      </c>
      <c r="BM2104" t="s">
        <v>322</v>
      </c>
      <c r="BO2104" t="s">
        <v>14191</v>
      </c>
      <c r="BP2104" t="s">
        <v>14192</v>
      </c>
      <c r="BS2104">
        <v>30</v>
      </c>
      <c r="BW2104" t="str">
        <f>""</f>
        <v/>
      </c>
      <c r="CH2104" t="str">
        <f>""</f>
        <v/>
      </c>
      <c r="CS2104" t="str">
        <f>""</f>
        <v/>
      </c>
    </row>
    <row r="2105" spans="1:97" x14ac:dyDescent="0.25">
      <c r="A2105" t="s">
        <v>14193</v>
      </c>
      <c r="B2105" t="s">
        <v>327</v>
      </c>
      <c r="C2105" t="s">
        <v>1119</v>
      </c>
      <c r="D2105" t="s">
        <v>327</v>
      </c>
      <c r="E2105" t="s">
        <v>14194</v>
      </c>
      <c r="F2105" t="s">
        <v>108</v>
      </c>
      <c r="H2105" t="s">
        <v>14195</v>
      </c>
      <c r="I2105" t="s">
        <v>188</v>
      </c>
      <c r="J2105" t="s">
        <v>111</v>
      </c>
      <c r="K2105" t="str">
        <f>"85142"</f>
        <v>85142</v>
      </c>
      <c r="L2105" t="s">
        <v>5291</v>
      </c>
      <c r="M2105" t="s">
        <v>14195</v>
      </c>
      <c r="N2105" t="s">
        <v>188</v>
      </c>
      <c r="O2105" t="s">
        <v>111</v>
      </c>
      <c r="P2105" t="str">
        <f>"85142-5634"</f>
        <v>85142-5634</v>
      </c>
      <c r="R2105" t="str">
        <f>"304-93-368"</f>
        <v>304-93-368</v>
      </c>
      <c r="S2105" t="s">
        <v>10095</v>
      </c>
      <c r="U2105">
        <v>2979</v>
      </c>
      <c r="V2105">
        <v>0</v>
      </c>
      <c r="W2105">
        <v>4</v>
      </c>
      <c r="X2105">
        <v>2014</v>
      </c>
      <c r="Z2105">
        <v>1</v>
      </c>
      <c r="AB2105">
        <v>0</v>
      </c>
      <c r="AC2105" t="s">
        <v>115</v>
      </c>
      <c r="AD2105">
        <v>3</v>
      </c>
      <c r="AE2105" t="s">
        <v>115</v>
      </c>
      <c r="AF2105">
        <v>0</v>
      </c>
      <c r="AG2105">
        <v>0</v>
      </c>
      <c r="AH2105" t="s">
        <v>116</v>
      </c>
      <c r="AI2105" s="1">
        <v>32160</v>
      </c>
      <c r="AJ2105" s="2">
        <v>7.0000000000000007E-2</v>
      </c>
      <c r="AK2105" s="1">
        <v>485260</v>
      </c>
      <c r="AL2105" t="s">
        <v>117</v>
      </c>
      <c r="AM2105" t="s">
        <v>917</v>
      </c>
      <c r="AN2105">
        <v>10557</v>
      </c>
      <c r="AO2105">
        <v>0.24</v>
      </c>
      <c r="AR2105">
        <v>1</v>
      </c>
      <c r="AS2105" s="1">
        <v>33930</v>
      </c>
      <c r="AT2105" s="1">
        <v>6780</v>
      </c>
      <c r="AU2105" s="1">
        <v>27150</v>
      </c>
      <c r="AV2105">
        <v>80.02</v>
      </c>
      <c r="AX2105" s="1">
        <v>2602.42</v>
      </c>
      <c r="AY2105" t="s">
        <v>5792</v>
      </c>
      <c r="AZ2105" t="s">
        <v>5792</v>
      </c>
      <c r="BA2105" t="s">
        <v>290</v>
      </c>
      <c r="BE2105" s="3">
        <v>42311</v>
      </c>
      <c r="BF2105" s="1">
        <v>394819</v>
      </c>
      <c r="BG2105" t="s">
        <v>158</v>
      </c>
      <c r="BH2105" s="1">
        <v>132.53</v>
      </c>
      <c r="BI2105" s="1">
        <v>453100</v>
      </c>
      <c r="BJ2105" s="3">
        <v>43147</v>
      </c>
      <c r="BK2105" t="s">
        <v>123</v>
      </c>
      <c r="BL2105" t="str">
        <f>"2018.121184"</f>
        <v>2018.121184</v>
      </c>
      <c r="BM2105" t="s">
        <v>492</v>
      </c>
      <c r="BN2105" t="s">
        <v>4706</v>
      </c>
      <c r="BO2105" t="s">
        <v>14196</v>
      </c>
      <c r="BP2105" t="s">
        <v>14197</v>
      </c>
      <c r="BR2105" t="s">
        <v>139</v>
      </c>
      <c r="BW2105" t="str">
        <f>""</f>
        <v/>
      </c>
      <c r="CH2105" t="str">
        <f>""</f>
        <v/>
      </c>
      <c r="CS2105" t="str">
        <f>""</f>
        <v/>
      </c>
    </row>
    <row r="2106" spans="1:97" x14ac:dyDescent="0.25">
      <c r="A2106" t="s">
        <v>894</v>
      </c>
      <c r="B2106" t="s">
        <v>14198</v>
      </c>
      <c r="C2106" t="s">
        <v>397</v>
      </c>
      <c r="D2106" t="s">
        <v>14198</v>
      </c>
      <c r="E2106" t="s">
        <v>14199</v>
      </c>
      <c r="F2106" t="s">
        <v>108</v>
      </c>
      <c r="H2106" t="s">
        <v>14200</v>
      </c>
      <c r="I2106" t="s">
        <v>2874</v>
      </c>
      <c r="J2106" t="s">
        <v>111</v>
      </c>
      <c r="K2106" t="str">
        <f>"85302"</f>
        <v>85302</v>
      </c>
      <c r="L2106" t="s">
        <v>5209</v>
      </c>
      <c r="M2106" t="s">
        <v>14200</v>
      </c>
      <c r="N2106" t="s">
        <v>2874</v>
      </c>
      <c r="O2106" t="s">
        <v>111</v>
      </c>
      <c r="P2106" t="str">
        <f>"85302-2312"</f>
        <v>85302-2312</v>
      </c>
      <c r="Q2106" t="s">
        <v>113</v>
      </c>
      <c r="R2106" t="str">
        <f>"148-24-003-C"</f>
        <v>148-24-003-C</v>
      </c>
      <c r="U2106">
        <v>3379</v>
      </c>
      <c r="V2106">
        <v>0</v>
      </c>
      <c r="W2106">
        <v>4</v>
      </c>
      <c r="X2106">
        <v>1973</v>
      </c>
      <c r="Z2106">
        <v>2</v>
      </c>
      <c r="AA2106" t="s">
        <v>26</v>
      </c>
      <c r="AB2106">
        <v>0</v>
      </c>
      <c r="AC2106" t="s">
        <v>115</v>
      </c>
      <c r="AD2106">
        <v>2</v>
      </c>
      <c r="AE2106" t="s">
        <v>115</v>
      </c>
      <c r="AF2106">
        <v>0</v>
      </c>
      <c r="AG2106">
        <v>0</v>
      </c>
      <c r="AH2106" t="s">
        <v>116</v>
      </c>
      <c r="AI2106" s="1">
        <v>6947</v>
      </c>
      <c r="AJ2106" s="2">
        <v>0.01</v>
      </c>
      <c r="AK2106" s="1">
        <v>494387</v>
      </c>
      <c r="AL2106" t="s">
        <v>117</v>
      </c>
      <c r="AM2106" t="s">
        <v>3111</v>
      </c>
      <c r="AN2106">
        <v>73181</v>
      </c>
      <c r="AO2106">
        <v>1.68</v>
      </c>
      <c r="AP2106">
        <v>1</v>
      </c>
      <c r="AR2106">
        <v>1</v>
      </c>
      <c r="AS2106" s="1">
        <v>33650</v>
      </c>
      <c r="AT2106" s="1">
        <v>6730</v>
      </c>
      <c r="AU2106" s="1">
        <v>26920</v>
      </c>
      <c r="AV2106">
        <v>80</v>
      </c>
      <c r="AX2106" s="1">
        <v>2711.1</v>
      </c>
      <c r="AY2106" t="s">
        <v>8680</v>
      </c>
      <c r="AZ2106" t="s">
        <v>8680</v>
      </c>
      <c r="BA2106" t="s">
        <v>8681</v>
      </c>
      <c r="BB2106" s="3">
        <v>42612</v>
      </c>
      <c r="BD2106" t="s">
        <v>240</v>
      </c>
      <c r="BE2106" s="3">
        <v>41645</v>
      </c>
      <c r="BF2106" s="1">
        <v>420000</v>
      </c>
      <c r="BG2106" t="s">
        <v>14201</v>
      </c>
      <c r="BH2106" s="1">
        <v>128.87</v>
      </c>
      <c r="BI2106" s="1">
        <v>418240</v>
      </c>
      <c r="BJ2106" s="3">
        <v>42612</v>
      </c>
      <c r="BK2106" t="s">
        <v>123</v>
      </c>
      <c r="BL2106" t="str">
        <f>"2016.626194"</f>
        <v>2016.626194</v>
      </c>
      <c r="BM2106" t="s">
        <v>820</v>
      </c>
      <c r="BN2106" t="s">
        <v>2188</v>
      </c>
      <c r="BO2106" t="s">
        <v>14202</v>
      </c>
      <c r="BS2106">
        <v>30</v>
      </c>
      <c r="BT2106" s="1">
        <v>69200</v>
      </c>
      <c r="BU2106" s="3">
        <v>43315</v>
      </c>
      <c r="BV2106" t="s">
        <v>134</v>
      </c>
      <c r="BW2106" t="str">
        <f>"2018.591635"</f>
        <v>2018.591635</v>
      </c>
      <c r="BX2106" t="s">
        <v>135</v>
      </c>
      <c r="BY2106" t="s">
        <v>136</v>
      </c>
      <c r="BZ2106" t="s">
        <v>14203</v>
      </c>
      <c r="CA2106" t="s">
        <v>14204</v>
      </c>
      <c r="CC2106" t="s">
        <v>139</v>
      </c>
      <c r="CH2106" t="str">
        <f>""</f>
        <v/>
      </c>
      <c r="CS2106" t="str">
        <f>""</f>
        <v/>
      </c>
    </row>
    <row r="2107" spans="1:97" x14ac:dyDescent="0.25">
      <c r="A2107" t="s">
        <v>2776</v>
      </c>
      <c r="B2107" t="s">
        <v>7465</v>
      </c>
      <c r="E2107" t="s">
        <v>14205</v>
      </c>
      <c r="F2107" t="s">
        <v>108</v>
      </c>
      <c r="H2107" t="s">
        <v>14206</v>
      </c>
      <c r="I2107" t="s">
        <v>632</v>
      </c>
      <c r="J2107" t="s">
        <v>111</v>
      </c>
      <c r="K2107" t="str">
        <f>"85379"</f>
        <v>85379</v>
      </c>
      <c r="L2107" t="s">
        <v>558</v>
      </c>
      <c r="M2107" t="s">
        <v>14206</v>
      </c>
      <c r="N2107" t="s">
        <v>632</v>
      </c>
      <c r="O2107" t="s">
        <v>111</v>
      </c>
      <c r="P2107" t="str">
        <f>"85379-4399"</f>
        <v>85379-4399</v>
      </c>
      <c r="Q2107" t="s">
        <v>113</v>
      </c>
      <c r="R2107" t="str">
        <f>"509-15-482"</f>
        <v>509-15-482</v>
      </c>
      <c r="S2107" t="s">
        <v>7110</v>
      </c>
      <c r="U2107">
        <v>4091</v>
      </c>
      <c r="V2107">
        <v>0</v>
      </c>
      <c r="W2107">
        <v>4</v>
      </c>
      <c r="X2107">
        <v>2005</v>
      </c>
      <c r="Z2107">
        <v>2</v>
      </c>
      <c r="AB2107">
        <v>0</v>
      </c>
      <c r="AC2107" t="s">
        <v>115</v>
      </c>
      <c r="AD2107">
        <v>3</v>
      </c>
      <c r="AE2107" t="s">
        <v>115</v>
      </c>
      <c r="AF2107">
        <v>0</v>
      </c>
      <c r="AG2107">
        <v>0</v>
      </c>
      <c r="AH2107" t="s">
        <v>116</v>
      </c>
      <c r="AI2107" s="1">
        <v>79337</v>
      </c>
      <c r="AJ2107" s="2">
        <v>0.21</v>
      </c>
      <c r="AK2107" s="1">
        <v>375443</v>
      </c>
      <c r="AL2107" t="s">
        <v>117</v>
      </c>
      <c r="AM2107" t="s">
        <v>118</v>
      </c>
      <c r="AN2107">
        <v>10500</v>
      </c>
      <c r="AO2107">
        <v>0.24</v>
      </c>
      <c r="AR2107">
        <v>1</v>
      </c>
      <c r="AS2107" s="1">
        <v>26560</v>
      </c>
      <c r="AT2107" s="1">
        <v>5310</v>
      </c>
      <c r="AU2107" s="1">
        <v>21250</v>
      </c>
      <c r="AV2107">
        <v>80.010000000000005</v>
      </c>
      <c r="AX2107" s="1">
        <v>2739.12</v>
      </c>
      <c r="AY2107" t="s">
        <v>5615</v>
      </c>
      <c r="AZ2107" t="s">
        <v>5615</v>
      </c>
      <c r="BA2107" t="s">
        <v>635</v>
      </c>
      <c r="BB2107" s="3">
        <v>42769</v>
      </c>
      <c r="BD2107" t="s">
        <v>240</v>
      </c>
      <c r="BE2107" s="3">
        <v>41652</v>
      </c>
      <c r="BF2107" s="1">
        <v>309980</v>
      </c>
      <c r="BG2107" t="s">
        <v>14207</v>
      </c>
      <c r="BH2107" s="1">
        <v>75.77</v>
      </c>
      <c r="BI2107" s="1">
        <v>296106</v>
      </c>
      <c r="BJ2107" s="3">
        <v>42769</v>
      </c>
      <c r="BK2107" t="s">
        <v>123</v>
      </c>
      <c r="BL2107" t="str">
        <f>"2017.87031"</f>
        <v>2017.87031</v>
      </c>
      <c r="BM2107" t="s">
        <v>492</v>
      </c>
      <c r="BO2107" t="s">
        <v>14208</v>
      </c>
      <c r="BS2107">
        <v>30</v>
      </c>
      <c r="BW2107" t="str">
        <f>""</f>
        <v/>
      </c>
      <c r="CH2107" t="str">
        <f>""</f>
        <v/>
      </c>
      <c r="CS2107" t="str">
        <f>""</f>
        <v/>
      </c>
    </row>
    <row r="2108" spans="1:97" x14ac:dyDescent="0.25">
      <c r="B2108" t="s">
        <v>14209</v>
      </c>
      <c r="E2108" t="s">
        <v>3671</v>
      </c>
      <c r="F2108" t="s">
        <v>108</v>
      </c>
      <c r="H2108" t="s">
        <v>14210</v>
      </c>
      <c r="I2108" t="s">
        <v>1397</v>
      </c>
      <c r="J2108" t="s">
        <v>111</v>
      </c>
      <c r="K2108" t="str">
        <f>"85331"</f>
        <v>85331</v>
      </c>
      <c r="L2108" t="s">
        <v>7761</v>
      </c>
      <c r="M2108" t="s">
        <v>14210</v>
      </c>
      <c r="N2108" t="s">
        <v>1397</v>
      </c>
      <c r="O2108" t="s">
        <v>111</v>
      </c>
      <c r="P2108" t="str">
        <f>"85331-2220"</f>
        <v>85331-2220</v>
      </c>
      <c r="Q2108" t="s">
        <v>113</v>
      </c>
      <c r="R2108" t="str">
        <f>"211-40-039"</f>
        <v>211-40-039</v>
      </c>
      <c r="S2108" t="s">
        <v>7762</v>
      </c>
      <c r="U2108">
        <v>2883</v>
      </c>
      <c r="V2108">
        <v>0</v>
      </c>
      <c r="W2108">
        <v>4</v>
      </c>
      <c r="X2108">
        <v>1998</v>
      </c>
      <c r="Z2108">
        <v>2</v>
      </c>
      <c r="AA2108" t="s">
        <v>26</v>
      </c>
      <c r="AB2108">
        <v>0</v>
      </c>
      <c r="AC2108" t="s">
        <v>115</v>
      </c>
      <c r="AD2108">
        <v>3</v>
      </c>
      <c r="AE2108" t="s">
        <v>115</v>
      </c>
      <c r="AF2108">
        <v>0</v>
      </c>
      <c r="AG2108">
        <v>0</v>
      </c>
      <c r="AH2108" t="s">
        <v>116</v>
      </c>
      <c r="AI2108" s="1">
        <v>253277</v>
      </c>
      <c r="AJ2108" s="2">
        <v>0.51</v>
      </c>
      <c r="AK2108" s="1">
        <v>496277</v>
      </c>
      <c r="AL2108" t="s">
        <v>117</v>
      </c>
      <c r="AM2108" t="s">
        <v>191</v>
      </c>
      <c r="AN2108">
        <v>8684</v>
      </c>
      <c r="AO2108">
        <v>0.2</v>
      </c>
      <c r="AP2108">
        <v>1</v>
      </c>
      <c r="AR2108">
        <v>1</v>
      </c>
      <c r="AS2108" s="1">
        <v>37100</v>
      </c>
      <c r="AT2108" s="1">
        <v>7420</v>
      </c>
      <c r="AU2108" s="1">
        <v>29680</v>
      </c>
      <c r="AV2108">
        <v>80</v>
      </c>
      <c r="AX2108" s="1">
        <v>2373.1999999999998</v>
      </c>
      <c r="AY2108" t="s">
        <v>7763</v>
      </c>
      <c r="AZ2108" t="s">
        <v>1402</v>
      </c>
      <c r="BA2108" t="s">
        <v>1403</v>
      </c>
      <c r="BB2108" s="3">
        <v>41947</v>
      </c>
      <c r="BD2108" t="s">
        <v>240</v>
      </c>
      <c r="BE2108" s="3">
        <v>41745</v>
      </c>
      <c r="BF2108" s="1">
        <v>410000</v>
      </c>
      <c r="BG2108" t="s">
        <v>14211</v>
      </c>
      <c r="BH2108" s="1">
        <v>142.21</v>
      </c>
      <c r="BI2108" s="1">
        <v>243000</v>
      </c>
      <c r="BJ2108" s="3">
        <v>41745</v>
      </c>
      <c r="BK2108" t="s">
        <v>123</v>
      </c>
      <c r="BL2108" t="str">
        <f>"2014.244007"</f>
        <v>2014.244007</v>
      </c>
      <c r="BM2108" t="s">
        <v>2051</v>
      </c>
      <c r="BO2108" t="s">
        <v>14212</v>
      </c>
      <c r="BS2108">
        <v>30</v>
      </c>
      <c r="BW2108" t="str">
        <f>""</f>
        <v/>
      </c>
      <c r="CH2108" t="str">
        <f>""</f>
        <v/>
      </c>
      <c r="CS2108" t="str">
        <f>""</f>
        <v/>
      </c>
    </row>
    <row r="2109" spans="1:97" x14ac:dyDescent="0.25">
      <c r="A2109" t="s">
        <v>701</v>
      </c>
      <c r="B2109" t="s">
        <v>14213</v>
      </c>
      <c r="C2109" t="s">
        <v>14214</v>
      </c>
      <c r="D2109" t="s">
        <v>14213</v>
      </c>
      <c r="E2109" t="s">
        <v>14215</v>
      </c>
      <c r="F2109" t="s">
        <v>108</v>
      </c>
      <c r="H2109" t="s">
        <v>14216</v>
      </c>
      <c r="I2109" t="s">
        <v>225</v>
      </c>
      <c r="J2109" t="s">
        <v>111</v>
      </c>
      <c r="K2109" t="str">
        <f>"85215"</f>
        <v>85215</v>
      </c>
      <c r="L2109" t="s">
        <v>3318</v>
      </c>
      <c r="M2109" t="s">
        <v>14216</v>
      </c>
      <c r="N2109" t="s">
        <v>225</v>
      </c>
      <c r="O2109" t="s">
        <v>111</v>
      </c>
      <c r="P2109" t="str">
        <f>"85215-9646"</f>
        <v>85215-9646</v>
      </c>
      <c r="Q2109" t="s">
        <v>113</v>
      </c>
      <c r="R2109" t="str">
        <f>"141-70-118"</f>
        <v>141-70-118</v>
      </c>
      <c r="S2109" t="s">
        <v>14217</v>
      </c>
      <c r="T2109" t="s">
        <v>14218</v>
      </c>
      <c r="U2109">
        <v>2292</v>
      </c>
      <c r="V2109">
        <v>0</v>
      </c>
      <c r="W2109">
        <v>3</v>
      </c>
      <c r="X2109">
        <v>1992</v>
      </c>
      <c r="Z2109">
        <v>1</v>
      </c>
      <c r="AA2109" t="s">
        <v>26</v>
      </c>
      <c r="AB2109">
        <v>0</v>
      </c>
      <c r="AC2109" t="s">
        <v>115</v>
      </c>
      <c r="AD2109">
        <v>3</v>
      </c>
      <c r="AE2109" t="s">
        <v>115</v>
      </c>
      <c r="AF2109">
        <v>0</v>
      </c>
      <c r="AG2109">
        <v>0</v>
      </c>
      <c r="AH2109" t="s">
        <v>116</v>
      </c>
      <c r="AI2109" s="1">
        <v>140150</v>
      </c>
      <c r="AJ2109" s="2">
        <v>0.37</v>
      </c>
      <c r="AK2109" s="1">
        <v>378150</v>
      </c>
      <c r="AL2109" t="s">
        <v>117</v>
      </c>
      <c r="AM2109" t="s">
        <v>917</v>
      </c>
      <c r="AN2109">
        <v>7945</v>
      </c>
      <c r="AO2109">
        <v>0.18</v>
      </c>
      <c r="AP2109">
        <v>1</v>
      </c>
      <c r="AR2109">
        <v>1</v>
      </c>
      <c r="AS2109" s="1">
        <v>27630</v>
      </c>
      <c r="AT2109" s="1">
        <v>5520</v>
      </c>
      <c r="AU2109" s="1">
        <v>22110</v>
      </c>
      <c r="AV2109">
        <v>80.02</v>
      </c>
      <c r="AX2109" s="1">
        <v>2306.6</v>
      </c>
      <c r="AY2109" t="s">
        <v>6662</v>
      </c>
      <c r="AZ2109" t="s">
        <v>5275</v>
      </c>
      <c r="BA2109" t="s">
        <v>3119</v>
      </c>
      <c r="BE2109" s="3">
        <v>42369</v>
      </c>
      <c r="BF2109" s="1">
        <v>301000</v>
      </c>
      <c r="BG2109" t="s">
        <v>14219</v>
      </c>
      <c r="BH2109" s="1">
        <v>131.33000000000001</v>
      </c>
      <c r="BI2109" s="1">
        <v>238000</v>
      </c>
      <c r="BJ2109" s="3">
        <v>42369</v>
      </c>
      <c r="BK2109" t="s">
        <v>123</v>
      </c>
      <c r="BL2109" t="str">
        <f>"2015.923204"</f>
        <v>2015.923204</v>
      </c>
      <c r="BM2109" t="s">
        <v>13469</v>
      </c>
      <c r="BO2109" t="s">
        <v>14220</v>
      </c>
      <c r="BS2109">
        <v>30</v>
      </c>
      <c r="BW2109" t="str">
        <f>""</f>
        <v/>
      </c>
      <c r="CH2109" t="str">
        <f>""</f>
        <v/>
      </c>
      <c r="CS2109" t="str">
        <f>""</f>
        <v/>
      </c>
    </row>
    <row r="2110" spans="1:97" x14ac:dyDescent="0.25">
      <c r="A2110" t="s">
        <v>370</v>
      </c>
      <c r="B2110" t="s">
        <v>14221</v>
      </c>
      <c r="C2110" t="s">
        <v>14222</v>
      </c>
      <c r="D2110" t="s">
        <v>14221</v>
      </c>
      <c r="E2110" t="s">
        <v>14223</v>
      </c>
      <c r="F2110" t="s">
        <v>108</v>
      </c>
      <c r="H2110" t="s">
        <v>14224</v>
      </c>
      <c r="I2110" t="s">
        <v>225</v>
      </c>
      <c r="J2110" t="s">
        <v>111</v>
      </c>
      <c r="K2110" t="str">
        <f>"85213"</f>
        <v>85213</v>
      </c>
      <c r="L2110" t="s">
        <v>5291</v>
      </c>
      <c r="M2110" t="s">
        <v>14224</v>
      </c>
      <c r="N2110" t="s">
        <v>225</v>
      </c>
      <c r="O2110" t="s">
        <v>111</v>
      </c>
      <c r="P2110" t="str">
        <f>"85213-1624"</f>
        <v>85213-1624</v>
      </c>
      <c r="Q2110" t="s">
        <v>113</v>
      </c>
      <c r="R2110" t="str">
        <f>"141-15-709"</f>
        <v>141-15-709</v>
      </c>
      <c r="S2110" t="s">
        <v>14225</v>
      </c>
      <c r="U2110">
        <v>2732</v>
      </c>
      <c r="V2110">
        <v>0</v>
      </c>
      <c r="W2110">
        <v>4</v>
      </c>
      <c r="X2110">
        <v>1988</v>
      </c>
      <c r="Z2110">
        <v>2</v>
      </c>
      <c r="AA2110" t="s">
        <v>26</v>
      </c>
      <c r="AB2110">
        <v>0</v>
      </c>
      <c r="AC2110" t="s">
        <v>115</v>
      </c>
      <c r="AD2110">
        <v>3</v>
      </c>
      <c r="AE2110" t="s">
        <v>115</v>
      </c>
      <c r="AF2110">
        <v>0</v>
      </c>
      <c r="AG2110">
        <v>0</v>
      </c>
      <c r="AH2110" t="s">
        <v>116</v>
      </c>
      <c r="AI2110" s="1">
        <v>388554</v>
      </c>
      <c r="AJ2110" s="2">
        <v>1</v>
      </c>
      <c r="AK2110" s="1">
        <v>388554</v>
      </c>
      <c r="AL2110" t="s">
        <v>117</v>
      </c>
      <c r="AM2110" t="s">
        <v>917</v>
      </c>
      <c r="AN2110">
        <v>11059</v>
      </c>
      <c r="AO2110">
        <v>0.25</v>
      </c>
      <c r="AP2110">
        <v>1</v>
      </c>
      <c r="AR2110">
        <v>1</v>
      </c>
      <c r="AS2110" s="1">
        <v>28670</v>
      </c>
      <c r="AT2110" s="1">
        <v>5730</v>
      </c>
      <c r="AU2110" s="1">
        <v>22940</v>
      </c>
      <c r="AV2110">
        <v>80.010000000000005</v>
      </c>
      <c r="AX2110" s="1">
        <v>2443.92</v>
      </c>
      <c r="AY2110" t="s">
        <v>4162</v>
      </c>
      <c r="AZ2110" t="s">
        <v>4163</v>
      </c>
      <c r="BA2110" t="s">
        <v>1524</v>
      </c>
      <c r="BE2110" s="3">
        <v>42460</v>
      </c>
      <c r="BF2110" s="1">
        <v>314900</v>
      </c>
      <c r="BG2110" t="s">
        <v>14226</v>
      </c>
      <c r="BH2110" s="1">
        <v>115.26</v>
      </c>
      <c r="BI2110" s="1">
        <v>356385</v>
      </c>
      <c r="BJ2110" s="3">
        <v>43284</v>
      </c>
      <c r="BK2110" t="s">
        <v>123</v>
      </c>
      <c r="BL2110" t="str">
        <f>"2018.508067"</f>
        <v>2018.508067</v>
      </c>
      <c r="BM2110" t="s">
        <v>248</v>
      </c>
      <c r="BN2110" t="s">
        <v>249</v>
      </c>
      <c r="BO2110" t="s">
        <v>14227</v>
      </c>
      <c r="BP2110" t="s">
        <v>14228</v>
      </c>
      <c r="BR2110" t="s">
        <v>139</v>
      </c>
      <c r="BW2110" t="str">
        <f>""</f>
        <v/>
      </c>
      <c r="CH2110" t="str">
        <f>""</f>
        <v/>
      </c>
      <c r="CS2110" t="str">
        <f>""</f>
        <v/>
      </c>
    </row>
    <row r="2111" spans="1:97" x14ac:dyDescent="0.25">
      <c r="A2111" t="s">
        <v>14229</v>
      </c>
      <c r="B2111" t="s">
        <v>14230</v>
      </c>
      <c r="E2111" t="s">
        <v>14231</v>
      </c>
      <c r="F2111" t="s">
        <v>108</v>
      </c>
      <c r="H2111" t="s">
        <v>14232</v>
      </c>
      <c r="I2111" t="s">
        <v>390</v>
      </c>
      <c r="J2111" t="s">
        <v>111</v>
      </c>
      <c r="K2111" t="str">
        <f>"85048"</f>
        <v>85048</v>
      </c>
      <c r="L2111" t="s">
        <v>9069</v>
      </c>
      <c r="M2111" t="s">
        <v>14232</v>
      </c>
      <c r="N2111" t="s">
        <v>390</v>
      </c>
      <c r="O2111" t="s">
        <v>111</v>
      </c>
      <c r="P2111" t="str">
        <f>"85048-7261"</f>
        <v>85048-7261</v>
      </c>
      <c r="Q2111" t="s">
        <v>113</v>
      </c>
      <c r="R2111" t="str">
        <f>"306-02-038"</f>
        <v>306-02-038</v>
      </c>
      <c r="S2111" t="s">
        <v>14233</v>
      </c>
      <c r="T2111" t="s">
        <v>14099</v>
      </c>
      <c r="U2111">
        <v>1881</v>
      </c>
      <c r="V2111">
        <v>0</v>
      </c>
      <c r="W2111">
        <v>4</v>
      </c>
      <c r="X2111">
        <v>1987</v>
      </c>
      <c r="Z2111">
        <v>2</v>
      </c>
      <c r="AA2111" t="s">
        <v>26</v>
      </c>
      <c r="AB2111">
        <v>0</v>
      </c>
      <c r="AC2111" t="s">
        <v>115</v>
      </c>
      <c r="AD2111">
        <v>2</v>
      </c>
      <c r="AE2111" t="s">
        <v>115</v>
      </c>
      <c r="AF2111">
        <v>0</v>
      </c>
      <c r="AG2111">
        <v>0</v>
      </c>
      <c r="AH2111" t="s">
        <v>116</v>
      </c>
      <c r="AI2111" s="1">
        <v>92723</v>
      </c>
      <c r="AJ2111" s="2">
        <v>0.28000000000000003</v>
      </c>
      <c r="AK2111" s="1">
        <v>334144</v>
      </c>
      <c r="AL2111" t="s">
        <v>117</v>
      </c>
      <c r="AM2111" t="s">
        <v>1315</v>
      </c>
      <c r="AN2111">
        <v>5314</v>
      </c>
      <c r="AO2111">
        <v>0.12</v>
      </c>
      <c r="AP2111">
        <v>1</v>
      </c>
      <c r="AR2111">
        <v>1</v>
      </c>
      <c r="AS2111" s="1">
        <v>23000</v>
      </c>
      <c r="AT2111" s="1">
        <v>4600</v>
      </c>
      <c r="AU2111" s="1">
        <v>18400</v>
      </c>
      <c r="AV2111">
        <v>80</v>
      </c>
      <c r="AX2111" s="1">
        <v>1999.12</v>
      </c>
      <c r="AY2111" t="s">
        <v>928</v>
      </c>
      <c r="AZ2111" t="s">
        <v>929</v>
      </c>
      <c r="BA2111" t="s">
        <v>930</v>
      </c>
      <c r="BE2111" s="3">
        <v>41663</v>
      </c>
      <c r="BF2111" s="1">
        <v>236340</v>
      </c>
      <c r="BG2111" t="s">
        <v>14234</v>
      </c>
      <c r="BH2111" s="1">
        <v>125.65</v>
      </c>
      <c r="BI2111" s="1">
        <v>241421</v>
      </c>
      <c r="BJ2111" s="3">
        <v>41663</v>
      </c>
      <c r="BK2111" t="s">
        <v>123</v>
      </c>
      <c r="BL2111" t="str">
        <f>"2014.50004"</f>
        <v>2014.50004</v>
      </c>
      <c r="BM2111" t="s">
        <v>3453</v>
      </c>
      <c r="BO2111" t="s">
        <v>14235</v>
      </c>
      <c r="BS2111">
        <v>30</v>
      </c>
      <c r="BW2111" t="str">
        <f>""</f>
        <v/>
      </c>
      <c r="CH2111" t="str">
        <f>""</f>
        <v/>
      </c>
      <c r="CS2111" t="str">
        <f>""</f>
        <v/>
      </c>
    </row>
    <row r="2112" spans="1:97" x14ac:dyDescent="0.25">
      <c r="A2112" t="s">
        <v>14236</v>
      </c>
      <c r="B2112" t="s">
        <v>1619</v>
      </c>
      <c r="C2112" t="s">
        <v>2693</v>
      </c>
      <c r="D2112" t="s">
        <v>1619</v>
      </c>
      <c r="E2112" t="s">
        <v>14237</v>
      </c>
      <c r="F2112" t="s">
        <v>108</v>
      </c>
      <c r="H2112" t="s">
        <v>14238</v>
      </c>
      <c r="I2112" t="s">
        <v>110</v>
      </c>
      <c r="J2112" t="s">
        <v>111</v>
      </c>
      <c r="K2112" t="str">
        <f>"85248"</f>
        <v>85248</v>
      </c>
      <c r="L2112" t="s">
        <v>7607</v>
      </c>
      <c r="M2112" t="s">
        <v>14238</v>
      </c>
      <c r="N2112" t="s">
        <v>110</v>
      </c>
      <c r="O2112" t="s">
        <v>111</v>
      </c>
      <c r="P2112" t="str">
        <f>"85248-4123"</f>
        <v>85248-4123</v>
      </c>
      <c r="Q2112" t="s">
        <v>113</v>
      </c>
      <c r="R2112" t="str">
        <f>"303-37-223"</f>
        <v>303-37-223</v>
      </c>
      <c r="S2112" t="s">
        <v>14239</v>
      </c>
      <c r="T2112" t="s">
        <v>14239</v>
      </c>
      <c r="U2112">
        <v>2277</v>
      </c>
      <c r="V2112">
        <v>0</v>
      </c>
      <c r="W2112">
        <v>4</v>
      </c>
      <c r="X2112">
        <v>1994</v>
      </c>
      <c r="Z2112">
        <v>2</v>
      </c>
      <c r="AB2112">
        <v>0</v>
      </c>
      <c r="AC2112" t="s">
        <v>115</v>
      </c>
      <c r="AD2112">
        <v>2</v>
      </c>
      <c r="AE2112" t="s">
        <v>115</v>
      </c>
      <c r="AF2112">
        <v>0</v>
      </c>
      <c r="AG2112">
        <v>0</v>
      </c>
      <c r="AH2112" t="s">
        <v>116</v>
      </c>
      <c r="AI2112" s="1">
        <v>76448</v>
      </c>
      <c r="AJ2112" s="2">
        <v>0.2</v>
      </c>
      <c r="AK2112" s="1">
        <v>382738</v>
      </c>
      <c r="AL2112" t="s">
        <v>117</v>
      </c>
      <c r="AM2112" t="s">
        <v>118</v>
      </c>
      <c r="AN2112">
        <v>5310</v>
      </c>
      <c r="AO2112">
        <v>0.12</v>
      </c>
      <c r="AP2112">
        <v>1</v>
      </c>
      <c r="AR2112">
        <v>1</v>
      </c>
      <c r="AS2112" s="1">
        <v>26580</v>
      </c>
      <c r="AT2112" s="1">
        <v>5310</v>
      </c>
      <c r="AU2112" s="1">
        <v>21270</v>
      </c>
      <c r="AV2112">
        <v>80.02</v>
      </c>
      <c r="AX2112" s="1">
        <v>2323.8000000000002</v>
      </c>
      <c r="AY2112" t="s">
        <v>1881</v>
      </c>
      <c r="AZ2112" t="s">
        <v>1882</v>
      </c>
      <c r="BA2112" t="s">
        <v>121</v>
      </c>
      <c r="BE2112" s="3">
        <v>41653</v>
      </c>
      <c r="BF2112" s="1">
        <v>305000</v>
      </c>
      <c r="BG2112" t="s">
        <v>14240</v>
      </c>
      <c r="BH2112" s="1">
        <v>133.94999999999999</v>
      </c>
      <c r="BI2112" s="1">
        <v>306290</v>
      </c>
      <c r="BJ2112" s="3">
        <v>42713</v>
      </c>
      <c r="BK2112" t="s">
        <v>123</v>
      </c>
      <c r="BL2112" t="str">
        <f>"2016.908026"</f>
        <v>2016.908026</v>
      </c>
      <c r="BM2112" t="s">
        <v>14241</v>
      </c>
      <c r="BO2112" t="s">
        <v>14242</v>
      </c>
      <c r="BS2112">
        <v>30</v>
      </c>
      <c r="BW2112" t="str">
        <f>""</f>
        <v/>
      </c>
      <c r="CH2112" t="str">
        <f>""</f>
        <v/>
      </c>
      <c r="CS2112" t="str">
        <f>""</f>
        <v/>
      </c>
    </row>
    <row r="2113" spans="1:97" x14ac:dyDescent="0.25">
      <c r="A2113" t="s">
        <v>3613</v>
      </c>
      <c r="B2113" t="s">
        <v>14243</v>
      </c>
      <c r="E2113" t="s">
        <v>14244</v>
      </c>
      <c r="F2113" t="s">
        <v>108</v>
      </c>
      <c r="H2113" t="s">
        <v>14245</v>
      </c>
      <c r="I2113" t="s">
        <v>390</v>
      </c>
      <c r="J2113" t="s">
        <v>111</v>
      </c>
      <c r="K2113" t="str">
        <f>"85023"</f>
        <v>85023</v>
      </c>
      <c r="L2113" t="s">
        <v>5138</v>
      </c>
      <c r="M2113" t="s">
        <v>14245</v>
      </c>
      <c r="N2113" t="s">
        <v>390</v>
      </c>
      <c r="O2113" t="s">
        <v>111</v>
      </c>
      <c r="P2113" t="str">
        <f>"85023-1461"</f>
        <v>85023-1461</v>
      </c>
      <c r="Q2113" t="s">
        <v>113</v>
      </c>
      <c r="R2113" t="str">
        <f>"208-03-338"</f>
        <v>208-03-338</v>
      </c>
      <c r="S2113" t="s">
        <v>14246</v>
      </c>
      <c r="T2113" t="s">
        <v>14247</v>
      </c>
      <c r="U2113">
        <v>1539</v>
      </c>
      <c r="V2113">
        <v>0</v>
      </c>
      <c r="W2113">
        <v>3</v>
      </c>
      <c r="X2113">
        <v>1994</v>
      </c>
      <c r="Z2113">
        <v>1</v>
      </c>
      <c r="AB2113">
        <v>0</v>
      </c>
      <c r="AC2113" t="s">
        <v>115</v>
      </c>
      <c r="AD2113">
        <v>2</v>
      </c>
      <c r="AE2113" t="s">
        <v>115</v>
      </c>
      <c r="AF2113">
        <v>0</v>
      </c>
      <c r="AG2113">
        <v>0</v>
      </c>
      <c r="AH2113" t="s">
        <v>116</v>
      </c>
      <c r="AI2113" s="1">
        <v>50802</v>
      </c>
      <c r="AJ2113" s="2">
        <v>0.2</v>
      </c>
      <c r="AK2113" s="1">
        <v>260202</v>
      </c>
      <c r="AL2113" t="s">
        <v>117</v>
      </c>
      <c r="AM2113" t="s">
        <v>191</v>
      </c>
      <c r="AN2113">
        <v>5646</v>
      </c>
      <c r="AO2113">
        <v>0.13</v>
      </c>
      <c r="AP2113">
        <v>1</v>
      </c>
      <c r="AR2113">
        <v>1</v>
      </c>
      <c r="AS2113" s="1">
        <v>19870</v>
      </c>
      <c r="AT2113" s="1">
        <v>3970</v>
      </c>
      <c r="AU2113" s="1">
        <v>15900</v>
      </c>
      <c r="AV2113">
        <v>80.02</v>
      </c>
      <c r="AX2113" s="1">
        <v>1325.4</v>
      </c>
      <c r="AY2113" t="s">
        <v>2356</v>
      </c>
      <c r="AZ2113" t="s">
        <v>2357</v>
      </c>
      <c r="BA2113" t="s">
        <v>1462</v>
      </c>
      <c r="BE2113" s="3">
        <v>42410</v>
      </c>
      <c r="BF2113" s="1">
        <v>205000</v>
      </c>
      <c r="BG2113" t="s">
        <v>14248</v>
      </c>
      <c r="BH2113" s="1">
        <v>133.19999999999999</v>
      </c>
      <c r="BI2113" s="1">
        <v>209400</v>
      </c>
      <c r="BJ2113" s="3">
        <v>42410</v>
      </c>
      <c r="BK2113" t="s">
        <v>123</v>
      </c>
      <c r="BL2113" t="str">
        <f>"2016.87678"</f>
        <v>2016.87678</v>
      </c>
      <c r="BM2113" t="s">
        <v>124</v>
      </c>
      <c r="BO2113" t="s">
        <v>14249</v>
      </c>
      <c r="BS2113">
        <v>30</v>
      </c>
      <c r="BW2113" t="str">
        <f>""</f>
        <v/>
      </c>
      <c r="CH2113" t="str">
        <f>""</f>
        <v/>
      </c>
      <c r="CS2113" t="str">
        <f>""</f>
        <v/>
      </c>
    </row>
    <row r="2114" spans="1:97" x14ac:dyDescent="0.25">
      <c r="A2114" t="s">
        <v>265</v>
      </c>
      <c r="B2114" t="s">
        <v>14250</v>
      </c>
      <c r="E2114" t="s">
        <v>14251</v>
      </c>
      <c r="F2114" t="s">
        <v>108</v>
      </c>
      <c r="H2114" t="s">
        <v>14252</v>
      </c>
      <c r="I2114" t="s">
        <v>390</v>
      </c>
      <c r="J2114" t="s">
        <v>111</v>
      </c>
      <c r="K2114" t="str">
        <f>"85083"</f>
        <v>85083</v>
      </c>
      <c r="L2114" t="s">
        <v>5743</v>
      </c>
      <c r="M2114" t="s">
        <v>14252</v>
      </c>
      <c r="N2114" t="s">
        <v>390</v>
      </c>
      <c r="O2114" t="s">
        <v>111</v>
      </c>
      <c r="P2114" t="str">
        <f>"85083-7438"</f>
        <v>85083-7438</v>
      </c>
      <c r="Q2114" t="s">
        <v>113</v>
      </c>
      <c r="R2114" t="str">
        <f>"201-38-083"</f>
        <v>201-38-083</v>
      </c>
      <c r="S2114" t="s">
        <v>14253</v>
      </c>
      <c r="U2114">
        <v>3090</v>
      </c>
      <c r="V2114">
        <v>0</v>
      </c>
      <c r="W2114">
        <v>5</v>
      </c>
      <c r="X2114">
        <v>2005</v>
      </c>
      <c r="Z2114">
        <v>1</v>
      </c>
      <c r="AA2114" t="s">
        <v>26</v>
      </c>
      <c r="AB2114">
        <v>0</v>
      </c>
      <c r="AC2114" t="s">
        <v>115</v>
      </c>
      <c r="AD2114">
        <v>3</v>
      </c>
      <c r="AE2114" t="s">
        <v>115</v>
      </c>
      <c r="AF2114">
        <v>0</v>
      </c>
      <c r="AG2114">
        <v>0</v>
      </c>
      <c r="AH2114" t="s">
        <v>116</v>
      </c>
      <c r="AI2114" s="1">
        <v>71830</v>
      </c>
      <c r="AJ2114" s="2">
        <v>0.14000000000000001</v>
      </c>
      <c r="AK2114" s="1">
        <v>515070</v>
      </c>
      <c r="AL2114" t="s">
        <v>117</v>
      </c>
      <c r="AM2114" t="s">
        <v>171</v>
      </c>
      <c r="AN2114">
        <v>16183</v>
      </c>
      <c r="AO2114">
        <v>0.37</v>
      </c>
      <c r="AR2114">
        <v>1</v>
      </c>
      <c r="AS2114" s="1">
        <v>39380</v>
      </c>
      <c r="AT2114" s="1">
        <v>7870</v>
      </c>
      <c r="AU2114" s="1">
        <v>31510</v>
      </c>
      <c r="AV2114">
        <v>80.02</v>
      </c>
      <c r="AX2114" s="1">
        <v>4377.7</v>
      </c>
      <c r="AY2114" t="s">
        <v>5125</v>
      </c>
      <c r="AZ2114" t="s">
        <v>3049</v>
      </c>
      <c r="BA2114" t="s">
        <v>1386</v>
      </c>
      <c r="BE2114" s="3">
        <v>41880</v>
      </c>
      <c r="BF2114" s="1">
        <v>450000</v>
      </c>
      <c r="BG2114" t="s">
        <v>14254</v>
      </c>
      <c r="BH2114" s="1">
        <v>145.63</v>
      </c>
      <c r="BI2114" s="1">
        <v>443240</v>
      </c>
      <c r="BJ2114" s="3">
        <v>42139</v>
      </c>
      <c r="BK2114" t="s">
        <v>123</v>
      </c>
      <c r="BL2114" t="str">
        <f>"2015.344564"</f>
        <v>2015.344564</v>
      </c>
      <c r="BM2114" t="s">
        <v>1791</v>
      </c>
      <c r="BO2114" t="s">
        <v>14255</v>
      </c>
      <c r="BS2114">
        <v>30</v>
      </c>
      <c r="BW2114" t="str">
        <f>""</f>
        <v/>
      </c>
      <c r="CH2114" t="str">
        <f>""</f>
        <v/>
      </c>
      <c r="CS2114" t="str">
        <f>""</f>
        <v/>
      </c>
    </row>
    <row r="2115" spans="1:97" x14ac:dyDescent="0.25">
      <c r="A2115" t="s">
        <v>257</v>
      </c>
      <c r="B2115" t="s">
        <v>14256</v>
      </c>
      <c r="C2115" t="s">
        <v>1692</v>
      </c>
      <c r="D2115" t="s">
        <v>14256</v>
      </c>
      <c r="E2115" t="s">
        <v>14257</v>
      </c>
      <c r="F2115" t="s">
        <v>108</v>
      </c>
      <c r="H2115" t="s">
        <v>14258</v>
      </c>
      <c r="I2115" t="s">
        <v>110</v>
      </c>
      <c r="J2115" t="s">
        <v>111</v>
      </c>
      <c r="K2115" t="str">
        <f>"85286"</f>
        <v>85286</v>
      </c>
      <c r="L2115" t="s">
        <v>5743</v>
      </c>
      <c r="M2115" t="s">
        <v>14258</v>
      </c>
      <c r="N2115" t="s">
        <v>110</v>
      </c>
      <c r="O2115" t="s">
        <v>111</v>
      </c>
      <c r="P2115" t="str">
        <f>"85286-2315"</f>
        <v>85286-2315</v>
      </c>
      <c r="Q2115" t="s">
        <v>113</v>
      </c>
      <c r="R2115" t="str">
        <f>"303-43-437"</f>
        <v>303-43-437</v>
      </c>
      <c r="S2115" t="s">
        <v>11430</v>
      </c>
      <c r="T2115" t="s">
        <v>11431</v>
      </c>
      <c r="U2115">
        <v>2922</v>
      </c>
      <c r="V2115">
        <v>0</v>
      </c>
      <c r="W2115">
        <v>4</v>
      </c>
      <c r="X2115">
        <v>2005</v>
      </c>
      <c r="Z2115">
        <v>2</v>
      </c>
      <c r="AB2115">
        <v>0</v>
      </c>
      <c r="AC2115" t="s">
        <v>115</v>
      </c>
      <c r="AD2115">
        <v>3</v>
      </c>
      <c r="AE2115" t="s">
        <v>115</v>
      </c>
      <c r="AF2115">
        <v>0</v>
      </c>
      <c r="AG2115">
        <v>0</v>
      </c>
      <c r="AH2115" t="s">
        <v>116</v>
      </c>
      <c r="AI2115" s="1">
        <v>13179</v>
      </c>
      <c r="AJ2115" s="2">
        <v>0.03</v>
      </c>
      <c r="AK2115" s="1">
        <v>425862</v>
      </c>
      <c r="AL2115" t="s">
        <v>117</v>
      </c>
      <c r="AM2115" t="s">
        <v>118</v>
      </c>
      <c r="AN2115">
        <v>7320</v>
      </c>
      <c r="AO2115">
        <v>0.17</v>
      </c>
      <c r="AR2115">
        <v>1</v>
      </c>
      <c r="AS2115" s="1">
        <v>34710</v>
      </c>
      <c r="AT2115" s="1">
        <v>6940</v>
      </c>
      <c r="AU2115" s="1">
        <v>27770</v>
      </c>
      <c r="AV2115">
        <v>80.010000000000005</v>
      </c>
      <c r="AX2115" s="1">
        <v>3556.12</v>
      </c>
      <c r="AY2115" t="s">
        <v>737</v>
      </c>
      <c r="AZ2115" t="s">
        <v>120</v>
      </c>
      <c r="BA2115" t="s">
        <v>303</v>
      </c>
      <c r="BE2115" s="3">
        <v>42303</v>
      </c>
      <c r="BF2115" s="1">
        <v>399500</v>
      </c>
      <c r="BG2115" t="s">
        <v>14259</v>
      </c>
      <c r="BH2115" s="1">
        <v>136.72</v>
      </c>
      <c r="BI2115" s="1">
        <v>412683</v>
      </c>
      <c r="BJ2115" s="3">
        <v>42303</v>
      </c>
      <c r="BK2115" t="s">
        <v>123</v>
      </c>
      <c r="BL2115" t="str">
        <f>"2015.768526"</f>
        <v>2015.768526</v>
      </c>
      <c r="BM2115" t="s">
        <v>150</v>
      </c>
      <c r="BO2115" t="s">
        <v>14260</v>
      </c>
      <c r="BS2115">
        <v>30</v>
      </c>
      <c r="BW2115" t="str">
        <f>""</f>
        <v/>
      </c>
      <c r="CH2115" t="str">
        <f>""</f>
        <v/>
      </c>
      <c r="CS2115" t="str">
        <f>""</f>
        <v/>
      </c>
    </row>
    <row r="2116" spans="1:97" x14ac:dyDescent="0.25">
      <c r="A2116" t="s">
        <v>1552</v>
      </c>
      <c r="B2116" t="s">
        <v>364</v>
      </c>
      <c r="C2116" t="s">
        <v>2930</v>
      </c>
      <c r="D2116" t="s">
        <v>364</v>
      </c>
      <c r="E2116" t="s">
        <v>14261</v>
      </c>
      <c r="F2116" t="s">
        <v>108</v>
      </c>
      <c r="H2116" t="s">
        <v>14262</v>
      </c>
      <c r="I2116" t="s">
        <v>203</v>
      </c>
      <c r="J2116" t="s">
        <v>111</v>
      </c>
      <c r="K2116" t="str">
        <f>"85296"</f>
        <v>85296</v>
      </c>
      <c r="L2116" t="s">
        <v>5456</v>
      </c>
      <c r="M2116" t="s">
        <v>14262</v>
      </c>
      <c r="N2116" t="s">
        <v>203</v>
      </c>
      <c r="O2116" t="s">
        <v>111</v>
      </c>
      <c r="P2116" t="str">
        <f>"85296-4189"</f>
        <v>85296-4189</v>
      </c>
      <c r="Q2116" t="s">
        <v>113</v>
      </c>
      <c r="R2116" t="str">
        <f>"304-24-797"</f>
        <v>304-24-797</v>
      </c>
      <c r="S2116" t="s">
        <v>14263</v>
      </c>
      <c r="T2116" t="s">
        <v>14263</v>
      </c>
      <c r="U2116">
        <v>3023</v>
      </c>
      <c r="V2116">
        <v>0</v>
      </c>
      <c r="W2116">
        <v>4</v>
      </c>
      <c r="X2116">
        <v>1998</v>
      </c>
      <c r="Z2116">
        <v>2</v>
      </c>
      <c r="AB2116">
        <v>0</v>
      </c>
      <c r="AC2116" t="s">
        <v>115</v>
      </c>
      <c r="AD2116">
        <v>3</v>
      </c>
      <c r="AE2116" t="s">
        <v>115</v>
      </c>
      <c r="AF2116">
        <v>0</v>
      </c>
      <c r="AG2116">
        <v>0</v>
      </c>
      <c r="AH2116" t="s">
        <v>116</v>
      </c>
      <c r="AI2116" s="1">
        <v>94923</v>
      </c>
      <c r="AJ2116" s="2">
        <v>0.22</v>
      </c>
      <c r="AK2116" s="1">
        <v>430335</v>
      </c>
      <c r="AL2116" t="s">
        <v>117</v>
      </c>
      <c r="AM2116" t="s">
        <v>393</v>
      </c>
      <c r="AN2116">
        <v>7148</v>
      </c>
      <c r="AO2116">
        <v>0.16</v>
      </c>
      <c r="AP2116">
        <v>1</v>
      </c>
      <c r="AR2116">
        <v>1</v>
      </c>
      <c r="AS2116" s="1">
        <v>29250</v>
      </c>
      <c r="AT2116" s="1">
        <v>5850</v>
      </c>
      <c r="AU2116" s="1">
        <v>23400</v>
      </c>
      <c r="AV2116">
        <v>80</v>
      </c>
      <c r="AX2116" s="1">
        <v>2157.44</v>
      </c>
      <c r="AY2116" t="s">
        <v>7046</v>
      </c>
      <c r="AZ2116" t="s">
        <v>207</v>
      </c>
      <c r="BA2116" t="s">
        <v>208</v>
      </c>
      <c r="BE2116" s="3">
        <v>41806</v>
      </c>
      <c r="BF2116" s="1">
        <v>334500</v>
      </c>
      <c r="BG2116" t="s">
        <v>14264</v>
      </c>
      <c r="BH2116" s="1">
        <v>110.65</v>
      </c>
      <c r="BI2116" s="1">
        <v>335412</v>
      </c>
      <c r="BJ2116" s="3">
        <v>42061</v>
      </c>
      <c r="BK2116" t="s">
        <v>123</v>
      </c>
      <c r="BL2116" t="str">
        <f>"2015.124075"</f>
        <v>2015.124075</v>
      </c>
      <c r="BM2116" t="s">
        <v>750</v>
      </c>
      <c r="BO2116" t="s">
        <v>14265</v>
      </c>
      <c r="BS2116">
        <v>30</v>
      </c>
      <c r="BW2116" t="str">
        <f>""</f>
        <v/>
      </c>
      <c r="CH2116" t="str">
        <f>""</f>
        <v/>
      </c>
      <c r="CS2116" t="str">
        <f>""</f>
        <v/>
      </c>
    </row>
    <row r="2117" spans="1:97" x14ac:dyDescent="0.25">
      <c r="A2117" t="s">
        <v>370</v>
      </c>
      <c r="B2117" t="s">
        <v>14266</v>
      </c>
      <c r="C2117" t="s">
        <v>908</v>
      </c>
      <c r="D2117" t="s">
        <v>14266</v>
      </c>
      <c r="E2117" t="s">
        <v>14267</v>
      </c>
      <c r="F2117" t="s">
        <v>282</v>
      </c>
      <c r="H2117" t="s">
        <v>14268</v>
      </c>
      <c r="I2117" t="s">
        <v>1936</v>
      </c>
      <c r="J2117" t="s">
        <v>111</v>
      </c>
      <c r="K2117" t="str">
        <f>"85250"</f>
        <v>85250</v>
      </c>
      <c r="L2117" t="s">
        <v>6003</v>
      </c>
      <c r="M2117" t="s">
        <v>14269</v>
      </c>
      <c r="N2117" t="s">
        <v>14270</v>
      </c>
      <c r="O2117" t="s">
        <v>10849</v>
      </c>
      <c r="P2117" t="str">
        <f>"79906-4005"</f>
        <v>79906-4005</v>
      </c>
      <c r="Q2117" t="s">
        <v>113</v>
      </c>
      <c r="R2117" t="str">
        <f>"174-12-460"</f>
        <v>174-12-460</v>
      </c>
      <c r="S2117" t="s">
        <v>14271</v>
      </c>
      <c r="T2117" t="s">
        <v>14272</v>
      </c>
      <c r="U2117">
        <v>2060</v>
      </c>
      <c r="V2117">
        <v>0</v>
      </c>
      <c r="W2117">
        <v>4</v>
      </c>
      <c r="X2117">
        <v>1987</v>
      </c>
      <c r="Z2117">
        <v>2</v>
      </c>
      <c r="AA2117" t="s">
        <v>26</v>
      </c>
      <c r="AB2117">
        <v>0</v>
      </c>
      <c r="AC2117" t="s">
        <v>115</v>
      </c>
      <c r="AD2117">
        <v>2</v>
      </c>
      <c r="AE2117" t="s">
        <v>115</v>
      </c>
      <c r="AF2117">
        <v>0</v>
      </c>
      <c r="AG2117">
        <v>0</v>
      </c>
      <c r="AH2117" t="s">
        <v>116</v>
      </c>
      <c r="AI2117" s="1">
        <v>150446</v>
      </c>
      <c r="AJ2117" s="2">
        <v>0.34</v>
      </c>
      <c r="AK2117" s="1">
        <v>446146</v>
      </c>
      <c r="AL2117" t="s">
        <v>117</v>
      </c>
      <c r="AM2117" t="s">
        <v>3345</v>
      </c>
      <c r="AN2117">
        <v>7750</v>
      </c>
      <c r="AO2117">
        <v>0.18</v>
      </c>
      <c r="AP2117">
        <v>1</v>
      </c>
      <c r="AR2117">
        <v>1</v>
      </c>
      <c r="AS2117" s="1">
        <v>36250</v>
      </c>
      <c r="AT2117" s="1">
        <v>7250</v>
      </c>
      <c r="AU2117" s="1">
        <v>29000</v>
      </c>
      <c r="AV2117">
        <v>80</v>
      </c>
      <c r="AX2117" s="1">
        <v>2382.7600000000002</v>
      </c>
      <c r="AY2117" t="s">
        <v>6974</v>
      </c>
      <c r="AZ2117" t="s">
        <v>6975</v>
      </c>
      <c r="BA2117" t="s">
        <v>6976</v>
      </c>
      <c r="BE2117" s="3">
        <v>41817</v>
      </c>
      <c r="BF2117" s="1">
        <v>338000</v>
      </c>
      <c r="BG2117" t="s">
        <v>14273</v>
      </c>
      <c r="BH2117" s="1">
        <v>164.08</v>
      </c>
      <c r="BI2117" s="1">
        <v>295700</v>
      </c>
      <c r="BJ2117" s="3">
        <v>43245</v>
      </c>
      <c r="BK2117" t="s">
        <v>123</v>
      </c>
      <c r="BL2117" t="str">
        <f>"2018.401039"</f>
        <v>2018.401039</v>
      </c>
      <c r="BM2117" t="s">
        <v>7956</v>
      </c>
      <c r="BN2117" t="s">
        <v>5960</v>
      </c>
      <c r="BO2117" t="s">
        <v>14274</v>
      </c>
      <c r="BP2117" t="s">
        <v>14275</v>
      </c>
      <c r="BR2117" t="s">
        <v>139</v>
      </c>
      <c r="BW2117" t="str">
        <f>""</f>
        <v/>
      </c>
      <c r="CH2117" t="str">
        <f>""</f>
        <v/>
      </c>
      <c r="CS2117" t="str">
        <f>""</f>
        <v/>
      </c>
    </row>
    <row r="2118" spans="1:97" x14ac:dyDescent="0.25">
      <c r="A2118" t="s">
        <v>1295</v>
      </c>
      <c r="B2118" t="s">
        <v>2894</v>
      </c>
      <c r="E2118" t="s">
        <v>14276</v>
      </c>
      <c r="F2118" t="s">
        <v>108</v>
      </c>
      <c r="H2118" t="s">
        <v>14277</v>
      </c>
      <c r="I2118" t="s">
        <v>203</v>
      </c>
      <c r="J2118" t="s">
        <v>111</v>
      </c>
      <c r="K2118" t="str">
        <f>"85295"</f>
        <v>85295</v>
      </c>
      <c r="L2118" t="s">
        <v>7125</v>
      </c>
      <c r="M2118" t="s">
        <v>14277</v>
      </c>
      <c r="N2118" t="s">
        <v>203</v>
      </c>
      <c r="O2118" t="s">
        <v>111</v>
      </c>
      <c r="P2118" t="str">
        <f>"85295-2311"</f>
        <v>85295-2311</v>
      </c>
      <c r="Q2118" t="s">
        <v>113</v>
      </c>
      <c r="R2118" t="str">
        <f>"304-47-458"</f>
        <v>304-47-458</v>
      </c>
      <c r="S2118" t="s">
        <v>8890</v>
      </c>
      <c r="T2118" t="s">
        <v>8890</v>
      </c>
      <c r="U2118">
        <v>1825</v>
      </c>
      <c r="V2118">
        <v>0</v>
      </c>
      <c r="W2118">
        <v>3</v>
      </c>
      <c r="X2118">
        <v>2008</v>
      </c>
      <c r="Z2118">
        <v>1</v>
      </c>
      <c r="AB2118">
        <v>0</v>
      </c>
      <c r="AC2118" t="s">
        <v>115</v>
      </c>
      <c r="AD2118">
        <v>2</v>
      </c>
      <c r="AE2118" t="s">
        <v>115</v>
      </c>
      <c r="AF2118">
        <v>0</v>
      </c>
      <c r="AG2118">
        <v>0</v>
      </c>
      <c r="AH2118" t="s">
        <v>116</v>
      </c>
      <c r="AI2118" s="1">
        <v>57935</v>
      </c>
      <c r="AJ2118" s="2">
        <v>0.17</v>
      </c>
      <c r="AK2118" s="1">
        <v>349062</v>
      </c>
      <c r="AL2118" t="s">
        <v>117</v>
      </c>
      <c r="AM2118" t="s">
        <v>191</v>
      </c>
      <c r="AN2118">
        <v>6461</v>
      </c>
      <c r="AO2118">
        <v>0.15</v>
      </c>
      <c r="AR2118">
        <v>1</v>
      </c>
      <c r="AS2118" s="1">
        <v>23810</v>
      </c>
      <c r="AT2118" s="1">
        <v>4760</v>
      </c>
      <c r="AU2118" s="1">
        <v>19050</v>
      </c>
      <c r="AV2118">
        <v>80.010000000000005</v>
      </c>
      <c r="AX2118" s="1">
        <v>2145.12</v>
      </c>
      <c r="AY2118" t="s">
        <v>5087</v>
      </c>
      <c r="AZ2118" t="s">
        <v>5087</v>
      </c>
      <c r="BA2118" t="s">
        <v>473</v>
      </c>
      <c r="BB2118" s="3">
        <v>42612</v>
      </c>
      <c r="BD2118" t="s">
        <v>480</v>
      </c>
      <c r="BE2118" s="3">
        <v>42398</v>
      </c>
      <c r="BF2118" s="1">
        <v>285000</v>
      </c>
      <c r="BG2118" t="s">
        <v>14278</v>
      </c>
      <c r="BH2118" s="1">
        <v>156.16</v>
      </c>
      <c r="BI2118" s="1">
        <v>291127</v>
      </c>
      <c r="BJ2118" s="3">
        <v>42398</v>
      </c>
      <c r="BK2118" t="s">
        <v>123</v>
      </c>
      <c r="BL2118" t="str">
        <f>"2016.60375"</f>
        <v>2016.60375</v>
      </c>
      <c r="BM2118" t="s">
        <v>5747</v>
      </c>
      <c r="BO2118" t="s">
        <v>14279</v>
      </c>
      <c r="BS2118">
        <v>30</v>
      </c>
      <c r="BW2118" t="str">
        <f>""</f>
        <v/>
      </c>
      <c r="CH2118" t="str">
        <f>""</f>
        <v/>
      </c>
      <c r="CS2118" t="str">
        <f>""</f>
        <v/>
      </c>
    </row>
    <row r="2119" spans="1:97" x14ac:dyDescent="0.25">
      <c r="A2119" t="s">
        <v>325</v>
      </c>
      <c r="B2119" t="s">
        <v>14280</v>
      </c>
      <c r="C2119" t="s">
        <v>349</v>
      </c>
      <c r="D2119" t="s">
        <v>14280</v>
      </c>
      <c r="E2119" t="s">
        <v>14281</v>
      </c>
      <c r="F2119" t="s">
        <v>108</v>
      </c>
      <c r="H2119" t="s">
        <v>14282</v>
      </c>
      <c r="I2119" t="s">
        <v>1936</v>
      </c>
      <c r="J2119" t="s">
        <v>111</v>
      </c>
      <c r="K2119" t="str">
        <f>"85258"</f>
        <v>85258</v>
      </c>
      <c r="L2119" t="s">
        <v>5464</v>
      </c>
      <c r="M2119" t="s">
        <v>14282</v>
      </c>
      <c r="N2119" t="s">
        <v>1936</v>
      </c>
      <c r="O2119" t="s">
        <v>111</v>
      </c>
      <c r="P2119" t="str">
        <f>"85258-1719"</f>
        <v>85258-1719</v>
      </c>
      <c r="Q2119" t="s">
        <v>113</v>
      </c>
      <c r="R2119" t="str">
        <f>"175-58-626"</f>
        <v>175-58-626</v>
      </c>
      <c r="S2119" t="s">
        <v>14283</v>
      </c>
      <c r="T2119" t="s">
        <v>5760</v>
      </c>
      <c r="U2119">
        <v>2540</v>
      </c>
      <c r="V2119">
        <v>0</v>
      </c>
      <c r="W2119">
        <v>3</v>
      </c>
      <c r="X2119">
        <v>1981</v>
      </c>
      <c r="Z2119">
        <v>1</v>
      </c>
      <c r="AA2119" t="s">
        <v>26</v>
      </c>
      <c r="AB2119">
        <v>0</v>
      </c>
      <c r="AC2119" t="s">
        <v>115</v>
      </c>
      <c r="AD2119">
        <v>2</v>
      </c>
      <c r="AE2119" t="s">
        <v>115</v>
      </c>
      <c r="AF2119">
        <v>0</v>
      </c>
      <c r="AG2119">
        <v>0</v>
      </c>
      <c r="AH2119" t="s">
        <v>116</v>
      </c>
      <c r="AI2119" s="1">
        <v>162396</v>
      </c>
      <c r="AJ2119" s="2">
        <v>0.25</v>
      </c>
      <c r="AK2119" s="1">
        <v>660396</v>
      </c>
      <c r="AL2119" t="s">
        <v>117</v>
      </c>
      <c r="AM2119" t="s">
        <v>393</v>
      </c>
      <c r="AN2119">
        <v>10341</v>
      </c>
      <c r="AO2119">
        <v>0.24</v>
      </c>
      <c r="AP2119">
        <v>1</v>
      </c>
      <c r="AR2119">
        <v>1</v>
      </c>
      <c r="AS2119" s="1">
        <v>48770</v>
      </c>
      <c r="AT2119" s="1">
        <v>9750</v>
      </c>
      <c r="AU2119" s="1">
        <v>39020</v>
      </c>
      <c r="AV2119">
        <v>80.010000000000005</v>
      </c>
      <c r="AX2119" s="1">
        <v>3199.12</v>
      </c>
      <c r="AY2119" t="s">
        <v>14284</v>
      </c>
      <c r="AZ2119" t="s">
        <v>8949</v>
      </c>
      <c r="BA2119" t="s">
        <v>7868</v>
      </c>
      <c r="BE2119" s="3">
        <v>41894</v>
      </c>
      <c r="BF2119" s="1">
        <v>525000</v>
      </c>
      <c r="BG2119" t="s">
        <v>14285</v>
      </c>
      <c r="BH2119" s="1">
        <v>206.69</v>
      </c>
      <c r="BI2119" s="1">
        <v>498000</v>
      </c>
      <c r="BJ2119" s="3">
        <v>41894</v>
      </c>
      <c r="BK2119" t="s">
        <v>123</v>
      </c>
      <c r="BL2119" t="str">
        <f>"2014.604745"</f>
        <v>2014.604745</v>
      </c>
      <c r="BM2119" t="s">
        <v>135</v>
      </c>
      <c r="BO2119" t="s">
        <v>14286</v>
      </c>
      <c r="BS2119">
        <v>30</v>
      </c>
      <c r="BW2119" t="str">
        <f>""</f>
        <v/>
      </c>
      <c r="CH2119" t="str">
        <f>""</f>
        <v/>
      </c>
      <c r="CS2119" t="str">
        <f>""</f>
        <v/>
      </c>
    </row>
    <row r="2120" spans="1:97" x14ac:dyDescent="0.25">
      <c r="A2120" t="s">
        <v>3089</v>
      </c>
      <c r="B2120" t="s">
        <v>1697</v>
      </c>
      <c r="C2120" t="s">
        <v>4386</v>
      </c>
      <c r="D2120" t="s">
        <v>1697</v>
      </c>
      <c r="E2120" t="s">
        <v>14287</v>
      </c>
      <c r="F2120" t="s">
        <v>108</v>
      </c>
      <c r="H2120" t="s">
        <v>14288</v>
      </c>
      <c r="I2120" t="s">
        <v>110</v>
      </c>
      <c r="J2120" t="s">
        <v>111</v>
      </c>
      <c r="K2120" t="str">
        <f>"85286"</f>
        <v>85286</v>
      </c>
      <c r="L2120" t="s">
        <v>3758</v>
      </c>
      <c r="M2120" t="s">
        <v>14288</v>
      </c>
      <c r="N2120" t="s">
        <v>110</v>
      </c>
      <c r="O2120" t="s">
        <v>111</v>
      </c>
      <c r="P2120" t="str">
        <f>"85286-2782"</f>
        <v>85286-2782</v>
      </c>
      <c r="Q2120" t="s">
        <v>113</v>
      </c>
      <c r="R2120" t="str">
        <f>"303-43-565"</f>
        <v>303-43-565</v>
      </c>
      <c r="S2120" t="s">
        <v>14289</v>
      </c>
      <c r="T2120" t="s">
        <v>14289</v>
      </c>
      <c r="U2120">
        <v>2767</v>
      </c>
      <c r="V2120">
        <v>0</v>
      </c>
      <c r="W2120">
        <v>4</v>
      </c>
      <c r="X2120">
        <v>2004</v>
      </c>
      <c r="Z2120">
        <v>2</v>
      </c>
      <c r="AA2120" t="s">
        <v>26</v>
      </c>
      <c r="AB2120">
        <v>0</v>
      </c>
      <c r="AC2120" t="s">
        <v>115</v>
      </c>
      <c r="AD2120">
        <v>3</v>
      </c>
      <c r="AE2120" t="s">
        <v>115</v>
      </c>
      <c r="AF2120">
        <v>0</v>
      </c>
      <c r="AG2120">
        <v>0</v>
      </c>
      <c r="AH2120" t="s">
        <v>116</v>
      </c>
      <c r="AI2120" s="1">
        <v>88932</v>
      </c>
      <c r="AJ2120" s="2">
        <v>0.21</v>
      </c>
      <c r="AK2120" s="1">
        <v>428932</v>
      </c>
      <c r="AL2120" t="s">
        <v>117</v>
      </c>
      <c r="AM2120" t="s">
        <v>118</v>
      </c>
      <c r="AN2120">
        <v>7033</v>
      </c>
      <c r="AO2120">
        <v>0.16</v>
      </c>
      <c r="AP2120">
        <v>1</v>
      </c>
      <c r="AR2120">
        <v>1</v>
      </c>
      <c r="AS2120" s="1">
        <v>30660</v>
      </c>
      <c r="AT2120" s="1">
        <v>6130</v>
      </c>
      <c r="AU2120" s="1">
        <v>24530</v>
      </c>
      <c r="AV2120">
        <v>80.010000000000005</v>
      </c>
      <c r="AX2120" s="1">
        <v>2616.08</v>
      </c>
      <c r="AY2120" t="s">
        <v>737</v>
      </c>
      <c r="AZ2120" t="s">
        <v>120</v>
      </c>
      <c r="BA2120" t="s">
        <v>303</v>
      </c>
      <c r="BE2120" s="3">
        <v>42437</v>
      </c>
      <c r="BF2120" s="1">
        <v>357000</v>
      </c>
      <c r="BG2120" t="s">
        <v>14290</v>
      </c>
      <c r="BH2120" s="1">
        <v>129.02000000000001</v>
      </c>
      <c r="BI2120" s="1">
        <v>340000</v>
      </c>
      <c r="BJ2120" s="3">
        <v>42437</v>
      </c>
      <c r="BK2120" t="s">
        <v>123</v>
      </c>
      <c r="BL2120" t="str">
        <f>"2016.149179"</f>
        <v>2016.149179</v>
      </c>
      <c r="BM2120" t="s">
        <v>475</v>
      </c>
      <c r="BO2120" t="s">
        <v>14291</v>
      </c>
      <c r="BS2120">
        <v>30</v>
      </c>
      <c r="BW2120" t="str">
        <f>""</f>
        <v/>
      </c>
      <c r="CH2120" t="str">
        <f>""</f>
        <v/>
      </c>
      <c r="CS2120" t="str">
        <f>""</f>
        <v/>
      </c>
    </row>
    <row r="2121" spans="1:97" x14ac:dyDescent="0.25">
      <c r="B2121" t="s">
        <v>14292</v>
      </c>
      <c r="E2121" t="s">
        <v>14293</v>
      </c>
      <c r="F2121" t="s">
        <v>108</v>
      </c>
      <c r="H2121" t="s">
        <v>14294</v>
      </c>
      <c r="I2121" t="s">
        <v>203</v>
      </c>
      <c r="J2121" t="s">
        <v>111</v>
      </c>
      <c r="K2121" t="str">
        <f>"85296"</f>
        <v>85296</v>
      </c>
      <c r="L2121" t="s">
        <v>2820</v>
      </c>
      <c r="M2121" t="s">
        <v>14294</v>
      </c>
      <c r="N2121" t="s">
        <v>203</v>
      </c>
      <c r="O2121" t="s">
        <v>111</v>
      </c>
      <c r="P2121" t="str">
        <f>"85296-1967"</f>
        <v>85296-1967</v>
      </c>
      <c r="Q2121" t="s">
        <v>113</v>
      </c>
      <c r="R2121" t="str">
        <f>"304-19-311"</f>
        <v>304-19-311</v>
      </c>
      <c r="S2121" t="s">
        <v>7786</v>
      </c>
      <c r="T2121" t="s">
        <v>7786</v>
      </c>
      <c r="U2121">
        <v>2160</v>
      </c>
      <c r="V2121">
        <v>0</v>
      </c>
      <c r="W2121">
        <v>3</v>
      </c>
      <c r="X2121">
        <v>2010</v>
      </c>
      <c r="Z2121">
        <v>1</v>
      </c>
      <c r="AB2121">
        <v>0</v>
      </c>
      <c r="AC2121" t="s">
        <v>115</v>
      </c>
      <c r="AD2121">
        <v>2</v>
      </c>
      <c r="AE2121" t="s">
        <v>115</v>
      </c>
      <c r="AF2121">
        <v>0</v>
      </c>
      <c r="AG2121">
        <v>0</v>
      </c>
      <c r="AH2121" t="s">
        <v>116</v>
      </c>
      <c r="AI2121" s="1">
        <v>52731</v>
      </c>
      <c r="AJ2121" s="2">
        <v>0.13</v>
      </c>
      <c r="AK2121" s="1">
        <v>403951</v>
      </c>
      <c r="AL2121" t="s">
        <v>117</v>
      </c>
      <c r="AM2121" t="s">
        <v>393</v>
      </c>
      <c r="AN2121">
        <v>7800</v>
      </c>
      <c r="AO2121">
        <v>0.18</v>
      </c>
      <c r="AR2121">
        <v>1</v>
      </c>
      <c r="AS2121" s="1">
        <v>29460</v>
      </c>
      <c r="AT2121" s="1">
        <v>5890</v>
      </c>
      <c r="AU2121" s="1">
        <v>23570</v>
      </c>
      <c r="AV2121">
        <v>80.010000000000005</v>
      </c>
      <c r="AX2121" s="1">
        <v>2421.3200000000002</v>
      </c>
      <c r="AY2121" t="s">
        <v>519</v>
      </c>
      <c r="AZ2121" t="s">
        <v>520</v>
      </c>
      <c r="BA2121" t="s">
        <v>521</v>
      </c>
      <c r="BB2121" s="3">
        <v>42116</v>
      </c>
      <c r="BD2121" t="s">
        <v>240</v>
      </c>
      <c r="BE2121" s="3">
        <v>41697</v>
      </c>
      <c r="BF2121" s="1">
        <v>295000</v>
      </c>
      <c r="BG2121" t="s">
        <v>14295</v>
      </c>
      <c r="BH2121" s="1">
        <v>136.57</v>
      </c>
      <c r="BI2121" s="1">
        <v>351220</v>
      </c>
      <c r="BJ2121" s="3">
        <v>42738</v>
      </c>
      <c r="BK2121" t="s">
        <v>123</v>
      </c>
      <c r="BL2121" t="str">
        <f>"2017.1208"</f>
        <v>2017.1208</v>
      </c>
      <c r="BM2121" t="s">
        <v>544</v>
      </c>
      <c r="BO2121" t="s">
        <v>14292</v>
      </c>
      <c r="BS2121">
        <v>30</v>
      </c>
      <c r="BW2121" t="str">
        <f>""</f>
        <v/>
      </c>
      <c r="CH2121" t="str">
        <f>""</f>
        <v/>
      </c>
      <c r="CS2121" t="str">
        <f>""</f>
        <v/>
      </c>
    </row>
    <row r="2122" spans="1:97" x14ac:dyDescent="0.25">
      <c r="A2122" t="s">
        <v>243</v>
      </c>
      <c r="B2122" t="s">
        <v>14296</v>
      </c>
      <c r="C2122" t="s">
        <v>727</v>
      </c>
      <c r="D2122" t="s">
        <v>14296</v>
      </c>
      <c r="E2122" t="s">
        <v>14297</v>
      </c>
      <c r="F2122" t="s">
        <v>108</v>
      </c>
      <c r="H2122" t="s">
        <v>14298</v>
      </c>
      <c r="I2122" t="s">
        <v>390</v>
      </c>
      <c r="J2122" t="s">
        <v>111</v>
      </c>
      <c r="K2122" t="str">
        <f>"85032"</f>
        <v>85032</v>
      </c>
      <c r="L2122" t="s">
        <v>4003</v>
      </c>
      <c r="M2122" t="s">
        <v>14298</v>
      </c>
      <c r="N2122" t="s">
        <v>390</v>
      </c>
      <c r="O2122" t="s">
        <v>111</v>
      </c>
      <c r="P2122" t="str">
        <f>"85032-5454"</f>
        <v>85032-5454</v>
      </c>
      <c r="Q2122" t="s">
        <v>113</v>
      </c>
      <c r="R2122" t="str">
        <f>"215-72-453"</f>
        <v>215-72-453</v>
      </c>
      <c r="S2122" t="s">
        <v>14299</v>
      </c>
      <c r="T2122" t="s">
        <v>14300</v>
      </c>
      <c r="U2122">
        <v>2217</v>
      </c>
      <c r="V2122">
        <v>0</v>
      </c>
      <c r="W2122">
        <v>3</v>
      </c>
      <c r="X2122">
        <v>1983</v>
      </c>
      <c r="Z2122">
        <v>1</v>
      </c>
      <c r="AA2122" t="s">
        <v>26</v>
      </c>
      <c r="AB2122">
        <v>0</v>
      </c>
      <c r="AC2122" t="s">
        <v>115</v>
      </c>
      <c r="AD2122">
        <v>2</v>
      </c>
      <c r="AE2122" t="s">
        <v>115</v>
      </c>
      <c r="AF2122">
        <v>0</v>
      </c>
      <c r="AG2122">
        <v>0</v>
      </c>
      <c r="AH2122" t="s">
        <v>116</v>
      </c>
      <c r="AI2122" s="1">
        <v>31923</v>
      </c>
      <c r="AJ2122" s="2">
        <v>7.0000000000000007E-2</v>
      </c>
      <c r="AK2122" s="1">
        <v>448222</v>
      </c>
      <c r="AL2122" t="s">
        <v>117</v>
      </c>
      <c r="AM2122" t="s">
        <v>1302</v>
      </c>
      <c r="AN2122">
        <v>10095</v>
      </c>
      <c r="AO2122">
        <v>0.23</v>
      </c>
      <c r="AP2122">
        <v>1</v>
      </c>
      <c r="AR2122">
        <v>1</v>
      </c>
      <c r="AS2122" s="1">
        <v>31880</v>
      </c>
      <c r="AT2122" s="1">
        <v>6370</v>
      </c>
      <c r="AU2122" s="1">
        <v>25510</v>
      </c>
      <c r="AV2122">
        <v>80.02</v>
      </c>
      <c r="AX2122" s="1">
        <v>2968.66</v>
      </c>
      <c r="AY2122" t="s">
        <v>5230</v>
      </c>
      <c r="AZ2122" t="s">
        <v>1317</v>
      </c>
      <c r="BA2122" t="s">
        <v>1318</v>
      </c>
      <c r="BE2122" s="3">
        <v>41912</v>
      </c>
      <c r="BF2122" s="1">
        <v>344000</v>
      </c>
      <c r="BG2122" t="s">
        <v>14301</v>
      </c>
      <c r="BH2122" s="1">
        <v>155.16</v>
      </c>
      <c r="BI2122" s="1">
        <v>416299</v>
      </c>
      <c r="BJ2122" s="3">
        <v>43297</v>
      </c>
      <c r="BK2122" t="s">
        <v>123</v>
      </c>
      <c r="BL2122" t="str">
        <f>"2018.535658"</f>
        <v>2018.535658</v>
      </c>
      <c r="BM2122" t="s">
        <v>14302</v>
      </c>
      <c r="BN2122" t="s">
        <v>14303</v>
      </c>
      <c r="BO2122" t="s">
        <v>14304</v>
      </c>
      <c r="BP2122" t="s">
        <v>14305</v>
      </c>
      <c r="BR2122" t="s">
        <v>139</v>
      </c>
      <c r="BW2122" t="str">
        <f>""</f>
        <v/>
      </c>
      <c r="CH2122" t="str">
        <f>""</f>
        <v/>
      </c>
      <c r="CS2122" t="str">
        <f>""</f>
        <v/>
      </c>
    </row>
    <row r="2123" spans="1:97" x14ac:dyDescent="0.25">
      <c r="A2123" t="s">
        <v>14306</v>
      </c>
      <c r="B2123" t="s">
        <v>4593</v>
      </c>
      <c r="C2123" t="s">
        <v>484</v>
      </c>
      <c r="D2123" t="s">
        <v>4593</v>
      </c>
      <c r="E2123" t="s">
        <v>14307</v>
      </c>
      <c r="F2123" t="s">
        <v>108</v>
      </c>
      <c r="H2123" t="s">
        <v>14308</v>
      </c>
      <c r="I2123" t="s">
        <v>632</v>
      </c>
      <c r="J2123" t="s">
        <v>111</v>
      </c>
      <c r="K2123" t="str">
        <f>"85388"</f>
        <v>85388</v>
      </c>
      <c r="L2123" t="s">
        <v>5727</v>
      </c>
      <c r="M2123" t="s">
        <v>14308</v>
      </c>
      <c r="N2123" t="s">
        <v>632</v>
      </c>
      <c r="O2123" t="s">
        <v>111</v>
      </c>
      <c r="P2123" t="str">
        <f>"85388-5620"</f>
        <v>85388-5620</v>
      </c>
      <c r="Q2123" t="s">
        <v>113</v>
      </c>
      <c r="R2123" t="str">
        <f>"502-06-456"</f>
        <v>502-06-456</v>
      </c>
      <c r="S2123" t="s">
        <v>5728</v>
      </c>
      <c r="T2123" t="s">
        <v>5167</v>
      </c>
      <c r="U2123">
        <v>3989</v>
      </c>
      <c r="V2123">
        <v>0</v>
      </c>
      <c r="W2123">
        <v>5</v>
      </c>
      <c r="X2123">
        <v>2008</v>
      </c>
      <c r="Z2123">
        <v>2</v>
      </c>
      <c r="AB2123">
        <v>0</v>
      </c>
      <c r="AC2123" t="s">
        <v>115</v>
      </c>
      <c r="AD2123">
        <v>3</v>
      </c>
      <c r="AE2123" t="s">
        <v>115</v>
      </c>
      <c r="AF2123">
        <v>0</v>
      </c>
      <c r="AG2123">
        <v>0</v>
      </c>
      <c r="AH2123" t="s">
        <v>116</v>
      </c>
      <c r="AI2123" s="1">
        <v>34348</v>
      </c>
      <c r="AJ2123" s="2">
        <v>0.1</v>
      </c>
      <c r="AK2123" s="1">
        <v>357795</v>
      </c>
      <c r="AL2123" t="s">
        <v>117</v>
      </c>
      <c r="AM2123" t="s">
        <v>118</v>
      </c>
      <c r="AN2123">
        <v>7415</v>
      </c>
      <c r="AO2123">
        <v>0.17</v>
      </c>
      <c r="AR2123">
        <v>1</v>
      </c>
      <c r="AS2123" s="1">
        <v>25660</v>
      </c>
      <c r="AT2123" s="1">
        <v>5130</v>
      </c>
      <c r="AU2123" s="1">
        <v>20530</v>
      </c>
      <c r="AV2123">
        <v>80.010000000000005</v>
      </c>
      <c r="AX2123" s="1">
        <v>2397.1799999999998</v>
      </c>
      <c r="AY2123" t="s">
        <v>5168</v>
      </c>
      <c r="AZ2123" t="s">
        <v>5168</v>
      </c>
      <c r="BA2123" t="s">
        <v>5061</v>
      </c>
      <c r="BE2123" s="3">
        <v>41946</v>
      </c>
      <c r="BF2123" s="1">
        <v>273000</v>
      </c>
      <c r="BG2123" t="s">
        <v>14309</v>
      </c>
      <c r="BH2123" s="1">
        <v>68.44</v>
      </c>
      <c r="BI2123" s="1">
        <v>273447</v>
      </c>
      <c r="BJ2123" s="3">
        <v>42200</v>
      </c>
      <c r="BK2123" t="s">
        <v>123</v>
      </c>
      <c r="BL2123" t="str">
        <f>"2015.507505"</f>
        <v>2015.507505</v>
      </c>
      <c r="BM2123" t="s">
        <v>1185</v>
      </c>
      <c r="BN2123" t="s">
        <v>6728</v>
      </c>
      <c r="BO2123" t="s">
        <v>14310</v>
      </c>
      <c r="BS2123">
        <v>30</v>
      </c>
      <c r="BT2123" s="1">
        <v>50000</v>
      </c>
      <c r="BU2123" s="3">
        <v>43137</v>
      </c>
      <c r="BW2123" t="str">
        <f>"2018.92966"</f>
        <v>2018.92966</v>
      </c>
      <c r="BX2123" t="s">
        <v>135</v>
      </c>
      <c r="BY2123" t="s">
        <v>136</v>
      </c>
      <c r="BZ2123" t="s">
        <v>14311</v>
      </c>
      <c r="CA2123" t="s">
        <v>14312</v>
      </c>
      <c r="CC2123" t="s">
        <v>346</v>
      </c>
      <c r="CH2123" t="str">
        <f>""</f>
        <v/>
      </c>
      <c r="CS2123" t="str">
        <f>""</f>
        <v/>
      </c>
    </row>
    <row r="2124" spans="1:97" x14ac:dyDescent="0.25">
      <c r="A2124" t="s">
        <v>14313</v>
      </c>
      <c r="B2124" t="s">
        <v>1089</v>
      </c>
      <c r="C2124" t="s">
        <v>14314</v>
      </c>
      <c r="D2124" t="s">
        <v>1089</v>
      </c>
      <c r="E2124" t="s">
        <v>14315</v>
      </c>
      <c r="F2124" t="s">
        <v>108</v>
      </c>
      <c r="H2124" t="s">
        <v>14316</v>
      </c>
      <c r="I2124" t="s">
        <v>110</v>
      </c>
      <c r="J2124" t="s">
        <v>111</v>
      </c>
      <c r="K2124" t="str">
        <f>"85249"</f>
        <v>85249</v>
      </c>
      <c r="L2124" t="s">
        <v>3225</v>
      </c>
      <c r="M2124" t="s">
        <v>14316</v>
      </c>
      <c r="N2124" t="s">
        <v>110</v>
      </c>
      <c r="O2124" t="s">
        <v>111</v>
      </c>
      <c r="P2124" t="str">
        <f>"85249-7404"</f>
        <v>85249-7404</v>
      </c>
      <c r="Q2124" t="s">
        <v>113</v>
      </c>
      <c r="R2124" t="str">
        <f>"313-09-343"</f>
        <v>313-09-343</v>
      </c>
      <c r="S2124" t="s">
        <v>14317</v>
      </c>
      <c r="U2124">
        <v>3144</v>
      </c>
      <c r="V2124">
        <v>0</v>
      </c>
      <c r="W2124">
        <v>4</v>
      </c>
      <c r="X2124">
        <v>2005</v>
      </c>
      <c r="Z2124">
        <v>2</v>
      </c>
      <c r="AB2124">
        <v>0</v>
      </c>
      <c r="AC2124" t="s">
        <v>115</v>
      </c>
      <c r="AD2124">
        <v>3</v>
      </c>
      <c r="AE2124" t="s">
        <v>115</v>
      </c>
      <c r="AF2124">
        <v>0</v>
      </c>
      <c r="AG2124">
        <v>0</v>
      </c>
      <c r="AH2124" t="s">
        <v>116</v>
      </c>
      <c r="AI2124" s="1">
        <v>77012</v>
      </c>
      <c r="AJ2124" s="2">
        <v>0.19</v>
      </c>
      <c r="AK2124" s="1">
        <v>406637</v>
      </c>
      <c r="AL2124" t="s">
        <v>117</v>
      </c>
      <c r="AM2124" t="s">
        <v>118</v>
      </c>
      <c r="AN2124">
        <v>8769</v>
      </c>
      <c r="AO2124">
        <v>0.2</v>
      </c>
      <c r="AR2124">
        <v>1</v>
      </c>
      <c r="AS2124" s="1">
        <v>28060</v>
      </c>
      <c r="AT2124" s="1">
        <v>5610</v>
      </c>
      <c r="AU2124" s="1">
        <v>22450</v>
      </c>
      <c r="AV2124">
        <v>80.010000000000005</v>
      </c>
      <c r="AX2124" s="1">
        <v>2404.56</v>
      </c>
      <c r="AY2124" t="s">
        <v>6269</v>
      </c>
      <c r="AZ2124" t="s">
        <v>273</v>
      </c>
      <c r="BA2124" t="s">
        <v>274</v>
      </c>
      <c r="BE2124" s="3">
        <v>41775</v>
      </c>
      <c r="BF2124" s="1">
        <v>320000</v>
      </c>
      <c r="BG2124" t="s">
        <v>14318</v>
      </c>
      <c r="BH2124" s="1">
        <v>101.78</v>
      </c>
      <c r="BI2124" s="1">
        <v>329625</v>
      </c>
      <c r="BJ2124" s="3">
        <v>42003</v>
      </c>
      <c r="BK2124" t="s">
        <v>123</v>
      </c>
      <c r="BL2124" t="str">
        <f>"2014.856933"</f>
        <v>2014.856933</v>
      </c>
      <c r="BM2124" t="s">
        <v>1325</v>
      </c>
      <c r="BO2124" t="s">
        <v>14319</v>
      </c>
      <c r="BS2124">
        <v>30</v>
      </c>
      <c r="BW2124" t="str">
        <f>""</f>
        <v/>
      </c>
      <c r="CH2124" t="str">
        <f>""</f>
        <v/>
      </c>
      <c r="CS2124" t="str">
        <f>""</f>
        <v/>
      </c>
    </row>
    <row r="2125" spans="1:97" x14ac:dyDescent="0.25">
      <c r="A2125" t="s">
        <v>3580</v>
      </c>
      <c r="B2125" t="s">
        <v>603</v>
      </c>
      <c r="C2125" t="s">
        <v>14320</v>
      </c>
      <c r="D2125" t="s">
        <v>603</v>
      </c>
      <c r="E2125" t="s">
        <v>14321</v>
      </c>
      <c r="F2125" t="s">
        <v>108</v>
      </c>
      <c r="H2125" t="s">
        <v>14322</v>
      </c>
      <c r="I2125" t="s">
        <v>203</v>
      </c>
      <c r="J2125" t="s">
        <v>111</v>
      </c>
      <c r="K2125" t="str">
        <f>"85297"</f>
        <v>85297</v>
      </c>
      <c r="L2125" t="s">
        <v>7339</v>
      </c>
      <c r="M2125" t="s">
        <v>14322</v>
      </c>
      <c r="N2125" t="s">
        <v>203</v>
      </c>
      <c r="O2125" t="s">
        <v>111</v>
      </c>
      <c r="P2125" t="str">
        <f>"85297-4944"</f>
        <v>85297-4944</v>
      </c>
      <c r="Q2125" t="s">
        <v>113</v>
      </c>
      <c r="R2125" t="str">
        <f>"313-06-712"</f>
        <v>313-06-712</v>
      </c>
      <c r="S2125" t="s">
        <v>14323</v>
      </c>
      <c r="T2125" t="s">
        <v>14324</v>
      </c>
      <c r="U2125">
        <v>4593</v>
      </c>
      <c r="V2125">
        <v>0</v>
      </c>
      <c r="W2125">
        <v>6</v>
      </c>
      <c r="X2125">
        <v>2008</v>
      </c>
      <c r="Z2125">
        <v>2</v>
      </c>
      <c r="AA2125" t="s">
        <v>26</v>
      </c>
      <c r="AB2125">
        <v>0</v>
      </c>
      <c r="AC2125" t="s">
        <v>115</v>
      </c>
      <c r="AD2125">
        <v>5</v>
      </c>
      <c r="AE2125" t="s">
        <v>115</v>
      </c>
      <c r="AF2125">
        <v>0</v>
      </c>
      <c r="AG2125">
        <v>0</v>
      </c>
      <c r="AH2125" t="s">
        <v>116</v>
      </c>
      <c r="AI2125" s="1">
        <v>118863</v>
      </c>
      <c r="AJ2125" s="2">
        <v>0.2</v>
      </c>
      <c r="AK2125" s="1">
        <v>604499</v>
      </c>
      <c r="AL2125" t="s">
        <v>117</v>
      </c>
      <c r="AM2125" t="s">
        <v>393</v>
      </c>
      <c r="AN2125">
        <v>9100</v>
      </c>
      <c r="AO2125">
        <v>0.21</v>
      </c>
      <c r="AR2125">
        <v>1</v>
      </c>
      <c r="AS2125" s="1">
        <v>46050</v>
      </c>
      <c r="AT2125" s="1">
        <v>9210</v>
      </c>
      <c r="AU2125" s="1">
        <v>36840</v>
      </c>
      <c r="AV2125">
        <v>80</v>
      </c>
      <c r="AX2125" s="1">
        <v>4984.8999999999996</v>
      </c>
      <c r="AY2125" t="s">
        <v>8338</v>
      </c>
      <c r="AZ2125" t="s">
        <v>8338</v>
      </c>
      <c r="BA2125" t="s">
        <v>290</v>
      </c>
      <c r="BE2125" s="3">
        <v>42054</v>
      </c>
      <c r="BF2125" s="1">
        <v>515000</v>
      </c>
      <c r="BG2125" t="s">
        <v>14325</v>
      </c>
      <c r="BH2125" s="1">
        <v>112.13</v>
      </c>
      <c r="BI2125" s="1">
        <v>485636</v>
      </c>
      <c r="BJ2125" s="3">
        <v>42572</v>
      </c>
      <c r="BK2125" t="s">
        <v>123</v>
      </c>
      <c r="BL2125" t="str">
        <f>"2016.515602"</f>
        <v>2016.515602</v>
      </c>
      <c r="BM2125" t="s">
        <v>402</v>
      </c>
      <c r="BO2125" t="s">
        <v>14326</v>
      </c>
      <c r="BS2125">
        <v>30</v>
      </c>
      <c r="BW2125" t="str">
        <f>""</f>
        <v/>
      </c>
      <c r="CH2125" t="str">
        <f>""</f>
        <v/>
      </c>
      <c r="CS2125" t="str">
        <f>""</f>
        <v/>
      </c>
    </row>
    <row r="2126" spans="1:97" x14ac:dyDescent="0.25">
      <c r="A2126" t="s">
        <v>1083</v>
      </c>
      <c r="B2126" t="s">
        <v>3542</v>
      </c>
      <c r="C2126" t="s">
        <v>2380</v>
      </c>
      <c r="D2126" t="s">
        <v>3542</v>
      </c>
      <c r="E2126" t="s">
        <v>14327</v>
      </c>
      <c r="F2126" t="s">
        <v>108</v>
      </c>
      <c r="H2126" t="s">
        <v>14328</v>
      </c>
      <c r="I2126" t="s">
        <v>225</v>
      </c>
      <c r="J2126" t="s">
        <v>111</v>
      </c>
      <c r="K2126" t="str">
        <f>"85204"</f>
        <v>85204</v>
      </c>
      <c r="L2126" t="s">
        <v>6964</v>
      </c>
      <c r="M2126" t="s">
        <v>14328</v>
      </c>
      <c r="N2126" t="s">
        <v>225</v>
      </c>
      <c r="O2126" t="s">
        <v>111</v>
      </c>
      <c r="P2126" t="str">
        <f>"85204-5926"</f>
        <v>85204-5926</v>
      </c>
      <c r="Q2126" t="s">
        <v>113</v>
      </c>
      <c r="R2126" t="str">
        <f>"139-07-070"</f>
        <v>139-07-070</v>
      </c>
      <c r="S2126" t="s">
        <v>14329</v>
      </c>
      <c r="T2126" t="s">
        <v>14329</v>
      </c>
      <c r="U2126">
        <v>2924</v>
      </c>
      <c r="V2126">
        <v>0</v>
      </c>
      <c r="W2126">
        <v>3</v>
      </c>
      <c r="X2126">
        <v>1977</v>
      </c>
      <c r="Z2126">
        <v>2</v>
      </c>
      <c r="AB2126">
        <v>0</v>
      </c>
      <c r="AC2126" t="s">
        <v>115</v>
      </c>
      <c r="AD2126">
        <v>2</v>
      </c>
      <c r="AE2126" t="s">
        <v>115</v>
      </c>
      <c r="AF2126">
        <v>0</v>
      </c>
      <c r="AG2126">
        <v>0</v>
      </c>
      <c r="AH2126" t="s">
        <v>116</v>
      </c>
      <c r="AI2126" s="1">
        <v>61921</v>
      </c>
      <c r="AJ2126" s="2">
        <v>0.17</v>
      </c>
      <c r="AK2126" s="1">
        <v>374155</v>
      </c>
      <c r="AL2126" t="s">
        <v>117</v>
      </c>
      <c r="AM2126" t="s">
        <v>917</v>
      </c>
      <c r="AN2126">
        <v>9953</v>
      </c>
      <c r="AO2126">
        <v>0.23</v>
      </c>
      <c r="AP2126">
        <v>1</v>
      </c>
      <c r="AR2126">
        <v>1</v>
      </c>
      <c r="AS2126" s="1">
        <v>25220</v>
      </c>
      <c r="AT2126" s="1">
        <v>5040</v>
      </c>
      <c r="AU2126" s="1">
        <v>20180</v>
      </c>
      <c r="AV2126">
        <v>80.02</v>
      </c>
      <c r="AX2126" s="1">
        <v>1508.74</v>
      </c>
      <c r="AY2126" t="s">
        <v>14330</v>
      </c>
      <c r="AZ2126" t="s">
        <v>5158</v>
      </c>
      <c r="BA2126" t="s">
        <v>5159</v>
      </c>
      <c r="BE2126" s="3">
        <v>42212</v>
      </c>
      <c r="BF2126" s="1">
        <v>295000</v>
      </c>
      <c r="BG2126" t="s">
        <v>14331</v>
      </c>
      <c r="BH2126" s="1">
        <v>100.89</v>
      </c>
      <c r="BI2126" s="1">
        <v>312234</v>
      </c>
      <c r="BJ2126" s="3">
        <v>42713</v>
      </c>
      <c r="BK2126" t="s">
        <v>123</v>
      </c>
      <c r="BL2126" t="str">
        <f>"2016.907253"</f>
        <v>2016.907253</v>
      </c>
      <c r="BM2126" t="s">
        <v>14332</v>
      </c>
      <c r="BO2126" t="s">
        <v>14333</v>
      </c>
      <c r="BS2126">
        <v>30</v>
      </c>
      <c r="BW2126" t="str">
        <f>""</f>
        <v/>
      </c>
      <c r="CH2126" t="str">
        <f>""</f>
        <v/>
      </c>
      <c r="CS2126" t="str">
        <f>""</f>
        <v/>
      </c>
    </row>
    <row r="2127" spans="1:97" x14ac:dyDescent="0.25">
      <c r="A2127" t="s">
        <v>370</v>
      </c>
      <c r="B2127" t="s">
        <v>14334</v>
      </c>
      <c r="E2127" t="s">
        <v>14335</v>
      </c>
      <c r="F2127" t="s">
        <v>282</v>
      </c>
      <c r="H2127" t="s">
        <v>14336</v>
      </c>
      <c r="I2127" t="s">
        <v>225</v>
      </c>
      <c r="J2127" t="s">
        <v>111</v>
      </c>
      <c r="K2127" t="str">
        <f>"85215"</f>
        <v>85215</v>
      </c>
      <c r="L2127" t="s">
        <v>500</v>
      </c>
      <c r="M2127" t="s">
        <v>14337</v>
      </c>
      <c r="N2127" t="s">
        <v>225</v>
      </c>
      <c r="O2127" t="s">
        <v>111</v>
      </c>
      <c r="P2127" t="str">
        <f>"85215-1694"</f>
        <v>85215-1694</v>
      </c>
      <c r="Q2127" t="s">
        <v>113</v>
      </c>
      <c r="R2127" t="str">
        <f>"141-67-363"</f>
        <v>141-67-363</v>
      </c>
      <c r="S2127" t="s">
        <v>14338</v>
      </c>
      <c r="T2127" t="s">
        <v>14339</v>
      </c>
      <c r="U2127">
        <v>2264</v>
      </c>
      <c r="V2127">
        <v>0</v>
      </c>
      <c r="W2127">
        <v>3</v>
      </c>
      <c r="X2127">
        <v>1995</v>
      </c>
      <c r="Z2127">
        <v>1</v>
      </c>
      <c r="AA2127" t="s">
        <v>26</v>
      </c>
      <c r="AB2127">
        <v>0</v>
      </c>
      <c r="AC2127" t="s">
        <v>115</v>
      </c>
      <c r="AD2127">
        <v>3</v>
      </c>
      <c r="AE2127" t="s">
        <v>115</v>
      </c>
      <c r="AF2127">
        <v>0</v>
      </c>
      <c r="AG2127">
        <v>0</v>
      </c>
      <c r="AH2127" t="s">
        <v>116</v>
      </c>
      <c r="AI2127" s="1">
        <v>65442</v>
      </c>
      <c r="AJ2127" s="2">
        <v>0.17</v>
      </c>
      <c r="AK2127" s="1">
        <v>375886</v>
      </c>
      <c r="AL2127" t="s">
        <v>117</v>
      </c>
      <c r="AM2127" t="s">
        <v>191</v>
      </c>
      <c r="AN2127">
        <v>10039</v>
      </c>
      <c r="AO2127">
        <v>0.23</v>
      </c>
      <c r="AP2127">
        <v>1</v>
      </c>
      <c r="AR2127">
        <v>1</v>
      </c>
      <c r="AS2127" s="1">
        <v>26550</v>
      </c>
      <c r="AT2127" s="1">
        <v>5310</v>
      </c>
      <c r="AU2127" s="1">
        <v>21240</v>
      </c>
      <c r="AV2127">
        <v>80</v>
      </c>
      <c r="AX2127" s="1">
        <v>2598.7800000000002</v>
      </c>
      <c r="AY2127" t="s">
        <v>6662</v>
      </c>
      <c r="AZ2127" t="s">
        <v>5275</v>
      </c>
      <c r="BA2127" t="s">
        <v>3119</v>
      </c>
      <c r="BB2127" s="3">
        <v>42494</v>
      </c>
      <c r="BD2127" t="s">
        <v>480</v>
      </c>
      <c r="BE2127" s="3">
        <v>41901</v>
      </c>
      <c r="BF2127" s="1">
        <v>297800</v>
      </c>
      <c r="BG2127" t="s">
        <v>14340</v>
      </c>
      <c r="BH2127" s="1">
        <v>131.54</v>
      </c>
      <c r="BI2127" s="1">
        <v>310444</v>
      </c>
      <c r="BJ2127" s="3">
        <v>43077</v>
      </c>
      <c r="BK2127" t="s">
        <v>123</v>
      </c>
      <c r="BL2127" t="str">
        <f>"2017.911028"</f>
        <v>2017.911028</v>
      </c>
      <c r="BM2127" t="s">
        <v>1493</v>
      </c>
      <c r="BO2127" t="s">
        <v>14341</v>
      </c>
      <c r="BS2127">
        <v>31</v>
      </c>
      <c r="BW2127" t="str">
        <f>""</f>
        <v/>
      </c>
      <c r="CH2127" t="str">
        <f>""</f>
        <v/>
      </c>
      <c r="CS2127" t="str">
        <f>""</f>
        <v/>
      </c>
    </row>
    <row r="2128" spans="1:97" x14ac:dyDescent="0.25">
      <c r="A2128" t="s">
        <v>1295</v>
      </c>
      <c r="B2128" t="s">
        <v>14342</v>
      </c>
      <c r="E2128" t="s">
        <v>14343</v>
      </c>
      <c r="F2128" t="s">
        <v>108</v>
      </c>
      <c r="H2128" t="s">
        <v>14344</v>
      </c>
      <c r="I2128" t="s">
        <v>225</v>
      </c>
      <c r="J2128" t="s">
        <v>111</v>
      </c>
      <c r="K2128" t="str">
        <f>"85215"</f>
        <v>85215</v>
      </c>
      <c r="L2128" t="s">
        <v>3318</v>
      </c>
      <c r="M2128" t="s">
        <v>14344</v>
      </c>
      <c r="N2128" t="s">
        <v>225</v>
      </c>
      <c r="O2128" t="s">
        <v>111</v>
      </c>
      <c r="P2128" t="str">
        <f>"85215"</f>
        <v>85215</v>
      </c>
      <c r="Q2128" t="s">
        <v>113</v>
      </c>
      <c r="R2128" t="str">
        <f>"141-70-601"</f>
        <v>141-70-601</v>
      </c>
      <c r="S2128" t="s">
        <v>14345</v>
      </c>
      <c r="T2128" t="s">
        <v>14346</v>
      </c>
      <c r="U2128">
        <v>1943</v>
      </c>
      <c r="V2128">
        <v>0</v>
      </c>
      <c r="W2128">
        <v>4</v>
      </c>
      <c r="X2128">
        <v>1988</v>
      </c>
      <c r="Z2128">
        <v>2</v>
      </c>
      <c r="AB2128">
        <v>0</v>
      </c>
      <c r="AC2128" t="s">
        <v>115</v>
      </c>
      <c r="AD2128">
        <v>2</v>
      </c>
      <c r="AE2128" t="s">
        <v>115</v>
      </c>
      <c r="AF2128">
        <v>0</v>
      </c>
      <c r="AG2128">
        <v>0</v>
      </c>
      <c r="AH2128" t="s">
        <v>116</v>
      </c>
      <c r="AI2128" s="1">
        <v>56062</v>
      </c>
      <c r="AJ2128" s="2">
        <v>0.16</v>
      </c>
      <c r="AK2128" s="1">
        <v>340262</v>
      </c>
      <c r="AL2128" t="s">
        <v>117</v>
      </c>
      <c r="AM2128" t="s">
        <v>393</v>
      </c>
      <c r="AN2128">
        <v>6626</v>
      </c>
      <c r="AO2128">
        <v>0.15</v>
      </c>
      <c r="AP2128">
        <v>1</v>
      </c>
      <c r="AR2128">
        <v>1</v>
      </c>
      <c r="AS2128" s="1">
        <v>23050</v>
      </c>
      <c r="AT2128" s="1">
        <v>4610</v>
      </c>
      <c r="AU2128" s="1">
        <v>18440</v>
      </c>
      <c r="AV2128">
        <v>80</v>
      </c>
      <c r="AX2128" s="1">
        <v>1987.48</v>
      </c>
      <c r="AY2128" t="s">
        <v>6662</v>
      </c>
      <c r="AZ2128" t="s">
        <v>5275</v>
      </c>
      <c r="BA2128" t="s">
        <v>3119</v>
      </c>
      <c r="BE2128" s="3">
        <v>42528</v>
      </c>
      <c r="BF2128" s="1">
        <v>276000</v>
      </c>
      <c r="BG2128" t="s">
        <v>14347</v>
      </c>
      <c r="BH2128" s="1">
        <v>142.05000000000001</v>
      </c>
      <c r="BI2128" s="1">
        <v>284200</v>
      </c>
      <c r="BJ2128" s="3">
        <v>42608</v>
      </c>
      <c r="BK2128" t="s">
        <v>123</v>
      </c>
      <c r="BL2128" t="str">
        <f>"2016.614971"</f>
        <v>2016.614971</v>
      </c>
      <c r="BM2128" t="s">
        <v>255</v>
      </c>
      <c r="BO2128" t="s">
        <v>14348</v>
      </c>
      <c r="BS2128">
        <v>30</v>
      </c>
      <c r="BW2128" t="str">
        <f>""</f>
        <v/>
      </c>
      <c r="CH2128" t="str">
        <f>""</f>
        <v/>
      </c>
      <c r="CS2128" t="str">
        <f>""</f>
        <v/>
      </c>
    </row>
    <row r="2129" spans="1:97" x14ac:dyDescent="0.25">
      <c r="A2129" t="s">
        <v>701</v>
      </c>
      <c r="B2129" t="s">
        <v>14349</v>
      </c>
      <c r="C2129" t="s">
        <v>1821</v>
      </c>
      <c r="D2129" t="s">
        <v>14349</v>
      </c>
      <c r="E2129" t="s">
        <v>14350</v>
      </c>
      <c r="F2129" t="s">
        <v>108</v>
      </c>
      <c r="H2129" t="s">
        <v>14351</v>
      </c>
      <c r="I2129" t="s">
        <v>453</v>
      </c>
      <c r="J2129" t="s">
        <v>111</v>
      </c>
      <c r="K2129" t="str">
        <f>"85383"</f>
        <v>85383</v>
      </c>
      <c r="L2129" t="s">
        <v>3225</v>
      </c>
      <c r="M2129" t="s">
        <v>14351</v>
      </c>
      <c r="N2129" t="s">
        <v>453</v>
      </c>
      <c r="O2129" t="s">
        <v>111</v>
      </c>
      <c r="P2129" t="str">
        <f>"85383-5858"</f>
        <v>85383-5858</v>
      </c>
      <c r="Q2129" t="s">
        <v>113</v>
      </c>
      <c r="R2129" t="str">
        <f>"503-66-504"</f>
        <v>503-66-504</v>
      </c>
      <c r="S2129" t="s">
        <v>9145</v>
      </c>
      <c r="T2129" t="s">
        <v>7704</v>
      </c>
      <c r="U2129">
        <v>2333</v>
      </c>
      <c r="V2129">
        <v>0</v>
      </c>
      <c r="W2129">
        <v>4</v>
      </c>
      <c r="X2129">
        <v>2015</v>
      </c>
      <c r="Z2129">
        <v>2</v>
      </c>
      <c r="AB2129">
        <v>0</v>
      </c>
      <c r="AC2129" t="s">
        <v>115</v>
      </c>
      <c r="AD2129">
        <v>2</v>
      </c>
      <c r="AE2129" t="s">
        <v>115</v>
      </c>
      <c r="AF2129">
        <v>0</v>
      </c>
      <c r="AG2129">
        <v>0</v>
      </c>
      <c r="AH2129" t="s">
        <v>116</v>
      </c>
      <c r="AI2129" s="1">
        <v>33808</v>
      </c>
      <c r="AJ2129" s="2">
        <v>0.12</v>
      </c>
      <c r="AK2129" s="1">
        <v>293284</v>
      </c>
      <c r="AL2129" t="s">
        <v>117</v>
      </c>
      <c r="AM2129" t="s">
        <v>191</v>
      </c>
      <c r="AN2129">
        <v>4950</v>
      </c>
      <c r="AO2129">
        <v>0.11</v>
      </c>
      <c r="AR2129">
        <v>1</v>
      </c>
      <c r="AS2129" s="1">
        <v>22520</v>
      </c>
      <c r="AT2129" s="1">
        <v>4500</v>
      </c>
      <c r="AU2129" s="1">
        <v>18020</v>
      </c>
      <c r="AV2129">
        <v>80.02</v>
      </c>
      <c r="AX2129" s="1">
        <v>2168.06</v>
      </c>
      <c r="AY2129" t="s">
        <v>456</v>
      </c>
      <c r="AZ2129" t="s">
        <v>456</v>
      </c>
      <c r="BA2129" t="s">
        <v>457</v>
      </c>
      <c r="BE2129" s="3">
        <v>42256</v>
      </c>
      <c r="BF2129" s="1">
        <v>248295</v>
      </c>
      <c r="BG2129" t="s">
        <v>749</v>
      </c>
      <c r="BH2129" s="1">
        <v>106.43</v>
      </c>
      <c r="BI2129" s="1">
        <v>259476</v>
      </c>
      <c r="BJ2129" s="3">
        <v>42566</v>
      </c>
      <c r="BK2129" t="s">
        <v>123</v>
      </c>
      <c r="BL2129" t="str">
        <f>"2016.498696"</f>
        <v>2016.498696</v>
      </c>
      <c r="BM2129" t="s">
        <v>2117</v>
      </c>
      <c r="BO2129" t="s">
        <v>14352</v>
      </c>
      <c r="BS2129">
        <v>30</v>
      </c>
      <c r="BW2129" t="str">
        <f>""</f>
        <v/>
      </c>
      <c r="CH2129" t="str">
        <f>""</f>
        <v/>
      </c>
      <c r="CS2129" t="str">
        <f>""</f>
        <v/>
      </c>
    </row>
    <row r="2130" spans="1:97" x14ac:dyDescent="0.25">
      <c r="A2130" t="s">
        <v>9234</v>
      </c>
      <c r="B2130" t="s">
        <v>14353</v>
      </c>
      <c r="C2130" t="s">
        <v>639</v>
      </c>
      <c r="D2130" t="s">
        <v>14353</v>
      </c>
      <c r="E2130" t="s">
        <v>14354</v>
      </c>
      <c r="F2130" t="s">
        <v>108</v>
      </c>
      <c r="H2130" t="s">
        <v>14355</v>
      </c>
      <c r="I2130" t="s">
        <v>390</v>
      </c>
      <c r="J2130" t="s">
        <v>111</v>
      </c>
      <c r="K2130" t="str">
        <f>"85045"</f>
        <v>85045</v>
      </c>
      <c r="L2130" t="s">
        <v>3430</v>
      </c>
      <c r="M2130" t="s">
        <v>14355</v>
      </c>
      <c r="N2130" t="s">
        <v>390</v>
      </c>
      <c r="O2130" t="s">
        <v>111</v>
      </c>
      <c r="P2130" t="str">
        <f>"85045-2228"</f>
        <v>85045-2228</v>
      </c>
      <c r="Q2130" t="s">
        <v>113</v>
      </c>
      <c r="R2130" t="str">
        <f>"300-05-524"</f>
        <v>300-05-524</v>
      </c>
      <c r="S2130" t="s">
        <v>12018</v>
      </c>
      <c r="T2130" t="s">
        <v>12019</v>
      </c>
      <c r="U2130">
        <v>3066</v>
      </c>
      <c r="V2130">
        <v>0</v>
      </c>
      <c r="W2130">
        <v>4</v>
      </c>
      <c r="X2130">
        <v>2004</v>
      </c>
      <c r="Z2130">
        <v>2</v>
      </c>
      <c r="AB2130">
        <v>0</v>
      </c>
      <c r="AC2130" t="s">
        <v>115</v>
      </c>
      <c r="AD2130">
        <v>2</v>
      </c>
      <c r="AE2130" t="s">
        <v>115</v>
      </c>
      <c r="AF2130">
        <v>0</v>
      </c>
      <c r="AG2130">
        <v>0</v>
      </c>
      <c r="AH2130" t="s">
        <v>116</v>
      </c>
      <c r="AI2130" s="1">
        <v>61812</v>
      </c>
      <c r="AJ2130" s="2">
        <v>0.16</v>
      </c>
      <c r="AK2130" s="1">
        <v>383584</v>
      </c>
      <c r="AL2130" t="s">
        <v>117</v>
      </c>
      <c r="AM2130" t="s">
        <v>4559</v>
      </c>
      <c r="AN2130">
        <v>5500</v>
      </c>
      <c r="AO2130">
        <v>0.13</v>
      </c>
      <c r="AP2130">
        <v>1</v>
      </c>
      <c r="AR2130">
        <v>1</v>
      </c>
      <c r="AS2130" s="1">
        <v>26410</v>
      </c>
      <c r="AT2130" s="1">
        <v>5280</v>
      </c>
      <c r="AU2130" s="1">
        <v>21130</v>
      </c>
      <c r="AV2130">
        <v>80.010000000000005</v>
      </c>
      <c r="AX2130" s="1">
        <v>2545.52</v>
      </c>
      <c r="AY2130" t="s">
        <v>6202</v>
      </c>
      <c r="AZ2130" t="s">
        <v>2967</v>
      </c>
      <c r="BA2130" t="s">
        <v>930</v>
      </c>
      <c r="BB2130" s="3">
        <v>42256</v>
      </c>
      <c r="BC2130" s="1">
        <v>325900</v>
      </c>
      <c r="BD2130" t="s">
        <v>842</v>
      </c>
      <c r="BE2130" s="3">
        <v>42125</v>
      </c>
      <c r="BF2130" s="1">
        <v>316900</v>
      </c>
      <c r="BG2130" t="s">
        <v>14356</v>
      </c>
      <c r="BH2130" s="1">
        <v>103.36</v>
      </c>
      <c r="BI2130" s="1">
        <v>321772</v>
      </c>
      <c r="BJ2130" s="3">
        <v>42125</v>
      </c>
      <c r="BK2130" t="s">
        <v>123</v>
      </c>
      <c r="BL2130" t="str">
        <f>"2015.307663"</f>
        <v>2015.307663</v>
      </c>
      <c r="BM2130" t="s">
        <v>196</v>
      </c>
      <c r="BO2130" t="s">
        <v>14357</v>
      </c>
      <c r="BS2130">
        <v>30</v>
      </c>
      <c r="BW2130" t="str">
        <f>""</f>
        <v/>
      </c>
      <c r="CH2130" t="str">
        <f>""</f>
        <v/>
      </c>
      <c r="CS2130" t="str">
        <f>""</f>
        <v/>
      </c>
    </row>
    <row r="2131" spans="1:97" x14ac:dyDescent="0.25">
      <c r="A2131" t="s">
        <v>140</v>
      </c>
      <c r="B2131" t="s">
        <v>2916</v>
      </c>
      <c r="C2131" t="s">
        <v>14358</v>
      </c>
      <c r="D2131" t="s">
        <v>2916</v>
      </c>
      <c r="E2131" t="s">
        <v>14359</v>
      </c>
      <c r="F2131" t="s">
        <v>108</v>
      </c>
      <c r="H2131" t="s">
        <v>14360</v>
      </c>
      <c r="I2131" t="s">
        <v>390</v>
      </c>
      <c r="J2131" t="s">
        <v>111</v>
      </c>
      <c r="K2131" t="str">
        <f>"85018"</f>
        <v>85018</v>
      </c>
      <c r="L2131" t="s">
        <v>9069</v>
      </c>
      <c r="M2131" t="s">
        <v>14360</v>
      </c>
      <c r="N2131" t="s">
        <v>390</v>
      </c>
      <c r="O2131" t="s">
        <v>111</v>
      </c>
      <c r="P2131" t="str">
        <f>"85018-1420"</f>
        <v>85018-1420</v>
      </c>
      <c r="Q2131" t="s">
        <v>113</v>
      </c>
      <c r="R2131" t="str">
        <f>"170-12-119"</f>
        <v>170-12-119</v>
      </c>
      <c r="S2131" t="s">
        <v>14361</v>
      </c>
      <c r="T2131" t="s">
        <v>14362</v>
      </c>
      <c r="U2131">
        <v>1550</v>
      </c>
      <c r="V2131">
        <v>0</v>
      </c>
      <c r="W2131">
        <v>2</v>
      </c>
      <c r="X2131">
        <v>1955</v>
      </c>
      <c r="Z2131">
        <v>1</v>
      </c>
      <c r="AA2131" t="s">
        <v>26</v>
      </c>
      <c r="AB2131">
        <v>0</v>
      </c>
      <c r="AC2131" t="s">
        <v>115</v>
      </c>
      <c r="AD2131">
        <v>2</v>
      </c>
      <c r="AE2131" t="s">
        <v>115</v>
      </c>
      <c r="AF2131">
        <v>0</v>
      </c>
      <c r="AG2131">
        <v>0</v>
      </c>
      <c r="AH2131" t="s">
        <v>116</v>
      </c>
      <c r="AI2131" s="1">
        <v>131954</v>
      </c>
      <c r="AJ2131" s="2">
        <v>0.23</v>
      </c>
      <c r="AK2131" s="1">
        <v>569654</v>
      </c>
      <c r="AL2131" t="s">
        <v>117</v>
      </c>
      <c r="AM2131" t="s">
        <v>191</v>
      </c>
      <c r="AN2131">
        <v>10485</v>
      </c>
      <c r="AO2131">
        <v>0.24</v>
      </c>
      <c r="AP2131">
        <v>1</v>
      </c>
      <c r="AR2131">
        <v>1</v>
      </c>
      <c r="AS2131" s="1">
        <v>43570</v>
      </c>
      <c r="AT2131" s="1">
        <v>8710</v>
      </c>
      <c r="AU2131" s="1">
        <v>34860</v>
      </c>
      <c r="AV2131">
        <v>80.010000000000005</v>
      </c>
      <c r="AX2131" s="1">
        <v>4943.7</v>
      </c>
      <c r="AY2131" t="s">
        <v>14363</v>
      </c>
      <c r="AZ2131" t="s">
        <v>14363</v>
      </c>
      <c r="BA2131" t="s">
        <v>6255</v>
      </c>
      <c r="BE2131" s="3">
        <v>41726</v>
      </c>
      <c r="BF2131" s="1">
        <v>435000</v>
      </c>
      <c r="BG2131" t="s">
        <v>14364</v>
      </c>
      <c r="BH2131" s="1">
        <v>280.64999999999998</v>
      </c>
      <c r="BI2131" s="1">
        <v>437700</v>
      </c>
      <c r="BJ2131" s="3">
        <v>42111</v>
      </c>
      <c r="BK2131" t="s">
        <v>123</v>
      </c>
      <c r="BL2131" t="str">
        <f>"2015.266767"</f>
        <v>2015.266767</v>
      </c>
      <c r="BM2131" t="s">
        <v>255</v>
      </c>
      <c r="BO2131" t="s">
        <v>14365</v>
      </c>
      <c r="BS2131">
        <v>30</v>
      </c>
      <c r="BW2131" t="str">
        <f>""</f>
        <v/>
      </c>
      <c r="CH2131" t="str">
        <f>""</f>
        <v/>
      </c>
      <c r="CS2131" t="str">
        <f>""</f>
        <v/>
      </c>
    </row>
    <row r="2132" spans="1:97" x14ac:dyDescent="0.25">
      <c r="A2132" t="s">
        <v>3212</v>
      </c>
      <c r="B2132" t="s">
        <v>5780</v>
      </c>
      <c r="C2132" t="s">
        <v>1021</v>
      </c>
      <c r="D2132" t="s">
        <v>5780</v>
      </c>
      <c r="E2132" t="s">
        <v>14366</v>
      </c>
      <c r="F2132" t="s">
        <v>108</v>
      </c>
      <c r="H2132" t="s">
        <v>14367</v>
      </c>
      <c r="I2132" t="s">
        <v>453</v>
      </c>
      <c r="J2132" t="s">
        <v>111</v>
      </c>
      <c r="K2132" t="str">
        <f>"85383"</f>
        <v>85383</v>
      </c>
      <c r="L2132" t="s">
        <v>7243</v>
      </c>
      <c r="M2132" t="s">
        <v>14367</v>
      </c>
      <c r="N2132" t="s">
        <v>453</v>
      </c>
      <c r="O2132" t="s">
        <v>111</v>
      </c>
      <c r="P2132" t="str">
        <f>"85383-6278"</f>
        <v>85383-6278</v>
      </c>
      <c r="Q2132" t="s">
        <v>113</v>
      </c>
      <c r="R2132" t="str">
        <f>"201-20-432"</f>
        <v>201-20-432</v>
      </c>
      <c r="S2132" t="s">
        <v>8847</v>
      </c>
      <c r="T2132" t="s">
        <v>8847</v>
      </c>
      <c r="U2132">
        <v>3343</v>
      </c>
      <c r="V2132">
        <v>0</v>
      </c>
      <c r="W2132">
        <v>4</v>
      </c>
      <c r="X2132">
        <v>2014</v>
      </c>
      <c r="Z2132">
        <v>2</v>
      </c>
      <c r="AA2132" t="s">
        <v>26</v>
      </c>
      <c r="AB2132">
        <v>0</v>
      </c>
      <c r="AC2132" t="s">
        <v>115</v>
      </c>
      <c r="AD2132">
        <v>3</v>
      </c>
      <c r="AE2132" t="s">
        <v>115</v>
      </c>
      <c r="AF2132">
        <v>0</v>
      </c>
      <c r="AG2132">
        <v>0</v>
      </c>
      <c r="AH2132" t="s">
        <v>116</v>
      </c>
      <c r="AI2132" s="1">
        <v>75915</v>
      </c>
      <c r="AJ2132" s="2">
        <v>0.16</v>
      </c>
      <c r="AK2132" s="1">
        <v>461160</v>
      </c>
      <c r="AL2132" t="s">
        <v>117</v>
      </c>
      <c r="AM2132" t="s">
        <v>118</v>
      </c>
      <c r="AN2132">
        <v>9686</v>
      </c>
      <c r="AO2132">
        <v>0.22</v>
      </c>
      <c r="AR2132">
        <v>1</v>
      </c>
      <c r="AS2132" s="1">
        <v>35860</v>
      </c>
      <c r="AT2132" s="1">
        <v>7170</v>
      </c>
      <c r="AU2132" s="1">
        <v>28690</v>
      </c>
      <c r="AV2132">
        <v>80.010000000000005</v>
      </c>
      <c r="AX2132" s="1">
        <v>2916</v>
      </c>
      <c r="AY2132" t="s">
        <v>1385</v>
      </c>
      <c r="AZ2132" t="s">
        <v>1385</v>
      </c>
      <c r="BA2132" t="s">
        <v>1386</v>
      </c>
      <c r="BE2132" s="3">
        <v>41729</v>
      </c>
      <c r="BF2132" s="1">
        <v>399985</v>
      </c>
      <c r="BG2132" t="s">
        <v>2199</v>
      </c>
      <c r="BH2132" s="1">
        <v>119.65</v>
      </c>
      <c r="BI2132" s="1">
        <v>385245</v>
      </c>
      <c r="BJ2132" s="3">
        <v>42695</v>
      </c>
      <c r="BK2132" t="s">
        <v>123</v>
      </c>
      <c r="BL2132" t="str">
        <f>"2016.859383"</f>
        <v>2016.859383</v>
      </c>
      <c r="BM2132" t="s">
        <v>724</v>
      </c>
      <c r="BO2132" t="s">
        <v>14368</v>
      </c>
      <c r="BS2132">
        <v>30</v>
      </c>
      <c r="BW2132" t="str">
        <f>""</f>
        <v/>
      </c>
      <c r="CH2132" t="str">
        <f>""</f>
        <v/>
      </c>
      <c r="CS2132" t="str">
        <f>""</f>
        <v/>
      </c>
    </row>
    <row r="2133" spans="1:97" x14ac:dyDescent="0.25">
      <c r="A2133" t="s">
        <v>5044</v>
      </c>
      <c r="B2133" t="s">
        <v>14369</v>
      </c>
      <c r="C2133" t="s">
        <v>4386</v>
      </c>
      <c r="D2133" t="s">
        <v>14370</v>
      </c>
      <c r="E2133" t="s">
        <v>14371</v>
      </c>
      <c r="F2133" t="s">
        <v>108</v>
      </c>
      <c r="H2133" t="s">
        <v>14372</v>
      </c>
      <c r="I2133" t="s">
        <v>5387</v>
      </c>
      <c r="J2133" t="s">
        <v>111</v>
      </c>
      <c r="K2133" t="str">
        <f>"85282"</f>
        <v>85282</v>
      </c>
      <c r="L2133" t="s">
        <v>9737</v>
      </c>
      <c r="M2133" t="s">
        <v>14372</v>
      </c>
      <c r="N2133" t="s">
        <v>5387</v>
      </c>
      <c r="O2133" t="s">
        <v>111</v>
      </c>
      <c r="P2133" t="str">
        <f>"85282-3759"</f>
        <v>85282-3759</v>
      </c>
      <c r="Q2133" t="s">
        <v>113</v>
      </c>
      <c r="R2133" t="str">
        <f>"133-28-344"</f>
        <v>133-28-344</v>
      </c>
      <c r="S2133" t="s">
        <v>14373</v>
      </c>
      <c r="T2133" t="s">
        <v>14374</v>
      </c>
      <c r="U2133">
        <v>2108</v>
      </c>
      <c r="V2133">
        <v>0</v>
      </c>
      <c r="W2133">
        <v>2</v>
      </c>
      <c r="X2133">
        <v>1970</v>
      </c>
      <c r="Z2133">
        <v>1</v>
      </c>
      <c r="AB2133">
        <v>0</v>
      </c>
      <c r="AC2133" t="s">
        <v>115</v>
      </c>
      <c r="AD2133">
        <v>2</v>
      </c>
      <c r="AE2133" t="s">
        <v>115</v>
      </c>
      <c r="AF2133">
        <v>0</v>
      </c>
      <c r="AG2133">
        <v>0</v>
      </c>
      <c r="AH2133" t="s">
        <v>116</v>
      </c>
      <c r="AI2133" s="1">
        <v>73334</v>
      </c>
      <c r="AJ2133" s="2">
        <v>0.19</v>
      </c>
      <c r="AK2133" s="1">
        <v>395106</v>
      </c>
      <c r="AL2133" t="s">
        <v>117</v>
      </c>
      <c r="AM2133" t="s">
        <v>191</v>
      </c>
      <c r="AN2133">
        <v>8986</v>
      </c>
      <c r="AO2133">
        <v>0.21</v>
      </c>
      <c r="AP2133">
        <v>1</v>
      </c>
      <c r="AR2133">
        <v>1</v>
      </c>
      <c r="AS2133" s="1">
        <v>27670</v>
      </c>
      <c r="AT2133" s="1">
        <v>5530</v>
      </c>
      <c r="AU2133" s="1">
        <v>22140</v>
      </c>
      <c r="AV2133">
        <v>80.010000000000005</v>
      </c>
      <c r="AX2133" s="1">
        <v>2321.58</v>
      </c>
      <c r="AY2133" t="s">
        <v>14375</v>
      </c>
      <c r="AZ2133" t="s">
        <v>11073</v>
      </c>
      <c r="BA2133" t="s">
        <v>9519</v>
      </c>
      <c r="BE2133" s="3">
        <v>42272</v>
      </c>
      <c r="BF2133" s="1">
        <v>325000</v>
      </c>
      <c r="BG2133" t="s">
        <v>14376</v>
      </c>
      <c r="BH2133" s="1">
        <v>154.16999999999999</v>
      </c>
      <c r="BI2133" s="1">
        <v>321772</v>
      </c>
      <c r="BJ2133" s="3">
        <v>42272</v>
      </c>
      <c r="BK2133" t="s">
        <v>123</v>
      </c>
      <c r="BL2133" t="str">
        <f>"2015.693183"</f>
        <v>2015.693183</v>
      </c>
      <c r="BM2133" t="s">
        <v>150</v>
      </c>
      <c r="BO2133" t="s">
        <v>14377</v>
      </c>
      <c r="BP2133" t="s">
        <v>14378</v>
      </c>
      <c r="BS2133">
        <v>30</v>
      </c>
      <c r="BW2133" t="str">
        <f>""</f>
        <v/>
      </c>
      <c r="CH2133" t="str">
        <f>""</f>
        <v/>
      </c>
      <c r="CS2133" t="str">
        <f>""</f>
        <v/>
      </c>
    </row>
    <row r="2134" spans="1:97" x14ac:dyDescent="0.25">
      <c r="A2134" t="s">
        <v>370</v>
      </c>
      <c r="B2134" t="s">
        <v>7900</v>
      </c>
      <c r="C2134" t="s">
        <v>1857</v>
      </c>
      <c r="D2134" t="s">
        <v>14379</v>
      </c>
      <c r="E2134" t="s">
        <v>14380</v>
      </c>
      <c r="F2134" t="s">
        <v>108</v>
      </c>
      <c r="H2134" t="s">
        <v>14381</v>
      </c>
      <c r="I2134" t="s">
        <v>2874</v>
      </c>
      <c r="J2134" t="s">
        <v>111</v>
      </c>
      <c r="K2134" t="str">
        <f>"85308"</f>
        <v>85308</v>
      </c>
      <c r="L2134" t="s">
        <v>5709</v>
      </c>
      <c r="M2134" t="s">
        <v>14381</v>
      </c>
      <c r="N2134" t="s">
        <v>2874</v>
      </c>
      <c r="O2134" t="s">
        <v>111</v>
      </c>
      <c r="P2134" t="str">
        <f>"85308-1331"</f>
        <v>85308-1331</v>
      </c>
      <c r="Q2134" t="s">
        <v>113</v>
      </c>
      <c r="R2134" t="str">
        <f>"200-49-700"</f>
        <v>200-49-700</v>
      </c>
      <c r="S2134" t="s">
        <v>14382</v>
      </c>
      <c r="T2134" t="s">
        <v>14383</v>
      </c>
      <c r="U2134">
        <v>2640</v>
      </c>
      <c r="V2134">
        <v>0</v>
      </c>
      <c r="W2134">
        <v>4</v>
      </c>
      <c r="X2134">
        <v>1996</v>
      </c>
      <c r="Z2134">
        <v>2</v>
      </c>
      <c r="AA2134" t="s">
        <v>26</v>
      </c>
      <c r="AB2134">
        <v>0</v>
      </c>
      <c r="AC2134" t="s">
        <v>115</v>
      </c>
      <c r="AD2134">
        <v>3</v>
      </c>
      <c r="AE2134" t="s">
        <v>115</v>
      </c>
      <c r="AF2134">
        <v>0</v>
      </c>
      <c r="AG2134">
        <v>0</v>
      </c>
      <c r="AH2134" t="s">
        <v>116</v>
      </c>
      <c r="AI2134" s="1">
        <v>58577</v>
      </c>
      <c r="AJ2134" s="2">
        <v>0.15</v>
      </c>
      <c r="AK2134" s="1">
        <v>392577</v>
      </c>
      <c r="AL2134" t="s">
        <v>117</v>
      </c>
      <c r="AM2134" t="s">
        <v>393</v>
      </c>
      <c r="AN2134">
        <v>9079</v>
      </c>
      <c r="AO2134">
        <v>0.21</v>
      </c>
      <c r="AP2134">
        <v>1</v>
      </c>
      <c r="AR2134">
        <v>1</v>
      </c>
      <c r="AS2134" s="1">
        <v>28020</v>
      </c>
      <c r="AT2134" s="1">
        <v>5600</v>
      </c>
      <c r="AU2134" s="1">
        <v>22420</v>
      </c>
      <c r="AV2134">
        <v>80.010000000000005</v>
      </c>
      <c r="AX2134" s="1">
        <v>2153.8000000000002</v>
      </c>
      <c r="AY2134" t="s">
        <v>7007</v>
      </c>
      <c r="AZ2134" t="s">
        <v>5142</v>
      </c>
      <c r="BA2134" t="s">
        <v>5143</v>
      </c>
      <c r="BE2134" s="3">
        <v>42276</v>
      </c>
      <c r="BF2134" s="1">
        <v>334000</v>
      </c>
      <c r="BG2134" t="s">
        <v>14384</v>
      </c>
      <c r="BH2134" s="1">
        <v>126.52</v>
      </c>
      <c r="BI2134" s="1">
        <v>334000</v>
      </c>
      <c r="BJ2134" s="3">
        <v>42276</v>
      </c>
      <c r="BK2134" t="s">
        <v>123</v>
      </c>
      <c r="BL2134" t="str">
        <f>"2015.700711"</f>
        <v>2015.700711</v>
      </c>
      <c r="BM2134" t="s">
        <v>544</v>
      </c>
      <c r="BO2134" t="s">
        <v>14385</v>
      </c>
      <c r="BP2134" t="s">
        <v>14386</v>
      </c>
      <c r="BS2134">
        <v>30</v>
      </c>
      <c r="BW2134" t="str">
        <f>""</f>
        <v/>
      </c>
      <c r="CH2134" t="str">
        <f>""</f>
        <v/>
      </c>
      <c r="CS2134" t="str">
        <f>""</f>
        <v/>
      </c>
    </row>
    <row r="2135" spans="1:97" x14ac:dyDescent="0.25">
      <c r="A2135" t="s">
        <v>370</v>
      </c>
      <c r="B2135" t="s">
        <v>14387</v>
      </c>
      <c r="C2135" t="s">
        <v>489</v>
      </c>
      <c r="D2135" t="s">
        <v>14387</v>
      </c>
      <c r="E2135" t="s">
        <v>14388</v>
      </c>
      <c r="F2135" t="s">
        <v>108</v>
      </c>
      <c r="H2135" t="s">
        <v>14389</v>
      </c>
      <c r="I2135" t="s">
        <v>390</v>
      </c>
      <c r="J2135" t="s">
        <v>111</v>
      </c>
      <c r="K2135" t="str">
        <f>"85083"</f>
        <v>85083</v>
      </c>
      <c r="L2135" t="s">
        <v>4467</v>
      </c>
      <c r="M2135" t="s">
        <v>14389</v>
      </c>
      <c r="N2135" t="s">
        <v>390</v>
      </c>
      <c r="O2135" t="s">
        <v>111</v>
      </c>
      <c r="P2135" t="str">
        <f>"85083-7559"</f>
        <v>85083-7559</v>
      </c>
      <c r="Q2135" t="s">
        <v>113</v>
      </c>
      <c r="R2135" t="str">
        <f>"201-28-159"</f>
        <v>201-28-159</v>
      </c>
      <c r="S2135" t="s">
        <v>14390</v>
      </c>
      <c r="T2135" t="s">
        <v>14390</v>
      </c>
      <c r="U2135">
        <v>2203</v>
      </c>
      <c r="V2135">
        <v>0</v>
      </c>
      <c r="W2135">
        <v>3</v>
      </c>
      <c r="X2135">
        <v>2004</v>
      </c>
      <c r="Z2135">
        <v>1</v>
      </c>
      <c r="AA2135" t="s">
        <v>26</v>
      </c>
      <c r="AB2135">
        <v>0</v>
      </c>
      <c r="AC2135" t="s">
        <v>115</v>
      </c>
      <c r="AD2135">
        <v>3</v>
      </c>
      <c r="AE2135" t="s">
        <v>115</v>
      </c>
      <c r="AF2135">
        <v>0</v>
      </c>
      <c r="AG2135">
        <v>0</v>
      </c>
      <c r="AH2135" t="s">
        <v>116</v>
      </c>
      <c r="AI2135" s="1">
        <v>52011</v>
      </c>
      <c r="AJ2135" s="2">
        <v>0.13</v>
      </c>
      <c r="AK2135" s="1">
        <v>387011</v>
      </c>
      <c r="AL2135" t="s">
        <v>117</v>
      </c>
      <c r="AM2135" t="s">
        <v>171</v>
      </c>
      <c r="AN2135">
        <v>7043</v>
      </c>
      <c r="AO2135">
        <v>0.16</v>
      </c>
      <c r="AP2135">
        <v>1</v>
      </c>
      <c r="AR2135">
        <v>1</v>
      </c>
      <c r="AS2135" s="1">
        <v>28310</v>
      </c>
      <c r="AT2135" s="1">
        <v>5660</v>
      </c>
      <c r="AU2135" s="1">
        <v>22650</v>
      </c>
      <c r="AV2135">
        <v>80.010000000000005</v>
      </c>
      <c r="AX2135" s="1">
        <v>2559.4</v>
      </c>
      <c r="AY2135" t="s">
        <v>1385</v>
      </c>
      <c r="AZ2135" t="s">
        <v>1385</v>
      </c>
      <c r="BA2135" t="s">
        <v>1386</v>
      </c>
      <c r="BE2135" s="3">
        <v>42184</v>
      </c>
      <c r="BF2135" s="1">
        <v>335000</v>
      </c>
      <c r="BG2135" t="s">
        <v>14391</v>
      </c>
      <c r="BH2135" s="1">
        <v>152.07</v>
      </c>
      <c r="BI2135" s="1">
        <v>335000</v>
      </c>
      <c r="BJ2135" s="3">
        <v>42184</v>
      </c>
      <c r="BK2135" t="s">
        <v>123</v>
      </c>
      <c r="BL2135" t="str">
        <f>"2015.466179"</f>
        <v>2015.466179</v>
      </c>
      <c r="BM2135" t="s">
        <v>124</v>
      </c>
      <c r="BO2135" t="s">
        <v>14392</v>
      </c>
      <c r="BS2135">
        <v>30</v>
      </c>
      <c r="BW2135" t="str">
        <f>""</f>
        <v/>
      </c>
      <c r="CH2135" t="str">
        <f>""</f>
        <v/>
      </c>
      <c r="CS2135" t="str">
        <f>""</f>
        <v/>
      </c>
    </row>
    <row r="2136" spans="1:97" x14ac:dyDescent="0.25">
      <c r="A2136" t="s">
        <v>1366</v>
      </c>
      <c r="B2136" t="s">
        <v>14393</v>
      </c>
      <c r="C2136" t="s">
        <v>177</v>
      </c>
      <c r="D2136" t="s">
        <v>14393</v>
      </c>
      <c r="E2136" t="s">
        <v>14394</v>
      </c>
      <c r="F2136" t="s">
        <v>108</v>
      </c>
      <c r="H2136" t="s">
        <v>14395</v>
      </c>
      <c r="I2136" t="s">
        <v>225</v>
      </c>
      <c r="J2136" t="s">
        <v>111</v>
      </c>
      <c r="K2136" t="str">
        <f>"85212"</f>
        <v>85212</v>
      </c>
      <c r="L2136" t="s">
        <v>7619</v>
      </c>
      <c r="M2136" t="s">
        <v>14395</v>
      </c>
      <c r="N2136" t="s">
        <v>225</v>
      </c>
      <c r="O2136" t="s">
        <v>111</v>
      </c>
      <c r="P2136" t="str">
        <f>"85212-2515"</f>
        <v>85212-2515</v>
      </c>
      <c r="Q2136" t="s">
        <v>113</v>
      </c>
      <c r="R2136" t="str">
        <f>"304-34-686"</f>
        <v>304-34-686</v>
      </c>
      <c r="S2136" t="s">
        <v>14396</v>
      </c>
      <c r="T2136" t="s">
        <v>7621</v>
      </c>
      <c r="U2136">
        <v>2261</v>
      </c>
      <c r="V2136">
        <v>0</v>
      </c>
      <c r="W2136">
        <v>4</v>
      </c>
      <c r="X2136">
        <v>2014</v>
      </c>
      <c r="Z2136">
        <v>1</v>
      </c>
      <c r="AB2136">
        <v>0</v>
      </c>
      <c r="AC2136" t="s">
        <v>115</v>
      </c>
      <c r="AD2136">
        <v>3</v>
      </c>
      <c r="AE2136" t="s">
        <v>115</v>
      </c>
      <c r="AF2136">
        <v>0</v>
      </c>
      <c r="AG2136">
        <v>0</v>
      </c>
      <c r="AH2136" t="s">
        <v>116</v>
      </c>
      <c r="AI2136" s="1">
        <v>57387</v>
      </c>
      <c r="AJ2136" s="2">
        <v>0.16</v>
      </c>
      <c r="AK2136" s="1">
        <v>366927</v>
      </c>
      <c r="AL2136" t="s">
        <v>117</v>
      </c>
      <c r="AM2136" t="s">
        <v>191</v>
      </c>
      <c r="AN2136">
        <v>7200</v>
      </c>
      <c r="AO2136">
        <v>0.16</v>
      </c>
      <c r="AR2136">
        <v>1</v>
      </c>
      <c r="AS2136" s="1">
        <v>25610</v>
      </c>
      <c r="AT2136" s="1">
        <v>5120</v>
      </c>
      <c r="AU2136" s="1">
        <v>20490</v>
      </c>
      <c r="AV2136">
        <v>80.010000000000005</v>
      </c>
      <c r="AX2136" s="1">
        <v>1949.08</v>
      </c>
      <c r="AY2136" t="s">
        <v>776</v>
      </c>
      <c r="AZ2136" t="s">
        <v>777</v>
      </c>
      <c r="BA2136" t="s">
        <v>572</v>
      </c>
      <c r="BE2136" s="3">
        <v>41837</v>
      </c>
      <c r="BF2136" s="1">
        <v>313870</v>
      </c>
      <c r="BG2136" t="s">
        <v>749</v>
      </c>
      <c r="BH2136" s="1">
        <v>138.82</v>
      </c>
      <c r="BI2136" s="1">
        <v>309540</v>
      </c>
      <c r="BJ2136" s="3">
        <v>42409</v>
      </c>
      <c r="BK2136" t="s">
        <v>123</v>
      </c>
      <c r="BL2136" t="str">
        <f>"2016.84900"</f>
        <v>2016.84900</v>
      </c>
      <c r="BM2136" t="s">
        <v>425</v>
      </c>
      <c r="BO2136" t="s">
        <v>14397</v>
      </c>
      <c r="BS2136">
        <v>30</v>
      </c>
      <c r="BW2136" t="str">
        <f>""</f>
        <v/>
      </c>
      <c r="CH2136" t="str">
        <f>""</f>
        <v/>
      </c>
      <c r="CS2136" t="str">
        <f>""</f>
        <v/>
      </c>
    </row>
    <row r="2137" spans="1:97" x14ac:dyDescent="0.25">
      <c r="A2137" t="s">
        <v>8500</v>
      </c>
      <c r="B2137" t="s">
        <v>1720</v>
      </c>
      <c r="C2137" t="s">
        <v>2930</v>
      </c>
      <c r="D2137" t="s">
        <v>1720</v>
      </c>
      <c r="E2137" t="s">
        <v>14398</v>
      </c>
      <c r="F2137" t="s">
        <v>108</v>
      </c>
      <c r="H2137" t="s">
        <v>14399</v>
      </c>
      <c r="I2137" t="s">
        <v>110</v>
      </c>
      <c r="J2137" t="s">
        <v>111</v>
      </c>
      <c r="K2137" t="str">
        <f>"85286"</f>
        <v>85286</v>
      </c>
      <c r="L2137" t="s">
        <v>3758</v>
      </c>
      <c r="M2137" t="s">
        <v>14399</v>
      </c>
      <c r="N2137" t="s">
        <v>110</v>
      </c>
      <c r="O2137" t="s">
        <v>111</v>
      </c>
      <c r="P2137" t="str">
        <f>"85286-1623"</f>
        <v>85286-1623</v>
      </c>
      <c r="Q2137" t="s">
        <v>113</v>
      </c>
      <c r="R2137" t="str">
        <f>"303-44-859"</f>
        <v>303-44-859</v>
      </c>
      <c r="S2137" t="s">
        <v>14400</v>
      </c>
      <c r="U2137">
        <v>2649</v>
      </c>
      <c r="V2137">
        <v>0</v>
      </c>
      <c r="W2137">
        <v>4</v>
      </c>
      <c r="X2137">
        <v>2007</v>
      </c>
      <c r="Z2137">
        <v>2</v>
      </c>
      <c r="AB2137">
        <v>0</v>
      </c>
      <c r="AC2137" t="s">
        <v>115</v>
      </c>
      <c r="AD2137">
        <v>3</v>
      </c>
      <c r="AE2137" t="s">
        <v>115</v>
      </c>
      <c r="AF2137">
        <v>0</v>
      </c>
      <c r="AG2137">
        <v>0</v>
      </c>
      <c r="AH2137" t="s">
        <v>116</v>
      </c>
      <c r="AI2137" s="1">
        <v>37767</v>
      </c>
      <c r="AJ2137" s="2">
        <v>0.09</v>
      </c>
      <c r="AK2137" s="1">
        <v>431460</v>
      </c>
      <c r="AL2137" t="s">
        <v>117</v>
      </c>
      <c r="AM2137" t="s">
        <v>118</v>
      </c>
      <c r="AN2137">
        <v>8920</v>
      </c>
      <c r="AO2137">
        <v>0.2</v>
      </c>
      <c r="AR2137">
        <v>1</v>
      </c>
      <c r="AS2137" s="1">
        <v>29530</v>
      </c>
      <c r="AT2137" s="1">
        <v>5900</v>
      </c>
      <c r="AU2137" s="1">
        <v>23630</v>
      </c>
      <c r="AV2137">
        <v>80.02</v>
      </c>
      <c r="AX2137" s="1">
        <v>2543.2800000000002</v>
      </c>
      <c r="AY2137" t="s">
        <v>737</v>
      </c>
      <c r="AZ2137" t="s">
        <v>120</v>
      </c>
      <c r="BA2137" t="s">
        <v>303</v>
      </c>
      <c r="BE2137" s="3">
        <v>42551</v>
      </c>
      <c r="BF2137" s="1">
        <v>369500</v>
      </c>
      <c r="BG2137" t="s">
        <v>14401</v>
      </c>
      <c r="BH2137" s="1">
        <v>139.49</v>
      </c>
      <c r="BI2137" s="1">
        <v>381693</v>
      </c>
      <c r="BJ2137" s="3">
        <v>42551</v>
      </c>
      <c r="BK2137" t="s">
        <v>123</v>
      </c>
      <c r="BL2137" t="str">
        <f>"2016.462459"</f>
        <v>2016.462459</v>
      </c>
      <c r="BM2137" t="s">
        <v>1325</v>
      </c>
      <c r="BO2137" t="s">
        <v>14402</v>
      </c>
      <c r="BS2137">
        <v>30</v>
      </c>
      <c r="BT2137" s="1">
        <v>12000</v>
      </c>
      <c r="BU2137" s="3">
        <v>42975</v>
      </c>
      <c r="BW2137" t="str">
        <f>"2017.635413"</f>
        <v>2017.635413</v>
      </c>
      <c r="BX2137" t="s">
        <v>135</v>
      </c>
      <c r="BZ2137" t="s">
        <v>14402</v>
      </c>
      <c r="CD2137">
        <v>15</v>
      </c>
      <c r="CH2137" t="str">
        <f>""</f>
        <v/>
      </c>
      <c r="CS2137" t="str">
        <f>""</f>
        <v/>
      </c>
    </row>
    <row r="2138" spans="1:97" x14ac:dyDescent="0.25">
      <c r="A2138" t="s">
        <v>5947</v>
      </c>
      <c r="B2138" t="s">
        <v>2303</v>
      </c>
      <c r="C2138" t="s">
        <v>767</v>
      </c>
      <c r="D2138" t="s">
        <v>2303</v>
      </c>
      <c r="E2138" t="s">
        <v>14403</v>
      </c>
      <c r="F2138" t="s">
        <v>108</v>
      </c>
      <c r="H2138" t="s">
        <v>14404</v>
      </c>
      <c r="I2138" t="s">
        <v>499</v>
      </c>
      <c r="J2138" t="s">
        <v>111</v>
      </c>
      <c r="K2138" t="str">
        <f>"85395"</f>
        <v>85395</v>
      </c>
      <c r="L2138" t="s">
        <v>541</v>
      </c>
      <c r="M2138" t="s">
        <v>14404</v>
      </c>
      <c r="N2138" t="s">
        <v>499</v>
      </c>
      <c r="O2138" t="s">
        <v>111</v>
      </c>
      <c r="P2138" t="str">
        <f>"85395-7540"</f>
        <v>85395-7540</v>
      </c>
      <c r="Q2138" t="s">
        <v>113</v>
      </c>
      <c r="R2138" t="str">
        <f>"508-11-384"</f>
        <v>508-11-384</v>
      </c>
      <c r="S2138" t="s">
        <v>5752</v>
      </c>
      <c r="T2138" t="s">
        <v>5753</v>
      </c>
      <c r="U2138">
        <v>2366</v>
      </c>
      <c r="V2138">
        <v>0</v>
      </c>
      <c r="W2138">
        <v>4</v>
      </c>
      <c r="X2138">
        <v>2014</v>
      </c>
      <c r="Z2138">
        <v>1</v>
      </c>
      <c r="AB2138">
        <v>0</v>
      </c>
      <c r="AC2138" t="s">
        <v>115</v>
      </c>
      <c r="AD2138">
        <v>3</v>
      </c>
      <c r="AE2138" t="s">
        <v>115</v>
      </c>
      <c r="AF2138">
        <v>0</v>
      </c>
      <c r="AG2138">
        <v>0</v>
      </c>
      <c r="AH2138" t="s">
        <v>116</v>
      </c>
      <c r="AI2138" s="1">
        <v>151517</v>
      </c>
      <c r="AJ2138" s="2">
        <v>0.3</v>
      </c>
      <c r="AK2138" s="1">
        <v>500503</v>
      </c>
      <c r="AL2138" t="s">
        <v>117</v>
      </c>
      <c r="AM2138" t="s">
        <v>118</v>
      </c>
      <c r="AN2138">
        <v>9100</v>
      </c>
      <c r="AO2138">
        <v>0.21</v>
      </c>
      <c r="AR2138">
        <v>1</v>
      </c>
      <c r="AS2138" s="1">
        <v>28630</v>
      </c>
      <c r="AT2138" s="1">
        <v>5720</v>
      </c>
      <c r="AU2138" s="1">
        <v>22910</v>
      </c>
      <c r="AV2138">
        <v>80.02</v>
      </c>
      <c r="AX2138" s="1">
        <v>3104.68</v>
      </c>
      <c r="AY2138" t="s">
        <v>3019</v>
      </c>
      <c r="AZ2138" t="s">
        <v>3020</v>
      </c>
      <c r="BA2138" t="s">
        <v>218</v>
      </c>
      <c r="BE2138" s="3">
        <v>41744</v>
      </c>
      <c r="BF2138" s="1">
        <v>341217</v>
      </c>
      <c r="BG2138" t="s">
        <v>562</v>
      </c>
      <c r="BH2138" s="1">
        <v>144.22</v>
      </c>
      <c r="BI2138" s="1">
        <v>348986</v>
      </c>
      <c r="BJ2138" s="3">
        <v>42851</v>
      </c>
      <c r="BK2138" t="s">
        <v>123</v>
      </c>
      <c r="BL2138" t="str">
        <f>"2017.298641"</f>
        <v>2017.298641</v>
      </c>
      <c r="BM2138" t="s">
        <v>2181</v>
      </c>
      <c r="BO2138" t="s">
        <v>14405</v>
      </c>
      <c r="BS2138">
        <v>30</v>
      </c>
      <c r="BW2138" t="str">
        <f>""</f>
        <v/>
      </c>
      <c r="CH2138" t="str">
        <f>""</f>
        <v/>
      </c>
      <c r="CS2138" t="str">
        <f>""</f>
        <v/>
      </c>
    </row>
    <row r="2139" spans="1:97" x14ac:dyDescent="0.25">
      <c r="A2139" t="s">
        <v>1514</v>
      </c>
      <c r="B2139" t="s">
        <v>10074</v>
      </c>
      <c r="C2139" t="s">
        <v>3713</v>
      </c>
      <c r="D2139" t="s">
        <v>10074</v>
      </c>
      <c r="E2139" t="s">
        <v>14406</v>
      </c>
      <c r="F2139" t="s">
        <v>108</v>
      </c>
      <c r="H2139" t="s">
        <v>14407</v>
      </c>
      <c r="I2139" t="s">
        <v>632</v>
      </c>
      <c r="J2139" t="s">
        <v>111</v>
      </c>
      <c r="K2139" t="str">
        <f>"85388"</f>
        <v>85388</v>
      </c>
      <c r="L2139" t="s">
        <v>4467</v>
      </c>
      <c r="M2139" t="s">
        <v>14407</v>
      </c>
      <c r="N2139" t="s">
        <v>632</v>
      </c>
      <c r="O2139" t="s">
        <v>111</v>
      </c>
      <c r="P2139" t="str">
        <f>"85388-7508"</f>
        <v>85388-7508</v>
      </c>
      <c r="Q2139" t="s">
        <v>113</v>
      </c>
      <c r="R2139" t="str">
        <f>"502-03-674"</f>
        <v>502-03-674</v>
      </c>
      <c r="S2139" t="s">
        <v>6261</v>
      </c>
      <c r="U2139">
        <v>2277</v>
      </c>
      <c r="V2139">
        <v>0</v>
      </c>
      <c r="W2139">
        <v>3</v>
      </c>
      <c r="X2139">
        <v>2005</v>
      </c>
      <c r="Z2139">
        <v>1</v>
      </c>
      <c r="AB2139">
        <v>0</v>
      </c>
      <c r="AC2139" t="s">
        <v>115</v>
      </c>
      <c r="AD2139">
        <v>3</v>
      </c>
      <c r="AE2139" t="s">
        <v>115</v>
      </c>
      <c r="AF2139">
        <v>0</v>
      </c>
      <c r="AG2139">
        <v>0</v>
      </c>
      <c r="AH2139" t="s">
        <v>116</v>
      </c>
      <c r="AI2139" s="1">
        <v>71098</v>
      </c>
      <c r="AJ2139" s="2">
        <v>0.24</v>
      </c>
      <c r="AK2139" s="1">
        <v>290209</v>
      </c>
      <c r="AL2139" t="s">
        <v>117</v>
      </c>
      <c r="AM2139" t="s">
        <v>118</v>
      </c>
      <c r="AN2139">
        <v>7820</v>
      </c>
      <c r="AO2139">
        <v>0.18</v>
      </c>
      <c r="AP2139">
        <v>1</v>
      </c>
      <c r="AR2139">
        <v>1</v>
      </c>
      <c r="AS2139" s="1">
        <v>20310</v>
      </c>
      <c r="AT2139" s="1">
        <v>4060</v>
      </c>
      <c r="AU2139" s="1">
        <v>16250</v>
      </c>
      <c r="AV2139">
        <v>80.010000000000005</v>
      </c>
      <c r="AX2139" s="1">
        <v>1591.68</v>
      </c>
      <c r="AY2139" t="s">
        <v>6262</v>
      </c>
      <c r="AZ2139" t="s">
        <v>6262</v>
      </c>
      <c r="BA2139" t="s">
        <v>5061</v>
      </c>
      <c r="BE2139" s="3">
        <v>41810</v>
      </c>
      <c r="BF2139" s="1">
        <v>214500</v>
      </c>
      <c r="BG2139" t="s">
        <v>14408</v>
      </c>
      <c r="BH2139" s="1">
        <v>94.2</v>
      </c>
      <c r="BI2139" s="1">
        <v>219111</v>
      </c>
      <c r="BJ2139" s="3">
        <v>41810</v>
      </c>
      <c r="BK2139" t="s">
        <v>123</v>
      </c>
      <c r="BL2139" t="str">
        <f>"2014.407317"</f>
        <v>2014.407317</v>
      </c>
      <c r="BM2139" t="s">
        <v>1185</v>
      </c>
      <c r="BO2139" t="s">
        <v>14409</v>
      </c>
      <c r="BS2139">
        <v>30</v>
      </c>
      <c r="BW2139" t="str">
        <f>""</f>
        <v/>
      </c>
      <c r="CH2139" t="str">
        <f>""</f>
        <v/>
      </c>
      <c r="CS2139" t="str">
        <f>""</f>
        <v/>
      </c>
    </row>
    <row r="2140" spans="1:97" x14ac:dyDescent="0.25">
      <c r="A2140" t="s">
        <v>251</v>
      </c>
      <c r="B2140" t="s">
        <v>14410</v>
      </c>
      <c r="C2140" t="s">
        <v>852</v>
      </c>
      <c r="D2140" t="s">
        <v>14410</v>
      </c>
      <c r="E2140" t="s">
        <v>14411</v>
      </c>
      <c r="F2140" t="s">
        <v>108</v>
      </c>
      <c r="H2140" t="s">
        <v>14412</v>
      </c>
      <c r="I2140" t="s">
        <v>390</v>
      </c>
      <c r="J2140" t="s">
        <v>111</v>
      </c>
      <c r="K2140" t="str">
        <f>"85024"</f>
        <v>85024</v>
      </c>
      <c r="L2140" t="s">
        <v>8462</v>
      </c>
      <c r="M2140" t="s">
        <v>14412</v>
      </c>
      <c r="N2140" t="s">
        <v>390</v>
      </c>
      <c r="O2140" t="s">
        <v>111</v>
      </c>
      <c r="P2140" t="str">
        <f>"85024-7555"</f>
        <v>85024-7555</v>
      </c>
      <c r="Q2140" t="s">
        <v>113</v>
      </c>
      <c r="R2140" t="str">
        <f>"213-02-060"</f>
        <v>213-02-060</v>
      </c>
      <c r="S2140" t="s">
        <v>14413</v>
      </c>
      <c r="T2140" t="s">
        <v>14413</v>
      </c>
      <c r="U2140">
        <v>1800</v>
      </c>
      <c r="V2140">
        <v>0</v>
      </c>
      <c r="W2140">
        <v>3</v>
      </c>
      <c r="X2140">
        <v>1996</v>
      </c>
      <c r="Z2140">
        <v>1</v>
      </c>
      <c r="AA2140" t="s">
        <v>26</v>
      </c>
      <c r="AB2140">
        <v>0</v>
      </c>
      <c r="AC2140" t="s">
        <v>115</v>
      </c>
      <c r="AD2140">
        <v>2</v>
      </c>
      <c r="AE2140" t="s">
        <v>115</v>
      </c>
      <c r="AF2140">
        <v>0</v>
      </c>
      <c r="AG2140">
        <v>0</v>
      </c>
      <c r="AH2140" t="s">
        <v>116</v>
      </c>
      <c r="AI2140" s="1">
        <v>56310</v>
      </c>
      <c r="AJ2140" s="2">
        <v>0.16</v>
      </c>
      <c r="AK2140" s="1">
        <v>350715</v>
      </c>
      <c r="AL2140" t="s">
        <v>117</v>
      </c>
      <c r="AM2140" t="s">
        <v>171</v>
      </c>
      <c r="AN2140">
        <v>6309</v>
      </c>
      <c r="AO2140">
        <v>0.14000000000000001</v>
      </c>
      <c r="AP2140">
        <v>1</v>
      </c>
      <c r="AR2140">
        <v>1</v>
      </c>
      <c r="AS2140" s="1">
        <v>27530</v>
      </c>
      <c r="AT2140" s="1">
        <v>5500</v>
      </c>
      <c r="AU2140" s="1">
        <v>22030</v>
      </c>
      <c r="AV2140">
        <v>80.02</v>
      </c>
      <c r="AX2140" s="1">
        <v>2351.8200000000002</v>
      </c>
      <c r="AY2140" t="s">
        <v>570</v>
      </c>
      <c r="AZ2140" t="s">
        <v>761</v>
      </c>
      <c r="BA2140" t="s">
        <v>762</v>
      </c>
      <c r="BE2140" s="3">
        <v>42468</v>
      </c>
      <c r="BF2140" s="1">
        <v>285000</v>
      </c>
      <c r="BG2140" t="s">
        <v>14414</v>
      </c>
      <c r="BH2140" s="1">
        <v>158.33000000000001</v>
      </c>
      <c r="BI2140" s="1">
        <v>294405</v>
      </c>
      <c r="BJ2140" s="3">
        <v>42468</v>
      </c>
      <c r="BK2140" t="s">
        <v>123</v>
      </c>
      <c r="BL2140" t="str">
        <f>"2016.233411"</f>
        <v>2016.233411</v>
      </c>
      <c r="BM2140" t="s">
        <v>594</v>
      </c>
      <c r="BO2140" t="s">
        <v>14415</v>
      </c>
      <c r="BS2140">
        <v>30</v>
      </c>
      <c r="BW2140" t="str">
        <f>""</f>
        <v/>
      </c>
      <c r="CH2140" t="str">
        <f>""</f>
        <v/>
      </c>
      <c r="CS2140" t="str">
        <f>""</f>
        <v/>
      </c>
    </row>
    <row r="2141" spans="1:97" x14ac:dyDescent="0.25">
      <c r="A2141" t="s">
        <v>325</v>
      </c>
      <c r="B2141" t="s">
        <v>14416</v>
      </c>
      <c r="C2141" t="s">
        <v>14417</v>
      </c>
      <c r="D2141" t="s">
        <v>14416</v>
      </c>
      <c r="E2141" t="s">
        <v>14418</v>
      </c>
      <c r="F2141" t="s">
        <v>108</v>
      </c>
      <c r="H2141" t="s">
        <v>14419</v>
      </c>
      <c r="I2141" t="s">
        <v>188</v>
      </c>
      <c r="J2141" t="s">
        <v>111</v>
      </c>
      <c r="K2141" t="str">
        <f>"85142"</f>
        <v>85142</v>
      </c>
      <c r="L2141" t="s">
        <v>2197</v>
      </c>
      <c r="M2141" t="s">
        <v>14419</v>
      </c>
      <c r="N2141" t="s">
        <v>188</v>
      </c>
      <c r="O2141" t="s">
        <v>111</v>
      </c>
      <c r="P2141" t="str">
        <f>"85142-6792"</f>
        <v>85142-6792</v>
      </c>
      <c r="Q2141" t="s">
        <v>113</v>
      </c>
      <c r="R2141" t="str">
        <f>"304-89-496"</f>
        <v>304-89-496</v>
      </c>
      <c r="S2141" t="s">
        <v>7403</v>
      </c>
      <c r="T2141" t="s">
        <v>7403</v>
      </c>
      <c r="U2141">
        <v>2337</v>
      </c>
      <c r="V2141">
        <v>0</v>
      </c>
      <c r="W2141">
        <v>3</v>
      </c>
      <c r="X2141">
        <v>2015</v>
      </c>
      <c r="Z2141">
        <v>1</v>
      </c>
      <c r="AB2141">
        <v>0</v>
      </c>
      <c r="AC2141" t="s">
        <v>115</v>
      </c>
      <c r="AD2141">
        <v>3</v>
      </c>
      <c r="AE2141" t="s">
        <v>115</v>
      </c>
      <c r="AF2141">
        <v>0</v>
      </c>
      <c r="AG2141">
        <v>0</v>
      </c>
      <c r="AH2141" t="s">
        <v>116</v>
      </c>
      <c r="AI2141" s="1">
        <v>75305</v>
      </c>
      <c r="AJ2141" s="2">
        <v>0.2</v>
      </c>
      <c r="AK2141" s="1">
        <v>378941</v>
      </c>
      <c r="AL2141" t="s">
        <v>117</v>
      </c>
      <c r="AM2141" t="s">
        <v>393</v>
      </c>
      <c r="AN2141">
        <v>7800</v>
      </c>
      <c r="AO2141">
        <v>0.18</v>
      </c>
      <c r="AR2141">
        <v>1</v>
      </c>
      <c r="AS2141" s="1">
        <v>27630</v>
      </c>
      <c r="AT2141" s="1">
        <v>5520</v>
      </c>
      <c r="AU2141" s="1">
        <v>22110</v>
      </c>
      <c r="AV2141">
        <v>80.02</v>
      </c>
      <c r="AX2141" s="1">
        <v>2590.84</v>
      </c>
      <c r="AY2141" t="s">
        <v>192</v>
      </c>
      <c r="AZ2141" t="s">
        <v>193</v>
      </c>
      <c r="BA2141" t="s">
        <v>194</v>
      </c>
      <c r="BE2141" s="3">
        <v>42347</v>
      </c>
      <c r="BF2141" s="1">
        <v>293937</v>
      </c>
      <c r="BG2141" t="s">
        <v>562</v>
      </c>
      <c r="BH2141" s="1">
        <v>125.78</v>
      </c>
      <c r="BI2141" s="1">
        <v>303636</v>
      </c>
      <c r="BJ2141" s="3">
        <v>42347</v>
      </c>
      <c r="BK2141" t="s">
        <v>123</v>
      </c>
      <c r="BL2141" t="str">
        <f>"2015.871500"</f>
        <v>2015.871500</v>
      </c>
      <c r="BM2141" t="s">
        <v>175</v>
      </c>
      <c r="BO2141" t="s">
        <v>14420</v>
      </c>
      <c r="BS2141">
        <v>30</v>
      </c>
      <c r="BW2141" t="str">
        <f>""</f>
        <v/>
      </c>
      <c r="CH2141" t="str">
        <f>""</f>
        <v/>
      </c>
      <c r="CS2141" t="str">
        <f>""</f>
        <v/>
      </c>
    </row>
    <row r="2142" spans="1:97" x14ac:dyDescent="0.25">
      <c r="A2142" t="s">
        <v>6808</v>
      </c>
      <c r="B2142" t="s">
        <v>13123</v>
      </c>
      <c r="C2142" t="s">
        <v>14421</v>
      </c>
      <c r="D2142" t="s">
        <v>13123</v>
      </c>
      <c r="E2142" t="s">
        <v>14422</v>
      </c>
      <c r="F2142" t="s">
        <v>108</v>
      </c>
      <c r="H2142" t="s">
        <v>14423</v>
      </c>
      <c r="I2142" t="s">
        <v>203</v>
      </c>
      <c r="J2142" t="s">
        <v>111</v>
      </c>
      <c r="K2142" t="str">
        <f>"85296"</f>
        <v>85296</v>
      </c>
      <c r="L2142" t="s">
        <v>9060</v>
      </c>
      <c r="M2142" t="s">
        <v>14423</v>
      </c>
      <c r="N2142" t="s">
        <v>203</v>
      </c>
      <c r="O2142" t="s">
        <v>111</v>
      </c>
      <c r="P2142" t="str">
        <f>"85296-9777"</f>
        <v>85296-9777</v>
      </c>
      <c r="Q2142" t="s">
        <v>113</v>
      </c>
      <c r="R2142" t="str">
        <f>"304-25-723"</f>
        <v>304-25-723</v>
      </c>
      <c r="S2142" t="s">
        <v>11835</v>
      </c>
      <c r="T2142" t="s">
        <v>9527</v>
      </c>
      <c r="U2142">
        <v>2470</v>
      </c>
      <c r="V2142">
        <v>0</v>
      </c>
      <c r="W2142">
        <v>3</v>
      </c>
      <c r="X2142">
        <v>1997</v>
      </c>
      <c r="Z2142">
        <v>1</v>
      </c>
      <c r="AA2142" t="s">
        <v>26</v>
      </c>
      <c r="AB2142">
        <v>0</v>
      </c>
      <c r="AC2142" t="s">
        <v>115</v>
      </c>
      <c r="AD2142">
        <v>3</v>
      </c>
      <c r="AE2142" t="s">
        <v>115</v>
      </c>
      <c r="AF2142">
        <v>0</v>
      </c>
      <c r="AG2142">
        <v>0</v>
      </c>
      <c r="AH2142" t="s">
        <v>116</v>
      </c>
      <c r="AI2142" s="1">
        <v>66150</v>
      </c>
      <c r="AJ2142" s="2">
        <v>0.17</v>
      </c>
      <c r="AK2142" s="1">
        <v>395677</v>
      </c>
      <c r="AL2142" t="s">
        <v>117</v>
      </c>
      <c r="AM2142" t="s">
        <v>393</v>
      </c>
      <c r="AN2142">
        <v>9008</v>
      </c>
      <c r="AO2142">
        <v>0.21</v>
      </c>
      <c r="AP2142">
        <v>1</v>
      </c>
      <c r="AR2142">
        <v>1</v>
      </c>
      <c r="AS2142" s="1">
        <v>31280</v>
      </c>
      <c r="AT2142" s="1">
        <v>6250</v>
      </c>
      <c r="AU2142" s="1">
        <v>25030</v>
      </c>
      <c r="AV2142">
        <v>80.02</v>
      </c>
      <c r="AX2142" s="1">
        <v>2301.44</v>
      </c>
      <c r="AY2142" t="s">
        <v>7837</v>
      </c>
      <c r="AZ2142" t="s">
        <v>207</v>
      </c>
      <c r="BA2142" t="s">
        <v>208</v>
      </c>
      <c r="BE2142" s="3">
        <v>41778</v>
      </c>
      <c r="BF2142" s="1">
        <v>213000</v>
      </c>
      <c r="BG2142" t="s">
        <v>14424</v>
      </c>
      <c r="BH2142" s="1">
        <v>86.23</v>
      </c>
      <c r="BI2142" s="1">
        <v>329527</v>
      </c>
      <c r="BJ2142" s="3">
        <v>42339</v>
      </c>
      <c r="BK2142" t="s">
        <v>123</v>
      </c>
      <c r="BL2142" t="str">
        <f>"2015.854015"</f>
        <v>2015.854015</v>
      </c>
      <c r="BM2142" t="s">
        <v>5253</v>
      </c>
      <c r="BO2142" t="s">
        <v>14425</v>
      </c>
      <c r="BS2142">
        <v>30</v>
      </c>
      <c r="BW2142" t="str">
        <f>""</f>
        <v/>
      </c>
      <c r="CH2142" t="str">
        <f>""</f>
        <v/>
      </c>
      <c r="CS2142" t="str">
        <f>""</f>
        <v/>
      </c>
    </row>
    <row r="2143" spans="1:97" x14ac:dyDescent="0.25">
      <c r="A2143" t="s">
        <v>2053</v>
      </c>
      <c r="B2143" t="s">
        <v>3333</v>
      </c>
      <c r="C2143" t="s">
        <v>3958</v>
      </c>
      <c r="D2143" t="s">
        <v>3333</v>
      </c>
      <c r="E2143" t="s">
        <v>14426</v>
      </c>
      <c r="F2143" t="s">
        <v>108</v>
      </c>
      <c r="H2143" t="s">
        <v>14427</v>
      </c>
      <c r="I2143" t="s">
        <v>167</v>
      </c>
      <c r="J2143" t="s">
        <v>111</v>
      </c>
      <c r="K2143" t="str">
        <f>"85339"</f>
        <v>85339</v>
      </c>
      <c r="L2143" t="s">
        <v>5637</v>
      </c>
      <c r="M2143" t="s">
        <v>14427</v>
      </c>
      <c r="N2143" t="s">
        <v>167</v>
      </c>
      <c r="O2143" t="s">
        <v>111</v>
      </c>
      <c r="P2143" t="str">
        <f>"85339-5256"</f>
        <v>85339-5256</v>
      </c>
      <c r="Q2143" t="s">
        <v>113</v>
      </c>
      <c r="R2143" t="str">
        <f>"300-15-396"</f>
        <v>300-15-396</v>
      </c>
      <c r="S2143" t="s">
        <v>14428</v>
      </c>
      <c r="T2143" t="s">
        <v>14429</v>
      </c>
      <c r="U2143">
        <v>4070</v>
      </c>
      <c r="V2143">
        <v>0</v>
      </c>
      <c r="W2143">
        <v>5</v>
      </c>
      <c r="X2143">
        <v>2007</v>
      </c>
      <c r="Z2143">
        <v>2</v>
      </c>
      <c r="AA2143" t="s">
        <v>26</v>
      </c>
      <c r="AB2143">
        <v>0</v>
      </c>
      <c r="AC2143" t="s">
        <v>115</v>
      </c>
      <c r="AD2143">
        <v>3</v>
      </c>
      <c r="AE2143" t="s">
        <v>115</v>
      </c>
      <c r="AF2143">
        <v>0</v>
      </c>
      <c r="AG2143">
        <v>0</v>
      </c>
      <c r="AH2143" t="s">
        <v>116</v>
      </c>
      <c r="AI2143" s="1">
        <v>65662</v>
      </c>
      <c r="AJ2143" s="2">
        <v>0.16</v>
      </c>
      <c r="AK2143" s="1">
        <v>408988</v>
      </c>
      <c r="AL2143" t="s">
        <v>117</v>
      </c>
      <c r="AM2143" t="s">
        <v>171</v>
      </c>
      <c r="AN2143">
        <v>14035</v>
      </c>
      <c r="AO2143">
        <v>0.32</v>
      </c>
      <c r="AR2143">
        <v>1</v>
      </c>
      <c r="AS2143" s="1">
        <v>29950</v>
      </c>
      <c r="AT2143" s="1">
        <v>5990</v>
      </c>
      <c r="AU2143" s="1">
        <v>23960</v>
      </c>
      <c r="AV2143">
        <v>80</v>
      </c>
      <c r="AX2143" s="1">
        <v>4530.1000000000004</v>
      </c>
      <c r="AY2143" t="s">
        <v>805</v>
      </c>
      <c r="AZ2143" t="s">
        <v>806</v>
      </c>
      <c r="BA2143" t="s">
        <v>173</v>
      </c>
      <c r="BE2143" s="3">
        <v>42215</v>
      </c>
      <c r="BF2143" s="1">
        <v>336100</v>
      </c>
      <c r="BG2143" t="s">
        <v>9927</v>
      </c>
      <c r="BH2143" s="1">
        <v>82.58</v>
      </c>
      <c r="BI2143" s="1">
        <v>343326</v>
      </c>
      <c r="BJ2143" s="3">
        <v>42215</v>
      </c>
      <c r="BK2143" t="s">
        <v>123</v>
      </c>
      <c r="BL2143" t="str">
        <f>"2015.551058"</f>
        <v>2015.551058</v>
      </c>
      <c r="BM2143" t="s">
        <v>3929</v>
      </c>
      <c r="BO2143" t="s">
        <v>14430</v>
      </c>
      <c r="BS2143">
        <v>30</v>
      </c>
      <c r="BW2143" t="str">
        <f>""</f>
        <v/>
      </c>
      <c r="CH2143" t="str">
        <f>""</f>
        <v/>
      </c>
      <c r="CS2143" t="str">
        <f>""</f>
        <v/>
      </c>
    </row>
    <row r="2144" spans="1:97" x14ac:dyDescent="0.25">
      <c r="A2144" t="s">
        <v>894</v>
      </c>
      <c r="B2144" t="s">
        <v>14431</v>
      </c>
      <c r="C2144" t="s">
        <v>259</v>
      </c>
      <c r="D2144" t="s">
        <v>14431</v>
      </c>
      <c r="E2144" t="s">
        <v>14432</v>
      </c>
      <c r="F2144" t="s">
        <v>108</v>
      </c>
      <c r="H2144" t="s">
        <v>14433</v>
      </c>
      <c r="I2144" t="s">
        <v>203</v>
      </c>
      <c r="J2144" t="s">
        <v>111</v>
      </c>
      <c r="K2144" t="str">
        <f>"85233"</f>
        <v>85233</v>
      </c>
      <c r="L2144" t="s">
        <v>8146</v>
      </c>
      <c r="M2144" t="s">
        <v>14433</v>
      </c>
      <c r="N2144" t="s">
        <v>203</v>
      </c>
      <c r="O2144" t="s">
        <v>111</v>
      </c>
      <c r="P2144" t="str">
        <f>"85233-3530"</f>
        <v>85233-3530</v>
      </c>
      <c r="Q2144" t="s">
        <v>113</v>
      </c>
      <c r="R2144" t="str">
        <f>"302-22-074"</f>
        <v>302-22-074</v>
      </c>
      <c r="S2144" t="s">
        <v>14434</v>
      </c>
      <c r="U2144">
        <v>3273</v>
      </c>
      <c r="V2144">
        <v>0</v>
      </c>
      <c r="W2144">
        <v>4</v>
      </c>
      <c r="X2144">
        <v>1994</v>
      </c>
      <c r="Z2144">
        <v>2</v>
      </c>
      <c r="AA2144" t="s">
        <v>26</v>
      </c>
      <c r="AB2144">
        <v>0</v>
      </c>
      <c r="AC2144" t="s">
        <v>115</v>
      </c>
      <c r="AD2144">
        <v>3</v>
      </c>
      <c r="AE2144" t="s">
        <v>115</v>
      </c>
      <c r="AF2144">
        <v>0</v>
      </c>
      <c r="AG2144">
        <v>0</v>
      </c>
      <c r="AH2144" t="s">
        <v>116</v>
      </c>
      <c r="AI2144" s="1">
        <v>37559</v>
      </c>
      <c r="AJ2144" s="2">
        <v>0.08</v>
      </c>
      <c r="AK2144" s="1">
        <v>443559</v>
      </c>
      <c r="AL2144" t="s">
        <v>117</v>
      </c>
      <c r="AM2144" t="s">
        <v>393</v>
      </c>
      <c r="AN2144">
        <v>9662</v>
      </c>
      <c r="AO2144">
        <v>0.22</v>
      </c>
      <c r="AP2144">
        <v>1</v>
      </c>
      <c r="AR2144">
        <v>1</v>
      </c>
      <c r="AS2144" s="1">
        <v>32570</v>
      </c>
      <c r="AT2144" s="1">
        <v>6510</v>
      </c>
      <c r="AU2144" s="1">
        <v>26060</v>
      </c>
      <c r="AV2144">
        <v>80.010000000000005</v>
      </c>
      <c r="AX2144" s="1">
        <v>2271</v>
      </c>
      <c r="AY2144" t="s">
        <v>9989</v>
      </c>
      <c r="AZ2144" t="s">
        <v>5478</v>
      </c>
      <c r="BA2144" t="s">
        <v>5479</v>
      </c>
      <c r="BE2144" s="3">
        <v>42208</v>
      </c>
      <c r="BF2144" s="1">
        <v>355000</v>
      </c>
      <c r="BG2144" t="s">
        <v>14435</v>
      </c>
      <c r="BH2144" s="1">
        <v>108.46</v>
      </c>
      <c r="BI2144" s="1">
        <v>406000</v>
      </c>
      <c r="BJ2144" s="3">
        <v>43417</v>
      </c>
      <c r="BK2144" t="s">
        <v>123</v>
      </c>
      <c r="BL2144" t="str">
        <f>"2018.839506"</f>
        <v>2018.839506</v>
      </c>
      <c r="BM2144" t="s">
        <v>533</v>
      </c>
      <c r="BN2144" t="s">
        <v>534</v>
      </c>
      <c r="BO2144" t="s">
        <v>14436</v>
      </c>
      <c r="BP2144" t="s">
        <v>14437</v>
      </c>
      <c r="BR2144" t="s">
        <v>139</v>
      </c>
      <c r="BW2144" t="str">
        <f>""</f>
        <v/>
      </c>
      <c r="CH2144" t="str">
        <f>""</f>
        <v/>
      </c>
      <c r="CS2144" t="str">
        <f>""</f>
        <v/>
      </c>
    </row>
    <row r="2145" spans="1:97" x14ac:dyDescent="0.25">
      <c r="A2145" t="s">
        <v>464</v>
      </c>
      <c r="B2145" t="s">
        <v>14438</v>
      </c>
      <c r="C2145" t="s">
        <v>2184</v>
      </c>
      <c r="D2145" t="s">
        <v>14438</v>
      </c>
      <c r="E2145" t="s">
        <v>14439</v>
      </c>
      <c r="F2145" t="s">
        <v>108</v>
      </c>
      <c r="H2145" t="s">
        <v>14440</v>
      </c>
      <c r="I2145" t="s">
        <v>390</v>
      </c>
      <c r="J2145" t="s">
        <v>111</v>
      </c>
      <c r="K2145" t="str">
        <f>"85048"</f>
        <v>85048</v>
      </c>
      <c r="L2145" t="s">
        <v>6325</v>
      </c>
      <c r="M2145" t="s">
        <v>14440</v>
      </c>
      <c r="N2145" t="s">
        <v>390</v>
      </c>
      <c r="O2145" t="s">
        <v>111</v>
      </c>
      <c r="P2145" t="str">
        <f>"85048-7346"</f>
        <v>85048-7346</v>
      </c>
      <c r="Q2145" t="s">
        <v>113</v>
      </c>
      <c r="R2145" t="str">
        <f>"301-79-853"</f>
        <v>301-79-853</v>
      </c>
      <c r="S2145" t="s">
        <v>14441</v>
      </c>
      <c r="U2145">
        <v>2014</v>
      </c>
      <c r="V2145">
        <v>0</v>
      </c>
      <c r="W2145">
        <v>3</v>
      </c>
      <c r="X2145">
        <v>1987</v>
      </c>
      <c r="Z2145">
        <v>1</v>
      </c>
      <c r="AA2145" t="s">
        <v>26</v>
      </c>
      <c r="AB2145">
        <v>0</v>
      </c>
      <c r="AC2145" t="s">
        <v>115</v>
      </c>
      <c r="AD2145">
        <v>2</v>
      </c>
      <c r="AE2145" t="s">
        <v>115</v>
      </c>
      <c r="AF2145">
        <v>0</v>
      </c>
      <c r="AG2145">
        <v>0</v>
      </c>
      <c r="AH2145" t="s">
        <v>116</v>
      </c>
      <c r="AI2145" s="1">
        <v>76279</v>
      </c>
      <c r="AJ2145" s="2">
        <v>0.21</v>
      </c>
      <c r="AK2145" s="1">
        <v>367229</v>
      </c>
      <c r="AL2145" t="s">
        <v>117</v>
      </c>
      <c r="AM2145" t="s">
        <v>191</v>
      </c>
      <c r="AN2145">
        <v>6853</v>
      </c>
      <c r="AO2145">
        <v>0.16</v>
      </c>
      <c r="AP2145">
        <v>1</v>
      </c>
      <c r="AR2145">
        <v>1</v>
      </c>
      <c r="AS2145" s="1">
        <v>26060</v>
      </c>
      <c r="AT2145" s="1">
        <v>5210</v>
      </c>
      <c r="AU2145" s="1">
        <v>20850</v>
      </c>
      <c r="AV2145">
        <v>80.010000000000005</v>
      </c>
      <c r="AX2145" s="1">
        <v>2372.44</v>
      </c>
      <c r="AY2145" t="s">
        <v>928</v>
      </c>
      <c r="AZ2145" t="s">
        <v>929</v>
      </c>
      <c r="BA2145" t="s">
        <v>930</v>
      </c>
      <c r="BE2145" s="3">
        <v>42068</v>
      </c>
      <c r="BF2145" s="1">
        <v>197000</v>
      </c>
      <c r="BG2145" t="s">
        <v>14442</v>
      </c>
      <c r="BH2145" s="1">
        <v>97.82</v>
      </c>
      <c r="BI2145" s="1">
        <v>290950</v>
      </c>
      <c r="BJ2145" s="3">
        <v>42550</v>
      </c>
      <c r="BK2145" t="s">
        <v>123</v>
      </c>
      <c r="BL2145" t="str">
        <f>"2016.454598"</f>
        <v>2016.454598</v>
      </c>
      <c r="BM2145" t="s">
        <v>124</v>
      </c>
      <c r="BO2145" t="s">
        <v>14443</v>
      </c>
      <c r="BS2145">
        <v>30</v>
      </c>
      <c r="BW2145" t="str">
        <f>""</f>
        <v/>
      </c>
      <c r="CH2145" t="str">
        <f>""</f>
        <v/>
      </c>
      <c r="CS2145" t="str">
        <f>""</f>
        <v/>
      </c>
    </row>
    <row r="2146" spans="1:97" x14ac:dyDescent="0.25">
      <c r="A2146" t="s">
        <v>14444</v>
      </c>
      <c r="B2146" t="s">
        <v>14445</v>
      </c>
      <c r="C2146" t="s">
        <v>1170</v>
      </c>
      <c r="D2146" t="s">
        <v>14445</v>
      </c>
      <c r="E2146" t="s">
        <v>14446</v>
      </c>
      <c r="F2146" t="s">
        <v>108</v>
      </c>
      <c r="H2146" t="s">
        <v>14447</v>
      </c>
      <c r="I2146" t="s">
        <v>188</v>
      </c>
      <c r="J2146" t="s">
        <v>111</v>
      </c>
      <c r="K2146" t="str">
        <f>"85142"</f>
        <v>85142</v>
      </c>
      <c r="L2146" t="s">
        <v>5893</v>
      </c>
      <c r="M2146" t="s">
        <v>14447</v>
      </c>
      <c r="N2146" t="s">
        <v>188</v>
      </c>
      <c r="O2146" t="s">
        <v>111</v>
      </c>
      <c r="P2146" t="str">
        <f>"85142-4830"</f>
        <v>85142-4830</v>
      </c>
      <c r="R2146" t="str">
        <f>"314-04-757"</f>
        <v>314-04-757</v>
      </c>
      <c r="S2146" t="s">
        <v>5894</v>
      </c>
      <c r="T2146" t="s">
        <v>5894</v>
      </c>
      <c r="U2146">
        <v>1813</v>
      </c>
      <c r="V2146">
        <v>0</v>
      </c>
      <c r="W2146">
        <v>3</v>
      </c>
      <c r="X2146">
        <v>2014</v>
      </c>
      <c r="Z2146">
        <v>1</v>
      </c>
      <c r="AB2146">
        <v>0</v>
      </c>
      <c r="AC2146" t="s">
        <v>115</v>
      </c>
      <c r="AD2146">
        <v>2</v>
      </c>
      <c r="AE2146" t="s">
        <v>115</v>
      </c>
      <c r="AF2146">
        <v>0</v>
      </c>
      <c r="AG2146">
        <v>0</v>
      </c>
      <c r="AH2146" t="s">
        <v>116</v>
      </c>
      <c r="AI2146" s="1">
        <v>-28621</v>
      </c>
      <c r="AJ2146" s="2">
        <v>-0.09</v>
      </c>
      <c r="AK2146" s="1">
        <v>312329</v>
      </c>
      <c r="AL2146" t="s">
        <v>117</v>
      </c>
      <c r="AM2146" t="s">
        <v>191</v>
      </c>
      <c r="AN2146">
        <v>6900</v>
      </c>
      <c r="AO2146">
        <v>0.16</v>
      </c>
      <c r="AR2146">
        <v>1</v>
      </c>
      <c r="AS2146" s="1">
        <v>22310</v>
      </c>
      <c r="AT2146" s="1">
        <v>4460</v>
      </c>
      <c r="AU2146" s="1">
        <v>17850</v>
      </c>
      <c r="AV2146">
        <v>80.010000000000005</v>
      </c>
      <c r="AX2146" s="1">
        <v>1918.76</v>
      </c>
      <c r="AY2146" t="s">
        <v>5895</v>
      </c>
      <c r="AZ2146" t="s">
        <v>561</v>
      </c>
      <c r="BA2146" t="s">
        <v>194</v>
      </c>
      <c r="BE2146" s="3">
        <v>41968</v>
      </c>
      <c r="BF2146" s="1">
        <v>280484</v>
      </c>
      <c r="BG2146" t="s">
        <v>617</v>
      </c>
      <c r="BH2146" s="1">
        <v>154.71</v>
      </c>
      <c r="BI2146" s="1">
        <v>280450</v>
      </c>
      <c r="BJ2146" s="3">
        <v>41968</v>
      </c>
      <c r="BK2146" t="s">
        <v>123</v>
      </c>
      <c r="BL2146" t="str">
        <f>"2014.779913"</f>
        <v>2014.779913</v>
      </c>
      <c r="BM2146" t="s">
        <v>1192</v>
      </c>
      <c r="BN2146" t="s">
        <v>11855</v>
      </c>
      <c r="BO2146" t="s">
        <v>14448</v>
      </c>
      <c r="BS2146">
        <v>30</v>
      </c>
      <c r="BT2146" s="1">
        <v>60500</v>
      </c>
      <c r="BU2146" s="3">
        <v>43787</v>
      </c>
      <c r="BV2146" t="s">
        <v>134</v>
      </c>
      <c r="BW2146" t="str">
        <f>"2019.929806"</f>
        <v>2019.929806</v>
      </c>
      <c r="BX2146" t="s">
        <v>3538</v>
      </c>
      <c r="BY2146" t="s">
        <v>3539</v>
      </c>
      <c r="BZ2146" t="s">
        <v>14449</v>
      </c>
      <c r="CA2146" t="s">
        <v>14450</v>
      </c>
      <c r="CC2146" t="s">
        <v>139</v>
      </c>
      <c r="CH2146" t="str">
        <f>""</f>
        <v/>
      </c>
      <c r="CS2146" t="str">
        <f>""</f>
        <v/>
      </c>
    </row>
    <row r="2147" spans="1:97" x14ac:dyDescent="0.25">
      <c r="A2147" t="s">
        <v>4849</v>
      </c>
      <c r="B2147" t="s">
        <v>555</v>
      </c>
      <c r="C2147" t="s">
        <v>3505</v>
      </c>
      <c r="D2147" t="s">
        <v>555</v>
      </c>
      <c r="E2147" t="s">
        <v>14451</v>
      </c>
      <c r="F2147" t="s">
        <v>108</v>
      </c>
      <c r="H2147" t="s">
        <v>14452</v>
      </c>
      <c r="I2147" t="s">
        <v>203</v>
      </c>
      <c r="J2147" t="s">
        <v>111</v>
      </c>
      <c r="K2147" t="str">
        <f>"85296"</f>
        <v>85296</v>
      </c>
      <c r="L2147" t="s">
        <v>3326</v>
      </c>
      <c r="M2147" t="s">
        <v>14452</v>
      </c>
      <c r="N2147" t="s">
        <v>203</v>
      </c>
      <c r="O2147" t="s">
        <v>111</v>
      </c>
      <c r="P2147" t="str">
        <f>"85296-2645"</f>
        <v>85296-2645</v>
      </c>
      <c r="Q2147" t="s">
        <v>113</v>
      </c>
      <c r="R2147" t="str">
        <f>"309-11-311"</f>
        <v>309-11-311</v>
      </c>
      <c r="S2147" t="s">
        <v>14453</v>
      </c>
      <c r="T2147" t="s">
        <v>14454</v>
      </c>
      <c r="U2147">
        <v>2285</v>
      </c>
      <c r="V2147">
        <v>0</v>
      </c>
      <c r="W2147">
        <v>3</v>
      </c>
      <c r="X2147">
        <v>1997</v>
      </c>
      <c r="Z2147">
        <v>1</v>
      </c>
      <c r="AA2147" t="s">
        <v>26</v>
      </c>
      <c r="AB2147">
        <v>0</v>
      </c>
      <c r="AC2147" t="s">
        <v>115</v>
      </c>
      <c r="AD2147">
        <v>2</v>
      </c>
      <c r="AE2147" t="s">
        <v>115</v>
      </c>
      <c r="AF2147">
        <v>0</v>
      </c>
      <c r="AG2147">
        <v>0</v>
      </c>
      <c r="AH2147" t="s">
        <v>116</v>
      </c>
      <c r="AI2147" s="1">
        <v>80422</v>
      </c>
      <c r="AJ2147" s="2">
        <v>0.21</v>
      </c>
      <c r="AK2147" s="1">
        <v>389082</v>
      </c>
      <c r="AL2147" t="s">
        <v>117</v>
      </c>
      <c r="AM2147" t="s">
        <v>393</v>
      </c>
      <c r="AN2147">
        <v>8986</v>
      </c>
      <c r="AO2147">
        <v>0.21</v>
      </c>
      <c r="AP2147">
        <v>1</v>
      </c>
      <c r="AR2147">
        <v>1</v>
      </c>
      <c r="AS2147" s="1">
        <v>27260</v>
      </c>
      <c r="AT2147" s="1">
        <v>5450</v>
      </c>
      <c r="AU2147" s="1">
        <v>21810</v>
      </c>
      <c r="AV2147">
        <v>80.010000000000005</v>
      </c>
      <c r="AX2147" s="1">
        <v>1912.08</v>
      </c>
      <c r="AY2147" t="s">
        <v>5032</v>
      </c>
      <c r="AZ2147" t="s">
        <v>520</v>
      </c>
      <c r="BA2147" t="s">
        <v>5033</v>
      </c>
      <c r="BE2147" s="3">
        <v>41661</v>
      </c>
      <c r="BF2147" s="1">
        <v>310000</v>
      </c>
      <c r="BG2147" t="s">
        <v>12640</v>
      </c>
      <c r="BH2147" s="1">
        <v>135.66999999999999</v>
      </c>
      <c r="BI2147" s="1">
        <v>308660</v>
      </c>
      <c r="BJ2147" s="3">
        <v>41953</v>
      </c>
      <c r="BK2147" t="s">
        <v>123</v>
      </c>
      <c r="BL2147" t="str">
        <f>"2014.744446"</f>
        <v>2014.744446</v>
      </c>
      <c r="BM2147" t="s">
        <v>2683</v>
      </c>
      <c r="BO2147" t="s">
        <v>14455</v>
      </c>
      <c r="BS2147">
        <v>30</v>
      </c>
      <c r="BW2147" t="str">
        <f>""</f>
        <v/>
      </c>
      <c r="CH2147" t="str">
        <f>""</f>
        <v/>
      </c>
      <c r="CS2147" t="str">
        <f>""</f>
        <v/>
      </c>
    </row>
    <row r="2148" spans="1:97" x14ac:dyDescent="0.25">
      <c r="A2148" t="s">
        <v>14456</v>
      </c>
      <c r="B2148" t="s">
        <v>5236</v>
      </c>
      <c r="C2148" t="s">
        <v>2806</v>
      </c>
      <c r="D2148" t="s">
        <v>5236</v>
      </c>
      <c r="E2148" t="s">
        <v>14457</v>
      </c>
      <c r="F2148" t="s">
        <v>108</v>
      </c>
      <c r="H2148" t="s">
        <v>14458</v>
      </c>
      <c r="I2148" t="s">
        <v>110</v>
      </c>
      <c r="J2148" t="s">
        <v>111</v>
      </c>
      <c r="K2148" t="str">
        <f>"85226"</f>
        <v>85226</v>
      </c>
      <c r="L2148" t="s">
        <v>2547</v>
      </c>
      <c r="M2148" t="s">
        <v>14458</v>
      </c>
      <c r="N2148" t="s">
        <v>110</v>
      </c>
      <c r="O2148" t="s">
        <v>111</v>
      </c>
      <c r="P2148" t="str">
        <f>"85226-1400"</f>
        <v>85226-1400</v>
      </c>
      <c r="Q2148" t="s">
        <v>113</v>
      </c>
      <c r="R2148" t="str">
        <f>"308-06-003"</f>
        <v>308-06-003</v>
      </c>
      <c r="S2148" t="s">
        <v>13267</v>
      </c>
      <c r="T2148" t="s">
        <v>13267</v>
      </c>
      <c r="U2148">
        <v>2518</v>
      </c>
      <c r="V2148">
        <v>0</v>
      </c>
      <c r="W2148">
        <v>3</v>
      </c>
      <c r="X2148">
        <v>1991</v>
      </c>
      <c r="Z2148">
        <v>1</v>
      </c>
      <c r="AA2148" t="s">
        <v>26</v>
      </c>
      <c r="AB2148">
        <v>0</v>
      </c>
      <c r="AC2148" t="s">
        <v>115</v>
      </c>
      <c r="AD2148">
        <v>3</v>
      </c>
      <c r="AE2148" t="s">
        <v>115</v>
      </c>
      <c r="AF2148">
        <v>0</v>
      </c>
      <c r="AG2148">
        <v>0</v>
      </c>
      <c r="AH2148" t="s">
        <v>116</v>
      </c>
      <c r="AI2148" s="1">
        <v>39227</v>
      </c>
      <c r="AJ2148" s="2">
        <v>0.08</v>
      </c>
      <c r="AK2148" s="1">
        <v>469988</v>
      </c>
      <c r="AL2148" t="s">
        <v>117</v>
      </c>
      <c r="AM2148" t="s">
        <v>118</v>
      </c>
      <c r="AN2148">
        <v>10507</v>
      </c>
      <c r="AO2148">
        <v>0.24</v>
      </c>
      <c r="AP2148">
        <v>1</v>
      </c>
      <c r="AR2148">
        <v>1</v>
      </c>
      <c r="AS2148" s="1">
        <v>34160</v>
      </c>
      <c r="AT2148" s="1">
        <v>6830</v>
      </c>
      <c r="AU2148" s="1">
        <v>27330</v>
      </c>
      <c r="AV2148">
        <v>80.010000000000005</v>
      </c>
      <c r="AX2148" s="1">
        <v>2931.44</v>
      </c>
      <c r="AY2148" t="s">
        <v>5921</v>
      </c>
      <c r="AZ2148" t="s">
        <v>5922</v>
      </c>
      <c r="BA2148" t="s">
        <v>5202</v>
      </c>
      <c r="BE2148" s="3">
        <v>42405</v>
      </c>
      <c r="BF2148" s="1">
        <v>417000</v>
      </c>
      <c r="BG2148" t="s">
        <v>14459</v>
      </c>
      <c r="BH2148" s="1">
        <v>165.61</v>
      </c>
      <c r="BI2148" s="1">
        <v>430761</v>
      </c>
      <c r="BJ2148" s="3">
        <v>42405</v>
      </c>
      <c r="BK2148" t="s">
        <v>123</v>
      </c>
      <c r="BL2148" t="str">
        <f>"2016.76829"</f>
        <v>2016.76829</v>
      </c>
      <c r="BM2148" t="s">
        <v>14460</v>
      </c>
      <c r="BO2148" t="s">
        <v>14461</v>
      </c>
      <c r="BS2148">
        <v>30</v>
      </c>
      <c r="BW2148" t="str">
        <f>""</f>
        <v/>
      </c>
      <c r="CH2148" t="str">
        <f>""</f>
        <v/>
      </c>
      <c r="CS2148" t="str">
        <f>""</f>
        <v/>
      </c>
    </row>
    <row r="2149" spans="1:97" x14ac:dyDescent="0.25">
      <c r="A2149" t="s">
        <v>4863</v>
      </c>
      <c r="B2149" t="s">
        <v>10412</v>
      </c>
      <c r="E2149" t="s">
        <v>14462</v>
      </c>
      <c r="F2149" t="s">
        <v>108</v>
      </c>
      <c r="H2149" t="s">
        <v>14463</v>
      </c>
      <c r="I2149" t="s">
        <v>203</v>
      </c>
      <c r="J2149" t="s">
        <v>111</v>
      </c>
      <c r="K2149" t="str">
        <f>"85295"</f>
        <v>85295</v>
      </c>
      <c r="L2149" t="s">
        <v>7125</v>
      </c>
      <c r="M2149" t="s">
        <v>14463</v>
      </c>
      <c r="N2149" t="s">
        <v>203</v>
      </c>
      <c r="O2149" t="s">
        <v>111</v>
      </c>
      <c r="P2149" t="str">
        <f>"85295-2327"</f>
        <v>85295-2327</v>
      </c>
      <c r="R2149" t="str">
        <f>"304-47-542"</f>
        <v>304-47-542</v>
      </c>
      <c r="S2149" t="s">
        <v>8890</v>
      </c>
      <c r="T2149" t="s">
        <v>8890</v>
      </c>
      <c r="U2149">
        <v>2419</v>
      </c>
      <c r="V2149">
        <v>0</v>
      </c>
      <c r="W2149">
        <v>3</v>
      </c>
      <c r="X2149">
        <v>2006</v>
      </c>
      <c r="Z2149">
        <v>2</v>
      </c>
      <c r="AB2149">
        <v>0</v>
      </c>
      <c r="AC2149" t="s">
        <v>115</v>
      </c>
      <c r="AD2149">
        <v>2</v>
      </c>
      <c r="AE2149" t="s">
        <v>115</v>
      </c>
      <c r="AF2149">
        <v>0</v>
      </c>
      <c r="AG2149">
        <v>0</v>
      </c>
      <c r="AH2149" t="s">
        <v>116</v>
      </c>
      <c r="AI2149" s="1">
        <v>43804</v>
      </c>
      <c r="AJ2149" s="2">
        <v>0.12</v>
      </c>
      <c r="AK2149" s="1">
        <v>363105</v>
      </c>
      <c r="AL2149" t="s">
        <v>117</v>
      </c>
      <c r="AM2149" t="s">
        <v>191</v>
      </c>
      <c r="AN2149">
        <v>6353</v>
      </c>
      <c r="AO2149">
        <v>0.15</v>
      </c>
      <c r="AR2149">
        <v>1</v>
      </c>
      <c r="AS2149" s="1">
        <v>25580</v>
      </c>
      <c r="AT2149" s="1">
        <v>5110</v>
      </c>
      <c r="AU2149" s="1">
        <v>20470</v>
      </c>
      <c r="AV2149">
        <v>80.02</v>
      </c>
      <c r="AX2149" s="1">
        <v>2369.86</v>
      </c>
      <c r="AY2149" t="s">
        <v>5087</v>
      </c>
      <c r="AZ2149" t="s">
        <v>5087</v>
      </c>
      <c r="BA2149" t="s">
        <v>473</v>
      </c>
      <c r="BE2149" s="3">
        <v>42237</v>
      </c>
      <c r="BF2149" s="1">
        <v>284900</v>
      </c>
      <c r="BG2149" t="s">
        <v>14464</v>
      </c>
      <c r="BH2149" s="1">
        <v>117.78</v>
      </c>
      <c r="BI2149" s="1">
        <v>294301</v>
      </c>
      <c r="BJ2149" s="3">
        <v>42237</v>
      </c>
      <c r="BK2149" t="s">
        <v>123</v>
      </c>
      <c r="BL2149" t="str">
        <f>"2015.608559"</f>
        <v>2015.608559</v>
      </c>
      <c r="BM2149" t="s">
        <v>12498</v>
      </c>
      <c r="BN2149" t="s">
        <v>1136</v>
      </c>
      <c r="BO2149" t="s">
        <v>14465</v>
      </c>
      <c r="BS2149">
        <v>30</v>
      </c>
      <c r="BT2149" s="1">
        <v>25000</v>
      </c>
      <c r="BU2149" s="3">
        <v>43760</v>
      </c>
      <c r="BW2149" t="str">
        <f>"2019.840816"</f>
        <v>2019.840816</v>
      </c>
      <c r="BX2149" t="s">
        <v>1214</v>
      </c>
      <c r="BY2149" t="s">
        <v>1215</v>
      </c>
      <c r="BZ2149" t="s">
        <v>14466</v>
      </c>
      <c r="CC2149" t="s">
        <v>346</v>
      </c>
      <c r="CH2149" t="str">
        <f>""</f>
        <v/>
      </c>
      <c r="CS2149" t="str">
        <f>""</f>
        <v/>
      </c>
    </row>
    <row r="2150" spans="1:97" x14ac:dyDescent="0.25">
      <c r="A2150" t="s">
        <v>4864</v>
      </c>
      <c r="B2150" t="s">
        <v>14467</v>
      </c>
      <c r="C2150" t="s">
        <v>976</v>
      </c>
      <c r="D2150" t="s">
        <v>14467</v>
      </c>
      <c r="E2150" t="s">
        <v>14468</v>
      </c>
      <c r="F2150" t="s">
        <v>108</v>
      </c>
      <c r="H2150" t="s">
        <v>14469</v>
      </c>
      <c r="I2150" t="s">
        <v>632</v>
      </c>
      <c r="J2150" t="s">
        <v>111</v>
      </c>
      <c r="K2150" t="str">
        <f>"85387"</f>
        <v>85387</v>
      </c>
      <c r="L2150" t="s">
        <v>6529</v>
      </c>
      <c r="M2150" t="s">
        <v>14469</v>
      </c>
      <c r="N2150" t="s">
        <v>632</v>
      </c>
      <c r="O2150" t="s">
        <v>111</v>
      </c>
      <c r="P2150" t="str">
        <f>"85387-1041"</f>
        <v>85387-1041</v>
      </c>
      <c r="Q2150" t="s">
        <v>113</v>
      </c>
      <c r="R2150" t="str">
        <f>"503-51-650"</f>
        <v>503-51-650</v>
      </c>
      <c r="S2150" t="s">
        <v>13694</v>
      </c>
      <c r="T2150" t="s">
        <v>5498</v>
      </c>
      <c r="U2150">
        <v>2126</v>
      </c>
      <c r="V2150">
        <v>0</v>
      </c>
      <c r="W2150">
        <v>3</v>
      </c>
      <c r="X2150">
        <v>2014</v>
      </c>
      <c r="Z2150">
        <v>1</v>
      </c>
      <c r="AB2150">
        <v>0</v>
      </c>
      <c r="AC2150" t="s">
        <v>115</v>
      </c>
      <c r="AD2150">
        <v>2</v>
      </c>
      <c r="AE2150" t="s">
        <v>115</v>
      </c>
      <c r="AF2150">
        <v>0</v>
      </c>
      <c r="AG2150">
        <v>0</v>
      </c>
      <c r="AH2150" t="s">
        <v>116</v>
      </c>
      <c r="AI2150" s="1">
        <v>87547</v>
      </c>
      <c r="AJ2150" s="2">
        <v>0.28999999999999998</v>
      </c>
      <c r="AK2150" s="1">
        <v>306666</v>
      </c>
      <c r="AL2150" t="s">
        <v>117</v>
      </c>
      <c r="AM2150" t="s">
        <v>118</v>
      </c>
      <c r="AN2150">
        <v>8453</v>
      </c>
      <c r="AO2150">
        <v>0.19</v>
      </c>
      <c r="AR2150">
        <v>1</v>
      </c>
      <c r="AS2150" s="1">
        <v>22200</v>
      </c>
      <c r="AT2150" s="1">
        <v>4440</v>
      </c>
      <c r="AU2150" s="1">
        <v>17760</v>
      </c>
      <c r="AV2150">
        <v>80</v>
      </c>
      <c r="AX2150" s="1">
        <v>1158.58</v>
      </c>
      <c r="AY2150" t="s">
        <v>5499</v>
      </c>
      <c r="AZ2150" t="s">
        <v>5499</v>
      </c>
      <c r="BE2150" s="3">
        <v>41808</v>
      </c>
      <c r="BF2150" s="1">
        <v>213990</v>
      </c>
      <c r="BG2150" t="s">
        <v>446</v>
      </c>
      <c r="BH2150" s="1">
        <v>100.65</v>
      </c>
      <c r="BI2150" s="1">
        <v>219119</v>
      </c>
      <c r="BJ2150" s="3">
        <v>41808</v>
      </c>
      <c r="BK2150" t="s">
        <v>123</v>
      </c>
      <c r="BL2150" t="str">
        <f>"2014.397884"</f>
        <v>2014.397884</v>
      </c>
      <c r="BM2150" t="s">
        <v>573</v>
      </c>
      <c r="BO2150" t="s">
        <v>14470</v>
      </c>
      <c r="BP2150" t="s">
        <v>14471</v>
      </c>
      <c r="BS2150">
        <v>30</v>
      </c>
      <c r="BW2150" t="str">
        <f>""</f>
        <v/>
      </c>
      <c r="CH2150" t="str">
        <f>""</f>
        <v/>
      </c>
      <c r="CS2150" t="str">
        <f>""</f>
        <v/>
      </c>
    </row>
    <row r="2151" spans="1:97" x14ac:dyDescent="0.25">
      <c r="A2151" t="s">
        <v>3212</v>
      </c>
      <c r="B2151" t="s">
        <v>14472</v>
      </c>
      <c r="C2151" t="s">
        <v>1735</v>
      </c>
      <c r="D2151" t="s">
        <v>14472</v>
      </c>
      <c r="E2151" t="s">
        <v>14473</v>
      </c>
      <c r="F2151" t="s">
        <v>108</v>
      </c>
      <c r="H2151" t="s">
        <v>14474</v>
      </c>
      <c r="I2151" t="s">
        <v>1397</v>
      </c>
      <c r="J2151" t="s">
        <v>111</v>
      </c>
      <c r="K2151" t="str">
        <f>"85331"</f>
        <v>85331</v>
      </c>
      <c r="L2151" t="s">
        <v>5958</v>
      </c>
      <c r="M2151" t="s">
        <v>14474</v>
      </c>
      <c r="N2151" t="s">
        <v>1397</v>
      </c>
      <c r="O2151" t="s">
        <v>111</v>
      </c>
      <c r="P2151" t="str">
        <f>"85331-1582"</f>
        <v>85331-1582</v>
      </c>
      <c r="Q2151" t="s">
        <v>113</v>
      </c>
      <c r="R2151" t="str">
        <f>"211-48-581"</f>
        <v>211-48-581</v>
      </c>
      <c r="S2151" t="s">
        <v>5959</v>
      </c>
      <c r="U2151">
        <v>2945</v>
      </c>
      <c r="V2151">
        <v>0</v>
      </c>
      <c r="W2151">
        <v>4</v>
      </c>
      <c r="X2151">
        <v>2015</v>
      </c>
      <c r="Z2151">
        <v>1</v>
      </c>
      <c r="AA2151" t="s">
        <v>26</v>
      </c>
      <c r="AB2151">
        <v>0</v>
      </c>
      <c r="AC2151" t="s">
        <v>115</v>
      </c>
      <c r="AD2151">
        <v>3</v>
      </c>
      <c r="AE2151" t="s">
        <v>115</v>
      </c>
      <c r="AF2151">
        <v>0</v>
      </c>
      <c r="AG2151">
        <v>0</v>
      </c>
      <c r="AH2151" t="s">
        <v>116</v>
      </c>
      <c r="AI2151" s="1">
        <v>90129</v>
      </c>
      <c r="AJ2151" s="2">
        <v>0.13</v>
      </c>
      <c r="AK2151" s="1">
        <v>709929</v>
      </c>
      <c r="AL2151" t="s">
        <v>117</v>
      </c>
      <c r="AM2151" t="s">
        <v>3973</v>
      </c>
      <c r="AN2151">
        <v>9614</v>
      </c>
      <c r="AO2151">
        <v>0.22</v>
      </c>
      <c r="AR2151">
        <v>1</v>
      </c>
      <c r="AS2151" s="1">
        <v>51310</v>
      </c>
      <c r="AT2151" s="1">
        <v>10260</v>
      </c>
      <c r="AU2151" s="1">
        <v>41050</v>
      </c>
      <c r="AV2151">
        <v>80</v>
      </c>
      <c r="AX2151" s="1">
        <v>2603.6799999999998</v>
      </c>
      <c r="AY2151" t="s">
        <v>1401</v>
      </c>
      <c r="AZ2151" t="s">
        <v>1402</v>
      </c>
      <c r="BA2151" t="s">
        <v>1403</v>
      </c>
      <c r="BE2151" s="3">
        <v>42292</v>
      </c>
      <c r="BF2151" s="1">
        <v>572000</v>
      </c>
      <c r="BG2151" t="s">
        <v>195</v>
      </c>
      <c r="BH2151" s="1">
        <v>194.23</v>
      </c>
      <c r="BI2151" s="1">
        <v>619800</v>
      </c>
      <c r="BJ2151" s="3">
        <v>43131</v>
      </c>
      <c r="BK2151" t="s">
        <v>123</v>
      </c>
      <c r="BL2151" t="str">
        <f>"2018.80521"</f>
        <v>2018.80521</v>
      </c>
      <c r="BM2151" t="s">
        <v>2926</v>
      </c>
      <c r="BN2151" t="s">
        <v>545</v>
      </c>
      <c r="BO2151" t="s">
        <v>14475</v>
      </c>
      <c r="BP2151" t="s">
        <v>14476</v>
      </c>
      <c r="BR2151" t="s">
        <v>139</v>
      </c>
      <c r="BW2151" t="str">
        <f>""</f>
        <v/>
      </c>
      <c r="CH2151" t="str">
        <f>""</f>
        <v/>
      </c>
      <c r="CS2151" t="str">
        <f>""</f>
        <v/>
      </c>
    </row>
    <row r="2152" spans="1:97" x14ac:dyDescent="0.25">
      <c r="A2152" t="s">
        <v>6753</v>
      </c>
      <c r="B2152" t="s">
        <v>14477</v>
      </c>
      <c r="E2152" t="s">
        <v>14478</v>
      </c>
      <c r="F2152" t="s">
        <v>108</v>
      </c>
      <c r="H2152" t="s">
        <v>14479</v>
      </c>
      <c r="I2152" t="s">
        <v>632</v>
      </c>
      <c r="J2152" t="s">
        <v>111</v>
      </c>
      <c r="K2152" t="str">
        <f>"85388"</f>
        <v>85388</v>
      </c>
      <c r="L2152" t="s">
        <v>5165</v>
      </c>
      <c r="M2152" t="s">
        <v>14479</v>
      </c>
      <c r="N2152" t="s">
        <v>632</v>
      </c>
      <c r="O2152" t="s">
        <v>111</v>
      </c>
      <c r="P2152" t="str">
        <f>"85388-5007"</f>
        <v>85388-5007</v>
      </c>
      <c r="Q2152" t="s">
        <v>113</v>
      </c>
      <c r="R2152" t="str">
        <f>"502-05-494"</f>
        <v>502-05-494</v>
      </c>
      <c r="S2152" t="s">
        <v>5166</v>
      </c>
      <c r="T2152" t="s">
        <v>5167</v>
      </c>
      <c r="U2152">
        <v>3077</v>
      </c>
      <c r="V2152">
        <v>0</v>
      </c>
      <c r="W2152">
        <v>4</v>
      </c>
      <c r="X2152">
        <v>2006</v>
      </c>
      <c r="Z2152">
        <v>2</v>
      </c>
      <c r="AB2152">
        <v>0</v>
      </c>
      <c r="AC2152" t="s">
        <v>115</v>
      </c>
      <c r="AD2152">
        <v>3</v>
      </c>
      <c r="AE2152" t="s">
        <v>115</v>
      </c>
      <c r="AF2152">
        <v>0</v>
      </c>
      <c r="AG2152">
        <v>0</v>
      </c>
      <c r="AH2152" t="s">
        <v>116</v>
      </c>
      <c r="AI2152" s="1">
        <v>74151</v>
      </c>
      <c r="AJ2152" s="2">
        <v>0.22</v>
      </c>
      <c r="AK2152" s="1">
        <v>344151</v>
      </c>
      <c r="AL2152" t="s">
        <v>117</v>
      </c>
      <c r="AM2152" t="s">
        <v>118</v>
      </c>
      <c r="AN2152">
        <v>9575</v>
      </c>
      <c r="AO2152">
        <v>0.22</v>
      </c>
      <c r="AR2152">
        <v>1</v>
      </c>
      <c r="AS2152" s="1">
        <v>23080</v>
      </c>
      <c r="AT2152" s="1">
        <v>4610</v>
      </c>
      <c r="AU2152" s="1">
        <v>18470</v>
      </c>
      <c r="AV2152">
        <v>80.03</v>
      </c>
      <c r="AX2152" s="1">
        <v>2010.12</v>
      </c>
      <c r="AY2152" t="s">
        <v>5168</v>
      </c>
      <c r="AZ2152" t="s">
        <v>5168</v>
      </c>
      <c r="BA2152" t="s">
        <v>5061</v>
      </c>
      <c r="BE2152" s="3">
        <v>41969</v>
      </c>
      <c r="BF2152" s="1">
        <v>270000</v>
      </c>
      <c r="BG2152" t="s">
        <v>14480</v>
      </c>
      <c r="BH2152" s="1">
        <v>87.75</v>
      </c>
      <c r="BI2152" s="1">
        <v>270000</v>
      </c>
      <c r="BJ2152" s="3">
        <v>41969</v>
      </c>
      <c r="BK2152" t="s">
        <v>123</v>
      </c>
      <c r="BL2152" t="str">
        <f>"2014.783182"</f>
        <v>2014.783182</v>
      </c>
      <c r="BM2152" t="s">
        <v>2578</v>
      </c>
      <c r="BO2152" t="s">
        <v>14481</v>
      </c>
      <c r="BS2152">
        <v>30</v>
      </c>
      <c r="BW2152" t="str">
        <f>""</f>
        <v/>
      </c>
      <c r="CH2152" t="str">
        <f>""</f>
        <v/>
      </c>
      <c r="CS2152" t="str">
        <f>""</f>
        <v/>
      </c>
    </row>
    <row r="2153" spans="1:97" x14ac:dyDescent="0.25">
      <c r="A2153" t="s">
        <v>370</v>
      </c>
      <c r="B2153" t="s">
        <v>14482</v>
      </c>
      <c r="C2153" t="s">
        <v>3505</v>
      </c>
      <c r="D2153" t="s">
        <v>14482</v>
      </c>
      <c r="E2153" t="s">
        <v>14483</v>
      </c>
      <c r="F2153" t="s">
        <v>108</v>
      </c>
      <c r="H2153" t="s">
        <v>14484</v>
      </c>
      <c r="I2153" t="s">
        <v>453</v>
      </c>
      <c r="J2153" t="s">
        <v>111</v>
      </c>
      <c r="K2153" t="str">
        <f>"85382"</f>
        <v>85382</v>
      </c>
      <c r="L2153" t="s">
        <v>6788</v>
      </c>
      <c r="M2153" t="s">
        <v>14484</v>
      </c>
      <c r="N2153" t="s">
        <v>453</v>
      </c>
      <c r="O2153" t="s">
        <v>111</v>
      </c>
      <c r="P2153" t="str">
        <f>"85382-2201"</f>
        <v>85382-2201</v>
      </c>
      <c r="Q2153" t="s">
        <v>113</v>
      </c>
      <c r="R2153" t="str">
        <f>"233-01-039"</f>
        <v>233-01-039</v>
      </c>
      <c r="S2153" t="s">
        <v>14485</v>
      </c>
      <c r="T2153" t="s">
        <v>14485</v>
      </c>
      <c r="U2153">
        <v>1858</v>
      </c>
      <c r="V2153">
        <v>0</v>
      </c>
      <c r="W2153">
        <v>3</v>
      </c>
      <c r="X2153">
        <v>1989</v>
      </c>
      <c r="Z2153">
        <v>1</v>
      </c>
      <c r="AB2153">
        <v>0</v>
      </c>
      <c r="AC2153" t="s">
        <v>115</v>
      </c>
      <c r="AD2153">
        <v>2</v>
      </c>
      <c r="AE2153" t="s">
        <v>115</v>
      </c>
      <c r="AF2153">
        <v>0</v>
      </c>
      <c r="AG2153">
        <v>0</v>
      </c>
      <c r="AH2153" t="s">
        <v>116</v>
      </c>
      <c r="AI2153" s="1">
        <v>68536</v>
      </c>
      <c r="AJ2153" s="2">
        <v>0.22</v>
      </c>
      <c r="AK2153" s="1">
        <v>315786</v>
      </c>
      <c r="AL2153" t="s">
        <v>117</v>
      </c>
      <c r="AM2153" t="s">
        <v>3345</v>
      </c>
      <c r="AN2153">
        <v>8700</v>
      </c>
      <c r="AO2153">
        <v>0.2</v>
      </c>
      <c r="AP2153">
        <v>1</v>
      </c>
      <c r="AR2153">
        <v>1</v>
      </c>
      <c r="AS2153" s="1">
        <v>21910</v>
      </c>
      <c r="AT2153" s="1">
        <v>4380</v>
      </c>
      <c r="AU2153" s="1">
        <v>17530</v>
      </c>
      <c r="AV2153">
        <v>80.010000000000005</v>
      </c>
      <c r="AX2153" s="1">
        <v>1657.26</v>
      </c>
      <c r="AY2153" t="s">
        <v>7828</v>
      </c>
      <c r="AZ2153" t="s">
        <v>7828</v>
      </c>
      <c r="BA2153" t="s">
        <v>4219</v>
      </c>
      <c r="BE2153" s="3">
        <v>41815</v>
      </c>
      <c r="BF2153" s="1">
        <v>254900</v>
      </c>
      <c r="BG2153" t="s">
        <v>14486</v>
      </c>
      <c r="BH2153" s="1">
        <v>137.19</v>
      </c>
      <c r="BI2153" s="1">
        <v>247250</v>
      </c>
      <c r="BJ2153" s="3">
        <v>42689</v>
      </c>
      <c r="BK2153" t="s">
        <v>123</v>
      </c>
      <c r="BL2153" t="str">
        <f>"2016.842812"</f>
        <v>2016.842812</v>
      </c>
      <c r="BM2153" t="s">
        <v>1122</v>
      </c>
      <c r="BO2153" t="s">
        <v>14487</v>
      </c>
      <c r="BS2153">
        <v>30</v>
      </c>
      <c r="BW2153" t="str">
        <f>""</f>
        <v/>
      </c>
      <c r="CH2153" t="str">
        <f>""</f>
        <v/>
      </c>
      <c r="CS2153" t="str">
        <f>""</f>
        <v/>
      </c>
    </row>
    <row r="2154" spans="1:97" x14ac:dyDescent="0.25">
      <c r="A2154" t="s">
        <v>370</v>
      </c>
      <c r="B2154" t="s">
        <v>14488</v>
      </c>
      <c r="C2154" t="s">
        <v>154</v>
      </c>
      <c r="D2154" t="s">
        <v>14488</v>
      </c>
      <c r="E2154" t="s">
        <v>14489</v>
      </c>
      <c r="F2154" t="s">
        <v>108</v>
      </c>
      <c r="H2154" t="s">
        <v>14490</v>
      </c>
      <c r="I2154" t="s">
        <v>167</v>
      </c>
      <c r="J2154" t="s">
        <v>111</v>
      </c>
      <c r="K2154" t="str">
        <f>"85339"</f>
        <v>85339</v>
      </c>
      <c r="L2154" t="s">
        <v>5637</v>
      </c>
      <c r="M2154" t="s">
        <v>14490</v>
      </c>
      <c r="N2154" t="s">
        <v>167</v>
      </c>
      <c r="O2154" t="s">
        <v>111</v>
      </c>
      <c r="P2154" t="str">
        <f>"85339-5221"</f>
        <v>85339-5221</v>
      </c>
      <c r="Q2154" t="s">
        <v>113</v>
      </c>
      <c r="R2154" t="str">
        <f>"300-15-509"</f>
        <v>300-15-509</v>
      </c>
      <c r="S2154" t="s">
        <v>14428</v>
      </c>
      <c r="T2154" t="s">
        <v>14429</v>
      </c>
      <c r="U2154">
        <v>2357</v>
      </c>
      <c r="V2154">
        <v>0</v>
      </c>
      <c r="W2154">
        <v>4</v>
      </c>
      <c r="X2154">
        <v>2016</v>
      </c>
      <c r="Z2154">
        <v>1</v>
      </c>
      <c r="AB2154">
        <v>0</v>
      </c>
      <c r="AC2154" t="s">
        <v>115</v>
      </c>
      <c r="AD2154">
        <v>2</v>
      </c>
      <c r="AE2154" t="s">
        <v>115</v>
      </c>
      <c r="AF2154">
        <v>0</v>
      </c>
      <c r="AG2154">
        <v>0</v>
      </c>
      <c r="AH2154" t="s">
        <v>116</v>
      </c>
      <c r="AI2154" s="1">
        <v>78105</v>
      </c>
      <c r="AJ2154" s="2">
        <v>0.23</v>
      </c>
      <c r="AK2154" s="1">
        <v>334737</v>
      </c>
      <c r="AL2154" t="s">
        <v>117</v>
      </c>
      <c r="AM2154" t="s">
        <v>171</v>
      </c>
      <c r="AN2154">
        <v>9817</v>
      </c>
      <c r="AO2154">
        <v>0.22</v>
      </c>
      <c r="AR2154">
        <v>1</v>
      </c>
      <c r="AS2154" s="1">
        <v>25560</v>
      </c>
      <c r="AT2154" s="1">
        <v>5110</v>
      </c>
      <c r="AU2154" s="1">
        <v>20450</v>
      </c>
      <c r="AV2154">
        <v>80.010000000000005</v>
      </c>
      <c r="AX2154" s="1">
        <v>3324.84</v>
      </c>
      <c r="AY2154" t="s">
        <v>805</v>
      </c>
      <c r="AZ2154" t="s">
        <v>806</v>
      </c>
      <c r="BA2154" t="s">
        <v>173</v>
      </c>
      <c r="BE2154" s="3">
        <v>42545</v>
      </c>
      <c r="BF2154" s="1">
        <v>272538</v>
      </c>
      <c r="BG2154" t="s">
        <v>158</v>
      </c>
      <c r="BH2154" s="1">
        <v>115.63</v>
      </c>
      <c r="BI2154" s="1">
        <v>256632</v>
      </c>
      <c r="BJ2154" s="3">
        <v>42545</v>
      </c>
      <c r="BK2154" t="s">
        <v>123</v>
      </c>
      <c r="BL2154" t="str">
        <f>"2016.445200"</f>
        <v>2016.445200</v>
      </c>
      <c r="BM2154" t="s">
        <v>150</v>
      </c>
      <c r="BO2154" t="s">
        <v>14491</v>
      </c>
      <c r="BS2154">
        <v>30</v>
      </c>
      <c r="BW2154" t="str">
        <f>""</f>
        <v/>
      </c>
      <c r="CH2154" t="str">
        <f>""</f>
        <v/>
      </c>
      <c r="CS2154" t="str">
        <f>""</f>
        <v/>
      </c>
    </row>
    <row r="2155" spans="1:97" x14ac:dyDescent="0.25">
      <c r="A2155" t="s">
        <v>2537</v>
      </c>
      <c r="B2155" t="s">
        <v>14492</v>
      </c>
      <c r="C2155" t="s">
        <v>767</v>
      </c>
      <c r="D2155" t="s">
        <v>3901</v>
      </c>
      <c r="E2155" t="s">
        <v>14493</v>
      </c>
      <c r="F2155" t="s">
        <v>108</v>
      </c>
      <c r="H2155" t="s">
        <v>14494</v>
      </c>
      <c r="I2155" t="s">
        <v>203</v>
      </c>
      <c r="J2155" t="s">
        <v>111</v>
      </c>
      <c r="K2155" t="str">
        <f>"85298"</f>
        <v>85298</v>
      </c>
      <c r="L2155" t="s">
        <v>1130</v>
      </c>
      <c r="M2155" t="s">
        <v>14494</v>
      </c>
      <c r="N2155" t="s">
        <v>203</v>
      </c>
      <c r="O2155" t="s">
        <v>111</v>
      </c>
      <c r="P2155" t="str">
        <f>"85298-8726"</f>
        <v>85298-8726</v>
      </c>
      <c r="Q2155" t="s">
        <v>113</v>
      </c>
      <c r="R2155" t="str">
        <f>"304-77-136"</f>
        <v>304-77-136</v>
      </c>
      <c r="S2155" t="s">
        <v>14495</v>
      </c>
      <c r="U2155">
        <v>4919</v>
      </c>
      <c r="V2155">
        <v>0</v>
      </c>
      <c r="W2155">
        <v>5</v>
      </c>
      <c r="X2155">
        <v>2006</v>
      </c>
      <c r="Z2155">
        <v>2</v>
      </c>
      <c r="AA2155" t="s">
        <v>26</v>
      </c>
      <c r="AB2155">
        <v>0</v>
      </c>
      <c r="AC2155" t="s">
        <v>115</v>
      </c>
      <c r="AD2155">
        <v>3</v>
      </c>
      <c r="AE2155" t="s">
        <v>115</v>
      </c>
      <c r="AF2155">
        <v>0</v>
      </c>
      <c r="AG2155">
        <v>0</v>
      </c>
      <c r="AH2155" t="s">
        <v>116</v>
      </c>
      <c r="AI2155" s="1">
        <v>149154</v>
      </c>
      <c r="AJ2155" s="2">
        <v>0.27</v>
      </c>
      <c r="AK2155" s="1">
        <v>551041</v>
      </c>
      <c r="AL2155" t="s">
        <v>117</v>
      </c>
      <c r="AM2155" t="s">
        <v>171</v>
      </c>
      <c r="AN2155">
        <v>11783</v>
      </c>
      <c r="AO2155">
        <v>0.27</v>
      </c>
      <c r="AR2155">
        <v>1</v>
      </c>
      <c r="AS2155" s="1">
        <v>40970</v>
      </c>
      <c r="AT2155" s="1">
        <v>8190</v>
      </c>
      <c r="AU2155" s="1">
        <v>32780</v>
      </c>
      <c r="AV2155">
        <v>80.010000000000005</v>
      </c>
      <c r="AX2155" s="1">
        <v>3750.92</v>
      </c>
      <c r="AY2155" t="s">
        <v>2214</v>
      </c>
      <c r="AZ2155" t="s">
        <v>1134</v>
      </c>
      <c r="BA2155" t="s">
        <v>1134</v>
      </c>
      <c r="BE2155" s="3">
        <v>42097</v>
      </c>
      <c r="BF2155" s="1">
        <v>389000</v>
      </c>
      <c r="BG2155" t="s">
        <v>14496</v>
      </c>
      <c r="BH2155" s="1">
        <v>79.08</v>
      </c>
      <c r="BI2155" s="1">
        <v>401887</v>
      </c>
      <c r="BJ2155" s="3">
        <v>42593</v>
      </c>
      <c r="BK2155" t="s">
        <v>123</v>
      </c>
      <c r="BL2155" t="str">
        <f>"2016.574561"</f>
        <v>2016.574561</v>
      </c>
      <c r="BM2155" t="s">
        <v>2980</v>
      </c>
      <c r="BO2155" t="s">
        <v>14497</v>
      </c>
      <c r="BP2155" t="s">
        <v>14498</v>
      </c>
      <c r="BS2155">
        <v>30</v>
      </c>
      <c r="BW2155" t="str">
        <f>""</f>
        <v/>
      </c>
      <c r="CH2155" t="str">
        <f>""</f>
        <v/>
      </c>
      <c r="CS2155" t="str">
        <f>""</f>
        <v/>
      </c>
    </row>
    <row r="2156" spans="1:97" x14ac:dyDescent="0.25">
      <c r="A2156" t="s">
        <v>370</v>
      </c>
      <c r="B2156" t="s">
        <v>14499</v>
      </c>
      <c r="C2156" t="s">
        <v>8858</v>
      </c>
      <c r="D2156" t="s">
        <v>14499</v>
      </c>
      <c r="E2156" t="s">
        <v>14500</v>
      </c>
      <c r="F2156" t="s">
        <v>108</v>
      </c>
      <c r="H2156" t="s">
        <v>14501</v>
      </c>
      <c r="I2156" t="s">
        <v>632</v>
      </c>
      <c r="J2156" t="s">
        <v>111</v>
      </c>
      <c r="K2156" t="str">
        <f>"85374"</f>
        <v>85374</v>
      </c>
      <c r="L2156" t="s">
        <v>5218</v>
      </c>
      <c r="M2156" t="s">
        <v>14501</v>
      </c>
      <c r="N2156" t="s">
        <v>632</v>
      </c>
      <c r="O2156" t="s">
        <v>111</v>
      </c>
      <c r="P2156" t="str">
        <f>"85374-6333"</f>
        <v>85374-6333</v>
      </c>
      <c r="Q2156" t="s">
        <v>113</v>
      </c>
      <c r="R2156" t="str">
        <f>"232-34-714"</f>
        <v>232-34-714</v>
      </c>
      <c r="S2156" t="s">
        <v>14502</v>
      </c>
      <c r="T2156" t="s">
        <v>14503</v>
      </c>
      <c r="U2156">
        <v>1870</v>
      </c>
      <c r="V2156">
        <v>0</v>
      </c>
      <c r="W2156">
        <v>3</v>
      </c>
      <c r="X2156">
        <v>1998</v>
      </c>
      <c r="Z2156">
        <v>1</v>
      </c>
      <c r="AB2156">
        <v>0</v>
      </c>
      <c r="AC2156" t="s">
        <v>115</v>
      </c>
      <c r="AD2156">
        <v>2</v>
      </c>
      <c r="AE2156" t="s">
        <v>115</v>
      </c>
      <c r="AF2156">
        <v>0</v>
      </c>
      <c r="AG2156">
        <v>0</v>
      </c>
      <c r="AH2156" t="s">
        <v>116</v>
      </c>
      <c r="AI2156" s="1">
        <v>49181</v>
      </c>
      <c r="AJ2156" s="2">
        <v>0.14000000000000001</v>
      </c>
      <c r="AK2156" s="1">
        <v>347064</v>
      </c>
      <c r="AL2156" t="s">
        <v>117</v>
      </c>
      <c r="AM2156" t="s">
        <v>118</v>
      </c>
      <c r="AN2156">
        <v>8970</v>
      </c>
      <c r="AO2156">
        <v>0.21</v>
      </c>
      <c r="AP2156">
        <v>1</v>
      </c>
      <c r="AR2156">
        <v>1</v>
      </c>
      <c r="AS2156" s="1">
        <v>22650</v>
      </c>
      <c r="AT2156" s="1">
        <v>4530</v>
      </c>
      <c r="AU2156" s="1">
        <v>18120</v>
      </c>
      <c r="AV2156">
        <v>80</v>
      </c>
      <c r="AX2156" s="1">
        <v>2324.66</v>
      </c>
      <c r="AY2156" t="s">
        <v>5108</v>
      </c>
      <c r="AZ2156" t="s">
        <v>5108</v>
      </c>
      <c r="BA2156" t="s">
        <v>5109</v>
      </c>
      <c r="BE2156" s="3">
        <v>42096</v>
      </c>
      <c r="BF2156" s="1">
        <v>255000</v>
      </c>
      <c r="BG2156" t="s">
        <v>14504</v>
      </c>
      <c r="BH2156" s="1">
        <v>136.36000000000001</v>
      </c>
      <c r="BI2156" s="1">
        <v>297883</v>
      </c>
      <c r="BJ2156" s="3">
        <v>43227</v>
      </c>
      <c r="BK2156" t="s">
        <v>123</v>
      </c>
      <c r="BL2156" t="str">
        <f>"2018.345286"</f>
        <v>2018.345286</v>
      </c>
      <c r="BM2156" t="s">
        <v>492</v>
      </c>
      <c r="BN2156" t="s">
        <v>4706</v>
      </c>
      <c r="BO2156" t="s">
        <v>14505</v>
      </c>
      <c r="BP2156" t="s">
        <v>14506</v>
      </c>
      <c r="BR2156" t="s">
        <v>139</v>
      </c>
      <c r="BW2156" t="str">
        <f>""</f>
        <v/>
      </c>
      <c r="CH2156" t="str">
        <f>""</f>
        <v/>
      </c>
      <c r="CS2156" t="str">
        <f>""</f>
        <v/>
      </c>
    </row>
    <row r="2157" spans="1:97" x14ac:dyDescent="0.25">
      <c r="A2157" t="s">
        <v>7743</v>
      </c>
      <c r="B2157" t="s">
        <v>14507</v>
      </c>
      <c r="C2157" t="s">
        <v>14508</v>
      </c>
      <c r="D2157" t="s">
        <v>14509</v>
      </c>
      <c r="E2157" t="s">
        <v>14510</v>
      </c>
      <c r="F2157" t="s">
        <v>108</v>
      </c>
      <c r="H2157" t="s">
        <v>14511</v>
      </c>
      <c r="I2157" t="s">
        <v>203</v>
      </c>
      <c r="J2157" t="s">
        <v>111</v>
      </c>
      <c r="K2157" t="str">
        <f>"85233"</f>
        <v>85233</v>
      </c>
      <c r="L2157" t="s">
        <v>5709</v>
      </c>
      <c r="M2157" t="s">
        <v>14511</v>
      </c>
      <c r="N2157" t="s">
        <v>203</v>
      </c>
      <c r="O2157" t="s">
        <v>111</v>
      </c>
      <c r="P2157" t="str">
        <f>"85233-6374"</f>
        <v>85233-6374</v>
      </c>
      <c r="Q2157" t="s">
        <v>113</v>
      </c>
      <c r="R2157" t="str">
        <f>"302-32-278"</f>
        <v>302-32-278</v>
      </c>
      <c r="S2157" t="s">
        <v>13048</v>
      </c>
      <c r="T2157" t="s">
        <v>13049</v>
      </c>
      <c r="U2157">
        <v>1782</v>
      </c>
      <c r="V2157">
        <v>0</v>
      </c>
      <c r="W2157">
        <v>3</v>
      </c>
      <c r="X2157">
        <v>1994</v>
      </c>
      <c r="Z2157">
        <v>1</v>
      </c>
      <c r="AA2157" t="s">
        <v>26</v>
      </c>
      <c r="AB2157">
        <v>0</v>
      </c>
      <c r="AC2157" t="s">
        <v>115</v>
      </c>
      <c r="AD2157">
        <v>2</v>
      </c>
      <c r="AE2157" t="s">
        <v>115</v>
      </c>
      <c r="AF2157">
        <v>0</v>
      </c>
      <c r="AG2157">
        <v>0</v>
      </c>
      <c r="AH2157" t="s">
        <v>116</v>
      </c>
      <c r="AI2157" s="1">
        <v>52736</v>
      </c>
      <c r="AJ2157" s="2">
        <v>0.16</v>
      </c>
      <c r="AK2157" s="1">
        <v>332736</v>
      </c>
      <c r="AL2157" t="s">
        <v>117</v>
      </c>
      <c r="AM2157" t="s">
        <v>393</v>
      </c>
      <c r="AN2157">
        <v>6186</v>
      </c>
      <c r="AO2157">
        <v>0.14000000000000001</v>
      </c>
      <c r="AP2157">
        <v>1</v>
      </c>
      <c r="AR2157">
        <v>1</v>
      </c>
      <c r="AS2157" s="1">
        <v>23110</v>
      </c>
      <c r="AT2157" s="1">
        <v>4620</v>
      </c>
      <c r="AU2157" s="1">
        <v>18490</v>
      </c>
      <c r="AV2157">
        <v>80.010000000000005</v>
      </c>
      <c r="AX2157" s="1">
        <v>2020.64</v>
      </c>
      <c r="AY2157" t="s">
        <v>5601</v>
      </c>
      <c r="AZ2157" t="s">
        <v>5478</v>
      </c>
      <c r="BA2157" t="s">
        <v>5479</v>
      </c>
      <c r="BE2157" s="3">
        <v>42419</v>
      </c>
      <c r="BF2157" s="1">
        <v>249000</v>
      </c>
      <c r="BG2157" t="s">
        <v>14512</v>
      </c>
      <c r="BH2157" s="1">
        <v>139.72999999999999</v>
      </c>
      <c r="BI2157" s="1">
        <v>280000</v>
      </c>
      <c r="BJ2157" s="3">
        <v>43074</v>
      </c>
      <c r="BK2157" t="s">
        <v>123</v>
      </c>
      <c r="BL2157" t="str">
        <f>"2017.898024"</f>
        <v>2017.898024</v>
      </c>
      <c r="BM2157" t="s">
        <v>14513</v>
      </c>
      <c r="BO2157" t="s">
        <v>14514</v>
      </c>
      <c r="BP2157" t="s">
        <v>14515</v>
      </c>
      <c r="BS2157">
        <v>30</v>
      </c>
      <c r="BW2157" t="str">
        <f>""</f>
        <v/>
      </c>
      <c r="CH2157" t="str">
        <f>""</f>
        <v/>
      </c>
      <c r="CS2157" t="str">
        <f>""</f>
        <v/>
      </c>
    </row>
    <row r="2158" spans="1:97" x14ac:dyDescent="0.25">
      <c r="A2158" t="s">
        <v>14516</v>
      </c>
      <c r="B2158" t="s">
        <v>585</v>
      </c>
      <c r="C2158" t="s">
        <v>1769</v>
      </c>
      <c r="D2158" t="s">
        <v>585</v>
      </c>
      <c r="E2158" t="s">
        <v>14517</v>
      </c>
      <c r="F2158" t="s">
        <v>108</v>
      </c>
      <c r="H2158" t="s">
        <v>14518</v>
      </c>
      <c r="I2158" t="s">
        <v>390</v>
      </c>
      <c r="J2158" t="s">
        <v>111</v>
      </c>
      <c r="K2158" t="str">
        <f>"85020"</f>
        <v>85020</v>
      </c>
      <c r="L2158" t="s">
        <v>5464</v>
      </c>
      <c r="M2158" t="s">
        <v>14518</v>
      </c>
      <c r="N2158" t="s">
        <v>390</v>
      </c>
      <c r="O2158" t="s">
        <v>111</v>
      </c>
      <c r="P2158" t="str">
        <f>"85020-4066"</f>
        <v>85020-4066</v>
      </c>
      <c r="Q2158" t="s">
        <v>113</v>
      </c>
      <c r="R2158" t="str">
        <f>"160-38-097-A"</f>
        <v>160-38-097-A</v>
      </c>
      <c r="S2158" t="s">
        <v>14519</v>
      </c>
      <c r="T2158" t="s">
        <v>14519</v>
      </c>
      <c r="U2158">
        <v>2424</v>
      </c>
      <c r="V2158">
        <v>0</v>
      </c>
      <c r="W2158">
        <v>3</v>
      </c>
      <c r="X2158">
        <v>1963</v>
      </c>
      <c r="Z2158">
        <v>1</v>
      </c>
      <c r="AA2158" t="s">
        <v>26</v>
      </c>
      <c r="AB2158">
        <v>0</v>
      </c>
      <c r="AC2158" t="s">
        <v>115</v>
      </c>
      <c r="AD2158">
        <v>2</v>
      </c>
      <c r="AE2158" t="s">
        <v>115</v>
      </c>
      <c r="AF2158">
        <v>0</v>
      </c>
      <c r="AG2158">
        <v>0</v>
      </c>
      <c r="AH2158" t="s">
        <v>116</v>
      </c>
      <c r="AI2158" s="1">
        <v>207905</v>
      </c>
      <c r="AJ2158" s="2">
        <v>0.34</v>
      </c>
      <c r="AK2158" s="1">
        <v>618905</v>
      </c>
      <c r="AL2158" t="s">
        <v>117</v>
      </c>
      <c r="AM2158" t="s">
        <v>1302</v>
      </c>
      <c r="AN2158">
        <v>12395</v>
      </c>
      <c r="AO2158">
        <v>0.28000000000000003</v>
      </c>
      <c r="AP2158">
        <v>1</v>
      </c>
      <c r="AR2158">
        <v>1</v>
      </c>
      <c r="AS2158" s="1">
        <v>48350</v>
      </c>
      <c r="AT2158" s="1">
        <v>9670</v>
      </c>
      <c r="AU2158" s="1">
        <v>38680</v>
      </c>
      <c r="AV2158">
        <v>80</v>
      </c>
      <c r="AX2158" s="1">
        <v>5151.66</v>
      </c>
      <c r="AY2158" t="s">
        <v>5734</v>
      </c>
      <c r="AZ2158" t="s">
        <v>5735</v>
      </c>
      <c r="BA2158" t="s">
        <v>5691</v>
      </c>
      <c r="BE2158" s="3">
        <v>42047</v>
      </c>
      <c r="BF2158" s="1">
        <v>483000</v>
      </c>
      <c r="BG2158" t="s">
        <v>14520</v>
      </c>
      <c r="BH2158" s="1">
        <v>199.18</v>
      </c>
      <c r="BI2158" s="1">
        <v>411000</v>
      </c>
      <c r="BJ2158" s="3">
        <v>42047</v>
      </c>
      <c r="BK2158" t="s">
        <v>123</v>
      </c>
      <c r="BL2158" t="str">
        <f>"2015.91327"</f>
        <v>2015.91327</v>
      </c>
      <c r="BM2158" t="s">
        <v>724</v>
      </c>
      <c r="BO2158" t="s">
        <v>14521</v>
      </c>
      <c r="BS2158">
        <v>30</v>
      </c>
      <c r="BW2158" t="str">
        <f>""</f>
        <v/>
      </c>
      <c r="CH2158" t="str">
        <f>""</f>
        <v/>
      </c>
      <c r="CS2158" t="str">
        <f>""</f>
        <v/>
      </c>
    </row>
    <row r="2159" spans="1:97" x14ac:dyDescent="0.25">
      <c r="A2159" t="s">
        <v>1361</v>
      </c>
      <c r="B2159" t="s">
        <v>14522</v>
      </c>
      <c r="E2159" t="s">
        <v>14523</v>
      </c>
      <c r="F2159" t="s">
        <v>108</v>
      </c>
      <c r="H2159" t="s">
        <v>14524</v>
      </c>
      <c r="I2159" t="s">
        <v>225</v>
      </c>
      <c r="J2159" t="s">
        <v>111</v>
      </c>
      <c r="K2159" t="str">
        <f>"85212"</f>
        <v>85212</v>
      </c>
      <c r="L2159" t="s">
        <v>5239</v>
      </c>
      <c r="M2159" t="s">
        <v>14524</v>
      </c>
      <c r="N2159" t="s">
        <v>225</v>
      </c>
      <c r="O2159" t="s">
        <v>111</v>
      </c>
      <c r="P2159" t="str">
        <f>"85212-7124"</f>
        <v>85212-7124</v>
      </c>
      <c r="Q2159" t="s">
        <v>113</v>
      </c>
      <c r="R2159" t="str">
        <f>"312-14-864"</f>
        <v>312-14-864</v>
      </c>
      <c r="S2159" t="s">
        <v>12749</v>
      </c>
      <c r="T2159" t="s">
        <v>8853</v>
      </c>
      <c r="U2159">
        <v>2595</v>
      </c>
      <c r="V2159">
        <v>0</v>
      </c>
      <c r="W2159">
        <v>4</v>
      </c>
      <c r="X2159">
        <v>2006</v>
      </c>
      <c r="Z2159">
        <v>2</v>
      </c>
      <c r="AB2159">
        <v>0</v>
      </c>
      <c r="AC2159" t="s">
        <v>115</v>
      </c>
      <c r="AD2159">
        <v>3</v>
      </c>
      <c r="AE2159" t="s">
        <v>115</v>
      </c>
      <c r="AF2159">
        <v>0</v>
      </c>
      <c r="AG2159">
        <v>0</v>
      </c>
      <c r="AH2159" t="s">
        <v>116</v>
      </c>
      <c r="AI2159" s="1">
        <v>85006</v>
      </c>
      <c r="AJ2159" s="2">
        <v>0.25</v>
      </c>
      <c r="AK2159" s="1">
        <v>340381</v>
      </c>
      <c r="AL2159" t="s">
        <v>117</v>
      </c>
      <c r="AM2159" t="s">
        <v>191</v>
      </c>
      <c r="AN2159">
        <v>8645</v>
      </c>
      <c r="AO2159">
        <v>0.2</v>
      </c>
      <c r="AR2159">
        <v>1</v>
      </c>
      <c r="AS2159" s="1">
        <v>23330</v>
      </c>
      <c r="AT2159" s="1">
        <v>4660</v>
      </c>
      <c r="AU2159" s="1">
        <v>18670</v>
      </c>
      <c r="AV2159">
        <v>80.03</v>
      </c>
      <c r="AX2159" s="1">
        <v>2038.4</v>
      </c>
      <c r="AY2159" t="s">
        <v>560</v>
      </c>
      <c r="AZ2159" t="s">
        <v>561</v>
      </c>
      <c r="BA2159" t="s">
        <v>194</v>
      </c>
      <c r="BE2159" s="3">
        <v>42251</v>
      </c>
      <c r="BF2159" s="1">
        <v>250000</v>
      </c>
      <c r="BG2159" t="s">
        <v>14525</v>
      </c>
      <c r="BH2159" s="1">
        <v>96.34</v>
      </c>
      <c r="BI2159" s="1">
        <v>255375</v>
      </c>
      <c r="BJ2159" s="3">
        <v>42251</v>
      </c>
      <c r="BK2159" t="s">
        <v>123</v>
      </c>
      <c r="BL2159" t="str">
        <f>"2015.645260"</f>
        <v>2015.645260</v>
      </c>
      <c r="BM2159" t="s">
        <v>724</v>
      </c>
      <c r="BO2159" t="s">
        <v>14526</v>
      </c>
      <c r="BS2159">
        <v>30</v>
      </c>
      <c r="BW2159" t="str">
        <f>""</f>
        <v/>
      </c>
      <c r="CH2159" t="str">
        <f>""</f>
        <v/>
      </c>
      <c r="CS2159" t="str">
        <f>""</f>
        <v/>
      </c>
    </row>
    <row r="2160" spans="1:97" x14ac:dyDescent="0.25">
      <c r="A2160" t="s">
        <v>1272</v>
      </c>
      <c r="B2160" t="s">
        <v>3221</v>
      </c>
      <c r="C2160" t="s">
        <v>3768</v>
      </c>
      <c r="D2160" t="s">
        <v>3221</v>
      </c>
      <c r="E2160" t="s">
        <v>14527</v>
      </c>
      <c r="F2160" t="s">
        <v>108</v>
      </c>
      <c r="H2160" t="s">
        <v>14528</v>
      </c>
      <c r="I2160" t="s">
        <v>203</v>
      </c>
      <c r="J2160" t="s">
        <v>111</v>
      </c>
      <c r="K2160" t="str">
        <f>"85297"</f>
        <v>85297</v>
      </c>
      <c r="L2160" t="s">
        <v>7725</v>
      </c>
      <c r="M2160" t="s">
        <v>14528</v>
      </c>
      <c r="N2160" t="s">
        <v>203</v>
      </c>
      <c r="O2160" t="s">
        <v>111</v>
      </c>
      <c r="P2160" t="str">
        <f>"85297-9544"</f>
        <v>85297-9544</v>
      </c>
      <c r="Q2160" t="s">
        <v>113</v>
      </c>
      <c r="R2160" t="str">
        <f>"313-02-535"</f>
        <v>313-02-535</v>
      </c>
      <c r="S2160" t="s">
        <v>7726</v>
      </c>
      <c r="T2160" t="s">
        <v>7727</v>
      </c>
      <c r="U2160">
        <v>1945</v>
      </c>
      <c r="V2160">
        <v>0</v>
      </c>
      <c r="W2160">
        <v>3</v>
      </c>
      <c r="X2160">
        <v>2003</v>
      </c>
      <c r="Z2160">
        <v>1</v>
      </c>
      <c r="AA2160" t="s">
        <v>26</v>
      </c>
      <c r="AB2160">
        <v>0</v>
      </c>
      <c r="AC2160" t="s">
        <v>115</v>
      </c>
      <c r="AD2160">
        <v>2</v>
      </c>
      <c r="AE2160" t="s">
        <v>115</v>
      </c>
      <c r="AF2160">
        <v>0</v>
      </c>
      <c r="AG2160">
        <v>0</v>
      </c>
      <c r="AH2160" t="s">
        <v>116</v>
      </c>
      <c r="AI2160" s="1">
        <v>89249</v>
      </c>
      <c r="AJ2160" s="2">
        <v>0.26</v>
      </c>
      <c r="AK2160" s="1">
        <v>349249</v>
      </c>
      <c r="AL2160" t="s">
        <v>117</v>
      </c>
      <c r="AM2160" t="s">
        <v>191</v>
      </c>
      <c r="AN2160">
        <v>6778</v>
      </c>
      <c r="AO2160">
        <v>0.16</v>
      </c>
      <c r="AP2160">
        <v>1</v>
      </c>
      <c r="AR2160">
        <v>1</v>
      </c>
      <c r="AS2160" s="1">
        <v>24330</v>
      </c>
      <c r="AT2160" s="1">
        <v>4860</v>
      </c>
      <c r="AU2160" s="1">
        <v>19470</v>
      </c>
      <c r="AV2160">
        <v>80.02</v>
      </c>
      <c r="AX2160" s="1">
        <v>2090.12</v>
      </c>
      <c r="AY2160" t="s">
        <v>289</v>
      </c>
      <c r="AZ2160" t="s">
        <v>289</v>
      </c>
      <c r="BA2160" t="s">
        <v>290</v>
      </c>
      <c r="BE2160" s="3">
        <v>42213</v>
      </c>
      <c r="BF2160" s="1">
        <v>260000</v>
      </c>
      <c r="BG2160" t="s">
        <v>14529</v>
      </c>
      <c r="BH2160" s="1">
        <v>133.68</v>
      </c>
      <c r="BI2160" s="1">
        <v>260000</v>
      </c>
      <c r="BJ2160" s="3">
        <v>42213</v>
      </c>
      <c r="BK2160" t="s">
        <v>123</v>
      </c>
      <c r="BL2160" t="str">
        <f>"2015.543099"</f>
        <v>2015.543099</v>
      </c>
      <c r="BM2160" t="s">
        <v>1185</v>
      </c>
      <c r="BO2160" t="s">
        <v>14530</v>
      </c>
      <c r="BS2160">
        <v>30</v>
      </c>
      <c r="BW2160" t="str">
        <f>""</f>
        <v/>
      </c>
      <c r="CH2160" t="str">
        <f>""</f>
        <v/>
      </c>
      <c r="CS2160" t="str">
        <f>""</f>
        <v/>
      </c>
    </row>
    <row r="2161" spans="1:97" x14ac:dyDescent="0.25">
      <c r="A2161" t="s">
        <v>996</v>
      </c>
      <c r="B2161" t="s">
        <v>14531</v>
      </c>
      <c r="E2161" t="s">
        <v>14532</v>
      </c>
      <c r="F2161" t="s">
        <v>108</v>
      </c>
      <c r="H2161" t="s">
        <v>14533</v>
      </c>
      <c r="I2161" t="s">
        <v>632</v>
      </c>
      <c r="J2161" t="s">
        <v>111</v>
      </c>
      <c r="K2161" t="str">
        <f>"85388"</f>
        <v>85388</v>
      </c>
      <c r="L2161" t="s">
        <v>7607</v>
      </c>
      <c r="M2161" t="s">
        <v>14533</v>
      </c>
      <c r="N2161" t="s">
        <v>632</v>
      </c>
      <c r="O2161" t="s">
        <v>111</v>
      </c>
      <c r="P2161" t="str">
        <f>"85388-1616"</f>
        <v>85388-1616</v>
      </c>
      <c r="Q2161" t="s">
        <v>113</v>
      </c>
      <c r="R2161" t="str">
        <f>"502-02-125"</f>
        <v>502-02-125</v>
      </c>
      <c r="S2161" t="s">
        <v>13127</v>
      </c>
      <c r="T2161" t="s">
        <v>13128</v>
      </c>
      <c r="U2161">
        <v>1767</v>
      </c>
      <c r="V2161">
        <v>0</v>
      </c>
      <c r="W2161">
        <v>3</v>
      </c>
      <c r="X2161">
        <v>2015</v>
      </c>
      <c r="Z2161">
        <v>1</v>
      </c>
      <c r="AB2161">
        <v>0</v>
      </c>
      <c r="AC2161" t="s">
        <v>115</v>
      </c>
      <c r="AD2161">
        <v>2</v>
      </c>
      <c r="AE2161" t="s">
        <v>115</v>
      </c>
      <c r="AF2161">
        <v>0</v>
      </c>
      <c r="AG2161">
        <v>0</v>
      </c>
      <c r="AH2161" t="s">
        <v>116</v>
      </c>
      <c r="AI2161" s="1">
        <v>49146</v>
      </c>
      <c r="AJ2161" s="2">
        <v>0.17</v>
      </c>
      <c r="AK2161" s="1">
        <v>288005</v>
      </c>
      <c r="AL2161" t="s">
        <v>117</v>
      </c>
      <c r="AM2161" t="s">
        <v>118</v>
      </c>
      <c r="AN2161">
        <v>9887</v>
      </c>
      <c r="AO2161">
        <v>0.23</v>
      </c>
      <c r="AR2161">
        <v>1</v>
      </c>
      <c r="AS2161" s="1">
        <v>20580</v>
      </c>
      <c r="AT2161" s="1">
        <v>4110</v>
      </c>
      <c r="AU2161" s="1">
        <v>16470</v>
      </c>
      <c r="AV2161">
        <v>80.03</v>
      </c>
      <c r="AX2161" s="1">
        <v>1618.8</v>
      </c>
      <c r="AY2161" t="s">
        <v>5168</v>
      </c>
      <c r="AZ2161" t="s">
        <v>5168</v>
      </c>
      <c r="BA2161" t="s">
        <v>5109</v>
      </c>
      <c r="BE2161" s="3">
        <v>42116</v>
      </c>
      <c r="BF2161" s="1">
        <v>233832</v>
      </c>
      <c r="BG2161" t="s">
        <v>14534</v>
      </c>
      <c r="BH2161" s="1">
        <v>132.33000000000001</v>
      </c>
      <c r="BI2161" s="1">
        <v>238859</v>
      </c>
      <c r="BJ2161" s="3">
        <v>42116</v>
      </c>
      <c r="BK2161" t="s">
        <v>123</v>
      </c>
      <c r="BL2161" t="str">
        <f>"2015.277662"</f>
        <v>2015.277662</v>
      </c>
      <c r="BM2161" t="s">
        <v>738</v>
      </c>
      <c r="BO2161" t="s">
        <v>14535</v>
      </c>
      <c r="BS2161">
        <v>30</v>
      </c>
      <c r="BW2161" t="str">
        <f>""</f>
        <v/>
      </c>
      <c r="CH2161" t="str">
        <f>""</f>
        <v/>
      </c>
      <c r="CS2161" t="str">
        <f>""</f>
        <v/>
      </c>
    </row>
    <row r="2162" spans="1:97" x14ac:dyDescent="0.25">
      <c r="A2162" t="s">
        <v>1344</v>
      </c>
      <c r="B2162" t="s">
        <v>14536</v>
      </c>
      <c r="C2162" t="s">
        <v>1340</v>
      </c>
      <c r="D2162" t="s">
        <v>14536</v>
      </c>
      <c r="E2162" t="s">
        <v>14537</v>
      </c>
      <c r="F2162" t="s">
        <v>108</v>
      </c>
      <c r="H2162" t="s">
        <v>14538</v>
      </c>
      <c r="I2162" t="s">
        <v>1397</v>
      </c>
      <c r="J2162" t="s">
        <v>111</v>
      </c>
      <c r="K2162" t="str">
        <f>"85331"</f>
        <v>85331</v>
      </c>
      <c r="L2162" t="s">
        <v>14539</v>
      </c>
      <c r="M2162" t="s">
        <v>14538</v>
      </c>
      <c r="N2162" t="s">
        <v>1397</v>
      </c>
      <c r="O2162" t="s">
        <v>111</v>
      </c>
      <c r="P2162" t="str">
        <f>"85331-2404"</f>
        <v>85331-2404</v>
      </c>
      <c r="Q2162" t="s">
        <v>113</v>
      </c>
      <c r="R2162" t="str">
        <f>"211-89-562"</f>
        <v>211-89-562</v>
      </c>
      <c r="S2162" t="s">
        <v>10288</v>
      </c>
      <c r="T2162" t="s">
        <v>10288</v>
      </c>
      <c r="U2162">
        <v>3576</v>
      </c>
      <c r="V2162">
        <v>0</v>
      </c>
      <c r="W2162">
        <v>4</v>
      </c>
      <c r="X2162">
        <v>2014</v>
      </c>
      <c r="Z2162">
        <v>2</v>
      </c>
      <c r="AA2162" t="s">
        <v>26</v>
      </c>
      <c r="AB2162">
        <v>0</v>
      </c>
      <c r="AC2162" t="s">
        <v>115</v>
      </c>
      <c r="AD2162">
        <v>3</v>
      </c>
      <c r="AE2162" t="s">
        <v>115</v>
      </c>
      <c r="AF2162">
        <v>0</v>
      </c>
      <c r="AG2162">
        <v>0</v>
      </c>
      <c r="AH2162" t="s">
        <v>116</v>
      </c>
      <c r="AI2162" s="1">
        <v>124972</v>
      </c>
      <c r="AJ2162" s="2">
        <v>0.16</v>
      </c>
      <c r="AK2162" s="1">
        <v>769010</v>
      </c>
      <c r="AL2162" t="s">
        <v>117</v>
      </c>
      <c r="AM2162" t="s">
        <v>616</v>
      </c>
      <c r="AN2162">
        <v>12059</v>
      </c>
      <c r="AO2162">
        <v>0.28000000000000003</v>
      </c>
      <c r="AR2162">
        <v>1</v>
      </c>
      <c r="AS2162" s="1">
        <v>59380</v>
      </c>
      <c r="AT2162" s="1">
        <v>11870</v>
      </c>
      <c r="AU2162" s="1">
        <v>47510</v>
      </c>
      <c r="AV2162">
        <v>80.010000000000005</v>
      </c>
      <c r="AX2162" s="1">
        <v>3191.24</v>
      </c>
      <c r="AY2162" t="s">
        <v>1401</v>
      </c>
      <c r="AZ2162" t="s">
        <v>1402</v>
      </c>
      <c r="BA2162" t="s">
        <v>1403</v>
      </c>
      <c r="BE2162" s="3">
        <v>41859</v>
      </c>
      <c r="BF2162" s="1">
        <v>709117</v>
      </c>
      <c r="BG2162" t="s">
        <v>14540</v>
      </c>
      <c r="BH2162" s="1">
        <v>198.3</v>
      </c>
      <c r="BI2162" s="1">
        <v>644038</v>
      </c>
      <c r="BJ2162" s="3">
        <v>41859</v>
      </c>
      <c r="BK2162" t="s">
        <v>123</v>
      </c>
      <c r="BL2162" t="str">
        <f>"2014.522291"</f>
        <v>2014.522291</v>
      </c>
      <c r="BM2162" t="s">
        <v>1760</v>
      </c>
      <c r="BO2162" t="s">
        <v>14541</v>
      </c>
      <c r="BS2162">
        <v>30</v>
      </c>
      <c r="BW2162" t="str">
        <f>""</f>
        <v/>
      </c>
      <c r="CH2162" t="str">
        <f>""</f>
        <v/>
      </c>
      <c r="CS2162" t="str">
        <f>""</f>
        <v/>
      </c>
    </row>
    <row r="2163" spans="1:97" x14ac:dyDescent="0.25">
      <c r="B2163" t="s">
        <v>14542</v>
      </c>
      <c r="E2163" t="s">
        <v>9289</v>
      </c>
      <c r="F2163" t="s">
        <v>108</v>
      </c>
      <c r="H2163" t="s">
        <v>14543</v>
      </c>
      <c r="I2163" t="s">
        <v>2874</v>
      </c>
      <c r="J2163" t="s">
        <v>111</v>
      </c>
      <c r="K2163" t="str">
        <f>"85310"</f>
        <v>85310</v>
      </c>
      <c r="L2163" t="s">
        <v>2765</v>
      </c>
      <c r="M2163" t="s">
        <v>14543</v>
      </c>
      <c r="N2163" t="s">
        <v>2874</v>
      </c>
      <c r="O2163" t="s">
        <v>111</v>
      </c>
      <c r="P2163" t="str">
        <f>"85310-5878"</f>
        <v>85310-5878</v>
      </c>
      <c r="Q2163" t="s">
        <v>113</v>
      </c>
      <c r="R2163" t="str">
        <f>"231-17-439"</f>
        <v>231-17-439</v>
      </c>
      <c r="S2163" t="s">
        <v>14544</v>
      </c>
      <c r="T2163" t="s">
        <v>14544</v>
      </c>
      <c r="U2163">
        <v>2833</v>
      </c>
      <c r="V2163">
        <v>0</v>
      </c>
      <c r="W2163">
        <v>4</v>
      </c>
      <c r="X2163">
        <v>1995</v>
      </c>
      <c r="Z2163">
        <v>1</v>
      </c>
      <c r="AA2163" t="s">
        <v>26</v>
      </c>
      <c r="AB2163">
        <v>0</v>
      </c>
      <c r="AC2163" t="s">
        <v>115</v>
      </c>
      <c r="AD2163">
        <v>3</v>
      </c>
      <c r="AE2163" t="s">
        <v>115</v>
      </c>
      <c r="AF2163">
        <v>0</v>
      </c>
      <c r="AG2163">
        <v>0</v>
      </c>
      <c r="AH2163" t="s">
        <v>116</v>
      </c>
      <c r="AI2163" s="1">
        <v>247946</v>
      </c>
      <c r="AJ2163" s="2">
        <v>0.5</v>
      </c>
      <c r="AK2163" s="1">
        <v>497196</v>
      </c>
      <c r="AL2163" t="s">
        <v>117</v>
      </c>
      <c r="AM2163" t="s">
        <v>5791</v>
      </c>
      <c r="AN2163">
        <v>13500</v>
      </c>
      <c r="AO2163">
        <v>0.31</v>
      </c>
      <c r="AP2163">
        <v>1</v>
      </c>
      <c r="AR2163">
        <v>1</v>
      </c>
      <c r="AS2163" s="1">
        <v>36120</v>
      </c>
      <c r="AT2163" s="1">
        <v>7220</v>
      </c>
      <c r="AU2163" s="1">
        <v>28900</v>
      </c>
      <c r="AV2163">
        <v>80.010000000000005</v>
      </c>
      <c r="AX2163" s="1">
        <v>3278.16</v>
      </c>
      <c r="AY2163" t="s">
        <v>3048</v>
      </c>
      <c r="AZ2163" t="s">
        <v>3049</v>
      </c>
      <c r="BA2163" t="s">
        <v>2223</v>
      </c>
      <c r="BB2163" s="3">
        <v>42753</v>
      </c>
      <c r="BD2163" t="s">
        <v>458</v>
      </c>
      <c r="BE2163" s="3">
        <v>42184</v>
      </c>
      <c r="BF2163" s="1">
        <v>445000</v>
      </c>
      <c r="BG2163" t="s">
        <v>14545</v>
      </c>
      <c r="BH2163" s="1">
        <v>157.08000000000001</v>
      </c>
      <c r="BI2163" s="1">
        <v>249250</v>
      </c>
      <c r="BJ2163" s="3">
        <v>42753</v>
      </c>
      <c r="BK2163" t="s">
        <v>123</v>
      </c>
      <c r="BL2163" t="str">
        <f>"2017.39456"</f>
        <v>2017.39456</v>
      </c>
      <c r="BM2163" t="s">
        <v>709</v>
      </c>
      <c r="BO2163" t="s">
        <v>14546</v>
      </c>
      <c r="BS2163">
        <v>30</v>
      </c>
      <c r="BW2163" t="str">
        <f>""</f>
        <v/>
      </c>
      <c r="CH2163" t="str">
        <f>""</f>
        <v/>
      </c>
      <c r="CS2163" t="str">
        <f>""</f>
        <v/>
      </c>
    </row>
    <row r="2164" spans="1:97" x14ac:dyDescent="0.25">
      <c r="A2164" t="s">
        <v>3104</v>
      </c>
      <c r="B2164" t="s">
        <v>11512</v>
      </c>
      <c r="C2164" t="s">
        <v>2719</v>
      </c>
      <c r="D2164" t="s">
        <v>11512</v>
      </c>
      <c r="E2164" t="s">
        <v>14547</v>
      </c>
      <c r="F2164" t="s">
        <v>108</v>
      </c>
      <c r="H2164" t="s">
        <v>14548</v>
      </c>
      <c r="I2164" t="s">
        <v>2874</v>
      </c>
      <c r="J2164" t="s">
        <v>111</v>
      </c>
      <c r="K2164" t="str">
        <f>"85310"</f>
        <v>85310</v>
      </c>
      <c r="L2164" t="s">
        <v>5775</v>
      </c>
      <c r="M2164" t="s">
        <v>14548</v>
      </c>
      <c r="N2164" t="s">
        <v>2874</v>
      </c>
      <c r="O2164" t="s">
        <v>111</v>
      </c>
      <c r="P2164" t="str">
        <f>"85310-5664"</f>
        <v>85310-5664</v>
      </c>
      <c r="Q2164" t="s">
        <v>113</v>
      </c>
      <c r="R2164" t="str">
        <f>"200-06-689"</f>
        <v>200-06-689</v>
      </c>
      <c r="S2164" t="s">
        <v>14549</v>
      </c>
      <c r="T2164" t="s">
        <v>14550</v>
      </c>
      <c r="U2164">
        <v>2337</v>
      </c>
      <c r="V2164">
        <v>0</v>
      </c>
      <c r="W2164">
        <v>4</v>
      </c>
      <c r="X2164">
        <v>1994</v>
      </c>
      <c r="Z2164">
        <v>2</v>
      </c>
      <c r="AB2164">
        <v>0</v>
      </c>
      <c r="AC2164" t="s">
        <v>115</v>
      </c>
      <c r="AD2164">
        <v>2</v>
      </c>
      <c r="AE2164" t="s">
        <v>115</v>
      </c>
      <c r="AF2164">
        <v>0</v>
      </c>
      <c r="AG2164">
        <v>0</v>
      </c>
      <c r="AH2164" t="s">
        <v>116</v>
      </c>
      <c r="AI2164" s="1">
        <v>153396</v>
      </c>
      <c r="AJ2164" s="2">
        <v>0.42</v>
      </c>
      <c r="AK2164" s="1">
        <v>360958</v>
      </c>
      <c r="AL2164" t="s">
        <v>117</v>
      </c>
      <c r="AM2164" t="s">
        <v>118</v>
      </c>
      <c r="AN2164">
        <v>7939</v>
      </c>
      <c r="AO2164">
        <v>0.18</v>
      </c>
      <c r="AP2164">
        <v>1</v>
      </c>
      <c r="AR2164">
        <v>1</v>
      </c>
      <c r="AS2164" s="1">
        <v>25570</v>
      </c>
      <c r="AT2164" s="1">
        <v>5110</v>
      </c>
      <c r="AU2164" s="1">
        <v>20460</v>
      </c>
      <c r="AV2164">
        <v>80.02</v>
      </c>
      <c r="AX2164" s="1">
        <v>2280.2399999999998</v>
      </c>
      <c r="AY2164" t="s">
        <v>3048</v>
      </c>
      <c r="AZ2164" t="s">
        <v>3049</v>
      </c>
      <c r="BA2164" t="s">
        <v>2223</v>
      </c>
      <c r="BE2164" s="3">
        <v>42440</v>
      </c>
      <c r="BF2164" s="1">
        <v>295000</v>
      </c>
      <c r="BG2164" t="s">
        <v>14551</v>
      </c>
      <c r="BH2164" s="1">
        <v>126.23</v>
      </c>
      <c r="BI2164" s="1">
        <v>207562</v>
      </c>
      <c r="BJ2164" s="3">
        <v>42440</v>
      </c>
      <c r="BK2164" t="s">
        <v>123</v>
      </c>
      <c r="BL2164" t="str">
        <f>"2016.157843"</f>
        <v>2016.157843</v>
      </c>
      <c r="BM2164" t="s">
        <v>14552</v>
      </c>
      <c r="BO2164" t="s">
        <v>14553</v>
      </c>
      <c r="BS2164">
        <v>30</v>
      </c>
      <c r="BW2164" t="str">
        <f>""</f>
        <v/>
      </c>
      <c r="CH2164" t="str">
        <f>""</f>
        <v/>
      </c>
      <c r="CS2164" t="str">
        <f>""</f>
        <v/>
      </c>
    </row>
    <row r="2165" spans="1:97" x14ac:dyDescent="0.25">
      <c r="A2165" t="s">
        <v>5206</v>
      </c>
      <c r="B2165" t="s">
        <v>14554</v>
      </c>
      <c r="C2165" t="s">
        <v>4229</v>
      </c>
      <c r="D2165" t="s">
        <v>14554</v>
      </c>
      <c r="E2165" t="s">
        <v>14555</v>
      </c>
      <c r="F2165" t="s">
        <v>108</v>
      </c>
      <c r="H2165" t="s">
        <v>14556</v>
      </c>
      <c r="I2165" t="s">
        <v>110</v>
      </c>
      <c r="J2165" t="s">
        <v>111</v>
      </c>
      <c r="K2165" t="str">
        <f>"85286"</f>
        <v>85286</v>
      </c>
      <c r="L2165" t="s">
        <v>7109</v>
      </c>
      <c r="M2165" t="s">
        <v>14556</v>
      </c>
      <c r="N2165" t="s">
        <v>110</v>
      </c>
      <c r="O2165" t="s">
        <v>111</v>
      </c>
      <c r="P2165" t="str">
        <f>"85286-2641"</f>
        <v>85286-2641</v>
      </c>
      <c r="Q2165" t="s">
        <v>113</v>
      </c>
      <c r="R2165" t="str">
        <f>"303-42-893"</f>
        <v>303-42-893</v>
      </c>
      <c r="S2165" t="s">
        <v>14557</v>
      </c>
      <c r="T2165" t="s">
        <v>14557</v>
      </c>
      <c r="U2165">
        <v>3376</v>
      </c>
      <c r="V2165">
        <v>0</v>
      </c>
      <c r="W2165">
        <v>5</v>
      </c>
      <c r="X2165">
        <v>2002</v>
      </c>
      <c r="Z2165">
        <v>2</v>
      </c>
      <c r="AA2165" t="s">
        <v>26</v>
      </c>
      <c r="AB2165">
        <v>0</v>
      </c>
      <c r="AC2165" t="s">
        <v>115</v>
      </c>
      <c r="AD2165">
        <v>3</v>
      </c>
      <c r="AE2165" t="s">
        <v>115</v>
      </c>
      <c r="AF2165">
        <v>0</v>
      </c>
      <c r="AG2165">
        <v>0</v>
      </c>
      <c r="AH2165" t="s">
        <v>116</v>
      </c>
      <c r="AI2165" s="1">
        <v>81439</v>
      </c>
      <c r="AJ2165" s="2">
        <v>0.17</v>
      </c>
      <c r="AK2165" s="1">
        <v>491339</v>
      </c>
      <c r="AL2165" t="s">
        <v>117</v>
      </c>
      <c r="AM2165" t="s">
        <v>118</v>
      </c>
      <c r="AN2165">
        <v>12011</v>
      </c>
      <c r="AO2165">
        <v>0.28000000000000003</v>
      </c>
      <c r="AP2165">
        <v>1</v>
      </c>
      <c r="AR2165">
        <v>1</v>
      </c>
      <c r="AS2165" s="1">
        <v>36120</v>
      </c>
      <c r="AT2165" s="1">
        <v>7220</v>
      </c>
      <c r="AU2165" s="1">
        <v>28900</v>
      </c>
      <c r="AV2165">
        <v>80.010000000000005</v>
      </c>
      <c r="AX2165" s="1">
        <v>3288.3</v>
      </c>
      <c r="AY2165" t="s">
        <v>9063</v>
      </c>
      <c r="AZ2165" t="s">
        <v>120</v>
      </c>
      <c r="BA2165" t="s">
        <v>303</v>
      </c>
      <c r="BE2165" s="3">
        <v>42480</v>
      </c>
      <c r="BF2165" s="1">
        <v>409900</v>
      </c>
      <c r="BG2165" t="s">
        <v>14558</v>
      </c>
      <c r="BH2165" s="1">
        <v>121.42</v>
      </c>
      <c r="BI2165" s="1">
        <v>409900</v>
      </c>
      <c r="BJ2165" s="3">
        <v>42480</v>
      </c>
      <c r="BK2165" t="s">
        <v>123</v>
      </c>
      <c r="BL2165" t="str">
        <f>"2016.263872"</f>
        <v>2016.263872</v>
      </c>
      <c r="BM2165" t="s">
        <v>955</v>
      </c>
      <c r="BO2165" t="s">
        <v>14559</v>
      </c>
      <c r="BS2165">
        <v>30</v>
      </c>
      <c r="BW2165" t="str">
        <f>""</f>
        <v/>
      </c>
      <c r="CH2165" t="str">
        <f>""</f>
        <v/>
      </c>
      <c r="CS2165" t="str">
        <f>""</f>
        <v/>
      </c>
    </row>
    <row r="2166" spans="1:97" x14ac:dyDescent="0.25">
      <c r="A2166" t="s">
        <v>962</v>
      </c>
      <c r="B2166" t="s">
        <v>2255</v>
      </c>
      <c r="C2166" t="s">
        <v>3067</v>
      </c>
      <c r="D2166" t="s">
        <v>2255</v>
      </c>
      <c r="E2166" t="s">
        <v>14560</v>
      </c>
      <c r="F2166" t="s">
        <v>108</v>
      </c>
      <c r="H2166" t="s">
        <v>14561</v>
      </c>
      <c r="I2166" t="s">
        <v>632</v>
      </c>
      <c r="J2166" t="s">
        <v>111</v>
      </c>
      <c r="K2166" t="str">
        <f>"85379"</f>
        <v>85379</v>
      </c>
      <c r="L2166" t="s">
        <v>375</v>
      </c>
      <c r="M2166" t="s">
        <v>14561</v>
      </c>
      <c r="N2166" t="s">
        <v>632</v>
      </c>
      <c r="O2166" t="s">
        <v>111</v>
      </c>
      <c r="P2166" t="str">
        <f>"85379-8174"</f>
        <v>85379-8174</v>
      </c>
      <c r="Q2166" t="s">
        <v>113</v>
      </c>
      <c r="R2166" t="str">
        <f>"509-15-751"</f>
        <v>509-15-751</v>
      </c>
      <c r="S2166" t="s">
        <v>14562</v>
      </c>
      <c r="U2166">
        <v>1907</v>
      </c>
      <c r="V2166">
        <v>0</v>
      </c>
      <c r="W2166">
        <v>3</v>
      </c>
      <c r="X2166">
        <v>2014</v>
      </c>
      <c r="Z2166">
        <v>1</v>
      </c>
      <c r="AB2166">
        <v>0</v>
      </c>
      <c r="AC2166" t="s">
        <v>115</v>
      </c>
      <c r="AD2166">
        <v>2</v>
      </c>
      <c r="AE2166" t="s">
        <v>115</v>
      </c>
      <c r="AF2166">
        <v>0</v>
      </c>
      <c r="AG2166">
        <v>0</v>
      </c>
      <c r="AH2166" t="s">
        <v>116</v>
      </c>
      <c r="AI2166" s="1">
        <v>53188</v>
      </c>
      <c r="AJ2166" s="2">
        <v>0.17</v>
      </c>
      <c r="AK2166" s="1">
        <v>304312</v>
      </c>
      <c r="AL2166" t="s">
        <v>117</v>
      </c>
      <c r="AM2166" t="s">
        <v>118</v>
      </c>
      <c r="AN2166">
        <v>7015</v>
      </c>
      <c r="AO2166">
        <v>0.16</v>
      </c>
      <c r="AR2166">
        <v>1</v>
      </c>
      <c r="AS2166" s="1">
        <v>21600</v>
      </c>
      <c r="AT2166" s="1">
        <v>4320</v>
      </c>
      <c r="AU2166" s="1">
        <v>17280</v>
      </c>
      <c r="AV2166">
        <v>80</v>
      </c>
      <c r="AX2166" s="1">
        <v>2322.3000000000002</v>
      </c>
      <c r="AY2166" t="s">
        <v>634</v>
      </c>
      <c r="AZ2166" t="s">
        <v>634</v>
      </c>
      <c r="BA2166" t="s">
        <v>635</v>
      </c>
      <c r="BE2166" s="3">
        <v>42152</v>
      </c>
      <c r="BF2166" s="1">
        <v>239779</v>
      </c>
      <c r="BG2166" t="s">
        <v>636</v>
      </c>
      <c r="BH2166" s="1">
        <v>125.74</v>
      </c>
      <c r="BI2166" s="1">
        <v>251124</v>
      </c>
      <c r="BJ2166" s="3">
        <v>42649</v>
      </c>
      <c r="BK2166" t="s">
        <v>123</v>
      </c>
      <c r="BL2166" t="str">
        <f>"2016.733877"</f>
        <v>2016.733877</v>
      </c>
      <c r="BM2166" t="s">
        <v>2378</v>
      </c>
      <c r="BO2166" t="s">
        <v>14563</v>
      </c>
      <c r="BS2166">
        <v>30</v>
      </c>
      <c r="BW2166" t="str">
        <f>""</f>
        <v/>
      </c>
      <c r="CH2166" t="str">
        <f>""</f>
        <v/>
      </c>
      <c r="CS2166" t="str">
        <f>""</f>
        <v/>
      </c>
    </row>
    <row r="2167" spans="1:97" x14ac:dyDescent="0.25">
      <c r="A2167" t="s">
        <v>251</v>
      </c>
      <c r="B2167" t="s">
        <v>14564</v>
      </c>
      <c r="C2167" t="s">
        <v>14565</v>
      </c>
      <c r="D2167" t="s">
        <v>14564</v>
      </c>
      <c r="E2167" t="s">
        <v>14566</v>
      </c>
      <c r="F2167" t="s">
        <v>108</v>
      </c>
      <c r="H2167" t="s">
        <v>14567</v>
      </c>
      <c r="I2167" t="s">
        <v>499</v>
      </c>
      <c r="J2167" t="s">
        <v>111</v>
      </c>
      <c r="K2167" t="str">
        <f>"85338"</f>
        <v>85338</v>
      </c>
      <c r="L2167" t="s">
        <v>1796</v>
      </c>
      <c r="M2167" t="s">
        <v>14567</v>
      </c>
      <c r="N2167" t="s">
        <v>499</v>
      </c>
      <c r="O2167" t="s">
        <v>111</v>
      </c>
      <c r="P2167" t="str">
        <f>"85338-5372"</f>
        <v>85338-5372</v>
      </c>
      <c r="Q2167" t="s">
        <v>113</v>
      </c>
      <c r="R2167" t="str">
        <f>"400-80-575"</f>
        <v>400-80-575</v>
      </c>
      <c r="S2167" t="s">
        <v>14568</v>
      </c>
      <c r="U2167">
        <v>2885</v>
      </c>
      <c r="V2167">
        <v>0</v>
      </c>
      <c r="W2167">
        <v>4</v>
      </c>
      <c r="X2167">
        <v>2007</v>
      </c>
      <c r="Z2167">
        <v>1</v>
      </c>
      <c r="AA2167" t="s">
        <v>26</v>
      </c>
      <c r="AB2167">
        <v>0</v>
      </c>
      <c r="AC2167" t="s">
        <v>115</v>
      </c>
      <c r="AD2167">
        <v>3</v>
      </c>
      <c r="AE2167" t="s">
        <v>115</v>
      </c>
      <c r="AF2167">
        <v>0</v>
      </c>
      <c r="AG2167">
        <v>0</v>
      </c>
      <c r="AH2167" t="s">
        <v>116</v>
      </c>
      <c r="AI2167" s="1">
        <v>104451</v>
      </c>
      <c r="AJ2167" s="2">
        <v>0.22</v>
      </c>
      <c r="AK2167" s="1">
        <v>473805</v>
      </c>
      <c r="AL2167" t="s">
        <v>117</v>
      </c>
      <c r="AM2167" t="s">
        <v>118</v>
      </c>
      <c r="AN2167">
        <v>17510</v>
      </c>
      <c r="AO2167">
        <v>0.4</v>
      </c>
      <c r="AR2167">
        <v>1</v>
      </c>
      <c r="AS2167" s="1">
        <v>35380</v>
      </c>
      <c r="AT2167" s="1">
        <v>7070</v>
      </c>
      <c r="AU2167" s="1">
        <v>28310</v>
      </c>
      <c r="AV2167">
        <v>80.02</v>
      </c>
      <c r="AX2167" s="1">
        <v>4041.16</v>
      </c>
      <c r="AY2167" t="s">
        <v>1246</v>
      </c>
      <c r="AZ2167" t="s">
        <v>1246</v>
      </c>
      <c r="BA2167" t="s">
        <v>1247</v>
      </c>
      <c r="BB2167" s="3">
        <v>42787</v>
      </c>
      <c r="BD2167" t="s">
        <v>458</v>
      </c>
      <c r="BE2167" s="3">
        <v>42226</v>
      </c>
      <c r="BF2167" s="1">
        <v>375000</v>
      </c>
      <c r="BG2167" t="s">
        <v>14569</v>
      </c>
      <c r="BH2167" s="1">
        <v>129.97999999999999</v>
      </c>
      <c r="BI2167" s="1">
        <v>369354</v>
      </c>
      <c r="BJ2167" s="3">
        <v>42787</v>
      </c>
      <c r="BK2167" t="s">
        <v>123</v>
      </c>
      <c r="BL2167" t="str">
        <f>"2017.122257"</f>
        <v>2017.122257</v>
      </c>
      <c r="BM2167" t="s">
        <v>5534</v>
      </c>
      <c r="BO2167" t="s">
        <v>14570</v>
      </c>
      <c r="BS2167">
        <v>30</v>
      </c>
      <c r="BW2167" t="str">
        <f>""</f>
        <v/>
      </c>
      <c r="CH2167" t="str">
        <f>""</f>
        <v/>
      </c>
      <c r="CS2167" t="str">
        <f>""</f>
        <v/>
      </c>
    </row>
    <row r="2168" spans="1:97" x14ac:dyDescent="0.25">
      <c r="A2168" t="s">
        <v>106</v>
      </c>
      <c r="B2168" t="s">
        <v>4248</v>
      </c>
      <c r="C2168" t="s">
        <v>154</v>
      </c>
      <c r="D2168" t="s">
        <v>4248</v>
      </c>
      <c r="E2168" t="s">
        <v>14571</v>
      </c>
      <c r="F2168" t="s">
        <v>108</v>
      </c>
      <c r="H2168" t="s">
        <v>14572</v>
      </c>
      <c r="I2168" t="s">
        <v>632</v>
      </c>
      <c r="J2168" t="s">
        <v>111</v>
      </c>
      <c r="K2168" t="str">
        <f>"85387"</f>
        <v>85387</v>
      </c>
      <c r="L2168" t="s">
        <v>5496</v>
      </c>
      <c r="M2168" t="s">
        <v>14572</v>
      </c>
      <c r="N2168" t="s">
        <v>632</v>
      </c>
      <c r="O2168" t="s">
        <v>111</v>
      </c>
      <c r="P2168" t="str">
        <f>"85387-1424"</f>
        <v>85387-1424</v>
      </c>
      <c r="R2168" t="str">
        <f>"503-74-734"</f>
        <v>503-74-734</v>
      </c>
      <c r="S2168" t="s">
        <v>14573</v>
      </c>
      <c r="T2168" t="s">
        <v>14574</v>
      </c>
      <c r="U2168">
        <v>2398</v>
      </c>
      <c r="V2168">
        <v>0</v>
      </c>
      <c r="W2168">
        <v>4</v>
      </c>
      <c r="X2168">
        <v>2016</v>
      </c>
      <c r="Z2168">
        <v>1</v>
      </c>
      <c r="AB2168">
        <v>0</v>
      </c>
      <c r="AC2168" t="s">
        <v>115</v>
      </c>
      <c r="AD2168">
        <v>3</v>
      </c>
      <c r="AE2168" t="s">
        <v>115</v>
      </c>
      <c r="AF2168">
        <v>0</v>
      </c>
      <c r="AG2168">
        <v>0</v>
      </c>
      <c r="AH2168" t="s">
        <v>116</v>
      </c>
      <c r="AI2168" s="1">
        <v>62547</v>
      </c>
      <c r="AJ2168" s="2">
        <v>0.19</v>
      </c>
      <c r="AK2168" s="1">
        <v>331872</v>
      </c>
      <c r="AL2168" t="s">
        <v>117</v>
      </c>
      <c r="AM2168" t="s">
        <v>118</v>
      </c>
      <c r="AN2168">
        <v>7623</v>
      </c>
      <c r="AO2168">
        <v>0.18</v>
      </c>
      <c r="AR2168">
        <v>1</v>
      </c>
      <c r="AS2168" s="1">
        <v>23250</v>
      </c>
      <c r="AT2168" s="1">
        <v>4650</v>
      </c>
      <c r="AU2168" s="1">
        <v>18600</v>
      </c>
      <c r="AV2168">
        <v>80</v>
      </c>
      <c r="AX2168" s="1">
        <v>1929.36</v>
      </c>
      <c r="AY2168" t="s">
        <v>5108</v>
      </c>
      <c r="AZ2168" t="s">
        <v>5108</v>
      </c>
      <c r="BA2168" t="s">
        <v>5109</v>
      </c>
      <c r="BE2168" s="3">
        <v>42513</v>
      </c>
      <c r="BF2168" s="1">
        <v>306000</v>
      </c>
      <c r="BG2168" t="s">
        <v>195</v>
      </c>
      <c r="BH2168" s="1">
        <v>127.61</v>
      </c>
      <c r="BI2168" s="1">
        <v>269325</v>
      </c>
      <c r="BJ2168" s="3">
        <v>42513</v>
      </c>
      <c r="BK2168" t="s">
        <v>123</v>
      </c>
      <c r="BL2168" t="str">
        <f>"2016.352823"</f>
        <v>2016.352823</v>
      </c>
      <c r="BM2168" t="s">
        <v>196</v>
      </c>
      <c r="BN2168" t="s">
        <v>1442</v>
      </c>
      <c r="BO2168" t="s">
        <v>14575</v>
      </c>
      <c r="BS2168">
        <v>30</v>
      </c>
      <c r="BW2168" t="str">
        <f>""</f>
        <v/>
      </c>
      <c r="CH2168" t="str">
        <f>""</f>
        <v/>
      </c>
      <c r="CS2168" t="str">
        <f>""</f>
        <v/>
      </c>
    </row>
    <row r="2169" spans="1:97" x14ac:dyDescent="0.25">
      <c r="A2169" t="s">
        <v>886</v>
      </c>
      <c r="B2169" t="s">
        <v>1820</v>
      </c>
      <c r="E2169" t="s">
        <v>14576</v>
      </c>
      <c r="F2169" t="s">
        <v>108</v>
      </c>
      <c r="H2169" t="s">
        <v>14577</v>
      </c>
      <c r="I2169" t="s">
        <v>188</v>
      </c>
      <c r="J2169" t="s">
        <v>111</v>
      </c>
      <c r="K2169" t="str">
        <f>"85142"</f>
        <v>85142</v>
      </c>
      <c r="L2169" t="s">
        <v>3151</v>
      </c>
      <c r="M2169" t="s">
        <v>14577</v>
      </c>
      <c r="N2169" t="s">
        <v>188</v>
      </c>
      <c r="O2169" t="s">
        <v>111</v>
      </c>
      <c r="P2169" t="str">
        <f>"85142-9363"</f>
        <v>85142-9363</v>
      </c>
      <c r="Q2169" t="s">
        <v>113</v>
      </c>
      <c r="R2169" t="str">
        <f>"304-90-025-F"</f>
        <v>304-90-025-F</v>
      </c>
      <c r="U2169">
        <v>3124</v>
      </c>
      <c r="V2169">
        <v>0</v>
      </c>
      <c r="W2169">
        <v>4</v>
      </c>
      <c r="X2169">
        <v>2007</v>
      </c>
      <c r="Z2169">
        <v>1</v>
      </c>
      <c r="AA2169" t="s">
        <v>26</v>
      </c>
      <c r="AB2169">
        <v>0</v>
      </c>
      <c r="AC2169" t="s">
        <v>115</v>
      </c>
      <c r="AD2169">
        <v>3</v>
      </c>
      <c r="AE2169" t="s">
        <v>115</v>
      </c>
      <c r="AF2169">
        <v>0</v>
      </c>
      <c r="AG2169">
        <v>0</v>
      </c>
      <c r="AH2169" t="s">
        <v>116</v>
      </c>
      <c r="AI2169" s="1">
        <v>157010</v>
      </c>
      <c r="AJ2169" s="2">
        <v>0.28000000000000003</v>
      </c>
      <c r="AK2169" s="1">
        <v>556010</v>
      </c>
      <c r="AL2169" t="s">
        <v>117</v>
      </c>
      <c r="AM2169" t="s">
        <v>376</v>
      </c>
      <c r="AN2169">
        <v>37439</v>
      </c>
      <c r="AO2169">
        <v>0.86</v>
      </c>
      <c r="AR2169">
        <v>1</v>
      </c>
      <c r="AS2169" s="1">
        <v>39250</v>
      </c>
      <c r="AT2169" s="1">
        <v>7850</v>
      </c>
      <c r="AU2169" s="1">
        <v>31400</v>
      </c>
      <c r="AV2169">
        <v>80</v>
      </c>
      <c r="AX2169" s="1">
        <v>3711.86</v>
      </c>
      <c r="AY2169" t="s">
        <v>1074</v>
      </c>
      <c r="AZ2169" t="s">
        <v>193</v>
      </c>
      <c r="BA2169" t="s">
        <v>194</v>
      </c>
      <c r="BE2169" s="3">
        <v>42460</v>
      </c>
      <c r="BF2169" s="1">
        <v>399000</v>
      </c>
      <c r="BG2169" t="s">
        <v>14578</v>
      </c>
      <c r="BH2169" s="1">
        <v>127.72</v>
      </c>
      <c r="BI2169" s="1">
        <v>399000</v>
      </c>
      <c r="BJ2169" s="3">
        <v>42460</v>
      </c>
      <c r="BK2169" t="s">
        <v>123</v>
      </c>
      <c r="BL2169" t="str">
        <f>"2016.212238"</f>
        <v>2016.212238</v>
      </c>
      <c r="BM2169" t="s">
        <v>594</v>
      </c>
      <c r="BO2169" t="s">
        <v>14579</v>
      </c>
      <c r="BS2169">
        <v>30</v>
      </c>
      <c r="BW2169" t="str">
        <f>""</f>
        <v/>
      </c>
      <c r="CH2169" t="str">
        <f>""</f>
        <v/>
      </c>
      <c r="CS2169" t="str">
        <f>""</f>
        <v/>
      </c>
    </row>
    <row r="2170" spans="1:97" x14ac:dyDescent="0.25">
      <c r="B2170" t="s">
        <v>14580</v>
      </c>
      <c r="E2170" t="s">
        <v>14581</v>
      </c>
      <c r="F2170" t="s">
        <v>108</v>
      </c>
      <c r="H2170" t="s">
        <v>14582</v>
      </c>
      <c r="I2170" t="s">
        <v>1397</v>
      </c>
      <c r="J2170" t="s">
        <v>111</v>
      </c>
      <c r="K2170" t="str">
        <f>"85331"</f>
        <v>85331</v>
      </c>
      <c r="L2170" t="s">
        <v>7761</v>
      </c>
      <c r="M2170" t="s">
        <v>14582</v>
      </c>
      <c r="N2170" t="s">
        <v>1397</v>
      </c>
      <c r="O2170" t="s">
        <v>111</v>
      </c>
      <c r="P2170" t="str">
        <f>"85331-3257"</f>
        <v>85331-3257</v>
      </c>
      <c r="Q2170" t="s">
        <v>113</v>
      </c>
      <c r="R2170" t="str">
        <f>"211-40-210"</f>
        <v>211-40-210</v>
      </c>
      <c r="S2170" t="s">
        <v>7762</v>
      </c>
      <c r="U2170">
        <v>2650</v>
      </c>
      <c r="V2170">
        <v>0</v>
      </c>
      <c r="W2170">
        <v>4</v>
      </c>
      <c r="X2170">
        <v>1995</v>
      </c>
      <c r="Z2170">
        <v>2</v>
      </c>
      <c r="AA2170" t="s">
        <v>26</v>
      </c>
      <c r="AB2170">
        <v>0</v>
      </c>
      <c r="AC2170" t="s">
        <v>115</v>
      </c>
      <c r="AD2170">
        <v>2</v>
      </c>
      <c r="AE2170" t="s">
        <v>115</v>
      </c>
      <c r="AF2170">
        <v>0</v>
      </c>
      <c r="AG2170">
        <v>0</v>
      </c>
      <c r="AH2170" t="s">
        <v>116</v>
      </c>
      <c r="AI2170" s="1">
        <v>75231</v>
      </c>
      <c r="AJ2170" s="2">
        <v>0.16</v>
      </c>
      <c r="AK2170" s="1">
        <v>460231</v>
      </c>
      <c r="AL2170" t="s">
        <v>117</v>
      </c>
      <c r="AM2170" t="s">
        <v>191</v>
      </c>
      <c r="AN2170">
        <v>6480</v>
      </c>
      <c r="AO2170">
        <v>0.15</v>
      </c>
      <c r="AP2170">
        <v>1</v>
      </c>
      <c r="AR2170">
        <v>1</v>
      </c>
      <c r="AS2170" s="1">
        <v>32980</v>
      </c>
      <c r="AT2170" s="1">
        <v>6590</v>
      </c>
      <c r="AU2170" s="1">
        <v>26390</v>
      </c>
      <c r="AV2170">
        <v>80.02</v>
      </c>
      <c r="AX2170" s="1">
        <v>2117.46</v>
      </c>
      <c r="AY2170" t="s">
        <v>7763</v>
      </c>
      <c r="AZ2170" t="s">
        <v>1402</v>
      </c>
      <c r="BA2170" t="s">
        <v>1403</v>
      </c>
      <c r="BB2170" s="3">
        <v>43657</v>
      </c>
      <c r="BC2170" s="1">
        <v>0</v>
      </c>
      <c r="BD2170" t="s">
        <v>247</v>
      </c>
      <c r="BE2170" s="3">
        <v>42368</v>
      </c>
      <c r="BF2170" s="1">
        <v>385000</v>
      </c>
      <c r="BG2170" t="s">
        <v>14583</v>
      </c>
      <c r="BH2170" s="1">
        <v>145.28</v>
      </c>
      <c r="BI2170" s="1">
        <v>385000</v>
      </c>
      <c r="BJ2170" s="3">
        <v>42368</v>
      </c>
      <c r="BK2170" t="s">
        <v>123</v>
      </c>
      <c r="BL2170" t="str">
        <f>"2015.916519"</f>
        <v>2015.916519</v>
      </c>
      <c r="BM2170" t="s">
        <v>135</v>
      </c>
      <c r="BN2170" t="s">
        <v>136</v>
      </c>
      <c r="BO2170" t="s">
        <v>14584</v>
      </c>
      <c r="BS2170">
        <v>30</v>
      </c>
      <c r="BW2170" t="str">
        <f>""</f>
        <v/>
      </c>
      <c r="CH2170" t="str">
        <f>""</f>
        <v/>
      </c>
      <c r="CS2170" t="str">
        <f>""</f>
        <v/>
      </c>
    </row>
    <row r="2171" spans="1:97" x14ac:dyDescent="0.25">
      <c r="B2171" t="s">
        <v>14585</v>
      </c>
      <c r="E2171" t="s">
        <v>14586</v>
      </c>
      <c r="F2171" t="s">
        <v>282</v>
      </c>
      <c r="H2171" t="s">
        <v>14587</v>
      </c>
      <c r="I2171" t="s">
        <v>110</v>
      </c>
      <c r="J2171" t="s">
        <v>111</v>
      </c>
      <c r="K2171" t="str">
        <f>"85286"</f>
        <v>85286</v>
      </c>
      <c r="L2171" t="s">
        <v>1569</v>
      </c>
      <c r="M2171" t="s">
        <v>14587</v>
      </c>
      <c r="N2171" t="s">
        <v>110</v>
      </c>
      <c r="O2171" t="s">
        <v>111</v>
      </c>
      <c r="P2171" t="str">
        <f>"85286-1274"</f>
        <v>85286-1274</v>
      </c>
      <c r="Q2171" t="s">
        <v>113</v>
      </c>
      <c r="R2171" t="str">
        <f>"303-30-658"</f>
        <v>303-30-658</v>
      </c>
      <c r="S2171" t="s">
        <v>14588</v>
      </c>
      <c r="T2171" t="s">
        <v>14588</v>
      </c>
      <c r="U2171">
        <v>1850</v>
      </c>
      <c r="V2171">
        <v>0</v>
      </c>
      <c r="W2171">
        <v>3</v>
      </c>
      <c r="X2171">
        <v>2000</v>
      </c>
      <c r="Z2171">
        <v>1</v>
      </c>
      <c r="AA2171" t="s">
        <v>26</v>
      </c>
      <c r="AB2171">
        <v>0</v>
      </c>
      <c r="AC2171" t="s">
        <v>115</v>
      </c>
      <c r="AD2171">
        <v>3</v>
      </c>
      <c r="AE2171" t="s">
        <v>115</v>
      </c>
      <c r="AF2171">
        <v>0</v>
      </c>
      <c r="AG2171">
        <v>0</v>
      </c>
      <c r="AH2171" t="s">
        <v>116</v>
      </c>
      <c r="AI2171" s="1">
        <v>61755</v>
      </c>
      <c r="AJ2171" s="2">
        <v>0.17</v>
      </c>
      <c r="AK2171" s="1">
        <v>355127</v>
      </c>
      <c r="AL2171" t="s">
        <v>117</v>
      </c>
      <c r="AM2171" t="s">
        <v>118</v>
      </c>
      <c r="AN2171">
        <v>7908</v>
      </c>
      <c r="AO2171">
        <v>0.18</v>
      </c>
      <c r="AP2171">
        <v>1</v>
      </c>
      <c r="AR2171">
        <v>1</v>
      </c>
      <c r="AS2171" s="1">
        <v>25550</v>
      </c>
      <c r="AT2171" s="1">
        <v>5110</v>
      </c>
      <c r="AU2171" s="1">
        <v>20440</v>
      </c>
      <c r="AV2171">
        <v>80</v>
      </c>
      <c r="AX2171" s="1">
        <v>2036.66</v>
      </c>
      <c r="AY2171" t="s">
        <v>5650</v>
      </c>
      <c r="AZ2171" t="s">
        <v>120</v>
      </c>
      <c r="BA2171" t="s">
        <v>303</v>
      </c>
      <c r="BB2171" s="3">
        <v>43319</v>
      </c>
      <c r="BC2171" s="1">
        <v>0</v>
      </c>
      <c r="BD2171" t="s">
        <v>247</v>
      </c>
      <c r="BE2171" s="3">
        <v>42095</v>
      </c>
      <c r="BF2171" s="1">
        <v>284000</v>
      </c>
      <c r="BG2171" t="s">
        <v>14589</v>
      </c>
      <c r="BH2171" s="1">
        <v>153.51</v>
      </c>
      <c r="BI2171" s="1">
        <v>293372</v>
      </c>
      <c r="BJ2171" s="3">
        <v>42095</v>
      </c>
      <c r="BK2171" t="s">
        <v>123</v>
      </c>
      <c r="BL2171" t="str">
        <f>"2015.221477"</f>
        <v>2015.221477</v>
      </c>
      <c r="BM2171" t="s">
        <v>544</v>
      </c>
      <c r="BN2171" t="s">
        <v>545</v>
      </c>
      <c r="BO2171" t="s">
        <v>14590</v>
      </c>
      <c r="BS2171">
        <v>30</v>
      </c>
      <c r="BW2171" t="str">
        <f>""</f>
        <v/>
      </c>
      <c r="CH2171" t="str">
        <f>""</f>
        <v/>
      </c>
      <c r="CS2171" t="str">
        <f>""</f>
        <v/>
      </c>
    </row>
    <row r="2172" spans="1:97" x14ac:dyDescent="0.25">
      <c r="B2172" t="s">
        <v>14591</v>
      </c>
      <c r="C2172" t="s">
        <v>1170</v>
      </c>
      <c r="E2172" t="s">
        <v>14592</v>
      </c>
      <c r="F2172" t="s">
        <v>108</v>
      </c>
      <c r="H2172" t="s">
        <v>14593</v>
      </c>
      <c r="I2172" t="s">
        <v>453</v>
      </c>
      <c r="J2172" t="s">
        <v>111</v>
      </c>
      <c r="K2172" t="str">
        <f>"85383"</f>
        <v>85383</v>
      </c>
      <c r="L2172" t="s">
        <v>1244</v>
      </c>
      <c r="M2172" t="s">
        <v>14593</v>
      </c>
      <c r="N2172" t="s">
        <v>453</v>
      </c>
      <c r="O2172" t="s">
        <v>111</v>
      </c>
      <c r="P2172" t="str">
        <f>"85383-8740"</f>
        <v>85383-8740</v>
      </c>
      <c r="Q2172" t="s">
        <v>113</v>
      </c>
      <c r="R2172" t="str">
        <f>"201-36-210"</f>
        <v>201-36-210</v>
      </c>
      <c r="S2172" t="s">
        <v>14594</v>
      </c>
      <c r="T2172" t="s">
        <v>14595</v>
      </c>
      <c r="U2172">
        <v>4464</v>
      </c>
      <c r="V2172">
        <v>0</v>
      </c>
      <c r="W2172">
        <v>5</v>
      </c>
      <c r="X2172">
        <v>2003</v>
      </c>
      <c r="Z2172">
        <v>2</v>
      </c>
      <c r="AA2172" t="s">
        <v>26</v>
      </c>
      <c r="AB2172">
        <v>0</v>
      </c>
      <c r="AC2172" t="s">
        <v>115</v>
      </c>
      <c r="AD2172">
        <v>4</v>
      </c>
      <c r="AE2172" t="s">
        <v>115</v>
      </c>
      <c r="AF2172">
        <v>0</v>
      </c>
      <c r="AG2172">
        <v>0</v>
      </c>
      <c r="AH2172" t="s">
        <v>116</v>
      </c>
      <c r="AI2172" s="1">
        <v>7847</v>
      </c>
      <c r="AJ2172" s="2">
        <v>0.01</v>
      </c>
      <c r="AK2172" s="1">
        <v>577581</v>
      </c>
      <c r="AL2172" t="s">
        <v>117</v>
      </c>
      <c r="AM2172" t="s">
        <v>118</v>
      </c>
      <c r="AN2172">
        <v>14850</v>
      </c>
      <c r="AO2172">
        <v>0.34</v>
      </c>
      <c r="AP2172">
        <v>1</v>
      </c>
      <c r="AR2172">
        <v>1</v>
      </c>
      <c r="AS2172" s="1">
        <v>41750</v>
      </c>
      <c r="AT2172" s="1">
        <v>8350</v>
      </c>
      <c r="AU2172" s="1">
        <v>33400</v>
      </c>
      <c r="AV2172">
        <v>80</v>
      </c>
      <c r="AX2172" s="1">
        <v>3955.08</v>
      </c>
      <c r="AY2172" t="s">
        <v>8323</v>
      </c>
      <c r="AZ2172" t="s">
        <v>8323</v>
      </c>
      <c r="BA2172" t="s">
        <v>1386</v>
      </c>
      <c r="BB2172" s="3">
        <v>43535</v>
      </c>
      <c r="BC2172" s="1">
        <v>0</v>
      </c>
      <c r="BD2172" t="s">
        <v>247</v>
      </c>
      <c r="BE2172" s="3">
        <v>41908</v>
      </c>
      <c r="BF2172" s="1">
        <v>510000</v>
      </c>
      <c r="BG2172" t="s">
        <v>14596</v>
      </c>
      <c r="BH2172" s="1">
        <v>114.25</v>
      </c>
      <c r="BI2172" s="1">
        <v>446256</v>
      </c>
      <c r="BJ2172" s="3">
        <v>42445</v>
      </c>
      <c r="BK2172" t="s">
        <v>123</v>
      </c>
      <c r="BL2172" t="str">
        <f>"2016.168227"</f>
        <v>2016.168227</v>
      </c>
      <c r="BM2172" t="s">
        <v>709</v>
      </c>
      <c r="BN2172" t="s">
        <v>863</v>
      </c>
      <c r="BO2172" t="s">
        <v>14597</v>
      </c>
      <c r="BS2172">
        <v>30</v>
      </c>
      <c r="BT2172" s="1">
        <v>123478</v>
      </c>
      <c r="BU2172" s="3">
        <v>43287</v>
      </c>
      <c r="BW2172" t="str">
        <f>"2018.512390"</f>
        <v>2018.512390</v>
      </c>
      <c r="BX2172" t="s">
        <v>383</v>
      </c>
      <c r="BY2172" t="s">
        <v>384</v>
      </c>
      <c r="BZ2172" t="s">
        <v>14598</v>
      </c>
      <c r="CA2172" t="s">
        <v>14599</v>
      </c>
      <c r="CC2172" t="s">
        <v>346</v>
      </c>
      <c r="CH2172" t="str">
        <f>""</f>
        <v/>
      </c>
      <c r="CS2172" t="str">
        <f>""</f>
        <v/>
      </c>
    </row>
    <row r="2173" spans="1:97" x14ac:dyDescent="0.25">
      <c r="A2173" t="s">
        <v>996</v>
      </c>
      <c r="B2173" t="s">
        <v>10055</v>
      </c>
      <c r="C2173" t="s">
        <v>703</v>
      </c>
      <c r="D2173" t="s">
        <v>10055</v>
      </c>
      <c r="E2173" t="s">
        <v>14600</v>
      </c>
      <c r="F2173" t="s">
        <v>108</v>
      </c>
      <c r="H2173" t="s">
        <v>14601</v>
      </c>
      <c r="I2173" t="s">
        <v>1936</v>
      </c>
      <c r="J2173" t="s">
        <v>111</v>
      </c>
      <c r="K2173" t="str">
        <f>"85258"</f>
        <v>85258</v>
      </c>
      <c r="L2173" t="s">
        <v>6169</v>
      </c>
      <c r="M2173" t="s">
        <v>14601</v>
      </c>
      <c r="N2173" t="s">
        <v>1936</v>
      </c>
      <c r="O2173" t="s">
        <v>111</v>
      </c>
      <c r="P2173" t="str">
        <f>"85258-1904"</f>
        <v>85258-1904</v>
      </c>
      <c r="Q2173" t="s">
        <v>113</v>
      </c>
      <c r="R2173" t="str">
        <f>"175-57-152"</f>
        <v>175-57-152</v>
      </c>
      <c r="S2173" t="s">
        <v>14602</v>
      </c>
      <c r="T2173" t="s">
        <v>14603</v>
      </c>
      <c r="U2173">
        <v>3125</v>
      </c>
      <c r="V2173">
        <v>0</v>
      </c>
      <c r="W2173">
        <v>4</v>
      </c>
      <c r="X2173">
        <v>1986</v>
      </c>
      <c r="Z2173">
        <v>1</v>
      </c>
      <c r="AA2173" t="s">
        <v>26</v>
      </c>
      <c r="AB2173">
        <v>0</v>
      </c>
      <c r="AC2173" t="s">
        <v>115</v>
      </c>
      <c r="AD2173">
        <v>2</v>
      </c>
      <c r="AE2173" t="s">
        <v>115</v>
      </c>
      <c r="AF2173">
        <v>0</v>
      </c>
      <c r="AG2173">
        <v>0</v>
      </c>
      <c r="AH2173" t="s">
        <v>116</v>
      </c>
      <c r="AI2173" s="1">
        <v>182329</v>
      </c>
      <c r="AJ2173" s="2">
        <v>0.23</v>
      </c>
      <c r="AK2173" s="1">
        <v>790729</v>
      </c>
      <c r="AL2173" t="s">
        <v>117</v>
      </c>
      <c r="AM2173" t="s">
        <v>393</v>
      </c>
      <c r="AN2173">
        <v>15444</v>
      </c>
      <c r="AO2173">
        <v>0.36</v>
      </c>
      <c r="AP2173">
        <v>1</v>
      </c>
      <c r="AR2173">
        <v>1</v>
      </c>
      <c r="AS2173" s="1">
        <v>55530</v>
      </c>
      <c r="AT2173" s="1">
        <v>11100</v>
      </c>
      <c r="AU2173" s="1">
        <v>44430</v>
      </c>
      <c r="AV2173">
        <v>80.010000000000005</v>
      </c>
      <c r="AX2173" s="1">
        <v>4359.7</v>
      </c>
      <c r="AY2173" t="s">
        <v>14284</v>
      </c>
      <c r="AZ2173" t="s">
        <v>8949</v>
      </c>
      <c r="BA2173" t="s">
        <v>7868</v>
      </c>
      <c r="BE2173" s="3">
        <v>42111</v>
      </c>
      <c r="BF2173" s="1">
        <v>655750</v>
      </c>
      <c r="BG2173" t="s">
        <v>14604</v>
      </c>
      <c r="BH2173" s="1">
        <v>209.84</v>
      </c>
      <c r="BI2173" s="1">
        <v>608400</v>
      </c>
      <c r="BJ2173" s="3">
        <v>42683</v>
      </c>
      <c r="BK2173" t="s">
        <v>123</v>
      </c>
      <c r="BL2173" t="str">
        <f>"2016.827199"</f>
        <v>2016.827199</v>
      </c>
      <c r="BM2173" t="s">
        <v>699</v>
      </c>
      <c r="BO2173" t="s">
        <v>14605</v>
      </c>
      <c r="BS2173">
        <v>30</v>
      </c>
      <c r="BW2173" t="str">
        <f>""</f>
        <v/>
      </c>
      <c r="CH2173" t="str">
        <f>""</f>
        <v/>
      </c>
      <c r="CS2173" t="str">
        <f>""</f>
        <v/>
      </c>
    </row>
    <row r="2174" spans="1:97" x14ac:dyDescent="0.25">
      <c r="A2174" t="s">
        <v>3089</v>
      </c>
      <c r="B2174" t="s">
        <v>7143</v>
      </c>
      <c r="E2174" t="s">
        <v>14606</v>
      </c>
      <c r="F2174" t="s">
        <v>282</v>
      </c>
      <c r="H2174" t="s">
        <v>14607</v>
      </c>
      <c r="I2174" t="s">
        <v>390</v>
      </c>
      <c r="J2174" t="s">
        <v>111</v>
      </c>
      <c r="K2174" t="str">
        <f>"85020"</f>
        <v>85020</v>
      </c>
      <c r="L2174" t="s">
        <v>2963</v>
      </c>
      <c r="M2174" t="s">
        <v>14608</v>
      </c>
      <c r="N2174" t="s">
        <v>390</v>
      </c>
      <c r="O2174" t="s">
        <v>111</v>
      </c>
      <c r="P2174" t="str">
        <f>"85020-4022"</f>
        <v>85020-4022</v>
      </c>
      <c r="Q2174" t="s">
        <v>113</v>
      </c>
      <c r="R2174" t="str">
        <f>"160-40-009-B"</f>
        <v>160-40-009-B</v>
      </c>
      <c r="S2174" t="s">
        <v>14609</v>
      </c>
      <c r="T2174" t="s">
        <v>14610</v>
      </c>
      <c r="U2174">
        <v>4063</v>
      </c>
      <c r="V2174">
        <v>0</v>
      </c>
      <c r="W2174">
        <v>5</v>
      </c>
      <c r="X2174">
        <v>1979</v>
      </c>
      <c r="Z2174">
        <v>1</v>
      </c>
      <c r="AA2174" t="s">
        <v>26</v>
      </c>
      <c r="AB2174">
        <v>0</v>
      </c>
      <c r="AC2174" t="s">
        <v>115</v>
      </c>
      <c r="AD2174">
        <v>2</v>
      </c>
      <c r="AE2174" t="s">
        <v>115</v>
      </c>
      <c r="AF2174">
        <v>0</v>
      </c>
      <c r="AG2174">
        <v>0</v>
      </c>
      <c r="AH2174" t="s">
        <v>116</v>
      </c>
      <c r="AI2174" s="1">
        <v>221772</v>
      </c>
      <c r="AJ2174" s="2">
        <v>0.24</v>
      </c>
      <c r="AK2174" s="1">
        <v>920072</v>
      </c>
      <c r="AL2174" t="s">
        <v>117</v>
      </c>
      <c r="AM2174" t="s">
        <v>1302</v>
      </c>
      <c r="AN2174">
        <v>20971</v>
      </c>
      <c r="AO2174">
        <v>0.48</v>
      </c>
      <c r="AP2174">
        <v>1</v>
      </c>
      <c r="AR2174">
        <v>1</v>
      </c>
      <c r="AS2174" s="1">
        <v>72110</v>
      </c>
      <c r="AT2174" s="1">
        <v>12460</v>
      </c>
      <c r="AU2174" s="1">
        <v>59650</v>
      </c>
      <c r="AV2174">
        <v>82.72</v>
      </c>
      <c r="AX2174" s="1">
        <v>8112.08</v>
      </c>
      <c r="AY2174" t="s">
        <v>5734</v>
      </c>
      <c r="AZ2174" t="s">
        <v>5735</v>
      </c>
      <c r="BA2174" t="s">
        <v>5691</v>
      </c>
      <c r="BB2174" s="3">
        <v>43059</v>
      </c>
      <c r="BD2174" t="s">
        <v>157</v>
      </c>
      <c r="BE2174" s="3">
        <v>41991</v>
      </c>
      <c r="BF2174" s="1">
        <v>850000</v>
      </c>
      <c r="BG2174" t="s">
        <v>14611</v>
      </c>
      <c r="BH2174" s="1">
        <v>209.15</v>
      </c>
      <c r="BI2174" s="1">
        <v>280800</v>
      </c>
      <c r="BJ2174" s="3">
        <v>43032</v>
      </c>
      <c r="BL2174" t="str">
        <f>"2017.787793"</f>
        <v>2017.787793</v>
      </c>
      <c r="BM2174" t="s">
        <v>14612</v>
      </c>
      <c r="BN2174" t="s">
        <v>14613</v>
      </c>
      <c r="BO2174" t="s">
        <v>14614</v>
      </c>
      <c r="BP2174" t="s">
        <v>14615</v>
      </c>
      <c r="BT2174" s="1">
        <v>417500</v>
      </c>
      <c r="BU2174" s="3">
        <v>43059</v>
      </c>
      <c r="BV2174" t="s">
        <v>123</v>
      </c>
      <c r="BW2174" t="str">
        <f>"2017.863894"</f>
        <v>2017.863894</v>
      </c>
      <c r="BX2174" t="s">
        <v>8528</v>
      </c>
      <c r="BZ2174" t="s">
        <v>14616</v>
      </c>
      <c r="CD2174">
        <v>30</v>
      </c>
      <c r="CH2174" t="str">
        <f>""</f>
        <v/>
      </c>
      <c r="CS2174" t="str">
        <f>""</f>
        <v/>
      </c>
    </row>
    <row r="2175" spans="1:97" x14ac:dyDescent="0.25">
      <c r="A2175" t="s">
        <v>126</v>
      </c>
      <c r="B2175" t="s">
        <v>14617</v>
      </c>
      <c r="C2175" t="s">
        <v>14618</v>
      </c>
      <c r="D2175" t="s">
        <v>8723</v>
      </c>
      <c r="E2175" t="s">
        <v>14619</v>
      </c>
      <c r="F2175" t="s">
        <v>108</v>
      </c>
      <c r="H2175" t="s">
        <v>14620</v>
      </c>
      <c r="I2175" t="s">
        <v>390</v>
      </c>
      <c r="J2175" t="s">
        <v>111</v>
      </c>
      <c r="K2175" t="str">
        <f>"85054"</f>
        <v>85054</v>
      </c>
      <c r="L2175" t="s">
        <v>14621</v>
      </c>
      <c r="M2175" t="s">
        <v>14620</v>
      </c>
      <c r="N2175" t="s">
        <v>390</v>
      </c>
      <c r="O2175" t="s">
        <v>111</v>
      </c>
      <c r="P2175" t="str">
        <f>"85054-7199"</f>
        <v>85054-7199</v>
      </c>
      <c r="Q2175" t="s">
        <v>113</v>
      </c>
      <c r="R2175" t="str">
        <f>"212-37-632"</f>
        <v>212-37-632</v>
      </c>
      <c r="S2175" t="s">
        <v>14622</v>
      </c>
      <c r="T2175" t="s">
        <v>14623</v>
      </c>
      <c r="U2175">
        <v>3595</v>
      </c>
      <c r="V2175">
        <v>0</v>
      </c>
      <c r="W2175">
        <v>5</v>
      </c>
      <c r="X2175">
        <v>2000</v>
      </c>
      <c r="Z2175">
        <v>1</v>
      </c>
      <c r="AA2175" t="s">
        <v>26</v>
      </c>
      <c r="AB2175">
        <v>0</v>
      </c>
      <c r="AC2175" t="s">
        <v>115</v>
      </c>
      <c r="AD2175">
        <v>3</v>
      </c>
      <c r="AE2175" t="s">
        <v>115</v>
      </c>
      <c r="AF2175">
        <v>0</v>
      </c>
      <c r="AG2175">
        <v>0</v>
      </c>
      <c r="AH2175" t="s">
        <v>116</v>
      </c>
      <c r="AI2175" s="1">
        <v>218184</v>
      </c>
      <c r="AJ2175" s="2">
        <v>0.25</v>
      </c>
      <c r="AK2175" s="1">
        <v>859876</v>
      </c>
      <c r="AL2175" t="s">
        <v>117</v>
      </c>
      <c r="AM2175" t="s">
        <v>1302</v>
      </c>
      <c r="AN2175">
        <v>14340</v>
      </c>
      <c r="AO2175">
        <v>0.33</v>
      </c>
      <c r="AP2175">
        <v>1</v>
      </c>
      <c r="AR2175">
        <v>1</v>
      </c>
      <c r="AS2175" s="1">
        <v>69160</v>
      </c>
      <c r="AT2175" s="1">
        <v>13830</v>
      </c>
      <c r="AU2175" s="1">
        <v>55330</v>
      </c>
      <c r="AV2175">
        <v>80</v>
      </c>
      <c r="AX2175" s="1">
        <v>8702.08</v>
      </c>
      <c r="AY2175" t="s">
        <v>6351</v>
      </c>
      <c r="AZ2175" t="s">
        <v>6352</v>
      </c>
      <c r="BA2175" t="s">
        <v>762</v>
      </c>
      <c r="BB2175" s="3">
        <v>42957</v>
      </c>
      <c r="BD2175" t="s">
        <v>842</v>
      </c>
      <c r="BE2175" s="3">
        <v>41823</v>
      </c>
      <c r="BF2175" s="1">
        <v>735000</v>
      </c>
      <c r="BG2175" t="s">
        <v>14624</v>
      </c>
      <c r="BH2175" s="1">
        <v>204.45</v>
      </c>
      <c r="BI2175" s="1">
        <v>641692</v>
      </c>
      <c r="BJ2175" s="3">
        <v>42688</v>
      </c>
      <c r="BK2175" t="s">
        <v>123</v>
      </c>
      <c r="BL2175" t="str">
        <f>"2016.836649"</f>
        <v>2016.836649</v>
      </c>
      <c r="BM2175" t="s">
        <v>1707</v>
      </c>
      <c r="BO2175" t="s">
        <v>14625</v>
      </c>
      <c r="BP2175" t="s">
        <v>14626</v>
      </c>
      <c r="BS2175">
        <v>30</v>
      </c>
      <c r="BW2175" t="str">
        <f>""</f>
        <v/>
      </c>
      <c r="CH2175" t="str">
        <f>""</f>
        <v/>
      </c>
      <c r="CS2175" t="str">
        <f>""</f>
        <v/>
      </c>
    </row>
    <row r="2176" spans="1:97" x14ac:dyDescent="0.25">
      <c r="A2176" t="s">
        <v>265</v>
      </c>
      <c r="B2176" t="s">
        <v>14627</v>
      </c>
      <c r="C2176" t="s">
        <v>2640</v>
      </c>
      <c r="D2176" t="s">
        <v>14627</v>
      </c>
      <c r="E2176" t="s">
        <v>14628</v>
      </c>
      <c r="F2176" t="s">
        <v>108</v>
      </c>
      <c r="H2176" t="s">
        <v>14629</v>
      </c>
      <c r="I2176" t="s">
        <v>390</v>
      </c>
      <c r="J2176" t="s">
        <v>111</v>
      </c>
      <c r="K2176" t="str">
        <f>"85016"</f>
        <v>85016</v>
      </c>
      <c r="L2176" t="s">
        <v>6983</v>
      </c>
      <c r="M2176" t="s">
        <v>14629</v>
      </c>
      <c r="N2176" t="s">
        <v>390</v>
      </c>
      <c r="O2176" t="s">
        <v>111</v>
      </c>
      <c r="P2176" t="str">
        <f>"85016-6602"</f>
        <v>85016-6602</v>
      </c>
      <c r="Q2176" t="s">
        <v>113</v>
      </c>
      <c r="R2176" t="str">
        <f>"119-22-081"</f>
        <v>119-22-081</v>
      </c>
      <c r="S2176" t="s">
        <v>14630</v>
      </c>
      <c r="T2176" t="s">
        <v>14630</v>
      </c>
      <c r="U2176">
        <v>1356</v>
      </c>
      <c r="V2176">
        <v>0</v>
      </c>
      <c r="W2176">
        <v>2</v>
      </c>
      <c r="X2176">
        <v>1956</v>
      </c>
      <c r="Z2176">
        <v>1</v>
      </c>
      <c r="AB2176">
        <v>0</v>
      </c>
      <c r="AC2176" t="s">
        <v>5188</v>
      </c>
      <c r="AD2176">
        <v>1</v>
      </c>
      <c r="AE2176" t="s">
        <v>5188</v>
      </c>
      <c r="AF2176">
        <v>0</v>
      </c>
      <c r="AG2176">
        <v>0</v>
      </c>
      <c r="AH2176" t="s">
        <v>116</v>
      </c>
      <c r="AI2176" s="1">
        <v>86580</v>
      </c>
      <c r="AJ2176" s="2">
        <v>0.28999999999999998</v>
      </c>
      <c r="AK2176" s="1">
        <v>298030</v>
      </c>
      <c r="AL2176" t="s">
        <v>117</v>
      </c>
      <c r="AM2176" t="s">
        <v>191</v>
      </c>
      <c r="AN2176">
        <v>8276</v>
      </c>
      <c r="AO2176">
        <v>0.19</v>
      </c>
      <c r="AP2176">
        <v>1</v>
      </c>
      <c r="AR2176">
        <v>1</v>
      </c>
      <c r="AS2176" s="1">
        <v>19960</v>
      </c>
      <c r="AT2176" s="1">
        <v>3990</v>
      </c>
      <c r="AU2176" s="1">
        <v>15970</v>
      </c>
      <c r="AV2176">
        <v>80.010000000000005</v>
      </c>
      <c r="AX2176" s="1">
        <v>1263.18</v>
      </c>
      <c r="AY2176" t="s">
        <v>14631</v>
      </c>
      <c r="AZ2176" t="s">
        <v>14631</v>
      </c>
      <c r="BA2176" t="s">
        <v>6255</v>
      </c>
      <c r="BE2176" s="3">
        <v>41996</v>
      </c>
      <c r="BF2176" s="1">
        <v>207000</v>
      </c>
      <c r="BG2176" t="s">
        <v>14632</v>
      </c>
      <c r="BH2176" s="1">
        <v>152.65</v>
      </c>
      <c r="BI2176" s="1">
        <v>211450</v>
      </c>
      <c r="BJ2176" s="3">
        <v>41996</v>
      </c>
      <c r="BK2176" t="s">
        <v>123</v>
      </c>
      <c r="BL2176" t="str">
        <f>"2014.846317"</f>
        <v>2014.846317</v>
      </c>
      <c r="BM2176" t="s">
        <v>1033</v>
      </c>
      <c r="BO2176" t="s">
        <v>14633</v>
      </c>
      <c r="BS2176">
        <v>30</v>
      </c>
      <c r="BW2176" t="str">
        <f>""</f>
        <v/>
      </c>
      <c r="CH2176" t="str">
        <f>""</f>
        <v/>
      </c>
      <c r="CS2176" t="str">
        <f>""</f>
        <v/>
      </c>
    </row>
    <row r="2177" spans="1:97" x14ac:dyDescent="0.25">
      <c r="A2177" t="s">
        <v>14634</v>
      </c>
      <c r="B2177" t="s">
        <v>10934</v>
      </c>
      <c r="E2177" t="s">
        <v>14635</v>
      </c>
      <c r="F2177" t="s">
        <v>108</v>
      </c>
      <c r="H2177" t="s">
        <v>14636</v>
      </c>
      <c r="I2177" t="s">
        <v>1936</v>
      </c>
      <c r="J2177" t="s">
        <v>111</v>
      </c>
      <c r="K2177" t="str">
        <f>"85251"</f>
        <v>85251</v>
      </c>
      <c r="L2177" t="s">
        <v>8199</v>
      </c>
      <c r="M2177" t="s">
        <v>14636</v>
      </c>
      <c r="N2177" t="s">
        <v>1936</v>
      </c>
      <c r="O2177" t="s">
        <v>111</v>
      </c>
      <c r="P2177" t="str">
        <f>"85251-1857"</f>
        <v>85251-1857</v>
      </c>
      <c r="Q2177" t="s">
        <v>113</v>
      </c>
      <c r="R2177" t="str">
        <f>"173-62-109"</f>
        <v>173-62-109</v>
      </c>
      <c r="S2177" t="s">
        <v>14637</v>
      </c>
      <c r="T2177" t="s">
        <v>14638</v>
      </c>
      <c r="U2177">
        <v>1787</v>
      </c>
      <c r="V2177">
        <v>0</v>
      </c>
      <c r="W2177">
        <v>2</v>
      </c>
      <c r="X2177">
        <v>1960</v>
      </c>
      <c r="Z2177">
        <v>1</v>
      </c>
      <c r="AB2177">
        <v>0</v>
      </c>
      <c r="AC2177" t="s">
        <v>7038</v>
      </c>
      <c r="AD2177">
        <v>0</v>
      </c>
      <c r="AE2177" t="s">
        <v>7038</v>
      </c>
      <c r="AF2177">
        <v>0</v>
      </c>
      <c r="AG2177">
        <v>0</v>
      </c>
      <c r="AH2177" t="s">
        <v>5467</v>
      </c>
      <c r="AI2177" s="1">
        <v>90354</v>
      </c>
      <c r="AJ2177" s="2">
        <v>0.24</v>
      </c>
      <c r="AK2177" s="1">
        <v>381654</v>
      </c>
      <c r="AL2177" t="s">
        <v>117</v>
      </c>
      <c r="AM2177" t="s">
        <v>393</v>
      </c>
      <c r="AN2177">
        <v>6598</v>
      </c>
      <c r="AO2177">
        <v>0.15</v>
      </c>
      <c r="AP2177">
        <v>1</v>
      </c>
      <c r="AR2177">
        <v>1</v>
      </c>
      <c r="AS2177" s="1">
        <v>26470</v>
      </c>
      <c r="AT2177" s="1">
        <v>5290</v>
      </c>
      <c r="AU2177" s="1">
        <v>21180</v>
      </c>
      <c r="AV2177">
        <v>80.02</v>
      </c>
      <c r="AX2177" s="1">
        <v>1360.3</v>
      </c>
      <c r="AY2177" t="s">
        <v>11099</v>
      </c>
      <c r="AZ2177" t="s">
        <v>6975</v>
      </c>
      <c r="BA2177" t="s">
        <v>6976</v>
      </c>
      <c r="BE2177" s="3">
        <v>42361</v>
      </c>
      <c r="BF2177" s="1">
        <v>285000</v>
      </c>
      <c r="BG2177" t="s">
        <v>14639</v>
      </c>
      <c r="BH2177" s="1">
        <v>159.49</v>
      </c>
      <c r="BI2177" s="1">
        <v>291300</v>
      </c>
      <c r="BJ2177" s="3">
        <v>42361</v>
      </c>
      <c r="BK2177" t="s">
        <v>123</v>
      </c>
      <c r="BL2177" t="str">
        <f>"2015.905147"</f>
        <v>2015.905147</v>
      </c>
      <c r="BM2177" t="s">
        <v>1287</v>
      </c>
      <c r="BO2177" t="s">
        <v>14640</v>
      </c>
      <c r="BS2177">
        <v>30</v>
      </c>
      <c r="BW2177" t="str">
        <f>""</f>
        <v/>
      </c>
      <c r="CH2177" t="str">
        <f>""</f>
        <v/>
      </c>
      <c r="CS2177" t="str">
        <f>""</f>
        <v/>
      </c>
    </row>
    <row r="2178" spans="1:97" x14ac:dyDescent="0.25">
      <c r="A2178" t="s">
        <v>1009</v>
      </c>
      <c r="B2178" t="s">
        <v>14641</v>
      </c>
      <c r="E2178" t="s">
        <v>14642</v>
      </c>
      <c r="F2178" t="s">
        <v>108</v>
      </c>
      <c r="H2178" t="s">
        <v>14643</v>
      </c>
      <c r="I2178" t="s">
        <v>2874</v>
      </c>
      <c r="J2178" t="s">
        <v>111</v>
      </c>
      <c r="K2178" t="str">
        <f>"85303"</f>
        <v>85303</v>
      </c>
      <c r="L2178" t="s">
        <v>6691</v>
      </c>
      <c r="M2178" t="s">
        <v>14643</v>
      </c>
      <c r="N2178" t="s">
        <v>2874</v>
      </c>
      <c r="O2178" t="s">
        <v>111</v>
      </c>
      <c r="P2178" t="str">
        <f>"85303-4229"</f>
        <v>85303-4229</v>
      </c>
      <c r="Q2178" t="s">
        <v>113</v>
      </c>
      <c r="R2178" t="str">
        <f>"102-06-756"</f>
        <v>102-06-756</v>
      </c>
      <c r="S2178" t="s">
        <v>14644</v>
      </c>
      <c r="T2178" t="s">
        <v>14644</v>
      </c>
      <c r="U2178">
        <v>2663</v>
      </c>
      <c r="V2178">
        <v>0</v>
      </c>
      <c r="W2178">
        <v>4</v>
      </c>
      <c r="X2178">
        <v>2002</v>
      </c>
      <c r="Z2178">
        <v>2</v>
      </c>
      <c r="AA2178" t="s">
        <v>26</v>
      </c>
      <c r="AB2178">
        <v>0</v>
      </c>
      <c r="AC2178" t="s">
        <v>115</v>
      </c>
      <c r="AD2178">
        <v>3</v>
      </c>
      <c r="AE2178" t="s">
        <v>115</v>
      </c>
      <c r="AF2178">
        <v>0</v>
      </c>
      <c r="AG2178">
        <v>0</v>
      </c>
      <c r="AH2178" t="s">
        <v>116</v>
      </c>
      <c r="AI2178" s="1">
        <v>44891</v>
      </c>
      <c r="AJ2178" s="2">
        <v>0.14000000000000001</v>
      </c>
      <c r="AK2178" s="1">
        <v>318653</v>
      </c>
      <c r="AL2178" t="s">
        <v>117</v>
      </c>
      <c r="AM2178" t="s">
        <v>191</v>
      </c>
      <c r="AN2178">
        <v>8804</v>
      </c>
      <c r="AO2178">
        <v>0.2</v>
      </c>
      <c r="AP2178">
        <v>1</v>
      </c>
      <c r="AR2178">
        <v>1</v>
      </c>
      <c r="AS2178" s="1">
        <v>21200</v>
      </c>
      <c r="AT2178" s="1">
        <v>4240</v>
      </c>
      <c r="AU2178" s="1">
        <v>16960</v>
      </c>
      <c r="AV2178">
        <v>80</v>
      </c>
      <c r="AX2178" s="1">
        <v>2196.88</v>
      </c>
      <c r="AY2178" t="s">
        <v>2877</v>
      </c>
      <c r="AZ2178" t="s">
        <v>2877</v>
      </c>
      <c r="BA2178" t="s">
        <v>2878</v>
      </c>
      <c r="BE2178" s="3">
        <v>42482</v>
      </c>
      <c r="BF2178" s="1">
        <v>268000</v>
      </c>
      <c r="BG2178" t="s">
        <v>14645</v>
      </c>
      <c r="BH2178" s="1">
        <v>100.64</v>
      </c>
      <c r="BI2178" s="1">
        <v>273762</v>
      </c>
      <c r="BJ2178" s="3">
        <v>42482</v>
      </c>
      <c r="BK2178" t="s">
        <v>123</v>
      </c>
      <c r="BL2178" t="str">
        <f>"2016.270681"</f>
        <v>2016.270681</v>
      </c>
      <c r="BM2178" t="s">
        <v>9665</v>
      </c>
      <c r="BO2178" t="s">
        <v>14646</v>
      </c>
      <c r="BS2178">
        <v>30</v>
      </c>
      <c r="BW2178" t="str">
        <f>""</f>
        <v/>
      </c>
      <c r="CH2178" t="str">
        <f>""</f>
        <v/>
      </c>
      <c r="CS2178" t="str">
        <f>""</f>
        <v/>
      </c>
    </row>
    <row r="2179" spans="1:97" x14ac:dyDescent="0.25">
      <c r="A2179" t="s">
        <v>183</v>
      </c>
      <c r="B2179" t="s">
        <v>12873</v>
      </c>
      <c r="C2179" t="s">
        <v>14647</v>
      </c>
      <c r="D2179" t="s">
        <v>12873</v>
      </c>
      <c r="E2179" t="s">
        <v>14648</v>
      </c>
      <c r="F2179" t="s">
        <v>108</v>
      </c>
      <c r="H2179" t="s">
        <v>14649</v>
      </c>
      <c r="I2179" t="s">
        <v>499</v>
      </c>
      <c r="J2179" t="s">
        <v>111</v>
      </c>
      <c r="K2179" t="str">
        <f>"85395"</f>
        <v>85395</v>
      </c>
      <c r="L2179" t="s">
        <v>5910</v>
      </c>
      <c r="M2179" t="s">
        <v>14649</v>
      </c>
      <c r="N2179" t="s">
        <v>499</v>
      </c>
      <c r="O2179" t="s">
        <v>111</v>
      </c>
      <c r="P2179" t="str">
        <f>"85395-8129"</f>
        <v>85395-8129</v>
      </c>
      <c r="Q2179" t="s">
        <v>113</v>
      </c>
      <c r="R2179" t="str">
        <f>"508-04-273"</f>
        <v>508-04-273</v>
      </c>
      <c r="S2179" t="s">
        <v>14650</v>
      </c>
      <c r="U2179">
        <v>2118</v>
      </c>
      <c r="V2179">
        <v>0</v>
      </c>
      <c r="W2179">
        <v>3</v>
      </c>
      <c r="X2179">
        <v>2002</v>
      </c>
      <c r="Z2179">
        <v>1</v>
      </c>
      <c r="AB2179">
        <v>0</v>
      </c>
      <c r="AC2179" t="s">
        <v>115</v>
      </c>
      <c r="AD2179">
        <v>2</v>
      </c>
      <c r="AE2179" t="s">
        <v>115</v>
      </c>
      <c r="AF2179">
        <v>0</v>
      </c>
      <c r="AG2179">
        <v>0</v>
      </c>
      <c r="AH2179" t="s">
        <v>116</v>
      </c>
      <c r="AI2179" s="1">
        <v>-38635</v>
      </c>
      <c r="AJ2179" s="2">
        <v>-0.1</v>
      </c>
      <c r="AK2179" s="1">
        <v>395225</v>
      </c>
      <c r="AL2179" t="s">
        <v>117</v>
      </c>
      <c r="AM2179" t="s">
        <v>118</v>
      </c>
      <c r="AN2179">
        <v>7280</v>
      </c>
      <c r="AO2179">
        <v>0.17</v>
      </c>
      <c r="AP2179">
        <v>1</v>
      </c>
      <c r="AR2179">
        <v>1</v>
      </c>
      <c r="AS2179" s="1">
        <v>27210</v>
      </c>
      <c r="AT2179" s="1">
        <v>5440</v>
      </c>
      <c r="AU2179" s="1">
        <v>21770</v>
      </c>
      <c r="AV2179">
        <v>80.010000000000005</v>
      </c>
      <c r="AX2179" s="1">
        <v>3273.92</v>
      </c>
      <c r="AY2179" t="s">
        <v>3020</v>
      </c>
      <c r="AZ2179" t="s">
        <v>3020</v>
      </c>
      <c r="BA2179" t="s">
        <v>218</v>
      </c>
      <c r="BE2179" s="3">
        <v>42424</v>
      </c>
      <c r="BF2179" s="1">
        <v>335000</v>
      </c>
      <c r="BG2179" t="s">
        <v>14651</v>
      </c>
      <c r="BH2179" s="1">
        <v>158.16999999999999</v>
      </c>
      <c r="BI2179" s="1">
        <v>433860</v>
      </c>
      <c r="BJ2179" s="3">
        <v>43623</v>
      </c>
      <c r="BK2179" t="s">
        <v>123</v>
      </c>
      <c r="BL2179" t="str">
        <f>"2019.426685"</f>
        <v>2019.426685</v>
      </c>
      <c r="BM2179" t="s">
        <v>4041</v>
      </c>
      <c r="BN2179" t="s">
        <v>4042</v>
      </c>
      <c r="BO2179" t="s">
        <v>14652</v>
      </c>
      <c r="BR2179" t="s">
        <v>139</v>
      </c>
      <c r="BW2179" t="str">
        <f>""</f>
        <v/>
      </c>
      <c r="CH2179" t="str">
        <f>""</f>
        <v/>
      </c>
      <c r="CS2179" t="str">
        <f>""</f>
        <v/>
      </c>
    </row>
    <row r="2180" spans="1:97" x14ac:dyDescent="0.25">
      <c r="A2180" t="s">
        <v>305</v>
      </c>
      <c r="B2180" t="s">
        <v>14653</v>
      </c>
      <c r="C2180" t="s">
        <v>2099</v>
      </c>
      <c r="D2180" t="s">
        <v>14654</v>
      </c>
      <c r="E2180" t="s">
        <v>14655</v>
      </c>
      <c r="F2180" t="s">
        <v>108</v>
      </c>
      <c r="H2180" t="s">
        <v>14656</v>
      </c>
      <c r="I2180" t="s">
        <v>203</v>
      </c>
      <c r="J2180" t="s">
        <v>111</v>
      </c>
      <c r="K2180" t="str">
        <f>"85295"</f>
        <v>85295</v>
      </c>
      <c r="L2180" t="s">
        <v>8435</v>
      </c>
      <c r="M2180" t="s">
        <v>14656</v>
      </c>
      <c r="N2180" t="s">
        <v>203</v>
      </c>
      <c r="O2180" t="s">
        <v>111</v>
      </c>
      <c r="P2180" t="str">
        <f>"85295-3468"</f>
        <v>85295-3468</v>
      </c>
      <c r="Q2180" t="s">
        <v>113</v>
      </c>
      <c r="R2180" t="str">
        <f>"304-46-759"</f>
        <v>304-46-759</v>
      </c>
      <c r="S2180" t="s">
        <v>8436</v>
      </c>
      <c r="U2180">
        <v>1956</v>
      </c>
      <c r="V2180">
        <v>0</v>
      </c>
      <c r="W2180">
        <v>3</v>
      </c>
      <c r="X2180">
        <v>2012</v>
      </c>
      <c r="Z2180">
        <v>2</v>
      </c>
      <c r="AB2180">
        <v>0</v>
      </c>
      <c r="AC2180" t="s">
        <v>115</v>
      </c>
      <c r="AD2180">
        <v>2</v>
      </c>
      <c r="AE2180" t="s">
        <v>115</v>
      </c>
      <c r="AF2180">
        <v>0</v>
      </c>
      <c r="AG2180">
        <v>0</v>
      </c>
      <c r="AH2180" t="s">
        <v>116</v>
      </c>
      <c r="AI2180" s="1">
        <v>70929</v>
      </c>
      <c r="AJ2180" s="2">
        <v>0.23</v>
      </c>
      <c r="AK2180" s="1">
        <v>308374</v>
      </c>
      <c r="AL2180" t="s">
        <v>117</v>
      </c>
      <c r="AM2180" t="s">
        <v>288</v>
      </c>
      <c r="AN2180">
        <v>4400</v>
      </c>
      <c r="AO2180">
        <v>0.1</v>
      </c>
      <c r="AR2180">
        <v>1</v>
      </c>
      <c r="AS2180" s="1">
        <v>21080</v>
      </c>
      <c r="AT2180" s="1">
        <v>4210</v>
      </c>
      <c r="AU2180" s="1">
        <v>16870</v>
      </c>
      <c r="AV2180">
        <v>80.03</v>
      </c>
      <c r="AX2180" s="1">
        <v>1917.26</v>
      </c>
      <c r="AY2180" t="s">
        <v>5094</v>
      </c>
      <c r="AZ2180" t="s">
        <v>5094</v>
      </c>
      <c r="BA2180" t="s">
        <v>473</v>
      </c>
      <c r="BE2180" s="3">
        <v>42495</v>
      </c>
      <c r="BF2180" s="1">
        <v>242445</v>
      </c>
      <c r="BG2180" t="s">
        <v>14657</v>
      </c>
      <c r="BH2180" s="1">
        <v>123.95</v>
      </c>
      <c r="BI2180" s="1">
        <v>237445</v>
      </c>
      <c r="BJ2180" s="3">
        <v>42495</v>
      </c>
      <c r="BK2180" t="s">
        <v>123</v>
      </c>
      <c r="BL2180" t="str">
        <f>"2016.307984"</f>
        <v>2016.307984</v>
      </c>
      <c r="BM2180" t="s">
        <v>12168</v>
      </c>
      <c r="BO2180" t="s">
        <v>14658</v>
      </c>
      <c r="BP2180" t="s">
        <v>14659</v>
      </c>
      <c r="BS2180">
        <v>30</v>
      </c>
      <c r="BW2180" t="str">
        <f>""</f>
        <v/>
      </c>
      <c r="CH2180" t="str">
        <f>""</f>
        <v/>
      </c>
      <c r="CS2180" t="str">
        <f>""</f>
        <v/>
      </c>
    </row>
    <row r="2181" spans="1:97" x14ac:dyDescent="0.25">
      <c r="B2181" t="s">
        <v>14660</v>
      </c>
      <c r="E2181" t="s">
        <v>14660</v>
      </c>
      <c r="F2181" t="s">
        <v>108</v>
      </c>
      <c r="H2181" t="s">
        <v>14661</v>
      </c>
      <c r="I2181" t="s">
        <v>5523</v>
      </c>
      <c r="J2181" t="s">
        <v>111</v>
      </c>
      <c r="K2181" t="str">
        <f>"85373"</f>
        <v>85373</v>
      </c>
      <c r="L2181" t="s">
        <v>734</v>
      </c>
      <c r="M2181" t="s">
        <v>14661</v>
      </c>
      <c r="N2181" t="s">
        <v>5523</v>
      </c>
      <c r="O2181" t="s">
        <v>111</v>
      </c>
      <c r="P2181" t="str">
        <f>"85373-8749"</f>
        <v>85373-8749</v>
      </c>
      <c r="Q2181" t="s">
        <v>113</v>
      </c>
      <c r="R2181" t="str">
        <f>"200-12-833"</f>
        <v>200-12-833</v>
      </c>
      <c r="S2181" t="s">
        <v>14662</v>
      </c>
      <c r="T2181" t="s">
        <v>14662</v>
      </c>
      <c r="U2181">
        <v>2032</v>
      </c>
      <c r="V2181">
        <v>0</v>
      </c>
      <c r="W2181">
        <v>3</v>
      </c>
      <c r="X2181">
        <v>1998</v>
      </c>
      <c r="Z2181">
        <v>1</v>
      </c>
      <c r="AB2181">
        <v>0</v>
      </c>
      <c r="AC2181" t="s">
        <v>115</v>
      </c>
      <c r="AD2181">
        <v>3</v>
      </c>
      <c r="AE2181" t="s">
        <v>115</v>
      </c>
      <c r="AF2181">
        <v>0</v>
      </c>
      <c r="AG2181">
        <v>0</v>
      </c>
      <c r="AH2181" t="s">
        <v>116</v>
      </c>
      <c r="AI2181" s="1">
        <v>106512</v>
      </c>
      <c r="AJ2181" s="2">
        <v>0.34</v>
      </c>
      <c r="AK2181" s="1">
        <v>309012</v>
      </c>
      <c r="AL2181" t="s">
        <v>117</v>
      </c>
      <c r="AM2181" t="s">
        <v>171</v>
      </c>
      <c r="AN2181">
        <v>8260</v>
      </c>
      <c r="AO2181">
        <v>0.19</v>
      </c>
      <c r="AP2181">
        <v>1</v>
      </c>
      <c r="AR2181">
        <v>1</v>
      </c>
      <c r="AS2181" s="1">
        <v>21680</v>
      </c>
      <c r="AT2181" s="1">
        <v>4330</v>
      </c>
      <c r="AU2181" s="1">
        <v>17350</v>
      </c>
      <c r="AV2181">
        <v>80.03</v>
      </c>
      <c r="AX2181" s="1">
        <v>1686.42</v>
      </c>
      <c r="AY2181" t="s">
        <v>4520</v>
      </c>
      <c r="AZ2181" t="s">
        <v>4520</v>
      </c>
      <c r="BA2181" t="s">
        <v>4219</v>
      </c>
      <c r="BB2181" s="3">
        <v>42047</v>
      </c>
      <c r="BD2181" t="s">
        <v>458</v>
      </c>
      <c r="BE2181" s="3">
        <v>41740</v>
      </c>
      <c r="BF2181" s="1">
        <v>225000</v>
      </c>
      <c r="BG2181" t="s">
        <v>14663</v>
      </c>
      <c r="BH2181" s="1">
        <v>110.73</v>
      </c>
      <c r="BI2181" s="1">
        <v>202500</v>
      </c>
      <c r="BJ2181" s="3">
        <v>41740</v>
      </c>
      <c r="BK2181" t="s">
        <v>123</v>
      </c>
      <c r="BL2181" t="str">
        <f>"2014.236638"</f>
        <v>2014.236638</v>
      </c>
      <c r="BM2181" t="s">
        <v>2716</v>
      </c>
      <c r="BO2181" t="s">
        <v>14664</v>
      </c>
      <c r="BS2181">
        <v>30</v>
      </c>
      <c r="BW2181" t="str">
        <f>""</f>
        <v/>
      </c>
      <c r="CH2181" t="str">
        <f>""</f>
        <v/>
      </c>
      <c r="CS2181" t="str">
        <f>""</f>
        <v/>
      </c>
    </row>
    <row r="2182" spans="1:97" x14ac:dyDescent="0.25">
      <c r="A2182" t="s">
        <v>4854</v>
      </c>
      <c r="B2182" t="s">
        <v>14665</v>
      </c>
      <c r="C2182" t="s">
        <v>364</v>
      </c>
      <c r="D2182" t="s">
        <v>1423</v>
      </c>
      <c r="E2182" t="s">
        <v>14666</v>
      </c>
      <c r="F2182" t="s">
        <v>108</v>
      </c>
      <c r="H2182" t="s">
        <v>14667</v>
      </c>
      <c r="I2182" t="s">
        <v>225</v>
      </c>
      <c r="J2182" t="s">
        <v>111</v>
      </c>
      <c r="K2182" t="str">
        <f>"85202"</f>
        <v>85202</v>
      </c>
      <c r="L2182" t="s">
        <v>9178</v>
      </c>
      <c r="M2182" t="s">
        <v>14667</v>
      </c>
      <c r="N2182" t="s">
        <v>225</v>
      </c>
      <c r="O2182" t="s">
        <v>111</v>
      </c>
      <c r="P2182" t="str">
        <f>"85202-5711"</f>
        <v>85202-5711</v>
      </c>
      <c r="Q2182" t="s">
        <v>113</v>
      </c>
      <c r="R2182" t="str">
        <f>"134-26-147"</f>
        <v>134-26-147</v>
      </c>
      <c r="S2182" t="s">
        <v>14668</v>
      </c>
      <c r="T2182" t="s">
        <v>14669</v>
      </c>
      <c r="U2182">
        <v>1846</v>
      </c>
      <c r="V2182">
        <v>0</v>
      </c>
      <c r="W2182">
        <v>3</v>
      </c>
      <c r="X2182">
        <v>1977</v>
      </c>
      <c r="Z2182">
        <v>1</v>
      </c>
      <c r="AA2182" t="s">
        <v>26</v>
      </c>
      <c r="AB2182">
        <v>0</v>
      </c>
      <c r="AC2182" t="s">
        <v>115</v>
      </c>
      <c r="AD2182">
        <v>2</v>
      </c>
      <c r="AE2182" t="s">
        <v>115</v>
      </c>
      <c r="AF2182">
        <v>0</v>
      </c>
      <c r="AG2182">
        <v>0</v>
      </c>
      <c r="AH2182" t="s">
        <v>116</v>
      </c>
      <c r="AI2182" s="1">
        <v>97249</v>
      </c>
      <c r="AJ2182" s="2">
        <v>0.3</v>
      </c>
      <c r="AK2182" s="1">
        <v>326232</v>
      </c>
      <c r="AL2182" t="s">
        <v>117</v>
      </c>
      <c r="AM2182" t="s">
        <v>191</v>
      </c>
      <c r="AN2182">
        <v>9309</v>
      </c>
      <c r="AO2182">
        <v>0.21</v>
      </c>
      <c r="AP2182">
        <v>1</v>
      </c>
      <c r="AR2182">
        <v>1</v>
      </c>
      <c r="AS2182" s="1">
        <v>22770</v>
      </c>
      <c r="AT2182" s="1">
        <v>4550</v>
      </c>
      <c r="AU2182" s="1">
        <v>18220</v>
      </c>
      <c r="AV2182">
        <v>80.02</v>
      </c>
      <c r="AX2182" s="1">
        <v>1501.54</v>
      </c>
      <c r="AY2182" t="s">
        <v>7431</v>
      </c>
      <c r="AZ2182" t="s">
        <v>7295</v>
      </c>
      <c r="BA2182" t="s">
        <v>5311</v>
      </c>
      <c r="BE2182" s="3">
        <v>42083</v>
      </c>
      <c r="BF2182" s="1">
        <v>246000</v>
      </c>
      <c r="BG2182" t="s">
        <v>14670</v>
      </c>
      <c r="BH2182" s="1">
        <v>133.26</v>
      </c>
      <c r="BI2182" s="1">
        <v>228983</v>
      </c>
      <c r="BJ2182" s="3">
        <v>42437</v>
      </c>
      <c r="BK2182" t="s">
        <v>123</v>
      </c>
      <c r="BL2182" t="str">
        <f>"2016.147780"</f>
        <v>2016.147780</v>
      </c>
      <c r="BM2182" t="s">
        <v>402</v>
      </c>
      <c r="BO2182" t="s">
        <v>14671</v>
      </c>
      <c r="BS2182">
        <v>30</v>
      </c>
      <c r="BW2182" t="str">
        <f>""</f>
        <v/>
      </c>
      <c r="CH2182" t="str">
        <f>""</f>
        <v/>
      </c>
      <c r="CS2182" t="str">
        <f>""</f>
        <v/>
      </c>
    </row>
    <row r="2183" spans="1:97" x14ac:dyDescent="0.25">
      <c r="A2183" t="s">
        <v>894</v>
      </c>
      <c r="B2183" t="s">
        <v>14672</v>
      </c>
      <c r="C2183" t="s">
        <v>13809</v>
      </c>
      <c r="D2183" t="s">
        <v>14672</v>
      </c>
      <c r="E2183" t="s">
        <v>14673</v>
      </c>
      <c r="F2183" t="s">
        <v>108</v>
      </c>
      <c r="H2183" t="s">
        <v>14674</v>
      </c>
      <c r="I2183" t="s">
        <v>188</v>
      </c>
      <c r="J2183" t="s">
        <v>111</v>
      </c>
      <c r="K2183" t="str">
        <f>"85142"</f>
        <v>85142</v>
      </c>
      <c r="L2183" t="s">
        <v>8146</v>
      </c>
      <c r="M2183" t="s">
        <v>14674</v>
      </c>
      <c r="N2183" t="s">
        <v>188</v>
      </c>
      <c r="O2183" t="s">
        <v>111</v>
      </c>
      <c r="P2183" t="str">
        <f>"85142-6932"</f>
        <v>85142-6932</v>
      </c>
      <c r="Q2183" t="s">
        <v>113</v>
      </c>
      <c r="R2183" t="str">
        <f>"304-65-793"</f>
        <v>304-65-793</v>
      </c>
      <c r="S2183" t="s">
        <v>14675</v>
      </c>
      <c r="U2183">
        <v>2107</v>
      </c>
      <c r="V2183">
        <v>0</v>
      </c>
      <c r="W2183">
        <v>4</v>
      </c>
      <c r="X2183">
        <v>2002</v>
      </c>
      <c r="Z2183">
        <v>2</v>
      </c>
      <c r="AB2183">
        <v>0</v>
      </c>
      <c r="AC2183" t="s">
        <v>115</v>
      </c>
      <c r="AD2183">
        <v>2</v>
      </c>
      <c r="AE2183" t="s">
        <v>115</v>
      </c>
      <c r="AF2183">
        <v>0</v>
      </c>
      <c r="AG2183">
        <v>0</v>
      </c>
      <c r="AH2183" t="s">
        <v>116</v>
      </c>
      <c r="AI2183" s="1">
        <v>52331</v>
      </c>
      <c r="AJ2183" s="2">
        <v>0.18</v>
      </c>
      <c r="AK2183" s="1">
        <v>295331</v>
      </c>
      <c r="AL2183" t="s">
        <v>117</v>
      </c>
      <c r="AM2183" t="s">
        <v>191</v>
      </c>
      <c r="AN2183">
        <v>6029</v>
      </c>
      <c r="AO2183">
        <v>0.14000000000000001</v>
      </c>
      <c r="AP2183">
        <v>1</v>
      </c>
      <c r="AR2183">
        <v>1</v>
      </c>
      <c r="AS2183" s="1">
        <v>19350</v>
      </c>
      <c r="AT2183" s="1">
        <v>3870</v>
      </c>
      <c r="AU2183" s="1">
        <v>15480</v>
      </c>
      <c r="AV2183">
        <v>80</v>
      </c>
      <c r="AX2183" s="1">
        <v>1627.88</v>
      </c>
      <c r="AY2183" t="s">
        <v>5895</v>
      </c>
      <c r="AZ2183" t="s">
        <v>561</v>
      </c>
      <c r="BA2183" t="s">
        <v>194</v>
      </c>
      <c r="BE2183" s="3">
        <v>41746</v>
      </c>
      <c r="BF2183" s="1">
        <v>207500</v>
      </c>
      <c r="BG2183" t="s">
        <v>14676</v>
      </c>
      <c r="BH2183" s="1">
        <v>98.48</v>
      </c>
      <c r="BI2183" s="1">
        <v>243000</v>
      </c>
      <c r="BJ2183" s="3">
        <v>43432</v>
      </c>
      <c r="BK2183" t="s">
        <v>123</v>
      </c>
      <c r="BL2183" t="str">
        <f>"2018.874586"</f>
        <v>2018.874586</v>
      </c>
      <c r="BM2183" t="s">
        <v>460</v>
      </c>
      <c r="BN2183" t="s">
        <v>461</v>
      </c>
      <c r="BO2183" t="s">
        <v>14677</v>
      </c>
      <c r="BP2183" t="s">
        <v>14678</v>
      </c>
      <c r="BR2183" t="s">
        <v>139</v>
      </c>
      <c r="BW2183" t="str">
        <f>""</f>
        <v/>
      </c>
      <c r="CH2183" t="str">
        <f>""</f>
        <v/>
      </c>
      <c r="CS2183" t="str">
        <f>""</f>
        <v/>
      </c>
    </row>
    <row r="2184" spans="1:97" x14ac:dyDescent="0.25">
      <c r="A2184" t="s">
        <v>639</v>
      </c>
      <c r="B2184" t="s">
        <v>1309</v>
      </c>
      <c r="E2184" t="s">
        <v>14679</v>
      </c>
      <c r="F2184" t="s">
        <v>108</v>
      </c>
      <c r="H2184" t="s">
        <v>14680</v>
      </c>
      <c r="I2184" t="s">
        <v>499</v>
      </c>
      <c r="J2184" t="s">
        <v>111</v>
      </c>
      <c r="K2184" t="str">
        <f>"85395"</f>
        <v>85395</v>
      </c>
      <c r="L2184" t="s">
        <v>4003</v>
      </c>
      <c r="M2184" t="s">
        <v>14680</v>
      </c>
      <c r="N2184" t="s">
        <v>499</v>
      </c>
      <c r="O2184" t="s">
        <v>111</v>
      </c>
      <c r="P2184" t="str">
        <f>"85395-2403"</f>
        <v>85395-2403</v>
      </c>
      <c r="Q2184" t="s">
        <v>113</v>
      </c>
      <c r="R2184" t="str">
        <f>"501-98-252"</f>
        <v>501-98-252</v>
      </c>
      <c r="S2184" t="s">
        <v>14681</v>
      </c>
      <c r="T2184" t="s">
        <v>14682</v>
      </c>
      <c r="U2184">
        <v>2152</v>
      </c>
      <c r="V2184">
        <v>0</v>
      </c>
      <c r="W2184">
        <v>3</v>
      </c>
      <c r="X2184">
        <v>2001</v>
      </c>
      <c r="Z2184">
        <v>1</v>
      </c>
      <c r="AB2184">
        <v>0</v>
      </c>
      <c r="AC2184" t="s">
        <v>115</v>
      </c>
      <c r="AD2184">
        <v>2</v>
      </c>
      <c r="AE2184" t="s">
        <v>115</v>
      </c>
      <c r="AF2184">
        <v>0</v>
      </c>
      <c r="AG2184">
        <v>0</v>
      </c>
      <c r="AH2184" t="s">
        <v>116</v>
      </c>
      <c r="AI2184" s="1">
        <v>-292080</v>
      </c>
      <c r="AJ2184" s="2">
        <v>-0.86</v>
      </c>
      <c r="AK2184" s="1">
        <v>341250</v>
      </c>
      <c r="AL2184" t="s">
        <v>117</v>
      </c>
      <c r="AM2184" t="s">
        <v>118</v>
      </c>
      <c r="AN2184">
        <v>7516</v>
      </c>
      <c r="AO2184">
        <v>0.17</v>
      </c>
      <c r="AP2184">
        <v>1</v>
      </c>
      <c r="AR2184">
        <v>1</v>
      </c>
      <c r="AS2184" s="1">
        <v>23620</v>
      </c>
      <c r="AT2184" s="1">
        <v>4720</v>
      </c>
      <c r="AU2184" s="1">
        <v>18900</v>
      </c>
      <c r="AV2184">
        <v>80.02</v>
      </c>
      <c r="AX2184" s="1">
        <v>2743.96</v>
      </c>
      <c r="AY2184" t="s">
        <v>6796</v>
      </c>
      <c r="AZ2184" t="s">
        <v>6796</v>
      </c>
      <c r="BA2184" t="s">
        <v>3154</v>
      </c>
      <c r="BB2184" s="3">
        <v>43661</v>
      </c>
      <c r="BC2184" s="1">
        <v>0</v>
      </c>
      <c r="BD2184" t="s">
        <v>247</v>
      </c>
      <c r="BE2184" s="3">
        <v>41838</v>
      </c>
      <c r="BF2184" s="1">
        <v>310000</v>
      </c>
      <c r="BG2184" t="s">
        <v>14683</v>
      </c>
      <c r="BH2184" s="1">
        <v>144.05000000000001</v>
      </c>
      <c r="BI2184" s="1">
        <v>316665</v>
      </c>
      <c r="BJ2184" s="3">
        <v>41838</v>
      </c>
      <c r="BK2184" t="s">
        <v>123</v>
      </c>
      <c r="BL2184" t="str">
        <f>"2014.473238"</f>
        <v>2014.473238</v>
      </c>
      <c r="BM2184" t="s">
        <v>594</v>
      </c>
      <c r="BN2184" t="s">
        <v>595</v>
      </c>
      <c r="BO2184" t="s">
        <v>14684</v>
      </c>
      <c r="BP2184" t="s">
        <v>14685</v>
      </c>
      <c r="BS2184">
        <v>30</v>
      </c>
      <c r="BT2184" s="1">
        <v>316665</v>
      </c>
      <c r="BU2184" s="3">
        <v>43483</v>
      </c>
      <c r="BV2184" t="s">
        <v>123</v>
      </c>
      <c r="BW2184" t="str">
        <f>"2019.40789"</f>
        <v>2019.40789</v>
      </c>
      <c r="BX2184" t="s">
        <v>1977</v>
      </c>
      <c r="BY2184" t="s">
        <v>595</v>
      </c>
      <c r="BZ2184" t="s">
        <v>14686</v>
      </c>
      <c r="CA2184" t="s">
        <v>14687</v>
      </c>
      <c r="CC2184" t="s">
        <v>139</v>
      </c>
      <c r="CH2184" t="str">
        <f>""</f>
        <v/>
      </c>
      <c r="CS2184" t="str">
        <f>""</f>
        <v/>
      </c>
    </row>
    <row r="2185" spans="1:97" x14ac:dyDescent="0.25">
      <c r="B2185" t="s">
        <v>14688</v>
      </c>
      <c r="E2185" t="s">
        <v>14689</v>
      </c>
      <c r="F2185" t="s">
        <v>108</v>
      </c>
      <c r="H2185" t="s">
        <v>14690</v>
      </c>
      <c r="I2185" t="s">
        <v>110</v>
      </c>
      <c r="J2185" t="s">
        <v>111</v>
      </c>
      <c r="K2185" t="str">
        <f>"85286"</f>
        <v>85286</v>
      </c>
      <c r="L2185" t="s">
        <v>5429</v>
      </c>
      <c r="M2185" t="s">
        <v>14690</v>
      </c>
      <c r="N2185" t="s">
        <v>110</v>
      </c>
      <c r="O2185" t="s">
        <v>111</v>
      </c>
      <c r="P2185" t="str">
        <f>"85286-6439"</f>
        <v>85286-6439</v>
      </c>
      <c r="Q2185" t="s">
        <v>113</v>
      </c>
      <c r="R2185" t="str">
        <f>"303-76-358"</f>
        <v>303-76-358</v>
      </c>
      <c r="S2185" t="s">
        <v>14691</v>
      </c>
      <c r="T2185" t="s">
        <v>14691</v>
      </c>
      <c r="U2185">
        <v>2131</v>
      </c>
      <c r="V2185">
        <v>0</v>
      </c>
      <c r="W2185">
        <v>4</v>
      </c>
      <c r="X2185">
        <v>1999</v>
      </c>
      <c r="Z2185">
        <v>1</v>
      </c>
      <c r="AA2185" t="s">
        <v>26</v>
      </c>
      <c r="AB2185">
        <v>0</v>
      </c>
      <c r="AC2185" t="s">
        <v>115</v>
      </c>
      <c r="AD2185">
        <v>3</v>
      </c>
      <c r="AE2185" t="s">
        <v>115</v>
      </c>
      <c r="AF2185">
        <v>0</v>
      </c>
      <c r="AG2185">
        <v>0</v>
      </c>
      <c r="AH2185" t="s">
        <v>116</v>
      </c>
      <c r="AI2185" s="1">
        <v>89952</v>
      </c>
      <c r="AJ2185" s="2">
        <v>0.23</v>
      </c>
      <c r="AK2185" s="1">
        <v>395528</v>
      </c>
      <c r="AL2185" t="s">
        <v>117</v>
      </c>
      <c r="AM2185" t="s">
        <v>118</v>
      </c>
      <c r="AN2185">
        <v>7022</v>
      </c>
      <c r="AO2185">
        <v>0.16</v>
      </c>
      <c r="AP2185">
        <v>1</v>
      </c>
      <c r="AR2185">
        <v>1</v>
      </c>
      <c r="AS2185" s="1">
        <v>30070</v>
      </c>
      <c r="AT2185" s="1">
        <v>6010</v>
      </c>
      <c r="AU2185" s="1">
        <v>24060</v>
      </c>
      <c r="AV2185">
        <v>80.010000000000005</v>
      </c>
      <c r="AX2185" s="1">
        <v>2421.1999999999998</v>
      </c>
      <c r="AY2185" t="s">
        <v>6015</v>
      </c>
      <c r="AZ2185" t="s">
        <v>1882</v>
      </c>
      <c r="BA2185" t="s">
        <v>121</v>
      </c>
      <c r="BB2185" s="3">
        <v>42744</v>
      </c>
      <c r="BD2185" t="s">
        <v>480</v>
      </c>
      <c r="BE2185" s="3">
        <v>42164</v>
      </c>
      <c r="BF2185" s="1">
        <v>313000</v>
      </c>
      <c r="BG2185" t="s">
        <v>14692</v>
      </c>
      <c r="BH2185" s="1">
        <v>146.88</v>
      </c>
      <c r="BI2185" s="1">
        <v>305576</v>
      </c>
      <c r="BJ2185" s="3">
        <v>42627</v>
      </c>
      <c r="BK2185" t="s">
        <v>123</v>
      </c>
      <c r="BL2185" t="str">
        <f>"2016.666260"</f>
        <v>2016.666260</v>
      </c>
      <c r="BM2185" t="s">
        <v>2117</v>
      </c>
      <c r="BO2185" t="s">
        <v>14693</v>
      </c>
      <c r="BS2185">
        <v>30</v>
      </c>
      <c r="BW2185" t="str">
        <f>""</f>
        <v/>
      </c>
      <c r="CH2185" t="str">
        <f>""</f>
        <v/>
      </c>
      <c r="CS2185" t="str">
        <f>""</f>
        <v/>
      </c>
    </row>
    <row r="2186" spans="1:97" x14ac:dyDescent="0.25">
      <c r="A2186" t="s">
        <v>1620</v>
      </c>
      <c r="B2186" t="s">
        <v>14694</v>
      </c>
      <c r="E2186" t="s">
        <v>14695</v>
      </c>
      <c r="F2186" t="s">
        <v>108</v>
      </c>
      <c r="H2186" t="s">
        <v>14696</v>
      </c>
      <c r="I2186" t="s">
        <v>390</v>
      </c>
      <c r="J2186" t="s">
        <v>111</v>
      </c>
      <c r="K2186" t="str">
        <f>"85020"</f>
        <v>85020</v>
      </c>
      <c r="L2186" t="s">
        <v>6923</v>
      </c>
      <c r="M2186" t="s">
        <v>14696</v>
      </c>
      <c r="N2186" t="s">
        <v>390</v>
      </c>
      <c r="O2186" t="s">
        <v>111</v>
      </c>
      <c r="P2186" t="str">
        <f>"85020-4214"</f>
        <v>85020-4214</v>
      </c>
      <c r="Q2186" t="s">
        <v>113</v>
      </c>
      <c r="R2186" t="str">
        <f>"160-15-057"</f>
        <v>160-15-057</v>
      </c>
      <c r="S2186" t="s">
        <v>14697</v>
      </c>
      <c r="T2186" t="s">
        <v>14697</v>
      </c>
      <c r="U2186">
        <v>1498</v>
      </c>
      <c r="V2186">
        <v>0</v>
      </c>
      <c r="W2186">
        <v>2</v>
      </c>
      <c r="X2186">
        <v>1959</v>
      </c>
      <c r="Z2186">
        <v>1</v>
      </c>
      <c r="AA2186" t="s">
        <v>26</v>
      </c>
      <c r="AB2186">
        <v>0</v>
      </c>
      <c r="AC2186" t="s">
        <v>115</v>
      </c>
      <c r="AD2186">
        <v>2</v>
      </c>
      <c r="AE2186" t="s">
        <v>115</v>
      </c>
      <c r="AF2186">
        <v>0</v>
      </c>
      <c r="AG2186">
        <v>0</v>
      </c>
      <c r="AH2186" t="s">
        <v>116</v>
      </c>
      <c r="AI2186" s="1">
        <v>72357</v>
      </c>
      <c r="AJ2186" s="2">
        <v>0.23</v>
      </c>
      <c r="AK2186" s="1">
        <v>308397</v>
      </c>
      <c r="AL2186" t="s">
        <v>117</v>
      </c>
      <c r="AM2186" t="s">
        <v>191</v>
      </c>
      <c r="AN2186">
        <v>8102</v>
      </c>
      <c r="AO2186">
        <v>0.19</v>
      </c>
      <c r="AP2186">
        <v>1</v>
      </c>
      <c r="AR2186">
        <v>1</v>
      </c>
      <c r="AS2186" s="1">
        <v>19860</v>
      </c>
      <c r="AT2186" s="1">
        <v>3970</v>
      </c>
      <c r="AU2186" s="1">
        <v>15890</v>
      </c>
      <c r="AV2186">
        <v>80.010000000000005</v>
      </c>
      <c r="AX2186" s="1">
        <v>1535.78</v>
      </c>
      <c r="AY2186" t="s">
        <v>6253</v>
      </c>
      <c r="AZ2186" t="s">
        <v>6254</v>
      </c>
      <c r="BA2186" t="s">
        <v>5469</v>
      </c>
      <c r="BE2186" s="3">
        <v>42124</v>
      </c>
      <c r="BF2186" s="1">
        <v>228500</v>
      </c>
      <c r="BG2186" t="s">
        <v>14698</v>
      </c>
      <c r="BH2186" s="1">
        <v>152.54</v>
      </c>
      <c r="BI2186" s="1">
        <v>236040</v>
      </c>
      <c r="BJ2186" s="3">
        <v>42124</v>
      </c>
      <c r="BK2186" t="s">
        <v>123</v>
      </c>
      <c r="BL2186" t="str">
        <f>"2015.305179"</f>
        <v>2015.305179</v>
      </c>
      <c r="BM2186" t="s">
        <v>724</v>
      </c>
      <c r="BO2186" t="s">
        <v>14699</v>
      </c>
      <c r="BS2186">
        <v>30</v>
      </c>
      <c r="BW2186" t="str">
        <f>""</f>
        <v/>
      </c>
      <c r="CH2186" t="str">
        <f>""</f>
        <v/>
      </c>
      <c r="CS2186" t="str">
        <f>""</f>
        <v/>
      </c>
    </row>
    <row r="2187" spans="1:97" x14ac:dyDescent="0.25">
      <c r="A2187" t="s">
        <v>177</v>
      </c>
      <c r="B2187" t="s">
        <v>9020</v>
      </c>
      <c r="E2187" t="s">
        <v>14700</v>
      </c>
      <c r="F2187" t="s">
        <v>108</v>
      </c>
      <c r="H2187" t="s">
        <v>14701</v>
      </c>
      <c r="I2187" t="s">
        <v>390</v>
      </c>
      <c r="J2187" t="s">
        <v>111</v>
      </c>
      <c r="K2187" t="str">
        <f>"85014"</f>
        <v>85014</v>
      </c>
      <c r="L2187" t="s">
        <v>1312</v>
      </c>
      <c r="M2187" t="s">
        <v>14701</v>
      </c>
      <c r="N2187" t="s">
        <v>390</v>
      </c>
      <c r="O2187" t="s">
        <v>111</v>
      </c>
      <c r="P2187" t="str">
        <f>"85014-3039"</f>
        <v>85014-3039</v>
      </c>
      <c r="Q2187" t="s">
        <v>113</v>
      </c>
      <c r="R2187" t="str">
        <f>"162-11-001-A"</f>
        <v>162-11-001-A</v>
      </c>
      <c r="S2187" t="s">
        <v>14702</v>
      </c>
      <c r="T2187" t="s">
        <v>14703</v>
      </c>
      <c r="U2187">
        <v>2201</v>
      </c>
      <c r="V2187">
        <v>0</v>
      </c>
      <c r="W2187">
        <v>2</v>
      </c>
      <c r="X2187">
        <v>1954</v>
      </c>
      <c r="Z2187">
        <v>1</v>
      </c>
      <c r="AB2187">
        <v>0</v>
      </c>
      <c r="AC2187" t="s">
        <v>115</v>
      </c>
      <c r="AD2187">
        <v>2</v>
      </c>
      <c r="AE2187" t="s">
        <v>115</v>
      </c>
      <c r="AF2187">
        <v>0</v>
      </c>
      <c r="AG2187">
        <v>0</v>
      </c>
      <c r="AH2187" t="s">
        <v>116</v>
      </c>
      <c r="AI2187" s="1">
        <v>119843</v>
      </c>
      <c r="AJ2187" s="2">
        <v>0.23</v>
      </c>
      <c r="AK2187" s="1">
        <v>529843</v>
      </c>
      <c r="AL2187" t="s">
        <v>117</v>
      </c>
      <c r="AM2187" t="s">
        <v>191</v>
      </c>
      <c r="AN2187">
        <v>13497</v>
      </c>
      <c r="AO2187">
        <v>0.31</v>
      </c>
      <c r="AP2187">
        <v>1</v>
      </c>
      <c r="AR2187">
        <v>1</v>
      </c>
      <c r="AS2187" s="1">
        <v>31730</v>
      </c>
      <c r="AT2187" s="1">
        <v>6340</v>
      </c>
      <c r="AU2187" s="1">
        <v>25390</v>
      </c>
      <c r="AV2187">
        <v>80.02</v>
      </c>
      <c r="AX2187" s="1">
        <v>3578.4</v>
      </c>
      <c r="AY2187" t="s">
        <v>6998</v>
      </c>
      <c r="AZ2187" t="s">
        <v>6254</v>
      </c>
      <c r="BA2187" t="s">
        <v>5469</v>
      </c>
      <c r="BE2187" s="3">
        <v>41953</v>
      </c>
      <c r="BF2187" s="1">
        <v>410000</v>
      </c>
      <c r="BG2187" t="s">
        <v>14704</v>
      </c>
      <c r="BH2187" s="1">
        <v>186.28</v>
      </c>
      <c r="BI2187" s="1">
        <v>410000</v>
      </c>
      <c r="BJ2187" s="3">
        <v>41953</v>
      </c>
      <c r="BK2187" t="s">
        <v>123</v>
      </c>
      <c r="BL2187" t="str">
        <f>"2014.744221"</f>
        <v>2014.744221</v>
      </c>
      <c r="BM2187" t="s">
        <v>475</v>
      </c>
      <c r="BO2187" t="s">
        <v>14705</v>
      </c>
      <c r="BS2187">
        <v>30</v>
      </c>
      <c r="BW2187" t="str">
        <f>""</f>
        <v/>
      </c>
      <c r="CH2187" t="str">
        <f>""</f>
        <v/>
      </c>
      <c r="CS2187" t="str">
        <f>""</f>
        <v/>
      </c>
    </row>
    <row r="2188" spans="1:97" x14ac:dyDescent="0.25">
      <c r="A2188" t="s">
        <v>325</v>
      </c>
      <c r="B2188" t="s">
        <v>3147</v>
      </c>
      <c r="E2188" t="s">
        <v>14706</v>
      </c>
      <c r="F2188" t="s">
        <v>108</v>
      </c>
      <c r="H2188" t="s">
        <v>14707</v>
      </c>
      <c r="I2188" t="s">
        <v>390</v>
      </c>
      <c r="J2188" t="s">
        <v>111</v>
      </c>
      <c r="K2188" t="str">
        <f>"85018"</f>
        <v>85018</v>
      </c>
      <c r="L2188" t="s">
        <v>6325</v>
      </c>
      <c r="M2188" t="s">
        <v>14707</v>
      </c>
      <c r="N2188" t="s">
        <v>390</v>
      </c>
      <c r="O2188" t="s">
        <v>111</v>
      </c>
      <c r="P2188" t="str">
        <f>"85018-6034"</f>
        <v>85018-6034</v>
      </c>
      <c r="Q2188" t="s">
        <v>113</v>
      </c>
      <c r="R2188" t="str">
        <f>"127-08-018"</f>
        <v>127-08-018</v>
      </c>
      <c r="S2188" t="s">
        <v>14708</v>
      </c>
      <c r="T2188" t="s">
        <v>14708</v>
      </c>
      <c r="U2188">
        <v>1568</v>
      </c>
      <c r="V2188">
        <v>0</v>
      </c>
      <c r="W2188">
        <v>3</v>
      </c>
      <c r="X2188">
        <v>1958</v>
      </c>
      <c r="Z2188">
        <v>1</v>
      </c>
      <c r="AB2188">
        <v>0</v>
      </c>
      <c r="AC2188" t="s">
        <v>5188</v>
      </c>
      <c r="AD2188">
        <v>1</v>
      </c>
      <c r="AE2188" t="s">
        <v>5188</v>
      </c>
      <c r="AF2188">
        <v>0</v>
      </c>
      <c r="AG2188">
        <v>0</v>
      </c>
      <c r="AH2188" t="s">
        <v>116</v>
      </c>
      <c r="AI2188" s="1">
        <v>-13827</v>
      </c>
      <c r="AJ2188" s="2">
        <v>-0.03</v>
      </c>
      <c r="AK2188" s="1">
        <v>454122</v>
      </c>
      <c r="AL2188" t="s">
        <v>117</v>
      </c>
      <c r="AM2188" t="s">
        <v>191</v>
      </c>
      <c r="AN2188">
        <v>8581</v>
      </c>
      <c r="AO2188">
        <v>0.2</v>
      </c>
      <c r="AP2188">
        <v>1</v>
      </c>
      <c r="AR2188">
        <v>1</v>
      </c>
      <c r="AS2188" s="1">
        <v>33420</v>
      </c>
      <c r="AT2188" s="1">
        <v>6680</v>
      </c>
      <c r="AU2188" s="1">
        <v>26740</v>
      </c>
      <c r="AV2188">
        <v>80.010000000000005</v>
      </c>
      <c r="AX2188" s="1">
        <v>1971.82</v>
      </c>
      <c r="AY2188" t="s">
        <v>8347</v>
      </c>
      <c r="AZ2188" t="s">
        <v>8348</v>
      </c>
      <c r="BA2188" t="s">
        <v>8349</v>
      </c>
      <c r="BE2188" s="3">
        <v>42321</v>
      </c>
      <c r="BF2188" s="1">
        <v>465000</v>
      </c>
      <c r="BG2188" t="s">
        <v>14709</v>
      </c>
      <c r="BH2188" s="1">
        <v>410.05</v>
      </c>
      <c r="BI2188" s="1">
        <v>467949</v>
      </c>
      <c r="BJ2188" s="3">
        <v>42321</v>
      </c>
      <c r="BK2188" t="s">
        <v>123</v>
      </c>
      <c r="BL2188" t="str">
        <f>"2015.815023"</f>
        <v>2015.815023</v>
      </c>
      <c r="BM2188" t="s">
        <v>820</v>
      </c>
      <c r="BO2188" t="s">
        <v>14710</v>
      </c>
      <c r="BS2188">
        <v>30</v>
      </c>
      <c r="BW2188" t="str">
        <f>""</f>
        <v/>
      </c>
      <c r="CH2188" t="str">
        <f>""</f>
        <v/>
      </c>
      <c r="CS2188" t="str">
        <f>""</f>
        <v/>
      </c>
    </row>
    <row r="2189" spans="1:97" x14ac:dyDescent="0.25">
      <c r="A2189" t="s">
        <v>14711</v>
      </c>
      <c r="B2189" t="s">
        <v>14712</v>
      </c>
      <c r="C2189" t="s">
        <v>12439</v>
      </c>
      <c r="D2189" t="s">
        <v>14712</v>
      </c>
      <c r="E2189" t="s">
        <v>14713</v>
      </c>
      <c r="F2189" t="s">
        <v>108</v>
      </c>
      <c r="H2189" t="s">
        <v>14714</v>
      </c>
      <c r="I2189" t="s">
        <v>632</v>
      </c>
      <c r="J2189" t="s">
        <v>111</v>
      </c>
      <c r="K2189" t="str">
        <f>"85388"</f>
        <v>85388</v>
      </c>
      <c r="L2189" t="s">
        <v>417</v>
      </c>
      <c r="M2189" t="s">
        <v>14714</v>
      </c>
      <c r="N2189" t="s">
        <v>632</v>
      </c>
      <c r="O2189" t="s">
        <v>111</v>
      </c>
      <c r="P2189" t="str">
        <f>"85388-1657"</f>
        <v>85388-1657</v>
      </c>
      <c r="Q2189" t="s">
        <v>113</v>
      </c>
      <c r="R2189" t="str">
        <f>"502-09-397"</f>
        <v>502-09-397</v>
      </c>
      <c r="S2189" t="s">
        <v>14715</v>
      </c>
      <c r="T2189" t="s">
        <v>14716</v>
      </c>
      <c r="U2189">
        <v>1758</v>
      </c>
      <c r="V2189">
        <v>0</v>
      </c>
      <c r="W2189">
        <v>2</v>
      </c>
      <c r="X2189">
        <v>2011</v>
      </c>
      <c r="Z2189">
        <v>1</v>
      </c>
      <c r="AB2189">
        <v>0</v>
      </c>
      <c r="AC2189" t="s">
        <v>115</v>
      </c>
      <c r="AD2189">
        <v>2</v>
      </c>
      <c r="AE2189" t="s">
        <v>115</v>
      </c>
      <c r="AF2189">
        <v>0</v>
      </c>
      <c r="AG2189">
        <v>0</v>
      </c>
      <c r="AH2189" t="s">
        <v>116</v>
      </c>
      <c r="AI2189" s="1">
        <v>60291</v>
      </c>
      <c r="AJ2189" s="2">
        <v>0.23</v>
      </c>
      <c r="AK2189" s="1">
        <v>265591</v>
      </c>
      <c r="AL2189" t="s">
        <v>117</v>
      </c>
      <c r="AM2189" t="s">
        <v>118</v>
      </c>
      <c r="AN2189">
        <v>6897</v>
      </c>
      <c r="AO2189">
        <v>0.16</v>
      </c>
      <c r="AR2189">
        <v>1</v>
      </c>
      <c r="AS2189" s="1">
        <v>17710</v>
      </c>
      <c r="AT2189" s="1">
        <v>3540</v>
      </c>
      <c r="AU2189" s="1">
        <v>14170</v>
      </c>
      <c r="AV2189">
        <v>80.010000000000005</v>
      </c>
      <c r="AX2189" s="1">
        <v>1530.16</v>
      </c>
      <c r="AY2189" t="s">
        <v>5168</v>
      </c>
      <c r="AZ2189" t="s">
        <v>5168</v>
      </c>
      <c r="BA2189" t="s">
        <v>5109</v>
      </c>
      <c r="BE2189" s="3">
        <v>41863</v>
      </c>
      <c r="BF2189" s="1">
        <v>201000</v>
      </c>
      <c r="BG2189" t="s">
        <v>14717</v>
      </c>
      <c r="BH2189" s="1">
        <v>114.33</v>
      </c>
      <c r="BI2189" s="1">
        <v>205300</v>
      </c>
      <c r="BJ2189" s="3">
        <v>41863</v>
      </c>
      <c r="BK2189" t="s">
        <v>123</v>
      </c>
      <c r="BL2189" t="str">
        <f>"2014.529054"</f>
        <v>2014.529054</v>
      </c>
      <c r="BM2189" t="s">
        <v>2475</v>
      </c>
      <c r="BO2189" t="s">
        <v>14718</v>
      </c>
      <c r="BS2189">
        <v>30</v>
      </c>
      <c r="BW2189" t="str">
        <f>""</f>
        <v/>
      </c>
      <c r="CH2189" t="str">
        <f>""</f>
        <v/>
      </c>
      <c r="CS2189" t="str">
        <f>""</f>
        <v/>
      </c>
    </row>
    <row r="2190" spans="1:97" x14ac:dyDescent="0.25">
      <c r="A2190" t="s">
        <v>177</v>
      </c>
      <c r="B2190" t="s">
        <v>14719</v>
      </c>
      <c r="E2190" t="s">
        <v>14720</v>
      </c>
      <c r="F2190" t="s">
        <v>108</v>
      </c>
      <c r="H2190" t="s">
        <v>14721</v>
      </c>
      <c r="I2190" t="s">
        <v>632</v>
      </c>
      <c r="J2190" t="s">
        <v>111</v>
      </c>
      <c r="K2190" t="str">
        <f>"85374"</f>
        <v>85374</v>
      </c>
      <c r="L2190" t="s">
        <v>5514</v>
      </c>
      <c r="M2190" t="s">
        <v>14721</v>
      </c>
      <c r="N2190" t="s">
        <v>632</v>
      </c>
      <c r="O2190" t="s">
        <v>111</v>
      </c>
      <c r="P2190" t="str">
        <f>"85374-1808"</f>
        <v>85374-1808</v>
      </c>
      <c r="Q2190" t="s">
        <v>113</v>
      </c>
      <c r="R2190" t="str">
        <f>"232-39-862"</f>
        <v>232-39-862</v>
      </c>
      <c r="S2190" t="s">
        <v>14722</v>
      </c>
      <c r="U2190">
        <v>2047</v>
      </c>
      <c r="V2190">
        <v>0</v>
      </c>
      <c r="W2190">
        <v>3</v>
      </c>
      <c r="X2190">
        <v>2005</v>
      </c>
      <c r="Z2190">
        <v>1</v>
      </c>
      <c r="AA2190" t="s">
        <v>26</v>
      </c>
      <c r="AB2190">
        <v>0</v>
      </c>
      <c r="AC2190" t="s">
        <v>115</v>
      </c>
      <c r="AD2190">
        <v>2</v>
      </c>
      <c r="AE2190" t="s">
        <v>115</v>
      </c>
      <c r="AF2190">
        <v>0</v>
      </c>
      <c r="AG2190">
        <v>0</v>
      </c>
      <c r="AH2190" t="s">
        <v>116</v>
      </c>
      <c r="AI2190" s="1">
        <v>89945</v>
      </c>
      <c r="AJ2190" s="2">
        <v>0.3</v>
      </c>
      <c r="AK2190" s="1">
        <v>302445</v>
      </c>
      <c r="AL2190" t="s">
        <v>117</v>
      </c>
      <c r="AM2190" t="s">
        <v>5516</v>
      </c>
      <c r="AN2190">
        <v>6771</v>
      </c>
      <c r="AO2190">
        <v>0.16</v>
      </c>
      <c r="AR2190">
        <v>1</v>
      </c>
      <c r="AS2190" s="1">
        <v>21760</v>
      </c>
      <c r="AT2190" s="1">
        <v>4350</v>
      </c>
      <c r="AU2190" s="1">
        <v>17410</v>
      </c>
      <c r="AV2190">
        <v>80.010000000000005</v>
      </c>
      <c r="AX2190" s="1">
        <v>1137.02</v>
      </c>
      <c r="AY2190" t="s">
        <v>5517</v>
      </c>
      <c r="AZ2190" t="s">
        <v>5517</v>
      </c>
      <c r="BA2190" t="s">
        <v>5109</v>
      </c>
      <c r="BE2190" s="3">
        <v>41781</v>
      </c>
      <c r="BF2190" s="1">
        <v>212500</v>
      </c>
      <c r="BG2190" t="s">
        <v>14723</v>
      </c>
      <c r="BH2190" s="1">
        <v>103.81</v>
      </c>
      <c r="BI2190" s="1">
        <v>212500</v>
      </c>
      <c r="BJ2190" s="3">
        <v>41781</v>
      </c>
      <c r="BK2190" t="s">
        <v>123</v>
      </c>
      <c r="BL2190" t="str">
        <f>"2014.334499"</f>
        <v>2014.334499</v>
      </c>
      <c r="BM2190" t="s">
        <v>135</v>
      </c>
      <c r="BO2190" t="s">
        <v>14724</v>
      </c>
      <c r="BS2190">
        <v>30</v>
      </c>
      <c r="BW2190" t="str">
        <f>""</f>
        <v/>
      </c>
      <c r="CH2190" t="str">
        <f>""</f>
        <v/>
      </c>
      <c r="CS2190" t="str">
        <f>""</f>
        <v/>
      </c>
    </row>
    <row r="2191" spans="1:97" x14ac:dyDescent="0.25">
      <c r="A2191" t="s">
        <v>14725</v>
      </c>
      <c r="B2191" t="s">
        <v>14726</v>
      </c>
      <c r="E2191" t="s">
        <v>14727</v>
      </c>
      <c r="F2191" t="s">
        <v>282</v>
      </c>
      <c r="H2191" t="s">
        <v>14728</v>
      </c>
      <c r="I2191" t="s">
        <v>390</v>
      </c>
      <c r="J2191" t="s">
        <v>111</v>
      </c>
      <c r="K2191" t="str">
        <f>"85043"</f>
        <v>85043</v>
      </c>
      <c r="L2191" t="s">
        <v>5367</v>
      </c>
      <c r="M2191" t="s">
        <v>14729</v>
      </c>
      <c r="N2191" t="s">
        <v>2874</v>
      </c>
      <c r="O2191" t="s">
        <v>111</v>
      </c>
      <c r="P2191" t="str">
        <f>"85307-2429"</f>
        <v>85307-2429</v>
      </c>
      <c r="Q2191" t="s">
        <v>113</v>
      </c>
      <c r="R2191" t="str">
        <f>"104-55-402"</f>
        <v>104-55-402</v>
      </c>
      <c r="S2191" t="s">
        <v>5368</v>
      </c>
      <c r="T2191" t="s">
        <v>5368</v>
      </c>
      <c r="U2191">
        <v>1905</v>
      </c>
      <c r="V2191">
        <v>0</v>
      </c>
      <c r="W2191">
        <v>3</v>
      </c>
      <c r="X2191">
        <v>2014</v>
      </c>
      <c r="Z2191">
        <v>1</v>
      </c>
      <c r="AB2191">
        <v>0</v>
      </c>
      <c r="AC2191" t="s">
        <v>115</v>
      </c>
      <c r="AD2191">
        <v>2</v>
      </c>
      <c r="AE2191" t="s">
        <v>115</v>
      </c>
      <c r="AF2191">
        <v>0</v>
      </c>
      <c r="AG2191">
        <v>0</v>
      </c>
      <c r="AH2191" t="s">
        <v>116</v>
      </c>
      <c r="AI2191" s="1">
        <v>61333</v>
      </c>
      <c r="AJ2191" s="2">
        <v>0.23</v>
      </c>
      <c r="AK2191" s="1">
        <v>263436</v>
      </c>
      <c r="AL2191" t="s">
        <v>117</v>
      </c>
      <c r="AM2191" t="s">
        <v>171</v>
      </c>
      <c r="AN2191">
        <v>6194</v>
      </c>
      <c r="AO2191">
        <v>0.14000000000000001</v>
      </c>
      <c r="AR2191">
        <v>1</v>
      </c>
      <c r="AS2191" s="1">
        <v>19220</v>
      </c>
      <c r="AT2191" s="1">
        <v>3840</v>
      </c>
      <c r="AU2191" s="1">
        <v>15380</v>
      </c>
      <c r="AV2191">
        <v>80.02</v>
      </c>
      <c r="AX2191" s="1">
        <v>1960.22</v>
      </c>
      <c r="AY2191" t="s">
        <v>5369</v>
      </c>
      <c r="AZ2191" t="s">
        <v>5370</v>
      </c>
      <c r="BA2191" t="s">
        <v>5371</v>
      </c>
      <c r="BB2191" s="3">
        <v>42929</v>
      </c>
      <c r="BD2191" t="s">
        <v>157</v>
      </c>
      <c r="BE2191" s="3">
        <v>41810</v>
      </c>
      <c r="BF2191" s="1">
        <v>197850</v>
      </c>
      <c r="BG2191" t="s">
        <v>2289</v>
      </c>
      <c r="BH2191" s="1">
        <v>103.86</v>
      </c>
      <c r="BI2191" s="1">
        <v>202103</v>
      </c>
      <c r="BJ2191" s="3">
        <v>41810</v>
      </c>
      <c r="BK2191" t="s">
        <v>123</v>
      </c>
      <c r="BL2191" t="str">
        <f>"2014.407531"</f>
        <v>2014.407531</v>
      </c>
      <c r="BM2191" t="s">
        <v>150</v>
      </c>
      <c r="BN2191" t="s">
        <v>1282</v>
      </c>
      <c r="BO2191" t="s">
        <v>14730</v>
      </c>
      <c r="BS2191">
        <v>30</v>
      </c>
      <c r="BW2191" t="str">
        <f>""</f>
        <v/>
      </c>
      <c r="CH2191" t="str">
        <f>""</f>
        <v/>
      </c>
      <c r="CS2191" t="str">
        <f>""</f>
        <v/>
      </c>
    </row>
    <row r="2192" spans="1:97" x14ac:dyDescent="0.25">
      <c r="A2192" t="s">
        <v>14731</v>
      </c>
      <c r="B2192" t="s">
        <v>2692</v>
      </c>
      <c r="C2192" t="s">
        <v>1959</v>
      </c>
      <c r="D2192" t="s">
        <v>2692</v>
      </c>
      <c r="E2192" t="s">
        <v>14732</v>
      </c>
      <c r="F2192" t="s">
        <v>108</v>
      </c>
      <c r="H2192" t="s">
        <v>14733</v>
      </c>
      <c r="I2192" t="s">
        <v>225</v>
      </c>
      <c r="J2192" t="s">
        <v>111</v>
      </c>
      <c r="K2192" t="str">
        <f>"85212"</f>
        <v>85212</v>
      </c>
      <c r="L2192" t="s">
        <v>681</v>
      </c>
      <c r="M2192" t="s">
        <v>14733</v>
      </c>
      <c r="N2192" t="s">
        <v>225</v>
      </c>
      <c r="O2192" t="s">
        <v>111</v>
      </c>
      <c r="P2192" t="str">
        <f>"85212-2384"</f>
        <v>85212-2384</v>
      </c>
      <c r="Q2192" t="s">
        <v>113</v>
      </c>
      <c r="R2192" t="str">
        <f>"309-19-140"</f>
        <v>309-19-140</v>
      </c>
      <c r="S2192" t="s">
        <v>14734</v>
      </c>
      <c r="U2192">
        <v>2665</v>
      </c>
      <c r="V2192">
        <v>0</v>
      </c>
      <c r="W2192">
        <v>4</v>
      </c>
      <c r="X2192">
        <v>2001</v>
      </c>
      <c r="Z2192">
        <v>2</v>
      </c>
      <c r="AA2192" t="s">
        <v>26</v>
      </c>
      <c r="AB2192">
        <v>0</v>
      </c>
      <c r="AC2192" t="s">
        <v>115</v>
      </c>
      <c r="AD2192">
        <v>2</v>
      </c>
      <c r="AE2192" t="s">
        <v>115</v>
      </c>
      <c r="AF2192">
        <v>0</v>
      </c>
      <c r="AG2192">
        <v>0</v>
      </c>
      <c r="AH2192" t="s">
        <v>116</v>
      </c>
      <c r="AI2192" s="1">
        <v>84213</v>
      </c>
      <c r="AJ2192" s="2">
        <v>0.22</v>
      </c>
      <c r="AK2192" s="1">
        <v>380829</v>
      </c>
      <c r="AL2192" t="s">
        <v>117</v>
      </c>
      <c r="AM2192" t="s">
        <v>191</v>
      </c>
      <c r="AN2192">
        <v>7835</v>
      </c>
      <c r="AO2192">
        <v>0.18</v>
      </c>
      <c r="AP2192">
        <v>1</v>
      </c>
      <c r="AR2192">
        <v>1</v>
      </c>
      <c r="AS2192" s="1">
        <v>26100</v>
      </c>
      <c r="AT2192" s="1">
        <v>5220</v>
      </c>
      <c r="AU2192" s="1">
        <v>20880</v>
      </c>
      <c r="AV2192">
        <v>80</v>
      </c>
      <c r="AX2192" s="1">
        <v>2289.6</v>
      </c>
      <c r="AY2192" t="s">
        <v>7302</v>
      </c>
      <c r="AZ2192" t="s">
        <v>777</v>
      </c>
      <c r="BA2192" t="s">
        <v>572</v>
      </c>
      <c r="BB2192" s="3">
        <v>42587</v>
      </c>
      <c r="BD2192" t="s">
        <v>458</v>
      </c>
      <c r="BE2192" s="3">
        <v>42199</v>
      </c>
      <c r="BF2192" s="1">
        <v>303000</v>
      </c>
      <c r="BG2192" t="s">
        <v>14735</v>
      </c>
      <c r="BH2192" s="1">
        <v>113.7</v>
      </c>
      <c r="BI2192" s="1">
        <v>296616</v>
      </c>
      <c r="BJ2192" s="3">
        <v>42587</v>
      </c>
      <c r="BK2192" t="s">
        <v>123</v>
      </c>
      <c r="BL2192" t="str">
        <f>"2016.556434"</f>
        <v>2016.556434</v>
      </c>
      <c r="BM2192" t="s">
        <v>402</v>
      </c>
      <c r="BO2192" t="s">
        <v>14736</v>
      </c>
      <c r="BS2192">
        <v>30</v>
      </c>
      <c r="BW2192" t="str">
        <f>""</f>
        <v/>
      </c>
      <c r="CH2192" t="str">
        <f>""</f>
        <v/>
      </c>
      <c r="CS2192" t="str">
        <f>""</f>
        <v/>
      </c>
    </row>
    <row r="2193" spans="1:97" x14ac:dyDescent="0.25">
      <c r="A2193" t="s">
        <v>370</v>
      </c>
      <c r="B2193" t="s">
        <v>14737</v>
      </c>
      <c r="C2193" t="s">
        <v>1047</v>
      </c>
      <c r="D2193" t="s">
        <v>14737</v>
      </c>
      <c r="E2193" t="s">
        <v>14738</v>
      </c>
      <c r="F2193" t="s">
        <v>108</v>
      </c>
      <c r="H2193" t="s">
        <v>14739</v>
      </c>
      <c r="I2193" t="s">
        <v>390</v>
      </c>
      <c r="J2193" t="s">
        <v>111</v>
      </c>
      <c r="K2193" t="str">
        <f>"85044"</f>
        <v>85044</v>
      </c>
      <c r="L2193" t="s">
        <v>11097</v>
      </c>
      <c r="M2193" t="s">
        <v>14739</v>
      </c>
      <c r="N2193" t="s">
        <v>390</v>
      </c>
      <c r="O2193" t="s">
        <v>111</v>
      </c>
      <c r="P2193" t="str">
        <f>"85044-6140"</f>
        <v>85044-6140</v>
      </c>
      <c r="Q2193" t="s">
        <v>113</v>
      </c>
      <c r="R2193" t="str">
        <f>"301-83-364"</f>
        <v>301-83-364</v>
      </c>
      <c r="S2193" t="s">
        <v>14740</v>
      </c>
      <c r="U2193">
        <v>1597</v>
      </c>
      <c r="V2193">
        <v>0</v>
      </c>
      <c r="W2193">
        <v>3</v>
      </c>
      <c r="X2193">
        <v>1987</v>
      </c>
      <c r="Z2193">
        <v>1</v>
      </c>
      <c r="AB2193">
        <v>0</v>
      </c>
      <c r="AC2193" t="s">
        <v>115</v>
      </c>
      <c r="AD2193">
        <v>2</v>
      </c>
      <c r="AE2193" t="s">
        <v>115</v>
      </c>
      <c r="AF2193">
        <v>0</v>
      </c>
      <c r="AG2193">
        <v>0</v>
      </c>
      <c r="AH2193" t="s">
        <v>116</v>
      </c>
      <c r="AI2193" s="1">
        <v>66265</v>
      </c>
      <c r="AJ2193" s="2">
        <v>0.21</v>
      </c>
      <c r="AK2193" s="1">
        <v>314034</v>
      </c>
      <c r="AL2193" t="s">
        <v>117</v>
      </c>
      <c r="AM2193" t="s">
        <v>191</v>
      </c>
      <c r="AN2193">
        <v>7353</v>
      </c>
      <c r="AO2193">
        <v>0.17</v>
      </c>
      <c r="AP2193">
        <v>1</v>
      </c>
      <c r="AR2193">
        <v>1</v>
      </c>
      <c r="AS2193" s="1">
        <v>22230</v>
      </c>
      <c r="AT2193" s="1">
        <v>4440</v>
      </c>
      <c r="AU2193" s="1">
        <v>17790</v>
      </c>
      <c r="AV2193">
        <v>80.03</v>
      </c>
      <c r="AX2193" s="1">
        <v>1996.1</v>
      </c>
      <c r="AY2193" t="s">
        <v>7418</v>
      </c>
      <c r="AZ2193" t="s">
        <v>7255</v>
      </c>
      <c r="BA2193" t="s">
        <v>5328</v>
      </c>
      <c r="BE2193" s="3">
        <v>42552</v>
      </c>
      <c r="BF2193" s="1">
        <v>242555</v>
      </c>
      <c r="BG2193" t="s">
        <v>14741</v>
      </c>
      <c r="BH2193" s="1">
        <v>151.88</v>
      </c>
      <c r="BI2193" s="1">
        <v>247769</v>
      </c>
      <c r="BJ2193" s="3">
        <v>42552</v>
      </c>
      <c r="BK2193" t="s">
        <v>123</v>
      </c>
      <c r="BL2193" t="str">
        <f>"2016.466281"</f>
        <v>2016.466281</v>
      </c>
      <c r="BM2193" t="s">
        <v>8916</v>
      </c>
      <c r="BO2193" t="s">
        <v>14742</v>
      </c>
      <c r="BS2193">
        <v>30</v>
      </c>
      <c r="BW2193" t="str">
        <f>""</f>
        <v/>
      </c>
      <c r="CH2193" t="str">
        <f>""</f>
        <v/>
      </c>
      <c r="CS2193" t="str">
        <f>""</f>
        <v/>
      </c>
    </row>
    <row r="2194" spans="1:97" x14ac:dyDescent="0.25">
      <c r="A2194" t="s">
        <v>2729</v>
      </c>
      <c r="B2194" t="s">
        <v>14743</v>
      </c>
      <c r="C2194" t="s">
        <v>13625</v>
      </c>
      <c r="D2194" t="s">
        <v>14743</v>
      </c>
      <c r="E2194" t="s">
        <v>14744</v>
      </c>
      <c r="F2194" t="s">
        <v>108</v>
      </c>
      <c r="H2194" t="s">
        <v>14745</v>
      </c>
      <c r="I2194" t="s">
        <v>390</v>
      </c>
      <c r="J2194" t="s">
        <v>111</v>
      </c>
      <c r="K2194" t="str">
        <f>"85044"</f>
        <v>85044</v>
      </c>
      <c r="L2194" t="s">
        <v>1518</v>
      </c>
      <c r="M2194" t="s">
        <v>14745</v>
      </c>
      <c r="N2194" t="s">
        <v>390</v>
      </c>
      <c r="O2194" t="s">
        <v>111</v>
      </c>
      <c r="P2194" t="str">
        <f>"85044-2115"</f>
        <v>85044-2115</v>
      </c>
      <c r="Q2194" t="s">
        <v>113</v>
      </c>
      <c r="R2194" t="str">
        <f>"301-55-063"</f>
        <v>301-55-063</v>
      </c>
      <c r="S2194" t="s">
        <v>14746</v>
      </c>
      <c r="U2194">
        <v>2147</v>
      </c>
      <c r="V2194">
        <v>0</v>
      </c>
      <c r="W2194">
        <v>2</v>
      </c>
      <c r="X2194">
        <v>1974</v>
      </c>
      <c r="Z2194">
        <v>1</v>
      </c>
      <c r="AB2194">
        <v>0</v>
      </c>
      <c r="AC2194" t="s">
        <v>115</v>
      </c>
      <c r="AD2194">
        <v>2</v>
      </c>
      <c r="AE2194" t="s">
        <v>115</v>
      </c>
      <c r="AF2194">
        <v>0</v>
      </c>
      <c r="AG2194">
        <v>0</v>
      </c>
      <c r="AH2194" t="s">
        <v>116</v>
      </c>
      <c r="AI2194" s="1">
        <v>114545</v>
      </c>
      <c r="AJ2194" s="2">
        <v>0.34</v>
      </c>
      <c r="AK2194" s="1">
        <v>333707</v>
      </c>
      <c r="AL2194" t="s">
        <v>117</v>
      </c>
      <c r="AM2194" t="s">
        <v>191</v>
      </c>
      <c r="AN2194">
        <v>9936</v>
      </c>
      <c r="AO2194">
        <v>0.23</v>
      </c>
      <c r="AP2194">
        <v>1</v>
      </c>
      <c r="AR2194">
        <v>1</v>
      </c>
      <c r="AS2194" s="1">
        <v>22360</v>
      </c>
      <c r="AT2194" s="1">
        <v>4470</v>
      </c>
      <c r="AU2194" s="1">
        <v>17890</v>
      </c>
      <c r="AV2194">
        <v>80.010000000000005</v>
      </c>
      <c r="AX2194" s="1">
        <v>1703.98</v>
      </c>
      <c r="AY2194" t="s">
        <v>11872</v>
      </c>
      <c r="AZ2194" t="s">
        <v>7255</v>
      </c>
      <c r="BA2194" t="s">
        <v>5328</v>
      </c>
      <c r="BE2194" s="3">
        <v>42304</v>
      </c>
      <c r="BF2194" s="1">
        <v>269900</v>
      </c>
      <c r="BG2194" t="s">
        <v>14747</v>
      </c>
      <c r="BH2194" s="1">
        <v>125.71</v>
      </c>
      <c r="BI2194" s="1">
        <v>219162</v>
      </c>
      <c r="BJ2194" s="3">
        <v>42662</v>
      </c>
      <c r="BK2194" t="s">
        <v>123</v>
      </c>
      <c r="BL2194" t="str">
        <f>"2016.765184"</f>
        <v>2016.765184</v>
      </c>
      <c r="BM2194" t="s">
        <v>1185</v>
      </c>
      <c r="BO2194" t="s">
        <v>14748</v>
      </c>
      <c r="BS2194">
        <v>30</v>
      </c>
      <c r="BW2194" t="str">
        <f>""</f>
        <v/>
      </c>
      <c r="CH2194" t="str">
        <f>""</f>
        <v/>
      </c>
      <c r="CS2194" t="str">
        <f>""</f>
        <v/>
      </c>
    </row>
    <row r="2195" spans="1:97" x14ac:dyDescent="0.25">
      <c r="A2195" t="s">
        <v>678</v>
      </c>
      <c r="B2195" t="s">
        <v>4774</v>
      </c>
      <c r="E2195" t="s">
        <v>14749</v>
      </c>
      <c r="F2195" t="s">
        <v>108</v>
      </c>
      <c r="H2195" t="s">
        <v>14750</v>
      </c>
      <c r="I2195" t="s">
        <v>225</v>
      </c>
      <c r="J2195" t="s">
        <v>111</v>
      </c>
      <c r="K2195" t="str">
        <f>"85202"</f>
        <v>85202</v>
      </c>
      <c r="L2195" t="s">
        <v>6333</v>
      </c>
      <c r="M2195" t="s">
        <v>14750</v>
      </c>
      <c r="N2195" t="s">
        <v>225</v>
      </c>
      <c r="O2195" t="s">
        <v>111</v>
      </c>
      <c r="P2195" t="str">
        <f>"85202-5808"</f>
        <v>85202-5808</v>
      </c>
      <c r="Q2195" t="s">
        <v>113</v>
      </c>
      <c r="R2195" t="str">
        <f>"305-02-678"</f>
        <v>305-02-678</v>
      </c>
      <c r="S2195" t="s">
        <v>14751</v>
      </c>
      <c r="T2195" t="s">
        <v>14669</v>
      </c>
      <c r="U2195">
        <v>2004</v>
      </c>
      <c r="V2195">
        <v>0</v>
      </c>
      <c r="W2195">
        <v>2</v>
      </c>
      <c r="X2195">
        <v>1979</v>
      </c>
      <c r="Z2195">
        <v>2</v>
      </c>
      <c r="AB2195">
        <v>0</v>
      </c>
      <c r="AC2195" t="s">
        <v>115</v>
      </c>
      <c r="AD2195">
        <v>2</v>
      </c>
      <c r="AE2195" t="s">
        <v>115</v>
      </c>
      <c r="AF2195">
        <v>0</v>
      </c>
      <c r="AG2195">
        <v>0</v>
      </c>
      <c r="AH2195" t="s">
        <v>116</v>
      </c>
      <c r="AI2195" s="1">
        <v>82374</v>
      </c>
      <c r="AJ2195" s="2">
        <v>0.26</v>
      </c>
      <c r="AK2195" s="1">
        <v>312020</v>
      </c>
      <c r="AL2195" t="s">
        <v>117</v>
      </c>
      <c r="AM2195" t="s">
        <v>191</v>
      </c>
      <c r="AN2195">
        <v>7083</v>
      </c>
      <c r="AO2195">
        <v>0.16</v>
      </c>
      <c r="AP2195">
        <v>1</v>
      </c>
      <c r="AR2195">
        <v>1</v>
      </c>
      <c r="AS2195" s="1">
        <v>20550</v>
      </c>
      <c r="AT2195" s="1">
        <v>4110</v>
      </c>
      <c r="AU2195" s="1">
        <v>16440</v>
      </c>
      <c r="AV2195">
        <v>80</v>
      </c>
      <c r="AX2195" s="1">
        <v>1494.22</v>
      </c>
      <c r="AY2195" t="s">
        <v>8619</v>
      </c>
      <c r="AZ2195" t="s">
        <v>7295</v>
      </c>
      <c r="BA2195" t="s">
        <v>5311</v>
      </c>
      <c r="BE2195" s="3">
        <v>41838</v>
      </c>
      <c r="BF2195" s="1">
        <v>224500</v>
      </c>
      <c r="BG2195" t="s">
        <v>14752</v>
      </c>
      <c r="BH2195" s="1">
        <v>112.03</v>
      </c>
      <c r="BI2195" s="1">
        <v>229646</v>
      </c>
      <c r="BJ2195" s="3">
        <v>41838</v>
      </c>
      <c r="BK2195" t="s">
        <v>123</v>
      </c>
      <c r="BL2195" t="str">
        <f>"2014.473366"</f>
        <v>2014.473366</v>
      </c>
      <c r="BM2195" t="s">
        <v>2094</v>
      </c>
      <c r="BO2195" t="s">
        <v>14753</v>
      </c>
      <c r="BS2195">
        <v>30</v>
      </c>
      <c r="BW2195" t="str">
        <f>""</f>
        <v/>
      </c>
      <c r="CH2195" t="str">
        <f>""</f>
        <v/>
      </c>
      <c r="CS2195" t="str">
        <f>""</f>
        <v/>
      </c>
    </row>
    <row r="2196" spans="1:97" x14ac:dyDescent="0.25">
      <c r="B2196" t="s">
        <v>14754</v>
      </c>
      <c r="E2196" t="s">
        <v>14755</v>
      </c>
      <c r="F2196" t="s">
        <v>108</v>
      </c>
      <c r="H2196" t="s">
        <v>14756</v>
      </c>
      <c r="I2196" t="s">
        <v>499</v>
      </c>
      <c r="J2196" t="s">
        <v>111</v>
      </c>
      <c r="K2196" t="str">
        <f>"85395"</f>
        <v>85395</v>
      </c>
      <c r="L2196" t="s">
        <v>3885</v>
      </c>
      <c r="M2196" t="s">
        <v>14756</v>
      </c>
      <c r="N2196" t="s">
        <v>499</v>
      </c>
      <c r="O2196" t="s">
        <v>111</v>
      </c>
      <c r="P2196" t="str">
        <f>"85395-8889"</f>
        <v>85395-8889</v>
      </c>
      <c r="Q2196" t="s">
        <v>113</v>
      </c>
      <c r="R2196" t="str">
        <f>"501-70-702"</f>
        <v>501-70-702</v>
      </c>
      <c r="S2196" t="s">
        <v>14757</v>
      </c>
      <c r="U2196">
        <v>1445</v>
      </c>
      <c r="V2196">
        <v>0</v>
      </c>
      <c r="W2196">
        <v>3</v>
      </c>
      <c r="X2196">
        <v>2000</v>
      </c>
      <c r="Z2196">
        <v>1</v>
      </c>
      <c r="AA2196" t="s">
        <v>26</v>
      </c>
      <c r="AB2196">
        <v>0</v>
      </c>
      <c r="AC2196" t="s">
        <v>115</v>
      </c>
      <c r="AD2196">
        <v>3</v>
      </c>
      <c r="AE2196" t="s">
        <v>115</v>
      </c>
      <c r="AF2196">
        <v>0</v>
      </c>
      <c r="AG2196">
        <v>0</v>
      </c>
      <c r="AH2196" t="s">
        <v>116</v>
      </c>
      <c r="AI2196" s="1">
        <v>35440</v>
      </c>
      <c r="AJ2196" s="2">
        <v>0.12</v>
      </c>
      <c r="AK2196" s="1">
        <v>298855</v>
      </c>
      <c r="AL2196" t="s">
        <v>117</v>
      </c>
      <c r="AM2196" t="s">
        <v>118</v>
      </c>
      <c r="AN2196">
        <v>5164</v>
      </c>
      <c r="AO2196">
        <v>0.12</v>
      </c>
      <c r="AP2196">
        <v>1</v>
      </c>
      <c r="AR2196">
        <v>1</v>
      </c>
      <c r="AS2196" s="1">
        <v>21220</v>
      </c>
      <c r="AT2196" s="1">
        <v>4240</v>
      </c>
      <c r="AU2196" s="1">
        <v>16980</v>
      </c>
      <c r="AV2196">
        <v>80.02</v>
      </c>
      <c r="AX2196" s="1">
        <v>2419.34</v>
      </c>
      <c r="AY2196" t="s">
        <v>3020</v>
      </c>
      <c r="AZ2196" t="s">
        <v>3020</v>
      </c>
      <c r="BA2196" t="s">
        <v>3154</v>
      </c>
      <c r="BB2196" s="3">
        <v>42676</v>
      </c>
      <c r="BD2196" t="s">
        <v>480</v>
      </c>
      <c r="BE2196" s="3">
        <v>42437</v>
      </c>
      <c r="BF2196" s="1">
        <v>255000</v>
      </c>
      <c r="BG2196" t="s">
        <v>14758</v>
      </c>
      <c r="BH2196" s="1">
        <v>176.47</v>
      </c>
      <c r="BI2196" s="1">
        <v>263415</v>
      </c>
      <c r="BJ2196" s="3">
        <v>42437</v>
      </c>
      <c r="BK2196" t="s">
        <v>123</v>
      </c>
      <c r="BL2196" t="str">
        <f>"2016.149399"</f>
        <v>2016.149399</v>
      </c>
      <c r="BM2196" t="s">
        <v>1544</v>
      </c>
      <c r="BO2196" t="s">
        <v>14759</v>
      </c>
      <c r="BS2196">
        <v>30</v>
      </c>
      <c r="BW2196" t="str">
        <f>""</f>
        <v/>
      </c>
      <c r="CH2196" t="str">
        <f>""</f>
        <v/>
      </c>
      <c r="CS2196" t="str">
        <f>""</f>
        <v/>
      </c>
    </row>
    <row r="2197" spans="1:97" x14ac:dyDescent="0.25">
      <c r="A2197" t="s">
        <v>1040</v>
      </c>
      <c r="B2197" t="s">
        <v>14760</v>
      </c>
      <c r="C2197" t="s">
        <v>14761</v>
      </c>
      <c r="D2197" t="s">
        <v>14762</v>
      </c>
      <c r="E2197" t="s">
        <v>14763</v>
      </c>
      <c r="F2197" t="s">
        <v>108</v>
      </c>
      <c r="H2197" t="s">
        <v>14764</v>
      </c>
      <c r="I2197" t="s">
        <v>110</v>
      </c>
      <c r="J2197" t="s">
        <v>111</v>
      </c>
      <c r="K2197" t="str">
        <f>"85286"</f>
        <v>85286</v>
      </c>
      <c r="L2197" t="s">
        <v>1796</v>
      </c>
      <c r="M2197" t="s">
        <v>14764</v>
      </c>
      <c r="N2197" t="s">
        <v>110</v>
      </c>
      <c r="O2197" t="s">
        <v>111</v>
      </c>
      <c r="P2197" t="str">
        <f>"85286-7909"</f>
        <v>85286-7909</v>
      </c>
      <c r="Q2197" t="s">
        <v>113</v>
      </c>
      <c r="R2197" t="str">
        <f>"303-36-044"</f>
        <v>303-36-044</v>
      </c>
      <c r="S2197" t="s">
        <v>14765</v>
      </c>
      <c r="U2197">
        <v>1840</v>
      </c>
      <c r="V2197">
        <v>0</v>
      </c>
      <c r="W2197">
        <v>4</v>
      </c>
      <c r="X2197">
        <v>1996</v>
      </c>
      <c r="Z2197">
        <v>2</v>
      </c>
      <c r="AA2197" t="s">
        <v>26</v>
      </c>
      <c r="AB2197">
        <v>0</v>
      </c>
      <c r="AC2197" t="s">
        <v>115</v>
      </c>
      <c r="AD2197">
        <v>2</v>
      </c>
      <c r="AE2197" t="s">
        <v>115</v>
      </c>
      <c r="AF2197">
        <v>0</v>
      </c>
      <c r="AG2197">
        <v>0</v>
      </c>
      <c r="AH2197" t="s">
        <v>116</v>
      </c>
      <c r="AI2197" s="1">
        <v>140084</v>
      </c>
      <c r="AJ2197" s="2">
        <v>0.4</v>
      </c>
      <c r="AK2197" s="1">
        <v>347084</v>
      </c>
      <c r="AL2197" t="s">
        <v>117</v>
      </c>
      <c r="AM2197" t="s">
        <v>118</v>
      </c>
      <c r="AN2197">
        <v>6072</v>
      </c>
      <c r="AO2197">
        <v>0.14000000000000001</v>
      </c>
      <c r="AP2197">
        <v>1</v>
      </c>
      <c r="AR2197">
        <v>1</v>
      </c>
      <c r="AS2197" s="1">
        <v>24630</v>
      </c>
      <c r="AT2197" s="1">
        <v>4920</v>
      </c>
      <c r="AU2197" s="1">
        <v>19710</v>
      </c>
      <c r="AV2197">
        <v>80.02</v>
      </c>
      <c r="AX2197" s="1">
        <v>2425.2399999999998</v>
      </c>
      <c r="AY2197" t="s">
        <v>10718</v>
      </c>
      <c r="AZ2197" t="s">
        <v>1882</v>
      </c>
      <c r="BA2197" t="s">
        <v>121</v>
      </c>
      <c r="BE2197" s="3">
        <v>41997</v>
      </c>
      <c r="BF2197" s="1">
        <v>248000</v>
      </c>
      <c r="BG2197" t="s">
        <v>14766</v>
      </c>
      <c r="BH2197" s="1">
        <v>134.78</v>
      </c>
      <c r="BI2197" s="1">
        <v>207000</v>
      </c>
      <c r="BJ2197" s="3">
        <v>41997</v>
      </c>
      <c r="BK2197" t="s">
        <v>123</v>
      </c>
      <c r="BL2197" t="str">
        <f>"2014.848943"</f>
        <v>2014.848943</v>
      </c>
      <c r="BM2197" t="s">
        <v>3562</v>
      </c>
      <c r="BO2197" t="s">
        <v>14767</v>
      </c>
      <c r="BP2197" t="s">
        <v>14768</v>
      </c>
      <c r="BS2197">
        <v>30</v>
      </c>
      <c r="BW2197" t="str">
        <f>""</f>
        <v/>
      </c>
      <c r="CH2197" t="str">
        <f>""</f>
        <v/>
      </c>
      <c r="CS2197" t="str">
        <f>""</f>
        <v/>
      </c>
    </row>
    <row r="2198" spans="1:97" x14ac:dyDescent="0.25">
      <c r="A2198" t="s">
        <v>14769</v>
      </c>
      <c r="B2198" t="s">
        <v>14770</v>
      </c>
      <c r="E2198" t="s">
        <v>14771</v>
      </c>
      <c r="F2198" t="s">
        <v>108</v>
      </c>
      <c r="H2198" t="s">
        <v>14772</v>
      </c>
      <c r="I2198" t="s">
        <v>499</v>
      </c>
      <c r="J2198" t="s">
        <v>111</v>
      </c>
      <c r="K2198" t="str">
        <f>"85395"</f>
        <v>85395</v>
      </c>
      <c r="L2198" t="s">
        <v>7005</v>
      </c>
      <c r="M2198" t="s">
        <v>14772</v>
      </c>
      <c r="N2198" t="s">
        <v>499</v>
      </c>
      <c r="O2198" t="s">
        <v>111</v>
      </c>
      <c r="P2198" t="str">
        <f>"85395-8499"</f>
        <v>85395-8499</v>
      </c>
      <c r="Q2198" t="s">
        <v>113</v>
      </c>
      <c r="R2198" t="str">
        <f>"508-14-317"</f>
        <v>508-14-317</v>
      </c>
      <c r="S2198" t="s">
        <v>14773</v>
      </c>
      <c r="T2198" t="s">
        <v>14774</v>
      </c>
      <c r="U2198">
        <v>1870</v>
      </c>
      <c r="V2198">
        <v>0</v>
      </c>
      <c r="W2198">
        <v>3</v>
      </c>
      <c r="X2198">
        <v>2006</v>
      </c>
      <c r="Z2198">
        <v>1</v>
      </c>
      <c r="AB2198">
        <v>0</v>
      </c>
      <c r="AC2198" t="s">
        <v>115</v>
      </c>
      <c r="AD2198">
        <v>2</v>
      </c>
      <c r="AE2198" t="s">
        <v>115</v>
      </c>
      <c r="AF2198">
        <v>0</v>
      </c>
      <c r="AG2198">
        <v>0</v>
      </c>
      <c r="AH2198" t="s">
        <v>116</v>
      </c>
      <c r="AI2198" s="1">
        <v>52090</v>
      </c>
      <c r="AJ2198" s="2">
        <v>0.18</v>
      </c>
      <c r="AK2198" s="1">
        <v>287154</v>
      </c>
      <c r="AL2198" t="s">
        <v>117</v>
      </c>
      <c r="AM2198" t="s">
        <v>118</v>
      </c>
      <c r="AN2198">
        <v>8543</v>
      </c>
      <c r="AO2198">
        <v>0.2</v>
      </c>
      <c r="AR2198">
        <v>1</v>
      </c>
      <c r="AS2198" s="1">
        <v>19950</v>
      </c>
      <c r="AT2198" s="1">
        <v>3990</v>
      </c>
      <c r="AU2198" s="1">
        <v>15960</v>
      </c>
      <c r="AV2198">
        <v>80</v>
      </c>
      <c r="AX2198" s="1">
        <v>1735.42</v>
      </c>
      <c r="AY2198" t="s">
        <v>3020</v>
      </c>
      <c r="AZ2198" t="s">
        <v>3020</v>
      </c>
      <c r="BA2198" t="s">
        <v>7186</v>
      </c>
      <c r="BE2198" s="3">
        <v>42492</v>
      </c>
      <c r="BF2198" s="1">
        <v>231000</v>
      </c>
      <c r="BG2198" t="s">
        <v>14775</v>
      </c>
      <c r="BH2198" s="1">
        <v>123.53</v>
      </c>
      <c r="BI2198" s="1">
        <v>235064</v>
      </c>
      <c r="BJ2198" s="3">
        <v>42492</v>
      </c>
      <c r="BK2198" t="s">
        <v>123</v>
      </c>
      <c r="BL2198" t="str">
        <f>"2016.297596"</f>
        <v>2016.297596</v>
      </c>
      <c r="BM2198" t="s">
        <v>14776</v>
      </c>
      <c r="BO2198" t="s">
        <v>14777</v>
      </c>
      <c r="BS2198">
        <v>30</v>
      </c>
      <c r="BW2198" t="str">
        <f>""</f>
        <v/>
      </c>
      <c r="CH2198" t="str">
        <f>""</f>
        <v/>
      </c>
      <c r="CS2198" t="str">
        <f>""</f>
        <v/>
      </c>
    </row>
    <row r="2199" spans="1:97" x14ac:dyDescent="0.25">
      <c r="A2199" t="s">
        <v>14778</v>
      </c>
      <c r="B2199" t="s">
        <v>14779</v>
      </c>
      <c r="C2199" t="s">
        <v>5120</v>
      </c>
      <c r="D2199" t="s">
        <v>14779</v>
      </c>
      <c r="E2199" t="s">
        <v>14780</v>
      </c>
      <c r="F2199" t="s">
        <v>108</v>
      </c>
      <c r="H2199" t="s">
        <v>14781</v>
      </c>
      <c r="I2199" t="s">
        <v>632</v>
      </c>
      <c r="J2199" t="s">
        <v>111</v>
      </c>
      <c r="K2199" t="str">
        <f>"85379"</f>
        <v>85379</v>
      </c>
      <c r="L2199" t="s">
        <v>5058</v>
      </c>
      <c r="M2199" t="s">
        <v>14781</v>
      </c>
      <c r="N2199" t="s">
        <v>632</v>
      </c>
      <c r="O2199" t="s">
        <v>111</v>
      </c>
      <c r="P2199" t="str">
        <f>"85379-1178"</f>
        <v>85379-1178</v>
      </c>
      <c r="Q2199" t="s">
        <v>113</v>
      </c>
      <c r="R2199" t="str">
        <f>"501-79-448"</f>
        <v>501-79-448</v>
      </c>
      <c r="S2199" t="s">
        <v>5059</v>
      </c>
      <c r="U2199">
        <v>1902</v>
      </c>
      <c r="V2199">
        <v>0</v>
      </c>
      <c r="W2199">
        <v>3</v>
      </c>
      <c r="X2199">
        <v>2015</v>
      </c>
      <c r="Z2199">
        <v>1</v>
      </c>
      <c r="AA2199" t="s">
        <v>26</v>
      </c>
      <c r="AB2199">
        <v>0</v>
      </c>
      <c r="AC2199" t="s">
        <v>115</v>
      </c>
      <c r="AD2199">
        <v>2</v>
      </c>
      <c r="AE2199" t="s">
        <v>115</v>
      </c>
      <c r="AF2199">
        <v>0</v>
      </c>
      <c r="AG2199">
        <v>0</v>
      </c>
      <c r="AH2199" t="s">
        <v>116</v>
      </c>
      <c r="AI2199" s="1">
        <v>-3861</v>
      </c>
      <c r="AJ2199" s="2">
        <v>-0.01</v>
      </c>
      <c r="AK2199" s="1">
        <v>320277</v>
      </c>
      <c r="AL2199" t="s">
        <v>117</v>
      </c>
      <c r="AM2199" t="s">
        <v>118</v>
      </c>
      <c r="AN2199">
        <v>7197</v>
      </c>
      <c r="AO2199">
        <v>0.16</v>
      </c>
      <c r="AR2199">
        <v>1</v>
      </c>
      <c r="AS2199" s="1">
        <v>24170</v>
      </c>
      <c r="AT2199" s="1">
        <v>4830</v>
      </c>
      <c r="AU2199" s="1">
        <v>19340</v>
      </c>
      <c r="AV2199">
        <v>80.02</v>
      </c>
      <c r="AX2199" s="1">
        <v>1819.44</v>
      </c>
      <c r="AY2199" t="s">
        <v>5060</v>
      </c>
      <c r="AZ2199" t="s">
        <v>5060</v>
      </c>
      <c r="BA2199" t="s">
        <v>5061</v>
      </c>
      <c r="BB2199" s="3">
        <v>42272</v>
      </c>
      <c r="BD2199" t="s">
        <v>842</v>
      </c>
      <c r="BE2199" s="3">
        <v>42272</v>
      </c>
      <c r="BF2199" s="1">
        <v>253368</v>
      </c>
      <c r="BG2199" t="s">
        <v>292</v>
      </c>
      <c r="BH2199" s="1">
        <v>133.21</v>
      </c>
      <c r="BI2199" s="1">
        <v>258544</v>
      </c>
      <c r="BJ2199" s="3">
        <v>42272</v>
      </c>
      <c r="BK2199" t="s">
        <v>123</v>
      </c>
      <c r="BL2199" t="str">
        <f>"2015.690647"</f>
        <v>2015.690647</v>
      </c>
      <c r="BM2199" t="s">
        <v>3453</v>
      </c>
      <c r="BO2199" t="s">
        <v>14782</v>
      </c>
      <c r="BS2199">
        <v>30</v>
      </c>
      <c r="BT2199" s="1">
        <v>65594</v>
      </c>
      <c r="BU2199" s="3">
        <v>43011</v>
      </c>
      <c r="BW2199" t="str">
        <f>"2017.730599"</f>
        <v>2017.730599</v>
      </c>
      <c r="BX2199" t="s">
        <v>198</v>
      </c>
      <c r="BZ2199" t="s">
        <v>14783</v>
      </c>
      <c r="CA2199" t="s">
        <v>14784</v>
      </c>
      <c r="CD2199">
        <v>15</v>
      </c>
      <c r="CH2199" t="str">
        <f>""</f>
        <v/>
      </c>
      <c r="CS2199" t="str">
        <f>""</f>
        <v/>
      </c>
    </row>
    <row r="2200" spans="1:97" x14ac:dyDescent="0.25">
      <c r="A2200" t="s">
        <v>1963</v>
      </c>
      <c r="B2200" t="s">
        <v>14785</v>
      </c>
      <c r="C2200" t="s">
        <v>970</v>
      </c>
      <c r="D2200" t="s">
        <v>14785</v>
      </c>
      <c r="E2200" t="s">
        <v>14786</v>
      </c>
      <c r="F2200" t="s">
        <v>108</v>
      </c>
      <c r="H2200" t="s">
        <v>14787</v>
      </c>
      <c r="I2200" t="s">
        <v>499</v>
      </c>
      <c r="J2200" t="s">
        <v>111</v>
      </c>
      <c r="K2200" t="str">
        <f>"85338"</f>
        <v>85338</v>
      </c>
      <c r="L2200" t="s">
        <v>6431</v>
      </c>
      <c r="M2200" t="s">
        <v>14787</v>
      </c>
      <c r="N2200" t="s">
        <v>499</v>
      </c>
      <c r="O2200" t="s">
        <v>111</v>
      </c>
      <c r="P2200" t="str">
        <f>"85338-7313"</f>
        <v>85338-7313</v>
      </c>
      <c r="Q2200" t="s">
        <v>113</v>
      </c>
      <c r="R2200" t="str">
        <f>"500-96-928"</f>
        <v>500-96-928</v>
      </c>
      <c r="S2200" t="s">
        <v>14788</v>
      </c>
      <c r="U2200">
        <v>2431</v>
      </c>
      <c r="V2200">
        <v>0</v>
      </c>
      <c r="W2200">
        <v>4</v>
      </c>
      <c r="X2200">
        <v>2008</v>
      </c>
      <c r="Z2200">
        <v>1</v>
      </c>
      <c r="AA2200" t="s">
        <v>26</v>
      </c>
      <c r="AB2200">
        <v>0</v>
      </c>
      <c r="AC2200" t="s">
        <v>115</v>
      </c>
      <c r="AD2200">
        <v>3</v>
      </c>
      <c r="AE2200" t="s">
        <v>115</v>
      </c>
      <c r="AF2200">
        <v>0</v>
      </c>
      <c r="AG2200">
        <v>0</v>
      </c>
      <c r="AH2200" t="s">
        <v>116</v>
      </c>
      <c r="AI2200" s="1">
        <v>13611</v>
      </c>
      <c r="AJ2200" s="2">
        <v>0.04</v>
      </c>
      <c r="AK2200" s="1">
        <v>332488</v>
      </c>
      <c r="AL2200" t="s">
        <v>117</v>
      </c>
      <c r="AM2200" t="s">
        <v>118</v>
      </c>
      <c r="AN2200">
        <v>8881</v>
      </c>
      <c r="AO2200">
        <v>0.2</v>
      </c>
      <c r="AR2200">
        <v>1</v>
      </c>
      <c r="AS2200" s="1">
        <v>24170</v>
      </c>
      <c r="AT2200" s="1">
        <v>4830</v>
      </c>
      <c r="AU2200" s="1">
        <v>19340</v>
      </c>
      <c r="AV2200">
        <v>80.02</v>
      </c>
      <c r="AX2200" s="1">
        <v>2326.34</v>
      </c>
      <c r="AY2200" t="s">
        <v>6319</v>
      </c>
      <c r="AZ2200" t="s">
        <v>6319</v>
      </c>
      <c r="BA2200" t="s">
        <v>218</v>
      </c>
      <c r="BE2200" s="3">
        <v>42487</v>
      </c>
      <c r="BF2200" s="1">
        <v>269000</v>
      </c>
      <c r="BG2200" t="s">
        <v>14789</v>
      </c>
      <c r="BH2200" s="1">
        <v>110.65</v>
      </c>
      <c r="BI2200" s="1">
        <v>277877</v>
      </c>
      <c r="BJ2200" s="3">
        <v>42487</v>
      </c>
      <c r="BK2200" t="s">
        <v>123</v>
      </c>
      <c r="BL2200" t="str">
        <f>"2016.283664"</f>
        <v>2016.283664</v>
      </c>
      <c r="BM2200" t="s">
        <v>7129</v>
      </c>
      <c r="BO2200" t="s">
        <v>14790</v>
      </c>
      <c r="BS2200">
        <v>30</v>
      </c>
      <c r="BT2200" s="1">
        <v>41000</v>
      </c>
      <c r="BU2200" s="3">
        <v>42768</v>
      </c>
      <c r="BV2200" t="s">
        <v>134</v>
      </c>
      <c r="BW2200" t="str">
        <f>"2017.82967"</f>
        <v>2017.82967</v>
      </c>
      <c r="BX2200" t="s">
        <v>3843</v>
      </c>
      <c r="BZ2200" t="s">
        <v>14791</v>
      </c>
      <c r="CD2200">
        <v>25</v>
      </c>
      <c r="CH2200" t="str">
        <f>""</f>
        <v/>
      </c>
      <c r="CS2200" t="str">
        <f>""</f>
        <v/>
      </c>
    </row>
    <row r="2201" spans="1:97" x14ac:dyDescent="0.25">
      <c r="A2201" t="s">
        <v>14792</v>
      </c>
      <c r="B2201" t="s">
        <v>14793</v>
      </c>
      <c r="C2201" t="s">
        <v>962</v>
      </c>
      <c r="D2201" t="s">
        <v>14793</v>
      </c>
      <c r="E2201" t="s">
        <v>14794</v>
      </c>
      <c r="F2201" t="s">
        <v>108</v>
      </c>
      <c r="H2201" t="s">
        <v>14795</v>
      </c>
      <c r="I2201" t="s">
        <v>5114</v>
      </c>
      <c r="J2201" t="s">
        <v>111</v>
      </c>
      <c r="K2201" t="str">
        <f>"85392"</f>
        <v>85392</v>
      </c>
      <c r="L2201" t="s">
        <v>6333</v>
      </c>
      <c r="M2201" t="s">
        <v>14795</v>
      </c>
      <c r="N2201" t="s">
        <v>5114</v>
      </c>
      <c r="O2201" t="s">
        <v>111</v>
      </c>
      <c r="P2201" t="str">
        <f>"85392-6371"</f>
        <v>85392-6371</v>
      </c>
      <c r="Q2201" t="s">
        <v>113</v>
      </c>
      <c r="R2201" t="str">
        <f>"501-72-112"</f>
        <v>501-72-112</v>
      </c>
      <c r="S2201" t="s">
        <v>11216</v>
      </c>
      <c r="T2201" t="s">
        <v>11217</v>
      </c>
      <c r="U2201">
        <v>2406</v>
      </c>
      <c r="V2201">
        <v>0</v>
      </c>
      <c r="W2201">
        <v>4</v>
      </c>
      <c r="X2201">
        <v>2001</v>
      </c>
      <c r="Z2201">
        <v>2</v>
      </c>
      <c r="AB2201">
        <v>0</v>
      </c>
      <c r="AC2201" t="s">
        <v>115</v>
      </c>
      <c r="AD2201">
        <v>2</v>
      </c>
      <c r="AE2201" t="s">
        <v>115</v>
      </c>
      <c r="AF2201">
        <v>0</v>
      </c>
      <c r="AG2201">
        <v>0</v>
      </c>
      <c r="AH2201" t="s">
        <v>116</v>
      </c>
      <c r="AI2201" s="1">
        <v>40325</v>
      </c>
      <c r="AJ2201" s="2">
        <v>0.14000000000000001</v>
      </c>
      <c r="AK2201" s="1">
        <v>284113</v>
      </c>
      <c r="AL2201" t="s">
        <v>117</v>
      </c>
      <c r="AM2201" t="s">
        <v>118</v>
      </c>
      <c r="AN2201">
        <v>6440</v>
      </c>
      <c r="AO2201">
        <v>0.15</v>
      </c>
      <c r="AP2201">
        <v>1</v>
      </c>
      <c r="AR2201">
        <v>1</v>
      </c>
      <c r="AS2201" s="1">
        <v>19960</v>
      </c>
      <c r="AT2201" s="1">
        <v>3990</v>
      </c>
      <c r="AU2201" s="1">
        <v>15970</v>
      </c>
      <c r="AV2201">
        <v>80.010000000000005</v>
      </c>
      <c r="AX2201" s="1">
        <v>1539.48</v>
      </c>
      <c r="AY2201" t="s">
        <v>6700</v>
      </c>
      <c r="AZ2201" t="s">
        <v>6701</v>
      </c>
      <c r="BA2201" t="s">
        <v>6702</v>
      </c>
      <c r="BE2201" s="3">
        <v>42187</v>
      </c>
      <c r="BF2201" s="1">
        <v>192000</v>
      </c>
      <c r="BG2201" t="s">
        <v>14796</v>
      </c>
      <c r="BH2201" s="1">
        <v>79.8</v>
      </c>
      <c r="BI2201" s="1">
        <v>243788</v>
      </c>
      <c r="BJ2201" s="3">
        <v>43124</v>
      </c>
      <c r="BK2201" t="s">
        <v>123</v>
      </c>
      <c r="BL2201" t="str">
        <f>"2018.56530"</f>
        <v>2018.56530</v>
      </c>
      <c r="BM2201" t="s">
        <v>1038</v>
      </c>
      <c r="BN2201" t="s">
        <v>1624</v>
      </c>
      <c r="BO2201" t="s">
        <v>14797</v>
      </c>
      <c r="BP2201" t="s">
        <v>14798</v>
      </c>
      <c r="BR2201" t="s">
        <v>139</v>
      </c>
      <c r="BW2201" t="str">
        <f>""</f>
        <v/>
      </c>
      <c r="CH2201" t="str">
        <f>""</f>
        <v/>
      </c>
      <c r="CS2201" t="str">
        <f>""</f>
        <v/>
      </c>
    </row>
    <row r="2202" spans="1:97" x14ac:dyDescent="0.25">
      <c r="A2202" t="s">
        <v>14799</v>
      </c>
      <c r="B2202" t="s">
        <v>5356</v>
      </c>
      <c r="C2202" t="s">
        <v>14800</v>
      </c>
      <c r="D2202" t="s">
        <v>5356</v>
      </c>
      <c r="E2202" t="s">
        <v>14801</v>
      </c>
      <c r="F2202" t="s">
        <v>108</v>
      </c>
      <c r="H2202" t="s">
        <v>14802</v>
      </c>
      <c r="I2202" t="s">
        <v>390</v>
      </c>
      <c r="J2202" t="s">
        <v>111</v>
      </c>
      <c r="K2202" t="str">
        <f>"85006"</f>
        <v>85006</v>
      </c>
      <c r="L2202" t="s">
        <v>2547</v>
      </c>
      <c r="M2202" t="s">
        <v>14802</v>
      </c>
      <c r="N2202" t="s">
        <v>390</v>
      </c>
      <c r="O2202" t="s">
        <v>111</v>
      </c>
      <c r="P2202" t="str">
        <f>"85006-1133"</f>
        <v>85006-1133</v>
      </c>
      <c r="Q2202" t="s">
        <v>113</v>
      </c>
      <c r="R2202" t="str">
        <f>"117-22-165"</f>
        <v>117-22-165</v>
      </c>
      <c r="S2202" t="s">
        <v>14803</v>
      </c>
      <c r="T2202" t="s">
        <v>14803</v>
      </c>
      <c r="U2202">
        <v>1250</v>
      </c>
      <c r="V2202">
        <v>0</v>
      </c>
      <c r="W2202">
        <v>2</v>
      </c>
      <c r="X2202">
        <v>1945</v>
      </c>
      <c r="Z2202">
        <v>1</v>
      </c>
      <c r="AA2202" t="s">
        <v>26</v>
      </c>
      <c r="AB2202">
        <v>0</v>
      </c>
      <c r="AC2202" t="s">
        <v>7038</v>
      </c>
      <c r="AD2202">
        <v>0</v>
      </c>
      <c r="AE2202" t="s">
        <v>7038</v>
      </c>
      <c r="AF2202">
        <v>0</v>
      </c>
      <c r="AG2202">
        <v>0</v>
      </c>
      <c r="AH2202" t="s">
        <v>116</v>
      </c>
      <c r="AI2202" s="1">
        <v>34762</v>
      </c>
      <c r="AJ2202" s="2">
        <v>0.09</v>
      </c>
      <c r="AK2202" s="1">
        <v>407609</v>
      </c>
      <c r="AL2202" t="s">
        <v>117</v>
      </c>
      <c r="AM2202" t="s">
        <v>191</v>
      </c>
      <c r="AN2202">
        <v>7858</v>
      </c>
      <c r="AO2202">
        <v>0.18</v>
      </c>
      <c r="AP2202">
        <v>1</v>
      </c>
      <c r="AR2202">
        <v>1</v>
      </c>
      <c r="AS2202" s="1">
        <v>29300</v>
      </c>
      <c r="AT2202" s="1">
        <v>5860</v>
      </c>
      <c r="AU2202" s="1">
        <v>23440</v>
      </c>
      <c r="AV2202">
        <v>80</v>
      </c>
      <c r="AX2202" s="1">
        <v>2961.82</v>
      </c>
      <c r="AY2202" t="s">
        <v>8411</v>
      </c>
      <c r="AZ2202" t="s">
        <v>8411</v>
      </c>
      <c r="BA2202" t="s">
        <v>8412</v>
      </c>
      <c r="BE2202" s="3">
        <v>42515</v>
      </c>
      <c r="BF2202" s="1">
        <v>365000</v>
      </c>
      <c r="BG2202" t="s">
        <v>14804</v>
      </c>
      <c r="BH2202" s="1">
        <v>292</v>
      </c>
      <c r="BI2202" s="1">
        <v>372847</v>
      </c>
      <c r="BJ2202" s="3">
        <v>42515</v>
      </c>
      <c r="BK2202" t="s">
        <v>123</v>
      </c>
      <c r="BL2202" t="str">
        <f>"2016.359906"</f>
        <v>2016.359906</v>
      </c>
      <c r="BM2202" t="s">
        <v>709</v>
      </c>
      <c r="BO2202" t="s">
        <v>14805</v>
      </c>
      <c r="BS2202">
        <v>30</v>
      </c>
      <c r="BW2202" t="str">
        <f>""</f>
        <v/>
      </c>
      <c r="CH2202" t="str">
        <f>""</f>
        <v/>
      </c>
      <c r="CS2202" t="str">
        <f>""</f>
        <v/>
      </c>
    </row>
    <row r="2203" spans="1:97" x14ac:dyDescent="0.25">
      <c r="A2203" t="s">
        <v>1109</v>
      </c>
      <c r="B2203" t="s">
        <v>12068</v>
      </c>
      <c r="E2203" t="s">
        <v>14806</v>
      </c>
      <c r="F2203" t="s">
        <v>108</v>
      </c>
      <c r="H2203" t="s">
        <v>14807</v>
      </c>
      <c r="I2203" t="s">
        <v>167</v>
      </c>
      <c r="J2203" t="s">
        <v>111</v>
      </c>
      <c r="K2203" t="str">
        <f>"85339"</f>
        <v>85339</v>
      </c>
      <c r="L2203" t="s">
        <v>1789</v>
      </c>
      <c r="M2203" t="s">
        <v>14807</v>
      </c>
      <c r="N2203" t="s">
        <v>167</v>
      </c>
      <c r="O2203" t="s">
        <v>111</v>
      </c>
      <c r="P2203" t="str">
        <f>"85339-9774"</f>
        <v>85339-9774</v>
      </c>
      <c r="Q2203" t="s">
        <v>113</v>
      </c>
      <c r="R2203" t="str">
        <f>"104-85-127"</f>
        <v>104-85-127</v>
      </c>
      <c r="S2203" t="s">
        <v>14808</v>
      </c>
      <c r="T2203" t="s">
        <v>14809</v>
      </c>
      <c r="U2203">
        <v>2416</v>
      </c>
      <c r="V2203">
        <v>0</v>
      </c>
      <c r="W2203">
        <v>3</v>
      </c>
      <c r="X2203">
        <v>1974</v>
      </c>
      <c r="Z2203">
        <v>1</v>
      </c>
      <c r="AB2203">
        <v>0</v>
      </c>
      <c r="AC2203" t="s">
        <v>7038</v>
      </c>
      <c r="AD2203">
        <v>0</v>
      </c>
      <c r="AE2203" t="s">
        <v>7038</v>
      </c>
      <c r="AF2203">
        <v>0</v>
      </c>
      <c r="AG2203">
        <v>0</v>
      </c>
      <c r="AH2203" t="s">
        <v>116</v>
      </c>
      <c r="AI2203" s="1">
        <v>102997</v>
      </c>
      <c r="AJ2203" s="2">
        <v>0.3</v>
      </c>
      <c r="AK2203" s="1">
        <v>345752</v>
      </c>
      <c r="AL2203" t="s">
        <v>117</v>
      </c>
      <c r="AM2203" t="s">
        <v>376</v>
      </c>
      <c r="AN2203">
        <v>44658</v>
      </c>
      <c r="AO2203">
        <v>1.02</v>
      </c>
      <c r="AP2203">
        <v>1</v>
      </c>
      <c r="AR2203">
        <v>1</v>
      </c>
      <c r="AS2203" s="1">
        <v>25450</v>
      </c>
      <c r="AT2203" s="1">
        <v>5090</v>
      </c>
      <c r="AU2203" s="1">
        <v>20360</v>
      </c>
      <c r="AV2203">
        <v>80</v>
      </c>
      <c r="AX2203" s="1">
        <v>2160.2600000000002</v>
      </c>
      <c r="AY2203" t="s">
        <v>5532</v>
      </c>
      <c r="AZ2203" t="s">
        <v>5532</v>
      </c>
      <c r="BA2203" t="s">
        <v>173</v>
      </c>
      <c r="BE2203" s="3">
        <v>41743</v>
      </c>
      <c r="BF2203" s="1">
        <v>235000</v>
      </c>
      <c r="BG2203" t="s">
        <v>14810</v>
      </c>
      <c r="BH2203" s="1">
        <v>97.27</v>
      </c>
      <c r="BI2203" s="1">
        <v>242755</v>
      </c>
      <c r="BJ2203" s="3">
        <v>41743</v>
      </c>
      <c r="BK2203" t="s">
        <v>123</v>
      </c>
      <c r="BL2203" t="str">
        <f>"2014.239406"</f>
        <v>2014.239406</v>
      </c>
      <c r="BM2203" t="s">
        <v>8340</v>
      </c>
      <c r="BO2203" t="s">
        <v>14811</v>
      </c>
      <c r="BS2203">
        <v>30</v>
      </c>
      <c r="BW2203" t="str">
        <f>""</f>
        <v/>
      </c>
      <c r="CH2203" t="str">
        <f>""</f>
        <v/>
      </c>
      <c r="CS2203" t="str">
        <f>""</f>
        <v/>
      </c>
    </row>
    <row r="2204" spans="1:97" x14ac:dyDescent="0.25">
      <c r="A2204" t="s">
        <v>7743</v>
      </c>
      <c r="B2204" t="s">
        <v>1667</v>
      </c>
      <c r="C2204" t="s">
        <v>3091</v>
      </c>
      <c r="D2204" t="s">
        <v>1667</v>
      </c>
      <c r="E2204" t="s">
        <v>14812</v>
      </c>
      <c r="F2204" t="s">
        <v>108</v>
      </c>
      <c r="H2204" t="s">
        <v>14813</v>
      </c>
      <c r="I2204" t="s">
        <v>5114</v>
      </c>
      <c r="J2204" t="s">
        <v>111</v>
      </c>
      <c r="K2204" t="str">
        <f>"85392"</f>
        <v>85392</v>
      </c>
      <c r="L2204" t="s">
        <v>226</v>
      </c>
      <c r="M2204" t="s">
        <v>14813</v>
      </c>
      <c r="N2204" t="s">
        <v>5114</v>
      </c>
      <c r="O2204" t="s">
        <v>111</v>
      </c>
      <c r="P2204" t="str">
        <f>"85392-4403"</f>
        <v>85392-4403</v>
      </c>
      <c r="Q2204" t="s">
        <v>113</v>
      </c>
      <c r="R2204" t="str">
        <f>"102-27-074"</f>
        <v>102-27-074</v>
      </c>
      <c r="S2204" t="s">
        <v>14814</v>
      </c>
      <c r="T2204" t="s">
        <v>14815</v>
      </c>
      <c r="U2204">
        <v>2268</v>
      </c>
      <c r="V2204">
        <v>0</v>
      </c>
      <c r="W2204">
        <v>2</v>
      </c>
      <c r="X2204">
        <v>1983</v>
      </c>
      <c r="Z2204">
        <v>1</v>
      </c>
      <c r="AA2204" t="s">
        <v>26</v>
      </c>
      <c r="AB2204">
        <v>0</v>
      </c>
      <c r="AC2204" t="s">
        <v>115</v>
      </c>
      <c r="AD2204">
        <v>2</v>
      </c>
      <c r="AE2204" t="s">
        <v>115</v>
      </c>
      <c r="AF2204">
        <v>0</v>
      </c>
      <c r="AG2204">
        <v>0</v>
      </c>
      <c r="AH2204" t="s">
        <v>116</v>
      </c>
      <c r="AI2204" s="1">
        <v>53683</v>
      </c>
      <c r="AJ2204" s="2">
        <v>0.15</v>
      </c>
      <c r="AK2204" s="1">
        <v>368683</v>
      </c>
      <c r="AL2204" t="s">
        <v>117</v>
      </c>
      <c r="AM2204" t="s">
        <v>7948</v>
      </c>
      <c r="AN2204">
        <v>35828</v>
      </c>
      <c r="AO2204">
        <v>0.82</v>
      </c>
      <c r="AP2204">
        <v>1</v>
      </c>
      <c r="AR2204">
        <v>1</v>
      </c>
      <c r="AS2204" s="1">
        <v>27210</v>
      </c>
      <c r="AT2204" s="1">
        <v>5440</v>
      </c>
      <c r="AU2204" s="1">
        <v>21770</v>
      </c>
      <c r="AV2204">
        <v>80.010000000000005</v>
      </c>
      <c r="AX2204" s="1">
        <v>3006.26</v>
      </c>
      <c r="AY2204" t="s">
        <v>8084</v>
      </c>
      <c r="AZ2204" t="s">
        <v>8084</v>
      </c>
      <c r="BA2204" t="s">
        <v>5118</v>
      </c>
      <c r="BE2204" s="3">
        <v>42521</v>
      </c>
      <c r="BF2204" s="1">
        <v>315000</v>
      </c>
      <c r="BG2204" t="s">
        <v>14816</v>
      </c>
      <c r="BH2204" s="1">
        <v>138.88999999999999</v>
      </c>
      <c r="BI2204" s="1">
        <v>315000</v>
      </c>
      <c r="BJ2204" s="3">
        <v>42521</v>
      </c>
      <c r="BK2204" t="s">
        <v>123</v>
      </c>
      <c r="BL2204" t="str">
        <f>"2016.375165"</f>
        <v>2016.375165</v>
      </c>
      <c r="BM2204" t="s">
        <v>724</v>
      </c>
      <c r="BO2204" t="s">
        <v>14817</v>
      </c>
      <c r="BS2204">
        <v>30</v>
      </c>
      <c r="BW2204" t="str">
        <f>""</f>
        <v/>
      </c>
      <c r="CH2204" t="str">
        <f>""</f>
        <v/>
      </c>
      <c r="CS2204" t="str">
        <f>""</f>
        <v/>
      </c>
    </row>
    <row r="2205" spans="1:97" x14ac:dyDescent="0.25">
      <c r="A2205" t="s">
        <v>7797</v>
      </c>
      <c r="B2205" t="s">
        <v>14818</v>
      </c>
      <c r="C2205" t="s">
        <v>14819</v>
      </c>
      <c r="D2205" t="s">
        <v>14818</v>
      </c>
      <c r="E2205" t="s">
        <v>14820</v>
      </c>
      <c r="F2205" t="s">
        <v>108</v>
      </c>
      <c r="H2205" t="s">
        <v>14821</v>
      </c>
      <c r="I2205" t="s">
        <v>225</v>
      </c>
      <c r="J2205" t="s">
        <v>111</v>
      </c>
      <c r="K2205" t="str">
        <f>"85208"</f>
        <v>85208</v>
      </c>
      <c r="L2205" t="s">
        <v>5400</v>
      </c>
      <c r="M2205" t="s">
        <v>14821</v>
      </c>
      <c r="N2205" t="s">
        <v>225</v>
      </c>
      <c r="O2205" t="s">
        <v>111</v>
      </c>
      <c r="P2205" t="str">
        <f>"85208-7166"</f>
        <v>85208-7166</v>
      </c>
      <c r="Q2205" t="s">
        <v>113</v>
      </c>
      <c r="R2205" t="str">
        <f>"220-85-298"</f>
        <v>220-85-298</v>
      </c>
      <c r="S2205" t="s">
        <v>14822</v>
      </c>
      <c r="T2205" t="s">
        <v>14823</v>
      </c>
      <c r="U2205">
        <v>2179</v>
      </c>
      <c r="V2205">
        <v>0</v>
      </c>
      <c r="W2205">
        <v>2</v>
      </c>
      <c r="X2205">
        <v>2000</v>
      </c>
      <c r="Z2205">
        <v>2</v>
      </c>
      <c r="AA2205" t="s">
        <v>26</v>
      </c>
      <c r="AB2205">
        <v>0</v>
      </c>
      <c r="AC2205" t="s">
        <v>115</v>
      </c>
      <c r="AD2205">
        <v>2</v>
      </c>
      <c r="AE2205" t="s">
        <v>115</v>
      </c>
      <c r="AF2205">
        <v>0</v>
      </c>
      <c r="AG2205">
        <v>0</v>
      </c>
      <c r="AH2205" t="s">
        <v>116</v>
      </c>
      <c r="AI2205" s="1">
        <v>61008</v>
      </c>
      <c r="AJ2205" s="2">
        <v>0.19</v>
      </c>
      <c r="AK2205" s="1">
        <v>317141</v>
      </c>
      <c r="AL2205" t="s">
        <v>117</v>
      </c>
      <c r="AM2205" t="s">
        <v>191</v>
      </c>
      <c r="AN2205">
        <v>7907</v>
      </c>
      <c r="AO2205">
        <v>0.18</v>
      </c>
      <c r="AP2205">
        <v>1</v>
      </c>
      <c r="AR2205">
        <v>1</v>
      </c>
      <c r="AS2205" s="1">
        <v>22230</v>
      </c>
      <c r="AT2205" s="1">
        <v>4440</v>
      </c>
      <c r="AU2205" s="1">
        <v>17790</v>
      </c>
      <c r="AV2205">
        <v>80.03</v>
      </c>
      <c r="AX2205" s="1">
        <v>1573.14</v>
      </c>
      <c r="AY2205" t="s">
        <v>272</v>
      </c>
      <c r="AZ2205" t="s">
        <v>3761</v>
      </c>
      <c r="BA2205" t="s">
        <v>232</v>
      </c>
      <c r="BE2205" s="3">
        <v>42242</v>
      </c>
      <c r="BF2205" s="1">
        <v>257000</v>
      </c>
      <c r="BG2205" t="s">
        <v>14824</v>
      </c>
      <c r="BH2205" s="1">
        <v>117.94</v>
      </c>
      <c r="BI2205" s="1">
        <v>256133</v>
      </c>
      <c r="BJ2205" s="3">
        <v>42425</v>
      </c>
      <c r="BK2205" t="s">
        <v>123</v>
      </c>
      <c r="BL2205" t="str">
        <f>"2016.118537"</f>
        <v>2016.118537</v>
      </c>
      <c r="BM2205" t="s">
        <v>402</v>
      </c>
      <c r="BO2205" t="s">
        <v>14825</v>
      </c>
      <c r="BS2205">
        <v>30</v>
      </c>
      <c r="BW2205" t="str">
        <f>""</f>
        <v/>
      </c>
      <c r="CH2205" t="str">
        <f>""</f>
        <v/>
      </c>
      <c r="CS2205" t="str">
        <f>""</f>
        <v/>
      </c>
    </row>
    <row r="2206" spans="1:97" x14ac:dyDescent="0.25">
      <c r="A2206" t="s">
        <v>513</v>
      </c>
      <c r="B2206" t="s">
        <v>14826</v>
      </c>
      <c r="E2206" t="s">
        <v>14827</v>
      </c>
      <c r="F2206" t="s">
        <v>108</v>
      </c>
      <c r="H2206" t="s">
        <v>14828</v>
      </c>
      <c r="I2206" t="s">
        <v>453</v>
      </c>
      <c r="J2206" t="s">
        <v>111</v>
      </c>
      <c r="K2206" t="str">
        <f>"85382"</f>
        <v>85382</v>
      </c>
      <c r="L2206" t="s">
        <v>3758</v>
      </c>
      <c r="M2206" t="s">
        <v>14828</v>
      </c>
      <c r="N2206" t="s">
        <v>453</v>
      </c>
      <c r="O2206" t="s">
        <v>111</v>
      </c>
      <c r="P2206" t="str">
        <f>"85382-3568"</f>
        <v>85382-3568</v>
      </c>
      <c r="Q2206" t="s">
        <v>113</v>
      </c>
      <c r="R2206" t="str">
        <f>"200-54-815"</f>
        <v>200-54-815</v>
      </c>
      <c r="S2206" t="s">
        <v>14829</v>
      </c>
      <c r="T2206" t="s">
        <v>14829</v>
      </c>
      <c r="U2206">
        <v>1680</v>
      </c>
      <c r="V2206">
        <v>0</v>
      </c>
      <c r="W2206">
        <v>3</v>
      </c>
      <c r="X2206">
        <v>1996</v>
      </c>
      <c r="Z2206">
        <v>1</v>
      </c>
      <c r="AA2206" t="s">
        <v>26</v>
      </c>
      <c r="AB2206">
        <v>0</v>
      </c>
      <c r="AC2206" t="s">
        <v>115</v>
      </c>
      <c r="AD2206">
        <v>2</v>
      </c>
      <c r="AE2206" t="s">
        <v>115</v>
      </c>
      <c r="AF2206">
        <v>0</v>
      </c>
      <c r="AG2206">
        <v>0</v>
      </c>
      <c r="AH2206" t="s">
        <v>116</v>
      </c>
      <c r="AI2206" s="1">
        <v>75674</v>
      </c>
      <c r="AJ2206" s="2">
        <v>0.27</v>
      </c>
      <c r="AK2206" s="1">
        <v>283803</v>
      </c>
      <c r="AL2206" t="s">
        <v>117</v>
      </c>
      <c r="AM2206" t="s">
        <v>3345</v>
      </c>
      <c r="AN2206">
        <v>6000</v>
      </c>
      <c r="AO2206">
        <v>0.14000000000000001</v>
      </c>
      <c r="AP2206">
        <v>1</v>
      </c>
      <c r="AR2206">
        <v>1</v>
      </c>
      <c r="AS2206" s="1">
        <v>19920</v>
      </c>
      <c r="AT2206" s="1">
        <v>3980</v>
      </c>
      <c r="AU2206" s="1">
        <v>15940</v>
      </c>
      <c r="AV2206">
        <v>80.02</v>
      </c>
      <c r="AX2206" s="1">
        <v>1497.34</v>
      </c>
      <c r="AY2206" t="s">
        <v>5573</v>
      </c>
      <c r="AZ2206" t="s">
        <v>5573</v>
      </c>
      <c r="BA2206" t="s">
        <v>1800</v>
      </c>
      <c r="BE2206" s="3">
        <v>41992</v>
      </c>
      <c r="BF2206" s="1">
        <v>212000</v>
      </c>
      <c r="BG2206" t="s">
        <v>14830</v>
      </c>
      <c r="BH2206" s="1">
        <v>126.19</v>
      </c>
      <c r="BI2206" s="1">
        <v>208129</v>
      </c>
      <c r="BJ2206" s="3">
        <v>42620</v>
      </c>
      <c r="BK2206" t="s">
        <v>123</v>
      </c>
      <c r="BL2206" t="str">
        <f>"2016.645123"</f>
        <v>2016.645123</v>
      </c>
      <c r="BM2206" t="s">
        <v>402</v>
      </c>
      <c r="BO2206" t="s">
        <v>14831</v>
      </c>
      <c r="BS2206">
        <v>30</v>
      </c>
      <c r="BW2206" t="str">
        <f>""</f>
        <v/>
      </c>
      <c r="CH2206" t="str">
        <f>""</f>
        <v/>
      </c>
      <c r="CS2206" t="str">
        <f>""</f>
        <v/>
      </c>
    </row>
    <row r="2207" spans="1:97" x14ac:dyDescent="0.25">
      <c r="A2207" t="s">
        <v>894</v>
      </c>
      <c r="B2207" t="s">
        <v>14832</v>
      </c>
      <c r="C2207" t="s">
        <v>933</v>
      </c>
      <c r="D2207" t="s">
        <v>14832</v>
      </c>
      <c r="E2207" t="s">
        <v>14833</v>
      </c>
      <c r="F2207" t="s">
        <v>282</v>
      </c>
      <c r="H2207" t="s">
        <v>14834</v>
      </c>
      <c r="I2207" t="s">
        <v>390</v>
      </c>
      <c r="J2207" t="s">
        <v>111</v>
      </c>
      <c r="K2207" t="str">
        <f>"85008"</f>
        <v>85008</v>
      </c>
      <c r="L2207" t="s">
        <v>7695</v>
      </c>
      <c r="M2207" t="s">
        <v>14835</v>
      </c>
      <c r="N2207" t="s">
        <v>390</v>
      </c>
      <c r="O2207" t="s">
        <v>111</v>
      </c>
      <c r="P2207" t="str">
        <f>"85050-5412"</f>
        <v>85050-5412</v>
      </c>
      <c r="Q2207" t="s">
        <v>113</v>
      </c>
      <c r="R2207" t="str">
        <f>"120-08-127"</f>
        <v>120-08-127</v>
      </c>
      <c r="S2207" t="s">
        <v>14836</v>
      </c>
      <c r="T2207" t="s">
        <v>14837</v>
      </c>
      <c r="U2207">
        <v>1633</v>
      </c>
      <c r="V2207">
        <v>0</v>
      </c>
      <c r="W2207">
        <v>3</v>
      </c>
      <c r="X2207">
        <v>1955</v>
      </c>
      <c r="Z2207">
        <v>1</v>
      </c>
      <c r="AA2207" t="s">
        <v>26</v>
      </c>
      <c r="AB2207">
        <v>0</v>
      </c>
      <c r="AC2207" t="s">
        <v>5188</v>
      </c>
      <c r="AD2207">
        <v>1</v>
      </c>
      <c r="AE2207" t="s">
        <v>5188</v>
      </c>
      <c r="AF2207">
        <v>0</v>
      </c>
      <c r="AG2207">
        <v>0</v>
      </c>
      <c r="AH2207" t="s">
        <v>116</v>
      </c>
      <c r="AI2207" s="1">
        <v>66620</v>
      </c>
      <c r="AJ2207" s="2">
        <v>0.18</v>
      </c>
      <c r="AK2207" s="1">
        <v>367962</v>
      </c>
      <c r="AL2207" t="s">
        <v>117</v>
      </c>
      <c r="AM2207" t="s">
        <v>191</v>
      </c>
      <c r="AN2207">
        <v>9505</v>
      </c>
      <c r="AO2207">
        <v>0.22</v>
      </c>
      <c r="AP2207">
        <v>1</v>
      </c>
      <c r="AR2207">
        <v>1</v>
      </c>
      <c r="AS2207" s="1">
        <v>24130</v>
      </c>
      <c r="AT2207" s="1">
        <v>4820</v>
      </c>
      <c r="AU2207" s="1">
        <v>19310</v>
      </c>
      <c r="AV2207">
        <v>80.02</v>
      </c>
      <c r="AX2207" s="1">
        <v>1936.3</v>
      </c>
      <c r="AY2207" t="s">
        <v>14838</v>
      </c>
      <c r="AZ2207" t="s">
        <v>14838</v>
      </c>
      <c r="BA2207" t="s">
        <v>6255</v>
      </c>
      <c r="BB2207" s="3">
        <v>43733</v>
      </c>
      <c r="BC2207" s="1">
        <v>0</v>
      </c>
      <c r="BD2207" t="s">
        <v>291</v>
      </c>
      <c r="BE2207" s="3">
        <v>42059</v>
      </c>
      <c r="BF2207" s="1">
        <v>295000</v>
      </c>
      <c r="BG2207" t="s">
        <v>14839</v>
      </c>
      <c r="BH2207" s="1">
        <v>180.65</v>
      </c>
      <c r="BI2207" s="1">
        <v>301342</v>
      </c>
      <c r="BJ2207" s="3">
        <v>42059</v>
      </c>
      <c r="BK2207" t="s">
        <v>123</v>
      </c>
      <c r="BL2207" t="str">
        <f>"2015.117760"</f>
        <v>2015.117760</v>
      </c>
      <c r="BM2207" t="s">
        <v>544</v>
      </c>
      <c r="BN2207" t="s">
        <v>545</v>
      </c>
      <c r="BO2207" t="s">
        <v>14840</v>
      </c>
      <c r="BS2207">
        <v>30</v>
      </c>
      <c r="BW2207" t="str">
        <f>""</f>
        <v/>
      </c>
      <c r="CH2207" t="str">
        <f>""</f>
        <v/>
      </c>
      <c r="CS2207" t="str">
        <f>""</f>
        <v/>
      </c>
    </row>
    <row r="2208" spans="1:97" x14ac:dyDescent="0.25">
      <c r="A2208" t="s">
        <v>14841</v>
      </c>
      <c r="B2208" t="s">
        <v>14842</v>
      </c>
      <c r="C2208" t="s">
        <v>1416</v>
      </c>
      <c r="D2208" t="s">
        <v>14842</v>
      </c>
      <c r="E2208" t="s">
        <v>14843</v>
      </c>
      <c r="F2208" t="s">
        <v>108</v>
      </c>
      <c r="H2208" t="s">
        <v>14844</v>
      </c>
      <c r="I2208" t="s">
        <v>110</v>
      </c>
      <c r="J2208" t="s">
        <v>111</v>
      </c>
      <c r="K2208" t="str">
        <f>"85226"</f>
        <v>85226</v>
      </c>
      <c r="L2208" t="s">
        <v>5308</v>
      </c>
      <c r="M2208" t="s">
        <v>14844</v>
      </c>
      <c r="N2208" t="s">
        <v>110</v>
      </c>
      <c r="O2208" t="s">
        <v>111</v>
      </c>
      <c r="P2208" t="str">
        <f>"85226-2742"</f>
        <v>85226-2742</v>
      </c>
      <c r="Q2208" t="s">
        <v>113</v>
      </c>
      <c r="R2208" t="str">
        <f>"301-87-724"</f>
        <v>301-87-724</v>
      </c>
      <c r="S2208" t="s">
        <v>14845</v>
      </c>
      <c r="T2208" t="s">
        <v>14846</v>
      </c>
      <c r="U2208">
        <v>1481</v>
      </c>
      <c r="V2208">
        <v>0</v>
      </c>
      <c r="W2208">
        <v>3</v>
      </c>
      <c r="X2208">
        <v>1986</v>
      </c>
      <c r="Z2208">
        <v>2</v>
      </c>
      <c r="AB2208">
        <v>0</v>
      </c>
      <c r="AC2208" t="s">
        <v>115</v>
      </c>
      <c r="AD2208">
        <v>2</v>
      </c>
      <c r="AE2208" t="s">
        <v>115</v>
      </c>
      <c r="AF2208">
        <v>0</v>
      </c>
      <c r="AG2208">
        <v>0</v>
      </c>
      <c r="AH2208" t="s">
        <v>116</v>
      </c>
      <c r="AI2208" s="1">
        <v>59164</v>
      </c>
      <c r="AJ2208" s="2">
        <v>0.21</v>
      </c>
      <c r="AK2208" s="1">
        <v>284083</v>
      </c>
      <c r="AL2208" t="s">
        <v>117</v>
      </c>
      <c r="AM2208" t="s">
        <v>118</v>
      </c>
      <c r="AN2208">
        <v>4652</v>
      </c>
      <c r="AO2208">
        <v>0.11</v>
      </c>
      <c r="AP2208">
        <v>1</v>
      </c>
      <c r="AR2208">
        <v>1</v>
      </c>
      <c r="AS2208" s="1">
        <v>19150</v>
      </c>
      <c r="AT2208" s="1">
        <v>3830</v>
      </c>
      <c r="AU2208" s="1">
        <v>15320</v>
      </c>
      <c r="AV2208">
        <v>80</v>
      </c>
      <c r="AX2208" s="1">
        <v>1407</v>
      </c>
      <c r="AY2208" t="s">
        <v>14847</v>
      </c>
      <c r="AZ2208" t="s">
        <v>5201</v>
      </c>
      <c r="BA2208" t="s">
        <v>5202</v>
      </c>
      <c r="BB2208" s="3">
        <v>42485</v>
      </c>
      <c r="BD2208" t="s">
        <v>240</v>
      </c>
      <c r="BE2208" s="3">
        <v>42258</v>
      </c>
      <c r="BF2208" s="1">
        <v>220000</v>
      </c>
      <c r="BG2208" t="s">
        <v>14848</v>
      </c>
      <c r="BH2208" s="1">
        <v>148.55000000000001</v>
      </c>
      <c r="BI2208" s="1">
        <v>224919</v>
      </c>
      <c r="BJ2208" s="3">
        <v>42655</v>
      </c>
      <c r="BK2208" t="s">
        <v>123</v>
      </c>
      <c r="BL2208" t="str">
        <f>"2016.746865"</f>
        <v>2016.746865</v>
      </c>
      <c r="BM2208" t="s">
        <v>425</v>
      </c>
      <c r="BO2208" t="s">
        <v>14849</v>
      </c>
      <c r="BS2208">
        <v>30</v>
      </c>
      <c r="BW2208" t="str">
        <f>""</f>
        <v/>
      </c>
      <c r="CH2208" t="str">
        <f>""</f>
        <v/>
      </c>
      <c r="CS2208" t="str">
        <f>""</f>
        <v/>
      </c>
    </row>
    <row r="2209" spans="1:97" x14ac:dyDescent="0.25">
      <c r="A2209" t="s">
        <v>14850</v>
      </c>
      <c r="B2209" t="s">
        <v>14851</v>
      </c>
      <c r="E2209" t="s">
        <v>14852</v>
      </c>
      <c r="F2209" t="s">
        <v>282</v>
      </c>
      <c r="H2209" t="s">
        <v>14853</v>
      </c>
      <c r="I2209" t="s">
        <v>3150</v>
      </c>
      <c r="J2209" t="s">
        <v>111</v>
      </c>
      <c r="K2209" t="str">
        <f>"85340"</f>
        <v>85340</v>
      </c>
      <c r="L2209" t="s">
        <v>1789</v>
      </c>
      <c r="M2209" t="s">
        <v>14854</v>
      </c>
      <c r="N2209" t="s">
        <v>14855</v>
      </c>
      <c r="O2209" t="s">
        <v>10849</v>
      </c>
      <c r="P2209" t="str">
        <f>"78665-4027"</f>
        <v>78665-4027</v>
      </c>
      <c r="Q2209" t="s">
        <v>113</v>
      </c>
      <c r="R2209" t="str">
        <f>"508-05-775"</f>
        <v>508-05-775</v>
      </c>
      <c r="S2209" t="s">
        <v>13069</v>
      </c>
      <c r="U2209">
        <v>2582</v>
      </c>
      <c r="V2209">
        <v>0</v>
      </c>
      <c r="W2209">
        <v>3</v>
      </c>
      <c r="X2209">
        <v>2002</v>
      </c>
      <c r="Z2209">
        <v>2</v>
      </c>
      <c r="AB2209">
        <v>0</v>
      </c>
      <c r="AC2209" t="s">
        <v>115</v>
      </c>
      <c r="AD2209">
        <v>2</v>
      </c>
      <c r="AE2209" t="s">
        <v>115</v>
      </c>
      <c r="AF2209">
        <v>0</v>
      </c>
      <c r="AG2209">
        <v>0</v>
      </c>
      <c r="AH2209" t="s">
        <v>116</v>
      </c>
      <c r="AI2209" s="1">
        <v>-4904</v>
      </c>
      <c r="AJ2209" s="2">
        <v>-0.02</v>
      </c>
      <c r="AK2209" s="1">
        <v>205096</v>
      </c>
      <c r="AL2209" t="s">
        <v>117</v>
      </c>
      <c r="AM2209" t="s">
        <v>191</v>
      </c>
      <c r="AN2209">
        <v>6095</v>
      </c>
      <c r="AO2209">
        <v>0.14000000000000001</v>
      </c>
      <c r="AP2209">
        <v>1</v>
      </c>
      <c r="AR2209">
        <v>1</v>
      </c>
      <c r="AS2209" s="1">
        <v>19260</v>
      </c>
      <c r="AT2209" s="1">
        <v>3850</v>
      </c>
      <c r="AU2209" s="1">
        <v>15410</v>
      </c>
      <c r="AV2209">
        <v>80.010000000000005</v>
      </c>
      <c r="AX2209" s="1">
        <v>1809</v>
      </c>
      <c r="AY2209" t="s">
        <v>6580</v>
      </c>
      <c r="AZ2209" t="s">
        <v>3153</v>
      </c>
      <c r="BA2209" t="s">
        <v>3154</v>
      </c>
      <c r="BE2209" s="3">
        <v>42046</v>
      </c>
      <c r="BF2209" s="1">
        <v>183000</v>
      </c>
      <c r="BG2209" t="s">
        <v>14856</v>
      </c>
      <c r="BH2209" s="1">
        <v>70.88</v>
      </c>
      <c r="BI2209" s="1">
        <v>210000</v>
      </c>
      <c r="BJ2209" s="3">
        <v>42510</v>
      </c>
      <c r="BK2209" t="s">
        <v>123</v>
      </c>
      <c r="BL2209" t="str">
        <f>"2016.348330"</f>
        <v>2016.348330</v>
      </c>
      <c r="BM2209" t="s">
        <v>14857</v>
      </c>
      <c r="BO2209" t="s">
        <v>14858</v>
      </c>
      <c r="BS2209">
        <v>30</v>
      </c>
      <c r="BW2209" t="str">
        <f>""</f>
        <v/>
      </c>
      <c r="CH2209" t="str">
        <f>""</f>
        <v/>
      </c>
      <c r="CS2209" t="str">
        <f>""</f>
        <v/>
      </c>
    </row>
    <row r="2210" spans="1:97" x14ac:dyDescent="0.25">
      <c r="A2210" t="s">
        <v>589</v>
      </c>
      <c r="B2210" t="s">
        <v>5780</v>
      </c>
      <c r="C2210" t="s">
        <v>14859</v>
      </c>
      <c r="D2210" t="s">
        <v>5780</v>
      </c>
      <c r="E2210" t="s">
        <v>14860</v>
      </c>
      <c r="F2210" t="s">
        <v>108</v>
      </c>
      <c r="H2210" t="s">
        <v>14861</v>
      </c>
      <c r="I2210" t="s">
        <v>632</v>
      </c>
      <c r="J2210" t="s">
        <v>111</v>
      </c>
      <c r="K2210" t="str">
        <f>"85388"</f>
        <v>85388</v>
      </c>
      <c r="L2210" t="s">
        <v>1796</v>
      </c>
      <c r="M2210" t="s">
        <v>14861</v>
      </c>
      <c r="N2210" t="s">
        <v>632</v>
      </c>
      <c r="O2210" t="s">
        <v>111</v>
      </c>
      <c r="P2210" t="str">
        <f>"85388-1537"</f>
        <v>85388-1537</v>
      </c>
      <c r="Q2210" t="s">
        <v>113</v>
      </c>
      <c r="R2210" t="str">
        <f>"501-12-262"</f>
        <v>501-12-262</v>
      </c>
      <c r="S2210" t="s">
        <v>14862</v>
      </c>
      <c r="T2210" t="s">
        <v>5431</v>
      </c>
      <c r="U2210">
        <v>2432</v>
      </c>
      <c r="V2210">
        <v>0</v>
      </c>
      <c r="W2210">
        <v>4</v>
      </c>
      <c r="X2210">
        <v>2004</v>
      </c>
      <c r="Z2210">
        <v>1</v>
      </c>
      <c r="AB2210">
        <v>0</v>
      </c>
      <c r="AC2210" t="s">
        <v>115</v>
      </c>
      <c r="AD2210">
        <v>3</v>
      </c>
      <c r="AE2210" t="s">
        <v>115</v>
      </c>
      <c r="AF2210">
        <v>0</v>
      </c>
      <c r="AG2210">
        <v>0</v>
      </c>
      <c r="AH2210" t="s">
        <v>116</v>
      </c>
      <c r="AI2210" s="1">
        <v>93966</v>
      </c>
      <c r="AJ2210" s="2">
        <v>0.31</v>
      </c>
      <c r="AK2210" s="1">
        <v>303462</v>
      </c>
      <c r="AL2210" t="s">
        <v>117</v>
      </c>
      <c r="AM2210" t="s">
        <v>118</v>
      </c>
      <c r="AN2210">
        <v>7475</v>
      </c>
      <c r="AO2210">
        <v>0.17</v>
      </c>
      <c r="AP2210">
        <v>1</v>
      </c>
      <c r="AR2210">
        <v>1</v>
      </c>
      <c r="AS2210" s="1">
        <v>21020</v>
      </c>
      <c r="AT2210" s="1">
        <v>4200</v>
      </c>
      <c r="AU2210" s="1">
        <v>16820</v>
      </c>
      <c r="AV2210">
        <v>80.02</v>
      </c>
      <c r="AX2210" s="1">
        <v>1649.92</v>
      </c>
      <c r="AY2210" t="s">
        <v>5517</v>
      </c>
      <c r="AZ2210" t="s">
        <v>5517</v>
      </c>
      <c r="BA2210" t="s">
        <v>5109</v>
      </c>
      <c r="BE2210" s="3">
        <v>41977</v>
      </c>
      <c r="BF2210" s="1">
        <v>229900</v>
      </c>
      <c r="BG2210" t="s">
        <v>14863</v>
      </c>
      <c r="BH2210" s="1">
        <v>94.53</v>
      </c>
      <c r="BI2210" s="1">
        <v>209496</v>
      </c>
      <c r="BJ2210" s="3">
        <v>41977</v>
      </c>
      <c r="BK2210" t="s">
        <v>123</v>
      </c>
      <c r="BL2210" t="str">
        <f>"2014.798247"</f>
        <v>2014.798247</v>
      </c>
      <c r="BM2210" t="s">
        <v>1038</v>
      </c>
      <c r="BO2210" t="s">
        <v>14864</v>
      </c>
      <c r="BS2210">
        <v>30</v>
      </c>
      <c r="BW2210" t="str">
        <f>""</f>
        <v/>
      </c>
      <c r="CH2210" t="str">
        <f>""</f>
        <v/>
      </c>
      <c r="CS2210" t="str">
        <f>""</f>
        <v/>
      </c>
    </row>
    <row r="2211" spans="1:97" x14ac:dyDescent="0.25">
      <c r="A2211" t="s">
        <v>2976</v>
      </c>
      <c r="B2211" t="s">
        <v>14865</v>
      </c>
      <c r="E2211" t="s">
        <v>14866</v>
      </c>
      <c r="F2211" t="s">
        <v>108</v>
      </c>
      <c r="H2211" t="s">
        <v>14867</v>
      </c>
      <c r="I2211" t="s">
        <v>453</v>
      </c>
      <c r="J2211" t="s">
        <v>111</v>
      </c>
      <c r="K2211" t="str">
        <f>"85381"</f>
        <v>85381</v>
      </c>
      <c r="L2211" t="s">
        <v>9597</v>
      </c>
      <c r="M2211" t="s">
        <v>14867</v>
      </c>
      <c r="N2211" t="s">
        <v>453</v>
      </c>
      <c r="O2211" t="s">
        <v>111</v>
      </c>
      <c r="P2211" t="str">
        <f>"85381-8218"</f>
        <v>85381-8218</v>
      </c>
      <c r="Q2211" t="s">
        <v>113</v>
      </c>
      <c r="R2211" t="str">
        <f>"200-87-708"</f>
        <v>200-87-708</v>
      </c>
      <c r="S2211" t="s">
        <v>13522</v>
      </c>
      <c r="T2211" t="s">
        <v>9724</v>
      </c>
      <c r="U2211">
        <v>1516</v>
      </c>
      <c r="V2211">
        <v>0</v>
      </c>
      <c r="W2211">
        <v>3</v>
      </c>
      <c r="X2211">
        <v>2015</v>
      </c>
      <c r="Z2211">
        <v>1</v>
      </c>
      <c r="AB2211">
        <v>0</v>
      </c>
      <c r="AC2211" t="s">
        <v>115</v>
      </c>
      <c r="AD2211">
        <v>2</v>
      </c>
      <c r="AE2211" t="s">
        <v>115</v>
      </c>
      <c r="AF2211">
        <v>0</v>
      </c>
      <c r="AG2211">
        <v>0</v>
      </c>
      <c r="AH2211" t="s">
        <v>116</v>
      </c>
      <c r="AI2211" s="1">
        <v>45632</v>
      </c>
      <c r="AJ2211" s="2">
        <v>0.16</v>
      </c>
      <c r="AK2211" s="1">
        <v>278632</v>
      </c>
      <c r="AL2211" t="s">
        <v>117</v>
      </c>
      <c r="AM2211" t="s">
        <v>118</v>
      </c>
      <c r="AN2211">
        <v>4470</v>
      </c>
      <c r="AO2211">
        <v>0.1</v>
      </c>
      <c r="AR2211">
        <v>1</v>
      </c>
      <c r="AS2211" s="1">
        <v>20930</v>
      </c>
      <c r="AT2211" s="1">
        <v>4180</v>
      </c>
      <c r="AU2211" s="1">
        <v>16750</v>
      </c>
      <c r="AV2211">
        <v>80.03</v>
      </c>
      <c r="AX2211" s="1">
        <v>1695.62</v>
      </c>
      <c r="AY2211" t="s">
        <v>5629</v>
      </c>
      <c r="AZ2211" t="s">
        <v>5629</v>
      </c>
      <c r="BA2211" t="s">
        <v>4007</v>
      </c>
      <c r="BE2211" s="3">
        <v>42184</v>
      </c>
      <c r="BF2211" s="1">
        <v>227999</v>
      </c>
      <c r="BG2211" t="s">
        <v>9725</v>
      </c>
      <c r="BH2211" s="1">
        <v>150.4</v>
      </c>
      <c r="BI2211" s="1">
        <v>233000</v>
      </c>
      <c r="BJ2211" s="3">
        <v>43620</v>
      </c>
      <c r="BK2211" t="s">
        <v>123</v>
      </c>
      <c r="BL2211" t="str">
        <f>"2019.411369"</f>
        <v>2019.411369</v>
      </c>
      <c r="BM2211" t="s">
        <v>361</v>
      </c>
      <c r="BN2211" t="s">
        <v>884</v>
      </c>
      <c r="BO2211" t="s">
        <v>14868</v>
      </c>
      <c r="BR2211" t="s">
        <v>139</v>
      </c>
      <c r="BW2211" t="str">
        <f>""</f>
        <v/>
      </c>
      <c r="CH2211" t="str">
        <f>""</f>
        <v/>
      </c>
      <c r="CS2211" t="str">
        <f>""</f>
        <v/>
      </c>
    </row>
    <row r="2212" spans="1:97" x14ac:dyDescent="0.25">
      <c r="A2212" t="s">
        <v>3089</v>
      </c>
      <c r="B2212" t="s">
        <v>1094</v>
      </c>
      <c r="C2212" t="s">
        <v>6055</v>
      </c>
      <c r="D2212" t="s">
        <v>1094</v>
      </c>
      <c r="E2212" t="s">
        <v>14869</v>
      </c>
      <c r="F2212" t="s">
        <v>108</v>
      </c>
      <c r="H2212" t="s">
        <v>14870</v>
      </c>
      <c r="I2212" t="s">
        <v>225</v>
      </c>
      <c r="J2212" t="s">
        <v>111</v>
      </c>
      <c r="K2212" t="str">
        <f>"85209"</f>
        <v>85209</v>
      </c>
      <c r="L2212" t="s">
        <v>5456</v>
      </c>
      <c r="M2212" t="s">
        <v>14870</v>
      </c>
      <c r="N2212" t="s">
        <v>225</v>
      </c>
      <c r="O2212" t="s">
        <v>111</v>
      </c>
      <c r="P2212" t="str">
        <f>"85209-1325"</f>
        <v>85209-1325</v>
      </c>
      <c r="Q2212" t="s">
        <v>113</v>
      </c>
      <c r="R2212" t="str">
        <f>"304-01-154"</f>
        <v>304-01-154</v>
      </c>
      <c r="S2212" t="s">
        <v>8487</v>
      </c>
      <c r="U2212">
        <v>1857</v>
      </c>
      <c r="V2212">
        <v>0</v>
      </c>
      <c r="W2212">
        <v>3</v>
      </c>
      <c r="X2212">
        <v>1999</v>
      </c>
      <c r="Z2212">
        <v>1</v>
      </c>
      <c r="AB2212">
        <v>0</v>
      </c>
      <c r="AC2212" t="s">
        <v>115</v>
      </c>
      <c r="AD2212">
        <v>2</v>
      </c>
      <c r="AE2212" t="s">
        <v>115</v>
      </c>
      <c r="AF2212">
        <v>0</v>
      </c>
      <c r="AG2212">
        <v>0</v>
      </c>
      <c r="AH2212" t="s">
        <v>116</v>
      </c>
      <c r="AI2212" s="1">
        <v>70899</v>
      </c>
      <c r="AJ2212" s="2">
        <v>0.22</v>
      </c>
      <c r="AK2212" s="1">
        <v>329570</v>
      </c>
      <c r="AL2212" t="s">
        <v>117</v>
      </c>
      <c r="AM2212" t="s">
        <v>191</v>
      </c>
      <c r="AN2212">
        <v>6660</v>
      </c>
      <c r="AO2212">
        <v>0.15</v>
      </c>
      <c r="AP2212">
        <v>1</v>
      </c>
      <c r="AR2212">
        <v>1</v>
      </c>
      <c r="AS2212" s="1">
        <v>22400</v>
      </c>
      <c r="AT2212" s="1">
        <v>4480</v>
      </c>
      <c r="AU2212" s="1">
        <v>17920</v>
      </c>
      <c r="AV2212">
        <v>80</v>
      </c>
      <c r="AX2212" s="1">
        <v>2075.98</v>
      </c>
      <c r="AY2212" t="s">
        <v>4370</v>
      </c>
      <c r="AZ2212" t="s">
        <v>777</v>
      </c>
      <c r="BA2212" t="s">
        <v>572</v>
      </c>
      <c r="BE2212" s="3">
        <v>42291</v>
      </c>
      <c r="BF2212" s="1">
        <v>259000</v>
      </c>
      <c r="BG2212" t="s">
        <v>14871</v>
      </c>
      <c r="BH2212" s="1">
        <v>139.47</v>
      </c>
      <c r="BI2212" s="1">
        <v>258671</v>
      </c>
      <c r="BJ2212" s="3">
        <v>42478</v>
      </c>
      <c r="BK2212" t="s">
        <v>123</v>
      </c>
      <c r="BL2212" t="str">
        <f>"2016.254175"</f>
        <v>2016.254175</v>
      </c>
      <c r="BM2212" t="s">
        <v>492</v>
      </c>
      <c r="BO2212" t="s">
        <v>14872</v>
      </c>
      <c r="BS2212">
        <v>30</v>
      </c>
      <c r="BW2212" t="str">
        <f>""</f>
        <v/>
      </c>
      <c r="CH2212" t="str">
        <f>""</f>
        <v/>
      </c>
      <c r="CS2212" t="str">
        <f>""</f>
        <v/>
      </c>
    </row>
    <row r="2213" spans="1:97" x14ac:dyDescent="0.25">
      <c r="A2213" t="s">
        <v>305</v>
      </c>
      <c r="B2213" t="s">
        <v>1089</v>
      </c>
      <c r="C2213" t="s">
        <v>2640</v>
      </c>
      <c r="D2213" t="s">
        <v>1089</v>
      </c>
      <c r="E2213" t="s">
        <v>14873</v>
      </c>
      <c r="F2213" t="s">
        <v>139</v>
      </c>
      <c r="H2213" t="s">
        <v>14874</v>
      </c>
      <c r="I2213" t="s">
        <v>499</v>
      </c>
      <c r="J2213" t="s">
        <v>111</v>
      </c>
      <c r="K2213" t="str">
        <f>"85338"</f>
        <v>85338</v>
      </c>
      <c r="L2213" t="s">
        <v>5325</v>
      </c>
      <c r="M2213" t="s">
        <v>14875</v>
      </c>
      <c r="N2213" t="s">
        <v>499</v>
      </c>
      <c r="O2213" t="s">
        <v>111</v>
      </c>
      <c r="P2213" t="str">
        <f>"85338-5611"</f>
        <v>85338-5611</v>
      </c>
      <c r="Q2213" t="s">
        <v>113</v>
      </c>
      <c r="R2213" t="str">
        <f>"400-79-451"</f>
        <v>400-79-451</v>
      </c>
      <c r="S2213" t="s">
        <v>14876</v>
      </c>
      <c r="U2213">
        <v>2455</v>
      </c>
      <c r="V2213">
        <v>0</v>
      </c>
      <c r="W2213">
        <v>4</v>
      </c>
      <c r="X2213">
        <v>2002</v>
      </c>
      <c r="Z2213">
        <v>2</v>
      </c>
      <c r="AB2213">
        <v>0</v>
      </c>
      <c r="AC2213" t="s">
        <v>115</v>
      </c>
      <c r="AD2213">
        <v>2</v>
      </c>
      <c r="AE2213" t="s">
        <v>115</v>
      </c>
      <c r="AF2213">
        <v>0</v>
      </c>
      <c r="AG2213">
        <v>0</v>
      </c>
      <c r="AH2213" t="s">
        <v>116</v>
      </c>
      <c r="AI2213" s="1">
        <v>66038</v>
      </c>
      <c r="AJ2213" s="2">
        <v>0.2</v>
      </c>
      <c r="AK2213" s="1">
        <v>333804</v>
      </c>
      <c r="AL2213" t="s">
        <v>117</v>
      </c>
      <c r="AM2213" t="s">
        <v>118</v>
      </c>
      <c r="AN2213">
        <v>7124</v>
      </c>
      <c r="AO2213">
        <v>0.16</v>
      </c>
      <c r="AP2213">
        <v>1</v>
      </c>
      <c r="AR2213">
        <v>1</v>
      </c>
      <c r="AS2213" s="1">
        <v>21480</v>
      </c>
      <c r="AT2213" s="1">
        <v>4290</v>
      </c>
      <c r="AU2213" s="1">
        <v>17190</v>
      </c>
      <c r="AV2213">
        <v>80.03</v>
      </c>
      <c r="AX2213" s="1">
        <v>2221.14</v>
      </c>
      <c r="AY2213" t="s">
        <v>4236</v>
      </c>
      <c r="AZ2213" t="s">
        <v>4236</v>
      </c>
      <c r="BA2213" t="s">
        <v>1247</v>
      </c>
      <c r="BE2213" s="3">
        <v>42187</v>
      </c>
      <c r="BF2213" s="1">
        <v>253000</v>
      </c>
      <c r="BG2213" t="s">
        <v>14877</v>
      </c>
      <c r="BH2213" s="1">
        <v>103.05</v>
      </c>
      <c r="BI2213" s="1">
        <v>267766</v>
      </c>
      <c r="BJ2213" s="3">
        <v>42628</v>
      </c>
      <c r="BK2213" t="s">
        <v>123</v>
      </c>
      <c r="BL2213" t="str">
        <f>"2016.668620"</f>
        <v>2016.668620</v>
      </c>
      <c r="BM2213" t="s">
        <v>1695</v>
      </c>
      <c r="BN2213" t="s">
        <v>3082</v>
      </c>
      <c r="BO2213" t="s">
        <v>14878</v>
      </c>
      <c r="BS2213">
        <v>30</v>
      </c>
      <c r="BW2213" t="str">
        <f>""</f>
        <v/>
      </c>
      <c r="CH2213" t="str">
        <f>""</f>
        <v/>
      </c>
      <c r="CS2213" t="str">
        <f>""</f>
        <v/>
      </c>
    </row>
    <row r="2214" spans="1:97" x14ac:dyDescent="0.25">
      <c r="A2214" t="s">
        <v>1423</v>
      </c>
      <c r="B2214" t="s">
        <v>2620</v>
      </c>
      <c r="E2214" t="s">
        <v>14879</v>
      </c>
      <c r="F2214" t="s">
        <v>282</v>
      </c>
      <c r="H2214" t="s">
        <v>14880</v>
      </c>
      <c r="I2214" t="s">
        <v>110</v>
      </c>
      <c r="J2214" t="s">
        <v>111</v>
      </c>
      <c r="K2214" t="str">
        <f>"85224"</f>
        <v>85224</v>
      </c>
      <c r="L2214" t="s">
        <v>5209</v>
      </c>
      <c r="M2214" t="s">
        <v>14881</v>
      </c>
      <c r="N2214" t="s">
        <v>110</v>
      </c>
      <c r="O2214" t="s">
        <v>111</v>
      </c>
      <c r="P2214" t="str">
        <f>"85224-8632"</f>
        <v>85224-8632</v>
      </c>
      <c r="Q2214" t="s">
        <v>113</v>
      </c>
      <c r="R2214" t="str">
        <f>"302-81-721"</f>
        <v>302-81-721</v>
      </c>
      <c r="S2214" t="s">
        <v>14882</v>
      </c>
      <c r="T2214" t="s">
        <v>8456</v>
      </c>
      <c r="U2214">
        <v>1452</v>
      </c>
      <c r="V2214">
        <v>0</v>
      </c>
      <c r="W2214">
        <v>3</v>
      </c>
      <c r="X2214">
        <v>1983</v>
      </c>
      <c r="Z2214">
        <v>1</v>
      </c>
      <c r="AB2214">
        <v>0</v>
      </c>
      <c r="AC2214" t="s">
        <v>115</v>
      </c>
      <c r="AD2214">
        <v>2</v>
      </c>
      <c r="AE2214" t="s">
        <v>115</v>
      </c>
      <c r="AF2214">
        <v>0</v>
      </c>
      <c r="AG2214">
        <v>0</v>
      </c>
      <c r="AH2214" t="s">
        <v>116</v>
      </c>
      <c r="AI2214" s="1">
        <v>65499</v>
      </c>
      <c r="AJ2214" s="2">
        <v>0.22</v>
      </c>
      <c r="AK2214" s="1">
        <v>293792</v>
      </c>
      <c r="AL2214" t="s">
        <v>117</v>
      </c>
      <c r="AM2214" t="s">
        <v>5077</v>
      </c>
      <c r="AN2214">
        <v>10308</v>
      </c>
      <c r="AO2214">
        <v>0.24</v>
      </c>
      <c r="AP2214">
        <v>1</v>
      </c>
      <c r="AR2214">
        <v>1</v>
      </c>
      <c r="AS2214" s="1">
        <v>19730</v>
      </c>
      <c r="AT2214" s="1">
        <v>3940</v>
      </c>
      <c r="AU2214" s="1">
        <v>15790</v>
      </c>
      <c r="AV2214">
        <v>80.03</v>
      </c>
      <c r="AX2214" s="1">
        <v>1469.24</v>
      </c>
      <c r="AY2214" t="s">
        <v>5722</v>
      </c>
      <c r="AZ2214" t="s">
        <v>5078</v>
      </c>
      <c r="BA2214" t="s">
        <v>2957</v>
      </c>
      <c r="BE2214" s="3">
        <v>42187</v>
      </c>
      <c r="BF2214" s="1">
        <v>221000</v>
      </c>
      <c r="BG2214" t="s">
        <v>5716</v>
      </c>
      <c r="BH2214" s="1">
        <v>152.19999999999999</v>
      </c>
      <c r="BI2214" s="1">
        <v>228293</v>
      </c>
      <c r="BJ2214" s="3">
        <v>42187</v>
      </c>
      <c r="BK2214" t="s">
        <v>123</v>
      </c>
      <c r="BL2214" t="str">
        <f>"2015.479523"</f>
        <v>2015.479523</v>
      </c>
      <c r="BM2214" t="s">
        <v>5832</v>
      </c>
      <c r="BO2214" t="s">
        <v>14883</v>
      </c>
      <c r="BS2214">
        <v>30</v>
      </c>
      <c r="BW2214" t="str">
        <f>""</f>
        <v/>
      </c>
      <c r="CH2214" t="str">
        <f>""</f>
        <v/>
      </c>
      <c r="CS2214" t="str">
        <f>""</f>
        <v/>
      </c>
    </row>
    <row r="2215" spans="1:97" x14ac:dyDescent="0.25">
      <c r="A2215" t="s">
        <v>3924</v>
      </c>
      <c r="B2215" t="s">
        <v>14884</v>
      </c>
      <c r="E2215" t="s">
        <v>14885</v>
      </c>
      <c r="F2215" t="s">
        <v>108</v>
      </c>
      <c r="H2215" t="s">
        <v>14886</v>
      </c>
      <c r="I2215" t="s">
        <v>390</v>
      </c>
      <c r="J2215" t="s">
        <v>111</v>
      </c>
      <c r="K2215" t="str">
        <f>"85048"</f>
        <v>85048</v>
      </c>
      <c r="L2215" t="s">
        <v>8034</v>
      </c>
      <c r="M2215" t="s">
        <v>14886</v>
      </c>
      <c r="N2215" t="s">
        <v>390</v>
      </c>
      <c r="O2215" t="s">
        <v>111</v>
      </c>
      <c r="P2215" t="str">
        <f>"85048-6251"</f>
        <v>85048-6251</v>
      </c>
      <c r="Q2215" t="s">
        <v>113</v>
      </c>
      <c r="R2215" t="str">
        <f>"300-97-132"</f>
        <v>300-97-132</v>
      </c>
      <c r="S2215" t="s">
        <v>14887</v>
      </c>
      <c r="U2215">
        <v>1759</v>
      </c>
      <c r="V2215">
        <v>0</v>
      </c>
      <c r="W2215">
        <v>4</v>
      </c>
      <c r="X2215">
        <v>1995</v>
      </c>
      <c r="Z2215">
        <v>2</v>
      </c>
      <c r="AB2215">
        <v>0</v>
      </c>
      <c r="AC2215" t="s">
        <v>115</v>
      </c>
      <c r="AD2215">
        <v>2</v>
      </c>
      <c r="AE2215" t="s">
        <v>115</v>
      </c>
      <c r="AF2215">
        <v>0</v>
      </c>
      <c r="AG2215">
        <v>0</v>
      </c>
      <c r="AH2215" t="s">
        <v>116</v>
      </c>
      <c r="AI2215" s="1">
        <v>64969</v>
      </c>
      <c r="AJ2215" s="2">
        <v>0.22</v>
      </c>
      <c r="AK2215" s="1">
        <v>297295</v>
      </c>
      <c r="AL2215" t="s">
        <v>117</v>
      </c>
      <c r="AM2215" t="s">
        <v>3345</v>
      </c>
      <c r="AN2215">
        <v>3672</v>
      </c>
      <c r="AO2215">
        <v>0.84</v>
      </c>
      <c r="AP2215">
        <v>1</v>
      </c>
      <c r="AR2215">
        <v>1</v>
      </c>
      <c r="AS2215" s="1">
        <v>19910</v>
      </c>
      <c r="AT2215" s="1">
        <v>3980</v>
      </c>
      <c r="AU2215" s="1">
        <v>15930</v>
      </c>
      <c r="AV2215">
        <v>80.010000000000005</v>
      </c>
      <c r="AX2215" s="1">
        <v>1792.86</v>
      </c>
      <c r="AY2215" t="s">
        <v>6202</v>
      </c>
      <c r="AZ2215" t="s">
        <v>2967</v>
      </c>
      <c r="BA2215" t="s">
        <v>930</v>
      </c>
      <c r="BE2215" s="3">
        <v>41975</v>
      </c>
      <c r="BF2215" s="1">
        <v>225500</v>
      </c>
      <c r="BG2215" t="s">
        <v>14888</v>
      </c>
      <c r="BH2215" s="1">
        <v>128.19999999999999</v>
      </c>
      <c r="BI2215" s="1">
        <v>232326</v>
      </c>
      <c r="BJ2215" s="3">
        <v>41975</v>
      </c>
      <c r="BK2215" t="s">
        <v>123</v>
      </c>
      <c r="BL2215" t="str">
        <f>"2014.794166"</f>
        <v>2014.794166</v>
      </c>
      <c r="BM2215" t="s">
        <v>724</v>
      </c>
      <c r="BO2215" t="s">
        <v>14889</v>
      </c>
      <c r="BS2215">
        <v>30</v>
      </c>
      <c r="BW2215" t="str">
        <f>""</f>
        <v/>
      </c>
      <c r="CH2215" t="str">
        <f>""</f>
        <v/>
      </c>
      <c r="CS2215" t="str">
        <f>""</f>
        <v/>
      </c>
    </row>
    <row r="2216" spans="1:97" x14ac:dyDescent="0.25">
      <c r="A2216" t="s">
        <v>996</v>
      </c>
      <c r="B2216" t="s">
        <v>12068</v>
      </c>
      <c r="C2216" t="s">
        <v>14890</v>
      </c>
      <c r="D2216" t="s">
        <v>12068</v>
      </c>
      <c r="E2216" t="s">
        <v>14891</v>
      </c>
      <c r="F2216" t="s">
        <v>108</v>
      </c>
      <c r="H2216" t="s">
        <v>14892</v>
      </c>
      <c r="I2216" t="s">
        <v>1788</v>
      </c>
      <c r="J2216" t="s">
        <v>111</v>
      </c>
      <c r="K2216" t="str">
        <f>"85355"</f>
        <v>85355</v>
      </c>
      <c r="L2216" t="s">
        <v>168</v>
      </c>
      <c r="M2216" t="s">
        <v>14892</v>
      </c>
      <c r="N2216" t="s">
        <v>1788</v>
      </c>
      <c r="O2216" t="s">
        <v>111</v>
      </c>
      <c r="P2216" t="str">
        <f>"85355-4462"</f>
        <v>85355-4462</v>
      </c>
      <c r="Q2216" t="s">
        <v>113</v>
      </c>
      <c r="R2216" t="str">
        <f>"502-90-479"</f>
        <v>502-90-479</v>
      </c>
      <c r="S2216" t="s">
        <v>8290</v>
      </c>
      <c r="T2216" t="s">
        <v>8290</v>
      </c>
      <c r="U2216">
        <v>2507</v>
      </c>
      <c r="V2216">
        <v>0</v>
      </c>
      <c r="W2216">
        <v>4</v>
      </c>
      <c r="X2216">
        <v>2014</v>
      </c>
      <c r="Z2216">
        <v>1</v>
      </c>
      <c r="AB2216">
        <v>0</v>
      </c>
      <c r="AC2216" t="s">
        <v>115</v>
      </c>
      <c r="AD2216">
        <v>2</v>
      </c>
      <c r="AE2216" t="s">
        <v>115</v>
      </c>
      <c r="AF2216">
        <v>0</v>
      </c>
      <c r="AG2216">
        <v>0</v>
      </c>
      <c r="AH2216" t="s">
        <v>116</v>
      </c>
      <c r="AI2216" s="1">
        <v>31617</v>
      </c>
      <c r="AJ2216" s="2">
        <v>0.1</v>
      </c>
      <c r="AK2216" s="1">
        <v>329410</v>
      </c>
      <c r="AL2216" t="s">
        <v>117</v>
      </c>
      <c r="AM2216" t="s">
        <v>191</v>
      </c>
      <c r="AN2216">
        <v>8750</v>
      </c>
      <c r="AO2216">
        <v>0.2</v>
      </c>
      <c r="AR2216">
        <v>1</v>
      </c>
      <c r="AS2216" s="1">
        <v>23980</v>
      </c>
      <c r="AT2216" s="1">
        <v>4790</v>
      </c>
      <c r="AU2216" s="1">
        <v>19190</v>
      </c>
      <c r="AV2216">
        <v>80.03</v>
      </c>
      <c r="AX2216" s="1">
        <v>1586.64</v>
      </c>
      <c r="AY2216" t="s">
        <v>5972</v>
      </c>
      <c r="AZ2216" t="s">
        <v>5972</v>
      </c>
      <c r="BA2216" t="s">
        <v>5061</v>
      </c>
      <c r="BE2216" s="3">
        <v>41935</v>
      </c>
      <c r="BF2216" s="1">
        <v>288280</v>
      </c>
      <c r="BG2216" t="s">
        <v>158</v>
      </c>
      <c r="BH2216" s="1">
        <v>114.99</v>
      </c>
      <c r="BI2216" s="1">
        <v>297793</v>
      </c>
      <c r="BJ2216" s="3">
        <v>41935</v>
      </c>
      <c r="BK2216" t="s">
        <v>123</v>
      </c>
      <c r="BL2216" t="str">
        <f>"2014.703260"</f>
        <v>2014.703260</v>
      </c>
      <c r="BM2216" t="s">
        <v>241</v>
      </c>
      <c r="BO2216" t="s">
        <v>14893</v>
      </c>
      <c r="BS2216">
        <v>30</v>
      </c>
      <c r="BW2216" t="str">
        <f>""</f>
        <v/>
      </c>
      <c r="CH2216" t="str">
        <f>""</f>
        <v/>
      </c>
      <c r="CS2216" t="str">
        <f>""</f>
        <v/>
      </c>
    </row>
    <row r="2217" spans="1:97" x14ac:dyDescent="0.25">
      <c r="A2217" t="s">
        <v>7143</v>
      </c>
      <c r="B2217" t="s">
        <v>14894</v>
      </c>
      <c r="C2217" t="s">
        <v>349</v>
      </c>
      <c r="D2217" t="s">
        <v>14894</v>
      </c>
      <c r="E2217" t="s">
        <v>14895</v>
      </c>
      <c r="F2217" t="s">
        <v>108</v>
      </c>
      <c r="H2217" t="s">
        <v>14896</v>
      </c>
      <c r="I2217" t="s">
        <v>390</v>
      </c>
      <c r="J2217" t="s">
        <v>111</v>
      </c>
      <c r="K2217" t="str">
        <f>"85003"</f>
        <v>85003</v>
      </c>
      <c r="L2217" t="s">
        <v>2963</v>
      </c>
      <c r="M2217" t="s">
        <v>14896</v>
      </c>
      <c r="N2217" t="s">
        <v>390</v>
      </c>
      <c r="O2217" t="s">
        <v>111</v>
      </c>
      <c r="P2217" t="str">
        <f>"85003-1128"</f>
        <v>85003-1128</v>
      </c>
      <c r="Q2217" t="s">
        <v>113</v>
      </c>
      <c r="R2217" t="str">
        <f>"118-50-146"</f>
        <v>118-50-146</v>
      </c>
      <c r="S2217" t="s">
        <v>14897</v>
      </c>
      <c r="T2217" t="s">
        <v>14897</v>
      </c>
      <c r="U2217">
        <v>1741</v>
      </c>
      <c r="V2217">
        <v>0</v>
      </c>
      <c r="W2217">
        <v>2</v>
      </c>
      <c r="X2217">
        <v>1954</v>
      </c>
      <c r="Z2217">
        <v>1</v>
      </c>
      <c r="AA2217" t="s">
        <v>26</v>
      </c>
      <c r="AB2217">
        <v>0</v>
      </c>
      <c r="AC2217" t="s">
        <v>5188</v>
      </c>
      <c r="AD2217">
        <v>1</v>
      </c>
      <c r="AE2217" t="s">
        <v>5188</v>
      </c>
      <c r="AF2217">
        <v>0</v>
      </c>
      <c r="AG2217">
        <v>0</v>
      </c>
      <c r="AH2217" t="s">
        <v>116</v>
      </c>
      <c r="AI2217" s="1">
        <v>201466</v>
      </c>
      <c r="AJ2217" s="2">
        <v>0.36</v>
      </c>
      <c r="AK2217" s="1">
        <v>561466</v>
      </c>
      <c r="AL2217" t="s">
        <v>117</v>
      </c>
      <c r="AM2217" t="s">
        <v>191</v>
      </c>
      <c r="AN2217">
        <v>7593</v>
      </c>
      <c r="AO2217">
        <v>0.17</v>
      </c>
      <c r="AP2217">
        <v>1</v>
      </c>
      <c r="AR2217">
        <v>1</v>
      </c>
      <c r="AS2217" s="1">
        <v>20960</v>
      </c>
      <c r="AT2217" s="1">
        <v>4190</v>
      </c>
      <c r="AU2217" s="1">
        <v>16770</v>
      </c>
      <c r="AV2217">
        <v>80.010000000000005</v>
      </c>
      <c r="AX2217" s="1">
        <v>2930.72</v>
      </c>
      <c r="AY2217" t="s">
        <v>8309</v>
      </c>
      <c r="AZ2217" t="s">
        <v>8309</v>
      </c>
      <c r="BA2217" t="s">
        <v>5469</v>
      </c>
      <c r="BE2217" s="3">
        <v>42277</v>
      </c>
      <c r="BF2217" s="1">
        <v>460000</v>
      </c>
      <c r="BG2217" t="s">
        <v>14898</v>
      </c>
      <c r="BH2217" s="1">
        <v>264.22000000000003</v>
      </c>
      <c r="BI2217" s="1">
        <v>360000</v>
      </c>
      <c r="BJ2217" s="3">
        <v>42277</v>
      </c>
      <c r="BK2217" t="s">
        <v>123</v>
      </c>
      <c r="BL2217" t="str">
        <f>"2015.703098"</f>
        <v>2015.703098</v>
      </c>
      <c r="BM2217" t="s">
        <v>135</v>
      </c>
      <c r="BO2217" t="s">
        <v>14899</v>
      </c>
      <c r="BS2217">
        <v>30</v>
      </c>
      <c r="BW2217" t="str">
        <f>""</f>
        <v/>
      </c>
      <c r="CH2217" t="str">
        <f>""</f>
        <v/>
      </c>
      <c r="CS2217" t="str">
        <f>""</f>
        <v/>
      </c>
    </row>
    <row r="2218" spans="1:97" x14ac:dyDescent="0.25">
      <c r="A2218" t="s">
        <v>691</v>
      </c>
      <c r="B2218" t="s">
        <v>14900</v>
      </c>
      <c r="E2218" t="s">
        <v>14901</v>
      </c>
      <c r="F2218" t="s">
        <v>108</v>
      </c>
      <c r="H2218" t="s">
        <v>14902</v>
      </c>
      <c r="I2218" t="s">
        <v>6646</v>
      </c>
      <c r="J2218" t="s">
        <v>111</v>
      </c>
      <c r="K2218" t="str">
        <f>"85086"</f>
        <v>85086</v>
      </c>
      <c r="L2218" t="s">
        <v>3161</v>
      </c>
      <c r="M2218" t="s">
        <v>14902</v>
      </c>
      <c r="N2218" t="s">
        <v>6646</v>
      </c>
      <c r="O2218" t="s">
        <v>111</v>
      </c>
      <c r="P2218" t="str">
        <f>"85086-8007"</f>
        <v>85086-8007</v>
      </c>
      <c r="Q2218" t="s">
        <v>113</v>
      </c>
      <c r="R2218" t="str">
        <f>"202-22-085"</f>
        <v>202-22-085</v>
      </c>
      <c r="S2218" t="s">
        <v>14903</v>
      </c>
      <c r="T2218" t="s">
        <v>14904</v>
      </c>
      <c r="U2218">
        <v>2568</v>
      </c>
      <c r="V2218">
        <v>0</v>
      </c>
      <c r="W2218">
        <v>4</v>
      </c>
      <c r="X2218">
        <v>2003</v>
      </c>
      <c r="Z2218">
        <v>2</v>
      </c>
      <c r="AB2218">
        <v>0</v>
      </c>
      <c r="AC2218" t="s">
        <v>115</v>
      </c>
      <c r="AD2218">
        <v>2</v>
      </c>
      <c r="AE2218" t="s">
        <v>115</v>
      </c>
      <c r="AF2218">
        <v>0</v>
      </c>
      <c r="AG2218">
        <v>0</v>
      </c>
      <c r="AH2218" t="s">
        <v>116</v>
      </c>
      <c r="AI2218" s="1">
        <v>71377</v>
      </c>
      <c r="AJ2218" s="2">
        <v>0.22</v>
      </c>
      <c r="AK2218" s="1">
        <v>325730</v>
      </c>
      <c r="AL2218" t="s">
        <v>117</v>
      </c>
      <c r="AM2218" t="s">
        <v>191</v>
      </c>
      <c r="AN2218">
        <v>4951</v>
      </c>
      <c r="AO2218">
        <v>0.11</v>
      </c>
      <c r="AP2218">
        <v>1</v>
      </c>
      <c r="AR2218">
        <v>1</v>
      </c>
      <c r="AS2218" s="1">
        <v>21630</v>
      </c>
      <c r="AT2218" s="1">
        <v>4320</v>
      </c>
      <c r="AU2218" s="1">
        <v>17310</v>
      </c>
      <c r="AV2218">
        <v>80.03</v>
      </c>
      <c r="AX2218" s="1">
        <v>2280.58</v>
      </c>
      <c r="AY2218" t="s">
        <v>5380</v>
      </c>
      <c r="AZ2218" t="s">
        <v>5380</v>
      </c>
      <c r="BA2218" t="s">
        <v>378</v>
      </c>
      <c r="BE2218" s="3">
        <v>42219</v>
      </c>
      <c r="BF2218" s="1">
        <v>249000</v>
      </c>
      <c r="BG2218" t="s">
        <v>14905</v>
      </c>
      <c r="BH2218" s="1">
        <v>96.96</v>
      </c>
      <c r="BI2218" s="1">
        <v>254353</v>
      </c>
      <c r="BJ2218" s="3">
        <v>42219</v>
      </c>
      <c r="BK2218" t="s">
        <v>123</v>
      </c>
      <c r="BL2218" t="str">
        <f>"2015.561511"</f>
        <v>2015.561511</v>
      </c>
      <c r="BM2218" t="s">
        <v>7181</v>
      </c>
      <c r="BO2218" t="s">
        <v>14906</v>
      </c>
      <c r="BS2218">
        <v>30</v>
      </c>
      <c r="BW2218" t="str">
        <f>""</f>
        <v/>
      </c>
      <c r="CH2218" t="str">
        <f>""</f>
        <v/>
      </c>
      <c r="CS2218" t="str">
        <f>""</f>
        <v/>
      </c>
    </row>
    <row r="2219" spans="1:97" x14ac:dyDescent="0.25">
      <c r="A2219" t="s">
        <v>1187</v>
      </c>
      <c r="B2219" t="s">
        <v>14907</v>
      </c>
      <c r="E2219" t="s">
        <v>14908</v>
      </c>
      <c r="F2219" t="s">
        <v>108</v>
      </c>
      <c r="H2219" t="s">
        <v>14909</v>
      </c>
      <c r="I2219" t="s">
        <v>5636</v>
      </c>
      <c r="J2219" t="s">
        <v>111</v>
      </c>
      <c r="K2219" t="str">
        <f>"85268"</f>
        <v>85268</v>
      </c>
      <c r="L2219" t="s">
        <v>168</v>
      </c>
      <c r="M2219" t="s">
        <v>14909</v>
      </c>
      <c r="N2219" t="s">
        <v>5636</v>
      </c>
      <c r="O2219" t="s">
        <v>111</v>
      </c>
      <c r="P2219" t="str">
        <f>"85268-2621"</f>
        <v>85268-2621</v>
      </c>
      <c r="Q2219" t="s">
        <v>113</v>
      </c>
      <c r="R2219" t="str">
        <f>"176-04-230"</f>
        <v>176-04-230</v>
      </c>
      <c r="S2219" t="s">
        <v>10825</v>
      </c>
      <c r="U2219">
        <v>1731</v>
      </c>
      <c r="V2219">
        <v>0</v>
      </c>
      <c r="W2219">
        <v>3</v>
      </c>
      <c r="X2219">
        <v>1995</v>
      </c>
      <c r="Z2219">
        <v>1</v>
      </c>
      <c r="AB2219">
        <v>0</v>
      </c>
      <c r="AC2219" t="s">
        <v>115</v>
      </c>
      <c r="AD2219">
        <v>2</v>
      </c>
      <c r="AE2219" t="s">
        <v>115</v>
      </c>
      <c r="AF2219">
        <v>0</v>
      </c>
      <c r="AG2219">
        <v>0</v>
      </c>
      <c r="AH2219" t="s">
        <v>116</v>
      </c>
      <c r="AI2219" s="1">
        <v>74836</v>
      </c>
      <c r="AJ2219" s="2">
        <v>0.21</v>
      </c>
      <c r="AK2219" s="1">
        <v>362336</v>
      </c>
      <c r="AL2219" t="s">
        <v>117</v>
      </c>
      <c r="AM2219" t="s">
        <v>171</v>
      </c>
      <c r="AN2219">
        <v>10001</v>
      </c>
      <c r="AO2219">
        <v>0.23</v>
      </c>
      <c r="AP2219">
        <v>1</v>
      </c>
      <c r="AR2219">
        <v>1</v>
      </c>
      <c r="AS2219" s="1">
        <v>24810</v>
      </c>
      <c r="AT2219" s="1">
        <v>4960</v>
      </c>
      <c r="AU2219" s="1">
        <v>19850</v>
      </c>
      <c r="AV2219">
        <v>80.010000000000005</v>
      </c>
      <c r="AX2219" s="1">
        <v>1421.66</v>
      </c>
      <c r="AY2219" t="s">
        <v>6485</v>
      </c>
      <c r="AZ2219" t="s">
        <v>5640</v>
      </c>
      <c r="BA2219" t="s">
        <v>5641</v>
      </c>
      <c r="BB2219" s="3">
        <v>43619</v>
      </c>
      <c r="BC2219" s="1">
        <v>0</v>
      </c>
      <c r="BD2219" t="s">
        <v>247</v>
      </c>
      <c r="BE2219" s="3">
        <v>42136</v>
      </c>
      <c r="BF2219" s="1">
        <v>269000</v>
      </c>
      <c r="BG2219" t="s">
        <v>14910</v>
      </c>
      <c r="BH2219" s="1">
        <v>155.4</v>
      </c>
      <c r="BI2219" s="1">
        <v>287500</v>
      </c>
      <c r="BJ2219" s="3">
        <v>43619</v>
      </c>
      <c r="BK2219" t="s">
        <v>123</v>
      </c>
      <c r="BL2219" t="str">
        <f>"2019.408489"</f>
        <v>2019.408489</v>
      </c>
      <c r="BM2219" t="s">
        <v>2051</v>
      </c>
      <c r="BN2219" t="s">
        <v>5449</v>
      </c>
      <c r="BO2219" t="s">
        <v>14911</v>
      </c>
      <c r="BR2219" t="s">
        <v>139</v>
      </c>
      <c r="BW2219" t="str">
        <f>""</f>
        <v/>
      </c>
      <c r="CH2219" t="str">
        <f>""</f>
        <v/>
      </c>
      <c r="CS2219" t="str">
        <f>""</f>
        <v/>
      </c>
    </row>
    <row r="2220" spans="1:97" x14ac:dyDescent="0.25">
      <c r="A2220" t="s">
        <v>1466</v>
      </c>
      <c r="B2220" t="s">
        <v>478</v>
      </c>
      <c r="C2220" t="s">
        <v>986</v>
      </c>
      <c r="D2220" t="s">
        <v>478</v>
      </c>
      <c r="E2220" t="s">
        <v>14912</v>
      </c>
      <c r="F2220" t="s">
        <v>108</v>
      </c>
      <c r="H2220" t="s">
        <v>14913</v>
      </c>
      <c r="I2220" t="s">
        <v>2874</v>
      </c>
      <c r="J2220" t="s">
        <v>111</v>
      </c>
      <c r="K2220" t="str">
        <f>"85304"</f>
        <v>85304</v>
      </c>
      <c r="L2220" t="s">
        <v>5308</v>
      </c>
      <c r="M2220" t="s">
        <v>14913</v>
      </c>
      <c r="N2220" t="s">
        <v>2874</v>
      </c>
      <c r="O2220" t="s">
        <v>111</v>
      </c>
      <c r="P2220" t="str">
        <f>"85304-2928"</f>
        <v>85304-2928</v>
      </c>
      <c r="Q2220" t="s">
        <v>113</v>
      </c>
      <c r="R2220" t="str">
        <f>"148-02-141"</f>
        <v>148-02-141</v>
      </c>
      <c r="S2220" t="s">
        <v>14914</v>
      </c>
      <c r="T2220" t="s">
        <v>10886</v>
      </c>
      <c r="U2220">
        <v>1953</v>
      </c>
      <c r="V2220">
        <v>0</v>
      </c>
      <c r="W2220">
        <v>3</v>
      </c>
      <c r="X2220">
        <v>1973</v>
      </c>
      <c r="Z2220">
        <v>1</v>
      </c>
      <c r="AA2220" t="s">
        <v>26</v>
      </c>
      <c r="AB2220">
        <v>0</v>
      </c>
      <c r="AC2220" t="s">
        <v>115</v>
      </c>
      <c r="AD2220">
        <v>2</v>
      </c>
      <c r="AE2220" t="s">
        <v>115</v>
      </c>
      <c r="AF2220">
        <v>0</v>
      </c>
      <c r="AG2220">
        <v>0</v>
      </c>
      <c r="AH2220" t="s">
        <v>116</v>
      </c>
      <c r="AI2220" s="1">
        <v>68754</v>
      </c>
      <c r="AJ2220" s="2">
        <v>0.25</v>
      </c>
      <c r="AK2220" s="1">
        <v>273054</v>
      </c>
      <c r="AL2220" t="s">
        <v>117</v>
      </c>
      <c r="AM2220" t="s">
        <v>191</v>
      </c>
      <c r="AN2220">
        <v>10061</v>
      </c>
      <c r="AO2220">
        <v>0.23</v>
      </c>
      <c r="AP2220">
        <v>1</v>
      </c>
      <c r="AR2220">
        <v>1</v>
      </c>
      <c r="AS2220" s="1">
        <v>18880</v>
      </c>
      <c r="AT2220" s="1">
        <v>3770</v>
      </c>
      <c r="AU2220" s="1">
        <v>15110</v>
      </c>
      <c r="AV2220">
        <v>80.03</v>
      </c>
      <c r="AX2220" s="1">
        <v>1387.82</v>
      </c>
      <c r="AY2220" t="s">
        <v>10887</v>
      </c>
      <c r="AZ2220" t="s">
        <v>6986</v>
      </c>
      <c r="BA2220" t="s">
        <v>10888</v>
      </c>
      <c r="BE2220" s="3">
        <v>42114</v>
      </c>
      <c r="BF2220" s="1">
        <v>200000</v>
      </c>
      <c r="BG2220" t="s">
        <v>14915</v>
      </c>
      <c r="BH2220" s="1">
        <v>102.41</v>
      </c>
      <c r="BI2220" s="1">
        <v>204300</v>
      </c>
      <c r="BJ2220" s="3">
        <v>42114</v>
      </c>
      <c r="BK2220" t="s">
        <v>123</v>
      </c>
      <c r="BL2220" t="str">
        <f>"2015.269200"</f>
        <v>2015.269200</v>
      </c>
      <c r="BM2220" t="s">
        <v>2489</v>
      </c>
      <c r="BO2220" t="s">
        <v>14916</v>
      </c>
      <c r="BS2220">
        <v>30</v>
      </c>
      <c r="BW2220" t="str">
        <f>""</f>
        <v/>
      </c>
      <c r="CH2220" t="str">
        <f>""</f>
        <v/>
      </c>
      <c r="CS2220" t="str">
        <f>""</f>
        <v/>
      </c>
    </row>
    <row r="2221" spans="1:97" x14ac:dyDescent="0.25">
      <c r="A2221" t="s">
        <v>1109</v>
      </c>
      <c r="B2221" t="s">
        <v>14917</v>
      </c>
      <c r="E2221" t="s">
        <v>14918</v>
      </c>
      <c r="F2221" t="s">
        <v>282</v>
      </c>
      <c r="H2221" t="s">
        <v>14919</v>
      </c>
      <c r="I2221" t="s">
        <v>225</v>
      </c>
      <c r="J2221" t="s">
        <v>111</v>
      </c>
      <c r="K2221" t="str">
        <f>"85209"</f>
        <v>85209</v>
      </c>
      <c r="L2221" t="s">
        <v>9060</v>
      </c>
      <c r="M2221" t="s">
        <v>14920</v>
      </c>
      <c r="N2221" t="s">
        <v>225</v>
      </c>
      <c r="O2221" t="s">
        <v>111</v>
      </c>
      <c r="P2221" t="str">
        <f>"85202-6929"</f>
        <v>85202-6929</v>
      </c>
      <c r="Q2221" t="s">
        <v>113</v>
      </c>
      <c r="R2221" t="str">
        <f>"309-07-853"</f>
        <v>309-07-853</v>
      </c>
      <c r="S2221" t="s">
        <v>14921</v>
      </c>
      <c r="T2221" t="s">
        <v>6551</v>
      </c>
      <c r="U2221">
        <v>1642</v>
      </c>
      <c r="V2221">
        <v>0</v>
      </c>
      <c r="W2221">
        <v>3</v>
      </c>
      <c r="X2221">
        <v>1995</v>
      </c>
      <c r="Z2221">
        <v>1</v>
      </c>
      <c r="AB2221">
        <v>0</v>
      </c>
      <c r="AC2221" t="s">
        <v>115</v>
      </c>
      <c r="AD2221">
        <v>2</v>
      </c>
      <c r="AE2221" t="s">
        <v>115</v>
      </c>
      <c r="AF2221">
        <v>0</v>
      </c>
      <c r="AG2221">
        <v>0</v>
      </c>
      <c r="AH2221" t="s">
        <v>116</v>
      </c>
      <c r="AI2221" s="1">
        <v>19865</v>
      </c>
      <c r="AJ2221" s="2">
        <v>7.0000000000000007E-2</v>
      </c>
      <c r="AK2221" s="1">
        <v>289865</v>
      </c>
      <c r="AL2221" t="s">
        <v>117</v>
      </c>
      <c r="AM2221" t="s">
        <v>191</v>
      </c>
      <c r="AN2221">
        <v>6294</v>
      </c>
      <c r="AO2221">
        <v>0.14000000000000001</v>
      </c>
      <c r="AP2221">
        <v>1</v>
      </c>
      <c r="AR2221">
        <v>1</v>
      </c>
      <c r="AS2221" s="1">
        <v>19480</v>
      </c>
      <c r="AT2221" s="1">
        <v>3890</v>
      </c>
      <c r="AU2221" s="1">
        <v>15590</v>
      </c>
      <c r="AV2221">
        <v>80.03</v>
      </c>
      <c r="AX2221" s="1">
        <v>1311.5</v>
      </c>
      <c r="AY2221" t="s">
        <v>6552</v>
      </c>
      <c r="AZ2221" t="s">
        <v>571</v>
      </c>
      <c r="BA2221" t="s">
        <v>572</v>
      </c>
      <c r="BE2221" s="3">
        <v>42306</v>
      </c>
      <c r="BF2221" s="1">
        <v>225000</v>
      </c>
      <c r="BG2221" t="s">
        <v>14922</v>
      </c>
      <c r="BH2221" s="1">
        <v>137.03</v>
      </c>
      <c r="BI2221" s="1">
        <v>270000</v>
      </c>
      <c r="BJ2221" s="3">
        <v>43495</v>
      </c>
      <c r="BK2221" t="s">
        <v>123</v>
      </c>
      <c r="BL2221" t="str">
        <f>"2019.63900"</f>
        <v>2019.63900</v>
      </c>
      <c r="BM2221" t="s">
        <v>12307</v>
      </c>
      <c r="BN2221" t="s">
        <v>7780</v>
      </c>
      <c r="BO2221" t="s">
        <v>14918</v>
      </c>
      <c r="BR2221" t="s">
        <v>139</v>
      </c>
      <c r="BW2221" t="str">
        <f>""</f>
        <v/>
      </c>
      <c r="CH2221" t="str">
        <f>""</f>
        <v/>
      </c>
      <c r="CS2221" t="str">
        <f>""</f>
        <v/>
      </c>
    </row>
    <row r="2222" spans="1:97" x14ac:dyDescent="0.25">
      <c r="A2222" t="s">
        <v>370</v>
      </c>
      <c r="B2222" t="s">
        <v>14923</v>
      </c>
      <c r="E2222" t="s">
        <v>14924</v>
      </c>
      <c r="F2222" t="s">
        <v>108</v>
      </c>
      <c r="H2222" t="s">
        <v>14925</v>
      </c>
      <c r="I2222" t="s">
        <v>5387</v>
      </c>
      <c r="J2222" t="s">
        <v>111</v>
      </c>
      <c r="K2222" t="str">
        <f>"85282"</f>
        <v>85282</v>
      </c>
      <c r="L2222" t="s">
        <v>14926</v>
      </c>
      <c r="M2222" t="s">
        <v>14925</v>
      </c>
      <c r="N2222" t="s">
        <v>5387</v>
      </c>
      <c r="O2222" t="s">
        <v>111</v>
      </c>
      <c r="P2222" t="str">
        <f>"85282-5329"</f>
        <v>85282-5329</v>
      </c>
      <c r="Q2222" t="s">
        <v>113</v>
      </c>
      <c r="R2222" t="str">
        <f>"133-53-025"</f>
        <v>133-53-025</v>
      </c>
      <c r="S2222" t="s">
        <v>14927</v>
      </c>
      <c r="T2222" t="s">
        <v>5675</v>
      </c>
      <c r="U2222">
        <v>1538</v>
      </c>
      <c r="V2222">
        <v>0</v>
      </c>
      <c r="W2222">
        <v>2</v>
      </c>
      <c r="X2222">
        <v>1962</v>
      </c>
      <c r="Z2222">
        <v>1</v>
      </c>
      <c r="AA2222" t="s">
        <v>26</v>
      </c>
      <c r="AB2222">
        <v>0</v>
      </c>
      <c r="AC2222" t="s">
        <v>115</v>
      </c>
      <c r="AD2222">
        <v>2</v>
      </c>
      <c r="AE2222" t="s">
        <v>115</v>
      </c>
      <c r="AF2222">
        <v>0</v>
      </c>
      <c r="AG2222">
        <v>0</v>
      </c>
      <c r="AH2222" t="s">
        <v>116</v>
      </c>
      <c r="AI2222" s="1">
        <v>67871</v>
      </c>
      <c r="AJ2222" s="2">
        <v>0.23</v>
      </c>
      <c r="AK2222" s="1">
        <v>298650</v>
      </c>
      <c r="AL2222" t="s">
        <v>117</v>
      </c>
      <c r="AM2222" t="s">
        <v>191</v>
      </c>
      <c r="AN2222">
        <v>7453</v>
      </c>
      <c r="AO2222">
        <v>0.17</v>
      </c>
      <c r="AP2222">
        <v>1</v>
      </c>
      <c r="AR2222">
        <v>1</v>
      </c>
      <c r="AS2222" s="1">
        <v>21860</v>
      </c>
      <c r="AT2222" s="1">
        <v>4370</v>
      </c>
      <c r="AU2222" s="1">
        <v>17490</v>
      </c>
      <c r="AV2222">
        <v>80.010000000000005</v>
      </c>
      <c r="AX2222" s="1">
        <v>1666.8</v>
      </c>
      <c r="AY2222" t="s">
        <v>9517</v>
      </c>
      <c r="AZ2222" t="s">
        <v>11073</v>
      </c>
      <c r="BA2222" t="s">
        <v>9519</v>
      </c>
      <c r="BE2222" s="3">
        <v>42223</v>
      </c>
      <c r="BF2222" s="1">
        <v>225000</v>
      </c>
      <c r="BG2222" t="s">
        <v>14928</v>
      </c>
      <c r="BH2222" s="1">
        <v>146.29</v>
      </c>
      <c r="BI2222" s="1">
        <v>230779</v>
      </c>
      <c r="BJ2222" s="3">
        <v>42626</v>
      </c>
      <c r="BK2222" t="s">
        <v>123</v>
      </c>
      <c r="BL2222" t="str">
        <f>"2016.664523"</f>
        <v>2016.664523</v>
      </c>
      <c r="BM2222" t="s">
        <v>402</v>
      </c>
      <c r="BO2222" t="s">
        <v>14929</v>
      </c>
      <c r="BS2222">
        <v>30</v>
      </c>
      <c r="BW2222" t="str">
        <f>""</f>
        <v/>
      </c>
      <c r="CH2222" t="str">
        <f>""</f>
        <v/>
      </c>
      <c r="CS2222" t="str">
        <f>""</f>
        <v/>
      </c>
    </row>
    <row r="2223" spans="1:97" x14ac:dyDescent="0.25">
      <c r="A2223" t="s">
        <v>1876</v>
      </c>
      <c r="B2223" t="s">
        <v>1722</v>
      </c>
      <c r="C2223" t="s">
        <v>14930</v>
      </c>
      <c r="D2223" t="s">
        <v>1722</v>
      </c>
      <c r="E2223" t="s">
        <v>14931</v>
      </c>
      <c r="F2223" t="s">
        <v>108</v>
      </c>
      <c r="H2223" t="s">
        <v>14932</v>
      </c>
      <c r="I2223" t="s">
        <v>3150</v>
      </c>
      <c r="J2223" t="s">
        <v>111</v>
      </c>
      <c r="K2223" t="str">
        <f>"85340"</f>
        <v>85340</v>
      </c>
      <c r="L2223" t="s">
        <v>1789</v>
      </c>
      <c r="M2223" t="s">
        <v>14932</v>
      </c>
      <c r="N2223" t="s">
        <v>3150</v>
      </c>
      <c r="O2223" t="s">
        <v>111</v>
      </c>
      <c r="P2223" t="str">
        <f>"85340-5347"</f>
        <v>85340-5347</v>
      </c>
      <c r="Q2223" t="s">
        <v>113</v>
      </c>
      <c r="R2223" t="str">
        <f>"508-06-005"</f>
        <v>508-06-005</v>
      </c>
      <c r="S2223" t="s">
        <v>6579</v>
      </c>
      <c r="U2223">
        <v>2120</v>
      </c>
      <c r="V2223">
        <v>0</v>
      </c>
      <c r="W2223">
        <v>3</v>
      </c>
      <c r="X2223">
        <v>2002</v>
      </c>
      <c r="Z2223">
        <v>1</v>
      </c>
      <c r="AA2223" t="s">
        <v>26</v>
      </c>
      <c r="AB2223">
        <v>0</v>
      </c>
      <c r="AC2223" t="s">
        <v>115</v>
      </c>
      <c r="AD2223">
        <v>2</v>
      </c>
      <c r="AE2223" t="s">
        <v>115</v>
      </c>
      <c r="AF2223">
        <v>0</v>
      </c>
      <c r="AG2223">
        <v>0</v>
      </c>
      <c r="AH2223" t="s">
        <v>116</v>
      </c>
      <c r="AI2223" s="1">
        <v>53244</v>
      </c>
      <c r="AJ2223" s="2">
        <v>0.17</v>
      </c>
      <c r="AK2223" s="1">
        <v>306244</v>
      </c>
      <c r="AL2223" t="s">
        <v>117</v>
      </c>
      <c r="AM2223" t="s">
        <v>171</v>
      </c>
      <c r="AN2223">
        <v>18000</v>
      </c>
      <c r="AO2223">
        <v>0.41</v>
      </c>
      <c r="AP2223">
        <v>1</v>
      </c>
      <c r="AR2223">
        <v>1</v>
      </c>
      <c r="AS2223" s="1">
        <v>23320</v>
      </c>
      <c r="AT2223" s="1">
        <v>4660</v>
      </c>
      <c r="AU2223" s="1">
        <v>18660</v>
      </c>
      <c r="AV2223">
        <v>80.02</v>
      </c>
      <c r="AX2223" s="1">
        <v>1828.86</v>
      </c>
      <c r="AY2223" t="s">
        <v>6580</v>
      </c>
      <c r="AZ2223" t="s">
        <v>3153</v>
      </c>
      <c r="BA2223" t="s">
        <v>3154</v>
      </c>
      <c r="BE2223" s="3">
        <v>41852</v>
      </c>
      <c r="BF2223" s="1">
        <v>198000</v>
      </c>
      <c r="BG2223" t="s">
        <v>14933</v>
      </c>
      <c r="BH2223" s="1">
        <v>93.4</v>
      </c>
      <c r="BI2223" s="1">
        <v>228000</v>
      </c>
      <c r="BJ2223" s="3">
        <v>42570</v>
      </c>
      <c r="BK2223" t="s">
        <v>123</v>
      </c>
      <c r="BL2223" t="str">
        <f>"2016.508675"</f>
        <v>2016.508675</v>
      </c>
      <c r="BM2223" t="s">
        <v>5253</v>
      </c>
      <c r="BN2223" t="s">
        <v>14934</v>
      </c>
      <c r="BO2223" t="s">
        <v>14935</v>
      </c>
      <c r="BS2223">
        <v>30</v>
      </c>
      <c r="BT2223" s="1">
        <v>25000</v>
      </c>
      <c r="BU2223" s="3">
        <v>43265</v>
      </c>
      <c r="BW2223" t="str">
        <f>"2018.454544"</f>
        <v>2018.454544</v>
      </c>
      <c r="BX2223" t="s">
        <v>14936</v>
      </c>
      <c r="BY2223" t="s">
        <v>14937</v>
      </c>
      <c r="BZ2223" t="s">
        <v>14938</v>
      </c>
      <c r="CA2223" t="s">
        <v>14939</v>
      </c>
      <c r="CC2223" t="s">
        <v>346</v>
      </c>
      <c r="CH2223" t="str">
        <f>""</f>
        <v/>
      </c>
      <c r="CS2223" t="str">
        <f>""</f>
        <v/>
      </c>
    </row>
    <row r="2224" spans="1:97" x14ac:dyDescent="0.25">
      <c r="A2224" t="s">
        <v>1344</v>
      </c>
      <c r="B2224" t="s">
        <v>14940</v>
      </c>
      <c r="C2224" t="s">
        <v>2281</v>
      </c>
      <c r="D2224" t="s">
        <v>14940</v>
      </c>
      <c r="E2224" t="s">
        <v>14941</v>
      </c>
      <c r="F2224" t="s">
        <v>108</v>
      </c>
      <c r="H2224" t="s">
        <v>14942</v>
      </c>
      <c r="I2224" t="s">
        <v>1397</v>
      </c>
      <c r="J2224" t="s">
        <v>111</v>
      </c>
      <c r="K2224" t="str">
        <f>"85331"</f>
        <v>85331</v>
      </c>
      <c r="L2224" t="s">
        <v>3101</v>
      </c>
      <c r="M2224" t="s">
        <v>14942</v>
      </c>
      <c r="N2224" t="s">
        <v>1397</v>
      </c>
      <c r="O2224" t="s">
        <v>111</v>
      </c>
      <c r="P2224" t="str">
        <f>"85331-3851"</f>
        <v>85331-3851</v>
      </c>
      <c r="Q2224" t="s">
        <v>113</v>
      </c>
      <c r="R2224" t="str">
        <f>"211-88-041"</f>
        <v>211-88-041</v>
      </c>
      <c r="S2224" t="s">
        <v>14943</v>
      </c>
      <c r="U2224">
        <v>1436</v>
      </c>
      <c r="V2224">
        <v>0</v>
      </c>
      <c r="W2224">
        <v>3</v>
      </c>
      <c r="X2224">
        <v>1995</v>
      </c>
      <c r="Z2224">
        <v>1</v>
      </c>
      <c r="AA2224" t="s">
        <v>26</v>
      </c>
      <c r="AB2224">
        <v>0</v>
      </c>
      <c r="AC2224" t="s">
        <v>115</v>
      </c>
      <c r="AD2224">
        <v>2</v>
      </c>
      <c r="AE2224" t="s">
        <v>115</v>
      </c>
      <c r="AF2224">
        <v>0</v>
      </c>
      <c r="AG2224">
        <v>0</v>
      </c>
      <c r="AH2224" t="s">
        <v>116</v>
      </c>
      <c r="AI2224" s="1">
        <v>48713</v>
      </c>
      <c r="AJ2224" s="2">
        <v>0.15</v>
      </c>
      <c r="AK2224" s="1">
        <v>332213</v>
      </c>
      <c r="AL2224" t="s">
        <v>117</v>
      </c>
      <c r="AM2224" t="s">
        <v>1315</v>
      </c>
      <c r="AN2224">
        <v>5000</v>
      </c>
      <c r="AO2224">
        <v>0.12</v>
      </c>
      <c r="AP2224">
        <v>1</v>
      </c>
      <c r="AR2224">
        <v>1</v>
      </c>
      <c r="AS2224" s="1">
        <v>22870</v>
      </c>
      <c r="AT2224" s="1">
        <v>4570</v>
      </c>
      <c r="AU2224" s="1">
        <v>18300</v>
      </c>
      <c r="AV2224">
        <v>80.02</v>
      </c>
      <c r="AX2224" s="1">
        <v>1372.46</v>
      </c>
      <c r="AY2224" t="s">
        <v>7763</v>
      </c>
      <c r="AZ2224" t="s">
        <v>1402</v>
      </c>
      <c r="BA2224" t="s">
        <v>1403</v>
      </c>
      <c r="BE2224" s="3">
        <v>42458</v>
      </c>
      <c r="BF2224" s="1">
        <v>283500</v>
      </c>
      <c r="BG2224" t="s">
        <v>14944</v>
      </c>
      <c r="BH2224" s="1">
        <v>197.42</v>
      </c>
      <c r="BI2224" s="1">
        <v>283500</v>
      </c>
      <c r="BJ2224" s="3">
        <v>42458</v>
      </c>
      <c r="BK2224" t="s">
        <v>123</v>
      </c>
      <c r="BL2224" t="str">
        <f>"2016.201657"</f>
        <v>2016.201657</v>
      </c>
      <c r="BM2224" t="s">
        <v>10728</v>
      </c>
      <c r="BO2224" t="s">
        <v>14945</v>
      </c>
      <c r="BS2224">
        <v>30</v>
      </c>
      <c r="BW2224" t="str">
        <f>""</f>
        <v/>
      </c>
      <c r="CH2224" t="str">
        <f>""</f>
        <v/>
      </c>
      <c r="CS2224" t="str">
        <f>""</f>
        <v/>
      </c>
    </row>
    <row r="2225" spans="1:97" x14ac:dyDescent="0.25">
      <c r="A2225" t="s">
        <v>1906</v>
      </c>
      <c r="B2225" t="s">
        <v>14946</v>
      </c>
      <c r="C2225" t="s">
        <v>3613</v>
      </c>
      <c r="D2225" t="s">
        <v>14946</v>
      </c>
      <c r="E2225" t="s">
        <v>14947</v>
      </c>
      <c r="F2225" t="s">
        <v>108</v>
      </c>
      <c r="H2225" t="s">
        <v>14948</v>
      </c>
      <c r="I2225" t="s">
        <v>632</v>
      </c>
      <c r="J2225" t="s">
        <v>111</v>
      </c>
      <c r="K2225" t="str">
        <f>"85388"</f>
        <v>85388</v>
      </c>
      <c r="L2225" t="s">
        <v>5429</v>
      </c>
      <c r="M2225" t="s">
        <v>14948</v>
      </c>
      <c r="N2225" t="s">
        <v>632</v>
      </c>
      <c r="O2225" t="s">
        <v>111</v>
      </c>
      <c r="P2225" t="str">
        <f>"85388-1224"</f>
        <v>85388-1224</v>
      </c>
      <c r="Q2225" t="s">
        <v>113</v>
      </c>
      <c r="R2225" t="str">
        <f>"502-84-116"</f>
        <v>502-84-116</v>
      </c>
      <c r="S2225" t="s">
        <v>12218</v>
      </c>
      <c r="T2225" t="s">
        <v>12219</v>
      </c>
      <c r="U2225">
        <v>2403</v>
      </c>
      <c r="V2225">
        <v>0</v>
      </c>
      <c r="W2225">
        <v>4</v>
      </c>
      <c r="X2225">
        <v>2005</v>
      </c>
      <c r="Z2225">
        <v>2</v>
      </c>
      <c r="AB2225">
        <v>0</v>
      </c>
      <c r="AC2225" t="s">
        <v>115</v>
      </c>
      <c r="AD2225">
        <v>2</v>
      </c>
      <c r="AE2225" t="s">
        <v>115</v>
      </c>
      <c r="AF2225">
        <v>0</v>
      </c>
      <c r="AG2225">
        <v>0</v>
      </c>
      <c r="AH2225" t="s">
        <v>116</v>
      </c>
      <c r="AI2225" s="1">
        <v>70911</v>
      </c>
      <c r="AJ2225" s="2">
        <v>0.26</v>
      </c>
      <c r="AK2225" s="1">
        <v>275911</v>
      </c>
      <c r="AL2225" t="s">
        <v>117</v>
      </c>
      <c r="AM2225" t="s">
        <v>118</v>
      </c>
      <c r="AN2225">
        <v>6263</v>
      </c>
      <c r="AO2225">
        <v>0.14000000000000001</v>
      </c>
      <c r="AR2225">
        <v>1</v>
      </c>
      <c r="AS2225" s="1">
        <v>19310</v>
      </c>
      <c r="AT2225" s="1">
        <v>3860</v>
      </c>
      <c r="AU2225" s="1">
        <v>15450</v>
      </c>
      <c r="AV2225">
        <v>80.010000000000005</v>
      </c>
      <c r="AX2225" s="1">
        <v>1524.36</v>
      </c>
      <c r="AY2225" t="s">
        <v>5432</v>
      </c>
      <c r="AZ2225" t="s">
        <v>5432</v>
      </c>
      <c r="BA2225" t="s">
        <v>5109</v>
      </c>
      <c r="BE2225" s="3">
        <v>42114</v>
      </c>
      <c r="BF2225" s="1">
        <v>205000</v>
      </c>
      <c r="BG2225" t="s">
        <v>14949</v>
      </c>
      <c r="BH2225" s="1">
        <v>85.31</v>
      </c>
      <c r="BI2225" s="1">
        <v>205000</v>
      </c>
      <c r="BJ2225" s="3">
        <v>42114</v>
      </c>
      <c r="BK2225" t="s">
        <v>123</v>
      </c>
      <c r="BL2225" t="str">
        <f>"2015.270866"</f>
        <v>2015.270866</v>
      </c>
      <c r="BM2225" t="s">
        <v>9665</v>
      </c>
      <c r="BO2225" t="s">
        <v>14950</v>
      </c>
      <c r="BS2225">
        <v>30</v>
      </c>
      <c r="BW2225" t="str">
        <f>""</f>
        <v/>
      </c>
      <c r="CH2225" t="str">
        <f>""</f>
        <v/>
      </c>
      <c r="CS2225" t="str">
        <f>""</f>
        <v/>
      </c>
    </row>
    <row r="2226" spans="1:97" x14ac:dyDescent="0.25">
      <c r="A2226" t="s">
        <v>14951</v>
      </c>
      <c r="B2226" t="s">
        <v>14952</v>
      </c>
      <c r="E2226" t="s">
        <v>14953</v>
      </c>
      <c r="F2226" t="s">
        <v>108</v>
      </c>
      <c r="H2226" t="s">
        <v>14954</v>
      </c>
      <c r="I2226" t="s">
        <v>632</v>
      </c>
      <c r="J2226" t="s">
        <v>111</v>
      </c>
      <c r="K2226" t="str">
        <f>"85388"</f>
        <v>85388</v>
      </c>
      <c r="L2226" t="s">
        <v>500</v>
      </c>
      <c r="M2226" t="s">
        <v>14954</v>
      </c>
      <c r="N2226" t="s">
        <v>632</v>
      </c>
      <c r="O2226" t="s">
        <v>111</v>
      </c>
      <c r="P2226" t="str">
        <f>"85388-7534"</f>
        <v>85388-7534</v>
      </c>
      <c r="Q2226" t="s">
        <v>113</v>
      </c>
      <c r="R2226" t="str">
        <f>"502-88-435"</f>
        <v>502-88-435</v>
      </c>
      <c r="S2226" t="s">
        <v>9755</v>
      </c>
      <c r="U2226">
        <v>3336</v>
      </c>
      <c r="V2226">
        <v>0</v>
      </c>
      <c r="W2226">
        <v>4</v>
      </c>
      <c r="X2226">
        <v>2004</v>
      </c>
      <c r="Z2226">
        <v>2</v>
      </c>
      <c r="AB2226">
        <v>0</v>
      </c>
      <c r="AC2226" t="s">
        <v>115</v>
      </c>
      <c r="AD2226">
        <v>3</v>
      </c>
      <c r="AE2226" t="s">
        <v>115</v>
      </c>
      <c r="AF2226">
        <v>0</v>
      </c>
      <c r="AG2226">
        <v>0</v>
      </c>
      <c r="AH2226" t="s">
        <v>116</v>
      </c>
      <c r="AI2226" s="1">
        <v>33368</v>
      </c>
      <c r="AJ2226" s="2">
        <v>0.1</v>
      </c>
      <c r="AK2226" s="1">
        <v>329839</v>
      </c>
      <c r="AL2226" t="s">
        <v>117</v>
      </c>
      <c r="AM2226" t="s">
        <v>118</v>
      </c>
      <c r="AN2226">
        <v>6544</v>
      </c>
      <c r="AO2226">
        <v>0.15</v>
      </c>
      <c r="AP2226">
        <v>1</v>
      </c>
      <c r="AR2226">
        <v>1</v>
      </c>
      <c r="AS2226" s="1">
        <v>22020</v>
      </c>
      <c r="AT2226" s="1">
        <v>4400</v>
      </c>
      <c r="AU2226" s="1">
        <v>17620</v>
      </c>
      <c r="AV2226">
        <v>80.02</v>
      </c>
      <c r="AX2226" s="1">
        <v>1821.72</v>
      </c>
      <c r="AY2226" t="s">
        <v>6262</v>
      </c>
      <c r="AZ2226" t="s">
        <v>6262</v>
      </c>
      <c r="BA2226" t="s">
        <v>5061</v>
      </c>
      <c r="BE2226" s="3">
        <v>41754</v>
      </c>
      <c r="BF2226" s="1">
        <v>234900</v>
      </c>
      <c r="BG2226" t="s">
        <v>14955</v>
      </c>
      <c r="BH2226" s="1">
        <v>70.41</v>
      </c>
      <c r="BI2226" s="1">
        <v>296471</v>
      </c>
      <c r="BJ2226" s="3">
        <v>43031</v>
      </c>
      <c r="BK2226" t="s">
        <v>123</v>
      </c>
      <c r="BL2226" t="str">
        <f>"2017.782498"</f>
        <v>2017.782498</v>
      </c>
      <c r="BM2226" t="s">
        <v>2657</v>
      </c>
      <c r="BO2226" t="s">
        <v>14956</v>
      </c>
      <c r="BS2226">
        <v>30</v>
      </c>
      <c r="BW2226" t="str">
        <f>""</f>
        <v/>
      </c>
      <c r="CH2226" t="str">
        <f>""</f>
        <v/>
      </c>
      <c r="CS2226" t="str">
        <f>""</f>
        <v/>
      </c>
    </row>
    <row r="2227" spans="1:97" x14ac:dyDescent="0.25">
      <c r="A2227" t="s">
        <v>177</v>
      </c>
      <c r="B2227" t="s">
        <v>6495</v>
      </c>
      <c r="E2227" t="s">
        <v>14957</v>
      </c>
      <c r="F2227" t="s">
        <v>139</v>
      </c>
      <c r="H2227" t="s">
        <v>14958</v>
      </c>
      <c r="I2227" t="s">
        <v>390</v>
      </c>
      <c r="J2227" t="s">
        <v>111</v>
      </c>
      <c r="K2227" t="str">
        <f>"85013"</f>
        <v>85013</v>
      </c>
      <c r="L2227" t="s">
        <v>5687</v>
      </c>
      <c r="M2227" t="s">
        <v>14959</v>
      </c>
      <c r="N2227" t="s">
        <v>390</v>
      </c>
      <c r="O2227" t="s">
        <v>111</v>
      </c>
      <c r="P2227" t="str">
        <f>"85013-2526"</f>
        <v>85013-2526</v>
      </c>
      <c r="Q2227" t="s">
        <v>113</v>
      </c>
      <c r="R2227" t="str">
        <f>"155-35-057"</f>
        <v>155-35-057</v>
      </c>
      <c r="S2227" t="s">
        <v>14960</v>
      </c>
      <c r="U2227">
        <v>1824</v>
      </c>
      <c r="V2227">
        <v>0</v>
      </c>
      <c r="W2227">
        <v>2</v>
      </c>
      <c r="X2227">
        <v>1931</v>
      </c>
      <c r="Z2227">
        <v>1</v>
      </c>
      <c r="AA2227" t="s">
        <v>26</v>
      </c>
      <c r="AB2227">
        <v>0</v>
      </c>
      <c r="AC2227" t="s">
        <v>5188</v>
      </c>
      <c r="AD2227">
        <v>1</v>
      </c>
      <c r="AE2227" t="s">
        <v>5188</v>
      </c>
      <c r="AF2227">
        <v>0</v>
      </c>
      <c r="AG2227">
        <v>0</v>
      </c>
      <c r="AH2227" t="s">
        <v>116</v>
      </c>
      <c r="AI2227" s="1">
        <v>141034</v>
      </c>
      <c r="AJ2227" s="2">
        <v>0.33</v>
      </c>
      <c r="AK2227" s="1">
        <v>425791</v>
      </c>
      <c r="AL2227" t="s">
        <v>117</v>
      </c>
      <c r="AM2227" t="s">
        <v>14961</v>
      </c>
      <c r="AN2227">
        <v>8467</v>
      </c>
      <c r="AO2227">
        <v>0.19</v>
      </c>
      <c r="AP2227">
        <v>1</v>
      </c>
      <c r="AR2227">
        <v>1</v>
      </c>
      <c r="AS2227" s="1">
        <v>29580</v>
      </c>
      <c r="AT2227" s="1">
        <v>4220</v>
      </c>
      <c r="AU2227" s="1">
        <v>25360</v>
      </c>
      <c r="AV2227">
        <v>85.73</v>
      </c>
      <c r="AX2227" s="1">
        <v>2078.48</v>
      </c>
      <c r="AY2227" t="s">
        <v>5689</v>
      </c>
      <c r="AZ2227" t="s">
        <v>5690</v>
      </c>
      <c r="BA2227" t="s">
        <v>5691</v>
      </c>
      <c r="BB2227" s="3">
        <v>42443</v>
      </c>
      <c r="BD2227" t="s">
        <v>458</v>
      </c>
      <c r="BE2227" s="3">
        <v>41782</v>
      </c>
      <c r="BF2227" s="1">
        <v>279000</v>
      </c>
      <c r="BG2227" t="s">
        <v>14962</v>
      </c>
      <c r="BH2227" s="1">
        <v>152.96</v>
      </c>
      <c r="BI2227" s="1">
        <v>284757</v>
      </c>
      <c r="BJ2227" s="3">
        <v>42571</v>
      </c>
      <c r="BK2227" t="s">
        <v>123</v>
      </c>
      <c r="BL2227" t="str">
        <f>"2016.511293"</f>
        <v>2016.511293</v>
      </c>
      <c r="BM2227" t="s">
        <v>402</v>
      </c>
      <c r="BO2227" t="s">
        <v>14963</v>
      </c>
      <c r="BS2227">
        <v>30</v>
      </c>
      <c r="BW2227" t="str">
        <f>""</f>
        <v/>
      </c>
      <c r="CH2227" t="str">
        <f>""</f>
        <v/>
      </c>
      <c r="CS2227" t="str">
        <f>""</f>
        <v/>
      </c>
    </row>
    <row r="2228" spans="1:97" x14ac:dyDescent="0.25">
      <c r="A2228" t="s">
        <v>4086</v>
      </c>
      <c r="B2228" t="s">
        <v>5940</v>
      </c>
      <c r="C2228" t="s">
        <v>14964</v>
      </c>
      <c r="D2228" t="s">
        <v>5940</v>
      </c>
      <c r="E2228" t="s">
        <v>14965</v>
      </c>
      <c r="F2228" t="s">
        <v>282</v>
      </c>
      <c r="H2228" t="s">
        <v>14966</v>
      </c>
      <c r="I2228" t="s">
        <v>499</v>
      </c>
      <c r="J2228" t="s">
        <v>111</v>
      </c>
      <c r="K2228" t="str">
        <f>"85395"</f>
        <v>85395</v>
      </c>
      <c r="L2228" t="s">
        <v>4159</v>
      </c>
      <c r="M2228" t="s">
        <v>14966</v>
      </c>
      <c r="N2228" t="s">
        <v>499</v>
      </c>
      <c r="O2228" t="s">
        <v>111</v>
      </c>
      <c r="P2228" t="str">
        <f>"85395-7786"</f>
        <v>85395-7786</v>
      </c>
      <c r="Q2228" t="s">
        <v>113</v>
      </c>
      <c r="R2228" t="str">
        <f>"501-61-070"</f>
        <v>501-61-070</v>
      </c>
      <c r="S2228" t="s">
        <v>14967</v>
      </c>
      <c r="T2228" t="s">
        <v>14968</v>
      </c>
      <c r="U2228">
        <v>1952</v>
      </c>
      <c r="V2228">
        <v>0</v>
      </c>
      <c r="W2228">
        <v>3</v>
      </c>
      <c r="X2228">
        <v>2009</v>
      </c>
      <c r="Z2228">
        <v>1</v>
      </c>
      <c r="AB2228">
        <v>0</v>
      </c>
      <c r="AC2228" t="s">
        <v>115</v>
      </c>
      <c r="AD2228">
        <v>2</v>
      </c>
      <c r="AE2228" t="s">
        <v>115</v>
      </c>
      <c r="AF2228">
        <v>0</v>
      </c>
      <c r="AG2228">
        <v>0</v>
      </c>
      <c r="AH2228" t="s">
        <v>116</v>
      </c>
      <c r="AI2228" s="1">
        <v>16258</v>
      </c>
      <c r="AJ2228" s="2">
        <v>0.06</v>
      </c>
      <c r="AK2228" s="1">
        <v>295168</v>
      </c>
      <c r="AL2228" t="s">
        <v>117</v>
      </c>
      <c r="AM2228" t="s">
        <v>118</v>
      </c>
      <c r="AN2228">
        <v>7200</v>
      </c>
      <c r="AO2228">
        <v>0.16</v>
      </c>
      <c r="AR2228">
        <v>1</v>
      </c>
      <c r="AS2228" s="1">
        <v>20770</v>
      </c>
      <c r="AT2228" s="1">
        <v>4150</v>
      </c>
      <c r="AU2228" s="1">
        <v>16620</v>
      </c>
      <c r="AV2228">
        <v>80.02</v>
      </c>
      <c r="AX2228" s="1">
        <v>2126.58</v>
      </c>
      <c r="AY2228" t="s">
        <v>3019</v>
      </c>
      <c r="AZ2228" t="s">
        <v>504</v>
      </c>
      <c r="BA2228" t="s">
        <v>3154</v>
      </c>
      <c r="BB2228" s="3">
        <v>43216</v>
      </c>
      <c r="BC2228" s="1">
        <v>0</v>
      </c>
      <c r="BD2228" t="s">
        <v>247</v>
      </c>
      <c r="BE2228" s="3">
        <v>42164</v>
      </c>
      <c r="BF2228" s="1">
        <v>220000</v>
      </c>
      <c r="BG2228" t="s">
        <v>14969</v>
      </c>
      <c r="BH2228" s="1">
        <v>112.7</v>
      </c>
      <c r="BI2228" s="1">
        <v>278910</v>
      </c>
      <c r="BJ2228" s="3">
        <v>43216</v>
      </c>
      <c r="BK2228" t="s">
        <v>123</v>
      </c>
      <c r="BL2228" t="str">
        <f>"2018.315770"</f>
        <v>2018.315770</v>
      </c>
      <c r="BM2228" t="s">
        <v>3400</v>
      </c>
      <c r="BN2228" t="s">
        <v>14970</v>
      </c>
      <c r="BO2228" t="s">
        <v>14971</v>
      </c>
      <c r="BP2228" t="s">
        <v>14972</v>
      </c>
      <c r="BR2228" t="s">
        <v>139</v>
      </c>
      <c r="BW2228" t="str">
        <f>""</f>
        <v/>
      </c>
      <c r="CH2228" t="str">
        <f>""</f>
        <v/>
      </c>
      <c r="CS2228" t="str">
        <f>""</f>
        <v/>
      </c>
    </row>
    <row r="2229" spans="1:97" x14ac:dyDescent="0.25">
      <c r="A2229" t="s">
        <v>4221</v>
      </c>
      <c r="B2229" t="s">
        <v>9720</v>
      </c>
      <c r="C2229" t="s">
        <v>14973</v>
      </c>
      <c r="D2229" t="s">
        <v>9720</v>
      </c>
      <c r="E2229" t="s">
        <v>14974</v>
      </c>
      <c r="F2229" t="s">
        <v>108</v>
      </c>
      <c r="H2229" t="s">
        <v>14975</v>
      </c>
      <c r="I2229" t="s">
        <v>225</v>
      </c>
      <c r="J2229" t="s">
        <v>111</v>
      </c>
      <c r="K2229" t="str">
        <f>"85207"</f>
        <v>85207</v>
      </c>
      <c r="L2229" t="s">
        <v>688</v>
      </c>
      <c r="M2229" t="s">
        <v>14975</v>
      </c>
      <c r="N2229" t="s">
        <v>225</v>
      </c>
      <c r="O2229" t="s">
        <v>111</v>
      </c>
      <c r="P2229" t="str">
        <f>"85207-5269"</f>
        <v>85207-5269</v>
      </c>
      <c r="Q2229" t="s">
        <v>113</v>
      </c>
      <c r="R2229" t="str">
        <f>"220-19-301"</f>
        <v>220-19-301</v>
      </c>
      <c r="S2229" t="s">
        <v>14976</v>
      </c>
      <c r="T2229" t="s">
        <v>14976</v>
      </c>
      <c r="U2229">
        <v>2056</v>
      </c>
      <c r="V2229">
        <v>0</v>
      </c>
      <c r="W2229">
        <v>3</v>
      </c>
      <c r="X2229">
        <v>1997</v>
      </c>
      <c r="Z2229">
        <v>2</v>
      </c>
      <c r="AA2229" t="s">
        <v>26</v>
      </c>
      <c r="AB2229">
        <v>0</v>
      </c>
      <c r="AC2229" t="s">
        <v>115</v>
      </c>
      <c r="AD2229">
        <v>3</v>
      </c>
      <c r="AE2229" t="s">
        <v>115</v>
      </c>
      <c r="AF2229">
        <v>0</v>
      </c>
      <c r="AG2229">
        <v>0</v>
      </c>
      <c r="AH2229" t="s">
        <v>116</v>
      </c>
      <c r="AI2229" s="1">
        <v>43874</v>
      </c>
      <c r="AJ2229" s="2">
        <v>0.13</v>
      </c>
      <c r="AK2229" s="1">
        <v>339874</v>
      </c>
      <c r="AL2229" t="s">
        <v>117</v>
      </c>
      <c r="AM2229" t="s">
        <v>393</v>
      </c>
      <c r="AN2229">
        <v>7701</v>
      </c>
      <c r="AO2229">
        <v>0.18</v>
      </c>
      <c r="AP2229">
        <v>1</v>
      </c>
      <c r="AR2229">
        <v>1</v>
      </c>
      <c r="AS2229" s="1">
        <v>23300</v>
      </c>
      <c r="AT2229" s="1">
        <v>4660</v>
      </c>
      <c r="AU2229" s="1">
        <v>18640</v>
      </c>
      <c r="AV2229">
        <v>80</v>
      </c>
      <c r="AX2229" s="1">
        <v>1743.84</v>
      </c>
      <c r="AY2229" t="s">
        <v>3118</v>
      </c>
      <c r="AZ2229" t="s">
        <v>3761</v>
      </c>
      <c r="BA2229" t="s">
        <v>232</v>
      </c>
      <c r="BE2229" s="3">
        <v>42467</v>
      </c>
      <c r="BF2229" s="1">
        <v>245500</v>
      </c>
      <c r="BG2229" t="s">
        <v>14977</v>
      </c>
      <c r="BH2229" s="1">
        <v>119.41</v>
      </c>
      <c r="BI2229" s="1">
        <v>296000</v>
      </c>
      <c r="BJ2229" s="3">
        <v>43446</v>
      </c>
      <c r="BK2229" t="s">
        <v>123</v>
      </c>
      <c r="BL2229" t="str">
        <f>"2018.911042"</f>
        <v>2018.911042</v>
      </c>
      <c r="BM2229" t="s">
        <v>9590</v>
      </c>
      <c r="BN2229" t="s">
        <v>14978</v>
      </c>
      <c r="BO2229" t="s">
        <v>14979</v>
      </c>
      <c r="BP2229" t="s">
        <v>14980</v>
      </c>
      <c r="BR2229" t="s">
        <v>139</v>
      </c>
      <c r="BW2229" t="str">
        <f>""</f>
        <v/>
      </c>
      <c r="CH2229" t="str">
        <f>""</f>
        <v/>
      </c>
      <c r="CS2229" t="str">
        <f>""</f>
        <v/>
      </c>
    </row>
    <row r="2230" spans="1:97" x14ac:dyDescent="0.25">
      <c r="A2230" t="s">
        <v>815</v>
      </c>
      <c r="B2230" t="s">
        <v>996</v>
      </c>
      <c r="C2230" t="s">
        <v>2068</v>
      </c>
      <c r="D2230" t="s">
        <v>996</v>
      </c>
      <c r="E2230" t="s">
        <v>14981</v>
      </c>
      <c r="F2230" t="s">
        <v>108</v>
      </c>
      <c r="H2230" t="s">
        <v>14982</v>
      </c>
      <c r="I2230" t="s">
        <v>453</v>
      </c>
      <c r="J2230" t="s">
        <v>111</v>
      </c>
      <c r="K2230" t="str">
        <f>"85345"</f>
        <v>85345</v>
      </c>
      <c r="L2230" t="s">
        <v>4003</v>
      </c>
      <c r="M2230" t="s">
        <v>14982</v>
      </c>
      <c r="N2230" t="s">
        <v>453</v>
      </c>
      <c r="O2230" t="s">
        <v>111</v>
      </c>
      <c r="P2230" t="str">
        <f>"85345-5504"</f>
        <v>85345-5504</v>
      </c>
      <c r="Q2230" t="s">
        <v>113</v>
      </c>
      <c r="R2230" t="str">
        <f>"142-52-366"</f>
        <v>142-52-366</v>
      </c>
      <c r="S2230" t="s">
        <v>4005</v>
      </c>
      <c r="T2230" t="s">
        <v>4005</v>
      </c>
      <c r="U2230">
        <v>1582</v>
      </c>
      <c r="V2230">
        <v>0</v>
      </c>
      <c r="W2230">
        <v>2</v>
      </c>
      <c r="X2230">
        <v>2015</v>
      </c>
      <c r="Z2230">
        <v>1</v>
      </c>
      <c r="AB2230">
        <v>0</v>
      </c>
      <c r="AC2230" t="s">
        <v>115</v>
      </c>
      <c r="AD2230">
        <v>2</v>
      </c>
      <c r="AE2230" t="s">
        <v>115</v>
      </c>
      <c r="AF2230">
        <v>0</v>
      </c>
      <c r="AG2230">
        <v>0</v>
      </c>
      <c r="AH2230" t="s">
        <v>116</v>
      </c>
      <c r="AI2230" s="1">
        <v>49866</v>
      </c>
      <c r="AJ2230" s="2">
        <v>0.19</v>
      </c>
      <c r="AK2230" s="1">
        <v>266798</v>
      </c>
      <c r="AL2230" t="s">
        <v>117</v>
      </c>
      <c r="AM2230" t="s">
        <v>118</v>
      </c>
      <c r="AN2230">
        <v>4725</v>
      </c>
      <c r="AO2230">
        <v>0.11</v>
      </c>
      <c r="AR2230">
        <v>1</v>
      </c>
      <c r="AS2230" s="1">
        <v>17610</v>
      </c>
      <c r="AT2230" s="1">
        <v>3520</v>
      </c>
      <c r="AU2230" s="1">
        <v>14090</v>
      </c>
      <c r="AV2230">
        <v>80.010000000000005</v>
      </c>
      <c r="AX2230" s="1">
        <v>1365.98</v>
      </c>
      <c r="AY2230" t="s">
        <v>4006</v>
      </c>
      <c r="AZ2230" t="s">
        <v>4006</v>
      </c>
      <c r="BA2230" t="s">
        <v>4007</v>
      </c>
      <c r="BE2230" s="3">
        <v>42425</v>
      </c>
      <c r="BF2230" s="1">
        <v>210002</v>
      </c>
      <c r="BG2230" t="s">
        <v>4008</v>
      </c>
      <c r="BH2230" s="1">
        <v>132.74</v>
      </c>
      <c r="BI2230" s="1">
        <v>216932</v>
      </c>
      <c r="BJ2230" s="3">
        <v>42425</v>
      </c>
      <c r="BK2230" t="s">
        <v>123</v>
      </c>
      <c r="BL2230" t="str">
        <f>"2016.120229"</f>
        <v>2016.120229</v>
      </c>
      <c r="BM2230" t="s">
        <v>594</v>
      </c>
      <c r="BO2230" t="s">
        <v>14983</v>
      </c>
      <c r="BS2230">
        <v>30</v>
      </c>
      <c r="BW2230" t="str">
        <f>""</f>
        <v/>
      </c>
      <c r="CH2230" t="str">
        <f>""</f>
        <v/>
      </c>
      <c r="CS2230" t="str">
        <f>""</f>
        <v/>
      </c>
    </row>
    <row r="2231" spans="1:97" x14ac:dyDescent="0.25">
      <c r="A2231" t="s">
        <v>996</v>
      </c>
      <c r="B2231" t="s">
        <v>603</v>
      </c>
      <c r="C2231" t="s">
        <v>14984</v>
      </c>
      <c r="D2231" t="s">
        <v>603</v>
      </c>
      <c r="E2231" t="s">
        <v>14985</v>
      </c>
      <c r="F2231" t="s">
        <v>108</v>
      </c>
      <c r="H2231" t="s">
        <v>14986</v>
      </c>
      <c r="I2231" t="s">
        <v>499</v>
      </c>
      <c r="J2231" t="s">
        <v>111</v>
      </c>
      <c r="K2231" t="str">
        <f>"85395"</f>
        <v>85395</v>
      </c>
      <c r="L2231" t="s">
        <v>7005</v>
      </c>
      <c r="M2231" t="s">
        <v>14986</v>
      </c>
      <c r="N2231" t="s">
        <v>499</v>
      </c>
      <c r="O2231" t="s">
        <v>111</v>
      </c>
      <c r="P2231" t="str">
        <f>"85395-8961"</f>
        <v>85395-8961</v>
      </c>
      <c r="Q2231" t="s">
        <v>113</v>
      </c>
      <c r="R2231" t="str">
        <f>"508-14-023"</f>
        <v>508-14-023</v>
      </c>
      <c r="S2231" t="s">
        <v>14773</v>
      </c>
      <c r="T2231" t="s">
        <v>14987</v>
      </c>
      <c r="U2231">
        <v>3098</v>
      </c>
      <c r="V2231">
        <v>0</v>
      </c>
      <c r="W2231">
        <v>4</v>
      </c>
      <c r="X2231">
        <v>2005</v>
      </c>
      <c r="Z2231">
        <v>2</v>
      </c>
      <c r="AB2231">
        <v>0</v>
      </c>
      <c r="AC2231" t="s">
        <v>115</v>
      </c>
      <c r="AD2231">
        <v>3</v>
      </c>
      <c r="AE2231" t="s">
        <v>115</v>
      </c>
      <c r="AF2231">
        <v>0</v>
      </c>
      <c r="AG2231">
        <v>0</v>
      </c>
      <c r="AH2231" t="s">
        <v>116</v>
      </c>
      <c r="AI2231" s="1">
        <v>84827</v>
      </c>
      <c r="AJ2231" s="2">
        <v>0.24</v>
      </c>
      <c r="AK2231" s="1">
        <v>353407</v>
      </c>
      <c r="AL2231" t="s">
        <v>117</v>
      </c>
      <c r="AM2231" t="s">
        <v>118</v>
      </c>
      <c r="AN2231">
        <v>6900</v>
      </c>
      <c r="AO2231">
        <v>0.16</v>
      </c>
      <c r="AR2231">
        <v>1</v>
      </c>
      <c r="AS2231" s="1">
        <v>24810</v>
      </c>
      <c r="AT2231" s="1">
        <v>4960</v>
      </c>
      <c r="AU2231" s="1">
        <v>19850</v>
      </c>
      <c r="AV2231">
        <v>80.010000000000005</v>
      </c>
      <c r="AX2231" s="1">
        <v>2313.14</v>
      </c>
      <c r="AY2231" t="s">
        <v>3020</v>
      </c>
      <c r="AZ2231" t="s">
        <v>3020</v>
      </c>
      <c r="BA2231" t="s">
        <v>7186</v>
      </c>
      <c r="BE2231" s="3">
        <v>42503</v>
      </c>
      <c r="BF2231" s="1">
        <v>260000</v>
      </c>
      <c r="BG2231" t="s">
        <v>14988</v>
      </c>
      <c r="BH2231" s="1">
        <v>83.93</v>
      </c>
      <c r="BI2231" s="1">
        <v>268580</v>
      </c>
      <c r="BJ2231" s="3">
        <v>42503</v>
      </c>
      <c r="BK2231" t="s">
        <v>123</v>
      </c>
      <c r="BL2231" t="str">
        <f>"2016.330535"</f>
        <v>2016.330535</v>
      </c>
      <c r="BM2231" t="s">
        <v>4014</v>
      </c>
      <c r="BO2231" t="s">
        <v>14989</v>
      </c>
      <c r="BS2231">
        <v>30</v>
      </c>
      <c r="BW2231" t="str">
        <f>""</f>
        <v/>
      </c>
      <c r="CH2231" t="str">
        <f>""</f>
        <v/>
      </c>
      <c r="CS2231" t="str">
        <f>""</f>
        <v/>
      </c>
    </row>
    <row r="2232" spans="1:97" x14ac:dyDescent="0.25">
      <c r="A2232" t="s">
        <v>14990</v>
      </c>
      <c r="B2232" t="s">
        <v>12316</v>
      </c>
      <c r="E2232" t="s">
        <v>14991</v>
      </c>
      <c r="F2232" t="s">
        <v>139</v>
      </c>
      <c r="H2232" t="s">
        <v>14992</v>
      </c>
      <c r="I2232" t="s">
        <v>390</v>
      </c>
      <c r="J2232" t="s">
        <v>111</v>
      </c>
      <c r="K2232" t="str">
        <f>"85013"</f>
        <v>85013</v>
      </c>
      <c r="L2232" t="s">
        <v>5464</v>
      </c>
      <c r="M2232" t="s">
        <v>14993</v>
      </c>
      <c r="N2232" t="s">
        <v>390</v>
      </c>
      <c r="O2232" t="s">
        <v>111</v>
      </c>
      <c r="P2232" t="str">
        <f>"85067-6522"</f>
        <v>85067-6522</v>
      </c>
      <c r="Q2232" t="s">
        <v>113</v>
      </c>
      <c r="R2232" t="str">
        <f>"155-41-073"</f>
        <v>155-41-073</v>
      </c>
      <c r="S2232" t="s">
        <v>5465</v>
      </c>
      <c r="T2232" t="s">
        <v>5466</v>
      </c>
      <c r="U2232">
        <v>1505</v>
      </c>
      <c r="V2232">
        <v>0</v>
      </c>
      <c r="W2232">
        <v>1</v>
      </c>
      <c r="X2232">
        <v>1947</v>
      </c>
      <c r="Z2232">
        <v>1</v>
      </c>
      <c r="AB2232">
        <v>0</v>
      </c>
      <c r="AC2232" t="s">
        <v>7038</v>
      </c>
      <c r="AD2232">
        <v>0</v>
      </c>
      <c r="AE2232" t="s">
        <v>7038</v>
      </c>
      <c r="AF2232">
        <v>0</v>
      </c>
      <c r="AG2232">
        <v>0</v>
      </c>
      <c r="AH2232" t="s">
        <v>5467</v>
      </c>
      <c r="AI2232" s="1">
        <v>47805</v>
      </c>
      <c r="AJ2232" s="2">
        <v>0.14000000000000001</v>
      </c>
      <c r="AK2232" s="1">
        <v>331880</v>
      </c>
      <c r="AL2232" t="s">
        <v>117</v>
      </c>
      <c r="AM2232" t="s">
        <v>191</v>
      </c>
      <c r="AN2232">
        <v>8333</v>
      </c>
      <c r="AO2232">
        <v>0.19</v>
      </c>
      <c r="AP2232">
        <v>1</v>
      </c>
      <c r="AR2232">
        <v>1</v>
      </c>
      <c r="AS2232" s="1">
        <v>21960</v>
      </c>
      <c r="AT2232" s="1">
        <v>4390</v>
      </c>
      <c r="AU2232" s="1">
        <v>17570</v>
      </c>
      <c r="AV2232">
        <v>80.010000000000005</v>
      </c>
      <c r="AX2232" s="1">
        <v>2116.66</v>
      </c>
      <c r="AY2232" t="s">
        <v>5468</v>
      </c>
      <c r="AZ2232" t="s">
        <v>5468</v>
      </c>
      <c r="BA2232" t="s">
        <v>5469</v>
      </c>
      <c r="BE2232" s="3">
        <v>42348</v>
      </c>
      <c r="BF2232" s="1">
        <v>275000</v>
      </c>
      <c r="BG2232" t="s">
        <v>14994</v>
      </c>
      <c r="BH2232" s="1">
        <v>182.72</v>
      </c>
      <c r="BI2232" s="1">
        <v>284075</v>
      </c>
      <c r="BJ2232" s="3">
        <v>42348</v>
      </c>
      <c r="BK2232" t="s">
        <v>123</v>
      </c>
      <c r="BL2232" t="str">
        <f>"2015.875196"</f>
        <v>2015.875196</v>
      </c>
      <c r="BM2232" t="s">
        <v>2368</v>
      </c>
      <c r="BO2232" t="s">
        <v>14995</v>
      </c>
      <c r="BS2232">
        <v>30</v>
      </c>
      <c r="BW2232" t="str">
        <f>""</f>
        <v/>
      </c>
      <c r="CH2232" t="str">
        <f>""</f>
        <v/>
      </c>
      <c r="CS2232" t="str">
        <f>""</f>
        <v/>
      </c>
    </row>
    <row r="2233" spans="1:97" x14ac:dyDescent="0.25">
      <c r="A2233" t="s">
        <v>126</v>
      </c>
      <c r="B2233" t="s">
        <v>14996</v>
      </c>
      <c r="C2233" t="s">
        <v>2530</v>
      </c>
      <c r="D2233" t="s">
        <v>14996</v>
      </c>
      <c r="E2233" t="s">
        <v>14997</v>
      </c>
      <c r="F2233" t="s">
        <v>108</v>
      </c>
      <c r="H2233" t="s">
        <v>14998</v>
      </c>
      <c r="I2233" t="s">
        <v>632</v>
      </c>
      <c r="J2233" t="s">
        <v>111</v>
      </c>
      <c r="K2233" t="str">
        <f>"85388"</f>
        <v>85388</v>
      </c>
      <c r="L2233" t="s">
        <v>500</v>
      </c>
      <c r="M2233" t="s">
        <v>14998</v>
      </c>
      <c r="N2233" t="s">
        <v>632</v>
      </c>
      <c r="O2233" t="s">
        <v>111</v>
      </c>
      <c r="P2233" t="str">
        <f>"85388-7605"</f>
        <v>85388-7605</v>
      </c>
      <c r="Q2233" t="s">
        <v>113</v>
      </c>
      <c r="R2233" t="str">
        <f>"502-88-503"</f>
        <v>502-88-503</v>
      </c>
      <c r="S2233" t="s">
        <v>9755</v>
      </c>
      <c r="U2233">
        <v>2920</v>
      </c>
      <c r="V2233">
        <v>0</v>
      </c>
      <c r="W2233">
        <v>4</v>
      </c>
      <c r="X2233">
        <v>2004</v>
      </c>
      <c r="Z2233">
        <v>2</v>
      </c>
      <c r="AB2233">
        <v>0</v>
      </c>
      <c r="AC2233" t="s">
        <v>115</v>
      </c>
      <c r="AD2233">
        <v>3</v>
      </c>
      <c r="AE2233" t="s">
        <v>115</v>
      </c>
      <c r="AF2233">
        <v>0</v>
      </c>
      <c r="AG2233">
        <v>0</v>
      </c>
      <c r="AH2233" t="s">
        <v>116</v>
      </c>
      <c r="AI2233" s="1">
        <v>75208</v>
      </c>
      <c r="AJ2233" s="2">
        <v>0.23</v>
      </c>
      <c r="AK2233" s="1">
        <v>324796</v>
      </c>
      <c r="AL2233" t="s">
        <v>117</v>
      </c>
      <c r="AM2233" t="s">
        <v>118</v>
      </c>
      <c r="AN2233">
        <v>6978</v>
      </c>
      <c r="AO2233">
        <v>0.16</v>
      </c>
      <c r="AP2233">
        <v>1</v>
      </c>
      <c r="AR2233">
        <v>1</v>
      </c>
      <c r="AS2233" s="1">
        <v>21160</v>
      </c>
      <c r="AT2233" s="1">
        <v>4230</v>
      </c>
      <c r="AU2233" s="1">
        <v>16930</v>
      </c>
      <c r="AV2233">
        <v>80.010000000000005</v>
      </c>
      <c r="AX2233" s="1">
        <v>1720.56</v>
      </c>
      <c r="AY2233" t="s">
        <v>6262</v>
      </c>
      <c r="AZ2233" t="s">
        <v>6262</v>
      </c>
      <c r="BA2233" t="s">
        <v>5061</v>
      </c>
      <c r="BE2233" s="3">
        <v>42300</v>
      </c>
      <c r="BF2233" s="1">
        <v>277320</v>
      </c>
      <c r="BG2233" t="s">
        <v>14999</v>
      </c>
      <c r="BH2233" s="1">
        <v>94.97</v>
      </c>
      <c r="BI2233" s="1">
        <v>249588</v>
      </c>
      <c r="BJ2233" s="3">
        <v>42300</v>
      </c>
      <c r="BK2233" t="s">
        <v>123</v>
      </c>
      <c r="BL2233" t="str">
        <f>"2015.764152"</f>
        <v>2015.764152</v>
      </c>
      <c r="BM2233" t="s">
        <v>724</v>
      </c>
      <c r="BO2233" t="s">
        <v>15000</v>
      </c>
      <c r="BS2233">
        <v>30</v>
      </c>
      <c r="BW2233" t="str">
        <f>""</f>
        <v/>
      </c>
      <c r="CH2233" t="str">
        <f>""</f>
        <v/>
      </c>
      <c r="CS2233" t="str">
        <f>""</f>
        <v/>
      </c>
    </row>
    <row r="2234" spans="1:97" x14ac:dyDescent="0.25">
      <c r="A2234" t="s">
        <v>1308</v>
      </c>
      <c r="B2234" t="s">
        <v>15001</v>
      </c>
      <c r="C2234" t="s">
        <v>12813</v>
      </c>
      <c r="D2234" t="s">
        <v>15002</v>
      </c>
      <c r="E2234" t="s">
        <v>15003</v>
      </c>
      <c r="F2234" t="s">
        <v>108</v>
      </c>
      <c r="H2234" t="s">
        <v>15004</v>
      </c>
      <c r="I2234" t="s">
        <v>203</v>
      </c>
      <c r="J2234" t="s">
        <v>111</v>
      </c>
      <c r="K2234" t="str">
        <f>"85234"</f>
        <v>85234</v>
      </c>
      <c r="L2234" t="s">
        <v>3108</v>
      </c>
      <c r="M2234" t="s">
        <v>15004</v>
      </c>
      <c r="N2234" t="s">
        <v>203</v>
      </c>
      <c r="O2234" t="s">
        <v>111</v>
      </c>
      <c r="P2234" t="str">
        <f>"85234"</f>
        <v>85234</v>
      </c>
      <c r="Q2234" t="s">
        <v>113</v>
      </c>
      <c r="R2234" t="str">
        <f>"304-06-280"</f>
        <v>304-06-280</v>
      </c>
      <c r="S2234" t="s">
        <v>7211</v>
      </c>
      <c r="T2234" t="s">
        <v>7212</v>
      </c>
      <c r="U2234">
        <v>2145</v>
      </c>
      <c r="V2234">
        <v>0</v>
      </c>
      <c r="W2234">
        <v>3</v>
      </c>
      <c r="X2234">
        <v>1992</v>
      </c>
      <c r="Z2234">
        <v>1</v>
      </c>
      <c r="AA2234" t="s">
        <v>26</v>
      </c>
      <c r="AB2234">
        <v>0</v>
      </c>
      <c r="AC2234" t="s">
        <v>115</v>
      </c>
      <c r="AD2234">
        <v>3</v>
      </c>
      <c r="AE2234" t="s">
        <v>115</v>
      </c>
      <c r="AF2234">
        <v>0</v>
      </c>
      <c r="AG2234">
        <v>0</v>
      </c>
      <c r="AH2234" t="s">
        <v>116</v>
      </c>
      <c r="AI2234" s="1">
        <v>57279</v>
      </c>
      <c r="AJ2234" s="2">
        <v>0.16</v>
      </c>
      <c r="AK2234" s="1">
        <v>357279</v>
      </c>
      <c r="AL2234" t="s">
        <v>117</v>
      </c>
      <c r="AM2234" t="s">
        <v>393</v>
      </c>
      <c r="AN2234">
        <v>7897</v>
      </c>
      <c r="AO2234">
        <v>0.18</v>
      </c>
      <c r="AP2234">
        <v>1</v>
      </c>
      <c r="AR2234">
        <v>1</v>
      </c>
      <c r="AS2234" s="1">
        <v>24450</v>
      </c>
      <c r="AT2234" s="1">
        <v>4890</v>
      </c>
      <c r="AU2234" s="1">
        <v>19560</v>
      </c>
      <c r="AV2234">
        <v>80</v>
      </c>
      <c r="AX2234" s="1">
        <v>1996.22</v>
      </c>
      <c r="AY2234" t="s">
        <v>7213</v>
      </c>
      <c r="AZ2234" t="s">
        <v>571</v>
      </c>
      <c r="BA2234" t="s">
        <v>521</v>
      </c>
      <c r="BE2234" s="3">
        <v>42215</v>
      </c>
      <c r="BF2234" s="1">
        <v>300000</v>
      </c>
      <c r="BG2234" t="s">
        <v>15005</v>
      </c>
      <c r="BH2234" s="1">
        <v>139.86000000000001</v>
      </c>
      <c r="BI2234" s="1">
        <v>300000</v>
      </c>
      <c r="BJ2234" s="3">
        <v>42215</v>
      </c>
      <c r="BK2234" t="s">
        <v>123</v>
      </c>
      <c r="BL2234" t="str">
        <f>"2015.551297"</f>
        <v>2015.551297</v>
      </c>
      <c r="BM2234" t="s">
        <v>843</v>
      </c>
      <c r="BO2234" t="s">
        <v>15006</v>
      </c>
      <c r="BP2234" t="s">
        <v>15007</v>
      </c>
      <c r="BS2234">
        <v>30</v>
      </c>
      <c r="BW2234" t="str">
        <f>""</f>
        <v/>
      </c>
      <c r="CH2234" t="str">
        <f>""</f>
        <v/>
      </c>
      <c r="CS2234" t="str">
        <f>""</f>
        <v/>
      </c>
    </row>
    <row r="2235" spans="1:97" x14ac:dyDescent="0.25">
      <c r="A2235" t="s">
        <v>589</v>
      </c>
      <c r="B2235" t="s">
        <v>15008</v>
      </c>
      <c r="C2235" t="s">
        <v>15009</v>
      </c>
      <c r="D2235" t="s">
        <v>15008</v>
      </c>
      <c r="E2235" t="s">
        <v>15010</v>
      </c>
      <c r="F2235" t="s">
        <v>108</v>
      </c>
      <c r="H2235" t="s">
        <v>15011</v>
      </c>
      <c r="I2235" t="s">
        <v>5863</v>
      </c>
      <c r="J2235" t="s">
        <v>111</v>
      </c>
      <c r="K2235" t="str">
        <f>"85375"</f>
        <v>85375</v>
      </c>
      <c r="L2235" t="s">
        <v>8034</v>
      </c>
      <c r="M2235" t="s">
        <v>15011</v>
      </c>
      <c r="N2235" t="s">
        <v>5863</v>
      </c>
      <c r="O2235" t="s">
        <v>111</v>
      </c>
      <c r="P2235" t="str">
        <f>"85375-2326"</f>
        <v>85375-2326</v>
      </c>
      <c r="Q2235" t="s">
        <v>113</v>
      </c>
      <c r="R2235" t="str">
        <f>"503-97-363"</f>
        <v>503-97-363</v>
      </c>
      <c r="S2235" t="s">
        <v>15012</v>
      </c>
      <c r="T2235" t="s">
        <v>15013</v>
      </c>
      <c r="U2235">
        <v>1378</v>
      </c>
      <c r="V2235">
        <v>0</v>
      </c>
      <c r="W2235">
        <v>4</v>
      </c>
      <c r="X2235">
        <v>2005</v>
      </c>
      <c r="Z2235">
        <v>1</v>
      </c>
      <c r="AB2235">
        <v>0</v>
      </c>
      <c r="AC2235" t="s">
        <v>115</v>
      </c>
      <c r="AD2235">
        <v>2</v>
      </c>
      <c r="AE2235" t="s">
        <v>115</v>
      </c>
      <c r="AF2235">
        <v>0</v>
      </c>
      <c r="AG2235">
        <v>0</v>
      </c>
      <c r="AH2235" t="s">
        <v>116</v>
      </c>
      <c r="AI2235" s="1">
        <v>55764</v>
      </c>
      <c r="AJ2235" s="2">
        <v>0.19</v>
      </c>
      <c r="AK2235" s="1">
        <v>299902</v>
      </c>
      <c r="AL2235" t="s">
        <v>117</v>
      </c>
      <c r="AM2235" t="s">
        <v>191</v>
      </c>
      <c r="AN2235">
        <v>6900</v>
      </c>
      <c r="AO2235">
        <v>0.16</v>
      </c>
      <c r="AR2235">
        <v>1</v>
      </c>
      <c r="AS2235" s="1">
        <v>20300</v>
      </c>
      <c r="AT2235" s="1">
        <v>4060</v>
      </c>
      <c r="AU2235" s="1">
        <v>16240</v>
      </c>
      <c r="AV2235">
        <v>80</v>
      </c>
      <c r="AX2235" s="1">
        <v>2156.54</v>
      </c>
      <c r="AY2235" t="s">
        <v>3228</v>
      </c>
      <c r="AZ2235" t="s">
        <v>3228</v>
      </c>
      <c r="BA2235" t="s">
        <v>457</v>
      </c>
      <c r="BE2235" s="3">
        <v>42118</v>
      </c>
      <c r="BF2235" s="1">
        <v>239000</v>
      </c>
      <c r="BG2235" t="s">
        <v>15014</v>
      </c>
      <c r="BH2235" s="1">
        <v>173.44</v>
      </c>
      <c r="BI2235" s="1">
        <v>244138</v>
      </c>
      <c r="BJ2235" s="3">
        <v>42118</v>
      </c>
      <c r="BK2235" t="s">
        <v>123</v>
      </c>
      <c r="BL2235" t="str">
        <f>"2015.283212"</f>
        <v>2015.283212</v>
      </c>
      <c r="BM2235" t="s">
        <v>5348</v>
      </c>
      <c r="BO2235" t="s">
        <v>15015</v>
      </c>
      <c r="BS2235">
        <v>30</v>
      </c>
      <c r="BW2235" t="str">
        <f>""</f>
        <v/>
      </c>
      <c r="CH2235" t="str">
        <f>""</f>
        <v/>
      </c>
      <c r="CS2235" t="str">
        <f>""</f>
        <v/>
      </c>
    </row>
    <row r="2236" spans="1:97" x14ac:dyDescent="0.25">
      <c r="A2236" t="s">
        <v>7405</v>
      </c>
      <c r="B2236" t="s">
        <v>15016</v>
      </c>
      <c r="C2236" t="s">
        <v>177</v>
      </c>
      <c r="D2236" t="s">
        <v>5280</v>
      </c>
      <c r="E2236" t="s">
        <v>15017</v>
      </c>
      <c r="F2236" t="s">
        <v>108</v>
      </c>
      <c r="H2236" t="s">
        <v>15018</v>
      </c>
      <c r="I2236" t="s">
        <v>225</v>
      </c>
      <c r="J2236" t="s">
        <v>111</v>
      </c>
      <c r="K2236" t="str">
        <f>"85207"</f>
        <v>85207</v>
      </c>
      <c r="L2236" t="s">
        <v>688</v>
      </c>
      <c r="M2236" t="s">
        <v>15018</v>
      </c>
      <c r="N2236" t="s">
        <v>225</v>
      </c>
      <c r="O2236" t="s">
        <v>111</v>
      </c>
      <c r="P2236" t="str">
        <f>"85207-5228"</f>
        <v>85207-5228</v>
      </c>
      <c r="Q2236" t="s">
        <v>113</v>
      </c>
      <c r="R2236" t="str">
        <f>"220-19-128"</f>
        <v>220-19-128</v>
      </c>
      <c r="S2236" t="s">
        <v>15019</v>
      </c>
      <c r="U2236">
        <v>2235</v>
      </c>
      <c r="V2236">
        <v>0</v>
      </c>
      <c r="W2236">
        <v>3</v>
      </c>
      <c r="X2236">
        <v>1987</v>
      </c>
      <c r="Z2236">
        <v>2</v>
      </c>
      <c r="AB2236">
        <v>0</v>
      </c>
      <c r="AC2236" t="s">
        <v>115</v>
      </c>
      <c r="AD2236">
        <v>2</v>
      </c>
      <c r="AE2236" t="s">
        <v>115</v>
      </c>
      <c r="AF2236">
        <v>0</v>
      </c>
      <c r="AG2236">
        <v>0</v>
      </c>
      <c r="AH2236" t="s">
        <v>116</v>
      </c>
      <c r="AI2236" s="1">
        <v>24794</v>
      </c>
      <c r="AJ2236" s="2">
        <v>0.09</v>
      </c>
      <c r="AK2236" s="1">
        <v>284794</v>
      </c>
      <c r="AL2236" t="s">
        <v>117</v>
      </c>
      <c r="AM2236" t="s">
        <v>393</v>
      </c>
      <c r="AN2236">
        <v>8420</v>
      </c>
      <c r="AO2236">
        <v>0.19</v>
      </c>
      <c r="AP2236">
        <v>1</v>
      </c>
      <c r="AR2236">
        <v>1</v>
      </c>
      <c r="AS2236" s="1">
        <v>18920</v>
      </c>
      <c r="AT2236" s="1">
        <v>3780</v>
      </c>
      <c r="AU2236" s="1">
        <v>15140</v>
      </c>
      <c r="AV2236">
        <v>80.02</v>
      </c>
      <c r="AX2236" s="1">
        <v>915.54</v>
      </c>
      <c r="AY2236" t="s">
        <v>15020</v>
      </c>
      <c r="AZ2236" t="s">
        <v>3761</v>
      </c>
      <c r="BA2236" t="s">
        <v>232</v>
      </c>
      <c r="BE2236" s="3">
        <v>42398</v>
      </c>
      <c r="BF2236" s="1">
        <v>220000</v>
      </c>
      <c r="BG2236" t="s">
        <v>15021</v>
      </c>
      <c r="BH2236" s="1">
        <v>98.43</v>
      </c>
      <c r="BI2236" s="1">
        <v>260000</v>
      </c>
      <c r="BJ2236" s="3">
        <v>42921</v>
      </c>
      <c r="BK2236" t="s">
        <v>123</v>
      </c>
      <c r="BL2236" t="str">
        <f>"2017.489115"</f>
        <v>2017.489115</v>
      </c>
      <c r="BM2236" t="s">
        <v>5992</v>
      </c>
      <c r="BO2236" t="s">
        <v>15022</v>
      </c>
      <c r="BS2236">
        <v>30</v>
      </c>
      <c r="BW2236" t="str">
        <f>""</f>
        <v/>
      </c>
      <c r="CH2236" t="str">
        <f>""</f>
        <v/>
      </c>
      <c r="CS2236" t="str">
        <f>""</f>
        <v/>
      </c>
    </row>
    <row r="2237" spans="1:97" x14ac:dyDescent="0.25">
      <c r="A2237" t="s">
        <v>1857</v>
      </c>
      <c r="B2237" t="s">
        <v>15023</v>
      </c>
      <c r="C2237" t="s">
        <v>7562</v>
      </c>
      <c r="D2237" t="s">
        <v>15023</v>
      </c>
      <c r="E2237" t="s">
        <v>15024</v>
      </c>
      <c r="F2237" t="s">
        <v>108</v>
      </c>
      <c r="H2237" t="s">
        <v>15025</v>
      </c>
      <c r="I2237" t="s">
        <v>499</v>
      </c>
      <c r="J2237" t="s">
        <v>111</v>
      </c>
      <c r="K2237" t="str">
        <f>"85338"</f>
        <v>85338</v>
      </c>
      <c r="L2237" t="s">
        <v>8146</v>
      </c>
      <c r="M2237" t="s">
        <v>15025</v>
      </c>
      <c r="N2237" t="s">
        <v>499</v>
      </c>
      <c r="O2237" t="s">
        <v>111</v>
      </c>
      <c r="P2237" t="str">
        <f>"85338-7501"</f>
        <v>85338-7501</v>
      </c>
      <c r="Q2237" t="s">
        <v>113</v>
      </c>
      <c r="R2237" t="str">
        <f>"502-44-178"</f>
        <v>502-44-178</v>
      </c>
      <c r="S2237" t="s">
        <v>5101</v>
      </c>
      <c r="T2237" t="s">
        <v>5102</v>
      </c>
      <c r="U2237">
        <v>2734</v>
      </c>
      <c r="V2237">
        <v>0</v>
      </c>
      <c r="W2237">
        <v>5</v>
      </c>
      <c r="X2237">
        <v>2015</v>
      </c>
      <c r="Z2237">
        <v>1</v>
      </c>
      <c r="AA2237" t="s">
        <v>26</v>
      </c>
      <c r="AB2237">
        <v>0</v>
      </c>
      <c r="AC2237" t="s">
        <v>115</v>
      </c>
      <c r="AD2237">
        <v>2</v>
      </c>
      <c r="AE2237" t="s">
        <v>115</v>
      </c>
      <c r="AF2237">
        <v>0</v>
      </c>
      <c r="AG2237">
        <v>0</v>
      </c>
      <c r="AH2237" t="s">
        <v>116</v>
      </c>
      <c r="AI2237" s="1">
        <v>98632</v>
      </c>
      <c r="AJ2237" s="2">
        <v>0.27</v>
      </c>
      <c r="AK2237" s="1">
        <v>361232</v>
      </c>
      <c r="AL2237" t="s">
        <v>117</v>
      </c>
      <c r="AM2237" t="s">
        <v>118</v>
      </c>
      <c r="AN2237">
        <v>8441</v>
      </c>
      <c r="AO2237">
        <v>0.19</v>
      </c>
      <c r="AR2237">
        <v>1</v>
      </c>
      <c r="AS2237" s="1">
        <v>27510</v>
      </c>
      <c r="AT2237" s="1">
        <v>5500</v>
      </c>
      <c r="AU2237" s="1">
        <v>22010</v>
      </c>
      <c r="AV2237">
        <v>80.010000000000005</v>
      </c>
      <c r="AX2237" s="1">
        <v>1982.14</v>
      </c>
      <c r="AY2237" t="s">
        <v>2767</v>
      </c>
      <c r="AZ2237" t="s">
        <v>2767</v>
      </c>
      <c r="BA2237" t="s">
        <v>1247</v>
      </c>
      <c r="BE2237" s="3">
        <v>42328</v>
      </c>
      <c r="BF2237" s="1">
        <v>266767</v>
      </c>
      <c r="BG2237" t="s">
        <v>275</v>
      </c>
      <c r="BH2237" s="1">
        <v>97.57</v>
      </c>
      <c r="BI2237" s="1">
        <v>262600</v>
      </c>
      <c r="BJ2237" s="3">
        <v>42328</v>
      </c>
      <c r="BK2237" t="s">
        <v>123</v>
      </c>
      <c r="BL2237" t="str">
        <f>"2015.832583"</f>
        <v>2015.832583</v>
      </c>
      <c r="BM2237" t="s">
        <v>651</v>
      </c>
      <c r="BO2237" t="s">
        <v>15026</v>
      </c>
      <c r="BS2237">
        <v>30</v>
      </c>
      <c r="BW2237" t="str">
        <f>""</f>
        <v/>
      </c>
      <c r="CH2237" t="str">
        <f>""</f>
        <v/>
      </c>
      <c r="CS2237" t="str">
        <f>""</f>
        <v/>
      </c>
    </row>
    <row r="2238" spans="1:97" x14ac:dyDescent="0.25">
      <c r="A2238" t="s">
        <v>996</v>
      </c>
      <c r="B2238" t="s">
        <v>1208</v>
      </c>
      <c r="C2238" t="s">
        <v>220</v>
      </c>
      <c r="D2238" t="s">
        <v>1208</v>
      </c>
      <c r="E2238" t="s">
        <v>15027</v>
      </c>
      <c r="F2238" t="s">
        <v>108</v>
      </c>
      <c r="H2238" t="s">
        <v>15028</v>
      </c>
      <c r="I2238" t="s">
        <v>390</v>
      </c>
      <c r="J2238" t="s">
        <v>111</v>
      </c>
      <c r="K2238" t="str">
        <f>"85032"</f>
        <v>85032</v>
      </c>
      <c r="L2238" t="s">
        <v>5228</v>
      </c>
      <c r="M2238" t="s">
        <v>15028</v>
      </c>
      <c r="N2238" t="s">
        <v>390</v>
      </c>
      <c r="O2238" t="s">
        <v>111</v>
      </c>
      <c r="P2238" t="str">
        <f>"85032-5722"</f>
        <v>85032-5722</v>
      </c>
      <c r="Q2238" t="s">
        <v>113</v>
      </c>
      <c r="R2238" t="str">
        <f>"214-62-056"</f>
        <v>214-62-056</v>
      </c>
      <c r="S2238" t="s">
        <v>5229</v>
      </c>
      <c r="U2238">
        <v>1568</v>
      </c>
      <c r="V2238">
        <v>0</v>
      </c>
      <c r="W2238">
        <v>2</v>
      </c>
      <c r="X2238">
        <v>1970</v>
      </c>
      <c r="Z2238">
        <v>1</v>
      </c>
      <c r="AA2238" t="s">
        <v>26</v>
      </c>
      <c r="AB2238">
        <v>0</v>
      </c>
      <c r="AC2238" t="s">
        <v>7038</v>
      </c>
      <c r="AD2238">
        <v>0</v>
      </c>
      <c r="AE2238" t="s">
        <v>7038</v>
      </c>
      <c r="AF2238">
        <v>0</v>
      </c>
      <c r="AG2238">
        <v>0</v>
      </c>
      <c r="AH2238" t="s">
        <v>5467</v>
      </c>
      <c r="AI2238" s="1">
        <v>42184</v>
      </c>
      <c r="AJ2238" s="2">
        <v>0.14000000000000001</v>
      </c>
      <c r="AK2238" s="1">
        <v>297559</v>
      </c>
      <c r="AL2238" t="s">
        <v>117</v>
      </c>
      <c r="AM2238" t="s">
        <v>191</v>
      </c>
      <c r="AN2238">
        <v>12595</v>
      </c>
      <c r="AO2238">
        <v>0.28999999999999998</v>
      </c>
      <c r="AP2238">
        <v>1</v>
      </c>
      <c r="AR2238">
        <v>1</v>
      </c>
      <c r="AS2238" s="1">
        <v>20850</v>
      </c>
      <c r="AT2238" s="1">
        <v>4170</v>
      </c>
      <c r="AU2238" s="1">
        <v>16680</v>
      </c>
      <c r="AV2238">
        <v>80</v>
      </c>
      <c r="AX2238" s="1">
        <v>1207.7</v>
      </c>
      <c r="AY2238" t="s">
        <v>5230</v>
      </c>
      <c r="AZ2238" t="s">
        <v>5231</v>
      </c>
      <c r="BA2238" t="s">
        <v>5232</v>
      </c>
      <c r="BE2238" s="3">
        <v>41787</v>
      </c>
      <c r="BF2238" s="1">
        <v>198000</v>
      </c>
      <c r="BG2238" t="s">
        <v>15029</v>
      </c>
      <c r="BH2238" s="1">
        <v>126.28</v>
      </c>
      <c r="BI2238" s="1">
        <v>255375</v>
      </c>
      <c r="BJ2238" s="3">
        <v>43035</v>
      </c>
      <c r="BK2238" t="s">
        <v>123</v>
      </c>
      <c r="BL2238" t="str">
        <f>"2017.797063"</f>
        <v>2017.797063</v>
      </c>
      <c r="BM2238" t="s">
        <v>15030</v>
      </c>
      <c r="BO2238" t="s">
        <v>15031</v>
      </c>
      <c r="BS2238">
        <v>30</v>
      </c>
      <c r="BW2238" t="str">
        <f>""</f>
        <v/>
      </c>
      <c r="CH2238" t="str">
        <f>""</f>
        <v/>
      </c>
      <c r="CS2238" t="str">
        <f>""</f>
        <v/>
      </c>
    </row>
    <row r="2239" spans="1:97" x14ac:dyDescent="0.25">
      <c r="A2239" t="s">
        <v>894</v>
      </c>
      <c r="B2239" t="s">
        <v>15032</v>
      </c>
      <c r="C2239" t="s">
        <v>1005</v>
      </c>
      <c r="D2239" t="s">
        <v>15032</v>
      </c>
      <c r="E2239" t="s">
        <v>15033</v>
      </c>
      <c r="F2239" t="s">
        <v>108</v>
      </c>
      <c r="H2239" t="s">
        <v>15034</v>
      </c>
      <c r="I2239" t="s">
        <v>390</v>
      </c>
      <c r="J2239" t="s">
        <v>111</v>
      </c>
      <c r="K2239" t="str">
        <f>"85032"</f>
        <v>85032</v>
      </c>
      <c r="L2239" t="s">
        <v>6601</v>
      </c>
      <c r="M2239" t="s">
        <v>15034</v>
      </c>
      <c r="N2239" t="s">
        <v>390</v>
      </c>
      <c r="O2239" t="s">
        <v>111</v>
      </c>
      <c r="P2239" t="str">
        <f>"85032-2265"</f>
        <v>85032-2265</v>
      </c>
      <c r="Q2239" t="s">
        <v>113</v>
      </c>
      <c r="R2239" t="str">
        <f>"215-17-569"</f>
        <v>215-17-569</v>
      </c>
      <c r="S2239" t="s">
        <v>15035</v>
      </c>
      <c r="T2239" t="s">
        <v>15036</v>
      </c>
      <c r="U2239">
        <v>1848</v>
      </c>
      <c r="V2239">
        <v>0</v>
      </c>
      <c r="W2239">
        <v>3</v>
      </c>
      <c r="X2239">
        <v>1994</v>
      </c>
      <c r="Z2239">
        <v>2</v>
      </c>
      <c r="AA2239" t="s">
        <v>26</v>
      </c>
      <c r="AB2239">
        <v>0</v>
      </c>
      <c r="AC2239" t="s">
        <v>115</v>
      </c>
      <c r="AD2239">
        <v>2</v>
      </c>
      <c r="AE2239" t="s">
        <v>115</v>
      </c>
      <c r="AF2239">
        <v>0</v>
      </c>
      <c r="AG2239">
        <v>0</v>
      </c>
      <c r="AH2239" t="s">
        <v>116</v>
      </c>
      <c r="AI2239" s="1">
        <v>34014</v>
      </c>
      <c r="AJ2239" s="2">
        <v>0.1</v>
      </c>
      <c r="AK2239" s="1">
        <v>357499</v>
      </c>
      <c r="AL2239" t="s">
        <v>117</v>
      </c>
      <c r="AM2239" t="s">
        <v>1315</v>
      </c>
      <c r="AN2239">
        <v>4278</v>
      </c>
      <c r="AO2239">
        <v>0.98</v>
      </c>
      <c r="AP2239">
        <v>1</v>
      </c>
      <c r="AR2239">
        <v>1</v>
      </c>
      <c r="AS2239" s="1">
        <v>24570</v>
      </c>
      <c r="AT2239" s="1">
        <v>4910</v>
      </c>
      <c r="AU2239" s="1">
        <v>19660</v>
      </c>
      <c r="AV2239">
        <v>80.02</v>
      </c>
      <c r="AX2239" s="1">
        <v>2087.1</v>
      </c>
      <c r="AY2239" t="s">
        <v>1316</v>
      </c>
      <c r="AZ2239" t="s">
        <v>1317</v>
      </c>
      <c r="BA2239" t="s">
        <v>1318</v>
      </c>
      <c r="BE2239" s="3">
        <v>42535</v>
      </c>
      <c r="BF2239" s="1">
        <v>315000</v>
      </c>
      <c r="BG2239" t="s">
        <v>15037</v>
      </c>
      <c r="BH2239" s="1">
        <v>170.45</v>
      </c>
      <c r="BI2239" s="1">
        <v>323485</v>
      </c>
      <c r="BJ2239" s="3">
        <v>42702</v>
      </c>
      <c r="BK2239" t="s">
        <v>123</v>
      </c>
      <c r="BL2239" t="str">
        <f>"2016.869772"</f>
        <v>2016.869772</v>
      </c>
      <c r="BM2239" t="s">
        <v>402</v>
      </c>
      <c r="BO2239" t="s">
        <v>15038</v>
      </c>
      <c r="BS2239">
        <v>30</v>
      </c>
      <c r="BW2239" t="str">
        <f>""</f>
        <v/>
      </c>
      <c r="CH2239" t="str">
        <f>""</f>
        <v/>
      </c>
      <c r="CS2239" t="str">
        <f>""</f>
        <v/>
      </c>
    </row>
    <row r="2240" spans="1:97" x14ac:dyDescent="0.25">
      <c r="A2240" t="s">
        <v>412</v>
      </c>
      <c r="B2240" t="s">
        <v>11055</v>
      </c>
      <c r="C2240" t="s">
        <v>15039</v>
      </c>
      <c r="D2240" t="s">
        <v>11055</v>
      </c>
      <c r="E2240" t="s">
        <v>15040</v>
      </c>
      <c r="F2240" t="s">
        <v>108</v>
      </c>
      <c r="H2240" t="s">
        <v>15041</v>
      </c>
      <c r="I2240" t="s">
        <v>225</v>
      </c>
      <c r="J2240" t="s">
        <v>111</v>
      </c>
      <c r="K2240" t="str">
        <f>"85212"</f>
        <v>85212</v>
      </c>
      <c r="L2240" t="s">
        <v>1569</v>
      </c>
      <c r="M2240" t="s">
        <v>15041</v>
      </c>
      <c r="N2240" t="s">
        <v>225</v>
      </c>
      <c r="O2240" t="s">
        <v>111</v>
      </c>
      <c r="P2240" t="str">
        <f>"85212-4033"</f>
        <v>85212-4033</v>
      </c>
      <c r="Q2240" t="s">
        <v>113</v>
      </c>
      <c r="R2240" t="str">
        <f>"304-33-099"</f>
        <v>304-33-099</v>
      </c>
      <c r="S2240" t="s">
        <v>13510</v>
      </c>
      <c r="T2240" t="s">
        <v>13511</v>
      </c>
      <c r="U2240">
        <v>2175</v>
      </c>
      <c r="V2240">
        <v>0</v>
      </c>
      <c r="W2240">
        <v>3</v>
      </c>
      <c r="X2240">
        <v>2002</v>
      </c>
      <c r="Z2240">
        <v>1</v>
      </c>
      <c r="AB2240">
        <v>0</v>
      </c>
      <c r="AC2240" t="s">
        <v>115</v>
      </c>
      <c r="AD2240">
        <v>2</v>
      </c>
      <c r="AE2240" t="s">
        <v>115</v>
      </c>
      <c r="AF2240">
        <v>0</v>
      </c>
      <c r="AG2240">
        <v>0</v>
      </c>
      <c r="AH2240" t="s">
        <v>116</v>
      </c>
      <c r="AI2240" s="1">
        <v>80021</v>
      </c>
      <c r="AJ2240" s="2">
        <v>0.27</v>
      </c>
      <c r="AK2240" s="1">
        <v>295871</v>
      </c>
      <c r="AL2240" t="s">
        <v>117</v>
      </c>
      <c r="AM2240" t="s">
        <v>393</v>
      </c>
      <c r="AN2240">
        <v>7000</v>
      </c>
      <c r="AO2240">
        <v>0.16</v>
      </c>
      <c r="AP2240">
        <v>1</v>
      </c>
      <c r="AR2240">
        <v>1</v>
      </c>
      <c r="AS2240" s="1">
        <v>19870</v>
      </c>
      <c r="AT2240" s="1">
        <v>3970</v>
      </c>
      <c r="AU2240" s="1">
        <v>15900</v>
      </c>
      <c r="AV2240">
        <v>80.02</v>
      </c>
      <c r="AX2240" s="1">
        <v>1381.82</v>
      </c>
      <c r="AY2240" t="s">
        <v>776</v>
      </c>
      <c r="AZ2240" t="s">
        <v>777</v>
      </c>
      <c r="BA2240" t="s">
        <v>572</v>
      </c>
      <c r="BE2240" s="3">
        <v>41722</v>
      </c>
      <c r="BF2240" s="1">
        <v>209000</v>
      </c>
      <c r="BG2240" t="s">
        <v>15042</v>
      </c>
      <c r="BH2240" s="1">
        <v>96.09</v>
      </c>
      <c r="BI2240" s="1">
        <v>215850</v>
      </c>
      <c r="BJ2240" s="3">
        <v>41722</v>
      </c>
      <c r="BK2240" t="s">
        <v>123</v>
      </c>
      <c r="BL2240" t="str">
        <f>"2014.186412"</f>
        <v>2014.186412</v>
      </c>
      <c r="BM2240" t="s">
        <v>124</v>
      </c>
      <c r="BO2240" t="s">
        <v>15043</v>
      </c>
      <c r="BS2240">
        <v>30</v>
      </c>
      <c r="BW2240" t="str">
        <f>""</f>
        <v/>
      </c>
      <c r="CH2240" t="str">
        <f>""</f>
        <v/>
      </c>
      <c r="CS2240" t="str">
        <f>""</f>
        <v/>
      </c>
    </row>
    <row r="2241" spans="1:97" x14ac:dyDescent="0.25">
      <c r="A2241" t="s">
        <v>999</v>
      </c>
      <c r="B2241" t="s">
        <v>10495</v>
      </c>
      <c r="C2241" t="s">
        <v>15044</v>
      </c>
      <c r="D2241" t="s">
        <v>10495</v>
      </c>
      <c r="E2241" t="s">
        <v>15045</v>
      </c>
      <c r="F2241" t="s">
        <v>108</v>
      </c>
      <c r="H2241" t="s">
        <v>15046</v>
      </c>
      <c r="I2241" t="s">
        <v>2874</v>
      </c>
      <c r="J2241" t="s">
        <v>111</v>
      </c>
      <c r="K2241" t="str">
        <f>"85303"</f>
        <v>85303</v>
      </c>
      <c r="L2241" t="s">
        <v>6682</v>
      </c>
      <c r="M2241" t="s">
        <v>15046</v>
      </c>
      <c r="N2241" t="s">
        <v>2874</v>
      </c>
      <c r="O2241" t="s">
        <v>111</v>
      </c>
      <c r="P2241" t="str">
        <f>"85303-2202"</f>
        <v>85303-2202</v>
      </c>
      <c r="Q2241" t="s">
        <v>113</v>
      </c>
      <c r="R2241" t="str">
        <f>"142-27-096"</f>
        <v>142-27-096</v>
      </c>
      <c r="S2241" t="s">
        <v>15047</v>
      </c>
      <c r="T2241" t="s">
        <v>15047</v>
      </c>
      <c r="U2241">
        <v>1922</v>
      </c>
      <c r="V2241">
        <v>0</v>
      </c>
      <c r="W2241">
        <v>3</v>
      </c>
      <c r="X2241">
        <v>1994</v>
      </c>
      <c r="Z2241">
        <v>1</v>
      </c>
      <c r="AB2241">
        <v>0</v>
      </c>
      <c r="AC2241" t="s">
        <v>115</v>
      </c>
      <c r="AD2241">
        <v>3</v>
      </c>
      <c r="AE2241" t="s">
        <v>115</v>
      </c>
      <c r="AF2241">
        <v>0</v>
      </c>
      <c r="AG2241">
        <v>0</v>
      </c>
      <c r="AH2241" t="s">
        <v>116</v>
      </c>
      <c r="AI2241" s="1">
        <v>68594</v>
      </c>
      <c r="AJ2241" s="2">
        <v>0.24</v>
      </c>
      <c r="AK2241" s="1">
        <v>280132</v>
      </c>
      <c r="AL2241" t="s">
        <v>117</v>
      </c>
      <c r="AM2241" t="s">
        <v>393</v>
      </c>
      <c r="AN2241">
        <v>7344</v>
      </c>
      <c r="AO2241">
        <v>0.17</v>
      </c>
      <c r="AP2241">
        <v>1</v>
      </c>
      <c r="AR2241">
        <v>1</v>
      </c>
      <c r="AS2241" s="1">
        <v>19150</v>
      </c>
      <c r="AT2241" s="1">
        <v>3830</v>
      </c>
      <c r="AU2241" s="1">
        <v>15320</v>
      </c>
      <c r="AV2241">
        <v>80</v>
      </c>
      <c r="AX2241" s="1">
        <v>1453.8</v>
      </c>
      <c r="AY2241" t="s">
        <v>6684</v>
      </c>
      <c r="AZ2241" t="s">
        <v>6684</v>
      </c>
      <c r="BA2241" t="s">
        <v>2878</v>
      </c>
      <c r="BE2241" s="3">
        <v>42500</v>
      </c>
      <c r="BF2241" s="1">
        <v>204000</v>
      </c>
      <c r="BG2241" t="s">
        <v>15048</v>
      </c>
      <c r="BH2241" s="1">
        <v>106.14</v>
      </c>
      <c r="BI2241" s="1">
        <v>211538</v>
      </c>
      <c r="BJ2241" s="3">
        <v>42713</v>
      </c>
      <c r="BK2241" t="s">
        <v>123</v>
      </c>
      <c r="BL2241" t="str">
        <f>"2016.907306"</f>
        <v>2016.907306</v>
      </c>
      <c r="BM2241" t="s">
        <v>1695</v>
      </c>
      <c r="BO2241" t="s">
        <v>15049</v>
      </c>
      <c r="BP2241" t="s">
        <v>15050</v>
      </c>
      <c r="BS2241">
        <v>30</v>
      </c>
      <c r="BW2241" t="str">
        <f>""</f>
        <v/>
      </c>
      <c r="CH2241" t="str">
        <f>""</f>
        <v/>
      </c>
      <c r="CS2241" t="str">
        <f>""</f>
        <v/>
      </c>
    </row>
    <row r="2242" spans="1:97" x14ac:dyDescent="0.25">
      <c r="A2242" t="s">
        <v>886</v>
      </c>
      <c r="B2242" t="s">
        <v>3333</v>
      </c>
      <c r="E2242" t="s">
        <v>15051</v>
      </c>
      <c r="F2242" t="s">
        <v>108</v>
      </c>
      <c r="H2242" t="s">
        <v>15052</v>
      </c>
      <c r="I2242" t="s">
        <v>390</v>
      </c>
      <c r="J2242" t="s">
        <v>111</v>
      </c>
      <c r="K2242" t="str">
        <f>"85014"</f>
        <v>85014</v>
      </c>
      <c r="L2242" t="s">
        <v>6691</v>
      </c>
      <c r="M2242" t="s">
        <v>15052</v>
      </c>
      <c r="N2242" t="s">
        <v>390</v>
      </c>
      <c r="O2242" t="s">
        <v>111</v>
      </c>
      <c r="P2242" t="str">
        <f>"85014-5032"</f>
        <v>85014-5032</v>
      </c>
      <c r="Q2242" t="s">
        <v>113</v>
      </c>
      <c r="R2242" t="str">
        <f>"118-06-075"</f>
        <v>118-06-075</v>
      </c>
      <c r="S2242" t="s">
        <v>8687</v>
      </c>
      <c r="T2242" t="s">
        <v>8687</v>
      </c>
      <c r="U2242">
        <v>1440</v>
      </c>
      <c r="V2242">
        <v>0</v>
      </c>
      <c r="W2242">
        <v>2</v>
      </c>
      <c r="X2242">
        <v>1940</v>
      </c>
      <c r="Z2242">
        <v>1</v>
      </c>
      <c r="AB2242">
        <v>0</v>
      </c>
      <c r="AC2242" t="s">
        <v>7038</v>
      </c>
      <c r="AD2242">
        <v>0</v>
      </c>
      <c r="AE2242" t="s">
        <v>7038</v>
      </c>
      <c r="AF2242">
        <v>0</v>
      </c>
      <c r="AG2242">
        <v>0</v>
      </c>
      <c r="AH2242" t="s">
        <v>116</v>
      </c>
      <c r="AI2242" s="1">
        <v>97014</v>
      </c>
      <c r="AJ2242" s="2">
        <v>0.32</v>
      </c>
      <c r="AK2242" s="1">
        <v>299664</v>
      </c>
      <c r="AL2242" t="s">
        <v>117</v>
      </c>
      <c r="AM2242" t="s">
        <v>191</v>
      </c>
      <c r="AN2242">
        <v>6255</v>
      </c>
      <c r="AO2242">
        <v>0.14000000000000001</v>
      </c>
      <c r="AP2242">
        <v>1</v>
      </c>
      <c r="AR2242">
        <v>1</v>
      </c>
      <c r="AS2242" s="1">
        <v>19300</v>
      </c>
      <c r="AT2242" s="1">
        <v>3860</v>
      </c>
      <c r="AU2242" s="1">
        <v>15440</v>
      </c>
      <c r="AV2242">
        <v>80</v>
      </c>
      <c r="AX2242" s="1">
        <v>1344.92</v>
      </c>
      <c r="AY2242" t="s">
        <v>5689</v>
      </c>
      <c r="AZ2242" t="s">
        <v>5690</v>
      </c>
      <c r="BA2242" t="s">
        <v>8412</v>
      </c>
      <c r="BE2242" s="3">
        <v>41717</v>
      </c>
      <c r="BF2242" s="1">
        <v>210500</v>
      </c>
      <c r="BG2242" t="s">
        <v>15053</v>
      </c>
      <c r="BH2242" s="1">
        <v>146.18</v>
      </c>
      <c r="BI2242" s="1">
        <v>202650</v>
      </c>
      <c r="BJ2242" s="3">
        <v>42723</v>
      </c>
      <c r="BK2242" t="s">
        <v>123</v>
      </c>
      <c r="BL2242" t="str">
        <f>"2016.932206"</f>
        <v>2016.932206</v>
      </c>
      <c r="BM2242" t="s">
        <v>124</v>
      </c>
      <c r="BO2242" t="s">
        <v>15054</v>
      </c>
      <c r="BS2242">
        <v>30</v>
      </c>
      <c r="BW2242" t="str">
        <f>""</f>
        <v/>
      </c>
      <c r="CH2242" t="str">
        <f>""</f>
        <v/>
      </c>
      <c r="CS2242" t="str">
        <f>""</f>
        <v/>
      </c>
    </row>
    <row r="2243" spans="1:97" x14ac:dyDescent="0.25">
      <c r="A2243" t="s">
        <v>177</v>
      </c>
      <c r="B2243" t="s">
        <v>15055</v>
      </c>
      <c r="C2243" t="s">
        <v>3282</v>
      </c>
      <c r="D2243" t="s">
        <v>15055</v>
      </c>
      <c r="E2243" t="s">
        <v>15056</v>
      </c>
      <c r="F2243" t="s">
        <v>108</v>
      </c>
      <c r="H2243" t="s">
        <v>15057</v>
      </c>
      <c r="I2243" t="s">
        <v>499</v>
      </c>
      <c r="J2243" t="s">
        <v>111</v>
      </c>
      <c r="K2243" t="str">
        <f>"85338"</f>
        <v>85338</v>
      </c>
      <c r="L2243" t="s">
        <v>5239</v>
      </c>
      <c r="M2243" t="s">
        <v>15057</v>
      </c>
      <c r="N2243" t="s">
        <v>499</v>
      </c>
      <c r="O2243" t="s">
        <v>111</v>
      </c>
      <c r="P2243" t="str">
        <f>"85338-6831"</f>
        <v>85338-6831</v>
      </c>
      <c r="Q2243" t="s">
        <v>113</v>
      </c>
      <c r="R2243" t="str">
        <f>"500-05-832"</f>
        <v>500-05-832</v>
      </c>
      <c r="S2243" t="s">
        <v>15058</v>
      </c>
      <c r="U2243">
        <v>1993</v>
      </c>
      <c r="V2243">
        <v>0</v>
      </c>
      <c r="W2243">
        <v>4</v>
      </c>
      <c r="X2243">
        <v>1999</v>
      </c>
      <c r="Z2243">
        <v>2</v>
      </c>
      <c r="AA2243" t="s">
        <v>26</v>
      </c>
      <c r="AB2243">
        <v>0</v>
      </c>
      <c r="AC2243" t="s">
        <v>115</v>
      </c>
      <c r="AD2243">
        <v>2</v>
      </c>
      <c r="AE2243" t="s">
        <v>115</v>
      </c>
      <c r="AF2243">
        <v>0</v>
      </c>
      <c r="AG2243">
        <v>0</v>
      </c>
      <c r="AH2243" t="s">
        <v>116</v>
      </c>
      <c r="AI2243" s="1">
        <v>61483</v>
      </c>
      <c r="AJ2243" s="2">
        <v>0.23</v>
      </c>
      <c r="AK2243" s="1">
        <v>269483</v>
      </c>
      <c r="AL2243" t="s">
        <v>117</v>
      </c>
      <c r="AM2243" t="s">
        <v>118</v>
      </c>
      <c r="AN2243">
        <v>7331</v>
      </c>
      <c r="AO2243">
        <v>0.17</v>
      </c>
      <c r="AP2243">
        <v>1</v>
      </c>
      <c r="AR2243">
        <v>1</v>
      </c>
      <c r="AS2243" s="1">
        <v>18320</v>
      </c>
      <c r="AT2243" s="1">
        <v>3660</v>
      </c>
      <c r="AU2243" s="1">
        <v>14660</v>
      </c>
      <c r="AV2243">
        <v>80.02</v>
      </c>
      <c r="AX2243" s="1">
        <v>1622.32</v>
      </c>
      <c r="AY2243" t="s">
        <v>11118</v>
      </c>
      <c r="AZ2243" t="s">
        <v>11118</v>
      </c>
      <c r="BA2243" t="s">
        <v>7186</v>
      </c>
      <c r="BE2243" s="3">
        <v>42354</v>
      </c>
      <c r="BF2243" s="1">
        <v>210000</v>
      </c>
      <c r="BG2243" t="s">
        <v>15059</v>
      </c>
      <c r="BH2243" s="1">
        <v>105.37</v>
      </c>
      <c r="BI2243" s="1">
        <v>208000</v>
      </c>
      <c r="BJ2243" s="3">
        <v>42807</v>
      </c>
      <c r="BK2243" t="s">
        <v>123</v>
      </c>
      <c r="BL2243" t="str">
        <f>"2017.176959"</f>
        <v>2017.176959</v>
      </c>
      <c r="BM2243" t="s">
        <v>255</v>
      </c>
      <c r="BO2243" t="s">
        <v>15060</v>
      </c>
      <c r="BS2243">
        <v>30</v>
      </c>
      <c r="BW2243" t="str">
        <f>""</f>
        <v/>
      </c>
      <c r="CH2243" t="str">
        <f>""</f>
        <v/>
      </c>
      <c r="CS2243" t="str">
        <f>""</f>
        <v/>
      </c>
    </row>
    <row r="2244" spans="1:97" x14ac:dyDescent="0.25">
      <c r="A2244" t="s">
        <v>1406</v>
      </c>
      <c r="B2244" t="s">
        <v>15061</v>
      </c>
      <c r="E2244" t="s">
        <v>15062</v>
      </c>
      <c r="F2244" t="s">
        <v>108</v>
      </c>
      <c r="H2244" t="s">
        <v>15063</v>
      </c>
      <c r="I2244" t="s">
        <v>225</v>
      </c>
      <c r="J2244" t="s">
        <v>111</v>
      </c>
      <c r="K2244" t="str">
        <f>"85205"</f>
        <v>85205</v>
      </c>
      <c r="L2244" t="s">
        <v>7695</v>
      </c>
      <c r="M2244" t="s">
        <v>15063</v>
      </c>
      <c r="N2244" t="s">
        <v>225</v>
      </c>
      <c r="O2244" t="s">
        <v>111</v>
      </c>
      <c r="P2244" t="str">
        <f>"85205-3731"</f>
        <v>85205-3731</v>
      </c>
      <c r="Q2244" t="s">
        <v>113</v>
      </c>
      <c r="R2244" t="str">
        <f>"141-65-751"</f>
        <v>141-65-751</v>
      </c>
      <c r="S2244" t="s">
        <v>9688</v>
      </c>
      <c r="T2244" t="s">
        <v>9689</v>
      </c>
      <c r="U2244">
        <v>1510</v>
      </c>
      <c r="V2244">
        <v>0</v>
      </c>
      <c r="W2244">
        <v>3</v>
      </c>
      <c r="X2244">
        <v>1984</v>
      </c>
      <c r="Z2244">
        <v>1</v>
      </c>
      <c r="AB2244">
        <v>0</v>
      </c>
      <c r="AC2244" t="s">
        <v>115</v>
      </c>
      <c r="AD2244">
        <v>2</v>
      </c>
      <c r="AE2244" t="s">
        <v>115</v>
      </c>
      <c r="AF2244">
        <v>0</v>
      </c>
      <c r="AG2244">
        <v>0</v>
      </c>
      <c r="AH2244" t="s">
        <v>116</v>
      </c>
      <c r="AI2244" s="1">
        <v>79516</v>
      </c>
      <c r="AJ2244" s="2">
        <v>0.27</v>
      </c>
      <c r="AK2244" s="1">
        <v>293863</v>
      </c>
      <c r="AL2244" t="s">
        <v>117</v>
      </c>
      <c r="AM2244" t="s">
        <v>917</v>
      </c>
      <c r="AN2244">
        <v>15020</v>
      </c>
      <c r="AO2244">
        <v>0.34</v>
      </c>
      <c r="AP2244">
        <v>1</v>
      </c>
      <c r="AR2244">
        <v>1</v>
      </c>
      <c r="AS2244" s="1">
        <v>19410</v>
      </c>
      <c r="AT2244" s="1">
        <v>3880</v>
      </c>
      <c r="AU2244" s="1">
        <v>15530</v>
      </c>
      <c r="AV2244">
        <v>80.010000000000005</v>
      </c>
      <c r="AX2244" s="1">
        <v>1411.56</v>
      </c>
      <c r="AY2244" t="s">
        <v>6749</v>
      </c>
      <c r="AZ2244" t="s">
        <v>5275</v>
      </c>
      <c r="BA2244" t="s">
        <v>3119</v>
      </c>
      <c r="BE2244" s="3">
        <v>41717</v>
      </c>
      <c r="BF2244" s="1">
        <v>207500</v>
      </c>
      <c r="BG2244" t="s">
        <v>15064</v>
      </c>
      <c r="BH2244" s="1">
        <v>137.41999999999999</v>
      </c>
      <c r="BI2244" s="1">
        <v>214347</v>
      </c>
      <c r="BJ2244" s="3">
        <v>41717</v>
      </c>
      <c r="BK2244" t="s">
        <v>123</v>
      </c>
      <c r="BL2244" t="str">
        <f>"2014.175445"</f>
        <v>2014.175445</v>
      </c>
      <c r="BM2244" t="s">
        <v>15065</v>
      </c>
      <c r="BO2244" t="s">
        <v>15066</v>
      </c>
      <c r="BS2244">
        <v>30</v>
      </c>
      <c r="BW2244" t="str">
        <f>""</f>
        <v/>
      </c>
      <c r="CH2244" t="str">
        <f>""</f>
        <v/>
      </c>
      <c r="CS2244" t="str">
        <f>""</f>
        <v/>
      </c>
    </row>
    <row r="2245" spans="1:97" x14ac:dyDescent="0.25">
      <c r="A2245" t="s">
        <v>996</v>
      </c>
      <c r="B2245" t="s">
        <v>15067</v>
      </c>
      <c r="C2245" t="s">
        <v>1252</v>
      </c>
      <c r="D2245" t="s">
        <v>3066</v>
      </c>
      <c r="E2245" t="s">
        <v>15068</v>
      </c>
      <c r="F2245" t="s">
        <v>108</v>
      </c>
      <c r="H2245" t="s">
        <v>15069</v>
      </c>
      <c r="I2245" t="s">
        <v>225</v>
      </c>
      <c r="J2245" t="s">
        <v>111</v>
      </c>
      <c r="K2245" t="str">
        <f>"85204"</f>
        <v>85204</v>
      </c>
      <c r="L2245" t="s">
        <v>1300</v>
      </c>
      <c r="M2245" t="s">
        <v>15069</v>
      </c>
      <c r="N2245" t="s">
        <v>225</v>
      </c>
      <c r="O2245" t="s">
        <v>111</v>
      </c>
      <c r="P2245" t="str">
        <f>"85204-5326"</f>
        <v>85204-5326</v>
      </c>
      <c r="Q2245" t="s">
        <v>113</v>
      </c>
      <c r="R2245" t="str">
        <f>"140-43-568"</f>
        <v>140-43-568</v>
      </c>
      <c r="S2245" t="s">
        <v>15070</v>
      </c>
      <c r="T2245" t="s">
        <v>15071</v>
      </c>
      <c r="U2245">
        <v>1328</v>
      </c>
      <c r="V2245">
        <v>0</v>
      </c>
      <c r="W2245">
        <v>2</v>
      </c>
      <c r="X2245">
        <v>1982</v>
      </c>
      <c r="Z2245">
        <v>1</v>
      </c>
      <c r="AB2245">
        <v>0</v>
      </c>
      <c r="AC2245" t="s">
        <v>115</v>
      </c>
      <c r="AD2245">
        <v>2</v>
      </c>
      <c r="AE2245" t="s">
        <v>115</v>
      </c>
      <c r="AF2245">
        <v>0</v>
      </c>
      <c r="AG2245">
        <v>0</v>
      </c>
      <c r="AH2245" t="s">
        <v>116</v>
      </c>
      <c r="AI2245" s="1">
        <v>7499</v>
      </c>
      <c r="AJ2245" s="2">
        <v>0.03</v>
      </c>
      <c r="AK2245" s="1">
        <v>232496</v>
      </c>
      <c r="AL2245" t="s">
        <v>117</v>
      </c>
      <c r="AM2245" t="s">
        <v>229</v>
      </c>
      <c r="AN2245">
        <v>4366</v>
      </c>
      <c r="AO2245">
        <v>0.1</v>
      </c>
      <c r="AP2245">
        <v>1</v>
      </c>
      <c r="AR2245">
        <v>1</v>
      </c>
      <c r="AS2245" s="1">
        <v>15110</v>
      </c>
      <c r="AT2245" s="1">
        <v>3020</v>
      </c>
      <c r="AU2245" s="1">
        <v>12090</v>
      </c>
      <c r="AV2245">
        <v>80.010000000000005</v>
      </c>
      <c r="AX2245" s="1">
        <v>964.7</v>
      </c>
      <c r="AY2245" t="s">
        <v>8934</v>
      </c>
      <c r="AZ2245" t="s">
        <v>5158</v>
      </c>
      <c r="BA2245" t="s">
        <v>5159</v>
      </c>
      <c r="BB2245" s="3">
        <v>43524</v>
      </c>
      <c r="BC2245" s="1">
        <v>0</v>
      </c>
      <c r="BD2245" t="s">
        <v>247</v>
      </c>
      <c r="BE2245" s="3">
        <v>42048</v>
      </c>
      <c r="BF2245" s="1">
        <v>157000</v>
      </c>
      <c r="BG2245" t="s">
        <v>15072</v>
      </c>
      <c r="BH2245" s="1">
        <v>118.22</v>
      </c>
      <c r="BI2245" s="1">
        <v>224997</v>
      </c>
      <c r="BJ2245" s="3">
        <v>43524</v>
      </c>
      <c r="BK2245" t="s">
        <v>123</v>
      </c>
      <c r="BL2245" t="str">
        <f>"2019.137544"</f>
        <v>2019.137544</v>
      </c>
      <c r="BM2245" t="s">
        <v>15073</v>
      </c>
      <c r="BN2245" t="s">
        <v>2291</v>
      </c>
      <c r="BO2245" t="s">
        <v>15074</v>
      </c>
      <c r="BP2245" t="s">
        <v>15075</v>
      </c>
      <c r="BR2245" t="s">
        <v>139</v>
      </c>
      <c r="BW2245" t="str">
        <f>""</f>
        <v/>
      </c>
      <c r="CH2245" t="str">
        <f>""</f>
        <v/>
      </c>
      <c r="CS2245" t="str">
        <f>""</f>
        <v/>
      </c>
    </row>
    <row r="2246" spans="1:97" x14ac:dyDescent="0.25">
      <c r="A2246" t="s">
        <v>3613</v>
      </c>
      <c r="B2246" t="s">
        <v>15076</v>
      </c>
      <c r="C2246" t="s">
        <v>15077</v>
      </c>
      <c r="D2246" t="s">
        <v>15076</v>
      </c>
      <c r="E2246" t="s">
        <v>15078</v>
      </c>
      <c r="F2246" t="s">
        <v>108</v>
      </c>
      <c r="H2246" t="s">
        <v>15079</v>
      </c>
      <c r="I2246" t="s">
        <v>203</v>
      </c>
      <c r="J2246" t="s">
        <v>111</v>
      </c>
      <c r="K2246" t="str">
        <f>"85234"</f>
        <v>85234</v>
      </c>
      <c r="L2246" t="s">
        <v>688</v>
      </c>
      <c r="M2246" t="s">
        <v>15079</v>
      </c>
      <c r="N2246" t="s">
        <v>203</v>
      </c>
      <c r="O2246" t="s">
        <v>111</v>
      </c>
      <c r="P2246" t="str">
        <f>"85234-2947"</f>
        <v>85234-2947</v>
      </c>
      <c r="Q2246" t="s">
        <v>113</v>
      </c>
      <c r="R2246" t="str">
        <f>"304-07-163"</f>
        <v>304-07-163</v>
      </c>
      <c r="S2246" t="s">
        <v>10653</v>
      </c>
      <c r="T2246" t="s">
        <v>10653</v>
      </c>
      <c r="U2246">
        <v>1884</v>
      </c>
      <c r="V2246">
        <v>0</v>
      </c>
      <c r="W2246">
        <v>3</v>
      </c>
      <c r="X2246">
        <v>1996</v>
      </c>
      <c r="Z2246">
        <v>1</v>
      </c>
      <c r="AA2246" t="s">
        <v>26</v>
      </c>
      <c r="AB2246">
        <v>0</v>
      </c>
      <c r="AC2246" t="s">
        <v>115</v>
      </c>
      <c r="AD2246">
        <v>2</v>
      </c>
      <c r="AE2246" t="s">
        <v>115</v>
      </c>
      <c r="AF2246">
        <v>0</v>
      </c>
      <c r="AG2246">
        <v>0</v>
      </c>
      <c r="AH2246" t="s">
        <v>116</v>
      </c>
      <c r="AI2246" s="1">
        <v>35860</v>
      </c>
      <c r="AJ2246" s="2">
        <v>0.11</v>
      </c>
      <c r="AK2246" s="1">
        <v>332422</v>
      </c>
      <c r="AL2246" t="s">
        <v>117</v>
      </c>
      <c r="AM2246" t="s">
        <v>393</v>
      </c>
      <c r="AN2246">
        <v>7018</v>
      </c>
      <c r="AO2246">
        <v>0.16</v>
      </c>
      <c r="AP2246">
        <v>1</v>
      </c>
      <c r="AR2246">
        <v>1</v>
      </c>
      <c r="AS2246" s="1">
        <v>23960</v>
      </c>
      <c r="AT2246" s="1">
        <v>4790</v>
      </c>
      <c r="AU2246" s="1">
        <v>19170</v>
      </c>
      <c r="AV2246">
        <v>80.010000000000005</v>
      </c>
      <c r="AX2246" s="1">
        <v>1723.6</v>
      </c>
      <c r="AY2246" t="s">
        <v>10654</v>
      </c>
      <c r="AZ2246" t="s">
        <v>571</v>
      </c>
      <c r="BA2246" t="s">
        <v>521</v>
      </c>
      <c r="BE2246" s="3">
        <v>42425</v>
      </c>
      <c r="BF2246" s="1">
        <v>252500</v>
      </c>
      <c r="BG2246" t="s">
        <v>15080</v>
      </c>
      <c r="BH2246" s="1">
        <v>134.02000000000001</v>
      </c>
      <c r="BI2246" s="1">
        <v>296562</v>
      </c>
      <c r="BJ2246" s="3">
        <v>43249</v>
      </c>
      <c r="BK2246" t="s">
        <v>123</v>
      </c>
      <c r="BL2246" t="str">
        <f>"2018.405640"</f>
        <v>2018.405640</v>
      </c>
      <c r="BM2246" t="s">
        <v>533</v>
      </c>
      <c r="BN2246" t="s">
        <v>534</v>
      </c>
      <c r="BO2246" t="s">
        <v>15081</v>
      </c>
      <c r="BP2246" t="s">
        <v>15082</v>
      </c>
      <c r="BR2246" t="s">
        <v>139</v>
      </c>
      <c r="BW2246" t="str">
        <f>""</f>
        <v/>
      </c>
      <c r="CH2246" t="str">
        <f>""</f>
        <v/>
      </c>
      <c r="CS2246" t="str">
        <f>""</f>
        <v/>
      </c>
    </row>
    <row r="2247" spans="1:97" x14ac:dyDescent="0.25">
      <c r="A2247" t="s">
        <v>2537</v>
      </c>
      <c r="B2247" t="s">
        <v>15083</v>
      </c>
      <c r="C2247" t="s">
        <v>15084</v>
      </c>
      <c r="D2247" t="s">
        <v>15083</v>
      </c>
      <c r="E2247" t="s">
        <v>15085</v>
      </c>
      <c r="F2247" t="s">
        <v>108</v>
      </c>
      <c r="H2247" t="s">
        <v>15086</v>
      </c>
      <c r="I2247" t="s">
        <v>5114</v>
      </c>
      <c r="J2247" t="s">
        <v>111</v>
      </c>
      <c r="K2247" t="str">
        <f>"85392"</f>
        <v>85392</v>
      </c>
      <c r="L2247" t="s">
        <v>5308</v>
      </c>
      <c r="M2247" t="s">
        <v>15086</v>
      </c>
      <c r="N2247" t="s">
        <v>5114</v>
      </c>
      <c r="O2247" t="s">
        <v>111</v>
      </c>
      <c r="P2247" t="str">
        <f>"85392-5176"</f>
        <v>85392-5176</v>
      </c>
      <c r="Q2247" t="s">
        <v>113</v>
      </c>
      <c r="R2247" t="str">
        <f>"501-74-094-A"</f>
        <v>501-74-094-A</v>
      </c>
      <c r="S2247" t="s">
        <v>15087</v>
      </c>
      <c r="T2247" t="s">
        <v>15087</v>
      </c>
      <c r="U2247">
        <v>2370</v>
      </c>
      <c r="V2247">
        <v>0</v>
      </c>
      <c r="W2247">
        <v>3</v>
      </c>
      <c r="X2247">
        <v>1998</v>
      </c>
      <c r="Z2247">
        <v>1</v>
      </c>
      <c r="AA2247" t="s">
        <v>26</v>
      </c>
      <c r="AB2247">
        <v>0</v>
      </c>
      <c r="AC2247" t="s">
        <v>115</v>
      </c>
      <c r="AD2247">
        <v>2</v>
      </c>
      <c r="AE2247" t="s">
        <v>115</v>
      </c>
      <c r="AF2247">
        <v>0</v>
      </c>
      <c r="AG2247">
        <v>0</v>
      </c>
      <c r="AH2247" t="s">
        <v>116</v>
      </c>
      <c r="AI2247" s="1">
        <v>61129</v>
      </c>
      <c r="AJ2247" s="2">
        <v>0.22</v>
      </c>
      <c r="AK2247" s="1">
        <v>283224</v>
      </c>
      <c r="AL2247" t="s">
        <v>117</v>
      </c>
      <c r="AM2247" t="s">
        <v>118</v>
      </c>
      <c r="AN2247">
        <v>8159</v>
      </c>
      <c r="AO2247">
        <v>0.19</v>
      </c>
      <c r="AP2247">
        <v>1</v>
      </c>
      <c r="AR2247">
        <v>1</v>
      </c>
      <c r="AS2247" s="1">
        <v>20470</v>
      </c>
      <c r="AT2247" s="1">
        <v>4090</v>
      </c>
      <c r="AU2247" s="1">
        <v>16380</v>
      </c>
      <c r="AV2247">
        <v>80.02</v>
      </c>
      <c r="AX2247" s="1">
        <v>2165.8000000000002</v>
      </c>
      <c r="AY2247" t="s">
        <v>5117</v>
      </c>
      <c r="AZ2247" t="s">
        <v>5117</v>
      </c>
      <c r="BA2247" t="s">
        <v>5118</v>
      </c>
      <c r="BE2247" s="3">
        <v>42341</v>
      </c>
      <c r="BF2247" s="1">
        <v>215000</v>
      </c>
      <c r="BG2247" t="s">
        <v>15088</v>
      </c>
      <c r="BH2247" s="1">
        <v>90.72</v>
      </c>
      <c r="BI2247" s="1">
        <v>222095</v>
      </c>
      <c r="BJ2247" s="3">
        <v>42341</v>
      </c>
      <c r="BK2247" t="s">
        <v>123</v>
      </c>
      <c r="BL2247" t="str">
        <f>"2015.857884"</f>
        <v>2015.857884</v>
      </c>
      <c r="BM2247" t="s">
        <v>131</v>
      </c>
      <c r="BO2247" t="s">
        <v>15089</v>
      </c>
      <c r="BS2247">
        <v>30</v>
      </c>
      <c r="BW2247" t="str">
        <f>""</f>
        <v/>
      </c>
      <c r="CH2247" t="str">
        <f>""</f>
        <v/>
      </c>
      <c r="CS2247" t="str">
        <f>""</f>
        <v/>
      </c>
    </row>
    <row r="2248" spans="1:97" x14ac:dyDescent="0.25">
      <c r="A2248" t="s">
        <v>140</v>
      </c>
      <c r="B2248" t="s">
        <v>2408</v>
      </c>
      <c r="E2248" t="s">
        <v>15090</v>
      </c>
      <c r="F2248" t="s">
        <v>108</v>
      </c>
      <c r="H2248" t="s">
        <v>15091</v>
      </c>
      <c r="I2248" t="s">
        <v>203</v>
      </c>
      <c r="J2248" t="s">
        <v>111</v>
      </c>
      <c r="K2248" t="str">
        <f>"85297"</f>
        <v>85297</v>
      </c>
      <c r="L2248" t="s">
        <v>7725</v>
      </c>
      <c r="M2248" t="s">
        <v>15091</v>
      </c>
      <c r="N2248" t="s">
        <v>203</v>
      </c>
      <c r="O2248" t="s">
        <v>111</v>
      </c>
      <c r="P2248" t="str">
        <f>"85297-6636"</f>
        <v>85297-6636</v>
      </c>
      <c r="Q2248" t="s">
        <v>113</v>
      </c>
      <c r="R2248" t="str">
        <f>"313-02-188"</f>
        <v>313-02-188</v>
      </c>
      <c r="S2248" t="s">
        <v>8020</v>
      </c>
      <c r="T2248" t="s">
        <v>8021</v>
      </c>
      <c r="U2248">
        <v>1395</v>
      </c>
      <c r="V2248">
        <v>0</v>
      </c>
      <c r="W2248">
        <v>3</v>
      </c>
      <c r="X2248">
        <v>2002</v>
      </c>
      <c r="Z2248">
        <v>1</v>
      </c>
      <c r="AB2248">
        <v>0</v>
      </c>
      <c r="AC2248" t="s">
        <v>115</v>
      </c>
      <c r="AD2248">
        <v>2</v>
      </c>
      <c r="AE2248" t="s">
        <v>115</v>
      </c>
      <c r="AF2248">
        <v>0</v>
      </c>
      <c r="AG2248">
        <v>0</v>
      </c>
      <c r="AH2248" t="s">
        <v>116</v>
      </c>
      <c r="AI2248" s="1">
        <v>59450</v>
      </c>
      <c r="AJ2248" s="2">
        <v>0.22</v>
      </c>
      <c r="AK2248" s="1">
        <v>274683</v>
      </c>
      <c r="AL2248" t="s">
        <v>117</v>
      </c>
      <c r="AM2248" t="s">
        <v>288</v>
      </c>
      <c r="AN2248">
        <v>4400</v>
      </c>
      <c r="AO2248">
        <v>0.1</v>
      </c>
      <c r="AP2248">
        <v>1</v>
      </c>
      <c r="AR2248">
        <v>1</v>
      </c>
      <c r="AS2248" s="1">
        <v>17910</v>
      </c>
      <c r="AT2248" s="1">
        <v>3580</v>
      </c>
      <c r="AU2248" s="1">
        <v>14330</v>
      </c>
      <c r="AV2248">
        <v>80.010000000000005</v>
      </c>
      <c r="AX2248" s="1">
        <v>1394.92</v>
      </c>
      <c r="AY2248" t="s">
        <v>289</v>
      </c>
      <c r="AZ2248" t="s">
        <v>289</v>
      </c>
      <c r="BA2248" t="s">
        <v>290</v>
      </c>
      <c r="BE2248" s="3">
        <v>42389</v>
      </c>
      <c r="BF2248" s="1">
        <v>209000</v>
      </c>
      <c r="BG2248" t="s">
        <v>15092</v>
      </c>
      <c r="BH2248" s="1">
        <v>149.82</v>
      </c>
      <c r="BI2248" s="1">
        <v>215233</v>
      </c>
      <c r="BJ2248" s="3">
        <v>42565</v>
      </c>
      <c r="BK2248" t="s">
        <v>123</v>
      </c>
      <c r="BL2248" t="str">
        <f>"2016.495093"</f>
        <v>2016.495093</v>
      </c>
      <c r="BM2248" t="s">
        <v>402</v>
      </c>
      <c r="BO2248" t="s">
        <v>15093</v>
      </c>
      <c r="BS2248">
        <v>30</v>
      </c>
      <c r="BW2248" t="str">
        <f>""</f>
        <v/>
      </c>
      <c r="CH2248" t="str">
        <f>""</f>
        <v/>
      </c>
      <c r="CS2248" t="str">
        <f>""</f>
        <v/>
      </c>
    </row>
    <row r="2249" spans="1:97" x14ac:dyDescent="0.25">
      <c r="A2249" t="s">
        <v>251</v>
      </c>
      <c r="B2249" t="s">
        <v>15094</v>
      </c>
      <c r="E2249" t="s">
        <v>15095</v>
      </c>
      <c r="F2249" t="s">
        <v>108</v>
      </c>
      <c r="H2249" t="s">
        <v>15096</v>
      </c>
      <c r="I2249" t="s">
        <v>5387</v>
      </c>
      <c r="J2249" t="s">
        <v>111</v>
      </c>
      <c r="K2249" t="str">
        <f>"85283"</f>
        <v>85283</v>
      </c>
      <c r="L2249" t="s">
        <v>6983</v>
      </c>
      <c r="M2249" t="s">
        <v>15096</v>
      </c>
      <c r="N2249" t="s">
        <v>5387</v>
      </c>
      <c r="O2249" t="s">
        <v>111</v>
      </c>
      <c r="P2249" t="str">
        <f>"85283-2340"</f>
        <v>85283-2340</v>
      </c>
      <c r="Q2249" t="s">
        <v>113</v>
      </c>
      <c r="R2249" t="str">
        <f>"301-01-488"</f>
        <v>301-01-488</v>
      </c>
      <c r="S2249" t="s">
        <v>9738</v>
      </c>
      <c r="T2249" t="s">
        <v>11584</v>
      </c>
      <c r="U2249">
        <v>1654</v>
      </c>
      <c r="V2249">
        <v>0</v>
      </c>
      <c r="W2249">
        <v>3</v>
      </c>
      <c r="X2249">
        <v>1973</v>
      </c>
      <c r="Z2249">
        <v>1</v>
      </c>
      <c r="AB2249">
        <v>0</v>
      </c>
      <c r="AC2249" t="s">
        <v>115</v>
      </c>
      <c r="AD2249">
        <v>2</v>
      </c>
      <c r="AE2249" t="s">
        <v>115</v>
      </c>
      <c r="AF2249">
        <v>0</v>
      </c>
      <c r="AG2249">
        <v>0</v>
      </c>
      <c r="AH2249" t="s">
        <v>116</v>
      </c>
      <c r="AI2249" s="1">
        <v>95708</v>
      </c>
      <c r="AJ2249" s="2">
        <v>0.28999999999999998</v>
      </c>
      <c r="AK2249" s="1">
        <v>329631</v>
      </c>
      <c r="AL2249" t="s">
        <v>117</v>
      </c>
      <c r="AM2249" t="s">
        <v>191</v>
      </c>
      <c r="AN2249">
        <v>7349</v>
      </c>
      <c r="AO2249">
        <v>0.17</v>
      </c>
      <c r="AP2249">
        <v>1</v>
      </c>
      <c r="AR2249">
        <v>1</v>
      </c>
      <c r="AS2249" s="1">
        <v>22350</v>
      </c>
      <c r="AT2249" s="1">
        <v>4470</v>
      </c>
      <c r="AU2249" s="1">
        <v>17880</v>
      </c>
      <c r="AV2249">
        <v>80</v>
      </c>
      <c r="AX2249" s="1">
        <v>2002.48</v>
      </c>
      <c r="AY2249" t="s">
        <v>9740</v>
      </c>
      <c r="AZ2249" t="s">
        <v>6726</v>
      </c>
      <c r="BA2249" t="s">
        <v>5392</v>
      </c>
      <c r="BE2249" s="3">
        <v>42409</v>
      </c>
      <c r="BF2249" s="1">
        <v>229000</v>
      </c>
      <c r="BG2249" t="s">
        <v>15097</v>
      </c>
      <c r="BH2249" s="1">
        <v>138.44999999999999</v>
      </c>
      <c r="BI2249" s="1">
        <v>233923</v>
      </c>
      <c r="BJ2249" s="3">
        <v>42409</v>
      </c>
      <c r="BK2249" t="s">
        <v>123</v>
      </c>
      <c r="BL2249" t="str">
        <f>"2016.84173"</f>
        <v>2016.84173</v>
      </c>
      <c r="BM2249" t="s">
        <v>12558</v>
      </c>
      <c r="BO2249" t="s">
        <v>15098</v>
      </c>
      <c r="BS2249">
        <v>30</v>
      </c>
      <c r="BW2249" t="str">
        <f>""</f>
        <v/>
      </c>
      <c r="CH2249" t="str">
        <f>""</f>
        <v/>
      </c>
      <c r="CS2249" t="str">
        <f>""</f>
        <v/>
      </c>
    </row>
    <row r="2250" spans="1:97" x14ac:dyDescent="0.25">
      <c r="A2250" t="s">
        <v>11364</v>
      </c>
      <c r="B2250" t="s">
        <v>1552</v>
      </c>
      <c r="E2250" t="s">
        <v>15099</v>
      </c>
      <c r="F2250" t="s">
        <v>108</v>
      </c>
      <c r="H2250" t="s">
        <v>15100</v>
      </c>
      <c r="I2250" t="s">
        <v>390</v>
      </c>
      <c r="J2250" t="s">
        <v>111</v>
      </c>
      <c r="K2250" t="str">
        <f>"85022"</f>
        <v>85022</v>
      </c>
      <c r="L2250" t="s">
        <v>2857</v>
      </c>
      <c r="M2250" t="s">
        <v>15100</v>
      </c>
      <c r="N2250" t="s">
        <v>390</v>
      </c>
      <c r="O2250" t="s">
        <v>111</v>
      </c>
      <c r="P2250" t="str">
        <f>"85022-1225"</f>
        <v>85022-1225</v>
      </c>
      <c r="Q2250" t="s">
        <v>113</v>
      </c>
      <c r="R2250" t="str">
        <f>"214-11-074"</f>
        <v>214-11-074</v>
      </c>
      <c r="S2250" t="s">
        <v>15101</v>
      </c>
      <c r="T2250" t="s">
        <v>15102</v>
      </c>
      <c r="U2250">
        <v>2275</v>
      </c>
      <c r="V2250">
        <v>0</v>
      </c>
      <c r="W2250">
        <v>3</v>
      </c>
      <c r="X2250">
        <v>1991</v>
      </c>
      <c r="Z2250">
        <v>2</v>
      </c>
      <c r="AB2250">
        <v>0</v>
      </c>
      <c r="AC2250" t="s">
        <v>115</v>
      </c>
      <c r="AD2250">
        <v>2</v>
      </c>
      <c r="AE2250" t="s">
        <v>115</v>
      </c>
      <c r="AF2250">
        <v>0</v>
      </c>
      <c r="AG2250">
        <v>0</v>
      </c>
      <c r="AH2250" t="s">
        <v>116</v>
      </c>
      <c r="AI2250" s="1">
        <v>68810</v>
      </c>
      <c r="AJ2250" s="2">
        <v>0.21</v>
      </c>
      <c r="AK2250" s="1">
        <v>332225</v>
      </c>
      <c r="AL2250" t="s">
        <v>117</v>
      </c>
      <c r="AM2250" t="s">
        <v>1315</v>
      </c>
      <c r="AN2250">
        <v>4478</v>
      </c>
      <c r="AO2250">
        <v>0.1</v>
      </c>
      <c r="AP2250">
        <v>1</v>
      </c>
      <c r="AR2250">
        <v>1</v>
      </c>
      <c r="AS2250" s="1">
        <v>23100</v>
      </c>
      <c r="AT2250" s="1">
        <v>4620</v>
      </c>
      <c r="AU2250" s="1">
        <v>18480</v>
      </c>
      <c r="AV2250">
        <v>80</v>
      </c>
      <c r="AX2250" s="1">
        <v>1860.86</v>
      </c>
      <c r="AY2250" t="s">
        <v>2549</v>
      </c>
      <c r="AZ2250" t="s">
        <v>2550</v>
      </c>
      <c r="BA2250" t="s">
        <v>2551</v>
      </c>
      <c r="BE2250" s="3">
        <v>41988</v>
      </c>
      <c r="BF2250" s="1">
        <v>255000</v>
      </c>
      <c r="BG2250" t="s">
        <v>15103</v>
      </c>
      <c r="BH2250" s="1">
        <v>112.09</v>
      </c>
      <c r="BI2250" s="1">
        <v>263415</v>
      </c>
      <c r="BJ2250" s="3">
        <v>41988</v>
      </c>
      <c r="BK2250" t="s">
        <v>123</v>
      </c>
      <c r="BL2250" t="str">
        <f>"2014.822339"</f>
        <v>2014.822339</v>
      </c>
      <c r="BM2250" t="s">
        <v>2716</v>
      </c>
      <c r="BO2250" t="s">
        <v>15104</v>
      </c>
      <c r="BS2250">
        <v>30</v>
      </c>
      <c r="BW2250" t="str">
        <f>""</f>
        <v/>
      </c>
      <c r="CH2250" t="str">
        <f>""</f>
        <v/>
      </c>
      <c r="CS2250" t="str">
        <f>""</f>
        <v/>
      </c>
    </row>
    <row r="2251" spans="1:97" x14ac:dyDescent="0.25">
      <c r="A2251" t="s">
        <v>15105</v>
      </c>
      <c r="B2251" t="s">
        <v>15106</v>
      </c>
      <c r="E2251" t="s">
        <v>15107</v>
      </c>
      <c r="F2251" t="s">
        <v>108</v>
      </c>
      <c r="H2251" t="s">
        <v>15108</v>
      </c>
      <c r="I2251" t="s">
        <v>499</v>
      </c>
      <c r="J2251" t="s">
        <v>111</v>
      </c>
      <c r="K2251" t="str">
        <f>"85338"</f>
        <v>85338</v>
      </c>
      <c r="L2251" t="s">
        <v>5775</v>
      </c>
      <c r="M2251" t="s">
        <v>15108</v>
      </c>
      <c r="N2251" t="s">
        <v>499</v>
      </c>
      <c r="O2251" t="s">
        <v>111</v>
      </c>
      <c r="P2251" t="str">
        <f>"85338-3257"</f>
        <v>85338-3257</v>
      </c>
      <c r="Q2251" t="s">
        <v>113</v>
      </c>
      <c r="R2251" t="str">
        <f>"500-10-574"</f>
        <v>500-10-574</v>
      </c>
      <c r="S2251" t="s">
        <v>9551</v>
      </c>
      <c r="T2251" t="s">
        <v>9551</v>
      </c>
      <c r="U2251">
        <v>2406</v>
      </c>
      <c r="V2251">
        <v>0</v>
      </c>
      <c r="W2251">
        <v>4</v>
      </c>
      <c r="X2251">
        <v>2015</v>
      </c>
      <c r="Z2251">
        <v>1</v>
      </c>
      <c r="AB2251">
        <v>0</v>
      </c>
      <c r="AC2251" t="s">
        <v>115</v>
      </c>
      <c r="AD2251">
        <v>3</v>
      </c>
      <c r="AE2251" t="s">
        <v>115</v>
      </c>
      <c r="AF2251">
        <v>0</v>
      </c>
      <c r="AG2251">
        <v>0</v>
      </c>
      <c r="AH2251" t="s">
        <v>116</v>
      </c>
      <c r="AI2251" s="1">
        <v>49785</v>
      </c>
      <c r="AJ2251" s="2">
        <v>0.15</v>
      </c>
      <c r="AK2251" s="1">
        <v>337075</v>
      </c>
      <c r="AL2251" t="s">
        <v>117</v>
      </c>
      <c r="AM2251" t="s">
        <v>118</v>
      </c>
      <c r="AN2251">
        <v>7200</v>
      </c>
      <c r="AO2251">
        <v>0.16</v>
      </c>
      <c r="AR2251">
        <v>1</v>
      </c>
      <c r="AS2251" s="1">
        <v>24170</v>
      </c>
      <c r="AT2251" s="1">
        <v>4830</v>
      </c>
      <c r="AU2251" s="1">
        <v>19340</v>
      </c>
      <c r="AV2251">
        <v>80.02</v>
      </c>
      <c r="AX2251" s="1">
        <v>2100.38</v>
      </c>
      <c r="AY2251" t="s">
        <v>4311</v>
      </c>
      <c r="AZ2251" t="s">
        <v>4311</v>
      </c>
      <c r="BA2251" t="s">
        <v>7186</v>
      </c>
      <c r="BE2251" s="3">
        <v>42177</v>
      </c>
      <c r="BF2251" s="1">
        <v>276063</v>
      </c>
      <c r="BG2251" t="s">
        <v>158</v>
      </c>
      <c r="BH2251" s="1">
        <v>114.74</v>
      </c>
      <c r="BI2251" s="1">
        <v>287290</v>
      </c>
      <c r="BJ2251" s="3">
        <v>43088</v>
      </c>
      <c r="BK2251" t="s">
        <v>123</v>
      </c>
      <c r="BL2251" t="str">
        <f>"2017.936574"</f>
        <v>2017.936574</v>
      </c>
      <c r="BM2251" t="s">
        <v>15109</v>
      </c>
      <c r="BO2251" t="s">
        <v>15110</v>
      </c>
      <c r="BQ2251" t="str">
        <f>"2.2500%"</f>
        <v>2.2500%</v>
      </c>
      <c r="BR2251" t="s">
        <v>1480</v>
      </c>
      <c r="BS2251">
        <v>30</v>
      </c>
      <c r="BW2251" t="str">
        <f>""</f>
        <v/>
      </c>
      <c r="CH2251" t="str">
        <f>""</f>
        <v/>
      </c>
      <c r="CS2251" t="str">
        <f>""</f>
        <v/>
      </c>
    </row>
    <row r="2252" spans="1:97" x14ac:dyDescent="0.25">
      <c r="A2252" t="s">
        <v>15111</v>
      </c>
      <c r="B2252" t="s">
        <v>15112</v>
      </c>
      <c r="C2252" t="s">
        <v>2319</v>
      </c>
      <c r="D2252" t="s">
        <v>15112</v>
      </c>
      <c r="E2252" t="s">
        <v>15113</v>
      </c>
      <c r="F2252" t="s">
        <v>108</v>
      </c>
      <c r="H2252" t="s">
        <v>15114</v>
      </c>
      <c r="I2252" t="s">
        <v>499</v>
      </c>
      <c r="J2252" t="s">
        <v>111</v>
      </c>
      <c r="K2252" t="str">
        <f>"85395"</f>
        <v>85395</v>
      </c>
      <c r="L2252" t="s">
        <v>6145</v>
      </c>
      <c r="M2252" t="s">
        <v>15114</v>
      </c>
      <c r="N2252" t="s">
        <v>499</v>
      </c>
      <c r="O2252" t="s">
        <v>111</v>
      </c>
      <c r="P2252" t="str">
        <f>"85395-8638"</f>
        <v>85395-8638</v>
      </c>
      <c r="Q2252" t="s">
        <v>113</v>
      </c>
      <c r="R2252" t="str">
        <f>"501-75-526"</f>
        <v>501-75-526</v>
      </c>
      <c r="S2252" t="s">
        <v>6811</v>
      </c>
      <c r="T2252" t="s">
        <v>6795</v>
      </c>
      <c r="U2252">
        <v>2444</v>
      </c>
      <c r="V2252">
        <v>0</v>
      </c>
      <c r="W2252">
        <v>3</v>
      </c>
      <c r="X2252">
        <v>1996</v>
      </c>
      <c r="Z2252">
        <v>1</v>
      </c>
      <c r="AB2252">
        <v>0</v>
      </c>
      <c r="AC2252" t="s">
        <v>115</v>
      </c>
      <c r="AD2252">
        <v>3</v>
      </c>
      <c r="AE2252" t="s">
        <v>115</v>
      </c>
      <c r="AF2252">
        <v>0</v>
      </c>
      <c r="AG2252">
        <v>0</v>
      </c>
      <c r="AH2252" t="s">
        <v>116</v>
      </c>
      <c r="AI2252" s="1">
        <v>72786</v>
      </c>
      <c r="AJ2252" s="2">
        <v>0.22</v>
      </c>
      <c r="AK2252" s="1">
        <v>333606</v>
      </c>
      <c r="AL2252" t="s">
        <v>117</v>
      </c>
      <c r="AM2252" t="s">
        <v>118</v>
      </c>
      <c r="AN2252">
        <v>8990</v>
      </c>
      <c r="AO2252">
        <v>0.21</v>
      </c>
      <c r="AP2252">
        <v>1</v>
      </c>
      <c r="AR2252">
        <v>1</v>
      </c>
      <c r="AS2252" s="1">
        <v>23730</v>
      </c>
      <c r="AT2252" s="1">
        <v>4740</v>
      </c>
      <c r="AU2252" s="1">
        <v>18990</v>
      </c>
      <c r="AV2252">
        <v>80.03</v>
      </c>
      <c r="AX2252" s="1">
        <v>2419.58</v>
      </c>
      <c r="AY2252" t="s">
        <v>6796</v>
      </c>
      <c r="AZ2252" t="s">
        <v>6796</v>
      </c>
      <c r="BA2252" t="s">
        <v>3154</v>
      </c>
      <c r="BE2252" s="3">
        <v>41929</v>
      </c>
      <c r="BF2252" s="1">
        <v>234888</v>
      </c>
      <c r="BG2252" t="s">
        <v>5716</v>
      </c>
      <c r="BH2252" s="1">
        <v>96.11</v>
      </c>
      <c r="BI2252" s="1">
        <v>260820</v>
      </c>
      <c r="BJ2252" s="3">
        <v>42898</v>
      </c>
      <c r="BK2252" t="s">
        <v>123</v>
      </c>
      <c r="BL2252" t="str">
        <f>"2017.425611"</f>
        <v>2017.425611</v>
      </c>
      <c r="BM2252" t="s">
        <v>15115</v>
      </c>
      <c r="BO2252" t="s">
        <v>15116</v>
      </c>
      <c r="BS2252">
        <v>30</v>
      </c>
      <c r="BW2252" t="str">
        <f>""</f>
        <v/>
      </c>
      <c r="CH2252" t="str">
        <f>""</f>
        <v/>
      </c>
      <c r="CS2252" t="str">
        <f>""</f>
        <v/>
      </c>
    </row>
    <row r="2253" spans="1:97" x14ac:dyDescent="0.25">
      <c r="A2253" t="s">
        <v>10325</v>
      </c>
      <c r="B2253" t="s">
        <v>15117</v>
      </c>
      <c r="C2253" t="s">
        <v>3089</v>
      </c>
      <c r="D2253" t="s">
        <v>15117</v>
      </c>
      <c r="E2253" t="s">
        <v>15118</v>
      </c>
      <c r="F2253" t="s">
        <v>108</v>
      </c>
      <c r="H2253" t="s">
        <v>15119</v>
      </c>
      <c r="I2253" t="s">
        <v>167</v>
      </c>
      <c r="J2253" t="s">
        <v>111</v>
      </c>
      <c r="K2253" t="str">
        <f>"85339"</f>
        <v>85339</v>
      </c>
      <c r="L2253" t="s">
        <v>5239</v>
      </c>
      <c r="M2253" t="s">
        <v>15119</v>
      </c>
      <c r="N2253" t="s">
        <v>167</v>
      </c>
      <c r="O2253" t="s">
        <v>111</v>
      </c>
      <c r="P2253" t="str">
        <f>"85339-3116"</f>
        <v>85339-3116</v>
      </c>
      <c r="Q2253" t="s">
        <v>113</v>
      </c>
      <c r="R2253" t="str">
        <f>"300-03-794"</f>
        <v>300-03-794</v>
      </c>
      <c r="S2253" t="s">
        <v>15120</v>
      </c>
      <c r="T2253" t="s">
        <v>15121</v>
      </c>
      <c r="U2253">
        <v>1640</v>
      </c>
      <c r="V2253">
        <v>0</v>
      </c>
      <c r="W2253">
        <v>3</v>
      </c>
      <c r="X2253">
        <v>2014</v>
      </c>
      <c r="Z2253">
        <v>1</v>
      </c>
      <c r="AA2253" t="s">
        <v>26</v>
      </c>
      <c r="AB2253">
        <v>0</v>
      </c>
      <c r="AC2253" t="s">
        <v>115</v>
      </c>
      <c r="AD2253">
        <v>2</v>
      </c>
      <c r="AE2253" t="s">
        <v>115</v>
      </c>
      <c r="AF2253">
        <v>0</v>
      </c>
      <c r="AG2253">
        <v>0</v>
      </c>
      <c r="AH2253" t="s">
        <v>116</v>
      </c>
      <c r="AI2253" s="1">
        <v>60943</v>
      </c>
      <c r="AJ2253" s="2">
        <v>0.23</v>
      </c>
      <c r="AK2253" s="1">
        <v>262000</v>
      </c>
      <c r="AL2253" t="s">
        <v>117</v>
      </c>
      <c r="AM2253" t="s">
        <v>760</v>
      </c>
      <c r="AN2253">
        <v>5480</v>
      </c>
      <c r="AO2253">
        <v>0.13</v>
      </c>
      <c r="AR2253">
        <v>1</v>
      </c>
      <c r="AS2253" s="1">
        <v>18300</v>
      </c>
      <c r="AT2253" s="1">
        <v>3660</v>
      </c>
      <c r="AU2253" s="1">
        <v>14640</v>
      </c>
      <c r="AV2253">
        <v>80</v>
      </c>
      <c r="AX2253" s="1">
        <v>1831.62</v>
      </c>
      <c r="AY2253" t="s">
        <v>5532</v>
      </c>
      <c r="AZ2253" t="s">
        <v>5532</v>
      </c>
      <c r="BA2253" t="s">
        <v>173</v>
      </c>
      <c r="BE2253" s="3">
        <v>41669</v>
      </c>
      <c r="BF2253" s="1">
        <v>196826</v>
      </c>
      <c r="BG2253" t="s">
        <v>174</v>
      </c>
      <c r="BH2253" s="1">
        <v>120.02</v>
      </c>
      <c r="BI2253" s="1">
        <v>201057</v>
      </c>
      <c r="BJ2253" s="3">
        <v>41669</v>
      </c>
      <c r="BK2253" t="s">
        <v>123</v>
      </c>
      <c r="BL2253" t="str">
        <f>"2014.64247"</f>
        <v>2014.64247</v>
      </c>
      <c r="BM2253" t="s">
        <v>175</v>
      </c>
      <c r="BO2253" t="s">
        <v>15122</v>
      </c>
      <c r="BS2253">
        <v>30</v>
      </c>
      <c r="BW2253" t="str">
        <f>""</f>
        <v/>
      </c>
      <c r="CH2253" t="str">
        <f>""</f>
        <v/>
      </c>
      <c r="CS2253" t="str">
        <f>""</f>
        <v/>
      </c>
    </row>
    <row r="2254" spans="1:97" x14ac:dyDescent="0.25">
      <c r="A2254" t="s">
        <v>2099</v>
      </c>
      <c r="B2254" t="s">
        <v>15123</v>
      </c>
      <c r="C2254" t="s">
        <v>6281</v>
      </c>
      <c r="D2254" t="s">
        <v>14002</v>
      </c>
      <c r="E2254" t="s">
        <v>15124</v>
      </c>
      <c r="F2254" t="s">
        <v>108</v>
      </c>
      <c r="H2254" t="s">
        <v>15125</v>
      </c>
      <c r="I2254" t="s">
        <v>203</v>
      </c>
      <c r="J2254" t="s">
        <v>111</v>
      </c>
      <c r="K2254" t="str">
        <f>"85296"</f>
        <v>85296</v>
      </c>
      <c r="L2254" t="s">
        <v>9060</v>
      </c>
      <c r="M2254" t="s">
        <v>15125</v>
      </c>
      <c r="N2254" t="s">
        <v>203</v>
      </c>
      <c r="O2254" t="s">
        <v>111</v>
      </c>
      <c r="P2254" t="str">
        <f>"85296-4263"</f>
        <v>85296-4263</v>
      </c>
      <c r="Q2254" t="s">
        <v>113</v>
      </c>
      <c r="R2254" t="str">
        <f>"304-25-476"</f>
        <v>304-25-476</v>
      </c>
      <c r="S2254" t="s">
        <v>15126</v>
      </c>
      <c r="T2254" t="s">
        <v>9527</v>
      </c>
      <c r="U2254">
        <v>2472</v>
      </c>
      <c r="V2254">
        <v>0</v>
      </c>
      <c r="W2254">
        <v>4</v>
      </c>
      <c r="X2254">
        <v>1998</v>
      </c>
      <c r="Z2254">
        <v>2</v>
      </c>
      <c r="AA2254" t="s">
        <v>15127</v>
      </c>
      <c r="AB2254">
        <v>0</v>
      </c>
      <c r="AC2254" t="s">
        <v>115</v>
      </c>
      <c r="AD2254">
        <v>2</v>
      </c>
      <c r="AE2254" t="s">
        <v>115</v>
      </c>
      <c r="AF2254">
        <v>0</v>
      </c>
      <c r="AG2254">
        <v>0</v>
      </c>
      <c r="AH2254" t="s">
        <v>116</v>
      </c>
      <c r="AI2254" s="1">
        <v>74367</v>
      </c>
      <c r="AJ2254" s="2">
        <v>0.19</v>
      </c>
      <c r="AK2254" s="1">
        <v>384163</v>
      </c>
      <c r="AL2254" t="s">
        <v>117</v>
      </c>
      <c r="AM2254" t="s">
        <v>191</v>
      </c>
      <c r="AN2254">
        <v>6064</v>
      </c>
      <c r="AO2254">
        <v>0.14000000000000001</v>
      </c>
      <c r="AP2254">
        <v>1</v>
      </c>
      <c r="AR2254">
        <v>1</v>
      </c>
      <c r="AS2254" s="1">
        <v>25630</v>
      </c>
      <c r="AT2254" s="1">
        <v>5120</v>
      </c>
      <c r="AU2254" s="1">
        <v>20510</v>
      </c>
      <c r="AV2254">
        <v>80.02</v>
      </c>
      <c r="AX2254" s="1">
        <v>1778.54</v>
      </c>
      <c r="AY2254" t="s">
        <v>7837</v>
      </c>
      <c r="AZ2254" t="s">
        <v>207</v>
      </c>
      <c r="BA2254" t="s">
        <v>208</v>
      </c>
      <c r="BE2254" s="3">
        <v>42544</v>
      </c>
      <c r="BF2254" s="1">
        <v>299900</v>
      </c>
      <c r="BG2254" t="s">
        <v>15128</v>
      </c>
      <c r="BH2254" s="1">
        <v>121.32</v>
      </c>
      <c r="BI2254" s="1">
        <v>309796</v>
      </c>
      <c r="BJ2254" s="3">
        <v>42544</v>
      </c>
      <c r="BK2254" t="s">
        <v>123</v>
      </c>
      <c r="BL2254" t="str">
        <f>"2016.441114"</f>
        <v>2016.441114</v>
      </c>
      <c r="BM2254" t="s">
        <v>594</v>
      </c>
      <c r="BN2254" t="s">
        <v>595</v>
      </c>
      <c r="BO2254" t="s">
        <v>15129</v>
      </c>
      <c r="BP2254" t="s">
        <v>15130</v>
      </c>
      <c r="BS2254">
        <v>30</v>
      </c>
      <c r="BW2254" t="str">
        <f>""</f>
        <v/>
      </c>
      <c r="CH2254" t="str">
        <f>""</f>
        <v/>
      </c>
      <c r="CS2254" t="str">
        <f>""</f>
        <v/>
      </c>
    </row>
    <row r="2255" spans="1:97" x14ac:dyDescent="0.25">
      <c r="A2255" t="s">
        <v>140</v>
      </c>
      <c r="B2255" t="s">
        <v>15131</v>
      </c>
      <c r="C2255" t="s">
        <v>719</v>
      </c>
      <c r="D2255" t="s">
        <v>15131</v>
      </c>
      <c r="E2255" t="s">
        <v>15132</v>
      </c>
      <c r="F2255" t="s">
        <v>108</v>
      </c>
      <c r="H2255" t="s">
        <v>15133</v>
      </c>
      <c r="I2255" t="s">
        <v>203</v>
      </c>
      <c r="J2255" t="s">
        <v>111</v>
      </c>
      <c r="K2255" t="str">
        <f>"85234"</f>
        <v>85234</v>
      </c>
      <c r="L2255" t="s">
        <v>12877</v>
      </c>
      <c r="M2255" t="s">
        <v>15133</v>
      </c>
      <c r="N2255" t="s">
        <v>203</v>
      </c>
      <c r="O2255" t="s">
        <v>111</v>
      </c>
      <c r="P2255" t="str">
        <f>"85234-2109"</f>
        <v>85234-2109</v>
      </c>
      <c r="Q2255" t="s">
        <v>113</v>
      </c>
      <c r="R2255" t="str">
        <f>"304-07-710"</f>
        <v>304-07-710</v>
      </c>
      <c r="S2255" t="s">
        <v>12878</v>
      </c>
      <c r="U2255">
        <v>1444</v>
      </c>
      <c r="V2255">
        <v>0</v>
      </c>
      <c r="W2255">
        <v>2</v>
      </c>
      <c r="X2255">
        <v>1998</v>
      </c>
      <c r="Z2255">
        <v>1</v>
      </c>
      <c r="AA2255" t="s">
        <v>26</v>
      </c>
      <c r="AB2255">
        <v>0</v>
      </c>
      <c r="AC2255" t="s">
        <v>115</v>
      </c>
      <c r="AD2255">
        <v>2</v>
      </c>
      <c r="AE2255" t="s">
        <v>115</v>
      </c>
      <c r="AF2255">
        <v>0</v>
      </c>
      <c r="AG2255">
        <v>0</v>
      </c>
      <c r="AH2255" t="s">
        <v>116</v>
      </c>
      <c r="AI2255" s="1">
        <v>-94044</v>
      </c>
      <c r="AJ2255" s="2">
        <v>-0.32</v>
      </c>
      <c r="AK2255" s="1">
        <v>292944</v>
      </c>
      <c r="AL2255" t="s">
        <v>117</v>
      </c>
      <c r="AM2255" t="s">
        <v>191</v>
      </c>
      <c r="AN2255">
        <v>6094</v>
      </c>
      <c r="AO2255">
        <v>0.14000000000000001</v>
      </c>
      <c r="AP2255">
        <v>1</v>
      </c>
      <c r="AR2255">
        <v>1</v>
      </c>
      <c r="AS2255" s="1">
        <v>19850</v>
      </c>
      <c r="AT2255" s="1">
        <v>3970</v>
      </c>
      <c r="AU2255" s="1">
        <v>15880</v>
      </c>
      <c r="AV2255">
        <v>80</v>
      </c>
      <c r="AX2255" s="1">
        <v>1370.66</v>
      </c>
      <c r="AY2255" t="s">
        <v>10654</v>
      </c>
      <c r="AZ2255" t="s">
        <v>571</v>
      </c>
      <c r="BA2255" t="s">
        <v>521</v>
      </c>
      <c r="BE2255" s="3">
        <v>42201</v>
      </c>
      <c r="BF2255" s="1">
        <v>241000</v>
      </c>
      <c r="BG2255" t="s">
        <v>15134</v>
      </c>
      <c r="BH2255" s="1">
        <v>166.9</v>
      </c>
      <c r="BI2255" s="1">
        <v>236988</v>
      </c>
      <c r="BJ2255" s="3">
        <v>42201</v>
      </c>
      <c r="BK2255" t="s">
        <v>123</v>
      </c>
      <c r="BL2255" t="str">
        <f>"2015.514399"</f>
        <v>2015.514399</v>
      </c>
      <c r="BM2255" t="s">
        <v>2683</v>
      </c>
      <c r="BO2255" t="s">
        <v>15135</v>
      </c>
      <c r="BS2255">
        <v>30</v>
      </c>
      <c r="BT2255" s="1">
        <v>150000</v>
      </c>
      <c r="BU2255" s="3">
        <v>43004</v>
      </c>
      <c r="BW2255" t="str">
        <f>"2017.708695"</f>
        <v>2017.708695</v>
      </c>
      <c r="BX2255" t="s">
        <v>15136</v>
      </c>
      <c r="BZ2255" t="s">
        <v>15137</v>
      </c>
      <c r="CH2255" t="str">
        <f>""</f>
        <v/>
      </c>
      <c r="CS2255" t="str">
        <f>""</f>
        <v/>
      </c>
    </row>
    <row r="2256" spans="1:97" x14ac:dyDescent="0.25">
      <c r="A2256" t="s">
        <v>3221</v>
      </c>
      <c r="B2256" t="s">
        <v>15138</v>
      </c>
      <c r="C2256" t="s">
        <v>1845</v>
      </c>
      <c r="D2256" t="s">
        <v>15138</v>
      </c>
      <c r="E2256" t="s">
        <v>15139</v>
      </c>
      <c r="F2256" t="s">
        <v>108</v>
      </c>
      <c r="H2256" t="s">
        <v>15140</v>
      </c>
      <c r="I2256" t="s">
        <v>5114</v>
      </c>
      <c r="J2256" t="s">
        <v>111</v>
      </c>
      <c r="K2256" t="str">
        <f>"85392"</f>
        <v>85392</v>
      </c>
      <c r="L2256" t="s">
        <v>6691</v>
      </c>
      <c r="M2256" t="s">
        <v>15140</v>
      </c>
      <c r="N2256" t="s">
        <v>5114</v>
      </c>
      <c r="O2256" t="s">
        <v>111</v>
      </c>
      <c r="P2256" t="str">
        <f>"85392-5582"</f>
        <v>85392-5582</v>
      </c>
      <c r="Q2256" t="s">
        <v>113</v>
      </c>
      <c r="R2256" t="str">
        <f>"501-88-344"</f>
        <v>501-88-344</v>
      </c>
      <c r="S2256" t="s">
        <v>15141</v>
      </c>
      <c r="T2256" t="s">
        <v>15141</v>
      </c>
      <c r="U2256">
        <v>1649</v>
      </c>
      <c r="V2256">
        <v>0</v>
      </c>
      <c r="W2256">
        <v>3</v>
      </c>
      <c r="X2256">
        <v>1996</v>
      </c>
      <c r="Z2256">
        <v>1</v>
      </c>
      <c r="AB2256">
        <v>0</v>
      </c>
      <c r="AC2256" t="s">
        <v>115</v>
      </c>
      <c r="AD2256">
        <v>2</v>
      </c>
      <c r="AE2256" t="s">
        <v>115</v>
      </c>
      <c r="AF2256">
        <v>0</v>
      </c>
      <c r="AG2256">
        <v>0</v>
      </c>
      <c r="AH2256" t="s">
        <v>116</v>
      </c>
      <c r="AI2256" s="1">
        <v>30834</v>
      </c>
      <c r="AJ2256" s="2">
        <v>0.12</v>
      </c>
      <c r="AK2256" s="1">
        <v>249334</v>
      </c>
      <c r="AL2256" t="s">
        <v>117</v>
      </c>
      <c r="AM2256" t="s">
        <v>118</v>
      </c>
      <c r="AN2256">
        <v>8114</v>
      </c>
      <c r="AO2256">
        <v>0.19</v>
      </c>
      <c r="AP2256">
        <v>1</v>
      </c>
      <c r="AR2256">
        <v>1</v>
      </c>
      <c r="AS2256" s="1">
        <v>16370</v>
      </c>
      <c r="AT2256" s="1">
        <v>3270</v>
      </c>
      <c r="AU2256" s="1">
        <v>13100</v>
      </c>
      <c r="AV2256">
        <v>80.02</v>
      </c>
      <c r="AX2256" s="1">
        <v>1154.5</v>
      </c>
      <c r="AY2256" t="s">
        <v>7636</v>
      </c>
      <c r="AZ2256" t="s">
        <v>6701</v>
      </c>
      <c r="BA2256" t="s">
        <v>6702</v>
      </c>
      <c r="BB2256" s="3">
        <v>43601</v>
      </c>
      <c r="BC2256" s="1">
        <v>0</v>
      </c>
      <c r="BD2256" t="s">
        <v>247</v>
      </c>
      <c r="BE2256" s="3">
        <v>42030</v>
      </c>
      <c r="BF2256" s="1">
        <v>173000</v>
      </c>
      <c r="BG2256" t="s">
        <v>15142</v>
      </c>
      <c r="BH2256" s="1">
        <v>104.91</v>
      </c>
      <c r="BI2256" s="1">
        <v>218500</v>
      </c>
      <c r="BJ2256" s="3">
        <v>43601</v>
      </c>
      <c r="BK2256" t="s">
        <v>123</v>
      </c>
      <c r="BL2256" t="str">
        <f>"2019.358774"</f>
        <v>2019.358774</v>
      </c>
      <c r="BM2256" t="s">
        <v>2926</v>
      </c>
      <c r="BN2256" t="s">
        <v>545</v>
      </c>
      <c r="BO2256" t="s">
        <v>15143</v>
      </c>
      <c r="BP2256" t="s">
        <v>15144</v>
      </c>
      <c r="BR2256" t="s">
        <v>139</v>
      </c>
      <c r="BW2256" t="str">
        <f>""</f>
        <v/>
      </c>
      <c r="CH2256" t="str">
        <f>""</f>
        <v/>
      </c>
      <c r="CS2256" t="str">
        <f>""</f>
        <v/>
      </c>
    </row>
    <row r="2257" spans="1:97" x14ac:dyDescent="0.25">
      <c r="A2257" t="s">
        <v>404</v>
      </c>
      <c r="B2257" t="s">
        <v>15145</v>
      </c>
      <c r="E2257" t="s">
        <v>15146</v>
      </c>
      <c r="F2257" t="s">
        <v>108</v>
      </c>
      <c r="H2257" t="s">
        <v>15147</v>
      </c>
      <c r="I2257" t="s">
        <v>453</v>
      </c>
      <c r="J2257" t="s">
        <v>111</v>
      </c>
      <c r="K2257" t="str">
        <f>"85345"</f>
        <v>85345</v>
      </c>
      <c r="L2257" t="s">
        <v>4003</v>
      </c>
      <c r="M2257" t="s">
        <v>15147</v>
      </c>
      <c r="N2257" t="s">
        <v>453</v>
      </c>
      <c r="O2257" t="s">
        <v>111</v>
      </c>
      <c r="P2257" t="str">
        <f>"85345-5513"</f>
        <v>85345-5513</v>
      </c>
      <c r="Q2257" t="s">
        <v>113</v>
      </c>
      <c r="R2257" t="str">
        <f>"142-52-313"</f>
        <v>142-52-313</v>
      </c>
      <c r="S2257" t="s">
        <v>4005</v>
      </c>
      <c r="T2257" t="s">
        <v>4005</v>
      </c>
      <c r="U2257">
        <v>1582</v>
      </c>
      <c r="V2257">
        <v>0</v>
      </c>
      <c r="W2257">
        <v>2</v>
      </c>
      <c r="X2257">
        <v>2016</v>
      </c>
      <c r="Z2257">
        <v>1</v>
      </c>
      <c r="AB2257">
        <v>0</v>
      </c>
      <c r="AC2257" t="s">
        <v>115</v>
      </c>
      <c r="AD2257">
        <v>2</v>
      </c>
      <c r="AE2257" t="s">
        <v>115</v>
      </c>
      <c r="AF2257">
        <v>0</v>
      </c>
      <c r="AG2257">
        <v>0</v>
      </c>
      <c r="AH2257" t="s">
        <v>116</v>
      </c>
      <c r="AI2257" s="1">
        <v>11467</v>
      </c>
      <c r="AJ2257" s="2">
        <v>0.04</v>
      </c>
      <c r="AK2257" s="1">
        <v>257467</v>
      </c>
      <c r="AL2257" t="s">
        <v>117</v>
      </c>
      <c r="AM2257" t="s">
        <v>118</v>
      </c>
      <c r="AN2257">
        <v>4882</v>
      </c>
      <c r="AO2257">
        <v>0.11</v>
      </c>
      <c r="AR2257">
        <v>1</v>
      </c>
      <c r="AS2257" s="1">
        <v>17680</v>
      </c>
      <c r="AT2257" s="1">
        <v>3530</v>
      </c>
      <c r="AU2257" s="1">
        <v>14150</v>
      </c>
      <c r="AV2257">
        <v>80.03</v>
      </c>
      <c r="AX2257" s="1">
        <v>1370.4</v>
      </c>
      <c r="AY2257" t="s">
        <v>4006</v>
      </c>
      <c r="AZ2257" t="s">
        <v>4006</v>
      </c>
      <c r="BA2257" t="s">
        <v>4007</v>
      </c>
      <c r="BE2257" s="3">
        <v>42521</v>
      </c>
      <c r="BF2257" s="1">
        <v>210323</v>
      </c>
      <c r="BG2257" t="s">
        <v>4008</v>
      </c>
      <c r="BH2257" s="1">
        <v>132.94999999999999</v>
      </c>
      <c r="BI2257" s="1">
        <v>246000</v>
      </c>
      <c r="BJ2257" s="3">
        <v>43630</v>
      </c>
      <c r="BK2257" t="s">
        <v>123</v>
      </c>
      <c r="BL2257" t="str">
        <f>"2019.447939"</f>
        <v>2019.447939</v>
      </c>
      <c r="BM2257" t="s">
        <v>13966</v>
      </c>
      <c r="BN2257" t="s">
        <v>13967</v>
      </c>
      <c r="BO2257" t="s">
        <v>15146</v>
      </c>
      <c r="BR2257" t="s">
        <v>139</v>
      </c>
      <c r="BW2257" t="str">
        <f>""</f>
        <v/>
      </c>
      <c r="CH2257" t="str">
        <f>""</f>
        <v/>
      </c>
      <c r="CS2257" t="str">
        <f>""</f>
        <v/>
      </c>
    </row>
    <row r="2258" spans="1:97" x14ac:dyDescent="0.25">
      <c r="A2258" t="s">
        <v>140</v>
      </c>
      <c r="B2258" t="s">
        <v>11012</v>
      </c>
      <c r="C2258" t="s">
        <v>4874</v>
      </c>
      <c r="D2258" t="s">
        <v>11012</v>
      </c>
      <c r="E2258" t="s">
        <v>15148</v>
      </c>
      <c r="F2258" t="s">
        <v>108</v>
      </c>
      <c r="H2258" t="s">
        <v>15149</v>
      </c>
      <c r="I2258" t="s">
        <v>390</v>
      </c>
      <c r="J2258" t="s">
        <v>111</v>
      </c>
      <c r="K2258" t="str">
        <f>"85022"</f>
        <v>85022</v>
      </c>
      <c r="L2258" t="s">
        <v>6983</v>
      </c>
      <c r="M2258" t="s">
        <v>15149</v>
      </c>
      <c r="N2258" t="s">
        <v>390</v>
      </c>
      <c r="O2258" t="s">
        <v>111</v>
      </c>
      <c r="P2258" t="str">
        <f>"85022-1349"</f>
        <v>85022-1349</v>
      </c>
      <c r="Q2258" t="s">
        <v>113</v>
      </c>
      <c r="R2258" t="str">
        <f>"214-10-350"</f>
        <v>214-10-350</v>
      </c>
      <c r="S2258" t="s">
        <v>15150</v>
      </c>
      <c r="T2258" t="s">
        <v>15151</v>
      </c>
      <c r="U2258">
        <v>1268</v>
      </c>
      <c r="V2258">
        <v>0</v>
      </c>
      <c r="W2258">
        <v>2</v>
      </c>
      <c r="X2258">
        <v>1985</v>
      </c>
      <c r="Z2258">
        <v>2</v>
      </c>
      <c r="AA2258" t="s">
        <v>26</v>
      </c>
      <c r="AB2258">
        <v>0</v>
      </c>
      <c r="AC2258" t="s">
        <v>115</v>
      </c>
      <c r="AD2258">
        <v>2</v>
      </c>
      <c r="AE2258" t="s">
        <v>115</v>
      </c>
      <c r="AF2258">
        <v>0</v>
      </c>
      <c r="AG2258">
        <v>0</v>
      </c>
      <c r="AH2258" t="s">
        <v>116</v>
      </c>
      <c r="AI2258" s="1">
        <v>39062</v>
      </c>
      <c r="AJ2258" s="2">
        <v>0.15</v>
      </c>
      <c r="AK2258" s="1">
        <v>263792</v>
      </c>
      <c r="AL2258" t="s">
        <v>117</v>
      </c>
      <c r="AM2258" t="s">
        <v>1315</v>
      </c>
      <c r="AN2258">
        <v>8659</v>
      </c>
      <c r="AO2258">
        <v>0.2</v>
      </c>
      <c r="AP2258">
        <v>1</v>
      </c>
      <c r="AR2258">
        <v>1</v>
      </c>
      <c r="AS2258" s="1">
        <v>17710</v>
      </c>
      <c r="AT2258" s="1">
        <v>3540</v>
      </c>
      <c r="AU2258" s="1">
        <v>14170</v>
      </c>
      <c r="AV2258">
        <v>80.010000000000005</v>
      </c>
      <c r="AX2258" s="1">
        <v>1315.34</v>
      </c>
      <c r="AY2258" t="s">
        <v>2549</v>
      </c>
      <c r="AZ2258" t="s">
        <v>2550</v>
      </c>
      <c r="BA2258" t="s">
        <v>2551</v>
      </c>
      <c r="BE2258" s="3">
        <v>42541</v>
      </c>
      <c r="BF2258" s="1">
        <v>220000</v>
      </c>
      <c r="BG2258" t="s">
        <v>15152</v>
      </c>
      <c r="BH2258" s="1">
        <v>173.5</v>
      </c>
      <c r="BI2258" s="1">
        <v>224730</v>
      </c>
      <c r="BJ2258" s="3">
        <v>42541</v>
      </c>
      <c r="BK2258" t="s">
        <v>123</v>
      </c>
      <c r="BL2258" t="str">
        <f>"2016.427749"</f>
        <v>2016.427749</v>
      </c>
      <c r="BM2258" t="s">
        <v>5747</v>
      </c>
      <c r="BO2258" t="s">
        <v>15153</v>
      </c>
      <c r="BS2258">
        <v>30</v>
      </c>
      <c r="BW2258" t="str">
        <f>""</f>
        <v/>
      </c>
      <c r="CH2258" t="str">
        <f>""</f>
        <v/>
      </c>
      <c r="CS2258" t="str">
        <f>""</f>
        <v/>
      </c>
    </row>
    <row r="2259" spans="1:97" x14ac:dyDescent="0.25">
      <c r="A2259" t="s">
        <v>548</v>
      </c>
      <c r="B2259" t="s">
        <v>15154</v>
      </c>
      <c r="E2259" t="s">
        <v>15155</v>
      </c>
      <c r="F2259" t="s">
        <v>108</v>
      </c>
      <c r="H2259" t="s">
        <v>15156</v>
      </c>
      <c r="I2259" t="s">
        <v>390</v>
      </c>
      <c r="J2259" t="s">
        <v>111</v>
      </c>
      <c r="K2259" t="str">
        <f>"85050"</f>
        <v>85050</v>
      </c>
      <c r="L2259" t="s">
        <v>5709</v>
      </c>
      <c r="M2259" t="s">
        <v>15156</v>
      </c>
      <c r="N2259" t="s">
        <v>390</v>
      </c>
      <c r="O2259" t="s">
        <v>111</v>
      </c>
      <c r="P2259" t="str">
        <f>"85050-2501"</f>
        <v>85050-2501</v>
      </c>
      <c r="Q2259" t="s">
        <v>113</v>
      </c>
      <c r="R2259" t="str">
        <f>"213-16-343"</f>
        <v>213-16-343</v>
      </c>
      <c r="S2259" t="s">
        <v>15157</v>
      </c>
      <c r="T2259" t="s">
        <v>15157</v>
      </c>
      <c r="U2259">
        <v>1296</v>
      </c>
      <c r="V2259">
        <v>0</v>
      </c>
      <c r="W2259">
        <v>3</v>
      </c>
      <c r="X2259">
        <v>1989</v>
      </c>
      <c r="Z2259">
        <v>1</v>
      </c>
      <c r="AB2259">
        <v>0</v>
      </c>
      <c r="AC2259" t="s">
        <v>115</v>
      </c>
      <c r="AD2259">
        <v>2</v>
      </c>
      <c r="AE2259" t="s">
        <v>115</v>
      </c>
      <c r="AF2259">
        <v>0</v>
      </c>
      <c r="AG2259">
        <v>0</v>
      </c>
      <c r="AH2259" t="s">
        <v>116</v>
      </c>
      <c r="AI2259" s="1">
        <v>29797</v>
      </c>
      <c r="AJ2259" s="2">
        <v>0.11</v>
      </c>
      <c r="AK2259" s="1">
        <v>267347</v>
      </c>
      <c r="AL2259" t="s">
        <v>117</v>
      </c>
      <c r="AM2259" t="s">
        <v>1315</v>
      </c>
      <c r="AN2259">
        <v>4928</v>
      </c>
      <c r="AO2259">
        <v>0.11</v>
      </c>
      <c r="AP2259">
        <v>1</v>
      </c>
      <c r="AR2259">
        <v>1</v>
      </c>
      <c r="AS2259" s="1">
        <v>17800</v>
      </c>
      <c r="AT2259" s="1">
        <v>3560</v>
      </c>
      <c r="AU2259" s="1">
        <v>14240</v>
      </c>
      <c r="AV2259">
        <v>80</v>
      </c>
      <c r="AX2259" s="1">
        <v>1401</v>
      </c>
      <c r="AY2259" t="s">
        <v>5710</v>
      </c>
      <c r="AZ2259" t="s">
        <v>761</v>
      </c>
      <c r="BA2259" t="s">
        <v>762</v>
      </c>
      <c r="BE2259" s="3">
        <v>42256</v>
      </c>
      <c r="BF2259" s="1">
        <v>230000</v>
      </c>
      <c r="BG2259" t="s">
        <v>15158</v>
      </c>
      <c r="BH2259" s="1">
        <v>177.47</v>
      </c>
      <c r="BI2259" s="1">
        <v>237550</v>
      </c>
      <c r="BJ2259" s="3">
        <v>42256</v>
      </c>
      <c r="BK2259" t="s">
        <v>123</v>
      </c>
      <c r="BL2259" t="str">
        <f>"2015.651080"</f>
        <v>2015.651080</v>
      </c>
      <c r="BM2259" t="s">
        <v>7531</v>
      </c>
      <c r="BO2259" t="s">
        <v>15159</v>
      </c>
      <c r="BS2259">
        <v>30</v>
      </c>
      <c r="BW2259" t="str">
        <f>""</f>
        <v/>
      </c>
      <c r="CH2259" t="str">
        <f>""</f>
        <v/>
      </c>
      <c r="CS2259" t="str">
        <f>""</f>
        <v/>
      </c>
    </row>
    <row r="2260" spans="1:97" x14ac:dyDescent="0.25">
      <c r="A2260" t="s">
        <v>7969</v>
      </c>
      <c r="B2260" t="s">
        <v>15160</v>
      </c>
      <c r="E2260" t="s">
        <v>15161</v>
      </c>
      <c r="F2260" t="s">
        <v>108</v>
      </c>
      <c r="H2260" t="s">
        <v>15162</v>
      </c>
      <c r="I2260" t="s">
        <v>167</v>
      </c>
      <c r="J2260" t="s">
        <v>111</v>
      </c>
      <c r="K2260" t="str">
        <f>"85339"</f>
        <v>85339</v>
      </c>
      <c r="L2260" t="s">
        <v>2765</v>
      </c>
      <c r="M2260" t="s">
        <v>15162</v>
      </c>
      <c r="N2260" t="s">
        <v>167</v>
      </c>
      <c r="O2260" t="s">
        <v>111</v>
      </c>
      <c r="P2260" t="str">
        <f>"85339-2541"</f>
        <v>85339-2541</v>
      </c>
      <c r="Q2260" t="s">
        <v>113</v>
      </c>
      <c r="R2260" t="str">
        <f>"300-14-782"</f>
        <v>300-14-782</v>
      </c>
      <c r="S2260" t="s">
        <v>8158</v>
      </c>
      <c r="T2260" t="s">
        <v>8158</v>
      </c>
      <c r="U2260">
        <v>1954</v>
      </c>
      <c r="V2260">
        <v>0</v>
      </c>
      <c r="W2260">
        <v>3</v>
      </c>
      <c r="X2260">
        <v>2015</v>
      </c>
      <c r="Z2260">
        <v>1</v>
      </c>
      <c r="AB2260">
        <v>0</v>
      </c>
      <c r="AC2260" t="s">
        <v>115</v>
      </c>
      <c r="AD2260">
        <v>3</v>
      </c>
      <c r="AE2260" t="s">
        <v>115</v>
      </c>
      <c r="AF2260">
        <v>0</v>
      </c>
      <c r="AG2260">
        <v>0</v>
      </c>
      <c r="AH2260" t="s">
        <v>116</v>
      </c>
      <c r="AI2260" s="1">
        <v>64095</v>
      </c>
      <c r="AJ2260" s="2">
        <v>0.22</v>
      </c>
      <c r="AK2260" s="1">
        <v>297179</v>
      </c>
      <c r="AL2260" t="s">
        <v>117</v>
      </c>
      <c r="AM2260" t="s">
        <v>191</v>
      </c>
      <c r="AN2260">
        <v>7345</v>
      </c>
      <c r="AO2260">
        <v>0.17</v>
      </c>
      <c r="AR2260">
        <v>1</v>
      </c>
      <c r="AS2260" s="1">
        <v>22230</v>
      </c>
      <c r="AT2260" s="1">
        <v>4440</v>
      </c>
      <c r="AU2260" s="1">
        <v>17790</v>
      </c>
      <c r="AV2260">
        <v>80.03</v>
      </c>
      <c r="AX2260" s="1">
        <v>2986.26</v>
      </c>
      <c r="AY2260" t="s">
        <v>8159</v>
      </c>
      <c r="AZ2260" t="s">
        <v>8159</v>
      </c>
      <c r="BA2260" t="s">
        <v>1661</v>
      </c>
      <c r="BE2260" s="3">
        <v>42237</v>
      </c>
      <c r="BF2260" s="1">
        <v>225638</v>
      </c>
      <c r="BG2260" t="s">
        <v>2289</v>
      </c>
      <c r="BH2260" s="1">
        <v>115.47</v>
      </c>
      <c r="BI2260" s="1">
        <v>233084</v>
      </c>
      <c r="BJ2260" s="3">
        <v>42237</v>
      </c>
      <c r="BK2260" t="s">
        <v>123</v>
      </c>
      <c r="BL2260" t="str">
        <f>"2015.608835"</f>
        <v>2015.608835</v>
      </c>
      <c r="BM2260" t="s">
        <v>135</v>
      </c>
      <c r="BO2260" t="s">
        <v>15163</v>
      </c>
      <c r="BS2260">
        <v>30</v>
      </c>
      <c r="BW2260" t="str">
        <f>""</f>
        <v/>
      </c>
      <c r="CH2260" t="str">
        <f>""</f>
        <v/>
      </c>
      <c r="CS2260" t="str">
        <f>""</f>
        <v/>
      </c>
    </row>
    <row r="2261" spans="1:97" x14ac:dyDescent="0.25">
      <c r="A2261" t="s">
        <v>15164</v>
      </c>
      <c r="B2261" t="s">
        <v>327</v>
      </c>
      <c r="C2261" t="s">
        <v>3464</v>
      </c>
      <c r="D2261" t="s">
        <v>327</v>
      </c>
      <c r="E2261" t="s">
        <v>15165</v>
      </c>
      <c r="F2261" t="s">
        <v>108</v>
      </c>
      <c r="H2261" t="s">
        <v>15166</v>
      </c>
      <c r="I2261" t="s">
        <v>225</v>
      </c>
      <c r="J2261" t="s">
        <v>111</v>
      </c>
      <c r="K2261" t="str">
        <f>"85212"</f>
        <v>85212</v>
      </c>
      <c r="L2261" t="s">
        <v>4035</v>
      </c>
      <c r="M2261" t="s">
        <v>15166</v>
      </c>
      <c r="N2261" t="s">
        <v>225</v>
      </c>
      <c r="O2261" t="s">
        <v>111</v>
      </c>
      <c r="P2261" t="str">
        <f>"85212-1435"</f>
        <v>85212-1435</v>
      </c>
      <c r="Q2261" t="s">
        <v>113</v>
      </c>
      <c r="R2261" t="str">
        <f>"304-02-092"</f>
        <v>304-02-092</v>
      </c>
      <c r="S2261" t="s">
        <v>7300</v>
      </c>
      <c r="T2261" t="s">
        <v>7301</v>
      </c>
      <c r="U2261">
        <v>2308</v>
      </c>
      <c r="V2261">
        <v>0</v>
      </c>
      <c r="W2261">
        <v>3</v>
      </c>
      <c r="X2261">
        <v>1999</v>
      </c>
      <c r="Z2261">
        <v>1</v>
      </c>
      <c r="AA2261" t="s">
        <v>26</v>
      </c>
      <c r="AB2261">
        <v>0</v>
      </c>
      <c r="AC2261" t="s">
        <v>115</v>
      </c>
      <c r="AD2261">
        <v>2</v>
      </c>
      <c r="AE2261" t="s">
        <v>115</v>
      </c>
      <c r="AF2261">
        <v>0</v>
      </c>
      <c r="AG2261">
        <v>0</v>
      </c>
      <c r="AH2261" t="s">
        <v>116</v>
      </c>
      <c r="AI2261" s="1">
        <v>34628</v>
      </c>
      <c r="AJ2261" s="2">
        <v>0.1</v>
      </c>
      <c r="AK2261" s="1">
        <v>354858</v>
      </c>
      <c r="AL2261" t="s">
        <v>117</v>
      </c>
      <c r="AM2261" t="s">
        <v>191</v>
      </c>
      <c r="AN2261">
        <v>7002</v>
      </c>
      <c r="AO2261">
        <v>0.16</v>
      </c>
      <c r="AP2261">
        <v>1</v>
      </c>
      <c r="AR2261">
        <v>1</v>
      </c>
      <c r="AS2261" s="1">
        <v>24160</v>
      </c>
      <c r="AT2261" s="1">
        <v>4830</v>
      </c>
      <c r="AU2261" s="1">
        <v>19330</v>
      </c>
      <c r="AV2261">
        <v>80.010000000000005</v>
      </c>
      <c r="AX2261" s="1">
        <v>1708.4</v>
      </c>
      <c r="AY2261" t="s">
        <v>7302</v>
      </c>
      <c r="AZ2261" t="s">
        <v>777</v>
      </c>
      <c r="BA2261" t="s">
        <v>572</v>
      </c>
      <c r="BE2261" s="3">
        <v>41862</v>
      </c>
      <c r="BF2261" s="1">
        <v>270000</v>
      </c>
      <c r="BG2261" t="s">
        <v>15167</v>
      </c>
      <c r="BH2261" s="1">
        <v>116.98</v>
      </c>
      <c r="BI2261" s="1">
        <v>320230</v>
      </c>
      <c r="BJ2261" s="3">
        <v>43125</v>
      </c>
      <c r="BK2261" t="s">
        <v>123</v>
      </c>
      <c r="BL2261" t="str">
        <f>"2018.60680"</f>
        <v>2018.60680</v>
      </c>
      <c r="BM2261" t="s">
        <v>2926</v>
      </c>
      <c r="BN2261" t="s">
        <v>545</v>
      </c>
      <c r="BO2261" t="s">
        <v>15168</v>
      </c>
      <c r="BP2261" t="s">
        <v>15169</v>
      </c>
      <c r="BR2261" t="s">
        <v>139</v>
      </c>
      <c r="BW2261" t="str">
        <f>""</f>
        <v/>
      </c>
      <c r="CH2261" t="str">
        <f>""</f>
        <v/>
      </c>
      <c r="CS2261" t="str">
        <f>""</f>
        <v/>
      </c>
    </row>
    <row r="2262" spans="1:97" x14ac:dyDescent="0.25">
      <c r="A2262" t="s">
        <v>1124</v>
      </c>
      <c r="B2262" t="s">
        <v>15170</v>
      </c>
      <c r="C2262" t="s">
        <v>2544</v>
      </c>
      <c r="D2262" t="s">
        <v>15170</v>
      </c>
      <c r="E2262" t="s">
        <v>15171</v>
      </c>
      <c r="F2262" t="s">
        <v>108</v>
      </c>
      <c r="H2262" t="s">
        <v>15172</v>
      </c>
      <c r="I2262" t="s">
        <v>1936</v>
      </c>
      <c r="J2262" t="s">
        <v>111</v>
      </c>
      <c r="K2262" t="str">
        <f>"85250"</f>
        <v>85250</v>
      </c>
      <c r="L2262" t="s">
        <v>4003</v>
      </c>
      <c r="M2262" t="s">
        <v>15172</v>
      </c>
      <c r="N2262" t="s">
        <v>1936</v>
      </c>
      <c r="O2262" t="s">
        <v>111</v>
      </c>
      <c r="P2262" t="str">
        <f>"85250-6319"</f>
        <v>85250-6319</v>
      </c>
      <c r="Q2262" t="s">
        <v>113</v>
      </c>
      <c r="R2262" t="str">
        <f>"173-74-078"</f>
        <v>173-74-078</v>
      </c>
      <c r="S2262" t="s">
        <v>15173</v>
      </c>
      <c r="U2262">
        <v>2369</v>
      </c>
      <c r="V2262">
        <v>0</v>
      </c>
      <c r="W2262">
        <v>2</v>
      </c>
      <c r="X2262">
        <v>1962</v>
      </c>
      <c r="Z2262">
        <v>2</v>
      </c>
      <c r="AA2262" t="s">
        <v>26</v>
      </c>
      <c r="AB2262">
        <v>0</v>
      </c>
      <c r="AC2262" t="s">
        <v>115</v>
      </c>
      <c r="AD2262">
        <v>2</v>
      </c>
      <c r="AE2262" t="s">
        <v>115</v>
      </c>
      <c r="AF2262">
        <v>0</v>
      </c>
      <c r="AG2262">
        <v>0</v>
      </c>
      <c r="AH2262" t="s">
        <v>116</v>
      </c>
      <c r="AI2262" s="1">
        <v>124665</v>
      </c>
      <c r="AJ2262" s="2">
        <v>0.28999999999999998</v>
      </c>
      <c r="AK2262" s="1">
        <v>430015</v>
      </c>
      <c r="AL2262" t="s">
        <v>117</v>
      </c>
      <c r="AM2262" t="s">
        <v>393</v>
      </c>
      <c r="AN2262">
        <v>7768</v>
      </c>
      <c r="AO2262">
        <v>0.18</v>
      </c>
      <c r="AP2262">
        <v>1</v>
      </c>
      <c r="AR2262">
        <v>1</v>
      </c>
      <c r="AS2262" s="1">
        <v>30770</v>
      </c>
      <c r="AT2262" s="1">
        <v>6150</v>
      </c>
      <c r="AU2262" s="1">
        <v>24620</v>
      </c>
      <c r="AV2262">
        <v>80.010000000000005</v>
      </c>
      <c r="AX2262" s="1">
        <v>1613.46</v>
      </c>
      <c r="AY2262" t="s">
        <v>6974</v>
      </c>
      <c r="AZ2262" t="s">
        <v>6975</v>
      </c>
      <c r="BA2262" t="s">
        <v>6976</v>
      </c>
      <c r="BE2262" s="3">
        <v>41759</v>
      </c>
      <c r="BF2262" s="1">
        <v>250000</v>
      </c>
      <c r="BG2262" t="s">
        <v>15174</v>
      </c>
      <c r="BH2262" s="1">
        <v>105.53</v>
      </c>
      <c r="BI2262" s="1">
        <v>255350</v>
      </c>
      <c r="BJ2262" s="3">
        <v>41759</v>
      </c>
      <c r="BK2262" t="s">
        <v>123</v>
      </c>
      <c r="BL2262" t="str">
        <f>"2014.281712"</f>
        <v>2014.281712</v>
      </c>
      <c r="BM2262" t="s">
        <v>11524</v>
      </c>
      <c r="BO2262" t="s">
        <v>15175</v>
      </c>
      <c r="BS2262">
        <v>30</v>
      </c>
      <c r="BT2262" s="1">
        <v>50000</v>
      </c>
      <c r="BU2262" s="3">
        <v>42395</v>
      </c>
      <c r="BV2262" t="s">
        <v>134</v>
      </c>
      <c r="BW2262" t="str">
        <f>"2016.50061"</f>
        <v>2016.50061</v>
      </c>
      <c r="BX2262" t="s">
        <v>8868</v>
      </c>
      <c r="BZ2262" t="s">
        <v>15176</v>
      </c>
      <c r="CD2262">
        <v>30</v>
      </c>
      <c r="CH2262" t="str">
        <f>""</f>
        <v/>
      </c>
      <c r="CS2262" t="str">
        <f>""</f>
        <v/>
      </c>
    </row>
    <row r="2263" spans="1:97" x14ac:dyDescent="0.25">
      <c r="A2263" t="s">
        <v>404</v>
      </c>
      <c r="B2263" t="s">
        <v>1899</v>
      </c>
      <c r="C2263" t="s">
        <v>15177</v>
      </c>
      <c r="D2263" t="s">
        <v>1899</v>
      </c>
      <c r="E2263" t="s">
        <v>15178</v>
      </c>
      <c r="F2263" t="s">
        <v>108</v>
      </c>
      <c r="H2263" t="s">
        <v>15179</v>
      </c>
      <c r="I2263" t="s">
        <v>390</v>
      </c>
      <c r="J2263" t="s">
        <v>111</v>
      </c>
      <c r="K2263" t="str">
        <f>"85032"</f>
        <v>85032</v>
      </c>
      <c r="L2263" t="s">
        <v>6964</v>
      </c>
      <c r="M2263" t="s">
        <v>15179</v>
      </c>
      <c r="N2263" t="s">
        <v>390</v>
      </c>
      <c r="O2263" t="s">
        <v>111</v>
      </c>
      <c r="P2263" t="str">
        <f>"85032-6557"</f>
        <v>85032-6557</v>
      </c>
      <c r="Q2263" t="s">
        <v>113</v>
      </c>
      <c r="R2263" t="str">
        <f>"166-05-289"</f>
        <v>166-05-289</v>
      </c>
      <c r="S2263" t="s">
        <v>15180</v>
      </c>
      <c r="T2263" t="s">
        <v>15181</v>
      </c>
      <c r="U2263">
        <v>1890</v>
      </c>
      <c r="V2263">
        <v>0</v>
      </c>
      <c r="W2263">
        <v>3</v>
      </c>
      <c r="X2263">
        <v>1971</v>
      </c>
      <c r="Z2263">
        <v>1</v>
      </c>
      <c r="AA2263" t="s">
        <v>26</v>
      </c>
      <c r="AB2263">
        <v>0</v>
      </c>
      <c r="AC2263" t="s">
        <v>5188</v>
      </c>
      <c r="AD2263">
        <v>2</v>
      </c>
      <c r="AE2263" t="s">
        <v>5188</v>
      </c>
      <c r="AF2263">
        <v>0</v>
      </c>
      <c r="AG2263">
        <v>0</v>
      </c>
      <c r="AH2263" t="s">
        <v>116</v>
      </c>
      <c r="AI2263" s="1">
        <v>46535</v>
      </c>
      <c r="AJ2263" s="2">
        <v>0.14000000000000001</v>
      </c>
      <c r="AK2263" s="1">
        <v>337841</v>
      </c>
      <c r="AL2263" t="s">
        <v>117</v>
      </c>
      <c r="AM2263" t="s">
        <v>171</v>
      </c>
      <c r="AN2263">
        <v>7830</v>
      </c>
      <c r="AO2263">
        <v>0.18</v>
      </c>
      <c r="AP2263">
        <v>1</v>
      </c>
      <c r="AR2263">
        <v>1</v>
      </c>
      <c r="AS2263" s="1">
        <v>21630</v>
      </c>
      <c r="AT2263" s="1">
        <v>4320</v>
      </c>
      <c r="AU2263" s="1">
        <v>17310</v>
      </c>
      <c r="AV2263">
        <v>80.03</v>
      </c>
      <c r="AX2263" s="1">
        <v>1410.82</v>
      </c>
      <c r="AY2263" t="s">
        <v>6904</v>
      </c>
      <c r="AZ2263" t="s">
        <v>5489</v>
      </c>
      <c r="BA2263" t="s">
        <v>5232</v>
      </c>
      <c r="BE2263" s="3">
        <v>42296</v>
      </c>
      <c r="BF2263" s="1">
        <v>282000</v>
      </c>
      <c r="BG2263" t="s">
        <v>15182</v>
      </c>
      <c r="BH2263" s="1">
        <v>149.21</v>
      </c>
      <c r="BI2263" s="1">
        <v>291306</v>
      </c>
      <c r="BJ2263" s="3">
        <v>42296</v>
      </c>
      <c r="BK2263" t="s">
        <v>123</v>
      </c>
      <c r="BL2263" t="str">
        <f>"2015.750056"</f>
        <v>2015.750056</v>
      </c>
      <c r="BM2263" t="s">
        <v>1287</v>
      </c>
      <c r="BO2263" t="s">
        <v>15183</v>
      </c>
      <c r="BS2263">
        <v>30</v>
      </c>
      <c r="BW2263" t="str">
        <f>""</f>
        <v/>
      </c>
      <c r="CH2263" t="str">
        <f>""</f>
        <v/>
      </c>
      <c r="CS2263" t="str">
        <f>""</f>
        <v/>
      </c>
    </row>
    <row r="2264" spans="1:97" x14ac:dyDescent="0.25">
      <c r="A2264" t="s">
        <v>1514</v>
      </c>
      <c r="B2264" t="s">
        <v>15184</v>
      </c>
      <c r="C2264" t="s">
        <v>7901</v>
      </c>
      <c r="D2264" t="s">
        <v>15184</v>
      </c>
      <c r="E2264" t="s">
        <v>15185</v>
      </c>
      <c r="F2264" t="s">
        <v>108</v>
      </c>
      <c r="H2264" t="s">
        <v>15186</v>
      </c>
      <c r="I2264" t="s">
        <v>499</v>
      </c>
      <c r="J2264" t="s">
        <v>111</v>
      </c>
      <c r="K2264" t="str">
        <f>"85338"</f>
        <v>85338</v>
      </c>
      <c r="L2264" t="s">
        <v>7339</v>
      </c>
      <c r="M2264" t="s">
        <v>15186</v>
      </c>
      <c r="N2264" t="s">
        <v>499</v>
      </c>
      <c r="O2264" t="s">
        <v>111</v>
      </c>
      <c r="P2264" t="str">
        <f>"85338-5754"</f>
        <v>85338-5754</v>
      </c>
      <c r="Q2264" t="s">
        <v>113</v>
      </c>
      <c r="R2264" t="str">
        <f>"400-03-843"</f>
        <v>400-03-843</v>
      </c>
      <c r="S2264" t="s">
        <v>15187</v>
      </c>
      <c r="U2264">
        <v>2542</v>
      </c>
      <c r="V2264">
        <v>0</v>
      </c>
      <c r="W2264">
        <v>4</v>
      </c>
      <c r="X2264">
        <v>2001</v>
      </c>
      <c r="Z2264">
        <v>2</v>
      </c>
      <c r="AA2264" t="s">
        <v>26</v>
      </c>
      <c r="AB2264">
        <v>0</v>
      </c>
      <c r="AC2264" t="s">
        <v>115</v>
      </c>
      <c r="AD2264">
        <v>2</v>
      </c>
      <c r="AE2264" t="s">
        <v>115</v>
      </c>
      <c r="AF2264">
        <v>0</v>
      </c>
      <c r="AG2264">
        <v>0</v>
      </c>
      <c r="AH2264" t="s">
        <v>116</v>
      </c>
      <c r="AI2264" s="1">
        <v>62529</v>
      </c>
      <c r="AJ2264" s="2">
        <v>0.18</v>
      </c>
      <c r="AK2264" s="1">
        <v>346604</v>
      </c>
      <c r="AL2264" t="s">
        <v>117</v>
      </c>
      <c r="AM2264" t="s">
        <v>118</v>
      </c>
      <c r="AN2264">
        <v>7818</v>
      </c>
      <c r="AO2264">
        <v>0.18</v>
      </c>
      <c r="AP2264">
        <v>1</v>
      </c>
      <c r="AR2264">
        <v>1</v>
      </c>
      <c r="AS2264" s="1">
        <v>22960</v>
      </c>
      <c r="AT2264" s="1">
        <v>4590</v>
      </c>
      <c r="AU2264" s="1">
        <v>18370</v>
      </c>
      <c r="AV2264">
        <v>80.010000000000005</v>
      </c>
      <c r="AX2264" s="1">
        <v>2839.66</v>
      </c>
      <c r="AY2264" t="s">
        <v>1246</v>
      </c>
      <c r="AZ2264" t="s">
        <v>1246</v>
      </c>
      <c r="BA2264" t="s">
        <v>1247</v>
      </c>
      <c r="BE2264" s="3">
        <v>42327</v>
      </c>
      <c r="BF2264" s="1">
        <v>280000</v>
      </c>
      <c r="BG2264" t="s">
        <v>15188</v>
      </c>
      <c r="BH2264" s="1">
        <v>110.15</v>
      </c>
      <c r="BI2264" s="1">
        <v>284075</v>
      </c>
      <c r="BJ2264" s="3">
        <v>42327</v>
      </c>
      <c r="BK2264" t="s">
        <v>123</v>
      </c>
      <c r="BL2264" t="str">
        <f>"2015.828133"</f>
        <v>2015.828133</v>
      </c>
      <c r="BM2264" t="s">
        <v>3810</v>
      </c>
      <c r="BO2264" t="s">
        <v>15189</v>
      </c>
      <c r="BS2264">
        <v>30</v>
      </c>
      <c r="BW2264" t="str">
        <f>""</f>
        <v/>
      </c>
      <c r="CH2264" t="str">
        <f>""</f>
        <v/>
      </c>
      <c r="CS2264" t="str">
        <f>""</f>
        <v/>
      </c>
    </row>
    <row r="2265" spans="1:97" x14ac:dyDescent="0.25">
      <c r="A2265" t="s">
        <v>1109</v>
      </c>
      <c r="B2265" t="s">
        <v>15190</v>
      </c>
      <c r="C2265" t="s">
        <v>259</v>
      </c>
      <c r="D2265" t="s">
        <v>963</v>
      </c>
      <c r="E2265" t="s">
        <v>15191</v>
      </c>
      <c r="F2265" t="s">
        <v>108</v>
      </c>
      <c r="H2265" t="s">
        <v>15192</v>
      </c>
      <c r="I2265" t="s">
        <v>632</v>
      </c>
      <c r="J2265" t="s">
        <v>111</v>
      </c>
      <c r="K2265" t="str">
        <f>"85374"</f>
        <v>85374</v>
      </c>
      <c r="L2265" t="s">
        <v>5367</v>
      </c>
      <c r="M2265" t="s">
        <v>15192</v>
      </c>
      <c r="N2265" t="s">
        <v>632</v>
      </c>
      <c r="O2265" t="s">
        <v>111</v>
      </c>
      <c r="P2265" t="str">
        <f>"85374-5204"</f>
        <v>85374-5204</v>
      </c>
      <c r="Q2265" t="s">
        <v>113</v>
      </c>
      <c r="R2265" t="str">
        <f>"501-16-045"</f>
        <v>501-16-045</v>
      </c>
      <c r="S2265" t="s">
        <v>9748</v>
      </c>
      <c r="T2265" t="s">
        <v>9748</v>
      </c>
      <c r="U2265">
        <v>2824</v>
      </c>
      <c r="V2265">
        <v>0</v>
      </c>
      <c r="W2265">
        <v>4</v>
      </c>
      <c r="X2265">
        <v>1999</v>
      </c>
      <c r="Z2265">
        <v>1</v>
      </c>
      <c r="AB2265">
        <v>0</v>
      </c>
      <c r="AC2265" t="s">
        <v>115</v>
      </c>
      <c r="AD2265">
        <v>2</v>
      </c>
      <c r="AE2265" t="s">
        <v>115</v>
      </c>
      <c r="AF2265">
        <v>0</v>
      </c>
      <c r="AG2265">
        <v>0</v>
      </c>
      <c r="AH2265" t="s">
        <v>116</v>
      </c>
      <c r="AI2265" s="1">
        <v>58956</v>
      </c>
      <c r="AJ2265" s="2">
        <v>0.2</v>
      </c>
      <c r="AK2265" s="1">
        <v>299596</v>
      </c>
      <c r="AL2265" t="s">
        <v>117</v>
      </c>
      <c r="AM2265" t="s">
        <v>118</v>
      </c>
      <c r="AN2265">
        <v>7700</v>
      </c>
      <c r="AO2265">
        <v>0.18</v>
      </c>
      <c r="AP2265">
        <v>1</v>
      </c>
      <c r="AR2265">
        <v>1</v>
      </c>
      <c r="AS2265" s="1">
        <v>21470</v>
      </c>
      <c r="AT2265" s="1">
        <v>4290</v>
      </c>
      <c r="AU2265" s="1">
        <v>17180</v>
      </c>
      <c r="AV2265">
        <v>80.02</v>
      </c>
      <c r="AX2265" s="1">
        <v>1652.96</v>
      </c>
      <c r="AY2265" t="s">
        <v>9749</v>
      </c>
      <c r="AZ2265" t="s">
        <v>9749</v>
      </c>
      <c r="BA2265" t="s">
        <v>321</v>
      </c>
      <c r="BE2265" s="3">
        <v>42405</v>
      </c>
      <c r="BF2265" s="1">
        <v>235000</v>
      </c>
      <c r="BG2265" t="s">
        <v>15193</v>
      </c>
      <c r="BH2265" s="1">
        <v>83.22</v>
      </c>
      <c r="BI2265" s="1">
        <v>240640</v>
      </c>
      <c r="BJ2265" s="3">
        <v>42405</v>
      </c>
      <c r="BK2265" t="s">
        <v>123</v>
      </c>
      <c r="BL2265" t="str">
        <f>"2016.77615"</f>
        <v>2016.77615</v>
      </c>
      <c r="BM2265" t="s">
        <v>724</v>
      </c>
      <c r="BO2265" t="s">
        <v>15194</v>
      </c>
      <c r="BP2265" t="s">
        <v>15195</v>
      </c>
      <c r="BS2265">
        <v>30</v>
      </c>
      <c r="BW2265" t="str">
        <f>""</f>
        <v/>
      </c>
      <c r="CH2265" t="str">
        <f>""</f>
        <v/>
      </c>
      <c r="CS2265" t="str">
        <f>""</f>
        <v/>
      </c>
    </row>
    <row r="2266" spans="1:97" x14ac:dyDescent="0.25">
      <c r="B2266" t="s">
        <v>15196</v>
      </c>
      <c r="E2266" t="s">
        <v>15197</v>
      </c>
      <c r="F2266" t="s">
        <v>139</v>
      </c>
      <c r="H2266" t="s">
        <v>15198</v>
      </c>
      <c r="I2266" t="s">
        <v>203</v>
      </c>
      <c r="J2266" t="s">
        <v>111</v>
      </c>
      <c r="K2266" t="str">
        <f>"85234"</f>
        <v>85234</v>
      </c>
      <c r="L2266" t="s">
        <v>3108</v>
      </c>
      <c r="M2266" t="s">
        <v>15198</v>
      </c>
      <c r="N2266" t="s">
        <v>203</v>
      </c>
      <c r="O2266" t="s">
        <v>111</v>
      </c>
      <c r="P2266" t="str">
        <f>"85234"</f>
        <v>85234</v>
      </c>
      <c r="Q2266" t="s">
        <v>113</v>
      </c>
      <c r="R2266" t="str">
        <f>"304-06-333"</f>
        <v>304-06-333</v>
      </c>
      <c r="S2266" t="s">
        <v>7211</v>
      </c>
      <c r="T2266" t="s">
        <v>7212</v>
      </c>
      <c r="U2266">
        <v>2067</v>
      </c>
      <c r="V2266">
        <v>0</v>
      </c>
      <c r="W2266">
        <v>4</v>
      </c>
      <c r="X2266">
        <v>1990</v>
      </c>
      <c r="Z2266">
        <v>1</v>
      </c>
      <c r="AA2266" t="s">
        <v>26</v>
      </c>
      <c r="AB2266">
        <v>0</v>
      </c>
      <c r="AC2266" t="s">
        <v>115</v>
      </c>
      <c r="AD2266">
        <v>2</v>
      </c>
      <c r="AE2266" t="s">
        <v>115</v>
      </c>
      <c r="AF2266">
        <v>0</v>
      </c>
      <c r="AG2266">
        <v>0</v>
      </c>
      <c r="AH2266" t="s">
        <v>116</v>
      </c>
      <c r="AI2266" s="1">
        <v>146573</v>
      </c>
      <c r="AJ2266" s="2">
        <v>0.41</v>
      </c>
      <c r="AK2266" s="1">
        <v>354598</v>
      </c>
      <c r="AL2266" t="s">
        <v>117</v>
      </c>
      <c r="AM2266" t="s">
        <v>393</v>
      </c>
      <c r="AN2266">
        <v>10846</v>
      </c>
      <c r="AO2266">
        <v>0.25</v>
      </c>
      <c r="AP2266">
        <v>1</v>
      </c>
      <c r="AR2266">
        <v>1</v>
      </c>
      <c r="AS2266" s="1">
        <v>25970</v>
      </c>
      <c r="AT2266" s="1">
        <v>5190</v>
      </c>
      <c r="AU2266" s="1">
        <v>20780</v>
      </c>
      <c r="AV2266">
        <v>80.02</v>
      </c>
      <c r="AX2266" s="1">
        <v>1774.04</v>
      </c>
      <c r="AY2266" t="s">
        <v>7213</v>
      </c>
      <c r="AZ2266" t="s">
        <v>571</v>
      </c>
      <c r="BA2266" t="s">
        <v>521</v>
      </c>
      <c r="BB2266" s="3">
        <v>43206</v>
      </c>
      <c r="BC2266" s="1">
        <v>0</v>
      </c>
      <c r="BD2266" t="s">
        <v>247</v>
      </c>
      <c r="BE2266" s="3">
        <v>42170</v>
      </c>
      <c r="BF2266" s="1">
        <v>254000</v>
      </c>
      <c r="BG2266" t="s">
        <v>15199</v>
      </c>
      <c r="BH2266" s="1">
        <v>122.88</v>
      </c>
      <c r="BI2266" s="1">
        <v>208025</v>
      </c>
      <c r="BJ2266" s="3">
        <v>42619</v>
      </c>
      <c r="BK2266" t="s">
        <v>123</v>
      </c>
      <c r="BL2266" t="str">
        <f>"2016.641655"</f>
        <v>2016.641655</v>
      </c>
      <c r="BM2266" t="s">
        <v>709</v>
      </c>
      <c r="BN2266" t="s">
        <v>863</v>
      </c>
      <c r="BO2266" t="s">
        <v>15200</v>
      </c>
      <c r="BS2266">
        <v>30</v>
      </c>
      <c r="BW2266" t="str">
        <f>""</f>
        <v/>
      </c>
      <c r="CH2266" t="str">
        <f>""</f>
        <v/>
      </c>
      <c r="CS2266" t="str">
        <f>""</f>
        <v/>
      </c>
    </row>
    <row r="2267" spans="1:97" x14ac:dyDescent="0.25">
      <c r="A2267" t="s">
        <v>15201</v>
      </c>
      <c r="B2267" t="s">
        <v>603</v>
      </c>
      <c r="E2267" t="s">
        <v>15202</v>
      </c>
      <c r="F2267" t="s">
        <v>108</v>
      </c>
      <c r="H2267" t="s">
        <v>15203</v>
      </c>
      <c r="I2267" t="s">
        <v>225</v>
      </c>
      <c r="J2267" t="s">
        <v>111</v>
      </c>
      <c r="K2267" t="str">
        <f>"85210"</f>
        <v>85210</v>
      </c>
      <c r="L2267" t="s">
        <v>6169</v>
      </c>
      <c r="M2267" t="s">
        <v>15203</v>
      </c>
      <c r="N2267" t="s">
        <v>225</v>
      </c>
      <c r="O2267" t="s">
        <v>111</v>
      </c>
      <c r="P2267" t="str">
        <f>"85210-8351"</f>
        <v>85210-8351</v>
      </c>
      <c r="Q2267" t="s">
        <v>113</v>
      </c>
      <c r="R2267" t="str">
        <f>"302-77-265"</f>
        <v>302-77-265</v>
      </c>
      <c r="S2267" t="s">
        <v>15204</v>
      </c>
      <c r="U2267">
        <v>1386</v>
      </c>
      <c r="V2267">
        <v>0</v>
      </c>
      <c r="W2267">
        <v>2</v>
      </c>
      <c r="X2267">
        <v>1979</v>
      </c>
      <c r="Z2267">
        <v>1</v>
      </c>
      <c r="AA2267" t="s">
        <v>26</v>
      </c>
      <c r="AB2267">
        <v>0</v>
      </c>
      <c r="AC2267" t="s">
        <v>115</v>
      </c>
      <c r="AD2267">
        <v>2</v>
      </c>
      <c r="AE2267" t="s">
        <v>115</v>
      </c>
      <c r="AF2267">
        <v>0</v>
      </c>
      <c r="AG2267">
        <v>0</v>
      </c>
      <c r="AH2267" t="s">
        <v>116</v>
      </c>
      <c r="AI2267" s="1">
        <v>8051</v>
      </c>
      <c r="AJ2267" s="2">
        <v>0.03</v>
      </c>
      <c r="AK2267" s="1">
        <v>284877</v>
      </c>
      <c r="AL2267" t="s">
        <v>117</v>
      </c>
      <c r="AM2267" t="s">
        <v>191</v>
      </c>
      <c r="AN2267">
        <v>8621</v>
      </c>
      <c r="AO2267">
        <v>0.2</v>
      </c>
      <c r="AP2267">
        <v>1</v>
      </c>
      <c r="AR2267">
        <v>1</v>
      </c>
      <c r="AS2267" s="1">
        <v>19280</v>
      </c>
      <c r="AT2267" s="1">
        <v>3850</v>
      </c>
      <c r="AU2267" s="1">
        <v>15430</v>
      </c>
      <c r="AV2267">
        <v>80.03</v>
      </c>
      <c r="AX2267" s="1">
        <v>1331.74</v>
      </c>
      <c r="AY2267" t="s">
        <v>8076</v>
      </c>
      <c r="AZ2267" t="s">
        <v>7295</v>
      </c>
      <c r="BA2267" t="s">
        <v>5311</v>
      </c>
      <c r="BB2267" s="3">
        <v>43605</v>
      </c>
      <c r="BC2267" s="1">
        <v>0</v>
      </c>
      <c r="BD2267" t="s">
        <v>247</v>
      </c>
      <c r="BE2267" s="3">
        <v>42258</v>
      </c>
      <c r="BF2267" s="1">
        <v>212000</v>
      </c>
      <c r="BG2267" t="s">
        <v>15205</v>
      </c>
      <c r="BH2267" s="1">
        <v>152.96</v>
      </c>
      <c r="BI2267" s="1">
        <v>276826</v>
      </c>
      <c r="BJ2267" s="3">
        <v>43605</v>
      </c>
      <c r="BK2267" t="s">
        <v>123</v>
      </c>
      <c r="BL2267" t="str">
        <f>"2019.368504"</f>
        <v>2019.368504</v>
      </c>
      <c r="BM2267" t="s">
        <v>1185</v>
      </c>
      <c r="BN2267" t="s">
        <v>6728</v>
      </c>
      <c r="BO2267" t="s">
        <v>15202</v>
      </c>
      <c r="BR2267" t="s">
        <v>139</v>
      </c>
      <c r="BW2267" t="str">
        <f>""</f>
        <v/>
      </c>
      <c r="CH2267" t="str">
        <f>""</f>
        <v/>
      </c>
      <c r="CS2267" t="str">
        <f>""</f>
        <v/>
      </c>
    </row>
    <row r="2268" spans="1:97" x14ac:dyDescent="0.25">
      <c r="A2268" t="s">
        <v>15206</v>
      </c>
      <c r="B2268" t="s">
        <v>2793</v>
      </c>
      <c r="C2268" t="s">
        <v>489</v>
      </c>
      <c r="D2268" t="s">
        <v>2793</v>
      </c>
      <c r="E2268" t="s">
        <v>15207</v>
      </c>
      <c r="F2268" t="s">
        <v>108</v>
      </c>
      <c r="H2268" t="s">
        <v>15208</v>
      </c>
      <c r="I2268" t="s">
        <v>144</v>
      </c>
      <c r="J2268" t="s">
        <v>111</v>
      </c>
      <c r="K2268" t="str">
        <f>"85326"</f>
        <v>85326</v>
      </c>
      <c r="L2268" t="s">
        <v>5291</v>
      </c>
      <c r="M2268" t="s">
        <v>15208</v>
      </c>
      <c r="N2268" t="s">
        <v>144</v>
      </c>
      <c r="O2268" t="s">
        <v>111</v>
      </c>
      <c r="P2268" t="str">
        <f>"85326-3364"</f>
        <v>85326-3364</v>
      </c>
      <c r="Q2268" t="s">
        <v>113</v>
      </c>
      <c r="R2268" t="str">
        <f>"504-24-205"</f>
        <v>504-24-205</v>
      </c>
      <c r="S2268" t="s">
        <v>15209</v>
      </c>
      <c r="T2268" t="s">
        <v>15209</v>
      </c>
      <c r="U2268">
        <v>2784</v>
      </c>
      <c r="V2268">
        <v>0</v>
      </c>
      <c r="W2268">
        <v>4</v>
      </c>
      <c r="X2268">
        <v>2013</v>
      </c>
      <c r="Z2268">
        <v>2</v>
      </c>
      <c r="AB2268">
        <v>0</v>
      </c>
      <c r="AC2268" t="s">
        <v>115</v>
      </c>
      <c r="AD2268">
        <v>2</v>
      </c>
      <c r="AE2268" t="s">
        <v>115</v>
      </c>
      <c r="AF2268">
        <v>0</v>
      </c>
      <c r="AG2268">
        <v>0</v>
      </c>
      <c r="AH2268" t="s">
        <v>116</v>
      </c>
      <c r="AI2268" s="1">
        <v>62431</v>
      </c>
      <c r="AJ2268" s="2">
        <v>0.23</v>
      </c>
      <c r="AK2268" s="1">
        <v>267394</v>
      </c>
      <c r="AL2268" t="s">
        <v>117</v>
      </c>
      <c r="AM2268" t="s">
        <v>5023</v>
      </c>
      <c r="AN2268">
        <v>6670</v>
      </c>
      <c r="AO2268">
        <v>0.15</v>
      </c>
      <c r="AR2268">
        <v>1</v>
      </c>
      <c r="AS2268" s="1">
        <v>18720</v>
      </c>
      <c r="AT2268" s="1">
        <v>3740</v>
      </c>
      <c r="AU2268" s="1">
        <v>14980</v>
      </c>
      <c r="AV2268">
        <v>80.02</v>
      </c>
      <c r="AX2268" s="1">
        <v>1685.92</v>
      </c>
      <c r="AY2268" t="s">
        <v>9621</v>
      </c>
      <c r="AZ2268" t="s">
        <v>9621</v>
      </c>
      <c r="BA2268" t="s">
        <v>5025</v>
      </c>
      <c r="BE2268" s="3">
        <v>42094</v>
      </c>
      <c r="BF2268" s="1">
        <v>200650</v>
      </c>
      <c r="BG2268" t="s">
        <v>1975</v>
      </c>
      <c r="BH2268" s="1">
        <v>72.069999999999993</v>
      </c>
      <c r="BI2268" s="1">
        <v>204963</v>
      </c>
      <c r="BJ2268" s="3">
        <v>42094</v>
      </c>
      <c r="BK2268" t="s">
        <v>123</v>
      </c>
      <c r="BL2268" t="str">
        <f>"2015.214648"</f>
        <v>2015.214648</v>
      </c>
      <c r="BM2268" t="s">
        <v>475</v>
      </c>
      <c r="BO2268" t="s">
        <v>15210</v>
      </c>
      <c r="BS2268">
        <v>30</v>
      </c>
      <c r="BW2268" t="str">
        <f>""</f>
        <v/>
      </c>
      <c r="CH2268" t="str">
        <f>""</f>
        <v/>
      </c>
      <c r="CS2268" t="str">
        <f>""</f>
        <v/>
      </c>
    </row>
    <row r="2269" spans="1:97" x14ac:dyDescent="0.25">
      <c r="A2269" t="s">
        <v>15211</v>
      </c>
      <c r="B2269" t="s">
        <v>15212</v>
      </c>
      <c r="E2269" t="s">
        <v>15213</v>
      </c>
      <c r="F2269" t="s">
        <v>108</v>
      </c>
      <c r="H2269" t="s">
        <v>15214</v>
      </c>
      <c r="I2269" t="s">
        <v>1936</v>
      </c>
      <c r="J2269" t="s">
        <v>111</v>
      </c>
      <c r="K2269" t="str">
        <f>"85250"</f>
        <v>85250</v>
      </c>
      <c r="L2269" t="s">
        <v>6891</v>
      </c>
      <c r="M2269" t="s">
        <v>15214</v>
      </c>
      <c r="N2269" t="s">
        <v>1936</v>
      </c>
      <c r="O2269" t="s">
        <v>111</v>
      </c>
      <c r="P2269" t="str">
        <f>"85250-5737"</f>
        <v>85250-5737</v>
      </c>
      <c r="Q2269" t="s">
        <v>113</v>
      </c>
      <c r="R2269" t="str">
        <f>"174-10-285"</f>
        <v>174-10-285</v>
      </c>
      <c r="S2269" t="s">
        <v>15215</v>
      </c>
      <c r="U2269">
        <v>1657</v>
      </c>
      <c r="V2269">
        <v>0</v>
      </c>
      <c r="W2269">
        <v>3</v>
      </c>
      <c r="X2269">
        <v>1965</v>
      </c>
      <c r="Z2269">
        <v>1</v>
      </c>
      <c r="AB2269">
        <v>0</v>
      </c>
      <c r="AC2269" t="s">
        <v>115</v>
      </c>
      <c r="AD2269">
        <v>2</v>
      </c>
      <c r="AE2269" t="s">
        <v>115</v>
      </c>
      <c r="AF2269">
        <v>0</v>
      </c>
      <c r="AG2269">
        <v>0</v>
      </c>
      <c r="AH2269" t="s">
        <v>116</v>
      </c>
      <c r="AI2269" s="1">
        <v>191304</v>
      </c>
      <c r="AJ2269" s="2">
        <v>0.47</v>
      </c>
      <c r="AK2269" s="1">
        <v>411304</v>
      </c>
      <c r="AL2269" t="s">
        <v>117</v>
      </c>
      <c r="AM2269" t="s">
        <v>393</v>
      </c>
      <c r="AN2269">
        <v>9385</v>
      </c>
      <c r="AO2269">
        <v>0.22</v>
      </c>
      <c r="AP2269">
        <v>1</v>
      </c>
      <c r="AR2269">
        <v>1</v>
      </c>
      <c r="AS2269" s="1">
        <v>29150</v>
      </c>
      <c r="AT2269" s="1">
        <v>5830</v>
      </c>
      <c r="AU2269" s="1">
        <v>23320</v>
      </c>
      <c r="AV2269">
        <v>80</v>
      </c>
      <c r="AX2269" s="1">
        <v>1575.06</v>
      </c>
      <c r="AY2269" t="s">
        <v>6974</v>
      </c>
      <c r="AZ2269" t="s">
        <v>6975</v>
      </c>
      <c r="BA2269" t="s">
        <v>6976</v>
      </c>
      <c r="BB2269" s="3">
        <v>42030</v>
      </c>
      <c r="BD2269" t="s">
        <v>480</v>
      </c>
      <c r="BE2269" s="3">
        <v>41715</v>
      </c>
      <c r="BF2269" s="1">
        <v>275000</v>
      </c>
      <c r="BG2269" t="s">
        <v>15216</v>
      </c>
      <c r="BH2269" s="1">
        <v>165.96</v>
      </c>
      <c r="BI2269" s="1">
        <v>220000</v>
      </c>
      <c r="BJ2269" s="3">
        <v>41715</v>
      </c>
      <c r="BK2269" t="s">
        <v>123</v>
      </c>
      <c r="BL2269" t="str">
        <f>"2014.167742"</f>
        <v>2014.167742</v>
      </c>
      <c r="BM2269" t="s">
        <v>544</v>
      </c>
      <c r="BO2269" t="s">
        <v>15217</v>
      </c>
      <c r="BS2269">
        <v>30</v>
      </c>
      <c r="BW2269" t="str">
        <f>""</f>
        <v/>
      </c>
      <c r="CH2269" t="str">
        <f>""</f>
        <v/>
      </c>
      <c r="CS2269" t="str">
        <f>""</f>
        <v/>
      </c>
    </row>
    <row r="2270" spans="1:97" x14ac:dyDescent="0.25">
      <c r="A2270" t="s">
        <v>15218</v>
      </c>
      <c r="B2270" t="s">
        <v>15219</v>
      </c>
      <c r="E2270" t="s">
        <v>15220</v>
      </c>
      <c r="F2270" t="s">
        <v>108</v>
      </c>
      <c r="H2270" t="s">
        <v>15221</v>
      </c>
      <c r="I2270" t="s">
        <v>203</v>
      </c>
      <c r="J2270" t="s">
        <v>111</v>
      </c>
      <c r="K2270" t="str">
        <f>"85234"</f>
        <v>85234</v>
      </c>
      <c r="L2270" t="s">
        <v>3758</v>
      </c>
      <c r="M2270" t="s">
        <v>15221</v>
      </c>
      <c r="N2270" t="s">
        <v>203</v>
      </c>
      <c r="O2270" t="s">
        <v>111</v>
      </c>
      <c r="P2270" t="str">
        <f>"85234-5963"</f>
        <v>85234-5963</v>
      </c>
      <c r="Q2270" t="s">
        <v>113</v>
      </c>
      <c r="R2270" t="str">
        <f>"304-13-258"</f>
        <v>304-13-258</v>
      </c>
      <c r="S2270" t="s">
        <v>15222</v>
      </c>
      <c r="T2270" t="s">
        <v>15223</v>
      </c>
      <c r="U2270">
        <v>1530</v>
      </c>
      <c r="V2270">
        <v>0</v>
      </c>
      <c r="W2270">
        <v>3</v>
      </c>
      <c r="X2270">
        <v>1986</v>
      </c>
      <c r="Z2270">
        <v>1</v>
      </c>
      <c r="AA2270" t="s">
        <v>26</v>
      </c>
      <c r="AB2270">
        <v>0</v>
      </c>
      <c r="AC2270" t="s">
        <v>115</v>
      </c>
      <c r="AD2270">
        <v>2</v>
      </c>
      <c r="AE2270" t="s">
        <v>115</v>
      </c>
      <c r="AF2270">
        <v>0</v>
      </c>
      <c r="AG2270">
        <v>0</v>
      </c>
      <c r="AH2270" t="s">
        <v>116</v>
      </c>
      <c r="AI2270" s="1">
        <v>69377</v>
      </c>
      <c r="AJ2270" s="2">
        <v>0.24</v>
      </c>
      <c r="AK2270" s="1">
        <v>293195</v>
      </c>
      <c r="AL2270" t="s">
        <v>117</v>
      </c>
      <c r="AM2270" t="s">
        <v>393</v>
      </c>
      <c r="AN2270">
        <v>6046</v>
      </c>
      <c r="AO2270">
        <v>0.14000000000000001</v>
      </c>
      <c r="AP2270">
        <v>1</v>
      </c>
      <c r="AR2270">
        <v>1</v>
      </c>
      <c r="AS2270" s="1">
        <v>19770</v>
      </c>
      <c r="AT2270" s="1">
        <v>3950</v>
      </c>
      <c r="AU2270" s="1">
        <v>15820</v>
      </c>
      <c r="AV2270">
        <v>80.02</v>
      </c>
      <c r="AX2270" s="1">
        <v>1324.36</v>
      </c>
      <c r="AY2270" t="s">
        <v>6506</v>
      </c>
      <c r="AZ2270" t="s">
        <v>520</v>
      </c>
      <c r="BA2270" t="s">
        <v>5033</v>
      </c>
      <c r="BE2270" s="3">
        <v>42031</v>
      </c>
      <c r="BF2270" s="1">
        <v>220000</v>
      </c>
      <c r="BG2270" t="s">
        <v>15224</v>
      </c>
      <c r="BH2270" s="1">
        <v>143.79</v>
      </c>
      <c r="BI2270" s="1">
        <v>223818</v>
      </c>
      <c r="BJ2270" s="3">
        <v>42646</v>
      </c>
      <c r="BK2270" t="s">
        <v>123</v>
      </c>
      <c r="BL2270" t="str">
        <f>"2016.723554"</f>
        <v>2016.723554</v>
      </c>
      <c r="BM2270" t="s">
        <v>402</v>
      </c>
      <c r="BO2270" t="s">
        <v>15225</v>
      </c>
      <c r="BS2270">
        <v>30</v>
      </c>
      <c r="BW2270" t="str">
        <f>""</f>
        <v/>
      </c>
      <c r="CH2270" t="str">
        <f>""</f>
        <v/>
      </c>
      <c r="CS2270" t="str">
        <f>""</f>
        <v/>
      </c>
    </row>
    <row r="2271" spans="1:97" x14ac:dyDescent="0.25">
      <c r="A2271" t="s">
        <v>15226</v>
      </c>
      <c r="B2271" t="s">
        <v>15227</v>
      </c>
      <c r="E2271" t="s">
        <v>15228</v>
      </c>
      <c r="F2271" t="s">
        <v>108</v>
      </c>
      <c r="H2271" t="s">
        <v>15229</v>
      </c>
      <c r="I2271" t="s">
        <v>203</v>
      </c>
      <c r="J2271" t="s">
        <v>111</v>
      </c>
      <c r="K2271" t="str">
        <f>"85296"</f>
        <v>85296</v>
      </c>
      <c r="L2271" t="s">
        <v>145</v>
      </c>
      <c r="M2271" t="s">
        <v>15229</v>
      </c>
      <c r="N2271" t="s">
        <v>203</v>
      </c>
      <c r="O2271" t="s">
        <v>111</v>
      </c>
      <c r="P2271" t="str">
        <f>"85296-2259"</f>
        <v>85296-2259</v>
      </c>
      <c r="Q2271" t="s">
        <v>113</v>
      </c>
      <c r="R2271" t="str">
        <f>"309-12-021"</f>
        <v>309-12-021</v>
      </c>
      <c r="S2271" t="s">
        <v>15230</v>
      </c>
      <c r="T2271" t="s">
        <v>15230</v>
      </c>
      <c r="U2271">
        <v>2179</v>
      </c>
      <c r="V2271">
        <v>0</v>
      </c>
      <c r="W2271">
        <v>3</v>
      </c>
      <c r="X2271">
        <v>1998</v>
      </c>
      <c r="Z2271">
        <v>1</v>
      </c>
      <c r="AA2271" t="s">
        <v>26</v>
      </c>
      <c r="AB2271">
        <v>0</v>
      </c>
      <c r="AC2271" t="s">
        <v>115</v>
      </c>
      <c r="AD2271">
        <v>3</v>
      </c>
      <c r="AE2271" t="s">
        <v>115</v>
      </c>
      <c r="AF2271">
        <v>0</v>
      </c>
      <c r="AG2271">
        <v>0</v>
      </c>
      <c r="AH2271" t="s">
        <v>116</v>
      </c>
      <c r="AI2271" s="1">
        <v>24154</v>
      </c>
      <c r="AJ2271" s="2">
        <v>0.06</v>
      </c>
      <c r="AK2271" s="1">
        <v>374154</v>
      </c>
      <c r="AL2271" t="s">
        <v>117</v>
      </c>
      <c r="AM2271" t="s">
        <v>393</v>
      </c>
      <c r="AN2271">
        <v>7632</v>
      </c>
      <c r="AO2271">
        <v>0.18</v>
      </c>
      <c r="AP2271">
        <v>1</v>
      </c>
      <c r="AR2271">
        <v>1</v>
      </c>
      <c r="AS2271" s="1">
        <v>27030</v>
      </c>
      <c r="AT2271" s="1">
        <v>5400</v>
      </c>
      <c r="AU2271" s="1">
        <v>21630</v>
      </c>
      <c r="AV2271">
        <v>80.02</v>
      </c>
      <c r="AX2271" s="1">
        <v>1891.26</v>
      </c>
      <c r="AY2271" t="s">
        <v>5601</v>
      </c>
      <c r="AZ2271" t="s">
        <v>5478</v>
      </c>
      <c r="BA2271" t="s">
        <v>5033</v>
      </c>
      <c r="BE2271" s="3">
        <v>41850</v>
      </c>
      <c r="BF2271" s="1">
        <v>285000</v>
      </c>
      <c r="BG2271" t="s">
        <v>15231</v>
      </c>
      <c r="BH2271" s="1">
        <v>130.79</v>
      </c>
      <c r="BI2271" s="1">
        <v>350000</v>
      </c>
      <c r="BJ2271" s="3">
        <v>43621</v>
      </c>
      <c r="BK2271" t="s">
        <v>123</v>
      </c>
      <c r="BL2271" t="str">
        <f>"2019.418136"</f>
        <v>2019.418136</v>
      </c>
      <c r="BM2271" t="s">
        <v>7228</v>
      </c>
      <c r="BN2271" t="s">
        <v>7229</v>
      </c>
      <c r="BO2271" t="s">
        <v>15232</v>
      </c>
      <c r="BR2271" t="s">
        <v>139</v>
      </c>
      <c r="BW2271" t="str">
        <f>""</f>
        <v/>
      </c>
      <c r="CH2271" t="str">
        <f>""</f>
        <v/>
      </c>
      <c r="CS2271" t="str">
        <f>""</f>
        <v/>
      </c>
    </row>
    <row r="2272" spans="1:97" x14ac:dyDescent="0.25">
      <c r="A2272" t="s">
        <v>1187</v>
      </c>
      <c r="B2272" t="s">
        <v>15233</v>
      </c>
      <c r="E2272" t="s">
        <v>15234</v>
      </c>
      <c r="F2272" t="s">
        <v>108</v>
      </c>
      <c r="H2272" t="s">
        <v>15235</v>
      </c>
      <c r="I2272" t="s">
        <v>203</v>
      </c>
      <c r="J2272" t="s">
        <v>111</v>
      </c>
      <c r="K2272" t="str">
        <f>"85233"</f>
        <v>85233</v>
      </c>
      <c r="L2272" t="s">
        <v>3225</v>
      </c>
      <c r="M2272" t="s">
        <v>15235</v>
      </c>
      <c r="N2272" t="s">
        <v>203</v>
      </c>
      <c r="O2272" t="s">
        <v>111</v>
      </c>
      <c r="P2272" t="str">
        <f>"85233-6130"</f>
        <v>85233-6130</v>
      </c>
      <c r="Q2272" t="s">
        <v>113</v>
      </c>
      <c r="R2272" t="str">
        <f>"302-96-579"</f>
        <v>302-96-579</v>
      </c>
      <c r="S2272" t="s">
        <v>15236</v>
      </c>
      <c r="T2272" t="s">
        <v>15237</v>
      </c>
      <c r="U2272">
        <v>2255</v>
      </c>
      <c r="V2272">
        <v>0</v>
      </c>
      <c r="W2272">
        <v>4</v>
      </c>
      <c r="X2272">
        <v>1986</v>
      </c>
      <c r="Z2272">
        <v>2</v>
      </c>
      <c r="AA2272" t="s">
        <v>26</v>
      </c>
      <c r="AB2272">
        <v>0</v>
      </c>
      <c r="AC2272" t="s">
        <v>115</v>
      </c>
      <c r="AD2272">
        <v>2</v>
      </c>
      <c r="AE2272" t="s">
        <v>115</v>
      </c>
      <c r="AF2272">
        <v>0</v>
      </c>
      <c r="AG2272">
        <v>0</v>
      </c>
      <c r="AH2272" t="s">
        <v>116</v>
      </c>
      <c r="AI2272" s="1">
        <v>52999</v>
      </c>
      <c r="AJ2272" s="2">
        <v>0.15</v>
      </c>
      <c r="AK2272" s="1">
        <v>352809</v>
      </c>
      <c r="AL2272" t="s">
        <v>117</v>
      </c>
      <c r="AM2272" t="s">
        <v>191</v>
      </c>
      <c r="AN2272">
        <v>7009</v>
      </c>
      <c r="AO2272">
        <v>0.16</v>
      </c>
      <c r="AP2272">
        <v>1</v>
      </c>
      <c r="AR2272">
        <v>1</v>
      </c>
      <c r="AS2272" s="1">
        <v>23960</v>
      </c>
      <c r="AT2272" s="1">
        <v>4790</v>
      </c>
      <c r="AU2272" s="1">
        <v>19170</v>
      </c>
      <c r="AV2272">
        <v>80.010000000000005</v>
      </c>
      <c r="AX2272" s="1">
        <v>1726.04</v>
      </c>
      <c r="AY2272" t="s">
        <v>5477</v>
      </c>
      <c r="AZ2272" t="s">
        <v>5478</v>
      </c>
      <c r="BA2272" t="s">
        <v>5479</v>
      </c>
      <c r="BE2272" s="3">
        <v>42458</v>
      </c>
      <c r="BF2272" s="1">
        <v>293500</v>
      </c>
      <c r="BG2272" t="s">
        <v>15238</v>
      </c>
      <c r="BH2272" s="1">
        <v>130.16</v>
      </c>
      <c r="BI2272" s="1">
        <v>299810</v>
      </c>
      <c r="BJ2272" s="3">
        <v>42458</v>
      </c>
      <c r="BK2272" t="s">
        <v>123</v>
      </c>
      <c r="BL2272" t="str">
        <f>"2016.202954"</f>
        <v>2016.202954</v>
      </c>
      <c r="BM2272" t="s">
        <v>2094</v>
      </c>
      <c r="BO2272" t="s">
        <v>15239</v>
      </c>
      <c r="BS2272">
        <v>30</v>
      </c>
      <c r="BW2272" t="str">
        <f>""</f>
        <v/>
      </c>
      <c r="CH2272" t="str">
        <f>""</f>
        <v/>
      </c>
      <c r="CS2272" t="str">
        <f>""</f>
        <v/>
      </c>
    </row>
    <row r="2273" spans="1:97" x14ac:dyDescent="0.25">
      <c r="A2273" t="s">
        <v>4174</v>
      </c>
      <c r="B2273" t="s">
        <v>8220</v>
      </c>
      <c r="C2273" t="s">
        <v>537</v>
      </c>
      <c r="D2273" t="s">
        <v>12203</v>
      </c>
      <c r="E2273" t="s">
        <v>15240</v>
      </c>
      <c r="F2273" t="s">
        <v>108</v>
      </c>
      <c r="H2273" t="s">
        <v>15241</v>
      </c>
      <c r="I2273" t="s">
        <v>110</v>
      </c>
      <c r="J2273" t="s">
        <v>111</v>
      </c>
      <c r="K2273" t="str">
        <f>"85225"</f>
        <v>85225</v>
      </c>
      <c r="L2273" t="s">
        <v>5416</v>
      </c>
      <c r="M2273" t="s">
        <v>15241</v>
      </c>
      <c r="N2273" t="s">
        <v>110</v>
      </c>
      <c r="O2273" t="s">
        <v>111</v>
      </c>
      <c r="P2273" t="str">
        <f>"85225-4672"</f>
        <v>85225-4672</v>
      </c>
      <c r="Q2273" t="s">
        <v>113</v>
      </c>
      <c r="R2273" t="str">
        <f>"302-65-020"</f>
        <v>302-65-020</v>
      </c>
      <c r="S2273" t="s">
        <v>15242</v>
      </c>
      <c r="T2273" t="s">
        <v>15243</v>
      </c>
      <c r="U2273">
        <v>2115</v>
      </c>
      <c r="V2273">
        <v>0</v>
      </c>
      <c r="W2273">
        <v>2</v>
      </c>
      <c r="X2273">
        <v>1965</v>
      </c>
      <c r="Z2273">
        <v>2</v>
      </c>
      <c r="AB2273">
        <v>0</v>
      </c>
      <c r="AC2273" t="s">
        <v>5188</v>
      </c>
      <c r="AD2273">
        <v>1</v>
      </c>
      <c r="AE2273" t="s">
        <v>5188</v>
      </c>
      <c r="AF2273">
        <v>0</v>
      </c>
      <c r="AG2273">
        <v>0</v>
      </c>
      <c r="AH2273" t="s">
        <v>116</v>
      </c>
      <c r="AI2273" s="1">
        <v>73491</v>
      </c>
      <c r="AJ2273" s="2">
        <v>0.25</v>
      </c>
      <c r="AK2273" s="1">
        <v>295491</v>
      </c>
      <c r="AL2273" t="s">
        <v>117</v>
      </c>
      <c r="AM2273" t="s">
        <v>5077</v>
      </c>
      <c r="AN2273">
        <v>8120</v>
      </c>
      <c r="AO2273">
        <v>0.19</v>
      </c>
      <c r="AP2273">
        <v>1</v>
      </c>
      <c r="AR2273">
        <v>1</v>
      </c>
      <c r="AS2273" s="1">
        <v>19200</v>
      </c>
      <c r="AT2273" s="1">
        <v>3840</v>
      </c>
      <c r="AU2273" s="1">
        <v>15360</v>
      </c>
      <c r="AV2273">
        <v>80</v>
      </c>
      <c r="AX2273" s="1">
        <v>948.44</v>
      </c>
      <c r="AY2273" t="s">
        <v>9839</v>
      </c>
      <c r="AZ2273" t="s">
        <v>2906</v>
      </c>
      <c r="BA2273" t="s">
        <v>2957</v>
      </c>
      <c r="BE2273" s="3">
        <v>42493</v>
      </c>
      <c r="BF2273" s="1">
        <v>203000</v>
      </c>
      <c r="BG2273" t="s">
        <v>15244</v>
      </c>
      <c r="BH2273" s="1">
        <v>95.98</v>
      </c>
      <c r="BI2273" s="1">
        <v>222000</v>
      </c>
      <c r="BJ2273" s="3">
        <v>43132</v>
      </c>
      <c r="BK2273" t="s">
        <v>123</v>
      </c>
      <c r="BL2273" t="str">
        <f>"2018.81524"</f>
        <v>2018.81524</v>
      </c>
      <c r="BM2273" t="s">
        <v>1848</v>
      </c>
      <c r="BN2273" t="s">
        <v>1282</v>
      </c>
      <c r="BO2273" t="s">
        <v>15245</v>
      </c>
      <c r="BP2273" t="s">
        <v>15246</v>
      </c>
      <c r="BR2273" t="s">
        <v>139</v>
      </c>
      <c r="BW2273" t="str">
        <f>""</f>
        <v/>
      </c>
      <c r="CH2273" t="str">
        <f>""</f>
        <v/>
      </c>
      <c r="CS2273" t="str">
        <f>""</f>
        <v/>
      </c>
    </row>
    <row r="2274" spans="1:97" x14ac:dyDescent="0.25">
      <c r="A2274" t="s">
        <v>4024</v>
      </c>
      <c r="B2274" t="s">
        <v>1445</v>
      </c>
      <c r="C2274" t="s">
        <v>15247</v>
      </c>
      <c r="D2274" t="s">
        <v>1445</v>
      </c>
      <c r="E2274" t="s">
        <v>15248</v>
      </c>
      <c r="F2274" t="s">
        <v>108</v>
      </c>
      <c r="H2274" t="s">
        <v>15249</v>
      </c>
      <c r="I2274" t="s">
        <v>390</v>
      </c>
      <c r="J2274" t="s">
        <v>111</v>
      </c>
      <c r="K2274" t="str">
        <f>"85016"</f>
        <v>85016</v>
      </c>
      <c r="L2274" t="s">
        <v>5687</v>
      </c>
      <c r="M2274" t="s">
        <v>15249</v>
      </c>
      <c r="N2274" t="s">
        <v>390</v>
      </c>
      <c r="O2274" t="s">
        <v>111</v>
      </c>
      <c r="P2274" t="str">
        <f>"85016-5143"</f>
        <v>85016-5143</v>
      </c>
      <c r="Q2274" t="s">
        <v>113</v>
      </c>
      <c r="R2274" t="str">
        <f>"163-23-089"</f>
        <v>163-23-089</v>
      </c>
      <c r="S2274" t="s">
        <v>15250</v>
      </c>
      <c r="T2274" t="s">
        <v>15250</v>
      </c>
      <c r="U2274">
        <v>1353</v>
      </c>
      <c r="V2274">
        <v>0</v>
      </c>
      <c r="W2274">
        <v>2</v>
      </c>
      <c r="X2274">
        <v>1956</v>
      </c>
      <c r="Z2274">
        <v>1</v>
      </c>
      <c r="AB2274">
        <v>0</v>
      </c>
      <c r="AC2274" t="s">
        <v>5188</v>
      </c>
      <c r="AD2274">
        <v>1</v>
      </c>
      <c r="AE2274" t="s">
        <v>5188</v>
      </c>
      <c r="AF2274">
        <v>0</v>
      </c>
      <c r="AG2274">
        <v>0</v>
      </c>
      <c r="AH2274" t="s">
        <v>5467</v>
      </c>
      <c r="AI2274" s="1">
        <v>73615</v>
      </c>
      <c r="AJ2274" s="2">
        <v>0.22</v>
      </c>
      <c r="AK2274" s="1">
        <v>339515</v>
      </c>
      <c r="AL2274" t="s">
        <v>117</v>
      </c>
      <c r="AM2274" t="s">
        <v>191</v>
      </c>
      <c r="AN2274">
        <v>7035</v>
      </c>
      <c r="AO2274">
        <v>0.16</v>
      </c>
      <c r="AP2274">
        <v>1</v>
      </c>
      <c r="AR2274">
        <v>1</v>
      </c>
      <c r="AS2274" s="1">
        <v>22050</v>
      </c>
      <c r="AT2274" s="1">
        <v>4410</v>
      </c>
      <c r="AU2274" s="1">
        <v>17640</v>
      </c>
      <c r="AV2274">
        <v>80</v>
      </c>
      <c r="AX2274" s="1">
        <v>2262.7800000000002</v>
      </c>
      <c r="AY2274" t="s">
        <v>8630</v>
      </c>
      <c r="AZ2274" t="s">
        <v>8631</v>
      </c>
      <c r="BA2274" t="s">
        <v>8412</v>
      </c>
      <c r="BB2274" s="3">
        <v>42212</v>
      </c>
      <c r="BC2274" s="1">
        <v>261500</v>
      </c>
      <c r="BD2274" t="s">
        <v>842</v>
      </c>
      <c r="BE2274" s="3">
        <v>42144</v>
      </c>
      <c r="BF2274" s="1">
        <v>261500</v>
      </c>
      <c r="BG2274" t="s">
        <v>15251</v>
      </c>
      <c r="BH2274" s="1">
        <v>193.27</v>
      </c>
      <c r="BI2274" s="1">
        <v>265900</v>
      </c>
      <c r="BJ2274" s="3">
        <v>42576</v>
      </c>
      <c r="BK2274" t="s">
        <v>123</v>
      </c>
      <c r="BL2274" t="str">
        <f>"2016.521598"</f>
        <v>2016.521598</v>
      </c>
      <c r="BM2274" t="s">
        <v>724</v>
      </c>
      <c r="BO2274" t="s">
        <v>15252</v>
      </c>
      <c r="BS2274">
        <v>30</v>
      </c>
      <c r="BW2274" t="str">
        <f>""</f>
        <v/>
      </c>
      <c r="CH2274" t="str">
        <f>""</f>
        <v/>
      </c>
      <c r="CS2274" t="str">
        <f>""</f>
        <v/>
      </c>
    </row>
    <row r="2275" spans="1:97" x14ac:dyDescent="0.25">
      <c r="A2275" t="s">
        <v>8500</v>
      </c>
      <c r="B2275" t="s">
        <v>5556</v>
      </c>
      <c r="C2275" t="s">
        <v>489</v>
      </c>
      <c r="D2275" t="s">
        <v>5556</v>
      </c>
      <c r="E2275" t="s">
        <v>15253</v>
      </c>
      <c r="F2275" t="s">
        <v>108</v>
      </c>
      <c r="H2275" t="s">
        <v>15254</v>
      </c>
      <c r="I2275" t="s">
        <v>632</v>
      </c>
      <c r="J2275" t="s">
        <v>111</v>
      </c>
      <c r="K2275" t="str">
        <f>"85388"</f>
        <v>85388</v>
      </c>
      <c r="L2275" t="s">
        <v>500</v>
      </c>
      <c r="M2275" t="s">
        <v>15254</v>
      </c>
      <c r="N2275" t="s">
        <v>632</v>
      </c>
      <c r="O2275" t="s">
        <v>111</v>
      </c>
      <c r="P2275" t="str">
        <f>"85388-7804"</f>
        <v>85388-7804</v>
      </c>
      <c r="Q2275" t="s">
        <v>113</v>
      </c>
      <c r="R2275" t="str">
        <f>"502-87-470"</f>
        <v>502-87-470</v>
      </c>
      <c r="S2275" t="s">
        <v>15255</v>
      </c>
      <c r="U2275">
        <v>2425</v>
      </c>
      <c r="V2275">
        <v>0</v>
      </c>
      <c r="W2275">
        <v>4</v>
      </c>
      <c r="X2275">
        <v>2004</v>
      </c>
      <c r="Z2275">
        <v>2</v>
      </c>
      <c r="AA2275" t="s">
        <v>26</v>
      </c>
      <c r="AB2275">
        <v>0</v>
      </c>
      <c r="AC2275" t="s">
        <v>115</v>
      </c>
      <c r="AD2275">
        <v>2</v>
      </c>
      <c r="AE2275" t="s">
        <v>115</v>
      </c>
      <c r="AF2275">
        <v>0</v>
      </c>
      <c r="AG2275">
        <v>0</v>
      </c>
      <c r="AH2275" t="s">
        <v>116</v>
      </c>
      <c r="AI2275" s="1">
        <v>81835</v>
      </c>
      <c r="AJ2275" s="2">
        <v>0.27</v>
      </c>
      <c r="AK2275" s="1">
        <v>304400</v>
      </c>
      <c r="AL2275" t="s">
        <v>117</v>
      </c>
      <c r="AM2275" t="s">
        <v>118</v>
      </c>
      <c r="AN2275">
        <v>7084</v>
      </c>
      <c r="AO2275">
        <v>0.16</v>
      </c>
      <c r="AR2275">
        <v>1</v>
      </c>
      <c r="AS2275" s="1">
        <v>21030</v>
      </c>
      <c r="AT2275" s="1">
        <v>4200</v>
      </c>
      <c r="AU2275" s="1">
        <v>16830</v>
      </c>
      <c r="AV2275">
        <v>80.03</v>
      </c>
      <c r="AX2275" s="1">
        <v>1632.16</v>
      </c>
      <c r="AY2275" t="s">
        <v>6262</v>
      </c>
      <c r="AZ2275" t="s">
        <v>6262</v>
      </c>
      <c r="BA2275" t="s">
        <v>5061</v>
      </c>
      <c r="BE2275" s="3">
        <v>41782</v>
      </c>
      <c r="BF2275" s="1">
        <v>218000</v>
      </c>
      <c r="BG2275" t="s">
        <v>15256</v>
      </c>
      <c r="BH2275" s="1">
        <v>89.9</v>
      </c>
      <c r="BI2275" s="1">
        <v>222565</v>
      </c>
      <c r="BJ2275" s="3">
        <v>42058</v>
      </c>
      <c r="BK2275" t="s">
        <v>123</v>
      </c>
      <c r="BL2275" t="str">
        <f>"2015.114733"</f>
        <v>2015.114733</v>
      </c>
      <c r="BM2275" t="s">
        <v>1185</v>
      </c>
      <c r="BO2275" t="s">
        <v>15257</v>
      </c>
      <c r="BS2275">
        <v>30</v>
      </c>
      <c r="BW2275" t="str">
        <f>""</f>
        <v/>
      </c>
      <c r="CH2275" t="str">
        <f>""</f>
        <v/>
      </c>
      <c r="CS2275" t="str">
        <f>""</f>
        <v/>
      </c>
    </row>
    <row r="2276" spans="1:97" x14ac:dyDescent="0.25">
      <c r="A2276" t="s">
        <v>1272</v>
      </c>
      <c r="B2276" t="s">
        <v>15258</v>
      </c>
      <c r="C2276" t="s">
        <v>1930</v>
      </c>
      <c r="D2276" t="s">
        <v>15258</v>
      </c>
      <c r="E2276" t="s">
        <v>15259</v>
      </c>
      <c r="F2276" t="s">
        <v>108</v>
      </c>
      <c r="H2276" t="s">
        <v>15260</v>
      </c>
      <c r="I2276" t="s">
        <v>1788</v>
      </c>
      <c r="J2276" t="s">
        <v>111</v>
      </c>
      <c r="K2276" t="str">
        <f>"85355"</f>
        <v>85355</v>
      </c>
      <c r="L2276" t="s">
        <v>168</v>
      </c>
      <c r="M2276" t="s">
        <v>15260</v>
      </c>
      <c r="N2276" t="s">
        <v>1788</v>
      </c>
      <c r="O2276" t="s">
        <v>111</v>
      </c>
      <c r="P2276" t="str">
        <f>"85355-4440"</f>
        <v>85355-4440</v>
      </c>
      <c r="Q2276" t="s">
        <v>113</v>
      </c>
      <c r="R2276" t="str">
        <f>"502-90-399"</f>
        <v>502-90-399</v>
      </c>
      <c r="S2276" t="s">
        <v>8290</v>
      </c>
      <c r="U2276">
        <v>2305</v>
      </c>
      <c r="V2276">
        <v>0</v>
      </c>
      <c r="W2276">
        <v>4</v>
      </c>
      <c r="X2276">
        <v>2014</v>
      </c>
      <c r="Z2276">
        <v>1</v>
      </c>
      <c r="AA2276" t="s">
        <v>26</v>
      </c>
      <c r="AB2276">
        <v>0</v>
      </c>
      <c r="AC2276" t="s">
        <v>115</v>
      </c>
      <c r="AD2276">
        <v>3</v>
      </c>
      <c r="AE2276" t="s">
        <v>115</v>
      </c>
      <c r="AF2276">
        <v>0</v>
      </c>
      <c r="AG2276">
        <v>0</v>
      </c>
      <c r="AH2276" t="s">
        <v>116</v>
      </c>
      <c r="AI2276" s="1">
        <v>105904</v>
      </c>
      <c r="AJ2276" s="2">
        <v>0.32</v>
      </c>
      <c r="AK2276" s="1">
        <v>328777</v>
      </c>
      <c r="AL2276" t="s">
        <v>117</v>
      </c>
      <c r="AM2276" t="s">
        <v>191</v>
      </c>
      <c r="AN2276">
        <v>7425</v>
      </c>
      <c r="AO2276">
        <v>0.17</v>
      </c>
      <c r="AR2276">
        <v>1</v>
      </c>
      <c r="AS2276" s="1">
        <v>25070</v>
      </c>
      <c r="AT2276" s="1">
        <v>5010</v>
      </c>
      <c r="AU2276" s="1">
        <v>20060</v>
      </c>
      <c r="AV2276">
        <v>80.02</v>
      </c>
      <c r="AX2276" s="1">
        <v>1532.38</v>
      </c>
      <c r="AY2276" t="s">
        <v>5972</v>
      </c>
      <c r="AZ2276" t="s">
        <v>5972</v>
      </c>
      <c r="BA2276" t="s">
        <v>5061</v>
      </c>
      <c r="BE2276" s="3">
        <v>42405</v>
      </c>
      <c r="BF2276" s="1">
        <v>258330</v>
      </c>
      <c r="BG2276" t="s">
        <v>2780</v>
      </c>
      <c r="BH2276" s="1">
        <v>112.07</v>
      </c>
      <c r="BI2276" s="1">
        <v>222873</v>
      </c>
      <c r="BJ2276" s="3">
        <v>42405</v>
      </c>
      <c r="BK2276" t="s">
        <v>123</v>
      </c>
      <c r="BL2276" t="str">
        <f>"2016.77057"</f>
        <v>2016.77057</v>
      </c>
      <c r="BM2276" t="s">
        <v>175</v>
      </c>
      <c r="BO2276" t="s">
        <v>15261</v>
      </c>
      <c r="BS2276">
        <v>30</v>
      </c>
      <c r="BW2276" t="str">
        <f>""</f>
        <v/>
      </c>
      <c r="CH2276" t="str">
        <f>""</f>
        <v/>
      </c>
      <c r="CS2276" t="str">
        <f>""</f>
        <v/>
      </c>
    </row>
    <row r="2277" spans="1:97" x14ac:dyDescent="0.25">
      <c r="A2277" t="s">
        <v>894</v>
      </c>
      <c r="B2277" t="s">
        <v>10868</v>
      </c>
      <c r="C2277" t="s">
        <v>328</v>
      </c>
      <c r="D2277" t="s">
        <v>10868</v>
      </c>
      <c r="E2277" t="s">
        <v>15262</v>
      </c>
      <c r="F2277" t="s">
        <v>108</v>
      </c>
      <c r="H2277" t="s">
        <v>15263</v>
      </c>
      <c r="I2277" t="s">
        <v>499</v>
      </c>
      <c r="J2277" t="s">
        <v>111</v>
      </c>
      <c r="K2277" t="str">
        <f>"85395"</f>
        <v>85395</v>
      </c>
      <c r="L2277" t="s">
        <v>7243</v>
      </c>
      <c r="M2277" t="s">
        <v>15263</v>
      </c>
      <c r="N2277" t="s">
        <v>499</v>
      </c>
      <c r="O2277" t="s">
        <v>111</v>
      </c>
      <c r="P2277" t="str">
        <f>"85395-8225"</f>
        <v>85395-8225</v>
      </c>
      <c r="Q2277" t="s">
        <v>113</v>
      </c>
      <c r="R2277" t="str">
        <f>"508-01-668"</f>
        <v>508-01-668</v>
      </c>
      <c r="S2277" t="s">
        <v>15264</v>
      </c>
      <c r="T2277" t="s">
        <v>15265</v>
      </c>
      <c r="U2277">
        <v>2906</v>
      </c>
      <c r="V2277">
        <v>0</v>
      </c>
      <c r="W2277">
        <v>4</v>
      </c>
      <c r="X2277">
        <v>2002</v>
      </c>
      <c r="Z2277">
        <v>2</v>
      </c>
      <c r="AA2277" t="s">
        <v>26</v>
      </c>
      <c r="AB2277">
        <v>0</v>
      </c>
      <c r="AC2277" t="s">
        <v>115</v>
      </c>
      <c r="AD2277">
        <v>3</v>
      </c>
      <c r="AE2277" t="s">
        <v>115</v>
      </c>
      <c r="AF2277">
        <v>0</v>
      </c>
      <c r="AG2277">
        <v>0</v>
      </c>
      <c r="AH2277" t="s">
        <v>116</v>
      </c>
      <c r="AI2277" s="1">
        <v>67409</v>
      </c>
      <c r="AJ2277" s="2">
        <v>0.18</v>
      </c>
      <c r="AK2277" s="1">
        <v>369561</v>
      </c>
      <c r="AL2277" t="s">
        <v>117</v>
      </c>
      <c r="AM2277" t="s">
        <v>118</v>
      </c>
      <c r="AN2277">
        <v>8542</v>
      </c>
      <c r="AO2277">
        <v>0.2</v>
      </c>
      <c r="AP2277">
        <v>1</v>
      </c>
      <c r="AR2277">
        <v>1</v>
      </c>
      <c r="AS2277" s="1">
        <v>26750</v>
      </c>
      <c r="AT2277" s="1">
        <v>5350</v>
      </c>
      <c r="AU2277" s="1">
        <v>21400</v>
      </c>
      <c r="AV2277">
        <v>80</v>
      </c>
      <c r="AX2277" s="1">
        <v>3381.54</v>
      </c>
      <c r="AY2277" t="s">
        <v>3020</v>
      </c>
      <c r="AZ2277" t="s">
        <v>3020</v>
      </c>
      <c r="BA2277" t="s">
        <v>3154</v>
      </c>
      <c r="BB2277" s="3">
        <v>42219</v>
      </c>
      <c r="BD2277" t="s">
        <v>240</v>
      </c>
      <c r="BE2277" s="3">
        <v>42123</v>
      </c>
      <c r="BF2277" s="1">
        <v>292500</v>
      </c>
      <c r="BG2277" t="s">
        <v>15266</v>
      </c>
      <c r="BH2277" s="1">
        <v>100.65</v>
      </c>
      <c r="BI2277" s="1">
        <v>302152</v>
      </c>
      <c r="BJ2277" s="3">
        <v>42123</v>
      </c>
      <c r="BK2277" t="s">
        <v>123</v>
      </c>
      <c r="BL2277" t="str">
        <f>"2015.297328"</f>
        <v>2015.297328</v>
      </c>
      <c r="BM2277" t="s">
        <v>3810</v>
      </c>
      <c r="BO2277" t="s">
        <v>15267</v>
      </c>
      <c r="BS2277">
        <v>30</v>
      </c>
      <c r="BW2277" t="str">
        <f>""</f>
        <v/>
      </c>
      <c r="CH2277" t="str">
        <f>""</f>
        <v/>
      </c>
      <c r="CS2277" t="str">
        <f>""</f>
        <v/>
      </c>
    </row>
    <row r="2278" spans="1:97" x14ac:dyDescent="0.25">
      <c r="A2278" t="s">
        <v>370</v>
      </c>
      <c r="B2278" t="s">
        <v>1421</v>
      </c>
      <c r="E2278" t="s">
        <v>15268</v>
      </c>
      <c r="F2278" t="s">
        <v>108</v>
      </c>
      <c r="H2278" t="s">
        <v>15269</v>
      </c>
      <c r="I2278" t="s">
        <v>453</v>
      </c>
      <c r="J2278" t="s">
        <v>111</v>
      </c>
      <c r="K2278" t="str">
        <f>"85345"</f>
        <v>85345</v>
      </c>
      <c r="L2278" t="s">
        <v>5138</v>
      </c>
      <c r="M2278" t="s">
        <v>15269</v>
      </c>
      <c r="N2278" t="s">
        <v>453</v>
      </c>
      <c r="O2278" t="s">
        <v>111</v>
      </c>
      <c r="P2278" t="str">
        <f>"85345-8454"</f>
        <v>85345-8454</v>
      </c>
      <c r="Q2278" t="s">
        <v>113</v>
      </c>
      <c r="R2278" t="str">
        <f>"143-20-532"</f>
        <v>143-20-532</v>
      </c>
      <c r="S2278" t="s">
        <v>15270</v>
      </c>
      <c r="T2278" t="s">
        <v>15271</v>
      </c>
      <c r="U2278">
        <v>2457</v>
      </c>
      <c r="V2278">
        <v>0</v>
      </c>
      <c r="W2278">
        <v>3</v>
      </c>
      <c r="X2278">
        <v>2001</v>
      </c>
      <c r="Z2278">
        <v>2</v>
      </c>
      <c r="AA2278" t="s">
        <v>26</v>
      </c>
      <c r="AB2278">
        <v>0</v>
      </c>
      <c r="AC2278" t="s">
        <v>115</v>
      </c>
      <c r="AD2278">
        <v>2</v>
      </c>
      <c r="AE2278" t="s">
        <v>115</v>
      </c>
      <c r="AF2278">
        <v>0</v>
      </c>
      <c r="AG2278">
        <v>0</v>
      </c>
      <c r="AH2278" t="s">
        <v>116</v>
      </c>
      <c r="AI2278" s="1">
        <v>77297</v>
      </c>
      <c r="AJ2278" s="2">
        <v>0.26</v>
      </c>
      <c r="AK2278" s="1">
        <v>298577</v>
      </c>
      <c r="AL2278" t="s">
        <v>117</v>
      </c>
      <c r="AM2278" t="s">
        <v>191</v>
      </c>
      <c r="AN2278">
        <v>7891</v>
      </c>
      <c r="AO2278">
        <v>0.18</v>
      </c>
      <c r="AP2278">
        <v>1</v>
      </c>
      <c r="AR2278">
        <v>1</v>
      </c>
      <c r="AS2278" s="1">
        <v>20600</v>
      </c>
      <c r="AT2278" s="1">
        <v>4120</v>
      </c>
      <c r="AU2278" s="1">
        <v>16480</v>
      </c>
      <c r="AV2278">
        <v>80</v>
      </c>
      <c r="AX2278" s="1">
        <v>2132.8200000000002</v>
      </c>
      <c r="AY2278" t="s">
        <v>6684</v>
      </c>
      <c r="AZ2278" t="s">
        <v>6684</v>
      </c>
      <c r="BA2278" t="s">
        <v>6007</v>
      </c>
      <c r="BE2278" s="3">
        <v>42207</v>
      </c>
      <c r="BF2278" s="1">
        <v>218000</v>
      </c>
      <c r="BG2278" t="s">
        <v>15272</v>
      </c>
      <c r="BH2278" s="1">
        <v>89.93</v>
      </c>
      <c r="BI2278" s="1">
        <v>221280</v>
      </c>
      <c r="BJ2278" s="3">
        <v>42683</v>
      </c>
      <c r="BK2278" t="s">
        <v>123</v>
      </c>
      <c r="BL2278" t="str">
        <f>"2016.826160"</f>
        <v>2016.826160</v>
      </c>
      <c r="BM2278" t="s">
        <v>2368</v>
      </c>
      <c r="BO2278" t="s">
        <v>15273</v>
      </c>
      <c r="BS2278">
        <v>30</v>
      </c>
      <c r="BW2278" t="str">
        <f>""</f>
        <v/>
      </c>
      <c r="CH2278" t="str">
        <f>""</f>
        <v/>
      </c>
      <c r="CS2278" t="str">
        <f>""</f>
        <v/>
      </c>
    </row>
    <row r="2279" spans="1:97" x14ac:dyDescent="0.25">
      <c r="A2279" t="s">
        <v>2580</v>
      </c>
      <c r="B2279" t="s">
        <v>15274</v>
      </c>
      <c r="C2279" t="s">
        <v>15275</v>
      </c>
      <c r="D2279" t="s">
        <v>15274</v>
      </c>
      <c r="E2279" t="s">
        <v>15276</v>
      </c>
      <c r="F2279" t="s">
        <v>108</v>
      </c>
      <c r="H2279" t="s">
        <v>15277</v>
      </c>
      <c r="I2279" t="s">
        <v>203</v>
      </c>
      <c r="J2279" t="s">
        <v>111</v>
      </c>
      <c r="K2279" t="str">
        <f>"85297"</f>
        <v>85297</v>
      </c>
      <c r="L2279" t="s">
        <v>7725</v>
      </c>
      <c r="M2279" t="s">
        <v>15277</v>
      </c>
      <c r="N2279" t="s">
        <v>203</v>
      </c>
      <c r="O2279" t="s">
        <v>111</v>
      </c>
      <c r="P2279" t="str">
        <f>"85297-8371"</f>
        <v>85297-8371</v>
      </c>
      <c r="Q2279" t="s">
        <v>113</v>
      </c>
      <c r="R2279" t="str">
        <f>"313-02-236"</f>
        <v>313-02-236</v>
      </c>
      <c r="S2279" t="s">
        <v>8020</v>
      </c>
      <c r="T2279" t="s">
        <v>8021</v>
      </c>
      <c r="U2279">
        <v>1988</v>
      </c>
      <c r="V2279">
        <v>0</v>
      </c>
      <c r="W2279">
        <v>4</v>
      </c>
      <c r="X2279">
        <v>2001</v>
      </c>
      <c r="Z2279">
        <v>2</v>
      </c>
      <c r="AB2279">
        <v>0</v>
      </c>
      <c r="AC2279" t="s">
        <v>115</v>
      </c>
      <c r="AD2279">
        <v>2</v>
      </c>
      <c r="AE2279" t="s">
        <v>115</v>
      </c>
      <c r="AF2279">
        <v>0</v>
      </c>
      <c r="AG2279">
        <v>0</v>
      </c>
      <c r="AH2279" t="s">
        <v>116</v>
      </c>
      <c r="AI2279" s="1">
        <v>82961</v>
      </c>
      <c r="AJ2279" s="2">
        <v>0.27</v>
      </c>
      <c r="AK2279" s="1">
        <v>312661</v>
      </c>
      <c r="AL2279" t="s">
        <v>117</v>
      </c>
      <c r="AM2279" t="s">
        <v>288</v>
      </c>
      <c r="AN2279">
        <v>5885</v>
      </c>
      <c r="AO2279">
        <v>0.14000000000000001</v>
      </c>
      <c r="AP2279">
        <v>1</v>
      </c>
      <c r="AR2279">
        <v>1</v>
      </c>
      <c r="AS2279" s="1">
        <v>20980</v>
      </c>
      <c r="AT2279" s="1">
        <v>4190</v>
      </c>
      <c r="AU2279" s="1">
        <v>16790</v>
      </c>
      <c r="AV2279">
        <v>80.03</v>
      </c>
      <c r="AX2279" s="1">
        <v>1688.14</v>
      </c>
      <c r="AY2279" t="s">
        <v>289</v>
      </c>
      <c r="AZ2279" t="s">
        <v>289</v>
      </c>
      <c r="BA2279" t="s">
        <v>290</v>
      </c>
      <c r="BE2279" s="3">
        <v>41912</v>
      </c>
      <c r="BF2279" s="1">
        <v>224900</v>
      </c>
      <c r="BG2279" t="s">
        <v>15278</v>
      </c>
      <c r="BH2279" s="1">
        <v>113.13</v>
      </c>
      <c r="BI2279" s="1">
        <v>229700</v>
      </c>
      <c r="BJ2279" s="3">
        <v>41912</v>
      </c>
      <c r="BK2279" t="s">
        <v>123</v>
      </c>
      <c r="BL2279" t="str">
        <f>"2014.648318"</f>
        <v>2014.648318</v>
      </c>
      <c r="BM2279" t="s">
        <v>1192</v>
      </c>
      <c r="BO2279" t="s">
        <v>15279</v>
      </c>
      <c r="BS2279">
        <v>30</v>
      </c>
      <c r="BW2279" t="str">
        <f>""</f>
        <v/>
      </c>
      <c r="CH2279" t="str">
        <f>""</f>
        <v/>
      </c>
      <c r="CS2279" t="str">
        <f>""</f>
        <v/>
      </c>
    </row>
    <row r="2280" spans="1:97" x14ac:dyDescent="0.25">
      <c r="A2280" t="s">
        <v>996</v>
      </c>
      <c r="B2280" t="s">
        <v>15280</v>
      </c>
      <c r="C2280" t="s">
        <v>2616</v>
      </c>
      <c r="D2280" t="s">
        <v>15280</v>
      </c>
      <c r="E2280" t="s">
        <v>15281</v>
      </c>
      <c r="F2280" t="s">
        <v>108</v>
      </c>
      <c r="H2280" t="s">
        <v>15282</v>
      </c>
      <c r="I2280" t="s">
        <v>5387</v>
      </c>
      <c r="J2280" t="s">
        <v>111</v>
      </c>
      <c r="K2280" t="str">
        <f>"85282"</f>
        <v>85282</v>
      </c>
      <c r="L2280" t="s">
        <v>5408</v>
      </c>
      <c r="M2280" t="s">
        <v>15282</v>
      </c>
      <c r="N2280" t="s">
        <v>5387</v>
      </c>
      <c r="O2280" t="s">
        <v>111</v>
      </c>
      <c r="P2280" t="str">
        <f>"85282-4844"</f>
        <v>85282-4844</v>
      </c>
      <c r="Q2280" t="s">
        <v>113</v>
      </c>
      <c r="R2280" t="str">
        <f>"123-46-055"</f>
        <v>123-46-055</v>
      </c>
      <c r="S2280" t="s">
        <v>11197</v>
      </c>
      <c r="U2280">
        <v>1498</v>
      </c>
      <c r="V2280">
        <v>0</v>
      </c>
      <c r="W2280">
        <v>2</v>
      </c>
      <c r="X2280">
        <v>1971</v>
      </c>
      <c r="Z2280">
        <v>1</v>
      </c>
      <c r="AB2280">
        <v>0</v>
      </c>
      <c r="AC2280" t="s">
        <v>5188</v>
      </c>
      <c r="AD2280">
        <v>2</v>
      </c>
      <c r="AE2280" t="s">
        <v>5188</v>
      </c>
      <c r="AF2280">
        <v>0</v>
      </c>
      <c r="AG2280">
        <v>0</v>
      </c>
      <c r="AH2280" t="s">
        <v>116</v>
      </c>
      <c r="AI2280" s="1">
        <v>81426</v>
      </c>
      <c r="AJ2280" s="2">
        <v>0.28000000000000003</v>
      </c>
      <c r="AK2280" s="1">
        <v>290833</v>
      </c>
      <c r="AL2280" t="s">
        <v>117</v>
      </c>
      <c r="AM2280" t="s">
        <v>191</v>
      </c>
      <c r="AN2280">
        <v>7701</v>
      </c>
      <c r="AO2280">
        <v>0.18</v>
      </c>
      <c r="AP2280">
        <v>1</v>
      </c>
      <c r="AR2280">
        <v>1</v>
      </c>
      <c r="AS2280" s="1">
        <v>20010</v>
      </c>
      <c r="AT2280" s="1">
        <v>4000</v>
      </c>
      <c r="AU2280" s="1">
        <v>16010</v>
      </c>
      <c r="AV2280">
        <v>80.010000000000005</v>
      </c>
      <c r="AX2280" s="1">
        <v>1504.72</v>
      </c>
      <c r="AY2280" t="s">
        <v>9517</v>
      </c>
      <c r="AZ2280" t="s">
        <v>9518</v>
      </c>
      <c r="BA2280" t="s">
        <v>9519</v>
      </c>
      <c r="BE2280" s="3">
        <v>42524</v>
      </c>
      <c r="BF2280" s="1">
        <v>205000</v>
      </c>
      <c r="BG2280" t="s">
        <v>15283</v>
      </c>
      <c r="BH2280" s="1">
        <v>136.85</v>
      </c>
      <c r="BI2280" s="1">
        <v>209407</v>
      </c>
      <c r="BJ2280" s="3">
        <v>42524</v>
      </c>
      <c r="BK2280" t="s">
        <v>123</v>
      </c>
      <c r="BL2280" t="str">
        <f>"2016.387007"</f>
        <v>2016.387007</v>
      </c>
      <c r="BM2280" t="s">
        <v>3810</v>
      </c>
      <c r="BO2280" t="s">
        <v>15284</v>
      </c>
      <c r="BS2280">
        <v>30</v>
      </c>
      <c r="BW2280" t="str">
        <f>""</f>
        <v/>
      </c>
      <c r="CH2280" t="str">
        <f>""</f>
        <v/>
      </c>
      <c r="CS2280" t="str">
        <f>""</f>
        <v/>
      </c>
    </row>
    <row r="2281" spans="1:97" x14ac:dyDescent="0.25">
      <c r="A2281" t="s">
        <v>265</v>
      </c>
      <c r="B2281" t="s">
        <v>15285</v>
      </c>
      <c r="E2281" t="s">
        <v>15286</v>
      </c>
      <c r="F2281" t="s">
        <v>108</v>
      </c>
      <c r="H2281" t="s">
        <v>15287</v>
      </c>
      <c r="I2281" t="s">
        <v>390</v>
      </c>
      <c r="J2281" t="s">
        <v>111</v>
      </c>
      <c r="K2281" t="str">
        <f>"85044"</f>
        <v>85044</v>
      </c>
      <c r="L2281" t="s">
        <v>6923</v>
      </c>
      <c r="M2281" t="s">
        <v>15287</v>
      </c>
      <c r="N2281" t="s">
        <v>390</v>
      </c>
      <c r="O2281" t="s">
        <v>111</v>
      </c>
      <c r="P2281" t="str">
        <f>"85044-3122"</f>
        <v>85044-3122</v>
      </c>
      <c r="Q2281" t="s">
        <v>113</v>
      </c>
      <c r="R2281" t="str">
        <f>"301-55-620"</f>
        <v>301-55-620</v>
      </c>
      <c r="S2281" t="s">
        <v>15288</v>
      </c>
      <c r="U2281">
        <v>1948</v>
      </c>
      <c r="V2281">
        <v>0</v>
      </c>
      <c r="W2281">
        <v>2</v>
      </c>
      <c r="X2281">
        <v>1976</v>
      </c>
      <c r="Z2281">
        <v>1</v>
      </c>
      <c r="AA2281" t="s">
        <v>26</v>
      </c>
      <c r="AB2281">
        <v>0</v>
      </c>
      <c r="AC2281" t="s">
        <v>115</v>
      </c>
      <c r="AD2281">
        <v>2</v>
      </c>
      <c r="AE2281" t="s">
        <v>115</v>
      </c>
      <c r="AF2281">
        <v>0</v>
      </c>
      <c r="AG2281">
        <v>0</v>
      </c>
      <c r="AH2281" t="s">
        <v>116</v>
      </c>
      <c r="AI2281" s="1">
        <v>19027</v>
      </c>
      <c r="AJ2281" s="2">
        <v>0.06</v>
      </c>
      <c r="AK2281" s="1">
        <v>334027</v>
      </c>
      <c r="AL2281" t="s">
        <v>117</v>
      </c>
      <c r="AM2281" t="s">
        <v>191</v>
      </c>
      <c r="AN2281">
        <v>7775</v>
      </c>
      <c r="AO2281">
        <v>0.18</v>
      </c>
      <c r="AP2281">
        <v>1</v>
      </c>
      <c r="AR2281">
        <v>1</v>
      </c>
      <c r="AS2281" s="1">
        <v>23950</v>
      </c>
      <c r="AT2281" s="1">
        <v>4790</v>
      </c>
      <c r="AU2281" s="1">
        <v>19160</v>
      </c>
      <c r="AV2281">
        <v>80</v>
      </c>
      <c r="AX2281" s="1">
        <v>2062.36</v>
      </c>
      <c r="AY2281" t="s">
        <v>11872</v>
      </c>
      <c r="AZ2281" t="s">
        <v>7255</v>
      </c>
      <c r="BA2281" t="s">
        <v>5328</v>
      </c>
      <c r="BE2281" s="3">
        <v>42388</v>
      </c>
      <c r="BF2281" s="1">
        <v>269900</v>
      </c>
      <c r="BG2281" t="s">
        <v>15289</v>
      </c>
      <c r="BH2281" s="1">
        <v>138.55000000000001</v>
      </c>
      <c r="BI2281" s="1">
        <v>315000</v>
      </c>
      <c r="BJ2281" s="3">
        <v>43364</v>
      </c>
      <c r="BK2281" t="s">
        <v>123</v>
      </c>
      <c r="BL2281" t="str">
        <f>"2018.711216"</f>
        <v>2018.711216</v>
      </c>
      <c r="BM2281" t="s">
        <v>7228</v>
      </c>
      <c r="BN2281" t="s">
        <v>7229</v>
      </c>
      <c r="BO2281" t="s">
        <v>15286</v>
      </c>
      <c r="BR2281" t="s">
        <v>139</v>
      </c>
      <c r="BW2281" t="str">
        <f>""</f>
        <v/>
      </c>
      <c r="CH2281" t="str">
        <f>""</f>
        <v/>
      </c>
      <c r="CS2281" t="str">
        <f>""</f>
        <v/>
      </c>
    </row>
    <row r="2282" spans="1:97" x14ac:dyDescent="0.25">
      <c r="A2282" t="s">
        <v>1366</v>
      </c>
      <c r="B2282" t="s">
        <v>12228</v>
      </c>
      <c r="E2282" t="s">
        <v>15290</v>
      </c>
      <c r="F2282" t="s">
        <v>108</v>
      </c>
      <c r="H2282" t="s">
        <v>15291</v>
      </c>
      <c r="I2282" t="s">
        <v>110</v>
      </c>
      <c r="J2282" t="s">
        <v>111</v>
      </c>
      <c r="K2282" t="str">
        <f>"85224"</f>
        <v>85224</v>
      </c>
      <c r="L2282" t="s">
        <v>5074</v>
      </c>
      <c r="M2282" t="s">
        <v>15291</v>
      </c>
      <c r="N2282" t="s">
        <v>110</v>
      </c>
      <c r="O2282" t="s">
        <v>111</v>
      </c>
      <c r="P2282" t="str">
        <f>"85224-8683"</f>
        <v>85224-8683</v>
      </c>
      <c r="Q2282" t="s">
        <v>113</v>
      </c>
      <c r="R2282" t="str">
        <f>"302-97-535"</f>
        <v>302-97-535</v>
      </c>
      <c r="S2282" t="s">
        <v>15292</v>
      </c>
      <c r="T2282" t="s">
        <v>15293</v>
      </c>
      <c r="U2282">
        <v>1386</v>
      </c>
      <c r="V2282">
        <v>0</v>
      </c>
      <c r="W2282">
        <v>3</v>
      </c>
      <c r="X2282">
        <v>1993</v>
      </c>
      <c r="Z2282">
        <v>1</v>
      </c>
      <c r="AB2282">
        <v>0</v>
      </c>
      <c r="AC2282" t="s">
        <v>115</v>
      </c>
      <c r="AD2282">
        <v>2</v>
      </c>
      <c r="AE2282" t="s">
        <v>115</v>
      </c>
      <c r="AF2282">
        <v>0</v>
      </c>
      <c r="AG2282">
        <v>0</v>
      </c>
      <c r="AH2282" t="s">
        <v>116</v>
      </c>
      <c r="AI2282" s="1">
        <v>50898</v>
      </c>
      <c r="AJ2282" s="2">
        <v>0.18</v>
      </c>
      <c r="AK2282" s="1">
        <v>283323</v>
      </c>
      <c r="AL2282" t="s">
        <v>117</v>
      </c>
      <c r="AM2282" t="s">
        <v>118</v>
      </c>
      <c r="AN2282">
        <v>6033</v>
      </c>
      <c r="AO2282">
        <v>0.14000000000000001</v>
      </c>
      <c r="AP2282">
        <v>1</v>
      </c>
      <c r="AR2282">
        <v>1</v>
      </c>
      <c r="AS2282" s="1">
        <v>19770</v>
      </c>
      <c r="AT2282" s="1">
        <v>3950</v>
      </c>
      <c r="AU2282" s="1">
        <v>15820</v>
      </c>
      <c r="AV2282">
        <v>80.02</v>
      </c>
      <c r="AX2282" s="1">
        <v>1411.7</v>
      </c>
      <c r="AY2282" t="s">
        <v>5722</v>
      </c>
      <c r="AZ2282" t="s">
        <v>5078</v>
      </c>
      <c r="BA2282" t="s">
        <v>2957</v>
      </c>
      <c r="BE2282" s="3">
        <v>41718</v>
      </c>
      <c r="BF2282" s="1">
        <v>189900</v>
      </c>
      <c r="BG2282" t="s">
        <v>15294</v>
      </c>
      <c r="BH2282" s="1">
        <v>137.01</v>
      </c>
      <c r="BI2282" s="1">
        <v>232425</v>
      </c>
      <c r="BJ2282" s="3">
        <v>42656</v>
      </c>
      <c r="BK2282" t="s">
        <v>123</v>
      </c>
      <c r="BL2282" t="str">
        <f>"2016.750078"</f>
        <v>2016.750078</v>
      </c>
      <c r="BM2282" t="s">
        <v>135</v>
      </c>
      <c r="BO2282" t="s">
        <v>15295</v>
      </c>
      <c r="BS2282">
        <v>30</v>
      </c>
      <c r="BW2282" t="str">
        <f>""</f>
        <v/>
      </c>
      <c r="CH2282" t="str">
        <f>""</f>
        <v/>
      </c>
      <c r="CS2282" t="str">
        <f>""</f>
        <v/>
      </c>
    </row>
    <row r="2283" spans="1:97" x14ac:dyDescent="0.25">
      <c r="A2283" t="s">
        <v>886</v>
      </c>
      <c r="B2283" t="s">
        <v>15296</v>
      </c>
      <c r="C2283" t="s">
        <v>15297</v>
      </c>
      <c r="D2283" t="s">
        <v>15296</v>
      </c>
      <c r="E2283" t="s">
        <v>15298</v>
      </c>
      <c r="F2283" t="s">
        <v>108</v>
      </c>
      <c r="H2283" t="s">
        <v>15299</v>
      </c>
      <c r="I2283" t="s">
        <v>499</v>
      </c>
      <c r="J2283" t="s">
        <v>111</v>
      </c>
      <c r="K2283" t="str">
        <f>"85338"</f>
        <v>85338</v>
      </c>
      <c r="L2283" t="s">
        <v>6316</v>
      </c>
      <c r="M2283" t="s">
        <v>15299</v>
      </c>
      <c r="N2283" t="s">
        <v>499</v>
      </c>
      <c r="O2283" t="s">
        <v>111</v>
      </c>
      <c r="P2283" t="str">
        <f>"85338-2571"</f>
        <v>85338-2571</v>
      </c>
      <c r="Q2283" t="s">
        <v>113</v>
      </c>
      <c r="R2283" t="str">
        <f>"502-39-434"</f>
        <v>502-39-434</v>
      </c>
      <c r="S2283" t="s">
        <v>15300</v>
      </c>
      <c r="T2283" t="s">
        <v>6318</v>
      </c>
      <c r="U2283">
        <v>2612</v>
      </c>
      <c r="V2283">
        <v>0</v>
      </c>
      <c r="W2283">
        <v>4</v>
      </c>
      <c r="X2283">
        <v>2008</v>
      </c>
      <c r="Z2283">
        <v>2</v>
      </c>
      <c r="AB2283">
        <v>0</v>
      </c>
      <c r="AC2283" t="s">
        <v>115</v>
      </c>
      <c r="AD2283">
        <v>2</v>
      </c>
      <c r="AE2283" t="s">
        <v>115</v>
      </c>
      <c r="AF2283">
        <v>0</v>
      </c>
      <c r="AG2283">
        <v>0</v>
      </c>
      <c r="AH2283" t="s">
        <v>116</v>
      </c>
      <c r="AI2283" s="1">
        <v>41002</v>
      </c>
      <c r="AJ2283" s="2">
        <v>0.14000000000000001</v>
      </c>
      <c r="AK2283" s="1">
        <v>301484</v>
      </c>
      <c r="AL2283" t="s">
        <v>117</v>
      </c>
      <c r="AM2283" t="s">
        <v>118</v>
      </c>
      <c r="AN2283">
        <v>6050</v>
      </c>
      <c r="AO2283">
        <v>0.14000000000000001</v>
      </c>
      <c r="AR2283">
        <v>1</v>
      </c>
      <c r="AS2283" s="1">
        <v>20530</v>
      </c>
      <c r="AT2283" s="1">
        <v>4100</v>
      </c>
      <c r="AU2283" s="1">
        <v>16430</v>
      </c>
      <c r="AV2283">
        <v>80.03</v>
      </c>
      <c r="AX2283" s="1">
        <v>1889.16</v>
      </c>
      <c r="AY2283" t="s">
        <v>6319</v>
      </c>
      <c r="AZ2283" t="s">
        <v>6319</v>
      </c>
      <c r="BA2283" t="s">
        <v>218</v>
      </c>
      <c r="BE2283" s="3">
        <v>42489</v>
      </c>
      <c r="BF2283" s="1">
        <v>255000</v>
      </c>
      <c r="BG2283" t="s">
        <v>15301</v>
      </c>
      <c r="BH2283" s="1">
        <v>97.63</v>
      </c>
      <c r="BI2283" s="1">
        <v>260482</v>
      </c>
      <c r="BJ2283" s="3">
        <v>42489</v>
      </c>
      <c r="BK2283" t="s">
        <v>123</v>
      </c>
      <c r="BL2283" t="str">
        <f>"2016.293525"</f>
        <v>2016.293525</v>
      </c>
      <c r="BM2283" t="s">
        <v>7129</v>
      </c>
      <c r="BO2283" t="s">
        <v>15302</v>
      </c>
      <c r="BS2283">
        <v>30</v>
      </c>
      <c r="BW2283" t="str">
        <f>""</f>
        <v/>
      </c>
      <c r="CH2283" t="str">
        <f>""</f>
        <v/>
      </c>
      <c r="CS2283" t="str">
        <f>""</f>
        <v/>
      </c>
    </row>
    <row r="2284" spans="1:97" x14ac:dyDescent="0.25">
      <c r="A2284" t="s">
        <v>7797</v>
      </c>
      <c r="B2284" t="s">
        <v>7465</v>
      </c>
      <c r="C2284" t="s">
        <v>484</v>
      </c>
      <c r="D2284" t="s">
        <v>7465</v>
      </c>
      <c r="E2284" t="s">
        <v>15303</v>
      </c>
      <c r="F2284" t="s">
        <v>108</v>
      </c>
      <c r="H2284" t="s">
        <v>15304</v>
      </c>
      <c r="I2284" t="s">
        <v>203</v>
      </c>
      <c r="J2284" t="s">
        <v>111</v>
      </c>
      <c r="K2284" t="str">
        <f>"85233"</f>
        <v>85233</v>
      </c>
      <c r="L2284" t="s">
        <v>1070</v>
      </c>
      <c r="M2284" t="s">
        <v>15304</v>
      </c>
      <c r="N2284" t="s">
        <v>203</v>
      </c>
      <c r="O2284" t="s">
        <v>111</v>
      </c>
      <c r="P2284" t="str">
        <f>"85233-8912"</f>
        <v>85233-8912</v>
      </c>
      <c r="Q2284" t="s">
        <v>113</v>
      </c>
      <c r="R2284" t="str">
        <f>"302-83-372"</f>
        <v>302-83-372</v>
      </c>
      <c r="S2284" t="s">
        <v>15305</v>
      </c>
      <c r="T2284" t="s">
        <v>15306</v>
      </c>
      <c r="U2284">
        <v>1702</v>
      </c>
      <c r="V2284">
        <v>0</v>
      </c>
      <c r="W2284">
        <v>3</v>
      </c>
      <c r="X2284">
        <v>1995</v>
      </c>
      <c r="Z2284">
        <v>1</v>
      </c>
      <c r="AB2284">
        <v>0</v>
      </c>
      <c r="AC2284" t="s">
        <v>115</v>
      </c>
      <c r="AD2284">
        <v>2</v>
      </c>
      <c r="AE2284" t="s">
        <v>115</v>
      </c>
      <c r="AF2284">
        <v>0</v>
      </c>
      <c r="AG2284">
        <v>0</v>
      </c>
      <c r="AH2284" t="s">
        <v>116</v>
      </c>
      <c r="AI2284" s="1">
        <v>71712</v>
      </c>
      <c r="AJ2284" s="2">
        <v>0.22</v>
      </c>
      <c r="AK2284" s="1">
        <v>321712</v>
      </c>
      <c r="AL2284" t="s">
        <v>117</v>
      </c>
      <c r="AM2284" t="s">
        <v>191</v>
      </c>
      <c r="AN2284">
        <v>6702</v>
      </c>
      <c r="AO2284">
        <v>0.15</v>
      </c>
      <c r="AP2284">
        <v>1</v>
      </c>
      <c r="AR2284">
        <v>1</v>
      </c>
      <c r="AS2284" s="1">
        <v>21930</v>
      </c>
      <c r="AT2284" s="1">
        <v>4380</v>
      </c>
      <c r="AU2284" s="1">
        <v>17550</v>
      </c>
      <c r="AV2284">
        <v>80.03</v>
      </c>
      <c r="AX2284" s="1">
        <v>1571.3</v>
      </c>
      <c r="AY2284" t="s">
        <v>2905</v>
      </c>
      <c r="AZ2284" t="s">
        <v>2906</v>
      </c>
      <c r="BA2284" t="s">
        <v>303</v>
      </c>
      <c r="BE2284" s="3">
        <v>42102</v>
      </c>
      <c r="BF2284" s="1">
        <v>250000</v>
      </c>
      <c r="BG2284" t="s">
        <v>15307</v>
      </c>
      <c r="BH2284" s="1">
        <v>146.88999999999999</v>
      </c>
      <c r="BI2284" s="1">
        <v>250000</v>
      </c>
      <c r="BJ2284" s="3">
        <v>42102</v>
      </c>
      <c r="BK2284" t="s">
        <v>123</v>
      </c>
      <c r="BL2284" t="str">
        <f>"2015.238995"</f>
        <v>2015.238995</v>
      </c>
      <c r="BM2284" t="s">
        <v>5747</v>
      </c>
      <c r="BO2284" t="s">
        <v>15308</v>
      </c>
      <c r="BS2284">
        <v>30</v>
      </c>
      <c r="BW2284" t="str">
        <f>""</f>
        <v/>
      </c>
      <c r="CH2284" t="str">
        <f>""</f>
        <v/>
      </c>
      <c r="CS2284" t="str">
        <f>""</f>
        <v/>
      </c>
    </row>
    <row r="2285" spans="1:97" x14ac:dyDescent="0.25">
      <c r="A2285" t="s">
        <v>1109</v>
      </c>
      <c r="B2285" t="s">
        <v>15309</v>
      </c>
      <c r="C2285" t="s">
        <v>2427</v>
      </c>
      <c r="D2285" t="s">
        <v>15309</v>
      </c>
      <c r="E2285" t="s">
        <v>15310</v>
      </c>
      <c r="F2285" t="s">
        <v>108</v>
      </c>
      <c r="H2285" t="s">
        <v>15311</v>
      </c>
      <c r="I2285" t="s">
        <v>499</v>
      </c>
      <c r="J2285" t="s">
        <v>111</v>
      </c>
      <c r="K2285" t="str">
        <f>"85338"</f>
        <v>85338</v>
      </c>
      <c r="L2285" t="s">
        <v>2765</v>
      </c>
      <c r="M2285" t="s">
        <v>15311</v>
      </c>
      <c r="N2285" t="s">
        <v>499</v>
      </c>
      <c r="O2285" t="s">
        <v>111</v>
      </c>
      <c r="P2285" t="str">
        <f>"85338-5938"</f>
        <v>85338-5938</v>
      </c>
      <c r="Q2285" t="s">
        <v>113</v>
      </c>
      <c r="R2285" t="str">
        <f>"502-50-019-K"</f>
        <v>502-50-019-K</v>
      </c>
      <c r="U2285">
        <v>2649</v>
      </c>
      <c r="V2285">
        <v>0</v>
      </c>
      <c r="W2285">
        <v>4</v>
      </c>
      <c r="X2285">
        <v>2006</v>
      </c>
      <c r="Z2285">
        <v>1</v>
      </c>
      <c r="AA2285" t="s">
        <v>26</v>
      </c>
      <c r="AB2285">
        <v>0</v>
      </c>
      <c r="AC2285" t="s">
        <v>115</v>
      </c>
      <c r="AD2285">
        <v>3</v>
      </c>
      <c r="AE2285" t="s">
        <v>115</v>
      </c>
      <c r="AF2285">
        <v>0</v>
      </c>
      <c r="AG2285">
        <v>0</v>
      </c>
      <c r="AH2285" t="s">
        <v>116</v>
      </c>
      <c r="AI2285" s="1">
        <v>46227</v>
      </c>
      <c r="AJ2285" s="2">
        <v>0.11</v>
      </c>
      <c r="AK2285" s="1">
        <v>407673</v>
      </c>
      <c r="AL2285" t="s">
        <v>117</v>
      </c>
      <c r="AM2285" t="s">
        <v>376</v>
      </c>
      <c r="AN2285">
        <v>43561</v>
      </c>
      <c r="AO2285">
        <v>1</v>
      </c>
      <c r="AR2285">
        <v>1</v>
      </c>
      <c r="AS2285" s="1">
        <v>28950</v>
      </c>
      <c r="AT2285" s="1">
        <v>5790</v>
      </c>
      <c r="AU2285" s="1">
        <v>23160</v>
      </c>
      <c r="AV2285">
        <v>80</v>
      </c>
      <c r="AX2285" s="1">
        <v>3131.42</v>
      </c>
      <c r="AY2285" t="s">
        <v>2767</v>
      </c>
      <c r="AZ2285" t="s">
        <v>2767</v>
      </c>
      <c r="BA2285" t="s">
        <v>1247</v>
      </c>
      <c r="BB2285" s="3">
        <v>41926</v>
      </c>
      <c r="BD2285" t="s">
        <v>240</v>
      </c>
      <c r="BE2285" s="3">
        <v>41926</v>
      </c>
      <c r="BF2285" s="1">
        <v>349900</v>
      </c>
      <c r="BG2285" t="s">
        <v>15312</v>
      </c>
      <c r="BH2285" s="1">
        <v>132.09</v>
      </c>
      <c r="BI2285" s="1">
        <v>361446</v>
      </c>
      <c r="BJ2285" s="3">
        <v>41926</v>
      </c>
      <c r="BK2285" t="s">
        <v>123</v>
      </c>
      <c r="BL2285" t="str">
        <f>"2014.680231"</f>
        <v>2014.680231</v>
      </c>
      <c r="BM2285" t="s">
        <v>2489</v>
      </c>
      <c r="BO2285" t="s">
        <v>15313</v>
      </c>
      <c r="BS2285">
        <v>30</v>
      </c>
      <c r="BW2285" t="str">
        <f>""</f>
        <v/>
      </c>
      <c r="CH2285" t="str">
        <f>""</f>
        <v/>
      </c>
      <c r="CS2285" t="str">
        <f>""</f>
        <v/>
      </c>
    </row>
    <row r="2286" spans="1:97" x14ac:dyDescent="0.25">
      <c r="A2286" t="s">
        <v>11648</v>
      </c>
      <c r="B2286" t="s">
        <v>15314</v>
      </c>
      <c r="C2286" t="s">
        <v>15315</v>
      </c>
      <c r="D2286" t="s">
        <v>6405</v>
      </c>
      <c r="E2286" t="s">
        <v>15316</v>
      </c>
      <c r="F2286" t="s">
        <v>108</v>
      </c>
      <c r="H2286" t="s">
        <v>15317</v>
      </c>
      <c r="I2286" t="s">
        <v>499</v>
      </c>
      <c r="J2286" t="s">
        <v>111</v>
      </c>
      <c r="K2286" t="str">
        <f>"85338"</f>
        <v>85338</v>
      </c>
      <c r="L2286" t="s">
        <v>6788</v>
      </c>
      <c r="M2286" t="s">
        <v>15317</v>
      </c>
      <c r="N2286" t="s">
        <v>499</v>
      </c>
      <c r="O2286" t="s">
        <v>111</v>
      </c>
      <c r="P2286" t="str">
        <f>"85338-1993"</f>
        <v>85338-1993</v>
      </c>
      <c r="Q2286" t="s">
        <v>113</v>
      </c>
      <c r="R2286" t="str">
        <f>"502-43-632"</f>
        <v>502-43-632</v>
      </c>
      <c r="S2286" t="s">
        <v>15318</v>
      </c>
      <c r="T2286" t="s">
        <v>15319</v>
      </c>
      <c r="U2286">
        <v>2549</v>
      </c>
      <c r="V2286">
        <v>0</v>
      </c>
      <c r="W2286">
        <v>4</v>
      </c>
      <c r="X2286">
        <v>2004</v>
      </c>
      <c r="Z2286">
        <v>2</v>
      </c>
      <c r="AA2286" t="s">
        <v>26</v>
      </c>
      <c r="AB2286">
        <v>0</v>
      </c>
      <c r="AC2286" t="s">
        <v>115</v>
      </c>
      <c r="AD2286">
        <v>2</v>
      </c>
      <c r="AE2286" t="s">
        <v>115</v>
      </c>
      <c r="AF2286">
        <v>0</v>
      </c>
      <c r="AG2286">
        <v>0</v>
      </c>
      <c r="AH2286" t="s">
        <v>116</v>
      </c>
      <c r="AI2286" s="1">
        <v>82210</v>
      </c>
      <c r="AJ2286" s="2">
        <v>0.28000000000000003</v>
      </c>
      <c r="AK2286" s="1">
        <v>297210</v>
      </c>
      <c r="AL2286" t="s">
        <v>117</v>
      </c>
      <c r="AM2286" t="s">
        <v>118</v>
      </c>
      <c r="AN2286">
        <v>6640</v>
      </c>
      <c r="AO2286">
        <v>0.15</v>
      </c>
      <c r="AP2286">
        <v>1</v>
      </c>
      <c r="AR2286">
        <v>1</v>
      </c>
      <c r="AS2286" s="1">
        <v>21410</v>
      </c>
      <c r="AT2286" s="1">
        <v>4280</v>
      </c>
      <c r="AU2286" s="1">
        <v>17130</v>
      </c>
      <c r="AV2286">
        <v>80.010000000000005</v>
      </c>
      <c r="AX2286" s="1">
        <v>2071.7399999999998</v>
      </c>
      <c r="AY2286" t="s">
        <v>6790</v>
      </c>
      <c r="AZ2286" t="s">
        <v>6790</v>
      </c>
      <c r="BA2286" t="s">
        <v>218</v>
      </c>
      <c r="BE2286" s="3">
        <v>42444</v>
      </c>
      <c r="BF2286" s="1">
        <v>215000</v>
      </c>
      <c r="BG2286" t="s">
        <v>15320</v>
      </c>
      <c r="BH2286" s="1">
        <v>84.35</v>
      </c>
      <c r="BI2286" s="1">
        <v>215000</v>
      </c>
      <c r="BJ2286" s="3">
        <v>42444</v>
      </c>
      <c r="BK2286" t="s">
        <v>123</v>
      </c>
      <c r="BL2286" t="str">
        <f>"2016.165943"</f>
        <v>2016.165943</v>
      </c>
      <c r="BM2286" t="s">
        <v>135</v>
      </c>
      <c r="BO2286" t="s">
        <v>15321</v>
      </c>
      <c r="BP2286" t="s">
        <v>15322</v>
      </c>
      <c r="BS2286">
        <v>30</v>
      </c>
      <c r="BW2286" t="str">
        <f>""</f>
        <v/>
      </c>
      <c r="CH2286" t="str">
        <f>""</f>
        <v/>
      </c>
      <c r="CS2286" t="str">
        <f>""</f>
        <v/>
      </c>
    </row>
    <row r="2287" spans="1:97" x14ac:dyDescent="0.25">
      <c r="A2287" t="s">
        <v>2537</v>
      </c>
      <c r="B2287" t="s">
        <v>15323</v>
      </c>
      <c r="C2287" t="s">
        <v>15324</v>
      </c>
      <c r="D2287" t="s">
        <v>15323</v>
      </c>
      <c r="E2287" t="s">
        <v>15325</v>
      </c>
      <c r="F2287" t="s">
        <v>108</v>
      </c>
      <c r="H2287" t="s">
        <v>15326</v>
      </c>
      <c r="I2287" t="s">
        <v>144</v>
      </c>
      <c r="J2287" t="s">
        <v>111</v>
      </c>
      <c r="K2287" t="str">
        <f>"85326"</f>
        <v>85326</v>
      </c>
      <c r="L2287" t="s">
        <v>3430</v>
      </c>
      <c r="M2287" t="s">
        <v>15326</v>
      </c>
      <c r="N2287" t="s">
        <v>144</v>
      </c>
      <c r="O2287" t="s">
        <v>111</v>
      </c>
      <c r="P2287" t="str">
        <f>"85326-1084"</f>
        <v>85326-1084</v>
      </c>
      <c r="Q2287" t="s">
        <v>113</v>
      </c>
      <c r="R2287" t="str">
        <f>"504-40-400"</f>
        <v>504-40-400</v>
      </c>
      <c r="S2287" t="s">
        <v>15327</v>
      </c>
      <c r="T2287" t="s">
        <v>15327</v>
      </c>
      <c r="U2287">
        <v>1653</v>
      </c>
      <c r="V2287">
        <v>0</v>
      </c>
      <c r="W2287">
        <v>2</v>
      </c>
      <c r="X2287">
        <v>2006</v>
      </c>
      <c r="Z2287">
        <v>1</v>
      </c>
      <c r="AB2287">
        <v>0</v>
      </c>
      <c r="AC2287" t="s">
        <v>115</v>
      </c>
      <c r="AD2287">
        <v>2</v>
      </c>
      <c r="AE2287" t="s">
        <v>115</v>
      </c>
      <c r="AF2287">
        <v>0</v>
      </c>
      <c r="AG2287">
        <v>0</v>
      </c>
      <c r="AH2287" t="s">
        <v>116</v>
      </c>
      <c r="AI2287" s="1">
        <v>6777</v>
      </c>
      <c r="AJ2287" s="2">
        <v>0.03</v>
      </c>
      <c r="AK2287" s="1">
        <v>206777</v>
      </c>
      <c r="AL2287" t="s">
        <v>117</v>
      </c>
      <c r="AM2287" t="s">
        <v>5023</v>
      </c>
      <c r="AN2287">
        <v>6040</v>
      </c>
      <c r="AO2287">
        <v>0.14000000000000001</v>
      </c>
      <c r="AR2287">
        <v>1</v>
      </c>
      <c r="AS2287" s="1">
        <v>14410</v>
      </c>
      <c r="AT2287" s="1">
        <v>2880</v>
      </c>
      <c r="AU2287" s="1">
        <v>11530</v>
      </c>
      <c r="AV2287">
        <v>80.010000000000005</v>
      </c>
      <c r="AX2287" s="1">
        <v>1191.54</v>
      </c>
      <c r="AY2287" t="s">
        <v>15328</v>
      </c>
      <c r="AZ2287" t="s">
        <v>15328</v>
      </c>
      <c r="BA2287" t="s">
        <v>9622</v>
      </c>
      <c r="BE2287" s="3">
        <v>42451</v>
      </c>
      <c r="BF2287" s="1">
        <v>153000</v>
      </c>
      <c r="BG2287" t="s">
        <v>15329</v>
      </c>
      <c r="BH2287" s="1">
        <v>92.56</v>
      </c>
      <c r="BI2287" s="1">
        <v>200000</v>
      </c>
      <c r="BJ2287" s="3">
        <v>43553</v>
      </c>
      <c r="BK2287" t="s">
        <v>123</v>
      </c>
      <c r="BL2287" t="str">
        <f>"2019.217886"</f>
        <v>2019.217886</v>
      </c>
      <c r="BM2287" t="s">
        <v>15330</v>
      </c>
      <c r="BN2287" t="s">
        <v>15331</v>
      </c>
      <c r="BO2287" t="s">
        <v>15332</v>
      </c>
      <c r="BP2287" t="s">
        <v>15333</v>
      </c>
      <c r="BR2287" t="s">
        <v>139</v>
      </c>
      <c r="BW2287" t="str">
        <f>""</f>
        <v/>
      </c>
      <c r="CH2287" t="str">
        <f>""</f>
        <v/>
      </c>
      <c r="CS2287" t="str">
        <f>""</f>
        <v/>
      </c>
    </row>
    <row r="2288" spans="1:97" x14ac:dyDescent="0.25">
      <c r="A2288" t="s">
        <v>370</v>
      </c>
      <c r="B2288" t="s">
        <v>2456</v>
      </c>
      <c r="C2288" t="s">
        <v>15105</v>
      </c>
      <c r="D2288" t="s">
        <v>2456</v>
      </c>
      <c r="E2288" t="s">
        <v>15334</v>
      </c>
      <c r="F2288" t="s">
        <v>108</v>
      </c>
      <c r="H2288" t="s">
        <v>15335</v>
      </c>
      <c r="I2288" t="s">
        <v>390</v>
      </c>
      <c r="J2288" t="s">
        <v>111</v>
      </c>
      <c r="K2288" t="str">
        <f>"85086"</f>
        <v>85086</v>
      </c>
      <c r="L2288" t="s">
        <v>15336</v>
      </c>
      <c r="M2288" t="s">
        <v>15335</v>
      </c>
      <c r="N2288" t="s">
        <v>390</v>
      </c>
      <c r="O2288" t="s">
        <v>111</v>
      </c>
      <c r="P2288" t="str">
        <f>"85086-8359"</f>
        <v>85086-8359</v>
      </c>
      <c r="Q2288" t="s">
        <v>113</v>
      </c>
      <c r="R2288" t="str">
        <f>"203-34-030-B"</f>
        <v>203-34-030-B</v>
      </c>
      <c r="T2288" t="s">
        <v>15337</v>
      </c>
      <c r="U2288">
        <v>2054</v>
      </c>
      <c r="V2288">
        <v>0</v>
      </c>
      <c r="W2288">
        <v>3</v>
      </c>
      <c r="X2288">
        <v>2002</v>
      </c>
      <c r="Z2288">
        <v>1</v>
      </c>
      <c r="AB2288">
        <v>0</v>
      </c>
      <c r="AC2288" t="s">
        <v>115</v>
      </c>
      <c r="AD2288">
        <v>3</v>
      </c>
      <c r="AE2288" t="s">
        <v>115</v>
      </c>
      <c r="AF2288">
        <v>0</v>
      </c>
      <c r="AG2288">
        <v>0</v>
      </c>
      <c r="AH2288" t="s">
        <v>116</v>
      </c>
      <c r="AI2288" s="1">
        <v>55934</v>
      </c>
      <c r="AJ2288" s="2">
        <v>0.13</v>
      </c>
      <c r="AK2288" s="1">
        <v>432979</v>
      </c>
      <c r="AL2288" t="s">
        <v>117</v>
      </c>
      <c r="AM2288" t="s">
        <v>376</v>
      </c>
      <c r="AN2288">
        <v>43393</v>
      </c>
      <c r="AO2288">
        <v>1</v>
      </c>
      <c r="AP2288">
        <v>1</v>
      </c>
      <c r="AR2288">
        <v>1</v>
      </c>
      <c r="AS2288" s="1">
        <v>31910</v>
      </c>
      <c r="AT2288" s="1">
        <v>6380</v>
      </c>
      <c r="AU2288" s="1">
        <v>25530</v>
      </c>
      <c r="AV2288">
        <v>80.010000000000005</v>
      </c>
      <c r="AX2288" s="1">
        <v>2803.28</v>
      </c>
      <c r="AY2288" t="s">
        <v>8639</v>
      </c>
      <c r="AZ2288" t="s">
        <v>8639</v>
      </c>
      <c r="BA2288" t="s">
        <v>378</v>
      </c>
      <c r="BE2288" s="3">
        <v>42549</v>
      </c>
      <c r="BF2288" s="1">
        <v>365000</v>
      </c>
      <c r="BG2288" t="s">
        <v>15338</v>
      </c>
      <c r="BH2288" s="1">
        <v>177.7</v>
      </c>
      <c r="BI2288" s="1">
        <v>377045</v>
      </c>
      <c r="BJ2288" s="3">
        <v>42549</v>
      </c>
      <c r="BK2288" t="s">
        <v>123</v>
      </c>
      <c r="BL2288" t="str">
        <f>"2016.450707"</f>
        <v>2016.450707</v>
      </c>
      <c r="BM2288" t="s">
        <v>175</v>
      </c>
      <c r="BO2288" t="s">
        <v>15339</v>
      </c>
      <c r="BS2288">
        <v>30</v>
      </c>
      <c r="BW2288" t="str">
        <f>""</f>
        <v/>
      </c>
      <c r="CH2288" t="str">
        <f>""</f>
        <v/>
      </c>
      <c r="CS2288" t="str">
        <f>""</f>
        <v/>
      </c>
    </row>
    <row r="2289" spans="1:97" x14ac:dyDescent="0.25">
      <c r="B2289" t="s">
        <v>15340</v>
      </c>
      <c r="E2289" t="s">
        <v>15341</v>
      </c>
      <c r="F2289" t="s">
        <v>108</v>
      </c>
      <c r="H2289" t="s">
        <v>15342</v>
      </c>
      <c r="I2289" t="s">
        <v>1936</v>
      </c>
      <c r="J2289" t="s">
        <v>111</v>
      </c>
      <c r="K2289" t="str">
        <f>"85255"</f>
        <v>85255</v>
      </c>
      <c r="L2289" t="s">
        <v>299</v>
      </c>
      <c r="M2289" t="s">
        <v>15342</v>
      </c>
      <c r="N2289" t="s">
        <v>1936</v>
      </c>
      <c r="O2289" t="s">
        <v>111</v>
      </c>
      <c r="P2289" t="str">
        <f>"85255-6104"</f>
        <v>85255-6104</v>
      </c>
      <c r="Q2289" t="s">
        <v>113</v>
      </c>
      <c r="R2289" t="str">
        <f>"212-05-485"</f>
        <v>212-05-485</v>
      </c>
      <c r="S2289" t="s">
        <v>15343</v>
      </c>
      <c r="T2289" t="s">
        <v>15344</v>
      </c>
      <c r="U2289">
        <v>1607</v>
      </c>
      <c r="V2289">
        <v>0</v>
      </c>
      <c r="W2289">
        <v>3</v>
      </c>
      <c r="X2289">
        <v>1993</v>
      </c>
      <c r="Z2289">
        <v>1</v>
      </c>
      <c r="AB2289">
        <v>0</v>
      </c>
      <c r="AC2289" t="s">
        <v>115</v>
      </c>
      <c r="AD2289">
        <v>2</v>
      </c>
      <c r="AE2289" t="s">
        <v>115</v>
      </c>
      <c r="AF2289">
        <v>0</v>
      </c>
      <c r="AG2289">
        <v>0</v>
      </c>
      <c r="AH2289" t="s">
        <v>116</v>
      </c>
      <c r="AI2289" s="1">
        <v>77723</v>
      </c>
      <c r="AJ2289" s="2">
        <v>0.2</v>
      </c>
      <c r="AK2289" s="1">
        <v>391323</v>
      </c>
      <c r="AL2289" t="s">
        <v>117</v>
      </c>
      <c r="AM2289" t="s">
        <v>5516</v>
      </c>
      <c r="AN2289">
        <v>6048</v>
      </c>
      <c r="AO2289">
        <v>0.14000000000000001</v>
      </c>
      <c r="AP2289">
        <v>1</v>
      </c>
      <c r="AR2289">
        <v>1</v>
      </c>
      <c r="AS2289" s="1">
        <v>29270</v>
      </c>
      <c r="AT2289" s="1">
        <v>5850</v>
      </c>
      <c r="AU2289" s="1">
        <v>23420</v>
      </c>
      <c r="AV2289">
        <v>80.010000000000005</v>
      </c>
      <c r="AX2289" s="1">
        <v>2712.72</v>
      </c>
      <c r="AY2289" t="s">
        <v>9968</v>
      </c>
      <c r="AZ2289" t="s">
        <v>761</v>
      </c>
      <c r="BA2289" t="s">
        <v>762</v>
      </c>
      <c r="BB2289" s="3">
        <v>41842</v>
      </c>
      <c r="BD2289" t="s">
        <v>240</v>
      </c>
      <c r="BE2289" s="3">
        <v>41820</v>
      </c>
      <c r="BF2289" s="1">
        <v>307000</v>
      </c>
      <c r="BG2289" t="s">
        <v>15345</v>
      </c>
      <c r="BH2289" s="1">
        <v>191.04</v>
      </c>
      <c r="BI2289" s="1">
        <v>313600</v>
      </c>
      <c r="BJ2289" s="3">
        <v>41820</v>
      </c>
      <c r="BK2289" t="s">
        <v>123</v>
      </c>
      <c r="BL2289" t="str">
        <f>"2014.428585"</f>
        <v>2014.428585</v>
      </c>
      <c r="BM2289" t="s">
        <v>475</v>
      </c>
      <c r="BO2289" t="s">
        <v>15346</v>
      </c>
      <c r="BP2289" t="s">
        <v>15347</v>
      </c>
      <c r="BS2289">
        <v>30</v>
      </c>
      <c r="BW2289" t="str">
        <f>""</f>
        <v/>
      </c>
      <c r="CH2289" t="str">
        <f>""</f>
        <v/>
      </c>
      <c r="CS2289" t="str">
        <f>""</f>
        <v/>
      </c>
    </row>
    <row r="2290" spans="1:97" x14ac:dyDescent="0.25">
      <c r="A2290" t="s">
        <v>7562</v>
      </c>
      <c r="B2290" t="s">
        <v>15348</v>
      </c>
      <c r="C2290" t="s">
        <v>489</v>
      </c>
      <c r="D2290" t="s">
        <v>15348</v>
      </c>
      <c r="E2290" t="s">
        <v>15349</v>
      </c>
      <c r="F2290" t="s">
        <v>108</v>
      </c>
      <c r="H2290" t="s">
        <v>15350</v>
      </c>
      <c r="I2290" t="s">
        <v>453</v>
      </c>
      <c r="J2290" t="s">
        <v>111</v>
      </c>
      <c r="K2290" t="str">
        <f>"85383"</f>
        <v>85383</v>
      </c>
      <c r="L2290" t="s">
        <v>3326</v>
      </c>
      <c r="M2290" t="s">
        <v>15350</v>
      </c>
      <c r="N2290" t="s">
        <v>453</v>
      </c>
      <c r="O2290" t="s">
        <v>111</v>
      </c>
      <c r="P2290" t="str">
        <f>"85383-2641"</f>
        <v>85383-2641</v>
      </c>
      <c r="Q2290" t="s">
        <v>113</v>
      </c>
      <c r="R2290" t="str">
        <f>"200-10-872"</f>
        <v>200-10-872</v>
      </c>
      <c r="S2290" t="s">
        <v>15351</v>
      </c>
      <c r="T2290" t="s">
        <v>15352</v>
      </c>
      <c r="U2290">
        <v>3721</v>
      </c>
      <c r="V2290">
        <v>0</v>
      </c>
      <c r="W2290">
        <v>5</v>
      </c>
      <c r="X2290">
        <v>2011</v>
      </c>
      <c r="Z2290">
        <v>2</v>
      </c>
      <c r="AA2290" t="s">
        <v>26</v>
      </c>
      <c r="AB2290">
        <v>0</v>
      </c>
      <c r="AC2290" t="s">
        <v>115</v>
      </c>
      <c r="AD2290">
        <v>3</v>
      </c>
      <c r="AE2290" t="s">
        <v>115</v>
      </c>
      <c r="AF2290">
        <v>0</v>
      </c>
      <c r="AG2290">
        <v>0</v>
      </c>
      <c r="AH2290" t="s">
        <v>116</v>
      </c>
      <c r="AI2290" s="1">
        <v>134796</v>
      </c>
      <c r="AJ2290" s="2">
        <v>0.26</v>
      </c>
      <c r="AK2290" s="1">
        <v>520496</v>
      </c>
      <c r="AL2290" t="s">
        <v>117</v>
      </c>
      <c r="AM2290" t="s">
        <v>118</v>
      </c>
      <c r="AN2290">
        <v>10118</v>
      </c>
      <c r="AO2290">
        <v>0.23</v>
      </c>
      <c r="AR2290">
        <v>1</v>
      </c>
      <c r="AS2290" s="1">
        <v>39310</v>
      </c>
      <c r="AT2290" s="1">
        <v>7860</v>
      </c>
      <c r="AU2290" s="1">
        <v>31450</v>
      </c>
      <c r="AV2290">
        <v>80.010000000000005</v>
      </c>
      <c r="AX2290" s="1">
        <v>3507.54</v>
      </c>
      <c r="AY2290" t="s">
        <v>1808</v>
      </c>
      <c r="AZ2290" t="s">
        <v>1808</v>
      </c>
      <c r="BA2290" t="s">
        <v>457</v>
      </c>
      <c r="BE2290" s="3">
        <v>42044</v>
      </c>
      <c r="BF2290" s="1">
        <v>400000</v>
      </c>
      <c r="BG2290" t="s">
        <v>15353</v>
      </c>
      <c r="BH2290" s="1">
        <v>107.5</v>
      </c>
      <c r="BI2290" s="1">
        <v>385700</v>
      </c>
      <c r="BJ2290" s="3">
        <v>42044</v>
      </c>
      <c r="BK2290" t="s">
        <v>123</v>
      </c>
      <c r="BL2290" t="str">
        <f>"2015.82227"</f>
        <v>2015.82227</v>
      </c>
      <c r="BM2290" t="s">
        <v>1227</v>
      </c>
      <c r="BO2290" t="s">
        <v>15354</v>
      </c>
      <c r="BS2290">
        <v>30</v>
      </c>
      <c r="BW2290" t="str">
        <f>""</f>
        <v/>
      </c>
      <c r="CH2290" t="str">
        <f>""</f>
        <v/>
      </c>
      <c r="CS2290" t="str">
        <f>""</f>
        <v/>
      </c>
    </row>
    <row r="2291" spans="1:97" x14ac:dyDescent="0.25">
      <c r="B2291" t="s">
        <v>15355</v>
      </c>
      <c r="E2291" t="s">
        <v>15356</v>
      </c>
      <c r="F2291" t="s">
        <v>139</v>
      </c>
      <c r="H2291" t="s">
        <v>15357</v>
      </c>
      <c r="I2291" t="s">
        <v>1788</v>
      </c>
      <c r="J2291" t="s">
        <v>111</v>
      </c>
      <c r="K2291" t="str">
        <f>"85355"</f>
        <v>85355</v>
      </c>
      <c r="L2291" t="s">
        <v>3758</v>
      </c>
      <c r="M2291" t="s">
        <v>15357</v>
      </c>
      <c r="N2291" t="s">
        <v>1788</v>
      </c>
      <c r="O2291" t="s">
        <v>111</v>
      </c>
      <c r="P2291" t="str">
        <f>"85355-7520"</f>
        <v>85355-7520</v>
      </c>
      <c r="Q2291" t="s">
        <v>113</v>
      </c>
      <c r="R2291" t="str">
        <f>"502-10-503"</f>
        <v>502-10-503</v>
      </c>
      <c r="S2291" t="s">
        <v>15358</v>
      </c>
      <c r="T2291" t="s">
        <v>5971</v>
      </c>
      <c r="U2291">
        <v>2683</v>
      </c>
      <c r="V2291">
        <v>0</v>
      </c>
      <c r="W2291">
        <v>3</v>
      </c>
      <c r="X2291">
        <v>2013</v>
      </c>
      <c r="Z2291">
        <v>2</v>
      </c>
      <c r="AB2291">
        <v>0</v>
      </c>
      <c r="AC2291" t="s">
        <v>115</v>
      </c>
      <c r="AD2291">
        <v>2</v>
      </c>
      <c r="AE2291" t="s">
        <v>115</v>
      </c>
      <c r="AF2291">
        <v>0</v>
      </c>
      <c r="AG2291">
        <v>0</v>
      </c>
      <c r="AH2291" t="s">
        <v>116</v>
      </c>
      <c r="AI2291" s="1">
        <v>67439</v>
      </c>
      <c r="AJ2291" s="2">
        <v>0.22</v>
      </c>
      <c r="AK2291" s="1">
        <v>308129</v>
      </c>
      <c r="AL2291" t="s">
        <v>117</v>
      </c>
      <c r="AM2291" t="s">
        <v>191</v>
      </c>
      <c r="AN2291">
        <v>6875</v>
      </c>
      <c r="AO2291">
        <v>0.16</v>
      </c>
      <c r="AR2291">
        <v>1</v>
      </c>
      <c r="AS2291" s="1">
        <v>20530</v>
      </c>
      <c r="AT2291" s="1">
        <v>4100</v>
      </c>
      <c r="AU2291" s="1">
        <v>16430</v>
      </c>
      <c r="AV2291">
        <v>80.03</v>
      </c>
      <c r="AX2291" s="1">
        <v>1669.4</v>
      </c>
      <c r="AY2291" t="s">
        <v>5972</v>
      </c>
      <c r="AZ2291" t="s">
        <v>5972</v>
      </c>
      <c r="BA2291" t="s">
        <v>5061</v>
      </c>
      <c r="BB2291" s="3">
        <v>43164</v>
      </c>
      <c r="BC2291" s="1">
        <v>0</v>
      </c>
      <c r="BD2291" t="s">
        <v>247</v>
      </c>
      <c r="BE2291" s="3">
        <v>41677</v>
      </c>
      <c r="BF2291" s="1">
        <v>243693</v>
      </c>
      <c r="BG2291" t="s">
        <v>446</v>
      </c>
      <c r="BH2291" s="1">
        <v>90.83</v>
      </c>
      <c r="BI2291" s="1">
        <v>240690</v>
      </c>
      <c r="BJ2291" s="3">
        <v>42881</v>
      </c>
      <c r="BK2291" t="s">
        <v>123</v>
      </c>
      <c r="BL2291" t="str">
        <f>"2017.384460"</f>
        <v>2017.384460</v>
      </c>
      <c r="BM2291" t="s">
        <v>402</v>
      </c>
      <c r="BN2291" t="s">
        <v>461</v>
      </c>
      <c r="BO2291" t="s">
        <v>15359</v>
      </c>
      <c r="BS2291">
        <v>30</v>
      </c>
      <c r="BW2291" t="str">
        <f>""</f>
        <v/>
      </c>
      <c r="CH2291" t="str">
        <f>""</f>
        <v/>
      </c>
      <c r="CS2291" t="str">
        <f>""</f>
        <v/>
      </c>
    </row>
    <row r="2292" spans="1:97" x14ac:dyDescent="0.25">
      <c r="A2292" t="s">
        <v>265</v>
      </c>
      <c r="B2292" t="s">
        <v>15360</v>
      </c>
      <c r="C2292" t="s">
        <v>15361</v>
      </c>
      <c r="D2292" t="s">
        <v>15360</v>
      </c>
      <c r="E2292" t="s">
        <v>15362</v>
      </c>
      <c r="F2292" t="s">
        <v>108</v>
      </c>
      <c r="H2292" t="s">
        <v>15363</v>
      </c>
      <c r="I2292" t="s">
        <v>1788</v>
      </c>
      <c r="J2292" t="s">
        <v>111</v>
      </c>
      <c r="K2292" t="str">
        <f>"85355"</f>
        <v>85355</v>
      </c>
      <c r="L2292" t="s">
        <v>3758</v>
      </c>
      <c r="M2292" t="s">
        <v>15363</v>
      </c>
      <c r="N2292" t="s">
        <v>1788</v>
      </c>
      <c r="O2292" t="s">
        <v>111</v>
      </c>
      <c r="P2292" t="str">
        <f>"85355-9671"</f>
        <v>85355-9671</v>
      </c>
      <c r="Q2292" t="s">
        <v>113</v>
      </c>
      <c r="R2292" t="str">
        <f>"502-09-059"</f>
        <v>502-09-059</v>
      </c>
      <c r="S2292" t="s">
        <v>15364</v>
      </c>
      <c r="T2292" t="s">
        <v>15365</v>
      </c>
      <c r="U2292">
        <v>3485</v>
      </c>
      <c r="V2292">
        <v>0</v>
      </c>
      <c r="W2292">
        <v>4</v>
      </c>
      <c r="X2292">
        <v>2004</v>
      </c>
      <c r="Z2292">
        <v>1</v>
      </c>
      <c r="AA2292" t="s">
        <v>26</v>
      </c>
      <c r="AB2292">
        <v>0</v>
      </c>
      <c r="AC2292" t="s">
        <v>115</v>
      </c>
      <c r="AD2292">
        <v>3</v>
      </c>
      <c r="AE2292" t="s">
        <v>115</v>
      </c>
      <c r="AF2292">
        <v>0</v>
      </c>
      <c r="AG2292">
        <v>0</v>
      </c>
      <c r="AH2292" t="s">
        <v>116</v>
      </c>
      <c r="AI2292" s="1">
        <v>118110</v>
      </c>
      <c r="AJ2292" s="2">
        <v>0.18</v>
      </c>
      <c r="AK2292" s="1">
        <v>672360</v>
      </c>
      <c r="AL2292" t="s">
        <v>117</v>
      </c>
      <c r="AM2292" t="s">
        <v>376</v>
      </c>
      <c r="AN2292">
        <v>62858</v>
      </c>
      <c r="AO2292">
        <v>1.44</v>
      </c>
      <c r="AR2292">
        <v>1</v>
      </c>
      <c r="AS2292" s="1">
        <v>47880</v>
      </c>
      <c r="AT2292" s="1">
        <v>9570</v>
      </c>
      <c r="AU2292" s="1">
        <v>38310</v>
      </c>
      <c r="AV2292">
        <v>80.010000000000005</v>
      </c>
      <c r="AX2292" s="1">
        <v>4200.9799999999996</v>
      </c>
      <c r="AY2292" t="s">
        <v>5972</v>
      </c>
      <c r="AZ2292" t="s">
        <v>5972</v>
      </c>
      <c r="BA2292" t="s">
        <v>5061</v>
      </c>
      <c r="BE2292" s="3">
        <v>42460</v>
      </c>
      <c r="BF2292" s="1">
        <v>607000</v>
      </c>
      <c r="BG2292" t="s">
        <v>15366</v>
      </c>
      <c r="BH2292" s="1">
        <v>174.18</v>
      </c>
      <c r="BI2292" s="1">
        <v>554250</v>
      </c>
      <c r="BJ2292" s="3">
        <v>42460</v>
      </c>
      <c r="BK2292" t="s">
        <v>123</v>
      </c>
      <c r="BL2292" t="str">
        <f>"2016.212708"</f>
        <v>2016.212708</v>
      </c>
      <c r="BM2292" t="s">
        <v>1033</v>
      </c>
      <c r="BO2292" t="s">
        <v>15367</v>
      </c>
      <c r="BS2292">
        <v>30</v>
      </c>
      <c r="BW2292" t="str">
        <f>""</f>
        <v/>
      </c>
      <c r="CH2292" t="str">
        <f>""</f>
        <v/>
      </c>
      <c r="CS2292" t="str">
        <f>""</f>
        <v/>
      </c>
    </row>
    <row r="2293" spans="1:97" x14ac:dyDescent="0.25">
      <c r="A2293" t="s">
        <v>970</v>
      </c>
      <c r="B2293" t="s">
        <v>15368</v>
      </c>
      <c r="E2293" t="s">
        <v>15369</v>
      </c>
      <c r="F2293" t="s">
        <v>108</v>
      </c>
      <c r="H2293" t="s">
        <v>15370</v>
      </c>
      <c r="I2293" t="s">
        <v>203</v>
      </c>
      <c r="J2293" t="s">
        <v>111</v>
      </c>
      <c r="K2293" t="str">
        <f>"85295"</f>
        <v>85295</v>
      </c>
      <c r="L2293" t="s">
        <v>8435</v>
      </c>
      <c r="M2293" t="s">
        <v>15370</v>
      </c>
      <c r="N2293" t="s">
        <v>203</v>
      </c>
      <c r="O2293" t="s">
        <v>111</v>
      </c>
      <c r="P2293" t="str">
        <f>"85295-3408"</f>
        <v>85295-3408</v>
      </c>
      <c r="Q2293" t="s">
        <v>113</v>
      </c>
      <c r="R2293" t="str">
        <f>"313-10-865"</f>
        <v>313-10-865</v>
      </c>
      <c r="S2293" t="s">
        <v>5093</v>
      </c>
      <c r="U2293">
        <v>1742</v>
      </c>
      <c r="V2293">
        <v>0</v>
      </c>
      <c r="W2293">
        <v>3</v>
      </c>
      <c r="X2293">
        <v>2007</v>
      </c>
      <c r="Z2293">
        <v>1</v>
      </c>
      <c r="AB2293">
        <v>0</v>
      </c>
      <c r="AC2293" t="s">
        <v>115</v>
      </c>
      <c r="AD2293">
        <v>2</v>
      </c>
      <c r="AE2293" t="s">
        <v>115</v>
      </c>
      <c r="AF2293">
        <v>0</v>
      </c>
      <c r="AG2293">
        <v>0</v>
      </c>
      <c r="AH2293" t="s">
        <v>116</v>
      </c>
      <c r="AI2293" s="1">
        <v>90975</v>
      </c>
      <c r="AJ2293" s="2">
        <v>0.31</v>
      </c>
      <c r="AK2293" s="1">
        <v>292276</v>
      </c>
      <c r="AL2293" t="s">
        <v>117</v>
      </c>
      <c r="AM2293" t="s">
        <v>288</v>
      </c>
      <c r="AN2293">
        <v>5433</v>
      </c>
      <c r="AO2293">
        <v>0.12</v>
      </c>
      <c r="AR2293">
        <v>1</v>
      </c>
      <c r="AS2293" s="1">
        <v>20900</v>
      </c>
      <c r="AT2293" s="1">
        <v>4180</v>
      </c>
      <c r="AU2293" s="1">
        <v>16720</v>
      </c>
      <c r="AV2293">
        <v>80</v>
      </c>
      <c r="AX2293" s="1">
        <v>1894.9</v>
      </c>
      <c r="AY2293" t="s">
        <v>5094</v>
      </c>
      <c r="AZ2293" t="s">
        <v>5094</v>
      </c>
      <c r="BA2293" t="s">
        <v>473</v>
      </c>
      <c r="BE2293" s="3">
        <v>42041</v>
      </c>
      <c r="BF2293" s="1">
        <v>195000</v>
      </c>
      <c r="BG2293" t="s">
        <v>15371</v>
      </c>
      <c r="BH2293" s="1">
        <v>111.94</v>
      </c>
      <c r="BI2293" s="1">
        <v>201301</v>
      </c>
      <c r="BJ2293" s="3">
        <v>42839</v>
      </c>
      <c r="BK2293" t="s">
        <v>123</v>
      </c>
      <c r="BL2293" t="str">
        <f>"2017.267412"</f>
        <v>2017.267412</v>
      </c>
      <c r="BM2293" t="s">
        <v>673</v>
      </c>
      <c r="BO2293" t="s">
        <v>15372</v>
      </c>
      <c r="BQ2293" t="str">
        <f>"2.7500%"</f>
        <v>2.7500%</v>
      </c>
      <c r="BR2293" t="s">
        <v>1480</v>
      </c>
      <c r="BS2293">
        <v>30</v>
      </c>
      <c r="BW2293" t="str">
        <f>""</f>
        <v/>
      </c>
      <c r="CH2293" t="str">
        <f>""</f>
        <v/>
      </c>
      <c r="CS2293" t="str">
        <f>""</f>
        <v/>
      </c>
    </row>
    <row r="2294" spans="1:97" x14ac:dyDescent="0.25">
      <c r="A2294" t="s">
        <v>1514</v>
      </c>
      <c r="B2294" t="s">
        <v>3248</v>
      </c>
      <c r="C2294" t="s">
        <v>10627</v>
      </c>
      <c r="D2294" t="s">
        <v>15373</v>
      </c>
      <c r="E2294" t="s">
        <v>15374</v>
      </c>
      <c r="F2294" t="s">
        <v>108</v>
      </c>
      <c r="H2294" t="s">
        <v>15375</v>
      </c>
      <c r="I2294" t="s">
        <v>2874</v>
      </c>
      <c r="J2294" t="s">
        <v>111</v>
      </c>
      <c r="K2294" t="str">
        <f>"85308"</f>
        <v>85308</v>
      </c>
      <c r="L2294" t="s">
        <v>541</v>
      </c>
      <c r="M2294" t="s">
        <v>15375</v>
      </c>
      <c r="N2294" t="s">
        <v>2874</v>
      </c>
      <c r="O2294" t="s">
        <v>111</v>
      </c>
      <c r="P2294" t="str">
        <f>"85308-9661"</f>
        <v>85308-9661</v>
      </c>
      <c r="Q2294" t="s">
        <v>113</v>
      </c>
      <c r="R2294" t="str">
        <f>"231-23-537"</f>
        <v>231-23-537</v>
      </c>
      <c r="S2294" t="s">
        <v>15376</v>
      </c>
      <c r="T2294" t="s">
        <v>15377</v>
      </c>
      <c r="U2294">
        <v>2327</v>
      </c>
      <c r="V2294">
        <v>0</v>
      </c>
      <c r="W2294">
        <v>4</v>
      </c>
      <c r="X2294">
        <v>1998</v>
      </c>
      <c r="Z2294">
        <v>2</v>
      </c>
      <c r="AB2294">
        <v>0</v>
      </c>
      <c r="AC2294" t="s">
        <v>115</v>
      </c>
      <c r="AD2294">
        <v>2</v>
      </c>
      <c r="AE2294" t="s">
        <v>115</v>
      </c>
      <c r="AF2294">
        <v>0</v>
      </c>
      <c r="AG2294">
        <v>0</v>
      </c>
      <c r="AH2294" t="s">
        <v>116</v>
      </c>
      <c r="AI2294" s="1">
        <v>77073</v>
      </c>
      <c r="AJ2294" s="2">
        <v>0.21</v>
      </c>
      <c r="AK2294" s="1">
        <v>360232</v>
      </c>
      <c r="AL2294" t="s">
        <v>117</v>
      </c>
      <c r="AM2294" t="s">
        <v>191</v>
      </c>
      <c r="AN2294">
        <v>9865</v>
      </c>
      <c r="AO2294">
        <v>0.23</v>
      </c>
      <c r="AP2294">
        <v>1</v>
      </c>
      <c r="AR2294">
        <v>1</v>
      </c>
      <c r="AS2294" s="1">
        <v>25310</v>
      </c>
      <c r="AT2294" s="1">
        <v>5060</v>
      </c>
      <c r="AU2294" s="1">
        <v>20250</v>
      </c>
      <c r="AV2294">
        <v>80.010000000000005</v>
      </c>
      <c r="AX2294" s="1">
        <v>2281.7399999999998</v>
      </c>
      <c r="AY2294" t="s">
        <v>8358</v>
      </c>
      <c r="AZ2294" t="s">
        <v>8358</v>
      </c>
      <c r="BA2294" t="s">
        <v>2223</v>
      </c>
      <c r="BE2294" s="3">
        <v>41747</v>
      </c>
      <c r="BF2294" s="1">
        <v>277200</v>
      </c>
      <c r="BG2294" t="s">
        <v>15378</v>
      </c>
      <c r="BH2294" s="1">
        <v>119.12</v>
      </c>
      <c r="BI2294" s="1">
        <v>283159</v>
      </c>
      <c r="BJ2294" s="3">
        <v>41747</v>
      </c>
      <c r="BK2294" t="s">
        <v>123</v>
      </c>
      <c r="BL2294" t="str">
        <f>"2014.253095"</f>
        <v>2014.253095</v>
      </c>
      <c r="BM2294" t="s">
        <v>544</v>
      </c>
      <c r="BO2294" t="s">
        <v>15379</v>
      </c>
      <c r="BP2294" t="s">
        <v>15380</v>
      </c>
      <c r="BS2294">
        <v>30</v>
      </c>
      <c r="BW2294" t="str">
        <f>""</f>
        <v/>
      </c>
      <c r="CH2294" t="str">
        <f>""</f>
        <v/>
      </c>
      <c r="CS2294" t="str">
        <f>""</f>
        <v/>
      </c>
    </row>
    <row r="2295" spans="1:97" x14ac:dyDescent="0.25">
      <c r="A2295" t="s">
        <v>15381</v>
      </c>
      <c r="B2295" t="s">
        <v>2894</v>
      </c>
      <c r="C2295" t="s">
        <v>211</v>
      </c>
      <c r="D2295" t="s">
        <v>2894</v>
      </c>
      <c r="E2295" t="s">
        <v>15382</v>
      </c>
      <c r="F2295" t="s">
        <v>108</v>
      </c>
      <c r="H2295" t="s">
        <v>15383</v>
      </c>
      <c r="I2295" t="s">
        <v>390</v>
      </c>
      <c r="J2295" t="s">
        <v>111</v>
      </c>
      <c r="K2295" t="str">
        <f>"85048"</f>
        <v>85048</v>
      </c>
      <c r="L2295" t="s">
        <v>5228</v>
      </c>
      <c r="M2295" t="s">
        <v>15383</v>
      </c>
      <c r="N2295" t="s">
        <v>390</v>
      </c>
      <c r="O2295" t="s">
        <v>111</v>
      </c>
      <c r="P2295" t="str">
        <f>"85048-9426"</f>
        <v>85048-9426</v>
      </c>
      <c r="Q2295" t="s">
        <v>113</v>
      </c>
      <c r="R2295" t="str">
        <f>"301-78-382"</f>
        <v>301-78-382</v>
      </c>
      <c r="S2295" t="s">
        <v>15384</v>
      </c>
      <c r="T2295" t="s">
        <v>15385</v>
      </c>
      <c r="U2295">
        <v>3799</v>
      </c>
      <c r="V2295">
        <v>0</v>
      </c>
      <c r="W2295">
        <v>5</v>
      </c>
      <c r="X2295">
        <v>1994</v>
      </c>
      <c r="Z2295">
        <v>2</v>
      </c>
      <c r="AA2295" t="s">
        <v>26</v>
      </c>
      <c r="AB2295">
        <v>0</v>
      </c>
      <c r="AC2295" t="s">
        <v>115</v>
      </c>
      <c r="AD2295">
        <v>3</v>
      </c>
      <c r="AE2295" t="s">
        <v>115</v>
      </c>
      <c r="AF2295">
        <v>0</v>
      </c>
      <c r="AG2295">
        <v>0</v>
      </c>
      <c r="AH2295" t="s">
        <v>116</v>
      </c>
      <c r="AI2295" s="1">
        <v>151077</v>
      </c>
      <c r="AJ2295" s="2">
        <v>0.23</v>
      </c>
      <c r="AK2295" s="1">
        <v>652127</v>
      </c>
      <c r="AL2295" t="s">
        <v>117</v>
      </c>
      <c r="AM2295" t="s">
        <v>171</v>
      </c>
      <c r="AN2295">
        <v>14845</v>
      </c>
      <c r="AO2295">
        <v>0.34</v>
      </c>
      <c r="AP2295">
        <v>1</v>
      </c>
      <c r="AR2295">
        <v>1</v>
      </c>
      <c r="AS2295" s="1">
        <v>51970</v>
      </c>
      <c r="AT2295" s="1">
        <v>10390</v>
      </c>
      <c r="AU2295" s="1">
        <v>41580</v>
      </c>
      <c r="AV2295">
        <v>80.010000000000005</v>
      </c>
      <c r="AX2295" s="1">
        <v>6395.28</v>
      </c>
      <c r="AY2295" t="s">
        <v>928</v>
      </c>
      <c r="AZ2295" t="s">
        <v>929</v>
      </c>
      <c r="BA2295" t="s">
        <v>930</v>
      </c>
      <c r="BE2295" s="3">
        <v>42095</v>
      </c>
      <c r="BF2295" s="1">
        <v>485000</v>
      </c>
      <c r="BG2295" t="s">
        <v>1214</v>
      </c>
      <c r="BH2295" s="1">
        <v>127.67</v>
      </c>
      <c r="BI2295" s="1">
        <v>466050</v>
      </c>
      <c r="BJ2295" s="3">
        <v>42570</v>
      </c>
      <c r="BK2295" t="s">
        <v>123</v>
      </c>
      <c r="BL2295" t="str">
        <f>"2016.507551"</f>
        <v>2016.507551</v>
      </c>
      <c r="BM2295" t="s">
        <v>1135</v>
      </c>
      <c r="BO2295" t="s">
        <v>15386</v>
      </c>
      <c r="BS2295">
        <v>30</v>
      </c>
      <c r="BT2295" s="1">
        <v>35000</v>
      </c>
      <c r="BU2295" s="3">
        <v>43039</v>
      </c>
      <c r="BW2295" t="str">
        <f>"2017.805243"</f>
        <v>2017.805243</v>
      </c>
      <c r="BX2295" t="s">
        <v>11685</v>
      </c>
      <c r="BZ2295" t="s">
        <v>15387</v>
      </c>
      <c r="CC2295" t="s">
        <v>1633</v>
      </c>
      <c r="CD2295">
        <v>30</v>
      </c>
      <c r="CH2295" t="str">
        <f>""</f>
        <v/>
      </c>
      <c r="CS2295" t="str">
        <f>""</f>
        <v/>
      </c>
    </row>
    <row r="2296" spans="1:97" x14ac:dyDescent="0.25">
      <c r="A2296" t="s">
        <v>2729</v>
      </c>
      <c r="B2296" t="s">
        <v>15388</v>
      </c>
      <c r="C2296" t="s">
        <v>1845</v>
      </c>
      <c r="D2296" t="s">
        <v>15388</v>
      </c>
      <c r="E2296" t="s">
        <v>15389</v>
      </c>
      <c r="F2296" t="s">
        <v>282</v>
      </c>
      <c r="H2296" t="s">
        <v>15390</v>
      </c>
      <c r="I2296" t="s">
        <v>144</v>
      </c>
      <c r="J2296" t="s">
        <v>111</v>
      </c>
      <c r="K2296" t="str">
        <f>"85396"</f>
        <v>85396</v>
      </c>
      <c r="L2296" t="s">
        <v>1244</v>
      </c>
      <c r="M2296" t="s">
        <v>15391</v>
      </c>
      <c r="N2296" t="s">
        <v>2874</v>
      </c>
      <c r="O2296" t="s">
        <v>111</v>
      </c>
      <c r="P2296" t="str">
        <f>"85310-5747"</f>
        <v>85310-5747</v>
      </c>
      <c r="Q2296" t="s">
        <v>113</v>
      </c>
      <c r="R2296" t="str">
        <f>"502-81-048"</f>
        <v>502-81-048</v>
      </c>
      <c r="S2296" t="s">
        <v>15392</v>
      </c>
      <c r="U2296">
        <v>4021</v>
      </c>
      <c r="V2296">
        <v>0</v>
      </c>
      <c r="W2296">
        <v>5</v>
      </c>
      <c r="X2296">
        <v>2006</v>
      </c>
      <c r="Z2296">
        <v>2</v>
      </c>
      <c r="AB2296">
        <v>0</v>
      </c>
      <c r="AC2296" t="s">
        <v>115</v>
      </c>
      <c r="AD2296">
        <v>4</v>
      </c>
      <c r="AE2296" t="s">
        <v>115</v>
      </c>
      <c r="AF2296">
        <v>0</v>
      </c>
      <c r="AG2296">
        <v>0</v>
      </c>
      <c r="AH2296" t="s">
        <v>116</v>
      </c>
      <c r="AI2296" s="1">
        <v>76319</v>
      </c>
      <c r="AJ2296" s="2">
        <v>0.15</v>
      </c>
      <c r="AK2296" s="1">
        <v>502284</v>
      </c>
      <c r="AL2296" t="s">
        <v>117</v>
      </c>
      <c r="AM2296" t="s">
        <v>118</v>
      </c>
      <c r="AN2296">
        <v>14641</v>
      </c>
      <c r="AO2296">
        <v>0.34</v>
      </c>
      <c r="AR2296">
        <v>1</v>
      </c>
      <c r="AS2296" s="1">
        <v>37720</v>
      </c>
      <c r="AT2296" s="1">
        <v>7540</v>
      </c>
      <c r="AU2296" s="1">
        <v>30180</v>
      </c>
      <c r="AV2296">
        <v>80.010000000000005</v>
      </c>
      <c r="AX2296" s="1">
        <v>5756.42</v>
      </c>
      <c r="AY2296" t="s">
        <v>217</v>
      </c>
      <c r="AZ2296" t="s">
        <v>217</v>
      </c>
      <c r="BA2296" t="s">
        <v>218</v>
      </c>
      <c r="BE2296" s="3">
        <v>42457</v>
      </c>
      <c r="BF2296" s="1">
        <v>420000</v>
      </c>
      <c r="BG2296" t="s">
        <v>15393</v>
      </c>
      <c r="BH2296" s="1">
        <v>104.45</v>
      </c>
      <c r="BI2296" s="1">
        <v>425965</v>
      </c>
      <c r="BJ2296" s="3">
        <v>42457</v>
      </c>
      <c r="BK2296" t="s">
        <v>123</v>
      </c>
      <c r="BL2296" t="str">
        <f>"2016.196786"</f>
        <v>2016.196786</v>
      </c>
      <c r="BM2296" t="s">
        <v>709</v>
      </c>
      <c r="BO2296" t="s">
        <v>15394</v>
      </c>
      <c r="BS2296">
        <v>30</v>
      </c>
      <c r="BW2296" t="str">
        <f>""</f>
        <v/>
      </c>
      <c r="CH2296" t="str">
        <f>""</f>
        <v/>
      </c>
      <c r="CS2296" t="str">
        <f>""</f>
        <v/>
      </c>
    </row>
    <row r="2297" spans="1:97" x14ac:dyDescent="0.25">
      <c r="A2297" t="s">
        <v>1514</v>
      </c>
      <c r="B2297" t="s">
        <v>15395</v>
      </c>
      <c r="C2297" t="s">
        <v>484</v>
      </c>
      <c r="D2297" t="s">
        <v>15395</v>
      </c>
      <c r="E2297" t="s">
        <v>15396</v>
      </c>
      <c r="F2297" t="s">
        <v>108</v>
      </c>
      <c r="H2297" t="s">
        <v>15397</v>
      </c>
      <c r="I2297" t="s">
        <v>203</v>
      </c>
      <c r="J2297" t="s">
        <v>111</v>
      </c>
      <c r="K2297" t="str">
        <f>"85297"</f>
        <v>85297</v>
      </c>
      <c r="L2297" t="s">
        <v>3696</v>
      </c>
      <c r="M2297" t="s">
        <v>15397</v>
      </c>
      <c r="N2297" t="s">
        <v>203</v>
      </c>
      <c r="O2297" t="s">
        <v>111</v>
      </c>
      <c r="P2297" t="str">
        <f>"85297-7947"</f>
        <v>85297-7947</v>
      </c>
      <c r="Q2297" t="s">
        <v>113</v>
      </c>
      <c r="R2297" t="str">
        <f>"309-24-862"</f>
        <v>309-24-862</v>
      </c>
      <c r="S2297" t="s">
        <v>15398</v>
      </c>
      <c r="U2297">
        <v>2552</v>
      </c>
      <c r="V2297">
        <v>0</v>
      </c>
      <c r="W2297">
        <v>4</v>
      </c>
      <c r="X2297">
        <v>2003</v>
      </c>
      <c r="Z2297">
        <v>2</v>
      </c>
      <c r="AA2297" t="s">
        <v>26</v>
      </c>
      <c r="AB2297">
        <v>0</v>
      </c>
      <c r="AC2297" t="s">
        <v>115</v>
      </c>
      <c r="AD2297">
        <v>3</v>
      </c>
      <c r="AE2297" t="s">
        <v>115</v>
      </c>
      <c r="AF2297">
        <v>0</v>
      </c>
      <c r="AG2297">
        <v>0</v>
      </c>
      <c r="AH2297" t="s">
        <v>116</v>
      </c>
      <c r="AI2297" s="1">
        <v>64337</v>
      </c>
      <c r="AJ2297" s="2">
        <v>0.17</v>
      </c>
      <c r="AK2297" s="1">
        <v>389035</v>
      </c>
      <c r="AL2297" t="s">
        <v>117</v>
      </c>
      <c r="AM2297" t="s">
        <v>393</v>
      </c>
      <c r="AN2297">
        <v>7700</v>
      </c>
      <c r="AO2297">
        <v>0.18</v>
      </c>
      <c r="AP2297">
        <v>1</v>
      </c>
      <c r="AR2297">
        <v>1</v>
      </c>
      <c r="AS2297" s="1">
        <v>26980</v>
      </c>
      <c r="AT2297" s="1">
        <v>5390</v>
      </c>
      <c r="AU2297" s="1">
        <v>21590</v>
      </c>
      <c r="AV2297">
        <v>80.02</v>
      </c>
      <c r="AX2297" s="1">
        <v>2344.98</v>
      </c>
      <c r="AY2297" t="s">
        <v>394</v>
      </c>
      <c r="AZ2297" t="s">
        <v>394</v>
      </c>
      <c r="BA2297" t="s">
        <v>290</v>
      </c>
      <c r="BE2297" s="3">
        <v>42250</v>
      </c>
      <c r="BF2297" s="1">
        <v>349900</v>
      </c>
      <c r="BG2297" t="s">
        <v>15399</v>
      </c>
      <c r="BH2297" s="1">
        <v>137.11000000000001</v>
      </c>
      <c r="BI2297" s="1">
        <v>324698</v>
      </c>
      <c r="BJ2297" s="3">
        <v>42250</v>
      </c>
      <c r="BK2297" t="s">
        <v>123</v>
      </c>
      <c r="BL2297" t="str">
        <f>"2015.642973"</f>
        <v>2015.642973</v>
      </c>
      <c r="BM2297" t="s">
        <v>135</v>
      </c>
      <c r="BO2297" t="s">
        <v>15400</v>
      </c>
      <c r="BS2297">
        <v>30</v>
      </c>
      <c r="BW2297" t="str">
        <f>""</f>
        <v/>
      </c>
      <c r="CH2297" t="str">
        <f>""</f>
        <v/>
      </c>
      <c r="CS2297" t="str">
        <f>""</f>
        <v/>
      </c>
    </row>
    <row r="2298" spans="1:97" x14ac:dyDescent="0.25">
      <c r="A2298" t="s">
        <v>1938</v>
      </c>
      <c r="B2298" t="s">
        <v>15401</v>
      </c>
      <c r="C2298" t="s">
        <v>703</v>
      </c>
      <c r="D2298" t="s">
        <v>15401</v>
      </c>
      <c r="E2298" t="s">
        <v>15402</v>
      </c>
      <c r="F2298" t="s">
        <v>108</v>
      </c>
      <c r="H2298" t="s">
        <v>15403</v>
      </c>
      <c r="I2298" t="s">
        <v>225</v>
      </c>
      <c r="J2298" t="s">
        <v>111</v>
      </c>
      <c r="K2298" t="str">
        <f>"85207"</f>
        <v>85207</v>
      </c>
      <c r="L2298" t="s">
        <v>375</v>
      </c>
      <c r="M2298" t="s">
        <v>15403</v>
      </c>
      <c r="N2298" t="s">
        <v>225</v>
      </c>
      <c r="O2298" t="s">
        <v>111</v>
      </c>
      <c r="P2298" t="str">
        <f>"85207-4324"</f>
        <v>85207-4324</v>
      </c>
      <c r="Q2298" t="s">
        <v>113</v>
      </c>
      <c r="R2298" t="str">
        <f>"220-01-329"</f>
        <v>220-01-329</v>
      </c>
      <c r="S2298" t="s">
        <v>15404</v>
      </c>
      <c r="T2298" t="s">
        <v>15404</v>
      </c>
      <c r="U2298">
        <v>3025</v>
      </c>
      <c r="V2298">
        <v>0</v>
      </c>
      <c r="W2298">
        <v>5</v>
      </c>
      <c r="X2298">
        <v>2000</v>
      </c>
      <c r="Z2298">
        <v>1</v>
      </c>
      <c r="AA2298" t="s">
        <v>26</v>
      </c>
      <c r="AB2298">
        <v>0</v>
      </c>
      <c r="AC2298" t="s">
        <v>115</v>
      </c>
      <c r="AD2298">
        <v>3</v>
      </c>
      <c r="AE2298" t="s">
        <v>115</v>
      </c>
      <c r="AF2298">
        <v>0</v>
      </c>
      <c r="AG2298">
        <v>0</v>
      </c>
      <c r="AH2298" t="s">
        <v>116</v>
      </c>
      <c r="AI2298" s="1">
        <v>85740</v>
      </c>
      <c r="AJ2298" s="2">
        <v>0.17</v>
      </c>
      <c r="AK2298" s="1">
        <v>491569</v>
      </c>
      <c r="AL2298" t="s">
        <v>117</v>
      </c>
      <c r="AM2298" t="s">
        <v>917</v>
      </c>
      <c r="AN2298">
        <v>10000</v>
      </c>
      <c r="AO2298">
        <v>0.23</v>
      </c>
      <c r="AP2298">
        <v>1</v>
      </c>
      <c r="AR2298">
        <v>1</v>
      </c>
      <c r="AS2298" s="1">
        <v>34470</v>
      </c>
      <c r="AT2298" s="1">
        <v>6890</v>
      </c>
      <c r="AU2298" s="1">
        <v>27580</v>
      </c>
      <c r="AV2298">
        <v>80.010000000000005</v>
      </c>
      <c r="AX2298" s="1">
        <v>2998.62</v>
      </c>
      <c r="AY2298" t="s">
        <v>3118</v>
      </c>
      <c r="AZ2298" t="s">
        <v>3761</v>
      </c>
      <c r="BA2298" t="s">
        <v>232</v>
      </c>
      <c r="BE2298" s="3">
        <v>42102</v>
      </c>
      <c r="BF2298" s="1">
        <v>371000</v>
      </c>
      <c r="BG2298" t="s">
        <v>15405</v>
      </c>
      <c r="BH2298" s="1">
        <v>122.64</v>
      </c>
      <c r="BI2298" s="1">
        <v>405829</v>
      </c>
      <c r="BJ2298" s="3">
        <v>43496</v>
      </c>
      <c r="BK2298" t="s">
        <v>123</v>
      </c>
      <c r="BL2298" t="str">
        <f>"2019.67451"</f>
        <v>2019.67451</v>
      </c>
      <c r="BM2298" t="s">
        <v>699</v>
      </c>
      <c r="BN2298" t="s">
        <v>1590</v>
      </c>
      <c r="BO2298" t="s">
        <v>15406</v>
      </c>
      <c r="BP2298" t="s">
        <v>15407</v>
      </c>
      <c r="BR2298" t="s">
        <v>139</v>
      </c>
      <c r="BW2298" t="str">
        <f>""</f>
        <v/>
      </c>
      <c r="CH2298" t="str">
        <f>""</f>
        <v/>
      </c>
      <c r="CS2298" t="str">
        <f>""</f>
        <v/>
      </c>
    </row>
    <row r="2299" spans="1:97" x14ac:dyDescent="0.25">
      <c r="A2299" t="s">
        <v>1444</v>
      </c>
      <c r="B2299" t="s">
        <v>15408</v>
      </c>
      <c r="C2299" t="s">
        <v>2099</v>
      </c>
      <c r="D2299" t="s">
        <v>15408</v>
      </c>
      <c r="E2299" t="s">
        <v>15409</v>
      </c>
      <c r="F2299" t="s">
        <v>108</v>
      </c>
      <c r="H2299" t="s">
        <v>15410</v>
      </c>
      <c r="I2299" t="s">
        <v>110</v>
      </c>
      <c r="J2299" t="s">
        <v>111</v>
      </c>
      <c r="K2299" t="str">
        <f>"85249"</f>
        <v>85249</v>
      </c>
      <c r="L2299" t="s">
        <v>3225</v>
      </c>
      <c r="M2299" t="s">
        <v>15410</v>
      </c>
      <c r="N2299" t="s">
        <v>110</v>
      </c>
      <c r="O2299" t="s">
        <v>111</v>
      </c>
      <c r="P2299" t="str">
        <f>"85249-7073"</f>
        <v>85249-7073</v>
      </c>
      <c r="Q2299" t="s">
        <v>113</v>
      </c>
      <c r="R2299" t="str">
        <f>"304-84-766"</f>
        <v>304-84-766</v>
      </c>
      <c r="S2299" t="s">
        <v>7409</v>
      </c>
      <c r="U2299">
        <v>3144</v>
      </c>
      <c r="V2299">
        <v>0</v>
      </c>
      <c r="W2299">
        <v>4</v>
      </c>
      <c r="X2299">
        <v>2002</v>
      </c>
      <c r="Z2299">
        <v>2</v>
      </c>
      <c r="AA2299" t="s">
        <v>26</v>
      </c>
      <c r="AB2299">
        <v>0</v>
      </c>
      <c r="AC2299" t="s">
        <v>115</v>
      </c>
      <c r="AD2299">
        <v>3</v>
      </c>
      <c r="AE2299" t="s">
        <v>115</v>
      </c>
      <c r="AF2299">
        <v>0</v>
      </c>
      <c r="AG2299">
        <v>0</v>
      </c>
      <c r="AH2299" t="s">
        <v>116</v>
      </c>
      <c r="AI2299" s="1">
        <v>59197</v>
      </c>
      <c r="AJ2299" s="2">
        <v>0.13</v>
      </c>
      <c r="AK2299" s="1">
        <v>441303</v>
      </c>
      <c r="AL2299" t="s">
        <v>117</v>
      </c>
      <c r="AM2299" t="s">
        <v>118</v>
      </c>
      <c r="AN2299">
        <v>13020</v>
      </c>
      <c r="AO2299">
        <v>0.3</v>
      </c>
      <c r="AP2299">
        <v>1</v>
      </c>
      <c r="AR2299">
        <v>1</v>
      </c>
      <c r="AS2299" s="1">
        <v>31320</v>
      </c>
      <c r="AT2299" s="1">
        <v>6260</v>
      </c>
      <c r="AU2299" s="1">
        <v>25060</v>
      </c>
      <c r="AV2299">
        <v>80.010000000000005</v>
      </c>
      <c r="AX2299" s="1">
        <v>2703</v>
      </c>
      <c r="AY2299" t="s">
        <v>6269</v>
      </c>
      <c r="AZ2299" t="s">
        <v>273</v>
      </c>
      <c r="BA2299" t="s">
        <v>274</v>
      </c>
      <c r="BE2299" s="3">
        <v>42212</v>
      </c>
      <c r="BF2299" s="1">
        <v>369900</v>
      </c>
      <c r="BG2299" t="s">
        <v>15411</v>
      </c>
      <c r="BH2299" s="1">
        <v>117.65</v>
      </c>
      <c r="BI2299" s="1">
        <v>382106</v>
      </c>
      <c r="BJ2299" s="3">
        <v>42212</v>
      </c>
      <c r="BK2299" t="s">
        <v>123</v>
      </c>
      <c r="BL2299" t="str">
        <f>"2015.539354"</f>
        <v>2015.539354</v>
      </c>
      <c r="BM2299" t="s">
        <v>724</v>
      </c>
      <c r="BO2299" t="s">
        <v>15412</v>
      </c>
      <c r="BS2299">
        <v>30</v>
      </c>
      <c r="BW2299" t="str">
        <f>""</f>
        <v/>
      </c>
      <c r="CH2299" t="str">
        <f>""</f>
        <v/>
      </c>
      <c r="CS2299" t="str">
        <f>""</f>
        <v/>
      </c>
    </row>
    <row r="2300" spans="1:97" x14ac:dyDescent="0.25">
      <c r="B2300" t="s">
        <v>15413</v>
      </c>
      <c r="E2300" t="s">
        <v>15413</v>
      </c>
      <c r="F2300" t="s">
        <v>282</v>
      </c>
      <c r="H2300" t="s">
        <v>15414</v>
      </c>
      <c r="I2300" t="s">
        <v>390</v>
      </c>
      <c r="J2300" t="s">
        <v>111</v>
      </c>
      <c r="K2300" t="str">
        <f>"85048"</f>
        <v>85048</v>
      </c>
      <c r="L2300" t="s">
        <v>926</v>
      </c>
      <c r="M2300" t="s">
        <v>15415</v>
      </c>
      <c r="N2300" t="s">
        <v>390</v>
      </c>
      <c r="O2300" t="s">
        <v>111</v>
      </c>
      <c r="P2300" t="str">
        <f>"85048-4504"</f>
        <v>85048-4504</v>
      </c>
      <c r="Q2300" t="s">
        <v>113</v>
      </c>
      <c r="R2300" t="str">
        <f>"306-06-129"</f>
        <v>306-06-129</v>
      </c>
      <c r="S2300" t="s">
        <v>15416</v>
      </c>
      <c r="T2300" t="s">
        <v>15417</v>
      </c>
      <c r="U2300">
        <v>2198</v>
      </c>
      <c r="V2300">
        <v>0</v>
      </c>
      <c r="W2300">
        <v>4</v>
      </c>
      <c r="X2300">
        <v>1994</v>
      </c>
      <c r="Z2300">
        <v>2</v>
      </c>
      <c r="AA2300" t="s">
        <v>26</v>
      </c>
      <c r="AB2300">
        <v>0</v>
      </c>
      <c r="AC2300" t="s">
        <v>115</v>
      </c>
      <c r="AD2300">
        <v>2</v>
      </c>
      <c r="AE2300" t="s">
        <v>115</v>
      </c>
      <c r="AF2300">
        <v>0</v>
      </c>
      <c r="AG2300">
        <v>0</v>
      </c>
      <c r="AH2300" t="s">
        <v>116</v>
      </c>
      <c r="AI2300" s="1">
        <v>77404</v>
      </c>
      <c r="AJ2300" s="2">
        <v>0.2</v>
      </c>
      <c r="AK2300" s="1">
        <v>384205</v>
      </c>
      <c r="AL2300" t="s">
        <v>117</v>
      </c>
      <c r="AM2300" t="s">
        <v>229</v>
      </c>
      <c r="AN2300">
        <v>9583</v>
      </c>
      <c r="AO2300">
        <v>0.22</v>
      </c>
      <c r="AP2300">
        <v>1</v>
      </c>
      <c r="AR2300">
        <v>1</v>
      </c>
      <c r="AS2300" s="1">
        <v>27380</v>
      </c>
      <c r="AT2300" s="1">
        <v>5470</v>
      </c>
      <c r="AU2300" s="1">
        <v>21910</v>
      </c>
      <c r="AV2300">
        <v>80.02</v>
      </c>
      <c r="AX2300" s="1">
        <v>3163.48</v>
      </c>
      <c r="AY2300" t="s">
        <v>928</v>
      </c>
      <c r="AZ2300" t="s">
        <v>929</v>
      </c>
      <c r="BA2300" t="s">
        <v>930</v>
      </c>
      <c r="BB2300" s="3">
        <v>42430</v>
      </c>
      <c r="BD2300" t="s">
        <v>842</v>
      </c>
      <c r="BE2300" s="3">
        <v>42216</v>
      </c>
      <c r="BF2300" s="1">
        <v>250000</v>
      </c>
      <c r="BG2300" t="s">
        <v>8049</v>
      </c>
      <c r="BH2300" s="1">
        <v>113.74</v>
      </c>
      <c r="BI2300" s="1">
        <v>306801</v>
      </c>
      <c r="BJ2300" s="3">
        <v>42216</v>
      </c>
      <c r="BK2300" t="s">
        <v>123</v>
      </c>
      <c r="BL2300" t="str">
        <f>"2015.555154"</f>
        <v>2015.555154</v>
      </c>
      <c r="BM2300" t="s">
        <v>5747</v>
      </c>
      <c r="BO2300" t="s">
        <v>15418</v>
      </c>
      <c r="BS2300">
        <v>30</v>
      </c>
      <c r="BW2300" t="str">
        <f>""</f>
        <v/>
      </c>
      <c r="CH2300" t="str">
        <f>""</f>
        <v/>
      </c>
      <c r="CS2300" t="str">
        <f>""</f>
        <v/>
      </c>
    </row>
    <row r="2301" spans="1:97" x14ac:dyDescent="0.25">
      <c r="A2301" t="s">
        <v>3580</v>
      </c>
      <c r="B2301" t="s">
        <v>15419</v>
      </c>
      <c r="C2301" t="s">
        <v>713</v>
      </c>
      <c r="D2301" t="s">
        <v>15419</v>
      </c>
      <c r="E2301" t="s">
        <v>15420</v>
      </c>
      <c r="F2301" t="s">
        <v>108</v>
      </c>
      <c r="H2301" t="s">
        <v>15421</v>
      </c>
      <c r="I2301" t="s">
        <v>203</v>
      </c>
      <c r="J2301" t="s">
        <v>111</v>
      </c>
      <c r="K2301" t="str">
        <f>"85297"</f>
        <v>85297</v>
      </c>
      <c r="L2301" t="s">
        <v>299</v>
      </c>
      <c r="M2301" t="s">
        <v>15421</v>
      </c>
      <c r="N2301" t="s">
        <v>203</v>
      </c>
      <c r="O2301" t="s">
        <v>111</v>
      </c>
      <c r="P2301" t="str">
        <f>"85297"</f>
        <v>85297</v>
      </c>
      <c r="R2301" t="str">
        <f>"304-57-059"</f>
        <v>304-57-059</v>
      </c>
      <c r="S2301" t="s">
        <v>15422</v>
      </c>
      <c r="T2301" t="s">
        <v>15422</v>
      </c>
      <c r="U2301">
        <v>3244</v>
      </c>
      <c r="V2301">
        <v>0</v>
      </c>
      <c r="W2301">
        <v>4</v>
      </c>
      <c r="X2301">
        <v>2004</v>
      </c>
      <c r="Z2301">
        <v>1</v>
      </c>
      <c r="AA2301" t="s">
        <v>26</v>
      </c>
      <c r="AB2301">
        <v>0</v>
      </c>
      <c r="AC2301" t="s">
        <v>115</v>
      </c>
      <c r="AD2301">
        <v>3</v>
      </c>
      <c r="AE2301" t="s">
        <v>115</v>
      </c>
      <c r="AF2301">
        <v>0</v>
      </c>
      <c r="AG2301">
        <v>0</v>
      </c>
      <c r="AH2301" t="s">
        <v>116</v>
      </c>
      <c r="AI2301" s="1">
        <v>-23011</v>
      </c>
      <c r="AJ2301" s="2">
        <v>-0.05</v>
      </c>
      <c r="AK2301" s="1">
        <v>511313</v>
      </c>
      <c r="AL2301" t="s">
        <v>117</v>
      </c>
      <c r="AM2301" t="s">
        <v>1302</v>
      </c>
      <c r="AN2301">
        <v>13300</v>
      </c>
      <c r="AO2301">
        <v>0.3</v>
      </c>
      <c r="AP2301">
        <v>1</v>
      </c>
      <c r="AR2301">
        <v>1</v>
      </c>
      <c r="AS2301" s="1">
        <v>37300</v>
      </c>
      <c r="AT2301" s="1">
        <v>7460</v>
      </c>
      <c r="AU2301" s="1">
        <v>29840</v>
      </c>
      <c r="AV2301">
        <v>80</v>
      </c>
      <c r="AX2301" s="1">
        <v>3247.66</v>
      </c>
      <c r="AY2301" t="s">
        <v>302</v>
      </c>
      <c r="AZ2301" t="s">
        <v>273</v>
      </c>
      <c r="BA2301" t="s">
        <v>303</v>
      </c>
      <c r="BE2301" s="3">
        <v>41838</v>
      </c>
      <c r="BF2301" s="1">
        <v>424500</v>
      </c>
      <c r="BG2301" t="s">
        <v>15423</v>
      </c>
      <c r="BH2301" s="1">
        <v>130.86000000000001</v>
      </c>
      <c r="BI2301" s="1">
        <v>409324</v>
      </c>
      <c r="BJ2301" s="3">
        <v>41838</v>
      </c>
      <c r="BK2301" t="s">
        <v>123</v>
      </c>
      <c r="BL2301" t="str">
        <f>"2014.473503"</f>
        <v>2014.473503</v>
      </c>
      <c r="BM2301" t="s">
        <v>2094</v>
      </c>
      <c r="BN2301" t="s">
        <v>15424</v>
      </c>
      <c r="BO2301" t="s">
        <v>15425</v>
      </c>
      <c r="BS2301">
        <v>30</v>
      </c>
      <c r="BT2301" s="1">
        <v>125000</v>
      </c>
      <c r="BU2301" s="3">
        <v>43752</v>
      </c>
      <c r="BW2301" t="str">
        <f>"2019.815829"</f>
        <v>2019.815829</v>
      </c>
      <c r="BX2301" t="s">
        <v>13270</v>
      </c>
      <c r="BY2301" t="s">
        <v>13271</v>
      </c>
      <c r="BZ2301" t="s">
        <v>15426</v>
      </c>
      <c r="CA2301" t="s">
        <v>15427</v>
      </c>
      <c r="CC2301" t="s">
        <v>346</v>
      </c>
      <c r="CH2301" t="str">
        <f>""</f>
        <v/>
      </c>
      <c r="CS2301" t="str">
        <f>""</f>
        <v/>
      </c>
    </row>
    <row r="2302" spans="1:97" x14ac:dyDescent="0.25">
      <c r="A2302" t="s">
        <v>1308</v>
      </c>
      <c r="B2302" t="s">
        <v>15428</v>
      </c>
      <c r="C2302" t="s">
        <v>15429</v>
      </c>
      <c r="D2302" t="s">
        <v>15428</v>
      </c>
      <c r="E2302" t="s">
        <v>15430</v>
      </c>
      <c r="F2302" t="s">
        <v>108</v>
      </c>
      <c r="H2302" t="s">
        <v>15431</v>
      </c>
      <c r="I2302" t="s">
        <v>225</v>
      </c>
      <c r="J2302" t="s">
        <v>111</v>
      </c>
      <c r="K2302" t="str">
        <f>"85207"</f>
        <v>85207</v>
      </c>
      <c r="L2302" t="s">
        <v>269</v>
      </c>
      <c r="M2302" t="s">
        <v>15431</v>
      </c>
      <c r="N2302" t="s">
        <v>225</v>
      </c>
      <c r="O2302" t="s">
        <v>111</v>
      </c>
      <c r="P2302" t="str">
        <f>"85207-1193"</f>
        <v>85207-1193</v>
      </c>
      <c r="Q2302" t="s">
        <v>113</v>
      </c>
      <c r="R2302" t="str">
        <f>"219-18-309"</f>
        <v>219-18-309</v>
      </c>
      <c r="S2302" t="s">
        <v>15432</v>
      </c>
      <c r="T2302" t="s">
        <v>15432</v>
      </c>
      <c r="U2302">
        <v>2539</v>
      </c>
      <c r="V2302">
        <v>0</v>
      </c>
      <c r="W2302">
        <v>4</v>
      </c>
      <c r="X2302">
        <v>2002</v>
      </c>
      <c r="Z2302">
        <v>1</v>
      </c>
      <c r="AA2302" t="s">
        <v>26</v>
      </c>
      <c r="AB2302">
        <v>0</v>
      </c>
      <c r="AC2302" t="s">
        <v>115</v>
      </c>
      <c r="AD2302">
        <v>3</v>
      </c>
      <c r="AE2302" t="s">
        <v>115</v>
      </c>
      <c r="AF2302">
        <v>0</v>
      </c>
      <c r="AG2302">
        <v>0</v>
      </c>
      <c r="AH2302" t="s">
        <v>116</v>
      </c>
      <c r="AI2302" s="1">
        <v>74492</v>
      </c>
      <c r="AJ2302" s="2">
        <v>0.14000000000000001</v>
      </c>
      <c r="AK2302" s="1">
        <v>525565</v>
      </c>
      <c r="AL2302" t="s">
        <v>117</v>
      </c>
      <c r="AM2302" t="s">
        <v>917</v>
      </c>
      <c r="AN2302">
        <v>11646</v>
      </c>
      <c r="AO2302">
        <v>0.27</v>
      </c>
      <c r="AP2302">
        <v>1</v>
      </c>
      <c r="AR2302">
        <v>1</v>
      </c>
      <c r="AS2302" s="1">
        <v>38420</v>
      </c>
      <c r="AT2302" s="1">
        <v>7680</v>
      </c>
      <c r="AU2302" s="1">
        <v>30740</v>
      </c>
      <c r="AV2302">
        <v>80.010000000000005</v>
      </c>
      <c r="AX2302" s="1">
        <v>3632.98</v>
      </c>
      <c r="AY2302" t="s">
        <v>9337</v>
      </c>
      <c r="AZ2302" t="s">
        <v>231</v>
      </c>
      <c r="BA2302" t="s">
        <v>3119</v>
      </c>
      <c r="BE2302" s="3">
        <v>41948</v>
      </c>
      <c r="BF2302" s="1">
        <v>447000</v>
      </c>
      <c r="BG2302" t="s">
        <v>15433</v>
      </c>
      <c r="BH2302" s="1">
        <v>177.17</v>
      </c>
      <c r="BI2302" s="1">
        <v>451073</v>
      </c>
      <c r="BJ2302" s="3">
        <v>42444</v>
      </c>
      <c r="BK2302" t="s">
        <v>123</v>
      </c>
      <c r="BL2302" t="str">
        <f>"2016.166125"</f>
        <v>2016.166125</v>
      </c>
      <c r="BM2302" t="s">
        <v>544</v>
      </c>
      <c r="BO2302" t="s">
        <v>15434</v>
      </c>
      <c r="BS2302">
        <v>30</v>
      </c>
      <c r="BW2302" t="str">
        <f>""</f>
        <v/>
      </c>
      <c r="CH2302" t="str">
        <f>""</f>
        <v/>
      </c>
      <c r="CS2302" t="str">
        <f>""</f>
        <v/>
      </c>
    </row>
    <row r="2303" spans="1:97" x14ac:dyDescent="0.25">
      <c r="A2303" t="s">
        <v>1088</v>
      </c>
      <c r="B2303" t="s">
        <v>4060</v>
      </c>
      <c r="C2303" t="s">
        <v>1995</v>
      </c>
      <c r="D2303" t="s">
        <v>4060</v>
      </c>
      <c r="E2303" t="s">
        <v>15435</v>
      </c>
      <c r="F2303" t="s">
        <v>108</v>
      </c>
      <c r="H2303" t="s">
        <v>15436</v>
      </c>
      <c r="I2303" t="s">
        <v>6646</v>
      </c>
      <c r="J2303" t="s">
        <v>111</v>
      </c>
      <c r="K2303" t="str">
        <f>"85086"</f>
        <v>85086</v>
      </c>
      <c r="L2303" t="s">
        <v>688</v>
      </c>
      <c r="M2303" t="s">
        <v>15436</v>
      </c>
      <c r="N2303" t="s">
        <v>6646</v>
      </c>
      <c r="O2303" t="s">
        <v>111</v>
      </c>
      <c r="P2303" t="str">
        <f>"85086-6719"</f>
        <v>85086-6719</v>
      </c>
      <c r="Q2303" t="s">
        <v>113</v>
      </c>
      <c r="R2303" t="str">
        <f>"203-11-091"</f>
        <v>203-11-091</v>
      </c>
      <c r="S2303" t="s">
        <v>15437</v>
      </c>
      <c r="U2303">
        <v>3521</v>
      </c>
      <c r="V2303">
        <v>0</v>
      </c>
      <c r="W2303">
        <v>5</v>
      </c>
      <c r="X2303">
        <v>2006</v>
      </c>
      <c r="Z2303">
        <v>2</v>
      </c>
      <c r="AB2303">
        <v>0</v>
      </c>
      <c r="AC2303" t="s">
        <v>115</v>
      </c>
      <c r="AD2303">
        <v>2</v>
      </c>
      <c r="AE2303" t="s">
        <v>115</v>
      </c>
      <c r="AF2303">
        <v>0</v>
      </c>
      <c r="AG2303">
        <v>0</v>
      </c>
      <c r="AH2303" t="s">
        <v>116</v>
      </c>
      <c r="AI2303" s="1">
        <v>74685</v>
      </c>
      <c r="AJ2303" s="2">
        <v>0.18</v>
      </c>
      <c r="AK2303" s="1">
        <v>424685</v>
      </c>
      <c r="AL2303" t="s">
        <v>117</v>
      </c>
      <c r="AM2303" t="s">
        <v>191</v>
      </c>
      <c r="AN2303">
        <v>9795</v>
      </c>
      <c r="AO2303">
        <v>0.22</v>
      </c>
      <c r="AP2303">
        <v>1</v>
      </c>
      <c r="AR2303">
        <v>1</v>
      </c>
      <c r="AS2303" s="1">
        <v>30980</v>
      </c>
      <c r="AT2303" s="1">
        <v>6190</v>
      </c>
      <c r="AU2303" s="1">
        <v>24790</v>
      </c>
      <c r="AV2303">
        <v>80.02</v>
      </c>
      <c r="AX2303" s="1">
        <v>3366.1</v>
      </c>
      <c r="AY2303" t="s">
        <v>5380</v>
      </c>
      <c r="AZ2303" t="s">
        <v>5380</v>
      </c>
      <c r="BA2303" t="s">
        <v>378</v>
      </c>
      <c r="BE2303" s="3">
        <v>42327</v>
      </c>
      <c r="BF2303" s="1">
        <v>325000</v>
      </c>
      <c r="BG2303" t="s">
        <v>15438</v>
      </c>
      <c r="BH2303" s="1">
        <v>92.3</v>
      </c>
      <c r="BI2303" s="1">
        <v>350000</v>
      </c>
      <c r="BJ2303" s="3">
        <v>43579</v>
      </c>
      <c r="BK2303" t="s">
        <v>123</v>
      </c>
      <c r="BL2303" t="str">
        <f>"2019.290396"</f>
        <v>2019.290396</v>
      </c>
      <c r="BM2303" t="s">
        <v>15439</v>
      </c>
      <c r="BN2303" t="s">
        <v>381</v>
      </c>
      <c r="BO2303" t="s">
        <v>15440</v>
      </c>
      <c r="BP2303" t="s">
        <v>15441</v>
      </c>
      <c r="BR2303" t="s">
        <v>139</v>
      </c>
      <c r="BW2303" t="str">
        <f>""</f>
        <v/>
      </c>
      <c r="CH2303" t="str">
        <f>""</f>
        <v/>
      </c>
      <c r="CS2303" t="str">
        <f>""</f>
        <v/>
      </c>
    </row>
    <row r="2304" spans="1:97" x14ac:dyDescent="0.25">
      <c r="A2304" t="s">
        <v>15442</v>
      </c>
      <c r="B2304" t="s">
        <v>15443</v>
      </c>
      <c r="C2304" t="s">
        <v>183</v>
      </c>
      <c r="D2304" t="s">
        <v>15443</v>
      </c>
      <c r="E2304" t="s">
        <v>15444</v>
      </c>
      <c r="F2304" t="s">
        <v>108</v>
      </c>
      <c r="H2304" t="s">
        <v>15445</v>
      </c>
      <c r="I2304" t="s">
        <v>225</v>
      </c>
      <c r="J2304" t="s">
        <v>111</v>
      </c>
      <c r="K2304" t="str">
        <f>"85209"</f>
        <v>85209</v>
      </c>
      <c r="L2304" t="s">
        <v>6316</v>
      </c>
      <c r="M2304" t="s">
        <v>15445</v>
      </c>
      <c r="N2304" t="s">
        <v>225</v>
      </c>
      <c r="O2304" t="s">
        <v>111</v>
      </c>
      <c r="P2304" t="str">
        <f>"85209-2250"</f>
        <v>85209-2250</v>
      </c>
      <c r="Q2304" t="s">
        <v>113</v>
      </c>
      <c r="R2304" t="str">
        <f>"312-01-516"</f>
        <v>312-01-516</v>
      </c>
      <c r="S2304" t="s">
        <v>15446</v>
      </c>
      <c r="U2304">
        <v>2289</v>
      </c>
      <c r="V2304">
        <v>0</v>
      </c>
      <c r="W2304">
        <v>3</v>
      </c>
      <c r="X2304">
        <v>1999</v>
      </c>
      <c r="Z2304">
        <v>1</v>
      </c>
      <c r="AA2304" t="s">
        <v>26</v>
      </c>
      <c r="AB2304">
        <v>0</v>
      </c>
      <c r="AC2304" t="s">
        <v>115</v>
      </c>
      <c r="AD2304">
        <v>3</v>
      </c>
      <c r="AE2304" t="s">
        <v>115</v>
      </c>
      <c r="AF2304">
        <v>0</v>
      </c>
      <c r="AG2304">
        <v>0</v>
      </c>
      <c r="AH2304" t="s">
        <v>116</v>
      </c>
      <c r="AI2304" s="1">
        <v>168572</v>
      </c>
      <c r="AJ2304" s="2">
        <v>0.41</v>
      </c>
      <c r="AK2304" s="1">
        <v>407570</v>
      </c>
      <c r="AL2304" t="s">
        <v>117</v>
      </c>
      <c r="AM2304" t="s">
        <v>917</v>
      </c>
      <c r="AN2304">
        <v>9879</v>
      </c>
      <c r="AO2304">
        <v>0.23</v>
      </c>
      <c r="AP2304">
        <v>1</v>
      </c>
      <c r="AR2304">
        <v>1</v>
      </c>
      <c r="AS2304" s="1">
        <v>28820</v>
      </c>
      <c r="AT2304" s="1">
        <v>5760</v>
      </c>
      <c r="AU2304" s="1">
        <v>23060</v>
      </c>
      <c r="AV2304">
        <v>80.010000000000005</v>
      </c>
      <c r="AX2304" s="1">
        <v>2258.7199999999998</v>
      </c>
      <c r="AY2304" t="s">
        <v>4370</v>
      </c>
      <c r="AZ2304" t="s">
        <v>777</v>
      </c>
      <c r="BA2304" t="s">
        <v>572</v>
      </c>
      <c r="BE2304" s="3">
        <v>41899</v>
      </c>
      <c r="BF2304" s="1">
        <v>311500</v>
      </c>
      <c r="BG2304" t="s">
        <v>15447</v>
      </c>
      <c r="BH2304" s="1">
        <v>136.09</v>
      </c>
      <c r="BI2304" s="1">
        <v>238998</v>
      </c>
      <c r="BJ2304" s="3">
        <v>42538</v>
      </c>
      <c r="BK2304" t="s">
        <v>123</v>
      </c>
      <c r="BL2304" t="str">
        <f>"2016.423305"</f>
        <v>2016.423305</v>
      </c>
      <c r="BM2304" t="s">
        <v>255</v>
      </c>
      <c r="BO2304" t="s">
        <v>15448</v>
      </c>
      <c r="BS2304">
        <v>30</v>
      </c>
      <c r="BW2304" t="str">
        <f>""</f>
        <v/>
      </c>
      <c r="CH2304" t="str">
        <f>""</f>
        <v/>
      </c>
      <c r="CS2304" t="str">
        <f>""</f>
        <v/>
      </c>
    </row>
    <row r="2305" spans="1:97" x14ac:dyDescent="0.25">
      <c r="B2305" t="s">
        <v>15449</v>
      </c>
      <c r="E2305" t="s">
        <v>15449</v>
      </c>
      <c r="F2305" t="s">
        <v>108</v>
      </c>
      <c r="H2305" t="s">
        <v>15450</v>
      </c>
      <c r="I2305" t="s">
        <v>453</v>
      </c>
      <c r="J2305" t="s">
        <v>111</v>
      </c>
      <c r="K2305" t="str">
        <f>"85382"</f>
        <v>85382</v>
      </c>
      <c r="L2305" t="s">
        <v>6788</v>
      </c>
      <c r="M2305" t="s">
        <v>15450</v>
      </c>
      <c r="N2305" t="s">
        <v>453</v>
      </c>
      <c r="O2305" t="s">
        <v>111</v>
      </c>
      <c r="P2305" t="str">
        <f>"85382-4156"</f>
        <v>85382-4156</v>
      </c>
      <c r="Q2305" t="s">
        <v>113</v>
      </c>
      <c r="R2305" t="str">
        <f>"200-38-351"</f>
        <v>200-38-351</v>
      </c>
      <c r="S2305" t="s">
        <v>10041</v>
      </c>
      <c r="T2305" t="s">
        <v>10042</v>
      </c>
      <c r="U2305">
        <v>2147</v>
      </c>
      <c r="V2305">
        <v>0</v>
      </c>
      <c r="W2305">
        <v>3</v>
      </c>
      <c r="X2305">
        <v>1987</v>
      </c>
      <c r="Z2305">
        <v>1</v>
      </c>
      <c r="AB2305">
        <v>0</v>
      </c>
      <c r="AC2305" t="s">
        <v>115</v>
      </c>
      <c r="AD2305">
        <v>2</v>
      </c>
      <c r="AE2305" t="s">
        <v>115</v>
      </c>
      <c r="AF2305">
        <v>0</v>
      </c>
      <c r="AG2305">
        <v>0</v>
      </c>
      <c r="AH2305" t="s">
        <v>116</v>
      </c>
      <c r="AI2305" s="1">
        <v>30972</v>
      </c>
      <c r="AJ2305" s="2">
        <v>0.09</v>
      </c>
      <c r="AK2305" s="1">
        <v>360972</v>
      </c>
      <c r="AL2305" t="s">
        <v>117</v>
      </c>
      <c r="AM2305" t="s">
        <v>393</v>
      </c>
      <c r="AN2305">
        <v>7400</v>
      </c>
      <c r="AO2305">
        <v>0.17</v>
      </c>
      <c r="AP2305">
        <v>1</v>
      </c>
      <c r="AR2305">
        <v>1</v>
      </c>
      <c r="AS2305" s="1">
        <v>25760</v>
      </c>
      <c r="AT2305" s="1">
        <v>5150</v>
      </c>
      <c r="AU2305" s="1">
        <v>20610</v>
      </c>
      <c r="AV2305">
        <v>80.010000000000005</v>
      </c>
      <c r="AX2305" s="1">
        <v>2561.7199999999998</v>
      </c>
      <c r="AY2305" t="s">
        <v>7828</v>
      </c>
      <c r="AZ2305" t="s">
        <v>7828</v>
      </c>
      <c r="BA2305" t="s">
        <v>4219</v>
      </c>
      <c r="BE2305" s="3">
        <v>41969</v>
      </c>
      <c r="BF2305" s="1">
        <v>280000</v>
      </c>
      <c r="BG2305" t="s">
        <v>15451</v>
      </c>
      <c r="BH2305" s="1">
        <v>130.41</v>
      </c>
      <c r="BI2305" s="1">
        <v>330000</v>
      </c>
      <c r="BJ2305" s="3">
        <v>42702</v>
      </c>
      <c r="BK2305" t="s">
        <v>123</v>
      </c>
      <c r="BL2305" t="str">
        <f>"2016.872288"</f>
        <v>2016.872288</v>
      </c>
      <c r="BM2305" t="s">
        <v>3810</v>
      </c>
      <c r="BO2305" t="s">
        <v>15452</v>
      </c>
      <c r="BS2305">
        <v>30</v>
      </c>
      <c r="BW2305" t="str">
        <f>""</f>
        <v/>
      </c>
      <c r="CH2305" t="str">
        <f>""</f>
        <v/>
      </c>
      <c r="CS2305" t="str">
        <f>""</f>
        <v/>
      </c>
    </row>
    <row r="2306" spans="1:97" x14ac:dyDescent="0.25">
      <c r="A2306" t="s">
        <v>15453</v>
      </c>
      <c r="B2306" t="s">
        <v>364</v>
      </c>
      <c r="C2306" t="s">
        <v>727</v>
      </c>
      <c r="D2306" t="s">
        <v>364</v>
      </c>
      <c r="E2306" t="s">
        <v>15454</v>
      </c>
      <c r="F2306" t="s">
        <v>108</v>
      </c>
      <c r="H2306" t="s">
        <v>15455</v>
      </c>
      <c r="I2306" t="s">
        <v>5387</v>
      </c>
      <c r="J2306" t="s">
        <v>111</v>
      </c>
      <c r="K2306" t="str">
        <f>"85284"</f>
        <v>85284</v>
      </c>
      <c r="L2306" t="s">
        <v>2197</v>
      </c>
      <c r="M2306" t="s">
        <v>15455</v>
      </c>
      <c r="N2306" t="s">
        <v>5387</v>
      </c>
      <c r="O2306" t="s">
        <v>111</v>
      </c>
      <c r="P2306" t="str">
        <f>"85284-3111"</f>
        <v>85284-3111</v>
      </c>
      <c r="Q2306" t="s">
        <v>113</v>
      </c>
      <c r="R2306" t="str">
        <f>"301-61-279"</f>
        <v>301-61-279</v>
      </c>
      <c r="S2306" t="s">
        <v>15456</v>
      </c>
      <c r="T2306" t="s">
        <v>12495</v>
      </c>
      <c r="U2306">
        <v>1979</v>
      </c>
      <c r="V2306">
        <v>0</v>
      </c>
      <c r="W2306">
        <v>3</v>
      </c>
      <c r="X2306">
        <v>1985</v>
      </c>
      <c r="Z2306">
        <v>1</v>
      </c>
      <c r="AA2306" t="s">
        <v>26</v>
      </c>
      <c r="AB2306">
        <v>0</v>
      </c>
      <c r="AC2306" t="s">
        <v>115</v>
      </c>
      <c r="AD2306">
        <v>2</v>
      </c>
      <c r="AE2306" t="s">
        <v>115</v>
      </c>
      <c r="AF2306">
        <v>0</v>
      </c>
      <c r="AG2306">
        <v>0</v>
      </c>
      <c r="AH2306" t="s">
        <v>116</v>
      </c>
      <c r="AI2306" s="1">
        <v>98722</v>
      </c>
      <c r="AJ2306" s="2">
        <v>0.24</v>
      </c>
      <c r="AK2306" s="1">
        <v>403222</v>
      </c>
      <c r="AL2306" t="s">
        <v>117</v>
      </c>
      <c r="AM2306" t="s">
        <v>393</v>
      </c>
      <c r="AN2306">
        <v>10655</v>
      </c>
      <c r="AO2306">
        <v>0.24</v>
      </c>
      <c r="AP2306">
        <v>1</v>
      </c>
      <c r="AR2306">
        <v>1</v>
      </c>
      <c r="AS2306" s="1">
        <v>30150</v>
      </c>
      <c r="AT2306" s="1">
        <v>6030</v>
      </c>
      <c r="AU2306" s="1">
        <v>24120</v>
      </c>
      <c r="AV2306">
        <v>80</v>
      </c>
      <c r="AX2306" s="1">
        <v>2804.68</v>
      </c>
      <c r="AY2306" t="s">
        <v>12496</v>
      </c>
      <c r="AZ2306" t="s">
        <v>5201</v>
      </c>
      <c r="BA2306" t="s">
        <v>5202</v>
      </c>
      <c r="BE2306" s="3">
        <v>42107</v>
      </c>
      <c r="BF2306" s="1">
        <v>324000</v>
      </c>
      <c r="BG2306" t="s">
        <v>15457</v>
      </c>
      <c r="BH2306" s="1">
        <v>163.72</v>
      </c>
      <c r="BI2306" s="1">
        <v>304500</v>
      </c>
      <c r="BJ2306" s="3">
        <v>42107</v>
      </c>
      <c r="BK2306" t="s">
        <v>123</v>
      </c>
      <c r="BL2306" t="str">
        <f>"2015.251904"</f>
        <v>2015.251904</v>
      </c>
      <c r="BM2306" t="s">
        <v>1201</v>
      </c>
      <c r="BO2306" t="s">
        <v>15458</v>
      </c>
      <c r="BS2306">
        <v>30</v>
      </c>
      <c r="BW2306" t="str">
        <f>""</f>
        <v/>
      </c>
      <c r="CH2306" t="str">
        <f>""</f>
        <v/>
      </c>
      <c r="CS2306" t="str">
        <f>""</f>
        <v/>
      </c>
    </row>
    <row r="2307" spans="1:97" x14ac:dyDescent="0.25">
      <c r="A2307" t="s">
        <v>894</v>
      </c>
      <c r="B2307" t="s">
        <v>15459</v>
      </c>
      <c r="C2307" t="s">
        <v>489</v>
      </c>
      <c r="D2307" t="s">
        <v>15459</v>
      </c>
      <c r="E2307" t="s">
        <v>15460</v>
      </c>
      <c r="F2307" t="s">
        <v>108</v>
      </c>
      <c r="H2307" t="s">
        <v>15461</v>
      </c>
      <c r="I2307" t="s">
        <v>188</v>
      </c>
      <c r="J2307" t="s">
        <v>111</v>
      </c>
      <c r="K2307" t="str">
        <f>"85142"</f>
        <v>85142</v>
      </c>
      <c r="L2307" t="s">
        <v>5291</v>
      </c>
      <c r="M2307" t="s">
        <v>15461</v>
      </c>
      <c r="N2307" t="s">
        <v>188</v>
      </c>
      <c r="O2307" t="s">
        <v>111</v>
      </c>
      <c r="P2307" t="str">
        <f>"85142-4903"</f>
        <v>85142-4903</v>
      </c>
      <c r="R2307" t="str">
        <f>"314-04-350"</f>
        <v>314-04-350</v>
      </c>
      <c r="S2307" t="s">
        <v>15462</v>
      </c>
      <c r="U2307">
        <v>1723</v>
      </c>
      <c r="V2307">
        <v>0</v>
      </c>
      <c r="W2307">
        <v>3</v>
      </c>
      <c r="X2307">
        <v>2006</v>
      </c>
      <c r="Z2307">
        <v>1</v>
      </c>
      <c r="AB2307">
        <v>0</v>
      </c>
      <c r="AC2307" t="s">
        <v>115</v>
      </c>
      <c r="AD2307">
        <v>2</v>
      </c>
      <c r="AE2307" t="s">
        <v>115</v>
      </c>
      <c r="AF2307">
        <v>0</v>
      </c>
      <c r="AG2307">
        <v>0</v>
      </c>
      <c r="AH2307" t="s">
        <v>116</v>
      </c>
      <c r="AI2307" s="1">
        <v>-166380</v>
      </c>
      <c r="AJ2307" s="2">
        <v>-0.56000000000000005</v>
      </c>
      <c r="AK2307" s="1">
        <v>299420</v>
      </c>
      <c r="AL2307" t="s">
        <v>117</v>
      </c>
      <c r="AM2307" t="s">
        <v>191</v>
      </c>
      <c r="AN2307">
        <v>7284</v>
      </c>
      <c r="AO2307">
        <v>0.17</v>
      </c>
      <c r="AR2307">
        <v>1</v>
      </c>
      <c r="AS2307" s="1">
        <v>19870</v>
      </c>
      <c r="AT2307" s="1">
        <v>3970</v>
      </c>
      <c r="AU2307" s="1">
        <v>15900</v>
      </c>
      <c r="AV2307">
        <v>80.02</v>
      </c>
      <c r="AX2307" s="1">
        <v>1837.2</v>
      </c>
      <c r="AY2307" t="s">
        <v>192</v>
      </c>
      <c r="AZ2307" t="s">
        <v>193</v>
      </c>
      <c r="BA2307" t="s">
        <v>194</v>
      </c>
      <c r="BE2307" s="3">
        <v>42531</v>
      </c>
      <c r="BF2307" s="1">
        <v>228000</v>
      </c>
      <c r="BG2307" t="s">
        <v>15463</v>
      </c>
      <c r="BH2307" s="1">
        <v>132.33000000000001</v>
      </c>
      <c r="BI2307" s="1">
        <v>232900</v>
      </c>
      <c r="BJ2307" s="3">
        <v>42531</v>
      </c>
      <c r="BK2307" t="s">
        <v>123</v>
      </c>
      <c r="BL2307" t="str">
        <f>"2016.405831"</f>
        <v>2016.405831</v>
      </c>
      <c r="BM2307" t="s">
        <v>124</v>
      </c>
      <c r="BN2307" t="s">
        <v>1575</v>
      </c>
      <c r="BO2307" t="s">
        <v>15464</v>
      </c>
      <c r="BS2307">
        <v>30</v>
      </c>
      <c r="BT2307" s="1">
        <v>232900</v>
      </c>
      <c r="BU2307" s="3">
        <v>43398</v>
      </c>
      <c r="BV2307" t="s">
        <v>123</v>
      </c>
      <c r="BW2307" t="str">
        <f>"2018.799305"</f>
        <v>2018.799305</v>
      </c>
      <c r="BX2307" t="s">
        <v>2042</v>
      </c>
      <c r="BY2307" t="s">
        <v>1575</v>
      </c>
      <c r="BZ2307" t="s">
        <v>15465</v>
      </c>
      <c r="CA2307" t="s">
        <v>15466</v>
      </c>
      <c r="CC2307" t="s">
        <v>139</v>
      </c>
      <c r="CH2307" t="str">
        <f>""</f>
        <v/>
      </c>
      <c r="CS2307" t="str">
        <f>""</f>
        <v/>
      </c>
    </row>
    <row r="2308" spans="1:97" x14ac:dyDescent="0.25">
      <c r="A2308" t="s">
        <v>1344</v>
      </c>
      <c r="B2308" t="s">
        <v>9875</v>
      </c>
      <c r="C2308" t="s">
        <v>2530</v>
      </c>
      <c r="D2308" t="s">
        <v>9875</v>
      </c>
      <c r="E2308" t="s">
        <v>15467</v>
      </c>
      <c r="F2308" t="s">
        <v>108</v>
      </c>
      <c r="H2308" t="s">
        <v>15468</v>
      </c>
      <c r="I2308" t="s">
        <v>110</v>
      </c>
      <c r="J2308" t="s">
        <v>111</v>
      </c>
      <c r="K2308" t="str">
        <f>"85286"</f>
        <v>85286</v>
      </c>
      <c r="L2308" t="s">
        <v>375</v>
      </c>
      <c r="M2308" t="s">
        <v>15468</v>
      </c>
      <c r="N2308" t="s">
        <v>110</v>
      </c>
      <c r="O2308" t="s">
        <v>111</v>
      </c>
      <c r="P2308" t="str">
        <f>"85286-5714"</f>
        <v>85286-5714</v>
      </c>
      <c r="Q2308" t="s">
        <v>113</v>
      </c>
      <c r="R2308" t="str">
        <f>"304-56-337"</f>
        <v>304-56-337</v>
      </c>
      <c r="S2308" t="s">
        <v>15469</v>
      </c>
      <c r="T2308" t="s">
        <v>15470</v>
      </c>
      <c r="U2308">
        <v>2048</v>
      </c>
      <c r="V2308">
        <v>0</v>
      </c>
      <c r="W2308">
        <v>3</v>
      </c>
      <c r="X2308">
        <v>2004</v>
      </c>
      <c r="Z2308">
        <v>1</v>
      </c>
      <c r="AA2308" t="s">
        <v>26</v>
      </c>
      <c r="AB2308">
        <v>0</v>
      </c>
      <c r="AC2308" t="s">
        <v>115</v>
      </c>
      <c r="AD2308">
        <v>3</v>
      </c>
      <c r="AE2308" t="s">
        <v>115</v>
      </c>
      <c r="AF2308">
        <v>0</v>
      </c>
      <c r="AG2308">
        <v>0</v>
      </c>
      <c r="AH2308" t="s">
        <v>116</v>
      </c>
      <c r="AI2308" s="1">
        <v>56233</v>
      </c>
      <c r="AJ2308" s="2">
        <v>0.14000000000000001</v>
      </c>
      <c r="AK2308" s="1">
        <v>407978</v>
      </c>
      <c r="AL2308" t="s">
        <v>117</v>
      </c>
      <c r="AM2308" t="s">
        <v>118</v>
      </c>
      <c r="AN2308">
        <v>8513</v>
      </c>
      <c r="AO2308">
        <v>0.2</v>
      </c>
      <c r="AP2308">
        <v>1</v>
      </c>
      <c r="AR2308">
        <v>1</v>
      </c>
      <c r="AS2308" s="1">
        <v>28850</v>
      </c>
      <c r="AT2308" s="1">
        <v>5770</v>
      </c>
      <c r="AU2308" s="1">
        <v>23080</v>
      </c>
      <c r="AV2308">
        <v>80</v>
      </c>
      <c r="AX2308" s="1">
        <v>2405.98</v>
      </c>
      <c r="AY2308" t="s">
        <v>737</v>
      </c>
      <c r="AZ2308" t="s">
        <v>120</v>
      </c>
      <c r="BA2308" t="s">
        <v>303</v>
      </c>
      <c r="BE2308" s="3">
        <v>42121</v>
      </c>
      <c r="BF2308" s="1">
        <v>348000</v>
      </c>
      <c r="BG2308" t="s">
        <v>15471</v>
      </c>
      <c r="BH2308" s="1">
        <v>169.92</v>
      </c>
      <c r="BI2308" s="1">
        <v>351745</v>
      </c>
      <c r="BJ2308" s="3">
        <v>42622</v>
      </c>
      <c r="BK2308" t="s">
        <v>123</v>
      </c>
      <c r="BL2308" t="str">
        <f>"2016.655580"</f>
        <v>2016.655580</v>
      </c>
      <c r="BM2308" t="s">
        <v>955</v>
      </c>
      <c r="BO2308" t="s">
        <v>15472</v>
      </c>
      <c r="BS2308">
        <v>30</v>
      </c>
      <c r="BW2308" t="str">
        <f>""</f>
        <v/>
      </c>
      <c r="CH2308" t="str">
        <f>""</f>
        <v/>
      </c>
      <c r="CS2308" t="str">
        <f>""</f>
        <v/>
      </c>
    </row>
    <row r="2309" spans="1:97" x14ac:dyDescent="0.25">
      <c r="A2309" t="s">
        <v>140</v>
      </c>
      <c r="B2309" t="s">
        <v>3395</v>
      </c>
      <c r="E2309" t="s">
        <v>15473</v>
      </c>
      <c r="F2309" t="s">
        <v>108</v>
      </c>
      <c r="H2309" t="s">
        <v>15474</v>
      </c>
      <c r="I2309" t="s">
        <v>2874</v>
      </c>
      <c r="J2309" t="s">
        <v>111</v>
      </c>
      <c r="K2309" t="str">
        <f>"85308"</f>
        <v>85308</v>
      </c>
      <c r="L2309" t="s">
        <v>15475</v>
      </c>
      <c r="M2309" t="s">
        <v>15474</v>
      </c>
      <c r="N2309" t="s">
        <v>2874</v>
      </c>
      <c r="O2309" t="s">
        <v>111</v>
      </c>
      <c r="P2309" t="str">
        <f>"85308-9178"</f>
        <v>85308-9178</v>
      </c>
      <c r="Q2309" t="s">
        <v>113</v>
      </c>
      <c r="R2309" t="str">
        <f>"200-23-734"</f>
        <v>200-23-734</v>
      </c>
      <c r="S2309" t="s">
        <v>15476</v>
      </c>
      <c r="T2309" t="s">
        <v>15477</v>
      </c>
      <c r="U2309">
        <v>2164</v>
      </c>
      <c r="V2309">
        <v>0</v>
      </c>
      <c r="W2309">
        <v>3</v>
      </c>
      <c r="X2309">
        <v>1995</v>
      </c>
      <c r="Z2309">
        <v>1</v>
      </c>
      <c r="AB2309">
        <v>0</v>
      </c>
      <c r="AC2309" t="s">
        <v>115</v>
      </c>
      <c r="AD2309">
        <v>3</v>
      </c>
      <c r="AE2309" t="s">
        <v>115</v>
      </c>
      <c r="AF2309">
        <v>0</v>
      </c>
      <c r="AG2309">
        <v>0</v>
      </c>
      <c r="AH2309" t="s">
        <v>116</v>
      </c>
      <c r="AI2309" s="1">
        <v>86945</v>
      </c>
      <c r="AJ2309" s="2">
        <v>0.22</v>
      </c>
      <c r="AK2309" s="1">
        <v>391189</v>
      </c>
      <c r="AL2309" t="s">
        <v>117</v>
      </c>
      <c r="AM2309" t="s">
        <v>393</v>
      </c>
      <c r="AN2309">
        <v>7832</v>
      </c>
      <c r="AO2309">
        <v>0.18</v>
      </c>
      <c r="AP2309">
        <v>1</v>
      </c>
      <c r="AR2309">
        <v>1</v>
      </c>
      <c r="AS2309" s="1">
        <v>27630</v>
      </c>
      <c r="AT2309" s="1">
        <v>5520</v>
      </c>
      <c r="AU2309" s="1">
        <v>22110</v>
      </c>
      <c r="AV2309">
        <v>80.02</v>
      </c>
      <c r="AX2309" s="1">
        <v>2827.32</v>
      </c>
      <c r="AY2309" t="s">
        <v>7455</v>
      </c>
      <c r="AZ2309" t="s">
        <v>3049</v>
      </c>
      <c r="BA2309" t="s">
        <v>2223</v>
      </c>
      <c r="BE2309" s="3">
        <v>41926</v>
      </c>
      <c r="BF2309" s="1">
        <v>310670</v>
      </c>
      <c r="BG2309" t="s">
        <v>15478</v>
      </c>
      <c r="BH2309" s="1">
        <v>143.56</v>
      </c>
      <c r="BI2309" s="1">
        <v>304244</v>
      </c>
      <c r="BJ2309" s="3">
        <v>42474</v>
      </c>
      <c r="BK2309" t="s">
        <v>123</v>
      </c>
      <c r="BL2309" t="str">
        <f>"2016.245656"</f>
        <v>2016.245656</v>
      </c>
      <c r="BM2309" t="s">
        <v>2383</v>
      </c>
      <c r="BO2309" t="s">
        <v>15479</v>
      </c>
      <c r="BS2309">
        <v>30</v>
      </c>
      <c r="BW2309" t="str">
        <f>""</f>
        <v/>
      </c>
      <c r="CH2309" t="str">
        <f>""</f>
        <v/>
      </c>
      <c r="CS2309" t="str">
        <f>""</f>
        <v/>
      </c>
    </row>
    <row r="2310" spans="1:97" x14ac:dyDescent="0.25">
      <c r="A2310" t="s">
        <v>4863</v>
      </c>
      <c r="B2310" t="s">
        <v>15480</v>
      </c>
      <c r="E2310" t="s">
        <v>15481</v>
      </c>
      <c r="F2310" t="s">
        <v>108</v>
      </c>
      <c r="H2310" t="s">
        <v>15482</v>
      </c>
      <c r="I2310" t="s">
        <v>144</v>
      </c>
      <c r="J2310" t="s">
        <v>111</v>
      </c>
      <c r="K2310" t="str">
        <f>"85396"</f>
        <v>85396</v>
      </c>
      <c r="L2310" t="s">
        <v>1244</v>
      </c>
      <c r="M2310" t="s">
        <v>15482</v>
      </c>
      <c r="N2310" t="s">
        <v>144</v>
      </c>
      <c r="O2310" t="s">
        <v>111</v>
      </c>
      <c r="P2310" t="str">
        <f>"85396-8382"</f>
        <v>85396-8382</v>
      </c>
      <c r="Q2310" t="s">
        <v>113</v>
      </c>
      <c r="R2310" t="str">
        <f>"502-81-029"</f>
        <v>502-81-029</v>
      </c>
      <c r="S2310" t="s">
        <v>15392</v>
      </c>
      <c r="U2310">
        <v>3150</v>
      </c>
      <c r="V2310">
        <v>0</v>
      </c>
      <c r="W2310">
        <v>4</v>
      </c>
      <c r="X2310">
        <v>2006</v>
      </c>
      <c r="Z2310">
        <v>1</v>
      </c>
      <c r="AA2310" t="s">
        <v>26</v>
      </c>
      <c r="AB2310">
        <v>0</v>
      </c>
      <c r="AC2310" t="s">
        <v>115</v>
      </c>
      <c r="AD2310">
        <v>3</v>
      </c>
      <c r="AE2310" t="s">
        <v>115</v>
      </c>
      <c r="AF2310">
        <v>0</v>
      </c>
      <c r="AG2310">
        <v>0</v>
      </c>
      <c r="AH2310" t="s">
        <v>116</v>
      </c>
      <c r="AI2310" s="1">
        <v>88032</v>
      </c>
      <c r="AJ2310" s="2">
        <v>0.18</v>
      </c>
      <c r="AK2310" s="1">
        <v>486417</v>
      </c>
      <c r="AL2310" t="s">
        <v>117</v>
      </c>
      <c r="AM2310" t="s">
        <v>118</v>
      </c>
      <c r="AN2310">
        <v>13993</v>
      </c>
      <c r="AO2310">
        <v>0.32</v>
      </c>
      <c r="AR2310">
        <v>1</v>
      </c>
      <c r="AS2310" s="1">
        <v>37050</v>
      </c>
      <c r="AT2310" s="1">
        <v>7410</v>
      </c>
      <c r="AU2310" s="1">
        <v>29640</v>
      </c>
      <c r="AV2310">
        <v>80</v>
      </c>
      <c r="AX2310" s="1">
        <v>4323.18</v>
      </c>
      <c r="AY2310" t="s">
        <v>217</v>
      </c>
      <c r="AZ2310" t="s">
        <v>217</v>
      </c>
      <c r="BA2310" t="s">
        <v>218</v>
      </c>
      <c r="BE2310" s="3">
        <v>41779</v>
      </c>
      <c r="BF2310" s="1">
        <v>390000</v>
      </c>
      <c r="BG2310" t="s">
        <v>15483</v>
      </c>
      <c r="BH2310" s="1">
        <v>123.81</v>
      </c>
      <c r="BI2310" s="1">
        <v>398385</v>
      </c>
      <c r="BJ2310" s="3">
        <v>41779</v>
      </c>
      <c r="BK2310" t="s">
        <v>123</v>
      </c>
      <c r="BL2310" t="str">
        <f>"2014.326726"</f>
        <v>2014.326726</v>
      </c>
      <c r="BM2310" t="s">
        <v>2051</v>
      </c>
      <c r="BO2310" t="s">
        <v>15484</v>
      </c>
      <c r="BS2310">
        <v>30</v>
      </c>
      <c r="BW2310" t="str">
        <f>""</f>
        <v/>
      </c>
      <c r="CH2310" t="str">
        <f>""</f>
        <v/>
      </c>
      <c r="CS2310" t="str">
        <f>""</f>
        <v/>
      </c>
    </row>
    <row r="2311" spans="1:97" x14ac:dyDescent="0.25">
      <c r="A2311" t="s">
        <v>464</v>
      </c>
      <c r="B2311" t="s">
        <v>15485</v>
      </c>
      <c r="C2311" t="s">
        <v>524</v>
      </c>
      <c r="D2311" t="s">
        <v>15485</v>
      </c>
      <c r="E2311" t="s">
        <v>15486</v>
      </c>
      <c r="F2311" t="s">
        <v>108</v>
      </c>
      <c r="H2311" t="s">
        <v>15487</v>
      </c>
      <c r="I2311" t="s">
        <v>167</v>
      </c>
      <c r="J2311" t="s">
        <v>111</v>
      </c>
      <c r="K2311" t="str">
        <f>"85339"</f>
        <v>85339</v>
      </c>
      <c r="L2311" t="s">
        <v>5637</v>
      </c>
      <c r="M2311" t="s">
        <v>15487</v>
      </c>
      <c r="N2311" t="s">
        <v>167</v>
      </c>
      <c r="O2311" t="s">
        <v>111</v>
      </c>
      <c r="P2311" t="str">
        <f>"85339-5231"</f>
        <v>85339-5231</v>
      </c>
      <c r="Q2311" t="s">
        <v>113</v>
      </c>
      <c r="R2311" t="str">
        <f>"300-15-481"</f>
        <v>300-15-481</v>
      </c>
      <c r="S2311" t="s">
        <v>14428</v>
      </c>
      <c r="T2311" t="s">
        <v>14429</v>
      </c>
      <c r="U2311">
        <v>2357</v>
      </c>
      <c r="V2311">
        <v>0</v>
      </c>
      <c r="W2311">
        <v>5</v>
      </c>
      <c r="X2311">
        <v>2016</v>
      </c>
      <c r="Z2311">
        <v>1</v>
      </c>
      <c r="AB2311">
        <v>0</v>
      </c>
      <c r="AC2311" t="s">
        <v>115</v>
      </c>
      <c r="AD2311">
        <v>3</v>
      </c>
      <c r="AE2311" t="s">
        <v>115</v>
      </c>
      <c r="AF2311">
        <v>0</v>
      </c>
      <c r="AG2311">
        <v>0</v>
      </c>
      <c r="AH2311" t="s">
        <v>116</v>
      </c>
      <c r="AI2311" s="1">
        <v>40316</v>
      </c>
      <c r="AJ2311" s="2">
        <v>0.12</v>
      </c>
      <c r="AK2311" s="1">
        <v>341658</v>
      </c>
      <c r="AL2311" t="s">
        <v>117</v>
      </c>
      <c r="AM2311" t="s">
        <v>171</v>
      </c>
      <c r="AN2311">
        <v>8391</v>
      </c>
      <c r="AO2311">
        <v>0.19</v>
      </c>
      <c r="AR2311">
        <v>1</v>
      </c>
      <c r="AS2311" s="1">
        <v>26400</v>
      </c>
      <c r="AT2311" s="1">
        <v>5280</v>
      </c>
      <c r="AU2311" s="1">
        <v>21120</v>
      </c>
      <c r="AV2311">
        <v>80</v>
      </c>
      <c r="AX2311" s="1">
        <v>3497.36</v>
      </c>
      <c r="AY2311" t="s">
        <v>805</v>
      </c>
      <c r="AZ2311" t="s">
        <v>806</v>
      </c>
      <c r="BA2311" t="s">
        <v>173</v>
      </c>
      <c r="BE2311" s="3">
        <v>42475</v>
      </c>
      <c r="BF2311" s="1">
        <v>299699</v>
      </c>
      <c r="BG2311" t="s">
        <v>2387</v>
      </c>
      <c r="BH2311" s="1">
        <v>127.15</v>
      </c>
      <c r="BI2311" s="1">
        <v>301342</v>
      </c>
      <c r="BJ2311" s="3">
        <v>42475</v>
      </c>
      <c r="BK2311" t="s">
        <v>123</v>
      </c>
      <c r="BL2311" t="str">
        <f>"2016.252096"</f>
        <v>2016.252096</v>
      </c>
      <c r="BM2311" t="s">
        <v>241</v>
      </c>
      <c r="BO2311" t="s">
        <v>15488</v>
      </c>
      <c r="BS2311">
        <v>30</v>
      </c>
      <c r="BW2311" t="str">
        <f>""</f>
        <v/>
      </c>
      <c r="CH2311" t="str">
        <f>""</f>
        <v/>
      </c>
      <c r="CS2311" t="str">
        <f>""</f>
        <v/>
      </c>
    </row>
    <row r="2312" spans="1:97" x14ac:dyDescent="0.25">
      <c r="A2312" t="s">
        <v>5941</v>
      </c>
      <c r="B2312" t="s">
        <v>15489</v>
      </c>
      <c r="C2312" t="s">
        <v>15490</v>
      </c>
      <c r="D2312" t="s">
        <v>15489</v>
      </c>
      <c r="E2312" t="s">
        <v>15491</v>
      </c>
      <c r="F2312" t="s">
        <v>108</v>
      </c>
      <c r="H2312" t="s">
        <v>15492</v>
      </c>
      <c r="I2312" t="s">
        <v>167</v>
      </c>
      <c r="J2312" t="s">
        <v>111</v>
      </c>
      <c r="K2312" t="str">
        <f>"85339"</f>
        <v>85339</v>
      </c>
      <c r="L2312" t="s">
        <v>2765</v>
      </c>
      <c r="M2312" t="s">
        <v>15492</v>
      </c>
      <c r="N2312" t="s">
        <v>167</v>
      </c>
      <c r="O2312" t="s">
        <v>111</v>
      </c>
      <c r="P2312" t="str">
        <f>"85339-2111"</f>
        <v>85339-2111</v>
      </c>
      <c r="Q2312" t="s">
        <v>113</v>
      </c>
      <c r="R2312" t="str">
        <f>"300-12-003-T"</f>
        <v>300-12-003-T</v>
      </c>
      <c r="U2312">
        <v>2771</v>
      </c>
      <c r="V2312">
        <v>0</v>
      </c>
      <c r="W2312">
        <v>3</v>
      </c>
      <c r="X2312">
        <v>2000</v>
      </c>
      <c r="Z2312">
        <v>1</v>
      </c>
      <c r="AA2312" t="s">
        <v>26</v>
      </c>
      <c r="AB2312">
        <v>0</v>
      </c>
      <c r="AC2312" t="s">
        <v>115</v>
      </c>
      <c r="AD2312">
        <v>2</v>
      </c>
      <c r="AE2312" t="s">
        <v>115</v>
      </c>
      <c r="AF2312">
        <v>0</v>
      </c>
      <c r="AG2312">
        <v>0</v>
      </c>
      <c r="AH2312" t="s">
        <v>116</v>
      </c>
      <c r="AI2312" s="1">
        <v>106760</v>
      </c>
      <c r="AJ2312" s="2">
        <v>0.25</v>
      </c>
      <c r="AK2312" s="1">
        <v>432155</v>
      </c>
      <c r="AL2312" t="s">
        <v>117</v>
      </c>
      <c r="AM2312" t="s">
        <v>376</v>
      </c>
      <c r="AN2312">
        <v>43992</v>
      </c>
      <c r="AO2312">
        <v>1.01</v>
      </c>
      <c r="AP2312">
        <v>1</v>
      </c>
      <c r="AR2312">
        <v>1</v>
      </c>
      <c r="AS2312" s="1">
        <v>34630</v>
      </c>
      <c r="AT2312" s="1">
        <v>6920</v>
      </c>
      <c r="AU2312" s="1">
        <v>27710</v>
      </c>
      <c r="AV2312">
        <v>80.02</v>
      </c>
      <c r="AX2312" s="1">
        <v>3824.72</v>
      </c>
      <c r="AY2312" t="s">
        <v>5777</v>
      </c>
      <c r="AZ2312" t="s">
        <v>5777</v>
      </c>
      <c r="BA2312" t="s">
        <v>173</v>
      </c>
      <c r="BE2312" s="3">
        <v>42053</v>
      </c>
      <c r="BF2312" s="1">
        <v>315000</v>
      </c>
      <c r="BG2312" t="s">
        <v>15493</v>
      </c>
      <c r="BH2312" s="1">
        <v>113.68</v>
      </c>
      <c r="BI2312" s="1">
        <v>325395</v>
      </c>
      <c r="BJ2312" s="3">
        <v>42053</v>
      </c>
      <c r="BK2312" t="s">
        <v>123</v>
      </c>
      <c r="BL2312" t="str">
        <f>"2015.102874"</f>
        <v>2015.102874</v>
      </c>
      <c r="BM2312" t="s">
        <v>175</v>
      </c>
      <c r="BO2312" t="s">
        <v>15494</v>
      </c>
      <c r="BS2312">
        <v>30</v>
      </c>
      <c r="BW2312" t="str">
        <f>""</f>
        <v/>
      </c>
      <c r="CH2312" t="str">
        <f>""</f>
        <v/>
      </c>
      <c r="CS2312" t="str">
        <f>""</f>
        <v/>
      </c>
    </row>
    <row r="2313" spans="1:97" x14ac:dyDescent="0.25">
      <c r="A2313" t="s">
        <v>353</v>
      </c>
      <c r="B2313" t="s">
        <v>15495</v>
      </c>
      <c r="C2313" t="s">
        <v>1162</v>
      </c>
      <c r="D2313" t="s">
        <v>15495</v>
      </c>
      <c r="E2313" t="s">
        <v>15496</v>
      </c>
      <c r="F2313" t="s">
        <v>108</v>
      </c>
      <c r="H2313" t="s">
        <v>15497</v>
      </c>
      <c r="I2313" t="s">
        <v>203</v>
      </c>
      <c r="J2313" t="s">
        <v>111</v>
      </c>
      <c r="K2313" t="str">
        <f>"85295"</f>
        <v>85295</v>
      </c>
      <c r="L2313" t="s">
        <v>3520</v>
      </c>
      <c r="M2313" t="s">
        <v>15497</v>
      </c>
      <c r="N2313" t="s">
        <v>203</v>
      </c>
      <c r="O2313" t="s">
        <v>111</v>
      </c>
      <c r="P2313" t="str">
        <f>"85295-7237"</f>
        <v>85295-7237</v>
      </c>
      <c r="Q2313" t="s">
        <v>113</v>
      </c>
      <c r="R2313" t="str">
        <f>"313-10-703"</f>
        <v>313-10-703</v>
      </c>
      <c r="S2313" t="s">
        <v>8961</v>
      </c>
      <c r="T2313" t="s">
        <v>8962</v>
      </c>
      <c r="U2313">
        <v>2040</v>
      </c>
      <c r="V2313">
        <v>0</v>
      </c>
      <c r="W2313">
        <v>3</v>
      </c>
      <c r="X2313">
        <v>2014</v>
      </c>
      <c r="Z2313">
        <v>2</v>
      </c>
      <c r="AB2313">
        <v>0</v>
      </c>
      <c r="AC2313" t="s">
        <v>115</v>
      </c>
      <c r="AD2313">
        <v>2</v>
      </c>
      <c r="AE2313" t="s">
        <v>115</v>
      </c>
      <c r="AF2313">
        <v>0</v>
      </c>
      <c r="AG2313">
        <v>0</v>
      </c>
      <c r="AH2313" t="s">
        <v>116</v>
      </c>
      <c r="AI2313" s="1">
        <v>84141</v>
      </c>
      <c r="AJ2313" s="2">
        <v>0.26</v>
      </c>
      <c r="AK2313" s="1">
        <v>324183</v>
      </c>
      <c r="AL2313" t="s">
        <v>117</v>
      </c>
      <c r="AM2313" t="s">
        <v>191</v>
      </c>
      <c r="AN2313">
        <v>5184</v>
      </c>
      <c r="AO2313">
        <v>0.12</v>
      </c>
      <c r="AR2313">
        <v>1</v>
      </c>
      <c r="AS2313" s="1">
        <v>22000</v>
      </c>
      <c r="AT2313" s="1">
        <v>4400</v>
      </c>
      <c r="AU2313" s="1">
        <v>17600</v>
      </c>
      <c r="AV2313">
        <v>80</v>
      </c>
      <c r="AX2313" s="1">
        <v>1800.48</v>
      </c>
      <c r="AY2313" t="s">
        <v>5087</v>
      </c>
      <c r="AZ2313" t="s">
        <v>5087</v>
      </c>
      <c r="BA2313" t="s">
        <v>473</v>
      </c>
      <c r="BE2313" s="3">
        <v>42142</v>
      </c>
      <c r="BF2313" s="1">
        <v>234990</v>
      </c>
      <c r="BG2313" t="s">
        <v>233</v>
      </c>
      <c r="BH2313" s="1">
        <v>115.19</v>
      </c>
      <c r="BI2313" s="1">
        <v>240042</v>
      </c>
      <c r="BJ2313" s="3">
        <v>42142</v>
      </c>
      <c r="BK2313" t="s">
        <v>123</v>
      </c>
      <c r="BL2313" t="str">
        <f>"2015.346610"</f>
        <v>2015.346610</v>
      </c>
      <c r="BM2313" t="s">
        <v>234</v>
      </c>
      <c r="BO2313" t="s">
        <v>15498</v>
      </c>
      <c r="BS2313">
        <v>30</v>
      </c>
      <c r="BW2313" t="str">
        <f>""</f>
        <v/>
      </c>
      <c r="CH2313" t="str">
        <f>""</f>
        <v/>
      </c>
      <c r="CS2313" t="str">
        <f>""</f>
        <v/>
      </c>
    </row>
    <row r="2314" spans="1:97" x14ac:dyDescent="0.25">
      <c r="A2314" t="s">
        <v>2991</v>
      </c>
      <c r="B2314" t="s">
        <v>15499</v>
      </c>
      <c r="C2314" t="s">
        <v>364</v>
      </c>
      <c r="D2314" t="s">
        <v>15499</v>
      </c>
      <c r="E2314" t="s">
        <v>15500</v>
      </c>
      <c r="F2314" t="s">
        <v>108</v>
      </c>
      <c r="H2314" t="s">
        <v>15501</v>
      </c>
      <c r="I2314" t="s">
        <v>188</v>
      </c>
      <c r="J2314" t="s">
        <v>111</v>
      </c>
      <c r="K2314" t="str">
        <f>"85142"</f>
        <v>85142</v>
      </c>
      <c r="L2314" t="s">
        <v>5239</v>
      </c>
      <c r="M2314" t="s">
        <v>15501</v>
      </c>
      <c r="N2314" t="s">
        <v>188</v>
      </c>
      <c r="O2314" t="s">
        <v>111</v>
      </c>
      <c r="P2314" t="str">
        <f>"85142-3311"</f>
        <v>85142-3311</v>
      </c>
      <c r="Q2314" t="s">
        <v>113</v>
      </c>
      <c r="R2314" t="str">
        <f>"304-66-627"</f>
        <v>304-66-627</v>
      </c>
      <c r="S2314" t="s">
        <v>15502</v>
      </c>
      <c r="T2314" t="s">
        <v>15503</v>
      </c>
      <c r="U2314">
        <v>2306</v>
      </c>
      <c r="V2314">
        <v>0</v>
      </c>
      <c r="W2314">
        <v>4</v>
      </c>
      <c r="X2314">
        <v>2006</v>
      </c>
      <c r="Z2314">
        <v>2</v>
      </c>
      <c r="AB2314">
        <v>0</v>
      </c>
      <c r="AC2314" t="s">
        <v>115</v>
      </c>
      <c r="AD2314">
        <v>2</v>
      </c>
      <c r="AE2314" t="s">
        <v>115</v>
      </c>
      <c r="AF2314">
        <v>0</v>
      </c>
      <c r="AG2314">
        <v>0</v>
      </c>
      <c r="AH2314" t="s">
        <v>116</v>
      </c>
      <c r="AI2314" s="1">
        <v>78069</v>
      </c>
      <c r="AJ2314" s="2">
        <v>0.25</v>
      </c>
      <c r="AK2314" s="1">
        <v>313014</v>
      </c>
      <c r="AL2314" t="s">
        <v>117</v>
      </c>
      <c r="AM2314" t="s">
        <v>191</v>
      </c>
      <c r="AN2314">
        <v>6600</v>
      </c>
      <c r="AO2314">
        <v>0.15</v>
      </c>
      <c r="AR2314">
        <v>1</v>
      </c>
      <c r="AS2314" s="1">
        <v>21070</v>
      </c>
      <c r="AT2314" s="1">
        <v>4210</v>
      </c>
      <c r="AU2314" s="1">
        <v>16860</v>
      </c>
      <c r="AV2314">
        <v>80.02</v>
      </c>
      <c r="AX2314" s="1">
        <v>2070.04</v>
      </c>
      <c r="AY2314" t="s">
        <v>560</v>
      </c>
      <c r="AZ2314" t="s">
        <v>561</v>
      </c>
      <c r="BA2314" t="s">
        <v>194</v>
      </c>
      <c r="BE2314" s="3">
        <v>42418</v>
      </c>
      <c r="BF2314" s="1">
        <v>230000</v>
      </c>
      <c r="BG2314" t="s">
        <v>15504</v>
      </c>
      <c r="BH2314" s="1">
        <v>99.74</v>
      </c>
      <c r="BI2314" s="1">
        <v>234945</v>
      </c>
      <c r="BJ2314" s="3">
        <v>42418</v>
      </c>
      <c r="BK2314" t="s">
        <v>123</v>
      </c>
      <c r="BL2314" t="str">
        <f>"2016.103288"</f>
        <v>2016.103288</v>
      </c>
      <c r="BM2314" t="s">
        <v>2716</v>
      </c>
      <c r="BO2314" t="s">
        <v>15505</v>
      </c>
      <c r="BS2314">
        <v>30</v>
      </c>
      <c r="BW2314" t="str">
        <f>""</f>
        <v/>
      </c>
      <c r="CH2314" t="str">
        <f>""</f>
        <v/>
      </c>
      <c r="CS2314" t="str">
        <f>""</f>
        <v/>
      </c>
    </row>
    <row r="2315" spans="1:97" x14ac:dyDescent="0.25">
      <c r="A2315" t="s">
        <v>2750</v>
      </c>
      <c r="B2315" t="s">
        <v>14410</v>
      </c>
      <c r="C2315" t="s">
        <v>2256</v>
      </c>
      <c r="D2315" t="s">
        <v>14410</v>
      </c>
      <c r="E2315" t="s">
        <v>15506</v>
      </c>
      <c r="F2315" t="s">
        <v>108</v>
      </c>
      <c r="H2315" t="s">
        <v>15507</v>
      </c>
      <c r="I2315" t="s">
        <v>203</v>
      </c>
      <c r="J2315" t="s">
        <v>111</v>
      </c>
      <c r="K2315" t="str">
        <f>"85234"</f>
        <v>85234</v>
      </c>
      <c r="L2315" t="s">
        <v>5816</v>
      </c>
      <c r="M2315" t="s">
        <v>15507</v>
      </c>
      <c r="N2315" t="s">
        <v>203</v>
      </c>
      <c r="O2315" t="s">
        <v>111</v>
      </c>
      <c r="P2315" t="str">
        <f>"85234"</f>
        <v>85234</v>
      </c>
      <c r="Q2315" t="s">
        <v>113</v>
      </c>
      <c r="R2315" t="str">
        <f>"313-12-801"</f>
        <v>313-12-801</v>
      </c>
      <c r="S2315" t="s">
        <v>10152</v>
      </c>
      <c r="T2315" t="s">
        <v>10152</v>
      </c>
      <c r="U2315">
        <v>2370</v>
      </c>
      <c r="V2315">
        <v>0</v>
      </c>
      <c r="W2315">
        <v>4</v>
      </c>
      <c r="X2315">
        <v>2007</v>
      </c>
      <c r="Z2315">
        <v>2</v>
      </c>
      <c r="AB2315">
        <v>0</v>
      </c>
      <c r="AC2315" t="s">
        <v>115</v>
      </c>
      <c r="AD2315">
        <v>2</v>
      </c>
      <c r="AE2315" t="s">
        <v>115</v>
      </c>
      <c r="AF2315">
        <v>0</v>
      </c>
      <c r="AG2315">
        <v>0</v>
      </c>
      <c r="AH2315" t="s">
        <v>116</v>
      </c>
      <c r="AI2315" s="1">
        <v>152895</v>
      </c>
      <c r="AJ2315" s="2">
        <v>0.42</v>
      </c>
      <c r="AK2315" s="1">
        <v>360457</v>
      </c>
      <c r="AL2315" t="s">
        <v>117</v>
      </c>
      <c r="AM2315" t="s">
        <v>288</v>
      </c>
      <c r="AN2315">
        <v>4444</v>
      </c>
      <c r="AO2315">
        <v>0.1</v>
      </c>
      <c r="AR2315">
        <v>1</v>
      </c>
      <c r="AS2315" s="1">
        <v>24950</v>
      </c>
      <c r="AT2315" s="1">
        <v>4990</v>
      </c>
      <c r="AU2315" s="1">
        <v>19960</v>
      </c>
      <c r="AV2315">
        <v>80</v>
      </c>
      <c r="AX2315" s="1">
        <v>1782.94</v>
      </c>
      <c r="AY2315" t="s">
        <v>5565</v>
      </c>
      <c r="AZ2315" t="s">
        <v>520</v>
      </c>
      <c r="BA2315" t="s">
        <v>521</v>
      </c>
      <c r="BE2315" s="3">
        <v>42356</v>
      </c>
      <c r="BF2315" s="1">
        <v>275000</v>
      </c>
      <c r="BG2315" t="s">
        <v>15508</v>
      </c>
      <c r="BH2315" s="1">
        <v>116.03</v>
      </c>
      <c r="BI2315" s="1">
        <v>207562</v>
      </c>
      <c r="BJ2315" s="3">
        <v>42356</v>
      </c>
      <c r="BK2315" t="s">
        <v>123</v>
      </c>
      <c r="BL2315" t="str">
        <f>"2015.895176"</f>
        <v>2015.895176</v>
      </c>
      <c r="BM2315" t="s">
        <v>724</v>
      </c>
      <c r="BO2315" t="s">
        <v>15509</v>
      </c>
      <c r="BS2315">
        <v>30</v>
      </c>
      <c r="BW2315" t="str">
        <f>""</f>
        <v/>
      </c>
      <c r="CH2315" t="str">
        <f>""</f>
        <v/>
      </c>
      <c r="CS2315" t="str">
        <f>""</f>
        <v/>
      </c>
    </row>
    <row r="2316" spans="1:97" x14ac:dyDescent="0.25">
      <c r="A2316" t="s">
        <v>1009</v>
      </c>
      <c r="B2316" t="s">
        <v>15510</v>
      </c>
      <c r="C2316" t="s">
        <v>177</v>
      </c>
      <c r="D2316" t="s">
        <v>15511</v>
      </c>
      <c r="E2316" t="s">
        <v>15512</v>
      </c>
      <c r="F2316" t="s">
        <v>108</v>
      </c>
      <c r="H2316" t="s">
        <v>15513</v>
      </c>
      <c r="I2316" t="s">
        <v>390</v>
      </c>
      <c r="J2316" t="s">
        <v>111</v>
      </c>
      <c r="K2316" t="str">
        <f>"85022"</f>
        <v>85022</v>
      </c>
      <c r="L2316" t="s">
        <v>7626</v>
      </c>
      <c r="M2316" t="s">
        <v>15513</v>
      </c>
      <c r="N2316" t="s">
        <v>390</v>
      </c>
      <c r="O2316" t="s">
        <v>111</v>
      </c>
      <c r="P2316" t="str">
        <f>"85022-4253"</f>
        <v>85022-4253</v>
      </c>
      <c r="Q2316" t="s">
        <v>113</v>
      </c>
      <c r="R2316" t="str">
        <f>"208-27-529"</f>
        <v>208-27-529</v>
      </c>
      <c r="S2316" t="s">
        <v>12788</v>
      </c>
      <c r="U2316">
        <v>2637</v>
      </c>
      <c r="V2316">
        <v>0</v>
      </c>
      <c r="W2316">
        <v>2</v>
      </c>
      <c r="X2316">
        <v>1974</v>
      </c>
      <c r="Z2316">
        <v>1</v>
      </c>
      <c r="AA2316" t="s">
        <v>26</v>
      </c>
      <c r="AB2316">
        <v>0</v>
      </c>
      <c r="AC2316" t="s">
        <v>115</v>
      </c>
      <c r="AD2316">
        <v>2</v>
      </c>
      <c r="AE2316" t="s">
        <v>115</v>
      </c>
      <c r="AF2316">
        <v>0</v>
      </c>
      <c r="AG2316">
        <v>0</v>
      </c>
      <c r="AH2316" t="s">
        <v>116</v>
      </c>
      <c r="AI2316" s="1">
        <v>79240</v>
      </c>
      <c r="AJ2316" s="2">
        <v>0.16</v>
      </c>
      <c r="AK2316" s="1">
        <v>486937</v>
      </c>
      <c r="AL2316" t="s">
        <v>117</v>
      </c>
      <c r="AM2316" t="s">
        <v>1302</v>
      </c>
      <c r="AN2316">
        <v>15111</v>
      </c>
      <c r="AO2316">
        <v>0.35</v>
      </c>
      <c r="AP2316">
        <v>1</v>
      </c>
      <c r="AR2316">
        <v>1</v>
      </c>
      <c r="AS2316" s="1">
        <v>32930</v>
      </c>
      <c r="AT2316" s="1">
        <v>6580</v>
      </c>
      <c r="AU2316" s="1">
        <v>26350</v>
      </c>
      <c r="AV2316">
        <v>80.02</v>
      </c>
      <c r="AX2316" s="1">
        <v>3783.32</v>
      </c>
      <c r="AY2316" t="s">
        <v>9170</v>
      </c>
      <c r="AZ2316" t="s">
        <v>8648</v>
      </c>
      <c r="BA2316" t="s">
        <v>8649</v>
      </c>
      <c r="BB2316" s="3">
        <v>42601</v>
      </c>
      <c r="BD2316" t="s">
        <v>240</v>
      </c>
      <c r="BE2316" s="3">
        <v>41929</v>
      </c>
      <c r="BF2316" s="1">
        <v>399000</v>
      </c>
      <c r="BG2316" t="s">
        <v>15514</v>
      </c>
      <c r="BH2316" s="1">
        <v>151.31</v>
      </c>
      <c r="BI2316" s="1">
        <v>407697</v>
      </c>
      <c r="BJ2316" s="3">
        <v>42601</v>
      </c>
      <c r="BK2316" t="s">
        <v>123</v>
      </c>
      <c r="BL2316" t="str">
        <f>"2016.596007"</f>
        <v>2016.596007</v>
      </c>
      <c r="BM2316" t="s">
        <v>5867</v>
      </c>
      <c r="BO2316" t="s">
        <v>15515</v>
      </c>
      <c r="BP2316" t="s">
        <v>15516</v>
      </c>
      <c r="BS2316">
        <v>30</v>
      </c>
      <c r="BW2316" t="str">
        <f>""</f>
        <v/>
      </c>
      <c r="CH2316" t="str">
        <f>""</f>
        <v/>
      </c>
      <c r="CS2316" t="str">
        <f>""</f>
        <v/>
      </c>
    </row>
    <row r="2317" spans="1:97" x14ac:dyDescent="0.25">
      <c r="A2317" t="s">
        <v>177</v>
      </c>
      <c r="B2317" t="s">
        <v>15517</v>
      </c>
      <c r="C2317" t="s">
        <v>15518</v>
      </c>
      <c r="D2317" t="s">
        <v>15517</v>
      </c>
      <c r="E2317" t="s">
        <v>15519</v>
      </c>
      <c r="F2317" t="s">
        <v>139</v>
      </c>
      <c r="H2317" t="s">
        <v>15520</v>
      </c>
      <c r="I2317" t="s">
        <v>2874</v>
      </c>
      <c r="J2317" t="s">
        <v>111</v>
      </c>
      <c r="K2317" t="str">
        <f>"85305"</f>
        <v>85305</v>
      </c>
      <c r="L2317" t="s">
        <v>10474</v>
      </c>
      <c r="M2317" t="s">
        <v>15521</v>
      </c>
      <c r="N2317" t="s">
        <v>453</v>
      </c>
      <c r="O2317" t="s">
        <v>111</v>
      </c>
      <c r="P2317" t="str">
        <f>"85382-4788"</f>
        <v>85382-4788</v>
      </c>
      <c r="Q2317" t="s">
        <v>113</v>
      </c>
      <c r="R2317" t="str">
        <f>"142-28-098"</f>
        <v>142-28-098</v>
      </c>
      <c r="S2317" t="s">
        <v>10475</v>
      </c>
      <c r="T2317" t="s">
        <v>10475</v>
      </c>
      <c r="U2317">
        <v>2162</v>
      </c>
      <c r="V2317">
        <v>0</v>
      </c>
      <c r="W2317">
        <v>3</v>
      </c>
      <c r="X2317">
        <v>2005</v>
      </c>
      <c r="Z2317">
        <v>1</v>
      </c>
      <c r="AB2317">
        <v>0</v>
      </c>
      <c r="AC2317" t="s">
        <v>115</v>
      </c>
      <c r="AD2317">
        <v>3</v>
      </c>
      <c r="AE2317" t="s">
        <v>115</v>
      </c>
      <c r="AF2317">
        <v>0</v>
      </c>
      <c r="AG2317">
        <v>0</v>
      </c>
      <c r="AH2317" t="s">
        <v>116</v>
      </c>
      <c r="AI2317" s="1">
        <v>90999</v>
      </c>
      <c r="AJ2317" s="2">
        <v>0.3</v>
      </c>
      <c r="AK2317" s="1">
        <v>305142</v>
      </c>
      <c r="AL2317" t="s">
        <v>117</v>
      </c>
      <c r="AM2317" t="s">
        <v>393</v>
      </c>
      <c r="AN2317">
        <v>7015</v>
      </c>
      <c r="AO2317">
        <v>0.16</v>
      </c>
      <c r="AR2317">
        <v>1</v>
      </c>
      <c r="AS2317" s="1">
        <v>21430</v>
      </c>
      <c r="AT2317" s="1">
        <v>4280</v>
      </c>
      <c r="AU2317" s="1">
        <v>17150</v>
      </c>
      <c r="AV2317">
        <v>80.03</v>
      </c>
      <c r="AX2317" s="1">
        <v>1606.24</v>
      </c>
      <c r="AY2317" t="s">
        <v>6944</v>
      </c>
      <c r="AZ2317" t="s">
        <v>6944</v>
      </c>
      <c r="BA2317" t="s">
        <v>6945</v>
      </c>
      <c r="BB2317" s="3">
        <v>43160</v>
      </c>
      <c r="BC2317" s="1">
        <v>0</v>
      </c>
      <c r="BD2317" t="s">
        <v>247</v>
      </c>
      <c r="BE2317" s="3">
        <v>42044</v>
      </c>
      <c r="BF2317" s="1">
        <v>235000</v>
      </c>
      <c r="BG2317" t="s">
        <v>15522</v>
      </c>
      <c r="BH2317" s="1">
        <v>108.7</v>
      </c>
      <c r="BI2317" s="1">
        <v>214143</v>
      </c>
      <c r="BJ2317" s="3">
        <v>42044</v>
      </c>
      <c r="BK2317" t="s">
        <v>123</v>
      </c>
      <c r="BL2317" t="str">
        <f>"2015.82116"</f>
        <v>2015.82116</v>
      </c>
      <c r="BM2317" t="s">
        <v>1325</v>
      </c>
      <c r="BN2317" t="s">
        <v>15523</v>
      </c>
      <c r="BO2317" t="s">
        <v>15524</v>
      </c>
      <c r="BS2317">
        <v>30</v>
      </c>
      <c r="BW2317" t="str">
        <f>""</f>
        <v/>
      </c>
      <c r="CH2317" t="str">
        <f>""</f>
        <v/>
      </c>
      <c r="CS2317" t="str">
        <f>""</f>
        <v/>
      </c>
    </row>
    <row r="2318" spans="1:97" x14ac:dyDescent="0.25">
      <c r="A2318" t="s">
        <v>325</v>
      </c>
      <c r="B2318" t="s">
        <v>15525</v>
      </c>
      <c r="C2318" t="s">
        <v>15526</v>
      </c>
      <c r="D2318" t="s">
        <v>15525</v>
      </c>
      <c r="E2318" t="s">
        <v>15527</v>
      </c>
      <c r="F2318" t="s">
        <v>108</v>
      </c>
      <c r="H2318" t="s">
        <v>15528</v>
      </c>
      <c r="I2318" t="s">
        <v>144</v>
      </c>
      <c r="J2318" t="s">
        <v>111</v>
      </c>
      <c r="K2318" t="str">
        <f>"85326"</f>
        <v>85326</v>
      </c>
      <c r="L2318" t="s">
        <v>3151</v>
      </c>
      <c r="M2318" t="s">
        <v>15528</v>
      </c>
      <c r="N2318" t="s">
        <v>144</v>
      </c>
      <c r="O2318" t="s">
        <v>111</v>
      </c>
      <c r="P2318" t="str">
        <f>"85326-5645"</f>
        <v>85326-5645</v>
      </c>
      <c r="Q2318" t="s">
        <v>113</v>
      </c>
      <c r="R2318" t="str">
        <f>"502-47-005-F"</f>
        <v>502-47-005-F</v>
      </c>
      <c r="S2318" t="s">
        <v>15529</v>
      </c>
      <c r="U2318">
        <v>3097</v>
      </c>
      <c r="V2318">
        <v>0</v>
      </c>
      <c r="W2318">
        <v>5</v>
      </c>
      <c r="X2318">
        <v>2003</v>
      </c>
      <c r="Z2318">
        <v>1</v>
      </c>
      <c r="AB2318">
        <v>0</v>
      </c>
      <c r="AC2318" t="s">
        <v>115</v>
      </c>
      <c r="AD2318">
        <v>6</v>
      </c>
      <c r="AE2318" t="s">
        <v>115</v>
      </c>
      <c r="AF2318">
        <v>0</v>
      </c>
      <c r="AG2318">
        <v>0</v>
      </c>
      <c r="AH2318" t="s">
        <v>116</v>
      </c>
      <c r="AI2318" s="1">
        <v>166162</v>
      </c>
      <c r="AJ2318" s="2">
        <v>0.28999999999999998</v>
      </c>
      <c r="AK2318" s="1">
        <v>581694</v>
      </c>
      <c r="AL2318" t="s">
        <v>117</v>
      </c>
      <c r="AM2318" t="s">
        <v>376</v>
      </c>
      <c r="AN2318">
        <v>88682</v>
      </c>
      <c r="AO2318">
        <v>2.04</v>
      </c>
      <c r="AP2318">
        <v>1</v>
      </c>
      <c r="AR2318">
        <v>1</v>
      </c>
      <c r="AS2318" s="1">
        <v>48960</v>
      </c>
      <c r="AT2318" s="1">
        <v>9790</v>
      </c>
      <c r="AU2318" s="1">
        <v>39170</v>
      </c>
      <c r="AV2318">
        <v>80</v>
      </c>
      <c r="AX2318" s="1">
        <v>4323.66</v>
      </c>
      <c r="AY2318" t="s">
        <v>2767</v>
      </c>
      <c r="AZ2318" t="s">
        <v>2767</v>
      </c>
      <c r="BA2318" t="s">
        <v>1247</v>
      </c>
      <c r="BE2318" s="3">
        <v>42219</v>
      </c>
      <c r="BF2318" s="1">
        <v>404000</v>
      </c>
      <c r="BG2318" t="s">
        <v>15530</v>
      </c>
      <c r="BH2318" s="1">
        <v>130.44999999999999</v>
      </c>
      <c r="BI2318" s="1">
        <v>415532</v>
      </c>
      <c r="BJ2318" s="3">
        <v>42219</v>
      </c>
      <c r="BK2318" t="s">
        <v>123</v>
      </c>
      <c r="BL2318" t="str">
        <f>"2015.559510"</f>
        <v>2015.559510</v>
      </c>
      <c r="BM2318" t="s">
        <v>135</v>
      </c>
      <c r="BO2318" t="s">
        <v>15531</v>
      </c>
      <c r="BS2318">
        <v>30</v>
      </c>
      <c r="BW2318" t="str">
        <f>""</f>
        <v/>
      </c>
      <c r="CH2318" t="str">
        <f>""</f>
        <v/>
      </c>
      <c r="CS2318" t="str">
        <f>""</f>
        <v/>
      </c>
    </row>
    <row r="2319" spans="1:97" x14ac:dyDescent="0.25">
      <c r="A2319" t="s">
        <v>1067</v>
      </c>
      <c r="B2319" t="s">
        <v>15532</v>
      </c>
      <c r="C2319" t="s">
        <v>908</v>
      </c>
      <c r="D2319" t="s">
        <v>15532</v>
      </c>
      <c r="E2319" t="s">
        <v>15533</v>
      </c>
      <c r="F2319" t="s">
        <v>108</v>
      </c>
      <c r="H2319" t="s">
        <v>15534</v>
      </c>
      <c r="I2319" t="s">
        <v>144</v>
      </c>
      <c r="J2319" t="s">
        <v>111</v>
      </c>
      <c r="K2319" t="str">
        <f>"85396"</f>
        <v>85396</v>
      </c>
      <c r="L2319" t="s">
        <v>1244</v>
      </c>
      <c r="M2319" t="s">
        <v>15534</v>
      </c>
      <c r="N2319" t="s">
        <v>144</v>
      </c>
      <c r="O2319" t="s">
        <v>111</v>
      </c>
      <c r="P2319" t="str">
        <f>"85396-7719"</f>
        <v>85396-7719</v>
      </c>
      <c r="Q2319" t="s">
        <v>113</v>
      </c>
      <c r="R2319" t="str">
        <f>"502-81-107"</f>
        <v>502-81-107</v>
      </c>
      <c r="S2319" t="s">
        <v>15535</v>
      </c>
      <c r="U2319">
        <v>2413</v>
      </c>
      <c r="V2319">
        <v>0</v>
      </c>
      <c r="W2319">
        <v>3</v>
      </c>
      <c r="X2319">
        <v>2014</v>
      </c>
      <c r="Z2319">
        <v>1</v>
      </c>
      <c r="AB2319">
        <v>0</v>
      </c>
      <c r="AC2319" t="s">
        <v>115</v>
      </c>
      <c r="AD2319">
        <v>3</v>
      </c>
      <c r="AE2319" t="s">
        <v>115</v>
      </c>
      <c r="AF2319">
        <v>0</v>
      </c>
      <c r="AG2319">
        <v>0</v>
      </c>
      <c r="AH2319" t="s">
        <v>116</v>
      </c>
      <c r="AI2319" s="1">
        <v>29731</v>
      </c>
      <c r="AJ2319" s="2">
        <v>7.0000000000000007E-2</v>
      </c>
      <c r="AK2319" s="1">
        <v>413987</v>
      </c>
      <c r="AL2319" t="s">
        <v>117</v>
      </c>
      <c r="AM2319" t="s">
        <v>118</v>
      </c>
      <c r="AN2319">
        <v>11569</v>
      </c>
      <c r="AO2319">
        <v>0.27</v>
      </c>
      <c r="AR2319">
        <v>1</v>
      </c>
      <c r="AS2319" s="1">
        <v>31760</v>
      </c>
      <c r="AT2319" s="1">
        <v>6350</v>
      </c>
      <c r="AU2319" s="1">
        <v>25410</v>
      </c>
      <c r="AV2319">
        <v>80.010000000000005</v>
      </c>
      <c r="AX2319" s="1">
        <v>3876.3</v>
      </c>
      <c r="AY2319" t="s">
        <v>217</v>
      </c>
      <c r="AZ2319" t="s">
        <v>217</v>
      </c>
      <c r="BA2319" t="s">
        <v>218</v>
      </c>
      <c r="BE2319" s="3">
        <v>42233</v>
      </c>
      <c r="BF2319" s="1">
        <v>323995</v>
      </c>
      <c r="BG2319" t="s">
        <v>14540</v>
      </c>
      <c r="BH2319" s="1">
        <v>134.27000000000001</v>
      </c>
      <c r="BI2319" s="1">
        <v>384256</v>
      </c>
      <c r="BJ2319" s="3">
        <v>43574</v>
      </c>
      <c r="BK2319" t="s">
        <v>123</v>
      </c>
      <c r="BL2319" t="str">
        <f>"2019.276093"</f>
        <v>2019.276093</v>
      </c>
      <c r="BM2319" t="s">
        <v>15536</v>
      </c>
      <c r="BN2319" t="s">
        <v>1590</v>
      </c>
      <c r="BO2319" t="s">
        <v>15537</v>
      </c>
      <c r="BP2319" t="s">
        <v>15538</v>
      </c>
      <c r="BR2319" t="s">
        <v>139</v>
      </c>
      <c r="BW2319" t="str">
        <f>""</f>
        <v/>
      </c>
      <c r="CH2319" t="str">
        <f>""</f>
        <v/>
      </c>
      <c r="CS2319" t="str">
        <f>""</f>
        <v/>
      </c>
    </row>
    <row r="2320" spans="1:97" x14ac:dyDescent="0.25">
      <c r="A2320" t="s">
        <v>996</v>
      </c>
      <c r="B2320" t="s">
        <v>3671</v>
      </c>
      <c r="C2320" t="s">
        <v>1906</v>
      </c>
      <c r="D2320" t="s">
        <v>3671</v>
      </c>
      <c r="E2320" t="s">
        <v>15539</v>
      </c>
      <c r="F2320" t="s">
        <v>108</v>
      </c>
      <c r="H2320" t="s">
        <v>15540</v>
      </c>
      <c r="I2320" t="s">
        <v>390</v>
      </c>
      <c r="J2320" t="s">
        <v>111</v>
      </c>
      <c r="K2320" t="str">
        <f>"85028"</f>
        <v>85028</v>
      </c>
      <c r="L2320" t="s">
        <v>7005</v>
      </c>
      <c r="M2320" t="s">
        <v>15540</v>
      </c>
      <c r="N2320" t="s">
        <v>390</v>
      </c>
      <c r="O2320" t="s">
        <v>111</v>
      </c>
      <c r="P2320" t="str">
        <f>"85028-3810"</f>
        <v>85028-3810</v>
      </c>
      <c r="Q2320" t="s">
        <v>113</v>
      </c>
      <c r="R2320" t="str">
        <f>"165-04-114"</f>
        <v>165-04-114</v>
      </c>
      <c r="S2320" t="s">
        <v>15541</v>
      </c>
      <c r="T2320" t="s">
        <v>15542</v>
      </c>
      <c r="U2320">
        <v>2394</v>
      </c>
      <c r="V2320">
        <v>0</v>
      </c>
      <c r="W2320">
        <v>3</v>
      </c>
      <c r="X2320">
        <v>1974</v>
      </c>
      <c r="Z2320">
        <v>1</v>
      </c>
      <c r="AA2320" t="s">
        <v>26</v>
      </c>
      <c r="AB2320">
        <v>0</v>
      </c>
      <c r="AC2320" t="s">
        <v>115</v>
      </c>
      <c r="AD2320">
        <v>2</v>
      </c>
      <c r="AE2320" t="s">
        <v>115</v>
      </c>
      <c r="AF2320">
        <v>0</v>
      </c>
      <c r="AG2320">
        <v>0</v>
      </c>
      <c r="AH2320" t="s">
        <v>116</v>
      </c>
      <c r="AI2320" s="1">
        <v>110931</v>
      </c>
      <c r="AJ2320" s="2">
        <v>0.25</v>
      </c>
      <c r="AK2320" s="1">
        <v>441655</v>
      </c>
      <c r="AL2320" t="s">
        <v>117</v>
      </c>
      <c r="AM2320" t="s">
        <v>1302</v>
      </c>
      <c r="AN2320">
        <v>9909</v>
      </c>
      <c r="AO2320">
        <v>0.23</v>
      </c>
      <c r="AP2320">
        <v>1</v>
      </c>
      <c r="AR2320">
        <v>1</v>
      </c>
      <c r="AS2320" s="1">
        <v>31760</v>
      </c>
      <c r="AT2320" s="1">
        <v>6350</v>
      </c>
      <c r="AU2320" s="1">
        <v>25410</v>
      </c>
      <c r="AV2320">
        <v>80.010000000000005</v>
      </c>
      <c r="AX2320" s="1">
        <v>2704.12</v>
      </c>
      <c r="AY2320" t="s">
        <v>5488</v>
      </c>
      <c r="AZ2320" t="s">
        <v>5489</v>
      </c>
      <c r="BA2320" t="s">
        <v>5232</v>
      </c>
      <c r="BE2320" s="3">
        <v>42167</v>
      </c>
      <c r="BF2320" s="1">
        <v>315000</v>
      </c>
      <c r="BG2320" t="s">
        <v>15543</v>
      </c>
      <c r="BH2320" s="1">
        <v>130.6</v>
      </c>
      <c r="BI2320" s="1">
        <v>330724</v>
      </c>
      <c r="BJ2320" s="3">
        <v>42627</v>
      </c>
      <c r="BK2320" t="s">
        <v>123</v>
      </c>
      <c r="BL2320" t="str">
        <f>"2016.666358"</f>
        <v>2016.666358</v>
      </c>
      <c r="BM2320" t="s">
        <v>2117</v>
      </c>
      <c r="BO2320" t="s">
        <v>15544</v>
      </c>
      <c r="BS2320">
        <v>30</v>
      </c>
      <c r="BW2320" t="str">
        <f>""</f>
        <v/>
      </c>
      <c r="CH2320" t="str">
        <f>""</f>
        <v/>
      </c>
      <c r="CS2320" t="str">
        <f>""</f>
        <v/>
      </c>
    </row>
    <row r="2321" spans="1:97" x14ac:dyDescent="0.25">
      <c r="A2321" t="s">
        <v>4854</v>
      </c>
      <c r="B2321" t="s">
        <v>15545</v>
      </c>
      <c r="E2321" t="s">
        <v>15546</v>
      </c>
      <c r="F2321" t="s">
        <v>108</v>
      </c>
      <c r="H2321" t="s">
        <v>15547</v>
      </c>
      <c r="I2321" t="s">
        <v>2874</v>
      </c>
      <c r="J2321" t="s">
        <v>111</v>
      </c>
      <c r="K2321" t="str">
        <f>"85308"</f>
        <v>85308</v>
      </c>
      <c r="L2321" t="s">
        <v>5438</v>
      </c>
      <c r="M2321" t="s">
        <v>15547</v>
      </c>
      <c r="N2321" t="s">
        <v>2874</v>
      </c>
      <c r="O2321" t="s">
        <v>111</v>
      </c>
      <c r="P2321" t="str">
        <f>"85308-9314"</f>
        <v>85308-9314</v>
      </c>
      <c r="R2321" t="str">
        <f>"231-13-502"</f>
        <v>231-13-502</v>
      </c>
      <c r="S2321" t="s">
        <v>15548</v>
      </c>
      <c r="T2321" t="s">
        <v>10102</v>
      </c>
      <c r="U2321">
        <v>1922</v>
      </c>
      <c r="V2321">
        <v>0</v>
      </c>
      <c r="W2321">
        <v>4</v>
      </c>
      <c r="X2321">
        <v>1996</v>
      </c>
      <c r="Z2321">
        <v>2</v>
      </c>
      <c r="AA2321" t="s">
        <v>26</v>
      </c>
      <c r="AB2321">
        <v>0</v>
      </c>
      <c r="AC2321" t="s">
        <v>115</v>
      </c>
      <c r="AD2321">
        <v>3</v>
      </c>
      <c r="AE2321" t="s">
        <v>115</v>
      </c>
      <c r="AF2321">
        <v>0</v>
      </c>
      <c r="AG2321">
        <v>0</v>
      </c>
      <c r="AH2321" t="s">
        <v>116</v>
      </c>
      <c r="AI2321" s="1">
        <v>-104503</v>
      </c>
      <c r="AJ2321" s="2">
        <v>-0.28000000000000003</v>
      </c>
      <c r="AK2321" s="1">
        <v>368063</v>
      </c>
      <c r="AL2321" t="s">
        <v>117</v>
      </c>
      <c r="AM2321" t="s">
        <v>191</v>
      </c>
      <c r="AN2321">
        <v>8746</v>
      </c>
      <c r="AO2321">
        <v>0.2</v>
      </c>
      <c r="AP2321">
        <v>1</v>
      </c>
      <c r="AR2321">
        <v>1</v>
      </c>
      <c r="AS2321" s="1">
        <v>27430</v>
      </c>
      <c r="AT2321" s="1">
        <v>5480</v>
      </c>
      <c r="AU2321" s="1">
        <v>21950</v>
      </c>
      <c r="AV2321">
        <v>80.02</v>
      </c>
      <c r="AX2321" s="1">
        <v>2321.6</v>
      </c>
      <c r="AY2321" t="s">
        <v>7455</v>
      </c>
      <c r="AZ2321" t="s">
        <v>3049</v>
      </c>
      <c r="BA2321" t="s">
        <v>2223</v>
      </c>
      <c r="BE2321" s="3">
        <v>41806</v>
      </c>
      <c r="BF2321" s="1">
        <v>289000</v>
      </c>
      <c r="BG2321" t="s">
        <v>15549</v>
      </c>
      <c r="BH2321" s="1">
        <v>150.36000000000001</v>
      </c>
      <c r="BI2321" s="1">
        <v>288566</v>
      </c>
      <c r="BJ2321" s="3">
        <v>42081</v>
      </c>
      <c r="BK2321" t="s">
        <v>123</v>
      </c>
      <c r="BL2321" t="str">
        <f>"2015.181434"</f>
        <v>2015.181434</v>
      </c>
      <c r="BM2321" t="s">
        <v>4738</v>
      </c>
      <c r="BN2321" t="s">
        <v>15550</v>
      </c>
      <c r="BO2321" t="s">
        <v>15551</v>
      </c>
      <c r="BS2321">
        <v>30</v>
      </c>
      <c r="BT2321" s="1">
        <v>62000</v>
      </c>
      <c r="BU2321" s="3">
        <v>42997</v>
      </c>
      <c r="BW2321" t="str">
        <f>"2017.689945"</f>
        <v>2017.689945</v>
      </c>
      <c r="BX2321" t="s">
        <v>15552</v>
      </c>
      <c r="BY2321">
        <v>98188</v>
      </c>
      <c r="BZ2321" t="s">
        <v>15553</v>
      </c>
      <c r="CC2321" t="s">
        <v>1633</v>
      </c>
      <c r="CE2321" s="1">
        <v>122000</v>
      </c>
      <c r="CF2321" s="3">
        <v>43787</v>
      </c>
      <c r="CH2321" t="str">
        <f>"2019.926754"</f>
        <v>2019.926754</v>
      </c>
      <c r="CI2321" t="s">
        <v>15554</v>
      </c>
      <c r="CJ2321" t="s">
        <v>15555</v>
      </c>
      <c r="CK2321" t="s">
        <v>15556</v>
      </c>
      <c r="CN2321" t="s">
        <v>346</v>
      </c>
      <c r="CS2321" t="str">
        <f>""</f>
        <v/>
      </c>
    </row>
    <row r="2322" spans="1:97" x14ac:dyDescent="0.25">
      <c r="A2322" t="s">
        <v>1833</v>
      </c>
      <c r="B2322" t="s">
        <v>15557</v>
      </c>
      <c r="C2322" t="s">
        <v>15558</v>
      </c>
      <c r="D2322" t="s">
        <v>15557</v>
      </c>
      <c r="E2322" t="s">
        <v>15559</v>
      </c>
      <c r="F2322" t="s">
        <v>108</v>
      </c>
      <c r="H2322" t="s">
        <v>15560</v>
      </c>
      <c r="I2322" t="s">
        <v>5387</v>
      </c>
      <c r="J2322" t="s">
        <v>111</v>
      </c>
      <c r="K2322" t="str">
        <f>"85283"</f>
        <v>85283</v>
      </c>
      <c r="L2322" t="s">
        <v>5539</v>
      </c>
      <c r="M2322" t="s">
        <v>15560</v>
      </c>
      <c r="N2322" t="s">
        <v>5387</v>
      </c>
      <c r="O2322" t="s">
        <v>111</v>
      </c>
      <c r="P2322" t="str">
        <f>"85283-2226"</f>
        <v>85283-2226</v>
      </c>
      <c r="Q2322" t="s">
        <v>113</v>
      </c>
      <c r="R2322" t="str">
        <f>"301-94-083"</f>
        <v>301-94-083</v>
      </c>
      <c r="S2322" t="s">
        <v>11583</v>
      </c>
      <c r="T2322" t="s">
        <v>11584</v>
      </c>
      <c r="U2322">
        <v>1640</v>
      </c>
      <c r="V2322">
        <v>0</v>
      </c>
      <c r="W2322">
        <v>3</v>
      </c>
      <c r="X2322">
        <v>1975</v>
      </c>
      <c r="Z2322">
        <v>1</v>
      </c>
      <c r="AA2322" t="s">
        <v>26</v>
      </c>
      <c r="AB2322">
        <v>0</v>
      </c>
      <c r="AC2322" t="s">
        <v>115</v>
      </c>
      <c r="AD2322">
        <v>2</v>
      </c>
      <c r="AE2322" t="s">
        <v>115</v>
      </c>
      <c r="AF2322">
        <v>0</v>
      </c>
      <c r="AG2322">
        <v>0</v>
      </c>
      <c r="AH2322" t="s">
        <v>116</v>
      </c>
      <c r="AI2322" s="1">
        <v>80331</v>
      </c>
      <c r="AJ2322" s="2">
        <v>0.24</v>
      </c>
      <c r="AK2322" s="1">
        <v>333279</v>
      </c>
      <c r="AL2322" t="s">
        <v>117</v>
      </c>
      <c r="AM2322" t="s">
        <v>393</v>
      </c>
      <c r="AN2322">
        <v>8028</v>
      </c>
      <c r="AO2322">
        <v>0.18</v>
      </c>
      <c r="AP2322">
        <v>1</v>
      </c>
      <c r="AR2322">
        <v>1</v>
      </c>
      <c r="AS2322" s="1">
        <v>23380</v>
      </c>
      <c r="AT2322" s="1">
        <v>4670</v>
      </c>
      <c r="AU2322" s="1">
        <v>18710</v>
      </c>
      <c r="AV2322">
        <v>80.03</v>
      </c>
      <c r="AX2322" s="1">
        <v>2213.54</v>
      </c>
      <c r="AY2322" t="s">
        <v>9740</v>
      </c>
      <c r="AZ2322" t="s">
        <v>6726</v>
      </c>
      <c r="BA2322" t="s">
        <v>5392</v>
      </c>
      <c r="BE2322" s="3">
        <v>42299</v>
      </c>
      <c r="BF2322" s="1">
        <v>248500</v>
      </c>
      <c r="BG2322" t="s">
        <v>15561</v>
      </c>
      <c r="BH2322" s="1">
        <v>151.52000000000001</v>
      </c>
      <c r="BI2322" s="1">
        <v>252948</v>
      </c>
      <c r="BJ2322" s="3">
        <v>42675</v>
      </c>
      <c r="BK2322" t="s">
        <v>123</v>
      </c>
      <c r="BL2322" t="str">
        <f>"2016.803139"</f>
        <v>2016.803139</v>
      </c>
      <c r="BM2322" t="s">
        <v>843</v>
      </c>
      <c r="BO2322" t="s">
        <v>15562</v>
      </c>
      <c r="BS2322">
        <v>30</v>
      </c>
      <c r="BW2322" t="str">
        <f>""</f>
        <v/>
      </c>
      <c r="CH2322" t="str">
        <f>""</f>
        <v/>
      </c>
      <c r="CS2322" t="str">
        <f>""</f>
        <v/>
      </c>
    </row>
    <row r="2323" spans="1:97" x14ac:dyDescent="0.25">
      <c r="A2323" t="s">
        <v>12062</v>
      </c>
      <c r="B2323" t="s">
        <v>371</v>
      </c>
      <c r="C2323" t="s">
        <v>2930</v>
      </c>
      <c r="D2323" t="s">
        <v>371</v>
      </c>
      <c r="E2323" t="s">
        <v>15563</v>
      </c>
      <c r="F2323" t="s">
        <v>108</v>
      </c>
      <c r="H2323" t="s">
        <v>15564</v>
      </c>
      <c r="I2323" t="s">
        <v>188</v>
      </c>
      <c r="J2323" t="s">
        <v>111</v>
      </c>
      <c r="K2323" t="str">
        <f>"85142"</f>
        <v>85142</v>
      </c>
      <c r="L2323" t="s">
        <v>1789</v>
      </c>
      <c r="M2323" t="s">
        <v>15564</v>
      </c>
      <c r="N2323" t="s">
        <v>188</v>
      </c>
      <c r="O2323" t="s">
        <v>111</v>
      </c>
      <c r="P2323" t="str">
        <f>"85142-4005"</f>
        <v>85142-4005</v>
      </c>
      <c r="Q2323" t="s">
        <v>113</v>
      </c>
      <c r="R2323" t="str">
        <f>"304-90-146"</f>
        <v>304-90-146</v>
      </c>
      <c r="S2323" t="s">
        <v>15565</v>
      </c>
      <c r="U2323">
        <v>2324</v>
      </c>
      <c r="V2323">
        <v>0</v>
      </c>
      <c r="W2323">
        <v>3</v>
      </c>
      <c r="X2323">
        <v>1998</v>
      </c>
      <c r="Z2323">
        <v>1</v>
      </c>
      <c r="AA2323" t="s">
        <v>26</v>
      </c>
      <c r="AB2323">
        <v>0</v>
      </c>
      <c r="AC2323" t="s">
        <v>115</v>
      </c>
      <c r="AD2323">
        <v>2</v>
      </c>
      <c r="AE2323" t="s">
        <v>115</v>
      </c>
      <c r="AF2323">
        <v>0</v>
      </c>
      <c r="AG2323">
        <v>0</v>
      </c>
      <c r="AH2323" t="s">
        <v>116</v>
      </c>
      <c r="AI2323" s="1">
        <v>175861</v>
      </c>
      <c r="AJ2323" s="2">
        <v>0.28999999999999998</v>
      </c>
      <c r="AK2323" s="1">
        <v>598258</v>
      </c>
      <c r="AL2323" t="s">
        <v>117</v>
      </c>
      <c r="AM2323" t="s">
        <v>376</v>
      </c>
      <c r="AN2323">
        <v>104535</v>
      </c>
      <c r="AO2323">
        <v>2.4</v>
      </c>
      <c r="AP2323">
        <v>1</v>
      </c>
      <c r="AR2323">
        <v>1</v>
      </c>
      <c r="AS2323" s="1">
        <v>47470</v>
      </c>
      <c r="AT2323" s="1">
        <v>9490</v>
      </c>
      <c r="AU2323" s="1">
        <v>37980</v>
      </c>
      <c r="AV2323">
        <v>80.010000000000005</v>
      </c>
      <c r="AX2323" s="1">
        <v>5916.8</v>
      </c>
      <c r="AY2323" t="s">
        <v>1074</v>
      </c>
      <c r="AZ2323" t="s">
        <v>193</v>
      </c>
      <c r="BA2323" t="s">
        <v>194</v>
      </c>
      <c r="BE2323" s="3">
        <v>41760</v>
      </c>
      <c r="BF2323" s="1">
        <v>420000</v>
      </c>
      <c r="BG2323" t="s">
        <v>15566</v>
      </c>
      <c r="BH2323" s="1">
        <v>180.72</v>
      </c>
      <c r="BI2323" s="1">
        <v>422397</v>
      </c>
      <c r="BJ2323" s="3">
        <v>42503</v>
      </c>
      <c r="BK2323" t="s">
        <v>123</v>
      </c>
      <c r="BL2323" t="str">
        <f>"2016.328455"</f>
        <v>2016.328455</v>
      </c>
      <c r="BM2323" t="s">
        <v>1325</v>
      </c>
      <c r="BO2323" t="s">
        <v>15567</v>
      </c>
      <c r="BS2323">
        <v>30</v>
      </c>
      <c r="BW2323" t="str">
        <f>""</f>
        <v/>
      </c>
      <c r="CH2323" t="str">
        <f>""</f>
        <v/>
      </c>
      <c r="CS2323" t="str">
        <f>""</f>
        <v/>
      </c>
    </row>
    <row r="2324" spans="1:97" x14ac:dyDescent="0.25">
      <c r="A2324" t="s">
        <v>15568</v>
      </c>
      <c r="B2324" t="s">
        <v>15569</v>
      </c>
      <c r="E2324" t="s">
        <v>15570</v>
      </c>
      <c r="F2324" t="s">
        <v>108</v>
      </c>
      <c r="H2324" t="s">
        <v>15571</v>
      </c>
      <c r="I2324" t="s">
        <v>144</v>
      </c>
      <c r="J2324" t="s">
        <v>111</v>
      </c>
      <c r="K2324" t="str">
        <f>"85396"</f>
        <v>85396</v>
      </c>
      <c r="L2324" t="s">
        <v>1789</v>
      </c>
      <c r="M2324" t="s">
        <v>15571</v>
      </c>
      <c r="N2324" t="s">
        <v>144</v>
      </c>
      <c r="O2324" t="s">
        <v>111</v>
      </c>
      <c r="P2324" t="str">
        <f>"85396-3631"</f>
        <v>85396-3631</v>
      </c>
      <c r="Q2324" t="s">
        <v>113</v>
      </c>
      <c r="R2324" t="str">
        <f>"502-79-187"</f>
        <v>502-79-187</v>
      </c>
      <c r="S2324" t="s">
        <v>15572</v>
      </c>
      <c r="U2324">
        <v>2089</v>
      </c>
      <c r="V2324">
        <v>0</v>
      </c>
      <c r="W2324">
        <v>4</v>
      </c>
      <c r="X2324">
        <v>2006</v>
      </c>
      <c r="Z2324">
        <v>2</v>
      </c>
      <c r="AB2324">
        <v>0</v>
      </c>
      <c r="AC2324" t="s">
        <v>115</v>
      </c>
      <c r="AD2324">
        <v>2</v>
      </c>
      <c r="AE2324" t="s">
        <v>115</v>
      </c>
      <c r="AF2324">
        <v>0</v>
      </c>
      <c r="AG2324">
        <v>0</v>
      </c>
      <c r="AH2324" t="s">
        <v>116</v>
      </c>
      <c r="AI2324" s="1">
        <v>67609</v>
      </c>
      <c r="AJ2324" s="2">
        <v>0.22</v>
      </c>
      <c r="AK2324" s="1">
        <v>312666</v>
      </c>
      <c r="AL2324" t="s">
        <v>117</v>
      </c>
      <c r="AM2324" t="s">
        <v>118</v>
      </c>
      <c r="AN2324">
        <v>4437</v>
      </c>
      <c r="AO2324">
        <v>0.1</v>
      </c>
      <c r="AR2324">
        <v>1</v>
      </c>
      <c r="AS2324" s="1">
        <v>21270</v>
      </c>
      <c r="AT2324" s="1">
        <v>4250</v>
      </c>
      <c r="AU2324" s="1">
        <v>17020</v>
      </c>
      <c r="AV2324">
        <v>80.02</v>
      </c>
      <c r="AX2324" s="1">
        <v>2654.56</v>
      </c>
      <c r="AY2324" t="s">
        <v>543</v>
      </c>
      <c r="AZ2324" t="s">
        <v>504</v>
      </c>
      <c r="BA2324" t="s">
        <v>218</v>
      </c>
      <c r="BE2324" s="3">
        <v>42128</v>
      </c>
      <c r="BF2324" s="1">
        <v>239900</v>
      </c>
      <c r="BG2324" t="s">
        <v>15573</v>
      </c>
      <c r="BH2324" s="1">
        <v>114.84</v>
      </c>
      <c r="BI2324" s="1">
        <v>245057</v>
      </c>
      <c r="BJ2324" s="3">
        <v>42128</v>
      </c>
      <c r="BK2324" t="s">
        <v>123</v>
      </c>
      <c r="BL2324" t="str">
        <f>"2015.312760"</f>
        <v>2015.312760</v>
      </c>
      <c r="BM2324" t="s">
        <v>2716</v>
      </c>
      <c r="BO2324" t="s">
        <v>15574</v>
      </c>
      <c r="BS2324">
        <v>30</v>
      </c>
      <c r="BW2324" t="str">
        <f>""</f>
        <v/>
      </c>
      <c r="CH2324" t="str">
        <f>""</f>
        <v/>
      </c>
      <c r="CS2324" t="str">
        <f>""</f>
        <v/>
      </c>
    </row>
    <row r="2325" spans="1:97" x14ac:dyDescent="0.25">
      <c r="A2325" t="s">
        <v>15575</v>
      </c>
      <c r="B2325" t="s">
        <v>3265</v>
      </c>
      <c r="C2325" t="s">
        <v>15576</v>
      </c>
      <c r="D2325" t="s">
        <v>3265</v>
      </c>
      <c r="E2325" t="s">
        <v>15577</v>
      </c>
      <c r="F2325" t="s">
        <v>108</v>
      </c>
      <c r="H2325" t="s">
        <v>15578</v>
      </c>
      <c r="I2325" t="s">
        <v>5636</v>
      </c>
      <c r="J2325" t="s">
        <v>111</v>
      </c>
      <c r="K2325" t="str">
        <f>"85268"</f>
        <v>85268</v>
      </c>
      <c r="L2325" t="s">
        <v>3645</v>
      </c>
      <c r="M2325" t="s">
        <v>15578</v>
      </c>
      <c r="N2325" t="s">
        <v>5636</v>
      </c>
      <c r="O2325" t="s">
        <v>111</v>
      </c>
      <c r="P2325" t="str">
        <f>"85268-6302"</f>
        <v>85268-6302</v>
      </c>
      <c r="Q2325" t="s">
        <v>113</v>
      </c>
      <c r="R2325" t="str">
        <f>"217-30-342"</f>
        <v>217-30-342</v>
      </c>
      <c r="S2325" t="s">
        <v>15579</v>
      </c>
      <c r="U2325">
        <v>1524</v>
      </c>
      <c r="V2325">
        <v>0</v>
      </c>
      <c r="W2325">
        <v>3</v>
      </c>
      <c r="X2325">
        <v>1997</v>
      </c>
      <c r="Z2325">
        <v>1</v>
      </c>
      <c r="AA2325" t="s">
        <v>26</v>
      </c>
      <c r="AB2325">
        <v>0</v>
      </c>
      <c r="AC2325" t="s">
        <v>115</v>
      </c>
      <c r="AD2325">
        <v>2</v>
      </c>
      <c r="AE2325" t="s">
        <v>115</v>
      </c>
      <c r="AF2325">
        <v>0</v>
      </c>
      <c r="AG2325">
        <v>0</v>
      </c>
      <c r="AH2325" t="s">
        <v>116</v>
      </c>
      <c r="AI2325" s="1">
        <v>51644</v>
      </c>
      <c r="AJ2325" s="2">
        <v>0.12</v>
      </c>
      <c r="AK2325" s="1">
        <v>439814</v>
      </c>
      <c r="AL2325" t="s">
        <v>117</v>
      </c>
      <c r="AM2325" t="s">
        <v>191</v>
      </c>
      <c r="AN2325">
        <v>7257</v>
      </c>
      <c r="AO2325">
        <v>0.17</v>
      </c>
      <c r="AP2325">
        <v>1</v>
      </c>
      <c r="AR2325">
        <v>1</v>
      </c>
      <c r="AS2325" s="1">
        <v>31970</v>
      </c>
      <c r="AT2325" s="1">
        <v>6390</v>
      </c>
      <c r="AU2325" s="1">
        <v>25580</v>
      </c>
      <c r="AV2325">
        <v>80.010000000000005</v>
      </c>
      <c r="AX2325" s="1">
        <v>2255.2600000000002</v>
      </c>
      <c r="AY2325" t="s">
        <v>5639</v>
      </c>
      <c r="AZ2325" t="s">
        <v>5640</v>
      </c>
      <c r="BA2325" t="s">
        <v>5641</v>
      </c>
      <c r="BE2325" s="3">
        <v>42187</v>
      </c>
      <c r="BF2325" s="1">
        <v>380000</v>
      </c>
      <c r="BG2325" t="s">
        <v>15580</v>
      </c>
      <c r="BH2325" s="1">
        <v>249.34</v>
      </c>
      <c r="BI2325" s="1">
        <v>388170</v>
      </c>
      <c r="BJ2325" s="3">
        <v>42187</v>
      </c>
      <c r="BK2325" t="s">
        <v>123</v>
      </c>
      <c r="BL2325" t="str">
        <f>"2015.480770"</f>
        <v>2015.480770</v>
      </c>
      <c r="BM2325" t="s">
        <v>15581</v>
      </c>
      <c r="BO2325" t="s">
        <v>15582</v>
      </c>
      <c r="BS2325">
        <v>30</v>
      </c>
      <c r="BW2325" t="str">
        <f>""</f>
        <v/>
      </c>
      <c r="CH2325" t="str">
        <f>""</f>
        <v/>
      </c>
      <c r="CS2325" t="str">
        <f>""</f>
        <v/>
      </c>
    </row>
    <row r="2326" spans="1:97" x14ac:dyDescent="0.25">
      <c r="A2326" t="s">
        <v>1979</v>
      </c>
      <c r="B2326" t="s">
        <v>15583</v>
      </c>
      <c r="C2326" t="s">
        <v>976</v>
      </c>
      <c r="D2326" t="s">
        <v>15583</v>
      </c>
      <c r="E2326" t="s">
        <v>15584</v>
      </c>
      <c r="F2326" t="s">
        <v>108</v>
      </c>
      <c r="H2326" t="s">
        <v>15585</v>
      </c>
      <c r="I2326" t="s">
        <v>390</v>
      </c>
      <c r="J2326" t="s">
        <v>111</v>
      </c>
      <c r="K2326" t="str">
        <f>"85083"</f>
        <v>85083</v>
      </c>
      <c r="L2326" t="s">
        <v>4467</v>
      </c>
      <c r="M2326" t="s">
        <v>15585</v>
      </c>
      <c r="N2326" t="s">
        <v>390</v>
      </c>
      <c r="O2326" t="s">
        <v>111</v>
      </c>
      <c r="P2326" t="str">
        <f>"85083-7594"</f>
        <v>85083-7594</v>
      </c>
      <c r="Q2326" t="s">
        <v>113</v>
      </c>
      <c r="R2326" t="str">
        <f>"204-19-283"</f>
        <v>204-19-283</v>
      </c>
      <c r="S2326" t="s">
        <v>15586</v>
      </c>
      <c r="T2326" t="s">
        <v>15587</v>
      </c>
      <c r="U2326">
        <v>2854</v>
      </c>
      <c r="V2326">
        <v>0</v>
      </c>
      <c r="W2326">
        <v>4</v>
      </c>
      <c r="X2326">
        <v>2006</v>
      </c>
      <c r="Z2326">
        <v>1</v>
      </c>
      <c r="AB2326">
        <v>0</v>
      </c>
      <c r="AC2326" t="s">
        <v>115</v>
      </c>
      <c r="AD2326">
        <v>3</v>
      </c>
      <c r="AE2326" t="s">
        <v>115</v>
      </c>
      <c r="AF2326">
        <v>0</v>
      </c>
      <c r="AG2326">
        <v>0</v>
      </c>
      <c r="AH2326" t="s">
        <v>116</v>
      </c>
      <c r="AI2326" s="1">
        <v>84476</v>
      </c>
      <c r="AJ2326" s="2">
        <v>0.19</v>
      </c>
      <c r="AK2326" s="1">
        <v>437376</v>
      </c>
      <c r="AL2326" t="s">
        <v>117</v>
      </c>
      <c r="AM2326" t="s">
        <v>171</v>
      </c>
      <c r="AN2326">
        <v>8750</v>
      </c>
      <c r="AO2326">
        <v>0.2</v>
      </c>
      <c r="AR2326">
        <v>1</v>
      </c>
      <c r="AS2326" s="1">
        <v>32000</v>
      </c>
      <c r="AT2326" s="1">
        <v>6400</v>
      </c>
      <c r="AU2326" s="1">
        <v>25600</v>
      </c>
      <c r="AV2326">
        <v>80</v>
      </c>
      <c r="AX2326" s="1">
        <v>3100.24</v>
      </c>
      <c r="AY2326" t="s">
        <v>1385</v>
      </c>
      <c r="AZ2326" t="s">
        <v>1385</v>
      </c>
      <c r="BA2326" t="s">
        <v>1386</v>
      </c>
      <c r="BE2326" s="3">
        <v>42117</v>
      </c>
      <c r="BF2326" s="1">
        <v>355000</v>
      </c>
      <c r="BG2326" t="s">
        <v>15588</v>
      </c>
      <c r="BH2326" s="1">
        <v>124.39</v>
      </c>
      <c r="BI2326" s="1">
        <v>352900</v>
      </c>
      <c r="BJ2326" s="3">
        <v>42613</v>
      </c>
      <c r="BK2326" t="s">
        <v>123</v>
      </c>
      <c r="BL2326" t="str">
        <f>"2016.629780"</f>
        <v>2016.629780</v>
      </c>
      <c r="BM2326" t="s">
        <v>673</v>
      </c>
      <c r="BO2326" t="s">
        <v>15589</v>
      </c>
      <c r="BS2326">
        <v>30</v>
      </c>
      <c r="BW2326" t="str">
        <f>""</f>
        <v/>
      </c>
      <c r="CH2326" t="str">
        <f>""</f>
        <v/>
      </c>
      <c r="CS2326" t="str">
        <f>""</f>
        <v/>
      </c>
    </row>
    <row r="2327" spans="1:97" x14ac:dyDescent="0.25">
      <c r="B2327" t="s">
        <v>15590</v>
      </c>
      <c r="E2327" t="s">
        <v>15591</v>
      </c>
      <c r="F2327" t="s">
        <v>108</v>
      </c>
      <c r="H2327" t="s">
        <v>15592</v>
      </c>
      <c r="I2327" t="s">
        <v>390</v>
      </c>
      <c r="J2327" t="s">
        <v>111</v>
      </c>
      <c r="K2327" t="str">
        <f>"85024"</f>
        <v>85024</v>
      </c>
      <c r="L2327" t="s">
        <v>6316</v>
      </c>
      <c r="M2327" t="s">
        <v>15593</v>
      </c>
      <c r="N2327" t="s">
        <v>390</v>
      </c>
      <c r="O2327" t="s">
        <v>111</v>
      </c>
      <c r="P2327" t="str">
        <f>"85024"</f>
        <v>85024</v>
      </c>
      <c r="Q2327" t="s">
        <v>113</v>
      </c>
      <c r="R2327" t="str">
        <f>"212-15-121"</f>
        <v>212-15-121</v>
      </c>
      <c r="S2327" t="s">
        <v>15594</v>
      </c>
      <c r="T2327" t="s">
        <v>15594</v>
      </c>
      <c r="U2327">
        <v>4036</v>
      </c>
      <c r="V2327">
        <v>0</v>
      </c>
      <c r="W2327">
        <v>3</v>
      </c>
      <c r="X2327">
        <v>1998</v>
      </c>
      <c r="Z2327">
        <v>2</v>
      </c>
      <c r="AA2327" t="s">
        <v>26</v>
      </c>
      <c r="AB2327">
        <v>0</v>
      </c>
      <c r="AC2327" t="s">
        <v>115</v>
      </c>
      <c r="AD2327">
        <v>3</v>
      </c>
      <c r="AE2327" t="s">
        <v>115</v>
      </c>
      <c r="AF2327">
        <v>0</v>
      </c>
      <c r="AG2327">
        <v>0</v>
      </c>
      <c r="AH2327" t="s">
        <v>116</v>
      </c>
      <c r="AI2327" s="1">
        <v>95798</v>
      </c>
      <c r="AJ2327" s="2">
        <v>0.18</v>
      </c>
      <c r="AK2327" s="1">
        <v>522686</v>
      </c>
      <c r="AL2327" t="s">
        <v>117</v>
      </c>
      <c r="AM2327" t="s">
        <v>191</v>
      </c>
      <c r="AN2327">
        <v>7642</v>
      </c>
      <c r="AO2327">
        <v>0.18</v>
      </c>
      <c r="AP2327">
        <v>1</v>
      </c>
      <c r="AR2327">
        <v>1</v>
      </c>
      <c r="AS2327" s="1">
        <v>40970</v>
      </c>
      <c r="AT2327" s="1">
        <v>8190</v>
      </c>
      <c r="AU2327" s="1">
        <v>32780</v>
      </c>
      <c r="AV2327">
        <v>80.010000000000005</v>
      </c>
      <c r="AX2327" s="1">
        <v>3623.68</v>
      </c>
      <c r="AY2327" t="s">
        <v>570</v>
      </c>
      <c r="AZ2327" t="s">
        <v>761</v>
      </c>
      <c r="BA2327" t="s">
        <v>762</v>
      </c>
      <c r="BB2327" s="3">
        <v>43440</v>
      </c>
      <c r="BC2327" s="1">
        <v>0</v>
      </c>
      <c r="BD2327" t="s">
        <v>247</v>
      </c>
      <c r="BE2327" s="3">
        <v>41878</v>
      </c>
      <c r="BF2327" s="1">
        <v>422500</v>
      </c>
      <c r="BG2327" t="s">
        <v>15595</v>
      </c>
      <c r="BH2327" s="1">
        <v>104.68</v>
      </c>
      <c r="BI2327" s="1">
        <v>426888</v>
      </c>
      <c r="BJ2327" s="3">
        <v>42516</v>
      </c>
      <c r="BK2327" t="s">
        <v>123</v>
      </c>
      <c r="BL2327" t="str">
        <f>"2016.363798"</f>
        <v>2016.363798</v>
      </c>
      <c r="BM2327" t="s">
        <v>255</v>
      </c>
      <c r="BN2327" t="s">
        <v>2398</v>
      </c>
      <c r="BO2327" t="s">
        <v>15596</v>
      </c>
      <c r="BP2327" t="s">
        <v>15597</v>
      </c>
      <c r="BS2327">
        <v>30</v>
      </c>
      <c r="BW2327" t="str">
        <f>""</f>
        <v/>
      </c>
      <c r="CH2327" t="str">
        <f>""</f>
        <v/>
      </c>
      <c r="CS2327" t="str">
        <f>""</f>
        <v/>
      </c>
    </row>
    <row r="2328" spans="1:97" x14ac:dyDescent="0.25">
      <c r="A2328" t="s">
        <v>13060</v>
      </c>
      <c r="B2328" t="s">
        <v>15598</v>
      </c>
      <c r="C2328" t="s">
        <v>15599</v>
      </c>
      <c r="D2328" t="s">
        <v>15598</v>
      </c>
      <c r="E2328" t="s">
        <v>15600</v>
      </c>
      <c r="F2328" t="s">
        <v>282</v>
      </c>
      <c r="H2328" t="s">
        <v>15601</v>
      </c>
      <c r="I2328" t="s">
        <v>499</v>
      </c>
      <c r="J2328" t="s">
        <v>111</v>
      </c>
      <c r="K2328" t="str">
        <f>"85395"</f>
        <v>85395</v>
      </c>
      <c r="L2328" t="s">
        <v>4159</v>
      </c>
      <c r="M2328" t="s">
        <v>15602</v>
      </c>
      <c r="N2328" t="s">
        <v>15603</v>
      </c>
      <c r="O2328" t="s">
        <v>15604</v>
      </c>
      <c r="P2328" t="str">
        <f>"29154-8151"</f>
        <v>29154-8151</v>
      </c>
      <c r="Q2328" t="s">
        <v>113</v>
      </c>
      <c r="R2328" t="str">
        <f>"501-61-062"</f>
        <v>501-61-062</v>
      </c>
      <c r="S2328" t="s">
        <v>14967</v>
      </c>
      <c r="T2328" t="s">
        <v>14968</v>
      </c>
      <c r="U2328">
        <v>2745</v>
      </c>
      <c r="V2328">
        <v>0</v>
      </c>
      <c r="W2328">
        <v>4</v>
      </c>
      <c r="X2328">
        <v>2007</v>
      </c>
      <c r="Z2328">
        <v>2</v>
      </c>
      <c r="AB2328">
        <v>0</v>
      </c>
      <c r="AC2328" t="s">
        <v>115</v>
      </c>
      <c r="AD2328">
        <v>3</v>
      </c>
      <c r="AE2328" t="s">
        <v>115</v>
      </c>
      <c r="AF2328">
        <v>0</v>
      </c>
      <c r="AG2328">
        <v>0</v>
      </c>
      <c r="AH2328" t="s">
        <v>116</v>
      </c>
      <c r="AI2328" s="1">
        <v>98370</v>
      </c>
      <c r="AJ2328" s="2">
        <v>0.28000000000000003</v>
      </c>
      <c r="AK2328" s="1">
        <v>354136</v>
      </c>
      <c r="AL2328" t="s">
        <v>117</v>
      </c>
      <c r="AM2328" t="s">
        <v>118</v>
      </c>
      <c r="AN2328">
        <v>7229</v>
      </c>
      <c r="AO2328">
        <v>0.17</v>
      </c>
      <c r="AR2328">
        <v>1</v>
      </c>
      <c r="AS2328" s="1">
        <v>25380</v>
      </c>
      <c r="AT2328" s="1">
        <v>5070</v>
      </c>
      <c r="AU2328" s="1">
        <v>20310</v>
      </c>
      <c r="AV2328">
        <v>80.02</v>
      </c>
      <c r="AX2328" s="1">
        <v>2775.82</v>
      </c>
      <c r="AY2328" t="s">
        <v>3019</v>
      </c>
      <c r="AZ2328" t="s">
        <v>504</v>
      </c>
      <c r="BA2328" t="s">
        <v>3154</v>
      </c>
      <c r="BE2328" s="3">
        <v>41759</v>
      </c>
      <c r="BF2328" s="1">
        <v>270500</v>
      </c>
      <c r="BG2328" t="s">
        <v>15605</v>
      </c>
      <c r="BH2328" s="1">
        <v>98.54</v>
      </c>
      <c r="BI2328" s="1">
        <v>255766</v>
      </c>
      <c r="BJ2328" s="3">
        <v>42432</v>
      </c>
      <c r="BK2328" t="s">
        <v>123</v>
      </c>
      <c r="BL2328" t="str">
        <f>"2016.137035"</f>
        <v>2016.137035</v>
      </c>
      <c r="BM2328" t="s">
        <v>2383</v>
      </c>
      <c r="BO2328" t="s">
        <v>15606</v>
      </c>
      <c r="BS2328">
        <v>30</v>
      </c>
      <c r="BW2328" t="str">
        <f>""</f>
        <v/>
      </c>
      <c r="CH2328" t="str">
        <f>""</f>
        <v/>
      </c>
      <c r="CS2328" t="str">
        <f>""</f>
        <v/>
      </c>
    </row>
    <row r="2329" spans="1:97" x14ac:dyDescent="0.25">
      <c r="A2329" t="s">
        <v>15607</v>
      </c>
      <c r="B2329" t="s">
        <v>15608</v>
      </c>
      <c r="C2329" t="s">
        <v>15609</v>
      </c>
      <c r="D2329" t="s">
        <v>15608</v>
      </c>
      <c r="E2329" t="s">
        <v>15610</v>
      </c>
      <c r="F2329" t="s">
        <v>108</v>
      </c>
      <c r="H2329" t="s">
        <v>15611</v>
      </c>
      <c r="I2329" t="s">
        <v>453</v>
      </c>
      <c r="J2329" t="s">
        <v>111</v>
      </c>
      <c r="K2329" t="str">
        <f>"85383"</f>
        <v>85383</v>
      </c>
      <c r="L2329" t="s">
        <v>3225</v>
      </c>
      <c r="M2329" t="s">
        <v>15611</v>
      </c>
      <c r="N2329" t="s">
        <v>453</v>
      </c>
      <c r="O2329" t="s">
        <v>111</v>
      </c>
      <c r="P2329" t="str">
        <f>"85383-5813"</f>
        <v>85383-5813</v>
      </c>
      <c r="Q2329" t="s">
        <v>113</v>
      </c>
      <c r="R2329" t="str">
        <f>"503-66-521"</f>
        <v>503-66-521</v>
      </c>
      <c r="S2329" t="s">
        <v>9145</v>
      </c>
      <c r="T2329" t="s">
        <v>7704</v>
      </c>
      <c r="U2329">
        <v>1826</v>
      </c>
      <c r="V2329">
        <v>0</v>
      </c>
      <c r="W2329">
        <v>3</v>
      </c>
      <c r="X2329">
        <v>2013</v>
      </c>
      <c r="Z2329">
        <v>1</v>
      </c>
      <c r="AB2329">
        <v>0</v>
      </c>
      <c r="AC2329" t="s">
        <v>115</v>
      </c>
      <c r="AD2329">
        <v>2</v>
      </c>
      <c r="AE2329" t="s">
        <v>115</v>
      </c>
      <c r="AF2329">
        <v>0</v>
      </c>
      <c r="AG2329">
        <v>0</v>
      </c>
      <c r="AH2329" t="s">
        <v>116</v>
      </c>
      <c r="AI2329" s="1">
        <v>66148</v>
      </c>
      <c r="AJ2329" s="2">
        <v>0.23</v>
      </c>
      <c r="AK2329" s="1">
        <v>290309</v>
      </c>
      <c r="AL2329" t="s">
        <v>117</v>
      </c>
      <c r="AM2329" t="s">
        <v>191</v>
      </c>
      <c r="AN2329">
        <v>4950</v>
      </c>
      <c r="AO2329">
        <v>0.11</v>
      </c>
      <c r="AR2329">
        <v>1</v>
      </c>
      <c r="AS2329" s="1">
        <v>20510</v>
      </c>
      <c r="AT2329" s="1">
        <v>4100</v>
      </c>
      <c r="AU2329" s="1">
        <v>16410</v>
      </c>
      <c r="AV2329">
        <v>80.010000000000005</v>
      </c>
      <c r="AX2329" s="1">
        <v>1911.74</v>
      </c>
      <c r="AY2329" t="s">
        <v>456</v>
      </c>
      <c r="AZ2329" t="s">
        <v>456</v>
      </c>
      <c r="BA2329" t="s">
        <v>457</v>
      </c>
      <c r="BB2329" s="3">
        <v>43762</v>
      </c>
      <c r="BC2329" s="1">
        <v>0</v>
      </c>
      <c r="BD2329" t="s">
        <v>247</v>
      </c>
      <c r="BE2329" s="3">
        <v>41810</v>
      </c>
      <c r="BF2329" s="1">
        <v>217000</v>
      </c>
      <c r="BG2329" t="s">
        <v>749</v>
      </c>
      <c r="BH2329" s="1">
        <v>118.84</v>
      </c>
      <c r="BI2329" s="1">
        <v>224161</v>
      </c>
      <c r="BJ2329" s="3">
        <v>41813</v>
      </c>
      <c r="BK2329" t="s">
        <v>123</v>
      </c>
      <c r="BL2329" t="str">
        <f>"2014.408170"</f>
        <v>2014.408170</v>
      </c>
      <c r="BM2329" t="s">
        <v>1287</v>
      </c>
      <c r="BN2329" t="s">
        <v>15612</v>
      </c>
      <c r="BO2329" t="s">
        <v>15613</v>
      </c>
      <c r="BS2329">
        <v>30</v>
      </c>
      <c r="BW2329" t="str">
        <f>""</f>
        <v/>
      </c>
      <c r="CH2329" t="str">
        <f>""</f>
        <v/>
      </c>
      <c r="CS2329" t="str">
        <f>""</f>
        <v/>
      </c>
    </row>
    <row r="2330" spans="1:97" x14ac:dyDescent="0.25">
      <c r="A2330" t="s">
        <v>7158</v>
      </c>
      <c r="B2330" t="s">
        <v>15614</v>
      </c>
      <c r="C2330" t="s">
        <v>2817</v>
      </c>
      <c r="D2330" t="s">
        <v>15614</v>
      </c>
      <c r="E2330" t="s">
        <v>15615</v>
      </c>
      <c r="F2330" t="s">
        <v>108</v>
      </c>
      <c r="H2330" t="s">
        <v>15616</v>
      </c>
      <c r="I2330" t="s">
        <v>203</v>
      </c>
      <c r="J2330" t="s">
        <v>111</v>
      </c>
      <c r="K2330" t="str">
        <f>"85295"</f>
        <v>85295</v>
      </c>
      <c r="L2330" t="s">
        <v>4534</v>
      </c>
      <c r="M2330" t="s">
        <v>15616</v>
      </c>
      <c r="N2330" t="s">
        <v>203</v>
      </c>
      <c r="O2330" t="s">
        <v>111</v>
      </c>
      <c r="P2330" t="str">
        <f>"85295-1558"</f>
        <v>85295-1558</v>
      </c>
      <c r="Q2330" t="s">
        <v>113</v>
      </c>
      <c r="R2330" t="str">
        <f>"309-29-085"</f>
        <v>309-29-085</v>
      </c>
      <c r="S2330" t="s">
        <v>15617</v>
      </c>
      <c r="T2330" t="s">
        <v>15617</v>
      </c>
      <c r="U2330">
        <v>4525</v>
      </c>
      <c r="V2330">
        <v>0</v>
      </c>
      <c r="W2330">
        <v>5</v>
      </c>
      <c r="X2330">
        <v>2002</v>
      </c>
      <c r="Z2330">
        <v>2</v>
      </c>
      <c r="AA2330" t="s">
        <v>26</v>
      </c>
      <c r="AB2330">
        <v>0</v>
      </c>
      <c r="AC2330" t="s">
        <v>115</v>
      </c>
      <c r="AD2330">
        <v>3</v>
      </c>
      <c r="AE2330" t="s">
        <v>115</v>
      </c>
      <c r="AF2330">
        <v>0</v>
      </c>
      <c r="AG2330">
        <v>0</v>
      </c>
      <c r="AH2330" t="s">
        <v>116</v>
      </c>
      <c r="AI2330" s="1">
        <v>139221</v>
      </c>
      <c r="AJ2330" s="2">
        <v>0.21</v>
      </c>
      <c r="AK2330" s="1">
        <v>674721</v>
      </c>
      <c r="AL2330" t="s">
        <v>117</v>
      </c>
      <c r="AM2330" t="s">
        <v>1302</v>
      </c>
      <c r="AN2330">
        <v>13141</v>
      </c>
      <c r="AO2330">
        <v>0.3</v>
      </c>
      <c r="AP2330">
        <v>1</v>
      </c>
      <c r="AR2330">
        <v>1</v>
      </c>
      <c r="AS2330" s="1">
        <v>50270</v>
      </c>
      <c r="AT2330" s="1">
        <v>10050</v>
      </c>
      <c r="AU2330" s="1">
        <v>40220</v>
      </c>
      <c r="AV2330">
        <v>80.010000000000005</v>
      </c>
      <c r="AX2330" s="1">
        <v>4436.72</v>
      </c>
      <c r="AY2330" t="s">
        <v>206</v>
      </c>
      <c r="AZ2330" t="s">
        <v>207</v>
      </c>
      <c r="BA2330" t="s">
        <v>208</v>
      </c>
      <c r="BE2330" s="3">
        <v>42404</v>
      </c>
      <c r="BF2330" s="1">
        <v>575000</v>
      </c>
      <c r="BG2330" t="s">
        <v>15618</v>
      </c>
      <c r="BH2330" s="1">
        <v>127.07</v>
      </c>
      <c r="BI2330" s="1">
        <v>535500</v>
      </c>
      <c r="BJ2330" s="3">
        <v>42404</v>
      </c>
      <c r="BK2330" t="s">
        <v>123</v>
      </c>
      <c r="BL2330" t="str">
        <f>"2016.74472"</f>
        <v>2016.74472</v>
      </c>
      <c r="BM2330" t="s">
        <v>724</v>
      </c>
      <c r="BO2330" t="s">
        <v>15619</v>
      </c>
      <c r="BS2330">
        <v>30</v>
      </c>
      <c r="BW2330" t="str">
        <f>""</f>
        <v/>
      </c>
      <c r="CH2330" t="str">
        <f>""</f>
        <v/>
      </c>
      <c r="CS2330" t="str">
        <f>""</f>
        <v/>
      </c>
    </row>
    <row r="2331" spans="1:97" x14ac:dyDescent="0.25">
      <c r="A2331" t="s">
        <v>589</v>
      </c>
      <c r="B2331" t="s">
        <v>15620</v>
      </c>
      <c r="C2331" t="s">
        <v>15621</v>
      </c>
      <c r="D2331" t="s">
        <v>15620</v>
      </c>
      <c r="E2331" t="s">
        <v>15622</v>
      </c>
      <c r="F2331" t="s">
        <v>108</v>
      </c>
      <c r="H2331" t="s">
        <v>15623</v>
      </c>
      <c r="I2331" t="s">
        <v>203</v>
      </c>
      <c r="J2331" t="s">
        <v>111</v>
      </c>
      <c r="K2331" t="str">
        <f>"85233"</f>
        <v>85233</v>
      </c>
      <c r="L2331" t="s">
        <v>226</v>
      </c>
      <c r="M2331" t="s">
        <v>15623</v>
      </c>
      <c r="N2331" t="s">
        <v>203</v>
      </c>
      <c r="O2331" t="s">
        <v>111</v>
      </c>
      <c r="P2331" t="str">
        <f>"85233-2526"</f>
        <v>85233-2526</v>
      </c>
      <c r="Q2331" t="s">
        <v>113</v>
      </c>
      <c r="R2331" t="str">
        <f>"302-12-390"</f>
        <v>302-12-390</v>
      </c>
      <c r="S2331" t="s">
        <v>15624</v>
      </c>
      <c r="T2331" t="s">
        <v>15624</v>
      </c>
      <c r="U2331">
        <v>1838</v>
      </c>
      <c r="V2331">
        <v>0</v>
      </c>
      <c r="W2331">
        <v>3</v>
      </c>
      <c r="X2331">
        <v>1996</v>
      </c>
      <c r="Z2331">
        <v>1</v>
      </c>
      <c r="AB2331">
        <v>0</v>
      </c>
      <c r="AC2331" t="s">
        <v>115</v>
      </c>
      <c r="AD2331">
        <v>3</v>
      </c>
      <c r="AE2331" t="s">
        <v>115</v>
      </c>
      <c r="AF2331">
        <v>0</v>
      </c>
      <c r="AG2331">
        <v>0</v>
      </c>
      <c r="AH2331" t="s">
        <v>116</v>
      </c>
      <c r="AI2331" s="1">
        <v>72314</v>
      </c>
      <c r="AJ2331" s="2">
        <v>0.21</v>
      </c>
      <c r="AK2331" s="1">
        <v>340247</v>
      </c>
      <c r="AL2331" t="s">
        <v>117</v>
      </c>
      <c r="AM2331" t="s">
        <v>393</v>
      </c>
      <c r="AN2331">
        <v>7471</v>
      </c>
      <c r="AO2331">
        <v>0.17</v>
      </c>
      <c r="AP2331">
        <v>1</v>
      </c>
      <c r="AR2331">
        <v>1</v>
      </c>
      <c r="AS2331" s="1">
        <v>23970</v>
      </c>
      <c r="AT2331" s="1">
        <v>4790</v>
      </c>
      <c r="AU2331" s="1">
        <v>19180</v>
      </c>
      <c r="AV2331">
        <v>80.02</v>
      </c>
      <c r="AX2331" s="1">
        <v>1625.12</v>
      </c>
      <c r="AY2331" t="s">
        <v>8604</v>
      </c>
      <c r="AZ2331" t="s">
        <v>5478</v>
      </c>
      <c r="BA2331" t="s">
        <v>5479</v>
      </c>
      <c r="BE2331" s="3">
        <v>41688</v>
      </c>
      <c r="BF2331" s="1">
        <v>264900</v>
      </c>
      <c r="BG2331" t="s">
        <v>15625</v>
      </c>
      <c r="BH2331" s="1">
        <v>144.12</v>
      </c>
      <c r="BI2331" s="1">
        <v>267933</v>
      </c>
      <c r="BJ2331" s="3">
        <v>42508</v>
      </c>
      <c r="BK2331" t="s">
        <v>123</v>
      </c>
      <c r="BL2331" t="str">
        <f>"2016.340520"</f>
        <v>2016.340520</v>
      </c>
      <c r="BM2331" t="s">
        <v>322</v>
      </c>
      <c r="BO2331" t="s">
        <v>15626</v>
      </c>
      <c r="BS2331">
        <v>30</v>
      </c>
      <c r="BW2331" t="str">
        <f>""</f>
        <v/>
      </c>
      <c r="CH2331" t="str">
        <f>""</f>
        <v/>
      </c>
      <c r="CS2331" t="str">
        <f>""</f>
        <v/>
      </c>
    </row>
    <row r="2332" spans="1:97" x14ac:dyDescent="0.25">
      <c r="A2332" t="s">
        <v>3248</v>
      </c>
      <c r="B2332" t="s">
        <v>15627</v>
      </c>
      <c r="E2332" t="s">
        <v>15628</v>
      </c>
      <c r="F2332" t="s">
        <v>108</v>
      </c>
      <c r="H2332" t="s">
        <v>15629</v>
      </c>
      <c r="I2332" t="s">
        <v>203</v>
      </c>
      <c r="J2332" t="s">
        <v>111</v>
      </c>
      <c r="K2332" t="str">
        <f>"85298"</f>
        <v>85298</v>
      </c>
      <c r="L2332" t="s">
        <v>734</v>
      </c>
      <c r="M2332" t="s">
        <v>15629</v>
      </c>
      <c r="N2332" t="s">
        <v>203</v>
      </c>
      <c r="O2332" t="s">
        <v>111</v>
      </c>
      <c r="P2332" t="str">
        <f>"85298-6827"</f>
        <v>85298-6827</v>
      </c>
      <c r="Q2332" t="s">
        <v>113</v>
      </c>
      <c r="R2332" t="str">
        <f>"304-72-273"</f>
        <v>304-72-273</v>
      </c>
      <c r="S2332" t="s">
        <v>9237</v>
      </c>
      <c r="T2332" t="s">
        <v>9237</v>
      </c>
      <c r="U2332">
        <v>2063</v>
      </c>
      <c r="V2332">
        <v>0</v>
      </c>
      <c r="W2332">
        <v>3</v>
      </c>
      <c r="X2332">
        <v>2003</v>
      </c>
      <c r="Z2332">
        <v>1</v>
      </c>
      <c r="AA2332" t="s">
        <v>26</v>
      </c>
      <c r="AB2332">
        <v>0</v>
      </c>
      <c r="AC2332" t="s">
        <v>115</v>
      </c>
      <c r="AD2332">
        <v>2</v>
      </c>
      <c r="AE2332" t="s">
        <v>115</v>
      </c>
      <c r="AF2332">
        <v>0</v>
      </c>
      <c r="AG2332">
        <v>0</v>
      </c>
      <c r="AH2332" t="s">
        <v>116</v>
      </c>
      <c r="AI2332" s="1">
        <v>28054</v>
      </c>
      <c r="AJ2332" s="2">
        <v>0.08</v>
      </c>
      <c r="AK2332" s="1">
        <v>372769</v>
      </c>
      <c r="AL2332" t="s">
        <v>117</v>
      </c>
      <c r="AM2332" t="s">
        <v>393</v>
      </c>
      <c r="AN2332">
        <v>8125</v>
      </c>
      <c r="AO2332">
        <v>0.19</v>
      </c>
      <c r="AP2332">
        <v>1</v>
      </c>
      <c r="AR2332">
        <v>1</v>
      </c>
      <c r="AS2332" s="1">
        <v>26000</v>
      </c>
      <c r="AT2332" s="1">
        <v>5200</v>
      </c>
      <c r="AU2332" s="1">
        <v>20800</v>
      </c>
      <c r="AV2332">
        <v>80</v>
      </c>
      <c r="AX2332" s="1">
        <v>2101.08</v>
      </c>
      <c r="AY2332" t="s">
        <v>302</v>
      </c>
      <c r="AZ2332" t="s">
        <v>273</v>
      </c>
      <c r="BA2332" t="s">
        <v>303</v>
      </c>
      <c r="BB2332" s="3">
        <v>43682</v>
      </c>
      <c r="BC2332" s="1">
        <v>0</v>
      </c>
      <c r="BD2332" t="s">
        <v>247</v>
      </c>
      <c r="BE2332" s="3">
        <v>42171</v>
      </c>
      <c r="BF2332" s="1">
        <v>300000</v>
      </c>
      <c r="BG2332" t="s">
        <v>15630</v>
      </c>
      <c r="BH2332" s="1">
        <v>145.41999999999999</v>
      </c>
      <c r="BI2332" s="1">
        <v>344715</v>
      </c>
      <c r="BJ2332" s="3">
        <v>43626</v>
      </c>
      <c r="BK2332" t="s">
        <v>123</v>
      </c>
      <c r="BL2332" t="str">
        <f>"2019.430498"</f>
        <v>2019.430498</v>
      </c>
      <c r="BM2332" t="s">
        <v>7638</v>
      </c>
      <c r="BN2332" t="s">
        <v>7639</v>
      </c>
      <c r="BO2332" t="s">
        <v>15628</v>
      </c>
      <c r="BP2332" t="s">
        <v>15631</v>
      </c>
      <c r="BR2332" t="s">
        <v>139</v>
      </c>
      <c r="BW2332" t="str">
        <f>""</f>
        <v/>
      </c>
      <c r="CH2332" t="str">
        <f>""</f>
        <v/>
      </c>
      <c r="CS2332" t="str">
        <f>""</f>
        <v/>
      </c>
    </row>
    <row r="2333" spans="1:97" x14ac:dyDescent="0.25">
      <c r="A2333" t="s">
        <v>464</v>
      </c>
      <c r="B2333" t="s">
        <v>15632</v>
      </c>
      <c r="C2333" t="s">
        <v>817</v>
      </c>
      <c r="D2333" t="s">
        <v>15632</v>
      </c>
      <c r="E2333" t="s">
        <v>15633</v>
      </c>
      <c r="F2333" t="s">
        <v>108</v>
      </c>
      <c r="H2333" t="s">
        <v>15634</v>
      </c>
      <c r="I2333" t="s">
        <v>499</v>
      </c>
      <c r="J2333" t="s">
        <v>111</v>
      </c>
      <c r="K2333" t="str">
        <f>"85395"</f>
        <v>85395</v>
      </c>
      <c r="L2333" t="s">
        <v>5416</v>
      </c>
      <c r="M2333" t="s">
        <v>15634</v>
      </c>
      <c r="N2333" t="s">
        <v>499</v>
      </c>
      <c r="O2333" t="s">
        <v>111</v>
      </c>
      <c r="P2333" t="str">
        <f>"85395-7507"</f>
        <v>85395-7507</v>
      </c>
      <c r="Q2333" t="s">
        <v>113</v>
      </c>
      <c r="R2333" t="str">
        <f>"501-82-456"</f>
        <v>501-82-456</v>
      </c>
      <c r="S2333" t="s">
        <v>15635</v>
      </c>
      <c r="T2333" t="s">
        <v>15635</v>
      </c>
      <c r="U2333">
        <v>3819</v>
      </c>
      <c r="V2333">
        <v>0</v>
      </c>
      <c r="W2333">
        <v>6</v>
      </c>
      <c r="X2333">
        <v>2012</v>
      </c>
      <c r="Z2333">
        <v>2</v>
      </c>
      <c r="AA2333" t="s">
        <v>26</v>
      </c>
      <c r="AB2333">
        <v>0</v>
      </c>
      <c r="AC2333" t="s">
        <v>115</v>
      </c>
      <c r="AD2333">
        <v>3</v>
      </c>
      <c r="AE2333" t="s">
        <v>115</v>
      </c>
      <c r="AF2333">
        <v>0</v>
      </c>
      <c r="AG2333">
        <v>0</v>
      </c>
      <c r="AH2333" t="s">
        <v>116</v>
      </c>
      <c r="AI2333" s="1">
        <v>190768</v>
      </c>
      <c r="AJ2333" s="2">
        <v>0.38</v>
      </c>
      <c r="AK2333" s="1">
        <v>505833</v>
      </c>
      <c r="AL2333" t="s">
        <v>117</v>
      </c>
      <c r="AM2333" t="s">
        <v>118</v>
      </c>
      <c r="AN2333">
        <v>8750</v>
      </c>
      <c r="AO2333">
        <v>0.2</v>
      </c>
      <c r="AR2333">
        <v>1</v>
      </c>
      <c r="AS2333" s="1">
        <v>39310</v>
      </c>
      <c r="AT2333" s="1">
        <v>7860</v>
      </c>
      <c r="AU2333" s="1">
        <v>31450</v>
      </c>
      <c r="AV2333">
        <v>80.010000000000005</v>
      </c>
      <c r="AX2333" s="1">
        <v>5010.92</v>
      </c>
      <c r="AY2333" t="s">
        <v>6796</v>
      </c>
      <c r="AZ2333" t="s">
        <v>6796</v>
      </c>
      <c r="BA2333" t="s">
        <v>7186</v>
      </c>
      <c r="BE2333" s="3">
        <v>42081</v>
      </c>
      <c r="BF2333" s="1">
        <v>305000</v>
      </c>
      <c r="BG2333" t="s">
        <v>15636</v>
      </c>
      <c r="BH2333" s="1">
        <v>79.86</v>
      </c>
      <c r="BI2333" s="1">
        <v>315065</v>
      </c>
      <c r="BJ2333" s="3">
        <v>42081</v>
      </c>
      <c r="BK2333" t="s">
        <v>123</v>
      </c>
      <c r="BL2333" t="str">
        <f>"2015.181971"</f>
        <v>2015.181971</v>
      </c>
      <c r="BM2333" t="s">
        <v>3929</v>
      </c>
      <c r="BO2333" t="s">
        <v>15637</v>
      </c>
      <c r="BS2333">
        <v>30</v>
      </c>
      <c r="BW2333" t="str">
        <f>""</f>
        <v/>
      </c>
      <c r="CH2333" t="str">
        <f>""</f>
        <v/>
      </c>
      <c r="CS2333" t="str">
        <f>""</f>
        <v/>
      </c>
    </row>
    <row r="2334" spans="1:97" x14ac:dyDescent="0.25">
      <c r="A2334" t="s">
        <v>4593</v>
      </c>
      <c r="B2334" t="s">
        <v>3787</v>
      </c>
      <c r="C2334" t="s">
        <v>14069</v>
      </c>
      <c r="D2334" t="s">
        <v>15638</v>
      </c>
      <c r="E2334" t="s">
        <v>15639</v>
      </c>
      <c r="F2334" t="s">
        <v>108</v>
      </c>
      <c r="H2334" t="s">
        <v>15640</v>
      </c>
      <c r="I2334" t="s">
        <v>203</v>
      </c>
      <c r="J2334" t="s">
        <v>111</v>
      </c>
      <c r="K2334" t="str">
        <f>"85297"</f>
        <v>85297</v>
      </c>
      <c r="L2334" t="s">
        <v>1569</v>
      </c>
      <c r="M2334" t="s">
        <v>15640</v>
      </c>
      <c r="N2334" t="s">
        <v>203</v>
      </c>
      <c r="O2334" t="s">
        <v>111</v>
      </c>
      <c r="P2334" t="str">
        <f>"85297-8149"</f>
        <v>85297-8149</v>
      </c>
      <c r="Q2334" t="s">
        <v>113</v>
      </c>
      <c r="R2334" t="str">
        <f>"304-59-893"</f>
        <v>304-59-893</v>
      </c>
      <c r="S2334" t="s">
        <v>15641</v>
      </c>
      <c r="T2334" t="s">
        <v>15641</v>
      </c>
      <c r="U2334">
        <v>4319</v>
      </c>
      <c r="V2334">
        <v>0</v>
      </c>
      <c r="W2334">
        <v>4</v>
      </c>
      <c r="X2334">
        <v>2008</v>
      </c>
      <c r="Z2334">
        <v>2</v>
      </c>
      <c r="AA2334" t="s">
        <v>26</v>
      </c>
      <c r="AB2334">
        <v>0</v>
      </c>
      <c r="AC2334" t="s">
        <v>115</v>
      </c>
      <c r="AD2334">
        <v>3</v>
      </c>
      <c r="AE2334" t="s">
        <v>115</v>
      </c>
      <c r="AF2334">
        <v>0</v>
      </c>
      <c r="AG2334">
        <v>0</v>
      </c>
      <c r="AH2334" t="s">
        <v>116</v>
      </c>
      <c r="AI2334" s="1">
        <v>137340</v>
      </c>
      <c r="AJ2334" s="2">
        <v>0.24</v>
      </c>
      <c r="AK2334" s="1">
        <v>581530</v>
      </c>
      <c r="AL2334" t="s">
        <v>117</v>
      </c>
      <c r="AM2334" t="s">
        <v>1302</v>
      </c>
      <c r="AN2334">
        <v>13500</v>
      </c>
      <c r="AO2334">
        <v>0.31</v>
      </c>
      <c r="AR2334">
        <v>1</v>
      </c>
      <c r="AS2334" s="1">
        <v>43960</v>
      </c>
      <c r="AT2334" s="1">
        <v>8790</v>
      </c>
      <c r="AU2334" s="1">
        <v>35170</v>
      </c>
      <c r="AV2334">
        <v>80</v>
      </c>
      <c r="AX2334" s="1">
        <v>4611.22</v>
      </c>
      <c r="AY2334" t="s">
        <v>7512</v>
      </c>
      <c r="AZ2334" t="s">
        <v>7512</v>
      </c>
      <c r="BA2334" t="s">
        <v>473</v>
      </c>
      <c r="BE2334" s="3">
        <v>42332</v>
      </c>
      <c r="BF2334" s="1">
        <v>436000</v>
      </c>
      <c r="BG2334" t="s">
        <v>15642</v>
      </c>
      <c r="BH2334" s="1">
        <v>100.95</v>
      </c>
      <c r="BI2334" s="1">
        <v>444190</v>
      </c>
      <c r="BJ2334" s="3">
        <v>42332</v>
      </c>
      <c r="BK2334" t="s">
        <v>123</v>
      </c>
      <c r="BL2334" t="str">
        <f>"2015.840178"</f>
        <v>2015.840178</v>
      </c>
      <c r="BM2334" t="s">
        <v>1185</v>
      </c>
      <c r="BO2334" t="s">
        <v>15643</v>
      </c>
      <c r="BP2334" t="s">
        <v>15644</v>
      </c>
      <c r="BS2334">
        <v>30</v>
      </c>
      <c r="BW2334" t="str">
        <f>""</f>
        <v/>
      </c>
      <c r="CH2334" t="str">
        <f>""</f>
        <v/>
      </c>
      <c r="CS2334" t="str">
        <f>""</f>
        <v/>
      </c>
    </row>
    <row r="2335" spans="1:97" x14ac:dyDescent="0.25">
      <c r="A2335" t="s">
        <v>140</v>
      </c>
      <c r="B2335" t="s">
        <v>15645</v>
      </c>
      <c r="E2335" t="s">
        <v>15646</v>
      </c>
      <c r="F2335" t="s">
        <v>108</v>
      </c>
      <c r="H2335" t="s">
        <v>15647</v>
      </c>
      <c r="I2335" t="s">
        <v>225</v>
      </c>
      <c r="J2335" t="s">
        <v>111</v>
      </c>
      <c r="K2335" t="str">
        <f>"85205"</f>
        <v>85205</v>
      </c>
      <c r="L2335" t="s">
        <v>3982</v>
      </c>
      <c r="M2335" t="s">
        <v>15647</v>
      </c>
      <c r="N2335" t="s">
        <v>225</v>
      </c>
      <c r="O2335" t="s">
        <v>111</v>
      </c>
      <c r="P2335" t="str">
        <f>"85205-4509"</f>
        <v>85205-4509</v>
      </c>
      <c r="Q2335" t="s">
        <v>113</v>
      </c>
      <c r="R2335" t="str">
        <f>"141-65-253"</f>
        <v>141-65-253</v>
      </c>
      <c r="S2335" t="s">
        <v>15648</v>
      </c>
      <c r="T2335" t="s">
        <v>15649</v>
      </c>
      <c r="U2335">
        <v>1863</v>
      </c>
      <c r="V2335">
        <v>0</v>
      </c>
      <c r="W2335">
        <v>2</v>
      </c>
      <c r="X2335">
        <v>1979</v>
      </c>
      <c r="Z2335">
        <v>1</v>
      </c>
      <c r="AA2335" t="s">
        <v>26</v>
      </c>
      <c r="AB2335">
        <v>0</v>
      </c>
      <c r="AC2335" t="s">
        <v>115</v>
      </c>
      <c r="AD2335">
        <v>2</v>
      </c>
      <c r="AE2335" t="s">
        <v>115</v>
      </c>
      <c r="AF2335">
        <v>0</v>
      </c>
      <c r="AG2335">
        <v>0</v>
      </c>
      <c r="AH2335" t="s">
        <v>116</v>
      </c>
      <c r="AI2335" s="1">
        <v>-159287</v>
      </c>
      <c r="AJ2335" s="2">
        <v>-0.52</v>
      </c>
      <c r="AK2335" s="1">
        <v>308865</v>
      </c>
      <c r="AL2335" t="s">
        <v>117</v>
      </c>
      <c r="AM2335" t="s">
        <v>917</v>
      </c>
      <c r="AN2335">
        <v>11318</v>
      </c>
      <c r="AO2335">
        <v>0.26</v>
      </c>
      <c r="AP2335">
        <v>1</v>
      </c>
      <c r="AR2335">
        <v>1</v>
      </c>
      <c r="AS2335" s="1">
        <v>20350</v>
      </c>
      <c r="AT2335" s="1">
        <v>4070</v>
      </c>
      <c r="AU2335" s="1">
        <v>16280</v>
      </c>
      <c r="AV2335">
        <v>80</v>
      </c>
      <c r="AX2335" s="1">
        <v>1761</v>
      </c>
      <c r="AY2335" t="s">
        <v>5274</v>
      </c>
      <c r="AZ2335" t="s">
        <v>5275</v>
      </c>
      <c r="BA2335" t="s">
        <v>3119</v>
      </c>
      <c r="BE2335" s="3">
        <v>41975</v>
      </c>
      <c r="BF2335" s="1">
        <v>223000</v>
      </c>
      <c r="BG2335" t="s">
        <v>15650</v>
      </c>
      <c r="BH2335" s="1">
        <v>119.7</v>
      </c>
      <c r="BI2335" s="1">
        <v>235170</v>
      </c>
      <c r="BJ2335" s="3">
        <v>42201</v>
      </c>
      <c r="BK2335" t="s">
        <v>123</v>
      </c>
      <c r="BL2335" t="str">
        <f>"2015.513114"</f>
        <v>2015.513114</v>
      </c>
      <c r="BM2335" t="s">
        <v>9499</v>
      </c>
      <c r="BN2335" t="s">
        <v>1916</v>
      </c>
      <c r="BO2335" t="s">
        <v>15651</v>
      </c>
      <c r="BQ2335" t="str">
        <f>"3.2500%"</f>
        <v>3.2500%</v>
      </c>
      <c r="BR2335" t="s">
        <v>1480</v>
      </c>
      <c r="BS2335">
        <v>30</v>
      </c>
      <c r="BT2335" s="1">
        <v>232982</v>
      </c>
      <c r="BU2335" s="3">
        <v>43259</v>
      </c>
      <c r="BV2335" t="s">
        <v>134</v>
      </c>
      <c r="BW2335" t="str">
        <f>"2018.440814"</f>
        <v>2018.440814</v>
      </c>
      <c r="BX2335" t="s">
        <v>15652</v>
      </c>
      <c r="BY2335" t="s">
        <v>15653</v>
      </c>
      <c r="BZ2335" t="s">
        <v>15654</v>
      </c>
      <c r="CC2335" t="s">
        <v>139</v>
      </c>
      <c r="CH2335" t="str">
        <f>""</f>
        <v/>
      </c>
      <c r="CS2335" t="str">
        <f>""</f>
        <v/>
      </c>
    </row>
    <row r="2336" spans="1:97" x14ac:dyDescent="0.25">
      <c r="A2336" t="s">
        <v>15655</v>
      </c>
      <c r="B2336" t="s">
        <v>3147</v>
      </c>
      <c r="C2336" t="s">
        <v>15656</v>
      </c>
      <c r="D2336" t="s">
        <v>3147</v>
      </c>
      <c r="E2336" t="s">
        <v>15657</v>
      </c>
      <c r="F2336" t="s">
        <v>108</v>
      </c>
      <c r="H2336" t="s">
        <v>15658</v>
      </c>
      <c r="I2336" t="s">
        <v>390</v>
      </c>
      <c r="J2336" t="s">
        <v>111</v>
      </c>
      <c r="K2336" t="str">
        <f>"85041"</f>
        <v>85041</v>
      </c>
      <c r="L2336" t="s">
        <v>2875</v>
      </c>
      <c r="M2336" t="s">
        <v>15658</v>
      </c>
      <c r="N2336" t="s">
        <v>390</v>
      </c>
      <c r="O2336" t="s">
        <v>111</v>
      </c>
      <c r="P2336" t="str">
        <f>"85041-6369"</f>
        <v>85041-6369</v>
      </c>
      <c r="Q2336" t="s">
        <v>113</v>
      </c>
      <c r="R2336" t="str">
        <f>"105-91-259"</f>
        <v>105-91-259</v>
      </c>
      <c r="S2336" t="s">
        <v>15659</v>
      </c>
      <c r="T2336" t="s">
        <v>15660</v>
      </c>
      <c r="U2336">
        <v>3771</v>
      </c>
      <c r="V2336">
        <v>0</v>
      </c>
      <c r="W2336">
        <v>5</v>
      </c>
      <c r="X2336">
        <v>2004</v>
      </c>
      <c r="Z2336">
        <v>2</v>
      </c>
      <c r="AB2336">
        <v>0</v>
      </c>
      <c r="AC2336" t="s">
        <v>115</v>
      </c>
      <c r="AD2336">
        <v>3</v>
      </c>
      <c r="AE2336" t="s">
        <v>115</v>
      </c>
      <c r="AF2336">
        <v>0</v>
      </c>
      <c r="AG2336">
        <v>0</v>
      </c>
      <c r="AH2336" t="s">
        <v>116</v>
      </c>
      <c r="AI2336" s="1">
        <v>97610</v>
      </c>
      <c r="AJ2336" s="2">
        <v>0.3</v>
      </c>
      <c r="AK2336" s="1">
        <v>327447</v>
      </c>
      <c r="AL2336" t="s">
        <v>117</v>
      </c>
      <c r="AM2336" t="s">
        <v>760</v>
      </c>
      <c r="AN2336">
        <v>7700</v>
      </c>
      <c r="AO2336">
        <v>0.18</v>
      </c>
      <c r="AP2336">
        <v>1</v>
      </c>
      <c r="AR2336">
        <v>1</v>
      </c>
      <c r="AS2336" s="1">
        <v>22470</v>
      </c>
      <c r="AT2336" s="1">
        <v>4490</v>
      </c>
      <c r="AU2336" s="1">
        <v>17980</v>
      </c>
      <c r="AV2336">
        <v>80.02</v>
      </c>
      <c r="AX2336" s="1">
        <v>2654.84</v>
      </c>
      <c r="AY2336" t="s">
        <v>5220</v>
      </c>
      <c r="AZ2336" t="s">
        <v>5220</v>
      </c>
      <c r="BA2336" t="s">
        <v>1661</v>
      </c>
      <c r="BE2336" s="3">
        <v>42142</v>
      </c>
      <c r="BF2336" s="1">
        <v>225000</v>
      </c>
      <c r="BG2336" t="s">
        <v>15661</v>
      </c>
      <c r="BH2336" s="1">
        <v>59.67</v>
      </c>
      <c r="BI2336" s="1">
        <v>229837</v>
      </c>
      <c r="BJ2336" s="3">
        <v>42142</v>
      </c>
      <c r="BK2336" t="s">
        <v>123</v>
      </c>
      <c r="BL2336" t="str">
        <f>"2015.346906"</f>
        <v>2015.346906</v>
      </c>
      <c r="BM2336" t="s">
        <v>2885</v>
      </c>
      <c r="BO2336" t="s">
        <v>15662</v>
      </c>
      <c r="BS2336">
        <v>30</v>
      </c>
      <c r="BW2336" t="str">
        <f>""</f>
        <v/>
      </c>
      <c r="CH2336" t="str">
        <f>""</f>
        <v/>
      </c>
      <c r="CS2336" t="str">
        <f>""</f>
        <v/>
      </c>
    </row>
    <row r="2337" spans="1:97" x14ac:dyDescent="0.25">
      <c r="A2337" t="s">
        <v>11384</v>
      </c>
      <c r="B2337" t="s">
        <v>15663</v>
      </c>
      <c r="E2337" t="s">
        <v>15664</v>
      </c>
      <c r="F2337" t="s">
        <v>139</v>
      </c>
      <c r="H2337" t="s">
        <v>15665</v>
      </c>
      <c r="I2337" t="s">
        <v>225</v>
      </c>
      <c r="J2337" t="s">
        <v>111</v>
      </c>
      <c r="K2337" t="str">
        <f>"85212"</f>
        <v>85212</v>
      </c>
      <c r="L2337" t="s">
        <v>6595</v>
      </c>
      <c r="M2337" t="s">
        <v>15666</v>
      </c>
      <c r="N2337" t="s">
        <v>225</v>
      </c>
      <c r="O2337" t="s">
        <v>111</v>
      </c>
      <c r="P2337" t="str">
        <f>"85211"</f>
        <v>85211</v>
      </c>
      <c r="Q2337" t="s">
        <v>113</v>
      </c>
      <c r="R2337" t="str">
        <f>"304-62-114"</f>
        <v>304-62-114</v>
      </c>
      <c r="S2337" t="s">
        <v>15667</v>
      </c>
      <c r="T2337" t="s">
        <v>15668</v>
      </c>
      <c r="U2337">
        <v>2060</v>
      </c>
      <c r="V2337">
        <v>0</v>
      </c>
      <c r="W2337">
        <v>4</v>
      </c>
      <c r="X2337">
        <v>1993</v>
      </c>
      <c r="Z2337">
        <v>1</v>
      </c>
      <c r="AB2337">
        <v>0</v>
      </c>
      <c r="AC2337" t="s">
        <v>115</v>
      </c>
      <c r="AD2337">
        <v>2</v>
      </c>
      <c r="AE2337" t="s">
        <v>115</v>
      </c>
      <c r="AF2337">
        <v>0</v>
      </c>
      <c r="AG2337">
        <v>0</v>
      </c>
      <c r="AH2337" t="s">
        <v>116</v>
      </c>
      <c r="AI2337" s="1">
        <v>107184</v>
      </c>
      <c r="AJ2337" s="2">
        <v>0.24</v>
      </c>
      <c r="AK2337" s="1">
        <v>452401</v>
      </c>
      <c r="AL2337" t="s">
        <v>117</v>
      </c>
      <c r="AM2337" t="s">
        <v>376</v>
      </c>
      <c r="AN2337">
        <v>44095</v>
      </c>
      <c r="AO2337">
        <v>1.01</v>
      </c>
      <c r="AP2337">
        <v>1</v>
      </c>
      <c r="AR2337">
        <v>1</v>
      </c>
      <c r="AS2337" s="1">
        <v>33850</v>
      </c>
      <c r="AT2337" s="1">
        <v>6770</v>
      </c>
      <c r="AU2337" s="1">
        <v>27080</v>
      </c>
      <c r="AV2337">
        <v>80</v>
      </c>
      <c r="AX2337" s="1">
        <v>2776.54</v>
      </c>
      <c r="AY2337" t="s">
        <v>560</v>
      </c>
      <c r="AZ2337" t="s">
        <v>561</v>
      </c>
      <c r="BA2337" t="s">
        <v>194</v>
      </c>
      <c r="BE2337" s="3">
        <v>41866</v>
      </c>
      <c r="BF2337" s="1">
        <v>339900</v>
      </c>
      <c r="BG2337" t="s">
        <v>15669</v>
      </c>
      <c r="BH2337" s="1">
        <v>165</v>
      </c>
      <c r="BI2337" s="1">
        <v>345217</v>
      </c>
      <c r="BJ2337" s="3">
        <v>42611</v>
      </c>
      <c r="BK2337" t="s">
        <v>123</v>
      </c>
      <c r="BL2337" t="str">
        <f>"2016.619629"</f>
        <v>2016.619629</v>
      </c>
      <c r="BM2337" t="s">
        <v>2748</v>
      </c>
      <c r="BO2337" t="s">
        <v>15670</v>
      </c>
      <c r="BS2337">
        <v>30</v>
      </c>
      <c r="BW2337" t="str">
        <f>""</f>
        <v/>
      </c>
      <c r="CH2337" t="str">
        <f>""</f>
        <v/>
      </c>
      <c r="CS2337" t="str">
        <f>""</f>
        <v/>
      </c>
    </row>
    <row r="2338" spans="1:97" x14ac:dyDescent="0.25">
      <c r="A2338" t="s">
        <v>894</v>
      </c>
      <c r="B2338" t="s">
        <v>7823</v>
      </c>
      <c r="C2338" t="s">
        <v>4072</v>
      </c>
      <c r="D2338" t="s">
        <v>7823</v>
      </c>
      <c r="E2338" t="s">
        <v>15671</v>
      </c>
      <c r="F2338" t="s">
        <v>108</v>
      </c>
      <c r="H2338" t="s">
        <v>15672</v>
      </c>
      <c r="I2338" t="s">
        <v>110</v>
      </c>
      <c r="J2338" t="s">
        <v>111</v>
      </c>
      <c r="K2338" t="str">
        <f>"85226"</f>
        <v>85226</v>
      </c>
      <c r="L2338" t="s">
        <v>5176</v>
      </c>
      <c r="M2338" t="s">
        <v>15672</v>
      </c>
      <c r="N2338" t="s">
        <v>110</v>
      </c>
      <c r="O2338" t="s">
        <v>111</v>
      </c>
      <c r="P2338" t="str">
        <f>"85226-1896"</f>
        <v>85226-1896</v>
      </c>
      <c r="Q2338" t="s">
        <v>113</v>
      </c>
      <c r="R2338" t="str">
        <f>"308-03-377"</f>
        <v>308-03-377</v>
      </c>
      <c r="S2338" t="s">
        <v>15673</v>
      </c>
      <c r="T2338" t="s">
        <v>15674</v>
      </c>
      <c r="U2338">
        <v>2825</v>
      </c>
      <c r="V2338">
        <v>0</v>
      </c>
      <c r="W2338">
        <v>4</v>
      </c>
      <c r="X2338">
        <v>1991</v>
      </c>
      <c r="Z2338">
        <v>2</v>
      </c>
      <c r="AA2338" t="s">
        <v>26</v>
      </c>
      <c r="AB2338">
        <v>0</v>
      </c>
      <c r="AC2338" t="s">
        <v>115</v>
      </c>
      <c r="AD2338">
        <v>3</v>
      </c>
      <c r="AE2338" t="s">
        <v>115</v>
      </c>
      <c r="AF2338">
        <v>0</v>
      </c>
      <c r="AG2338">
        <v>0</v>
      </c>
      <c r="AH2338" t="s">
        <v>116</v>
      </c>
      <c r="AI2338" s="1">
        <v>112682</v>
      </c>
      <c r="AJ2338" s="2">
        <v>0.23</v>
      </c>
      <c r="AK2338" s="1">
        <v>489332</v>
      </c>
      <c r="AL2338" t="s">
        <v>117</v>
      </c>
      <c r="AM2338" t="s">
        <v>118</v>
      </c>
      <c r="AN2338">
        <v>16945</v>
      </c>
      <c r="AO2338">
        <v>0.39</v>
      </c>
      <c r="AP2338">
        <v>1</v>
      </c>
      <c r="AR2338">
        <v>1</v>
      </c>
      <c r="AS2338" s="1">
        <v>37000</v>
      </c>
      <c r="AT2338" s="1">
        <v>7400</v>
      </c>
      <c r="AU2338" s="1">
        <v>29600</v>
      </c>
      <c r="AV2338">
        <v>80</v>
      </c>
      <c r="AX2338" s="1">
        <v>2650.38</v>
      </c>
      <c r="AY2338" t="s">
        <v>14847</v>
      </c>
      <c r="AZ2338" t="s">
        <v>5201</v>
      </c>
      <c r="BA2338" t="s">
        <v>5202</v>
      </c>
      <c r="BB2338" s="3">
        <v>43311</v>
      </c>
      <c r="BC2338" s="1">
        <v>0</v>
      </c>
      <c r="BD2338" t="s">
        <v>291</v>
      </c>
      <c r="BE2338" s="3">
        <v>41698</v>
      </c>
      <c r="BF2338" s="1">
        <v>418000</v>
      </c>
      <c r="BG2338" t="s">
        <v>15675</v>
      </c>
      <c r="BH2338" s="1">
        <v>147.96</v>
      </c>
      <c r="BI2338" s="1">
        <v>376650</v>
      </c>
      <c r="BJ2338" s="3">
        <v>43311</v>
      </c>
      <c r="BK2338" t="s">
        <v>123</v>
      </c>
      <c r="BL2338" t="str">
        <f>"2018.573610"</f>
        <v>2018.573610</v>
      </c>
      <c r="BM2338" t="s">
        <v>135</v>
      </c>
      <c r="BN2338" t="s">
        <v>136</v>
      </c>
      <c r="BO2338" t="s">
        <v>15676</v>
      </c>
      <c r="BP2338" t="s">
        <v>15677</v>
      </c>
      <c r="BR2338" t="s">
        <v>139</v>
      </c>
      <c r="BW2338" t="str">
        <f>""</f>
        <v/>
      </c>
      <c r="CH2338" t="str">
        <f>""</f>
        <v/>
      </c>
      <c r="CS2338" t="str">
        <f>""</f>
        <v/>
      </c>
    </row>
    <row r="2339" spans="1:97" x14ac:dyDescent="0.25">
      <c r="A2339" t="s">
        <v>15678</v>
      </c>
      <c r="B2339" t="s">
        <v>15679</v>
      </c>
      <c r="C2339" t="s">
        <v>15680</v>
      </c>
      <c r="D2339" t="s">
        <v>15679</v>
      </c>
      <c r="E2339" t="s">
        <v>15681</v>
      </c>
      <c r="F2339" t="s">
        <v>108</v>
      </c>
      <c r="H2339" t="s">
        <v>15682</v>
      </c>
      <c r="I2339" t="s">
        <v>453</v>
      </c>
      <c r="J2339" t="s">
        <v>111</v>
      </c>
      <c r="K2339" t="str">
        <f>"85383"</f>
        <v>85383</v>
      </c>
      <c r="L2339" t="s">
        <v>4698</v>
      </c>
      <c r="M2339" t="s">
        <v>15682</v>
      </c>
      <c r="N2339" t="s">
        <v>453</v>
      </c>
      <c r="O2339" t="s">
        <v>111</v>
      </c>
      <c r="P2339" t="str">
        <f>"85383-3934"</f>
        <v>85383-3934</v>
      </c>
      <c r="Q2339" t="s">
        <v>113</v>
      </c>
      <c r="R2339" t="str">
        <f>"510-03-164"</f>
        <v>510-03-164</v>
      </c>
      <c r="S2339" t="s">
        <v>11388</v>
      </c>
      <c r="U2339">
        <v>1682</v>
      </c>
      <c r="V2339">
        <v>0</v>
      </c>
      <c r="W2339">
        <v>3</v>
      </c>
      <c r="X2339">
        <v>2006</v>
      </c>
      <c r="Z2339">
        <v>1</v>
      </c>
      <c r="AA2339" t="s">
        <v>26</v>
      </c>
      <c r="AB2339">
        <v>0</v>
      </c>
      <c r="AC2339" t="s">
        <v>115</v>
      </c>
      <c r="AD2339">
        <v>2</v>
      </c>
      <c r="AE2339" t="s">
        <v>115</v>
      </c>
      <c r="AF2339">
        <v>0</v>
      </c>
      <c r="AG2339">
        <v>0</v>
      </c>
      <c r="AH2339" t="s">
        <v>116</v>
      </c>
      <c r="AI2339" s="1">
        <v>60035</v>
      </c>
      <c r="AJ2339" s="2">
        <v>0.16</v>
      </c>
      <c r="AK2339" s="1">
        <v>368215</v>
      </c>
      <c r="AL2339" t="s">
        <v>117</v>
      </c>
      <c r="AM2339" t="s">
        <v>118</v>
      </c>
      <c r="AN2339">
        <v>6433</v>
      </c>
      <c r="AO2339">
        <v>0.15</v>
      </c>
      <c r="AR2339">
        <v>1</v>
      </c>
      <c r="AS2339" s="1">
        <v>26560</v>
      </c>
      <c r="AT2339" s="1">
        <v>5310</v>
      </c>
      <c r="AU2339" s="1">
        <v>21250</v>
      </c>
      <c r="AV2339">
        <v>80.010000000000005</v>
      </c>
      <c r="AX2339" s="1">
        <v>3280.8</v>
      </c>
      <c r="AY2339" t="s">
        <v>456</v>
      </c>
      <c r="AZ2339" t="s">
        <v>456</v>
      </c>
      <c r="BA2339" t="s">
        <v>457</v>
      </c>
      <c r="BE2339" s="3">
        <v>42499</v>
      </c>
      <c r="BF2339" s="1">
        <v>309900</v>
      </c>
      <c r="BG2339" t="s">
        <v>15683</v>
      </c>
      <c r="BH2339" s="1">
        <v>184.24</v>
      </c>
      <c r="BI2339" s="1">
        <v>308180</v>
      </c>
      <c r="BJ2339" s="3">
        <v>42947</v>
      </c>
      <c r="BK2339" t="s">
        <v>123</v>
      </c>
      <c r="BL2339" t="str">
        <f>"2017.560811"</f>
        <v>2017.560811</v>
      </c>
      <c r="BM2339" t="s">
        <v>5867</v>
      </c>
      <c r="BO2339" t="s">
        <v>15684</v>
      </c>
      <c r="BS2339">
        <v>30</v>
      </c>
      <c r="BW2339" t="str">
        <f>""</f>
        <v/>
      </c>
      <c r="CH2339" t="str">
        <f>""</f>
        <v/>
      </c>
      <c r="CS2339" t="str">
        <f>""</f>
        <v/>
      </c>
    </row>
    <row r="2340" spans="1:97" x14ac:dyDescent="0.25">
      <c r="A2340" t="s">
        <v>1979</v>
      </c>
      <c r="B2340" t="s">
        <v>15685</v>
      </c>
      <c r="E2340" t="s">
        <v>15686</v>
      </c>
      <c r="F2340" t="s">
        <v>108</v>
      </c>
      <c r="H2340" t="s">
        <v>15687</v>
      </c>
      <c r="I2340" t="s">
        <v>453</v>
      </c>
      <c r="J2340" t="s">
        <v>111</v>
      </c>
      <c r="K2340" t="str">
        <f>"85383"</f>
        <v>85383</v>
      </c>
      <c r="L2340" t="s">
        <v>1383</v>
      </c>
      <c r="M2340" t="s">
        <v>15687</v>
      </c>
      <c r="N2340" t="s">
        <v>453</v>
      </c>
      <c r="O2340" t="s">
        <v>111</v>
      </c>
      <c r="P2340" t="str">
        <f>"85383-6252"</f>
        <v>85383-6252</v>
      </c>
      <c r="Q2340" t="s">
        <v>113</v>
      </c>
      <c r="R2340" t="str">
        <f>"201-20-224"</f>
        <v>201-20-224</v>
      </c>
      <c r="S2340" t="s">
        <v>15688</v>
      </c>
      <c r="T2340" t="s">
        <v>8847</v>
      </c>
      <c r="U2340">
        <v>2231</v>
      </c>
      <c r="V2340">
        <v>0</v>
      </c>
      <c r="W2340">
        <v>4</v>
      </c>
      <c r="X2340">
        <v>2014</v>
      </c>
      <c r="Z2340">
        <v>1</v>
      </c>
      <c r="AA2340" t="s">
        <v>26</v>
      </c>
      <c r="AB2340">
        <v>0</v>
      </c>
      <c r="AC2340" t="s">
        <v>115</v>
      </c>
      <c r="AD2340">
        <v>2</v>
      </c>
      <c r="AE2340" t="s">
        <v>115</v>
      </c>
      <c r="AF2340">
        <v>0</v>
      </c>
      <c r="AG2340">
        <v>0</v>
      </c>
      <c r="AH2340" t="s">
        <v>116</v>
      </c>
      <c r="AI2340" s="1">
        <v>-29066</v>
      </c>
      <c r="AJ2340" s="2">
        <v>-0.1</v>
      </c>
      <c r="AK2340" s="1">
        <v>302848</v>
      </c>
      <c r="AL2340" t="s">
        <v>117</v>
      </c>
      <c r="AM2340" t="s">
        <v>118</v>
      </c>
      <c r="AN2340">
        <v>6292</v>
      </c>
      <c r="AO2340">
        <v>0.14000000000000001</v>
      </c>
      <c r="AR2340">
        <v>1</v>
      </c>
      <c r="AS2340" s="1">
        <v>29520</v>
      </c>
      <c r="AT2340" s="1">
        <v>5900</v>
      </c>
      <c r="AU2340" s="1">
        <v>23620</v>
      </c>
      <c r="AV2340">
        <v>80.010000000000005</v>
      </c>
      <c r="AX2340" s="1">
        <v>2318.66</v>
      </c>
      <c r="AY2340" t="s">
        <v>1385</v>
      </c>
      <c r="AZ2340" t="s">
        <v>1385</v>
      </c>
      <c r="BA2340" t="s">
        <v>1386</v>
      </c>
      <c r="BE2340" s="3">
        <v>41859</v>
      </c>
      <c r="BF2340" s="1">
        <v>294982</v>
      </c>
      <c r="BG2340" t="s">
        <v>2199</v>
      </c>
      <c r="BH2340" s="1">
        <v>132.22</v>
      </c>
      <c r="BI2340" s="1">
        <v>304716</v>
      </c>
      <c r="BJ2340" s="3">
        <v>41859</v>
      </c>
      <c r="BK2340" t="s">
        <v>123</v>
      </c>
      <c r="BL2340" t="str">
        <f>"2014.522250"</f>
        <v>2014.522250</v>
      </c>
      <c r="BM2340" t="s">
        <v>1038</v>
      </c>
      <c r="BO2340" t="s">
        <v>15689</v>
      </c>
      <c r="BS2340">
        <v>30</v>
      </c>
      <c r="BT2340" s="1">
        <v>27198</v>
      </c>
      <c r="BU2340" s="3">
        <v>42223</v>
      </c>
      <c r="BV2340" t="s">
        <v>134</v>
      </c>
      <c r="BW2340" t="str">
        <f>"2015.574268"</f>
        <v>2015.574268</v>
      </c>
      <c r="BX2340" t="s">
        <v>198</v>
      </c>
      <c r="BZ2340" t="s">
        <v>15690</v>
      </c>
      <c r="CD2340">
        <v>15</v>
      </c>
      <c r="CH2340" t="str">
        <f>""</f>
        <v/>
      </c>
      <c r="CS2340" t="str">
        <f>""</f>
        <v/>
      </c>
    </row>
    <row r="2341" spans="1:97" x14ac:dyDescent="0.25">
      <c r="A2341" t="s">
        <v>370</v>
      </c>
      <c r="B2341" t="s">
        <v>7098</v>
      </c>
      <c r="C2341" t="s">
        <v>2008</v>
      </c>
      <c r="D2341" t="s">
        <v>15691</v>
      </c>
      <c r="E2341" t="s">
        <v>15692</v>
      </c>
      <c r="F2341" t="s">
        <v>108</v>
      </c>
      <c r="H2341" t="s">
        <v>15693</v>
      </c>
      <c r="I2341" t="s">
        <v>167</v>
      </c>
      <c r="J2341" t="s">
        <v>111</v>
      </c>
      <c r="K2341" t="str">
        <f>"85339"</f>
        <v>85339</v>
      </c>
      <c r="L2341" t="s">
        <v>3758</v>
      </c>
      <c r="M2341" t="s">
        <v>15693</v>
      </c>
      <c r="N2341" t="s">
        <v>167</v>
      </c>
      <c r="O2341" t="s">
        <v>111</v>
      </c>
      <c r="P2341" t="str">
        <f>"85339-9708"</f>
        <v>85339-9708</v>
      </c>
      <c r="Q2341" t="s">
        <v>113</v>
      </c>
      <c r="R2341" t="str">
        <f>"300-77-027"</f>
        <v>300-77-027</v>
      </c>
      <c r="S2341" t="s">
        <v>15694</v>
      </c>
      <c r="T2341" t="s">
        <v>15694</v>
      </c>
      <c r="U2341">
        <v>3145</v>
      </c>
      <c r="V2341">
        <v>0</v>
      </c>
      <c r="W2341">
        <v>3</v>
      </c>
      <c r="X2341">
        <v>1996</v>
      </c>
      <c r="Z2341">
        <v>1</v>
      </c>
      <c r="AB2341">
        <v>0</v>
      </c>
      <c r="AC2341" t="s">
        <v>7038</v>
      </c>
      <c r="AD2341">
        <v>0</v>
      </c>
      <c r="AE2341" t="s">
        <v>7038</v>
      </c>
      <c r="AF2341">
        <v>0</v>
      </c>
      <c r="AG2341">
        <v>0</v>
      </c>
      <c r="AH2341" t="s">
        <v>116</v>
      </c>
      <c r="AI2341" s="1">
        <v>75965</v>
      </c>
      <c r="AJ2341" s="2">
        <v>0.16</v>
      </c>
      <c r="AK2341" s="1">
        <v>479965</v>
      </c>
      <c r="AL2341" t="s">
        <v>117</v>
      </c>
      <c r="AM2341" t="s">
        <v>376</v>
      </c>
      <c r="AN2341">
        <v>44331</v>
      </c>
      <c r="AO2341">
        <v>1.02</v>
      </c>
      <c r="AP2341">
        <v>1</v>
      </c>
      <c r="AR2341">
        <v>1</v>
      </c>
      <c r="AS2341" s="1">
        <v>31550</v>
      </c>
      <c r="AT2341" s="1">
        <v>6310</v>
      </c>
      <c r="AU2341" s="1">
        <v>25240</v>
      </c>
      <c r="AV2341">
        <v>80</v>
      </c>
      <c r="AX2341" s="1">
        <v>3628.08</v>
      </c>
      <c r="AY2341" t="s">
        <v>806</v>
      </c>
      <c r="AZ2341" t="s">
        <v>806</v>
      </c>
      <c r="BA2341" t="s">
        <v>173</v>
      </c>
      <c r="BE2341" s="3">
        <v>42079</v>
      </c>
      <c r="BF2341" s="1">
        <v>404000</v>
      </c>
      <c r="BG2341" t="s">
        <v>15695</v>
      </c>
      <c r="BH2341" s="1">
        <v>128.46</v>
      </c>
      <c r="BI2341" s="1">
        <v>404000</v>
      </c>
      <c r="BJ2341" s="3">
        <v>42079</v>
      </c>
      <c r="BK2341" t="s">
        <v>123</v>
      </c>
      <c r="BL2341" t="str">
        <f>"2015.174782"</f>
        <v>2015.174782</v>
      </c>
      <c r="BM2341" t="s">
        <v>724</v>
      </c>
      <c r="BO2341" t="s">
        <v>15696</v>
      </c>
      <c r="BP2341" t="s">
        <v>15697</v>
      </c>
      <c r="BS2341">
        <v>30</v>
      </c>
      <c r="BW2341" t="str">
        <f>""</f>
        <v/>
      </c>
      <c r="CH2341" t="str">
        <f>""</f>
        <v/>
      </c>
      <c r="CS2341" t="str">
        <f>""</f>
        <v/>
      </c>
    </row>
    <row r="2342" spans="1:97" x14ac:dyDescent="0.25">
      <c r="A2342" t="s">
        <v>1109</v>
      </c>
      <c r="B2342" t="s">
        <v>15698</v>
      </c>
      <c r="C2342" t="s">
        <v>15699</v>
      </c>
      <c r="D2342" t="s">
        <v>15698</v>
      </c>
      <c r="E2342" t="s">
        <v>15700</v>
      </c>
      <c r="F2342" t="s">
        <v>108</v>
      </c>
      <c r="H2342" t="s">
        <v>15701</v>
      </c>
      <c r="I2342" t="s">
        <v>110</v>
      </c>
      <c r="J2342" t="s">
        <v>111</v>
      </c>
      <c r="K2342" t="str">
        <f>"85226"</f>
        <v>85226</v>
      </c>
      <c r="L2342" t="s">
        <v>5138</v>
      </c>
      <c r="M2342" t="s">
        <v>15701</v>
      </c>
      <c r="N2342" t="s">
        <v>110</v>
      </c>
      <c r="O2342" t="s">
        <v>111</v>
      </c>
      <c r="P2342" t="str">
        <f>"85226-2198"</f>
        <v>85226-2198</v>
      </c>
      <c r="Q2342" t="s">
        <v>113</v>
      </c>
      <c r="R2342" t="str">
        <f>"308-10-323"</f>
        <v>308-10-323</v>
      </c>
      <c r="S2342" t="s">
        <v>15702</v>
      </c>
      <c r="T2342" t="s">
        <v>15703</v>
      </c>
      <c r="U2342">
        <v>2423</v>
      </c>
      <c r="V2342">
        <v>0</v>
      </c>
      <c r="W2342">
        <v>4</v>
      </c>
      <c r="X2342">
        <v>1997</v>
      </c>
      <c r="Z2342">
        <v>2</v>
      </c>
      <c r="AA2342" t="s">
        <v>26</v>
      </c>
      <c r="AB2342">
        <v>0</v>
      </c>
      <c r="AC2342" t="s">
        <v>115</v>
      </c>
      <c r="AD2342">
        <v>3</v>
      </c>
      <c r="AE2342" t="s">
        <v>115</v>
      </c>
      <c r="AF2342">
        <v>0</v>
      </c>
      <c r="AG2342">
        <v>0</v>
      </c>
      <c r="AH2342" t="s">
        <v>116</v>
      </c>
      <c r="AI2342" s="1">
        <v>62749</v>
      </c>
      <c r="AJ2342" s="2">
        <v>0.15</v>
      </c>
      <c r="AK2342" s="1">
        <v>423739</v>
      </c>
      <c r="AL2342" t="s">
        <v>117</v>
      </c>
      <c r="AM2342" t="s">
        <v>118</v>
      </c>
      <c r="AN2342">
        <v>9174</v>
      </c>
      <c r="AO2342">
        <v>0.21</v>
      </c>
      <c r="AP2342">
        <v>1</v>
      </c>
      <c r="AR2342">
        <v>1</v>
      </c>
      <c r="AS2342" s="1">
        <v>30770</v>
      </c>
      <c r="AT2342" s="1">
        <v>6150</v>
      </c>
      <c r="AU2342" s="1">
        <v>24620</v>
      </c>
      <c r="AV2342">
        <v>80.010000000000005</v>
      </c>
      <c r="AX2342" s="1">
        <v>2303.6799999999998</v>
      </c>
      <c r="AY2342" t="s">
        <v>15704</v>
      </c>
      <c r="AZ2342" t="s">
        <v>5922</v>
      </c>
      <c r="BA2342" t="s">
        <v>5202</v>
      </c>
      <c r="BE2342" s="3">
        <v>42458</v>
      </c>
      <c r="BF2342" s="1">
        <v>349000</v>
      </c>
      <c r="BG2342" t="s">
        <v>15705</v>
      </c>
      <c r="BH2342" s="1">
        <v>144.04</v>
      </c>
      <c r="BI2342" s="1">
        <v>360990</v>
      </c>
      <c r="BJ2342" s="3">
        <v>42676</v>
      </c>
      <c r="BK2342" t="s">
        <v>123</v>
      </c>
      <c r="BL2342" t="str">
        <f>"2016.808328"</f>
        <v>2016.808328</v>
      </c>
      <c r="BM2342" t="s">
        <v>1695</v>
      </c>
      <c r="BO2342" t="s">
        <v>15706</v>
      </c>
      <c r="BS2342">
        <v>30</v>
      </c>
      <c r="BW2342" t="str">
        <f>""</f>
        <v/>
      </c>
      <c r="CH2342" t="str">
        <f>""</f>
        <v/>
      </c>
      <c r="CS2342" t="str">
        <f>""</f>
        <v/>
      </c>
    </row>
    <row r="2343" spans="1:97" x14ac:dyDescent="0.25">
      <c r="A2343" t="s">
        <v>7343</v>
      </c>
      <c r="B2343" t="s">
        <v>1144</v>
      </c>
      <c r="C2343" t="s">
        <v>15707</v>
      </c>
      <c r="D2343" t="s">
        <v>1144</v>
      </c>
      <c r="E2343" t="s">
        <v>15708</v>
      </c>
      <c r="F2343" t="s">
        <v>108</v>
      </c>
      <c r="H2343" t="s">
        <v>15709</v>
      </c>
      <c r="I2343" t="s">
        <v>188</v>
      </c>
      <c r="J2343" t="s">
        <v>111</v>
      </c>
      <c r="K2343" t="str">
        <f>"85142"</f>
        <v>85142</v>
      </c>
      <c r="L2343" t="s">
        <v>5291</v>
      </c>
      <c r="M2343" t="s">
        <v>15709</v>
      </c>
      <c r="N2343" t="s">
        <v>188</v>
      </c>
      <c r="O2343" t="s">
        <v>111</v>
      </c>
      <c r="P2343" t="str">
        <f>"85142-9345"</f>
        <v>85142-9345</v>
      </c>
      <c r="R2343" t="str">
        <f>"304-62-835"</f>
        <v>304-62-835</v>
      </c>
      <c r="S2343" t="s">
        <v>15710</v>
      </c>
      <c r="U2343">
        <v>3743</v>
      </c>
      <c r="V2343">
        <v>0</v>
      </c>
      <c r="W2343">
        <v>5</v>
      </c>
      <c r="X2343">
        <v>2014</v>
      </c>
      <c r="Z2343">
        <v>1</v>
      </c>
      <c r="AA2343" t="s">
        <v>26</v>
      </c>
      <c r="AB2343">
        <v>0</v>
      </c>
      <c r="AC2343" t="s">
        <v>115</v>
      </c>
      <c r="AD2343">
        <v>3</v>
      </c>
      <c r="AE2343" t="s">
        <v>115</v>
      </c>
      <c r="AF2343">
        <v>0</v>
      </c>
      <c r="AG2343">
        <v>0</v>
      </c>
      <c r="AH2343" t="s">
        <v>116</v>
      </c>
      <c r="AI2343" s="1">
        <v>-6042</v>
      </c>
      <c r="AJ2343" s="2">
        <v>-0.01</v>
      </c>
      <c r="AK2343" s="1">
        <v>665794</v>
      </c>
      <c r="AL2343" t="s">
        <v>117</v>
      </c>
      <c r="AM2343" t="s">
        <v>376</v>
      </c>
      <c r="AN2343">
        <v>43761</v>
      </c>
      <c r="AO2343">
        <v>1</v>
      </c>
      <c r="AR2343">
        <v>1</v>
      </c>
      <c r="AS2343" s="1">
        <v>51530</v>
      </c>
      <c r="AT2343" s="1">
        <v>10300</v>
      </c>
      <c r="AU2343" s="1">
        <v>41230</v>
      </c>
      <c r="AV2343">
        <v>80.010000000000005</v>
      </c>
      <c r="AX2343" s="1">
        <v>5221.74</v>
      </c>
      <c r="AY2343" t="s">
        <v>560</v>
      </c>
      <c r="AZ2343" t="s">
        <v>561</v>
      </c>
      <c r="BA2343" t="s">
        <v>194</v>
      </c>
      <c r="BE2343" s="3">
        <v>42419</v>
      </c>
      <c r="BF2343" s="1">
        <v>546500</v>
      </c>
      <c r="BG2343" t="s">
        <v>158</v>
      </c>
      <c r="BH2343" s="1">
        <v>146.01</v>
      </c>
      <c r="BI2343" s="1">
        <v>521836</v>
      </c>
      <c r="BJ2343" s="3">
        <v>42419</v>
      </c>
      <c r="BK2343" t="s">
        <v>123</v>
      </c>
      <c r="BL2343" t="str">
        <f>"2016.105895"</f>
        <v>2016.105895</v>
      </c>
      <c r="BM2343" t="s">
        <v>241</v>
      </c>
      <c r="BN2343" t="s">
        <v>1025</v>
      </c>
      <c r="BO2343" t="s">
        <v>15711</v>
      </c>
      <c r="BS2343">
        <v>30</v>
      </c>
      <c r="BT2343" s="1">
        <v>150000</v>
      </c>
      <c r="BU2343" s="3">
        <v>43748</v>
      </c>
      <c r="BV2343" t="s">
        <v>134</v>
      </c>
      <c r="BW2343" t="str">
        <f>"2019.805884"</f>
        <v>2019.805884</v>
      </c>
      <c r="BX2343" t="s">
        <v>6152</v>
      </c>
      <c r="BY2343" t="s">
        <v>6153</v>
      </c>
      <c r="BZ2343" t="s">
        <v>15712</v>
      </c>
      <c r="CA2343" t="s">
        <v>15713</v>
      </c>
      <c r="CC2343" t="s">
        <v>139</v>
      </c>
      <c r="CH2343" t="str">
        <f>""</f>
        <v/>
      </c>
      <c r="CS2343" t="str">
        <f>""</f>
        <v/>
      </c>
    </row>
    <row r="2344" spans="1:97" x14ac:dyDescent="0.25">
      <c r="A2344" t="s">
        <v>434</v>
      </c>
      <c r="B2344" t="s">
        <v>15714</v>
      </c>
      <c r="C2344" t="s">
        <v>2261</v>
      </c>
      <c r="D2344" t="s">
        <v>15714</v>
      </c>
      <c r="E2344" t="s">
        <v>15715</v>
      </c>
      <c r="F2344" t="s">
        <v>108</v>
      </c>
      <c r="H2344" t="s">
        <v>15716</v>
      </c>
      <c r="I2344" t="s">
        <v>453</v>
      </c>
      <c r="J2344" t="s">
        <v>111</v>
      </c>
      <c r="K2344" t="str">
        <f>"85382"</f>
        <v>85382</v>
      </c>
      <c r="L2344" t="s">
        <v>6788</v>
      </c>
      <c r="M2344" t="s">
        <v>15716</v>
      </c>
      <c r="N2344" t="s">
        <v>453</v>
      </c>
      <c r="O2344" t="s">
        <v>111</v>
      </c>
      <c r="P2344" t="str">
        <f>"85382"</f>
        <v>85382</v>
      </c>
      <c r="Q2344" t="s">
        <v>113</v>
      </c>
      <c r="R2344" t="str">
        <f>"233-01-109"</f>
        <v>233-01-109</v>
      </c>
      <c r="S2344" t="s">
        <v>14485</v>
      </c>
      <c r="T2344" t="s">
        <v>14485</v>
      </c>
      <c r="U2344">
        <v>1880</v>
      </c>
      <c r="V2344">
        <v>0</v>
      </c>
      <c r="W2344">
        <v>3</v>
      </c>
      <c r="X2344">
        <v>1991</v>
      </c>
      <c r="Z2344">
        <v>1</v>
      </c>
      <c r="AB2344">
        <v>0</v>
      </c>
      <c r="AC2344" t="s">
        <v>115</v>
      </c>
      <c r="AD2344">
        <v>2</v>
      </c>
      <c r="AE2344" t="s">
        <v>115</v>
      </c>
      <c r="AF2344">
        <v>0</v>
      </c>
      <c r="AG2344">
        <v>0</v>
      </c>
      <c r="AH2344" t="s">
        <v>116</v>
      </c>
      <c r="AI2344" s="1">
        <v>1955</v>
      </c>
      <c r="AJ2344" s="2">
        <v>0.01</v>
      </c>
      <c r="AK2344" s="1">
        <v>319797</v>
      </c>
      <c r="AL2344" t="s">
        <v>117</v>
      </c>
      <c r="AM2344" t="s">
        <v>3345</v>
      </c>
      <c r="AN2344">
        <v>7200</v>
      </c>
      <c r="AO2344">
        <v>0.16</v>
      </c>
      <c r="AP2344">
        <v>1</v>
      </c>
      <c r="AR2344">
        <v>1</v>
      </c>
      <c r="AS2344" s="1">
        <v>21820</v>
      </c>
      <c r="AT2344" s="1">
        <v>4360</v>
      </c>
      <c r="AU2344" s="1">
        <v>17460</v>
      </c>
      <c r="AV2344">
        <v>80.02</v>
      </c>
      <c r="AX2344" s="1">
        <v>2060.88</v>
      </c>
      <c r="AY2344" t="s">
        <v>7828</v>
      </c>
      <c r="AZ2344" t="s">
        <v>7828</v>
      </c>
      <c r="BA2344" t="s">
        <v>4219</v>
      </c>
      <c r="BB2344" s="3">
        <v>43620</v>
      </c>
      <c r="BC2344" s="1">
        <v>0</v>
      </c>
      <c r="BD2344" t="s">
        <v>247</v>
      </c>
      <c r="BE2344" s="3">
        <v>42111</v>
      </c>
      <c r="BF2344" s="1">
        <v>255000</v>
      </c>
      <c r="BG2344" t="s">
        <v>15717</v>
      </c>
      <c r="BH2344" s="1">
        <v>135.63999999999999</v>
      </c>
      <c r="BI2344" s="1">
        <v>317842</v>
      </c>
      <c r="BJ2344" s="3">
        <v>43620</v>
      </c>
      <c r="BK2344" t="s">
        <v>123</v>
      </c>
      <c r="BL2344" t="str">
        <f>"2019.414323"</f>
        <v>2019.414323</v>
      </c>
      <c r="BM2344" t="s">
        <v>12201</v>
      </c>
      <c r="BN2344" t="s">
        <v>2188</v>
      </c>
      <c r="BO2344" t="s">
        <v>15718</v>
      </c>
      <c r="BP2344" t="s">
        <v>15719</v>
      </c>
      <c r="BR2344" t="s">
        <v>139</v>
      </c>
      <c r="BW2344" t="str">
        <f>""</f>
        <v/>
      </c>
      <c r="CH2344" t="str">
        <f>""</f>
        <v/>
      </c>
      <c r="CS2344" t="str">
        <f>""</f>
        <v/>
      </c>
    </row>
    <row r="2345" spans="1:97" x14ac:dyDescent="0.25">
      <c r="A2345" t="s">
        <v>15720</v>
      </c>
      <c r="B2345" t="s">
        <v>15721</v>
      </c>
      <c r="E2345" t="s">
        <v>15722</v>
      </c>
      <c r="F2345" t="s">
        <v>108</v>
      </c>
      <c r="H2345" t="s">
        <v>15723</v>
      </c>
      <c r="I2345" t="s">
        <v>225</v>
      </c>
      <c r="J2345" t="s">
        <v>111</v>
      </c>
      <c r="K2345" t="str">
        <f>"85203"</f>
        <v>85203</v>
      </c>
      <c r="L2345" t="s">
        <v>5709</v>
      </c>
      <c r="M2345" t="s">
        <v>15724</v>
      </c>
      <c r="N2345" t="s">
        <v>225</v>
      </c>
      <c r="O2345" t="s">
        <v>111</v>
      </c>
      <c r="P2345" t="str">
        <f>"85203"</f>
        <v>85203</v>
      </c>
      <c r="Q2345" t="s">
        <v>113</v>
      </c>
      <c r="R2345" t="str">
        <f>"136-27-626"</f>
        <v>136-27-626</v>
      </c>
      <c r="S2345" t="s">
        <v>15725</v>
      </c>
      <c r="T2345" t="s">
        <v>15725</v>
      </c>
      <c r="U2345">
        <v>1841</v>
      </c>
      <c r="V2345">
        <v>0</v>
      </c>
      <c r="W2345">
        <v>2</v>
      </c>
      <c r="X2345">
        <v>1976</v>
      </c>
      <c r="Z2345">
        <v>1</v>
      </c>
      <c r="AB2345">
        <v>0</v>
      </c>
      <c r="AC2345" t="s">
        <v>115</v>
      </c>
      <c r="AD2345">
        <v>2</v>
      </c>
      <c r="AE2345" t="s">
        <v>115</v>
      </c>
      <c r="AF2345">
        <v>0</v>
      </c>
      <c r="AG2345">
        <v>0</v>
      </c>
      <c r="AH2345" t="s">
        <v>116</v>
      </c>
      <c r="AI2345" s="1">
        <v>71919</v>
      </c>
      <c r="AJ2345" s="2">
        <v>0.23</v>
      </c>
      <c r="AK2345" s="1">
        <v>311205</v>
      </c>
      <c r="AL2345" t="s">
        <v>117</v>
      </c>
      <c r="AM2345" t="s">
        <v>917</v>
      </c>
      <c r="AN2345">
        <v>9993</v>
      </c>
      <c r="AO2345">
        <v>0.23</v>
      </c>
      <c r="AP2345">
        <v>1</v>
      </c>
      <c r="AR2345">
        <v>1</v>
      </c>
      <c r="AS2345" s="1">
        <v>20730</v>
      </c>
      <c r="AT2345" s="1">
        <v>4140</v>
      </c>
      <c r="AU2345" s="1">
        <v>16590</v>
      </c>
      <c r="AV2345">
        <v>80.03</v>
      </c>
      <c r="AX2345" s="1">
        <v>1555.14</v>
      </c>
      <c r="AY2345" t="s">
        <v>6401</v>
      </c>
      <c r="AZ2345" t="s">
        <v>4163</v>
      </c>
      <c r="BA2345" t="s">
        <v>1524</v>
      </c>
      <c r="BB2345" s="3">
        <v>43675</v>
      </c>
      <c r="BC2345" s="1">
        <v>0</v>
      </c>
      <c r="BD2345" t="s">
        <v>247</v>
      </c>
      <c r="BE2345" s="3">
        <v>42059</v>
      </c>
      <c r="BF2345" s="1">
        <v>234250</v>
      </c>
      <c r="BG2345" t="s">
        <v>15726</v>
      </c>
      <c r="BH2345" s="1">
        <v>127.24</v>
      </c>
      <c r="BI2345" s="1">
        <v>239286</v>
      </c>
      <c r="BJ2345" s="3">
        <v>42059</v>
      </c>
      <c r="BK2345" t="s">
        <v>123</v>
      </c>
      <c r="BL2345" t="str">
        <f>"2015.118765"</f>
        <v>2015.118765</v>
      </c>
      <c r="BM2345" t="s">
        <v>135</v>
      </c>
      <c r="BN2345" t="s">
        <v>136</v>
      </c>
      <c r="BO2345" t="s">
        <v>15727</v>
      </c>
      <c r="BP2345" t="s">
        <v>15728</v>
      </c>
      <c r="BS2345">
        <v>30</v>
      </c>
      <c r="BW2345" t="str">
        <f>""</f>
        <v/>
      </c>
      <c r="CH2345" t="str">
        <f>""</f>
        <v/>
      </c>
      <c r="CS2345" t="str">
        <f>""</f>
        <v/>
      </c>
    </row>
    <row r="2346" spans="1:97" x14ac:dyDescent="0.25">
      <c r="A2346" t="s">
        <v>3089</v>
      </c>
      <c r="B2346" t="s">
        <v>15729</v>
      </c>
      <c r="E2346" t="s">
        <v>15730</v>
      </c>
      <c r="F2346" t="s">
        <v>108</v>
      </c>
      <c r="H2346" t="s">
        <v>15731</v>
      </c>
      <c r="I2346" t="s">
        <v>390</v>
      </c>
      <c r="J2346" t="s">
        <v>111</v>
      </c>
      <c r="K2346" t="str">
        <f>"85032"</f>
        <v>85032</v>
      </c>
      <c r="L2346" t="s">
        <v>15732</v>
      </c>
      <c r="M2346" t="s">
        <v>15731</v>
      </c>
      <c r="N2346" t="s">
        <v>390</v>
      </c>
      <c r="O2346" t="s">
        <v>111</v>
      </c>
      <c r="P2346" t="str">
        <f>"85032-4432"</f>
        <v>85032-4432</v>
      </c>
      <c r="Q2346" t="s">
        <v>113</v>
      </c>
      <c r="R2346" t="str">
        <f>"214-56-049"</f>
        <v>214-56-049</v>
      </c>
      <c r="S2346" t="s">
        <v>15733</v>
      </c>
      <c r="T2346" t="s">
        <v>15734</v>
      </c>
      <c r="U2346">
        <v>2093</v>
      </c>
      <c r="V2346">
        <v>0</v>
      </c>
      <c r="W2346">
        <v>2</v>
      </c>
      <c r="X2346">
        <v>1978</v>
      </c>
      <c r="Z2346">
        <v>1</v>
      </c>
      <c r="AB2346">
        <v>0</v>
      </c>
      <c r="AC2346" t="s">
        <v>115</v>
      </c>
      <c r="AD2346">
        <v>2</v>
      </c>
      <c r="AE2346" t="s">
        <v>115</v>
      </c>
      <c r="AF2346">
        <v>0</v>
      </c>
      <c r="AG2346">
        <v>0</v>
      </c>
      <c r="AH2346" t="s">
        <v>116</v>
      </c>
      <c r="AI2346" s="1">
        <v>113107</v>
      </c>
      <c r="AJ2346" s="2">
        <v>0.33</v>
      </c>
      <c r="AK2346" s="1">
        <v>345707</v>
      </c>
      <c r="AL2346" t="s">
        <v>117</v>
      </c>
      <c r="AM2346" t="s">
        <v>1302</v>
      </c>
      <c r="AN2346">
        <v>10368</v>
      </c>
      <c r="AO2346">
        <v>0.24</v>
      </c>
      <c r="AP2346">
        <v>1</v>
      </c>
      <c r="AR2346">
        <v>1</v>
      </c>
      <c r="AS2346" s="1">
        <v>23910</v>
      </c>
      <c r="AT2346" s="1">
        <v>4780</v>
      </c>
      <c r="AU2346" s="1">
        <v>19130</v>
      </c>
      <c r="AV2346">
        <v>80.010000000000005</v>
      </c>
      <c r="AX2346" s="1">
        <v>1962.38</v>
      </c>
      <c r="AY2346" t="s">
        <v>13914</v>
      </c>
      <c r="AZ2346" t="s">
        <v>5231</v>
      </c>
      <c r="BA2346" t="s">
        <v>1318</v>
      </c>
      <c r="BE2346" s="3">
        <v>41779</v>
      </c>
      <c r="BF2346" s="1">
        <v>252000</v>
      </c>
      <c r="BG2346" t="s">
        <v>15735</v>
      </c>
      <c r="BH2346" s="1">
        <v>120.4</v>
      </c>
      <c r="BI2346" s="1">
        <v>232600</v>
      </c>
      <c r="BJ2346" s="3">
        <v>42597</v>
      </c>
      <c r="BK2346" t="s">
        <v>123</v>
      </c>
      <c r="BL2346" t="str">
        <f>"2016.582782"</f>
        <v>2016.582782</v>
      </c>
      <c r="BM2346" t="s">
        <v>361</v>
      </c>
      <c r="BO2346" t="s">
        <v>15736</v>
      </c>
      <c r="BS2346">
        <v>30</v>
      </c>
      <c r="BW2346" t="str">
        <f>""</f>
        <v/>
      </c>
      <c r="CH2346" t="str">
        <f>""</f>
        <v/>
      </c>
      <c r="CS2346" t="str">
        <f>""</f>
        <v/>
      </c>
    </row>
    <row r="2347" spans="1:97" x14ac:dyDescent="0.25">
      <c r="A2347" t="s">
        <v>15737</v>
      </c>
      <c r="B2347" t="s">
        <v>4262</v>
      </c>
      <c r="C2347" t="s">
        <v>524</v>
      </c>
      <c r="D2347" t="s">
        <v>4262</v>
      </c>
      <c r="E2347" t="s">
        <v>15738</v>
      </c>
      <c r="F2347" t="s">
        <v>108</v>
      </c>
      <c r="H2347" t="s">
        <v>15739</v>
      </c>
      <c r="I2347" t="s">
        <v>225</v>
      </c>
      <c r="J2347" t="s">
        <v>111</v>
      </c>
      <c r="K2347" t="str">
        <f>"85209"</f>
        <v>85209</v>
      </c>
      <c r="L2347" t="s">
        <v>5456</v>
      </c>
      <c r="M2347" t="s">
        <v>15739</v>
      </c>
      <c r="N2347" t="s">
        <v>225</v>
      </c>
      <c r="O2347" t="s">
        <v>111</v>
      </c>
      <c r="P2347" t="str">
        <f>"85209-7727"</f>
        <v>85209-7727</v>
      </c>
      <c r="Q2347" t="s">
        <v>113</v>
      </c>
      <c r="R2347" t="str">
        <f>"220-81-244"</f>
        <v>220-81-244</v>
      </c>
      <c r="S2347" t="s">
        <v>15740</v>
      </c>
      <c r="T2347" t="s">
        <v>15741</v>
      </c>
      <c r="U2347">
        <v>1842</v>
      </c>
      <c r="V2347">
        <v>0</v>
      </c>
      <c r="W2347">
        <v>2</v>
      </c>
      <c r="X2347">
        <v>2002</v>
      </c>
      <c r="Z2347">
        <v>1</v>
      </c>
      <c r="AA2347" t="s">
        <v>26</v>
      </c>
      <c r="AB2347">
        <v>0</v>
      </c>
      <c r="AC2347" t="s">
        <v>115</v>
      </c>
      <c r="AD2347">
        <v>2</v>
      </c>
      <c r="AE2347" t="s">
        <v>115</v>
      </c>
      <c r="AF2347">
        <v>0</v>
      </c>
      <c r="AG2347">
        <v>0</v>
      </c>
      <c r="AH2347" t="s">
        <v>116</v>
      </c>
      <c r="AI2347" s="1">
        <v>97877</v>
      </c>
      <c r="AJ2347" s="2">
        <v>0.32</v>
      </c>
      <c r="AK2347" s="1">
        <v>304321</v>
      </c>
      <c r="AL2347" t="s">
        <v>117</v>
      </c>
      <c r="AM2347" t="s">
        <v>393</v>
      </c>
      <c r="AN2347">
        <v>8143</v>
      </c>
      <c r="AO2347">
        <v>0.19</v>
      </c>
      <c r="AP2347">
        <v>1</v>
      </c>
      <c r="AR2347">
        <v>1</v>
      </c>
      <c r="AS2347" s="1">
        <v>22030</v>
      </c>
      <c r="AT2347" s="1">
        <v>4400</v>
      </c>
      <c r="AU2347" s="1">
        <v>17630</v>
      </c>
      <c r="AV2347">
        <v>80.03</v>
      </c>
      <c r="AX2347" s="1">
        <v>1735.04</v>
      </c>
      <c r="AY2347" t="s">
        <v>3985</v>
      </c>
      <c r="AZ2347" t="s">
        <v>3761</v>
      </c>
      <c r="BA2347" t="s">
        <v>232</v>
      </c>
      <c r="BE2347" s="3">
        <v>41880</v>
      </c>
      <c r="BF2347" s="1">
        <v>205000</v>
      </c>
      <c r="BG2347" t="s">
        <v>15742</v>
      </c>
      <c r="BH2347" s="1">
        <v>111.29</v>
      </c>
      <c r="BI2347" s="1">
        <v>206444</v>
      </c>
      <c r="BJ2347" s="3">
        <v>42765</v>
      </c>
      <c r="BK2347" t="s">
        <v>123</v>
      </c>
      <c r="BL2347" t="str">
        <f>"2017.68695"</f>
        <v>2017.68695</v>
      </c>
      <c r="BM2347" t="s">
        <v>15743</v>
      </c>
      <c r="BO2347" t="s">
        <v>15744</v>
      </c>
      <c r="BS2347">
        <v>30</v>
      </c>
      <c r="BW2347" t="str">
        <f>""</f>
        <v/>
      </c>
      <c r="CH2347" t="str">
        <f>""</f>
        <v/>
      </c>
      <c r="CS2347" t="str">
        <f>""</f>
        <v/>
      </c>
    </row>
    <row r="2348" spans="1:97" x14ac:dyDescent="0.25">
      <c r="A2348" t="s">
        <v>183</v>
      </c>
      <c r="B2348" t="s">
        <v>15745</v>
      </c>
      <c r="C2348" t="s">
        <v>986</v>
      </c>
      <c r="D2348" t="s">
        <v>15745</v>
      </c>
      <c r="E2348" t="s">
        <v>15746</v>
      </c>
      <c r="F2348" t="s">
        <v>108</v>
      </c>
      <c r="H2348" t="s">
        <v>15747</v>
      </c>
      <c r="I2348" t="s">
        <v>453</v>
      </c>
      <c r="J2348" t="s">
        <v>111</v>
      </c>
      <c r="K2348" t="str">
        <f>"85381"</f>
        <v>85381</v>
      </c>
      <c r="L2348" t="s">
        <v>1300</v>
      </c>
      <c r="M2348" t="s">
        <v>15747</v>
      </c>
      <c r="N2348" t="s">
        <v>453</v>
      </c>
      <c r="O2348" t="s">
        <v>111</v>
      </c>
      <c r="P2348" t="str">
        <f>"85381-5087"</f>
        <v>85381-5087</v>
      </c>
      <c r="Q2348" t="s">
        <v>113</v>
      </c>
      <c r="R2348" t="str">
        <f>"200-77-940"</f>
        <v>200-77-940</v>
      </c>
      <c r="S2348" t="s">
        <v>15748</v>
      </c>
      <c r="T2348" t="s">
        <v>15749</v>
      </c>
      <c r="U2348">
        <v>3647</v>
      </c>
      <c r="V2348">
        <v>0</v>
      </c>
      <c r="W2348">
        <v>4</v>
      </c>
      <c r="X2348">
        <v>1990</v>
      </c>
      <c r="Z2348">
        <v>2</v>
      </c>
      <c r="AA2348" t="s">
        <v>26</v>
      </c>
      <c r="AB2348">
        <v>0</v>
      </c>
      <c r="AC2348" t="s">
        <v>115</v>
      </c>
      <c r="AD2348">
        <v>3</v>
      </c>
      <c r="AE2348" t="s">
        <v>115</v>
      </c>
      <c r="AF2348">
        <v>0</v>
      </c>
      <c r="AG2348">
        <v>0</v>
      </c>
      <c r="AH2348" t="s">
        <v>116</v>
      </c>
      <c r="AI2348" s="1">
        <v>72354</v>
      </c>
      <c r="AJ2348" s="2">
        <v>0.17</v>
      </c>
      <c r="AK2348" s="1">
        <v>431641</v>
      </c>
      <c r="AL2348" t="s">
        <v>117</v>
      </c>
      <c r="AM2348" t="s">
        <v>1302</v>
      </c>
      <c r="AN2348">
        <v>10250</v>
      </c>
      <c r="AO2348">
        <v>0.24</v>
      </c>
      <c r="AP2348">
        <v>1</v>
      </c>
      <c r="AR2348">
        <v>1</v>
      </c>
      <c r="AS2348" s="1">
        <v>30920</v>
      </c>
      <c r="AT2348" s="1">
        <v>6180</v>
      </c>
      <c r="AU2348" s="1">
        <v>24740</v>
      </c>
      <c r="AV2348">
        <v>80.010000000000005</v>
      </c>
      <c r="AX2348" s="1">
        <v>2625.78</v>
      </c>
      <c r="AY2348" t="s">
        <v>3359</v>
      </c>
      <c r="AZ2348" t="s">
        <v>3359</v>
      </c>
      <c r="BA2348" t="s">
        <v>3360</v>
      </c>
      <c r="BE2348" s="3">
        <v>42338</v>
      </c>
      <c r="BF2348" s="1">
        <v>363000</v>
      </c>
      <c r="BG2348" t="s">
        <v>15750</v>
      </c>
      <c r="BH2348" s="1">
        <v>99.53</v>
      </c>
      <c r="BI2348" s="1">
        <v>359287</v>
      </c>
      <c r="BJ2348" s="3">
        <v>43153</v>
      </c>
      <c r="BK2348" t="s">
        <v>123</v>
      </c>
      <c r="BL2348" t="str">
        <f>"2018.132661"</f>
        <v>2018.132661</v>
      </c>
      <c r="BM2348" t="s">
        <v>10402</v>
      </c>
      <c r="BN2348" t="s">
        <v>10403</v>
      </c>
      <c r="BO2348" t="s">
        <v>15751</v>
      </c>
      <c r="BP2348" t="s">
        <v>15752</v>
      </c>
      <c r="BR2348" t="s">
        <v>139</v>
      </c>
      <c r="BW2348" t="str">
        <f>""</f>
        <v/>
      </c>
      <c r="CH2348" t="str">
        <f>""</f>
        <v/>
      </c>
      <c r="CS2348" t="str">
        <f>""</f>
        <v/>
      </c>
    </row>
    <row r="2349" spans="1:97" x14ac:dyDescent="0.25">
      <c r="A2349" t="s">
        <v>222</v>
      </c>
      <c r="B2349" t="s">
        <v>4137</v>
      </c>
      <c r="C2349" t="s">
        <v>2168</v>
      </c>
      <c r="D2349" t="s">
        <v>4137</v>
      </c>
      <c r="E2349" t="s">
        <v>15753</v>
      </c>
      <c r="F2349" t="s">
        <v>108</v>
      </c>
      <c r="H2349" t="s">
        <v>15754</v>
      </c>
      <c r="I2349" t="s">
        <v>453</v>
      </c>
      <c r="J2349" t="s">
        <v>111</v>
      </c>
      <c r="K2349" t="str">
        <f>"85383"</f>
        <v>85383</v>
      </c>
      <c r="L2349" t="s">
        <v>4467</v>
      </c>
      <c r="M2349" t="s">
        <v>15754</v>
      </c>
      <c r="N2349" t="s">
        <v>453</v>
      </c>
      <c r="O2349" t="s">
        <v>111</v>
      </c>
      <c r="P2349" t="str">
        <f>"85383-2429"</f>
        <v>85383-2429</v>
      </c>
      <c r="Q2349" t="s">
        <v>113</v>
      </c>
      <c r="R2349" t="str">
        <f>"503-89-694"</f>
        <v>503-89-694</v>
      </c>
      <c r="S2349" t="s">
        <v>8968</v>
      </c>
      <c r="T2349" t="s">
        <v>8969</v>
      </c>
      <c r="U2349">
        <v>2754</v>
      </c>
      <c r="V2349">
        <v>0</v>
      </c>
      <c r="W2349">
        <v>4</v>
      </c>
      <c r="X2349">
        <v>2005</v>
      </c>
      <c r="Z2349">
        <v>2</v>
      </c>
      <c r="AA2349" t="s">
        <v>26</v>
      </c>
      <c r="AB2349">
        <v>0</v>
      </c>
      <c r="AC2349" t="s">
        <v>115</v>
      </c>
      <c r="AD2349">
        <v>3</v>
      </c>
      <c r="AE2349" t="s">
        <v>115</v>
      </c>
      <c r="AF2349">
        <v>0</v>
      </c>
      <c r="AG2349">
        <v>0</v>
      </c>
      <c r="AH2349" t="s">
        <v>116</v>
      </c>
      <c r="AI2349" s="1">
        <v>91780</v>
      </c>
      <c r="AJ2349" s="2">
        <v>0.23</v>
      </c>
      <c r="AK2349" s="1">
        <v>399280</v>
      </c>
      <c r="AL2349" t="s">
        <v>117</v>
      </c>
      <c r="AM2349" t="s">
        <v>118</v>
      </c>
      <c r="AN2349">
        <v>11190</v>
      </c>
      <c r="AO2349">
        <v>0.26</v>
      </c>
      <c r="AR2349">
        <v>1</v>
      </c>
      <c r="AS2349" s="1">
        <v>28710</v>
      </c>
      <c r="AT2349" s="1">
        <v>5740</v>
      </c>
      <c r="AU2349" s="1">
        <v>22970</v>
      </c>
      <c r="AV2349">
        <v>80.010000000000005</v>
      </c>
      <c r="AX2349" s="1">
        <v>3058.64</v>
      </c>
      <c r="AY2349" t="s">
        <v>627</v>
      </c>
      <c r="AZ2349" t="s">
        <v>627</v>
      </c>
      <c r="BA2349" t="s">
        <v>457</v>
      </c>
      <c r="BE2349" s="3">
        <v>42110</v>
      </c>
      <c r="BF2349" s="1">
        <v>309700</v>
      </c>
      <c r="BG2349" t="s">
        <v>15755</v>
      </c>
      <c r="BH2349" s="1">
        <v>112.45</v>
      </c>
      <c r="BI2349" s="1">
        <v>307500</v>
      </c>
      <c r="BJ2349" s="3">
        <v>42563</v>
      </c>
      <c r="BK2349" t="s">
        <v>123</v>
      </c>
      <c r="BL2349" t="str">
        <f>"2016.486865"</f>
        <v>2016.486865</v>
      </c>
      <c r="BM2349" t="s">
        <v>6517</v>
      </c>
      <c r="BO2349" t="s">
        <v>15756</v>
      </c>
      <c r="BS2349">
        <v>30</v>
      </c>
      <c r="BW2349" t="str">
        <f>""</f>
        <v/>
      </c>
      <c r="CH2349" t="str">
        <f>""</f>
        <v/>
      </c>
      <c r="CS2349" t="str">
        <f>""</f>
        <v/>
      </c>
    </row>
    <row r="2350" spans="1:97" x14ac:dyDescent="0.25">
      <c r="A2350" t="s">
        <v>1850</v>
      </c>
      <c r="B2350" t="s">
        <v>15757</v>
      </c>
      <c r="C2350" t="s">
        <v>1845</v>
      </c>
      <c r="D2350" t="s">
        <v>15757</v>
      </c>
      <c r="E2350" t="s">
        <v>15758</v>
      </c>
      <c r="F2350" t="s">
        <v>108</v>
      </c>
      <c r="H2350" t="s">
        <v>15759</v>
      </c>
      <c r="I2350" t="s">
        <v>5387</v>
      </c>
      <c r="J2350" t="s">
        <v>111</v>
      </c>
      <c r="K2350" t="str">
        <f>"85284"</f>
        <v>85284</v>
      </c>
      <c r="L2350" t="s">
        <v>6438</v>
      </c>
      <c r="M2350" t="s">
        <v>15759</v>
      </c>
      <c r="N2350" t="s">
        <v>5387</v>
      </c>
      <c r="O2350" t="s">
        <v>111</v>
      </c>
      <c r="P2350" t="str">
        <f>"85284-1670"</f>
        <v>85284-1670</v>
      </c>
      <c r="Q2350" t="s">
        <v>113</v>
      </c>
      <c r="R2350" t="str">
        <f>"301-51-657"</f>
        <v>301-51-657</v>
      </c>
      <c r="S2350" t="s">
        <v>15760</v>
      </c>
      <c r="T2350" t="s">
        <v>15761</v>
      </c>
      <c r="U2350">
        <v>2079</v>
      </c>
      <c r="V2350">
        <v>0</v>
      </c>
      <c r="W2350">
        <v>4</v>
      </c>
      <c r="X2350">
        <v>1993</v>
      </c>
      <c r="Z2350">
        <v>1</v>
      </c>
      <c r="AB2350">
        <v>0</v>
      </c>
      <c r="AC2350" t="s">
        <v>115</v>
      </c>
      <c r="AD2350">
        <v>3</v>
      </c>
      <c r="AE2350" t="s">
        <v>115</v>
      </c>
      <c r="AF2350">
        <v>0</v>
      </c>
      <c r="AG2350">
        <v>0</v>
      </c>
      <c r="AH2350" t="s">
        <v>116</v>
      </c>
      <c r="AI2350" s="1">
        <v>73053</v>
      </c>
      <c r="AJ2350" s="2">
        <v>0.18</v>
      </c>
      <c r="AK2350" s="1">
        <v>398448</v>
      </c>
      <c r="AL2350" t="s">
        <v>117</v>
      </c>
      <c r="AM2350" t="s">
        <v>393</v>
      </c>
      <c r="AN2350">
        <v>8912</v>
      </c>
      <c r="AO2350">
        <v>0.2</v>
      </c>
      <c r="AP2350">
        <v>1</v>
      </c>
      <c r="AR2350">
        <v>1</v>
      </c>
      <c r="AS2350" s="1">
        <v>30160</v>
      </c>
      <c r="AT2350" s="1">
        <v>6030</v>
      </c>
      <c r="AU2350" s="1">
        <v>24130</v>
      </c>
      <c r="AV2350">
        <v>80.010000000000005</v>
      </c>
      <c r="AX2350" s="1">
        <v>3271</v>
      </c>
      <c r="AY2350" t="s">
        <v>8795</v>
      </c>
      <c r="AZ2350" t="s">
        <v>5391</v>
      </c>
      <c r="BA2350" t="s">
        <v>5202</v>
      </c>
      <c r="BE2350" s="3">
        <v>41963</v>
      </c>
      <c r="BF2350" s="1">
        <v>315000</v>
      </c>
      <c r="BG2350" t="s">
        <v>15762</v>
      </c>
      <c r="BH2350" s="1">
        <v>151.52000000000001</v>
      </c>
      <c r="BI2350" s="1">
        <v>325395</v>
      </c>
      <c r="BJ2350" s="3">
        <v>41963</v>
      </c>
      <c r="BK2350" t="s">
        <v>123</v>
      </c>
      <c r="BL2350" t="str">
        <f>"2014.769783"</f>
        <v>2014.769783</v>
      </c>
      <c r="BM2350" t="s">
        <v>15763</v>
      </c>
      <c r="BO2350" t="s">
        <v>15764</v>
      </c>
      <c r="BS2350">
        <v>30</v>
      </c>
      <c r="BW2350" t="str">
        <f>""</f>
        <v/>
      </c>
      <c r="CH2350" t="str">
        <f>""</f>
        <v/>
      </c>
      <c r="CS2350" t="str">
        <f>""</f>
        <v/>
      </c>
    </row>
    <row r="2351" spans="1:97" x14ac:dyDescent="0.25">
      <c r="A2351" t="s">
        <v>2692</v>
      </c>
      <c r="B2351" t="s">
        <v>15765</v>
      </c>
      <c r="C2351" t="s">
        <v>976</v>
      </c>
      <c r="D2351" t="s">
        <v>15765</v>
      </c>
      <c r="E2351" t="s">
        <v>15766</v>
      </c>
      <c r="F2351" t="s">
        <v>108</v>
      </c>
      <c r="H2351" t="s">
        <v>15767</v>
      </c>
      <c r="I2351" t="s">
        <v>453</v>
      </c>
      <c r="J2351" t="s">
        <v>111</v>
      </c>
      <c r="K2351" t="str">
        <f>"85383"</f>
        <v>85383</v>
      </c>
      <c r="L2351" t="s">
        <v>5893</v>
      </c>
      <c r="M2351" t="s">
        <v>15767</v>
      </c>
      <c r="N2351" t="s">
        <v>453</v>
      </c>
      <c r="O2351" t="s">
        <v>111</v>
      </c>
      <c r="P2351" t="str">
        <f>"85383-2496"</f>
        <v>85383-2496</v>
      </c>
      <c r="Q2351" t="s">
        <v>113</v>
      </c>
      <c r="R2351" t="str">
        <f>"503-89-379"</f>
        <v>503-89-379</v>
      </c>
      <c r="S2351" t="s">
        <v>15768</v>
      </c>
      <c r="T2351" t="s">
        <v>15769</v>
      </c>
      <c r="U2351">
        <v>3097</v>
      </c>
      <c r="V2351">
        <v>0</v>
      </c>
      <c r="W2351">
        <v>4</v>
      </c>
      <c r="X2351">
        <v>2004</v>
      </c>
      <c r="Z2351">
        <v>2</v>
      </c>
      <c r="AB2351">
        <v>0</v>
      </c>
      <c r="AC2351" t="s">
        <v>115</v>
      </c>
      <c r="AD2351">
        <v>3</v>
      </c>
      <c r="AE2351" t="s">
        <v>115</v>
      </c>
      <c r="AF2351">
        <v>0</v>
      </c>
      <c r="AG2351">
        <v>0</v>
      </c>
      <c r="AH2351" t="s">
        <v>116</v>
      </c>
      <c r="AI2351" s="1">
        <v>47811</v>
      </c>
      <c r="AJ2351" s="2">
        <v>0.13</v>
      </c>
      <c r="AK2351" s="1">
        <v>377010</v>
      </c>
      <c r="AL2351" t="s">
        <v>117</v>
      </c>
      <c r="AM2351" t="s">
        <v>118</v>
      </c>
      <c r="AN2351">
        <v>8344</v>
      </c>
      <c r="AO2351">
        <v>0.19</v>
      </c>
      <c r="AP2351">
        <v>1</v>
      </c>
      <c r="AR2351">
        <v>1</v>
      </c>
      <c r="AS2351" s="1">
        <v>26800</v>
      </c>
      <c r="AT2351" s="1">
        <v>5360</v>
      </c>
      <c r="AU2351" s="1">
        <v>21440</v>
      </c>
      <c r="AV2351">
        <v>80</v>
      </c>
      <c r="AX2351" s="1">
        <v>2914.78</v>
      </c>
      <c r="AY2351" t="s">
        <v>627</v>
      </c>
      <c r="AZ2351" t="s">
        <v>627</v>
      </c>
      <c r="BA2351" t="s">
        <v>457</v>
      </c>
      <c r="BE2351" s="3">
        <v>42419</v>
      </c>
      <c r="BF2351" s="1">
        <v>317000</v>
      </c>
      <c r="BG2351" t="s">
        <v>15770</v>
      </c>
      <c r="BH2351" s="1">
        <v>102.36</v>
      </c>
      <c r="BI2351" s="1">
        <v>329199</v>
      </c>
      <c r="BJ2351" s="3">
        <v>42788</v>
      </c>
      <c r="BK2351" t="s">
        <v>123</v>
      </c>
      <c r="BL2351" t="str">
        <f>"2017.125799"</f>
        <v>2017.125799</v>
      </c>
      <c r="BM2351" t="s">
        <v>322</v>
      </c>
      <c r="BO2351" t="s">
        <v>15771</v>
      </c>
      <c r="BS2351">
        <v>30</v>
      </c>
      <c r="BW2351" t="str">
        <f>""</f>
        <v/>
      </c>
      <c r="CH2351" t="str">
        <f>""</f>
        <v/>
      </c>
      <c r="CS2351" t="str">
        <f>""</f>
        <v/>
      </c>
    </row>
    <row r="2352" spans="1:97" x14ac:dyDescent="0.25">
      <c r="A2352" t="s">
        <v>13060</v>
      </c>
      <c r="B2352" t="s">
        <v>15772</v>
      </c>
      <c r="C2352" t="s">
        <v>9727</v>
      </c>
      <c r="D2352" t="s">
        <v>15772</v>
      </c>
      <c r="E2352" t="s">
        <v>15773</v>
      </c>
      <c r="F2352" t="s">
        <v>108</v>
      </c>
      <c r="H2352" t="s">
        <v>15774</v>
      </c>
      <c r="I2352" t="s">
        <v>188</v>
      </c>
      <c r="J2352" t="s">
        <v>111</v>
      </c>
      <c r="K2352" t="str">
        <f>"85142"</f>
        <v>85142</v>
      </c>
      <c r="L2352" t="s">
        <v>11339</v>
      </c>
      <c r="M2352" t="s">
        <v>15774</v>
      </c>
      <c r="N2352" t="s">
        <v>188</v>
      </c>
      <c r="O2352" t="s">
        <v>111</v>
      </c>
      <c r="P2352" t="str">
        <f>"85142-5496"</f>
        <v>85142-5496</v>
      </c>
      <c r="Q2352" t="s">
        <v>113</v>
      </c>
      <c r="R2352" t="str">
        <f>"304-62-579"</f>
        <v>304-62-579</v>
      </c>
      <c r="S2352" t="s">
        <v>15775</v>
      </c>
      <c r="T2352" t="s">
        <v>15775</v>
      </c>
      <c r="U2352">
        <v>2921</v>
      </c>
      <c r="V2352">
        <v>0</v>
      </c>
      <c r="W2352">
        <v>5</v>
      </c>
      <c r="X2352">
        <v>2014</v>
      </c>
      <c r="Z2352">
        <v>1</v>
      </c>
      <c r="AA2352" t="s">
        <v>26</v>
      </c>
      <c r="AB2352">
        <v>0</v>
      </c>
      <c r="AC2352" t="s">
        <v>115</v>
      </c>
      <c r="AD2352">
        <v>3</v>
      </c>
      <c r="AE2352" t="s">
        <v>115</v>
      </c>
      <c r="AF2352">
        <v>0</v>
      </c>
      <c r="AG2352">
        <v>0</v>
      </c>
      <c r="AH2352" t="s">
        <v>116</v>
      </c>
      <c r="AI2352" s="1">
        <v>110821</v>
      </c>
      <c r="AJ2352" s="2">
        <v>0.25</v>
      </c>
      <c r="AK2352" s="1">
        <v>449821</v>
      </c>
      <c r="AL2352" t="s">
        <v>117</v>
      </c>
      <c r="AM2352" t="s">
        <v>171</v>
      </c>
      <c r="AN2352">
        <v>9600</v>
      </c>
      <c r="AO2352">
        <v>0.22</v>
      </c>
      <c r="AR2352">
        <v>1</v>
      </c>
      <c r="AS2352" s="1">
        <v>33850</v>
      </c>
      <c r="AT2352" s="1">
        <v>6770</v>
      </c>
      <c r="AU2352" s="1">
        <v>27080</v>
      </c>
      <c r="AV2352">
        <v>80</v>
      </c>
      <c r="AX2352" s="1">
        <v>3122.86</v>
      </c>
      <c r="AY2352" t="s">
        <v>560</v>
      </c>
      <c r="AZ2352" t="s">
        <v>561</v>
      </c>
      <c r="BA2352" t="s">
        <v>194</v>
      </c>
      <c r="BE2352" s="3">
        <v>41780</v>
      </c>
      <c r="BF2352" s="1">
        <v>333022</v>
      </c>
      <c r="BG2352" t="s">
        <v>15776</v>
      </c>
      <c r="BH2352" s="1">
        <v>114.01</v>
      </c>
      <c r="BI2352" s="1">
        <v>339000</v>
      </c>
      <c r="BJ2352" s="3">
        <v>42515</v>
      </c>
      <c r="BK2352" t="s">
        <v>123</v>
      </c>
      <c r="BL2352" t="str">
        <f>"2016.357031"</f>
        <v>2016.357031</v>
      </c>
      <c r="BM2352" t="s">
        <v>248</v>
      </c>
      <c r="BO2352" t="s">
        <v>15777</v>
      </c>
      <c r="BS2352">
        <v>30</v>
      </c>
      <c r="BW2352" t="str">
        <f>""</f>
        <v/>
      </c>
      <c r="CH2352" t="str">
        <f>""</f>
        <v/>
      </c>
      <c r="CS2352" t="str">
        <f>""</f>
        <v/>
      </c>
    </row>
    <row r="2353" spans="1:97" x14ac:dyDescent="0.25">
      <c r="B2353" t="s">
        <v>15778</v>
      </c>
      <c r="E2353" t="s">
        <v>15778</v>
      </c>
      <c r="F2353" t="s">
        <v>108</v>
      </c>
      <c r="H2353" t="s">
        <v>15779</v>
      </c>
      <c r="I2353" t="s">
        <v>390</v>
      </c>
      <c r="J2353" t="s">
        <v>111</v>
      </c>
      <c r="K2353" t="str">
        <f>"85083"</f>
        <v>85083</v>
      </c>
      <c r="L2353" t="s">
        <v>12821</v>
      </c>
      <c r="M2353" t="s">
        <v>15779</v>
      </c>
      <c r="N2353" t="s">
        <v>390</v>
      </c>
      <c r="O2353" t="s">
        <v>111</v>
      </c>
      <c r="P2353" t="str">
        <f>"85083-9326"</f>
        <v>85083-9326</v>
      </c>
      <c r="Q2353" t="s">
        <v>113</v>
      </c>
      <c r="R2353" t="str">
        <f>"201-41-243"</f>
        <v>201-41-243</v>
      </c>
      <c r="S2353" t="s">
        <v>12822</v>
      </c>
      <c r="U2353">
        <v>3037</v>
      </c>
      <c r="V2353">
        <v>0</v>
      </c>
      <c r="W2353">
        <v>4</v>
      </c>
      <c r="X2353">
        <v>2011</v>
      </c>
      <c r="Z2353">
        <v>1</v>
      </c>
      <c r="AA2353" t="s">
        <v>26</v>
      </c>
      <c r="AB2353">
        <v>0</v>
      </c>
      <c r="AC2353" t="s">
        <v>115</v>
      </c>
      <c r="AD2353">
        <v>3</v>
      </c>
      <c r="AE2353" t="s">
        <v>115</v>
      </c>
      <c r="AF2353">
        <v>0</v>
      </c>
      <c r="AG2353">
        <v>0</v>
      </c>
      <c r="AH2353" t="s">
        <v>116</v>
      </c>
      <c r="AI2353" s="1">
        <v>66820</v>
      </c>
      <c r="AJ2353" s="2">
        <v>0.13</v>
      </c>
      <c r="AK2353" s="1">
        <v>500320</v>
      </c>
      <c r="AL2353" t="s">
        <v>117</v>
      </c>
      <c r="AM2353" t="s">
        <v>760</v>
      </c>
      <c r="AN2353">
        <v>10368</v>
      </c>
      <c r="AO2353">
        <v>0.24</v>
      </c>
      <c r="AR2353">
        <v>1</v>
      </c>
      <c r="AS2353" s="1">
        <v>38250</v>
      </c>
      <c r="AT2353" s="1">
        <v>7650</v>
      </c>
      <c r="AU2353" s="1">
        <v>30600</v>
      </c>
      <c r="AV2353">
        <v>80</v>
      </c>
      <c r="AX2353" s="1">
        <v>4234.88</v>
      </c>
      <c r="AY2353" t="s">
        <v>5125</v>
      </c>
      <c r="AZ2353" t="s">
        <v>3049</v>
      </c>
      <c r="BA2353" t="s">
        <v>1386</v>
      </c>
      <c r="BE2353" s="3">
        <v>42499</v>
      </c>
      <c r="BF2353" s="1">
        <v>439000</v>
      </c>
      <c r="BG2353" t="s">
        <v>15780</v>
      </c>
      <c r="BH2353" s="1">
        <v>144.55000000000001</v>
      </c>
      <c r="BI2353" s="1">
        <v>433500</v>
      </c>
      <c r="BJ2353" s="3">
        <v>42499</v>
      </c>
      <c r="BK2353" t="s">
        <v>123</v>
      </c>
      <c r="BL2353" t="str">
        <f>"2016.315789"</f>
        <v>2016.315789</v>
      </c>
      <c r="BM2353" t="s">
        <v>1185</v>
      </c>
      <c r="BO2353" t="s">
        <v>15781</v>
      </c>
      <c r="BS2353">
        <v>30</v>
      </c>
      <c r="BW2353" t="str">
        <f>""</f>
        <v/>
      </c>
      <c r="CH2353" t="str">
        <f>""</f>
        <v/>
      </c>
      <c r="CS2353" t="str">
        <f>""</f>
        <v/>
      </c>
    </row>
    <row r="2354" spans="1:97" x14ac:dyDescent="0.25">
      <c r="A2354" t="s">
        <v>15782</v>
      </c>
      <c r="B2354" t="s">
        <v>4652</v>
      </c>
      <c r="E2354" t="s">
        <v>15783</v>
      </c>
      <c r="F2354" t="s">
        <v>108</v>
      </c>
      <c r="H2354" t="s">
        <v>15784</v>
      </c>
      <c r="I2354" t="s">
        <v>1936</v>
      </c>
      <c r="J2354" t="s">
        <v>111</v>
      </c>
      <c r="K2354" t="str">
        <f>"85254"</f>
        <v>85254</v>
      </c>
      <c r="L2354" t="s">
        <v>4565</v>
      </c>
      <c r="M2354" t="s">
        <v>15784</v>
      </c>
      <c r="N2354" t="s">
        <v>1936</v>
      </c>
      <c r="O2354" t="s">
        <v>111</v>
      </c>
      <c r="P2354" t="str">
        <f>"85254-1154"</f>
        <v>85254-1154</v>
      </c>
      <c r="Q2354" t="s">
        <v>113</v>
      </c>
      <c r="R2354" t="str">
        <f>"215-35-264"</f>
        <v>215-35-264</v>
      </c>
      <c r="S2354" t="s">
        <v>15785</v>
      </c>
      <c r="T2354" t="s">
        <v>15786</v>
      </c>
      <c r="U2354">
        <v>1980</v>
      </c>
      <c r="V2354">
        <v>0</v>
      </c>
      <c r="W2354">
        <v>3</v>
      </c>
      <c r="X2354">
        <v>1985</v>
      </c>
      <c r="Z2354">
        <v>1</v>
      </c>
      <c r="AA2354" t="s">
        <v>26</v>
      </c>
      <c r="AB2354">
        <v>0</v>
      </c>
      <c r="AC2354" t="s">
        <v>115</v>
      </c>
      <c r="AD2354">
        <v>2</v>
      </c>
      <c r="AE2354" t="s">
        <v>115</v>
      </c>
      <c r="AF2354">
        <v>0</v>
      </c>
      <c r="AG2354">
        <v>0</v>
      </c>
      <c r="AH2354" t="s">
        <v>116</v>
      </c>
      <c r="AI2354" s="1">
        <v>112926</v>
      </c>
      <c r="AJ2354" s="2">
        <v>0.24</v>
      </c>
      <c r="AK2354" s="1">
        <v>475228</v>
      </c>
      <c r="AL2354" t="s">
        <v>117</v>
      </c>
      <c r="AM2354" t="s">
        <v>1302</v>
      </c>
      <c r="AN2354">
        <v>10227</v>
      </c>
      <c r="AO2354">
        <v>0.24</v>
      </c>
      <c r="AP2354">
        <v>1</v>
      </c>
      <c r="AR2354">
        <v>1</v>
      </c>
      <c r="AS2354" s="1">
        <v>35350</v>
      </c>
      <c r="AT2354" s="1">
        <v>7070</v>
      </c>
      <c r="AU2354" s="1">
        <v>28280</v>
      </c>
      <c r="AV2354">
        <v>80</v>
      </c>
      <c r="AX2354" s="1">
        <v>3229.12</v>
      </c>
      <c r="AY2354" t="s">
        <v>15787</v>
      </c>
      <c r="AZ2354" t="s">
        <v>7739</v>
      </c>
      <c r="BA2354" t="s">
        <v>6302</v>
      </c>
      <c r="BE2354" s="3">
        <v>41880</v>
      </c>
      <c r="BF2354" s="1">
        <v>350000</v>
      </c>
      <c r="BG2354" t="s">
        <v>15788</v>
      </c>
      <c r="BH2354" s="1">
        <v>176.77</v>
      </c>
      <c r="BI2354" s="1">
        <v>362302</v>
      </c>
      <c r="BJ2354" s="3">
        <v>42100</v>
      </c>
      <c r="BK2354" t="s">
        <v>123</v>
      </c>
      <c r="BL2354" t="str">
        <f>"2015.233386"</f>
        <v>2015.233386</v>
      </c>
      <c r="BM2354" t="s">
        <v>361</v>
      </c>
      <c r="BO2354" t="s">
        <v>15789</v>
      </c>
      <c r="BS2354">
        <v>30</v>
      </c>
      <c r="BW2354" t="str">
        <f>""</f>
        <v/>
      </c>
      <c r="CH2354" t="str">
        <f>""</f>
        <v/>
      </c>
      <c r="CS2354" t="str">
        <f>""</f>
        <v/>
      </c>
    </row>
    <row r="2355" spans="1:97" x14ac:dyDescent="0.25">
      <c r="A2355" t="s">
        <v>1009</v>
      </c>
      <c r="B2355" t="s">
        <v>15790</v>
      </c>
      <c r="E2355" t="s">
        <v>15791</v>
      </c>
      <c r="F2355" t="s">
        <v>108</v>
      </c>
      <c r="H2355" t="s">
        <v>15792</v>
      </c>
      <c r="I2355" t="s">
        <v>225</v>
      </c>
      <c r="J2355" t="s">
        <v>111</v>
      </c>
      <c r="K2355" t="str">
        <f>"85209"</f>
        <v>85209</v>
      </c>
      <c r="L2355" t="s">
        <v>9060</v>
      </c>
      <c r="M2355" t="s">
        <v>15792</v>
      </c>
      <c r="N2355" t="s">
        <v>225</v>
      </c>
      <c r="O2355" t="s">
        <v>111</v>
      </c>
      <c r="P2355" t="str">
        <f>"85209-6663"</f>
        <v>85209-6663</v>
      </c>
      <c r="Q2355" t="s">
        <v>113</v>
      </c>
      <c r="R2355" t="str">
        <f>"309-08-353"</f>
        <v>309-08-353</v>
      </c>
      <c r="S2355" t="s">
        <v>15793</v>
      </c>
      <c r="T2355" t="s">
        <v>6551</v>
      </c>
      <c r="U2355">
        <v>1608</v>
      </c>
      <c r="V2355">
        <v>0</v>
      </c>
      <c r="W2355">
        <v>3</v>
      </c>
      <c r="X2355">
        <v>1998</v>
      </c>
      <c r="Z2355">
        <v>1</v>
      </c>
      <c r="AA2355" t="s">
        <v>26</v>
      </c>
      <c r="AB2355">
        <v>0</v>
      </c>
      <c r="AC2355" t="s">
        <v>115</v>
      </c>
      <c r="AD2355">
        <v>3</v>
      </c>
      <c r="AE2355" t="s">
        <v>115</v>
      </c>
      <c r="AF2355">
        <v>0</v>
      </c>
      <c r="AG2355">
        <v>0</v>
      </c>
      <c r="AH2355" t="s">
        <v>116</v>
      </c>
      <c r="AI2355" s="1">
        <v>28227</v>
      </c>
      <c r="AJ2355" s="2">
        <v>0.09</v>
      </c>
      <c r="AK2355" s="1">
        <v>307137</v>
      </c>
      <c r="AL2355" t="s">
        <v>117</v>
      </c>
      <c r="AM2355" t="s">
        <v>191</v>
      </c>
      <c r="AN2355">
        <v>6382</v>
      </c>
      <c r="AO2355">
        <v>0.15</v>
      </c>
      <c r="AP2355">
        <v>1</v>
      </c>
      <c r="AR2355">
        <v>1</v>
      </c>
      <c r="AS2355" s="1">
        <v>21170</v>
      </c>
      <c r="AT2355" s="1">
        <v>4230</v>
      </c>
      <c r="AU2355" s="1">
        <v>16940</v>
      </c>
      <c r="AV2355">
        <v>80.02</v>
      </c>
      <c r="AX2355" s="1">
        <v>1496.3</v>
      </c>
      <c r="AY2355" t="s">
        <v>6552</v>
      </c>
      <c r="AZ2355" t="s">
        <v>571</v>
      </c>
      <c r="BA2355" t="s">
        <v>572</v>
      </c>
      <c r="BE2355" s="3">
        <v>42173</v>
      </c>
      <c r="BF2355" s="1">
        <v>244900</v>
      </c>
      <c r="BG2355" t="s">
        <v>15794</v>
      </c>
      <c r="BH2355" s="1">
        <v>152.30000000000001</v>
      </c>
      <c r="BI2355" s="1">
        <v>278910</v>
      </c>
      <c r="BJ2355" s="3">
        <v>43483</v>
      </c>
      <c r="BK2355" t="s">
        <v>123</v>
      </c>
      <c r="BL2355" t="str">
        <f>"2019.38271"</f>
        <v>2019.38271</v>
      </c>
      <c r="BM2355" t="s">
        <v>1809</v>
      </c>
      <c r="BN2355" t="s">
        <v>1810</v>
      </c>
      <c r="BO2355" t="s">
        <v>15795</v>
      </c>
      <c r="BR2355" t="s">
        <v>139</v>
      </c>
      <c r="BW2355" t="str">
        <f>""</f>
        <v/>
      </c>
      <c r="CH2355" t="str">
        <f>""</f>
        <v/>
      </c>
      <c r="CS2355" t="str">
        <f>""</f>
        <v/>
      </c>
    </row>
    <row r="2356" spans="1:97" x14ac:dyDescent="0.25">
      <c r="A2356" t="s">
        <v>894</v>
      </c>
      <c r="B2356" t="s">
        <v>15796</v>
      </c>
      <c r="C2356" t="s">
        <v>15797</v>
      </c>
      <c r="D2356" t="s">
        <v>2900</v>
      </c>
      <c r="E2356" t="s">
        <v>15798</v>
      </c>
      <c r="F2356" t="s">
        <v>108</v>
      </c>
      <c r="H2356" t="s">
        <v>15799</v>
      </c>
      <c r="I2356" t="s">
        <v>390</v>
      </c>
      <c r="J2356" t="s">
        <v>111</v>
      </c>
      <c r="K2356" t="str">
        <f>"85048"</f>
        <v>85048</v>
      </c>
      <c r="L2356" t="s">
        <v>6333</v>
      </c>
      <c r="M2356" t="s">
        <v>15799</v>
      </c>
      <c r="N2356" t="s">
        <v>390</v>
      </c>
      <c r="O2356" t="s">
        <v>111</v>
      </c>
      <c r="P2356" t="str">
        <f>"85048-9221"</f>
        <v>85048-9221</v>
      </c>
      <c r="Q2356" t="s">
        <v>113</v>
      </c>
      <c r="R2356" t="str">
        <f>"301-70-284"</f>
        <v>301-70-284</v>
      </c>
      <c r="S2356" t="s">
        <v>15800</v>
      </c>
      <c r="U2356">
        <v>3307</v>
      </c>
      <c r="V2356">
        <v>0</v>
      </c>
      <c r="W2356">
        <v>4</v>
      </c>
      <c r="X2356">
        <v>1991</v>
      </c>
      <c r="Z2356">
        <v>2</v>
      </c>
      <c r="AA2356" t="s">
        <v>26</v>
      </c>
      <c r="AB2356">
        <v>0</v>
      </c>
      <c r="AC2356" t="s">
        <v>115</v>
      </c>
      <c r="AD2356">
        <v>3</v>
      </c>
      <c r="AE2356" t="s">
        <v>115</v>
      </c>
      <c r="AF2356">
        <v>0</v>
      </c>
      <c r="AG2356">
        <v>0</v>
      </c>
      <c r="AH2356" t="s">
        <v>116</v>
      </c>
      <c r="AI2356" s="1">
        <v>72017</v>
      </c>
      <c r="AJ2356" s="2">
        <v>0.14000000000000001</v>
      </c>
      <c r="AK2356" s="1">
        <v>501047</v>
      </c>
      <c r="AL2356" t="s">
        <v>117</v>
      </c>
      <c r="AM2356" t="s">
        <v>191</v>
      </c>
      <c r="AN2356">
        <v>9178</v>
      </c>
      <c r="AO2356">
        <v>0.21</v>
      </c>
      <c r="AP2356">
        <v>1</v>
      </c>
      <c r="AR2356">
        <v>1</v>
      </c>
      <c r="AS2356" s="1">
        <v>35660</v>
      </c>
      <c r="AT2356" s="1">
        <v>7130</v>
      </c>
      <c r="AU2356" s="1">
        <v>28530</v>
      </c>
      <c r="AV2356">
        <v>80.010000000000005</v>
      </c>
      <c r="AX2356" s="1">
        <v>3861.52</v>
      </c>
      <c r="AY2356" t="s">
        <v>928</v>
      </c>
      <c r="AZ2356" t="s">
        <v>929</v>
      </c>
      <c r="BA2356" t="s">
        <v>930</v>
      </c>
      <c r="BE2356" s="3">
        <v>42516</v>
      </c>
      <c r="BF2356" s="1">
        <v>421000</v>
      </c>
      <c r="BG2356" t="s">
        <v>15801</v>
      </c>
      <c r="BH2356" s="1">
        <v>127.31</v>
      </c>
      <c r="BI2356" s="1">
        <v>429030</v>
      </c>
      <c r="BJ2356" s="3">
        <v>42516</v>
      </c>
      <c r="BK2356" t="s">
        <v>123</v>
      </c>
      <c r="BL2356" t="str">
        <f>"2016.362019"</f>
        <v>2016.362019</v>
      </c>
      <c r="BM2356" t="s">
        <v>2716</v>
      </c>
      <c r="BO2356" t="s">
        <v>15802</v>
      </c>
      <c r="BP2356" t="s">
        <v>15803</v>
      </c>
      <c r="BS2356">
        <v>30</v>
      </c>
      <c r="BW2356" t="str">
        <f>""</f>
        <v/>
      </c>
      <c r="CH2356" t="str">
        <f>""</f>
        <v/>
      </c>
      <c r="CS2356" t="str">
        <f>""</f>
        <v/>
      </c>
    </row>
    <row r="2357" spans="1:97" x14ac:dyDescent="0.25">
      <c r="A2357" t="s">
        <v>2407</v>
      </c>
      <c r="B2357" t="s">
        <v>3333</v>
      </c>
      <c r="C2357" t="s">
        <v>15804</v>
      </c>
      <c r="D2357" t="s">
        <v>3333</v>
      </c>
      <c r="E2357" t="s">
        <v>15805</v>
      </c>
      <c r="F2357" t="s">
        <v>108</v>
      </c>
      <c r="H2357" t="s">
        <v>15806</v>
      </c>
      <c r="I2357" t="s">
        <v>225</v>
      </c>
      <c r="J2357" t="s">
        <v>111</v>
      </c>
      <c r="K2357" t="str">
        <f>"85205"</f>
        <v>85205</v>
      </c>
      <c r="L2357" t="s">
        <v>226</v>
      </c>
      <c r="M2357" t="s">
        <v>15806</v>
      </c>
      <c r="N2357" t="s">
        <v>225</v>
      </c>
      <c r="O2357" t="s">
        <v>111</v>
      </c>
      <c r="P2357" t="str">
        <f>"85205-5462"</f>
        <v>85205-5462</v>
      </c>
      <c r="Q2357" t="s">
        <v>113</v>
      </c>
      <c r="R2357" t="str">
        <f>"141-85-083"</f>
        <v>141-85-083</v>
      </c>
      <c r="S2357" t="s">
        <v>15807</v>
      </c>
      <c r="T2357" t="s">
        <v>15808</v>
      </c>
      <c r="U2357">
        <v>2274</v>
      </c>
      <c r="V2357">
        <v>0</v>
      </c>
      <c r="W2357">
        <v>4</v>
      </c>
      <c r="X2357">
        <v>1986</v>
      </c>
      <c r="Z2357">
        <v>2</v>
      </c>
      <c r="AA2357" t="s">
        <v>26</v>
      </c>
      <c r="AB2357">
        <v>0</v>
      </c>
      <c r="AC2357" t="s">
        <v>115</v>
      </c>
      <c r="AD2357">
        <v>3</v>
      </c>
      <c r="AE2357" t="s">
        <v>115</v>
      </c>
      <c r="AF2357">
        <v>0</v>
      </c>
      <c r="AG2357">
        <v>0</v>
      </c>
      <c r="AH2357" t="s">
        <v>116</v>
      </c>
      <c r="AI2357" s="1">
        <v>94896</v>
      </c>
      <c r="AJ2357" s="2">
        <v>0.28000000000000003</v>
      </c>
      <c r="AK2357" s="1">
        <v>333346</v>
      </c>
      <c r="AL2357" t="s">
        <v>117</v>
      </c>
      <c r="AM2357" t="s">
        <v>393</v>
      </c>
      <c r="AN2357">
        <v>8350</v>
      </c>
      <c r="AO2357">
        <v>0.19</v>
      </c>
      <c r="AP2357">
        <v>1</v>
      </c>
      <c r="AR2357">
        <v>1</v>
      </c>
      <c r="AS2357" s="1">
        <v>24850</v>
      </c>
      <c r="AT2357" s="1">
        <v>4970</v>
      </c>
      <c r="AU2357" s="1">
        <v>19880</v>
      </c>
      <c r="AV2357">
        <v>80</v>
      </c>
      <c r="AX2357" s="1">
        <v>1965.7</v>
      </c>
      <c r="AY2357" t="s">
        <v>5274</v>
      </c>
      <c r="AZ2357" t="s">
        <v>5275</v>
      </c>
      <c r="BA2357" t="s">
        <v>3119</v>
      </c>
      <c r="BE2357" s="3">
        <v>41649</v>
      </c>
      <c r="BF2357" s="1">
        <v>234000</v>
      </c>
      <c r="BG2357" t="s">
        <v>15809</v>
      </c>
      <c r="BH2357" s="1">
        <v>102.9</v>
      </c>
      <c r="BI2357" s="1">
        <v>238450</v>
      </c>
      <c r="BJ2357" s="3">
        <v>42184</v>
      </c>
      <c r="BK2357" t="s">
        <v>123</v>
      </c>
      <c r="BL2357" t="str">
        <f>"2015.464293"</f>
        <v>2015.464293</v>
      </c>
      <c r="BM2357" t="s">
        <v>124</v>
      </c>
      <c r="BO2357" t="s">
        <v>15810</v>
      </c>
      <c r="BS2357">
        <v>30</v>
      </c>
      <c r="BW2357" t="str">
        <f>""</f>
        <v/>
      </c>
      <c r="CH2357" t="str">
        <f>""</f>
        <v/>
      </c>
      <c r="CS2357" t="str">
        <f>""</f>
        <v/>
      </c>
    </row>
    <row r="2358" spans="1:97" x14ac:dyDescent="0.25">
      <c r="A2358" t="s">
        <v>589</v>
      </c>
      <c r="B2358" t="s">
        <v>15811</v>
      </c>
      <c r="C2358" t="s">
        <v>794</v>
      </c>
      <c r="D2358" t="s">
        <v>15811</v>
      </c>
      <c r="E2358" t="s">
        <v>15812</v>
      </c>
      <c r="F2358" t="s">
        <v>108</v>
      </c>
      <c r="H2358" t="s">
        <v>15813</v>
      </c>
      <c r="I2358" t="s">
        <v>632</v>
      </c>
      <c r="J2358" t="s">
        <v>111</v>
      </c>
      <c r="K2358" t="str">
        <f>"85379"</f>
        <v>85379</v>
      </c>
      <c r="L2358" t="s">
        <v>1244</v>
      </c>
      <c r="M2358" t="s">
        <v>15813</v>
      </c>
      <c r="N2358" t="s">
        <v>632</v>
      </c>
      <c r="O2358" t="s">
        <v>111</v>
      </c>
      <c r="P2358" t="str">
        <f>"85379-8021"</f>
        <v>85379-8021</v>
      </c>
      <c r="R2358" t="str">
        <f>"509-02-753"</f>
        <v>509-02-753</v>
      </c>
      <c r="S2358" t="s">
        <v>10379</v>
      </c>
      <c r="T2358" t="s">
        <v>10380</v>
      </c>
      <c r="U2358">
        <v>2172</v>
      </c>
      <c r="V2358">
        <v>0</v>
      </c>
      <c r="W2358">
        <v>3</v>
      </c>
      <c r="X2358">
        <v>2005</v>
      </c>
      <c r="Z2358">
        <v>1</v>
      </c>
      <c r="AB2358">
        <v>0</v>
      </c>
      <c r="AC2358" t="s">
        <v>115</v>
      </c>
      <c r="AD2358">
        <v>3</v>
      </c>
      <c r="AE2358" t="s">
        <v>115</v>
      </c>
      <c r="AF2358">
        <v>0</v>
      </c>
      <c r="AG2358">
        <v>0</v>
      </c>
      <c r="AH2358" t="s">
        <v>116</v>
      </c>
      <c r="AI2358" s="1">
        <v>41278</v>
      </c>
      <c r="AJ2358" s="2">
        <v>0.14000000000000001</v>
      </c>
      <c r="AK2358" s="1">
        <v>289198</v>
      </c>
      <c r="AL2358" t="s">
        <v>117</v>
      </c>
      <c r="AM2358" t="s">
        <v>118</v>
      </c>
      <c r="AN2358">
        <v>8160</v>
      </c>
      <c r="AO2358">
        <v>0.19</v>
      </c>
      <c r="AR2358">
        <v>1</v>
      </c>
      <c r="AS2358" s="1">
        <v>20370</v>
      </c>
      <c r="AT2358" s="1">
        <v>4070</v>
      </c>
      <c r="AU2358" s="1">
        <v>16300</v>
      </c>
      <c r="AV2358">
        <v>80.02</v>
      </c>
      <c r="AX2358" s="1">
        <v>1496.42</v>
      </c>
      <c r="AY2358" t="s">
        <v>6615</v>
      </c>
      <c r="AZ2358" t="s">
        <v>6615</v>
      </c>
      <c r="BA2358" t="s">
        <v>321</v>
      </c>
      <c r="BE2358" s="3">
        <v>42544</v>
      </c>
      <c r="BF2358" s="1">
        <v>240000</v>
      </c>
      <c r="BG2358" t="s">
        <v>15814</v>
      </c>
      <c r="BH2358" s="1">
        <v>110.5</v>
      </c>
      <c r="BI2358" s="1">
        <v>247920</v>
      </c>
      <c r="BJ2358" s="3">
        <v>42544</v>
      </c>
      <c r="BK2358" t="s">
        <v>123</v>
      </c>
      <c r="BL2358" t="str">
        <f>"2016.438287"</f>
        <v>2016.438287</v>
      </c>
      <c r="BM2358" t="s">
        <v>135</v>
      </c>
      <c r="BN2358" t="s">
        <v>136</v>
      </c>
      <c r="BO2358" t="s">
        <v>15815</v>
      </c>
      <c r="BS2358">
        <v>30</v>
      </c>
      <c r="BW2358" t="str">
        <f>""</f>
        <v/>
      </c>
      <c r="CH2358" t="str">
        <f>""</f>
        <v/>
      </c>
      <c r="CS2358" t="str">
        <f>""</f>
        <v/>
      </c>
    </row>
    <row r="2359" spans="1:97" x14ac:dyDescent="0.25">
      <c r="A2359" t="s">
        <v>11648</v>
      </c>
      <c r="B2359" t="s">
        <v>184</v>
      </c>
      <c r="C2359" t="s">
        <v>1821</v>
      </c>
      <c r="D2359" t="s">
        <v>184</v>
      </c>
      <c r="E2359" t="s">
        <v>15816</v>
      </c>
      <c r="F2359" t="s">
        <v>108</v>
      </c>
      <c r="H2359" t="s">
        <v>15817</v>
      </c>
      <c r="I2359" t="s">
        <v>110</v>
      </c>
      <c r="J2359" t="s">
        <v>111</v>
      </c>
      <c r="K2359" t="str">
        <f>"85226"</f>
        <v>85226</v>
      </c>
      <c r="L2359" t="s">
        <v>5325</v>
      </c>
      <c r="M2359" t="s">
        <v>15817</v>
      </c>
      <c r="N2359" t="s">
        <v>110</v>
      </c>
      <c r="O2359" t="s">
        <v>111</v>
      </c>
      <c r="P2359" t="str">
        <f>"85226-5323"</f>
        <v>85226-5323</v>
      </c>
      <c r="Q2359" t="s">
        <v>113</v>
      </c>
      <c r="R2359" t="str">
        <f>"308-09-132"</f>
        <v>308-09-132</v>
      </c>
      <c r="S2359" t="s">
        <v>15818</v>
      </c>
      <c r="T2359" t="s">
        <v>15819</v>
      </c>
      <c r="U2359">
        <v>2357</v>
      </c>
      <c r="V2359">
        <v>0</v>
      </c>
      <c r="W2359">
        <v>4</v>
      </c>
      <c r="X2359">
        <v>1993</v>
      </c>
      <c r="Z2359">
        <v>2</v>
      </c>
      <c r="AA2359" t="s">
        <v>26</v>
      </c>
      <c r="AB2359">
        <v>0</v>
      </c>
      <c r="AC2359" t="s">
        <v>115</v>
      </c>
      <c r="AD2359">
        <v>3</v>
      </c>
      <c r="AE2359" t="s">
        <v>115</v>
      </c>
      <c r="AF2359">
        <v>0</v>
      </c>
      <c r="AG2359">
        <v>0</v>
      </c>
      <c r="AH2359" t="s">
        <v>116</v>
      </c>
      <c r="AI2359" s="1">
        <v>101037</v>
      </c>
      <c r="AJ2359" s="2">
        <v>0.25</v>
      </c>
      <c r="AK2359" s="1">
        <v>399315</v>
      </c>
      <c r="AL2359" t="s">
        <v>117</v>
      </c>
      <c r="AM2359" t="s">
        <v>118</v>
      </c>
      <c r="AN2359">
        <v>8603</v>
      </c>
      <c r="AO2359">
        <v>0.2</v>
      </c>
      <c r="AP2359">
        <v>1</v>
      </c>
      <c r="AR2359">
        <v>1</v>
      </c>
      <c r="AS2359" s="1">
        <v>30230</v>
      </c>
      <c r="AT2359" s="1">
        <v>6040</v>
      </c>
      <c r="AU2359" s="1">
        <v>24190</v>
      </c>
      <c r="AV2359">
        <v>80.02</v>
      </c>
      <c r="AX2359" s="1">
        <v>2377.1799999999998</v>
      </c>
      <c r="AY2359" t="s">
        <v>5200</v>
      </c>
      <c r="AZ2359" t="s">
        <v>5201</v>
      </c>
      <c r="BA2359" t="s">
        <v>5202</v>
      </c>
      <c r="BE2359" s="3">
        <v>42174</v>
      </c>
      <c r="BF2359" s="1">
        <v>292000</v>
      </c>
      <c r="BG2359" t="s">
        <v>15820</v>
      </c>
      <c r="BH2359" s="1">
        <v>123.89</v>
      </c>
      <c r="BI2359" s="1">
        <v>298278</v>
      </c>
      <c r="BJ2359" s="3">
        <v>42174</v>
      </c>
      <c r="BK2359" t="s">
        <v>123</v>
      </c>
      <c r="BL2359" t="str">
        <f>"2015.438046"</f>
        <v>2015.438046</v>
      </c>
      <c r="BM2359" t="s">
        <v>1287</v>
      </c>
      <c r="BO2359" t="s">
        <v>15821</v>
      </c>
      <c r="BS2359">
        <v>30</v>
      </c>
      <c r="BW2359" t="str">
        <f>""</f>
        <v/>
      </c>
      <c r="CH2359" t="str">
        <f>""</f>
        <v/>
      </c>
      <c r="CS2359" t="str">
        <f>""</f>
        <v/>
      </c>
    </row>
    <row r="2360" spans="1:97" x14ac:dyDescent="0.25">
      <c r="A2360" t="s">
        <v>3089</v>
      </c>
      <c r="B2360" t="s">
        <v>15822</v>
      </c>
      <c r="C2360" t="s">
        <v>3831</v>
      </c>
      <c r="D2360" t="s">
        <v>15822</v>
      </c>
      <c r="E2360" t="s">
        <v>15823</v>
      </c>
      <c r="F2360" t="s">
        <v>108</v>
      </c>
      <c r="H2360" t="s">
        <v>15824</v>
      </c>
      <c r="I2360" t="s">
        <v>225</v>
      </c>
      <c r="J2360" t="s">
        <v>111</v>
      </c>
      <c r="K2360" t="str">
        <f>"85212"</f>
        <v>85212</v>
      </c>
      <c r="L2360" t="s">
        <v>8808</v>
      </c>
      <c r="M2360" t="s">
        <v>15824</v>
      </c>
      <c r="N2360" t="s">
        <v>225</v>
      </c>
      <c r="O2360" t="s">
        <v>111</v>
      </c>
      <c r="P2360" t="str">
        <f>"85212-5199"</f>
        <v>85212-5199</v>
      </c>
      <c r="Q2360" t="s">
        <v>113</v>
      </c>
      <c r="R2360" t="str">
        <f>"312-05-821"</f>
        <v>312-05-821</v>
      </c>
      <c r="S2360" t="s">
        <v>15825</v>
      </c>
      <c r="T2360" t="s">
        <v>8810</v>
      </c>
      <c r="U2360">
        <v>1769</v>
      </c>
      <c r="V2360">
        <v>0</v>
      </c>
      <c r="W2360">
        <v>3</v>
      </c>
      <c r="X2360">
        <v>2007</v>
      </c>
      <c r="Z2360">
        <v>1</v>
      </c>
      <c r="AB2360">
        <v>0</v>
      </c>
      <c r="AC2360" t="s">
        <v>115</v>
      </c>
      <c r="AD2360">
        <v>2</v>
      </c>
      <c r="AE2360" t="s">
        <v>115</v>
      </c>
      <c r="AF2360">
        <v>0</v>
      </c>
      <c r="AG2360">
        <v>0</v>
      </c>
      <c r="AH2360" t="s">
        <v>116</v>
      </c>
      <c r="AI2360" s="1">
        <v>83132</v>
      </c>
      <c r="AJ2360" s="2">
        <v>0.28000000000000003</v>
      </c>
      <c r="AK2360" s="1">
        <v>297132</v>
      </c>
      <c r="AL2360" t="s">
        <v>117</v>
      </c>
      <c r="AM2360" t="s">
        <v>191</v>
      </c>
      <c r="AN2360">
        <v>5500</v>
      </c>
      <c r="AO2360">
        <v>0.13</v>
      </c>
      <c r="AR2360">
        <v>1</v>
      </c>
      <c r="AS2360" s="1">
        <v>20030</v>
      </c>
      <c r="AT2360" s="1">
        <v>4000</v>
      </c>
      <c r="AU2360" s="1">
        <v>16030</v>
      </c>
      <c r="AV2360">
        <v>80.03</v>
      </c>
      <c r="AX2360" s="1">
        <v>1736.1</v>
      </c>
      <c r="AY2360" t="s">
        <v>560</v>
      </c>
      <c r="AZ2360" t="s">
        <v>561</v>
      </c>
      <c r="BA2360" t="s">
        <v>194</v>
      </c>
      <c r="BE2360" s="3">
        <v>42109</v>
      </c>
      <c r="BF2360" s="1">
        <v>214000</v>
      </c>
      <c r="BG2360" t="s">
        <v>15826</v>
      </c>
      <c r="BH2360" s="1">
        <v>120.97</v>
      </c>
      <c r="BI2360" s="1">
        <v>214000</v>
      </c>
      <c r="BJ2360" s="3">
        <v>42109</v>
      </c>
      <c r="BK2360" t="s">
        <v>123</v>
      </c>
      <c r="BL2360" t="str">
        <f>"2015.255707"</f>
        <v>2015.255707</v>
      </c>
      <c r="BM2360" t="s">
        <v>124</v>
      </c>
      <c r="BO2360" t="s">
        <v>15827</v>
      </c>
      <c r="BS2360">
        <v>30</v>
      </c>
      <c r="BW2360" t="str">
        <f>""</f>
        <v/>
      </c>
      <c r="CH2360" t="str">
        <f>""</f>
        <v/>
      </c>
      <c r="CS2360" t="str">
        <f>""</f>
        <v/>
      </c>
    </row>
    <row r="2361" spans="1:97" x14ac:dyDescent="0.25">
      <c r="A2361" t="s">
        <v>2045</v>
      </c>
      <c r="B2361" t="s">
        <v>15828</v>
      </c>
      <c r="C2361" t="s">
        <v>15829</v>
      </c>
      <c r="D2361" t="s">
        <v>15828</v>
      </c>
      <c r="E2361" t="s">
        <v>15830</v>
      </c>
      <c r="F2361" t="s">
        <v>108</v>
      </c>
      <c r="H2361" t="s">
        <v>15831</v>
      </c>
      <c r="I2361" t="s">
        <v>144</v>
      </c>
      <c r="J2361" t="s">
        <v>111</v>
      </c>
      <c r="K2361" t="str">
        <f>"85396"</f>
        <v>85396</v>
      </c>
      <c r="L2361" t="s">
        <v>1789</v>
      </c>
      <c r="M2361" t="s">
        <v>15831</v>
      </c>
      <c r="N2361" t="s">
        <v>144</v>
      </c>
      <c r="O2361" t="s">
        <v>111</v>
      </c>
      <c r="P2361" t="str">
        <f>"85396-3562"</f>
        <v>85396-3562</v>
      </c>
      <c r="Q2361" t="s">
        <v>113</v>
      </c>
      <c r="R2361" t="str">
        <f>"502-77-050"</f>
        <v>502-77-050</v>
      </c>
      <c r="S2361" t="s">
        <v>13351</v>
      </c>
      <c r="U2361">
        <v>3868</v>
      </c>
      <c r="V2361">
        <v>0</v>
      </c>
      <c r="W2361">
        <v>4</v>
      </c>
      <c r="X2361">
        <v>2005</v>
      </c>
      <c r="Z2361">
        <v>2</v>
      </c>
      <c r="AA2361" t="s">
        <v>26</v>
      </c>
      <c r="AB2361">
        <v>0</v>
      </c>
      <c r="AC2361" t="s">
        <v>115</v>
      </c>
      <c r="AD2361">
        <v>3</v>
      </c>
      <c r="AE2361" t="s">
        <v>115</v>
      </c>
      <c r="AF2361">
        <v>0</v>
      </c>
      <c r="AG2361">
        <v>0</v>
      </c>
      <c r="AH2361" t="s">
        <v>116</v>
      </c>
      <c r="AI2361" s="1">
        <v>61138</v>
      </c>
      <c r="AJ2361" s="2">
        <v>0.12</v>
      </c>
      <c r="AK2361" s="1">
        <v>507650</v>
      </c>
      <c r="AL2361" t="s">
        <v>117</v>
      </c>
      <c r="AM2361" t="s">
        <v>118</v>
      </c>
      <c r="AN2361">
        <v>16840</v>
      </c>
      <c r="AO2361">
        <v>0.39</v>
      </c>
      <c r="AR2361">
        <v>1</v>
      </c>
      <c r="AS2361" s="1">
        <v>38320</v>
      </c>
      <c r="AT2361" s="1">
        <v>7660</v>
      </c>
      <c r="AU2361" s="1">
        <v>30660</v>
      </c>
      <c r="AV2361">
        <v>80.010000000000005</v>
      </c>
      <c r="AX2361" s="1">
        <v>4911.42</v>
      </c>
      <c r="AY2361" t="s">
        <v>543</v>
      </c>
      <c r="AZ2361" t="s">
        <v>504</v>
      </c>
      <c r="BA2361" t="s">
        <v>218</v>
      </c>
      <c r="BE2361" s="3">
        <v>41976</v>
      </c>
      <c r="BF2361" s="1">
        <v>490000</v>
      </c>
      <c r="BG2361" t="s">
        <v>15832</v>
      </c>
      <c r="BH2361" s="1">
        <v>126.68</v>
      </c>
      <c r="BI2361" s="1">
        <v>446512</v>
      </c>
      <c r="BJ2361" s="3">
        <v>41976</v>
      </c>
      <c r="BK2361" t="s">
        <v>123</v>
      </c>
      <c r="BL2361" t="str">
        <f>"2014.796236"</f>
        <v>2014.796236</v>
      </c>
      <c r="BM2361" t="s">
        <v>475</v>
      </c>
      <c r="BO2361" t="s">
        <v>15833</v>
      </c>
      <c r="BS2361">
        <v>30</v>
      </c>
      <c r="BW2361" t="str">
        <f>""</f>
        <v/>
      </c>
      <c r="CH2361" t="str">
        <f>""</f>
        <v/>
      </c>
      <c r="CS2361" t="str">
        <f>""</f>
        <v/>
      </c>
    </row>
    <row r="2362" spans="1:97" x14ac:dyDescent="0.25">
      <c r="A2362" t="s">
        <v>177</v>
      </c>
      <c r="B2362" t="s">
        <v>10074</v>
      </c>
      <c r="E2362" t="s">
        <v>15834</v>
      </c>
      <c r="F2362" t="s">
        <v>108</v>
      </c>
      <c r="H2362" t="s">
        <v>15835</v>
      </c>
      <c r="I2362" t="s">
        <v>203</v>
      </c>
      <c r="J2362" t="s">
        <v>111</v>
      </c>
      <c r="K2362" t="str">
        <f>"85297"</f>
        <v>85297</v>
      </c>
      <c r="L2362" t="s">
        <v>3696</v>
      </c>
      <c r="M2362" t="s">
        <v>15835</v>
      </c>
      <c r="N2362" t="s">
        <v>203</v>
      </c>
      <c r="O2362" t="s">
        <v>111</v>
      </c>
      <c r="P2362" t="str">
        <f>"85297-7409"</f>
        <v>85297-7409</v>
      </c>
      <c r="Q2362" t="s">
        <v>113</v>
      </c>
      <c r="R2362" t="str">
        <f>"309-24-718"</f>
        <v>309-24-718</v>
      </c>
      <c r="S2362" t="s">
        <v>15836</v>
      </c>
      <c r="U2362">
        <v>3094</v>
      </c>
      <c r="V2362">
        <v>0</v>
      </c>
      <c r="W2362">
        <v>3</v>
      </c>
      <c r="X2362">
        <v>2003</v>
      </c>
      <c r="Z2362">
        <v>2</v>
      </c>
      <c r="AB2362">
        <v>0</v>
      </c>
      <c r="AC2362" t="s">
        <v>115</v>
      </c>
      <c r="AD2362">
        <v>2</v>
      </c>
      <c r="AE2362" t="s">
        <v>115</v>
      </c>
      <c r="AF2362">
        <v>0</v>
      </c>
      <c r="AG2362">
        <v>0</v>
      </c>
      <c r="AH2362" t="s">
        <v>116</v>
      </c>
      <c r="AI2362" s="1">
        <v>87415</v>
      </c>
      <c r="AJ2362" s="2">
        <v>0.23</v>
      </c>
      <c r="AK2362" s="1">
        <v>377165</v>
      </c>
      <c r="AL2362" t="s">
        <v>117</v>
      </c>
      <c r="AM2362" t="s">
        <v>393</v>
      </c>
      <c r="AN2362">
        <v>7150</v>
      </c>
      <c r="AO2362">
        <v>0.16</v>
      </c>
      <c r="AP2362">
        <v>1</v>
      </c>
      <c r="AR2362">
        <v>1</v>
      </c>
      <c r="AS2362" s="1">
        <v>26170</v>
      </c>
      <c r="AT2362" s="1">
        <v>5230</v>
      </c>
      <c r="AU2362" s="1">
        <v>20940</v>
      </c>
      <c r="AV2362">
        <v>80.02</v>
      </c>
      <c r="AX2362" s="1">
        <v>2270.6999999999998</v>
      </c>
      <c r="AY2362" t="s">
        <v>394</v>
      </c>
      <c r="AZ2362" t="s">
        <v>394</v>
      </c>
      <c r="BA2362" t="s">
        <v>290</v>
      </c>
      <c r="BE2362" s="3">
        <v>41736</v>
      </c>
      <c r="BF2362" s="1">
        <v>295000</v>
      </c>
      <c r="BG2362" t="s">
        <v>15837</v>
      </c>
      <c r="BH2362" s="1">
        <v>95.35</v>
      </c>
      <c r="BI2362" s="1">
        <v>289750</v>
      </c>
      <c r="BJ2362" s="3">
        <v>42388</v>
      </c>
      <c r="BK2362" t="s">
        <v>123</v>
      </c>
      <c r="BL2362" t="str">
        <f>"2016.32934"</f>
        <v>2016.32934</v>
      </c>
      <c r="BM2362" t="s">
        <v>124</v>
      </c>
      <c r="BO2362" t="s">
        <v>15838</v>
      </c>
      <c r="BS2362">
        <v>30</v>
      </c>
      <c r="BW2362" t="str">
        <f>""</f>
        <v/>
      </c>
      <c r="CH2362" t="str">
        <f>""</f>
        <v/>
      </c>
      <c r="CS2362" t="str">
        <f>""</f>
        <v/>
      </c>
    </row>
    <row r="2363" spans="1:97" x14ac:dyDescent="0.25">
      <c r="A2363" t="s">
        <v>177</v>
      </c>
      <c r="B2363" t="s">
        <v>6643</v>
      </c>
      <c r="C2363" t="s">
        <v>1540</v>
      </c>
      <c r="D2363" t="s">
        <v>163</v>
      </c>
      <c r="E2363" t="s">
        <v>15839</v>
      </c>
      <c r="F2363" t="s">
        <v>108</v>
      </c>
      <c r="H2363" t="s">
        <v>15840</v>
      </c>
      <c r="I2363" t="s">
        <v>499</v>
      </c>
      <c r="J2363" t="s">
        <v>111</v>
      </c>
      <c r="K2363" t="str">
        <f>"85395"</f>
        <v>85395</v>
      </c>
      <c r="L2363" t="s">
        <v>541</v>
      </c>
      <c r="M2363" t="s">
        <v>15840</v>
      </c>
      <c r="N2363" t="s">
        <v>499</v>
      </c>
      <c r="O2363" t="s">
        <v>111</v>
      </c>
      <c r="P2363" t="str">
        <f>"85395-7637"</f>
        <v>85395-7637</v>
      </c>
      <c r="Q2363" t="s">
        <v>113</v>
      </c>
      <c r="R2363" t="str">
        <f>"508-11-496"</f>
        <v>508-11-496</v>
      </c>
      <c r="S2363" t="s">
        <v>5752</v>
      </c>
      <c r="T2363" t="s">
        <v>5753</v>
      </c>
      <c r="U2363">
        <v>3758</v>
      </c>
      <c r="V2363">
        <v>0</v>
      </c>
      <c r="W2363">
        <v>5</v>
      </c>
      <c r="X2363">
        <v>2014</v>
      </c>
      <c r="Z2363">
        <v>1</v>
      </c>
      <c r="AA2363" t="s">
        <v>26</v>
      </c>
      <c r="AB2363">
        <v>0</v>
      </c>
      <c r="AC2363" t="s">
        <v>115</v>
      </c>
      <c r="AD2363">
        <v>3</v>
      </c>
      <c r="AE2363" t="s">
        <v>115</v>
      </c>
      <c r="AF2363">
        <v>0</v>
      </c>
      <c r="AG2363">
        <v>0</v>
      </c>
      <c r="AH2363" t="s">
        <v>116</v>
      </c>
      <c r="AI2363" s="1">
        <v>169800</v>
      </c>
      <c r="AJ2363" s="2">
        <v>0.31</v>
      </c>
      <c r="AK2363" s="1">
        <v>554887</v>
      </c>
      <c r="AL2363" t="s">
        <v>117</v>
      </c>
      <c r="AM2363" t="s">
        <v>118</v>
      </c>
      <c r="AN2363">
        <v>16339</v>
      </c>
      <c r="AO2363">
        <v>0.38</v>
      </c>
      <c r="AR2363">
        <v>1</v>
      </c>
      <c r="AS2363" s="1">
        <v>43580</v>
      </c>
      <c r="AT2363" s="1">
        <v>8710</v>
      </c>
      <c r="AU2363" s="1">
        <v>34870</v>
      </c>
      <c r="AV2363">
        <v>80.010000000000005</v>
      </c>
      <c r="AX2363" s="1">
        <v>4564.72</v>
      </c>
      <c r="AY2363" t="s">
        <v>3019</v>
      </c>
      <c r="AZ2363" t="s">
        <v>3020</v>
      </c>
      <c r="BA2363" t="s">
        <v>218</v>
      </c>
      <c r="BE2363" s="3">
        <v>41683</v>
      </c>
      <c r="BF2363" s="1">
        <v>443234</v>
      </c>
      <c r="BG2363" t="s">
        <v>562</v>
      </c>
      <c r="BH2363" s="1">
        <v>117.94</v>
      </c>
      <c r="BI2363" s="1">
        <v>385087</v>
      </c>
      <c r="BJ2363" s="3">
        <v>42506</v>
      </c>
      <c r="BK2363" t="s">
        <v>123</v>
      </c>
      <c r="BL2363" t="str">
        <f>"2016.334233"</f>
        <v>2016.334233</v>
      </c>
      <c r="BM2363" t="s">
        <v>843</v>
      </c>
      <c r="BO2363" t="s">
        <v>15841</v>
      </c>
      <c r="BP2363" t="s">
        <v>15842</v>
      </c>
      <c r="BS2363">
        <v>30</v>
      </c>
      <c r="BW2363" t="str">
        <f>""</f>
        <v/>
      </c>
      <c r="CH2363" t="str">
        <f>""</f>
        <v/>
      </c>
      <c r="CS2363" t="str">
        <f>""</f>
        <v/>
      </c>
    </row>
    <row r="2364" spans="1:97" x14ac:dyDescent="0.25">
      <c r="A2364" t="s">
        <v>1109</v>
      </c>
      <c r="B2364" t="s">
        <v>15843</v>
      </c>
      <c r="C2364" t="s">
        <v>15844</v>
      </c>
      <c r="D2364" t="s">
        <v>15843</v>
      </c>
      <c r="E2364" t="s">
        <v>15845</v>
      </c>
      <c r="F2364" t="s">
        <v>108</v>
      </c>
      <c r="H2364" t="s">
        <v>15846</v>
      </c>
      <c r="I2364" t="s">
        <v>632</v>
      </c>
      <c r="J2364" t="s">
        <v>111</v>
      </c>
      <c r="K2364" t="str">
        <f>"85388"</f>
        <v>85388</v>
      </c>
      <c r="L2364" t="s">
        <v>5727</v>
      </c>
      <c r="M2364" t="s">
        <v>15846</v>
      </c>
      <c r="N2364" t="s">
        <v>632</v>
      </c>
      <c r="O2364" t="s">
        <v>111</v>
      </c>
      <c r="P2364" t="str">
        <f>"85388-5652"</f>
        <v>85388-5652</v>
      </c>
      <c r="Q2364" t="s">
        <v>113</v>
      </c>
      <c r="R2364" t="str">
        <f>"502-06-316"</f>
        <v>502-06-316</v>
      </c>
      <c r="S2364" t="s">
        <v>5728</v>
      </c>
      <c r="T2364" t="s">
        <v>5167</v>
      </c>
      <c r="U2364">
        <v>2302</v>
      </c>
      <c r="V2364">
        <v>0</v>
      </c>
      <c r="W2364">
        <v>3</v>
      </c>
      <c r="X2364">
        <v>2014</v>
      </c>
      <c r="Z2364">
        <v>1</v>
      </c>
      <c r="AB2364">
        <v>0</v>
      </c>
      <c r="AC2364" t="s">
        <v>115</v>
      </c>
      <c r="AD2364">
        <v>4</v>
      </c>
      <c r="AE2364" t="s">
        <v>115</v>
      </c>
      <c r="AF2364">
        <v>0</v>
      </c>
      <c r="AG2364">
        <v>0</v>
      </c>
      <c r="AH2364" t="s">
        <v>116</v>
      </c>
      <c r="AI2364" s="1">
        <v>54633</v>
      </c>
      <c r="AJ2364" s="2">
        <v>0.15</v>
      </c>
      <c r="AK2364" s="1">
        <v>370820</v>
      </c>
      <c r="AL2364" t="s">
        <v>117</v>
      </c>
      <c r="AM2364" t="s">
        <v>118</v>
      </c>
      <c r="AN2364">
        <v>9731</v>
      </c>
      <c r="AO2364">
        <v>0.22</v>
      </c>
      <c r="AR2364">
        <v>1</v>
      </c>
      <c r="AS2364" s="1">
        <v>27630</v>
      </c>
      <c r="AT2364" s="1">
        <v>5520</v>
      </c>
      <c r="AU2364" s="1">
        <v>22110</v>
      </c>
      <c r="AV2364">
        <v>80.02</v>
      </c>
      <c r="AX2364" s="1">
        <v>1981.88</v>
      </c>
      <c r="AY2364" t="s">
        <v>5168</v>
      </c>
      <c r="AZ2364" t="s">
        <v>5168</v>
      </c>
      <c r="BA2364" t="s">
        <v>5061</v>
      </c>
      <c r="BE2364" s="3">
        <v>42019</v>
      </c>
      <c r="BF2364" s="1">
        <v>306087</v>
      </c>
      <c r="BG2364" t="s">
        <v>3524</v>
      </c>
      <c r="BH2364" s="1">
        <v>132.97</v>
      </c>
      <c r="BI2364" s="1">
        <v>316187</v>
      </c>
      <c r="BJ2364" s="3">
        <v>42019</v>
      </c>
      <c r="BK2364" t="s">
        <v>123</v>
      </c>
      <c r="BL2364" t="str">
        <f>"2015.29463"</f>
        <v>2015.29463</v>
      </c>
      <c r="BM2364" t="s">
        <v>3453</v>
      </c>
      <c r="BO2364" t="s">
        <v>15847</v>
      </c>
      <c r="BS2364">
        <v>30</v>
      </c>
      <c r="BW2364" t="str">
        <f>""</f>
        <v/>
      </c>
      <c r="CH2364" t="str">
        <f>""</f>
        <v/>
      </c>
      <c r="CS2364" t="str">
        <f>""</f>
        <v/>
      </c>
    </row>
    <row r="2365" spans="1:97" x14ac:dyDescent="0.25">
      <c r="A2365" t="s">
        <v>1755</v>
      </c>
      <c r="B2365" t="s">
        <v>5236</v>
      </c>
      <c r="C2365" t="s">
        <v>4386</v>
      </c>
      <c r="D2365" t="s">
        <v>5236</v>
      </c>
      <c r="E2365" t="s">
        <v>15848</v>
      </c>
      <c r="F2365" t="s">
        <v>108</v>
      </c>
      <c r="H2365" t="s">
        <v>15849</v>
      </c>
      <c r="I2365" t="s">
        <v>188</v>
      </c>
      <c r="J2365" t="s">
        <v>111</v>
      </c>
      <c r="K2365" t="str">
        <f>"85142"</f>
        <v>85142</v>
      </c>
      <c r="L2365" t="s">
        <v>5291</v>
      </c>
      <c r="M2365" t="s">
        <v>15849</v>
      </c>
      <c r="N2365" t="s">
        <v>188</v>
      </c>
      <c r="O2365" t="s">
        <v>111</v>
      </c>
      <c r="P2365" t="str">
        <f>"85142-4900"</f>
        <v>85142-4900</v>
      </c>
      <c r="Q2365" t="s">
        <v>113</v>
      </c>
      <c r="R2365" t="str">
        <f>"314-04-313"</f>
        <v>314-04-313</v>
      </c>
      <c r="S2365" t="s">
        <v>15462</v>
      </c>
      <c r="U2365">
        <v>2307</v>
      </c>
      <c r="V2365">
        <v>0</v>
      </c>
      <c r="W2365">
        <v>4</v>
      </c>
      <c r="X2365">
        <v>2007</v>
      </c>
      <c r="Z2365">
        <v>2</v>
      </c>
      <c r="AA2365" t="s">
        <v>26</v>
      </c>
      <c r="AB2365">
        <v>0</v>
      </c>
      <c r="AC2365" t="s">
        <v>115</v>
      </c>
      <c r="AD2365">
        <v>2</v>
      </c>
      <c r="AE2365" t="s">
        <v>115</v>
      </c>
      <c r="AF2365">
        <v>0</v>
      </c>
      <c r="AG2365">
        <v>0</v>
      </c>
      <c r="AH2365" t="s">
        <v>116</v>
      </c>
      <c r="AI2365" s="1">
        <v>77055</v>
      </c>
      <c r="AJ2365" s="2">
        <v>0.22</v>
      </c>
      <c r="AK2365" s="1">
        <v>342645</v>
      </c>
      <c r="AL2365" t="s">
        <v>117</v>
      </c>
      <c r="AM2365" t="s">
        <v>191</v>
      </c>
      <c r="AN2365">
        <v>6900</v>
      </c>
      <c r="AO2365">
        <v>0.16</v>
      </c>
      <c r="AR2365">
        <v>1</v>
      </c>
      <c r="AS2365" s="1">
        <v>23530</v>
      </c>
      <c r="AT2365" s="1">
        <v>4700</v>
      </c>
      <c r="AU2365" s="1">
        <v>18830</v>
      </c>
      <c r="AV2365">
        <v>80.03</v>
      </c>
      <c r="AX2365" s="1">
        <v>2470.48</v>
      </c>
      <c r="AY2365" t="s">
        <v>192</v>
      </c>
      <c r="AZ2365" t="s">
        <v>193</v>
      </c>
      <c r="BA2365" t="s">
        <v>194</v>
      </c>
      <c r="BE2365" s="3">
        <v>42214</v>
      </c>
      <c r="BF2365" s="1">
        <v>260000</v>
      </c>
      <c r="BG2365" t="s">
        <v>15850</v>
      </c>
      <c r="BH2365" s="1">
        <v>112.7</v>
      </c>
      <c r="BI2365" s="1">
        <v>265590</v>
      </c>
      <c r="BJ2365" s="3">
        <v>42214</v>
      </c>
      <c r="BK2365" t="s">
        <v>123</v>
      </c>
      <c r="BL2365" t="str">
        <f>"2015.547895"</f>
        <v>2015.547895</v>
      </c>
      <c r="BM2365" t="s">
        <v>135</v>
      </c>
      <c r="BO2365" t="s">
        <v>15851</v>
      </c>
      <c r="BS2365">
        <v>30</v>
      </c>
      <c r="BW2365" t="str">
        <f>""</f>
        <v/>
      </c>
      <c r="CH2365" t="str">
        <f>""</f>
        <v/>
      </c>
      <c r="CS2365" t="str">
        <f>""</f>
        <v/>
      </c>
    </row>
    <row r="2366" spans="1:97" x14ac:dyDescent="0.25">
      <c r="B2366" t="s">
        <v>15852</v>
      </c>
      <c r="E2366" t="s">
        <v>15853</v>
      </c>
      <c r="F2366" t="s">
        <v>108</v>
      </c>
      <c r="H2366" t="s">
        <v>15854</v>
      </c>
      <c r="I2366" t="s">
        <v>499</v>
      </c>
      <c r="J2366" t="s">
        <v>111</v>
      </c>
      <c r="K2366" t="str">
        <f>"85338"</f>
        <v>85338</v>
      </c>
      <c r="L2366" t="s">
        <v>5291</v>
      </c>
      <c r="M2366" t="s">
        <v>15854</v>
      </c>
      <c r="N2366" t="s">
        <v>499</v>
      </c>
      <c r="O2366" t="s">
        <v>111</v>
      </c>
      <c r="P2366" t="str">
        <f>"85338-5223"</f>
        <v>85338-5223</v>
      </c>
      <c r="Q2366" t="s">
        <v>113</v>
      </c>
      <c r="R2366" t="str">
        <f>"400-03-216"</f>
        <v>400-03-216</v>
      </c>
      <c r="S2366" t="s">
        <v>15855</v>
      </c>
      <c r="U2366">
        <v>2615</v>
      </c>
      <c r="V2366">
        <v>0</v>
      </c>
      <c r="W2366">
        <v>3</v>
      </c>
      <c r="X2366">
        <v>1990</v>
      </c>
      <c r="Z2366">
        <v>1</v>
      </c>
      <c r="AA2366" t="s">
        <v>26</v>
      </c>
      <c r="AB2366">
        <v>0</v>
      </c>
      <c r="AC2366" t="s">
        <v>115</v>
      </c>
      <c r="AD2366">
        <v>3</v>
      </c>
      <c r="AE2366" t="s">
        <v>115</v>
      </c>
      <c r="AF2366">
        <v>0</v>
      </c>
      <c r="AG2366">
        <v>0</v>
      </c>
      <c r="AH2366" t="s">
        <v>116</v>
      </c>
      <c r="AI2366" s="1">
        <v>119766</v>
      </c>
      <c r="AJ2366" s="2">
        <v>0.32</v>
      </c>
      <c r="AK2366" s="1">
        <v>373466</v>
      </c>
      <c r="AL2366" t="s">
        <v>117</v>
      </c>
      <c r="AM2366" t="s">
        <v>118</v>
      </c>
      <c r="AN2366">
        <v>11667</v>
      </c>
      <c r="AO2366">
        <v>0.27</v>
      </c>
      <c r="AP2366">
        <v>1</v>
      </c>
      <c r="AR2366">
        <v>1</v>
      </c>
      <c r="AS2366" s="1">
        <v>26600</v>
      </c>
      <c r="AT2366" s="1">
        <v>5320</v>
      </c>
      <c r="AU2366" s="1">
        <v>21280</v>
      </c>
      <c r="AV2366">
        <v>80</v>
      </c>
      <c r="AX2366" s="1">
        <v>2395.8000000000002</v>
      </c>
      <c r="AY2366" t="s">
        <v>4236</v>
      </c>
      <c r="AZ2366" t="s">
        <v>4236</v>
      </c>
      <c r="BA2366" t="s">
        <v>1247</v>
      </c>
      <c r="BB2366" s="3">
        <v>42712</v>
      </c>
      <c r="BD2366" t="s">
        <v>240</v>
      </c>
      <c r="BE2366" s="3">
        <v>41667</v>
      </c>
      <c r="BF2366" s="1">
        <v>275000</v>
      </c>
      <c r="BG2366" t="s">
        <v>15856</v>
      </c>
      <c r="BH2366" s="1">
        <v>105.16</v>
      </c>
      <c r="BI2366" s="1">
        <v>253700</v>
      </c>
      <c r="BJ2366" s="3">
        <v>42683</v>
      </c>
      <c r="BK2366" t="s">
        <v>123</v>
      </c>
      <c r="BL2366" t="str">
        <f>"2016.828754"</f>
        <v>2016.828754</v>
      </c>
      <c r="BM2366" t="s">
        <v>255</v>
      </c>
      <c r="BO2366" t="s">
        <v>15857</v>
      </c>
      <c r="BS2366">
        <v>30</v>
      </c>
      <c r="BW2366" t="str">
        <f>""</f>
        <v/>
      </c>
      <c r="CH2366" t="str">
        <f>""</f>
        <v/>
      </c>
      <c r="CS2366" t="str">
        <f>""</f>
        <v/>
      </c>
    </row>
    <row r="2367" spans="1:97" x14ac:dyDescent="0.25">
      <c r="A2367" t="s">
        <v>15858</v>
      </c>
      <c r="B2367" t="s">
        <v>7797</v>
      </c>
      <c r="C2367" t="s">
        <v>3089</v>
      </c>
      <c r="D2367" t="s">
        <v>7797</v>
      </c>
      <c r="E2367" t="s">
        <v>15859</v>
      </c>
      <c r="F2367" t="s">
        <v>108</v>
      </c>
      <c r="H2367" t="s">
        <v>15860</v>
      </c>
      <c r="I2367" t="s">
        <v>374</v>
      </c>
      <c r="J2367" t="s">
        <v>111</v>
      </c>
      <c r="K2367" t="str">
        <f>"85087"</f>
        <v>85087</v>
      </c>
      <c r="L2367" t="s">
        <v>11846</v>
      </c>
      <c r="M2367" t="s">
        <v>15860</v>
      </c>
      <c r="N2367" t="s">
        <v>374</v>
      </c>
      <c r="O2367" t="s">
        <v>111</v>
      </c>
      <c r="P2367" t="str">
        <f>"85087-7569"</f>
        <v>85087-7569</v>
      </c>
      <c r="Q2367" t="s">
        <v>113</v>
      </c>
      <c r="R2367" t="str">
        <f>"202-20-097-H"</f>
        <v>202-20-097-H</v>
      </c>
      <c r="U2367">
        <v>2634</v>
      </c>
      <c r="V2367">
        <v>0</v>
      </c>
      <c r="W2367">
        <v>4</v>
      </c>
      <c r="X2367">
        <v>2006</v>
      </c>
      <c r="Z2367">
        <v>1</v>
      </c>
      <c r="AA2367" t="s">
        <v>26</v>
      </c>
      <c r="AB2367">
        <v>0</v>
      </c>
      <c r="AC2367" t="s">
        <v>115</v>
      </c>
      <c r="AD2367">
        <v>3</v>
      </c>
      <c r="AE2367" t="s">
        <v>115</v>
      </c>
      <c r="AF2367">
        <v>0</v>
      </c>
      <c r="AG2367">
        <v>0</v>
      </c>
      <c r="AH2367" t="s">
        <v>116</v>
      </c>
      <c r="AI2367" s="1">
        <v>50693</v>
      </c>
      <c r="AJ2367" s="2">
        <v>0.09</v>
      </c>
      <c r="AK2367" s="1">
        <v>554877</v>
      </c>
      <c r="AL2367" t="s">
        <v>117</v>
      </c>
      <c r="AM2367" t="s">
        <v>376</v>
      </c>
      <c r="AN2367">
        <v>50671</v>
      </c>
      <c r="AO2367">
        <v>1.1599999999999999</v>
      </c>
      <c r="AR2367">
        <v>1</v>
      </c>
      <c r="AS2367" s="1">
        <v>41420</v>
      </c>
      <c r="AT2367" s="1">
        <v>8280</v>
      </c>
      <c r="AU2367" s="1">
        <v>33140</v>
      </c>
      <c r="AV2367">
        <v>80.010000000000005</v>
      </c>
      <c r="AX2367" s="1">
        <v>3838.24</v>
      </c>
      <c r="AY2367" t="s">
        <v>665</v>
      </c>
      <c r="AZ2367" t="s">
        <v>665</v>
      </c>
      <c r="BA2367" t="s">
        <v>378</v>
      </c>
      <c r="BE2367" s="3">
        <v>42437</v>
      </c>
      <c r="BF2367" s="1">
        <v>449000</v>
      </c>
      <c r="BG2367" t="s">
        <v>15861</v>
      </c>
      <c r="BH2367" s="1">
        <v>170.46</v>
      </c>
      <c r="BI2367" s="1">
        <v>459184</v>
      </c>
      <c r="BJ2367" s="3">
        <v>42548</v>
      </c>
      <c r="BK2367" t="s">
        <v>123</v>
      </c>
      <c r="BL2367" t="str">
        <f>"2016.446749"</f>
        <v>2016.446749</v>
      </c>
      <c r="BM2367" t="s">
        <v>248</v>
      </c>
      <c r="BO2367" t="s">
        <v>15862</v>
      </c>
      <c r="BS2367">
        <v>30</v>
      </c>
      <c r="BT2367" s="1">
        <v>45000</v>
      </c>
      <c r="BU2367" s="3">
        <v>43004</v>
      </c>
      <c r="BW2367" t="str">
        <f>"2017.709304"</f>
        <v>2017.709304</v>
      </c>
      <c r="BX2367" t="s">
        <v>369</v>
      </c>
      <c r="BZ2367" t="s">
        <v>15863</v>
      </c>
      <c r="CA2367" t="s">
        <v>15864</v>
      </c>
      <c r="CD2367">
        <v>15</v>
      </c>
      <c r="CH2367" t="str">
        <f>""</f>
        <v/>
      </c>
      <c r="CS2367" t="str">
        <f>""</f>
        <v/>
      </c>
    </row>
    <row r="2368" spans="1:97" x14ac:dyDescent="0.25">
      <c r="A2368" t="s">
        <v>15865</v>
      </c>
      <c r="B2368" t="s">
        <v>2894</v>
      </c>
      <c r="C2368" t="s">
        <v>2628</v>
      </c>
      <c r="D2368" t="s">
        <v>2894</v>
      </c>
      <c r="E2368" t="s">
        <v>15866</v>
      </c>
      <c r="F2368" t="s">
        <v>108</v>
      </c>
      <c r="H2368" t="s">
        <v>15867</v>
      </c>
      <c r="I2368" t="s">
        <v>144</v>
      </c>
      <c r="J2368" t="s">
        <v>111</v>
      </c>
      <c r="K2368" t="str">
        <f>"85326"</f>
        <v>85326</v>
      </c>
      <c r="L2368" t="s">
        <v>3151</v>
      </c>
      <c r="M2368" t="s">
        <v>15867</v>
      </c>
      <c r="N2368" t="s">
        <v>144</v>
      </c>
      <c r="O2368" t="s">
        <v>111</v>
      </c>
      <c r="P2368" t="str">
        <f>"85326-9003"</f>
        <v>85326-9003</v>
      </c>
      <c r="Q2368" t="s">
        <v>113</v>
      </c>
      <c r="R2368" t="str">
        <f>"502-46-105-Q"</f>
        <v>502-46-105-Q</v>
      </c>
      <c r="U2368">
        <v>2891</v>
      </c>
      <c r="V2368">
        <v>0</v>
      </c>
      <c r="W2368">
        <v>4</v>
      </c>
      <c r="X2368">
        <v>2006</v>
      </c>
      <c r="Z2368">
        <v>1</v>
      </c>
      <c r="AA2368" t="s">
        <v>26</v>
      </c>
      <c r="AB2368">
        <v>0</v>
      </c>
      <c r="AC2368" t="s">
        <v>115</v>
      </c>
      <c r="AD2368">
        <v>3</v>
      </c>
      <c r="AE2368" t="s">
        <v>115</v>
      </c>
      <c r="AF2368">
        <v>0</v>
      </c>
      <c r="AG2368">
        <v>0</v>
      </c>
      <c r="AH2368" t="s">
        <v>116</v>
      </c>
      <c r="AI2368" s="1">
        <v>76574</v>
      </c>
      <c r="AJ2368" s="2">
        <v>0.15</v>
      </c>
      <c r="AK2368" s="1">
        <v>510641</v>
      </c>
      <c r="AL2368" t="s">
        <v>117</v>
      </c>
      <c r="AM2368" t="s">
        <v>376</v>
      </c>
      <c r="AN2368">
        <v>43560</v>
      </c>
      <c r="AO2368">
        <v>1</v>
      </c>
      <c r="AR2368">
        <v>1</v>
      </c>
      <c r="AS2368" s="1">
        <v>35570</v>
      </c>
      <c r="AT2368" s="1">
        <v>7110</v>
      </c>
      <c r="AU2368" s="1">
        <v>28460</v>
      </c>
      <c r="AV2368">
        <v>80.010000000000005</v>
      </c>
      <c r="AX2368" s="1">
        <v>3672.02</v>
      </c>
      <c r="AY2368" t="s">
        <v>2767</v>
      </c>
      <c r="AZ2368" t="s">
        <v>2767</v>
      </c>
      <c r="BA2368" t="s">
        <v>1247</v>
      </c>
      <c r="BE2368" s="3">
        <v>42475</v>
      </c>
      <c r="BF2368" s="1">
        <v>425000</v>
      </c>
      <c r="BG2368" t="s">
        <v>15868</v>
      </c>
      <c r="BH2368" s="1">
        <v>147.01</v>
      </c>
      <c r="BI2368" s="1">
        <v>434067</v>
      </c>
      <c r="BJ2368" s="3">
        <v>42871</v>
      </c>
      <c r="BK2368" t="s">
        <v>123</v>
      </c>
      <c r="BL2368" t="str">
        <f>"2017.352048"</f>
        <v>2017.352048</v>
      </c>
      <c r="BM2368" t="s">
        <v>425</v>
      </c>
      <c r="BO2368" t="s">
        <v>15869</v>
      </c>
      <c r="BS2368">
        <v>30</v>
      </c>
      <c r="BW2368" t="str">
        <f>""</f>
        <v/>
      </c>
      <c r="CH2368" t="str">
        <f>""</f>
        <v/>
      </c>
      <c r="CS2368" t="str">
        <f>""</f>
        <v/>
      </c>
    </row>
    <row r="2369" spans="1:97" x14ac:dyDescent="0.25">
      <c r="A2369" t="s">
        <v>639</v>
      </c>
      <c r="B2369" t="s">
        <v>153</v>
      </c>
      <c r="C2369" t="s">
        <v>1340</v>
      </c>
      <c r="D2369" t="s">
        <v>12634</v>
      </c>
      <c r="E2369" t="s">
        <v>15870</v>
      </c>
      <c r="F2369" t="s">
        <v>108</v>
      </c>
      <c r="H2369" t="s">
        <v>15871</v>
      </c>
      <c r="I2369" t="s">
        <v>453</v>
      </c>
      <c r="J2369" t="s">
        <v>111</v>
      </c>
      <c r="K2369" t="str">
        <f>"85383"</f>
        <v>85383</v>
      </c>
      <c r="L2369" t="s">
        <v>9060</v>
      </c>
      <c r="M2369" t="s">
        <v>15871</v>
      </c>
      <c r="N2369" t="s">
        <v>453</v>
      </c>
      <c r="O2369" t="s">
        <v>111</v>
      </c>
      <c r="P2369" t="str">
        <f>"85383-1170"</f>
        <v>85383-1170</v>
      </c>
      <c r="Q2369" t="s">
        <v>113</v>
      </c>
      <c r="R2369" t="str">
        <f>"201-06-030-D"</f>
        <v>201-06-030-D</v>
      </c>
      <c r="U2369">
        <v>2676</v>
      </c>
      <c r="V2369">
        <v>0</v>
      </c>
      <c r="W2369">
        <v>4</v>
      </c>
      <c r="X2369">
        <v>1999</v>
      </c>
      <c r="Z2369">
        <v>1</v>
      </c>
      <c r="AB2369">
        <v>0</v>
      </c>
      <c r="AC2369" t="s">
        <v>115</v>
      </c>
      <c r="AD2369">
        <v>4</v>
      </c>
      <c r="AE2369" t="s">
        <v>115</v>
      </c>
      <c r="AF2369">
        <v>0</v>
      </c>
      <c r="AG2369">
        <v>0</v>
      </c>
      <c r="AH2369" t="s">
        <v>116</v>
      </c>
      <c r="AI2369" s="1">
        <v>91355</v>
      </c>
      <c r="AJ2369" s="2">
        <v>0.17</v>
      </c>
      <c r="AK2369" s="1">
        <v>524440</v>
      </c>
      <c r="AL2369" t="s">
        <v>117</v>
      </c>
      <c r="AM2369" t="s">
        <v>376</v>
      </c>
      <c r="AN2369">
        <v>36687</v>
      </c>
      <c r="AO2369">
        <v>0.84</v>
      </c>
      <c r="AP2369">
        <v>1</v>
      </c>
      <c r="AR2369">
        <v>1</v>
      </c>
      <c r="AS2369" s="1">
        <v>39660</v>
      </c>
      <c r="AT2369" s="1">
        <v>7930</v>
      </c>
      <c r="AU2369" s="1">
        <v>31730</v>
      </c>
      <c r="AV2369">
        <v>80.010000000000005</v>
      </c>
      <c r="AX2369" s="1">
        <v>3604.16</v>
      </c>
      <c r="AY2369" t="s">
        <v>4218</v>
      </c>
      <c r="AZ2369" t="s">
        <v>4218</v>
      </c>
      <c r="BA2369" t="s">
        <v>4219</v>
      </c>
      <c r="BE2369" s="3">
        <v>41936</v>
      </c>
      <c r="BF2369" s="1">
        <v>420000</v>
      </c>
      <c r="BG2369" t="s">
        <v>15872</v>
      </c>
      <c r="BH2369" s="1">
        <v>156.94999999999999</v>
      </c>
      <c r="BI2369" s="1">
        <v>433085</v>
      </c>
      <c r="BJ2369" s="3">
        <v>41936</v>
      </c>
      <c r="BK2369" t="s">
        <v>123</v>
      </c>
      <c r="BL2369" t="str">
        <f>"2014.705533"</f>
        <v>2014.705533</v>
      </c>
      <c r="BM2369" t="s">
        <v>8340</v>
      </c>
      <c r="BO2369" t="s">
        <v>15873</v>
      </c>
      <c r="BP2369" t="s">
        <v>15874</v>
      </c>
      <c r="BS2369">
        <v>30</v>
      </c>
      <c r="BW2369" t="str">
        <f>""</f>
        <v/>
      </c>
      <c r="CH2369" t="str">
        <f>""</f>
        <v/>
      </c>
      <c r="CS2369" t="str">
        <f>""</f>
        <v/>
      </c>
    </row>
    <row r="2370" spans="1:97" x14ac:dyDescent="0.25">
      <c r="A2370" t="s">
        <v>15875</v>
      </c>
      <c r="B2370" t="s">
        <v>15876</v>
      </c>
      <c r="C2370" t="s">
        <v>15877</v>
      </c>
      <c r="D2370" t="s">
        <v>15876</v>
      </c>
      <c r="E2370" t="s">
        <v>15878</v>
      </c>
      <c r="F2370" t="s">
        <v>108</v>
      </c>
      <c r="H2370" t="s">
        <v>15879</v>
      </c>
      <c r="I2370" t="s">
        <v>453</v>
      </c>
      <c r="J2370" t="s">
        <v>111</v>
      </c>
      <c r="K2370" t="str">
        <f>"85383"</f>
        <v>85383</v>
      </c>
      <c r="L2370" t="s">
        <v>3318</v>
      </c>
      <c r="M2370" t="s">
        <v>15879</v>
      </c>
      <c r="N2370" t="s">
        <v>453</v>
      </c>
      <c r="O2370" t="s">
        <v>111</v>
      </c>
      <c r="P2370" t="str">
        <f>"85383-4839"</f>
        <v>85383-4839</v>
      </c>
      <c r="Q2370" t="s">
        <v>113</v>
      </c>
      <c r="R2370" t="str">
        <f>"201-37-311"</f>
        <v>201-37-311</v>
      </c>
      <c r="S2370" t="s">
        <v>15880</v>
      </c>
      <c r="U2370">
        <v>3153</v>
      </c>
      <c r="V2370">
        <v>0</v>
      </c>
      <c r="W2370">
        <v>4</v>
      </c>
      <c r="X2370">
        <v>2006</v>
      </c>
      <c r="Z2370">
        <v>1</v>
      </c>
      <c r="AB2370">
        <v>0</v>
      </c>
      <c r="AC2370" t="s">
        <v>115</v>
      </c>
      <c r="AD2370">
        <v>3</v>
      </c>
      <c r="AE2370" t="s">
        <v>115</v>
      </c>
      <c r="AF2370">
        <v>0</v>
      </c>
      <c r="AG2370">
        <v>0</v>
      </c>
      <c r="AH2370" t="s">
        <v>116</v>
      </c>
      <c r="AI2370" s="1">
        <v>302427</v>
      </c>
      <c r="AJ2370" s="2">
        <v>0.56000000000000005</v>
      </c>
      <c r="AK2370" s="1">
        <v>543627</v>
      </c>
      <c r="AL2370" t="s">
        <v>117</v>
      </c>
      <c r="AM2370" t="s">
        <v>118</v>
      </c>
      <c r="AN2370">
        <v>11286</v>
      </c>
      <c r="AO2370">
        <v>0.26</v>
      </c>
      <c r="AR2370">
        <v>1</v>
      </c>
      <c r="AS2370" s="1">
        <v>43510</v>
      </c>
      <c r="AT2370" s="1">
        <v>8700</v>
      </c>
      <c r="AU2370" s="1">
        <v>34810</v>
      </c>
      <c r="AV2370">
        <v>80</v>
      </c>
      <c r="AX2370" s="1">
        <v>4131.26</v>
      </c>
      <c r="AY2370" t="s">
        <v>8323</v>
      </c>
      <c r="AZ2370" t="s">
        <v>8323</v>
      </c>
      <c r="BA2370" t="s">
        <v>1386</v>
      </c>
      <c r="BE2370" s="3">
        <v>42103</v>
      </c>
      <c r="BF2370" s="1">
        <v>435000</v>
      </c>
      <c r="BG2370" t="s">
        <v>15881</v>
      </c>
      <c r="BH2370" s="1">
        <v>137.96</v>
      </c>
      <c r="BI2370" s="1">
        <v>241200</v>
      </c>
      <c r="BJ2370" s="3">
        <v>42410</v>
      </c>
      <c r="BK2370" t="s">
        <v>123</v>
      </c>
      <c r="BL2370" t="str">
        <f>"2016.87339"</f>
        <v>2016.87339</v>
      </c>
      <c r="BM2370" t="s">
        <v>1998</v>
      </c>
      <c r="BO2370" t="s">
        <v>15882</v>
      </c>
      <c r="BS2370">
        <v>30</v>
      </c>
      <c r="BW2370" t="str">
        <f>""</f>
        <v/>
      </c>
      <c r="CH2370" t="str">
        <f>""</f>
        <v/>
      </c>
      <c r="CS2370" t="str">
        <f>""</f>
        <v/>
      </c>
    </row>
    <row r="2371" spans="1:97" x14ac:dyDescent="0.25">
      <c r="A2371" t="s">
        <v>996</v>
      </c>
      <c r="B2371" t="s">
        <v>15883</v>
      </c>
      <c r="C2371" t="s">
        <v>5847</v>
      </c>
      <c r="D2371" t="s">
        <v>15884</v>
      </c>
      <c r="E2371" t="s">
        <v>15885</v>
      </c>
      <c r="F2371" t="s">
        <v>108</v>
      </c>
      <c r="H2371" t="s">
        <v>15886</v>
      </c>
      <c r="I2371" t="s">
        <v>203</v>
      </c>
      <c r="J2371" t="s">
        <v>111</v>
      </c>
      <c r="K2371" t="str">
        <f>"85234"</f>
        <v>85234</v>
      </c>
      <c r="L2371" t="s">
        <v>3108</v>
      </c>
      <c r="M2371" t="s">
        <v>15886</v>
      </c>
      <c r="N2371" t="s">
        <v>203</v>
      </c>
      <c r="O2371" t="s">
        <v>111</v>
      </c>
      <c r="P2371" t="str">
        <f>"85234-7465"</f>
        <v>85234-7465</v>
      </c>
      <c r="Q2371" t="s">
        <v>113</v>
      </c>
      <c r="R2371" t="str">
        <f>"309-05-357"</f>
        <v>309-05-357</v>
      </c>
      <c r="S2371" t="s">
        <v>15887</v>
      </c>
      <c r="T2371" t="s">
        <v>15888</v>
      </c>
      <c r="U2371">
        <v>2808</v>
      </c>
      <c r="V2371">
        <v>0</v>
      </c>
      <c r="W2371">
        <v>4</v>
      </c>
      <c r="X2371">
        <v>2001</v>
      </c>
      <c r="Z2371">
        <v>1</v>
      </c>
      <c r="AB2371">
        <v>0</v>
      </c>
      <c r="AC2371" t="s">
        <v>115</v>
      </c>
      <c r="AD2371">
        <v>3</v>
      </c>
      <c r="AE2371" t="s">
        <v>115</v>
      </c>
      <c r="AF2371">
        <v>0</v>
      </c>
      <c r="AG2371">
        <v>0</v>
      </c>
      <c r="AH2371" t="s">
        <v>116</v>
      </c>
      <c r="AI2371" s="1">
        <v>139175</v>
      </c>
      <c r="AJ2371" s="2">
        <v>0.27</v>
      </c>
      <c r="AK2371" s="1">
        <v>521875</v>
      </c>
      <c r="AL2371" t="s">
        <v>117</v>
      </c>
      <c r="AM2371" t="s">
        <v>1521</v>
      </c>
      <c r="AN2371">
        <v>15316</v>
      </c>
      <c r="AO2371">
        <v>0.35</v>
      </c>
      <c r="AP2371">
        <v>1</v>
      </c>
      <c r="AR2371">
        <v>1</v>
      </c>
      <c r="AS2371" s="1">
        <v>42930</v>
      </c>
      <c r="AT2371" s="1">
        <v>8580</v>
      </c>
      <c r="AU2371" s="1">
        <v>34350</v>
      </c>
      <c r="AV2371">
        <v>80.010000000000005</v>
      </c>
      <c r="AX2371" s="1">
        <v>3319.68</v>
      </c>
      <c r="AY2371" t="s">
        <v>7213</v>
      </c>
      <c r="AZ2371" t="s">
        <v>571</v>
      </c>
      <c r="BA2371" t="s">
        <v>521</v>
      </c>
      <c r="BE2371" s="3">
        <v>42236</v>
      </c>
      <c r="BF2371" s="1">
        <v>420000</v>
      </c>
      <c r="BG2371" t="s">
        <v>15889</v>
      </c>
      <c r="BH2371" s="1">
        <v>149.57</v>
      </c>
      <c r="BI2371" s="1">
        <v>382700</v>
      </c>
      <c r="BJ2371" s="3">
        <v>42236</v>
      </c>
      <c r="BK2371" t="s">
        <v>123</v>
      </c>
      <c r="BL2371" t="str">
        <f>"2015.603468"</f>
        <v>2015.603468</v>
      </c>
      <c r="BM2371" t="s">
        <v>124</v>
      </c>
      <c r="BO2371" t="s">
        <v>15890</v>
      </c>
      <c r="BP2371" t="s">
        <v>15891</v>
      </c>
      <c r="BS2371">
        <v>30</v>
      </c>
      <c r="BW2371" t="str">
        <f>""</f>
        <v/>
      </c>
      <c r="CH2371" t="str">
        <f>""</f>
        <v/>
      </c>
      <c r="CS2371" t="str">
        <f>""</f>
        <v/>
      </c>
    </row>
    <row r="2372" spans="1:97" x14ac:dyDescent="0.25">
      <c r="A2372" t="s">
        <v>996</v>
      </c>
      <c r="B2372" t="s">
        <v>15892</v>
      </c>
      <c r="C2372" t="s">
        <v>489</v>
      </c>
      <c r="D2372" t="s">
        <v>15892</v>
      </c>
      <c r="E2372" t="s">
        <v>15893</v>
      </c>
      <c r="F2372" t="s">
        <v>108</v>
      </c>
      <c r="H2372" t="s">
        <v>15894</v>
      </c>
      <c r="I2372" t="s">
        <v>225</v>
      </c>
      <c r="J2372" t="s">
        <v>111</v>
      </c>
      <c r="K2372" t="str">
        <f>"85205"</f>
        <v>85205</v>
      </c>
      <c r="L2372" t="s">
        <v>6325</v>
      </c>
      <c r="M2372" t="s">
        <v>15894</v>
      </c>
      <c r="N2372" t="s">
        <v>225</v>
      </c>
      <c r="O2372" t="s">
        <v>111</v>
      </c>
      <c r="P2372" t="str">
        <f>"85205-4029"</f>
        <v>85205-4029</v>
      </c>
      <c r="Q2372" t="s">
        <v>113</v>
      </c>
      <c r="R2372" t="str">
        <f>"141-32-119"</f>
        <v>141-32-119</v>
      </c>
      <c r="S2372" t="s">
        <v>15895</v>
      </c>
      <c r="T2372" t="s">
        <v>15896</v>
      </c>
      <c r="U2372">
        <v>3307</v>
      </c>
      <c r="V2372">
        <v>0</v>
      </c>
      <c r="W2372">
        <v>4</v>
      </c>
      <c r="X2372">
        <v>1997</v>
      </c>
      <c r="Z2372">
        <v>1</v>
      </c>
      <c r="AA2372" t="s">
        <v>26</v>
      </c>
      <c r="AB2372">
        <v>0</v>
      </c>
      <c r="AC2372" t="s">
        <v>115</v>
      </c>
      <c r="AD2372">
        <v>3</v>
      </c>
      <c r="AE2372" t="s">
        <v>115</v>
      </c>
      <c r="AF2372">
        <v>0</v>
      </c>
      <c r="AG2372">
        <v>0</v>
      </c>
      <c r="AH2372" t="s">
        <v>116</v>
      </c>
      <c r="AI2372" s="1">
        <v>209984</v>
      </c>
      <c r="AJ2372" s="2">
        <v>0.39</v>
      </c>
      <c r="AK2372" s="1">
        <v>544629</v>
      </c>
      <c r="AL2372" t="s">
        <v>117</v>
      </c>
      <c r="AM2372" t="s">
        <v>1521</v>
      </c>
      <c r="AN2372">
        <v>18088</v>
      </c>
      <c r="AO2372">
        <v>0.42</v>
      </c>
      <c r="AP2372">
        <v>1</v>
      </c>
      <c r="AR2372">
        <v>1</v>
      </c>
      <c r="AS2372" s="1">
        <v>40400</v>
      </c>
      <c r="AT2372" s="1">
        <v>8080</v>
      </c>
      <c r="AU2372" s="1">
        <v>32320</v>
      </c>
      <c r="AV2372">
        <v>80</v>
      </c>
      <c r="AX2372" s="1">
        <v>4364.76</v>
      </c>
      <c r="AY2372" t="s">
        <v>6044</v>
      </c>
      <c r="AZ2372" t="s">
        <v>4163</v>
      </c>
      <c r="BA2372" t="s">
        <v>1524</v>
      </c>
      <c r="BE2372" s="3">
        <v>42384</v>
      </c>
      <c r="BF2372" s="1">
        <v>420000</v>
      </c>
      <c r="BG2372" t="s">
        <v>15897</v>
      </c>
      <c r="BH2372" s="1">
        <v>127</v>
      </c>
      <c r="BI2372" s="1">
        <v>334645</v>
      </c>
      <c r="BJ2372" s="3">
        <v>42608</v>
      </c>
      <c r="BK2372" t="s">
        <v>123</v>
      </c>
      <c r="BL2372" t="str">
        <f>"2016.616811"</f>
        <v>2016.616811</v>
      </c>
      <c r="BM2372" t="s">
        <v>1038</v>
      </c>
      <c r="BO2372" t="s">
        <v>15898</v>
      </c>
      <c r="BS2372">
        <v>30</v>
      </c>
      <c r="BW2372" t="str">
        <f>""</f>
        <v/>
      </c>
      <c r="CH2372" t="str">
        <f>""</f>
        <v/>
      </c>
      <c r="CS2372" t="str">
        <f>""</f>
        <v/>
      </c>
    </row>
    <row r="2373" spans="1:97" x14ac:dyDescent="0.25">
      <c r="A2373" t="s">
        <v>2537</v>
      </c>
      <c r="B2373" t="s">
        <v>15899</v>
      </c>
      <c r="C2373" t="s">
        <v>4325</v>
      </c>
      <c r="D2373" t="s">
        <v>15899</v>
      </c>
      <c r="E2373" t="s">
        <v>15900</v>
      </c>
      <c r="F2373" t="s">
        <v>108</v>
      </c>
      <c r="H2373" t="s">
        <v>15901</v>
      </c>
      <c r="I2373" t="s">
        <v>2874</v>
      </c>
      <c r="J2373" t="s">
        <v>111</v>
      </c>
      <c r="K2373" t="str">
        <f>"85308"</f>
        <v>85308</v>
      </c>
      <c r="L2373" t="s">
        <v>5438</v>
      </c>
      <c r="M2373" t="s">
        <v>15901</v>
      </c>
      <c r="N2373" t="s">
        <v>2874</v>
      </c>
      <c r="O2373" t="s">
        <v>111</v>
      </c>
      <c r="P2373" t="str">
        <f>"85308-6249"</f>
        <v>85308-6249</v>
      </c>
      <c r="Q2373" t="s">
        <v>113</v>
      </c>
      <c r="R2373" t="str">
        <f>"200-23-467"</f>
        <v>200-23-467</v>
      </c>
      <c r="S2373" t="s">
        <v>15902</v>
      </c>
      <c r="T2373" t="s">
        <v>10102</v>
      </c>
      <c r="U2373">
        <v>2766</v>
      </c>
      <c r="V2373">
        <v>0</v>
      </c>
      <c r="W2373">
        <v>4</v>
      </c>
      <c r="X2373">
        <v>1996</v>
      </c>
      <c r="Z2373">
        <v>1</v>
      </c>
      <c r="AB2373">
        <v>0</v>
      </c>
      <c r="AC2373" t="s">
        <v>115</v>
      </c>
      <c r="AD2373">
        <v>3</v>
      </c>
      <c r="AE2373" t="s">
        <v>115</v>
      </c>
      <c r="AF2373">
        <v>0</v>
      </c>
      <c r="AG2373">
        <v>0</v>
      </c>
      <c r="AH2373" t="s">
        <v>116</v>
      </c>
      <c r="AI2373" s="1">
        <v>150523</v>
      </c>
      <c r="AJ2373" s="2">
        <v>0.31</v>
      </c>
      <c r="AK2373" s="1">
        <v>478555</v>
      </c>
      <c r="AL2373" t="s">
        <v>117</v>
      </c>
      <c r="AM2373" t="s">
        <v>191</v>
      </c>
      <c r="AN2373">
        <v>9743</v>
      </c>
      <c r="AO2373">
        <v>0.22</v>
      </c>
      <c r="AP2373">
        <v>1</v>
      </c>
      <c r="AR2373">
        <v>1</v>
      </c>
      <c r="AS2373" s="1">
        <v>34250</v>
      </c>
      <c r="AT2373" s="1">
        <v>6850</v>
      </c>
      <c r="AU2373" s="1">
        <v>27400</v>
      </c>
      <c r="AV2373">
        <v>80</v>
      </c>
      <c r="AX2373" s="1">
        <v>3528.36</v>
      </c>
      <c r="AY2373" t="s">
        <v>7455</v>
      </c>
      <c r="AZ2373" t="s">
        <v>3049</v>
      </c>
      <c r="BA2373" t="s">
        <v>2223</v>
      </c>
      <c r="BE2373" s="3">
        <v>42184</v>
      </c>
      <c r="BF2373" s="1">
        <v>313000</v>
      </c>
      <c r="BG2373" t="s">
        <v>15903</v>
      </c>
      <c r="BH2373" s="1">
        <v>113.16</v>
      </c>
      <c r="BI2373" s="1">
        <v>328032</v>
      </c>
      <c r="BJ2373" s="3">
        <v>42437</v>
      </c>
      <c r="BK2373" t="s">
        <v>123</v>
      </c>
      <c r="BL2373" t="str">
        <f>"2016.149703"</f>
        <v>2016.149703</v>
      </c>
      <c r="BM2373" t="s">
        <v>6385</v>
      </c>
      <c r="BO2373" t="s">
        <v>15904</v>
      </c>
      <c r="BS2373">
        <v>30</v>
      </c>
      <c r="BW2373" t="str">
        <f>""</f>
        <v/>
      </c>
      <c r="CH2373" t="str">
        <f>""</f>
        <v/>
      </c>
      <c r="CS2373" t="str">
        <f>""</f>
        <v/>
      </c>
    </row>
    <row r="2374" spans="1:97" x14ac:dyDescent="0.25">
      <c r="A2374" t="s">
        <v>15905</v>
      </c>
      <c r="B2374" t="s">
        <v>15906</v>
      </c>
      <c r="C2374" t="s">
        <v>15907</v>
      </c>
      <c r="D2374" t="s">
        <v>15906</v>
      </c>
      <c r="E2374" t="s">
        <v>15908</v>
      </c>
      <c r="F2374" t="s">
        <v>108</v>
      </c>
      <c r="H2374" t="s">
        <v>15909</v>
      </c>
      <c r="I2374" t="s">
        <v>1936</v>
      </c>
      <c r="J2374" t="s">
        <v>111</v>
      </c>
      <c r="K2374" t="str">
        <f>"85262"</f>
        <v>85262</v>
      </c>
      <c r="L2374" t="s">
        <v>1569</v>
      </c>
      <c r="M2374" t="s">
        <v>15909</v>
      </c>
      <c r="N2374" t="s">
        <v>1936</v>
      </c>
      <c r="O2374" t="s">
        <v>111</v>
      </c>
      <c r="P2374" t="str">
        <f>"85262-7011"</f>
        <v>85262-7011</v>
      </c>
      <c r="Q2374" t="s">
        <v>113</v>
      </c>
      <c r="R2374" t="str">
        <f>"219-39-184"</f>
        <v>219-39-184</v>
      </c>
      <c r="U2374">
        <v>3102</v>
      </c>
      <c r="V2374">
        <v>0</v>
      </c>
      <c r="W2374">
        <v>5</v>
      </c>
      <c r="X2374">
        <v>2007</v>
      </c>
      <c r="Z2374">
        <v>1</v>
      </c>
      <c r="AB2374">
        <v>0</v>
      </c>
      <c r="AC2374" t="s">
        <v>115</v>
      </c>
      <c r="AD2374">
        <v>3</v>
      </c>
      <c r="AE2374" t="s">
        <v>115</v>
      </c>
      <c r="AF2374">
        <v>0</v>
      </c>
      <c r="AG2374">
        <v>0</v>
      </c>
      <c r="AH2374" t="s">
        <v>116</v>
      </c>
      <c r="AI2374" s="1">
        <v>172285</v>
      </c>
      <c r="AJ2374" s="2">
        <v>0.26</v>
      </c>
      <c r="AK2374" s="1">
        <v>672775</v>
      </c>
      <c r="AL2374" t="s">
        <v>117</v>
      </c>
      <c r="AM2374" t="s">
        <v>376</v>
      </c>
      <c r="AN2374">
        <v>87120</v>
      </c>
      <c r="AO2374">
        <v>2</v>
      </c>
      <c r="AR2374">
        <v>1</v>
      </c>
      <c r="AS2374" s="1">
        <v>51120</v>
      </c>
      <c r="AT2374" s="1">
        <v>10220</v>
      </c>
      <c r="AU2374" s="1">
        <v>40900</v>
      </c>
      <c r="AV2374">
        <v>80.010000000000005</v>
      </c>
      <c r="AX2374" s="1">
        <v>2401.8000000000002</v>
      </c>
      <c r="AY2374" t="s">
        <v>5017</v>
      </c>
      <c r="AZ2374" t="s">
        <v>1402</v>
      </c>
      <c r="BA2374" t="s">
        <v>1403</v>
      </c>
      <c r="BE2374" s="3">
        <v>42275</v>
      </c>
      <c r="BF2374" s="1">
        <v>520000</v>
      </c>
      <c r="BG2374" t="s">
        <v>15910</v>
      </c>
      <c r="BH2374" s="1">
        <v>167.63</v>
      </c>
      <c r="BI2374" s="1">
        <v>500490</v>
      </c>
      <c r="BJ2374" s="3">
        <v>42590</v>
      </c>
      <c r="BK2374" t="s">
        <v>123</v>
      </c>
      <c r="BL2374" t="str">
        <f>"2016.561580"</f>
        <v>2016.561580</v>
      </c>
      <c r="BM2374" t="s">
        <v>425</v>
      </c>
      <c r="BO2374" t="s">
        <v>15911</v>
      </c>
      <c r="BS2374">
        <v>30</v>
      </c>
      <c r="BW2374" t="str">
        <f>""</f>
        <v/>
      </c>
      <c r="CH2374" t="str">
        <f>""</f>
        <v/>
      </c>
      <c r="CS2374" t="str">
        <f>""</f>
        <v/>
      </c>
    </row>
    <row r="2375" spans="1:97" x14ac:dyDescent="0.25">
      <c r="A2375" t="s">
        <v>15912</v>
      </c>
      <c r="B2375" t="s">
        <v>348</v>
      </c>
      <c r="C2375" t="s">
        <v>3724</v>
      </c>
      <c r="D2375" t="s">
        <v>348</v>
      </c>
      <c r="E2375" t="s">
        <v>15913</v>
      </c>
      <c r="F2375" t="s">
        <v>108</v>
      </c>
      <c r="H2375" t="s">
        <v>15914</v>
      </c>
      <c r="I2375" t="s">
        <v>453</v>
      </c>
      <c r="J2375" t="s">
        <v>111</v>
      </c>
      <c r="K2375" t="str">
        <f>"85383"</f>
        <v>85383</v>
      </c>
      <c r="L2375" t="s">
        <v>269</v>
      </c>
      <c r="M2375" t="s">
        <v>15914</v>
      </c>
      <c r="N2375" t="s">
        <v>453</v>
      </c>
      <c r="O2375" t="s">
        <v>111</v>
      </c>
      <c r="P2375" t="str">
        <f>"85383-5312"</f>
        <v>85383-5312</v>
      </c>
      <c r="Q2375" t="s">
        <v>113</v>
      </c>
      <c r="R2375" t="str">
        <f>"201-39-845"</f>
        <v>201-39-845</v>
      </c>
      <c r="S2375" t="s">
        <v>15915</v>
      </c>
      <c r="T2375" t="s">
        <v>6734</v>
      </c>
      <c r="U2375">
        <v>1528</v>
      </c>
      <c r="V2375">
        <v>0</v>
      </c>
      <c r="W2375">
        <v>3</v>
      </c>
      <c r="X2375">
        <v>2009</v>
      </c>
      <c r="Z2375">
        <v>1</v>
      </c>
      <c r="AB2375">
        <v>0</v>
      </c>
      <c r="AC2375" t="s">
        <v>115</v>
      </c>
      <c r="AD2375">
        <v>2</v>
      </c>
      <c r="AE2375" t="s">
        <v>115</v>
      </c>
      <c r="AF2375">
        <v>0</v>
      </c>
      <c r="AG2375">
        <v>0</v>
      </c>
      <c r="AH2375" t="s">
        <v>116</v>
      </c>
      <c r="AI2375" s="1">
        <v>61878</v>
      </c>
      <c r="AJ2375" s="2">
        <v>0.22</v>
      </c>
      <c r="AK2375" s="1">
        <v>278523</v>
      </c>
      <c r="AL2375" t="s">
        <v>117</v>
      </c>
      <c r="AM2375" t="s">
        <v>118</v>
      </c>
      <c r="AN2375">
        <v>4260</v>
      </c>
      <c r="AO2375">
        <v>0.98</v>
      </c>
      <c r="AR2375">
        <v>1</v>
      </c>
      <c r="AS2375" s="1">
        <v>19770</v>
      </c>
      <c r="AT2375" s="1">
        <v>3950</v>
      </c>
      <c r="AU2375" s="1">
        <v>15820</v>
      </c>
      <c r="AV2375">
        <v>80.02</v>
      </c>
      <c r="AX2375" s="1">
        <v>1948.68</v>
      </c>
      <c r="AY2375" t="s">
        <v>3048</v>
      </c>
      <c r="AZ2375" t="s">
        <v>3049</v>
      </c>
      <c r="BA2375" t="s">
        <v>1386</v>
      </c>
      <c r="BE2375" s="3">
        <v>42282</v>
      </c>
      <c r="BF2375" s="1">
        <v>219000</v>
      </c>
      <c r="BG2375" t="s">
        <v>15916</v>
      </c>
      <c r="BH2375" s="1">
        <v>143.32</v>
      </c>
      <c r="BI2375" s="1">
        <v>216645</v>
      </c>
      <c r="BJ2375" s="3">
        <v>42608</v>
      </c>
      <c r="BK2375" t="s">
        <v>123</v>
      </c>
      <c r="BL2375" t="str">
        <f>"2016.615262"</f>
        <v>2016.615262</v>
      </c>
      <c r="BM2375" t="s">
        <v>255</v>
      </c>
      <c r="BO2375" t="s">
        <v>15917</v>
      </c>
      <c r="BS2375">
        <v>30</v>
      </c>
      <c r="BW2375" t="str">
        <f>""</f>
        <v/>
      </c>
      <c r="CH2375" t="str">
        <f>""</f>
        <v/>
      </c>
      <c r="CS2375" t="str">
        <f>""</f>
        <v/>
      </c>
    </row>
    <row r="2376" spans="1:97" x14ac:dyDescent="0.25">
      <c r="A2376" t="s">
        <v>4854</v>
      </c>
      <c r="B2376" t="s">
        <v>15918</v>
      </c>
      <c r="C2376" t="s">
        <v>986</v>
      </c>
      <c r="D2376" t="s">
        <v>15918</v>
      </c>
      <c r="E2376" t="s">
        <v>15919</v>
      </c>
      <c r="F2376" t="s">
        <v>108</v>
      </c>
      <c r="H2376" t="s">
        <v>15920</v>
      </c>
      <c r="I2376" t="s">
        <v>390</v>
      </c>
      <c r="J2376" t="s">
        <v>111</v>
      </c>
      <c r="K2376" t="str">
        <f>"85040"</f>
        <v>85040</v>
      </c>
      <c r="L2376" t="s">
        <v>15921</v>
      </c>
      <c r="M2376" t="s">
        <v>15920</v>
      </c>
      <c r="N2376" t="s">
        <v>390</v>
      </c>
      <c r="O2376" t="s">
        <v>111</v>
      </c>
      <c r="P2376" t="str">
        <f>"85040-3401"</f>
        <v>85040-3401</v>
      </c>
      <c r="Q2376" t="s">
        <v>113</v>
      </c>
      <c r="R2376" t="str">
        <f>"122-52-327"</f>
        <v>122-52-327</v>
      </c>
      <c r="S2376" t="s">
        <v>15922</v>
      </c>
      <c r="T2376" t="s">
        <v>15923</v>
      </c>
      <c r="U2376">
        <v>3073</v>
      </c>
      <c r="V2376">
        <v>0</v>
      </c>
      <c r="W2376">
        <v>4</v>
      </c>
      <c r="X2376">
        <v>2006</v>
      </c>
      <c r="Z2376">
        <v>2</v>
      </c>
      <c r="AB2376">
        <v>0</v>
      </c>
      <c r="AC2376" t="s">
        <v>115</v>
      </c>
      <c r="AD2376">
        <v>2</v>
      </c>
      <c r="AE2376" t="s">
        <v>115</v>
      </c>
      <c r="AF2376">
        <v>0</v>
      </c>
      <c r="AG2376">
        <v>0</v>
      </c>
      <c r="AH2376" t="s">
        <v>116</v>
      </c>
      <c r="AI2376" s="1">
        <v>65500</v>
      </c>
      <c r="AJ2376" s="2">
        <v>0.2</v>
      </c>
      <c r="AK2376" s="1">
        <v>331986</v>
      </c>
      <c r="AL2376" t="s">
        <v>117</v>
      </c>
      <c r="AM2376" t="s">
        <v>191</v>
      </c>
      <c r="AN2376">
        <v>5175</v>
      </c>
      <c r="AO2376">
        <v>0.12</v>
      </c>
      <c r="AR2376">
        <v>1</v>
      </c>
      <c r="AS2376" s="1">
        <v>22350</v>
      </c>
      <c r="AT2376" s="1">
        <v>4470</v>
      </c>
      <c r="AU2376" s="1">
        <v>17880</v>
      </c>
      <c r="AV2376">
        <v>80</v>
      </c>
      <c r="AX2376" s="1">
        <v>2932.64</v>
      </c>
      <c r="AY2376" t="s">
        <v>5251</v>
      </c>
      <c r="AZ2376" t="s">
        <v>5251</v>
      </c>
      <c r="BA2376" t="s">
        <v>2860</v>
      </c>
      <c r="BE2376" s="3">
        <v>42101</v>
      </c>
      <c r="BF2376" s="1">
        <v>242000</v>
      </c>
      <c r="BG2376" t="s">
        <v>15924</v>
      </c>
      <c r="BH2376" s="1">
        <v>78.75</v>
      </c>
      <c r="BI2376" s="1">
        <v>266486</v>
      </c>
      <c r="BJ2376" s="3">
        <v>42593</v>
      </c>
      <c r="BK2376" t="s">
        <v>123</v>
      </c>
      <c r="BL2376" t="str">
        <f>"2016.572031"</f>
        <v>2016.572031</v>
      </c>
      <c r="BM2376" t="s">
        <v>361</v>
      </c>
      <c r="BO2376" t="s">
        <v>15925</v>
      </c>
      <c r="BS2376">
        <v>30</v>
      </c>
      <c r="BW2376" t="str">
        <f>""</f>
        <v/>
      </c>
      <c r="CH2376" t="str">
        <f>""</f>
        <v/>
      </c>
      <c r="CS2376" t="str">
        <f>""</f>
        <v/>
      </c>
    </row>
    <row r="2377" spans="1:97" x14ac:dyDescent="0.25">
      <c r="A2377" t="s">
        <v>2776</v>
      </c>
      <c r="B2377" t="s">
        <v>465</v>
      </c>
      <c r="C2377" t="s">
        <v>15926</v>
      </c>
      <c r="D2377" t="s">
        <v>465</v>
      </c>
      <c r="E2377" t="s">
        <v>15927</v>
      </c>
      <c r="F2377" t="s">
        <v>108</v>
      </c>
      <c r="H2377" t="s">
        <v>15928</v>
      </c>
      <c r="I2377" t="s">
        <v>453</v>
      </c>
      <c r="J2377" t="s">
        <v>111</v>
      </c>
      <c r="K2377" t="str">
        <f>"85382"</f>
        <v>85382</v>
      </c>
      <c r="L2377" t="s">
        <v>6308</v>
      </c>
      <c r="M2377" t="s">
        <v>15928</v>
      </c>
      <c r="N2377" t="s">
        <v>453</v>
      </c>
      <c r="O2377" t="s">
        <v>111</v>
      </c>
      <c r="P2377" t="str">
        <f>"85382-8335"</f>
        <v>85382-8335</v>
      </c>
      <c r="Q2377" t="s">
        <v>113</v>
      </c>
      <c r="R2377" t="str">
        <f>"231-24-452"</f>
        <v>231-24-452</v>
      </c>
      <c r="S2377" t="s">
        <v>15929</v>
      </c>
      <c r="T2377" t="s">
        <v>6310</v>
      </c>
      <c r="U2377">
        <v>1735</v>
      </c>
      <c r="V2377">
        <v>0</v>
      </c>
      <c r="W2377">
        <v>3</v>
      </c>
      <c r="X2377">
        <v>2000</v>
      </c>
      <c r="Z2377">
        <v>1</v>
      </c>
      <c r="AB2377">
        <v>0</v>
      </c>
      <c r="AC2377" t="s">
        <v>115</v>
      </c>
      <c r="AD2377">
        <v>2</v>
      </c>
      <c r="AE2377" t="s">
        <v>115</v>
      </c>
      <c r="AF2377">
        <v>0</v>
      </c>
      <c r="AG2377">
        <v>0</v>
      </c>
      <c r="AH2377" t="s">
        <v>116</v>
      </c>
      <c r="AI2377" s="1">
        <v>24526</v>
      </c>
      <c r="AJ2377" s="2">
        <v>0.08</v>
      </c>
      <c r="AK2377" s="1">
        <v>298626</v>
      </c>
      <c r="AL2377" t="s">
        <v>117</v>
      </c>
      <c r="AM2377" t="s">
        <v>118</v>
      </c>
      <c r="AN2377">
        <v>6757</v>
      </c>
      <c r="AO2377">
        <v>0.16</v>
      </c>
      <c r="AP2377">
        <v>1</v>
      </c>
      <c r="AR2377">
        <v>1</v>
      </c>
      <c r="AS2377" s="1">
        <v>20730</v>
      </c>
      <c r="AT2377" s="1">
        <v>4140</v>
      </c>
      <c r="AU2377" s="1">
        <v>16590</v>
      </c>
      <c r="AV2377">
        <v>80.03</v>
      </c>
      <c r="AX2377" s="1">
        <v>1735.88</v>
      </c>
      <c r="AY2377" t="s">
        <v>6311</v>
      </c>
      <c r="AZ2377" t="s">
        <v>6311</v>
      </c>
      <c r="BA2377" t="s">
        <v>4219</v>
      </c>
      <c r="BE2377" s="3">
        <v>41726</v>
      </c>
      <c r="BF2377" s="1">
        <v>222000</v>
      </c>
      <c r="BG2377" t="s">
        <v>15930</v>
      </c>
      <c r="BH2377" s="1">
        <v>127.95</v>
      </c>
      <c r="BI2377" s="1">
        <v>274100</v>
      </c>
      <c r="BJ2377" s="3">
        <v>43326</v>
      </c>
      <c r="BK2377" t="s">
        <v>123</v>
      </c>
      <c r="BL2377" t="str">
        <f>"2018.613357"</f>
        <v>2018.613357</v>
      </c>
      <c r="BM2377" t="s">
        <v>2080</v>
      </c>
      <c r="BN2377" t="s">
        <v>426</v>
      </c>
      <c r="BO2377" t="s">
        <v>15931</v>
      </c>
      <c r="BP2377" t="s">
        <v>15932</v>
      </c>
      <c r="BR2377" t="s">
        <v>139</v>
      </c>
      <c r="BW2377" t="str">
        <f>""</f>
        <v/>
      </c>
      <c r="CH2377" t="str">
        <f>""</f>
        <v/>
      </c>
      <c r="CS2377" t="str">
        <f>""</f>
        <v/>
      </c>
    </row>
    <row r="2378" spans="1:97" x14ac:dyDescent="0.25">
      <c r="A2378" t="s">
        <v>211</v>
      </c>
      <c r="B2378" t="s">
        <v>15933</v>
      </c>
      <c r="C2378" t="s">
        <v>852</v>
      </c>
      <c r="D2378" t="s">
        <v>15933</v>
      </c>
      <c r="E2378" t="s">
        <v>15934</v>
      </c>
      <c r="F2378" t="s">
        <v>108</v>
      </c>
      <c r="H2378" t="s">
        <v>15935</v>
      </c>
      <c r="I2378" t="s">
        <v>5523</v>
      </c>
      <c r="J2378" t="s">
        <v>111</v>
      </c>
      <c r="K2378" t="str">
        <f>"85373"</f>
        <v>85373</v>
      </c>
      <c r="L2378" t="s">
        <v>168</v>
      </c>
      <c r="M2378" t="s">
        <v>15935</v>
      </c>
      <c r="N2378" t="s">
        <v>5523</v>
      </c>
      <c r="O2378" t="s">
        <v>111</v>
      </c>
      <c r="P2378" t="str">
        <f>"85373-4317"</f>
        <v>85373-4317</v>
      </c>
      <c r="Q2378" t="s">
        <v>113</v>
      </c>
      <c r="R2378" t="str">
        <f>"200-35-757"</f>
        <v>200-35-757</v>
      </c>
      <c r="S2378" t="s">
        <v>15936</v>
      </c>
      <c r="T2378" t="s">
        <v>15937</v>
      </c>
      <c r="U2378">
        <v>1884</v>
      </c>
      <c r="V2378">
        <v>0</v>
      </c>
      <c r="W2378">
        <v>3</v>
      </c>
      <c r="X2378">
        <v>2003</v>
      </c>
      <c r="Z2378">
        <v>1</v>
      </c>
      <c r="AB2378">
        <v>0</v>
      </c>
      <c r="AC2378" t="s">
        <v>115</v>
      </c>
      <c r="AD2378">
        <v>2</v>
      </c>
      <c r="AE2378" t="s">
        <v>115</v>
      </c>
      <c r="AF2378">
        <v>0</v>
      </c>
      <c r="AG2378">
        <v>0</v>
      </c>
      <c r="AH2378" t="s">
        <v>116</v>
      </c>
      <c r="AI2378" s="1">
        <v>44761</v>
      </c>
      <c r="AJ2378" s="2">
        <v>0.15</v>
      </c>
      <c r="AK2378" s="1">
        <v>289761</v>
      </c>
      <c r="AL2378" t="s">
        <v>117</v>
      </c>
      <c r="AM2378" t="s">
        <v>3345</v>
      </c>
      <c r="AN2378">
        <v>7658</v>
      </c>
      <c r="AO2378">
        <v>0.18</v>
      </c>
      <c r="AP2378">
        <v>1</v>
      </c>
      <c r="AR2378">
        <v>1</v>
      </c>
      <c r="AS2378" s="1">
        <v>20670</v>
      </c>
      <c r="AT2378" s="1">
        <v>4130</v>
      </c>
      <c r="AU2378" s="1">
        <v>16540</v>
      </c>
      <c r="AV2378">
        <v>80.02</v>
      </c>
      <c r="AX2378" s="1">
        <v>1853.18</v>
      </c>
      <c r="AY2378" t="s">
        <v>4520</v>
      </c>
      <c r="AZ2378" t="s">
        <v>4520</v>
      </c>
      <c r="BA2378" t="s">
        <v>4219</v>
      </c>
      <c r="BE2378" s="3">
        <v>42506</v>
      </c>
      <c r="BF2378" s="1">
        <v>250000</v>
      </c>
      <c r="BG2378" t="s">
        <v>15938</v>
      </c>
      <c r="BH2378" s="1">
        <v>132.69999999999999</v>
      </c>
      <c r="BI2378" s="1">
        <v>245000</v>
      </c>
      <c r="BJ2378" s="3">
        <v>42506</v>
      </c>
      <c r="BK2378" t="s">
        <v>123</v>
      </c>
      <c r="BL2378" t="str">
        <f>"2016.334717"</f>
        <v>2016.334717</v>
      </c>
      <c r="BM2378" t="s">
        <v>124</v>
      </c>
      <c r="BO2378" t="s">
        <v>15939</v>
      </c>
      <c r="BS2378">
        <v>30</v>
      </c>
      <c r="BW2378" t="str">
        <f>""</f>
        <v/>
      </c>
      <c r="CH2378" t="str">
        <f>""</f>
        <v/>
      </c>
      <c r="CS2378" t="str">
        <f>""</f>
        <v/>
      </c>
    </row>
    <row r="2379" spans="1:97" x14ac:dyDescent="0.25">
      <c r="A2379" t="s">
        <v>3613</v>
      </c>
      <c r="B2379" t="s">
        <v>10458</v>
      </c>
      <c r="E2379" t="s">
        <v>15940</v>
      </c>
      <c r="F2379" t="s">
        <v>108</v>
      </c>
      <c r="H2379" t="s">
        <v>15941</v>
      </c>
      <c r="I2379" t="s">
        <v>632</v>
      </c>
      <c r="J2379" t="s">
        <v>111</v>
      </c>
      <c r="K2379" t="str">
        <f>"85388"</f>
        <v>85388</v>
      </c>
      <c r="L2379" t="s">
        <v>4467</v>
      </c>
      <c r="M2379" t="s">
        <v>15941</v>
      </c>
      <c r="N2379" t="s">
        <v>632</v>
      </c>
      <c r="O2379" t="s">
        <v>111</v>
      </c>
      <c r="P2379" t="str">
        <f>"85388-2358"</f>
        <v>85388-2358</v>
      </c>
      <c r="Q2379" t="s">
        <v>113</v>
      </c>
      <c r="R2379" t="str">
        <f>"502-09-593"</f>
        <v>502-09-593</v>
      </c>
      <c r="S2379" t="s">
        <v>5359</v>
      </c>
      <c r="T2379" t="s">
        <v>5360</v>
      </c>
      <c r="U2379">
        <v>3296</v>
      </c>
      <c r="V2379">
        <v>0</v>
      </c>
      <c r="W2379">
        <v>5</v>
      </c>
      <c r="X2379">
        <v>2014</v>
      </c>
      <c r="Z2379">
        <v>2</v>
      </c>
      <c r="AB2379">
        <v>0</v>
      </c>
      <c r="AC2379" t="s">
        <v>115</v>
      </c>
      <c r="AD2379">
        <v>3</v>
      </c>
      <c r="AE2379" t="s">
        <v>115</v>
      </c>
      <c r="AF2379">
        <v>0</v>
      </c>
      <c r="AG2379">
        <v>0</v>
      </c>
      <c r="AH2379" t="s">
        <v>116</v>
      </c>
      <c r="AI2379" s="1">
        <v>86895</v>
      </c>
      <c r="AJ2379" s="2">
        <v>0.24</v>
      </c>
      <c r="AK2379" s="1">
        <v>356175</v>
      </c>
      <c r="AL2379" t="s">
        <v>117</v>
      </c>
      <c r="AM2379" t="s">
        <v>118</v>
      </c>
      <c r="AN2379">
        <v>7500</v>
      </c>
      <c r="AO2379">
        <v>0.17</v>
      </c>
      <c r="AR2379">
        <v>1</v>
      </c>
      <c r="AS2379" s="1">
        <v>25500</v>
      </c>
      <c r="AT2379" s="1">
        <v>5100</v>
      </c>
      <c r="AU2379" s="1">
        <v>20400</v>
      </c>
      <c r="AV2379">
        <v>80</v>
      </c>
      <c r="AX2379" s="1">
        <v>2275.66</v>
      </c>
      <c r="AY2379" t="s">
        <v>5168</v>
      </c>
      <c r="AZ2379" t="s">
        <v>5168</v>
      </c>
      <c r="BA2379" t="s">
        <v>5109</v>
      </c>
      <c r="BE2379" s="3">
        <v>41669</v>
      </c>
      <c r="BF2379" s="1">
        <v>274265</v>
      </c>
      <c r="BG2379" t="s">
        <v>2289</v>
      </c>
      <c r="BH2379" s="1">
        <v>83.21</v>
      </c>
      <c r="BI2379" s="1">
        <v>269280</v>
      </c>
      <c r="BJ2379" s="3">
        <v>42922</v>
      </c>
      <c r="BK2379" t="s">
        <v>123</v>
      </c>
      <c r="BL2379" t="str">
        <f>"2017.493331"</f>
        <v>2017.493331</v>
      </c>
      <c r="BM2379" t="s">
        <v>5382</v>
      </c>
      <c r="BO2379" t="s">
        <v>15942</v>
      </c>
      <c r="BS2379">
        <v>30</v>
      </c>
      <c r="BW2379" t="str">
        <f>""</f>
        <v/>
      </c>
      <c r="CH2379" t="str">
        <f>""</f>
        <v/>
      </c>
      <c r="CS2379" t="str">
        <f>""</f>
        <v/>
      </c>
    </row>
    <row r="2380" spans="1:97" x14ac:dyDescent="0.25">
      <c r="A2380" t="s">
        <v>1109</v>
      </c>
      <c r="B2380" t="s">
        <v>15943</v>
      </c>
      <c r="C2380" t="s">
        <v>1704</v>
      </c>
      <c r="D2380" t="s">
        <v>15943</v>
      </c>
      <c r="E2380" t="s">
        <v>15944</v>
      </c>
      <c r="F2380" t="s">
        <v>108</v>
      </c>
      <c r="H2380" t="s">
        <v>15945</v>
      </c>
      <c r="I2380" t="s">
        <v>188</v>
      </c>
      <c r="J2380" t="s">
        <v>111</v>
      </c>
      <c r="K2380" t="str">
        <f>"85142"</f>
        <v>85142</v>
      </c>
      <c r="L2380" t="s">
        <v>8146</v>
      </c>
      <c r="M2380" t="s">
        <v>15945</v>
      </c>
      <c r="N2380" t="s">
        <v>188</v>
      </c>
      <c r="O2380" t="s">
        <v>111</v>
      </c>
      <c r="P2380" t="str">
        <f>"85142-6987"</f>
        <v>85142-6987</v>
      </c>
      <c r="Q2380" t="s">
        <v>113</v>
      </c>
      <c r="R2380" t="str">
        <f>"304-65-401"</f>
        <v>304-65-401</v>
      </c>
      <c r="S2380" t="s">
        <v>9572</v>
      </c>
      <c r="U2380">
        <v>1926</v>
      </c>
      <c r="V2380">
        <v>0</v>
      </c>
      <c r="W2380">
        <v>3</v>
      </c>
      <c r="X2380">
        <v>2003</v>
      </c>
      <c r="Z2380">
        <v>1</v>
      </c>
      <c r="AA2380" t="s">
        <v>26</v>
      </c>
      <c r="AB2380">
        <v>0</v>
      </c>
      <c r="AC2380" t="s">
        <v>115</v>
      </c>
      <c r="AD2380">
        <v>2</v>
      </c>
      <c r="AE2380" t="s">
        <v>115</v>
      </c>
      <c r="AF2380">
        <v>0</v>
      </c>
      <c r="AG2380">
        <v>0</v>
      </c>
      <c r="AH2380" t="s">
        <v>116</v>
      </c>
      <c r="AI2380" s="1">
        <v>16106</v>
      </c>
      <c r="AJ2380" s="2">
        <v>0.05</v>
      </c>
      <c r="AK2380" s="1">
        <v>300181</v>
      </c>
      <c r="AL2380" t="s">
        <v>117</v>
      </c>
      <c r="AM2380" t="s">
        <v>171</v>
      </c>
      <c r="AN2380">
        <v>6300</v>
      </c>
      <c r="AO2380">
        <v>0.14000000000000001</v>
      </c>
      <c r="AP2380">
        <v>1</v>
      </c>
      <c r="AR2380">
        <v>1</v>
      </c>
      <c r="AS2380" s="1">
        <v>20200</v>
      </c>
      <c r="AT2380" s="1">
        <v>4040</v>
      </c>
      <c r="AU2380" s="1">
        <v>16160</v>
      </c>
      <c r="AV2380">
        <v>80</v>
      </c>
      <c r="AX2380" s="1">
        <v>1680.14</v>
      </c>
      <c r="AY2380" t="s">
        <v>5895</v>
      </c>
      <c r="AZ2380" t="s">
        <v>561</v>
      </c>
      <c r="BA2380" t="s">
        <v>194</v>
      </c>
      <c r="BE2380" s="3">
        <v>41648</v>
      </c>
      <c r="BF2380" s="1">
        <v>218200</v>
      </c>
      <c r="BG2380" t="s">
        <v>12224</v>
      </c>
      <c r="BH2380" s="1">
        <v>113.29</v>
      </c>
      <c r="BI2380" s="1">
        <v>284075</v>
      </c>
      <c r="BJ2380" s="3">
        <v>43542</v>
      </c>
      <c r="BK2380" t="s">
        <v>123</v>
      </c>
      <c r="BL2380" t="str">
        <f>"2019.184675"</f>
        <v>2019.184675</v>
      </c>
      <c r="BM2380" t="s">
        <v>460</v>
      </c>
      <c r="BN2380" t="s">
        <v>461</v>
      </c>
      <c r="BO2380" t="s">
        <v>15946</v>
      </c>
      <c r="BP2380" t="s">
        <v>15947</v>
      </c>
      <c r="BR2380" t="s">
        <v>139</v>
      </c>
      <c r="BW2380" t="str">
        <f>""</f>
        <v/>
      </c>
      <c r="CH2380" t="str">
        <f>""</f>
        <v/>
      </c>
      <c r="CS2380" t="str">
        <f>""</f>
        <v/>
      </c>
    </row>
    <row r="2381" spans="1:97" x14ac:dyDescent="0.25">
      <c r="B2381" t="s">
        <v>15948</v>
      </c>
      <c r="E2381" t="s">
        <v>15949</v>
      </c>
      <c r="F2381" t="s">
        <v>282</v>
      </c>
      <c r="H2381" t="s">
        <v>15950</v>
      </c>
      <c r="I2381" t="s">
        <v>225</v>
      </c>
      <c r="J2381" t="s">
        <v>111</v>
      </c>
      <c r="K2381" t="str">
        <f>"85206"</f>
        <v>85206</v>
      </c>
      <c r="L2381" t="s">
        <v>2963</v>
      </c>
      <c r="M2381" t="s">
        <v>15951</v>
      </c>
      <c r="N2381" t="s">
        <v>15952</v>
      </c>
      <c r="O2381" t="s">
        <v>15953</v>
      </c>
      <c r="P2381" t="str">
        <f>"98012-1376"</f>
        <v>98012-1376</v>
      </c>
      <c r="Q2381" t="s">
        <v>113</v>
      </c>
      <c r="R2381" t="str">
        <f>"141-56-307"</f>
        <v>141-56-307</v>
      </c>
      <c r="S2381" t="s">
        <v>15954</v>
      </c>
      <c r="U2381">
        <v>1676</v>
      </c>
      <c r="V2381">
        <v>0</v>
      </c>
      <c r="W2381">
        <v>3</v>
      </c>
      <c r="X2381">
        <v>1982</v>
      </c>
      <c r="Z2381">
        <v>1</v>
      </c>
      <c r="AB2381">
        <v>0</v>
      </c>
      <c r="AC2381" t="s">
        <v>115</v>
      </c>
      <c r="AD2381">
        <v>2</v>
      </c>
      <c r="AE2381" t="s">
        <v>115</v>
      </c>
      <c r="AF2381">
        <v>0</v>
      </c>
      <c r="AG2381">
        <v>0</v>
      </c>
      <c r="AH2381" t="s">
        <v>116</v>
      </c>
      <c r="AI2381" s="1">
        <v>60279</v>
      </c>
      <c r="AJ2381" s="2">
        <v>0.19</v>
      </c>
      <c r="AK2381" s="1">
        <v>310279</v>
      </c>
      <c r="AL2381" t="s">
        <v>117</v>
      </c>
      <c r="AM2381" t="s">
        <v>191</v>
      </c>
      <c r="AN2381">
        <v>7356</v>
      </c>
      <c r="AO2381">
        <v>0.17</v>
      </c>
      <c r="AP2381">
        <v>1</v>
      </c>
      <c r="AR2381">
        <v>1</v>
      </c>
      <c r="AS2381" s="1">
        <v>22350</v>
      </c>
      <c r="AT2381" s="1">
        <v>4470</v>
      </c>
      <c r="AU2381" s="1">
        <v>17880</v>
      </c>
      <c r="AV2381">
        <v>80</v>
      </c>
      <c r="AX2381" s="1">
        <v>2329.46</v>
      </c>
      <c r="AY2381" t="s">
        <v>230</v>
      </c>
      <c r="AZ2381" t="s">
        <v>231</v>
      </c>
      <c r="BA2381" t="s">
        <v>232</v>
      </c>
      <c r="BB2381" s="3">
        <v>42626</v>
      </c>
      <c r="BD2381" t="s">
        <v>240</v>
      </c>
      <c r="BE2381" s="3">
        <v>42124</v>
      </c>
      <c r="BF2381" s="1">
        <v>250000</v>
      </c>
      <c r="BG2381" t="s">
        <v>15955</v>
      </c>
      <c r="BH2381" s="1">
        <v>149.16</v>
      </c>
      <c r="BI2381" s="1">
        <v>250000</v>
      </c>
      <c r="BJ2381" s="3">
        <v>42124</v>
      </c>
      <c r="BK2381" t="s">
        <v>123</v>
      </c>
      <c r="BL2381" t="str">
        <f>"2015.303372"</f>
        <v>2015.303372</v>
      </c>
      <c r="BM2381" t="s">
        <v>1544</v>
      </c>
      <c r="BO2381" t="s">
        <v>15956</v>
      </c>
      <c r="BS2381">
        <v>30</v>
      </c>
      <c r="BW2381" t="str">
        <f>""</f>
        <v/>
      </c>
      <c r="CH2381" t="str">
        <f>""</f>
        <v/>
      </c>
      <c r="CS2381" t="str">
        <f>""</f>
        <v/>
      </c>
    </row>
    <row r="2382" spans="1:97" x14ac:dyDescent="0.25">
      <c r="A2382" t="s">
        <v>894</v>
      </c>
      <c r="B2382" t="s">
        <v>3265</v>
      </c>
      <c r="C2382" t="s">
        <v>484</v>
      </c>
      <c r="D2382" t="s">
        <v>3265</v>
      </c>
      <c r="E2382" t="s">
        <v>15957</v>
      </c>
      <c r="F2382" t="s">
        <v>108</v>
      </c>
      <c r="H2382" t="s">
        <v>15958</v>
      </c>
      <c r="I2382" t="s">
        <v>5523</v>
      </c>
      <c r="J2382" t="s">
        <v>111</v>
      </c>
      <c r="K2382" t="str">
        <f>"85351"</f>
        <v>85351</v>
      </c>
      <c r="L2382" t="s">
        <v>1312</v>
      </c>
      <c r="M2382" t="s">
        <v>15958</v>
      </c>
      <c r="N2382" t="s">
        <v>5523</v>
      </c>
      <c r="O2382" t="s">
        <v>111</v>
      </c>
      <c r="P2382" t="str">
        <f>"85351-2466"</f>
        <v>85351-2466</v>
      </c>
      <c r="Q2382" t="s">
        <v>113</v>
      </c>
      <c r="R2382" t="str">
        <f>"200-60-847"</f>
        <v>200-60-847</v>
      </c>
      <c r="S2382" t="s">
        <v>15959</v>
      </c>
      <c r="U2382">
        <v>1465</v>
      </c>
      <c r="V2382">
        <v>0</v>
      </c>
      <c r="W2382">
        <v>2</v>
      </c>
      <c r="X2382">
        <v>1971</v>
      </c>
      <c r="Z2382">
        <v>1</v>
      </c>
      <c r="AB2382">
        <v>0</v>
      </c>
      <c r="AC2382" t="s">
        <v>115</v>
      </c>
      <c r="AD2382">
        <v>2</v>
      </c>
      <c r="AE2382" t="s">
        <v>115</v>
      </c>
      <c r="AF2382">
        <v>0</v>
      </c>
      <c r="AG2382">
        <v>0</v>
      </c>
      <c r="AH2382" t="s">
        <v>116</v>
      </c>
      <c r="AI2382" s="1">
        <v>56209</v>
      </c>
      <c r="AJ2382" s="2">
        <v>0.2</v>
      </c>
      <c r="AK2382" s="1">
        <v>281209</v>
      </c>
      <c r="AL2382" t="s">
        <v>117</v>
      </c>
      <c r="AM2382" t="s">
        <v>191</v>
      </c>
      <c r="AN2382">
        <v>9000</v>
      </c>
      <c r="AO2382">
        <v>0.21</v>
      </c>
      <c r="AP2382">
        <v>1</v>
      </c>
      <c r="AR2382">
        <v>1</v>
      </c>
      <c r="AS2382" s="1">
        <v>18860</v>
      </c>
      <c r="AT2382" s="1">
        <v>3770</v>
      </c>
      <c r="AU2382" s="1">
        <v>15090</v>
      </c>
      <c r="AV2382">
        <v>80.010000000000005</v>
      </c>
      <c r="AX2382" s="1">
        <v>1330.38</v>
      </c>
      <c r="AY2382" t="s">
        <v>5573</v>
      </c>
      <c r="AZ2382" t="s">
        <v>5573</v>
      </c>
      <c r="BA2382" t="s">
        <v>3360</v>
      </c>
      <c r="BE2382" s="3">
        <v>41817</v>
      </c>
      <c r="BF2382" s="1">
        <v>225000</v>
      </c>
      <c r="BG2382" t="s">
        <v>15960</v>
      </c>
      <c r="BH2382" s="1">
        <v>153.58000000000001</v>
      </c>
      <c r="BI2382" s="1">
        <v>225000</v>
      </c>
      <c r="BJ2382" s="3">
        <v>41817</v>
      </c>
      <c r="BK2382" t="s">
        <v>123</v>
      </c>
      <c r="BL2382" t="str">
        <f>"2014.422848"</f>
        <v>2014.422848</v>
      </c>
      <c r="BM2382" t="s">
        <v>124</v>
      </c>
      <c r="BO2382" t="s">
        <v>15961</v>
      </c>
      <c r="BS2382">
        <v>30</v>
      </c>
      <c r="BW2382" t="str">
        <f>""</f>
        <v/>
      </c>
      <c r="CH2382" t="str">
        <f>""</f>
        <v/>
      </c>
      <c r="CS2382" t="str">
        <f>""</f>
        <v/>
      </c>
    </row>
    <row r="2383" spans="1:97" x14ac:dyDescent="0.25">
      <c r="A2383" t="s">
        <v>1083</v>
      </c>
      <c r="B2383" t="s">
        <v>8182</v>
      </c>
      <c r="C2383" t="s">
        <v>489</v>
      </c>
      <c r="D2383" t="s">
        <v>8182</v>
      </c>
      <c r="E2383" t="s">
        <v>15962</v>
      </c>
      <c r="F2383" t="s">
        <v>108</v>
      </c>
      <c r="H2383" t="s">
        <v>15963</v>
      </c>
      <c r="I2383" t="s">
        <v>188</v>
      </c>
      <c r="J2383" t="s">
        <v>111</v>
      </c>
      <c r="K2383" t="str">
        <f>"85142"</f>
        <v>85142</v>
      </c>
      <c r="L2383" t="s">
        <v>7339</v>
      </c>
      <c r="M2383" t="s">
        <v>15963</v>
      </c>
      <c r="N2383" t="s">
        <v>188</v>
      </c>
      <c r="O2383" t="s">
        <v>111</v>
      </c>
      <c r="P2383" t="str">
        <f>"85142-6802"</f>
        <v>85142-6802</v>
      </c>
      <c r="Q2383" t="s">
        <v>113</v>
      </c>
      <c r="R2383" t="str">
        <f>"304-65-585"</f>
        <v>304-65-585</v>
      </c>
      <c r="S2383" t="s">
        <v>15964</v>
      </c>
      <c r="U2383">
        <v>2677</v>
      </c>
      <c r="V2383">
        <v>0</v>
      </c>
      <c r="W2383">
        <v>3</v>
      </c>
      <c r="X2383">
        <v>2003</v>
      </c>
      <c r="Z2383">
        <v>2</v>
      </c>
      <c r="AB2383">
        <v>0</v>
      </c>
      <c r="AC2383" t="s">
        <v>115</v>
      </c>
      <c r="AD2383">
        <v>3</v>
      </c>
      <c r="AE2383" t="s">
        <v>115</v>
      </c>
      <c r="AF2383">
        <v>0</v>
      </c>
      <c r="AG2383">
        <v>0</v>
      </c>
      <c r="AH2383" t="s">
        <v>116</v>
      </c>
      <c r="AI2383" s="1">
        <v>75906</v>
      </c>
      <c r="AJ2383" s="2">
        <v>0.24</v>
      </c>
      <c r="AK2383" s="1">
        <v>310906</v>
      </c>
      <c r="AL2383" t="s">
        <v>117</v>
      </c>
      <c r="AM2383" t="s">
        <v>191</v>
      </c>
      <c r="AN2383">
        <v>5722</v>
      </c>
      <c r="AO2383">
        <v>0.13</v>
      </c>
      <c r="AP2383">
        <v>1</v>
      </c>
      <c r="AR2383">
        <v>1</v>
      </c>
      <c r="AS2383" s="1">
        <v>22260</v>
      </c>
      <c r="AT2383" s="1">
        <v>4450</v>
      </c>
      <c r="AU2383" s="1">
        <v>17810</v>
      </c>
      <c r="AV2383">
        <v>80.010000000000005</v>
      </c>
      <c r="AX2383" s="1">
        <v>2031.1</v>
      </c>
      <c r="AY2383" t="s">
        <v>5895</v>
      </c>
      <c r="AZ2383" t="s">
        <v>561</v>
      </c>
      <c r="BA2383" t="s">
        <v>194</v>
      </c>
      <c r="BE2383" s="3">
        <v>42458</v>
      </c>
      <c r="BF2383" s="1">
        <v>235000</v>
      </c>
      <c r="BG2383" t="s">
        <v>15965</v>
      </c>
      <c r="BH2383" s="1">
        <v>87.78</v>
      </c>
      <c r="BI2383" s="1">
        <v>235000</v>
      </c>
      <c r="BJ2383" s="3">
        <v>42458</v>
      </c>
      <c r="BK2383" t="s">
        <v>123</v>
      </c>
      <c r="BL2383" t="str">
        <f>"2016.200807"</f>
        <v>2016.200807</v>
      </c>
      <c r="BM2383" t="s">
        <v>475</v>
      </c>
      <c r="BO2383" t="s">
        <v>15966</v>
      </c>
      <c r="BS2383">
        <v>30</v>
      </c>
      <c r="BW2383" t="str">
        <f>""</f>
        <v/>
      </c>
      <c r="CH2383" t="str">
        <f>""</f>
        <v/>
      </c>
      <c r="CS2383" t="str">
        <f>""</f>
        <v/>
      </c>
    </row>
    <row r="2384" spans="1:97" x14ac:dyDescent="0.25">
      <c r="A2384" t="s">
        <v>3089</v>
      </c>
      <c r="B2384" t="s">
        <v>15967</v>
      </c>
      <c r="C2384" t="s">
        <v>3306</v>
      </c>
      <c r="D2384" t="s">
        <v>15967</v>
      </c>
      <c r="E2384" t="s">
        <v>15968</v>
      </c>
      <c r="F2384" t="s">
        <v>108</v>
      </c>
      <c r="H2384" t="s">
        <v>15969</v>
      </c>
      <c r="I2384" t="s">
        <v>110</v>
      </c>
      <c r="J2384" t="s">
        <v>111</v>
      </c>
      <c r="K2384" t="str">
        <f>"85249"</f>
        <v>85249</v>
      </c>
      <c r="L2384" t="s">
        <v>11709</v>
      </c>
      <c r="M2384" t="s">
        <v>15969</v>
      </c>
      <c r="N2384" t="s">
        <v>110</v>
      </c>
      <c r="O2384" t="s">
        <v>111</v>
      </c>
      <c r="P2384" t="str">
        <f>"85249-8530"</f>
        <v>85249-8530</v>
      </c>
      <c r="Q2384" t="s">
        <v>113</v>
      </c>
      <c r="R2384" t="str">
        <f>"303-57-797"</f>
        <v>303-57-797</v>
      </c>
      <c r="S2384" t="s">
        <v>15970</v>
      </c>
      <c r="U2384">
        <v>1467</v>
      </c>
      <c r="V2384">
        <v>0</v>
      </c>
      <c r="W2384">
        <v>3</v>
      </c>
      <c r="X2384">
        <v>1992</v>
      </c>
      <c r="Z2384">
        <v>1</v>
      </c>
      <c r="AB2384">
        <v>0</v>
      </c>
      <c r="AC2384" t="s">
        <v>115</v>
      </c>
      <c r="AD2384">
        <v>2</v>
      </c>
      <c r="AE2384" t="s">
        <v>115</v>
      </c>
      <c r="AF2384">
        <v>0</v>
      </c>
      <c r="AG2384">
        <v>0</v>
      </c>
      <c r="AH2384" t="s">
        <v>116</v>
      </c>
      <c r="AI2384" s="1">
        <v>48004</v>
      </c>
      <c r="AJ2384" s="2">
        <v>0.18</v>
      </c>
      <c r="AK2384" s="1">
        <v>272734</v>
      </c>
      <c r="AL2384" t="s">
        <v>117</v>
      </c>
      <c r="AM2384" t="s">
        <v>118</v>
      </c>
      <c r="AN2384">
        <v>5859</v>
      </c>
      <c r="AO2384">
        <v>0.14000000000000001</v>
      </c>
      <c r="AP2384">
        <v>1</v>
      </c>
      <c r="AR2384">
        <v>1</v>
      </c>
      <c r="AS2384" s="1">
        <v>17510</v>
      </c>
      <c r="AT2384" s="1">
        <v>3500</v>
      </c>
      <c r="AU2384" s="1">
        <v>14010</v>
      </c>
      <c r="AV2384">
        <v>80.010000000000005</v>
      </c>
      <c r="AX2384" s="1">
        <v>1658.52</v>
      </c>
      <c r="AY2384" t="s">
        <v>5050</v>
      </c>
      <c r="AZ2384" t="s">
        <v>120</v>
      </c>
      <c r="BA2384" t="s">
        <v>274</v>
      </c>
      <c r="BB2384" s="3">
        <v>42944</v>
      </c>
      <c r="BD2384" t="s">
        <v>157</v>
      </c>
      <c r="BE2384" s="3">
        <v>42453</v>
      </c>
      <c r="BF2384" s="1">
        <v>220000</v>
      </c>
      <c r="BG2384" t="s">
        <v>15971</v>
      </c>
      <c r="BH2384" s="1">
        <v>149.97</v>
      </c>
      <c r="BI2384" s="1">
        <v>224730</v>
      </c>
      <c r="BJ2384" s="3">
        <v>42453</v>
      </c>
      <c r="BK2384" t="s">
        <v>123</v>
      </c>
      <c r="BL2384" t="str">
        <f>"2016.192223"</f>
        <v>2016.192223</v>
      </c>
      <c r="BM2384" t="s">
        <v>8916</v>
      </c>
      <c r="BN2384" t="s">
        <v>8917</v>
      </c>
      <c r="BO2384" t="s">
        <v>15972</v>
      </c>
      <c r="BS2384">
        <v>30</v>
      </c>
      <c r="BW2384" t="str">
        <f>""</f>
        <v/>
      </c>
      <c r="CH2384" t="str">
        <f>""</f>
        <v/>
      </c>
      <c r="CS2384" t="str">
        <f>""</f>
        <v/>
      </c>
    </row>
    <row r="2385" spans="1:97" x14ac:dyDescent="0.25">
      <c r="A2385" t="s">
        <v>12368</v>
      </c>
      <c r="B2385" t="s">
        <v>15973</v>
      </c>
      <c r="E2385" t="s">
        <v>15974</v>
      </c>
      <c r="F2385" t="s">
        <v>108</v>
      </c>
      <c r="H2385" t="s">
        <v>15975</v>
      </c>
      <c r="I2385" t="s">
        <v>5387</v>
      </c>
      <c r="J2385" t="s">
        <v>111</v>
      </c>
      <c r="K2385" t="str">
        <f>"85283"</f>
        <v>85283</v>
      </c>
      <c r="L2385" t="s">
        <v>5799</v>
      </c>
      <c r="M2385" t="s">
        <v>15975</v>
      </c>
      <c r="N2385" t="s">
        <v>5387</v>
      </c>
      <c r="O2385" t="s">
        <v>111</v>
      </c>
      <c r="P2385" t="str">
        <f>"85283-2758"</f>
        <v>85283-2758</v>
      </c>
      <c r="Q2385" t="s">
        <v>113</v>
      </c>
      <c r="R2385" t="str">
        <f>"301-05-344"</f>
        <v>301-05-344</v>
      </c>
      <c r="S2385" t="s">
        <v>15976</v>
      </c>
      <c r="T2385" t="s">
        <v>15977</v>
      </c>
      <c r="U2385">
        <v>1490</v>
      </c>
      <c r="V2385">
        <v>0</v>
      </c>
      <c r="W2385">
        <v>2</v>
      </c>
      <c r="X2385">
        <v>1980</v>
      </c>
      <c r="Z2385">
        <v>1</v>
      </c>
      <c r="AB2385">
        <v>0</v>
      </c>
      <c r="AC2385" t="s">
        <v>115</v>
      </c>
      <c r="AD2385">
        <v>2</v>
      </c>
      <c r="AE2385" t="s">
        <v>115</v>
      </c>
      <c r="AF2385">
        <v>0</v>
      </c>
      <c r="AG2385">
        <v>0</v>
      </c>
      <c r="AH2385" t="s">
        <v>116</v>
      </c>
      <c r="AI2385" s="1">
        <v>32189</v>
      </c>
      <c r="AJ2385" s="2">
        <v>0.11</v>
      </c>
      <c r="AK2385" s="1">
        <v>287564</v>
      </c>
      <c r="AL2385" t="s">
        <v>117</v>
      </c>
      <c r="AM2385" t="s">
        <v>191</v>
      </c>
      <c r="AN2385">
        <v>13865</v>
      </c>
      <c r="AO2385">
        <v>0.32</v>
      </c>
      <c r="AP2385">
        <v>1</v>
      </c>
      <c r="AR2385">
        <v>1</v>
      </c>
      <c r="AS2385" s="1">
        <v>20000</v>
      </c>
      <c r="AT2385" s="1">
        <v>4000</v>
      </c>
      <c r="AU2385" s="1">
        <v>16000</v>
      </c>
      <c r="AV2385">
        <v>80</v>
      </c>
      <c r="AX2385" s="1">
        <v>1497.24</v>
      </c>
      <c r="AY2385" t="s">
        <v>12354</v>
      </c>
      <c r="AZ2385" t="s">
        <v>6726</v>
      </c>
      <c r="BA2385" t="s">
        <v>5392</v>
      </c>
      <c r="BE2385" s="3">
        <v>42488</v>
      </c>
      <c r="BF2385" s="1">
        <v>250000</v>
      </c>
      <c r="BG2385" t="s">
        <v>15978</v>
      </c>
      <c r="BH2385" s="1">
        <v>167.79</v>
      </c>
      <c r="BI2385" s="1">
        <v>255375</v>
      </c>
      <c r="BJ2385" s="3">
        <v>42488</v>
      </c>
      <c r="BK2385" t="s">
        <v>123</v>
      </c>
      <c r="BL2385" t="str">
        <f>"2016.286593"</f>
        <v>2016.286593</v>
      </c>
      <c r="BM2385" t="s">
        <v>3453</v>
      </c>
      <c r="BO2385" t="s">
        <v>15979</v>
      </c>
      <c r="BS2385">
        <v>30</v>
      </c>
      <c r="BW2385" t="str">
        <f>""</f>
        <v/>
      </c>
      <c r="CH2385" t="str">
        <f>""</f>
        <v/>
      </c>
      <c r="CS2385" t="str">
        <f>""</f>
        <v/>
      </c>
    </row>
    <row r="2386" spans="1:97" x14ac:dyDescent="0.25">
      <c r="A2386" t="s">
        <v>5224</v>
      </c>
      <c r="B2386" t="s">
        <v>15980</v>
      </c>
      <c r="C2386" t="s">
        <v>2281</v>
      </c>
      <c r="D2386" t="s">
        <v>15980</v>
      </c>
      <c r="E2386" t="s">
        <v>15981</v>
      </c>
      <c r="F2386" t="s">
        <v>108</v>
      </c>
      <c r="H2386" t="s">
        <v>15982</v>
      </c>
      <c r="I2386" t="s">
        <v>632</v>
      </c>
      <c r="J2386" t="s">
        <v>111</v>
      </c>
      <c r="K2386" t="str">
        <f>"85379"</f>
        <v>85379</v>
      </c>
      <c r="L2386" t="s">
        <v>5058</v>
      </c>
      <c r="M2386" t="s">
        <v>15982</v>
      </c>
      <c r="N2386" t="s">
        <v>632</v>
      </c>
      <c r="O2386" t="s">
        <v>111</v>
      </c>
      <c r="P2386" t="str">
        <f>"85379-1126"</f>
        <v>85379-1126</v>
      </c>
      <c r="Q2386" t="s">
        <v>113</v>
      </c>
      <c r="R2386" t="str">
        <f>"501-79-182"</f>
        <v>501-79-182</v>
      </c>
      <c r="S2386" t="s">
        <v>5059</v>
      </c>
      <c r="U2386">
        <v>2309</v>
      </c>
      <c r="V2386">
        <v>0</v>
      </c>
      <c r="W2386">
        <v>3</v>
      </c>
      <c r="X2386">
        <v>2014</v>
      </c>
      <c r="Z2386">
        <v>1</v>
      </c>
      <c r="AB2386">
        <v>0</v>
      </c>
      <c r="AC2386" t="s">
        <v>115</v>
      </c>
      <c r="AD2386">
        <v>3</v>
      </c>
      <c r="AE2386" t="s">
        <v>115</v>
      </c>
      <c r="AF2386">
        <v>0</v>
      </c>
      <c r="AG2386">
        <v>0</v>
      </c>
      <c r="AH2386" t="s">
        <v>116</v>
      </c>
      <c r="AI2386" s="1">
        <v>-8768</v>
      </c>
      <c r="AJ2386" s="2">
        <v>-0.02</v>
      </c>
      <c r="AK2386" s="1">
        <v>361232</v>
      </c>
      <c r="AL2386" t="s">
        <v>117</v>
      </c>
      <c r="AM2386" t="s">
        <v>118</v>
      </c>
      <c r="AN2386">
        <v>9552</v>
      </c>
      <c r="AO2386">
        <v>0.22</v>
      </c>
      <c r="AR2386">
        <v>1</v>
      </c>
      <c r="AS2386" s="1">
        <v>28160</v>
      </c>
      <c r="AT2386" s="1">
        <v>5630</v>
      </c>
      <c r="AU2386" s="1">
        <v>22530</v>
      </c>
      <c r="AV2386">
        <v>80.010000000000005</v>
      </c>
      <c r="AX2386" s="1">
        <v>2209.52</v>
      </c>
      <c r="AY2386" t="s">
        <v>5060</v>
      </c>
      <c r="AZ2386" t="s">
        <v>5060</v>
      </c>
      <c r="BA2386" t="s">
        <v>5061</v>
      </c>
      <c r="BE2386" s="3">
        <v>41891</v>
      </c>
      <c r="BF2386" s="1">
        <v>308788</v>
      </c>
      <c r="BG2386" t="s">
        <v>3524</v>
      </c>
      <c r="BH2386" s="1">
        <v>133.72999999999999</v>
      </c>
      <c r="BI2386" s="1">
        <v>370000</v>
      </c>
      <c r="BJ2386" s="3">
        <v>43636</v>
      </c>
      <c r="BK2386" t="s">
        <v>123</v>
      </c>
      <c r="BL2386" t="str">
        <f>"2019.463877"</f>
        <v>2019.463877</v>
      </c>
      <c r="BM2386" t="s">
        <v>460</v>
      </c>
      <c r="BN2386" t="s">
        <v>461</v>
      </c>
      <c r="BO2386" t="s">
        <v>15983</v>
      </c>
      <c r="BP2386" t="s">
        <v>15984</v>
      </c>
      <c r="BR2386" t="s">
        <v>139</v>
      </c>
      <c r="BW2386" t="str">
        <f>""</f>
        <v/>
      </c>
      <c r="CH2386" t="str">
        <f>""</f>
        <v/>
      </c>
      <c r="CS2386" t="str">
        <f>""</f>
        <v/>
      </c>
    </row>
    <row r="2387" spans="1:97" x14ac:dyDescent="0.25">
      <c r="A2387" t="s">
        <v>7313</v>
      </c>
      <c r="B2387" t="s">
        <v>15985</v>
      </c>
      <c r="C2387" t="s">
        <v>5452</v>
      </c>
      <c r="D2387" t="s">
        <v>15985</v>
      </c>
      <c r="E2387" t="s">
        <v>15986</v>
      </c>
      <c r="F2387" t="s">
        <v>108</v>
      </c>
      <c r="H2387" t="s">
        <v>15987</v>
      </c>
      <c r="I2387" t="s">
        <v>499</v>
      </c>
      <c r="J2387" t="s">
        <v>111</v>
      </c>
      <c r="K2387" t="str">
        <f>"85338"</f>
        <v>85338</v>
      </c>
      <c r="L2387" t="s">
        <v>7339</v>
      </c>
      <c r="M2387" t="s">
        <v>15987</v>
      </c>
      <c r="N2387" t="s">
        <v>499</v>
      </c>
      <c r="O2387" t="s">
        <v>111</v>
      </c>
      <c r="P2387" t="str">
        <f>"85338-5702"</f>
        <v>85338-5702</v>
      </c>
      <c r="Q2387" t="s">
        <v>113</v>
      </c>
      <c r="R2387" t="str">
        <f>"400-03-620"</f>
        <v>400-03-620</v>
      </c>
      <c r="S2387" t="s">
        <v>13898</v>
      </c>
      <c r="U2387">
        <v>2128</v>
      </c>
      <c r="V2387">
        <v>0</v>
      </c>
      <c r="W2387">
        <v>4</v>
      </c>
      <c r="X2387">
        <v>2000</v>
      </c>
      <c r="Z2387">
        <v>2</v>
      </c>
      <c r="AA2387" t="s">
        <v>26</v>
      </c>
      <c r="AB2387">
        <v>0</v>
      </c>
      <c r="AC2387" t="s">
        <v>115</v>
      </c>
      <c r="AD2387">
        <v>2</v>
      </c>
      <c r="AE2387" t="s">
        <v>115</v>
      </c>
      <c r="AF2387">
        <v>0</v>
      </c>
      <c r="AG2387">
        <v>0</v>
      </c>
      <c r="AH2387" t="s">
        <v>116</v>
      </c>
      <c r="AI2387" s="1">
        <v>72754</v>
      </c>
      <c r="AJ2387" s="2">
        <v>0.24</v>
      </c>
      <c r="AK2387" s="1">
        <v>300054</v>
      </c>
      <c r="AL2387" t="s">
        <v>117</v>
      </c>
      <c r="AM2387" t="s">
        <v>118</v>
      </c>
      <c r="AN2387">
        <v>6372</v>
      </c>
      <c r="AO2387">
        <v>0.15</v>
      </c>
      <c r="AP2387">
        <v>1</v>
      </c>
      <c r="AR2387">
        <v>1</v>
      </c>
      <c r="AS2387" s="1">
        <v>20480</v>
      </c>
      <c r="AT2387" s="1">
        <v>4090</v>
      </c>
      <c r="AU2387" s="1">
        <v>16390</v>
      </c>
      <c r="AV2387">
        <v>80.03</v>
      </c>
      <c r="AX2387" s="1">
        <v>1725.18</v>
      </c>
      <c r="AY2387" t="s">
        <v>1246</v>
      </c>
      <c r="AZ2387" t="s">
        <v>1246</v>
      </c>
      <c r="BA2387" t="s">
        <v>1247</v>
      </c>
      <c r="BB2387" s="3">
        <v>42661</v>
      </c>
      <c r="BD2387" t="s">
        <v>458</v>
      </c>
      <c r="BE2387" s="3">
        <v>41873</v>
      </c>
      <c r="BF2387" s="1">
        <v>216000</v>
      </c>
      <c r="BG2387" t="s">
        <v>15988</v>
      </c>
      <c r="BH2387" s="1">
        <v>101.5</v>
      </c>
      <c r="BI2387" s="1">
        <v>227300</v>
      </c>
      <c r="BJ2387" s="3">
        <v>42597</v>
      </c>
      <c r="BK2387" t="s">
        <v>123</v>
      </c>
      <c r="BL2387" t="str">
        <f>"2016.582948"</f>
        <v>2016.582948</v>
      </c>
      <c r="BM2387" t="s">
        <v>1122</v>
      </c>
      <c r="BO2387" t="s">
        <v>15989</v>
      </c>
      <c r="BS2387">
        <v>30</v>
      </c>
      <c r="BW2387" t="str">
        <f>""</f>
        <v/>
      </c>
      <c r="CH2387" t="str">
        <f>""</f>
        <v/>
      </c>
      <c r="CS2387" t="str">
        <f>""</f>
        <v/>
      </c>
    </row>
    <row r="2388" spans="1:97" x14ac:dyDescent="0.25">
      <c r="A2388" t="s">
        <v>5771</v>
      </c>
      <c r="B2388" t="s">
        <v>15990</v>
      </c>
      <c r="E2388" t="s">
        <v>15991</v>
      </c>
      <c r="F2388" t="s">
        <v>108</v>
      </c>
      <c r="H2388" t="s">
        <v>15992</v>
      </c>
      <c r="I2388" t="s">
        <v>390</v>
      </c>
      <c r="J2388" t="s">
        <v>111</v>
      </c>
      <c r="K2388" t="str">
        <f>"85041"</f>
        <v>85041</v>
      </c>
      <c r="L2388" t="s">
        <v>375</v>
      </c>
      <c r="M2388" t="s">
        <v>15992</v>
      </c>
      <c r="N2388" t="s">
        <v>390</v>
      </c>
      <c r="O2388" t="s">
        <v>111</v>
      </c>
      <c r="P2388" t="str">
        <f>"85041-7600"</f>
        <v>85041-7600</v>
      </c>
      <c r="Q2388" t="s">
        <v>113</v>
      </c>
      <c r="R2388" t="str">
        <f>"300-17-225"</f>
        <v>300-17-225</v>
      </c>
      <c r="S2388" t="s">
        <v>7013</v>
      </c>
      <c r="T2388" t="s">
        <v>7014</v>
      </c>
      <c r="U2388">
        <v>2237</v>
      </c>
      <c r="V2388">
        <v>0</v>
      </c>
      <c r="W2388">
        <v>3</v>
      </c>
      <c r="X2388">
        <v>2007</v>
      </c>
      <c r="Z2388">
        <v>1</v>
      </c>
      <c r="AA2388" t="s">
        <v>26</v>
      </c>
      <c r="AB2388">
        <v>0</v>
      </c>
      <c r="AC2388" t="s">
        <v>115</v>
      </c>
      <c r="AD2388">
        <v>2</v>
      </c>
      <c r="AE2388" t="s">
        <v>115</v>
      </c>
      <c r="AF2388">
        <v>0</v>
      </c>
      <c r="AG2388">
        <v>0</v>
      </c>
      <c r="AH2388" t="s">
        <v>116</v>
      </c>
      <c r="AI2388" s="1">
        <v>36855</v>
      </c>
      <c r="AJ2388" s="2">
        <v>0.13</v>
      </c>
      <c r="AK2388" s="1">
        <v>278519</v>
      </c>
      <c r="AL2388" t="s">
        <v>117</v>
      </c>
      <c r="AM2388" t="s">
        <v>760</v>
      </c>
      <c r="AN2388">
        <v>10266</v>
      </c>
      <c r="AO2388">
        <v>0.24</v>
      </c>
      <c r="AR2388">
        <v>1</v>
      </c>
      <c r="AS2388" s="1">
        <v>19220</v>
      </c>
      <c r="AT2388" s="1">
        <v>3840</v>
      </c>
      <c r="AU2388" s="1">
        <v>15380</v>
      </c>
      <c r="AV2388">
        <v>80.02</v>
      </c>
      <c r="AX2388" s="1">
        <v>2583.12</v>
      </c>
      <c r="AY2388" t="s">
        <v>7015</v>
      </c>
      <c r="AZ2388" t="s">
        <v>7015</v>
      </c>
      <c r="BA2388" t="s">
        <v>1661</v>
      </c>
      <c r="BE2388" s="3">
        <v>42307</v>
      </c>
      <c r="BF2388" s="1">
        <v>236000</v>
      </c>
      <c r="BG2388" t="s">
        <v>15993</v>
      </c>
      <c r="BH2388" s="1">
        <v>105.5</v>
      </c>
      <c r="BI2388" s="1">
        <v>241664</v>
      </c>
      <c r="BJ2388" s="3">
        <v>42307</v>
      </c>
      <c r="BK2388" t="s">
        <v>123</v>
      </c>
      <c r="BL2388" t="str">
        <f>"2015.784256"</f>
        <v>2015.784256</v>
      </c>
      <c r="BM2388" t="s">
        <v>1033</v>
      </c>
      <c r="BO2388" t="s">
        <v>15994</v>
      </c>
      <c r="BS2388">
        <v>30</v>
      </c>
      <c r="BW2388" t="str">
        <f>""</f>
        <v/>
      </c>
      <c r="CH2388" t="str">
        <f>""</f>
        <v/>
      </c>
      <c r="CS2388" t="str">
        <f>""</f>
        <v/>
      </c>
    </row>
    <row r="2389" spans="1:97" x14ac:dyDescent="0.25">
      <c r="A2389" t="s">
        <v>1850</v>
      </c>
      <c r="B2389" t="s">
        <v>11649</v>
      </c>
      <c r="E2389" t="s">
        <v>15995</v>
      </c>
      <c r="F2389" t="s">
        <v>108</v>
      </c>
      <c r="H2389" t="s">
        <v>15996</v>
      </c>
      <c r="I2389" t="s">
        <v>499</v>
      </c>
      <c r="J2389" t="s">
        <v>111</v>
      </c>
      <c r="K2389" t="str">
        <f>"85338"</f>
        <v>85338</v>
      </c>
      <c r="L2389" t="s">
        <v>1796</v>
      </c>
      <c r="M2389" t="s">
        <v>15996</v>
      </c>
      <c r="N2389" t="s">
        <v>499</v>
      </c>
      <c r="O2389" t="s">
        <v>111</v>
      </c>
      <c r="P2389" t="str">
        <f>"85338-2631"</f>
        <v>85338-2631</v>
      </c>
      <c r="Q2389" t="s">
        <v>113</v>
      </c>
      <c r="R2389" t="str">
        <f>"400-80-745"</f>
        <v>400-80-745</v>
      </c>
      <c r="S2389" t="s">
        <v>15997</v>
      </c>
      <c r="U2389">
        <v>2002</v>
      </c>
      <c r="V2389">
        <v>0</v>
      </c>
      <c r="W2389">
        <v>3</v>
      </c>
      <c r="X2389">
        <v>2011</v>
      </c>
      <c r="Z2389">
        <v>1</v>
      </c>
      <c r="AB2389">
        <v>0</v>
      </c>
      <c r="AC2389" t="s">
        <v>115</v>
      </c>
      <c r="AD2389">
        <v>2</v>
      </c>
      <c r="AE2389" t="s">
        <v>115</v>
      </c>
      <c r="AF2389">
        <v>0</v>
      </c>
      <c r="AG2389">
        <v>0</v>
      </c>
      <c r="AH2389" t="s">
        <v>116</v>
      </c>
      <c r="AI2389" s="1">
        <v>73800</v>
      </c>
      <c r="AJ2389" s="2">
        <v>0.22</v>
      </c>
      <c r="AK2389" s="1">
        <v>329072</v>
      </c>
      <c r="AL2389" t="s">
        <v>117</v>
      </c>
      <c r="AM2389" t="s">
        <v>118</v>
      </c>
      <c r="AN2389">
        <v>11787</v>
      </c>
      <c r="AO2389">
        <v>0.27</v>
      </c>
      <c r="AR2389">
        <v>1</v>
      </c>
      <c r="AS2389" s="1">
        <v>24410</v>
      </c>
      <c r="AT2389" s="1">
        <v>4880</v>
      </c>
      <c r="AU2389" s="1">
        <v>19530</v>
      </c>
      <c r="AV2389">
        <v>80.010000000000005</v>
      </c>
      <c r="AX2389" s="1">
        <v>3555.42</v>
      </c>
      <c r="AY2389" t="s">
        <v>1246</v>
      </c>
      <c r="AZ2389" t="s">
        <v>1246</v>
      </c>
      <c r="BA2389" t="s">
        <v>1247</v>
      </c>
      <c r="BE2389" s="3">
        <v>42226</v>
      </c>
      <c r="BF2389" s="1">
        <v>249900</v>
      </c>
      <c r="BG2389" t="s">
        <v>15998</v>
      </c>
      <c r="BH2389" s="1">
        <v>124.83</v>
      </c>
      <c r="BI2389" s="1">
        <v>255272</v>
      </c>
      <c r="BJ2389" s="3">
        <v>42226</v>
      </c>
      <c r="BK2389" t="s">
        <v>123</v>
      </c>
      <c r="BL2389" t="str">
        <f>"2015.577159"</f>
        <v>2015.577159</v>
      </c>
      <c r="BM2389" t="s">
        <v>1185</v>
      </c>
      <c r="BO2389" t="s">
        <v>15999</v>
      </c>
      <c r="BS2389">
        <v>30</v>
      </c>
      <c r="BW2389" t="str">
        <f>""</f>
        <v/>
      </c>
      <c r="CH2389" t="str">
        <f>""</f>
        <v/>
      </c>
      <c r="CS2389" t="str">
        <f>""</f>
        <v/>
      </c>
    </row>
    <row r="2390" spans="1:97" x14ac:dyDescent="0.25">
      <c r="A2390" t="s">
        <v>16000</v>
      </c>
      <c r="B2390" t="s">
        <v>16001</v>
      </c>
      <c r="E2390" t="s">
        <v>16002</v>
      </c>
      <c r="F2390" t="s">
        <v>108</v>
      </c>
      <c r="H2390" t="s">
        <v>16003</v>
      </c>
      <c r="I2390" t="s">
        <v>390</v>
      </c>
      <c r="J2390" t="s">
        <v>111</v>
      </c>
      <c r="K2390" t="str">
        <f>"85022"</f>
        <v>85022</v>
      </c>
      <c r="L2390" t="s">
        <v>6691</v>
      </c>
      <c r="M2390" t="s">
        <v>16003</v>
      </c>
      <c r="N2390" t="s">
        <v>390</v>
      </c>
      <c r="O2390" t="s">
        <v>111</v>
      </c>
      <c r="P2390" t="str">
        <f>"85022-2969"</f>
        <v>85022-2969</v>
      </c>
      <c r="Q2390" t="s">
        <v>113</v>
      </c>
      <c r="R2390" t="str">
        <f>"214-20-553"</f>
        <v>214-20-553</v>
      </c>
      <c r="S2390" t="s">
        <v>16004</v>
      </c>
      <c r="T2390" t="s">
        <v>16004</v>
      </c>
      <c r="U2390">
        <v>1275</v>
      </c>
      <c r="V2390">
        <v>0</v>
      </c>
      <c r="W2390">
        <v>2</v>
      </c>
      <c r="X2390">
        <v>2001</v>
      </c>
      <c r="Z2390">
        <v>1</v>
      </c>
      <c r="AB2390">
        <v>0</v>
      </c>
      <c r="AC2390" t="s">
        <v>115</v>
      </c>
      <c r="AD2390">
        <v>2</v>
      </c>
      <c r="AE2390" t="s">
        <v>115</v>
      </c>
      <c r="AF2390">
        <v>0</v>
      </c>
      <c r="AG2390">
        <v>0</v>
      </c>
      <c r="AH2390" t="s">
        <v>116</v>
      </c>
      <c r="AI2390" s="1">
        <v>54385</v>
      </c>
      <c r="AJ2390" s="2">
        <v>0.21</v>
      </c>
      <c r="AK2390" s="1">
        <v>263792</v>
      </c>
      <c r="AL2390" t="s">
        <v>117</v>
      </c>
      <c r="AM2390" t="s">
        <v>191</v>
      </c>
      <c r="AN2390">
        <v>4734</v>
      </c>
      <c r="AO2390">
        <v>0.11</v>
      </c>
      <c r="AP2390">
        <v>1</v>
      </c>
      <c r="AR2390">
        <v>1</v>
      </c>
      <c r="AS2390" s="1">
        <v>18070</v>
      </c>
      <c r="AT2390" s="1">
        <v>3610</v>
      </c>
      <c r="AU2390" s="1">
        <v>14460</v>
      </c>
      <c r="AV2390">
        <v>80.02</v>
      </c>
      <c r="AX2390" s="1">
        <v>1269.8800000000001</v>
      </c>
      <c r="AY2390" t="s">
        <v>5442</v>
      </c>
      <c r="AZ2390" t="s">
        <v>5231</v>
      </c>
      <c r="BA2390" t="s">
        <v>2551</v>
      </c>
      <c r="BE2390" s="3">
        <v>42517</v>
      </c>
      <c r="BF2390" s="1">
        <v>205000</v>
      </c>
      <c r="BG2390" t="s">
        <v>16005</v>
      </c>
      <c r="BH2390" s="1">
        <v>160.78</v>
      </c>
      <c r="BI2390" s="1">
        <v>209407</v>
      </c>
      <c r="BJ2390" s="3">
        <v>42517</v>
      </c>
      <c r="BK2390" t="s">
        <v>123</v>
      </c>
      <c r="BL2390" t="str">
        <f>"2016.367736"</f>
        <v>2016.367736</v>
      </c>
      <c r="BM2390" t="s">
        <v>1544</v>
      </c>
      <c r="BO2390" t="s">
        <v>16006</v>
      </c>
      <c r="BS2390">
        <v>30</v>
      </c>
      <c r="BW2390" t="str">
        <f>""</f>
        <v/>
      </c>
      <c r="CH2390" t="str">
        <f>""</f>
        <v/>
      </c>
      <c r="CS2390" t="str">
        <f>""</f>
        <v/>
      </c>
    </row>
    <row r="2391" spans="1:97" x14ac:dyDescent="0.25">
      <c r="A2391" t="s">
        <v>305</v>
      </c>
      <c r="B2391" t="s">
        <v>16007</v>
      </c>
      <c r="C2391" t="s">
        <v>7364</v>
      </c>
      <c r="D2391" t="s">
        <v>16007</v>
      </c>
      <c r="E2391" t="s">
        <v>16008</v>
      </c>
      <c r="F2391" t="s">
        <v>108</v>
      </c>
      <c r="H2391" t="s">
        <v>16009</v>
      </c>
      <c r="I2391" t="s">
        <v>5114</v>
      </c>
      <c r="J2391" t="s">
        <v>111</v>
      </c>
      <c r="K2391" t="str">
        <f>"85323"</f>
        <v>85323</v>
      </c>
      <c r="L2391" t="s">
        <v>337</v>
      </c>
      <c r="M2391" t="s">
        <v>16009</v>
      </c>
      <c r="N2391" t="s">
        <v>5114</v>
      </c>
      <c r="O2391" t="s">
        <v>111</v>
      </c>
      <c r="P2391" t="str">
        <f>"85323-1192"</f>
        <v>85323-1192</v>
      </c>
      <c r="Q2391" t="s">
        <v>113</v>
      </c>
      <c r="R2391" t="str">
        <f>"500-95-635"</f>
        <v>500-95-635</v>
      </c>
      <c r="S2391" t="s">
        <v>16010</v>
      </c>
      <c r="U2391">
        <v>1524</v>
      </c>
      <c r="V2391">
        <v>0</v>
      </c>
      <c r="W2391">
        <v>3</v>
      </c>
      <c r="X2391">
        <v>2006</v>
      </c>
      <c r="Z2391">
        <v>1</v>
      </c>
      <c r="AB2391">
        <v>0</v>
      </c>
      <c r="AC2391" t="s">
        <v>115</v>
      </c>
      <c r="AD2391">
        <v>2</v>
      </c>
      <c r="AE2391" t="s">
        <v>115</v>
      </c>
      <c r="AF2391">
        <v>0</v>
      </c>
      <c r="AG2391">
        <v>0</v>
      </c>
      <c r="AH2391" t="s">
        <v>116</v>
      </c>
      <c r="AI2391" s="1">
        <v>15272</v>
      </c>
      <c r="AJ2391" s="2">
        <v>0.06</v>
      </c>
      <c r="AK2391" s="1">
        <v>236171</v>
      </c>
      <c r="AL2391" t="s">
        <v>117</v>
      </c>
      <c r="AM2391" t="s">
        <v>118</v>
      </c>
      <c r="AN2391">
        <v>5959</v>
      </c>
      <c r="AO2391">
        <v>0.14000000000000001</v>
      </c>
      <c r="AR2391">
        <v>1</v>
      </c>
      <c r="AS2391" s="1">
        <v>15120</v>
      </c>
      <c r="AT2391" s="1">
        <v>3020</v>
      </c>
      <c r="AU2391" s="1">
        <v>12100</v>
      </c>
      <c r="AV2391">
        <v>80.03</v>
      </c>
      <c r="AX2391" s="1">
        <v>1365.5</v>
      </c>
      <c r="AY2391" t="s">
        <v>9447</v>
      </c>
      <c r="AZ2391" t="s">
        <v>9447</v>
      </c>
      <c r="BA2391" t="s">
        <v>4254</v>
      </c>
      <c r="BE2391" s="3">
        <v>41844</v>
      </c>
      <c r="BF2391" s="1">
        <v>160000</v>
      </c>
      <c r="BG2391" t="s">
        <v>16011</v>
      </c>
      <c r="BH2391" s="1">
        <v>104.99</v>
      </c>
      <c r="BI2391" s="1">
        <v>220899</v>
      </c>
      <c r="BJ2391" s="3">
        <v>43467</v>
      </c>
      <c r="BK2391" t="s">
        <v>123</v>
      </c>
      <c r="BL2391" t="str">
        <f>"2019.1517"</f>
        <v>2019.1517</v>
      </c>
      <c r="BM2391" t="s">
        <v>2891</v>
      </c>
      <c r="BN2391" t="s">
        <v>381</v>
      </c>
      <c r="BO2391" t="s">
        <v>16012</v>
      </c>
      <c r="BP2391" t="s">
        <v>16013</v>
      </c>
      <c r="BR2391" t="s">
        <v>139</v>
      </c>
      <c r="BW2391" t="str">
        <f>""</f>
        <v/>
      </c>
      <c r="CH2391" t="str">
        <f>""</f>
        <v/>
      </c>
      <c r="CS2391" t="str">
        <f>""</f>
        <v/>
      </c>
    </row>
    <row r="2392" spans="1:97" x14ac:dyDescent="0.25">
      <c r="B2392" t="s">
        <v>16014</v>
      </c>
      <c r="E2392" t="s">
        <v>16015</v>
      </c>
      <c r="F2392" t="s">
        <v>108</v>
      </c>
      <c r="H2392" t="s">
        <v>16016</v>
      </c>
      <c r="I2392" t="s">
        <v>632</v>
      </c>
      <c r="J2392" t="s">
        <v>111</v>
      </c>
      <c r="K2392" t="str">
        <f>"85388"</f>
        <v>85388</v>
      </c>
      <c r="L2392" t="s">
        <v>4467</v>
      </c>
      <c r="M2392" t="s">
        <v>16016</v>
      </c>
      <c r="N2392" t="s">
        <v>632</v>
      </c>
      <c r="O2392" t="s">
        <v>111</v>
      </c>
      <c r="P2392" t="str">
        <f>"85388-2352"</f>
        <v>85388-2352</v>
      </c>
      <c r="Q2392" t="s">
        <v>113</v>
      </c>
      <c r="R2392" t="str">
        <f>"502-09-655"</f>
        <v>502-09-655</v>
      </c>
      <c r="S2392" t="s">
        <v>5359</v>
      </c>
      <c r="T2392" t="s">
        <v>5360</v>
      </c>
      <c r="U2392">
        <v>2519</v>
      </c>
      <c r="V2392">
        <v>0</v>
      </c>
      <c r="W2392">
        <v>3</v>
      </c>
      <c r="X2392">
        <v>2014</v>
      </c>
      <c r="Z2392">
        <v>1</v>
      </c>
      <c r="AA2392" t="s">
        <v>26</v>
      </c>
      <c r="AB2392">
        <v>0</v>
      </c>
      <c r="AC2392" t="s">
        <v>115</v>
      </c>
      <c r="AD2392">
        <v>3</v>
      </c>
      <c r="AE2392" t="s">
        <v>115</v>
      </c>
      <c r="AF2392">
        <v>0</v>
      </c>
      <c r="AG2392">
        <v>0</v>
      </c>
      <c r="AH2392" t="s">
        <v>116</v>
      </c>
      <c r="AI2392" s="1">
        <v>112581</v>
      </c>
      <c r="AJ2392" s="2">
        <v>0.33</v>
      </c>
      <c r="AK2392" s="1">
        <v>339567</v>
      </c>
      <c r="AL2392" t="s">
        <v>117</v>
      </c>
      <c r="AM2392" t="s">
        <v>118</v>
      </c>
      <c r="AN2392">
        <v>7140</v>
      </c>
      <c r="AO2392">
        <v>0.16</v>
      </c>
      <c r="AR2392">
        <v>1</v>
      </c>
      <c r="AS2392" s="1">
        <v>25830</v>
      </c>
      <c r="AT2392" s="1">
        <v>5160</v>
      </c>
      <c r="AU2392" s="1">
        <v>20670</v>
      </c>
      <c r="AV2392">
        <v>80.02</v>
      </c>
      <c r="AX2392" s="1">
        <v>2087.1</v>
      </c>
      <c r="AY2392" t="s">
        <v>5168</v>
      </c>
      <c r="AZ2392" t="s">
        <v>5168</v>
      </c>
      <c r="BA2392" t="s">
        <v>5109</v>
      </c>
      <c r="BB2392" s="3">
        <v>41761</v>
      </c>
      <c r="BD2392" t="s">
        <v>480</v>
      </c>
      <c r="BE2392" s="3">
        <v>41684</v>
      </c>
      <c r="BF2392" s="1">
        <v>257903</v>
      </c>
      <c r="BG2392" t="s">
        <v>2289</v>
      </c>
      <c r="BH2392" s="1">
        <v>102.38</v>
      </c>
      <c r="BI2392" s="1">
        <v>226986</v>
      </c>
      <c r="BJ2392" s="3">
        <v>41684</v>
      </c>
      <c r="BK2392" t="s">
        <v>123</v>
      </c>
      <c r="BL2392" t="str">
        <f>"2014.101786"</f>
        <v>2014.101786</v>
      </c>
      <c r="BM2392" t="s">
        <v>2290</v>
      </c>
      <c r="BO2392" t="s">
        <v>16017</v>
      </c>
      <c r="BS2392">
        <v>30</v>
      </c>
      <c r="BW2392" t="str">
        <f>""</f>
        <v/>
      </c>
      <c r="CH2392" t="str">
        <f>""</f>
        <v/>
      </c>
      <c r="CS2392" t="str">
        <f>""</f>
        <v/>
      </c>
    </row>
    <row r="2393" spans="1:97" x14ac:dyDescent="0.25">
      <c r="A2393" t="s">
        <v>1444</v>
      </c>
      <c r="B2393" t="s">
        <v>16018</v>
      </c>
      <c r="C2393" t="s">
        <v>5014</v>
      </c>
      <c r="D2393" t="s">
        <v>16018</v>
      </c>
      <c r="E2393" t="s">
        <v>16019</v>
      </c>
      <c r="F2393" t="s">
        <v>108</v>
      </c>
      <c r="H2393" t="s">
        <v>16020</v>
      </c>
      <c r="I2393" t="s">
        <v>144</v>
      </c>
      <c r="J2393" t="s">
        <v>111</v>
      </c>
      <c r="K2393" t="str">
        <f>"85326"</f>
        <v>85326</v>
      </c>
      <c r="L2393" t="s">
        <v>6308</v>
      </c>
      <c r="M2393" t="s">
        <v>16020</v>
      </c>
      <c r="N2393" t="s">
        <v>144</v>
      </c>
      <c r="O2393" t="s">
        <v>111</v>
      </c>
      <c r="P2393" t="str">
        <f>"85326-3397"</f>
        <v>85326-3397</v>
      </c>
      <c r="Q2393" t="s">
        <v>113</v>
      </c>
      <c r="R2393" t="str">
        <f>"504-24-230"</f>
        <v>504-24-230</v>
      </c>
      <c r="S2393" t="s">
        <v>15209</v>
      </c>
      <c r="T2393" t="s">
        <v>15209</v>
      </c>
      <c r="U2393">
        <v>3208</v>
      </c>
      <c r="V2393">
        <v>0</v>
      </c>
      <c r="W2393">
        <v>4</v>
      </c>
      <c r="X2393">
        <v>2013</v>
      </c>
      <c r="Z2393">
        <v>2</v>
      </c>
      <c r="AB2393">
        <v>0</v>
      </c>
      <c r="AC2393" t="s">
        <v>115</v>
      </c>
      <c r="AD2393">
        <v>2</v>
      </c>
      <c r="AE2393" t="s">
        <v>115</v>
      </c>
      <c r="AF2393">
        <v>0</v>
      </c>
      <c r="AG2393">
        <v>0</v>
      </c>
      <c r="AH2393" t="s">
        <v>116</v>
      </c>
      <c r="AI2393" s="1">
        <v>66655</v>
      </c>
      <c r="AJ2393" s="2">
        <v>0.23</v>
      </c>
      <c r="AK2393" s="1">
        <v>288894</v>
      </c>
      <c r="AL2393" t="s">
        <v>117</v>
      </c>
      <c r="AM2393" t="s">
        <v>5023</v>
      </c>
      <c r="AN2393">
        <v>7134</v>
      </c>
      <c r="AO2393">
        <v>0.16</v>
      </c>
      <c r="AR2393">
        <v>1</v>
      </c>
      <c r="AS2393" s="1">
        <v>20550</v>
      </c>
      <c r="AT2393" s="1">
        <v>4110</v>
      </c>
      <c r="AU2393" s="1">
        <v>16440</v>
      </c>
      <c r="AV2393">
        <v>80</v>
      </c>
      <c r="AX2393" s="1">
        <v>2000.16</v>
      </c>
      <c r="AY2393" t="s">
        <v>9621</v>
      </c>
      <c r="AZ2393" t="s">
        <v>9621</v>
      </c>
      <c r="BA2393" t="s">
        <v>5025</v>
      </c>
      <c r="BE2393" s="3">
        <v>41802</v>
      </c>
      <c r="BF2393" s="1">
        <v>222239</v>
      </c>
      <c r="BG2393" t="s">
        <v>1975</v>
      </c>
      <c r="BH2393" s="1">
        <v>69.28</v>
      </c>
      <c r="BI2393" s="1">
        <v>222239</v>
      </c>
      <c r="BJ2393" s="3">
        <v>41802</v>
      </c>
      <c r="BK2393" t="s">
        <v>123</v>
      </c>
      <c r="BL2393" t="str">
        <f>"2014.382695"</f>
        <v>2014.382695</v>
      </c>
      <c r="BM2393" t="s">
        <v>3294</v>
      </c>
      <c r="BO2393" t="s">
        <v>16021</v>
      </c>
      <c r="BP2393" t="s">
        <v>16022</v>
      </c>
      <c r="BS2393">
        <v>30</v>
      </c>
      <c r="BW2393" t="str">
        <f>""</f>
        <v/>
      </c>
      <c r="CH2393" t="str">
        <f>""</f>
        <v/>
      </c>
      <c r="CS2393" t="str">
        <f>""</f>
        <v/>
      </c>
    </row>
    <row r="2394" spans="1:97" x14ac:dyDescent="0.25">
      <c r="A2394" t="s">
        <v>1465</v>
      </c>
      <c r="B2394" t="s">
        <v>16023</v>
      </c>
      <c r="C2394" t="s">
        <v>16024</v>
      </c>
      <c r="D2394" t="s">
        <v>16023</v>
      </c>
      <c r="E2394" t="s">
        <v>16025</v>
      </c>
      <c r="F2394" t="s">
        <v>108</v>
      </c>
      <c r="H2394" t="s">
        <v>16026</v>
      </c>
      <c r="I2394" t="s">
        <v>390</v>
      </c>
      <c r="J2394" t="s">
        <v>111</v>
      </c>
      <c r="K2394" t="str">
        <f>"85029"</f>
        <v>85029</v>
      </c>
      <c r="L2394" t="s">
        <v>7695</v>
      </c>
      <c r="M2394" t="s">
        <v>16026</v>
      </c>
      <c r="N2394" t="s">
        <v>390</v>
      </c>
      <c r="O2394" t="s">
        <v>111</v>
      </c>
      <c r="P2394" t="str">
        <f>"85029-1029"</f>
        <v>85029-1029</v>
      </c>
      <c r="Q2394" t="s">
        <v>113</v>
      </c>
      <c r="R2394" t="str">
        <f>"149-26-419"</f>
        <v>149-26-419</v>
      </c>
      <c r="S2394" t="s">
        <v>16027</v>
      </c>
      <c r="T2394" t="s">
        <v>16028</v>
      </c>
      <c r="U2394">
        <v>1903</v>
      </c>
      <c r="V2394">
        <v>0</v>
      </c>
      <c r="W2394">
        <v>3</v>
      </c>
      <c r="X2394">
        <v>1983</v>
      </c>
      <c r="Z2394">
        <v>1</v>
      </c>
      <c r="AA2394" t="s">
        <v>26</v>
      </c>
      <c r="AB2394">
        <v>0</v>
      </c>
      <c r="AC2394" t="s">
        <v>115</v>
      </c>
      <c r="AD2394">
        <v>2</v>
      </c>
      <c r="AE2394" t="s">
        <v>115</v>
      </c>
      <c r="AF2394">
        <v>0</v>
      </c>
      <c r="AG2394">
        <v>0</v>
      </c>
      <c r="AH2394" t="s">
        <v>116</v>
      </c>
      <c r="AI2394" s="1">
        <v>48049</v>
      </c>
      <c r="AJ2394" s="2">
        <v>0.17</v>
      </c>
      <c r="AK2394" s="1">
        <v>283049</v>
      </c>
      <c r="AL2394" t="s">
        <v>117</v>
      </c>
      <c r="AM2394" t="s">
        <v>171</v>
      </c>
      <c r="AN2394">
        <v>8700</v>
      </c>
      <c r="AO2394">
        <v>0.2</v>
      </c>
      <c r="AP2394">
        <v>1</v>
      </c>
      <c r="AR2394">
        <v>1</v>
      </c>
      <c r="AS2394" s="1">
        <v>20800</v>
      </c>
      <c r="AT2394" s="1">
        <v>4160</v>
      </c>
      <c r="AU2394" s="1">
        <v>16640</v>
      </c>
      <c r="AV2394">
        <v>80</v>
      </c>
      <c r="AX2394" s="1">
        <v>1780.08</v>
      </c>
      <c r="AY2394" t="s">
        <v>5087</v>
      </c>
      <c r="AZ2394" t="s">
        <v>2997</v>
      </c>
      <c r="BA2394" t="s">
        <v>2998</v>
      </c>
      <c r="BE2394" s="3">
        <v>42459</v>
      </c>
      <c r="BF2394" s="1">
        <v>235000</v>
      </c>
      <c r="BG2394" t="s">
        <v>16029</v>
      </c>
      <c r="BH2394" s="1">
        <v>123.49</v>
      </c>
      <c r="BI2394" s="1">
        <v>235000</v>
      </c>
      <c r="BJ2394" s="3">
        <v>42459</v>
      </c>
      <c r="BK2394" t="s">
        <v>123</v>
      </c>
      <c r="BL2394" t="str">
        <f>"2016.205892"</f>
        <v>2016.205892</v>
      </c>
      <c r="BM2394" t="s">
        <v>544</v>
      </c>
      <c r="BO2394" t="s">
        <v>16030</v>
      </c>
      <c r="BS2394">
        <v>30</v>
      </c>
      <c r="BW2394" t="str">
        <f>""</f>
        <v/>
      </c>
      <c r="CH2394" t="str">
        <f>""</f>
        <v/>
      </c>
      <c r="CS2394" t="str">
        <f>""</f>
        <v/>
      </c>
    </row>
    <row r="2395" spans="1:97" x14ac:dyDescent="0.25">
      <c r="B2395" t="s">
        <v>16031</v>
      </c>
      <c r="E2395" t="s">
        <v>16032</v>
      </c>
      <c r="F2395" t="s">
        <v>108</v>
      </c>
      <c r="H2395" t="s">
        <v>16033</v>
      </c>
      <c r="I2395" t="s">
        <v>499</v>
      </c>
      <c r="J2395" t="s">
        <v>111</v>
      </c>
      <c r="K2395" t="str">
        <f>"85395"</f>
        <v>85395</v>
      </c>
      <c r="L2395" t="s">
        <v>1789</v>
      </c>
      <c r="M2395" t="s">
        <v>16033</v>
      </c>
      <c r="N2395" t="s">
        <v>499</v>
      </c>
      <c r="O2395" t="s">
        <v>111</v>
      </c>
      <c r="P2395" t="str">
        <f>"85395-2094"</f>
        <v>85395-2094</v>
      </c>
      <c r="Q2395" t="s">
        <v>113</v>
      </c>
      <c r="R2395" t="str">
        <f>"508-09-515"</f>
        <v>508-09-515</v>
      </c>
      <c r="S2395" t="s">
        <v>16034</v>
      </c>
      <c r="U2395">
        <v>2962</v>
      </c>
      <c r="V2395">
        <v>0</v>
      </c>
      <c r="W2395">
        <v>4</v>
      </c>
      <c r="X2395">
        <v>2006</v>
      </c>
      <c r="Z2395">
        <v>1</v>
      </c>
      <c r="AB2395">
        <v>0</v>
      </c>
      <c r="AC2395" t="s">
        <v>115</v>
      </c>
      <c r="AD2395">
        <v>3</v>
      </c>
      <c r="AE2395" t="s">
        <v>115</v>
      </c>
      <c r="AF2395">
        <v>0</v>
      </c>
      <c r="AG2395">
        <v>0</v>
      </c>
      <c r="AH2395" t="s">
        <v>116</v>
      </c>
      <c r="AI2395" s="1">
        <v>93584</v>
      </c>
      <c r="AJ2395" s="2">
        <v>0.18</v>
      </c>
      <c r="AK2395" s="1">
        <v>510472</v>
      </c>
      <c r="AL2395" t="s">
        <v>117</v>
      </c>
      <c r="AM2395" t="s">
        <v>118</v>
      </c>
      <c r="AN2395">
        <v>11346</v>
      </c>
      <c r="AO2395">
        <v>0.26</v>
      </c>
      <c r="AR2395">
        <v>1</v>
      </c>
      <c r="AS2395" s="1">
        <v>41160</v>
      </c>
      <c r="AT2395" s="1">
        <v>8230</v>
      </c>
      <c r="AU2395" s="1">
        <v>32930</v>
      </c>
      <c r="AV2395">
        <v>80</v>
      </c>
      <c r="AX2395" s="1">
        <v>4841.88</v>
      </c>
      <c r="AY2395" t="s">
        <v>3020</v>
      </c>
      <c r="AZ2395" t="s">
        <v>3020</v>
      </c>
      <c r="BA2395" t="s">
        <v>218</v>
      </c>
      <c r="BB2395" s="3">
        <v>43606</v>
      </c>
      <c r="BC2395" s="1">
        <v>0</v>
      </c>
      <c r="BD2395" t="s">
        <v>247</v>
      </c>
      <c r="BE2395" s="3">
        <v>42166</v>
      </c>
      <c r="BF2395" s="1">
        <v>375000</v>
      </c>
      <c r="BG2395" t="s">
        <v>16035</v>
      </c>
      <c r="BH2395" s="1">
        <v>126.6</v>
      </c>
      <c r="BI2395" s="1">
        <v>416888</v>
      </c>
      <c r="BJ2395" s="3">
        <v>43606</v>
      </c>
      <c r="BK2395" t="s">
        <v>123</v>
      </c>
      <c r="BL2395" t="str">
        <f>"2019.371750"</f>
        <v>2019.371750</v>
      </c>
      <c r="BM2395" t="s">
        <v>2378</v>
      </c>
      <c r="BN2395" t="s">
        <v>15424</v>
      </c>
      <c r="BO2395" t="s">
        <v>16036</v>
      </c>
      <c r="BR2395" t="s">
        <v>139</v>
      </c>
      <c r="BW2395" t="str">
        <f>""</f>
        <v/>
      </c>
      <c r="CH2395" t="str">
        <f>""</f>
        <v/>
      </c>
      <c r="CS2395" t="str">
        <f>""</f>
        <v/>
      </c>
    </row>
    <row r="2396" spans="1:97" x14ac:dyDescent="0.25">
      <c r="A2396" t="s">
        <v>3613</v>
      </c>
      <c r="B2396" t="s">
        <v>576</v>
      </c>
      <c r="E2396" t="s">
        <v>16037</v>
      </c>
      <c r="F2396" t="s">
        <v>108</v>
      </c>
      <c r="H2396" t="s">
        <v>16038</v>
      </c>
      <c r="I2396" t="s">
        <v>203</v>
      </c>
      <c r="J2396" t="s">
        <v>111</v>
      </c>
      <c r="K2396" t="str">
        <f>"85297"</f>
        <v>85297</v>
      </c>
      <c r="L2396" t="s">
        <v>8335</v>
      </c>
      <c r="M2396" t="s">
        <v>16038</v>
      </c>
      <c r="N2396" t="s">
        <v>203</v>
      </c>
      <c r="O2396" t="s">
        <v>111</v>
      </c>
      <c r="P2396" t="str">
        <f>"85297-2440"</f>
        <v>85297-2440</v>
      </c>
      <c r="Q2396" t="s">
        <v>113</v>
      </c>
      <c r="R2396" t="str">
        <f>"313-17-455"</f>
        <v>313-17-455</v>
      </c>
      <c r="S2396" t="s">
        <v>12166</v>
      </c>
      <c r="T2396" t="s">
        <v>8579</v>
      </c>
      <c r="U2396">
        <v>2182</v>
      </c>
      <c r="V2396">
        <v>0</v>
      </c>
      <c r="W2396">
        <v>3</v>
      </c>
      <c r="X2396">
        <v>2011</v>
      </c>
      <c r="Z2396">
        <v>2</v>
      </c>
      <c r="AB2396">
        <v>0</v>
      </c>
      <c r="AC2396" t="s">
        <v>115</v>
      </c>
      <c r="AD2396">
        <v>2</v>
      </c>
      <c r="AE2396" t="s">
        <v>115</v>
      </c>
      <c r="AF2396">
        <v>0</v>
      </c>
      <c r="AG2396">
        <v>0</v>
      </c>
      <c r="AH2396" t="s">
        <v>116</v>
      </c>
      <c r="AI2396" s="1">
        <v>44729</v>
      </c>
      <c r="AJ2396" s="2">
        <v>0.14000000000000001</v>
      </c>
      <c r="AK2396" s="1">
        <v>314729</v>
      </c>
      <c r="AL2396" t="s">
        <v>117</v>
      </c>
      <c r="AM2396" t="s">
        <v>288</v>
      </c>
      <c r="AN2396">
        <v>2660</v>
      </c>
      <c r="AO2396">
        <v>0.61</v>
      </c>
      <c r="AR2396">
        <v>1</v>
      </c>
      <c r="AS2396" s="1">
        <v>21470</v>
      </c>
      <c r="AT2396" s="1">
        <v>4290</v>
      </c>
      <c r="AU2396" s="1">
        <v>17180</v>
      </c>
      <c r="AV2396">
        <v>80.02</v>
      </c>
      <c r="AX2396" s="1">
        <v>1985.6</v>
      </c>
      <c r="AY2396" t="s">
        <v>8338</v>
      </c>
      <c r="AZ2396" t="s">
        <v>8338</v>
      </c>
      <c r="BA2396" t="s">
        <v>290</v>
      </c>
      <c r="BB2396" s="3">
        <v>43158</v>
      </c>
      <c r="BC2396" s="1">
        <v>0</v>
      </c>
      <c r="BD2396" t="s">
        <v>247</v>
      </c>
      <c r="BE2396" s="3">
        <v>41964</v>
      </c>
      <c r="BF2396" s="1">
        <v>227500</v>
      </c>
      <c r="BG2396" t="s">
        <v>16039</v>
      </c>
      <c r="BH2396" s="1">
        <v>104.26</v>
      </c>
      <c r="BI2396" s="1">
        <v>270000</v>
      </c>
      <c r="BJ2396" s="3">
        <v>43158</v>
      </c>
      <c r="BK2396" t="s">
        <v>123</v>
      </c>
      <c r="BL2396" t="str">
        <f>"2018.147487"</f>
        <v>2018.147487</v>
      </c>
      <c r="BM2396" t="s">
        <v>16040</v>
      </c>
      <c r="BN2396" t="s">
        <v>13886</v>
      </c>
      <c r="BO2396" t="s">
        <v>16041</v>
      </c>
      <c r="BR2396" t="s">
        <v>139</v>
      </c>
      <c r="BW2396" t="str">
        <f>""</f>
        <v/>
      </c>
      <c r="CH2396" t="str">
        <f>""</f>
        <v/>
      </c>
      <c r="CS2396" t="str">
        <f>""</f>
        <v/>
      </c>
    </row>
    <row r="2397" spans="1:97" x14ac:dyDescent="0.25">
      <c r="A2397" t="s">
        <v>2045</v>
      </c>
      <c r="B2397" t="s">
        <v>16042</v>
      </c>
      <c r="C2397" t="s">
        <v>727</v>
      </c>
      <c r="D2397" t="s">
        <v>16043</v>
      </c>
      <c r="E2397" t="s">
        <v>16044</v>
      </c>
      <c r="F2397" t="s">
        <v>108</v>
      </c>
      <c r="H2397" t="s">
        <v>16045</v>
      </c>
      <c r="I2397" t="s">
        <v>453</v>
      </c>
      <c r="J2397" t="s">
        <v>111</v>
      </c>
      <c r="K2397" t="str">
        <f>"85345"</f>
        <v>85345</v>
      </c>
      <c r="L2397" t="s">
        <v>5176</v>
      </c>
      <c r="M2397" t="s">
        <v>16045</v>
      </c>
      <c r="N2397" t="s">
        <v>453</v>
      </c>
      <c r="O2397" t="s">
        <v>111</v>
      </c>
      <c r="P2397" t="str">
        <f>"85345-7985"</f>
        <v>85345-7985</v>
      </c>
      <c r="Q2397" t="s">
        <v>113</v>
      </c>
      <c r="R2397" t="str">
        <f>"142-35-472"</f>
        <v>142-35-472</v>
      </c>
      <c r="S2397" t="s">
        <v>6942</v>
      </c>
      <c r="T2397" t="s">
        <v>6943</v>
      </c>
      <c r="U2397">
        <v>1982</v>
      </c>
      <c r="V2397">
        <v>0</v>
      </c>
      <c r="W2397">
        <v>3</v>
      </c>
      <c r="X2397">
        <v>2015</v>
      </c>
      <c r="Z2397">
        <v>1</v>
      </c>
      <c r="AB2397">
        <v>0</v>
      </c>
      <c r="AC2397" t="s">
        <v>115</v>
      </c>
      <c r="AD2397">
        <v>3</v>
      </c>
      <c r="AE2397" t="s">
        <v>115</v>
      </c>
      <c r="AF2397">
        <v>0</v>
      </c>
      <c r="AG2397">
        <v>0</v>
      </c>
      <c r="AH2397" t="s">
        <v>116</v>
      </c>
      <c r="AI2397" s="1">
        <v>41871</v>
      </c>
      <c r="AJ2397" s="2">
        <v>0.13</v>
      </c>
      <c r="AK2397" s="1">
        <v>313974</v>
      </c>
      <c r="AL2397" t="s">
        <v>117</v>
      </c>
      <c r="AM2397" t="s">
        <v>118</v>
      </c>
      <c r="AN2397">
        <v>8521</v>
      </c>
      <c r="AO2397">
        <v>0.2</v>
      </c>
      <c r="AR2397">
        <v>1</v>
      </c>
      <c r="AS2397" s="1">
        <v>22910</v>
      </c>
      <c r="AT2397" s="1">
        <v>4580</v>
      </c>
      <c r="AU2397" s="1">
        <v>18330</v>
      </c>
      <c r="AV2397">
        <v>80.010000000000005</v>
      </c>
      <c r="AX2397" s="1">
        <v>1833.96</v>
      </c>
      <c r="AY2397" t="s">
        <v>6944</v>
      </c>
      <c r="AZ2397" t="s">
        <v>6944</v>
      </c>
      <c r="BA2397" t="s">
        <v>6945</v>
      </c>
      <c r="BE2397" s="3">
        <v>42111</v>
      </c>
      <c r="BF2397" s="1">
        <v>263411</v>
      </c>
      <c r="BG2397" t="s">
        <v>636</v>
      </c>
      <c r="BH2397" s="1">
        <v>139.15</v>
      </c>
      <c r="BI2397" s="1">
        <v>272103</v>
      </c>
      <c r="BJ2397" s="3">
        <v>42111</v>
      </c>
      <c r="BK2397" t="s">
        <v>123</v>
      </c>
      <c r="BL2397" t="str">
        <f>"2015.266962"</f>
        <v>2015.266962</v>
      </c>
      <c r="BM2397" t="s">
        <v>637</v>
      </c>
      <c r="BO2397" t="s">
        <v>16046</v>
      </c>
      <c r="BP2397" t="s">
        <v>16047</v>
      </c>
      <c r="BS2397">
        <v>30</v>
      </c>
      <c r="BW2397" t="str">
        <f>""</f>
        <v/>
      </c>
      <c r="CH2397" t="str">
        <f>""</f>
        <v/>
      </c>
      <c r="CS2397" t="str">
        <f>""</f>
        <v/>
      </c>
    </row>
    <row r="2398" spans="1:97" x14ac:dyDescent="0.25">
      <c r="A2398" t="s">
        <v>177</v>
      </c>
      <c r="B2398" t="s">
        <v>16048</v>
      </c>
      <c r="C2398" t="s">
        <v>9234</v>
      </c>
      <c r="D2398" t="s">
        <v>16048</v>
      </c>
      <c r="E2398" t="s">
        <v>16049</v>
      </c>
      <c r="F2398" t="s">
        <v>108</v>
      </c>
      <c r="H2398" t="s">
        <v>16050</v>
      </c>
      <c r="I2398" t="s">
        <v>4251</v>
      </c>
      <c r="J2398" t="s">
        <v>111</v>
      </c>
      <c r="K2398" t="str">
        <f>"85353"</f>
        <v>85353</v>
      </c>
      <c r="L2398" t="s">
        <v>3758</v>
      </c>
      <c r="M2398" t="s">
        <v>16050</v>
      </c>
      <c r="N2398" t="s">
        <v>4251</v>
      </c>
      <c r="O2398" t="s">
        <v>111</v>
      </c>
      <c r="P2398" t="str">
        <f>"85353-7667"</f>
        <v>85353-7667</v>
      </c>
      <c r="Q2398" t="s">
        <v>113</v>
      </c>
      <c r="R2398" t="str">
        <f>"101-25-807"</f>
        <v>101-25-807</v>
      </c>
      <c r="S2398" t="s">
        <v>5149</v>
      </c>
      <c r="T2398" t="s">
        <v>5149</v>
      </c>
      <c r="U2398">
        <v>3053</v>
      </c>
      <c r="V2398">
        <v>0</v>
      </c>
      <c r="W2398">
        <v>4</v>
      </c>
      <c r="X2398">
        <v>2015</v>
      </c>
      <c r="Z2398">
        <v>1</v>
      </c>
      <c r="AB2398">
        <v>0</v>
      </c>
      <c r="AC2398" t="s">
        <v>115</v>
      </c>
      <c r="AD2398">
        <v>3</v>
      </c>
      <c r="AE2398" t="s">
        <v>115</v>
      </c>
      <c r="AF2398">
        <v>0</v>
      </c>
      <c r="AG2398">
        <v>0</v>
      </c>
      <c r="AH2398" t="s">
        <v>116</v>
      </c>
      <c r="AI2398" s="1">
        <v>66981</v>
      </c>
      <c r="AJ2398" s="2">
        <v>0.2</v>
      </c>
      <c r="AK2398" s="1">
        <v>336981</v>
      </c>
      <c r="AL2398" t="s">
        <v>117</v>
      </c>
      <c r="AM2398" t="s">
        <v>1302</v>
      </c>
      <c r="AN2398">
        <v>9059</v>
      </c>
      <c r="AO2398">
        <v>0.21</v>
      </c>
      <c r="AR2398">
        <v>1</v>
      </c>
      <c r="AS2398" s="1">
        <v>24980</v>
      </c>
      <c r="AT2398" s="1">
        <v>4990</v>
      </c>
      <c r="AU2398" s="1">
        <v>19990</v>
      </c>
      <c r="AV2398">
        <v>80.02</v>
      </c>
      <c r="AX2398" s="1">
        <v>2790</v>
      </c>
      <c r="AY2398" t="s">
        <v>5150</v>
      </c>
      <c r="AZ2398" t="s">
        <v>5150</v>
      </c>
      <c r="BA2398" t="s">
        <v>4254</v>
      </c>
      <c r="BE2398" s="3">
        <v>42158</v>
      </c>
      <c r="BF2398" s="1">
        <v>270000</v>
      </c>
      <c r="BG2398" t="s">
        <v>209</v>
      </c>
      <c r="BH2398" s="1">
        <v>88.44</v>
      </c>
      <c r="BI2398" s="1">
        <v>270000</v>
      </c>
      <c r="BJ2398" s="3">
        <v>42158</v>
      </c>
      <c r="BK2398" t="s">
        <v>123</v>
      </c>
      <c r="BL2398" t="str">
        <f>"2015.396699"</f>
        <v>2015.396699</v>
      </c>
      <c r="BM2398" t="s">
        <v>175</v>
      </c>
      <c r="BO2398" t="s">
        <v>16051</v>
      </c>
      <c r="BS2398">
        <v>30</v>
      </c>
      <c r="BW2398" t="str">
        <f>""</f>
        <v/>
      </c>
      <c r="CH2398" t="str">
        <f>""</f>
        <v/>
      </c>
      <c r="CS2398" t="str">
        <f>""</f>
        <v/>
      </c>
    </row>
    <row r="2399" spans="1:97" x14ac:dyDescent="0.25">
      <c r="A2399" t="s">
        <v>16052</v>
      </c>
      <c r="B2399" t="s">
        <v>2894</v>
      </c>
      <c r="E2399" t="s">
        <v>16053</v>
      </c>
      <c r="F2399" t="s">
        <v>282</v>
      </c>
      <c r="H2399" t="s">
        <v>16054</v>
      </c>
      <c r="I2399" t="s">
        <v>2874</v>
      </c>
      <c r="J2399" t="s">
        <v>111</v>
      </c>
      <c r="K2399" t="str">
        <f>"85305"</f>
        <v>85305</v>
      </c>
      <c r="L2399" t="s">
        <v>10238</v>
      </c>
      <c r="M2399" t="s">
        <v>16055</v>
      </c>
      <c r="N2399" t="s">
        <v>2874</v>
      </c>
      <c r="O2399" t="s">
        <v>111</v>
      </c>
      <c r="P2399" t="str">
        <f>"85305"</f>
        <v>85305</v>
      </c>
      <c r="Q2399" t="s">
        <v>113</v>
      </c>
      <c r="R2399" t="str">
        <f>"102-02-387"</f>
        <v>102-02-387</v>
      </c>
      <c r="S2399" t="s">
        <v>16056</v>
      </c>
      <c r="U2399">
        <v>2088</v>
      </c>
      <c r="V2399">
        <v>0</v>
      </c>
      <c r="W2399">
        <v>3</v>
      </c>
      <c r="X2399">
        <v>1991</v>
      </c>
      <c r="Z2399">
        <v>1</v>
      </c>
      <c r="AB2399">
        <v>0</v>
      </c>
      <c r="AC2399" t="s">
        <v>115</v>
      </c>
      <c r="AD2399">
        <v>3</v>
      </c>
      <c r="AE2399" t="s">
        <v>115</v>
      </c>
      <c r="AF2399">
        <v>0</v>
      </c>
      <c r="AG2399">
        <v>0</v>
      </c>
      <c r="AH2399" t="s">
        <v>116</v>
      </c>
      <c r="AI2399" s="1">
        <v>75550</v>
      </c>
      <c r="AJ2399" s="2">
        <v>0.27</v>
      </c>
      <c r="AK2399" s="1">
        <v>275550</v>
      </c>
      <c r="AL2399" t="s">
        <v>117</v>
      </c>
      <c r="AM2399" t="s">
        <v>171</v>
      </c>
      <c r="AN2399">
        <v>11147</v>
      </c>
      <c r="AO2399">
        <v>0.26</v>
      </c>
      <c r="AP2399">
        <v>1</v>
      </c>
      <c r="AR2399">
        <v>1</v>
      </c>
      <c r="AS2399" s="1">
        <v>18310</v>
      </c>
      <c r="AT2399" s="1">
        <v>3660</v>
      </c>
      <c r="AU2399" s="1">
        <v>14650</v>
      </c>
      <c r="AV2399">
        <v>80.010000000000005</v>
      </c>
      <c r="AX2399" s="1">
        <v>1860.08</v>
      </c>
      <c r="AY2399" t="s">
        <v>16057</v>
      </c>
      <c r="AZ2399" t="s">
        <v>16057</v>
      </c>
      <c r="BA2399" t="s">
        <v>4286</v>
      </c>
      <c r="BE2399" s="3">
        <v>41898</v>
      </c>
      <c r="BF2399" s="1">
        <v>176000</v>
      </c>
      <c r="BG2399" t="s">
        <v>16058</v>
      </c>
      <c r="BH2399" s="1">
        <v>84.29</v>
      </c>
      <c r="BI2399" s="1">
        <v>200000</v>
      </c>
      <c r="BJ2399" s="3">
        <v>42781</v>
      </c>
      <c r="BK2399" t="s">
        <v>123</v>
      </c>
      <c r="BL2399" t="str">
        <f>"2017.111094"</f>
        <v>2017.111094</v>
      </c>
      <c r="BM2399" t="s">
        <v>361</v>
      </c>
      <c r="BO2399" t="s">
        <v>16059</v>
      </c>
      <c r="BS2399">
        <v>30</v>
      </c>
      <c r="BW2399" t="str">
        <f>""</f>
        <v/>
      </c>
      <c r="CH2399" t="str">
        <f>""</f>
        <v/>
      </c>
      <c r="CS2399" t="str">
        <f>""</f>
        <v/>
      </c>
    </row>
    <row r="2400" spans="1:97" x14ac:dyDescent="0.25">
      <c r="A2400" t="s">
        <v>695</v>
      </c>
      <c r="B2400" t="s">
        <v>1082</v>
      </c>
      <c r="C2400" t="s">
        <v>3306</v>
      </c>
      <c r="D2400" t="s">
        <v>1082</v>
      </c>
      <c r="E2400" t="s">
        <v>16060</v>
      </c>
      <c r="F2400" t="s">
        <v>108</v>
      </c>
      <c r="H2400" t="s">
        <v>16061</v>
      </c>
      <c r="I2400" t="s">
        <v>225</v>
      </c>
      <c r="J2400" t="s">
        <v>111</v>
      </c>
      <c r="K2400" t="str">
        <f>"85207"</f>
        <v>85207</v>
      </c>
      <c r="L2400" t="s">
        <v>6308</v>
      </c>
      <c r="M2400" t="s">
        <v>16061</v>
      </c>
      <c r="N2400" t="s">
        <v>225</v>
      </c>
      <c r="O2400" t="s">
        <v>111</v>
      </c>
      <c r="P2400" t="str">
        <f>"85207-5733"</f>
        <v>85207-5733</v>
      </c>
      <c r="Q2400" t="s">
        <v>113</v>
      </c>
      <c r="R2400" t="str">
        <f>"218-09-057"</f>
        <v>218-09-057</v>
      </c>
      <c r="S2400" t="s">
        <v>16062</v>
      </c>
      <c r="T2400" t="s">
        <v>8419</v>
      </c>
      <c r="U2400">
        <v>1965</v>
      </c>
      <c r="V2400">
        <v>0</v>
      </c>
      <c r="W2400">
        <v>3</v>
      </c>
      <c r="X2400">
        <v>2001</v>
      </c>
      <c r="Z2400">
        <v>1</v>
      </c>
      <c r="AB2400">
        <v>0</v>
      </c>
      <c r="AC2400" t="s">
        <v>115</v>
      </c>
      <c r="AD2400">
        <v>2</v>
      </c>
      <c r="AE2400" t="s">
        <v>115</v>
      </c>
      <c r="AF2400">
        <v>0</v>
      </c>
      <c r="AG2400">
        <v>0</v>
      </c>
      <c r="AH2400" t="s">
        <v>116</v>
      </c>
      <c r="AI2400" s="1">
        <v>84629</v>
      </c>
      <c r="AJ2400" s="2">
        <v>0.28000000000000003</v>
      </c>
      <c r="AK2400" s="1">
        <v>306837</v>
      </c>
      <c r="AL2400" t="s">
        <v>117</v>
      </c>
      <c r="AM2400" t="s">
        <v>393</v>
      </c>
      <c r="AN2400">
        <v>7406</v>
      </c>
      <c r="AO2400">
        <v>0.17</v>
      </c>
      <c r="AP2400">
        <v>1</v>
      </c>
      <c r="AR2400">
        <v>1</v>
      </c>
      <c r="AS2400" s="1">
        <v>21670</v>
      </c>
      <c r="AT2400" s="1">
        <v>4330</v>
      </c>
      <c r="AU2400" s="1">
        <v>17340</v>
      </c>
      <c r="AV2400">
        <v>80.02</v>
      </c>
      <c r="AX2400" s="1">
        <v>1877.54</v>
      </c>
      <c r="AY2400" t="s">
        <v>4567</v>
      </c>
      <c r="AZ2400" t="s">
        <v>231</v>
      </c>
      <c r="BA2400" t="s">
        <v>3119</v>
      </c>
      <c r="BE2400" s="3">
        <v>42117</v>
      </c>
      <c r="BF2400" s="1">
        <v>217000</v>
      </c>
      <c r="BG2400" t="s">
        <v>16063</v>
      </c>
      <c r="BH2400" s="1">
        <v>110.43</v>
      </c>
      <c r="BI2400" s="1">
        <v>222208</v>
      </c>
      <c r="BJ2400" s="3">
        <v>42117</v>
      </c>
      <c r="BK2400" t="s">
        <v>123</v>
      </c>
      <c r="BL2400" t="str">
        <f>"2015.281375"</f>
        <v>2015.281375</v>
      </c>
      <c r="BM2400" t="s">
        <v>1185</v>
      </c>
      <c r="BO2400" t="s">
        <v>16064</v>
      </c>
      <c r="BS2400">
        <v>30</v>
      </c>
      <c r="BW2400" t="str">
        <f>""</f>
        <v/>
      </c>
      <c r="CH2400" t="str">
        <f>""</f>
        <v/>
      </c>
      <c r="CS2400" t="str">
        <f>""</f>
        <v/>
      </c>
    </row>
    <row r="2401" spans="1:97" x14ac:dyDescent="0.25">
      <c r="A2401" t="s">
        <v>305</v>
      </c>
      <c r="B2401" t="s">
        <v>6364</v>
      </c>
      <c r="C2401" t="s">
        <v>16065</v>
      </c>
      <c r="D2401" t="s">
        <v>6364</v>
      </c>
      <c r="E2401" t="s">
        <v>16066</v>
      </c>
      <c r="F2401" t="s">
        <v>108</v>
      </c>
      <c r="H2401" t="s">
        <v>16067</v>
      </c>
      <c r="I2401" t="s">
        <v>167</v>
      </c>
      <c r="J2401" t="s">
        <v>111</v>
      </c>
      <c r="K2401" t="str">
        <f>"85339"</f>
        <v>85339</v>
      </c>
      <c r="L2401" t="s">
        <v>2197</v>
      </c>
      <c r="M2401" t="s">
        <v>16067</v>
      </c>
      <c r="N2401" t="s">
        <v>167</v>
      </c>
      <c r="O2401" t="s">
        <v>111</v>
      </c>
      <c r="P2401" t="str">
        <f>"85339-6261"</f>
        <v>85339-6261</v>
      </c>
      <c r="Q2401" t="s">
        <v>113</v>
      </c>
      <c r="R2401" t="str">
        <f>"104-77-808"</f>
        <v>104-77-808</v>
      </c>
      <c r="S2401" t="s">
        <v>16068</v>
      </c>
      <c r="U2401">
        <v>2616</v>
      </c>
      <c r="V2401">
        <v>0</v>
      </c>
      <c r="W2401">
        <v>4</v>
      </c>
      <c r="X2401">
        <v>2005</v>
      </c>
      <c r="Z2401">
        <v>2</v>
      </c>
      <c r="AA2401" t="s">
        <v>26</v>
      </c>
      <c r="AB2401">
        <v>0</v>
      </c>
      <c r="AC2401" t="s">
        <v>115</v>
      </c>
      <c r="AD2401">
        <v>3</v>
      </c>
      <c r="AE2401" t="s">
        <v>115</v>
      </c>
      <c r="AF2401">
        <v>0</v>
      </c>
      <c r="AG2401">
        <v>0</v>
      </c>
      <c r="AH2401" t="s">
        <v>116</v>
      </c>
      <c r="AI2401" s="1">
        <v>87141</v>
      </c>
      <c r="AJ2401" s="2">
        <v>0.3</v>
      </c>
      <c r="AK2401" s="1">
        <v>287141</v>
      </c>
      <c r="AL2401" t="s">
        <v>117</v>
      </c>
      <c r="AM2401" t="str">
        <f>"R1-6"</f>
        <v>R1-6</v>
      </c>
      <c r="AN2401">
        <v>7067</v>
      </c>
      <c r="AO2401">
        <v>0.16</v>
      </c>
      <c r="AR2401">
        <v>1</v>
      </c>
      <c r="AS2401" s="1">
        <v>20750</v>
      </c>
      <c r="AT2401" s="1">
        <v>4150</v>
      </c>
      <c r="AU2401" s="1">
        <v>16600</v>
      </c>
      <c r="AV2401">
        <v>80</v>
      </c>
      <c r="AX2401" s="1">
        <v>2443.84</v>
      </c>
      <c r="AY2401" t="s">
        <v>5777</v>
      </c>
      <c r="AZ2401" t="s">
        <v>5777</v>
      </c>
      <c r="BA2401" t="s">
        <v>173</v>
      </c>
      <c r="BE2401" s="3">
        <v>42177</v>
      </c>
      <c r="BF2401" s="1">
        <v>210000</v>
      </c>
      <c r="BG2401" t="s">
        <v>16069</v>
      </c>
      <c r="BH2401" s="1">
        <v>80.28</v>
      </c>
      <c r="BI2401" s="1">
        <v>200000</v>
      </c>
      <c r="BJ2401" s="3">
        <v>42177</v>
      </c>
      <c r="BK2401" t="s">
        <v>123</v>
      </c>
      <c r="BL2401" t="str">
        <f>"2015.444924"</f>
        <v>2015.444924</v>
      </c>
      <c r="BM2401" t="s">
        <v>544</v>
      </c>
      <c r="BO2401" t="s">
        <v>16070</v>
      </c>
      <c r="BS2401">
        <v>30</v>
      </c>
      <c r="BW2401" t="str">
        <f>""</f>
        <v/>
      </c>
      <c r="CH2401" t="str">
        <f>""</f>
        <v/>
      </c>
      <c r="CS2401" t="str">
        <f>""</f>
        <v/>
      </c>
    </row>
    <row r="2402" spans="1:97" x14ac:dyDescent="0.25">
      <c r="A2402" t="s">
        <v>16071</v>
      </c>
      <c r="B2402" t="s">
        <v>4761</v>
      </c>
      <c r="C2402" t="s">
        <v>1210</v>
      </c>
      <c r="D2402" t="s">
        <v>4761</v>
      </c>
      <c r="E2402" t="s">
        <v>16072</v>
      </c>
      <c r="F2402" t="s">
        <v>108</v>
      </c>
      <c r="H2402" t="s">
        <v>16073</v>
      </c>
      <c r="I2402" t="s">
        <v>188</v>
      </c>
      <c r="J2402" t="s">
        <v>111</v>
      </c>
      <c r="K2402" t="str">
        <f>"85142"</f>
        <v>85142</v>
      </c>
      <c r="L2402" t="s">
        <v>1070</v>
      </c>
      <c r="M2402" t="s">
        <v>16073</v>
      </c>
      <c r="N2402" t="s">
        <v>188</v>
      </c>
      <c r="O2402" t="s">
        <v>111</v>
      </c>
      <c r="P2402" t="str">
        <f>"85142-5185"</f>
        <v>85142-5185</v>
      </c>
      <c r="Q2402" t="s">
        <v>113</v>
      </c>
      <c r="R2402" t="str">
        <f>"314-09-706"</f>
        <v>314-09-706</v>
      </c>
      <c r="S2402" t="s">
        <v>11015</v>
      </c>
      <c r="T2402" t="s">
        <v>1073</v>
      </c>
      <c r="U2402">
        <v>2294</v>
      </c>
      <c r="V2402">
        <v>0</v>
      </c>
      <c r="W2402">
        <v>3</v>
      </c>
      <c r="X2402">
        <v>2013</v>
      </c>
      <c r="Z2402">
        <v>2</v>
      </c>
      <c r="AB2402">
        <v>0</v>
      </c>
      <c r="AC2402" t="s">
        <v>115</v>
      </c>
      <c r="AD2402">
        <v>2</v>
      </c>
      <c r="AE2402" t="s">
        <v>115</v>
      </c>
      <c r="AF2402">
        <v>0</v>
      </c>
      <c r="AG2402">
        <v>0</v>
      </c>
      <c r="AH2402" t="s">
        <v>116</v>
      </c>
      <c r="AI2402" s="1">
        <v>83691</v>
      </c>
      <c r="AJ2402" s="2">
        <v>0.26</v>
      </c>
      <c r="AK2402" s="1">
        <v>319506</v>
      </c>
      <c r="AL2402" t="s">
        <v>117</v>
      </c>
      <c r="AM2402" t="str">
        <f>"R1-7"</f>
        <v>R1-7</v>
      </c>
      <c r="AN2402">
        <v>5419</v>
      </c>
      <c r="AO2402">
        <v>0.12</v>
      </c>
      <c r="AR2402">
        <v>1</v>
      </c>
      <c r="AS2402" s="1">
        <v>21700</v>
      </c>
      <c r="AT2402" s="1">
        <v>4340</v>
      </c>
      <c r="AU2402" s="1">
        <v>17360</v>
      </c>
      <c r="AV2402">
        <v>80</v>
      </c>
      <c r="AX2402" s="1">
        <v>2179.14</v>
      </c>
      <c r="AY2402" t="s">
        <v>1074</v>
      </c>
      <c r="AZ2402" t="s">
        <v>193</v>
      </c>
      <c r="BA2402" t="s">
        <v>194</v>
      </c>
      <c r="BE2402" s="3">
        <v>41753</v>
      </c>
      <c r="BF2402" s="1">
        <v>230852</v>
      </c>
      <c r="BG2402" t="s">
        <v>2842</v>
      </c>
      <c r="BH2402" s="1">
        <v>100.63</v>
      </c>
      <c r="BI2402" s="1">
        <v>235815</v>
      </c>
      <c r="BJ2402" s="3">
        <v>41753</v>
      </c>
      <c r="BK2402" t="s">
        <v>123</v>
      </c>
      <c r="BL2402" t="str">
        <f>"2014.265827"</f>
        <v>2014.265827</v>
      </c>
      <c r="BM2402" t="s">
        <v>16074</v>
      </c>
      <c r="BO2402" t="s">
        <v>16075</v>
      </c>
      <c r="BS2402">
        <v>30</v>
      </c>
      <c r="BW2402" t="str">
        <f>""</f>
        <v/>
      </c>
      <c r="CH2402" t="str">
        <f>""</f>
        <v/>
      </c>
      <c r="CS2402" t="str">
        <f>""</f>
        <v/>
      </c>
    </row>
    <row r="2403" spans="1:97" x14ac:dyDescent="0.25">
      <c r="A2403" t="s">
        <v>7969</v>
      </c>
      <c r="B2403" t="s">
        <v>16076</v>
      </c>
      <c r="E2403" t="s">
        <v>16077</v>
      </c>
      <c r="F2403" t="s">
        <v>108</v>
      </c>
      <c r="H2403" t="s">
        <v>16078</v>
      </c>
      <c r="I2403" t="s">
        <v>225</v>
      </c>
      <c r="J2403" t="s">
        <v>111</v>
      </c>
      <c r="K2403" t="str">
        <f>"85212"</f>
        <v>85212</v>
      </c>
      <c r="L2403" t="s">
        <v>4035</v>
      </c>
      <c r="M2403" t="s">
        <v>16078</v>
      </c>
      <c r="N2403" t="s">
        <v>225</v>
      </c>
      <c r="O2403" t="s">
        <v>111</v>
      </c>
      <c r="P2403" t="str">
        <f>"85212-1420"</f>
        <v>85212-1420</v>
      </c>
      <c r="Q2403" t="s">
        <v>113</v>
      </c>
      <c r="R2403" t="str">
        <f>"304-02-051"</f>
        <v>304-02-051</v>
      </c>
      <c r="S2403" t="s">
        <v>7300</v>
      </c>
      <c r="T2403" t="s">
        <v>7301</v>
      </c>
      <c r="U2403">
        <v>2308</v>
      </c>
      <c r="V2403">
        <v>0</v>
      </c>
      <c r="W2403">
        <v>3</v>
      </c>
      <c r="X2403">
        <v>1999</v>
      </c>
      <c r="Z2403">
        <v>1</v>
      </c>
      <c r="AA2403" t="s">
        <v>26</v>
      </c>
      <c r="AB2403">
        <v>0</v>
      </c>
      <c r="AC2403" t="s">
        <v>115</v>
      </c>
      <c r="AD2403">
        <v>2</v>
      </c>
      <c r="AE2403" t="s">
        <v>115</v>
      </c>
      <c r="AF2403">
        <v>0</v>
      </c>
      <c r="AG2403">
        <v>0</v>
      </c>
      <c r="AH2403" t="s">
        <v>116</v>
      </c>
      <c r="AI2403" s="1">
        <v>61861</v>
      </c>
      <c r="AJ2403" s="2">
        <v>0.18</v>
      </c>
      <c r="AK2403" s="1">
        <v>350561</v>
      </c>
      <c r="AL2403" t="s">
        <v>117</v>
      </c>
      <c r="AM2403" t="s">
        <v>191</v>
      </c>
      <c r="AN2403">
        <v>7440</v>
      </c>
      <c r="AO2403">
        <v>0.17</v>
      </c>
      <c r="AP2403">
        <v>1</v>
      </c>
      <c r="AR2403">
        <v>1</v>
      </c>
      <c r="AS2403" s="1">
        <v>24360</v>
      </c>
      <c r="AT2403" s="1">
        <v>4870</v>
      </c>
      <c r="AU2403" s="1">
        <v>19490</v>
      </c>
      <c r="AV2403">
        <v>80.010000000000005</v>
      </c>
      <c r="AX2403" s="1">
        <v>1718.82</v>
      </c>
      <c r="AY2403" t="s">
        <v>7302</v>
      </c>
      <c r="AZ2403" t="s">
        <v>777</v>
      </c>
      <c r="BA2403" t="s">
        <v>572</v>
      </c>
      <c r="BE2403" s="3">
        <v>42412</v>
      </c>
      <c r="BF2403" s="1">
        <v>279500</v>
      </c>
      <c r="BG2403" t="s">
        <v>16079</v>
      </c>
      <c r="BH2403" s="1">
        <v>121.1</v>
      </c>
      <c r="BI2403" s="1">
        <v>288700</v>
      </c>
      <c r="BJ2403" s="3">
        <v>42412</v>
      </c>
      <c r="BK2403" t="s">
        <v>123</v>
      </c>
      <c r="BL2403" t="str">
        <f>"2016.92648"</f>
        <v>2016.92648</v>
      </c>
      <c r="BM2403" t="s">
        <v>124</v>
      </c>
      <c r="BO2403" t="s">
        <v>16080</v>
      </c>
      <c r="BS2403">
        <v>30</v>
      </c>
      <c r="BW2403" t="str">
        <f>""</f>
        <v/>
      </c>
      <c r="CH2403" t="str">
        <f>""</f>
        <v/>
      </c>
      <c r="CS2403" t="str">
        <f>""</f>
        <v/>
      </c>
    </row>
    <row r="2404" spans="1:97" x14ac:dyDescent="0.25">
      <c r="A2404" t="s">
        <v>16081</v>
      </c>
      <c r="B2404" t="s">
        <v>16082</v>
      </c>
      <c r="C2404" t="s">
        <v>16083</v>
      </c>
      <c r="D2404" t="s">
        <v>16082</v>
      </c>
      <c r="E2404" t="s">
        <v>16084</v>
      </c>
      <c r="F2404" t="s">
        <v>108</v>
      </c>
      <c r="H2404" t="s">
        <v>16085</v>
      </c>
      <c r="I2404" t="s">
        <v>499</v>
      </c>
      <c r="J2404" t="s">
        <v>111</v>
      </c>
      <c r="K2404" t="str">
        <f>"85338"</f>
        <v>85338</v>
      </c>
      <c r="L2404" t="s">
        <v>316</v>
      </c>
      <c r="M2404" t="s">
        <v>16085</v>
      </c>
      <c r="N2404" t="s">
        <v>499</v>
      </c>
      <c r="O2404" t="s">
        <v>111</v>
      </c>
      <c r="P2404" t="str">
        <f>"85338-7032"</f>
        <v>85338-7032</v>
      </c>
      <c r="Q2404" t="s">
        <v>113</v>
      </c>
      <c r="R2404" t="str">
        <f>"500-89-704"</f>
        <v>500-89-704</v>
      </c>
      <c r="S2404" t="s">
        <v>5041</v>
      </c>
      <c r="T2404" t="s">
        <v>5042</v>
      </c>
      <c r="U2404">
        <v>1717</v>
      </c>
      <c r="V2404">
        <v>0</v>
      </c>
      <c r="W2404">
        <v>3</v>
      </c>
      <c r="X2404">
        <v>2015</v>
      </c>
      <c r="Z2404">
        <v>1</v>
      </c>
      <c r="AB2404">
        <v>0</v>
      </c>
      <c r="AC2404" t="s">
        <v>115</v>
      </c>
      <c r="AD2404">
        <v>2</v>
      </c>
      <c r="AE2404" t="s">
        <v>115</v>
      </c>
      <c r="AF2404">
        <v>0</v>
      </c>
      <c r="AG2404">
        <v>0</v>
      </c>
      <c r="AH2404" t="s">
        <v>116</v>
      </c>
      <c r="AI2404" s="1">
        <v>42979</v>
      </c>
      <c r="AJ2404" s="2">
        <v>0.17</v>
      </c>
      <c r="AK2404" s="1">
        <v>254139</v>
      </c>
      <c r="AL2404" t="s">
        <v>117</v>
      </c>
      <c r="AM2404" t="s">
        <v>118</v>
      </c>
      <c r="AN2404">
        <v>5740</v>
      </c>
      <c r="AO2404">
        <v>0.13</v>
      </c>
      <c r="AR2404">
        <v>1</v>
      </c>
      <c r="AS2404" s="1">
        <v>17130</v>
      </c>
      <c r="AT2404" s="1">
        <v>3420</v>
      </c>
      <c r="AU2404" s="1">
        <v>13710</v>
      </c>
      <c r="AV2404">
        <v>80.040000000000006</v>
      </c>
      <c r="AX2404" s="1">
        <v>1402.94</v>
      </c>
      <c r="AY2404" t="s">
        <v>4311</v>
      </c>
      <c r="AZ2404" t="s">
        <v>4311</v>
      </c>
      <c r="BA2404" t="s">
        <v>218</v>
      </c>
      <c r="BE2404" s="3">
        <v>42264</v>
      </c>
      <c r="BF2404" s="1">
        <v>206716</v>
      </c>
      <c r="BG2404" t="s">
        <v>2780</v>
      </c>
      <c r="BH2404" s="1">
        <v>120.39</v>
      </c>
      <c r="BI2404" s="1">
        <v>211160</v>
      </c>
      <c r="BJ2404" s="3">
        <v>42264</v>
      </c>
      <c r="BK2404" t="s">
        <v>123</v>
      </c>
      <c r="BL2404" t="str">
        <f>"2015.672457"</f>
        <v>2015.672457</v>
      </c>
      <c r="BM2404" t="s">
        <v>175</v>
      </c>
      <c r="BO2404" t="s">
        <v>16086</v>
      </c>
      <c r="BS2404">
        <v>30</v>
      </c>
      <c r="BW2404" t="str">
        <f>""</f>
        <v/>
      </c>
      <c r="CH2404" t="str">
        <f>""</f>
        <v/>
      </c>
      <c r="CS2404" t="str">
        <f>""</f>
        <v/>
      </c>
    </row>
    <row r="2405" spans="1:97" x14ac:dyDescent="0.25">
      <c r="A2405" t="s">
        <v>5560</v>
      </c>
      <c r="B2405" t="s">
        <v>16087</v>
      </c>
      <c r="E2405" t="s">
        <v>16088</v>
      </c>
      <c r="F2405" t="s">
        <v>139</v>
      </c>
      <c r="H2405" t="s">
        <v>16089</v>
      </c>
      <c r="I2405" t="s">
        <v>225</v>
      </c>
      <c r="J2405" t="s">
        <v>111</v>
      </c>
      <c r="K2405" t="str">
        <f>"85207"</f>
        <v>85207</v>
      </c>
      <c r="L2405" t="s">
        <v>8151</v>
      </c>
      <c r="M2405" t="s">
        <v>16090</v>
      </c>
      <c r="N2405" t="s">
        <v>110</v>
      </c>
      <c r="O2405" t="s">
        <v>111</v>
      </c>
      <c r="P2405" t="str">
        <f>"85246-7887"</f>
        <v>85246-7887</v>
      </c>
      <c r="Q2405" t="s">
        <v>113</v>
      </c>
      <c r="R2405" t="str">
        <f>"220-43-020"</f>
        <v>220-43-020</v>
      </c>
      <c r="S2405" t="s">
        <v>16091</v>
      </c>
      <c r="T2405" t="s">
        <v>16091</v>
      </c>
      <c r="U2405">
        <v>1586</v>
      </c>
      <c r="V2405">
        <v>0</v>
      </c>
      <c r="W2405">
        <v>3</v>
      </c>
      <c r="X2405">
        <v>2000</v>
      </c>
      <c r="Z2405">
        <v>1</v>
      </c>
      <c r="AB2405">
        <v>0</v>
      </c>
      <c r="AC2405" t="s">
        <v>115</v>
      </c>
      <c r="AD2405">
        <v>2</v>
      </c>
      <c r="AE2405" t="s">
        <v>115</v>
      </c>
      <c r="AF2405">
        <v>0</v>
      </c>
      <c r="AG2405">
        <v>0</v>
      </c>
      <c r="AH2405" t="s">
        <v>116</v>
      </c>
      <c r="AI2405" s="1">
        <v>31596</v>
      </c>
      <c r="AJ2405" s="2">
        <v>0.12</v>
      </c>
      <c r="AK2405" s="1">
        <v>261955</v>
      </c>
      <c r="AL2405" t="s">
        <v>117</v>
      </c>
      <c r="AM2405" t="s">
        <v>393</v>
      </c>
      <c r="AN2405">
        <v>5282</v>
      </c>
      <c r="AO2405">
        <v>0.12</v>
      </c>
      <c r="AP2405">
        <v>1</v>
      </c>
      <c r="AR2405">
        <v>1</v>
      </c>
      <c r="AS2405" s="1">
        <v>17760</v>
      </c>
      <c r="AT2405" s="1">
        <v>3550</v>
      </c>
      <c r="AU2405" s="1">
        <v>14210</v>
      </c>
      <c r="AV2405">
        <v>80.010000000000005</v>
      </c>
      <c r="AX2405" s="1">
        <v>1104.02</v>
      </c>
      <c r="AY2405" t="s">
        <v>6572</v>
      </c>
      <c r="AZ2405" t="s">
        <v>3761</v>
      </c>
      <c r="BA2405" t="s">
        <v>232</v>
      </c>
      <c r="BE2405" s="3">
        <v>42538</v>
      </c>
      <c r="BF2405" s="1">
        <v>206000</v>
      </c>
      <c r="BG2405" t="s">
        <v>16092</v>
      </c>
      <c r="BH2405" s="1">
        <v>129.88999999999999</v>
      </c>
      <c r="BI2405" s="1">
        <v>230359</v>
      </c>
      <c r="BJ2405" s="3">
        <v>43642</v>
      </c>
      <c r="BK2405" t="s">
        <v>123</v>
      </c>
      <c r="BL2405" t="str">
        <f>"2019.482599"</f>
        <v>2019.482599</v>
      </c>
      <c r="BM2405" t="s">
        <v>6896</v>
      </c>
      <c r="BN2405" t="s">
        <v>1371</v>
      </c>
      <c r="BO2405" t="s">
        <v>16093</v>
      </c>
      <c r="BR2405" t="s">
        <v>139</v>
      </c>
      <c r="BW2405" t="str">
        <f>""</f>
        <v/>
      </c>
      <c r="CH2405" t="str">
        <f>""</f>
        <v/>
      </c>
      <c r="CS2405" t="str">
        <f>""</f>
        <v/>
      </c>
    </row>
    <row r="2406" spans="1:97" x14ac:dyDescent="0.25">
      <c r="A2406" t="s">
        <v>13226</v>
      </c>
      <c r="B2406" t="s">
        <v>1374</v>
      </c>
      <c r="E2406" t="s">
        <v>16094</v>
      </c>
      <c r="F2406" t="s">
        <v>108</v>
      </c>
      <c r="H2406" t="s">
        <v>16095</v>
      </c>
      <c r="I2406" t="s">
        <v>632</v>
      </c>
      <c r="J2406" t="s">
        <v>111</v>
      </c>
      <c r="K2406" t="str">
        <f>"85379"</f>
        <v>85379</v>
      </c>
      <c r="L2406" t="s">
        <v>558</v>
      </c>
      <c r="M2406" t="s">
        <v>16095</v>
      </c>
      <c r="N2406" t="s">
        <v>632</v>
      </c>
      <c r="O2406" t="s">
        <v>111</v>
      </c>
      <c r="P2406" t="str">
        <f>"85379-7210"</f>
        <v>85379-7210</v>
      </c>
      <c r="Q2406" t="s">
        <v>113</v>
      </c>
      <c r="R2406" t="str">
        <f>"509-14-154"</f>
        <v>509-14-154</v>
      </c>
      <c r="S2406" t="s">
        <v>5614</v>
      </c>
      <c r="U2406">
        <v>2587</v>
      </c>
      <c r="V2406">
        <v>0</v>
      </c>
      <c r="W2406">
        <v>5</v>
      </c>
      <c r="X2406">
        <v>2004</v>
      </c>
      <c r="Z2406">
        <v>2</v>
      </c>
      <c r="AA2406" t="s">
        <v>26</v>
      </c>
      <c r="AB2406">
        <v>0</v>
      </c>
      <c r="AC2406" t="s">
        <v>115</v>
      </c>
      <c r="AD2406">
        <v>3</v>
      </c>
      <c r="AE2406" t="s">
        <v>115</v>
      </c>
      <c r="AF2406">
        <v>0</v>
      </c>
      <c r="AG2406">
        <v>0</v>
      </c>
      <c r="AH2406" t="s">
        <v>116</v>
      </c>
      <c r="AI2406" s="1">
        <v>92216</v>
      </c>
      <c r="AJ2406" s="2">
        <v>0.28000000000000003</v>
      </c>
      <c r="AK2406" s="1">
        <v>327816</v>
      </c>
      <c r="AL2406" t="s">
        <v>117</v>
      </c>
      <c r="AM2406" t="s">
        <v>118</v>
      </c>
      <c r="AN2406">
        <v>6016</v>
      </c>
      <c r="AO2406">
        <v>0.14000000000000001</v>
      </c>
      <c r="AR2406">
        <v>1</v>
      </c>
      <c r="AS2406" s="1">
        <v>23080</v>
      </c>
      <c r="AT2406" s="1">
        <v>4610</v>
      </c>
      <c r="AU2406" s="1">
        <v>18470</v>
      </c>
      <c r="AV2406">
        <v>80.03</v>
      </c>
      <c r="AX2406" s="1">
        <v>1342.88</v>
      </c>
      <c r="AY2406" t="s">
        <v>5615</v>
      </c>
      <c r="AZ2406" t="s">
        <v>5615</v>
      </c>
      <c r="BA2406" t="s">
        <v>635</v>
      </c>
      <c r="BE2406" s="3">
        <v>42206</v>
      </c>
      <c r="BF2406" s="1">
        <v>235000</v>
      </c>
      <c r="BG2406" t="s">
        <v>16096</v>
      </c>
      <c r="BH2406" s="1">
        <v>90.84</v>
      </c>
      <c r="BI2406" s="1">
        <v>235600</v>
      </c>
      <c r="BJ2406" s="3">
        <v>42681</v>
      </c>
      <c r="BK2406" t="s">
        <v>123</v>
      </c>
      <c r="BL2406" t="str">
        <f>"2016.821734"</f>
        <v>2016.821734</v>
      </c>
      <c r="BM2406" t="s">
        <v>544</v>
      </c>
      <c r="BO2406" t="s">
        <v>16097</v>
      </c>
      <c r="BS2406">
        <v>30</v>
      </c>
      <c r="BW2406" t="str">
        <f>""</f>
        <v/>
      </c>
      <c r="CH2406" t="str">
        <f>""</f>
        <v/>
      </c>
      <c r="CS2406" t="str">
        <f>""</f>
        <v/>
      </c>
    </row>
    <row r="2407" spans="1:97" x14ac:dyDescent="0.25">
      <c r="A2407" t="s">
        <v>4930</v>
      </c>
      <c r="B2407" t="s">
        <v>6799</v>
      </c>
      <c r="C2407" t="s">
        <v>1845</v>
      </c>
      <c r="D2407" t="s">
        <v>6799</v>
      </c>
      <c r="E2407" t="s">
        <v>16098</v>
      </c>
      <c r="F2407" t="s">
        <v>139</v>
      </c>
      <c r="H2407" t="s">
        <v>16099</v>
      </c>
      <c r="I2407" t="s">
        <v>499</v>
      </c>
      <c r="J2407" t="s">
        <v>111</v>
      </c>
      <c r="K2407" t="str">
        <f>"85338"</f>
        <v>85338</v>
      </c>
      <c r="L2407" t="s">
        <v>11175</v>
      </c>
      <c r="M2407" t="s">
        <v>16100</v>
      </c>
      <c r="N2407" t="s">
        <v>3150</v>
      </c>
      <c r="O2407" t="s">
        <v>111</v>
      </c>
      <c r="P2407" t="str">
        <f>"85340-2109"</f>
        <v>85340-2109</v>
      </c>
      <c r="Q2407" t="s">
        <v>113</v>
      </c>
      <c r="R2407" t="str">
        <f>"500-07-507"</f>
        <v>500-07-507</v>
      </c>
      <c r="S2407" t="s">
        <v>11176</v>
      </c>
      <c r="T2407" t="s">
        <v>16101</v>
      </c>
      <c r="U2407">
        <v>3055</v>
      </c>
      <c r="V2407">
        <v>0</v>
      </c>
      <c r="W2407">
        <v>4</v>
      </c>
      <c r="X2407">
        <v>2010</v>
      </c>
      <c r="Z2407">
        <v>2</v>
      </c>
      <c r="AB2407">
        <v>0</v>
      </c>
      <c r="AC2407" t="s">
        <v>115</v>
      </c>
      <c r="AD2407">
        <v>2</v>
      </c>
      <c r="AE2407" t="s">
        <v>115</v>
      </c>
      <c r="AF2407">
        <v>0</v>
      </c>
      <c r="AG2407">
        <v>0</v>
      </c>
      <c r="AH2407" t="s">
        <v>116</v>
      </c>
      <c r="AI2407" s="1">
        <v>65519</v>
      </c>
      <c r="AJ2407" s="2">
        <v>0.21</v>
      </c>
      <c r="AK2407" s="1">
        <v>308060</v>
      </c>
      <c r="AL2407" t="s">
        <v>117</v>
      </c>
      <c r="AM2407" t="s">
        <v>118</v>
      </c>
      <c r="AN2407">
        <v>7475</v>
      </c>
      <c r="AO2407">
        <v>0.17</v>
      </c>
      <c r="AR2407">
        <v>1</v>
      </c>
      <c r="AS2407" s="1">
        <v>22150</v>
      </c>
      <c r="AT2407" s="1">
        <v>4430</v>
      </c>
      <c r="AU2407" s="1">
        <v>17720</v>
      </c>
      <c r="AV2407">
        <v>80</v>
      </c>
      <c r="AX2407" s="1">
        <v>2185.34</v>
      </c>
      <c r="AY2407" t="s">
        <v>11177</v>
      </c>
      <c r="AZ2407" t="s">
        <v>11177</v>
      </c>
      <c r="BA2407" t="s">
        <v>7186</v>
      </c>
      <c r="BE2407" s="3">
        <v>42283</v>
      </c>
      <c r="BF2407" s="1">
        <v>235000</v>
      </c>
      <c r="BG2407" t="s">
        <v>16102</v>
      </c>
      <c r="BH2407" s="1">
        <v>76.92</v>
      </c>
      <c r="BI2407" s="1">
        <v>242541</v>
      </c>
      <c r="BJ2407" s="3">
        <v>42615</v>
      </c>
      <c r="BK2407" t="s">
        <v>123</v>
      </c>
      <c r="BL2407" t="str">
        <f>"2016.637993"</f>
        <v>2016.637993</v>
      </c>
      <c r="BM2407" t="s">
        <v>322</v>
      </c>
      <c r="BO2407" t="s">
        <v>16103</v>
      </c>
      <c r="BS2407">
        <v>30</v>
      </c>
      <c r="BW2407" t="str">
        <f>""</f>
        <v/>
      </c>
      <c r="CH2407" t="str">
        <f>""</f>
        <v/>
      </c>
      <c r="CS2407" t="str">
        <f>""</f>
        <v/>
      </c>
    </row>
    <row r="2408" spans="1:97" x14ac:dyDescent="0.25">
      <c r="A2408" t="s">
        <v>668</v>
      </c>
      <c r="B2408" t="s">
        <v>6979</v>
      </c>
      <c r="E2408" t="s">
        <v>16104</v>
      </c>
      <c r="F2408" t="s">
        <v>108</v>
      </c>
      <c r="H2408" t="s">
        <v>16105</v>
      </c>
      <c r="I2408" t="s">
        <v>203</v>
      </c>
      <c r="J2408" t="s">
        <v>111</v>
      </c>
      <c r="K2408" t="str">
        <f>"85234"</f>
        <v>85234</v>
      </c>
      <c r="L2408" t="s">
        <v>7607</v>
      </c>
      <c r="M2408" t="s">
        <v>16105</v>
      </c>
      <c r="N2408" t="s">
        <v>203</v>
      </c>
      <c r="O2408" t="s">
        <v>111</v>
      </c>
      <c r="P2408" t="str">
        <f>"85234-1077"</f>
        <v>85234-1077</v>
      </c>
      <c r="Q2408" t="s">
        <v>113</v>
      </c>
      <c r="R2408" t="str">
        <f>"309-01-743"</f>
        <v>309-01-743</v>
      </c>
      <c r="S2408" t="s">
        <v>16106</v>
      </c>
      <c r="T2408" t="s">
        <v>16106</v>
      </c>
      <c r="U2408">
        <v>2414</v>
      </c>
      <c r="V2408">
        <v>0</v>
      </c>
      <c r="W2408">
        <v>4</v>
      </c>
      <c r="X2408">
        <v>1997</v>
      </c>
      <c r="Z2408">
        <v>2</v>
      </c>
      <c r="AA2408" t="s">
        <v>26</v>
      </c>
      <c r="AB2408">
        <v>0</v>
      </c>
      <c r="AC2408" t="s">
        <v>115</v>
      </c>
      <c r="AD2408">
        <v>2</v>
      </c>
      <c r="AE2408" t="s">
        <v>115</v>
      </c>
      <c r="AF2408">
        <v>0</v>
      </c>
      <c r="AG2408">
        <v>0</v>
      </c>
      <c r="AH2408" t="s">
        <v>116</v>
      </c>
      <c r="AI2408" s="1">
        <v>93488</v>
      </c>
      <c r="AJ2408" s="2">
        <v>0.25</v>
      </c>
      <c r="AK2408" s="1">
        <v>369293</v>
      </c>
      <c r="AL2408" t="s">
        <v>117</v>
      </c>
      <c r="AM2408" t="s">
        <v>191</v>
      </c>
      <c r="AN2408">
        <v>5314</v>
      </c>
      <c r="AO2408">
        <v>0.12</v>
      </c>
      <c r="AP2408">
        <v>1</v>
      </c>
      <c r="AR2408">
        <v>1</v>
      </c>
      <c r="AS2408" s="1">
        <v>25920</v>
      </c>
      <c r="AT2408" s="1">
        <v>5180</v>
      </c>
      <c r="AU2408" s="1">
        <v>20740</v>
      </c>
      <c r="AV2408">
        <v>80.02</v>
      </c>
      <c r="AX2408" s="1">
        <v>1853.42</v>
      </c>
      <c r="AY2408" t="s">
        <v>6506</v>
      </c>
      <c r="AZ2408" t="s">
        <v>520</v>
      </c>
      <c r="BA2408" t="s">
        <v>5033</v>
      </c>
      <c r="BE2408" s="3">
        <v>41789</v>
      </c>
      <c r="BF2408" s="1">
        <v>270000</v>
      </c>
      <c r="BG2408" t="s">
        <v>16107</v>
      </c>
      <c r="BH2408" s="1">
        <v>111.85</v>
      </c>
      <c r="BI2408" s="1">
        <v>275805</v>
      </c>
      <c r="BJ2408" s="3">
        <v>41789</v>
      </c>
      <c r="BK2408" t="s">
        <v>123</v>
      </c>
      <c r="BL2408" t="str">
        <f>"2014.355597"</f>
        <v>2014.355597</v>
      </c>
      <c r="BM2408" t="s">
        <v>2716</v>
      </c>
      <c r="BO2408" t="s">
        <v>16108</v>
      </c>
      <c r="BS2408">
        <v>30</v>
      </c>
      <c r="BW2408" t="str">
        <f>""</f>
        <v/>
      </c>
      <c r="CH2408" t="str">
        <f>""</f>
        <v/>
      </c>
      <c r="CS2408" t="str">
        <f>""</f>
        <v/>
      </c>
    </row>
    <row r="2409" spans="1:97" x14ac:dyDescent="0.25">
      <c r="A2409" t="s">
        <v>701</v>
      </c>
      <c r="B2409" t="s">
        <v>16109</v>
      </c>
      <c r="C2409" t="s">
        <v>3958</v>
      </c>
      <c r="D2409" t="s">
        <v>16109</v>
      </c>
      <c r="E2409" t="s">
        <v>16110</v>
      </c>
      <c r="F2409" t="s">
        <v>108</v>
      </c>
      <c r="H2409" t="s">
        <v>16111</v>
      </c>
      <c r="I2409" t="s">
        <v>390</v>
      </c>
      <c r="J2409" t="s">
        <v>111</v>
      </c>
      <c r="K2409" t="str">
        <f>"85006"</f>
        <v>85006</v>
      </c>
      <c r="L2409" t="s">
        <v>6891</v>
      </c>
      <c r="M2409" t="s">
        <v>16111</v>
      </c>
      <c r="N2409" t="s">
        <v>390</v>
      </c>
      <c r="O2409" t="s">
        <v>111</v>
      </c>
      <c r="P2409" t="str">
        <f>"85006-1729"</f>
        <v>85006-1729</v>
      </c>
      <c r="Q2409" t="s">
        <v>113</v>
      </c>
      <c r="R2409" t="str">
        <f>"117-18-005"</f>
        <v>117-18-005</v>
      </c>
      <c r="S2409" t="s">
        <v>16112</v>
      </c>
      <c r="T2409" t="s">
        <v>16113</v>
      </c>
      <c r="U2409">
        <v>971</v>
      </c>
      <c r="V2409">
        <v>0</v>
      </c>
      <c r="W2409">
        <v>1</v>
      </c>
      <c r="X2409">
        <v>1947</v>
      </c>
      <c r="Z2409">
        <v>1</v>
      </c>
      <c r="AB2409">
        <v>0</v>
      </c>
      <c r="AC2409" t="s">
        <v>5188</v>
      </c>
      <c r="AD2409">
        <v>2</v>
      </c>
      <c r="AE2409" t="s">
        <v>5188</v>
      </c>
      <c r="AF2409">
        <v>0</v>
      </c>
      <c r="AG2409">
        <v>0</v>
      </c>
      <c r="AH2409" t="s">
        <v>116</v>
      </c>
      <c r="AI2409" s="1">
        <v>56572</v>
      </c>
      <c r="AJ2409" s="2">
        <v>0.21</v>
      </c>
      <c r="AK2409" s="1">
        <v>275173</v>
      </c>
      <c r="AL2409" t="s">
        <v>117</v>
      </c>
      <c r="AM2409" t="s">
        <v>3345</v>
      </c>
      <c r="AN2409">
        <v>7375</v>
      </c>
      <c r="AO2409">
        <v>0.17</v>
      </c>
      <c r="AP2409">
        <v>1</v>
      </c>
      <c r="AR2409">
        <v>1</v>
      </c>
      <c r="AS2409" s="1">
        <v>20810</v>
      </c>
      <c r="AT2409" s="1">
        <v>4160</v>
      </c>
      <c r="AU2409" s="1">
        <v>16650</v>
      </c>
      <c r="AV2409">
        <v>80.010000000000005</v>
      </c>
      <c r="AX2409" s="1">
        <v>1514.56</v>
      </c>
      <c r="AY2409" t="s">
        <v>8411</v>
      </c>
      <c r="AZ2409" t="s">
        <v>8411</v>
      </c>
      <c r="BA2409" t="s">
        <v>8412</v>
      </c>
      <c r="BB2409" s="3">
        <v>42509</v>
      </c>
      <c r="BD2409" t="s">
        <v>240</v>
      </c>
      <c r="BE2409" s="3">
        <v>42509</v>
      </c>
      <c r="BF2409" s="1">
        <v>214000</v>
      </c>
      <c r="BG2409" t="s">
        <v>16114</v>
      </c>
      <c r="BH2409" s="1">
        <v>220.39</v>
      </c>
      <c r="BI2409" s="1">
        <v>218601</v>
      </c>
      <c r="BJ2409" s="3">
        <v>42509</v>
      </c>
      <c r="BK2409" t="s">
        <v>123</v>
      </c>
      <c r="BL2409" t="str">
        <f>"2016.345959"</f>
        <v>2016.345959</v>
      </c>
      <c r="BM2409" t="s">
        <v>1325</v>
      </c>
      <c r="BO2409" t="s">
        <v>16115</v>
      </c>
      <c r="BS2409">
        <v>30</v>
      </c>
      <c r="BW2409" t="str">
        <f>""</f>
        <v/>
      </c>
      <c r="CH2409" t="str">
        <f>""</f>
        <v/>
      </c>
      <c r="CS2409" t="str">
        <f>""</f>
        <v/>
      </c>
    </row>
    <row r="2410" spans="1:97" x14ac:dyDescent="0.25">
      <c r="B2410" t="s">
        <v>16116</v>
      </c>
      <c r="E2410" t="s">
        <v>16117</v>
      </c>
      <c r="F2410" t="s">
        <v>108</v>
      </c>
      <c r="H2410" t="s">
        <v>16118</v>
      </c>
      <c r="I2410" t="s">
        <v>453</v>
      </c>
      <c r="J2410" t="s">
        <v>111</v>
      </c>
      <c r="K2410" t="str">
        <f>"85381"</f>
        <v>85381</v>
      </c>
      <c r="L2410" t="s">
        <v>9597</v>
      </c>
      <c r="M2410" t="s">
        <v>16118</v>
      </c>
      <c r="N2410" t="s">
        <v>453</v>
      </c>
      <c r="O2410" t="s">
        <v>111</v>
      </c>
      <c r="P2410" t="str">
        <f>"85381-5030"</f>
        <v>85381-5030</v>
      </c>
      <c r="Q2410" t="s">
        <v>113</v>
      </c>
      <c r="R2410" t="str">
        <f>"200-97-382"</f>
        <v>200-97-382</v>
      </c>
      <c r="S2410" t="s">
        <v>9723</v>
      </c>
      <c r="T2410" t="s">
        <v>9724</v>
      </c>
      <c r="U2410">
        <v>1516</v>
      </c>
      <c r="V2410">
        <v>0</v>
      </c>
      <c r="W2410">
        <v>3</v>
      </c>
      <c r="X2410">
        <v>2013</v>
      </c>
      <c r="Z2410">
        <v>1</v>
      </c>
      <c r="AB2410">
        <v>0</v>
      </c>
      <c r="AC2410" t="s">
        <v>115</v>
      </c>
      <c r="AD2410">
        <v>2</v>
      </c>
      <c r="AE2410" t="s">
        <v>115</v>
      </c>
      <c r="AF2410">
        <v>0</v>
      </c>
      <c r="AG2410">
        <v>0</v>
      </c>
      <c r="AH2410" t="s">
        <v>116</v>
      </c>
      <c r="AI2410" s="1">
        <v>76163</v>
      </c>
      <c r="AJ2410" s="2">
        <v>0.25</v>
      </c>
      <c r="AK2410" s="1">
        <v>306308</v>
      </c>
      <c r="AL2410" t="s">
        <v>117</v>
      </c>
      <c r="AM2410" t="s">
        <v>118</v>
      </c>
      <c r="AN2410">
        <v>5822</v>
      </c>
      <c r="AO2410">
        <v>0.13</v>
      </c>
      <c r="AR2410">
        <v>1</v>
      </c>
      <c r="AS2410" s="1">
        <v>21330</v>
      </c>
      <c r="AT2410" s="1">
        <v>4260</v>
      </c>
      <c r="AU2410" s="1">
        <v>17070</v>
      </c>
      <c r="AV2410">
        <v>80.03</v>
      </c>
      <c r="AX2410" s="1">
        <v>1552.76</v>
      </c>
      <c r="AY2410" t="s">
        <v>5629</v>
      </c>
      <c r="AZ2410" t="s">
        <v>5629</v>
      </c>
      <c r="BA2410" t="s">
        <v>4007</v>
      </c>
      <c r="BB2410" s="3">
        <v>43581</v>
      </c>
      <c r="BC2410" s="1">
        <v>0</v>
      </c>
      <c r="BD2410" t="s">
        <v>247</v>
      </c>
      <c r="BE2410" s="3">
        <v>41866</v>
      </c>
      <c r="BF2410" s="1">
        <v>225847</v>
      </c>
      <c r="BG2410" t="s">
        <v>9725</v>
      </c>
      <c r="BH2410" s="1">
        <v>148.97999999999999</v>
      </c>
      <c r="BI2410" s="1">
        <v>230145</v>
      </c>
      <c r="BJ2410" s="3">
        <v>42611</v>
      </c>
      <c r="BK2410" t="s">
        <v>123</v>
      </c>
      <c r="BL2410" t="str">
        <f>"2016.618972"</f>
        <v>2016.618972</v>
      </c>
      <c r="BM2410" t="s">
        <v>131</v>
      </c>
      <c r="BN2410" t="s">
        <v>132</v>
      </c>
      <c r="BO2410" t="s">
        <v>16119</v>
      </c>
      <c r="BS2410">
        <v>30</v>
      </c>
      <c r="BW2410" t="str">
        <f>""</f>
        <v/>
      </c>
      <c r="CH2410" t="str">
        <f>""</f>
        <v/>
      </c>
      <c r="CS2410" t="str">
        <f>""</f>
        <v/>
      </c>
    </row>
    <row r="2411" spans="1:97" x14ac:dyDescent="0.25">
      <c r="A2411" t="s">
        <v>6830</v>
      </c>
      <c r="B2411" t="s">
        <v>16120</v>
      </c>
      <c r="C2411" t="s">
        <v>1170</v>
      </c>
      <c r="D2411" t="s">
        <v>16120</v>
      </c>
      <c r="E2411" t="s">
        <v>16121</v>
      </c>
      <c r="F2411" t="s">
        <v>108</v>
      </c>
      <c r="H2411" t="s">
        <v>16122</v>
      </c>
      <c r="I2411" t="s">
        <v>390</v>
      </c>
      <c r="J2411" t="s">
        <v>111</v>
      </c>
      <c r="K2411" t="str">
        <f>"85041"</f>
        <v>85041</v>
      </c>
      <c r="L2411" t="s">
        <v>6891</v>
      </c>
      <c r="M2411" t="s">
        <v>16122</v>
      </c>
      <c r="N2411" t="s">
        <v>390</v>
      </c>
      <c r="O2411" t="s">
        <v>111</v>
      </c>
      <c r="P2411" t="str">
        <f>"85041-6202"</f>
        <v>85041-6202</v>
      </c>
      <c r="Q2411" t="s">
        <v>113</v>
      </c>
      <c r="R2411" t="str">
        <f>"105-88-868"</f>
        <v>105-88-868</v>
      </c>
      <c r="S2411" t="s">
        <v>16123</v>
      </c>
      <c r="T2411" t="s">
        <v>15660</v>
      </c>
      <c r="U2411">
        <v>3549</v>
      </c>
      <c r="V2411">
        <v>0</v>
      </c>
      <c r="W2411">
        <v>5</v>
      </c>
      <c r="X2411">
        <v>2014</v>
      </c>
      <c r="Z2411">
        <v>2</v>
      </c>
      <c r="AA2411" t="s">
        <v>26</v>
      </c>
      <c r="AB2411">
        <v>0</v>
      </c>
      <c r="AC2411" t="s">
        <v>115</v>
      </c>
      <c r="AD2411">
        <v>3</v>
      </c>
      <c r="AE2411" t="s">
        <v>115</v>
      </c>
      <c r="AF2411">
        <v>0</v>
      </c>
      <c r="AG2411">
        <v>0</v>
      </c>
      <c r="AH2411" t="s">
        <v>116</v>
      </c>
      <c r="AI2411" s="1">
        <v>96068</v>
      </c>
      <c r="AJ2411" s="2">
        <v>0.25</v>
      </c>
      <c r="AK2411" s="1">
        <v>386426</v>
      </c>
      <c r="AL2411" t="s">
        <v>117</v>
      </c>
      <c r="AM2411" t="s">
        <v>760</v>
      </c>
      <c r="AN2411">
        <v>6900</v>
      </c>
      <c r="AO2411">
        <v>0.16</v>
      </c>
      <c r="AR2411">
        <v>1</v>
      </c>
      <c r="AS2411" s="1">
        <v>29160</v>
      </c>
      <c r="AT2411" s="1">
        <v>5830</v>
      </c>
      <c r="AU2411" s="1">
        <v>23330</v>
      </c>
      <c r="AV2411">
        <v>80.010000000000005</v>
      </c>
      <c r="AX2411" s="1">
        <v>2873.12</v>
      </c>
      <c r="AY2411" t="s">
        <v>5220</v>
      </c>
      <c r="AZ2411" t="s">
        <v>5220</v>
      </c>
      <c r="BA2411" t="s">
        <v>1661</v>
      </c>
      <c r="BB2411" s="3">
        <v>42860</v>
      </c>
      <c r="BD2411" t="s">
        <v>458</v>
      </c>
      <c r="BE2411" s="3">
        <v>41851</v>
      </c>
      <c r="BF2411" s="1">
        <v>292193</v>
      </c>
      <c r="BG2411" t="s">
        <v>158</v>
      </c>
      <c r="BH2411" s="1">
        <v>82.33</v>
      </c>
      <c r="BI2411" s="1">
        <v>290358</v>
      </c>
      <c r="BJ2411" s="3">
        <v>42860</v>
      </c>
      <c r="BK2411" t="s">
        <v>123</v>
      </c>
      <c r="BL2411" t="str">
        <f>"2017.325351"</f>
        <v>2017.325351</v>
      </c>
      <c r="BM2411" t="s">
        <v>322</v>
      </c>
      <c r="BO2411" t="s">
        <v>16124</v>
      </c>
      <c r="BS2411">
        <v>30</v>
      </c>
      <c r="BW2411" t="str">
        <f>""</f>
        <v/>
      </c>
      <c r="CH2411" t="str">
        <f>""</f>
        <v/>
      </c>
      <c r="CS2411" t="str">
        <f>""</f>
        <v/>
      </c>
    </row>
    <row r="2412" spans="1:97" x14ac:dyDescent="0.25">
      <c r="A2412" t="s">
        <v>7306</v>
      </c>
      <c r="B2412" t="s">
        <v>802</v>
      </c>
      <c r="C2412" t="s">
        <v>727</v>
      </c>
      <c r="D2412" t="s">
        <v>802</v>
      </c>
      <c r="E2412" t="s">
        <v>16125</v>
      </c>
      <c r="F2412" t="s">
        <v>108</v>
      </c>
      <c r="H2412" t="s">
        <v>16126</v>
      </c>
      <c r="I2412" t="s">
        <v>390</v>
      </c>
      <c r="J2412" t="s">
        <v>111</v>
      </c>
      <c r="K2412" t="str">
        <f>"85044"</f>
        <v>85044</v>
      </c>
      <c r="L2412" t="s">
        <v>1312</v>
      </c>
      <c r="M2412" t="s">
        <v>16126</v>
      </c>
      <c r="N2412" t="s">
        <v>390</v>
      </c>
      <c r="O2412" t="s">
        <v>111</v>
      </c>
      <c r="P2412" t="str">
        <f>"85044-5518"</f>
        <v>85044-5518</v>
      </c>
      <c r="Q2412" t="s">
        <v>113</v>
      </c>
      <c r="R2412" t="str">
        <f>"301-40-930"</f>
        <v>301-40-930</v>
      </c>
      <c r="S2412" t="s">
        <v>16127</v>
      </c>
      <c r="T2412" t="s">
        <v>16128</v>
      </c>
      <c r="U2412">
        <v>1394</v>
      </c>
      <c r="V2412">
        <v>0</v>
      </c>
      <c r="W2412">
        <v>2</v>
      </c>
      <c r="X2412">
        <v>1983</v>
      </c>
      <c r="Z2412">
        <v>1</v>
      </c>
      <c r="AA2412" t="s">
        <v>26</v>
      </c>
      <c r="AB2412">
        <v>0</v>
      </c>
      <c r="AC2412" t="s">
        <v>115</v>
      </c>
      <c r="AD2412">
        <v>2</v>
      </c>
      <c r="AE2412" t="s">
        <v>115</v>
      </c>
      <c r="AF2412">
        <v>0</v>
      </c>
      <c r="AG2412">
        <v>0</v>
      </c>
      <c r="AH2412" t="s">
        <v>116</v>
      </c>
      <c r="AI2412" s="1">
        <v>73949</v>
      </c>
      <c r="AJ2412" s="2">
        <v>0.25</v>
      </c>
      <c r="AK2412" s="1">
        <v>298449</v>
      </c>
      <c r="AL2412" t="s">
        <v>117</v>
      </c>
      <c r="AM2412" t="s">
        <v>191</v>
      </c>
      <c r="AN2412">
        <v>7065</v>
      </c>
      <c r="AO2412">
        <v>0.16</v>
      </c>
      <c r="AP2412">
        <v>1</v>
      </c>
      <c r="AR2412">
        <v>1</v>
      </c>
      <c r="AS2412" s="1">
        <v>20460</v>
      </c>
      <c r="AT2412" s="1">
        <v>4090</v>
      </c>
      <c r="AU2412" s="1">
        <v>16370</v>
      </c>
      <c r="AV2412">
        <v>80.010000000000005</v>
      </c>
      <c r="AX2412" s="1">
        <v>1393.92</v>
      </c>
      <c r="AY2412" t="s">
        <v>11872</v>
      </c>
      <c r="AZ2412" t="s">
        <v>7255</v>
      </c>
      <c r="BA2412" t="s">
        <v>5328</v>
      </c>
      <c r="BE2412" s="3">
        <v>41927</v>
      </c>
      <c r="BF2412" s="1">
        <v>224500</v>
      </c>
      <c r="BG2412" t="s">
        <v>16129</v>
      </c>
      <c r="BH2412" s="1">
        <v>161.05000000000001</v>
      </c>
      <c r="BI2412" s="1">
        <v>224500</v>
      </c>
      <c r="BJ2412" s="3">
        <v>41927</v>
      </c>
      <c r="BK2412" t="s">
        <v>123</v>
      </c>
      <c r="BL2412" t="str">
        <f>"2014.682058"</f>
        <v>2014.682058</v>
      </c>
      <c r="BM2412" t="s">
        <v>1185</v>
      </c>
      <c r="BO2412" t="s">
        <v>16130</v>
      </c>
      <c r="BS2412">
        <v>30</v>
      </c>
      <c r="BW2412" t="str">
        <f>""</f>
        <v/>
      </c>
      <c r="CH2412" t="str">
        <f>""</f>
        <v/>
      </c>
      <c r="CS2412" t="str">
        <f>""</f>
        <v/>
      </c>
    </row>
    <row r="2413" spans="1:97" x14ac:dyDescent="0.25">
      <c r="A2413" t="s">
        <v>2930</v>
      </c>
      <c r="B2413" t="s">
        <v>16131</v>
      </c>
      <c r="E2413" t="s">
        <v>16132</v>
      </c>
      <c r="F2413" t="s">
        <v>108</v>
      </c>
      <c r="H2413" t="s">
        <v>16133</v>
      </c>
      <c r="I2413" t="s">
        <v>390</v>
      </c>
      <c r="J2413" t="s">
        <v>111</v>
      </c>
      <c r="K2413" t="str">
        <f>"85044"</f>
        <v>85044</v>
      </c>
      <c r="L2413" t="s">
        <v>4565</v>
      </c>
      <c r="M2413" t="s">
        <v>16133</v>
      </c>
      <c r="N2413" t="s">
        <v>390</v>
      </c>
      <c r="O2413" t="s">
        <v>111</v>
      </c>
      <c r="P2413" t="str">
        <f>"85044-3947"</f>
        <v>85044-3947</v>
      </c>
      <c r="Q2413" t="s">
        <v>113</v>
      </c>
      <c r="R2413" t="str">
        <f>"301-58-227"</f>
        <v>301-58-227</v>
      </c>
      <c r="S2413" t="s">
        <v>16134</v>
      </c>
      <c r="U2413">
        <v>1273</v>
      </c>
      <c r="V2413">
        <v>0</v>
      </c>
      <c r="W2413">
        <v>3</v>
      </c>
      <c r="X2413">
        <v>1983</v>
      </c>
      <c r="Z2413">
        <v>1</v>
      </c>
      <c r="AA2413" t="s">
        <v>26</v>
      </c>
      <c r="AB2413">
        <v>0</v>
      </c>
      <c r="AC2413" t="s">
        <v>115</v>
      </c>
      <c r="AD2413">
        <v>2</v>
      </c>
      <c r="AE2413" t="s">
        <v>115</v>
      </c>
      <c r="AF2413">
        <v>0</v>
      </c>
      <c r="AG2413">
        <v>0</v>
      </c>
      <c r="AH2413" t="s">
        <v>116</v>
      </c>
      <c r="AI2413" s="1">
        <v>37048</v>
      </c>
      <c r="AJ2413" s="2">
        <v>0.14000000000000001</v>
      </c>
      <c r="AK2413" s="1">
        <v>268928</v>
      </c>
      <c r="AL2413" t="s">
        <v>117</v>
      </c>
      <c r="AM2413" t="s">
        <v>3345</v>
      </c>
      <c r="AN2413">
        <v>5515</v>
      </c>
      <c r="AO2413">
        <v>0.13</v>
      </c>
      <c r="AP2413">
        <v>1</v>
      </c>
      <c r="AR2413">
        <v>1</v>
      </c>
      <c r="AS2413" s="1">
        <v>17580</v>
      </c>
      <c r="AT2413" s="1">
        <v>3510</v>
      </c>
      <c r="AU2413" s="1">
        <v>14070</v>
      </c>
      <c r="AV2413">
        <v>80.03</v>
      </c>
      <c r="AX2413" s="1">
        <v>1555.06</v>
      </c>
      <c r="AY2413" t="s">
        <v>11872</v>
      </c>
      <c r="AZ2413" t="s">
        <v>7255</v>
      </c>
      <c r="BA2413" t="s">
        <v>5328</v>
      </c>
      <c r="BE2413" s="3">
        <v>42174</v>
      </c>
      <c r="BF2413" s="1">
        <v>227000</v>
      </c>
      <c r="BG2413" t="s">
        <v>16135</v>
      </c>
      <c r="BH2413" s="1">
        <v>178.32</v>
      </c>
      <c r="BI2413" s="1">
        <v>231880</v>
      </c>
      <c r="BJ2413" s="3">
        <v>42174</v>
      </c>
      <c r="BK2413" t="s">
        <v>123</v>
      </c>
      <c r="BL2413" t="str">
        <f>"2015.440016"</f>
        <v>2015.440016</v>
      </c>
      <c r="BM2413" t="s">
        <v>1791</v>
      </c>
      <c r="BO2413" t="s">
        <v>16136</v>
      </c>
      <c r="BS2413">
        <v>30</v>
      </c>
      <c r="BW2413" t="str">
        <f>""</f>
        <v/>
      </c>
      <c r="CH2413" t="str">
        <f>""</f>
        <v/>
      </c>
      <c r="CS2413" t="str">
        <f>""</f>
        <v/>
      </c>
    </row>
    <row r="2414" spans="1:97" x14ac:dyDescent="0.25">
      <c r="A2414" t="s">
        <v>1160</v>
      </c>
      <c r="B2414" t="s">
        <v>16137</v>
      </c>
      <c r="C2414" t="s">
        <v>2620</v>
      </c>
      <c r="D2414" t="s">
        <v>16137</v>
      </c>
      <c r="E2414" t="s">
        <v>16138</v>
      </c>
      <c r="F2414" t="s">
        <v>108</v>
      </c>
      <c r="H2414" t="s">
        <v>16139</v>
      </c>
      <c r="I2414" t="s">
        <v>5863</v>
      </c>
      <c r="J2414" t="s">
        <v>111</v>
      </c>
      <c r="K2414" t="str">
        <f>"85375"</f>
        <v>85375</v>
      </c>
      <c r="L2414" t="s">
        <v>1312</v>
      </c>
      <c r="M2414" t="s">
        <v>16139</v>
      </c>
      <c r="N2414" t="s">
        <v>5863</v>
      </c>
      <c r="O2414" t="s">
        <v>111</v>
      </c>
      <c r="P2414" t="str">
        <f>"85375-1846"</f>
        <v>85375-1846</v>
      </c>
      <c r="Q2414" t="s">
        <v>113</v>
      </c>
      <c r="R2414" t="str">
        <f>"232-09-976"</f>
        <v>232-09-976</v>
      </c>
      <c r="S2414" t="s">
        <v>16140</v>
      </c>
      <c r="U2414">
        <v>2103</v>
      </c>
      <c r="V2414">
        <v>0</v>
      </c>
      <c r="W2414">
        <v>3</v>
      </c>
      <c r="X2414">
        <v>1984</v>
      </c>
      <c r="Z2414">
        <v>1</v>
      </c>
      <c r="AA2414" t="s">
        <v>26</v>
      </c>
      <c r="AB2414">
        <v>0</v>
      </c>
      <c r="AC2414" t="s">
        <v>115</v>
      </c>
      <c r="AD2414">
        <v>2</v>
      </c>
      <c r="AE2414" t="s">
        <v>115</v>
      </c>
      <c r="AF2414">
        <v>0</v>
      </c>
      <c r="AG2414">
        <v>0</v>
      </c>
      <c r="AH2414" t="s">
        <v>116</v>
      </c>
      <c r="AI2414" s="1">
        <v>36517</v>
      </c>
      <c r="AJ2414" s="2">
        <v>0.13</v>
      </c>
      <c r="AK2414" s="1">
        <v>279727</v>
      </c>
      <c r="AL2414" t="s">
        <v>117</v>
      </c>
      <c r="AM2414" t="s">
        <v>393</v>
      </c>
      <c r="AN2414">
        <v>11402</v>
      </c>
      <c r="AO2414">
        <v>0.26</v>
      </c>
      <c r="AP2414">
        <v>1</v>
      </c>
      <c r="AR2414">
        <v>1</v>
      </c>
      <c r="AS2414" s="1">
        <v>18230</v>
      </c>
      <c r="AT2414" s="1">
        <v>3640</v>
      </c>
      <c r="AU2414" s="1">
        <v>14590</v>
      </c>
      <c r="AV2414">
        <v>80.03</v>
      </c>
      <c r="AX2414" s="1">
        <v>1416.74</v>
      </c>
      <c r="AY2414" t="s">
        <v>320</v>
      </c>
      <c r="AZ2414" t="s">
        <v>320</v>
      </c>
      <c r="BA2414" t="s">
        <v>321</v>
      </c>
      <c r="BE2414" s="3">
        <v>42116</v>
      </c>
      <c r="BF2414" s="1">
        <v>211000</v>
      </c>
      <c r="BG2414" t="s">
        <v>16141</v>
      </c>
      <c r="BH2414" s="1">
        <v>100.33</v>
      </c>
      <c r="BI2414" s="1">
        <v>243210</v>
      </c>
      <c r="BJ2414" s="3">
        <v>43146</v>
      </c>
      <c r="BK2414" t="s">
        <v>123</v>
      </c>
      <c r="BL2414" t="str">
        <f>"2018.115779"</f>
        <v>2018.115779</v>
      </c>
      <c r="BM2414" t="s">
        <v>361</v>
      </c>
      <c r="BN2414" t="s">
        <v>884</v>
      </c>
      <c r="BO2414" t="s">
        <v>16142</v>
      </c>
      <c r="BP2414" t="s">
        <v>16143</v>
      </c>
      <c r="BR2414" t="s">
        <v>139</v>
      </c>
      <c r="BW2414" t="str">
        <f>""</f>
        <v/>
      </c>
      <c r="CH2414" t="str">
        <f>""</f>
        <v/>
      </c>
      <c r="CS2414" t="str">
        <f>""</f>
        <v/>
      </c>
    </row>
    <row r="2415" spans="1:97" x14ac:dyDescent="0.25">
      <c r="A2415" t="s">
        <v>1607</v>
      </c>
      <c r="B2415" t="s">
        <v>16144</v>
      </c>
      <c r="C2415" t="s">
        <v>1906</v>
      </c>
      <c r="D2415" t="s">
        <v>16144</v>
      </c>
      <c r="E2415" t="s">
        <v>16145</v>
      </c>
      <c r="F2415" t="s">
        <v>108</v>
      </c>
      <c r="H2415" t="s">
        <v>16146</v>
      </c>
      <c r="I2415" t="s">
        <v>203</v>
      </c>
      <c r="J2415" t="s">
        <v>111</v>
      </c>
      <c r="K2415" t="str">
        <f>"85234"</f>
        <v>85234</v>
      </c>
      <c r="L2415" t="s">
        <v>7626</v>
      </c>
      <c r="M2415" t="s">
        <v>16146</v>
      </c>
      <c r="N2415" t="s">
        <v>203</v>
      </c>
      <c r="O2415" t="s">
        <v>111</v>
      </c>
      <c r="P2415" t="str">
        <f>"85234-4559"</f>
        <v>85234-4559</v>
      </c>
      <c r="Q2415" t="s">
        <v>113</v>
      </c>
      <c r="R2415" t="str">
        <f>"304-12-777"</f>
        <v>304-12-777</v>
      </c>
      <c r="S2415" t="s">
        <v>16147</v>
      </c>
      <c r="T2415" t="s">
        <v>16148</v>
      </c>
      <c r="U2415">
        <v>2362</v>
      </c>
      <c r="V2415">
        <v>0</v>
      </c>
      <c r="W2415">
        <v>4</v>
      </c>
      <c r="X2415">
        <v>1984</v>
      </c>
      <c r="Z2415">
        <v>2</v>
      </c>
      <c r="AB2415">
        <v>0</v>
      </c>
      <c r="AC2415" t="s">
        <v>115</v>
      </c>
      <c r="AD2415">
        <v>2</v>
      </c>
      <c r="AE2415" t="s">
        <v>115</v>
      </c>
      <c r="AF2415">
        <v>0</v>
      </c>
      <c r="AG2415">
        <v>0</v>
      </c>
      <c r="AH2415" t="s">
        <v>116</v>
      </c>
      <c r="AI2415" s="1">
        <v>128725</v>
      </c>
      <c r="AJ2415" s="2">
        <v>0.38</v>
      </c>
      <c r="AK2415" s="1">
        <v>335275</v>
      </c>
      <c r="AL2415" t="s">
        <v>117</v>
      </c>
      <c r="AM2415" t="s">
        <v>288</v>
      </c>
      <c r="AN2415">
        <v>5162</v>
      </c>
      <c r="AO2415">
        <v>0.12</v>
      </c>
      <c r="AP2415">
        <v>1</v>
      </c>
      <c r="AR2415">
        <v>1</v>
      </c>
      <c r="AS2415" s="1">
        <v>22250</v>
      </c>
      <c r="AT2415" s="1">
        <v>4450</v>
      </c>
      <c r="AU2415" s="1">
        <v>17800</v>
      </c>
      <c r="AV2415">
        <v>80</v>
      </c>
      <c r="AX2415" s="1">
        <v>1546.46</v>
      </c>
      <c r="AY2415" t="s">
        <v>9115</v>
      </c>
      <c r="AZ2415" t="s">
        <v>5478</v>
      </c>
      <c r="BA2415" t="s">
        <v>5033</v>
      </c>
      <c r="BE2415" s="3">
        <v>42388</v>
      </c>
      <c r="BF2415" s="1">
        <v>255000</v>
      </c>
      <c r="BG2415" t="s">
        <v>16149</v>
      </c>
      <c r="BH2415" s="1">
        <v>107.96</v>
      </c>
      <c r="BI2415" s="1">
        <v>206550</v>
      </c>
      <c r="BJ2415" s="3">
        <v>42388</v>
      </c>
      <c r="BK2415" t="s">
        <v>123</v>
      </c>
      <c r="BL2415" t="str">
        <f>"2016.34729"</f>
        <v>2016.34729</v>
      </c>
      <c r="BM2415" t="s">
        <v>594</v>
      </c>
      <c r="BO2415" t="s">
        <v>16150</v>
      </c>
      <c r="BS2415">
        <v>30</v>
      </c>
      <c r="BW2415" t="str">
        <f>""</f>
        <v/>
      </c>
      <c r="CH2415" t="str">
        <f>""</f>
        <v/>
      </c>
      <c r="CS2415" t="str">
        <f>""</f>
        <v/>
      </c>
    </row>
    <row r="2416" spans="1:97" x14ac:dyDescent="0.25">
      <c r="A2416" t="s">
        <v>16151</v>
      </c>
      <c r="B2416" t="s">
        <v>16152</v>
      </c>
      <c r="C2416" t="s">
        <v>16153</v>
      </c>
      <c r="D2416" t="s">
        <v>16152</v>
      </c>
      <c r="E2416" t="s">
        <v>16154</v>
      </c>
      <c r="F2416" t="s">
        <v>108</v>
      </c>
      <c r="H2416" t="s">
        <v>16155</v>
      </c>
      <c r="I2416" t="s">
        <v>390</v>
      </c>
      <c r="J2416" t="s">
        <v>111</v>
      </c>
      <c r="K2416" t="str">
        <f>"85013"</f>
        <v>85013</v>
      </c>
      <c r="L2416" t="s">
        <v>5514</v>
      </c>
      <c r="M2416" t="s">
        <v>16155</v>
      </c>
      <c r="N2416" t="s">
        <v>390</v>
      </c>
      <c r="O2416" t="s">
        <v>111</v>
      </c>
      <c r="P2416" t="str">
        <f>"85013-1970"</f>
        <v>85013-1970</v>
      </c>
      <c r="Q2416" t="s">
        <v>113</v>
      </c>
      <c r="R2416" t="str">
        <f>"156-41-119"</f>
        <v>156-41-119</v>
      </c>
      <c r="S2416" t="s">
        <v>16156</v>
      </c>
      <c r="T2416" t="s">
        <v>16157</v>
      </c>
      <c r="U2416">
        <v>1720</v>
      </c>
      <c r="V2416">
        <v>0</v>
      </c>
      <c r="W2416">
        <v>2</v>
      </c>
      <c r="X2416">
        <v>1957</v>
      </c>
      <c r="Z2416">
        <v>1</v>
      </c>
      <c r="AB2416">
        <v>0</v>
      </c>
      <c r="AC2416" t="s">
        <v>5188</v>
      </c>
      <c r="AD2416">
        <v>2</v>
      </c>
      <c r="AE2416" t="s">
        <v>5188</v>
      </c>
      <c r="AF2416">
        <v>0</v>
      </c>
      <c r="AG2416">
        <v>0</v>
      </c>
      <c r="AH2416" t="s">
        <v>116</v>
      </c>
      <c r="AI2416" s="1">
        <v>58185</v>
      </c>
      <c r="AJ2416" s="2">
        <v>0.16</v>
      </c>
      <c r="AK2416" s="1">
        <v>359885</v>
      </c>
      <c r="AL2416" t="s">
        <v>117</v>
      </c>
      <c r="AM2416" t="s">
        <v>191</v>
      </c>
      <c r="AN2416">
        <v>7414</v>
      </c>
      <c r="AO2416">
        <v>0.17</v>
      </c>
      <c r="AP2416">
        <v>1</v>
      </c>
      <c r="AR2416">
        <v>1</v>
      </c>
      <c r="AS2416" s="1">
        <v>25160</v>
      </c>
      <c r="AT2416" s="1">
        <v>5030</v>
      </c>
      <c r="AU2416" s="1">
        <v>20130</v>
      </c>
      <c r="AV2416">
        <v>80.010000000000005</v>
      </c>
      <c r="AX2416" s="1">
        <v>2422.6799999999998</v>
      </c>
      <c r="AY2416" t="s">
        <v>16158</v>
      </c>
      <c r="AZ2416" t="s">
        <v>5690</v>
      </c>
      <c r="BA2416" t="s">
        <v>5691</v>
      </c>
      <c r="BE2416" s="3">
        <v>41949</v>
      </c>
      <c r="BF2416" s="1">
        <v>205000</v>
      </c>
      <c r="BG2416" t="s">
        <v>16159</v>
      </c>
      <c r="BH2416" s="1">
        <v>119.19</v>
      </c>
      <c r="BI2416" s="1">
        <v>241700</v>
      </c>
      <c r="BJ2416" s="3">
        <v>42480</v>
      </c>
      <c r="BK2416" t="s">
        <v>123</v>
      </c>
      <c r="BL2416" t="str">
        <f>"2016.262539"</f>
        <v>2016.262539</v>
      </c>
      <c r="BM2416" t="s">
        <v>124</v>
      </c>
      <c r="BN2416" t="s">
        <v>1575</v>
      </c>
      <c r="BO2416" t="s">
        <v>16160</v>
      </c>
      <c r="BS2416">
        <v>30</v>
      </c>
      <c r="BT2416" s="1">
        <v>60000</v>
      </c>
      <c r="BU2416" s="3">
        <v>43357</v>
      </c>
      <c r="BV2416" t="s">
        <v>134</v>
      </c>
      <c r="BW2416" t="str">
        <f>"2018.692523"</f>
        <v>2018.692523</v>
      </c>
      <c r="BX2416" t="s">
        <v>6152</v>
      </c>
      <c r="BY2416" t="s">
        <v>6153</v>
      </c>
      <c r="BZ2416" t="s">
        <v>16161</v>
      </c>
      <c r="CA2416" t="s">
        <v>16162</v>
      </c>
      <c r="CC2416" t="s">
        <v>139</v>
      </c>
      <c r="CH2416" t="str">
        <f>""</f>
        <v/>
      </c>
      <c r="CS2416" t="str">
        <f>""</f>
        <v/>
      </c>
    </row>
    <row r="2417" spans="1:97" x14ac:dyDescent="0.25">
      <c r="A2417" t="s">
        <v>140</v>
      </c>
      <c r="B2417" t="s">
        <v>16163</v>
      </c>
      <c r="C2417" t="s">
        <v>10210</v>
      </c>
      <c r="D2417" t="s">
        <v>16163</v>
      </c>
      <c r="E2417" t="s">
        <v>16164</v>
      </c>
      <c r="F2417" t="s">
        <v>108</v>
      </c>
      <c r="H2417" t="s">
        <v>16165</v>
      </c>
      <c r="I2417" t="s">
        <v>632</v>
      </c>
      <c r="J2417" t="s">
        <v>111</v>
      </c>
      <c r="K2417" t="str">
        <f>"85379"</f>
        <v>85379</v>
      </c>
      <c r="L2417" t="s">
        <v>375</v>
      </c>
      <c r="M2417" t="s">
        <v>16165</v>
      </c>
      <c r="N2417" t="s">
        <v>632</v>
      </c>
      <c r="O2417" t="s">
        <v>111</v>
      </c>
      <c r="P2417" t="str">
        <f>"85379-8117"</f>
        <v>85379-8117</v>
      </c>
      <c r="Q2417" t="s">
        <v>113</v>
      </c>
      <c r="R2417" t="str">
        <f>"509-15-761"</f>
        <v>509-15-761</v>
      </c>
      <c r="S2417" t="s">
        <v>14562</v>
      </c>
      <c r="U2417">
        <v>2928</v>
      </c>
      <c r="V2417">
        <v>0</v>
      </c>
      <c r="W2417">
        <v>5</v>
      </c>
      <c r="X2417">
        <v>2013</v>
      </c>
      <c r="Z2417">
        <v>2</v>
      </c>
      <c r="AA2417" t="s">
        <v>26</v>
      </c>
      <c r="AB2417">
        <v>0</v>
      </c>
      <c r="AC2417" t="s">
        <v>115</v>
      </c>
      <c r="AD2417">
        <v>3</v>
      </c>
      <c r="AE2417" t="s">
        <v>115</v>
      </c>
      <c r="AF2417">
        <v>0</v>
      </c>
      <c r="AG2417">
        <v>0</v>
      </c>
      <c r="AH2417" t="s">
        <v>116</v>
      </c>
      <c r="AI2417" s="1">
        <v>75876</v>
      </c>
      <c r="AJ2417" s="2">
        <v>0.2</v>
      </c>
      <c r="AK2417" s="1">
        <v>379028</v>
      </c>
      <c r="AL2417" t="s">
        <v>117</v>
      </c>
      <c r="AM2417" t="s">
        <v>118</v>
      </c>
      <c r="AN2417">
        <v>7084</v>
      </c>
      <c r="AO2417">
        <v>0.16</v>
      </c>
      <c r="AR2417">
        <v>1</v>
      </c>
      <c r="AS2417" s="1">
        <v>28310</v>
      </c>
      <c r="AT2417" s="1">
        <v>5660</v>
      </c>
      <c r="AU2417" s="1">
        <v>22650</v>
      </c>
      <c r="AV2417">
        <v>80.010000000000005</v>
      </c>
      <c r="AX2417" s="1">
        <v>3085.02</v>
      </c>
      <c r="AY2417" t="s">
        <v>634</v>
      </c>
      <c r="AZ2417" t="s">
        <v>634</v>
      </c>
      <c r="BA2417" t="s">
        <v>635</v>
      </c>
      <c r="BE2417" s="3">
        <v>41666</v>
      </c>
      <c r="BF2417" s="1">
        <v>293468</v>
      </c>
      <c r="BG2417" t="s">
        <v>636</v>
      </c>
      <c r="BH2417" s="1">
        <v>100.23</v>
      </c>
      <c r="BI2417" s="1">
        <v>303152</v>
      </c>
      <c r="BJ2417" s="3">
        <v>41666</v>
      </c>
      <c r="BK2417" t="s">
        <v>123</v>
      </c>
      <c r="BL2417" t="str">
        <f>"2014.52415"</f>
        <v>2014.52415</v>
      </c>
      <c r="BM2417" t="s">
        <v>637</v>
      </c>
      <c r="BO2417" t="s">
        <v>16166</v>
      </c>
      <c r="BS2417">
        <v>30</v>
      </c>
      <c r="BW2417" t="str">
        <f>""</f>
        <v/>
      </c>
      <c r="CH2417" t="str">
        <f>""</f>
        <v/>
      </c>
      <c r="CS2417" t="str">
        <f>""</f>
        <v/>
      </c>
    </row>
    <row r="2418" spans="1:97" x14ac:dyDescent="0.25">
      <c r="A2418" t="s">
        <v>1009</v>
      </c>
      <c r="B2418" t="s">
        <v>10069</v>
      </c>
      <c r="E2418" t="s">
        <v>16167</v>
      </c>
      <c r="F2418" t="s">
        <v>108</v>
      </c>
      <c r="H2418" t="s">
        <v>16168</v>
      </c>
      <c r="I2418" t="s">
        <v>5114</v>
      </c>
      <c r="J2418" t="s">
        <v>111</v>
      </c>
      <c r="K2418" t="str">
        <f>"85323"</f>
        <v>85323</v>
      </c>
      <c r="L2418" t="s">
        <v>688</v>
      </c>
      <c r="M2418" t="s">
        <v>16168</v>
      </c>
      <c r="N2418" t="s">
        <v>5114</v>
      </c>
      <c r="O2418" t="s">
        <v>111</v>
      </c>
      <c r="P2418" t="str">
        <f>"85323-7680"</f>
        <v>85323-7680</v>
      </c>
      <c r="Q2418" t="s">
        <v>113</v>
      </c>
      <c r="R2418" t="str">
        <f>"500-32-095"</f>
        <v>500-32-095</v>
      </c>
      <c r="S2418" t="s">
        <v>9433</v>
      </c>
      <c r="U2418">
        <v>2474</v>
      </c>
      <c r="V2418">
        <v>0</v>
      </c>
      <c r="W2418">
        <v>4</v>
      </c>
      <c r="X2418">
        <v>2016</v>
      </c>
      <c r="Z2418">
        <v>2</v>
      </c>
      <c r="AB2418">
        <v>0</v>
      </c>
      <c r="AC2418" t="s">
        <v>115</v>
      </c>
      <c r="AD2418">
        <v>2</v>
      </c>
      <c r="AE2418" t="s">
        <v>115</v>
      </c>
      <c r="AF2418">
        <v>0</v>
      </c>
      <c r="AG2418">
        <v>0</v>
      </c>
      <c r="AH2418" t="s">
        <v>116</v>
      </c>
      <c r="AI2418" s="1">
        <v>35955</v>
      </c>
      <c r="AJ2418" s="2">
        <v>0.12</v>
      </c>
      <c r="AK2418" s="1">
        <v>305535</v>
      </c>
      <c r="AL2418" t="s">
        <v>117</v>
      </c>
      <c r="AM2418" t="s">
        <v>118</v>
      </c>
      <c r="AN2418">
        <v>7560</v>
      </c>
      <c r="AO2418">
        <v>0.17</v>
      </c>
      <c r="AR2418">
        <v>1</v>
      </c>
      <c r="AS2418" s="1">
        <v>21610</v>
      </c>
      <c r="AT2418" s="1">
        <v>4320</v>
      </c>
      <c r="AU2418" s="1">
        <v>17290</v>
      </c>
      <c r="AV2418">
        <v>80.010000000000005</v>
      </c>
      <c r="AX2418" s="1">
        <v>2350.66</v>
      </c>
      <c r="AY2418" t="s">
        <v>5458</v>
      </c>
      <c r="AZ2418" t="s">
        <v>5458</v>
      </c>
      <c r="BA2418" t="s">
        <v>4254</v>
      </c>
      <c r="BE2418" s="3">
        <v>42528</v>
      </c>
      <c r="BF2418" s="1">
        <v>269580</v>
      </c>
      <c r="BG2418" t="s">
        <v>3524</v>
      </c>
      <c r="BH2418" s="1">
        <v>108.97</v>
      </c>
      <c r="BI2418" s="1">
        <v>269580</v>
      </c>
      <c r="BJ2418" s="3">
        <v>42528</v>
      </c>
      <c r="BK2418" t="s">
        <v>123</v>
      </c>
      <c r="BL2418" t="str">
        <f>"2016.393966"</f>
        <v>2016.393966</v>
      </c>
      <c r="BM2418" t="s">
        <v>3453</v>
      </c>
      <c r="BO2418" t="s">
        <v>16169</v>
      </c>
      <c r="BS2418">
        <v>30</v>
      </c>
      <c r="BW2418" t="str">
        <f>""</f>
        <v/>
      </c>
      <c r="CH2418" t="str">
        <f>""</f>
        <v/>
      </c>
      <c r="CS2418" t="str">
        <f>""</f>
        <v/>
      </c>
    </row>
    <row r="2419" spans="1:97" x14ac:dyDescent="0.25">
      <c r="A2419" t="s">
        <v>589</v>
      </c>
      <c r="B2419" t="s">
        <v>16170</v>
      </c>
      <c r="C2419" t="s">
        <v>16171</v>
      </c>
      <c r="D2419" t="s">
        <v>16170</v>
      </c>
      <c r="E2419" t="s">
        <v>16172</v>
      </c>
      <c r="F2419" t="s">
        <v>108</v>
      </c>
      <c r="H2419" t="s">
        <v>16173</v>
      </c>
      <c r="I2419" t="s">
        <v>5551</v>
      </c>
      <c r="J2419" t="s">
        <v>111</v>
      </c>
      <c r="K2419" t="str">
        <f>"85248"</f>
        <v>85248</v>
      </c>
      <c r="L2419" t="s">
        <v>541</v>
      </c>
      <c r="M2419" t="s">
        <v>16173</v>
      </c>
      <c r="N2419" t="s">
        <v>5551</v>
      </c>
      <c r="O2419" t="s">
        <v>111</v>
      </c>
      <c r="P2419" t="str">
        <f>"85248-7704"</f>
        <v>85248-7704</v>
      </c>
      <c r="Q2419" t="s">
        <v>113</v>
      </c>
      <c r="R2419" t="str">
        <f>"303-52-251"</f>
        <v>303-52-251</v>
      </c>
      <c r="S2419" t="s">
        <v>16174</v>
      </c>
      <c r="T2419" t="s">
        <v>12265</v>
      </c>
      <c r="U2419">
        <v>1763</v>
      </c>
      <c r="V2419">
        <v>0</v>
      </c>
      <c r="W2419">
        <v>3</v>
      </c>
      <c r="X2419">
        <v>1993</v>
      </c>
      <c r="Z2419">
        <v>1</v>
      </c>
      <c r="AB2419">
        <v>0</v>
      </c>
      <c r="AC2419" t="s">
        <v>115</v>
      </c>
      <c r="AD2419">
        <v>2</v>
      </c>
      <c r="AE2419" t="s">
        <v>115</v>
      </c>
      <c r="AF2419">
        <v>0</v>
      </c>
      <c r="AG2419">
        <v>0</v>
      </c>
      <c r="AH2419" t="s">
        <v>116</v>
      </c>
      <c r="AI2419" s="1">
        <v>26787</v>
      </c>
      <c r="AJ2419" s="2">
        <v>0.11</v>
      </c>
      <c r="AK2419" s="1">
        <v>250495</v>
      </c>
      <c r="AL2419" t="s">
        <v>117</v>
      </c>
      <c r="AM2419" t="s">
        <v>191</v>
      </c>
      <c r="AN2419">
        <v>7300</v>
      </c>
      <c r="AO2419">
        <v>0.17</v>
      </c>
      <c r="AP2419">
        <v>1</v>
      </c>
      <c r="AR2419">
        <v>1</v>
      </c>
      <c r="AS2419" s="1">
        <v>20230</v>
      </c>
      <c r="AT2419" s="1">
        <v>4040</v>
      </c>
      <c r="AU2419" s="1">
        <v>16190</v>
      </c>
      <c r="AV2419">
        <v>80.03</v>
      </c>
      <c r="AX2419" s="1">
        <v>2125.12</v>
      </c>
      <c r="AY2419" t="s">
        <v>1881</v>
      </c>
      <c r="AZ2419" t="s">
        <v>1882</v>
      </c>
      <c r="BA2419" t="s">
        <v>121</v>
      </c>
      <c r="BE2419" s="3">
        <v>41918</v>
      </c>
      <c r="BF2419" s="1">
        <v>219000</v>
      </c>
      <c r="BG2419" t="s">
        <v>16175</v>
      </c>
      <c r="BH2419" s="1">
        <v>124.22</v>
      </c>
      <c r="BI2419" s="1">
        <v>223708</v>
      </c>
      <c r="BJ2419" s="3">
        <v>41918</v>
      </c>
      <c r="BK2419" t="s">
        <v>123</v>
      </c>
      <c r="BL2419" t="str">
        <f>"2014.660907"</f>
        <v>2014.660907</v>
      </c>
      <c r="BM2419" t="s">
        <v>2107</v>
      </c>
      <c r="BO2419" t="s">
        <v>16176</v>
      </c>
      <c r="BS2419">
        <v>30</v>
      </c>
      <c r="BW2419" t="str">
        <f>""</f>
        <v/>
      </c>
      <c r="CH2419" t="str">
        <f>""</f>
        <v/>
      </c>
      <c r="CS2419" t="str">
        <f>""</f>
        <v/>
      </c>
    </row>
    <row r="2420" spans="1:97" x14ac:dyDescent="0.25">
      <c r="A2420" t="s">
        <v>16177</v>
      </c>
      <c r="B2420" t="s">
        <v>585</v>
      </c>
      <c r="C2420" t="s">
        <v>13809</v>
      </c>
      <c r="D2420" t="s">
        <v>585</v>
      </c>
      <c r="E2420" t="s">
        <v>16178</v>
      </c>
      <c r="F2420" t="s">
        <v>108</v>
      </c>
      <c r="H2420" t="s">
        <v>16179</v>
      </c>
      <c r="I2420" t="s">
        <v>499</v>
      </c>
      <c r="J2420" t="s">
        <v>111</v>
      </c>
      <c r="K2420" t="str">
        <f>"85338"</f>
        <v>85338</v>
      </c>
      <c r="L2420" t="s">
        <v>5775</v>
      </c>
      <c r="M2420" t="s">
        <v>16179</v>
      </c>
      <c r="N2420" t="s">
        <v>499</v>
      </c>
      <c r="O2420" t="s">
        <v>111</v>
      </c>
      <c r="P2420" t="str">
        <f>"85338-3269"</f>
        <v>85338-3269</v>
      </c>
      <c r="Q2420" t="s">
        <v>113</v>
      </c>
      <c r="R2420" t="str">
        <f>"500-10-536"</f>
        <v>500-10-536</v>
      </c>
      <c r="S2420" t="s">
        <v>9551</v>
      </c>
      <c r="T2420" t="s">
        <v>9551</v>
      </c>
      <c r="U2420">
        <v>2406</v>
      </c>
      <c r="V2420">
        <v>0</v>
      </c>
      <c r="W2420">
        <v>4</v>
      </c>
      <c r="X2420">
        <v>2014</v>
      </c>
      <c r="Z2420">
        <v>1</v>
      </c>
      <c r="AA2420" t="s">
        <v>26</v>
      </c>
      <c r="AB2420">
        <v>0</v>
      </c>
      <c r="AC2420" t="s">
        <v>115</v>
      </c>
      <c r="AD2420">
        <v>3</v>
      </c>
      <c r="AE2420" t="s">
        <v>115</v>
      </c>
      <c r="AF2420">
        <v>0</v>
      </c>
      <c r="AG2420">
        <v>0</v>
      </c>
      <c r="AH2420" t="s">
        <v>116</v>
      </c>
      <c r="AI2420" s="1">
        <v>96383</v>
      </c>
      <c r="AJ2420" s="2">
        <v>0.26</v>
      </c>
      <c r="AK2420" s="1">
        <v>373210</v>
      </c>
      <c r="AL2420" t="s">
        <v>117</v>
      </c>
      <c r="AM2420" t="s">
        <v>118</v>
      </c>
      <c r="AN2420">
        <v>10013</v>
      </c>
      <c r="AO2420">
        <v>0.23</v>
      </c>
      <c r="AR2420">
        <v>1</v>
      </c>
      <c r="AS2420" s="1">
        <v>27130</v>
      </c>
      <c r="AT2420" s="1">
        <v>5420</v>
      </c>
      <c r="AU2420" s="1">
        <v>21710</v>
      </c>
      <c r="AV2420">
        <v>80.02</v>
      </c>
      <c r="AX2420" s="1">
        <v>2221</v>
      </c>
      <c r="AY2420" t="s">
        <v>4311</v>
      </c>
      <c r="AZ2420" t="s">
        <v>4311</v>
      </c>
      <c r="BA2420" t="s">
        <v>7186</v>
      </c>
      <c r="BE2420" s="3">
        <v>42044</v>
      </c>
      <c r="BF2420" s="1">
        <v>276827</v>
      </c>
      <c r="BG2420" t="s">
        <v>158</v>
      </c>
      <c r="BH2420" s="1">
        <v>115.06</v>
      </c>
      <c r="BI2420" s="1">
        <v>276827</v>
      </c>
      <c r="BJ2420" s="3">
        <v>42044</v>
      </c>
      <c r="BK2420" t="s">
        <v>123</v>
      </c>
      <c r="BL2420" t="str">
        <f>"2015.81774"</f>
        <v>2015.81774</v>
      </c>
      <c r="BM2420" t="s">
        <v>241</v>
      </c>
      <c r="BO2420" t="s">
        <v>16180</v>
      </c>
      <c r="BS2420">
        <v>30</v>
      </c>
      <c r="BW2420" t="str">
        <f>""</f>
        <v/>
      </c>
      <c r="CH2420" t="str">
        <f>""</f>
        <v/>
      </c>
      <c r="CS2420" t="str">
        <f>""</f>
        <v/>
      </c>
    </row>
    <row r="2421" spans="1:97" x14ac:dyDescent="0.25">
      <c r="A2421" t="s">
        <v>16181</v>
      </c>
      <c r="B2421" t="s">
        <v>1099</v>
      </c>
      <c r="C2421" t="s">
        <v>16182</v>
      </c>
      <c r="D2421" t="s">
        <v>1099</v>
      </c>
      <c r="E2421" t="s">
        <v>16183</v>
      </c>
      <c r="F2421" t="s">
        <v>108</v>
      </c>
      <c r="H2421" t="s">
        <v>16184</v>
      </c>
      <c r="I2421" t="s">
        <v>203</v>
      </c>
      <c r="J2421" t="s">
        <v>111</v>
      </c>
      <c r="K2421" t="str">
        <f>"85295"</f>
        <v>85295</v>
      </c>
      <c r="L2421" t="s">
        <v>5260</v>
      </c>
      <c r="M2421" t="s">
        <v>16184</v>
      </c>
      <c r="N2421" t="s">
        <v>203</v>
      </c>
      <c r="O2421" t="s">
        <v>111</v>
      </c>
      <c r="P2421" t="str">
        <f>"85295-2088"</f>
        <v>85295-2088</v>
      </c>
      <c r="Q2421" t="s">
        <v>113</v>
      </c>
      <c r="R2421" t="str">
        <f>"304-48-110"</f>
        <v>304-48-110</v>
      </c>
      <c r="S2421" t="s">
        <v>5261</v>
      </c>
      <c r="T2421" t="s">
        <v>5262</v>
      </c>
      <c r="U2421">
        <v>1702</v>
      </c>
      <c r="V2421">
        <v>0</v>
      </c>
      <c r="W2421">
        <v>3</v>
      </c>
      <c r="X2421">
        <v>2002</v>
      </c>
      <c r="Z2421">
        <v>1</v>
      </c>
      <c r="AB2421">
        <v>0</v>
      </c>
      <c r="AC2421" t="s">
        <v>115</v>
      </c>
      <c r="AD2421">
        <v>2</v>
      </c>
      <c r="AE2421" t="s">
        <v>115</v>
      </c>
      <c r="AF2421">
        <v>0</v>
      </c>
      <c r="AG2421">
        <v>0</v>
      </c>
      <c r="AH2421" t="s">
        <v>116</v>
      </c>
      <c r="AI2421" s="1">
        <v>79986</v>
      </c>
      <c r="AJ2421" s="2">
        <v>0.27</v>
      </c>
      <c r="AK2421" s="1">
        <v>296204</v>
      </c>
      <c r="AL2421" t="s">
        <v>117</v>
      </c>
      <c r="AM2421" t="s">
        <v>191</v>
      </c>
      <c r="AN2421">
        <v>6545</v>
      </c>
      <c r="AO2421">
        <v>0.15</v>
      </c>
      <c r="AP2421">
        <v>1</v>
      </c>
      <c r="AR2421">
        <v>1</v>
      </c>
      <c r="AS2421" s="1">
        <v>21020</v>
      </c>
      <c r="AT2421" s="1">
        <v>4200</v>
      </c>
      <c r="AU2421" s="1">
        <v>16820</v>
      </c>
      <c r="AV2421">
        <v>80.02</v>
      </c>
      <c r="AX2421" s="1">
        <v>1688.68</v>
      </c>
      <c r="AY2421" t="s">
        <v>5087</v>
      </c>
      <c r="AZ2421" t="s">
        <v>5087</v>
      </c>
      <c r="BA2421" t="s">
        <v>473</v>
      </c>
      <c r="BB2421" s="3">
        <v>43543</v>
      </c>
      <c r="BC2421" s="1">
        <v>0</v>
      </c>
      <c r="BD2421" t="s">
        <v>247</v>
      </c>
      <c r="BE2421" s="3">
        <v>41775</v>
      </c>
      <c r="BF2421" s="1">
        <v>212000</v>
      </c>
      <c r="BG2421" t="s">
        <v>16185</v>
      </c>
      <c r="BH2421" s="1">
        <v>124.56</v>
      </c>
      <c r="BI2421" s="1">
        <v>216218</v>
      </c>
      <c r="BJ2421" s="3">
        <v>42592</v>
      </c>
      <c r="BK2421" t="s">
        <v>123</v>
      </c>
      <c r="BL2421" t="str">
        <f>"2016.568039"</f>
        <v>2016.568039</v>
      </c>
      <c r="BM2421" t="s">
        <v>402</v>
      </c>
      <c r="BN2421" t="s">
        <v>461</v>
      </c>
      <c r="BO2421" t="s">
        <v>16186</v>
      </c>
      <c r="BS2421">
        <v>30</v>
      </c>
      <c r="BW2421" t="str">
        <f>""</f>
        <v/>
      </c>
      <c r="CH2421" t="str">
        <f>""</f>
        <v/>
      </c>
      <c r="CS2421" t="str">
        <f>""</f>
        <v/>
      </c>
    </row>
    <row r="2422" spans="1:97" x14ac:dyDescent="0.25">
      <c r="A2422" t="s">
        <v>16187</v>
      </c>
      <c r="B2422" t="s">
        <v>16188</v>
      </c>
      <c r="C2422" t="s">
        <v>2019</v>
      </c>
      <c r="D2422" t="s">
        <v>16189</v>
      </c>
      <c r="E2422" t="s">
        <v>16190</v>
      </c>
      <c r="F2422" t="s">
        <v>108</v>
      </c>
      <c r="H2422" t="s">
        <v>16191</v>
      </c>
      <c r="I2422" t="s">
        <v>188</v>
      </c>
      <c r="J2422" t="s">
        <v>111</v>
      </c>
      <c r="K2422" t="str">
        <f>"85142"</f>
        <v>85142</v>
      </c>
      <c r="L2422" t="s">
        <v>1789</v>
      </c>
      <c r="M2422" t="s">
        <v>16191</v>
      </c>
      <c r="N2422" t="s">
        <v>188</v>
      </c>
      <c r="O2422" t="s">
        <v>111</v>
      </c>
      <c r="P2422" t="str">
        <f>"85142-4073"</f>
        <v>85142-4073</v>
      </c>
      <c r="Q2422" t="s">
        <v>113</v>
      </c>
      <c r="R2422" t="str">
        <f>"304-68-104"</f>
        <v>304-68-104</v>
      </c>
      <c r="S2422" t="s">
        <v>16192</v>
      </c>
      <c r="U2422">
        <v>2014</v>
      </c>
      <c r="V2422">
        <v>0</v>
      </c>
      <c r="W2422">
        <v>2</v>
      </c>
      <c r="X2422">
        <v>1988</v>
      </c>
      <c r="Z2422">
        <v>1</v>
      </c>
      <c r="AB2422">
        <v>0</v>
      </c>
      <c r="AC2422" t="s">
        <v>7038</v>
      </c>
      <c r="AD2422">
        <v>0</v>
      </c>
      <c r="AE2422" t="s">
        <v>7038</v>
      </c>
      <c r="AF2422">
        <v>0</v>
      </c>
      <c r="AG2422">
        <v>0</v>
      </c>
      <c r="AH2422" t="s">
        <v>116</v>
      </c>
      <c r="AI2422" s="1">
        <v>76065</v>
      </c>
      <c r="AJ2422" s="2">
        <v>0.19</v>
      </c>
      <c r="AK2422" s="1">
        <v>401065</v>
      </c>
      <c r="AL2422" t="s">
        <v>117</v>
      </c>
      <c r="AM2422" t="s">
        <v>376</v>
      </c>
      <c r="AN2422">
        <v>43734</v>
      </c>
      <c r="AO2422">
        <v>1</v>
      </c>
      <c r="AP2422">
        <v>1</v>
      </c>
      <c r="AR2422">
        <v>1</v>
      </c>
      <c r="AS2422" s="1">
        <v>26800</v>
      </c>
      <c r="AT2422" s="1">
        <v>5360</v>
      </c>
      <c r="AU2422" s="1">
        <v>21440</v>
      </c>
      <c r="AV2422">
        <v>80</v>
      </c>
      <c r="AX2422" s="1">
        <v>2487.2600000000002</v>
      </c>
      <c r="AY2422" t="s">
        <v>192</v>
      </c>
      <c r="AZ2422" t="s">
        <v>193</v>
      </c>
      <c r="BA2422" t="s">
        <v>194</v>
      </c>
      <c r="BE2422" s="3">
        <v>42230</v>
      </c>
      <c r="BF2422" s="1">
        <v>325000</v>
      </c>
      <c r="BG2422" t="s">
        <v>16193</v>
      </c>
      <c r="BH2422" s="1">
        <v>161.37</v>
      </c>
      <c r="BI2422" s="1">
        <v>325000</v>
      </c>
      <c r="BJ2422" s="3">
        <v>42230</v>
      </c>
      <c r="BK2422" t="s">
        <v>123</v>
      </c>
      <c r="BL2422" t="str">
        <f>"2015.590046"</f>
        <v>2015.590046</v>
      </c>
      <c r="BM2422" t="s">
        <v>724</v>
      </c>
      <c r="BO2422" t="s">
        <v>16194</v>
      </c>
      <c r="BP2422" t="s">
        <v>16195</v>
      </c>
      <c r="BS2422">
        <v>30</v>
      </c>
      <c r="BW2422" t="str">
        <f>""</f>
        <v/>
      </c>
      <c r="CH2422" t="str">
        <f>""</f>
        <v/>
      </c>
      <c r="CS2422" t="str">
        <f>""</f>
        <v/>
      </c>
    </row>
    <row r="2423" spans="1:97" x14ac:dyDescent="0.25">
      <c r="A2423" t="s">
        <v>106</v>
      </c>
      <c r="B2423" t="s">
        <v>14946</v>
      </c>
      <c r="C2423" t="s">
        <v>976</v>
      </c>
      <c r="D2423" t="s">
        <v>14946</v>
      </c>
      <c r="E2423" t="s">
        <v>16196</v>
      </c>
      <c r="F2423" t="s">
        <v>108</v>
      </c>
      <c r="H2423" t="s">
        <v>16197</v>
      </c>
      <c r="I2423" t="s">
        <v>632</v>
      </c>
      <c r="J2423" t="s">
        <v>111</v>
      </c>
      <c r="K2423" t="str">
        <f>"85379"</f>
        <v>85379</v>
      </c>
      <c r="L2423" t="s">
        <v>2820</v>
      </c>
      <c r="M2423" t="s">
        <v>16197</v>
      </c>
      <c r="N2423" t="s">
        <v>632</v>
      </c>
      <c r="O2423" t="s">
        <v>111</v>
      </c>
      <c r="P2423" t="str">
        <f>"85379-8335"</f>
        <v>85379-8335</v>
      </c>
      <c r="Q2423" t="s">
        <v>113</v>
      </c>
      <c r="R2423" t="str">
        <f>"501-15-723"</f>
        <v>501-15-723</v>
      </c>
      <c r="S2423" t="s">
        <v>16198</v>
      </c>
      <c r="U2423">
        <v>2387</v>
      </c>
      <c r="V2423">
        <v>0</v>
      </c>
      <c r="W2423">
        <v>3</v>
      </c>
      <c r="X2423">
        <v>2004</v>
      </c>
      <c r="Z2423">
        <v>2</v>
      </c>
      <c r="AA2423" t="s">
        <v>26</v>
      </c>
      <c r="AB2423">
        <v>0</v>
      </c>
      <c r="AC2423" t="s">
        <v>115</v>
      </c>
      <c r="AD2423">
        <v>2</v>
      </c>
      <c r="AE2423" t="s">
        <v>115</v>
      </c>
      <c r="AF2423">
        <v>0</v>
      </c>
      <c r="AG2423">
        <v>0</v>
      </c>
      <c r="AH2423" t="s">
        <v>116</v>
      </c>
      <c r="AI2423" s="1">
        <v>48398</v>
      </c>
      <c r="AJ2423" s="2">
        <v>0.17</v>
      </c>
      <c r="AK2423" s="1">
        <v>285398</v>
      </c>
      <c r="AL2423" t="s">
        <v>117</v>
      </c>
      <c r="AM2423" t="s">
        <v>5516</v>
      </c>
      <c r="AN2423">
        <v>5750</v>
      </c>
      <c r="AO2423">
        <v>0.13</v>
      </c>
      <c r="AP2423">
        <v>1</v>
      </c>
      <c r="AR2423">
        <v>1</v>
      </c>
      <c r="AS2423" s="1">
        <v>20100</v>
      </c>
      <c r="AT2423" s="1">
        <v>4020</v>
      </c>
      <c r="AU2423" s="1">
        <v>16080</v>
      </c>
      <c r="AV2423">
        <v>80</v>
      </c>
      <c r="AX2423" s="1">
        <v>1297.68</v>
      </c>
      <c r="AY2423" t="s">
        <v>5983</v>
      </c>
      <c r="AZ2423" t="s">
        <v>5983</v>
      </c>
      <c r="BA2423" t="s">
        <v>321</v>
      </c>
      <c r="BE2423" s="3">
        <v>42360</v>
      </c>
      <c r="BF2423" s="1">
        <v>237000</v>
      </c>
      <c r="BG2423" t="s">
        <v>16199</v>
      </c>
      <c r="BH2423" s="1">
        <v>99.29</v>
      </c>
      <c r="BI2423" s="1">
        <v>237000</v>
      </c>
      <c r="BJ2423" s="3">
        <v>42360</v>
      </c>
      <c r="BK2423" t="s">
        <v>123</v>
      </c>
      <c r="BL2423" t="str">
        <f>"2015.902618"</f>
        <v>2015.902618</v>
      </c>
      <c r="BM2423" t="s">
        <v>544</v>
      </c>
      <c r="BO2423" t="s">
        <v>16200</v>
      </c>
      <c r="BS2423">
        <v>30</v>
      </c>
      <c r="BW2423" t="str">
        <f>""</f>
        <v/>
      </c>
      <c r="CH2423" t="str">
        <f>""</f>
        <v/>
      </c>
      <c r="CS2423" t="str">
        <f>""</f>
        <v/>
      </c>
    </row>
    <row r="2424" spans="1:97" x14ac:dyDescent="0.25">
      <c r="A2424" t="s">
        <v>2698</v>
      </c>
      <c r="B2424" t="s">
        <v>15170</v>
      </c>
      <c r="E2424" t="s">
        <v>16201</v>
      </c>
      <c r="F2424" t="s">
        <v>108</v>
      </c>
      <c r="H2424" t="s">
        <v>16202</v>
      </c>
      <c r="I2424" t="s">
        <v>390</v>
      </c>
      <c r="J2424" t="s">
        <v>111</v>
      </c>
      <c r="K2424" t="str">
        <f>"85014"</f>
        <v>85014</v>
      </c>
      <c r="L2424" t="s">
        <v>6996</v>
      </c>
      <c r="M2424" t="s">
        <v>16202</v>
      </c>
      <c r="N2424" t="s">
        <v>390</v>
      </c>
      <c r="O2424" t="s">
        <v>111</v>
      </c>
      <c r="P2424" t="str">
        <f>"85014-2424"</f>
        <v>85014-2424</v>
      </c>
      <c r="Q2424" t="s">
        <v>113</v>
      </c>
      <c r="R2424" t="str">
        <f>"162-02-023"</f>
        <v>162-02-023</v>
      </c>
      <c r="S2424" t="s">
        <v>16203</v>
      </c>
      <c r="T2424" t="s">
        <v>16204</v>
      </c>
      <c r="U2424">
        <v>1864</v>
      </c>
      <c r="V2424">
        <v>0</v>
      </c>
      <c r="W2424">
        <v>2</v>
      </c>
      <c r="X2424">
        <v>1953</v>
      </c>
      <c r="Z2424">
        <v>1</v>
      </c>
      <c r="AA2424" t="s">
        <v>26</v>
      </c>
      <c r="AB2424">
        <v>0</v>
      </c>
      <c r="AC2424" t="s">
        <v>115</v>
      </c>
      <c r="AD2424">
        <v>2</v>
      </c>
      <c r="AE2424" t="s">
        <v>115</v>
      </c>
      <c r="AF2424">
        <v>0</v>
      </c>
      <c r="AG2424">
        <v>0</v>
      </c>
      <c r="AH2424" t="s">
        <v>116</v>
      </c>
      <c r="AI2424" s="1">
        <v>86381</v>
      </c>
      <c r="AJ2424" s="2">
        <v>0.18</v>
      </c>
      <c r="AK2424" s="1">
        <v>484766</v>
      </c>
      <c r="AL2424" t="s">
        <v>117</v>
      </c>
      <c r="AM2424" t="s">
        <v>191</v>
      </c>
      <c r="AN2424">
        <v>14784</v>
      </c>
      <c r="AO2424">
        <v>0.34</v>
      </c>
      <c r="AP2424">
        <v>1</v>
      </c>
      <c r="AR2424">
        <v>1</v>
      </c>
      <c r="AS2424" s="1">
        <v>34460</v>
      </c>
      <c r="AT2424" s="1">
        <v>6890</v>
      </c>
      <c r="AU2424" s="1">
        <v>27570</v>
      </c>
      <c r="AV2424">
        <v>80.010000000000005</v>
      </c>
      <c r="AX2424" s="1">
        <v>3536.84</v>
      </c>
      <c r="AY2424" t="s">
        <v>6998</v>
      </c>
      <c r="AZ2424" t="s">
        <v>6254</v>
      </c>
      <c r="BA2424" t="s">
        <v>5469</v>
      </c>
      <c r="BE2424" s="3">
        <v>42167</v>
      </c>
      <c r="BF2424" s="1">
        <v>390000</v>
      </c>
      <c r="BG2424" t="s">
        <v>16205</v>
      </c>
      <c r="BH2424" s="1">
        <v>209.23</v>
      </c>
      <c r="BI2424" s="1">
        <v>398385</v>
      </c>
      <c r="BJ2424" s="3">
        <v>42167</v>
      </c>
      <c r="BK2424" t="s">
        <v>123</v>
      </c>
      <c r="BL2424" t="str">
        <f>"2015.422433"</f>
        <v>2015.422433</v>
      </c>
      <c r="BM2424" t="s">
        <v>3611</v>
      </c>
      <c r="BO2424" t="s">
        <v>16206</v>
      </c>
      <c r="BS2424">
        <v>30</v>
      </c>
      <c r="BW2424" t="str">
        <f>""</f>
        <v/>
      </c>
      <c r="CH2424" t="str">
        <f>""</f>
        <v/>
      </c>
      <c r="CS2424" t="str">
        <f>""</f>
        <v/>
      </c>
    </row>
    <row r="2425" spans="1:97" x14ac:dyDescent="0.25">
      <c r="A2425" t="s">
        <v>984</v>
      </c>
      <c r="B2425" t="s">
        <v>12090</v>
      </c>
      <c r="C2425" t="s">
        <v>2640</v>
      </c>
      <c r="D2425" t="s">
        <v>12090</v>
      </c>
      <c r="E2425" t="s">
        <v>16207</v>
      </c>
      <c r="F2425" t="s">
        <v>108</v>
      </c>
      <c r="H2425" t="s">
        <v>16208</v>
      </c>
      <c r="I2425" t="s">
        <v>499</v>
      </c>
      <c r="J2425" t="s">
        <v>111</v>
      </c>
      <c r="K2425" t="str">
        <f>"85338"</f>
        <v>85338</v>
      </c>
      <c r="L2425" t="s">
        <v>6788</v>
      </c>
      <c r="M2425" t="s">
        <v>16208</v>
      </c>
      <c r="N2425" t="s">
        <v>499</v>
      </c>
      <c r="O2425" t="s">
        <v>111</v>
      </c>
      <c r="P2425" t="str">
        <f>"85338-1919"</f>
        <v>85338-1919</v>
      </c>
      <c r="Q2425" t="s">
        <v>113</v>
      </c>
      <c r="R2425" t="str">
        <f>"502-43-470"</f>
        <v>502-43-470</v>
      </c>
      <c r="S2425" t="s">
        <v>16209</v>
      </c>
      <c r="T2425" t="s">
        <v>15319</v>
      </c>
      <c r="U2425">
        <v>3346</v>
      </c>
      <c r="V2425">
        <v>0</v>
      </c>
      <c r="W2425">
        <v>4</v>
      </c>
      <c r="X2425">
        <v>2003</v>
      </c>
      <c r="Z2425">
        <v>2</v>
      </c>
      <c r="AA2425" t="s">
        <v>26</v>
      </c>
      <c r="AB2425">
        <v>0</v>
      </c>
      <c r="AC2425" t="s">
        <v>115</v>
      </c>
      <c r="AD2425">
        <v>2</v>
      </c>
      <c r="AE2425" t="s">
        <v>115</v>
      </c>
      <c r="AF2425">
        <v>0</v>
      </c>
      <c r="AG2425">
        <v>0</v>
      </c>
      <c r="AH2425" t="s">
        <v>116</v>
      </c>
      <c r="AI2425" s="1">
        <v>107656</v>
      </c>
      <c r="AJ2425" s="2">
        <v>0.28999999999999998</v>
      </c>
      <c r="AK2425" s="1">
        <v>367907</v>
      </c>
      <c r="AL2425" t="s">
        <v>117</v>
      </c>
      <c r="AM2425" t="s">
        <v>118</v>
      </c>
      <c r="AN2425">
        <v>6600</v>
      </c>
      <c r="AO2425">
        <v>0.15</v>
      </c>
      <c r="AP2425">
        <v>1</v>
      </c>
      <c r="AR2425">
        <v>1</v>
      </c>
      <c r="AS2425" s="1">
        <v>24900</v>
      </c>
      <c r="AT2425" s="1">
        <v>4980</v>
      </c>
      <c r="AU2425" s="1">
        <v>19920</v>
      </c>
      <c r="AV2425">
        <v>80</v>
      </c>
      <c r="AX2425" s="1">
        <v>2480.8000000000002</v>
      </c>
      <c r="AY2425" t="s">
        <v>6790</v>
      </c>
      <c r="AZ2425" t="s">
        <v>6790</v>
      </c>
      <c r="BA2425" t="s">
        <v>218</v>
      </c>
      <c r="BE2425" s="3">
        <v>41922</v>
      </c>
      <c r="BF2425" s="1">
        <v>269900</v>
      </c>
      <c r="BG2425" t="s">
        <v>16210</v>
      </c>
      <c r="BH2425" s="1">
        <v>80.66</v>
      </c>
      <c r="BI2425" s="1">
        <v>260251</v>
      </c>
      <c r="BJ2425" s="3">
        <v>41922</v>
      </c>
      <c r="BK2425" t="s">
        <v>123</v>
      </c>
      <c r="BL2425" t="str">
        <f>"2014.674151"</f>
        <v>2014.674151</v>
      </c>
      <c r="BM2425" t="s">
        <v>5747</v>
      </c>
      <c r="BO2425" t="s">
        <v>16211</v>
      </c>
      <c r="BS2425">
        <v>30</v>
      </c>
      <c r="BW2425" t="str">
        <f>""</f>
        <v/>
      </c>
      <c r="CH2425" t="str">
        <f>""</f>
        <v/>
      </c>
      <c r="CS2425" t="str">
        <f>""</f>
        <v/>
      </c>
    </row>
    <row r="2426" spans="1:97" x14ac:dyDescent="0.25">
      <c r="A2426" t="s">
        <v>177</v>
      </c>
      <c r="B2426" t="s">
        <v>565</v>
      </c>
      <c r="E2426" t="s">
        <v>16212</v>
      </c>
      <c r="F2426" t="s">
        <v>108</v>
      </c>
      <c r="H2426" t="s">
        <v>16213</v>
      </c>
      <c r="I2426" t="s">
        <v>203</v>
      </c>
      <c r="J2426" t="s">
        <v>111</v>
      </c>
      <c r="K2426" t="str">
        <f>"85233"</f>
        <v>85233</v>
      </c>
      <c r="L2426" t="s">
        <v>3161</v>
      </c>
      <c r="M2426" t="s">
        <v>16213</v>
      </c>
      <c r="N2426" t="s">
        <v>203</v>
      </c>
      <c r="O2426" t="s">
        <v>111</v>
      </c>
      <c r="P2426" t="str">
        <f>"85233-8330"</f>
        <v>85233-8330</v>
      </c>
      <c r="Q2426" t="s">
        <v>113</v>
      </c>
      <c r="R2426" t="str">
        <f>"302-36-291"</f>
        <v>302-36-291</v>
      </c>
      <c r="S2426" t="s">
        <v>16214</v>
      </c>
      <c r="T2426" t="s">
        <v>16214</v>
      </c>
      <c r="U2426">
        <v>1548</v>
      </c>
      <c r="V2426">
        <v>0</v>
      </c>
      <c r="W2426">
        <v>3</v>
      </c>
      <c r="X2426">
        <v>1997</v>
      </c>
      <c r="Z2426">
        <v>1</v>
      </c>
      <c r="AB2426">
        <v>0</v>
      </c>
      <c r="AC2426" t="s">
        <v>115</v>
      </c>
      <c r="AD2426">
        <v>2</v>
      </c>
      <c r="AE2426" t="s">
        <v>115</v>
      </c>
      <c r="AF2426">
        <v>0</v>
      </c>
      <c r="AG2426">
        <v>0</v>
      </c>
      <c r="AH2426" t="s">
        <v>116</v>
      </c>
      <c r="AI2426" s="1">
        <v>57724</v>
      </c>
      <c r="AJ2426" s="2">
        <v>0.19</v>
      </c>
      <c r="AK2426" s="1">
        <v>297776</v>
      </c>
      <c r="AL2426" t="s">
        <v>117</v>
      </c>
      <c r="AM2426" t="s">
        <v>191</v>
      </c>
      <c r="AN2426">
        <v>5980</v>
      </c>
      <c r="AO2426">
        <v>0.14000000000000001</v>
      </c>
      <c r="AP2426">
        <v>1</v>
      </c>
      <c r="AR2426">
        <v>1</v>
      </c>
      <c r="AS2426" s="1">
        <v>20170</v>
      </c>
      <c r="AT2426" s="1">
        <v>4030</v>
      </c>
      <c r="AU2426" s="1">
        <v>16140</v>
      </c>
      <c r="AV2426">
        <v>80.02</v>
      </c>
      <c r="AX2426" s="1">
        <v>1432.48</v>
      </c>
      <c r="AY2426" t="s">
        <v>7046</v>
      </c>
      <c r="AZ2426" t="s">
        <v>207</v>
      </c>
      <c r="BA2426" t="s">
        <v>5479</v>
      </c>
      <c r="BE2426" s="3">
        <v>42453</v>
      </c>
      <c r="BF2426" s="1">
        <v>235000</v>
      </c>
      <c r="BG2426" t="s">
        <v>16215</v>
      </c>
      <c r="BH2426" s="1">
        <v>151.81</v>
      </c>
      <c r="BI2426" s="1">
        <v>240052</v>
      </c>
      <c r="BJ2426" s="3">
        <v>42453</v>
      </c>
      <c r="BK2426" t="s">
        <v>123</v>
      </c>
      <c r="BL2426" t="str">
        <f>"2016.192787"</f>
        <v>2016.192787</v>
      </c>
      <c r="BM2426" t="s">
        <v>1185</v>
      </c>
      <c r="BO2426" t="s">
        <v>16216</v>
      </c>
      <c r="BS2426">
        <v>30</v>
      </c>
      <c r="BW2426" t="str">
        <f>""</f>
        <v/>
      </c>
      <c r="CH2426" t="str">
        <f>""</f>
        <v/>
      </c>
      <c r="CS2426" t="str">
        <f>""</f>
        <v/>
      </c>
    </row>
    <row r="2427" spans="1:97" x14ac:dyDescent="0.25">
      <c r="A2427" t="s">
        <v>16217</v>
      </c>
      <c r="B2427" t="s">
        <v>348</v>
      </c>
      <c r="C2427" t="s">
        <v>970</v>
      </c>
      <c r="D2427" t="s">
        <v>348</v>
      </c>
      <c r="E2427" t="s">
        <v>16218</v>
      </c>
      <c r="F2427" t="s">
        <v>108</v>
      </c>
      <c r="H2427" t="s">
        <v>16219</v>
      </c>
      <c r="I2427" t="s">
        <v>453</v>
      </c>
      <c r="J2427" t="s">
        <v>111</v>
      </c>
      <c r="K2427" t="str">
        <f>"85345"</f>
        <v>85345</v>
      </c>
      <c r="L2427" t="s">
        <v>5176</v>
      </c>
      <c r="M2427" t="s">
        <v>16219</v>
      </c>
      <c r="N2427" t="s">
        <v>453</v>
      </c>
      <c r="O2427" t="s">
        <v>111</v>
      </c>
      <c r="P2427" t="str">
        <f>"85345-7978"</f>
        <v>85345-7978</v>
      </c>
      <c r="Q2427" t="s">
        <v>113</v>
      </c>
      <c r="R2427" t="str">
        <f>"142-35-462"</f>
        <v>142-35-462</v>
      </c>
      <c r="S2427" t="s">
        <v>6942</v>
      </c>
      <c r="T2427" t="s">
        <v>6943</v>
      </c>
      <c r="U2427">
        <v>2620</v>
      </c>
      <c r="V2427">
        <v>0</v>
      </c>
      <c r="W2427">
        <v>4</v>
      </c>
      <c r="X2427">
        <v>2014</v>
      </c>
      <c r="Z2427">
        <v>1</v>
      </c>
      <c r="AB2427">
        <v>0</v>
      </c>
      <c r="AC2427" t="s">
        <v>115</v>
      </c>
      <c r="AD2427">
        <v>3</v>
      </c>
      <c r="AE2427" t="s">
        <v>115</v>
      </c>
      <c r="AF2427">
        <v>0</v>
      </c>
      <c r="AG2427">
        <v>0</v>
      </c>
      <c r="AH2427" t="s">
        <v>116</v>
      </c>
      <c r="AI2427" s="1">
        <v>62804</v>
      </c>
      <c r="AJ2427" s="2">
        <v>0.17</v>
      </c>
      <c r="AK2427" s="1">
        <v>369895</v>
      </c>
      <c r="AL2427" t="s">
        <v>117</v>
      </c>
      <c r="AM2427" t="s">
        <v>118</v>
      </c>
      <c r="AN2427">
        <v>13803</v>
      </c>
      <c r="AO2427">
        <v>0.32</v>
      </c>
      <c r="AR2427">
        <v>1</v>
      </c>
      <c r="AS2427" s="1">
        <v>27450</v>
      </c>
      <c r="AT2427" s="1">
        <v>5490</v>
      </c>
      <c r="AU2427" s="1">
        <v>21960</v>
      </c>
      <c r="AV2427">
        <v>80</v>
      </c>
      <c r="AX2427" s="1">
        <v>2284.2199999999998</v>
      </c>
      <c r="AY2427" t="s">
        <v>6944</v>
      </c>
      <c r="AZ2427" t="s">
        <v>6944</v>
      </c>
      <c r="BA2427" t="s">
        <v>6945</v>
      </c>
      <c r="BE2427" s="3">
        <v>41968</v>
      </c>
      <c r="BF2427" s="1">
        <v>297281</v>
      </c>
      <c r="BG2427" t="s">
        <v>636</v>
      </c>
      <c r="BH2427" s="1">
        <v>113.47</v>
      </c>
      <c r="BI2427" s="1">
        <v>307091</v>
      </c>
      <c r="BJ2427" s="3">
        <v>41968</v>
      </c>
      <c r="BK2427" t="s">
        <v>123</v>
      </c>
      <c r="BL2427" t="str">
        <f>"2014.781726"</f>
        <v>2014.781726</v>
      </c>
      <c r="BM2427" t="s">
        <v>637</v>
      </c>
      <c r="BO2427" t="s">
        <v>16220</v>
      </c>
      <c r="BS2427">
        <v>30</v>
      </c>
      <c r="BW2427" t="str">
        <f>""</f>
        <v/>
      </c>
      <c r="CH2427" t="str">
        <f>""</f>
        <v/>
      </c>
      <c r="CS2427" t="str">
        <f>""</f>
        <v/>
      </c>
    </row>
    <row r="2428" spans="1:97" x14ac:dyDescent="0.25">
      <c r="A2428" t="s">
        <v>589</v>
      </c>
      <c r="B2428" t="s">
        <v>1552</v>
      </c>
      <c r="E2428" t="s">
        <v>16221</v>
      </c>
      <c r="F2428" t="s">
        <v>108</v>
      </c>
      <c r="H2428" t="s">
        <v>16222</v>
      </c>
      <c r="I2428" t="s">
        <v>225</v>
      </c>
      <c r="J2428" t="s">
        <v>111</v>
      </c>
      <c r="K2428" t="str">
        <f>"85207"</f>
        <v>85207</v>
      </c>
      <c r="L2428" t="s">
        <v>168</v>
      </c>
      <c r="M2428" t="s">
        <v>16222</v>
      </c>
      <c r="N2428" t="s">
        <v>225</v>
      </c>
      <c r="O2428" t="s">
        <v>111</v>
      </c>
      <c r="P2428" t="str">
        <f>"85207-3809"</f>
        <v>85207-3809</v>
      </c>
      <c r="Q2428" t="s">
        <v>113</v>
      </c>
      <c r="R2428" t="str">
        <f>"218-03-025"</f>
        <v>218-03-025</v>
      </c>
      <c r="S2428" t="s">
        <v>16223</v>
      </c>
      <c r="T2428" t="s">
        <v>16224</v>
      </c>
      <c r="U2428">
        <v>1888</v>
      </c>
      <c r="V2428">
        <v>0</v>
      </c>
      <c r="W2428">
        <v>2</v>
      </c>
      <c r="X2428">
        <v>1986</v>
      </c>
      <c r="Z2428">
        <v>1</v>
      </c>
      <c r="AA2428" t="s">
        <v>26</v>
      </c>
      <c r="AB2428">
        <v>0</v>
      </c>
      <c r="AC2428" t="s">
        <v>115</v>
      </c>
      <c r="AD2428">
        <v>2</v>
      </c>
      <c r="AE2428" t="s">
        <v>115</v>
      </c>
      <c r="AF2428">
        <v>0</v>
      </c>
      <c r="AG2428">
        <v>0</v>
      </c>
      <c r="AH2428" t="s">
        <v>116</v>
      </c>
      <c r="AI2428" s="1">
        <v>103945</v>
      </c>
      <c r="AJ2428" s="2">
        <v>0.32</v>
      </c>
      <c r="AK2428" s="1">
        <v>320945</v>
      </c>
      <c r="AL2428" t="s">
        <v>117</v>
      </c>
      <c r="AM2428" t="s">
        <v>917</v>
      </c>
      <c r="AN2428">
        <v>12105</v>
      </c>
      <c r="AO2428">
        <v>0.28000000000000003</v>
      </c>
      <c r="AP2428">
        <v>1</v>
      </c>
      <c r="AR2428">
        <v>1</v>
      </c>
      <c r="AS2428" s="1">
        <v>21870</v>
      </c>
      <c r="AT2428" s="1">
        <v>4370</v>
      </c>
      <c r="AU2428" s="1">
        <v>17500</v>
      </c>
      <c r="AV2428">
        <v>80.02</v>
      </c>
      <c r="AX2428" s="1">
        <v>1559.5</v>
      </c>
      <c r="AY2428" t="s">
        <v>6749</v>
      </c>
      <c r="AZ2428" t="s">
        <v>231</v>
      </c>
      <c r="BA2428" t="s">
        <v>3119</v>
      </c>
      <c r="BE2428" s="3">
        <v>41913</v>
      </c>
      <c r="BF2428" s="1">
        <v>249500</v>
      </c>
      <c r="BG2428" t="s">
        <v>16225</v>
      </c>
      <c r="BH2428" s="1">
        <v>132.15</v>
      </c>
      <c r="BI2428" s="1">
        <v>217000</v>
      </c>
      <c r="BJ2428" s="3">
        <v>43585</v>
      </c>
      <c r="BK2428" t="s">
        <v>123</v>
      </c>
      <c r="BL2428" t="str">
        <f>"2019.310050"</f>
        <v>2019.310050</v>
      </c>
      <c r="BM2428" t="s">
        <v>3040</v>
      </c>
      <c r="BN2428" t="s">
        <v>3041</v>
      </c>
      <c r="BO2428" t="s">
        <v>16226</v>
      </c>
      <c r="BR2428" t="s">
        <v>139</v>
      </c>
      <c r="BW2428" t="str">
        <f>""</f>
        <v/>
      </c>
      <c r="CH2428" t="str">
        <f>""</f>
        <v/>
      </c>
      <c r="CS2428" t="str">
        <f>""</f>
        <v/>
      </c>
    </row>
    <row r="2429" spans="1:97" x14ac:dyDescent="0.25">
      <c r="A2429" t="s">
        <v>325</v>
      </c>
      <c r="B2429" t="s">
        <v>16227</v>
      </c>
      <c r="C2429" t="s">
        <v>154</v>
      </c>
      <c r="D2429" t="s">
        <v>16227</v>
      </c>
      <c r="E2429" t="s">
        <v>16228</v>
      </c>
      <c r="F2429" t="s">
        <v>108</v>
      </c>
      <c r="H2429" t="s">
        <v>16229</v>
      </c>
      <c r="I2429" t="s">
        <v>2874</v>
      </c>
      <c r="J2429" t="s">
        <v>111</v>
      </c>
      <c r="K2429" t="str">
        <f>"85308"</f>
        <v>85308</v>
      </c>
      <c r="L2429" t="s">
        <v>3151</v>
      </c>
      <c r="M2429" t="s">
        <v>16229</v>
      </c>
      <c r="N2429" t="s">
        <v>2874</v>
      </c>
      <c r="O2429" t="s">
        <v>111</v>
      </c>
      <c r="P2429" t="str">
        <f>"85308-9229"</f>
        <v>85308-9229</v>
      </c>
      <c r="Q2429" t="s">
        <v>113</v>
      </c>
      <c r="R2429" t="str">
        <f>"206-30-605"</f>
        <v>206-30-605</v>
      </c>
      <c r="S2429" t="s">
        <v>16230</v>
      </c>
      <c r="T2429" t="s">
        <v>16230</v>
      </c>
      <c r="U2429">
        <v>1350</v>
      </c>
      <c r="V2429">
        <v>0</v>
      </c>
      <c r="W2429">
        <v>3</v>
      </c>
      <c r="X2429">
        <v>1995</v>
      </c>
      <c r="Z2429">
        <v>1</v>
      </c>
      <c r="AA2429" t="s">
        <v>26</v>
      </c>
      <c r="AB2429">
        <v>0</v>
      </c>
      <c r="AC2429" t="s">
        <v>115</v>
      </c>
      <c r="AD2429">
        <v>2</v>
      </c>
      <c r="AE2429" t="s">
        <v>115</v>
      </c>
      <c r="AF2429">
        <v>0</v>
      </c>
      <c r="AG2429">
        <v>0</v>
      </c>
      <c r="AH2429" t="s">
        <v>116</v>
      </c>
      <c r="AI2429" s="1">
        <v>12186</v>
      </c>
      <c r="AJ2429" s="2">
        <v>0.05</v>
      </c>
      <c r="AK2429" s="1">
        <v>251217</v>
      </c>
      <c r="AL2429" t="s">
        <v>117</v>
      </c>
      <c r="AM2429" t="s">
        <v>1315</v>
      </c>
      <c r="AN2429">
        <v>4391</v>
      </c>
      <c r="AO2429">
        <v>0.1</v>
      </c>
      <c r="AP2429">
        <v>1</v>
      </c>
      <c r="AR2429">
        <v>1</v>
      </c>
      <c r="AS2429" s="1">
        <v>17210</v>
      </c>
      <c r="AT2429" s="1">
        <v>3440</v>
      </c>
      <c r="AU2429" s="1">
        <v>13770</v>
      </c>
      <c r="AV2429">
        <v>80.010000000000005</v>
      </c>
      <c r="AX2429" s="1">
        <v>1351.3</v>
      </c>
      <c r="AY2429" t="s">
        <v>8587</v>
      </c>
      <c r="AZ2429" t="s">
        <v>5142</v>
      </c>
      <c r="BA2429" t="s">
        <v>5143</v>
      </c>
      <c r="BB2429" s="3">
        <v>42181</v>
      </c>
      <c r="BD2429" t="s">
        <v>240</v>
      </c>
      <c r="BE2429" s="3">
        <v>42181</v>
      </c>
      <c r="BF2429" s="1">
        <v>189900</v>
      </c>
      <c r="BG2429" t="s">
        <v>16231</v>
      </c>
      <c r="BH2429" s="1">
        <v>140.66999999999999</v>
      </c>
      <c r="BI2429" s="1">
        <v>239031</v>
      </c>
      <c r="BJ2429" s="3">
        <v>43571</v>
      </c>
      <c r="BK2429" t="s">
        <v>123</v>
      </c>
      <c r="BL2429" t="str">
        <f>"2019.264996"</f>
        <v>2019.264996</v>
      </c>
      <c r="BM2429" t="s">
        <v>5842</v>
      </c>
      <c r="BN2429" t="s">
        <v>5843</v>
      </c>
      <c r="BO2429" t="s">
        <v>16232</v>
      </c>
      <c r="BP2429" t="s">
        <v>16233</v>
      </c>
      <c r="BR2429" t="s">
        <v>139</v>
      </c>
      <c r="BW2429" t="str">
        <f>""</f>
        <v/>
      </c>
      <c r="CH2429" t="str">
        <f>""</f>
        <v/>
      </c>
      <c r="CS2429" t="str">
        <f>""</f>
        <v/>
      </c>
    </row>
    <row r="2430" spans="1:97" x14ac:dyDescent="0.25">
      <c r="A2430" t="s">
        <v>328</v>
      </c>
      <c r="B2430" t="s">
        <v>16234</v>
      </c>
      <c r="E2430" t="s">
        <v>16235</v>
      </c>
      <c r="F2430" t="s">
        <v>108</v>
      </c>
      <c r="H2430" t="s">
        <v>16236</v>
      </c>
      <c r="I2430" t="s">
        <v>390</v>
      </c>
      <c r="J2430" t="s">
        <v>111</v>
      </c>
      <c r="K2430" t="str">
        <f>"85043"</f>
        <v>85043</v>
      </c>
      <c r="L2430" t="s">
        <v>7339</v>
      </c>
      <c r="M2430" t="s">
        <v>16236</v>
      </c>
      <c r="N2430" t="s">
        <v>390</v>
      </c>
      <c r="O2430" t="s">
        <v>111</v>
      </c>
      <c r="P2430" t="str">
        <f>"85043-7461"</f>
        <v>85043-7461</v>
      </c>
      <c r="R2430" t="str">
        <f>"104-33-546"</f>
        <v>104-33-546</v>
      </c>
      <c r="S2430" t="s">
        <v>11767</v>
      </c>
      <c r="T2430" t="s">
        <v>11767</v>
      </c>
      <c r="U2430">
        <v>2276</v>
      </c>
      <c r="V2430">
        <v>0</v>
      </c>
      <c r="W2430">
        <v>4</v>
      </c>
      <c r="X2430">
        <v>2001</v>
      </c>
      <c r="Z2430">
        <v>2</v>
      </c>
      <c r="AA2430" t="s">
        <v>26</v>
      </c>
      <c r="AB2430">
        <v>0</v>
      </c>
      <c r="AC2430" t="s">
        <v>115</v>
      </c>
      <c r="AD2430">
        <v>3</v>
      </c>
      <c r="AE2430" t="s">
        <v>115</v>
      </c>
      <c r="AF2430">
        <v>0</v>
      </c>
      <c r="AG2430">
        <v>0</v>
      </c>
      <c r="AH2430" t="s">
        <v>116</v>
      </c>
      <c r="AI2430" s="1">
        <v>36804</v>
      </c>
      <c r="AJ2430" s="2">
        <v>0.14000000000000001</v>
      </c>
      <c r="AK2430" s="1">
        <v>272018</v>
      </c>
      <c r="AL2430" t="s">
        <v>117</v>
      </c>
      <c r="AM2430" t="s">
        <v>1302</v>
      </c>
      <c r="AN2430">
        <v>8538</v>
      </c>
      <c r="AO2430">
        <v>0.2</v>
      </c>
      <c r="AP2430">
        <v>1</v>
      </c>
      <c r="AR2430">
        <v>1</v>
      </c>
      <c r="AS2430" s="1">
        <v>19430</v>
      </c>
      <c r="AT2430" s="1">
        <v>3880</v>
      </c>
      <c r="AU2430" s="1">
        <v>15550</v>
      </c>
      <c r="AV2430">
        <v>80.03</v>
      </c>
      <c r="AX2430" s="1">
        <v>1589.36</v>
      </c>
      <c r="AY2430" t="s">
        <v>11768</v>
      </c>
      <c r="AZ2430" t="s">
        <v>11769</v>
      </c>
      <c r="BA2430" t="s">
        <v>5371</v>
      </c>
      <c r="BE2430" s="3">
        <v>42237</v>
      </c>
      <c r="BF2430" s="1">
        <v>193000</v>
      </c>
      <c r="BG2430" t="s">
        <v>16237</v>
      </c>
      <c r="BH2430" s="1">
        <v>84.8</v>
      </c>
      <c r="BI2430" s="1">
        <v>235214</v>
      </c>
      <c r="BJ2430" s="3">
        <v>43468</v>
      </c>
      <c r="BK2430" t="s">
        <v>123</v>
      </c>
      <c r="BL2430" t="str">
        <f>"2019.3904"</f>
        <v>2019.3904</v>
      </c>
      <c r="BM2430" t="s">
        <v>533</v>
      </c>
      <c r="BN2430" t="s">
        <v>534</v>
      </c>
      <c r="BO2430" t="s">
        <v>16238</v>
      </c>
      <c r="BP2430" t="s">
        <v>16239</v>
      </c>
      <c r="BR2430" t="s">
        <v>139</v>
      </c>
      <c r="BW2430" t="str">
        <f>""</f>
        <v/>
      </c>
      <c r="CH2430" t="str">
        <f>""</f>
        <v/>
      </c>
      <c r="CS2430" t="str">
        <f>""</f>
        <v/>
      </c>
    </row>
    <row r="2431" spans="1:97" x14ac:dyDescent="0.25">
      <c r="A2431" t="s">
        <v>203</v>
      </c>
      <c r="B2431" t="s">
        <v>16240</v>
      </c>
      <c r="E2431" t="s">
        <v>16241</v>
      </c>
      <c r="F2431" t="s">
        <v>108</v>
      </c>
      <c r="H2431" t="s">
        <v>16242</v>
      </c>
      <c r="I2431" t="s">
        <v>5387</v>
      </c>
      <c r="J2431" t="s">
        <v>111</v>
      </c>
      <c r="K2431" t="str">
        <f>"85282"</f>
        <v>85282</v>
      </c>
      <c r="L2431" t="s">
        <v>12359</v>
      </c>
      <c r="M2431" t="s">
        <v>16242</v>
      </c>
      <c r="N2431" t="s">
        <v>5387</v>
      </c>
      <c r="O2431" t="s">
        <v>111</v>
      </c>
      <c r="P2431" t="str">
        <f>"85282-7363"</f>
        <v>85282-7363</v>
      </c>
      <c r="Q2431" t="s">
        <v>113</v>
      </c>
      <c r="R2431" t="str">
        <f>"133-39-025"</f>
        <v>133-39-025</v>
      </c>
      <c r="S2431" t="s">
        <v>12360</v>
      </c>
      <c r="U2431">
        <v>2404</v>
      </c>
      <c r="V2431">
        <v>0</v>
      </c>
      <c r="W2431">
        <v>2</v>
      </c>
      <c r="X2431">
        <v>1969</v>
      </c>
      <c r="Z2431">
        <v>2</v>
      </c>
      <c r="AA2431" t="s">
        <v>26</v>
      </c>
      <c r="AB2431">
        <v>0</v>
      </c>
      <c r="AC2431" t="s">
        <v>115</v>
      </c>
      <c r="AD2431">
        <v>2</v>
      </c>
      <c r="AE2431" t="s">
        <v>115</v>
      </c>
      <c r="AF2431">
        <v>0</v>
      </c>
      <c r="AG2431">
        <v>0</v>
      </c>
      <c r="AH2431" t="s">
        <v>116</v>
      </c>
      <c r="AI2431" s="1">
        <v>82702</v>
      </c>
      <c r="AJ2431" s="2">
        <v>0.23</v>
      </c>
      <c r="AK2431" s="1">
        <v>363267</v>
      </c>
      <c r="AL2431" t="s">
        <v>117</v>
      </c>
      <c r="AM2431" t="s">
        <v>191</v>
      </c>
      <c r="AN2431">
        <v>7850</v>
      </c>
      <c r="AO2431">
        <v>0.18</v>
      </c>
      <c r="AP2431">
        <v>1</v>
      </c>
      <c r="AR2431">
        <v>1</v>
      </c>
      <c r="AS2431" s="1">
        <v>24770</v>
      </c>
      <c r="AT2431" s="1">
        <v>4950</v>
      </c>
      <c r="AU2431" s="1">
        <v>19820</v>
      </c>
      <c r="AV2431">
        <v>80.02</v>
      </c>
      <c r="AX2431" s="1">
        <v>2095.52</v>
      </c>
      <c r="AY2431" t="s">
        <v>9564</v>
      </c>
      <c r="AZ2431" t="s">
        <v>11073</v>
      </c>
      <c r="BA2431" t="s">
        <v>10858</v>
      </c>
      <c r="BE2431" s="3">
        <v>41983</v>
      </c>
      <c r="BF2431" s="1">
        <v>275000</v>
      </c>
      <c r="BG2431" t="s">
        <v>16243</v>
      </c>
      <c r="BH2431" s="1">
        <v>114.39</v>
      </c>
      <c r="BI2431" s="1">
        <v>280565</v>
      </c>
      <c r="BJ2431" s="3">
        <v>42492</v>
      </c>
      <c r="BK2431" t="s">
        <v>123</v>
      </c>
      <c r="BL2431" t="str">
        <f>"2016.295456"</f>
        <v>2016.295456</v>
      </c>
      <c r="BM2431" t="s">
        <v>11327</v>
      </c>
      <c r="BO2431" t="s">
        <v>16244</v>
      </c>
      <c r="BS2431">
        <v>30</v>
      </c>
      <c r="BW2431" t="str">
        <f>""</f>
        <v/>
      </c>
      <c r="CH2431" t="str">
        <f>""</f>
        <v/>
      </c>
      <c r="CS2431" t="str">
        <f>""</f>
        <v/>
      </c>
    </row>
    <row r="2432" spans="1:97" x14ac:dyDescent="0.25">
      <c r="A2432" t="s">
        <v>16245</v>
      </c>
      <c r="B2432" t="s">
        <v>16246</v>
      </c>
      <c r="C2432" t="s">
        <v>894</v>
      </c>
      <c r="D2432" t="s">
        <v>16246</v>
      </c>
      <c r="E2432" t="s">
        <v>16247</v>
      </c>
      <c r="F2432" t="s">
        <v>108</v>
      </c>
      <c r="H2432" t="s">
        <v>16248</v>
      </c>
      <c r="I2432" t="s">
        <v>5114</v>
      </c>
      <c r="J2432" t="s">
        <v>111</v>
      </c>
      <c r="K2432" t="str">
        <f>"85323"</f>
        <v>85323</v>
      </c>
      <c r="L2432" t="s">
        <v>284</v>
      </c>
      <c r="M2432" t="s">
        <v>16248</v>
      </c>
      <c r="N2432" t="s">
        <v>5114</v>
      </c>
      <c r="O2432" t="s">
        <v>111</v>
      </c>
      <c r="P2432" t="str">
        <f>"85323-8069"</f>
        <v>85323-8069</v>
      </c>
      <c r="Q2432" t="s">
        <v>113</v>
      </c>
      <c r="R2432" t="str">
        <f>"500-29-295"</f>
        <v>500-29-295</v>
      </c>
      <c r="S2432" t="s">
        <v>16249</v>
      </c>
      <c r="U2432">
        <v>2512</v>
      </c>
      <c r="V2432">
        <v>0</v>
      </c>
      <c r="W2432">
        <v>4</v>
      </c>
      <c r="X2432">
        <v>2001</v>
      </c>
      <c r="Z2432">
        <v>2</v>
      </c>
      <c r="AA2432" t="s">
        <v>26</v>
      </c>
      <c r="AB2432">
        <v>0</v>
      </c>
      <c r="AC2432" t="s">
        <v>115</v>
      </c>
      <c r="AD2432">
        <v>3</v>
      </c>
      <c r="AE2432" t="s">
        <v>115</v>
      </c>
      <c r="AF2432">
        <v>0</v>
      </c>
      <c r="AG2432">
        <v>0</v>
      </c>
      <c r="AH2432" t="s">
        <v>116</v>
      </c>
      <c r="AI2432" s="1">
        <v>44048</v>
      </c>
      <c r="AJ2432" s="2">
        <v>0.14000000000000001</v>
      </c>
      <c r="AK2432" s="1">
        <v>305548</v>
      </c>
      <c r="AL2432" t="s">
        <v>117</v>
      </c>
      <c r="AM2432" t="s">
        <v>118</v>
      </c>
      <c r="AN2432">
        <v>7605</v>
      </c>
      <c r="AO2432">
        <v>0.18</v>
      </c>
      <c r="AP2432">
        <v>1</v>
      </c>
      <c r="AR2432">
        <v>1</v>
      </c>
      <c r="AS2432" s="1">
        <v>21260</v>
      </c>
      <c r="AT2432" s="1">
        <v>4250</v>
      </c>
      <c r="AU2432" s="1">
        <v>17010</v>
      </c>
      <c r="AV2432">
        <v>80.010000000000005</v>
      </c>
      <c r="AX2432" s="1">
        <v>2031.9</v>
      </c>
      <c r="AY2432" t="s">
        <v>9447</v>
      </c>
      <c r="AZ2432" t="s">
        <v>9447</v>
      </c>
      <c r="BA2432" t="s">
        <v>4254</v>
      </c>
      <c r="BB2432" s="3">
        <v>43476</v>
      </c>
      <c r="BC2432" s="1">
        <v>0</v>
      </c>
      <c r="BD2432" t="s">
        <v>247</v>
      </c>
      <c r="BE2432" s="3">
        <v>42475</v>
      </c>
      <c r="BF2432" s="1">
        <v>261500</v>
      </c>
      <c r="BG2432" t="s">
        <v>16250</v>
      </c>
      <c r="BH2432" s="1">
        <v>104.1</v>
      </c>
      <c r="BI2432" s="1">
        <v>261500</v>
      </c>
      <c r="BJ2432" s="3">
        <v>42475</v>
      </c>
      <c r="BK2432" t="s">
        <v>123</v>
      </c>
      <c r="BL2432" t="str">
        <f>"2016.253429"</f>
        <v>2016.253429</v>
      </c>
      <c r="BM2432" t="s">
        <v>544</v>
      </c>
      <c r="BN2432" t="s">
        <v>545</v>
      </c>
      <c r="BO2432" t="s">
        <v>16251</v>
      </c>
      <c r="BS2432">
        <v>30</v>
      </c>
      <c r="BW2432" t="str">
        <f>""</f>
        <v/>
      </c>
      <c r="CH2432" t="str">
        <f>""</f>
        <v/>
      </c>
      <c r="CS2432" t="str">
        <f>""</f>
        <v/>
      </c>
    </row>
    <row r="2433" spans="1:97" x14ac:dyDescent="0.25">
      <c r="A2433" t="s">
        <v>701</v>
      </c>
      <c r="B2433" t="s">
        <v>16252</v>
      </c>
      <c r="C2433" t="s">
        <v>16253</v>
      </c>
      <c r="D2433" t="s">
        <v>16252</v>
      </c>
      <c r="E2433" t="s">
        <v>16254</v>
      </c>
      <c r="F2433" t="s">
        <v>108</v>
      </c>
      <c r="H2433" t="s">
        <v>16255</v>
      </c>
      <c r="I2433" t="s">
        <v>5387</v>
      </c>
      <c r="J2433" t="s">
        <v>111</v>
      </c>
      <c r="K2433" t="str">
        <f>"85282"</f>
        <v>85282</v>
      </c>
      <c r="L2433" t="s">
        <v>12359</v>
      </c>
      <c r="M2433" t="s">
        <v>16255</v>
      </c>
      <c r="N2433" t="s">
        <v>5387</v>
      </c>
      <c r="O2433" t="s">
        <v>111</v>
      </c>
      <c r="P2433" t="str">
        <f>"85282-5909"</f>
        <v>85282-5909</v>
      </c>
      <c r="Q2433" t="s">
        <v>113</v>
      </c>
      <c r="R2433" t="str">
        <f>"133-36-170"</f>
        <v>133-36-170</v>
      </c>
      <c r="S2433" t="s">
        <v>16256</v>
      </c>
      <c r="U2433">
        <v>1868</v>
      </c>
      <c r="V2433">
        <v>0</v>
      </c>
      <c r="W2433">
        <v>2</v>
      </c>
      <c r="X2433">
        <v>1969</v>
      </c>
      <c r="Z2433">
        <v>1</v>
      </c>
      <c r="AB2433">
        <v>0</v>
      </c>
      <c r="AC2433" t="s">
        <v>115</v>
      </c>
      <c r="AD2433">
        <v>2</v>
      </c>
      <c r="AE2433" t="s">
        <v>115</v>
      </c>
      <c r="AF2433">
        <v>0</v>
      </c>
      <c r="AG2433">
        <v>0</v>
      </c>
      <c r="AH2433" t="s">
        <v>116</v>
      </c>
      <c r="AI2433" s="1">
        <v>120821</v>
      </c>
      <c r="AJ2433" s="2">
        <v>0.34</v>
      </c>
      <c r="AK2433" s="1">
        <v>358821</v>
      </c>
      <c r="AL2433" t="s">
        <v>117</v>
      </c>
      <c r="AM2433" t="s">
        <v>191</v>
      </c>
      <c r="AN2433">
        <v>13112</v>
      </c>
      <c r="AO2433">
        <v>0.3</v>
      </c>
      <c r="AP2433">
        <v>1</v>
      </c>
      <c r="AR2433">
        <v>1</v>
      </c>
      <c r="AS2433" s="1">
        <v>24920</v>
      </c>
      <c r="AT2433" s="1">
        <v>4980</v>
      </c>
      <c r="AU2433" s="1">
        <v>19940</v>
      </c>
      <c r="AV2433">
        <v>80.02</v>
      </c>
      <c r="AX2433" s="1">
        <v>2085.58</v>
      </c>
      <c r="AY2433" t="s">
        <v>16257</v>
      </c>
      <c r="AZ2433" t="s">
        <v>11073</v>
      </c>
      <c r="BA2433" t="s">
        <v>10858</v>
      </c>
      <c r="BE2433" s="3">
        <v>41799</v>
      </c>
      <c r="BF2433" s="1">
        <v>258000</v>
      </c>
      <c r="BG2433" t="s">
        <v>16258</v>
      </c>
      <c r="BH2433" s="1">
        <v>138.12</v>
      </c>
      <c r="BI2433" s="1">
        <v>208000</v>
      </c>
      <c r="BJ2433" s="3">
        <v>41799</v>
      </c>
      <c r="BK2433" t="s">
        <v>123</v>
      </c>
      <c r="BL2433" t="str">
        <f>"2014.375171"</f>
        <v>2014.375171</v>
      </c>
      <c r="BM2433" t="s">
        <v>724</v>
      </c>
      <c r="BO2433" t="s">
        <v>16259</v>
      </c>
      <c r="BS2433">
        <v>30</v>
      </c>
      <c r="BT2433" s="1">
        <v>30000</v>
      </c>
      <c r="BU2433" s="3">
        <v>42585</v>
      </c>
      <c r="BV2433" t="s">
        <v>134</v>
      </c>
      <c r="BW2433" t="str">
        <f>"2016.551319"</f>
        <v>2016.551319</v>
      </c>
      <c r="BX2433" t="s">
        <v>7942</v>
      </c>
      <c r="BZ2433" t="s">
        <v>16260</v>
      </c>
      <c r="CD2433">
        <v>30</v>
      </c>
      <c r="CH2433" t="str">
        <f>""</f>
        <v/>
      </c>
      <c r="CS2433" t="str">
        <f>""</f>
        <v/>
      </c>
    </row>
    <row r="2434" spans="1:97" x14ac:dyDescent="0.25">
      <c r="A2434" t="s">
        <v>177</v>
      </c>
      <c r="B2434" t="s">
        <v>16261</v>
      </c>
      <c r="C2434" t="s">
        <v>2427</v>
      </c>
      <c r="D2434" t="s">
        <v>16261</v>
      </c>
      <c r="E2434" t="s">
        <v>16262</v>
      </c>
      <c r="F2434" t="s">
        <v>108</v>
      </c>
      <c r="H2434" t="s">
        <v>16263</v>
      </c>
      <c r="I2434" t="s">
        <v>390</v>
      </c>
      <c r="J2434" t="s">
        <v>111</v>
      </c>
      <c r="K2434" t="str">
        <f>"85032"</f>
        <v>85032</v>
      </c>
      <c r="L2434" t="s">
        <v>2903</v>
      </c>
      <c r="M2434" t="s">
        <v>16263</v>
      </c>
      <c r="N2434" t="s">
        <v>390</v>
      </c>
      <c r="O2434" t="s">
        <v>111</v>
      </c>
      <c r="P2434" t="str">
        <f>"85032-1882"</f>
        <v>85032-1882</v>
      </c>
      <c r="Q2434" t="s">
        <v>113</v>
      </c>
      <c r="R2434" t="str">
        <f>"214-04-070"</f>
        <v>214-04-070</v>
      </c>
      <c r="S2434" t="s">
        <v>16264</v>
      </c>
      <c r="T2434" t="s">
        <v>16265</v>
      </c>
      <c r="U2434">
        <v>1272</v>
      </c>
      <c r="V2434">
        <v>0</v>
      </c>
      <c r="W2434">
        <v>3</v>
      </c>
      <c r="X2434">
        <v>1998</v>
      </c>
      <c r="Z2434">
        <v>1</v>
      </c>
      <c r="AB2434">
        <v>0</v>
      </c>
      <c r="AC2434" t="s">
        <v>115</v>
      </c>
      <c r="AD2434">
        <v>2</v>
      </c>
      <c r="AE2434" t="s">
        <v>115</v>
      </c>
      <c r="AF2434">
        <v>0</v>
      </c>
      <c r="AG2434">
        <v>0</v>
      </c>
      <c r="AH2434" t="s">
        <v>116</v>
      </c>
      <c r="AI2434" s="1">
        <v>42379</v>
      </c>
      <c r="AJ2434" s="2">
        <v>0.17</v>
      </c>
      <c r="AK2434" s="1">
        <v>251892</v>
      </c>
      <c r="AL2434" t="s">
        <v>117</v>
      </c>
      <c r="AM2434" t="s">
        <v>191</v>
      </c>
      <c r="AN2434">
        <v>5817</v>
      </c>
      <c r="AO2434">
        <v>0.13</v>
      </c>
      <c r="AP2434">
        <v>1</v>
      </c>
      <c r="AR2434">
        <v>1</v>
      </c>
      <c r="AS2434" s="1">
        <v>16930</v>
      </c>
      <c r="AT2434" s="1">
        <v>3380</v>
      </c>
      <c r="AU2434" s="1">
        <v>13550</v>
      </c>
      <c r="AV2434">
        <v>80.040000000000006</v>
      </c>
      <c r="AX2434" s="1">
        <v>1259.24</v>
      </c>
      <c r="AY2434" t="s">
        <v>16266</v>
      </c>
      <c r="AZ2434" t="s">
        <v>2550</v>
      </c>
      <c r="BA2434" t="s">
        <v>2551</v>
      </c>
      <c r="BE2434" s="3">
        <v>42074</v>
      </c>
      <c r="BF2434" s="1">
        <v>180000</v>
      </c>
      <c r="BG2434" t="s">
        <v>16267</v>
      </c>
      <c r="BH2434" s="1">
        <v>141.51</v>
      </c>
      <c r="BI2434" s="1">
        <v>209513</v>
      </c>
      <c r="BJ2434" s="3">
        <v>43088</v>
      </c>
      <c r="BK2434" t="s">
        <v>123</v>
      </c>
      <c r="BL2434" t="str">
        <f>"2017.936936"</f>
        <v>2017.936936</v>
      </c>
      <c r="BM2434" t="s">
        <v>666</v>
      </c>
      <c r="BO2434" t="s">
        <v>16268</v>
      </c>
      <c r="BS2434">
        <v>31</v>
      </c>
      <c r="BW2434" t="str">
        <f>""</f>
        <v/>
      </c>
      <c r="CH2434" t="str">
        <f>""</f>
        <v/>
      </c>
      <c r="CS2434" t="str">
        <f>""</f>
        <v/>
      </c>
    </row>
    <row r="2435" spans="1:97" x14ac:dyDescent="0.25">
      <c r="A2435" t="s">
        <v>370</v>
      </c>
      <c r="B2435" t="s">
        <v>5205</v>
      </c>
      <c r="C2435" t="s">
        <v>1888</v>
      </c>
      <c r="D2435" t="s">
        <v>5205</v>
      </c>
      <c r="E2435" t="s">
        <v>16269</v>
      </c>
      <c r="F2435" t="s">
        <v>108</v>
      </c>
      <c r="H2435" t="s">
        <v>16270</v>
      </c>
      <c r="I2435" t="s">
        <v>2874</v>
      </c>
      <c r="J2435" t="s">
        <v>111</v>
      </c>
      <c r="K2435" t="str">
        <f>"85306"</f>
        <v>85306</v>
      </c>
      <c r="L2435" t="s">
        <v>5400</v>
      </c>
      <c r="M2435" t="s">
        <v>16270</v>
      </c>
      <c r="N2435" t="s">
        <v>2874</v>
      </c>
      <c r="O2435" t="s">
        <v>111</v>
      </c>
      <c r="P2435" t="str">
        <f>"85306-2912"</f>
        <v>85306-2912</v>
      </c>
      <c r="Q2435" t="s">
        <v>113</v>
      </c>
      <c r="R2435" t="str">
        <f>"231-02-597"</f>
        <v>231-02-597</v>
      </c>
      <c r="S2435" t="s">
        <v>16271</v>
      </c>
      <c r="U2435">
        <v>1876</v>
      </c>
      <c r="V2435">
        <v>0</v>
      </c>
      <c r="W2435">
        <v>2</v>
      </c>
      <c r="X2435">
        <v>1979</v>
      </c>
      <c r="Z2435">
        <v>1</v>
      </c>
      <c r="AB2435">
        <v>0</v>
      </c>
      <c r="AC2435" t="s">
        <v>115</v>
      </c>
      <c r="AD2435">
        <v>2</v>
      </c>
      <c r="AE2435" t="s">
        <v>115</v>
      </c>
      <c r="AF2435">
        <v>0</v>
      </c>
      <c r="AG2435">
        <v>0</v>
      </c>
      <c r="AH2435" t="s">
        <v>116</v>
      </c>
      <c r="AI2435" s="1">
        <v>56405</v>
      </c>
      <c r="AJ2435" s="2">
        <v>0.21</v>
      </c>
      <c r="AK2435" s="1">
        <v>266105</v>
      </c>
      <c r="AL2435" t="s">
        <v>117</v>
      </c>
      <c r="AM2435" t="s">
        <v>191</v>
      </c>
      <c r="AN2435">
        <v>7000</v>
      </c>
      <c r="AO2435">
        <v>0.16</v>
      </c>
      <c r="AP2435">
        <v>1</v>
      </c>
      <c r="AR2435">
        <v>1</v>
      </c>
      <c r="AS2435" s="1">
        <v>17800</v>
      </c>
      <c r="AT2435" s="1">
        <v>3560</v>
      </c>
      <c r="AU2435" s="1">
        <v>14240</v>
      </c>
      <c r="AV2435">
        <v>80</v>
      </c>
      <c r="AX2435" s="1">
        <v>1248.48</v>
      </c>
      <c r="AY2435" t="s">
        <v>16272</v>
      </c>
      <c r="AZ2435" t="s">
        <v>16272</v>
      </c>
      <c r="BA2435" t="s">
        <v>3360</v>
      </c>
      <c r="BE2435" s="3">
        <v>42152</v>
      </c>
      <c r="BF2435" s="1">
        <v>189000</v>
      </c>
      <c r="BG2435" t="s">
        <v>16273</v>
      </c>
      <c r="BH2435" s="1">
        <v>100.75</v>
      </c>
      <c r="BI2435" s="1">
        <v>209700</v>
      </c>
      <c r="BJ2435" s="3">
        <v>43153</v>
      </c>
      <c r="BK2435" t="s">
        <v>123</v>
      </c>
      <c r="BL2435" t="str">
        <f>"2018.133604"</f>
        <v>2018.133604</v>
      </c>
      <c r="BM2435" t="s">
        <v>2042</v>
      </c>
      <c r="BN2435" t="s">
        <v>1575</v>
      </c>
      <c r="BO2435" t="s">
        <v>16274</v>
      </c>
      <c r="BP2435" t="s">
        <v>16275</v>
      </c>
      <c r="BR2435" t="s">
        <v>139</v>
      </c>
      <c r="BW2435" t="str">
        <f>""</f>
        <v/>
      </c>
      <c r="CH2435" t="str">
        <f>""</f>
        <v/>
      </c>
      <c r="CS2435" t="str">
        <f>""</f>
        <v/>
      </c>
    </row>
    <row r="2436" spans="1:97" x14ac:dyDescent="0.25">
      <c r="A2436" t="s">
        <v>996</v>
      </c>
      <c r="B2436" t="s">
        <v>16276</v>
      </c>
      <c r="C2436" t="s">
        <v>670</v>
      </c>
      <c r="D2436" t="s">
        <v>16276</v>
      </c>
      <c r="E2436" t="s">
        <v>16277</v>
      </c>
      <c r="F2436" t="s">
        <v>108</v>
      </c>
      <c r="H2436" t="s">
        <v>16278</v>
      </c>
      <c r="I2436" t="s">
        <v>632</v>
      </c>
      <c r="J2436" t="s">
        <v>111</v>
      </c>
      <c r="K2436" t="str">
        <f>"85388"</f>
        <v>85388</v>
      </c>
      <c r="L2436" t="s">
        <v>5727</v>
      </c>
      <c r="M2436" t="s">
        <v>16278</v>
      </c>
      <c r="N2436" t="s">
        <v>632</v>
      </c>
      <c r="O2436" t="s">
        <v>111</v>
      </c>
      <c r="P2436" t="str">
        <f>"85388-5611"</f>
        <v>85388-5611</v>
      </c>
      <c r="Q2436" t="s">
        <v>113</v>
      </c>
      <c r="R2436" t="str">
        <f>"502-06-082"</f>
        <v>502-06-082</v>
      </c>
      <c r="S2436" t="s">
        <v>5728</v>
      </c>
      <c r="T2436" t="s">
        <v>5167</v>
      </c>
      <c r="U2436">
        <v>1836</v>
      </c>
      <c r="V2436">
        <v>0</v>
      </c>
      <c r="W2436">
        <v>3</v>
      </c>
      <c r="X2436">
        <v>2008</v>
      </c>
      <c r="Z2436">
        <v>1</v>
      </c>
      <c r="AB2436">
        <v>0</v>
      </c>
      <c r="AC2436" t="s">
        <v>115</v>
      </c>
      <c r="AD2436">
        <v>2</v>
      </c>
      <c r="AE2436" t="s">
        <v>115</v>
      </c>
      <c r="AF2436">
        <v>0</v>
      </c>
      <c r="AG2436">
        <v>0</v>
      </c>
      <c r="AH2436" t="s">
        <v>116</v>
      </c>
      <c r="AI2436" s="1">
        <v>20197</v>
      </c>
      <c r="AJ2436" s="2">
        <v>0.08</v>
      </c>
      <c r="AK2436" s="1">
        <v>259197</v>
      </c>
      <c r="AL2436" t="s">
        <v>117</v>
      </c>
      <c r="AM2436" t="s">
        <v>118</v>
      </c>
      <c r="AN2436">
        <v>5949</v>
      </c>
      <c r="AO2436">
        <v>0.14000000000000001</v>
      </c>
      <c r="AR2436">
        <v>1</v>
      </c>
      <c r="AS2436" s="1">
        <v>17700</v>
      </c>
      <c r="AT2436" s="1">
        <v>3540</v>
      </c>
      <c r="AU2436" s="1">
        <v>14160</v>
      </c>
      <c r="AV2436">
        <v>80</v>
      </c>
      <c r="AX2436" s="1">
        <v>1496.26</v>
      </c>
      <c r="AY2436" t="s">
        <v>5168</v>
      </c>
      <c r="AZ2436" t="s">
        <v>5168</v>
      </c>
      <c r="BA2436" t="s">
        <v>5061</v>
      </c>
      <c r="BE2436" s="3">
        <v>42503</v>
      </c>
      <c r="BF2436" s="1">
        <v>239000</v>
      </c>
      <c r="BG2436" t="s">
        <v>16279</v>
      </c>
      <c r="BH2436" s="1">
        <v>130.16999999999999</v>
      </c>
      <c r="BI2436" s="1">
        <v>239000</v>
      </c>
      <c r="BJ2436" s="3">
        <v>42503</v>
      </c>
      <c r="BK2436" t="s">
        <v>123</v>
      </c>
      <c r="BL2436" t="str">
        <f>"2016.328295"</f>
        <v>2016.328295</v>
      </c>
      <c r="BM2436" t="s">
        <v>475</v>
      </c>
      <c r="BO2436" t="s">
        <v>16280</v>
      </c>
      <c r="BS2436">
        <v>30</v>
      </c>
      <c r="BW2436" t="str">
        <f>""</f>
        <v/>
      </c>
      <c r="CH2436" t="str">
        <f>""</f>
        <v/>
      </c>
      <c r="CS2436" t="str">
        <f>""</f>
        <v/>
      </c>
    </row>
    <row r="2437" spans="1:97" x14ac:dyDescent="0.25">
      <c r="B2437" t="s">
        <v>16281</v>
      </c>
      <c r="E2437" t="s">
        <v>16282</v>
      </c>
      <c r="F2437" t="s">
        <v>108</v>
      </c>
      <c r="H2437" t="s">
        <v>16283</v>
      </c>
      <c r="I2437" t="s">
        <v>390</v>
      </c>
      <c r="J2437" t="s">
        <v>111</v>
      </c>
      <c r="K2437" t="str">
        <f>"85032"</f>
        <v>85032</v>
      </c>
      <c r="L2437" t="s">
        <v>16284</v>
      </c>
      <c r="M2437" t="s">
        <v>16283</v>
      </c>
      <c r="N2437" t="s">
        <v>390</v>
      </c>
      <c r="O2437" t="s">
        <v>111</v>
      </c>
      <c r="P2437" t="str">
        <f>"85032-1199"</f>
        <v>85032-1199</v>
      </c>
      <c r="Q2437" t="s">
        <v>113</v>
      </c>
      <c r="R2437" t="str">
        <f>"214-02-502"</f>
        <v>214-02-502</v>
      </c>
      <c r="S2437" t="s">
        <v>16285</v>
      </c>
      <c r="T2437" t="s">
        <v>16286</v>
      </c>
      <c r="U2437">
        <v>1612</v>
      </c>
      <c r="V2437">
        <v>0</v>
      </c>
      <c r="W2437">
        <v>3</v>
      </c>
      <c r="X2437">
        <v>1995</v>
      </c>
      <c r="Z2437">
        <v>1</v>
      </c>
      <c r="AA2437" t="s">
        <v>26</v>
      </c>
      <c r="AB2437">
        <v>0</v>
      </c>
      <c r="AC2437" t="s">
        <v>115</v>
      </c>
      <c r="AD2437">
        <v>2</v>
      </c>
      <c r="AE2437" t="s">
        <v>115</v>
      </c>
      <c r="AF2437">
        <v>0</v>
      </c>
      <c r="AG2437">
        <v>0</v>
      </c>
      <c r="AH2437" t="s">
        <v>116</v>
      </c>
      <c r="AI2437" s="1">
        <v>112651</v>
      </c>
      <c r="AJ2437" s="2">
        <v>0.35</v>
      </c>
      <c r="AK2437" s="1">
        <v>322651</v>
      </c>
      <c r="AL2437" t="s">
        <v>117</v>
      </c>
      <c r="AM2437" t="s">
        <v>3345</v>
      </c>
      <c r="AN2437">
        <v>6139</v>
      </c>
      <c r="AO2437">
        <v>0.14000000000000001</v>
      </c>
      <c r="AP2437">
        <v>1</v>
      </c>
      <c r="AR2437">
        <v>1</v>
      </c>
      <c r="AS2437" s="1">
        <v>23120</v>
      </c>
      <c r="AT2437" s="1">
        <v>4620</v>
      </c>
      <c r="AU2437" s="1">
        <v>18500</v>
      </c>
      <c r="AV2437">
        <v>80.02</v>
      </c>
      <c r="AX2437" s="1">
        <v>1830.5</v>
      </c>
      <c r="AY2437" t="s">
        <v>16266</v>
      </c>
      <c r="AZ2437" t="s">
        <v>2550</v>
      </c>
      <c r="BA2437" t="s">
        <v>1318</v>
      </c>
      <c r="BB2437" s="3">
        <v>43563</v>
      </c>
      <c r="BC2437" s="1">
        <v>0</v>
      </c>
      <c r="BD2437" t="s">
        <v>247</v>
      </c>
      <c r="BE2437" s="3">
        <v>42258</v>
      </c>
      <c r="BF2437" s="1">
        <v>170000</v>
      </c>
      <c r="BG2437" t="s">
        <v>16287</v>
      </c>
      <c r="BH2437" s="1">
        <v>105.46</v>
      </c>
      <c r="BI2437" s="1">
        <v>210000</v>
      </c>
      <c r="BJ2437" s="3">
        <v>42723</v>
      </c>
      <c r="BK2437" t="s">
        <v>123</v>
      </c>
      <c r="BL2437" t="str">
        <f>"2016.931036"</f>
        <v>2016.931036</v>
      </c>
      <c r="BM2437" t="s">
        <v>2117</v>
      </c>
      <c r="BN2437" t="s">
        <v>2118</v>
      </c>
      <c r="BO2437" t="s">
        <v>16288</v>
      </c>
      <c r="BS2437">
        <v>30</v>
      </c>
      <c r="BW2437" t="str">
        <f>""</f>
        <v/>
      </c>
      <c r="CH2437" t="str">
        <f>""</f>
        <v/>
      </c>
      <c r="CS2437" t="str">
        <f>""</f>
        <v/>
      </c>
    </row>
    <row r="2438" spans="1:97" x14ac:dyDescent="0.25">
      <c r="A2438" t="s">
        <v>5962</v>
      </c>
      <c r="B2438" t="s">
        <v>16289</v>
      </c>
      <c r="C2438" t="s">
        <v>1170</v>
      </c>
      <c r="D2438" t="s">
        <v>16289</v>
      </c>
      <c r="E2438" t="s">
        <v>16290</v>
      </c>
      <c r="F2438" t="s">
        <v>108</v>
      </c>
      <c r="H2438" t="s">
        <v>16291</v>
      </c>
      <c r="I2438" t="s">
        <v>5114</v>
      </c>
      <c r="J2438" t="s">
        <v>111</v>
      </c>
      <c r="K2438" t="str">
        <f>"85392"</f>
        <v>85392</v>
      </c>
      <c r="L2438" t="s">
        <v>8199</v>
      </c>
      <c r="M2438" t="s">
        <v>16291</v>
      </c>
      <c r="N2438" t="s">
        <v>5114</v>
      </c>
      <c r="O2438" t="s">
        <v>111</v>
      </c>
      <c r="P2438" t="str">
        <f>"85392-3803"</f>
        <v>85392-3803</v>
      </c>
      <c r="Q2438" t="s">
        <v>113</v>
      </c>
      <c r="R2438" t="str">
        <f>"501-73-429"</f>
        <v>501-73-429</v>
      </c>
      <c r="S2438" t="s">
        <v>13979</v>
      </c>
      <c r="T2438" t="s">
        <v>11509</v>
      </c>
      <c r="U2438">
        <v>2247</v>
      </c>
      <c r="V2438">
        <v>0</v>
      </c>
      <c r="W2438">
        <v>4</v>
      </c>
      <c r="X2438">
        <v>1991</v>
      </c>
      <c r="Z2438">
        <v>2</v>
      </c>
      <c r="AA2438" t="s">
        <v>26</v>
      </c>
      <c r="AB2438">
        <v>0</v>
      </c>
      <c r="AC2438" t="s">
        <v>115</v>
      </c>
      <c r="AD2438">
        <v>2</v>
      </c>
      <c r="AE2438" t="s">
        <v>115</v>
      </c>
      <c r="AF2438">
        <v>0</v>
      </c>
      <c r="AG2438">
        <v>0</v>
      </c>
      <c r="AH2438" t="s">
        <v>116</v>
      </c>
      <c r="AI2438" s="1">
        <v>61564</v>
      </c>
      <c r="AJ2438" s="2">
        <v>0.21</v>
      </c>
      <c r="AK2438" s="1">
        <v>286577</v>
      </c>
      <c r="AL2438" t="s">
        <v>117</v>
      </c>
      <c r="AM2438" t="s">
        <v>118</v>
      </c>
      <c r="AN2438">
        <v>6700</v>
      </c>
      <c r="AO2438">
        <v>0.15</v>
      </c>
      <c r="AP2438">
        <v>1</v>
      </c>
      <c r="AR2438">
        <v>1</v>
      </c>
      <c r="AS2438" s="1">
        <v>19760</v>
      </c>
      <c r="AT2438" s="1">
        <v>3950</v>
      </c>
      <c r="AU2438" s="1">
        <v>15810</v>
      </c>
      <c r="AV2438">
        <v>80.010000000000005</v>
      </c>
      <c r="AX2438" s="1">
        <v>1942.6</v>
      </c>
      <c r="AY2438" t="s">
        <v>8084</v>
      </c>
      <c r="AZ2438" t="s">
        <v>8084</v>
      </c>
      <c r="BA2438" t="s">
        <v>5118</v>
      </c>
      <c r="BE2438" s="3">
        <v>42199</v>
      </c>
      <c r="BF2438" s="1">
        <v>221000</v>
      </c>
      <c r="BG2438" t="s">
        <v>16292</v>
      </c>
      <c r="BH2438" s="1">
        <v>98.35</v>
      </c>
      <c r="BI2438" s="1">
        <v>225013</v>
      </c>
      <c r="BJ2438" s="3">
        <v>42775</v>
      </c>
      <c r="BK2438" t="s">
        <v>123</v>
      </c>
      <c r="BL2438" t="str">
        <f>"2017.97287"</f>
        <v>2017.97287</v>
      </c>
      <c r="BM2438" t="s">
        <v>322</v>
      </c>
      <c r="BO2438" t="s">
        <v>16293</v>
      </c>
      <c r="BS2438">
        <v>30</v>
      </c>
      <c r="BW2438" t="str">
        <f>""</f>
        <v/>
      </c>
      <c r="CH2438" t="str">
        <f>""</f>
        <v/>
      </c>
      <c r="CS2438" t="str">
        <f>""</f>
        <v/>
      </c>
    </row>
    <row r="2439" spans="1:97" x14ac:dyDescent="0.25">
      <c r="A2439" t="s">
        <v>16294</v>
      </c>
      <c r="B2439" t="s">
        <v>2271</v>
      </c>
      <c r="C2439" t="s">
        <v>16295</v>
      </c>
      <c r="D2439" t="s">
        <v>2271</v>
      </c>
      <c r="E2439" t="s">
        <v>16296</v>
      </c>
      <c r="F2439" t="s">
        <v>108</v>
      </c>
      <c r="H2439" t="s">
        <v>16297</v>
      </c>
      <c r="I2439" t="s">
        <v>225</v>
      </c>
      <c r="J2439" t="s">
        <v>111</v>
      </c>
      <c r="K2439" t="str">
        <f>"85208"</f>
        <v>85208</v>
      </c>
      <c r="L2439" t="s">
        <v>12359</v>
      </c>
      <c r="M2439" t="s">
        <v>16297</v>
      </c>
      <c r="N2439" t="s">
        <v>225</v>
      </c>
      <c r="O2439" t="s">
        <v>111</v>
      </c>
      <c r="P2439" t="str">
        <f>"85208-8754"</f>
        <v>85208-8754</v>
      </c>
      <c r="Q2439" t="s">
        <v>113</v>
      </c>
      <c r="R2439" t="str">
        <f>"220-53-456"</f>
        <v>220-53-456</v>
      </c>
      <c r="S2439" t="s">
        <v>16298</v>
      </c>
      <c r="T2439" t="s">
        <v>16299</v>
      </c>
      <c r="U2439">
        <v>2045</v>
      </c>
      <c r="V2439">
        <v>0</v>
      </c>
      <c r="W2439">
        <v>3</v>
      </c>
      <c r="X2439">
        <v>1998</v>
      </c>
      <c r="Z2439">
        <v>1</v>
      </c>
      <c r="AA2439" t="s">
        <v>26</v>
      </c>
      <c r="AB2439">
        <v>0</v>
      </c>
      <c r="AC2439" t="s">
        <v>115</v>
      </c>
      <c r="AD2439">
        <v>2</v>
      </c>
      <c r="AE2439" t="s">
        <v>115</v>
      </c>
      <c r="AF2439">
        <v>0</v>
      </c>
      <c r="AG2439">
        <v>0</v>
      </c>
      <c r="AH2439" t="s">
        <v>116</v>
      </c>
      <c r="AI2439" s="1">
        <v>85696</v>
      </c>
      <c r="AJ2439" s="2">
        <v>0.27</v>
      </c>
      <c r="AK2439" s="1">
        <v>311696</v>
      </c>
      <c r="AL2439" t="s">
        <v>117</v>
      </c>
      <c r="AM2439" t="s">
        <v>393</v>
      </c>
      <c r="AN2439">
        <v>7815</v>
      </c>
      <c r="AO2439">
        <v>0.18</v>
      </c>
      <c r="AP2439">
        <v>1</v>
      </c>
      <c r="AR2439">
        <v>1</v>
      </c>
      <c r="AS2439" s="1">
        <v>21820</v>
      </c>
      <c r="AT2439" s="1">
        <v>4360</v>
      </c>
      <c r="AU2439" s="1">
        <v>17460</v>
      </c>
      <c r="AV2439">
        <v>80.02</v>
      </c>
      <c r="AX2439" s="1">
        <v>1549.98</v>
      </c>
      <c r="AY2439" t="s">
        <v>272</v>
      </c>
      <c r="AZ2439" t="s">
        <v>3761</v>
      </c>
      <c r="BA2439" t="s">
        <v>232</v>
      </c>
      <c r="BE2439" s="3">
        <v>41656</v>
      </c>
      <c r="BF2439" s="1">
        <v>226000</v>
      </c>
      <c r="BG2439" t="s">
        <v>16300</v>
      </c>
      <c r="BH2439" s="1">
        <v>110.51</v>
      </c>
      <c r="BI2439" s="1">
        <v>226000</v>
      </c>
      <c r="BJ2439" s="3">
        <v>41656</v>
      </c>
      <c r="BK2439" t="s">
        <v>123</v>
      </c>
      <c r="BL2439" t="str">
        <f>"2014.35145"</f>
        <v>2014.35145</v>
      </c>
      <c r="BM2439" t="s">
        <v>724</v>
      </c>
      <c r="BO2439" t="s">
        <v>16301</v>
      </c>
      <c r="BS2439">
        <v>30</v>
      </c>
      <c r="BW2439" t="str">
        <f>""</f>
        <v/>
      </c>
      <c r="CH2439" t="str">
        <f>""</f>
        <v/>
      </c>
      <c r="CS2439" t="str">
        <f>""</f>
        <v/>
      </c>
    </row>
    <row r="2440" spans="1:97" x14ac:dyDescent="0.25">
      <c r="A2440" t="s">
        <v>177</v>
      </c>
      <c r="B2440" t="s">
        <v>16302</v>
      </c>
      <c r="C2440" t="s">
        <v>484</v>
      </c>
      <c r="D2440" t="s">
        <v>16302</v>
      </c>
      <c r="E2440" t="s">
        <v>16303</v>
      </c>
      <c r="F2440" t="s">
        <v>108</v>
      </c>
      <c r="H2440" t="s">
        <v>16304</v>
      </c>
      <c r="I2440" t="s">
        <v>2874</v>
      </c>
      <c r="J2440" t="s">
        <v>111</v>
      </c>
      <c r="K2440" t="str">
        <f>"85308"</f>
        <v>85308</v>
      </c>
      <c r="L2440" t="s">
        <v>3982</v>
      </c>
      <c r="M2440" t="s">
        <v>16304</v>
      </c>
      <c r="N2440" t="s">
        <v>2874</v>
      </c>
      <c r="O2440" t="s">
        <v>111</v>
      </c>
      <c r="P2440" t="str">
        <f>"85308-1157"</f>
        <v>85308-1157</v>
      </c>
      <c r="Q2440" t="s">
        <v>113</v>
      </c>
      <c r="R2440" t="str">
        <f>"200-47-168"</f>
        <v>200-47-168</v>
      </c>
      <c r="S2440" t="s">
        <v>16305</v>
      </c>
      <c r="U2440">
        <v>2226</v>
      </c>
      <c r="V2440">
        <v>0</v>
      </c>
      <c r="W2440">
        <v>3</v>
      </c>
      <c r="X2440">
        <v>1997</v>
      </c>
      <c r="Z2440">
        <v>1</v>
      </c>
      <c r="AA2440" t="s">
        <v>26</v>
      </c>
      <c r="AB2440">
        <v>0</v>
      </c>
      <c r="AC2440" t="s">
        <v>115</v>
      </c>
      <c r="AD2440">
        <v>2</v>
      </c>
      <c r="AE2440" t="s">
        <v>115</v>
      </c>
      <c r="AF2440">
        <v>0</v>
      </c>
      <c r="AG2440">
        <v>0</v>
      </c>
      <c r="AH2440" t="s">
        <v>116</v>
      </c>
      <c r="AI2440" s="1">
        <v>70814</v>
      </c>
      <c r="AJ2440" s="2">
        <v>0.18</v>
      </c>
      <c r="AK2440" s="1">
        <v>384758</v>
      </c>
      <c r="AL2440" t="s">
        <v>117</v>
      </c>
      <c r="AM2440" t="s">
        <v>191</v>
      </c>
      <c r="AN2440">
        <v>15785</v>
      </c>
      <c r="AO2440">
        <v>0.36</v>
      </c>
      <c r="AP2440">
        <v>1</v>
      </c>
      <c r="AR2440">
        <v>1</v>
      </c>
      <c r="AS2440" s="1">
        <v>28150</v>
      </c>
      <c r="AT2440" s="1">
        <v>5630</v>
      </c>
      <c r="AU2440" s="1">
        <v>22520</v>
      </c>
      <c r="AV2440">
        <v>80</v>
      </c>
      <c r="AX2440" s="1">
        <v>2398.2399999999998</v>
      </c>
      <c r="AY2440" t="s">
        <v>7283</v>
      </c>
      <c r="AZ2440" t="s">
        <v>7283</v>
      </c>
      <c r="BA2440" t="s">
        <v>5143</v>
      </c>
      <c r="BE2440" s="3">
        <v>42187</v>
      </c>
      <c r="BF2440" s="1">
        <v>302500</v>
      </c>
      <c r="BG2440" t="s">
        <v>16306</v>
      </c>
      <c r="BH2440" s="1">
        <v>135.88999999999999</v>
      </c>
      <c r="BI2440" s="1">
        <v>313944</v>
      </c>
      <c r="BJ2440" s="3">
        <v>42473</v>
      </c>
      <c r="BK2440" t="s">
        <v>123</v>
      </c>
      <c r="BL2440" t="str">
        <f>"2016.242796"</f>
        <v>2016.242796</v>
      </c>
      <c r="BM2440" t="s">
        <v>2284</v>
      </c>
      <c r="BO2440" t="s">
        <v>16307</v>
      </c>
      <c r="BS2440">
        <v>30</v>
      </c>
      <c r="BW2440" t="str">
        <f>""</f>
        <v/>
      </c>
      <c r="CH2440" t="str">
        <f>""</f>
        <v/>
      </c>
      <c r="CS2440" t="str">
        <f>""</f>
        <v/>
      </c>
    </row>
    <row r="2441" spans="1:97" x14ac:dyDescent="0.25">
      <c r="A2441" t="s">
        <v>305</v>
      </c>
      <c r="B2441" t="s">
        <v>16308</v>
      </c>
      <c r="E2441" t="s">
        <v>16309</v>
      </c>
      <c r="F2441" t="s">
        <v>108</v>
      </c>
      <c r="H2441" t="s">
        <v>16310</v>
      </c>
      <c r="I2441" t="s">
        <v>499</v>
      </c>
      <c r="J2441" t="s">
        <v>111</v>
      </c>
      <c r="K2441" t="str">
        <f>"85338"</f>
        <v>85338</v>
      </c>
      <c r="L2441" t="s">
        <v>6431</v>
      </c>
      <c r="M2441" t="s">
        <v>16310</v>
      </c>
      <c r="N2441" t="s">
        <v>499</v>
      </c>
      <c r="O2441" t="s">
        <v>111</v>
      </c>
      <c r="P2441" t="str">
        <f>"85338-7370"</f>
        <v>85338-7370</v>
      </c>
      <c r="R2441" t="str">
        <f>"500-97-581"</f>
        <v>500-97-581</v>
      </c>
      <c r="S2441" t="s">
        <v>13299</v>
      </c>
      <c r="T2441" t="s">
        <v>13300</v>
      </c>
      <c r="U2441">
        <v>2015</v>
      </c>
      <c r="V2441">
        <v>0</v>
      </c>
      <c r="W2441">
        <v>3</v>
      </c>
      <c r="X2441">
        <v>2007</v>
      </c>
      <c r="Z2441">
        <v>1</v>
      </c>
      <c r="AB2441">
        <v>0</v>
      </c>
      <c r="AC2441" t="s">
        <v>115</v>
      </c>
      <c r="AD2441">
        <v>3</v>
      </c>
      <c r="AE2441" t="s">
        <v>115</v>
      </c>
      <c r="AF2441">
        <v>0</v>
      </c>
      <c r="AG2441">
        <v>0</v>
      </c>
      <c r="AH2441" t="s">
        <v>116</v>
      </c>
      <c r="AI2441" s="1">
        <v>32158</v>
      </c>
      <c r="AJ2441" s="2">
        <v>0.12</v>
      </c>
      <c r="AK2441" s="1">
        <v>277158</v>
      </c>
      <c r="AL2441" t="s">
        <v>117</v>
      </c>
      <c r="AM2441" t="s">
        <v>118</v>
      </c>
      <c r="AN2441">
        <v>8400</v>
      </c>
      <c r="AO2441">
        <v>0.19</v>
      </c>
      <c r="AR2441">
        <v>1</v>
      </c>
      <c r="AS2441" s="1">
        <v>19710</v>
      </c>
      <c r="AT2441" s="1">
        <v>3940</v>
      </c>
      <c r="AU2441" s="1">
        <v>15770</v>
      </c>
      <c r="AV2441">
        <v>80.010000000000005</v>
      </c>
      <c r="AX2441" s="1">
        <v>2002.48</v>
      </c>
      <c r="AY2441" t="s">
        <v>6319</v>
      </c>
      <c r="AZ2441" t="s">
        <v>6319</v>
      </c>
      <c r="BA2441" t="s">
        <v>218</v>
      </c>
      <c r="BE2441" s="3">
        <v>42528</v>
      </c>
      <c r="BF2441" s="1">
        <v>227500</v>
      </c>
      <c r="BG2441" t="s">
        <v>16311</v>
      </c>
      <c r="BH2441" s="1">
        <v>112.9</v>
      </c>
      <c r="BI2441" s="1">
        <v>245000</v>
      </c>
      <c r="BJ2441" s="3">
        <v>43445</v>
      </c>
      <c r="BK2441" t="s">
        <v>123</v>
      </c>
      <c r="BL2441" t="str">
        <f>"2018.906705"</f>
        <v>2018.906705</v>
      </c>
      <c r="BM2441" t="s">
        <v>1185</v>
      </c>
      <c r="BN2441" t="s">
        <v>6728</v>
      </c>
      <c r="BO2441" t="s">
        <v>16309</v>
      </c>
      <c r="BR2441" t="s">
        <v>139</v>
      </c>
      <c r="BW2441" t="str">
        <f>""</f>
        <v/>
      </c>
      <c r="CH2441" t="str">
        <f>""</f>
        <v/>
      </c>
      <c r="CS2441" t="str">
        <f>""</f>
        <v/>
      </c>
    </row>
    <row r="2442" spans="1:97" x14ac:dyDescent="0.25">
      <c r="A2442" t="s">
        <v>16312</v>
      </c>
      <c r="B2442" t="s">
        <v>8207</v>
      </c>
      <c r="C2442" t="s">
        <v>1160</v>
      </c>
      <c r="D2442" t="s">
        <v>12039</v>
      </c>
      <c r="E2442" t="s">
        <v>16313</v>
      </c>
      <c r="F2442" t="s">
        <v>108</v>
      </c>
      <c r="H2442" t="s">
        <v>16314</v>
      </c>
      <c r="I2442" t="s">
        <v>499</v>
      </c>
      <c r="J2442" t="s">
        <v>111</v>
      </c>
      <c r="K2442" t="str">
        <f>"85338"</f>
        <v>85338</v>
      </c>
      <c r="L2442" t="s">
        <v>8255</v>
      </c>
      <c r="M2442" t="s">
        <v>16314</v>
      </c>
      <c r="N2442" t="s">
        <v>499</v>
      </c>
      <c r="O2442" t="s">
        <v>111</v>
      </c>
      <c r="P2442" t="str">
        <f>"85338-6073"</f>
        <v>85338-6073</v>
      </c>
      <c r="Q2442" t="s">
        <v>113</v>
      </c>
      <c r="R2442" t="str">
        <f>"502-39-494"</f>
        <v>502-39-494</v>
      </c>
      <c r="S2442" t="s">
        <v>16315</v>
      </c>
      <c r="T2442" t="s">
        <v>6318</v>
      </c>
      <c r="U2442">
        <v>3799</v>
      </c>
      <c r="V2442">
        <v>0</v>
      </c>
      <c r="W2442">
        <v>4</v>
      </c>
      <c r="X2442">
        <v>2007</v>
      </c>
      <c r="Z2442">
        <v>2</v>
      </c>
      <c r="AA2442" t="s">
        <v>26</v>
      </c>
      <c r="AB2442">
        <v>0</v>
      </c>
      <c r="AC2442" t="s">
        <v>115</v>
      </c>
      <c r="AD2442">
        <v>2</v>
      </c>
      <c r="AE2442" t="s">
        <v>115</v>
      </c>
      <c r="AF2442">
        <v>0</v>
      </c>
      <c r="AG2442">
        <v>0</v>
      </c>
      <c r="AH2442" t="s">
        <v>116</v>
      </c>
      <c r="AI2442" s="1">
        <v>24782</v>
      </c>
      <c r="AJ2442" s="2">
        <v>7.0000000000000007E-2</v>
      </c>
      <c r="AK2442" s="1">
        <v>377695</v>
      </c>
      <c r="AL2442" t="s">
        <v>117</v>
      </c>
      <c r="AM2442" t="s">
        <v>118</v>
      </c>
      <c r="AN2442">
        <v>8400</v>
      </c>
      <c r="AO2442">
        <v>0.19</v>
      </c>
      <c r="AR2442">
        <v>1</v>
      </c>
      <c r="AS2442" s="1">
        <v>27820</v>
      </c>
      <c r="AT2442" s="1">
        <v>5560</v>
      </c>
      <c r="AU2442" s="1">
        <v>22260</v>
      </c>
      <c r="AV2442">
        <v>80.010000000000005</v>
      </c>
      <c r="AX2442" s="1">
        <v>2729.76</v>
      </c>
      <c r="AY2442" t="s">
        <v>4311</v>
      </c>
      <c r="AZ2442" t="s">
        <v>4311</v>
      </c>
      <c r="BA2442" t="s">
        <v>218</v>
      </c>
      <c r="BB2442" s="3">
        <v>42380</v>
      </c>
      <c r="BD2442" t="s">
        <v>240</v>
      </c>
      <c r="BE2442" s="3">
        <v>42369</v>
      </c>
      <c r="BF2442" s="1">
        <v>320000</v>
      </c>
      <c r="BG2442" t="s">
        <v>16316</v>
      </c>
      <c r="BH2442" s="1">
        <v>84.23</v>
      </c>
      <c r="BI2442" s="1">
        <v>330560</v>
      </c>
      <c r="BJ2442" s="3">
        <v>42369</v>
      </c>
      <c r="BK2442" t="s">
        <v>123</v>
      </c>
      <c r="BL2442" t="str">
        <f>"2015.923574"</f>
        <v>2015.923574</v>
      </c>
      <c r="BM2442" t="s">
        <v>544</v>
      </c>
      <c r="BN2442" t="s">
        <v>545</v>
      </c>
      <c r="BO2442" t="s">
        <v>16317</v>
      </c>
      <c r="BS2442">
        <v>30</v>
      </c>
      <c r="BT2442" s="1">
        <v>22353</v>
      </c>
      <c r="BU2442" s="3">
        <v>43563</v>
      </c>
      <c r="BW2442" t="str">
        <f>"2019.244780"</f>
        <v>2019.244780</v>
      </c>
      <c r="BX2442" t="s">
        <v>16318</v>
      </c>
      <c r="BY2442" t="s">
        <v>16319</v>
      </c>
      <c r="BZ2442" t="s">
        <v>16320</v>
      </c>
      <c r="CA2442" t="s">
        <v>16321</v>
      </c>
      <c r="CC2442" t="s">
        <v>346</v>
      </c>
      <c r="CH2442" t="str">
        <f>""</f>
        <v/>
      </c>
      <c r="CS2442" t="str">
        <f>""</f>
        <v/>
      </c>
    </row>
    <row r="2443" spans="1:97" x14ac:dyDescent="0.25">
      <c r="A2443" t="s">
        <v>8799</v>
      </c>
      <c r="B2443" t="s">
        <v>11434</v>
      </c>
      <c r="C2443" t="s">
        <v>16322</v>
      </c>
      <c r="D2443" t="s">
        <v>11434</v>
      </c>
      <c r="E2443" t="s">
        <v>16323</v>
      </c>
      <c r="F2443" t="s">
        <v>108</v>
      </c>
      <c r="H2443" t="s">
        <v>16324</v>
      </c>
      <c r="I2443" t="s">
        <v>390</v>
      </c>
      <c r="J2443" t="s">
        <v>111</v>
      </c>
      <c r="K2443" t="str">
        <f>"85041"</f>
        <v>85041</v>
      </c>
      <c r="L2443" t="s">
        <v>5218</v>
      </c>
      <c r="M2443" t="s">
        <v>16324</v>
      </c>
      <c r="N2443" t="s">
        <v>390</v>
      </c>
      <c r="O2443" t="s">
        <v>111</v>
      </c>
      <c r="P2443" t="str">
        <f>"85041-5380"</f>
        <v>85041-5380</v>
      </c>
      <c r="Q2443" t="s">
        <v>113</v>
      </c>
      <c r="R2443" t="str">
        <f>"105-85-133"</f>
        <v>105-85-133</v>
      </c>
      <c r="S2443" t="s">
        <v>16325</v>
      </c>
      <c r="T2443" t="s">
        <v>16325</v>
      </c>
      <c r="U2443">
        <v>2284</v>
      </c>
      <c r="V2443">
        <v>0</v>
      </c>
      <c r="W2443">
        <v>4</v>
      </c>
      <c r="X2443">
        <v>2004</v>
      </c>
      <c r="Z2443">
        <v>2</v>
      </c>
      <c r="AA2443" t="s">
        <v>26</v>
      </c>
      <c r="AB2443">
        <v>0</v>
      </c>
      <c r="AC2443" t="s">
        <v>115</v>
      </c>
      <c r="AD2443">
        <v>2</v>
      </c>
      <c r="AE2443" t="s">
        <v>115</v>
      </c>
      <c r="AF2443">
        <v>0</v>
      </c>
      <c r="AG2443">
        <v>0</v>
      </c>
      <c r="AH2443" t="s">
        <v>116</v>
      </c>
      <c r="AI2443" s="1">
        <v>56712</v>
      </c>
      <c r="AJ2443" s="2">
        <v>0.21</v>
      </c>
      <c r="AK2443" s="1">
        <v>273780</v>
      </c>
      <c r="AL2443" t="s">
        <v>117</v>
      </c>
      <c r="AM2443" t="s">
        <v>191</v>
      </c>
      <c r="AN2443">
        <v>6600</v>
      </c>
      <c r="AO2443">
        <v>0.15</v>
      </c>
      <c r="AP2443">
        <v>1</v>
      </c>
      <c r="AR2443">
        <v>1</v>
      </c>
      <c r="AS2443" s="1">
        <v>18810</v>
      </c>
      <c r="AT2443" s="1">
        <v>3760</v>
      </c>
      <c r="AU2443" s="1">
        <v>15050</v>
      </c>
      <c r="AV2443">
        <v>80.010000000000005</v>
      </c>
      <c r="AX2443" s="1">
        <v>2009.06</v>
      </c>
      <c r="AY2443" t="s">
        <v>5220</v>
      </c>
      <c r="AZ2443" t="s">
        <v>5220</v>
      </c>
      <c r="BA2443" t="s">
        <v>1661</v>
      </c>
      <c r="BE2443" s="3">
        <v>42275</v>
      </c>
      <c r="BF2443" s="1">
        <v>212500</v>
      </c>
      <c r="BG2443" t="s">
        <v>16326</v>
      </c>
      <c r="BH2443" s="1">
        <v>93.04</v>
      </c>
      <c r="BI2443" s="1">
        <v>217068</v>
      </c>
      <c r="BJ2443" s="3">
        <v>42275</v>
      </c>
      <c r="BK2443" t="s">
        <v>123</v>
      </c>
      <c r="BL2443" t="str">
        <f>"2015.695959"</f>
        <v>2015.695959</v>
      </c>
      <c r="BM2443" t="s">
        <v>2094</v>
      </c>
      <c r="BO2443" t="s">
        <v>16327</v>
      </c>
      <c r="BS2443">
        <v>30</v>
      </c>
      <c r="BW2443" t="str">
        <f>""</f>
        <v/>
      </c>
      <c r="CH2443" t="str">
        <f>""</f>
        <v/>
      </c>
      <c r="CS2443" t="str">
        <f>""</f>
        <v/>
      </c>
    </row>
    <row r="2444" spans="1:97" x14ac:dyDescent="0.25">
      <c r="A2444" t="s">
        <v>11648</v>
      </c>
      <c r="B2444" t="s">
        <v>16328</v>
      </c>
      <c r="C2444" t="s">
        <v>1162</v>
      </c>
      <c r="D2444" t="s">
        <v>16328</v>
      </c>
      <c r="E2444" t="s">
        <v>16329</v>
      </c>
      <c r="F2444" t="s">
        <v>108</v>
      </c>
      <c r="H2444" t="s">
        <v>16330</v>
      </c>
      <c r="I2444" t="s">
        <v>632</v>
      </c>
      <c r="J2444" t="s">
        <v>111</v>
      </c>
      <c r="K2444" t="str">
        <f>"85388"</f>
        <v>85388</v>
      </c>
      <c r="L2444" t="s">
        <v>3094</v>
      </c>
      <c r="M2444" t="s">
        <v>16330</v>
      </c>
      <c r="N2444" t="s">
        <v>632</v>
      </c>
      <c r="O2444" t="s">
        <v>111</v>
      </c>
      <c r="P2444" t="str">
        <f>"85388-7891"</f>
        <v>85388-7891</v>
      </c>
      <c r="Q2444" t="s">
        <v>113</v>
      </c>
      <c r="R2444" t="str">
        <f>"502-88-611"</f>
        <v>502-88-611</v>
      </c>
      <c r="S2444" t="s">
        <v>16331</v>
      </c>
      <c r="T2444" t="s">
        <v>12131</v>
      </c>
      <c r="U2444">
        <v>1902</v>
      </c>
      <c r="V2444">
        <v>0</v>
      </c>
      <c r="W2444">
        <v>3</v>
      </c>
      <c r="X2444">
        <v>2005</v>
      </c>
      <c r="Z2444">
        <v>2</v>
      </c>
      <c r="AB2444">
        <v>0</v>
      </c>
      <c r="AC2444" t="s">
        <v>115</v>
      </c>
      <c r="AD2444">
        <v>2</v>
      </c>
      <c r="AE2444" t="s">
        <v>115</v>
      </c>
      <c r="AF2444">
        <v>0</v>
      </c>
      <c r="AG2444">
        <v>0</v>
      </c>
      <c r="AH2444" t="s">
        <v>116</v>
      </c>
      <c r="AI2444" s="1">
        <v>30583</v>
      </c>
      <c r="AJ2444" s="2">
        <v>0.13</v>
      </c>
      <c r="AK2444" s="1">
        <v>235692</v>
      </c>
      <c r="AL2444" t="s">
        <v>117</v>
      </c>
      <c r="AM2444" t="s">
        <v>118</v>
      </c>
      <c r="AN2444">
        <v>3375</v>
      </c>
      <c r="AO2444">
        <v>0.77</v>
      </c>
      <c r="AR2444">
        <v>1</v>
      </c>
      <c r="AS2444" s="1">
        <v>15280</v>
      </c>
      <c r="AT2444" s="1">
        <v>3050</v>
      </c>
      <c r="AU2444" s="1">
        <v>12230</v>
      </c>
      <c r="AV2444">
        <v>80.040000000000006</v>
      </c>
      <c r="AX2444" s="1">
        <v>1159.3599999999999</v>
      </c>
      <c r="AY2444" t="s">
        <v>6262</v>
      </c>
      <c r="AZ2444" t="s">
        <v>6262</v>
      </c>
      <c r="BA2444" t="s">
        <v>5061</v>
      </c>
      <c r="BB2444" s="3">
        <v>43168</v>
      </c>
      <c r="BC2444" s="1">
        <v>0</v>
      </c>
      <c r="BD2444" t="s">
        <v>247</v>
      </c>
      <c r="BE2444" s="3">
        <v>41729</v>
      </c>
      <c r="BF2444" s="1">
        <v>154900</v>
      </c>
      <c r="BG2444" t="s">
        <v>16332</v>
      </c>
      <c r="BH2444" s="1">
        <v>81.44</v>
      </c>
      <c r="BI2444" s="1">
        <v>205109</v>
      </c>
      <c r="BJ2444" s="3">
        <v>43621</v>
      </c>
      <c r="BK2444" t="s">
        <v>123</v>
      </c>
      <c r="BL2444" t="str">
        <f>"2019.415559"</f>
        <v>2019.415559</v>
      </c>
      <c r="BM2444" t="s">
        <v>460</v>
      </c>
      <c r="BN2444" t="s">
        <v>461</v>
      </c>
      <c r="BO2444" t="s">
        <v>16333</v>
      </c>
      <c r="BP2444" t="s">
        <v>16334</v>
      </c>
      <c r="BR2444" t="s">
        <v>139</v>
      </c>
      <c r="BW2444" t="str">
        <f>""</f>
        <v/>
      </c>
      <c r="CH2444" t="str">
        <f>""</f>
        <v/>
      </c>
      <c r="CS2444" t="str">
        <f>""</f>
        <v/>
      </c>
    </row>
    <row r="2445" spans="1:97" x14ac:dyDescent="0.25">
      <c r="A2445" t="s">
        <v>7743</v>
      </c>
      <c r="B2445" t="s">
        <v>8207</v>
      </c>
      <c r="E2445" t="s">
        <v>16335</v>
      </c>
      <c r="F2445" t="s">
        <v>108</v>
      </c>
      <c r="H2445" t="s">
        <v>16336</v>
      </c>
      <c r="I2445" t="s">
        <v>499</v>
      </c>
      <c r="J2445" t="s">
        <v>111</v>
      </c>
      <c r="K2445" t="str">
        <f>"85395"</f>
        <v>85395</v>
      </c>
      <c r="L2445" t="s">
        <v>541</v>
      </c>
      <c r="M2445" t="s">
        <v>16336</v>
      </c>
      <c r="N2445" t="s">
        <v>499</v>
      </c>
      <c r="O2445" t="s">
        <v>111</v>
      </c>
      <c r="P2445" t="str">
        <f>"85395-7101"</f>
        <v>85395-7101</v>
      </c>
      <c r="Q2445" t="s">
        <v>113</v>
      </c>
      <c r="R2445" t="str">
        <f>"508-14-876"</f>
        <v>508-14-876</v>
      </c>
      <c r="S2445" t="s">
        <v>7193</v>
      </c>
      <c r="T2445" t="s">
        <v>3018</v>
      </c>
      <c r="U2445">
        <v>2834</v>
      </c>
      <c r="V2445">
        <v>0</v>
      </c>
      <c r="W2445">
        <v>4</v>
      </c>
      <c r="X2445">
        <v>2015</v>
      </c>
      <c r="Z2445">
        <v>1</v>
      </c>
      <c r="AB2445">
        <v>0</v>
      </c>
      <c r="AC2445" t="s">
        <v>115</v>
      </c>
      <c r="AD2445">
        <v>3</v>
      </c>
      <c r="AE2445" t="s">
        <v>115</v>
      </c>
      <c r="AF2445">
        <v>0</v>
      </c>
      <c r="AG2445">
        <v>0</v>
      </c>
      <c r="AH2445" t="s">
        <v>116</v>
      </c>
      <c r="AI2445" s="1">
        <v>51212</v>
      </c>
      <c r="AJ2445" s="2">
        <v>0.12</v>
      </c>
      <c r="AK2445" s="1">
        <v>422016</v>
      </c>
      <c r="AL2445" t="s">
        <v>117</v>
      </c>
      <c r="AM2445" t="s">
        <v>118</v>
      </c>
      <c r="AN2445">
        <v>10068</v>
      </c>
      <c r="AO2445">
        <v>0.23</v>
      </c>
      <c r="AR2445">
        <v>1</v>
      </c>
      <c r="AS2445" s="1">
        <v>29930</v>
      </c>
      <c r="AT2445" s="1">
        <v>5980</v>
      </c>
      <c r="AU2445" s="1">
        <v>23950</v>
      </c>
      <c r="AV2445">
        <v>80.02</v>
      </c>
      <c r="AX2445" s="1">
        <v>3025.26</v>
      </c>
      <c r="AY2445" t="s">
        <v>3019</v>
      </c>
      <c r="AZ2445" t="s">
        <v>3020</v>
      </c>
      <c r="BA2445" t="s">
        <v>218</v>
      </c>
      <c r="BE2445" s="3">
        <v>42247</v>
      </c>
      <c r="BF2445" s="1">
        <v>371421</v>
      </c>
      <c r="BG2445" t="s">
        <v>459</v>
      </c>
      <c r="BH2445" s="1">
        <v>131.06</v>
      </c>
      <c r="BI2445" s="1">
        <v>370804</v>
      </c>
      <c r="BJ2445" s="3">
        <v>42247</v>
      </c>
      <c r="BK2445" t="s">
        <v>123</v>
      </c>
      <c r="BL2445" t="str">
        <f>"2015.634295"</f>
        <v>2015.634295</v>
      </c>
      <c r="BM2445" t="s">
        <v>1866</v>
      </c>
      <c r="BO2445" t="s">
        <v>16337</v>
      </c>
      <c r="BS2445">
        <v>30</v>
      </c>
      <c r="BW2445" t="str">
        <f>""</f>
        <v/>
      </c>
      <c r="CH2445" t="str">
        <f>""</f>
        <v/>
      </c>
      <c r="CS2445" t="str">
        <f>""</f>
        <v/>
      </c>
    </row>
    <row r="2446" spans="1:97" x14ac:dyDescent="0.25">
      <c r="A2446" t="s">
        <v>16338</v>
      </c>
      <c r="B2446" t="s">
        <v>16339</v>
      </c>
      <c r="C2446" t="s">
        <v>16340</v>
      </c>
      <c r="D2446" t="s">
        <v>16339</v>
      </c>
      <c r="E2446" t="s">
        <v>16341</v>
      </c>
      <c r="F2446" t="s">
        <v>108</v>
      </c>
      <c r="H2446" t="s">
        <v>16342</v>
      </c>
      <c r="I2446" t="s">
        <v>110</v>
      </c>
      <c r="J2446" t="s">
        <v>111</v>
      </c>
      <c r="K2446" t="str">
        <f>"85249"</f>
        <v>85249</v>
      </c>
      <c r="L2446" t="s">
        <v>3696</v>
      </c>
      <c r="M2446" t="s">
        <v>16342</v>
      </c>
      <c r="N2446" t="s">
        <v>110</v>
      </c>
      <c r="O2446" t="s">
        <v>111</v>
      </c>
      <c r="P2446" t="str">
        <f>"85249-4927"</f>
        <v>85249-4927</v>
      </c>
      <c r="Q2446" t="s">
        <v>113</v>
      </c>
      <c r="R2446" t="str">
        <f>"303-56-907"</f>
        <v>303-56-907</v>
      </c>
      <c r="S2446" t="s">
        <v>16343</v>
      </c>
      <c r="U2446">
        <v>1728</v>
      </c>
      <c r="V2446">
        <v>0</v>
      </c>
      <c r="W2446">
        <v>3</v>
      </c>
      <c r="X2446">
        <v>2001</v>
      </c>
      <c r="Z2446">
        <v>1</v>
      </c>
      <c r="AB2446">
        <v>0</v>
      </c>
      <c r="AC2446" t="s">
        <v>115</v>
      </c>
      <c r="AD2446">
        <v>2</v>
      </c>
      <c r="AE2446" t="s">
        <v>115</v>
      </c>
      <c r="AF2446">
        <v>0</v>
      </c>
      <c r="AG2446">
        <v>0</v>
      </c>
      <c r="AH2446" t="s">
        <v>116</v>
      </c>
      <c r="AI2446" s="1">
        <v>66872</v>
      </c>
      <c r="AJ2446" s="2">
        <v>0.21</v>
      </c>
      <c r="AK2446" s="1">
        <v>314792</v>
      </c>
      <c r="AL2446" t="s">
        <v>117</v>
      </c>
      <c r="AM2446" t="s">
        <v>118</v>
      </c>
      <c r="AN2446">
        <v>7561</v>
      </c>
      <c r="AO2446">
        <v>0.17</v>
      </c>
      <c r="AP2446">
        <v>1</v>
      </c>
      <c r="AR2446">
        <v>1</v>
      </c>
      <c r="AS2446" s="1">
        <v>21350</v>
      </c>
      <c r="AT2446" s="1">
        <v>4270</v>
      </c>
      <c r="AU2446" s="1">
        <v>17080</v>
      </c>
      <c r="AV2446">
        <v>80</v>
      </c>
      <c r="AX2446" s="1">
        <v>1591.14</v>
      </c>
      <c r="AY2446" t="s">
        <v>5050</v>
      </c>
      <c r="AZ2446" t="s">
        <v>120</v>
      </c>
      <c r="BA2446" t="s">
        <v>274</v>
      </c>
      <c r="BE2446" s="3">
        <v>42423</v>
      </c>
      <c r="BF2446" s="1">
        <v>240000</v>
      </c>
      <c r="BG2446" t="s">
        <v>16344</v>
      </c>
      <c r="BH2446" s="1">
        <v>138.88999999999999</v>
      </c>
      <c r="BI2446" s="1">
        <v>247920</v>
      </c>
      <c r="BJ2446" s="3">
        <v>42423</v>
      </c>
      <c r="BK2446" t="s">
        <v>123</v>
      </c>
      <c r="BL2446" t="str">
        <f>"2016.111504"</f>
        <v>2016.111504</v>
      </c>
      <c r="BM2446" t="s">
        <v>724</v>
      </c>
      <c r="BO2446" t="s">
        <v>16345</v>
      </c>
      <c r="BS2446">
        <v>30</v>
      </c>
      <c r="BW2446" t="str">
        <f>""</f>
        <v/>
      </c>
      <c r="CH2446" t="str">
        <f>""</f>
        <v/>
      </c>
      <c r="CS2446" t="str">
        <f>""</f>
        <v/>
      </c>
    </row>
    <row r="2447" spans="1:97" x14ac:dyDescent="0.25">
      <c r="A2447" t="s">
        <v>976</v>
      </c>
      <c r="B2447" t="s">
        <v>4156</v>
      </c>
      <c r="C2447" t="s">
        <v>1109</v>
      </c>
      <c r="D2447" t="s">
        <v>4156</v>
      </c>
      <c r="E2447" t="s">
        <v>16346</v>
      </c>
      <c r="F2447" t="s">
        <v>139</v>
      </c>
      <c r="H2447" t="s">
        <v>16347</v>
      </c>
      <c r="I2447" t="s">
        <v>632</v>
      </c>
      <c r="J2447" t="s">
        <v>111</v>
      </c>
      <c r="K2447" t="str">
        <f>"85387"</f>
        <v>85387</v>
      </c>
      <c r="L2447" t="s">
        <v>5496</v>
      </c>
      <c r="M2447" t="s">
        <v>16347</v>
      </c>
      <c r="N2447" t="s">
        <v>632</v>
      </c>
      <c r="O2447" t="s">
        <v>111</v>
      </c>
      <c r="P2447" t="str">
        <f>"85387-6876"</f>
        <v>85387-6876</v>
      </c>
      <c r="Q2447" t="s">
        <v>113</v>
      </c>
      <c r="R2447" t="str">
        <f>"503-73-681"</f>
        <v>503-73-681</v>
      </c>
      <c r="S2447" t="s">
        <v>10636</v>
      </c>
      <c r="T2447" t="s">
        <v>5498</v>
      </c>
      <c r="U2447">
        <v>2235</v>
      </c>
      <c r="V2447">
        <v>0</v>
      </c>
      <c r="W2447">
        <v>4</v>
      </c>
      <c r="X2447">
        <v>2006</v>
      </c>
      <c r="Z2447">
        <v>2</v>
      </c>
      <c r="AA2447" t="s">
        <v>26</v>
      </c>
      <c r="AB2447">
        <v>0</v>
      </c>
      <c r="AC2447" t="s">
        <v>115</v>
      </c>
      <c r="AD2447">
        <v>2</v>
      </c>
      <c r="AE2447" t="s">
        <v>115</v>
      </c>
      <c r="AF2447">
        <v>0</v>
      </c>
      <c r="AG2447">
        <v>0</v>
      </c>
      <c r="AH2447" t="s">
        <v>116</v>
      </c>
      <c r="AI2447" s="1">
        <v>12032</v>
      </c>
      <c r="AJ2447" s="2">
        <v>0.05</v>
      </c>
      <c r="AK2447" s="1">
        <v>262032</v>
      </c>
      <c r="AL2447" t="s">
        <v>117</v>
      </c>
      <c r="AM2447" t="s">
        <v>118</v>
      </c>
      <c r="AN2447">
        <v>6160</v>
      </c>
      <c r="AO2447">
        <v>0.14000000000000001</v>
      </c>
      <c r="AR2447">
        <v>1</v>
      </c>
      <c r="AS2447" s="1">
        <v>17970</v>
      </c>
      <c r="AT2447" s="1">
        <v>3590</v>
      </c>
      <c r="AU2447" s="1">
        <v>14380</v>
      </c>
      <c r="AV2447">
        <v>80.02</v>
      </c>
      <c r="AX2447" s="1">
        <v>1298.5</v>
      </c>
      <c r="AY2447" t="s">
        <v>5108</v>
      </c>
      <c r="AZ2447" t="s">
        <v>5108</v>
      </c>
      <c r="BA2447" t="s">
        <v>5109</v>
      </c>
      <c r="BB2447" s="3">
        <v>43180</v>
      </c>
      <c r="BC2447" s="1">
        <v>0</v>
      </c>
      <c r="BD2447" t="s">
        <v>247</v>
      </c>
      <c r="BE2447" s="3">
        <v>41835</v>
      </c>
      <c r="BF2447" s="1">
        <v>190000</v>
      </c>
      <c r="BG2447" t="s">
        <v>16348</v>
      </c>
      <c r="BH2447" s="1">
        <v>85.01</v>
      </c>
      <c r="BI2447" s="1">
        <v>250000</v>
      </c>
      <c r="BJ2447" s="3">
        <v>43229</v>
      </c>
      <c r="BK2447" t="s">
        <v>123</v>
      </c>
      <c r="BL2447" t="str">
        <f>"2018.353435"</f>
        <v>2018.353435</v>
      </c>
      <c r="BM2447" t="s">
        <v>9239</v>
      </c>
      <c r="BN2447" t="s">
        <v>3921</v>
      </c>
      <c r="BO2447" t="s">
        <v>16349</v>
      </c>
      <c r="BP2447" t="s">
        <v>16350</v>
      </c>
      <c r="BR2447" t="s">
        <v>139</v>
      </c>
      <c r="BW2447" t="str">
        <f>""</f>
        <v/>
      </c>
      <c r="CH2447" t="str">
        <f>""</f>
        <v/>
      </c>
      <c r="CS2447" t="str">
        <f>""</f>
        <v/>
      </c>
    </row>
    <row r="2448" spans="1:97" x14ac:dyDescent="0.25">
      <c r="A2448" t="s">
        <v>984</v>
      </c>
      <c r="B2448" t="s">
        <v>1627</v>
      </c>
      <c r="C2448" t="s">
        <v>220</v>
      </c>
      <c r="D2448" t="s">
        <v>16351</v>
      </c>
      <c r="E2448" t="s">
        <v>16352</v>
      </c>
      <c r="F2448" t="s">
        <v>108</v>
      </c>
      <c r="H2448" t="s">
        <v>16353</v>
      </c>
      <c r="I2448" t="s">
        <v>453</v>
      </c>
      <c r="J2448" t="s">
        <v>111</v>
      </c>
      <c r="K2448" t="str">
        <f>"85381"</f>
        <v>85381</v>
      </c>
      <c r="L2448" t="s">
        <v>9597</v>
      </c>
      <c r="M2448" t="s">
        <v>16353</v>
      </c>
      <c r="N2448" t="s">
        <v>453</v>
      </c>
      <c r="O2448" t="s">
        <v>111</v>
      </c>
      <c r="P2448" t="str">
        <f>"85381-5220"</f>
        <v>85381-5220</v>
      </c>
      <c r="Q2448" t="s">
        <v>113</v>
      </c>
      <c r="R2448" t="str">
        <f>"200-97-342"</f>
        <v>200-97-342</v>
      </c>
      <c r="S2448" t="s">
        <v>9723</v>
      </c>
      <c r="T2448" t="s">
        <v>9724</v>
      </c>
      <c r="U2448">
        <v>2387</v>
      </c>
      <c r="V2448">
        <v>0</v>
      </c>
      <c r="W2448">
        <v>4</v>
      </c>
      <c r="X2448">
        <v>2014</v>
      </c>
      <c r="Z2448">
        <v>2</v>
      </c>
      <c r="AA2448" t="s">
        <v>26</v>
      </c>
      <c r="AB2448">
        <v>0</v>
      </c>
      <c r="AC2448" t="s">
        <v>115</v>
      </c>
      <c r="AD2448">
        <v>2</v>
      </c>
      <c r="AE2448" t="s">
        <v>115</v>
      </c>
      <c r="AF2448">
        <v>0</v>
      </c>
      <c r="AG2448">
        <v>0</v>
      </c>
      <c r="AH2448" t="s">
        <v>116</v>
      </c>
      <c r="AI2448" s="1">
        <v>46812</v>
      </c>
      <c r="AJ2448" s="2">
        <v>0.14000000000000001</v>
      </c>
      <c r="AK2448" s="1">
        <v>343566</v>
      </c>
      <c r="AL2448" t="s">
        <v>117</v>
      </c>
      <c r="AM2448" t="s">
        <v>118</v>
      </c>
      <c r="AN2448">
        <v>4260</v>
      </c>
      <c r="AO2448">
        <v>0.98</v>
      </c>
      <c r="AR2448">
        <v>1</v>
      </c>
      <c r="AS2448" s="1">
        <v>25660</v>
      </c>
      <c r="AT2448" s="1">
        <v>5130</v>
      </c>
      <c r="AU2448" s="1">
        <v>20530</v>
      </c>
      <c r="AV2448">
        <v>80.010000000000005</v>
      </c>
      <c r="AX2448" s="1">
        <v>2168.38</v>
      </c>
      <c r="AY2448" t="s">
        <v>5629</v>
      </c>
      <c r="AZ2448" t="s">
        <v>5629</v>
      </c>
      <c r="BA2448" t="s">
        <v>4007</v>
      </c>
      <c r="BE2448" s="3">
        <v>41963</v>
      </c>
      <c r="BF2448" s="1">
        <v>270667</v>
      </c>
      <c r="BG2448" t="s">
        <v>9725</v>
      </c>
      <c r="BH2448" s="1">
        <v>113.39</v>
      </c>
      <c r="BI2448" s="1">
        <v>270667</v>
      </c>
      <c r="BJ2448" s="3">
        <v>41963</v>
      </c>
      <c r="BK2448" t="s">
        <v>123</v>
      </c>
      <c r="BL2448" t="str">
        <f>"2014.768860"</f>
        <v>2014.768860</v>
      </c>
      <c r="BM2448" t="s">
        <v>131</v>
      </c>
      <c r="BO2448" t="s">
        <v>16354</v>
      </c>
      <c r="BP2448" t="s">
        <v>16355</v>
      </c>
      <c r="BS2448">
        <v>30</v>
      </c>
      <c r="BT2448" s="1">
        <v>26087</v>
      </c>
      <c r="BU2448" s="3">
        <v>42102</v>
      </c>
      <c r="BV2448" t="s">
        <v>134</v>
      </c>
      <c r="BW2448" t="str">
        <f>"2015.239866"</f>
        <v>2015.239866</v>
      </c>
      <c r="BX2448" t="s">
        <v>198</v>
      </c>
      <c r="BZ2448" t="s">
        <v>16356</v>
      </c>
      <c r="CA2448" t="s">
        <v>16355</v>
      </c>
      <c r="CD2448">
        <v>15</v>
      </c>
      <c r="CH2448" t="str">
        <f>""</f>
        <v/>
      </c>
      <c r="CS2448" t="str">
        <f>""</f>
        <v/>
      </c>
    </row>
    <row r="2449" spans="1:97" x14ac:dyDescent="0.25">
      <c r="B2449" t="s">
        <v>16357</v>
      </c>
      <c r="E2449" t="s">
        <v>16358</v>
      </c>
      <c r="F2449" t="s">
        <v>108</v>
      </c>
      <c r="H2449" t="s">
        <v>16359</v>
      </c>
      <c r="I2449" t="s">
        <v>225</v>
      </c>
      <c r="J2449" t="s">
        <v>111</v>
      </c>
      <c r="K2449" t="str">
        <f>"85201"</f>
        <v>85201</v>
      </c>
      <c r="L2449" t="s">
        <v>12529</v>
      </c>
      <c r="M2449" t="s">
        <v>16359</v>
      </c>
      <c r="N2449" t="s">
        <v>225</v>
      </c>
      <c r="O2449" t="s">
        <v>111</v>
      </c>
      <c r="P2449" t="str">
        <f>"85201-4715"</f>
        <v>85201-4715</v>
      </c>
      <c r="Q2449" t="s">
        <v>113</v>
      </c>
      <c r="R2449" t="str">
        <f>"135-29-107-A"</f>
        <v>135-29-107-A</v>
      </c>
      <c r="S2449" t="s">
        <v>16360</v>
      </c>
      <c r="T2449" t="s">
        <v>16360</v>
      </c>
      <c r="U2449">
        <v>1718</v>
      </c>
      <c r="V2449">
        <v>0</v>
      </c>
      <c r="W2449">
        <v>2</v>
      </c>
      <c r="X2449">
        <v>1971</v>
      </c>
      <c r="Z2449">
        <v>1</v>
      </c>
      <c r="AA2449" t="s">
        <v>26</v>
      </c>
      <c r="AB2449">
        <v>0</v>
      </c>
      <c r="AC2449" t="s">
        <v>5188</v>
      </c>
      <c r="AD2449">
        <v>2</v>
      </c>
      <c r="AE2449" t="s">
        <v>5188</v>
      </c>
      <c r="AF2449">
        <v>0</v>
      </c>
      <c r="AG2449">
        <v>0</v>
      </c>
      <c r="AH2449" t="s">
        <v>116</v>
      </c>
      <c r="AI2449" s="1">
        <v>55665</v>
      </c>
      <c r="AJ2449" s="2">
        <v>0.19</v>
      </c>
      <c r="AK2449" s="1">
        <v>293674</v>
      </c>
      <c r="AL2449" t="s">
        <v>117</v>
      </c>
      <c r="AM2449" t="s">
        <v>191</v>
      </c>
      <c r="AN2449">
        <v>8890</v>
      </c>
      <c r="AO2449">
        <v>0.2</v>
      </c>
      <c r="AP2449">
        <v>1</v>
      </c>
      <c r="AR2449">
        <v>1</v>
      </c>
      <c r="AS2449" s="1">
        <v>18760</v>
      </c>
      <c r="AT2449" s="1">
        <v>3750</v>
      </c>
      <c r="AU2449" s="1">
        <v>15010</v>
      </c>
      <c r="AV2449">
        <v>80.010000000000005</v>
      </c>
      <c r="AX2449" s="1">
        <v>1176.3599999999999</v>
      </c>
      <c r="AY2449" t="s">
        <v>14011</v>
      </c>
      <c r="AZ2449" t="s">
        <v>7850</v>
      </c>
      <c r="BA2449" t="s">
        <v>5191</v>
      </c>
      <c r="BB2449" s="3">
        <v>43320</v>
      </c>
      <c r="BC2449" s="1">
        <v>0</v>
      </c>
      <c r="BD2449" t="s">
        <v>247</v>
      </c>
      <c r="BE2449" s="3">
        <v>42122</v>
      </c>
      <c r="BF2449" s="1">
        <v>233000</v>
      </c>
      <c r="BG2449" t="s">
        <v>16361</v>
      </c>
      <c r="BH2449" s="1">
        <v>135.62</v>
      </c>
      <c r="BI2449" s="1">
        <v>238009</v>
      </c>
      <c r="BJ2449" s="3">
        <v>42122</v>
      </c>
      <c r="BK2449" t="s">
        <v>123</v>
      </c>
      <c r="BL2449" t="str">
        <f>"2015.294061"</f>
        <v>2015.294061</v>
      </c>
      <c r="BM2449" t="s">
        <v>1185</v>
      </c>
      <c r="BN2449" t="s">
        <v>6728</v>
      </c>
      <c r="BO2449" t="s">
        <v>16362</v>
      </c>
      <c r="BS2449">
        <v>30</v>
      </c>
      <c r="BW2449" t="str">
        <f>""</f>
        <v/>
      </c>
      <c r="CH2449" t="str">
        <f>""</f>
        <v/>
      </c>
      <c r="CS2449" t="str">
        <f>""</f>
        <v/>
      </c>
    </row>
    <row r="2450" spans="1:97" x14ac:dyDescent="0.25">
      <c r="A2450" t="s">
        <v>177</v>
      </c>
      <c r="B2450" t="s">
        <v>16363</v>
      </c>
      <c r="E2450" t="s">
        <v>16364</v>
      </c>
      <c r="F2450" t="s">
        <v>108</v>
      </c>
      <c r="H2450" t="s">
        <v>16365</v>
      </c>
      <c r="I2450" t="s">
        <v>5863</v>
      </c>
      <c r="J2450" t="s">
        <v>111</v>
      </c>
      <c r="K2450" t="str">
        <f>"85375"</f>
        <v>85375</v>
      </c>
      <c r="L2450" t="s">
        <v>5138</v>
      </c>
      <c r="M2450" t="s">
        <v>16365</v>
      </c>
      <c r="N2450" t="s">
        <v>5863</v>
      </c>
      <c r="O2450" t="s">
        <v>111</v>
      </c>
      <c r="P2450" t="str">
        <f>"85375-3260"</f>
        <v>85375-3260</v>
      </c>
      <c r="Q2450" t="s">
        <v>113</v>
      </c>
      <c r="R2450" t="str">
        <f>"232-10-093"</f>
        <v>232-10-093</v>
      </c>
      <c r="S2450" t="s">
        <v>7267</v>
      </c>
      <c r="U2450">
        <v>1465</v>
      </c>
      <c r="V2450">
        <v>0</v>
      </c>
      <c r="W2450">
        <v>2</v>
      </c>
      <c r="X2450">
        <v>1983</v>
      </c>
      <c r="Z2450">
        <v>1</v>
      </c>
      <c r="AB2450">
        <v>0</v>
      </c>
      <c r="AC2450" t="s">
        <v>115</v>
      </c>
      <c r="AD2450">
        <v>3</v>
      </c>
      <c r="AE2450" t="s">
        <v>115</v>
      </c>
      <c r="AF2450">
        <v>0</v>
      </c>
      <c r="AG2450">
        <v>0</v>
      </c>
      <c r="AH2450" t="s">
        <v>116</v>
      </c>
      <c r="AI2450" s="1">
        <v>27358</v>
      </c>
      <c r="AJ2450" s="2">
        <v>0.12</v>
      </c>
      <c r="AK2450" s="1">
        <v>234668</v>
      </c>
      <c r="AL2450" t="s">
        <v>117</v>
      </c>
      <c r="AM2450" t="s">
        <v>393</v>
      </c>
      <c r="AN2450">
        <v>8614</v>
      </c>
      <c r="AO2450">
        <v>0.2</v>
      </c>
      <c r="AP2450">
        <v>1</v>
      </c>
      <c r="AR2450">
        <v>1</v>
      </c>
      <c r="AS2450" s="1">
        <v>14900</v>
      </c>
      <c r="AT2450" s="1">
        <v>2980</v>
      </c>
      <c r="AU2450" s="1">
        <v>11920</v>
      </c>
      <c r="AV2450">
        <v>80</v>
      </c>
      <c r="AX2450" s="1">
        <v>1020.98</v>
      </c>
      <c r="AY2450" t="s">
        <v>320</v>
      </c>
      <c r="AZ2450" t="s">
        <v>320</v>
      </c>
      <c r="BA2450" t="s">
        <v>321</v>
      </c>
      <c r="BE2450" s="3">
        <v>42061</v>
      </c>
      <c r="BF2450" s="1">
        <v>172500</v>
      </c>
      <c r="BG2450" t="s">
        <v>16366</v>
      </c>
      <c r="BH2450" s="1">
        <v>117.75</v>
      </c>
      <c r="BI2450" s="1">
        <v>207310</v>
      </c>
      <c r="BJ2450" s="3">
        <v>43605</v>
      </c>
      <c r="BK2450" t="s">
        <v>123</v>
      </c>
      <c r="BL2450" t="str">
        <f>"2019.365882"</f>
        <v>2019.365882</v>
      </c>
      <c r="BM2450" t="s">
        <v>4672</v>
      </c>
      <c r="BN2450" t="s">
        <v>16367</v>
      </c>
      <c r="BO2450" t="s">
        <v>16368</v>
      </c>
      <c r="BR2450" t="s">
        <v>139</v>
      </c>
      <c r="BW2450" t="str">
        <f>""</f>
        <v/>
      </c>
      <c r="CH2450" t="str">
        <f>""</f>
        <v/>
      </c>
      <c r="CS2450" t="str">
        <f>""</f>
        <v/>
      </c>
    </row>
    <row r="2451" spans="1:97" x14ac:dyDescent="0.25">
      <c r="A2451" t="s">
        <v>16151</v>
      </c>
      <c r="B2451" t="s">
        <v>16369</v>
      </c>
      <c r="C2451" t="s">
        <v>16370</v>
      </c>
      <c r="D2451" t="s">
        <v>8182</v>
      </c>
      <c r="E2451" t="s">
        <v>16371</v>
      </c>
      <c r="F2451" t="s">
        <v>108</v>
      </c>
      <c r="H2451" t="s">
        <v>16372</v>
      </c>
      <c r="I2451" t="s">
        <v>374</v>
      </c>
      <c r="J2451" t="s">
        <v>111</v>
      </c>
      <c r="K2451" t="str">
        <f>"85087"</f>
        <v>85087</v>
      </c>
      <c r="L2451" t="s">
        <v>375</v>
      </c>
      <c r="M2451" t="s">
        <v>16372</v>
      </c>
      <c r="N2451" t="s">
        <v>374</v>
      </c>
      <c r="O2451" t="s">
        <v>111</v>
      </c>
      <c r="P2451" t="str">
        <f>"85087-5910"</f>
        <v>85087-5910</v>
      </c>
      <c r="Q2451" t="s">
        <v>113</v>
      </c>
      <c r="R2451" t="str">
        <f>"202-30-142"</f>
        <v>202-30-142</v>
      </c>
      <c r="S2451" t="s">
        <v>7317</v>
      </c>
      <c r="T2451" t="s">
        <v>7096</v>
      </c>
      <c r="U2451">
        <v>1790</v>
      </c>
      <c r="V2451">
        <v>0</v>
      </c>
      <c r="W2451">
        <v>3</v>
      </c>
      <c r="X2451">
        <v>2006</v>
      </c>
      <c r="Z2451">
        <v>1</v>
      </c>
      <c r="AA2451" t="s">
        <v>26</v>
      </c>
      <c r="AB2451">
        <v>0</v>
      </c>
      <c r="AC2451" t="s">
        <v>115</v>
      </c>
      <c r="AD2451">
        <v>2</v>
      </c>
      <c r="AE2451" t="s">
        <v>115</v>
      </c>
      <c r="AF2451">
        <v>0</v>
      </c>
      <c r="AG2451">
        <v>0</v>
      </c>
      <c r="AH2451" t="s">
        <v>116</v>
      </c>
      <c r="AI2451" s="1">
        <v>74207</v>
      </c>
      <c r="AJ2451" s="2">
        <v>0.24</v>
      </c>
      <c r="AK2451" s="1">
        <v>304044</v>
      </c>
      <c r="AL2451" t="s">
        <v>117</v>
      </c>
      <c r="AM2451" t="s">
        <v>191</v>
      </c>
      <c r="AN2451">
        <v>5005</v>
      </c>
      <c r="AO2451">
        <v>0.12</v>
      </c>
      <c r="AR2451">
        <v>1</v>
      </c>
      <c r="AS2451" s="1">
        <v>21560</v>
      </c>
      <c r="AT2451" s="1">
        <v>4310</v>
      </c>
      <c r="AU2451" s="1">
        <v>17250</v>
      </c>
      <c r="AV2451">
        <v>80.010000000000005</v>
      </c>
      <c r="AX2451" s="1">
        <v>1905.8</v>
      </c>
      <c r="AY2451" t="s">
        <v>5380</v>
      </c>
      <c r="AZ2451" t="s">
        <v>5380</v>
      </c>
      <c r="BA2451" t="s">
        <v>378</v>
      </c>
      <c r="BE2451" s="3">
        <v>42125</v>
      </c>
      <c r="BF2451" s="1">
        <v>225000</v>
      </c>
      <c r="BG2451" t="s">
        <v>16373</v>
      </c>
      <c r="BH2451" s="1">
        <v>125.7</v>
      </c>
      <c r="BI2451" s="1">
        <v>229837</v>
      </c>
      <c r="BJ2451" s="3">
        <v>42125</v>
      </c>
      <c r="BK2451" t="s">
        <v>123</v>
      </c>
      <c r="BL2451" t="str">
        <f>"2015.310236"</f>
        <v>2015.310236</v>
      </c>
      <c r="BM2451" t="s">
        <v>10036</v>
      </c>
      <c r="BO2451" t="s">
        <v>16374</v>
      </c>
      <c r="BP2451" t="s">
        <v>16375</v>
      </c>
      <c r="BS2451">
        <v>30</v>
      </c>
      <c r="BW2451" t="str">
        <f>""</f>
        <v/>
      </c>
      <c r="CH2451" t="str">
        <f>""</f>
        <v/>
      </c>
      <c r="CS2451" t="str">
        <f>""</f>
        <v/>
      </c>
    </row>
    <row r="2452" spans="1:97" x14ac:dyDescent="0.25">
      <c r="A2452" t="s">
        <v>140</v>
      </c>
      <c r="B2452" t="s">
        <v>16376</v>
      </c>
      <c r="C2452" t="s">
        <v>16377</v>
      </c>
      <c r="D2452" t="s">
        <v>10644</v>
      </c>
      <c r="E2452" t="s">
        <v>16378</v>
      </c>
      <c r="F2452" t="s">
        <v>108</v>
      </c>
      <c r="H2452" t="s">
        <v>16379</v>
      </c>
      <c r="I2452" t="s">
        <v>5114</v>
      </c>
      <c r="J2452" t="s">
        <v>111</v>
      </c>
      <c r="K2452" t="str">
        <f>"85392"</f>
        <v>85392</v>
      </c>
      <c r="L2452" t="s">
        <v>226</v>
      </c>
      <c r="M2452" t="s">
        <v>16379</v>
      </c>
      <c r="N2452" t="s">
        <v>5114</v>
      </c>
      <c r="O2452" t="s">
        <v>111</v>
      </c>
      <c r="P2452" t="str">
        <f>"85392-4461"</f>
        <v>85392-4461</v>
      </c>
      <c r="Q2452" t="s">
        <v>113</v>
      </c>
      <c r="R2452" t="str">
        <f>"102-27-413"</f>
        <v>102-27-413</v>
      </c>
      <c r="S2452" t="s">
        <v>16380</v>
      </c>
      <c r="T2452" t="s">
        <v>16381</v>
      </c>
      <c r="U2452">
        <v>1949</v>
      </c>
      <c r="V2452">
        <v>0</v>
      </c>
      <c r="W2452">
        <v>3</v>
      </c>
      <c r="X2452">
        <v>1998</v>
      </c>
      <c r="Z2452">
        <v>2</v>
      </c>
      <c r="AB2452">
        <v>0</v>
      </c>
      <c r="AC2452" t="s">
        <v>115</v>
      </c>
      <c r="AD2452">
        <v>2</v>
      </c>
      <c r="AE2452" t="s">
        <v>115</v>
      </c>
      <c r="AF2452">
        <v>0</v>
      </c>
      <c r="AG2452">
        <v>0</v>
      </c>
      <c r="AH2452" t="s">
        <v>116</v>
      </c>
      <c r="AI2452" s="1">
        <v>42418</v>
      </c>
      <c r="AJ2452" s="2">
        <v>0.17</v>
      </c>
      <c r="AK2452" s="1">
        <v>245919</v>
      </c>
      <c r="AL2452" t="s">
        <v>117</v>
      </c>
      <c r="AM2452" t="s">
        <v>118</v>
      </c>
      <c r="AN2452">
        <v>6312</v>
      </c>
      <c r="AO2452">
        <v>0.14000000000000001</v>
      </c>
      <c r="AP2452">
        <v>1</v>
      </c>
      <c r="AR2452">
        <v>1</v>
      </c>
      <c r="AS2452" s="1">
        <v>16280</v>
      </c>
      <c r="AT2452" s="1">
        <v>3250</v>
      </c>
      <c r="AU2452" s="1">
        <v>13030</v>
      </c>
      <c r="AV2452">
        <v>80.040000000000006</v>
      </c>
      <c r="AX2452" s="1">
        <v>1485.92</v>
      </c>
      <c r="AY2452" t="s">
        <v>8787</v>
      </c>
      <c r="AZ2452" t="s">
        <v>8787</v>
      </c>
      <c r="BA2452" t="s">
        <v>5118</v>
      </c>
      <c r="BB2452" s="3">
        <v>42592</v>
      </c>
      <c r="BD2452" t="s">
        <v>240</v>
      </c>
      <c r="BE2452" s="3">
        <v>41737</v>
      </c>
      <c r="BF2452" s="1">
        <v>166000</v>
      </c>
      <c r="BG2452" t="s">
        <v>16382</v>
      </c>
      <c r="BH2452" s="1">
        <v>85.17</v>
      </c>
      <c r="BI2452" s="1">
        <v>203501</v>
      </c>
      <c r="BJ2452" s="3">
        <v>42592</v>
      </c>
      <c r="BK2452" t="s">
        <v>123</v>
      </c>
      <c r="BL2452" t="str">
        <f>"2016.568441"</f>
        <v>2016.568441</v>
      </c>
      <c r="BM2452" t="s">
        <v>7181</v>
      </c>
      <c r="BO2452" t="s">
        <v>16383</v>
      </c>
      <c r="BP2452" t="s">
        <v>16384</v>
      </c>
      <c r="BS2452">
        <v>30</v>
      </c>
      <c r="BW2452" t="str">
        <f>""</f>
        <v/>
      </c>
      <c r="CH2452" t="str">
        <f>""</f>
        <v/>
      </c>
      <c r="CS2452" t="str">
        <f>""</f>
        <v/>
      </c>
    </row>
    <row r="2453" spans="1:97" x14ac:dyDescent="0.25">
      <c r="A2453" t="s">
        <v>701</v>
      </c>
      <c r="B2453" t="s">
        <v>371</v>
      </c>
      <c r="C2453" t="s">
        <v>2852</v>
      </c>
      <c r="D2453" t="s">
        <v>371</v>
      </c>
      <c r="E2453" t="s">
        <v>16385</v>
      </c>
      <c r="F2453" t="s">
        <v>108</v>
      </c>
      <c r="H2453" t="s">
        <v>16386</v>
      </c>
      <c r="I2453" t="s">
        <v>453</v>
      </c>
      <c r="J2453" t="s">
        <v>111</v>
      </c>
      <c r="K2453" t="str">
        <f>"85345"</f>
        <v>85345</v>
      </c>
      <c r="L2453" t="s">
        <v>226</v>
      </c>
      <c r="M2453" t="s">
        <v>16386</v>
      </c>
      <c r="N2453" t="s">
        <v>453</v>
      </c>
      <c r="O2453" t="s">
        <v>111</v>
      </c>
      <c r="P2453" t="str">
        <f>"85345-8160"</f>
        <v>85345-8160</v>
      </c>
      <c r="Q2453" t="s">
        <v>113</v>
      </c>
      <c r="R2453" t="str">
        <f>"142-45-476"</f>
        <v>142-45-476</v>
      </c>
      <c r="S2453" t="s">
        <v>16387</v>
      </c>
      <c r="T2453" t="s">
        <v>16387</v>
      </c>
      <c r="U2453">
        <v>2446</v>
      </c>
      <c r="V2453">
        <v>0</v>
      </c>
      <c r="W2453">
        <v>4</v>
      </c>
      <c r="X2453">
        <v>1996</v>
      </c>
      <c r="Z2453">
        <v>2</v>
      </c>
      <c r="AA2453" t="s">
        <v>26</v>
      </c>
      <c r="AB2453">
        <v>0</v>
      </c>
      <c r="AC2453" t="s">
        <v>115</v>
      </c>
      <c r="AD2453">
        <v>3</v>
      </c>
      <c r="AE2453" t="s">
        <v>115</v>
      </c>
      <c r="AF2453">
        <v>0</v>
      </c>
      <c r="AG2453">
        <v>0</v>
      </c>
      <c r="AH2453" t="s">
        <v>116</v>
      </c>
      <c r="AI2453" s="1">
        <v>42798</v>
      </c>
      <c r="AJ2453" s="2">
        <v>0.13</v>
      </c>
      <c r="AK2453" s="1">
        <v>322590</v>
      </c>
      <c r="AL2453" t="s">
        <v>117</v>
      </c>
      <c r="AM2453" t="s">
        <v>191</v>
      </c>
      <c r="AN2453">
        <v>8015</v>
      </c>
      <c r="AO2453">
        <v>0.18</v>
      </c>
      <c r="AP2453">
        <v>1</v>
      </c>
      <c r="AR2453">
        <v>1</v>
      </c>
      <c r="AS2453" s="1">
        <v>22170</v>
      </c>
      <c r="AT2453" s="1">
        <v>4430</v>
      </c>
      <c r="AU2453" s="1">
        <v>17740</v>
      </c>
      <c r="AV2453">
        <v>80.02</v>
      </c>
      <c r="AX2453" s="1">
        <v>1965.3</v>
      </c>
      <c r="AY2453" t="s">
        <v>4006</v>
      </c>
      <c r="AZ2453" t="s">
        <v>4006</v>
      </c>
      <c r="BA2453" t="s">
        <v>4007</v>
      </c>
      <c r="BB2453" s="3">
        <v>42538</v>
      </c>
      <c r="BD2453" t="s">
        <v>458</v>
      </c>
      <c r="BE2453" s="3">
        <v>41844</v>
      </c>
      <c r="BF2453" s="1">
        <v>270000</v>
      </c>
      <c r="BG2453" t="s">
        <v>16388</v>
      </c>
      <c r="BH2453" s="1">
        <v>110.38</v>
      </c>
      <c r="BI2453" s="1">
        <v>279792</v>
      </c>
      <c r="BJ2453" s="3">
        <v>42538</v>
      </c>
      <c r="BK2453" t="s">
        <v>123</v>
      </c>
      <c r="BL2453" t="str">
        <f>"2016.424855"</f>
        <v>2016.424855</v>
      </c>
      <c r="BM2453" t="s">
        <v>673</v>
      </c>
      <c r="BO2453" t="s">
        <v>16389</v>
      </c>
      <c r="BS2453">
        <v>30</v>
      </c>
      <c r="BW2453" t="str">
        <f>""</f>
        <v/>
      </c>
      <c r="CH2453" t="str">
        <f>""</f>
        <v/>
      </c>
      <c r="CS2453" t="str">
        <f>""</f>
        <v/>
      </c>
    </row>
    <row r="2454" spans="1:97" x14ac:dyDescent="0.25">
      <c r="A2454" t="s">
        <v>1755</v>
      </c>
      <c r="B2454" t="s">
        <v>16390</v>
      </c>
      <c r="C2454" t="s">
        <v>12680</v>
      </c>
      <c r="D2454" t="s">
        <v>16390</v>
      </c>
      <c r="E2454" t="s">
        <v>16391</v>
      </c>
      <c r="F2454" t="s">
        <v>108</v>
      </c>
      <c r="H2454" t="s">
        <v>16392</v>
      </c>
      <c r="I2454" t="s">
        <v>390</v>
      </c>
      <c r="J2454" t="s">
        <v>111</v>
      </c>
      <c r="K2454" t="str">
        <f>"85008"</f>
        <v>85008</v>
      </c>
      <c r="L2454" t="s">
        <v>10491</v>
      </c>
      <c r="M2454" t="s">
        <v>16392</v>
      </c>
      <c r="N2454" t="s">
        <v>390</v>
      </c>
      <c r="O2454" t="s">
        <v>111</v>
      </c>
      <c r="P2454" t="str">
        <f>"85008-4106"</f>
        <v>85008-4106</v>
      </c>
      <c r="Q2454" t="s">
        <v>113</v>
      </c>
      <c r="R2454" t="str">
        <f>"126-09-029"</f>
        <v>126-09-029</v>
      </c>
      <c r="S2454" t="s">
        <v>16393</v>
      </c>
      <c r="T2454" t="s">
        <v>16393</v>
      </c>
      <c r="U2454">
        <v>1529</v>
      </c>
      <c r="V2454">
        <v>0</v>
      </c>
      <c r="W2454">
        <v>2</v>
      </c>
      <c r="X2454">
        <v>1955</v>
      </c>
      <c r="Z2454">
        <v>1</v>
      </c>
      <c r="AB2454">
        <v>0</v>
      </c>
      <c r="AC2454" t="s">
        <v>5188</v>
      </c>
      <c r="AD2454">
        <v>1</v>
      </c>
      <c r="AE2454" t="s">
        <v>5188</v>
      </c>
      <c r="AF2454">
        <v>0</v>
      </c>
      <c r="AG2454">
        <v>0</v>
      </c>
      <c r="AH2454" t="s">
        <v>5467</v>
      </c>
      <c r="AI2454" s="1">
        <v>60798</v>
      </c>
      <c r="AJ2454" s="2">
        <v>0.21</v>
      </c>
      <c r="AK2454" s="1">
        <v>290798</v>
      </c>
      <c r="AL2454" t="s">
        <v>117</v>
      </c>
      <c r="AM2454" t="s">
        <v>191</v>
      </c>
      <c r="AN2454">
        <v>6743</v>
      </c>
      <c r="AO2454">
        <v>0.16</v>
      </c>
      <c r="AP2454">
        <v>1</v>
      </c>
      <c r="AR2454">
        <v>1</v>
      </c>
      <c r="AS2454" s="1">
        <v>19010</v>
      </c>
      <c r="AT2454" s="1">
        <v>3800</v>
      </c>
      <c r="AU2454" s="1">
        <v>15210</v>
      </c>
      <c r="AV2454">
        <v>80.010000000000005</v>
      </c>
      <c r="AX2454" s="1">
        <v>1193.08</v>
      </c>
      <c r="AY2454" t="s">
        <v>16394</v>
      </c>
      <c r="AZ2454" t="s">
        <v>16394</v>
      </c>
      <c r="BA2454" t="s">
        <v>6255</v>
      </c>
      <c r="BE2454" s="3">
        <v>41932</v>
      </c>
      <c r="BF2454" s="1">
        <v>180000</v>
      </c>
      <c r="BG2454" t="s">
        <v>16395</v>
      </c>
      <c r="BH2454" s="1">
        <v>117.72</v>
      </c>
      <c r="BI2454" s="1">
        <v>230000</v>
      </c>
      <c r="BJ2454" s="3">
        <v>42944</v>
      </c>
      <c r="BK2454" t="s">
        <v>123</v>
      </c>
      <c r="BL2454" t="str">
        <f>"2017.552386"</f>
        <v>2017.552386</v>
      </c>
      <c r="BM2454" t="s">
        <v>4094</v>
      </c>
      <c r="BN2454">
        <v>92626</v>
      </c>
      <c r="BO2454" t="s">
        <v>16396</v>
      </c>
      <c r="BS2454">
        <v>30</v>
      </c>
      <c r="BW2454" t="str">
        <f>""</f>
        <v/>
      </c>
      <c r="CH2454" t="str">
        <f>""</f>
        <v/>
      </c>
      <c r="CS2454" t="str">
        <f>""</f>
        <v/>
      </c>
    </row>
    <row r="2455" spans="1:97" x14ac:dyDescent="0.25">
      <c r="A2455" t="s">
        <v>11127</v>
      </c>
      <c r="B2455" t="s">
        <v>212</v>
      </c>
      <c r="C2455" t="s">
        <v>11127</v>
      </c>
      <c r="E2455" t="s">
        <v>16397</v>
      </c>
      <c r="F2455" t="s">
        <v>108</v>
      </c>
      <c r="H2455" t="s">
        <v>16398</v>
      </c>
      <c r="I2455" t="s">
        <v>1788</v>
      </c>
      <c r="J2455" t="s">
        <v>111</v>
      </c>
      <c r="K2455" t="str">
        <f>"85355"</f>
        <v>85355</v>
      </c>
      <c r="L2455" t="s">
        <v>168</v>
      </c>
      <c r="M2455" t="s">
        <v>16398</v>
      </c>
      <c r="N2455" t="s">
        <v>1788</v>
      </c>
      <c r="O2455" t="s">
        <v>111</v>
      </c>
      <c r="P2455" t="str">
        <f>"85355-4405"</f>
        <v>85355-4405</v>
      </c>
      <c r="Q2455" t="s">
        <v>113</v>
      </c>
      <c r="R2455" t="str">
        <f>"502-90-135"</f>
        <v>502-90-135</v>
      </c>
      <c r="S2455" t="s">
        <v>8290</v>
      </c>
      <c r="U2455">
        <v>2379</v>
      </c>
      <c r="V2455">
        <v>0</v>
      </c>
      <c r="W2455">
        <v>4</v>
      </c>
      <c r="X2455">
        <v>2006</v>
      </c>
      <c r="Z2455">
        <v>2</v>
      </c>
      <c r="AB2455">
        <v>0</v>
      </c>
      <c r="AC2455" t="s">
        <v>115</v>
      </c>
      <c r="AD2455">
        <v>2</v>
      </c>
      <c r="AE2455" t="s">
        <v>115</v>
      </c>
      <c r="AF2455">
        <v>0</v>
      </c>
      <c r="AG2455">
        <v>0</v>
      </c>
      <c r="AH2455" t="s">
        <v>116</v>
      </c>
      <c r="AI2455" s="1">
        <v>52470</v>
      </c>
      <c r="AJ2455" s="2">
        <v>0.2</v>
      </c>
      <c r="AK2455" s="1">
        <v>261877</v>
      </c>
      <c r="AL2455" t="s">
        <v>117</v>
      </c>
      <c r="AM2455" t="s">
        <v>191</v>
      </c>
      <c r="AN2455">
        <v>5520</v>
      </c>
      <c r="AO2455">
        <v>0.13</v>
      </c>
      <c r="AR2455">
        <v>1</v>
      </c>
      <c r="AS2455" s="1">
        <v>18380</v>
      </c>
      <c r="AT2455" s="1">
        <v>3670</v>
      </c>
      <c r="AU2455" s="1">
        <v>14710</v>
      </c>
      <c r="AV2455">
        <v>80.03</v>
      </c>
      <c r="AX2455" s="1">
        <v>1373.7</v>
      </c>
      <c r="AY2455" t="s">
        <v>5972</v>
      </c>
      <c r="AZ2455" t="s">
        <v>5972</v>
      </c>
      <c r="BA2455" t="s">
        <v>5061</v>
      </c>
      <c r="BE2455" s="3">
        <v>42499</v>
      </c>
      <c r="BF2455" s="1">
        <v>205000</v>
      </c>
      <c r="BG2455" t="s">
        <v>16399</v>
      </c>
      <c r="BH2455" s="1">
        <v>86.17</v>
      </c>
      <c r="BI2455" s="1">
        <v>209407</v>
      </c>
      <c r="BJ2455" s="3">
        <v>42499</v>
      </c>
      <c r="BK2455" t="s">
        <v>123</v>
      </c>
      <c r="BL2455" t="str">
        <f>"2016.316797"</f>
        <v>2016.316797</v>
      </c>
      <c r="BM2455" t="s">
        <v>1287</v>
      </c>
      <c r="BO2455" t="s">
        <v>16400</v>
      </c>
      <c r="BS2455">
        <v>30</v>
      </c>
      <c r="BW2455" t="str">
        <f>""</f>
        <v/>
      </c>
      <c r="CH2455" t="str">
        <f>""</f>
        <v/>
      </c>
      <c r="CS2455" t="str">
        <f>""</f>
        <v/>
      </c>
    </row>
    <row r="2456" spans="1:97" x14ac:dyDescent="0.25">
      <c r="A2456" t="s">
        <v>962</v>
      </c>
      <c r="B2456" t="s">
        <v>16401</v>
      </c>
      <c r="C2456" t="s">
        <v>4874</v>
      </c>
      <c r="D2456" t="s">
        <v>16402</v>
      </c>
      <c r="E2456" t="s">
        <v>16403</v>
      </c>
      <c r="F2456" t="s">
        <v>108</v>
      </c>
      <c r="H2456" t="s">
        <v>16404</v>
      </c>
      <c r="I2456" t="s">
        <v>5114</v>
      </c>
      <c r="J2456" t="s">
        <v>111</v>
      </c>
      <c r="K2456" t="str">
        <f>"85323"</f>
        <v>85323</v>
      </c>
      <c r="L2456" t="s">
        <v>5456</v>
      </c>
      <c r="M2456" t="s">
        <v>16404</v>
      </c>
      <c r="N2456" t="s">
        <v>5114</v>
      </c>
      <c r="O2456" t="s">
        <v>111</v>
      </c>
      <c r="P2456" t="str">
        <f>"85323-7705"</f>
        <v>85323-7705</v>
      </c>
      <c r="Q2456" t="s">
        <v>113</v>
      </c>
      <c r="R2456" t="str">
        <f>"500-32-773"</f>
        <v>500-32-773</v>
      </c>
      <c r="S2456" t="s">
        <v>5457</v>
      </c>
      <c r="U2456">
        <v>3037</v>
      </c>
      <c r="V2456">
        <v>0</v>
      </c>
      <c r="W2456">
        <v>4</v>
      </c>
      <c r="X2456">
        <v>2013</v>
      </c>
      <c r="Z2456">
        <v>2</v>
      </c>
      <c r="AB2456">
        <v>0</v>
      </c>
      <c r="AC2456" t="s">
        <v>115</v>
      </c>
      <c r="AD2456">
        <v>2</v>
      </c>
      <c r="AE2456" t="s">
        <v>115</v>
      </c>
      <c r="AF2456">
        <v>0</v>
      </c>
      <c r="AG2456">
        <v>0</v>
      </c>
      <c r="AH2456" t="s">
        <v>116</v>
      </c>
      <c r="AI2456" s="1">
        <v>38281</v>
      </c>
      <c r="AJ2456" s="2">
        <v>0.12</v>
      </c>
      <c r="AK2456" s="1">
        <v>312143</v>
      </c>
      <c r="AL2456" t="s">
        <v>117</v>
      </c>
      <c r="AM2456" t="s">
        <v>118</v>
      </c>
      <c r="AN2456">
        <v>6900</v>
      </c>
      <c r="AO2456">
        <v>0.16</v>
      </c>
      <c r="AR2456">
        <v>1</v>
      </c>
      <c r="AS2456" s="1">
        <v>21870</v>
      </c>
      <c r="AT2456" s="1">
        <v>4370</v>
      </c>
      <c r="AU2456" s="1">
        <v>17500</v>
      </c>
      <c r="AV2456">
        <v>80.02</v>
      </c>
      <c r="AX2456" s="1">
        <v>2265.2199999999998</v>
      </c>
      <c r="AY2456" t="s">
        <v>5458</v>
      </c>
      <c r="AZ2456" t="s">
        <v>5458</v>
      </c>
      <c r="BA2456" t="s">
        <v>4254</v>
      </c>
      <c r="BE2456" s="3">
        <v>42060</v>
      </c>
      <c r="BF2456" s="1">
        <v>266990</v>
      </c>
      <c r="BG2456" t="s">
        <v>158</v>
      </c>
      <c r="BH2456" s="1">
        <v>87.91</v>
      </c>
      <c r="BI2456" s="1">
        <v>273862</v>
      </c>
      <c r="BJ2456" s="3">
        <v>42563</v>
      </c>
      <c r="BK2456" t="s">
        <v>123</v>
      </c>
      <c r="BL2456" t="str">
        <f>"2016.486561"</f>
        <v>2016.486561</v>
      </c>
      <c r="BM2456" t="s">
        <v>3004</v>
      </c>
      <c r="BO2456" t="s">
        <v>16405</v>
      </c>
      <c r="BS2456">
        <v>30</v>
      </c>
      <c r="BW2456" t="str">
        <f>""</f>
        <v/>
      </c>
      <c r="CH2456" t="str">
        <f>""</f>
        <v/>
      </c>
      <c r="CS2456" t="str">
        <f>""</f>
        <v/>
      </c>
    </row>
    <row r="2457" spans="1:97" x14ac:dyDescent="0.25">
      <c r="A2457" t="s">
        <v>1959</v>
      </c>
      <c r="B2457" t="s">
        <v>16406</v>
      </c>
      <c r="C2457" t="s">
        <v>16407</v>
      </c>
      <c r="D2457" t="s">
        <v>16406</v>
      </c>
      <c r="E2457" t="s">
        <v>16408</v>
      </c>
      <c r="F2457" t="s">
        <v>108</v>
      </c>
      <c r="H2457" t="s">
        <v>16409</v>
      </c>
      <c r="I2457" t="s">
        <v>632</v>
      </c>
      <c r="J2457" t="s">
        <v>111</v>
      </c>
      <c r="K2457" t="str">
        <f>"85379"</f>
        <v>85379</v>
      </c>
      <c r="L2457" t="s">
        <v>5058</v>
      </c>
      <c r="M2457" t="s">
        <v>16409</v>
      </c>
      <c r="N2457" t="s">
        <v>632</v>
      </c>
      <c r="O2457" t="s">
        <v>111</v>
      </c>
      <c r="P2457" t="str">
        <f>"85379-1175"</f>
        <v>85379-1175</v>
      </c>
      <c r="Q2457" t="s">
        <v>113</v>
      </c>
      <c r="R2457" t="str">
        <f>"501-79-391"</f>
        <v>501-79-391</v>
      </c>
      <c r="S2457" t="s">
        <v>5059</v>
      </c>
      <c r="U2457">
        <v>2922</v>
      </c>
      <c r="V2457">
        <v>0</v>
      </c>
      <c r="W2457">
        <v>4</v>
      </c>
      <c r="X2457">
        <v>2015</v>
      </c>
      <c r="Z2457">
        <v>2</v>
      </c>
      <c r="AA2457" t="s">
        <v>26</v>
      </c>
      <c r="AB2457">
        <v>0</v>
      </c>
      <c r="AC2457" t="s">
        <v>115</v>
      </c>
      <c r="AD2457">
        <v>3</v>
      </c>
      <c r="AE2457" t="s">
        <v>115</v>
      </c>
      <c r="AF2457">
        <v>0</v>
      </c>
      <c r="AG2457">
        <v>0</v>
      </c>
      <c r="AH2457" t="s">
        <v>116</v>
      </c>
      <c r="AI2457" s="1">
        <v>31380</v>
      </c>
      <c r="AJ2457" s="2">
        <v>0.08</v>
      </c>
      <c r="AK2457" s="1">
        <v>381754</v>
      </c>
      <c r="AL2457" t="s">
        <v>117</v>
      </c>
      <c r="AM2457" t="s">
        <v>118</v>
      </c>
      <c r="AN2457">
        <v>7772</v>
      </c>
      <c r="AO2457">
        <v>0.18</v>
      </c>
      <c r="AR2457">
        <v>1</v>
      </c>
      <c r="AS2457" s="1">
        <v>28650</v>
      </c>
      <c r="AT2457" s="1">
        <v>5730</v>
      </c>
      <c r="AU2457" s="1">
        <v>22920</v>
      </c>
      <c r="AV2457">
        <v>80</v>
      </c>
      <c r="AX2457" s="1">
        <v>2210.7600000000002</v>
      </c>
      <c r="AY2457" t="s">
        <v>5060</v>
      </c>
      <c r="AZ2457" t="s">
        <v>5060</v>
      </c>
      <c r="BA2457" t="s">
        <v>5061</v>
      </c>
      <c r="BE2457" s="3">
        <v>42229</v>
      </c>
      <c r="BF2457" s="1">
        <v>296033</v>
      </c>
      <c r="BG2457" t="s">
        <v>292</v>
      </c>
      <c r="BH2457" s="1">
        <v>101.31</v>
      </c>
      <c r="BI2457" s="1">
        <v>302397</v>
      </c>
      <c r="BJ2457" s="3">
        <v>42229</v>
      </c>
      <c r="BK2457" t="s">
        <v>123</v>
      </c>
      <c r="BL2457" t="str">
        <f>"2015.586595"</f>
        <v>2015.586595</v>
      </c>
      <c r="BM2457" t="s">
        <v>2224</v>
      </c>
      <c r="BO2457" t="s">
        <v>16410</v>
      </c>
      <c r="BP2457" t="s">
        <v>16411</v>
      </c>
      <c r="BS2457">
        <v>30</v>
      </c>
      <c r="BT2457" s="1">
        <v>47977</v>
      </c>
      <c r="BU2457" s="3">
        <v>42261</v>
      </c>
      <c r="BV2457" t="s">
        <v>134</v>
      </c>
      <c r="BW2457" t="str">
        <f>"2015.660354"</f>
        <v>2015.660354</v>
      </c>
      <c r="BX2457" t="s">
        <v>198</v>
      </c>
      <c r="BZ2457" t="s">
        <v>16410</v>
      </c>
      <c r="CA2457" t="s">
        <v>16411</v>
      </c>
      <c r="CD2457">
        <v>15</v>
      </c>
      <c r="CH2457" t="str">
        <f>""</f>
        <v/>
      </c>
      <c r="CS2457" t="str">
        <f>""</f>
        <v/>
      </c>
    </row>
    <row r="2458" spans="1:97" x14ac:dyDescent="0.25">
      <c r="A2458" t="s">
        <v>7465</v>
      </c>
      <c r="B2458" t="s">
        <v>670</v>
      </c>
      <c r="C2458" t="s">
        <v>5120</v>
      </c>
      <c r="D2458" t="s">
        <v>670</v>
      </c>
      <c r="E2458" t="s">
        <v>16412</v>
      </c>
      <c r="F2458" t="s">
        <v>108</v>
      </c>
      <c r="H2458" t="s">
        <v>16413</v>
      </c>
      <c r="I2458" t="s">
        <v>453</v>
      </c>
      <c r="J2458" t="s">
        <v>111</v>
      </c>
      <c r="K2458" t="str">
        <f>"85381"</f>
        <v>85381</v>
      </c>
      <c r="L2458" t="s">
        <v>9597</v>
      </c>
      <c r="M2458" t="s">
        <v>16413</v>
      </c>
      <c r="N2458" t="s">
        <v>453</v>
      </c>
      <c r="O2458" t="s">
        <v>111</v>
      </c>
      <c r="P2458" t="str">
        <f>"85381-4937"</f>
        <v>85381-4937</v>
      </c>
      <c r="Q2458" t="s">
        <v>113</v>
      </c>
      <c r="R2458" t="str">
        <f>"200-97-373"</f>
        <v>200-97-373</v>
      </c>
      <c r="S2458" t="s">
        <v>9723</v>
      </c>
      <c r="T2458" t="s">
        <v>9724</v>
      </c>
      <c r="U2458">
        <v>2387</v>
      </c>
      <c r="V2458">
        <v>0</v>
      </c>
      <c r="W2458">
        <v>4</v>
      </c>
      <c r="X2458">
        <v>2014</v>
      </c>
      <c r="Z2458">
        <v>2</v>
      </c>
      <c r="AB2458">
        <v>0</v>
      </c>
      <c r="AC2458" t="s">
        <v>115</v>
      </c>
      <c r="AD2458">
        <v>2</v>
      </c>
      <c r="AE2458" t="s">
        <v>115</v>
      </c>
      <c r="AF2458">
        <v>0</v>
      </c>
      <c r="AG2458">
        <v>0</v>
      </c>
      <c r="AH2458" t="s">
        <v>116</v>
      </c>
      <c r="AI2458" s="1">
        <v>44497</v>
      </c>
      <c r="AJ2458" s="2">
        <v>0.13</v>
      </c>
      <c r="AK2458" s="1">
        <v>346906</v>
      </c>
      <c r="AL2458" t="s">
        <v>117</v>
      </c>
      <c r="AM2458" t="s">
        <v>118</v>
      </c>
      <c r="AN2458">
        <v>4260</v>
      </c>
      <c r="AO2458">
        <v>0.98</v>
      </c>
      <c r="AR2458">
        <v>1</v>
      </c>
      <c r="AS2458" s="1">
        <v>25310</v>
      </c>
      <c r="AT2458" s="1">
        <v>5060</v>
      </c>
      <c r="AU2458" s="1">
        <v>20250</v>
      </c>
      <c r="AV2458">
        <v>80.010000000000005</v>
      </c>
      <c r="AX2458" s="1">
        <v>2011.46</v>
      </c>
      <c r="AY2458" t="s">
        <v>5629</v>
      </c>
      <c r="AZ2458" t="s">
        <v>5629</v>
      </c>
      <c r="BA2458" t="s">
        <v>4007</v>
      </c>
      <c r="BE2458" s="3">
        <v>42244</v>
      </c>
      <c r="BF2458" s="1">
        <v>285000</v>
      </c>
      <c r="BG2458" t="s">
        <v>16414</v>
      </c>
      <c r="BH2458" s="1">
        <v>119.4</v>
      </c>
      <c r="BI2458" s="1">
        <v>302409</v>
      </c>
      <c r="BJ2458" s="3">
        <v>42632</v>
      </c>
      <c r="BK2458" t="s">
        <v>123</v>
      </c>
      <c r="BL2458" t="str">
        <f>"2016.677260"</f>
        <v>2016.677260</v>
      </c>
      <c r="BM2458" t="s">
        <v>1695</v>
      </c>
      <c r="BO2458" t="s">
        <v>16415</v>
      </c>
      <c r="BS2458">
        <v>30</v>
      </c>
      <c r="BW2458" t="str">
        <f>""</f>
        <v/>
      </c>
      <c r="CH2458" t="str">
        <f>""</f>
        <v/>
      </c>
      <c r="CS2458" t="str">
        <f>""</f>
        <v/>
      </c>
    </row>
    <row r="2459" spans="1:97" x14ac:dyDescent="0.25">
      <c r="A2459" t="s">
        <v>12368</v>
      </c>
      <c r="B2459" t="s">
        <v>16416</v>
      </c>
      <c r="E2459" t="s">
        <v>16417</v>
      </c>
      <c r="F2459" t="s">
        <v>108</v>
      </c>
      <c r="H2459" t="s">
        <v>16418</v>
      </c>
      <c r="I2459" t="s">
        <v>390</v>
      </c>
      <c r="J2459" t="s">
        <v>111</v>
      </c>
      <c r="K2459" t="str">
        <f>"85023"</f>
        <v>85023</v>
      </c>
      <c r="L2459" t="s">
        <v>6983</v>
      </c>
      <c r="M2459" t="s">
        <v>16418</v>
      </c>
      <c r="N2459" t="s">
        <v>390</v>
      </c>
      <c r="O2459" t="s">
        <v>111</v>
      </c>
      <c r="P2459" t="str">
        <f>"85023-5918"</f>
        <v>85023-5918</v>
      </c>
      <c r="Q2459" t="s">
        <v>113</v>
      </c>
      <c r="R2459" t="str">
        <f>"208-15-794"</f>
        <v>208-15-794</v>
      </c>
      <c r="S2459" t="s">
        <v>8645</v>
      </c>
      <c r="T2459" t="s">
        <v>8646</v>
      </c>
      <c r="U2459">
        <v>2062</v>
      </c>
      <c r="V2459">
        <v>0</v>
      </c>
      <c r="W2459">
        <v>3</v>
      </c>
      <c r="X2459">
        <v>1979</v>
      </c>
      <c r="Z2459">
        <v>1</v>
      </c>
      <c r="AB2459">
        <v>0</v>
      </c>
      <c r="AC2459" t="s">
        <v>115</v>
      </c>
      <c r="AD2459">
        <v>2</v>
      </c>
      <c r="AE2459" t="s">
        <v>115</v>
      </c>
      <c r="AF2459">
        <v>0</v>
      </c>
      <c r="AG2459">
        <v>0</v>
      </c>
      <c r="AH2459" t="s">
        <v>116</v>
      </c>
      <c r="AI2459" s="1">
        <v>50637</v>
      </c>
      <c r="AJ2459" s="2">
        <v>0.17</v>
      </c>
      <c r="AK2459" s="1">
        <v>295694</v>
      </c>
      <c r="AL2459" t="s">
        <v>117</v>
      </c>
      <c r="AM2459" t="s">
        <v>171</v>
      </c>
      <c r="AN2459">
        <v>8649</v>
      </c>
      <c r="AO2459">
        <v>0.2</v>
      </c>
      <c r="AP2459">
        <v>1</v>
      </c>
      <c r="AR2459">
        <v>1</v>
      </c>
      <c r="AS2459" s="1">
        <v>21170</v>
      </c>
      <c r="AT2459" s="1">
        <v>4230</v>
      </c>
      <c r="AU2459" s="1">
        <v>16940</v>
      </c>
      <c r="AV2459">
        <v>80.02</v>
      </c>
      <c r="AX2459" s="1">
        <v>2074.7399999999998</v>
      </c>
      <c r="AY2459" t="s">
        <v>8647</v>
      </c>
      <c r="AZ2459" t="s">
        <v>8648</v>
      </c>
      <c r="BA2459" t="s">
        <v>8649</v>
      </c>
      <c r="BE2459" s="3">
        <v>42276</v>
      </c>
      <c r="BF2459" s="1">
        <v>239900</v>
      </c>
      <c r="BG2459" t="s">
        <v>16419</v>
      </c>
      <c r="BH2459" s="1">
        <v>131.66999999999999</v>
      </c>
      <c r="BI2459" s="1">
        <v>245057</v>
      </c>
      <c r="BJ2459" s="3">
        <v>42276</v>
      </c>
      <c r="BK2459" t="s">
        <v>123</v>
      </c>
      <c r="BL2459" t="str">
        <f>"2015.700259"</f>
        <v>2015.700259</v>
      </c>
      <c r="BM2459" t="s">
        <v>7181</v>
      </c>
      <c r="BO2459" t="s">
        <v>16420</v>
      </c>
      <c r="BS2459">
        <v>30</v>
      </c>
      <c r="BW2459" t="str">
        <f>""</f>
        <v/>
      </c>
      <c r="CH2459" t="str">
        <f>""</f>
        <v/>
      </c>
      <c r="CS2459" t="str">
        <f>""</f>
        <v/>
      </c>
    </row>
    <row r="2460" spans="1:97" x14ac:dyDescent="0.25">
      <c r="A2460" t="s">
        <v>16421</v>
      </c>
      <c r="B2460" t="s">
        <v>6696</v>
      </c>
      <c r="C2460" t="s">
        <v>16422</v>
      </c>
      <c r="D2460" t="s">
        <v>6696</v>
      </c>
      <c r="E2460" t="s">
        <v>16423</v>
      </c>
      <c r="F2460" t="s">
        <v>108</v>
      </c>
      <c r="H2460" t="s">
        <v>16424</v>
      </c>
      <c r="I2460" t="s">
        <v>499</v>
      </c>
      <c r="J2460" t="s">
        <v>111</v>
      </c>
      <c r="K2460" t="str">
        <f>"85338"</f>
        <v>85338</v>
      </c>
      <c r="L2460" t="s">
        <v>5775</v>
      </c>
      <c r="M2460" t="s">
        <v>16424</v>
      </c>
      <c r="N2460" t="s">
        <v>499</v>
      </c>
      <c r="O2460" t="s">
        <v>111</v>
      </c>
      <c r="P2460" t="str">
        <f>"85338-3255"</f>
        <v>85338-3255</v>
      </c>
      <c r="Q2460" t="s">
        <v>113</v>
      </c>
      <c r="R2460" t="str">
        <f>"500-10-470"</f>
        <v>500-10-470</v>
      </c>
      <c r="S2460" t="s">
        <v>9551</v>
      </c>
      <c r="T2460" t="s">
        <v>9551</v>
      </c>
      <c r="U2460">
        <v>2309</v>
      </c>
      <c r="V2460">
        <v>0</v>
      </c>
      <c r="W2460">
        <v>3</v>
      </c>
      <c r="X2460">
        <v>2013</v>
      </c>
      <c r="Z2460">
        <v>1</v>
      </c>
      <c r="AB2460">
        <v>0</v>
      </c>
      <c r="AC2460" t="s">
        <v>115</v>
      </c>
      <c r="AD2460">
        <v>2</v>
      </c>
      <c r="AE2460" t="s">
        <v>115</v>
      </c>
      <c r="AF2460">
        <v>0</v>
      </c>
      <c r="AG2460">
        <v>0</v>
      </c>
      <c r="AH2460" t="s">
        <v>116</v>
      </c>
      <c r="AI2460" s="1">
        <v>37088</v>
      </c>
      <c r="AJ2460" s="2">
        <v>0.11</v>
      </c>
      <c r="AK2460" s="1">
        <v>337088</v>
      </c>
      <c r="AL2460" t="s">
        <v>117</v>
      </c>
      <c r="AM2460" t="s">
        <v>118</v>
      </c>
      <c r="AN2460">
        <v>8383</v>
      </c>
      <c r="AO2460">
        <v>0.19</v>
      </c>
      <c r="AR2460">
        <v>1</v>
      </c>
      <c r="AS2460" s="1">
        <v>23550</v>
      </c>
      <c r="AT2460" s="1">
        <v>4710</v>
      </c>
      <c r="AU2460" s="1">
        <v>18840</v>
      </c>
      <c r="AV2460">
        <v>80</v>
      </c>
      <c r="AX2460" s="1">
        <v>1812.88</v>
      </c>
      <c r="AY2460" t="s">
        <v>4311</v>
      </c>
      <c r="AZ2460" t="s">
        <v>4311</v>
      </c>
      <c r="BA2460" t="s">
        <v>7186</v>
      </c>
      <c r="BE2460" s="3">
        <v>41729</v>
      </c>
      <c r="BF2460" s="1">
        <v>256599</v>
      </c>
      <c r="BG2460" t="s">
        <v>158</v>
      </c>
      <c r="BH2460" s="1">
        <v>111.13</v>
      </c>
      <c r="BI2460" s="1">
        <v>300000</v>
      </c>
      <c r="BJ2460" s="3">
        <v>43626</v>
      </c>
      <c r="BK2460" t="s">
        <v>123</v>
      </c>
      <c r="BL2460" t="str">
        <f>"2019.429158"</f>
        <v>2019.429158</v>
      </c>
      <c r="BM2460" t="s">
        <v>3562</v>
      </c>
      <c r="BN2460" t="s">
        <v>3686</v>
      </c>
      <c r="BO2460" t="s">
        <v>16425</v>
      </c>
      <c r="BP2460" t="s">
        <v>16426</v>
      </c>
      <c r="BR2460" t="s">
        <v>139</v>
      </c>
      <c r="BW2460" t="str">
        <f>""</f>
        <v/>
      </c>
      <c r="CH2460" t="str">
        <f>""</f>
        <v/>
      </c>
      <c r="CS2460" t="str">
        <f>""</f>
        <v/>
      </c>
    </row>
    <row r="2461" spans="1:97" x14ac:dyDescent="0.25">
      <c r="A2461" t="s">
        <v>639</v>
      </c>
      <c r="B2461" t="s">
        <v>16427</v>
      </c>
      <c r="C2461" t="s">
        <v>1335</v>
      </c>
      <c r="D2461" t="s">
        <v>16427</v>
      </c>
      <c r="E2461" t="s">
        <v>16428</v>
      </c>
      <c r="F2461" t="s">
        <v>108</v>
      </c>
      <c r="H2461" t="s">
        <v>16429</v>
      </c>
      <c r="I2461" t="s">
        <v>203</v>
      </c>
      <c r="J2461" t="s">
        <v>111</v>
      </c>
      <c r="K2461" t="str">
        <f>"85298"</f>
        <v>85298</v>
      </c>
      <c r="L2461" t="s">
        <v>1130</v>
      </c>
      <c r="M2461" t="s">
        <v>16429</v>
      </c>
      <c r="N2461" t="s">
        <v>203</v>
      </c>
      <c r="O2461" t="s">
        <v>111</v>
      </c>
      <c r="P2461" t="str">
        <f>"85298-8735"</f>
        <v>85298-8735</v>
      </c>
      <c r="Q2461" t="s">
        <v>113</v>
      </c>
      <c r="R2461" t="str">
        <f>"304-77-270"</f>
        <v>304-77-270</v>
      </c>
      <c r="S2461" t="s">
        <v>14495</v>
      </c>
      <c r="U2461">
        <v>2446</v>
      </c>
      <c r="V2461">
        <v>0</v>
      </c>
      <c r="W2461">
        <v>4</v>
      </c>
      <c r="X2461">
        <v>2010</v>
      </c>
      <c r="Z2461">
        <v>1</v>
      </c>
      <c r="AB2461">
        <v>0</v>
      </c>
      <c r="AC2461" t="s">
        <v>115</v>
      </c>
      <c r="AD2461">
        <v>2</v>
      </c>
      <c r="AE2461" t="s">
        <v>115</v>
      </c>
      <c r="AF2461">
        <v>0</v>
      </c>
      <c r="AG2461">
        <v>0</v>
      </c>
      <c r="AH2461" t="s">
        <v>116</v>
      </c>
      <c r="AI2461" s="1">
        <v>-2089</v>
      </c>
      <c r="AJ2461" s="2">
        <v>-0.01</v>
      </c>
      <c r="AK2461" s="1">
        <v>397905</v>
      </c>
      <c r="AL2461" t="s">
        <v>117</v>
      </c>
      <c r="AM2461" t="s">
        <v>393</v>
      </c>
      <c r="AN2461">
        <v>8445</v>
      </c>
      <c r="AO2461">
        <v>0.19</v>
      </c>
      <c r="AR2461">
        <v>1</v>
      </c>
      <c r="AS2461" s="1">
        <v>27430</v>
      </c>
      <c r="AT2461" s="1">
        <v>5480</v>
      </c>
      <c r="AU2461" s="1">
        <v>21950</v>
      </c>
      <c r="AV2461">
        <v>80.02</v>
      </c>
      <c r="AX2461" s="1">
        <v>2235.92</v>
      </c>
      <c r="AY2461" t="s">
        <v>2214</v>
      </c>
      <c r="AZ2461" t="s">
        <v>1134</v>
      </c>
      <c r="BA2461" t="s">
        <v>1134</v>
      </c>
      <c r="BE2461" s="3">
        <v>42534</v>
      </c>
      <c r="BF2461" s="1">
        <v>322500</v>
      </c>
      <c r="BG2461" t="s">
        <v>16430</v>
      </c>
      <c r="BH2461" s="1">
        <v>131.85</v>
      </c>
      <c r="BI2461" s="1">
        <v>399994</v>
      </c>
      <c r="BJ2461" s="3">
        <v>43567</v>
      </c>
      <c r="BK2461" t="s">
        <v>123</v>
      </c>
      <c r="BL2461" t="str">
        <f>"2019.256446"</f>
        <v>2019.256446</v>
      </c>
      <c r="BM2461" t="s">
        <v>460</v>
      </c>
      <c r="BN2461" t="s">
        <v>461</v>
      </c>
      <c r="BO2461" t="s">
        <v>16431</v>
      </c>
      <c r="BP2461" t="s">
        <v>16432</v>
      </c>
      <c r="BR2461" t="s">
        <v>139</v>
      </c>
      <c r="BW2461" t="str">
        <f>""</f>
        <v/>
      </c>
      <c r="CH2461" t="str">
        <f>""</f>
        <v/>
      </c>
      <c r="CS2461" t="str">
        <f>""</f>
        <v/>
      </c>
    </row>
    <row r="2462" spans="1:97" x14ac:dyDescent="0.25">
      <c r="A2462" t="s">
        <v>16433</v>
      </c>
      <c r="B2462" t="s">
        <v>2433</v>
      </c>
      <c r="C2462" t="s">
        <v>2710</v>
      </c>
      <c r="D2462" t="s">
        <v>2433</v>
      </c>
      <c r="E2462" t="s">
        <v>16434</v>
      </c>
      <c r="F2462" t="s">
        <v>108</v>
      </c>
      <c r="H2462" t="s">
        <v>16435</v>
      </c>
      <c r="I2462" t="s">
        <v>390</v>
      </c>
      <c r="J2462" t="s">
        <v>111</v>
      </c>
      <c r="K2462" t="str">
        <f>"85041"</f>
        <v>85041</v>
      </c>
      <c r="L2462" t="s">
        <v>375</v>
      </c>
      <c r="M2462" t="s">
        <v>16435</v>
      </c>
      <c r="N2462" t="s">
        <v>390</v>
      </c>
      <c r="O2462" t="s">
        <v>111</v>
      </c>
      <c r="P2462" t="str">
        <f>"85041-7650"</f>
        <v>85041-7650</v>
      </c>
      <c r="Q2462" t="s">
        <v>113</v>
      </c>
      <c r="R2462" t="str">
        <f>"300-17-339"</f>
        <v>300-17-339</v>
      </c>
      <c r="S2462" t="s">
        <v>7013</v>
      </c>
      <c r="T2462" t="s">
        <v>7014</v>
      </c>
      <c r="U2462">
        <v>2522</v>
      </c>
      <c r="V2462">
        <v>0</v>
      </c>
      <c r="W2462">
        <v>3</v>
      </c>
      <c r="X2462">
        <v>2013</v>
      </c>
      <c r="Z2462">
        <v>1</v>
      </c>
      <c r="AB2462">
        <v>0</v>
      </c>
      <c r="AC2462" t="s">
        <v>115</v>
      </c>
      <c r="AD2462">
        <v>3</v>
      </c>
      <c r="AE2462" t="s">
        <v>115</v>
      </c>
      <c r="AF2462">
        <v>0</v>
      </c>
      <c r="AG2462">
        <v>0</v>
      </c>
      <c r="AH2462" t="s">
        <v>116</v>
      </c>
      <c r="AI2462" s="1">
        <v>20286</v>
      </c>
      <c r="AJ2462" s="2">
        <v>0.06</v>
      </c>
      <c r="AK2462" s="1">
        <v>325021</v>
      </c>
      <c r="AL2462" t="s">
        <v>117</v>
      </c>
      <c r="AM2462" t="s">
        <v>760</v>
      </c>
      <c r="AN2462">
        <v>6600</v>
      </c>
      <c r="AO2462">
        <v>0.15</v>
      </c>
      <c r="AR2462">
        <v>1</v>
      </c>
      <c r="AS2462" s="1">
        <v>22910</v>
      </c>
      <c r="AT2462" s="1">
        <v>4580</v>
      </c>
      <c r="AU2462" s="1">
        <v>18330</v>
      </c>
      <c r="AV2462">
        <v>80.010000000000005</v>
      </c>
      <c r="AX2462" s="1">
        <v>2874.76</v>
      </c>
      <c r="AY2462" t="s">
        <v>7015</v>
      </c>
      <c r="AZ2462" t="s">
        <v>7015</v>
      </c>
      <c r="BA2462" t="s">
        <v>1661</v>
      </c>
      <c r="BE2462" s="3">
        <v>42412</v>
      </c>
      <c r="BF2462" s="1">
        <v>295000</v>
      </c>
      <c r="BG2462" t="s">
        <v>149</v>
      </c>
      <c r="BH2462" s="1">
        <v>116.97</v>
      </c>
      <c r="BI2462" s="1">
        <v>304735</v>
      </c>
      <c r="BJ2462" s="3">
        <v>42412</v>
      </c>
      <c r="BK2462" t="s">
        <v>123</v>
      </c>
      <c r="BL2462" t="str">
        <f>"2016.94450"</f>
        <v>2016.94450</v>
      </c>
      <c r="BM2462" t="s">
        <v>150</v>
      </c>
      <c r="BO2462" t="s">
        <v>16436</v>
      </c>
      <c r="BS2462">
        <v>30</v>
      </c>
      <c r="BW2462" t="str">
        <f>""</f>
        <v/>
      </c>
      <c r="CH2462" t="str">
        <f>""</f>
        <v/>
      </c>
      <c r="CS2462" t="str">
        <f>""</f>
        <v/>
      </c>
    </row>
    <row r="2463" spans="1:97" x14ac:dyDescent="0.25">
      <c r="A2463" t="s">
        <v>1109</v>
      </c>
      <c r="B2463" t="s">
        <v>16437</v>
      </c>
      <c r="C2463" t="s">
        <v>16438</v>
      </c>
      <c r="D2463" t="s">
        <v>16437</v>
      </c>
      <c r="E2463" t="s">
        <v>16439</v>
      </c>
      <c r="F2463" t="s">
        <v>108</v>
      </c>
      <c r="H2463" t="s">
        <v>16440</v>
      </c>
      <c r="I2463" t="s">
        <v>203</v>
      </c>
      <c r="J2463" t="s">
        <v>111</v>
      </c>
      <c r="K2463" t="str">
        <f>"85233"</f>
        <v>85233</v>
      </c>
      <c r="L2463" t="s">
        <v>1244</v>
      </c>
      <c r="M2463" t="s">
        <v>16440</v>
      </c>
      <c r="N2463" t="s">
        <v>203</v>
      </c>
      <c r="O2463" t="s">
        <v>111</v>
      </c>
      <c r="P2463" t="str">
        <f>"85233-5706"</f>
        <v>85233-5706</v>
      </c>
      <c r="Q2463" t="s">
        <v>113</v>
      </c>
      <c r="R2463" t="str">
        <f>"310-04-258"</f>
        <v>310-04-258</v>
      </c>
      <c r="S2463" t="s">
        <v>16441</v>
      </c>
      <c r="U2463">
        <v>2242</v>
      </c>
      <c r="V2463">
        <v>0</v>
      </c>
      <c r="W2463">
        <v>3</v>
      </c>
      <c r="X2463">
        <v>1993</v>
      </c>
      <c r="Z2463">
        <v>1</v>
      </c>
      <c r="AA2463" t="s">
        <v>26</v>
      </c>
      <c r="AB2463">
        <v>0</v>
      </c>
      <c r="AC2463" t="s">
        <v>115</v>
      </c>
      <c r="AD2463">
        <v>2</v>
      </c>
      <c r="AE2463" t="s">
        <v>115</v>
      </c>
      <c r="AF2463">
        <v>0</v>
      </c>
      <c r="AG2463">
        <v>0</v>
      </c>
      <c r="AH2463" t="s">
        <v>116</v>
      </c>
      <c r="AI2463" s="1">
        <v>70313</v>
      </c>
      <c r="AJ2463" s="2">
        <v>0.19</v>
      </c>
      <c r="AK2463" s="1">
        <v>375564</v>
      </c>
      <c r="AL2463" t="s">
        <v>117</v>
      </c>
      <c r="AM2463" t="s">
        <v>393</v>
      </c>
      <c r="AN2463">
        <v>6974</v>
      </c>
      <c r="AO2463">
        <v>0.16</v>
      </c>
      <c r="AP2463">
        <v>1</v>
      </c>
      <c r="AR2463">
        <v>1</v>
      </c>
      <c r="AS2463" s="1">
        <v>26360</v>
      </c>
      <c r="AT2463" s="1">
        <v>5270</v>
      </c>
      <c r="AU2463" s="1">
        <v>21090</v>
      </c>
      <c r="AV2463">
        <v>80.010000000000005</v>
      </c>
      <c r="AX2463" s="1">
        <v>1957.3</v>
      </c>
      <c r="AY2463" t="s">
        <v>5477</v>
      </c>
      <c r="AZ2463" t="s">
        <v>5478</v>
      </c>
      <c r="BA2463" t="s">
        <v>5479</v>
      </c>
      <c r="BE2463" s="3">
        <v>41886</v>
      </c>
      <c r="BF2463" s="1">
        <v>295500</v>
      </c>
      <c r="BG2463" t="s">
        <v>16442</v>
      </c>
      <c r="BH2463" s="1">
        <v>131.80000000000001</v>
      </c>
      <c r="BI2463" s="1">
        <v>305251</v>
      </c>
      <c r="BJ2463" s="3">
        <v>41886</v>
      </c>
      <c r="BK2463" t="s">
        <v>123</v>
      </c>
      <c r="BL2463" t="str">
        <f>"2014.586843"</f>
        <v>2014.586843</v>
      </c>
      <c r="BM2463" t="s">
        <v>2290</v>
      </c>
      <c r="BO2463" t="s">
        <v>16443</v>
      </c>
      <c r="BS2463">
        <v>30</v>
      </c>
      <c r="BW2463" t="str">
        <f>""</f>
        <v/>
      </c>
      <c r="CH2463" t="str">
        <f>""</f>
        <v/>
      </c>
      <c r="CS2463" t="str">
        <f>""</f>
        <v/>
      </c>
    </row>
    <row r="2464" spans="1:97" x14ac:dyDescent="0.25">
      <c r="A2464" t="s">
        <v>1187</v>
      </c>
      <c r="B2464" t="s">
        <v>16444</v>
      </c>
      <c r="C2464" t="s">
        <v>16445</v>
      </c>
      <c r="D2464" t="s">
        <v>16444</v>
      </c>
      <c r="E2464" t="s">
        <v>16446</v>
      </c>
      <c r="F2464" t="s">
        <v>108</v>
      </c>
      <c r="H2464" t="s">
        <v>16447</v>
      </c>
      <c r="I2464" t="s">
        <v>225</v>
      </c>
      <c r="J2464" t="s">
        <v>111</v>
      </c>
      <c r="K2464" t="str">
        <f>"85209"</f>
        <v>85209</v>
      </c>
      <c r="L2464" t="s">
        <v>7725</v>
      </c>
      <c r="M2464" t="s">
        <v>16447</v>
      </c>
      <c r="N2464" t="s">
        <v>225</v>
      </c>
      <c r="O2464" t="s">
        <v>111</v>
      </c>
      <c r="P2464" t="str">
        <f>"85209-1135"</f>
        <v>85209-1135</v>
      </c>
      <c r="Q2464" t="s">
        <v>113</v>
      </c>
      <c r="R2464" t="str">
        <f>"312-01-269"</f>
        <v>312-01-269</v>
      </c>
      <c r="S2464" t="s">
        <v>16448</v>
      </c>
      <c r="U2464">
        <v>1763</v>
      </c>
      <c r="V2464">
        <v>0</v>
      </c>
      <c r="W2464">
        <v>3</v>
      </c>
      <c r="X2464">
        <v>2000</v>
      </c>
      <c r="Z2464">
        <v>1</v>
      </c>
      <c r="AA2464" t="s">
        <v>26</v>
      </c>
      <c r="AB2464">
        <v>0</v>
      </c>
      <c r="AC2464" t="s">
        <v>115</v>
      </c>
      <c r="AD2464">
        <v>2</v>
      </c>
      <c r="AE2464" t="s">
        <v>115</v>
      </c>
      <c r="AF2464">
        <v>0</v>
      </c>
      <c r="AG2464">
        <v>0</v>
      </c>
      <c r="AH2464" t="s">
        <v>116</v>
      </c>
      <c r="AI2464" s="1">
        <v>63598</v>
      </c>
      <c r="AJ2464" s="2">
        <v>0.2</v>
      </c>
      <c r="AK2464" s="1">
        <v>324947</v>
      </c>
      <c r="AL2464" t="s">
        <v>117</v>
      </c>
      <c r="AM2464" t="s">
        <v>191</v>
      </c>
      <c r="AN2464">
        <v>7093</v>
      </c>
      <c r="AO2464">
        <v>0.16</v>
      </c>
      <c r="AP2464">
        <v>1</v>
      </c>
      <c r="AR2464">
        <v>1</v>
      </c>
      <c r="AS2464" s="1">
        <v>22020</v>
      </c>
      <c r="AT2464" s="1">
        <v>4400</v>
      </c>
      <c r="AU2464" s="1">
        <v>17620</v>
      </c>
      <c r="AV2464">
        <v>80.02</v>
      </c>
      <c r="AX2464" s="1">
        <v>1583.46</v>
      </c>
      <c r="AY2464" t="s">
        <v>4370</v>
      </c>
      <c r="AZ2464" t="s">
        <v>777</v>
      </c>
      <c r="BA2464" t="s">
        <v>572</v>
      </c>
      <c r="BE2464" s="3">
        <v>42341</v>
      </c>
      <c r="BF2464" s="1">
        <v>253000</v>
      </c>
      <c r="BG2464" t="s">
        <v>16449</v>
      </c>
      <c r="BH2464" s="1">
        <v>143.51</v>
      </c>
      <c r="BI2464" s="1">
        <v>261349</v>
      </c>
      <c r="BJ2464" s="3">
        <v>42341</v>
      </c>
      <c r="BK2464" t="s">
        <v>123</v>
      </c>
      <c r="BL2464" t="str">
        <f>"2015.858307"</f>
        <v>2015.858307</v>
      </c>
      <c r="BM2464" t="s">
        <v>2489</v>
      </c>
      <c r="BO2464" t="s">
        <v>16450</v>
      </c>
      <c r="BS2464">
        <v>30</v>
      </c>
      <c r="BW2464" t="str">
        <f>""</f>
        <v/>
      </c>
      <c r="CH2464" t="str">
        <f>""</f>
        <v/>
      </c>
      <c r="CS2464" t="str">
        <f>""</f>
        <v/>
      </c>
    </row>
    <row r="2465" spans="1:97" x14ac:dyDescent="0.25">
      <c r="A2465" t="s">
        <v>1514</v>
      </c>
      <c r="B2465" t="s">
        <v>4091</v>
      </c>
      <c r="C2465" t="s">
        <v>713</v>
      </c>
      <c r="D2465" t="s">
        <v>4091</v>
      </c>
      <c r="E2465" t="s">
        <v>16451</v>
      </c>
      <c r="F2465" t="s">
        <v>108</v>
      </c>
      <c r="H2465" t="s">
        <v>16452</v>
      </c>
      <c r="I2465" t="s">
        <v>632</v>
      </c>
      <c r="J2465" t="s">
        <v>111</v>
      </c>
      <c r="K2465" t="str">
        <f>"85379"</f>
        <v>85379</v>
      </c>
      <c r="L2465" t="s">
        <v>6308</v>
      </c>
      <c r="M2465" t="s">
        <v>16452</v>
      </c>
      <c r="N2465" t="s">
        <v>632</v>
      </c>
      <c r="O2465" t="s">
        <v>111</v>
      </c>
      <c r="P2465" t="str">
        <f>"85379-8723"</f>
        <v>85379-8723</v>
      </c>
      <c r="Q2465" t="s">
        <v>113</v>
      </c>
      <c r="R2465" t="str">
        <f>"509-17-168"</f>
        <v>509-17-168</v>
      </c>
      <c r="S2465" t="s">
        <v>7219</v>
      </c>
      <c r="U2465">
        <v>1797</v>
      </c>
      <c r="V2465">
        <v>0</v>
      </c>
      <c r="W2465">
        <v>3</v>
      </c>
      <c r="X2465">
        <v>2005</v>
      </c>
      <c r="Z2465">
        <v>1</v>
      </c>
      <c r="AA2465" t="s">
        <v>26</v>
      </c>
      <c r="AB2465">
        <v>0</v>
      </c>
      <c r="AC2465" t="s">
        <v>115</v>
      </c>
      <c r="AD2465">
        <v>2</v>
      </c>
      <c r="AE2465" t="s">
        <v>115</v>
      </c>
      <c r="AF2465">
        <v>0</v>
      </c>
      <c r="AG2465">
        <v>0</v>
      </c>
      <c r="AH2465" t="s">
        <v>116</v>
      </c>
      <c r="AI2465" s="1">
        <v>67294</v>
      </c>
      <c r="AJ2465" s="2">
        <v>0.23</v>
      </c>
      <c r="AK2465" s="1">
        <v>289389</v>
      </c>
      <c r="AL2465" t="s">
        <v>117</v>
      </c>
      <c r="AM2465" t="s">
        <v>118</v>
      </c>
      <c r="AN2465">
        <v>8324</v>
      </c>
      <c r="AO2465">
        <v>0.19</v>
      </c>
      <c r="AR2465">
        <v>1</v>
      </c>
      <c r="AS2465" s="1">
        <v>20410</v>
      </c>
      <c r="AT2465" s="1">
        <v>4080</v>
      </c>
      <c r="AU2465" s="1">
        <v>16330</v>
      </c>
      <c r="AV2465">
        <v>80.010000000000005</v>
      </c>
      <c r="AX2465" s="1">
        <v>1433.44</v>
      </c>
      <c r="AY2465" t="s">
        <v>634</v>
      </c>
      <c r="AZ2465" t="s">
        <v>634</v>
      </c>
      <c r="BA2465" t="s">
        <v>321</v>
      </c>
      <c r="BE2465" s="3">
        <v>42114</v>
      </c>
      <c r="BF2465" s="1">
        <v>215000</v>
      </c>
      <c r="BG2465" t="s">
        <v>16453</v>
      </c>
      <c r="BH2465" s="1">
        <v>119.64</v>
      </c>
      <c r="BI2465" s="1">
        <v>222095</v>
      </c>
      <c r="BJ2465" s="3">
        <v>42114</v>
      </c>
      <c r="BK2465" t="s">
        <v>123</v>
      </c>
      <c r="BL2465" t="str">
        <f>"2015.270581"</f>
        <v>2015.270581</v>
      </c>
      <c r="BM2465" t="s">
        <v>2368</v>
      </c>
      <c r="BO2465" t="s">
        <v>16454</v>
      </c>
      <c r="BS2465">
        <v>30</v>
      </c>
      <c r="BW2465" t="str">
        <f>""</f>
        <v/>
      </c>
      <c r="CH2465" t="str">
        <f>""</f>
        <v/>
      </c>
      <c r="CS2465" t="str">
        <f>""</f>
        <v/>
      </c>
    </row>
    <row r="2466" spans="1:97" x14ac:dyDescent="0.25">
      <c r="A2466" t="s">
        <v>177</v>
      </c>
      <c r="B2466" t="s">
        <v>16455</v>
      </c>
      <c r="E2466" t="s">
        <v>16456</v>
      </c>
      <c r="F2466" t="s">
        <v>282</v>
      </c>
      <c r="H2466" t="s">
        <v>16457</v>
      </c>
      <c r="I2466" t="s">
        <v>390</v>
      </c>
      <c r="J2466" t="s">
        <v>111</v>
      </c>
      <c r="K2466" t="str">
        <f>"85007"</f>
        <v>85007</v>
      </c>
      <c r="L2466" t="s">
        <v>8199</v>
      </c>
      <c r="M2466" t="s">
        <v>16458</v>
      </c>
      <c r="N2466" t="s">
        <v>16459</v>
      </c>
      <c r="O2466" t="s">
        <v>360</v>
      </c>
      <c r="P2466" t="str">
        <f>"94114-1119"</f>
        <v>94114-1119</v>
      </c>
      <c r="Q2466" t="s">
        <v>113</v>
      </c>
      <c r="R2466" t="str">
        <f>"111-04-035"</f>
        <v>111-04-035</v>
      </c>
      <c r="S2466" t="s">
        <v>16460</v>
      </c>
      <c r="T2466" t="s">
        <v>16460</v>
      </c>
      <c r="U2466">
        <v>1672</v>
      </c>
      <c r="W2466">
        <v>2</v>
      </c>
      <c r="X2466">
        <v>1940</v>
      </c>
      <c r="Z2466">
        <v>1</v>
      </c>
      <c r="AC2466" t="s">
        <v>115</v>
      </c>
      <c r="AD2466">
        <v>2</v>
      </c>
      <c r="AE2466" t="s">
        <v>115</v>
      </c>
      <c r="AH2466" t="s">
        <v>116</v>
      </c>
      <c r="AI2466" s="1">
        <v>130388</v>
      </c>
      <c r="AJ2466" s="2">
        <v>0.28000000000000003</v>
      </c>
      <c r="AK2466" s="1">
        <v>459248</v>
      </c>
      <c r="AL2466" t="s">
        <v>117</v>
      </c>
      <c r="AM2466" t="s">
        <v>191</v>
      </c>
      <c r="AN2466">
        <v>6438</v>
      </c>
      <c r="AO2466">
        <v>0.15</v>
      </c>
      <c r="AS2466" s="1">
        <v>32660</v>
      </c>
      <c r="AT2466" s="1">
        <v>6530</v>
      </c>
      <c r="AU2466" s="1">
        <v>26130</v>
      </c>
      <c r="AV2466">
        <v>80.010000000000005</v>
      </c>
      <c r="AX2466" s="1">
        <v>3846.44</v>
      </c>
      <c r="AY2466" t="s">
        <v>8243</v>
      </c>
      <c r="AZ2466" t="s">
        <v>8243</v>
      </c>
      <c r="BA2466" t="s">
        <v>5469</v>
      </c>
      <c r="BE2466" s="3">
        <v>41809</v>
      </c>
      <c r="BF2466" s="1">
        <v>327500</v>
      </c>
      <c r="BG2466" t="s">
        <v>16461</v>
      </c>
      <c r="BI2466" s="1">
        <v>328860</v>
      </c>
      <c r="BJ2466" s="3">
        <v>42100</v>
      </c>
      <c r="BK2466" t="s">
        <v>123</v>
      </c>
      <c r="BL2466" t="str">
        <f>"2015.230219"</f>
        <v>2015.230219</v>
      </c>
      <c r="BM2466" t="s">
        <v>322</v>
      </c>
      <c r="BO2466" t="s">
        <v>16462</v>
      </c>
      <c r="BS2466">
        <v>30</v>
      </c>
      <c r="BW2466" t="str">
        <f>""</f>
        <v/>
      </c>
      <c r="CH2466" t="str">
        <f>""</f>
        <v/>
      </c>
      <c r="CS2466" t="str">
        <f>""</f>
        <v/>
      </c>
    </row>
    <row r="2467" spans="1:97" x14ac:dyDescent="0.25">
      <c r="A2467" t="s">
        <v>16463</v>
      </c>
      <c r="B2467" t="s">
        <v>2468</v>
      </c>
      <c r="E2467" t="s">
        <v>16464</v>
      </c>
      <c r="F2467" t="s">
        <v>108</v>
      </c>
      <c r="H2467" t="s">
        <v>16465</v>
      </c>
      <c r="I2467" t="s">
        <v>453</v>
      </c>
      <c r="J2467" t="s">
        <v>111</v>
      </c>
      <c r="K2467" t="str">
        <f>"85345"</f>
        <v>85345</v>
      </c>
      <c r="L2467" t="s">
        <v>6964</v>
      </c>
      <c r="M2467" t="s">
        <v>16465</v>
      </c>
      <c r="N2467" t="s">
        <v>453</v>
      </c>
      <c r="O2467" t="s">
        <v>111</v>
      </c>
      <c r="P2467" t="str">
        <f>"85345-7896"</f>
        <v>85345-7896</v>
      </c>
      <c r="R2467" t="str">
        <f>"142-34-182"</f>
        <v>142-34-182</v>
      </c>
      <c r="S2467" t="s">
        <v>16466</v>
      </c>
      <c r="T2467" t="s">
        <v>16467</v>
      </c>
      <c r="U2467">
        <v>1338</v>
      </c>
      <c r="V2467">
        <v>0</v>
      </c>
      <c r="W2467">
        <v>2</v>
      </c>
      <c r="X2467">
        <v>1986</v>
      </c>
      <c r="Z2467">
        <v>1</v>
      </c>
      <c r="AB2467">
        <v>0</v>
      </c>
      <c r="AC2467" t="s">
        <v>115</v>
      </c>
      <c r="AD2467">
        <v>2</v>
      </c>
      <c r="AE2467" t="s">
        <v>115</v>
      </c>
      <c r="AF2467">
        <v>0</v>
      </c>
      <c r="AG2467">
        <v>0</v>
      </c>
      <c r="AH2467" t="s">
        <v>116</v>
      </c>
      <c r="AI2467" s="1">
        <v>20289</v>
      </c>
      <c r="AJ2467" s="2">
        <v>0.08</v>
      </c>
      <c r="AK2467" s="1">
        <v>249388</v>
      </c>
      <c r="AL2467" t="s">
        <v>117</v>
      </c>
      <c r="AM2467" t="s">
        <v>171</v>
      </c>
      <c r="AN2467">
        <v>8048</v>
      </c>
      <c r="AO2467">
        <v>0.18</v>
      </c>
      <c r="AP2467">
        <v>1</v>
      </c>
      <c r="AR2467">
        <v>1</v>
      </c>
      <c r="AS2467" s="1">
        <v>14430</v>
      </c>
      <c r="AT2467" s="1">
        <v>2880</v>
      </c>
      <c r="AU2467" s="1">
        <v>11550</v>
      </c>
      <c r="AV2467">
        <v>80.040000000000006</v>
      </c>
      <c r="AX2467" s="1">
        <v>824.1</v>
      </c>
      <c r="AY2467" t="s">
        <v>6944</v>
      </c>
      <c r="AZ2467" t="s">
        <v>6944</v>
      </c>
      <c r="BA2467" t="s">
        <v>6945</v>
      </c>
      <c r="BE2467" s="3">
        <v>42164</v>
      </c>
      <c r="BF2467" s="1">
        <v>169000</v>
      </c>
      <c r="BG2467" t="s">
        <v>16468</v>
      </c>
      <c r="BH2467" s="1">
        <v>126.31</v>
      </c>
      <c r="BI2467" s="1">
        <v>207633</v>
      </c>
      <c r="BJ2467" s="3">
        <v>43097</v>
      </c>
      <c r="BK2467" t="s">
        <v>123</v>
      </c>
      <c r="BL2467" t="str">
        <f>"2017.959234"</f>
        <v>2017.959234</v>
      </c>
      <c r="BM2467" t="s">
        <v>13874</v>
      </c>
      <c r="BN2467">
        <v>95661</v>
      </c>
      <c r="BO2467" t="s">
        <v>16469</v>
      </c>
      <c r="BS2467">
        <v>31</v>
      </c>
      <c r="BT2467" s="1">
        <v>21466</v>
      </c>
      <c r="BU2467" s="3">
        <v>43404</v>
      </c>
      <c r="BW2467" t="str">
        <f>"2018.811974"</f>
        <v>2018.811974</v>
      </c>
      <c r="BX2467" t="s">
        <v>9881</v>
      </c>
      <c r="BY2467" t="s">
        <v>9882</v>
      </c>
      <c r="BZ2467" t="s">
        <v>16470</v>
      </c>
      <c r="CC2467" t="s">
        <v>346</v>
      </c>
      <c r="CH2467" t="str">
        <f>""</f>
        <v/>
      </c>
      <c r="CS2467" t="str">
        <f>""</f>
        <v/>
      </c>
    </row>
    <row r="2468" spans="1:97" x14ac:dyDescent="0.25">
      <c r="A2468" t="s">
        <v>10852</v>
      </c>
      <c r="B2468" t="s">
        <v>16471</v>
      </c>
      <c r="C2468" t="s">
        <v>781</v>
      </c>
      <c r="D2468" t="s">
        <v>16471</v>
      </c>
      <c r="E2468" t="s">
        <v>16472</v>
      </c>
      <c r="F2468" t="s">
        <v>108</v>
      </c>
      <c r="H2468" t="s">
        <v>16473</v>
      </c>
      <c r="I2468" t="s">
        <v>203</v>
      </c>
      <c r="J2468" t="s">
        <v>111</v>
      </c>
      <c r="K2468" t="str">
        <f>"85233"</f>
        <v>85233</v>
      </c>
      <c r="L2468" t="s">
        <v>6595</v>
      </c>
      <c r="M2468" t="s">
        <v>16473</v>
      </c>
      <c r="N2468" t="s">
        <v>203</v>
      </c>
      <c r="O2468" t="s">
        <v>111</v>
      </c>
      <c r="P2468" t="str">
        <f>"85233-7223"</f>
        <v>85233-7223</v>
      </c>
      <c r="Q2468" t="s">
        <v>113</v>
      </c>
      <c r="R2468" t="str">
        <f>"302-31-834"</f>
        <v>302-31-834</v>
      </c>
      <c r="S2468" t="s">
        <v>16474</v>
      </c>
      <c r="T2468" t="s">
        <v>16475</v>
      </c>
      <c r="U2468">
        <v>1702</v>
      </c>
      <c r="V2468">
        <v>0</v>
      </c>
      <c r="W2468">
        <v>3</v>
      </c>
      <c r="X2468">
        <v>1991</v>
      </c>
      <c r="Z2468">
        <v>1</v>
      </c>
      <c r="AB2468">
        <v>0</v>
      </c>
      <c r="AC2468" t="s">
        <v>115</v>
      </c>
      <c r="AD2468">
        <v>2</v>
      </c>
      <c r="AE2468" t="s">
        <v>115</v>
      </c>
      <c r="AF2468">
        <v>0</v>
      </c>
      <c r="AG2468">
        <v>0</v>
      </c>
      <c r="AH2468" t="s">
        <v>116</v>
      </c>
      <c r="AI2468" s="1">
        <v>56941</v>
      </c>
      <c r="AJ2468" s="2">
        <v>0.19</v>
      </c>
      <c r="AK2468" s="1">
        <v>304441</v>
      </c>
      <c r="AL2468" t="s">
        <v>117</v>
      </c>
      <c r="AM2468" t="s">
        <v>393</v>
      </c>
      <c r="AN2468">
        <v>6316</v>
      </c>
      <c r="AO2468">
        <v>0.14000000000000001</v>
      </c>
      <c r="AP2468">
        <v>1</v>
      </c>
      <c r="AR2468">
        <v>1</v>
      </c>
      <c r="AS2468" s="1">
        <v>20550</v>
      </c>
      <c r="AT2468" s="1">
        <v>4110</v>
      </c>
      <c r="AU2468" s="1">
        <v>16440</v>
      </c>
      <c r="AV2468">
        <v>80</v>
      </c>
      <c r="AX2468" s="1">
        <v>1366.9</v>
      </c>
      <c r="AY2468" t="s">
        <v>5601</v>
      </c>
      <c r="AZ2468" t="s">
        <v>5478</v>
      </c>
      <c r="BA2468" t="s">
        <v>5479</v>
      </c>
      <c r="BE2468" s="3">
        <v>42499</v>
      </c>
      <c r="BF2468" s="1">
        <v>247500</v>
      </c>
      <c r="BG2468" t="s">
        <v>16476</v>
      </c>
      <c r="BH2468" s="1">
        <v>145.41999999999999</v>
      </c>
      <c r="BI2468" s="1">
        <v>247500</v>
      </c>
      <c r="BJ2468" s="3">
        <v>42499</v>
      </c>
      <c r="BK2468" t="s">
        <v>123</v>
      </c>
      <c r="BL2468" t="str">
        <f>"2016.314220"</f>
        <v>2016.314220</v>
      </c>
      <c r="BM2468" t="s">
        <v>135</v>
      </c>
      <c r="BO2468" t="s">
        <v>16477</v>
      </c>
      <c r="BS2468">
        <v>30</v>
      </c>
      <c r="BW2468" t="str">
        <f>""</f>
        <v/>
      </c>
      <c r="CH2468" t="str">
        <f>""</f>
        <v/>
      </c>
      <c r="CS2468" t="str">
        <f>""</f>
        <v/>
      </c>
    </row>
    <row r="2469" spans="1:97" x14ac:dyDescent="0.25">
      <c r="A2469" t="s">
        <v>6237</v>
      </c>
      <c r="B2469" t="s">
        <v>16478</v>
      </c>
      <c r="E2469" t="s">
        <v>16479</v>
      </c>
      <c r="F2469" t="s">
        <v>108</v>
      </c>
      <c r="H2469" t="s">
        <v>16480</v>
      </c>
      <c r="I2469" t="s">
        <v>225</v>
      </c>
      <c r="J2469" t="s">
        <v>111</v>
      </c>
      <c r="K2469" t="str">
        <f>"85213"</f>
        <v>85213</v>
      </c>
      <c r="L2469" t="s">
        <v>226</v>
      </c>
      <c r="M2469" t="s">
        <v>16480</v>
      </c>
      <c r="N2469" t="s">
        <v>225</v>
      </c>
      <c r="O2469" t="s">
        <v>111</v>
      </c>
      <c r="P2469" t="str">
        <f>"85213-6944"</f>
        <v>85213-6944</v>
      </c>
      <c r="Q2469" t="s">
        <v>113</v>
      </c>
      <c r="R2469" t="str">
        <f>"140-11-318"</f>
        <v>140-11-318</v>
      </c>
      <c r="S2469" t="s">
        <v>16481</v>
      </c>
      <c r="T2469" t="s">
        <v>16482</v>
      </c>
      <c r="U2469">
        <v>1834</v>
      </c>
      <c r="V2469">
        <v>0</v>
      </c>
      <c r="W2469">
        <v>2</v>
      </c>
      <c r="X2469">
        <v>1985</v>
      </c>
      <c r="Z2469">
        <v>1</v>
      </c>
      <c r="AA2469" t="s">
        <v>26</v>
      </c>
      <c r="AB2469">
        <v>0</v>
      </c>
      <c r="AC2469" t="s">
        <v>115</v>
      </c>
      <c r="AD2469">
        <v>2</v>
      </c>
      <c r="AE2469" t="s">
        <v>115</v>
      </c>
      <c r="AF2469">
        <v>0</v>
      </c>
      <c r="AG2469">
        <v>0</v>
      </c>
      <c r="AH2469" t="s">
        <v>116</v>
      </c>
      <c r="AI2469" s="1">
        <v>89416</v>
      </c>
      <c r="AJ2469" s="2">
        <v>0.28000000000000003</v>
      </c>
      <c r="AK2469" s="1">
        <v>319316</v>
      </c>
      <c r="AL2469" t="s">
        <v>117</v>
      </c>
      <c r="AM2469" t="s">
        <v>917</v>
      </c>
      <c r="AN2469">
        <v>9630</v>
      </c>
      <c r="AO2469">
        <v>0.22</v>
      </c>
      <c r="AP2469">
        <v>1</v>
      </c>
      <c r="AR2469">
        <v>1</v>
      </c>
      <c r="AS2469" s="1">
        <v>21270</v>
      </c>
      <c r="AT2469" s="1">
        <v>4250</v>
      </c>
      <c r="AU2469" s="1">
        <v>17020</v>
      </c>
      <c r="AV2469">
        <v>80.02</v>
      </c>
      <c r="AX2469" s="1">
        <v>1489.84</v>
      </c>
      <c r="AY2469" t="s">
        <v>7654</v>
      </c>
      <c r="AZ2469" t="s">
        <v>1523</v>
      </c>
      <c r="BA2469" t="s">
        <v>1524</v>
      </c>
      <c r="BE2469" s="3">
        <v>41806</v>
      </c>
      <c r="BF2469" s="1">
        <v>229900</v>
      </c>
      <c r="BG2469" t="s">
        <v>16483</v>
      </c>
      <c r="BH2469" s="1">
        <v>125.35</v>
      </c>
      <c r="BI2469" s="1">
        <v>229900</v>
      </c>
      <c r="BJ2469" s="3">
        <v>41806</v>
      </c>
      <c r="BK2469" t="s">
        <v>123</v>
      </c>
      <c r="BL2469" t="str">
        <f>"2014.392232"</f>
        <v>2014.392232</v>
      </c>
      <c r="BM2469" t="s">
        <v>175</v>
      </c>
      <c r="BO2469" t="s">
        <v>16484</v>
      </c>
      <c r="BS2469">
        <v>30</v>
      </c>
      <c r="BW2469" t="str">
        <f>""</f>
        <v/>
      </c>
      <c r="CH2469" t="str">
        <f>""</f>
        <v/>
      </c>
      <c r="CS2469" t="str">
        <f>""</f>
        <v/>
      </c>
    </row>
    <row r="2470" spans="1:97" x14ac:dyDescent="0.25">
      <c r="A2470" t="s">
        <v>1176</v>
      </c>
      <c r="B2470" t="s">
        <v>3265</v>
      </c>
      <c r="E2470" t="s">
        <v>16485</v>
      </c>
      <c r="F2470" t="s">
        <v>108</v>
      </c>
      <c r="H2470" t="s">
        <v>16486</v>
      </c>
      <c r="I2470" t="s">
        <v>5387</v>
      </c>
      <c r="J2470" t="s">
        <v>111</v>
      </c>
      <c r="K2470" t="str">
        <f>"85283"</f>
        <v>85283</v>
      </c>
      <c r="L2470" t="s">
        <v>6691</v>
      </c>
      <c r="M2470" t="s">
        <v>16486</v>
      </c>
      <c r="N2470" t="s">
        <v>5387</v>
      </c>
      <c r="O2470" t="s">
        <v>111</v>
      </c>
      <c r="P2470" t="str">
        <f>"85283-4628"</f>
        <v>85283-4628</v>
      </c>
      <c r="Q2470" t="s">
        <v>113</v>
      </c>
      <c r="R2470" t="str">
        <f>"301-47-569"</f>
        <v>301-47-569</v>
      </c>
      <c r="S2470" t="s">
        <v>10946</v>
      </c>
      <c r="T2470" t="s">
        <v>10947</v>
      </c>
      <c r="U2470">
        <v>2016</v>
      </c>
      <c r="V2470">
        <v>0</v>
      </c>
      <c r="W2470">
        <v>2</v>
      </c>
      <c r="X2470">
        <v>1978</v>
      </c>
      <c r="Z2470">
        <v>1</v>
      </c>
      <c r="AB2470">
        <v>0</v>
      </c>
      <c r="AC2470" t="s">
        <v>115</v>
      </c>
      <c r="AD2470">
        <v>2</v>
      </c>
      <c r="AE2470" t="s">
        <v>115</v>
      </c>
      <c r="AF2470">
        <v>0</v>
      </c>
      <c r="AG2470">
        <v>0</v>
      </c>
      <c r="AH2470" t="s">
        <v>116</v>
      </c>
      <c r="AI2470" s="1">
        <v>106939</v>
      </c>
      <c r="AJ2470" s="2">
        <v>0.28999999999999998</v>
      </c>
      <c r="AK2470" s="1">
        <v>368670</v>
      </c>
      <c r="AL2470" t="s">
        <v>117</v>
      </c>
      <c r="AM2470" t="s">
        <v>191</v>
      </c>
      <c r="AN2470">
        <v>8163</v>
      </c>
      <c r="AO2470">
        <v>0.19</v>
      </c>
      <c r="AP2470">
        <v>1</v>
      </c>
      <c r="AR2470">
        <v>1</v>
      </c>
      <c r="AS2470" s="1">
        <v>22880</v>
      </c>
      <c r="AT2470" s="1">
        <v>4570</v>
      </c>
      <c r="AU2470" s="1">
        <v>18310</v>
      </c>
      <c r="AV2470">
        <v>80.03</v>
      </c>
      <c r="AX2470" s="1">
        <v>1890.24</v>
      </c>
      <c r="AY2470" t="s">
        <v>5857</v>
      </c>
      <c r="AZ2470" t="s">
        <v>5391</v>
      </c>
      <c r="BA2470" t="s">
        <v>5392</v>
      </c>
      <c r="BE2470" s="3">
        <v>42156</v>
      </c>
      <c r="BF2470" s="1">
        <v>288500</v>
      </c>
      <c r="BG2470" t="s">
        <v>16487</v>
      </c>
      <c r="BH2470" s="1">
        <v>143.11000000000001</v>
      </c>
      <c r="BI2470" s="1">
        <v>261731</v>
      </c>
      <c r="BJ2470" s="3">
        <v>42156</v>
      </c>
      <c r="BK2470" t="s">
        <v>123</v>
      </c>
      <c r="BL2470" t="str">
        <f>"2015.388065"</f>
        <v>2015.388065</v>
      </c>
      <c r="BM2470" t="s">
        <v>475</v>
      </c>
      <c r="BO2470" t="s">
        <v>16488</v>
      </c>
      <c r="BS2470">
        <v>30</v>
      </c>
      <c r="BW2470" t="str">
        <f>""</f>
        <v/>
      </c>
      <c r="CH2470" t="str">
        <f>""</f>
        <v/>
      </c>
      <c r="CS2470" t="str">
        <f>""</f>
        <v/>
      </c>
    </row>
    <row r="2471" spans="1:97" x14ac:dyDescent="0.25">
      <c r="A2471" t="s">
        <v>16489</v>
      </c>
      <c r="B2471" t="s">
        <v>16490</v>
      </c>
      <c r="C2471" t="s">
        <v>2692</v>
      </c>
      <c r="D2471" t="s">
        <v>16490</v>
      </c>
      <c r="E2471" t="s">
        <v>16491</v>
      </c>
      <c r="F2471" t="s">
        <v>108</v>
      </c>
      <c r="H2471" t="s">
        <v>16492</v>
      </c>
      <c r="I2471" t="s">
        <v>390</v>
      </c>
      <c r="J2471" t="s">
        <v>111</v>
      </c>
      <c r="K2471" t="str">
        <f>"85042"</f>
        <v>85042</v>
      </c>
      <c r="L2471" t="s">
        <v>6766</v>
      </c>
      <c r="M2471" t="s">
        <v>16492</v>
      </c>
      <c r="N2471" t="s">
        <v>390</v>
      </c>
      <c r="O2471" t="s">
        <v>111</v>
      </c>
      <c r="P2471" t="str">
        <f>"85042-6738"</f>
        <v>85042-6738</v>
      </c>
      <c r="Q2471" t="s">
        <v>113</v>
      </c>
      <c r="R2471" t="str">
        <f>"300-23-097"</f>
        <v>300-23-097</v>
      </c>
      <c r="S2471" t="s">
        <v>6768</v>
      </c>
      <c r="T2471" t="s">
        <v>6768</v>
      </c>
      <c r="U2471">
        <v>1760</v>
      </c>
      <c r="V2471">
        <v>0</v>
      </c>
      <c r="W2471">
        <v>3</v>
      </c>
      <c r="X2471">
        <v>2004</v>
      </c>
      <c r="Z2471">
        <v>1</v>
      </c>
      <c r="AA2471" t="s">
        <v>26</v>
      </c>
      <c r="AB2471">
        <v>0</v>
      </c>
      <c r="AC2471" t="s">
        <v>115</v>
      </c>
      <c r="AD2471">
        <v>3</v>
      </c>
      <c r="AE2471" t="s">
        <v>115</v>
      </c>
      <c r="AF2471">
        <v>0</v>
      </c>
      <c r="AG2471">
        <v>0</v>
      </c>
      <c r="AH2471" t="s">
        <v>116</v>
      </c>
      <c r="AI2471" s="1">
        <v>32760</v>
      </c>
      <c r="AJ2471" s="2">
        <v>0.11</v>
      </c>
      <c r="AK2471" s="1">
        <v>307760</v>
      </c>
      <c r="AL2471" t="s">
        <v>117</v>
      </c>
      <c r="AM2471" t="s">
        <v>1302</v>
      </c>
      <c r="AN2471">
        <v>6658</v>
      </c>
      <c r="AO2471">
        <v>0.15</v>
      </c>
      <c r="AP2471">
        <v>1</v>
      </c>
      <c r="AR2471">
        <v>1</v>
      </c>
      <c r="AS2471" s="1">
        <v>20730</v>
      </c>
      <c r="AT2471" s="1">
        <v>4140</v>
      </c>
      <c r="AU2471" s="1">
        <v>16590</v>
      </c>
      <c r="AV2471">
        <v>80.03</v>
      </c>
      <c r="AX2471" s="1">
        <v>2446.46</v>
      </c>
      <c r="AY2471" t="s">
        <v>2859</v>
      </c>
      <c r="AZ2471" t="s">
        <v>2859</v>
      </c>
      <c r="BA2471" t="s">
        <v>2860</v>
      </c>
      <c r="BB2471" s="3">
        <v>42591</v>
      </c>
      <c r="BD2471" t="s">
        <v>240</v>
      </c>
      <c r="BE2471" s="3">
        <v>42503</v>
      </c>
      <c r="BF2471" s="1">
        <v>275000</v>
      </c>
      <c r="BG2471" t="s">
        <v>16493</v>
      </c>
      <c r="BH2471" s="1">
        <v>156.25</v>
      </c>
      <c r="BI2471" s="1">
        <v>275000</v>
      </c>
      <c r="BJ2471" s="3">
        <v>42503</v>
      </c>
      <c r="BK2471" t="s">
        <v>123</v>
      </c>
      <c r="BL2471" t="str">
        <f>"2016.330448"</f>
        <v>2016.330448</v>
      </c>
      <c r="BM2471" t="s">
        <v>724</v>
      </c>
      <c r="BO2471" t="s">
        <v>16494</v>
      </c>
      <c r="BS2471">
        <v>30</v>
      </c>
      <c r="BW2471" t="str">
        <f>""</f>
        <v/>
      </c>
      <c r="CH2471" t="str">
        <f>""</f>
        <v/>
      </c>
      <c r="CS2471" t="str">
        <f>""</f>
        <v/>
      </c>
    </row>
    <row r="2472" spans="1:97" x14ac:dyDescent="0.25">
      <c r="A2472" t="s">
        <v>1295</v>
      </c>
      <c r="B2472" t="s">
        <v>1552</v>
      </c>
      <c r="C2472" t="s">
        <v>2640</v>
      </c>
      <c r="D2472" t="s">
        <v>1552</v>
      </c>
      <c r="E2472" t="s">
        <v>16495</v>
      </c>
      <c r="F2472" t="s">
        <v>282</v>
      </c>
      <c r="H2472" t="s">
        <v>16496</v>
      </c>
      <c r="I2472" t="s">
        <v>390</v>
      </c>
      <c r="J2472" t="s">
        <v>111</v>
      </c>
      <c r="K2472" t="str">
        <f>"85053"</f>
        <v>85053</v>
      </c>
      <c r="L2472" t="s">
        <v>6631</v>
      </c>
      <c r="M2472" t="s">
        <v>16497</v>
      </c>
      <c r="N2472" t="s">
        <v>16498</v>
      </c>
      <c r="O2472" t="s">
        <v>15953</v>
      </c>
      <c r="P2472" t="str">
        <f>"99205-7170"</f>
        <v>99205-7170</v>
      </c>
      <c r="Q2472" t="s">
        <v>113</v>
      </c>
      <c r="R2472" t="str">
        <f>"207-12-277"</f>
        <v>207-12-277</v>
      </c>
      <c r="S2472" t="s">
        <v>16499</v>
      </c>
      <c r="T2472" t="s">
        <v>16500</v>
      </c>
      <c r="U2472">
        <v>1510</v>
      </c>
      <c r="V2472">
        <v>0</v>
      </c>
      <c r="W2472">
        <v>2</v>
      </c>
      <c r="X2472">
        <v>1974</v>
      </c>
      <c r="Z2472">
        <v>1</v>
      </c>
      <c r="AA2472" t="s">
        <v>26</v>
      </c>
      <c r="AB2472">
        <v>0</v>
      </c>
      <c r="AC2472" t="s">
        <v>115</v>
      </c>
      <c r="AD2472">
        <v>2</v>
      </c>
      <c r="AE2472" t="s">
        <v>115</v>
      </c>
      <c r="AF2472">
        <v>0</v>
      </c>
      <c r="AG2472">
        <v>0</v>
      </c>
      <c r="AH2472" t="s">
        <v>116</v>
      </c>
      <c r="AI2472" s="1">
        <v>3496</v>
      </c>
      <c r="AJ2472" s="2">
        <v>0.01</v>
      </c>
      <c r="AK2472" s="1">
        <v>258871</v>
      </c>
      <c r="AL2472" t="s">
        <v>117</v>
      </c>
      <c r="AM2472" t="s">
        <v>171</v>
      </c>
      <c r="AN2472">
        <v>8919</v>
      </c>
      <c r="AO2472">
        <v>0.2</v>
      </c>
      <c r="AP2472">
        <v>1</v>
      </c>
      <c r="AR2472">
        <v>1</v>
      </c>
      <c r="AS2472" s="1">
        <v>17530</v>
      </c>
      <c r="AT2472" s="1">
        <v>3500</v>
      </c>
      <c r="AU2472" s="1">
        <v>14030</v>
      </c>
      <c r="AV2472">
        <v>80.03</v>
      </c>
      <c r="AX2472" s="1">
        <v>1307.5999999999999</v>
      </c>
      <c r="AY2472" t="s">
        <v>8546</v>
      </c>
      <c r="AZ2472" t="s">
        <v>2997</v>
      </c>
      <c r="BA2472" t="s">
        <v>2998</v>
      </c>
      <c r="BB2472" s="3">
        <v>43313</v>
      </c>
      <c r="BC2472" s="1">
        <v>0</v>
      </c>
      <c r="BD2472" t="s">
        <v>291</v>
      </c>
      <c r="BE2472" s="3">
        <v>42347</v>
      </c>
      <c r="BF2472" s="1">
        <v>209000</v>
      </c>
      <c r="BG2472" t="s">
        <v>16501</v>
      </c>
      <c r="BH2472" s="1">
        <v>138.41</v>
      </c>
      <c r="BI2472" s="1">
        <v>255375</v>
      </c>
      <c r="BJ2472" s="3">
        <v>43313</v>
      </c>
      <c r="BK2472" t="s">
        <v>123</v>
      </c>
      <c r="BL2472" t="str">
        <f>"2018.584026"</f>
        <v>2018.584026</v>
      </c>
      <c r="BM2472" t="s">
        <v>5842</v>
      </c>
      <c r="BN2472" t="s">
        <v>5843</v>
      </c>
      <c r="BO2472" t="s">
        <v>16502</v>
      </c>
      <c r="BP2472" t="s">
        <v>16503</v>
      </c>
      <c r="BR2472" t="s">
        <v>139</v>
      </c>
      <c r="BW2472" t="str">
        <f>""</f>
        <v/>
      </c>
      <c r="CH2472" t="str">
        <f>""</f>
        <v/>
      </c>
      <c r="CS2472" t="str">
        <f>""</f>
        <v/>
      </c>
    </row>
    <row r="2473" spans="1:97" x14ac:dyDescent="0.25">
      <c r="A2473" t="s">
        <v>15905</v>
      </c>
      <c r="B2473" t="s">
        <v>16504</v>
      </c>
      <c r="C2473" t="s">
        <v>6345</v>
      </c>
      <c r="D2473" t="s">
        <v>16504</v>
      </c>
      <c r="E2473" t="s">
        <v>16505</v>
      </c>
      <c r="F2473" t="s">
        <v>108</v>
      </c>
      <c r="H2473" t="s">
        <v>16506</v>
      </c>
      <c r="I2473" t="s">
        <v>110</v>
      </c>
      <c r="J2473" t="s">
        <v>111</v>
      </c>
      <c r="K2473" t="str">
        <f>"85226"</f>
        <v>85226</v>
      </c>
      <c r="L2473" t="s">
        <v>3318</v>
      </c>
      <c r="M2473" t="s">
        <v>16506</v>
      </c>
      <c r="N2473" t="s">
        <v>110</v>
      </c>
      <c r="O2473" t="s">
        <v>111</v>
      </c>
      <c r="P2473" t="str">
        <f>"85226-4834"</f>
        <v>85226-4834</v>
      </c>
      <c r="Q2473" t="s">
        <v>113</v>
      </c>
      <c r="R2473" t="str">
        <f>"301-89-390"</f>
        <v>301-89-390</v>
      </c>
      <c r="S2473" t="s">
        <v>5198</v>
      </c>
      <c r="T2473" t="s">
        <v>5199</v>
      </c>
      <c r="U2473">
        <v>1827</v>
      </c>
      <c r="V2473">
        <v>0</v>
      </c>
      <c r="W2473">
        <v>3</v>
      </c>
      <c r="X2473">
        <v>1981</v>
      </c>
      <c r="Z2473">
        <v>1</v>
      </c>
      <c r="AA2473" t="s">
        <v>26</v>
      </c>
      <c r="AB2473">
        <v>0</v>
      </c>
      <c r="AC2473" t="s">
        <v>115</v>
      </c>
      <c r="AD2473">
        <v>2</v>
      </c>
      <c r="AE2473" t="s">
        <v>115</v>
      </c>
      <c r="AF2473">
        <v>0</v>
      </c>
      <c r="AG2473">
        <v>0</v>
      </c>
      <c r="AH2473" t="s">
        <v>116</v>
      </c>
      <c r="AI2473" s="1">
        <v>50086</v>
      </c>
      <c r="AJ2473" s="2">
        <v>0.15</v>
      </c>
      <c r="AK2473" s="1">
        <v>340986</v>
      </c>
      <c r="AL2473" t="s">
        <v>117</v>
      </c>
      <c r="AM2473" t="s">
        <v>5077</v>
      </c>
      <c r="AN2473">
        <v>11426</v>
      </c>
      <c r="AO2473">
        <v>0.26</v>
      </c>
      <c r="AP2473">
        <v>1</v>
      </c>
      <c r="AR2473">
        <v>1</v>
      </c>
      <c r="AS2473" s="1">
        <v>24680</v>
      </c>
      <c r="AT2473" s="1">
        <v>4930</v>
      </c>
      <c r="AU2473" s="1">
        <v>19750</v>
      </c>
      <c r="AV2473">
        <v>80.02</v>
      </c>
      <c r="AX2473" s="1">
        <v>1701.86</v>
      </c>
      <c r="AY2473" t="s">
        <v>5200</v>
      </c>
      <c r="AZ2473" t="s">
        <v>5201</v>
      </c>
      <c r="BA2473" t="s">
        <v>5202</v>
      </c>
      <c r="BE2473" s="3">
        <v>42531</v>
      </c>
      <c r="BF2473" s="1">
        <v>290000</v>
      </c>
      <c r="BG2473" t="s">
        <v>16507</v>
      </c>
      <c r="BH2473" s="1">
        <v>158.72999999999999</v>
      </c>
      <c r="BI2473" s="1">
        <v>290900</v>
      </c>
      <c r="BJ2473" s="3">
        <v>42697</v>
      </c>
      <c r="BK2473" t="s">
        <v>123</v>
      </c>
      <c r="BL2473" t="str">
        <f>"2016.867137"</f>
        <v>2016.867137</v>
      </c>
      <c r="BM2473" t="s">
        <v>2368</v>
      </c>
      <c r="BO2473" t="s">
        <v>16508</v>
      </c>
      <c r="BS2473">
        <v>30</v>
      </c>
      <c r="BW2473" t="str">
        <f>""</f>
        <v/>
      </c>
      <c r="CH2473" t="str">
        <f>""</f>
        <v/>
      </c>
      <c r="CS2473" t="str">
        <f>""</f>
        <v/>
      </c>
    </row>
    <row r="2474" spans="1:97" x14ac:dyDescent="0.25">
      <c r="A2474" t="s">
        <v>370</v>
      </c>
      <c r="B2474" t="s">
        <v>16509</v>
      </c>
      <c r="C2474" t="s">
        <v>9142</v>
      </c>
      <c r="D2474" t="s">
        <v>16509</v>
      </c>
      <c r="E2474" t="s">
        <v>16510</v>
      </c>
      <c r="F2474" t="s">
        <v>108</v>
      </c>
      <c r="H2474" t="s">
        <v>16511</v>
      </c>
      <c r="I2474" t="s">
        <v>390</v>
      </c>
      <c r="J2474" t="s">
        <v>111</v>
      </c>
      <c r="K2474" t="str">
        <f>"85023"</f>
        <v>85023</v>
      </c>
      <c r="L2474" t="s">
        <v>10491</v>
      </c>
      <c r="M2474" t="s">
        <v>16511</v>
      </c>
      <c r="N2474" t="s">
        <v>390</v>
      </c>
      <c r="O2474" t="s">
        <v>111</v>
      </c>
      <c r="P2474" t="str">
        <f>"85023-6406"</f>
        <v>85023-6406</v>
      </c>
      <c r="Q2474" t="s">
        <v>113</v>
      </c>
      <c r="R2474" t="str">
        <f>"208-02-409"</f>
        <v>208-02-409</v>
      </c>
      <c r="S2474" t="s">
        <v>16512</v>
      </c>
      <c r="T2474" t="s">
        <v>16512</v>
      </c>
      <c r="U2474">
        <v>1523</v>
      </c>
      <c r="V2474">
        <v>0</v>
      </c>
      <c r="W2474">
        <v>3</v>
      </c>
      <c r="X2474">
        <v>1996</v>
      </c>
      <c r="Z2474">
        <v>1</v>
      </c>
      <c r="AB2474">
        <v>0</v>
      </c>
      <c r="AC2474" t="s">
        <v>115</v>
      </c>
      <c r="AD2474">
        <v>2</v>
      </c>
      <c r="AE2474" t="s">
        <v>115</v>
      </c>
      <c r="AF2474">
        <v>0</v>
      </c>
      <c r="AG2474">
        <v>0</v>
      </c>
      <c r="AH2474" t="s">
        <v>116</v>
      </c>
      <c r="AI2474" s="1">
        <v>56160</v>
      </c>
      <c r="AJ2474" s="2">
        <v>0.2</v>
      </c>
      <c r="AK2474" s="1">
        <v>281160</v>
      </c>
      <c r="AL2474" t="s">
        <v>117</v>
      </c>
      <c r="AM2474" t="s">
        <v>3345</v>
      </c>
      <c r="AN2474">
        <v>7204</v>
      </c>
      <c r="AO2474">
        <v>0.16</v>
      </c>
      <c r="AP2474">
        <v>1</v>
      </c>
      <c r="AR2474">
        <v>1</v>
      </c>
      <c r="AS2474" s="1">
        <v>19610</v>
      </c>
      <c r="AT2474" s="1">
        <v>3920</v>
      </c>
      <c r="AU2474" s="1">
        <v>15690</v>
      </c>
      <c r="AV2474">
        <v>80.010000000000005</v>
      </c>
      <c r="AX2474" s="1">
        <v>1629.64</v>
      </c>
      <c r="AY2474" t="s">
        <v>12571</v>
      </c>
      <c r="AZ2474" t="s">
        <v>2550</v>
      </c>
      <c r="BA2474" t="s">
        <v>2551</v>
      </c>
      <c r="BE2474" s="3">
        <v>42375</v>
      </c>
      <c r="BF2474" s="1">
        <v>225100</v>
      </c>
      <c r="BG2474" t="s">
        <v>16513</v>
      </c>
      <c r="BH2474" s="1">
        <v>147.80000000000001</v>
      </c>
      <c r="BI2474" s="1">
        <v>225000</v>
      </c>
      <c r="BJ2474" s="3">
        <v>42375</v>
      </c>
      <c r="BK2474" t="s">
        <v>123</v>
      </c>
      <c r="BL2474" t="str">
        <f>"2016.6231"</f>
        <v>2016.6231</v>
      </c>
      <c r="BM2474" t="s">
        <v>1038</v>
      </c>
      <c r="BN2474" t="s">
        <v>132</v>
      </c>
      <c r="BO2474" t="s">
        <v>16514</v>
      </c>
      <c r="BS2474">
        <v>30</v>
      </c>
      <c r="BW2474" t="str">
        <f>""</f>
        <v/>
      </c>
      <c r="CH2474" t="str">
        <f>""</f>
        <v/>
      </c>
      <c r="CS2474" t="str">
        <f>""</f>
        <v/>
      </c>
    </row>
    <row r="2475" spans="1:97" x14ac:dyDescent="0.25">
      <c r="A2475" t="s">
        <v>305</v>
      </c>
      <c r="B2475" t="s">
        <v>16515</v>
      </c>
      <c r="C2475" t="s">
        <v>365</v>
      </c>
      <c r="D2475" t="s">
        <v>16515</v>
      </c>
      <c r="E2475" t="s">
        <v>16516</v>
      </c>
      <c r="F2475" t="s">
        <v>108</v>
      </c>
      <c r="H2475" t="s">
        <v>16517</v>
      </c>
      <c r="I2475" t="s">
        <v>5863</v>
      </c>
      <c r="J2475" t="s">
        <v>111</v>
      </c>
      <c r="K2475" t="str">
        <f>"85375"</f>
        <v>85375</v>
      </c>
      <c r="L2475" t="s">
        <v>8199</v>
      </c>
      <c r="M2475" t="s">
        <v>16517</v>
      </c>
      <c r="N2475" t="s">
        <v>5863</v>
      </c>
      <c r="O2475" t="s">
        <v>111</v>
      </c>
      <c r="P2475" t="str">
        <f>"85375-3319"</f>
        <v>85375-3319</v>
      </c>
      <c r="Q2475" t="s">
        <v>113</v>
      </c>
      <c r="R2475" t="str">
        <f>"232-09-241"</f>
        <v>232-09-241</v>
      </c>
      <c r="S2475" t="s">
        <v>16518</v>
      </c>
      <c r="U2475">
        <v>1946</v>
      </c>
      <c r="V2475">
        <v>0</v>
      </c>
      <c r="W2475">
        <v>2</v>
      </c>
      <c r="X2475">
        <v>1980</v>
      </c>
      <c r="Z2475">
        <v>1</v>
      </c>
      <c r="AB2475">
        <v>0</v>
      </c>
      <c r="AC2475" t="s">
        <v>115</v>
      </c>
      <c r="AD2475">
        <v>2</v>
      </c>
      <c r="AE2475" t="s">
        <v>115</v>
      </c>
      <c r="AF2475">
        <v>0</v>
      </c>
      <c r="AG2475">
        <v>0</v>
      </c>
      <c r="AH2475" t="s">
        <v>116</v>
      </c>
      <c r="AI2475" s="1">
        <v>-8284</v>
      </c>
      <c r="AJ2475" s="2">
        <v>-0.04</v>
      </c>
      <c r="AK2475" s="1">
        <v>216854</v>
      </c>
      <c r="AL2475" t="s">
        <v>117</v>
      </c>
      <c r="AM2475" t="s">
        <v>393</v>
      </c>
      <c r="AN2475">
        <v>10600</v>
      </c>
      <c r="AO2475">
        <v>0.24</v>
      </c>
      <c r="AP2475">
        <v>1</v>
      </c>
      <c r="AR2475">
        <v>1</v>
      </c>
      <c r="AS2475" s="1">
        <v>15810</v>
      </c>
      <c r="AT2475" s="1">
        <v>3160</v>
      </c>
      <c r="AU2475" s="1">
        <v>12650</v>
      </c>
      <c r="AV2475">
        <v>80.010000000000005</v>
      </c>
      <c r="AX2475" s="1">
        <v>1152.82</v>
      </c>
      <c r="AY2475" t="s">
        <v>320</v>
      </c>
      <c r="AZ2475" t="s">
        <v>320</v>
      </c>
      <c r="BA2475" t="s">
        <v>321</v>
      </c>
      <c r="BB2475" s="3">
        <v>43231</v>
      </c>
      <c r="BC2475" s="1">
        <v>0</v>
      </c>
      <c r="BD2475" t="s">
        <v>291</v>
      </c>
      <c r="BE2475" s="3">
        <v>42215</v>
      </c>
      <c r="BF2475" s="1">
        <v>165000</v>
      </c>
      <c r="BG2475" t="s">
        <v>16519</v>
      </c>
      <c r="BH2475" s="1">
        <v>84.79</v>
      </c>
      <c r="BI2475" s="1">
        <v>225138</v>
      </c>
      <c r="BJ2475" s="3">
        <v>43231</v>
      </c>
      <c r="BK2475" t="s">
        <v>123</v>
      </c>
      <c r="BL2475" t="str">
        <f>"2018.361865"</f>
        <v>2018.361865</v>
      </c>
      <c r="BM2475" t="s">
        <v>533</v>
      </c>
      <c r="BN2475" t="s">
        <v>534</v>
      </c>
      <c r="BO2475" t="s">
        <v>16520</v>
      </c>
      <c r="BP2475" t="s">
        <v>16521</v>
      </c>
      <c r="BR2475" t="s">
        <v>139</v>
      </c>
      <c r="BW2475" t="str">
        <f>""</f>
        <v/>
      </c>
      <c r="CH2475" t="str">
        <f>""</f>
        <v/>
      </c>
      <c r="CS2475" t="str">
        <f>""</f>
        <v/>
      </c>
    </row>
    <row r="2476" spans="1:97" x14ac:dyDescent="0.25">
      <c r="A2476" t="s">
        <v>2429</v>
      </c>
      <c r="B2476" t="s">
        <v>15620</v>
      </c>
      <c r="C2476" t="s">
        <v>16522</v>
      </c>
      <c r="D2476" t="s">
        <v>15620</v>
      </c>
      <c r="E2476" t="s">
        <v>16523</v>
      </c>
      <c r="F2476" t="s">
        <v>108</v>
      </c>
      <c r="H2476" t="s">
        <v>16524</v>
      </c>
      <c r="I2476" t="s">
        <v>5114</v>
      </c>
      <c r="J2476" t="s">
        <v>111</v>
      </c>
      <c r="K2476" t="str">
        <f>"85392"</f>
        <v>85392</v>
      </c>
      <c r="L2476" t="s">
        <v>6964</v>
      </c>
      <c r="M2476" t="s">
        <v>16524</v>
      </c>
      <c r="N2476" t="s">
        <v>5114</v>
      </c>
      <c r="O2476" t="s">
        <v>111</v>
      </c>
      <c r="P2476" t="str">
        <f>"85392-6581"</f>
        <v>85392-6581</v>
      </c>
      <c r="Q2476" t="s">
        <v>113</v>
      </c>
      <c r="R2476" t="str">
        <f>"501-88-688"</f>
        <v>501-88-688</v>
      </c>
      <c r="S2476" t="s">
        <v>16525</v>
      </c>
      <c r="T2476" t="s">
        <v>16526</v>
      </c>
      <c r="U2476">
        <v>2335</v>
      </c>
      <c r="V2476">
        <v>0</v>
      </c>
      <c r="W2476">
        <v>3</v>
      </c>
      <c r="X2476">
        <v>1997</v>
      </c>
      <c r="Z2476">
        <v>1</v>
      </c>
      <c r="AA2476" t="s">
        <v>26</v>
      </c>
      <c r="AB2476">
        <v>0</v>
      </c>
      <c r="AC2476" t="s">
        <v>115</v>
      </c>
      <c r="AD2476">
        <v>3</v>
      </c>
      <c r="AE2476" t="s">
        <v>115</v>
      </c>
      <c r="AF2476">
        <v>0</v>
      </c>
      <c r="AG2476">
        <v>0</v>
      </c>
      <c r="AH2476" t="s">
        <v>116</v>
      </c>
      <c r="AI2476" s="1">
        <v>54845</v>
      </c>
      <c r="AJ2476" s="2">
        <v>0.16</v>
      </c>
      <c r="AK2476" s="1">
        <v>333845</v>
      </c>
      <c r="AL2476" t="s">
        <v>117</v>
      </c>
      <c r="AM2476" t="s">
        <v>118</v>
      </c>
      <c r="AN2476">
        <v>9902</v>
      </c>
      <c r="AO2476">
        <v>0.23</v>
      </c>
      <c r="AP2476">
        <v>1</v>
      </c>
      <c r="AR2476">
        <v>1</v>
      </c>
      <c r="AS2476" s="1">
        <v>23160</v>
      </c>
      <c r="AT2476" s="1">
        <v>4630</v>
      </c>
      <c r="AU2476" s="1">
        <v>18530</v>
      </c>
      <c r="AV2476">
        <v>80.010000000000005</v>
      </c>
      <c r="AX2476" s="1">
        <v>1754.78</v>
      </c>
      <c r="AY2476" t="s">
        <v>7636</v>
      </c>
      <c r="AZ2476" t="s">
        <v>6701</v>
      </c>
      <c r="BA2476" t="s">
        <v>6702</v>
      </c>
      <c r="BE2476" s="3">
        <v>42475</v>
      </c>
      <c r="BF2476" s="1">
        <v>279000</v>
      </c>
      <c r="BG2476" t="s">
        <v>16527</v>
      </c>
      <c r="BH2476" s="1">
        <v>119.49</v>
      </c>
      <c r="BI2476" s="1">
        <v>279000</v>
      </c>
      <c r="BJ2476" s="3">
        <v>42475</v>
      </c>
      <c r="BK2476" t="s">
        <v>123</v>
      </c>
      <c r="BL2476" t="str">
        <f>"2016.251665"</f>
        <v>2016.251665</v>
      </c>
      <c r="BM2476" t="s">
        <v>1998</v>
      </c>
      <c r="BO2476" t="s">
        <v>16528</v>
      </c>
      <c r="BS2476">
        <v>30</v>
      </c>
      <c r="BW2476" t="str">
        <f>""</f>
        <v/>
      </c>
      <c r="CH2476" t="str">
        <f>""</f>
        <v/>
      </c>
      <c r="CS2476" t="str">
        <f>""</f>
        <v/>
      </c>
    </row>
    <row r="2477" spans="1:97" x14ac:dyDescent="0.25">
      <c r="A2477" t="s">
        <v>370</v>
      </c>
      <c r="B2477" t="s">
        <v>16529</v>
      </c>
      <c r="C2477" t="s">
        <v>817</v>
      </c>
      <c r="D2477" t="s">
        <v>16529</v>
      </c>
      <c r="E2477" t="s">
        <v>16530</v>
      </c>
      <c r="F2477" t="s">
        <v>108</v>
      </c>
      <c r="H2477" t="s">
        <v>16531</v>
      </c>
      <c r="I2477" t="s">
        <v>203</v>
      </c>
      <c r="J2477" t="s">
        <v>111</v>
      </c>
      <c r="K2477" t="str">
        <f>"85296"</f>
        <v>85296</v>
      </c>
      <c r="L2477" t="s">
        <v>9060</v>
      </c>
      <c r="M2477" t="s">
        <v>16531</v>
      </c>
      <c r="N2477" t="s">
        <v>203</v>
      </c>
      <c r="O2477" t="s">
        <v>111</v>
      </c>
      <c r="P2477" t="str">
        <f>"85296-4213"</f>
        <v>85296-4213</v>
      </c>
      <c r="Q2477" t="s">
        <v>113</v>
      </c>
      <c r="R2477" t="str">
        <f>"304-25-292"</f>
        <v>304-25-292</v>
      </c>
      <c r="S2477" t="s">
        <v>9526</v>
      </c>
      <c r="T2477" t="s">
        <v>9527</v>
      </c>
      <c r="U2477">
        <v>1358</v>
      </c>
      <c r="V2477">
        <v>0</v>
      </c>
      <c r="W2477">
        <v>3</v>
      </c>
      <c r="X2477">
        <v>1996</v>
      </c>
      <c r="Z2477">
        <v>1</v>
      </c>
      <c r="AB2477">
        <v>0</v>
      </c>
      <c r="AC2477" t="s">
        <v>115</v>
      </c>
      <c r="AD2477">
        <v>2</v>
      </c>
      <c r="AE2477" t="s">
        <v>115</v>
      </c>
      <c r="AF2477">
        <v>0</v>
      </c>
      <c r="AG2477">
        <v>0</v>
      </c>
      <c r="AH2477" t="s">
        <v>116</v>
      </c>
      <c r="AI2477" s="1">
        <v>37775</v>
      </c>
      <c r="AJ2477" s="2">
        <v>0.14000000000000001</v>
      </c>
      <c r="AK2477" s="1">
        <v>272775</v>
      </c>
      <c r="AL2477" t="s">
        <v>117</v>
      </c>
      <c r="AM2477" t="s">
        <v>191</v>
      </c>
      <c r="AN2477">
        <v>4957</v>
      </c>
      <c r="AO2477">
        <v>0.11</v>
      </c>
      <c r="AP2477">
        <v>1</v>
      </c>
      <c r="AR2477">
        <v>1</v>
      </c>
      <c r="AS2477" s="1">
        <v>18450</v>
      </c>
      <c r="AT2477" s="1">
        <v>3690</v>
      </c>
      <c r="AU2477" s="1">
        <v>14760</v>
      </c>
      <c r="AV2477">
        <v>80</v>
      </c>
      <c r="AX2477" s="1">
        <v>1204.3599999999999</v>
      </c>
      <c r="AY2477" t="s">
        <v>7837</v>
      </c>
      <c r="AZ2477" t="s">
        <v>207</v>
      </c>
      <c r="BA2477" t="s">
        <v>208</v>
      </c>
      <c r="BE2477" s="3">
        <v>42236</v>
      </c>
      <c r="BF2477" s="1">
        <v>235000</v>
      </c>
      <c r="BG2477" t="s">
        <v>16532</v>
      </c>
      <c r="BH2477" s="1">
        <v>173.05</v>
      </c>
      <c r="BI2477" s="1">
        <v>235000</v>
      </c>
      <c r="BJ2477" s="3">
        <v>42236</v>
      </c>
      <c r="BK2477" t="s">
        <v>123</v>
      </c>
      <c r="BL2477" t="str">
        <f>"2015.604530"</f>
        <v>2015.604530</v>
      </c>
      <c r="BM2477" t="s">
        <v>3810</v>
      </c>
      <c r="BO2477" t="s">
        <v>16533</v>
      </c>
      <c r="BS2477">
        <v>30</v>
      </c>
      <c r="BW2477" t="str">
        <f>""</f>
        <v/>
      </c>
      <c r="CH2477" t="str">
        <f>""</f>
        <v/>
      </c>
      <c r="CS2477" t="str">
        <f>""</f>
        <v/>
      </c>
    </row>
    <row r="2478" spans="1:97" x14ac:dyDescent="0.25">
      <c r="A2478" t="s">
        <v>2811</v>
      </c>
      <c r="B2478" t="s">
        <v>16534</v>
      </c>
      <c r="C2478" t="s">
        <v>16535</v>
      </c>
      <c r="D2478" t="s">
        <v>16536</v>
      </c>
      <c r="E2478" t="s">
        <v>16537</v>
      </c>
      <c r="F2478" t="s">
        <v>282</v>
      </c>
      <c r="H2478" t="s">
        <v>16538</v>
      </c>
      <c r="I2478" t="s">
        <v>203</v>
      </c>
      <c r="J2478" t="s">
        <v>111</v>
      </c>
      <c r="K2478" t="str">
        <f>"85296"</f>
        <v>85296</v>
      </c>
      <c r="L2478" t="s">
        <v>9293</v>
      </c>
      <c r="M2478" t="s">
        <v>16539</v>
      </c>
      <c r="N2478" t="s">
        <v>110</v>
      </c>
      <c r="O2478" t="s">
        <v>111</v>
      </c>
      <c r="P2478" t="str">
        <f>"85225-2805"</f>
        <v>85225-2805</v>
      </c>
      <c r="Q2478" t="s">
        <v>113</v>
      </c>
      <c r="R2478" t="str">
        <f>"309-11-004"</f>
        <v>309-11-004</v>
      </c>
      <c r="S2478" t="s">
        <v>16540</v>
      </c>
      <c r="T2478" t="s">
        <v>14454</v>
      </c>
      <c r="U2478">
        <v>1973</v>
      </c>
      <c r="V2478">
        <v>0</v>
      </c>
      <c r="W2478">
        <v>3</v>
      </c>
      <c r="X2478">
        <v>1997</v>
      </c>
      <c r="Z2478">
        <v>2</v>
      </c>
      <c r="AA2478" t="s">
        <v>26</v>
      </c>
      <c r="AB2478">
        <v>0</v>
      </c>
      <c r="AC2478" t="s">
        <v>115</v>
      </c>
      <c r="AD2478">
        <v>2</v>
      </c>
      <c r="AE2478" t="s">
        <v>115</v>
      </c>
      <c r="AF2478">
        <v>0</v>
      </c>
      <c r="AG2478">
        <v>0</v>
      </c>
      <c r="AH2478" t="s">
        <v>116</v>
      </c>
      <c r="AI2478" s="1">
        <v>88919</v>
      </c>
      <c r="AJ2478" s="2">
        <v>0.27</v>
      </c>
      <c r="AK2478" s="1">
        <v>333057</v>
      </c>
      <c r="AL2478" t="s">
        <v>117</v>
      </c>
      <c r="AM2478" t="s">
        <v>191</v>
      </c>
      <c r="AN2478">
        <v>6521</v>
      </c>
      <c r="AO2478">
        <v>0.15</v>
      </c>
      <c r="AP2478">
        <v>1</v>
      </c>
      <c r="AR2478">
        <v>1</v>
      </c>
      <c r="AS2478" s="1">
        <v>22670</v>
      </c>
      <c r="AT2478" s="1">
        <v>4530</v>
      </c>
      <c r="AU2478" s="1">
        <v>18140</v>
      </c>
      <c r="AV2478">
        <v>80.02</v>
      </c>
      <c r="AX2478" s="1">
        <v>1871.62</v>
      </c>
      <c r="AY2478" t="s">
        <v>5032</v>
      </c>
      <c r="AZ2478" t="s">
        <v>520</v>
      </c>
      <c r="BA2478" t="s">
        <v>5033</v>
      </c>
      <c r="BE2478" s="3">
        <v>41764</v>
      </c>
      <c r="BF2478" s="1">
        <v>239000</v>
      </c>
      <c r="BG2478" t="s">
        <v>16541</v>
      </c>
      <c r="BH2478" s="1">
        <v>121.14</v>
      </c>
      <c r="BI2478" s="1">
        <v>244138</v>
      </c>
      <c r="BJ2478" s="3">
        <v>41764</v>
      </c>
      <c r="BK2478" t="s">
        <v>123</v>
      </c>
      <c r="BL2478" t="str">
        <f>"2014.291250"</f>
        <v>2014.291250</v>
      </c>
      <c r="BM2478" t="s">
        <v>1038</v>
      </c>
      <c r="BO2478" t="s">
        <v>16542</v>
      </c>
      <c r="BP2478" t="s">
        <v>16543</v>
      </c>
      <c r="BS2478">
        <v>30</v>
      </c>
      <c r="BW2478" t="str">
        <f>""</f>
        <v/>
      </c>
      <c r="CH2478" t="str">
        <f>""</f>
        <v/>
      </c>
      <c r="CS2478" t="str">
        <f>""</f>
        <v/>
      </c>
    </row>
    <row r="2479" spans="1:97" x14ac:dyDescent="0.25">
      <c r="A2479" t="s">
        <v>16544</v>
      </c>
      <c r="B2479" t="s">
        <v>6643</v>
      </c>
      <c r="C2479" t="s">
        <v>8839</v>
      </c>
      <c r="D2479" t="s">
        <v>6643</v>
      </c>
      <c r="E2479" t="s">
        <v>16545</v>
      </c>
      <c r="F2479" t="s">
        <v>108</v>
      </c>
      <c r="H2479" t="s">
        <v>16546</v>
      </c>
      <c r="I2479" t="s">
        <v>499</v>
      </c>
      <c r="J2479" t="s">
        <v>111</v>
      </c>
      <c r="K2479" t="str">
        <f>"85338"</f>
        <v>85338</v>
      </c>
      <c r="L2479" t="s">
        <v>6481</v>
      </c>
      <c r="M2479" t="s">
        <v>16546</v>
      </c>
      <c r="N2479" t="s">
        <v>499</v>
      </c>
      <c r="O2479" t="s">
        <v>111</v>
      </c>
      <c r="P2479" t="str">
        <f>"85338-2780"</f>
        <v>85338-2780</v>
      </c>
      <c r="Q2479" t="s">
        <v>113</v>
      </c>
      <c r="R2479" t="str">
        <f>"500-96-646"</f>
        <v>500-96-646</v>
      </c>
      <c r="S2479" t="s">
        <v>11223</v>
      </c>
      <c r="U2479">
        <v>2992</v>
      </c>
      <c r="V2479">
        <v>0</v>
      </c>
      <c r="W2479">
        <v>4</v>
      </c>
      <c r="X2479">
        <v>2015</v>
      </c>
      <c r="Z2479">
        <v>2</v>
      </c>
      <c r="AB2479">
        <v>0</v>
      </c>
      <c r="AC2479" t="s">
        <v>115</v>
      </c>
      <c r="AD2479">
        <v>3</v>
      </c>
      <c r="AE2479" t="s">
        <v>115</v>
      </c>
      <c r="AF2479">
        <v>0</v>
      </c>
      <c r="AG2479">
        <v>0</v>
      </c>
      <c r="AH2479" t="s">
        <v>116</v>
      </c>
      <c r="AI2479" s="1">
        <v>49770</v>
      </c>
      <c r="AJ2479" s="2">
        <v>0.15</v>
      </c>
      <c r="AK2479" s="1">
        <v>328680</v>
      </c>
      <c r="AL2479" t="s">
        <v>117</v>
      </c>
      <c r="AM2479" t="s">
        <v>118</v>
      </c>
      <c r="AN2479">
        <v>6325</v>
      </c>
      <c r="AO2479">
        <v>0.14000000000000001</v>
      </c>
      <c r="AR2479">
        <v>1</v>
      </c>
      <c r="AS2479" s="1">
        <v>22780</v>
      </c>
      <c r="AT2479" s="1">
        <v>4550</v>
      </c>
      <c r="AU2479" s="1">
        <v>18230</v>
      </c>
      <c r="AV2479">
        <v>80.03</v>
      </c>
      <c r="AX2479" s="1">
        <v>1991.82</v>
      </c>
      <c r="AY2479" t="s">
        <v>6319</v>
      </c>
      <c r="AZ2479" t="s">
        <v>6319</v>
      </c>
      <c r="BA2479" t="s">
        <v>218</v>
      </c>
      <c r="BE2479" s="3">
        <v>42300</v>
      </c>
      <c r="BF2479" s="1">
        <v>270000</v>
      </c>
      <c r="BG2479" t="s">
        <v>158</v>
      </c>
      <c r="BH2479" s="1">
        <v>90.24</v>
      </c>
      <c r="BI2479" s="1">
        <v>278910</v>
      </c>
      <c r="BJ2479" s="3">
        <v>42300</v>
      </c>
      <c r="BK2479" t="s">
        <v>123</v>
      </c>
      <c r="BL2479" t="str">
        <f>"2015.764460"</f>
        <v>2015.764460</v>
      </c>
      <c r="BM2479" t="s">
        <v>241</v>
      </c>
      <c r="BO2479" t="s">
        <v>16547</v>
      </c>
      <c r="BS2479">
        <v>30</v>
      </c>
      <c r="BW2479" t="str">
        <f>""</f>
        <v/>
      </c>
      <c r="CH2479" t="str">
        <f>""</f>
        <v/>
      </c>
      <c r="CS2479" t="str">
        <f>""</f>
        <v/>
      </c>
    </row>
    <row r="2480" spans="1:97" x14ac:dyDescent="0.25">
      <c r="A2480" t="s">
        <v>365</v>
      </c>
      <c r="B2480" t="s">
        <v>16548</v>
      </c>
      <c r="C2480" t="s">
        <v>3187</v>
      </c>
      <c r="D2480" t="s">
        <v>16548</v>
      </c>
      <c r="E2480" t="s">
        <v>16549</v>
      </c>
      <c r="F2480" t="s">
        <v>108</v>
      </c>
      <c r="H2480" t="s">
        <v>16550</v>
      </c>
      <c r="I2480" t="s">
        <v>225</v>
      </c>
      <c r="J2480" t="s">
        <v>111</v>
      </c>
      <c r="K2480" t="str">
        <f>"85201"</f>
        <v>85201</v>
      </c>
      <c r="L2480" t="s">
        <v>1312</v>
      </c>
      <c r="M2480" t="s">
        <v>16550</v>
      </c>
      <c r="N2480" t="s">
        <v>225</v>
      </c>
      <c r="O2480" t="s">
        <v>111</v>
      </c>
      <c r="P2480" t="str">
        <f>"85201-6213"</f>
        <v>85201-6213</v>
      </c>
      <c r="Q2480" t="s">
        <v>113</v>
      </c>
      <c r="R2480" t="str">
        <f>"135-49-055"</f>
        <v>135-49-055</v>
      </c>
      <c r="S2480" t="s">
        <v>16551</v>
      </c>
      <c r="T2480" t="s">
        <v>16552</v>
      </c>
      <c r="U2480">
        <v>2023</v>
      </c>
      <c r="V2480">
        <v>0</v>
      </c>
      <c r="W2480">
        <v>2</v>
      </c>
      <c r="X2480">
        <v>1969</v>
      </c>
      <c r="Z2480">
        <v>1</v>
      </c>
      <c r="AB2480">
        <v>0</v>
      </c>
      <c r="AC2480" t="s">
        <v>115</v>
      </c>
      <c r="AD2480">
        <v>2</v>
      </c>
      <c r="AE2480" t="s">
        <v>115</v>
      </c>
      <c r="AF2480">
        <v>0</v>
      </c>
      <c r="AG2480">
        <v>0</v>
      </c>
      <c r="AH2480" t="s">
        <v>116</v>
      </c>
      <c r="AI2480" s="1">
        <v>91265</v>
      </c>
      <c r="AJ2480" s="2">
        <v>0.3</v>
      </c>
      <c r="AK2480" s="1">
        <v>300305</v>
      </c>
      <c r="AL2480" t="s">
        <v>117</v>
      </c>
      <c r="AM2480" t="s">
        <v>191</v>
      </c>
      <c r="AN2480">
        <v>10420</v>
      </c>
      <c r="AO2480">
        <v>0.24</v>
      </c>
      <c r="AP2480">
        <v>1</v>
      </c>
      <c r="AR2480">
        <v>1</v>
      </c>
      <c r="AS2480" s="1">
        <v>20070</v>
      </c>
      <c r="AT2480" s="1">
        <v>4010</v>
      </c>
      <c r="AU2480" s="1">
        <v>16060</v>
      </c>
      <c r="AV2480">
        <v>80.02</v>
      </c>
      <c r="AX2480" s="1">
        <v>929.9</v>
      </c>
      <c r="AY2480" t="s">
        <v>16553</v>
      </c>
      <c r="AZ2480" t="s">
        <v>7850</v>
      </c>
      <c r="BA2480" t="s">
        <v>5191</v>
      </c>
      <c r="BE2480" s="3">
        <v>42318</v>
      </c>
      <c r="BF2480" s="1">
        <v>202000</v>
      </c>
      <c r="BG2480" t="s">
        <v>16554</v>
      </c>
      <c r="BH2480" s="1">
        <v>99.85</v>
      </c>
      <c r="BI2480" s="1">
        <v>209040</v>
      </c>
      <c r="BJ2480" s="3">
        <v>42663</v>
      </c>
      <c r="BK2480" t="s">
        <v>123</v>
      </c>
      <c r="BL2480" t="str">
        <f>"2016.769467"</f>
        <v>2016.769467</v>
      </c>
      <c r="BM2480" t="s">
        <v>322</v>
      </c>
      <c r="BO2480" t="s">
        <v>16555</v>
      </c>
      <c r="BS2480">
        <v>30</v>
      </c>
      <c r="BW2480" t="str">
        <f>""</f>
        <v/>
      </c>
      <c r="CH2480" t="str">
        <f>""</f>
        <v/>
      </c>
      <c r="CS2480" t="str">
        <f>""</f>
        <v/>
      </c>
    </row>
    <row r="2481" spans="1:97" x14ac:dyDescent="0.25">
      <c r="A2481" t="s">
        <v>970</v>
      </c>
      <c r="B2481" t="s">
        <v>16556</v>
      </c>
      <c r="C2481" t="s">
        <v>10570</v>
      </c>
      <c r="D2481" t="s">
        <v>16556</v>
      </c>
      <c r="E2481" t="s">
        <v>16557</v>
      </c>
      <c r="F2481" t="s">
        <v>282</v>
      </c>
      <c r="H2481" t="s">
        <v>16558</v>
      </c>
      <c r="I2481" t="s">
        <v>1936</v>
      </c>
      <c r="J2481" t="s">
        <v>111</v>
      </c>
      <c r="K2481" t="str">
        <f>"85254"</f>
        <v>85254</v>
      </c>
      <c r="L2481" t="s">
        <v>10238</v>
      </c>
      <c r="M2481" t="s">
        <v>16559</v>
      </c>
      <c r="N2481" t="s">
        <v>16560</v>
      </c>
      <c r="O2481" t="s">
        <v>360</v>
      </c>
      <c r="P2481" t="str">
        <f>"93635-2973"</f>
        <v>93635-2973</v>
      </c>
      <c r="Q2481" t="s">
        <v>113</v>
      </c>
      <c r="R2481" t="str">
        <f>"215-33-056"</f>
        <v>215-33-056</v>
      </c>
      <c r="S2481" t="s">
        <v>16561</v>
      </c>
      <c r="T2481" t="s">
        <v>16562</v>
      </c>
      <c r="U2481">
        <v>1486</v>
      </c>
      <c r="V2481">
        <v>0</v>
      </c>
      <c r="W2481">
        <v>2</v>
      </c>
      <c r="X2481">
        <v>1979</v>
      </c>
      <c r="Z2481">
        <v>1</v>
      </c>
      <c r="AA2481" t="s">
        <v>26</v>
      </c>
      <c r="AB2481">
        <v>0</v>
      </c>
      <c r="AC2481" t="s">
        <v>115</v>
      </c>
      <c r="AD2481">
        <v>2</v>
      </c>
      <c r="AE2481" t="s">
        <v>115</v>
      </c>
      <c r="AF2481">
        <v>0</v>
      </c>
      <c r="AG2481">
        <v>0</v>
      </c>
      <c r="AH2481" t="s">
        <v>116</v>
      </c>
      <c r="AI2481" s="1">
        <v>10637</v>
      </c>
      <c r="AJ2481" s="2">
        <v>0.03</v>
      </c>
      <c r="AK2481" s="1">
        <v>401627</v>
      </c>
      <c r="AL2481" t="s">
        <v>117</v>
      </c>
      <c r="AM2481" t="s">
        <v>1302</v>
      </c>
      <c r="AN2481">
        <v>10374</v>
      </c>
      <c r="AO2481">
        <v>0.24</v>
      </c>
      <c r="AP2481">
        <v>1</v>
      </c>
      <c r="AR2481">
        <v>1</v>
      </c>
      <c r="AS2481" s="1">
        <v>27680</v>
      </c>
      <c r="AT2481" s="1">
        <v>5530</v>
      </c>
      <c r="AU2481" s="1">
        <v>22150</v>
      </c>
      <c r="AV2481">
        <v>80.02</v>
      </c>
      <c r="AX2481" s="1">
        <v>2812.2</v>
      </c>
      <c r="AY2481" t="s">
        <v>2767</v>
      </c>
      <c r="AZ2481" t="s">
        <v>1317</v>
      </c>
      <c r="BA2481" t="s">
        <v>6302</v>
      </c>
      <c r="BE2481" s="3">
        <v>42467</v>
      </c>
      <c r="BF2481" s="1">
        <v>378500</v>
      </c>
      <c r="BG2481" t="s">
        <v>16563</v>
      </c>
      <c r="BH2481" s="1">
        <v>254.71</v>
      </c>
      <c r="BI2481" s="1">
        <v>390990</v>
      </c>
      <c r="BJ2481" s="3">
        <v>42467</v>
      </c>
      <c r="BK2481" t="s">
        <v>123</v>
      </c>
      <c r="BL2481" t="str">
        <f>"2016.229979"</f>
        <v>2016.229979</v>
      </c>
      <c r="BM2481" t="s">
        <v>709</v>
      </c>
      <c r="BO2481" t="s">
        <v>16564</v>
      </c>
      <c r="BS2481">
        <v>30</v>
      </c>
      <c r="BW2481" t="str">
        <f>""</f>
        <v/>
      </c>
      <c r="CH2481" t="str">
        <f>""</f>
        <v/>
      </c>
      <c r="CS2481" t="str">
        <f>""</f>
        <v/>
      </c>
    </row>
    <row r="2482" spans="1:97" x14ac:dyDescent="0.25">
      <c r="A2482" t="s">
        <v>14068</v>
      </c>
      <c r="B2482" t="s">
        <v>3689</v>
      </c>
      <c r="C2482" t="s">
        <v>1289</v>
      </c>
      <c r="D2482" t="s">
        <v>3689</v>
      </c>
      <c r="E2482" t="s">
        <v>16565</v>
      </c>
      <c r="F2482" t="s">
        <v>108</v>
      </c>
      <c r="H2482" t="s">
        <v>16566</v>
      </c>
      <c r="I2482" t="s">
        <v>110</v>
      </c>
      <c r="J2482" t="s">
        <v>111</v>
      </c>
      <c r="K2482" t="str">
        <f>"85225"</f>
        <v>85225</v>
      </c>
      <c r="L2482" t="s">
        <v>5138</v>
      </c>
      <c r="M2482" t="s">
        <v>16566</v>
      </c>
      <c r="N2482" t="s">
        <v>110</v>
      </c>
      <c r="O2482" t="s">
        <v>111</v>
      </c>
      <c r="P2482" t="str">
        <f>"85225-8439"</f>
        <v>85225-8439</v>
      </c>
      <c r="Q2482" t="s">
        <v>113</v>
      </c>
      <c r="R2482" t="str">
        <f>"302-38-171"</f>
        <v>302-38-171</v>
      </c>
      <c r="S2482" t="s">
        <v>16567</v>
      </c>
      <c r="U2482">
        <v>1311</v>
      </c>
      <c r="V2482">
        <v>0</v>
      </c>
      <c r="W2482">
        <v>2</v>
      </c>
      <c r="X2482">
        <v>1984</v>
      </c>
      <c r="Z2482">
        <v>1</v>
      </c>
      <c r="AA2482" t="s">
        <v>26</v>
      </c>
      <c r="AB2482">
        <v>0</v>
      </c>
      <c r="AC2482" t="s">
        <v>115</v>
      </c>
      <c r="AD2482">
        <v>2</v>
      </c>
      <c r="AE2482" t="s">
        <v>115</v>
      </c>
      <c r="AF2482">
        <v>0</v>
      </c>
      <c r="AG2482">
        <v>0</v>
      </c>
      <c r="AH2482" t="s">
        <v>116</v>
      </c>
      <c r="AI2482" s="1">
        <v>39307</v>
      </c>
      <c r="AJ2482" s="2">
        <v>0.14000000000000001</v>
      </c>
      <c r="AK2482" s="1">
        <v>276897</v>
      </c>
      <c r="AL2482" t="s">
        <v>117</v>
      </c>
      <c r="AM2482" t="s">
        <v>118</v>
      </c>
      <c r="AN2482">
        <v>7854</v>
      </c>
      <c r="AO2482">
        <v>0.18</v>
      </c>
      <c r="AP2482">
        <v>1</v>
      </c>
      <c r="AR2482">
        <v>1</v>
      </c>
      <c r="AS2482" s="1">
        <v>19010</v>
      </c>
      <c r="AT2482" s="1">
        <v>3800</v>
      </c>
      <c r="AU2482" s="1">
        <v>15210</v>
      </c>
      <c r="AV2482">
        <v>80.010000000000005</v>
      </c>
      <c r="AX2482" s="1">
        <v>1196.52</v>
      </c>
      <c r="AY2482" t="s">
        <v>2956</v>
      </c>
      <c r="AZ2482" t="s">
        <v>5078</v>
      </c>
      <c r="BA2482" t="s">
        <v>2957</v>
      </c>
      <c r="BE2482" s="3">
        <v>42258</v>
      </c>
      <c r="BF2482" s="1">
        <v>225000</v>
      </c>
      <c r="BG2482" t="s">
        <v>16568</v>
      </c>
      <c r="BH2482" s="1">
        <v>171.62</v>
      </c>
      <c r="BI2482" s="1">
        <v>237590</v>
      </c>
      <c r="BJ2482" s="3">
        <v>42671</v>
      </c>
      <c r="BK2482" t="s">
        <v>123</v>
      </c>
      <c r="BL2482" t="str">
        <f>"2016.793278"</f>
        <v>2016.793278</v>
      </c>
      <c r="BM2482" t="s">
        <v>2458</v>
      </c>
      <c r="BO2482" t="s">
        <v>16569</v>
      </c>
      <c r="BS2482">
        <v>30</v>
      </c>
      <c r="BW2482" t="str">
        <f>""</f>
        <v/>
      </c>
      <c r="CH2482" t="str">
        <f>""</f>
        <v/>
      </c>
      <c r="CS2482" t="str">
        <f>""</f>
        <v/>
      </c>
    </row>
    <row r="2483" spans="1:97" x14ac:dyDescent="0.25">
      <c r="A2483" t="s">
        <v>2668</v>
      </c>
      <c r="B2483" t="s">
        <v>16570</v>
      </c>
      <c r="C2483" t="s">
        <v>870</v>
      </c>
      <c r="D2483" t="s">
        <v>16570</v>
      </c>
      <c r="E2483" t="s">
        <v>16571</v>
      </c>
      <c r="F2483" t="s">
        <v>108</v>
      </c>
      <c r="H2483" t="s">
        <v>16572</v>
      </c>
      <c r="I2483" t="s">
        <v>5114</v>
      </c>
      <c r="J2483" t="s">
        <v>111</v>
      </c>
      <c r="K2483" t="str">
        <f>"85392"</f>
        <v>85392</v>
      </c>
      <c r="L2483" t="s">
        <v>3430</v>
      </c>
      <c r="M2483" t="s">
        <v>16572</v>
      </c>
      <c r="N2483" t="s">
        <v>5114</v>
      </c>
      <c r="O2483" t="s">
        <v>111</v>
      </c>
      <c r="P2483" t="str">
        <f>"85392-4679"</f>
        <v>85392-4679</v>
      </c>
      <c r="Q2483" t="s">
        <v>113</v>
      </c>
      <c r="R2483" t="str">
        <f>"102-31-672"</f>
        <v>102-31-672</v>
      </c>
      <c r="S2483" t="s">
        <v>13479</v>
      </c>
      <c r="T2483" t="s">
        <v>13480</v>
      </c>
      <c r="U2483">
        <v>2133</v>
      </c>
      <c r="V2483">
        <v>0</v>
      </c>
      <c r="W2483">
        <v>3</v>
      </c>
      <c r="X2483">
        <v>2003</v>
      </c>
      <c r="Z2483">
        <v>1</v>
      </c>
      <c r="AA2483" t="s">
        <v>26</v>
      </c>
      <c r="AB2483">
        <v>0</v>
      </c>
      <c r="AC2483" t="s">
        <v>115</v>
      </c>
      <c r="AD2483">
        <v>3</v>
      </c>
      <c r="AE2483" t="s">
        <v>115</v>
      </c>
      <c r="AF2483">
        <v>0</v>
      </c>
      <c r="AG2483">
        <v>0</v>
      </c>
      <c r="AH2483" t="s">
        <v>116</v>
      </c>
      <c r="AI2483" s="1">
        <v>49276</v>
      </c>
      <c r="AJ2483" s="2">
        <v>0.16</v>
      </c>
      <c r="AK2483" s="1">
        <v>303376</v>
      </c>
      <c r="AL2483" t="s">
        <v>117</v>
      </c>
      <c r="AM2483" t="s">
        <v>118</v>
      </c>
      <c r="AN2483">
        <v>8125</v>
      </c>
      <c r="AO2483">
        <v>0.19</v>
      </c>
      <c r="AP2483">
        <v>1</v>
      </c>
      <c r="AR2483">
        <v>1</v>
      </c>
      <c r="AS2483" s="1">
        <v>21620</v>
      </c>
      <c r="AT2483" s="1">
        <v>4320</v>
      </c>
      <c r="AU2483" s="1">
        <v>17300</v>
      </c>
      <c r="AV2483">
        <v>80.02</v>
      </c>
      <c r="AX2483" s="1">
        <v>2247.14</v>
      </c>
      <c r="AY2483" t="s">
        <v>9887</v>
      </c>
      <c r="AZ2483" t="s">
        <v>9887</v>
      </c>
      <c r="BA2483" t="s">
        <v>5118</v>
      </c>
      <c r="BE2483" s="3">
        <v>42151</v>
      </c>
      <c r="BF2483" s="1">
        <v>243500</v>
      </c>
      <c r="BG2483" t="s">
        <v>16573</v>
      </c>
      <c r="BH2483" s="1">
        <v>114.16</v>
      </c>
      <c r="BI2483" s="1">
        <v>254100</v>
      </c>
      <c r="BJ2483" s="3">
        <v>42587</v>
      </c>
      <c r="BK2483" t="s">
        <v>123</v>
      </c>
      <c r="BL2483" t="str">
        <f>"2016.558918"</f>
        <v>2016.558918</v>
      </c>
      <c r="BM2483" t="s">
        <v>1122</v>
      </c>
      <c r="BO2483" t="s">
        <v>16574</v>
      </c>
      <c r="BS2483">
        <v>30</v>
      </c>
      <c r="BW2483" t="str">
        <f>""</f>
        <v/>
      </c>
      <c r="CH2483" t="str">
        <f>""</f>
        <v/>
      </c>
      <c r="CS2483" t="str">
        <f>""</f>
        <v/>
      </c>
    </row>
    <row r="2484" spans="1:97" x14ac:dyDescent="0.25">
      <c r="A2484" t="s">
        <v>16575</v>
      </c>
      <c r="B2484" t="s">
        <v>371</v>
      </c>
      <c r="E2484" t="s">
        <v>16576</v>
      </c>
      <c r="F2484" t="s">
        <v>139</v>
      </c>
      <c r="H2484" t="s">
        <v>16577</v>
      </c>
      <c r="I2484" t="s">
        <v>1788</v>
      </c>
      <c r="J2484" t="s">
        <v>111</v>
      </c>
      <c r="K2484" t="str">
        <f>"85355"</f>
        <v>85355</v>
      </c>
      <c r="L2484" t="s">
        <v>2197</v>
      </c>
      <c r="M2484" t="s">
        <v>16578</v>
      </c>
      <c r="N2484" t="s">
        <v>1788</v>
      </c>
      <c r="O2484" t="s">
        <v>111</v>
      </c>
      <c r="P2484" t="str">
        <f>"85355-4145"</f>
        <v>85355-4145</v>
      </c>
      <c r="Q2484" t="s">
        <v>113</v>
      </c>
      <c r="R2484" t="str">
        <f>"502-91-621"</f>
        <v>502-91-621</v>
      </c>
      <c r="S2484" t="s">
        <v>8290</v>
      </c>
      <c r="U2484">
        <v>2687</v>
      </c>
      <c r="V2484">
        <v>0</v>
      </c>
      <c r="W2484">
        <v>4</v>
      </c>
      <c r="X2484">
        <v>2006</v>
      </c>
      <c r="Z2484">
        <v>2</v>
      </c>
      <c r="AA2484" t="s">
        <v>26</v>
      </c>
      <c r="AB2484">
        <v>0</v>
      </c>
      <c r="AC2484" t="s">
        <v>115</v>
      </c>
      <c r="AD2484">
        <v>3</v>
      </c>
      <c r="AE2484" t="s">
        <v>115</v>
      </c>
      <c r="AF2484">
        <v>0</v>
      </c>
      <c r="AG2484">
        <v>0</v>
      </c>
      <c r="AH2484" t="s">
        <v>116</v>
      </c>
      <c r="AI2484" s="1">
        <v>13619</v>
      </c>
      <c r="AJ2484" s="2">
        <v>0.04</v>
      </c>
      <c r="AK2484" s="1">
        <v>325519</v>
      </c>
      <c r="AL2484" t="s">
        <v>117</v>
      </c>
      <c r="AM2484" t="s">
        <v>191</v>
      </c>
      <c r="AN2484">
        <v>6095</v>
      </c>
      <c r="AO2484">
        <v>0.14000000000000001</v>
      </c>
      <c r="AR2484">
        <v>1</v>
      </c>
      <c r="AS2484" s="1">
        <v>23000</v>
      </c>
      <c r="AT2484" s="1">
        <v>4310</v>
      </c>
      <c r="AU2484" s="1">
        <v>18690</v>
      </c>
      <c r="AV2484">
        <v>81.260000000000005</v>
      </c>
      <c r="AX2484" s="1">
        <v>1465.12</v>
      </c>
      <c r="AY2484" t="s">
        <v>5972</v>
      </c>
      <c r="AZ2484" t="s">
        <v>5972</v>
      </c>
      <c r="BA2484" t="s">
        <v>5061</v>
      </c>
      <c r="BE2484" s="3">
        <v>42374</v>
      </c>
      <c r="BF2484" s="1">
        <v>270000</v>
      </c>
      <c r="BG2484" t="s">
        <v>16579</v>
      </c>
      <c r="BH2484" s="1">
        <v>100.48</v>
      </c>
      <c r="BI2484" s="1">
        <v>311900</v>
      </c>
      <c r="BJ2484" s="3">
        <v>43327</v>
      </c>
      <c r="BK2484" t="s">
        <v>123</v>
      </c>
      <c r="BL2484" t="str">
        <f>"2018.617180"</f>
        <v>2018.617180</v>
      </c>
      <c r="BM2484" t="s">
        <v>460</v>
      </c>
      <c r="BN2484" t="s">
        <v>461</v>
      </c>
      <c r="BO2484" t="s">
        <v>16576</v>
      </c>
      <c r="BR2484" t="s">
        <v>139</v>
      </c>
      <c r="BW2484" t="str">
        <f>""</f>
        <v/>
      </c>
      <c r="CH2484" t="str">
        <f>""</f>
        <v/>
      </c>
      <c r="CS2484" t="str">
        <f>""</f>
        <v/>
      </c>
    </row>
    <row r="2485" spans="1:97" x14ac:dyDescent="0.25">
      <c r="A2485" t="s">
        <v>1344</v>
      </c>
      <c r="B2485" t="s">
        <v>2428</v>
      </c>
      <c r="C2485" t="s">
        <v>16580</v>
      </c>
      <c r="D2485" t="s">
        <v>2428</v>
      </c>
      <c r="E2485" t="s">
        <v>16581</v>
      </c>
      <c r="F2485" t="s">
        <v>108</v>
      </c>
      <c r="H2485" t="s">
        <v>16582</v>
      </c>
      <c r="I2485" t="s">
        <v>632</v>
      </c>
      <c r="J2485" t="s">
        <v>111</v>
      </c>
      <c r="K2485" t="str">
        <f>"85379"</f>
        <v>85379</v>
      </c>
      <c r="L2485" t="s">
        <v>5058</v>
      </c>
      <c r="M2485" t="s">
        <v>16582</v>
      </c>
      <c r="N2485" t="s">
        <v>632</v>
      </c>
      <c r="O2485" t="s">
        <v>111</v>
      </c>
      <c r="P2485" t="str">
        <f>"85379-1194"</f>
        <v>85379-1194</v>
      </c>
      <c r="Q2485" t="s">
        <v>113</v>
      </c>
      <c r="R2485" t="str">
        <f>"501-79-423"</f>
        <v>501-79-423</v>
      </c>
      <c r="S2485" t="s">
        <v>5059</v>
      </c>
      <c r="U2485">
        <v>2922</v>
      </c>
      <c r="V2485">
        <v>0</v>
      </c>
      <c r="W2485">
        <v>4</v>
      </c>
      <c r="X2485">
        <v>2015</v>
      </c>
      <c r="Z2485">
        <v>2</v>
      </c>
      <c r="AB2485">
        <v>0</v>
      </c>
      <c r="AC2485" t="s">
        <v>115</v>
      </c>
      <c r="AD2485">
        <v>3</v>
      </c>
      <c r="AE2485" t="s">
        <v>115</v>
      </c>
      <c r="AF2485">
        <v>0</v>
      </c>
      <c r="AG2485">
        <v>0</v>
      </c>
      <c r="AH2485" t="s">
        <v>116</v>
      </c>
      <c r="AI2485" s="1">
        <v>68884</v>
      </c>
      <c r="AJ2485" s="2">
        <v>0.19</v>
      </c>
      <c r="AK2485" s="1">
        <v>357204</v>
      </c>
      <c r="AL2485" t="s">
        <v>117</v>
      </c>
      <c r="AM2485" t="s">
        <v>118</v>
      </c>
      <c r="AN2485">
        <v>6670</v>
      </c>
      <c r="AO2485">
        <v>0.15</v>
      </c>
      <c r="AR2485">
        <v>1</v>
      </c>
      <c r="AS2485" s="1">
        <v>25570</v>
      </c>
      <c r="AT2485" s="1">
        <v>5110</v>
      </c>
      <c r="AU2485" s="1">
        <v>20460</v>
      </c>
      <c r="AV2485">
        <v>80.02</v>
      </c>
      <c r="AX2485" s="1">
        <v>2109.88</v>
      </c>
      <c r="AY2485" t="s">
        <v>5060</v>
      </c>
      <c r="AZ2485" t="s">
        <v>5060</v>
      </c>
      <c r="BA2485" t="s">
        <v>5061</v>
      </c>
      <c r="BE2485" s="3">
        <v>42412</v>
      </c>
      <c r="BF2485" s="1">
        <v>279110</v>
      </c>
      <c r="BG2485" t="s">
        <v>292</v>
      </c>
      <c r="BH2485" s="1">
        <v>95.52</v>
      </c>
      <c r="BI2485" s="1">
        <v>288320</v>
      </c>
      <c r="BJ2485" s="3">
        <v>42412</v>
      </c>
      <c r="BK2485" t="s">
        <v>123</v>
      </c>
      <c r="BL2485" t="str">
        <f>"2016.91113"</f>
        <v>2016.91113</v>
      </c>
      <c r="BM2485" t="s">
        <v>1831</v>
      </c>
      <c r="BO2485" t="s">
        <v>16583</v>
      </c>
      <c r="BS2485">
        <v>30</v>
      </c>
      <c r="BW2485" t="str">
        <f>""</f>
        <v/>
      </c>
      <c r="CH2485" t="str">
        <f>""</f>
        <v/>
      </c>
      <c r="CS2485" t="str">
        <f>""</f>
        <v/>
      </c>
    </row>
    <row r="2486" spans="1:97" x14ac:dyDescent="0.25">
      <c r="A2486" t="s">
        <v>639</v>
      </c>
      <c r="B2486" t="s">
        <v>16584</v>
      </c>
      <c r="C2486" t="s">
        <v>513</v>
      </c>
      <c r="D2486" t="s">
        <v>16584</v>
      </c>
      <c r="E2486" t="s">
        <v>16585</v>
      </c>
      <c r="F2486" t="s">
        <v>108</v>
      </c>
      <c r="H2486" t="s">
        <v>16586</v>
      </c>
      <c r="I2486" t="s">
        <v>390</v>
      </c>
      <c r="J2486" t="s">
        <v>111</v>
      </c>
      <c r="K2486" t="str">
        <f>"85050"</f>
        <v>85050</v>
      </c>
      <c r="L2486" t="s">
        <v>5709</v>
      </c>
      <c r="M2486" t="s">
        <v>16586</v>
      </c>
      <c r="N2486" t="s">
        <v>390</v>
      </c>
      <c r="O2486" t="s">
        <v>111</v>
      </c>
      <c r="P2486" t="str">
        <f>"85050-3415"</f>
        <v>85050-3415</v>
      </c>
      <c r="Q2486" t="s">
        <v>113</v>
      </c>
      <c r="R2486" t="str">
        <f>"213-16-007-E"</f>
        <v>213-16-007-E</v>
      </c>
      <c r="U2486">
        <v>1960</v>
      </c>
      <c r="V2486">
        <v>0</v>
      </c>
      <c r="W2486">
        <v>3</v>
      </c>
      <c r="X2486">
        <v>1989</v>
      </c>
      <c r="Z2486">
        <v>1</v>
      </c>
      <c r="AA2486" t="s">
        <v>26</v>
      </c>
      <c r="AB2486">
        <v>0</v>
      </c>
      <c r="AC2486" t="s">
        <v>115</v>
      </c>
      <c r="AD2486">
        <v>2</v>
      </c>
      <c r="AE2486" t="s">
        <v>115</v>
      </c>
      <c r="AF2486">
        <v>0</v>
      </c>
      <c r="AG2486">
        <v>0</v>
      </c>
      <c r="AH2486" t="s">
        <v>116</v>
      </c>
      <c r="AI2486" s="1">
        <v>117718</v>
      </c>
      <c r="AJ2486" s="2">
        <v>0.33</v>
      </c>
      <c r="AK2486" s="1">
        <v>352618</v>
      </c>
      <c r="AL2486" t="s">
        <v>117</v>
      </c>
      <c r="AM2486" t="s">
        <v>171</v>
      </c>
      <c r="AN2486">
        <v>11386</v>
      </c>
      <c r="AO2486">
        <v>0.26</v>
      </c>
      <c r="AR2486">
        <v>1</v>
      </c>
      <c r="AS2486" s="1">
        <v>26010</v>
      </c>
      <c r="AT2486" s="1">
        <v>5200</v>
      </c>
      <c r="AU2486" s="1">
        <v>20810</v>
      </c>
      <c r="AV2486">
        <v>80.010000000000005</v>
      </c>
      <c r="AX2486" s="1">
        <v>2076</v>
      </c>
      <c r="AY2486" t="s">
        <v>5710</v>
      </c>
      <c r="AZ2486" t="s">
        <v>761</v>
      </c>
      <c r="BA2486" t="s">
        <v>762</v>
      </c>
      <c r="BE2486" s="3">
        <v>42506</v>
      </c>
      <c r="BF2486" s="1">
        <v>290000</v>
      </c>
      <c r="BG2486" t="s">
        <v>16587</v>
      </c>
      <c r="BH2486" s="1">
        <v>147.96</v>
      </c>
      <c r="BI2486" s="1">
        <v>234900</v>
      </c>
      <c r="BJ2486" s="3">
        <v>42506</v>
      </c>
      <c r="BK2486" t="s">
        <v>123</v>
      </c>
      <c r="BL2486" t="str">
        <f>"2016.335335"</f>
        <v>2016.335335</v>
      </c>
      <c r="BM2486" t="s">
        <v>955</v>
      </c>
      <c r="BO2486" t="s">
        <v>16588</v>
      </c>
      <c r="BS2486">
        <v>30</v>
      </c>
      <c r="BW2486" t="str">
        <f>""</f>
        <v/>
      </c>
      <c r="CH2486" t="str">
        <f>""</f>
        <v/>
      </c>
      <c r="CS2486" t="str">
        <f>""</f>
        <v/>
      </c>
    </row>
    <row r="2487" spans="1:97" x14ac:dyDescent="0.25">
      <c r="A2487" t="s">
        <v>4327</v>
      </c>
      <c r="B2487" t="s">
        <v>16589</v>
      </c>
      <c r="C2487" t="s">
        <v>1289</v>
      </c>
      <c r="D2487" t="s">
        <v>16589</v>
      </c>
      <c r="E2487" t="s">
        <v>16590</v>
      </c>
      <c r="F2487" t="s">
        <v>139</v>
      </c>
      <c r="H2487" t="s">
        <v>16591</v>
      </c>
      <c r="I2487" t="s">
        <v>1788</v>
      </c>
      <c r="J2487" t="s">
        <v>111</v>
      </c>
      <c r="K2487" t="str">
        <f>"85355"</f>
        <v>85355</v>
      </c>
      <c r="L2487" t="s">
        <v>1789</v>
      </c>
      <c r="M2487" t="s">
        <v>16592</v>
      </c>
      <c r="N2487" t="s">
        <v>1788</v>
      </c>
      <c r="O2487" t="s">
        <v>111</v>
      </c>
      <c r="P2487" t="str">
        <f>"85355-9438"</f>
        <v>85355-9438</v>
      </c>
      <c r="Q2487" t="s">
        <v>113</v>
      </c>
      <c r="R2487" t="str">
        <f>"502-16-101"</f>
        <v>502-16-101</v>
      </c>
      <c r="S2487" t="s">
        <v>16593</v>
      </c>
      <c r="U2487">
        <v>2160</v>
      </c>
      <c r="V2487">
        <v>0</v>
      </c>
      <c r="W2487">
        <v>2</v>
      </c>
      <c r="X2487">
        <v>1985</v>
      </c>
      <c r="Z2487">
        <v>1</v>
      </c>
      <c r="AB2487">
        <v>0</v>
      </c>
      <c r="AC2487" t="s">
        <v>115</v>
      </c>
      <c r="AD2487">
        <v>2</v>
      </c>
      <c r="AE2487" t="s">
        <v>115</v>
      </c>
      <c r="AF2487">
        <v>0</v>
      </c>
      <c r="AG2487">
        <v>0</v>
      </c>
      <c r="AH2487" t="s">
        <v>116</v>
      </c>
      <c r="AI2487" s="1">
        <v>8164</v>
      </c>
      <c r="AJ2487" s="2">
        <v>0.02</v>
      </c>
      <c r="AK2487" s="1">
        <v>449914</v>
      </c>
      <c r="AL2487" t="s">
        <v>117</v>
      </c>
      <c r="AM2487" t="s">
        <v>376</v>
      </c>
      <c r="AN2487">
        <v>79744</v>
      </c>
      <c r="AO2487">
        <v>1.83</v>
      </c>
      <c r="AP2487">
        <v>1</v>
      </c>
      <c r="AR2487">
        <v>1</v>
      </c>
      <c r="AS2487" s="1">
        <v>29950</v>
      </c>
      <c r="AT2487" s="1">
        <v>5990</v>
      </c>
      <c r="AU2487" s="1">
        <v>23960</v>
      </c>
      <c r="AV2487">
        <v>80</v>
      </c>
      <c r="AX2487" s="1">
        <v>2092.2600000000002</v>
      </c>
      <c r="AY2487" t="s">
        <v>503</v>
      </c>
      <c r="AZ2487" t="s">
        <v>504</v>
      </c>
      <c r="BA2487" t="s">
        <v>218</v>
      </c>
      <c r="BE2487" s="3">
        <v>42467</v>
      </c>
      <c r="BF2487" s="1">
        <v>488000</v>
      </c>
      <c r="BG2487" t="s">
        <v>16594</v>
      </c>
      <c r="BH2487" s="1">
        <v>225.93</v>
      </c>
      <c r="BI2487" s="1">
        <v>441750</v>
      </c>
      <c r="BJ2487" s="3">
        <v>42467</v>
      </c>
      <c r="BK2487" t="s">
        <v>123</v>
      </c>
      <c r="BL2487" t="str">
        <f>"2016.229233"</f>
        <v>2016.229233</v>
      </c>
      <c r="BM2487" t="s">
        <v>724</v>
      </c>
      <c r="BO2487" t="s">
        <v>16595</v>
      </c>
      <c r="BS2487">
        <v>30</v>
      </c>
      <c r="BW2487" t="str">
        <f>""</f>
        <v/>
      </c>
      <c r="CH2487" t="str">
        <f>""</f>
        <v/>
      </c>
      <c r="CS2487" t="str">
        <f>""</f>
        <v/>
      </c>
    </row>
    <row r="2488" spans="1:97" x14ac:dyDescent="0.25">
      <c r="A2488" t="s">
        <v>589</v>
      </c>
      <c r="B2488" t="s">
        <v>16596</v>
      </c>
      <c r="C2488" t="s">
        <v>16597</v>
      </c>
      <c r="D2488" t="s">
        <v>16596</v>
      </c>
      <c r="E2488" t="s">
        <v>16598</v>
      </c>
      <c r="F2488" t="s">
        <v>108</v>
      </c>
      <c r="H2488" t="s">
        <v>16599</v>
      </c>
      <c r="I2488" t="s">
        <v>144</v>
      </c>
      <c r="J2488" t="s">
        <v>111</v>
      </c>
      <c r="K2488" t="str">
        <f>"85326"</f>
        <v>85326</v>
      </c>
      <c r="L2488" t="s">
        <v>5131</v>
      </c>
      <c r="M2488" t="s">
        <v>16599</v>
      </c>
      <c r="N2488" t="s">
        <v>144</v>
      </c>
      <c r="O2488" t="s">
        <v>111</v>
      </c>
      <c r="P2488" t="str">
        <f>"85326-4063"</f>
        <v>85326-4063</v>
      </c>
      <c r="Q2488" t="s">
        <v>113</v>
      </c>
      <c r="R2488" t="str">
        <f>"504-19-263"</f>
        <v>504-19-263</v>
      </c>
      <c r="S2488" t="s">
        <v>16600</v>
      </c>
      <c r="U2488">
        <v>1443</v>
      </c>
      <c r="V2488">
        <v>0</v>
      </c>
      <c r="W2488">
        <v>3</v>
      </c>
      <c r="X2488">
        <v>2005</v>
      </c>
      <c r="Z2488">
        <v>1</v>
      </c>
      <c r="AB2488">
        <v>0</v>
      </c>
      <c r="AC2488" t="s">
        <v>115</v>
      </c>
      <c r="AD2488">
        <v>2</v>
      </c>
      <c r="AE2488" t="s">
        <v>115</v>
      </c>
      <c r="AF2488">
        <v>0</v>
      </c>
      <c r="AG2488">
        <v>0</v>
      </c>
      <c r="AH2488" t="s">
        <v>116</v>
      </c>
      <c r="AI2488" s="1">
        <v>23277</v>
      </c>
      <c r="AJ2488" s="2">
        <v>0.1</v>
      </c>
      <c r="AK2488" s="1">
        <v>233757</v>
      </c>
      <c r="AL2488" t="s">
        <v>117</v>
      </c>
      <c r="AM2488" t="s">
        <v>118</v>
      </c>
      <c r="AN2488">
        <v>4950</v>
      </c>
      <c r="AO2488">
        <v>0.11</v>
      </c>
      <c r="AR2488">
        <v>1</v>
      </c>
      <c r="AS2488" s="1">
        <v>15860</v>
      </c>
      <c r="AT2488" s="1">
        <v>3170</v>
      </c>
      <c r="AU2488" s="1">
        <v>12690</v>
      </c>
      <c r="AV2488">
        <v>80.010000000000005</v>
      </c>
      <c r="AX2488" s="1">
        <v>2043.06</v>
      </c>
      <c r="AY2488" t="s">
        <v>7333</v>
      </c>
      <c r="AZ2488" t="s">
        <v>7333</v>
      </c>
      <c r="BA2488" t="s">
        <v>5025</v>
      </c>
      <c r="BB2488" s="3">
        <v>43572</v>
      </c>
      <c r="BC2488" s="1">
        <v>0</v>
      </c>
      <c r="BD2488" t="s">
        <v>247</v>
      </c>
      <c r="BE2488" s="3">
        <v>42473</v>
      </c>
      <c r="BF2488" s="1">
        <v>184900</v>
      </c>
      <c r="BG2488" t="s">
        <v>16601</v>
      </c>
      <c r="BH2488" s="1">
        <v>128.13999999999999</v>
      </c>
      <c r="BI2488" s="1">
        <v>210480</v>
      </c>
      <c r="BJ2488" s="3">
        <v>43572</v>
      </c>
      <c r="BK2488" t="s">
        <v>123</v>
      </c>
      <c r="BL2488" t="str">
        <f>"2019.268589"</f>
        <v>2019.268589</v>
      </c>
      <c r="BM2488" t="s">
        <v>4672</v>
      </c>
      <c r="BN2488" t="s">
        <v>1922</v>
      </c>
      <c r="BO2488" t="s">
        <v>16602</v>
      </c>
      <c r="BP2488" t="s">
        <v>16603</v>
      </c>
      <c r="BR2488" t="s">
        <v>139</v>
      </c>
      <c r="BW2488" t="str">
        <f>""</f>
        <v/>
      </c>
      <c r="CH2488" t="str">
        <f>""</f>
        <v/>
      </c>
      <c r="CS2488" t="str">
        <f>""</f>
        <v/>
      </c>
    </row>
    <row r="2489" spans="1:97" x14ac:dyDescent="0.25">
      <c r="A2489" t="s">
        <v>2123</v>
      </c>
      <c r="B2489" t="s">
        <v>4378</v>
      </c>
      <c r="E2489" t="s">
        <v>16604</v>
      </c>
      <c r="F2489" t="s">
        <v>108</v>
      </c>
      <c r="H2489" t="s">
        <v>16605</v>
      </c>
      <c r="I2489" t="s">
        <v>5387</v>
      </c>
      <c r="J2489" t="s">
        <v>111</v>
      </c>
      <c r="K2489" t="str">
        <f>"85283"</f>
        <v>85283</v>
      </c>
      <c r="L2489" t="s">
        <v>3982</v>
      </c>
      <c r="M2489" t="s">
        <v>16605</v>
      </c>
      <c r="N2489" t="s">
        <v>5387</v>
      </c>
      <c r="O2489" t="s">
        <v>111</v>
      </c>
      <c r="P2489" t="str">
        <f>"85283-4725"</f>
        <v>85283-4725</v>
      </c>
      <c r="Q2489" t="s">
        <v>113</v>
      </c>
      <c r="R2489" t="str">
        <f>"301-91-541"</f>
        <v>301-91-541</v>
      </c>
      <c r="S2489" t="s">
        <v>16606</v>
      </c>
      <c r="T2489" t="s">
        <v>12892</v>
      </c>
      <c r="U2489">
        <v>2624</v>
      </c>
      <c r="V2489">
        <v>0</v>
      </c>
      <c r="W2489">
        <v>4</v>
      </c>
      <c r="X2489">
        <v>1985</v>
      </c>
      <c r="Z2489">
        <v>2</v>
      </c>
      <c r="AA2489" t="s">
        <v>26</v>
      </c>
      <c r="AB2489">
        <v>0</v>
      </c>
      <c r="AC2489" t="s">
        <v>115</v>
      </c>
      <c r="AD2489">
        <v>3</v>
      </c>
      <c r="AE2489" t="s">
        <v>115</v>
      </c>
      <c r="AF2489">
        <v>0</v>
      </c>
      <c r="AG2489">
        <v>0</v>
      </c>
      <c r="AH2489" t="s">
        <v>116</v>
      </c>
      <c r="AI2489" s="1">
        <v>79580</v>
      </c>
      <c r="AJ2489" s="2">
        <v>0.17</v>
      </c>
      <c r="AK2489" s="1">
        <v>459480</v>
      </c>
      <c r="AL2489" t="s">
        <v>117</v>
      </c>
      <c r="AM2489" t="s">
        <v>393</v>
      </c>
      <c r="AN2489">
        <v>8939</v>
      </c>
      <c r="AO2489">
        <v>0.2</v>
      </c>
      <c r="AP2489">
        <v>1</v>
      </c>
      <c r="AR2489">
        <v>1</v>
      </c>
      <c r="AS2489" s="1">
        <v>33280</v>
      </c>
      <c r="AT2489" s="1">
        <v>6650</v>
      </c>
      <c r="AU2489" s="1">
        <v>26630</v>
      </c>
      <c r="AV2489">
        <v>80.02</v>
      </c>
      <c r="AX2489" s="1">
        <v>3264.7</v>
      </c>
      <c r="AY2489" t="s">
        <v>5857</v>
      </c>
      <c r="AZ2489" t="s">
        <v>5391</v>
      </c>
      <c r="BA2489" t="s">
        <v>5392</v>
      </c>
      <c r="BE2489" s="3">
        <v>42170</v>
      </c>
      <c r="BF2489" s="1">
        <v>379900</v>
      </c>
      <c r="BG2489" t="s">
        <v>16607</v>
      </c>
      <c r="BH2489" s="1">
        <v>144.78</v>
      </c>
      <c r="BI2489" s="1">
        <v>379900</v>
      </c>
      <c r="BJ2489" s="3">
        <v>42170</v>
      </c>
      <c r="BK2489" t="s">
        <v>123</v>
      </c>
      <c r="BL2489" t="str">
        <f>"2015.426820"</f>
        <v>2015.426820</v>
      </c>
      <c r="BM2489" t="s">
        <v>594</v>
      </c>
      <c r="BO2489" t="s">
        <v>16608</v>
      </c>
      <c r="BS2489">
        <v>30</v>
      </c>
      <c r="BW2489" t="str">
        <f>""</f>
        <v/>
      </c>
      <c r="CH2489" t="str">
        <f>""</f>
        <v/>
      </c>
      <c r="CS2489" t="str">
        <f>""</f>
        <v/>
      </c>
    </row>
    <row r="2490" spans="1:97" x14ac:dyDescent="0.25">
      <c r="A2490" t="s">
        <v>12368</v>
      </c>
      <c r="B2490" t="s">
        <v>16609</v>
      </c>
      <c r="C2490" t="s">
        <v>3831</v>
      </c>
      <c r="D2490" t="s">
        <v>16609</v>
      </c>
      <c r="E2490" t="s">
        <v>16610</v>
      </c>
      <c r="F2490" t="s">
        <v>108</v>
      </c>
      <c r="H2490" t="s">
        <v>16611</v>
      </c>
      <c r="I2490" t="s">
        <v>225</v>
      </c>
      <c r="J2490" t="s">
        <v>111</v>
      </c>
      <c r="K2490" t="str">
        <f>"85203"</f>
        <v>85203</v>
      </c>
      <c r="L2490" t="s">
        <v>4003</v>
      </c>
      <c r="M2490" t="s">
        <v>16611</v>
      </c>
      <c r="N2490" t="s">
        <v>225</v>
      </c>
      <c r="O2490" t="s">
        <v>111</v>
      </c>
      <c r="P2490" t="str">
        <f>"85203-5022"</f>
        <v>85203-5022</v>
      </c>
      <c r="Q2490" t="s">
        <v>113</v>
      </c>
      <c r="R2490" t="str">
        <f>"137-03-055"</f>
        <v>137-03-055</v>
      </c>
      <c r="S2490" t="s">
        <v>10313</v>
      </c>
      <c r="T2490" t="s">
        <v>10314</v>
      </c>
      <c r="U2490">
        <v>1810</v>
      </c>
      <c r="V2490">
        <v>0</v>
      </c>
      <c r="W2490">
        <v>2</v>
      </c>
      <c r="X2490">
        <v>1971</v>
      </c>
      <c r="Z2490">
        <v>1</v>
      </c>
      <c r="AA2490" t="s">
        <v>26</v>
      </c>
      <c r="AB2490">
        <v>0</v>
      </c>
      <c r="AC2490" t="s">
        <v>5188</v>
      </c>
      <c r="AD2490">
        <v>2</v>
      </c>
      <c r="AE2490" t="s">
        <v>5188</v>
      </c>
      <c r="AF2490">
        <v>0</v>
      </c>
      <c r="AG2490">
        <v>0</v>
      </c>
      <c r="AH2490" t="s">
        <v>116</v>
      </c>
      <c r="AI2490" s="1">
        <v>49794</v>
      </c>
      <c r="AJ2490" s="2">
        <v>0.15</v>
      </c>
      <c r="AK2490" s="1">
        <v>338794</v>
      </c>
      <c r="AL2490" t="s">
        <v>117</v>
      </c>
      <c r="AM2490" t="s">
        <v>917</v>
      </c>
      <c r="AN2490">
        <v>15969</v>
      </c>
      <c r="AO2490">
        <v>0.37</v>
      </c>
      <c r="AP2490">
        <v>1</v>
      </c>
      <c r="AR2490">
        <v>1</v>
      </c>
      <c r="AS2490" s="1">
        <v>21560</v>
      </c>
      <c r="AT2490" s="1">
        <v>4310</v>
      </c>
      <c r="AU2490" s="1">
        <v>17250</v>
      </c>
      <c r="AV2490">
        <v>80.010000000000005</v>
      </c>
      <c r="AX2490" s="1">
        <v>1530.46</v>
      </c>
      <c r="AY2490" t="s">
        <v>7578</v>
      </c>
      <c r="AZ2490" t="s">
        <v>1523</v>
      </c>
      <c r="BA2490" t="s">
        <v>1524</v>
      </c>
      <c r="BE2490" s="3">
        <v>42027</v>
      </c>
      <c r="BF2490" s="1">
        <v>289000</v>
      </c>
      <c r="BG2490" t="s">
        <v>16612</v>
      </c>
      <c r="BH2490" s="1">
        <v>159.66999999999999</v>
      </c>
      <c r="BI2490" s="1">
        <v>289000</v>
      </c>
      <c r="BJ2490" s="3">
        <v>42027</v>
      </c>
      <c r="BK2490" t="s">
        <v>123</v>
      </c>
      <c r="BL2490" t="str">
        <f>"2015.46675"</f>
        <v>2015.46675</v>
      </c>
      <c r="BM2490" t="s">
        <v>544</v>
      </c>
      <c r="BO2490" t="s">
        <v>16613</v>
      </c>
      <c r="BS2490">
        <v>30</v>
      </c>
      <c r="BW2490" t="str">
        <f>""</f>
        <v/>
      </c>
      <c r="CH2490" t="str">
        <f>""</f>
        <v/>
      </c>
      <c r="CS2490" t="str">
        <f>""</f>
        <v/>
      </c>
    </row>
    <row r="2491" spans="1:97" x14ac:dyDescent="0.25">
      <c r="A2491" t="s">
        <v>886</v>
      </c>
      <c r="B2491" t="s">
        <v>16614</v>
      </c>
      <c r="C2491" t="s">
        <v>8221</v>
      </c>
      <c r="D2491" t="s">
        <v>16614</v>
      </c>
      <c r="E2491" t="s">
        <v>16615</v>
      </c>
      <c r="F2491" t="s">
        <v>108</v>
      </c>
      <c r="H2491" t="s">
        <v>16616</v>
      </c>
      <c r="I2491" t="s">
        <v>110</v>
      </c>
      <c r="J2491" t="s">
        <v>111</v>
      </c>
      <c r="K2491" t="str">
        <f>"85226"</f>
        <v>85226</v>
      </c>
      <c r="L2491" t="s">
        <v>5464</v>
      </c>
      <c r="M2491" t="s">
        <v>16616</v>
      </c>
      <c r="N2491" t="s">
        <v>110</v>
      </c>
      <c r="O2491" t="s">
        <v>111</v>
      </c>
      <c r="P2491" t="str">
        <f>"85226-2399"</f>
        <v>85226-2399</v>
      </c>
      <c r="Q2491" t="s">
        <v>113</v>
      </c>
      <c r="R2491" t="str">
        <f>"308-08-552"</f>
        <v>308-08-552</v>
      </c>
      <c r="S2491" t="s">
        <v>16617</v>
      </c>
      <c r="T2491" t="s">
        <v>16618</v>
      </c>
      <c r="U2491">
        <v>2811</v>
      </c>
      <c r="V2491">
        <v>0</v>
      </c>
      <c r="W2491">
        <v>4</v>
      </c>
      <c r="X2491">
        <v>1995</v>
      </c>
      <c r="Z2491">
        <v>2</v>
      </c>
      <c r="AA2491" t="s">
        <v>26</v>
      </c>
      <c r="AB2491">
        <v>0</v>
      </c>
      <c r="AC2491" t="s">
        <v>115</v>
      </c>
      <c r="AD2491">
        <v>3</v>
      </c>
      <c r="AE2491" t="s">
        <v>115</v>
      </c>
      <c r="AF2491">
        <v>0</v>
      </c>
      <c r="AG2491">
        <v>0</v>
      </c>
      <c r="AH2491" t="s">
        <v>116</v>
      </c>
      <c r="AI2491" s="1">
        <v>58867</v>
      </c>
      <c r="AJ2491" s="2">
        <v>0.12</v>
      </c>
      <c r="AK2491" s="1">
        <v>481867</v>
      </c>
      <c r="AL2491" t="s">
        <v>117</v>
      </c>
      <c r="AM2491" t="s">
        <v>118</v>
      </c>
      <c r="AN2491">
        <v>8485</v>
      </c>
      <c r="AO2491">
        <v>0.2</v>
      </c>
      <c r="AP2491">
        <v>1</v>
      </c>
      <c r="AR2491">
        <v>1</v>
      </c>
      <c r="AS2491" s="1">
        <v>34020</v>
      </c>
      <c r="AT2491" s="1">
        <v>6800</v>
      </c>
      <c r="AU2491" s="1">
        <v>27220</v>
      </c>
      <c r="AV2491">
        <v>80.010000000000005</v>
      </c>
      <c r="AX2491" s="1">
        <v>2718.58</v>
      </c>
      <c r="AY2491" t="s">
        <v>8225</v>
      </c>
      <c r="AZ2491" t="s">
        <v>5922</v>
      </c>
      <c r="BA2491" t="s">
        <v>5202</v>
      </c>
      <c r="BE2491" s="3">
        <v>42510</v>
      </c>
      <c r="BF2491" s="1">
        <v>428500</v>
      </c>
      <c r="BG2491" t="s">
        <v>16619</v>
      </c>
      <c r="BH2491" s="1">
        <v>152.44</v>
      </c>
      <c r="BI2491" s="1">
        <v>423000</v>
      </c>
      <c r="BJ2491" s="3">
        <v>42510</v>
      </c>
      <c r="BK2491" t="s">
        <v>123</v>
      </c>
      <c r="BL2491" t="str">
        <f>"2016.349034"</f>
        <v>2016.349034</v>
      </c>
      <c r="BM2491" t="s">
        <v>594</v>
      </c>
      <c r="BO2491" t="s">
        <v>16620</v>
      </c>
      <c r="BS2491">
        <v>30</v>
      </c>
      <c r="BW2491" t="str">
        <f>""</f>
        <v/>
      </c>
      <c r="CH2491" t="str">
        <f>""</f>
        <v/>
      </c>
      <c r="CS2491" t="str">
        <f>""</f>
        <v/>
      </c>
    </row>
    <row r="2492" spans="1:97" x14ac:dyDescent="0.25">
      <c r="A2492" t="s">
        <v>1850</v>
      </c>
      <c r="B2492" t="s">
        <v>16621</v>
      </c>
      <c r="C2492" t="s">
        <v>16622</v>
      </c>
      <c r="D2492" t="s">
        <v>16621</v>
      </c>
      <c r="E2492" t="s">
        <v>16623</v>
      </c>
      <c r="F2492" t="s">
        <v>108</v>
      </c>
      <c r="H2492" t="s">
        <v>16624</v>
      </c>
      <c r="I2492" t="s">
        <v>203</v>
      </c>
      <c r="J2492" t="s">
        <v>111</v>
      </c>
      <c r="K2492" t="str">
        <f>"85234"</f>
        <v>85234</v>
      </c>
      <c r="L2492" t="s">
        <v>4259</v>
      </c>
      <c r="M2492" t="s">
        <v>16624</v>
      </c>
      <c r="N2492" t="s">
        <v>203</v>
      </c>
      <c r="O2492" t="s">
        <v>111</v>
      </c>
      <c r="P2492" t="str">
        <f>"85234-7638"</f>
        <v>85234-7638</v>
      </c>
      <c r="Q2492" t="s">
        <v>113</v>
      </c>
      <c r="R2492" t="str">
        <f>"304-16-301"</f>
        <v>304-16-301</v>
      </c>
      <c r="S2492" t="s">
        <v>16625</v>
      </c>
      <c r="T2492" t="s">
        <v>16626</v>
      </c>
      <c r="U2492">
        <v>1876</v>
      </c>
      <c r="V2492">
        <v>0</v>
      </c>
      <c r="W2492">
        <v>3</v>
      </c>
      <c r="X2492">
        <v>1999</v>
      </c>
      <c r="Z2492">
        <v>1</v>
      </c>
      <c r="AA2492" t="s">
        <v>26</v>
      </c>
      <c r="AB2492">
        <v>0</v>
      </c>
      <c r="AC2492" t="s">
        <v>115</v>
      </c>
      <c r="AD2492">
        <v>3</v>
      </c>
      <c r="AE2492" t="s">
        <v>115</v>
      </c>
      <c r="AF2492">
        <v>0</v>
      </c>
      <c r="AG2492">
        <v>0</v>
      </c>
      <c r="AH2492" t="s">
        <v>116</v>
      </c>
      <c r="AI2492" s="1">
        <v>78224</v>
      </c>
      <c r="AJ2492" s="2">
        <v>0.22</v>
      </c>
      <c r="AK2492" s="1">
        <v>347674</v>
      </c>
      <c r="AL2492" t="s">
        <v>117</v>
      </c>
      <c r="AM2492" t="s">
        <v>393</v>
      </c>
      <c r="AN2492">
        <v>7680</v>
      </c>
      <c r="AO2492">
        <v>0.18</v>
      </c>
      <c r="AP2492">
        <v>1</v>
      </c>
      <c r="AR2492">
        <v>1</v>
      </c>
      <c r="AS2492" s="1">
        <v>24260</v>
      </c>
      <c r="AT2492" s="1">
        <v>4850</v>
      </c>
      <c r="AU2492" s="1">
        <v>19410</v>
      </c>
      <c r="AV2492">
        <v>80.010000000000005</v>
      </c>
      <c r="AX2492" s="1">
        <v>1763.06</v>
      </c>
      <c r="AY2492" t="s">
        <v>7213</v>
      </c>
      <c r="AZ2492" t="s">
        <v>571</v>
      </c>
      <c r="BA2492" t="s">
        <v>521</v>
      </c>
      <c r="BE2492" s="3">
        <v>42090</v>
      </c>
      <c r="BF2492" s="1">
        <v>264800</v>
      </c>
      <c r="BG2492" t="s">
        <v>16627</v>
      </c>
      <c r="BH2492" s="1">
        <v>141.15</v>
      </c>
      <c r="BI2492" s="1">
        <v>269450</v>
      </c>
      <c r="BJ2492" s="3">
        <v>42660</v>
      </c>
      <c r="BK2492" t="s">
        <v>123</v>
      </c>
      <c r="BL2492" t="str">
        <f>"2016.760657"</f>
        <v>2016.760657</v>
      </c>
      <c r="BM2492" t="s">
        <v>724</v>
      </c>
      <c r="BO2492" t="s">
        <v>16628</v>
      </c>
      <c r="BS2492">
        <v>30</v>
      </c>
      <c r="BW2492" t="str">
        <f>""</f>
        <v/>
      </c>
      <c r="CH2492" t="str">
        <f>""</f>
        <v/>
      </c>
      <c r="CS2492" t="str">
        <f>""</f>
        <v/>
      </c>
    </row>
    <row r="2493" spans="1:97" x14ac:dyDescent="0.25">
      <c r="A2493" t="s">
        <v>16629</v>
      </c>
      <c r="B2493" t="s">
        <v>16630</v>
      </c>
      <c r="C2493" t="s">
        <v>767</v>
      </c>
      <c r="D2493" t="s">
        <v>16630</v>
      </c>
      <c r="E2493" t="s">
        <v>16631</v>
      </c>
      <c r="F2493" t="s">
        <v>108</v>
      </c>
      <c r="H2493" t="s">
        <v>16632</v>
      </c>
      <c r="I2493" t="s">
        <v>632</v>
      </c>
      <c r="J2493" t="s">
        <v>111</v>
      </c>
      <c r="K2493" t="str">
        <f>"85388"</f>
        <v>85388</v>
      </c>
      <c r="L2493" t="s">
        <v>7607</v>
      </c>
      <c r="M2493" t="s">
        <v>16632</v>
      </c>
      <c r="N2493" t="s">
        <v>632</v>
      </c>
      <c r="O2493" t="s">
        <v>111</v>
      </c>
      <c r="P2493" t="str">
        <f>"85388-1803"</f>
        <v>85388-1803</v>
      </c>
      <c r="Q2493" t="s">
        <v>113</v>
      </c>
      <c r="R2493" t="str">
        <f>"502-89-328"</f>
        <v>502-89-328</v>
      </c>
      <c r="S2493" t="s">
        <v>7646</v>
      </c>
      <c r="U2493">
        <v>3928</v>
      </c>
      <c r="V2493">
        <v>0</v>
      </c>
      <c r="W2493">
        <v>6</v>
      </c>
      <c r="X2493">
        <v>2015</v>
      </c>
      <c r="Z2493">
        <v>2</v>
      </c>
      <c r="AB2493">
        <v>0</v>
      </c>
      <c r="AC2493" t="s">
        <v>115</v>
      </c>
      <c r="AD2493">
        <v>3</v>
      </c>
      <c r="AE2493" t="s">
        <v>115</v>
      </c>
      <c r="AF2493">
        <v>0</v>
      </c>
      <c r="AG2493">
        <v>0</v>
      </c>
      <c r="AH2493" t="s">
        <v>116</v>
      </c>
      <c r="AI2493" s="1">
        <v>-2912</v>
      </c>
      <c r="AJ2493" s="2">
        <v>-0.01</v>
      </c>
      <c r="AK2493" s="1">
        <v>405123</v>
      </c>
      <c r="AL2493" t="s">
        <v>117</v>
      </c>
      <c r="AM2493" t="s">
        <v>118</v>
      </c>
      <c r="AN2493">
        <v>10400</v>
      </c>
      <c r="AO2493">
        <v>0.24</v>
      </c>
      <c r="AR2493">
        <v>1</v>
      </c>
      <c r="AS2493" s="1">
        <v>29930</v>
      </c>
      <c r="AT2493" s="1">
        <v>5980</v>
      </c>
      <c r="AU2493" s="1">
        <v>23950</v>
      </c>
      <c r="AV2493">
        <v>80.02</v>
      </c>
      <c r="AX2493" s="1">
        <v>2552.06</v>
      </c>
      <c r="AY2493" t="s">
        <v>5168</v>
      </c>
      <c r="AZ2493" t="s">
        <v>5168</v>
      </c>
      <c r="BA2493" t="s">
        <v>5109</v>
      </c>
      <c r="BE2493" s="3">
        <v>42240</v>
      </c>
      <c r="BF2493" s="1">
        <v>344394</v>
      </c>
      <c r="BG2493" t="s">
        <v>275</v>
      </c>
      <c r="BH2493" s="1">
        <v>87.68</v>
      </c>
      <c r="BI2493" s="1">
        <v>408035</v>
      </c>
      <c r="BJ2493" s="3">
        <v>43074</v>
      </c>
      <c r="BK2493" t="s">
        <v>123</v>
      </c>
      <c r="BL2493" t="str">
        <f>"2017.897955"</f>
        <v>2017.897955</v>
      </c>
      <c r="BM2493" t="s">
        <v>16633</v>
      </c>
      <c r="BO2493" t="s">
        <v>16634</v>
      </c>
      <c r="BS2493">
        <v>31</v>
      </c>
      <c r="BW2493" t="str">
        <f>""</f>
        <v/>
      </c>
      <c r="CH2493" t="str">
        <f>""</f>
        <v/>
      </c>
      <c r="CS2493" t="str">
        <f>""</f>
        <v/>
      </c>
    </row>
    <row r="2494" spans="1:97" x14ac:dyDescent="0.25">
      <c r="A2494" t="s">
        <v>7144</v>
      </c>
      <c r="B2494" t="s">
        <v>16635</v>
      </c>
      <c r="E2494" t="s">
        <v>16636</v>
      </c>
      <c r="F2494" t="s">
        <v>108</v>
      </c>
      <c r="H2494" t="s">
        <v>16637</v>
      </c>
      <c r="I2494" t="s">
        <v>5114</v>
      </c>
      <c r="J2494" t="s">
        <v>111</v>
      </c>
      <c r="K2494" t="str">
        <f>"85392"</f>
        <v>85392</v>
      </c>
      <c r="L2494" t="s">
        <v>625</v>
      </c>
      <c r="M2494" t="s">
        <v>16637</v>
      </c>
      <c r="N2494" t="s">
        <v>5114</v>
      </c>
      <c r="O2494" t="s">
        <v>111</v>
      </c>
      <c r="P2494" t="str">
        <f>"85392-3548"</f>
        <v>85392-3548</v>
      </c>
      <c r="Q2494" t="s">
        <v>113</v>
      </c>
      <c r="R2494" t="str">
        <f>"508-02-625"</f>
        <v>508-02-625</v>
      </c>
      <c r="S2494" t="s">
        <v>13093</v>
      </c>
      <c r="T2494" t="s">
        <v>13093</v>
      </c>
      <c r="U2494">
        <v>2864</v>
      </c>
      <c r="V2494">
        <v>0</v>
      </c>
      <c r="W2494">
        <v>4</v>
      </c>
      <c r="X2494">
        <v>2007</v>
      </c>
      <c r="Z2494">
        <v>1</v>
      </c>
      <c r="AA2494" t="s">
        <v>26</v>
      </c>
      <c r="AB2494">
        <v>0</v>
      </c>
      <c r="AC2494" t="s">
        <v>115</v>
      </c>
      <c r="AD2494">
        <v>3</v>
      </c>
      <c r="AE2494" t="s">
        <v>115</v>
      </c>
      <c r="AF2494">
        <v>0</v>
      </c>
      <c r="AG2494">
        <v>0</v>
      </c>
      <c r="AH2494" t="s">
        <v>116</v>
      </c>
      <c r="AI2494" s="1">
        <v>45453</v>
      </c>
      <c r="AJ2494" s="2">
        <v>0.13</v>
      </c>
      <c r="AK2494" s="1">
        <v>357010</v>
      </c>
      <c r="AL2494" t="s">
        <v>117</v>
      </c>
      <c r="AM2494" t="s">
        <v>118</v>
      </c>
      <c r="AN2494">
        <v>13978</v>
      </c>
      <c r="AO2494">
        <v>0.32</v>
      </c>
      <c r="AR2494">
        <v>1</v>
      </c>
      <c r="AS2494" s="1">
        <v>31130</v>
      </c>
      <c r="AT2494" s="1">
        <v>6220</v>
      </c>
      <c r="AU2494" s="1">
        <v>24910</v>
      </c>
      <c r="AV2494">
        <v>80.02</v>
      </c>
      <c r="AX2494" s="1">
        <v>3154.42</v>
      </c>
      <c r="AY2494" t="s">
        <v>11553</v>
      </c>
      <c r="AZ2494" t="s">
        <v>11553</v>
      </c>
      <c r="BA2494" t="s">
        <v>3154</v>
      </c>
      <c r="BB2494" s="3">
        <v>43213</v>
      </c>
      <c r="BC2494" s="1">
        <v>0</v>
      </c>
      <c r="BD2494" t="s">
        <v>247</v>
      </c>
      <c r="BE2494" s="3">
        <v>42075</v>
      </c>
      <c r="BF2494" s="1">
        <v>315000</v>
      </c>
      <c r="BG2494" t="s">
        <v>16638</v>
      </c>
      <c r="BH2494" s="1">
        <v>109.99</v>
      </c>
      <c r="BI2494" s="1">
        <v>311557</v>
      </c>
      <c r="BJ2494" s="3">
        <v>42075</v>
      </c>
      <c r="BK2494" t="s">
        <v>123</v>
      </c>
      <c r="BL2494" t="str">
        <f>"2015.167488"</f>
        <v>2015.167488</v>
      </c>
      <c r="BM2494" t="s">
        <v>4738</v>
      </c>
      <c r="BN2494" t="s">
        <v>15550</v>
      </c>
      <c r="BO2494" t="s">
        <v>16639</v>
      </c>
      <c r="BS2494">
        <v>30</v>
      </c>
      <c r="BW2494" t="str">
        <f>""</f>
        <v/>
      </c>
      <c r="CH2494" t="str">
        <f>""</f>
        <v/>
      </c>
      <c r="CS2494" t="str">
        <f>""</f>
        <v/>
      </c>
    </row>
    <row r="2495" spans="1:97" x14ac:dyDescent="0.25">
      <c r="A2495" t="s">
        <v>16640</v>
      </c>
      <c r="B2495" t="s">
        <v>16641</v>
      </c>
      <c r="C2495" t="s">
        <v>852</v>
      </c>
      <c r="D2495" t="s">
        <v>16641</v>
      </c>
      <c r="E2495" t="s">
        <v>16642</v>
      </c>
      <c r="F2495" t="s">
        <v>108</v>
      </c>
      <c r="H2495" t="s">
        <v>16643</v>
      </c>
      <c r="I2495" t="s">
        <v>390</v>
      </c>
      <c r="J2495" t="s">
        <v>111</v>
      </c>
      <c r="K2495" t="str">
        <f>"85042"</f>
        <v>85042</v>
      </c>
      <c r="L2495" t="s">
        <v>6996</v>
      </c>
      <c r="M2495" t="s">
        <v>16643</v>
      </c>
      <c r="N2495" t="s">
        <v>390</v>
      </c>
      <c r="O2495" t="s">
        <v>111</v>
      </c>
      <c r="P2495" t="str">
        <f>"85042-8108"</f>
        <v>85042-8108</v>
      </c>
      <c r="Q2495" t="s">
        <v>113</v>
      </c>
      <c r="R2495" t="str">
        <f>"301-36-231"</f>
        <v>301-36-231</v>
      </c>
      <c r="S2495" t="s">
        <v>16644</v>
      </c>
      <c r="T2495" t="s">
        <v>16645</v>
      </c>
      <c r="U2495">
        <v>2450</v>
      </c>
      <c r="V2495">
        <v>0</v>
      </c>
      <c r="W2495">
        <v>3</v>
      </c>
      <c r="X2495">
        <v>2007</v>
      </c>
      <c r="Z2495">
        <v>1</v>
      </c>
      <c r="AB2495">
        <v>0</v>
      </c>
      <c r="AC2495" t="s">
        <v>115</v>
      </c>
      <c r="AD2495">
        <v>3</v>
      </c>
      <c r="AE2495" t="s">
        <v>115</v>
      </c>
      <c r="AF2495">
        <v>0</v>
      </c>
      <c r="AG2495">
        <v>0</v>
      </c>
      <c r="AH2495" t="s">
        <v>116</v>
      </c>
      <c r="AI2495" s="1">
        <v>39064</v>
      </c>
      <c r="AJ2495" s="2">
        <v>0.09</v>
      </c>
      <c r="AK2495" s="1">
        <v>454979</v>
      </c>
      <c r="AL2495" t="s">
        <v>117</v>
      </c>
      <c r="AM2495" t="s">
        <v>191</v>
      </c>
      <c r="AN2495">
        <v>17862</v>
      </c>
      <c r="AO2495">
        <v>0.41</v>
      </c>
      <c r="AR2495">
        <v>1</v>
      </c>
      <c r="AS2495" s="1">
        <v>34020</v>
      </c>
      <c r="AT2495" s="1">
        <v>6800</v>
      </c>
      <c r="AU2495" s="1">
        <v>27220</v>
      </c>
      <c r="AV2495">
        <v>80.010000000000005</v>
      </c>
      <c r="AX2495" s="1">
        <v>5232</v>
      </c>
      <c r="AY2495" t="s">
        <v>6115</v>
      </c>
      <c r="AZ2495" t="s">
        <v>6115</v>
      </c>
      <c r="BA2495" t="s">
        <v>2860</v>
      </c>
      <c r="BE2495" s="3">
        <v>42384</v>
      </c>
      <c r="BF2495" s="1">
        <v>405000</v>
      </c>
      <c r="BG2495" t="s">
        <v>16646</v>
      </c>
      <c r="BH2495" s="1">
        <v>165.31</v>
      </c>
      <c r="BI2495" s="1">
        <v>415915</v>
      </c>
      <c r="BJ2495" s="3">
        <v>42605</v>
      </c>
      <c r="BK2495" t="s">
        <v>123</v>
      </c>
      <c r="BL2495" t="str">
        <f>"2016.603610"</f>
        <v>2016.603610</v>
      </c>
      <c r="BM2495" t="s">
        <v>5567</v>
      </c>
      <c r="BO2495" t="s">
        <v>16647</v>
      </c>
      <c r="BS2495">
        <v>30</v>
      </c>
      <c r="BW2495" t="str">
        <f>""</f>
        <v/>
      </c>
      <c r="CH2495" t="str">
        <f>""</f>
        <v/>
      </c>
      <c r="CS2495" t="str">
        <f>""</f>
        <v/>
      </c>
    </row>
    <row r="2496" spans="1:97" x14ac:dyDescent="0.25">
      <c r="A2496" t="s">
        <v>1938</v>
      </c>
      <c r="B2496" t="s">
        <v>16648</v>
      </c>
      <c r="C2496" t="s">
        <v>364</v>
      </c>
      <c r="D2496" t="s">
        <v>16648</v>
      </c>
      <c r="E2496" t="s">
        <v>16649</v>
      </c>
      <c r="F2496" t="s">
        <v>108</v>
      </c>
      <c r="H2496" t="s">
        <v>16650</v>
      </c>
      <c r="I2496" t="s">
        <v>390</v>
      </c>
      <c r="J2496" t="s">
        <v>111</v>
      </c>
      <c r="K2496" t="str">
        <f>"85022"</f>
        <v>85022</v>
      </c>
      <c r="L2496" t="s">
        <v>6923</v>
      </c>
      <c r="M2496" t="s">
        <v>16650</v>
      </c>
      <c r="N2496" t="s">
        <v>390</v>
      </c>
      <c r="O2496" t="s">
        <v>111</v>
      </c>
      <c r="P2496" t="str">
        <f>"85022-3229"</f>
        <v>85022-3229</v>
      </c>
      <c r="Q2496" t="s">
        <v>113</v>
      </c>
      <c r="R2496" t="str">
        <f>"214-18-165"</f>
        <v>214-18-165</v>
      </c>
      <c r="S2496" t="s">
        <v>16651</v>
      </c>
      <c r="T2496" t="s">
        <v>16652</v>
      </c>
      <c r="U2496">
        <v>4289</v>
      </c>
      <c r="V2496">
        <v>0</v>
      </c>
      <c r="W2496">
        <v>5</v>
      </c>
      <c r="X2496">
        <v>1987</v>
      </c>
      <c r="Z2496">
        <v>2</v>
      </c>
      <c r="AA2496" t="s">
        <v>26</v>
      </c>
      <c r="AB2496">
        <v>0</v>
      </c>
      <c r="AC2496" t="s">
        <v>115</v>
      </c>
      <c r="AD2496">
        <v>3</v>
      </c>
      <c r="AE2496" t="s">
        <v>115</v>
      </c>
      <c r="AF2496">
        <v>0</v>
      </c>
      <c r="AG2496">
        <v>0</v>
      </c>
      <c r="AH2496" t="s">
        <v>116</v>
      </c>
      <c r="AI2496" s="1">
        <v>147601</v>
      </c>
      <c r="AJ2496" s="2">
        <v>0.19</v>
      </c>
      <c r="AK2496" s="1">
        <v>765226</v>
      </c>
      <c r="AL2496" t="s">
        <v>117</v>
      </c>
      <c r="AM2496" t="s">
        <v>1302</v>
      </c>
      <c r="AN2496">
        <v>15605</v>
      </c>
      <c r="AO2496">
        <v>0.36</v>
      </c>
      <c r="AP2496">
        <v>1</v>
      </c>
      <c r="AR2496">
        <v>1</v>
      </c>
      <c r="AS2496" s="1">
        <v>51750</v>
      </c>
      <c r="AT2496" s="1">
        <v>10350</v>
      </c>
      <c r="AU2496" s="1">
        <v>41400</v>
      </c>
      <c r="AV2496">
        <v>80</v>
      </c>
      <c r="AX2496" s="1">
        <v>5911.48</v>
      </c>
      <c r="AY2496" t="s">
        <v>5442</v>
      </c>
      <c r="AZ2496" t="s">
        <v>5231</v>
      </c>
      <c r="BA2496" t="s">
        <v>2551</v>
      </c>
      <c r="BE2496" s="3">
        <v>41751</v>
      </c>
      <c r="BF2496" s="1">
        <v>710000</v>
      </c>
      <c r="BG2496" t="s">
        <v>16653</v>
      </c>
      <c r="BH2496" s="1">
        <v>165.54</v>
      </c>
      <c r="BI2496" s="1">
        <v>617625</v>
      </c>
      <c r="BJ2496" s="3">
        <v>41751</v>
      </c>
      <c r="BK2496" t="s">
        <v>123</v>
      </c>
      <c r="BL2496" t="str">
        <f>"2014.256460"</f>
        <v>2014.256460</v>
      </c>
      <c r="BM2496" t="s">
        <v>709</v>
      </c>
      <c r="BO2496" t="s">
        <v>16654</v>
      </c>
      <c r="BS2496">
        <v>15</v>
      </c>
      <c r="BW2496" t="str">
        <f>""</f>
        <v/>
      </c>
      <c r="CH2496" t="str">
        <f>""</f>
        <v/>
      </c>
      <c r="CS2496" t="str">
        <f>""</f>
        <v/>
      </c>
    </row>
    <row r="2497" spans="1:97" x14ac:dyDescent="0.25">
      <c r="A2497" t="s">
        <v>16655</v>
      </c>
      <c r="B2497" t="s">
        <v>16656</v>
      </c>
      <c r="E2497" t="s">
        <v>16657</v>
      </c>
      <c r="F2497" t="s">
        <v>108</v>
      </c>
      <c r="H2497" t="s">
        <v>16658</v>
      </c>
      <c r="I2497" t="s">
        <v>1936</v>
      </c>
      <c r="J2497" t="s">
        <v>111</v>
      </c>
      <c r="K2497" t="str">
        <f>"85260"</f>
        <v>85260</v>
      </c>
      <c r="L2497" t="s">
        <v>15475</v>
      </c>
      <c r="M2497" t="s">
        <v>16658</v>
      </c>
      <c r="N2497" t="s">
        <v>1936</v>
      </c>
      <c r="O2497" t="s">
        <v>111</v>
      </c>
      <c r="P2497" t="str">
        <f>"85260-9203"</f>
        <v>85260-9203</v>
      </c>
      <c r="Q2497" t="s">
        <v>113</v>
      </c>
      <c r="R2497" t="str">
        <f>"217-16-481"</f>
        <v>217-16-481</v>
      </c>
      <c r="S2497" t="s">
        <v>16659</v>
      </c>
      <c r="T2497" t="s">
        <v>16660</v>
      </c>
      <c r="U2497">
        <v>1852</v>
      </c>
      <c r="V2497">
        <v>0</v>
      </c>
      <c r="W2497">
        <v>3</v>
      </c>
      <c r="X2497">
        <v>1994</v>
      </c>
      <c r="Z2497">
        <v>1</v>
      </c>
      <c r="AA2497" t="s">
        <v>26</v>
      </c>
      <c r="AB2497">
        <v>0</v>
      </c>
      <c r="AC2497" t="s">
        <v>115</v>
      </c>
      <c r="AD2497">
        <v>3</v>
      </c>
      <c r="AE2497" t="s">
        <v>115</v>
      </c>
      <c r="AF2497">
        <v>0</v>
      </c>
      <c r="AG2497">
        <v>0</v>
      </c>
      <c r="AH2497" t="s">
        <v>116</v>
      </c>
      <c r="AI2497" s="1">
        <v>68028</v>
      </c>
      <c r="AJ2497" s="2">
        <v>0.14000000000000001</v>
      </c>
      <c r="AK2497" s="1">
        <v>486806</v>
      </c>
      <c r="AL2497" t="s">
        <v>117</v>
      </c>
      <c r="AM2497" t="s">
        <v>6533</v>
      </c>
      <c r="AN2497">
        <v>6463</v>
      </c>
      <c r="AO2497">
        <v>0.15</v>
      </c>
      <c r="AP2497">
        <v>1</v>
      </c>
      <c r="AR2497">
        <v>1</v>
      </c>
      <c r="AS2497" s="1">
        <v>34880</v>
      </c>
      <c r="AT2497" s="1">
        <v>6970</v>
      </c>
      <c r="AU2497" s="1">
        <v>27910</v>
      </c>
      <c r="AV2497">
        <v>80.02</v>
      </c>
      <c r="AX2497" s="1">
        <v>2809.08</v>
      </c>
      <c r="AY2497" t="s">
        <v>5904</v>
      </c>
      <c r="AZ2497" t="s">
        <v>5420</v>
      </c>
      <c r="BA2497" t="s">
        <v>5763</v>
      </c>
      <c r="BE2497" s="3">
        <v>42243</v>
      </c>
      <c r="BF2497" s="1">
        <v>428350</v>
      </c>
      <c r="BG2497" t="s">
        <v>16661</v>
      </c>
      <c r="BH2497" s="1">
        <v>231.29</v>
      </c>
      <c r="BI2497" s="1">
        <v>418778</v>
      </c>
      <c r="BJ2497" s="3">
        <v>42643</v>
      </c>
      <c r="BK2497" t="s">
        <v>123</v>
      </c>
      <c r="BL2497" t="str">
        <f>"2016.719659"</f>
        <v>2016.719659</v>
      </c>
      <c r="BM2497" t="s">
        <v>1695</v>
      </c>
      <c r="BO2497" t="s">
        <v>16662</v>
      </c>
      <c r="BS2497">
        <v>30</v>
      </c>
      <c r="BW2497" t="str">
        <f>""</f>
        <v/>
      </c>
      <c r="CH2497" t="str">
        <f>""</f>
        <v/>
      </c>
      <c r="CS2497" t="str">
        <f>""</f>
        <v/>
      </c>
    </row>
    <row r="2498" spans="1:97" x14ac:dyDescent="0.25">
      <c r="A2498" t="s">
        <v>2537</v>
      </c>
      <c r="B2498" t="s">
        <v>16663</v>
      </c>
      <c r="C2498" t="s">
        <v>16664</v>
      </c>
      <c r="D2498" t="s">
        <v>16663</v>
      </c>
      <c r="E2498" t="s">
        <v>16665</v>
      </c>
      <c r="F2498" t="s">
        <v>108</v>
      </c>
      <c r="H2498" t="s">
        <v>16666</v>
      </c>
      <c r="I2498" t="s">
        <v>2874</v>
      </c>
      <c r="J2498" t="s">
        <v>111</v>
      </c>
      <c r="K2498" t="str">
        <f>"85308"</f>
        <v>85308</v>
      </c>
      <c r="L2498" t="s">
        <v>2354</v>
      </c>
      <c r="M2498" t="s">
        <v>16666</v>
      </c>
      <c r="N2498" t="s">
        <v>2874</v>
      </c>
      <c r="O2498" t="s">
        <v>111</v>
      </c>
      <c r="P2498" t="str">
        <f>"85308-6333"</f>
        <v>85308-6333</v>
      </c>
      <c r="Q2498" t="s">
        <v>113</v>
      </c>
      <c r="R2498" t="str">
        <f>"200-22-132"</f>
        <v>200-22-132</v>
      </c>
      <c r="S2498" t="s">
        <v>16667</v>
      </c>
      <c r="U2498">
        <v>2980</v>
      </c>
      <c r="V2498">
        <v>0</v>
      </c>
      <c r="W2498">
        <v>4</v>
      </c>
      <c r="X2498">
        <v>1988</v>
      </c>
      <c r="Z2498">
        <v>2</v>
      </c>
      <c r="AA2498" t="s">
        <v>26</v>
      </c>
      <c r="AB2498">
        <v>0</v>
      </c>
      <c r="AC2498" t="s">
        <v>115</v>
      </c>
      <c r="AD2498">
        <v>3</v>
      </c>
      <c r="AE2498" t="s">
        <v>115</v>
      </c>
      <c r="AF2498">
        <v>0</v>
      </c>
      <c r="AG2498">
        <v>0</v>
      </c>
      <c r="AH2498" t="s">
        <v>116</v>
      </c>
      <c r="AI2498" s="1">
        <v>120305</v>
      </c>
      <c r="AJ2498" s="2">
        <v>0.27</v>
      </c>
      <c r="AK2498" s="1">
        <v>445205</v>
      </c>
      <c r="AL2498" t="s">
        <v>117</v>
      </c>
      <c r="AM2498" t="s">
        <v>191</v>
      </c>
      <c r="AN2498">
        <v>8200</v>
      </c>
      <c r="AO2498">
        <v>0.19</v>
      </c>
      <c r="AP2498">
        <v>1</v>
      </c>
      <c r="AR2498">
        <v>1</v>
      </c>
      <c r="AS2498" s="1">
        <v>33330</v>
      </c>
      <c r="AT2498" s="1">
        <v>6660</v>
      </c>
      <c r="AU2498" s="1">
        <v>26670</v>
      </c>
      <c r="AV2498">
        <v>80.02</v>
      </c>
      <c r="AX2498" s="1">
        <v>2891.96</v>
      </c>
      <c r="AY2498" t="s">
        <v>7455</v>
      </c>
      <c r="AZ2498" t="s">
        <v>3049</v>
      </c>
      <c r="BA2498" t="s">
        <v>2223</v>
      </c>
      <c r="BE2498" s="3">
        <v>42395</v>
      </c>
      <c r="BF2498" s="1">
        <v>324900</v>
      </c>
      <c r="BG2498" t="s">
        <v>16668</v>
      </c>
      <c r="BH2498" s="1">
        <v>109.03</v>
      </c>
      <c r="BI2498" s="1">
        <v>324900</v>
      </c>
      <c r="BJ2498" s="3">
        <v>42395</v>
      </c>
      <c r="BK2498" t="s">
        <v>123</v>
      </c>
      <c r="BL2498" t="str">
        <f>"2016.51339"</f>
        <v>2016.51339</v>
      </c>
      <c r="BM2498" t="s">
        <v>124</v>
      </c>
      <c r="BO2498" t="s">
        <v>16669</v>
      </c>
      <c r="BS2498">
        <v>30</v>
      </c>
      <c r="BW2498" t="str">
        <f>""</f>
        <v/>
      </c>
      <c r="CH2498" t="str">
        <f>""</f>
        <v/>
      </c>
      <c r="CS2498" t="str">
        <f>""</f>
        <v/>
      </c>
    </row>
    <row r="2499" spans="1:97" x14ac:dyDescent="0.25">
      <c r="A2499" t="s">
        <v>1774</v>
      </c>
      <c r="B2499" t="s">
        <v>16670</v>
      </c>
      <c r="C2499" t="s">
        <v>1011</v>
      </c>
      <c r="D2499" t="s">
        <v>16670</v>
      </c>
      <c r="E2499" t="s">
        <v>16671</v>
      </c>
      <c r="F2499" t="s">
        <v>282</v>
      </c>
      <c r="H2499" t="s">
        <v>16672</v>
      </c>
      <c r="I2499" t="s">
        <v>2874</v>
      </c>
      <c r="J2499" t="s">
        <v>111</v>
      </c>
      <c r="K2499" t="str">
        <f>"85303"</f>
        <v>85303</v>
      </c>
      <c r="L2499" t="s">
        <v>5416</v>
      </c>
      <c r="M2499" t="s">
        <v>16673</v>
      </c>
      <c r="N2499" t="s">
        <v>110</v>
      </c>
      <c r="O2499" t="s">
        <v>111</v>
      </c>
      <c r="P2499" t="str">
        <f>"85249-5017"</f>
        <v>85249-5017</v>
      </c>
      <c r="Q2499" t="s">
        <v>113</v>
      </c>
      <c r="R2499" t="str">
        <f>"142-25-075"</f>
        <v>142-25-075</v>
      </c>
      <c r="S2499" t="s">
        <v>16674</v>
      </c>
      <c r="T2499" t="s">
        <v>16674</v>
      </c>
      <c r="U2499">
        <v>2964</v>
      </c>
      <c r="V2499">
        <v>0</v>
      </c>
      <c r="W2499">
        <v>0</v>
      </c>
      <c r="X2499">
        <v>2017</v>
      </c>
      <c r="Z2499">
        <v>0</v>
      </c>
      <c r="AA2499" t="s">
        <v>26</v>
      </c>
      <c r="AB2499">
        <v>0</v>
      </c>
      <c r="AD2499">
        <v>0</v>
      </c>
      <c r="AF2499">
        <v>0</v>
      </c>
      <c r="AG2499">
        <v>0</v>
      </c>
      <c r="AI2499" s="1">
        <v>44802</v>
      </c>
      <c r="AJ2499" s="2">
        <v>0.08</v>
      </c>
      <c r="AK2499" s="1">
        <v>566467</v>
      </c>
      <c r="AL2499" t="s">
        <v>117</v>
      </c>
      <c r="AM2499" t="s">
        <v>6005</v>
      </c>
      <c r="AN2499">
        <v>19313</v>
      </c>
      <c r="AO2499">
        <v>0.44</v>
      </c>
      <c r="AS2499" s="1">
        <v>49030</v>
      </c>
      <c r="AT2499" s="1">
        <v>9800</v>
      </c>
      <c r="AU2499" s="1">
        <v>39230</v>
      </c>
      <c r="AV2499">
        <v>80.010000000000005</v>
      </c>
      <c r="AX2499" s="1">
        <v>5667.12</v>
      </c>
      <c r="AY2499" t="s">
        <v>6684</v>
      </c>
      <c r="AZ2499" t="s">
        <v>6684</v>
      </c>
      <c r="BA2499" t="s">
        <v>2878</v>
      </c>
      <c r="BE2499" s="3">
        <v>41852</v>
      </c>
      <c r="BF2499" s="1">
        <v>70000</v>
      </c>
      <c r="BG2499" t="s">
        <v>16675</v>
      </c>
      <c r="BI2499" s="1">
        <v>521665</v>
      </c>
      <c r="BJ2499" s="3">
        <v>43234</v>
      </c>
      <c r="BK2499" t="s">
        <v>123</v>
      </c>
      <c r="BL2499" t="str">
        <f>"2018.366802"</f>
        <v>2018.366802</v>
      </c>
      <c r="BM2499" t="s">
        <v>5501</v>
      </c>
      <c r="BN2499" t="s">
        <v>5502</v>
      </c>
      <c r="BO2499" t="s">
        <v>16676</v>
      </c>
      <c r="BP2499" t="s">
        <v>16677</v>
      </c>
      <c r="BR2499" t="s">
        <v>139</v>
      </c>
      <c r="BW2499" t="str">
        <f>""</f>
        <v/>
      </c>
      <c r="CH2499" t="str">
        <f>""</f>
        <v/>
      </c>
      <c r="CS2499" t="str">
        <f>""</f>
        <v/>
      </c>
    </row>
    <row r="2500" spans="1:97" x14ac:dyDescent="0.25">
      <c r="B2500" t="s">
        <v>16678</v>
      </c>
      <c r="C2500" t="s">
        <v>16679</v>
      </c>
      <c r="E2500" t="s">
        <v>16680</v>
      </c>
      <c r="F2500" t="s">
        <v>108</v>
      </c>
      <c r="H2500" t="s">
        <v>16681</v>
      </c>
      <c r="I2500" t="s">
        <v>1397</v>
      </c>
      <c r="J2500" t="s">
        <v>111</v>
      </c>
      <c r="K2500" t="str">
        <f>"85331"</f>
        <v>85331</v>
      </c>
      <c r="L2500" t="s">
        <v>7922</v>
      </c>
      <c r="M2500" t="s">
        <v>16681</v>
      </c>
      <c r="N2500" t="s">
        <v>1397</v>
      </c>
      <c r="O2500" t="s">
        <v>111</v>
      </c>
      <c r="P2500" t="str">
        <f>"85331-5031"</f>
        <v>85331-5031</v>
      </c>
      <c r="Q2500" t="s">
        <v>113</v>
      </c>
      <c r="R2500" t="str">
        <f>"211-60-317"</f>
        <v>211-60-317</v>
      </c>
      <c r="S2500" t="s">
        <v>16682</v>
      </c>
      <c r="T2500" t="s">
        <v>16683</v>
      </c>
      <c r="U2500">
        <v>2324</v>
      </c>
      <c r="V2500">
        <v>0</v>
      </c>
      <c r="W2500">
        <v>4</v>
      </c>
      <c r="X2500">
        <v>2000</v>
      </c>
      <c r="Z2500">
        <v>2</v>
      </c>
      <c r="AA2500" t="s">
        <v>26</v>
      </c>
      <c r="AB2500">
        <v>0</v>
      </c>
      <c r="AC2500" t="s">
        <v>115</v>
      </c>
      <c r="AD2500">
        <v>2</v>
      </c>
      <c r="AE2500" t="s">
        <v>115</v>
      </c>
      <c r="AF2500">
        <v>0</v>
      </c>
      <c r="AG2500">
        <v>0</v>
      </c>
      <c r="AH2500" t="s">
        <v>116</v>
      </c>
      <c r="AI2500" s="1">
        <v>93735</v>
      </c>
      <c r="AJ2500" s="2">
        <v>0.21</v>
      </c>
      <c r="AK2500" s="1">
        <v>441045</v>
      </c>
      <c r="AL2500" t="s">
        <v>117</v>
      </c>
      <c r="AM2500" t="s">
        <v>616</v>
      </c>
      <c r="AN2500">
        <v>9064</v>
      </c>
      <c r="AO2500">
        <v>0.21</v>
      </c>
      <c r="AP2500">
        <v>1</v>
      </c>
      <c r="AR2500">
        <v>1</v>
      </c>
      <c r="AS2500" s="1">
        <v>32330</v>
      </c>
      <c r="AT2500" s="1">
        <v>6460</v>
      </c>
      <c r="AU2500" s="1">
        <v>25870</v>
      </c>
      <c r="AV2500">
        <v>80.02</v>
      </c>
      <c r="AX2500" s="1">
        <v>1976.62</v>
      </c>
      <c r="AY2500" t="s">
        <v>1401</v>
      </c>
      <c r="AZ2500" t="s">
        <v>1402</v>
      </c>
      <c r="BA2500" t="s">
        <v>1403</v>
      </c>
      <c r="BB2500" s="3">
        <v>43633</v>
      </c>
      <c r="BC2500" s="1">
        <v>0</v>
      </c>
      <c r="BD2500" t="s">
        <v>247</v>
      </c>
      <c r="BE2500" s="3">
        <v>41845</v>
      </c>
      <c r="BF2500" s="1">
        <v>340000</v>
      </c>
      <c r="BG2500" t="s">
        <v>16684</v>
      </c>
      <c r="BH2500" s="1">
        <v>146.30000000000001</v>
      </c>
      <c r="BI2500" s="1">
        <v>347310</v>
      </c>
      <c r="BJ2500" s="3">
        <v>41845</v>
      </c>
      <c r="BK2500" t="s">
        <v>123</v>
      </c>
      <c r="BL2500" t="str">
        <f>"2014.488294"</f>
        <v>2014.488294</v>
      </c>
      <c r="BM2500" t="s">
        <v>4009</v>
      </c>
      <c r="BN2500" t="s">
        <v>3440</v>
      </c>
      <c r="BO2500" t="s">
        <v>16685</v>
      </c>
      <c r="BS2500">
        <v>30</v>
      </c>
      <c r="BW2500" t="str">
        <f>""</f>
        <v/>
      </c>
      <c r="CH2500" t="str">
        <f>""</f>
        <v/>
      </c>
      <c r="CS2500" t="str">
        <f>""</f>
        <v/>
      </c>
    </row>
    <row r="2501" spans="1:97" x14ac:dyDescent="0.25">
      <c r="A2501" t="s">
        <v>16686</v>
      </c>
      <c r="B2501" t="s">
        <v>2104</v>
      </c>
      <c r="C2501" t="s">
        <v>3844</v>
      </c>
      <c r="D2501" t="s">
        <v>2104</v>
      </c>
      <c r="E2501" t="s">
        <v>16687</v>
      </c>
      <c r="F2501" t="s">
        <v>108</v>
      </c>
      <c r="H2501" t="s">
        <v>16688</v>
      </c>
      <c r="I2501" t="s">
        <v>225</v>
      </c>
      <c r="J2501" t="s">
        <v>111</v>
      </c>
      <c r="K2501" t="str">
        <f>"85209"</f>
        <v>85209</v>
      </c>
      <c r="L2501" t="s">
        <v>6316</v>
      </c>
      <c r="M2501" t="s">
        <v>16688</v>
      </c>
      <c r="N2501" t="s">
        <v>225</v>
      </c>
      <c r="O2501" t="s">
        <v>111</v>
      </c>
      <c r="P2501" t="str">
        <f>"85209-2543"</f>
        <v>85209-2543</v>
      </c>
      <c r="Q2501" t="s">
        <v>113</v>
      </c>
      <c r="R2501" t="str">
        <f>"312-04-367"</f>
        <v>312-04-367</v>
      </c>
      <c r="S2501" t="s">
        <v>16689</v>
      </c>
      <c r="U2501">
        <v>2147</v>
      </c>
      <c r="V2501">
        <v>0</v>
      </c>
      <c r="W2501">
        <v>3</v>
      </c>
      <c r="X2501">
        <v>2001</v>
      </c>
      <c r="Z2501">
        <v>1</v>
      </c>
      <c r="AA2501" t="s">
        <v>26</v>
      </c>
      <c r="AB2501">
        <v>0</v>
      </c>
      <c r="AC2501" t="s">
        <v>115</v>
      </c>
      <c r="AD2501">
        <v>3</v>
      </c>
      <c r="AE2501" t="s">
        <v>115</v>
      </c>
      <c r="AF2501">
        <v>0</v>
      </c>
      <c r="AG2501">
        <v>0</v>
      </c>
      <c r="AH2501" t="s">
        <v>116</v>
      </c>
      <c r="AI2501" s="1">
        <v>133871</v>
      </c>
      <c r="AJ2501" s="2">
        <v>0.34</v>
      </c>
      <c r="AK2501" s="1">
        <v>390871</v>
      </c>
      <c r="AL2501" t="s">
        <v>117</v>
      </c>
      <c r="AM2501" t="s">
        <v>917</v>
      </c>
      <c r="AN2501">
        <v>9602</v>
      </c>
      <c r="AO2501">
        <v>0.22</v>
      </c>
      <c r="AP2501">
        <v>1</v>
      </c>
      <c r="AR2501">
        <v>1</v>
      </c>
      <c r="AS2501" s="1">
        <v>27520</v>
      </c>
      <c r="AT2501" s="1">
        <v>5500</v>
      </c>
      <c r="AU2501" s="1">
        <v>22020</v>
      </c>
      <c r="AV2501">
        <v>80.010000000000005</v>
      </c>
      <c r="AX2501" s="1">
        <v>1759.8</v>
      </c>
      <c r="AY2501" t="s">
        <v>4370</v>
      </c>
      <c r="AZ2501" t="s">
        <v>777</v>
      </c>
      <c r="BA2501" t="s">
        <v>572</v>
      </c>
      <c r="BE2501" s="3">
        <v>42164</v>
      </c>
      <c r="BF2501" s="1">
        <v>337000</v>
      </c>
      <c r="BG2501" t="s">
        <v>16690</v>
      </c>
      <c r="BH2501" s="1">
        <v>156.96</v>
      </c>
      <c r="BI2501" s="1">
        <v>257000</v>
      </c>
      <c r="BJ2501" s="3">
        <v>43116</v>
      </c>
      <c r="BK2501" t="s">
        <v>123</v>
      </c>
      <c r="BL2501" t="str">
        <f>"2018.35626"</f>
        <v>2018.35626</v>
      </c>
      <c r="BM2501" t="s">
        <v>1809</v>
      </c>
      <c r="BN2501" t="s">
        <v>1810</v>
      </c>
      <c r="BO2501" t="s">
        <v>16691</v>
      </c>
      <c r="BP2501" t="s">
        <v>16692</v>
      </c>
      <c r="BR2501" t="s">
        <v>139</v>
      </c>
      <c r="BW2501" t="str">
        <f>""</f>
        <v/>
      </c>
      <c r="CH2501" t="str">
        <f>""</f>
        <v/>
      </c>
      <c r="CS2501" t="str">
        <f>""</f>
        <v/>
      </c>
    </row>
    <row r="2502" spans="1:97" x14ac:dyDescent="0.25">
      <c r="A2502" t="s">
        <v>2991</v>
      </c>
      <c r="B2502" t="s">
        <v>16693</v>
      </c>
      <c r="C2502" t="s">
        <v>16694</v>
      </c>
      <c r="D2502" t="s">
        <v>16693</v>
      </c>
      <c r="E2502" t="s">
        <v>16695</v>
      </c>
      <c r="F2502" t="s">
        <v>108</v>
      </c>
      <c r="H2502" t="s">
        <v>16696</v>
      </c>
      <c r="I2502" t="s">
        <v>203</v>
      </c>
      <c r="J2502" t="s">
        <v>111</v>
      </c>
      <c r="K2502" t="str">
        <f>"85295"</f>
        <v>85295</v>
      </c>
      <c r="L2502" t="s">
        <v>7109</v>
      </c>
      <c r="M2502" t="s">
        <v>16696</v>
      </c>
      <c r="N2502" t="s">
        <v>203</v>
      </c>
      <c r="O2502" t="s">
        <v>111</v>
      </c>
      <c r="P2502" t="str">
        <f>"85295-1709"</f>
        <v>85295-1709</v>
      </c>
      <c r="Q2502" t="s">
        <v>113</v>
      </c>
      <c r="R2502" t="str">
        <f>"304-45-228"</f>
        <v>304-45-228</v>
      </c>
      <c r="S2502" t="s">
        <v>12999</v>
      </c>
      <c r="T2502" t="s">
        <v>13000</v>
      </c>
      <c r="U2502">
        <v>2093</v>
      </c>
      <c r="V2502">
        <v>0</v>
      </c>
      <c r="W2502">
        <v>3</v>
      </c>
      <c r="X2502">
        <v>2004</v>
      </c>
      <c r="Z2502">
        <v>1</v>
      </c>
      <c r="AA2502" t="s">
        <v>26</v>
      </c>
      <c r="AB2502">
        <v>0</v>
      </c>
      <c r="AC2502" t="s">
        <v>115</v>
      </c>
      <c r="AD2502">
        <v>2</v>
      </c>
      <c r="AE2502" t="s">
        <v>115</v>
      </c>
      <c r="AF2502">
        <v>0</v>
      </c>
      <c r="AG2502">
        <v>0</v>
      </c>
      <c r="AH2502" t="s">
        <v>116</v>
      </c>
      <c r="AI2502" s="1">
        <v>116802</v>
      </c>
      <c r="AJ2502" s="2">
        <v>0.28999999999999998</v>
      </c>
      <c r="AK2502" s="1">
        <v>403302</v>
      </c>
      <c r="AL2502" t="s">
        <v>117</v>
      </c>
      <c r="AM2502" t="s">
        <v>191</v>
      </c>
      <c r="AN2502">
        <v>8196</v>
      </c>
      <c r="AO2502">
        <v>0.19</v>
      </c>
      <c r="AP2502">
        <v>1</v>
      </c>
      <c r="AR2502">
        <v>1</v>
      </c>
      <c r="AS2502" s="1">
        <v>29680</v>
      </c>
      <c r="AT2502" s="1">
        <v>5930</v>
      </c>
      <c r="AU2502" s="1">
        <v>23750</v>
      </c>
      <c r="AV2502">
        <v>80.02</v>
      </c>
      <c r="AX2502" s="1">
        <v>2303.94</v>
      </c>
      <c r="AY2502" t="s">
        <v>1818</v>
      </c>
      <c r="AZ2502" t="s">
        <v>207</v>
      </c>
      <c r="BA2502" t="s">
        <v>208</v>
      </c>
      <c r="BE2502" s="3">
        <v>42261</v>
      </c>
      <c r="BF2502" s="1">
        <v>316500</v>
      </c>
      <c r="BG2502" t="s">
        <v>16697</v>
      </c>
      <c r="BH2502" s="1">
        <v>151.22</v>
      </c>
      <c r="BI2502" s="1">
        <v>286500</v>
      </c>
      <c r="BJ2502" s="3">
        <v>42261</v>
      </c>
      <c r="BK2502" t="s">
        <v>123</v>
      </c>
      <c r="BL2502" t="str">
        <f>"2015.661401"</f>
        <v>2015.661401</v>
      </c>
      <c r="BM2502" t="s">
        <v>3810</v>
      </c>
      <c r="BO2502" t="s">
        <v>16698</v>
      </c>
      <c r="BS2502">
        <v>30</v>
      </c>
      <c r="BW2502" t="str">
        <f>""</f>
        <v/>
      </c>
      <c r="CH2502" t="str">
        <f>""</f>
        <v/>
      </c>
      <c r="CS2502" t="str">
        <f>""</f>
        <v/>
      </c>
    </row>
    <row r="2503" spans="1:97" x14ac:dyDescent="0.25">
      <c r="A2503" t="s">
        <v>177</v>
      </c>
      <c r="B2503" t="s">
        <v>5013</v>
      </c>
      <c r="C2503" t="s">
        <v>4407</v>
      </c>
      <c r="D2503" t="s">
        <v>5013</v>
      </c>
      <c r="E2503" t="s">
        <v>16699</v>
      </c>
      <c r="F2503" t="s">
        <v>108</v>
      </c>
      <c r="H2503" t="s">
        <v>16700</v>
      </c>
      <c r="I2503" t="s">
        <v>632</v>
      </c>
      <c r="J2503" t="s">
        <v>111</v>
      </c>
      <c r="K2503" t="str">
        <f>"85379"</f>
        <v>85379</v>
      </c>
      <c r="L2503" t="s">
        <v>454</v>
      </c>
      <c r="M2503" t="s">
        <v>16700</v>
      </c>
      <c r="N2503" t="s">
        <v>632</v>
      </c>
      <c r="O2503" t="s">
        <v>111</v>
      </c>
      <c r="P2503" t="str">
        <f>"85379-1053"</f>
        <v>85379-1053</v>
      </c>
      <c r="Q2503" t="s">
        <v>113</v>
      </c>
      <c r="R2503" t="str">
        <f>"501-46-734"</f>
        <v>501-46-734</v>
      </c>
      <c r="S2503" t="s">
        <v>5319</v>
      </c>
      <c r="U2503">
        <v>4023</v>
      </c>
      <c r="V2503">
        <v>0</v>
      </c>
      <c r="W2503">
        <v>5</v>
      </c>
      <c r="X2503">
        <v>2010</v>
      </c>
      <c r="Z2503">
        <v>2</v>
      </c>
      <c r="AB2503">
        <v>0</v>
      </c>
      <c r="AC2503" t="s">
        <v>115</v>
      </c>
      <c r="AD2503">
        <v>3</v>
      </c>
      <c r="AE2503" t="s">
        <v>115</v>
      </c>
      <c r="AF2503">
        <v>0</v>
      </c>
      <c r="AG2503">
        <v>0</v>
      </c>
      <c r="AH2503" t="s">
        <v>116</v>
      </c>
      <c r="AI2503" s="1">
        <v>18918</v>
      </c>
      <c r="AJ2503" s="2">
        <v>0.05</v>
      </c>
      <c r="AK2503" s="1">
        <v>384918</v>
      </c>
      <c r="AL2503" t="s">
        <v>117</v>
      </c>
      <c r="AM2503" t="s">
        <v>118</v>
      </c>
      <c r="AN2503">
        <v>9328</v>
      </c>
      <c r="AO2503">
        <v>0.21</v>
      </c>
      <c r="AR2503">
        <v>1</v>
      </c>
      <c r="AS2503" s="1">
        <v>28320</v>
      </c>
      <c r="AT2503" s="1">
        <v>5660</v>
      </c>
      <c r="AU2503" s="1">
        <v>22660</v>
      </c>
      <c r="AV2503">
        <v>80.010000000000005</v>
      </c>
      <c r="AX2503" s="1">
        <v>2573.06</v>
      </c>
      <c r="AY2503" t="s">
        <v>5060</v>
      </c>
      <c r="AZ2503" t="s">
        <v>5060</v>
      </c>
      <c r="BA2503" t="s">
        <v>5061</v>
      </c>
      <c r="BE2503" s="3">
        <v>41697</v>
      </c>
      <c r="BF2503" s="1">
        <v>275298</v>
      </c>
      <c r="BG2503" t="s">
        <v>16701</v>
      </c>
      <c r="BH2503" s="1">
        <v>68.430000000000007</v>
      </c>
      <c r="BI2503" s="1">
        <v>366000</v>
      </c>
      <c r="BJ2503" s="3">
        <v>43614</v>
      </c>
      <c r="BK2503" t="s">
        <v>123</v>
      </c>
      <c r="BL2503" t="str">
        <f>"2019.393009"</f>
        <v>2019.393009</v>
      </c>
      <c r="BM2503" t="s">
        <v>6896</v>
      </c>
      <c r="BN2503" t="s">
        <v>1371</v>
      </c>
      <c r="BO2503" t="s">
        <v>16702</v>
      </c>
      <c r="BP2503" t="s">
        <v>16703</v>
      </c>
      <c r="BR2503" t="s">
        <v>139</v>
      </c>
      <c r="BW2503" t="str">
        <f>""</f>
        <v/>
      </c>
      <c r="CH2503" t="str">
        <f>""</f>
        <v/>
      </c>
      <c r="CS2503" t="str">
        <f>""</f>
        <v/>
      </c>
    </row>
    <row r="2504" spans="1:97" x14ac:dyDescent="0.25">
      <c r="A2504" t="s">
        <v>12323</v>
      </c>
      <c r="B2504" t="s">
        <v>16704</v>
      </c>
      <c r="C2504" t="s">
        <v>1821</v>
      </c>
      <c r="D2504" t="s">
        <v>16704</v>
      </c>
      <c r="E2504" t="s">
        <v>16705</v>
      </c>
      <c r="F2504" t="s">
        <v>108</v>
      </c>
      <c r="H2504" t="s">
        <v>16706</v>
      </c>
      <c r="I2504" t="s">
        <v>390</v>
      </c>
      <c r="J2504" t="s">
        <v>111</v>
      </c>
      <c r="K2504" t="str">
        <f>"85086"</f>
        <v>85086</v>
      </c>
      <c r="L2504" t="s">
        <v>516</v>
      </c>
      <c r="M2504" t="s">
        <v>16706</v>
      </c>
      <c r="N2504" t="s">
        <v>390</v>
      </c>
      <c r="O2504" t="s">
        <v>111</v>
      </c>
      <c r="P2504" t="str">
        <f>"85086-5510"</f>
        <v>85086-5510</v>
      </c>
      <c r="Q2504" t="s">
        <v>113</v>
      </c>
      <c r="R2504" t="str">
        <f>"203-26-705"</f>
        <v>203-26-705</v>
      </c>
      <c r="S2504" t="s">
        <v>16707</v>
      </c>
      <c r="U2504">
        <v>3305</v>
      </c>
      <c r="V2504">
        <v>0</v>
      </c>
      <c r="W2504">
        <v>5</v>
      </c>
      <c r="X2504">
        <v>2003</v>
      </c>
      <c r="Z2504">
        <v>2</v>
      </c>
      <c r="AB2504">
        <v>0</v>
      </c>
      <c r="AC2504" t="s">
        <v>115</v>
      </c>
      <c r="AD2504">
        <v>4</v>
      </c>
      <c r="AE2504" t="s">
        <v>115</v>
      </c>
      <c r="AF2504">
        <v>0</v>
      </c>
      <c r="AG2504">
        <v>0</v>
      </c>
      <c r="AH2504" t="s">
        <v>116</v>
      </c>
      <c r="AI2504" s="1">
        <v>45203</v>
      </c>
      <c r="AJ2504" s="2">
        <v>0.1</v>
      </c>
      <c r="AK2504" s="1">
        <v>469203</v>
      </c>
      <c r="AL2504" t="s">
        <v>117</v>
      </c>
      <c r="AM2504" t="s">
        <v>171</v>
      </c>
      <c r="AN2504">
        <v>9984</v>
      </c>
      <c r="AO2504">
        <v>0.23</v>
      </c>
      <c r="AP2504">
        <v>1</v>
      </c>
      <c r="AR2504">
        <v>1</v>
      </c>
      <c r="AS2504" s="1">
        <v>32110</v>
      </c>
      <c r="AT2504" s="1">
        <v>6420</v>
      </c>
      <c r="AU2504" s="1">
        <v>25690</v>
      </c>
      <c r="AV2504">
        <v>80.010000000000005</v>
      </c>
      <c r="AX2504" s="1">
        <v>3219.04</v>
      </c>
      <c r="AY2504" t="s">
        <v>8639</v>
      </c>
      <c r="AZ2504" t="s">
        <v>8639</v>
      </c>
      <c r="BA2504" t="s">
        <v>378</v>
      </c>
      <c r="BE2504" s="3">
        <v>42486</v>
      </c>
      <c r="BF2504" s="1">
        <v>417000</v>
      </c>
      <c r="BG2504" t="s">
        <v>16708</v>
      </c>
      <c r="BH2504" s="1">
        <v>126.17</v>
      </c>
      <c r="BI2504" s="1">
        <v>424000</v>
      </c>
      <c r="BJ2504" s="3">
        <v>42990</v>
      </c>
      <c r="BK2504" t="s">
        <v>123</v>
      </c>
      <c r="BL2504" t="str">
        <f>"2017.670905"</f>
        <v>2017.670905</v>
      </c>
      <c r="BM2504" t="s">
        <v>5096</v>
      </c>
      <c r="BO2504" t="s">
        <v>16709</v>
      </c>
      <c r="BS2504">
        <v>30</v>
      </c>
      <c r="BW2504" t="str">
        <f>""</f>
        <v/>
      </c>
      <c r="CH2504" t="str">
        <f>""</f>
        <v/>
      </c>
      <c r="CS2504" t="str">
        <f>""</f>
        <v/>
      </c>
    </row>
    <row r="2505" spans="1:97" x14ac:dyDescent="0.25">
      <c r="A2505" t="s">
        <v>265</v>
      </c>
      <c r="B2505" t="s">
        <v>16710</v>
      </c>
      <c r="C2505" t="s">
        <v>104</v>
      </c>
      <c r="D2505" t="s">
        <v>16710</v>
      </c>
      <c r="E2505" t="s">
        <v>16711</v>
      </c>
      <c r="F2505" t="s">
        <v>108</v>
      </c>
      <c r="H2505" t="s">
        <v>16712</v>
      </c>
      <c r="I2505" t="s">
        <v>167</v>
      </c>
      <c r="J2505" t="s">
        <v>111</v>
      </c>
      <c r="K2505" t="str">
        <f>"85339"</f>
        <v>85339</v>
      </c>
      <c r="L2505" t="s">
        <v>3885</v>
      </c>
      <c r="M2505" t="s">
        <v>16712</v>
      </c>
      <c r="N2505" t="s">
        <v>167</v>
      </c>
      <c r="O2505" t="s">
        <v>111</v>
      </c>
      <c r="P2505" t="str">
        <f>"85339-4230"</f>
        <v>85339-4230</v>
      </c>
      <c r="R2505" t="str">
        <f>"311-05-071"</f>
        <v>311-05-071</v>
      </c>
      <c r="S2505" t="s">
        <v>16713</v>
      </c>
      <c r="T2505" t="s">
        <v>16713</v>
      </c>
      <c r="U2505">
        <v>3753</v>
      </c>
      <c r="V2505">
        <v>0</v>
      </c>
      <c r="W2505">
        <v>4</v>
      </c>
      <c r="X2505">
        <v>2004</v>
      </c>
      <c r="Z2505">
        <v>2</v>
      </c>
      <c r="AA2505" t="s">
        <v>26</v>
      </c>
      <c r="AB2505">
        <v>0</v>
      </c>
      <c r="AC2505" t="s">
        <v>115</v>
      </c>
      <c r="AD2505">
        <v>3</v>
      </c>
      <c r="AE2505" t="s">
        <v>115</v>
      </c>
      <c r="AF2505">
        <v>0</v>
      </c>
      <c r="AG2505">
        <v>0</v>
      </c>
      <c r="AH2505" t="s">
        <v>116</v>
      </c>
      <c r="AI2505" s="1">
        <v>63605</v>
      </c>
      <c r="AJ2505" s="2">
        <v>0.17</v>
      </c>
      <c r="AK2505" s="1">
        <v>364881</v>
      </c>
      <c r="AL2505" t="s">
        <v>117</v>
      </c>
      <c r="AM2505" t="s">
        <v>1302</v>
      </c>
      <c r="AN2505">
        <v>11372</v>
      </c>
      <c r="AO2505">
        <v>0.26</v>
      </c>
      <c r="AP2505">
        <v>1</v>
      </c>
      <c r="AR2505">
        <v>1</v>
      </c>
      <c r="AS2505" s="1">
        <v>26920</v>
      </c>
      <c r="AT2505" s="1">
        <v>5380</v>
      </c>
      <c r="AU2505" s="1">
        <v>21540</v>
      </c>
      <c r="AV2505">
        <v>80.010000000000005</v>
      </c>
      <c r="AX2505" s="1">
        <v>3332.68</v>
      </c>
      <c r="AY2505" t="s">
        <v>5777</v>
      </c>
      <c r="AZ2505" t="s">
        <v>5777</v>
      </c>
      <c r="BA2505" t="s">
        <v>173</v>
      </c>
      <c r="BB2505" s="3">
        <v>42734</v>
      </c>
      <c r="BD2505" t="s">
        <v>240</v>
      </c>
      <c r="BE2505" s="3">
        <v>42069</v>
      </c>
      <c r="BF2505" s="1">
        <v>259000</v>
      </c>
      <c r="BG2505" t="s">
        <v>16714</v>
      </c>
      <c r="BH2505" s="1">
        <v>69.010000000000005</v>
      </c>
      <c r="BI2505" s="1">
        <v>265276</v>
      </c>
      <c r="BJ2505" s="3">
        <v>42605</v>
      </c>
      <c r="BK2505" t="s">
        <v>123</v>
      </c>
      <c r="BL2505" t="str">
        <f>"2016.605250"</f>
        <v>2016.605250</v>
      </c>
      <c r="BM2505" t="s">
        <v>9140</v>
      </c>
      <c r="BN2505" t="s">
        <v>16715</v>
      </c>
      <c r="BO2505" t="s">
        <v>16716</v>
      </c>
      <c r="BS2505">
        <v>30</v>
      </c>
      <c r="BT2505" s="1">
        <v>36000</v>
      </c>
      <c r="BU2505" s="3">
        <v>43777</v>
      </c>
      <c r="BW2505" t="str">
        <f>"2019.903108"</f>
        <v>2019.903108</v>
      </c>
      <c r="BX2505" t="s">
        <v>654</v>
      </c>
      <c r="BY2505" t="s">
        <v>655</v>
      </c>
      <c r="BZ2505" t="s">
        <v>16717</v>
      </c>
      <c r="CA2505" t="s">
        <v>16718</v>
      </c>
      <c r="CC2505" t="s">
        <v>346</v>
      </c>
      <c r="CH2505" t="str">
        <f>""</f>
        <v/>
      </c>
      <c r="CS2505" t="str">
        <f>""</f>
        <v/>
      </c>
    </row>
    <row r="2506" spans="1:97" x14ac:dyDescent="0.25">
      <c r="A2506" t="s">
        <v>211</v>
      </c>
      <c r="B2506" t="s">
        <v>16719</v>
      </c>
      <c r="E2506" t="s">
        <v>16720</v>
      </c>
      <c r="F2506" t="s">
        <v>108</v>
      </c>
      <c r="H2506" t="s">
        <v>16721</v>
      </c>
      <c r="I2506" t="s">
        <v>188</v>
      </c>
      <c r="J2506" t="s">
        <v>111</v>
      </c>
      <c r="K2506" t="str">
        <f>"85142"</f>
        <v>85142</v>
      </c>
      <c r="L2506" t="s">
        <v>5893</v>
      </c>
      <c r="M2506" t="s">
        <v>16721</v>
      </c>
      <c r="N2506" t="s">
        <v>188</v>
      </c>
      <c r="O2506" t="s">
        <v>111</v>
      </c>
      <c r="P2506" t="str">
        <f>"85142-4851"</f>
        <v>85142-4851</v>
      </c>
      <c r="Q2506" t="s">
        <v>113</v>
      </c>
      <c r="R2506" t="str">
        <f>"314-04-834"</f>
        <v>314-04-834</v>
      </c>
      <c r="S2506" t="s">
        <v>5894</v>
      </c>
      <c r="T2506" t="s">
        <v>5894</v>
      </c>
      <c r="U2506">
        <v>3157</v>
      </c>
      <c r="V2506">
        <v>0</v>
      </c>
      <c r="W2506">
        <v>5</v>
      </c>
      <c r="X2506">
        <v>2015</v>
      </c>
      <c r="Z2506">
        <v>2</v>
      </c>
      <c r="AB2506">
        <v>0</v>
      </c>
      <c r="AC2506" t="s">
        <v>115</v>
      </c>
      <c r="AD2506">
        <v>3</v>
      </c>
      <c r="AE2506" t="s">
        <v>115</v>
      </c>
      <c r="AF2506">
        <v>0</v>
      </c>
      <c r="AG2506">
        <v>0</v>
      </c>
      <c r="AH2506" t="s">
        <v>116</v>
      </c>
      <c r="AI2506" s="1">
        <v>98986</v>
      </c>
      <c r="AJ2506" s="2">
        <v>0.23</v>
      </c>
      <c r="AK2506" s="1">
        <v>433886</v>
      </c>
      <c r="AL2506" t="s">
        <v>117</v>
      </c>
      <c r="AM2506" t="s">
        <v>171</v>
      </c>
      <c r="AN2506">
        <v>8962</v>
      </c>
      <c r="AO2506">
        <v>0.21</v>
      </c>
      <c r="AR2506">
        <v>1</v>
      </c>
      <c r="AS2506" s="1">
        <v>30280</v>
      </c>
      <c r="AT2506" s="1">
        <v>6050</v>
      </c>
      <c r="AU2506" s="1">
        <v>24230</v>
      </c>
      <c r="AV2506">
        <v>80.02</v>
      </c>
      <c r="AX2506" s="1">
        <v>2683.62</v>
      </c>
      <c r="AY2506" t="s">
        <v>5895</v>
      </c>
      <c r="AZ2506" t="s">
        <v>561</v>
      </c>
      <c r="BA2506" t="s">
        <v>194</v>
      </c>
      <c r="BE2506" s="3">
        <v>42132</v>
      </c>
      <c r="BF2506" s="1">
        <v>334906</v>
      </c>
      <c r="BG2506" t="s">
        <v>617</v>
      </c>
      <c r="BH2506" s="1">
        <v>106.08</v>
      </c>
      <c r="BI2506" s="1">
        <v>334900</v>
      </c>
      <c r="BJ2506" s="3">
        <v>42132</v>
      </c>
      <c r="BK2506" t="s">
        <v>123</v>
      </c>
      <c r="BL2506" t="str">
        <f>"2015.324461"</f>
        <v>2015.324461</v>
      </c>
      <c r="BM2506" t="s">
        <v>1192</v>
      </c>
      <c r="BO2506" t="s">
        <v>16722</v>
      </c>
      <c r="BS2506">
        <v>30</v>
      </c>
      <c r="BW2506" t="str">
        <f>""</f>
        <v/>
      </c>
      <c r="CH2506" t="str">
        <f>""</f>
        <v/>
      </c>
      <c r="CS2506" t="str">
        <f>""</f>
        <v/>
      </c>
    </row>
    <row r="2507" spans="1:97" x14ac:dyDescent="0.25">
      <c r="A2507" t="s">
        <v>1465</v>
      </c>
      <c r="B2507" t="s">
        <v>16723</v>
      </c>
      <c r="C2507" t="s">
        <v>16724</v>
      </c>
      <c r="D2507" t="s">
        <v>16723</v>
      </c>
      <c r="E2507" t="s">
        <v>16725</v>
      </c>
      <c r="F2507" t="s">
        <v>108</v>
      </c>
      <c r="H2507" t="s">
        <v>16726</v>
      </c>
      <c r="I2507" t="s">
        <v>453</v>
      </c>
      <c r="J2507" t="s">
        <v>111</v>
      </c>
      <c r="K2507" t="str">
        <f>"85383"</f>
        <v>85383</v>
      </c>
      <c r="L2507" t="s">
        <v>7235</v>
      </c>
      <c r="M2507" t="s">
        <v>16726</v>
      </c>
      <c r="N2507" t="s">
        <v>453</v>
      </c>
      <c r="O2507" t="s">
        <v>111</v>
      </c>
      <c r="P2507" t="str">
        <f>"85383-5853"</f>
        <v>85383-5853</v>
      </c>
      <c r="Q2507" t="s">
        <v>113</v>
      </c>
      <c r="R2507" t="str">
        <f>"503-66-327"</f>
        <v>503-66-327</v>
      </c>
      <c r="S2507" t="s">
        <v>9145</v>
      </c>
      <c r="U2507">
        <v>2718</v>
      </c>
      <c r="V2507">
        <v>0</v>
      </c>
      <c r="W2507">
        <v>3</v>
      </c>
      <c r="X2507">
        <v>2014</v>
      </c>
      <c r="Z2507">
        <v>2</v>
      </c>
      <c r="AB2507">
        <v>0</v>
      </c>
      <c r="AC2507" t="s">
        <v>115</v>
      </c>
      <c r="AD2507">
        <v>2</v>
      </c>
      <c r="AE2507" t="s">
        <v>115</v>
      </c>
      <c r="AF2507">
        <v>0</v>
      </c>
      <c r="AG2507">
        <v>0</v>
      </c>
      <c r="AH2507" t="s">
        <v>116</v>
      </c>
      <c r="AI2507" s="1">
        <v>58910</v>
      </c>
      <c r="AJ2507" s="2">
        <v>0.17</v>
      </c>
      <c r="AK2507" s="1">
        <v>340910</v>
      </c>
      <c r="AL2507" t="s">
        <v>117</v>
      </c>
      <c r="AM2507" t="s">
        <v>5379</v>
      </c>
      <c r="AN2507">
        <v>4000</v>
      </c>
      <c r="AO2507">
        <v>0.92</v>
      </c>
      <c r="AR2507">
        <v>1</v>
      </c>
      <c r="AS2507" s="1">
        <v>22770</v>
      </c>
      <c r="AT2507" s="1">
        <v>4550</v>
      </c>
      <c r="AU2507" s="1">
        <v>18220</v>
      </c>
      <c r="AV2507">
        <v>80.02</v>
      </c>
      <c r="AX2507" s="1">
        <v>2219.04</v>
      </c>
      <c r="AY2507" t="s">
        <v>456</v>
      </c>
      <c r="AZ2507" t="s">
        <v>456</v>
      </c>
      <c r="BA2507" t="s">
        <v>457</v>
      </c>
      <c r="BE2507" s="3">
        <v>42045</v>
      </c>
      <c r="BF2507" s="1">
        <v>271892</v>
      </c>
      <c r="BG2507" t="s">
        <v>233</v>
      </c>
      <c r="BH2507" s="1">
        <v>100.03</v>
      </c>
      <c r="BI2507" s="1">
        <v>282000</v>
      </c>
      <c r="BJ2507" s="3">
        <v>43122</v>
      </c>
      <c r="BK2507" t="s">
        <v>123</v>
      </c>
      <c r="BL2507" t="str">
        <f>"2018.51462"</f>
        <v>2018.51462</v>
      </c>
      <c r="BM2507" t="s">
        <v>1610</v>
      </c>
      <c r="BN2507" t="s">
        <v>1611</v>
      </c>
      <c r="BO2507" t="s">
        <v>16727</v>
      </c>
      <c r="BP2507" t="s">
        <v>16728</v>
      </c>
      <c r="BR2507" t="s">
        <v>139</v>
      </c>
      <c r="BW2507" t="str">
        <f>""</f>
        <v/>
      </c>
      <c r="CH2507" t="str">
        <f>""</f>
        <v/>
      </c>
      <c r="CS2507" t="str">
        <f>""</f>
        <v/>
      </c>
    </row>
    <row r="2508" spans="1:97" x14ac:dyDescent="0.25">
      <c r="A2508" t="s">
        <v>886</v>
      </c>
      <c r="B2508" t="s">
        <v>9761</v>
      </c>
      <c r="C2508" t="s">
        <v>4661</v>
      </c>
      <c r="D2508" t="s">
        <v>9761</v>
      </c>
      <c r="E2508" t="s">
        <v>16729</v>
      </c>
      <c r="F2508" t="s">
        <v>108</v>
      </c>
      <c r="H2508" t="s">
        <v>16730</v>
      </c>
      <c r="I2508" t="s">
        <v>203</v>
      </c>
      <c r="J2508" t="s">
        <v>111</v>
      </c>
      <c r="K2508" t="str">
        <f>"85297"</f>
        <v>85297</v>
      </c>
      <c r="L2508" t="s">
        <v>7904</v>
      </c>
      <c r="M2508" t="s">
        <v>16730</v>
      </c>
      <c r="N2508" t="s">
        <v>203</v>
      </c>
      <c r="O2508" t="s">
        <v>111</v>
      </c>
      <c r="P2508" t="str">
        <f>"85297-9615"</f>
        <v>85297-9615</v>
      </c>
      <c r="Q2508" t="s">
        <v>113</v>
      </c>
      <c r="R2508" t="str">
        <f>"313-06-184"</f>
        <v>313-06-184</v>
      </c>
      <c r="S2508" t="s">
        <v>16731</v>
      </c>
      <c r="T2508" t="s">
        <v>16732</v>
      </c>
      <c r="U2508">
        <v>4898</v>
      </c>
      <c r="V2508">
        <v>0</v>
      </c>
      <c r="W2508">
        <v>6</v>
      </c>
      <c r="X2508">
        <v>2004</v>
      </c>
      <c r="Z2508">
        <v>2</v>
      </c>
      <c r="AA2508" t="s">
        <v>26</v>
      </c>
      <c r="AB2508">
        <v>0</v>
      </c>
      <c r="AC2508" t="s">
        <v>115</v>
      </c>
      <c r="AD2508">
        <v>3</v>
      </c>
      <c r="AE2508" t="s">
        <v>115</v>
      </c>
      <c r="AF2508">
        <v>0</v>
      </c>
      <c r="AG2508">
        <v>0</v>
      </c>
      <c r="AH2508" t="s">
        <v>116</v>
      </c>
      <c r="AI2508" s="1">
        <v>169997</v>
      </c>
      <c r="AJ2508" s="2">
        <v>0.24</v>
      </c>
      <c r="AK2508" s="1">
        <v>714704</v>
      </c>
      <c r="AL2508" t="s">
        <v>117</v>
      </c>
      <c r="AM2508" t="s">
        <v>171</v>
      </c>
      <c r="AN2508">
        <v>13542</v>
      </c>
      <c r="AO2508">
        <v>0.31</v>
      </c>
      <c r="AP2508">
        <v>1</v>
      </c>
      <c r="AR2508">
        <v>1</v>
      </c>
      <c r="AS2508" s="1">
        <v>59500</v>
      </c>
      <c r="AT2508" s="1">
        <v>11900</v>
      </c>
      <c r="AU2508" s="1">
        <v>47600</v>
      </c>
      <c r="AV2508">
        <v>80</v>
      </c>
      <c r="AX2508" s="1">
        <v>5636.8</v>
      </c>
      <c r="AY2508" t="s">
        <v>289</v>
      </c>
      <c r="AZ2508" t="s">
        <v>289</v>
      </c>
      <c r="BA2508" t="s">
        <v>290</v>
      </c>
      <c r="BE2508" s="3">
        <v>42004</v>
      </c>
      <c r="BF2508" s="1">
        <v>426000</v>
      </c>
      <c r="BG2508" t="s">
        <v>16733</v>
      </c>
      <c r="BH2508" s="1">
        <v>86.97</v>
      </c>
      <c r="BI2508" s="1">
        <v>410770</v>
      </c>
      <c r="BJ2508" s="3">
        <v>42004</v>
      </c>
      <c r="BK2508" t="s">
        <v>123</v>
      </c>
      <c r="BL2508" t="str">
        <f>"2014.861479"</f>
        <v>2014.861479</v>
      </c>
      <c r="BM2508" t="s">
        <v>2980</v>
      </c>
      <c r="BO2508" t="s">
        <v>16734</v>
      </c>
      <c r="BS2508">
        <v>15</v>
      </c>
      <c r="BT2508" s="1">
        <v>133937</v>
      </c>
      <c r="BU2508" s="3">
        <v>42767</v>
      </c>
      <c r="BV2508" t="s">
        <v>134</v>
      </c>
      <c r="BW2508" t="str">
        <f>"2017.80195"</f>
        <v>2017.80195</v>
      </c>
      <c r="BX2508" t="s">
        <v>1639</v>
      </c>
      <c r="BZ2508" t="s">
        <v>16734</v>
      </c>
      <c r="CC2508" t="s">
        <v>1480</v>
      </c>
      <c r="CD2508">
        <v>7</v>
      </c>
      <c r="CH2508" t="str">
        <f>""</f>
        <v/>
      </c>
      <c r="CS2508" t="str">
        <f>""</f>
        <v/>
      </c>
    </row>
    <row r="2509" spans="1:97" x14ac:dyDescent="0.25">
      <c r="A2509" t="s">
        <v>243</v>
      </c>
      <c r="B2509" t="s">
        <v>16735</v>
      </c>
      <c r="C2509" t="s">
        <v>16736</v>
      </c>
      <c r="D2509" t="s">
        <v>16735</v>
      </c>
      <c r="E2509" t="s">
        <v>16737</v>
      </c>
      <c r="F2509" t="s">
        <v>108</v>
      </c>
      <c r="H2509" t="s">
        <v>16738</v>
      </c>
      <c r="I2509" t="s">
        <v>203</v>
      </c>
      <c r="J2509" t="s">
        <v>111</v>
      </c>
      <c r="K2509" t="str">
        <f>"85234"</f>
        <v>85234</v>
      </c>
      <c r="L2509" t="s">
        <v>5228</v>
      </c>
      <c r="M2509" t="s">
        <v>16738</v>
      </c>
      <c r="N2509" t="s">
        <v>203</v>
      </c>
      <c r="O2509" t="s">
        <v>111</v>
      </c>
      <c r="P2509" t="str">
        <f>"85234-2000"</f>
        <v>85234-2000</v>
      </c>
      <c r="Q2509" t="s">
        <v>113</v>
      </c>
      <c r="R2509" t="str">
        <f>"312-07-021"</f>
        <v>312-07-021</v>
      </c>
      <c r="S2509" t="s">
        <v>11462</v>
      </c>
      <c r="T2509" t="s">
        <v>11462</v>
      </c>
      <c r="U2509">
        <v>2445</v>
      </c>
      <c r="V2509">
        <v>0</v>
      </c>
      <c r="W2509">
        <v>3</v>
      </c>
      <c r="X2509">
        <v>2001</v>
      </c>
      <c r="Z2509">
        <v>1</v>
      </c>
      <c r="AA2509" t="s">
        <v>26</v>
      </c>
      <c r="AB2509">
        <v>0</v>
      </c>
      <c r="AC2509" t="s">
        <v>115</v>
      </c>
      <c r="AD2509">
        <v>3</v>
      </c>
      <c r="AE2509" t="s">
        <v>115</v>
      </c>
      <c r="AF2509">
        <v>0</v>
      </c>
      <c r="AG2509">
        <v>0</v>
      </c>
      <c r="AH2509" t="s">
        <v>116</v>
      </c>
      <c r="AI2509" s="1">
        <v>117945</v>
      </c>
      <c r="AJ2509" s="2">
        <v>0.22</v>
      </c>
      <c r="AK2509" s="1">
        <v>534945</v>
      </c>
      <c r="AL2509" t="s">
        <v>117</v>
      </c>
      <c r="AM2509" t="s">
        <v>1302</v>
      </c>
      <c r="AN2509">
        <v>29868</v>
      </c>
      <c r="AO2509">
        <v>0.69</v>
      </c>
      <c r="AP2509">
        <v>1</v>
      </c>
      <c r="AR2509">
        <v>1</v>
      </c>
      <c r="AS2509" s="1">
        <v>40110</v>
      </c>
      <c r="AT2509" s="1">
        <v>8020</v>
      </c>
      <c r="AU2509" s="1">
        <v>32090</v>
      </c>
      <c r="AV2509">
        <v>80</v>
      </c>
      <c r="AX2509" s="1">
        <v>3175.06</v>
      </c>
      <c r="AY2509" t="s">
        <v>8450</v>
      </c>
      <c r="AZ2509" t="s">
        <v>571</v>
      </c>
      <c r="BA2509" t="s">
        <v>521</v>
      </c>
      <c r="BE2509" s="3">
        <v>42004</v>
      </c>
      <c r="BF2509" s="1">
        <v>439900</v>
      </c>
      <c r="BG2509" t="s">
        <v>16739</v>
      </c>
      <c r="BH2509" s="1">
        <v>179.92</v>
      </c>
      <c r="BI2509" s="1">
        <v>417000</v>
      </c>
      <c r="BJ2509" s="3">
        <v>42306</v>
      </c>
      <c r="BK2509" t="s">
        <v>123</v>
      </c>
      <c r="BL2509" t="str">
        <f>"2015.777633"</f>
        <v>2015.777633</v>
      </c>
      <c r="BM2509" t="s">
        <v>255</v>
      </c>
      <c r="BO2509" t="s">
        <v>16740</v>
      </c>
      <c r="BS2509">
        <v>30</v>
      </c>
      <c r="BW2509" t="str">
        <f>""</f>
        <v/>
      </c>
      <c r="CH2509" t="str">
        <f>""</f>
        <v/>
      </c>
      <c r="CS2509" t="str">
        <f>""</f>
        <v/>
      </c>
    </row>
    <row r="2510" spans="1:97" x14ac:dyDescent="0.25">
      <c r="A2510" t="s">
        <v>589</v>
      </c>
      <c r="B2510" t="s">
        <v>16741</v>
      </c>
      <c r="C2510" t="s">
        <v>1845</v>
      </c>
      <c r="D2510" t="s">
        <v>16741</v>
      </c>
      <c r="E2510" t="s">
        <v>16742</v>
      </c>
      <c r="F2510" t="s">
        <v>108</v>
      </c>
      <c r="H2510" t="s">
        <v>16743</v>
      </c>
      <c r="I2510" t="s">
        <v>632</v>
      </c>
      <c r="J2510" t="s">
        <v>111</v>
      </c>
      <c r="K2510" t="str">
        <f>"85374"</f>
        <v>85374</v>
      </c>
      <c r="L2510" t="s">
        <v>5514</v>
      </c>
      <c r="M2510" t="s">
        <v>16743</v>
      </c>
      <c r="N2510" t="s">
        <v>632</v>
      </c>
      <c r="O2510" t="s">
        <v>111</v>
      </c>
      <c r="P2510" t="str">
        <f>"85374-6882"</f>
        <v>85374-6882</v>
      </c>
      <c r="Q2510" t="s">
        <v>113</v>
      </c>
      <c r="R2510" t="str">
        <f>"232-39-401"</f>
        <v>232-39-401</v>
      </c>
      <c r="S2510" t="s">
        <v>16744</v>
      </c>
      <c r="U2510">
        <v>2089</v>
      </c>
      <c r="V2510">
        <v>0</v>
      </c>
      <c r="W2510">
        <v>3</v>
      </c>
      <c r="X2510">
        <v>2003</v>
      </c>
      <c r="Z2510">
        <v>1</v>
      </c>
      <c r="AB2510">
        <v>0</v>
      </c>
      <c r="AC2510" t="s">
        <v>115</v>
      </c>
      <c r="AD2510">
        <v>2</v>
      </c>
      <c r="AE2510" t="s">
        <v>115</v>
      </c>
      <c r="AF2510">
        <v>0</v>
      </c>
      <c r="AG2510">
        <v>0</v>
      </c>
      <c r="AH2510" t="s">
        <v>116</v>
      </c>
      <c r="AI2510" s="1">
        <v>68009</v>
      </c>
      <c r="AJ2510" s="2">
        <v>0.22</v>
      </c>
      <c r="AK2510" s="1">
        <v>302500</v>
      </c>
      <c r="AL2510" t="s">
        <v>117</v>
      </c>
      <c r="AM2510" t="s">
        <v>5516</v>
      </c>
      <c r="AN2510">
        <v>8050</v>
      </c>
      <c r="AO2510">
        <v>0.18</v>
      </c>
      <c r="AP2510">
        <v>1</v>
      </c>
      <c r="AR2510">
        <v>1</v>
      </c>
      <c r="AS2510" s="1">
        <v>19310</v>
      </c>
      <c r="AT2510" s="1">
        <v>3860</v>
      </c>
      <c r="AU2510" s="1">
        <v>15450</v>
      </c>
      <c r="AV2510">
        <v>80.010000000000005</v>
      </c>
      <c r="AX2510" s="1">
        <v>1355.02</v>
      </c>
      <c r="AY2510" t="s">
        <v>5517</v>
      </c>
      <c r="AZ2510" t="s">
        <v>5517</v>
      </c>
      <c r="BA2510" t="s">
        <v>5109</v>
      </c>
      <c r="BE2510" s="3">
        <v>42160</v>
      </c>
      <c r="BF2510" s="1">
        <v>227000</v>
      </c>
      <c r="BG2510" t="s">
        <v>16745</v>
      </c>
      <c r="BH2510" s="1">
        <v>108.66</v>
      </c>
      <c r="BI2510" s="1">
        <v>234491</v>
      </c>
      <c r="BJ2510" s="3">
        <v>42160</v>
      </c>
      <c r="BK2510" t="s">
        <v>123</v>
      </c>
      <c r="BL2510" t="str">
        <f>"2015.403486"</f>
        <v>2015.403486</v>
      </c>
      <c r="BM2510" t="s">
        <v>1033</v>
      </c>
      <c r="BO2510" t="s">
        <v>16746</v>
      </c>
      <c r="BS2510">
        <v>30</v>
      </c>
      <c r="BW2510" t="str">
        <f>""</f>
        <v/>
      </c>
      <c r="CH2510" t="str">
        <f>""</f>
        <v/>
      </c>
      <c r="CS2510" t="str">
        <f>""</f>
        <v/>
      </c>
    </row>
    <row r="2511" spans="1:97" x14ac:dyDescent="0.25">
      <c r="A2511" t="s">
        <v>325</v>
      </c>
      <c r="B2511" t="s">
        <v>16747</v>
      </c>
      <c r="C2511" t="s">
        <v>2002</v>
      </c>
      <c r="D2511" t="s">
        <v>16747</v>
      </c>
      <c r="E2511" t="s">
        <v>16748</v>
      </c>
      <c r="F2511" t="s">
        <v>108</v>
      </c>
      <c r="H2511" t="s">
        <v>16749</v>
      </c>
      <c r="I2511" t="s">
        <v>225</v>
      </c>
      <c r="J2511" t="s">
        <v>111</v>
      </c>
      <c r="K2511" t="str">
        <f>"85202"</f>
        <v>85202</v>
      </c>
      <c r="L2511" t="s">
        <v>12529</v>
      </c>
      <c r="M2511" t="s">
        <v>16749</v>
      </c>
      <c r="N2511" t="s">
        <v>225</v>
      </c>
      <c r="O2511" t="s">
        <v>111</v>
      </c>
      <c r="P2511" t="str">
        <f>"85202-7308"</f>
        <v>85202-7308</v>
      </c>
      <c r="Q2511" t="s">
        <v>113</v>
      </c>
      <c r="R2511" t="str">
        <f>"305-09-227"</f>
        <v>305-09-227</v>
      </c>
      <c r="S2511" t="s">
        <v>7430</v>
      </c>
      <c r="U2511">
        <v>2466</v>
      </c>
      <c r="V2511">
        <v>0</v>
      </c>
      <c r="W2511">
        <v>3</v>
      </c>
      <c r="X2511">
        <v>1979</v>
      </c>
      <c r="Z2511">
        <v>1</v>
      </c>
      <c r="AB2511">
        <v>0</v>
      </c>
      <c r="AC2511" t="s">
        <v>115</v>
      </c>
      <c r="AD2511">
        <v>2</v>
      </c>
      <c r="AE2511" t="s">
        <v>115</v>
      </c>
      <c r="AF2511">
        <v>0</v>
      </c>
      <c r="AG2511">
        <v>0</v>
      </c>
      <c r="AH2511" t="s">
        <v>116</v>
      </c>
      <c r="AI2511" s="1">
        <v>119959</v>
      </c>
      <c r="AJ2511" s="2">
        <v>0.34</v>
      </c>
      <c r="AK2511" s="1">
        <v>350031</v>
      </c>
      <c r="AL2511" t="s">
        <v>117</v>
      </c>
      <c r="AM2511" t="s">
        <v>191</v>
      </c>
      <c r="AN2511">
        <v>7277</v>
      </c>
      <c r="AO2511">
        <v>0.17</v>
      </c>
      <c r="AP2511">
        <v>1</v>
      </c>
      <c r="AR2511">
        <v>1</v>
      </c>
      <c r="AS2511" s="1">
        <v>25460</v>
      </c>
      <c r="AT2511" s="1">
        <v>5090</v>
      </c>
      <c r="AU2511" s="1">
        <v>20370</v>
      </c>
      <c r="AV2511">
        <v>80.010000000000005</v>
      </c>
      <c r="AX2511" s="1">
        <v>1954.14</v>
      </c>
      <c r="AY2511" t="s">
        <v>7431</v>
      </c>
      <c r="AZ2511" t="s">
        <v>7295</v>
      </c>
      <c r="BA2511" t="s">
        <v>5311</v>
      </c>
      <c r="BE2511" s="3">
        <v>41715</v>
      </c>
      <c r="BF2511" s="1">
        <v>230000</v>
      </c>
      <c r="BG2511" t="s">
        <v>16750</v>
      </c>
      <c r="BH2511" s="1">
        <v>93.27</v>
      </c>
      <c r="BI2511" s="1">
        <v>230072</v>
      </c>
      <c r="BJ2511" s="3">
        <v>41990</v>
      </c>
      <c r="BK2511" t="s">
        <v>123</v>
      </c>
      <c r="BL2511" t="str">
        <f>"2014.827567"</f>
        <v>2014.827567</v>
      </c>
      <c r="BM2511" t="s">
        <v>1185</v>
      </c>
      <c r="BO2511" t="s">
        <v>16751</v>
      </c>
      <c r="BS2511">
        <v>30</v>
      </c>
      <c r="BW2511" t="str">
        <f>""</f>
        <v/>
      </c>
      <c r="CH2511" t="str">
        <f>""</f>
        <v/>
      </c>
      <c r="CS2511" t="str">
        <f>""</f>
        <v/>
      </c>
    </row>
    <row r="2512" spans="1:97" x14ac:dyDescent="0.25">
      <c r="A2512" t="s">
        <v>894</v>
      </c>
      <c r="B2512" t="s">
        <v>16444</v>
      </c>
      <c r="C2512" t="s">
        <v>1649</v>
      </c>
      <c r="D2512" t="s">
        <v>16444</v>
      </c>
      <c r="E2512" t="s">
        <v>16752</v>
      </c>
      <c r="F2512" t="s">
        <v>282</v>
      </c>
      <c r="H2512" t="s">
        <v>16753</v>
      </c>
      <c r="I2512" t="s">
        <v>1936</v>
      </c>
      <c r="J2512" t="s">
        <v>111</v>
      </c>
      <c r="K2512" t="str">
        <f>"85255"</f>
        <v>85255</v>
      </c>
      <c r="L2512" t="s">
        <v>8747</v>
      </c>
      <c r="M2512" t="s">
        <v>16754</v>
      </c>
      <c r="N2512" t="s">
        <v>16755</v>
      </c>
      <c r="O2512" t="s">
        <v>15953</v>
      </c>
      <c r="P2512" t="str">
        <f>"98422-3466"</f>
        <v>98422-3466</v>
      </c>
      <c r="Q2512" t="s">
        <v>113</v>
      </c>
      <c r="R2512" t="str">
        <f>"217-14-193"</f>
        <v>217-14-193</v>
      </c>
      <c r="S2512" t="s">
        <v>16756</v>
      </c>
      <c r="U2512">
        <v>1548</v>
      </c>
      <c r="V2512">
        <v>0</v>
      </c>
      <c r="W2512">
        <v>3</v>
      </c>
      <c r="X2512">
        <v>1998</v>
      </c>
      <c r="Z2512">
        <v>1</v>
      </c>
      <c r="AA2512" t="s">
        <v>26</v>
      </c>
      <c r="AB2512">
        <v>0</v>
      </c>
      <c r="AC2512" t="s">
        <v>115</v>
      </c>
      <c r="AD2512">
        <v>2</v>
      </c>
      <c r="AE2512" t="s">
        <v>115</v>
      </c>
      <c r="AF2512">
        <v>0</v>
      </c>
      <c r="AG2512">
        <v>0</v>
      </c>
      <c r="AH2512" t="s">
        <v>116</v>
      </c>
      <c r="AI2512" s="1">
        <v>88061</v>
      </c>
      <c r="AJ2512" s="2">
        <v>0.19</v>
      </c>
      <c r="AK2512" s="1">
        <v>463061</v>
      </c>
      <c r="AL2512" t="s">
        <v>117</v>
      </c>
      <c r="AM2512" t="s">
        <v>6533</v>
      </c>
      <c r="AN2512">
        <v>5941</v>
      </c>
      <c r="AO2512">
        <v>0.14000000000000001</v>
      </c>
      <c r="AP2512">
        <v>1</v>
      </c>
      <c r="AR2512">
        <v>1</v>
      </c>
      <c r="AS2512" s="1">
        <v>34280</v>
      </c>
      <c r="AT2512" s="1">
        <v>6850</v>
      </c>
      <c r="AU2512" s="1">
        <v>27430</v>
      </c>
      <c r="AV2512">
        <v>80.02</v>
      </c>
      <c r="AX2512" s="1">
        <v>2964.1</v>
      </c>
      <c r="AY2512" t="s">
        <v>11360</v>
      </c>
      <c r="AZ2512" t="s">
        <v>5420</v>
      </c>
      <c r="BA2512" t="s">
        <v>5763</v>
      </c>
      <c r="BE2512" s="3">
        <v>41705</v>
      </c>
      <c r="BF2512" s="1">
        <v>375000</v>
      </c>
      <c r="BG2512" t="s">
        <v>16757</v>
      </c>
      <c r="BH2512" s="1">
        <v>242.25</v>
      </c>
      <c r="BI2512" s="1">
        <v>375000</v>
      </c>
      <c r="BJ2512" s="3">
        <v>41705</v>
      </c>
      <c r="BK2512" t="s">
        <v>123</v>
      </c>
      <c r="BL2512" t="str">
        <f>"2014.147902"</f>
        <v>2014.147902</v>
      </c>
      <c r="BM2512" t="s">
        <v>1033</v>
      </c>
      <c r="BO2512" t="s">
        <v>16758</v>
      </c>
      <c r="BS2512">
        <v>30</v>
      </c>
      <c r="BW2512" t="str">
        <f>""</f>
        <v/>
      </c>
      <c r="CH2512" t="str">
        <f>""</f>
        <v/>
      </c>
      <c r="CS2512" t="str">
        <f>""</f>
        <v/>
      </c>
    </row>
    <row r="2513" spans="1:97" x14ac:dyDescent="0.25">
      <c r="A2513" t="s">
        <v>489</v>
      </c>
      <c r="B2513" t="s">
        <v>16759</v>
      </c>
      <c r="E2513" t="s">
        <v>16760</v>
      </c>
      <c r="F2513" t="s">
        <v>108</v>
      </c>
      <c r="H2513" t="s">
        <v>16761</v>
      </c>
      <c r="I2513" t="s">
        <v>499</v>
      </c>
      <c r="J2513" t="s">
        <v>111</v>
      </c>
      <c r="K2513" t="str">
        <f>"85395"</f>
        <v>85395</v>
      </c>
      <c r="L2513" t="s">
        <v>500</v>
      </c>
      <c r="M2513" t="s">
        <v>16761</v>
      </c>
      <c r="N2513" t="s">
        <v>499</v>
      </c>
      <c r="O2513" t="s">
        <v>111</v>
      </c>
      <c r="P2513" t="str">
        <f>"85395-7826"</f>
        <v>85395-7826</v>
      </c>
      <c r="Q2513" t="s">
        <v>113</v>
      </c>
      <c r="R2513" t="str">
        <f>"502-30-312"</f>
        <v>502-30-312</v>
      </c>
      <c r="S2513" t="s">
        <v>11404</v>
      </c>
      <c r="T2513" t="s">
        <v>502</v>
      </c>
      <c r="U2513">
        <v>3741</v>
      </c>
      <c r="V2513">
        <v>0</v>
      </c>
      <c r="W2513">
        <v>5</v>
      </c>
      <c r="X2513">
        <v>2014</v>
      </c>
      <c r="Z2513">
        <v>1</v>
      </c>
      <c r="AB2513">
        <v>0</v>
      </c>
      <c r="AC2513" t="s">
        <v>115</v>
      </c>
      <c r="AD2513">
        <v>3</v>
      </c>
      <c r="AE2513" t="s">
        <v>115</v>
      </c>
      <c r="AF2513">
        <v>0</v>
      </c>
      <c r="AG2513">
        <v>0</v>
      </c>
      <c r="AH2513" t="s">
        <v>116</v>
      </c>
      <c r="AI2513" s="1">
        <v>73026</v>
      </c>
      <c r="AJ2513" s="2">
        <v>0.16</v>
      </c>
      <c r="AK2513" s="1">
        <v>463494</v>
      </c>
      <c r="AL2513" t="s">
        <v>117</v>
      </c>
      <c r="AM2513" t="s">
        <v>118</v>
      </c>
      <c r="AN2513">
        <v>15153</v>
      </c>
      <c r="AO2513">
        <v>0.35</v>
      </c>
      <c r="AR2513">
        <v>1</v>
      </c>
      <c r="AS2513" s="1">
        <v>34400</v>
      </c>
      <c r="AT2513" s="1">
        <v>6880</v>
      </c>
      <c r="AU2513" s="1">
        <v>27520</v>
      </c>
      <c r="AV2513">
        <v>80</v>
      </c>
      <c r="AX2513" s="1">
        <v>3098.98</v>
      </c>
      <c r="AY2513" t="s">
        <v>503</v>
      </c>
      <c r="AZ2513" t="s">
        <v>504</v>
      </c>
      <c r="BA2513" t="s">
        <v>218</v>
      </c>
      <c r="BE2513" s="3">
        <v>42109</v>
      </c>
      <c r="BF2513" s="1">
        <v>377995</v>
      </c>
      <c r="BG2513" t="s">
        <v>209</v>
      </c>
      <c r="BH2513" s="1">
        <v>101.04</v>
      </c>
      <c r="BI2513" s="1">
        <v>390468</v>
      </c>
      <c r="BJ2513" s="3">
        <v>42109</v>
      </c>
      <c r="BK2513" t="s">
        <v>123</v>
      </c>
      <c r="BL2513" t="str">
        <f>"2015.257728"</f>
        <v>2015.257728</v>
      </c>
      <c r="BM2513" t="s">
        <v>175</v>
      </c>
      <c r="BO2513" t="s">
        <v>16762</v>
      </c>
      <c r="BS2513">
        <v>30</v>
      </c>
      <c r="BW2513" t="str">
        <f>""</f>
        <v/>
      </c>
      <c r="CH2513" t="str">
        <f>""</f>
        <v/>
      </c>
      <c r="CS2513" t="str">
        <f>""</f>
        <v/>
      </c>
    </row>
    <row r="2514" spans="1:97" x14ac:dyDescent="0.25">
      <c r="A2514" t="s">
        <v>3613</v>
      </c>
      <c r="B2514" t="s">
        <v>16763</v>
      </c>
      <c r="C2514" t="s">
        <v>2762</v>
      </c>
      <c r="D2514" t="s">
        <v>16763</v>
      </c>
      <c r="E2514" t="s">
        <v>16764</v>
      </c>
      <c r="F2514" t="s">
        <v>108</v>
      </c>
      <c r="H2514" t="s">
        <v>16765</v>
      </c>
      <c r="I2514" t="s">
        <v>390</v>
      </c>
      <c r="J2514" t="s">
        <v>111</v>
      </c>
      <c r="K2514" t="str">
        <f>"85085"</f>
        <v>85085</v>
      </c>
      <c r="L2514" t="s">
        <v>269</v>
      </c>
      <c r="M2514" t="s">
        <v>16765</v>
      </c>
      <c r="N2514" t="s">
        <v>390</v>
      </c>
      <c r="O2514" t="s">
        <v>111</v>
      </c>
      <c r="P2514" t="str">
        <f>"85085-6034"</f>
        <v>85085-6034</v>
      </c>
      <c r="Q2514" t="s">
        <v>113</v>
      </c>
      <c r="R2514" t="str">
        <f>"204-01-773"</f>
        <v>204-01-773</v>
      </c>
      <c r="S2514" t="s">
        <v>7475</v>
      </c>
      <c r="T2514" t="s">
        <v>6715</v>
      </c>
      <c r="U2514">
        <v>2935</v>
      </c>
      <c r="V2514">
        <v>0</v>
      </c>
      <c r="W2514">
        <v>4</v>
      </c>
      <c r="X2514">
        <v>2005</v>
      </c>
      <c r="Z2514">
        <v>2</v>
      </c>
      <c r="AA2514" t="s">
        <v>26</v>
      </c>
      <c r="AB2514">
        <v>0</v>
      </c>
      <c r="AC2514" t="s">
        <v>115</v>
      </c>
      <c r="AD2514">
        <v>3</v>
      </c>
      <c r="AE2514" t="s">
        <v>115</v>
      </c>
      <c r="AF2514">
        <v>0</v>
      </c>
      <c r="AG2514">
        <v>0</v>
      </c>
      <c r="AH2514" t="s">
        <v>116</v>
      </c>
      <c r="AI2514" s="1">
        <v>75982</v>
      </c>
      <c r="AJ2514" s="2">
        <v>0.18</v>
      </c>
      <c r="AK2514" s="1">
        <v>419206</v>
      </c>
      <c r="AL2514" t="s">
        <v>117</v>
      </c>
      <c r="AM2514" t="s">
        <v>171</v>
      </c>
      <c r="AN2514">
        <v>6748</v>
      </c>
      <c r="AO2514">
        <v>0.16</v>
      </c>
      <c r="AR2514">
        <v>1</v>
      </c>
      <c r="AS2514" s="1">
        <v>29820</v>
      </c>
      <c r="AT2514" s="1">
        <v>5960</v>
      </c>
      <c r="AU2514" s="1">
        <v>23860</v>
      </c>
      <c r="AV2514">
        <v>80.010000000000005</v>
      </c>
      <c r="AX2514" s="1">
        <v>2722.34</v>
      </c>
      <c r="AY2514" t="s">
        <v>1587</v>
      </c>
      <c r="AZ2514" t="s">
        <v>1587</v>
      </c>
      <c r="BA2514" t="s">
        <v>1462</v>
      </c>
      <c r="BE2514" s="3">
        <v>42093</v>
      </c>
      <c r="BF2514" s="1">
        <v>336000</v>
      </c>
      <c r="BG2514" t="s">
        <v>16766</v>
      </c>
      <c r="BH2514" s="1">
        <v>114.48</v>
      </c>
      <c r="BI2514" s="1">
        <v>343224</v>
      </c>
      <c r="BJ2514" s="3">
        <v>42093</v>
      </c>
      <c r="BK2514" t="s">
        <v>123</v>
      </c>
      <c r="BL2514" t="str">
        <f>"2015.209651"</f>
        <v>2015.209651</v>
      </c>
      <c r="BM2514" t="s">
        <v>135</v>
      </c>
      <c r="BO2514" t="s">
        <v>16767</v>
      </c>
      <c r="BS2514">
        <v>30</v>
      </c>
      <c r="BW2514" t="str">
        <f>""</f>
        <v/>
      </c>
      <c r="CH2514" t="str">
        <f>""</f>
        <v/>
      </c>
      <c r="CS2514" t="str">
        <f>""</f>
        <v/>
      </c>
    </row>
    <row r="2515" spans="1:97" x14ac:dyDescent="0.25">
      <c r="A2515" t="s">
        <v>16768</v>
      </c>
      <c r="B2515" t="s">
        <v>16769</v>
      </c>
      <c r="E2515" t="s">
        <v>16770</v>
      </c>
      <c r="F2515" t="s">
        <v>108</v>
      </c>
      <c r="H2515" t="s">
        <v>16771</v>
      </c>
      <c r="I2515" t="s">
        <v>390</v>
      </c>
      <c r="J2515" t="s">
        <v>111</v>
      </c>
      <c r="K2515" t="str">
        <f>"85086"</f>
        <v>85086</v>
      </c>
      <c r="L2515" t="s">
        <v>5009</v>
      </c>
      <c r="M2515" t="s">
        <v>16771</v>
      </c>
      <c r="N2515" t="s">
        <v>390</v>
      </c>
      <c r="O2515" t="s">
        <v>111</v>
      </c>
      <c r="P2515" t="str">
        <f>"85086-9306"</f>
        <v>85086-9306</v>
      </c>
      <c r="Q2515" t="s">
        <v>113</v>
      </c>
      <c r="R2515" t="str">
        <f>"211-49-027-F"</f>
        <v>211-49-027-F</v>
      </c>
      <c r="S2515" t="s">
        <v>16772</v>
      </c>
      <c r="T2515" t="s">
        <v>16772</v>
      </c>
      <c r="U2515">
        <v>2607</v>
      </c>
      <c r="V2515">
        <v>0</v>
      </c>
      <c r="W2515">
        <v>4</v>
      </c>
      <c r="X2515">
        <v>2014</v>
      </c>
      <c r="Z2515">
        <v>1</v>
      </c>
      <c r="AA2515" t="s">
        <v>26</v>
      </c>
      <c r="AB2515">
        <v>0</v>
      </c>
      <c r="AC2515" t="s">
        <v>115</v>
      </c>
      <c r="AD2515">
        <v>4</v>
      </c>
      <c r="AE2515" t="s">
        <v>115</v>
      </c>
      <c r="AF2515">
        <v>0</v>
      </c>
      <c r="AG2515">
        <v>0</v>
      </c>
      <c r="AH2515" t="s">
        <v>116</v>
      </c>
      <c r="AI2515" s="1">
        <v>162028</v>
      </c>
      <c r="AJ2515" s="2">
        <v>0.28999999999999998</v>
      </c>
      <c r="AK2515" s="1">
        <v>552028</v>
      </c>
      <c r="AL2515" t="s">
        <v>117</v>
      </c>
      <c r="AM2515" t="s">
        <v>376</v>
      </c>
      <c r="AN2515">
        <v>54068</v>
      </c>
      <c r="AO2515">
        <v>1.24</v>
      </c>
      <c r="AR2515">
        <v>1</v>
      </c>
      <c r="AS2515" s="1">
        <v>43850</v>
      </c>
      <c r="AT2515" s="1">
        <v>8770</v>
      </c>
      <c r="AU2515" s="1">
        <v>35080</v>
      </c>
      <c r="AV2515">
        <v>80</v>
      </c>
      <c r="AX2515" s="1">
        <v>3727.42</v>
      </c>
      <c r="AY2515" t="s">
        <v>1587</v>
      </c>
      <c r="AZ2515" t="s">
        <v>1587</v>
      </c>
      <c r="BA2515" t="s">
        <v>378</v>
      </c>
      <c r="BE2515" s="3">
        <v>41835</v>
      </c>
      <c r="BF2515" s="1">
        <v>390000</v>
      </c>
      <c r="BG2515" t="s">
        <v>16773</v>
      </c>
      <c r="BH2515" s="1">
        <v>149.6</v>
      </c>
      <c r="BI2515" s="1">
        <v>390000</v>
      </c>
      <c r="BJ2515" s="3">
        <v>41835</v>
      </c>
      <c r="BK2515" t="s">
        <v>123</v>
      </c>
      <c r="BL2515" t="str">
        <f>"2014.464140"</f>
        <v>2014.464140</v>
      </c>
      <c r="BM2515" t="s">
        <v>724</v>
      </c>
      <c r="BO2515" t="s">
        <v>16774</v>
      </c>
      <c r="BS2515">
        <v>30</v>
      </c>
      <c r="BW2515" t="str">
        <f>""</f>
        <v/>
      </c>
      <c r="CH2515" t="str">
        <f>""</f>
        <v/>
      </c>
      <c r="CS2515" t="str">
        <f>""</f>
        <v/>
      </c>
    </row>
    <row r="2516" spans="1:97" x14ac:dyDescent="0.25">
      <c r="A2516" t="s">
        <v>5214</v>
      </c>
      <c r="B2516" t="s">
        <v>16775</v>
      </c>
      <c r="C2516" t="s">
        <v>10325</v>
      </c>
      <c r="D2516" t="s">
        <v>16775</v>
      </c>
      <c r="E2516" t="s">
        <v>16776</v>
      </c>
      <c r="F2516" t="s">
        <v>282</v>
      </c>
      <c r="H2516" t="s">
        <v>16777</v>
      </c>
      <c r="I2516" t="s">
        <v>390</v>
      </c>
      <c r="J2516" t="s">
        <v>111</v>
      </c>
      <c r="K2516" t="str">
        <f>"85041"</f>
        <v>85041</v>
      </c>
      <c r="L2516" t="s">
        <v>5709</v>
      </c>
      <c r="M2516" t="s">
        <v>16777</v>
      </c>
      <c r="N2516" t="s">
        <v>390</v>
      </c>
      <c r="O2516" t="s">
        <v>111</v>
      </c>
      <c r="P2516" t="str">
        <f>"85041-4980"</f>
        <v>85041-4980</v>
      </c>
      <c r="Q2516" t="s">
        <v>113</v>
      </c>
      <c r="R2516" t="str">
        <f>"105-90-404"</f>
        <v>105-90-404</v>
      </c>
      <c r="S2516" t="s">
        <v>12983</v>
      </c>
      <c r="T2516" t="s">
        <v>12983</v>
      </c>
      <c r="U2516">
        <v>3370</v>
      </c>
      <c r="V2516">
        <v>0</v>
      </c>
      <c r="W2516">
        <v>4</v>
      </c>
      <c r="X2516">
        <v>2006</v>
      </c>
      <c r="Z2516">
        <v>2</v>
      </c>
      <c r="AB2516">
        <v>0</v>
      </c>
      <c r="AC2516" t="s">
        <v>115</v>
      </c>
      <c r="AD2516">
        <v>2</v>
      </c>
      <c r="AE2516" t="s">
        <v>115</v>
      </c>
      <c r="AF2516">
        <v>0</v>
      </c>
      <c r="AG2516">
        <v>0</v>
      </c>
      <c r="AH2516" t="s">
        <v>116</v>
      </c>
      <c r="AI2516" s="1">
        <v>-149378</v>
      </c>
      <c r="AJ2516" s="2">
        <v>-0.44</v>
      </c>
      <c r="AK2516" s="1">
        <v>340322</v>
      </c>
      <c r="AL2516" t="s">
        <v>117</v>
      </c>
      <c r="AM2516" t="s">
        <v>171</v>
      </c>
      <c r="AN2516">
        <v>6050</v>
      </c>
      <c r="AO2516">
        <v>0.14000000000000001</v>
      </c>
      <c r="AR2516">
        <v>1</v>
      </c>
      <c r="AS2516" s="1">
        <v>22810</v>
      </c>
      <c r="AT2516" s="1">
        <v>4560</v>
      </c>
      <c r="AU2516" s="1">
        <v>18250</v>
      </c>
      <c r="AV2516">
        <v>80.010000000000005</v>
      </c>
      <c r="AX2516" s="1">
        <v>2578.5</v>
      </c>
      <c r="AY2516" t="s">
        <v>8159</v>
      </c>
      <c r="AZ2516" t="s">
        <v>8159</v>
      </c>
      <c r="BA2516" t="s">
        <v>1661</v>
      </c>
      <c r="BB2516" s="3">
        <v>43347</v>
      </c>
      <c r="BC2516" s="1">
        <v>0</v>
      </c>
      <c r="BD2516" t="s">
        <v>247</v>
      </c>
      <c r="BE2516" s="3">
        <v>41857</v>
      </c>
      <c r="BF2516" s="1">
        <v>244900</v>
      </c>
      <c r="BG2516" t="s">
        <v>16778</v>
      </c>
      <c r="BH2516" s="1">
        <v>72.67</v>
      </c>
      <c r="BI2516" s="1">
        <v>244850</v>
      </c>
      <c r="BJ2516" s="3">
        <v>41857</v>
      </c>
      <c r="BK2516" t="s">
        <v>123</v>
      </c>
      <c r="BL2516" t="str">
        <f>"2014.518407"</f>
        <v>2014.518407</v>
      </c>
      <c r="BM2516" t="s">
        <v>594</v>
      </c>
      <c r="BN2516" t="s">
        <v>595</v>
      </c>
      <c r="BO2516" t="s">
        <v>16779</v>
      </c>
      <c r="BS2516">
        <v>30</v>
      </c>
      <c r="BT2516" s="1">
        <v>244850</v>
      </c>
      <c r="BU2516" s="3">
        <v>43357</v>
      </c>
      <c r="BV2516" t="s">
        <v>134</v>
      </c>
      <c r="BW2516" t="str">
        <f>"2018.692435"</f>
        <v>2018.692435</v>
      </c>
      <c r="BX2516" t="s">
        <v>2042</v>
      </c>
      <c r="BY2516" t="s">
        <v>16780</v>
      </c>
      <c r="BZ2516" t="s">
        <v>16781</v>
      </c>
      <c r="CC2516" t="s">
        <v>139</v>
      </c>
      <c r="CH2516" t="str">
        <f>""</f>
        <v/>
      </c>
      <c r="CS2516" t="str">
        <f>""</f>
        <v/>
      </c>
    </row>
    <row r="2517" spans="1:97" x14ac:dyDescent="0.25">
      <c r="A2517" t="s">
        <v>16782</v>
      </c>
      <c r="B2517" t="s">
        <v>1089</v>
      </c>
      <c r="E2517" t="s">
        <v>16783</v>
      </c>
      <c r="F2517" t="s">
        <v>108</v>
      </c>
      <c r="H2517" t="s">
        <v>16784</v>
      </c>
      <c r="I2517" t="s">
        <v>225</v>
      </c>
      <c r="J2517" t="s">
        <v>111</v>
      </c>
      <c r="K2517" t="str">
        <f>"85203"</f>
        <v>85203</v>
      </c>
      <c r="L2517" t="s">
        <v>8543</v>
      </c>
      <c r="M2517" t="s">
        <v>16784</v>
      </c>
      <c r="N2517" t="s">
        <v>225</v>
      </c>
      <c r="O2517" t="s">
        <v>111</v>
      </c>
      <c r="P2517" t="str">
        <f>"85203-3657"</f>
        <v>85203-3657</v>
      </c>
      <c r="Q2517" t="s">
        <v>113</v>
      </c>
      <c r="R2517" t="str">
        <f>"136-26-763"</f>
        <v>136-26-763</v>
      </c>
      <c r="S2517" t="s">
        <v>12828</v>
      </c>
      <c r="T2517" t="s">
        <v>12829</v>
      </c>
      <c r="U2517">
        <v>2603</v>
      </c>
      <c r="V2517">
        <v>0</v>
      </c>
      <c r="W2517">
        <v>5</v>
      </c>
      <c r="X2517">
        <v>1983</v>
      </c>
      <c r="Z2517">
        <v>2</v>
      </c>
      <c r="AA2517" t="s">
        <v>26</v>
      </c>
      <c r="AB2517">
        <v>0</v>
      </c>
      <c r="AC2517" t="s">
        <v>115</v>
      </c>
      <c r="AD2517">
        <v>2</v>
      </c>
      <c r="AE2517" t="s">
        <v>115</v>
      </c>
      <c r="AF2517">
        <v>0</v>
      </c>
      <c r="AG2517">
        <v>0</v>
      </c>
      <c r="AH2517" t="s">
        <v>116</v>
      </c>
      <c r="AI2517" s="1">
        <v>111412</v>
      </c>
      <c r="AJ2517" s="2">
        <v>0.31</v>
      </c>
      <c r="AK2517" s="1">
        <v>363912</v>
      </c>
      <c r="AL2517" t="s">
        <v>117</v>
      </c>
      <c r="AM2517" t="s">
        <v>393</v>
      </c>
      <c r="AN2517">
        <v>9252</v>
      </c>
      <c r="AO2517">
        <v>0.21</v>
      </c>
      <c r="AP2517">
        <v>1</v>
      </c>
      <c r="AR2517">
        <v>1</v>
      </c>
      <c r="AS2517" s="1">
        <v>27630</v>
      </c>
      <c r="AT2517" s="1">
        <v>5520</v>
      </c>
      <c r="AU2517" s="1">
        <v>22110</v>
      </c>
      <c r="AV2517">
        <v>80.02</v>
      </c>
      <c r="AX2517" s="1">
        <v>1845.32</v>
      </c>
      <c r="AY2517" t="s">
        <v>12830</v>
      </c>
      <c r="AZ2517" t="s">
        <v>5190</v>
      </c>
      <c r="BA2517" t="s">
        <v>5191</v>
      </c>
      <c r="BE2517" s="3">
        <v>42094</v>
      </c>
      <c r="BF2517" s="1">
        <v>252500</v>
      </c>
      <c r="BG2517" t="s">
        <v>16785</v>
      </c>
      <c r="BH2517" s="1">
        <v>97</v>
      </c>
      <c r="BI2517" s="1">
        <v>252500</v>
      </c>
      <c r="BJ2517" s="3">
        <v>42094</v>
      </c>
      <c r="BK2517" t="s">
        <v>123</v>
      </c>
      <c r="BL2517" t="str">
        <f>"2015.217598"</f>
        <v>2015.217598</v>
      </c>
      <c r="BM2517" t="s">
        <v>724</v>
      </c>
      <c r="BO2517" t="s">
        <v>16786</v>
      </c>
      <c r="BS2517">
        <v>30</v>
      </c>
      <c r="BW2517" t="str">
        <f>""</f>
        <v/>
      </c>
      <c r="CH2517" t="str">
        <f>""</f>
        <v/>
      </c>
      <c r="CS2517" t="str">
        <f>""</f>
        <v/>
      </c>
    </row>
    <row r="2518" spans="1:97" x14ac:dyDescent="0.25">
      <c r="B2518" t="s">
        <v>16787</v>
      </c>
      <c r="E2518" t="s">
        <v>16788</v>
      </c>
      <c r="F2518" t="s">
        <v>108</v>
      </c>
      <c r="H2518" t="s">
        <v>16789</v>
      </c>
      <c r="I2518" t="s">
        <v>1936</v>
      </c>
      <c r="J2518" t="s">
        <v>111</v>
      </c>
      <c r="K2518" t="str">
        <f>"85254"</f>
        <v>85254</v>
      </c>
      <c r="L2518" t="s">
        <v>6891</v>
      </c>
      <c r="M2518" t="s">
        <v>16789</v>
      </c>
      <c r="N2518" t="s">
        <v>1936</v>
      </c>
      <c r="O2518" t="s">
        <v>111</v>
      </c>
      <c r="P2518" t="str">
        <f>"85254-7636"</f>
        <v>85254-7636</v>
      </c>
      <c r="Q2518" t="s">
        <v>113</v>
      </c>
      <c r="R2518" t="str">
        <f>"215-92-118"</f>
        <v>215-92-118</v>
      </c>
      <c r="S2518" t="s">
        <v>16790</v>
      </c>
      <c r="T2518" t="s">
        <v>16791</v>
      </c>
      <c r="U2518">
        <v>3175</v>
      </c>
      <c r="V2518">
        <v>0</v>
      </c>
      <c r="W2518">
        <v>4</v>
      </c>
      <c r="X2518">
        <v>1997</v>
      </c>
      <c r="Z2518">
        <v>1</v>
      </c>
      <c r="AA2518" t="s">
        <v>26</v>
      </c>
      <c r="AB2518">
        <v>0</v>
      </c>
      <c r="AC2518" t="s">
        <v>115</v>
      </c>
      <c r="AD2518">
        <v>3</v>
      </c>
      <c r="AE2518" t="s">
        <v>115</v>
      </c>
      <c r="AF2518">
        <v>0</v>
      </c>
      <c r="AG2518">
        <v>0</v>
      </c>
      <c r="AH2518" t="s">
        <v>116</v>
      </c>
      <c r="AI2518" s="1">
        <v>-116532</v>
      </c>
      <c r="AJ2518" s="2">
        <v>-0.21</v>
      </c>
      <c r="AK2518" s="1">
        <v>550553</v>
      </c>
      <c r="AL2518" t="s">
        <v>117</v>
      </c>
      <c r="AM2518" t="s">
        <v>1302</v>
      </c>
      <c r="AN2518">
        <v>9600</v>
      </c>
      <c r="AO2518">
        <v>0.22</v>
      </c>
      <c r="AP2518">
        <v>1</v>
      </c>
      <c r="AR2518">
        <v>1</v>
      </c>
      <c r="AS2518" s="1">
        <v>50750</v>
      </c>
      <c r="AT2518" s="1">
        <v>10150</v>
      </c>
      <c r="AU2518" s="1">
        <v>40600</v>
      </c>
      <c r="AV2518">
        <v>80</v>
      </c>
      <c r="AX2518" s="1">
        <v>5785.62</v>
      </c>
      <c r="AY2518" t="s">
        <v>16792</v>
      </c>
      <c r="AZ2518" t="s">
        <v>1317</v>
      </c>
      <c r="BA2518" t="s">
        <v>6302</v>
      </c>
      <c r="BB2518" s="3">
        <v>42635</v>
      </c>
      <c r="BD2518" t="s">
        <v>240</v>
      </c>
      <c r="BE2518" s="3">
        <v>41787</v>
      </c>
      <c r="BF2518" s="1">
        <v>600000</v>
      </c>
      <c r="BG2518" t="s">
        <v>16793</v>
      </c>
      <c r="BH2518" s="1">
        <v>188.98</v>
      </c>
      <c r="BI2518" s="1">
        <v>667085</v>
      </c>
      <c r="BJ2518" s="3">
        <v>43299</v>
      </c>
      <c r="BK2518" t="s">
        <v>123</v>
      </c>
      <c r="BL2518" t="str">
        <f>"2018.544710"</f>
        <v>2018.544710</v>
      </c>
      <c r="BM2518" t="s">
        <v>843</v>
      </c>
      <c r="BN2518" t="s">
        <v>12564</v>
      </c>
      <c r="BO2518" t="s">
        <v>16787</v>
      </c>
      <c r="BR2518" t="s">
        <v>139</v>
      </c>
      <c r="BW2518" t="str">
        <f>""</f>
        <v/>
      </c>
      <c r="CH2518" t="str">
        <f>""</f>
        <v/>
      </c>
      <c r="CS2518" t="str">
        <f>""</f>
        <v/>
      </c>
    </row>
    <row r="2519" spans="1:97" x14ac:dyDescent="0.25">
      <c r="A2519" t="s">
        <v>16794</v>
      </c>
      <c r="B2519" t="s">
        <v>4527</v>
      </c>
      <c r="C2519" t="s">
        <v>16795</v>
      </c>
      <c r="D2519" t="s">
        <v>4527</v>
      </c>
      <c r="E2519" t="s">
        <v>16796</v>
      </c>
      <c r="F2519" t="s">
        <v>108</v>
      </c>
      <c r="H2519" t="s">
        <v>16797</v>
      </c>
      <c r="I2519" t="s">
        <v>188</v>
      </c>
      <c r="J2519" t="s">
        <v>111</v>
      </c>
      <c r="K2519" t="str">
        <f>"85142"</f>
        <v>85142</v>
      </c>
      <c r="L2519" t="s">
        <v>7339</v>
      </c>
      <c r="M2519" t="s">
        <v>16797</v>
      </c>
      <c r="N2519" t="s">
        <v>188</v>
      </c>
      <c r="O2519" t="s">
        <v>111</v>
      </c>
      <c r="P2519" t="str">
        <f>"85142-5933"</f>
        <v>85142-5933</v>
      </c>
      <c r="Q2519" t="s">
        <v>113</v>
      </c>
      <c r="R2519" t="str">
        <f>"304-66-756"</f>
        <v>304-66-756</v>
      </c>
      <c r="S2519" t="s">
        <v>10077</v>
      </c>
      <c r="U2519">
        <v>2151</v>
      </c>
      <c r="V2519">
        <v>0</v>
      </c>
      <c r="W2519">
        <v>3</v>
      </c>
      <c r="X2519">
        <v>2014</v>
      </c>
      <c r="Z2519">
        <v>1</v>
      </c>
      <c r="AB2519">
        <v>0</v>
      </c>
      <c r="AC2519" t="s">
        <v>115</v>
      </c>
      <c r="AD2519">
        <v>2</v>
      </c>
      <c r="AE2519" t="s">
        <v>115</v>
      </c>
      <c r="AF2519">
        <v>0</v>
      </c>
      <c r="AG2519">
        <v>0</v>
      </c>
      <c r="AH2519" t="s">
        <v>116</v>
      </c>
      <c r="AI2519" s="1">
        <v>98254</v>
      </c>
      <c r="AJ2519" s="2">
        <v>0.3</v>
      </c>
      <c r="AK2519" s="1">
        <v>331204</v>
      </c>
      <c r="AL2519" t="s">
        <v>117</v>
      </c>
      <c r="AM2519" t="s">
        <v>229</v>
      </c>
      <c r="AN2519">
        <v>6852</v>
      </c>
      <c r="AO2519">
        <v>0.16</v>
      </c>
      <c r="AR2519">
        <v>1</v>
      </c>
      <c r="AS2519" s="1">
        <v>23200</v>
      </c>
      <c r="AT2519" s="1">
        <v>4640</v>
      </c>
      <c r="AU2519" s="1">
        <v>18560</v>
      </c>
      <c r="AV2519">
        <v>80</v>
      </c>
      <c r="AX2519" s="1">
        <v>2236.36</v>
      </c>
      <c r="AY2519" t="s">
        <v>5895</v>
      </c>
      <c r="AZ2519" t="s">
        <v>561</v>
      </c>
      <c r="BA2519" t="s">
        <v>194</v>
      </c>
      <c r="BE2519" s="3">
        <v>41752</v>
      </c>
      <c r="BF2519" s="1">
        <v>235600</v>
      </c>
      <c r="BG2519" t="s">
        <v>16798</v>
      </c>
      <c r="BH2519" s="1">
        <v>109.53</v>
      </c>
      <c r="BI2519" s="1">
        <v>232950</v>
      </c>
      <c r="BJ2519" s="3">
        <v>42613</v>
      </c>
      <c r="BK2519" t="s">
        <v>123</v>
      </c>
      <c r="BL2519" t="str">
        <f>"2016.629224"</f>
        <v>2016.629224</v>
      </c>
      <c r="BM2519" t="s">
        <v>124</v>
      </c>
      <c r="BO2519" t="s">
        <v>16799</v>
      </c>
      <c r="BS2519">
        <v>30</v>
      </c>
      <c r="BW2519" t="str">
        <f>""</f>
        <v/>
      </c>
      <c r="CH2519" t="str">
        <f>""</f>
        <v/>
      </c>
      <c r="CS2519" t="str">
        <f>""</f>
        <v/>
      </c>
    </row>
    <row r="2520" spans="1:97" x14ac:dyDescent="0.25">
      <c r="A2520" t="s">
        <v>16800</v>
      </c>
      <c r="B2520" t="s">
        <v>16801</v>
      </c>
      <c r="C2520" t="s">
        <v>16802</v>
      </c>
      <c r="D2520" t="s">
        <v>16801</v>
      </c>
      <c r="E2520" t="s">
        <v>16803</v>
      </c>
      <c r="F2520" t="s">
        <v>108</v>
      </c>
      <c r="H2520" t="s">
        <v>16804</v>
      </c>
      <c r="I2520" t="s">
        <v>390</v>
      </c>
      <c r="J2520" t="s">
        <v>111</v>
      </c>
      <c r="K2520" t="str">
        <f>"85023"</f>
        <v>85023</v>
      </c>
      <c r="L2520" t="s">
        <v>5308</v>
      </c>
      <c r="M2520" t="s">
        <v>16804</v>
      </c>
      <c r="N2520" t="s">
        <v>390</v>
      </c>
      <c r="O2520" t="s">
        <v>111</v>
      </c>
      <c r="P2520" t="str">
        <f>"85023-3590"</f>
        <v>85023-3590</v>
      </c>
      <c r="Q2520" t="s">
        <v>113</v>
      </c>
      <c r="R2520" t="str">
        <f>"208-13-552"</f>
        <v>208-13-552</v>
      </c>
      <c r="S2520" t="s">
        <v>16805</v>
      </c>
      <c r="T2520" t="s">
        <v>16806</v>
      </c>
      <c r="U2520">
        <v>2111</v>
      </c>
      <c r="V2520">
        <v>0</v>
      </c>
      <c r="W2520">
        <v>4</v>
      </c>
      <c r="X2520">
        <v>1994</v>
      </c>
      <c r="Z2520">
        <v>2</v>
      </c>
      <c r="AA2520" t="s">
        <v>26</v>
      </c>
      <c r="AB2520">
        <v>0</v>
      </c>
      <c r="AC2520" t="s">
        <v>115</v>
      </c>
      <c r="AD2520">
        <v>2</v>
      </c>
      <c r="AE2520" t="s">
        <v>115</v>
      </c>
      <c r="AF2520">
        <v>0</v>
      </c>
      <c r="AG2520">
        <v>0</v>
      </c>
      <c r="AH2520" t="s">
        <v>116</v>
      </c>
      <c r="AI2520" s="1">
        <v>74953</v>
      </c>
      <c r="AJ2520" s="2">
        <v>0.21</v>
      </c>
      <c r="AK2520" s="1">
        <v>349953</v>
      </c>
      <c r="AL2520" t="s">
        <v>117</v>
      </c>
      <c r="AM2520" t="s">
        <v>191</v>
      </c>
      <c r="AN2520">
        <v>5875</v>
      </c>
      <c r="AO2520">
        <v>0.14000000000000001</v>
      </c>
      <c r="AP2520">
        <v>1</v>
      </c>
      <c r="AR2520">
        <v>1</v>
      </c>
      <c r="AS2520" s="1">
        <v>24720</v>
      </c>
      <c r="AT2520" s="1">
        <v>4940</v>
      </c>
      <c r="AU2520" s="1">
        <v>19780</v>
      </c>
      <c r="AV2520">
        <v>80.02</v>
      </c>
      <c r="AX2520" s="1">
        <v>2722.02</v>
      </c>
      <c r="AY2520" t="s">
        <v>8647</v>
      </c>
      <c r="AZ2520" t="s">
        <v>8648</v>
      </c>
      <c r="BA2520" t="s">
        <v>8649</v>
      </c>
      <c r="BB2520" s="3">
        <v>42643</v>
      </c>
      <c r="BD2520" t="s">
        <v>240</v>
      </c>
      <c r="BE2520" s="3">
        <v>41682</v>
      </c>
      <c r="BF2520" s="1">
        <v>267000</v>
      </c>
      <c r="BG2520" t="s">
        <v>16807</v>
      </c>
      <c r="BH2520" s="1">
        <v>126.48</v>
      </c>
      <c r="BI2520" s="1">
        <v>275000</v>
      </c>
      <c r="BJ2520" s="3">
        <v>42643</v>
      </c>
      <c r="BK2520" t="s">
        <v>123</v>
      </c>
      <c r="BL2520" t="str">
        <f>"2016.714016"</f>
        <v>2016.714016</v>
      </c>
      <c r="BM2520" t="s">
        <v>135</v>
      </c>
      <c r="BO2520" t="s">
        <v>16808</v>
      </c>
      <c r="BS2520">
        <v>30</v>
      </c>
      <c r="BW2520" t="str">
        <f>""</f>
        <v/>
      </c>
      <c r="CH2520" t="str">
        <f>""</f>
        <v/>
      </c>
      <c r="CS2520" t="str">
        <f>""</f>
        <v/>
      </c>
    </row>
    <row r="2521" spans="1:97" x14ac:dyDescent="0.25">
      <c r="A2521" t="s">
        <v>3395</v>
      </c>
      <c r="B2521" t="s">
        <v>16809</v>
      </c>
      <c r="E2521" t="s">
        <v>16810</v>
      </c>
      <c r="F2521" t="s">
        <v>108</v>
      </c>
      <c r="H2521" t="s">
        <v>16811</v>
      </c>
      <c r="I2521" t="s">
        <v>499</v>
      </c>
      <c r="J2521" t="s">
        <v>111</v>
      </c>
      <c r="K2521" t="str">
        <f>"85395"</f>
        <v>85395</v>
      </c>
      <c r="L2521" t="s">
        <v>7005</v>
      </c>
      <c r="M2521" t="s">
        <v>16811</v>
      </c>
      <c r="N2521" t="s">
        <v>499</v>
      </c>
      <c r="O2521" t="s">
        <v>111</v>
      </c>
      <c r="P2521" t="str">
        <f>"85395-8962"</f>
        <v>85395-8962</v>
      </c>
      <c r="Q2521" t="s">
        <v>113</v>
      </c>
      <c r="R2521" t="str">
        <f>"508-14-184"</f>
        <v>508-14-184</v>
      </c>
      <c r="S2521" t="s">
        <v>14773</v>
      </c>
      <c r="T2521" t="s">
        <v>14987</v>
      </c>
      <c r="U2521">
        <v>3613</v>
      </c>
      <c r="V2521">
        <v>0</v>
      </c>
      <c r="W2521">
        <v>4</v>
      </c>
      <c r="X2521">
        <v>2005</v>
      </c>
      <c r="Z2521">
        <v>2</v>
      </c>
      <c r="AB2521">
        <v>0</v>
      </c>
      <c r="AC2521" t="s">
        <v>115</v>
      </c>
      <c r="AD2521">
        <v>3</v>
      </c>
      <c r="AE2521" t="s">
        <v>115</v>
      </c>
      <c r="AF2521">
        <v>0</v>
      </c>
      <c r="AG2521">
        <v>0</v>
      </c>
      <c r="AH2521" t="s">
        <v>116</v>
      </c>
      <c r="AI2521" s="1">
        <v>63524</v>
      </c>
      <c r="AJ2521" s="2">
        <v>0.16</v>
      </c>
      <c r="AK2521" s="1">
        <v>388889</v>
      </c>
      <c r="AL2521" t="s">
        <v>117</v>
      </c>
      <c r="AM2521" t="s">
        <v>118</v>
      </c>
      <c r="AN2521">
        <v>8400</v>
      </c>
      <c r="AO2521">
        <v>0.19</v>
      </c>
      <c r="AR2521">
        <v>1</v>
      </c>
      <c r="AS2521" s="1">
        <v>28530</v>
      </c>
      <c r="AT2521" s="1">
        <v>5700</v>
      </c>
      <c r="AU2521" s="1">
        <v>22830</v>
      </c>
      <c r="AV2521">
        <v>80.02</v>
      </c>
      <c r="AX2521" s="1">
        <v>2725.42</v>
      </c>
      <c r="AY2521" t="s">
        <v>3020</v>
      </c>
      <c r="AZ2521" t="s">
        <v>3020</v>
      </c>
      <c r="BA2521" t="s">
        <v>7186</v>
      </c>
      <c r="BE2521" s="3">
        <v>42460</v>
      </c>
      <c r="BF2521" s="1">
        <v>320000</v>
      </c>
      <c r="BG2521" t="s">
        <v>10136</v>
      </c>
      <c r="BH2521" s="1">
        <v>88.57</v>
      </c>
      <c r="BI2521" s="1">
        <v>325365</v>
      </c>
      <c r="BJ2521" s="3">
        <v>42597</v>
      </c>
      <c r="BK2521" t="s">
        <v>123</v>
      </c>
      <c r="BL2521" t="str">
        <f>"2016.582230"</f>
        <v>2016.582230</v>
      </c>
      <c r="BM2521" t="s">
        <v>402</v>
      </c>
      <c r="BO2521" t="s">
        <v>16812</v>
      </c>
      <c r="BS2521">
        <v>30</v>
      </c>
      <c r="BW2521" t="str">
        <f>""</f>
        <v/>
      </c>
      <c r="CH2521" t="str">
        <f>""</f>
        <v/>
      </c>
      <c r="CS2521" t="str">
        <f>""</f>
        <v/>
      </c>
    </row>
    <row r="2522" spans="1:97" x14ac:dyDescent="0.25">
      <c r="B2522" t="s">
        <v>16813</v>
      </c>
      <c r="C2522" t="s">
        <v>852</v>
      </c>
      <c r="E2522" t="s">
        <v>16814</v>
      </c>
      <c r="F2522" t="s">
        <v>108</v>
      </c>
      <c r="H2522" t="s">
        <v>16815</v>
      </c>
      <c r="I2522" t="s">
        <v>1936</v>
      </c>
      <c r="J2522" t="s">
        <v>111</v>
      </c>
      <c r="K2522" t="str">
        <f>"85254"</f>
        <v>85254</v>
      </c>
      <c r="L2522" t="s">
        <v>1658</v>
      </c>
      <c r="M2522" t="s">
        <v>16815</v>
      </c>
      <c r="N2522" t="s">
        <v>1936</v>
      </c>
      <c r="O2522" t="s">
        <v>111</v>
      </c>
      <c r="P2522" t="str">
        <f>"85254-1385"</f>
        <v>85254-1385</v>
      </c>
      <c r="Q2522" t="s">
        <v>113</v>
      </c>
      <c r="R2522" t="str">
        <f>"215-81-029-A"</f>
        <v>215-81-029-A</v>
      </c>
      <c r="S2522" t="s">
        <v>16816</v>
      </c>
      <c r="T2522" t="s">
        <v>16817</v>
      </c>
      <c r="U2522">
        <v>2565</v>
      </c>
      <c r="V2522">
        <v>0</v>
      </c>
      <c r="W2522">
        <v>4</v>
      </c>
      <c r="X2522">
        <v>1992</v>
      </c>
      <c r="Z2522">
        <v>1</v>
      </c>
      <c r="AA2522" t="s">
        <v>26</v>
      </c>
      <c r="AB2522">
        <v>0</v>
      </c>
      <c r="AC2522" t="s">
        <v>115</v>
      </c>
      <c r="AD2522">
        <v>3</v>
      </c>
      <c r="AE2522" t="s">
        <v>115</v>
      </c>
      <c r="AF2522">
        <v>0</v>
      </c>
      <c r="AG2522">
        <v>0</v>
      </c>
      <c r="AH2522" t="s">
        <v>116</v>
      </c>
      <c r="AI2522" s="1">
        <v>152827</v>
      </c>
      <c r="AJ2522" s="2">
        <v>0.27</v>
      </c>
      <c r="AK2522" s="1">
        <v>575827</v>
      </c>
      <c r="AL2522" t="s">
        <v>117</v>
      </c>
      <c r="AM2522" t="s">
        <v>1302</v>
      </c>
      <c r="AN2522">
        <v>9493</v>
      </c>
      <c r="AO2522">
        <v>0.22</v>
      </c>
      <c r="AP2522">
        <v>1</v>
      </c>
      <c r="AR2522">
        <v>1</v>
      </c>
      <c r="AS2522" s="1">
        <v>42120</v>
      </c>
      <c r="AT2522" s="1">
        <v>8420</v>
      </c>
      <c r="AU2522" s="1">
        <v>33700</v>
      </c>
      <c r="AV2522">
        <v>80.010000000000005</v>
      </c>
      <c r="AX2522" s="1">
        <v>3918.66</v>
      </c>
      <c r="AY2522" t="s">
        <v>15787</v>
      </c>
      <c r="AZ2522" t="s">
        <v>7739</v>
      </c>
      <c r="BA2522" t="s">
        <v>6302</v>
      </c>
      <c r="BB2522" s="3">
        <v>43783</v>
      </c>
      <c r="BC2522" s="1">
        <v>0</v>
      </c>
      <c r="BD2522" t="s">
        <v>247</v>
      </c>
      <c r="BE2522" s="3">
        <v>41939</v>
      </c>
      <c r="BF2522" s="1">
        <v>425000</v>
      </c>
      <c r="BG2522" t="s">
        <v>16818</v>
      </c>
      <c r="BH2522" s="1">
        <v>165.69</v>
      </c>
      <c r="BI2522" s="1">
        <v>423000</v>
      </c>
      <c r="BJ2522" s="3">
        <v>41939</v>
      </c>
      <c r="BK2522" t="s">
        <v>123</v>
      </c>
      <c r="BL2522" t="str">
        <f>"2014.708683"</f>
        <v>2014.708683</v>
      </c>
      <c r="BM2522" t="s">
        <v>903</v>
      </c>
      <c r="BN2522" t="s">
        <v>904</v>
      </c>
      <c r="BO2522" t="s">
        <v>16819</v>
      </c>
      <c r="BS2522">
        <v>30</v>
      </c>
      <c r="BW2522" t="str">
        <f>""</f>
        <v/>
      </c>
      <c r="CH2522" t="str">
        <f>""</f>
        <v/>
      </c>
      <c r="CS2522" t="str">
        <f>""</f>
        <v/>
      </c>
    </row>
    <row r="2523" spans="1:97" x14ac:dyDescent="0.25">
      <c r="A2523" t="s">
        <v>16820</v>
      </c>
      <c r="B2523" t="s">
        <v>16821</v>
      </c>
      <c r="E2523" t="s">
        <v>16822</v>
      </c>
      <c r="F2523" t="s">
        <v>108</v>
      </c>
      <c r="H2523" t="s">
        <v>16823</v>
      </c>
      <c r="I2523" t="s">
        <v>499</v>
      </c>
      <c r="J2523" t="s">
        <v>111</v>
      </c>
      <c r="K2523" t="str">
        <f>"85395"</f>
        <v>85395</v>
      </c>
      <c r="L2523" t="s">
        <v>168</v>
      </c>
      <c r="M2523" t="s">
        <v>16823</v>
      </c>
      <c r="N2523" t="s">
        <v>499</v>
      </c>
      <c r="O2523" t="s">
        <v>111</v>
      </c>
      <c r="P2523" t="str">
        <f>"85395-7744"</f>
        <v>85395-7744</v>
      </c>
      <c r="Q2523" t="s">
        <v>113</v>
      </c>
      <c r="R2523" t="str">
        <f>"501-62-847"</f>
        <v>501-62-847</v>
      </c>
      <c r="S2523" t="s">
        <v>10001</v>
      </c>
      <c r="T2523" t="s">
        <v>10002</v>
      </c>
      <c r="U2523">
        <v>2288</v>
      </c>
      <c r="V2523">
        <v>0</v>
      </c>
      <c r="W2523">
        <v>3</v>
      </c>
      <c r="X2523">
        <v>2014</v>
      </c>
      <c r="Z2523">
        <v>1</v>
      </c>
      <c r="AB2523">
        <v>0</v>
      </c>
      <c r="AC2523" t="s">
        <v>115</v>
      </c>
      <c r="AD2523">
        <v>3</v>
      </c>
      <c r="AE2523" t="s">
        <v>115</v>
      </c>
      <c r="AF2523">
        <v>0</v>
      </c>
      <c r="AG2523">
        <v>0</v>
      </c>
      <c r="AH2523" t="s">
        <v>116</v>
      </c>
      <c r="AI2523" s="1">
        <v>85807</v>
      </c>
      <c r="AJ2523" s="2">
        <v>0.23</v>
      </c>
      <c r="AK2523" s="1">
        <v>366055</v>
      </c>
      <c r="AL2523" t="s">
        <v>117</v>
      </c>
      <c r="AM2523" t="s">
        <v>118</v>
      </c>
      <c r="AN2523">
        <v>7200</v>
      </c>
      <c r="AO2523">
        <v>0.16</v>
      </c>
      <c r="AR2523">
        <v>1</v>
      </c>
      <c r="AS2523" s="1">
        <v>24380</v>
      </c>
      <c r="AT2523" s="1">
        <v>4870</v>
      </c>
      <c r="AU2523" s="1">
        <v>19510</v>
      </c>
      <c r="AV2523">
        <v>80.02</v>
      </c>
      <c r="AX2523" s="1">
        <v>2234.36</v>
      </c>
      <c r="AY2523" t="s">
        <v>3019</v>
      </c>
      <c r="AZ2523" t="s">
        <v>504</v>
      </c>
      <c r="BA2523" t="s">
        <v>3154</v>
      </c>
      <c r="BE2523" s="3">
        <v>41745</v>
      </c>
      <c r="BF2523" s="1">
        <v>274371</v>
      </c>
      <c r="BG2523" t="s">
        <v>3021</v>
      </c>
      <c r="BH2523" s="1">
        <v>119.92</v>
      </c>
      <c r="BI2523" s="1">
        <v>280248</v>
      </c>
      <c r="BJ2523" s="3">
        <v>41745</v>
      </c>
      <c r="BK2523" t="s">
        <v>123</v>
      </c>
      <c r="BL2523" t="str">
        <f>"2014.243771"</f>
        <v>2014.243771</v>
      </c>
      <c r="BM2523" t="s">
        <v>2245</v>
      </c>
      <c r="BO2523" t="s">
        <v>16824</v>
      </c>
      <c r="BS2523">
        <v>30</v>
      </c>
      <c r="BW2523" t="str">
        <f>""</f>
        <v/>
      </c>
      <c r="CH2523" t="str">
        <f>""</f>
        <v/>
      </c>
      <c r="CS2523" t="str">
        <f>""</f>
        <v/>
      </c>
    </row>
    <row r="2524" spans="1:97" x14ac:dyDescent="0.25">
      <c r="A2524" t="s">
        <v>1272</v>
      </c>
      <c r="B2524" t="s">
        <v>16825</v>
      </c>
      <c r="C2524" t="s">
        <v>16826</v>
      </c>
      <c r="D2524" t="s">
        <v>16825</v>
      </c>
      <c r="E2524" t="s">
        <v>16827</v>
      </c>
      <c r="F2524" t="s">
        <v>108</v>
      </c>
      <c r="H2524" t="s">
        <v>16828</v>
      </c>
      <c r="I2524" t="s">
        <v>1788</v>
      </c>
      <c r="J2524" t="s">
        <v>111</v>
      </c>
      <c r="K2524" t="str">
        <f>"85355"</f>
        <v>85355</v>
      </c>
      <c r="L2524" t="s">
        <v>5239</v>
      </c>
      <c r="M2524" t="s">
        <v>16828</v>
      </c>
      <c r="N2524" t="s">
        <v>1788</v>
      </c>
      <c r="O2524" t="s">
        <v>111</v>
      </c>
      <c r="P2524" t="str">
        <f>"85355-4218"</f>
        <v>85355-4218</v>
      </c>
      <c r="Q2524" t="s">
        <v>113</v>
      </c>
      <c r="R2524" t="str">
        <f>"502-91-159"</f>
        <v>502-91-159</v>
      </c>
      <c r="S2524" t="s">
        <v>8290</v>
      </c>
      <c r="T2524" t="s">
        <v>8290</v>
      </c>
      <c r="U2524">
        <v>1673</v>
      </c>
      <c r="V2524">
        <v>0</v>
      </c>
      <c r="W2524">
        <v>3</v>
      </c>
      <c r="X2524">
        <v>2007</v>
      </c>
      <c r="Z2524">
        <v>1</v>
      </c>
      <c r="AB2524">
        <v>0</v>
      </c>
      <c r="AC2524" t="s">
        <v>115</v>
      </c>
      <c r="AD2524">
        <v>2</v>
      </c>
      <c r="AE2524" t="s">
        <v>115</v>
      </c>
      <c r="AF2524">
        <v>0</v>
      </c>
      <c r="AG2524">
        <v>0</v>
      </c>
      <c r="AH2524" t="s">
        <v>116</v>
      </c>
      <c r="AI2524" s="1">
        <v>40930</v>
      </c>
      <c r="AJ2524" s="2">
        <v>0.17</v>
      </c>
      <c r="AK2524" s="1">
        <v>247916</v>
      </c>
      <c r="AL2524" t="s">
        <v>117</v>
      </c>
      <c r="AM2524" t="s">
        <v>191</v>
      </c>
      <c r="AN2524">
        <v>6113</v>
      </c>
      <c r="AO2524">
        <v>0.14000000000000001</v>
      </c>
      <c r="AR2524">
        <v>1</v>
      </c>
      <c r="AS2524" s="1">
        <v>17030</v>
      </c>
      <c r="AT2524" s="1">
        <v>3400</v>
      </c>
      <c r="AU2524" s="1">
        <v>13630</v>
      </c>
      <c r="AV2524">
        <v>80.040000000000006</v>
      </c>
      <c r="AX2524" s="1">
        <v>1206.6400000000001</v>
      </c>
      <c r="AY2524" t="s">
        <v>5972</v>
      </c>
      <c r="AZ2524" t="s">
        <v>5972</v>
      </c>
      <c r="BA2524" t="s">
        <v>5061</v>
      </c>
      <c r="BE2524" s="3">
        <v>42460</v>
      </c>
      <c r="BF2524" s="1">
        <v>209980</v>
      </c>
      <c r="BG2524" t="s">
        <v>16829</v>
      </c>
      <c r="BH2524" s="1">
        <v>125.51</v>
      </c>
      <c r="BI2524" s="1">
        <v>206986</v>
      </c>
      <c r="BJ2524" s="3">
        <v>42460</v>
      </c>
      <c r="BK2524" t="s">
        <v>123</v>
      </c>
      <c r="BL2524" t="str">
        <f>"2016.209246"</f>
        <v>2016.209246</v>
      </c>
      <c r="BM2524" t="s">
        <v>1998</v>
      </c>
      <c r="BO2524" t="s">
        <v>16830</v>
      </c>
      <c r="BS2524">
        <v>30</v>
      </c>
      <c r="BW2524" t="str">
        <f>""</f>
        <v/>
      </c>
      <c r="CH2524" t="str">
        <f>""</f>
        <v/>
      </c>
      <c r="CS2524" t="str">
        <f>""</f>
        <v/>
      </c>
    </row>
    <row r="2525" spans="1:97" x14ac:dyDescent="0.25">
      <c r="A2525" t="s">
        <v>370</v>
      </c>
      <c r="B2525" t="s">
        <v>16444</v>
      </c>
      <c r="C2525" t="s">
        <v>7144</v>
      </c>
      <c r="D2525" t="s">
        <v>16444</v>
      </c>
      <c r="E2525" t="s">
        <v>16831</v>
      </c>
      <c r="F2525" t="s">
        <v>108</v>
      </c>
      <c r="H2525" t="s">
        <v>16832</v>
      </c>
      <c r="I2525" t="s">
        <v>110</v>
      </c>
      <c r="J2525" t="s">
        <v>111</v>
      </c>
      <c r="K2525" t="str">
        <f>"85248"</f>
        <v>85248</v>
      </c>
      <c r="L2525" t="s">
        <v>516</v>
      </c>
      <c r="M2525" t="s">
        <v>16832</v>
      </c>
      <c r="N2525" t="s">
        <v>110</v>
      </c>
      <c r="O2525" t="s">
        <v>111</v>
      </c>
      <c r="P2525" t="str">
        <f>"85248-4873"</f>
        <v>85248-4873</v>
      </c>
      <c r="Q2525" t="s">
        <v>113</v>
      </c>
      <c r="R2525" t="str">
        <f>"303-90-146"</f>
        <v>303-90-146</v>
      </c>
      <c r="S2525" t="s">
        <v>16833</v>
      </c>
      <c r="T2525" t="s">
        <v>16834</v>
      </c>
      <c r="U2525">
        <v>2972</v>
      </c>
      <c r="V2525">
        <v>0</v>
      </c>
      <c r="W2525">
        <v>4</v>
      </c>
      <c r="X2525">
        <v>2002</v>
      </c>
      <c r="Z2525">
        <v>1</v>
      </c>
      <c r="AB2525">
        <v>0</v>
      </c>
      <c r="AC2525" t="s">
        <v>115</v>
      </c>
      <c r="AD2525">
        <v>3</v>
      </c>
      <c r="AE2525" t="s">
        <v>115</v>
      </c>
      <c r="AF2525">
        <v>0</v>
      </c>
      <c r="AG2525">
        <v>0</v>
      </c>
      <c r="AH2525" t="s">
        <v>116</v>
      </c>
      <c r="AI2525" s="1">
        <v>184054</v>
      </c>
      <c r="AJ2525" s="2">
        <v>0.31</v>
      </c>
      <c r="AK2525" s="1">
        <v>599179</v>
      </c>
      <c r="AL2525" t="s">
        <v>117</v>
      </c>
      <c r="AM2525" t="s">
        <v>118</v>
      </c>
      <c r="AN2525">
        <v>10400</v>
      </c>
      <c r="AO2525">
        <v>0.24</v>
      </c>
      <c r="AP2525">
        <v>1</v>
      </c>
      <c r="AR2525">
        <v>1</v>
      </c>
      <c r="AS2525" s="1">
        <v>42900</v>
      </c>
      <c r="AT2525" s="1">
        <v>8580</v>
      </c>
      <c r="AU2525" s="1">
        <v>34320</v>
      </c>
      <c r="AV2525">
        <v>80</v>
      </c>
      <c r="AX2525" s="1">
        <v>4157.62</v>
      </c>
      <c r="AY2525" t="s">
        <v>3351</v>
      </c>
      <c r="AZ2525" t="s">
        <v>1882</v>
      </c>
      <c r="BA2525" t="s">
        <v>121</v>
      </c>
      <c r="BE2525" s="3">
        <v>42306</v>
      </c>
      <c r="BF2525" s="1">
        <v>510000</v>
      </c>
      <c r="BG2525" t="s">
        <v>16835</v>
      </c>
      <c r="BH2525" s="1">
        <v>171.6</v>
      </c>
      <c r="BI2525" s="1">
        <v>415125</v>
      </c>
      <c r="BJ2525" s="3">
        <v>42306</v>
      </c>
      <c r="BK2525" t="s">
        <v>123</v>
      </c>
      <c r="BL2525" t="str">
        <f>"2015.778894"</f>
        <v>2015.778894</v>
      </c>
      <c r="BM2525" t="s">
        <v>2683</v>
      </c>
      <c r="BO2525" t="s">
        <v>16836</v>
      </c>
      <c r="BS2525">
        <v>30</v>
      </c>
      <c r="BW2525" t="str">
        <f>""</f>
        <v/>
      </c>
      <c r="CH2525" t="str">
        <f>""</f>
        <v/>
      </c>
      <c r="CS2525" t="str">
        <f>""</f>
        <v/>
      </c>
    </row>
    <row r="2526" spans="1:97" x14ac:dyDescent="0.25">
      <c r="A2526" t="s">
        <v>11046</v>
      </c>
      <c r="B2526" t="s">
        <v>348</v>
      </c>
      <c r="C2526" t="s">
        <v>16837</v>
      </c>
      <c r="D2526" t="s">
        <v>348</v>
      </c>
      <c r="E2526" t="s">
        <v>16838</v>
      </c>
      <c r="F2526" t="s">
        <v>108</v>
      </c>
      <c r="H2526" t="s">
        <v>16839</v>
      </c>
      <c r="I2526" t="s">
        <v>1936</v>
      </c>
      <c r="J2526" t="s">
        <v>111</v>
      </c>
      <c r="K2526" t="str">
        <f>"85254"</f>
        <v>85254</v>
      </c>
      <c r="L2526" t="s">
        <v>9006</v>
      </c>
      <c r="M2526" t="s">
        <v>16839</v>
      </c>
      <c r="N2526" t="s">
        <v>1936</v>
      </c>
      <c r="O2526" t="s">
        <v>111</v>
      </c>
      <c r="P2526" t="str">
        <f>"85254-3829"</f>
        <v>85254-3829</v>
      </c>
      <c r="Q2526" t="s">
        <v>113</v>
      </c>
      <c r="R2526" t="str">
        <f>"167-03-211"</f>
        <v>167-03-211</v>
      </c>
      <c r="S2526" t="s">
        <v>16840</v>
      </c>
      <c r="T2526" t="s">
        <v>9008</v>
      </c>
      <c r="U2526">
        <v>3299</v>
      </c>
      <c r="V2526">
        <v>0</v>
      </c>
      <c r="W2526">
        <v>4</v>
      </c>
      <c r="X2526">
        <v>1989</v>
      </c>
      <c r="Z2526">
        <v>1</v>
      </c>
      <c r="AA2526" t="s">
        <v>26</v>
      </c>
      <c r="AB2526">
        <v>0</v>
      </c>
      <c r="AC2526" t="s">
        <v>115</v>
      </c>
      <c r="AD2526">
        <v>2</v>
      </c>
      <c r="AE2526" t="s">
        <v>115</v>
      </c>
      <c r="AF2526">
        <v>0</v>
      </c>
      <c r="AG2526">
        <v>0</v>
      </c>
      <c r="AH2526" t="s">
        <v>116</v>
      </c>
      <c r="AI2526" s="1">
        <v>237374</v>
      </c>
      <c r="AJ2526" s="2">
        <v>0.32</v>
      </c>
      <c r="AK2526" s="1">
        <v>738764</v>
      </c>
      <c r="AL2526" t="s">
        <v>117</v>
      </c>
      <c r="AM2526" t="s">
        <v>9009</v>
      </c>
      <c r="AN2526">
        <v>26270</v>
      </c>
      <c r="AO2526">
        <v>0.6</v>
      </c>
      <c r="AP2526">
        <v>1</v>
      </c>
      <c r="AR2526">
        <v>1</v>
      </c>
      <c r="AS2526" s="1">
        <v>53060</v>
      </c>
      <c r="AT2526" s="1">
        <v>10610</v>
      </c>
      <c r="AU2526" s="1">
        <v>42450</v>
      </c>
      <c r="AV2526">
        <v>80</v>
      </c>
      <c r="AX2526" s="1">
        <v>5102.1000000000004</v>
      </c>
      <c r="AY2526" t="s">
        <v>9010</v>
      </c>
      <c r="AZ2526" t="s">
        <v>7739</v>
      </c>
      <c r="BA2526" t="s">
        <v>6302</v>
      </c>
      <c r="BE2526" s="3">
        <v>41983</v>
      </c>
      <c r="BF2526" s="1">
        <v>579900</v>
      </c>
      <c r="BG2526" t="s">
        <v>16841</v>
      </c>
      <c r="BH2526" s="1">
        <v>175.78</v>
      </c>
      <c r="BI2526" s="1">
        <v>501390</v>
      </c>
      <c r="BJ2526" s="3">
        <v>41983</v>
      </c>
      <c r="BK2526" t="s">
        <v>123</v>
      </c>
      <c r="BL2526" t="str">
        <f>"2014.812196"</f>
        <v>2014.812196</v>
      </c>
      <c r="BM2526" t="s">
        <v>1325</v>
      </c>
      <c r="BO2526" t="s">
        <v>16842</v>
      </c>
      <c r="BS2526">
        <v>30</v>
      </c>
      <c r="BW2526" t="str">
        <f>""</f>
        <v/>
      </c>
      <c r="CH2526" t="str">
        <f>""</f>
        <v/>
      </c>
      <c r="CS2526" t="str">
        <f>""</f>
        <v/>
      </c>
    </row>
    <row r="2527" spans="1:97" x14ac:dyDescent="0.25">
      <c r="B2527" t="s">
        <v>16843</v>
      </c>
      <c r="E2527" t="s">
        <v>16843</v>
      </c>
      <c r="F2527" t="s">
        <v>108</v>
      </c>
      <c r="H2527" t="s">
        <v>16844</v>
      </c>
      <c r="I2527" t="s">
        <v>110</v>
      </c>
      <c r="J2527" t="s">
        <v>111</v>
      </c>
      <c r="K2527" t="str">
        <f>"85226"</f>
        <v>85226</v>
      </c>
      <c r="L2527" t="s">
        <v>3318</v>
      </c>
      <c r="M2527" t="s">
        <v>16844</v>
      </c>
      <c r="N2527" t="s">
        <v>110</v>
      </c>
      <c r="O2527" t="s">
        <v>111</v>
      </c>
      <c r="P2527" t="str">
        <f>"85226-4803"</f>
        <v>85226-4803</v>
      </c>
      <c r="R2527" t="str">
        <f>"301-89-024"</f>
        <v>301-89-024</v>
      </c>
      <c r="S2527" t="s">
        <v>16845</v>
      </c>
      <c r="T2527" t="s">
        <v>16845</v>
      </c>
      <c r="U2527">
        <v>1765</v>
      </c>
      <c r="V2527">
        <v>0</v>
      </c>
      <c r="W2527">
        <v>2</v>
      </c>
      <c r="X2527">
        <v>1979</v>
      </c>
      <c r="Z2527">
        <v>1</v>
      </c>
      <c r="AA2527" t="s">
        <v>26</v>
      </c>
      <c r="AB2527">
        <v>0</v>
      </c>
      <c r="AC2527" t="s">
        <v>115</v>
      </c>
      <c r="AD2527">
        <v>2</v>
      </c>
      <c r="AE2527" t="s">
        <v>115</v>
      </c>
      <c r="AF2527">
        <v>0</v>
      </c>
      <c r="AG2527">
        <v>0</v>
      </c>
      <c r="AH2527" t="s">
        <v>116</v>
      </c>
      <c r="AI2527" s="1">
        <v>48433</v>
      </c>
      <c r="AJ2527" s="2">
        <v>0.14000000000000001</v>
      </c>
      <c r="AK2527" s="1">
        <v>354512</v>
      </c>
      <c r="AL2527" t="s">
        <v>117</v>
      </c>
      <c r="AM2527" t="s">
        <v>5077</v>
      </c>
      <c r="AN2527">
        <v>12437</v>
      </c>
      <c r="AO2527">
        <v>0.28999999999999998</v>
      </c>
      <c r="AP2527">
        <v>1</v>
      </c>
      <c r="AR2527">
        <v>1</v>
      </c>
      <c r="AS2527" s="1">
        <v>27710</v>
      </c>
      <c r="AT2527" s="1">
        <v>5540</v>
      </c>
      <c r="AU2527" s="1">
        <v>22170</v>
      </c>
      <c r="AV2527">
        <v>80.010000000000005</v>
      </c>
      <c r="AX2527" s="1">
        <v>1871.08</v>
      </c>
      <c r="AY2527" t="s">
        <v>5200</v>
      </c>
      <c r="AZ2527" t="s">
        <v>5201</v>
      </c>
      <c r="BA2527" t="s">
        <v>5202</v>
      </c>
      <c r="BB2527" s="3">
        <v>42566</v>
      </c>
      <c r="BD2527" t="s">
        <v>240</v>
      </c>
      <c r="BE2527" s="3">
        <v>41956</v>
      </c>
      <c r="BF2527" s="1">
        <v>250000</v>
      </c>
      <c r="BG2527" t="s">
        <v>16846</v>
      </c>
      <c r="BH2527" s="1">
        <v>141.63999999999999</v>
      </c>
      <c r="BI2527" s="1">
        <v>256079</v>
      </c>
      <c r="BJ2527" s="3">
        <v>42566</v>
      </c>
      <c r="BK2527" t="s">
        <v>123</v>
      </c>
      <c r="BL2527" t="str">
        <f>"2016.499605"</f>
        <v>2016.499605</v>
      </c>
      <c r="BM2527" t="s">
        <v>475</v>
      </c>
      <c r="BN2527" t="s">
        <v>1282</v>
      </c>
      <c r="BO2527" t="s">
        <v>16847</v>
      </c>
      <c r="BS2527">
        <v>30</v>
      </c>
      <c r="BT2527" s="1">
        <v>50000</v>
      </c>
      <c r="BU2527" s="3">
        <v>43746</v>
      </c>
      <c r="BW2527" t="str">
        <f>"2019.798777"</f>
        <v>2019.798777</v>
      </c>
      <c r="BX2527" t="s">
        <v>135</v>
      </c>
      <c r="BY2527" t="s">
        <v>136</v>
      </c>
      <c r="BZ2527" t="s">
        <v>16848</v>
      </c>
      <c r="CC2527" t="s">
        <v>346</v>
      </c>
      <c r="CH2527" t="str">
        <f>""</f>
        <v/>
      </c>
      <c r="CS2527" t="str">
        <f>""</f>
        <v/>
      </c>
    </row>
    <row r="2528" spans="1:97" x14ac:dyDescent="0.25">
      <c r="A2528" t="s">
        <v>177</v>
      </c>
      <c r="B2528" t="s">
        <v>16849</v>
      </c>
      <c r="C2528" t="s">
        <v>703</v>
      </c>
      <c r="D2528" t="s">
        <v>16849</v>
      </c>
      <c r="E2528" t="s">
        <v>16850</v>
      </c>
      <c r="F2528" t="s">
        <v>108</v>
      </c>
      <c r="H2528" t="s">
        <v>16851</v>
      </c>
      <c r="I2528" t="s">
        <v>632</v>
      </c>
      <c r="J2528" t="s">
        <v>111</v>
      </c>
      <c r="K2528" t="str">
        <f>"85379"</f>
        <v>85379</v>
      </c>
      <c r="L2528" t="s">
        <v>1244</v>
      </c>
      <c r="M2528" t="s">
        <v>16851</v>
      </c>
      <c r="N2528" t="s">
        <v>632</v>
      </c>
      <c r="O2528" t="s">
        <v>111</v>
      </c>
      <c r="P2528" t="str">
        <f>"85379-8017"</f>
        <v>85379-8017</v>
      </c>
      <c r="Q2528" t="s">
        <v>113</v>
      </c>
      <c r="R2528" t="str">
        <f>"509-02-651"</f>
        <v>509-02-651</v>
      </c>
      <c r="S2528" t="s">
        <v>10379</v>
      </c>
      <c r="T2528" t="s">
        <v>10380</v>
      </c>
      <c r="U2528">
        <v>1915</v>
      </c>
      <c r="V2528">
        <v>0</v>
      </c>
      <c r="W2528">
        <v>3</v>
      </c>
      <c r="X2528">
        <v>2004</v>
      </c>
      <c r="Z2528">
        <v>1</v>
      </c>
      <c r="AA2528" t="s">
        <v>26</v>
      </c>
      <c r="AB2528">
        <v>0</v>
      </c>
      <c r="AC2528" t="s">
        <v>115</v>
      </c>
      <c r="AD2528">
        <v>3</v>
      </c>
      <c r="AE2528" t="s">
        <v>115</v>
      </c>
      <c r="AF2528">
        <v>0</v>
      </c>
      <c r="AG2528">
        <v>0</v>
      </c>
      <c r="AH2528" t="s">
        <v>116</v>
      </c>
      <c r="AI2528" s="1">
        <v>70390</v>
      </c>
      <c r="AJ2528" s="2">
        <v>0.24</v>
      </c>
      <c r="AK2528" s="1">
        <v>290705</v>
      </c>
      <c r="AL2528" t="s">
        <v>117</v>
      </c>
      <c r="AM2528" t="s">
        <v>118</v>
      </c>
      <c r="AN2528">
        <v>6670</v>
      </c>
      <c r="AO2528">
        <v>0.15</v>
      </c>
      <c r="AR2528">
        <v>1</v>
      </c>
      <c r="AS2528" s="1">
        <v>19950</v>
      </c>
      <c r="AT2528" s="1">
        <v>3990</v>
      </c>
      <c r="AU2528" s="1">
        <v>15960</v>
      </c>
      <c r="AV2528">
        <v>80</v>
      </c>
      <c r="AX2528" s="1">
        <v>1423.14</v>
      </c>
      <c r="AY2528" t="s">
        <v>6615</v>
      </c>
      <c r="AZ2528" t="s">
        <v>6615</v>
      </c>
      <c r="BA2528" t="s">
        <v>321</v>
      </c>
      <c r="BE2528" s="3">
        <v>41943</v>
      </c>
      <c r="BF2528" s="1">
        <v>216000</v>
      </c>
      <c r="BG2528" t="s">
        <v>16852</v>
      </c>
      <c r="BH2528" s="1">
        <v>112.79</v>
      </c>
      <c r="BI2528" s="1">
        <v>220315</v>
      </c>
      <c r="BJ2528" s="3">
        <v>42171</v>
      </c>
      <c r="BK2528" t="s">
        <v>123</v>
      </c>
      <c r="BL2528" t="str">
        <f>"2015.426861"</f>
        <v>2015.426861</v>
      </c>
      <c r="BM2528" t="s">
        <v>1695</v>
      </c>
      <c r="BO2528" t="s">
        <v>16853</v>
      </c>
      <c r="BS2528">
        <v>30</v>
      </c>
      <c r="BW2528" t="str">
        <f>""</f>
        <v/>
      </c>
      <c r="CH2528" t="str">
        <f>""</f>
        <v/>
      </c>
      <c r="CS2528" t="str">
        <f>""</f>
        <v/>
      </c>
    </row>
    <row r="2529" spans="1:97" x14ac:dyDescent="0.25">
      <c r="A2529" t="s">
        <v>1465</v>
      </c>
      <c r="B2529" t="s">
        <v>16854</v>
      </c>
      <c r="C2529" t="s">
        <v>16855</v>
      </c>
      <c r="D2529" t="s">
        <v>16856</v>
      </c>
      <c r="E2529" t="s">
        <v>16857</v>
      </c>
      <c r="F2529" t="s">
        <v>108</v>
      </c>
      <c r="H2529" t="s">
        <v>16858</v>
      </c>
      <c r="I2529" t="s">
        <v>390</v>
      </c>
      <c r="J2529" t="s">
        <v>111</v>
      </c>
      <c r="K2529" t="str">
        <f>"85054"</f>
        <v>85054</v>
      </c>
      <c r="L2529" t="s">
        <v>14621</v>
      </c>
      <c r="M2529" t="s">
        <v>16858</v>
      </c>
      <c r="N2529" t="s">
        <v>390</v>
      </c>
      <c r="O2529" t="s">
        <v>111</v>
      </c>
      <c r="P2529" t="str">
        <f>"85054-7139"</f>
        <v>85054-7139</v>
      </c>
      <c r="Q2529" t="s">
        <v>113</v>
      </c>
      <c r="R2529" t="str">
        <f>"212-37-230"</f>
        <v>212-37-230</v>
      </c>
      <c r="S2529" t="s">
        <v>16859</v>
      </c>
      <c r="T2529" t="s">
        <v>16860</v>
      </c>
      <c r="U2529">
        <v>2121</v>
      </c>
      <c r="V2529">
        <v>0</v>
      </c>
      <c r="W2529">
        <v>3</v>
      </c>
      <c r="X2529">
        <v>1998</v>
      </c>
      <c r="Z2529">
        <v>1</v>
      </c>
      <c r="AA2529" t="s">
        <v>26</v>
      </c>
      <c r="AB2529">
        <v>0</v>
      </c>
      <c r="AC2529" t="s">
        <v>115</v>
      </c>
      <c r="AD2529">
        <v>2</v>
      </c>
      <c r="AE2529" t="s">
        <v>115</v>
      </c>
      <c r="AF2529">
        <v>0</v>
      </c>
      <c r="AG2529">
        <v>0</v>
      </c>
      <c r="AH2529" t="s">
        <v>116</v>
      </c>
      <c r="AI2529" s="1">
        <v>52217</v>
      </c>
      <c r="AJ2529" s="2">
        <v>0.11</v>
      </c>
      <c r="AK2529" s="1">
        <v>490312</v>
      </c>
      <c r="AL2529" t="s">
        <v>117</v>
      </c>
      <c r="AM2529" t="s">
        <v>191</v>
      </c>
      <c r="AN2529">
        <v>6222</v>
      </c>
      <c r="AO2529">
        <v>0.14000000000000001</v>
      </c>
      <c r="AP2529">
        <v>1</v>
      </c>
      <c r="AR2529">
        <v>1</v>
      </c>
      <c r="AS2529" s="1">
        <v>34970</v>
      </c>
      <c r="AT2529" s="1">
        <v>6990</v>
      </c>
      <c r="AU2529" s="1">
        <v>27980</v>
      </c>
      <c r="AV2529">
        <v>80.010000000000005</v>
      </c>
      <c r="AX2529" s="1">
        <v>3611.96</v>
      </c>
      <c r="AY2529" t="s">
        <v>6351</v>
      </c>
      <c r="AZ2529" t="s">
        <v>6352</v>
      </c>
      <c r="BA2529" t="s">
        <v>762</v>
      </c>
      <c r="BB2529" s="3">
        <v>42894</v>
      </c>
      <c r="BD2529" t="s">
        <v>157</v>
      </c>
      <c r="BE2529" s="3">
        <v>42208</v>
      </c>
      <c r="BF2529" s="1">
        <v>402000</v>
      </c>
      <c r="BG2529" t="s">
        <v>16861</v>
      </c>
      <c r="BH2529" s="1">
        <v>189.53</v>
      </c>
      <c r="BI2529" s="1">
        <v>438095</v>
      </c>
      <c r="BJ2529" s="3">
        <v>42894</v>
      </c>
      <c r="BK2529" t="s">
        <v>123</v>
      </c>
      <c r="BL2529" t="str">
        <f>"2017.418193"</f>
        <v>2017.418193</v>
      </c>
      <c r="BM2529" t="s">
        <v>16862</v>
      </c>
      <c r="BO2529" t="s">
        <v>16863</v>
      </c>
      <c r="BP2529" t="s">
        <v>16864</v>
      </c>
      <c r="BS2529">
        <v>30</v>
      </c>
      <c r="BW2529" t="str">
        <f>""</f>
        <v/>
      </c>
      <c r="CH2529" t="str">
        <f>""</f>
        <v/>
      </c>
      <c r="CS2529" t="str">
        <f>""</f>
        <v/>
      </c>
    </row>
    <row r="2530" spans="1:97" x14ac:dyDescent="0.25">
      <c r="A2530" t="s">
        <v>1272</v>
      </c>
      <c r="B2530" t="s">
        <v>16865</v>
      </c>
      <c r="C2530" t="s">
        <v>16866</v>
      </c>
      <c r="D2530" t="s">
        <v>16865</v>
      </c>
      <c r="E2530" t="s">
        <v>16867</v>
      </c>
      <c r="F2530" t="s">
        <v>108</v>
      </c>
      <c r="H2530" t="s">
        <v>16868</v>
      </c>
      <c r="I2530" t="s">
        <v>390</v>
      </c>
      <c r="J2530" t="s">
        <v>111</v>
      </c>
      <c r="K2530" t="str">
        <f>"85083"</f>
        <v>85083</v>
      </c>
      <c r="L2530" t="s">
        <v>10399</v>
      </c>
      <c r="M2530" t="s">
        <v>16868</v>
      </c>
      <c r="N2530" t="s">
        <v>390</v>
      </c>
      <c r="O2530" t="s">
        <v>111</v>
      </c>
      <c r="P2530" t="str">
        <f>"85083-1243"</f>
        <v>85083-1243</v>
      </c>
      <c r="Q2530" t="s">
        <v>113</v>
      </c>
      <c r="R2530" t="str">
        <f>"201-38-877"</f>
        <v>201-38-877</v>
      </c>
      <c r="S2530" t="s">
        <v>16869</v>
      </c>
      <c r="T2530" t="s">
        <v>16870</v>
      </c>
      <c r="U2530">
        <v>3677</v>
      </c>
      <c r="V2530">
        <v>0</v>
      </c>
      <c r="W2530">
        <v>6</v>
      </c>
      <c r="X2530">
        <v>2006</v>
      </c>
      <c r="Z2530">
        <v>2</v>
      </c>
      <c r="AA2530" t="s">
        <v>26</v>
      </c>
      <c r="AB2530">
        <v>0</v>
      </c>
      <c r="AC2530" t="s">
        <v>115</v>
      </c>
      <c r="AD2530">
        <v>3</v>
      </c>
      <c r="AE2530" t="s">
        <v>115</v>
      </c>
      <c r="AF2530">
        <v>0</v>
      </c>
      <c r="AG2530">
        <v>0</v>
      </c>
      <c r="AH2530" t="s">
        <v>116</v>
      </c>
      <c r="AI2530" s="1">
        <v>81693</v>
      </c>
      <c r="AJ2530" s="2">
        <v>0.15</v>
      </c>
      <c r="AK2530" s="1">
        <v>544432</v>
      </c>
      <c r="AL2530" t="s">
        <v>117</v>
      </c>
      <c r="AM2530" t="s">
        <v>616</v>
      </c>
      <c r="AN2530">
        <v>12717</v>
      </c>
      <c r="AO2530">
        <v>0.28999999999999998</v>
      </c>
      <c r="AR2530">
        <v>1</v>
      </c>
      <c r="AS2530" s="1">
        <v>41650</v>
      </c>
      <c r="AT2530" s="1">
        <v>8330</v>
      </c>
      <c r="AU2530" s="1">
        <v>33320</v>
      </c>
      <c r="AV2530">
        <v>80</v>
      </c>
      <c r="AX2530" s="1">
        <v>4271.1400000000003</v>
      </c>
      <c r="AY2530" t="s">
        <v>5125</v>
      </c>
      <c r="AZ2530" t="s">
        <v>3049</v>
      </c>
      <c r="BA2530" t="s">
        <v>1386</v>
      </c>
      <c r="BE2530" s="3">
        <v>41747</v>
      </c>
      <c r="BF2530" s="1">
        <v>465000</v>
      </c>
      <c r="BG2530" t="s">
        <v>16871</v>
      </c>
      <c r="BH2530" s="1">
        <v>126.46</v>
      </c>
      <c r="BI2530" s="1">
        <v>462739</v>
      </c>
      <c r="BJ2530" s="3">
        <v>41747</v>
      </c>
      <c r="BK2530" t="s">
        <v>123</v>
      </c>
      <c r="BL2530" t="str">
        <f>"2014.252304"</f>
        <v>2014.252304</v>
      </c>
      <c r="BM2530" t="s">
        <v>2489</v>
      </c>
      <c r="BO2530" t="s">
        <v>16872</v>
      </c>
      <c r="BS2530">
        <v>30</v>
      </c>
      <c r="BW2530" t="str">
        <f>""</f>
        <v/>
      </c>
      <c r="CH2530" t="str">
        <f>""</f>
        <v/>
      </c>
      <c r="CS2530" t="str">
        <f>""</f>
        <v/>
      </c>
    </row>
    <row r="2531" spans="1:97" x14ac:dyDescent="0.25">
      <c r="A2531" t="s">
        <v>894</v>
      </c>
      <c r="B2531" t="s">
        <v>16873</v>
      </c>
      <c r="C2531" t="s">
        <v>9201</v>
      </c>
      <c r="D2531" t="s">
        <v>16873</v>
      </c>
      <c r="E2531" t="s">
        <v>16874</v>
      </c>
      <c r="F2531" t="s">
        <v>139</v>
      </c>
      <c r="H2531" t="s">
        <v>16875</v>
      </c>
      <c r="I2531" t="s">
        <v>390</v>
      </c>
      <c r="J2531" t="s">
        <v>111</v>
      </c>
      <c r="K2531" t="str">
        <f>"85048"</f>
        <v>85048</v>
      </c>
      <c r="L2531" t="s">
        <v>6003</v>
      </c>
      <c r="M2531" t="s">
        <v>16876</v>
      </c>
      <c r="N2531" t="s">
        <v>390</v>
      </c>
      <c r="O2531" t="s">
        <v>111</v>
      </c>
      <c r="P2531" t="str">
        <f>"85070-3326"</f>
        <v>85070-3326</v>
      </c>
      <c r="Q2531" t="s">
        <v>113</v>
      </c>
      <c r="R2531" t="str">
        <f>"306-02-326"</f>
        <v>306-02-326</v>
      </c>
      <c r="S2531" t="s">
        <v>12774</v>
      </c>
      <c r="T2531" t="s">
        <v>12775</v>
      </c>
      <c r="U2531">
        <v>3250</v>
      </c>
      <c r="V2531">
        <v>0</v>
      </c>
      <c r="W2531">
        <v>4</v>
      </c>
      <c r="X2531">
        <v>1992</v>
      </c>
      <c r="Z2531">
        <v>2</v>
      </c>
      <c r="AA2531" t="s">
        <v>26</v>
      </c>
      <c r="AB2531">
        <v>0</v>
      </c>
      <c r="AC2531" t="s">
        <v>115</v>
      </c>
      <c r="AD2531">
        <v>3</v>
      </c>
      <c r="AE2531" t="s">
        <v>115</v>
      </c>
      <c r="AF2531">
        <v>0</v>
      </c>
      <c r="AG2531">
        <v>0</v>
      </c>
      <c r="AH2531" t="s">
        <v>116</v>
      </c>
      <c r="AI2531" s="1">
        <v>73154</v>
      </c>
      <c r="AJ2531" s="2">
        <v>0.15</v>
      </c>
      <c r="AK2531" s="1">
        <v>495366</v>
      </c>
      <c r="AL2531" t="s">
        <v>117</v>
      </c>
      <c r="AM2531" t="s">
        <v>171</v>
      </c>
      <c r="AN2531">
        <v>7697</v>
      </c>
      <c r="AO2531">
        <v>0.18</v>
      </c>
      <c r="AP2531">
        <v>1</v>
      </c>
      <c r="AR2531">
        <v>1</v>
      </c>
      <c r="AS2531" s="1">
        <v>36510</v>
      </c>
      <c r="AT2531" s="1">
        <v>7300</v>
      </c>
      <c r="AU2531" s="1">
        <v>29210</v>
      </c>
      <c r="AV2531">
        <v>80.010000000000005</v>
      </c>
      <c r="AX2531" s="1">
        <v>4368.32</v>
      </c>
      <c r="AY2531" t="s">
        <v>928</v>
      </c>
      <c r="AZ2531" t="s">
        <v>929</v>
      </c>
      <c r="BA2531" t="s">
        <v>930</v>
      </c>
      <c r="BE2531" s="3">
        <v>41949</v>
      </c>
      <c r="BF2531" s="1">
        <v>480000</v>
      </c>
      <c r="BG2531" t="s">
        <v>16877</v>
      </c>
      <c r="BH2531" s="1">
        <v>147.69</v>
      </c>
      <c r="BI2531" s="1">
        <v>422212</v>
      </c>
      <c r="BJ2531" s="3">
        <v>41949</v>
      </c>
      <c r="BK2531" t="s">
        <v>123</v>
      </c>
      <c r="BL2531" t="str">
        <f>"2014.736798"</f>
        <v>2014.736798</v>
      </c>
      <c r="BM2531" t="s">
        <v>2716</v>
      </c>
      <c r="BO2531" t="s">
        <v>16878</v>
      </c>
      <c r="BS2531">
        <v>30</v>
      </c>
      <c r="BW2531" t="str">
        <f>""</f>
        <v/>
      </c>
      <c r="CH2531" t="str">
        <f>""</f>
        <v/>
      </c>
      <c r="CS2531" t="str">
        <f>""</f>
        <v/>
      </c>
    </row>
    <row r="2532" spans="1:97" x14ac:dyDescent="0.25">
      <c r="A2532" t="s">
        <v>2485</v>
      </c>
      <c r="B2532" t="s">
        <v>16879</v>
      </c>
      <c r="E2532" t="s">
        <v>16880</v>
      </c>
      <c r="F2532" t="s">
        <v>108</v>
      </c>
      <c r="H2532" t="s">
        <v>16881</v>
      </c>
      <c r="I2532" t="s">
        <v>632</v>
      </c>
      <c r="J2532" t="s">
        <v>111</v>
      </c>
      <c r="K2532" t="str">
        <f>"85388"</f>
        <v>85388</v>
      </c>
      <c r="L2532" t="s">
        <v>4159</v>
      </c>
      <c r="M2532" t="s">
        <v>16881</v>
      </c>
      <c r="N2532" t="s">
        <v>632</v>
      </c>
      <c r="O2532" t="s">
        <v>111</v>
      </c>
      <c r="P2532" t="str">
        <f>"85388-1760"</f>
        <v>85388-1760</v>
      </c>
      <c r="Q2532" t="s">
        <v>113</v>
      </c>
      <c r="R2532" t="str">
        <f>"502-84-573"</f>
        <v>502-84-573</v>
      </c>
      <c r="S2532" t="s">
        <v>16882</v>
      </c>
      <c r="T2532" t="s">
        <v>16883</v>
      </c>
      <c r="U2532">
        <v>3435</v>
      </c>
      <c r="V2532">
        <v>0</v>
      </c>
      <c r="W2532">
        <v>4</v>
      </c>
      <c r="X2532">
        <v>2005</v>
      </c>
      <c r="Z2532">
        <v>2</v>
      </c>
      <c r="AA2532" t="s">
        <v>26</v>
      </c>
      <c r="AB2532">
        <v>0</v>
      </c>
      <c r="AC2532" t="s">
        <v>115</v>
      </c>
      <c r="AD2532">
        <v>3</v>
      </c>
      <c r="AE2532" t="s">
        <v>115</v>
      </c>
      <c r="AF2532">
        <v>0</v>
      </c>
      <c r="AG2532">
        <v>0</v>
      </c>
      <c r="AH2532" t="s">
        <v>116</v>
      </c>
      <c r="AI2532" s="1">
        <v>46324</v>
      </c>
      <c r="AJ2532" s="2">
        <v>0.13</v>
      </c>
      <c r="AK2532" s="1">
        <v>356120</v>
      </c>
      <c r="AL2532" t="s">
        <v>117</v>
      </c>
      <c r="AM2532" t="s">
        <v>118</v>
      </c>
      <c r="AN2532">
        <v>6325</v>
      </c>
      <c r="AO2532">
        <v>0.14000000000000001</v>
      </c>
      <c r="AR2532">
        <v>1</v>
      </c>
      <c r="AS2532" s="1">
        <v>25470</v>
      </c>
      <c r="AT2532" s="1">
        <v>5090</v>
      </c>
      <c r="AU2532" s="1">
        <v>20380</v>
      </c>
      <c r="AV2532">
        <v>80.02</v>
      </c>
      <c r="AX2532" s="1">
        <v>2293.8000000000002</v>
      </c>
      <c r="AY2532" t="s">
        <v>5168</v>
      </c>
      <c r="AZ2532" t="s">
        <v>5168</v>
      </c>
      <c r="BA2532" t="s">
        <v>5109</v>
      </c>
      <c r="BE2532" s="3">
        <v>42327</v>
      </c>
      <c r="BF2532" s="1">
        <v>299900</v>
      </c>
      <c r="BG2532" t="s">
        <v>16884</v>
      </c>
      <c r="BH2532" s="1">
        <v>87.31</v>
      </c>
      <c r="BI2532" s="1">
        <v>309796</v>
      </c>
      <c r="BJ2532" s="3">
        <v>42327</v>
      </c>
      <c r="BK2532" t="s">
        <v>123</v>
      </c>
      <c r="BL2532" t="str">
        <f>"2015.826880"</f>
        <v>2015.826880</v>
      </c>
      <c r="BM2532" t="s">
        <v>2472</v>
      </c>
      <c r="BO2532" t="s">
        <v>16885</v>
      </c>
      <c r="BS2532">
        <v>30</v>
      </c>
      <c r="BW2532" t="str">
        <f>""</f>
        <v/>
      </c>
      <c r="CH2532" t="str">
        <f>""</f>
        <v/>
      </c>
      <c r="CS2532" t="str">
        <f>""</f>
        <v/>
      </c>
    </row>
    <row r="2533" spans="1:97" x14ac:dyDescent="0.25">
      <c r="B2533" t="s">
        <v>16886</v>
      </c>
      <c r="E2533" t="s">
        <v>16887</v>
      </c>
      <c r="F2533" t="s">
        <v>108</v>
      </c>
      <c r="H2533" t="s">
        <v>16888</v>
      </c>
      <c r="I2533" t="s">
        <v>5636</v>
      </c>
      <c r="J2533" t="s">
        <v>111</v>
      </c>
      <c r="K2533" t="str">
        <f>"85268"</f>
        <v>85268</v>
      </c>
      <c r="L2533" t="s">
        <v>8103</v>
      </c>
      <c r="M2533" t="s">
        <v>16888</v>
      </c>
      <c r="N2533" t="s">
        <v>5636</v>
      </c>
      <c r="O2533" t="s">
        <v>111</v>
      </c>
      <c r="P2533" t="str">
        <f>"85268-4850"</f>
        <v>85268-4850</v>
      </c>
      <c r="Q2533" t="s">
        <v>113</v>
      </c>
      <c r="R2533" t="str">
        <f>"176-13-684"</f>
        <v>176-13-684</v>
      </c>
      <c r="S2533" t="s">
        <v>16889</v>
      </c>
      <c r="U2533">
        <v>2081</v>
      </c>
      <c r="V2533">
        <v>0</v>
      </c>
      <c r="W2533">
        <v>3</v>
      </c>
      <c r="X2533">
        <v>1986</v>
      </c>
      <c r="Z2533">
        <v>1</v>
      </c>
      <c r="AA2533" t="s">
        <v>26</v>
      </c>
      <c r="AB2533">
        <v>0</v>
      </c>
      <c r="AC2533" t="s">
        <v>115</v>
      </c>
      <c r="AD2533">
        <v>2</v>
      </c>
      <c r="AE2533" t="s">
        <v>115</v>
      </c>
      <c r="AF2533">
        <v>0</v>
      </c>
      <c r="AG2533">
        <v>0</v>
      </c>
      <c r="AH2533" t="s">
        <v>116</v>
      </c>
      <c r="AI2533" s="1">
        <v>195000</v>
      </c>
      <c r="AJ2533" s="2">
        <v>0.42</v>
      </c>
      <c r="AK2533" s="1">
        <v>463312</v>
      </c>
      <c r="AL2533" t="s">
        <v>117</v>
      </c>
      <c r="AM2533" t="s">
        <v>171</v>
      </c>
      <c r="AN2533">
        <v>11143</v>
      </c>
      <c r="AO2533">
        <v>0.26</v>
      </c>
      <c r="AP2533">
        <v>1</v>
      </c>
      <c r="AR2533">
        <v>1</v>
      </c>
      <c r="AS2533" s="1">
        <v>32980</v>
      </c>
      <c r="AT2533" s="1">
        <v>6590</v>
      </c>
      <c r="AU2533" s="1">
        <v>26390</v>
      </c>
      <c r="AV2533">
        <v>80.02</v>
      </c>
      <c r="AX2533" s="1">
        <v>2149.1999999999998</v>
      </c>
      <c r="AY2533" t="s">
        <v>5639</v>
      </c>
      <c r="AZ2533" t="s">
        <v>5640</v>
      </c>
      <c r="BA2533" t="s">
        <v>5641</v>
      </c>
      <c r="BB2533" s="3">
        <v>41968</v>
      </c>
      <c r="BD2533" t="s">
        <v>458</v>
      </c>
      <c r="BE2533" s="3">
        <v>41788</v>
      </c>
      <c r="BF2533" s="1">
        <v>312000</v>
      </c>
      <c r="BG2533" t="s">
        <v>16890</v>
      </c>
      <c r="BH2533" s="1">
        <v>149.93</v>
      </c>
      <c r="BI2533" s="1">
        <v>268312</v>
      </c>
      <c r="BJ2533" s="3">
        <v>41788</v>
      </c>
      <c r="BK2533" t="s">
        <v>123</v>
      </c>
      <c r="BL2533" t="str">
        <f>"2014.349248"</f>
        <v>2014.349248</v>
      </c>
      <c r="BM2533" t="s">
        <v>6784</v>
      </c>
      <c r="BO2533" t="s">
        <v>16891</v>
      </c>
      <c r="BS2533">
        <v>30</v>
      </c>
      <c r="BW2533" t="str">
        <f>""</f>
        <v/>
      </c>
      <c r="CH2533" t="str">
        <f>""</f>
        <v/>
      </c>
      <c r="CS2533" t="str">
        <f>""</f>
        <v/>
      </c>
    </row>
    <row r="2534" spans="1:97" x14ac:dyDescent="0.25">
      <c r="A2534" t="s">
        <v>1295</v>
      </c>
      <c r="B2534" t="s">
        <v>2332</v>
      </c>
      <c r="C2534" t="s">
        <v>1821</v>
      </c>
      <c r="D2534" t="s">
        <v>16892</v>
      </c>
      <c r="E2534" t="s">
        <v>16893</v>
      </c>
      <c r="F2534" t="s">
        <v>108</v>
      </c>
      <c r="H2534" t="s">
        <v>16894</v>
      </c>
      <c r="I2534" t="s">
        <v>5387</v>
      </c>
      <c r="J2534" t="s">
        <v>111</v>
      </c>
      <c r="K2534" t="str">
        <f>"85283"</f>
        <v>85283</v>
      </c>
      <c r="L2534" t="s">
        <v>8345</v>
      </c>
      <c r="M2534" t="s">
        <v>16894</v>
      </c>
      <c r="N2534" t="s">
        <v>5387</v>
      </c>
      <c r="O2534" t="s">
        <v>111</v>
      </c>
      <c r="P2534" t="str">
        <f>"85283-3064"</f>
        <v>85283-3064</v>
      </c>
      <c r="Q2534" t="s">
        <v>113</v>
      </c>
      <c r="R2534" t="str">
        <f>"301-91-132"</f>
        <v>301-91-132</v>
      </c>
      <c r="S2534" t="s">
        <v>16895</v>
      </c>
      <c r="T2534" t="s">
        <v>16896</v>
      </c>
      <c r="U2534">
        <v>2052</v>
      </c>
      <c r="V2534">
        <v>0</v>
      </c>
      <c r="W2534">
        <v>3</v>
      </c>
      <c r="X2534">
        <v>1973</v>
      </c>
      <c r="Z2534">
        <v>1</v>
      </c>
      <c r="AA2534" t="s">
        <v>26</v>
      </c>
      <c r="AB2534">
        <v>0</v>
      </c>
      <c r="AC2534" t="s">
        <v>115</v>
      </c>
      <c r="AD2534">
        <v>2</v>
      </c>
      <c r="AE2534" t="s">
        <v>115</v>
      </c>
      <c r="AF2534">
        <v>0</v>
      </c>
      <c r="AG2534">
        <v>0</v>
      </c>
      <c r="AH2534" t="s">
        <v>116</v>
      </c>
      <c r="AI2534" s="1">
        <v>93624</v>
      </c>
      <c r="AJ2534" s="2">
        <v>0.26</v>
      </c>
      <c r="AK2534" s="1">
        <v>361400</v>
      </c>
      <c r="AL2534" t="s">
        <v>117</v>
      </c>
      <c r="AM2534" t="s">
        <v>191</v>
      </c>
      <c r="AN2534">
        <v>10176</v>
      </c>
      <c r="AO2534">
        <v>0.23</v>
      </c>
      <c r="AP2534">
        <v>1</v>
      </c>
      <c r="AR2534">
        <v>1</v>
      </c>
      <c r="AS2534" s="1">
        <v>26650</v>
      </c>
      <c r="AT2534" s="1">
        <v>5330</v>
      </c>
      <c r="AU2534" s="1">
        <v>21320</v>
      </c>
      <c r="AV2534">
        <v>80</v>
      </c>
      <c r="AX2534" s="1">
        <v>3204.28</v>
      </c>
      <c r="AY2534" t="s">
        <v>6725</v>
      </c>
      <c r="AZ2534" t="s">
        <v>6726</v>
      </c>
      <c r="BA2534" t="s">
        <v>5392</v>
      </c>
      <c r="BB2534" s="3">
        <v>42124</v>
      </c>
      <c r="BD2534" t="s">
        <v>240</v>
      </c>
      <c r="BE2534" s="3">
        <v>41849</v>
      </c>
      <c r="BF2534" s="1">
        <v>260000</v>
      </c>
      <c r="BG2534" t="s">
        <v>5716</v>
      </c>
      <c r="BH2534" s="1">
        <v>126.71</v>
      </c>
      <c r="BI2534" s="1">
        <v>267776</v>
      </c>
      <c r="BJ2534" s="3">
        <v>42124</v>
      </c>
      <c r="BK2534" t="s">
        <v>123</v>
      </c>
      <c r="BL2534" t="str">
        <f>"2015.303457"</f>
        <v>2015.303457</v>
      </c>
      <c r="BM2534" t="s">
        <v>2716</v>
      </c>
      <c r="BO2534" t="s">
        <v>16897</v>
      </c>
      <c r="BP2534" t="s">
        <v>16898</v>
      </c>
      <c r="BS2534">
        <v>30</v>
      </c>
      <c r="BW2534" t="str">
        <f>""</f>
        <v/>
      </c>
      <c r="CH2534" t="str">
        <f>""</f>
        <v/>
      </c>
      <c r="CS2534" t="str">
        <f>""</f>
        <v/>
      </c>
    </row>
    <row r="2535" spans="1:97" x14ac:dyDescent="0.25">
      <c r="A2535" t="s">
        <v>16899</v>
      </c>
      <c r="B2535" t="s">
        <v>10157</v>
      </c>
      <c r="E2535" t="s">
        <v>16900</v>
      </c>
      <c r="F2535" t="s">
        <v>108</v>
      </c>
      <c r="H2535" t="s">
        <v>16901</v>
      </c>
      <c r="I2535" t="s">
        <v>1936</v>
      </c>
      <c r="J2535" t="s">
        <v>111</v>
      </c>
      <c r="K2535" t="str">
        <f>"85260"</f>
        <v>85260</v>
      </c>
      <c r="L2535" t="s">
        <v>15475</v>
      </c>
      <c r="M2535" t="s">
        <v>16901</v>
      </c>
      <c r="N2535" t="s">
        <v>1936</v>
      </c>
      <c r="O2535" t="s">
        <v>111</v>
      </c>
      <c r="P2535" t="str">
        <f>"85260-9224"</f>
        <v>85260-9224</v>
      </c>
      <c r="Q2535" t="s">
        <v>113</v>
      </c>
      <c r="R2535" t="str">
        <f>"217-16-868"</f>
        <v>217-16-868</v>
      </c>
      <c r="S2535" t="s">
        <v>16902</v>
      </c>
      <c r="T2535" t="s">
        <v>16902</v>
      </c>
      <c r="U2535">
        <v>1691</v>
      </c>
      <c r="V2535">
        <v>0</v>
      </c>
      <c r="W2535">
        <v>3</v>
      </c>
      <c r="X2535">
        <v>1995</v>
      </c>
      <c r="Z2535">
        <v>1</v>
      </c>
      <c r="AB2535">
        <v>0</v>
      </c>
      <c r="AC2535" t="s">
        <v>115</v>
      </c>
      <c r="AD2535">
        <v>2</v>
      </c>
      <c r="AE2535" t="s">
        <v>115</v>
      </c>
      <c r="AF2535">
        <v>0</v>
      </c>
      <c r="AG2535">
        <v>0</v>
      </c>
      <c r="AH2535" t="s">
        <v>116</v>
      </c>
      <c r="AI2535" s="1">
        <v>79799</v>
      </c>
      <c r="AJ2535" s="2">
        <v>0.18</v>
      </c>
      <c r="AK2535" s="1">
        <v>438299</v>
      </c>
      <c r="AL2535" t="s">
        <v>117</v>
      </c>
      <c r="AM2535" t="s">
        <v>5516</v>
      </c>
      <c r="AN2535">
        <v>5917</v>
      </c>
      <c r="AO2535">
        <v>0.14000000000000001</v>
      </c>
      <c r="AP2535">
        <v>1</v>
      </c>
      <c r="AR2535">
        <v>1</v>
      </c>
      <c r="AS2535" s="1">
        <v>31330</v>
      </c>
      <c r="AT2535" s="1">
        <v>6260</v>
      </c>
      <c r="AU2535" s="1">
        <v>25070</v>
      </c>
      <c r="AV2535">
        <v>80.02</v>
      </c>
      <c r="AX2535" s="1">
        <v>2133.38</v>
      </c>
      <c r="AY2535" t="s">
        <v>5904</v>
      </c>
      <c r="AZ2535" t="s">
        <v>5420</v>
      </c>
      <c r="BA2535" t="s">
        <v>5763</v>
      </c>
      <c r="BE2535" s="3">
        <v>42489</v>
      </c>
      <c r="BF2535" s="1">
        <v>358500</v>
      </c>
      <c r="BG2535" t="s">
        <v>16903</v>
      </c>
      <c r="BH2535" s="1">
        <v>212</v>
      </c>
      <c r="BI2535" s="1">
        <v>358500</v>
      </c>
      <c r="BJ2535" s="3">
        <v>42489</v>
      </c>
      <c r="BK2535" t="s">
        <v>123</v>
      </c>
      <c r="BL2535" t="str">
        <f>"2016.293378"</f>
        <v>2016.293378</v>
      </c>
      <c r="BM2535" t="s">
        <v>1154</v>
      </c>
      <c r="BO2535" t="s">
        <v>16904</v>
      </c>
      <c r="BS2535">
        <v>30</v>
      </c>
      <c r="BW2535" t="str">
        <f>""</f>
        <v/>
      </c>
      <c r="CH2535" t="str">
        <f>""</f>
        <v/>
      </c>
      <c r="CS2535" t="str">
        <f>""</f>
        <v/>
      </c>
    </row>
    <row r="2536" spans="1:97" x14ac:dyDescent="0.25">
      <c r="A2536" t="s">
        <v>996</v>
      </c>
      <c r="B2536" t="s">
        <v>16905</v>
      </c>
      <c r="C2536" t="s">
        <v>16906</v>
      </c>
      <c r="D2536" t="s">
        <v>16905</v>
      </c>
      <c r="E2536" t="s">
        <v>16907</v>
      </c>
      <c r="F2536" t="s">
        <v>108</v>
      </c>
      <c r="H2536" t="s">
        <v>16908</v>
      </c>
      <c r="I2536" t="s">
        <v>3150</v>
      </c>
      <c r="J2536" t="s">
        <v>111</v>
      </c>
      <c r="K2536" t="str">
        <f>"85340"</f>
        <v>85340</v>
      </c>
      <c r="L2536" t="s">
        <v>3151</v>
      </c>
      <c r="M2536" t="s">
        <v>16908</v>
      </c>
      <c r="N2536" t="s">
        <v>3150</v>
      </c>
      <c r="O2536" t="s">
        <v>111</v>
      </c>
      <c r="P2536" t="str">
        <f>"85340-8556"</f>
        <v>85340-8556</v>
      </c>
      <c r="Q2536" t="s">
        <v>113</v>
      </c>
      <c r="R2536" t="str">
        <f>"502-64-173"</f>
        <v>502-64-173</v>
      </c>
      <c r="S2536" t="s">
        <v>13135</v>
      </c>
      <c r="T2536" t="s">
        <v>13136</v>
      </c>
      <c r="U2536">
        <v>4141</v>
      </c>
      <c r="V2536">
        <v>0</v>
      </c>
      <c r="W2536">
        <v>5</v>
      </c>
      <c r="X2536">
        <v>2007</v>
      </c>
      <c r="Z2536">
        <v>2</v>
      </c>
      <c r="AA2536" t="s">
        <v>26</v>
      </c>
      <c r="AB2536">
        <v>0</v>
      </c>
      <c r="AC2536" t="s">
        <v>115</v>
      </c>
      <c r="AD2536">
        <v>4</v>
      </c>
      <c r="AE2536" t="s">
        <v>115</v>
      </c>
      <c r="AF2536">
        <v>0</v>
      </c>
      <c r="AG2536">
        <v>0</v>
      </c>
      <c r="AH2536" t="s">
        <v>116</v>
      </c>
      <c r="AI2536" s="1">
        <v>139347</v>
      </c>
      <c r="AJ2536" s="2">
        <v>0.25</v>
      </c>
      <c r="AK2536" s="1">
        <v>559347</v>
      </c>
      <c r="AL2536" t="s">
        <v>117</v>
      </c>
      <c r="AM2536" t="s">
        <v>376</v>
      </c>
      <c r="AN2536">
        <v>43788</v>
      </c>
      <c r="AO2536">
        <v>1</v>
      </c>
      <c r="AR2536">
        <v>1</v>
      </c>
      <c r="AS2536" s="1">
        <v>40320</v>
      </c>
      <c r="AT2536" s="1">
        <v>8060</v>
      </c>
      <c r="AU2536" s="1">
        <v>32260</v>
      </c>
      <c r="AV2536">
        <v>80.010000000000005</v>
      </c>
      <c r="AX2536" s="1">
        <v>4945.8999999999996</v>
      </c>
      <c r="AY2536" t="s">
        <v>503</v>
      </c>
      <c r="AZ2536" t="s">
        <v>503</v>
      </c>
      <c r="BA2536" t="s">
        <v>218</v>
      </c>
      <c r="BE2536" s="3">
        <v>42544</v>
      </c>
      <c r="BF2536" s="1">
        <v>500000</v>
      </c>
      <c r="BG2536" t="s">
        <v>16909</v>
      </c>
      <c r="BH2536" s="1">
        <v>120.74</v>
      </c>
      <c r="BI2536" s="1">
        <v>420000</v>
      </c>
      <c r="BJ2536" s="3">
        <v>42544</v>
      </c>
      <c r="BK2536" t="s">
        <v>123</v>
      </c>
      <c r="BL2536" t="str">
        <f>"2016.440782"</f>
        <v>2016.440782</v>
      </c>
      <c r="BM2536" t="s">
        <v>724</v>
      </c>
      <c r="BO2536" t="s">
        <v>16910</v>
      </c>
      <c r="BS2536">
        <v>30</v>
      </c>
      <c r="BW2536" t="str">
        <f>""</f>
        <v/>
      </c>
      <c r="CH2536" t="str">
        <f>""</f>
        <v/>
      </c>
      <c r="CS2536" t="str">
        <f>""</f>
        <v/>
      </c>
    </row>
    <row r="2537" spans="1:97" x14ac:dyDescent="0.25">
      <c r="A2537" t="s">
        <v>2045</v>
      </c>
      <c r="B2537" t="s">
        <v>4320</v>
      </c>
      <c r="C2537" t="s">
        <v>2930</v>
      </c>
      <c r="D2537" t="s">
        <v>4320</v>
      </c>
      <c r="E2537" t="s">
        <v>16911</v>
      </c>
      <c r="F2537" t="s">
        <v>108</v>
      </c>
      <c r="H2537" t="s">
        <v>16912</v>
      </c>
      <c r="I2537" t="s">
        <v>632</v>
      </c>
      <c r="J2537" t="s">
        <v>111</v>
      </c>
      <c r="K2537" t="str">
        <f>"85388"</f>
        <v>85388</v>
      </c>
      <c r="L2537" t="s">
        <v>4467</v>
      </c>
      <c r="M2537" t="s">
        <v>16912</v>
      </c>
      <c r="N2537" t="s">
        <v>632</v>
      </c>
      <c r="O2537" t="s">
        <v>111</v>
      </c>
      <c r="P2537" t="str">
        <f>"85388-2360"</f>
        <v>85388-2360</v>
      </c>
      <c r="Q2537" t="s">
        <v>113</v>
      </c>
      <c r="R2537" t="str">
        <f>"502-09-695"</f>
        <v>502-09-695</v>
      </c>
      <c r="S2537" t="s">
        <v>16913</v>
      </c>
      <c r="T2537" t="s">
        <v>16914</v>
      </c>
      <c r="U2537">
        <v>3017</v>
      </c>
      <c r="V2537">
        <v>0</v>
      </c>
      <c r="W2537">
        <v>4</v>
      </c>
      <c r="X2537">
        <v>2007</v>
      </c>
      <c r="Z2537">
        <v>1</v>
      </c>
      <c r="AA2537" t="s">
        <v>26</v>
      </c>
      <c r="AB2537">
        <v>0</v>
      </c>
      <c r="AC2537" t="s">
        <v>115</v>
      </c>
      <c r="AD2537">
        <v>2</v>
      </c>
      <c r="AE2537" t="s">
        <v>115</v>
      </c>
      <c r="AF2537">
        <v>0</v>
      </c>
      <c r="AG2537">
        <v>0</v>
      </c>
      <c r="AH2537" t="s">
        <v>116</v>
      </c>
      <c r="AI2537" s="1">
        <v>70577</v>
      </c>
      <c r="AJ2537" s="2">
        <v>0.19</v>
      </c>
      <c r="AK2537" s="1">
        <v>375577</v>
      </c>
      <c r="AL2537" t="s">
        <v>117</v>
      </c>
      <c r="AM2537" t="s">
        <v>118</v>
      </c>
      <c r="AN2537">
        <v>9482</v>
      </c>
      <c r="AO2537">
        <v>0.22</v>
      </c>
      <c r="AR2537">
        <v>1</v>
      </c>
      <c r="AS2537" s="1">
        <v>27750</v>
      </c>
      <c r="AT2537" s="1">
        <v>5550</v>
      </c>
      <c r="AU2537" s="1">
        <v>22200</v>
      </c>
      <c r="AV2537">
        <v>80</v>
      </c>
      <c r="AX2537" s="1">
        <v>2664.2</v>
      </c>
      <c r="AY2537" t="s">
        <v>5168</v>
      </c>
      <c r="AZ2537" t="s">
        <v>5168</v>
      </c>
      <c r="BA2537" t="s">
        <v>5109</v>
      </c>
      <c r="BE2537" s="3">
        <v>42020</v>
      </c>
      <c r="BF2537" s="1">
        <v>305000</v>
      </c>
      <c r="BG2537" t="s">
        <v>16915</v>
      </c>
      <c r="BH2537" s="1">
        <v>101.09</v>
      </c>
      <c r="BI2537" s="1">
        <v>305000</v>
      </c>
      <c r="BJ2537" s="3">
        <v>42020</v>
      </c>
      <c r="BK2537" t="s">
        <v>123</v>
      </c>
      <c r="BL2537" t="str">
        <f>"2015.33184"</f>
        <v>2015.33184</v>
      </c>
      <c r="BM2537" t="s">
        <v>1033</v>
      </c>
      <c r="BO2537" t="s">
        <v>16916</v>
      </c>
      <c r="BS2537">
        <v>30</v>
      </c>
      <c r="BW2537" t="str">
        <f>""</f>
        <v/>
      </c>
      <c r="CH2537" t="str">
        <f>""</f>
        <v/>
      </c>
      <c r="CS2537" t="str">
        <f>""</f>
        <v/>
      </c>
    </row>
    <row r="2538" spans="1:97" x14ac:dyDescent="0.25">
      <c r="A2538" t="s">
        <v>894</v>
      </c>
      <c r="B2538" t="s">
        <v>16917</v>
      </c>
      <c r="C2538" t="s">
        <v>852</v>
      </c>
      <c r="D2538" t="s">
        <v>16917</v>
      </c>
      <c r="E2538" t="s">
        <v>16918</v>
      </c>
      <c r="F2538" t="s">
        <v>108</v>
      </c>
      <c r="H2538" t="s">
        <v>16919</v>
      </c>
      <c r="I2538" t="s">
        <v>203</v>
      </c>
      <c r="J2538" t="s">
        <v>111</v>
      </c>
      <c r="K2538" t="str">
        <f>"85295"</f>
        <v>85295</v>
      </c>
      <c r="L2538" t="s">
        <v>7983</v>
      </c>
      <c r="M2538" t="s">
        <v>16919</v>
      </c>
      <c r="N2538" t="s">
        <v>203</v>
      </c>
      <c r="O2538" t="s">
        <v>111</v>
      </c>
      <c r="P2538" t="str">
        <f>"85295-7740"</f>
        <v>85295-7740</v>
      </c>
      <c r="Q2538" t="s">
        <v>113</v>
      </c>
      <c r="R2538" t="str">
        <f>"304-38-067"</f>
        <v>304-38-067</v>
      </c>
      <c r="S2538" t="s">
        <v>10343</v>
      </c>
      <c r="T2538" t="s">
        <v>10343</v>
      </c>
      <c r="U2538">
        <v>2374</v>
      </c>
      <c r="V2538">
        <v>0</v>
      </c>
      <c r="W2538">
        <v>4</v>
      </c>
      <c r="X2538">
        <v>2002</v>
      </c>
      <c r="Z2538">
        <v>2</v>
      </c>
      <c r="AA2538" t="s">
        <v>26</v>
      </c>
      <c r="AB2538">
        <v>0</v>
      </c>
      <c r="AC2538" t="s">
        <v>115</v>
      </c>
      <c r="AD2538">
        <v>3</v>
      </c>
      <c r="AE2538" t="s">
        <v>115</v>
      </c>
      <c r="AF2538">
        <v>0</v>
      </c>
      <c r="AG2538">
        <v>0</v>
      </c>
      <c r="AH2538" t="s">
        <v>116</v>
      </c>
      <c r="AI2538" s="1">
        <v>135765</v>
      </c>
      <c r="AJ2538" s="2">
        <v>0.37</v>
      </c>
      <c r="AK2538" s="1">
        <v>369215</v>
      </c>
      <c r="AL2538" t="s">
        <v>117</v>
      </c>
      <c r="AM2538" t="s">
        <v>171</v>
      </c>
      <c r="AN2538">
        <v>9000</v>
      </c>
      <c r="AO2538">
        <v>0.21</v>
      </c>
      <c r="AP2538">
        <v>1</v>
      </c>
      <c r="AR2538">
        <v>1</v>
      </c>
      <c r="AS2538" s="1">
        <v>26920</v>
      </c>
      <c r="AT2538" s="1">
        <v>5380</v>
      </c>
      <c r="AU2538" s="1">
        <v>21540</v>
      </c>
      <c r="AV2538">
        <v>80.010000000000005</v>
      </c>
      <c r="AX2538" s="1">
        <v>2283.1999999999998</v>
      </c>
      <c r="AY2538" t="s">
        <v>472</v>
      </c>
      <c r="AZ2538" t="s">
        <v>472</v>
      </c>
      <c r="BA2538" t="s">
        <v>473</v>
      </c>
      <c r="BE2538" s="3">
        <v>42542</v>
      </c>
      <c r="BF2538" s="1">
        <v>295000</v>
      </c>
      <c r="BG2538" t="s">
        <v>16920</v>
      </c>
      <c r="BH2538" s="1">
        <v>124.26</v>
      </c>
      <c r="BI2538" s="1">
        <v>233450</v>
      </c>
      <c r="BJ2538" s="3">
        <v>43060</v>
      </c>
      <c r="BK2538" t="s">
        <v>123</v>
      </c>
      <c r="BL2538" t="str">
        <f>"2017.865874"</f>
        <v>2017.865874</v>
      </c>
      <c r="BM2538" t="s">
        <v>5382</v>
      </c>
      <c r="BO2538" t="s">
        <v>16921</v>
      </c>
      <c r="BS2538">
        <v>30</v>
      </c>
      <c r="BW2538" t="str">
        <f>""</f>
        <v/>
      </c>
      <c r="CH2538" t="str">
        <f>""</f>
        <v/>
      </c>
      <c r="CS2538" t="str">
        <f>""</f>
        <v/>
      </c>
    </row>
    <row r="2539" spans="1:97" x14ac:dyDescent="0.25">
      <c r="A2539" t="s">
        <v>16922</v>
      </c>
      <c r="B2539" t="s">
        <v>16923</v>
      </c>
      <c r="C2539" t="s">
        <v>489</v>
      </c>
      <c r="D2539" t="s">
        <v>16923</v>
      </c>
      <c r="E2539" t="s">
        <v>16924</v>
      </c>
      <c r="F2539" t="s">
        <v>108</v>
      </c>
      <c r="H2539" t="s">
        <v>16925</v>
      </c>
      <c r="I2539" t="s">
        <v>632</v>
      </c>
      <c r="J2539" t="s">
        <v>111</v>
      </c>
      <c r="K2539" t="str">
        <f>"85387"</f>
        <v>85387</v>
      </c>
      <c r="L2539" t="s">
        <v>5496</v>
      </c>
      <c r="M2539" t="s">
        <v>16925</v>
      </c>
      <c r="N2539" t="s">
        <v>632</v>
      </c>
      <c r="O2539" t="s">
        <v>111</v>
      </c>
      <c r="P2539" t="str">
        <f>"85387-6807"</f>
        <v>85387-6807</v>
      </c>
      <c r="R2539" t="str">
        <f>"503-73-420"</f>
        <v>503-73-420</v>
      </c>
      <c r="S2539" t="s">
        <v>16926</v>
      </c>
      <c r="T2539" t="s">
        <v>5498</v>
      </c>
      <c r="U2539">
        <v>3537</v>
      </c>
      <c r="V2539">
        <v>0</v>
      </c>
      <c r="W2539">
        <v>4</v>
      </c>
      <c r="X2539">
        <v>2006</v>
      </c>
      <c r="Z2539">
        <v>2</v>
      </c>
      <c r="AB2539">
        <v>0</v>
      </c>
      <c r="AC2539" t="s">
        <v>115</v>
      </c>
      <c r="AD2539">
        <v>3</v>
      </c>
      <c r="AE2539" t="s">
        <v>115</v>
      </c>
      <c r="AF2539">
        <v>0</v>
      </c>
      <c r="AG2539">
        <v>0</v>
      </c>
      <c r="AH2539" t="s">
        <v>116</v>
      </c>
      <c r="AI2539" s="1">
        <v>39766</v>
      </c>
      <c r="AJ2539" s="2">
        <v>0.16</v>
      </c>
      <c r="AK2539" s="1">
        <v>250195</v>
      </c>
      <c r="AL2539" t="s">
        <v>117</v>
      </c>
      <c r="AM2539" t="s">
        <v>118</v>
      </c>
      <c r="AN2539">
        <v>6600</v>
      </c>
      <c r="AO2539">
        <v>0.15</v>
      </c>
      <c r="AR2539">
        <v>1</v>
      </c>
      <c r="AS2539" s="1">
        <v>22860</v>
      </c>
      <c r="AT2539" s="1">
        <v>4570</v>
      </c>
      <c r="AU2539" s="1">
        <v>18290</v>
      </c>
      <c r="AV2539">
        <v>80.010000000000005</v>
      </c>
      <c r="AX2539" s="1">
        <v>1783.66</v>
      </c>
      <c r="AY2539" t="s">
        <v>5108</v>
      </c>
      <c r="AZ2539" t="s">
        <v>5108</v>
      </c>
      <c r="BA2539" t="s">
        <v>5109</v>
      </c>
      <c r="BE2539" s="3">
        <v>42027</v>
      </c>
      <c r="BF2539" s="1">
        <v>206000</v>
      </c>
      <c r="BG2539" t="s">
        <v>16927</v>
      </c>
      <c r="BH2539" s="1">
        <v>58.24</v>
      </c>
      <c r="BI2539" s="1">
        <v>210429</v>
      </c>
      <c r="BJ2539" s="3">
        <v>42027</v>
      </c>
      <c r="BK2539" t="s">
        <v>123</v>
      </c>
      <c r="BL2539" t="str">
        <f>"2015.44891"</f>
        <v>2015.44891</v>
      </c>
      <c r="BM2539" t="s">
        <v>724</v>
      </c>
      <c r="BN2539" t="s">
        <v>5737</v>
      </c>
      <c r="BO2539" t="s">
        <v>16928</v>
      </c>
      <c r="BS2539">
        <v>30</v>
      </c>
      <c r="BW2539" t="str">
        <f>""</f>
        <v/>
      </c>
      <c r="CH2539" t="str">
        <f>""</f>
        <v/>
      </c>
      <c r="CS2539" t="str">
        <f>""</f>
        <v/>
      </c>
    </row>
    <row r="2540" spans="1:97" x14ac:dyDescent="0.25">
      <c r="A2540" t="s">
        <v>8221</v>
      </c>
      <c r="B2540" t="s">
        <v>16929</v>
      </c>
      <c r="C2540" t="s">
        <v>2053</v>
      </c>
      <c r="D2540" t="s">
        <v>16930</v>
      </c>
      <c r="E2540" t="s">
        <v>16931</v>
      </c>
      <c r="F2540" t="s">
        <v>108</v>
      </c>
      <c r="H2540" t="s">
        <v>16932</v>
      </c>
      <c r="I2540" t="s">
        <v>453</v>
      </c>
      <c r="J2540" t="s">
        <v>111</v>
      </c>
      <c r="K2540" t="str">
        <f>"85383"</f>
        <v>85383</v>
      </c>
      <c r="L2540" t="s">
        <v>7243</v>
      </c>
      <c r="M2540" t="s">
        <v>16932</v>
      </c>
      <c r="N2540" t="s">
        <v>453</v>
      </c>
      <c r="O2540" t="s">
        <v>111</v>
      </c>
      <c r="P2540" t="str">
        <f>"85383-6261"</f>
        <v>85383-6261</v>
      </c>
      <c r="Q2540" t="s">
        <v>113</v>
      </c>
      <c r="R2540" t="str">
        <f>"201-20-385"</f>
        <v>201-20-385</v>
      </c>
      <c r="S2540" t="s">
        <v>8847</v>
      </c>
      <c r="T2540" t="s">
        <v>8847</v>
      </c>
      <c r="U2540">
        <v>4320</v>
      </c>
      <c r="V2540">
        <v>0</v>
      </c>
      <c r="W2540">
        <v>5</v>
      </c>
      <c r="X2540">
        <v>2013</v>
      </c>
      <c r="Z2540">
        <v>2</v>
      </c>
      <c r="AB2540">
        <v>0</v>
      </c>
      <c r="AC2540" t="s">
        <v>115</v>
      </c>
      <c r="AD2540">
        <v>3</v>
      </c>
      <c r="AE2540" t="s">
        <v>115</v>
      </c>
      <c r="AF2540">
        <v>0</v>
      </c>
      <c r="AG2540">
        <v>0</v>
      </c>
      <c r="AH2540" t="s">
        <v>116</v>
      </c>
      <c r="AI2540" s="1">
        <v>126305</v>
      </c>
      <c r="AJ2540" s="2">
        <v>0.24</v>
      </c>
      <c r="AK2540" s="1">
        <v>524295</v>
      </c>
      <c r="AL2540" t="s">
        <v>117</v>
      </c>
      <c r="AM2540" t="s">
        <v>118</v>
      </c>
      <c r="AN2540">
        <v>7500</v>
      </c>
      <c r="AO2540">
        <v>0.17</v>
      </c>
      <c r="AR2540">
        <v>1</v>
      </c>
      <c r="AS2540" s="1">
        <v>38420</v>
      </c>
      <c r="AT2540" s="1">
        <v>7680</v>
      </c>
      <c r="AU2540" s="1">
        <v>30740</v>
      </c>
      <c r="AV2540">
        <v>80.010000000000005</v>
      </c>
      <c r="AX2540" s="1">
        <v>3481.14</v>
      </c>
      <c r="AY2540" t="s">
        <v>1385</v>
      </c>
      <c r="AZ2540" t="s">
        <v>1385</v>
      </c>
      <c r="BA2540" t="s">
        <v>1386</v>
      </c>
      <c r="BE2540" s="3">
        <v>41863</v>
      </c>
      <c r="BF2540" s="1">
        <v>417990</v>
      </c>
      <c r="BG2540" t="s">
        <v>158</v>
      </c>
      <c r="BH2540" s="1">
        <v>96.76</v>
      </c>
      <c r="BI2540" s="1">
        <v>397990</v>
      </c>
      <c r="BJ2540" s="3">
        <v>41863</v>
      </c>
      <c r="BK2540" t="s">
        <v>123</v>
      </c>
      <c r="BL2540" t="str">
        <f>"2014.530752"</f>
        <v>2014.530752</v>
      </c>
      <c r="BM2540" t="s">
        <v>241</v>
      </c>
      <c r="BO2540" t="s">
        <v>16933</v>
      </c>
      <c r="BP2540" t="s">
        <v>16934</v>
      </c>
      <c r="BS2540">
        <v>30</v>
      </c>
      <c r="BW2540" t="str">
        <f>""</f>
        <v/>
      </c>
      <c r="CH2540" t="str">
        <f>""</f>
        <v/>
      </c>
      <c r="CS2540" t="str">
        <f>""</f>
        <v/>
      </c>
    </row>
    <row r="2541" spans="1:97" x14ac:dyDescent="0.25">
      <c r="A2541" t="s">
        <v>9803</v>
      </c>
      <c r="B2541" t="s">
        <v>16935</v>
      </c>
      <c r="C2541" t="s">
        <v>10552</v>
      </c>
      <c r="D2541" t="s">
        <v>16935</v>
      </c>
      <c r="E2541" t="s">
        <v>16936</v>
      </c>
      <c r="F2541" t="s">
        <v>108</v>
      </c>
      <c r="H2541" t="s">
        <v>16937</v>
      </c>
      <c r="I2541" t="s">
        <v>2874</v>
      </c>
      <c r="J2541" t="s">
        <v>111</v>
      </c>
      <c r="K2541" t="str">
        <f>"85304"</f>
        <v>85304</v>
      </c>
      <c r="L2541" t="s">
        <v>5185</v>
      </c>
      <c r="M2541" t="s">
        <v>16937</v>
      </c>
      <c r="N2541" t="s">
        <v>2874</v>
      </c>
      <c r="O2541" t="s">
        <v>111</v>
      </c>
      <c r="P2541" t="str">
        <f>"85304-1933"</f>
        <v>85304-1933</v>
      </c>
      <c r="Q2541" t="s">
        <v>113</v>
      </c>
      <c r="R2541" t="str">
        <f>"200-75-329"</f>
        <v>200-75-329</v>
      </c>
      <c r="S2541" t="s">
        <v>16938</v>
      </c>
      <c r="U2541">
        <v>1911</v>
      </c>
      <c r="V2541">
        <v>0</v>
      </c>
      <c r="W2541">
        <v>3</v>
      </c>
      <c r="X2541">
        <v>1979</v>
      </c>
      <c r="Z2541">
        <v>1</v>
      </c>
      <c r="AB2541">
        <v>0</v>
      </c>
      <c r="AC2541" t="s">
        <v>115</v>
      </c>
      <c r="AD2541">
        <v>2</v>
      </c>
      <c r="AE2541" t="s">
        <v>115</v>
      </c>
      <c r="AF2541">
        <v>0</v>
      </c>
      <c r="AG2541">
        <v>0</v>
      </c>
      <c r="AH2541" t="s">
        <v>116</v>
      </c>
      <c r="AI2541" s="1">
        <v>20288</v>
      </c>
      <c r="AJ2541" s="2">
        <v>7.0000000000000007E-2</v>
      </c>
      <c r="AK2541" s="1">
        <v>272032</v>
      </c>
      <c r="AL2541" t="s">
        <v>117</v>
      </c>
      <c r="AM2541" t="s">
        <v>191</v>
      </c>
      <c r="AN2541">
        <v>8542</v>
      </c>
      <c r="AO2541">
        <v>0.2</v>
      </c>
      <c r="AP2541">
        <v>1</v>
      </c>
      <c r="AR2541">
        <v>1</v>
      </c>
      <c r="AS2541" s="1">
        <v>20020</v>
      </c>
      <c r="AT2541" s="1">
        <v>4000</v>
      </c>
      <c r="AU2541" s="1">
        <v>16020</v>
      </c>
      <c r="AV2541">
        <v>80.02</v>
      </c>
      <c r="AX2541" s="1">
        <v>1319.2</v>
      </c>
      <c r="AY2541" t="s">
        <v>1808</v>
      </c>
      <c r="AZ2541" t="s">
        <v>1808</v>
      </c>
      <c r="BA2541" t="s">
        <v>8681</v>
      </c>
      <c r="BE2541" s="3">
        <v>42010</v>
      </c>
      <c r="BF2541" s="1">
        <v>179900</v>
      </c>
      <c r="BG2541" t="s">
        <v>16939</v>
      </c>
      <c r="BH2541" s="1">
        <v>94.14</v>
      </c>
      <c r="BI2541" s="1">
        <v>251744</v>
      </c>
      <c r="BJ2541" s="3">
        <v>43158</v>
      </c>
      <c r="BK2541" t="s">
        <v>123</v>
      </c>
      <c r="BL2541" t="str">
        <f>"2018.148694"</f>
        <v>2018.148694</v>
      </c>
      <c r="BM2541" t="s">
        <v>15581</v>
      </c>
      <c r="BN2541" t="s">
        <v>16940</v>
      </c>
      <c r="BO2541" t="s">
        <v>16941</v>
      </c>
      <c r="BP2541" t="s">
        <v>16942</v>
      </c>
      <c r="BR2541" t="s">
        <v>139</v>
      </c>
      <c r="BW2541" t="str">
        <f>""</f>
        <v/>
      </c>
      <c r="CH2541" t="str">
        <f>""</f>
        <v/>
      </c>
      <c r="CS2541" t="str">
        <f>""</f>
        <v/>
      </c>
    </row>
    <row r="2542" spans="1:97" x14ac:dyDescent="0.25">
      <c r="A2542" t="s">
        <v>370</v>
      </c>
      <c r="B2542" t="s">
        <v>16943</v>
      </c>
      <c r="E2542" t="s">
        <v>16944</v>
      </c>
      <c r="F2542" t="s">
        <v>108</v>
      </c>
      <c r="H2542" t="s">
        <v>16945</v>
      </c>
      <c r="I2542" t="s">
        <v>203</v>
      </c>
      <c r="J2542" t="s">
        <v>111</v>
      </c>
      <c r="K2542" t="str">
        <f>"85297"</f>
        <v>85297</v>
      </c>
      <c r="L2542" t="s">
        <v>7904</v>
      </c>
      <c r="M2542" t="s">
        <v>16945</v>
      </c>
      <c r="N2542" t="s">
        <v>203</v>
      </c>
      <c r="O2542" t="s">
        <v>111</v>
      </c>
      <c r="P2542" t="str">
        <f>"85297-9608"</f>
        <v>85297-9608</v>
      </c>
      <c r="Q2542" t="s">
        <v>113</v>
      </c>
      <c r="R2542" t="str">
        <f>"313-02-757"</f>
        <v>313-02-757</v>
      </c>
      <c r="S2542" t="s">
        <v>7905</v>
      </c>
      <c r="T2542" t="s">
        <v>7906</v>
      </c>
      <c r="U2542">
        <v>3353</v>
      </c>
      <c r="V2542">
        <v>0</v>
      </c>
      <c r="W2542">
        <v>4</v>
      </c>
      <c r="X2542">
        <v>2002</v>
      </c>
      <c r="Z2542">
        <v>2</v>
      </c>
      <c r="AA2542" t="s">
        <v>26</v>
      </c>
      <c r="AB2542">
        <v>0</v>
      </c>
      <c r="AC2542" t="s">
        <v>115</v>
      </c>
      <c r="AD2542">
        <v>3</v>
      </c>
      <c r="AE2542" t="s">
        <v>115</v>
      </c>
      <c r="AF2542">
        <v>0</v>
      </c>
      <c r="AG2542">
        <v>0</v>
      </c>
      <c r="AH2542" t="s">
        <v>116</v>
      </c>
      <c r="AI2542" s="1">
        <v>92063</v>
      </c>
      <c r="AJ2542" s="2">
        <v>0.2</v>
      </c>
      <c r="AK2542" s="1">
        <v>467063</v>
      </c>
      <c r="AL2542" t="s">
        <v>117</v>
      </c>
      <c r="AM2542" t="s">
        <v>393</v>
      </c>
      <c r="AN2542">
        <v>8536</v>
      </c>
      <c r="AO2542">
        <v>0.2</v>
      </c>
      <c r="AP2542">
        <v>1</v>
      </c>
      <c r="AR2542">
        <v>1</v>
      </c>
      <c r="AS2542" s="1">
        <v>31000</v>
      </c>
      <c r="AT2542" s="1">
        <v>6200</v>
      </c>
      <c r="AU2542" s="1">
        <v>24800</v>
      </c>
      <c r="AV2542">
        <v>80</v>
      </c>
      <c r="AX2542" s="1">
        <v>2789.78</v>
      </c>
      <c r="AY2542" t="s">
        <v>289</v>
      </c>
      <c r="AZ2542" t="s">
        <v>289</v>
      </c>
      <c r="BA2542" t="s">
        <v>290</v>
      </c>
      <c r="BE2542" s="3">
        <v>42095</v>
      </c>
      <c r="BF2542" s="1">
        <v>375000</v>
      </c>
      <c r="BG2542" t="s">
        <v>16946</v>
      </c>
      <c r="BH2542" s="1">
        <v>111.84</v>
      </c>
      <c r="BI2542" s="1">
        <v>375000</v>
      </c>
      <c r="BJ2542" s="3">
        <v>42095</v>
      </c>
      <c r="BK2542" t="s">
        <v>123</v>
      </c>
      <c r="BL2542" t="str">
        <f>"2015.221816"</f>
        <v>2015.221816</v>
      </c>
      <c r="BM2542" t="s">
        <v>8868</v>
      </c>
      <c r="BO2542" t="s">
        <v>16947</v>
      </c>
      <c r="BS2542">
        <v>30</v>
      </c>
      <c r="BW2542" t="str">
        <f>""</f>
        <v/>
      </c>
      <c r="CH2542" t="str">
        <f>""</f>
        <v/>
      </c>
      <c r="CS2542" t="str">
        <f>""</f>
        <v/>
      </c>
    </row>
    <row r="2543" spans="1:97" x14ac:dyDescent="0.25">
      <c r="A2543" t="s">
        <v>3212</v>
      </c>
      <c r="B2543" t="s">
        <v>16948</v>
      </c>
      <c r="C2543" t="s">
        <v>4406</v>
      </c>
      <c r="D2543" t="s">
        <v>16948</v>
      </c>
      <c r="E2543" t="s">
        <v>16949</v>
      </c>
      <c r="F2543" t="s">
        <v>108</v>
      </c>
      <c r="H2543" t="s">
        <v>16950</v>
      </c>
      <c r="I2543" t="s">
        <v>110</v>
      </c>
      <c r="J2543" t="s">
        <v>111</v>
      </c>
      <c r="K2543" t="str">
        <f>"85225"</f>
        <v>85225</v>
      </c>
      <c r="L2543" t="s">
        <v>6631</v>
      </c>
      <c r="M2543" t="s">
        <v>16950</v>
      </c>
      <c r="N2543" t="s">
        <v>110</v>
      </c>
      <c r="O2543" t="s">
        <v>111</v>
      </c>
      <c r="P2543" t="str">
        <f>"85225-7792"</f>
        <v>85225-7792</v>
      </c>
      <c r="Q2543" t="s">
        <v>113</v>
      </c>
      <c r="R2543" t="str">
        <f>"302-88-758"</f>
        <v>302-88-758</v>
      </c>
      <c r="S2543" t="s">
        <v>16951</v>
      </c>
      <c r="T2543" t="s">
        <v>16952</v>
      </c>
      <c r="U2543">
        <v>2055</v>
      </c>
      <c r="V2543">
        <v>0</v>
      </c>
      <c r="W2543">
        <v>3</v>
      </c>
      <c r="X2543">
        <v>1984</v>
      </c>
      <c r="Z2543">
        <v>1</v>
      </c>
      <c r="AA2543" t="s">
        <v>26</v>
      </c>
      <c r="AB2543">
        <v>0</v>
      </c>
      <c r="AC2543" t="s">
        <v>115</v>
      </c>
      <c r="AD2543">
        <v>2</v>
      </c>
      <c r="AE2543" t="s">
        <v>115</v>
      </c>
      <c r="AF2543">
        <v>0</v>
      </c>
      <c r="AG2543">
        <v>0</v>
      </c>
      <c r="AH2543" t="s">
        <v>116</v>
      </c>
      <c r="AI2543" s="1">
        <v>65124</v>
      </c>
      <c r="AJ2543" s="2">
        <v>0.19</v>
      </c>
      <c r="AK2543" s="1">
        <v>348798</v>
      </c>
      <c r="AL2543" t="s">
        <v>117</v>
      </c>
      <c r="AM2543" t="s">
        <v>5077</v>
      </c>
      <c r="AN2543">
        <v>10014</v>
      </c>
      <c r="AO2543">
        <v>0.23</v>
      </c>
      <c r="AP2543">
        <v>1</v>
      </c>
      <c r="AR2543">
        <v>1</v>
      </c>
      <c r="AS2543" s="1">
        <v>24310</v>
      </c>
      <c r="AT2543" s="1">
        <v>4860</v>
      </c>
      <c r="AU2543" s="1">
        <v>19450</v>
      </c>
      <c r="AV2543">
        <v>80.010000000000005</v>
      </c>
      <c r="AX2543" s="1">
        <v>1699.2</v>
      </c>
      <c r="AY2543" t="s">
        <v>7201</v>
      </c>
      <c r="AZ2543" t="s">
        <v>7201</v>
      </c>
      <c r="BA2543" t="s">
        <v>5311</v>
      </c>
      <c r="BB2543" s="3">
        <v>43592</v>
      </c>
      <c r="BC2543" s="1">
        <v>0</v>
      </c>
      <c r="BD2543" t="s">
        <v>247</v>
      </c>
      <c r="BE2543" s="3">
        <v>42173</v>
      </c>
      <c r="BF2543" s="1">
        <v>274900</v>
      </c>
      <c r="BG2543" t="s">
        <v>16953</v>
      </c>
      <c r="BH2543" s="1">
        <v>133.77000000000001</v>
      </c>
      <c r="BI2543" s="1">
        <v>283674</v>
      </c>
      <c r="BJ2543" s="3">
        <v>43592</v>
      </c>
      <c r="BK2543" t="s">
        <v>123</v>
      </c>
      <c r="BL2543" t="str">
        <f>"2019.329425"</f>
        <v>2019.329425</v>
      </c>
      <c r="BM2543" t="s">
        <v>460</v>
      </c>
      <c r="BN2543" t="s">
        <v>461</v>
      </c>
      <c r="BO2543" t="s">
        <v>16954</v>
      </c>
      <c r="BP2543" t="s">
        <v>16955</v>
      </c>
      <c r="BR2543" t="s">
        <v>139</v>
      </c>
      <c r="BW2543" t="str">
        <f>""</f>
        <v/>
      </c>
      <c r="CH2543" t="str">
        <f>""</f>
        <v/>
      </c>
      <c r="CS2543" t="str">
        <f>""</f>
        <v/>
      </c>
    </row>
    <row r="2544" spans="1:97" x14ac:dyDescent="0.25">
      <c r="A2544" t="s">
        <v>1833</v>
      </c>
      <c r="B2544" t="s">
        <v>16956</v>
      </c>
      <c r="E2544" t="s">
        <v>16957</v>
      </c>
      <c r="F2544" t="s">
        <v>108</v>
      </c>
      <c r="H2544" t="s">
        <v>16958</v>
      </c>
      <c r="I2544" t="s">
        <v>225</v>
      </c>
      <c r="J2544" t="s">
        <v>111</v>
      </c>
      <c r="K2544" t="str">
        <f>"85215"</f>
        <v>85215</v>
      </c>
      <c r="L2544" t="s">
        <v>8255</v>
      </c>
      <c r="M2544" t="s">
        <v>16958</v>
      </c>
      <c r="N2544" t="s">
        <v>225</v>
      </c>
      <c r="O2544" t="s">
        <v>111</v>
      </c>
      <c r="P2544" t="str">
        <f>"85215"</f>
        <v>85215</v>
      </c>
      <c r="Q2544" t="s">
        <v>113</v>
      </c>
      <c r="R2544" t="str">
        <f>"141-69-587"</f>
        <v>141-69-587</v>
      </c>
      <c r="S2544" t="s">
        <v>16959</v>
      </c>
      <c r="T2544" t="s">
        <v>758</v>
      </c>
      <c r="U2544">
        <v>1868</v>
      </c>
      <c r="V2544">
        <v>0</v>
      </c>
      <c r="W2544">
        <v>3</v>
      </c>
      <c r="X2544">
        <v>1989</v>
      </c>
      <c r="Z2544">
        <v>1</v>
      </c>
      <c r="AA2544" t="s">
        <v>26</v>
      </c>
      <c r="AB2544">
        <v>0</v>
      </c>
      <c r="AC2544" t="s">
        <v>115</v>
      </c>
      <c r="AD2544">
        <v>2</v>
      </c>
      <c r="AE2544" t="s">
        <v>115</v>
      </c>
      <c r="AF2544">
        <v>0</v>
      </c>
      <c r="AG2544">
        <v>0</v>
      </c>
      <c r="AH2544" t="s">
        <v>116</v>
      </c>
      <c r="AI2544" s="1">
        <v>69843</v>
      </c>
      <c r="AJ2544" s="2">
        <v>0.19</v>
      </c>
      <c r="AK2544" s="1">
        <v>367796</v>
      </c>
      <c r="AL2544" t="s">
        <v>117</v>
      </c>
      <c r="AM2544" t="s">
        <v>917</v>
      </c>
      <c r="AN2544">
        <v>15347</v>
      </c>
      <c r="AO2544">
        <v>0.35</v>
      </c>
      <c r="AP2544">
        <v>1</v>
      </c>
      <c r="AR2544">
        <v>1</v>
      </c>
      <c r="AS2544" s="1">
        <v>25530</v>
      </c>
      <c r="AT2544" s="1">
        <v>5100</v>
      </c>
      <c r="AU2544" s="1">
        <v>20430</v>
      </c>
      <c r="AV2544">
        <v>80.02</v>
      </c>
      <c r="AX2544" s="1">
        <v>2106.46</v>
      </c>
      <c r="AY2544" t="s">
        <v>6662</v>
      </c>
      <c r="AZ2544" t="s">
        <v>5275</v>
      </c>
      <c r="BA2544" t="s">
        <v>3119</v>
      </c>
      <c r="BE2544" s="3">
        <v>41715</v>
      </c>
      <c r="BF2544" s="1">
        <v>309000</v>
      </c>
      <c r="BG2544" t="s">
        <v>16960</v>
      </c>
      <c r="BH2544" s="1">
        <v>165.42</v>
      </c>
      <c r="BI2544" s="1">
        <v>297953</v>
      </c>
      <c r="BJ2544" s="3">
        <v>41715</v>
      </c>
      <c r="BK2544" t="s">
        <v>123</v>
      </c>
      <c r="BL2544" t="str">
        <f>"2014.169136"</f>
        <v>2014.169136</v>
      </c>
      <c r="BM2544" t="s">
        <v>8340</v>
      </c>
      <c r="BO2544" t="s">
        <v>16961</v>
      </c>
      <c r="BS2544">
        <v>30</v>
      </c>
      <c r="BW2544" t="str">
        <f>""</f>
        <v/>
      </c>
      <c r="CH2544" t="str">
        <f>""</f>
        <v/>
      </c>
      <c r="CS2544" t="str">
        <f>""</f>
        <v/>
      </c>
    </row>
    <row r="2545" spans="1:97" x14ac:dyDescent="0.25">
      <c r="A2545" t="s">
        <v>894</v>
      </c>
      <c r="B2545" t="s">
        <v>16962</v>
      </c>
      <c r="C2545" t="s">
        <v>365</v>
      </c>
      <c r="D2545" t="s">
        <v>16962</v>
      </c>
      <c r="E2545" t="s">
        <v>16963</v>
      </c>
      <c r="F2545" t="s">
        <v>108</v>
      </c>
      <c r="H2545" t="s">
        <v>16964</v>
      </c>
      <c r="I2545" t="s">
        <v>2874</v>
      </c>
      <c r="J2545" t="s">
        <v>111</v>
      </c>
      <c r="K2545" t="str">
        <f>"85304"</f>
        <v>85304</v>
      </c>
      <c r="L2545" t="s">
        <v>6438</v>
      </c>
      <c r="M2545" t="s">
        <v>16964</v>
      </c>
      <c r="N2545" t="s">
        <v>2874</v>
      </c>
      <c r="O2545" t="s">
        <v>111</v>
      </c>
      <c r="P2545" t="str">
        <f>"85304-1020"</f>
        <v>85304-1020</v>
      </c>
      <c r="Q2545" t="s">
        <v>113</v>
      </c>
      <c r="R2545" t="str">
        <f>"200-76-059-A"</f>
        <v>200-76-059-A</v>
      </c>
      <c r="S2545" t="s">
        <v>16965</v>
      </c>
      <c r="T2545" t="s">
        <v>16966</v>
      </c>
      <c r="U2545">
        <v>3187</v>
      </c>
      <c r="V2545">
        <v>0</v>
      </c>
      <c r="W2545">
        <v>4</v>
      </c>
      <c r="X2545">
        <v>2005</v>
      </c>
      <c r="Z2545">
        <v>1</v>
      </c>
      <c r="AB2545">
        <v>0</v>
      </c>
      <c r="AC2545" t="s">
        <v>115</v>
      </c>
      <c r="AD2545">
        <v>6</v>
      </c>
      <c r="AE2545" t="s">
        <v>115</v>
      </c>
      <c r="AF2545">
        <v>0</v>
      </c>
      <c r="AG2545">
        <v>0</v>
      </c>
      <c r="AH2545" t="s">
        <v>116</v>
      </c>
      <c r="AI2545" s="1">
        <v>115244</v>
      </c>
      <c r="AJ2545" s="2">
        <v>0.2</v>
      </c>
      <c r="AK2545" s="1">
        <v>588644</v>
      </c>
      <c r="AL2545" t="s">
        <v>117</v>
      </c>
      <c r="AM2545" t="s">
        <v>3111</v>
      </c>
      <c r="AN2545">
        <v>38861</v>
      </c>
      <c r="AO2545">
        <v>0.89</v>
      </c>
      <c r="AP2545">
        <v>1</v>
      </c>
      <c r="AR2545">
        <v>1</v>
      </c>
      <c r="AS2545" s="1">
        <v>50680</v>
      </c>
      <c r="AT2545" s="1">
        <v>10130</v>
      </c>
      <c r="AU2545" s="1">
        <v>40550</v>
      </c>
      <c r="AV2545">
        <v>80.010000000000005</v>
      </c>
      <c r="AX2545" s="1">
        <v>5850.02</v>
      </c>
      <c r="AY2545" t="s">
        <v>16967</v>
      </c>
      <c r="AZ2545" t="s">
        <v>16967</v>
      </c>
      <c r="BA2545" t="s">
        <v>8681</v>
      </c>
      <c r="BE2545" s="3">
        <v>42128</v>
      </c>
      <c r="BF2545" s="1">
        <v>485000</v>
      </c>
      <c r="BG2545" t="s">
        <v>16968</v>
      </c>
      <c r="BH2545" s="1">
        <v>152.18</v>
      </c>
      <c r="BI2545" s="1">
        <v>473400</v>
      </c>
      <c r="BJ2545" s="3">
        <v>42573</v>
      </c>
      <c r="BK2545" t="s">
        <v>123</v>
      </c>
      <c r="BL2545" t="str">
        <f>"2016.518848"</f>
        <v>2016.518848</v>
      </c>
      <c r="BM2545" t="s">
        <v>255</v>
      </c>
      <c r="BO2545" t="s">
        <v>16969</v>
      </c>
      <c r="BS2545">
        <v>27</v>
      </c>
      <c r="BW2545" t="str">
        <f>""</f>
        <v/>
      </c>
      <c r="CH2545" t="str">
        <f>""</f>
        <v/>
      </c>
      <c r="CS2545" t="str">
        <f>""</f>
        <v/>
      </c>
    </row>
    <row r="2546" spans="1:97" x14ac:dyDescent="0.25">
      <c r="A2546" t="s">
        <v>1354</v>
      </c>
      <c r="B2546" t="s">
        <v>16970</v>
      </c>
      <c r="C2546" t="s">
        <v>2761</v>
      </c>
      <c r="D2546" t="s">
        <v>16971</v>
      </c>
      <c r="E2546" t="s">
        <v>16972</v>
      </c>
      <c r="F2546" t="s">
        <v>108</v>
      </c>
      <c r="H2546" t="s">
        <v>16973</v>
      </c>
      <c r="I2546" t="s">
        <v>390</v>
      </c>
      <c r="J2546" t="s">
        <v>111</v>
      </c>
      <c r="K2546" t="str">
        <f>"85083"</f>
        <v>85083</v>
      </c>
      <c r="L2546" t="s">
        <v>2820</v>
      </c>
      <c r="M2546" t="s">
        <v>16973</v>
      </c>
      <c r="N2546" t="s">
        <v>390</v>
      </c>
      <c r="O2546" t="s">
        <v>111</v>
      </c>
      <c r="P2546" t="str">
        <f>"85083-1042"</f>
        <v>85083-1042</v>
      </c>
      <c r="Q2546" t="s">
        <v>113</v>
      </c>
      <c r="R2546" t="str">
        <f>"201-10-665"</f>
        <v>201-10-665</v>
      </c>
      <c r="S2546" t="s">
        <v>5124</v>
      </c>
      <c r="T2546" t="s">
        <v>5124</v>
      </c>
      <c r="U2546">
        <v>2119</v>
      </c>
      <c r="V2546">
        <v>0</v>
      </c>
      <c r="W2546">
        <v>4</v>
      </c>
      <c r="X2546">
        <v>1999</v>
      </c>
      <c r="Z2546">
        <v>2</v>
      </c>
      <c r="AA2546" t="s">
        <v>26</v>
      </c>
      <c r="AB2546">
        <v>0</v>
      </c>
      <c r="AC2546" t="s">
        <v>115</v>
      </c>
      <c r="AD2546">
        <v>3</v>
      </c>
      <c r="AE2546" t="s">
        <v>115</v>
      </c>
      <c r="AF2546">
        <v>0</v>
      </c>
      <c r="AG2546">
        <v>0</v>
      </c>
      <c r="AH2546" t="s">
        <v>116</v>
      </c>
      <c r="AI2546" s="1">
        <v>87854</v>
      </c>
      <c r="AJ2546" s="2">
        <v>0.25</v>
      </c>
      <c r="AK2546" s="1">
        <v>353916</v>
      </c>
      <c r="AL2546" t="s">
        <v>117</v>
      </c>
      <c r="AM2546" t="s">
        <v>171</v>
      </c>
      <c r="AN2546">
        <v>7014</v>
      </c>
      <c r="AO2546">
        <v>0.16</v>
      </c>
      <c r="AP2546">
        <v>1</v>
      </c>
      <c r="AR2546">
        <v>1</v>
      </c>
      <c r="AS2546" s="1">
        <v>25460</v>
      </c>
      <c r="AT2546" s="1">
        <v>5090</v>
      </c>
      <c r="AU2546" s="1">
        <v>20370</v>
      </c>
      <c r="AV2546">
        <v>80.010000000000005</v>
      </c>
      <c r="AX2546" s="1">
        <v>2274.44</v>
      </c>
      <c r="AY2546" t="s">
        <v>5125</v>
      </c>
      <c r="AZ2546" t="s">
        <v>3049</v>
      </c>
      <c r="BA2546" t="s">
        <v>2223</v>
      </c>
      <c r="BE2546" s="3">
        <v>42359</v>
      </c>
      <c r="BF2546" s="1">
        <v>255000</v>
      </c>
      <c r="BG2546" t="s">
        <v>16974</v>
      </c>
      <c r="BH2546" s="1">
        <v>120.34</v>
      </c>
      <c r="BI2546" s="1">
        <v>266062</v>
      </c>
      <c r="BJ2546" s="3">
        <v>42587</v>
      </c>
      <c r="BK2546" t="s">
        <v>123</v>
      </c>
      <c r="BL2546" t="str">
        <f>"2016.559729"</f>
        <v>2016.559729</v>
      </c>
      <c r="BM2546" t="s">
        <v>544</v>
      </c>
      <c r="BO2546" t="s">
        <v>16975</v>
      </c>
      <c r="BP2546" t="s">
        <v>16976</v>
      </c>
      <c r="BS2546">
        <v>30</v>
      </c>
      <c r="BW2546" t="str">
        <f>""</f>
        <v/>
      </c>
      <c r="CH2546" t="str">
        <f>""</f>
        <v/>
      </c>
      <c r="CS2546" t="str">
        <f>""</f>
        <v/>
      </c>
    </row>
    <row r="2547" spans="1:97" x14ac:dyDescent="0.25">
      <c r="A2547" t="s">
        <v>589</v>
      </c>
      <c r="B2547" t="s">
        <v>16977</v>
      </c>
      <c r="C2547" t="s">
        <v>908</v>
      </c>
      <c r="D2547" t="s">
        <v>16977</v>
      </c>
      <c r="E2547" t="s">
        <v>16978</v>
      </c>
      <c r="F2547" t="s">
        <v>108</v>
      </c>
      <c r="H2547" t="s">
        <v>16979</v>
      </c>
      <c r="I2547" t="s">
        <v>453</v>
      </c>
      <c r="J2547" t="s">
        <v>111</v>
      </c>
      <c r="K2547" t="str">
        <f>"85383"</f>
        <v>85383</v>
      </c>
      <c r="L2547" t="s">
        <v>7607</v>
      </c>
      <c r="M2547" t="s">
        <v>16979</v>
      </c>
      <c r="N2547" t="s">
        <v>453</v>
      </c>
      <c r="O2547" t="s">
        <v>111</v>
      </c>
      <c r="P2547" t="str">
        <f>"85383-7010"</f>
        <v>85383-7010</v>
      </c>
      <c r="Q2547" t="s">
        <v>113</v>
      </c>
      <c r="R2547" t="str">
        <f>"201-09-206"</f>
        <v>201-09-206</v>
      </c>
      <c r="S2547" t="s">
        <v>12076</v>
      </c>
      <c r="T2547" t="s">
        <v>2222</v>
      </c>
      <c r="U2547">
        <v>1927</v>
      </c>
      <c r="V2547">
        <v>0</v>
      </c>
      <c r="W2547">
        <v>3</v>
      </c>
      <c r="X2547">
        <v>1998</v>
      </c>
      <c r="Z2547">
        <v>1</v>
      </c>
      <c r="AB2547">
        <v>0</v>
      </c>
      <c r="AC2547" t="s">
        <v>115</v>
      </c>
      <c r="AD2547">
        <v>3</v>
      </c>
      <c r="AE2547" t="s">
        <v>115</v>
      </c>
      <c r="AF2547">
        <v>0</v>
      </c>
      <c r="AG2547">
        <v>0</v>
      </c>
      <c r="AH2547" t="s">
        <v>116</v>
      </c>
      <c r="AI2547" s="1">
        <v>43033</v>
      </c>
      <c r="AJ2547" s="2">
        <v>0.13</v>
      </c>
      <c r="AK2547" s="1">
        <v>320033</v>
      </c>
      <c r="AL2547" t="s">
        <v>117</v>
      </c>
      <c r="AM2547" t="s">
        <v>191</v>
      </c>
      <c r="AN2547">
        <v>6420</v>
      </c>
      <c r="AO2547">
        <v>0.15</v>
      </c>
      <c r="AP2547">
        <v>1</v>
      </c>
      <c r="AR2547">
        <v>1</v>
      </c>
      <c r="AS2547" s="1">
        <v>22850</v>
      </c>
      <c r="AT2547" s="1">
        <v>4570</v>
      </c>
      <c r="AU2547" s="1">
        <v>18280</v>
      </c>
      <c r="AV2547">
        <v>80</v>
      </c>
      <c r="AX2547" s="1">
        <v>1953.82</v>
      </c>
      <c r="AY2547" t="s">
        <v>1385</v>
      </c>
      <c r="AZ2547" t="s">
        <v>1385</v>
      </c>
      <c r="BA2547" t="s">
        <v>2223</v>
      </c>
      <c r="BE2547" s="3">
        <v>42228</v>
      </c>
      <c r="BF2547" s="1">
        <v>277000</v>
      </c>
      <c r="BG2547" t="s">
        <v>16980</v>
      </c>
      <c r="BH2547" s="1">
        <v>143.75</v>
      </c>
      <c r="BI2547" s="1">
        <v>277000</v>
      </c>
      <c r="BJ2547" s="3">
        <v>42228</v>
      </c>
      <c r="BK2547" t="s">
        <v>123</v>
      </c>
      <c r="BL2547" t="str">
        <f>"2015.584210"</f>
        <v>2015.584210</v>
      </c>
      <c r="BM2547" t="s">
        <v>12498</v>
      </c>
      <c r="BO2547" t="s">
        <v>16981</v>
      </c>
      <c r="BS2547">
        <v>30</v>
      </c>
      <c r="BW2547" t="str">
        <f>""</f>
        <v/>
      </c>
      <c r="CH2547" t="str">
        <f>""</f>
        <v/>
      </c>
      <c r="CS2547" t="str">
        <f>""</f>
        <v/>
      </c>
    </row>
    <row r="2548" spans="1:97" x14ac:dyDescent="0.25">
      <c r="A2548" t="s">
        <v>3023</v>
      </c>
      <c r="B2548" t="s">
        <v>16982</v>
      </c>
      <c r="E2548" t="s">
        <v>16983</v>
      </c>
      <c r="F2548" t="s">
        <v>108</v>
      </c>
      <c r="H2548" t="s">
        <v>16984</v>
      </c>
      <c r="I2548" t="s">
        <v>1936</v>
      </c>
      <c r="J2548" t="s">
        <v>111</v>
      </c>
      <c r="K2548" t="str">
        <f>"85257"</f>
        <v>85257</v>
      </c>
      <c r="L2548" t="s">
        <v>1300</v>
      </c>
      <c r="M2548" t="s">
        <v>16984</v>
      </c>
      <c r="N2548" t="s">
        <v>1936</v>
      </c>
      <c r="O2548" t="s">
        <v>111</v>
      </c>
      <c r="P2548" t="str">
        <f>"85257-1632"</f>
        <v>85257-1632</v>
      </c>
      <c r="Q2548" t="s">
        <v>113</v>
      </c>
      <c r="R2548" t="str">
        <f>"131-22-472"</f>
        <v>131-22-472</v>
      </c>
      <c r="S2548" t="s">
        <v>16985</v>
      </c>
      <c r="T2548" t="s">
        <v>16986</v>
      </c>
      <c r="U2548">
        <v>2396</v>
      </c>
      <c r="V2548">
        <v>0</v>
      </c>
      <c r="W2548">
        <v>4</v>
      </c>
      <c r="X2548">
        <v>1980</v>
      </c>
      <c r="Z2548">
        <v>2</v>
      </c>
      <c r="AB2548">
        <v>0</v>
      </c>
      <c r="AC2548" t="s">
        <v>115</v>
      </c>
      <c r="AD2548">
        <v>2</v>
      </c>
      <c r="AE2548" t="s">
        <v>115</v>
      </c>
      <c r="AF2548">
        <v>0</v>
      </c>
      <c r="AG2548">
        <v>0</v>
      </c>
      <c r="AH2548" t="s">
        <v>116</v>
      </c>
      <c r="AI2548" s="1">
        <v>126907</v>
      </c>
      <c r="AJ2548" s="2">
        <v>0.27</v>
      </c>
      <c r="AK2548" s="1">
        <v>463665</v>
      </c>
      <c r="AL2548" t="s">
        <v>117</v>
      </c>
      <c r="AM2548" t="s">
        <v>393</v>
      </c>
      <c r="AN2548">
        <v>7126</v>
      </c>
      <c r="AO2548">
        <v>0.16</v>
      </c>
      <c r="AP2548">
        <v>1</v>
      </c>
      <c r="AR2548">
        <v>1</v>
      </c>
      <c r="AS2548" s="1">
        <v>27720</v>
      </c>
      <c r="AT2548" s="1">
        <v>5540</v>
      </c>
      <c r="AU2548" s="1">
        <v>22180</v>
      </c>
      <c r="AV2548">
        <v>80.010000000000005</v>
      </c>
      <c r="AX2548" s="1">
        <v>1579.36</v>
      </c>
      <c r="AY2548" t="s">
        <v>7031</v>
      </c>
      <c r="AZ2548" t="s">
        <v>5420</v>
      </c>
      <c r="BA2548" t="s">
        <v>5421</v>
      </c>
      <c r="BE2548" s="3">
        <v>41688</v>
      </c>
      <c r="BF2548" s="1">
        <v>326000</v>
      </c>
      <c r="BG2548" t="s">
        <v>16987</v>
      </c>
      <c r="BH2548" s="1">
        <v>136.06</v>
      </c>
      <c r="BI2548" s="1">
        <v>336758</v>
      </c>
      <c r="BJ2548" s="3">
        <v>41688</v>
      </c>
      <c r="BK2548" t="s">
        <v>123</v>
      </c>
      <c r="BL2548" t="str">
        <f>"2014.104527"</f>
        <v>2014.104527</v>
      </c>
      <c r="BM2548" t="s">
        <v>5747</v>
      </c>
      <c r="BO2548" t="s">
        <v>16988</v>
      </c>
      <c r="BS2548">
        <v>30</v>
      </c>
      <c r="BW2548" t="str">
        <f>""</f>
        <v/>
      </c>
      <c r="CH2548" t="str">
        <f>""</f>
        <v/>
      </c>
      <c r="CS2548" t="str">
        <f>""</f>
        <v/>
      </c>
    </row>
    <row r="2549" spans="1:97" x14ac:dyDescent="0.25">
      <c r="A2549" t="s">
        <v>1774</v>
      </c>
      <c r="B2549" t="s">
        <v>16989</v>
      </c>
      <c r="C2549" t="s">
        <v>1930</v>
      </c>
      <c r="D2549" t="s">
        <v>16989</v>
      </c>
      <c r="E2549" t="s">
        <v>16990</v>
      </c>
      <c r="F2549" t="s">
        <v>108</v>
      </c>
      <c r="H2549" t="s">
        <v>16991</v>
      </c>
      <c r="I2549" t="s">
        <v>110</v>
      </c>
      <c r="J2549" t="s">
        <v>111</v>
      </c>
      <c r="K2549" t="str">
        <f>"85286"</f>
        <v>85286</v>
      </c>
      <c r="L2549" t="s">
        <v>3530</v>
      </c>
      <c r="M2549" t="s">
        <v>16991</v>
      </c>
      <c r="N2549" t="s">
        <v>110</v>
      </c>
      <c r="O2549" t="s">
        <v>111</v>
      </c>
      <c r="P2549" t="str">
        <f>"85286-1328"</f>
        <v>85286-1328</v>
      </c>
      <c r="Q2549" t="s">
        <v>113</v>
      </c>
      <c r="R2549" t="str">
        <f>"303-29-498"</f>
        <v>303-29-498</v>
      </c>
      <c r="S2549" t="s">
        <v>16992</v>
      </c>
      <c r="T2549" t="s">
        <v>16993</v>
      </c>
      <c r="U2549">
        <v>2627</v>
      </c>
      <c r="V2549">
        <v>0</v>
      </c>
      <c r="W2549">
        <v>4</v>
      </c>
      <c r="X2549">
        <v>2003</v>
      </c>
      <c r="Z2549">
        <v>2</v>
      </c>
      <c r="AA2549" t="s">
        <v>26</v>
      </c>
      <c r="AB2549">
        <v>0</v>
      </c>
      <c r="AC2549" t="s">
        <v>115</v>
      </c>
      <c r="AD2549">
        <v>3</v>
      </c>
      <c r="AE2549" t="s">
        <v>115</v>
      </c>
      <c r="AF2549">
        <v>0</v>
      </c>
      <c r="AG2549">
        <v>0</v>
      </c>
      <c r="AH2549" t="s">
        <v>116</v>
      </c>
      <c r="AI2549" s="1">
        <v>71598</v>
      </c>
      <c r="AJ2549" s="2">
        <v>0.17</v>
      </c>
      <c r="AK2549" s="1">
        <v>413800</v>
      </c>
      <c r="AL2549" t="s">
        <v>117</v>
      </c>
      <c r="AM2549" t="s">
        <v>118</v>
      </c>
      <c r="AN2549">
        <v>11468</v>
      </c>
      <c r="AO2549">
        <v>0.26</v>
      </c>
      <c r="AP2549">
        <v>1</v>
      </c>
      <c r="AR2549">
        <v>1</v>
      </c>
      <c r="AS2549" s="1">
        <v>29380</v>
      </c>
      <c r="AT2549" s="1">
        <v>5870</v>
      </c>
      <c r="AU2549" s="1">
        <v>23510</v>
      </c>
      <c r="AV2549">
        <v>80.02</v>
      </c>
      <c r="AX2549" s="1">
        <v>2456.08</v>
      </c>
      <c r="AY2549" t="s">
        <v>3185</v>
      </c>
      <c r="AZ2549" t="s">
        <v>120</v>
      </c>
      <c r="BA2549" t="s">
        <v>303</v>
      </c>
      <c r="BE2549" s="3">
        <v>42082</v>
      </c>
      <c r="BF2549" s="1">
        <v>335000</v>
      </c>
      <c r="BG2549" t="s">
        <v>16994</v>
      </c>
      <c r="BH2549" s="1">
        <v>127.52</v>
      </c>
      <c r="BI2549" s="1">
        <v>342202</v>
      </c>
      <c r="BJ2549" s="3">
        <v>42082</v>
      </c>
      <c r="BK2549" t="s">
        <v>123</v>
      </c>
      <c r="BL2549" t="str">
        <f>"2015.184804"</f>
        <v>2015.184804</v>
      </c>
      <c r="BM2549" t="s">
        <v>2051</v>
      </c>
      <c r="BO2549" t="s">
        <v>16995</v>
      </c>
      <c r="BS2549">
        <v>30</v>
      </c>
      <c r="BW2549" t="str">
        <f>""</f>
        <v/>
      </c>
      <c r="CH2549" t="str">
        <f>""</f>
        <v/>
      </c>
      <c r="CS2549" t="str">
        <f>""</f>
        <v/>
      </c>
    </row>
    <row r="2550" spans="1:97" x14ac:dyDescent="0.25">
      <c r="A2550" t="s">
        <v>16996</v>
      </c>
      <c r="B2550" t="s">
        <v>16997</v>
      </c>
      <c r="C2550" t="s">
        <v>16998</v>
      </c>
      <c r="D2550" t="s">
        <v>16997</v>
      </c>
      <c r="E2550" t="s">
        <v>16999</v>
      </c>
      <c r="F2550" t="s">
        <v>108</v>
      </c>
      <c r="H2550" t="s">
        <v>17000</v>
      </c>
      <c r="I2550" t="s">
        <v>632</v>
      </c>
      <c r="J2550" t="s">
        <v>111</v>
      </c>
      <c r="K2550" t="str">
        <f>"85388"</f>
        <v>85388</v>
      </c>
      <c r="L2550" t="s">
        <v>7607</v>
      </c>
      <c r="M2550" t="s">
        <v>17000</v>
      </c>
      <c r="N2550" t="s">
        <v>632</v>
      </c>
      <c r="O2550" t="s">
        <v>111</v>
      </c>
      <c r="P2550" t="str">
        <f>"85388-1693"</f>
        <v>85388-1693</v>
      </c>
      <c r="Q2550" t="s">
        <v>113</v>
      </c>
      <c r="R2550" t="str">
        <f>"502-89-490"</f>
        <v>502-89-490</v>
      </c>
      <c r="S2550" t="s">
        <v>7646</v>
      </c>
      <c r="U2550">
        <v>2245</v>
      </c>
      <c r="V2550">
        <v>0</v>
      </c>
      <c r="W2550">
        <v>3</v>
      </c>
      <c r="X2550">
        <v>2012</v>
      </c>
      <c r="Z2550">
        <v>1</v>
      </c>
      <c r="AB2550">
        <v>0</v>
      </c>
      <c r="AC2550" t="s">
        <v>115</v>
      </c>
      <c r="AD2550">
        <v>3</v>
      </c>
      <c r="AE2550" t="s">
        <v>115</v>
      </c>
      <c r="AF2550">
        <v>0</v>
      </c>
      <c r="AG2550">
        <v>0</v>
      </c>
      <c r="AH2550" t="s">
        <v>116</v>
      </c>
      <c r="AI2550" s="1">
        <v>72860</v>
      </c>
      <c r="AJ2550" s="2">
        <v>0.23</v>
      </c>
      <c r="AK2550" s="1">
        <v>317860</v>
      </c>
      <c r="AL2550" t="s">
        <v>117</v>
      </c>
      <c r="AM2550" t="s">
        <v>118</v>
      </c>
      <c r="AN2550">
        <v>7800</v>
      </c>
      <c r="AO2550">
        <v>0.18</v>
      </c>
      <c r="AR2550">
        <v>1</v>
      </c>
      <c r="AS2550" s="1">
        <v>22670</v>
      </c>
      <c r="AT2550" s="1">
        <v>4530</v>
      </c>
      <c r="AU2550" s="1">
        <v>18140</v>
      </c>
      <c r="AV2550">
        <v>80.02</v>
      </c>
      <c r="AX2550" s="1">
        <v>2264.88</v>
      </c>
      <c r="AY2550" t="s">
        <v>5168</v>
      </c>
      <c r="AZ2550" t="s">
        <v>5168</v>
      </c>
      <c r="BA2550" t="s">
        <v>5109</v>
      </c>
      <c r="BE2550" s="3">
        <v>42272</v>
      </c>
      <c r="BF2550" s="1">
        <v>245000</v>
      </c>
      <c r="BG2550" t="s">
        <v>17001</v>
      </c>
      <c r="BH2550" s="1">
        <v>109.13</v>
      </c>
      <c r="BI2550" s="1">
        <v>245000</v>
      </c>
      <c r="BJ2550" s="3">
        <v>42272</v>
      </c>
      <c r="BK2550" t="s">
        <v>123</v>
      </c>
      <c r="BL2550" t="str">
        <f>"2015.690545"</f>
        <v>2015.690545</v>
      </c>
      <c r="BM2550" t="s">
        <v>475</v>
      </c>
      <c r="BO2550" t="s">
        <v>17002</v>
      </c>
      <c r="BS2550">
        <v>30</v>
      </c>
      <c r="BW2550" t="str">
        <f>""</f>
        <v/>
      </c>
      <c r="CH2550" t="str">
        <f>""</f>
        <v/>
      </c>
      <c r="CS2550" t="str">
        <f>""</f>
        <v/>
      </c>
    </row>
    <row r="2551" spans="1:97" x14ac:dyDescent="0.25">
      <c r="A2551" t="s">
        <v>894</v>
      </c>
      <c r="B2551" t="s">
        <v>17003</v>
      </c>
      <c r="E2551" t="s">
        <v>17004</v>
      </c>
      <c r="F2551" t="s">
        <v>108</v>
      </c>
      <c r="H2551" t="s">
        <v>17005</v>
      </c>
      <c r="I2551" t="s">
        <v>225</v>
      </c>
      <c r="J2551" t="s">
        <v>111</v>
      </c>
      <c r="K2551" t="str">
        <f>"85213"</f>
        <v>85213</v>
      </c>
      <c r="L2551" t="s">
        <v>9069</v>
      </c>
      <c r="M2551" t="s">
        <v>17005</v>
      </c>
      <c r="N2551" t="s">
        <v>225</v>
      </c>
      <c r="O2551" t="s">
        <v>111</v>
      </c>
      <c r="P2551" t="str">
        <f>"85213-3407"</f>
        <v>85213-3407</v>
      </c>
      <c r="Q2551" t="s">
        <v>113</v>
      </c>
      <c r="R2551" t="str">
        <f>"141-10-223"</f>
        <v>141-10-223</v>
      </c>
      <c r="S2551" t="s">
        <v>17006</v>
      </c>
      <c r="T2551" t="s">
        <v>17007</v>
      </c>
      <c r="U2551">
        <v>1923</v>
      </c>
      <c r="V2551">
        <v>0</v>
      </c>
      <c r="W2551">
        <v>2</v>
      </c>
      <c r="X2551">
        <v>1976</v>
      </c>
      <c r="Z2551">
        <v>1</v>
      </c>
      <c r="AB2551">
        <v>0</v>
      </c>
      <c r="AC2551" t="s">
        <v>115</v>
      </c>
      <c r="AD2551">
        <v>2</v>
      </c>
      <c r="AE2551" t="s">
        <v>115</v>
      </c>
      <c r="AF2551">
        <v>0</v>
      </c>
      <c r="AG2551">
        <v>0</v>
      </c>
      <c r="AH2551" t="s">
        <v>116</v>
      </c>
      <c r="AI2551" s="1">
        <v>371</v>
      </c>
      <c r="AJ2551" s="2">
        <v>0</v>
      </c>
      <c r="AK2551" s="1">
        <v>343327</v>
      </c>
      <c r="AL2551" t="s">
        <v>117</v>
      </c>
      <c r="AM2551" t="s">
        <v>917</v>
      </c>
      <c r="AN2551">
        <v>15061</v>
      </c>
      <c r="AO2551">
        <v>0.35</v>
      </c>
      <c r="AP2551">
        <v>1</v>
      </c>
      <c r="AR2551">
        <v>1</v>
      </c>
      <c r="AS2551" s="1">
        <v>23180</v>
      </c>
      <c r="AT2551" s="1">
        <v>4630</v>
      </c>
      <c r="AU2551" s="1">
        <v>18550</v>
      </c>
      <c r="AV2551">
        <v>80.03</v>
      </c>
      <c r="AX2551" s="1">
        <v>1916.44</v>
      </c>
      <c r="AY2551" t="s">
        <v>7102</v>
      </c>
      <c r="AZ2551" t="s">
        <v>1523</v>
      </c>
      <c r="BA2551" t="s">
        <v>1524</v>
      </c>
      <c r="BE2551" s="3">
        <v>42268</v>
      </c>
      <c r="BF2551" s="1">
        <v>262000</v>
      </c>
      <c r="BG2551" t="s">
        <v>17008</v>
      </c>
      <c r="BH2551" s="1">
        <v>136.25</v>
      </c>
      <c r="BI2551" s="1">
        <v>342956</v>
      </c>
      <c r="BJ2551" s="3">
        <v>43200</v>
      </c>
      <c r="BK2551" t="s">
        <v>123</v>
      </c>
      <c r="BL2551" t="str">
        <f>"2018.268322"</f>
        <v>2018.268322</v>
      </c>
      <c r="BM2551" t="s">
        <v>6517</v>
      </c>
      <c r="BN2551" t="s">
        <v>14173</v>
      </c>
      <c r="BO2551" t="s">
        <v>17009</v>
      </c>
      <c r="BR2551" t="s">
        <v>139</v>
      </c>
      <c r="BW2551" t="str">
        <f>""</f>
        <v/>
      </c>
      <c r="CH2551" t="str">
        <f>""</f>
        <v/>
      </c>
      <c r="CS2551" t="str">
        <f>""</f>
        <v/>
      </c>
    </row>
    <row r="2552" spans="1:97" x14ac:dyDescent="0.25">
      <c r="A2552" t="s">
        <v>370</v>
      </c>
      <c r="B2552" t="s">
        <v>17010</v>
      </c>
      <c r="C2552" t="s">
        <v>1959</v>
      </c>
      <c r="D2552" t="s">
        <v>17010</v>
      </c>
      <c r="E2552" t="s">
        <v>17011</v>
      </c>
      <c r="F2552" t="s">
        <v>282</v>
      </c>
      <c r="H2552" t="s">
        <v>17012</v>
      </c>
      <c r="I2552" t="s">
        <v>390</v>
      </c>
      <c r="J2552" t="s">
        <v>111</v>
      </c>
      <c r="K2552" t="str">
        <f>"85007"</f>
        <v>85007</v>
      </c>
      <c r="L2552" t="s">
        <v>5074</v>
      </c>
      <c r="M2552" t="s">
        <v>17012</v>
      </c>
      <c r="N2552" t="s">
        <v>390</v>
      </c>
      <c r="O2552" t="s">
        <v>111</v>
      </c>
      <c r="P2552" t="str">
        <f>"85007-1309"</f>
        <v>85007-1309</v>
      </c>
      <c r="Q2552" t="s">
        <v>113</v>
      </c>
      <c r="R2552" t="str">
        <f>"111-14-054"</f>
        <v>111-14-054</v>
      </c>
      <c r="S2552" t="s">
        <v>17013</v>
      </c>
      <c r="T2552" t="s">
        <v>17013</v>
      </c>
      <c r="U2552">
        <v>2688</v>
      </c>
      <c r="V2552">
        <v>0</v>
      </c>
      <c r="W2552">
        <v>4</v>
      </c>
      <c r="X2552">
        <v>1945</v>
      </c>
      <c r="Z2552">
        <v>1</v>
      </c>
      <c r="AA2552" t="s">
        <v>26</v>
      </c>
      <c r="AB2552">
        <v>0</v>
      </c>
      <c r="AC2552" t="s">
        <v>115</v>
      </c>
      <c r="AD2552">
        <v>2</v>
      </c>
      <c r="AE2552" t="s">
        <v>115</v>
      </c>
      <c r="AF2552">
        <v>0</v>
      </c>
      <c r="AG2552">
        <v>0</v>
      </c>
      <c r="AH2552" t="s">
        <v>116</v>
      </c>
      <c r="AI2552" s="1">
        <v>124110</v>
      </c>
      <c r="AJ2552" s="2">
        <v>0.18</v>
      </c>
      <c r="AK2552" s="1">
        <v>674110</v>
      </c>
      <c r="AL2552" t="s">
        <v>117</v>
      </c>
      <c r="AM2552" t="s">
        <v>191</v>
      </c>
      <c r="AN2552">
        <v>10489</v>
      </c>
      <c r="AO2552">
        <v>0.24</v>
      </c>
      <c r="AP2552">
        <v>1</v>
      </c>
      <c r="AR2552">
        <v>1</v>
      </c>
      <c r="AS2552" s="1">
        <v>53280</v>
      </c>
      <c r="AT2552" s="1">
        <v>10650</v>
      </c>
      <c r="AU2552" s="1">
        <v>42630</v>
      </c>
      <c r="AV2552">
        <v>80.010000000000005</v>
      </c>
      <c r="AX2552" s="1">
        <v>5273.44</v>
      </c>
      <c r="AY2552" t="s">
        <v>5468</v>
      </c>
      <c r="AZ2552" t="s">
        <v>5468</v>
      </c>
      <c r="BA2552" t="s">
        <v>5469</v>
      </c>
      <c r="BB2552" s="3">
        <v>43504</v>
      </c>
      <c r="BC2552" s="1">
        <v>0</v>
      </c>
      <c r="BD2552" t="s">
        <v>247</v>
      </c>
      <c r="BE2552" s="3">
        <v>42278</v>
      </c>
      <c r="BF2552" s="1">
        <v>429900</v>
      </c>
      <c r="BG2552" t="s">
        <v>17014</v>
      </c>
      <c r="BH2552" s="1">
        <v>159.93</v>
      </c>
      <c r="BI2552" s="1">
        <v>550000</v>
      </c>
      <c r="BJ2552" s="3">
        <v>43504</v>
      </c>
      <c r="BK2552" t="s">
        <v>123</v>
      </c>
      <c r="BL2552" t="str">
        <f>"2019.89726"</f>
        <v>2019.89726</v>
      </c>
      <c r="BM2552" t="s">
        <v>1915</v>
      </c>
      <c r="BN2552" t="s">
        <v>1916</v>
      </c>
      <c r="BO2552" t="s">
        <v>17015</v>
      </c>
      <c r="BP2552" t="s">
        <v>17016</v>
      </c>
      <c r="BR2552" t="s">
        <v>139</v>
      </c>
      <c r="BW2552" t="str">
        <f>""</f>
        <v/>
      </c>
      <c r="CH2552" t="str">
        <f>""</f>
        <v/>
      </c>
      <c r="CS2552" t="str">
        <f>""</f>
        <v/>
      </c>
    </row>
    <row r="2553" spans="1:97" x14ac:dyDescent="0.25">
      <c r="B2553" t="s">
        <v>17017</v>
      </c>
      <c r="E2553" t="s">
        <v>17018</v>
      </c>
      <c r="F2553" t="s">
        <v>108</v>
      </c>
      <c r="H2553" t="s">
        <v>17019</v>
      </c>
      <c r="I2553" t="s">
        <v>225</v>
      </c>
      <c r="J2553" t="s">
        <v>111</v>
      </c>
      <c r="K2553" t="str">
        <f>"85207"</f>
        <v>85207</v>
      </c>
      <c r="L2553" t="s">
        <v>516</v>
      </c>
      <c r="M2553" t="s">
        <v>17019</v>
      </c>
      <c r="N2553" t="s">
        <v>225</v>
      </c>
      <c r="O2553" t="s">
        <v>111</v>
      </c>
      <c r="P2553" t="str">
        <f>"85207"</f>
        <v>85207</v>
      </c>
      <c r="Q2553" t="s">
        <v>113</v>
      </c>
      <c r="R2553" t="str">
        <f>"219-19-487"</f>
        <v>219-19-487</v>
      </c>
      <c r="S2553" t="s">
        <v>17020</v>
      </c>
      <c r="T2553" t="s">
        <v>17021</v>
      </c>
      <c r="U2553">
        <v>2732</v>
      </c>
      <c r="V2553">
        <v>0</v>
      </c>
      <c r="W2553">
        <v>4</v>
      </c>
      <c r="X2553">
        <v>1999</v>
      </c>
      <c r="Z2553">
        <v>2</v>
      </c>
      <c r="AB2553">
        <v>0</v>
      </c>
      <c r="AC2553" t="s">
        <v>115</v>
      </c>
      <c r="AD2553">
        <v>3</v>
      </c>
      <c r="AE2553" t="s">
        <v>115</v>
      </c>
      <c r="AF2553">
        <v>0</v>
      </c>
      <c r="AG2553">
        <v>0</v>
      </c>
      <c r="AH2553" t="s">
        <v>116</v>
      </c>
      <c r="AI2553" s="1">
        <v>76253</v>
      </c>
      <c r="AJ2553" s="2">
        <v>0.17</v>
      </c>
      <c r="AK2553" s="1">
        <v>460991</v>
      </c>
      <c r="AL2553" t="s">
        <v>117</v>
      </c>
      <c r="AM2553" t="s">
        <v>1521</v>
      </c>
      <c r="AN2553">
        <v>9460</v>
      </c>
      <c r="AO2553">
        <v>0.22</v>
      </c>
      <c r="AP2553">
        <v>1</v>
      </c>
      <c r="AR2553">
        <v>1</v>
      </c>
      <c r="AS2553" s="1">
        <v>29010</v>
      </c>
      <c r="AT2553" s="1">
        <v>5800</v>
      </c>
      <c r="AU2553" s="1">
        <v>23210</v>
      </c>
      <c r="AV2553">
        <v>80.010000000000005</v>
      </c>
      <c r="AX2553" s="1">
        <v>2954.22</v>
      </c>
      <c r="AY2553" t="s">
        <v>9337</v>
      </c>
      <c r="AZ2553" t="s">
        <v>231</v>
      </c>
      <c r="BA2553" t="s">
        <v>3119</v>
      </c>
      <c r="BB2553" s="3">
        <v>42499</v>
      </c>
      <c r="BD2553" t="s">
        <v>240</v>
      </c>
      <c r="BE2553" s="3">
        <v>42244</v>
      </c>
      <c r="BF2553" s="1">
        <v>375900</v>
      </c>
      <c r="BG2553" t="s">
        <v>17022</v>
      </c>
      <c r="BH2553" s="1">
        <v>137.59</v>
      </c>
      <c r="BI2553" s="1">
        <v>384738</v>
      </c>
      <c r="BJ2553" s="3">
        <v>42580</v>
      </c>
      <c r="BK2553" t="s">
        <v>123</v>
      </c>
      <c r="BL2553" t="str">
        <f>"2016.539096"</f>
        <v>2016.539096</v>
      </c>
      <c r="BM2553" t="s">
        <v>544</v>
      </c>
      <c r="BO2553" t="s">
        <v>17017</v>
      </c>
      <c r="BS2553">
        <v>30</v>
      </c>
      <c r="BW2553" t="str">
        <f>""</f>
        <v/>
      </c>
      <c r="CH2553" t="str">
        <f>""</f>
        <v/>
      </c>
      <c r="CS2553" t="str">
        <f>""</f>
        <v/>
      </c>
    </row>
    <row r="2554" spans="1:97" x14ac:dyDescent="0.25">
      <c r="A2554" t="s">
        <v>370</v>
      </c>
      <c r="B2554" t="s">
        <v>17023</v>
      </c>
      <c r="C2554" t="s">
        <v>1289</v>
      </c>
      <c r="D2554" t="s">
        <v>17023</v>
      </c>
      <c r="E2554" t="s">
        <v>17024</v>
      </c>
      <c r="F2554" t="s">
        <v>108</v>
      </c>
      <c r="H2554" t="s">
        <v>17025</v>
      </c>
      <c r="I2554" t="s">
        <v>390</v>
      </c>
      <c r="J2554" t="s">
        <v>111</v>
      </c>
      <c r="K2554" t="str">
        <f>"85022"</f>
        <v>85022</v>
      </c>
      <c r="L2554" t="s">
        <v>6541</v>
      </c>
      <c r="M2554" t="s">
        <v>17025</v>
      </c>
      <c r="N2554" t="s">
        <v>390</v>
      </c>
      <c r="O2554" t="s">
        <v>111</v>
      </c>
      <c r="P2554" t="str">
        <f>"85022-4452"</f>
        <v>85022-4452</v>
      </c>
      <c r="Q2554" t="s">
        <v>113</v>
      </c>
      <c r="R2554" t="str">
        <f>"214-47-564"</f>
        <v>214-47-564</v>
      </c>
      <c r="S2554" t="s">
        <v>17026</v>
      </c>
      <c r="T2554" t="s">
        <v>17027</v>
      </c>
      <c r="U2554">
        <v>4248</v>
      </c>
      <c r="V2554">
        <v>0</v>
      </c>
      <c r="W2554">
        <v>5</v>
      </c>
      <c r="X2554">
        <v>1994</v>
      </c>
      <c r="Z2554">
        <v>2</v>
      </c>
      <c r="AB2554">
        <v>0</v>
      </c>
      <c r="AC2554" t="s">
        <v>115</v>
      </c>
      <c r="AD2554">
        <v>3</v>
      </c>
      <c r="AE2554" t="s">
        <v>115</v>
      </c>
      <c r="AF2554">
        <v>0</v>
      </c>
      <c r="AG2554">
        <v>0</v>
      </c>
      <c r="AH2554" t="s">
        <v>116</v>
      </c>
      <c r="AI2554" s="1">
        <v>211174</v>
      </c>
      <c r="AJ2554" s="2">
        <v>0.28000000000000003</v>
      </c>
      <c r="AK2554" s="1">
        <v>742316</v>
      </c>
      <c r="AL2554" t="s">
        <v>117</v>
      </c>
      <c r="AM2554" t="s">
        <v>1302</v>
      </c>
      <c r="AN2554">
        <v>9860</v>
      </c>
      <c r="AO2554">
        <v>0.23</v>
      </c>
      <c r="AP2554">
        <v>1</v>
      </c>
      <c r="AR2554">
        <v>1</v>
      </c>
      <c r="AS2554" s="1">
        <v>51120</v>
      </c>
      <c r="AT2554" s="1">
        <v>10220</v>
      </c>
      <c r="AU2554" s="1">
        <v>40900</v>
      </c>
      <c r="AV2554">
        <v>80.010000000000005</v>
      </c>
      <c r="AX2554" s="1">
        <v>5079.9799999999996</v>
      </c>
      <c r="AY2554" t="s">
        <v>5802</v>
      </c>
      <c r="AZ2554" t="s">
        <v>5489</v>
      </c>
      <c r="BA2554" t="s">
        <v>5232</v>
      </c>
      <c r="BE2554" s="3">
        <v>42250</v>
      </c>
      <c r="BF2554" s="1">
        <v>596000</v>
      </c>
      <c r="BG2554" t="s">
        <v>17028</v>
      </c>
      <c r="BH2554" s="1">
        <v>140.30000000000001</v>
      </c>
      <c r="BI2554" s="1">
        <v>531142</v>
      </c>
      <c r="BJ2554" s="3">
        <v>42606</v>
      </c>
      <c r="BK2554" t="s">
        <v>123</v>
      </c>
      <c r="BL2554" t="str">
        <f>"2016.609427"</f>
        <v>2016.609427</v>
      </c>
      <c r="BM2554" t="s">
        <v>10728</v>
      </c>
      <c r="BO2554" t="s">
        <v>17029</v>
      </c>
      <c r="BS2554">
        <v>30</v>
      </c>
      <c r="BW2554" t="str">
        <f>""</f>
        <v/>
      </c>
      <c r="CH2554" t="str">
        <f>""</f>
        <v/>
      </c>
      <c r="CS2554" t="str">
        <f>""</f>
        <v/>
      </c>
    </row>
    <row r="2555" spans="1:97" x14ac:dyDescent="0.25">
      <c r="A2555" t="s">
        <v>2485</v>
      </c>
      <c r="B2555" t="s">
        <v>17030</v>
      </c>
      <c r="C2555" t="s">
        <v>355</v>
      </c>
      <c r="D2555" t="s">
        <v>17030</v>
      </c>
      <c r="E2555" t="s">
        <v>17031</v>
      </c>
      <c r="F2555" t="s">
        <v>108</v>
      </c>
      <c r="H2555" t="s">
        <v>17032</v>
      </c>
      <c r="I2555" t="s">
        <v>188</v>
      </c>
      <c r="J2555" t="s">
        <v>111</v>
      </c>
      <c r="K2555" t="str">
        <f>"85142"</f>
        <v>85142</v>
      </c>
      <c r="L2555" t="s">
        <v>1070</v>
      </c>
      <c r="M2555" t="s">
        <v>17032</v>
      </c>
      <c r="N2555" t="s">
        <v>188</v>
      </c>
      <c r="O2555" t="s">
        <v>111</v>
      </c>
      <c r="P2555" t="str">
        <f>"85142-5057"</f>
        <v>85142-5057</v>
      </c>
      <c r="Q2555" t="s">
        <v>113</v>
      </c>
      <c r="R2555" t="str">
        <f>"314-09-036"</f>
        <v>314-09-036</v>
      </c>
      <c r="S2555" t="s">
        <v>17033</v>
      </c>
      <c r="T2555" t="s">
        <v>17034</v>
      </c>
      <c r="U2555">
        <v>4054</v>
      </c>
      <c r="V2555">
        <v>0</v>
      </c>
      <c r="W2555">
        <v>4</v>
      </c>
      <c r="X2555">
        <v>2013</v>
      </c>
      <c r="Z2555">
        <v>2</v>
      </c>
      <c r="AB2555">
        <v>0</v>
      </c>
      <c r="AC2555" t="s">
        <v>115</v>
      </c>
      <c r="AD2555">
        <v>3</v>
      </c>
      <c r="AE2555" t="s">
        <v>115</v>
      </c>
      <c r="AF2555">
        <v>0</v>
      </c>
      <c r="AG2555">
        <v>0</v>
      </c>
      <c r="AH2555" t="s">
        <v>116</v>
      </c>
      <c r="AI2555" s="1">
        <v>74634</v>
      </c>
      <c r="AJ2555" s="2">
        <v>0.18</v>
      </c>
      <c r="AK2555" s="1">
        <v>407260</v>
      </c>
      <c r="AL2555" t="s">
        <v>117</v>
      </c>
      <c r="AM2555" t="s">
        <v>393</v>
      </c>
      <c r="AN2555">
        <v>8400</v>
      </c>
      <c r="AO2555">
        <v>0.19</v>
      </c>
      <c r="AR2555">
        <v>1</v>
      </c>
      <c r="AS2555" s="1">
        <v>29660</v>
      </c>
      <c r="AT2555" s="1">
        <v>5930</v>
      </c>
      <c r="AU2555" s="1">
        <v>23730</v>
      </c>
      <c r="AV2555">
        <v>80.010000000000005</v>
      </c>
      <c r="AX2555" s="1">
        <v>3098.94</v>
      </c>
      <c r="AY2555" t="s">
        <v>1074</v>
      </c>
      <c r="AZ2555" t="s">
        <v>193</v>
      </c>
      <c r="BA2555" t="s">
        <v>194</v>
      </c>
      <c r="BE2555" s="3">
        <v>42352</v>
      </c>
      <c r="BF2555" s="1">
        <v>322000</v>
      </c>
      <c r="BG2555" t="s">
        <v>17035</v>
      </c>
      <c r="BH2555" s="1">
        <v>79.430000000000007</v>
      </c>
      <c r="BI2555" s="1">
        <v>332626</v>
      </c>
      <c r="BJ2555" s="3">
        <v>42352</v>
      </c>
      <c r="BK2555" t="s">
        <v>123</v>
      </c>
      <c r="BL2555" t="str">
        <f>"2015.881588"</f>
        <v>2015.881588</v>
      </c>
      <c r="BM2555" t="s">
        <v>594</v>
      </c>
      <c r="BO2555" t="s">
        <v>17036</v>
      </c>
      <c r="BS2555">
        <v>30</v>
      </c>
      <c r="BW2555" t="str">
        <f>""</f>
        <v/>
      </c>
      <c r="CH2555" t="str">
        <f>""</f>
        <v/>
      </c>
      <c r="CS2555" t="str">
        <f>""</f>
        <v/>
      </c>
    </row>
    <row r="2556" spans="1:97" x14ac:dyDescent="0.25">
      <c r="A2556" t="s">
        <v>1850</v>
      </c>
      <c r="B2556" t="s">
        <v>17037</v>
      </c>
      <c r="C2556" t="s">
        <v>2008</v>
      </c>
      <c r="D2556" t="s">
        <v>17037</v>
      </c>
      <c r="E2556" t="s">
        <v>17038</v>
      </c>
      <c r="F2556" t="s">
        <v>108</v>
      </c>
      <c r="H2556" t="s">
        <v>17039</v>
      </c>
      <c r="I2556" t="s">
        <v>188</v>
      </c>
      <c r="J2556" t="s">
        <v>111</v>
      </c>
      <c r="K2556" t="str">
        <f>"85142"</f>
        <v>85142</v>
      </c>
      <c r="L2556" t="s">
        <v>5910</v>
      </c>
      <c r="M2556" t="s">
        <v>17039</v>
      </c>
      <c r="N2556" t="s">
        <v>188</v>
      </c>
      <c r="O2556" t="s">
        <v>111</v>
      </c>
      <c r="P2556" t="str">
        <f>"85142-6461"</f>
        <v>85142-6461</v>
      </c>
      <c r="Q2556" t="s">
        <v>113</v>
      </c>
      <c r="R2556" t="str">
        <f>"314-04-038"</f>
        <v>314-04-038</v>
      </c>
      <c r="S2556" t="s">
        <v>17040</v>
      </c>
      <c r="U2556">
        <v>4349</v>
      </c>
      <c r="V2556">
        <v>0</v>
      </c>
      <c r="W2556">
        <v>6</v>
      </c>
      <c r="X2556">
        <v>2006</v>
      </c>
      <c r="Z2556">
        <v>2</v>
      </c>
      <c r="AA2556" t="s">
        <v>26</v>
      </c>
      <c r="AB2556">
        <v>0</v>
      </c>
      <c r="AC2556" t="s">
        <v>115</v>
      </c>
      <c r="AD2556">
        <v>3</v>
      </c>
      <c r="AE2556" t="s">
        <v>115</v>
      </c>
      <c r="AF2556">
        <v>0</v>
      </c>
      <c r="AG2556">
        <v>0</v>
      </c>
      <c r="AH2556" t="s">
        <v>116</v>
      </c>
      <c r="AI2556" s="1">
        <v>114092</v>
      </c>
      <c r="AJ2556" s="2">
        <v>0.21</v>
      </c>
      <c r="AK2556" s="1">
        <v>550018</v>
      </c>
      <c r="AL2556" t="s">
        <v>117</v>
      </c>
      <c r="AM2556" t="s">
        <v>5791</v>
      </c>
      <c r="AN2556">
        <v>13262</v>
      </c>
      <c r="AO2556">
        <v>0.3</v>
      </c>
      <c r="AR2556">
        <v>1</v>
      </c>
      <c r="AS2556" s="1">
        <v>40160</v>
      </c>
      <c r="AT2556" s="1">
        <v>8030</v>
      </c>
      <c r="AU2556" s="1">
        <v>32130</v>
      </c>
      <c r="AV2556">
        <v>80</v>
      </c>
      <c r="AX2556" s="1">
        <v>4041.72</v>
      </c>
      <c r="AY2556" t="s">
        <v>5792</v>
      </c>
      <c r="AZ2556" t="s">
        <v>5792</v>
      </c>
      <c r="BA2556" t="s">
        <v>290</v>
      </c>
      <c r="BE2556" s="3">
        <v>42538</v>
      </c>
      <c r="BF2556" s="1">
        <v>429000</v>
      </c>
      <c r="BG2556" t="s">
        <v>17041</v>
      </c>
      <c r="BH2556" s="1">
        <v>98.64</v>
      </c>
      <c r="BI2556" s="1">
        <v>435926</v>
      </c>
      <c r="BJ2556" s="3">
        <v>42538</v>
      </c>
      <c r="BK2556" t="s">
        <v>123</v>
      </c>
      <c r="BL2556" t="str">
        <f>"2016.424638"</f>
        <v>2016.424638</v>
      </c>
      <c r="BM2556" t="s">
        <v>5348</v>
      </c>
      <c r="BO2556" t="s">
        <v>17042</v>
      </c>
      <c r="BS2556">
        <v>30</v>
      </c>
      <c r="BW2556" t="str">
        <f>""</f>
        <v/>
      </c>
      <c r="CH2556" t="str">
        <f>""</f>
        <v/>
      </c>
      <c r="CS2556" t="str">
        <f>""</f>
        <v/>
      </c>
    </row>
    <row r="2557" spans="1:97" x14ac:dyDescent="0.25">
      <c r="A2557" t="s">
        <v>1067</v>
      </c>
      <c r="B2557" t="s">
        <v>17043</v>
      </c>
      <c r="E2557" t="s">
        <v>17044</v>
      </c>
      <c r="F2557" t="s">
        <v>108</v>
      </c>
      <c r="H2557" t="s">
        <v>17045</v>
      </c>
      <c r="I2557" t="s">
        <v>5863</v>
      </c>
      <c r="J2557" t="s">
        <v>111</v>
      </c>
      <c r="K2557" t="str">
        <f>"85375"</f>
        <v>85375</v>
      </c>
      <c r="L2557" t="s">
        <v>8543</v>
      </c>
      <c r="M2557" t="s">
        <v>17045</v>
      </c>
      <c r="N2557" t="s">
        <v>5863</v>
      </c>
      <c r="O2557" t="s">
        <v>111</v>
      </c>
      <c r="P2557" t="str">
        <f>"85375-5994"</f>
        <v>85375-5994</v>
      </c>
      <c r="Q2557" t="s">
        <v>113</v>
      </c>
      <c r="R2557" t="str">
        <f>"232-20-048"</f>
        <v>232-20-048</v>
      </c>
      <c r="S2557" t="s">
        <v>17046</v>
      </c>
      <c r="U2557">
        <v>1586</v>
      </c>
      <c r="V2557">
        <v>0</v>
      </c>
      <c r="W2557">
        <v>2</v>
      </c>
      <c r="X2557">
        <v>1990</v>
      </c>
      <c r="Z2557">
        <v>1</v>
      </c>
      <c r="AB2557">
        <v>0</v>
      </c>
      <c r="AC2557" t="s">
        <v>115</v>
      </c>
      <c r="AD2557">
        <v>2</v>
      </c>
      <c r="AE2557" t="s">
        <v>115</v>
      </c>
      <c r="AF2557">
        <v>0</v>
      </c>
      <c r="AG2557">
        <v>0</v>
      </c>
      <c r="AH2557" t="s">
        <v>116</v>
      </c>
      <c r="AI2557" s="1">
        <v>6765</v>
      </c>
      <c r="AJ2557" s="2">
        <v>0.03</v>
      </c>
      <c r="AK2557" s="1">
        <v>257884</v>
      </c>
      <c r="AL2557" t="s">
        <v>117</v>
      </c>
      <c r="AM2557" t="s">
        <v>393</v>
      </c>
      <c r="AN2557">
        <v>9000</v>
      </c>
      <c r="AO2557">
        <v>0.21</v>
      </c>
      <c r="AP2557">
        <v>1</v>
      </c>
      <c r="AR2557">
        <v>1</v>
      </c>
      <c r="AS2557" s="1">
        <v>16700</v>
      </c>
      <c r="AT2557" s="1">
        <v>3340</v>
      </c>
      <c r="AU2557" s="1">
        <v>13360</v>
      </c>
      <c r="AV2557">
        <v>80</v>
      </c>
      <c r="AX2557" s="1">
        <v>1310.08</v>
      </c>
      <c r="AY2557" t="s">
        <v>320</v>
      </c>
      <c r="AZ2557" t="s">
        <v>320</v>
      </c>
      <c r="BA2557" t="s">
        <v>321</v>
      </c>
      <c r="BE2557" s="3">
        <v>42060</v>
      </c>
      <c r="BF2557" s="1">
        <v>245000</v>
      </c>
      <c r="BG2557" t="s">
        <v>17047</v>
      </c>
      <c r="BH2557" s="1">
        <v>154.47999999999999</v>
      </c>
      <c r="BI2557" s="1">
        <v>251119</v>
      </c>
      <c r="BJ2557" s="3">
        <v>42460</v>
      </c>
      <c r="BK2557" t="s">
        <v>123</v>
      </c>
      <c r="BL2557" t="str">
        <f>"2016.210159"</f>
        <v>2016.210159</v>
      </c>
      <c r="BM2557" t="s">
        <v>5867</v>
      </c>
      <c r="BO2557" t="s">
        <v>17048</v>
      </c>
      <c r="BS2557">
        <v>30</v>
      </c>
      <c r="BW2557" t="str">
        <f>""</f>
        <v/>
      </c>
      <c r="CH2557" t="str">
        <f>""</f>
        <v/>
      </c>
      <c r="CS2557" t="str">
        <f>""</f>
        <v/>
      </c>
    </row>
    <row r="2558" spans="1:97" x14ac:dyDescent="0.25">
      <c r="A2558" t="s">
        <v>1009</v>
      </c>
      <c r="B2558" t="s">
        <v>603</v>
      </c>
      <c r="C2558" t="s">
        <v>2104</v>
      </c>
      <c r="D2558" t="s">
        <v>17049</v>
      </c>
      <c r="E2558" t="s">
        <v>17050</v>
      </c>
      <c r="F2558" t="s">
        <v>108</v>
      </c>
      <c r="H2558" t="s">
        <v>17051</v>
      </c>
      <c r="I2558" t="s">
        <v>203</v>
      </c>
      <c r="J2558" t="s">
        <v>111</v>
      </c>
      <c r="K2558" t="str">
        <f>"85233"</f>
        <v>85233</v>
      </c>
      <c r="L2558" t="s">
        <v>6595</v>
      </c>
      <c r="M2558" t="s">
        <v>17051</v>
      </c>
      <c r="N2558" t="s">
        <v>203</v>
      </c>
      <c r="O2558" t="s">
        <v>111</v>
      </c>
      <c r="P2558" t="str">
        <f>"85233-7252"</f>
        <v>85233-7252</v>
      </c>
      <c r="Q2558" t="s">
        <v>113</v>
      </c>
      <c r="R2558" t="str">
        <f>"302-32-817"</f>
        <v>302-32-817</v>
      </c>
      <c r="S2558" t="s">
        <v>17052</v>
      </c>
      <c r="T2558" t="s">
        <v>17053</v>
      </c>
      <c r="U2558">
        <v>2509</v>
      </c>
      <c r="V2558">
        <v>0</v>
      </c>
      <c r="W2558">
        <v>4</v>
      </c>
      <c r="X2558">
        <v>1993</v>
      </c>
      <c r="Z2558">
        <v>2</v>
      </c>
      <c r="AA2558" t="s">
        <v>26</v>
      </c>
      <c r="AB2558">
        <v>0</v>
      </c>
      <c r="AC2558" t="s">
        <v>115</v>
      </c>
      <c r="AD2558">
        <v>2</v>
      </c>
      <c r="AE2558" t="s">
        <v>115</v>
      </c>
      <c r="AF2558">
        <v>0</v>
      </c>
      <c r="AG2558">
        <v>0</v>
      </c>
      <c r="AH2558" t="s">
        <v>116</v>
      </c>
      <c r="AI2558" s="1">
        <v>135366</v>
      </c>
      <c r="AJ2558" s="2">
        <v>0.34</v>
      </c>
      <c r="AK2558" s="1">
        <v>400853</v>
      </c>
      <c r="AL2558" t="s">
        <v>117</v>
      </c>
      <c r="AM2558" t="s">
        <v>191</v>
      </c>
      <c r="AN2558">
        <v>10555</v>
      </c>
      <c r="AO2558">
        <v>0.24</v>
      </c>
      <c r="AP2558">
        <v>1</v>
      </c>
      <c r="AR2558">
        <v>1</v>
      </c>
      <c r="AS2558" s="1">
        <v>28570</v>
      </c>
      <c r="AT2558" s="1">
        <v>5710</v>
      </c>
      <c r="AU2558" s="1">
        <v>22860</v>
      </c>
      <c r="AV2558">
        <v>80.010000000000005</v>
      </c>
      <c r="AX2558" s="1">
        <v>1910.62</v>
      </c>
      <c r="AY2558" t="s">
        <v>5601</v>
      </c>
      <c r="AZ2558" t="s">
        <v>5478</v>
      </c>
      <c r="BA2558" t="s">
        <v>5479</v>
      </c>
      <c r="BE2558" s="3">
        <v>42020</v>
      </c>
      <c r="BF2558" s="1">
        <v>255000</v>
      </c>
      <c r="BG2558" t="s">
        <v>17054</v>
      </c>
      <c r="BH2558" s="1">
        <v>111.94</v>
      </c>
      <c r="BI2558" s="1">
        <v>265487</v>
      </c>
      <c r="BJ2558" s="3">
        <v>42646</v>
      </c>
      <c r="BK2558" t="s">
        <v>123</v>
      </c>
      <c r="BL2558" t="str">
        <f>"2016.720318"</f>
        <v>2016.720318</v>
      </c>
      <c r="BM2558" t="s">
        <v>6385</v>
      </c>
      <c r="BO2558" t="s">
        <v>17055</v>
      </c>
      <c r="BS2558">
        <v>30</v>
      </c>
      <c r="BW2558" t="str">
        <f>""</f>
        <v/>
      </c>
      <c r="CH2558" t="str">
        <f>""</f>
        <v/>
      </c>
      <c r="CS2558" t="str">
        <f>""</f>
        <v/>
      </c>
    </row>
    <row r="2559" spans="1:97" x14ac:dyDescent="0.25">
      <c r="B2559" t="s">
        <v>17056</v>
      </c>
      <c r="E2559" t="s">
        <v>17057</v>
      </c>
      <c r="F2559" t="s">
        <v>108</v>
      </c>
      <c r="H2559" t="s">
        <v>17058</v>
      </c>
      <c r="I2559" t="s">
        <v>453</v>
      </c>
      <c r="J2559" t="s">
        <v>111</v>
      </c>
      <c r="K2559" t="str">
        <f>"85382"</f>
        <v>85382</v>
      </c>
      <c r="L2559" t="s">
        <v>3758</v>
      </c>
      <c r="M2559" t="s">
        <v>17058</v>
      </c>
      <c r="N2559" t="s">
        <v>453</v>
      </c>
      <c r="O2559" t="s">
        <v>111</v>
      </c>
      <c r="P2559" t="str">
        <f>"85382-3514"</f>
        <v>85382-3514</v>
      </c>
      <c r="Q2559" t="s">
        <v>113</v>
      </c>
      <c r="R2559" t="str">
        <f>"200-54-550"</f>
        <v>200-54-550</v>
      </c>
      <c r="S2559" t="s">
        <v>9951</v>
      </c>
      <c r="T2559" t="s">
        <v>9951</v>
      </c>
      <c r="U2559">
        <v>1819</v>
      </c>
      <c r="V2559">
        <v>0</v>
      </c>
      <c r="W2559">
        <v>3</v>
      </c>
      <c r="X2559">
        <v>1995</v>
      </c>
      <c r="Z2559">
        <v>1</v>
      </c>
      <c r="AB2559">
        <v>0</v>
      </c>
      <c r="AC2559" t="s">
        <v>115</v>
      </c>
      <c r="AD2559">
        <v>2</v>
      </c>
      <c r="AE2559" t="s">
        <v>115</v>
      </c>
      <c r="AF2559">
        <v>0</v>
      </c>
      <c r="AG2559">
        <v>0</v>
      </c>
      <c r="AH2559" t="s">
        <v>116</v>
      </c>
      <c r="AI2559" s="1">
        <v>54737</v>
      </c>
      <c r="AJ2559" s="2">
        <v>0.19</v>
      </c>
      <c r="AK2559" s="1">
        <v>280937</v>
      </c>
      <c r="AL2559" t="s">
        <v>117</v>
      </c>
      <c r="AM2559" t="s">
        <v>191</v>
      </c>
      <c r="AN2559">
        <v>6600</v>
      </c>
      <c r="AO2559">
        <v>0.15</v>
      </c>
      <c r="AP2559">
        <v>1</v>
      </c>
      <c r="AR2559">
        <v>1</v>
      </c>
      <c r="AS2559" s="1">
        <v>19580</v>
      </c>
      <c r="AT2559" s="1">
        <v>3910</v>
      </c>
      <c r="AU2559" s="1">
        <v>15670</v>
      </c>
      <c r="AV2559">
        <v>80.03</v>
      </c>
      <c r="AX2559" s="1">
        <v>1525.94</v>
      </c>
      <c r="AY2559" t="s">
        <v>5573</v>
      </c>
      <c r="AZ2559" t="s">
        <v>5573</v>
      </c>
      <c r="BA2559" t="s">
        <v>1800</v>
      </c>
      <c r="BB2559" s="3">
        <v>42060</v>
      </c>
      <c r="BD2559" t="s">
        <v>240</v>
      </c>
      <c r="BE2559" s="3">
        <v>42060</v>
      </c>
      <c r="BF2559" s="1">
        <v>219000</v>
      </c>
      <c r="BG2559" t="s">
        <v>17059</v>
      </c>
      <c r="BH2559" s="1">
        <v>120.4</v>
      </c>
      <c r="BI2559" s="1">
        <v>226200</v>
      </c>
      <c r="BJ2559" s="3">
        <v>42060</v>
      </c>
      <c r="BK2559" t="s">
        <v>123</v>
      </c>
      <c r="BL2559" t="str">
        <f>"2015.122819"</f>
        <v>2015.122819</v>
      </c>
      <c r="BM2559" t="s">
        <v>124</v>
      </c>
      <c r="BO2559" t="s">
        <v>17060</v>
      </c>
      <c r="BS2559">
        <v>30</v>
      </c>
      <c r="BW2559" t="str">
        <f>""</f>
        <v/>
      </c>
      <c r="CH2559" t="str">
        <f>""</f>
        <v/>
      </c>
      <c r="CS2559" t="str">
        <f>""</f>
        <v/>
      </c>
    </row>
    <row r="2560" spans="1:97" x14ac:dyDescent="0.25">
      <c r="A2560" t="s">
        <v>177</v>
      </c>
      <c r="B2560" t="s">
        <v>328</v>
      </c>
      <c r="C2560" t="s">
        <v>817</v>
      </c>
      <c r="D2560" t="s">
        <v>328</v>
      </c>
      <c r="E2560" t="s">
        <v>17061</v>
      </c>
      <c r="F2560" t="s">
        <v>108</v>
      </c>
      <c r="H2560" t="s">
        <v>17062</v>
      </c>
      <c r="I2560" t="s">
        <v>203</v>
      </c>
      <c r="J2560" t="s">
        <v>111</v>
      </c>
      <c r="K2560" t="str">
        <f>"85296"</f>
        <v>85296</v>
      </c>
      <c r="L2560" t="s">
        <v>3326</v>
      </c>
      <c r="M2560" t="s">
        <v>17062</v>
      </c>
      <c r="N2560" t="s">
        <v>203</v>
      </c>
      <c r="O2560" t="s">
        <v>111</v>
      </c>
      <c r="P2560" t="str">
        <f>"85296-3127"</f>
        <v>85296-3127</v>
      </c>
      <c r="Q2560" t="s">
        <v>113</v>
      </c>
      <c r="R2560" t="str">
        <f>"304-22-671"</f>
        <v>304-22-671</v>
      </c>
      <c r="S2560" t="s">
        <v>17063</v>
      </c>
      <c r="T2560" t="s">
        <v>17063</v>
      </c>
      <c r="U2560">
        <v>3415</v>
      </c>
      <c r="V2560">
        <v>0</v>
      </c>
      <c r="W2560">
        <v>4</v>
      </c>
      <c r="X2560">
        <v>1996</v>
      </c>
      <c r="Z2560">
        <v>2</v>
      </c>
      <c r="AA2560" t="s">
        <v>26</v>
      </c>
      <c r="AB2560">
        <v>0</v>
      </c>
      <c r="AC2560" t="s">
        <v>115</v>
      </c>
      <c r="AD2560">
        <v>3</v>
      </c>
      <c r="AE2560" t="s">
        <v>115</v>
      </c>
      <c r="AF2560">
        <v>0</v>
      </c>
      <c r="AG2560">
        <v>0</v>
      </c>
      <c r="AH2560" t="s">
        <v>116</v>
      </c>
      <c r="AI2560" s="1">
        <v>102206</v>
      </c>
      <c r="AJ2560" s="2">
        <v>0.19</v>
      </c>
      <c r="AK2560" s="1">
        <v>541012</v>
      </c>
      <c r="AL2560" t="s">
        <v>117</v>
      </c>
      <c r="AM2560" t="s">
        <v>171</v>
      </c>
      <c r="AN2560">
        <v>15856</v>
      </c>
      <c r="AO2560">
        <v>0.36</v>
      </c>
      <c r="AP2560">
        <v>1</v>
      </c>
      <c r="AR2560">
        <v>1</v>
      </c>
      <c r="AS2560" s="1">
        <v>39710</v>
      </c>
      <c r="AT2560" s="1">
        <v>7940</v>
      </c>
      <c r="AU2560" s="1">
        <v>31770</v>
      </c>
      <c r="AV2560">
        <v>80.010000000000005</v>
      </c>
      <c r="AX2560" s="1">
        <v>3053.64</v>
      </c>
      <c r="AY2560" t="s">
        <v>7837</v>
      </c>
      <c r="AZ2560" t="s">
        <v>520</v>
      </c>
      <c r="BA2560" t="s">
        <v>5033</v>
      </c>
      <c r="BE2560" s="3">
        <v>42354</v>
      </c>
      <c r="BF2560" s="1">
        <v>459900</v>
      </c>
      <c r="BG2560" t="s">
        <v>17064</v>
      </c>
      <c r="BH2560" s="1">
        <v>134.66999999999999</v>
      </c>
      <c r="BI2560" s="1">
        <v>438806</v>
      </c>
      <c r="BJ2560" s="3">
        <v>42674</v>
      </c>
      <c r="BK2560" t="s">
        <v>123</v>
      </c>
      <c r="BL2560" t="str">
        <f>"2016.797035"</f>
        <v>2016.797035</v>
      </c>
      <c r="BM2560" t="s">
        <v>402</v>
      </c>
      <c r="BO2560" t="s">
        <v>17065</v>
      </c>
      <c r="BS2560">
        <v>30</v>
      </c>
      <c r="BW2560" t="str">
        <f>""</f>
        <v/>
      </c>
      <c r="CH2560" t="str">
        <f>""</f>
        <v/>
      </c>
      <c r="CS2560" t="str">
        <f>""</f>
        <v/>
      </c>
    </row>
    <row r="2561" spans="1:97" x14ac:dyDescent="0.25">
      <c r="A2561" t="s">
        <v>17066</v>
      </c>
      <c r="B2561" t="s">
        <v>17067</v>
      </c>
      <c r="C2561" t="s">
        <v>5560</v>
      </c>
      <c r="D2561" t="s">
        <v>17067</v>
      </c>
      <c r="E2561" t="s">
        <v>17068</v>
      </c>
      <c r="F2561" t="s">
        <v>108</v>
      </c>
      <c r="H2561" t="s">
        <v>17069</v>
      </c>
      <c r="I2561" t="s">
        <v>1788</v>
      </c>
      <c r="J2561" t="s">
        <v>111</v>
      </c>
      <c r="K2561" t="str">
        <f>"85355"</f>
        <v>85355</v>
      </c>
      <c r="L2561" t="s">
        <v>2197</v>
      </c>
      <c r="M2561" t="s">
        <v>17069</v>
      </c>
      <c r="N2561" t="s">
        <v>1788</v>
      </c>
      <c r="O2561" t="s">
        <v>111</v>
      </c>
      <c r="P2561" t="str">
        <f>"85355-4259"</f>
        <v>85355-4259</v>
      </c>
      <c r="R2561" t="str">
        <f>"502-91-755"</f>
        <v>502-91-755</v>
      </c>
      <c r="S2561" t="s">
        <v>8290</v>
      </c>
      <c r="T2561" t="s">
        <v>17070</v>
      </c>
      <c r="U2561">
        <v>4862</v>
      </c>
      <c r="V2561">
        <v>0</v>
      </c>
      <c r="W2561">
        <v>4</v>
      </c>
      <c r="X2561">
        <v>2006</v>
      </c>
      <c r="Z2561">
        <v>2</v>
      </c>
      <c r="AB2561">
        <v>0</v>
      </c>
      <c r="AC2561" t="s">
        <v>115</v>
      </c>
      <c r="AD2561">
        <v>4</v>
      </c>
      <c r="AE2561" t="s">
        <v>115</v>
      </c>
      <c r="AF2561">
        <v>0</v>
      </c>
      <c r="AG2561">
        <v>0</v>
      </c>
      <c r="AH2561" t="s">
        <v>116</v>
      </c>
      <c r="AI2561" s="1">
        <v>-350645</v>
      </c>
      <c r="AJ2561" s="2">
        <v>-0.63</v>
      </c>
      <c r="AK2561" s="1">
        <v>554529</v>
      </c>
      <c r="AL2561" t="s">
        <v>117</v>
      </c>
      <c r="AM2561" t="s">
        <v>376</v>
      </c>
      <c r="AN2561">
        <v>61331</v>
      </c>
      <c r="AO2561">
        <v>1.41</v>
      </c>
      <c r="AR2561">
        <v>1</v>
      </c>
      <c r="AS2561" s="1">
        <v>40120</v>
      </c>
      <c r="AT2561" s="1">
        <v>8020</v>
      </c>
      <c r="AU2561" s="1">
        <v>32100</v>
      </c>
      <c r="AV2561">
        <v>80.010000000000005</v>
      </c>
      <c r="AX2561" s="1">
        <v>3337.48</v>
      </c>
      <c r="AY2561" t="s">
        <v>5972</v>
      </c>
      <c r="AZ2561" t="s">
        <v>5972</v>
      </c>
      <c r="BA2561" t="s">
        <v>5061</v>
      </c>
      <c r="BE2561" s="3">
        <v>41733</v>
      </c>
      <c r="BF2561" s="1">
        <v>423000</v>
      </c>
      <c r="BG2561" t="s">
        <v>17071</v>
      </c>
      <c r="BH2561" s="1">
        <v>87</v>
      </c>
      <c r="BI2561" s="1">
        <v>452587</v>
      </c>
      <c r="BJ2561" s="3">
        <v>43641</v>
      </c>
      <c r="BK2561" t="s">
        <v>123</v>
      </c>
      <c r="BL2561" t="str">
        <f>"2019.477753"</f>
        <v>2019.477753</v>
      </c>
      <c r="BM2561" t="s">
        <v>7852</v>
      </c>
      <c r="BN2561" t="s">
        <v>7853</v>
      </c>
      <c r="BO2561" t="s">
        <v>17072</v>
      </c>
      <c r="BP2561" t="s">
        <v>17073</v>
      </c>
      <c r="BR2561" t="s">
        <v>139</v>
      </c>
      <c r="BT2561" s="1">
        <v>452587</v>
      </c>
      <c r="BU2561" s="3">
        <v>43698</v>
      </c>
      <c r="BV2561" t="s">
        <v>123</v>
      </c>
      <c r="BW2561" t="str">
        <f>"2019.647704"</f>
        <v>2019.647704</v>
      </c>
      <c r="BX2561" t="s">
        <v>7852</v>
      </c>
      <c r="BY2561" t="s">
        <v>7853</v>
      </c>
      <c r="BZ2561" t="s">
        <v>17072</v>
      </c>
      <c r="CA2561" t="s">
        <v>17073</v>
      </c>
      <c r="CC2561" t="s">
        <v>139</v>
      </c>
      <c r="CH2561" t="str">
        <f>""</f>
        <v/>
      </c>
      <c r="CS2561" t="str">
        <f>""</f>
        <v/>
      </c>
    </row>
    <row r="2562" spans="1:97" x14ac:dyDescent="0.25">
      <c r="A2562" t="s">
        <v>2729</v>
      </c>
      <c r="B2562" t="s">
        <v>10868</v>
      </c>
      <c r="C2562" t="s">
        <v>524</v>
      </c>
      <c r="D2562" t="s">
        <v>10868</v>
      </c>
      <c r="E2562" t="s">
        <v>17074</v>
      </c>
      <c r="F2562" t="s">
        <v>108</v>
      </c>
      <c r="H2562" t="s">
        <v>17075</v>
      </c>
      <c r="I2562" t="s">
        <v>203</v>
      </c>
      <c r="J2562" t="s">
        <v>111</v>
      </c>
      <c r="K2562" t="str">
        <f>"85233"</f>
        <v>85233</v>
      </c>
      <c r="L2562" t="s">
        <v>1070</v>
      </c>
      <c r="M2562" t="s">
        <v>17075</v>
      </c>
      <c r="N2562" t="s">
        <v>203</v>
      </c>
      <c r="O2562" t="s">
        <v>111</v>
      </c>
      <c r="P2562" t="str">
        <f>"85233-8805"</f>
        <v>85233-8805</v>
      </c>
      <c r="Q2562" t="s">
        <v>113</v>
      </c>
      <c r="R2562" t="str">
        <f>"302-83-701"</f>
        <v>302-83-701</v>
      </c>
      <c r="S2562" t="s">
        <v>13203</v>
      </c>
      <c r="T2562" t="s">
        <v>13203</v>
      </c>
      <c r="U2562">
        <v>2010</v>
      </c>
      <c r="V2562">
        <v>0</v>
      </c>
      <c r="W2562">
        <v>3</v>
      </c>
      <c r="X2562">
        <v>1996</v>
      </c>
      <c r="Z2562">
        <v>1</v>
      </c>
      <c r="AB2562">
        <v>0</v>
      </c>
      <c r="AC2562" t="s">
        <v>115</v>
      </c>
      <c r="AD2562">
        <v>3</v>
      </c>
      <c r="AE2562" t="s">
        <v>115</v>
      </c>
      <c r="AF2562">
        <v>0</v>
      </c>
      <c r="AG2562">
        <v>0</v>
      </c>
      <c r="AH2562" t="s">
        <v>116</v>
      </c>
      <c r="AI2562" s="1">
        <v>80044</v>
      </c>
      <c r="AJ2562" s="2">
        <v>0.22</v>
      </c>
      <c r="AK2562" s="1">
        <v>364119</v>
      </c>
      <c r="AL2562" t="s">
        <v>117</v>
      </c>
      <c r="AM2562" t="s">
        <v>393</v>
      </c>
      <c r="AN2562">
        <v>8002</v>
      </c>
      <c r="AO2562">
        <v>0.18</v>
      </c>
      <c r="AP2562">
        <v>1</v>
      </c>
      <c r="AR2562">
        <v>1</v>
      </c>
      <c r="AS2562" s="1">
        <v>25600</v>
      </c>
      <c r="AT2562" s="1">
        <v>5120</v>
      </c>
      <c r="AU2562" s="1">
        <v>20480</v>
      </c>
      <c r="AV2562">
        <v>80</v>
      </c>
      <c r="AX2562" s="1">
        <v>1896.36</v>
      </c>
      <c r="AY2562" t="s">
        <v>2905</v>
      </c>
      <c r="AZ2562" t="s">
        <v>2906</v>
      </c>
      <c r="BA2562" t="s">
        <v>303</v>
      </c>
      <c r="BE2562" s="3">
        <v>42538</v>
      </c>
      <c r="BF2562" s="1">
        <v>275000</v>
      </c>
      <c r="BG2562" t="s">
        <v>17076</v>
      </c>
      <c r="BH2562" s="1">
        <v>136.82</v>
      </c>
      <c r="BI2562" s="1">
        <v>284075</v>
      </c>
      <c r="BJ2562" s="3">
        <v>42538</v>
      </c>
      <c r="BK2562" t="s">
        <v>123</v>
      </c>
      <c r="BL2562" t="str">
        <f>"2016.425160"</f>
        <v>2016.425160</v>
      </c>
      <c r="BM2562" t="s">
        <v>2885</v>
      </c>
      <c r="BO2562" t="s">
        <v>17077</v>
      </c>
      <c r="BS2562">
        <v>30</v>
      </c>
      <c r="BW2562" t="str">
        <f>""</f>
        <v/>
      </c>
      <c r="CH2562" t="str">
        <f>""</f>
        <v/>
      </c>
      <c r="CS2562" t="str">
        <f>""</f>
        <v/>
      </c>
    </row>
    <row r="2563" spans="1:97" x14ac:dyDescent="0.25">
      <c r="A2563" t="s">
        <v>5373</v>
      </c>
      <c r="B2563" t="s">
        <v>17078</v>
      </c>
      <c r="C2563" t="s">
        <v>852</v>
      </c>
      <c r="D2563" t="s">
        <v>17078</v>
      </c>
      <c r="E2563" t="s">
        <v>17079</v>
      </c>
      <c r="F2563" t="s">
        <v>108</v>
      </c>
      <c r="H2563" t="s">
        <v>17080</v>
      </c>
      <c r="I2563" t="s">
        <v>225</v>
      </c>
      <c r="J2563" t="s">
        <v>111</v>
      </c>
      <c r="K2563" t="str">
        <f>"85213"</f>
        <v>85213</v>
      </c>
      <c r="L2563" t="s">
        <v>5893</v>
      </c>
      <c r="M2563" t="s">
        <v>17080</v>
      </c>
      <c r="N2563" t="s">
        <v>225</v>
      </c>
      <c r="O2563" t="s">
        <v>111</v>
      </c>
      <c r="P2563" t="str">
        <f>"85213-2364"</f>
        <v>85213-2364</v>
      </c>
      <c r="Q2563" t="s">
        <v>113</v>
      </c>
      <c r="R2563" t="str">
        <f>"141-08-131"</f>
        <v>141-08-131</v>
      </c>
      <c r="S2563" t="s">
        <v>17081</v>
      </c>
      <c r="T2563" t="s">
        <v>17082</v>
      </c>
      <c r="U2563">
        <v>2171</v>
      </c>
      <c r="V2563">
        <v>0</v>
      </c>
      <c r="W2563">
        <v>3</v>
      </c>
      <c r="X2563">
        <v>1985</v>
      </c>
      <c r="Z2563">
        <v>1</v>
      </c>
      <c r="AA2563" t="s">
        <v>26</v>
      </c>
      <c r="AB2563">
        <v>0</v>
      </c>
      <c r="AC2563" t="s">
        <v>115</v>
      </c>
      <c r="AD2563">
        <v>2</v>
      </c>
      <c r="AE2563" t="s">
        <v>115</v>
      </c>
      <c r="AF2563">
        <v>0</v>
      </c>
      <c r="AG2563">
        <v>0</v>
      </c>
      <c r="AH2563" t="s">
        <v>116</v>
      </c>
      <c r="AI2563" s="1">
        <v>89126</v>
      </c>
      <c r="AJ2563" s="2">
        <v>0.24</v>
      </c>
      <c r="AK2563" s="1">
        <v>363931</v>
      </c>
      <c r="AL2563" t="s">
        <v>117</v>
      </c>
      <c r="AM2563" t="s">
        <v>917</v>
      </c>
      <c r="AN2563">
        <v>9017</v>
      </c>
      <c r="AO2563">
        <v>0.21</v>
      </c>
      <c r="AP2563">
        <v>1</v>
      </c>
      <c r="AR2563">
        <v>1</v>
      </c>
      <c r="AS2563" s="1">
        <v>25960</v>
      </c>
      <c r="AT2563" s="1">
        <v>5190</v>
      </c>
      <c r="AU2563" s="1">
        <v>20770</v>
      </c>
      <c r="AV2563">
        <v>80.010000000000005</v>
      </c>
      <c r="AX2563" s="1">
        <v>2167.7399999999998</v>
      </c>
      <c r="AY2563" t="s">
        <v>11944</v>
      </c>
      <c r="AZ2563" t="s">
        <v>4163</v>
      </c>
      <c r="BA2563" t="s">
        <v>1524</v>
      </c>
      <c r="BE2563" s="3">
        <v>42062</v>
      </c>
      <c r="BF2563" s="1">
        <v>270000</v>
      </c>
      <c r="BG2563" t="s">
        <v>17083</v>
      </c>
      <c r="BH2563" s="1">
        <v>124.37</v>
      </c>
      <c r="BI2563" s="1">
        <v>274805</v>
      </c>
      <c r="BJ2563" s="3">
        <v>42062</v>
      </c>
      <c r="BK2563" t="s">
        <v>123</v>
      </c>
      <c r="BL2563" t="str">
        <f>"2015.131282"</f>
        <v>2015.131282</v>
      </c>
      <c r="BM2563" t="s">
        <v>1287</v>
      </c>
      <c r="BO2563" t="s">
        <v>17084</v>
      </c>
      <c r="BS2563">
        <v>30</v>
      </c>
      <c r="BW2563" t="str">
        <f>""</f>
        <v/>
      </c>
      <c r="CH2563" t="str">
        <f>""</f>
        <v/>
      </c>
      <c r="CS2563" t="str">
        <f>""</f>
        <v/>
      </c>
    </row>
    <row r="2564" spans="1:97" x14ac:dyDescent="0.25">
      <c r="A2564" t="s">
        <v>4137</v>
      </c>
      <c r="B2564" t="s">
        <v>3265</v>
      </c>
      <c r="C2564" t="s">
        <v>414</v>
      </c>
      <c r="D2564" t="s">
        <v>3265</v>
      </c>
      <c r="E2564" t="s">
        <v>17085</v>
      </c>
      <c r="F2564" t="s">
        <v>108</v>
      </c>
      <c r="H2564" t="s">
        <v>17086</v>
      </c>
      <c r="I2564" t="s">
        <v>225</v>
      </c>
      <c r="J2564" t="s">
        <v>111</v>
      </c>
      <c r="K2564" t="str">
        <f>"85213"</f>
        <v>85213</v>
      </c>
      <c r="L2564" t="s">
        <v>11941</v>
      </c>
      <c r="M2564" t="s">
        <v>17086</v>
      </c>
      <c r="N2564" t="s">
        <v>225</v>
      </c>
      <c r="O2564" t="s">
        <v>111</v>
      </c>
      <c r="P2564" t="str">
        <f>"85213-1715"</f>
        <v>85213-1715</v>
      </c>
      <c r="Q2564" t="s">
        <v>113</v>
      </c>
      <c r="R2564" t="str">
        <f>"141-15-080-B"</f>
        <v>141-15-080-B</v>
      </c>
      <c r="U2564">
        <v>2346</v>
      </c>
      <c r="V2564">
        <v>0</v>
      </c>
      <c r="W2564">
        <v>3</v>
      </c>
      <c r="X2564">
        <v>1969</v>
      </c>
      <c r="Z2564">
        <v>1</v>
      </c>
      <c r="AA2564" t="s">
        <v>26</v>
      </c>
      <c r="AB2564">
        <v>0</v>
      </c>
      <c r="AC2564" t="s">
        <v>115</v>
      </c>
      <c r="AD2564">
        <v>4</v>
      </c>
      <c r="AE2564" t="s">
        <v>115</v>
      </c>
      <c r="AF2564">
        <v>0</v>
      </c>
      <c r="AG2564">
        <v>0</v>
      </c>
      <c r="AH2564" t="s">
        <v>116</v>
      </c>
      <c r="AI2564" s="1">
        <v>134466</v>
      </c>
      <c r="AJ2564" s="2">
        <v>0.28000000000000003</v>
      </c>
      <c r="AK2564" s="1">
        <v>484466</v>
      </c>
      <c r="AL2564" t="s">
        <v>117</v>
      </c>
      <c r="AM2564" t="s">
        <v>3973</v>
      </c>
      <c r="AN2564">
        <v>39726</v>
      </c>
      <c r="AO2564">
        <v>0.91</v>
      </c>
      <c r="AP2564">
        <v>1</v>
      </c>
      <c r="AR2564">
        <v>1</v>
      </c>
      <c r="AS2564" s="1">
        <v>35720</v>
      </c>
      <c r="AT2564" s="1">
        <v>7140</v>
      </c>
      <c r="AU2564" s="1">
        <v>28580</v>
      </c>
      <c r="AV2564">
        <v>80.010000000000005</v>
      </c>
      <c r="AX2564" s="1">
        <v>3094.92</v>
      </c>
      <c r="AY2564" t="s">
        <v>4162</v>
      </c>
      <c r="AZ2564" t="s">
        <v>4163</v>
      </c>
      <c r="BA2564" t="s">
        <v>1524</v>
      </c>
      <c r="BE2564" s="3">
        <v>42123</v>
      </c>
      <c r="BF2564" s="1">
        <v>400000</v>
      </c>
      <c r="BG2564" t="s">
        <v>17087</v>
      </c>
      <c r="BH2564" s="1">
        <v>170.5</v>
      </c>
      <c r="BI2564" s="1">
        <v>350000</v>
      </c>
      <c r="BJ2564" s="3">
        <v>42123</v>
      </c>
      <c r="BK2564" t="s">
        <v>123</v>
      </c>
      <c r="BL2564" t="str">
        <f>"2015.299451"</f>
        <v>2015.299451</v>
      </c>
      <c r="BM2564" t="s">
        <v>361</v>
      </c>
      <c r="BO2564" t="s">
        <v>17088</v>
      </c>
      <c r="BS2564">
        <v>30</v>
      </c>
      <c r="BW2564" t="str">
        <f>""</f>
        <v/>
      </c>
      <c r="CH2564" t="str">
        <f>""</f>
        <v/>
      </c>
      <c r="CS2564" t="str">
        <f>""</f>
        <v/>
      </c>
    </row>
    <row r="2565" spans="1:97" x14ac:dyDescent="0.25">
      <c r="A2565" t="s">
        <v>1344</v>
      </c>
      <c r="B2565" t="s">
        <v>603</v>
      </c>
      <c r="C2565" t="s">
        <v>17089</v>
      </c>
      <c r="D2565" t="s">
        <v>603</v>
      </c>
      <c r="E2565" t="s">
        <v>17090</v>
      </c>
      <c r="F2565" t="s">
        <v>108</v>
      </c>
      <c r="H2565" t="s">
        <v>17091</v>
      </c>
      <c r="I2565" t="s">
        <v>1397</v>
      </c>
      <c r="J2565" t="s">
        <v>111</v>
      </c>
      <c r="K2565" t="str">
        <f>"85331"</f>
        <v>85331</v>
      </c>
      <c r="L2565" t="s">
        <v>10399</v>
      </c>
      <c r="M2565" t="s">
        <v>17091</v>
      </c>
      <c r="N2565" t="s">
        <v>1397</v>
      </c>
      <c r="O2565" t="s">
        <v>111</v>
      </c>
      <c r="P2565" t="str">
        <f>"85331-2910"</f>
        <v>85331-2910</v>
      </c>
      <c r="Q2565" t="s">
        <v>113</v>
      </c>
      <c r="R2565" t="str">
        <f>"211-63-295"</f>
        <v>211-63-295</v>
      </c>
      <c r="S2565" t="s">
        <v>17092</v>
      </c>
      <c r="U2565">
        <v>3391</v>
      </c>
      <c r="V2565">
        <v>0</v>
      </c>
      <c r="W2565">
        <v>4</v>
      </c>
      <c r="X2565">
        <v>1996</v>
      </c>
      <c r="Z2565">
        <v>2</v>
      </c>
      <c r="AA2565" t="s">
        <v>26</v>
      </c>
      <c r="AB2565">
        <v>0</v>
      </c>
      <c r="AC2565" t="s">
        <v>115</v>
      </c>
      <c r="AD2565">
        <v>3</v>
      </c>
      <c r="AE2565" t="s">
        <v>115</v>
      </c>
      <c r="AF2565">
        <v>0</v>
      </c>
      <c r="AG2565">
        <v>0</v>
      </c>
      <c r="AH2565" t="s">
        <v>116</v>
      </c>
      <c r="AI2565" s="1">
        <v>130010</v>
      </c>
      <c r="AJ2565" s="2">
        <v>0.22</v>
      </c>
      <c r="AK2565" s="1">
        <v>587510</v>
      </c>
      <c r="AL2565" t="s">
        <v>117</v>
      </c>
      <c r="AM2565" t="s">
        <v>1302</v>
      </c>
      <c r="AN2565">
        <v>12012</v>
      </c>
      <c r="AO2565">
        <v>0.28000000000000003</v>
      </c>
      <c r="AP2565">
        <v>1</v>
      </c>
      <c r="AR2565">
        <v>1</v>
      </c>
      <c r="AS2565" s="1">
        <v>41700</v>
      </c>
      <c r="AT2565" s="1">
        <v>8340</v>
      </c>
      <c r="AU2565" s="1">
        <v>33360</v>
      </c>
      <c r="AV2565">
        <v>80</v>
      </c>
      <c r="AX2565" s="1">
        <v>2764.78</v>
      </c>
      <c r="AY2565" t="s">
        <v>1401</v>
      </c>
      <c r="AZ2565" t="s">
        <v>1402</v>
      </c>
      <c r="BA2565" t="s">
        <v>1403</v>
      </c>
      <c r="BE2565" s="3">
        <v>42132</v>
      </c>
      <c r="BF2565" s="1">
        <v>471000</v>
      </c>
      <c r="BG2565" t="s">
        <v>17093</v>
      </c>
      <c r="BH2565" s="1">
        <v>138.9</v>
      </c>
      <c r="BI2565" s="1">
        <v>457500</v>
      </c>
      <c r="BJ2565" s="3">
        <v>42132</v>
      </c>
      <c r="BK2565" t="s">
        <v>123</v>
      </c>
      <c r="BL2565" t="str">
        <f>"2015.324447"</f>
        <v>2015.324447</v>
      </c>
      <c r="BM2565" t="s">
        <v>15763</v>
      </c>
      <c r="BO2565" t="s">
        <v>17094</v>
      </c>
      <c r="BS2565">
        <v>30</v>
      </c>
      <c r="BW2565" t="str">
        <f>""</f>
        <v/>
      </c>
      <c r="CH2565" t="str">
        <f>""</f>
        <v/>
      </c>
      <c r="CS2565" t="str">
        <f>""</f>
        <v/>
      </c>
    </row>
    <row r="2566" spans="1:97" x14ac:dyDescent="0.25">
      <c r="A2566" t="s">
        <v>1034</v>
      </c>
      <c r="B2566" t="s">
        <v>212</v>
      </c>
      <c r="C2566" t="s">
        <v>1850</v>
      </c>
      <c r="D2566" t="s">
        <v>212</v>
      </c>
      <c r="E2566" t="s">
        <v>17095</v>
      </c>
      <c r="F2566" t="s">
        <v>108</v>
      </c>
      <c r="H2566" t="s">
        <v>17096</v>
      </c>
      <c r="I2566" t="s">
        <v>3150</v>
      </c>
      <c r="J2566" t="s">
        <v>111</v>
      </c>
      <c r="K2566" t="str">
        <f>"85340"</f>
        <v>85340</v>
      </c>
      <c r="L2566" t="s">
        <v>3151</v>
      </c>
      <c r="M2566" t="s">
        <v>17096</v>
      </c>
      <c r="N2566" t="s">
        <v>3150</v>
      </c>
      <c r="O2566" t="s">
        <v>111</v>
      </c>
      <c r="P2566" t="str">
        <f>"85340-8545"</f>
        <v>85340-8545</v>
      </c>
      <c r="Q2566" t="s">
        <v>113</v>
      </c>
      <c r="R2566" t="str">
        <f>"502-64-121"</f>
        <v>502-64-121</v>
      </c>
      <c r="S2566" t="s">
        <v>13135</v>
      </c>
      <c r="T2566" t="s">
        <v>13136</v>
      </c>
      <c r="U2566">
        <v>3067</v>
      </c>
      <c r="V2566">
        <v>0</v>
      </c>
      <c r="W2566">
        <v>4</v>
      </c>
      <c r="X2566">
        <v>2005</v>
      </c>
      <c r="Z2566">
        <v>1</v>
      </c>
      <c r="AA2566" t="s">
        <v>26</v>
      </c>
      <c r="AB2566">
        <v>0</v>
      </c>
      <c r="AC2566" t="s">
        <v>115</v>
      </c>
      <c r="AD2566">
        <v>6</v>
      </c>
      <c r="AE2566" t="s">
        <v>115</v>
      </c>
      <c r="AF2566">
        <v>0</v>
      </c>
      <c r="AG2566">
        <v>0</v>
      </c>
      <c r="AH2566" t="s">
        <v>116</v>
      </c>
      <c r="AI2566" s="1">
        <v>42552</v>
      </c>
      <c r="AJ2566" s="2">
        <v>0.09</v>
      </c>
      <c r="AK2566" s="1">
        <v>491802</v>
      </c>
      <c r="AL2566" t="s">
        <v>117</v>
      </c>
      <c r="AM2566" t="s">
        <v>376</v>
      </c>
      <c r="AN2566">
        <v>43940</v>
      </c>
      <c r="AO2566">
        <v>1.01</v>
      </c>
      <c r="AR2566">
        <v>1</v>
      </c>
      <c r="AS2566" s="1">
        <v>37320</v>
      </c>
      <c r="AT2566" s="1">
        <v>7460</v>
      </c>
      <c r="AU2566" s="1">
        <v>29860</v>
      </c>
      <c r="AV2566">
        <v>80.010000000000005</v>
      </c>
      <c r="AX2566" s="1">
        <v>4701.4399999999996</v>
      </c>
      <c r="AY2566" t="s">
        <v>503</v>
      </c>
      <c r="AZ2566" t="s">
        <v>503</v>
      </c>
      <c r="BA2566" t="s">
        <v>218</v>
      </c>
      <c r="BE2566" s="3">
        <v>42353</v>
      </c>
      <c r="BF2566" s="1">
        <v>460000</v>
      </c>
      <c r="BG2566" t="s">
        <v>17097</v>
      </c>
      <c r="BH2566" s="1">
        <v>149.97999999999999</v>
      </c>
      <c r="BI2566" s="1">
        <v>449250</v>
      </c>
      <c r="BJ2566" s="3">
        <v>42353</v>
      </c>
      <c r="BK2566" t="s">
        <v>123</v>
      </c>
      <c r="BL2566" t="str">
        <f>"2015.884052"</f>
        <v>2015.884052</v>
      </c>
      <c r="BM2566" t="s">
        <v>724</v>
      </c>
      <c r="BO2566" t="s">
        <v>17098</v>
      </c>
      <c r="BS2566">
        <v>30</v>
      </c>
      <c r="BW2566" t="str">
        <f>""</f>
        <v/>
      </c>
      <c r="CH2566" t="str">
        <f>""</f>
        <v/>
      </c>
      <c r="CS2566" t="str">
        <f>""</f>
        <v/>
      </c>
    </row>
    <row r="2567" spans="1:97" x14ac:dyDescent="0.25">
      <c r="A2567" t="s">
        <v>996</v>
      </c>
      <c r="B2567" t="s">
        <v>11417</v>
      </c>
      <c r="C2567" t="s">
        <v>3091</v>
      </c>
      <c r="D2567" t="s">
        <v>11417</v>
      </c>
      <c r="E2567" t="s">
        <v>17099</v>
      </c>
      <c r="F2567" t="s">
        <v>108</v>
      </c>
      <c r="H2567" t="s">
        <v>17100</v>
      </c>
      <c r="I2567" t="s">
        <v>390</v>
      </c>
      <c r="J2567" t="s">
        <v>111</v>
      </c>
      <c r="K2567" t="str">
        <f>"85086"</f>
        <v>85086</v>
      </c>
      <c r="L2567" t="s">
        <v>5009</v>
      </c>
      <c r="M2567" t="s">
        <v>17100</v>
      </c>
      <c r="N2567" t="s">
        <v>390</v>
      </c>
      <c r="O2567" t="s">
        <v>111</v>
      </c>
      <c r="P2567" t="str">
        <f>"85086-6460"</f>
        <v>85086-6460</v>
      </c>
      <c r="Q2567" t="s">
        <v>113</v>
      </c>
      <c r="R2567" t="str">
        <f>"211-49-019-D"</f>
        <v>211-49-019-D</v>
      </c>
      <c r="S2567" t="s">
        <v>16772</v>
      </c>
      <c r="T2567" t="s">
        <v>16772</v>
      </c>
      <c r="U2567">
        <v>2363</v>
      </c>
      <c r="V2567">
        <v>0</v>
      </c>
      <c r="W2567">
        <v>4</v>
      </c>
      <c r="X2567">
        <v>2003</v>
      </c>
      <c r="Z2567">
        <v>1</v>
      </c>
      <c r="AA2567" t="s">
        <v>26</v>
      </c>
      <c r="AB2567">
        <v>0</v>
      </c>
      <c r="AC2567" t="s">
        <v>115</v>
      </c>
      <c r="AD2567">
        <v>3</v>
      </c>
      <c r="AE2567" t="s">
        <v>115</v>
      </c>
      <c r="AF2567">
        <v>0</v>
      </c>
      <c r="AG2567">
        <v>0</v>
      </c>
      <c r="AH2567" t="s">
        <v>116</v>
      </c>
      <c r="AI2567" s="1">
        <v>83609</v>
      </c>
      <c r="AJ2567" s="2">
        <v>0.17</v>
      </c>
      <c r="AK2567" s="1">
        <v>497909</v>
      </c>
      <c r="AL2567" t="s">
        <v>117</v>
      </c>
      <c r="AM2567" t="s">
        <v>376</v>
      </c>
      <c r="AN2567">
        <v>48913</v>
      </c>
      <c r="AO2567">
        <v>1.1200000000000001</v>
      </c>
      <c r="AP2567">
        <v>1</v>
      </c>
      <c r="AR2567">
        <v>1</v>
      </c>
      <c r="AS2567" s="1">
        <v>37150</v>
      </c>
      <c r="AT2567" s="1">
        <v>7430</v>
      </c>
      <c r="AU2567" s="1">
        <v>29720</v>
      </c>
      <c r="AV2567">
        <v>80</v>
      </c>
      <c r="AX2567" s="1">
        <v>3994.1</v>
      </c>
      <c r="AY2567" t="s">
        <v>1587</v>
      </c>
      <c r="AZ2567" t="s">
        <v>1587</v>
      </c>
      <c r="BA2567" t="s">
        <v>378</v>
      </c>
      <c r="BE2567" s="3">
        <v>41912</v>
      </c>
      <c r="BF2567" s="1">
        <v>415000</v>
      </c>
      <c r="BG2567" t="s">
        <v>17101</v>
      </c>
      <c r="BH2567" s="1">
        <v>175.62</v>
      </c>
      <c r="BI2567" s="1">
        <v>414300</v>
      </c>
      <c r="BJ2567" s="3">
        <v>42170</v>
      </c>
      <c r="BK2567" t="s">
        <v>123</v>
      </c>
      <c r="BL2567" t="str">
        <f>"2015.425325"</f>
        <v>2015.425325</v>
      </c>
      <c r="BM2567" t="s">
        <v>124</v>
      </c>
      <c r="BO2567" t="s">
        <v>17102</v>
      </c>
      <c r="BS2567">
        <v>30</v>
      </c>
      <c r="BW2567" t="str">
        <f>""</f>
        <v/>
      </c>
      <c r="CH2567" t="str">
        <f>""</f>
        <v/>
      </c>
      <c r="CS2567" t="str">
        <f>""</f>
        <v/>
      </c>
    </row>
    <row r="2568" spans="1:97" x14ac:dyDescent="0.25">
      <c r="A2568" t="s">
        <v>7306</v>
      </c>
      <c r="B2568" t="s">
        <v>17103</v>
      </c>
      <c r="C2568" t="s">
        <v>2761</v>
      </c>
      <c r="D2568" t="s">
        <v>17103</v>
      </c>
      <c r="E2568" t="s">
        <v>17104</v>
      </c>
      <c r="F2568" t="s">
        <v>108</v>
      </c>
      <c r="H2568" t="s">
        <v>17105</v>
      </c>
      <c r="I2568" t="s">
        <v>203</v>
      </c>
      <c r="J2568" t="s">
        <v>111</v>
      </c>
      <c r="K2568" t="str">
        <f>"85298"</f>
        <v>85298</v>
      </c>
      <c r="L2568" t="s">
        <v>558</v>
      </c>
      <c r="M2568" t="s">
        <v>17105</v>
      </c>
      <c r="N2568" t="s">
        <v>203</v>
      </c>
      <c r="O2568" t="s">
        <v>111</v>
      </c>
      <c r="P2568" t="str">
        <f>"85298-9248"</f>
        <v>85298-9248</v>
      </c>
      <c r="Q2568" t="s">
        <v>113</v>
      </c>
      <c r="R2568" t="str">
        <f>"304-78-033"</f>
        <v>304-78-033</v>
      </c>
      <c r="U2568">
        <v>3154</v>
      </c>
      <c r="V2568">
        <v>0</v>
      </c>
      <c r="W2568">
        <v>4</v>
      </c>
      <c r="X2568">
        <v>1997</v>
      </c>
      <c r="Z2568">
        <v>1</v>
      </c>
      <c r="AA2568" t="s">
        <v>26</v>
      </c>
      <c r="AB2568">
        <v>0</v>
      </c>
      <c r="AC2568" t="s">
        <v>115</v>
      </c>
      <c r="AD2568">
        <v>3</v>
      </c>
      <c r="AE2568" t="s">
        <v>115</v>
      </c>
      <c r="AF2568">
        <v>0</v>
      </c>
      <c r="AG2568">
        <v>0</v>
      </c>
      <c r="AH2568" t="s">
        <v>116</v>
      </c>
      <c r="AI2568" s="1">
        <v>147062</v>
      </c>
      <c r="AJ2568" s="2">
        <v>0.25</v>
      </c>
      <c r="AK2568" s="1">
        <v>593562</v>
      </c>
      <c r="AL2568" t="s">
        <v>117</v>
      </c>
      <c r="AM2568" t="s">
        <v>376</v>
      </c>
      <c r="AN2568">
        <v>52969</v>
      </c>
      <c r="AO2568">
        <v>1.22</v>
      </c>
      <c r="AP2568">
        <v>1</v>
      </c>
      <c r="AR2568">
        <v>1</v>
      </c>
      <c r="AS2568" s="1">
        <v>43110</v>
      </c>
      <c r="AT2568" s="1">
        <v>8620</v>
      </c>
      <c r="AU2568" s="1">
        <v>34490</v>
      </c>
      <c r="AV2568">
        <v>80</v>
      </c>
      <c r="AX2568" s="1">
        <v>3729.24</v>
      </c>
      <c r="AY2568" t="s">
        <v>5875</v>
      </c>
      <c r="AZ2568" t="s">
        <v>1134</v>
      </c>
      <c r="BA2568" t="s">
        <v>1134</v>
      </c>
      <c r="BE2568" s="3">
        <v>41723</v>
      </c>
      <c r="BF2568" s="1">
        <v>486000</v>
      </c>
      <c r="BG2568" t="s">
        <v>17106</v>
      </c>
      <c r="BH2568" s="1">
        <v>154.09</v>
      </c>
      <c r="BI2568" s="1">
        <v>446500</v>
      </c>
      <c r="BJ2568" s="3">
        <v>43056</v>
      </c>
      <c r="BK2568" t="s">
        <v>123</v>
      </c>
      <c r="BL2568" t="str">
        <f>"2017.855167"</f>
        <v>2017.855167</v>
      </c>
      <c r="BM2568" t="s">
        <v>1493</v>
      </c>
      <c r="BO2568" t="s">
        <v>17107</v>
      </c>
      <c r="BP2568" t="s">
        <v>17108</v>
      </c>
      <c r="BS2568">
        <v>30</v>
      </c>
      <c r="BW2568" t="str">
        <f>""</f>
        <v/>
      </c>
      <c r="CH2568" t="str">
        <f>""</f>
        <v/>
      </c>
      <c r="CS2568" t="str">
        <f>""</f>
        <v/>
      </c>
    </row>
    <row r="2569" spans="1:97" x14ac:dyDescent="0.25">
      <c r="A2569" t="s">
        <v>265</v>
      </c>
      <c r="B2569" t="s">
        <v>17109</v>
      </c>
      <c r="E2569" t="s">
        <v>17110</v>
      </c>
      <c r="F2569" t="s">
        <v>108</v>
      </c>
      <c r="H2569" t="s">
        <v>17111</v>
      </c>
      <c r="I2569" t="s">
        <v>374</v>
      </c>
      <c r="J2569" t="s">
        <v>111</v>
      </c>
      <c r="K2569" t="str">
        <f>"85087"</f>
        <v>85087</v>
      </c>
      <c r="L2569" t="s">
        <v>11846</v>
      </c>
      <c r="M2569" t="s">
        <v>17111</v>
      </c>
      <c r="N2569" t="s">
        <v>374</v>
      </c>
      <c r="O2569" t="s">
        <v>111</v>
      </c>
      <c r="P2569" t="str">
        <f>"85087-6551"</f>
        <v>85087-6551</v>
      </c>
      <c r="Q2569" t="s">
        <v>113</v>
      </c>
      <c r="R2569" t="str">
        <f>"202-20-288-A"</f>
        <v>202-20-288-A</v>
      </c>
      <c r="U2569">
        <v>2357</v>
      </c>
      <c r="V2569">
        <v>0</v>
      </c>
      <c r="W2569">
        <v>3</v>
      </c>
      <c r="X2569">
        <v>2000</v>
      </c>
      <c r="Z2569">
        <v>1</v>
      </c>
      <c r="AB2569">
        <v>0</v>
      </c>
      <c r="AC2569" t="s">
        <v>115</v>
      </c>
      <c r="AD2569">
        <v>2</v>
      </c>
      <c r="AE2569" t="s">
        <v>115</v>
      </c>
      <c r="AF2569">
        <v>0</v>
      </c>
      <c r="AG2569">
        <v>0</v>
      </c>
      <c r="AH2569" t="s">
        <v>116</v>
      </c>
      <c r="AI2569" s="1">
        <v>20173</v>
      </c>
      <c r="AJ2569" s="2">
        <v>0.05</v>
      </c>
      <c r="AK2569" s="1">
        <v>375258</v>
      </c>
      <c r="AL2569" t="s">
        <v>117</v>
      </c>
      <c r="AM2569" t="s">
        <v>376</v>
      </c>
      <c r="AN2569">
        <v>45900</v>
      </c>
      <c r="AO2569">
        <v>1.05</v>
      </c>
      <c r="AP2569">
        <v>1</v>
      </c>
      <c r="AR2569">
        <v>1</v>
      </c>
      <c r="AS2569" s="1">
        <v>30450</v>
      </c>
      <c r="AT2569" s="1">
        <v>6090</v>
      </c>
      <c r="AU2569" s="1">
        <v>24360</v>
      </c>
      <c r="AV2569">
        <v>80</v>
      </c>
      <c r="AX2569" s="1">
        <v>2839.24</v>
      </c>
      <c r="AY2569" t="s">
        <v>665</v>
      </c>
      <c r="AZ2569" t="s">
        <v>665</v>
      </c>
      <c r="BA2569" t="s">
        <v>378</v>
      </c>
      <c r="BE2569" s="3">
        <v>42025</v>
      </c>
      <c r="BF2569" s="1">
        <v>345000</v>
      </c>
      <c r="BG2569" t="s">
        <v>17112</v>
      </c>
      <c r="BH2569" s="1">
        <v>146.37</v>
      </c>
      <c r="BI2569" s="1">
        <v>355085</v>
      </c>
      <c r="BJ2569" s="3">
        <v>42025</v>
      </c>
      <c r="BK2569" t="s">
        <v>123</v>
      </c>
      <c r="BL2569" t="str">
        <f>"2015.38109"</f>
        <v>2015.38109</v>
      </c>
      <c r="BM2569" t="s">
        <v>135</v>
      </c>
      <c r="BO2569" t="s">
        <v>17113</v>
      </c>
      <c r="BS2569">
        <v>30</v>
      </c>
      <c r="BW2569" t="str">
        <f>""</f>
        <v/>
      </c>
      <c r="CH2569" t="str">
        <f>""</f>
        <v/>
      </c>
      <c r="CS2569" t="str">
        <f>""</f>
        <v/>
      </c>
    </row>
    <row r="2570" spans="1:97" x14ac:dyDescent="0.25">
      <c r="A2570" t="s">
        <v>10843</v>
      </c>
      <c r="B2570" t="s">
        <v>15875</v>
      </c>
      <c r="C2570" t="s">
        <v>13625</v>
      </c>
      <c r="D2570" t="s">
        <v>15875</v>
      </c>
      <c r="E2570" t="s">
        <v>17114</v>
      </c>
      <c r="F2570" t="s">
        <v>108</v>
      </c>
      <c r="H2570" t="s">
        <v>17115</v>
      </c>
      <c r="I2570" t="s">
        <v>203</v>
      </c>
      <c r="J2570" t="s">
        <v>111</v>
      </c>
      <c r="K2570" t="str">
        <f>"85233"</f>
        <v>85233</v>
      </c>
      <c r="L2570" t="s">
        <v>6308</v>
      </c>
      <c r="M2570" t="s">
        <v>17115</v>
      </c>
      <c r="N2570" t="s">
        <v>203</v>
      </c>
      <c r="O2570" t="s">
        <v>111</v>
      </c>
      <c r="P2570" t="str">
        <f>"85233-6631"</f>
        <v>85233-6631</v>
      </c>
      <c r="Q2570" t="s">
        <v>113</v>
      </c>
      <c r="R2570" t="str">
        <f>"302-30-534"</f>
        <v>302-30-534</v>
      </c>
      <c r="S2570" t="s">
        <v>17116</v>
      </c>
      <c r="T2570" t="s">
        <v>17117</v>
      </c>
      <c r="U2570">
        <v>2104</v>
      </c>
      <c r="V2570">
        <v>0</v>
      </c>
      <c r="W2570">
        <v>3</v>
      </c>
      <c r="X2570">
        <v>1986</v>
      </c>
      <c r="Z2570">
        <v>1</v>
      </c>
      <c r="AA2570" t="s">
        <v>26</v>
      </c>
      <c r="AB2570">
        <v>0</v>
      </c>
      <c r="AC2570" t="s">
        <v>115</v>
      </c>
      <c r="AD2570">
        <v>2</v>
      </c>
      <c r="AE2570" t="s">
        <v>115</v>
      </c>
      <c r="AF2570">
        <v>0</v>
      </c>
      <c r="AG2570">
        <v>0</v>
      </c>
      <c r="AH2570" t="s">
        <v>116</v>
      </c>
      <c r="AI2570" s="1">
        <v>64256</v>
      </c>
      <c r="AJ2570" s="2">
        <v>0.17</v>
      </c>
      <c r="AK2570" s="1">
        <v>379321</v>
      </c>
      <c r="AL2570" t="s">
        <v>117</v>
      </c>
      <c r="AM2570" t="s">
        <v>191</v>
      </c>
      <c r="AN2570">
        <v>9065</v>
      </c>
      <c r="AO2570">
        <v>0.21</v>
      </c>
      <c r="AP2570">
        <v>1</v>
      </c>
      <c r="AR2570">
        <v>1</v>
      </c>
      <c r="AS2570" s="1">
        <v>27050</v>
      </c>
      <c r="AT2570" s="1">
        <v>5410</v>
      </c>
      <c r="AU2570" s="1">
        <v>21640</v>
      </c>
      <c r="AV2570">
        <v>80</v>
      </c>
      <c r="AX2570" s="1">
        <v>2223.92</v>
      </c>
      <c r="AY2570" t="s">
        <v>5477</v>
      </c>
      <c r="AZ2570" t="s">
        <v>5478</v>
      </c>
      <c r="BA2570" t="s">
        <v>5479</v>
      </c>
      <c r="BB2570" s="3">
        <v>41711</v>
      </c>
      <c r="BD2570" t="s">
        <v>240</v>
      </c>
      <c r="BE2570" s="3">
        <v>41684</v>
      </c>
      <c r="BF2570" s="1">
        <v>305000</v>
      </c>
      <c r="BG2570" t="s">
        <v>17118</v>
      </c>
      <c r="BH2570" s="1">
        <v>144.96</v>
      </c>
      <c r="BI2570" s="1">
        <v>315065</v>
      </c>
      <c r="BJ2570" s="3">
        <v>41684</v>
      </c>
      <c r="BK2570" t="s">
        <v>123</v>
      </c>
      <c r="BL2570" t="str">
        <f>"2014.101888"</f>
        <v>2014.101888</v>
      </c>
      <c r="BM2570" t="s">
        <v>820</v>
      </c>
      <c r="BO2570" t="s">
        <v>17119</v>
      </c>
      <c r="BS2570">
        <v>30</v>
      </c>
      <c r="BW2570" t="str">
        <f>""</f>
        <v/>
      </c>
      <c r="CH2570" t="str">
        <f>""</f>
        <v/>
      </c>
      <c r="CS2570" t="str">
        <f>""</f>
        <v/>
      </c>
    </row>
    <row r="2571" spans="1:97" x14ac:dyDescent="0.25">
      <c r="A2571" t="s">
        <v>2053</v>
      </c>
      <c r="B2571" t="s">
        <v>603</v>
      </c>
      <c r="C2571" t="s">
        <v>1017</v>
      </c>
      <c r="D2571" t="s">
        <v>603</v>
      </c>
      <c r="E2571" t="s">
        <v>17120</v>
      </c>
      <c r="F2571" t="s">
        <v>108</v>
      </c>
      <c r="H2571" t="s">
        <v>17121</v>
      </c>
      <c r="I2571" t="s">
        <v>225</v>
      </c>
      <c r="J2571" t="s">
        <v>111</v>
      </c>
      <c r="K2571" t="str">
        <f>"85203"</f>
        <v>85203</v>
      </c>
      <c r="L2571" t="s">
        <v>5131</v>
      </c>
      <c r="M2571" t="s">
        <v>17121</v>
      </c>
      <c r="N2571" t="s">
        <v>225</v>
      </c>
      <c r="O2571" t="s">
        <v>111</v>
      </c>
      <c r="P2571" t="str">
        <f>"85203-1325"</f>
        <v>85203-1325</v>
      </c>
      <c r="Q2571" t="s">
        <v>113</v>
      </c>
      <c r="R2571" t="str">
        <f>"136-04-045"</f>
        <v>136-04-045</v>
      </c>
      <c r="S2571" t="s">
        <v>17122</v>
      </c>
      <c r="T2571" t="s">
        <v>17123</v>
      </c>
      <c r="U2571">
        <v>3246</v>
      </c>
      <c r="V2571">
        <v>0</v>
      </c>
      <c r="W2571">
        <v>4</v>
      </c>
      <c r="X2571">
        <v>1994</v>
      </c>
      <c r="Z2571">
        <v>1</v>
      </c>
      <c r="AA2571" t="s">
        <v>26</v>
      </c>
      <c r="AB2571">
        <v>0</v>
      </c>
      <c r="AC2571" t="s">
        <v>115</v>
      </c>
      <c r="AD2571">
        <v>3</v>
      </c>
      <c r="AE2571" t="s">
        <v>115</v>
      </c>
      <c r="AF2571">
        <v>0</v>
      </c>
      <c r="AG2571">
        <v>0</v>
      </c>
      <c r="AH2571" t="s">
        <v>116</v>
      </c>
      <c r="AI2571" s="1">
        <v>112207</v>
      </c>
      <c r="AJ2571" s="2">
        <v>0.21</v>
      </c>
      <c r="AK2571" s="1">
        <v>530572</v>
      </c>
      <c r="AL2571" t="s">
        <v>117</v>
      </c>
      <c r="AM2571" t="s">
        <v>1521</v>
      </c>
      <c r="AN2571">
        <v>15037</v>
      </c>
      <c r="AO2571">
        <v>0.34</v>
      </c>
      <c r="AP2571">
        <v>1</v>
      </c>
      <c r="AR2571">
        <v>1</v>
      </c>
      <c r="AS2571" s="1">
        <v>41310</v>
      </c>
      <c r="AT2571" s="1">
        <v>8260</v>
      </c>
      <c r="AU2571" s="1">
        <v>33050</v>
      </c>
      <c r="AV2571">
        <v>80</v>
      </c>
      <c r="AX2571" s="1">
        <v>3244.34</v>
      </c>
      <c r="AY2571" t="s">
        <v>11944</v>
      </c>
      <c r="AZ2571" t="s">
        <v>4163</v>
      </c>
      <c r="BA2571" t="s">
        <v>1524</v>
      </c>
      <c r="BB2571" s="3">
        <v>42186</v>
      </c>
      <c r="BD2571" t="s">
        <v>240</v>
      </c>
      <c r="BE2571" s="3">
        <v>42186</v>
      </c>
      <c r="BF2571" s="1">
        <v>405000</v>
      </c>
      <c r="BG2571" t="s">
        <v>17124</v>
      </c>
      <c r="BH2571" s="1">
        <v>124.77</v>
      </c>
      <c r="BI2571" s="1">
        <v>418365</v>
      </c>
      <c r="BJ2571" s="3">
        <v>42186</v>
      </c>
      <c r="BK2571" t="s">
        <v>123</v>
      </c>
      <c r="BL2571" t="str">
        <f>"2015.476162"</f>
        <v>2015.476162</v>
      </c>
      <c r="BM2571" t="s">
        <v>2526</v>
      </c>
      <c r="BO2571" t="s">
        <v>17125</v>
      </c>
      <c r="BS2571">
        <v>30</v>
      </c>
      <c r="BW2571" t="str">
        <f>""</f>
        <v/>
      </c>
      <c r="CH2571" t="str">
        <f>""</f>
        <v/>
      </c>
      <c r="CS2571" t="str">
        <f>""</f>
        <v/>
      </c>
    </row>
    <row r="2572" spans="1:97" x14ac:dyDescent="0.25">
      <c r="A2572" t="s">
        <v>1444</v>
      </c>
      <c r="B2572" t="s">
        <v>11663</v>
      </c>
      <c r="C2572" t="s">
        <v>2640</v>
      </c>
      <c r="D2572" t="s">
        <v>11663</v>
      </c>
      <c r="E2572" t="s">
        <v>17126</v>
      </c>
      <c r="F2572" t="s">
        <v>108</v>
      </c>
      <c r="H2572" t="s">
        <v>17127</v>
      </c>
      <c r="I2572" t="s">
        <v>203</v>
      </c>
      <c r="J2572" t="s">
        <v>111</v>
      </c>
      <c r="K2572" t="str">
        <f>"85234"</f>
        <v>85234</v>
      </c>
      <c r="L2572" t="s">
        <v>6891</v>
      </c>
      <c r="M2572" t="s">
        <v>17127</v>
      </c>
      <c r="N2572" t="s">
        <v>203</v>
      </c>
      <c r="O2572" t="s">
        <v>111</v>
      </c>
      <c r="P2572" t="str">
        <f>"85234-2831"</f>
        <v>85234-2831</v>
      </c>
      <c r="Q2572" t="s">
        <v>113</v>
      </c>
      <c r="R2572" t="str">
        <f>"304-09-753-A"</f>
        <v>304-09-753-A</v>
      </c>
      <c r="S2572" t="s">
        <v>17128</v>
      </c>
      <c r="T2572" t="s">
        <v>17129</v>
      </c>
      <c r="U2572">
        <v>2472</v>
      </c>
      <c r="V2572">
        <v>0</v>
      </c>
      <c r="W2572">
        <v>4</v>
      </c>
      <c r="X2572">
        <v>1987</v>
      </c>
      <c r="Z2572">
        <v>1</v>
      </c>
      <c r="AA2572" t="s">
        <v>26</v>
      </c>
      <c r="AB2572">
        <v>0</v>
      </c>
      <c r="AC2572" t="s">
        <v>115</v>
      </c>
      <c r="AD2572">
        <v>2</v>
      </c>
      <c r="AE2572" t="s">
        <v>115</v>
      </c>
      <c r="AF2572">
        <v>0</v>
      </c>
      <c r="AG2572">
        <v>0</v>
      </c>
      <c r="AH2572" t="s">
        <v>116</v>
      </c>
      <c r="AI2572" s="1">
        <v>121136</v>
      </c>
      <c r="AJ2572" s="2">
        <v>0.26</v>
      </c>
      <c r="AK2572" s="1">
        <v>469436</v>
      </c>
      <c r="AL2572" t="s">
        <v>117</v>
      </c>
      <c r="AM2572" t="s">
        <v>393</v>
      </c>
      <c r="AN2572">
        <v>10533</v>
      </c>
      <c r="AO2572">
        <v>0.24</v>
      </c>
      <c r="AP2572">
        <v>1</v>
      </c>
      <c r="AR2572">
        <v>1</v>
      </c>
      <c r="AS2572" s="1">
        <v>34400</v>
      </c>
      <c r="AT2572" s="1">
        <v>6880</v>
      </c>
      <c r="AU2572" s="1">
        <v>27520</v>
      </c>
      <c r="AV2572">
        <v>80</v>
      </c>
      <c r="AX2572" s="1">
        <v>2723.28</v>
      </c>
      <c r="AY2572" t="s">
        <v>10191</v>
      </c>
      <c r="AZ2572" t="s">
        <v>571</v>
      </c>
      <c r="BA2572" t="s">
        <v>521</v>
      </c>
      <c r="BE2572" s="3">
        <v>41719</v>
      </c>
      <c r="BF2572" s="1">
        <v>357900</v>
      </c>
      <c r="BG2572" t="s">
        <v>17130</v>
      </c>
      <c r="BH2572" s="1">
        <v>144.78</v>
      </c>
      <c r="BI2572" s="1">
        <v>348300</v>
      </c>
      <c r="BJ2572" s="3">
        <v>42710</v>
      </c>
      <c r="BK2572" t="s">
        <v>123</v>
      </c>
      <c r="BL2572" t="str">
        <f>"2016.896934"</f>
        <v>2016.896934</v>
      </c>
      <c r="BM2572" t="s">
        <v>402</v>
      </c>
      <c r="BO2572" t="s">
        <v>17131</v>
      </c>
      <c r="BS2572">
        <v>30</v>
      </c>
      <c r="BW2572" t="str">
        <f>""</f>
        <v/>
      </c>
      <c r="CH2572" t="str">
        <f>""</f>
        <v/>
      </c>
      <c r="CS2572" t="str">
        <f>""</f>
        <v/>
      </c>
    </row>
    <row r="2573" spans="1:97" x14ac:dyDescent="0.25">
      <c r="A2573" t="s">
        <v>464</v>
      </c>
      <c r="B2573" t="s">
        <v>17132</v>
      </c>
      <c r="C2573" t="s">
        <v>6221</v>
      </c>
      <c r="D2573" t="s">
        <v>17132</v>
      </c>
      <c r="E2573" t="s">
        <v>17133</v>
      </c>
      <c r="F2573" t="s">
        <v>108</v>
      </c>
      <c r="H2573" t="s">
        <v>17134</v>
      </c>
      <c r="I2573" t="s">
        <v>1397</v>
      </c>
      <c r="J2573" t="s">
        <v>111</v>
      </c>
      <c r="K2573" t="str">
        <f>"85331"</f>
        <v>85331</v>
      </c>
      <c r="L2573" t="s">
        <v>7816</v>
      </c>
      <c r="M2573" t="s">
        <v>17134</v>
      </c>
      <c r="N2573" t="s">
        <v>1397</v>
      </c>
      <c r="O2573" t="s">
        <v>111</v>
      </c>
      <c r="P2573" t="str">
        <f>"85331-5204"</f>
        <v>85331-5204</v>
      </c>
      <c r="Q2573" t="s">
        <v>113</v>
      </c>
      <c r="R2573" t="str">
        <f>"211-61-479-L"</f>
        <v>211-61-479-L</v>
      </c>
      <c r="U2573">
        <v>3439</v>
      </c>
      <c r="V2573">
        <v>0</v>
      </c>
      <c r="W2573">
        <v>4</v>
      </c>
      <c r="X2573">
        <v>2001</v>
      </c>
      <c r="Z2573">
        <v>2</v>
      </c>
      <c r="AA2573" t="s">
        <v>26</v>
      </c>
      <c r="AB2573">
        <v>0</v>
      </c>
      <c r="AC2573" t="s">
        <v>115</v>
      </c>
      <c r="AD2573">
        <v>3</v>
      </c>
      <c r="AE2573" t="s">
        <v>115</v>
      </c>
      <c r="AF2573">
        <v>0</v>
      </c>
      <c r="AG2573">
        <v>0</v>
      </c>
      <c r="AH2573" t="s">
        <v>116</v>
      </c>
      <c r="AI2573" s="1">
        <v>163077</v>
      </c>
      <c r="AJ2573" s="2">
        <v>0.18</v>
      </c>
      <c r="AK2573" s="1">
        <v>909936</v>
      </c>
      <c r="AL2573" t="s">
        <v>117</v>
      </c>
      <c r="AM2573" t="s">
        <v>376</v>
      </c>
      <c r="AN2573">
        <v>50930</v>
      </c>
      <c r="AO2573">
        <v>1.17</v>
      </c>
      <c r="AP2573">
        <v>1</v>
      </c>
      <c r="AR2573">
        <v>1</v>
      </c>
      <c r="AS2573" s="1">
        <v>59780</v>
      </c>
      <c r="AT2573" s="1">
        <v>11950</v>
      </c>
      <c r="AU2573" s="1">
        <v>47830</v>
      </c>
      <c r="AV2573">
        <v>80.010000000000005</v>
      </c>
      <c r="AX2573" s="1">
        <v>3412.4</v>
      </c>
      <c r="AY2573" t="s">
        <v>7359</v>
      </c>
      <c r="AZ2573" t="s">
        <v>1402</v>
      </c>
      <c r="BA2573" t="s">
        <v>1403</v>
      </c>
      <c r="BE2573" s="3">
        <v>41899</v>
      </c>
      <c r="BF2573" s="1">
        <v>760000</v>
      </c>
      <c r="BG2573" t="s">
        <v>17135</v>
      </c>
      <c r="BH2573" s="1">
        <v>220.99</v>
      </c>
      <c r="BI2573" s="1">
        <v>746859</v>
      </c>
      <c r="BJ2573" s="3">
        <v>42478</v>
      </c>
      <c r="BK2573" t="s">
        <v>123</v>
      </c>
      <c r="BL2573" t="str">
        <f>"2016.254821"</f>
        <v>2016.254821</v>
      </c>
      <c r="BM2573" t="s">
        <v>2368</v>
      </c>
      <c r="BO2573" t="s">
        <v>17136</v>
      </c>
      <c r="BS2573">
        <v>30</v>
      </c>
      <c r="BW2573" t="str">
        <f>""</f>
        <v/>
      </c>
      <c r="CH2573" t="str">
        <f>""</f>
        <v/>
      </c>
      <c r="CS2573" t="str">
        <f>""</f>
        <v/>
      </c>
    </row>
    <row r="2574" spans="1:97" x14ac:dyDescent="0.25">
      <c r="A2574" t="s">
        <v>1774</v>
      </c>
      <c r="B2574" t="s">
        <v>10210</v>
      </c>
      <c r="E2574" t="s">
        <v>17137</v>
      </c>
      <c r="F2574" t="s">
        <v>108</v>
      </c>
      <c r="H2574" t="s">
        <v>17138</v>
      </c>
      <c r="I2574" t="s">
        <v>5114</v>
      </c>
      <c r="J2574" t="s">
        <v>111</v>
      </c>
      <c r="K2574" t="str">
        <f>"85323"</f>
        <v>85323</v>
      </c>
      <c r="L2574" t="s">
        <v>5456</v>
      </c>
      <c r="M2574" t="s">
        <v>17138</v>
      </c>
      <c r="N2574" t="s">
        <v>5114</v>
      </c>
      <c r="O2574" t="s">
        <v>111</v>
      </c>
      <c r="P2574" t="str">
        <f>"85323-7704"</f>
        <v>85323-7704</v>
      </c>
      <c r="Q2574" t="s">
        <v>113</v>
      </c>
      <c r="R2574" t="str">
        <f>"500-32-799"</f>
        <v>500-32-799</v>
      </c>
      <c r="S2574" t="s">
        <v>5457</v>
      </c>
      <c r="U2574">
        <v>2885</v>
      </c>
      <c r="V2574">
        <v>0</v>
      </c>
      <c r="W2574">
        <v>5</v>
      </c>
      <c r="X2574">
        <v>2015</v>
      </c>
      <c r="Z2574">
        <v>2</v>
      </c>
      <c r="AB2574">
        <v>0</v>
      </c>
      <c r="AC2574" t="s">
        <v>115</v>
      </c>
      <c r="AD2574">
        <v>2</v>
      </c>
      <c r="AE2574" t="s">
        <v>115</v>
      </c>
      <c r="AF2574">
        <v>0</v>
      </c>
      <c r="AG2574">
        <v>0</v>
      </c>
      <c r="AH2574" t="s">
        <v>116</v>
      </c>
      <c r="AI2574" s="1">
        <v>32142</v>
      </c>
      <c r="AJ2574" s="2">
        <v>0.1</v>
      </c>
      <c r="AK2574" s="1">
        <v>313742</v>
      </c>
      <c r="AL2574" t="s">
        <v>117</v>
      </c>
      <c r="AM2574" t="s">
        <v>118</v>
      </c>
      <c r="AN2574">
        <v>6992</v>
      </c>
      <c r="AO2574">
        <v>0.16</v>
      </c>
      <c r="AR2574">
        <v>1</v>
      </c>
      <c r="AS2574" s="1">
        <v>21860</v>
      </c>
      <c r="AT2574" s="1">
        <v>4370</v>
      </c>
      <c r="AU2574" s="1">
        <v>17490</v>
      </c>
      <c r="AV2574">
        <v>80.010000000000005</v>
      </c>
      <c r="AX2574" s="1">
        <v>2405.34</v>
      </c>
      <c r="AY2574" t="s">
        <v>5458</v>
      </c>
      <c r="AZ2574" t="s">
        <v>5458</v>
      </c>
      <c r="BA2574" t="s">
        <v>4254</v>
      </c>
      <c r="BE2574" s="3">
        <v>42244</v>
      </c>
      <c r="BF2574" s="1">
        <v>275000</v>
      </c>
      <c r="BG2574" t="s">
        <v>158</v>
      </c>
      <c r="BH2574" s="1">
        <v>95.32</v>
      </c>
      <c r="BI2574" s="1">
        <v>281600</v>
      </c>
      <c r="BJ2574" s="3">
        <v>42244</v>
      </c>
      <c r="BK2574" t="s">
        <v>123</v>
      </c>
      <c r="BL2574" t="str">
        <f>"2015.625244"</f>
        <v>2015.625244</v>
      </c>
      <c r="BM2574" t="s">
        <v>135</v>
      </c>
      <c r="BO2574" t="s">
        <v>17139</v>
      </c>
      <c r="BS2574">
        <v>30</v>
      </c>
      <c r="BW2574" t="str">
        <f>""</f>
        <v/>
      </c>
      <c r="CH2574" t="str">
        <f>""</f>
        <v/>
      </c>
      <c r="CS2574" t="str">
        <f>""</f>
        <v/>
      </c>
    </row>
    <row r="2575" spans="1:97" x14ac:dyDescent="0.25">
      <c r="A2575" t="s">
        <v>17140</v>
      </c>
      <c r="B2575" t="s">
        <v>17141</v>
      </c>
      <c r="C2575" t="s">
        <v>305</v>
      </c>
      <c r="D2575" t="s">
        <v>17141</v>
      </c>
      <c r="E2575" t="s">
        <v>17142</v>
      </c>
      <c r="F2575" t="s">
        <v>108</v>
      </c>
      <c r="H2575" t="s">
        <v>17143</v>
      </c>
      <c r="I2575" t="s">
        <v>225</v>
      </c>
      <c r="J2575" t="s">
        <v>111</v>
      </c>
      <c r="K2575" t="str">
        <f>"85212"</f>
        <v>85212</v>
      </c>
      <c r="L2575" t="s">
        <v>5239</v>
      </c>
      <c r="M2575" t="s">
        <v>17143</v>
      </c>
      <c r="N2575" t="s">
        <v>225</v>
      </c>
      <c r="O2575" t="s">
        <v>111</v>
      </c>
      <c r="P2575" t="str">
        <f>"85212-4160"</f>
        <v>85212-4160</v>
      </c>
      <c r="Q2575" t="s">
        <v>113</v>
      </c>
      <c r="R2575" t="str">
        <f>"304-33-707"</f>
        <v>304-33-707</v>
      </c>
      <c r="S2575" t="s">
        <v>8661</v>
      </c>
      <c r="T2575" t="s">
        <v>8661</v>
      </c>
      <c r="U2575">
        <v>1840</v>
      </c>
      <c r="V2575">
        <v>0</v>
      </c>
      <c r="W2575">
        <v>3</v>
      </c>
      <c r="X2575">
        <v>2001</v>
      </c>
      <c r="Z2575">
        <v>1</v>
      </c>
      <c r="AA2575" t="s">
        <v>26</v>
      </c>
      <c r="AB2575">
        <v>0</v>
      </c>
      <c r="AC2575" t="s">
        <v>115</v>
      </c>
      <c r="AD2575">
        <v>2</v>
      </c>
      <c r="AE2575" t="s">
        <v>115</v>
      </c>
      <c r="AF2575">
        <v>0</v>
      </c>
      <c r="AG2575">
        <v>0</v>
      </c>
      <c r="AH2575" t="s">
        <v>116</v>
      </c>
      <c r="AI2575" s="1">
        <v>34650</v>
      </c>
      <c r="AJ2575" s="2">
        <v>0.09</v>
      </c>
      <c r="AK2575" s="1">
        <v>381150</v>
      </c>
      <c r="AL2575" t="s">
        <v>117</v>
      </c>
      <c r="AM2575" t="s">
        <v>393</v>
      </c>
      <c r="AN2575">
        <v>23754</v>
      </c>
      <c r="AO2575">
        <v>0.54</v>
      </c>
      <c r="AP2575">
        <v>1</v>
      </c>
      <c r="AR2575">
        <v>1</v>
      </c>
      <c r="AS2575" s="1">
        <v>26660</v>
      </c>
      <c r="AT2575" s="1">
        <v>5330</v>
      </c>
      <c r="AU2575" s="1">
        <v>21330</v>
      </c>
      <c r="AV2575">
        <v>80.010000000000005</v>
      </c>
      <c r="AX2575" s="1">
        <v>1763</v>
      </c>
      <c r="AY2575" t="s">
        <v>776</v>
      </c>
      <c r="AZ2575" t="s">
        <v>777</v>
      </c>
      <c r="BA2575" t="s">
        <v>572</v>
      </c>
      <c r="BE2575" s="3">
        <v>42500</v>
      </c>
      <c r="BF2575" s="1">
        <v>346500</v>
      </c>
      <c r="BG2575" t="s">
        <v>17144</v>
      </c>
      <c r="BH2575" s="1">
        <v>188.32</v>
      </c>
      <c r="BI2575" s="1">
        <v>346500</v>
      </c>
      <c r="BJ2575" s="3">
        <v>42500</v>
      </c>
      <c r="BK2575" t="s">
        <v>123</v>
      </c>
      <c r="BL2575" t="str">
        <f>"2016.319298"</f>
        <v>2016.319298</v>
      </c>
      <c r="BM2575" t="s">
        <v>124</v>
      </c>
      <c r="BN2575" t="s">
        <v>1575</v>
      </c>
      <c r="BO2575" t="s">
        <v>17145</v>
      </c>
      <c r="BS2575">
        <v>30</v>
      </c>
      <c r="BW2575" t="str">
        <f>""</f>
        <v/>
      </c>
      <c r="CH2575" t="str">
        <f>""</f>
        <v/>
      </c>
      <c r="CS2575" t="str">
        <f>""</f>
        <v/>
      </c>
    </row>
    <row r="2576" spans="1:97" x14ac:dyDescent="0.25">
      <c r="A2576" t="s">
        <v>991</v>
      </c>
      <c r="B2576" t="s">
        <v>17146</v>
      </c>
      <c r="C2576" t="s">
        <v>1995</v>
      </c>
      <c r="D2576" t="s">
        <v>17146</v>
      </c>
      <c r="E2576" t="s">
        <v>17147</v>
      </c>
      <c r="F2576" t="s">
        <v>108</v>
      </c>
      <c r="H2576" t="s">
        <v>17148</v>
      </c>
      <c r="I2576" t="s">
        <v>2874</v>
      </c>
      <c r="J2576" t="s">
        <v>111</v>
      </c>
      <c r="K2576" t="str">
        <f>"85306"</f>
        <v>85306</v>
      </c>
      <c r="L2576" t="s">
        <v>1312</v>
      </c>
      <c r="M2576" t="s">
        <v>17148</v>
      </c>
      <c r="N2576" t="s">
        <v>2874</v>
      </c>
      <c r="O2576" t="s">
        <v>111</v>
      </c>
      <c r="P2576" t="str">
        <f>"85306-3148"</f>
        <v>85306-3148</v>
      </c>
      <c r="Q2576" t="s">
        <v>113</v>
      </c>
      <c r="R2576" t="str">
        <f>"231-07-883"</f>
        <v>231-07-883</v>
      </c>
      <c r="S2576" t="s">
        <v>17149</v>
      </c>
      <c r="T2576" t="s">
        <v>17150</v>
      </c>
      <c r="U2576">
        <v>1725</v>
      </c>
      <c r="V2576">
        <v>0</v>
      </c>
      <c r="W2576">
        <v>3</v>
      </c>
      <c r="X2576">
        <v>1989</v>
      </c>
      <c r="Z2576">
        <v>1</v>
      </c>
      <c r="AB2576">
        <v>0</v>
      </c>
      <c r="AC2576" t="s">
        <v>115</v>
      </c>
      <c r="AD2576">
        <v>2</v>
      </c>
      <c r="AE2576" t="s">
        <v>115</v>
      </c>
      <c r="AF2576">
        <v>0</v>
      </c>
      <c r="AG2576">
        <v>0</v>
      </c>
      <c r="AH2576" t="s">
        <v>116</v>
      </c>
      <c r="AI2576" s="1">
        <v>4559</v>
      </c>
      <c r="AJ2576" s="2">
        <v>0.02</v>
      </c>
      <c r="AK2576" s="1">
        <v>268898</v>
      </c>
      <c r="AL2576" t="s">
        <v>117</v>
      </c>
      <c r="AM2576" t="s">
        <v>191</v>
      </c>
      <c r="AN2576">
        <v>7000</v>
      </c>
      <c r="AO2576">
        <v>0.16</v>
      </c>
      <c r="AP2576">
        <v>1</v>
      </c>
      <c r="AR2576">
        <v>1</v>
      </c>
      <c r="AS2576" s="1">
        <v>19080</v>
      </c>
      <c r="AT2576" s="1">
        <v>3810</v>
      </c>
      <c r="AU2576" s="1">
        <v>15270</v>
      </c>
      <c r="AV2576">
        <v>80.03</v>
      </c>
      <c r="AX2576" s="1">
        <v>1340.58</v>
      </c>
      <c r="AY2576" t="s">
        <v>8450</v>
      </c>
      <c r="AZ2576" t="s">
        <v>8450</v>
      </c>
      <c r="BA2576" t="s">
        <v>3360</v>
      </c>
      <c r="BE2576" s="3">
        <v>41710</v>
      </c>
      <c r="BF2576" s="1">
        <v>180000</v>
      </c>
      <c r="BG2576" t="s">
        <v>17151</v>
      </c>
      <c r="BH2576" s="1">
        <v>104.35</v>
      </c>
      <c r="BI2576" s="1">
        <v>264339</v>
      </c>
      <c r="BJ2576" s="3">
        <v>43573</v>
      </c>
      <c r="BK2576" t="s">
        <v>123</v>
      </c>
      <c r="BL2576" t="str">
        <f>"2019.275015"</f>
        <v>2019.275015</v>
      </c>
      <c r="BM2576" t="s">
        <v>4672</v>
      </c>
      <c r="BN2576" t="s">
        <v>1922</v>
      </c>
      <c r="BO2576" t="s">
        <v>17152</v>
      </c>
      <c r="BP2576" t="s">
        <v>17153</v>
      </c>
      <c r="BR2576" t="s">
        <v>139</v>
      </c>
      <c r="BW2576" t="str">
        <f>""</f>
        <v/>
      </c>
      <c r="CH2576" t="str">
        <f>""</f>
        <v/>
      </c>
      <c r="CS2576" t="str">
        <f>""</f>
        <v/>
      </c>
    </row>
    <row r="2577" spans="1:97" x14ac:dyDescent="0.25">
      <c r="A2577" t="s">
        <v>894</v>
      </c>
      <c r="B2577" t="s">
        <v>141</v>
      </c>
      <c r="C2577" t="s">
        <v>17154</v>
      </c>
      <c r="D2577" t="s">
        <v>141</v>
      </c>
      <c r="E2577" t="s">
        <v>17155</v>
      </c>
      <c r="F2577" t="s">
        <v>108</v>
      </c>
      <c r="H2577" t="s">
        <v>17156</v>
      </c>
      <c r="I2577" t="s">
        <v>167</v>
      </c>
      <c r="J2577" t="s">
        <v>111</v>
      </c>
      <c r="K2577" t="str">
        <f>"85339"</f>
        <v>85339</v>
      </c>
      <c r="L2577" t="s">
        <v>5367</v>
      </c>
      <c r="M2577" t="s">
        <v>17156</v>
      </c>
      <c r="N2577" t="s">
        <v>167</v>
      </c>
      <c r="O2577" t="s">
        <v>111</v>
      </c>
      <c r="P2577" t="str">
        <f>"85339-7207"</f>
        <v>85339-7207</v>
      </c>
      <c r="Q2577" t="s">
        <v>113</v>
      </c>
      <c r="R2577" t="str">
        <f>"104-87-340"</f>
        <v>104-87-340</v>
      </c>
      <c r="S2577" t="s">
        <v>12188</v>
      </c>
      <c r="U2577">
        <v>2046</v>
      </c>
      <c r="V2577">
        <v>0</v>
      </c>
      <c r="W2577">
        <v>4</v>
      </c>
      <c r="X2577">
        <v>2015</v>
      </c>
      <c r="Z2577">
        <v>2</v>
      </c>
      <c r="AB2577">
        <v>0</v>
      </c>
      <c r="AC2577" t="s">
        <v>115</v>
      </c>
      <c r="AD2577">
        <v>2</v>
      </c>
      <c r="AE2577" t="s">
        <v>115</v>
      </c>
      <c r="AF2577">
        <v>0</v>
      </c>
      <c r="AG2577">
        <v>0</v>
      </c>
      <c r="AH2577" t="s">
        <v>116</v>
      </c>
      <c r="AI2577" s="1">
        <v>60679</v>
      </c>
      <c r="AJ2577" s="2">
        <v>0.22</v>
      </c>
      <c r="AK2577" s="1">
        <v>272027</v>
      </c>
      <c r="AL2577" t="s">
        <v>117</v>
      </c>
      <c r="AM2577" t="s">
        <v>760</v>
      </c>
      <c r="AN2577">
        <v>6322</v>
      </c>
      <c r="AO2577">
        <v>0.14000000000000001</v>
      </c>
      <c r="AR2577">
        <v>1</v>
      </c>
      <c r="AS2577" s="1">
        <v>19630</v>
      </c>
      <c r="AT2577" s="1">
        <v>3920</v>
      </c>
      <c r="AU2577" s="1">
        <v>15710</v>
      </c>
      <c r="AV2577">
        <v>80.03</v>
      </c>
      <c r="AX2577" s="1">
        <v>2510.64</v>
      </c>
      <c r="AY2577" t="s">
        <v>172</v>
      </c>
      <c r="AZ2577" t="s">
        <v>172</v>
      </c>
      <c r="BA2577" t="s">
        <v>173</v>
      </c>
      <c r="BE2577" s="3">
        <v>42278</v>
      </c>
      <c r="BF2577" s="1">
        <v>206900</v>
      </c>
      <c r="BG2577" t="s">
        <v>9623</v>
      </c>
      <c r="BH2577" s="1">
        <v>101.12</v>
      </c>
      <c r="BI2577" s="1">
        <v>211348</v>
      </c>
      <c r="BJ2577" s="3">
        <v>42278</v>
      </c>
      <c r="BK2577" t="s">
        <v>123</v>
      </c>
      <c r="BL2577" t="str">
        <f>"2015.710081"</f>
        <v>2015.710081</v>
      </c>
      <c r="BM2577" t="s">
        <v>594</v>
      </c>
      <c r="BO2577" t="s">
        <v>17157</v>
      </c>
      <c r="BS2577">
        <v>30</v>
      </c>
      <c r="BW2577" t="str">
        <f>""</f>
        <v/>
      </c>
      <c r="CH2577" t="str">
        <f>""</f>
        <v/>
      </c>
      <c r="CS2577" t="str">
        <f>""</f>
        <v/>
      </c>
    </row>
    <row r="2578" spans="1:97" x14ac:dyDescent="0.25">
      <c r="A2578" t="s">
        <v>243</v>
      </c>
      <c r="B2578" t="s">
        <v>17158</v>
      </c>
      <c r="E2578" t="s">
        <v>17159</v>
      </c>
      <c r="F2578" t="s">
        <v>108</v>
      </c>
      <c r="H2578" t="s">
        <v>17160</v>
      </c>
      <c r="I2578" t="s">
        <v>5114</v>
      </c>
      <c r="J2578" t="s">
        <v>111</v>
      </c>
      <c r="K2578" t="str">
        <f>"85392"</f>
        <v>85392</v>
      </c>
      <c r="L2578" t="s">
        <v>2547</v>
      </c>
      <c r="M2578" t="s">
        <v>17160</v>
      </c>
      <c r="N2578" t="s">
        <v>5114</v>
      </c>
      <c r="O2578" t="s">
        <v>111</v>
      </c>
      <c r="P2578" t="str">
        <f>"85392-4223"</f>
        <v>85392-4223</v>
      </c>
      <c r="Q2578" t="s">
        <v>113</v>
      </c>
      <c r="R2578" t="str">
        <f>"102-86-681"</f>
        <v>102-86-681</v>
      </c>
      <c r="S2578" t="s">
        <v>17161</v>
      </c>
      <c r="T2578" t="s">
        <v>17162</v>
      </c>
      <c r="U2578">
        <v>2004</v>
      </c>
      <c r="V2578">
        <v>0</v>
      </c>
      <c r="W2578">
        <v>3</v>
      </c>
      <c r="X2578">
        <v>1997</v>
      </c>
      <c r="Z2578">
        <v>1</v>
      </c>
      <c r="AA2578" t="s">
        <v>26</v>
      </c>
      <c r="AB2578">
        <v>0</v>
      </c>
      <c r="AC2578" t="s">
        <v>115</v>
      </c>
      <c r="AD2578">
        <v>2</v>
      </c>
      <c r="AE2578" t="s">
        <v>115</v>
      </c>
      <c r="AF2578">
        <v>0</v>
      </c>
      <c r="AG2578">
        <v>0</v>
      </c>
      <c r="AH2578" t="s">
        <v>116</v>
      </c>
      <c r="AI2578" s="1">
        <v>53169</v>
      </c>
      <c r="AJ2578" s="2">
        <v>0.18</v>
      </c>
      <c r="AK2578" s="1">
        <v>297990</v>
      </c>
      <c r="AL2578" t="s">
        <v>117</v>
      </c>
      <c r="AM2578" t="s">
        <v>118</v>
      </c>
      <c r="AN2578">
        <v>8507</v>
      </c>
      <c r="AO2578">
        <v>0.2</v>
      </c>
      <c r="AP2578">
        <v>1</v>
      </c>
      <c r="AR2578">
        <v>1</v>
      </c>
      <c r="AS2578" s="1">
        <v>21130</v>
      </c>
      <c r="AT2578" s="1">
        <v>4220</v>
      </c>
      <c r="AU2578" s="1">
        <v>16910</v>
      </c>
      <c r="AV2578">
        <v>80.03</v>
      </c>
      <c r="AX2578" s="1">
        <v>2146.36</v>
      </c>
      <c r="AY2578" t="s">
        <v>8084</v>
      </c>
      <c r="AZ2578" t="s">
        <v>8084</v>
      </c>
      <c r="BA2578" t="s">
        <v>5118</v>
      </c>
      <c r="BE2578" s="3">
        <v>42475</v>
      </c>
      <c r="BF2578" s="1">
        <v>237000</v>
      </c>
      <c r="BG2578" t="s">
        <v>17163</v>
      </c>
      <c r="BH2578" s="1">
        <v>118.26</v>
      </c>
      <c r="BI2578" s="1">
        <v>244821</v>
      </c>
      <c r="BJ2578" s="3">
        <v>42475</v>
      </c>
      <c r="BK2578" t="s">
        <v>123</v>
      </c>
      <c r="BL2578" t="str">
        <f>"2016.249863"</f>
        <v>2016.249863</v>
      </c>
      <c r="BM2578" t="s">
        <v>1154</v>
      </c>
      <c r="BO2578" t="s">
        <v>17164</v>
      </c>
      <c r="BS2578">
        <v>30</v>
      </c>
      <c r="BW2578" t="str">
        <f>""</f>
        <v/>
      </c>
      <c r="CH2578" t="str">
        <f>""</f>
        <v/>
      </c>
      <c r="CS2578" t="str">
        <f>""</f>
        <v/>
      </c>
    </row>
    <row r="2579" spans="1:97" x14ac:dyDescent="0.25">
      <c r="A2579" t="s">
        <v>2319</v>
      </c>
      <c r="B2579" t="s">
        <v>2692</v>
      </c>
      <c r="E2579" t="s">
        <v>17165</v>
      </c>
      <c r="F2579" t="s">
        <v>108</v>
      </c>
      <c r="H2579" t="s">
        <v>17166</v>
      </c>
      <c r="I2579" t="s">
        <v>390</v>
      </c>
      <c r="J2579" t="s">
        <v>111</v>
      </c>
      <c r="K2579" t="str">
        <f>"85042"</f>
        <v>85042</v>
      </c>
      <c r="L2579" t="s">
        <v>6996</v>
      </c>
      <c r="M2579" t="s">
        <v>17166</v>
      </c>
      <c r="N2579" t="s">
        <v>390</v>
      </c>
      <c r="O2579" t="s">
        <v>111</v>
      </c>
      <c r="P2579" t="str">
        <f>"85042-8234"</f>
        <v>85042-8234</v>
      </c>
      <c r="Q2579" t="s">
        <v>113</v>
      </c>
      <c r="R2579" t="str">
        <f>"301-28-018-C"</f>
        <v>301-28-018-C</v>
      </c>
      <c r="S2579" t="s">
        <v>17167</v>
      </c>
      <c r="T2579" t="s">
        <v>17167</v>
      </c>
      <c r="U2579">
        <v>1353</v>
      </c>
      <c r="V2579">
        <v>0</v>
      </c>
      <c r="W2579">
        <v>2</v>
      </c>
      <c r="X2579">
        <v>1987</v>
      </c>
      <c r="Z2579">
        <v>1</v>
      </c>
      <c r="AA2579" t="s">
        <v>26</v>
      </c>
      <c r="AB2579">
        <v>0</v>
      </c>
      <c r="AC2579" t="s">
        <v>115</v>
      </c>
      <c r="AD2579">
        <v>2</v>
      </c>
      <c r="AE2579" t="s">
        <v>115</v>
      </c>
      <c r="AF2579">
        <v>0</v>
      </c>
      <c r="AG2579">
        <v>0</v>
      </c>
      <c r="AH2579" t="s">
        <v>116</v>
      </c>
      <c r="AI2579" s="1">
        <v>37370</v>
      </c>
      <c r="AJ2579" s="2">
        <v>0.15</v>
      </c>
      <c r="AK2579" s="1">
        <v>248411</v>
      </c>
      <c r="AL2579" t="s">
        <v>117</v>
      </c>
      <c r="AM2579" t="s">
        <v>191</v>
      </c>
      <c r="AN2579">
        <v>12850</v>
      </c>
      <c r="AO2579">
        <v>0.3</v>
      </c>
      <c r="AP2579">
        <v>1</v>
      </c>
      <c r="AR2579">
        <v>1</v>
      </c>
      <c r="AS2579" s="1">
        <v>16610</v>
      </c>
      <c r="AT2579" s="1">
        <v>3320</v>
      </c>
      <c r="AU2579" s="1">
        <v>13290</v>
      </c>
      <c r="AV2579">
        <v>80.010000000000005</v>
      </c>
      <c r="AX2579" s="1">
        <v>1062.8</v>
      </c>
      <c r="AY2579" t="s">
        <v>11872</v>
      </c>
      <c r="AZ2579" t="s">
        <v>7255</v>
      </c>
      <c r="BA2579" t="s">
        <v>5328</v>
      </c>
      <c r="BE2579" s="3">
        <v>41810</v>
      </c>
      <c r="BF2579" s="1">
        <v>180000</v>
      </c>
      <c r="BG2579" t="s">
        <v>17168</v>
      </c>
      <c r="BH2579" s="1">
        <v>133.04</v>
      </c>
      <c r="BI2579" s="1">
        <v>211041</v>
      </c>
      <c r="BJ2579" s="3">
        <v>42660</v>
      </c>
      <c r="BK2579" t="s">
        <v>123</v>
      </c>
      <c r="BL2579" t="str">
        <f>"2016.758827"</f>
        <v>2016.758827</v>
      </c>
      <c r="BM2579" t="s">
        <v>6337</v>
      </c>
      <c r="BO2579" t="s">
        <v>17169</v>
      </c>
      <c r="BS2579">
        <v>30</v>
      </c>
      <c r="BW2579" t="str">
        <f>""</f>
        <v/>
      </c>
      <c r="CH2579" t="str">
        <f>""</f>
        <v/>
      </c>
      <c r="CS2579" t="str">
        <f>""</f>
        <v/>
      </c>
    </row>
    <row r="2580" spans="1:97" x14ac:dyDescent="0.25">
      <c r="A2580" t="s">
        <v>1067</v>
      </c>
      <c r="B2580" t="s">
        <v>10449</v>
      </c>
      <c r="E2580" t="s">
        <v>17170</v>
      </c>
      <c r="F2580" t="s">
        <v>108</v>
      </c>
      <c r="H2580" t="s">
        <v>17171</v>
      </c>
      <c r="I2580" t="s">
        <v>499</v>
      </c>
      <c r="J2580" t="s">
        <v>111</v>
      </c>
      <c r="K2580" t="str">
        <f>"85395"</f>
        <v>85395</v>
      </c>
      <c r="L2580" t="s">
        <v>7243</v>
      </c>
      <c r="M2580" t="s">
        <v>17171</v>
      </c>
      <c r="N2580" t="s">
        <v>499</v>
      </c>
      <c r="O2580" t="s">
        <v>111</v>
      </c>
      <c r="P2580" t="str">
        <f>"85395-8390"</f>
        <v>85395-8390</v>
      </c>
      <c r="Q2580" t="s">
        <v>113</v>
      </c>
      <c r="R2580" t="str">
        <f>"508-13-027"</f>
        <v>508-13-027</v>
      </c>
      <c r="S2580" t="s">
        <v>7244</v>
      </c>
      <c r="T2580" t="s">
        <v>7245</v>
      </c>
      <c r="U2580">
        <v>1466</v>
      </c>
      <c r="V2580">
        <v>0</v>
      </c>
      <c r="W2580">
        <v>2</v>
      </c>
      <c r="X2580">
        <v>2006</v>
      </c>
      <c r="Z2580">
        <v>1</v>
      </c>
      <c r="AB2580">
        <v>0</v>
      </c>
      <c r="AC2580" t="s">
        <v>115</v>
      </c>
      <c r="AD2580">
        <v>2</v>
      </c>
      <c r="AE2580" t="s">
        <v>115</v>
      </c>
      <c r="AF2580">
        <v>0</v>
      </c>
      <c r="AG2580">
        <v>0</v>
      </c>
      <c r="AH2580" t="s">
        <v>116</v>
      </c>
      <c r="AI2580" s="1">
        <v>63455</v>
      </c>
      <c r="AJ2580" s="2">
        <v>0.24</v>
      </c>
      <c r="AK2580" s="1">
        <v>263952</v>
      </c>
      <c r="AL2580" t="s">
        <v>117</v>
      </c>
      <c r="AM2580" t="s">
        <v>118</v>
      </c>
      <c r="AN2580">
        <v>6475</v>
      </c>
      <c r="AO2580">
        <v>0.15</v>
      </c>
      <c r="AR2580">
        <v>1</v>
      </c>
      <c r="AS2580" s="1">
        <v>17150</v>
      </c>
      <c r="AT2580" s="1">
        <v>3430</v>
      </c>
      <c r="AU2580" s="1">
        <v>13720</v>
      </c>
      <c r="AV2580">
        <v>80</v>
      </c>
      <c r="AX2580" s="1">
        <v>1888.04</v>
      </c>
      <c r="AY2580" t="s">
        <v>3020</v>
      </c>
      <c r="AZ2580" t="s">
        <v>3020</v>
      </c>
      <c r="BA2580" t="s">
        <v>3154</v>
      </c>
      <c r="BE2580" s="3">
        <v>41849</v>
      </c>
      <c r="BF2580" s="1">
        <v>192900</v>
      </c>
      <c r="BG2580" t="s">
        <v>17172</v>
      </c>
      <c r="BH2580" s="1">
        <v>131.58000000000001</v>
      </c>
      <c r="BI2580" s="1">
        <v>200497</v>
      </c>
      <c r="BJ2580" s="3">
        <v>42081</v>
      </c>
      <c r="BK2580" t="s">
        <v>123</v>
      </c>
      <c r="BL2580" t="str">
        <f>"2015.180502"</f>
        <v>2015.180502</v>
      </c>
      <c r="BM2580" t="s">
        <v>1544</v>
      </c>
      <c r="BO2580" t="s">
        <v>17173</v>
      </c>
      <c r="BS2580">
        <v>30</v>
      </c>
      <c r="BW2580" t="str">
        <f>""</f>
        <v/>
      </c>
      <c r="CH2580" t="str">
        <f>""</f>
        <v/>
      </c>
      <c r="CS2580" t="str">
        <f>""</f>
        <v/>
      </c>
    </row>
    <row r="2581" spans="1:97" x14ac:dyDescent="0.25">
      <c r="A2581" t="s">
        <v>938</v>
      </c>
      <c r="B2581" t="s">
        <v>17174</v>
      </c>
      <c r="C2581" t="s">
        <v>4364</v>
      </c>
      <c r="D2581" t="s">
        <v>17174</v>
      </c>
      <c r="E2581" t="s">
        <v>17175</v>
      </c>
      <c r="F2581" t="s">
        <v>108</v>
      </c>
      <c r="H2581" t="s">
        <v>17176</v>
      </c>
      <c r="I2581" t="s">
        <v>453</v>
      </c>
      <c r="J2581" t="s">
        <v>111</v>
      </c>
      <c r="K2581" t="str">
        <f>"85383"</f>
        <v>85383</v>
      </c>
      <c r="L2581" t="s">
        <v>5893</v>
      </c>
      <c r="M2581" t="s">
        <v>17176</v>
      </c>
      <c r="N2581" t="s">
        <v>453</v>
      </c>
      <c r="O2581" t="s">
        <v>111</v>
      </c>
      <c r="P2581" t="str">
        <f>"85383-4415"</f>
        <v>85383-4415</v>
      </c>
      <c r="Q2581" t="s">
        <v>113</v>
      </c>
      <c r="R2581" t="str">
        <f>"510-01-406"</f>
        <v>510-01-406</v>
      </c>
      <c r="S2581" t="s">
        <v>17177</v>
      </c>
      <c r="T2581" t="s">
        <v>17178</v>
      </c>
      <c r="U2581">
        <v>2398</v>
      </c>
      <c r="V2581">
        <v>0</v>
      </c>
      <c r="W2581">
        <v>4</v>
      </c>
      <c r="X2581">
        <v>2004</v>
      </c>
      <c r="Z2581">
        <v>2</v>
      </c>
      <c r="AB2581">
        <v>0</v>
      </c>
      <c r="AC2581" t="s">
        <v>115</v>
      </c>
      <c r="AD2581">
        <v>2</v>
      </c>
      <c r="AE2581" t="s">
        <v>115</v>
      </c>
      <c r="AF2581">
        <v>0</v>
      </c>
      <c r="AG2581">
        <v>0</v>
      </c>
      <c r="AH2581" t="s">
        <v>116</v>
      </c>
      <c r="AI2581" s="1">
        <v>95070</v>
      </c>
      <c r="AJ2581" s="2">
        <v>0.27</v>
      </c>
      <c r="AK2581" s="1">
        <v>356165</v>
      </c>
      <c r="AL2581" t="s">
        <v>117</v>
      </c>
      <c r="AM2581" t="s">
        <v>118</v>
      </c>
      <c r="AN2581">
        <v>7015</v>
      </c>
      <c r="AO2581">
        <v>0.16</v>
      </c>
      <c r="AR2581">
        <v>1</v>
      </c>
      <c r="AS2581" s="1">
        <v>25070</v>
      </c>
      <c r="AT2581" s="1">
        <v>5010</v>
      </c>
      <c r="AU2581" s="1">
        <v>20060</v>
      </c>
      <c r="AV2581">
        <v>80.02</v>
      </c>
      <c r="AX2581" s="1">
        <v>2470.52</v>
      </c>
      <c r="AY2581" t="s">
        <v>627</v>
      </c>
      <c r="AZ2581" t="s">
        <v>627</v>
      </c>
      <c r="BA2581" t="s">
        <v>457</v>
      </c>
      <c r="BE2581" s="3">
        <v>42292</v>
      </c>
      <c r="BF2581" s="1">
        <v>255600</v>
      </c>
      <c r="BG2581" t="s">
        <v>17179</v>
      </c>
      <c r="BH2581" s="1">
        <v>106.59</v>
      </c>
      <c r="BI2581" s="1">
        <v>261095</v>
      </c>
      <c r="BJ2581" s="3">
        <v>42292</v>
      </c>
      <c r="BK2581" t="s">
        <v>123</v>
      </c>
      <c r="BL2581" t="str">
        <f>"2015.741949"</f>
        <v>2015.741949</v>
      </c>
      <c r="BM2581" t="s">
        <v>135</v>
      </c>
      <c r="BO2581" t="s">
        <v>17180</v>
      </c>
      <c r="BS2581">
        <v>30</v>
      </c>
      <c r="BW2581" t="str">
        <f>""</f>
        <v/>
      </c>
      <c r="CH2581" t="str">
        <f>""</f>
        <v/>
      </c>
      <c r="CS2581" t="str">
        <f>""</f>
        <v/>
      </c>
    </row>
    <row r="2582" spans="1:97" x14ac:dyDescent="0.25">
      <c r="A2582" t="s">
        <v>17181</v>
      </c>
      <c r="B2582" t="s">
        <v>3265</v>
      </c>
      <c r="C2582" t="s">
        <v>1423</v>
      </c>
      <c r="D2582" t="s">
        <v>3265</v>
      </c>
      <c r="E2582" t="s">
        <v>17182</v>
      </c>
      <c r="F2582" t="s">
        <v>108</v>
      </c>
      <c r="H2582" t="s">
        <v>17183</v>
      </c>
      <c r="I2582" t="s">
        <v>110</v>
      </c>
      <c r="J2582" t="s">
        <v>111</v>
      </c>
      <c r="K2582" t="str">
        <f>"85286"</f>
        <v>85286</v>
      </c>
      <c r="L2582" t="s">
        <v>7109</v>
      </c>
      <c r="M2582" t="s">
        <v>17183</v>
      </c>
      <c r="N2582" t="s">
        <v>110</v>
      </c>
      <c r="O2582" t="s">
        <v>111</v>
      </c>
      <c r="P2582" t="str">
        <f>"85286-2577"</f>
        <v>85286-2577</v>
      </c>
      <c r="Q2582" t="s">
        <v>113</v>
      </c>
      <c r="R2582" t="str">
        <f>"303-42-249"</f>
        <v>303-42-249</v>
      </c>
      <c r="S2582" t="s">
        <v>17184</v>
      </c>
      <c r="T2582" t="s">
        <v>17184</v>
      </c>
      <c r="U2582">
        <v>2219</v>
      </c>
      <c r="V2582">
        <v>0</v>
      </c>
      <c r="W2582">
        <v>3</v>
      </c>
      <c r="X2582">
        <v>2002</v>
      </c>
      <c r="Z2582">
        <v>1</v>
      </c>
      <c r="AB2582">
        <v>0</v>
      </c>
      <c r="AC2582" t="s">
        <v>115</v>
      </c>
      <c r="AD2582">
        <v>2</v>
      </c>
      <c r="AE2582" t="s">
        <v>115</v>
      </c>
      <c r="AF2582">
        <v>0</v>
      </c>
      <c r="AG2582">
        <v>0</v>
      </c>
      <c r="AH2582" t="s">
        <v>116</v>
      </c>
      <c r="AI2582" s="1">
        <v>43204</v>
      </c>
      <c r="AJ2582" s="2">
        <v>0.11</v>
      </c>
      <c r="AK2582" s="1">
        <v>388289</v>
      </c>
      <c r="AL2582" t="s">
        <v>117</v>
      </c>
      <c r="AM2582" t="s">
        <v>118</v>
      </c>
      <c r="AN2582">
        <v>10648</v>
      </c>
      <c r="AO2582">
        <v>0.24</v>
      </c>
      <c r="AP2582">
        <v>1</v>
      </c>
      <c r="AR2582">
        <v>1</v>
      </c>
      <c r="AS2582" s="1">
        <v>27380</v>
      </c>
      <c r="AT2582" s="1">
        <v>5470</v>
      </c>
      <c r="AU2582" s="1">
        <v>21910</v>
      </c>
      <c r="AV2582">
        <v>80.02</v>
      </c>
      <c r="AX2582" s="1">
        <v>2439.56</v>
      </c>
      <c r="AY2582" t="s">
        <v>9063</v>
      </c>
      <c r="AZ2582" t="s">
        <v>120</v>
      </c>
      <c r="BA2582" t="s">
        <v>303</v>
      </c>
      <c r="BE2582" s="3">
        <v>42145</v>
      </c>
      <c r="BF2582" s="1">
        <v>299900</v>
      </c>
      <c r="BG2582" t="s">
        <v>17185</v>
      </c>
      <c r="BH2582" s="1">
        <v>135.15</v>
      </c>
      <c r="BI2582" s="1">
        <v>306347</v>
      </c>
      <c r="BJ2582" s="3">
        <v>42145</v>
      </c>
      <c r="BK2582" t="s">
        <v>123</v>
      </c>
      <c r="BL2582" t="str">
        <f>"2015.357633"</f>
        <v>2015.357633</v>
      </c>
      <c r="BM2582" t="s">
        <v>1201</v>
      </c>
      <c r="BN2582" t="s">
        <v>17186</v>
      </c>
      <c r="BO2582" t="s">
        <v>17187</v>
      </c>
      <c r="BS2582">
        <v>30</v>
      </c>
      <c r="BT2582" s="1">
        <v>38738</v>
      </c>
      <c r="BU2582" s="3">
        <v>43528</v>
      </c>
      <c r="BW2582" t="str">
        <f>"2019.146838"</f>
        <v>2019.146838</v>
      </c>
      <c r="BX2582" t="s">
        <v>654</v>
      </c>
      <c r="BY2582" t="s">
        <v>655</v>
      </c>
      <c r="BZ2582" t="s">
        <v>17188</v>
      </c>
      <c r="CA2582" t="s">
        <v>17189</v>
      </c>
      <c r="CC2582" t="s">
        <v>346</v>
      </c>
      <c r="CH2582" t="str">
        <f>""</f>
        <v/>
      </c>
      <c r="CS2582" t="str">
        <f>""</f>
        <v/>
      </c>
    </row>
    <row r="2583" spans="1:97" x14ac:dyDescent="0.25">
      <c r="A2583" t="s">
        <v>7343</v>
      </c>
      <c r="B2583" t="s">
        <v>17190</v>
      </c>
      <c r="C2583" t="s">
        <v>484</v>
      </c>
      <c r="D2583" t="s">
        <v>17190</v>
      </c>
      <c r="E2583" t="s">
        <v>17191</v>
      </c>
      <c r="F2583" t="s">
        <v>108</v>
      </c>
      <c r="H2583" t="s">
        <v>17192</v>
      </c>
      <c r="I2583" t="s">
        <v>632</v>
      </c>
      <c r="J2583" t="s">
        <v>111</v>
      </c>
      <c r="K2583" t="str">
        <f>"85374"</f>
        <v>85374</v>
      </c>
      <c r="L2583" t="s">
        <v>6601</v>
      </c>
      <c r="M2583" t="s">
        <v>17192</v>
      </c>
      <c r="N2583" t="s">
        <v>632</v>
      </c>
      <c r="O2583" t="s">
        <v>111</v>
      </c>
      <c r="P2583" t="str">
        <f>"85374-8915"</f>
        <v>85374-8915</v>
      </c>
      <c r="Q2583" t="s">
        <v>113</v>
      </c>
      <c r="R2583" t="str">
        <f>"507-07-678"</f>
        <v>507-07-678</v>
      </c>
      <c r="S2583" t="s">
        <v>17193</v>
      </c>
      <c r="U2583">
        <v>2209</v>
      </c>
      <c r="V2583">
        <v>0</v>
      </c>
      <c r="W2583">
        <v>4</v>
      </c>
      <c r="X2583">
        <v>2004</v>
      </c>
      <c r="Z2583">
        <v>1</v>
      </c>
      <c r="AA2583" t="s">
        <v>26</v>
      </c>
      <c r="AB2583">
        <v>0</v>
      </c>
      <c r="AC2583" t="s">
        <v>115</v>
      </c>
      <c r="AD2583">
        <v>2</v>
      </c>
      <c r="AE2583" t="s">
        <v>115</v>
      </c>
      <c r="AF2583">
        <v>0</v>
      </c>
      <c r="AG2583">
        <v>0</v>
      </c>
      <c r="AH2583" t="s">
        <v>116</v>
      </c>
      <c r="AI2583" s="1">
        <v>90769</v>
      </c>
      <c r="AJ2583" s="2">
        <v>0.25</v>
      </c>
      <c r="AK2583" s="1">
        <v>366569</v>
      </c>
      <c r="AL2583" t="s">
        <v>117</v>
      </c>
      <c r="AM2583" t="s">
        <v>118</v>
      </c>
      <c r="AN2583">
        <v>7608</v>
      </c>
      <c r="AO2583">
        <v>0.18</v>
      </c>
      <c r="AP2583">
        <v>1</v>
      </c>
      <c r="AR2583">
        <v>1</v>
      </c>
      <c r="AS2583" s="1">
        <v>27270</v>
      </c>
      <c r="AT2583" s="1">
        <v>5450</v>
      </c>
      <c r="AU2583" s="1">
        <v>21820</v>
      </c>
      <c r="AV2583">
        <v>80.010000000000005</v>
      </c>
      <c r="AX2583" s="1">
        <v>2629.58</v>
      </c>
      <c r="AY2583" t="s">
        <v>5168</v>
      </c>
      <c r="AZ2583" t="s">
        <v>5168</v>
      </c>
      <c r="BA2583" t="s">
        <v>5109</v>
      </c>
      <c r="BE2583" s="3">
        <v>41647</v>
      </c>
      <c r="BF2583" s="1">
        <v>286000</v>
      </c>
      <c r="BG2583" t="s">
        <v>17194</v>
      </c>
      <c r="BH2583" s="1">
        <v>129.47</v>
      </c>
      <c r="BI2583" s="1">
        <v>275800</v>
      </c>
      <c r="BJ2583" s="3">
        <v>42478</v>
      </c>
      <c r="BK2583" t="s">
        <v>123</v>
      </c>
      <c r="BL2583" t="str">
        <f>"2016.255726"</f>
        <v>2016.255726</v>
      </c>
      <c r="BM2583" t="s">
        <v>124</v>
      </c>
      <c r="BO2583" t="s">
        <v>17195</v>
      </c>
      <c r="BS2583">
        <v>30</v>
      </c>
      <c r="BW2583" t="str">
        <f>""</f>
        <v/>
      </c>
      <c r="CH2583" t="str">
        <f>""</f>
        <v/>
      </c>
      <c r="CS2583" t="str">
        <f>""</f>
        <v/>
      </c>
    </row>
    <row r="2584" spans="1:97" x14ac:dyDescent="0.25">
      <c r="A2584" t="s">
        <v>1109</v>
      </c>
      <c r="B2584" t="s">
        <v>17196</v>
      </c>
      <c r="C2584" t="s">
        <v>1011</v>
      </c>
      <c r="D2584" t="s">
        <v>17196</v>
      </c>
      <c r="E2584" t="s">
        <v>17197</v>
      </c>
      <c r="F2584" t="s">
        <v>108</v>
      </c>
      <c r="H2584" t="s">
        <v>17198</v>
      </c>
      <c r="I2584" t="s">
        <v>5551</v>
      </c>
      <c r="J2584" t="s">
        <v>111</v>
      </c>
      <c r="K2584" t="str">
        <f>"85248"</f>
        <v>85248</v>
      </c>
      <c r="L2584" t="s">
        <v>5456</v>
      </c>
      <c r="M2584" t="s">
        <v>17198</v>
      </c>
      <c r="N2584" t="s">
        <v>5551</v>
      </c>
      <c r="O2584" t="s">
        <v>111</v>
      </c>
      <c r="P2584" t="str">
        <f>"85248-7672"</f>
        <v>85248-7672</v>
      </c>
      <c r="Q2584" t="s">
        <v>113</v>
      </c>
      <c r="R2584" t="str">
        <f>"303-51-383"</f>
        <v>303-51-383</v>
      </c>
      <c r="S2584" t="s">
        <v>17199</v>
      </c>
      <c r="U2584">
        <v>3209</v>
      </c>
      <c r="V2584">
        <v>0</v>
      </c>
      <c r="W2584">
        <v>4</v>
      </c>
      <c r="X2584">
        <v>2000</v>
      </c>
      <c r="Z2584">
        <v>2</v>
      </c>
      <c r="AB2584">
        <v>0</v>
      </c>
      <c r="AC2584" t="s">
        <v>115</v>
      </c>
      <c r="AD2584">
        <v>2</v>
      </c>
      <c r="AE2584" t="s">
        <v>115</v>
      </c>
      <c r="AF2584">
        <v>0</v>
      </c>
      <c r="AG2584">
        <v>0</v>
      </c>
      <c r="AH2584" t="s">
        <v>116</v>
      </c>
      <c r="AI2584" s="1">
        <v>123558</v>
      </c>
      <c r="AJ2584" s="2">
        <v>0.22</v>
      </c>
      <c r="AK2584" s="1">
        <v>568264</v>
      </c>
      <c r="AL2584" t="s">
        <v>117</v>
      </c>
      <c r="AM2584" t="s">
        <v>191</v>
      </c>
      <c r="AN2584">
        <v>10831</v>
      </c>
      <c r="AO2584">
        <v>0.25</v>
      </c>
      <c r="AP2584">
        <v>1</v>
      </c>
      <c r="AR2584">
        <v>1</v>
      </c>
      <c r="AS2584" s="1">
        <v>43200</v>
      </c>
      <c r="AT2584" s="1">
        <v>8640</v>
      </c>
      <c r="AU2584" s="1">
        <v>34560</v>
      </c>
      <c r="AV2584">
        <v>80</v>
      </c>
      <c r="AX2584" s="1">
        <v>5285.3</v>
      </c>
      <c r="AY2584" t="s">
        <v>1881</v>
      </c>
      <c r="AZ2584" t="s">
        <v>1882</v>
      </c>
      <c r="BA2584" t="s">
        <v>121</v>
      </c>
      <c r="BE2584" s="3">
        <v>42160</v>
      </c>
      <c r="BF2584" s="1">
        <v>435000</v>
      </c>
      <c r="BG2584" t="s">
        <v>17200</v>
      </c>
      <c r="BH2584" s="1">
        <v>135.56</v>
      </c>
      <c r="BI2584" s="1">
        <v>444706</v>
      </c>
      <c r="BJ2584" s="3">
        <v>42160</v>
      </c>
      <c r="BK2584" t="s">
        <v>123</v>
      </c>
      <c r="BL2584" t="str">
        <f>"2015.402666"</f>
        <v>2015.402666</v>
      </c>
      <c r="BM2584" t="s">
        <v>820</v>
      </c>
      <c r="BO2584" t="s">
        <v>17201</v>
      </c>
      <c r="BS2584">
        <v>30</v>
      </c>
      <c r="BW2584" t="str">
        <f>""</f>
        <v/>
      </c>
      <c r="CH2584" t="str">
        <f>""</f>
        <v/>
      </c>
      <c r="CS2584" t="str">
        <f>""</f>
        <v/>
      </c>
    </row>
    <row r="2585" spans="1:97" x14ac:dyDescent="0.25">
      <c r="A2585" t="s">
        <v>259</v>
      </c>
      <c r="B2585" t="s">
        <v>8220</v>
      </c>
      <c r="E2585" t="s">
        <v>17202</v>
      </c>
      <c r="F2585" t="s">
        <v>108</v>
      </c>
      <c r="H2585" t="s">
        <v>17203</v>
      </c>
      <c r="I2585" t="s">
        <v>499</v>
      </c>
      <c r="J2585" t="s">
        <v>111</v>
      </c>
      <c r="K2585" t="str">
        <f>"85395"</f>
        <v>85395</v>
      </c>
      <c r="L2585" t="s">
        <v>4003</v>
      </c>
      <c r="M2585" t="s">
        <v>17203</v>
      </c>
      <c r="N2585" t="s">
        <v>499</v>
      </c>
      <c r="O2585" t="s">
        <v>111</v>
      </c>
      <c r="P2585" t="str">
        <f>"85395-2407"</f>
        <v>85395-2407</v>
      </c>
      <c r="Q2585" t="s">
        <v>113</v>
      </c>
      <c r="R2585" t="str">
        <f>"501-98-250"</f>
        <v>501-98-250</v>
      </c>
      <c r="S2585" t="s">
        <v>14681</v>
      </c>
      <c r="T2585" t="s">
        <v>14682</v>
      </c>
      <c r="U2585">
        <v>2814</v>
      </c>
      <c r="V2585">
        <v>0</v>
      </c>
      <c r="W2585">
        <v>4</v>
      </c>
      <c r="X2585">
        <v>2000</v>
      </c>
      <c r="Z2585">
        <v>2</v>
      </c>
      <c r="AA2585" t="s">
        <v>26</v>
      </c>
      <c r="AB2585">
        <v>0</v>
      </c>
      <c r="AC2585" t="s">
        <v>115</v>
      </c>
      <c r="AD2585">
        <v>3</v>
      </c>
      <c r="AE2585" t="s">
        <v>115</v>
      </c>
      <c r="AF2585">
        <v>0</v>
      </c>
      <c r="AG2585">
        <v>0</v>
      </c>
      <c r="AH2585" t="s">
        <v>116</v>
      </c>
      <c r="AI2585" s="1">
        <v>77243</v>
      </c>
      <c r="AJ2585" s="2">
        <v>0.21</v>
      </c>
      <c r="AK2585" s="1">
        <v>361272</v>
      </c>
      <c r="AL2585" t="s">
        <v>117</v>
      </c>
      <c r="AM2585" t="s">
        <v>118</v>
      </c>
      <c r="AN2585">
        <v>8066</v>
      </c>
      <c r="AO2585">
        <v>0.18</v>
      </c>
      <c r="AP2585">
        <v>1</v>
      </c>
      <c r="AR2585">
        <v>1</v>
      </c>
      <c r="AS2585" s="1">
        <v>29080</v>
      </c>
      <c r="AT2585" s="1">
        <v>5810</v>
      </c>
      <c r="AU2585" s="1">
        <v>23270</v>
      </c>
      <c r="AV2585">
        <v>80.02</v>
      </c>
      <c r="AX2585" s="1">
        <v>3936.84</v>
      </c>
      <c r="AY2585" t="s">
        <v>6796</v>
      </c>
      <c r="AZ2585" t="s">
        <v>6796</v>
      </c>
      <c r="BA2585" t="s">
        <v>3154</v>
      </c>
      <c r="BE2585" s="3">
        <v>41894</v>
      </c>
      <c r="BF2585" s="1">
        <v>281000</v>
      </c>
      <c r="BG2585" t="s">
        <v>17204</v>
      </c>
      <c r="BH2585" s="1">
        <v>99.86</v>
      </c>
      <c r="BI2585" s="1">
        <v>284029</v>
      </c>
      <c r="BJ2585" s="3">
        <v>42625</v>
      </c>
      <c r="BK2585" t="s">
        <v>123</v>
      </c>
      <c r="BL2585" t="str">
        <f>"2016.657026"</f>
        <v>2016.657026</v>
      </c>
      <c r="BM2585" t="s">
        <v>14332</v>
      </c>
      <c r="BO2585" t="s">
        <v>17205</v>
      </c>
      <c r="BQ2585" t="str">
        <f>"2.2500%"</f>
        <v>2.2500%</v>
      </c>
      <c r="BR2585" t="s">
        <v>1480</v>
      </c>
      <c r="BS2585">
        <v>30</v>
      </c>
      <c r="BW2585" t="str">
        <f>""</f>
        <v/>
      </c>
      <c r="CH2585" t="str">
        <f>""</f>
        <v/>
      </c>
      <c r="CS2585" t="str">
        <f>""</f>
        <v/>
      </c>
    </row>
    <row r="2586" spans="1:97" x14ac:dyDescent="0.25">
      <c r="A2586" t="s">
        <v>494</v>
      </c>
      <c r="B2586" t="s">
        <v>17206</v>
      </c>
      <c r="C2586" t="s">
        <v>17207</v>
      </c>
      <c r="D2586" t="s">
        <v>17206</v>
      </c>
      <c r="E2586" t="s">
        <v>17208</v>
      </c>
      <c r="F2586" t="s">
        <v>108</v>
      </c>
      <c r="H2586" t="s">
        <v>17209</v>
      </c>
      <c r="I2586" t="s">
        <v>5523</v>
      </c>
      <c r="J2586" t="s">
        <v>111</v>
      </c>
      <c r="K2586" t="str">
        <f>"85351"</f>
        <v>85351</v>
      </c>
      <c r="L2586" t="s">
        <v>1518</v>
      </c>
      <c r="M2586" t="s">
        <v>17209</v>
      </c>
      <c r="N2586" t="s">
        <v>5523</v>
      </c>
      <c r="O2586" t="s">
        <v>111</v>
      </c>
      <c r="P2586" t="str">
        <f>"85351-1017"</f>
        <v>85351-1017</v>
      </c>
      <c r="Q2586" t="s">
        <v>113</v>
      </c>
      <c r="R2586" t="str">
        <f>"230-02-080"</f>
        <v>230-02-080</v>
      </c>
      <c r="S2586" t="s">
        <v>17210</v>
      </c>
      <c r="U2586">
        <v>1832</v>
      </c>
      <c r="V2586">
        <v>0</v>
      </c>
      <c r="W2586">
        <v>2</v>
      </c>
      <c r="X2586">
        <v>1973</v>
      </c>
      <c r="Z2586">
        <v>1</v>
      </c>
      <c r="AB2586">
        <v>0</v>
      </c>
      <c r="AC2586" t="s">
        <v>115</v>
      </c>
      <c r="AD2586">
        <v>2</v>
      </c>
      <c r="AE2586" t="s">
        <v>115</v>
      </c>
      <c r="AF2586">
        <v>0</v>
      </c>
      <c r="AG2586">
        <v>0</v>
      </c>
      <c r="AH2586" t="s">
        <v>116</v>
      </c>
      <c r="AI2586" s="1">
        <v>55309</v>
      </c>
      <c r="AJ2586" s="2">
        <v>0.19</v>
      </c>
      <c r="AK2586" s="1">
        <v>292899</v>
      </c>
      <c r="AL2586" t="s">
        <v>117</v>
      </c>
      <c r="AM2586" t="s">
        <v>191</v>
      </c>
      <c r="AN2586">
        <v>9375</v>
      </c>
      <c r="AO2586">
        <v>0.22</v>
      </c>
      <c r="AP2586">
        <v>1</v>
      </c>
      <c r="AR2586">
        <v>1</v>
      </c>
      <c r="AS2586" s="1">
        <v>21200</v>
      </c>
      <c r="AT2586" s="1">
        <v>4240</v>
      </c>
      <c r="AU2586" s="1">
        <v>16960</v>
      </c>
      <c r="AV2586">
        <v>80</v>
      </c>
      <c r="AX2586" s="1">
        <v>1473.58</v>
      </c>
      <c r="AY2586" t="s">
        <v>4520</v>
      </c>
      <c r="AZ2586" t="s">
        <v>4520</v>
      </c>
      <c r="BA2586" t="s">
        <v>3360</v>
      </c>
      <c r="BE2586" s="3">
        <v>42460</v>
      </c>
      <c r="BF2586" s="1">
        <v>230000</v>
      </c>
      <c r="BG2586" t="s">
        <v>17211</v>
      </c>
      <c r="BH2586" s="1">
        <v>125.55</v>
      </c>
      <c r="BI2586" s="1">
        <v>237590</v>
      </c>
      <c r="BJ2586" s="3">
        <v>42460</v>
      </c>
      <c r="BK2586" t="s">
        <v>123</v>
      </c>
      <c r="BL2586" t="str">
        <f>"2016.210342"</f>
        <v>2016.210342</v>
      </c>
      <c r="BM2586" t="s">
        <v>6517</v>
      </c>
      <c r="BO2586" t="s">
        <v>17212</v>
      </c>
      <c r="BS2586">
        <v>30</v>
      </c>
      <c r="BW2586" t="str">
        <f>""</f>
        <v/>
      </c>
      <c r="CH2586" t="str">
        <f>""</f>
        <v/>
      </c>
      <c r="CS2586" t="str">
        <f>""</f>
        <v/>
      </c>
    </row>
    <row r="2587" spans="1:97" x14ac:dyDescent="0.25">
      <c r="A2587" t="s">
        <v>325</v>
      </c>
      <c r="B2587" t="s">
        <v>17213</v>
      </c>
      <c r="C2587" t="s">
        <v>220</v>
      </c>
      <c r="D2587" t="s">
        <v>17214</v>
      </c>
      <c r="E2587" t="s">
        <v>17215</v>
      </c>
      <c r="F2587" t="s">
        <v>108</v>
      </c>
      <c r="H2587" t="s">
        <v>17216</v>
      </c>
      <c r="I2587" t="s">
        <v>499</v>
      </c>
      <c r="J2587" t="s">
        <v>111</v>
      </c>
      <c r="K2587" t="str">
        <f>"85338"</f>
        <v>85338</v>
      </c>
      <c r="L2587" t="s">
        <v>3758</v>
      </c>
      <c r="M2587" t="s">
        <v>17216</v>
      </c>
      <c r="N2587" t="s">
        <v>499</v>
      </c>
      <c r="O2587" t="s">
        <v>111</v>
      </c>
      <c r="P2587" t="str">
        <f>"85338-5115"</f>
        <v>85338-5115</v>
      </c>
      <c r="Q2587" t="s">
        <v>113</v>
      </c>
      <c r="R2587" t="str">
        <f>"400-79-315"</f>
        <v>400-79-315</v>
      </c>
      <c r="S2587" t="s">
        <v>17217</v>
      </c>
      <c r="T2587" t="s">
        <v>9895</v>
      </c>
      <c r="U2587">
        <v>2548</v>
      </c>
      <c r="V2587">
        <v>0</v>
      </c>
      <c r="W2587">
        <v>4</v>
      </c>
      <c r="X2587">
        <v>2002</v>
      </c>
      <c r="Z2587">
        <v>2</v>
      </c>
      <c r="AA2587" t="s">
        <v>26</v>
      </c>
      <c r="AB2587">
        <v>0</v>
      </c>
      <c r="AC2587" t="s">
        <v>115</v>
      </c>
      <c r="AD2587">
        <v>2</v>
      </c>
      <c r="AE2587" t="s">
        <v>115</v>
      </c>
      <c r="AF2587">
        <v>0</v>
      </c>
      <c r="AG2587">
        <v>0</v>
      </c>
      <c r="AH2587" t="s">
        <v>116</v>
      </c>
      <c r="AI2587" s="1">
        <v>74988</v>
      </c>
      <c r="AJ2587" s="2">
        <v>0.22</v>
      </c>
      <c r="AK2587" s="1">
        <v>340475</v>
      </c>
      <c r="AL2587" t="s">
        <v>117</v>
      </c>
      <c r="AM2587" t="s">
        <v>118</v>
      </c>
      <c r="AN2587">
        <v>6000</v>
      </c>
      <c r="AO2587">
        <v>0.14000000000000001</v>
      </c>
      <c r="AP2587">
        <v>1</v>
      </c>
      <c r="AR2587">
        <v>1</v>
      </c>
      <c r="AS2587" s="1">
        <v>22920</v>
      </c>
      <c r="AT2587" s="1">
        <v>4580</v>
      </c>
      <c r="AU2587" s="1">
        <v>18340</v>
      </c>
      <c r="AV2587">
        <v>80.02</v>
      </c>
      <c r="AX2587" s="1">
        <v>2478.02</v>
      </c>
      <c r="AY2587" t="s">
        <v>4236</v>
      </c>
      <c r="AZ2587" t="s">
        <v>4236</v>
      </c>
      <c r="BA2587" t="s">
        <v>1247</v>
      </c>
      <c r="BE2587" s="3">
        <v>42066</v>
      </c>
      <c r="BF2587" s="1">
        <v>259900</v>
      </c>
      <c r="BG2587" t="s">
        <v>5609</v>
      </c>
      <c r="BH2587" s="1">
        <v>102</v>
      </c>
      <c r="BI2587" s="1">
        <v>265487</v>
      </c>
      <c r="BJ2587" s="3">
        <v>42066</v>
      </c>
      <c r="BK2587" t="s">
        <v>123</v>
      </c>
      <c r="BL2587" t="str">
        <f>"2015.142677"</f>
        <v>2015.142677</v>
      </c>
      <c r="BM2587" t="s">
        <v>724</v>
      </c>
      <c r="BO2587" t="s">
        <v>17218</v>
      </c>
      <c r="BP2587" t="s">
        <v>17219</v>
      </c>
      <c r="BS2587">
        <v>30</v>
      </c>
      <c r="BW2587" t="str">
        <f>""</f>
        <v/>
      </c>
      <c r="CH2587" t="str">
        <f>""</f>
        <v/>
      </c>
      <c r="CS2587" t="str">
        <f>""</f>
        <v/>
      </c>
    </row>
    <row r="2588" spans="1:97" x14ac:dyDescent="0.25">
      <c r="A2588" t="s">
        <v>17220</v>
      </c>
      <c r="B2588" t="s">
        <v>17221</v>
      </c>
      <c r="C2588" t="s">
        <v>604</v>
      </c>
      <c r="D2588" t="s">
        <v>17221</v>
      </c>
      <c r="E2588" t="s">
        <v>17222</v>
      </c>
      <c r="F2588" t="s">
        <v>108</v>
      </c>
      <c r="H2588" t="s">
        <v>17223</v>
      </c>
      <c r="I2588" t="s">
        <v>4251</v>
      </c>
      <c r="J2588" t="s">
        <v>111</v>
      </c>
      <c r="K2588" t="str">
        <f>"85353"</f>
        <v>85353</v>
      </c>
      <c r="L2588" t="s">
        <v>3885</v>
      </c>
      <c r="M2588" t="s">
        <v>17223</v>
      </c>
      <c r="N2588" t="s">
        <v>4251</v>
      </c>
      <c r="O2588" t="s">
        <v>111</v>
      </c>
      <c r="P2588" t="str">
        <f>"85353-1229"</f>
        <v>85353-1229</v>
      </c>
      <c r="Q2588" t="s">
        <v>113</v>
      </c>
      <c r="R2588" t="str">
        <f>"101-20-803"</f>
        <v>101-20-803</v>
      </c>
      <c r="S2588" t="s">
        <v>17224</v>
      </c>
      <c r="U2588">
        <v>1668</v>
      </c>
      <c r="V2588">
        <v>0</v>
      </c>
      <c r="W2588">
        <v>2</v>
      </c>
      <c r="X2588">
        <v>2015</v>
      </c>
      <c r="Z2588">
        <v>1</v>
      </c>
      <c r="AB2588">
        <v>0</v>
      </c>
      <c r="AC2588" t="s">
        <v>115</v>
      </c>
      <c r="AD2588">
        <v>2</v>
      </c>
      <c r="AE2588" t="s">
        <v>115</v>
      </c>
      <c r="AF2588">
        <v>0</v>
      </c>
      <c r="AG2588">
        <v>0</v>
      </c>
      <c r="AH2588" t="s">
        <v>116</v>
      </c>
      <c r="AI2588" s="1">
        <v>251422</v>
      </c>
      <c r="AJ2588" s="2">
        <v>1</v>
      </c>
      <c r="AK2588" s="1">
        <v>251422</v>
      </c>
      <c r="AL2588" t="s">
        <v>117</v>
      </c>
      <c r="AM2588" t="s">
        <v>191</v>
      </c>
      <c r="AN2588">
        <v>5022</v>
      </c>
      <c r="AO2588">
        <v>0.12</v>
      </c>
      <c r="AR2588">
        <v>1</v>
      </c>
      <c r="AS2588" s="1">
        <v>17730</v>
      </c>
      <c r="AT2588" s="1">
        <v>3540</v>
      </c>
      <c r="AU2588" s="1">
        <v>14190</v>
      </c>
      <c r="AV2588">
        <v>80.03</v>
      </c>
      <c r="AX2588" s="1">
        <v>2140.54</v>
      </c>
      <c r="AY2588" t="s">
        <v>4253</v>
      </c>
      <c r="AZ2588" t="s">
        <v>4253</v>
      </c>
      <c r="BA2588" t="s">
        <v>4254</v>
      </c>
      <c r="BE2588" s="3">
        <v>42177</v>
      </c>
      <c r="BF2588" s="1">
        <v>196976</v>
      </c>
      <c r="BG2588" t="s">
        <v>209</v>
      </c>
      <c r="BH2588" s="1">
        <v>118.09</v>
      </c>
      <c r="BI2588" s="1">
        <v>203476</v>
      </c>
      <c r="BJ2588" s="3">
        <v>42177</v>
      </c>
      <c r="BK2588" t="s">
        <v>123</v>
      </c>
      <c r="BL2588" t="str">
        <f>"2015.444830"</f>
        <v>2015.444830</v>
      </c>
      <c r="BM2588" t="s">
        <v>175</v>
      </c>
      <c r="BN2588" t="s">
        <v>132</v>
      </c>
      <c r="BO2588" t="s">
        <v>17225</v>
      </c>
      <c r="BS2588">
        <v>30</v>
      </c>
      <c r="BW2588" t="str">
        <f>""</f>
        <v/>
      </c>
      <c r="CH2588" t="str">
        <f>""</f>
        <v/>
      </c>
      <c r="CS2588" t="str">
        <f>""</f>
        <v/>
      </c>
    </row>
    <row r="2589" spans="1:97" x14ac:dyDescent="0.25">
      <c r="A2589" t="s">
        <v>9522</v>
      </c>
      <c r="B2589" t="s">
        <v>2522</v>
      </c>
      <c r="C2589" t="s">
        <v>17226</v>
      </c>
      <c r="D2589" t="s">
        <v>2522</v>
      </c>
      <c r="E2589" t="s">
        <v>17227</v>
      </c>
      <c r="F2589" t="s">
        <v>108</v>
      </c>
      <c r="H2589" t="s">
        <v>17228</v>
      </c>
      <c r="I2589" t="s">
        <v>167</v>
      </c>
      <c r="J2589" t="s">
        <v>111</v>
      </c>
      <c r="K2589" t="str">
        <f>"85339"</f>
        <v>85339</v>
      </c>
      <c r="L2589" t="s">
        <v>168</v>
      </c>
      <c r="M2589" t="s">
        <v>17228</v>
      </c>
      <c r="N2589" t="s">
        <v>167</v>
      </c>
      <c r="O2589" t="s">
        <v>111</v>
      </c>
      <c r="P2589" t="str">
        <f>"85339-5157"</f>
        <v>85339-5157</v>
      </c>
      <c r="Q2589" t="s">
        <v>113</v>
      </c>
      <c r="R2589" t="str">
        <f>"104-73-593"</f>
        <v>104-73-593</v>
      </c>
      <c r="S2589" t="s">
        <v>169</v>
      </c>
      <c r="T2589" t="s">
        <v>170</v>
      </c>
      <c r="U2589">
        <v>2320</v>
      </c>
      <c r="V2589">
        <v>0</v>
      </c>
      <c r="W2589">
        <v>4</v>
      </c>
      <c r="X2589">
        <v>2015</v>
      </c>
      <c r="Z2589">
        <v>1</v>
      </c>
      <c r="AA2589" t="s">
        <v>26</v>
      </c>
      <c r="AB2589">
        <v>0</v>
      </c>
      <c r="AC2589" t="s">
        <v>115</v>
      </c>
      <c r="AD2589">
        <v>2</v>
      </c>
      <c r="AE2589" t="s">
        <v>115</v>
      </c>
      <c r="AF2589">
        <v>0</v>
      </c>
      <c r="AG2589">
        <v>0</v>
      </c>
      <c r="AH2589" t="s">
        <v>116</v>
      </c>
      <c r="AI2589" s="1">
        <v>97321</v>
      </c>
      <c r="AJ2589" s="2">
        <v>0.28999999999999998</v>
      </c>
      <c r="AK2589" s="1">
        <v>333627</v>
      </c>
      <c r="AL2589" t="s">
        <v>117</v>
      </c>
      <c r="AM2589" t="s">
        <v>171</v>
      </c>
      <c r="AN2589">
        <v>9317</v>
      </c>
      <c r="AO2589">
        <v>0.21</v>
      </c>
      <c r="AR2589">
        <v>1</v>
      </c>
      <c r="AS2589" s="1">
        <v>25530</v>
      </c>
      <c r="AT2589" s="1">
        <v>5100</v>
      </c>
      <c r="AU2589" s="1">
        <v>20430</v>
      </c>
      <c r="AV2589">
        <v>80.02</v>
      </c>
      <c r="AX2589" s="1">
        <v>3782.86</v>
      </c>
      <c r="AY2589" t="s">
        <v>805</v>
      </c>
      <c r="AZ2589" t="s">
        <v>806</v>
      </c>
      <c r="BA2589" t="s">
        <v>173</v>
      </c>
      <c r="BE2589" s="3">
        <v>42088</v>
      </c>
      <c r="BF2589" s="1">
        <v>293196</v>
      </c>
      <c r="BG2589" t="s">
        <v>174</v>
      </c>
      <c r="BH2589" s="1">
        <v>126.38</v>
      </c>
      <c r="BI2589" s="1">
        <v>236306</v>
      </c>
      <c r="BJ2589" s="3">
        <v>42782</v>
      </c>
      <c r="BK2589" t="s">
        <v>123</v>
      </c>
      <c r="BL2589" t="str">
        <f>"2017.114834"</f>
        <v>2017.114834</v>
      </c>
      <c r="BM2589" t="s">
        <v>1695</v>
      </c>
      <c r="BO2589" t="s">
        <v>17229</v>
      </c>
      <c r="BS2589">
        <v>30</v>
      </c>
      <c r="BW2589" t="str">
        <f>""</f>
        <v/>
      </c>
      <c r="CH2589" t="str">
        <f>""</f>
        <v/>
      </c>
      <c r="CS2589" t="str">
        <f>""</f>
        <v/>
      </c>
    </row>
    <row r="2590" spans="1:97" x14ac:dyDescent="0.25">
      <c r="A2590" t="s">
        <v>4221</v>
      </c>
      <c r="B2590" t="s">
        <v>17230</v>
      </c>
      <c r="E2590" t="s">
        <v>17231</v>
      </c>
      <c r="F2590" t="s">
        <v>108</v>
      </c>
      <c r="H2590" t="s">
        <v>17232</v>
      </c>
      <c r="I2590" t="s">
        <v>1788</v>
      </c>
      <c r="J2590" t="s">
        <v>111</v>
      </c>
      <c r="K2590" t="str">
        <f>"85355"</f>
        <v>85355</v>
      </c>
      <c r="L2590" t="s">
        <v>168</v>
      </c>
      <c r="M2590" t="s">
        <v>17232</v>
      </c>
      <c r="N2590" t="s">
        <v>1788</v>
      </c>
      <c r="O2590" t="s">
        <v>111</v>
      </c>
      <c r="P2590" t="str">
        <f>"85355-4423"</f>
        <v>85355-4423</v>
      </c>
      <c r="Q2590" t="s">
        <v>113</v>
      </c>
      <c r="R2590" t="str">
        <f>"502-90-259"</f>
        <v>502-90-259</v>
      </c>
      <c r="S2590" t="s">
        <v>8290</v>
      </c>
      <c r="U2590">
        <v>2023</v>
      </c>
      <c r="V2590">
        <v>0</v>
      </c>
      <c r="W2590">
        <v>3</v>
      </c>
      <c r="X2590">
        <v>2014</v>
      </c>
      <c r="Z2590">
        <v>1</v>
      </c>
      <c r="AB2590">
        <v>0</v>
      </c>
      <c r="AC2590" t="s">
        <v>115</v>
      </c>
      <c r="AD2590">
        <v>2</v>
      </c>
      <c r="AE2590" t="s">
        <v>115</v>
      </c>
      <c r="AF2590">
        <v>0</v>
      </c>
      <c r="AG2590">
        <v>0</v>
      </c>
      <c r="AH2590" t="s">
        <v>116</v>
      </c>
      <c r="AI2590" s="1">
        <v>67186</v>
      </c>
      <c r="AJ2590" s="2">
        <v>0.24</v>
      </c>
      <c r="AK2590" s="1">
        <v>282675</v>
      </c>
      <c r="AL2590" t="s">
        <v>117</v>
      </c>
      <c r="AM2590" t="s">
        <v>191</v>
      </c>
      <c r="AN2590">
        <v>6639</v>
      </c>
      <c r="AO2590">
        <v>0.15</v>
      </c>
      <c r="AR2590">
        <v>1</v>
      </c>
      <c r="AS2590" s="1">
        <v>20210</v>
      </c>
      <c r="AT2590" s="1">
        <v>4040</v>
      </c>
      <c r="AU2590" s="1">
        <v>16170</v>
      </c>
      <c r="AV2590">
        <v>80.010000000000005</v>
      </c>
      <c r="AX2590" s="1">
        <v>1357.88</v>
      </c>
      <c r="AY2590" t="s">
        <v>5972</v>
      </c>
      <c r="AZ2590" t="s">
        <v>5972</v>
      </c>
      <c r="BA2590" t="s">
        <v>5061</v>
      </c>
      <c r="BE2590" s="3">
        <v>42024</v>
      </c>
      <c r="BF2590" s="1">
        <v>210954</v>
      </c>
      <c r="BG2590" t="s">
        <v>2780</v>
      </c>
      <c r="BH2590" s="1">
        <v>104.28</v>
      </c>
      <c r="BI2590" s="1">
        <v>215489</v>
      </c>
      <c r="BJ2590" s="3">
        <v>42024</v>
      </c>
      <c r="BK2590" t="s">
        <v>123</v>
      </c>
      <c r="BL2590" t="str">
        <f>"2015.37741"</f>
        <v>2015.37741</v>
      </c>
      <c r="BM2590" t="s">
        <v>175</v>
      </c>
      <c r="BO2590" t="s">
        <v>17233</v>
      </c>
      <c r="BS2590">
        <v>30</v>
      </c>
      <c r="BW2590" t="str">
        <f>""</f>
        <v/>
      </c>
      <c r="CH2590" t="str">
        <f>""</f>
        <v/>
      </c>
      <c r="CS2590" t="str">
        <f>""</f>
        <v/>
      </c>
    </row>
    <row r="2591" spans="1:97" x14ac:dyDescent="0.25">
      <c r="A2591" t="s">
        <v>1009</v>
      </c>
      <c r="B2591" t="s">
        <v>17234</v>
      </c>
      <c r="C2591" t="s">
        <v>1995</v>
      </c>
      <c r="D2591" t="s">
        <v>17235</v>
      </c>
      <c r="E2591" t="s">
        <v>17236</v>
      </c>
      <c r="F2591" t="s">
        <v>108</v>
      </c>
      <c r="H2591" t="s">
        <v>17237</v>
      </c>
      <c r="I2591" t="s">
        <v>5387</v>
      </c>
      <c r="J2591" t="s">
        <v>111</v>
      </c>
      <c r="K2591" t="str">
        <f>"85283"</f>
        <v>85283</v>
      </c>
      <c r="L2591" t="s">
        <v>3982</v>
      </c>
      <c r="M2591" t="s">
        <v>17237</v>
      </c>
      <c r="N2591" t="s">
        <v>5387</v>
      </c>
      <c r="O2591" t="s">
        <v>111</v>
      </c>
      <c r="P2591" t="str">
        <f>"85283-4701"</f>
        <v>85283-4701</v>
      </c>
      <c r="Q2591" t="s">
        <v>113</v>
      </c>
      <c r="R2591" t="str">
        <f>"301-92-420"</f>
        <v>301-92-420</v>
      </c>
      <c r="S2591" t="s">
        <v>5856</v>
      </c>
      <c r="T2591" t="s">
        <v>5389</v>
      </c>
      <c r="U2591">
        <v>2242</v>
      </c>
      <c r="V2591">
        <v>0</v>
      </c>
      <c r="W2591">
        <v>3</v>
      </c>
      <c r="X2591">
        <v>1984</v>
      </c>
      <c r="Z2591">
        <v>2</v>
      </c>
      <c r="AA2591" t="s">
        <v>26</v>
      </c>
      <c r="AB2591">
        <v>0</v>
      </c>
      <c r="AC2591" t="s">
        <v>115</v>
      </c>
      <c r="AD2591">
        <v>2</v>
      </c>
      <c r="AE2591" t="s">
        <v>115</v>
      </c>
      <c r="AF2591">
        <v>0</v>
      </c>
      <c r="AG2591">
        <v>0</v>
      </c>
      <c r="AH2591" t="s">
        <v>116</v>
      </c>
      <c r="AI2591" s="1">
        <v>78914</v>
      </c>
      <c r="AJ2591" s="2">
        <v>0.21</v>
      </c>
      <c r="AK2591" s="1">
        <v>383380</v>
      </c>
      <c r="AL2591" t="s">
        <v>117</v>
      </c>
      <c r="AM2591" t="s">
        <v>393</v>
      </c>
      <c r="AN2591">
        <v>9069</v>
      </c>
      <c r="AO2591">
        <v>0.21</v>
      </c>
      <c r="AP2591">
        <v>1</v>
      </c>
      <c r="AR2591">
        <v>1</v>
      </c>
      <c r="AS2591" s="1">
        <v>25900</v>
      </c>
      <c r="AT2591" s="1">
        <v>5180</v>
      </c>
      <c r="AU2591" s="1">
        <v>20720</v>
      </c>
      <c r="AV2591">
        <v>80</v>
      </c>
      <c r="AX2591" s="1">
        <v>2322.3200000000002</v>
      </c>
      <c r="AY2591" t="s">
        <v>5857</v>
      </c>
      <c r="AZ2591" t="s">
        <v>5391</v>
      </c>
      <c r="BA2591" t="s">
        <v>5392</v>
      </c>
      <c r="BB2591" s="3">
        <v>42860</v>
      </c>
      <c r="BD2591" t="s">
        <v>458</v>
      </c>
      <c r="BE2591" s="3">
        <v>42164</v>
      </c>
      <c r="BF2591" s="1">
        <v>308000</v>
      </c>
      <c r="BG2591" t="s">
        <v>17238</v>
      </c>
      <c r="BH2591" s="1">
        <v>137.38</v>
      </c>
      <c r="BI2591" s="1">
        <v>304466</v>
      </c>
      <c r="BJ2591" s="3">
        <v>42726</v>
      </c>
      <c r="BK2591" t="s">
        <v>123</v>
      </c>
      <c r="BL2591" t="str">
        <f>"2016.944824"</f>
        <v>2016.944824</v>
      </c>
      <c r="BM2591" t="s">
        <v>724</v>
      </c>
      <c r="BO2591" t="s">
        <v>17239</v>
      </c>
      <c r="BS2591">
        <v>30</v>
      </c>
      <c r="BW2591" t="str">
        <f>""</f>
        <v/>
      </c>
      <c r="CH2591" t="str">
        <f>""</f>
        <v/>
      </c>
      <c r="CS2591" t="str">
        <f>""</f>
        <v/>
      </c>
    </row>
    <row r="2592" spans="1:97" x14ac:dyDescent="0.25">
      <c r="A2592" t="s">
        <v>305</v>
      </c>
      <c r="B2592" t="s">
        <v>17240</v>
      </c>
      <c r="C2592" t="s">
        <v>1119</v>
      </c>
      <c r="D2592" t="s">
        <v>17240</v>
      </c>
      <c r="E2592" t="s">
        <v>17241</v>
      </c>
      <c r="F2592" t="s">
        <v>108</v>
      </c>
      <c r="H2592" t="s">
        <v>17242</v>
      </c>
      <c r="I2592" t="s">
        <v>453</v>
      </c>
      <c r="J2592" t="s">
        <v>111</v>
      </c>
      <c r="K2592" t="str">
        <f>"85383"</f>
        <v>85383</v>
      </c>
      <c r="L2592" t="s">
        <v>3161</v>
      </c>
      <c r="M2592" t="s">
        <v>17242</v>
      </c>
      <c r="N2592" t="s">
        <v>453</v>
      </c>
      <c r="O2592" t="s">
        <v>111</v>
      </c>
      <c r="P2592" t="str">
        <f>"85383-7289"</f>
        <v>85383-7289</v>
      </c>
      <c r="Q2592" t="s">
        <v>113</v>
      </c>
      <c r="R2592" t="str">
        <f>"510-04-485"</f>
        <v>510-04-485</v>
      </c>
      <c r="S2592" t="s">
        <v>8376</v>
      </c>
      <c r="T2592" t="s">
        <v>8377</v>
      </c>
      <c r="U2592">
        <v>1997</v>
      </c>
      <c r="V2592">
        <v>0</v>
      </c>
      <c r="W2592">
        <v>5</v>
      </c>
      <c r="X2592">
        <v>2016</v>
      </c>
      <c r="Z2592">
        <v>2</v>
      </c>
      <c r="AB2592">
        <v>0</v>
      </c>
      <c r="AC2592" t="s">
        <v>115</v>
      </c>
      <c r="AD2592">
        <v>2</v>
      </c>
      <c r="AE2592" t="s">
        <v>115</v>
      </c>
      <c r="AF2592">
        <v>0</v>
      </c>
      <c r="AG2592">
        <v>0</v>
      </c>
      <c r="AH2592" t="s">
        <v>116</v>
      </c>
      <c r="AI2592" s="1">
        <v>116922</v>
      </c>
      <c r="AJ2592" s="2">
        <v>0.33</v>
      </c>
      <c r="AK2592" s="1">
        <v>351223</v>
      </c>
      <c r="AL2592" t="s">
        <v>117</v>
      </c>
      <c r="AM2592" t="s">
        <v>118</v>
      </c>
      <c r="AN2592">
        <v>4645</v>
      </c>
      <c r="AO2592">
        <v>0.11</v>
      </c>
      <c r="AR2592">
        <v>1</v>
      </c>
      <c r="AS2592" s="1">
        <v>22380</v>
      </c>
      <c r="AT2592" s="1">
        <v>4470</v>
      </c>
      <c r="AU2592" s="1">
        <v>17910</v>
      </c>
      <c r="AV2592">
        <v>80.03</v>
      </c>
      <c r="AX2592" s="1">
        <v>2106.2399999999998</v>
      </c>
      <c r="AY2592" t="s">
        <v>627</v>
      </c>
      <c r="AZ2592" t="s">
        <v>627</v>
      </c>
      <c r="BA2592" t="s">
        <v>457</v>
      </c>
      <c r="BE2592" s="3">
        <v>42551</v>
      </c>
      <c r="BF2592" s="1">
        <v>289262</v>
      </c>
      <c r="BG2592" t="s">
        <v>1079</v>
      </c>
      <c r="BH2592" s="1">
        <v>144.85</v>
      </c>
      <c r="BI2592" s="1">
        <v>234301</v>
      </c>
      <c r="BJ2592" s="3">
        <v>42551</v>
      </c>
      <c r="BK2592" t="s">
        <v>123</v>
      </c>
      <c r="BL2592" t="str">
        <f>"2016.461057"</f>
        <v>2016.461057</v>
      </c>
      <c r="BM2592" t="s">
        <v>1760</v>
      </c>
      <c r="BO2592" t="s">
        <v>17243</v>
      </c>
      <c r="BS2592">
        <v>30</v>
      </c>
      <c r="BW2592" t="str">
        <f>""</f>
        <v/>
      </c>
      <c r="CH2592" t="str">
        <f>""</f>
        <v/>
      </c>
      <c r="CS2592" t="str">
        <f>""</f>
        <v/>
      </c>
    </row>
    <row r="2593" spans="1:97" x14ac:dyDescent="0.25">
      <c r="A2593" t="s">
        <v>265</v>
      </c>
      <c r="B2593" t="s">
        <v>17244</v>
      </c>
      <c r="C2593" t="s">
        <v>2099</v>
      </c>
      <c r="D2593" t="s">
        <v>17244</v>
      </c>
      <c r="E2593" t="s">
        <v>17245</v>
      </c>
      <c r="F2593" t="s">
        <v>108</v>
      </c>
      <c r="H2593" t="s">
        <v>17246</v>
      </c>
      <c r="I2593" t="s">
        <v>203</v>
      </c>
      <c r="J2593" t="s">
        <v>111</v>
      </c>
      <c r="K2593" t="str">
        <f>"85296"</f>
        <v>85296</v>
      </c>
      <c r="L2593" t="s">
        <v>625</v>
      </c>
      <c r="M2593" t="s">
        <v>17246</v>
      </c>
      <c r="N2593" t="s">
        <v>203</v>
      </c>
      <c r="O2593" t="s">
        <v>111</v>
      </c>
      <c r="P2593" t="str">
        <f>"85296-3592"</f>
        <v>85296-3592</v>
      </c>
      <c r="Q2593" t="s">
        <v>113</v>
      </c>
      <c r="R2593" t="str">
        <f>"309-14-227"</f>
        <v>309-14-227</v>
      </c>
      <c r="S2593" t="s">
        <v>8532</v>
      </c>
      <c r="T2593" t="s">
        <v>8533</v>
      </c>
      <c r="U2593">
        <v>1655</v>
      </c>
      <c r="V2593">
        <v>0</v>
      </c>
      <c r="W2593">
        <v>3</v>
      </c>
      <c r="X2593">
        <v>1997</v>
      </c>
      <c r="Z2593">
        <v>1</v>
      </c>
      <c r="AA2593" t="s">
        <v>26</v>
      </c>
      <c r="AB2593">
        <v>0</v>
      </c>
      <c r="AC2593" t="s">
        <v>115</v>
      </c>
      <c r="AD2593">
        <v>2</v>
      </c>
      <c r="AE2593" t="s">
        <v>115</v>
      </c>
      <c r="AF2593">
        <v>0</v>
      </c>
      <c r="AG2593">
        <v>0</v>
      </c>
      <c r="AH2593" t="s">
        <v>116</v>
      </c>
      <c r="AI2593" s="1">
        <v>65642</v>
      </c>
      <c r="AJ2593" s="2">
        <v>0.21</v>
      </c>
      <c r="AK2593" s="1">
        <v>312492</v>
      </c>
      <c r="AL2593" t="s">
        <v>117</v>
      </c>
      <c r="AM2593" t="s">
        <v>191</v>
      </c>
      <c r="AN2593">
        <v>5397</v>
      </c>
      <c r="AO2593">
        <v>0.12</v>
      </c>
      <c r="AP2593">
        <v>1</v>
      </c>
      <c r="AR2593">
        <v>1</v>
      </c>
      <c r="AS2593" s="1">
        <v>21750</v>
      </c>
      <c r="AT2593" s="1">
        <v>4350</v>
      </c>
      <c r="AU2593" s="1">
        <v>17400</v>
      </c>
      <c r="AV2593">
        <v>80</v>
      </c>
      <c r="AX2593" s="1">
        <v>1495.62</v>
      </c>
      <c r="AY2593" t="s">
        <v>7046</v>
      </c>
      <c r="AZ2593" t="s">
        <v>207</v>
      </c>
      <c r="BA2593" t="s">
        <v>208</v>
      </c>
      <c r="BE2593" s="3">
        <v>42482</v>
      </c>
      <c r="BF2593" s="1">
        <v>249000</v>
      </c>
      <c r="BG2593" t="s">
        <v>17247</v>
      </c>
      <c r="BH2593" s="1">
        <v>150.44999999999999</v>
      </c>
      <c r="BI2593" s="1">
        <v>246850</v>
      </c>
      <c r="BJ2593" s="3">
        <v>42482</v>
      </c>
      <c r="BK2593" t="s">
        <v>123</v>
      </c>
      <c r="BL2593" t="str">
        <f>"2016.272308"</f>
        <v>2016.272308</v>
      </c>
      <c r="BM2593" t="s">
        <v>4049</v>
      </c>
      <c r="BO2593" t="s">
        <v>17248</v>
      </c>
      <c r="BS2593">
        <v>30</v>
      </c>
      <c r="BW2593" t="str">
        <f>""</f>
        <v/>
      </c>
      <c r="CH2593" t="str">
        <f>""</f>
        <v/>
      </c>
      <c r="CS2593" t="str">
        <f>""</f>
        <v/>
      </c>
    </row>
    <row r="2594" spans="1:97" x14ac:dyDescent="0.25">
      <c r="A2594" t="s">
        <v>12368</v>
      </c>
      <c r="B2594" t="s">
        <v>17249</v>
      </c>
      <c r="C2594" t="s">
        <v>17221</v>
      </c>
      <c r="D2594" t="s">
        <v>17249</v>
      </c>
      <c r="E2594" t="s">
        <v>17250</v>
      </c>
      <c r="F2594" t="s">
        <v>108</v>
      </c>
      <c r="H2594" t="s">
        <v>17251</v>
      </c>
      <c r="I2594" t="s">
        <v>499</v>
      </c>
      <c r="J2594" t="s">
        <v>111</v>
      </c>
      <c r="K2594" t="str">
        <f>"85338"</f>
        <v>85338</v>
      </c>
      <c r="L2594" t="s">
        <v>4751</v>
      </c>
      <c r="M2594" t="s">
        <v>17251</v>
      </c>
      <c r="N2594" t="s">
        <v>499</v>
      </c>
      <c r="O2594" t="s">
        <v>111</v>
      </c>
      <c r="P2594" t="str">
        <f>"85338-7784"</f>
        <v>85338-7784</v>
      </c>
      <c r="Q2594" t="s">
        <v>113</v>
      </c>
      <c r="R2594" t="str">
        <f>"400-58-262"</f>
        <v>400-58-262</v>
      </c>
      <c r="S2594" t="s">
        <v>4752</v>
      </c>
      <c r="T2594" t="s">
        <v>17252</v>
      </c>
      <c r="U2594">
        <v>2652</v>
      </c>
      <c r="V2594">
        <v>0</v>
      </c>
      <c r="W2594">
        <v>5</v>
      </c>
      <c r="X2594">
        <v>2015</v>
      </c>
      <c r="Z2594">
        <v>2</v>
      </c>
      <c r="AB2594">
        <v>0</v>
      </c>
      <c r="AC2594" t="s">
        <v>115</v>
      </c>
      <c r="AD2594">
        <v>2</v>
      </c>
      <c r="AE2594" t="s">
        <v>115</v>
      </c>
      <c r="AF2594">
        <v>0</v>
      </c>
      <c r="AG2594">
        <v>0</v>
      </c>
      <c r="AH2594" t="s">
        <v>116</v>
      </c>
      <c r="AI2594" s="1">
        <v>76805</v>
      </c>
      <c r="AJ2594" s="2">
        <v>0.2</v>
      </c>
      <c r="AK2594" s="1">
        <v>386805</v>
      </c>
      <c r="AL2594" t="s">
        <v>117</v>
      </c>
      <c r="AM2594" t="s">
        <v>118</v>
      </c>
      <c r="AN2594">
        <v>13286</v>
      </c>
      <c r="AO2594">
        <v>0.3</v>
      </c>
      <c r="AR2594">
        <v>1</v>
      </c>
      <c r="AS2594" s="1">
        <v>27410</v>
      </c>
      <c r="AT2594" s="1">
        <v>5480</v>
      </c>
      <c r="AU2594" s="1">
        <v>21930</v>
      </c>
      <c r="AV2594">
        <v>80.010000000000005</v>
      </c>
      <c r="AX2594" s="1">
        <v>3142.94</v>
      </c>
      <c r="AY2594" t="s">
        <v>1246</v>
      </c>
      <c r="AZ2594" t="s">
        <v>1246</v>
      </c>
      <c r="BA2594" t="s">
        <v>1247</v>
      </c>
      <c r="BE2594" s="3">
        <v>42237</v>
      </c>
      <c r="BF2594" s="1">
        <v>287854</v>
      </c>
      <c r="BG2594" t="s">
        <v>2780</v>
      </c>
      <c r="BH2594" s="1">
        <v>108.54</v>
      </c>
      <c r="BI2594" s="1">
        <v>310000</v>
      </c>
      <c r="BJ2594" s="3">
        <v>42604</v>
      </c>
      <c r="BK2594" t="s">
        <v>123</v>
      </c>
      <c r="BL2594" t="str">
        <f>"2016.602118"</f>
        <v>2016.602118</v>
      </c>
      <c r="BM2594" t="s">
        <v>1122</v>
      </c>
      <c r="BO2594" t="s">
        <v>17253</v>
      </c>
      <c r="BS2594">
        <v>30</v>
      </c>
      <c r="BW2594" t="str">
        <f>""</f>
        <v/>
      </c>
      <c r="CH2594" t="str">
        <f>""</f>
        <v/>
      </c>
      <c r="CS2594" t="str">
        <f>""</f>
        <v/>
      </c>
    </row>
    <row r="2595" spans="1:97" x14ac:dyDescent="0.25">
      <c r="A2595" t="s">
        <v>177</v>
      </c>
      <c r="B2595" t="s">
        <v>2692</v>
      </c>
      <c r="C2595" t="s">
        <v>1366</v>
      </c>
      <c r="D2595" t="s">
        <v>2692</v>
      </c>
      <c r="E2595" t="s">
        <v>17254</v>
      </c>
      <c r="F2595" t="s">
        <v>108</v>
      </c>
      <c r="H2595" t="s">
        <v>17255</v>
      </c>
      <c r="I2595" t="s">
        <v>499</v>
      </c>
      <c r="J2595" t="s">
        <v>111</v>
      </c>
      <c r="K2595" t="str">
        <f>"85395"</f>
        <v>85395</v>
      </c>
      <c r="L2595" t="s">
        <v>3885</v>
      </c>
      <c r="M2595" t="s">
        <v>17255</v>
      </c>
      <c r="N2595" t="s">
        <v>499</v>
      </c>
      <c r="O2595" t="s">
        <v>111</v>
      </c>
      <c r="P2595" t="str">
        <f>"85395-8320"</f>
        <v>85395-8320</v>
      </c>
      <c r="Q2595" t="s">
        <v>113</v>
      </c>
      <c r="R2595" t="str">
        <f>"501-70-440"</f>
        <v>501-70-440</v>
      </c>
      <c r="S2595" t="s">
        <v>10746</v>
      </c>
      <c r="T2595" t="s">
        <v>10747</v>
      </c>
      <c r="U2595">
        <v>2812</v>
      </c>
      <c r="V2595">
        <v>0</v>
      </c>
      <c r="W2595">
        <v>4</v>
      </c>
      <c r="X2595">
        <v>1999</v>
      </c>
      <c r="Z2595">
        <v>1</v>
      </c>
      <c r="AA2595" t="s">
        <v>26</v>
      </c>
      <c r="AB2595">
        <v>0</v>
      </c>
      <c r="AC2595" t="s">
        <v>115</v>
      </c>
      <c r="AD2595">
        <v>3</v>
      </c>
      <c r="AE2595" t="s">
        <v>115</v>
      </c>
      <c r="AF2595">
        <v>0</v>
      </c>
      <c r="AG2595">
        <v>0</v>
      </c>
      <c r="AH2595" t="s">
        <v>116</v>
      </c>
      <c r="AI2595" s="1">
        <v>74287</v>
      </c>
      <c r="AJ2595" s="2">
        <v>0.19</v>
      </c>
      <c r="AK2595" s="1">
        <v>389287</v>
      </c>
      <c r="AL2595" t="s">
        <v>117</v>
      </c>
      <c r="AM2595" t="s">
        <v>118</v>
      </c>
      <c r="AN2595">
        <v>10643</v>
      </c>
      <c r="AO2595">
        <v>0.24</v>
      </c>
      <c r="AP2595">
        <v>1</v>
      </c>
      <c r="AR2595">
        <v>1</v>
      </c>
      <c r="AS2595" s="1">
        <v>28530</v>
      </c>
      <c r="AT2595" s="1">
        <v>5700</v>
      </c>
      <c r="AU2595" s="1">
        <v>22830</v>
      </c>
      <c r="AV2595">
        <v>80.02</v>
      </c>
      <c r="AX2595" s="1">
        <v>3154.72</v>
      </c>
      <c r="AY2595" t="s">
        <v>3020</v>
      </c>
      <c r="AZ2595" t="s">
        <v>3020</v>
      </c>
      <c r="BA2595" t="s">
        <v>3154</v>
      </c>
      <c r="BE2595" s="3">
        <v>41857</v>
      </c>
      <c r="BF2595" s="1">
        <v>298000</v>
      </c>
      <c r="BG2595" t="s">
        <v>17256</v>
      </c>
      <c r="BH2595" s="1">
        <v>105.97</v>
      </c>
      <c r="BI2595" s="1">
        <v>315000</v>
      </c>
      <c r="BJ2595" s="3">
        <v>42445</v>
      </c>
      <c r="BK2595" t="s">
        <v>123</v>
      </c>
      <c r="BL2595" t="str">
        <f>"2016.170386"</f>
        <v>2016.170386</v>
      </c>
      <c r="BM2595" t="s">
        <v>5747</v>
      </c>
      <c r="BO2595" t="s">
        <v>17257</v>
      </c>
      <c r="BS2595">
        <v>30</v>
      </c>
      <c r="BW2595" t="str">
        <f>""</f>
        <v/>
      </c>
      <c r="CH2595" t="str">
        <f>""</f>
        <v/>
      </c>
      <c r="CS2595" t="str">
        <f>""</f>
        <v/>
      </c>
    </row>
    <row r="2596" spans="1:97" x14ac:dyDescent="0.25">
      <c r="A2596" t="s">
        <v>9020</v>
      </c>
      <c r="B2596" t="s">
        <v>1820</v>
      </c>
      <c r="E2596" t="s">
        <v>17258</v>
      </c>
      <c r="F2596" t="s">
        <v>108</v>
      </c>
      <c r="H2596" t="s">
        <v>17259</v>
      </c>
      <c r="I2596" t="s">
        <v>632</v>
      </c>
      <c r="J2596" t="s">
        <v>111</v>
      </c>
      <c r="K2596" t="str">
        <f>"85379"</f>
        <v>85379</v>
      </c>
      <c r="L2596" t="s">
        <v>454</v>
      </c>
      <c r="M2596" t="s">
        <v>17259</v>
      </c>
      <c r="N2596" t="s">
        <v>632</v>
      </c>
      <c r="O2596" t="s">
        <v>111</v>
      </c>
      <c r="P2596" t="str">
        <f>"85379-1059"</f>
        <v>85379-1059</v>
      </c>
      <c r="Q2596" t="s">
        <v>113</v>
      </c>
      <c r="R2596" t="str">
        <f>"501-46-663"</f>
        <v>501-46-663</v>
      </c>
      <c r="S2596" t="s">
        <v>5319</v>
      </c>
      <c r="U2596">
        <v>3950</v>
      </c>
      <c r="V2596">
        <v>0</v>
      </c>
      <c r="W2596">
        <v>5</v>
      </c>
      <c r="X2596">
        <v>2014</v>
      </c>
      <c r="Z2596">
        <v>2</v>
      </c>
      <c r="AB2596">
        <v>0</v>
      </c>
      <c r="AC2596" t="s">
        <v>115</v>
      </c>
      <c r="AD2596">
        <v>3</v>
      </c>
      <c r="AE2596" t="s">
        <v>115</v>
      </c>
      <c r="AF2596">
        <v>0</v>
      </c>
      <c r="AG2596">
        <v>0</v>
      </c>
      <c r="AH2596" t="s">
        <v>116</v>
      </c>
      <c r="AI2596" s="1">
        <v>48172</v>
      </c>
      <c r="AJ2596" s="2">
        <v>0.12</v>
      </c>
      <c r="AK2596" s="1">
        <v>393172</v>
      </c>
      <c r="AL2596" t="s">
        <v>117</v>
      </c>
      <c r="AM2596" t="s">
        <v>118</v>
      </c>
      <c r="AN2596">
        <v>8553</v>
      </c>
      <c r="AO2596">
        <v>0.2</v>
      </c>
      <c r="AR2596">
        <v>1</v>
      </c>
      <c r="AS2596" s="1">
        <v>27710</v>
      </c>
      <c r="AT2596" s="1">
        <v>5540</v>
      </c>
      <c r="AU2596" s="1">
        <v>22170</v>
      </c>
      <c r="AV2596">
        <v>80.010000000000005</v>
      </c>
      <c r="AX2596" s="1">
        <v>2326.58</v>
      </c>
      <c r="AY2596" t="s">
        <v>5060</v>
      </c>
      <c r="AZ2596" t="s">
        <v>5060</v>
      </c>
      <c r="BA2596" t="s">
        <v>5061</v>
      </c>
      <c r="BE2596" s="3">
        <v>41914</v>
      </c>
      <c r="BF2596" s="1">
        <v>311116</v>
      </c>
      <c r="BG2596" t="s">
        <v>459</v>
      </c>
      <c r="BH2596" s="1">
        <v>78.760000000000005</v>
      </c>
      <c r="BI2596" s="1">
        <v>345000</v>
      </c>
      <c r="BJ2596" s="3">
        <v>43552</v>
      </c>
      <c r="BK2596" t="s">
        <v>123</v>
      </c>
      <c r="BL2596" t="str">
        <f>"2019.215773"</f>
        <v>2019.215773</v>
      </c>
      <c r="BM2596" t="s">
        <v>5011</v>
      </c>
      <c r="BN2596" t="s">
        <v>5012</v>
      </c>
      <c r="BO2596" t="s">
        <v>17260</v>
      </c>
      <c r="BR2596" t="s">
        <v>139</v>
      </c>
      <c r="BW2596" t="str">
        <f>""</f>
        <v/>
      </c>
      <c r="CH2596" t="str">
        <f>""</f>
        <v/>
      </c>
      <c r="CS2596" t="str">
        <f>""</f>
        <v/>
      </c>
    </row>
    <row r="2597" spans="1:97" x14ac:dyDescent="0.25">
      <c r="A2597" t="s">
        <v>4098</v>
      </c>
      <c r="B2597" t="s">
        <v>2058</v>
      </c>
      <c r="E2597" t="s">
        <v>17261</v>
      </c>
      <c r="F2597" t="s">
        <v>108</v>
      </c>
      <c r="H2597" t="s">
        <v>17262</v>
      </c>
      <c r="I2597" t="s">
        <v>2874</v>
      </c>
      <c r="J2597" t="s">
        <v>111</v>
      </c>
      <c r="K2597" t="str">
        <f>"85308"</f>
        <v>85308</v>
      </c>
      <c r="L2597" t="s">
        <v>5291</v>
      </c>
      <c r="M2597" t="s">
        <v>17262</v>
      </c>
      <c r="N2597" t="s">
        <v>2874</v>
      </c>
      <c r="O2597" t="s">
        <v>111</v>
      </c>
      <c r="P2597" t="str">
        <f>"85308-5937"</f>
        <v>85308-5937</v>
      </c>
      <c r="Q2597" t="s">
        <v>113</v>
      </c>
      <c r="R2597" t="str">
        <f>"200-30-367"</f>
        <v>200-30-367</v>
      </c>
      <c r="S2597" t="s">
        <v>17263</v>
      </c>
      <c r="U2597">
        <v>2093</v>
      </c>
      <c r="V2597">
        <v>0</v>
      </c>
      <c r="W2597">
        <v>3</v>
      </c>
      <c r="X2597">
        <v>1987</v>
      </c>
      <c r="Z2597">
        <v>1</v>
      </c>
      <c r="AB2597">
        <v>0</v>
      </c>
      <c r="AC2597" t="s">
        <v>115</v>
      </c>
      <c r="AD2597">
        <v>2</v>
      </c>
      <c r="AE2597" t="s">
        <v>115</v>
      </c>
      <c r="AF2597">
        <v>0</v>
      </c>
      <c r="AG2597">
        <v>0</v>
      </c>
      <c r="AH2597" t="s">
        <v>116</v>
      </c>
      <c r="AI2597" s="1">
        <v>71229</v>
      </c>
      <c r="AJ2597" s="2">
        <v>0.2</v>
      </c>
      <c r="AK2597" s="1">
        <v>360469</v>
      </c>
      <c r="AL2597" t="s">
        <v>117</v>
      </c>
      <c r="AM2597" t="s">
        <v>191</v>
      </c>
      <c r="AN2597">
        <v>10400</v>
      </c>
      <c r="AO2597">
        <v>0.24</v>
      </c>
      <c r="AP2597">
        <v>1</v>
      </c>
      <c r="AR2597">
        <v>1</v>
      </c>
      <c r="AS2597" s="1">
        <v>26300</v>
      </c>
      <c r="AT2597" s="1">
        <v>5260</v>
      </c>
      <c r="AU2597" s="1">
        <v>21040</v>
      </c>
      <c r="AV2597">
        <v>80</v>
      </c>
      <c r="AX2597" s="1">
        <v>2480.52</v>
      </c>
      <c r="AY2597" t="s">
        <v>8400</v>
      </c>
      <c r="AZ2597" t="s">
        <v>8400</v>
      </c>
      <c r="BA2597" t="s">
        <v>2223</v>
      </c>
      <c r="BE2597" s="3">
        <v>41988</v>
      </c>
      <c r="BF2597" s="1">
        <v>280100</v>
      </c>
      <c r="BG2597" t="s">
        <v>17264</v>
      </c>
      <c r="BH2597" s="1">
        <v>133.83000000000001</v>
      </c>
      <c r="BI2597" s="1">
        <v>289240</v>
      </c>
      <c r="BJ2597" s="3">
        <v>41988</v>
      </c>
      <c r="BK2597" t="s">
        <v>123</v>
      </c>
      <c r="BL2597" t="str">
        <f>"2014.823420"</f>
        <v>2014.823420</v>
      </c>
      <c r="BM2597" t="s">
        <v>175</v>
      </c>
      <c r="BO2597" t="s">
        <v>17265</v>
      </c>
      <c r="BS2597">
        <v>30</v>
      </c>
      <c r="BW2597" t="str">
        <f>""</f>
        <v/>
      </c>
      <c r="CH2597" t="str">
        <f>""</f>
        <v/>
      </c>
      <c r="CS2597" t="str">
        <f>""</f>
        <v/>
      </c>
    </row>
    <row r="2598" spans="1:97" x14ac:dyDescent="0.25">
      <c r="A2598" t="s">
        <v>701</v>
      </c>
      <c r="B2598" t="s">
        <v>17266</v>
      </c>
      <c r="E2598" t="s">
        <v>17267</v>
      </c>
      <c r="F2598" t="s">
        <v>108</v>
      </c>
      <c r="H2598" t="s">
        <v>17268</v>
      </c>
      <c r="I2598" t="s">
        <v>390</v>
      </c>
      <c r="J2598" t="s">
        <v>111</v>
      </c>
      <c r="K2598" t="str">
        <f>"85024"</f>
        <v>85024</v>
      </c>
      <c r="L2598" t="s">
        <v>6902</v>
      </c>
      <c r="M2598" t="s">
        <v>17268</v>
      </c>
      <c r="N2598" t="s">
        <v>390</v>
      </c>
      <c r="O2598" t="s">
        <v>111</v>
      </c>
      <c r="P2598" t="str">
        <f>"85024-8212"</f>
        <v>85024-8212</v>
      </c>
      <c r="Q2598" t="s">
        <v>113</v>
      </c>
      <c r="R2598" t="str">
        <f>"213-24-294"</f>
        <v>213-24-294</v>
      </c>
      <c r="S2598" t="s">
        <v>17269</v>
      </c>
      <c r="T2598" t="s">
        <v>17270</v>
      </c>
      <c r="U2598">
        <v>988</v>
      </c>
      <c r="V2598">
        <v>0</v>
      </c>
      <c r="W2598">
        <v>2</v>
      </c>
      <c r="X2598">
        <v>1986</v>
      </c>
      <c r="Z2598">
        <v>1</v>
      </c>
      <c r="AB2598">
        <v>0</v>
      </c>
      <c r="AC2598" t="s">
        <v>115</v>
      </c>
      <c r="AD2598">
        <v>2</v>
      </c>
      <c r="AE2598" t="s">
        <v>115</v>
      </c>
      <c r="AF2598">
        <v>0</v>
      </c>
      <c r="AG2598">
        <v>0</v>
      </c>
      <c r="AH2598" t="s">
        <v>116</v>
      </c>
      <c r="AI2598" s="1">
        <v>33350</v>
      </c>
      <c r="AJ2598" s="2">
        <v>0.14000000000000001</v>
      </c>
      <c r="AK2598" s="1">
        <v>234785</v>
      </c>
      <c r="AL2598" t="s">
        <v>117</v>
      </c>
      <c r="AM2598" t="s">
        <v>171</v>
      </c>
      <c r="AN2598">
        <v>7068</v>
      </c>
      <c r="AO2598">
        <v>0.16</v>
      </c>
      <c r="AP2598">
        <v>1</v>
      </c>
      <c r="AR2598">
        <v>1</v>
      </c>
      <c r="AS2598" s="1">
        <v>16200</v>
      </c>
      <c r="AT2598" s="1">
        <v>3240</v>
      </c>
      <c r="AU2598" s="1">
        <v>12960</v>
      </c>
      <c r="AV2598">
        <v>80</v>
      </c>
      <c r="AX2598" s="1">
        <v>887.98</v>
      </c>
      <c r="AY2598" t="s">
        <v>8613</v>
      </c>
      <c r="AZ2598" t="s">
        <v>761</v>
      </c>
      <c r="BA2598" t="s">
        <v>2551</v>
      </c>
      <c r="BE2598" s="3">
        <v>42451</v>
      </c>
      <c r="BF2598" s="1">
        <v>195000</v>
      </c>
      <c r="BG2598" t="s">
        <v>17271</v>
      </c>
      <c r="BH2598" s="1">
        <v>197.37</v>
      </c>
      <c r="BI2598" s="1">
        <v>201435</v>
      </c>
      <c r="BJ2598" s="3">
        <v>42451</v>
      </c>
      <c r="BK2598" t="s">
        <v>123</v>
      </c>
      <c r="BL2598" t="str">
        <f>"2016.184443"</f>
        <v>2016.184443</v>
      </c>
      <c r="BM2598" t="s">
        <v>2472</v>
      </c>
      <c r="BO2598" t="s">
        <v>17272</v>
      </c>
      <c r="BS2598">
        <v>30</v>
      </c>
      <c r="BW2598" t="str">
        <f>""</f>
        <v/>
      </c>
      <c r="CH2598" t="str">
        <f>""</f>
        <v/>
      </c>
      <c r="CS2598" t="str">
        <f>""</f>
        <v/>
      </c>
    </row>
    <row r="2599" spans="1:97" x14ac:dyDescent="0.25">
      <c r="A2599" t="s">
        <v>17273</v>
      </c>
      <c r="B2599" t="s">
        <v>13238</v>
      </c>
      <c r="C2599" t="s">
        <v>2008</v>
      </c>
      <c r="D2599" t="s">
        <v>13238</v>
      </c>
      <c r="E2599" t="s">
        <v>17274</v>
      </c>
      <c r="F2599" t="s">
        <v>282</v>
      </c>
      <c r="H2599" t="s">
        <v>17275</v>
      </c>
      <c r="I2599" t="s">
        <v>203</v>
      </c>
      <c r="J2599" t="s">
        <v>111</v>
      </c>
      <c r="K2599" t="str">
        <f>"85296"</f>
        <v>85296</v>
      </c>
      <c r="L2599" t="s">
        <v>8667</v>
      </c>
      <c r="M2599" t="s">
        <v>17276</v>
      </c>
      <c r="N2599" t="s">
        <v>17277</v>
      </c>
      <c r="O2599" t="s">
        <v>17278</v>
      </c>
      <c r="P2599" t="str">
        <f>"46038-7450"</f>
        <v>46038-7450</v>
      </c>
      <c r="Q2599" t="s">
        <v>113</v>
      </c>
      <c r="R2599" t="str">
        <f>"304-29-245"</f>
        <v>304-29-245</v>
      </c>
      <c r="S2599" t="s">
        <v>17279</v>
      </c>
      <c r="T2599" t="s">
        <v>17280</v>
      </c>
      <c r="U2599">
        <v>1533</v>
      </c>
      <c r="V2599">
        <v>0</v>
      </c>
      <c r="W2599">
        <v>2</v>
      </c>
      <c r="X2599">
        <v>2002</v>
      </c>
      <c r="Z2599">
        <v>2</v>
      </c>
      <c r="AB2599">
        <v>0</v>
      </c>
      <c r="AC2599" t="s">
        <v>115</v>
      </c>
      <c r="AD2599">
        <v>2</v>
      </c>
      <c r="AE2599" t="s">
        <v>115</v>
      </c>
      <c r="AF2599">
        <v>0</v>
      </c>
      <c r="AG2599">
        <v>0</v>
      </c>
      <c r="AH2599" t="s">
        <v>116</v>
      </c>
      <c r="AI2599" s="1">
        <v>42992</v>
      </c>
      <c r="AJ2599" s="2">
        <v>0.16</v>
      </c>
      <c r="AK2599" s="1">
        <v>261680</v>
      </c>
      <c r="AL2599" t="s">
        <v>117</v>
      </c>
      <c r="AM2599" t="s">
        <v>288</v>
      </c>
      <c r="AN2599">
        <v>4166</v>
      </c>
      <c r="AO2599">
        <v>0.96</v>
      </c>
      <c r="AP2599">
        <v>1</v>
      </c>
      <c r="AR2599">
        <v>1</v>
      </c>
      <c r="AS2599" s="1">
        <v>17350</v>
      </c>
      <c r="AT2599" s="1">
        <v>3470</v>
      </c>
      <c r="AU2599" s="1">
        <v>13880</v>
      </c>
      <c r="AV2599">
        <v>80</v>
      </c>
      <c r="AX2599" s="1">
        <v>1536.12</v>
      </c>
      <c r="AY2599" t="s">
        <v>472</v>
      </c>
      <c r="AZ2599" t="s">
        <v>472</v>
      </c>
      <c r="BA2599" t="s">
        <v>473</v>
      </c>
      <c r="BE2599" s="3">
        <v>42313</v>
      </c>
      <c r="BF2599" s="1">
        <v>195000</v>
      </c>
      <c r="BG2599" t="s">
        <v>17281</v>
      </c>
      <c r="BH2599" s="1">
        <v>127.2</v>
      </c>
      <c r="BI2599" s="1">
        <v>218688</v>
      </c>
      <c r="BJ2599" s="3">
        <v>42674</v>
      </c>
      <c r="BK2599" t="s">
        <v>123</v>
      </c>
      <c r="BL2599" t="str">
        <f>"2016.796995"</f>
        <v>2016.796995</v>
      </c>
      <c r="BM2599" t="s">
        <v>673</v>
      </c>
      <c r="BO2599" t="s">
        <v>17282</v>
      </c>
      <c r="BQ2599" t="str">
        <f>"1.7500%"</f>
        <v>1.7500%</v>
      </c>
      <c r="BR2599" t="s">
        <v>1480</v>
      </c>
      <c r="BS2599">
        <v>30</v>
      </c>
      <c r="BW2599" t="str">
        <f>""</f>
        <v/>
      </c>
      <c r="CH2599" t="str">
        <f>""</f>
        <v/>
      </c>
      <c r="CS2599" t="str">
        <f>""</f>
        <v/>
      </c>
    </row>
    <row r="2600" spans="1:97" x14ac:dyDescent="0.25">
      <c r="A2600" t="s">
        <v>1963</v>
      </c>
      <c r="B2600" t="s">
        <v>17283</v>
      </c>
      <c r="E2600" t="s">
        <v>17284</v>
      </c>
      <c r="F2600" t="s">
        <v>108</v>
      </c>
      <c r="H2600" t="s">
        <v>17285</v>
      </c>
      <c r="I2600" t="s">
        <v>632</v>
      </c>
      <c r="J2600" t="s">
        <v>111</v>
      </c>
      <c r="K2600" t="str">
        <f>"85388"</f>
        <v>85388</v>
      </c>
      <c r="L2600" t="s">
        <v>5429</v>
      </c>
      <c r="M2600" t="s">
        <v>17285</v>
      </c>
      <c r="N2600" t="s">
        <v>632</v>
      </c>
      <c r="O2600" t="s">
        <v>111</v>
      </c>
      <c r="P2600" t="str">
        <f>"85388-1205"</f>
        <v>85388-1205</v>
      </c>
      <c r="Q2600" t="s">
        <v>113</v>
      </c>
      <c r="R2600" t="str">
        <f>"502-84-093"</f>
        <v>502-84-093</v>
      </c>
      <c r="S2600" t="s">
        <v>12218</v>
      </c>
      <c r="T2600" t="s">
        <v>12219</v>
      </c>
      <c r="U2600">
        <v>3166</v>
      </c>
      <c r="V2600">
        <v>0</v>
      </c>
      <c r="W2600">
        <v>4</v>
      </c>
      <c r="X2600">
        <v>2005</v>
      </c>
      <c r="Z2600">
        <v>2</v>
      </c>
      <c r="AA2600" t="s">
        <v>26</v>
      </c>
      <c r="AB2600">
        <v>0</v>
      </c>
      <c r="AC2600" t="s">
        <v>115</v>
      </c>
      <c r="AD2600">
        <v>3</v>
      </c>
      <c r="AE2600" t="s">
        <v>115</v>
      </c>
      <c r="AF2600">
        <v>0</v>
      </c>
      <c r="AG2600">
        <v>0</v>
      </c>
      <c r="AH2600" t="s">
        <v>116</v>
      </c>
      <c r="AI2600" s="1">
        <v>78496</v>
      </c>
      <c r="AJ2600" s="2">
        <v>0.23</v>
      </c>
      <c r="AK2600" s="1">
        <v>340826</v>
      </c>
      <c r="AL2600" t="s">
        <v>117</v>
      </c>
      <c r="AM2600" t="s">
        <v>118</v>
      </c>
      <c r="AN2600">
        <v>6435</v>
      </c>
      <c r="AO2600">
        <v>0.15</v>
      </c>
      <c r="AR2600">
        <v>1</v>
      </c>
      <c r="AS2600" s="1">
        <v>23980</v>
      </c>
      <c r="AT2600" s="1">
        <v>4790</v>
      </c>
      <c r="AU2600" s="1">
        <v>19190</v>
      </c>
      <c r="AV2600">
        <v>80.03</v>
      </c>
      <c r="AX2600" s="1">
        <v>1974.82</v>
      </c>
      <c r="AY2600" t="s">
        <v>5432</v>
      </c>
      <c r="AZ2600" t="s">
        <v>5432</v>
      </c>
      <c r="BA2600" t="s">
        <v>5109</v>
      </c>
      <c r="BE2600" s="3">
        <v>42002</v>
      </c>
      <c r="BF2600" s="1">
        <v>255000</v>
      </c>
      <c r="BG2600" t="s">
        <v>17286</v>
      </c>
      <c r="BH2600" s="1">
        <v>80.540000000000006</v>
      </c>
      <c r="BI2600" s="1">
        <v>262330</v>
      </c>
      <c r="BJ2600" s="3">
        <v>42521</v>
      </c>
      <c r="BK2600" t="s">
        <v>123</v>
      </c>
      <c r="BL2600" t="str">
        <f>"2016.372790"</f>
        <v>2016.372790</v>
      </c>
      <c r="BM2600" t="s">
        <v>255</v>
      </c>
      <c r="BO2600" t="s">
        <v>17287</v>
      </c>
      <c r="BS2600">
        <v>30</v>
      </c>
      <c r="BW2600" t="str">
        <f>""</f>
        <v/>
      </c>
      <c r="CH2600" t="str">
        <f>""</f>
        <v/>
      </c>
      <c r="CS2600" t="str">
        <f>""</f>
        <v/>
      </c>
    </row>
    <row r="2601" spans="1:97" x14ac:dyDescent="0.25">
      <c r="A2601" t="s">
        <v>12419</v>
      </c>
      <c r="B2601" t="s">
        <v>17288</v>
      </c>
      <c r="E2601" t="s">
        <v>17289</v>
      </c>
      <c r="F2601" t="s">
        <v>108</v>
      </c>
      <c r="H2601" t="s">
        <v>17290</v>
      </c>
      <c r="I2601" t="s">
        <v>390</v>
      </c>
      <c r="J2601" t="s">
        <v>111</v>
      </c>
      <c r="K2601" t="str">
        <f>"85024"</f>
        <v>85024</v>
      </c>
      <c r="L2601" t="s">
        <v>10474</v>
      </c>
      <c r="M2601" t="s">
        <v>17290</v>
      </c>
      <c r="N2601" t="s">
        <v>390</v>
      </c>
      <c r="O2601" t="s">
        <v>111</v>
      </c>
      <c r="P2601" t="str">
        <f>"85024-4157"</f>
        <v>85024-4157</v>
      </c>
      <c r="Q2601" t="s">
        <v>113</v>
      </c>
      <c r="R2601" t="str">
        <f>"213-05-541"</f>
        <v>213-05-541</v>
      </c>
      <c r="S2601" t="s">
        <v>12458</v>
      </c>
      <c r="T2601" t="s">
        <v>12458</v>
      </c>
      <c r="U2601">
        <v>879</v>
      </c>
      <c r="V2601">
        <v>0</v>
      </c>
      <c r="W2601">
        <v>2</v>
      </c>
      <c r="X2601">
        <v>1997</v>
      </c>
      <c r="Z2601">
        <v>1</v>
      </c>
      <c r="AB2601">
        <v>0</v>
      </c>
      <c r="AC2601" t="s">
        <v>115</v>
      </c>
      <c r="AD2601">
        <v>2</v>
      </c>
      <c r="AE2601" t="s">
        <v>115</v>
      </c>
      <c r="AF2601">
        <v>0</v>
      </c>
      <c r="AG2601">
        <v>0</v>
      </c>
      <c r="AH2601" t="s">
        <v>116</v>
      </c>
      <c r="AI2601" s="1">
        <v>11694</v>
      </c>
      <c r="AJ2601" s="2">
        <v>0.05</v>
      </c>
      <c r="AK2601" s="1">
        <v>223194</v>
      </c>
      <c r="AL2601" t="s">
        <v>117</v>
      </c>
      <c r="AM2601" t="s">
        <v>191</v>
      </c>
      <c r="AN2601">
        <v>5650</v>
      </c>
      <c r="AO2601">
        <v>0.13</v>
      </c>
      <c r="AP2601">
        <v>1</v>
      </c>
      <c r="AR2601">
        <v>1</v>
      </c>
      <c r="AS2601" s="1">
        <v>15120</v>
      </c>
      <c r="AT2601" s="1">
        <v>3020</v>
      </c>
      <c r="AU2601" s="1">
        <v>12100</v>
      </c>
      <c r="AV2601">
        <v>80.03</v>
      </c>
      <c r="AX2601" s="1">
        <v>767.18</v>
      </c>
      <c r="AY2601" t="s">
        <v>10684</v>
      </c>
      <c r="AZ2601" t="s">
        <v>2357</v>
      </c>
      <c r="BA2601" t="s">
        <v>1462</v>
      </c>
      <c r="BB2601" s="3">
        <v>43524</v>
      </c>
      <c r="BC2601" s="1">
        <v>0</v>
      </c>
      <c r="BD2601" t="s">
        <v>247</v>
      </c>
      <c r="BE2601" s="3">
        <v>41649</v>
      </c>
      <c r="BF2601" s="1">
        <v>142000</v>
      </c>
      <c r="BG2601" t="s">
        <v>17291</v>
      </c>
      <c r="BH2601" s="1">
        <v>161.55000000000001</v>
      </c>
      <c r="BI2601" s="1">
        <v>211500</v>
      </c>
      <c r="BJ2601" s="3">
        <v>43524</v>
      </c>
      <c r="BK2601" t="s">
        <v>123</v>
      </c>
      <c r="BL2601" t="str">
        <f>"2019.136980"</f>
        <v>2019.136980</v>
      </c>
      <c r="BM2601" t="s">
        <v>15330</v>
      </c>
      <c r="BN2601" t="s">
        <v>15331</v>
      </c>
      <c r="BO2601" t="s">
        <v>17292</v>
      </c>
      <c r="BR2601" t="s">
        <v>139</v>
      </c>
      <c r="BW2601" t="str">
        <f>""</f>
        <v/>
      </c>
      <c r="CH2601" t="str">
        <f>""</f>
        <v/>
      </c>
      <c r="CS2601" t="str">
        <f>""</f>
        <v/>
      </c>
    </row>
    <row r="2602" spans="1:97" x14ac:dyDescent="0.25">
      <c r="A2602" t="s">
        <v>996</v>
      </c>
      <c r="B2602" t="s">
        <v>548</v>
      </c>
      <c r="E2602" t="s">
        <v>17293</v>
      </c>
      <c r="F2602" t="s">
        <v>108</v>
      </c>
      <c r="H2602" t="s">
        <v>17294</v>
      </c>
      <c r="I2602" t="s">
        <v>632</v>
      </c>
      <c r="J2602" t="s">
        <v>111</v>
      </c>
      <c r="K2602" t="str">
        <f>"85374"</f>
        <v>85374</v>
      </c>
      <c r="L2602" t="s">
        <v>6601</v>
      </c>
      <c r="M2602" t="s">
        <v>17294</v>
      </c>
      <c r="N2602" t="s">
        <v>632</v>
      </c>
      <c r="O2602" t="s">
        <v>111</v>
      </c>
      <c r="P2602" t="str">
        <f>"85374-3884"</f>
        <v>85374-3884</v>
      </c>
      <c r="Q2602" t="s">
        <v>113</v>
      </c>
      <c r="R2602" t="str">
        <f>"507-07-325"</f>
        <v>507-07-325</v>
      </c>
      <c r="S2602" t="s">
        <v>17295</v>
      </c>
      <c r="U2602">
        <v>1932</v>
      </c>
      <c r="V2602">
        <v>0</v>
      </c>
      <c r="W2602">
        <v>3</v>
      </c>
      <c r="X2602">
        <v>2001</v>
      </c>
      <c r="Z2602">
        <v>1</v>
      </c>
      <c r="AB2602">
        <v>0</v>
      </c>
      <c r="AC2602" t="s">
        <v>115</v>
      </c>
      <c r="AD2602">
        <v>2</v>
      </c>
      <c r="AE2602" t="s">
        <v>115</v>
      </c>
      <c r="AF2602">
        <v>0</v>
      </c>
      <c r="AG2602">
        <v>0</v>
      </c>
      <c r="AH2602" t="s">
        <v>116</v>
      </c>
      <c r="AI2602" s="1">
        <v>41745</v>
      </c>
      <c r="AJ2602" s="2">
        <v>0.14000000000000001</v>
      </c>
      <c r="AK2602" s="1">
        <v>306745</v>
      </c>
      <c r="AL2602" t="s">
        <v>117</v>
      </c>
      <c r="AM2602" t="s">
        <v>118</v>
      </c>
      <c r="AN2602">
        <v>7227</v>
      </c>
      <c r="AO2602">
        <v>0.17</v>
      </c>
      <c r="AP2602">
        <v>1</v>
      </c>
      <c r="AR2602">
        <v>1</v>
      </c>
      <c r="AS2602" s="1">
        <v>20650</v>
      </c>
      <c r="AT2602" s="1">
        <v>4130</v>
      </c>
      <c r="AU2602" s="1">
        <v>16520</v>
      </c>
      <c r="AV2602">
        <v>80</v>
      </c>
      <c r="AX2602" s="1">
        <v>1920.36</v>
      </c>
      <c r="AY2602" t="s">
        <v>5168</v>
      </c>
      <c r="AZ2602" t="s">
        <v>5168</v>
      </c>
      <c r="BA2602" t="s">
        <v>5109</v>
      </c>
      <c r="BE2602" s="3">
        <v>42444</v>
      </c>
      <c r="BF2602" s="1">
        <v>249000</v>
      </c>
      <c r="BG2602" t="s">
        <v>17296</v>
      </c>
      <c r="BH2602" s="1">
        <v>128.88</v>
      </c>
      <c r="BI2602" s="1">
        <v>265000</v>
      </c>
      <c r="BJ2602" s="3">
        <v>43077</v>
      </c>
      <c r="BK2602" t="s">
        <v>123</v>
      </c>
      <c r="BL2602" t="str">
        <f>"2017.909093"</f>
        <v>2017.909093</v>
      </c>
      <c r="BM2602" t="s">
        <v>361</v>
      </c>
      <c r="BO2602" t="s">
        <v>17297</v>
      </c>
      <c r="BS2602">
        <v>31</v>
      </c>
      <c r="BW2602" t="str">
        <f>""</f>
        <v/>
      </c>
      <c r="CH2602" t="str">
        <f>""</f>
        <v/>
      </c>
      <c r="CS2602" t="str">
        <f>""</f>
        <v/>
      </c>
    </row>
    <row r="2603" spans="1:97" x14ac:dyDescent="0.25">
      <c r="A2603" t="s">
        <v>251</v>
      </c>
      <c r="B2603" t="s">
        <v>17298</v>
      </c>
      <c r="C2603" t="s">
        <v>4959</v>
      </c>
      <c r="D2603" t="s">
        <v>17298</v>
      </c>
      <c r="E2603" t="s">
        <v>17299</v>
      </c>
      <c r="F2603" t="s">
        <v>108</v>
      </c>
      <c r="H2603" t="s">
        <v>17300</v>
      </c>
      <c r="I2603" t="s">
        <v>390</v>
      </c>
      <c r="J2603" t="s">
        <v>111</v>
      </c>
      <c r="K2603" t="str">
        <f>"85027"</f>
        <v>85027</v>
      </c>
      <c r="L2603" t="s">
        <v>6460</v>
      </c>
      <c r="M2603" t="s">
        <v>17300</v>
      </c>
      <c r="N2603" t="s">
        <v>390</v>
      </c>
      <c r="O2603" t="s">
        <v>111</v>
      </c>
      <c r="P2603" t="str">
        <f>"85027-1657"</f>
        <v>85027-1657</v>
      </c>
      <c r="Q2603" t="s">
        <v>113</v>
      </c>
      <c r="R2603" t="str">
        <f>"206-03-703"</f>
        <v>206-03-703</v>
      </c>
      <c r="S2603" t="s">
        <v>17301</v>
      </c>
      <c r="T2603" t="s">
        <v>17301</v>
      </c>
      <c r="U2603">
        <v>2858</v>
      </c>
      <c r="V2603">
        <v>0</v>
      </c>
      <c r="W2603">
        <v>4</v>
      </c>
      <c r="X2603">
        <v>1998</v>
      </c>
      <c r="Z2603">
        <v>2</v>
      </c>
      <c r="AA2603" t="s">
        <v>26</v>
      </c>
      <c r="AB2603">
        <v>0</v>
      </c>
      <c r="AC2603" t="s">
        <v>115</v>
      </c>
      <c r="AD2603">
        <v>2</v>
      </c>
      <c r="AE2603" t="s">
        <v>115</v>
      </c>
      <c r="AF2603">
        <v>0</v>
      </c>
      <c r="AG2603">
        <v>0</v>
      </c>
      <c r="AH2603" t="s">
        <v>116</v>
      </c>
      <c r="AI2603" s="1">
        <v>78373</v>
      </c>
      <c r="AJ2603" s="2">
        <v>0.21</v>
      </c>
      <c r="AK2603" s="1">
        <v>369473</v>
      </c>
      <c r="AL2603" t="s">
        <v>117</v>
      </c>
      <c r="AM2603" t="s">
        <v>191</v>
      </c>
      <c r="AN2603">
        <v>6510</v>
      </c>
      <c r="AO2603">
        <v>0.15</v>
      </c>
      <c r="AP2603">
        <v>1</v>
      </c>
      <c r="AR2603">
        <v>1</v>
      </c>
      <c r="AS2603" s="1">
        <v>27260</v>
      </c>
      <c r="AT2603" s="1">
        <v>5450</v>
      </c>
      <c r="AU2603" s="1">
        <v>21810</v>
      </c>
      <c r="AV2603">
        <v>80.010000000000005</v>
      </c>
      <c r="AX2603" s="1">
        <v>2366.2399999999998</v>
      </c>
      <c r="AY2603" t="s">
        <v>6926</v>
      </c>
      <c r="AZ2603" t="s">
        <v>6926</v>
      </c>
      <c r="BA2603" t="s">
        <v>1462</v>
      </c>
      <c r="BE2603" s="3">
        <v>41913</v>
      </c>
      <c r="BF2603" s="1">
        <v>285000</v>
      </c>
      <c r="BG2603" t="s">
        <v>17302</v>
      </c>
      <c r="BH2603" s="1">
        <v>99.72</v>
      </c>
      <c r="BI2603" s="1">
        <v>291100</v>
      </c>
      <c r="BJ2603" s="3">
        <v>41913</v>
      </c>
      <c r="BK2603" t="s">
        <v>123</v>
      </c>
      <c r="BL2603" t="str">
        <f>"2014.652604"</f>
        <v>2014.652604</v>
      </c>
      <c r="BM2603" t="s">
        <v>124</v>
      </c>
      <c r="BO2603" t="s">
        <v>17303</v>
      </c>
      <c r="BS2603">
        <v>30</v>
      </c>
      <c r="BW2603" t="str">
        <f>""</f>
        <v/>
      </c>
      <c r="CH2603" t="str">
        <f>""</f>
        <v/>
      </c>
      <c r="CS2603" t="str">
        <f>""</f>
        <v/>
      </c>
    </row>
    <row r="2604" spans="1:97" x14ac:dyDescent="0.25">
      <c r="A2604" t="s">
        <v>370</v>
      </c>
      <c r="B2604" t="s">
        <v>16589</v>
      </c>
      <c r="C2604" t="s">
        <v>1735</v>
      </c>
      <c r="D2604" t="s">
        <v>16589</v>
      </c>
      <c r="E2604" t="s">
        <v>17304</v>
      </c>
      <c r="F2604" t="s">
        <v>108</v>
      </c>
      <c r="H2604" t="s">
        <v>17305</v>
      </c>
      <c r="I2604" t="s">
        <v>225</v>
      </c>
      <c r="J2604" t="s">
        <v>111</v>
      </c>
      <c r="K2604" t="str">
        <f>"85208"</f>
        <v>85208</v>
      </c>
      <c r="L2604" t="s">
        <v>6349</v>
      </c>
      <c r="M2604" t="s">
        <v>17305</v>
      </c>
      <c r="N2604" t="s">
        <v>225</v>
      </c>
      <c r="O2604" t="s">
        <v>111</v>
      </c>
      <c r="P2604" t="str">
        <f>"85208-7539"</f>
        <v>85208-7539</v>
      </c>
      <c r="Q2604" t="s">
        <v>113</v>
      </c>
      <c r="R2604" t="str">
        <f>"220-79-353"</f>
        <v>220-79-353</v>
      </c>
      <c r="S2604" t="s">
        <v>17306</v>
      </c>
      <c r="T2604" t="s">
        <v>17307</v>
      </c>
      <c r="U2604">
        <v>2430</v>
      </c>
      <c r="V2604">
        <v>0</v>
      </c>
      <c r="W2604">
        <v>3</v>
      </c>
      <c r="X2604">
        <v>2002</v>
      </c>
      <c r="Z2604">
        <v>2</v>
      </c>
      <c r="AB2604">
        <v>0</v>
      </c>
      <c r="AC2604" t="s">
        <v>115</v>
      </c>
      <c r="AD2604">
        <v>2</v>
      </c>
      <c r="AE2604" t="s">
        <v>115</v>
      </c>
      <c r="AF2604">
        <v>0</v>
      </c>
      <c r="AG2604">
        <v>0</v>
      </c>
      <c r="AH2604" t="s">
        <v>116</v>
      </c>
      <c r="AI2604" s="1">
        <v>77922</v>
      </c>
      <c r="AJ2604" s="2">
        <v>0.27</v>
      </c>
      <c r="AK2604" s="1">
        <v>291322</v>
      </c>
      <c r="AL2604" t="s">
        <v>117</v>
      </c>
      <c r="AM2604" t="s">
        <v>191</v>
      </c>
      <c r="AN2604">
        <v>4992</v>
      </c>
      <c r="AO2604">
        <v>0.12</v>
      </c>
      <c r="AP2604">
        <v>1</v>
      </c>
      <c r="AR2604">
        <v>1</v>
      </c>
      <c r="AS2604" s="1">
        <v>18770</v>
      </c>
      <c r="AT2604" s="1">
        <v>3750</v>
      </c>
      <c r="AU2604" s="1">
        <v>15020</v>
      </c>
      <c r="AV2604">
        <v>80.02</v>
      </c>
      <c r="AX2604" s="1">
        <v>1319.92</v>
      </c>
      <c r="AY2604" t="s">
        <v>3985</v>
      </c>
      <c r="AZ2604" t="s">
        <v>3761</v>
      </c>
      <c r="BA2604" t="s">
        <v>232</v>
      </c>
      <c r="BE2604" s="3">
        <v>42159</v>
      </c>
      <c r="BF2604" s="1">
        <v>213000</v>
      </c>
      <c r="BG2604" t="s">
        <v>17308</v>
      </c>
      <c r="BH2604" s="1">
        <v>87.65</v>
      </c>
      <c r="BI2604" s="1">
        <v>213400</v>
      </c>
      <c r="BJ2604" s="3">
        <v>42601</v>
      </c>
      <c r="BK2604" t="s">
        <v>123</v>
      </c>
      <c r="BL2604" t="str">
        <f>"2016.597660"</f>
        <v>2016.597660</v>
      </c>
      <c r="BM2604" t="s">
        <v>255</v>
      </c>
      <c r="BO2604" t="s">
        <v>17309</v>
      </c>
      <c r="BS2604">
        <v>30</v>
      </c>
      <c r="BW2604" t="str">
        <f>""</f>
        <v/>
      </c>
      <c r="CH2604" t="str">
        <f>""</f>
        <v/>
      </c>
      <c r="CS2604" t="str">
        <f>""</f>
        <v/>
      </c>
    </row>
    <row r="2605" spans="1:97" x14ac:dyDescent="0.25">
      <c r="A2605" t="s">
        <v>1160</v>
      </c>
      <c r="B2605" t="s">
        <v>17310</v>
      </c>
      <c r="C2605" t="s">
        <v>3505</v>
      </c>
      <c r="D2605" t="s">
        <v>17310</v>
      </c>
      <c r="E2605" t="s">
        <v>17311</v>
      </c>
      <c r="F2605" t="s">
        <v>108</v>
      </c>
      <c r="H2605" t="s">
        <v>17312</v>
      </c>
      <c r="I2605" t="s">
        <v>225</v>
      </c>
      <c r="J2605" t="s">
        <v>111</v>
      </c>
      <c r="K2605" t="str">
        <f>"85212"</f>
        <v>85212</v>
      </c>
      <c r="L2605" t="s">
        <v>3520</v>
      </c>
      <c r="M2605" t="s">
        <v>17312</v>
      </c>
      <c r="N2605" t="s">
        <v>225</v>
      </c>
      <c r="O2605" t="s">
        <v>111</v>
      </c>
      <c r="P2605" t="str">
        <f>"85212-1673"</f>
        <v>85212-1673</v>
      </c>
      <c r="Q2605" t="s">
        <v>113</v>
      </c>
      <c r="R2605" t="str">
        <f>"304-04-628"</f>
        <v>304-04-628</v>
      </c>
      <c r="S2605" t="s">
        <v>17313</v>
      </c>
      <c r="U2605">
        <v>1717</v>
      </c>
      <c r="V2605">
        <v>0</v>
      </c>
      <c r="W2605">
        <v>3</v>
      </c>
      <c r="X2605">
        <v>1999</v>
      </c>
      <c r="Z2605">
        <v>1</v>
      </c>
      <c r="AB2605">
        <v>0</v>
      </c>
      <c r="AC2605" t="s">
        <v>115</v>
      </c>
      <c r="AD2605">
        <v>2</v>
      </c>
      <c r="AE2605" t="s">
        <v>115</v>
      </c>
      <c r="AF2605">
        <v>0</v>
      </c>
      <c r="AG2605">
        <v>0</v>
      </c>
      <c r="AH2605" t="s">
        <v>116</v>
      </c>
      <c r="AI2605" s="1">
        <v>35788</v>
      </c>
      <c r="AJ2605" s="2">
        <v>0.13</v>
      </c>
      <c r="AK2605" s="1">
        <v>280609</v>
      </c>
      <c r="AL2605" t="s">
        <v>117</v>
      </c>
      <c r="AM2605" t="s">
        <v>191</v>
      </c>
      <c r="AN2605">
        <v>6874</v>
      </c>
      <c r="AO2605">
        <v>0.16</v>
      </c>
      <c r="AP2605">
        <v>1</v>
      </c>
      <c r="AR2605">
        <v>1</v>
      </c>
      <c r="AS2605" s="1">
        <v>19030</v>
      </c>
      <c r="AT2605" s="1">
        <v>3800</v>
      </c>
      <c r="AU2605" s="1">
        <v>15230</v>
      </c>
      <c r="AV2605">
        <v>80.03</v>
      </c>
      <c r="AX2605" s="1">
        <v>1277.6199999999999</v>
      </c>
      <c r="AY2605" t="s">
        <v>570</v>
      </c>
      <c r="AZ2605" t="s">
        <v>777</v>
      </c>
      <c r="BA2605" t="s">
        <v>572</v>
      </c>
      <c r="BB2605" s="3">
        <v>42107</v>
      </c>
      <c r="BD2605" t="s">
        <v>240</v>
      </c>
      <c r="BE2605" s="3">
        <v>41928</v>
      </c>
      <c r="BF2605" s="1">
        <v>180000</v>
      </c>
      <c r="BG2605" t="s">
        <v>17314</v>
      </c>
      <c r="BH2605" s="1">
        <v>104.83</v>
      </c>
      <c r="BI2605" s="1">
        <v>244821</v>
      </c>
      <c r="BJ2605" s="3">
        <v>43600</v>
      </c>
      <c r="BK2605" t="s">
        <v>123</v>
      </c>
      <c r="BL2605" t="str">
        <f>"2019.355220"</f>
        <v>2019.355220</v>
      </c>
      <c r="BM2605" t="s">
        <v>17315</v>
      </c>
      <c r="BN2605" t="s">
        <v>17316</v>
      </c>
      <c r="BO2605" t="s">
        <v>17317</v>
      </c>
      <c r="BP2605" t="s">
        <v>17318</v>
      </c>
      <c r="BR2605" t="s">
        <v>139</v>
      </c>
      <c r="BW2605" t="str">
        <f>""</f>
        <v/>
      </c>
      <c r="CH2605" t="str">
        <f>""</f>
        <v/>
      </c>
      <c r="CS2605" t="str">
        <f>""</f>
        <v/>
      </c>
    </row>
    <row r="2606" spans="1:97" x14ac:dyDescent="0.25">
      <c r="A2606" t="s">
        <v>13177</v>
      </c>
      <c r="B2606" t="s">
        <v>1350</v>
      </c>
      <c r="C2606" t="s">
        <v>17319</v>
      </c>
      <c r="D2606" t="s">
        <v>1350</v>
      </c>
      <c r="E2606" t="s">
        <v>17320</v>
      </c>
      <c r="F2606" t="s">
        <v>108</v>
      </c>
      <c r="H2606" t="s">
        <v>17321</v>
      </c>
      <c r="I2606" t="s">
        <v>225</v>
      </c>
      <c r="J2606" t="s">
        <v>111</v>
      </c>
      <c r="K2606" t="str">
        <f>"85213"</f>
        <v>85213</v>
      </c>
      <c r="L2606" t="s">
        <v>4159</v>
      </c>
      <c r="M2606" t="s">
        <v>17321</v>
      </c>
      <c r="N2606" t="s">
        <v>225</v>
      </c>
      <c r="O2606" t="s">
        <v>111</v>
      </c>
      <c r="P2606" t="str">
        <f>"85213-1955"</f>
        <v>85213-1955</v>
      </c>
      <c r="Q2606" t="s">
        <v>113</v>
      </c>
      <c r="R2606" t="str">
        <f>"141-18-024"</f>
        <v>141-18-024</v>
      </c>
      <c r="S2606" t="s">
        <v>5667</v>
      </c>
      <c r="U2606">
        <v>2237</v>
      </c>
      <c r="V2606">
        <v>0</v>
      </c>
      <c r="W2606">
        <v>3</v>
      </c>
      <c r="X2606">
        <v>2015</v>
      </c>
      <c r="Z2606">
        <v>1</v>
      </c>
      <c r="AB2606">
        <v>0</v>
      </c>
      <c r="AC2606" t="s">
        <v>115</v>
      </c>
      <c r="AD2606">
        <v>2</v>
      </c>
      <c r="AE2606" t="s">
        <v>115</v>
      </c>
      <c r="AF2606">
        <v>0</v>
      </c>
      <c r="AG2606">
        <v>0</v>
      </c>
      <c r="AH2606" t="s">
        <v>116</v>
      </c>
      <c r="AI2606" s="1">
        <v>47116</v>
      </c>
      <c r="AJ2606" s="2">
        <v>0.12</v>
      </c>
      <c r="AK2606" s="1">
        <v>388006</v>
      </c>
      <c r="AL2606" t="s">
        <v>117</v>
      </c>
      <c r="AM2606" t="s">
        <v>917</v>
      </c>
      <c r="AN2606">
        <v>6939</v>
      </c>
      <c r="AO2606">
        <v>0.16</v>
      </c>
      <c r="AR2606">
        <v>1</v>
      </c>
      <c r="AS2606" s="1">
        <v>27180</v>
      </c>
      <c r="AT2606" s="1">
        <v>5430</v>
      </c>
      <c r="AU2606" s="1">
        <v>21750</v>
      </c>
      <c r="AV2606">
        <v>80.02</v>
      </c>
      <c r="AX2606" s="1">
        <v>2316.38</v>
      </c>
      <c r="AY2606" t="s">
        <v>4162</v>
      </c>
      <c r="AZ2606" t="s">
        <v>4163</v>
      </c>
      <c r="BA2606" t="s">
        <v>1524</v>
      </c>
      <c r="BB2606" s="3">
        <v>42814</v>
      </c>
      <c r="BD2606" t="s">
        <v>240</v>
      </c>
      <c r="BE2606" s="3">
        <v>42244</v>
      </c>
      <c r="BF2606" s="1">
        <v>288708</v>
      </c>
      <c r="BG2606" t="s">
        <v>2842</v>
      </c>
      <c r="BH2606" s="1">
        <v>129.06</v>
      </c>
      <c r="BI2606" s="1">
        <v>340890</v>
      </c>
      <c r="BJ2606" s="3">
        <v>42814</v>
      </c>
      <c r="BK2606" t="s">
        <v>123</v>
      </c>
      <c r="BL2606" t="str">
        <f>"2017.196138"</f>
        <v>2017.196138</v>
      </c>
      <c r="BM2606" t="s">
        <v>1122</v>
      </c>
      <c r="BN2606" t="s">
        <v>1624</v>
      </c>
      <c r="BO2606" t="s">
        <v>17322</v>
      </c>
      <c r="BS2606">
        <v>30</v>
      </c>
      <c r="BW2606" t="str">
        <f>""</f>
        <v/>
      </c>
      <c r="CH2606" t="str">
        <f>""</f>
        <v/>
      </c>
      <c r="CS2606" t="str">
        <f>""</f>
        <v/>
      </c>
    </row>
    <row r="2607" spans="1:97" x14ac:dyDescent="0.25">
      <c r="A2607" t="s">
        <v>1295</v>
      </c>
      <c r="B2607" t="s">
        <v>17323</v>
      </c>
      <c r="E2607" t="s">
        <v>17324</v>
      </c>
      <c r="F2607" t="s">
        <v>108</v>
      </c>
      <c r="H2607" t="s">
        <v>17325</v>
      </c>
      <c r="I2607" t="s">
        <v>453</v>
      </c>
      <c r="J2607" t="s">
        <v>111</v>
      </c>
      <c r="K2607" t="str">
        <f>"85383"</f>
        <v>85383</v>
      </c>
      <c r="L2607" t="s">
        <v>3326</v>
      </c>
      <c r="M2607" t="s">
        <v>17325</v>
      </c>
      <c r="N2607" t="s">
        <v>453</v>
      </c>
      <c r="O2607" t="s">
        <v>111</v>
      </c>
      <c r="P2607" t="str">
        <f>"85383-2733"</f>
        <v>85383-2733</v>
      </c>
      <c r="Q2607" t="s">
        <v>113</v>
      </c>
      <c r="R2607" t="str">
        <f>"200-10-623"</f>
        <v>200-10-623</v>
      </c>
      <c r="S2607" t="s">
        <v>17326</v>
      </c>
      <c r="T2607" t="s">
        <v>17327</v>
      </c>
      <c r="U2607">
        <v>2045</v>
      </c>
      <c r="V2607">
        <v>0</v>
      </c>
      <c r="W2607">
        <v>3</v>
      </c>
      <c r="X2607">
        <v>2000</v>
      </c>
      <c r="Z2607">
        <v>2</v>
      </c>
      <c r="AA2607" t="s">
        <v>26</v>
      </c>
      <c r="AB2607">
        <v>0</v>
      </c>
      <c r="AC2607" t="s">
        <v>115</v>
      </c>
      <c r="AD2607">
        <v>2</v>
      </c>
      <c r="AE2607" t="s">
        <v>115</v>
      </c>
      <c r="AF2607">
        <v>0</v>
      </c>
      <c r="AG2607">
        <v>0</v>
      </c>
      <c r="AH2607" t="s">
        <v>116</v>
      </c>
      <c r="AI2607" s="1">
        <v>63847</v>
      </c>
      <c r="AJ2607" s="2">
        <v>0.21</v>
      </c>
      <c r="AK2607" s="1">
        <v>308847</v>
      </c>
      <c r="AL2607" t="s">
        <v>117</v>
      </c>
      <c r="AM2607" t="s">
        <v>118</v>
      </c>
      <c r="AN2607">
        <v>6794</v>
      </c>
      <c r="AO2607">
        <v>0.16</v>
      </c>
      <c r="AP2607">
        <v>1</v>
      </c>
      <c r="AR2607">
        <v>1</v>
      </c>
      <c r="AS2607" s="1">
        <v>21060</v>
      </c>
      <c r="AT2607" s="1">
        <v>4210</v>
      </c>
      <c r="AU2607" s="1">
        <v>16850</v>
      </c>
      <c r="AV2607">
        <v>80.010000000000005</v>
      </c>
      <c r="AX2607" s="1">
        <v>1708.22</v>
      </c>
      <c r="AY2607" t="s">
        <v>1808</v>
      </c>
      <c r="AZ2607" t="s">
        <v>1808</v>
      </c>
      <c r="BA2607" t="s">
        <v>457</v>
      </c>
      <c r="BE2607" s="3">
        <v>41914</v>
      </c>
      <c r="BF2607" s="1">
        <v>235000</v>
      </c>
      <c r="BG2607" t="s">
        <v>17328</v>
      </c>
      <c r="BH2607" s="1">
        <v>114.91</v>
      </c>
      <c r="BI2607" s="1">
        <v>245000</v>
      </c>
      <c r="BJ2607" s="3">
        <v>42766</v>
      </c>
      <c r="BK2607" t="s">
        <v>123</v>
      </c>
      <c r="BL2607" t="str">
        <f>"2017.76654"</f>
        <v>2017.76654</v>
      </c>
      <c r="BM2607" t="s">
        <v>2378</v>
      </c>
      <c r="BO2607" t="s">
        <v>17329</v>
      </c>
      <c r="BS2607">
        <v>30</v>
      </c>
      <c r="BW2607" t="str">
        <f>""</f>
        <v/>
      </c>
      <c r="CH2607" t="str">
        <f>""</f>
        <v/>
      </c>
      <c r="CS2607" t="str">
        <f>""</f>
        <v/>
      </c>
    </row>
    <row r="2608" spans="1:97" x14ac:dyDescent="0.25">
      <c r="A2608" t="s">
        <v>305</v>
      </c>
      <c r="B2608" t="s">
        <v>17330</v>
      </c>
      <c r="C2608" t="s">
        <v>7901</v>
      </c>
      <c r="D2608" t="s">
        <v>17330</v>
      </c>
      <c r="E2608" t="s">
        <v>17331</v>
      </c>
      <c r="F2608" t="s">
        <v>108</v>
      </c>
      <c r="H2608" t="s">
        <v>17332</v>
      </c>
      <c r="I2608" t="s">
        <v>5114</v>
      </c>
      <c r="J2608" t="s">
        <v>111</v>
      </c>
      <c r="K2608" t="str">
        <f>"85392"</f>
        <v>85392</v>
      </c>
      <c r="L2608" t="s">
        <v>926</v>
      </c>
      <c r="M2608" t="s">
        <v>17332</v>
      </c>
      <c r="N2608" t="s">
        <v>5114</v>
      </c>
      <c r="O2608" t="s">
        <v>111</v>
      </c>
      <c r="P2608" t="str">
        <f>"85392-7064"</f>
        <v>85392-7064</v>
      </c>
      <c r="Q2608" t="s">
        <v>113</v>
      </c>
      <c r="R2608" t="str">
        <f>"501-89-511"</f>
        <v>501-89-511</v>
      </c>
      <c r="S2608" t="s">
        <v>17333</v>
      </c>
      <c r="T2608" t="s">
        <v>13354</v>
      </c>
      <c r="U2608">
        <v>2335</v>
      </c>
      <c r="V2608">
        <v>0</v>
      </c>
      <c r="W2608">
        <v>3</v>
      </c>
      <c r="X2608">
        <v>1998</v>
      </c>
      <c r="Z2608">
        <v>1</v>
      </c>
      <c r="AA2608" t="s">
        <v>26</v>
      </c>
      <c r="AB2608">
        <v>0</v>
      </c>
      <c r="AC2608" t="s">
        <v>115</v>
      </c>
      <c r="AD2608">
        <v>3</v>
      </c>
      <c r="AE2608" t="s">
        <v>115</v>
      </c>
      <c r="AF2608">
        <v>0</v>
      </c>
      <c r="AG2608">
        <v>0</v>
      </c>
      <c r="AH2608" t="s">
        <v>116</v>
      </c>
      <c r="AI2608" s="1">
        <v>-20907</v>
      </c>
      <c r="AJ2608" s="2">
        <v>-0.06</v>
      </c>
      <c r="AK2608" s="1">
        <v>337186</v>
      </c>
      <c r="AL2608" t="s">
        <v>117</v>
      </c>
      <c r="AM2608" t="s">
        <v>118</v>
      </c>
      <c r="AN2608">
        <v>9239</v>
      </c>
      <c r="AO2608">
        <v>0.21</v>
      </c>
      <c r="AP2608">
        <v>1</v>
      </c>
      <c r="AR2608">
        <v>1</v>
      </c>
      <c r="AS2608" s="1">
        <v>23380</v>
      </c>
      <c r="AT2608" s="1">
        <v>4670</v>
      </c>
      <c r="AU2608" s="1">
        <v>18710</v>
      </c>
      <c r="AV2608">
        <v>80.03</v>
      </c>
      <c r="AX2608" s="1">
        <v>1780.56</v>
      </c>
      <c r="AY2608" t="s">
        <v>7636</v>
      </c>
      <c r="AZ2608" t="s">
        <v>6701</v>
      </c>
      <c r="BA2608" t="s">
        <v>6702</v>
      </c>
      <c r="BE2608" s="3">
        <v>42258</v>
      </c>
      <c r="BF2608" s="1">
        <v>275000</v>
      </c>
      <c r="BG2608" t="s">
        <v>17334</v>
      </c>
      <c r="BH2608" s="1">
        <v>117.77</v>
      </c>
      <c r="BI2608" s="1">
        <v>316000</v>
      </c>
      <c r="BJ2608" s="3">
        <v>43644</v>
      </c>
      <c r="BK2608" t="s">
        <v>123</v>
      </c>
      <c r="BL2608" t="str">
        <f>"2019.494118"</f>
        <v>2019.494118</v>
      </c>
      <c r="BM2608" t="s">
        <v>10402</v>
      </c>
      <c r="BN2608" t="s">
        <v>10403</v>
      </c>
      <c r="BO2608" t="s">
        <v>17335</v>
      </c>
      <c r="BP2608" t="s">
        <v>17336</v>
      </c>
      <c r="BR2608" t="s">
        <v>139</v>
      </c>
      <c r="BT2608" s="1">
        <v>42093</v>
      </c>
      <c r="BU2608" s="3">
        <v>42523</v>
      </c>
      <c r="BV2608" t="s">
        <v>134</v>
      </c>
      <c r="BW2608" t="str">
        <f>"2016.381326"</f>
        <v>2016.381326</v>
      </c>
      <c r="BX2608" t="s">
        <v>13565</v>
      </c>
      <c r="BY2608" t="s">
        <v>17337</v>
      </c>
      <c r="BZ2608" t="s">
        <v>17338</v>
      </c>
      <c r="CH2608" t="str">
        <f>""</f>
        <v/>
      </c>
      <c r="CS2608" t="str">
        <f>""</f>
        <v/>
      </c>
    </row>
    <row r="2609" spans="1:97" x14ac:dyDescent="0.25">
      <c r="A2609" t="s">
        <v>1009</v>
      </c>
      <c r="B2609" t="s">
        <v>17339</v>
      </c>
      <c r="C2609" t="s">
        <v>1715</v>
      </c>
      <c r="D2609" t="s">
        <v>17339</v>
      </c>
      <c r="E2609" t="s">
        <v>17340</v>
      </c>
      <c r="F2609" t="s">
        <v>108</v>
      </c>
      <c r="H2609" t="s">
        <v>17341</v>
      </c>
      <c r="I2609" t="s">
        <v>203</v>
      </c>
      <c r="J2609" t="s">
        <v>111</v>
      </c>
      <c r="K2609" t="str">
        <f>"85297"</f>
        <v>85297</v>
      </c>
      <c r="L2609" t="s">
        <v>4698</v>
      </c>
      <c r="M2609" t="s">
        <v>17341</v>
      </c>
      <c r="N2609" t="s">
        <v>203</v>
      </c>
      <c r="O2609" t="s">
        <v>111</v>
      </c>
      <c r="P2609" t="str">
        <f>"85297-8268"</f>
        <v>85297-8268</v>
      </c>
      <c r="Q2609" t="s">
        <v>113</v>
      </c>
      <c r="R2609" t="str">
        <f>"313-03-145"</f>
        <v>313-03-145</v>
      </c>
      <c r="S2609" t="s">
        <v>17342</v>
      </c>
      <c r="U2609">
        <v>1840</v>
      </c>
      <c r="V2609">
        <v>0</v>
      </c>
      <c r="W2609">
        <v>3</v>
      </c>
      <c r="X2609">
        <v>2002</v>
      </c>
      <c r="Z2609">
        <v>1</v>
      </c>
      <c r="AA2609" t="s">
        <v>26</v>
      </c>
      <c r="AB2609">
        <v>0</v>
      </c>
      <c r="AC2609" t="s">
        <v>115</v>
      </c>
      <c r="AD2609">
        <v>3</v>
      </c>
      <c r="AE2609" t="s">
        <v>115</v>
      </c>
      <c r="AF2609">
        <v>0</v>
      </c>
      <c r="AG2609">
        <v>0</v>
      </c>
      <c r="AH2609" t="s">
        <v>116</v>
      </c>
      <c r="AI2609" s="1">
        <v>58421</v>
      </c>
      <c r="AJ2609" s="2">
        <v>0.16</v>
      </c>
      <c r="AK2609" s="1">
        <v>354728</v>
      </c>
      <c r="AL2609" t="s">
        <v>117</v>
      </c>
      <c r="AM2609" t="s">
        <v>393</v>
      </c>
      <c r="AN2609">
        <v>9240</v>
      </c>
      <c r="AO2609">
        <v>0.21</v>
      </c>
      <c r="AP2609">
        <v>1</v>
      </c>
      <c r="AR2609">
        <v>1</v>
      </c>
      <c r="AS2609" s="1">
        <v>24320</v>
      </c>
      <c r="AT2609" s="1">
        <v>4860</v>
      </c>
      <c r="AU2609" s="1">
        <v>19460</v>
      </c>
      <c r="AV2609">
        <v>80.02</v>
      </c>
      <c r="AX2609" s="1">
        <v>1957.74</v>
      </c>
      <c r="AY2609" t="s">
        <v>7512</v>
      </c>
      <c r="AZ2609" t="s">
        <v>7512</v>
      </c>
      <c r="BA2609" t="s">
        <v>473</v>
      </c>
      <c r="BE2609" s="3">
        <v>42124</v>
      </c>
      <c r="BF2609" s="1">
        <v>301000</v>
      </c>
      <c r="BG2609" t="s">
        <v>17343</v>
      </c>
      <c r="BH2609" s="1">
        <v>163.59</v>
      </c>
      <c r="BI2609" s="1">
        <v>296307</v>
      </c>
      <c r="BJ2609" s="3">
        <v>42587</v>
      </c>
      <c r="BK2609" t="s">
        <v>123</v>
      </c>
      <c r="BL2609" t="str">
        <f>"2016.556595"</f>
        <v>2016.556595</v>
      </c>
      <c r="BM2609" t="s">
        <v>492</v>
      </c>
      <c r="BO2609" t="s">
        <v>17344</v>
      </c>
      <c r="BS2609">
        <v>30</v>
      </c>
      <c r="BW2609" t="str">
        <f>""</f>
        <v/>
      </c>
      <c r="CH2609" t="str">
        <f>""</f>
        <v/>
      </c>
      <c r="CS2609" t="str">
        <f>""</f>
        <v/>
      </c>
    </row>
    <row r="2610" spans="1:97" x14ac:dyDescent="0.25">
      <c r="A2610" t="s">
        <v>17345</v>
      </c>
      <c r="B2610" t="s">
        <v>1667</v>
      </c>
      <c r="C2610" t="s">
        <v>1340</v>
      </c>
      <c r="D2610" t="s">
        <v>1667</v>
      </c>
      <c r="E2610" t="s">
        <v>17346</v>
      </c>
      <c r="F2610" t="s">
        <v>108</v>
      </c>
      <c r="H2610" t="s">
        <v>17347</v>
      </c>
      <c r="I2610" t="s">
        <v>3150</v>
      </c>
      <c r="J2610" t="s">
        <v>111</v>
      </c>
      <c r="K2610" t="str">
        <f>"85340"</f>
        <v>85340</v>
      </c>
      <c r="L2610" t="s">
        <v>5239</v>
      </c>
      <c r="M2610" t="s">
        <v>17347</v>
      </c>
      <c r="N2610" t="s">
        <v>3150</v>
      </c>
      <c r="O2610" t="s">
        <v>111</v>
      </c>
      <c r="P2610" t="str">
        <f>"85340-3812"</f>
        <v>85340-3812</v>
      </c>
      <c r="Q2610" t="s">
        <v>113</v>
      </c>
      <c r="R2610" t="str">
        <f>"508-12-043"</f>
        <v>508-12-043</v>
      </c>
      <c r="S2610" t="s">
        <v>5240</v>
      </c>
      <c r="U2610">
        <v>2313</v>
      </c>
      <c r="V2610">
        <v>0</v>
      </c>
      <c r="W2610">
        <v>3</v>
      </c>
      <c r="X2610">
        <v>2004</v>
      </c>
      <c r="Z2610">
        <v>1</v>
      </c>
      <c r="AB2610">
        <v>0</v>
      </c>
      <c r="AC2610" t="s">
        <v>115</v>
      </c>
      <c r="AD2610">
        <v>2</v>
      </c>
      <c r="AE2610" t="s">
        <v>115</v>
      </c>
      <c r="AF2610">
        <v>0</v>
      </c>
      <c r="AG2610">
        <v>0</v>
      </c>
      <c r="AH2610" t="s">
        <v>116</v>
      </c>
      <c r="AI2610" s="1">
        <v>62329</v>
      </c>
      <c r="AJ2610" s="2">
        <v>0.2</v>
      </c>
      <c r="AK2610" s="1">
        <v>312329</v>
      </c>
      <c r="AL2610" t="s">
        <v>117</v>
      </c>
      <c r="AM2610" t="str">
        <f>"R1-6"</f>
        <v>R1-6</v>
      </c>
      <c r="AN2610">
        <v>11965</v>
      </c>
      <c r="AO2610">
        <v>0.28000000000000003</v>
      </c>
      <c r="AP2610">
        <v>1</v>
      </c>
      <c r="AR2610">
        <v>1</v>
      </c>
      <c r="AS2610" s="1">
        <v>20270</v>
      </c>
      <c r="AT2610" s="1">
        <v>4050</v>
      </c>
      <c r="AU2610" s="1">
        <v>16220</v>
      </c>
      <c r="AV2610">
        <v>80.02</v>
      </c>
      <c r="AX2610" s="1">
        <v>1538.72</v>
      </c>
      <c r="AY2610" t="s">
        <v>5241</v>
      </c>
      <c r="AZ2610" t="s">
        <v>3153</v>
      </c>
      <c r="BA2610" t="s">
        <v>3154</v>
      </c>
      <c r="BE2610" s="3">
        <v>42375</v>
      </c>
      <c r="BF2610" s="1">
        <v>250000</v>
      </c>
      <c r="BG2610" t="s">
        <v>17348</v>
      </c>
      <c r="BH2610" s="1">
        <v>108.08</v>
      </c>
      <c r="BI2610" s="1">
        <v>250000</v>
      </c>
      <c r="BJ2610" s="3">
        <v>42375</v>
      </c>
      <c r="BK2610" t="s">
        <v>123</v>
      </c>
      <c r="BL2610" t="str">
        <f>"2016.8454"</f>
        <v>2016.8454</v>
      </c>
      <c r="BM2610" t="s">
        <v>1154</v>
      </c>
      <c r="BO2610" t="s">
        <v>17349</v>
      </c>
      <c r="BS2610">
        <v>30</v>
      </c>
      <c r="BW2610" t="str">
        <f>""</f>
        <v/>
      </c>
      <c r="CH2610" t="str">
        <f>""</f>
        <v/>
      </c>
      <c r="CS2610" t="str">
        <f>""</f>
        <v/>
      </c>
    </row>
    <row r="2611" spans="1:97" x14ac:dyDescent="0.25">
      <c r="A2611" t="s">
        <v>986</v>
      </c>
      <c r="B2611" t="s">
        <v>17350</v>
      </c>
      <c r="E2611" t="s">
        <v>17351</v>
      </c>
      <c r="F2611" t="s">
        <v>108</v>
      </c>
      <c r="H2611" t="s">
        <v>17352</v>
      </c>
      <c r="I2611" t="s">
        <v>110</v>
      </c>
      <c r="J2611" t="s">
        <v>111</v>
      </c>
      <c r="K2611" t="str">
        <f>"85226"</f>
        <v>85226</v>
      </c>
      <c r="L2611" t="s">
        <v>7834</v>
      </c>
      <c r="M2611" t="s">
        <v>17352</v>
      </c>
      <c r="N2611" t="s">
        <v>110</v>
      </c>
      <c r="O2611" t="s">
        <v>111</v>
      </c>
      <c r="P2611" t="str">
        <f>"85226-4920"</f>
        <v>85226-4920</v>
      </c>
      <c r="Q2611" t="s">
        <v>113</v>
      </c>
      <c r="R2611" t="str">
        <f>"301-65-491"</f>
        <v>301-65-491</v>
      </c>
      <c r="S2611" t="s">
        <v>13964</v>
      </c>
      <c r="U2611">
        <v>1327</v>
      </c>
      <c r="V2611">
        <v>0</v>
      </c>
      <c r="W2611">
        <v>2</v>
      </c>
      <c r="X2611">
        <v>1986</v>
      </c>
      <c r="Z2611">
        <v>2</v>
      </c>
      <c r="AA2611" t="s">
        <v>26</v>
      </c>
      <c r="AB2611">
        <v>0</v>
      </c>
      <c r="AC2611" t="s">
        <v>115</v>
      </c>
      <c r="AD2611">
        <v>2</v>
      </c>
      <c r="AE2611" t="s">
        <v>115</v>
      </c>
      <c r="AF2611">
        <v>0</v>
      </c>
      <c r="AG2611">
        <v>0</v>
      </c>
      <c r="AH2611" t="s">
        <v>116</v>
      </c>
      <c r="AI2611" s="1">
        <v>68321</v>
      </c>
      <c r="AJ2611" s="2">
        <v>0.23</v>
      </c>
      <c r="AK2611" s="1">
        <v>298321</v>
      </c>
      <c r="AL2611" t="s">
        <v>117</v>
      </c>
      <c r="AM2611" t="s">
        <v>118</v>
      </c>
      <c r="AN2611">
        <v>12103</v>
      </c>
      <c r="AO2611">
        <v>0.28000000000000003</v>
      </c>
      <c r="AP2611">
        <v>1</v>
      </c>
      <c r="AR2611">
        <v>1</v>
      </c>
      <c r="AS2611" s="1">
        <v>20300</v>
      </c>
      <c r="AT2611" s="1">
        <v>4060</v>
      </c>
      <c r="AU2611" s="1">
        <v>16240</v>
      </c>
      <c r="AV2611">
        <v>80</v>
      </c>
      <c r="AX2611" s="1">
        <v>1326.56</v>
      </c>
      <c r="AY2611" t="s">
        <v>8225</v>
      </c>
      <c r="AZ2611" t="s">
        <v>5922</v>
      </c>
      <c r="BA2611" t="s">
        <v>5202</v>
      </c>
      <c r="BE2611" s="3">
        <v>42272</v>
      </c>
      <c r="BF2611" s="1">
        <v>230000</v>
      </c>
      <c r="BG2611" t="s">
        <v>17353</v>
      </c>
      <c r="BH2611" s="1">
        <v>173.32</v>
      </c>
      <c r="BI2611" s="1">
        <v>230000</v>
      </c>
      <c r="BJ2611" s="3">
        <v>42272</v>
      </c>
      <c r="BK2611" t="s">
        <v>123</v>
      </c>
      <c r="BL2611" t="str">
        <f>"2015.691053"</f>
        <v>2015.691053</v>
      </c>
      <c r="BM2611" t="s">
        <v>4738</v>
      </c>
      <c r="BO2611" t="s">
        <v>17354</v>
      </c>
      <c r="BS2611">
        <v>30</v>
      </c>
      <c r="BW2611" t="str">
        <f>""</f>
        <v/>
      </c>
      <c r="CH2611" t="str">
        <f>""</f>
        <v/>
      </c>
      <c r="CS2611" t="str">
        <f>""</f>
        <v/>
      </c>
    </row>
    <row r="2612" spans="1:97" x14ac:dyDescent="0.25">
      <c r="A2612" t="s">
        <v>894</v>
      </c>
      <c r="B2612" t="s">
        <v>7823</v>
      </c>
      <c r="E2612" t="s">
        <v>17355</v>
      </c>
      <c r="F2612" t="s">
        <v>108</v>
      </c>
      <c r="H2612" t="s">
        <v>17356</v>
      </c>
      <c r="I2612" t="s">
        <v>390</v>
      </c>
      <c r="J2612" t="s">
        <v>111</v>
      </c>
      <c r="K2612" t="str">
        <f>"85013"</f>
        <v>85013</v>
      </c>
      <c r="L2612" t="s">
        <v>5074</v>
      </c>
      <c r="M2612" t="s">
        <v>17356</v>
      </c>
      <c r="N2612" t="s">
        <v>390</v>
      </c>
      <c r="O2612" t="s">
        <v>111</v>
      </c>
      <c r="P2612" t="str">
        <f>"85013-4022"</f>
        <v>85013-4022</v>
      </c>
      <c r="Q2612" t="s">
        <v>113</v>
      </c>
      <c r="R2612" t="str">
        <f>"110-29-039"</f>
        <v>110-29-039</v>
      </c>
      <c r="S2612" t="s">
        <v>17357</v>
      </c>
      <c r="T2612" t="s">
        <v>17357</v>
      </c>
      <c r="U2612">
        <v>1595</v>
      </c>
      <c r="V2612">
        <v>0</v>
      </c>
      <c r="W2612">
        <v>1</v>
      </c>
      <c r="X2612">
        <v>1945</v>
      </c>
      <c r="Z2612">
        <v>1</v>
      </c>
      <c r="AB2612">
        <v>0</v>
      </c>
      <c r="AC2612" t="s">
        <v>115</v>
      </c>
      <c r="AD2612">
        <v>1</v>
      </c>
      <c r="AE2612" t="s">
        <v>115</v>
      </c>
      <c r="AF2612">
        <v>0</v>
      </c>
      <c r="AG2612">
        <v>0</v>
      </c>
      <c r="AH2612" t="s">
        <v>116</v>
      </c>
      <c r="AI2612" s="1">
        <v>67263</v>
      </c>
      <c r="AJ2612" s="2">
        <v>0.25</v>
      </c>
      <c r="AK2612" s="1">
        <v>271563</v>
      </c>
      <c r="AL2612" t="s">
        <v>117</v>
      </c>
      <c r="AM2612" t="s">
        <v>191</v>
      </c>
      <c r="AN2612">
        <v>8202</v>
      </c>
      <c r="AO2612">
        <v>0.19</v>
      </c>
      <c r="AP2612">
        <v>1</v>
      </c>
      <c r="AR2612">
        <v>1</v>
      </c>
      <c r="AS2612" s="1">
        <v>17160</v>
      </c>
      <c r="AT2612" s="1">
        <v>3430</v>
      </c>
      <c r="AU2612" s="1">
        <v>13730</v>
      </c>
      <c r="AV2612">
        <v>80.010000000000005</v>
      </c>
      <c r="AX2612" s="1">
        <v>1768.54</v>
      </c>
      <c r="AY2612" t="s">
        <v>5468</v>
      </c>
      <c r="AZ2612" t="s">
        <v>5468</v>
      </c>
      <c r="BA2612" t="s">
        <v>5469</v>
      </c>
      <c r="BE2612" s="3">
        <v>42075</v>
      </c>
      <c r="BF2612" s="1">
        <v>200000</v>
      </c>
      <c r="BG2612" t="s">
        <v>17358</v>
      </c>
      <c r="BH2612" s="1">
        <v>125.39</v>
      </c>
      <c r="BI2612" s="1">
        <v>204300</v>
      </c>
      <c r="BJ2612" s="3">
        <v>42075</v>
      </c>
      <c r="BK2612" t="s">
        <v>123</v>
      </c>
      <c r="BL2612" t="str">
        <f>"2015.166578"</f>
        <v>2015.166578</v>
      </c>
      <c r="BM2612" t="s">
        <v>9665</v>
      </c>
      <c r="BO2612" t="s">
        <v>17359</v>
      </c>
      <c r="BS2612">
        <v>30</v>
      </c>
      <c r="BW2612" t="str">
        <f>""</f>
        <v/>
      </c>
      <c r="CH2612" t="str">
        <f>""</f>
        <v/>
      </c>
      <c r="CS2612" t="str">
        <f>""</f>
        <v/>
      </c>
    </row>
    <row r="2613" spans="1:97" x14ac:dyDescent="0.25">
      <c r="A2613" t="s">
        <v>211</v>
      </c>
      <c r="B2613" t="s">
        <v>17360</v>
      </c>
      <c r="C2613" t="s">
        <v>2319</v>
      </c>
      <c r="D2613" t="s">
        <v>17360</v>
      </c>
      <c r="E2613" t="s">
        <v>17361</v>
      </c>
      <c r="F2613" t="s">
        <v>108</v>
      </c>
      <c r="H2613" t="s">
        <v>17362</v>
      </c>
      <c r="I2613" t="s">
        <v>5114</v>
      </c>
      <c r="J2613" t="s">
        <v>111</v>
      </c>
      <c r="K2613" t="str">
        <f>"85392"</f>
        <v>85392</v>
      </c>
      <c r="L2613" t="s">
        <v>8199</v>
      </c>
      <c r="M2613" t="s">
        <v>17362</v>
      </c>
      <c r="N2613" t="s">
        <v>5114</v>
      </c>
      <c r="O2613" t="s">
        <v>111</v>
      </c>
      <c r="P2613" t="str">
        <f>"85392-3406"</f>
        <v>85392-3406</v>
      </c>
      <c r="Q2613" t="s">
        <v>113</v>
      </c>
      <c r="R2613" t="str">
        <f>"102-28-882"</f>
        <v>102-28-882</v>
      </c>
      <c r="S2613" t="s">
        <v>8234</v>
      </c>
      <c r="T2613" t="s">
        <v>8235</v>
      </c>
      <c r="U2613">
        <v>2501</v>
      </c>
      <c r="V2613">
        <v>0</v>
      </c>
      <c r="W2613">
        <v>4</v>
      </c>
      <c r="X2613">
        <v>1992</v>
      </c>
      <c r="Z2613">
        <v>2</v>
      </c>
      <c r="AA2613" t="s">
        <v>26</v>
      </c>
      <c r="AB2613">
        <v>0</v>
      </c>
      <c r="AC2613" t="s">
        <v>115</v>
      </c>
      <c r="AD2613">
        <v>2</v>
      </c>
      <c r="AE2613" t="s">
        <v>115</v>
      </c>
      <c r="AF2613">
        <v>0</v>
      </c>
      <c r="AG2613">
        <v>0</v>
      </c>
      <c r="AH2613" t="s">
        <v>116</v>
      </c>
      <c r="AI2613" s="1">
        <v>79542</v>
      </c>
      <c r="AJ2613" s="2">
        <v>0.27</v>
      </c>
      <c r="AK2613" s="1">
        <v>299364</v>
      </c>
      <c r="AL2613" t="s">
        <v>117</v>
      </c>
      <c r="AM2613" t="s">
        <v>118</v>
      </c>
      <c r="AN2613">
        <v>7423</v>
      </c>
      <c r="AO2613">
        <v>0.17</v>
      </c>
      <c r="AP2613">
        <v>1</v>
      </c>
      <c r="AR2613">
        <v>1</v>
      </c>
      <c r="AS2613" s="1">
        <v>21420</v>
      </c>
      <c r="AT2613" s="1">
        <v>4280</v>
      </c>
      <c r="AU2613" s="1">
        <v>17140</v>
      </c>
      <c r="AV2613">
        <v>80.02</v>
      </c>
      <c r="AX2613" s="1">
        <v>2262.16</v>
      </c>
      <c r="AY2613" t="s">
        <v>8084</v>
      </c>
      <c r="AZ2613" t="s">
        <v>8084</v>
      </c>
      <c r="BA2613" t="s">
        <v>5118</v>
      </c>
      <c r="BE2613" s="3">
        <v>42025</v>
      </c>
      <c r="BF2613" s="1">
        <v>212800</v>
      </c>
      <c r="BG2613" t="s">
        <v>17363</v>
      </c>
      <c r="BH2613" s="1">
        <v>85.09</v>
      </c>
      <c r="BI2613" s="1">
        <v>219822</v>
      </c>
      <c r="BJ2613" s="3">
        <v>42025</v>
      </c>
      <c r="BK2613" t="s">
        <v>123</v>
      </c>
      <c r="BL2613" t="str">
        <f>"2015.39025"</f>
        <v>2015.39025</v>
      </c>
      <c r="BM2613" t="s">
        <v>1287</v>
      </c>
      <c r="BO2613" t="s">
        <v>17364</v>
      </c>
      <c r="BS2613">
        <v>30</v>
      </c>
      <c r="BW2613" t="str">
        <f>""</f>
        <v/>
      </c>
      <c r="CH2613" t="str">
        <f>""</f>
        <v/>
      </c>
      <c r="CS2613" t="str">
        <f>""</f>
        <v/>
      </c>
    </row>
    <row r="2614" spans="1:97" x14ac:dyDescent="0.25">
      <c r="A2614" t="s">
        <v>325</v>
      </c>
      <c r="B2614" t="s">
        <v>7889</v>
      </c>
      <c r="C2614" t="s">
        <v>12813</v>
      </c>
      <c r="D2614" t="s">
        <v>7889</v>
      </c>
      <c r="E2614" t="s">
        <v>17365</v>
      </c>
      <c r="F2614" t="s">
        <v>108</v>
      </c>
      <c r="H2614" t="s">
        <v>17366</v>
      </c>
      <c r="I2614" t="s">
        <v>110</v>
      </c>
      <c r="J2614" t="s">
        <v>111</v>
      </c>
      <c r="K2614" t="str">
        <f>"85226"</f>
        <v>85226</v>
      </c>
      <c r="L2614" t="s">
        <v>5074</v>
      </c>
      <c r="M2614" t="s">
        <v>17366</v>
      </c>
      <c r="N2614" t="s">
        <v>110</v>
      </c>
      <c r="O2614" t="s">
        <v>111</v>
      </c>
      <c r="P2614" t="str">
        <f>"85226-4003"</f>
        <v>85226-4003</v>
      </c>
      <c r="Q2614" t="s">
        <v>113</v>
      </c>
      <c r="R2614" t="str">
        <f>"301-64-012"</f>
        <v>301-64-012</v>
      </c>
      <c r="S2614" t="s">
        <v>17367</v>
      </c>
      <c r="U2614">
        <v>1385</v>
      </c>
      <c r="V2614">
        <v>0</v>
      </c>
      <c r="W2614">
        <v>2</v>
      </c>
      <c r="X2614">
        <v>1985</v>
      </c>
      <c r="Z2614">
        <v>1</v>
      </c>
      <c r="AB2614">
        <v>0</v>
      </c>
      <c r="AC2614" t="s">
        <v>5188</v>
      </c>
      <c r="AD2614">
        <v>2</v>
      </c>
      <c r="AE2614" t="s">
        <v>5188</v>
      </c>
      <c r="AF2614">
        <v>0</v>
      </c>
      <c r="AG2614">
        <v>0</v>
      </c>
      <c r="AH2614" t="s">
        <v>116</v>
      </c>
      <c r="AI2614" s="1">
        <v>40992</v>
      </c>
      <c r="AJ2614" s="2">
        <v>0.16</v>
      </c>
      <c r="AK2614" s="1">
        <v>253881</v>
      </c>
      <c r="AL2614" t="s">
        <v>117</v>
      </c>
      <c r="AM2614" t="s">
        <v>5077</v>
      </c>
      <c r="AN2614">
        <v>6826</v>
      </c>
      <c r="AO2614">
        <v>0.16</v>
      </c>
      <c r="AP2614">
        <v>1</v>
      </c>
      <c r="AR2614">
        <v>1</v>
      </c>
      <c r="AS2614" s="1">
        <v>17510</v>
      </c>
      <c r="AT2614" s="1">
        <v>3500</v>
      </c>
      <c r="AU2614" s="1">
        <v>14010</v>
      </c>
      <c r="AV2614">
        <v>80.010000000000005</v>
      </c>
      <c r="AX2614" s="1">
        <v>1080.8599999999999</v>
      </c>
      <c r="AY2614" t="s">
        <v>8225</v>
      </c>
      <c r="AZ2614" t="s">
        <v>5922</v>
      </c>
      <c r="BA2614" t="s">
        <v>5202</v>
      </c>
      <c r="BE2614" s="3">
        <v>42531</v>
      </c>
      <c r="BF2614" s="1">
        <v>209900</v>
      </c>
      <c r="BG2614" t="s">
        <v>17368</v>
      </c>
      <c r="BH2614" s="1">
        <v>151.55000000000001</v>
      </c>
      <c r="BI2614" s="1">
        <v>212889</v>
      </c>
      <c r="BJ2614" s="3">
        <v>42531</v>
      </c>
      <c r="BK2614" t="s">
        <v>123</v>
      </c>
      <c r="BL2614" t="str">
        <f>"2016.403028"</f>
        <v>2016.403028</v>
      </c>
      <c r="BM2614" t="s">
        <v>709</v>
      </c>
      <c r="BO2614" t="s">
        <v>17369</v>
      </c>
      <c r="BS2614">
        <v>30</v>
      </c>
      <c r="BW2614" t="str">
        <f>""</f>
        <v/>
      </c>
      <c r="CH2614" t="str">
        <f>""</f>
        <v/>
      </c>
      <c r="CS2614" t="str">
        <f>""</f>
        <v/>
      </c>
    </row>
    <row r="2615" spans="1:97" x14ac:dyDescent="0.25">
      <c r="A2615" t="s">
        <v>6281</v>
      </c>
      <c r="B2615" t="s">
        <v>17370</v>
      </c>
      <c r="C2615" t="s">
        <v>17371</v>
      </c>
      <c r="D2615" t="s">
        <v>17370</v>
      </c>
      <c r="E2615" t="s">
        <v>17372</v>
      </c>
      <c r="F2615" t="s">
        <v>108</v>
      </c>
      <c r="H2615" t="s">
        <v>17373</v>
      </c>
      <c r="I2615" t="s">
        <v>390</v>
      </c>
      <c r="J2615" t="s">
        <v>111</v>
      </c>
      <c r="K2615" t="str">
        <f>"85008"</f>
        <v>85008</v>
      </c>
      <c r="L2615" t="s">
        <v>7005</v>
      </c>
      <c r="M2615" t="s">
        <v>17373</v>
      </c>
      <c r="N2615" t="s">
        <v>390</v>
      </c>
      <c r="O2615" t="s">
        <v>111</v>
      </c>
      <c r="P2615" t="str">
        <f>"85008-2320"</f>
        <v>85008-2320</v>
      </c>
      <c r="Q2615" t="s">
        <v>113</v>
      </c>
      <c r="R2615" t="str">
        <f>"126-03-058"</f>
        <v>126-03-058</v>
      </c>
      <c r="S2615" t="s">
        <v>17374</v>
      </c>
      <c r="U2615">
        <v>2208</v>
      </c>
      <c r="V2615">
        <v>0</v>
      </c>
      <c r="W2615">
        <v>4</v>
      </c>
      <c r="X2615">
        <v>1949</v>
      </c>
      <c r="Z2615">
        <v>1</v>
      </c>
      <c r="AB2615">
        <v>0</v>
      </c>
      <c r="AC2615" t="s">
        <v>5188</v>
      </c>
      <c r="AD2615">
        <v>2</v>
      </c>
      <c r="AE2615" t="s">
        <v>5188</v>
      </c>
      <c r="AF2615">
        <v>0</v>
      </c>
      <c r="AG2615">
        <v>0</v>
      </c>
      <c r="AH2615" t="s">
        <v>116</v>
      </c>
      <c r="AI2615" s="1">
        <v>113068</v>
      </c>
      <c r="AJ2615" s="2">
        <v>0.22</v>
      </c>
      <c r="AK2615" s="1">
        <v>509946</v>
      </c>
      <c r="AL2615" t="s">
        <v>117</v>
      </c>
      <c r="AM2615" t="s">
        <v>191</v>
      </c>
      <c r="AN2615">
        <v>11596</v>
      </c>
      <c r="AO2615">
        <v>0.27</v>
      </c>
      <c r="AP2615">
        <v>1</v>
      </c>
      <c r="AR2615">
        <v>1</v>
      </c>
      <c r="AS2615" s="1">
        <v>36330</v>
      </c>
      <c r="AT2615" s="1">
        <v>7260</v>
      </c>
      <c r="AU2615" s="1">
        <v>29070</v>
      </c>
      <c r="AV2615">
        <v>80.02</v>
      </c>
      <c r="AX2615" s="1">
        <v>3219.32</v>
      </c>
      <c r="AY2615" t="s">
        <v>16394</v>
      </c>
      <c r="AZ2615" t="s">
        <v>16394</v>
      </c>
      <c r="BA2615" t="s">
        <v>6255</v>
      </c>
      <c r="BB2615" s="3">
        <v>42853</v>
      </c>
      <c r="BD2615" t="s">
        <v>240</v>
      </c>
      <c r="BE2615" s="3">
        <v>41806</v>
      </c>
      <c r="BF2615" s="1">
        <v>383000</v>
      </c>
      <c r="BG2615" t="s">
        <v>17375</v>
      </c>
      <c r="BH2615" s="1">
        <v>173.46</v>
      </c>
      <c r="BI2615" s="1">
        <v>396878</v>
      </c>
      <c r="BJ2615" s="3">
        <v>42853</v>
      </c>
      <c r="BK2615" t="s">
        <v>123</v>
      </c>
      <c r="BL2615" t="str">
        <f>"2017.309557"</f>
        <v>2017.309557</v>
      </c>
      <c r="BM2615" t="s">
        <v>5693</v>
      </c>
      <c r="BN2615" t="s">
        <v>17376</v>
      </c>
      <c r="BO2615" t="s">
        <v>17377</v>
      </c>
      <c r="BS2615">
        <v>30</v>
      </c>
      <c r="BW2615" t="str">
        <f>""</f>
        <v/>
      </c>
      <c r="CH2615" t="str">
        <f>""</f>
        <v/>
      </c>
      <c r="CS2615" t="str">
        <f>""</f>
        <v/>
      </c>
    </row>
    <row r="2616" spans="1:97" x14ac:dyDescent="0.25">
      <c r="A2616" t="s">
        <v>2863</v>
      </c>
      <c r="B2616" t="s">
        <v>482</v>
      </c>
      <c r="E2616" t="s">
        <v>17378</v>
      </c>
      <c r="F2616" t="s">
        <v>108</v>
      </c>
      <c r="H2616" t="s">
        <v>17379</v>
      </c>
      <c r="I2616" t="s">
        <v>167</v>
      </c>
      <c r="J2616" t="s">
        <v>111</v>
      </c>
      <c r="K2616" t="str">
        <f>"85339"</f>
        <v>85339</v>
      </c>
      <c r="L2616" t="s">
        <v>6788</v>
      </c>
      <c r="M2616" t="s">
        <v>17379</v>
      </c>
      <c r="N2616" t="s">
        <v>167</v>
      </c>
      <c r="O2616" t="s">
        <v>111</v>
      </c>
      <c r="P2616" t="str">
        <f>"85339-1981"</f>
        <v>85339-1981</v>
      </c>
      <c r="Q2616" t="s">
        <v>113</v>
      </c>
      <c r="R2616" t="str">
        <f>"104-77-068"</f>
        <v>104-77-068</v>
      </c>
      <c r="S2616" t="s">
        <v>17380</v>
      </c>
      <c r="U2616">
        <v>1883</v>
      </c>
      <c r="V2616">
        <v>0</v>
      </c>
      <c r="W2616">
        <v>3</v>
      </c>
      <c r="X2616">
        <v>2005</v>
      </c>
      <c r="Z2616">
        <v>1</v>
      </c>
      <c r="AB2616">
        <v>0</v>
      </c>
      <c r="AC2616" t="s">
        <v>115</v>
      </c>
      <c r="AD2616">
        <v>2</v>
      </c>
      <c r="AE2616" t="s">
        <v>115</v>
      </c>
      <c r="AF2616">
        <v>0</v>
      </c>
      <c r="AG2616">
        <v>0</v>
      </c>
      <c r="AH2616" t="s">
        <v>116</v>
      </c>
      <c r="AI2616" s="1">
        <v>45411</v>
      </c>
      <c r="AJ2616" s="2">
        <v>0.18</v>
      </c>
      <c r="AK2616" s="1">
        <v>249945</v>
      </c>
      <c r="AL2616" t="s">
        <v>117</v>
      </c>
      <c r="AM2616" t="s">
        <v>191</v>
      </c>
      <c r="AN2616">
        <v>7579</v>
      </c>
      <c r="AO2616">
        <v>0.17</v>
      </c>
      <c r="AR2616">
        <v>1</v>
      </c>
      <c r="AS2616" s="1">
        <v>16820</v>
      </c>
      <c r="AT2616" s="1">
        <v>3360</v>
      </c>
      <c r="AU2616" s="1">
        <v>13460</v>
      </c>
      <c r="AV2616">
        <v>80.02</v>
      </c>
      <c r="AX2616" s="1">
        <v>1826.7</v>
      </c>
      <c r="AY2616" t="s">
        <v>12984</v>
      </c>
      <c r="AZ2616" t="s">
        <v>12984</v>
      </c>
      <c r="BA2616" t="s">
        <v>173</v>
      </c>
      <c r="BE2616" s="3">
        <v>42551</v>
      </c>
      <c r="BF2616" s="1">
        <v>198000</v>
      </c>
      <c r="BG2616" t="s">
        <v>17381</v>
      </c>
      <c r="BH2616" s="1">
        <v>105.15</v>
      </c>
      <c r="BI2616" s="1">
        <v>204534</v>
      </c>
      <c r="BJ2616" s="3">
        <v>42551</v>
      </c>
      <c r="BK2616" t="s">
        <v>123</v>
      </c>
      <c r="BL2616" t="str">
        <f>"2016.463626"</f>
        <v>2016.463626</v>
      </c>
      <c r="BM2616" t="s">
        <v>1185</v>
      </c>
      <c r="BN2616" t="s">
        <v>6728</v>
      </c>
      <c r="BO2616" t="s">
        <v>17382</v>
      </c>
      <c r="BS2616">
        <v>30</v>
      </c>
      <c r="BW2616" t="str">
        <f>""</f>
        <v/>
      </c>
      <c r="CH2616" t="str">
        <f>""</f>
        <v/>
      </c>
      <c r="CS2616" t="str">
        <f>""</f>
        <v/>
      </c>
    </row>
    <row r="2617" spans="1:97" x14ac:dyDescent="0.25">
      <c r="A2617" t="s">
        <v>13918</v>
      </c>
      <c r="B2617" t="s">
        <v>212</v>
      </c>
      <c r="E2617" t="s">
        <v>17383</v>
      </c>
      <c r="F2617" t="s">
        <v>108</v>
      </c>
      <c r="H2617" t="s">
        <v>17384</v>
      </c>
      <c r="I2617" t="s">
        <v>499</v>
      </c>
      <c r="J2617" t="s">
        <v>111</v>
      </c>
      <c r="K2617" t="str">
        <f>"85338"</f>
        <v>85338</v>
      </c>
      <c r="L2617" t="s">
        <v>6316</v>
      </c>
      <c r="M2617" t="s">
        <v>17384</v>
      </c>
      <c r="N2617" t="s">
        <v>499</v>
      </c>
      <c r="O2617" t="s">
        <v>111</v>
      </c>
      <c r="P2617" t="str">
        <f>"85338-2585"</f>
        <v>85338-2585</v>
      </c>
      <c r="Q2617" t="s">
        <v>113</v>
      </c>
      <c r="R2617" t="str">
        <f>"502-46-472"</f>
        <v>502-46-472</v>
      </c>
      <c r="S2617" t="s">
        <v>6317</v>
      </c>
      <c r="T2617" t="s">
        <v>6318</v>
      </c>
      <c r="U2617">
        <v>1959</v>
      </c>
      <c r="V2617">
        <v>0</v>
      </c>
      <c r="W2617">
        <v>3</v>
      </c>
      <c r="X2617">
        <v>2008</v>
      </c>
      <c r="Z2617">
        <v>1</v>
      </c>
      <c r="AB2617">
        <v>0</v>
      </c>
      <c r="AC2617" t="s">
        <v>115</v>
      </c>
      <c r="AD2617">
        <v>2</v>
      </c>
      <c r="AE2617" t="s">
        <v>115</v>
      </c>
      <c r="AF2617">
        <v>0</v>
      </c>
      <c r="AG2617">
        <v>0</v>
      </c>
      <c r="AH2617" t="s">
        <v>116</v>
      </c>
      <c r="AI2617" s="1">
        <v>23977</v>
      </c>
      <c r="AJ2617" s="2">
        <v>0.09</v>
      </c>
      <c r="AK2617" s="1">
        <v>262977</v>
      </c>
      <c r="AL2617" t="s">
        <v>117</v>
      </c>
      <c r="AM2617" t="s">
        <v>118</v>
      </c>
      <c r="AN2617">
        <v>6105</v>
      </c>
      <c r="AO2617">
        <v>0.14000000000000001</v>
      </c>
      <c r="AR2617">
        <v>1</v>
      </c>
      <c r="AS2617" s="1">
        <v>18550</v>
      </c>
      <c r="AT2617" s="1">
        <v>3710</v>
      </c>
      <c r="AU2617" s="1">
        <v>14840</v>
      </c>
      <c r="AV2617">
        <v>80</v>
      </c>
      <c r="AX2617" s="1">
        <v>1667.36</v>
      </c>
      <c r="AY2617" t="s">
        <v>6319</v>
      </c>
      <c r="AZ2617" t="s">
        <v>6319</v>
      </c>
      <c r="BA2617" t="s">
        <v>218</v>
      </c>
      <c r="BE2617" s="3">
        <v>42458</v>
      </c>
      <c r="BF2617" s="1">
        <v>210000</v>
      </c>
      <c r="BG2617" t="s">
        <v>17385</v>
      </c>
      <c r="BH2617" s="1">
        <v>107.2</v>
      </c>
      <c r="BI2617" s="1">
        <v>239000</v>
      </c>
      <c r="BJ2617" s="3">
        <v>43026</v>
      </c>
      <c r="BK2617" t="s">
        <v>123</v>
      </c>
      <c r="BL2617" t="str">
        <f>"2017.772462"</f>
        <v>2017.772462</v>
      </c>
      <c r="BM2617" t="s">
        <v>980</v>
      </c>
      <c r="BO2617" t="s">
        <v>17386</v>
      </c>
      <c r="BS2617">
        <v>30</v>
      </c>
      <c r="BW2617" t="str">
        <f>""</f>
        <v/>
      </c>
      <c r="CH2617" t="str">
        <f>""</f>
        <v/>
      </c>
      <c r="CS2617" t="str">
        <f>""</f>
        <v/>
      </c>
    </row>
    <row r="2618" spans="1:97" x14ac:dyDescent="0.25">
      <c r="A2618" t="s">
        <v>3104</v>
      </c>
      <c r="B2618" t="s">
        <v>2639</v>
      </c>
      <c r="E2618" t="s">
        <v>17387</v>
      </c>
      <c r="F2618" t="s">
        <v>108</v>
      </c>
      <c r="H2618" t="s">
        <v>17388</v>
      </c>
      <c r="I2618" t="s">
        <v>225</v>
      </c>
      <c r="J2618" t="s">
        <v>111</v>
      </c>
      <c r="K2618" t="str">
        <f>"85210"</f>
        <v>85210</v>
      </c>
      <c r="L2618" t="s">
        <v>4003</v>
      </c>
      <c r="M2618" t="s">
        <v>17388</v>
      </c>
      <c r="N2618" t="s">
        <v>225</v>
      </c>
      <c r="O2618" t="s">
        <v>111</v>
      </c>
      <c r="P2618" t="str">
        <f>"85210-6759"</f>
        <v>85210-6759</v>
      </c>
      <c r="Q2618" t="s">
        <v>113</v>
      </c>
      <c r="R2618" t="str">
        <f>"302-04-548"</f>
        <v>302-04-548</v>
      </c>
      <c r="S2618" t="s">
        <v>17389</v>
      </c>
      <c r="T2618" t="s">
        <v>7140</v>
      </c>
      <c r="U2618">
        <v>1896</v>
      </c>
      <c r="V2618">
        <v>0</v>
      </c>
      <c r="W2618">
        <v>2</v>
      </c>
      <c r="X2618">
        <v>1979</v>
      </c>
      <c r="Z2618">
        <v>1</v>
      </c>
      <c r="AB2618">
        <v>0</v>
      </c>
      <c r="AC2618" t="s">
        <v>115</v>
      </c>
      <c r="AD2618">
        <v>2</v>
      </c>
      <c r="AE2618" t="s">
        <v>115</v>
      </c>
      <c r="AF2618">
        <v>0</v>
      </c>
      <c r="AG2618">
        <v>0</v>
      </c>
      <c r="AH2618" t="s">
        <v>116</v>
      </c>
      <c r="AI2618" s="1">
        <v>66913</v>
      </c>
      <c r="AJ2618" s="2">
        <v>0.22</v>
      </c>
      <c r="AK2618" s="1">
        <v>309668</v>
      </c>
      <c r="AL2618" t="s">
        <v>117</v>
      </c>
      <c r="AM2618" t="s">
        <v>191</v>
      </c>
      <c r="AN2618">
        <v>8782</v>
      </c>
      <c r="AO2618">
        <v>0.2</v>
      </c>
      <c r="AP2618">
        <v>1</v>
      </c>
      <c r="AR2618">
        <v>1</v>
      </c>
      <c r="AS2618" s="1">
        <v>21130</v>
      </c>
      <c r="AT2618" s="1">
        <v>4220</v>
      </c>
      <c r="AU2618" s="1">
        <v>16910</v>
      </c>
      <c r="AV2618">
        <v>80.03</v>
      </c>
      <c r="AX2618" s="1">
        <v>1517.46</v>
      </c>
      <c r="AY2618" t="s">
        <v>8076</v>
      </c>
      <c r="AZ2618" t="s">
        <v>7295</v>
      </c>
      <c r="BA2618" t="s">
        <v>5311</v>
      </c>
      <c r="BE2618" s="3">
        <v>42144</v>
      </c>
      <c r="BF2618" s="1">
        <v>235000</v>
      </c>
      <c r="BG2618" t="s">
        <v>17390</v>
      </c>
      <c r="BH2618" s="1">
        <v>123.95</v>
      </c>
      <c r="BI2618" s="1">
        <v>242755</v>
      </c>
      <c r="BJ2618" s="3">
        <v>42144</v>
      </c>
      <c r="BK2618" t="s">
        <v>123</v>
      </c>
      <c r="BL2618" t="str">
        <f>"2015.355644"</f>
        <v>2015.355644</v>
      </c>
      <c r="BM2618" t="s">
        <v>1791</v>
      </c>
      <c r="BO2618" t="s">
        <v>17391</v>
      </c>
      <c r="BS2618">
        <v>30</v>
      </c>
      <c r="BW2618" t="str">
        <f>""</f>
        <v/>
      </c>
      <c r="CH2618" t="str">
        <f>""</f>
        <v/>
      </c>
      <c r="CS2618" t="str">
        <f>""</f>
        <v/>
      </c>
    </row>
    <row r="2619" spans="1:97" x14ac:dyDescent="0.25">
      <c r="A2619" t="s">
        <v>370</v>
      </c>
      <c r="B2619" t="s">
        <v>17392</v>
      </c>
      <c r="E2619" t="s">
        <v>17393</v>
      </c>
      <c r="F2619" t="s">
        <v>108</v>
      </c>
      <c r="H2619" t="s">
        <v>17394</v>
      </c>
      <c r="I2619" t="s">
        <v>110</v>
      </c>
      <c r="J2619" t="s">
        <v>111</v>
      </c>
      <c r="K2619" t="str">
        <f>"85225"</f>
        <v>85225</v>
      </c>
      <c r="L2619" t="s">
        <v>2547</v>
      </c>
      <c r="M2619" t="s">
        <v>17394</v>
      </c>
      <c r="N2619" t="s">
        <v>110</v>
      </c>
      <c r="O2619" t="s">
        <v>111</v>
      </c>
      <c r="P2619" t="str">
        <f>"85225-1510"</f>
        <v>85225-1510</v>
      </c>
      <c r="Q2619" t="s">
        <v>113</v>
      </c>
      <c r="R2619" t="str">
        <f>"302-37-124"</f>
        <v>302-37-124</v>
      </c>
      <c r="S2619" t="s">
        <v>17395</v>
      </c>
      <c r="T2619" t="s">
        <v>17396</v>
      </c>
      <c r="U2619">
        <v>1394</v>
      </c>
      <c r="V2619">
        <v>0</v>
      </c>
      <c r="W2619">
        <v>2</v>
      </c>
      <c r="X2619">
        <v>1986</v>
      </c>
      <c r="Z2619">
        <v>1</v>
      </c>
      <c r="AB2619">
        <v>0</v>
      </c>
      <c r="AC2619" t="s">
        <v>115</v>
      </c>
      <c r="AD2619">
        <v>2</v>
      </c>
      <c r="AE2619" t="s">
        <v>115</v>
      </c>
      <c r="AF2619">
        <v>0</v>
      </c>
      <c r="AG2619">
        <v>0</v>
      </c>
      <c r="AH2619" t="s">
        <v>116</v>
      </c>
      <c r="AI2619" s="1">
        <v>76041</v>
      </c>
      <c r="AJ2619" s="2">
        <v>0.27</v>
      </c>
      <c r="AK2619" s="1">
        <v>282419</v>
      </c>
      <c r="AL2619" t="s">
        <v>117</v>
      </c>
      <c r="AM2619" t="s">
        <v>118</v>
      </c>
      <c r="AN2619">
        <v>7462</v>
      </c>
      <c r="AO2619">
        <v>0.17</v>
      </c>
      <c r="AP2619">
        <v>1</v>
      </c>
      <c r="AR2619">
        <v>1</v>
      </c>
      <c r="AS2619" s="1">
        <v>19180</v>
      </c>
      <c r="AT2619" s="1">
        <v>3830</v>
      </c>
      <c r="AU2619" s="1">
        <v>15350</v>
      </c>
      <c r="AV2619">
        <v>80.03</v>
      </c>
      <c r="AX2619" s="1">
        <v>1330.38</v>
      </c>
      <c r="AY2619" t="s">
        <v>6163</v>
      </c>
      <c r="AZ2619" t="s">
        <v>2906</v>
      </c>
      <c r="BA2619" t="s">
        <v>2957</v>
      </c>
      <c r="BE2619" s="3">
        <v>41717</v>
      </c>
      <c r="BF2619" s="1">
        <v>207000</v>
      </c>
      <c r="BG2619" t="s">
        <v>17397</v>
      </c>
      <c r="BH2619" s="1">
        <v>148.49</v>
      </c>
      <c r="BI2619" s="1">
        <v>206378</v>
      </c>
      <c r="BJ2619" s="3">
        <v>42663</v>
      </c>
      <c r="BK2619" t="s">
        <v>123</v>
      </c>
      <c r="BL2619" t="str">
        <f>"2016.769536"</f>
        <v>2016.769536</v>
      </c>
      <c r="BM2619" t="s">
        <v>402</v>
      </c>
      <c r="BO2619" t="s">
        <v>17398</v>
      </c>
      <c r="BS2619">
        <v>30</v>
      </c>
      <c r="BW2619" t="str">
        <f>""</f>
        <v/>
      </c>
      <c r="CH2619" t="str">
        <f>""</f>
        <v/>
      </c>
      <c r="CS2619" t="str">
        <f>""</f>
        <v/>
      </c>
    </row>
    <row r="2620" spans="1:97" x14ac:dyDescent="0.25">
      <c r="A2620" t="s">
        <v>2930</v>
      </c>
      <c r="B2620" t="s">
        <v>15348</v>
      </c>
      <c r="C2620" t="s">
        <v>2580</v>
      </c>
      <c r="D2620" t="s">
        <v>15348</v>
      </c>
      <c r="E2620" t="s">
        <v>17399</v>
      </c>
      <c r="F2620" t="s">
        <v>108</v>
      </c>
      <c r="H2620" t="s">
        <v>17400</v>
      </c>
      <c r="I2620" t="s">
        <v>390</v>
      </c>
      <c r="J2620" t="s">
        <v>111</v>
      </c>
      <c r="K2620" t="str">
        <f>"85032"</f>
        <v>85032</v>
      </c>
      <c r="L2620" t="s">
        <v>6169</v>
      </c>
      <c r="M2620" t="s">
        <v>17400</v>
      </c>
      <c r="N2620" t="s">
        <v>390</v>
      </c>
      <c r="O2620" t="s">
        <v>111</v>
      </c>
      <c r="P2620" t="str">
        <f>"85032-6612"</f>
        <v>85032-6612</v>
      </c>
      <c r="Q2620" t="s">
        <v>113</v>
      </c>
      <c r="R2620" t="str">
        <f>"166-01-702"</f>
        <v>166-01-702</v>
      </c>
      <c r="S2620" t="s">
        <v>17401</v>
      </c>
      <c r="T2620" t="s">
        <v>17402</v>
      </c>
      <c r="U2620">
        <v>1688</v>
      </c>
      <c r="V2620">
        <v>0</v>
      </c>
      <c r="W2620">
        <v>2</v>
      </c>
      <c r="X2620">
        <v>1972</v>
      </c>
      <c r="Z2620">
        <v>1</v>
      </c>
      <c r="AA2620" t="s">
        <v>26</v>
      </c>
      <c r="AB2620">
        <v>0</v>
      </c>
      <c r="AC2620" t="s">
        <v>115</v>
      </c>
      <c r="AD2620">
        <v>2</v>
      </c>
      <c r="AE2620" t="s">
        <v>115</v>
      </c>
      <c r="AF2620">
        <v>0</v>
      </c>
      <c r="AG2620">
        <v>0</v>
      </c>
      <c r="AH2620" t="s">
        <v>116</v>
      </c>
      <c r="AI2620" s="1">
        <v>57961</v>
      </c>
      <c r="AJ2620" s="2">
        <v>0.17</v>
      </c>
      <c r="AK2620" s="1">
        <v>349087</v>
      </c>
      <c r="AL2620" t="s">
        <v>117</v>
      </c>
      <c r="AM2620" t="s">
        <v>191</v>
      </c>
      <c r="AN2620">
        <v>10947</v>
      </c>
      <c r="AO2620">
        <v>0.25</v>
      </c>
      <c r="AP2620">
        <v>1</v>
      </c>
      <c r="AR2620">
        <v>1</v>
      </c>
      <c r="AS2620" s="1">
        <v>23970</v>
      </c>
      <c r="AT2620" s="1">
        <v>4790</v>
      </c>
      <c r="AU2620" s="1">
        <v>19180</v>
      </c>
      <c r="AV2620">
        <v>80.02</v>
      </c>
      <c r="AX2620" s="1">
        <v>1874.42</v>
      </c>
      <c r="AY2620" t="s">
        <v>5230</v>
      </c>
      <c r="AZ2620" t="s">
        <v>5231</v>
      </c>
      <c r="BA2620" t="s">
        <v>5232</v>
      </c>
      <c r="BE2620" s="3">
        <v>42536</v>
      </c>
      <c r="BF2620" s="1">
        <v>284999</v>
      </c>
      <c r="BG2620" t="s">
        <v>17403</v>
      </c>
      <c r="BH2620" s="1">
        <v>168.84</v>
      </c>
      <c r="BI2620" s="1">
        <v>291126</v>
      </c>
      <c r="BJ2620" s="3">
        <v>42536</v>
      </c>
      <c r="BK2620" t="s">
        <v>123</v>
      </c>
      <c r="BL2620" t="str">
        <f>"2016.415307"</f>
        <v>2016.415307</v>
      </c>
      <c r="BM2620" t="s">
        <v>475</v>
      </c>
      <c r="BO2620" t="s">
        <v>17404</v>
      </c>
      <c r="BS2620">
        <v>30</v>
      </c>
      <c r="BW2620" t="str">
        <f>""</f>
        <v/>
      </c>
      <c r="CH2620" t="str">
        <f>""</f>
        <v/>
      </c>
      <c r="CS2620" t="str">
        <f>""</f>
        <v/>
      </c>
    </row>
    <row r="2621" spans="1:97" x14ac:dyDescent="0.25">
      <c r="A2621" t="s">
        <v>17405</v>
      </c>
      <c r="B2621" t="s">
        <v>17406</v>
      </c>
      <c r="C2621" t="s">
        <v>2852</v>
      </c>
      <c r="D2621" t="s">
        <v>17406</v>
      </c>
      <c r="E2621" t="s">
        <v>17407</v>
      </c>
      <c r="F2621" t="s">
        <v>108</v>
      </c>
      <c r="H2621" t="s">
        <v>17408</v>
      </c>
      <c r="I2621" t="s">
        <v>3150</v>
      </c>
      <c r="J2621" t="s">
        <v>111</v>
      </c>
      <c r="K2621" t="str">
        <f>"85340"</f>
        <v>85340</v>
      </c>
      <c r="L2621" t="s">
        <v>3758</v>
      </c>
      <c r="M2621" t="s">
        <v>17408</v>
      </c>
      <c r="N2621" t="s">
        <v>3150</v>
      </c>
      <c r="O2621" t="s">
        <v>111</v>
      </c>
      <c r="P2621" t="str">
        <f>"85340-3416"</f>
        <v>85340-3416</v>
      </c>
      <c r="Q2621" t="s">
        <v>113</v>
      </c>
      <c r="R2621" t="str">
        <f>"508-12-764"</f>
        <v>508-12-764</v>
      </c>
      <c r="S2621" t="s">
        <v>5240</v>
      </c>
      <c r="U2621">
        <v>2024</v>
      </c>
      <c r="V2621">
        <v>0</v>
      </c>
      <c r="W2621">
        <v>3</v>
      </c>
      <c r="X2621">
        <v>2003</v>
      </c>
      <c r="Z2621">
        <v>2</v>
      </c>
      <c r="AA2621" t="s">
        <v>26</v>
      </c>
      <c r="AB2621">
        <v>0</v>
      </c>
      <c r="AC2621" t="s">
        <v>115</v>
      </c>
      <c r="AD2621">
        <v>2</v>
      </c>
      <c r="AE2621" t="s">
        <v>115</v>
      </c>
      <c r="AF2621">
        <v>0</v>
      </c>
      <c r="AG2621">
        <v>0</v>
      </c>
      <c r="AH2621" t="s">
        <v>116</v>
      </c>
      <c r="AI2621" s="1">
        <v>56160</v>
      </c>
      <c r="AJ2621" s="2">
        <v>0.22</v>
      </c>
      <c r="AK2621" s="1">
        <v>261160</v>
      </c>
      <c r="AL2621" t="s">
        <v>117</v>
      </c>
      <c r="AM2621" t="s">
        <v>191</v>
      </c>
      <c r="AN2621">
        <v>4703</v>
      </c>
      <c r="AO2621">
        <v>0.11</v>
      </c>
      <c r="AP2621">
        <v>1</v>
      </c>
      <c r="AR2621">
        <v>1</v>
      </c>
      <c r="AS2621" s="1">
        <v>16880</v>
      </c>
      <c r="AT2621" s="1">
        <v>3370</v>
      </c>
      <c r="AU2621" s="1">
        <v>13510</v>
      </c>
      <c r="AV2621">
        <v>80.040000000000006</v>
      </c>
      <c r="AX2621" s="1">
        <v>1209.72</v>
      </c>
      <c r="AY2621" t="s">
        <v>5241</v>
      </c>
      <c r="AZ2621" t="s">
        <v>3153</v>
      </c>
      <c r="BA2621" t="s">
        <v>3154</v>
      </c>
      <c r="BE2621" s="3">
        <v>42493</v>
      </c>
      <c r="BF2621" s="1">
        <v>205000</v>
      </c>
      <c r="BG2621" t="s">
        <v>17409</v>
      </c>
      <c r="BH2621" s="1">
        <v>101.28</v>
      </c>
      <c r="BI2621" s="1">
        <v>205000</v>
      </c>
      <c r="BJ2621" s="3">
        <v>42493</v>
      </c>
      <c r="BK2621" t="s">
        <v>123</v>
      </c>
      <c r="BL2621" t="str">
        <f>"2016.300368"</f>
        <v>2016.300368</v>
      </c>
      <c r="BM2621" t="s">
        <v>5534</v>
      </c>
      <c r="BO2621" t="s">
        <v>17410</v>
      </c>
      <c r="BS2621">
        <v>30</v>
      </c>
      <c r="BW2621" t="str">
        <f>""</f>
        <v/>
      </c>
      <c r="CH2621" t="str">
        <f>""</f>
        <v/>
      </c>
      <c r="CS2621" t="str">
        <f>""</f>
        <v/>
      </c>
    </row>
    <row r="2622" spans="1:97" x14ac:dyDescent="0.25">
      <c r="B2622" t="s">
        <v>17411</v>
      </c>
      <c r="E2622" t="s">
        <v>17412</v>
      </c>
      <c r="F2622" t="s">
        <v>108</v>
      </c>
      <c r="H2622" t="s">
        <v>17413</v>
      </c>
      <c r="I2622" t="s">
        <v>390</v>
      </c>
      <c r="J2622" t="s">
        <v>111</v>
      </c>
      <c r="K2622" t="str">
        <f>"85042"</f>
        <v>85042</v>
      </c>
      <c r="L2622" t="s">
        <v>6766</v>
      </c>
      <c r="M2622" t="s">
        <v>17413</v>
      </c>
      <c r="N2622" t="s">
        <v>390</v>
      </c>
      <c r="O2622" t="s">
        <v>111</v>
      </c>
      <c r="P2622" t="str">
        <f>"85042-6704"</f>
        <v>85042-6704</v>
      </c>
      <c r="Q2622" t="s">
        <v>113</v>
      </c>
      <c r="R2622" t="str">
        <f>"300-23-031"</f>
        <v>300-23-031</v>
      </c>
      <c r="S2622" t="s">
        <v>17414</v>
      </c>
      <c r="T2622" t="s">
        <v>17414</v>
      </c>
      <c r="U2622">
        <v>2346</v>
      </c>
      <c r="V2622">
        <v>0</v>
      </c>
      <c r="W2622">
        <v>4</v>
      </c>
      <c r="X2622">
        <v>2001</v>
      </c>
      <c r="Z2622">
        <v>2</v>
      </c>
      <c r="AA2622" t="s">
        <v>26</v>
      </c>
      <c r="AB2622">
        <v>0</v>
      </c>
      <c r="AC2622" t="s">
        <v>115</v>
      </c>
      <c r="AD2622">
        <v>3</v>
      </c>
      <c r="AE2622" t="s">
        <v>115</v>
      </c>
      <c r="AF2622">
        <v>0</v>
      </c>
      <c r="AG2622">
        <v>0</v>
      </c>
      <c r="AH2622" t="s">
        <v>116</v>
      </c>
      <c r="AI2622" s="1">
        <v>109030</v>
      </c>
      <c r="AJ2622" s="2">
        <v>0.31</v>
      </c>
      <c r="AK2622" s="1">
        <v>351418</v>
      </c>
      <c r="AL2622" t="s">
        <v>117</v>
      </c>
      <c r="AM2622" t="s">
        <v>1302</v>
      </c>
      <c r="AN2622">
        <v>11975</v>
      </c>
      <c r="AO2622">
        <v>0.28000000000000003</v>
      </c>
      <c r="AP2622">
        <v>1</v>
      </c>
      <c r="AR2622">
        <v>1</v>
      </c>
      <c r="AS2622" s="1">
        <v>25230</v>
      </c>
      <c r="AT2622" s="1">
        <v>5040</v>
      </c>
      <c r="AU2622" s="1">
        <v>20190</v>
      </c>
      <c r="AV2622">
        <v>80.02</v>
      </c>
      <c r="AX2622" s="1">
        <v>3036.8</v>
      </c>
      <c r="AY2622" t="s">
        <v>2859</v>
      </c>
      <c r="AZ2622" t="s">
        <v>2859</v>
      </c>
      <c r="BA2622" t="s">
        <v>2860</v>
      </c>
      <c r="BB2622" s="3">
        <v>42838</v>
      </c>
      <c r="BD2622" t="s">
        <v>240</v>
      </c>
      <c r="BE2622" s="3">
        <v>42101</v>
      </c>
      <c r="BF2622" s="1">
        <v>250000</v>
      </c>
      <c r="BG2622" t="s">
        <v>17415</v>
      </c>
      <c r="BH2622" s="1">
        <v>106.56</v>
      </c>
      <c r="BI2622" s="1">
        <v>242388</v>
      </c>
      <c r="BJ2622" s="3">
        <v>42556</v>
      </c>
      <c r="BK2622" t="s">
        <v>123</v>
      </c>
      <c r="BL2622" t="str">
        <f>"2016.468226"</f>
        <v>2016.468226</v>
      </c>
      <c r="BM2622" t="s">
        <v>361</v>
      </c>
      <c r="BO2622" t="s">
        <v>17416</v>
      </c>
      <c r="BS2622">
        <v>15</v>
      </c>
      <c r="BW2622" t="str">
        <f>""</f>
        <v/>
      </c>
      <c r="CH2622" t="str">
        <f>""</f>
        <v/>
      </c>
      <c r="CS2622" t="str">
        <f>""</f>
        <v/>
      </c>
    </row>
    <row r="2623" spans="1:97" x14ac:dyDescent="0.25">
      <c r="A2623" t="s">
        <v>370</v>
      </c>
      <c r="B2623" t="s">
        <v>17417</v>
      </c>
      <c r="E2623" t="s">
        <v>17418</v>
      </c>
      <c r="F2623" t="s">
        <v>108</v>
      </c>
      <c r="H2623" t="s">
        <v>17419</v>
      </c>
      <c r="I2623" t="s">
        <v>188</v>
      </c>
      <c r="J2623" t="s">
        <v>111</v>
      </c>
      <c r="K2623" t="str">
        <f>"85142"</f>
        <v>85142</v>
      </c>
      <c r="L2623" t="s">
        <v>5893</v>
      </c>
      <c r="M2623" t="s">
        <v>17419</v>
      </c>
      <c r="N2623" t="s">
        <v>188</v>
      </c>
      <c r="O2623" t="s">
        <v>111</v>
      </c>
      <c r="P2623" t="str">
        <f>"85142-5348"</f>
        <v>85142-5348</v>
      </c>
      <c r="Q2623" t="s">
        <v>113</v>
      </c>
      <c r="R2623" t="str">
        <f>"314-03-700"</f>
        <v>314-03-700</v>
      </c>
      <c r="S2623" t="s">
        <v>17420</v>
      </c>
      <c r="U2623">
        <v>2074</v>
      </c>
      <c r="V2623">
        <v>0</v>
      </c>
      <c r="W2623">
        <v>3</v>
      </c>
      <c r="X2623">
        <v>2004</v>
      </c>
      <c r="Z2623">
        <v>1</v>
      </c>
      <c r="AA2623" t="s">
        <v>26</v>
      </c>
      <c r="AB2623">
        <v>0</v>
      </c>
      <c r="AC2623" t="s">
        <v>115</v>
      </c>
      <c r="AD2623">
        <v>2</v>
      </c>
      <c r="AE2623" t="s">
        <v>115</v>
      </c>
      <c r="AF2623">
        <v>0</v>
      </c>
      <c r="AG2623">
        <v>0</v>
      </c>
      <c r="AH2623" t="s">
        <v>116</v>
      </c>
      <c r="AI2623" s="1">
        <v>51950</v>
      </c>
      <c r="AJ2623" s="2">
        <v>0.16</v>
      </c>
      <c r="AK2623" s="1">
        <v>325695</v>
      </c>
      <c r="AL2623" t="s">
        <v>117</v>
      </c>
      <c r="AM2623" t="s">
        <v>171</v>
      </c>
      <c r="AN2623">
        <v>10750</v>
      </c>
      <c r="AO2623">
        <v>0.25</v>
      </c>
      <c r="AP2623">
        <v>1</v>
      </c>
      <c r="AR2623">
        <v>1</v>
      </c>
      <c r="AS2623" s="1">
        <v>23080</v>
      </c>
      <c r="AT2623" s="1">
        <v>4610</v>
      </c>
      <c r="AU2623" s="1">
        <v>18470</v>
      </c>
      <c r="AV2623">
        <v>80.03</v>
      </c>
      <c r="AX2623" s="1">
        <v>1918.36</v>
      </c>
      <c r="AY2623" t="s">
        <v>5895</v>
      </c>
      <c r="AZ2623" t="s">
        <v>561</v>
      </c>
      <c r="BA2623" t="s">
        <v>194</v>
      </c>
      <c r="BE2623" s="3">
        <v>41997</v>
      </c>
      <c r="BF2623" s="1">
        <v>230000</v>
      </c>
      <c r="BG2623" t="s">
        <v>17421</v>
      </c>
      <c r="BH2623" s="1">
        <v>110.9</v>
      </c>
      <c r="BI2623" s="1">
        <v>273745</v>
      </c>
      <c r="BJ2623" s="3">
        <v>42835</v>
      </c>
      <c r="BK2623" t="s">
        <v>123</v>
      </c>
      <c r="BL2623" t="str">
        <f>"2017.251993"</f>
        <v>2017.251993</v>
      </c>
      <c r="BM2623" t="s">
        <v>1998</v>
      </c>
      <c r="BO2623" t="s">
        <v>17422</v>
      </c>
      <c r="BS2623">
        <v>30</v>
      </c>
      <c r="BW2623" t="str">
        <f>""</f>
        <v/>
      </c>
      <c r="CH2623" t="str">
        <f>""</f>
        <v/>
      </c>
      <c r="CS2623" t="str">
        <f>""</f>
        <v/>
      </c>
    </row>
    <row r="2624" spans="1:97" x14ac:dyDescent="0.25">
      <c r="A2624" t="s">
        <v>8500</v>
      </c>
      <c r="B2624" t="s">
        <v>17423</v>
      </c>
      <c r="C2624" t="s">
        <v>11032</v>
      </c>
      <c r="D2624" t="s">
        <v>17423</v>
      </c>
      <c r="E2624" t="s">
        <v>17424</v>
      </c>
      <c r="F2624" t="s">
        <v>108</v>
      </c>
      <c r="H2624" t="s">
        <v>17425</v>
      </c>
      <c r="I2624" t="s">
        <v>390</v>
      </c>
      <c r="J2624" t="s">
        <v>111</v>
      </c>
      <c r="K2624" t="str">
        <f>"85032"</f>
        <v>85032</v>
      </c>
      <c r="L2624" t="s">
        <v>6333</v>
      </c>
      <c r="M2624" t="s">
        <v>17425</v>
      </c>
      <c r="N2624" t="s">
        <v>390</v>
      </c>
      <c r="O2624" t="s">
        <v>111</v>
      </c>
      <c r="P2624" t="str">
        <f>"85032-7262"</f>
        <v>85032-7262</v>
      </c>
      <c r="Q2624" t="s">
        <v>113</v>
      </c>
      <c r="R2624" t="str">
        <f>"166-03-159"</f>
        <v>166-03-159</v>
      </c>
      <c r="S2624" t="s">
        <v>17426</v>
      </c>
      <c r="T2624" t="s">
        <v>17426</v>
      </c>
      <c r="U2624">
        <v>1620</v>
      </c>
      <c r="V2624">
        <v>0</v>
      </c>
      <c r="W2624">
        <v>2</v>
      </c>
      <c r="X2624">
        <v>1974</v>
      </c>
      <c r="Z2624">
        <v>1</v>
      </c>
      <c r="AA2624" t="s">
        <v>26</v>
      </c>
      <c r="AB2624">
        <v>0</v>
      </c>
      <c r="AC2624" t="s">
        <v>115</v>
      </c>
      <c r="AD2624">
        <v>2</v>
      </c>
      <c r="AE2624" t="s">
        <v>115</v>
      </c>
      <c r="AF2624">
        <v>0</v>
      </c>
      <c r="AG2624">
        <v>0</v>
      </c>
      <c r="AH2624" t="s">
        <v>116</v>
      </c>
      <c r="AI2624" s="1">
        <v>66423</v>
      </c>
      <c r="AJ2624" s="2">
        <v>0.2</v>
      </c>
      <c r="AK2624" s="1">
        <v>329423</v>
      </c>
      <c r="AL2624" t="s">
        <v>117</v>
      </c>
      <c r="AM2624" t="s">
        <v>171</v>
      </c>
      <c r="AN2624">
        <v>8028</v>
      </c>
      <c r="AO2624">
        <v>0.18</v>
      </c>
      <c r="AP2624">
        <v>1</v>
      </c>
      <c r="AR2624">
        <v>1</v>
      </c>
      <c r="AS2624" s="1">
        <v>22370</v>
      </c>
      <c r="AT2624" s="1">
        <v>4470</v>
      </c>
      <c r="AU2624" s="1">
        <v>17900</v>
      </c>
      <c r="AV2624">
        <v>80.02</v>
      </c>
      <c r="AX2624" s="1">
        <v>1433.5</v>
      </c>
      <c r="AY2624" t="s">
        <v>5488</v>
      </c>
      <c r="AZ2624" t="s">
        <v>5489</v>
      </c>
      <c r="BA2624" t="s">
        <v>5232</v>
      </c>
      <c r="BE2624" s="3">
        <v>42458</v>
      </c>
      <c r="BF2624" s="1">
        <v>260000</v>
      </c>
      <c r="BG2624" t="s">
        <v>17427</v>
      </c>
      <c r="BH2624" s="1">
        <v>160.49</v>
      </c>
      <c r="BI2624" s="1">
        <v>263000</v>
      </c>
      <c r="BJ2624" s="3">
        <v>42458</v>
      </c>
      <c r="BK2624" t="s">
        <v>123</v>
      </c>
      <c r="BL2624" t="str">
        <f>"2016.200607"</f>
        <v>2016.200607</v>
      </c>
      <c r="BM2624" t="s">
        <v>2716</v>
      </c>
      <c r="BO2624" t="s">
        <v>17428</v>
      </c>
      <c r="BS2624">
        <v>30</v>
      </c>
      <c r="BW2624" t="str">
        <f>""</f>
        <v/>
      </c>
      <c r="CH2624" t="str">
        <f>""</f>
        <v/>
      </c>
      <c r="CS2624" t="str">
        <f>""</f>
        <v/>
      </c>
    </row>
    <row r="2625" spans="1:97" x14ac:dyDescent="0.25">
      <c r="A2625" t="s">
        <v>1755</v>
      </c>
      <c r="B2625" t="s">
        <v>17429</v>
      </c>
      <c r="E2625" t="s">
        <v>17430</v>
      </c>
      <c r="F2625" t="s">
        <v>108</v>
      </c>
      <c r="H2625" t="s">
        <v>17431</v>
      </c>
      <c r="I2625" t="s">
        <v>632</v>
      </c>
      <c r="J2625" t="s">
        <v>111</v>
      </c>
      <c r="K2625" t="str">
        <f>"85379"</f>
        <v>85379</v>
      </c>
      <c r="L2625" t="s">
        <v>5021</v>
      </c>
      <c r="M2625" t="s">
        <v>17431</v>
      </c>
      <c r="N2625" t="s">
        <v>632</v>
      </c>
      <c r="O2625" t="s">
        <v>111</v>
      </c>
      <c r="P2625" t="str">
        <f>"85379-5324"</f>
        <v>85379-5324</v>
      </c>
      <c r="Q2625" t="s">
        <v>113</v>
      </c>
      <c r="R2625" t="str">
        <f>"501-96-745"</f>
        <v>501-96-745</v>
      </c>
      <c r="S2625" t="s">
        <v>8193</v>
      </c>
      <c r="U2625">
        <v>2536</v>
      </c>
      <c r="V2625">
        <v>0</v>
      </c>
      <c r="W2625">
        <v>3</v>
      </c>
      <c r="X2625">
        <v>2004</v>
      </c>
      <c r="Z2625">
        <v>2</v>
      </c>
      <c r="AB2625">
        <v>0</v>
      </c>
      <c r="AC2625" t="s">
        <v>115</v>
      </c>
      <c r="AD2625">
        <v>2</v>
      </c>
      <c r="AE2625" t="s">
        <v>115</v>
      </c>
      <c r="AF2625">
        <v>0</v>
      </c>
      <c r="AG2625">
        <v>0</v>
      </c>
      <c r="AH2625" t="s">
        <v>116</v>
      </c>
      <c r="AI2625" s="1">
        <v>48467</v>
      </c>
      <c r="AJ2625" s="2">
        <v>0.17</v>
      </c>
      <c r="AK2625" s="1">
        <v>288159</v>
      </c>
      <c r="AL2625" t="s">
        <v>117</v>
      </c>
      <c r="AM2625" t="s">
        <v>118</v>
      </c>
      <c r="AN2625">
        <v>5520</v>
      </c>
      <c r="AO2625">
        <v>0.13</v>
      </c>
      <c r="AR2625">
        <v>1</v>
      </c>
      <c r="AS2625" s="1">
        <v>18130</v>
      </c>
      <c r="AT2625" s="1">
        <v>3620</v>
      </c>
      <c r="AU2625" s="1">
        <v>14510</v>
      </c>
      <c r="AV2625">
        <v>80.03</v>
      </c>
      <c r="AX2625" s="1">
        <v>1731.52</v>
      </c>
      <c r="AY2625" t="s">
        <v>5615</v>
      </c>
      <c r="AZ2625" t="s">
        <v>5615</v>
      </c>
      <c r="BA2625" t="s">
        <v>635</v>
      </c>
      <c r="BB2625" s="3">
        <v>42668</v>
      </c>
      <c r="BD2625" t="s">
        <v>458</v>
      </c>
      <c r="BE2625" s="3">
        <v>42304</v>
      </c>
      <c r="BF2625" s="1">
        <v>235000</v>
      </c>
      <c r="BG2625" t="s">
        <v>17432</v>
      </c>
      <c r="BH2625" s="1">
        <v>92.67</v>
      </c>
      <c r="BI2625" s="1">
        <v>239692</v>
      </c>
      <c r="BJ2625" s="3">
        <v>42668</v>
      </c>
      <c r="BK2625" t="s">
        <v>123</v>
      </c>
      <c r="BL2625" t="str">
        <f>"2016.780702"</f>
        <v>2016.780702</v>
      </c>
      <c r="BM2625" t="s">
        <v>322</v>
      </c>
      <c r="BO2625" t="s">
        <v>17433</v>
      </c>
      <c r="BS2625">
        <v>30</v>
      </c>
      <c r="BW2625" t="str">
        <f>""</f>
        <v/>
      </c>
      <c r="CH2625" t="str">
        <f>""</f>
        <v/>
      </c>
      <c r="CS2625" t="str">
        <f>""</f>
        <v/>
      </c>
    </row>
    <row r="2626" spans="1:97" x14ac:dyDescent="0.25">
      <c r="A2626" t="s">
        <v>1850</v>
      </c>
      <c r="B2626" t="s">
        <v>17434</v>
      </c>
      <c r="E2626" t="s">
        <v>17435</v>
      </c>
      <c r="F2626" t="s">
        <v>108</v>
      </c>
      <c r="H2626" t="s">
        <v>17436</v>
      </c>
      <c r="I2626" t="s">
        <v>632</v>
      </c>
      <c r="J2626" t="s">
        <v>111</v>
      </c>
      <c r="K2626" t="str">
        <f>"85374"</f>
        <v>85374</v>
      </c>
      <c r="L2626" t="s">
        <v>5514</v>
      </c>
      <c r="M2626" t="s">
        <v>17436</v>
      </c>
      <c r="N2626" t="s">
        <v>632</v>
      </c>
      <c r="O2626" t="s">
        <v>111</v>
      </c>
      <c r="P2626" t="str">
        <f>"85374-1835"</f>
        <v>85374-1835</v>
      </c>
      <c r="Q2626" t="s">
        <v>113</v>
      </c>
      <c r="R2626" t="str">
        <f>"232-39-913"</f>
        <v>232-39-913</v>
      </c>
      <c r="S2626" t="s">
        <v>14722</v>
      </c>
      <c r="U2626">
        <v>2687</v>
      </c>
      <c r="V2626">
        <v>0</v>
      </c>
      <c r="W2626">
        <v>4</v>
      </c>
      <c r="X2626">
        <v>2005</v>
      </c>
      <c r="Z2626">
        <v>2</v>
      </c>
      <c r="AB2626">
        <v>0</v>
      </c>
      <c r="AC2626" t="s">
        <v>115</v>
      </c>
      <c r="AD2626">
        <v>3</v>
      </c>
      <c r="AE2626" t="s">
        <v>115</v>
      </c>
      <c r="AF2626">
        <v>0</v>
      </c>
      <c r="AG2626">
        <v>0</v>
      </c>
      <c r="AH2626" t="s">
        <v>116</v>
      </c>
      <c r="AI2626" s="1">
        <v>96509</v>
      </c>
      <c r="AJ2626" s="2">
        <v>0.32</v>
      </c>
      <c r="AK2626" s="1">
        <v>303976</v>
      </c>
      <c r="AL2626" t="s">
        <v>117</v>
      </c>
      <c r="AM2626" t="s">
        <v>5516</v>
      </c>
      <c r="AN2626">
        <v>6900</v>
      </c>
      <c r="AO2626">
        <v>0.16</v>
      </c>
      <c r="AR2626">
        <v>1</v>
      </c>
      <c r="AS2626" s="1">
        <v>21280</v>
      </c>
      <c r="AT2626" s="1">
        <v>4250</v>
      </c>
      <c r="AU2626" s="1">
        <v>17030</v>
      </c>
      <c r="AV2626">
        <v>80.03</v>
      </c>
      <c r="AX2626" s="1">
        <v>1548.4</v>
      </c>
      <c r="AY2626" t="s">
        <v>5517</v>
      </c>
      <c r="AZ2626" t="s">
        <v>5517</v>
      </c>
      <c r="BA2626" t="s">
        <v>5109</v>
      </c>
      <c r="BB2626" s="3">
        <v>43087</v>
      </c>
      <c r="BD2626" t="s">
        <v>157</v>
      </c>
      <c r="BE2626" s="3">
        <v>41866</v>
      </c>
      <c r="BF2626" s="1">
        <v>210000</v>
      </c>
      <c r="BG2626" t="s">
        <v>17437</v>
      </c>
      <c r="BH2626" s="1">
        <v>78.150000000000006</v>
      </c>
      <c r="BI2626" s="1">
        <v>207467</v>
      </c>
      <c r="BJ2626" s="3">
        <v>43087</v>
      </c>
      <c r="BK2626" t="s">
        <v>123</v>
      </c>
      <c r="BL2626" t="str">
        <f>"2017.933403"</f>
        <v>2017.933403</v>
      </c>
      <c r="BM2626" t="s">
        <v>340</v>
      </c>
      <c r="BO2626" t="s">
        <v>17438</v>
      </c>
      <c r="BS2626">
        <v>21</v>
      </c>
      <c r="BW2626" t="str">
        <f>""</f>
        <v/>
      </c>
      <c r="CH2626" t="str">
        <f>""</f>
        <v/>
      </c>
      <c r="CS2626" t="str">
        <f>""</f>
        <v/>
      </c>
    </row>
    <row r="2627" spans="1:97" x14ac:dyDescent="0.25">
      <c r="A2627" t="s">
        <v>3730</v>
      </c>
      <c r="B2627" t="s">
        <v>2793</v>
      </c>
      <c r="C2627" t="s">
        <v>1906</v>
      </c>
      <c r="D2627" t="s">
        <v>2793</v>
      </c>
      <c r="E2627" t="s">
        <v>17439</v>
      </c>
      <c r="F2627" t="s">
        <v>108</v>
      </c>
      <c r="H2627" t="s">
        <v>17440</v>
      </c>
      <c r="I2627" t="s">
        <v>5523</v>
      </c>
      <c r="J2627" t="s">
        <v>111</v>
      </c>
      <c r="K2627" t="str">
        <f>"85373"</f>
        <v>85373</v>
      </c>
      <c r="L2627" t="s">
        <v>5524</v>
      </c>
      <c r="M2627" t="s">
        <v>17440</v>
      </c>
      <c r="N2627" t="s">
        <v>5523</v>
      </c>
      <c r="O2627" t="s">
        <v>111</v>
      </c>
      <c r="P2627" t="str">
        <f>"85373-5672"</f>
        <v>85373-5672</v>
      </c>
      <c r="Q2627" t="s">
        <v>113</v>
      </c>
      <c r="R2627" t="str">
        <f>"503-88-851"</f>
        <v>503-88-851</v>
      </c>
      <c r="S2627" t="s">
        <v>5525</v>
      </c>
      <c r="T2627" t="s">
        <v>5526</v>
      </c>
      <c r="U2627">
        <v>2882</v>
      </c>
      <c r="V2627">
        <v>0</v>
      </c>
      <c r="W2627">
        <v>4</v>
      </c>
      <c r="X2627">
        <v>2014</v>
      </c>
      <c r="Z2627">
        <v>2</v>
      </c>
      <c r="AA2627" t="s">
        <v>26</v>
      </c>
      <c r="AB2627">
        <v>0</v>
      </c>
      <c r="AC2627" t="s">
        <v>115</v>
      </c>
      <c r="AD2627">
        <v>2</v>
      </c>
      <c r="AE2627" t="s">
        <v>115</v>
      </c>
      <c r="AF2627">
        <v>0</v>
      </c>
      <c r="AG2627">
        <v>0</v>
      </c>
      <c r="AH2627" t="s">
        <v>116</v>
      </c>
      <c r="AI2627" s="1">
        <v>-7022</v>
      </c>
      <c r="AJ2627" s="2">
        <v>-0.02</v>
      </c>
      <c r="AK2627" s="1">
        <v>340615</v>
      </c>
      <c r="AL2627" t="s">
        <v>117</v>
      </c>
      <c r="AM2627" t="s">
        <v>191</v>
      </c>
      <c r="AN2627">
        <v>5750</v>
      </c>
      <c r="AO2627">
        <v>0.13</v>
      </c>
      <c r="AR2627">
        <v>1</v>
      </c>
      <c r="AS2627" s="1">
        <v>25870</v>
      </c>
      <c r="AT2627" s="1">
        <v>5170</v>
      </c>
      <c r="AU2627" s="1">
        <v>20700</v>
      </c>
      <c r="AV2627">
        <v>80.02</v>
      </c>
      <c r="AX2627" s="1">
        <v>2419.88</v>
      </c>
      <c r="AY2627" t="s">
        <v>3228</v>
      </c>
      <c r="AZ2627" t="s">
        <v>3228</v>
      </c>
      <c r="BA2627" t="s">
        <v>457</v>
      </c>
      <c r="BE2627" s="3">
        <v>41820</v>
      </c>
      <c r="BF2627" s="1">
        <v>360657</v>
      </c>
      <c r="BG2627" t="s">
        <v>2199</v>
      </c>
      <c r="BH2627" s="1">
        <v>125.14</v>
      </c>
      <c r="BI2627" s="1">
        <v>347637</v>
      </c>
      <c r="BJ2627" s="3">
        <v>41820</v>
      </c>
      <c r="BK2627" t="s">
        <v>123</v>
      </c>
      <c r="BL2627" t="str">
        <f>"2014.426662"</f>
        <v>2014.426662</v>
      </c>
      <c r="BM2627" t="s">
        <v>2245</v>
      </c>
      <c r="BO2627" t="s">
        <v>17441</v>
      </c>
      <c r="BS2627">
        <v>30</v>
      </c>
      <c r="BW2627" t="str">
        <f>""</f>
        <v/>
      </c>
      <c r="CH2627" t="str">
        <f>""</f>
        <v/>
      </c>
      <c r="CS2627" t="str">
        <f>""</f>
        <v/>
      </c>
    </row>
    <row r="2628" spans="1:97" x14ac:dyDescent="0.25">
      <c r="A2628" t="s">
        <v>17442</v>
      </c>
      <c r="B2628" t="s">
        <v>17443</v>
      </c>
      <c r="E2628" t="s">
        <v>17444</v>
      </c>
      <c r="F2628" t="s">
        <v>108</v>
      </c>
      <c r="H2628" t="s">
        <v>17445</v>
      </c>
      <c r="I2628" t="s">
        <v>1788</v>
      </c>
      <c r="J2628" t="s">
        <v>111</v>
      </c>
      <c r="K2628" t="str">
        <f>"85355"</f>
        <v>85355</v>
      </c>
      <c r="L2628" t="s">
        <v>168</v>
      </c>
      <c r="M2628" t="s">
        <v>17445</v>
      </c>
      <c r="N2628" t="s">
        <v>1788</v>
      </c>
      <c r="O2628" t="s">
        <v>111</v>
      </c>
      <c r="P2628" t="str">
        <f>"85355-4466"</f>
        <v>85355-4466</v>
      </c>
      <c r="Q2628" t="s">
        <v>113</v>
      </c>
      <c r="R2628" t="str">
        <f>"502-90-513"</f>
        <v>502-90-513</v>
      </c>
      <c r="S2628" t="s">
        <v>8290</v>
      </c>
      <c r="T2628" t="s">
        <v>8290</v>
      </c>
      <c r="U2628">
        <v>3489</v>
      </c>
      <c r="V2628">
        <v>0</v>
      </c>
      <c r="W2628">
        <v>6</v>
      </c>
      <c r="X2628">
        <v>2015</v>
      </c>
      <c r="Z2628">
        <v>2</v>
      </c>
      <c r="AB2628">
        <v>0</v>
      </c>
      <c r="AC2628" t="s">
        <v>115</v>
      </c>
      <c r="AD2628">
        <v>3</v>
      </c>
      <c r="AE2628" t="s">
        <v>115</v>
      </c>
      <c r="AF2628">
        <v>0</v>
      </c>
      <c r="AG2628">
        <v>0</v>
      </c>
      <c r="AH2628" t="s">
        <v>116</v>
      </c>
      <c r="AI2628" s="1">
        <v>80525</v>
      </c>
      <c r="AJ2628" s="2">
        <v>0.22</v>
      </c>
      <c r="AK2628" s="1">
        <v>369700</v>
      </c>
      <c r="AL2628" t="s">
        <v>117</v>
      </c>
      <c r="AM2628" t="s">
        <v>191</v>
      </c>
      <c r="AN2628">
        <v>8750</v>
      </c>
      <c r="AO2628">
        <v>0.2</v>
      </c>
      <c r="AR2628">
        <v>1</v>
      </c>
      <c r="AS2628" s="1">
        <v>28250</v>
      </c>
      <c r="AT2628" s="1">
        <v>5650</v>
      </c>
      <c r="AU2628" s="1">
        <v>22600</v>
      </c>
      <c r="AV2628">
        <v>80</v>
      </c>
      <c r="AX2628" s="1">
        <v>1915.38</v>
      </c>
      <c r="AY2628" t="s">
        <v>5972</v>
      </c>
      <c r="AZ2628" t="s">
        <v>5972</v>
      </c>
      <c r="BA2628" t="s">
        <v>5061</v>
      </c>
      <c r="BE2628" s="3">
        <v>42389</v>
      </c>
      <c r="BF2628" s="1">
        <v>290036</v>
      </c>
      <c r="BG2628" t="s">
        <v>158</v>
      </c>
      <c r="BH2628" s="1">
        <v>83.13</v>
      </c>
      <c r="BI2628" s="1">
        <v>289175</v>
      </c>
      <c r="BJ2628" s="3">
        <v>42828</v>
      </c>
      <c r="BK2628" t="s">
        <v>123</v>
      </c>
      <c r="BL2628" t="str">
        <f>"2017.232618"</f>
        <v>2017.232618</v>
      </c>
      <c r="BM2628" t="s">
        <v>361</v>
      </c>
      <c r="BO2628" t="s">
        <v>17446</v>
      </c>
      <c r="BS2628">
        <v>30</v>
      </c>
      <c r="BW2628" t="str">
        <f>""</f>
        <v/>
      </c>
      <c r="CH2628" t="str">
        <f>""</f>
        <v/>
      </c>
      <c r="CS2628" t="str">
        <f>""</f>
        <v/>
      </c>
    </row>
    <row r="2629" spans="1:97" x14ac:dyDescent="0.25">
      <c r="A2629" t="s">
        <v>6753</v>
      </c>
      <c r="B2629" t="s">
        <v>17447</v>
      </c>
      <c r="C2629" t="s">
        <v>8044</v>
      </c>
      <c r="D2629" t="s">
        <v>17447</v>
      </c>
      <c r="E2629" t="s">
        <v>17448</v>
      </c>
      <c r="F2629" t="s">
        <v>108</v>
      </c>
      <c r="H2629" t="s">
        <v>17449</v>
      </c>
      <c r="I2629" t="s">
        <v>632</v>
      </c>
      <c r="J2629" t="s">
        <v>111</v>
      </c>
      <c r="K2629" t="str">
        <f>"85374"</f>
        <v>85374</v>
      </c>
      <c r="L2629" t="s">
        <v>316</v>
      </c>
      <c r="M2629" t="s">
        <v>17449</v>
      </c>
      <c r="N2629" t="s">
        <v>632</v>
      </c>
      <c r="O2629" t="s">
        <v>111</v>
      </c>
      <c r="P2629" t="str">
        <f>"85374-5751"</f>
        <v>85374-5751</v>
      </c>
      <c r="Q2629" t="s">
        <v>113</v>
      </c>
      <c r="R2629" t="str">
        <f>"501-93-423"</f>
        <v>501-93-423</v>
      </c>
      <c r="S2629" t="s">
        <v>17450</v>
      </c>
      <c r="U2629">
        <v>2166</v>
      </c>
      <c r="V2629">
        <v>0</v>
      </c>
      <c r="W2629">
        <v>4</v>
      </c>
      <c r="X2629">
        <v>1999</v>
      </c>
      <c r="Z2629">
        <v>2</v>
      </c>
      <c r="AA2629" t="s">
        <v>26</v>
      </c>
      <c r="AB2629">
        <v>0</v>
      </c>
      <c r="AC2629" t="s">
        <v>115</v>
      </c>
      <c r="AD2629">
        <v>2</v>
      </c>
      <c r="AE2629" t="s">
        <v>115</v>
      </c>
      <c r="AF2629">
        <v>0</v>
      </c>
      <c r="AG2629">
        <v>0</v>
      </c>
      <c r="AH2629" t="s">
        <v>116</v>
      </c>
      <c r="AI2629" s="1">
        <v>51735</v>
      </c>
      <c r="AJ2629" s="2">
        <v>0.18</v>
      </c>
      <c r="AK2629" s="1">
        <v>284160</v>
      </c>
      <c r="AL2629" t="s">
        <v>117</v>
      </c>
      <c r="AM2629" t="s">
        <v>118</v>
      </c>
      <c r="AN2629">
        <v>5455</v>
      </c>
      <c r="AO2629">
        <v>0.12</v>
      </c>
      <c r="AP2629">
        <v>1</v>
      </c>
      <c r="AR2629">
        <v>1</v>
      </c>
      <c r="AS2629" s="1">
        <v>19820</v>
      </c>
      <c r="AT2629" s="1">
        <v>3960</v>
      </c>
      <c r="AU2629" s="1">
        <v>15860</v>
      </c>
      <c r="AV2629">
        <v>80.02</v>
      </c>
      <c r="AX2629" s="1">
        <v>1348.84</v>
      </c>
      <c r="AY2629" t="s">
        <v>5983</v>
      </c>
      <c r="AZ2629" t="s">
        <v>5983</v>
      </c>
      <c r="BA2629" t="s">
        <v>5109</v>
      </c>
      <c r="BE2629" s="3">
        <v>41823</v>
      </c>
      <c r="BF2629" s="1">
        <v>189000</v>
      </c>
      <c r="BG2629" t="s">
        <v>17451</v>
      </c>
      <c r="BH2629" s="1">
        <v>87.26</v>
      </c>
      <c r="BI2629" s="1">
        <v>232425</v>
      </c>
      <c r="BJ2629" s="3">
        <v>42521</v>
      </c>
      <c r="BK2629" t="s">
        <v>123</v>
      </c>
      <c r="BL2629" t="str">
        <f>"2016.374442"</f>
        <v>2016.374442</v>
      </c>
      <c r="BM2629" t="s">
        <v>3004</v>
      </c>
      <c r="BO2629" t="s">
        <v>17452</v>
      </c>
      <c r="BS2629">
        <v>30</v>
      </c>
      <c r="BW2629" t="str">
        <f>""</f>
        <v/>
      </c>
      <c r="CH2629" t="str">
        <f>""</f>
        <v/>
      </c>
      <c r="CS2629" t="str">
        <f>""</f>
        <v/>
      </c>
    </row>
    <row r="2630" spans="1:97" x14ac:dyDescent="0.25">
      <c r="A2630" t="s">
        <v>1774</v>
      </c>
      <c r="B2630" t="s">
        <v>17453</v>
      </c>
      <c r="C2630" t="s">
        <v>1649</v>
      </c>
      <c r="D2630" t="s">
        <v>17453</v>
      </c>
      <c r="E2630" t="s">
        <v>17454</v>
      </c>
      <c r="F2630" t="s">
        <v>108</v>
      </c>
      <c r="H2630" t="s">
        <v>17455</v>
      </c>
      <c r="I2630" t="s">
        <v>390</v>
      </c>
      <c r="J2630" t="s">
        <v>111</v>
      </c>
      <c r="K2630" t="str">
        <f>"85014"</f>
        <v>85014</v>
      </c>
      <c r="L2630" t="s">
        <v>6541</v>
      </c>
      <c r="M2630" t="s">
        <v>17455</v>
      </c>
      <c r="N2630" t="s">
        <v>390</v>
      </c>
      <c r="O2630" t="s">
        <v>111</v>
      </c>
      <c r="P2630" t="str">
        <f>"85014-2608"</f>
        <v>85014-2608</v>
      </c>
      <c r="Q2630" t="s">
        <v>113</v>
      </c>
      <c r="R2630" t="str">
        <f>"162-14-096"</f>
        <v>162-14-096</v>
      </c>
      <c r="S2630" t="s">
        <v>17456</v>
      </c>
      <c r="T2630" t="s">
        <v>17456</v>
      </c>
      <c r="U2630">
        <v>1584</v>
      </c>
      <c r="V2630">
        <v>0</v>
      </c>
      <c r="W2630">
        <v>1</v>
      </c>
      <c r="X2630">
        <v>1950</v>
      </c>
      <c r="Z2630">
        <v>1</v>
      </c>
      <c r="AA2630" t="s">
        <v>26</v>
      </c>
      <c r="AB2630">
        <v>0</v>
      </c>
      <c r="AC2630" t="s">
        <v>5188</v>
      </c>
      <c r="AD2630">
        <v>1</v>
      </c>
      <c r="AE2630" t="s">
        <v>5188</v>
      </c>
      <c r="AF2630">
        <v>0</v>
      </c>
      <c r="AG2630">
        <v>0</v>
      </c>
      <c r="AH2630" t="s">
        <v>116</v>
      </c>
      <c r="AI2630" s="1">
        <v>120245</v>
      </c>
      <c r="AJ2630" s="2">
        <v>0.31</v>
      </c>
      <c r="AK2630" s="1">
        <v>385835</v>
      </c>
      <c r="AL2630" t="s">
        <v>117</v>
      </c>
      <c r="AM2630" t="s">
        <v>191</v>
      </c>
      <c r="AN2630">
        <v>7627</v>
      </c>
      <c r="AO2630">
        <v>0.18</v>
      </c>
      <c r="AP2630">
        <v>1</v>
      </c>
      <c r="AR2630">
        <v>1</v>
      </c>
      <c r="AS2630" s="1">
        <v>25320</v>
      </c>
      <c r="AT2630" s="1">
        <v>5060</v>
      </c>
      <c r="AU2630" s="1">
        <v>20260</v>
      </c>
      <c r="AV2630">
        <v>80.02</v>
      </c>
      <c r="AX2630" s="1">
        <v>2481.14</v>
      </c>
      <c r="AY2630" t="s">
        <v>6998</v>
      </c>
      <c r="AZ2630" t="s">
        <v>6254</v>
      </c>
      <c r="BA2630" t="s">
        <v>5469</v>
      </c>
      <c r="BE2630" s="3">
        <v>41788</v>
      </c>
      <c r="BF2630" s="1">
        <v>260000</v>
      </c>
      <c r="BG2630" t="s">
        <v>17457</v>
      </c>
      <c r="BH2630" s="1">
        <v>164.14</v>
      </c>
      <c r="BI2630" s="1">
        <v>265590</v>
      </c>
      <c r="BJ2630" s="3">
        <v>41788</v>
      </c>
      <c r="BK2630" t="s">
        <v>123</v>
      </c>
      <c r="BL2630" t="str">
        <f>"2014.348163"</f>
        <v>2014.348163</v>
      </c>
      <c r="BM2630" t="s">
        <v>475</v>
      </c>
      <c r="BO2630" t="s">
        <v>17458</v>
      </c>
      <c r="BS2630">
        <v>30</v>
      </c>
      <c r="BW2630" t="str">
        <f>""</f>
        <v/>
      </c>
      <c r="CH2630" t="str">
        <f>""</f>
        <v/>
      </c>
      <c r="CS2630" t="str">
        <f>""</f>
        <v/>
      </c>
    </row>
    <row r="2631" spans="1:97" x14ac:dyDescent="0.25">
      <c r="A2631" t="s">
        <v>2201</v>
      </c>
      <c r="B2631" t="s">
        <v>12461</v>
      </c>
      <c r="C2631" t="s">
        <v>2852</v>
      </c>
      <c r="D2631" t="s">
        <v>12461</v>
      </c>
      <c r="E2631" t="s">
        <v>17459</v>
      </c>
      <c r="F2631" t="s">
        <v>108</v>
      </c>
      <c r="H2631" t="s">
        <v>17460</v>
      </c>
      <c r="I2631" t="s">
        <v>1936</v>
      </c>
      <c r="J2631" t="s">
        <v>111</v>
      </c>
      <c r="K2631" t="str">
        <f>"85258"</f>
        <v>85258</v>
      </c>
      <c r="L2631" t="s">
        <v>9764</v>
      </c>
      <c r="M2631" t="s">
        <v>17460</v>
      </c>
      <c r="N2631" t="s">
        <v>1936</v>
      </c>
      <c r="O2631" t="s">
        <v>111</v>
      </c>
      <c r="P2631" t="str">
        <f>"85258-5209"</f>
        <v>85258-5209</v>
      </c>
      <c r="Q2631" t="s">
        <v>113</v>
      </c>
      <c r="R2631" t="str">
        <f>"217-35-891"</f>
        <v>217-35-891</v>
      </c>
      <c r="S2631" t="s">
        <v>17461</v>
      </c>
      <c r="T2631" t="s">
        <v>17462</v>
      </c>
      <c r="U2631">
        <v>1871</v>
      </c>
      <c r="V2631">
        <v>0</v>
      </c>
      <c r="W2631">
        <v>3</v>
      </c>
      <c r="X2631">
        <v>1984</v>
      </c>
      <c r="Z2631">
        <v>1</v>
      </c>
      <c r="AB2631">
        <v>0</v>
      </c>
      <c r="AC2631" t="s">
        <v>115</v>
      </c>
      <c r="AD2631">
        <v>2</v>
      </c>
      <c r="AE2631" t="s">
        <v>115</v>
      </c>
      <c r="AF2631">
        <v>0</v>
      </c>
      <c r="AG2631">
        <v>0</v>
      </c>
      <c r="AH2631" t="s">
        <v>116</v>
      </c>
      <c r="AI2631" s="1">
        <v>88854</v>
      </c>
      <c r="AJ2631" s="2">
        <v>0.19</v>
      </c>
      <c r="AK2631" s="1">
        <v>457767</v>
      </c>
      <c r="AL2631" t="s">
        <v>117</v>
      </c>
      <c r="AM2631" t="s">
        <v>6533</v>
      </c>
      <c r="AN2631">
        <v>5153</v>
      </c>
      <c r="AO2631">
        <v>0.12</v>
      </c>
      <c r="AP2631">
        <v>1</v>
      </c>
      <c r="AR2631">
        <v>1</v>
      </c>
      <c r="AS2631" s="1">
        <v>33230</v>
      </c>
      <c r="AT2631" s="1">
        <v>6640</v>
      </c>
      <c r="AU2631" s="1">
        <v>26590</v>
      </c>
      <c r="AV2631">
        <v>80.02</v>
      </c>
      <c r="AX2631" s="1">
        <v>2205.34</v>
      </c>
      <c r="AY2631" t="s">
        <v>5761</v>
      </c>
      <c r="AZ2631" t="s">
        <v>5762</v>
      </c>
      <c r="BA2631" t="s">
        <v>5763</v>
      </c>
      <c r="BE2631" s="3">
        <v>41981</v>
      </c>
      <c r="BF2631" s="1">
        <v>340000</v>
      </c>
      <c r="BG2631" t="s">
        <v>17463</v>
      </c>
      <c r="BH2631" s="1">
        <v>181.72</v>
      </c>
      <c r="BI2631" s="1">
        <v>338913</v>
      </c>
      <c r="BJ2631" s="3">
        <v>42716</v>
      </c>
      <c r="BK2631" t="s">
        <v>123</v>
      </c>
      <c r="BL2631" t="str">
        <f>"2016.911148"</f>
        <v>2016.911148</v>
      </c>
      <c r="BM2631" t="s">
        <v>322</v>
      </c>
      <c r="BN2631" t="s">
        <v>534</v>
      </c>
      <c r="BO2631" t="s">
        <v>17464</v>
      </c>
      <c r="BS2631">
        <v>30</v>
      </c>
      <c r="BT2631" s="1">
        <v>30000</v>
      </c>
      <c r="BU2631" s="3">
        <v>43614</v>
      </c>
      <c r="BV2631" t="s">
        <v>134</v>
      </c>
      <c r="BW2631" t="str">
        <f>"2019.394126"</f>
        <v>2019.394126</v>
      </c>
      <c r="BX2631" t="s">
        <v>654</v>
      </c>
      <c r="BY2631" t="s">
        <v>655</v>
      </c>
      <c r="BZ2631" t="s">
        <v>17465</v>
      </c>
      <c r="CA2631" t="s">
        <v>17466</v>
      </c>
      <c r="CC2631" t="s">
        <v>139</v>
      </c>
      <c r="CH2631" t="str">
        <f>""</f>
        <v/>
      </c>
      <c r="CS2631" t="str">
        <f>""</f>
        <v/>
      </c>
    </row>
    <row r="2632" spans="1:97" x14ac:dyDescent="0.25">
      <c r="A2632" t="s">
        <v>370</v>
      </c>
      <c r="B2632" t="s">
        <v>17467</v>
      </c>
      <c r="C2632" t="s">
        <v>3158</v>
      </c>
      <c r="D2632" t="s">
        <v>17467</v>
      </c>
      <c r="E2632" t="s">
        <v>17468</v>
      </c>
      <c r="F2632" t="s">
        <v>108</v>
      </c>
      <c r="H2632" t="s">
        <v>17469</v>
      </c>
      <c r="I2632" t="s">
        <v>390</v>
      </c>
      <c r="J2632" t="s">
        <v>111</v>
      </c>
      <c r="K2632" t="str">
        <f>"85048"</f>
        <v>85048</v>
      </c>
      <c r="L2632" t="s">
        <v>8543</v>
      </c>
      <c r="M2632" t="s">
        <v>17469</v>
      </c>
      <c r="N2632" t="s">
        <v>390</v>
      </c>
      <c r="O2632" t="s">
        <v>111</v>
      </c>
      <c r="P2632" t="str">
        <f>"85048"</f>
        <v>85048</v>
      </c>
      <c r="Q2632" t="s">
        <v>113</v>
      </c>
      <c r="R2632" t="str">
        <f>"307-03-568"</f>
        <v>307-03-568</v>
      </c>
      <c r="S2632" t="s">
        <v>17470</v>
      </c>
      <c r="T2632" t="s">
        <v>17471</v>
      </c>
      <c r="U2632">
        <v>1846</v>
      </c>
      <c r="V2632">
        <v>0</v>
      </c>
      <c r="W2632">
        <v>3</v>
      </c>
      <c r="X2632">
        <v>1997</v>
      </c>
      <c r="Z2632">
        <v>2</v>
      </c>
      <c r="AB2632">
        <v>0</v>
      </c>
      <c r="AC2632" t="s">
        <v>115</v>
      </c>
      <c r="AD2632">
        <v>2</v>
      </c>
      <c r="AE2632" t="s">
        <v>115</v>
      </c>
      <c r="AF2632">
        <v>0</v>
      </c>
      <c r="AG2632">
        <v>0</v>
      </c>
      <c r="AH2632" t="s">
        <v>116</v>
      </c>
      <c r="AI2632" s="1">
        <v>88070</v>
      </c>
      <c r="AJ2632" s="2">
        <v>0.26</v>
      </c>
      <c r="AK2632" s="1">
        <v>332851</v>
      </c>
      <c r="AL2632" t="s">
        <v>117</v>
      </c>
      <c r="AM2632" t="s">
        <v>191</v>
      </c>
      <c r="AN2632">
        <v>4500</v>
      </c>
      <c r="AO2632">
        <v>0.1</v>
      </c>
      <c r="AP2632">
        <v>1</v>
      </c>
      <c r="AR2632">
        <v>1</v>
      </c>
      <c r="AS2632" s="1">
        <v>21660</v>
      </c>
      <c r="AT2632" s="1">
        <v>4330</v>
      </c>
      <c r="AU2632" s="1">
        <v>17330</v>
      </c>
      <c r="AV2632">
        <v>80.010000000000005</v>
      </c>
      <c r="AX2632" s="1">
        <v>2011.12</v>
      </c>
      <c r="AY2632" t="s">
        <v>6633</v>
      </c>
      <c r="AZ2632" t="s">
        <v>929</v>
      </c>
      <c r="BA2632" t="s">
        <v>930</v>
      </c>
      <c r="BE2632" s="3">
        <v>41754</v>
      </c>
      <c r="BF2632" s="1">
        <v>249999</v>
      </c>
      <c r="BG2632" t="s">
        <v>17472</v>
      </c>
      <c r="BH2632" s="1">
        <v>135.43</v>
      </c>
      <c r="BI2632" s="1">
        <v>244781</v>
      </c>
      <c r="BJ2632" s="3">
        <v>42576</v>
      </c>
      <c r="BK2632" t="s">
        <v>123</v>
      </c>
      <c r="BL2632" t="str">
        <f>"2016.522578"</f>
        <v>2016.522578</v>
      </c>
      <c r="BM2632" t="s">
        <v>1915</v>
      </c>
      <c r="BO2632" t="s">
        <v>17473</v>
      </c>
      <c r="BS2632">
        <v>30</v>
      </c>
      <c r="BW2632" t="str">
        <f>""</f>
        <v/>
      </c>
      <c r="CH2632" t="str">
        <f>""</f>
        <v/>
      </c>
      <c r="CS2632" t="str">
        <f>""</f>
        <v/>
      </c>
    </row>
    <row r="2633" spans="1:97" x14ac:dyDescent="0.25">
      <c r="A2633" t="s">
        <v>5013</v>
      </c>
      <c r="B2633" t="s">
        <v>17474</v>
      </c>
      <c r="C2633" t="s">
        <v>6072</v>
      </c>
      <c r="D2633" t="s">
        <v>17474</v>
      </c>
      <c r="E2633" t="s">
        <v>17475</v>
      </c>
      <c r="F2633" t="s">
        <v>282</v>
      </c>
      <c r="H2633" t="s">
        <v>17476</v>
      </c>
      <c r="I2633" t="s">
        <v>5523</v>
      </c>
      <c r="J2633" t="s">
        <v>111</v>
      </c>
      <c r="K2633" t="str">
        <f>"85373"</f>
        <v>85373</v>
      </c>
      <c r="L2633" t="s">
        <v>5524</v>
      </c>
      <c r="M2633" t="s">
        <v>17477</v>
      </c>
      <c r="N2633" t="s">
        <v>632</v>
      </c>
      <c r="O2633" t="s">
        <v>111</v>
      </c>
      <c r="P2633" t="str">
        <f>"85378-4187"</f>
        <v>85378-4187</v>
      </c>
      <c r="Q2633" t="s">
        <v>113</v>
      </c>
      <c r="R2633" t="str">
        <f>"503-97-091"</f>
        <v>503-97-091</v>
      </c>
      <c r="S2633" t="s">
        <v>8164</v>
      </c>
      <c r="T2633" t="s">
        <v>8165</v>
      </c>
      <c r="U2633">
        <v>3830</v>
      </c>
      <c r="V2633">
        <v>0</v>
      </c>
      <c r="W2633">
        <v>4</v>
      </c>
      <c r="X2633">
        <v>2005</v>
      </c>
      <c r="Z2633">
        <v>2</v>
      </c>
      <c r="AB2633">
        <v>0</v>
      </c>
      <c r="AC2633" t="s">
        <v>115</v>
      </c>
      <c r="AD2633">
        <v>2</v>
      </c>
      <c r="AE2633" t="s">
        <v>115</v>
      </c>
      <c r="AF2633">
        <v>0</v>
      </c>
      <c r="AG2633">
        <v>0</v>
      </c>
      <c r="AH2633" t="s">
        <v>116</v>
      </c>
      <c r="AI2633" s="1">
        <v>99703</v>
      </c>
      <c r="AJ2633" s="2">
        <v>0.28999999999999998</v>
      </c>
      <c r="AK2633" s="1">
        <v>348584</v>
      </c>
      <c r="AL2633" t="s">
        <v>117</v>
      </c>
      <c r="AM2633" t="str">
        <f>"R1-6"</f>
        <v>R1-6</v>
      </c>
      <c r="AN2633">
        <v>6325</v>
      </c>
      <c r="AO2633">
        <v>0.14000000000000001</v>
      </c>
      <c r="AR2633">
        <v>1</v>
      </c>
      <c r="AS2633" s="1">
        <v>24550</v>
      </c>
      <c r="AT2633" s="1">
        <v>4910</v>
      </c>
      <c r="AU2633" s="1">
        <v>19640</v>
      </c>
      <c r="AV2633">
        <v>80</v>
      </c>
      <c r="AX2633" s="1">
        <v>2952.22</v>
      </c>
      <c r="AY2633" t="s">
        <v>3228</v>
      </c>
      <c r="AZ2633" t="s">
        <v>3228</v>
      </c>
      <c r="BA2633" t="s">
        <v>457</v>
      </c>
      <c r="BE2633" s="3">
        <v>41733</v>
      </c>
      <c r="BF2633" s="1">
        <v>249000</v>
      </c>
      <c r="BG2633" t="s">
        <v>17478</v>
      </c>
      <c r="BH2633" s="1">
        <v>65.010000000000005</v>
      </c>
      <c r="BI2633" s="1">
        <v>248881</v>
      </c>
      <c r="BJ2633" s="3">
        <v>43031</v>
      </c>
      <c r="BK2633" t="s">
        <v>123</v>
      </c>
      <c r="BL2633" t="str">
        <f>"2017.783344"</f>
        <v>2017.783344</v>
      </c>
      <c r="BM2633" t="s">
        <v>3638</v>
      </c>
      <c r="BO2633" t="s">
        <v>17479</v>
      </c>
      <c r="BS2633">
        <v>30</v>
      </c>
      <c r="BW2633" t="str">
        <f>""</f>
        <v/>
      </c>
      <c r="CH2633" t="str">
        <f>""</f>
        <v/>
      </c>
      <c r="CS2633" t="str">
        <f>""</f>
        <v/>
      </c>
    </row>
    <row r="2634" spans="1:97" x14ac:dyDescent="0.25">
      <c r="A2634" t="s">
        <v>4845</v>
      </c>
      <c r="B2634" t="s">
        <v>17480</v>
      </c>
      <c r="C2634" t="s">
        <v>3158</v>
      </c>
      <c r="D2634" t="s">
        <v>4718</v>
      </c>
      <c r="E2634" t="s">
        <v>17481</v>
      </c>
      <c r="F2634" t="s">
        <v>108</v>
      </c>
      <c r="H2634" t="s">
        <v>17482</v>
      </c>
      <c r="I2634" t="s">
        <v>390</v>
      </c>
      <c r="J2634" t="s">
        <v>111</v>
      </c>
      <c r="K2634" t="str">
        <f>"85022"</f>
        <v>85022</v>
      </c>
      <c r="L2634" t="s">
        <v>5438</v>
      </c>
      <c r="M2634" t="s">
        <v>17482</v>
      </c>
      <c r="N2634" t="s">
        <v>390</v>
      </c>
      <c r="O2634" t="s">
        <v>111</v>
      </c>
      <c r="P2634" t="str">
        <f>"85022-2612"</f>
        <v>85022-2612</v>
      </c>
      <c r="Q2634" t="s">
        <v>113</v>
      </c>
      <c r="R2634" t="str">
        <f>"214-16-140"</f>
        <v>214-16-140</v>
      </c>
      <c r="S2634" t="s">
        <v>5439</v>
      </c>
      <c r="T2634" t="s">
        <v>5440</v>
      </c>
      <c r="U2634">
        <v>2355</v>
      </c>
      <c r="V2634">
        <v>0</v>
      </c>
      <c r="W2634">
        <v>3</v>
      </c>
      <c r="X2634">
        <v>1983</v>
      </c>
      <c r="Z2634">
        <v>1</v>
      </c>
      <c r="AB2634">
        <v>0</v>
      </c>
      <c r="AC2634" t="s">
        <v>115</v>
      </c>
      <c r="AD2634">
        <v>2</v>
      </c>
      <c r="AE2634" t="s">
        <v>115</v>
      </c>
      <c r="AF2634">
        <v>0</v>
      </c>
      <c r="AG2634">
        <v>0</v>
      </c>
      <c r="AH2634" t="s">
        <v>116</v>
      </c>
      <c r="AI2634" s="1">
        <v>105917</v>
      </c>
      <c r="AJ2634" s="2">
        <v>0.28000000000000003</v>
      </c>
      <c r="AK2634" s="1">
        <v>379707</v>
      </c>
      <c r="AL2634" t="s">
        <v>117</v>
      </c>
      <c r="AM2634" t="s">
        <v>5441</v>
      </c>
      <c r="AN2634">
        <v>11611</v>
      </c>
      <c r="AO2634">
        <v>0.27</v>
      </c>
      <c r="AP2634">
        <v>1</v>
      </c>
      <c r="AR2634">
        <v>1</v>
      </c>
      <c r="AS2634" s="1">
        <v>26550</v>
      </c>
      <c r="AT2634" s="1">
        <v>5310</v>
      </c>
      <c r="AU2634" s="1">
        <v>21240</v>
      </c>
      <c r="AV2634">
        <v>80</v>
      </c>
      <c r="AX2634" s="1">
        <v>2357.02</v>
      </c>
      <c r="AY2634" t="s">
        <v>5442</v>
      </c>
      <c r="AZ2634" t="s">
        <v>5231</v>
      </c>
      <c r="BA2634" t="s">
        <v>2551</v>
      </c>
      <c r="BE2634" s="3">
        <v>42062</v>
      </c>
      <c r="BF2634" s="1">
        <v>278000</v>
      </c>
      <c r="BG2634" t="s">
        <v>17483</v>
      </c>
      <c r="BH2634" s="1">
        <v>118.05</v>
      </c>
      <c r="BI2634" s="1">
        <v>273790</v>
      </c>
      <c r="BJ2634" s="3">
        <v>42564</v>
      </c>
      <c r="BK2634" t="s">
        <v>123</v>
      </c>
      <c r="BL2634" t="str">
        <f>"2016.491236"</f>
        <v>2016.491236</v>
      </c>
      <c r="BM2634" t="s">
        <v>402</v>
      </c>
      <c r="BO2634" t="s">
        <v>17484</v>
      </c>
      <c r="BP2634" t="s">
        <v>17485</v>
      </c>
      <c r="BS2634">
        <v>30</v>
      </c>
      <c r="BW2634" t="str">
        <f>""</f>
        <v/>
      </c>
      <c r="CH2634" t="str">
        <f>""</f>
        <v/>
      </c>
      <c r="CS2634" t="str">
        <f>""</f>
        <v/>
      </c>
    </row>
    <row r="2635" spans="1:97" x14ac:dyDescent="0.25">
      <c r="A2635" t="s">
        <v>325</v>
      </c>
      <c r="B2635" t="s">
        <v>14410</v>
      </c>
      <c r="E2635" t="s">
        <v>17486</v>
      </c>
      <c r="F2635" t="s">
        <v>108</v>
      </c>
      <c r="H2635" t="s">
        <v>17487</v>
      </c>
      <c r="I2635" t="s">
        <v>2874</v>
      </c>
      <c r="J2635" t="s">
        <v>111</v>
      </c>
      <c r="K2635" t="str">
        <f>"85304"</f>
        <v>85304</v>
      </c>
      <c r="L2635" t="s">
        <v>2903</v>
      </c>
      <c r="M2635" t="s">
        <v>17487</v>
      </c>
      <c r="N2635" t="s">
        <v>2874</v>
      </c>
      <c r="O2635" t="s">
        <v>111</v>
      </c>
      <c r="P2635" t="str">
        <f>"85304-4323"</f>
        <v>85304-4323</v>
      </c>
      <c r="Q2635" t="s">
        <v>113</v>
      </c>
      <c r="R2635" t="str">
        <f>"148-04-319"</f>
        <v>148-04-319</v>
      </c>
      <c r="S2635" t="s">
        <v>17488</v>
      </c>
      <c r="U2635">
        <v>1937</v>
      </c>
      <c r="V2635">
        <v>0</v>
      </c>
      <c r="W2635">
        <v>3</v>
      </c>
      <c r="X2635">
        <v>1974</v>
      </c>
      <c r="Z2635">
        <v>1</v>
      </c>
      <c r="AB2635">
        <v>0</v>
      </c>
      <c r="AC2635" t="s">
        <v>115</v>
      </c>
      <c r="AD2635">
        <v>2</v>
      </c>
      <c r="AE2635" t="s">
        <v>115</v>
      </c>
      <c r="AF2635">
        <v>0</v>
      </c>
      <c r="AG2635">
        <v>0</v>
      </c>
      <c r="AH2635" t="s">
        <v>116</v>
      </c>
      <c r="AI2635" s="1">
        <v>60024</v>
      </c>
      <c r="AJ2635" s="2">
        <v>0.23</v>
      </c>
      <c r="AK2635" s="1">
        <v>261235</v>
      </c>
      <c r="AL2635" t="s">
        <v>117</v>
      </c>
      <c r="AM2635" t="s">
        <v>191</v>
      </c>
      <c r="AN2635">
        <v>7536</v>
      </c>
      <c r="AO2635">
        <v>0.17</v>
      </c>
      <c r="AP2635">
        <v>1</v>
      </c>
      <c r="AR2635">
        <v>1</v>
      </c>
      <c r="AS2635" s="1">
        <v>16600</v>
      </c>
      <c r="AT2635" s="1">
        <v>3320</v>
      </c>
      <c r="AU2635" s="1">
        <v>13280</v>
      </c>
      <c r="AV2635">
        <v>80</v>
      </c>
      <c r="AX2635" s="1">
        <v>1145.52</v>
      </c>
      <c r="AY2635" t="s">
        <v>10887</v>
      </c>
      <c r="AZ2635" t="s">
        <v>6986</v>
      </c>
      <c r="BA2635" t="s">
        <v>10888</v>
      </c>
      <c r="BE2635" s="3">
        <v>42013</v>
      </c>
      <c r="BF2635" s="1">
        <v>195000</v>
      </c>
      <c r="BG2635" t="s">
        <v>17489</v>
      </c>
      <c r="BH2635" s="1">
        <v>102.42</v>
      </c>
      <c r="BI2635" s="1">
        <v>201211</v>
      </c>
      <c r="BJ2635" s="3">
        <v>42479</v>
      </c>
      <c r="BK2635" t="s">
        <v>123</v>
      </c>
      <c r="BL2635" t="str">
        <f>"2016.260479"</f>
        <v>2016.260479</v>
      </c>
      <c r="BM2635" t="s">
        <v>1695</v>
      </c>
      <c r="BN2635" t="s">
        <v>9191</v>
      </c>
      <c r="BO2635" t="s">
        <v>17490</v>
      </c>
      <c r="BS2635">
        <v>30</v>
      </c>
      <c r="BW2635" t="str">
        <f>""</f>
        <v/>
      </c>
      <c r="CH2635" t="str">
        <f>""</f>
        <v/>
      </c>
      <c r="CS2635" t="str">
        <f>""</f>
        <v/>
      </c>
    </row>
    <row r="2636" spans="1:97" x14ac:dyDescent="0.25">
      <c r="A2636" t="s">
        <v>894</v>
      </c>
      <c r="B2636" t="s">
        <v>17491</v>
      </c>
      <c r="C2636" t="s">
        <v>817</v>
      </c>
      <c r="D2636" t="s">
        <v>17491</v>
      </c>
      <c r="E2636" t="s">
        <v>17492</v>
      </c>
      <c r="F2636" t="s">
        <v>108</v>
      </c>
      <c r="H2636" t="s">
        <v>17493</v>
      </c>
      <c r="I2636" t="s">
        <v>2874</v>
      </c>
      <c r="J2636" t="s">
        <v>111</v>
      </c>
      <c r="K2636" t="str">
        <f>"85308"</f>
        <v>85308</v>
      </c>
      <c r="L2636" t="s">
        <v>168</v>
      </c>
      <c r="M2636" t="s">
        <v>17493</v>
      </c>
      <c r="N2636" t="s">
        <v>2874</v>
      </c>
      <c r="O2636" t="s">
        <v>111</v>
      </c>
      <c r="P2636" t="str">
        <f>"85308-7352"</f>
        <v>85308-7352</v>
      </c>
      <c r="Q2636" t="s">
        <v>113</v>
      </c>
      <c r="R2636" t="str">
        <f>"206-31-291"</f>
        <v>206-31-291</v>
      </c>
      <c r="S2636" t="s">
        <v>8585</v>
      </c>
      <c r="T2636" t="s">
        <v>8586</v>
      </c>
      <c r="U2636">
        <v>1818</v>
      </c>
      <c r="V2636">
        <v>0</v>
      </c>
      <c r="W2636">
        <v>3</v>
      </c>
      <c r="X2636">
        <v>1989</v>
      </c>
      <c r="Z2636">
        <v>1</v>
      </c>
      <c r="AA2636" t="s">
        <v>26</v>
      </c>
      <c r="AB2636">
        <v>0</v>
      </c>
      <c r="AC2636" t="s">
        <v>115</v>
      </c>
      <c r="AD2636">
        <v>2</v>
      </c>
      <c r="AE2636" t="s">
        <v>115</v>
      </c>
      <c r="AF2636">
        <v>0</v>
      </c>
      <c r="AG2636">
        <v>0</v>
      </c>
      <c r="AH2636" t="s">
        <v>116</v>
      </c>
      <c r="AI2636" s="1">
        <v>51766</v>
      </c>
      <c r="AJ2636" s="2">
        <v>0.18</v>
      </c>
      <c r="AK2636" s="1">
        <v>289673</v>
      </c>
      <c r="AL2636" t="s">
        <v>117</v>
      </c>
      <c r="AM2636" t="s">
        <v>191</v>
      </c>
      <c r="AN2636">
        <v>5624</v>
      </c>
      <c r="AO2636">
        <v>0.13</v>
      </c>
      <c r="AP2636">
        <v>1</v>
      </c>
      <c r="AR2636">
        <v>1</v>
      </c>
      <c r="AS2636" s="1">
        <v>20480</v>
      </c>
      <c r="AT2636" s="1">
        <v>4090</v>
      </c>
      <c r="AU2636" s="1">
        <v>16390</v>
      </c>
      <c r="AV2636">
        <v>80.03</v>
      </c>
      <c r="AX2636" s="1">
        <v>1654.48</v>
      </c>
      <c r="AY2636" t="s">
        <v>8587</v>
      </c>
      <c r="AZ2636" t="s">
        <v>5142</v>
      </c>
      <c r="BA2636" t="s">
        <v>5143</v>
      </c>
      <c r="BE2636" s="3">
        <v>42395</v>
      </c>
      <c r="BF2636" s="1">
        <v>232900</v>
      </c>
      <c r="BG2636" t="s">
        <v>17494</v>
      </c>
      <c r="BH2636" s="1">
        <v>128.11000000000001</v>
      </c>
      <c r="BI2636" s="1">
        <v>237907</v>
      </c>
      <c r="BJ2636" s="3">
        <v>42395</v>
      </c>
      <c r="BK2636" t="s">
        <v>123</v>
      </c>
      <c r="BL2636" t="str">
        <f>"2016.51576"</f>
        <v>2016.51576</v>
      </c>
      <c r="BM2636" t="s">
        <v>1185</v>
      </c>
      <c r="BO2636" t="s">
        <v>17495</v>
      </c>
      <c r="BS2636">
        <v>30</v>
      </c>
      <c r="BW2636" t="str">
        <f>""</f>
        <v/>
      </c>
      <c r="CH2636" t="str">
        <f>""</f>
        <v/>
      </c>
      <c r="CS2636" t="str">
        <f>""</f>
        <v/>
      </c>
    </row>
    <row r="2637" spans="1:97" x14ac:dyDescent="0.25">
      <c r="A2637" t="s">
        <v>6280</v>
      </c>
      <c r="B2637" t="s">
        <v>17496</v>
      </c>
      <c r="E2637" t="s">
        <v>17497</v>
      </c>
      <c r="F2637" t="s">
        <v>108</v>
      </c>
      <c r="H2637" t="s">
        <v>17498</v>
      </c>
      <c r="I2637" t="s">
        <v>632</v>
      </c>
      <c r="J2637" t="s">
        <v>111</v>
      </c>
      <c r="K2637" t="str">
        <f>"85388"</f>
        <v>85388</v>
      </c>
      <c r="L2637" t="s">
        <v>4159</v>
      </c>
      <c r="M2637" t="s">
        <v>17498</v>
      </c>
      <c r="N2637" t="s">
        <v>632</v>
      </c>
      <c r="O2637" t="s">
        <v>111</v>
      </c>
      <c r="P2637" t="str">
        <f>"85388-1757"</f>
        <v>85388-1757</v>
      </c>
      <c r="Q2637" t="s">
        <v>113</v>
      </c>
      <c r="R2637" t="str">
        <f>"502-84-899"</f>
        <v>502-84-899</v>
      </c>
      <c r="S2637" t="s">
        <v>17499</v>
      </c>
      <c r="T2637" t="s">
        <v>17500</v>
      </c>
      <c r="U2637">
        <v>2645</v>
      </c>
      <c r="V2637">
        <v>0</v>
      </c>
      <c r="W2637">
        <v>4</v>
      </c>
      <c r="X2637">
        <v>2005</v>
      </c>
      <c r="Z2637">
        <v>2</v>
      </c>
      <c r="AB2637">
        <v>0</v>
      </c>
      <c r="AC2637" t="s">
        <v>115</v>
      </c>
      <c r="AD2637">
        <v>2</v>
      </c>
      <c r="AE2637" t="s">
        <v>115</v>
      </c>
      <c r="AF2637">
        <v>0</v>
      </c>
      <c r="AG2637">
        <v>0</v>
      </c>
      <c r="AH2637" t="s">
        <v>116</v>
      </c>
      <c r="AI2637" s="1">
        <v>62021</v>
      </c>
      <c r="AJ2637" s="2">
        <v>0.22</v>
      </c>
      <c r="AK2637" s="1">
        <v>285021</v>
      </c>
      <c r="AL2637" t="s">
        <v>117</v>
      </c>
      <c r="AM2637" t="s">
        <v>118</v>
      </c>
      <c r="AN2637">
        <v>5500</v>
      </c>
      <c r="AO2637">
        <v>0.13</v>
      </c>
      <c r="AR2637">
        <v>1</v>
      </c>
      <c r="AS2637" s="1">
        <v>20200</v>
      </c>
      <c r="AT2637" s="1">
        <v>4040</v>
      </c>
      <c r="AU2637" s="1">
        <v>16160</v>
      </c>
      <c r="AV2637">
        <v>80</v>
      </c>
      <c r="AX2637" s="1">
        <v>1598.86</v>
      </c>
      <c r="AY2637" t="s">
        <v>5168</v>
      </c>
      <c r="AZ2637" t="s">
        <v>5168</v>
      </c>
      <c r="BA2637" t="s">
        <v>5109</v>
      </c>
      <c r="BE2637" s="3">
        <v>41765</v>
      </c>
      <c r="BF2637" s="1">
        <v>195000</v>
      </c>
      <c r="BG2637" t="s">
        <v>17501</v>
      </c>
      <c r="BH2637" s="1">
        <v>73.72</v>
      </c>
      <c r="BI2637" s="1">
        <v>223000</v>
      </c>
      <c r="BJ2637" s="3">
        <v>42816</v>
      </c>
      <c r="BK2637" t="s">
        <v>123</v>
      </c>
      <c r="BL2637" t="str">
        <f>"2017.203213"</f>
        <v>2017.203213</v>
      </c>
      <c r="BM2637" t="s">
        <v>3905</v>
      </c>
      <c r="BO2637" t="s">
        <v>17502</v>
      </c>
      <c r="BS2637">
        <v>30</v>
      </c>
      <c r="BW2637" t="str">
        <f>""</f>
        <v/>
      </c>
      <c r="CH2637" t="str">
        <f>""</f>
        <v/>
      </c>
      <c r="CS2637" t="str">
        <f>""</f>
        <v/>
      </c>
    </row>
    <row r="2638" spans="1:97" x14ac:dyDescent="0.25">
      <c r="A2638" t="s">
        <v>17503</v>
      </c>
      <c r="B2638" t="s">
        <v>348</v>
      </c>
      <c r="C2638" t="s">
        <v>17504</v>
      </c>
      <c r="D2638" t="s">
        <v>348</v>
      </c>
      <c r="E2638" t="s">
        <v>17505</v>
      </c>
      <c r="F2638" t="s">
        <v>108</v>
      </c>
      <c r="H2638" t="s">
        <v>17506</v>
      </c>
      <c r="I2638" t="s">
        <v>453</v>
      </c>
      <c r="J2638" t="s">
        <v>111</v>
      </c>
      <c r="K2638" t="str">
        <f>"85345"</f>
        <v>85345</v>
      </c>
      <c r="L2638" t="s">
        <v>5176</v>
      </c>
      <c r="M2638" t="s">
        <v>17506</v>
      </c>
      <c r="N2638" t="s">
        <v>453</v>
      </c>
      <c r="O2638" t="s">
        <v>111</v>
      </c>
      <c r="P2638" t="str">
        <f>"85345-7980"</f>
        <v>85345-7980</v>
      </c>
      <c r="Q2638" t="s">
        <v>113</v>
      </c>
      <c r="R2638" t="str">
        <f>"142-35-469"</f>
        <v>142-35-469</v>
      </c>
      <c r="S2638" t="s">
        <v>6942</v>
      </c>
      <c r="T2638" t="s">
        <v>6943</v>
      </c>
      <c r="U2638">
        <v>1982</v>
      </c>
      <c r="V2638">
        <v>0</v>
      </c>
      <c r="W2638">
        <v>3</v>
      </c>
      <c r="X2638">
        <v>2016</v>
      </c>
      <c r="Z2638">
        <v>1</v>
      </c>
      <c r="AB2638">
        <v>0</v>
      </c>
      <c r="AC2638" t="s">
        <v>115</v>
      </c>
      <c r="AD2638">
        <v>3</v>
      </c>
      <c r="AE2638" t="s">
        <v>115</v>
      </c>
      <c r="AF2638">
        <v>0</v>
      </c>
      <c r="AG2638">
        <v>0</v>
      </c>
      <c r="AH2638" t="s">
        <v>116</v>
      </c>
      <c r="AI2638" s="1">
        <v>13869</v>
      </c>
      <c r="AJ2638" s="2">
        <v>0.04</v>
      </c>
      <c r="AK2638" s="1">
        <v>314816</v>
      </c>
      <c r="AL2638" t="s">
        <v>117</v>
      </c>
      <c r="AM2638" t="s">
        <v>118</v>
      </c>
      <c r="AN2638">
        <v>8300</v>
      </c>
      <c r="AO2638">
        <v>0.19</v>
      </c>
      <c r="AR2638">
        <v>1</v>
      </c>
      <c r="AS2638" s="1">
        <v>22830</v>
      </c>
      <c r="AT2638" s="1">
        <v>4560</v>
      </c>
      <c r="AU2638" s="1">
        <v>18270</v>
      </c>
      <c r="AV2638">
        <v>80.03</v>
      </c>
      <c r="AX2638" s="1">
        <v>1923.26</v>
      </c>
      <c r="AY2638" t="s">
        <v>6944</v>
      </c>
      <c r="AZ2638" t="s">
        <v>6944</v>
      </c>
      <c r="BA2638" t="s">
        <v>6945</v>
      </c>
      <c r="BE2638" s="3">
        <v>42460</v>
      </c>
      <c r="BF2638" s="1">
        <v>300040</v>
      </c>
      <c r="BG2638" t="s">
        <v>636</v>
      </c>
      <c r="BH2638" s="1">
        <v>151.38</v>
      </c>
      <c r="BI2638" s="1">
        <v>300947</v>
      </c>
      <c r="BJ2638" s="3">
        <v>43069</v>
      </c>
      <c r="BK2638" t="s">
        <v>123</v>
      </c>
      <c r="BL2638" t="str">
        <f>"2017.885283"</f>
        <v>2017.885283</v>
      </c>
      <c r="BM2638" t="s">
        <v>3638</v>
      </c>
      <c r="BN2638">
        <v>91361</v>
      </c>
      <c r="BO2638" t="s">
        <v>17507</v>
      </c>
      <c r="BS2638">
        <v>30</v>
      </c>
      <c r="BW2638" t="str">
        <f>""</f>
        <v/>
      </c>
      <c r="CH2638" t="str">
        <f>""</f>
        <v/>
      </c>
      <c r="CS2638" t="str">
        <f>""</f>
        <v/>
      </c>
    </row>
    <row r="2639" spans="1:97" x14ac:dyDescent="0.25">
      <c r="A2639" t="s">
        <v>894</v>
      </c>
      <c r="B2639" t="s">
        <v>1125</v>
      </c>
      <c r="E2639" t="s">
        <v>17508</v>
      </c>
      <c r="F2639" t="s">
        <v>108</v>
      </c>
      <c r="H2639" t="s">
        <v>17509</v>
      </c>
      <c r="I2639" t="s">
        <v>203</v>
      </c>
      <c r="J2639" t="s">
        <v>111</v>
      </c>
      <c r="K2639" t="str">
        <f>"85233"</f>
        <v>85233</v>
      </c>
      <c r="L2639" t="s">
        <v>3161</v>
      </c>
      <c r="M2639" t="s">
        <v>17509</v>
      </c>
      <c r="N2639" t="s">
        <v>203</v>
      </c>
      <c r="O2639" t="s">
        <v>111</v>
      </c>
      <c r="P2639" t="str">
        <f>"85233-8550"</f>
        <v>85233-8550</v>
      </c>
      <c r="Q2639" t="s">
        <v>113</v>
      </c>
      <c r="R2639" t="str">
        <f>"302-36-346"</f>
        <v>302-36-346</v>
      </c>
      <c r="S2639" t="s">
        <v>17510</v>
      </c>
      <c r="T2639" t="s">
        <v>17510</v>
      </c>
      <c r="U2639">
        <v>2104</v>
      </c>
      <c r="V2639">
        <v>0</v>
      </c>
      <c r="W2639">
        <v>4</v>
      </c>
      <c r="X2639">
        <v>1998</v>
      </c>
      <c r="Z2639">
        <v>2</v>
      </c>
      <c r="AA2639" t="s">
        <v>26</v>
      </c>
      <c r="AB2639">
        <v>0</v>
      </c>
      <c r="AC2639" t="s">
        <v>115</v>
      </c>
      <c r="AD2639">
        <v>2</v>
      </c>
      <c r="AE2639" t="s">
        <v>115</v>
      </c>
      <c r="AF2639">
        <v>0</v>
      </c>
      <c r="AG2639">
        <v>0</v>
      </c>
      <c r="AH2639" t="s">
        <v>116</v>
      </c>
      <c r="AI2639" s="1">
        <v>1660</v>
      </c>
      <c r="AJ2639" s="2">
        <v>0.01</v>
      </c>
      <c r="AK2639" s="1">
        <v>288660</v>
      </c>
      <c r="AL2639" t="s">
        <v>117</v>
      </c>
      <c r="AM2639" t="s">
        <v>393</v>
      </c>
      <c r="AN2639">
        <v>7910</v>
      </c>
      <c r="AO2639">
        <v>0.18</v>
      </c>
      <c r="AP2639">
        <v>1</v>
      </c>
      <c r="AR2639">
        <v>1</v>
      </c>
      <c r="AS2639" s="1">
        <v>24560</v>
      </c>
      <c r="AT2639" s="1">
        <v>4910</v>
      </c>
      <c r="AU2639" s="1">
        <v>19650</v>
      </c>
      <c r="AV2639">
        <v>80.010000000000005</v>
      </c>
      <c r="AX2639" s="1">
        <v>1816.68</v>
      </c>
      <c r="AY2639" t="s">
        <v>7046</v>
      </c>
      <c r="AZ2639" t="s">
        <v>207</v>
      </c>
      <c r="BA2639" t="s">
        <v>5479</v>
      </c>
      <c r="BE2639" s="3">
        <v>42293</v>
      </c>
      <c r="BF2639" s="1">
        <v>287000</v>
      </c>
      <c r="BG2639" t="s">
        <v>17511</v>
      </c>
      <c r="BH2639" s="1">
        <v>136.41</v>
      </c>
      <c r="BI2639" s="1">
        <v>287000</v>
      </c>
      <c r="BJ2639" s="3">
        <v>42293</v>
      </c>
      <c r="BK2639" t="s">
        <v>123</v>
      </c>
      <c r="BL2639" t="str">
        <f>"2015.746760"</f>
        <v>2015.746760</v>
      </c>
      <c r="BM2639" t="s">
        <v>2716</v>
      </c>
      <c r="BO2639" t="s">
        <v>17512</v>
      </c>
      <c r="BS2639">
        <v>30</v>
      </c>
      <c r="BW2639" t="str">
        <f>""</f>
        <v/>
      </c>
      <c r="CH2639" t="str">
        <f>""</f>
        <v/>
      </c>
      <c r="CS2639" t="str">
        <f>""</f>
        <v/>
      </c>
    </row>
    <row r="2640" spans="1:97" x14ac:dyDescent="0.25">
      <c r="A2640" t="s">
        <v>10852</v>
      </c>
      <c r="B2640" t="s">
        <v>17513</v>
      </c>
      <c r="C2640" t="s">
        <v>1181</v>
      </c>
      <c r="D2640" t="s">
        <v>17513</v>
      </c>
      <c r="E2640" t="s">
        <v>17514</v>
      </c>
      <c r="F2640" t="s">
        <v>108</v>
      </c>
      <c r="H2640" t="s">
        <v>17515</v>
      </c>
      <c r="I2640" t="s">
        <v>632</v>
      </c>
      <c r="J2640" t="s">
        <v>111</v>
      </c>
      <c r="K2640" t="str">
        <f>"85379"</f>
        <v>85379</v>
      </c>
      <c r="L2640" t="s">
        <v>5816</v>
      </c>
      <c r="M2640" t="s">
        <v>17515</v>
      </c>
      <c r="N2640" t="s">
        <v>632</v>
      </c>
      <c r="O2640" t="s">
        <v>111</v>
      </c>
      <c r="P2640" t="str">
        <f>"85379-5918"</f>
        <v>85379-5918</v>
      </c>
      <c r="Q2640" t="s">
        <v>113</v>
      </c>
      <c r="R2640" t="str">
        <f>"501-39-579"</f>
        <v>501-39-579</v>
      </c>
      <c r="S2640" t="s">
        <v>9613</v>
      </c>
      <c r="U2640">
        <v>2285</v>
      </c>
      <c r="V2640">
        <v>0</v>
      </c>
      <c r="W2640">
        <v>4</v>
      </c>
      <c r="X2640">
        <v>2003</v>
      </c>
      <c r="Z2640">
        <v>2</v>
      </c>
      <c r="AB2640">
        <v>0</v>
      </c>
      <c r="AC2640" t="s">
        <v>115</v>
      </c>
      <c r="AD2640">
        <v>2</v>
      </c>
      <c r="AE2640" t="s">
        <v>115</v>
      </c>
      <c r="AF2640">
        <v>0</v>
      </c>
      <c r="AG2640">
        <v>0</v>
      </c>
      <c r="AH2640" t="s">
        <v>116</v>
      </c>
      <c r="AI2640" s="1">
        <v>24024</v>
      </c>
      <c r="AJ2640" s="2">
        <v>0.09</v>
      </c>
      <c r="AK2640" s="1">
        <v>266024</v>
      </c>
      <c r="AL2640" t="s">
        <v>117</v>
      </c>
      <c r="AM2640" t="s">
        <v>118</v>
      </c>
      <c r="AN2640">
        <v>5520</v>
      </c>
      <c r="AO2640">
        <v>0.13</v>
      </c>
      <c r="AP2640">
        <v>1</v>
      </c>
      <c r="AR2640">
        <v>1</v>
      </c>
      <c r="AS2640" s="1">
        <v>17480</v>
      </c>
      <c r="AT2640" s="1">
        <v>3490</v>
      </c>
      <c r="AU2640" s="1">
        <v>13990</v>
      </c>
      <c r="AV2640">
        <v>80.03</v>
      </c>
      <c r="AX2640" s="1">
        <v>1329.9</v>
      </c>
      <c r="AY2640" t="s">
        <v>634</v>
      </c>
      <c r="AZ2640" t="s">
        <v>634</v>
      </c>
      <c r="BA2640" t="s">
        <v>635</v>
      </c>
      <c r="BE2640" s="3">
        <v>41815</v>
      </c>
      <c r="BF2640" s="1">
        <v>197000</v>
      </c>
      <c r="BG2640" t="s">
        <v>17516</v>
      </c>
      <c r="BH2640" s="1">
        <v>86.21</v>
      </c>
      <c r="BI2640" s="1">
        <v>242000</v>
      </c>
      <c r="BJ2640" s="3">
        <v>43578</v>
      </c>
      <c r="BK2640" t="s">
        <v>123</v>
      </c>
      <c r="BL2640" t="str">
        <f>"2019.284760"</f>
        <v>2019.284760</v>
      </c>
      <c r="BM2640" t="s">
        <v>17517</v>
      </c>
      <c r="BN2640" t="s">
        <v>17518</v>
      </c>
      <c r="BO2640" t="s">
        <v>17519</v>
      </c>
      <c r="BP2640" t="s">
        <v>17520</v>
      </c>
      <c r="BR2640" t="s">
        <v>139</v>
      </c>
      <c r="BW2640" t="str">
        <f>""</f>
        <v/>
      </c>
      <c r="CH2640" t="str">
        <f>""</f>
        <v/>
      </c>
      <c r="CS2640" t="str">
        <f>""</f>
        <v/>
      </c>
    </row>
    <row r="2641" spans="1:97" x14ac:dyDescent="0.25">
      <c r="B2641" t="s">
        <v>17521</v>
      </c>
      <c r="C2641" t="s">
        <v>4588</v>
      </c>
      <c r="E2641" t="s">
        <v>17522</v>
      </c>
      <c r="F2641" t="s">
        <v>108</v>
      </c>
      <c r="H2641" t="s">
        <v>17523</v>
      </c>
      <c r="I2641" t="s">
        <v>4251</v>
      </c>
      <c r="J2641" t="s">
        <v>111</v>
      </c>
      <c r="K2641" t="str">
        <f>"85353"</f>
        <v>85353</v>
      </c>
      <c r="L2641" t="s">
        <v>3758</v>
      </c>
      <c r="M2641" t="s">
        <v>17524</v>
      </c>
      <c r="N2641" t="s">
        <v>4251</v>
      </c>
      <c r="O2641" t="s">
        <v>111</v>
      </c>
      <c r="P2641" t="str">
        <f>"85353-9346"</f>
        <v>85353-9346</v>
      </c>
      <c r="Q2641" t="s">
        <v>113</v>
      </c>
      <c r="R2641" t="str">
        <f>"101-41-012-B"</f>
        <v>101-41-012-B</v>
      </c>
      <c r="S2641" t="s">
        <v>17525</v>
      </c>
      <c r="T2641" t="s">
        <v>17525</v>
      </c>
      <c r="U2641">
        <v>1680</v>
      </c>
      <c r="V2641">
        <v>0</v>
      </c>
      <c r="W2641">
        <v>2</v>
      </c>
      <c r="X2641">
        <v>1972</v>
      </c>
      <c r="Z2641">
        <v>2</v>
      </c>
      <c r="AA2641" t="s">
        <v>26</v>
      </c>
      <c r="AB2641">
        <v>0</v>
      </c>
      <c r="AC2641" t="s">
        <v>115</v>
      </c>
      <c r="AD2641">
        <v>2</v>
      </c>
      <c r="AE2641" t="s">
        <v>115</v>
      </c>
      <c r="AF2641">
        <v>0</v>
      </c>
      <c r="AG2641">
        <v>0</v>
      </c>
      <c r="AH2641" t="s">
        <v>116</v>
      </c>
      <c r="AI2641" s="1">
        <v>48208</v>
      </c>
      <c r="AJ2641" s="2">
        <v>0.15</v>
      </c>
      <c r="AK2641" s="1">
        <v>311216</v>
      </c>
      <c r="AL2641" t="s">
        <v>117</v>
      </c>
      <c r="AM2641" t="s">
        <v>376</v>
      </c>
      <c r="AN2641">
        <v>22194</v>
      </c>
      <c r="AO2641">
        <v>0.51</v>
      </c>
      <c r="AP2641">
        <v>1</v>
      </c>
      <c r="AR2641">
        <v>1</v>
      </c>
      <c r="AS2641" s="1">
        <v>19760</v>
      </c>
      <c r="AT2641" s="1">
        <v>3850</v>
      </c>
      <c r="AU2641" s="1">
        <v>15910</v>
      </c>
      <c r="AV2641">
        <v>80.52</v>
      </c>
      <c r="AX2641" s="1">
        <v>1766.94</v>
      </c>
      <c r="AY2641" t="s">
        <v>4253</v>
      </c>
      <c r="AZ2641" t="s">
        <v>4253</v>
      </c>
      <c r="BA2641" t="s">
        <v>4254</v>
      </c>
      <c r="BB2641" s="3">
        <v>43706</v>
      </c>
      <c r="BC2641" s="1">
        <v>0</v>
      </c>
      <c r="BD2641" t="s">
        <v>247</v>
      </c>
      <c r="BE2641" s="3">
        <v>42074</v>
      </c>
      <c r="BF2641" s="1">
        <v>253000</v>
      </c>
      <c r="BG2641" t="s">
        <v>17526</v>
      </c>
      <c r="BH2641" s="1">
        <v>150.6</v>
      </c>
      <c r="BI2641" s="1">
        <v>263008</v>
      </c>
      <c r="BJ2641" s="3">
        <v>42261</v>
      </c>
      <c r="BK2641" t="s">
        <v>123</v>
      </c>
      <c r="BL2641" t="str">
        <f>"2015.661577"</f>
        <v>2015.661577</v>
      </c>
      <c r="BM2641" t="s">
        <v>248</v>
      </c>
      <c r="BN2641" t="s">
        <v>249</v>
      </c>
      <c r="BO2641" t="s">
        <v>17527</v>
      </c>
      <c r="BS2641">
        <v>30</v>
      </c>
      <c r="BW2641" t="str">
        <f>""</f>
        <v/>
      </c>
      <c r="CH2641" t="str">
        <f>""</f>
        <v/>
      </c>
      <c r="CS2641" t="str">
        <f>""</f>
        <v/>
      </c>
    </row>
    <row r="2642" spans="1:97" x14ac:dyDescent="0.25">
      <c r="A2642" t="s">
        <v>17528</v>
      </c>
      <c r="B2642" t="s">
        <v>17529</v>
      </c>
      <c r="C2642" t="s">
        <v>17530</v>
      </c>
      <c r="D2642" t="s">
        <v>17529</v>
      </c>
      <c r="E2642" t="s">
        <v>17531</v>
      </c>
      <c r="F2642" t="s">
        <v>108</v>
      </c>
      <c r="H2642" t="s">
        <v>17532</v>
      </c>
      <c r="I2642" t="s">
        <v>225</v>
      </c>
      <c r="J2642" t="s">
        <v>111</v>
      </c>
      <c r="K2642" t="str">
        <f>"85213"</f>
        <v>85213</v>
      </c>
      <c r="L2642" t="s">
        <v>926</v>
      </c>
      <c r="M2642" t="s">
        <v>17532</v>
      </c>
      <c r="N2642" t="s">
        <v>225</v>
      </c>
      <c r="O2642" t="s">
        <v>111</v>
      </c>
      <c r="P2642" t="str">
        <f>"85213-6838"</f>
        <v>85213-6838</v>
      </c>
      <c r="Q2642" t="s">
        <v>113</v>
      </c>
      <c r="R2642" t="str">
        <f>"140-10-257"</f>
        <v>140-10-257</v>
      </c>
      <c r="S2642" t="s">
        <v>17533</v>
      </c>
      <c r="T2642" t="s">
        <v>17534</v>
      </c>
      <c r="U2642">
        <v>2258</v>
      </c>
      <c r="V2642">
        <v>0</v>
      </c>
      <c r="W2642">
        <v>2</v>
      </c>
      <c r="X2642">
        <v>1984</v>
      </c>
      <c r="Z2642">
        <v>1</v>
      </c>
      <c r="AB2642">
        <v>0</v>
      </c>
      <c r="AC2642" t="s">
        <v>7038</v>
      </c>
      <c r="AD2642">
        <v>2</v>
      </c>
      <c r="AE2642" t="s">
        <v>7038</v>
      </c>
      <c r="AF2642">
        <v>0</v>
      </c>
      <c r="AG2642">
        <v>0</v>
      </c>
      <c r="AH2642" t="s">
        <v>116</v>
      </c>
      <c r="AI2642" s="1">
        <v>39131</v>
      </c>
      <c r="AJ2642" s="2">
        <v>0.13</v>
      </c>
      <c r="AK2642" s="1">
        <v>312876</v>
      </c>
      <c r="AL2642" t="s">
        <v>117</v>
      </c>
      <c r="AM2642" t="s">
        <v>917</v>
      </c>
      <c r="AN2642">
        <v>13228</v>
      </c>
      <c r="AO2642">
        <v>0.3</v>
      </c>
      <c r="AP2642">
        <v>1</v>
      </c>
      <c r="AR2642">
        <v>1</v>
      </c>
      <c r="AS2642" s="1">
        <v>21630</v>
      </c>
      <c r="AT2642" s="1">
        <v>4320</v>
      </c>
      <c r="AU2642" s="1">
        <v>17310</v>
      </c>
      <c r="AV2642">
        <v>80.03</v>
      </c>
      <c r="AX2642" s="1">
        <v>1437.7</v>
      </c>
      <c r="AY2642" t="s">
        <v>9091</v>
      </c>
      <c r="AZ2642" t="s">
        <v>1523</v>
      </c>
      <c r="BA2642" t="s">
        <v>1524</v>
      </c>
      <c r="BE2642" s="3">
        <v>41919</v>
      </c>
      <c r="BF2642" s="1">
        <v>232000</v>
      </c>
      <c r="BG2642" t="s">
        <v>17535</v>
      </c>
      <c r="BH2642" s="1">
        <v>102.75</v>
      </c>
      <c r="BI2642" s="1">
        <v>273745</v>
      </c>
      <c r="BJ2642" s="3">
        <v>42844</v>
      </c>
      <c r="BK2642" t="s">
        <v>123</v>
      </c>
      <c r="BL2642" t="str">
        <f>"2017.280687"</f>
        <v>2017.280687</v>
      </c>
      <c r="BM2642" t="s">
        <v>492</v>
      </c>
      <c r="BO2642" t="s">
        <v>17536</v>
      </c>
      <c r="BS2642">
        <v>30</v>
      </c>
      <c r="BW2642" t="str">
        <f>""</f>
        <v/>
      </c>
      <c r="CH2642" t="str">
        <f>""</f>
        <v/>
      </c>
      <c r="CS2642" t="str">
        <f>""</f>
        <v/>
      </c>
    </row>
    <row r="2643" spans="1:97" x14ac:dyDescent="0.25">
      <c r="A2643" t="s">
        <v>511</v>
      </c>
      <c r="B2643" t="s">
        <v>9626</v>
      </c>
      <c r="C2643" t="s">
        <v>1047</v>
      </c>
      <c r="D2643" t="s">
        <v>9626</v>
      </c>
      <c r="E2643" t="s">
        <v>17537</v>
      </c>
      <c r="F2643" t="s">
        <v>108</v>
      </c>
      <c r="H2643" t="s">
        <v>17538</v>
      </c>
      <c r="I2643" t="s">
        <v>110</v>
      </c>
      <c r="J2643" t="s">
        <v>111</v>
      </c>
      <c r="K2643" t="str">
        <f>"85226"</f>
        <v>85226</v>
      </c>
      <c r="L2643" t="s">
        <v>17539</v>
      </c>
      <c r="M2643" t="s">
        <v>17538</v>
      </c>
      <c r="N2643" t="s">
        <v>110</v>
      </c>
      <c r="O2643" t="s">
        <v>111</v>
      </c>
      <c r="P2643" t="str">
        <f>"85226-5061"</f>
        <v>85226-5061</v>
      </c>
      <c r="Q2643" t="s">
        <v>113</v>
      </c>
      <c r="R2643" t="str">
        <f>"301-66-103"</f>
        <v>301-66-103</v>
      </c>
      <c r="S2643" t="s">
        <v>17540</v>
      </c>
      <c r="T2643" t="s">
        <v>17540</v>
      </c>
      <c r="U2643">
        <v>1643</v>
      </c>
      <c r="V2643">
        <v>0</v>
      </c>
      <c r="W2643">
        <v>3</v>
      </c>
      <c r="X2643">
        <v>2001</v>
      </c>
      <c r="Z2643">
        <v>2</v>
      </c>
      <c r="AB2643">
        <v>0</v>
      </c>
      <c r="AC2643" t="s">
        <v>115</v>
      </c>
      <c r="AD2643">
        <v>2</v>
      </c>
      <c r="AE2643" t="s">
        <v>115</v>
      </c>
      <c r="AF2643">
        <v>0</v>
      </c>
      <c r="AG2643">
        <v>0</v>
      </c>
      <c r="AH2643" t="s">
        <v>116</v>
      </c>
      <c r="AI2643" s="1">
        <v>95019</v>
      </c>
      <c r="AJ2643" s="2">
        <v>0.31</v>
      </c>
      <c r="AK2643" s="1">
        <v>304019</v>
      </c>
      <c r="AL2643" t="s">
        <v>117</v>
      </c>
      <c r="AM2643" t="s">
        <v>118</v>
      </c>
      <c r="AN2643">
        <v>3850</v>
      </c>
      <c r="AO2643">
        <v>0.88</v>
      </c>
      <c r="AP2643">
        <v>1</v>
      </c>
      <c r="AR2643">
        <v>1</v>
      </c>
      <c r="AS2643" s="1">
        <v>21230</v>
      </c>
      <c r="AT2643" s="1">
        <v>4240</v>
      </c>
      <c r="AU2643" s="1">
        <v>16990</v>
      </c>
      <c r="AV2643">
        <v>80.03</v>
      </c>
      <c r="AX2643" s="1">
        <v>1637.66</v>
      </c>
      <c r="AY2643" t="s">
        <v>8225</v>
      </c>
      <c r="AZ2643" t="s">
        <v>5922</v>
      </c>
      <c r="BA2643" t="s">
        <v>5202</v>
      </c>
      <c r="BE2643" s="3">
        <v>41694</v>
      </c>
      <c r="BF2643" s="1">
        <v>209000</v>
      </c>
      <c r="BG2643" t="s">
        <v>17541</v>
      </c>
      <c r="BH2643" s="1">
        <v>127.21</v>
      </c>
      <c r="BI2643" s="1">
        <v>209000</v>
      </c>
      <c r="BJ2643" s="3">
        <v>41694</v>
      </c>
      <c r="BK2643" t="s">
        <v>123</v>
      </c>
      <c r="BL2643" t="str">
        <f>"2014.117648"</f>
        <v>2014.117648</v>
      </c>
      <c r="BM2643" t="s">
        <v>936</v>
      </c>
      <c r="BO2643" t="s">
        <v>17542</v>
      </c>
      <c r="BS2643">
        <v>30</v>
      </c>
      <c r="BW2643" t="str">
        <f>""</f>
        <v/>
      </c>
      <c r="CH2643" t="str">
        <f>""</f>
        <v/>
      </c>
      <c r="CS2643" t="str">
        <f>""</f>
        <v/>
      </c>
    </row>
    <row r="2644" spans="1:97" x14ac:dyDescent="0.25">
      <c r="A2644" t="s">
        <v>589</v>
      </c>
      <c r="B2644" t="s">
        <v>17543</v>
      </c>
      <c r="C2644" t="s">
        <v>10325</v>
      </c>
      <c r="D2644" t="s">
        <v>17543</v>
      </c>
      <c r="E2644" t="s">
        <v>17544</v>
      </c>
      <c r="F2644" t="s">
        <v>108</v>
      </c>
      <c r="H2644" t="s">
        <v>17545</v>
      </c>
      <c r="I2644" t="s">
        <v>203</v>
      </c>
      <c r="J2644" t="s">
        <v>111</v>
      </c>
      <c r="K2644" t="str">
        <f>"85233"</f>
        <v>85233</v>
      </c>
      <c r="L2644" t="s">
        <v>1070</v>
      </c>
      <c r="M2644" t="s">
        <v>17545</v>
      </c>
      <c r="N2644" t="s">
        <v>203</v>
      </c>
      <c r="O2644" t="s">
        <v>111</v>
      </c>
      <c r="P2644" t="str">
        <f>"85233-8901"</f>
        <v>85233-8901</v>
      </c>
      <c r="Q2644" t="s">
        <v>113</v>
      </c>
      <c r="R2644" t="str">
        <f>"302-83-379"</f>
        <v>302-83-379</v>
      </c>
      <c r="S2644" t="s">
        <v>15305</v>
      </c>
      <c r="T2644" t="s">
        <v>15306</v>
      </c>
      <c r="U2644">
        <v>2258</v>
      </c>
      <c r="V2644">
        <v>0</v>
      </c>
      <c r="W2644">
        <v>4</v>
      </c>
      <c r="X2644">
        <v>1996</v>
      </c>
      <c r="Z2644">
        <v>2</v>
      </c>
      <c r="AA2644" t="s">
        <v>26</v>
      </c>
      <c r="AB2644">
        <v>0</v>
      </c>
      <c r="AC2644" t="s">
        <v>115</v>
      </c>
      <c r="AD2644">
        <v>2</v>
      </c>
      <c r="AE2644" t="s">
        <v>115</v>
      </c>
      <c r="AF2644">
        <v>0</v>
      </c>
      <c r="AG2644">
        <v>0</v>
      </c>
      <c r="AH2644" t="s">
        <v>116</v>
      </c>
      <c r="AI2644" s="1">
        <v>72425</v>
      </c>
      <c r="AJ2644" s="2">
        <v>0.2</v>
      </c>
      <c r="AK2644" s="1">
        <v>364225</v>
      </c>
      <c r="AL2644" t="s">
        <v>117</v>
      </c>
      <c r="AM2644" t="s">
        <v>393</v>
      </c>
      <c r="AN2644">
        <v>6320</v>
      </c>
      <c r="AO2644">
        <v>0.14000000000000001</v>
      </c>
      <c r="AP2644">
        <v>1</v>
      </c>
      <c r="AR2644">
        <v>1</v>
      </c>
      <c r="AS2644" s="1">
        <v>25560</v>
      </c>
      <c r="AT2644" s="1">
        <v>5110</v>
      </c>
      <c r="AU2644" s="1">
        <v>20450</v>
      </c>
      <c r="AV2644">
        <v>80.010000000000005</v>
      </c>
      <c r="AX2644" s="1">
        <v>1925.58</v>
      </c>
      <c r="AY2644" t="s">
        <v>2905</v>
      </c>
      <c r="AZ2644" t="s">
        <v>2906</v>
      </c>
      <c r="BA2644" t="s">
        <v>303</v>
      </c>
      <c r="BE2644" s="3">
        <v>41848</v>
      </c>
      <c r="BF2644" s="1">
        <v>282500</v>
      </c>
      <c r="BG2644" t="s">
        <v>17546</v>
      </c>
      <c r="BH2644" s="1">
        <v>125.11</v>
      </c>
      <c r="BI2644" s="1">
        <v>291800</v>
      </c>
      <c r="BJ2644" s="3">
        <v>41848</v>
      </c>
      <c r="BK2644" t="s">
        <v>123</v>
      </c>
      <c r="BL2644" t="str">
        <f>"2014.491218"</f>
        <v>2014.491218</v>
      </c>
      <c r="BM2644" t="s">
        <v>11524</v>
      </c>
      <c r="BO2644" t="s">
        <v>17547</v>
      </c>
      <c r="BS2644">
        <v>30</v>
      </c>
      <c r="BW2644" t="str">
        <f>""</f>
        <v/>
      </c>
      <c r="CH2644" t="str">
        <f>""</f>
        <v/>
      </c>
      <c r="CS2644" t="str">
        <f>""</f>
        <v/>
      </c>
    </row>
    <row r="2645" spans="1:97" x14ac:dyDescent="0.25">
      <c r="A2645" t="s">
        <v>610</v>
      </c>
      <c r="B2645" t="s">
        <v>17298</v>
      </c>
      <c r="C2645" t="s">
        <v>2008</v>
      </c>
      <c r="D2645" t="s">
        <v>17298</v>
      </c>
      <c r="E2645" t="s">
        <v>17548</v>
      </c>
      <c r="F2645" t="s">
        <v>108</v>
      </c>
      <c r="H2645" t="s">
        <v>17549</v>
      </c>
      <c r="I2645" t="s">
        <v>203</v>
      </c>
      <c r="J2645" t="s">
        <v>111</v>
      </c>
      <c r="K2645" t="str">
        <f>"85234"</f>
        <v>85234</v>
      </c>
      <c r="L2645" t="s">
        <v>12877</v>
      </c>
      <c r="M2645" t="s">
        <v>17549</v>
      </c>
      <c r="N2645" t="s">
        <v>203</v>
      </c>
      <c r="O2645" t="s">
        <v>111</v>
      </c>
      <c r="P2645" t="str">
        <f>"85234-1720"</f>
        <v>85234-1720</v>
      </c>
      <c r="Q2645" t="s">
        <v>113</v>
      </c>
      <c r="R2645" t="str">
        <f>"313-11-279"</f>
        <v>313-11-279</v>
      </c>
      <c r="S2645" t="s">
        <v>17550</v>
      </c>
      <c r="T2645" t="s">
        <v>17550</v>
      </c>
      <c r="U2645">
        <v>2623</v>
      </c>
      <c r="V2645">
        <v>0</v>
      </c>
      <c r="W2645">
        <v>3</v>
      </c>
      <c r="X2645">
        <v>2007</v>
      </c>
      <c r="Z2645">
        <v>2</v>
      </c>
      <c r="AA2645" t="s">
        <v>26</v>
      </c>
      <c r="AB2645">
        <v>0</v>
      </c>
      <c r="AC2645" t="s">
        <v>115</v>
      </c>
      <c r="AD2645">
        <v>2</v>
      </c>
      <c r="AE2645" t="s">
        <v>115</v>
      </c>
      <c r="AF2645">
        <v>0</v>
      </c>
      <c r="AG2645">
        <v>0</v>
      </c>
      <c r="AH2645" t="s">
        <v>116</v>
      </c>
      <c r="AI2645" s="1">
        <v>68490</v>
      </c>
      <c r="AJ2645" s="2">
        <v>0.19</v>
      </c>
      <c r="AK2645" s="1">
        <v>363703</v>
      </c>
      <c r="AL2645" t="s">
        <v>117</v>
      </c>
      <c r="AM2645" t="s">
        <v>288</v>
      </c>
      <c r="AN2645">
        <v>5000</v>
      </c>
      <c r="AO2645">
        <v>0.12</v>
      </c>
      <c r="AR2645">
        <v>1</v>
      </c>
      <c r="AS2645" s="1">
        <v>25510</v>
      </c>
      <c r="AT2645" s="1">
        <v>5100</v>
      </c>
      <c r="AU2645" s="1">
        <v>20410</v>
      </c>
      <c r="AV2645">
        <v>80.010000000000005</v>
      </c>
      <c r="AX2645" s="1">
        <v>2075.08</v>
      </c>
      <c r="AY2645" t="s">
        <v>10654</v>
      </c>
      <c r="AZ2645" t="s">
        <v>571</v>
      </c>
      <c r="BA2645" t="s">
        <v>521</v>
      </c>
      <c r="BE2645" s="3">
        <v>41830</v>
      </c>
      <c r="BF2645" s="1">
        <v>289000</v>
      </c>
      <c r="BG2645" t="s">
        <v>17551</v>
      </c>
      <c r="BH2645" s="1">
        <v>110.18</v>
      </c>
      <c r="BI2645" s="1">
        <v>295213</v>
      </c>
      <c r="BJ2645" s="3">
        <v>41830</v>
      </c>
      <c r="BK2645" t="s">
        <v>123</v>
      </c>
      <c r="BL2645" t="str">
        <f>"2014.452298"</f>
        <v>2014.452298</v>
      </c>
      <c r="BM2645" t="s">
        <v>175</v>
      </c>
      <c r="BO2645" t="s">
        <v>17552</v>
      </c>
      <c r="BS2645">
        <v>30</v>
      </c>
      <c r="BW2645" t="str">
        <f>""</f>
        <v/>
      </c>
      <c r="CH2645" t="str">
        <f>""</f>
        <v/>
      </c>
      <c r="CS2645" t="str">
        <f>""</f>
        <v/>
      </c>
    </row>
    <row r="2646" spans="1:97" x14ac:dyDescent="0.25">
      <c r="A2646" t="s">
        <v>610</v>
      </c>
      <c r="B2646" t="s">
        <v>17553</v>
      </c>
      <c r="C2646" t="s">
        <v>10325</v>
      </c>
      <c r="D2646" t="s">
        <v>17553</v>
      </c>
      <c r="E2646" t="s">
        <v>17554</v>
      </c>
      <c r="F2646" t="s">
        <v>108</v>
      </c>
      <c r="H2646" t="s">
        <v>17555</v>
      </c>
      <c r="I2646" t="s">
        <v>2874</v>
      </c>
      <c r="J2646" t="s">
        <v>111</v>
      </c>
      <c r="K2646" t="str">
        <f>"85308"</f>
        <v>85308</v>
      </c>
      <c r="L2646" t="s">
        <v>3982</v>
      </c>
      <c r="M2646" t="s">
        <v>17555</v>
      </c>
      <c r="N2646" t="s">
        <v>2874</v>
      </c>
      <c r="O2646" t="s">
        <v>111</v>
      </c>
      <c r="P2646" t="str">
        <f>"85308-1156"</f>
        <v>85308-1156</v>
      </c>
      <c r="Q2646" t="s">
        <v>113</v>
      </c>
      <c r="R2646" t="str">
        <f>"200-47-164"</f>
        <v>200-47-164</v>
      </c>
      <c r="S2646" t="s">
        <v>16305</v>
      </c>
      <c r="U2646">
        <v>2226</v>
      </c>
      <c r="V2646">
        <v>0</v>
      </c>
      <c r="W2646">
        <v>3</v>
      </c>
      <c r="X2646">
        <v>1997</v>
      </c>
      <c r="Z2646">
        <v>1</v>
      </c>
      <c r="AA2646" t="s">
        <v>26</v>
      </c>
      <c r="AB2646">
        <v>0</v>
      </c>
      <c r="AC2646" t="s">
        <v>115</v>
      </c>
      <c r="AD2646">
        <v>4</v>
      </c>
      <c r="AE2646" t="s">
        <v>115</v>
      </c>
      <c r="AF2646">
        <v>0</v>
      </c>
      <c r="AG2646">
        <v>0</v>
      </c>
      <c r="AH2646" t="s">
        <v>116</v>
      </c>
      <c r="AI2646" s="1">
        <v>97143</v>
      </c>
      <c r="AJ2646" s="2">
        <v>0.25</v>
      </c>
      <c r="AK2646" s="1">
        <v>390643</v>
      </c>
      <c r="AL2646" t="s">
        <v>117</v>
      </c>
      <c r="AM2646" t="s">
        <v>191</v>
      </c>
      <c r="AN2646">
        <v>15851</v>
      </c>
      <c r="AO2646">
        <v>0.36</v>
      </c>
      <c r="AP2646">
        <v>1</v>
      </c>
      <c r="AR2646">
        <v>1</v>
      </c>
      <c r="AS2646" s="1">
        <v>28950</v>
      </c>
      <c r="AT2646" s="1">
        <v>5790</v>
      </c>
      <c r="AU2646" s="1">
        <v>23160</v>
      </c>
      <c r="AV2646">
        <v>80</v>
      </c>
      <c r="AX2646" s="1">
        <v>2285.44</v>
      </c>
      <c r="AY2646" t="s">
        <v>7283</v>
      </c>
      <c r="AZ2646" t="s">
        <v>7283</v>
      </c>
      <c r="BA2646" t="s">
        <v>5143</v>
      </c>
      <c r="BE2646" s="3">
        <v>41912</v>
      </c>
      <c r="BF2646" s="1">
        <v>298000</v>
      </c>
      <c r="BG2646" t="s">
        <v>17556</v>
      </c>
      <c r="BH2646" s="1">
        <v>133.87</v>
      </c>
      <c r="BI2646" s="1">
        <v>293500</v>
      </c>
      <c r="BJ2646" s="3">
        <v>42454</v>
      </c>
      <c r="BK2646" t="s">
        <v>123</v>
      </c>
      <c r="BL2646" t="str">
        <f>"2016.193841"</f>
        <v>2016.193841</v>
      </c>
      <c r="BM2646" t="s">
        <v>425</v>
      </c>
      <c r="BO2646" t="s">
        <v>17557</v>
      </c>
      <c r="BS2646">
        <v>30</v>
      </c>
      <c r="BW2646" t="str">
        <f>""</f>
        <v/>
      </c>
      <c r="CH2646" t="str">
        <f>""</f>
        <v/>
      </c>
      <c r="CS2646" t="str">
        <f>""</f>
        <v/>
      </c>
    </row>
    <row r="2647" spans="1:97" x14ac:dyDescent="0.25">
      <c r="A2647" t="s">
        <v>886</v>
      </c>
      <c r="B2647" t="s">
        <v>8367</v>
      </c>
      <c r="E2647" t="s">
        <v>17558</v>
      </c>
      <c r="F2647" t="s">
        <v>108</v>
      </c>
      <c r="H2647" t="s">
        <v>17559</v>
      </c>
      <c r="I2647" t="s">
        <v>110</v>
      </c>
      <c r="J2647" t="s">
        <v>111</v>
      </c>
      <c r="K2647" t="str">
        <f>"85286"</f>
        <v>85286</v>
      </c>
      <c r="L2647" t="s">
        <v>1569</v>
      </c>
      <c r="M2647" t="s">
        <v>17559</v>
      </c>
      <c r="N2647" t="s">
        <v>110</v>
      </c>
      <c r="O2647" t="s">
        <v>111</v>
      </c>
      <c r="P2647" t="str">
        <f>"85286-1204"</f>
        <v>85286-1204</v>
      </c>
      <c r="Q2647" t="s">
        <v>113</v>
      </c>
      <c r="R2647" t="str">
        <f>"303-30-220"</f>
        <v>303-30-220</v>
      </c>
      <c r="S2647" t="s">
        <v>17560</v>
      </c>
      <c r="T2647" t="s">
        <v>5649</v>
      </c>
      <c r="U2647">
        <v>1694</v>
      </c>
      <c r="V2647">
        <v>0</v>
      </c>
      <c r="W2647">
        <v>2</v>
      </c>
      <c r="X2647">
        <v>1997</v>
      </c>
      <c r="Z2647">
        <v>1</v>
      </c>
      <c r="AB2647">
        <v>0</v>
      </c>
      <c r="AC2647" t="s">
        <v>115</v>
      </c>
      <c r="AD2647">
        <v>2</v>
      </c>
      <c r="AE2647" t="s">
        <v>115</v>
      </c>
      <c r="AF2647">
        <v>0</v>
      </c>
      <c r="AG2647">
        <v>0</v>
      </c>
      <c r="AH2647" t="s">
        <v>116</v>
      </c>
      <c r="AI2647" s="1">
        <v>49058</v>
      </c>
      <c r="AJ2647" s="2">
        <v>0.16</v>
      </c>
      <c r="AK2647" s="1">
        <v>308130</v>
      </c>
      <c r="AL2647" t="s">
        <v>117</v>
      </c>
      <c r="AM2647" t="s">
        <v>118</v>
      </c>
      <c r="AN2647">
        <v>5532</v>
      </c>
      <c r="AO2647">
        <v>0.13</v>
      </c>
      <c r="AP2647">
        <v>1</v>
      </c>
      <c r="AR2647">
        <v>1</v>
      </c>
      <c r="AS2647" s="1">
        <v>20450</v>
      </c>
      <c r="AT2647" s="1">
        <v>4090</v>
      </c>
      <c r="AU2647" s="1">
        <v>16360</v>
      </c>
      <c r="AV2647">
        <v>80</v>
      </c>
      <c r="AX2647" s="1">
        <v>1487.12</v>
      </c>
      <c r="AY2647" t="s">
        <v>5650</v>
      </c>
      <c r="AZ2647" t="s">
        <v>120</v>
      </c>
      <c r="BA2647" t="s">
        <v>303</v>
      </c>
      <c r="BE2647" s="3">
        <v>42297</v>
      </c>
      <c r="BF2647" s="1">
        <v>253000</v>
      </c>
      <c r="BG2647" t="s">
        <v>17561</v>
      </c>
      <c r="BH2647" s="1">
        <v>149.35</v>
      </c>
      <c r="BI2647" s="1">
        <v>259072</v>
      </c>
      <c r="BJ2647" s="3">
        <v>42297</v>
      </c>
      <c r="BK2647" t="s">
        <v>123</v>
      </c>
      <c r="BL2647" t="str">
        <f>"2015.752989"</f>
        <v>2015.752989</v>
      </c>
      <c r="BM2647" t="s">
        <v>544</v>
      </c>
      <c r="BO2647" t="s">
        <v>17562</v>
      </c>
      <c r="BS2647">
        <v>30</v>
      </c>
      <c r="BW2647" t="str">
        <f>""</f>
        <v/>
      </c>
      <c r="CH2647" t="str">
        <f>""</f>
        <v/>
      </c>
      <c r="CS2647" t="str">
        <f>""</f>
        <v/>
      </c>
    </row>
    <row r="2648" spans="1:97" x14ac:dyDescent="0.25">
      <c r="A2648" t="s">
        <v>2294</v>
      </c>
      <c r="B2648" t="s">
        <v>17563</v>
      </c>
      <c r="C2648" t="s">
        <v>2616</v>
      </c>
      <c r="D2648" t="s">
        <v>17563</v>
      </c>
      <c r="E2648" t="s">
        <v>17564</v>
      </c>
      <c r="F2648" t="s">
        <v>108</v>
      </c>
      <c r="H2648" t="s">
        <v>17565</v>
      </c>
      <c r="I2648" t="s">
        <v>167</v>
      </c>
      <c r="J2648" t="s">
        <v>111</v>
      </c>
      <c r="K2648" t="str">
        <f>"85339"</f>
        <v>85339</v>
      </c>
      <c r="L2648" t="s">
        <v>6788</v>
      </c>
      <c r="M2648" t="s">
        <v>17565</v>
      </c>
      <c r="N2648" t="s">
        <v>167</v>
      </c>
      <c r="O2648" t="s">
        <v>111</v>
      </c>
      <c r="P2648" t="str">
        <f>"85339-1936"</f>
        <v>85339-1936</v>
      </c>
      <c r="Q2648" t="s">
        <v>113</v>
      </c>
      <c r="R2648" t="str">
        <f>"104-77-054"</f>
        <v>104-77-054</v>
      </c>
      <c r="S2648" t="s">
        <v>17380</v>
      </c>
      <c r="U2648">
        <v>2887</v>
      </c>
      <c r="V2648">
        <v>0</v>
      </c>
      <c r="W2648">
        <v>4</v>
      </c>
      <c r="X2648">
        <v>2006</v>
      </c>
      <c r="Z2648">
        <v>2</v>
      </c>
      <c r="AA2648" t="s">
        <v>26</v>
      </c>
      <c r="AB2648">
        <v>0</v>
      </c>
      <c r="AC2648" t="s">
        <v>115</v>
      </c>
      <c r="AD2648">
        <v>3</v>
      </c>
      <c r="AE2648" t="s">
        <v>115</v>
      </c>
      <c r="AF2648">
        <v>0</v>
      </c>
      <c r="AG2648">
        <v>0</v>
      </c>
      <c r="AH2648" t="s">
        <v>116</v>
      </c>
      <c r="AI2648" s="1">
        <v>3910</v>
      </c>
      <c r="AJ2648" s="2">
        <v>0.01</v>
      </c>
      <c r="AK2648" s="1">
        <v>300379</v>
      </c>
      <c r="AL2648" t="s">
        <v>117</v>
      </c>
      <c r="AM2648" t="s">
        <v>191</v>
      </c>
      <c r="AN2648">
        <v>7611</v>
      </c>
      <c r="AO2648">
        <v>0.18</v>
      </c>
      <c r="AR2648">
        <v>1</v>
      </c>
      <c r="AS2648" s="1">
        <v>21220</v>
      </c>
      <c r="AT2648" s="1">
        <v>4240</v>
      </c>
      <c r="AU2648" s="1">
        <v>16980</v>
      </c>
      <c r="AV2648">
        <v>80.02</v>
      </c>
      <c r="AX2648" s="1">
        <v>2541.84</v>
      </c>
      <c r="AY2648" t="s">
        <v>12984</v>
      </c>
      <c r="AZ2648" t="s">
        <v>12984</v>
      </c>
      <c r="BA2648" t="s">
        <v>173</v>
      </c>
      <c r="BE2648" s="3">
        <v>42228</v>
      </c>
      <c r="BF2648" s="1">
        <v>220000</v>
      </c>
      <c r="BG2648" t="s">
        <v>17566</v>
      </c>
      <c r="BH2648" s="1">
        <v>76.2</v>
      </c>
      <c r="BI2648" s="1">
        <v>270000</v>
      </c>
      <c r="BJ2648" s="3">
        <v>43035</v>
      </c>
      <c r="BK2648" t="s">
        <v>123</v>
      </c>
      <c r="BL2648" t="str">
        <f>"2017.796656"</f>
        <v>2017.796656</v>
      </c>
      <c r="BM2648" t="s">
        <v>5277</v>
      </c>
      <c r="BN2648">
        <v>20759</v>
      </c>
      <c r="BO2648" t="s">
        <v>17567</v>
      </c>
      <c r="BS2648">
        <v>30</v>
      </c>
      <c r="BT2648" s="1">
        <v>26469</v>
      </c>
      <c r="BU2648" s="3">
        <v>43327</v>
      </c>
      <c r="BV2648" t="s">
        <v>134</v>
      </c>
      <c r="BW2648" t="str">
        <f>"2018.619300"</f>
        <v>2018.619300</v>
      </c>
      <c r="BX2648" t="s">
        <v>17568</v>
      </c>
      <c r="BY2648" t="s">
        <v>17569</v>
      </c>
      <c r="BZ2648" t="s">
        <v>17570</v>
      </c>
      <c r="CA2648" t="s">
        <v>17571</v>
      </c>
      <c r="CC2648" t="s">
        <v>139</v>
      </c>
      <c r="CH2648" t="str">
        <f>""</f>
        <v/>
      </c>
      <c r="CS2648" t="str">
        <f>""</f>
        <v/>
      </c>
    </row>
    <row r="2649" spans="1:97" x14ac:dyDescent="0.25">
      <c r="A2649" t="s">
        <v>464</v>
      </c>
      <c r="B2649" t="s">
        <v>3768</v>
      </c>
      <c r="C2649" t="s">
        <v>17572</v>
      </c>
      <c r="D2649" t="s">
        <v>3768</v>
      </c>
      <c r="E2649" t="s">
        <v>17573</v>
      </c>
      <c r="F2649" t="s">
        <v>108</v>
      </c>
      <c r="H2649" t="s">
        <v>17574</v>
      </c>
      <c r="I2649" t="s">
        <v>6844</v>
      </c>
      <c r="J2649" t="s">
        <v>111</v>
      </c>
      <c r="K2649" t="str">
        <f>"85361"</f>
        <v>85361</v>
      </c>
      <c r="L2649" t="s">
        <v>1789</v>
      </c>
      <c r="M2649" t="s">
        <v>17574</v>
      </c>
      <c r="N2649" t="s">
        <v>6844</v>
      </c>
      <c r="O2649" t="s">
        <v>111</v>
      </c>
      <c r="P2649" t="str">
        <f>"85361-8784"</f>
        <v>85361-8784</v>
      </c>
      <c r="Q2649" t="s">
        <v>113</v>
      </c>
      <c r="R2649" t="str">
        <f>"503-32-371"</f>
        <v>503-32-371</v>
      </c>
      <c r="S2649" t="s">
        <v>6845</v>
      </c>
      <c r="T2649" t="s">
        <v>6846</v>
      </c>
      <c r="U2649">
        <v>2140</v>
      </c>
      <c r="V2649">
        <v>0</v>
      </c>
      <c r="W2649">
        <v>3</v>
      </c>
      <c r="X2649">
        <v>2005</v>
      </c>
      <c r="Z2649">
        <v>1</v>
      </c>
      <c r="AA2649" t="s">
        <v>26</v>
      </c>
      <c r="AB2649">
        <v>0</v>
      </c>
      <c r="AC2649" t="s">
        <v>115</v>
      </c>
      <c r="AD2649">
        <v>6</v>
      </c>
      <c r="AE2649" t="s">
        <v>115</v>
      </c>
      <c r="AF2649">
        <v>0</v>
      </c>
      <c r="AG2649">
        <v>0</v>
      </c>
      <c r="AH2649" t="s">
        <v>116</v>
      </c>
      <c r="AI2649" s="1">
        <v>43911</v>
      </c>
      <c r="AJ2649" s="2">
        <v>0.11</v>
      </c>
      <c r="AK2649" s="1">
        <v>400414</v>
      </c>
      <c r="AL2649" t="s">
        <v>117</v>
      </c>
      <c r="AM2649" t="s">
        <v>376</v>
      </c>
      <c r="AN2649">
        <v>48063</v>
      </c>
      <c r="AO2649">
        <v>1.1000000000000001</v>
      </c>
      <c r="AR2649">
        <v>1</v>
      </c>
      <c r="AS2649" s="1">
        <v>28720</v>
      </c>
      <c r="AT2649" s="1">
        <v>5740</v>
      </c>
      <c r="AU2649" s="1">
        <v>22980</v>
      </c>
      <c r="AV2649">
        <v>80.010000000000005</v>
      </c>
      <c r="AX2649" s="1">
        <v>2069.42</v>
      </c>
      <c r="AY2649" t="s">
        <v>6847</v>
      </c>
      <c r="AZ2649" t="s">
        <v>6847</v>
      </c>
      <c r="BE2649" s="3">
        <v>42160</v>
      </c>
      <c r="BF2649" s="1">
        <v>349000</v>
      </c>
      <c r="BG2649" t="s">
        <v>17575</v>
      </c>
      <c r="BH2649" s="1">
        <v>163.08000000000001</v>
      </c>
      <c r="BI2649" s="1">
        <v>356503</v>
      </c>
      <c r="BJ2649" s="3">
        <v>42160</v>
      </c>
      <c r="BK2649" t="s">
        <v>123</v>
      </c>
      <c r="BL2649" t="str">
        <f>"2015.403447"</f>
        <v>2015.403447</v>
      </c>
      <c r="BM2649" t="s">
        <v>1201</v>
      </c>
      <c r="BO2649" t="s">
        <v>17576</v>
      </c>
      <c r="BS2649">
        <v>30</v>
      </c>
      <c r="BW2649" t="str">
        <f>""</f>
        <v/>
      </c>
      <c r="CH2649" t="str">
        <f>""</f>
        <v/>
      </c>
      <c r="CS2649" t="str">
        <f>""</f>
        <v/>
      </c>
    </row>
    <row r="2650" spans="1:97" x14ac:dyDescent="0.25">
      <c r="A2650" t="s">
        <v>996</v>
      </c>
      <c r="B2650" t="s">
        <v>17577</v>
      </c>
      <c r="C2650" t="s">
        <v>17578</v>
      </c>
      <c r="D2650" t="s">
        <v>17577</v>
      </c>
      <c r="E2650" t="s">
        <v>17579</v>
      </c>
      <c r="F2650" t="s">
        <v>108</v>
      </c>
      <c r="H2650" t="s">
        <v>17580</v>
      </c>
      <c r="I2650" t="s">
        <v>5523</v>
      </c>
      <c r="J2650" t="s">
        <v>111</v>
      </c>
      <c r="K2650" t="str">
        <f>"85351"</f>
        <v>85351</v>
      </c>
      <c r="L2650" t="s">
        <v>5209</v>
      </c>
      <c r="M2650" t="s">
        <v>17580</v>
      </c>
      <c r="N2650" t="s">
        <v>5523</v>
      </c>
      <c r="O2650" t="s">
        <v>111</v>
      </c>
      <c r="P2650" t="str">
        <f>"85351-1422"</f>
        <v>85351-1422</v>
      </c>
      <c r="Q2650" t="s">
        <v>113</v>
      </c>
      <c r="R2650" t="str">
        <f>"200-94-073"</f>
        <v>200-94-073</v>
      </c>
      <c r="S2650" t="s">
        <v>17581</v>
      </c>
      <c r="U2650">
        <v>1590</v>
      </c>
      <c r="V2650">
        <v>0</v>
      </c>
      <c r="W2650">
        <v>2</v>
      </c>
      <c r="X2650">
        <v>1972</v>
      </c>
      <c r="Z2650">
        <v>1</v>
      </c>
      <c r="AB2650">
        <v>0</v>
      </c>
      <c r="AC2650" t="s">
        <v>115</v>
      </c>
      <c r="AD2650">
        <v>2</v>
      </c>
      <c r="AE2650" t="s">
        <v>115</v>
      </c>
      <c r="AF2650">
        <v>0</v>
      </c>
      <c r="AG2650">
        <v>0</v>
      </c>
      <c r="AH2650" t="s">
        <v>116</v>
      </c>
      <c r="AI2650" s="1">
        <v>-23759</v>
      </c>
      <c r="AJ2650" s="2">
        <v>-0.11</v>
      </c>
      <c r="AK2650" s="1">
        <v>207091</v>
      </c>
      <c r="AL2650" t="s">
        <v>117</v>
      </c>
      <c r="AM2650" t="s">
        <v>3345</v>
      </c>
      <c r="AN2650">
        <v>9425</v>
      </c>
      <c r="AO2650">
        <v>0.22</v>
      </c>
      <c r="AP2650">
        <v>1</v>
      </c>
      <c r="AR2650">
        <v>1</v>
      </c>
      <c r="AS2650" s="1">
        <v>14680</v>
      </c>
      <c r="AT2650" s="1">
        <v>2930</v>
      </c>
      <c r="AU2650" s="1">
        <v>11750</v>
      </c>
      <c r="AV2650">
        <v>80.040000000000006</v>
      </c>
      <c r="AX2650" s="1">
        <v>1009.88</v>
      </c>
      <c r="AY2650" t="s">
        <v>5573</v>
      </c>
      <c r="AZ2650" t="s">
        <v>5573</v>
      </c>
      <c r="BA2650" t="s">
        <v>3360</v>
      </c>
      <c r="BE2650" s="3">
        <v>42534</v>
      </c>
      <c r="BF2650" s="1">
        <v>243000</v>
      </c>
      <c r="BG2650" t="s">
        <v>17582</v>
      </c>
      <c r="BH2650" s="1">
        <v>152.83000000000001</v>
      </c>
      <c r="BI2650" s="1">
        <v>230850</v>
      </c>
      <c r="BJ2650" s="3">
        <v>42534</v>
      </c>
      <c r="BK2650" t="s">
        <v>123</v>
      </c>
      <c r="BL2650" t="str">
        <f>"2016.410218"</f>
        <v>2016.410218</v>
      </c>
      <c r="BM2650" t="s">
        <v>124</v>
      </c>
      <c r="BO2650" t="s">
        <v>17583</v>
      </c>
      <c r="BS2650">
        <v>30</v>
      </c>
      <c r="BW2650" t="str">
        <f>""</f>
        <v/>
      </c>
      <c r="CH2650" t="str">
        <f>""</f>
        <v/>
      </c>
      <c r="CS2650" t="str">
        <f>""</f>
        <v/>
      </c>
    </row>
    <row r="2651" spans="1:97" x14ac:dyDescent="0.25">
      <c r="A2651" t="s">
        <v>17584</v>
      </c>
      <c r="B2651" t="s">
        <v>17585</v>
      </c>
      <c r="C2651" t="s">
        <v>17586</v>
      </c>
      <c r="D2651" t="s">
        <v>17585</v>
      </c>
      <c r="E2651" t="s">
        <v>17587</v>
      </c>
      <c r="F2651" t="s">
        <v>108</v>
      </c>
      <c r="H2651" t="s">
        <v>17588</v>
      </c>
      <c r="I2651" t="s">
        <v>5114</v>
      </c>
      <c r="J2651" t="s">
        <v>111</v>
      </c>
      <c r="K2651" t="str">
        <f>"85392"</f>
        <v>85392</v>
      </c>
      <c r="L2651" t="s">
        <v>3430</v>
      </c>
      <c r="M2651" t="s">
        <v>17588</v>
      </c>
      <c r="N2651" t="s">
        <v>5114</v>
      </c>
      <c r="O2651" t="s">
        <v>111</v>
      </c>
      <c r="P2651" t="str">
        <f>"85392-4320"</f>
        <v>85392-4320</v>
      </c>
      <c r="Q2651" t="s">
        <v>113</v>
      </c>
      <c r="R2651" t="str">
        <f>"102-86-039"</f>
        <v>102-86-039</v>
      </c>
      <c r="S2651" t="s">
        <v>12487</v>
      </c>
      <c r="T2651" t="s">
        <v>12488</v>
      </c>
      <c r="U2651">
        <v>3318</v>
      </c>
      <c r="V2651">
        <v>0</v>
      </c>
      <c r="W2651">
        <v>4</v>
      </c>
      <c r="X2651">
        <v>1992</v>
      </c>
      <c r="Z2651">
        <v>2</v>
      </c>
      <c r="AB2651">
        <v>0</v>
      </c>
      <c r="AC2651" t="s">
        <v>115</v>
      </c>
      <c r="AD2651">
        <v>3</v>
      </c>
      <c r="AE2651" t="s">
        <v>115</v>
      </c>
      <c r="AF2651">
        <v>0</v>
      </c>
      <c r="AG2651">
        <v>0</v>
      </c>
      <c r="AH2651" t="s">
        <v>116</v>
      </c>
      <c r="AI2651" s="1">
        <v>57115</v>
      </c>
      <c r="AJ2651" s="2">
        <v>0.17</v>
      </c>
      <c r="AK2651" s="1">
        <v>337115</v>
      </c>
      <c r="AL2651" t="s">
        <v>117</v>
      </c>
      <c r="AM2651" t="s">
        <v>118</v>
      </c>
      <c r="AN2651">
        <v>7013</v>
      </c>
      <c r="AO2651">
        <v>0.16</v>
      </c>
      <c r="AP2651">
        <v>1</v>
      </c>
      <c r="AR2651">
        <v>1</v>
      </c>
      <c r="AS2651" s="1">
        <v>24250</v>
      </c>
      <c r="AT2651" s="1">
        <v>4850</v>
      </c>
      <c r="AU2651" s="1">
        <v>19400</v>
      </c>
      <c r="AV2651">
        <v>80</v>
      </c>
      <c r="AX2651" s="1">
        <v>2459.46</v>
      </c>
      <c r="AY2651" t="s">
        <v>8084</v>
      </c>
      <c r="AZ2651" t="s">
        <v>8084</v>
      </c>
      <c r="BA2651" t="s">
        <v>5118</v>
      </c>
      <c r="BE2651" s="3">
        <v>41872</v>
      </c>
      <c r="BF2651" s="1">
        <v>220000</v>
      </c>
      <c r="BG2651" t="s">
        <v>17589</v>
      </c>
      <c r="BH2651" s="1">
        <v>66.31</v>
      </c>
      <c r="BI2651" s="1">
        <v>280000</v>
      </c>
      <c r="BJ2651" s="3">
        <v>42563</v>
      </c>
      <c r="BK2651" t="s">
        <v>123</v>
      </c>
      <c r="BL2651" t="str">
        <f>"2016.486261"</f>
        <v>2016.486261</v>
      </c>
      <c r="BM2651" t="s">
        <v>3004</v>
      </c>
      <c r="BO2651" t="s">
        <v>17590</v>
      </c>
      <c r="BS2651">
        <v>30</v>
      </c>
      <c r="BW2651" t="str">
        <f>""</f>
        <v/>
      </c>
      <c r="CH2651" t="str">
        <f>""</f>
        <v/>
      </c>
      <c r="CS2651" t="str">
        <f>""</f>
        <v/>
      </c>
    </row>
    <row r="2652" spans="1:97" x14ac:dyDescent="0.25">
      <c r="A2652" t="s">
        <v>17591</v>
      </c>
      <c r="B2652" t="s">
        <v>17592</v>
      </c>
      <c r="C2652" t="s">
        <v>489</v>
      </c>
      <c r="D2652" t="s">
        <v>17592</v>
      </c>
      <c r="E2652" t="s">
        <v>17593</v>
      </c>
      <c r="F2652" t="s">
        <v>108</v>
      </c>
      <c r="H2652" t="s">
        <v>17594</v>
      </c>
      <c r="I2652" t="s">
        <v>2874</v>
      </c>
      <c r="J2652" t="s">
        <v>111</v>
      </c>
      <c r="K2652" t="str">
        <f>"85310"</f>
        <v>85310</v>
      </c>
      <c r="L2652" t="s">
        <v>1796</v>
      </c>
      <c r="M2652" t="s">
        <v>17594</v>
      </c>
      <c r="N2652" t="s">
        <v>2874</v>
      </c>
      <c r="O2652" t="s">
        <v>111</v>
      </c>
      <c r="P2652" t="str">
        <f>"85310-3391"</f>
        <v>85310-3391</v>
      </c>
      <c r="Q2652" t="s">
        <v>113</v>
      </c>
      <c r="R2652" t="str">
        <f>"205-15-211"</f>
        <v>205-15-211</v>
      </c>
      <c r="S2652" t="s">
        <v>17595</v>
      </c>
      <c r="T2652" t="s">
        <v>5699</v>
      </c>
      <c r="U2652">
        <v>1506</v>
      </c>
      <c r="V2652">
        <v>0</v>
      </c>
      <c r="W2652">
        <v>2</v>
      </c>
      <c r="X2652">
        <v>1997</v>
      </c>
      <c r="Z2652">
        <v>1</v>
      </c>
      <c r="AB2652">
        <v>0</v>
      </c>
      <c r="AC2652" t="s">
        <v>115</v>
      </c>
      <c r="AD2652">
        <v>2</v>
      </c>
      <c r="AE2652" t="s">
        <v>115</v>
      </c>
      <c r="AF2652">
        <v>0</v>
      </c>
      <c r="AG2652">
        <v>0</v>
      </c>
      <c r="AH2652" t="s">
        <v>116</v>
      </c>
      <c r="AI2652" s="1">
        <v>56143</v>
      </c>
      <c r="AJ2652" s="2">
        <v>0.21</v>
      </c>
      <c r="AK2652" s="1">
        <v>262743</v>
      </c>
      <c r="AL2652" t="s">
        <v>117</v>
      </c>
      <c r="AM2652" t="s">
        <v>1315</v>
      </c>
      <c r="AN2652">
        <v>6034</v>
      </c>
      <c r="AO2652">
        <v>0.14000000000000001</v>
      </c>
      <c r="AP2652">
        <v>1</v>
      </c>
      <c r="AR2652">
        <v>1</v>
      </c>
      <c r="AS2652" s="1">
        <v>17220</v>
      </c>
      <c r="AT2652" s="1">
        <v>3440</v>
      </c>
      <c r="AU2652" s="1">
        <v>13780</v>
      </c>
      <c r="AV2652">
        <v>80.02</v>
      </c>
      <c r="AX2652" s="1">
        <v>1340.6</v>
      </c>
      <c r="AY2652" t="s">
        <v>5701</v>
      </c>
      <c r="AZ2652" t="s">
        <v>3049</v>
      </c>
      <c r="BA2652" t="s">
        <v>1386</v>
      </c>
      <c r="BE2652" s="3">
        <v>41934</v>
      </c>
      <c r="BF2652" s="1">
        <v>190000</v>
      </c>
      <c r="BG2652" t="s">
        <v>17596</v>
      </c>
      <c r="BH2652" s="1">
        <v>126.16</v>
      </c>
      <c r="BI2652" s="1">
        <v>206600</v>
      </c>
      <c r="BJ2652" s="3">
        <v>42978</v>
      </c>
      <c r="BK2652" t="s">
        <v>123</v>
      </c>
      <c r="BL2652" t="str">
        <f>"2017.648147"</f>
        <v>2017.648147</v>
      </c>
      <c r="BM2652" t="s">
        <v>17597</v>
      </c>
      <c r="BO2652" t="s">
        <v>17598</v>
      </c>
      <c r="BS2652">
        <v>30</v>
      </c>
      <c r="BW2652" t="str">
        <f>""</f>
        <v/>
      </c>
      <c r="CH2652" t="str">
        <f>""</f>
        <v/>
      </c>
      <c r="CS2652" t="str">
        <f>""</f>
        <v/>
      </c>
    </row>
    <row r="2653" spans="1:97" x14ac:dyDescent="0.25">
      <c r="A2653" t="s">
        <v>325</v>
      </c>
      <c r="B2653" t="s">
        <v>17599</v>
      </c>
      <c r="E2653" t="s">
        <v>17600</v>
      </c>
      <c r="F2653" t="s">
        <v>108</v>
      </c>
      <c r="H2653" t="s">
        <v>17601</v>
      </c>
      <c r="I2653" t="s">
        <v>390</v>
      </c>
      <c r="J2653" t="s">
        <v>111</v>
      </c>
      <c r="K2653" t="str">
        <f>"85009"</f>
        <v>85009</v>
      </c>
      <c r="L2653" t="s">
        <v>2963</v>
      </c>
      <c r="M2653" t="s">
        <v>17601</v>
      </c>
      <c r="N2653" t="s">
        <v>390</v>
      </c>
      <c r="O2653" t="s">
        <v>111</v>
      </c>
      <c r="P2653" t="str">
        <f>"85009-1934"</f>
        <v>85009-1934</v>
      </c>
      <c r="Q2653" t="s">
        <v>113</v>
      </c>
      <c r="R2653" t="str">
        <f>"110-44-043"</f>
        <v>110-44-043</v>
      </c>
      <c r="S2653" t="s">
        <v>17602</v>
      </c>
      <c r="T2653" t="s">
        <v>17602</v>
      </c>
      <c r="U2653">
        <v>1915</v>
      </c>
      <c r="V2653">
        <v>0</v>
      </c>
      <c r="W2653">
        <v>2</v>
      </c>
      <c r="X2653">
        <v>1955</v>
      </c>
      <c r="Z2653">
        <v>1</v>
      </c>
      <c r="AA2653" t="s">
        <v>26</v>
      </c>
      <c r="AB2653">
        <v>0</v>
      </c>
      <c r="AC2653" t="s">
        <v>115</v>
      </c>
      <c r="AD2653">
        <v>2</v>
      </c>
      <c r="AE2653" t="s">
        <v>115</v>
      </c>
      <c r="AF2653">
        <v>0</v>
      </c>
      <c r="AG2653">
        <v>0</v>
      </c>
      <c r="AH2653" t="s">
        <v>116</v>
      </c>
      <c r="AI2653" s="1">
        <v>19159</v>
      </c>
      <c r="AJ2653" s="2">
        <v>0.05</v>
      </c>
      <c r="AK2653" s="1">
        <v>422651</v>
      </c>
      <c r="AL2653" t="s">
        <v>117</v>
      </c>
      <c r="AM2653" t="s">
        <v>191</v>
      </c>
      <c r="AN2653">
        <v>8721</v>
      </c>
      <c r="AO2653">
        <v>0.2</v>
      </c>
      <c r="AP2653">
        <v>1</v>
      </c>
      <c r="AR2653">
        <v>1</v>
      </c>
      <c r="AS2653" s="1">
        <v>29950</v>
      </c>
      <c r="AT2653" s="1">
        <v>5990</v>
      </c>
      <c r="AU2653" s="1">
        <v>23960</v>
      </c>
      <c r="AV2653">
        <v>80</v>
      </c>
      <c r="AX2653" s="1">
        <v>2637.88</v>
      </c>
      <c r="AY2653" t="s">
        <v>8243</v>
      </c>
      <c r="AZ2653" t="s">
        <v>8243</v>
      </c>
      <c r="BA2653" t="s">
        <v>5469</v>
      </c>
      <c r="BE2653" s="3">
        <v>42438</v>
      </c>
      <c r="BF2653" s="1">
        <v>395000</v>
      </c>
      <c r="BG2653" t="s">
        <v>17603</v>
      </c>
      <c r="BH2653" s="1">
        <v>206.27</v>
      </c>
      <c r="BI2653" s="1">
        <v>403492</v>
      </c>
      <c r="BJ2653" s="3">
        <v>42438</v>
      </c>
      <c r="BK2653" t="s">
        <v>123</v>
      </c>
      <c r="BL2653" t="str">
        <f>"2016.152175"</f>
        <v>2016.152175</v>
      </c>
      <c r="BM2653" t="s">
        <v>475</v>
      </c>
      <c r="BO2653" t="s">
        <v>17604</v>
      </c>
      <c r="BS2653">
        <v>30</v>
      </c>
      <c r="BW2653" t="str">
        <f>""</f>
        <v/>
      </c>
      <c r="CH2653" t="str">
        <f>""</f>
        <v/>
      </c>
      <c r="CS2653" t="str">
        <f>""</f>
        <v/>
      </c>
    </row>
    <row r="2654" spans="1:97" x14ac:dyDescent="0.25">
      <c r="A2654" t="s">
        <v>305</v>
      </c>
      <c r="B2654" t="s">
        <v>4845</v>
      </c>
      <c r="C2654" t="s">
        <v>17605</v>
      </c>
      <c r="D2654" t="s">
        <v>4845</v>
      </c>
      <c r="E2654" t="s">
        <v>17606</v>
      </c>
      <c r="F2654" t="s">
        <v>108</v>
      </c>
      <c r="H2654" t="s">
        <v>17607</v>
      </c>
      <c r="I2654" t="s">
        <v>5114</v>
      </c>
      <c r="J2654" t="s">
        <v>111</v>
      </c>
      <c r="K2654" t="str">
        <f>"85392"</f>
        <v>85392</v>
      </c>
      <c r="L2654" t="s">
        <v>5308</v>
      </c>
      <c r="M2654" t="s">
        <v>17607</v>
      </c>
      <c r="N2654" t="s">
        <v>5114</v>
      </c>
      <c r="O2654" t="s">
        <v>111</v>
      </c>
      <c r="P2654" t="str">
        <f>"85392-3094"</f>
        <v>85392-3094</v>
      </c>
      <c r="Q2654" t="s">
        <v>113</v>
      </c>
      <c r="R2654" t="str">
        <f>"501-82-267"</f>
        <v>501-82-267</v>
      </c>
      <c r="S2654" t="s">
        <v>17608</v>
      </c>
      <c r="T2654" t="s">
        <v>17609</v>
      </c>
      <c r="U2654">
        <v>2052</v>
      </c>
      <c r="V2654">
        <v>0</v>
      </c>
      <c r="W2654">
        <v>3</v>
      </c>
      <c r="X2654">
        <v>2006</v>
      </c>
      <c r="Z2654">
        <v>1</v>
      </c>
      <c r="AB2654">
        <v>0</v>
      </c>
      <c r="AC2654" t="s">
        <v>115</v>
      </c>
      <c r="AD2654">
        <v>2</v>
      </c>
      <c r="AE2654" t="s">
        <v>115</v>
      </c>
      <c r="AF2654">
        <v>0</v>
      </c>
      <c r="AG2654">
        <v>0</v>
      </c>
      <c r="AH2654" t="s">
        <v>116</v>
      </c>
      <c r="AI2654" s="1">
        <v>68511</v>
      </c>
      <c r="AJ2654" s="2">
        <v>0.25</v>
      </c>
      <c r="AK2654" s="1">
        <v>272661</v>
      </c>
      <c r="AL2654" t="s">
        <v>117</v>
      </c>
      <c r="AM2654" t="s">
        <v>191</v>
      </c>
      <c r="AN2654">
        <v>6937</v>
      </c>
      <c r="AO2654">
        <v>0.16</v>
      </c>
      <c r="AR2654">
        <v>1</v>
      </c>
      <c r="AS2654" s="1">
        <v>18100</v>
      </c>
      <c r="AT2654" s="1">
        <v>3620</v>
      </c>
      <c r="AU2654" s="1">
        <v>14480</v>
      </c>
      <c r="AV2654">
        <v>80</v>
      </c>
      <c r="AX2654" s="1">
        <v>2049.8200000000002</v>
      </c>
      <c r="AY2654" t="s">
        <v>5117</v>
      </c>
      <c r="AZ2654" t="s">
        <v>5117</v>
      </c>
      <c r="BA2654" t="s">
        <v>5118</v>
      </c>
      <c r="BE2654" s="3">
        <v>41991</v>
      </c>
      <c r="BF2654" s="1">
        <v>177000</v>
      </c>
      <c r="BG2654" t="s">
        <v>16011</v>
      </c>
      <c r="BH2654" s="1">
        <v>86.26</v>
      </c>
      <c r="BI2654" s="1">
        <v>204150</v>
      </c>
      <c r="BJ2654" s="3">
        <v>43054</v>
      </c>
      <c r="BK2654" t="s">
        <v>123</v>
      </c>
      <c r="BL2654" t="str">
        <f>"2017.848915"</f>
        <v>2017.848915</v>
      </c>
      <c r="BM2654" t="s">
        <v>340</v>
      </c>
      <c r="BO2654" t="s">
        <v>17610</v>
      </c>
      <c r="BS2654">
        <v>30</v>
      </c>
      <c r="BW2654" t="str">
        <f>""</f>
        <v/>
      </c>
      <c r="CH2654" t="str">
        <f>""</f>
        <v/>
      </c>
      <c r="CS2654" t="str">
        <f>""</f>
        <v/>
      </c>
    </row>
    <row r="2655" spans="1:97" x14ac:dyDescent="0.25">
      <c r="A2655" t="s">
        <v>5755</v>
      </c>
      <c r="B2655" t="s">
        <v>17611</v>
      </c>
      <c r="E2655" t="s">
        <v>17612</v>
      </c>
      <c r="F2655" t="s">
        <v>108</v>
      </c>
      <c r="H2655" t="s">
        <v>17613</v>
      </c>
      <c r="I2655" t="s">
        <v>11965</v>
      </c>
      <c r="J2655" t="s">
        <v>111</v>
      </c>
      <c r="K2655" t="str">
        <f>"85354"</f>
        <v>85354</v>
      </c>
      <c r="L2655" t="s">
        <v>1586</v>
      </c>
      <c r="M2655" t="s">
        <v>17613</v>
      </c>
      <c r="N2655" t="s">
        <v>11965</v>
      </c>
      <c r="O2655" t="s">
        <v>111</v>
      </c>
      <c r="P2655" t="str">
        <f>"85354-6028"</f>
        <v>85354-6028</v>
      </c>
      <c r="Q2655" t="s">
        <v>113</v>
      </c>
      <c r="R2655" t="str">
        <f>"506-35-572"</f>
        <v>506-35-572</v>
      </c>
      <c r="S2655" t="s">
        <v>17614</v>
      </c>
      <c r="T2655" t="s">
        <v>17615</v>
      </c>
      <c r="U2655">
        <v>2733</v>
      </c>
      <c r="V2655">
        <v>0</v>
      </c>
      <c r="W2655">
        <v>3</v>
      </c>
      <c r="X2655">
        <v>2008</v>
      </c>
      <c r="Z2655">
        <v>1</v>
      </c>
      <c r="AB2655">
        <v>0</v>
      </c>
      <c r="AC2655" t="s">
        <v>115</v>
      </c>
      <c r="AD2655">
        <v>3</v>
      </c>
      <c r="AE2655" t="s">
        <v>115</v>
      </c>
      <c r="AF2655">
        <v>0</v>
      </c>
      <c r="AG2655">
        <v>0</v>
      </c>
      <c r="AH2655" t="s">
        <v>116</v>
      </c>
      <c r="AI2655" s="1">
        <v>81363</v>
      </c>
      <c r="AJ2655" s="2">
        <v>0.28000000000000003</v>
      </c>
      <c r="AK2655" s="1">
        <v>289749</v>
      </c>
      <c r="AL2655" t="s">
        <v>117</v>
      </c>
      <c r="AM2655" t="s">
        <v>376</v>
      </c>
      <c r="AN2655">
        <v>43760</v>
      </c>
      <c r="AO2655">
        <v>1</v>
      </c>
      <c r="AR2655">
        <v>1</v>
      </c>
      <c r="AS2655" s="1">
        <v>18570</v>
      </c>
      <c r="AT2655" s="1">
        <v>3710</v>
      </c>
      <c r="AU2655" s="1">
        <v>14860</v>
      </c>
      <c r="AV2655">
        <v>80.02</v>
      </c>
      <c r="AX2655" s="1">
        <v>1044.3</v>
      </c>
      <c r="AY2655" t="s">
        <v>11966</v>
      </c>
      <c r="AZ2655" t="s">
        <v>11966</v>
      </c>
      <c r="BA2655" t="s">
        <v>148</v>
      </c>
      <c r="BE2655" s="3">
        <v>42090</v>
      </c>
      <c r="BF2655" s="1">
        <v>204000</v>
      </c>
      <c r="BG2655" t="s">
        <v>17616</v>
      </c>
      <c r="BH2655" s="1">
        <v>74.64</v>
      </c>
      <c r="BI2655" s="1">
        <v>208386</v>
      </c>
      <c r="BJ2655" s="3">
        <v>42090</v>
      </c>
      <c r="BK2655" t="s">
        <v>123</v>
      </c>
      <c r="BL2655" t="str">
        <f>"2015.206363"</f>
        <v>2015.206363</v>
      </c>
      <c r="BM2655" t="s">
        <v>1325</v>
      </c>
      <c r="BO2655" t="s">
        <v>17617</v>
      </c>
      <c r="BS2655">
        <v>30</v>
      </c>
      <c r="BW2655" t="str">
        <f>""</f>
        <v/>
      </c>
      <c r="CH2655" t="str">
        <f>""</f>
        <v/>
      </c>
      <c r="CS2655" t="str">
        <f>""</f>
        <v/>
      </c>
    </row>
    <row r="2656" spans="1:97" x14ac:dyDescent="0.25">
      <c r="A2656" t="s">
        <v>12279</v>
      </c>
      <c r="B2656" t="s">
        <v>17618</v>
      </c>
      <c r="C2656" t="s">
        <v>4515</v>
      </c>
      <c r="D2656" t="s">
        <v>17618</v>
      </c>
      <c r="E2656" t="s">
        <v>17619</v>
      </c>
      <c r="F2656" t="s">
        <v>108</v>
      </c>
      <c r="H2656" t="s">
        <v>17620</v>
      </c>
      <c r="I2656" t="s">
        <v>2874</v>
      </c>
      <c r="J2656" t="s">
        <v>111</v>
      </c>
      <c r="K2656" t="str">
        <f>"85302"</f>
        <v>85302</v>
      </c>
      <c r="L2656" t="s">
        <v>1658</v>
      </c>
      <c r="M2656" t="s">
        <v>17620</v>
      </c>
      <c r="N2656" t="s">
        <v>2874</v>
      </c>
      <c r="O2656" t="s">
        <v>111</v>
      </c>
      <c r="P2656" t="str">
        <f>"85302-1528"</f>
        <v>85302-1528</v>
      </c>
      <c r="Q2656" t="s">
        <v>113</v>
      </c>
      <c r="R2656" t="str">
        <f>"148-24-193-A"</f>
        <v>148-24-193-A</v>
      </c>
      <c r="S2656" t="s">
        <v>13357</v>
      </c>
      <c r="T2656" t="s">
        <v>13357</v>
      </c>
      <c r="U2656">
        <v>2180</v>
      </c>
      <c r="V2656">
        <v>0</v>
      </c>
      <c r="W2656">
        <v>4</v>
      </c>
      <c r="X2656">
        <v>1985</v>
      </c>
      <c r="Z2656">
        <v>2</v>
      </c>
      <c r="AB2656">
        <v>0</v>
      </c>
      <c r="AC2656" t="s">
        <v>115</v>
      </c>
      <c r="AD2656">
        <v>2</v>
      </c>
      <c r="AE2656" t="s">
        <v>115</v>
      </c>
      <c r="AF2656">
        <v>0</v>
      </c>
      <c r="AG2656">
        <v>0</v>
      </c>
      <c r="AH2656" t="s">
        <v>116</v>
      </c>
      <c r="AI2656" s="1">
        <v>87253</v>
      </c>
      <c r="AJ2656" s="2">
        <v>0.28999999999999998</v>
      </c>
      <c r="AK2656" s="1">
        <v>302253</v>
      </c>
      <c r="AL2656" t="s">
        <v>117</v>
      </c>
      <c r="AM2656" t="s">
        <v>393</v>
      </c>
      <c r="AN2656">
        <v>13308</v>
      </c>
      <c r="AO2656">
        <v>0.31</v>
      </c>
      <c r="AP2656">
        <v>1</v>
      </c>
      <c r="AR2656">
        <v>1</v>
      </c>
      <c r="AS2656" s="1">
        <v>22050</v>
      </c>
      <c r="AT2656" s="1">
        <v>4410</v>
      </c>
      <c r="AU2656" s="1">
        <v>17640</v>
      </c>
      <c r="AV2656">
        <v>80</v>
      </c>
      <c r="AX2656" s="1">
        <v>1663.02</v>
      </c>
      <c r="AY2656" t="s">
        <v>8680</v>
      </c>
      <c r="AZ2656" t="s">
        <v>8680</v>
      </c>
      <c r="BA2656" t="s">
        <v>8681</v>
      </c>
      <c r="BE2656" s="3">
        <v>42132</v>
      </c>
      <c r="BF2656" s="1">
        <v>215000</v>
      </c>
      <c r="BG2656" t="s">
        <v>17621</v>
      </c>
      <c r="BH2656" s="1">
        <v>98.62</v>
      </c>
      <c r="BI2656" s="1">
        <v>215000</v>
      </c>
      <c r="BJ2656" s="3">
        <v>42132</v>
      </c>
      <c r="BK2656" t="s">
        <v>123</v>
      </c>
      <c r="BL2656" t="str">
        <f>"2015.326142"</f>
        <v>2015.326142</v>
      </c>
      <c r="BM2656" t="s">
        <v>150</v>
      </c>
      <c r="BO2656" t="s">
        <v>17622</v>
      </c>
      <c r="BS2656">
        <v>30</v>
      </c>
      <c r="BW2656" t="str">
        <f>""</f>
        <v/>
      </c>
      <c r="CH2656" t="str">
        <f>""</f>
        <v/>
      </c>
      <c r="CS2656" t="str">
        <f>""</f>
        <v/>
      </c>
    </row>
    <row r="2657" spans="1:97" x14ac:dyDescent="0.25">
      <c r="B2657" t="s">
        <v>17623</v>
      </c>
      <c r="E2657" t="s">
        <v>17623</v>
      </c>
      <c r="F2657" t="s">
        <v>282</v>
      </c>
      <c r="H2657" t="s">
        <v>17624</v>
      </c>
      <c r="I2657" t="s">
        <v>390</v>
      </c>
      <c r="J2657" t="s">
        <v>111</v>
      </c>
      <c r="K2657" t="str">
        <f>"85028"</f>
        <v>85028</v>
      </c>
      <c r="L2657" t="s">
        <v>6169</v>
      </c>
      <c r="M2657" t="s">
        <v>17625</v>
      </c>
      <c r="N2657" t="s">
        <v>390</v>
      </c>
      <c r="O2657" t="s">
        <v>111</v>
      </c>
      <c r="P2657" t="str">
        <f>"85032-7771"</f>
        <v>85032-7771</v>
      </c>
      <c r="Q2657" t="s">
        <v>113</v>
      </c>
      <c r="R2657" t="str">
        <f>"166-50-010"</f>
        <v>166-50-010</v>
      </c>
      <c r="S2657" t="s">
        <v>17626</v>
      </c>
      <c r="T2657" t="s">
        <v>17626</v>
      </c>
      <c r="U2657">
        <v>1844</v>
      </c>
      <c r="V2657">
        <v>0</v>
      </c>
      <c r="W2657">
        <v>2</v>
      </c>
      <c r="X2657">
        <v>1962</v>
      </c>
      <c r="Z2657">
        <v>1</v>
      </c>
      <c r="AA2657" t="s">
        <v>26</v>
      </c>
      <c r="AB2657">
        <v>0</v>
      </c>
      <c r="AC2657" t="s">
        <v>115</v>
      </c>
      <c r="AD2657">
        <v>2</v>
      </c>
      <c r="AE2657" t="s">
        <v>115</v>
      </c>
      <c r="AF2657">
        <v>0</v>
      </c>
      <c r="AG2657">
        <v>0</v>
      </c>
      <c r="AH2657" t="s">
        <v>116</v>
      </c>
      <c r="AI2657" s="1">
        <v>98077</v>
      </c>
      <c r="AJ2657" s="2">
        <v>0.3</v>
      </c>
      <c r="AK2657" s="1">
        <v>325773</v>
      </c>
      <c r="AL2657" t="s">
        <v>117</v>
      </c>
      <c r="AM2657" t="s">
        <v>171</v>
      </c>
      <c r="AN2657">
        <v>7033</v>
      </c>
      <c r="AO2657">
        <v>0.16</v>
      </c>
      <c r="AP2657">
        <v>1</v>
      </c>
      <c r="AR2657">
        <v>1</v>
      </c>
      <c r="AS2657" s="1">
        <v>22510</v>
      </c>
      <c r="AT2657" s="1">
        <v>4500</v>
      </c>
      <c r="AU2657" s="1">
        <v>18010</v>
      </c>
      <c r="AV2657">
        <v>80.010000000000005</v>
      </c>
      <c r="AX2657" s="1">
        <v>1688.7</v>
      </c>
      <c r="AY2657" t="s">
        <v>9580</v>
      </c>
      <c r="AZ2657" t="s">
        <v>5489</v>
      </c>
      <c r="BA2657" t="s">
        <v>5232</v>
      </c>
      <c r="BB2657" s="3">
        <v>43039</v>
      </c>
      <c r="BD2657" t="s">
        <v>157</v>
      </c>
      <c r="BE2657" s="3">
        <v>41941</v>
      </c>
      <c r="BF2657" s="1">
        <v>236000</v>
      </c>
      <c r="BG2657" t="s">
        <v>17627</v>
      </c>
      <c r="BH2657" s="1">
        <v>127.91</v>
      </c>
      <c r="BI2657" s="1">
        <v>227696</v>
      </c>
      <c r="BJ2657" s="3">
        <v>42620</v>
      </c>
      <c r="BK2657" t="s">
        <v>123</v>
      </c>
      <c r="BL2657" t="str">
        <f>"2016.645125"</f>
        <v>2016.645125</v>
      </c>
      <c r="BM2657" t="s">
        <v>402</v>
      </c>
      <c r="BO2657" t="s">
        <v>17628</v>
      </c>
      <c r="BS2657">
        <v>30</v>
      </c>
      <c r="BW2657" t="str">
        <f>""</f>
        <v/>
      </c>
      <c r="CH2657" t="str">
        <f>""</f>
        <v/>
      </c>
      <c r="CS2657" t="str">
        <f>""</f>
        <v/>
      </c>
    </row>
    <row r="2658" spans="1:97" x14ac:dyDescent="0.25">
      <c r="A2658" t="s">
        <v>2045</v>
      </c>
      <c r="B2658" t="s">
        <v>17629</v>
      </c>
      <c r="C2658" t="s">
        <v>348</v>
      </c>
      <c r="D2658" t="s">
        <v>2762</v>
      </c>
      <c r="E2658" t="s">
        <v>17630</v>
      </c>
      <c r="F2658" t="s">
        <v>108</v>
      </c>
      <c r="H2658" t="s">
        <v>17631</v>
      </c>
      <c r="I2658" t="s">
        <v>632</v>
      </c>
      <c r="J2658" t="s">
        <v>111</v>
      </c>
      <c r="K2658" t="str">
        <f>"85379"</f>
        <v>85379</v>
      </c>
      <c r="L2658" t="s">
        <v>5816</v>
      </c>
      <c r="M2658" t="s">
        <v>17631</v>
      </c>
      <c r="N2658" t="s">
        <v>632</v>
      </c>
      <c r="O2658" t="s">
        <v>111</v>
      </c>
      <c r="P2658" t="str">
        <f>"85379-8621"</f>
        <v>85379-8621</v>
      </c>
      <c r="Q2658" t="s">
        <v>113</v>
      </c>
      <c r="R2658" t="str">
        <f>"509-17-435"</f>
        <v>509-17-435</v>
      </c>
      <c r="S2658" t="s">
        <v>17632</v>
      </c>
      <c r="U2658">
        <v>2530</v>
      </c>
      <c r="V2658">
        <v>0</v>
      </c>
      <c r="W2658">
        <v>4</v>
      </c>
      <c r="X2658">
        <v>2005</v>
      </c>
      <c r="Z2658">
        <v>2</v>
      </c>
      <c r="AB2658">
        <v>0</v>
      </c>
      <c r="AC2658" t="s">
        <v>115</v>
      </c>
      <c r="AD2658">
        <v>3</v>
      </c>
      <c r="AE2658" t="s">
        <v>115</v>
      </c>
      <c r="AF2658">
        <v>0</v>
      </c>
      <c r="AG2658">
        <v>0</v>
      </c>
      <c r="AH2658" t="s">
        <v>116</v>
      </c>
      <c r="AI2658" s="1">
        <v>66161</v>
      </c>
      <c r="AJ2658" s="2">
        <v>0.23</v>
      </c>
      <c r="AK2658" s="1">
        <v>288127</v>
      </c>
      <c r="AL2658" t="s">
        <v>117</v>
      </c>
      <c r="AM2658" t="s">
        <v>118</v>
      </c>
      <c r="AN2658">
        <v>6228</v>
      </c>
      <c r="AO2658">
        <v>0.14000000000000001</v>
      </c>
      <c r="AR2658">
        <v>1</v>
      </c>
      <c r="AS2658" s="1">
        <v>20710</v>
      </c>
      <c r="AT2658" s="1">
        <v>4140</v>
      </c>
      <c r="AU2658" s="1">
        <v>16570</v>
      </c>
      <c r="AV2658">
        <v>80.010000000000005</v>
      </c>
      <c r="AX2658" s="1">
        <v>1539.96</v>
      </c>
      <c r="AY2658" t="s">
        <v>634</v>
      </c>
      <c r="AZ2658" t="s">
        <v>634</v>
      </c>
      <c r="BA2658" t="s">
        <v>321</v>
      </c>
      <c r="BE2658" s="3">
        <v>42025</v>
      </c>
      <c r="BF2658" s="1">
        <v>192500</v>
      </c>
      <c r="BG2658" t="s">
        <v>16011</v>
      </c>
      <c r="BH2658" s="1">
        <v>76.09</v>
      </c>
      <c r="BI2658" s="1">
        <v>221966</v>
      </c>
      <c r="BJ2658" s="3">
        <v>42683</v>
      </c>
      <c r="BK2658" t="s">
        <v>123</v>
      </c>
      <c r="BL2658" t="str">
        <f>"2016.828607"</f>
        <v>2016.828607</v>
      </c>
      <c r="BM2658" t="s">
        <v>903</v>
      </c>
      <c r="BO2658" t="s">
        <v>17633</v>
      </c>
      <c r="BS2658">
        <v>30</v>
      </c>
      <c r="BW2658" t="str">
        <f>""</f>
        <v/>
      </c>
      <c r="CH2658" t="str">
        <f>""</f>
        <v/>
      </c>
      <c r="CS2658" t="str">
        <f>""</f>
        <v/>
      </c>
    </row>
    <row r="2659" spans="1:97" x14ac:dyDescent="0.25">
      <c r="A2659" t="s">
        <v>894</v>
      </c>
      <c r="B2659" t="s">
        <v>17634</v>
      </c>
      <c r="C2659" t="s">
        <v>15429</v>
      </c>
      <c r="D2659" t="s">
        <v>17634</v>
      </c>
      <c r="E2659" t="s">
        <v>17635</v>
      </c>
      <c r="F2659" t="s">
        <v>108</v>
      </c>
      <c r="H2659" t="s">
        <v>17636</v>
      </c>
      <c r="I2659" t="s">
        <v>225</v>
      </c>
      <c r="J2659" t="s">
        <v>111</v>
      </c>
      <c r="K2659" t="str">
        <f>"85204"</f>
        <v>85204</v>
      </c>
      <c r="L2659" t="s">
        <v>1518</v>
      </c>
      <c r="M2659" t="s">
        <v>17636</v>
      </c>
      <c r="N2659" t="s">
        <v>225</v>
      </c>
      <c r="O2659" t="s">
        <v>111</v>
      </c>
      <c r="P2659" t="str">
        <f>"85204-3627"</f>
        <v>85204-3627</v>
      </c>
      <c r="R2659" t="str">
        <f>"139-56-019"</f>
        <v>139-56-019</v>
      </c>
      <c r="S2659" t="s">
        <v>17637</v>
      </c>
      <c r="T2659" t="s">
        <v>17637</v>
      </c>
      <c r="U2659">
        <v>3340</v>
      </c>
      <c r="V2659">
        <v>0</v>
      </c>
      <c r="W2659">
        <v>4</v>
      </c>
      <c r="X2659">
        <v>1973</v>
      </c>
      <c r="Z2659">
        <v>1</v>
      </c>
      <c r="AA2659" t="s">
        <v>26</v>
      </c>
      <c r="AB2659">
        <v>0</v>
      </c>
      <c r="AC2659" t="s">
        <v>115</v>
      </c>
      <c r="AD2659">
        <v>2</v>
      </c>
      <c r="AE2659" t="s">
        <v>115</v>
      </c>
      <c r="AF2659">
        <v>0</v>
      </c>
      <c r="AG2659">
        <v>0</v>
      </c>
      <c r="AH2659" t="s">
        <v>116</v>
      </c>
      <c r="AI2659" s="1">
        <v>420364</v>
      </c>
      <c r="AJ2659" s="2">
        <v>1</v>
      </c>
      <c r="AK2659" s="1">
        <v>420364</v>
      </c>
      <c r="AL2659" t="s">
        <v>117</v>
      </c>
      <c r="AM2659" t="s">
        <v>191</v>
      </c>
      <c r="AN2659">
        <v>14871</v>
      </c>
      <c r="AO2659">
        <v>0.34</v>
      </c>
      <c r="AP2659">
        <v>1</v>
      </c>
      <c r="AR2659">
        <v>1</v>
      </c>
      <c r="AS2659" s="1">
        <v>30020</v>
      </c>
      <c r="AT2659" s="1">
        <v>6000</v>
      </c>
      <c r="AU2659" s="1">
        <v>24020</v>
      </c>
      <c r="AV2659">
        <v>80.010000000000005</v>
      </c>
      <c r="AX2659" s="1">
        <v>1795.94</v>
      </c>
      <c r="AY2659" t="s">
        <v>17638</v>
      </c>
      <c r="AZ2659" t="s">
        <v>5158</v>
      </c>
      <c r="BA2659" t="s">
        <v>5159</v>
      </c>
      <c r="BE2659" s="3">
        <v>41929</v>
      </c>
      <c r="BF2659" s="1">
        <v>299000</v>
      </c>
      <c r="BG2659" t="s">
        <v>17639</v>
      </c>
      <c r="BH2659" s="1">
        <v>89.52</v>
      </c>
      <c r="BI2659" s="1">
        <v>299195</v>
      </c>
      <c r="BJ2659" s="3">
        <v>42983</v>
      </c>
      <c r="BK2659" t="s">
        <v>123</v>
      </c>
      <c r="BL2659" t="str">
        <f>"2017.656751"</f>
        <v>2017.656751</v>
      </c>
      <c r="BM2659" t="s">
        <v>799</v>
      </c>
      <c r="BN2659">
        <v>84042</v>
      </c>
      <c r="BO2659" t="s">
        <v>17640</v>
      </c>
      <c r="BP2659" t="s">
        <v>17641</v>
      </c>
      <c r="BQ2659" t="str">
        <f>"2.2500%"</f>
        <v>2.2500%</v>
      </c>
      <c r="BR2659" t="s">
        <v>1480</v>
      </c>
      <c r="BS2659">
        <v>30</v>
      </c>
      <c r="BW2659" t="str">
        <f>""</f>
        <v/>
      </c>
      <c r="CH2659" t="str">
        <f>""</f>
        <v/>
      </c>
      <c r="CS2659" t="str">
        <f>""</f>
        <v/>
      </c>
    </row>
    <row r="2660" spans="1:97" x14ac:dyDescent="0.25">
      <c r="B2660" t="s">
        <v>17642</v>
      </c>
      <c r="C2660" t="s">
        <v>17643</v>
      </c>
      <c r="E2660" t="s">
        <v>4320</v>
      </c>
      <c r="F2660" t="s">
        <v>108</v>
      </c>
      <c r="H2660" t="s">
        <v>17644</v>
      </c>
      <c r="I2660" t="s">
        <v>225</v>
      </c>
      <c r="J2660" t="s">
        <v>111</v>
      </c>
      <c r="K2660" t="str">
        <f>"85209"</f>
        <v>85209</v>
      </c>
      <c r="L2660" t="s">
        <v>8146</v>
      </c>
      <c r="M2660" t="s">
        <v>17644</v>
      </c>
      <c r="N2660" t="s">
        <v>225</v>
      </c>
      <c r="O2660" t="s">
        <v>111</v>
      </c>
      <c r="P2660" t="str">
        <f>"85209-6612"</f>
        <v>85209-6612</v>
      </c>
      <c r="Q2660" t="s">
        <v>113</v>
      </c>
      <c r="R2660" t="str">
        <f>"309-07-832"</f>
        <v>309-07-832</v>
      </c>
      <c r="S2660" t="s">
        <v>14921</v>
      </c>
      <c r="T2660" t="s">
        <v>6551</v>
      </c>
      <c r="U2660">
        <v>1642</v>
      </c>
      <c r="V2660">
        <v>0</v>
      </c>
      <c r="W2660">
        <v>3</v>
      </c>
      <c r="X2660">
        <v>1995</v>
      </c>
      <c r="Z2660">
        <v>1</v>
      </c>
      <c r="AB2660">
        <v>0</v>
      </c>
      <c r="AC2660" t="s">
        <v>115</v>
      </c>
      <c r="AD2660">
        <v>2</v>
      </c>
      <c r="AE2660" t="s">
        <v>115</v>
      </c>
      <c r="AF2660">
        <v>0</v>
      </c>
      <c r="AG2660">
        <v>0</v>
      </c>
      <c r="AH2660" t="s">
        <v>116</v>
      </c>
      <c r="AI2660" s="1">
        <v>59721</v>
      </c>
      <c r="AJ2660" s="2">
        <v>0.21</v>
      </c>
      <c r="AK2660" s="1">
        <v>287921</v>
      </c>
      <c r="AL2660" t="s">
        <v>117</v>
      </c>
      <c r="AM2660" t="s">
        <v>191</v>
      </c>
      <c r="AN2660">
        <v>6608</v>
      </c>
      <c r="AO2660">
        <v>0.15</v>
      </c>
      <c r="AP2660">
        <v>1</v>
      </c>
      <c r="AR2660">
        <v>1</v>
      </c>
      <c r="AS2660" s="1">
        <v>19630</v>
      </c>
      <c r="AT2660" s="1">
        <v>3920</v>
      </c>
      <c r="AU2660" s="1">
        <v>15710</v>
      </c>
      <c r="AV2660">
        <v>80.03</v>
      </c>
      <c r="AX2660" s="1">
        <v>1323.22</v>
      </c>
      <c r="AY2660" t="s">
        <v>6552</v>
      </c>
      <c r="AZ2660" t="s">
        <v>571</v>
      </c>
      <c r="BA2660" t="s">
        <v>572</v>
      </c>
      <c r="BB2660" s="3">
        <v>43538</v>
      </c>
      <c r="BC2660" s="1">
        <v>0</v>
      </c>
      <c r="BD2660" t="s">
        <v>247</v>
      </c>
      <c r="BE2660" s="3">
        <v>42492</v>
      </c>
      <c r="BF2660" s="1">
        <v>222900</v>
      </c>
      <c r="BG2660" t="s">
        <v>17645</v>
      </c>
      <c r="BH2660" s="1">
        <v>135.75</v>
      </c>
      <c r="BI2660" s="1">
        <v>228200</v>
      </c>
      <c r="BJ2660" s="3">
        <v>42492</v>
      </c>
      <c r="BK2660" t="s">
        <v>123</v>
      </c>
      <c r="BL2660" t="str">
        <f>"2016.296626"</f>
        <v>2016.296626</v>
      </c>
      <c r="BM2660" t="s">
        <v>124</v>
      </c>
      <c r="BN2660" t="s">
        <v>1575</v>
      </c>
      <c r="BO2660" t="s">
        <v>17646</v>
      </c>
      <c r="BS2660">
        <v>30</v>
      </c>
      <c r="BW2660" t="str">
        <f>""</f>
        <v/>
      </c>
      <c r="CH2660" t="str">
        <f>""</f>
        <v/>
      </c>
      <c r="CS2660" t="str">
        <f>""</f>
        <v/>
      </c>
    </row>
    <row r="2661" spans="1:97" x14ac:dyDescent="0.25">
      <c r="A2661" t="s">
        <v>17647</v>
      </c>
      <c r="B2661" t="s">
        <v>1047</v>
      </c>
      <c r="C2661" t="s">
        <v>1692</v>
      </c>
      <c r="D2661" t="s">
        <v>1047</v>
      </c>
      <c r="E2661" t="s">
        <v>17648</v>
      </c>
      <c r="F2661" t="s">
        <v>108</v>
      </c>
      <c r="H2661" t="s">
        <v>17649</v>
      </c>
      <c r="I2661" t="s">
        <v>1936</v>
      </c>
      <c r="J2661" t="s">
        <v>111</v>
      </c>
      <c r="K2661" t="str">
        <f>"85254"</f>
        <v>85254</v>
      </c>
      <c r="L2661" t="s">
        <v>5106</v>
      </c>
      <c r="M2661" t="s">
        <v>17649</v>
      </c>
      <c r="N2661" t="s">
        <v>1936</v>
      </c>
      <c r="O2661" t="s">
        <v>111</v>
      </c>
      <c r="P2661" t="str">
        <f>"85254-2340"</f>
        <v>85254-2340</v>
      </c>
      <c r="Q2661" t="s">
        <v>113</v>
      </c>
      <c r="R2661" t="str">
        <f>"215-66-187"</f>
        <v>215-66-187</v>
      </c>
      <c r="S2661" t="s">
        <v>17650</v>
      </c>
      <c r="T2661" t="s">
        <v>17651</v>
      </c>
      <c r="U2661">
        <v>2158</v>
      </c>
      <c r="V2661">
        <v>0</v>
      </c>
      <c r="W2661">
        <v>3</v>
      </c>
      <c r="X2661">
        <v>1979</v>
      </c>
      <c r="Z2661">
        <v>1</v>
      </c>
      <c r="AA2661" t="s">
        <v>26</v>
      </c>
      <c r="AB2661">
        <v>0</v>
      </c>
      <c r="AC2661" t="s">
        <v>115</v>
      </c>
      <c r="AD2661">
        <v>2</v>
      </c>
      <c r="AE2661" t="s">
        <v>115</v>
      </c>
      <c r="AF2661">
        <v>0</v>
      </c>
      <c r="AG2661">
        <v>0</v>
      </c>
      <c r="AH2661" t="s">
        <v>116</v>
      </c>
      <c r="AI2661" s="1">
        <v>74811</v>
      </c>
      <c r="AJ2661" s="2">
        <v>0.16</v>
      </c>
      <c r="AK2661" s="1">
        <v>474811</v>
      </c>
      <c r="AL2661" t="s">
        <v>117</v>
      </c>
      <c r="AM2661" t="s">
        <v>1302</v>
      </c>
      <c r="AN2661">
        <v>10930</v>
      </c>
      <c r="AO2661">
        <v>0.25</v>
      </c>
      <c r="AP2661">
        <v>1</v>
      </c>
      <c r="AR2661">
        <v>1</v>
      </c>
      <c r="AS2661" s="1">
        <v>34030</v>
      </c>
      <c r="AT2661" s="1">
        <v>6800</v>
      </c>
      <c r="AU2661" s="1">
        <v>27230</v>
      </c>
      <c r="AV2661">
        <v>80.02</v>
      </c>
      <c r="AX2661" s="1">
        <v>2989.72</v>
      </c>
      <c r="AY2661" t="s">
        <v>2767</v>
      </c>
      <c r="AZ2661" t="s">
        <v>1317</v>
      </c>
      <c r="BA2661" t="s">
        <v>6302</v>
      </c>
      <c r="BE2661" s="3">
        <v>41723</v>
      </c>
      <c r="BF2661" s="1">
        <v>346250</v>
      </c>
      <c r="BG2661" t="s">
        <v>5682</v>
      </c>
      <c r="BH2661" s="1">
        <v>160.44999999999999</v>
      </c>
      <c r="BI2661" s="1">
        <v>400000</v>
      </c>
      <c r="BJ2661" s="3">
        <v>42522</v>
      </c>
      <c r="BK2661" t="s">
        <v>123</v>
      </c>
      <c r="BL2661" t="str">
        <f>"2016.377437"</f>
        <v>2016.377437</v>
      </c>
      <c r="BM2661" t="s">
        <v>402</v>
      </c>
      <c r="BO2661" t="s">
        <v>17652</v>
      </c>
      <c r="BS2661">
        <v>30</v>
      </c>
      <c r="BW2661" t="str">
        <f>""</f>
        <v/>
      </c>
      <c r="CH2661" t="str">
        <f>""</f>
        <v/>
      </c>
      <c r="CS2661" t="str">
        <f>""</f>
        <v/>
      </c>
    </row>
    <row r="2662" spans="1:97" x14ac:dyDescent="0.25">
      <c r="A2662" t="s">
        <v>639</v>
      </c>
      <c r="B2662" t="s">
        <v>4527</v>
      </c>
      <c r="C2662" t="s">
        <v>3682</v>
      </c>
      <c r="D2662" t="s">
        <v>4527</v>
      </c>
      <c r="E2662" t="s">
        <v>17653</v>
      </c>
      <c r="F2662" t="s">
        <v>108</v>
      </c>
      <c r="H2662" t="s">
        <v>17654</v>
      </c>
      <c r="I2662" t="s">
        <v>632</v>
      </c>
      <c r="J2662" t="s">
        <v>111</v>
      </c>
      <c r="K2662" t="str">
        <f>"85387"</f>
        <v>85387</v>
      </c>
      <c r="L2662" t="s">
        <v>6529</v>
      </c>
      <c r="M2662" t="s">
        <v>17654</v>
      </c>
      <c r="N2662" t="s">
        <v>632</v>
      </c>
      <c r="O2662" t="s">
        <v>111</v>
      </c>
      <c r="P2662" t="str">
        <f>"85387-1127"</f>
        <v>85387-1127</v>
      </c>
      <c r="Q2662" t="s">
        <v>113</v>
      </c>
      <c r="R2662" t="str">
        <f>"503-96-904"</f>
        <v>503-96-904</v>
      </c>
      <c r="S2662" t="s">
        <v>17655</v>
      </c>
      <c r="T2662" t="s">
        <v>5498</v>
      </c>
      <c r="U2662">
        <v>2337</v>
      </c>
      <c r="V2662">
        <v>0</v>
      </c>
      <c r="W2662">
        <v>3</v>
      </c>
      <c r="X2662">
        <v>2008</v>
      </c>
      <c r="Z2662">
        <v>1</v>
      </c>
      <c r="AB2662">
        <v>0</v>
      </c>
      <c r="AC2662" t="s">
        <v>115</v>
      </c>
      <c r="AD2662">
        <v>3</v>
      </c>
      <c r="AE2662" t="s">
        <v>115</v>
      </c>
      <c r="AF2662">
        <v>0</v>
      </c>
      <c r="AG2662">
        <v>0</v>
      </c>
      <c r="AH2662" t="s">
        <v>116</v>
      </c>
      <c r="AI2662" s="1">
        <v>55516</v>
      </c>
      <c r="AJ2662" s="2">
        <v>0.2</v>
      </c>
      <c r="AK2662" s="1">
        <v>282672</v>
      </c>
      <c r="AL2662" t="s">
        <v>117</v>
      </c>
      <c r="AM2662" t="s">
        <v>118</v>
      </c>
      <c r="AN2662">
        <v>8330</v>
      </c>
      <c r="AO2662">
        <v>0.19</v>
      </c>
      <c r="AP2662">
        <v>1</v>
      </c>
      <c r="AR2662">
        <v>1</v>
      </c>
      <c r="AS2662" s="1">
        <v>19770</v>
      </c>
      <c r="AT2662" s="1">
        <v>3950</v>
      </c>
      <c r="AU2662" s="1">
        <v>15820</v>
      </c>
      <c r="AV2662">
        <v>80.02</v>
      </c>
      <c r="AX2662" s="1">
        <v>1142.22</v>
      </c>
      <c r="AY2662" t="s">
        <v>5499</v>
      </c>
      <c r="AZ2662" t="s">
        <v>5499</v>
      </c>
      <c r="BE2662" s="3">
        <v>42444</v>
      </c>
      <c r="BF2662" s="1">
        <v>219900</v>
      </c>
      <c r="BG2662" t="s">
        <v>17656</v>
      </c>
      <c r="BH2662" s="1">
        <v>94.09</v>
      </c>
      <c r="BI2662" s="1">
        <v>227156</v>
      </c>
      <c r="BJ2662" s="3">
        <v>42444</v>
      </c>
      <c r="BK2662" t="s">
        <v>123</v>
      </c>
      <c r="BL2662" t="str">
        <f>"2016.167157"</f>
        <v>2016.167157</v>
      </c>
      <c r="BM2662" t="s">
        <v>2683</v>
      </c>
      <c r="BO2662" t="s">
        <v>17657</v>
      </c>
      <c r="BS2662">
        <v>30</v>
      </c>
      <c r="BW2662" t="str">
        <f>""</f>
        <v/>
      </c>
      <c r="CH2662" t="str">
        <f>""</f>
        <v/>
      </c>
      <c r="CS2662" t="str">
        <f>""</f>
        <v/>
      </c>
    </row>
    <row r="2663" spans="1:97" x14ac:dyDescent="0.25">
      <c r="A2663" t="s">
        <v>140</v>
      </c>
      <c r="B2663" t="s">
        <v>17658</v>
      </c>
      <c r="C2663" t="s">
        <v>328</v>
      </c>
      <c r="D2663" t="s">
        <v>17658</v>
      </c>
      <c r="E2663" t="s">
        <v>17659</v>
      </c>
      <c r="F2663" t="s">
        <v>108</v>
      </c>
      <c r="H2663" t="s">
        <v>17660</v>
      </c>
      <c r="I2663" t="s">
        <v>632</v>
      </c>
      <c r="J2663" t="s">
        <v>111</v>
      </c>
      <c r="K2663" t="str">
        <f>"85387"</f>
        <v>85387</v>
      </c>
      <c r="L2663" t="s">
        <v>6529</v>
      </c>
      <c r="M2663" t="s">
        <v>17660</v>
      </c>
      <c r="N2663" t="s">
        <v>632</v>
      </c>
      <c r="O2663" t="s">
        <v>111</v>
      </c>
      <c r="P2663" t="str">
        <f>"85387-1021"</f>
        <v>85387-1021</v>
      </c>
      <c r="Q2663" t="s">
        <v>113</v>
      </c>
      <c r="R2663" t="str">
        <f>"503-51-727"</f>
        <v>503-51-727</v>
      </c>
      <c r="S2663" t="s">
        <v>17661</v>
      </c>
      <c r="T2663" t="s">
        <v>5498</v>
      </c>
      <c r="U2663">
        <v>2678</v>
      </c>
      <c r="V2663">
        <v>0</v>
      </c>
      <c r="W2663">
        <v>4</v>
      </c>
      <c r="X2663">
        <v>2007</v>
      </c>
      <c r="Z2663">
        <v>2</v>
      </c>
      <c r="AB2663">
        <v>0</v>
      </c>
      <c r="AC2663" t="s">
        <v>115</v>
      </c>
      <c r="AD2663">
        <v>3</v>
      </c>
      <c r="AE2663" t="s">
        <v>115</v>
      </c>
      <c r="AF2663">
        <v>0</v>
      </c>
      <c r="AG2663">
        <v>0</v>
      </c>
      <c r="AH2663" t="s">
        <v>116</v>
      </c>
      <c r="AI2663" s="1">
        <v>84309</v>
      </c>
      <c r="AJ2663" s="2">
        <v>0.3</v>
      </c>
      <c r="AK2663" s="1">
        <v>285744</v>
      </c>
      <c r="AL2663" t="s">
        <v>117</v>
      </c>
      <c r="AM2663" t="s">
        <v>118</v>
      </c>
      <c r="AN2663">
        <v>7475</v>
      </c>
      <c r="AO2663">
        <v>0.17</v>
      </c>
      <c r="AP2663">
        <v>1</v>
      </c>
      <c r="AR2663">
        <v>1</v>
      </c>
      <c r="AS2663" s="1">
        <v>19450</v>
      </c>
      <c r="AT2663" s="1">
        <v>3890</v>
      </c>
      <c r="AU2663" s="1">
        <v>15560</v>
      </c>
      <c r="AV2663">
        <v>80</v>
      </c>
      <c r="AX2663" s="1">
        <v>1124.1600000000001</v>
      </c>
      <c r="AY2663" t="s">
        <v>5499</v>
      </c>
      <c r="AZ2663" t="s">
        <v>5499</v>
      </c>
      <c r="BE2663" s="3">
        <v>42062</v>
      </c>
      <c r="BF2663" s="1">
        <v>197500</v>
      </c>
      <c r="BG2663" t="s">
        <v>17662</v>
      </c>
      <c r="BH2663" s="1">
        <v>73.75</v>
      </c>
      <c r="BI2663" s="1">
        <v>201435</v>
      </c>
      <c r="BJ2663" s="3">
        <v>42062</v>
      </c>
      <c r="BK2663" t="s">
        <v>123</v>
      </c>
      <c r="BL2663" t="str">
        <f>"2015.132757"</f>
        <v>2015.132757</v>
      </c>
      <c r="BM2663" t="s">
        <v>475</v>
      </c>
      <c r="BO2663" t="s">
        <v>17663</v>
      </c>
      <c r="BS2663">
        <v>30</v>
      </c>
      <c r="BW2663" t="str">
        <f>""</f>
        <v/>
      </c>
      <c r="CH2663" t="str">
        <f>""</f>
        <v/>
      </c>
      <c r="CS2663" t="str">
        <f>""</f>
        <v/>
      </c>
    </row>
    <row r="2664" spans="1:97" x14ac:dyDescent="0.25">
      <c r="A2664" t="s">
        <v>2045</v>
      </c>
      <c r="B2664" t="s">
        <v>17664</v>
      </c>
      <c r="C2664" t="s">
        <v>2852</v>
      </c>
      <c r="D2664" t="s">
        <v>16905</v>
      </c>
      <c r="E2664" t="s">
        <v>17665</v>
      </c>
      <c r="F2664" t="s">
        <v>108</v>
      </c>
      <c r="H2664" t="s">
        <v>17666</v>
      </c>
      <c r="I2664" t="s">
        <v>5387</v>
      </c>
      <c r="J2664" t="s">
        <v>111</v>
      </c>
      <c r="K2664" t="str">
        <f>"85283"</f>
        <v>85283</v>
      </c>
      <c r="L2664" t="s">
        <v>6983</v>
      </c>
      <c r="M2664" t="s">
        <v>17666</v>
      </c>
      <c r="N2664" t="s">
        <v>5387</v>
      </c>
      <c r="O2664" t="s">
        <v>111</v>
      </c>
      <c r="P2664" t="str">
        <f>"85283-2326"</f>
        <v>85283-2326</v>
      </c>
      <c r="Q2664" t="s">
        <v>113</v>
      </c>
      <c r="R2664" t="str">
        <f>"301-01-527"</f>
        <v>301-01-527</v>
      </c>
      <c r="S2664" t="s">
        <v>9738</v>
      </c>
      <c r="T2664" t="s">
        <v>11584</v>
      </c>
      <c r="U2664">
        <v>1566</v>
      </c>
      <c r="V2664">
        <v>0</v>
      </c>
      <c r="W2664">
        <v>2</v>
      </c>
      <c r="X2664">
        <v>1973</v>
      </c>
      <c r="Z2664">
        <v>1</v>
      </c>
      <c r="AA2664" t="s">
        <v>26</v>
      </c>
      <c r="AB2664">
        <v>0</v>
      </c>
      <c r="AC2664" t="s">
        <v>115</v>
      </c>
      <c r="AD2664">
        <v>2</v>
      </c>
      <c r="AE2664" t="s">
        <v>115</v>
      </c>
      <c r="AF2664">
        <v>0</v>
      </c>
      <c r="AG2664">
        <v>0</v>
      </c>
      <c r="AH2664" t="s">
        <v>116</v>
      </c>
      <c r="AI2664" s="1">
        <v>76756</v>
      </c>
      <c r="AJ2664" s="2">
        <v>0.23</v>
      </c>
      <c r="AK2664" s="1">
        <v>328483</v>
      </c>
      <c r="AL2664" t="s">
        <v>117</v>
      </c>
      <c r="AM2664" t="s">
        <v>191</v>
      </c>
      <c r="AN2664">
        <v>7353</v>
      </c>
      <c r="AO2664">
        <v>0.17</v>
      </c>
      <c r="AP2664">
        <v>1</v>
      </c>
      <c r="AR2664">
        <v>1</v>
      </c>
      <c r="AS2664" s="1">
        <v>22660</v>
      </c>
      <c r="AT2664" s="1">
        <v>4530</v>
      </c>
      <c r="AU2664" s="1">
        <v>18130</v>
      </c>
      <c r="AV2664">
        <v>80.010000000000005</v>
      </c>
      <c r="AX2664" s="1">
        <v>2050.04</v>
      </c>
      <c r="AY2664" t="s">
        <v>9740</v>
      </c>
      <c r="AZ2664" t="s">
        <v>6726</v>
      </c>
      <c r="BA2664" t="s">
        <v>5392</v>
      </c>
      <c r="BE2664" s="3">
        <v>42353</v>
      </c>
      <c r="BF2664" s="1">
        <v>249400</v>
      </c>
      <c r="BG2664" t="s">
        <v>17667</v>
      </c>
      <c r="BH2664" s="1">
        <v>159.26</v>
      </c>
      <c r="BI2664" s="1">
        <v>251727</v>
      </c>
      <c r="BJ2664" s="3">
        <v>42639</v>
      </c>
      <c r="BK2664" t="s">
        <v>123</v>
      </c>
      <c r="BL2664" t="str">
        <f>"2016.696975"</f>
        <v>2016.696975</v>
      </c>
      <c r="BM2664" t="s">
        <v>5832</v>
      </c>
      <c r="BO2664" t="s">
        <v>17668</v>
      </c>
      <c r="BP2664" t="s">
        <v>17669</v>
      </c>
      <c r="BS2664">
        <v>30</v>
      </c>
      <c r="BW2664" t="str">
        <f>""</f>
        <v/>
      </c>
      <c r="CH2664" t="str">
        <f>""</f>
        <v/>
      </c>
      <c r="CS2664" t="str">
        <f>""</f>
        <v/>
      </c>
    </row>
    <row r="2665" spans="1:97" x14ac:dyDescent="0.25">
      <c r="A2665" t="s">
        <v>17670</v>
      </c>
      <c r="B2665" t="s">
        <v>17671</v>
      </c>
      <c r="C2665" t="s">
        <v>17672</v>
      </c>
      <c r="D2665" t="s">
        <v>17671</v>
      </c>
      <c r="E2665" t="s">
        <v>17673</v>
      </c>
      <c r="F2665" t="s">
        <v>108</v>
      </c>
      <c r="H2665" t="s">
        <v>17674</v>
      </c>
      <c r="I2665" t="s">
        <v>632</v>
      </c>
      <c r="J2665" t="s">
        <v>111</v>
      </c>
      <c r="K2665" t="str">
        <f>"85388"</f>
        <v>85388</v>
      </c>
      <c r="L2665" t="s">
        <v>4467</v>
      </c>
      <c r="M2665" t="s">
        <v>17674</v>
      </c>
      <c r="N2665" t="s">
        <v>632</v>
      </c>
      <c r="O2665" t="s">
        <v>111</v>
      </c>
      <c r="P2665" t="str">
        <f>"85388-7573"</f>
        <v>85388-7573</v>
      </c>
      <c r="Q2665" t="s">
        <v>113</v>
      </c>
      <c r="R2665" t="str">
        <f>"502-03-323"</f>
        <v>502-03-323</v>
      </c>
      <c r="S2665" t="s">
        <v>10706</v>
      </c>
      <c r="U2665">
        <v>2550</v>
      </c>
      <c r="V2665">
        <v>0</v>
      </c>
      <c r="W2665">
        <v>4</v>
      </c>
      <c r="X2665">
        <v>2005</v>
      </c>
      <c r="Z2665">
        <v>2</v>
      </c>
      <c r="AB2665">
        <v>0</v>
      </c>
      <c r="AC2665" t="s">
        <v>115</v>
      </c>
      <c r="AD2665">
        <v>3</v>
      </c>
      <c r="AE2665" t="s">
        <v>115</v>
      </c>
      <c r="AF2665">
        <v>0</v>
      </c>
      <c r="AG2665">
        <v>0</v>
      </c>
      <c r="AH2665" t="s">
        <v>116</v>
      </c>
      <c r="AI2665" s="1">
        <v>88358</v>
      </c>
      <c r="AJ2665" s="2">
        <v>0.28999999999999998</v>
      </c>
      <c r="AK2665" s="1">
        <v>301130</v>
      </c>
      <c r="AL2665" t="s">
        <v>117</v>
      </c>
      <c r="AM2665" t="s">
        <v>118</v>
      </c>
      <c r="AN2665">
        <v>7056</v>
      </c>
      <c r="AO2665">
        <v>0.16</v>
      </c>
      <c r="AR2665">
        <v>1</v>
      </c>
      <c r="AS2665" s="1">
        <v>21110</v>
      </c>
      <c r="AT2665" s="1">
        <v>4220</v>
      </c>
      <c r="AU2665" s="1">
        <v>16890</v>
      </c>
      <c r="AV2665">
        <v>80.010000000000005</v>
      </c>
      <c r="AX2665" s="1">
        <v>1630.34</v>
      </c>
      <c r="AY2665" t="s">
        <v>6262</v>
      </c>
      <c r="AZ2665" t="s">
        <v>6262</v>
      </c>
      <c r="BA2665" t="s">
        <v>5061</v>
      </c>
      <c r="BE2665" s="3">
        <v>42125</v>
      </c>
      <c r="BF2665" s="1">
        <v>208500</v>
      </c>
      <c r="BG2665" t="s">
        <v>17675</v>
      </c>
      <c r="BH2665" s="1">
        <v>81.760000000000005</v>
      </c>
      <c r="BI2665" s="1">
        <v>212772</v>
      </c>
      <c r="BJ2665" s="3">
        <v>42125</v>
      </c>
      <c r="BK2665" t="s">
        <v>123</v>
      </c>
      <c r="BL2665" t="str">
        <f>"2015.309550"</f>
        <v>2015.309550</v>
      </c>
      <c r="BM2665" t="s">
        <v>2716</v>
      </c>
      <c r="BO2665" t="s">
        <v>17676</v>
      </c>
      <c r="BS2665">
        <v>30</v>
      </c>
      <c r="BW2665" t="str">
        <f>""</f>
        <v/>
      </c>
      <c r="CH2665" t="str">
        <f>""</f>
        <v/>
      </c>
      <c r="CS2665" t="str">
        <f>""</f>
        <v/>
      </c>
    </row>
    <row r="2666" spans="1:97" x14ac:dyDescent="0.25">
      <c r="A2666" t="s">
        <v>1009</v>
      </c>
      <c r="B2666" t="s">
        <v>17677</v>
      </c>
      <c r="E2666" t="s">
        <v>17678</v>
      </c>
      <c r="F2666" t="s">
        <v>108</v>
      </c>
      <c r="H2666" t="s">
        <v>17679</v>
      </c>
      <c r="I2666" t="s">
        <v>1936</v>
      </c>
      <c r="J2666" t="s">
        <v>111</v>
      </c>
      <c r="K2666" t="str">
        <f>"85257"</f>
        <v>85257</v>
      </c>
      <c r="L2666" t="s">
        <v>5185</v>
      </c>
      <c r="M2666" t="s">
        <v>17679</v>
      </c>
      <c r="N2666" t="s">
        <v>1936</v>
      </c>
      <c r="O2666" t="s">
        <v>111</v>
      </c>
      <c r="P2666" t="str">
        <f>"85257-2139"</f>
        <v>85257-2139</v>
      </c>
      <c r="Q2666" t="s">
        <v>113</v>
      </c>
      <c r="R2666" t="str">
        <f>"131-18-065"</f>
        <v>131-18-065</v>
      </c>
      <c r="S2666" t="s">
        <v>17680</v>
      </c>
      <c r="T2666" t="s">
        <v>17681</v>
      </c>
      <c r="U2666">
        <v>1489</v>
      </c>
      <c r="V2666">
        <v>0</v>
      </c>
      <c r="W2666">
        <v>2</v>
      </c>
      <c r="X2666">
        <v>1957</v>
      </c>
      <c r="Z2666">
        <v>1</v>
      </c>
      <c r="AB2666">
        <v>0</v>
      </c>
      <c r="AC2666" t="s">
        <v>5188</v>
      </c>
      <c r="AD2666">
        <v>1</v>
      </c>
      <c r="AE2666" t="s">
        <v>5188</v>
      </c>
      <c r="AF2666">
        <v>0</v>
      </c>
      <c r="AG2666">
        <v>0</v>
      </c>
      <c r="AH2666" t="s">
        <v>116</v>
      </c>
      <c r="AI2666" s="1">
        <v>69637</v>
      </c>
      <c r="AJ2666" s="2">
        <v>0.19</v>
      </c>
      <c r="AK2666" s="1">
        <v>364042</v>
      </c>
      <c r="AL2666" t="s">
        <v>117</v>
      </c>
      <c r="AM2666" t="s">
        <v>393</v>
      </c>
      <c r="AN2666">
        <v>6900</v>
      </c>
      <c r="AO2666">
        <v>0.16</v>
      </c>
      <c r="AP2666">
        <v>1</v>
      </c>
      <c r="AR2666">
        <v>1</v>
      </c>
      <c r="AS2666" s="1">
        <v>24200</v>
      </c>
      <c r="AT2666" s="1">
        <v>4840</v>
      </c>
      <c r="AU2666" s="1">
        <v>19360</v>
      </c>
      <c r="AV2666">
        <v>80</v>
      </c>
      <c r="AX2666" s="1">
        <v>1183.0999999999999</v>
      </c>
      <c r="AY2666" t="s">
        <v>7031</v>
      </c>
      <c r="AZ2666" t="s">
        <v>5420</v>
      </c>
      <c r="BA2666" t="s">
        <v>5421</v>
      </c>
      <c r="BE2666" s="3">
        <v>42300</v>
      </c>
      <c r="BF2666" s="1">
        <v>285000</v>
      </c>
      <c r="BG2666" t="s">
        <v>17682</v>
      </c>
      <c r="BH2666" s="1">
        <v>191.4</v>
      </c>
      <c r="BI2666" s="1">
        <v>294405</v>
      </c>
      <c r="BJ2666" s="3">
        <v>42300</v>
      </c>
      <c r="BK2666" t="s">
        <v>123</v>
      </c>
      <c r="BL2666" t="str">
        <f>"2015.763937"</f>
        <v>2015.763937</v>
      </c>
      <c r="BM2666" t="s">
        <v>2683</v>
      </c>
      <c r="BO2666" t="s">
        <v>17683</v>
      </c>
      <c r="BS2666">
        <v>30</v>
      </c>
      <c r="BW2666" t="str">
        <f>""</f>
        <v/>
      </c>
      <c r="CH2666" t="str">
        <f>""</f>
        <v/>
      </c>
      <c r="CS2666" t="str">
        <f>""</f>
        <v/>
      </c>
    </row>
    <row r="2667" spans="1:97" x14ac:dyDescent="0.25">
      <c r="A2667" t="s">
        <v>17684</v>
      </c>
      <c r="B2667" t="s">
        <v>17685</v>
      </c>
      <c r="C2667" t="s">
        <v>17686</v>
      </c>
      <c r="D2667" t="s">
        <v>17685</v>
      </c>
      <c r="E2667" t="s">
        <v>17687</v>
      </c>
      <c r="F2667" t="s">
        <v>108</v>
      </c>
      <c r="H2667" t="s">
        <v>17688</v>
      </c>
      <c r="I2667" t="s">
        <v>499</v>
      </c>
      <c r="J2667" t="s">
        <v>111</v>
      </c>
      <c r="K2667" t="str">
        <f>"85338"</f>
        <v>85338</v>
      </c>
      <c r="L2667" t="s">
        <v>8146</v>
      </c>
      <c r="M2667" t="s">
        <v>17688</v>
      </c>
      <c r="N2667" t="s">
        <v>499</v>
      </c>
      <c r="O2667" t="s">
        <v>111</v>
      </c>
      <c r="P2667" t="str">
        <f>"85338-7501"</f>
        <v>85338-7501</v>
      </c>
      <c r="Q2667" t="s">
        <v>113</v>
      </c>
      <c r="R2667" t="str">
        <f>"502-44-183"</f>
        <v>502-44-183</v>
      </c>
      <c r="S2667" t="s">
        <v>5101</v>
      </c>
      <c r="T2667" t="s">
        <v>5102</v>
      </c>
      <c r="U2667">
        <v>3636</v>
      </c>
      <c r="V2667">
        <v>0</v>
      </c>
      <c r="W2667">
        <v>4</v>
      </c>
      <c r="X2667">
        <v>2014</v>
      </c>
      <c r="Z2667">
        <v>2</v>
      </c>
      <c r="AA2667" t="s">
        <v>26</v>
      </c>
      <c r="AB2667">
        <v>0</v>
      </c>
      <c r="AC2667" t="s">
        <v>115</v>
      </c>
      <c r="AD2667">
        <v>3</v>
      </c>
      <c r="AE2667" t="s">
        <v>115</v>
      </c>
      <c r="AF2667">
        <v>0</v>
      </c>
      <c r="AG2667">
        <v>0</v>
      </c>
      <c r="AH2667" t="s">
        <v>116</v>
      </c>
      <c r="AI2667" s="1">
        <v>59758</v>
      </c>
      <c r="AJ2667" s="2">
        <v>0.15</v>
      </c>
      <c r="AK2667" s="1">
        <v>396473</v>
      </c>
      <c r="AL2667" t="s">
        <v>117</v>
      </c>
      <c r="AM2667" t="s">
        <v>118</v>
      </c>
      <c r="AN2667">
        <v>8401</v>
      </c>
      <c r="AO2667">
        <v>0.19</v>
      </c>
      <c r="AR2667">
        <v>1</v>
      </c>
      <c r="AS2667" s="1">
        <v>29620</v>
      </c>
      <c r="AT2667" s="1">
        <v>5920</v>
      </c>
      <c r="AU2667" s="1">
        <v>23700</v>
      </c>
      <c r="AV2667">
        <v>80.010000000000005</v>
      </c>
      <c r="AX2667" s="1">
        <v>2705.02</v>
      </c>
      <c r="AY2667" t="s">
        <v>2767</v>
      </c>
      <c r="AZ2667" t="s">
        <v>2767</v>
      </c>
      <c r="BA2667" t="s">
        <v>1247</v>
      </c>
      <c r="BB2667" s="3">
        <v>42641</v>
      </c>
      <c r="BD2667" t="s">
        <v>458</v>
      </c>
      <c r="BE2667" s="3">
        <v>41820</v>
      </c>
      <c r="BF2667" s="1">
        <v>276007</v>
      </c>
      <c r="BG2667" t="s">
        <v>275</v>
      </c>
      <c r="BH2667" s="1">
        <v>75.91</v>
      </c>
      <c r="BI2667" s="1">
        <v>336715</v>
      </c>
      <c r="BJ2667" s="3">
        <v>43641</v>
      </c>
      <c r="BK2667" t="s">
        <v>123</v>
      </c>
      <c r="BL2667" t="str">
        <f>"2019.479072"</f>
        <v>2019.479072</v>
      </c>
      <c r="BM2667" t="s">
        <v>4672</v>
      </c>
      <c r="BN2667" t="s">
        <v>1922</v>
      </c>
      <c r="BO2667" t="s">
        <v>17689</v>
      </c>
      <c r="BP2667" t="s">
        <v>17690</v>
      </c>
      <c r="BR2667" t="s">
        <v>139</v>
      </c>
      <c r="BW2667" t="str">
        <f>""</f>
        <v/>
      </c>
      <c r="CH2667" t="str">
        <f>""</f>
        <v/>
      </c>
      <c r="CS2667" t="str">
        <f>""</f>
        <v/>
      </c>
    </row>
    <row r="2668" spans="1:97" x14ac:dyDescent="0.25">
      <c r="A2668" t="s">
        <v>17691</v>
      </c>
      <c r="B2668" t="s">
        <v>17692</v>
      </c>
      <c r="C2668" t="s">
        <v>220</v>
      </c>
      <c r="D2668" t="s">
        <v>17692</v>
      </c>
      <c r="E2668" t="s">
        <v>17693</v>
      </c>
      <c r="F2668" t="s">
        <v>108</v>
      </c>
      <c r="H2668" t="s">
        <v>17694</v>
      </c>
      <c r="I2668" t="s">
        <v>144</v>
      </c>
      <c r="J2668" t="s">
        <v>111</v>
      </c>
      <c r="K2668" t="str">
        <f>"85326"</f>
        <v>85326</v>
      </c>
      <c r="L2668" t="s">
        <v>6308</v>
      </c>
      <c r="M2668" t="s">
        <v>17694</v>
      </c>
      <c r="N2668" t="s">
        <v>144</v>
      </c>
      <c r="O2668" t="s">
        <v>111</v>
      </c>
      <c r="P2668" t="str">
        <f>"85326-3395"</f>
        <v>85326-3395</v>
      </c>
      <c r="Q2668" t="s">
        <v>113</v>
      </c>
      <c r="R2668" t="str">
        <f>"504-24-240"</f>
        <v>504-24-240</v>
      </c>
      <c r="S2668" t="s">
        <v>15209</v>
      </c>
      <c r="T2668" t="s">
        <v>15209</v>
      </c>
      <c r="U2668">
        <v>3208</v>
      </c>
      <c r="V2668">
        <v>0</v>
      </c>
      <c r="W2668">
        <v>4</v>
      </c>
      <c r="X2668">
        <v>2013</v>
      </c>
      <c r="Z2668">
        <v>2</v>
      </c>
      <c r="AB2668">
        <v>0</v>
      </c>
      <c r="AC2668" t="s">
        <v>115</v>
      </c>
      <c r="AD2668">
        <v>2</v>
      </c>
      <c r="AE2668" t="s">
        <v>115</v>
      </c>
      <c r="AF2668">
        <v>0</v>
      </c>
      <c r="AG2668">
        <v>0</v>
      </c>
      <c r="AH2668" t="s">
        <v>116</v>
      </c>
      <c r="AI2668" s="1">
        <v>65128</v>
      </c>
      <c r="AJ2668" s="2">
        <v>0.23</v>
      </c>
      <c r="AK2668" s="1">
        <v>286251</v>
      </c>
      <c r="AL2668" t="s">
        <v>117</v>
      </c>
      <c r="AM2668" t="s">
        <v>5023</v>
      </c>
      <c r="AN2668">
        <v>6775</v>
      </c>
      <c r="AO2668">
        <v>0.16</v>
      </c>
      <c r="AR2668">
        <v>1</v>
      </c>
      <c r="AS2668" s="1">
        <v>20400</v>
      </c>
      <c r="AT2668" s="1">
        <v>4080</v>
      </c>
      <c r="AU2668" s="1">
        <v>16320</v>
      </c>
      <c r="AV2668">
        <v>80</v>
      </c>
      <c r="AX2668" s="1">
        <v>1441.34</v>
      </c>
      <c r="AY2668" t="s">
        <v>9621</v>
      </c>
      <c r="AZ2668" t="s">
        <v>9621</v>
      </c>
      <c r="BA2668" t="s">
        <v>5025</v>
      </c>
      <c r="BE2668" s="3">
        <v>41988</v>
      </c>
      <c r="BF2668" s="1">
        <v>221123</v>
      </c>
      <c r="BG2668" t="s">
        <v>1404</v>
      </c>
      <c r="BH2668" s="1">
        <v>68.930000000000007</v>
      </c>
      <c r="BI2668" s="1">
        <v>221123</v>
      </c>
      <c r="BJ2668" s="3">
        <v>41988</v>
      </c>
      <c r="BK2668" t="s">
        <v>123</v>
      </c>
      <c r="BL2668" t="str">
        <f>"2014.821751"</f>
        <v>2014.821751</v>
      </c>
      <c r="BM2668" t="s">
        <v>3294</v>
      </c>
      <c r="BO2668" t="s">
        <v>17695</v>
      </c>
      <c r="BS2668">
        <v>30</v>
      </c>
      <c r="BW2668" t="str">
        <f>""</f>
        <v/>
      </c>
      <c r="CH2668" t="str">
        <f>""</f>
        <v/>
      </c>
      <c r="CS2668" t="str">
        <f>""</f>
        <v/>
      </c>
    </row>
    <row r="2669" spans="1:97" x14ac:dyDescent="0.25">
      <c r="A2669" t="s">
        <v>962</v>
      </c>
      <c r="B2669" t="s">
        <v>4718</v>
      </c>
      <c r="C2669" t="s">
        <v>2530</v>
      </c>
      <c r="D2669" t="s">
        <v>4718</v>
      </c>
      <c r="E2669" t="s">
        <v>17696</v>
      </c>
      <c r="F2669" t="s">
        <v>108</v>
      </c>
      <c r="H2669" t="s">
        <v>17697</v>
      </c>
      <c r="I2669" t="s">
        <v>225</v>
      </c>
      <c r="J2669" t="s">
        <v>111</v>
      </c>
      <c r="K2669" t="str">
        <f>"85207"</f>
        <v>85207</v>
      </c>
      <c r="L2669" t="s">
        <v>168</v>
      </c>
      <c r="M2669" t="s">
        <v>17697</v>
      </c>
      <c r="N2669" t="s">
        <v>225</v>
      </c>
      <c r="O2669" t="s">
        <v>111</v>
      </c>
      <c r="P2669" t="str">
        <f>"85207-3827"</f>
        <v>85207-3827</v>
      </c>
      <c r="Q2669" t="s">
        <v>113</v>
      </c>
      <c r="R2669" t="str">
        <f>"218-03-072"</f>
        <v>218-03-072</v>
      </c>
      <c r="S2669" t="s">
        <v>16223</v>
      </c>
      <c r="T2669" t="s">
        <v>16224</v>
      </c>
      <c r="U2669">
        <v>1834</v>
      </c>
      <c r="V2669">
        <v>0</v>
      </c>
      <c r="W2669">
        <v>2</v>
      </c>
      <c r="X2669">
        <v>1987</v>
      </c>
      <c r="Z2669">
        <v>2</v>
      </c>
      <c r="AA2669" t="s">
        <v>26</v>
      </c>
      <c r="AB2669">
        <v>0</v>
      </c>
      <c r="AC2669" t="s">
        <v>115</v>
      </c>
      <c r="AD2669">
        <v>2</v>
      </c>
      <c r="AE2669" t="s">
        <v>115</v>
      </c>
      <c r="AF2669">
        <v>0</v>
      </c>
      <c r="AG2669">
        <v>0</v>
      </c>
      <c r="AH2669" t="s">
        <v>116</v>
      </c>
      <c r="AI2669" s="1">
        <v>84142</v>
      </c>
      <c r="AJ2669" s="2">
        <v>0.28000000000000003</v>
      </c>
      <c r="AK2669" s="1">
        <v>296542</v>
      </c>
      <c r="AL2669" t="s">
        <v>117</v>
      </c>
      <c r="AM2669" t="s">
        <v>917</v>
      </c>
      <c r="AN2669">
        <v>9980</v>
      </c>
      <c r="AO2669">
        <v>0.23</v>
      </c>
      <c r="AP2669">
        <v>1</v>
      </c>
      <c r="AR2669">
        <v>1</v>
      </c>
      <c r="AS2669" s="1">
        <v>20770</v>
      </c>
      <c r="AT2669" s="1">
        <v>4150</v>
      </c>
      <c r="AU2669" s="1">
        <v>16620</v>
      </c>
      <c r="AV2669">
        <v>80.02</v>
      </c>
      <c r="AX2669" s="1">
        <v>1450.7</v>
      </c>
      <c r="AY2669" t="s">
        <v>6749</v>
      </c>
      <c r="AZ2669" t="s">
        <v>231</v>
      </c>
      <c r="BA2669" t="s">
        <v>3119</v>
      </c>
      <c r="BE2669" s="3">
        <v>42046</v>
      </c>
      <c r="BF2669" s="1">
        <v>212400</v>
      </c>
      <c r="BG2669" t="s">
        <v>17698</v>
      </c>
      <c r="BH2669" s="1">
        <v>115.81</v>
      </c>
      <c r="BI2669" s="1">
        <v>212400</v>
      </c>
      <c r="BJ2669" s="3">
        <v>42046</v>
      </c>
      <c r="BK2669" t="s">
        <v>123</v>
      </c>
      <c r="BL2669" t="str">
        <f>"2015.87963"</f>
        <v>2015.87963</v>
      </c>
      <c r="BM2669" t="s">
        <v>1185</v>
      </c>
      <c r="BO2669" t="s">
        <v>17699</v>
      </c>
      <c r="BS2669">
        <v>30</v>
      </c>
      <c r="BW2669" t="str">
        <f>""</f>
        <v/>
      </c>
      <c r="CH2669" t="str">
        <f>""</f>
        <v/>
      </c>
      <c r="CS2669" t="str">
        <f>""</f>
        <v/>
      </c>
    </row>
    <row r="2670" spans="1:97" x14ac:dyDescent="0.25">
      <c r="A2670" t="s">
        <v>886</v>
      </c>
      <c r="B2670" t="s">
        <v>17700</v>
      </c>
      <c r="C2670" t="s">
        <v>2256</v>
      </c>
      <c r="D2670" t="s">
        <v>17700</v>
      </c>
      <c r="E2670" t="s">
        <v>17701</v>
      </c>
      <c r="F2670" t="s">
        <v>108</v>
      </c>
      <c r="H2670" t="s">
        <v>17702</v>
      </c>
      <c r="I2670" t="s">
        <v>203</v>
      </c>
      <c r="J2670" t="s">
        <v>111</v>
      </c>
      <c r="K2670" t="str">
        <f>"85298"</f>
        <v>85298</v>
      </c>
      <c r="L2670" t="s">
        <v>681</v>
      </c>
      <c r="M2670" t="s">
        <v>17702</v>
      </c>
      <c r="N2670" t="s">
        <v>203</v>
      </c>
      <c r="O2670" t="s">
        <v>111</v>
      </c>
      <c r="P2670" t="str">
        <f>"85298"</f>
        <v>85298</v>
      </c>
      <c r="Q2670" t="s">
        <v>113</v>
      </c>
      <c r="R2670" t="str">
        <f>"304-71-947"</f>
        <v>304-71-947</v>
      </c>
      <c r="S2670" t="s">
        <v>6911</v>
      </c>
      <c r="T2670" t="s">
        <v>287</v>
      </c>
      <c r="U2670">
        <v>2004</v>
      </c>
      <c r="V2670">
        <v>0</v>
      </c>
      <c r="W2670">
        <v>4</v>
      </c>
      <c r="X2670">
        <v>2015</v>
      </c>
      <c r="Z2670">
        <v>2</v>
      </c>
      <c r="AB2670">
        <v>0</v>
      </c>
      <c r="AC2670" t="s">
        <v>115</v>
      </c>
      <c r="AD2670">
        <v>2</v>
      </c>
      <c r="AE2670" t="s">
        <v>115</v>
      </c>
      <c r="AF2670">
        <v>0</v>
      </c>
      <c r="AG2670">
        <v>0</v>
      </c>
      <c r="AH2670" t="s">
        <v>116</v>
      </c>
      <c r="AI2670" s="1">
        <v>19002</v>
      </c>
      <c r="AJ2670" s="2">
        <v>0.05</v>
      </c>
      <c r="AK2670" s="1">
        <v>368199</v>
      </c>
      <c r="AL2670" t="s">
        <v>117</v>
      </c>
      <c r="AM2670" t="s">
        <v>288</v>
      </c>
      <c r="AN2670">
        <v>4539</v>
      </c>
      <c r="AO2670">
        <v>0.1</v>
      </c>
      <c r="AR2670">
        <v>1</v>
      </c>
      <c r="AS2670" s="1">
        <v>25110</v>
      </c>
      <c r="AT2670" s="1">
        <v>5020</v>
      </c>
      <c r="AU2670" s="1">
        <v>20090</v>
      </c>
      <c r="AV2670">
        <v>80.010000000000005</v>
      </c>
      <c r="AX2670" s="1">
        <v>2112</v>
      </c>
      <c r="AY2670" t="s">
        <v>289</v>
      </c>
      <c r="AZ2670" t="s">
        <v>289</v>
      </c>
      <c r="BA2670" t="s">
        <v>290</v>
      </c>
      <c r="BE2670" s="3">
        <v>42250</v>
      </c>
      <c r="BF2670" s="1">
        <v>278071</v>
      </c>
      <c r="BG2670" t="s">
        <v>292</v>
      </c>
      <c r="BH2670" s="1">
        <v>138.76</v>
      </c>
      <c r="BI2670" s="1">
        <v>349197</v>
      </c>
      <c r="BJ2670" s="3">
        <v>43615</v>
      </c>
      <c r="BK2670" t="s">
        <v>123</v>
      </c>
      <c r="BL2670" t="str">
        <f>"2019.397044"</f>
        <v>2019.397044</v>
      </c>
      <c r="BM2670" t="s">
        <v>1185</v>
      </c>
      <c r="BN2670" t="s">
        <v>6728</v>
      </c>
      <c r="BO2670" t="s">
        <v>17703</v>
      </c>
      <c r="BP2670" t="s">
        <v>17704</v>
      </c>
      <c r="BR2670" t="s">
        <v>139</v>
      </c>
      <c r="BW2670" t="str">
        <f>""</f>
        <v/>
      </c>
      <c r="CH2670" t="str">
        <f>""</f>
        <v/>
      </c>
      <c r="CS2670" t="str">
        <f>""</f>
        <v/>
      </c>
    </row>
    <row r="2671" spans="1:97" x14ac:dyDescent="0.25">
      <c r="A2671" t="s">
        <v>1850</v>
      </c>
      <c r="B2671" t="s">
        <v>17705</v>
      </c>
      <c r="C2671" t="s">
        <v>17706</v>
      </c>
      <c r="D2671" t="s">
        <v>17705</v>
      </c>
      <c r="E2671" t="s">
        <v>17707</v>
      </c>
      <c r="F2671" t="s">
        <v>108</v>
      </c>
      <c r="H2671" t="s">
        <v>17708</v>
      </c>
      <c r="I2671" t="s">
        <v>5114</v>
      </c>
      <c r="J2671" t="s">
        <v>111</v>
      </c>
      <c r="K2671" t="str">
        <f>"85323"</f>
        <v>85323</v>
      </c>
      <c r="L2671" t="s">
        <v>2015</v>
      </c>
      <c r="M2671" t="s">
        <v>17708</v>
      </c>
      <c r="N2671" t="s">
        <v>5114</v>
      </c>
      <c r="O2671" t="s">
        <v>111</v>
      </c>
      <c r="P2671" t="str">
        <f>"85323-8381"</f>
        <v>85323-8381</v>
      </c>
      <c r="Q2671" t="s">
        <v>113</v>
      </c>
      <c r="R2671" t="str">
        <f>"101-20-600"</f>
        <v>101-20-600</v>
      </c>
      <c r="S2671" t="s">
        <v>17709</v>
      </c>
      <c r="T2671" t="s">
        <v>17710</v>
      </c>
      <c r="U2671">
        <v>1739</v>
      </c>
      <c r="V2671">
        <v>0</v>
      </c>
      <c r="W2671">
        <v>3</v>
      </c>
      <c r="X2671">
        <v>2001</v>
      </c>
      <c r="Z2671">
        <v>1</v>
      </c>
      <c r="AB2671">
        <v>0</v>
      </c>
      <c r="AC2671" t="s">
        <v>115</v>
      </c>
      <c r="AD2671">
        <v>3</v>
      </c>
      <c r="AE2671" t="s">
        <v>115</v>
      </c>
      <c r="AF2671">
        <v>0</v>
      </c>
      <c r="AG2671">
        <v>0</v>
      </c>
      <c r="AH2671" t="s">
        <v>116</v>
      </c>
      <c r="AI2671" s="1">
        <v>33152</v>
      </c>
      <c r="AJ2671" s="2">
        <v>0.13</v>
      </c>
      <c r="AK2671" s="1">
        <v>252052</v>
      </c>
      <c r="AL2671" t="s">
        <v>117</v>
      </c>
      <c r="AM2671" t="s">
        <v>118</v>
      </c>
      <c r="AN2671">
        <v>6600</v>
      </c>
      <c r="AO2671">
        <v>0.15</v>
      </c>
      <c r="AP2671">
        <v>1</v>
      </c>
      <c r="AR2671">
        <v>1</v>
      </c>
      <c r="AS2671" s="1">
        <v>16360</v>
      </c>
      <c r="AT2671" s="1">
        <v>3270</v>
      </c>
      <c r="AU2671" s="1">
        <v>13090</v>
      </c>
      <c r="AV2671">
        <v>80.010000000000005</v>
      </c>
      <c r="AX2671" s="1">
        <v>1256.8</v>
      </c>
      <c r="AY2671" t="s">
        <v>17711</v>
      </c>
      <c r="AZ2671" t="s">
        <v>17711</v>
      </c>
      <c r="BA2671" t="s">
        <v>4254</v>
      </c>
      <c r="BB2671" s="3">
        <v>42926</v>
      </c>
      <c r="BD2671" t="s">
        <v>157</v>
      </c>
      <c r="BE2671" s="3">
        <v>41810</v>
      </c>
      <c r="BF2671" s="1">
        <v>165000</v>
      </c>
      <c r="BG2671" t="s">
        <v>17712</v>
      </c>
      <c r="BH2671" s="1">
        <v>94.88</v>
      </c>
      <c r="BI2671" s="1">
        <v>218900</v>
      </c>
      <c r="BJ2671" s="3">
        <v>43592</v>
      </c>
      <c r="BK2671" t="s">
        <v>123</v>
      </c>
      <c r="BL2671" t="str">
        <f>"2019.327895"</f>
        <v>2019.327895</v>
      </c>
      <c r="BM2671" t="s">
        <v>673</v>
      </c>
      <c r="BN2671" t="s">
        <v>674</v>
      </c>
      <c r="BO2671" t="s">
        <v>17705</v>
      </c>
      <c r="BP2671" t="s">
        <v>17713</v>
      </c>
      <c r="BR2671" t="s">
        <v>139</v>
      </c>
      <c r="BW2671" t="str">
        <f>""</f>
        <v/>
      </c>
      <c r="CH2671" t="str">
        <f>""</f>
        <v/>
      </c>
      <c r="CS2671" t="str">
        <f>""</f>
        <v/>
      </c>
    </row>
    <row r="2672" spans="1:97" x14ac:dyDescent="0.25">
      <c r="A2672" t="s">
        <v>1547</v>
      </c>
      <c r="B2672" t="s">
        <v>17714</v>
      </c>
      <c r="E2672" t="s">
        <v>17715</v>
      </c>
      <c r="F2672" t="s">
        <v>108</v>
      </c>
      <c r="H2672" t="s">
        <v>17716</v>
      </c>
      <c r="I2672" t="s">
        <v>499</v>
      </c>
      <c r="J2672" t="s">
        <v>111</v>
      </c>
      <c r="K2672" t="str">
        <f>"85395"</f>
        <v>85395</v>
      </c>
      <c r="L2672" t="s">
        <v>7005</v>
      </c>
      <c r="M2672" t="s">
        <v>17716</v>
      </c>
      <c r="N2672" t="s">
        <v>499</v>
      </c>
      <c r="O2672" t="s">
        <v>111</v>
      </c>
      <c r="P2672" t="str">
        <f>"85395-8978"</f>
        <v>85395-8978</v>
      </c>
      <c r="Q2672" t="s">
        <v>113</v>
      </c>
      <c r="R2672" t="str">
        <f>"508-14-327"</f>
        <v>508-14-327</v>
      </c>
      <c r="S2672" t="s">
        <v>14773</v>
      </c>
      <c r="T2672" t="s">
        <v>14774</v>
      </c>
      <c r="U2672">
        <v>1790</v>
      </c>
      <c r="V2672">
        <v>0</v>
      </c>
      <c r="W2672">
        <v>3</v>
      </c>
      <c r="X2672">
        <v>2006</v>
      </c>
      <c r="Z2672">
        <v>1</v>
      </c>
      <c r="AB2672">
        <v>0</v>
      </c>
      <c r="AC2672" t="s">
        <v>115</v>
      </c>
      <c r="AD2672">
        <v>2</v>
      </c>
      <c r="AE2672" t="s">
        <v>115</v>
      </c>
      <c r="AF2672">
        <v>0</v>
      </c>
      <c r="AG2672">
        <v>0</v>
      </c>
      <c r="AH2672" t="s">
        <v>116</v>
      </c>
      <c r="AI2672" s="1">
        <v>52912</v>
      </c>
      <c r="AJ2672" s="2">
        <v>0.19</v>
      </c>
      <c r="AK2672" s="1">
        <v>281412</v>
      </c>
      <c r="AL2672" t="s">
        <v>117</v>
      </c>
      <c r="AM2672" t="s">
        <v>118</v>
      </c>
      <c r="AN2672">
        <v>6930</v>
      </c>
      <c r="AO2672">
        <v>0.16</v>
      </c>
      <c r="AR2672">
        <v>1</v>
      </c>
      <c r="AS2672" s="1">
        <v>19080</v>
      </c>
      <c r="AT2672" s="1">
        <v>3810</v>
      </c>
      <c r="AU2672" s="1">
        <v>15270</v>
      </c>
      <c r="AV2672">
        <v>80.03</v>
      </c>
      <c r="AX2672" s="1">
        <v>1818.3</v>
      </c>
      <c r="AY2672" t="s">
        <v>3020</v>
      </c>
      <c r="AZ2672" t="s">
        <v>3020</v>
      </c>
      <c r="BA2672" t="s">
        <v>7186</v>
      </c>
      <c r="BE2672" s="3">
        <v>42391</v>
      </c>
      <c r="BF2672" s="1">
        <v>228500</v>
      </c>
      <c r="BG2672" t="s">
        <v>17717</v>
      </c>
      <c r="BH2672" s="1">
        <v>127.65</v>
      </c>
      <c r="BI2672" s="1">
        <v>228500</v>
      </c>
      <c r="BJ2672" s="3">
        <v>42391</v>
      </c>
      <c r="BK2672" t="s">
        <v>123</v>
      </c>
      <c r="BL2672" t="str">
        <f>"2016.45017"</f>
        <v>2016.45017</v>
      </c>
      <c r="BM2672" t="s">
        <v>8868</v>
      </c>
      <c r="BO2672" t="s">
        <v>17718</v>
      </c>
      <c r="BS2672">
        <v>30</v>
      </c>
      <c r="BW2672" t="str">
        <f>""</f>
        <v/>
      </c>
      <c r="CH2672" t="str">
        <f>""</f>
        <v/>
      </c>
      <c r="CS2672" t="str">
        <f>""</f>
        <v/>
      </c>
    </row>
    <row r="2673" spans="1:97" x14ac:dyDescent="0.25">
      <c r="A2673" t="s">
        <v>464</v>
      </c>
      <c r="B2673" t="s">
        <v>17719</v>
      </c>
      <c r="E2673" t="s">
        <v>17720</v>
      </c>
      <c r="F2673" t="s">
        <v>108</v>
      </c>
      <c r="H2673" t="s">
        <v>17721</v>
      </c>
      <c r="I2673" t="s">
        <v>2874</v>
      </c>
      <c r="J2673" t="s">
        <v>111</v>
      </c>
      <c r="K2673" t="str">
        <f>"85306"</f>
        <v>85306</v>
      </c>
      <c r="L2673" t="s">
        <v>1312</v>
      </c>
      <c r="M2673" t="s">
        <v>17721</v>
      </c>
      <c r="N2673" t="s">
        <v>2874</v>
      </c>
      <c r="O2673" t="s">
        <v>111</v>
      </c>
      <c r="P2673" t="str">
        <f>"85306-3161"</f>
        <v>85306-3161</v>
      </c>
      <c r="Q2673" t="s">
        <v>113</v>
      </c>
      <c r="R2673" t="str">
        <f>"231-09-262"</f>
        <v>231-09-262</v>
      </c>
      <c r="S2673" t="s">
        <v>8449</v>
      </c>
      <c r="T2673" t="s">
        <v>8449</v>
      </c>
      <c r="U2673">
        <v>1795</v>
      </c>
      <c r="V2673">
        <v>0</v>
      </c>
      <c r="W2673">
        <v>3</v>
      </c>
      <c r="X2673">
        <v>1995</v>
      </c>
      <c r="Z2673">
        <v>1</v>
      </c>
      <c r="AA2673" t="s">
        <v>26</v>
      </c>
      <c r="AB2673">
        <v>0</v>
      </c>
      <c r="AC2673" t="s">
        <v>115</v>
      </c>
      <c r="AD2673">
        <v>2</v>
      </c>
      <c r="AE2673" t="s">
        <v>115</v>
      </c>
      <c r="AF2673">
        <v>0</v>
      </c>
      <c r="AG2673">
        <v>0</v>
      </c>
      <c r="AH2673" t="s">
        <v>116</v>
      </c>
      <c r="AI2673" s="1">
        <v>85617</v>
      </c>
      <c r="AJ2673" s="2">
        <v>0.28000000000000003</v>
      </c>
      <c r="AK2673" s="1">
        <v>304280</v>
      </c>
      <c r="AL2673" t="s">
        <v>117</v>
      </c>
      <c r="AM2673" t="s">
        <v>288</v>
      </c>
      <c r="AN2673">
        <v>11077</v>
      </c>
      <c r="AO2673">
        <v>0.25</v>
      </c>
      <c r="AP2673">
        <v>1</v>
      </c>
      <c r="AR2673">
        <v>1</v>
      </c>
      <c r="AS2673" s="1">
        <v>23210</v>
      </c>
      <c r="AT2673" s="1">
        <v>4640</v>
      </c>
      <c r="AU2673" s="1">
        <v>18570</v>
      </c>
      <c r="AV2673">
        <v>80.010000000000005</v>
      </c>
      <c r="AX2673" s="1">
        <v>1643.1</v>
      </c>
      <c r="AY2673" t="s">
        <v>8450</v>
      </c>
      <c r="AZ2673" t="s">
        <v>8450</v>
      </c>
      <c r="BA2673" t="s">
        <v>3360</v>
      </c>
      <c r="BE2673" s="3">
        <v>41989</v>
      </c>
      <c r="BF2673" s="1">
        <v>210000</v>
      </c>
      <c r="BG2673" t="s">
        <v>17722</v>
      </c>
      <c r="BH2673" s="1">
        <v>116.99</v>
      </c>
      <c r="BI2673" s="1">
        <v>218663</v>
      </c>
      <c r="BJ2673" s="3">
        <v>42271</v>
      </c>
      <c r="BK2673" t="s">
        <v>123</v>
      </c>
      <c r="BL2673" t="str">
        <f>"2015.688795"</f>
        <v>2015.688795</v>
      </c>
      <c r="BM2673" t="s">
        <v>255</v>
      </c>
      <c r="BO2673" t="s">
        <v>17723</v>
      </c>
      <c r="BS2673">
        <v>30</v>
      </c>
      <c r="BW2673" t="str">
        <f>""</f>
        <v/>
      </c>
      <c r="CH2673" t="str">
        <f>""</f>
        <v/>
      </c>
      <c r="CS2673" t="str">
        <f>""</f>
        <v/>
      </c>
    </row>
    <row r="2674" spans="1:97" x14ac:dyDescent="0.25">
      <c r="A2674" t="s">
        <v>17724</v>
      </c>
      <c r="B2674" t="s">
        <v>17725</v>
      </c>
      <c r="C2674" t="s">
        <v>17726</v>
      </c>
      <c r="D2674" t="s">
        <v>17727</v>
      </c>
      <c r="E2674" t="s">
        <v>17728</v>
      </c>
      <c r="F2674" t="s">
        <v>108</v>
      </c>
      <c r="H2674" t="s">
        <v>17729</v>
      </c>
      <c r="I2674" t="s">
        <v>390</v>
      </c>
      <c r="J2674" t="s">
        <v>111</v>
      </c>
      <c r="K2674" t="str">
        <f>"85032"</f>
        <v>85032</v>
      </c>
      <c r="L2674" t="s">
        <v>6112</v>
      </c>
      <c r="M2674" t="s">
        <v>17729</v>
      </c>
      <c r="N2674" t="s">
        <v>390</v>
      </c>
      <c r="O2674" t="s">
        <v>111</v>
      </c>
      <c r="P2674" t="str">
        <f>"85032-2251"</f>
        <v>85032-2251</v>
      </c>
      <c r="Q2674" t="s">
        <v>113</v>
      </c>
      <c r="R2674" t="str">
        <f>"215-17-562"</f>
        <v>215-17-562</v>
      </c>
      <c r="S2674" t="s">
        <v>15035</v>
      </c>
      <c r="T2674" t="s">
        <v>15036</v>
      </c>
      <c r="U2674">
        <v>1848</v>
      </c>
      <c r="V2674">
        <v>0</v>
      </c>
      <c r="W2674">
        <v>3</v>
      </c>
      <c r="X2674">
        <v>1995</v>
      </c>
      <c r="Z2674">
        <v>2</v>
      </c>
      <c r="AA2674" t="s">
        <v>26</v>
      </c>
      <c r="AB2674">
        <v>0</v>
      </c>
      <c r="AC2674" t="s">
        <v>115</v>
      </c>
      <c r="AD2674">
        <v>2</v>
      </c>
      <c r="AE2674" t="s">
        <v>115</v>
      </c>
      <c r="AF2674">
        <v>0</v>
      </c>
      <c r="AG2674">
        <v>0</v>
      </c>
      <c r="AH2674" t="s">
        <v>116</v>
      </c>
      <c r="AI2674" s="1">
        <v>58257</v>
      </c>
      <c r="AJ2674" s="2">
        <v>0.16</v>
      </c>
      <c r="AK2674" s="1">
        <v>354492</v>
      </c>
      <c r="AL2674" t="s">
        <v>117</v>
      </c>
      <c r="AM2674" t="s">
        <v>1315</v>
      </c>
      <c r="AN2674">
        <v>4360</v>
      </c>
      <c r="AO2674">
        <v>0.1</v>
      </c>
      <c r="AP2674">
        <v>1</v>
      </c>
      <c r="AR2674">
        <v>1</v>
      </c>
      <c r="AS2674" s="1">
        <v>25080</v>
      </c>
      <c r="AT2674" s="1">
        <v>5010</v>
      </c>
      <c r="AU2674" s="1">
        <v>20070</v>
      </c>
      <c r="AV2674">
        <v>80.02</v>
      </c>
      <c r="AX2674" s="1">
        <v>2138.02</v>
      </c>
      <c r="AY2674" t="s">
        <v>1316</v>
      </c>
      <c r="AZ2674" t="s">
        <v>1317</v>
      </c>
      <c r="BA2674" t="s">
        <v>1318</v>
      </c>
      <c r="BB2674" s="3">
        <v>42583</v>
      </c>
      <c r="BD2674" t="s">
        <v>240</v>
      </c>
      <c r="BE2674" s="3">
        <v>42535</v>
      </c>
      <c r="BF2674" s="1">
        <v>290000</v>
      </c>
      <c r="BG2674" t="s">
        <v>17730</v>
      </c>
      <c r="BH2674" s="1">
        <v>156.93</v>
      </c>
      <c r="BI2674" s="1">
        <v>296235</v>
      </c>
      <c r="BJ2674" s="3">
        <v>42535</v>
      </c>
      <c r="BK2674" t="s">
        <v>123</v>
      </c>
      <c r="BL2674" t="str">
        <f>"2016.412645"</f>
        <v>2016.412645</v>
      </c>
      <c r="BM2674" t="s">
        <v>2683</v>
      </c>
      <c r="BO2674" t="s">
        <v>17731</v>
      </c>
      <c r="BS2674">
        <v>30</v>
      </c>
      <c r="BW2674" t="str">
        <f>""</f>
        <v/>
      </c>
      <c r="CH2674" t="str">
        <f>""</f>
        <v/>
      </c>
      <c r="CS2674" t="str">
        <f>""</f>
        <v/>
      </c>
    </row>
    <row r="2675" spans="1:97" x14ac:dyDescent="0.25">
      <c r="A2675" t="s">
        <v>17732</v>
      </c>
      <c r="B2675" t="s">
        <v>4864</v>
      </c>
      <c r="C2675" t="s">
        <v>2019</v>
      </c>
      <c r="D2675" t="s">
        <v>4864</v>
      </c>
      <c r="E2675" t="s">
        <v>17733</v>
      </c>
      <c r="F2675" t="s">
        <v>108</v>
      </c>
      <c r="H2675" t="s">
        <v>17734</v>
      </c>
      <c r="I2675" t="s">
        <v>225</v>
      </c>
      <c r="J2675" t="s">
        <v>111</v>
      </c>
      <c r="K2675" t="str">
        <f>"85212"</f>
        <v>85212</v>
      </c>
      <c r="L2675" t="s">
        <v>1569</v>
      </c>
      <c r="M2675" t="s">
        <v>17734</v>
      </c>
      <c r="N2675" t="s">
        <v>225</v>
      </c>
      <c r="O2675" t="s">
        <v>111</v>
      </c>
      <c r="P2675" t="str">
        <f>"85212-4073"</f>
        <v>85212-4073</v>
      </c>
      <c r="Q2675" t="s">
        <v>113</v>
      </c>
      <c r="R2675" t="str">
        <f>"304-33-494"</f>
        <v>304-33-494</v>
      </c>
      <c r="S2675" t="s">
        <v>17735</v>
      </c>
      <c r="T2675" t="s">
        <v>13511</v>
      </c>
      <c r="U2675">
        <v>3691</v>
      </c>
      <c r="V2675">
        <v>0</v>
      </c>
      <c r="W2675">
        <v>4</v>
      </c>
      <c r="X2675">
        <v>2004</v>
      </c>
      <c r="Z2675">
        <v>2</v>
      </c>
      <c r="AB2675">
        <v>0</v>
      </c>
      <c r="AC2675" t="s">
        <v>115</v>
      </c>
      <c r="AD2675">
        <v>3</v>
      </c>
      <c r="AE2675" t="s">
        <v>115</v>
      </c>
      <c r="AF2675">
        <v>0</v>
      </c>
      <c r="AG2675">
        <v>0</v>
      </c>
      <c r="AH2675" t="s">
        <v>116</v>
      </c>
      <c r="AI2675" s="1">
        <v>84095</v>
      </c>
      <c r="AJ2675" s="2">
        <v>0.23</v>
      </c>
      <c r="AK2675" s="1">
        <v>367095</v>
      </c>
      <c r="AL2675" t="s">
        <v>117</v>
      </c>
      <c r="AM2675" t="s">
        <v>393</v>
      </c>
      <c r="AN2675">
        <v>8000</v>
      </c>
      <c r="AO2675">
        <v>0.18</v>
      </c>
      <c r="AP2675">
        <v>1</v>
      </c>
      <c r="AR2675">
        <v>1</v>
      </c>
      <c r="AS2675" s="1">
        <v>25430</v>
      </c>
      <c r="AT2675" s="1">
        <v>5080</v>
      </c>
      <c r="AU2675" s="1">
        <v>20350</v>
      </c>
      <c r="AV2675">
        <v>80.02</v>
      </c>
      <c r="AX2675" s="1">
        <v>1900.92</v>
      </c>
      <c r="AY2675" t="s">
        <v>776</v>
      </c>
      <c r="AZ2675" t="s">
        <v>777</v>
      </c>
      <c r="BA2675" t="s">
        <v>572</v>
      </c>
      <c r="BE2675" s="3">
        <v>42185</v>
      </c>
      <c r="BF2675" s="1">
        <v>285000</v>
      </c>
      <c r="BG2675" t="s">
        <v>17736</v>
      </c>
      <c r="BH2675" s="1">
        <v>77.209999999999994</v>
      </c>
      <c r="BI2675" s="1">
        <v>283000</v>
      </c>
      <c r="BJ2675" s="3">
        <v>42613</v>
      </c>
      <c r="BK2675" t="s">
        <v>123</v>
      </c>
      <c r="BL2675" t="str">
        <f>"2016.631082"</f>
        <v>2016.631082</v>
      </c>
      <c r="BM2675" t="s">
        <v>3562</v>
      </c>
      <c r="BO2675" t="s">
        <v>17737</v>
      </c>
      <c r="BS2675">
        <v>30</v>
      </c>
      <c r="BW2675" t="str">
        <f>""</f>
        <v/>
      </c>
      <c r="CH2675" t="str">
        <f>""</f>
        <v/>
      </c>
      <c r="CS2675" t="str">
        <f>""</f>
        <v/>
      </c>
    </row>
    <row r="2676" spans="1:97" x14ac:dyDescent="0.25">
      <c r="A2676" t="s">
        <v>17738</v>
      </c>
      <c r="B2676" t="s">
        <v>1929</v>
      </c>
      <c r="C2676" t="s">
        <v>17739</v>
      </c>
      <c r="D2676" t="s">
        <v>1929</v>
      </c>
      <c r="E2676" t="s">
        <v>17740</v>
      </c>
      <c r="F2676" t="s">
        <v>108</v>
      </c>
      <c r="H2676" t="s">
        <v>17741</v>
      </c>
      <c r="I2676" t="s">
        <v>225</v>
      </c>
      <c r="J2676" t="s">
        <v>111</v>
      </c>
      <c r="K2676" t="str">
        <f>"85207"</f>
        <v>85207</v>
      </c>
      <c r="L2676" t="s">
        <v>688</v>
      </c>
      <c r="M2676" t="s">
        <v>17741</v>
      </c>
      <c r="N2676" t="s">
        <v>225</v>
      </c>
      <c r="O2676" t="s">
        <v>111</v>
      </c>
      <c r="P2676" t="str">
        <f>"85207-5268"</f>
        <v>85207-5268</v>
      </c>
      <c r="Q2676" t="s">
        <v>113</v>
      </c>
      <c r="R2676" t="str">
        <f>"220-19-298"</f>
        <v>220-19-298</v>
      </c>
      <c r="S2676" t="s">
        <v>14976</v>
      </c>
      <c r="T2676" t="s">
        <v>14976</v>
      </c>
      <c r="U2676">
        <v>2257</v>
      </c>
      <c r="V2676">
        <v>0</v>
      </c>
      <c r="W2676">
        <v>3</v>
      </c>
      <c r="X2676">
        <v>1997</v>
      </c>
      <c r="Z2676">
        <v>2</v>
      </c>
      <c r="AA2676" t="s">
        <v>26</v>
      </c>
      <c r="AB2676">
        <v>0</v>
      </c>
      <c r="AC2676" t="s">
        <v>115</v>
      </c>
      <c r="AD2676">
        <v>2</v>
      </c>
      <c r="AE2676" t="s">
        <v>115</v>
      </c>
      <c r="AF2676">
        <v>0</v>
      </c>
      <c r="AG2676">
        <v>0</v>
      </c>
      <c r="AH2676" t="s">
        <v>116</v>
      </c>
      <c r="AI2676" s="1">
        <v>90006</v>
      </c>
      <c r="AJ2676" s="2">
        <v>0.26</v>
      </c>
      <c r="AK2676" s="1">
        <v>350006</v>
      </c>
      <c r="AL2676" t="s">
        <v>117</v>
      </c>
      <c r="AM2676" t="s">
        <v>393</v>
      </c>
      <c r="AN2676">
        <v>7706</v>
      </c>
      <c r="AO2676">
        <v>0.18</v>
      </c>
      <c r="AP2676">
        <v>1</v>
      </c>
      <c r="AR2676">
        <v>1</v>
      </c>
      <c r="AS2676" s="1">
        <v>23950</v>
      </c>
      <c r="AT2676" s="1">
        <v>4790</v>
      </c>
      <c r="AU2676" s="1">
        <v>19160</v>
      </c>
      <c r="AV2676">
        <v>80</v>
      </c>
      <c r="AX2676" s="1">
        <v>1910.04</v>
      </c>
      <c r="AY2676" t="s">
        <v>3118</v>
      </c>
      <c r="AZ2676" t="s">
        <v>3761</v>
      </c>
      <c r="BA2676" t="s">
        <v>232</v>
      </c>
      <c r="BE2676" s="3">
        <v>42488</v>
      </c>
      <c r="BF2676" s="1">
        <v>260000</v>
      </c>
      <c r="BG2676" t="s">
        <v>17742</v>
      </c>
      <c r="BH2676" s="1">
        <v>115.2</v>
      </c>
      <c r="BI2676" s="1">
        <v>260000</v>
      </c>
      <c r="BJ2676" s="3">
        <v>42488</v>
      </c>
      <c r="BK2676" t="s">
        <v>123</v>
      </c>
      <c r="BL2676" t="str">
        <f>"2016.286553"</f>
        <v>2016.286553</v>
      </c>
      <c r="BM2676" t="s">
        <v>820</v>
      </c>
      <c r="BO2676" t="s">
        <v>17743</v>
      </c>
      <c r="BS2676">
        <v>30</v>
      </c>
      <c r="BW2676" t="str">
        <f>""</f>
        <v/>
      </c>
      <c r="CH2676" t="str">
        <f>""</f>
        <v/>
      </c>
      <c r="CS2676" t="str">
        <f>""</f>
        <v/>
      </c>
    </row>
    <row r="2677" spans="1:97" x14ac:dyDescent="0.25">
      <c r="A2677" t="s">
        <v>4346</v>
      </c>
      <c r="B2677" t="s">
        <v>603</v>
      </c>
      <c r="C2677" t="s">
        <v>2045</v>
      </c>
      <c r="D2677" t="s">
        <v>603</v>
      </c>
      <c r="E2677" t="s">
        <v>17744</v>
      </c>
      <c r="F2677" t="s">
        <v>108</v>
      </c>
      <c r="H2677" t="s">
        <v>17745</v>
      </c>
      <c r="I2677" t="s">
        <v>5551</v>
      </c>
      <c r="J2677" t="s">
        <v>111</v>
      </c>
      <c r="K2677" t="str">
        <f>"85248"</f>
        <v>85248</v>
      </c>
      <c r="L2677" t="s">
        <v>3326</v>
      </c>
      <c r="M2677" t="s">
        <v>17745</v>
      </c>
      <c r="N2677" t="s">
        <v>5551</v>
      </c>
      <c r="O2677" t="s">
        <v>111</v>
      </c>
      <c r="P2677" t="str">
        <f>"85248-7305"</f>
        <v>85248-7305</v>
      </c>
      <c r="Q2677" t="s">
        <v>113</v>
      </c>
      <c r="R2677" t="str">
        <f>"303-88-088"</f>
        <v>303-88-088</v>
      </c>
      <c r="S2677" t="s">
        <v>17746</v>
      </c>
      <c r="U2677">
        <v>1997</v>
      </c>
      <c r="V2677">
        <v>0</v>
      </c>
      <c r="W2677">
        <v>3</v>
      </c>
      <c r="X2677">
        <v>2005</v>
      </c>
      <c r="Z2677">
        <v>1</v>
      </c>
      <c r="AA2677" t="s">
        <v>26</v>
      </c>
      <c r="AB2677">
        <v>0</v>
      </c>
      <c r="AC2677" t="s">
        <v>115</v>
      </c>
      <c r="AD2677">
        <v>2</v>
      </c>
      <c r="AE2677" t="s">
        <v>115</v>
      </c>
      <c r="AF2677">
        <v>0</v>
      </c>
      <c r="AG2677">
        <v>0</v>
      </c>
      <c r="AH2677" t="s">
        <v>116</v>
      </c>
      <c r="AI2677" s="1">
        <v>54963</v>
      </c>
      <c r="AJ2677" s="2">
        <v>0.14000000000000001</v>
      </c>
      <c r="AK2677" s="1">
        <v>380358</v>
      </c>
      <c r="AL2677" t="s">
        <v>117</v>
      </c>
      <c r="AM2677" t="str">
        <f>"R1-6"</f>
        <v>R1-6</v>
      </c>
      <c r="AN2677">
        <v>7775</v>
      </c>
      <c r="AO2677">
        <v>0.18</v>
      </c>
      <c r="AR2677">
        <v>1</v>
      </c>
      <c r="AS2677" s="1">
        <v>27020</v>
      </c>
      <c r="AT2677" s="1">
        <v>5400</v>
      </c>
      <c r="AU2677" s="1">
        <v>21620</v>
      </c>
      <c r="AV2677">
        <v>80.010000000000005</v>
      </c>
      <c r="AX2677" s="1">
        <v>3137.12</v>
      </c>
      <c r="AY2677" t="s">
        <v>1881</v>
      </c>
      <c r="AZ2677" t="s">
        <v>1882</v>
      </c>
      <c r="BA2677" t="s">
        <v>121</v>
      </c>
      <c r="BE2677" s="3">
        <v>41779</v>
      </c>
      <c r="BF2677" s="1">
        <v>315000</v>
      </c>
      <c r="BG2677" t="s">
        <v>17747</v>
      </c>
      <c r="BH2677" s="1">
        <v>157.74</v>
      </c>
      <c r="BI2677" s="1">
        <v>325395</v>
      </c>
      <c r="BJ2677" s="3">
        <v>41779</v>
      </c>
      <c r="BK2677" t="s">
        <v>123</v>
      </c>
      <c r="BL2677" t="str">
        <f>"2014.327215"</f>
        <v>2014.327215</v>
      </c>
      <c r="BM2677" t="s">
        <v>594</v>
      </c>
      <c r="BO2677" t="s">
        <v>17748</v>
      </c>
      <c r="BS2677">
        <v>30</v>
      </c>
      <c r="BW2677" t="str">
        <f>""</f>
        <v/>
      </c>
      <c r="CH2677" t="str">
        <f>""</f>
        <v/>
      </c>
      <c r="CS2677" t="str">
        <f>""</f>
        <v/>
      </c>
    </row>
    <row r="2678" spans="1:97" x14ac:dyDescent="0.25">
      <c r="A2678" t="s">
        <v>494</v>
      </c>
      <c r="B2678" t="s">
        <v>17749</v>
      </c>
      <c r="C2678" t="s">
        <v>140</v>
      </c>
      <c r="D2678" t="s">
        <v>17749</v>
      </c>
      <c r="E2678" t="s">
        <v>17750</v>
      </c>
      <c r="F2678" t="s">
        <v>282</v>
      </c>
      <c r="H2678" t="s">
        <v>17751</v>
      </c>
      <c r="I2678" t="s">
        <v>3150</v>
      </c>
      <c r="J2678" t="s">
        <v>111</v>
      </c>
      <c r="K2678" t="str">
        <f>"85340"</f>
        <v>85340</v>
      </c>
      <c r="L2678" t="s">
        <v>2197</v>
      </c>
      <c r="M2678" t="s">
        <v>17752</v>
      </c>
      <c r="N2678" t="s">
        <v>3150</v>
      </c>
      <c r="O2678" t="s">
        <v>111</v>
      </c>
      <c r="P2678" t="str">
        <f>"85340-5147"</f>
        <v>85340-5147</v>
      </c>
      <c r="Q2678" t="s">
        <v>113</v>
      </c>
      <c r="R2678" t="str">
        <f>"501-62-051"</f>
        <v>501-62-051</v>
      </c>
      <c r="S2678" t="s">
        <v>11950</v>
      </c>
      <c r="U2678">
        <v>2205</v>
      </c>
      <c r="V2678">
        <v>0</v>
      </c>
      <c r="W2678">
        <v>3</v>
      </c>
      <c r="X2678">
        <v>2003</v>
      </c>
      <c r="Z2678">
        <v>1</v>
      </c>
      <c r="AB2678">
        <v>0</v>
      </c>
      <c r="AC2678" t="s">
        <v>115</v>
      </c>
      <c r="AD2678">
        <v>3</v>
      </c>
      <c r="AE2678" t="s">
        <v>115</v>
      </c>
      <c r="AF2678">
        <v>0</v>
      </c>
      <c r="AG2678">
        <v>0</v>
      </c>
      <c r="AH2678" t="s">
        <v>116</v>
      </c>
      <c r="AI2678" s="1">
        <v>56876</v>
      </c>
      <c r="AJ2678" s="2">
        <v>0.19</v>
      </c>
      <c r="AK2678" s="1">
        <v>293864</v>
      </c>
      <c r="AL2678" t="s">
        <v>117</v>
      </c>
      <c r="AM2678" t="s">
        <v>171</v>
      </c>
      <c r="AN2678">
        <v>7245</v>
      </c>
      <c r="AO2678">
        <v>0.17</v>
      </c>
      <c r="AP2678">
        <v>1</v>
      </c>
      <c r="AR2678">
        <v>1</v>
      </c>
      <c r="AS2678" s="1">
        <v>19770</v>
      </c>
      <c r="AT2678" s="1">
        <v>3950</v>
      </c>
      <c r="AU2678" s="1">
        <v>15820</v>
      </c>
      <c r="AV2678">
        <v>80.02</v>
      </c>
      <c r="AX2678" s="1">
        <v>2065.3200000000002</v>
      </c>
      <c r="AY2678" t="s">
        <v>6580</v>
      </c>
      <c r="AZ2678" t="s">
        <v>3153</v>
      </c>
      <c r="BA2678" t="s">
        <v>3154</v>
      </c>
      <c r="BE2678" s="3">
        <v>41989</v>
      </c>
      <c r="BF2678" s="1">
        <v>232000</v>
      </c>
      <c r="BG2678" t="s">
        <v>17753</v>
      </c>
      <c r="BH2678" s="1">
        <v>105.22</v>
      </c>
      <c r="BI2678" s="1">
        <v>236988</v>
      </c>
      <c r="BJ2678" s="3">
        <v>41989</v>
      </c>
      <c r="BK2678" t="s">
        <v>123</v>
      </c>
      <c r="BL2678" t="str">
        <f>"2014.826412"</f>
        <v>2014.826412</v>
      </c>
      <c r="BM2678" t="s">
        <v>1038</v>
      </c>
      <c r="BO2678" t="s">
        <v>17754</v>
      </c>
      <c r="BP2678" t="s">
        <v>17755</v>
      </c>
      <c r="BS2678">
        <v>30</v>
      </c>
      <c r="BW2678" t="str">
        <f>""</f>
        <v/>
      </c>
      <c r="CH2678" t="str">
        <f>""</f>
        <v/>
      </c>
      <c r="CS2678" t="str">
        <f>""</f>
        <v/>
      </c>
    </row>
    <row r="2679" spans="1:97" x14ac:dyDescent="0.25">
      <c r="A2679" t="s">
        <v>2915</v>
      </c>
      <c r="B2679" t="s">
        <v>17756</v>
      </c>
      <c r="C2679" t="s">
        <v>9243</v>
      </c>
      <c r="D2679" t="s">
        <v>17756</v>
      </c>
      <c r="E2679" t="s">
        <v>17757</v>
      </c>
      <c r="F2679" t="s">
        <v>108</v>
      </c>
      <c r="H2679" t="s">
        <v>17758</v>
      </c>
      <c r="I2679" t="s">
        <v>453</v>
      </c>
      <c r="J2679" t="s">
        <v>111</v>
      </c>
      <c r="K2679" t="str">
        <f>"85345"</f>
        <v>85345</v>
      </c>
      <c r="L2679" t="s">
        <v>6169</v>
      </c>
      <c r="M2679" t="s">
        <v>17758</v>
      </c>
      <c r="N2679" t="s">
        <v>453</v>
      </c>
      <c r="O2679" t="s">
        <v>111</v>
      </c>
      <c r="P2679" t="str">
        <f>"85345-3416"</f>
        <v>85345-3416</v>
      </c>
      <c r="Q2679" t="s">
        <v>113</v>
      </c>
      <c r="R2679" t="str">
        <f>"142-88-782"</f>
        <v>142-88-782</v>
      </c>
      <c r="S2679" t="s">
        <v>17759</v>
      </c>
      <c r="T2679" t="s">
        <v>17760</v>
      </c>
      <c r="U2679">
        <v>1550</v>
      </c>
      <c r="V2679">
        <v>0</v>
      </c>
      <c r="W2679">
        <v>3</v>
      </c>
      <c r="X2679">
        <v>1992</v>
      </c>
      <c r="Z2679">
        <v>1</v>
      </c>
      <c r="AB2679">
        <v>0</v>
      </c>
      <c r="AC2679" t="s">
        <v>115</v>
      </c>
      <c r="AD2679">
        <v>2</v>
      </c>
      <c r="AE2679" t="s">
        <v>115</v>
      </c>
      <c r="AF2679">
        <v>0</v>
      </c>
      <c r="AG2679">
        <v>0</v>
      </c>
      <c r="AH2679" t="s">
        <v>116</v>
      </c>
      <c r="AI2679" s="1">
        <v>32221</v>
      </c>
      <c r="AJ2679" s="2">
        <v>0.14000000000000001</v>
      </c>
      <c r="AK2679" s="1">
        <v>238096</v>
      </c>
      <c r="AL2679" t="s">
        <v>117</v>
      </c>
      <c r="AM2679" t="s">
        <v>3345</v>
      </c>
      <c r="AN2679">
        <v>8000</v>
      </c>
      <c r="AO2679">
        <v>0.18</v>
      </c>
      <c r="AP2679">
        <v>1</v>
      </c>
      <c r="AR2679">
        <v>1</v>
      </c>
      <c r="AS2679" s="1">
        <v>15770</v>
      </c>
      <c r="AT2679" s="1">
        <v>3150</v>
      </c>
      <c r="AU2679" s="1">
        <v>12620</v>
      </c>
      <c r="AV2679">
        <v>80.03</v>
      </c>
      <c r="AX2679" s="1">
        <v>976.22</v>
      </c>
      <c r="AY2679" t="s">
        <v>12259</v>
      </c>
      <c r="AZ2679" t="s">
        <v>12259</v>
      </c>
      <c r="BA2679" t="s">
        <v>6945</v>
      </c>
      <c r="BE2679" s="3">
        <v>41653</v>
      </c>
      <c r="BF2679" s="1">
        <v>150000</v>
      </c>
      <c r="BG2679" t="s">
        <v>17761</v>
      </c>
      <c r="BH2679" s="1">
        <v>96.77</v>
      </c>
      <c r="BI2679" s="1">
        <v>205875</v>
      </c>
      <c r="BJ2679" s="3">
        <v>43616</v>
      </c>
      <c r="BK2679" t="s">
        <v>123</v>
      </c>
      <c r="BL2679" t="str">
        <f>"2019.401942"</f>
        <v>2019.401942</v>
      </c>
      <c r="BM2679" t="s">
        <v>8671</v>
      </c>
      <c r="BN2679" t="s">
        <v>8672</v>
      </c>
      <c r="BO2679" t="s">
        <v>17762</v>
      </c>
      <c r="BP2679" t="s">
        <v>17763</v>
      </c>
      <c r="BR2679" t="s">
        <v>139</v>
      </c>
      <c r="BW2679" t="str">
        <f>""</f>
        <v/>
      </c>
      <c r="CH2679" t="str">
        <f>""</f>
        <v/>
      </c>
      <c r="CS2679" t="str">
        <f>""</f>
        <v/>
      </c>
    </row>
    <row r="2680" spans="1:97" x14ac:dyDescent="0.25">
      <c r="A2680" t="s">
        <v>1845</v>
      </c>
      <c r="B2680" t="s">
        <v>17764</v>
      </c>
      <c r="E2680" t="s">
        <v>17765</v>
      </c>
      <c r="F2680" t="s">
        <v>108</v>
      </c>
      <c r="H2680" t="s">
        <v>17766</v>
      </c>
      <c r="I2680" t="s">
        <v>110</v>
      </c>
      <c r="J2680" t="s">
        <v>111</v>
      </c>
      <c r="K2680" t="str">
        <f>"85225"</f>
        <v>85225</v>
      </c>
      <c r="L2680" t="s">
        <v>6145</v>
      </c>
      <c r="M2680" t="s">
        <v>17766</v>
      </c>
      <c r="N2680" t="s">
        <v>110</v>
      </c>
      <c r="O2680" t="s">
        <v>111</v>
      </c>
      <c r="P2680" t="str">
        <f>"85225-6750"</f>
        <v>85225-6750</v>
      </c>
      <c r="Q2680" t="s">
        <v>113</v>
      </c>
      <c r="R2680" t="str">
        <f>"302-55-008-A"</f>
        <v>302-55-008-A</v>
      </c>
      <c r="S2680" t="s">
        <v>17767</v>
      </c>
      <c r="T2680" t="s">
        <v>17768</v>
      </c>
      <c r="U2680">
        <v>1503</v>
      </c>
      <c r="V2680">
        <v>0</v>
      </c>
      <c r="W2680">
        <v>2</v>
      </c>
      <c r="X2680">
        <v>1970</v>
      </c>
      <c r="Z2680">
        <v>1</v>
      </c>
      <c r="AA2680" t="s">
        <v>26</v>
      </c>
      <c r="AB2680">
        <v>0</v>
      </c>
      <c r="AC2680" t="s">
        <v>5188</v>
      </c>
      <c r="AD2680">
        <v>2</v>
      </c>
      <c r="AE2680" t="s">
        <v>5188</v>
      </c>
      <c r="AF2680">
        <v>0</v>
      </c>
      <c r="AG2680">
        <v>0</v>
      </c>
      <c r="AH2680" t="s">
        <v>116</v>
      </c>
      <c r="AI2680" s="1">
        <v>66159</v>
      </c>
      <c r="AJ2680" s="2">
        <v>0.24</v>
      </c>
      <c r="AK2680" s="1">
        <v>270693</v>
      </c>
      <c r="AL2680" t="s">
        <v>117</v>
      </c>
      <c r="AM2680" t="s">
        <v>5077</v>
      </c>
      <c r="AN2680">
        <v>7039</v>
      </c>
      <c r="AO2680">
        <v>0.16</v>
      </c>
      <c r="AP2680">
        <v>1</v>
      </c>
      <c r="AR2680">
        <v>1</v>
      </c>
      <c r="AS2680" s="1">
        <v>17610</v>
      </c>
      <c r="AT2680" s="1">
        <v>3520</v>
      </c>
      <c r="AU2680" s="1">
        <v>14090</v>
      </c>
      <c r="AV2680">
        <v>80.010000000000005</v>
      </c>
      <c r="AX2680" s="1">
        <v>919.62</v>
      </c>
      <c r="AY2680" t="s">
        <v>5657</v>
      </c>
      <c r="AZ2680" t="s">
        <v>5078</v>
      </c>
      <c r="BA2680" t="s">
        <v>2957</v>
      </c>
      <c r="BE2680" s="3">
        <v>41647</v>
      </c>
      <c r="BF2680" s="1">
        <v>157500</v>
      </c>
      <c r="BG2680" t="s">
        <v>17769</v>
      </c>
      <c r="BH2680" s="1">
        <v>104.79</v>
      </c>
      <c r="BI2680" s="1">
        <v>204534</v>
      </c>
      <c r="BJ2680" s="3">
        <v>42675</v>
      </c>
      <c r="BK2680" t="s">
        <v>123</v>
      </c>
      <c r="BL2680" t="str">
        <f>"2016.805988"</f>
        <v>2016.805988</v>
      </c>
      <c r="BM2680" t="s">
        <v>402</v>
      </c>
      <c r="BO2680" t="s">
        <v>17770</v>
      </c>
      <c r="BS2680">
        <v>30</v>
      </c>
      <c r="BW2680" t="str">
        <f>""</f>
        <v/>
      </c>
      <c r="CH2680" t="str">
        <f>""</f>
        <v/>
      </c>
      <c r="CS2680" t="str">
        <f>""</f>
        <v/>
      </c>
    </row>
    <row r="2681" spans="1:97" x14ac:dyDescent="0.25">
      <c r="A2681" t="s">
        <v>2770</v>
      </c>
      <c r="B2681" t="s">
        <v>17771</v>
      </c>
      <c r="C2681" t="s">
        <v>2319</v>
      </c>
      <c r="D2681" t="s">
        <v>17771</v>
      </c>
      <c r="E2681" t="s">
        <v>17772</v>
      </c>
      <c r="F2681" t="s">
        <v>108</v>
      </c>
      <c r="H2681" t="s">
        <v>17773</v>
      </c>
      <c r="I2681" t="s">
        <v>110</v>
      </c>
      <c r="J2681" t="s">
        <v>111</v>
      </c>
      <c r="K2681" t="str">
        <f>"85286"</f>
        <v>85286</v>
      </c>
      <c r="L2681" t="s">
        <v>1796</v>
      </c>
      <c r="M2681" t="s">
        <v>17773</v>
      </c>
      <c r="N2681" t="s">
        <v>110</v>
      </c>
      <c r="O2681" t="s">
        <v>111</v>
      </c>
      <c r="P2681" t="str">
        <f>"85286-7430"</f>
        <v>85286-7430</v>
      </c>
      <c r="Q2681" t="s">
        <v>113</v>
      </c>
      <c r="R2681" t="str">
        <f>"303-77-247"</f>
        <v>303-77-247</v>
      </c>
      <c r="S2681" t="s">
        <v>17774</v>
      </c>
      <c r="U2681">
        <v>2285</v>
      </c>
      <c r="V2681">
        <v>0</v>
      </c>
      <c r="W2681">
        <v>3</v>
      </c>
      <c r="X2681">
        <v>2008</v>
      </c>
      <c r="Z2681">
        <v>1</v>
      </c>
      <c r="AA2681" t="s">
        <v>26</v>
      </c>
      <c r="AB2681">
        <v>0</v>
      </c>
      <c r="AC2681" t="s">
        <v>115</v>
      </c>
      <c r="AD2681">
        <v>3</v>
      </c>
      <c r="AE2681" t="s">
        <v>115</v>
      </c>
      <c r="AF2681">
        <v>0</v>
      </c>
      <c r="AG2681">
        <v>0</v>
      </c>
      <c r="AH2681" t="s">
        <v>116</v>
      </c>
      <c r="AI2681" s="1">
        <v>63450</v>
      </c>
      <c r="AJ2681" s="2">
        <v>0.15</v>
      </c>
      <c r="AK2681" s="1">
        <v>433450</v>
      </c>
      <c r="AL2681" t="s">
        <v>117</v>
      </c>
      <c r="AM2681" t="s">
        <v>118</v>
      </c>
      <c r="AN2681">
        <v>6882</v>
      </c>
      <c r="AO2681">
        <v>0.16</v>
      </c>
      <c r="AR2681">
        <v>1</v>
      </c>
      <c r="AS2681" s="1">
        <v>30930</v>
      </c>
      <c r="AT2681" s="1">
        <v>6180</v>
      </c>
      <c r="AU2681" s="1">
        <v>24750</v>
      </c>
      <c r="AV2681">
        <v>80.02</v>
      </c>
      <c r="AX2681" s="1">
        <v>2784.8</v>
      </c>
      <c r="AY2681" t="s">
        <v>10718</v>
      </c>
      <c r="AZ2681" t="s">
        <v>1882</v>
      </c>
      <c r="BA2681" t="s">
        <v>121</v>
      </c>
      <c r="BE2681" s="3">
        <v>42216</v>
      </c>
      <c r="BF2681" s="1">
        <v>370000</v>
      </c>
      <c r="BG2681" t="s">
        <v>17775</v>
      </c>
      <c r="BH2681" s="1">
        <v>161.93</v>
      </c>
      <c r="BI2681" s="1">
        <v>370000</v>
      </c>
      <c r="BJ2681" s="3">
        <v>42216</v>
      </c>
      <c r="BK2681" t="s">
        <v>123</v>
      </c>
      <c r="BL2681" t="str">
        <f>"2015.558879"</f>
        <v>2015.558879</v>
      </c>
      <c r="BM2681" t="s">
        <v>594</v>
      </c>
      <c r="BO2681" t="s">
        <v>17776</v>
      </c>
      <c r="BS2681">
        <v>30</v>
      </c>
      <c r="BW2681" t="str">
        <f>""</f>
        <v/>
      </c>
      <c r="CH2681" t="str">
        <f>""</f>
        <v/>
      </c>
      <c r="CS2681" t="str">
        <f>""</f>
        <v/>
      </c>
    </row>
    <row r="2682" spans="1:97" x14ac:dyDescent="0.25">
      <c r="A2682" t="s">
        <v>589</v>
      </c>
      <c r="B2682" t="s">
        <v>1593</v>
      </c>
      <c r="C2682" t="s">
        <v>489</v>
      </c>
      <c r="D2682" t="s">
        <v>1593</v>
      </c>
      <c r="E2682" t="s">
        <v>17777</v>
      </c>
      <c r="F2682" t="s">
        <v>108</v>
      </c>
      <c r="H2682" t="s">
        <v>17778</v>
      </c>
      <c r="I2682" t="s">
        <v>390</v>
      </c>
      <c r="J2682" t="s">
        <v>111</v>
      </c>
      <c r="K2682" t="str">
        <f>"85085"</f>
        <v>85085</v>
      </c>
      <c r="L2682" t="s">
        <v>3094</v>
      </c>
      <c r="M2682" t="s">
        <v>17778</v>
      </c>
      <c r="N2682" t="s">
        <v>390</v>
      </c>
      <c r="O2682" t="s">
        <v>111</v>
      </c>
      <c r="P2682" t="str">
        <f>"85085-3733"</f>
        <v>85085-3733</v>
      </c>
      <c r="Q2682" t="s">
        <v>113</v>
      </c>
      <c r="R2682" t="str">
        <f>"204-24-796"</f>
        <v>204-24-796</v>
      </c>
      <c r="S2682" t="s">
        <v>17779</v>
      </c>
      <c r="T2682" t="s">
        <v>17780</v>
      </c>
      <c r="U2682">
        <v>2128</v>
      </c>
      <c r="V2682">
        <v>0</v>
      </c>
      <c r="W2682">
        <v>3</v>
      </c>
      <c r="X2682">
        <v>2006</v>
      </c>
      <c r="Z2682">
        <v>1</v>
      </c>
      <c r="AB2682">
        <v>0</v>
      </c>
      <c r="AC2682" t="s">
        <v>115</v>
      </c>
      <c r="AD2682">
        <v>2</v>
      </c>
      <c r="AE2682" t="s">
        <v>115</v>
      </c>
      <c r="AF2682">
        <v>0</v>
      </c>
      <c r="AG2682">
        <v>0</v>
      </c>
      <c r="AH2682" t="s">
        <v>116</v>
      </c>
      <c r="AI2682" s="1">
        <v>82500</v>
      </c>
      <c r="AJ2682" s="2">
        <v>0.24</v>
      </c>
      <c r="AK2682" s="1">
        <v>350654</v>
      </c>
      <c r="AL2682" t="s">
        <v>117</v>
      </c>
      <c r="AM2682" t="s">
        <v>760</v>
      </c>
      <c r="AN2682">
        <v>5875</v>
      </c>
      <c r="AO2682">
        <v>0.14000000000000001</v>
      </c>
      <c r="AR2682">
        <v>1</v>
      </c>
      <c r="AS2682" s="1">
        <v>24930</v>
      </c>
      <c r="AT2682" s="1">
        <v>4980</v>
      </c>
      <c r="AU2682" s="1">
        <v>19950</v>
      </c>
      <c r="AV2682">
        <v>80.02</v>
      </c>
      <c r="AX2682" s="1">
        <v>2183.06</v>
      </c>
      <c r="AY2682" t="s">
        <v>1461</v>
      </c>
      <c r="AZ2682" t="s">
        <v>1461</v>
      </c>
      <c r="BA2682" t="s">
        <v>1462</v>
      </c>
      <c r="BE2682" s="3">
        <v>41726</v>
      </c>
      <c r="BF2682" s="1">
        <v>267650</v>
      </c>
      <c r="BG2682" t="s">
        <v>17781</v>
      </c>
      <c r="BH2682" s="1">
        <v>125.78</v>
      </c>
      <c r="BI2682" s="1">
        <v>268154</v>
      </c>
      <c r="BJ2682" s="3">
        <v>42093</v>
      </c>
      <c r="BK2682" t="s">
        <v>123</v>
      </c>
      <c r="BL2682" t="str">
        <f>"2015.211158"</f>
        <v>2015.211158</v>
      </c>
      <c r="BM2682" t="s">
        <v>5534</v>
      </c>
      <c r="BO2682" t="s">
        <v>17782</v>
      </c>
      <c r="BS2682">
        <v>30</v>
      </c>
      <c r="BW2682" t="str">
        <f>""</f>
        <v/>
      </c>
      <c r="CH2682" t="str">
        <f>""</f>
        <v/>
      </c>
      <c r="CS2682" t="str">
        <f>""</f>
        <v/>
      </c>
    </row>
    <row r="2683" spans="1:97" x14ac:dyDescent="0.25">
      <c r="A2683" t="s">
        <v>140</v>
      </c>
      <c r="B2683" t="s">
        <v>17783</v>
      </c>
      <c r="C2683" t="s">
        <v>2099</v>
      </c>
      <c r="D2683" t="s">
        <v>17783</v>
      </c>
      <c r="E2683" t="s">
        <v>17784</v>
      </c>
      <c r="F2683" t="s">
        <v>108</v>
      </c>
      <c r="H2683" t="s">
        <v>17785</v>
      </c>
      <c r="I2683" t="s">
        <v>390</v>
      </c>
      <c r="J2683" t="s">
        <v>111</v>
      </c>
      <c r="K2683" t="str">
        <f>"85014"</f>
        <v>85014</v>
      </c>
      <c r="L2683" t="s">
        <v>6325</v>
      </c>
      <c r="M2683" t="s">
        <v>17785</v>
      </c>
      <c r="N2683" t="s">
        <v>390</v>
      </c>
      <c r="O2683" t="s">
        <v>111</v>
      </c>
      <c r="P2683" t="str">
        <f>"85014-1045"</f>
        <v>85014-1045</v>
      </c>
      <c r="Q2683" t="s">
        <v>113</v>
      </c>
      <c r="R2683" t="str">
        <f>"161-03-056"</f>
        <v>161-03-056</v>
      </c>
      <c r="S2683" t="s">
        <v>17786</v>
      </c>
      <c r="T2683" t="s">
        <v>17786</v>
      </c>
      <c r="U2683">
        <v>1870</v>
      </c>
      <c r="V2683">
        <v>0</v>
      </c>
      <c r="W2683">
        <v>2</v>
      </c>
      <c r="X2683">
        <v>1951</v>
      </c>
      <c r="Z2683">
        <v>1</v>
      </c>
      <c r="AA2683" t="s">
        <v>26</v>
      </c>
      <c r="AB2683">
        <v>0</v>
      </c>
      <c r="AC2683" t="s">
        <v>5188</v>
      </c>
      <c r="AD2683">
        <v>1</v>
      </c>
      <c r="AE2683" t="s">
        <v>5188</v>
      </c>
      <c r="AF2683">
        <v>0</v>
      </c>
      <c r="AG2683">
        <v>0</v>
      </c>
      <c r="AH2683" t="s">
        <v>116</v>
      </c>
      <c r="AI2683" s="1">
        <v>38234</v>
      </c>
      <c r="AJ2683" s="2">
        <v>0.09</v>
      </c>
      <c r="AK2683" s="1">
        <v>431511</v>
      </c>
      <c r="AL2683" t="s">
        <v>117</v>
      </c>
      <c r="AM2683" t="s">
        <v>191</v>
      </c>
      <c r="AN2683">
        <v>8795</v>
      </c>
      <c r="AO2683">
        <v>0.2</v>
      </c>
      <c r="AP2683">
        <v>1</v>
      </c>
      <c r="AR2683">
        <v>1</v>
      </c>
      <c r="AS2683" s="1">
        <v>28450</v>
      </c>
      <c r="AT2683" s="1">
        <v>5690</v>
      </c>
      <c r="AU2683" s="1">
        <v>22760</v>
      </c>
      <c r="AV2683">
        <v>80</v>
      </c>
      <c r="AX2683" s="1">
        <v>2638.48</v>
      </c>
      <c r="AY2683" t="s">
        <v>5734</v>
      </c>
      <c r="AZ2683" t="s">
        <v>5735</v>
      </c>
      <c r="BA2683" t="s">
        <v>5469</v>
      </c>
      <c r="BE2683" s="3">
        <v>42250</v>
      </c>
      <c r="BF2683" s="1">
        <v>385000</v>
      </c>
      <c r="BG2683" t="s">
        <v>9633</v>
      </c>
      <c r="BH2683" s="1">
        <v>205.88</v>
      </c>
      <c r="BI2683" s="1">
        <v>393277</v>
      </c>
      <c r="BJ2683" s="3">
        <v>42250</v>
      </c>
      <c r="BK2683" t="s">
        <v>123</v>
      </c>
      <c r="BL2683" t="str">
        <f>"2015.642161"</f>
        <v>2015.642161</v>
      </c>
      <c r="BM2683" t="s">
        <v>17787</v>
      </c>
      <c r="BN2683" t="s">
        <v>739</v>
      </c>
      <c r="BO2683" t="s">
        <v>17788</v>
      </c>
      <c r="BS2683">
        <v>30</v>
      </c>
      <c r="BW2683" t="str">
        <f>""</f>
        <v/>
      </c>
      <c r="CH2683" t="str">
        <f>""</f>
        <v/>
      </c>
      <c r="CS2683" t="str">
        <f>""</f>
        <v/>
      </c>
    </row>
    <row r="2684" spans="1:97" x14ac:dyDescent="0.25">
      <c r="A2684" t="s">
        <v>5214</v>
      </c>
      <c r="B2684" t="s">
        <v>2894</v>
      </c>
      <c r="E2684" t="s">
        <v>17789</v>
      </c>
      <c r="F2684" t="s">
        <v>108</v>
      </c>
      <c r="H2684" t="s">
        <v>17790</v>
      </c>
      <c r="I2684" t="s">
        <v>5114</v>
      </c>
      <c r="J2684" t="s">
        <v>111</v>
      </c>
      <c r="K2684" t="str">
        <f>"85323"</f>
        <v>85323</v>
      </c>
      <c r="L2684" t="s">
        <v>284</v>
      </c>
      <c r="M2684" t="s">
        <v>17790</v>
      </c>
      <c r="N2684" t="s">
        <v>5114</v>
      </c>
      <c r="O2684" t="s">
        <v>111</v>
      </c>
      <c r="P2684" t="str">
        <f>"85323-8025"</f>
        <v>85323-8025</v>
      </c>
      <c r="Q2684" t="s">
        <v>113</v>
      </c>
      <c r="R2684" t="str">
        <f>"500-29-340"</f>
        <v>500-29-340</v>
      </c>
      <c r="S2684" t="s">
        <v>17791</v>
      </c>
      <c r="U2684">
        <v>1678</v>
      </c>
      <c r="V2684">
        <v>0</v>
      </c>
      <c r="W2684">
        <v>2</v>
      </c>
      <c r="X2684">
        <v>2001</v>
      </c>
      <c r="Z2684">
        <v>1</v>
      </c>
      <c r="AB2684">
        <v>0</v>
      </c>
      <c r="AC2684" t="s">
        <v>115</v>
      </c>
      <c r="AD2684">
        <v>2</v>
      </c>
      <c r="AE2684" t="s">
        <v>115</v>
      </c>
      <c r="AF2684">
        <v>0</v>
      </c>
      <c r="AG2684">
        <v>0</v>
      </c>
      <c r="AH2684" t="s">
        <v>116</v>
      </c>
      <c r="AI2684" s="1">
        <v>15623</v>
      </c>
      <c r="AJ2684" s="2">
        <v>7.0000000000000007E-2</v>
      </c>
      <c r="AK2684" s="1">
        <v>236523</v>
      </c>
      <c r="AL2684" t="s">
        <v>117</v>
      </c>
      <c r="AM2684" t="s">
        <v>118</v>
      </c>
      <c r="AN2684">
        <v>5516</v>
      </c>
      <c r="AO2684">
        <v>0.13</v>
      </c>
      <c r="AP2684">
        <v>1</v>
      </c>
      <c r="AR2684">
        <v>1</v>
      </c>
      <c r="AS2684" s="1">
        <v>15460</v>
      </c>
      <c r="AT2684" s="1">
        <v>3090</v>
      </c>
      <c r="AU2684" s="1">
        <v>12370</v>
      </c>
      <c r="AV2684">
        <v>80.010000000000005</v>
      </c>
      <c r="AX2684" s="1">
        <v>1720.92</v>
      </c>
      <c r="AY2684" t="s">
        <v>9447</v>
      </c>
      <c r="AZ2684" t="s">
        <v>9447</v>
      </c>
      <c r="BA2684" t="s">
        <v>4254</v>
      </c>
      <c r="BB2684" s="3">
        <v>43311</v>
      </c>
      <c r="BC2684" s="1">
        <v>0</v>
      </c>
      <c r="BD2684" t="s">
        <v>247</v>
      </c>
      <c r="BE2684" s="3">
        <v>41988</v>
      </c>
      <c r="BF2684" s="1">
        <v>156000</v>
      </c>
      <c r="BG2684" t="s">
        <v>12224</v>
      </c>
      <c r="BH2684" s="1">
        <v>92.97</v>
      </c>
      <c r="BI2684" s="1">
        <v>220900</v>
      </c>
      <c r="BJ2684" s="3">
        <v>43580</v>
      </c>
      <c r="BK2684" t="s">
        <v>123</v>
      </c>
      <c r="BL2684" t="str">
        <f>"2019.291795"</f>
        <v>2019.291795</v>
      </c>
      <c r="BM2684" t="s">
        <v>5842</v>
      </c>
      <c r="BN2684" t="s">
        <v>5843</v>
      </c>
      <c r="BO2684" t="s">
        <v>17792</v>
      </c>
      <c r="BR2684" t="s">
        <v>139</v>
      </c>
      <c r="BW2684" t="str">
        <f>""</f>
        <v/>
      </c>
      <c r="CH2684" t="str">
        <f>""</f>
        <v/>
      </c>
      <c r="CS2684" t="str">
        <f>""</f>
        <v/>
      </c>
    </row>
    <row r="2685" spans="1:97" x14ac:dyDescent="0.25">
      <c r="A2685" t="s">
        <v>1938</v>
      </c>
      <c r="B2685" t="s">
        <v>3770</v>
      </c>
      <c r="C2685" t="s">
        <v>5847</v>
      </c>
      <c r="D2685" t="s">
        <v>17793</v>
      </c>
      <c r="E2685" t="s">
        <v>17794</v>
      </c>
      <c r="F2685" t="s">
        <v>108</v>
      </c>
      <c r="H2685" t="s">
        <v>17795</v>
      </c>
      <c r="I2685" t="s">
        <v>225</v>
      </c>
      <c r="J2685" t="s">
        <v>111</v>
      </c>
      <c r="K2685" t="str">
        <f>"85207"</f>
        <v>85207</v>
      </c>
      <c r="L2685" t="s">
        <v>284</v>
      </c>
      <c r="M2685" t="s">
        <v>17795</v>
      </c>
      <c r="N2685" t="s">
        <v>225</v>
      </c>
      <c r="O2685" t="s">
        <v>111</v>
      </c>
      <c r="P2685" t="str">
        <f>"85207-2109"</f>
        <v>85207-2109</v>
      </c>
      <c r="Q2685" t="s">
        <v>113</v>
      </c>
      <c r="R2685" t="str">
        <f>"219-26-388"</f>
        <v>219-26-388</v>
      </c>
      <c r="S2685" t="s">
        <v>17796</v>
      </c>
      <c r="U2685">
        <v>1660</v>
      </c>
      <c r="V2685">
        <v>0</v>
      </c>
      <c r="W2685">
        <v>2</v>
      </c>
      <c r="X2685">
        <v>1984</v>
      </c>
      <c r="Z2685">
        <v>1</v>
      </c>
      <c r="AA2685" t="s">
        <v>26</v>
      </c>
      <c r="AB2685">
        <v>0</v>
      </c>
      <c r="AC2685" t="s">
        <v>115</v>
      </c>
      <c r="AD2685">
        <v>6</v>
      </c>
      <c r="AE2685" t="s">
        <v>115</v>
      </c>
      <c r="AF2685">
        <v>0</v>
      </c>
      <c r="AG2685">
        <v>0</v>
      </c>
      <c r="AH2685" t="s">
        <v>116</v>
      </c>
      <c r="AI2685" s="1">
        <v>49639</v>
      </c>
      <c r="AJ2685" s="2">
        <v>0.13</v>
      </c>
      <c r="AK2685" s="1">
        <v>387063</v>
      </c>
      <c r="AL2685" t="s">
        <v>117</v>
      </c>
      <c r="AM2685" t="s">
        <v>3973</v>
      </c>
      <c r="AN2685">
        <v>50325</v>
      </c>
      <c r="AO2685">
        <v>1.1599999999999999</v>
      </c>
      <c r="AP2685">
        <v>1</v>
      </c>
      <c r="AR2685">
        <v>1</v>
      </c>
      <c r="AS2685" s="1">
        <v>29970</v>
      </c>
      <c r="AT2685" s="1">
        <v>5990</v>
      </c>
      <c r="AU2685" s="1">
        <v>23980</v>
      </c>
      <c r="AV2685">
        <v>80.010000000000005</v>
      </c>
      <c r="AX2685" s="1">
        <v>2030.1</v>
      </c>
      <c r="AY2685" t="s">
        <v>9337</v>
      </c>
      <c r="AZ2685" t="s">
        <v>231</v>
      </c>
      <c r="BA2685" t="s">
        <v>3119</v>
      </c>
      <c r="BE2685" s="3">
        <v>41898</v>
      </c>
      <c r="BF2685" s="1">
        <v>279000</v>
      </c>
      <c r="BG2685" t="s">
        <v>17797</v>
      </c>
      <c r="BH2685" s="1">
        <v>168.07</v>
      </c>
      <c r="BI2685" s="1">
        <v>287424</v>
      </c>
      <c r="BJ2685" s="3">
        <v>42471</v>
      </c>
      <c r="BK2685" t="s">
        <v>123</v>
      </c>
      <c r="BL2685" t="str">
        <f>"2016.237432"</f>
        <v>2016.237432</v>
      </c>
      <c r="BM2685" t="s">
        <v>2748</v>
      </c>
      <c r="BN2685" t="s">
        <v>10508</v>
      </c>
      <c r="BO2685" t="s">
        <v>17798</v>
      </c>
      <c r="BP2685" t="s">
        <v>17799</v>
      </c>
      <c r="BS2685">
        <v>30</v>
      </c>
      <c r="BT2685" s="1">
        <v>50000</v>
      </c>
      <c r="BU2685" s="3">
        <v>43606</v>
      </c>
      <c r="BW2685" t="str">
        <f>"2019.372359"</f>
        <v>2019.372359</v>
      </c>
      <c r="BX2685" t="s">
        <v>135</v>
      </c>
      <c r="BY2685" t="s">
        <v>136</v>
      </c>
      <c r="BZ2685" t="s">
        <v>17800</v>
      </c>
      <c r="CA2685" t="s">
        <v>17801</v>
      </c>
      <c r="CC2685" t="s">
        <v>346</v>
      </c>
      <c r="CH2685" t="str">
        <f>""</f>
        <v/>
      </c>
      <c r="CS2685" t="str">
        <f>""</f>
        <v/>
      </c>
    </row>
    <row r="2686" spans="1:97" x14ac:dyDescent="0.25">
      <c r="A2686" t="s">
        <v>1850</v>
      </c>
      <c r="B2686" t="s">
        <v>17802</v>
      </c>
      <c r="C2686" t="s">
        <v>17803</v>
      </c>
      <c r="D2686" t="s">
        <v>17802</v>
      </c>
      <c r="E2686" t="s">
        <v>17804</v>
      </c>
      <c r="F2686" t="s">
        <v>108</v>
      </c>
      <c r="H2686" t="s">
        <v>17805</v>
      </c>
      <c r="I2686" t="s">
        <v>144</v>
      </c>
      <c r="J2686" t="s">
        <v>111</v>
      </c>
      <c r="K2686" t="str">
        <f>"85326"</f>
        <v>85326</v>
      </c>
      <c r="L2686" t="s">
        <v>1796</v>
      </c>
      <c r="M2686" t="s">
        <v>17805</v>
      </c>
      <c r="N2686" t="s">
        <v>144</v>
      </c>
      <c r="O2686" t="s">
        <v>111</v>
      </c>
      <c r="P2686" t="str">
        <f>"85326-4081"</f>
        <v>85326-4081</v>
      </c>
      <c r="Q2686" t="s">
        <v>113</v>
      </c>
      <c r="R2686" t="str">
        <f>"504-22-818"</f>
        <v>504-22-818</v>
      </c>
      <c r="S2686" t="s">
        <v>13210</v>
      </c>
      <c r="T2686" t="s">
        <v>13211</v>
      </c>
      <c r="U2686">
        <v>3009</v>
      </c>
      <c r="V2686">
        <v>0</v>
      </c>
      <c r="W2686">
        <v>4</v>
      </c>
      <c r="X2686">
        <v>2005</v>
      </c>
      <c r="Z2686">
        <v>1</v>
      </c>
      <c r="AA2686" t="s">
        <v>26</v>
      </c>
      <c r="AB2686">
        <v>0</v>
      </c>
      <c r="AC2686" t="s">
        <v>115</v>
      </c>
      <c r="AD2686">
        <v>3</v>
      </c>
      <c r="AE2686" t="s">
        <v>115</v>
      </c>
      <c r="AF2686">
        <v>0</v>
      </c>
      <c r="AG2686">
        <v>0</v>
      </c>
      <c r="AH2686" t="s">
        <v>116</v>
      </c>
      <c r="AI2686" s="1">
        <v>20296</v>
      </c>
      <c r="AJ2686" s="2">
        <v>0.06</v>
      </c>
      <c r="AK2686" s="1">
        <v>355021</v>
      </c>
      <c r="AL2686" t="s">
        <v>117</v>
      </c>
      <c r="AM2686" t="s">
        <v>118</v>
      </c>
      <c r="AN2686">
        <v>14876</v>
      </c>
      <c r="AO2686">
        <v>0.34</v>
      </c>
      <c r="AR2686">
        <v>1</v>
      </c>
      <c r="AS2686" s="1">
        <v>24850</v>
      </c>
      <c r="AT2686" s="1">
        <v>4970</v>
      </c>
      <c r="AU2686" s="1">
        <v>19880</v>
      </c>
      <c r="AV2686">
        <v>80</v>
      </c>
      <c r="AX2686" s="1">
        <v>2797.52</v>
      </c>
      <c r="AY2686" t="s">
        <v>5024</v>
      </c>
      <c r="AZ2686" t="s">
        <v>5024</v>
      </c>
      <c r="BA2686" t="s">
        <v>5025</v>
      </c>
      <c r="BE2686" s="3">
        <v>42514</v>
      </c>
      <c r="BF2686" s="1">
        <v>325000</v>
      </c>
      <c r="BG2686" t="s">
        <v>17806</v>
      </c>
      <c r="BH2686" s="1">
        <v>108.01</v>
      </c>
      <c r="BI2686" s="1">
        <v>334725</v>
      </c>
      <c r="BJ2686" s="3">
        <v>42514</v>
      </c>
      <c r="BK2686" t="s">
        <v>123</v>
      </c>
      <c r="BL2686" t="str">
        <f>"2016.354297"</f>
        <v>2016.354297</v>
      </c>
      <c r="BM2686" t="s">
        <v>135</v>
      </c>
      <c r="BO2686" t="s">
        <v>17807</v>
      </c>
      <c r="BS2686">
        <v>30</v>
      </c>
      <c r="BW2686" t="str">
        <f>""</f>
        <v/>
      </c>
      <c r="CH2686" t="str">
        <f>""</f>
        <v/>
      </c>
      <c r="CS2686" t="str">
        <f>""</f>
        <v/>
      </c>
    </row>
    <row r="2687" spans="1:97" x14ac:dyDescent="0.25">
      <c r="A2687" t="s">
        <v>1374</v>
      </c>
      <c r="B2687" t="s">
        <v>3831</v>
      </c>
      <c r="C2687" t="s">
        <v>970</v>
      </c>
      <c r="D2687" t="s">
        <v>3831</v>
      </c>
      <c r="E2687" t="s">
        <v>17808</v>
      </c>
      <c r="F2687" t="s">
        <v>108</v>
      </c>
      <c r="H2687" t="s">
        <v>17809</v>
      </c>
      <c r="I2687" t="s">
        <v>144</v>
      </c>
      <c r="J2687" t="s">
        <v>111</v>
      </c>
      <c r="K2687" t="str">
        <f>"85396"</f>
        <v>85396</v>
      </c>
      <c r="L2687" t="s">
        <v>5429</v>
      </c>
      <c r="M2687" t="s">
        <v>17809</v>
      </c>
      <c r="N2687" t="s">
        <v>144</v>
      </c>
      <c r="O2687" t="s">
        <v>111</v>
      </c>
      <c r="P2687" t="str">
        <f>"85396-8716"</f>
        <v>85396-8716</v>
      </c>
      <c r="R2687" t="str">
        <f>"502-34-155"</f>
        <v>502-34-155</v>
      </c>
      <c r="S2687" t="s">
        <v>17810</v>
      </c>
      <c r="T2687" t="s">
        <v>17810</v>
      </c>
      <c r="U2687">
        <v>2031</v>
      </c>
      <c r="V2687">
        <v>0</v>
      </c>
      <c r="W2687">
        <v>3</v>
      </c>
      <c r="X2687">
        <v>1974</v>
      </c>
      <c r="Z2687">
        <v>1</v>
      </c>
      <c r="AA2687" t="s">
        <v>26</v>
      </c>
      <c r="AB2687">
        <v>0</v>
      </c>
      <c r="AC2687" t="s">
        <v>115</v>
      </c>
      <c r="AD2687">
        <v>4</v>
      </c>
      <c r="AE2687" t="s">
        <v>115</v>
      </c>
      <c r="AF2687">
        <v>0</v>
      </c>
      <c r="AG2687">
        <v>0</v>
      </c>
      <c r="AH2687" t="s">
        <v>116</v>
      </c>
      <c r="AI2687" s="1">
        <v>74330</v>
      </c>
      <c r="AJ2687" s="2">
        <v>0.2</v>
      </c>
      <c r="AK2687" s="1">
        <v>373480</v>
      </c>
      <c r="AL2687" t="s">
        <v>117</v>
      </c>
      <c r="AM2687" t="s">
        <v>376</v>
      </c>
      <c r="AN2687">
        <v>45657</v>
      </c>
      <c r="AO2687">
        <v>1.05</v>
      </c>
      <c r="AP2687">
        <v>1</v>
      </c>
      <c r="AR2687">
        <v>1</v>
      </c>
      <c r="AS2687" s="1">
        <v>26780</v>
      </c>
      <c r="AT2687" s="1">
        <v>5350</v>
      </c>
      <c r="AU2687" s="1">
        <v>21430</v>
      </c>
      <c r="AV2687">
        <v>80.02</v>
      </c>
      <c r="AX2687" s="1">
        <v>1962.58</v>
      </c>
      <c r="AY2687" t="s">
        <v>217</v>
      </c>
      <c r="AZ2687" t="s">
        <v>217</v>
      </c>
      <c r="BA2687" t="s">
        <v>218</v>
      </c>
      <c r="BE2687" s="3">
        <v>41689</v>
      </c>
      <c r="BF2687" s="1">
        <v>285000</v>
      </c>
      <c r="BG2687" t="s">
        <v>17811</v>
      </c>
      <c r="BH2687" s="1">
        <v>140.32</v>
      </c>
      <c r="BI2687" s="1">
        <v>288600</v>
      </c>
      <c r="BJ2687" s="3">
        <v>42388</v>
      </c>
      <c r="BK2687" t="s">
        <v>123</v>
      </c>
      <c r="BL2687" t="str">
        <f>"2016.34978"</f>
        <v>2016.34978</v>
      </c>
      <c r="BM2687" t="s">
        <v>124</v>
      </c>
      <c r="BN2687" t="s">
        <v>1575</v>
      </c>
      <c r="BO2687" t="s">
        <v>17812</v>
      </c>
      <c r="BS2687">
        <v>28</v>
      </c>
      <c r="BT2687" s="1">
        <v>10550</v>
      </c>
      <c r="BU2687" s="3">
        <v>42163</v>
      </c>
      <c r="BV2687" t="s">
        <v>134</v>
      </c>
      <c r="BW2687" t="str">
        <f>"2015.405509"</f>
        <v>2015.405509</v>
      </c>
      <c r="BX2687" t="s">
        <v>4440</v>
      </c>
      <c r="BY2687" t="s">
        <v>17813</v>
      </c>
      <c r="BZ2687" t="s">
        <v>17812</v>
      </c>
      <c r="CD2687">
        <v>7</v>
      </c>
      <c r="CH2687" t="str">
        <f>""</f>
        <v/>
      </c>
      <c r="CS2687" t="str">
        <f>""</f>
        <v/>
      </c>
    </row>
    <row r="2688" spans="1:97" x14ac:dyDescent="0.25">
      <c r="A2688" t="s">
        <v>152</v>
      </c>
      <c r="B2688" t="s">
        <v>17814</v>
      </c>
      <c r="E2688" t="s">
        <v>17815</v>
      </c>
      <c r="F2688" t="s">
        <v>108</v>
      </c>
      <c r="H2688" t="s">
        <v>17816</v>
      </c>
      <c r="I2688" t="s">
        <v>144</v>
      </c>
      <c r="J2688" t="s">
        <v>111</v>
      </c>
      <c r="K2688" t="str">
        <f>"85326"</f>
        <v>85326</v>
      </c>
      <c r="L2688" t="s">
        <v>2197</v>
      </c>
      <c r="M2688" t="s">
        <v>17816</v>
      </c>
      <c r="N2688" t="s">
        <v>144</v>
      </c>
      <c r="O2688" t="s">
        <v>111</v>
      </c>
      <c r="P2688" t="str">
        <f>"85326-3922"</f>
        <v>85326-3922</v>
      </c>
      <c r="Q2688" t="s">
        <v>113</v>
      </c>
      <c r="R2688" t="str">
        <f>"504-22-134"</f>
        <v>504-22-134</v>
      </c>
      <c r="S2688" t="s">
        <v>17817</v>
      </c>
      <c r="U2688">
        <v>2343</v>
      </c>
      <c r="V2688">
        <v>0</v>
      </c>
      <c r="W2688">
        <v>4</v>
      </c>
      <c r="X2688">
        <v>2002</v>
      </c>
      <c r="Z2688">
        <v>1</v>
      </c>
      <c r="AB2688">
        <v>0</v>
      </c>
      <c r="AC2688" t="s">
        <v>115</v>
      </c>
      <c r="AD2688">
        <v>3</v>
      </c>
      <c r="AE2688" t="s">
        <v>115</v>
      </c>
      <c r="AF2688">
        <v>0</v>
      </c>
      <c r="AG2688">
        <v>0</v>
      </c>
      <c r="AH2688" t="s">
        <v>116</v>
      </c>
      <c r="AI2688" s="1">
        <v>2409</v>
      </c>
      <c r="AJ2688" s="2">
        <v>0.01</v>
      </c>
      <c r="AK2688" s="1">
        <v>343299</v>
      </c>
      <c r="AL2688" t="s">
        <v>117</v>
      </c>
      <c r="AM2688" t="s">
        <v>376</v>
      </c>
      <c r="AN2688">
        <v>64000</v>
      </c>
      <c r="AO2688">
        <v>1.47</v>
      </c>
      <c r="AP2688">
        <v>1</v>
      </c>
      <c r="AR2688">
        <v>1</v>
      </c>
      <c r="AS2688" s="1">
        <v>30560</v>
      </c>
      <c r="AT2688" s="1">
        <v>6110</v>
      </c>
      <c r="AU2688" s="1">
        <v>24450</v>
      </c>
      <c r="AV2688">
        <v>80.010000000000005</v>
      </c>
      <c r="AX2688" s="1">
        <v>3212.16</v>
      </c>
      <c r="AY2688" t="s">
        <v>5024</v>
      </c>
      <c r="AZ2688" t="s">
        <v>5024</v>
      </c>
      <c r="BA2688" t="s">
        <v>5025</v>
      </c>
      <c r="BE2688" s="3">
        <v>42090</v>
      </c>
      <c r="BF2688" s="1">
        <v>255000</v>
      </c>
      <c r="BG2688" t="s">
        <v>17818</v>
      </c>
      <c r="BH2688" s="1">
        <v>108.83</v>
      </c>
      <c r="BI2688" s="1">
        <v>340890</v>
      </c>
      <c r="BJ2688" s="3">
        <v>43042</v>
      </c>
      <c r="BK2688" t="s">
        <v>123</v>
      </c>
      <c r="BL2688" t="str">
        <f>"2017.818943"</f>
        <v>2017.818943</v>
      </c>
      <c r="BM2688" t="s">
        <v>361</v>
      </c>
      <c r="BO2688" t="s">
        <v>17819</v>
      </c>
      <c r="BS2688">
        <v>30</v>
      </c>
      <c r="BW2688" t="str">
        <f>""</f>
        <v/>
      </c>
      <c r="CH2688" t="str">
        <f>""</f>
        <v/>
      </c>
      <c r="CS2688" t="str">
        <f>""</f>
        <v/>
      </c>
    </row>
    <row r="2689" spans="1:97" x14ac:dyDescent="0.25">
      <c r="A2689" t="s">
        <v>8735</v>
      </c>
      <c r="B2689" t="s">
        <v>17820</v>
      </c>
      <c r="E2689" t="s">
        <v>17821</v>
      </c>
      <c r="F2689" t="s">
        <v>108</v>
      </c>
      <c r="H2689" t="s">
        <v>17822</v>
      </c>
      <c r="I2689" t="s">
        <v>390</v>
      </c>
      <c r="J2689" t="s">
        <v>111</v>
      </c>
      <c r="K2689" t="str">
        <f>"85086"</f>
        <v>85086</v>
      </c>
      <c r="L2689" t="s">
        <v>5009</v>
      </c>
      <c r="M2689" t="s">
        <v>17822</v>
      </c>
      <c r="N2689" t="s">
        <v>390</v>
      </c>
      <c r="O2689" t="s">
        <v>111</v>
      </c>
      <c r="P2689" t="str">
        <f>"85086-8878"</f>
        <v>85086-8878</v>
      </c>
      <c r="Q2689" t="s">
        <v>113</v>
      </c>
      <c r="R2689" t="str">
        <f>"211-20-136-A"</f>
        <v>211-20-136-A</v>
      </c>
      <c r="U2689">
        <v>1964</v>
      </c>
      <c r="V2689">
        <v>0</v>
      </c>
      <c r="W2689">
        <v>3</v>
      </c>
      <c r="X2689">
        <v>1983</v>
      </c>
      <c r="Z2689">
        <v>1</v>
      </c>
      <c r="AB2689">
        <v>0</v>
      </c>
      <c r="AD2689">
        <v>0</v>
      </c>
      <c r="AF2689">
        <v>0</v>
      </c>
      <c r="AG2689">
        <v>0</v>
      </c>
      <c r="AH2689" t="s">
        <v>116</v>
      </c>
      <c r="AI2689" s="1">
        <v>83150</v>
      </c>
      <c r="AJ2689" s="2">
        <v>0.21</v>
      </c>
      <c r="AK2689" s="1">
        <v>398215</v>
      </c>
      <c r="AL2689" t="s">
        <v>117</v>
      </c>
      <c r="AM2689" t="s">
        <v>376</v>
      </c>
      <c r="AN2689">
        <v>198058</v>
      </c>
      <c r="AO2689">
        <v>4.55</v>
      </c>
      <c r="AP2689">
        <v>1</v>
      </c>
      <c r="AR2689">
        <v>1</v>
      </c>
      <c r="AS2689" s="1">
        <v>29060</v>
      </c>
      <c r="AT2689" s="1">
        <v>5810</v>
      </c>
      <c r="AU2689" s="1">
        <v>23250</v>
      </c>
      <c r="AV2689">
        <v>80.010000000000005</v>
      </c>
      <c r="AX2689" s="1">
        <v>2582.2199999999998</v>
      </c>
      <c r="AY2689" t="s">
        <v>1587</v>
      </c>
      <c r="AZ2689" t="s">
        <v>1587</v>
      </c>
      <c r="BA2689" t="s">
        <v>378</v>
      </c>
      <c r="BE2689" s="3">
        <v>42340</v>
      </c>
      <c r="BF2689" s="1">
        <v>315000</v>
      </c>
      <c r="BG2689" t="s">
        <v>17823</v>
      </c>
      <c r="BH2689" s="1">
        <v>160.38999999999999</v>
      </c>
      <c r="BI2689" s="1">
        <v>315065</v>
      </c>
      <c r="BJ2689" s="3">
        <v>42340</v>
      </c>
      <c r="BK2689" t="s">
        <v>123</v>
      </c>
      <c r="BL2689" t="str">
        <f>"2015.856488"</f>
        <v>2015.856488</v>
      </c>
      <c r="BM2689" t="s">
        <v>544</v>
      </c>
      <c r="BO2689" t="s">
        <v>17824</v>
      </c>
      <c r="BS2689">
        <v>30</v>
      </c>
      <c r="BW2689" t="str">
        <f>""</f>
        <v/>
      </c>
      <c r="CH2689" t="str">
        <f>""</f>
        <v/>
      </c>
      <c r="CS2689" t="str">
        <f>""</f>
        <v/>
      </c>
    </row>
    <row r="2690" spans="1:97" x14ac:dyDescent="0.25">
      <c r="A2690" t="s">
        <v>6619</v>
      </c>
      <c r="B2690" t="s">
        <v>17825</v>
      </c>
      <c r="C2690" t="s">
        <v>9234</v>
      </c>
      <c r="D2690" t="s">
        <v>17825</v>
      </c>
      <c r="E2690" t="s">
        <v>17826</v>
      </c>
      <c r="F2690" t="s">
        <v>108</v>
      </c>
      <c r="H2690" t="s">
        <v>17827</v>
      </c>
      <c r="I2690" t="s">
        <v>374</v>
      </c>
      <c r="J2690" t="s">
        <v>111</v>
      </c>
      <c r="K2690" t="str">
        <f>"85087"</f>
        <v>85087</v>
      </c>
      <c r="L2690" t="s">
        <v>11846</v>
      </c>
      <c r="M2690" t="s">
        <v>17827</v>
      </c>
      <c r="N2690" t="s">
        <v>374</v>
      </c>
      <c r="O2690" t="s">
        <v>111</v>
      </c>
      <c r="P2690" t="str">
        <f>"85087-7344"</f>
        <v>85087-7344</v>
      </c>
      <c r="Q2690" t="s">
        <v>113</v>
      </c>
      <c r="R2690" t="str">
        <f>"202-20-612"</f>
        <v>202-20-612</v>
      </c>
      <c r="U2690">
        <v>2311</v>
      </c>
      <c r="V2690">
        <v>0</v>
      </c>
      <c r="W2690">
        <v>3</v>
      </c>
      <c r="X2690">
        <v>2003</v>
      </c>
      <c r="Z2690">
        <v>1</v>
      </c>
      <c r="AA2690" t="s">
        <v>26</v>
      </c>
      <c r="AB2690">
        <v>0</v>
      </c>
      <c r="AC2690" t="s">
        <v>115</v>
      </c>
      <c r="AD2690">
        <v>2</v>
      </c>
      <c r="AE2690" t="s">
        <v>115</v>
      </c>
      <c r="AF2690">
        <v>0</v>
      </c>
      <c r="AG2690">
        <v>0</v>
      </c>
      <c r="AH2690" t="s">
        <v>116</v>
      </c>
      <c r="AI2690" s="1">
        <v>83123</v>
      </c>
      <c r="AJ2690" s="2">
        <v>0.18</v>
      </c>
      <c r="AK2690" s="1">
        <v>469495</v>
      </c>
      <c r="AL2690" t="s">
        <v>117</v>
      </c>
      <c r="AM2690" t="s">
        <v>376</v>
      </c>
      <c r="AN2690">
        <v>88515</v>
      </c>
      <c r="AO2690">
        <v>2.0299999999999998</v>
      </c>
      <c r="AP2690">
        <v>1</v>
      </c>
      <c r="AR2690">
        <v>1</v>
      </c>
      <c r="AS2690" s="1">
        <v>35750</v>
      </c>
      <c r="AT2690" s="1">
        <v>7150</v>
      </c>
      <c r="AU2690" s="1">
        <v>28600</v>
      </c>
      <c r="AV2690">
        <v>80</v>
      </c>
      <c r="AX2690" s="1">
        <v>3259</v>
      </c>
      <c r="AY2690" t="s">
        <v>665</v>
      </c>
      <c r="AZ2690" t="s">
        <v>665</v>
      </c>
      <c r="BA2690" t="s">
        <v>378</v>
      </c>
      <c r="BE2690" s="3">
        <v>42366</v>
      </c>
      <c r="BF2690" s="1">
        <v>370000</v>
      </c>
      <c r="BG2690" t="s">
        <v>17828</v>
      </c>
      <c r="BH2690" s="1">
        <v>160.1</v>
      </c>
      <c r="BI2690" s="1">
        <v>386372</v>
      </c>
      <c r="BJ2690" s="3">
        <v>42599</v>
      </c>
      <c r="BK2690" t="s">
        <v>123</v>
      </c>
      <c r="BL2690" t="str">
        <f>"2016.587459"</f>
        <v>2016.587459</v>
      </c>
      <c r="BM2690" t="s">
        <v>17829</v>
      </c>
      <c r="BO2690" t="s">
        <v>17830</v>
      </c>
      <c r="BS2690">
        <v>30</v>
      </c>
      <c r="BW2690" t="str">
        <f>""</f>
        <v/>
      </c>
      <c r="CH2690" t="str">
        <f>""</f>
        <v/>
      </c>
      <c r="CS2690" t="str">
        <f>""</f>
        <v/>
      </c>
    </row>
    <row r="2691" spans="1:97" x14ac:dyDescent="0.25">
      <c r="A2691" t="s">
        <v>996</v>
      </c>
      <c r="B2691" t="s">
        <v>17831</v>
      </c>
      <c r="E2691" t="s">
        <v>17832</v>
      </c>
      <c r="F2691" t="s">
        <v>108</v>
      </c>
      <c r="H2691" t="s">
        <v>17833</v>
      </c>
      <c r="I2691" t="s">
        <v>453</v>
      </c>
      <c r="J2691" t="s">
        <v>111</v>
      </c>
      <c r="K2691" t="str">
        <f>"85383"</f>
        <v>85383</v>
      </c>
      <c r="L2691" t="s">
        <v>1383</v>
      </c>
      <c r="M2691" t="s">
        <v>17833</v>
      </c>
      <c r="N2691" t="s">
        <v>453</v>
      </c>
      <c r="O2691" t="s">
        <v>111</v>
      </c>
      <c r="P2691" t="str">
        <f>"85383-6280"</f>
        <v>85383-6280</v>
      </c>
      <c r="Q2691" t="s">
        <v>113</v>
      </c>
      <c r="R2691" t="str">
        <f>"201-20-527"</f>
        <v>201-20-527</v>
      </c>
      <c r="S2691" t="s">
        <v>8847</v>
      </c>
      <c r="T2691" t="s">
        <v>8847</v>
      </c>
      <c r="U2691">
        <v>2600</v>
      </c>
      <c r="V2691">
        <v>0</v>
      </c>
      <c r="W2691">
        <v>4</v>
      </c>
      <c r="X2691">
        <v>2014</v>
      </c>
      <c r="Z2691">
        <v>1</v>
      </c>
      <c r="AB2691">
        <v>0</v>
      </c>
      <c r="AC2691" t="s">
        <v>115</v>
      </c>
      <c r="AD2691">
        <v>3</v>
      </c>
      <c r="AE2691" t="s">
        <v>115</v>
      </c>
      <c r="AF2691">
        <v>0</v>
      </c>
      <c r="AG2691">
        <v>0</v>
      </c>
      <c r="AH2691" t="s">
        <v>116</v>
      </c>
      <c r="AI2691" s="1">
        <v>35793</v>
      </c>
      <c r="AJ2691" s="2">
        <v>0.08</v>
      </c>
      <c r="AK2691" s="1">
        <v>421753</v>
      </c>
      <c r="AL2691" t="s">
        <v>117</v>
      </c>
      <c r="AM2691" t="s">
        <v>118</v>
      </c>
      <c r="AN2691">
        <v>8821</v>
      </c>
      <c r="AO2691">
        <v>0.2</v>
      </c>
      <c r="AR2691">
        <v>1</v>
      </c>
      <c r="AS2691" s="1">
        <v>33070</v>
      </c>
      <c r="AT2691" s="1">
        <v>6610</v>
      </c>
      <c r="AU2691" s="1">
        <v>26460</v>
      </c>
      <c r="AV2691">
        <v>80.010000000000005</v>
      </c>
      <c r="AX2691" s="1">
        <v>2855.12</v>
      </c>
      <c r="AY2691" t="s">
        <v>1385</v>
      </c>
      <c r="AZ2691" t="s">
        <v>1385</v>
      </c>
      <c r="BA2691" t="s">
        <v>1386</v>
      </c>
      <c r="BE2691" s="3">
        <v>41732</v>
      </c>
      <c r="BF2691" s="1">
        <v>373631</v>
      </c>
      <c r="BG2691" t="s">
        <v>2199</v>
      </c>
      <c r="BH2691" s="1">
        <v>143.69999999999999</v>
      </c>
      <c r="BI2691" s="1">
        <v>385960</v>
      </c>
      <c r="BJ2691" s="3">
        <v>41732</v>
      </c>
      <c r="BK2691" t="s">
        <v>123</v>
      </c>
      <c r="BL2691" t="str">
        <f>"2014.213491"</f>
        <v>2014.213491</v>
      </c>
      <c r="BM2691" t="s">
        <v>2245</v>
      </c>
      <c r="BO2691" t="s">
        <v>17834</v>
      </c>
      <c r="BS2691">
        <v>30</v>
      </c>
      <c r="BW2691" t="str">
        <f>""</f>
        <v/>
      </c>
      <c r="CH2691" t="str">
        <f>""</f>
        <v/>
      </c>
      <c r="CS2691" t="str">
        <f>""</f>
        <v/>
      </c>
    </row>
    <row r="2692" spans="1:97" x14ac:dyDescent="0.25">
      <c r="B2692" t="s">
        <v>17835</v>
      </c>
      <c r="C2692" t="s">
        <v>3315</v>
      </c>
      <c r="E2692" t="s">
        <v>17836</v>
      </c>
      <c r="F2692" t="s">
        <v>108</v>
      </c>
      <c r="H2692" t="s">
        <v>17837</v>
      </c>
      <c r="I2692" t="s">
        <v>225</v>
      </c>
      <c r="J2692" t="s">
        <v>111</v>
      </c>
      <c r="K2692" t="str">
        <f>"85204"</f>
        <v>85204</v>
      </c>
      <c r="L2692" t="s">
        <v>9069</v>
      </c>
      <c r="M2692" t="s">
        <v>17837</v>
      </c>
      <c r="N2692" t="s">
        <v>225</v>
      </c>
      <c r="O2692" t="s">
        <v>111</v>
      </c>
      <c r="P2692" t="str">
        <f>"85204-6450"</f>
        <v>85204-6450</v>
      </c>
      <c r="Q2692" t="s">
        <v>113</v>
      </c>
      <c r="R2692" t="str">
        <f>"140-58-111"</f>
        <v>140-58-111</v>
      </c>
      <c r="S2692" t="s">
        <v>17838</v>
      </c>
      <c r="T2692" t="s">
        <v>17839</v>
      </c>
      <c r="U2692">
        <v>2091</v>
      </c>
      <c r="V2692">
        <v>0</v>
      </c>
      <c r="W2692">
        <v>3</v>
      </c>
      <c r="X2692">
        <v>1988</v>
      </c>
      <c r="Z2692">
        <v>1</v>
      </c>
      <c r="AA2692" t="s">
        <v>26</v>
      </c>
      <c r="AB2692">
        <v>0</v>
      </c>
      <c r="AC2692" t="s">
        <v>115</v>
      </c>
      <c r="AD2692">
        <v>2</v>
      </c>
      <c r="AE2692" t="s">
        <v>115</v>
      </c>
      <c r="AF2692">
        <v>0</v>
      </c>
      <c r="AG2692">
        <v>0</v>
      </c>
      <c r="AH2692" t="s">
        <v>116</v>
      </c>
      <c r="AI2692" s="1">
        <v>12567</v>
      </c>
      <c r="AJ2692" s="2">
        <v>0.04</v>
      </c>
      <c r="AK2692" s="1">
        <v>353457</v>
      </c>
      <c r="AL2692" t="s">
        <v>117</v>
      </c>
      <c r="AM2692" t="s">
        <v>917</v>
      </c>
      <c r="AN2692">
        <v>9430</v>
      </c>
      <c r="AO2692">
        <v>0.22</v>
      </c>
      <c r="AP2692">
        <v>1</v>
      </c>
      <c r="AR2692">
        <v>1</v>
      </c>
      <c r="AS2692" s="1">
        <v>25430</v>
      </c>
      <c r="AT2692" s="1">
        <v>5080</v>
      </c>
      <c r="AU2692" s="1">
        <v>20350</v>
      </c>
      <c r="AV2692">
        <v>80.02</v>
      </c>
      <c r="AX2692" s="1">
        <v>1794.58</v>
      </c>
      <c r="AY2692" t="s">
        <v>9600</v>
      </c>
      <c r="AZ2692" t="s">
        <v>5158</v>
      </c>
      <c r="BA2692" t="s">
        <v>5159</v>
      </c>
      <c r="BB2692" s="3">
        <v>43588</v>
      </c>
      <c r="BC2692" s="1">
        <v>0</v>
      </c>
      <c r="BD2692" t="s">
        <v>247</v>
      </c>
      <c r="BE2692" s="3">
        <v>42030</v>
      </c>
      <c r="BF2692" s="1">
        <v>264000</v>
      </c>
      <c r="BG2692" t="s">
        <v>17840</v>
      </c>
      <c r="BH2692" s="1">
        <v>126.26</v>
      </c>
      <c r="BI2692" s="1">
        <v>340890</v>
      </c>
      <c r="BJ2692" s="3">
        <v>43311</v>
      </c>
      <c r="BK2692" t="s">
        <v>123</v>
      </c>
      <c r="BL2692" t="str">
        <f>"2018.572756"</f>
        <v>2018.572756</v>
      </c>
      <c r="BM2692" t="s">
        <v>7319</v>
      </c>
      <c r="BN2692" t="s">
        <v>7320</v>
      </c>
      <c r="BO2692" t="s">
        <v>17841</v>
      </c>
      <c r="BP2692" t="s">
        <v>17842</v>
      </c>
      <c r="BR2692" t="s">
        <v>139</v>
      </c>
      <c r="BW2692" t="str">
        <f>""</f>
        <v/>
      </c>
      <c r="CH2692" t="str">
        <f>""</f>
        <v/>
      </c>
      <c r="CS2692" t="str">
        <f>""</f>
        <v/>
      </c>
    </row>
    <row r="2693" spans="1:97" x14ac:dyDescent="0.25">
      <c r="A2693" t="s">
        <v>3613</v>
      </c>
      <c r="B2693" t="s">
        <v>1455</v>
      </c>
      <c r="E2693" t="s">
        <v>17843</v>
      </c>
      <c r="F2693" t="s">
        <v>108</v>
      </c>
      <c r="H2693" t="s">
        <v>17844</v>
      </c>
      <c r="I2693" t="s">
        <v>225</v>
      </c>
      <c r="J2693" t="s">
        <v>111</v>
      </c>
      <c r="K2693" t="str">
        <f>"85212"</f>
        <v>85212</v>
      </c>
      <c r="L2693" t="s">
        <v>17845</v>
      </c>
      <c r="M2693" t="s">
        <v>17844</v>
      </c>
      <c r="N2693" t="s">
        <v>225</v>
      </c>
      <c r="O2693" t="s">
        <v>111</v>
      </c>
      <c r="P2693" t="str">
        <f>"85212-5235"</f>
        <v>85212-5235</v>
      </c>
      <c r="Q2693" t="s">
        <v>113</v>
      </c>
      <c r="R2693" t="str">
        <f>"312-09-465"</f>
        <v>312-09-465</v>
      </c>
      <c r="S2693" t="s">
        <v>17846</v>
      </c>
      <c r="T2693" t="s">
        <v>8810</v>
      </c>
      <c r="U2693">
        <v>2693</v>
      </c>
      <c r="V2693">
        <v>0</v>
      </c>
      <c r="W2693">
        <v>5</v>
      </c>
      <c r="X2693">
        <v>2010</v>
      </c>
      <c r="Z2693">
        <v>2</v>
      </c>
      <c r="AB2693">
        <v>0</v>
      </c>
      <c r="AC2693" t="s">
        <v>115</v>
      </c>
      <c r="AD2693">
        <v>3</v>
      </c>
      <c r="AE2693" t="s">
        <v>115</v>
      </c>
      <c r="AF2693">
        <v>0</v>
      </c>
      <c r="AG2693">
        <v>0</v>
      </c>
      <c r="AH2693" t="s">
        <v>116</v>
      </c>
      <c r="AI2693" s="1">
        <v>76450</v>
      </c>
      <c r="AJ2693" s="2">
        <v>0.21</v>
      </c>
      <c r="AK2693" s="1">
        <v>363624</v>
      </c>
      <c r="AL2693" t="s">
        <v>117</v>
      </c>
      <c r="AM2693" t="s">
        <v>191</v>
      </c>
      <c r="AN2693">
        <v>6325</v>
      </c>
      <c r="AO2693">
        <v>0.14000000000000001</v>
      </c>
      <c r="AR2693">
        <v>1</v>
      </c>
      <c r="AS2693" s="1">
        <v>25310</v>
      </c>
      <c r="AT2693" s="1">
        <v>5060</v>
      </c>
      <c r="AU2693" s="1">
        <v>20250</v>
      </c>
      <c r="AV2693">
        <v>80.010000000000005</v>
      </c>
      <c r="AX2693" s="1">
        <v>2607.88</v>
      </c>
      <c r="AY2693" t="s">
        <v>560</v>
      </c>
      <c r="AZ2693" t="s">
        <v>561</v>
      </c>
      <c r="BA2693" t="s">
        <v>194</v>
      </c>
      <c r="BE2693" s="3">
        <v>41765</v>
      </c>
      <c r="BF2693" s="1">
        <v>259000</v>
      </c>
      <c r="BG2693" t="s">
        <v>17847</v>
      </c>
      <c r="BH2693" s="1">
        <v>96.18</v>
      </c>
      <c r="BI2693" s="1">
        <v>287174</v>
      </c>
      <c r="BJ2693" s="3">
        <v>43500</v>
      </c>
      <c r="BK2693" t="s">
        <v>123</v>
      </c>
      <c r="BL2693" t="str">
        <f>"2019.75575"</f>
        <v>2019.75575</v>
      </c>
      <c r="BM2693" t="s">
        <v>533</v>
      </c>
      <c r="BN2693" t="s">
        <v>534</v>
      </c>
      <c r="BO2693" t="s">
        <v>17843</v>
      </c>
      <c r="BR2693" t="s">
        <v>139</v>
      </c>
      <c r="BW2693" t="str">
        <f>""</f>
        <v/>
      </c>
      <c r="CH2693" t="str">
        <f>""</f>
        <v/>
      </c>
      <c r="CS2693" t="str">
        <f>""</f>
        <v/>
      </c>
    </row>
    <row r="2694" spans="1:97" x14ac:dyDescent="0.25">
      <c r="A2694" t="s">
        <v>494</v>
      </c>
      <c r="B2694" t="s">
        <v>17848</v>
      </c>
      <c r="C2694" t="s">
        <v>5505</v>
      </c>
      <c r="D2694" t="s">
        <v>17848</v>
      </c>
      <c r="E2694" t="s">
        <v>17849</v>
      </c>
      <c r="F2694" t="s">
        <v>108</v>
      </c>
      <c r="H2694" t="s">
        <v>17850</v>
      </c>
      <c r="I2694" t="s">
        <v>632</v>
      </c>
      <c r="J2694" t="s">
        <v>111</v>
      </c>
      <c r="K2694" t="str">
        <f>"85374"</f>
        <v>85374</v>
      </c>
      <c r="L2694" t="s">
        <v>2765</v>
      </c>
      <c r="M2694" t="s">
        <v>17850</v>
      </c>
      <c r="N2694" t="s">
        <v>632</v>
      </c>
      <c r="O2694" t="s">
        <v>111</v>
      </c>
      <c r="P2694" t="str">
        <f>"85374-4943"</f>
        <v>85374-4943</v>
      </c>
      <c r="Q2694" t="s">
        <v>113</v>
      </c>
      <c r="R2694" t="str">
        <f>"232-33-761"</f>
        <v>232-33-761</v>
      </c>
      <c r="S2694" t="s">
        <v>9771</v>
      </c>
      <c r="T2694" t="s">
        <v>9771</v>
      </c>
      <c r="U2694">
        <v>1909</v>
      </c>
      <c r="V2694">
        <v>0</v>
      </c>
      <c r="W2694">
        <v>2</v>
      </c>
      <c r="X2694">
        <v>1998</v>
      </c>
      <c r="Z2694">
        <v>1</v>
      </c>
      <c r="AB2694">
        <v>0</v>
      </c>
      <c r="AC2694" t="s">
        <v>115</v>
      </c>
      <c r="AD2694">
        <v>2</v>
      </c>
      <c r="AE2694" t="s">
        <v>115</v>
      </c>
      <c r="AF2694">
        <v>0</v>
      </c>
      <c r="AG2694">
        <v>0</v>
      </c>
      <c r="AH2694" t="s">
        <v>116</v>
      </c>
      <c r="AI2694" s="1">
        <v>80712</v>
      </c>
      <c r="AJ2694" s="2">
        <v>0.25</v>
      </c>
      <c r="AK2694" s="1">
        <v>326566</v>
      </c>
      <c r="AL2694" t="s">
        <v>117</v>
      </c>
      <c r="AM2694" t="s">
        <v>118</v>
      </c>
      <c r="AN2694">
        <v>7700</v>
      </c>
      <c r="AO2694">
        <v>0.18</v>
      </c>
      <c r="AP2694">
        <v>1</v>
      </c>
      <c r="AR2694">
        <v>1</v>
      </c>
      <c r="AS2694" s="1">
        <v>22330</v>
      </c>
      <c r="AT2694" s="1">
        <v>4460</v>
      </c>
      <c r="AU2694" s="1">
        <v>17870</v>
      </c>
      <c r="AV2694">
        <v>80.03</v>
      </c>
      <c r="AX2694" s="1">
        <v>2367.3000000000002</v>
      </c>
      <c r="AY2694" t="s">
        <v>5108</v>
      </c>
      <c r="AZ2694" t="s">
        <v>5108</v>
      </c>
      <c r="BA2694" t="s">
        <v>5109</v>
      </c>
      <c r="BE2694" s="3">
        <v>42321</v>
      </c>
      <c r="BF2694" s="1">
        <v>238000</v>
      </c>
      <c r="BG2694" t="s">
        <v>17851</v>
      </c>
      <c r="BH2694" s="1">
        <v>124.67</v>
      </c>
      <c r="BI2694" s="1">
        <v>245854</v>
      </c>
      <c r="BJ2694" s="3">
        <v>42321</v>
      </c>
      <c r="BK2694" t="s">
        <v>123</v>
      </c>
      <c r="BL2694" t="str">
        <f>"2015.815113"</f>
        <v>2015.815113</v>
      </c>
      <c r="BM2694" t="s">
        <v>7942</v>
      </c>
      <c r="BO2694" t="s">
        <v>17852</v>
      </c>
      <c r="BS2694">
        <v>30</v>
      </c>
      <c r="BW2694" t="str">
        <f>""</f>
        <v/>
      </c>
      <c r="CH2694" t="str">
        <f>""</f>
        <v/>
      </c>
      <c r="CS2694" t="str">
        <f>""</f>
        <v/>
      </c>
    </row>
    <row r="2695" spans="1:97" x14ac:dyDescent="0.25">
      <c r="A2695" t="s">
        <v>4491</v>
      </c>
      <c r="B2695" t="s">
        <v>17853</v>
      </c>
      <c r="E2695" t="s">
        <v>17854</v>
      </c>
      <c r="F2695" t="s">
        <v>139</v>
      </c>
      <c r="H2695" t="s">
        <v>17855</v>
      </c>
      <c r="I2695" t="s">
        <v>2874</v>
      </c>
      <c r="J2695" t="s">
        <v>111</v>
      </c>
      <c r="K2695" t="str">
        <f>"85302"</f>
        <v>85302</v>
      </c>
      <c r="L2695" t="s">
        <v>6682</v>
      </c>
      <c r="M2695" t="s">
        <v>17856</v>
      </c>
      <c r="N2695" t="s">
        <v>2874</v>
      </c>
      <c r="O2695" t="s">
        <v>111</v>
      </c>
      <c r="P2695" t="str">
        <f>"85302-5207"</f>
        <v>85302-5207</v>
      </c>
      <c r="Q2695" t="s">
        <v>113</v>
      </c>
      <c r="R2695" t="str">
        <f>"148-10-076"</f>
        <v>148-10-076</v>
      </c>
      <c r="S2695" t="s">
        <v>17857</v>
      </c>
      <c r="U2695">
        <v>2573</v>
      </c>
      <c r="V2695">
        <v>0</v>
      </c>
      <c r="W2695">
        <v>2</v>
      </c>
      <c r="X2695">
        <v>1973</v>
      </c>
      <c r="Z2695">
        <v>1</v>
      </c>
      <c r="AA2695" t="s">
        <v>26</v>
      </c>
      <c r="AB2695">
        <v>0</v>
      </c>
      <c r="AC2695" t="s">
        <v>115</v>
      </c>
      <c r="AD2695">
        <v>2</v>
      </c>
      <c r="AE2695" t="s">
        <v>115</v>
      </c>
      <c r="AF2695">
        <v>0</v>
      </c>
      <c r="AG2695">
        <v>0</v>
      </c>
      <c r="AH2695" t="s">
        <v>116</v>
      </c>
      <c r="AI2695" s="1">
        <v>51604</v>
      </c>
      <c r="AJ2695" s="2">
        <v>0.18</v>
      </c>
      <c r="AK2695" s="1">
        <v>280310</v>
      </c>
      <c r="AL2695" t="s">
        <v>117</v>
      </c>
      <c r="AM2695" t="s">
        <v>191</v>
      </c>
      <c r="AN2695">
        <v>11844</v>
      </c>
      <c r="AO2695">
        <v>0.27</v>
      </c>
      <c r="AP2695">
        <v>1</v>
      </c>
      <c r="AR2695">
        <v>1</v>
      </c>
      <c r="AS2695" s="1">
        <v>19680</v>
      </c>
      <c r="AT2695" s="1">
        <v>3930</v>
      </c>
      <c r="AU2695" s="1">
        <v>15750</v>
      </c>
      <c r="AV2695">
        <v>80.03</v>
      </c>
      <c r="AX2695" s="1">
        <v>1822.46</v>
      </c>
      <c r="AY2695" t="s">
        <v>17858</v>
      </c>
      <c r="AZ2695" t="s">
        <v>17858</v>
      </c>
      <c r="BA2695" t="s">
        <v>6987</v>
      </c>
      <c r="BE2695" s="3">
        <v>41988</v>
      </c>
      <c r="BF2695" s="1">
        <v>170000</v>
      </c>
      <c r="BG2695" t="s">
        <v>17859</v>
      </c>
      <c r="BH2695" s="1">
        <v>69.05</v>
      </c>
      <c r="BI2695" s="1">
        <v>228706</v>
      </c>
      <c r="BJ2695" s="3">
        <v>42646</v>
      </c>
      <c r="BK2695" t="s">
        <v>123</v>
      </c>
      <c r="BL2695" t="str">
        <f>"2016.720365"</f>
        <v>2016.720365</v>
      </c>
      <c r="BM2695" t="s">
        <v>322</v>
      </c>
      <c r="BO2695" t="s">
        <v>17860</v>
      </c>
      <c r="BS2695">
        <v>30</v>
      </c>
      <c r="BW2695" t="str">
        <f>""</f>
        <v/>
      </c>
      <c r="CH2695" t="str">
        <f>""</f>
        <v/>
      </c>
      <c r="CS2695" t="str">
        <f>""</f>
        <v/>
      </c>
    </row>
    <row r="2696" spans="1:97" x14ac:dyDescent="0.25">
      <c r="A2696" t="s">
        <v>17861</v>
      </c>
      <c r="B2696" t="s">
        <v>17862</v>
      </c>
      <c r="C2696" t="s">
        <v>2640</v>
      </c>
      <c r="D2696" t="s">
        <v>17862</v>
      </c>
      <c r="E2696" t="s">
        <v>17863</v>
      </c>
      <c r="F2696" t="s">
        <v>108</v>
      </c>
      <c r="H2696" t="s">
        <v>17864</v>
      </c>
      <c r="I2696" t="s">
        <v>225</v>
      </c>
      <c r="J2696" t="s">
        <v>111</v>
      </c>
      <c r="K2696" t="str">
        <f>"85213"</f>
        <v>85213</v>
      </c>
      <c r="L2696" t="s">
        <v>11941</v>
      </c>
      <c r="M2696" t="s">
        <v>17864</v>
      </c>
      <c r="N2696" t="s">
        <v>225</v>
      </c>
      <c r="O2696" t="s">
        <v>111</v>
      </c>
      <c r="P2696" t="str">
        <f>"85213-1664"</f>
        <v>85213-1664</v>
      </c>
      <c r="Q2696" t="s">
        <v>113</v>
      </c>
      <c r="R2696" t="str">
        <f>"141-15-516"</f>
        <v>141-15-516</v>
      </c>
      <c r="S2696" t="s">
        <v>17865</v>
      </c>
      <c r="T2696" t="s">
        <v>17866</v>
      </c>
      <c r="U2696">
        <v>2732</v>
      </c>
      <c r="V2696">
        <v>0</v>
      </c>
      <c r="W2696">
        <v>4</v>
      </c>
      <c r="X2696">
        <v>1987</v>
      </c>
      <c r="Z2696">
        <v>2</v>
      </c>
      <c r="AB2696">
        <v>0</v>
      </c>
      <c r="AC2696" t="s">
        <v>115</v>
      </c>
      <c r="AD2696">
        <v>3</v>
      </c>
      <c r="AE2696" t="s">
        <v>115</v>
      </c>
      <c r="AF2696">
        <v>0</v>
      </c>
      <c r="AG2696">
        <v>0</v>
      </c>
      <c r="AH2696" t="s">
        <v>116</v>
      </c>
      <c r="AI2696" s="1">
        <v>179174</v>
      </c>
      <c r="AJ2696" s="2">
        <v>0.44</v>
      </c>
      <c r="AK2696" s="1">
        <v>410208</v>
      </c>
      <c r="AL2696" t="s">
        <v>117</v>
      </c>
      <c r="AM2696" t="s">
        <v>917</v>
      </c>
      <c r="AN2696">
        <v>10192</v>
      </c>
      <c r="AO2696">
        <v>0.23</v>
      </c>
      <c r="AP2696">
        <v>1</v>
      </c>
      <c r="AR2696">
        <v>1</v>
      </c>
      <c r="AS2696" s="1">
        <v>28620</v>
      </c>
      <c r="AT2696" s="1">
        <v>5720</v>
      </c>
      <c r="AU2696" s="1">
        <v>22900</v>
      </c>
      <c r="AV2696">
        <v>80.010000000000005</v>
      </c>
      <c r="AX2696" s="1">
        <v>2427.6</v>
      </c>
      <c r="AY2696" t="s">
        <v>4162</v>
      </c>
      <c r="AZ2696" t="s">
        <v>4163</v>
      </c>
      <c r="BA2696" t="s">
        <v>1524</v>
      </c>
      <c r="BE2696" s="3">
        <v>42173</v>
      </c>
      <c r="BF2696" s="1">
        <v>333500</v>
      </c>
      <c r="BG2696" t="s">
        <v>17867</v>
      </c>
      <c r="BH2696" s="1">
        <v>122.07</v>
      </c>
      <c r="BI2696" s="1">
        <v>231034</v>
      </c>
      <c r="BJ2696" s="3">
        <v>42580</v>
      </c>
      <c r="BK2696" t="s">
        <v>123</v>
      </c>
      <c r="BL2696" t="str">
        <f>"2016.540886"</f>
        <v>2016.540886</v>
      </c>
      <c r="BM2696" t="s">
        <v>255</v>
      </c>
      <c r="BO2696" t="s">
        <v>17868</v>
      </c>
      <c r="BS2696">
        <v>15</v>
      </c>
      <c r="BW2696" t="str">
        <f>""</f>
        <v/>
      </c>
      <c r="CH2696" t="str">
        <f>""</f>
        <v/>
      </c>
      <c r="CS2696" t="str">
        <f>""</f>
        <v/>
      </c>
    </row>
    <row r="2697" spans="1:97" x14ac:dyDescent="0.25">
      <c r="A2697" t="s">
        <v>183</v>
      </c>
      <c r="B2697" t="s">
        <v>3548</v>
      </c>
      <c r="E2697" t="s">
        <v>17869</v>
      </c>
      <c r="F2697" t="s">
        <v>108</v>
      </c>
      <c r="H2697" t="s">
        <v>17870</v>
      </c>
      <c r="I2697" t="s">
        <v>5863</v>
      </c>
      <c r="J2697" t="s">
        <v>111</v>
      </c>
      <c r="K2697" t="str">
        <f>"85375"</f>
        <v>85375</v>
      </c>
      <c r="L2697" t="s">
        <v>6438</v>
      </c>
      <c r="M2697" t="s">
        <v>17870</v>
      </c>
      <c r="N2697" t="s">
        <v>5863</v>
      </c>
      <c r="O2697" t="s">
        <v>111</v>
      </c>
      <c r="P2697" t="str">
        <f>"85375-2071"</f>
        <v>85375-2071</v>
      </c>
      <c r="Q2697" t="s">
        <v>113</v>
      </c>
      <c r="R2697" t="str">
        <f>"232-24-251"</f>
        <v>232-24-251</v>
      </c>
      <c r="S2697" t="s">
        <v>14081</v>
      </c>
      <c r="U2697">
        <v>1825</v>
      </c>
      <c r="V2697">
        <v>0</v>
      </c>
      <c r="W2697">
        <v>4</v>
      </c>
      <c r="X2697">
        <v>1994</v>
      </c>
      <c r="Z2697">
        <v>1</v>
      </c>
      <c r="AB2697">
        <v>0</v>
      </c>
      <c r="AC2697" t="s">
        <v>115</v>
      </c>
      <c r="AD2697">
        <v>3</v>
      </c>
      <c r="AE2697" t="s">
        <v>115</v>
      </c>
      <c r="AF2697">
        <v>0</v>
      </c>
      <c r="AG2697">
        <v>0</v>
      </c>
      <c r="AH2697" t="s">
        <v>116</v>
      </c>
      <c r="AI2697" s="1">
        <v>88571</v>
      </c>
      <c r="AJ2697" s="2">
        <v>0.28000000000000003</v>
      </c>
      <c r="AK2697" s="1">
        <v>318661</v>
      </c>
      <c r="AL2697" t="s">
        <v>117</v>
      </c>
      <c r="AM2697" t="s">
        <v>191</v>
      </c>
      <c r="AN2697">
        <v>9200</v>
      </c>
      <c r="AO2697">
        <v>0.21</v>
      </c>
      <c r="AP2697">
        <v>1</v>
      </c>
      <c r="AR2697">
        <v>1</v>
      </c>
      <c r="AS2697" s="1">
        <v>21130</v>
      </c>
      <c r="AT2697" s="1">
        <v>4220</v>
      </c>
      <c r="AU2697" s="1">
        <v>16910</v>
      </c>
      <c r="AV2697">
        <v>80.03</v>
      </c>
      <c r="AX2697" s="1">
        <v>2611.7199999999998</v>
      </c>
      <c r="AY2697" t="s">
        <v>3228</v>
      </c>
      <c r="AZ2697" t="s">
        <v>3228</v>
      </c>
      <c r="BA2697" t="s">
        <v>457</v>
      </c>
      <c r="BE2697" s="3">
        <v>41843</v>
      </c>
      <c r="BF2697" s="1">
        <v>233000</v>
      </c>
      <c r="BG2697" t="s">
        <v>17871</v>
      </c>
      <c r="BH2697" s="1">
        <v>127.67</v>
      </c>
      <c r="BI2697" s="1">
        <v>230090</v>
      </c>
      <c r="BJ2697" s="3">
        <v>42221</v>
      </c>
      <c r="BK2697" t="s">
        <v>123</v>
      </c>
      <c r="BL2697" t="str">
        <f>"2015.567270"</f>
        <v>2015.567270</v>
      </c>
      <c r="BM2697" t="s">
        <v>322</v>
      </c>
      <c r="BO2697" t="s">
        <v>17872</v>
      </c>
      <c r="BP2697" t="s">
        <v>17873</v>
      </c>
      <c r="BS2697">
        <v>30</v>
      </c>
      <c r="BW2697" t="str">
        <f>""</f>
        <v/>
      </c>
      <c r="CH2697" t="str">
        <f>""</f>
        <v/>
      </c>
      <c r="CS2697" t="str">
        <f>""</f>
        <v/>
      </c>
    </row>
    <row r="2698" spans="1:97" x14ac:dyDescent="0.25">
      <c r="A2698" t="s">
        <v>2915</v>
      </c>
      <c r="B2698" t="s">
        <v>17874</v>
      </c>
      <c r="C2698" t="s">
        <v>1181</v>
      </c>
      <c r="D2698" t="s">
        <v>17874</v>
      </c>
      <c r="E2698" t="s">
        <v>17875</v>
      </c>
      <c r="F2698" t="s">
        <v>108</v>
      </c>
      <c r="H2698" t="s">
        <v>17876</v>
      </c>
      <c r="I2698" t="s">
        <v>1936</v>
      </c>
      <c r="J2698" t="s">
        <v>111</v>
      </c>
      <c r="K2698" t="str">
        <f>"85258"</f>
        <v>85258</v>
      </c>
      <c r="L2698" t="s">
        <v>8199</v>
      </c>
      <c r="M2698" t="s">
        <v>17876</v>
      </c>
      <c r="N2698" t="s">
        <v>1936</v>
      </c>
      <c r="O2698" t="s">
        <v>111</v>
      </c>
      <c r="P2698" t="str">
        <f>"85258-4132"</f>
        <v>85258-4132</v>
      </c>
      <c r="Q2698" t="s">
        <v>113</v>
      </c>
      <c r="R2698" t="str">
        <f>"174-22-083"</f>
        <v>174-22-083</v>
      </c>
      <c r="S2698" t="s">
        <v>17877</v>
      </c>
      <c r="T2698" t="s">
        <v>17877</v>
      </c>
      <c r="U2698">
        <v>2331</v>
      </c>
      <c r="V2698">
        <v>0</v>
      </c>
      <c r="W2698">
        <v>3</v>
      </c>
      <c r="X2698">
        <v>1979</v>
      </c>
      <c r="Z2698">
        <v>1</v>
      </c>
      <c r="AA2698" t="s">
        <v>26</v>
      </c>
      <c r="AB2698">
        <v>0</v>
      </c>
      <c r="AC2698" t="s">
        <v>115</v>
      </c>
      <c r="AD2698">
        <v>3</v>
      </c>
      <c r="AE2698" t="s">
        <v>115</v>
      </c>
      <c r="AF2698">
        <v>0</v>
      </c>
      <c r="AG2698">
        <v>0</v>
      </c>
      <c r="AH2698" t="s">
        <v>116</v>
      </c>
      <c r="AI2698" s="1">
        <v>216972</v>
      </c>
      <c r="AJ2698" s="2">
        <v>0.4</v>
      </c>
      <c r="AK2698" s="1">
        <v>542375</v>
      </c>
      <c r="AL2698" t="s">
        <v>117</v>
      </c>
      <c r="AM2698" t="s">
        <v>393</v>
      </c>
      <c r="AN2698">
        <v>12718</v>
      </c>
      <c r="AO2698">
        <v>0.28999999999999998</v>
      </c>
      <c r="AP2698">
        <v>1</v>
      </c>
      <c r="AR2698">
        <v>1</v>
      </c>
      <c r="AS2698" s="1">
        <v>38610</v>
      </c>
      <c r="AT2698" s="1">
        <v>7720</v>
      </c>
      <c r="AU2698" s="1">
        <v>30890</v>
      </c>
      <c r="AV2698">
        <v>80.010000000000005</v>
      </c>
      <c r="AX2698" s="1">
        <v>2593.36</v>
      </c>
      <c r="AY2698" t="s">
        <v>13022</v>
      </c>
      <c r="AZ2698" t="s">
        <v>6975</v>
      </c>
      <c r="BA2698" t="s">
        <v>6976</v>
      </c>
      <c r="BE2698" s="3">
        <v>42485</v>
      </c>
      <c r="BF2698" s="1">
        <v>459000</v>
      </c>
      <c r="BG2698" t="s">
        <v>17878</v>
      </c>
      <c r="BH2698" s="1">
        <v>196.91</v>
      </c>
      <c r="BI2698" s="1">
        <v>325403</v>
      </c>
      <c r="BJ2698" s="3">
        <v>42485</v>
      </c>
      <c r="BK2698" t="s">
        <v>123</v>
      </c>
      <c r="BL2698" t="str">
        <f>"2016.276361"</f>
        <v>2016.276361</v>
      </c>
      <c r="BM2698" t="s">
        <v>709</v>
      </c>
      <c r="BO2698" t="s">
        <v>17879</v>
      </c>
      <c r="BS2698">
        <v>30</v>
      </c>
      <c r="BW2698" t="str">
        <f>""</f>
        <v/>
      </c>
      <c r="CH2698" t="str">
        <f>""</f>
        <v/>
      </c>
      <c r="CS2698" t="str">
        <f>""</f>
        <v/>
      </c>
    </row>
    <row r="2699" spans="1:97" x14ac:dyDescent="0.25">
      <c r="A2699" t="s">
        <v>639</v>
      </c>
      <c r="B2699" t="s">
        <v>3658</v>
      </c>
      <c r="C2699" t="s">
        <v>727</v>
      </c>
      <c r="D2699" t="s">
        <v>3658</v>
      </c>
      <c r="E2699" t="s">
        <v>17880</v>
      </c>
      <c r="F2699" t="s">
        <v>108</v>
      </c>
      <c r="H2699" t="s">
        <v>17881</v>
      </c>
      <c r="I2699" t="s">
        <v>225</v>
      </c>
      <c r="J2699" t="s">
        <v>111</v>
      </c>
      <c r="K2699" t="str">
        <f>"85205"</f>
        <v>85205</v>
      </c>
      <c r="L2699" t="s">
        <v>5308</v>
      </c>
      <c r="M2699" t="s">
        <v>17881</v>
      </c>
      <c r="N2699" t="s">
        <v>225</v>
      </c>
      <c r="O2699" t="s">
        <v>111</v>
      </c>
      <c r="P2699" t="str">
        <f>"85205-4381"</f>
        <v>85205-4381</v>
      </c>
      <c r="Q2699" t="s">
        <v>113</v>
      </c>
      <c r="R2699" t="str">
        <f>"141-45-890"</f>
        <v>141-45-890</v>
      </c>
      <c r="S2699" t="s">
        <v>17882</v>
      </c>
      <c r="T2699" t="s">
        <v>17883</v>
      </c>
      <c r="U2699">
        <v>2397</v>
      </c>
      <c r="V2699">
        <v>0</v>
      </c>
      <c r="W2699">
        <v>4</v>
      </c>
      <c r="X2699">
        <v>1988</v>
      </c>
      <c r="Z2699">
        <v>2</v>
      </c>
      <c r="AA2699" t="s">
        <v>26</v>
      </c>
      <c r="AB2699">
        <v>0</v>
      </c>
      <c r="AC2699" t="s">
        <v>115</v>
      </c>
      <c r="AD2699">
        <v>3</v>
      </c>
      <c r="AE2699" t="s">
        <v>115</v>
      </c>
      <c r="AF2699">
        <v>0</v>
      </c>
      <c r="AG2699">
        <v>0</v>
      </c>
      <c r="AH2699" t="s">
        <v>116</v>
      </c>
      <c r="AI2699" s="1">
        <v>67645</v>
      </c>
      <c r="AJ2699" s="2">
        <v>0.18</v>
      </c>
      <c r="AK2699" s="1">
        <v>367017</v>
      </c>
      <c r="AL2699" t="s">
        <v>117</v>
      </c>
      <c r="AM2699" t="s">
        <v>393</v>
      </c>
      <c r="AN2699">
        <v>7531</v>
      </c>
      <c r="AO2699">
        <v>0.17</v>
      </c>
      <c r="AP2699">
        <v>1</v>
      </c>
      <c r="AR2699">
        <v>1</v>
      </c>
      <c r="AS2699" s="1">
        <v>26020</v>
      </c>
      <c r="AT2699" s="1">
        <v>5200</v>
      </c>
      <c r="AU2699" s="1">
        <v>20820</v>
      </c>
      <c r="AV2699">
        <v>80.02</v>
      </c>
      <c r="AX2699" s="1">
        <v>2234.08</v>
      </c>
      <c r="AY2699" t="s">
        <v>5274</v>
      </c>
      <c r="AZ2699" t="s">
        <v>5275</v>
      </c>
      <c r="BA2699" t="s">
        <v>3119</v>
      </c>
      <c r="BE2699" s="3">
        <v>41836</v>
      </c>
      <c r="BF2699" s="1">
        <v>295500</v>
      </c>
      <c r="BG2699" t="s">
        <v>17884</v>
      </c>
      <c r="BH2699" s="1">
        <v>123.28</v>
      </c>
      <c r="BI2699" s="1">
        <v>299372</v>
      </c>
      <c r="BJ2699" s="3">
        <v>42081</v>
      </c>
      <c r="BK2699" t="s">
        <v>123</v>
      </c>
      <c r="BL2699" t="str">
        <f>"2015.180962"</f>
        <v>2015.180962</v>
      </c>
      <c r="BM2699" t="s">
        <v>1185</v>
      </c>
      <c r="BO2699" t="s">
        <v>17885</v>
      </c>
      <c r="BS2699">
        <v>30</v>
      </c>
      <c r="BW2699" t="str">
        <f>""</f>
        <v/>
      </c>
      <c r="CH2699" t="str">
        <f>""</f>
        <v/>
      </c>
      <c r="CS2699" t="str">
        <f>""</f>
        <v/>
      </c>
    </row>
    <row r="2700" spans="1:97" x14ac:dyDescent="0.25">
      <c r="A2700" t="s">
        <v>17886</v>
      </c>
      <c r="B2700" t="s">
        <v>17887</v>
      </c>
      <c r="C2700" t="s">
        <v>1734</v>
      </c>
      <c r="D2700" t="s">
        <v>17887</v>
      </c>
      <c r="E2700" t="s">
        <v>17888</v>
      </c>
      <c r="F2700" t="s">
        <v>108</v>
      </c>
      <c r="H2700" t="s">
        <v>17889</v>
      </c>
      <c r="I2700" t="s">
        <v>144</v>
      </c>
      <c r="J2700" t="s">
        <v>111</v>
      </c>
      <c r="K2700" t="str">
        <f>"85396"</f>
        <v>85396</v>
      </c>
      <c r="L2700" t="s">
        <v>1789</v>
      </c>
      <c r="M2700" t="s">
        <v>17889</v>
      </c>
      <c r="N2700" t="s">
        <v>144</v>
      </c>
      <c r="O2700" t="s">
        <v>111</v>
      </c>
      <c r="P2700" t="str">
        <f>"85396-3653"</f>
        <v>85396-3653</v>
      </c>
      <c r="Q2700" t="s">
        <v>113</v>
      </c>
      <c r="R2700" t="str">
        <f>"502-77-231"</f>
        <v>502-77-231</v>
      </c>
      <c r="S2700" t="s">
        <v>17890</v>
      </c>
      <c r="U2700">
        <v>3117</v>
      </c>
      <c r="V2700">
        <v>0</v>
      </c>
      <c r="W2700">
        <v>4</v>
      </c>
      <c r="X2700">
        <v>2006</v>
      </c>
      <c r="Z2700">
        <v>1</v>
      </c>
      <c r="AB2700">
        <v>0</v>
      </c>
      <c r="AC2700" t="s">
        <v>115</v>
      </c>
      <c r="AD2700">
        <v>3</v>
      </c>
      <c r="AE2700" t="s">
        <v>115</v>
      </c>
      <c r="AF2700">
        <v>0</v>
      </c>
      <c r="AG2700">
        <v>0</v>
      </c>
      <c r="AH2700" t="s">
        <v>116</v>
      </c>
      <c r="AI2700" s="1">
        <v>73333</v>
      </c>
      <c r="AJ2700" s="2">
        <v>0.15</v>
      </c>
      <c r="AK2700" s="1">
        <v>476203</v>
      </c>
      <c r="AL2700" t="s">
        <v>117</v>
      </c>
      <c r="AM2700" t="s">
        <v>118</v>
      </c>
      <c r="AN2700">
        <v>16246</v>
      </c>
      <c r="AO2700">
        <v>0.37</v>
      </c>
      <c r="AR2700">
        <v>1</v>
      </c>
      <c r="AS2700" s="1">
        <v>35350</v>
      </c>
      <c r="AT2700" s="1">
        <v>7070</v>
      </c>
      <c r="AU2700" s="1">
        <v>28280</v>
      </c>
      <c r="AV2700">
        <v>80</v>
      </c>
      <c r="AX2700" s="1">
        <v>4630.82</v>
      </c>
      <c r="AY2700" t="s">
        <v>543</v>
      </c>
      <c r="AZ2700" t="s">
        <v>504</v>
      </c>
      <c r="BA2700" t="s">
        <v>218</v>
      </c>
      <c r="BE2700" s="3">
        <v>42375</v>
      </c>
      <c r="BF2700" s="1">
        <v>402870</v>
      </c>
      <c r="BG2700" t="s">
        <v>7637</v>
      </c>
      <c r="BH2700" s="1">
        <v>129.25</v>
      </c>
      <c r="BI2700" s="1">
        <v>402870</v>
      </c>
      <c r="BJ2700" s="3">
        <v>42375</v>
      </c>
      <c r="BK2700" t="s">
        <v>123</v>
      </c>
      <c r="BL2700" t="str">
        <f>"2016.6712"</f>
        <v>2016.6712</v>
      </c>
      <c r="BM2700" t="s">
        <v>8916</v>
      </c>
      <c r="BO2700" t="s">
        <v>17891</v>
      </c>
      <c r="BS2700">
        <v>30</v>
      </c>
      <c r="BW2700" t="str">
        <f>""</f>
        <v/>
      </c>
      <c r="CH2700" t="str">
        <f>""</f>
        <v/>
      </c>
      <c r="CS2700" t="str">
        <f>""</f>
        <v/>
      </c>
    </row>
    <row r="2701" spans="1:97" x14ac:dyDescent="0.25">
      <c r="A2701" t="s">
        <v>3641</v>
      </c>
      <c r="B2701" t="s">
        <v>17892</v>
      </c>
      <c r="C2701" t="s">
        <v>489</v>
      </c>
      <c r="D2701" t="s">
        <v>17892</v>
      </c>
      <c r="E2701" t="s">
        <v>17893</v>
      </c>
      <c r="F2701" t="s">
        <v>108</v>
      </c>
      <c r="H2701" t="s">
        <v>17894</v>
      </c>
      <c r="I2701" t="s">
        <v>374</v>
      </c>
      <c r="J2701" t="s">
        <v>111</v>
      </c>
      <c r="K2701" t="str">
        <f>"85087"</f>
        <v>85087</v>
      </c>
      <c r="L2701" t="s">
        <v>375</v>
      </c>
      <c r="M2701" t="s">
        <v>17894</v>
      </c>
      <c r="N2701" t="s">
        <v>374</v>
      </c>
      <c r="O2701" t="s">
        <v>111</v>
      </c>
      <c r="P2701" t="str">
        <f>"85087-5983"</f>
        <v>85087-5983</v>
      </c>
      <c r="R2701" t="str">
        <f>"202-30-034"</f>
        <v>202-30-034</v>
      </c>
      <c r="S2701" t="s">
        <v>7317</v>
      </c>
      <c r="T2701" t="s">
        <v>7096</v>
      </c>
      <c r="U2701">
        <v>3613</v>
      </c>
      <c r="V2701">
        <v>0</v>
      </c>
      <c r="W2701">
        <v>4</v>
      </c>
      <c r="X2701">
        <v>2007</v>
      </c>
      <c r="Z2701">
        <v>2</v>
      </c>
      <c r="AA2701" t="s">
        <v>26</v>
      </c>
      <c r="AB2701">
        <v>0</v>
      </c>
      <c r="AC2701" t="s">
        <v>115</v>
      </c>
      <c r="AD2701">
        <v>3</v>
      </c>
      <c r="AE2701" t="s">
        <v>115</v>
      </c>
      <c r="AF2701">
        <v>0</v>
      </c>
      <c r="AG2701">
        <v>0</v>
      </c>
      <c r="AH2701" t="s">
        <v>116</v>
      </c>
      <c r="AI2701" s="1">
        <v>83198</v>
      </c>
      <c r="AJ2701" s="2">
        <v>0.18</v>
      </c>
      <c r="AK2701" s="1">
        <v>471368</v>
      </c>
      <c r="AL2701" t="s">
        <v>117</v>
      </c>
      <c r="AM2701" t="s">
        <v>191</v>
      </c>
      <c r="AN2701">
        <v>9960</v>
      </c>
      <c r="AO2701">
        <v>0.23</v>
      </c>
      <c r="AR2701">
        <v>1</v>
      </c>
      <c r="AS2701" s="1">
        <v>34950</v>
      </c>
      <c r="AT2701" s="1">
        <v>6990</v>
      </c>
      <c r="AU2701" s="1">
        <v>27960</v>
      </c>
      <c r="AV2701">
        <v>80</v>
      </c>
      <c r="AX2701" s="1">
        <v>3453.64</v>
      </c>
      <c r="AY2701" t="s">
        <v>5380</v>
      </c>
      <c r="AZ2701" t="s">
        <v>5380</v>
      </c>
      <c r="BA2701" t="s">
        <v>378</v>
      </c>
      <c r="BE2701" s="3">
        <v>41694</v>
      </c>
      <c r="BF2701" s="1">
        <v>380000</v>
      </c>
      <c r="BG2701" t="s">
        <v>17895</v>
      </c>
      <c r="BH2701" s="1">
        <v>105.18</v>
      </c>
      <c r="BI2701" s="1">
        <v>388170</v>
      </c>
      <c r="BJ2701" s="3">
        <v>41694</v>
      </c>
      <c r="BK2701" t="s">
        <v>123</v>
      </c>
      <c r="BL2701" t="str">
        <f>"2014.117175"</f>
        <v>2014.117175</v>
      </c>
      <c r="BM2701" t="s">
        <v>544</v>
      </c>
      <c r="BN2701" t="s">
        <v>545</v>
      </c>
      <c r="BO2701" t="s">
        <v>17896</v>
      </c>
      <c r="BS2701">
        <v>30</v>
      </c>
      <c r="BW2701" t="str">
        <f>""</f>
        <v/>
      </c>
      <c r="CH2701" t="str">
        <f>""</f>
        <v/>
      </c>
      <c r="CS2701" t="str">
        <f>""</f>
        <v/>
      </c>
    </row>
    <row r="2702" spans="1:97" x14ac:dyDescent="0.25">
      <c r="A2702" t="s">
        <v>1295</v>
      </c>
      <c r="B2702" t="s">
        <v>3173</v>
      </c>
      <c r="C2702" t="s">
        <v>3067</v>
      </c>
      <c r="D2702" t="s">
        <v>3173</v>
      </c>
      <c r="E2702" t="s">
        <v>17897</v>
      </c>
      <c r="F2702" t="s">
        <v>108</v>
      </c>
      <c r="H2702" t="s">
        <v>17898</v>
      </c>
      <c r="I2702" t="s">
        <v>144</v>
      </c>
      <c r="J2702" t="s">
        <v>111</v>
      </c>
      <c r="K2702" t="str">
        <f>"85396"</f>
        <v>85396</v>
      </c>
      <c r="L2702" t="s">
        <v>11339</v>
      </c>
      <c r="M2702" t="s">
        <v>17898</v>
      </c>
      <c r="N2702" t="s">
        <v>144</v>
      </c>
      <c r="O2702" t="s">
        <v>111</v>
      </c>
      <c r="P2702" t="str">
        <f>"85396-7209"</f>
        <v>85396-7209</v>
      </c>
      <c r="Q2702" t="s">
        <v>113</v>
      </c>
      <c r="R2702" t="str">
        <f>"503-85-062"</f>
        <v>503-85-062</v>
      </c>
      <c r="S2702" t="s">
        <v>11340</v>
      </c>
      <c r="U2702">
        <v>3066</v>
      </c>
      <c r="V2702">
        <v>0</v>
      </c>
      <c r="W2702">
        <v>4</v>
      </c>
      <c r="X2702">
        <v>2007</v>
      </c>
      <c r="Z2702">
        <v>2</v>
      </c>
      <c r="AA2702" t="s">
        <v>26</v>
      </c>
      <c r="AB2702">
        <v>0</v>
      </c>
      <c r="AC2702" t="s">
        <v>115</v>
      </c>
      <c r="AD2702">
        <v>3</v>
      </c>
      <c r="AE2702" t="s">
        <v>115</v>
      </c>
      <c r="AF2702">
        <v>0</v>
      </c>
      <c r="AG2702">
        <v>0</v>
      </c>
      <c r="AH2702" t="s">
        <v>116</v>
      </c>
      <c r="AI2702" s="1">
        <v>78285</v>
      </c>
      <c r="AJ2702" s="2">
        <v>0.24</v>
      </c>
      <c r="AK2702" s="1">
        <v>330595</v>
      </c>
      <c r="AL2702" t="s">
        <v>117</v>
      </c>
      <c r="AM2702" t="s">
        <v>118</v>
      </c>
      <c r="AN2702">
        <v>8165</v>
      </c>
      <c r="AO2702">
        <v>0.19</v>
      </c>
      <c r="AP2702">
        <v>1</v>
      </c>
      <c r="AR2702">
        <v>1</v>
      </c>
      <c r="AS2702" s="1">
        <v>23830</v>
      </c>
      <c r="AT2702" s="1">
        <v>4760</v>
      </c>
      <c r="AU2702" s="1">
        <v>19070</v>
      </c>
      <c r="AV2702">
        <v>80.03</v>
      </c>
      <c r="AX2702" s="1">
        <v>2815.82</v>
      </c>
      <c r="AY2702" t="s">
        <v>444</v>
      </c>
      <c r="AZ2702" t="s">
        <v>444</v>
      </c>
      <c r="BA2702" t="s">
        <v>445</v>
      </c>
      <c r="BE2702" s="3">
        <v>42163</v>
      </c>
      <c r="BF2702" s="1">
        <v>247000</v>
      </c>
      <c r="BG2702" t="s">
        <v>17899</v>
      </c>
      <c r="BH2702" s="1">
        <v>80.56</v>
      </c>
      <c r="BI2702" s="1">
        <v>252310</v>
      </c>
      <c r="BJ2702" s="3">
        <v>42163</v>
      </c>
      <c r="BK2702" t="s">
        <v>123</v>
      </c>
      <c r="BL2702" t="str">
        <f>"2015.405264"</f>
        <v>2015.405264</v>
      </c>
      <c r="BM2702" t="s">
        <v>1185</v>
      </c>
      <c r="BO2702" t="s">
        <v>17900</v>
      </c>
      <c r="BS2702">
        <v>30</v>
      </c>
      <c r="BW2702" t="str">
        <f>""</f>
        <v/>
      </c>
      <c r="CH2702" t="str">
        <f>""</f>
        <v/>
      </c>
      <c r="CS2702" t="str">
        <f>""</f>
        <v/>
      </c>
    </row>
    <row r="2703" spans="1:97" x14ac:dyDescent="0.25">
      <c r="A2703" t="s">
        <v>319</v>
      </c>
      <c r="B2703" t="s">
        <v>17901</v>
      </c>
      <c r="C2703" t="s">
        <v>364</v>
      </c>
      <c r="D2703" t="s">
        <v>17901</v>
      </c>
      <c r="E2703" t="s">
        <v>17902</v>
      </c>
      <c r="F2703" t="s">
        <v>108</v>
      </c>
      <c r="H2703" t="s">
        <v>17903</v>
      </c>
      <c r="I2703" t="s">
        <v>188</v>
      </c>
      <c r="J2703" t="s">
        <v>111</v>
      </c>
      <c r="K2703" t="str">
        <f>"85142"</f>
        <v>85142</v>
      </c>
      <c r="L2703" t="s">
        <v>1070</v>
      </c>
      <c r="M2703" t="s">
        <v>17903</v>
      </c>
      <c r="N2703" t="s">
        <v>188</v>
      </c>
      <c r="O2703" t="s">
        <v>111</v>
      </c>
      <c r="P2703" t="str">
        <f>"85142-5052"</f>
        <v>85142-5052</v>
      </c>
      <c r="Q2703" t="s">
        <v>113</v>
      </c>
      <c r="R2703" t="str">
        <f>"314-09-136"</f>
        <v>314-09-136</v>
      </c>
      <c r="S2703" t="s">
        <v>17033</v>
      </c>
      <c r="T2703" t="s">
        <v>17034</v>
      </c>
      <c r="U2703">
        <v>2360</v>
      </c>
      <c r="V2703">
        <v>0</v>
      </c>
      <c r="W2703">
        <v>3</v>
      </c>
      <c r="X2703">
        <v>2013</v>
      </c>
      <c r="Z2703">
        <v>1</v>
      </c>
      <c r="AB2703">
        <v>0</v>
      </c>
      <c r="AC2703" t="s">
        <v>115</v>
      </c>
      <c r="AD2703">
        <v>3</v>
      </c>
      <c r="AE2703" t="s">
        <v>115</v>
      </c>
      <c r="AF2703">
        <v>0</v>
      </c>
      <c r="AG2703">
        <v>0</v>
      </c>
      <c r="AH2703" t="s">
        <v>116</v>
      </c>
      <c r="AI2703" s="1">
        <v>102265</v>
      </c>
      <c r="AJ2703" s="2">
        <v>0.28999999999999998</v>
      </c>
      <c r="AK2703" s="1">
        <v>356165</v>
      </c>
      <c r="AL2703" t="s">
        <v>117</v>
      </c>
      <c r="AM2703" t="s">
        <v>5379</v>
      </c>
      <c r="AN2703">
        <v>8714</v>
      </c>
      <c r="AO2703">
        <v>0.2</v>
      </c>
      <c r="AR2703">
        <v>1</v>
      </c>
      <c r="AS2703" s="1">
        <v>24760</v>
      </c>
      <c r="AT2703" s="1">
        <v>4950</v>
      </c>
      <c r="AU2703" s="1">
        <v>19810</v>
      </c>
      <c r="AV2703">
        <v>80.010000000000005</v>
      </c>
      <c r="AX2703" s="1">
        <v>2327.7399999999998</v>
      </c>
      <c r="AY2703" t="s">
        <v>1074</v>
      </c>
      <c r="AZ2703" t="s">
        <v>193</v>
      </c>
      <c r="BA2703" t="s">
        <v>194</v>
      </c>
      <c r="BE2703" s="3">
        <v>41866</v>
      </c>
      <c r="BF2703" s="1">
        <v>252500</v>
      </c>
      <c r="BG2703" t="s">
        <v>2842</v>
      </c>
      <c r="BH2703" s="1">
        <v>106.99</v>
      </c>
      <c r="BI2703" s="1">
        <v>253900</v>
      </c>
      <c r="BJ2703" s="3">
        <v>42654</v>
      </c>
      <c r="BK2703" t="s">
        <v>123</v>
      </c>
      <c r="BL2703" t="str">
        <f>"2016.743210"</f>
        <v>2016.743210</v>
      </c>
      <c r="BM2703" t="s">
        <v>3121</v>
      </c>
      <c r="BO2703" t="s">
        <v>17904</v>
      </c>
      <c r="BS2703">
        <v>30</v>
      </c>
      <c r="BW2703" t="str">
        <f>""</f>
        <v/>
      </c>
      <c r="CH2703" t="str">
        <f>""</f>
        <v/>
      </c>
      <c r="CS2703" t="str">
        <f>""</f>
        <v/>
      </c>
    </row>
    <row r="2704" spans="1:97" x14ac:dyDescent="0.25">
      <c r="A2704" t="s">
        <v>17905</v>
      </c>
      <c r="B2704" t="s">
        <v>2104</v>
      </c>
      <c r="C2704" t="s">
        <v>5375</v>
      </c>
      <c r="D2704" t="s">
        <v>2104</v>
      </c>
      <c r="E2704" t="s">
        <v>17906</v>
      </c>
      <c r="F2704" t="s">
        <v>108</v>
      </c>
      <c r="H2704" t="s">
        <v>17907</v>
      </c>
      <c r="I2704" t="s">
        <v>225</v>
      </c>
      <c r="J2704" t="s">
        <v>111</v>
      </c>
      <c r="K2704" t="str">
        <f>"85212"</f>
        <v>85212</v>
      </c>
      <c r="L2704" t="s">
        <v>8808</v>
      </c>
      <c r="M2704" t="s">
        <v>17907</v>
      </c>
      <c r="N2704" t="s">
        <v>225</v>
      </c>
      <c r="O2704" t="s">
        <v>111</v>
      </c>
      <c r="P2704" t="str">
        <f>"85212-5146"</f>
        <v>85212-5146</v>
      </c>
      <c r="Q2704" t="s">
        <v>113</v>
      </c>
      <c r="R2704" t="str">
        <f>"312-05-518"</f>
        <v>312-05-518</v>
      </c>
      <c r="S2704" t="s">
        <v>8809</v>
      </c>
      <c r="T2704" t="s">
        <v>8810</v>
      </c>
      <c r="U2704">
        <v>2435</v>
      </c>
      <c r="V2704">
        <v>0</v>
      </c>
      <c r="W2704">
        <v>4</v>
      </c>
      <c r="X2704">
        <v>2008</v>
      </c>
      <c r="Z2704">
        <v>2</v>
      </c>
      <c r="AB2704">
        <v>0</v>
      </c>
      <c r="AC2704" t="s">
        <v>115</v>
      </c>
      <c r="AD2704">
        <v>2</v>
      </c>
      <c r="AE2704" t="s">
        <v>115</v>
      </c>
      <c r="AF2704">
        <v>0</v>
      </c>
      <c r="AG2704">
        <v>0</v>
      </c>
      <c r="AH2704" t="s">
        <v>116</v>
      </c>
      <c r="AI2704" s="1">
        <v>81765</v>
      </c>
      <c r="AJ2704" s="2">
        <v>0.25</v>
      </c>
      <c r="AK2704" s="1">
        <v>330597</v>
      </c>
      <c r="AL2704" t="s">
        <v>117</v>
      </c>
      <c r="AM2704" t="s">
        <v>229</v>
      </c>
      <c r="AN2704">
        <v>5975</v>
      </c>
      <c r="AO2704">
        <v>0.14000000000000001</v>
      </c>
      <c r="AR2704">
        <v>1</v>
      </c>
      <c r="AS2704" s="1">
        <v>22570</v>
      </c>
      <c r="AT2704" s="1">
        <v>4510</v>
      </c>
      <c r="AU2704" s="1">
        <v>18060</v>
      </c>
      <c r="AV2704">
        <v>80.02</v>
      </c>
      <c r="AX2704" s="1">
        <v>2103.6</v>
      </c>
      <c r="AY2704" t="s">
        <v>560</v>
      </c>
      <c r="AZ2704" t="s">
        <v>561</v>
      </c>
      <c r="BA2704" t="s">
        <v>194</v>
      </c>
      <c r="BE2704" s="3">
        <v>41976</v>
      </c>
      <c r="BF2704" s="1">
        <v>243000</v>
      </c>
      <c r="BG2704" t="s">
        <v>17908</v>
      </c>
      <c r="BH2704" s="1">
        <v>99.79</v>
      </c>
      <c r="BI2704" s="1">
        <v>248832</v>
      </c>
      <c r="BJ2704" s="3">
        <v>41976</v>
      </c>
      <c r="BK2704" t="s">
        <v>123</v>
      </c>
      <c r="BL2704" t="str">
        <f>"2014.796053"</f>
        <v>2014.796053</v>
      </c>
      <c r="BM2704" t="s">
        <v>131</v>
      </c>
      <c r="BO2704" t="s">
        <v>17909</v>
      </c>
      <c r="BS2704">
        <v>30</v>
      </c>
      <c r="BW2704" t="str">
        <f>""</f>
        <v/>
      </c>
      <c r="CH2704" t="str">
        <f>""</f>
        <v/>
      </c>
      <c r="CS2704" t="str">
        <f>""</f>
        <v/>
      </c>
    </row>
    <row r="2705" spans="1:97" x14ac:dyDescent="0.25">
      <c r="A2705" t="s">
        <v>177</v>
      </c>
      <c r="B2705" t="s">
        <v>2433</v>
      </c>
      <c r="C2705" t="s">
        <v>17910</v>
      </c>
      <c r="D2705" t="s">
        <v>2433</v>
      </c>
      <c r="E2705" t="s">
        <v>17911</v>
      </c>
      <c r="F2705" t="s">
        <v>108</v>
      </c>
      <c r="H2705" t="s">
        <v>17912</v>
      </c>
      <c r="I2705" t="s">
        <v>2874</v>
      </c>
      <c r="J2705" t="s">
        <v>111</v>
      </c>
      <c r="K2705" t="str">
        <f>"85305"</f>
        <v>85305</v>
      </c>
      <c r="L2705" t="s">
        <v>9168</v>
      </c>
      <c r="M2705" t="s">
        <v>17912</v>
      </c>
      <c r="N2705" t="s">
        <v>2874</v>
      </c>
      <c r="O2705" t="s">
        <v>111</v>
      </c>
      <c r="P2705" t="str">
        <f>"85305-2903"</f>
        <v>85305-2903</v>
      </c>
      <c r="Q2705" t="s">
        <v>113</v>
      </c>
      <c r="R2705" t="str">
        <f>"102-11-322"</f>
        <v>102-11-322</v>
      </c>
      <c r="S2705" t="s">
        <v>17913</v>
      </c>
      <c r="T2705" t="s">
        <v>17913</v>
      </c>
      <c r="U2705">
        <v>3260</v>
      </c>
      <c r="V2705">
        <v>0</v>
      </c>
      <c r="W2705">
        <v>4</v>
      </c>
      <c r="X2705">
        <v>2002</v>
      </c>
      <c r="Z2705">
        <v>2</v>
      </c>
      <c r="AA2705" t="s">
        <v>26</v>
      </c>
      <c r="AB2705">
        <v>0</v>
      </c>
      <c r="AC2705" t="s">
        <v>115</v>
      </c>
      <c r="AD2705">
        <v>3</v>
      </c>
      <c r="AE2705" t="s">
        <v>115</v>
      </c>
      <c r="AF2705">
        <v>0</v>
      </c>
      <c r="AG2705">
        <v>0</v>
      </c>
      <c r="AH2705" t="s">
        <v>116</v>
      </c>
      <c r="AI2705" s="1">
        <v>43091</v>
      </c>
      <c r="AJ2705" s="2">
        <v>0.09</v>
      </c>
      <c r="AK2705" s="1">
        <v>463891</v>
      </c>
      <c r="AL2705" t="s">
        <v>117</v>
      </c>
      <c r="AM2705" t="s">
        <v>6005</v>
      </c>
      <c r="AN2705">
        <v>31464</v>
      </c>
      <c r="AO2705">
        <v>0.72</v>
      </c>
      <c r="AP2705">
        <v>1</v>
      </c>
      <c r="AR2705">
        <v>1</v>
      </c>
      <c r="AS2705" s="1">
        <v>37220</v>
      </c>
      <c r="AT2705" s="1">
        <v>7440</v>
      </c>
      <c r="AU2705" s="1">
        <v>29780</v>
      </c>
      <c r="AV2705">
        <v>80.010000000000005</v>
      </c>
      <c r="AX2705" s="1">
        <v>4500.7</v>
      </c>
      <c r="AY2705" t="s">
        <v>4285</v>
      </c>
      <c r="AZ2705" t="s">
        <v>4285</v>
      </c>
      <c r="BA2705" t="s">
        <v>4286</v>
      </c>
      <c r="BE2705" s="3">
        <v>42250</v>
      </c>
      <c r="BF2705" s="1">
        <v>340000</v>
      </c>
      <c r="BG2705" t="s">
        <v>17914</v>
      </c>
      <c r="BH2705" s="1">
        <v>104.29</v>
      </c>
      <c r="BI2705" s="1">
        <v>420800</v>
      </c>
      <c r="BJ2705" s="3">
        <v>42926</v>
      </c>
      <c r="BK2705" t="s">
        <v>123</v>
      </c>
      <c r="BL2705" t="str">
        <f>"2017.499764"</f>
        <v>2017.499764</v>
      </c>
      <c r="BM2705" t="s">
        <v>361</v>
      </c>
      <c r="BO2705" t="s">
        <v>17915</v>
      </c>
      <c r="BS2705">
        <v>30</v>
      </c>
      <c r="BW2705" t="str">
        <f>""</f>
        <v/>
      </c>
      <c r="CH2705" t="str">
        <f>""</f>
        <v/>
      </c>
      <c r="CS2705" t="str">
        <f>""</f>
        <v/>
      </c>
    </row>
    <row r="2706" spans="1:97" x14ac:dyDescent="0.25">
      <c r="A2706" t="s">
        <v>370</v>
      </c>
      <c r="B2706" t="s">
        <v>17916</v>
      </c>
      <c r="E2706" t="s">
        <v>17917</v>
      </c>
      <c r="F2706" t="s">
        <v>139</v>
      </c>
      <c r="H2706" t="s">
        <v>17918</v>
      </c>
      <c r="I2706" t="s">
        <v>390</v>
      </c>
      <c r="J2706" t="s">
        <v>111</v>
      </c>
      <c r="K2706" t="str">
        <f>"85083"</f>
        <v>85083</v>
      </c>
      <c r="L2706" t="s">
        <v>4467</v>
      </c>
      <c r="M2706" t="s">
        <v>17919</v>
      </c>
      <c r="N2706" t="s">
        <v>390</v>
      </c>
      <c r="O2706" t="s">
        <v>111</v>
      </c>
      <c r="P2706" t="str">
        <f>"85083-6517"</f>
        <v>85083-6517</v>
      </c>
      <c r="Q2706" t="s">
        <v>113</v>
      </c>
      <c r="R2706" t="str">
        <f>"201-07-085"</f>
        <v>201-07-085</v>
      </c>
      <c r="S2706" t="s">
        <v>17920</v>
      </c>
      <c r="T2706" t="s">
        <v>17920</v>
      </c>
      <c r="U2706">
        <v>2244</v>
      </c>
      <c r="V2706">
        <v>0</v>
      </c>
      <c r="W2706">
        <v>4</v>
      </c>
      <c r="X2706">
        <v>2003</v>
      </c>
      <c r="Z2706">
        <v>2</v>
      </c>
      <c r="AA2706" t="s">
        <v>26</v>
      </c>
      <c r="AB2706">
        <v>0</v>
      </c>
      <c r="AC2706" t="s">
        <v>115</v>
      </c>
      <c r="AD2706">
        <v>3</v>
      </c>
      <c r="AE2706" t="s">
        <v>115</v>
      </c>
      <c r="AF2706">
        <v>0</v>
      </c>
      <c r="AG2706">
        <v>0</v>
      </c>
      <c r="AH2706" t="s">
        <v>116</v>
      </c>
      <c r="AI2706" s="1">
        <v>60138</v>
      </c>
      <c r="AJ2706" s="2">
        <v>0.16</v>
      </c>
      <c r="AK2706" s="1">
        <v>367138</v>
      </c>
      <c r="AL2706" t="s">
        <v>117</v>
      </c>
      <c r="AM2706" t="s">
        <v>171</v>
      </c>
      <c r="AN2706">
        <v>8479</v>
      </c>
      <c r="AO2706">
        <v>0.2</v>
      </c>
      <c r="AP2706">
        <v>1</v>
      </c>
      <c r="AR2706">
        <v>1</v>
      </c>
      <c r="AS2706" s="1">
        <v>26130</v>
      </c>
      <c r="AT2706" s="1">
        <v>5220</v>
      </c>
      <c r="AU2706" s="1">
        <v>20910</v>
      </c>
      <c r="AV2706">
        <v>80.02</v>
      </c>
      <c r="AX2706" s="1">
        <v>2311.08</v>
      </c>
      <c r="AY2706" t="s">
        <v>1385</v>
      </c>
      <c r="AZ2706" t="s">
        <v>1385</v>
      </c>
      <c r="BA2706" t="s">
        <v>1386</v>
      </c>
      <c r="BE2706" s="3">
        <v>42214</v>
      </c>
      <c r="BF2706" s="1">
        <v>323000</v>
      </c>
      <c r="BG2706" t="s">
        <v>17921</v>
      </c>
      <c r="BH2706" s="1">
        <v>143.94</v>
      </c>
      <c r="BI2706" s="1">
        <v>307000</v>
      </c>
      <c r="BJ2706" s="3">
        <v>42214</v>
      </c>
      <c r="BK2706" t="s">
        <v>123</v>
      </c>
      <c r="BL2706" t="str">
        <f>"2015.547924"</f>
        <v>2015.547924</v>
      </c>
      <c r="BM2706" t="s">
        <v>5348</v>
      </c>
      <c r="BO2706" t="s">
        <v>17922</v>
      </c>
      <c r="BS2706">
        <v>30</v>
      </c>
      <c r="BW2706" t="str">
        <f>""</f>
        <v/>
      </c>
      <c r="CH2706" t="str">
        <f>""</f>
        <v/>
      </c>
      <c r="CS2706" t="str">
        <f>""</f>
        <v/>
      </c>
    </row>
    <row r="2707" spans="1:97" x14ac:dyDescent="0.25">
      <c r="A2707" t="s">
        <v>2762</v>
      </c>
      <c r="B2707" t="s">
        <v>17923</v>
      </c>
      <c r="C2707" t="s">
        <v>4221</v>
      </c>
      <c r="D2707" t="s">
        <v>17923</v>
      </c>
      <c r="E2707" t="s">
        <v>17924</v>
      </c>
      <c r="F2707" t="s">
        <v>108</v>
      </c>
      <c r="H2707" t="s">
        <v>17925</v>
      </c>
      <c r="I2707" t="s">
        <v>1936</v>
      </c>
      <c r="J2707" t="s">
        <v>111</v>
      </c>
      <c r="K2707" t="str">
        <f>"85266"</f>
        <v>85266</v>
      </c>
      <c r="L2707" t="s">
        <v>17926</v>
      </c>
      <c r="M2707" t="s">
        <v>17925</v>
      </c>
      <c r="N2707" t="s">
        <v>1936</v>
      </c>
      <c r="O2707" t="s">
        <v>111</v>
      </c>
      <c r="P2707" t="str">
        <f>"85266-8210"</f>
        <v>85266-8210</v>
      </c>
      <c r="Q2707" t="s">
        <v>113</v>
      </c>
      <c r="R2707" t="str">
        <f>"211-61-437"</f>
        <v>211-61-437</v>
      </c>
      <c r="S2707" t="s">
        <v>17927</v>
      </c>
      <c r="T2707" t="s">
        <v>17927</v>
      </c>
      <c r="U2707">
        <v>3960</v>
      </c>
      <c r="V2707">
        <v>0</v>
      </c>
      <c r="W2707">
        <v>4</v>
      </c>
      <c r="X2707">
        <v>1999</v>
      </c>
      <c r="Z2707">
        <v>2</v>
      </c>
      <c r="AB2707">
        <v>0</v>
      </c>
      <c r="AC2707" t="s">
        <v>115</v>
      </c>
      <c r="AD2707">
        <v>3</v>
      </c>
      <c r="AE2707" t="s">
        <v>115</v>
      </c>
      <c r="AF2707">
        <v>0</v>
      </c>
      <c r="AG2707">
        <v>0</v>
      </c>
      <c r="AH2707" t="s">
        <v>116</v>
      </c>
      <c r="AI2707" s="1">
        <v>70847</v>
      </c>
      <c r="AJ2707" s="2">
        <v>0.14000000000000001</v>
      </c>
      <c r="AK2707" s="1">
        <v>521787</v>
      </c>
      <c r="AL2707" t="s">
        <v>117</v>
      </c>
      <c r="AM2707" t="s">
        <v>393</v>
      </c>
      <c r="AN2707">
        <v>9666</v>
      </c>
      <c r="AO2707">
        <v>0.22</v>
      </c>
      <c r="AP2707">
        <v>1</v>
      </c>
      <c r="AR2707">
        <v>1</v>
      </c>
      <c r="AS2707" s="1">
        <v>38070</v>
      </c>
      <c r="AT2707" s="1">
        <v>7610</v>
      </c>
      <c r="AU2707" s="1">
        <v>30460</v>
      </c>
      <c r="AV2707">
        <v>80.010000000000005</v>
      </c>
      <c r="AX2707" s="1">
        <v>2270.4</v>
      </c>
      <c r="AY2707" t="s">
        <v>7359</v>
      </c>
      <c r="AZ2707" t="s">
        <v>1402</v>
      </c>
      <c r="BA2707" t="s">
        <v>1403</v>
      </c>
      <c r="BE2707" s="3">
        <v>42440</v>
      </c>
      <c r="BF2707" s="1">
        <v>467000</v>
      </c>
      <c r="BG2707" t="s">
        <v>17928</v>
      </c>
      <c r="BH2707" s="1">
        <v>117.93</v>
      </c>
      <c r="BI2707" s="1">
        <v>450940</v>
      </c>
      <c r="BJ2707" s="3">
        <v>43031</v>
      </c>
      <c r="BK2707" t="s">
        <v>123</v>
      </c>
      <c r="BL2707" t="str">
        <f>"2017.782512"</f>
        <v>2017.782512</v>
      </c>
      <c r="BM2707" t="s">
        <v>2657</v>
      </c>
      <c r="BO2707" t="s">
        <v>17929</v>
      </c>
      <c r="BS2707">
        <v>30</v>
      </c>
      <c r="BW2707" t="str">
        <f>""</f>
        <v/>
      </c>
      <c r="CH2707" t="str">
        <f>""</f>
        <v/>
      </c>
      <c r="CS2707" t="str">
        <f>""</f>
        <v/>
      </c>
    </row>
    <row r="2708" spans="1:97" x14ac:dyDescent="0.25">
      <c r="A2708" t="s">
        <v>17930</v>
      </c>
      <c r="B2708" t="s">
        <v>17931</v>
      </c>
      <c r="E2708" t="s">
        <v>17932</v>
      </c>
      <c r="F2708" t="s">
        <v>108</v>
      </c>
      <c r="H2708" t="s">
        <v>17933</v>
      </c>
      <c r="I2708" t="s">
        <v>453</v>
      </c>
      <c r="J2708" t="s">
        <v>111</v>
      </c>
      <c r="K2708" t="str">
        <f>"85383"</f>
        <v>85383</v>
      </c>
      <c r="L2708" t="s">
        <v>5775</v>
      </c>
      <c r="M2708" t="s">
        <v>17933</v>
      </c>
      <c r="N2708" t="s">
        <v>453</v>
      </c>
      <c r="O2708" t="s">
        <v>111</v>
      </c>
      <c r="P2708" t="str">
        <f>"85383-1017"</f>
        <v>85383-1017</v>
      </c>
      <c r="R2708" t="str">
        <f>"201-14-381"</f>
        <v>201-14-381</v>
      </c>
      <c r="S2708" t="s">
        <v>17934</v>
      </c>
      <c r="T2708" t="s">
        <v>17935</v>
      </c>
      <c r="U2708">
        <v>3766</v>
      </c>
      <c r="V2708">
        <v>0</v>
      </c>
      <c r="W2708">
        <v>5</v>
      </c>
      <c r="X2708">
        <v>2001</v>
      </c>
      <c r="Z2708">
        <v>1</v>
      </c>
      <c r="AA2708" t="s">
        <v>26</v>
      </c>
      <c r="AB2708">
        <v>0</v>
      </c>
      <c r="AC2708" t="s">
        <v>115</v>
      </c>
      <c r="AD2708">
        <v>3</v>
      </c>
      <c r="AE2708" t="s">
        <v>115</v>
      </c>
      <c r="AF2708">
        <v>0</v>
      </c>
      <c r="AG2708">
        <v>0</v>
      </c>
      <c r="AH2708" t="s">
        <v>116</v>
      </c>
      <c r="AI2708" s="1">
        <v>136445</v>
      </c>
      <c r="AJ2708" s="2">
        <v>0.23</v>
      </c>
      <c r="AK2708" s="1">
        <v>584945</v>
      </c>
      <c r="AL2708" t="s">
        <v>117</v>
      </c>
      <c r="AM2708" t="s">
        <v>616</v>
      </c>
      <c r="AN2708">
        <v>24303</v>
      </c>
      <c r="AO2708">
        <v>0.56000000000000005</v>
      </c>
      <c r="AP2708">
        <v>1</v>
      </c>
      <c r="AR2708">
        <v>1</v>
      </c>
      <c r="AS2708" s="1">
        <v>44820</v>
      </c>
      <c r="AT2708" s="1">
        <v>8960</v>
      </c>
      <c r="AU2708" s="1">
        <v>35860</v>
      </c>
      <c r="AV2708">
        <v>80.010000000000005</v>
      </c>
      <c r="AX2708" s="1">
        <v>5817.62</v>
      </c>
      <c r="AY2708" t="s">
        <v>4218</v>
      </c>
      <c r="AZ2708" t="s">
        <v>4218</v>
      </c>
      <c r="BA2708" t="s">
        <v>4219</v>
      </c>
      <c r="BE2708" s="3">
        <v>42129</v>
      </c>
      <c r="BF2708" s="1">
        <v>459000</v>
      </c>
      <c r="BG2708" t="s">
        <v>17936</v>
      </c>
      <c r="BH2708" s="1">
        <v>121.88</v>
      </c>
      <c r="BI2708" s="1">
        <v>448500</v>
      </c>
      <c r="BJ2708" s="3">
        <v>42129</v>
      </c>
      <c r="BK2708" t="s">
        <v>123</v>
      </c>
      <c r="BL2708" t="str">
        <f>"2015.315005"</f>
        <v>2015.315005</v>
      </c>
      <c r="BM2708" t="s">
        <v>724</v>
      </c>
      <c r="BN2708" t="s">
        <v>5737</v>
      </c>
      <c r="BO2708" t="s">
        <v>17937</v>
      </c>
      <c r="BS2708">
        <v>30</v>
      </c>
      <c r="BW2708" t="str">
        <f>""</f>
        <v/>
      </c>
      <c r="CH2708" t="str">
        <f>""</f>
        <v/>
      </c>
      <c r="CS2708" t="str">
        <f>""</f>
        <v/>
      </c>
    </row>
    <row r="2709" spans="1:97" x14ac:dyDescent="0.25">
      <c r="A2709" t="s">
        <v>3800</v>
      </c>
      <c r="B2709" t="s">
        <v>3333</v>
      </c>
      <c r="E2709" t="s">
        <v>17938</v>
      </c>
      <c r="F2709" t="s">
        <v>108</v>
      </c>
      <c r="H2709" t="s">
        <v>17939</v>
      </c>
      <c r="I2709" t="s">
        <v>203</v>
      </c>
      <c r="J2709" t="s">
        <v>111</v>
      </c>
      <c r="K2709" t="str">
        <f>"85298"</f>
        <v>85298</v>
      </c>
      <c r="L2709" t="s">
        <v>2211</v>
      </c>
      <c r="M2709" t="s">
        <v>17939</v>
      </c>
      <c r="N2709" t="s">
        <v>203</v>
      </c>
      <c r="O2709" t="s">
        <v>111</v>
      </c>
      <c r="P2709" t="str">
        <f>"85298-2328"</f>
        <v>85298-2328</v>
      </c>
      <c r="Q2709" t="s">
        <v>113</v>
      </c>
      <c r="R2709" t="str">
        <f>"304-81-609"</f>
        <v>304-81-609</v>
      </c>
      <c r="S2709" t="s">
        <v>17940</v>
      </c>
      <c r="T2709" t="s">
        <v>2213</v>
      </c>
      <c r="U2709">
        <v>1996</v>
      </c>
      <c r="V2709">
        <v>0</v>
      </c>
      <c r="W2709">
        <v>3</v>
      </c>
      <c r="X2709">
        <v>2013</v>
      </c>
      <c r="Z2709">
        <v>1</v>
      </c>
      <c r="AB2709">
        <v>0</v>
      </c>
      <c r="AC2709" t="s">
        <v>115</v>
      </c>
      <c r="AD2709">
        <v>2</v>
      </c>
      <c r="AE2709" t="s">
        <v>115</v>
      </c>
      <c r="AF2709">
        <v>0</v>
      </c>
      <c r="AG2709">
        <v>0</v>
      </c>
      <c r="AH2709" t="s">
        <v>116</v>
      </c>
      <c r="AI2709" s="1">
        <v>65217</v>
      </c>
      <c r="AJ2709" s="2">
        <v>0.18</v>
      </c>
      <c r="AK2709" s="1">
        <v>370645</v>
      </c>
      <c r="AL2709" t="s">
        <v>117</v>
      </c>
      <c r="AM2709" t="s">
        <v>191</v>
      </c>
      <c r="AN2709">
        <v>6957</v>
      </c>
      <c r="AO2709">
        <v>0.16</v>
      </c>
      <c r="AR2709">
        <v>1</v>
      </c>
      <c r="AS2709" s="1">
        <v>24930</v>
      </c>
      <c r="AT2709" s="1">
        <v>4980</v>
      </c>
      <c r="AU2709" s="1">
        <v>19950</v>
      </c>
      <c r="AV2709">
        <v>80.02</v>
      </c>
      <c r="AX2709" s="1">
        <v>2095.6799999999998</v>
      </c>
      <c r="AY2709" t="s">
        <v>2214</v>
      </c>
      <c r="AZ2709" t="s">
        <v>1134</v>
      </c>
      <c r="BA2709" t="s">
        <v>1134</v>
      </c>
      <c r="BE2709" s="3">
        <v>41898</v>
      </c>
      <c r="BF2709" s="1">
        <v>299764</v>
      </c>
      <c r="BG2709" t="s">
        <v>474</v>
      </c>
      <c r="BH2709" s="1">
        <v>150.18</v>
      </c>
      <c r="BI2709" s="1">
        <v>305428</v>
      </c>
      <c r="BJ2709" s="3">
        <v>41898</v>
      </c>
      <c r="BK2709" t="s">
        <v>123</v>
      </c>
      <c r="BL2709" t="str">
        <f>"2014.611459"</f>
        <v>2014.611459</v>
      </c>
      <c r="BM2709" t="s">
        <v>724</v>
      </c>
      <c r="BO2709" t="s">
        <v>17941</v>
      </c>
      <c r="BS2709">
        <v>30</v>
      </c>
      <c r="BW2709" t="str">
        <f>""</f>
        <v/>
      </c>
      <c r="CH2709" t="str">
        <f>""</f>
        <v/>
      </c>
      <c r="CS2709" t="str">
        <f>""</f>
        <v/>
      </c>
    </row>
    <row r="2710" spans="1:97" x14ac:dyDescent="0.25">
      <c r="A2710" t="s">
        <v>701</v>
      </c>
      <c r="B2710" t="s">
        <v>8182</v>
      </c>
      <c r="C2710" t="s">
        <v>3831</v>
      </c>
      <c r="D2710" t="s">
        <v>8182</v>
      </c>
      <c r="E2710" t="s">
        <v>17942</v>
      </c>
      <c r="F2710" t="s">
        <v>108</v>
      </c>
      <c r="H2710" t="s">
        <v>17943</v>
      </c>
      <c r="I2710" t="s">
        <v>453</v>
      </c>
      <c r="J2710" t="s">
        <v>111</v>
      </c>
      <c r="K2710" t="str">
        <f>"85383"</f>
        <v>85383</v>
      </c>
      <c r="L2710" t="s">
        <v>7607</v>
      </c>
      <c r="M2710" t="s">
        <v>17943</v>
      </c>
      <c r="N2710" t="s">
        <v>453</v>
      </c>
      <c r="O2710" t="s">
        <v>111</v>
      </c>
      <c r="P2710" t="str">
        <f>"85383-7097"</f>
        <v>85383-7097</v>
      </c>
      <c r="Q2710" t="s">
        <v>113</v>
      </c>
      <c r="R2710" t="str">
        <f>"201-34-008"</f>
        <v>201-34-008</v>
      </c>
      <c r="S2710" t="s">
        <v>17944</v>
      </c>
      <c r="T2710" t="s">
        <v>2222</v>
      </c>
      <c r="U2710">
        <v>2569</v>
      </c>
      <c r="V2710">
        <v>0</v>
      </c>
      <c r="W2710">
        <v>3</v>
      </c>
      <c r="X2710">
        <v>1999</v>
      </c>
      <c r="Z2710">
        <v>1</v>
      </c>
      <c r="AA2710" t="s">
        <v>26</v>
      </c>
      <c r="AB2710">
        <v>0</v>
      </c>
      <c r="AC2710" t="s">
        <v>115</v>
      </c>
      <c r="AD2710">
        <v>2</v>
      </c>
      <c r="AE2710" t="s">
        <v>115</v>
      </c>
      <c r="AF2710">
        <v>0</v>
      </c>
      <c r="AG2710">
        <v>0</v>
      </c>
      <c r="AH2710" t="s">
        <v>116</v>
      </c>
      <c r="AI2710" s="1">
        <v>108384</v>
      </c>
      <c r="AJ2710" s="2">
        <v>0.28000000000000003</v>
      </c>
      <c r="AK2710" s="1">
        <v>381759</v>
      </c>
      <c r="AL2710" t="s">
        <v>117</v>
      </c>
      <c r="AM2710" t="s">
        <v>171</v>
      </c>
      <c r="AN2710">
        <v>8050</v>
      </c>
      <c r="AO2710">
        <v>0.18</v>
      </c>
      <c r="AP2710">
        <v>1</v>
      </c>
      <c r="AR2710">
        <v>1</v>
      </c>
      <c r="AS2710" s="1">
        <v>28380</v>
      </c>
      <c r="AT2710" s="1">
        <v>5670</v>
      </c>
      <c r="AU2710" s="1">
        <v>22710</v>
      </c>
      <c r="AV2710">
        <v>80.02</v>
      </c>
      <c r="AX2710" s="1">
        <v>2471.4</v>
      </c>
      <c r="AY2710" t="s">
        <v>1385</v>
      </c>
      <c r="AZ2710" t="s">
        <v>1385</v>
      </c>
      <c r="BA2710" t="s">
        <v>2223</v>
      </c>
      <c r="BE2710" s="3">
        <v>42081</v>
      </c>
      <c r="BF2710" s="1">
        <v>310000</v>
      </c>
      <c r="BG2710" t="s">
        <v>17945</v>
      </c>
      <c r="BH2710" s="1">
        <v>120.67</v>
      </c>
      <c r="BI2710" s="1">
        <v>273375</v>
      </c>
      <c r="BJ2710" s="3">
        <v>42081</v>
      </c>
      <c r="BK2710" t="s">
        <v>123</v>
      </c>
      <c r="BL2710" t="str">
        <f>"2015.181389"</f>
        <v>2015.181389</v>
      </c>
      <c r="BM2710" t="s">
        <v>131</v>
      </c>
      <c r="BO2710" t="s">
        <v>17946</v>
      </c>
      <c r="BS2710">
        <v>30</v>
      </c>
      <c r="BW2710" t="str">
        <f>""</f>
        <v/>
      </c>
      <c r="CH2710" t="str">
        <f>""</f>
        <v/>
      </c>
      <c r="CS2710" t="str">
        <f>""</f>
        <v/>
      </c>
    </row>
    <row r="2711" spans="1:97" x14ac:dyDescent="0.25">
      <c r="A2711" t="s">
        <v>17947</v>
      </c>
      <c r="B2711" t="s">
        <v>17948</v>
      </c>
      <c r="C2711" t="s">
        <v>17949</v>
      </c>
      <c r="D2711" t="s">
        <v>17948</v>
      </c>
      <c r="E2711" t="s">
        <v>17950</v>
      </c>
      <c r="F2711" t="s">
        <v>108</v>
      </c>
      <c r="H2711" t="s">
        <v>17951</v>
      </c>
      <c r="I2711" t="s">
        <v>1788</v>
      </c>
      <c r="J2711" t="s">
        <v>111</v>
      </c>
      <c r="K2711" t="str">
        <f>"85355"</f>
        <v>85355</v>
      </c>
      <c r="L2711" t="s">
        <v>3758</v>
      </c>
      <c r="M2711" t="s">
        <v>17951</v>
      </c>
      <c r="N2711" t="s">
        <v>1788</v>
      </c>
      <c r="O2711" t="s">
        <v>111</v>
      </c>
      <c r="P2711" t="str">
        <f>"85355-7548"</f>
        <v>85355-7548</v>
      </c>
      <c r="Q2711" t="s">
        <v>113</v>
      </c>
      <c r="R2711" t="str">
        <f>"502-83-044"</f>
        <v>502-83-044</v>
      </c>
      <c r="S2711" t="s">
        <v>10365</v>
      </c>
      <c r="T2711" t="s">
        <v>5971</v>
      </c>
      <c r="U2711">
        <v>4067</v>
      </c>
      <c r="V2711">
        <v>0</v>
      </c>
      <c r="W2711">
        <v>5</v>
      </c>
      <c r="X2711">
        <v>2009</v>
      </c>
      <c r="Z2711">
        <v>2</v>
      </c>
      <c r="AA2711" t="s">
        <v>26</v>
      </c>
      <c r="AB2711">
        <v>0</v>
      </c>
      <c r="AC2711" t="s">
        <v>115</v>
      </c>
      <c r="AD2711">
        <v>3</v>
      </c>
      <c r="AE2711" t="s">
        <v>115</v>
      </c>
      <c r="AF2711">
        <v>0</v>
      </c>
      <c r="AG2711">
        <v>0</v>
      </c>
      <c r="AH2711" t="s">
        <v>116</v>
      </c>
      <c r="AI2711" s="1">
        <v>17083</v>
      </c>
      <c r="AJ2711" s="2">
        <v>0.04</v>
      </c>
      <c r="AK2711" s="1">
        <v>384831</v>
      </c>
      <c r="AL2711" t="s">
        <v>117</v>
      </c>
      <c r="AM2711" t="s">
        <v>393</v>
      </c>
      <c r="AN2711">
        <v>9147</v>
      </c>
      <c r="AO2711">
        <v>0.21</v>
      </c>
      <c r="AR2711">
        <v>1</v>
      </c>
      <c r="AS2711" s="1">
        <v>28870</v>
      </c>
      <c r="AT2711" s="1">
        <v>5770</v>
      </c>
      <c r="AU2711" s="1">
        <v>23100</v>
      </c>
      <c r="AV2711">
        <v>80.010000000000005</v>
      </c>
      <c r="AX2711" s="1">
        <v>2221.42</v>
      </c>
      <c r="AY2711" t="s">
        <v>5972</v>
      </c>
      <c r="AZ2711" t="s">
        <v>5972</v>
      </c>
      <c r="BA2711" t="s">
        <v>5061</v>
      </c>
      <c r="BE2711" s="3">
        <v>42333</v>
      </c>
      <c r="BF2711" s="1">
        <v>315000</v>
      </c>
      <c r="BG2711" t="s">
        <v>17952</v>
      </c>
      <c r="BH2711" s="1">
        <v>77.45</v>
      </c>
      <c r="BI2711" s="1">
        <v>367748</v>
      </c>
      <c r="BJ2711" s="3">
        <v>43025</v>
      </c>
      <c r="BK2711" t="s">
        <v>123</v>
      </c>
      <c r="BL2711" t="str">
        <f>"2017.770127"</f>
        <v>2017.770127</v>
      </c>
      <c r="BM2711" t="s">
        <v>1463</v>
      </c>
      <c r="BO2711" t="s">
        <v>17953</v>
      </c>
      <c r="BS2711">
        <v>30</v>
      </c>
      <c r="BW2711" t="str">
        <f>""</f>
        <v/>
      </c>
      <c r="CH2711" t="str">
        <f>""</f>
        <v/>
      </c>
      <c r="CS2711" t="str">
        <f>""</f>
        <v/>
      </c>
    </row>
    <row r="2712" spans="1:97" x14ac:dyDescent="0.25">
      <c r="A2712" t="s">
        <v>703</v>
      </c>
      <c r="B2712" t="s">
        <v>4087</v>
      </c>
      <c r="E2712" t="s">
        <v>17954</v>
      </c>
      <c r="F2712" t="s">
        <v>108</v>
      </c>
      <c r="H2712" t="s">
        <v>17955</v>
      </c>
      <c r="I2712" t="s">
        <v>225</v>
      </c>
      <c r="J2712" t="s">
        <v>111</v>
      </c>
      <c r="K2712" t="str">
        <f>"85203"</f>
        <v>85203</v>
      </c>
      <c r="L2712" t="s">
        <v>4003</v>
      </c>
      <c r="M2712" t="s">
        <v>17955</v>
      </c>
      <c r="N2712" t="s">
        <v>225</v>
      </c>
      <c r="O2712" t="s">
        <v>111</v>
      </c>
      <c r="P2712" t="str">
        <f>"85203-4406"</f>
        <v>85203-4406</v>
      </c>
      <c r="Q2712" t="s">
        <v>113</v>
      </c>
      <c r="R2712" t="str">
        <f>"136-27-796"</f>
        <v>136-27-796</v>
      </c>
      <c r="S2712" t="s">
        <v>17956</v>
      </c>
      <c r="T2712" t="s">
        <v>17957</v>
      </c>
      <c r="U2712">
        <v>1971</v>
      </c>
      <c r="V2712">
        <v>0</v>
      </c>
      <c r="W2712">
        <v>2</v>
      </c>
      <c r="X2712">
        <v>1977</v>
      </c>
      <c r="Z2712">
        <v>1</v>
      </c>
      <c r="AA2712" t="s">
        <v>26</v>
      </c>
      <c r="AB2712">
        <v>0</v>
      </c>
      <c r="AC2712" t="s">
        <v>115</v>
      </c>
      <c r="AD2712">
        <v>2</v>
      </c>
      <c r="AE2712" t="s">
        <v>115</v>
      </c>
      <c r="AF2712">
        <v>0</v>
      </c>
      <c r="AG2712">
        <v>0</v>
      </c>
      <c r="AH2712" t="s">
        <v>116</v>
      </c>
      <c r="AI2712" s="1">
        <v>75758</v>
      </c>
      <c r="AJ2712" s="2">
        <v>0.22</v>
      </c>
      <c r="AK2712" s="1">
        <v>339173</v>
      </c>
      <c r="AL2712" t="s">
        <v>117</v>
      </c>
      <c r="AM2712" t="s">
        <v>917</v>
      </c>
      <c r="AN2712">
        <v>10280</v>
      </c>
      <c r="AO2712">
        <v>0.24</v>
      </c>
      <c r="AP2712">
        <v>1</v>
      </c>
      <c r="AR2712">
        <v>1</v>
      </c>
      <c r="AS2712" s="1">
        <v>22800</v>
      </c>
      <c r="AT2712" s="1">
        <v>4560</v>
      </c>
      <c r="AU2712" s="1">
        <v>18240</v>
      </c>
      <c r="AV2712">
        <v>80</v>
      </c>
      <c r="AX2712" s="1">
        <v>1701.7</v>
      </c>
      <c r="AY2712" t="s">
        <v>6401</v>
      </c>
      <c r="AZ2712" t="s">
        <v>4163</v>
      </c>
      <c r="BA2712" t="s">
        <v>1524</v>
      </c>
      <c r="BE2712" s="3">
        <v>42073</v>
      </c>
      <c r="BF2712" s="1">
        <v>255000</v>
      </c>
      <c r="BG2712" t="s">
        <v>17958</v>
      </c>
      <c r="BH2712" s="1">
        <v>129.38</v>
      </c>
      <c r="BI2712" s="1">
        <v>263415</v>
      </c>
      <c r="BJ2712" s="3">
        <v>42073</v>
      </c>
      <c r="BK2712" t="s">
        <v>123</v>
      </c>
      <c r="BL2712" t="str">
        <f>"2015.159733"</f>
        <v>2015.159733</v>
      </c>
      <c r="BM2712" t="s">
        <v>724</v>
      </c>
      <c r="BO2712" t="s">
        <v>17959</v>
      </c>
      <c r="BS2712">
        <v>30</v>
      </c>
      <c r="BW2712" t="str">
        <f>""</f>
        <v/>
      </c>
      <c r="CH2712" t="str">
        <f>""</f>
        <v/>
      </c>
      <c r="CS2712" t="str">
        <f>""</f>
        <v/>
      </c>
    </row>
    <row r="2713" spans="1:97" x14ac:dyDescent="0.25">
      <c r="A2713" t="s">
        <v>1295</v>
      </c>
      <c r="B2713" t="s">
        <v>17960</v>
      </c>
      <c r="C2713" t="s">
        <v>2333</v>
      </c>
      <c r="D2713" t="s">
        <v>17960</v>
      </c>
      <c r="E2713" t="s">
        <v>17961</v>
      </c>
      <c r="F2713" t="s">
        <v>108</v>
      </c>
      <c r="H2713" t="s">
        <v>17962</v>
      </c>
      <c r="I2713" t="s">
        <v>453</v>
      </c>
      <c r="J2713" t="s">
        <v>111</v>
      </c>
      <c r="K2713" t="str">
        <f>"85381"</f>
        <v>85381</v>
      </c>
      <c r="L2713" t="s">
        <v>1300</v>
      </c>
      <c r="M2713" t="s">
        <v>17962</v>
      </c>
      <c r="N2713" t="s">
        <v>453</v>
      </c>
      <c r="O2713" t="s">
        <v>111</v>
      </c>
      <c r="P2713" t="str">
        <f>"85381-5002"</f>
        <v>85381-5002</v>
      </c>
      <c r="Q2713" t="s">
        <v>113</v>
      </c>
      <c r="R2713" t="str">
        <f>"200-77-015"</f>
        <v>200-77-015</v>
      </c>
      <c r="S2713" t="s">
        <v>17963</v>
      </c>
      <c r="T2713" t="s">
        <v>7677</v>
      </c>
      <c r="U2713">
        <v>3367</v>
      </c>
      <c r="V2713">
        <v>0</v>
      </c>
      <c r="W2713">
        <v>3</v>
      </c>
      <c r="X2713">
        <v>1984</v>
      </c>
      <c r="Y2713">
        <v>1984</v>
      </c>
      <c r="Z2713">
        <v>1</v>
      </c>
      <c r="AB2713">
        <v>0</v>
      </c>
      <c r="AC2713" t="s">
        <v>115</v>
      </c>
      <c r="AD2713">
        <v>3</v>
      </c>
      <c r="AE2713" t="s">
        <v>115</v>
      </c>
      <c r="AF2713">
        <v>0</v>
      </c>
      <c r="AG2713">
        <v>0</v>
      </c>
      <c r="AH2713" t="s">
        <v>116</v>
      </c>
      <c r="AI2713" s="1">
        <v>98450</v>
      </c>
      <c r="AJ2713" s="2">
        <v>0.19</v>
      </c>
      <c r="AK2713" s="1">
        <v>512912</v>
      </c>
      <c r="AL2713" t="s">
        <v>117</v>
      </c>
      <c r="AM2713" t="s">
        <v>376</v>
      </c>
      <c r="AN2713">
        <v>34627</v>
      </c>
      <c r="AO2713">
        <v>0.8</v>
      </c>
      <c r="AP2713">
        <v>1</v>
      </c>
      <c r="AR2713">
        <v>1</v>
      </c>
      <c r="AS2713" s="1">
        <v>36810</v>
      </c>
      <c r="AT2713" s="1">
        <v>7360</v>
      </c>
      <c r="AU2713" s="1">
        <v>29450</v>
      </c>
      <c r="AV2713">
        <v>80.010000000000005</v>
      </c>
      <c r="AX2713" s="1">
        <v>3021.84</v>
      </c>
      <c r="AY2713" t="s">
        <v>3359</v>
      </c>
      <c r="AZ2713" t="s">
        <v>3359</v>
      </c>
      <c r="BA2713" t="s">
        <v>3360</v>
      </c>
      <c r="BE2713" s="3">
        <v>41906</v>
      </c>
      <c r="BF2713" s="1">
        <v>408000</v>
      </c>
      <c r="BG2713" t="s">
        <v>17964</v>
      </c>
      <c r="BH2713" s="1">
        <v>121.18</v>
      </c>
      <c r="BI2713" s="1">
        <v>414462</v>
      </c>
      <c r="BJ2713" s="3">
        <v>42613</v>
      </c>
      <c r="BK2713" t="s">
        <v>123</v>
      </c>
      <c r="BL2713" t="str">
        <f>"2016.628939"</f>
        <v>2016.628939</v>
      </c>
      <c r="BM2713" t="s">
        <v>248</v>
      </c>
      <c r="BO2713" t="s">
        <v>17965</v>
      </c>
      <c r="BS2713">
        <v>25</v>
      </c>
      <c r="BW2713" t="str">
        <f>""</f>
        <v/>
      </c>
      <c r="CH2713" t="str">
        <f>""</f>
        <v/>
      </c>
      <c r="CS2713" t="str">
        <f>""</f>
        <v/>
      </c>
    </row>
    <row r="2714" spans="1:97" x14ac:dyDescent="0.25">
      <c r="A2714" t="s">
        <v>2991</v>
      </c>
      <c r="B2714" t="s">
        <v>17966</v>
      </c>
      <c r="C2714" t="s">
        <v>727</v>
      </c>
      <c r="D2714" t="s">
        <v>17966</v>
      </c>
      <c r="E2714" t="s">
        <v>17967</v>
      </c>
      <c r="F2714" t="s">
        <v>108</v>
      </c>
      <c r="H2714" t="s">
        <v>17968</v>
      </c>
      <c r="I2714" t="s">
        <v>390</v>
      </c>
      <c r="J2714" t="s">
        <v>111</v>
      </c>
      <c r="K2714" t="str">
        <f>"85083"</f>
        <v>85083</v>
      </c>
      <c r="L2714" t="s">
        <v>7147</v>
      </c>
      <c r="M2714" t="s">
        <v>17968</v>
      </c>
      <c r="N2714" t="s">
        <v>390</v>
      </c>
      <c r="O2714" t="s">
        <v>111</v>
      </c>
      <c r="P2714" t="str">
        <f>"85083-1846"</f>
        <v>85083-1846</v>
      </c>
      <c r="Q2714" t="s">
        <v>113</v>
      </c>
      <c r="R2714" t="str">
        <f>"201-38-333"</f>
        <v>201-38-333</v>
      </c>
      <c r="S2714" t="s">
        <v>17969</v>
      </c>
      <c r="U2714">
        <v>3002</v>
      </c>
      <c r="V2714">
        <v>0</v>
      </c>
      <c r="W2714">
        <v>4</v>
      </c>
      <c r="X2714">
        <v>2009</v>
      </c>
      <c r="Z2714">
        <v>1</v>
      </c>
      <c r="AA2714" t="s">
        <v>26</v>
      </c>
      <c r="AB2714">
        <v>0</v>
      </c>
      <c r="AC2714" t="s">
        <v>115</v>
      </c>
      <c r="AD2714">
        <v>3</v>
      </c>
      <c r="AE2714" t="s">
        <v>115</v>
      </c>
      <c r="AF2714">
        <v>0</v>
      </c>
      <c r="AG2714">
        <v>0</v>
      </c>
      <c r="AH2714" t="s">
        <v>116</v>
      </c>
      <c r="AI2714" s="1">
        <v>62449</v>
      </c>
      <c r="AJ2714" s="2">
        <v>0.13</v>
      </c>
      <c r="AK2714" s="1">
        <v>499330</v>
      </c>
      <c r="AL2714" t="s">
        <v>117</v>
      </c>
      <c r="AM2714" t="s">
        <v>191</v>
      </c>
      <c r="AN2714">
        <v>9389</v>
      </c>
      <c r="AO2714">
        <v>0.22</v>
      </c>
      <c r="AR2714">
        <v>1</v>
      </c>
      <c r="AS2714" s="1">
        <v>37650</v>
      </c>
      <c r="AT2714" s="1">
        <v>7530</v>
      </c>
      <c r="AU2714" s="1">
        <v>30120</v>
      </c>
      <c r="AV2714">
        <v>80</v>
      </c>
      <c r="AX2714" s="1">
        <v>3506.92</v>
      </c>
      <c r="AY2714" t="s">
        <v>5125</v>
      </c>
      <c r="AZ2714" t="s">
        <v>3049</v>
      </c>
      <c r="BA2714" t="s">
        <v>1386</v>
      </c>
      <c r="BE2714" s="3">
        <v>42167</v>
      </c>
      <c r="BF2714" s="1">
        <v>424900</v>
      </c>
      <c r="BG2714" t="s">
        <v>17970</v>
      </c>
      <c r="BH2714" s="1">
        <v>141.54</v>
      </c>
      <c r="BI2714" s="1">
        <v>436881</v>
      </c>
      <c r="BJ2714" s="3">
        <v>42167</v>
      </c>
      <c r="BK2714" t="s">
        <v>123</v>
      </c>
      <c r="BL2714" t="str">
        <f>"2015.418665"</f>
        <v>2015.418665</v>
      </c>
      <c r="BM2714" t="s">
        <v>1038</v>
      </c>
      <c r="BO2714" t="s">
        <v>17971</v>
      </c>
      <c r="BS2714">
        <v>30</v>
      </c>
      <c r="BW2714" t="str">
        <f>""</f>
        <v/>
      </c>
      <c r="CH2714" t="str">
        <f>""</f>
        <v/>
      </c>
      <c r="CS2714" t="str">
        <f>""</f>
        <v/>
      </c>
    </row>
    <row r="2715" spans="1:97" x14ac:dyDescent="0.25">
      <c r="A2715" t="s">
        <v>140</v>
      </c>
      <c r="B2715" t="s">
        <v>17972</v>
      </c>
      <c r="E2715" t="s">
        <v>17973</v>
      </c>
      <c r="F2715" t="s">
        <v>108</v>
      </c>
      <c r="H2715" t="s">
        <v>17974</v>
      </c>
      <c r="I2715" t="s">
        <v>390</v>
      </c>
      <c r="J2715" t="s">
        <v>111</v>
      </c>
      <c r="K2715" t="str">
        <f>"85048"</f>
        <v>85048</v>
      </c>
      <c r="L2715" t="s">
        <v>5209</v>
      </c>
      <c r="M2715" t="s">
        <v>17974</v>
      </c>
      <c r="N2715" t="s">
        <v>390</v>
      </c>
      <c r="O2715" t="s">
        <v>111</v>
      </c>
      <c r="P2715" t="str">
        <f>"85048-8695"</f>
        <v>85048-8695</v>
      </c>
      <c r="Q2715" t="s">
        <v>113</v>
      </c>
      <c r="R2715" t="str">
        <f>"300-36-267"</f>
        <v>300-36-267</v>
      </c>
      <c r="S2715" t="s">
        <v>17975</v>
      </c>
      <c r="T2715" t="s">
        <v>17975</v>
      </c>
      <c r="U2715">
        <v>2251</v>
      </c>
      <c r="V2715">
        <v>0</v>
      </c>
      <c r="W2715">
        <v>4</v>
      </c>
      <c r="X2715">
        <v>1989</v>
      </c>
      <c r="Z2715">
        <v>2</v>
      </c>
      <c r="AA2715" t="s">
        <v>26</v>
      </c>
      <c r="AB2715">
        <v>0</v>
      </c>
      <c r="AC2715" t="s">
        <v>115</v>
      </c>
      <c r="AD2715">
        <v>2</v>
      </c>
      <c r="AE2715" t="s">
        <v>115</v>
      </c>
      <c r="AF2715">
        <v>0</v>
      </c>
      <c r="AG2715">
        <v>0</v>
      </c>
      <c r="AH2715" t="s">
        <v>116</v>
      </c>
      <c r="AI2715" s="1">
        <v>80390</v>
      </c>
      <c r="AJ2715" s="2">
        <v>0.2</v>
      </c>
      <c r="AK2715" s="1">
        <v>404716</v>
      </c>
      <c r="AL2715" t="s">
        <v>117</v>
      </c>
      <c r="AM2715" t="s">
        <v>1315</v>
      </c>
      <c r="AN2715">
        <v>5044</v>
      </c>
      <c r="AO2715">
        <v>0.12</v>
      </c>
      <c r="AP2715">
        <v>1</v>
      </c>
      <c r="AR2715">
        <v>1</v>
      </c>
      <c r="AS2715" s="1">
        <v>29400</v>
      </c>
      <c r="AT2715" s="1">
        <v>5880</v>
      </c>
      <c r="AU2715" s="1">
        <v>23520</v>
      </c>
      <c r="AV2715">
        <v>80</v>
      </c>
      <c r="AX2715" s="1">
        <v>2959.5</v>
      </c>
      <c r="AY2715" t="s">
        <v>2966</v>
      </c>
      <c r="AZ2715" t="s">
        <v>2967</v>
      </c>
      <c r="BA2715" t="s">
        <v>930</v>
      </c>
      <c r="BE2715" s="3">
        <v>42480</v>
      </c>
      <c r="BF2715" s="1">
        <v>317500</v>
      </c>
      <c r="BG2715" t="s">
        <v>17976</v>
      </c>
      <c r="BH2715" s="1">
        <v>141.05000000000001</v>
      </c>
      <c r="BI2715" s="1">
        <v>324326</v>
      </c>
      <c r="BJ2715" s="3">
        <v>42480</v>
      </c>
      <c r="BK2715" t="s">
        <v>123</v>
      </c>
      <c r="BL2715" t="str">
        <f>"2016.264251"</f>
        <v>2016.264251</v>
      </c>
      <c r="BM2715" t="s">
        <v>8916</v>
      </c>
      <c r="BO2715" t="s">
        <v>17977</v>
      </c>
      <c r="BS2715">
        <v>30</v>
      </c>
      <c r="BW2715" t="str">
        <f>""</f>
        <v/>
      </c>
      <c r="CH2715" t="str">
        <f>""</f>
        <v/>
      </c>
      <c r="CS2715" t="str">
        <f>""</f>
        <v/>
      </c>
    </row>
    <row r="2716" spans="1:97" x14ac:dyDescent="0.25">
      <c r="A2716" t="s">
        <v>17978</v>
      </c>
      <c r="B2716" t="s">
        <v>3901</v>
      </c>
      <c r="E2716" t="s">
        <v>17979</v>
      </c>
      <c r="F2716" t="s">
        <v>139</v>
      </c>
      <c r="H2716" t="s">
        <v>17980</v>
      </c>
      <c r="I2716" t="s">
        <v>453</v>
      </c>
      <c r="J2716" t="s">
        <v>111</v>
      </c>
      <c r="K2716" t="str">
        <f>"85383"</f>
        <v>85383</v>
      </c>
      <c r="L2716" t="s">
        <v>6316</v>
      </c>
      <c r="M2716" t="s">
        <v>17981</v>
      </c>
      <c r="N2716" t="s">
        <v>17982</v>
      </c>
      <c r="O2716" t="s">
        <v>17983</v>
      </c>
      <c r="P2716" t="str">
        <f>"43015-1159"</f>
        <v>43015-1159</v>
      </c>
      <c r="Q2716" t="s">
        <v>113</v>
      </c>
      <c r="R2716" t="str">
        <f>"200-07-601"</f>
        <v>200-07-601</v>
      </c>
      <c r="S2716" t="s">
        <v>9975</v>
      </c>
      <c r="U2716">
        <v>2946</v>
      </c>
      <c r="V2716">
        <v>0</v>
      </c>
      <c r="W2716">
        <v>4</v>
      </c>
      <c r="X2716">
        <v>2001</v>
      </c>
      <c r="Z2716">
        <v>1</v>
      </c>
      <c r="AA2716" t="s">
        <v>26</v>
      </c>
      <c r="AB2716">
        <v>0</v>
      </c>
      <c r="AC2716" t="s">
        <v>115</v>
      </c>
      <c r="AD2716">
        <v>3</v>
      </c>
      <c r="AE2716" t="s">
        <v>115</v>
      </c>
      <c r="AF2716">
        <v>0</v>
      </c>
      <c r="AG2716">
        <v>0</v>
      </c>
      <c r="AH2716" t="s">
        <v>116</v>
      </c>
      <c r="AI2716" s="1">
        <v>75466</v>
      </c>
      <c r="AJ2716" s="2">
        <v>0.16</v>
      </c>
      <c r="AK2716" s="1">
        <v>481159</v>
      </c>
      <c r="AL2716" t="s">
        <v>117</v>
      </c>
      <c r="AM2716" t="s">
        <v>118</v>
      </c>
      <c r="AN2716">
        <v>13203</v>
      </c>
      <c r="AO2716">
        <v>0.3</v>
      </c>
      <c r="AP2716">
        <v>1</v>
      </c>
      <c r="AR2716">
        <v>1</v>
      </c>
      <c r="AS2716" s="1">
        <v>36030</v>
      </c>
      <c r="AT2716" s="1">
        <v>7200</v>
      </c>
      <c r="AU2716" s="1">
        <v>28830</v>
      </c>
      <c r="AV2716">
        <v>80.02</v>
      </c>
      <c r="AX2716" s="1">
        <v>3840.24</v>
      </c>
      <c r="AY2716" t="s">
        <v>4218</v>
      </c>
      <c r="AZ2716" t="s">
        <v>4218</v>
      </c>
      <c r="BA2716" t="s">
        <v>4219</v>
      </c>
      <c r="BB2716" s="3">
        <v>43241</v>
      </c>
      <c r="BC2716" s="1">
        <v>0</v>
      </c>
      <c r="BD2716" t="s">
        <v>247</v>
      </c>
      <c r="BE2716" s="3">
        <v>42366</v>
      </c>
      <c r="BF2716" s="1">
        <v>395000</v>
      </c>
      <c r="BG2716" t="s">
        <v>17984</v>
      </c>
      <c r="BH2716" s="1">
        <v>134.08000000000001</v>
      </c>
      <c r="BI2716" s="1">
        <v>405693</v>
      </c>
      <c r="BJ2716" s="3">
        <v>43038</v>
      </c>
      <c r="BK2716" t="s">
        <v>123</v>
      </c>
      <c r="BL2716" t="str">
        <f>"2017.804104"</f>
        <v>2017.804104</v>
      </c>
      <c r="BM2716" t="s">
        <v>5583</v>
      </c>
      <c r="BN2716">
        <v>73132</v>
      </c>
      <c r="BO2716" t="s">
        <v>17985</v>
      </c>
      <c r="BS2716">
        <v>30</v>
      </c>
      <c r="BW2716" t="str">
        <f>""</f>
        <v/>
      </c>
      <c r="CH2716" t="str">
        <f>""</f>
        <v/>
      </c>
      <c r="CS2716" t="str">
        <f>""</f>
        <v/>
      </c>
    </row>
    <row r="2717" spans="1:97" x14ac:dyDescent="0.25">
      <c r="A2717" t="s">
        <v>548</v>
      </c>
      <c r="B2717" t="s">
        <v>17986</v>
      </c>
      <c r="C2717" t="s">
        <v>17987</v>
      </c>
      <c r="D2717" t="s">
        <v>17986</v>
      </c>
      <c r="E2717" t="s">
        <v>17988</v>
      </c>
      <c r="F2717" t="s">
        <v>108</v>
      </c>
      <c r="H2717" t="s">
        <v>17989</v>
      </c>
      <c r="I2717" t="s">
        <v>110</v>
      </c>
      <c r="J2717" t="s">
        <v>111</v>
      </c>
      <c r="K2717" t="str">
        <f>"85226"</f>
        <v>85226</v>
      </c>
      <c r="L2717" t="s">
        <v>5325</v>
      </c>
      <c r="M2717" t="s">
        <v>17989</v>
      </c>
      <c r="N2717" t="s">
        <v>110</v>
      </c>
      <c r="O2717" t="s">
        <v>111</v>
      </c>
      <c r="P2717" t="str">
        <f>"85226-5312"</f>
        <v>85226-5312</v>
      </c>
      <c r="Q2717" t="s">
        <v>113</v>
      </c>
      <c r="R2717" t="str">
        <f>"308-09-115"</f>
        <v>308-09-115</v>
      </c>
      <c r="S2717" t="s">
        <v>15818</v>
      </c>
      <c r="T2717" t="s">
        <v>15819</v>
      </c>
      <c r="U2717">
        <v>2160</v>
      </c>
      <c r="V2717">
        <v>0</v>
      </c>
      <c r="W2717">
        <v>3</v>
      </c>
      <c r="X2717">
        <v>1993</v>
      </c>
      <c r="Z2717">
        <v>1</v>
      </c>
      <c r="AB2717">
        <v>0</v>
      </c>
      <c r="AC2717" t="s">
        <v>115</v>
      </c>
      <c r="AD2717">
        <v>3</v>
      </c>
      <c r="AE2717" t="s">
        <v>115</v>
      </c>
      <c r="AF2717">
        <v>0</v>
      </c>
      <c r="AG2717">
        <v>0</v>
      </c>
      <c r="AH2717" t="s">
        <v>116</v>
      </c>
      <c r="AI2717" s="1">
        <v>85294</v>
      </c>
      <c r="AJ2717" s="2">
        <v>0.24</v>
      </c>
      <c r="AK2717" s="1">
        <v>358545</v>
      </c>
      <c r="AL2717" t="s">
        <v>117</v>
      </c>
      <c r="AM2717" t="s">
        <v>118</v>
      </c>
      <c r="AN2717">
        <v>7305</v>
      </c>
      <c r="AO2717">
        <v>0.17</v>
      </c>
      <c r="AP2717">
        <v>1</v>
      </c>
      <c r="AR2717">
        <v>1</v>
      </c>
      <c r="AS2717" s="1">
        <v>26560</v>
      </c>
      <c r="AT2717" s="1">
        <v>5310</v>
      </c>
      <c r="AU2717" s="1">
        <v>21250</v>
      </c>
      <c r="AV2717">
        <v>80.010000000000005</v>
      </c>
      <c r="AX2717" s="1">
        <v>2071.94</v>
      </c>
      <c r="AY2717" t="s">
        <v>5200</v>
      </c>
      <c r="AZ2717" t="s">
        <v>5201</v>
      </c>
      <c r="BA2717" t="s">
        <v>5202</v>
      </c>
      <c r="BE2717" s="3">
        <v>42124</v>
      </c>
      <c r="BF2717" s="1">
        <v>267500</v>
      </c>
      <c r="BG2717" t="s">
        <v>17990</v>
      </c>
      <c r="BH2717" s="1">
        <v>123.84</v>
      </c>
      <c r="BI2717" s="1">
        <v>273251</v>
      </c>
      <c r="BJ2717" s="3">
        <v>42124</v>
      </c>
      <c r="BK2717" t="s">
        <v>123</v>
      </c>
      <c r="BL2717" t="str">
        <f>"2015.304697"</f>
        <v>2015.304697</v>
      </c>
      <c r="BM2717" t="s">
        <v>594</v>
      </c>
      <c r="BO2717" t="s">
        <v>17991</v>
      </c>
      <c r="BS2717">
        <v>30</v>
      </c>
      <c r="BW2717" t="str">
        <f>""</f>
        <v/>
      </c>
      <c r="CH2717" t="str">
        <f>""</f>
        <v/>
      </c>
      <c r="CS2717" t="str">
        <f>""</f>
        <v/>
      </c>
    </row>
    <row r="2718" spans="1:97" x14ac:dyDescent="0.25">
      <c r="A2718" t="s">
        <v>464</v>
      </c>
      <c r="B2718" t="s">
        <v>8246</v>
      </c>
      <c r="C2718" t="s">
        <v>10874</v>
      </c>
      <c r="D2718" t="s">
        <v>8246</v>
      </c>
      <c r="E2718" t="s">
        <v>17992</v>
      </c>
      <c r="F2718" t="s">
        <v>108</v>
      </c>
      <c r="H2718" t="s">
        <v>17993</v>
      </c>
      <c r="I2718" t="s">
        <v>110</v>
      </c>
      <c r="J2718" t="s">
        <v>111</v>
      </c>
      <c r="K2718" t="str">
        <f>"85226"</f>
        <v>85226</v>
      </c>
      <c r="L2718" t="s">
        <v>5687</v>
      </c>
      <c r="M2718" t="s">
        <v>17993</v>
      </c>
      <c r="N2718" t="s">
        <v>110</v>
      </c>
      <c r="O2718" t="s">
        <v>111</v>
      </c>
      <c r="P2718" t="str">
        <f>"85226-1109"</f>
        <v>85226-1109</v>
      </c>
      <c r="Q2718" t="s">
        <v>113</v>
      </c>
      <c r="R2718" t="str">
        <f>"301-60-760"</f>
        <v>301-60-760</v>
      </c>
      <c r="S2718" t="s">
        <v>9152</v>
      </c>
      <c r="T2718" t="s">
        <v>8669</v>
      </c>
      <c r="U2718">
        <v>1859</v>
      </c>
      <c r="V2718">
        <v>0</v>
      </c>
      <c r="W2718">
        <v>3</v>
      </c>
      <c r="X2718">
        <v>1995</v>
      </c>
      <c r="Z2718">
        <v>1</v>
      </c>
      <c r="AB2718">
        <v>0</v>
      </c>
      <c r="AC2718" t="s">
        <v>115</v>
      </c>
      <c r="AD2718">
        <v>3</v>
      </c>
      <c r="AE2718" t="s">
        <v>115</v>
      </c>
      <c r="AF2718">
        <v>0</v>
      </c>
      <c r="AG2718">
        <v>0</v>
      </c>
      <c r="AH2718" t="s">
        <v>116</v>
      </c>
      <c r="AI2718" s="1">
        <v>79035</v>
      </c>
      <c r="AJ2718" s="2">
        <v>0.2</v>
      </c>
      <c r="AK2718" s="1">
        <v>399265</v>
      </c>
      <c r="AL2718" t="s">
        <v>117</v>
      </c>
      <c r="AM2718" t="s">
        <v>1302</v>
      </c>
      <c r="AN2718">
        <v>14187</v>
      </c>
      <c r="AO2718">
        <v>0.33</v>
      </c>
      <c r="AP2718">
        <v>1</v>
      </c>
      <c r="AR2718">
        <v>1</v>
      </c>
      <c r="AS2718" s="1">
        <v>30320</v>
      </c>
      <c r="AT2718" s="1">
        <v>6060</v>
      </c>
      <c r="AU2718" s="1">
        <v>24260</v>
      </c>
      <c r="AV2718">
        <v>80.010000000000005</v>
      </c>
      <c r="AX2718" s="1">
        <v>2758.14</v>
      </c>
      <c r="AY2718" t="s">
        <v>7662</v>
      </c>
      <c r="AZ2718" t="s">
        <v>5201</v>
      </c>
      <c r="BA2718" t="s">
        <v>5328</v>
      </c>
      <c r="BE2718" s="3">
        <v>42172</v>
      </c>
      <c r="BF2718" s="1">
        <v>310000</v>
      </c>
      <c r="BG2718" t="s">
        <v>17994</v>
      </c>
      <c r="BH2718" s="1">
        <v>166.76</v>
      </c>
      <c r="BI2718" s="1">
        <v>320230</v>
      </c>
      <c r="BJ2718" s="3">
        <v>42172</v>
      </c>
      <c r="BK2718" t="s">
        <v>123</v>
      </c>
      <c r="BL2718" t="str">
        <f>"2015.432710"</f>
        <v>2015.432710</v>
      </c>
      <c r="BM2718" t="s">
        <v>2716</v>
      </c>
      <c r="BO2718" t="s">
        <v>17995</v>
      </c>
      <c r="BS2718">
        <v>30</v>
      </c>
      <c r="BW2718" t="str">
        <f>""</f>
        <v/>
      </c>
      <c r="CH2718" t="str">
        <f>""</f>
        <v/>
      </c>
      <c r="CS2718" t="str">
        <f>""</f>
        <v/>
      </c>
    </row>
    <row r="2719" spans="1:97" x14ac:dyDescent="0.25">
      <c r="A2719" t="s">
        <v>1593</v>
      </c>
      <c r="B2719" t="s">
        <v>3029</v>
      </c>
      <c r="C2719" t="s">
        <v>767</v>
      </c>
      <c r="D2719" t="s">
        <v>3029</v>
      </c>
      <c r="E2719" t="s">
        <v>17996</v>
      </c>
      <c r="F2719" t="s">
        <v>108</v>
      </c>
      <c r="H2719" t="s">
        <v>17997</v>
      </c>
      <c r="I2719" t="s">
        <v>225</v>
      </c>
      <c r="J2719" t="s">
        <v>111</v>
      </c>
      <c r="K2719" t="str">
        <f>"85205"</f>
        <v>85205</v>
      </c>
      <c r="L2719" t="s">
        <v>7695</v>
      </c>
      <c r="M2719" t="s">
        <v>17997</v>
      </c>
      <c r="N2719" t="s">
        <v>225</v>
      </c>
      <c r="O2719" t="s">
        <v>111</v>
      </c>
      <c r="P2719" t="str">
        <f>"85205-4606"</f>
        <v>85205-4606</v>
      </c>
      <c r="Q2719" t="s">
        <v>113</v>
      </c>
      <c r="R2719" t="str">
        <f>"141-64-144"</f>
        <v>141-64-144</v>
      </c>
      <c r="S2719" t="s">
        <v>17998</v>
      </c>
      <c r="T2719" t="s">
        <v>17999</v>
      </c>
      <c r="U2719">
        <v>2343</v>
      </c>
      <c r="V2719">
        <v>0</v>
      </c>
      <c r="W2719">
        <v>3</v>
      </c>
      <c r="X2719">
        <v>1999</v>
      </c>
      <c r="Z2719">
        <v>1</v>
      </c>
      <c r="AB2719">
        <v>0</v>
      </c>
      <c r="AC2719" t="s">
        <v>115</v>
      </c>
      <c r="AD2719">
        <v>5</v>
      </c>
      <c r="AE2719" t="s">
        <v>115</v>
      </c>
      <c r="AF2719">
        <v>0</v>
      </c>
      <c r="AG2719">
        <v>0</v>
      </c>
      <c r="AH2719" t="s">
        <v>116</v>
      </c>
      <c r="AI2719" s="1">
        <v>7888</v>
      </c>
      <c r="AJ2719" s="2">
        <v>0.02</v>
      </c>
      <c r="AK2719" s="1">
        <v>385833</v>
      </c>
      <c r="AL2719" t="s">
        <v>117</v>
      </c>
      <c r="AM2719" t="s">
        <v>917</v>
      </c>
      <c r="AN2719">
        <v>26856</v>
      </c>
      <c r="AO2719">
        <v>0.62</v>
      </c>
      <c r="AP2719">
        <v>1</v>
      </c>
      <c r="AR2719">
        <v>1</v>
      </c>
      <c r="AS2719" s="1">
        <v>32380</v>
      </c>
      <c r="AT2719" s="1">
        <v>6470</v>
      </c>
      <c r="AU2719" s="1">
        <v>25910</v>
      </c>
      <c r="AV2719">
        <v>80.02</v>
      </c>
      <c r="AX2719" s="1">
        <v>2559.9</v>
      </c>
      <c r="AY2719" t="s">
        <v>6749</v>
      </c>
      <c r="AZ2719" t="s">
        <v>5275</v>
      </c>
      <c r="BA2719" t="s">
        <v>3119</v>
      </c>
      <c r="BE2719" s="3">
        <v>42279</v>
      </c>
      <c r="BF2719" s="1">
        <v>395000</v>
      </c>
      <c r="BG2719" t="s">
        <v>18000</v>
      </c>
      <c r="BH2719" s="1">
        <v>168.59</v>
      </c>
      <c r="BI2719" s="1">
        <v>377945</v>
      </c>
      <c r="BJ2719" s="3">
        <v>42279</v>
      </c>
      <c r="BK2719" t="s">
        <v>123</v>
      </c>
      <c r="BL2719" t="str">
        <f>"2015.713408"</f>
        <v>2015.713408</v>
      </c>
      <c r="BM2719" t="s">
        <v>5348</v>
      </c>
      <c r="BO2719" t="s">
        <v>18001</v>
      </c>
      <c r="BS2719">
        <v>30</v>
      </c>
      <c r="BW2719" t="str">
        <f>""</f>
        <v/>
      </c>
      <c r="CH2719" t="str">
        <f>""</f>
        <v/>
      </c>
      <c r="CS2719" t="str">
        <f>""</f>
        <v/>
      </c>
    </row>
    <row r="2720" spans="1:97" x14ac:dyDescent="0.25">
      <c r="A2720" t="s">
        <v>325</v>
      </c>
      <c r="B2720" t="s">
        <v>225</v>
      </c>
      <c r="C2720" t="s">
        <v>852</v>
      </c>
      <c r="D2720" t="s">
        <v>225</v>
      </c>
      <c r="E2720" t="s">
        <v>18002</v>
      </c>
      <c r="F2720" t="s">
        <v>108</v>
      </c>
      <c r="H2720" t="s">
        <v>18003</v>
      </c>
      <c r="I2720" t="s">
        <v>3150</v>
      </c>
      <c r="J2720" t="s">
        <v>111</v>
      </c>
      <c r="K2720" t="str">
        <f>"85340"</f>
        <v>85340</v>
      </c>
      <c r="L2720" t="s">
        <v>5239</v>
      </c>
      <c r="M2720" t="s">
        <v>18003</v>
      </c>
      <c r="N2720" t="s">
        <v>3150</v>
      </c>
      <c r="O2720" t="s">
        <v>111</v>
      </c>
      <c r="P2720" t="str">
        <f>"85340-9341"</f>
        <v>85340-9341</v>
      </c>
      <c r="Q2720" t="s">
        <v>113</v>
      </c>
      <c r="R2720" t="str">
        <f>"501-56-422"</f>
        <v>501-56-422</v>
      </c>
      <c r="S2720" t="s">
        <v>7397</v>
      </c>
      <c r="T2720" t="s">
        <v>7397</v>
      </c>
      <c r="U2720">
        <v>3094</v>
      </c>
      <c r="V2720">
        <v>0</v>
      </c>
      <c r="W2720">
        <v>4</v>
      </c>
      <c r="X2720">
        <v>2015</v>
      </c>
      <c r="Z2720">
        <v>1</v>
      </c>
      <c r="AA2720" t="s">
        <v>26</v>
      </c>
      <c r="AB2720">
        <v>0</v>
      </c>
      <c r="AC2720" t="s">
        <v>115</v>
      </c>
      <c r="AD2720">
        <v>3</v>
      </c>
      <c r="AE2720" t="s">
        <v>115</v>
      </c>
      <c r="AF2720">
        <v>0</v>
      </c>
      <c r="AG2720">
        <v>0</v>
      </c>
      <c r="AH2720" t="s">
        <v>116</v>
      </c>
      <c r="AI2720" s="1">
        <v>99906</v>
      </c>
      <c r="AJ2720" s="2">
        <v>0.19</v>
      </c>
      <c r="AK2720" s="1">
        <v>516882</v>
      </c>
      <c r="AL2720" t="s">
        <v>117</v>
      </c>
      <c r="AM2720" t="s">
        <v>376</v>
      </c>
      <c r="AN2720">
        <v>32728</v>
      </c>
      <c r="AO2720">
        <v>0.75</v>
      </c>
      <c r="AR2720">
        <v>1</v>
      </c>
      <c r="AS2720" s="1">
        <v>40020</v>
      </c>
      <c r="AT2720" s="1">
        <v>8000</v>
      </c>
      <c r="AU2720" s="1">
        <v>32020</v>
      </c>
      <c r="AV2720">
        <v>80.010000000000005</v>
      </c>
      <c r="AX2720" s="1">
        <v>2588.7399999999998</v>
      </c>
      <c r="AY2720" t="s">
        <v>5241</v>
      </c>
      <c r="AZ2720" t="s">
        <v>3153</v>
      </c>
      <c r="BA2720" t="s">
        <v>3154</v>
      </c>
      <c r="BE2720" s="3">
        <v>42142</v>
      </c>
      <c r="BF2720" s="1">
        <v>415272</v>
      </c>
      <c r="BG2720" t="s">
        <v>158</v>
      </c>
      <c r="BH2720" s="1">
        <v>134.22</v>
      </c>
      <c r="BI2720" s="1">
        <v>416976</v>
      </c>
      <c r="BJ2720" s="3">
        <v>42142</v>
      </c>
      <c r="BK2720" t="s">
        <v>123</v>
      </c>
      <c r="BL2720" t="str">
        <f>"2015.349386"</f>
        <v>2015.349386</v>
      </c>
      <c r="BM2720" t="s">
        <v>241</v>
      </c>
      <c r="BO2720" t="s">
        <v>18004</v>
      </c>
      <c r="BS2720">
        <v>30</v>
      </c>
      <c r="BW2720" t="str">
        <f>""</f>
        <v/>
      </c>
      <c r="CH2720" t="str">
        <f>""</f>
        <v/>
      </c>
      <c r="CS2720" t="str">
        <f>""</f>
        <v/>
      </c>
    </row>
    <row r="2721" spans="1:97" x14ac:dyDescent="0.25">
      <c r="A2721" t="s">
        <v>4402</v>
      </c>
      <c r="B2721" t="s">
        <v>3968</v>
      </c>
      <c r="E2721" t="s">
        <v>18005</v>
      </c>
      <c r="F2721" t="s">
        <v>108</v>
      </c>
      <c r="H2721" t="s">
        <v>18006</v>
      </c>
      <c r="I2721" t="s">
        <v>110</v>
      </c>
      <c r="J2721" t="s">
        <v>111</v>
      </c>
      <c r="K2721" t="str">
        <f>"85286"</f>
        <v>85286</v>
      </c>
      <c r="L2721" t="s">
        <v>2220</v>
      </c>
      <c r="M2721" t="s">
        <v>18006</v>
      </c>
      <c r="N2721" t="s">
        <v>110</v>
      </c>
      <c r="O2721" t="s">
        <v>111</v>
      </c>
      <c r="P2721" t="str">
        <f>"85286-4529"</f>
        <v>85286-4529</v>
      </c>
      <c r="Q2721" t="s">
        <v>113</v>
      </c>
      <c r="R2721" t="str">
        <f>"303-85-002"</f>
        <v>303-85-002</v>
      </c>
      <c r="S2721" t="s">
        <v>18007</v>
      </c>
      <c r="T2721" t="s">
        <v>14036</v>
      </c>
      <c r="U2721">
        <v>2739</v>
      </c>
      <c r="V2721">
        <v>0</v>
      </c>
      <c r="W2721">
        <v>4</v>
      </c>
      <c r="X2721">
        <v>2001</v>
      </c>
      <c r="Z2721">
        <v>1</v>
      </c>
      <c r="AB2721">
        <v>0</v>
      </c>
      <c r="AC2721" t="s">
        <v>115</v>
      </c>
      <c r="AD2721">
        <v>3</v>
      </c>
      <c r="AE2721" t="s">
        <v>115</v>
      </c>
      <c r="AF2721">
        <v>0</v>
      </c>
      <c r="AG2721">
        <v>0</v>
      </c>
      <c r="AH2721" t="s">
        <v>116</v>
      </c>
      <c r="AI2721" s="1">
        <v>117167</v>
      </c>
      <c r="AJ2721" s="2">
        <v>0.26</v>
      </c>
      <c r="AK2721" s="1">
        <v>454984</v>
      </c>
      <c r="AL2721" t="s">
        <v>117</v>
      </c>
      <c r="AM2721" t="s">
        <v>118</v>
      </c>
      <c r="AN2721">
        <v>9924</v>
      </c>
      <c r="AO2721">
        <v>0.23</v>
      </c>
      <c r="AP2721">
        <v>1</v>
      </c>
      <c r="AR2721">
        <v>1</v>
      </c>
      <c r="AS2721" s="1">
        <v>33360</v>
      </c>
      <c r="AT2721" s="1">
        <v>6670</v>
      </c>
      <c r="AU2721" s="1">
        <v>26690</v>
      </c>
      <c r="AV2721">
        <v>80.010000000000005</v>
      </c>
      <c r="AX2721" s="1">
        <v>3118.66</v>
      </c>
      <c r="AY2721" t="s">
        <v>14037</v>
      </c>
      <c r="AZ2721" t="s">
        <v>1882</v>
      </c>
      <c r="BA2721" t="s">
        <v>121</v>
      </c>
      <c r="BE2721" s="3">
        <v>42340</v>
      </c>
      <c r="BF2721" s="1">
        <v>372900</v>
      </c>
      <c r="BG2721" t="s">
        <v>18008</v>
      </c>
      <c r="BH2721" s="1">
        <v>136.13999999999999</v>
      </c>
      <c r="BI2721" s="1">
        <v>337817</v>
      </c>
      <c r="BJ2721" s="3">
        <v>42340</v>
      </c>
      <c r="BK2721" t="s">
        <v>123</v>
      </c>
      <c r="BL2721" t="str">
        <f>"2015.856442"</f>
        <v>2015.856442</v>
      </c>
      <c r="BM2721" t="s">
        <v>1185</v>
      </c>
      <c r="BO2721" t="s">
        <v>18009</v>
      </c>
      <c r="BS2721">
        <v>30</v>
      </c>
      <c r="BW2721" t="str">
        <f>""</f>
        <v/>
      </c>
      <c r="CH2721" t="str">
        <f>""</f>
        <v/>
      </c>
      <c r="CS2721" t="str">
        <f>""</f>
        <v/>
      </c>
    </row>
    <row r="2722" spans="1:97" x14ac:dyDescent="0.25">
      <c r="A2722" t="s">
        <v>18010</v>
      </c>
      <c r="B2722" t="s">
        <v>1089</v>
      </c>
      <c r="C2722" t="s">
        <v>12861</v>
      </c>
      <c r="D2722" t="s">
        <v>1089</v>
      </c>
      <c r="E2722" t="s">
        <v>18011</v>
      </c>
      <c r="F2722" t="s">
        <v>108</v>
      </c>
      <c r="H2722" t="s">
        <v>18012</v>
      </c>
      <c r="I2722" t="s">
        <v>453</v>
      </c>
      <c r="J2722" t="s">
        <v>111</v>
      </c>
      <c r="K2722" t="str">
        <f>"85383"</f>
        <v>85383</v>
      </c>
      <c r="L2722" t="s">
        <v>7607</v>
      </c>
      <c r="M2722" t="s">
        <v>18012</v>
      </c>
      <c r="N2722" t="s">
        <v>453</v>
      </c>
      <c r="O2722" t="s">
        <v>111</v>
      </c>
      <c r="P2722" t="str">
        <f>"85383-7053"</f>
        <v>85383-7053</v>
      </c>
      <c r="Q2722" t="s">
        <v>113</v>
      </c>
      <c r="R2722" t="str">
        <f>"201-09-138"</f>
        <v>201-09-138</v>
      </c>
      <c r="S2722" t="s">
        <v>18013</v>
      </c>
      <c r="T2722" t="s">
        <v>2222</v>
      </c>
      <c r="U2722">
        <v>3609</v>
      </c>
      <c r="V2722">
        <v>0</v>
      </c>
      <c r="W2722">
        <v>4</v>
      </c>
      <c r="X2722">
        <v>2001</v>
      </c>
      <c r="Z2722">
        <v>2</v>
      </c>
      <c r="AA2722" t="s">
        <v>26</v>
      </c>
      <c r="AB2722">
        <v>0</v>
      </c>
      <c r="AC2722" t="s">
        <v>115</v>
      </c>
      <c r="AD2722">
        <v>3</v>
      </c>
      <c r="AE2722" t="s">
        <v>115</v>
      </c>
      <c r="AF2722">
        <v>0</v>
      </c>
      <c r="AG2722">
        <v>0</v>
      </c>
      <c r="AH2722" t="s">
        <v>116</v>
      </c>
      <c r="AI2722" s="1">
        <v>48377</v>
      </c>
      <c r="AJ2722" s="2">
        <v>0.11</v>
      </c>
      <c r="AK2722" s="1">
        <v>440813</v>
      </c>
      <c r="AL2722" t="s">
        <v>117</v>
      </c>
      <c r="AM2722" t="s">
        <v>171</v>
      </c>
      <c r="AN2722">
        <v>8120</v>
      </c>
      <c r="AO2722">
        <v>0.19</v>
      </c>
      <c r="AP2722">
        <v>1</v>
      </c>
      <c r="AR2722">
        <v>1</v>
      </c>
      <c r="AS2722" s="1">
        <v>33160</v>
      </c>
      <c r="AT2722" s="1">
        <v>6630</v>
      </c>
      <c r="AU2722" s="1">
        <v>26530</v>
      </c>
      <c r="AV2722">
        <v>80.010000000000005</v>
      </c>
      <c r="AX2722" s="1">
        <v>3001.36</v>
      </c>
      <c r="AY2722" t="s">
        <v>1385</v>
      </c>
      <c r="AZ2722" t="s">
        <v>1385</v>
      </c>
      <c r="BA2722" t="s">
        <v>2223</v>
      </c>
      <c r="BE2722" s="3">
        <v>42551</v>
      </c>
      <c r="BF2722" s="1">
        <v>379900</v>
      </c>
      <c r="BG2722" t="s">
        <v>18014</v>
      </c>
      <c r="BH2722" s="1">
        <v>105.26</v>
      </c>
      <c r="BI2722" s="1">
        <v>392436</v>
      </c>
      <c r="BJ2722" s="3">
        <v>42551</v>
      </c>
      <c r="BK2722" t="s">
        <v>123</v>
      </c>
      <c r="BL2722" t="str">
        <f>"2016.463386"</f>
        <v>2016.463386</v>
      </c>
      <c r="BM2722" t="s">
        <v>2716</v>
      </c>
      <c r="BO2722" t="s">
        <v>18015</v>
      </c>
      <c r="BS2722">
        <v>30</v>
      </c>
      <c r="BW2722" t="str">
        <f>""</f>
        <v/>
      </c>
      <c r="CH2722" t="str">
        <f>""</f>
        <v/>
      </c>
      <c r="CS2722" t="str">
        <f>""</f>
        <v/>
      </c>
    </row>
    <row r="2723" spans="1:97" x14ac:dyDescent="0.25">
      <c r="A2723" t="s">
        <v>2828</v>
      </c>
      <c r="B2723" t="s">
        <v>6443</v>
      </c>
      <c r="C2723" t="s">
        <v>3458</v>
      </c>
      <c r="D2723" t="s">
        <v>6443</v>
      </c>
      <c r="E2723" t="s">
        <v>18016</v>
      </c>
      <c r="F2723" t="s">
        <v>108</v>
      </c>
      <c r="H2723" t="s">
        <v>18017</v>
      </c>
      <c r="I2723" t="s">
        <v>1936</v>
      </c>
      <c r="J2723" t="s">
        <v>111</v>
      </c>
      <c r="K2723" t="str">
        <f>"85255"</f>
        <v>85255</v>
      </c>
      <c r="L2723" t="s">
        <v>8747</v>
      </c>
      <c r="M2723" t="s">
        <v>18017</v>
      </c>
      <c r="N2723" t="s">
        <v>1936</v>
      </c>
      <c r="O2723" t="s">
        <v>111</v>
      </c>
      <c r="P2723" t="str">
        <f>"85255-8917"</f>
        <v>85255-8917</v>
      </c>
      <c r="Q2723" t="s">
        <v>113</v>
      </c>
      <c r="R2723" t="str">
        <f>"217-65-101"</f>
        <v>217-65-101</v>
      </c>
      <c r="S2723" t="s">
        <v>18018</v>
      </c>
      <c r="T2723" t="s">
        <v>9962</v>
      </c>
      <c r="U2723">
        <v>1481</v>
      </c>
      <c r="V2723">
        <v>0</v>
      </c>
      <c r="W2723">
        <v>3</v>
      </c>
      <c r="X2723">
        <v>1999</v>
      </c>
      <c r="Z2723">
        <v>1</v>
      </c>
      <c r="AA2723" t="s">
        <v>26</v>
      </c>
      <c r="AB2723">
        <v>0</v>
      </c>
      <c r="AC2723" t="s">
        <v>115</v>
      </c>
      <c r="AD2723">
        <v>2</v>
      </c>
      <c r="AE2723" t="s">
        <v>115</v>
      </c>
      <c r="AF2723">
        <v>0</v>
      </c>
      <c r="AG2723">
        <v>0</v>
      </c>
      <c r="AH2723" t="s">
        <v>116</v>
      </c>
      <c r="AI2723" s="1">
        <v>124387</v>
      </c>
      <c r="AJ2723" s="2">
        <v>0.28999999999999998</v>
      </c>
      <c r="AK2723" s="1">
        <v>432387</v>
      </c>
      <c r="AL2723" t="s">
        <v>117</v>
      </c>
      <c r="AM2723" t="s">
        <v>5516</v>
      </c>
      <c r="AN2723">
        <v>5175</v>
      </c>
      <c r="AO2723">
        <v>0.12</v>
      </c>
      <c r="AP2723">
        <v>1</v>
      </c>
      <c r="AR2723">
        <v>1</v>
      </c>
      <c r="AS2723" s="1">
        <v>31900</v>
      </c>
      <c r="AT2723" s="1">
        <v>6380</v>
      </c>
      <c r="AU2723" s="1">
        <v>25520</v>
      </c>
      <c r="AV2723">
        <v>80</v>
      </c>
      <c r="AX2723" s="1">
        <v>2267.34</v>
      </c>
      <c r="AY2723" t="s">
        <v>11360</v>
      </c>
      <c r="AZ2723" t="s">
        <v>5420</v>
      </c>
      <c r="BA2723" t="s">
        <v>5763</v>
      </c>
      <c r="BB2723" s="3">
        <v>42431</v>
      </c>
      <c r="BD2723" t="s">
        <v>458</v>
      </c>
      <c r="BE2723" s="3">
        <v>42171</v>
      </c>
      <c r="BF2723" s="1">
        <v>349000</v>
      </c>
      <c r="BG2723" t="s">
        <v>18019</v>
      </c>
      <c r="BH2723" s="1">
        <v>235.65</v>
      </c>
      <c r="BI2723" s="1">
        <v>308000</v>
      </c>
      <c r="BJ2723" s="3">
        <v>42590</v>
      </c>
      <c r="BK2723" t="s">
        <v>123</v>
      </c>
      <c r="BL2723" t="str">
        <f>"2016.562898"</f>
        <v>2016.562898</v>
      </c>
      <c r="BM2723" t="s">
        <v>5567</v>
      </c>
      <c r="BO2723" t="s">
        <v>18020</v>
      </c>
      <c r="BS2723">
        <v>30</v>
      </c>
      <c r="BW2723" t="str">
        <f>""</f>
        <v/>
      </c>
      <c r="CH2723" t="str">
        <f>""</f>
        <v/>
      </c>
      <c r="CS2723" t="str">
        <f>""</f>
        <v/>
      </c>
    </row>
    <row r="2724" spans="1:97" x14ac:dyDescent="0.25">
      <c r="A2724" t="s">
        <v>2173</v>
      </c>
      <c r="B2724" t="s">
        <v>18021</v>
      </c>
      <c r="C2724" t="s">
        <v>2719</v>
      </c>
      <c r="D2724" t="s">
        <v>18021</v>
      </c>
      <c r="E2724" t="s">
        <v>18022</v>
      </c>
      <c r="F2724" t="s">
        <v>108</v>
      </c>
      <c r="H2724" t="s">
        <v>18023</v>
      </c>
      <c r="I2724" t="s">
        <v>188</v>
      </c>
      <c r="J2724" t="s">
        <v>111</v>
      </c>
      <c r="K2724" t="str">
        <f>"85142"</f>
        <v>85142</v>
      </c>
      <c r="L2724" t="s">
        <v>5775</v>
      </c>
      <c r="M2724" t="s">
        <v>18023</v>
      </c>
      <c r="N2724" t="s">
        <v>188</v>
      </c>
      <c r="O2724" t="s">
        <v>111</v>
      </c>
      <c r="P2724" t="str">
        <f>"85142-6847"</f>
        <v>85142-6847</v>
      </c>
      <c r="Q2724" t="s">
        <v>113</v>
      </c>
      <c r="R2724" t="str">
        <f>"314-05-053"</f>
        <v>314-05-053</v>
      </c>
      <c r="S2724" t="s">
        <v>18024</v>
      </c>
      <c r="U2724">
        <v>3051</v>
      </c>
      <c r="V2724">
        <v>0</v>
      </c>
      <c r="W2724">
        <v>4</v>
      </c>
      <c r="X2724">
        <v>2005</v>
      </c>
      <c r="Z2724">
        <v>2</v>
      </c>
      <c r="AA2724" t="s">
        <v>26</v>
      </c>
      <c r="AB2724">
        <v>0</v>
      </c>
      <c r="AC2724" t="s">
        <v>115</v>
      </c>
      <c r="AD2724">
        <v>3</v>
      </c>
      <c r="AE2724" t="s">
        <v>115</v>
      </c>
      <c r="AF2724">
        <v>0</v>
      </c>
      <c r="AG2724">
        <v>0</v>
      </c>
      <c r="AH2724" t="s">
        <v>116</v>
      </c>
      <c r="AI2724" s="1">
        <v>82162</v>
      </c>
      <c r="AJ2724" s="2">
        <v>0.19</v>
      </c>
      <c r="AK2724" s="1">
        <v>424364</v>
      </c>
      <c r="AL2724" t="s">
        <v>117</v>
      </c>
      <c r="AM2724" t="s">
        <v>171</v>
      </c>
      <c r="AN2724">
        <v>8000</v>
      </c>
      <c r="AO2724">
        <v>0.18</v>
      </c>
      <c r="AR2724">
        <v>1</v>
      </c>
      <c r="AS2724" s="1">
        <v>29420</v>
      </c>
      <c r="AT2724" s="1">
        <v>5880</v>
      </c>
      <c r="AU2724" s="1">
        <v>23540</v>
      </c>
      <c r="AV2724">
        <v>80.010000000000005</v>
      </c>
      <c r="AX2724" s="1">
        <v>2753.02</v>
      </c>
      <c r="AY2724" t="s">
        <v>5792</v>
      </c>
      <c r="AZ2724" t="s">
        <v>5792</v>
      </c>
      <c r="BA2724" t="s">
        <v>290</v>
      </c>
      <c r="BB2724" s="3">
        <v>42178</v>
      </c>
      <c r="BD2724" t="s">
        <v>240</v>
      </c>
      <c r="BE2724" s="3">
        <v>42153</v>
      </c>
      <c r="BF2724" s="1">
        <v>335000</v>
      </c>
      <c r="BG2724" t="s">
        <v>18025</v>
      </c>
      <c r="BH2724" s="1">
        <v>109.8</v>
      </c>
      <c r="BI2724" s="1">
        <v>342202</v>
      </c>
      <c r="BJ2724" s="3">
        <v>42153</v>
      </c>
      <c r="BK2724" t="s">
        <v>123</v>
      </c>
      <c r="BL2724" t="str">
        <f>"2015.380656"</f>
        <v>2015.380656</v>
      </c>
      <c r="BM2724" t="s">
        <v>594</v>
      </c>
      <c r="BO2724" t="s">
        <v>18026</v>
      </c>
      <c r="BS2724">
        <v>30</v>
      </c>
      <c r="BW2724" t="str">
        <f>""</f>
        <v/>
      </c>
      <c r="CH2724" t="str">
        <f>""</f>
        <v/>
      </c>
      <c r="CS2724" t="str">
        <f>""</f>
        <v/>
      </c>
    </row>
    <row r="2725" spans="1:97" x14ac:dyDescent="0.25">
      <c r="A2725" t="s">
        <v>18027</v>
      </c>
      <c r="B2725" t="s">
        <v>3862</v>
      </c>
      <c r="C2725" t="s">
        <v>2319</v>
      </c>
      <c r="D2725" t="s">
        <v>3862</v>
      </c>
      <c r="E2725" t="s">
        <v>18028</v>
      </c>
      <c r="F2725" t="s">
        <v>108</v>
      </c>
      <c r="H2725" t="s">
        <v>18029</v>
      </c>
      <c r="I2725" t="s">
        <v>225</v>
      </c>
      <c r="J2725" t="s">
        <v>111</v>
      </c>
      <c r="K2725" t="str">
        <f>"85212"</f>
        <v>85212</v>
      </c>
      <c r="L2725" t="s">
        <v>17845</v>
      </c>
      <c r="M2725" t="s">
        <v>18029</v>
      </c>
      <c r="N2725" t="s">
        <v>225</v>
      </c>
      <c r="O2725" t="s">
        <v>111</v>
      </c>
      <c r="P2725" t="str">
        <f>"85212-5123"</f>
        <v>85212-5123</v>
      </c>
      <c r="Q2725" t="s">
        <v>113</v>
      </c>
      <c r="R2725" t="str">
        <f>"312-08-303"</f>
        <v>312-08-303</v>
      </c>
      <c r="S2725" t="s">
        <v>18030</v>
      </c>
      <c r="T2725" t="s">
        <v>8810</v>
      </c>
      <c r="U2725">
        <v>2283</v>
      </c>
      <c r="V2725">
        <v>0</v>
      </c>
      <c r="W2725">
        <v>3</v>
      </c>
      <c r="X2725">
        <v>2010</v>
      </c>
      <c r="Z2725">
        <v>1</v>
      </c>
      <c r="AB2725">
        <v>0</v>
      </c>
      <c r="AC2725" t="s">
        <v>115</v>
      </c>
      <c r="AD2725">
        <v>2</v>
      </c>
      <c r="AE2725" t="s">
        <v>115</v>
      </c>
      <c r="AF2725">
        <v>0</v>
      </c>
      <c r="AG2725">
        <v>0</v>
      </c>
      <c r="AH2725" t="s">
        <v>116</v>
      </c>
      <c r="AI2725" s="1">
        <v>108874</v>
      </c>
      <c r="AJ2725" s="2">
        <v>0.31</v>
      </c>
      <c r="AK2725" s="1">
        <v>347874</v>
      </c>
      <c r="AL2725" t="s">
        <v>117</v>
      </c>
      <c r="AM2725" t="s">
        <v>191</v>
      </c>
      <c r="AN2725">
        <v>7970</v>
      </c>
      <c r="AO2725">
        <v>0.18</v>
      </c>
      <c r="AR2725">
        <v>1</v>
      </c>
      <c r="AS2725" s="1">
        <v>24080</v>
      </c>
      <c r="AT2725" s="1">
        <v>4810</v>
      </c>
      <c r="AU2725" s="1">
        <v>19270</v>
      </c>
      <c r="AV2725">
        <v>80.02</v>
      </c>
      <c r="AX2725" s="1">
        <v>2129.5</v>
      </c>
      <c r="AY2725" t="s">
        <v>560</v>
      </c>
      <c r="AZ2725" t="s">
        <v>561</v>
      </c>
      <c r="BA2725" t="s">
        <v>194</v>
      </c>
      <c r="BE2725" s="3">
        <v>42368</v>
      </c>
      <c r="BF2725" s="1">
        <v>269000</v>
      </c>
      <c r="BG2725" t="s">
        <v>18031</v>
      </c>
      <c r="BH2725" s="1">
        <v>117.83</v>
      </c>
      <c r="BI2725" s="1">
        <v>239000</v>
      </c>
      <c r="BJ2725" s="3">
        <v>42368</v>
      </c>
      <c r="BK2725" t="s">
        <v>123</v>
      </c>
      <c r="BL2725" t="str">
        <f>"2015.917005"</f>
        <v>2015.917005</v>
      </c>
      <c r="BM2725" t="s">
        <v>2683</v>
      </c>
      <c r="BO2725" t="s">
        <v>18032</v>
      </c>
      <c r="BS2725">
        <v>30</v>
      </c>
      <c r="BW2725" t="str">
        <f>""</f>
        <v/>
      </c>
      <c r="CH2725" t="str">
        <f>""</f>
        <v/>
      </c>
      <c r="CS2725" t="str">
        <f>""</f>
        <v/>
      </c>
    </row>
    <row r="2726" spans="1:97" x14ac:dyDescent="0.25">
      <c r="B2726" t="s">
        <v>18033</v>
      </c>
      <c r="E2726" t="s">
        <v>18034</v>
      </c>
      <c r="F2726" t="s">
        <v>108</v>
      </c>
      <c r="H2726" t="s">
        <v>18035</v>
      </c>
      <c r="I2726" t="s">
        <v>203</v>
      </c>
      <c r="J2726" t="s">
        <v>111</v>
      </c>
      <c r="K2726" t="str">
        <f>"85296"</f>
        <v>85296</v>
      </c>
      <c r="L2726" t="s">
        <v>145</v>
      </c>
      <c r="M2726" t="s">
        <v>18035</v>
      </c>
      <c r="N2726" t="s">
        <v>203</v>
      </c>
      <c r="O2726" t="s">
        <v>111</v>
      </c>
      <c r="P2726" t="str">
        <f>"85296-2228"</f>
        <v>85296-2228</v>
      </c>
      <c r="Q2726" t="s">
        <v>113</v>
      </c>
      <c r="R2726" t="str">
        <f>"304-23-962"</f>
        <v>304-23-962</v>
      </c>
      <c r="S2726" t="s">
        <v>18036</v>
      </c>
      <c r="T2726" t="s">
        <v>18037</v>
      </c>
      <c r="U2726">
        <v>2313</v>
      </c>
      <c r="V2726">
        <v>0</v>
      </c>
      <c r="W2726">
        <v>4</v>
      </c>
      <c r="X2726">
        <v>1995</v>
      </c>
      <c r="Z2726">
        <v>2</v>
      </c>
      <c r="AA2726" t="s">
        <v>26</v>
      </c>
      <c r="AB2726">
        <v>0</v>
      </c>
      <c r="AC2726" t="s">
        <v>115</v>
      </c>
      <c r="AD2726">
        <v>3</v>
      </c>
      <c r="AE2726" t="s">
        <v>115</v>
      </c>
      <c r="AF2726">
        <v>0</v>
      </c>
      <c r="AG2726">
        <v>0</v>
      </c>
      <c r="AH2726" t="s">
        <v>116</v>
      </c>
      <c r="AI2726" s="1">
        <v>88462</v>
      </c>
      <c r="AJ2726" s="2">
        <v>0.23</v>
      </c>
      <c r="AK2726" s="1">
        <v>392200</v>
      </c>
      <c r="AL2726" t="s">
        <v>117</v>
      </c>
      <c r="AM2726" t="s">
        <v>393</v>
      </c>
      <c r="AN2726">
        <v>6800</v>
      </c>
      <c r="AO2726">
        <v>0.16</v>
      </c>
      <c r="AP2726">
        <v>1</v>
      </c>
      <c r="AR2726">
        <v>1</v>
      </c>
      <c r="AS2726" s="1">
        <v>26020</v>
      </c>
      <c r="AT2726" s="1">
        <v>5200</v>
      </c>
      <c r="AU2726" s="1">
        <v>20820</v>
      </c>
      <c r="AV2726">
        <v>80.02</v>
      </c>
      <c r="AX2726" s="1">
        <v>1885.62</v>
      </c>
      <c r="AY2726" t="s">
        <v>7837</v>
      </c>
      <c r="AZ2726" t="s">
        <v>5478</v>
      </c>
      <c r="BA2726" t="s">
        <v>5033</v>
      </c>
      <c r="BB2726" s="3">
        <v>42773</v>
      </c>
      <c r="BD2726" t="s">
        <v>458</v>
      </c>
      <c r="BE2726" s="3">
        <v>42220</v>
      </c>
      <c r="BF2726" s="1">
        <v>315000</v>
      </c>
      <c r="BG2726" t="s">
        <v>18038</v>
      </c>
      <c r="BH2726" s="1">
        <v>136.19</v>
      </c>
      <c r="BI2726" s="1">
        <v>303738</v>
      </c>
      <c r="BJ2726" s="3">
        <v>42220</v>
      </c>
      <c r="BK2726" t="s">
        <v>123</v>
      </c>
      <c r="BL2726" t="str">
        <f>"2015.563397"</f>
        <v>2015.563397</v>
      </c>
      <c r="BM2726" t="s">
        <v>544</v>
      </c>
      <c r="BO2726" t="s">
        <v>18039</v>
      </c>
      <c r="BS2726">
        <v>15</v>
      </c>
      <c r="BW2726" t="str">
        <f>""</f>
        <v/>
      </c>
      <c r="CH2726" t="str">
        <f>""</f>
        <v/>
      </c>
      <c r="CS2726" t="str">
        <f>""</f>
        <v/>
      </c>
    </row>
    <row r="2727" spans="1:97" x14ac:dyDescent="0.25">
      <c r="A2727" t="s">
        <v>4864</v>
      </c>
      <c r="B2727" t="s">
        <v>18040</v>
      </c>
      <c r="C2727" t="s">
        <v>1959</v>
      </c>
      <c r="D2727" t="s">
        <v>18040</v>
      </c>
      <c r="E2727" t="s">
        <v>18041</v>
      </c>
      <c r="F2727" t="s">
        <v>108</v>
      </c>
      <c r="H2727" t="s">
        <v>18042</v>
      </c>
      <c r="I2727" t="s">
        <v>110</v>
      </c>
      <c r="J2727" t="s">
        <v>111</v>
      </c>
      <c r="K2727" t="str">
        <f>"85224"</f>
        <v>85224</v>
      </c>
      <c r="L2727" t="s">
        <v>7746</v>
      </c>
      <c r="M2727" t="s">
        <v>18042</v>
      </c>
      <c r="N2727" t="s">
        <v>110</v>
      </c>
      <c r="O2727" t="s">
        <v>111</v>
      </c>
      <c r="P2727" t="str">
        <f>"85224-3919"</f>
        <v>85224-3919</v>
      </c>
      <c r="Q2727" t="s">
        <v>113</v>
      </c>
      <c r="R2727" t="str">
        <f>"310-01-344"</f>
        <v>310-01-344</v>
      </c>
      <c r="S2727" t="s">
        <v>18043</v>
      </c>
      <c r="T2727" t="s">
        <v>13679</v>
      </c>
      <c r="U2727">
        <v>3443</v>
      </c>
      <c r="V2727">
        <v>0</v>
      </c>
      <c r="W2727">
        <v>4</v>
      </c>
      <c r="X2727">
        <v>1990</v>
      </c>
      <c r="Z2727">
        <v>2</v>
      </c>
      <c r="AA2727" t="s">
        <v>26</v>
      </c>
      <c r="AB2727">
        <v>0</v>
      </c>
      <c r="AC2727" t="s">
        <v>115</v>
      </c>
      <c r="AD2727">
        <v>3</v>
      </c>
      <c r="AE2727" t="s">
        <v>115</v>
      </c>
      <c r="AF2727">
        <v>0</v>
      </c>
      <c r="AG2727">
        <v>0</v>
      </c>
      <c r="AH2727" t="s">
        <v>116</v>
      </c>
      <c r="AI2727" s="1">
        <v>95547</v>
      </c>
      <c r="AJ2727" s="2">
        <v>0.21</v>
      </c>
      <c r="AK2727" s="1">
        <v>448161</v>
      </c>
      <c r="AL2727" t="s">
        <v>117</v>
      </c>
      <c r="AM2727" t="s">
        <v>118</v>
      </c>
      <c r="AN2727">
        <v>9326</v>
      </c>
      <c r="AO2727">
        <v>0.21</v>
      </c>
      <c r="AP2727">
        <v>1</v>
      </c>
      <c r="AR2727">
        <v>1</v>
      </c>
      <c r="AS2727" s="1">
        <v>36720</v>
      </c>
      <c r="AT2727" s="1">
        <v>7340</v>
      </c>
      <c r="AU2727" s="1">
        <v>29380</v>
      </c>
      <c r="AV2727">
        <v>80.010000000000005</v>
      </c>
      <c r="AX2727" s="1">
        <v>2865.9</v>
      </c>
      <c r="AY2727" t="s">
        <v>7749</v>
      </c>
      <c r="AZ2727" t="s">
        <v>5078</v>
      </c>
      <c r="BA2727" t="s">
        <v>2957</v>
      </c>
      <c r="BE2727" s="3">
        <v>41943</v>
      </c>
      <c r="BF2727" s="1">
        <v>345000</v>
      </c>
      <c r="BG2727" t="s">
        <v>18044</v>
      </c>
      <c r="BH2727" s="1">
        <v>100.2</v>
      </c>
      <c r="BI2727" s="1">
        <v>352614</v>
      </c>
      <c r="BJ2727" s="3">
        <v>42578</v>
      </c>
      <c r="BK2727" t="s">
        <v>123</v>
      </c>
      <c r="BL2727" t="str">
        <f>"2016.530570"</f>
        <v>2016.530570</v>
      </c>
      <c r="BM2727" t="s">
        <v>544</v>
      </c>
      <c r="BO2727" t="s">
        <v>18045</v>
      </c>
      <c r="BS2727">
        <v>30</v>
      </c>
      <c r="BW2727" t="str">
        <f>""</f>
        <v/>
      </c>
      <c r="CH2727" t="str">
        <f>""</f>
        <v/>
      </c>
      <c r="CS2727" t="str">
        <f>""</f>
        <v/>
      </c>
    </row>
    <row r="2728" spans="1:97" x14ac:dyDescent="0.25">
      <c r="B2728" t="s">
        <v>18046</v>
      </c>
      <c r="E2728" t="s">
        <v>18046</v>
      </c>
      <c r="F2728" t="s">
        <v>108</v>
      </c>
      <c r="H2728" t="s">
        <v>18047</v>
      </c>
      <c r="I2728" t="s">
        <v>203</v>
      </c>
      <c r="J2728" t="s">
        <v>111</v>
      </c>
      <c r="K2728" t="str">
        <f>"85296"</f>
        <v>85296</v>
      </c>
      <c r="L2728" t="s">
        <v>2820</v>
      </c>
      <c r="M2728" t="s">
        <v>18047</v>
      </c>
      <c r="N2728" t="s">
        <v>203</v>
      </c>
      <c r="O2728" t="s">
        <v>111</v>
      </c>
      <c r="P2728" t="str">
        <f>"85296-1964"</f>
        <v>85296-1964</v>
      </c>
      <c r="Q2728" t="s">
        <v>113</v>
      </c>
      <c r="R2728" t="str">
        <f>"304-19-104"</f>
        <v>304-19-104</v>
      </c>
      <c r="S2728" t="s">
        <v>7786</v>
      </c>
      <c r="T2728" t="s">
        <v>7786</v>
      </c>
      <c r="U2728">
        <v>3242</v>
      </c>
      <c r="V2728">
        <v>0</v>
      </c>
      <c r="W2728">
        <v>4</v>
      </c>
      <c r="X2728">
        <v>2013</v>
      </c>
      <c r="Z2728">
        <v>2</v>
      </c>
      <c r="AB2728">
        <v>0</v>
      </c>
      <c r="AC2728" t="s">
        <v>115</v>
      </c>
      <c r="AD2728">
        <v>3</v>
      </c>
      <c r="AE2728" t="s">
        <v>115</v>
      </c>
      <c r="AF2728">
        <v>0</v>
      </c>
      <c r="AG2728">
        <v>0</v>
      </c>
      <c r="AH2728" t="s">
        <v>116</v>
      </c>
      <c r="AI2728" s="1">
        <v>97769</v>
      </c>
      <c r="AJ2728" s="2">
        <v>0.2</v>
      </c>
      <c r="AK2728" s="1">
        <v>482769</v>
      </c>
      <c r="AL2728" t="s">
        <v>117</v>
      </c>
      <c r="AM2728" t="s">
        <v>393</v>
      </c>
      <c r="AN2728">
        <v>7800</v>
      </c>
      <c r="AO2728">
        <v>0.18</v>
      </c>
      <c r="AR2728">
        <v>1</v>
      </c>
      <c r="AS2728" s="1">
        <v>35120</v>
      </c>
      <c r="AT2728" s="1">
        <v>7020</v>
      </c>
      <c r="AU2728" s="1">
        <v>28100</v>
      </c>
      <c r="AV2728">
        <v>80.010000000000005</v>
      </c>
      <c r="AX2728" s="1">
        <v>3074.4</v>
      </c>
      <c r="AY2728" t="s">
        <v>519</v>
      </c>
      <c r="AZ2728" t="s">
        <v>520</v>
      </c>
      <c r="BA2728" t="s">
        <v>521</v>
      </c>
      <c r="BB2728" s="3">
        <v>42627</v>
      </c>
      <c r="BD2728" t="s">
        <v>240</v>
      </c>
      <c r="BE2728" s="3">
        <v>42338</v>
      </c>
      <c r="BF2728" s="1">
        <v>385000</v>
      </c>
      <c r="BG2728" t="s">
        <v>18048</v>
      </c>
      <c r="BH2728" s="1">
        <v>118.75</v>
      </c>
      <c r="BI2728" s="1">
        <v>385000</v>
      </c>
      <c r="BJ2728" s="3">
        <v>42338</v>
      </c>
      <c r="BK2728" t="s">
        <v>123</v>
      </c>
      <c r="BL2728" t="str">
        <f>"2015.849749"</f>
        <v>2015.849749</v>
      </c>
      <c r="BM2728" t="s">
        <v>1544</v>
      </c>
      <c r="BO2728" t="s">
        <v>18049</v>
      </c>
      <c r="BS2728">
        <v>30</v>
      </c>
      <c r="BW2728" t="str">
        <f>""</f>
        <v/>
      </c>
      <c r="CH2728" t="str">
        <f>""</f>
        <v/>
      </c>
      <c r="CS2728" t="str">
        <f>""</f>
        <v/>
      </c>
    </row>
    <row r="2729" spans="1:97" x14ac:dyDescent="0.25">
      <c r="A2729" t="s">
        <v>18050</v>
      </c>
      <c r="B2729" t="s">
        <v>18051</v>
      </c>
      <c r="E2729" t="s">
        <v>18052</v>
      </c>
      <c r="F2729" t="s">
        <v>108</v>
      </c>
      <c r="H2729" t="s">
        <v>18053</v>
      </c>
      <c r="I2729" t="s">
        <v>144</v>
      </c>
      <c r="J2729" t="s">
        <v>111</v>
      </c>
      <c r="K2729" t="str">
        <f>"85326"</f>
        <v>85326</v>
      </c>
      <c r="L2729" t="s">
        <v>8146</v>
      </c>
      <c r="M2729" t="s">
        <v>18053</v>
      </c>
      <c r="N2729" t="s">
        <v>144</v>
      </c>
      <c r="O2729" t="s">
        <v>111</v>
      </c>
      <c r="P2729" t="str">
        <f>"85326-8182"</f>
        <v>85326-8182</v>
      </c>
      <c r="Q2729" t="s">
        <v>113</v>
      </c>
      <c r="R2729" t="str">
        <f>"502-35-675"</f>
        <v>502-35-675</v>
      </c>
      <c r="S2729" t="s">
        <v>9331</v>
      </c>
      <c r="U2729">
        <v>2369</v>
      </c>
      <c r="V2729">
        <v>0</v>
      </c>
      <c r="W2729">
        <v>5</v>
      </c>
      <c r="X2729">
        <v>2014</v>
      </c>
      <c r="Z2729">
        <v>1</v>
      </c>
      <c r="AB2729">
        <v>0</v>
      </c>
      <c r="AC2729" t="s">
        <v>115</v>
      </c>
      <c r="AD2729">
        <v>3</v>
      </c>
      <c r="AE2729" t="s">
        <v>115</v>
      </c>
      <c r="AF2729">
        <v>0</v>
      </c>
      <c r="AG2729">
        <v>0</v>
      </c>
      <c r="AH2729" t="s">
        <v>116</v>
      </c>
      <c r="AI2729" s="1">
        <v>94940</v>
      </c>
      <c r="AJ2729" s="2">
        <v>0.28999999999999998</v>
      </c>
      <c r="AK2729" s="1">
        <v>322438</v>
      </c>
      <c r="AL2729" t="s">
        <v>117</v>
      </c>
      <c r="AM2729" t="s">
        <v>118</v>
      </c>
      <c r="AN2729">
        <v>7245</v>
      </c>
      <c r="AO2729">
        <v>0.17</v>
      </c>
      <c r="AR2729">
        <v>1</v>
      </c>
      <c r="AS2729" s="1">
        <v>22710</v>
      </c>
      <c r="AT2729" s="1">
        <v>4540</v>
      </c>
      <c r="AU2729" s="1">
        <v>18170</v>
      </c>
      <c r="AV2729">
        <v>80.010000000000005</v>
      </c>
      <c r="AX2729" s="1">
        <v>2100.86</v>
      </c>
      <c r="AY2729" t="s">
        <v>2767</v>
      </c>
      <c r="AZ2729" t="s">
        <v>2767</v>
      </c>
      <c r="BA2729" t="s">
        <v>5025</v>
      </c>
      <c r="BE2729" s="3">
        <v>41968</v>
      </c>
      <c r="BF2729" s="1">
        <v>227498</v>
      </c>
      <c r="BG2729" t="s">
        <v>749</v>
      </c>
      <c r="BH2729" s="1">
        <v>96.03</v>
      </c>
      <c r="BI2729" s="1">
        <v>227498</v>
      </c>
      <c r="BJ2729" s="3">
        <v>41968</v>
      </c>
      <c r="BK2729" t="s">
        <v>123</v>
      </c>
      <c r="BL2729" t="str">
        <f>"2014.782496"</f>
        <v>2014.782496</v>
      </c>
      <c r="BM2729" t="s">
        <v>475</v>
      </c>
      <c r="BO2729" t="s">
        <v>18054</v>
      </c>
      <c r="BS2729">
        <v>30</v>
      </c>
      <c r="BW2729" t="str">
        <f>""</f>
        <v/>
      </c>
      <c r="CH2729" t="str">
        <f>""</f>
        <v/>
      </c>
      <c r="CS2729" t="str">
        <f>""</f>
        <v/>
      </c>
    </row>
    <row r="2730" spans="1:97" x14ac:dyDescent="0.25">
      <c r="A2730" t="s">
        <v>8100</v>
      </c>
      <c r="B2730" t="s">
        <v>18055</v>
      </c>
      <c r="E2730" t="s">
        <v>18056</v>
      </c>
      <c r="F2730" t="s">
        <v>139</v>
      </c>
      <c r="H2730" t="s">
        <v>18057</v>
      </c>
      <c r="I2730" t="s">
        <v>499</v>
      </c>
      <c r="J2730" t="s">
        <v>111</v>
      </c>
      <c r="K2730" t="str">
        <f>"85395"</f>
        <v>85395</v>
      </c>
      <c r="L2730" t="s">
        <v>541</v>
      </c>
      <c r="M2730" t="s">
        <v>18058</v>
      </c>
      <c r="N2730" t="s">
        <v>3150</v>
      </c>
      <c r="O2730" t="s">
        <v>111</v>
      </c>
      <c r="P2730" t="str">
        <f>"85340"</f>
        <v>85340</v>
      </c>
      <c r="Q2730" t="s">
        <v>113</v>
      </c>
      <c r="R2730" t="str">
        <f>"508-11-495"</f>
        <v>508-11-495</v>
      </c>
      <c r="S2730" t="s">
        <v>5752</v>
      </c>
      <c r="T2730" t="s">
        <v>5753</v>
      </c>
      <c r="U2730">
        <v>3955</v>
      </c>
      <c r="V2730">
        <v>0</v>
      </c>
      <c r="W2730">
        <v>5</v>
      </c>
      <c r="X2730">
        <v>2013</v>
      </c>
      <c r="Z2730">
        <v>1</v>
      </c>
      <c r="AA2730" t="s">
        <v>26</v>
      </c>
      <c r="AB2730">
        <v>0</v>
      </c>
      <c r="AC2730" t="s">
        <v>115</v>
      </c>
      <c r="AD2730">
        <v>3</v>
      </c>
      <c r="AE2730" t="s">
        <v>115</v>
      </c>
      <c r="AF2730">
        <v>0</v>
      </c>
      <c r="AG2730">
        <v>0</v>
      </c>
      <c r="AH2730" t="s">
        <v>116</v>
      </c>
      <c r="AI2730" s="1">
        <v>112211</v>
      </c>
      <c r="AJ2730" s="2">
        <v>0.2</v>
      </c>
      <c r="AK2730" s="1">
        <v>565808</v>
      </c>
      <c r="AL2730" t="s">
        <v>117</v>
      </c>
      <c r="AM2730" t="s">
        <v>118</v>
      </c>
      <c r="AN2730">
        <v>15861</v>
      </c>
      <c r="AO2730">
        <v>0.36</v>
      </c>
      <c r="AR2730">
        <v>1</v>
      </c>
      <c r="AS2730" s="1">
        <v>45050</v>
      </c>
      <c r="AT2730" s="1">
        <v>9010</v>
      </c>
      <c r="AU2730" s="1">
        <v>36040</v>
      </c>
      <c r="AV2730">
        <v>80</v>
      </c>
      <c r="AX2730" s="1">
        <v>4826.3999999999996</v>
      </c>
      <c r="AY2730" t="s">
        <v>3019</v>
      </c>
      <c r="AZ2730" t="s">
        <v>3020</v>
      </c>
      <c r="BA2730" t="s">
        <v>218</v>
      </c>
      <c r="BE2730" s="3">
        <v>41806</v>
      </c>
      <c r="BF2730" s="1">
        <v>427475</v>
      </c>
      <c r="BG2730" t="s">
        <v>562</v>
      </c>
      <c r="BH2730" s="1">
        <v>108.08</v>
      </c>
      <c r="BI2730" s="1">
        <v>413097</v>
      </c>
      <c r="BJ2730" s="3">
        <v>42594</v>
      </c>
      <c r="BK2730" t="s">
        <v>123</v>
      </c>
      <c r="BL2730" t="str">
        <f>"2016.576542"</f>
        <v>2016.576542</v>
      </c>
      <c r="BM2730" t="s">
        <v>1287</v>
      </c>
      <c r="BN2730" t="s">
        <v>9591</v>
      </c>
      <c r="BO2730" t="s">
        <v>18059</v>
      </c>
      <c r="BS2730">
        <v>30</v>
      </c>
      <c r="BT2730" s="1">
        <v>40500</v>
      </c>
      <c r="BU2730" s="3">
        <v>43130</v>
      </c>
      <c r="BV2730" t="s">
        <v>134</v>
      </c>
      <c r="BW2730" t="str">
        <f>"2018.72474"</f>
        <v>2018.72474</v>
      </c>
      <c r="BX2730" t="s">
        <v>583</v>
      </c>
      <c r="BY2730" t="s">
        <v>18060</v>
      </c>
      <c r="BZ2730" t="s">
        <v>18056</v>
      </c>
      <c r="CA2730" t="s">
        <v>18061</v>
      </c>
      <c r="CC2730" t="s">
        <v>139</v>
      </c>
      <c r="CH2730" t="str">
        <f>""</f>
        <v/>
      </c>
      <c r="CS2730" t="str">
        <f>""</f>
        <v/>
      </c>
    </row>
    <row r="2731" spans="1:97" x14ac:dyDescent="0.25">
      <c r="A2731" t="s">
        <v>305</v>
      </c>
      <c r="B2731" t="s">
        <v>18062</v>
      </c>
      <c r="C2731" t="s">
        <v>691</v>
      </c>
      <c r="D2731" t="s">
        <v>18063</v>
      </c>
      <c r="E2731" t="s">
        <v>18064</v>
      </c>
      <c r="F2731" t="s">
        <v>108</v>
      </c>
      <c r="H2731" t="s">
        <v>18065</v>
      </c>
      <c r="I2731" t="s">
        <v>3150</v>
      </c>
      <c r="J2731" t="s">
        <v>111</v>
      </c>
      <c r="K2731" t="str">
        <f>"85340"</f>
        <v>85340</v>
      </c>
      <c r="L2731" t="s">
        <v>168</v>
      </c>
      <c r="M2731" t="s">
        <v>18065</v>
      </c>
      <c r="N2731" t="s">
        <v>3150</v>
      </c>
      <c r="O2731" t="s">
        <v>111</v>
      </c>
      <c r="P2731" t="str">
        <f>"85340-5575"</f>
        <v>85340-5575</v>
      </c>
      <c r="Q2731" t="s">
        <v>113</v>
      </c>
      <c r="R2731" t="str">
        <f>"508-11-301"</f>
        <v>508-11-301</v>
      </c>
      <c r="S2731" t="s">
        <v>12423</v>
      </c>
      <c r="U2731">
        <v>3906</v>
      </c>
      <c r="V2731">
        <v>0</v>
      </c>
      <c r="W2731">
        <v>5</v>
      </c>
      <c r="X2731">
        <v>2003</v>
      </c>
      <c r="Z2731">
        <v>2</v>
      </c>
      <c r="AA2731" t="s">
        <v>26</v>
      </c>
      <c r="AB2731">
        <v>0</v>
      </c>
      <c r="AC2731" t="s">
        <v>115</v>
      </c>
      <c r="AD2731">
        <v>3</v>
      </c>
      <c r="AE2731" t="s">
        <v>115</v>
      </c>
      <c r="AF2731">
        <v>0</v>
      </c>
      <c r="AG2731">
        <v>0</v>
      </c>
      <c r="AH2731" t="s">
        <v>116</v>
      </c>
      <c r="AI2731" s="1">
        <v>56302</v>
      </c>
      <c r="AJ2731" s="2">
        <v>0.13</v>
      </c>
      <c r="AK2731" s="1">
        <v>422469</v>
      </c>
      <c r="AL2731" t="s">
        <v>117</v>
      </c>
      <c r="AM2731" t="s">
        <v>171</v>
      </c>
      <c r="AN2731">
        <v>10152</v>
      </c>
      <c r="AO2731">
        <v>0.23</v>
      </c>
      <c r="AP2731">
        <v>1</v>
      </c>
      <c r="AR2731">
        <v>1</v>
      </c>
      <c r="AS2731" s="1">
        <v>29550</v>
      </c>
      <c r="AT2731" s="1">
        <v>5910</v>
      </c>
      <c r="AU2731" s="1">
        <v>23640</v>
      </c>
      <c r="AV2731">
        <v>80</v>
      </c>
      <c r="AX2731" s="1">
        <v>2521.2600000000002</v>
      </c>
      <c r="AY2731" t="s">
        <v>6700</v>
      </c>
      <c r="AZ2731" t="s">
        <v>6701</v>
      </c>
      <c r="BA2731" t="s">
        <v>6702</v>
      </c>
      <c r="BE2731" s="3">
        <v>42338</v>
      </c>
      <c r="BF2731" s="1">
        <v>310000</v>
      </c>
      <c r="BG2731" t="s">
        <v>18066</v>
      </c>
      <c r="BH2731" s="1">
        <v>79.37</v>
      </c>
      <c r="BI2731" s="1">
        <v>366167</v>
      </c>
      <c r="BJ2731" s="3">
        <v>43070</v>
      </c>
      <c r="BK2731" t="s">
        <v>123</v>
      </c>
      <c r="BL2731" t="str">
        <f>"2017.891112"</f>
        <v>2017.891112</v>
      </c>
      <c r="BM2731" t="s">
        <v>340</v>
      </c>
      <c r="BO2731" t="s">
        <v>18067</v>
      </c>
      <c r="BP2731" t="s">
        <v>18068</v>
      </c>
      <c r="BS2731">
        <v>29</v>
      </c>
      <c r="BW2731" t="str">
        <f>""</f>
        <v/>
      </c>
      <c r="CH2731" t="str">
        <f>""</f>
        <v/>
      </c>
      <c r="CS2731" t="str">
        <f>""</f>
        <v/>
      </c>
    </row>
    <row r="2732" spans="1:97" x14ac:dyDescent="0.25">
      <c r="A2732" t="s">
        <v>140</v>
      </c>
      <c r="B2732" t="s">
        <v>13085</v>
      </c>
      <c r="C2732" t="s">
        <v>18069</v>
      </c>
      <c r="D2732" t="s">
        <v>13085</v>
      </c>
      <c r="E2732" t="s">
        <v>18070</v>
      </c>
      <c r="F2732" t="s">
        <v>108</v>
      </c>
      <c r="H2732" t="s">
        <v>18071</v>
      </c>
      <c r="I2732" t="s">
        <v>499</v>
      </c>
      <c r="J2732" t="s">
        <v>111</v>
      </c>
      <c r="K2732" t="str">
        <f>"85395"</f>
        <v>85395</v>
      </c>
      <c r="L2732" t="s">
        <v>168</v>
      </c>
      <c r="M2732" t="s">
        <v>18071</v>
      </c>
      <c r="N2732" t="s">
        <v>499</v>
      </c>
      <c r="O2732" t="s">
        <v>111</v>
      </c>
      <c r="P2732" t="str">
        <f>"85395-7743"</f>
        <v>85395-7743</v>
      </c>
      <c r="Q2732" t="s">
        <v>113</v>
      </c>
      <c r="R2732" t="str">
        <f>"501-62-834"</f>
        <v>501-62-834</v>
      </c>
      <c r="S2732" t="s">
        <v>10001</v>
      </c>
      <c r="T2732" t="s">
        <v>10002</v>
      </c>
      <c r="U2732">
        <v>2558</v>
      </c>
      <c r="V2732">
        <v>0</v>
      </c>
      <c r="W2732">
        <v>5</v>
      </c>
      <c r="X2732">
        <v>2014</v>
      </c>
      <c r="Z2732">
        <v>1</v>
      </c>
      <c r="AB2732">
        <v>0</v>
      </c>
      <c r="AC2732" t="s">
        <v>115</v>
      </c>
      <c r="AD2732">
        <v>2</v>
      </c>
      <c r="AE2732" t="s">
        <v>115</v>
      </c>
      <c r="AF2732">
        <v>0</v>
      </c>
      <c r="AG2732">
        <v>0</v>
      </c>
      <c r="AH2732" t="s">
        <v>116</v>
      </c>
      <c r="AI2732" s="1">
        <v>74181</v>
      </c>
      <c r="AJ2732" s="2">
        <v>0.2</v>
      </c>
      <c r="AK2732" s="1">
        <v>374781</v>
      </c>
      <c r="AL2732" t="s">
        <v>117</v>
      </c>
      <c r="AM2732" t="s">
        <v>118</v>
      </c>
      <c r="AN2732">
        <v>7734</v>
      </c>
      <c r="AO2732">
        <v>0.18</v>
      </c>
      <c r="AR2732">
        <v>1</v>
      </c>
      <c r="AS2732" s="1">
        <v>26360</v>
      </c>
      <c r="AT2732" s="1">
        <v>5270</v>
      </c>
      <c r="AU2732" s="1">
        <v>21090</v>
      </c>
      <c r="AV2732">
        <v>80.010000000000005</v>
      </c>
      <c r="AX2732" s="1">
        <v>2676.2</v>
      </c>
      <c r="AY2732" t="s">
        <v>3019</v>
      </c>
      <c r="AZ2732" t="s">
        <v>504</v>
      </c>
      <c r="BA2732" t="s">
        <v>3154</v>
      </c>
      <c r="BB2732" s="3">
        <v>42205</v>
      </c>
      <c r="BD2732" t="s">
        <v>240</v>
      </c>
      <c r="BE2732" s="3">
        <v>41901</v>
      </c>
      <c r="BF2732" s="1">
        <v>283147</v>
      </c>
      <c r="BG2732" t="s">
        <v>3021</v>
      </c>
      <c r="BH2732" s="1">
        <v>110.69</v>
      </c>
      <c r="BI2732" s="1">
        <v>283100</v>
      </c>
      <c r="BJ2732" s="3">
        <v>41901</v>
      </c>
      <c r="BK2732" t="s">
        <v>123</v>
      </c>
      <c r="BL2732" t="str">
        <f>"2014.620935"</f>
        <v>2014.620935</v>
      </c>
      <c r="BM2732" t="s">
        <v>2245</v>
      </c>
      <c r="BO2732" t="s">
        <v>18072</v>
      </c>
      <c r="BS2732">
        <v>30</v>
      </c>
      <c r="BT2732" s="1">
        <v>17500</v>
      </c>
      <c r="BU2732" s="3">
        <v>42205</v>
      </c>
      <c r="BV2732" t="s">
        <v>134</v>
      </c>
      <c r="BW2732" t="str">
        <f>"2015.518882"</f>
        <v>2015.518882</v>
      </c>
      <c r="BX2732" t="s">
        <v>369</v>
      </c>
      <c r="BZ2732" t="s">
        <v>18073</v>
      </c>
      <c r="CD2732">
        <v>10</v>
      </c>
      <c r="CH2732" t="str">
        <f>""</f>
        <v/>
      </c>
      <c r="CS2732" t="str">
        <f>""</f>
        <v/>
      </c>
    </row>
    <row r="2733" spans="1:97" x14ac:dyDescent="0.25">
      <c r="A2733" t="s">
        <v>18074</v>
      </c>
      <c r="B2733" t="s">
        <v>327</v>
      </c>
      <c r="C2733" t="s">
        <v>18075</v>
      </c>
      <c r="D2733" t="s">
        <v>327</v>
      </c>
      <c r="E2733" t="s">
        <v>18076</v>
      </c>
      <c r="F2733" t="s">
        <v>108</v>
      </c>
      <c r="H2733" t="s">
        <v>18077</v>
      </c>
      <c r="I2733" t="s">
        <v>225</v>
      </c>
      <c r="J2733" t="s">
        <v>111</v>
      </c>
      <c r="K2733" t="str">
        <f>"85206"</f>
        <v>85206</v>
      </c>
      <c r="L2733" t="s">
        <v>6169</v>
      </c>
      <c r="M2733" t="s">
        <v>18077</v>
      </c>
      <c r="N2733" t="s">
        <v>225</v>
      </c>
      <c r="O2733" t="s">
        <v>111</v>
      </c>
      <c r="P2733" t="str">
        <f>"85206-2248"</f>
        <v>85206-2248</v>
      </c>
      <c r="Q2733" t="s">
        <v>113</v>
      </c>
      <c r="R2733" t="str">
        <f>"141-52-062"</f>
        <v>141-52-062</v>
      </c>
      <c r="S2733" t="s">
        <v>11625</v>
      </c>
      <c r="T2733" t="s">
        <v>11626</v>
      </c>
      <c r="U2733">
        <v>2566</v>
      </c>
      <c r="V2733">
        <v>0</v>
      </c>
      <c r="W2733">
        <v>3</v>
      </c>
      <c r="X2733">
        <v>1985</v>
      </c>
      <c r="Z2733">
        <v>1</v>
      </c>
      <c r="AA2733" t="s">
        <v>26</v>
      </c>
      <c r="AB2733">
        <v>0</v>
      </c>
      <c r="AC2733" t="s">
        <v>115</v>
      </c>
      <c r="AD2733">
        <v>2</v>
      </c>
      <c r="AE2733" t="s">
        <v>115</v>
      </c>
      <c r="AF2733">
        <v>0</v>
      </c>
      <c r="AG2733">
        <v>0</v>
      </c>
      <c r="AH2733" t="s">
        <v>116</v>
      </c>
      <c r="AI2733" s="1">
        <v>49559</v>
      </c>
      <c r="AJ2733" s="2">
        <v>0.13</v>
      </c>
      <c r="AK2733" s="1">
        <v>382559</v>
      </c>
      <c r="AL2733" t="s">
        <v>117</v>
      </c>
      <c r="AM2733" t="s">
        <v>917</v>
      </c>
      <c r="AN2733">
        <v>13666</v>
      </c>
      <c r="AO2733">
        <v>0.31</v>
      </c>
      <c r="AP2733">
        <v>1</v>
      </c>
      <c r="AR2733">
        <v>1</v>
      </c>
      <c r="AS2733" s="1">
        <v>27350</v>
      </c>
      <c r="AT2733" s="1">
        <v>5470</v>
      </c>
      <c r="AU2733" s="1">
        <v>21880</v>
      </c>
      <c r="AV2733">
        <v>80</v>
      </c>
      <c r="AX2733" s="1">
        <v>2221.48</v>
      </c>
      <c r="AY2733" t="s">
        <v>230</v>
      </c>
      <c r="AZ2733" t="s">
        <v>5158</v>
      </c>
      <c r="BA2733" t="s">
        <v>5159</v>
      </c>
      <c r="BE2733" s="3">
        <v>41837</v>
      </c>
      <c r="BF2733" s="1">
        <v>296100</v>
      </c>
      <c r="BG2733" t="s">
        <v>18078</v>
      </c>
      <c r="BH2733" s="1">
        <v>115.39</v>
      </c>
      <c r="BI2733" s="1">
        <v>333000</v>
      </c>
      <c r="BJ2733" s="3">
        <v>42814</v>
      </c>
      <c r="BK2733" t="s">
        <v>123</v>
      </c>
      <c r="BL2733" t="str">
        <f>"2017.193778"</f>
        <v>2017.193778</v>
      </c>
      <c r="BM2733" t="s">
        <v>135</v>
      </c>
      <c r="BO2733" t="s">
        <v>18079</v>
      </c>
      <c r="BS2733">
        <v>30</v>
      </c>
      <c r="BW2733" t="str">
        <f>""</f>
        <v/>
      </c>
      <c r="CH2733" t="str">
        <f>""</f>
        <v/>
      </c>
      <c r="CS2733" t="str">
        <f>""</f>
        <v/>
      </c>
    </row>
    <row r="2734" spans="1:97" x14ac:dyDescent="0.25">
      <c r="A2734" t="s">
        <v>4888</v>
      </c>
      <c r="B2734" t="s">
        <v>996</v>
      </c>
      <c r="C2734" t="s">
        <v>18080</v>
      </c>
      <c r="D2734" t="s">
        <v>18081</v>
      </c>
      <c r="E2734" t="s">
        <v>18082</v>
      </c>
      <c r="F2734" t="s">
        <v>108</v>
      </c>
      <c r="H2734" t="s">
        <v>18083</v>
      </c>
      <c r="I2734" t="s">
        <v>110</v>
      </c>
      <c r="J2734" t="s">
        <v>111</v>
      </c>
      <c r="K2734" t="str">
        <f>"85286"</f>
        <v>85286</v>
      </c>
      <c r="L2734" t="s">
        <v>688</v>
      </c>
      <c r="M2734" t="s">
        <v>18083</v>
      </c>
      <c r="N2734" t="s">
        <v>110</v>
      </c>
      <c r="O2734" t="s">
        <v>111</v>
      </c>
      <c r="P2734" t="str">
        <f>"85286-6312"</f>
        <v>85286-6312</v>
      </c>
      <c r="Q2734" t="s">
        <v>113</v>
      </c>
      <c r="R2734" t="str">
        <f>"303-76-511"</f>
        <v>303-76-511</v>
      </c>
      <c r="S2734" t="s">
        <v>18084</v>
      </c>
      <c r="T2734" t="s">
        <v>18085</v>
      </c>
      <c r="U2734">
        <v>2289</v>
      </c>
      <c r="V2734">
        <v>0</v>
      </c>
      <c r="W2734">
        <v>4</v>
      </c>
      <c r="X2734">
        <v>1998</v>
      </c>
      <c r="Z2734">
        <v>2</v>
      </c>
      <c r="AB2734">
        <v>0</v>
      </c>
      <c r="AC2734" t="s">
        <v>115</v>
      </c>
      <c r="AD2734">
        <v>3</v>
      </c>
      <c r="AE2734" t="s">
        <v>115</v>
      </c>
      <c r="AF2734">
        <v>0</v>
      </c>
      <c r="AG2734">
        <v>0</v>
      </c>
      <c r="AH2734" t="s">
        <v>116</v>
      </c>
      <c r="AI2734" s="1">
        <v>77059</v>
      </c>
      <c r="AJ2734" s="2">
        <v>0.19</v>
      </c>
      <c r="AK2734" s="1">
        <v>397059</v>
      </c>
      <c r="AL2734" t="s">
        <v>117</v>
      </c>
      <c r="AM2734" t="s">
        <v>118</v>
      </c>
      <c r="AN2734">
        <v>9600</v>
      </c>
      <c r="AO2734">
        <v>0.22</v>
      </c>
      <c r="AP2734">
        <v>1</v>
      </c>
      <c r="AR2734">
        <v>1</v>
      </c>
      <c r="AS2734" s="1">
        <v>29260</v>
      </c>
      <c r="AT2734" s="1">
        <v>5850</v>
      </c>
      <c r="AU2734" s="1">
        <v>23410</v>
      </c>
      <c r="AV2734">
        <v>80.010000000000005</v>
      </c>
      <c r="AX2734" s="1">
        <v>2387.52</v>
      </c>
      <c r="AY2734" t="s">
        <v>1881</v>
      </c>
      <c r="AZ2734" t="s">
        <v>1882</v>
      </c>
      <c r="BA2734" t="s">
        <v>121</v>
      </c>
      <c r="BE2734" s="3">
        <v>42185</v>
      </c>
      <c r="BF2734" s="1">
        <v>320000</v>
      </c>
      <c r="BG2734" t="s">
        <v>18086</v>
      </c>
      <c r="BH2734" s="1">
        <v>139.80000000000001</v>
      </c>
      <c r="BI2734" s="1">
        <v>320000</v>
      </c>
      <c r="BJ2734" s="3">
        <v>42185</v>
      </c>
      <c r="BK2734" t="s">
        <v>123</v>
      </c>
      <c r="BL2734" t="str">
        <f>"2015.468451"</f>
        <v>2015.468451</v>
      </c>
      <c r="BM2734" t="s">
        <v>1998</v>
      </c>
      <c r="BO2734" t="s">
        <v>18087</v>
      </c>
      <c r="BS2734">
        <v>30</v>
      </c>
      <c r="BW2734" t="str">
        <f>""</f>
        <v/>
      </c>
      <c r="CH2734" t="str">
        <f>""</f>
        <v/>
      </c>
      <c r="CS2734" t="str">
        <f>""</f>
        <v/>
      </c>
    </row>
    <row r="2735" spans="1:97" x14ac:dyDescent="0.25">
      <c r="A2735" t="s">
        <v>1721</v>
      </c>
      <c r="B2735" t="s">
        <v>18088</v>
      </c>
      <c r="C2735" t="s">
        <v>126</v>
      </c>
      <c r="D2735" t="s">
        <v>18088</v>
      </c>
      <c r="E2735" t="s">
        <v>18089</v>
      </c>
      <c r="F2735" t="s">
        <v>108</v>
      </c>
      <c r="H2735" t="s">
        <v>18090</v>
      </c>
      <c r="I2735" t="s">
        <v>390</v>
      </c>
      <c r="J2735" t="s">
        <v>111</v>
      </c>
      <c r="K2735" t="str">
        <f>"85023"</f>
        <v>85023</v>
      </c>
      <c r="L2735" t="s">
        <v>2547</v>
      </c>
      <c r="M2735" t="s">
        <v>18090</v>
      </c>
      <c r="N2735" t="s">
        <v>390</v>
      </c>
      <c r="O2735" t="s">
        <v>111</v>
      </c>
      <c r="P2735" t="str">
        <f>"85023-6237"</f>
        <v>85023-6237</v>
      </c>
      <c r="Q2735" t="s">
        <v>113</v>
      </c>
      <c r="R2735" t="str">
        <f>"208-27-577-A"</f>
        <v>208-27-577-A</v>
      </c>
      <c r="S2735" t="s">
        <v>12788</v>
      </c>
      <c r="U2735">
        <v>2054</v>
      </c>
      <c r="V2735">
        <v>0</v>
      </c>
      <c r="W2735">
        <v>2</v>
      </c>
      <c r="X2735">
        <v>1972</v>
      </c>
      <c r="Z2735">
        <v>1</v>
      </c>
      <c r="AA2735" t="s">
        <v>26</v>
      </c>
      <c r="AB2735">
        <v>0</v>
      </c>
      <c r="AC2735" t="s">
        <v>115</v>
      </c>
      <c r="AD2735">
        <v>2</v>
      </c>
      <c r="AE2735" t="s">
        <v>115</v>
      </c>
      <c r="AF2735">
        <v>0</v>
      </c>
      <c r="AG2735">
        <v>0</v>
      </c>
      <c r="AH2735" t="s">
        <v>116</v>
      </c>
      <c r="AI2735" s="1">
        <v>31643</v>
      </c>
      <c r="AJ2735" s="2">
        <v>7.0000000000000007E-2</v>
      </c>
      <c r="AK2735" s="1">
        <v>428315</v>
      </c>
      <c r="AL2735" t="s">
        <v>117</v>
      </c>
      <c r="AM2735" t="s">
        <v>1302</v>
      </c>
      <c r="AN2735">
        <v>11882</v>
      </c>
      <c r="AO2735">
        <v>0.27</v>
      </c>
      <c r="AP2735">
        <v>1</v>
      </c>
      <c r="AR2735">
        <v>1</v>
      </c>
      <c r="AS2735" s="1">
        <v>28950</v>
      </c>
      <c r="AT2735" s="1">
        <v>5790</v>
      </c>
      <c r="AU2735" s="1">
        <v>23160</v>
      </c>
      <c r="AV2735">
        <v>80</v>
      </c>
      <c r="AX2735" s="1">
        <v>3180.5</v>
      </c>
      <c r="AY2735" t="s">
        <v>9170</v>
      </c>
      <c r="AZ2735" t="s">
        <v>8648</v>
      </c>
      <c r="BA2735" t="s">
        <v>8649</v>
      </c>
      <c r="BE2735" s="3">
        <v>42068</v>
      </c>
      <c r="BF2735" s="1">
        <v>384000</v>
      </c>
      <c r="BG2735" t="s">
        <v>18091</v>
      </c>
      <c r="BH2735" s="1">
        <v>186.95</v>
      </c>
      <c r="BI2735" s="1">
        <v>396672</v>
      </c>
      <c r="BJ2735" s="3">
        <v>42068</v>
      </c>
      <c r="BK2735" t="s">
        <v>123</v>
      </c>
      <c r="BL2735" t="str">
        <f>"2015.148254"</f>
        <v>2015.148254</v>
      </c>
      <c r="BM2735" t="s">
        <v>544</v>
      </c>
      <c r="BO2735" t="s">
        <v>18092</v>
      </c>
      <c r="BS2735">
        <v>30</v>
      </c>
      <c r="BW2735" t="str">
        <f>""</f>
        <v/>
      </c>
      <c r="CH2735" t="str">
        <f>""</f>
        <v/>
      </c>
      <c r="CS2735" t="str">
        <f>""</f>
        <v/>
      </c>
    </row>
    <row r="2736" spans="1:97" x14ac:dyDescent="0.25">
      <c r="A2736" t="s">
        <v>1514</v>
      </c>
      <c r="B2736" t="s">
        <v>2007</v>
      </c>
      <c r="E2736" t="s">
        <v>18093</v>
      </c>
      <c r="F2736" t="s">
        <v>108</v>
      </c>
      <c r="H2736" t="s">
        <v>18094</v>
      </c>
      <c r="I2736" t="s">
        <v>203</v>
      </c>
      <c r="J2736" t="s">
        <v>111</v>
      </c>
      <c r="K2736" t="str">
        <f>"85297"</f>
        <v>85297</v>
      </c>
      <c r="L2736" t="s">
        <v>3696</v>
      </c>
      <c r="M2736" t="s">
        <v>18094</v>
      </c>
      <c r="N2736" t="s">
        <v>203</v>
      </c>
      <c r="O2736" t="s">
        <v>111</v>
      </c>
      <c r="P2736" t="str">
        <f>"85297-7434"</f>
        <v>85297-7434</v>
      </c>
      <c r="Q2736" t="s">
        <v>113</v>
      </c>
      <c r="R2736" t="str">
        <f>"309-24-811"</f>
        <v>309-24-811</v>
      </c>
      <c r="S2736" t="s">
        <v>18095</v>
      </c>
      <c r="U2736">
        <v>2457</v>
      </c>
      <c r="V2736">
        <v>0</v>
      </c>
      <c r="W2736">
        <v>4</v>
      </c>
      <c r="X2736">
        <v>2004</v>
      </c>
      <c r="Z2736">
        <v>1</v>
      </c>
      <c r="AB2736">
        <v>0</v>
      </c>
      <c r="AC2736" t="s">
        <v>115</v>
      </c>
      <c r="AD2736">
        <v>2</v>
      </c>
      <c r="AE2736" t="s">
        <v>115</v>
      </c>
      <c r="AF2736">
        <v>0</v>
      </c>
      <c r="AG2736">
        <v>0</v>
      </c>
      <c r="AH2736" t="s">
        <v>116</v>
      </c>
      <c r="AI2736" s="1">
        <v>8770</v>
      </c>
      <c r="AJ2736" s="2">
        <v>0.03</v>
      </c>
      <c r="AK2736" s="1">
        <v>321568</v>
      </c>
      <c r="AL2736" t="s">
        <v>117</v>
      </c>
      <c r="AM2736" t="s">
        <v>1302</v>
      </c>
      <c r="AN2736">
        <v>9600</v>
      </c>
      <c r="AO2736">
        <v>0.22</v>
      </c>
      <c r="AP2736">
        <v>1</v>
      </c>
      <c r="AR2736">
        <v>1</v>
      </c>
      <c r="AS2736" s="1">
        <v>26670</v>
      </c>
      <c r="AT2736" s="1">
        <v>5330</v>
      </c>
      <c r="AU2736" s="1">
        <v>21340</v>
      </c>
      <c r="AV2736">
        <v>80.010000000000005</v>
      </c>
      <c r="AX2736" s="1">
        <v>2658.82</v>
      </c>
      <c r="AY2736" t="s">
        <v>394</v>
      </c>
      <c r="AZ2736" t="s">
        <v>394</v>
      </c>
      <c r="BA2736" t="s">
        <v>290</v>
      </c>
      <c r="BE2736" s="3">
        <v>42468</v>
      </c>
      <c r="BF2736" s="1">
        <v>303000</v>
      </c>
      <c r="BG2736" t="s">
        <v>18096</v>
      </c>
      <c r="BH2736" s="1">
        <v>123.32</v>
      </c>
      <c r="BI2736" s="1">
        <v>312798</v>
      </c>
      <c r="BJ2736" s="3">
        <v>42676</v>
      </c>
      <c r="BK2736" t="s">
        <v>123</v>
      </c>
      <c r="BL2736" t="str">
        <f>"2016.809442"</f>
        <v>2016.809442</v>
      </c>
      <c r="BM2736" t="s">
        <v>14241</v>
      </c>
      <c r="BO2736" t="s">
        <v>18097</v>
      </c>
      <c r="BS2736">
        <v>30</v>
      </c>
      <c r="BW2736" t="str">
        <f>""</f>
        <v/>
      </c>
      <c r="CH2736" t="str">
        <f>""</f>
        <v/>
      </c>
      <c r="CS2736" t="str">
        <f>""</f>
        <v/>
      </c>
    </row>
    <row r="2737" spans="1:97" x14ac:dyDescent="0.25">
      <c r="A2737" t="s">
        <v>18098</v>
      </c>
      <c r="B2737" t="s">
        <v>18099</v>
      </c>
      <c r="C2737" t="s">
        <v>18100</v>
      </c>
      <c r="D2737" t="s">
        <v>18099</v>
      </c>
      <c r="E2737" t="s">
        <v>18101</v>
      </c>
      <c r="F2737" t="s">
        <v>108</v>
      </c>
      <c r="H2737" t="s">
        <v>18102</v>
      </c>
      <c r="I2737" t="s">
        <v>144</v>
      </c>
      <c r="J2737" t="s">
        <v>111</v>
      </c>
      <c r="K2737" t="str">
        <f>"85396"</f>
        <v>85396</v>
      </c>
      <c r="L2737" t="s">
        <v>1789</v>
      </c>
      <c r="M2737" t="s">
        <v>18102</v>
      </c>
      <c r="N2737" t="s">
        <v>144</v>
      </c>
      <c r="O2737" t="s">
        <v>111</v>
      </c>
      <c r="P2737" t="str">
        <f>"85396-3518"</f>
        <v>85396-3518</v>
      </c>
      <c r="Q2737" t="s">
        <v>113</v>
      </c>
      <c r="R2737" t="str">
        <f>"502-77-208"</f>
        <v>502-77-208</v>
      </c>
      <c r="S2737" t="s">
        <v>17890</v>
      </c>
      <c r="U2737">
        <v>4423</v>
      </c>
      <c r="V2737">
        <v>0</v>
      </c>
      <c r="W2737">
        <v>5</v>
      </c>
      <c r="X2737">
        <v>2006</v>
      </c>
      <c r="Z2737">
        <v>1</v>
      </c>
      <c r="AB2737">
        <v>0</v>
      </c>
      <c r="AC2737" t="s">
        <v>115</v>
      </c>
      <c r="AD2737">
        <v>2</v>
      </c>
      <c r="AE2737" t="s">
        <v>115</v>
      </c>
      <c r="AF2737">
        <v>0</v>
      </c>
      <c r="AG2737">
        <v>0</v>
      </c>
      <c r="AH2737" t="s">
        <v>116</v>
      </c>
      <c r="AI2737" s="1">
        <v>137243</v>
      </c>
      <c r="AJ2737" s="2">
        <v>0.25</v>
      </c>
      <c r="AK2737" s="1">
        <v>554243</v>
      </c>
      <c r="AL2737" t="s">
        <v>117</v>
      </c>
      <c r="AM2737" t="s">
        <v>118</v>
      </c>
      <c r="AN2737">
        <v>9100</v>
      </c>
      <c r="AO2737">
        <v>0.21</v>
      </c>
      <c r="AR2737">
        <v>1</v>
      </c>
      <c r="AS2737" s="1">
        <v>37020</v>
      </c>
      <c r="AT2737" s="1">
        <v>7400</v>
      </c>
      <c r="AU2737" s="1">
        <v>29620</v>
      </c>
      <c r="AV2737">
        <v>80.010000000000005</v>
      </c>
      <c r="AX2737" s="1">
        <v>4736.24</v>
      </c>
      <c r="AY2737" t="s">
        <v>543</v>
      </c>
      <c r="AZ2737" t="s">
        <v>504</v>
      </c>
      <c r="BA2737" t="s">
        <v>218</v>
      </c>
      <c r="BE2737" s="3">
        <v>42067</v>
      </c>
      <c r="BF2737" s="1">
        <v>430000</v>
      </c>
      <c r="BG2737" t="s">
        <v>18103</v>
      </c>
      <c r="BH2737" s="1">
        <v>97.22</v>
      </c>
      <c r="BI2737" s="1">
        <v>417000</v>
      </c>
      <c r="BJ2737" s="3">
        <v>42506</v>
      </c>
      <c r="BK2737" t="s">
        <v>123</v>
      </c>
      <c r="BL2737" t="str">
        <f>"2016.331596"</f>
        <v>2016.331596</v>
      </c>
      <c r="BM2737" t="s">
        <v>18104</v>
      </c>
      <c r="BO2737" t="s">
        <v>18105</v>
      </c>
      <c r="BS2737">
        <v>30</v>
      </c>
      <c r="BW2737" t="str">
        <f>""</f>
        <v/>
      </c>
      <c r="CH2737" t="str">
        <f>""</f>
        <v/>
      </c>
      <c r="CS2737" t="str">
        <f>""</f>
        <v/>
      </c>
    </row>
    <row r="2738" spans="1:97" x14ac:dyDescent="0.25">
      <c r="A2738" t="s">
        <v>894</v>
      </c>
      <c r="B2738" t="s">
        <v>18106</v>
      </c>
      <c r="C2738" t="s">
        <v>691</v>
      </c>
      <c r="D2738" t="s">
        <v>18106</v>
      </c>
      <c r="E2738" t="s">
        <v>18107</v>
      </c>
      <c r="F2738" t="s">
        <v>108</v>
      </c>
      <c r="H2738" t="s">
        <v>18108</v>
      </c>
      <c r="I2738" t="s">
        <v>6646</v>
      </c>
      <c r="J2738" t="s">
        <v>111</v>
      </c>
      <c r="K2738" t="str">
        <f>"85086"</f>
        <v>85086</v>
      </c>
      <c r="L2738" t="s">
        <v>2015</v>
      </c>
      <c r="M2738" t="s">
        <v>18108</v>
      </c>
      <c r="N2738" t="s">
        <v>6646</v>
      </c>
      <c r="O2738" t="s">
        <v>111</v>
      </c>
      <c r="P2738" t="str">
        <f>"85086-6007"</f>
        <v>85086-6007</v>
      </c>
      <c r="Q2738" t="s">
        <v>113</v>
      </c>
      <c r="R2738" t="str">
        <f>"203-05-648"</f>
        <v>203-05-648</v>
      </c>
      <c r="S2738" t="s">
        <v>18109</v>
      </c>
      <c r="U2738">
        <v>2350</v>
      </c>
      <c r="V2738">
        <v>0</v>
      </c>
      <c r="W2738">
        <v>4</v>
      </c>
      <c r="X2738">
        <v>2000</v>
      </c>
      <c r="Z2738">
        <v>2</v>
      </c>
      <c r="AA2738" t="s">
        <v>26</v>
      </c>
      <c r="AB2738">
        <v>0</v>
      </c>
      <c r="AC2738" t="s">
        <v>115</v>
      </c>
      <c r="AD2738">
        <v>3</v>
      </c>
      <c r="AE2738" t="s">
        <v>115</v>
      </c>
      <c r="AF2738">
        <v>0</v>
      </c>
      <c r="AG2738">
        <v>0</v>
      </c>
      <c r="AH2738" t="s">
        <v>116</v>
      </c>
      <c r="AI2738" s="1">
        <v>58991</v>
      </c>
      <c r="AJ2738" s="2">
        <v>0.16</v>
      </c>
      <c r="AK2738" s="1">
        <v>376772</v>
      </c>
      <c r="AL2738" t="s">
        <v>117</v>
      </c>
      <c r="AM2738" t="s">
        <v>393</v>
      </c>
      <c r="AN2738">
        <v>11018</v>
      </c>
      <c r="AO2738">
        <v>0.25</v>
      </c>
      <c r="AP2738">
        <v>1</v>
      </c>
      <c r="AR2738">
        <v>1</v>
      </c>
      <c r="AS2738" s="1">
        <v>27410</v>
      </c>
      <c r="AT2738" s="1">
        <v>5480</v>
      </c>
      <c r="AU2738" s="1">
        <v>21930</v>
      </c>
      <c r="AV2738">
        <v>80.010000000000005</v>
      </c>
      <c r="AX2738" s="1">
        <v>3023.44</v>
      </c>
      <c r="AY2738" t="s">
        <v>6648</v>
      </c>
      <c r="AZ2738" t="s">
        <v>6648</v>
      </c>
      <c r="BA2738" t="s">
        <v>378</v>
      </c>
      <c r="BE2738" s="3">
        <v>41823</v>
      </c>
      <c r="BF2738" s="1">
        <v>307000</v>
      </c>
      <c r="BG2738" t="s">
        <v>18110</v>
      </c>
      <c r="BH2738" s="1">
        <v>130.63999999999999</v>
      </c>
      <c r="BI2738" s="1">
        <v>317781</v>
      </c>
      <c r="BJ2738" s="3">
        <v>43159</v>
      </c>
      <c r="BK2738" t="s">
        <v>123</v>
      </c>
      <c r="BL2738" t="str">
        <f>"2018.148965"</f>
        <v>2018.148965</v>
      </c>
      <c r="BM2738" t="s">
        <v>673</v>
      </c>
      <c r="BN2738" t="s">
        <v>674</v>
      </c>
      <c r="BO2738" t="s">
        <v>18111</v>
      </c>
      <c r="BP2738" t="s">
        <v>18112</v>
      </c>
      <c r="BR2738" t="s">
        <v>346</v>
      </c>
      <c r="BW2738" t="str">
        <f>""</f>
        <v/>
      </c>
      <c r="CH2738" t="str">
        <f>""</f>
        <v/>
      </c>
      <c r="CS2738" t="str">
        <f>""</f>
        <v/>
      </c>
    </row>
    <row r="2739" spans="1:97" x14ac:dyDescent="0.25">
      <c r="B2739" t="s">
        <v>18113</v>
      </c>
      <c r="C2739" t="s">
        <v>970</v>
      </c>
      <c r="E2739" t="s">
        <v>18114</v>
      </c>
      <c r="F2739" t="s">
        <v>108</v>
      </c>
      <c r="H2739" t="s">
        <v>18115</v>
      </c>
      <c r="I2739" t="s">
        <v>390</v>
      </c>
      <c r="J2739" t="s">
        <v>111</v>
      </c>
      <c r="K2739" t="str">
        <f>"85044"</f>
        <v>85044</v>
      </c>
      <c r="L2739" t="s">
        <v>5138</v>
      </c>
      <c r="M2739" t="s">
        <v>18115</v>
      </c>
      <c r="N2739" t="s">
        <v>390</v>
      </c>
      <c r="O2739" t="s">
        <v>111</v>
      </c>
      <c r="P2739" t="str">
        <f>"85044-5650"</f>
        <v>85044-5650</v>
      </c>
      <c r="Q2739" t="s">
        <v>113</v>
      </c>
      <c r="R2739" t="str">
        <f>"301-41-658"</f>
        <v>301-41-658</v>
      </c>
      <c r="S2739" t="s">
        <v>11999</v>
      </c>
      <c r="U2739">
        <v>2503</v>
      </c>
      <c r="V2739">
        <v>0</v>
      </c>
      <c r="W2739">
        <v>4</v>
      </c>
      <c r="X2739">
        <v>1991</v>
      </c>
      <c r="Z2739">
        <v>2</v>
      </c>
      <c r="AA2739" t="s">
        <v>26</v>
      </c>
      <c r="AB2739">
        <v>0</v>
      </c>
      <c r="AC2739" t="s">
        <v>115</v>
      </c>
      <c r="AD2739">
        <v>2</v>
      </c>
      <c r="AE2739" t="s">
        <v>115</v>
      </c>
      <c r="AF2739">
        <v>0</v>
      </c>
      <c r="AG2739">
        <v>0</v>
      </c>
      <c r="AH2739" t="s">
        <v>116</v>
      </c>
      <c r="AI2739" s="1">
        <v>43797</v>
      </c>
      <c r="AJ2739" s="2">
        <v>0.11</v>
      </c>
      <c r="AK2739" s="1">
        <v>410512</v>
      </c>
      <c r="AL2739" t="s">
        <v>117</v>
      </c>
      <c r="AM2739" t="s">
        <v>191</v>
      </c>
      <c r="AN2739">
        <v>5153</v>
      </c>
      <c r="AO2739">
        <v>0.12</v>
      </c>
      <c r="AP2739">
        <v>1</v>
      </c>
      <c r="AR2739">
        <v>1</v>
      </c>
      <c r="AS2739" s="1">
        <v>28220</v>
      </c>
      <c r="AT2739" s="1">
        <v>5640</v>
      </c>
      <c r="AU2739" s="1">
        <v>22580</v>
      </c>
      <c r="AV2739">
        <v>80.010000000000005</v>
      </c>
      <c r="AX2739" s="1">
        <v>3003.18</v>
      </c>
      <c r="AY2739" t="s">
        <v>11872</v>
      </c>
      <c r="AZ2739" t="s">
        <v>7255</v>
      </c>
      <c r="BA2739" t="s">
        <v>5328</v>
      </c>
      <c r="BB2739" s="3">
        <v>43670</v>
      </c>
      <c r="BC2739" s="1">
        <v>0</v>
      </c>
      <c r="BD2739" t="s">
        <v>247</v>
      </c>
      <c r="BE2739" s="3">
        <v>42451</v>
      </c>
      <c r="BF2739" s="1">
        <v>355000</v>
      </c>
      <c r="BG2739" t="s">
        <v>18116</v>
      </c>
      <c r="BH2739" s="1">
        <v>141.83000000000001</v>
      </c>
      <c r="BI2739" s="1">
        <v>366715</v>
      </c>
      <c r="BJ2739" s="3">
        <v>42451</v>
      </c>
      <c r="BK2739" t="s">
        <v>123</v>
      </c>
      <c r="BL2739" t="str">
        <f>"2016.184746"</f>
        <v>2016.184746</v>
      </c>
      <c r="BM2739" t="s">
        <v>380</v>
      </c>
      <c r="BN2739" t="s">
        <v>381</v>
      </c>
      <c r="BO2739" t="s">
        <v>18117</v>
      </c>
      <c r="BS2739">
        <v>30</v>
      </c>
      <c r="BW2739" t="str">
        <f>""</f>
        <v/>
      </c>
      <c r="CH2739" t="str">
        <f>""</f>
        <v/>
      </c>
      <c r="CS2739" t="str">
        <f>""</f>
        <v/>
      </c>
    </row>
    <row r="2740" spans="1:97" x14ac:dyDescent="0.25">
      <c r="A2740" t="s">
        <v>1850</v>
      </c>
      <c r="B2740" t="s">
        <v>8750</v>
      </c>
      <c r="C2740" t="s">
        <v>5740</v>
      </c>
      <c r="D2740" t="s">
        <v>8750</v>
      </c>
      <c r="E2740" t="s">
        <v>18118</v>
      </c>
      <c r="F2740" t="s">
        <v>108</v>
      </c>
      <c r="H2740" t="s">
        <v>18119</v>
      </c>
      <c r="I2740" t="s">
        <v>390</v>
      </c>
      <c r="J2740" t="s">
        <v>111</v>
      </c>
      <c r="K2740" t="str">
        <f>"85054"</f>
        <v>85054</v>
      </c>
      <c r="L2740" t="s">
        <v>14621</v>
      </c>
      <c r="M2740" t="s">
        <v>18119</v>
      </c>
      <c r="N2740" t="s">
        <v>390</v>
      </c>
      <c r="O2740" t="s">
        <v>111</v>
      </c>
      <c r="P2740" t="str">
        <f>"85054-7110"</f>
        <v>85054-7110</v>
      </c>
      <c r="Q2740" t="s">
        <v>113</v>
      </c>
      <c r="R2740" t="str">
        <f>"212-37-139"</f>
        <v>212-37-139</v>
      </c>
      <c r="S2740" t="s">
        <v>18120</v>
      </c>
      <c r="U2740">
        <v>1733</v>
      </c>
      <c r="V2740">
        <v>0</v>
      </c>
      <c r="W2740">
        <v>4</v>
      </c>
      <c r="X2740">
        <v>1998</v>
      </c>
      <c r="Z2740">
        <v>1</v>
      </c>
      <c r="AB2740">
        <v>0</v>
      </c>
      <c r="AC2740" t="s">
        <v>115</v>
      </c>
      <c r="AD2740">
        <v>2</v>
      </c>
      <c r="AE2740" t="s">
        <v>115</v>
      </c>
      <c r="AF2740">
        <v>0</v>
      </c>
      <c r="AG2740">
        <v>0</v>
      </c>
      <c r="AH2740" t="s">
        <v>116</v>
      </c>
      <c r="AI2740" s="1">
        <v>63140</v>
      </c>
      <c r="AJ2740" s="2">
        <v>0.14000000000000001</v>
      </c>
      <c r="AK2740" s="1">
        <v>435794</v>
      </c>
      <c r="AL2740" t="s">
        <v>117</v>
      </c>
      <c r="AM2740" t="s">
        <v>191</v>
      </c>
      <c r="AN2740">
        <v>8535</v>
      </c>
      <c r="AO2740">
        <v>0.2</v>
      </c>
      <c r="AP2740">
        <v>1</v>
      </c>
      <c r="AR2740">
        <v>1</v>
      </c>
      <c r="AS2740" s="1">
        <v>31510</v>
      </c>
      <c r="AT2740" s="1">
        <v>6300</v>
      </c>
      <c r="AU2740" s="1">
        <v>25210</v>
      </c>
      <c r="AV2740">
        <v>80.010000000000005</v>
      </c>
      <c r="AX2740" s="1">
        <v>3161.54</v>
      </c>
      <c r="AY2740" t="s">
        <v>6351</v>
      </c>
      <c r="AZ2740" t="s">
        <v>6352</v>
      </c>
      <c r="BA2740" t="s">
        <v>762</v>
      </c>
      <c r="BE2740" s="3">
        <v>42384</v>
      </c>
      <c r="BF2740" s="1">
        <v>360750</v>
      </c>
      <c r="BG2740" t="s">
        <v>18121</v>
      </c>
      <c r="BH2740" s="1">
        <v>208.17</v>
      </c>
      <c r="BI2740" s="1">
        <v>372654</v>
      </c>
      <c r="BJ2740" s="3">
        <v>42384</v>
      </c>
      <c r="BK2740" t="s">
        <v>123</v>
      </c>
      <c r="BL2740" t="str">
        <f>"2016.29762"</f>
        <v>2016.29762</v>
      </c>
      <c r="BM2740" t="s">
        <v>724</v>
      </c>
      <c r="BO2740" t="s">
        <v>18122</v>
      </c>
      <c r="BS2740">
        <v>30</v>
      </c>
      <c r="BW2740" t="str">
        <f>""</f>
        <v/>
      </c>
      <c r="CH2740" t="str">
        <f>""</f>
        <v/>
      </c>
      <c r="CS2740" t="str">
        <f>""</f>
        <v/>
      </c>
    </row>
    <row r="2741" spans="1:97" x14ac:dyDescent="0.25">
      <c r="A2741" t="s">
        <v>404</v>
      </c>
      <c r="B2741" t="s">
        <v>1577</v>
      </c>
      <c r="C2741" t="s">
        <v>154</v>
      </c>
      <c r="D2741" t="s">
        <v>1577</v>
      </c>
      <c r="E2741" t="s">
        <v>18123</v>
      </c>
      <c r="F2741" t="s">
        <v>108</v>
      </c>
      <c r="H2741" t="s">
        <v>18124</v>
      </c>
      <c r="I2741" t="s">
        <v>203</v>
      </c>
      <c r="J2741" t="s">
        <v>111</v>
      </c>
      <c r="K2741" t="str">
        <f>"85296"</f>
        <v>85296</v>
      </c>
      <c r="L2741" t="s">
        <v>2820</v>
      </c>
      <c r="M2741" t="s">
        <v>18124</v>
      </c>
      <c r="N2741" t="s">
        <v>203</v>
      </c>
      <c r="O2741" t="s">
        <v>111</v>
      </c>
      <c r="P2741" t="str">
        <f>"85296-1899"</f>
        <v>85296-1899</v>
      </c>
      <c r="Q2741" t="s">
        <v>113</v>
      </c>
      <c r="R2741" t="str">
        <f>"304-19-321"</f>
        <v>304-19-321</v>
      </c>
      <c r="S2741" t="s">
        <v>7786</v>
      </c>
      <c r="T2741" t="s">
        <v>7786</v>
      </c>
      <c r="U2741">
        <v>2326</v>
      </c>
      <c r="V2741">
        <v>0</v>
      </c>
      <c r="W2741">
        <v>3</v>
      </c>
      <c r="X2741">
        <v>2010</v>
      </c>
      <c r="Z2741">
        <v>1</v>
      </c>
      <c r="AB2741">
        <v>0</v>
      </c>
      <c r="AC2741" t="s">
        <v>115</v>
      </c>
      <c r="AD2741">
        <v>2</v>
      </c>
      <c r="AE2741" t="s">
        <v>115</v>
      </c>
      <c r="AF2741">
        <v>0</v>
      </c>
      <c r="AG2741">
        <v>0</v>
      </c>
      <c r="AH2741" t="s">
        <v>116</v>
      </c>
      <c r="AI2741" s="1">
        <v>93701</v>
      </c>
      <c r="AJ2741" s="2">
        <v>0.22</v>
      </c>
      <c r="AK2741" s="1">
        <v>423201</v>
      </c>
      <c r="AL2741" t="s">
        <v>117</v>
      </c>
      <c r="AM2741" t="s">
        <v>393</v>
      </c>
      <c r="AN2741">
        <v>7800</v>
      </c>
      <c r="AO2741">
        <v>0.18</v>
      </c>
      <c r="AR2741">
        <v>1</v>
      </c>
      <c r="AS2741" s="1">
        <v>29920</v>
      </c>
      <c r="AT2741" s="1">
        <v>5980</v>
      </c>
      <c r="AU2741" s="1">
        <v>23940</v>
      </c>
      <c r="AV2741">
        <v>80.010000000000005</v>
      </c>
      <c r="AX2741" s="1">
        <v>2496</v>
      </c>
      <c r="AY2741" t="s">
        <v>519</v>
      </c>
      <c r="AZ2741" t="s">
        <v>520</v>
      </c>
      <c r="BA2741" t="s">
        <v>521</v>
      </c>
      <c r="BE2741" s="3">
        <v>42030</v>
      </c>
      <c r="BF2741" s="1">
        <v>329500</v>
      </c>
      <c r="BG2741" t="s">
        <v>18125</v>
      </c>
      <c r="BH2741" s="1">
        <v>141.66</v>
      </c>
      <c r="BI2741" s="1">
        <v>329500</v>
      </c>
      <c r="BJ2741" s="3">
        <v>42030</v>
      </c>
      <c r="BK2741" t="s">
        <v>123</v>
      </c>
      <c r="BL2741" t="str">
        <f>"2015.48139"</f>
        <v>2015.48139</v>
      </c>
      <c r="BM2741" t="s">
        <v>135</v>
      </c>
      <c r="BO2741" t="s">
        <v>18126</v>
      </c>
      <c r="BS2741">
        <v>30</v>
      </c>
      <c r="BW2741" t="str">
        <f>""</f>
        <v/>
      </c>
      <c r="CH2741" t="str">
        <f>""</f>
        <v/>
      </c>
      <c r="CS2741" t="str">
        <f>""</f>
        <v/>
      </c>
    </row>
    <row r="2742" spans="1:97" x14ac:dyDescent="0.25">
      <c r="A2742" t="s">
        <v>610</v>
      </c>
      <c r="B2742" t="s">
        <v>295</v>
      </c>
      <c r="E2742" t="s">
        <v>18127</v>
      </c>
      <c r="F2742" t="s">
        <v>108</v>
      </c>
      <c r="H2742" t="s">
        <v>18128</v>
      </c>
      <c r="I2742" t="s">
        <v>632</v>
      </c>
      <c r="J2742" t="s">
        <v>111</v>
      </c>
      <c r="K2742" t="str">
        <f>"85379"</f>
        <v>85379</v>
      </c>
      <c r="L2742" t="s">
        <v>375</v>
      </c>
      <c r="M2742" t="s">
        <v>18128</v>
      </c>
      <c r="N2742" t="s">
        <v>632</v>
      </c>
      <c r="O2742" t="s">
        <v>111</v>
      </c>
      <c r="P2742" t="str">
        <f>"85379-8179"</f>
        <v>85379-8179</v>
      </c>
      <c r="Q2742" t="s">
        <v>113</v>
      </c>
      <c r="R2742" t="str">
        <f>"509-15-811"</f>
        <v>509-15-811</v>
      </c>
      <c r="S2742" t="s">
        <v>10480</v>
      </c>
      <c r="U2742">
        <v>2990</v>
      </c>
      <c r="V2742">
        <v>0</v>
      </c>
      <c r="W2742">
        <v>4</v>
      </c>
      <c r="X2742">
        <v>2007</v>
      </c>
      <c r="Z2742">
        <v>2</v>
      </c>
      <c r="AB2742">
        <v>0</v>
      </c>
      <c r="AC2742" t="s">
        <v>115</v>
      </c>
      <c r="AD2742">
        <v>3</v>
      </c>
      <c r="AE2742" t="s">
        <v>115</v>
      </c>
      <c r="AF2742">
        <v>0</v>
      </c>
      <c r="AG2742">
        <v>0</v>
      </c>
      <c r="AH2742" t="s">
        <v>116</v>
      </c>
      <c r="AI2742" s="1">
        <v>73712</v>
      </c>
      <c r="AJ2742" s="2">
        <v>0.21</v>
      </c>
      <c r="AK2742" s="1">
        <v>357912</v>
      </c>
      <c r="AL2742" t="s">
        <v>117</v>
      </c>
      <c r="AM2742" t="s">
        <v>118</v>
      </c>
      <c r="AN2742">
        <v>6600</v>
      </c>
      <c r="AO2742">
        <v>0.15</v>
      </c>
      <c r="AR2742">
        <v>1</v>
      </c>
      <c r="AS2742" s="1">
        <v>26200</v>
      </c>
      <c r="AT2742" s="1">
        <v>5240</v>
      </c>
      <c r="AU2742" s="1">
        <v>20960</v>
      </c>
      <c r="AV2742">
        <v>80</v>
      </c>
      <c r="AX2742" s="1">
        <v>2764.96</v>
      </c>
      <c r="AY2742" t="s">
        <v>634</v>
      </c>
      <c r="AZ2742" t="s">
        <v>634</v>
      </c>
      <c r="BA2742" t="s">
        <v>635</v>
      </c>
      <c r="BE2742" s="3">
        <v>42485</v>
      </c>
      <c r="BF2742" s="1">
        <v>300000</v>
      </c>
      <c r="BG2742" t="s">
        <v>18129</v>
      </c>
      <c r="BH2742" s="1">
        <v>100.33</v>
      </c>
      <c r="BI2742" s="1">
        <v>284200</v>
      </c>
      <c r="BJ2742" s="3">
        <v>42485</v>
      </c>
      <c r="BK2742" t="s">
        <v>123</v>
      </c>
      <c r="BL2742" t="str">
        <f>"2016.275721"</f>
        <v>2016.275721</v>
      </c>
      <c r="BM2742" t="s">
        <v>699</v>
      </c>
      <c r="BO2742" t="s">
        <v>18130</v>
      </c>
      <c r="BS2742">
        <v>30</v>
      </c>
      <c r="BW2742" t="str">
        <f>""</f>
        <v/>
      </c>
      <c r="CH2742" t="str">
        <f>""</f>
        <v/>
      </c>
      <c r="CS2742" t="str">
        <f>""</f>
        <v/>
      </c>
    </row>
    <row r="2743" spans="1:97" x14ac:dyDescent="0.25">
      <c r="A2743" t="s">
        <v>257</v>
      </c>
      <c r="B2743" t="s">
        <v>18131</v>
      </c>
      <c r="E2743" t="s">
        <v>18132</v>
      </c>
      <c r="F2743" t="s">
        <v>108</v>
      </c>
      <c r="H2743" t="s">
        <v>18133</v>
      </c>
      <c r="I2743" t="s">
        <v>390</v>
      </c>
      <c r="J2743" t="s">
        <v>111</v>
      </c>
      <c r="K2743" t="str">
        <f>"85028"</f>
        <v>85028</v>
      </c>
      <c r="L2743" t="s">
        <v>10474</v>
      </c>
      <c r="M2743" t="s">
        <v>18133</v>
      </c>
      <c r="N2743" t="s">
        <v>390</v>
      </c>
      <c r="O2743" t="s">
        <v>111</v>
      </c>
      <c r="P2743" t="str">
        <f>"85028-1708"</f>
        <v>85028-1708</v>
      </c>
      <c r="Q2743" t="s">
        <v>113</v>
      </c>
      <c r="R2743" t="str">
        <f>"166-24-239"</f>
        <v>166-24-239</v>
      </c>
      <c r="S2743" t="s">
        <v>18134</v>
      </c>
      <c r="T2743" t="s">
        <v>15265</v>
      </c>
      <c r="U2743">
        <v>1926</v>
      </c>
      <c r="V2743">
        <v>0</v>
      </c>
      <c r="W2743">
        <v>2</v>
      </c>
      <c r="X2743">
        <v>1979</v>
      </c>
      <c r="Z2743">
        <v>1</v>
      </c>
      <c r="AA2743" t="s">
        <v>26</v>
      </c>
      <c r="AB2743">
        <v>0</v>
      </c>
      <c r="AC2743" t="s">
        <v>115</v>
      </c>
      <c r="AD2743">
        <v>2</v>
      </c>
      <c r="AE2743" t="s">
        <v>115</v>
      </c>
      <c r="AF2743">
        <v>0</v>
      </c>
      <c r="AG2743">
        <v>0</v>
      </c>
      <c r="AH2743" t="s">
        <v>116</v>
      </c>
      <c r="AI2743" s="1">
        <v>65608</v>
      </c>
      <c r="AJ2743" s="2">
        <v>0.16</v>
      </c>
      <c r="AK2743" s="1">
        <v>410364</v>
      </c>
      <c r="AL2743" t="s">
        <v>117</v>
      </c>
      <c r="AM2743" t="s">
        <v>1302</v>
      </c>
      <c r="AN2743">
        <v>11845</v>
      </c>
      <c r="AO2743">
        <v>0.27</v>
      </c>
      <c r="AP2743">
        <v>1</v>
      </c>
      <c r="AR2743">
        <v>1</v>
      </c>
      <c r="AS2743" s="1">
        <v>30160</v>
      </c>
      <c r="AT2743" s="1">
        <v>6030</v>
      </c>
      <c r="AU2743" s="1">
        <v>24130</v>
      </c>
      <c r="AV2743">
        <v>80.010000000000005</v>
      </c>
      <c r="AX2743" s="1">
        <v>2598.7199999999998</v>
      </c>
      <c r="AY2743" t="s">
        <v>9580</v>
      </c>
      <c r="AZ2743" t="s">
        <v>5489</v>
      </c>
      <c r="BA2743" t="s">
        <v>5232</v>
      </c>
      <c r="BE2743" s="3">
        <v>42530</v>
      </c>
      <c r="BF2743" s="1">
        <v>337500</v>
      </c>
      <c r="BG2743" t="s">
        <v>18135</v>
      </c>
      <c r="BH2743" s="1">
        <v>175.23</v>
      </c>
      <c r="BI2743" s="1">
        <v>344756</v>
      </c>
      <c r="BJ2743" s="3">
        <v>42530</v>
      </c>
      <c r="BK2743" t="s">
        <v>123</v>
      </c>
      <c r="BL2743" t="str">
        <f>"2016.398530"</f>
        <v>2016.398530</v>
      </c>
      <c r="BM2743" t="s">
        <v>724</v>
      </c>
      <c r="BO2743" t="s">
        <v>18136</v>
      </c>
      <c r="BS2743">
        <v>30</v>
      </c>
      <c r="BW2743" t="str">
        <f>""</f>
        <v/>
      </c>
      <c r="CH2743" t="str">
        <f>""</f>
        <v/>
      </c>
      <c r="CS2743" t="str">
        <f>""</f>
        <v/>
      </c>
    </row>
    <row r="2744" spans="1:97" x14ac:dyDescent="0.25">
      <c r="A2744" t="s">
        <v>2123</v>
      </c>
      <c r="B2744" t="s">
        <v>18137</v>
      </c>
      <c r="E2744" t="s">
        <v>18138</v>
      </c>
      <c r="F2744" t="s">
        <v>108</v>
      </c>
      <c r="H2744" t="s">
        <v>18139</v>
      </c>
      <c r="I2744" t="s">
        <v>203</v>
      </c>
      <c r="J2744" t="s">
        <v>111</v>
      </c>
      <c r="K2744" t="str">
        <f>"85298"</f>
        <v>85298</v>
      </c>
      <c r="L2744" t="s">
        <v>734</v>
      </c>
      <c r="M2744" t="s">
        <v>18139</v>
      </c>
      <c r="N2744" t="s">
        <v>203</v>
      </c>
      <c r="O2744" t="s">
        <v>111</v>
      </c>
      <c r="P2744" t="str">
        <f>"85298-6808"</f>
        <v>85298-6808</v>
      </c>
      <c r="Q2744" t="s">
        <v>113</v>
      </c>
      <c r="R2744" t="str">
        <f>"304-72-226"</f>
        <v>304-72-226</v>
      </c>
      <c r="S2744" t="s">
        <v>9237</v>
      </c>
      <c r="T2744" t="s">
        <v>9237</v>
      </c>
      <c r="U2744">
        <v>2096</v>
      </c>
      <c r="V2744">
        <v>0</v>
      </c>
      <c r="W2744">
        <v>3</v>
      </c>
      <c r="X2744">
        <v>2005</v>
      </c>
      <c r="Z2744">
        <v>1</v>
      </c>
      <c r="AB2744">
        <v>0</v>
      </c>
      <c r="AC2744" t="s">
        <v>115</v>
      </c>
      <c r="AD2744">
        <v>2</v>
      </c>
      <c r="AE2744" t="s">
        <v>115</v>
      </c>
      <c r="AF2744">
        <v>0</v>
      </c>
      <c r="AG2744">
        <v>0</v>
      </c>
      <c r="AH2744" t="s">
        <v>116</v>
      </c>
      <c r="AI2744" s="1">
        <v>80916</v>
      </c>
      <c r="AJ2744" s="2">
        <v>0.22</v>
      </c>
      <c r="AK2744" s="1">
        <v>365816</v>
      </c>
      <c r="AL2744" t="s">
        <v>117</v>
      </c>
      <c r="AM2744" t="s">
        <v>393</v>
      </c>
      <c r="AN2744">
        <v>8095</v>
      </c>
      <c r="AO2744">
        <v>0.19</v>
      </c>
      <c r="AR2744">
        <v>1</v>
      </c>
      <c r="AS2744" s="1">
        <v>25020</v>
      </c>
      <c r="AT2744" s="1">
        <v>5000</v>
      </c>
      <c r="AU2744" s="1">
        <v>20020</v>
      </c>
      <c r="AV2744">
        <v>80.02</v>
      </c>
      <c r="AX2744" s="1">
        <v>2024.18</v>
      </c>
      <c r="AY2744" t="s">
        <v>302</v>
      </c>
      <c r="AZ2744" t="s">
        <v>273</v>
      </c>
      <c r="BA2744" t="s">
        <v>303</v>
      </c>
      <c r="BE2744" s="3">
        <v>42171</v>
      </c>
      <c r="BF2744" s="1">
        <v>284900</v>
      </c>
      <c r="BG2744" t="s">
        <v>18140</v>
      </c>
      <c r="BH2744" s="1">
        <v>135.93</v>
      </c>
      <c r="BI2744" s="1">
        <v>284900</v>
      </c>
      <c r="BJ2744" s="3">
        <v>42171</v>
      </c>
      <c r="BK2744" t="s">
        <v>123</v>
      </c>
      <c r="BL2744" t="str">
        <f>"2015.429956"</f>
        <v>2015.429956</v>
      </c>
      <c r="BM2744" t="s">
        <v>3611</v>
      </c>
      <c r="BO2744" t="s">
        <v>18141</v>
      </c>
      <c r="BS2744">
        <v>30</v>
      </c>
      <c r="BW2744" t="str">
        <f>""</f>
        <v/>
      </c>
      <c r="CH2744" t="str">
        <f>""</f>
        <v/>
      </c>
      <c r="CS2744" t="str">
        <f>""</f>
        <v/>
      </c>
    </row>
    <row r="2745" spans="1:97" x14ac:dyDescent="0.25">
      <c r="A2745" t="s">
        <v>177</v>
      </c>
      <c r="B2745" t="s">
        <v>18142</v>
      </c>
      <c r="E2745" t="s">
        <v>18143</v>
      </c>
      <c r="F2745" t="s">
        <v>108</v>
      </c>
      <c r="H2745" t="s">
        <v>18144</v>
      </c>
      <c r="I2745" t="s">
        <v>5523</v>
      </c>
      <c r="J2745" t="s">
        <v>111</v>
      </c>
      <c r="K2745" t="str">
        <f>"85373"</f>
        <v>85373</v>
      </c>
      <c r="L2745" t="s">
        <v>2197</v>
      </c>
      <c r="M2745" t="s">
        <v>18144</v>
      </c>
      <c r="N2745" t="s">
        <v>5523</v>
      </c>
      <c r="O2745" t="s">
        <v>111</v>
      </c>
      <c r="P2745" t="str">
        <f>"85373-5433"</f>
        <v>85373-5433</v>
      </c>
      <c r="Q2745" t="s">
        <v>113</v>
      </c>
      <c r="R2745" t="str">
        <f>"503-88-950"</f>
        <v>503-88-950</v>
      </c>
      <c r="S2745" t="s">
        <v>18145</v>
      </c>
      <c r="T2745" t="s">
        <v>6818</v>
      </c>
      <c r="U2745">
        <v>2734</v>
      </c>
      <c r="V2745">
        <v>0</v>
      </c>
      <c r="W2745">
        <v>4</v>
      </c>
      <c r="X2745">
        <v>2006</v>
      </c>
      <c r="Z2745">
        <v>2</v>
      </c>
      <c r="AA2745" t="s">
        <v>26</v>
      </c>
      <c r="AB2745">
        <v>0</v>
      </c>
      <c r="AC2745" t="s">
        <v>115</v>
      </c>
      <c r="AD2745">
        <v>2</v>
      </c>
      <c r="AE2745" t="s">
        <v>115</v>
      </c>
      <c r="AF2745">
        <v>0</v>
      </c>
      <c r="AG2745">
        <v>0</v>
      </c>
      <c r="AH2745" t="s">
        <v>116</v>
      </c>
      <c r="AI2745" s="1">
        <v>58593</v>
      </c>
      <c r="AJ2745" s="2">
        <v>0.18</v>
      </c>
      <c r="AK2745" s="1">
        <v>318909</v>
      </c>
      <c r="AL2745" t="s">
        <v>117</v>
      </c>
      <c r="AM2745" t="s">
        <v>191</v>
      </c>
      <c r="AN2745">
        <v>5750</v>
      </c>
      <c r="AO2745">
        <v>0.13</v>
      </c>
      <c r="AR2745">
        <v>1</v>
      </c>
      <c r="AS2745" s="1">
        <v>23570</v>
      </c>
      <c r="AT2745" s="1">
        <v>4710</v>
      </c>
      <c r="AU2745" s="1">
        <v>18860</v>
      </c>
      <c r="AV2745">
        <v>80.02</v>
      </c>
      <c r="AX2745" s="1">
        <v>2475.92</v>
      </c>
      <c r="AY2745" t="s">
        <v>3228</v>
      </c>
      <c r="AZ2745" t="s">
        <v>3228</v>
      </c>
      <c r="BA2745" t="s">
        <v>457</v>
      </c>
      <c r="BE2745" s="3">
        <v>42502</v>
      </c>
      <c r="BF2745" s="1">
        <v>252000</v>
      </c>
      <c r="BG2745" t="s">
        <v>18146</v>
      </c>
      <c r="BH2745" s="1">
        <v>92.17</v>
      </c>
      <c r="BI2745" s="1">
        <v>260316</v>
      </c>
      <c r="BJ2745" s="3">
        <v>42502</v>
      </c>
      <c r="BK2745" t="s">
        <v>123</v>
      </c>
      <c r="BL2745" t="str">
        <f>"2016.326589"</f>
        <v>2016.326589</v>
      </c>
      <c r="BM2745" t="s">
        <v>544</v>
      </c>
      <c r="BO2745" t="s">
        <v>18147</v>
      </c>
      <c r="BS2745">
        <v>30</v>
      </c>
      <c r="BW2745" t="str">
        <f>""</f>
        <v/>
      </c>
      <c r="CH2745" t="str">
        <f>""</f>
        <v/>
      </c>
      <c r="CS2745" t="str">
        <f>""</f>
        <v/>
      </c>
    </row>
    <row r="2746" spans="1:97" x14ac:dyDescent="0.25">
      <c r="A2746" t="s">
        <v>1465</v>
      </c>
      <c r="B2746" t="s">
        <v>13953</v>
      </c>
      <c r="C2746" t="s">
        <v>2930</v>
      </c>
      <c r="D2746" t="s">
        <v>13953</v>
      </c>
      <c r="E2746" t="s">
        <v>18148</v>
      </c>
      <c r="F2746" t="s">
        <v>108</v>
      </c>
      <c r="H2746" t="s">
        <v>18149</v>
      </c>
      <c r="I2746" t="s">
        <v>5114</v>
      </c>
      <c r="J2746" t="s">
        <v>111</v>
      </c>
      <c r="K2746" t="str">
        <f>"85392"</f>
        <v>85392</v>
      </c>
      <c r="L2746" t="s">
        <v>625</v>
      </c>
      <c r="M2746" t="s">
        <v>18149</v>
      </c>
      <c r="N2746" t="s">
        <v>5114</v>
      </c>
      <c r="O2746" t="s">
        <v>111</v>
      </c>
      <c r="P2746" t="str">
        <f>"85392-3555"</f>
        <v>85392-3555</v>
      </c>
      <c r="Q2746" t="s">
        <v>113</v>
      </c>
      <c r="R2746" t="str">
        <f>"508-02-550"</f>
        <v>508-02-550</v>
      </c>
      <c r="S2746" t="s">
        <v>13093</v>
      </c>
      <c r="T2746" t="s">
        <v>13093</v>
      </c>
      <c r="U2746">
        <v>2672</v>
      </c>
      <c r="V2746">
        <v>0</v>
      </c>
      <c r="W2746">
        <v>4</v>
      </c>
      <c r="X2746">
        <v>2005</v>
      </c>
      <c r="Z2746">
        <v>2</v>
      </c>
      <c r="AA2746" t="s">
        <v>26</v>
      </c>
      <c r="AB2746">
        <v>0</v>
      </c>
      <c r="AC2746" t="s">
        <v>115</v>
      </c>
      <c r="AD2746">
        <v>2</v>
      </c>
      <c r="AE2746" t="s">
        <v>115</v>
      </c>
      <c r="AF2746">
        <v>0</v>
      </c>
      <c r="AG2746">
        <v>0</v>
      </c>
      <c r="AH2746" t="s">
        <v>116</v>
      </c>
      <c r="AI2746" s="1">
        <v>349455</v>
      </c>
      <c r="AJ2746" s="2">
        <v>1</v>
      </c>
      <c r="AK2746" s="1">
        <v>349455</v>
      </c>
      <c r="AL2746" t="s">
        <v>117</v>
      </c>
      <c r="AM2746" t="s">
        <v>118</v>
      </c>
      <c r="AN2746">
        <v>7506</v>
      </c>
      <c r="AO2746">
        <v>0.17</v>
      </c>
      <c r="AR2746">
        <v>1</v>
      </c>
      <c r="AS2746" s="1">
        <v>25220</v>
      </c>
      <c r="AT2746" s="1">
        <v>5040</v>
      </c>
      <c r="AU2746" s="1">
        <v>20180</v>
      </c>
      <c r="AV2746">
        <v>80.02</v>
      </c>
      <c r="AX2746" s="1">
        <v>2353.16</v>
      </c>
      <c r="AY2746" t="s">
        <v>11553</v>
      </c>
      <c r="AZ2746" t="s">
        <v>11553</v>
      </c>
      <c r="BA2746" t="s">
        <v>3154</v>
      </c>
      <c r="BE2746" s="3">
        <v>41656</v>
      </c>
      <c r="BF2746" s="1">
        <v>244900</v>
      </c>
      <c r="BG2746" t="s">
        <v>18150</v>
      </c>
      <c r="BH2746" s="1">
        <v>91.65</v>
      </c>
      <c r="BI2746" s="1">
        <v>315000</v>
      </c>
      <c r="BJ2746" s="3">
        <v>43544</v>
      </c>
      <c r="BK2746" t="s">
        <v>123</v>
      </c>
      <c r="BL2746" t="str">
        <f>"2019.191188"</f>
        <v>2019.191188</v>
      </c>
      <c r="BM2746" t="s">
        <v>4041</v>
      </c>
      <c r="BN2746" t="s">
        <v>4042</v>
      </c>
      <c r="BO2746" t="s">
        <v>18151</v>
      </c>
      <c r="BP2746" t="s">
        <v>18152</v>
      </c>
      <c r="BR2746" t="s">
        <v>139</v>
      </c>
      <c r="BW2746" t="str">
        <f>""</f>
        <v/>
      </c>
      <c r="CH2746" t="str">
        <f>""</f>
        <v/>
      </c>
      <c r="CS2746" t="str">
        <f>""</f>
        <v/>
      </c>
    </row>
    <row r="2747" spans="1:97" x14ac:dyDescent="0.25">
      <c r="A2747" t="s">
        <v>3212</v>
      </c>
      <c r="B2747" t="s">
        <v>18153</v>
      </c>
      <c r="C2747" t="s">
        <v>2761</v>
      </c>
      <c r="D2747" t="s">
        <v>18153</v>
      </c>
      <c r="E2747" t="s">
        <v>18154</v>
      </c>
      <c r="F2747" t="s">
        <v>108</v>
      </c>
      <c r="H2747" t="s">
        <v>18155</v>
      </c>
      <c r="I2747" t="s">
        <v>1788</v>
      </c>
      <c r="J2747" t="s">
        <v>111</v>
      </c>
      <c r="K2747" t="str">
        <f>"85355"</f>
        <v>85355</v>
      </c>
      <c r="L2747" t="s">
        <v>168</v>
      </c>
      <c r="M2747" t="s">
        <v>18155</v>
      </c>
      <c r="N2747" t="s">
        <v>1788</v>
      </c>
      <c r="O2747" t="s">
        <v>111</v>
      </c>
      <c r="P2747" t="str">
        <f>"85355-4357"</f>
        <v>85355-4357</v>
      </c>
      <c r="Q2747" t="s">
        <v>113</v>
      </c>
      <c r="R2747" t="str">
        <f>"502-91-813"</f>
        <v>502-91-813</v>
      </c>
      <c r="S2747" t="s">
        <v>8290</v>
      </c>
      <c r="T2747" t="s">
        <v>8290</v>
      </c>
      <c r="U2747">
        <v>3813</v>
      </c>
      <c r="V2747">
        <v>0</v>
      </c>
      <c r="W2747">
        <v>4</v>
      </c>
      <c r="X2747">
        <v>2006</v>
      </c>
      <c r="Z2747">
        <v>2</v>
      </c>
      <c r="AA2747" t="s">
        <v>26</v>
      </c>
      <c r="AB2747">
        <v>0</v>
      </c>
      <c r="AC2747" t="s">
        <v>115</v>
      </c>
      <c r="AD2747">
        <v>4</v>
      </c>
      <c r="AE2747" t="s">
        <v>115</v>
      </c>
      <c r="AF2747">
        <v>0</v>
      </c>
      <c r="AG2747">
        <v>0</v>
      </c>
      <c r="AH2747" t="s">
        <v>116</v>
      </c>
      <c r="AI2747" s="1">
        <v>127390</v>
      </c>
      <c r="AJ2747" s="2">
        <v>0.24</v>
      </c>
      <c r="AK2747" s="1">
        <v>529490</v>
      </c>
      <c r="AL2747" t="s">
        <v>117</v>
      </c>
      <c r="AM2747" t="s">
        <v>376</v>
      </c>
      <c r="AN2747">
        <v>43568</v>
      </c>
      <c r="AO2747">
        <v>1</v>
      </c>
      <c r="AR2747">
        <v>1</v>
      </c>
      <c r="AS2747" s="1">
        <v>39250</v>
      </c>
      <c r="AT2747" s="1">
        <v>7850</v>
      </c>
      <c r="AU2747" s="1">
        <v>31400</v>
      </c>
      <c r="AV2747">
        <v>80</v>
      </c>
      <c r="AX2747" s="1">
        <v>3317.66</v>
      </c>
      <c r="AY2747" t="s">
        <v>5972</v>
      </c>
      <c r="AZ2747" t="s">
        <v>5972</v>
      </c>
      <c r="BA2747" t="s">
        <v>5061</v>
      </c>
      <c r="BE2747" s="3">
        <v>41774</v>
      </c>
      <c r="BF2747" s="1">
        <v>450000</v>
      </c>
      <c r="BG2747" t="s">
        <v>18156</v>
      </c>
      <c r="BH2747" s="1">
        <v>118.02</v>
      </c>
      <c r="BI2747" s="1">
        <v>372100</v>
      </c>
      <c r="BJ2747" s="3">
        <v>42006</v>
      </c>
      <c r="BK2747" t="s">
        <v>123</v>
      </c>
      <c r="BL2747" t="str">
        <f>"2015.647"</f>
        <v>2015.647</v>
      </c>
      <c r="BM2747" t="s">
        <v>9499</v>
      </c>
      <c r="BN2747" t="s">
        <v>1916</v>
      </c>
      <c r="BO2747" t="s">
        <v>18157</v>
      </c>
      <c r="BS2747">
        <v>30</v>
      </c>
      <c r="BT2747" s="1">
        <v>30000</v>
      </c>
      <c r="BU2747" s="3">
        <v>43508</v>
      </c>
      <c r="BV2747" t="s">
        <v>134</v>
      </c>
      <c r="BW2747" t="str">
        <f>"2019.96228"</f>
        <v>2019.96228</v>
      </c>
      <c r="BX2747" t="s">
        <v>135</v>
      </c>
      <c r="BY2747" t="s">
        <v>136</v>
      </c>
      <c r="BZ2747" t="s">
        <v>18158</v>
      </c>
      <c r="CA2747" t="s">
        <v>18159</v>
      </c>
      <c r="CC2747" t="s">
        <v>2083</v>
      </c>
      <c r="CH2747" t="str">
        <f>""</f>
        <v/>
      </c>
      <c r="CS2747" t="str">
        <f>""</f>
        <v/>
      </c>
    </row>
    <row r="2748" spans="1:97" x14ac:dyDescent="0.25">
      <c r="A2748" t="s">
        <v>4174</v>
      </c>
      <c r="B2748" t="s">
        <v>18160</v>
      </c>
      <c r="C2748" t="s">
        <v>220</v>
      </c>
      <c r="D2748" t="s">
        <v>18160</v>
      </c>
      <c r="E2748" t="s">
        <v>18161</v>
      </c>
      <c r="F2748" t="s">
        <v>108</v>
      </c>
      <c r="H2748" t="s">
        <v>18162</v>
      </c>
      <c r="I2748" t="s">
        <v>110</v>
      </c>
      <c r="J2748" t="s">
        <v>111</v>
      </c>
      <c r="K2748" t="str">
        <f>"85249"</f>
        <v>85249</v>
      </c>
      <c r="L2748" t="s">
        <v>3696</v>
      </c>
      <c r="M2748" t="s">
        <v>18162</v>
      </c>
      <c r="N2748" t="s">
        <v>110</v>
      </c>
      <c r="O2748" t="s">
        <v>111</v>
      </c>
      <c r="P2748" t="str">
        <f>"85249-9141"</f>
        <v>85249-9141</v>
      </c>
      <c r="Q2748" t="s">
        <v>113</v>
      </c>
      <c r="R2748" t="str">
        <f>"304-83-559"</f>
        <v>304-83-559</v>
      </c>
      <c r="S2748" t="s">
        <v>18163</v>
      </c>
      <c r="T2748" t="s">
        <v>18164</v>
      </c>
      <c r="U2748">
        <v>2170</v>
      </c>
      <c r="V2748">
        <v>0</v>
      </c>
      <c r="W2748">
        <v>3</v>
      </c>
      <c r="X2748">
        <v>2002</v>
      </c>
      <c r="Z2748">
        <v>1</v>
      </c>
      <c r="AB2748">
        <v>0</v>
      </c>
      <c r="AC2748" t="s">
        <v>115</v>
      </c>
      <c r="AD2748">
        <v>2</v>
      </c>
      <c r="AE2748" t="s">
        <v>115</v>
      </c>
      <c r="AF2748">
        <v>0</v>
      </c>
      <c r="AG2748">
        <v>0</v>
      </c>
      <c r="AH2748" t="s">
        <v>116</v>
      </c>
      <c r="AI2748" s="1">
        <v>97192</v>
      </c>
      <c r="AJ2748" s="2">
        <v>0.28000000000000003</v>
      </c>
      <c r="AK2748" s="1">
        <v>346091</v>
      </c>
      <c r="AL2748" t="s">
        <v>117</v>
      </c>
      <c r="AM2748" t="s">
        <v>118</v>
      </c>
      <c r="AN2748">
        <v>7093</v>
      </c>
      <c r="AO2748">
        <v>0.16</v>
      </c>
      <c r="AP2748">
        <v>1</v>
      </c>
      <c r="AR2748">
        <v>1</v>
      </c>
      <c r="AS2748" s="1">
        <v>24620</v>
      </c>
      <c r="AT2748" s="1">
        <v>4920</v>
      </c>
      <c r="AU2748" s="1">
        <v>19700</v>
      </c>
      <c r="AV2748">
        <v>80.02</v>
      </c>
      <c r="AX2748" s="1">
        <v>2062.34</v>
      </c>
      <c r="AY2748" t="s">
        <v>6269</v>
      </c>
      <c r="AZ2748" t="s">
        <v>273</v>
      </c>
      <c r="BA2748" t="s">
        <v>274</v>
      </c>
      <c r="BE2748" s="3">
        <v>41976</v>
      </c>
      <c r="BF2748" s="1">
        <v>248899</v>
      </c>
      <c r="BG2748" t="s">
        <v>18165</v>
      </c>
      <c r="BH2748" s="1">
        <v>114.7</v>
      </c>
      <c r="BI2748" s="1">
        <v>248899</v>
      </c>
      <c r="BJ2748" s="3">
        <v>41976</v>
      </c>
      <c r="BK2748" t="s">
        <v>123</v>
      </c>
      <c r="BL2748" t="str">
        <f>"2014.797035"</f>
        <v>2014.797035</v>
      </c>
      <c r="BM2748" t="s">
        <v>2980</v>
      </c>
      <c r="BO2748" t="s">
        <v>18166</v>
      </c>
      <c r="BS2748">
        <v>30</v>
      </c>
      <c r="BW2748" t="str">
        <f>""</f>
        <v/>
      </c>
      <c r="CH2748" t="str">
        <f>""</f>
        <v/>
      </c>
      <c r="CS2748" t="str">
        <f>""</f>
        <v/>
      </c>
    </row>
    <row r="2749" spans="1:97" x14ac:dyDescent="0.25">
      <c r="A2749" t="s">
        <v>639</v>
      </c>
      <c r="B2749" t="s">
        <v>18167</v>
      </c>
      <c r="C2749" t="s">
        <v>986</v>
      </c>
      <c r="D2749" t="s">
        <v>18167</v>
      </c>
      <c r="E2749" t="s">
        <v>18168</v>
      </c>
      <c r="F2749" t="s">
        <v>108</v>
      </c>
      <c r="H2749" t="s">
        <v>18169</v>
      </c>
      <c r="I2749" t="s">
        <v>188</v>
      </c>
      <c r="J2749" t="s">
        <v>111</v>
      </c>
      <c r="K2749" t="str">
        <f>"85142"</f>
        <v>85142</v>
      </c>
      <c r="L2749" t="s">
        <v>5910</v>
      </c>
      <c r="M2749" t="s">
        <v>18169</v>
      </c>
      <c r="N2749" t="s">
        <v>188</v>
      </c>
      <c r="O2749" t="s">
        <v>111</v>
      </c>
      <c r="P2749" t="str">
        <f>"85142-3604"</f>
        <v>85142-3604</v>
      </c>
      <c r="Q2749" t="s">
        <v>113</v>
      </c>
      <c r="R2749" t="str">
        <f>"304-68-822"</f>
        <v>304-68-822</v>
      </c>
      <c r="S2749" t="s">
        <v>5911</v>
      </c>
      <c r="U2749">
        <v>3745</v>
      </c>
      <c r="V2749">
        <v>0</v>
      </c>
      <c r="W2749">
        <v>5</v>
      </c>
      <c r="X2749">
        <v>2004</v>
      </c>
      <c r="Z2749">
        <v>2</v>
      </c>
      <c r="AA2749" t="s">
        <v>26</v>
      </c>
      <c r="AB2749">
        <v>0</v>
      </c>
      <c r="AC2749" t="s">
        <v>115</v>
      </c>
      <c r="AD2749">
        <v>3</v>
      </c>
      <c r="AE2749" t="s">
        <v>115</v>
      </c>
      <c r="AF2749">
        <v>0</v>
      </c>
      <c r="AG2749">
        <v>0</v>
      </c>
      <c r="AH2749" t="s">
        <v>116</v>
      </c>
      <c r="AI2749" s="1">
        <v>87346</v>
      </c>
      <c r="AJ2749" s="2">
        <v>0.18</v>
      </c>
      <c r="AK2749" s="1">
        <v>485746</v>
      </c>
      <c r="AL2749" t="s">
        <v>117</v>
      </c>
      <c r="AM2749" t="s">
        <v>917</v>
      </c>
      <c r="AN2749">
        <v>10549</v>
      </c>
      <c r="AO2749">
        <v>0.24</v>
      </c>
      <c r="AP2749">
        <v>1</v>
      </c>
      <c r="AR2749">
        <v>1</v>
      </c>
      <c r="AS2749" s="1">
        <v>33130</v>
      </c>
      <c r="AT2749" s="1">
        <v>6620</v>
      </c>
      <c r="AU2749" s="1">
        <v>26510</v>
      </c>
      <c r="AV2749">
        <v>80.02</v>
      </c>
      <c r="AX2749" s="1">
        <v>3216.18</v>
      </c>
      <c r="AY2749" t="s">
        <v>5792</v>
      </c>
      <c r="AZ2749" t="s">
        <v>5792</v>
      </c>
      <c r="BA2749" t="s">
        <v>290</v>
      </c>
      <c r="BE2749" s="3">
        <v>41890</v>
      </c>
      <c r="BF2749" s="1">
        <v>389900</v>
      </c>
      <c r="BG2749" t="s">
        <v>18170</v>
      </c>
      <c r="BH2749" s="1">
        <v>104.11</v>
      </c>
      <c r="BI2749" s="1">
        <v>398400</v>
      </c>
      <c r="BJ2749" s="3">
        <v>42156</v>
      </c>
      <c r="BK2749" t="s">
        <v>123</v>
      </c>
      <c r="BL2749" t="str">
        <f>"2015.386392"</f>
        <v>2015.386392</v>
      </c>
      <c r="BM2749" t="s">
        <v>709</v>
      </c>
      <c r="BO2749" t="s">
        <v>18171</v>
      </c>
      <c r="BS2749">
        <v>30</v>
      </c>
      <c r="BW2749" t="str">
        <f>""</f>
        <v/>
      </c>
      <c r="CH2749" t="str">
        <f>""</f>
        <v/>
      </c>
      <c r="CS2749" t="str">
        <f>""</f>
        <v/>
      </c>
    </row>
    <row r="2750" spans="1:97" x14ac:dyDescent="0.25">
      <c r="A2750" t="s">
        <v>2374</v>
      </c>
      <c r="B2750" t="s">
        <v>18172</v>
      </c>
      <c r="C2750" t="s">
        <v>18173</v>
      </c>
      <c r="D2750" t="s">
        <v>18172</v>
      </c>
      <c r="E2750" t="s">
        <v>18174</v>
      </c>
      <c r="F2750" t="s">
        <v>108</v>
      </c>
      <c r="H2750" t="s">
        <v>18175</v>
      </c>
      <c r="I2750" t="s">
        <v>390</v>
      </c>
      <c r="J2750" t="s">
        <v>111</v>
      </c>
      <c r="K2750" t="str">
        <f>"85085"</f>
        <v>85085</v>
      </c>
      <c r="L2750" t="s">
        <v>3037</v>
      </c>
      <c r="M2750" t="s">
        <v>18175</v>
      </c>
      <c r="N2750" t="s">
        <v>390</v>
      </c>
      <c r="O2750" t="s">
        <v>111</v>
      </c>
      <c r="P2750" t="str">
        <f>"85085"</f>
        <v>85085</v>
      </c>
      <c r="Q2750" t="s">
        <v>113</v>
      </c>
      <c r="R2750" t="str">
        <f>"210-12-005-F"</f>
        <v>210-12-005-F</v>
      </c>
      <c r="U2750">
        <v>3312</v>
      </c>
      <c r="V2750">
        <v>0</v>
      </c>
      <c r="W2750">
        <v>5</v>
      </c>
      <c r="X2750">
        <v>2003</v>
      </c>
      <c r="Z2750">
        <v>1</v>
      </c>
      <c r="AA2750" t="s">
        <v>26</v>
      </c>
      <c r="AB2750">
        <v>0</v>
      </c>
      <c r="AC2750" t="s">
        <v>115</v>
      </c>
      <c r="AD2750">
        <v>3</v>
      </c>
      <c r="AE2750" t="s">
        <v>115</v>
      </c>
      <c r="AF2750">
        <v>0</v>
      </c>
      <c r="AG2750">
        <v>0</v>
      </c>
      <c r="AH2750" t="s">
        <v>116</v>
      </c>
      <c r="AI2750" s="1">
        <v>155587</v>
      </c>
      <c r="AJ2750" s="2">
        <v>0.25</v>
      </c>
      <c r="AK2750" s="1">
        <v>616498</v>
      </c>
      <c r="AL2750" t="s">
        <v>117</v>
      </c>
      <c r="AM2750" t="s">
        <v>376</v>
      </c>
      <c r="AN2750">
        <v>54450</v>
      </c>
      <c r="AO2750">
        <v>1.25</v>
      </c>
      <c r="AP2750">
        <v>1</v>
      </c>
      <c r="AR2750">
        <v>1</v>
      </c>
      <c r="AS2750" s="1">
        <v>51460</v>
      </c>
      <c r="AT2750" s="1">
        <v>10290</v>
      </c>
      <c r="AU2750" s="1">
        <v>41170</v>
      </c>
      <c r="AV2750">
        <v>80</v>
      </c>
      <c r="AX2750" s="1">
        <v>3562.62</v>
      </c>
      <c r="AY2750" t="s">
        <v>10684</v>
      </c>
      <c r="AZ2750" t="s">
        <v>2357</v>
      </c>
      <c r="BA2750" t="s">
        <v>1462</v>
      </c>
      <c r="BB2750" s="3">
        <v>42027</v>
      </c>
      <c r="BD2750" t="s">
        <v>240</v>
      </c>
      <c r="BE2750" s="3">
        <v>42027</v>
      </c>
      <c r="BF2750" s="1">
        <v>478000</v>
      </c>
      <c r="BG2750" t="s">
        <v>18176</v>
      </c>
      <c r="BH2750" s="1">
        <v>144.32</v>
      </c>
      <c r="BI2750" s="1">
        <v>460911</v>
      </c>
      <c r="BJ2750" s="3">
        <v>42027</v>
      </c>
      <c r="BK2750" t="s">
        <v>123</v>
      </c>
      <c r="BL2750" t="str">
        <f>"2015.46338"</f>
        <v>2015.46338</v>
      </c>
      <c r="BM2750" t="s">
        <v>475</v>
      </c>
      <c r="BO2750" t="s">
        <v>18177</v>
      </c>
      <c r="BS2750">
        <v>30</v>
      </c>
      <c r="BW2750" t="str">
        <f>""</f>
        <v/>
      </c>
      <c r="CH2750" t="str">
        <f>""</f>
        <v/>
      </c>
      <c r="CS2750" t="str">
        <f>""</f>
        <v/>
      </c>
    </row>
    <row r="2751" spans="1:97" x14ac:dyDescent="0.25">
      <c r="A2751" t="s">
        <v>992</v>
      </c>
      <c r="B2751" t="s">
        <v>18178</v>
      </c>
      <c r="C2751" t="s">
        <v>1857</v>
      </c>
      <c r="D2751" t="s">
        <v>18178</v>
      </c>
      <c r="E2751" t="s">
        <v>18179</v>
      </c>
      <c r="F2751" t="s">
        <v>108</v>
      </c>
      <c r="H2751" t="s">
        <v>18180</v>
      </c>
      <c r="I2751" t="s">
        <v>499</v>
      </c>
      <c r="J2751" t="s">
        <v>111</v>
      </c>
      <c r="K2751" t="str">
        <f>"85395"</f>
        <v>85395</v>
      </c>
      <c r="L2751" t="s">
        <v>500</v>
      </c>
      <c r="M2751" t="s">
        <v>18180</v>
      </c>
      <c r="N2751" t="s">
        <v>499</v>
      </c>
      <c r="O2751" t="s">
        <v>111</v>
      </c>
      <c r="P2751" t="str">
        <f>"85395-5227"</f>
        <v>85395-5227</v>
      </c>
      <c r="Q2751" t="s">
        <v>113</v>
      </c>
      <c r="R2751" t="str">
        <f>"502-30-187"</f>
        <v>502-30-187</v>
      </c>
      <c r="S2751" t="s">
        <v>18181</v>
      </c>
      <c r="T2751" t="s">
        <v>502</v>
      </c>
      <c r="U2751">
        <v>3050</v>
      </c>
      <c r="V2751">
        <v>0</v>
      </c>
      <c r="W2751">
        <v>4</v>
      </c>
      <c r="X2751">
        <v>2014</v>
      </c>
      <c r="Z2751">
        <v>1</v>
      </c>
      <c r="AA2751" t="s">
        <v>26</v>
      </c>
      <c r="AB2751">
        <v>0</v>
      </c>
      <c r="AC2751" t="s">
        <v>115</v>
      </c>
      <c r="AD2751">
        <v>3</v>
      </c>
      <c r="AE2751" t="s">
        <v>115</v>
      </c>
      <c r="AF2751">
        <v>0</v>
      </c>
      <c r="AG2751">
        <v>0</v>
      </c>
      <c r="AH2751" t="s">
        <v>116</v>
      </c>
      <c r="AI2751" s="1">
        <v>87843</v>
      </c>
      <c r="AJ2751" s="2">
        <v>0.19</v>
      </c>
      <c r="AK2751" s="1">
        <v>456543</v>
      </c>
      <c r="AL2751" t="s">
        <v>117</v>
      </c>
      <c r="AM2751" t="s">
        <v>118</v>
      </c>
      <c r="AN2751">
        <v>13251</v>
      </c>
      <c r="AO2751">
        <v>0.3</v>
      </c>
      <c r="AR2751">
        <v>1</v>
      </c>
      <c r="AS2751" s="1">
        <v>34500</v>
      </c>
      <c r="AT2751" s="1">
        <v>6900</v>
      </c>
      <c r="AU2751" s="1">
        <v>27600</v>
      </c>
      <c r="AV2751">
        <v>80</v>
      </c>
      <c r="AX2751" s="1">
        <v>2872.44</v>
      </c>
      <c r="AY2751" t="s">
        <v>503</v>
      </c>
      <c r="AZ2751" t="s">
        <v>504</v>
      </c>
      <c r="BA2751" t="s">
        <v>218</v>
      </c>
      <c r="BB2751" s="3">
        <v>43032</v>
      </c>
      <c r="BD2751" t="s">
        <v>157</v>
      </c>
      <c r="BE2751" s="3">
        <v>41996</v>
      </c>
      <c r="BF2751" s="1">
        <v>365995</v>
      </c>
      <c r="BG2751" t="s">
        <v>209</v>
      </c>
      <c r="BH2751" s="1">
        <v>120</v>
      </c>
      <c r="BI2751" s="1">
        <v>368700</v>
      </c>
      <c r="BJ2751" s="3">
        <v>42514</v>
      </c>
      <c r="BK2751" t="s">
        <v>123</v>
      </c>
      <c r="BL2751" t="str">
        <f>"2016.356277"</f>
        <v>2016.356277</v>
      </c>
      <c r="BM2751" t="s">
        <v>255</v>
      </c>
      <c r="BN2751" t="s">
        <v>2398</v>
      </c>
      <c r="BO2751" t="s">
        <v>18182</v>
      </c>
      <c r="BS2751">
        <v>30</v>
      </c>
      <c r="BW2751" t="str">
        <f>""</f>
        <v/>
      </c>
      <c r="CH2751" t="str">
        <f>""</f>
        <v/>
      </c>
      <c r="CS2751" t="str">
        <f>""</f>
        <v/>
      </c>
    </row>
    <row r="2752" spans="1:97" x14ac:dyDescent="0.25">
      <c r="A2752" t="s">
        <v>7343</v>
      </c>
      <c r="B2752" t="s">
        <v>3273</v>
      </c>
      <c r="C2752" t="s">
        <v>1857</v>
      </c>
      <c r="D2752" t="s">
        <v>18183</v>
      </c>
      <c r="E2752" t="s">
        <v>18184</v>
      </c>
      <c r="F2752" t="s">
        <v>108</v>
      </c>
      <c r="H2752" t="s">
        <v>18185</v>
      </c>
      <c r="I2752" t="s">
        <v>6646</v>
      </c>
      <c r="J2752" t="s">
        <v>111</v>
      </c>
      <c r="K2752" t="str">
        <f>"85086"</f>
        <v>85086</v>
      </c>
      <c r="L2752" t="s">
        <v>3225</v>
      </c>
      <c r="M2752" t="s">
        <v>18185</v>
      </c>
      <c r="N2752" t="s">
        <v>6646</v>
      </c>
      <c r="O2752" t="s">
        <v>111</v>
      </c>
      <c r="P2752" t="str">
        <f>"85086-4903"</f>
        <v>85086-4903</v>
      </c>
      <c r="Q2752" t="s">
        <v>113</v>
      </c>
      <c r="R2752" t="str">
        <f>"203-01-840"</f>
        <v>203-01-840</v>
      </c>
      <c r="S2752" t="s">
        <v>18186</v>
      </c>
      <c r="U2752">
        <v>1370</v>
      </c>
      <c r="V2752">
        <v>0</v>
      </c>
      <c r="W2752">
        <v>3</v>
      </c>
      <c r="X2752">
        <v>2001</v>
      </c>
      <c r="Z2752">
        <v>1</v>
      </c>
      <c r="AB2752">
        <v>0</v>
      </c>
      <c r="AC2752" t="s">
        <v>115</v>
      </c>
      <c r="AD2752">
        <v>2</v>
      </c>
      <c r="AE2752" t="s">
        <v>115</v>
      </c>
      <c r="AF2752">
        <v>0</v>
      </c>
      <c r="AG2752">
        <v>0</v>
      </c>
      <c r="AH2752" t="s">
        <v>116</v>
      </c>
      <c r="AI2752" s="1">
        <v>49479</v>
      </c>
      <c r="AJ2752" s="2">
        <v>0.19</v>
      </c>
      <c r="AK2752" s="1">
        <v>258979</v>
      </c>
      <c r="AL2752" t="s">
        <v>117</v>
      </c>
      <c r="AM2752" t="s">
        <v>393</v>
      </c>
      <c r="AN2752">
        <v>5750</v>
      </c>
      <c r="AO2752">
        <v>0.13</v>
      </c>
      <c r="AP2752">
        <v>1</v>
      </c>
      <c r="AR2752">
        <v>1</v>
      </c>
      <c r="AS2752" s="1">
        <v>17530</v>
      </c>
      <c r="AT2752" s="1">
        <v>3500</v>
      </c>
      <c r="AU2752" s="1">
        <v>14030</v>
      </c>
      <c r="AV2752">
        <v>80.03</v>
      </c>
      <c r="AX2752" s="1">
        <v>2009.66</v>
      </c>
      <c r="AY2752" t="s">
        <v>665</v>
      </c>
      <c r="AZ2752" t="s">
        <v>665</v>
      </c>
      <c r="BA2752" t="s">
        <v>378</v>
      </c>
      <c r="BB2752" s="3">
        <v>42513</v>
      </c>
      <c r="BD2752" t="s">
        <v>458</v>
      </c>
      <c r="BE2752" s="3">
        <v>42324</v>
      </c>
      <c r="BF2752" s="1">
        <v>205000</v>
      </c>
      <c r="BG2752" t="s">
        <v>18187</v>
      </c>
      <c r="BH2752" s="1">
        <v>149.63999999999999</v>
      </c>
      <c r="BI2752" s="1">
        <v>209500</v>
      </c>
      <c r="BJ2752" s="3">
        <v>42738</v>
      </c>
      <c r="BK2752" t="s">
        <v>123</v>
      </c>
      <c r="BL2752" t="str">
        <f>"2017.2225"</f>
        <v>2017.2225</v>
      </c>
      <c r="BM2752" t="s">
        <v>673</v>
      </c>
      <c r="BO2752" t="s">
        <v>18188</v>
      </c>
      <c r="BP2752" t="s">
        <v>18189</v>
      </c>
      <c r="BQ2752" t="str">
        <f>"2.2500%"</f>
        <v>2.2500%</v>
      </c>
      <c r="BR2752" t="s">
        <v>1480</v>
      </c>
      <c r="BS2752">
        <v>30</v>
      </c>
      <c r="BW2752" t="str">
        <f>""</f>
        <v/>
      </c>
      <c r="CH2752" t="str">
        <f>""</f>
        <v/>
      </c>
      <c r="CS2752" t="str">
        <f>""</f>
        <v/>
      </c>
    </row>
    <row r="2753" spans="1:97" x14ac:dyDescent="0.25">
      <c r="A2753" t="s">
        <v>177</v>
      </c>
      <c r="B2753" t="s">
        <v>18190</v>
      </c>
      <c r="C2753" t="s">
        <v>13625</v>
      </c>
      <c r="D2753" t="s">
        <v>18190</v>
      </c>
      <c r="E2753" t="s">
        <v>18191</v>
      </c>
      <c r="F2753" t="s">
        <v>108</v>
      </c>
      <c r="H2753" t="s">
        <v>18192</v>
      </c>
      <c r="I2753" t="s">
        <v>144</v>
      </c>
      <c r="J2753" t="s">
        <v>111</v>
      </c>
      <c r="K2753" t="str">
        <f>"85396"</f>
        <v>85396</v>
      </c>
      <c r="L2753" t="s">
        <v>6667</v>
      </c>
      <c r="M2753" t="s">
        <v>18192</v>
      </c>
      <c r="N2753" t="s">
        <v>144</v>
      </c>
      <c r="O2753" t="s">
        <v>111</v>
      </c>
      <c r="P2753" t="str">
        <f>"85396-1525"</f>
        <v>85396-1525</v>
      </c>
      <c r="Q2753" t="s">
        <v>113</v>
      </c>
      <c r="R2753" t="str">
        <f>"502-80-465"</f>
        <v>502-80-465</v>
      </c>
      <c r="S2753" t="s">
        <v>7554</v>
      </c>
      <c r="U2753">
        <v>2534</v>
      </c>
      <c r="V2753">
        <v>0</v>
      </c>
      <c r="W2753">
        <v>4</v>
      </c>
      <c r="X2753">
        <v>2008</v>
      </c>
      <c r="Z2753">
        <v>2</v>
      </c>
      <c r="AB2753">
        <v>0</v>
      </c>
      <c r="AC2753" t="s">
        <v>115</v>
      </c>
      <c r="AD2753">
        <v>3</v>
      </c>
      <c r="AE2753" t="s">
        <v>115</v>
      </c>
      <c r="AF2753">
        <v>0</v>
      </c>
      <c r="AG2753">
        <v>0</v>
      </c>
      <c r="AH2753" t="s">
        <v>116</v>
      </c>
      <c r="AI2753" s="1">
        <v>89857</v>
      </c>
      <c r="AJ2753" s="2">
        <v>0.24</v>
      </c>
      <c r="AK2753" s="1">
        <v>369066</v>
      </c>
      <c r="AL2753" t="s">
        <v>117</v>
      </c>
      <c r="AM2753" t="s">
        <v>118</v>
      </c>
      <c r="AN2753">
        <v>7068</v>
      </c>
      <c r="AO2753">
        <v>0.16</v>
      </c>
      <c r="AR2753">
        <v>1</v>
      </c>
      <c r="AS2753" s="1">
        <v>26900</v>
      </c>
      <c r="AT2753" s="1">
        <v>5380</v>
      </c>
      <c r="AU2753" s="1">
        <v>21520</v>
      </c>
      <c r="AV2753">
        <v>80</v>
      </c>
      <c r="AX2753" s="1">
        <v>3456.32</v>
      </c>
      <c r="AY2753" t="s">
        <v>217</v>
      </c>
      <c r="AZ2753" t="s">
        <v>217</v>
      </c>
      <c r="BA2753" t="s">
        <v>218</v>
      </c>
      <c r="BE2753" s="3">
        <v>41940</v>
      </c>
      <c r="BF2753" s="1">
        <v>279000</v>
      </c>
      <c r="BG2753" t="s">
        <v>18193</v>
      </c>
      <c r="BH2753" s="1">
        <v>110.1</v>
      </c>
      <c r="BI2753" s="1">
        <v>279209</v>
      </c>
      <c r="BJ2753" s="3">
        <v>42622</v>
      </c>
      <c r="BK2753" t="s">
        <v>123</v>
      </c>
      <c r="BL2753" t="str">
        <f>"2016.656331"</f>
        <v>2016.656331</v>
      </c>
      <c r="BM2753" t="s">
        <v>9928</v>
      </c>
      <c r="BO2753" t="s">
        <v>18194</v>
      </c>
      <c r="BS2753">
        <v>30</v>
      </c>
      <c r="BW2753" t="str">
        <f>""</f>
        <v/>
      </c>
      <c r="CH2753" t="str">
        <f>""</f>
        <v/>
      </c>
      <c r="CS2753" t="str">
        <f>""</f>
        <v/>
      </c>
    </row>
    <row r="2754" spans="1:97" x14ac:dyDescent="0.25">
      <c r="A2754" t="s">
        <v>524</v>
      </c>
      <c r="B2754" t="s">
        <v>18195</v>
      </c>
      <c r="C2754" t="s">
        <v>18196</v>
      </c>
      <c r="D2754" t="s">
        <v>18195</v>
      </c>
      <c r="E2754" t="s">
        <v>18197</v>
      </c>
      <c r="F2754" t="s">
        <v>108</v>
      </c>
      <c r="H2754" t="s">
        <v>18198</v>
      </c>
      <c r="I2754" t="s">
        <v>144</v>
      </c>
      <c r="J2754" t="s">
        <v>111</v>
      </c>
      <c r="K2754" t="str">
        <f>"85396"</f>
        <v>85396</v>
      </c>
      <c r="L2754" t="s">
        <v>1789</v>
      </c>
      <c r="M2754" t="s">
        <v>18198</v>
      </c>
      <c r="N2754" t="s">
        <v>144</v>
      </c>
      <c r="O2754" t="s">
        <v>111</v>
      </c>
      <c r="P2754" t="str">
        <f>"85396-3543"</f>
        <v>85396-3543</v>
      </c>
      <c r="Q2754" t="s">
        <v>113</v>
      </c>
      <c r="R2754" t="str">
        <f>"502-78-822"</f>
        <v>502-78-822</v>
      </c>
      <c r="S2754" t="s">
        <v>18199</v>
      </c>
      <c r="U2754">
        <v>3538</v>
      </c>
      <c r="V2754">
        <v>0</v>
      </c>
      <c r="W2754">
        <v>4</v>
      </c>
      <c r="X2754">
        <v>2007</v>
      </c>
      <c r="Z2754">
        <v>2</v>
      </c>
      <c r="AB2754">
        <v>0</v>
      </c>
      <c r="AC2754" t="s">
        <v>115</v>
      </c>
      <c r="AD2754">
        <v>3</v>
      </c>
      <c r="AE2754" t="s">
        <v>115</v>
      </c>
      <c r="AF2754">
        <v>0</v>
      </c>
      <c r="AG2754">
        <v>0</v>
      </c>
      <c r="AH2754" t="s">
        <v>116</v>
      </c>
      <c r="AI2754" s="1">
        <v>76454</v>
      </c>
      <c r="AJ2754" s="2">
        <v>0.18</v>
      </c>
      <c r="AK2754" s="1">
        <v>421563</v>
      </c>
      <c r="AL2754" t="s">
        <v>117</v>
      </c>
      <c r="AM2754" t="s">
        <v>118</v>
      </c>
      <c r="AN2754">
        <v>7800</v>
      </c>
      <c r="AO2754">
        <v>0.18</v>
      </c>
      <c r="AR2754">
        <v>1</v>
      </c>
      <c r="AS2754" s="1">
        <v>29850</v>
      </c>
      <c r="AT2754" s="1">
        <v>5970</v>
      </c>
      <c r="AU2754" s="1">
        <v>23880</v>
      </c>
      <c r="AV2754">
        <v>80</v>
      </c>
      <c r="AX2754" s="1">
        <v>3962.2</v>
      </c>
      <c r="AY2754" t="s">
        <v>543</v>
      </c>
      <c r="AZ2754" t="s">
        <v>504</v>
      </c>
      <c r="BA2754" t="s">
        <v>218</v>
      </c>
      <c r="BE2754" s="3">
        <v>42244</v>
      </c>
      <c r="BF2754" s="1">
        <v>335000</v>
      </c>
      <c r="BG2754" t="s">
        <v>18200</v>
      </c>
      <c r="BH2754" s="1">
        <v>94.69</v>
      </c>
      <c r="BI2754" s="1">
        <v>345109</v>
      </c>
      <c r="BJ2754" s="3">
        <v>42668</v>
      </c>
      <c r="BK2754" t="s">
        <v>123</v>
      </c>
      <c r="BL2754" t="str">
        <f>"2016.781071"</f>
        <v>2016.781071</v>
      </c>
      <c r="BM2754" t="s">
        <v>18201</v>
      </c>
      <c r="BO2754" t="s">
        <v>18202</v>
      </c>
      <c r="BS2754">
        <v>30</v>
      </c>
      <c r="BW2754" t="str">
        <f>""</f>
        <v/>
      </c>
      <c r="CH2754" t="str">
        <f>""</f>
        <v/>
      </c>
      <c r="CS2754" t="str">
        <f>""</f>
        <v/>
      </c>
    </row>
    <row r="2755" spans="1:97" x14ac:dyDescent="0.25">
      <c r="A2755" t="s">
        <v>815</v>
      </c>
      <c r="B2755" t="s">
        <v>18203</v>
      </c>
      <c r="C2755" t="s">
        <v>2930</v>
      </c>
      <c r="D2755" t="s">
        <v>18203</v>
      </c>
      <c r="E2755" t="s">
        <v>18204</v>
      </c>
      <c r="F2755" t="s">
        <v>108</v>
      </c>
      <c r="H2755" t="s">
        <v>18205</v>
      </c>
      <c r="I2755" t="s">
        <v>203</v>
      </c>
      <c r="J2755" t="s">
        <v>111</v>
      </c>
      <c r="K2755" t="str">
        <f>"85298"</f>
        <v>85298</v>
      </c>
      <c r="L2755" t="s">
        <v>500</v>
      </c>
      <c r="M2755" t="s">
        <v>18205</v>
      </c>
      <c r="N2755" t="s">
        <v>203</v>
      </c>
      <c r="O2755" t="s">
        <v>111</v>
      </c>
      <c r="P2755" t="str">
        <f>"85298-8821"</f>
        <v>85298-8821</v>
      </c>
      <c r="Q2755" t="s">
        <v>113</v>
      </c>
      <c r="R2755" t="str">
        <f>"304-78-431"</f>
        <v>304-78-431</v>
      </c>
      <c r="S2755" t="s">
        <v>9246</v>
      </c>
      <c r="T2755" t="s">
        <v>9247</v>
      </c>
      <c r="U2755">
        <v>2361</v>
      </c>
      <c r="V2755">
        <v>0</v>
      </c>
      <c r="W2755">
        <v>3</v>
      </c>
      <c r="X2755">
        <v>2004</v>
      </c>
      <c r="Z2755">
        <v>1</v>
      </c>
      <c r="AA2755" t="s">
        <v>26</v>
      </c>
      <c r="AB2755">
        <v>0</v>
      </c>
      <c r="AC2755" t="s">
        <v>115</v>
      </c>
      <c r="AD2755">
        <v>3</v>
      </c>
      <c r="AE2755" t="s">
        <v>115</v>
      </c>
      <c r="AF2755">
        <v>0</v>
      </c>
      <c r="AG2755">
        <v>0</v>
      </c>
      <c r="AH2755" t="s">
        <v>116</v>
      </c>
      <c r="AI2755" s="1">
        <v>176984</v>
      </c>
      <c r="AJ2755" s="2">
        <v>0.41</v>
      </c>
      <c r="AK2755" s="1">
        <v>432756</v>
      </c>
      <c r="AL2755" t="s">
        <v>117</v>
      </c>
      <c r="AM2755" t="s">
        <v>171</v>
      </c>
      <c r="AN2755">
        <v>21897</v>
      </c>
      <c r="AO2755">
        <v>0.5</v>
      </c>
      <c r="AP2755">
        <v>1</v>
      </c>
      <c r="AR2755">
        <v>1</v>
      </c>
      <c r="AS2755" s="1">
        <v>33210</v>
      </c>
      <c r="AT2755" s="1">
        <v>6640</v>
      </c>
      <c r="AU2755" s="1">
        <v>26570</v>
      </c>
      <c r="AV2755">
        <v>80.010000000000005</v>
      </c>
      <c r="AX2755" s="1">
        <v>2684.18</v>
      </c>
      <c r="AY2755" t="s">
        <v>1133</v>
      </c>
      <c r="AZ2755" t="s">
        <v>1134</v>
      </c>
      <c r="BA2755" t="s">
        <v>1134</v>
      </c>
      <c r="BE2755" s="3">
        <v>41711</v>
      </c>
      <c r="BF2755" s="1">
        <v>293000</v>
      </c>
      <c r="BG2755" t="s">
        <v>18206</v>
      </c>
      <c r="BH2755" s="1">
        <v>124.1</v>
      </c>
      <c r="BI2755" s="1">
        <v>255772</v>
      </c>
      <c r="BJ2755" s="3">
        <v>42957</v>
      </c>
      <c r="BK2755" t="s">
        <v>123</v>
      </c>
      <c r="BL2755" t="str">
        <f>"2017.588931"</f>
        <v>2017.588931</v>
      </c>
      <c r="BM2755" t="s">
        <v>3638</v>
      </c>
      <c r="BO2755" t="s">
        <v>18207</v>
      </c>
      <c r="BS2755">
        <v>30</v>
      </c>
      <c r="BW2755" t="str">
        <f>""</f>
        <v/>
      </c>
      <c r="CH2755" t="str">
        <f>""</f>
        <v/>
      </c>
      <c r="CS2755" t="str">
        <f>""</f>
        <v/>
      </c>
    </row>
    <row r="2756" spans="1:97" x14ac:dyDescent="0.25">
      <c r="A2756" t="s">
        <v>464</v>
      </c>
      <c r="B2756" t="s">
        <v>18208</v>
      </c>
      <c r="E2756" t="s">
        <v>18209</v>
      </c>
      <c r="F2756" t="s">
        <v>139</v>
      </c>
      <c r="H2756" t="s">
        <v>18210</v>
      </c>
      <c r="I2756" t="s">
        <v>5387</v>
      </c>
      <c r="J2756" t="s">
        <v>111</v>
      </c>
      <c r="K2756" t="str">
        <f>"85284"</f>
        <v>85284</v>
      </c>
      <c r="L2756" t="s">
        <v>2765</v>
      </c>
      <c r="M2756" t="s">
        <v>18210</v>
      </c>
      <c r="N2756" t="s">
        <v>5387</v>
      </c>
      <c r="O2756" t="s">
        <v>111</v>
      </c>
      <c r="P2756" t="str">
        <f>"85284-3003"</f>
        <v>85284-3003</v>
      </c>
      <c r="Q2756" t="s">
        <v>113</v>
      </c>
      <c r="R2756" t="str">
        <f>"301-61-040"</f>
        <v>301-61-040</v>
      </c>
      <c r="S2756" t="s">
        <v>18211</v>
      </c>
      <c r="T2756" t="s">
        <v>18212</v>
      </c>
      <c r="U2756">
        <v>3159</v>
      </c>
      <c r="V2756">
        <v>0</v>
      </c>
      <c r="W2756">
        <v>5</v>
      </c>
      <c r="X2756">
        <v>1984</v>
      </c>
      <c r="Z2756">
        <v>1</v>
      </c>
      <c r="AA2756" t="s">
        <v>26</v>
      </c>
      <c r="AB2756">
        <v>0</v>
      </c>
      <c r="AC2756" t="s">
        <v>115</v>
      </c>
      <c r="AD2756">
        <v>2</v>
      </c>
      <c r="AE2756" t="s">
        <v>115</v>
      </c>
      <c r="AF2756">
        <v>0</v>
      </c>
      <c r="AG2756">
        <v>0</v>
      </c>
      <c r="AH2756" t="s">
        <v>116</v>
      </c>
      <c r="AI2756" s="1">
        <v>1063</v>
      </c>
      <c r="AJ2756" s="2">
        <v>0</v>
      </c>
      <c r="AK2756" s="1">
        <v>639873</v>
      </c>
      <c r="AL2756" t="s">
        <v>117</v>
      </c>
      <c r="AM2756" t="s">
        <v>1521</v>
      </c>
      <c r="AN2756">
        <v>29638</v>
      </c>
      <c r="AO2756">
        <v>0.68</v>
      </c>
      <c r="AP2756">
        <v>1</v>
      </c>
      <c r="AR2756">
        <v>1</v>
      </c>
      <c r="AS2756" s="1">
        <v>51900</v>
      </c>
      <c r="AT2756" s="1">
        <v>10380</v>
      </c>
      <c r="AU2756" s="1">
        <v>41520</v>
      </c>
      <c r="AV2756">
        <v>80</v>
      </c>
      <c r="AX2756" s="1">
        <v>5004.88</v>
      </c>
      <c r="AY2756" t="s">
        <v>12496</v>
      </c>
      <c r="AZ2756" t="s">
        <v>5201</v>
      </c>
      <c r="BA2756" t="s">
        <v>5202</v>
      </c>
      <c r="BB2756" s="3">
        <v>43369</v>
      </c>
      <c r="BC2756" s="1">
        <v>0</v>
      </c>
      <c r="BD2756" t="s">
        <v>247</v>
      </c>
      <c r="BE2756" s="3">
        <v>42209</v>
      </c>
      <c r="BF2756" s="1">
        <v>512500</v>
      </c>
      <c r="BG2756" t="s">
        <v>18213</v>
      </c>
      <c r="BH2756" s="1">
        <v>162.22999999999999</v>
      </c>
      <c r="BI2756" s="1">
        <v>588810</v>
      </c>
      <c r="BJ2756" s="3">
        <v>42611</v>
      </c>
      <c r="BK2756" t="s">
        <v>123</v>
      </c>
      <c r="BL2756" t="str">
        <f>"2016.620766"</f>
        <v>2016.620766</v>
      </c>
      <c r="BM2756" t="s">
        <v>1122</v>
      </c>
      <c r="BN2756" t="s">
        <v>1624</v>
      </c>
      <c r="BO2756" t="s">
        <v>18214</v>
      </c>
      <c r="BS2756">
        <v>30</v>
      </c>
      <c r="BT2756" s="1">
        <v>50000</v>
      </c>
      <c r="BU2756" s="3">
        <v>43441</v>
      </c>
      <c r="BV2756" t="s">
        <v>134</v>
      </c>
      <c r="BW2756" t="str">
        <f>"2018.899695"</f>
        <v>2018.899695</v>
      </c>
      <c r="BX2756" t="s">
        <v>135</v>
      </c>
      <c r="BY2756" t="s">
        <v>136</v>
      </c>
      <c r="BZ2756" t="s">
        <v>18215</v>
      </c>
      <c r="CC2756" t="s">
        <v>139</v>
      </c>
      <c r="CH2756" t="str">
        <f>""</f>
        <v/>
      </c>
      <c r="CS2756" t="str">
        <f>""</f>
        <v/>
      </c>
    </row>
    <row r="2757" spans="1:97" x14ac:dyDescent="0.25">
      <c r="A2757" t="s">
        <v>13735</v>
      </c>
      <c r="B2757" t="s">
        <v>18216</v>
      </c>
      <c r="E2757" t="s">
        <v>18217</v>
      </c>
      <c r="F2757" t="s">
        <v>108</v>
      </c>
      <c r="H2757" t="s">
        <v>18218</v>
      </c>
      <c r="I2757" t="s">
        <v>225</v>
      </c>
      <c r="J2757" t="s">
        <v>111</v>
      </c>
      <c r="K2757" t="str">
        <f>"85213"</f>
        <v>85213</v>
      </c>
      <c r="L2757" t="s">
        <v>11941</v>
      </c>
      <c r="M2757" t="s">
        <v>18218</v>
      </c>
      <c r="N2757" t="s">
        <v>225</v>
      </c>
      <c r="O2757" t="s">
        <v>111</v>
      </c>
      <c r="P2757" t="str">
        <f>"85213-1647"</f>
        <v>85213-1647</v>
      </c>
      <c r="Q2757" t="s">
        <v>113</v>
      </c>
      <c r="R2757" t="str">
        <f>"141-15-512"</f>
        <v>141-15-512</v>
      </c>
      <c r="S2757" t="s">
        <v>17865</v>
      </c>
      <c r="T2757" t="s">
        <v>17866</v>
      </c>
      <c r="U2757">
        <v>2331</v>
      </c>
      <c r="V2757">
        <v>0</v>
      </c>
      <c r="W2757">
        <v>3</v>
      </c>
      <c r="X2757">
        <v>1987</v>
      </c>
      <c r="Z2757">
        <v>1</v>
      </c>
      <c r="AA2757" t="s">
        <v>26</v>
      </c>
      <c r="AB2757">
        <v>0</v>
      </c>
      <c r="AC2757" t="s">
        <v>115</v>
      </c>
      <c r="AD2757">
        <v>3</v>
      </c>
      <c r="AE2757" t="s">
        <v>115</v>
      </c>
      <c r="AF2757">
        <v>0</v>
      </c>
      <c r="AG2757">
        <v>0</v>
      </c>
      <c r="AH2757" t="s">
        <v>116</v>
      </c>
      <c r="AI2757" s="1">
        <v>59260</v>
      </c>
      <c r="AJ2757" s="2">
        <v>0.15</v>
      </c>
      <c r="AK2757" s="1">
        <v>386140</v>
      </c>
      <c r="AL2757" t="s">
        <v>117</v>
      </c>
      <c r="AM2757" t="s">
        <v>917</v>
      </c>
      <c r="AN2757">
        <v>10063</v>
      </c>
      <c r="AO2757">
        <v>0.23</v>
      </c>
      <c r="AP2757">
        <v>1</v>
      </c>
      <c r="AR2757">
        <v>1</v>
      </c>
      <c r="AS2757" s="1">
        <v>28130</v>
      </c>
      <c r="AT2757" s="1">
        <v>5620</v>
      </c>
      <c r="AU2757" s="1">
        <v>22510</v>
      </c>
      <c r="AV2757">
        <v>80.02</v>
      </c>
      <c r="AX2757" s="1">
        <v>2416.02</v>
      </c>
      <c r="AY2757" t="s">
        <v>4162</v>
      </c>
      <c r="AZ2757" t="s">
        <v>4163</v>
      </c>
      <c r="BA2757" t="s">
        <v>1524</v>
      </c>
      <c r="BE2757" s="3">
        <v>42340</v>
      </c>
      <c r="BF2757" s="1">
        <v>320000</v>
      </c>
      <c r="BG2757" t="s">
        <v>18219</v>
      </c>
      <c r="BH2757" s="1">
        <v>137.28</v>
      </c>
      <c r="BI2757" s="1">
        <v>326880</v>
      </c>
      <c r="BJ2757" s="3">
        <v>42340</v>
      </c>
      <c r="BK2757" t="s">
        <v>123</v>
      </c>
      <c r="BL2757" t="str">
        <f>"2015.856053"</f>
        <v>2015.856053</v>
      </c>
      <c r="BM2757" t="s">
        <v>594</v>
      </c>
      <c r="BO2757" t="s">
        <v>18220</v>
      </c>
      <c r="BS2757">
        <v>30</v>
      </c>
      <c r="BW2757" t="str">
        <f>""</f>
        <v/>
      </c>
      <c r="CH2757" t="str">
        <f>""</f>
        <v/>
      </c>
      <c r="CS2757" t="str">
        <f>""</f>
        <v/>
      </c>
    </row>
    <row r="2758" spans="1:97" x14ac:dyDescent="0.25">
      <c r="A2758" t="s">
        <v>11465</v>
      </c>
      <c r="B2758" t="s">
        <v>18221</v>
      </c>
      <c r="C2758" t="s">
        <v>817</v>
      </c>
      <c r="D2758" t="s">
        <v>18221</v>
      </c>
      <c r="E2758" t="s">
        <v>18222</v>
      </c>
      <c r="F2758" t="s">
        <v>108</v>
      </c>
      <c r="H2758" t="s">
        <v>18223</v>
      </c>
      <c r="I2758" t="s">
        <v>203</v>
      </c>
      <c r="J2758" t="s">
        <v>111</v>
      </c>
      <c r="K2758" t="str">
        <f>"85233"</f>
        <v>85233</v>
      </c>
      <c r="L2758" t="s">
        <v>1244</v>
      </c>
      <c r="M2758" t="s">
        <v>18223</v>
      </c>
      <c r="N2758" t="s">
        <v>203</v>
      </c>
      <c r="O2758" t="s">
        <v>111</v>
      </c>
      <c r="P2758" t="str">
        <f>"85233-6701"</f>
        <v>85233-6701</v>
      </c>
      <c r="Q2758" t="s">
        <v>113</v>
      </c>
      <c r="R2758" t="str">
        <f>"302-30-988"</f>
        <v>302-30-988</v>
      </c>
      <c r="S2758" t="s">
        <v>18224</v>
      </c>
      <c r="T2758" t="s">
        <v>18225</v>
      </c>
      <c r="U2758">
        <v>1817</v>
      </c>
      <c r="V2758">
        <v>0</v>
      </c>
      <c r="W2758">
        <v>3</v>
      </c>
      <c r="X2758">
        <v>1987</v>
      </c>
      <c r="Z2758">
        <v>1</v>
      </c>
      <c r="AA2758" t="s">
        <v>26</v>
      </c>
      <c r="AB2758">
        <v>0</v>
      </c>
      <c r="AC2758" t="s">
        <v>115</v>
      </c>
      <c r="AD2758">
        <v>2</v>
      </c>
      <c r="AE2758" t="s">
        <v>115</v>
      </c>
      <c r="AF2758">
        <v>0</v>
      </c>
      <c r="AG2758">
        <v>0</v>
      </c>
      <c r="AH2758" t="s">
        <v>116</v>
      </c>
      <c r="AI2758" s="1">
        <v>106859</v>
      </c>
      <c r="AJ2758" s="2">
        <v>0.32</v>
      </c>
      <c r="AK2758" s="1">
        <v>335859</v>
      </c>
      <c r="AL2758" t="s">
        <v>117</v>
      </c>
      <c r="AM2758" t="s">
        <v>393</v>
      </c>
      <c r="AN2758">
        <v>7562</v>
      </c>
      <c r="AO2758">
        <v>0.17</v>
      </c>
      <c r="AP2758">
        <v>1</v>
      </c>
      <c r="AR2758">
        <v>1</v>
      </c>
      <c r="AS2758" s="1">
        <v>23520</v>
      </c>
      <c r="AT2758" s="1">
        <v>4700</v>
      </c>
      <c r="AU2758" s="1">
        <v>18820</v>
      </c>
      <c r="AV2758">
        <v>80.02</v>
      </c>
      <c r="AX2758" s="1">
        <v>1189.74</v>
      </c>
      <c r="AY2758" t="s">
        <v>5477</v>
      </c>
      <c r="AZ2758" t="s">
        <v>5478</v>
      </c>
      <c r="BA2758" t="s">
        <v>5479</v>
      </c>
      <c r="BE2758" s="3">
        <v>42338</v>
      </c>
      <c r="BF2758" s="1">
        <v>229000</v>
      </c>
      <c r="BG2758" t="s">
        <v>18226</v>
      </c>
      <c r="BH2758" s="1">
        <v>126.03</v>
      </c>
      <c r="BI2758" s="1">
        <v>229000</v>
      </c>
      <c r="BJ2758" s="3">
        <v>42338</v>
      </c>
      <c r="BK2758" t="s">
        <v>123</v>
      </c>
      <c r="BL2758" t="str">
        <f>"2015.849106"</f>
        <v>2015.849106</v>
      </c>
      <c r="BM2758" t="s">
        <v>1192</v>
      </c>
      <c r="BO2758" t="s">
        <v>18227</v>
      </c>
      <c r="BS2758">
        <v>30</v>
      </c>
      <c r="BW2758" t="str">
        <f>""</f>
        <v/>
      </c>
      <c r="CH2758" t="str">
        <f>""</f>
        <v/>
      </c>
      <c r="CS2758" t="str">
        <f>""</f>
        <v/>
      </c>
    </row>
    <row r="2759" spans="1:97" x14ac:dyDescent="0.25">
      <c r="A2759" t="s">
        <v>1979</v>
      </c>
      <c r="B2759" t="s">
        <v>18228</v>
      </c>
      <c r="C2759" t="s">
        <v>970</v>
      </c>
      <c r="D2759" t="s">
        <v>18228</v>
      </c>
      <c r="E2759" t="s">
        <v>18229</v>
      </c>
      <c r="F2759" t="s">
        <v>108</v>
      </c>
      <c r="H2759" t="s">
        <v>18230</v>
      </c>
      <c r="I2759" t="s">
        <v>110</v>
      </c>
      <c r="J2759" t="s">
        <v>111</v>
      </c>
      <c r="K2759" t="str">
        <f>"85224"</f>
        <v>85224</v>
      </c>
      <c r="L2759" t="s">
        <v>6169</v>
      </c>
      <c r="M2759" t="s">
        <v>18230</v>
      </c>
      <c r="N2759" t="s">
        <v>110</v>
      </c>
      <c r="O2759" t="s">
        <v>111</v>
      </c>
      <c r="P2759" t="str">
        <f>"85224-8559"</f>
        <v>85224-8559</v>
      </c>
      <c r="Q2759" t="s">
        <v>113</v>
      </c>
      <c r="R2759" t="str">
        <f>"302-97-219"</f>
        <v>302-97-219</v>
      </c>
      <c r="S2759" t="s">
        <v>18231</v>
      </c>
      <c r="T2759" t="s">
        <v>18232</v>
      </c>
      <c r="U2759">
        <v>2667</v>
      </c>
      <c r="V2759">
        <v>0</v>
      </c>
      <c r="W2759">
        <v>4</v>
      </c>
      <c r="X2759">
        <v>1992</v>
      </c>
      <c r="Z2759">
        <v>2</v>
      </c>
      <c r="AB2759">
        <v>0</v>
      </c>
      <c r="AC2759" t="s">
        <v>115</v>
      </c>
      <c r="AD2759">
        <v>3</v>
      </c>
      <c r="AE2759" t="s">
        <v>115</v>
      </c>
      <c r="AF2759">
        <v>0</v>
      </c>
      <c r="AG2759">
        <v>0</v>
      </c>
      <c r="AH2759" t="s">
        <v>116</v>
      </c>
      <c r="AI2759" s="1">
        <v>115425</v>
      </c>
      <c r="AJ2759" s="2">
        <v>0.28000000000000003</v>
      </c>
      <c r="AK2759" s="1">
        <v>405325</v>
      </c>
      <c r="AL2759" t="s">
        <v>117</v>
      </c>
      <c r="AM2759" t="s">
        <v>118</v>
      </c>
      <c r="AN2759">
        <v>7444</v>
      </c>
      <c r="AO2759">
        <v>0.17</v>
      </c>
      <c r="AP2759">
        <v>1</v>
      </c>
      <c r="AR2759">
        <v>1</v>
      </c>
      <c r="AS2759" s="1">
        <v>28610</v>
      </c>
      <c r="AT2759" s="1">
        <v>5720</v>
      </c>
      <c r="AU2759" s="1">
        <v>22890</v>
      </c>
      <c r="AV2759">
        <v>80.010000000000005</v>
      </c>
      <c r="AX2759" s="1">
        <v>2060</v>
      </c>
      <c r="AY2759" t="s">
        <v>5722</v>
      </c>
      <c r="AZ2759" t="s">
        <v>5078</v>
      </c>
      <c r="BA2759" t="s">
        <v>2957</v>
      </c>
      <c r="BE2759" s="3">
        <v>42045</v>
      </c>
      <c r="BF2759" s="1">
        <v>299900</v>
      </c>
      <c r="BG2759" t="s">
        <v>18233</v>
      </c>
      <c r="BH2759" s="1">
        <v>112.45</v>
      </c>
      <c r="BI2759" s="1">
        <v>289900</v>
      </c>
      <c r="BJ2759" s="3">
        <v>42045</v>
      </c>
      <c r="BK2759" t="s">
        <v>123</v>
      </c>
      <c r="BL2759" t="str">
        <f>"2015.85935"</f>
        <v>2015.85935</v>
      </c>
      <c r="BM2759" t="s">
        <v>2472</v>
      </c>
      <c r="BO2759" t="s">
        <v>18234</v>
      </c>
      <c r="BS2759">
        <v>30</v>
      </c>
      <c r="BW2759" t="str">
        <f>""</f>
        <v/>
      </c>
      <c r="CH2759" t="str">
        <f>""</f>
        <v/>
      </c>
      <c r="CS2759" t="str">
        <f>""</f>
        <v/>
      </c>
    </row>
    <row r="2760" spans="1:97" x14ac:dyDescent="0.25">
      <c r="A2760" t="s">
        <v>1514</v>
      </c>
      <c r="B2760" t="s">
        <v>11580</v>
      </c>
      <c r="E2760" t="s">
        <v>18235</v>
      </c>
      <c r="F2760" t="s">
        <v>108</v>
      </c>
      <c r="H2760" t="s">
        <v>18236</v>
      </c>
      <c r="I2760" t="s">
        <v>390</v>
      </c>
      <c r="J2760" t="s">
        <v>111</v>
      </c>
      <c r="K2760" t="str">
        <f>"85048"</f>
        <v>85048</v>
      </c>
      <c r="L2760" t="s">
        <v>9069</v>
      </c>
      <c r="M2760" t="s">
        <v>18236</v>
      </c>
      <c r="N2760" t="s">
        <v>390</v>
      </c>
      <c r="O2760" t="s">
        <v>111</v>
      </c>
      <c r="P2760" t="str">
        <f>"85048-7878"</f>
        <v>85048-7878</v>
      </c>
      <c r="Q2760" t="s">
        <v>113</v>
      </c>
      <c r="R2760" t="str">
        <f>"306-02-678-A"</f>
        <v>306-02-678-A</v>
      </c>
      <c r="S2760" t="s">
        <v>18237</v>
      </c>
      <c r="U2760">
        <v>2298</v>
      </c>
      <c r="V2760">
        <v>0</v>
      </c>
      <c r="W2760">
        <v>4</v>
      </c>
      <c r="X2760">
        <v>1988</v>
      </c>
      <c r="Z2760">
        <v>2</v>
      </c>
      <c r="AA2760" t="s">
        <v>26</v>
      </c>
      <c r="AB2760">
        <v>0</v>
      </c>
      <c r="AC2760" t="s">
        <v>115</v>
      </c>
      <c r="AD2760">
        <v>3</v>
      </c>
      <c r="AE2760" t="s">
        <v>115</v>
      </c>
      <c r="AF2760">
        <v>0</v>
      </c>
      <c r="AG2760">
        <v>0</v>
      </c>
      <c r="AH2760" t="s">
        <v>116</v>
      </c>
      <c r="AI2760" s="1">
        <v>37238</v>
      </c>
      <c r="AJ2760" s="2">
        <v>0.09</v>
      </c>
      <c r="AK2760" s="1">
        <v>410438</v>
      </c>
      <c r="AL2760" t="s">
        <v>117</v>
      </c>
      <c r="AM2760" t="s">
        <v>1315</v>
      </c>
      <c r="AN2760">
        <v>11082</v>
      </c>
      <c r="AO2760">
        <v>0.25</v>
      </c>
      <c r="AP2760">
        <v>1</v>
      </c>
      <c r="AR2760">
        <v>1</v>
      </c>
      <c r="AS2760" s="1">
        <v>31260</v>
      </c>
      <c r="AT2760" s="1">
        <v>6250</v>
      </c>
      <c r="AU2760" s="1">
        <v>25010</v>
      </c>
      <c r="AV2760">
        <v>80.010000000000005</v>
      </c>
      <c r="AX2760" s="1">
        <v>3027.28</v>
      </c>
      <c r="AY2760" t="s">
        <v>928</v>
      </c>
      <c r="AZ2760" t="s">
        <v>929</v>
      </c>
      <c r="BA2760" t="s">
        <v>930</v>
      </c>
      <c r="BE2760" s="3">
        <v>42326</v>
      </c>
      <c r="BF2760" s="1">
        <v>366000</v>
      </c>
      <c r="BG2760" t="s">
        <v>18238</v>
      </c>
      <c r="BH2760" s="1">
        <v>159.27000000000001</v>
      </c>
      <c r="BI2760" s="1">
        <v>373200</v>
      </c>
      <c r="BJ2760" s="3">
        <v>42562</v>
      </c>
      <c r="BK2760" t="s">
        <v>123</v>
      </c>
      <c r="BL2760" t="str">
        <f>"2016.484139"</f>
        <v>2016.484139</v>
      </c>
      <c r="BM2760" t="s">
        <v>1122</v>
      </c>
      <c r="BO2760" t="s">
        <v>18239</v>
      </c>
      <c r="BS2760">
        <v>30</v>
      </c>
      <c r="BW2760" t="str">
        <f>""</f>
        <v/>
      </c>
      <c r="CH2760" t="str">
        <f>""</f>
        <v/>
      </c>
      <c r="CS2760" t="str">
        <f>""</f>
        <v/>
      </c>
    </row>
    <row r="2761" spans="1:97" x14ac:dyDescent="0.25">
      <c r="A2761" t="s">
        <v>894</v>
      </c>
      <c r="B2761" t="s">
        <v>18240</v>
      </c>
      <c r="E2761" t="s">
        <v>18241</v>
      </c>
      <c r="F2761" t="s">
        <v>108</v>
      </c>
      <c r="H2761" t="s">
        <v>18242</v>
      </c>
      <c r="I2761" t="s">
        <v>5387</v>
      </c>
      <c r="J2761" t="s">
        <v>111</v>
      </c>
      <c r="K2761" t="str">
        <f>"85284"</f>
        <v>85284</v>
      </c>
      <c r="L2761" t="s">
        <v>5606</v>
      </c>
      <c r="M2761" t="s">
        <v>18242</v>
      </c>
      <c r="N2761" t="s">
        <v>5387</v>
      </c>
      <c r="O2761" t="s">
        <v>111</v>
      </c>
      <c r="P2761" t="str">
        <f>"85284-3471"</f>
        <v>85284-3471</v>
      </c>
      <c r="Q2761" t="s">
        <v>113</v>
      </c>
      <c r="R2761" t="str">
        <f>"301-63-728"</f>
        <v>301-63-728</v>
      </c>
      <c r="S2761" t="s">
        <v>18243</v>
      </c>
      <c r="T2761" t="s">
        <v>18244</v>
      </c>
      <c r="U2761">
        <v>2917</v>
      </c>
      <c r="V2761">
        <v>0</v>
      </c>
      <c r="W2761">
        <v>4</v>
      </c>
      <c r="X2761">
        <v>1985</v>
      </c>
      <c r="Z2761">
        <v>2</v>
      </c>
      <c r="AA2761" t="s">
        <v>26</v>
      </c>
      <c r="AB2761">
        <v>0</v>
      </c>
      <c r="AC2761" t="s">
        <v>115</v>
      </c>
      <c r="AD2761">
        <v>3</v>
      </c>
      <c r="AE2761" t="s">
        <v>115</v>
      </c>
      <c r="AF2761">
        <v>0</v>
      </c>
      <c r="AG2761">
        <v>0</v>
      </c>
      <c r="AH2761" t="s">
        <v>116</v>
      </c>
      <c r="AI2761" s="1">
        <v>-1706902</v>
      </c>
      <c r="AJ2761" s="2">
        <v>-3.46</v>
      </c>
      <c r="AK2761" s="1">
        <v>493498</v>
      </c>
      <c r="AL2761" t="s">
        <v>117</v>
      </c>
      <c r="AM2761" t="s">
        <v>393</v>
      </c>
      <c r="AN2761">
        <v>9370</v>
      </c>
      <c r="AO2761">
        <v>0.22</v>
      </c>
      <c r="AP2761">
        <v>1</v>
      </c>
      <c r="AR2761">
        <v>1</v>
      </c>
      <c r="AS2761" s="1">
        <v>36780</v>
      </c>
      <c r="AT2761" s="1">
        <v>7350</v>
      </c>
      <c r="AU2761" s="1">
        <v>29430</v>
      </c>
      <c r="AV2761">
        <v>80.02</v>
      </c>
      <c r="AX2761" s="1">
        <v>3573.48</v>
      </c>
      <c r="AY2761" t="s">
        <v>5921</v>
      </c>
      <c r="AZ2761" t="s">
        <v>5922</v>
      </c>
      <c r="BA2761" t="s">
        <v>5202</v>
      </c>
      <c r="BE2761" s="3">
        <v>42104</v>
      </c>
      <c r="BF2761" s="1">
        <v>400000</v>
      </c>
      <c r="BG2761" t="s">
        <v>18245</v>
      </c>
      <c r="BH2761" s="1">
        <v>137.13</v>
      </c>
      <c r="BI2761" s="1">
        <v>433400</v>
      </c>
      <c r="BJ2761" s="3">
        <v>42502</v>
      </c>
      <c r="BK2761" t="s">
        <v>123</v>
      </c>
      <c r="BL2761" t="str">
        <f>"2016.326413"</f>
        <v>2016.326413</v>
      </c>
      <c r="BM2761" t="s">
        <v>2117</v>
      </c>
      <c r="BO2761" t="s">
        <v>18246</v>
      </c>
      <c r="BQ2761" t="str">
        <f>"1.7500%"</f>
        <v>1.7500%</v>
      </c>
      <c r="BR2761" t="s">
        <v>1480</v>
      </c>
      <c r="BS2761">
        <v>30</v>
      </c>
      <c r="BT2761" s="1">
        <v>1767000</v>
      </c>
      <c r="BU2761" s="3">
        <v>42923</v>
      </c>
      <c r="BW2761" t="str">
        <f>"2017.497877"</f>
        <v>2017.497877</v>
      </c>
      <c r="BX2761" t="s">
        <v>18247</v>
      </c>
      <c r="BZ2761" t="s">
        <v>18248</v>
      </c>
      <c r="CC2761" t="s">
        <v>1633</v>
      </c>
      <c r="CH2761" t="str">
        <f>""</f>
        <v/>
      </c>
      <c r="CS2761" t="str">
        <f>""</f>
        <v/>
      </c>
    </row>
    <row r="2762" spans="1:97" x14ac:dyDescent="0.25">
      <c r="A2762" t="s">
        <v>2628</v>
      </c>
      <c r="B2762" t="s">
        <v>5413</v>
      </c>
      <c r="E2762" t="s">
        <v>18249</v>
      </c>
      <c r="F2762" t="s">
        <v>108</v>
      </c>
      <c r="H2762" t="s">
        <v>18250</v>
      </c>
      <c r="I2762" t="s">
        <v>499</v>
      </c>
      <c r="J2762" t="s">
        <v>111</v>
      </c>
      <c r="K2762" t="str">
        <f>"85395"</f>
        <v>85395</v>
      </c>
      <c r="L2762" t="s">
        <v>7005</v>
      </c>
      <c r="M2762" t="s">
        <v>18250</v>
      </c>
      <c r="N2762" t="s">
        <v>499</v>
      </c>
      <c r="O2762" t="s">
        <v>111</v>
      </c>
      <c r="P2762" t="str">
        <f>"85395-8954"</f>
        <v>85395-8954</v>
      </c>
      <c r="Q2762" t="s">
        <v>113</v>
      </c>
      <c r="R2762" t="str">
        <f>"508-14-225"</f>
        <v>508-14-225</v>
      </c>
      <c r="S2762" t="s">
        <v>14773</v>
      </c>
      <c r="T2762" t="s">
        <v>14987</v>
      </c>
      <c r="U2762">
        <v>3707</v>
      </c>
      <c r="V2762">
        <v>0</v>
      </c>
      <c r="W2762">
        <v>5</v>
      </c>
      <c r="X2762">
        <v>2005</v>
      </c>
      <c r="Z2762">
        <v>2</v>
      </c>
      <c r="AA2762" t="s">
        <v>26</v>
      </c>
      <c r="AB2762">
        <v>0</v>
      </c>
      <c r="AC2762" t="s">
        <v>115</v>
      </c>
      <c r="AD2762">
        <v>3</v>
      </c>
      <c r="AE2762" t="s">
        <v>115</v>
      </c>
      <c r="AF2762">
        <v>0</v>
      </c>
      <c r="AG2762">
        <v>0</v>
      </c>
      <c r="AH2762" t="s">
        <v>116</v>
      </c>
      <c r="AI2762" s="1">
        <v>80708</v>
      </c>
      <c r="AJ2762" s="2">
        <v>0.18</v>
      </c>
      <c r="AK2762" s="1">
        <v>437609</v>
      </c>
      <c r="AL2762" t="s">
        <v>117</v>
      </c>
      <c r="AM2762" t="s">
        <v>118</v>
      </c>
      <c r="AN2762">
        <v>8400</v>
      </c>
      <c r="AO2762">
        <v>0.19</v>
      </c>
      <c r="AR2762">
        <v>1</v>
      </c>
      <c r="AS2762" s="1">
        <v>32230</v>
      </c>
      <c r="AT2762" s="1">
        <v>6440</v>
      </c>
      <c r="AU2762" s="1">
        <v>25790</v>
      </c>
      <c r="AV2762">
        <v>80.02</v>
      </c>
      <c r="AX2762" s="1">
        <v>3348.1</v>
      </c>
      <c r="AY2762" t="s">
        <v>3020</v>
      </c>
      <c r="AZ2762" t="s">
        <v>3020</v>
      </c>
      <c r="BA2762" t="s">
        <v>7186</v>
      </c>
      <c r="BE2762" s="3">
        <v>42552</v>
      </c>
      <c r="BF2762" s="1">
        <v>345500</v>
      </c>
      <c r="BG2762" t="s">
        <v>18251</v>
      </c>
      <c r="BH2762" s="1">
        <v>93.2</v>
      </c>
      <c r="BI2762" s="1">
        <v>356901</v>
      </c>
      <c r="BJ2762" s="3">
        <v>42552</v>
      </c>
      <c r="BK2762" t="s">
        <v>123</v>
      </c>
      <c r="BL2762" t="str">
        <f>"2016.465718"</f>
        <v>2016.465718</v>
      </c>
      <c r="BM2762" t="s">
        <v>1287</v>
      </c>
      <c r="BO2762" t="s">
        <v>18252</v>
      </c>
      <c r="BS2762">
        <v>30</v>
      </c>
      <c r="BW2762" t="str">
        <f>""</f>
        <v/>
      </c>
      <c r="CH2762" t="str">
        <f>""</f>
        <v/>
      </c>
      <c r="CS2762" t="str">
        <f>""</f>
        <v/>
      </c>
    </row>
    <row r="2763" spans="1:97" x14ac:dyDescent="0.25">
      <c r="A2763" t="s">
        <v>610</v>
      </c>
      <c r="B2763" t="s">
        <v>18253</v>
      </c>
      <c r="C2763" t="s">
        <v>1181</v>
      </c>
      <c r="D2763" t="s">
        <v>18253</v>
      </c>
      <c r="E2763" t="s">
        <v>18254</v>
      </c>
      <c r="F2763" t="s">
        <v>108</v>
      </c>
      <c r="H2763" t="s">
        <v>18255</v>
      </c>
      <c r="I2763" t="s">
        <v>2874</v>
      </c>
      <c r="J2763" t="s">
        <v>111</v>
      </c>
      <c r="K2763" t="str">
        <f>"85302"</f>
        <v>85302</v>
      </c>
      <c r="L2763" t="s">
        <v>5209</v>
      </c>
      <c r="M2763" t="s">
        <v>18255</v>
      </c>
      <c r="N2763" t="s">
        <v>2874</v>
      </c>
      <c r="O2763" t="s">
        <v>111</v>
      </c>
      <c r="P2763" t="str">
        <f>"85302-2311"</f>
        <v>85302-2311</v>
      </c>
      <c r="Q2763" t="s">
        <v>113</v>
      </c>
      <c r="R2763" t="str">
        <f>"148-24-003-X"</f>
        <v>148-24-003-X</v>
      </c>
      <c r="U2763">
        <v>3153</v>
      </c>
      <c r="V2763">
        <v>0</v>
      </c>
      <c r="W2763">
        <v>4</v>
      </c>
      <c r="X2763">
        <v>1984</v>
      </c>
      <c r="Z2763">
        <v>1</v>
      </c>
      <c r="AA2763" t="s">
        <v>26</v>
      </c>
      <c r="AB2763">
        <v>0</v>
      </c>
      <c r="AC2763" t="s">
        <v>115</v>
      </c>
      <c r="AD2763">
        <v>2</v>
      </c>
      <c r="AE2763" t="s">
        <v>115</v>
      </c>
      <c r="AF2763">
        <v>0</v>
      </c>
      <c r="AG2763">
        <v>0</v>
      </c>
      <c r="AH2763" t="s">
        <v>116</v>
      </c>
      <c r="AI2763" s="1">
        <v>83592</v>
      </c>
      <c r="AJ2763" s="2">
        <v>0.17</v>
      </c>
      <c r="AK2763" s="1">
        <v>503292</v>
      </c>
      <c r="AL2763" t="s">
        <v>117</v>
      </c>
      <c r="AM2763" t="s">
        <v>3111</v>
      </c>
      <c r="AN2763">
        <v>35284</v>
      </c>
      <c r="AO2763">
        <v>0.81</v>
      </c>
      <c r="AP2763">
        <v>1</v>
      </c>
      <c r="AR2763">
        <v>1</v>
      </c>
      <c r="AS2763" s="1">
        <v>38150</v>
      </c>
      <c r="AT2763" s="1">
        <v>7630</v>
      </c>
      <c r="AU2763" s="1">
        <v>30520</v>
      </c>
      <c r="AV2763">
        <v>80</v>
      </c>
      <c r="AX2763" s="1">
        <v>2922.2</v>
      </c>
      <c r="AY2763" t="s">
        <v>8680</v>
      </c>
      <c r="AZ2763" t="s">
        <v>8680</v>
      </c>
      <c r="BA2763" t="s">
        <v>8681</v>
      </c>
      <c r="BE2763" s="3">
        <v>42265</v>
      </c>
      <c r="BF2763" s="1">
        <v>400000</v>
      </c>
      <c r="BG2763" t="s">
        <v>18256</v>
      </c>
      <c r="BH2763" s="1">
        <v>126.82</v>
      </c>
      <c r="BI2763" s="1">
        <v>309000</v>
      </c>
      <c r="BJ2763" s="3">
        <v>42669</v>
      </c>
      <c r="BK2763" t="s">
        <v>123</v>
      </c>
      <c r="BL2763" t="str">
        <f>"2016.784703"</f>
        <v>2016.784703</v>
      </c>
      <c r="BM2763" t="s">
        <v>1287</v>
      </c>
      <c r="BN2763" t="s">
        <v>9591</v>
      </c>
      <c r="BO2763" t="s">
        <v>18257</v>
      </c>
      <c r="BS2763">
        <v>30</v>
      </c>
      <c r="BT2763" s="1">
        <v>110700</v>
      </c>
      <c r="BU2763" s="3">
        <v>43579</v>
      </c>
      <c r="BW2763" t="str">
        <f>"2019.290075"</f>
        <v>2019.290075</v>
      </c>
      <c r="BX2763" t="s">
        <v>9931</v>
      </c>
      <c r="BY2763" t="s">
        <v>9932</v>
      </c>
      <c r="BZ2763" t="s">
        <v>18258</v>
      </c>
      <c r="CA2763" t="s">
        <v>18259</v>
      </c>
      <c r="CC2763" t="s">
        <v>346</v>
      </c>
      <c r="CH2763" t="str">
        <f>""</f>
        <v/>
      </c>
      <c r="CS2763" t="str">
        <f>""</f>
        <v/>
      </c>
    </row>
    <row r="2764" spans="1:97" x14ac:dyDescent="0.25">
      <c r="A2764" t="s">
        <v>14002</v>
      </c>
      <c r="B2764" t="s">
        <v>529</v>
      </c>
      <c r="C2764" t="s">
        <v>767</v>
      </c>
      <c r="D2764" t="s">
        <v>529</v>
      </c>
      <c r="E2764" t="s">
        <v>18260</v>
      </c>
      <c r="F2764" t="s">
        <v>108</v>
      </c>
      <c r="H2764" t="s">
        <v>18261</v>
      </c>
      <c r="I2764" t="s">
        <v>1397</v>
      </c>
      <c r="J2764" t="s">
        <v>111</v>
      </c>
      <c r="K2764" t="str">
        <f>"85331"</f>
        <v>85331</v>
      </c>
      <c r="L2764" t="s">
        <v>7761</v>
      </c>
      <c r="M2764" t="s">
        <v>18261</v>
      </c>
      <c r="N2764" t="s">
        <v>1397</v>
      </c>
      <c r="O2764" t="s">
        <v>111</v>
      </c>
      <c r="P2764" t="str">
        <f>"85331-2213"</f>
        <v>85331-2213</v>
      </c>
      <c r="Q2764" t="s">
        <v>113</v>
      </c>
      <c r="R2764" t="str">
        <f>"211-40-184"</f>
        <v>211-40-184</v>
      </c>
      <c r="S2764" t="s">
        <v>7762</v>
      </c>
      <c r="U2764">
        <v>2034</v>
      </c>
      <c r="V2764">
        <v>0</v>
      </c>
      <c r="W2764">
        <v>3</v>
      </c>
      <c r="X2764">
        <v>1997</v>
      </c>
      <c r="Z2764">
        <v>1</v>
      </c>
      <c r="AA2764" t="s">
        <v>26</v>
      </c>
      <c r="AB2764">
        <v>0</v>
      </c>
      <c r="AC2764" t="s">
        <v>115</v>
      </c>
      <c r="AD2764">
        <v>2</v>
      </c>
      <c r="AE2764" t="s">
        <v>115</v>
      </c>
      <c r="AF2764">
        <v>0</v>
      </c>
      <c r="AG2764">
        <v>0</v>
      </c>
      <c r="AH2764" t="s">
        <v>116</v>
      </c>
      <c r="AI2764" s="1">
        <v>14648</v>
      </c>
      <c r="AJ2764" s="2">
        <v>0.04</v>
      </c>
      <c r="AK2764" s="1">
        <v>416485</v>
      </c>
      <c r="AL2764" t="s">
        <v>117</v>
      </c>
      <c r="AM2764" t="s">
        <v>191</v>
      </c>
      <c r="AN2764">
        <v>7160</v>
      </c>
      <c r="AO2764">
        <v>0.16</v>
      </c>
      <c r="AP2764">
        <v>1</v>
      </c>
      <c r="AR2764">
        <v>1</v>
      </c>
      <c r="AS2764" s="1">
        <v>30370</v>
      </c>
      <c r="AT2764" s="1">
        <v>6070</v>
      </c>
      <c r="AU2764" s="1">
        <v>24300</v>
      </c>
      <c r="AV2764">
        <v>80.010000000000005</v>
      </c>
      <c r="AX2764" s="1">
        <v>1915.54</v>
      </c>
      <c r="AY2764" t="s">
        <v>7763</v>
      </c>
      <c r="AZ2764" t="s">
        <v>1402</v>
      </c>
      <c r="BA2764" t="s">
        <v>1403</v>
      </c>
      <c r="BB2764" s="3">
        <v>43465</v>
      </c>
      <c r="BC2764" s="1">
        <v>0</v>
      </c>
      <c r="BD2764" t="s">
        <v>291</v>
      </c>
      <c r="BE2764" s="3">
        <v>41977</v>
      </c>
      <c r="BF2764" s="1">
        <v>348000</v>
      </c>
      <c r="BG2764" t="s">
        <v>18262</v>
      </c>
      <c r="BH2764" s="1">
        <v>171.09</v>
      </c>
      <c r="BI2764" s="1">
        <v>401837</v>
      </c>
      <c r="BJ2764" s="3">
        <v>43461</v>
      </c>
      <c r="BK2764" t="s">
        <v>123</v>
      </c>
      <c r="BL2764" t="str">
        <f>"2018.946496"</f>
        <v>2018.946496</v>
      </c>
      <c r="BM2764" t="s">
        <v>18263</v>
      </c>
      <c r="BN2764" t="s">
        <v>18264</v>
      </c>
      <c r="BO2764" t="s">
        <v>18265</v>
      </c>
      <c r="BP2764" t="s">
        <v>18266</v>
      </c>
      <c r="BR2764" t="s">
        <v>139</v>
      </c>
      <c r="BW2764" t="str">
        <f>""</f>
        <v/>
      </c>
      <c r="CH2764" t="str">
        <f>""</f>
        <v/>
      </c>
      <c r="CS2764" t="str">
        <f>""</f>
        <v/>
      </c>
    </row>
    <row r="2765" spans="1:97" x14ac:dyDescent="0.25">
      <c r="A2765" t="s">
        <v>18267</v>
      </c>
      <c r="B2765" t="s">
        <v>8923</v>
      </c>
      <c r="E2765" t="s">
        <v>18268</v>
      </c>
      <c r="F2765" t="s">
        <v>108</v>
      </c>
      <c r="H2765" t="s">
        <v>18269</v>
      </c>
      <c r="I2765" t="s">
        <v>1936</v>
      </c>
      <c r="J2765" t="s">
        <v>111</v>
      </c>
      <c r="K2765" t="str">
        <f>"85259"</f>
        <v>85259</v>
      </c>
      <c r="L2765" t="s">
        <v>6308</v>
      </c>
      <c r="M2765" t="s">
        <v>18269</v>
      </c>
      <c r="N2765" t="s">
        <v>1936</v>
      </c>
      <c r="O2765" t="s">
        <v>111</v>
      </c>
      <c r="P2765" t="str">
        <f>"85259-5881"</f>
        <v>85259-5881</v>
      </c>
      <c r="Q2765" t="s">
        <v>113</v>
      </c>
      <c r="R2765" t="str">
        <f>"217-33-833"</f>
        <v>217-33-833</v>
      </c>
      <c r="S2765" t="s">
        <v>18270</v>
      </c>
      <c r="T2765" t="s">
        <v>8982</v>
      </c>
      <c r="U2765">
        <v>3609</v>
      </c>
      <c r="V2765">
        <v>0</v>
      </c>
      <c r="W2765">
        <v>5</v>
      </c>
      <c r="X2765">
        <v>1993</v>
      </c>
      <c r="Z2765">
        <v>1</v>
      </c>
      <c r="AA2765" t="s">
        <v>26</v>
      </c>
      <c r="AB2765">
        <v>0</v>
      </c>
      <c r="AC2765" t="s">
        <v>115</v>
      </c>
      <c r="AD2765">
        <v>3</v>
      </c>
      <c r="AE2765" t="s">
        <v>115</v>
      </c>
      <c r="AF2765">
        <v>0</v>
      </c>
      <c r="AG2765">
        <v>0</v>
      </c>
      <c r="AH2765" t="s">
        <v>116</v>
      </c>
      <c r="AI2765" s="1">
        <v>149295</v>
      </c>
      <c r="AJ2765" s="2">
        <v>0.18</v>
      </c>
      <c r="AK2765" s="1">
        <v>840828</v>
      </c>
      <c r="AL2765" t="s">
        <v>117</v>
      </c>
      <c r="AM2765" t="s">
        <v>616</v>
      </c>
      <c r="AN2765">
        <v>13483</v>
      </c>
      <c r="AO2765">
        <v>0.31</v>
      </c>
      <c r="AP2765">
        <v>1</v>
      </c>
      <c r="AR2765">
        <v>1</v>
      </c>
      <c r="AS2765" s="1">
        <v>69830</v>
      </c>
      <c r="AT2765" s="1">
        <v>13960</v>
      </c>
      <c r="AU2765" s="1">
        <v>55870</v>
      </c>
      <c r="AV2765">
        <v>80.010000000000005</v>
      </c>
      <c r="AX2765" s="1">
        <v>5416.68</v>
      </c>
      <c r="AY2765" t="s">
        <v>5761</v>
      </c>
      <c r="AZ2765" t="s">
        <v>5762</v>
      </c>
      <c r="BA2765" t="s">
        <v>5763</v>
      </c>
      <c r="BB2765" s="3">
        <v>42228</v>
      </c>
      <c r="BD2765" t="s">
        <v>458</v>
      </c>
      <c r="BE2765" s="3">
        <v>41855</v>
      </c>
      <c r="BF2765" s="1">
        <v>725000</v>
      </c>
      <c r="BG2765" t="s">
        <v>18271</v>
      </c>
      <c r="BH2765" s="1">
        <v>200.89</v>
      </c>
      <c r="BI2765" s="1">
        <v>691533</v>
      </c>
      <c r="BJ2765" s="3">
        <v>42667</v>
      </c>
      <c r="BK2765" t="s">
        <v>123</v>
      </c>
      <c r="BL2765" t="str">
        <f>"2016.776930"</f>
        <v>2016.776930</v>
      </c>
      <c r="BM2765" t="s">
        <v>2117</v>
      </c>
      <c r="BO2765" t="s">
        <v>18272</v>
      </c>
      <c r="BQ2765" t="str">
        <f>"1.7500%"</f>
        <v>1.7500%</v>
      </c>
      <c r="BR2765" t="s">
        <v>1480</v>
      </c>
      <c r="BS2765">
        <v>30</v>
      </c>
      <c r="BW2765" t="str">
        <f>""</f>
        <v/>
      </c>
      <c r="CH2765" t="str">
        <f>""</f>
        <v/>
      </c>
      <c r="CS2765" t="str">
        <f>""</f>
        <v/>
      </c>
    </row>
    <row r="2766" spans="1:97" x14ac:dyDescent="0.25">
      <c r="B2766" t="s">
        <v>18273</v>
      </c>
      <c r="E2766" t="s">
        <v>18274</v>
      </c>
      <c r="F2766" t="s">
        <v>108</v>
      </c>
      <c r="H2766" t="s">
        <v>18275</v>
      </c>
      <c r="I2766" t="s">
        <v>5387</v>
      </c>
      <c r="J2766" t="s">
        <v>111</v>
      </c>
      <c r="K2766" t="str">
        <f>"85284"</f>
        <v>85284</v>
      </c>
      <c r="L2766" t="s">
        <v>5524</v>
      </c>
      <c r="M2766" t="s">
        <v>18275</v>
      </c>
      <c r="N2766" t="s">
        <v>5387</v>
      </c>
      <c r="O2766" t="s">
        <v>111</v>
      </c>
      <c r="P2766" t="str">
        <f>"85284-2415"</f>
        <v>85284-2415</v>
      </c>
      <c r="Q2766" t="s">
        <v>113</v>
      </c>
      <c r="R2766" t="str">
        <f>"301-51-123"</f>
        <v>301-51-123</v>
      </c>
      <c r="S2766" t="s">
        <v>8794</v>
      </c>
      <c r="T2766" t="s">
        <v>8794</v>
      </c>
      <c r="U2766">
        <v>4484</v>
      </c>
      <c r="V2766">
        <v>0</v>
      </c>
      <c r="W2766">
        <v>5</v>
      </c>
      <c r="X2766">
        <v>1982</v>
      </c>
      <c r="Y2766">
        <v>1982</v>
      </c>
      <c r="Z2766">
        <v>1</v>
      </c>
      <c r="AA2766" t="s">
        <v>26</v>
      </c>
      <c r="AB2766">
        <v>0</v>
      </c>
      <c r="AC2766" t="s">
        <v>115</v>
      </c>
      <c r="AD2766">
        <v>3</v>
      </c>
      <c r="AE2766" t="s">
        <v>115</v>
      </c>
      <c r="AF2766">
        <v>0</v>
      </c>
      <c r="AG2766">
        <v>0</v>
      </c>
      <c r="AH2766" t="s">
        <v>116</v>
      </c>
      <c r="AI2766" s="1">
        <v>562818</v>
      </c>
      <c r="AJ2766" s="2">
        <v>0.51</v>
      </c>
      <c r="AK2766" s="1">
        <v>1108768</v>
      </c>
      <c r="AL2766" t="s">
        <v>117</v>
      </c>
      <c r="AM2766" t="s">
        <v>3111</v>
      </c>
      <c r="AN2766">
        <v>42393</v>
      </c>
      <c r="AO2766">
        <v>0.97</v>
      </c>
      <c r="AP2766">
        <v>1</v>
      </c>
      <c r="AR2766">
        <v>1</v>
      </c>
      <c r="AS2766" s="1">
        <v>101870</v>
      </c>
      <c r="AT2766" s="1">
        <v>20370</v>
      </c>
      <c r="AU2766" s="1">
        <v>81500</v>
      </c>
      <c r="AV2766">
        <v>80</v>
      </c>
      <c r="AX2766" s="1">
        <v>9674.76</v>
      </c>
      <c r="AY2766" t="s">
        <v>8795</v>
      </c>
      <c r="AZ2766" t="s">
        <v>5391</v>
      </c>
      <c r="BA2766" t="s">
        <v>5202</v>
      </c>
      <c r="BB2766" s="3">
        <v>42551</v>
      </c>
      <c r="BD2766" t="s">
        <v>240</v>
      </c>
      <c r="BE2766" s="3">
        <v>41968</v>
      </c>
      <c r="BF2766" s="1">
        <v>750000</v>
      </c>
      <c r="BG2766" t="s">
        <v>18276</v>
      </c>
      <c r="BH2766" s="1">
        <v>167.26</v>
      </c>
      <c r="BI2766" s="1">
        <v>545950</v>
      </c>
      <c r="BJ2766" s="3">
        <v>42551</v>
      </c>
      <c r="BK2766" t="s">
        <v>123</v>
      </c>
      <c r="BL2766" t="str">
        <f>"2016.463635"</f>
        <v>2016.463635</v>
      </c>
      <c r="BM2766" t="s">
        <v>1192</v>
      </c>
      <c r="BO2766" t="s">
        <v>18277</v>
      </c>
      <c r="BS2766">
        <v>30</v>
      </c>
      <c r="BW2766" t="str">
        <f>""</f>
        <v/>
      </c>
      <c r="CH2766" t="str">
        <f>""</f>
        <v/>
      </c>
      <c r="CS2766" t="str">
        <f>""</f>
        <v/>
      </c>
    </row>
    <row r="2767" spans="1:97" x14ac:dyDescent="0.25">
      <c r="A2767" t="s">
        <v>18278</v>
      </c>
      <c r="B2767" t="s">
        <v>18279</v>
      </c>
      <c r="C2767" t="s">
        <v>355</v>
      </c>
      <c r="D2767" t="s">
        <v>18279</v>
      </c>
      <c r="E2767" t="s">
        <v>18280</v>
      </c>
      <c r="F2767" t="s">
        <v>108</v>
      </c>
      <c r="H2767" t="s">
        <v>18281</v>
      </c>
      <c r="I2767" t="s">
        <v>188</v>
      </c>
      <c r="J2767" t="s">
        <v>111</v>
      </c>
      <c r="K2767" t="str">
        <f>"85142"</f>
        <v>85142</v>
      </c>
      <c r="L2767" t="s">
        <v>3885</v>
      </c>
      <c r="M2767" t="s">
        <v>18281</v>
      </c>
      <c r="N2767" t="s">
        <v>188</v>
      </c>
      <c r="O2767" t="s">
        <v>111</v>
      </c>
      <c r="P2767" t="str">
        <f>"85142-7007"</f>
        <v>85142-7007</v>
      </c>
      <c r="R2767" t="str">
        <f>"304-91-194"</f>
        <v>304-91-194</v>
      </c>
      <c r="S2767" t="s">
        <v>18282</v>
      </c>
      <c r="T2767" t="s">
        <v>8003</v>
      </c>
      <c r="U2767">
        <v>3404</v>
      </c>
      <c r="V2767">
        <v>0</v>
      </c>
      <c r="W2767">
        <v>4</v>
      </c>
      <c r="X2767">
        <v>2000</v>
      </c>
      <c r="Z2767">
        <v>1</v>
      </c>
      <c r="AA2767" t="s">
        <v>26</v>
      </c>
      <c r="AB2767">
        <v>0</v>
      </c>
      <c r="AC2767" t="s">
        <v>115</v>
      </c>
      <c r="AD2767">
        <v>5</v>
      </c>
      <c r="AE2767" t="s">
        <v>115</v>
      </c>
      <c r="AF2767">
        <v>0</v>
      </c>
      <c r="AG2767">
        <v>0</v>
      </c>
      <c r="AH2767" t="s">
        <v>116</v>
      </c>
      <c r="AI2767" s="1">
        <v>6521</v>
      </c>
      <c r="AJ2767" s="2">
        <v>0.01</v>
      </c>
      <c r="AK2767" s="1">
        <v>480146</v>
      </c>
      <c r="AL2767" t="s">
        <v>117</v>
      </c>
      <c r="AM2767" t="s">
        <v>3973</v>
      </c>
      <c r="AN2767">
        <v>37705</v>
      </c>
      <c r="AO2767">
        <v>0.87</v>
      </c>
      <c r="AP2767">
        <v>1</v>
      </c>
      <c r="AR2767">
        <v>1</v>
      </c>
      <c r="AS2767" s="1">
        <v>47810</v>
      </c>
      <c r="AT2767" s="1">
        <v>9560</v>
      </c>
      <c r="AU2767" s="1">
        <v>38250</v>
      </c>
      <c r="AV2767">
        <v>80</v>
      </c>
      <c r="AX2767" s="1">
        <v>5753.14</v>
      </c>
      <c r="AY2767" t="s">
        <v>1074</v>
      </c>
      <c r="AZ2767" t="s">
        <v>193</v>
      </c>
      <c r="BA2767" t="s">
        <v>194</v>
      </c>
      <c r="BE2767" s="3">
        <v>42361</v>
      </c>
      <c r="BF2767" s="1">
        <v>492500</v>
      </c>
      <c r="BG2767" t="s">
        <v>18283</v>
      </c>
      <c r="BH2767" s="1">
        <v>144.68</v>
      </c>
      <c r="BI2767" s="1">
        <v>473625</v>
      </c>
      <c r="BJ2767" s="3">
        <v>42361</v>
      </c>
      <c r="BK2767" t="s">
        <v>123</v>
      </c>
      <c r="BL2767" t="str">
        <f>"2015.906252"</f>
        <v>2015.906252</v>
      </c>
      <c r="BM2767" t="s">
        <v>5747</v>
      </c>
      <c r="BN2767" t="s">
        <v>18284</v>
      </c>
      <c r="BO2767" t="s">
        <v>18285</v>
      </c>
      <c r="BS2767">
        <v>30</v>
      </c>
      <c r="BW2767" t="str">
        <f>""</f>
        <v/>
      </c>
      <c r="CH2767" t="str">
        <f>""</f>
        <v/>
      </c>
      <c r="CS2767" t="str">
        <f>""</f>
        <v/>
      </c>
    </row>
    <row r="2768" spans="1:97" x14ac:dyDescent="0.25">
      <c r="A2768" t="s">
        <v>18286</v>
      </c>
      <c r="B2768" t="s">
        <v>18287</v>
      </c>
      <c r="C2768" t="s">
        <v>18288</v>
      </c>
      <c r="D2768" t="s">
        <v>18287</v>
      </c>
      <c r="E2768" t="s">
        <v>18289</v>
      </c>
      <c r="F2768" t="s">
        <v>108</v>
      </c>
      <c r="H2768" t="s">
        <v>18290</v>
      </c>
      <c r="I2768" t="s">
        <v>453</v>
      </c>
      <c r="J2768" t="s">
        <v>111</v>
      </c>
      <c r="K2768" t="str">
        <f>"85383"</f>
        <v>85383</v>
      </c>
      <c r="L2768" t="s">
        <v>1244</v>
      </c>
      <c r="M2768" t="s">
        <v>18290</v>
      </c>
      <c r="N2768" t="s">
        <v>453</v>
      </c>
      <c r="O2768" t="s">
        <v>111</v>
      </c>
      <c r="P2768" t="str">
        <f>"85383-8758"</f>
        <v>85383-8758</v>
      </c>
      <c r="Q2768" t="s">
        <v>113</v>
      </c>
      <c r="R2768" t="str">
        <f>"201-36-237"</f>
        <v>201-36-237</v>
      </c>
      <c r="S2768" t="s">
        <v>14594</v>
      </c>
      <c r="T2768" t="s">
        <v>14595</v>
      </c>
      <c r="U2768">
        <v>4464</v>
      </c>
      <c r="V2768">
        <v>0</v>
      </c>
      <c r="W2768">
        <v>5</v>
      </c>
      <c r="X2768">
        <v>2003</v>
      </c>
      <c r="Z2768">
        <v>2</v>
      </c>
      <c r="AA2768" t="s">
        <v>26</v>
      </c>
      <c r="AB2768">
        <v>0</v>
      </c>
      <c r="AC2768" t="s">
        <v>115</v>
      </c>
      <c r="AD2768">
        <v>3</v>
      </c>
      <c r="AE2768" t="s">
        <v>115</v>
      </c>
      <c r="AF2768">
        <v>0</v>
      </c>
      <c r="AG2768">
        <v>0</v>
      </c>
      <c r="AH2768" t="s">
        <v>116</v>
      </c>
      <c r="AI2768" s="1">
        <v>104810</v>
      </c>
      <c r="AJ2768" s="2">
        <v>0.2</v>
      </c>
      <c r="AK2768" s="1">
        <v>532510</v>
      </c>
      <c r="AL2768" t="s">
        <v>117</v>
      </c>
      <c r="AM2768" t="s">
        <v>118</v>
      </c>
      <c r="AN2768">
        <v>14850</v>
      </c>
      <c r="AO2768">
        <v>0.34</v>
      </c>
      <c r="AP2768">
        <v>1</v>
      </c>
      <c r="AR2768">
        <v>1</v>
      </c>
      <c r="AS2768" s="1">
        <v>40170</v>
      </c>
      <c r="AT2768" s="1">
        <v>8030</v>
      </c>
      <c r="AU2768" s="1">
        <v>32140</v>
      </c>
      <c r="AV2768">
        <v>80.010000000000005</v>
      </c>
      <c r="AX2768" s="1">
        <v>3825.92</v>
      </c>
      <c r="AY2768" t="s">
        <v>8323</v>
      </c>
      <c r="AZ2768" t="s">
        <v>8323</v>
      </c>
      <c r="BA2768" t="s">
        <v>1386</v>
      </c>
      <c r="BE2768" s="3">
        <v>41793</v>
      </c>
      <c r="BF2768" s="1">
        <v>417500</v>
      </c>
      <c r="BG2768" t="s">
        <v>18291</v>
      </c>
      <c r="BH2768" s="1">
        <v>93.53</v>
      </c>
      <c r="BI2768" s="1">
        <v>427700</v>
      </c>
      <c r="BJ2768" s="3">
        <v>42333</v>
      </c>
      <c r="BK2768" t="s">
        <v>123</v>
      </c>
      <c r="BL2768" t="str">
        <f>"2015.841856"</f>
        <v>2015.841856</v>
      </c>
      <c r="BM2768" t="s">
        <v>124</v>
      </c>
      <c r="BO2768" t="s">
        <v>18292</v>
      </c>
      <c r="BS2768">
        <v>30</v>
      </c>
      <c r="BW2768" t="str">
        <f>""</f>
        <v/>
      </c>
      <c r="CH2768" t="str">
        <f>""</f>
        <v/>
      </c>
      <c r="CS2768" t="str">
        <f>""</f>
        <v/>
      </c>
    </row>
    <row r="2769" spans="1:97" x14ac:dyDescent="0.25">
      <c r="A2769" t="s">
        <v>1160</v>
      </c>
      <c r="B2769" t="s">
        <v>18293</v>
      </c>
      <c r="E2769" t="s">
        <v>18294</v>
      </c>
      <c r="F2769" t="s">
        <v>108</v>
      </c>
      <c r="H2769" t="s">
        <v>18295</v>
      </c>
      <c r="I2769" t="s">
        <v>1936</v>
      </c>
      <c r="J2769" t="s">
        <v>111</v>
      </c>
      <c r="K2769" t="str">
        <f>"85257"</f>
        <v>85257</v>
      </c>
      <c r="L2769" t="s">
        <v>7626</v>
      </c>
      <c r="M2769" t="s">
        <v>18295</v>
      </c>
      <c r="N2769" t="s">
        <v>1936</v>
      </c>
      <c r="O2769" t="s">
        <v>111</v>
      </c>
      <c r="P2769" t="str">
        <f>"85257-1122"</f>
        <v>85257-1122</v>
      </c>
      <c r="Q2769" t="s">
        <v>113</v>
      </c>
      <c r="R2769" t="str">
        <f>"129-24-046"</f>
        <v>129-24-046</v>
      </c>
      <c r="S2769" t="s">
        <v>18296</v>
      </c>
      <c r="T2769" t="s">
        <v>18297</v>
      </c>
      <c r="U2769">
        <v>2767</v>
      </c>
      <c r="V2769">
        <v>0</v>
      </c>
      <c r="W2769">
        <v>4</v>
      </c>
      <c r="X2769">
        <v>2000</v>
      </c>
      <c r="Z2769">
        <v>1</v>
      </c>
      <c r="AA2769" t="s">
        <v>26</v>
      </c>
      <c r="AB2769">
        <v>0</v>
      </c>
      <c r="AC2769" t="s">
        <v>115</v>
      </c>
      <c r="AD2769">
        <v>2</v>
      </c>
      <c r="AE2769" t="s">
        <v>115</v>
      </c>
      <c r="AF2769">
        <v>0</v>
      </c>
      <c r="AG2769">
        <v>0</v>
      </c>
      <c r="AH2769" t="s">
        <v>116</v>
      </c>
      <c r="AI2769" s="1">
        <v>199393</v>
      </c>
      <c r="AJ2769" s="2">
        <v>0.26</v>
      </c>
      <c r="AK2769" s="1">
        <v>758150</v>
      </c>
      <c r="AL2769" t="s">
        <v>117</v>
      </c>
      <c r="AM2769" t="s">
        <v>1302</v>
      </c>
      <c r="AN2769">
        <v>12052</v>
      </c>
      <c r="AO2769">
        <v>0.28000000000000003</v>
      </c>
      <c r="AP2769">
        <v>1</v>
      </c>
      <c r="AR2769">
        <v>1</v>
      </c>
      <c r="AS2769" s="1">
        <v>52880</v>
      </c>
      <c r="AT2769" s="1">
        <v>10570</v>
      </c>
      <c r="AU2769" s="1">
        <v>42310</v>
      </c>
      <c r="AV2769">
        <v>80.010000000000005</v>
      </c>
      <c r="AX2769" s="1">
        <v>6229.98</v>
      </c>
      <c r="AY2769" t="s">
        <v>16394</v>
      </c>
      <c r="AZ2769" t="s">
        <v>16394</v>
      </c>
      <c r="BA2769" t="s">
        <v>6255</v>
      </c>
      <c r="BE2769" s="3">
        <v>42124</v>
      </c>
      <c r="BF2769" s="1">
        <v>595000</v>
      </c>
      <c r="BG2769" t="s">
        <v>18298</v>
      </c>
      <c r="BH2769" s="1">
        <v>215.03</v>
      </c>
      <c r="BI2769" s="1">
        <v>558757</v>
      </c>
      <c r="BJ2769" s="3">
        <v>42124</v>
      </c>
      <c r="BK2769" t="s">
        <v>123</v>
      </c>
      <c r="BL2769" t="str">
        <f>"2015.304280"</f>
        <v>2015.304280</v>
      </c>
      <c r="BM2769" t="s">
        <v>3453</v>
      </c>
      <c r="BO2769" t="s">
        <v>18299</v>
      </c>
      <c r="BS2769">
        <v>30</v>
      </c>
      <c r="BW2769" t="str">
        <f>""</f>
        <v/>
      </c>
      <c r="CH2769" t="str">
        <f>""</f>
        <v/>
      </c>
      <c r="CS2769" t="str">
        <f>""</f>
        <v/>
      </c>
    </row>
    <row r="2770" spans="1:97" x14ac:dyDescent="0.25">
      <c r="A2770" t="s">
        <v>1465</v>
      </c>
      <c r="B2770" t="s">
        <v>7889</v>
      </c>
      <c r="C2770" t="s">
        <v>1507</v>
      </c>
      <c r="D2770" t="s">
        <v>7889</v>
      </c>
      <c r="E2770" t="s">
        <v>18300</v>
      </c>
      <c r="F2770" t="s">
        <v>108</v>
      </c>
      <c r="H2770" t="s">
        <v>18301</v>
      </c>
      <c r="I2770" t="s">
        <v>390</v>
      </c>
      <c r="J2770" t="s">
        <v>111</v>
      </c>
      <c r="K2770" t="str">
        <f>"85085"</f>
        <v>85085</v>
      </c>
      <c r="L2770" t="s">
        <v>558</v>
      </c>
      <c r="M2770" t="s">
        <v>18301</v>
      </c>
      <c r="N2770" t="s">
        <v>390</v>
      </c>
      <c r="O2770" t="s">
        <v>111</v>
      </c>
      <c r="P2770" t="str">
        <f>"85085-8063"</f>
        <v>85085-8063</v>
      </c>
      <c r="Q2770" t="s">
        <v>113</v>
      </c>
      <c r="R2770" t="str">
        <f>"204-25-188"</f>
        <v>204-25-188</v>
      </c>
      <c r="S2770" t="s">
        <v>18302</v>
      </c>
      <c r="U2770">
        <v>2967</v>
      </c>
      <c r="V2770">
        <v>0</v>
      </c>
      <c r="W2770">
        <v>4</v>
      </c>
      <c r="X2770">
        <v>2006</v>
      </c>
      <c r="Z2770">
        <v>1</v>
      </c>
      <c r="AA2770" t="s">
        <v>26</v>
      </c>
      <c r="AB2770">
        <v>0</v>
      </c>
      <c r="AC2770" t="s">
        <v>115</v>
      </c>
      <c r="AD2770">
        <v>3</v>
      </c>
      <c r="AE2770" t="s">
        <v>115</v>
      </c>
      <c r="AF2770">
        <v>0</v>
      </c>
      <c r="AG2770">
        <v>0</v>
      </c>
      <c r="AH2770" t="s">
        <v>116</v>
      </c>
      <c r="AI2770" s="1">
        <v>143782</v>
      </c>
      <c r="AJ2770" s="2">
        <v>0.25</v>
      </c>
      <c r="AK2770" s="1">
        <v>573082</v>
      </c>
      <c r="AL2770" t="s">
        <v>117</v>
      </c>
      <c r="AM2770" t="s">
        <v>1302</v>
      </c>
      <c r="AN2770">
        <v>17322</v>
      </c>
      <c r="AO2770">
        <v>0.4</v>
      </c>
      <c r="AR2770">
        <v>1</v>
      </c>
      <c r="AS2770" s="1">
        <v>43450</v>
      </c>
      <c r="AT2770" s="1">
        <v>8690</v>
      </c>
      <c r="AU2770" s="1">
        <v>34760</v>
      </c>
      <c r="AV2770">
        <v>80</v>
      </c>
      <c r="AX2770" s="1">
        <v>4656.3</v>
      </c>
      <c r="AY2770" t="s">
        <v>2651</v>
      </c>
      <c r="AZ2770" t="s">
        <v>2651</v>
      </c>
      <c r="BA2770" t="s">
        <v>1462</v>
      </c>
      <c r="BE2770" s="3">
        <v>41897</v>
      </c>
      <c r="BF2770" s="1">
        <v>456000</v>
      </c>
      <c r="BG2770" t="s">
        <v>18303</v>
      </c>
      <c r="BH2770" s="1">
        <v>153.69</v>
      </c>
      <c r="BI2770" s="1">
        <v>429300</v>
      </c>
      <c r="BJ2770" s="3">
        <v>42552</v>
      </c>
      <c r="BK2770" t="s">
        <v>123</v>
      </c>
      <c r="BL2770" t="str">
        <f>"2016.464473"</f>
        <v>2016.464473</v>
      </c>
      <c r="BM2770" t="s">
        <v>14113</v>
      </c>
      <c r="BO2770" t="s">
        <v>18304</v>
      </c>
      <c r="BS2770">
        <v>20</v>
      </c>
      <c r="BW2770" t="str">
        <f>""</f>
        <v/>
      </c>
      <c r="CH2770" t="str">
        <f>""</f>
        <v/>
      </c>
      <c r="CS2770" t="str">
        <f>""</f>
        <v/>
      </c>
    </row>
    <row r="2771" spans="1:97" x14ac:dyDescent="0.25">
      <c r="A2771" t="s">
        <v>815</v>
      </c>
      <c r="B2771" t="s">
        <v>4774</v>
      </c>
      <c r="C2771" t="s">
        <v>365</v>
      </c>
      <c r="D2771" t="s">
        <v>18305</v>
      </c>
      <c r="E2771" t="s">
        <v>18306</v>
      </c>
      <c r="F2771" t="s">
        <v>108</v>
      </c>
      <c r="H2771" t="s">
        <v>18307</v>
      </c>
      <c r="I2771" t="s">
        <v>1936</v>
      </c>
      <c r="J2771" t="s">
        <v>111</v>
      </c>
      <c r="K2771" t="str">
        <f>"85255"</f>
        <v>85255</v>
      </c>
      <c r="L2771" t="s">
        <v>1815</v>
      </c>
      <c r="M2771" t="s">
        <v>18307</v>
      </c>
      <c r="N2771" t="s">
        <v>1936</v>
      </c>
      <c r="O2771" t="s">
        <v>111</v>
      </c>
      <c r="P2771" t="str">
        <f>"85255-4889"</f>
        <v>85255-4889</v>
      </c>
      <c r="Q2771" t="s">
        <v>113</v>
      </c>
      <c r="R2771" t="str">
        <f>"212-39-017"</f>
        <v>212-39-017</v>
      </c>
      <c r="S2771" t="s">
        <v>18308</v>
      </c>
      <c r="T2771" t="s">
        <v>18309</v>
      </c>
      <c r="U2771">
        <v>3669</v>
      </c>
      <c r="V2771">
        <v>0</v>
      </c>
      <c r="W2771">
        <v>4</v>
      </c>
      <c r="X2771">
        <v>1999</v>
      </c>
      <c r="Z2771">
        <v>1</v>
      </c>
      <c r="AA2771" t="s">
        <v>26</v>
      </c>
      <c r="AB2771">
        <v>0</v>
      </c>
      <c r="AC2771" t="s">
        <v>115</v>
      </c>
      <c r="AD2771">
        <v>3</v>
      </c>
      <c r="AE2771" t="s">
        <v>115</v>
      </c>
      <c r="AF2771">
        <v>0</v>
      </c>
      <c r="AG2771">
        <v>0</v>
      </c>
      <c r="AH2771" t="s">
        <v>116</v>
      </c>
      <c r="AI2771" s="1">
        <v>196931</v>
      </c>
      <c r="AJ2771" s="2">
        <v>0.21</v>
      </c>
      <c r="AK2771" s="1">
        <v>927091</v>
      </c>
      <c r="AL2771" t="s">
        <v>117</v>
      </c>
      <c r="AM2771" t="s">
        <v>616</v>
      </c>
      <c r="AN2771">
        <v>20460</v>
      </c>
      <c r="AO2771">
        <v>0.47</v>
      </c>
      <c r="AP2771">
        <v>1</v>
      </c>
      <c r="AR2771">
        <v>1</v>
      </c>
      <c r="AS2771" s="1">
        <v>66060</v>
      </c>
      <c r="AT2771" s="1">
        <v>13210</v>
      </c>
      <c r="AU2771" s="1">
        <v>52850</v>
      </c>
      <c r="AV2771">
        <v>80</v>
      </c>
      <c r="AX2771" s="1">
        <v>6992.98</v>
      </c>
      <c r="AY2771" t="s">
        <v>9968</v>
      </c>
      <c r="AZ2771" t="s">
        <v>761</v>
      </c>
      <c r="BA2771" t="s">
        <v>762</v>
      </c>
      <c r="BB2771" s="3">
        <v>42374</v>
      </c>
      <c r="BD2771" t="s">
        <v>240</v>
      </c>
      <c r="BE2771" s="3">
        <v>42374</v>
      </c>
      <c r="BF2771" s="1">
        <v>825000</v>
      </c>
      <c r="BG2771" t="s">
        <v>18310</v>
      </c>
      <c r="BH2771" s="1">
        <v>224.86</v>
      </c>
      <c r="BI2771" s="1">
        <v>730160</v>
      </c>
      <c r="BJ2771" s="3">
        <v>42649</v>
      </c>
      <c r="BK2771" t="s">
        <v>123</v>
      </c>
      <c r="BL2771" t="str">
        <f>"2016.733710"</f>
        <v>2016.733710</v>
      </c>
      <c r="BM2771" t="s">
        <v>1544</v>
      </c>
      <c r="BO2771" t="s">
        <v>18311</v>
      </c>
      <c r="BP2771" t="s">
        <v>18312</v>
      </c>
      <c r="BS2771">
        <v>30</v>
      </c>
      <c r="BW2771" t="str">
        <f>""</f>
        <v/>
      </c>
      <c r="CH2771" t="str">
        <f>""</f>
        <v/>
      </c>
      <c r="CS2771" t="str">
        <f>""</f>
        <v/>
      </c>
    </row>
    <row r="2772" spans="1:97" x14ac:dyDescent="0.25">
      <c r="A2772" t="s">
        <v>18313</v>
      </c>
      <c r="B2772" t="s">
        <v>3265</v>
      </c>
      <c r="C2772" t="s">
        <v>18314</v>
      </c>
      <c r="D2772" t="s">
        <v>3265</v>
      </c>
      <c r="E2772" t="s">
        <v>18315</v>
      </c>
      <c r="F2772" t="s">
        <v>108</v>
      </c>
      <c r="H2772" t="s">
        <v>18316</v>
      </c>
      <c r="I2772" t="s">
        <v>144</v>
      </c>
      <c r="J2772" t="s">
        <v>111</v>
      </c>
      <c r="K2772" t="str">
        <f>"85396"</f>
        <v>85396</v>
      </c>
      <c r="L2772" t="s">
        <v>6667</v>
      </c>
      <c r="M2772" t="s">
        <v>18316</v>
      </c>
      <c r="N2772" t="s">
        <v>144</v>
      </c>
      <c r="O2772" t="s">
        <v>111</v>
      </c>
      <c r="P2772" t="str">
        <f>"85396-1549"</f>
        <v>85396-1549</v>
      </c>
      <c r="Q2772" t="s">
        <v>113</v>
      </c>
      <c r="R2772" t="str">
        <f>"502-81-645"</f>
        <v>502-81-645</v>
      </c>
      <c r="S2772" t="s">
        <v>18317</v>
      </c>
      <c r="U2772">
        <v>2170</v>
      </c>
      <c r="V2772">
        <v>0</v>
      </c>
      <c r="W2772">
        <v>3</v>
      </c>
      <c r="X2772">
        <v>2011</v>
      </c>
      <c r="Z2772">
        <v>1</v>
      </c>
      <c r="AB2772">
        <v>0</v>
      </c>
      <c r="AC2772" t="s">
        <v>115</v>
      </c>
      <c r="AD2772">
        <v>3</v>
      </c>
      <c r="AE2772" t="s">
        <v>115</v>
      </c>
      <c r="AF2772">
        <v>0</v>
      </c>
      <c r="AG2772">
        <v>0</v>
      </c>
      <c r="AH2772" t="s">
        <v>116</v>
      </c>
      <c r="AI2772" s="1">
        <v>55942</v>
      </c>
      <c r="AJ2772" s="2">
        <v>0.17</v>
      </c>
      <c r="AK2772" s="1">
        <v>320942</v>
      </c>
      <c r="AL2772" t="s">
        <v>117</v>
      </c>
      <c r="AM2772" t="s">
        <v>118</v>
      </c>
      <c r="AN2772">
        <v>6757</v>
      </c>
      <c r="AO2772">
        <v>0.16</v>
      </c>
      <c r="AR2772">
        <v>1</v>
      </c>
      <c r="AS2772" s="1">
        <v>22170</v>
      </c>
      <c r="AT2772" s="1">
        <v>4430</v>
      </c>
      <c r="AU2772" s="1">
        <v>17740</v>
      </c>
      <c r="AV2772">
        <v>80.02</v>
      </c>
      <c r="AX2772" s="1">
        <v>2961.34</v>
      </c>
      <c r="AY2772" t="s">
        <v>217</v>
      </c>
      <c r="AZ2772" t="s">
        <v>217</v>
      </c>
      <c r="BA2772" t="s">
        <v>218</v>
      </c>
      <c r="BE2772" s="3">
        <v>42314</v>
      </c>
      <c r="BF2772" s="1">
        <v>265000</v>
      </c>
      <c r="BG2772" t="s">
        <v>18318</v>
      </c>
      <c r="BH2772" s="1">
        <v>122.12</v>
      </c>
      <c r="BI2772" s="1">
        <v>265000</v>
      </c>
      <c r="BJ2772" s="3">
        <v>42314</v>
      </c>
      <c r="BK2772" t="s">
        <v>123</v>
      </c>
      <c r="BL2772" t="str">
        <f>"2015.800508"</f>
        <v>2015.800508</v>
      </c>
      <c r="BM2772" t="s">
        <v>131</v>
      </c>
      <c r="BO2772" t="s">
        <v>18319</v>
      </c>
      <c r="BS2772">
        <v>30</v>
      </c>
      <c r="BW2772" t="str">
        <f>""</f>
        <v/>
      </c>
      <c r="CH2772" t="str">
        <f>""</f>
        <v/>
      </c>
      <c r="CS2772" t="str">
        <f>""</f>
        <v/>
      </c>
    </row>
    <row r="2773" spans="1:97" x14ac:dyDescent="0.25">
      <c r="A2773" t="s">
        <v>4221</v>
      </c>
      <c r="B2773" t="s">
        <v>3173</v>
      </c>
      <c r="C2773" t="s">
        <v>18320</v>
      </c>
      <c r="D2773" t="s">
        <v>3173</v>
      </c>
      <c r="E2773" t="s">
        <v>18321</v>
      </c>
      <c r="F2773" t="s">
        <v>108</v>
      </c>
      <c r="H2773" t="s">
        <v>18322</v>
      </c>
      <c r="I2773" t="s">
        <v>390</v>
      </c>
      <c r="J2773" t="s">
        <v>111</v>
      </c>
      <c r="K2773" t="str">
        <f>"85022"</f>
        <v>85022</v>
      </c>
      <c r="L2773" t="s">
        <v>2857</v>
      </c>
      <c r="M2773" t="s">
        <v>18322</v>
      </c>
      <c r="N2773" t="s">
        <v>390</v>
      </c>
      <c r="O2773" t="s">
        <v>111</v>
      </c>
      <c r="P2773" t="str">
        <f>"85022-1149"</f>
        <v>85022-1149</v>
      </c>
      <c r="Q2773" t="s">
        <v>113</v>
      </c>
      <c r="R2773" t="str">
        <f>"214-72-016"</f>
        <v>214-72-016</v>
      </c>
      <c r="S2773" t="s">
        <v>18323</v>
      </c>
      <c r="T2773" t="s">
        <v>18323</v>
      </c>
      <c r="U2773">
        <v>2367</v>
      </c>
      <c r="V2773">
        <v>0</v>
      </c>
      <c r="W2773">
        <v>3</v>
      </c>
      <c r="X2773">
        <v>2000</v>
      </c>
      <c r="Z2773">
        <v>2</v>
      </c>
      <c r="AA2773" t="s">
        <v>26</v>
      </c>
      <c r="AB2773">
        <v>0</v>
      </c>
      <c r="AC2773" t="s">
        <v>115</v>
      </c>
      <c r="AD2773">
        <v>2</v>
      </c>
      <c r="AE2773" t="s">
        <v>115</v>
      </c>
      <c r="AF2773">
        <v>0</v>
      </c>
      <c r="AG2773">
        <v>0</v>
      </c>
      <c r="AH2773" t="s">
        <v>116</v>
      </c>
      <c r="AI2773" s="1">
        <v>91630</v>
      </c>
      <c r="AJ2773" s="2">
        <v>0.28999999999999998</v>
      </c>
      <c r="AK2773" s="1">
        <v>316630</v>
      </c>
      <c r="AL2773" t="s">
        <v>117</v>
      </c>
      <c r="AM2773" t="s">
        <v>1315</v>
      </c>
      <c r="AN2773">
        <v>3623</v>
      </c>
      <c r="AO2773">
        <v>0.83</v>
      </c>
      <c r="AP2773">
        <v>1</v>
      </c>
      <c r="AR2773">
        <v>1</v>
      </c>
      <c r="AS2773" s="1">
        <v>22380</v>
      </c>
      <c r="AT2773" s="1">
        <v>4470</v>
      </c>
      <c r="AU2773" s="1">
        <v>17910</v>
      </c>
      <c r="AV2773">
        <v>80.03</v>
      </c>
      <c r="AX2773" s="1">
        <v>1671.36</v>
      </c>
      <c r="AY2773" t="s">
        <v>2549</v>
      </c>
      <c r="AZ2773" t="s">
        <v>2550</v>
      </c>
      <c r="BA2773" t="s">
        <v>2551</v>
      </c>
      <c r="BE2773" s="3">
        <v>42283</v>
      </c>
      <c r="BF2773" s="1">
        <v>225000</v>
      </c>
      <c r="BG2773" t="s">
        <v>18324</v>
      </c>
      <c r="BH2773" s="1">
        <v>95.06</v>
      </c>
      <c r="BI2773" s="1">
        <v>225000</v>
      </c>
      <c r="BJ2773" s="3">
        <v>42283</v>
      </c>
      <c r="BK2773" t="s">
        <v>123</v>
      </c>
      <c r="BL2773" t="str">
        <f>"2015.719570"</f>
        <v>2015.719570</v>
      </c>
      <c r="BM2773" t="s">
        <v>1185</v>
      </c>
      <c r="BO2773" t="s">
        <v>18325</v>
      </c>
      <c r="BS2773">
        <v>30</v>
      </c>
      <c r="BW2773" t="str">
        <f>""</f>
        <v/>
      </c>
      <c r="CH2773" t="str">
        <f>""</f>
        <v/>
      </c>
      <c r="CS2773" t="str">
        <f>""</f>
        <v/>
      </c>
    </row>
    <row r="2774" spans="1:97" x14ac:dyDescent="0.25">
      <c r="A2774" t="s">
        <v>1938</v>
      </c>
      <c r="B2774" t="s">
        <v>18326</v>
      </c>
      <c r="C2774" t="s">
        <v>18327</v>
      </c>
      <c r="D2774" t="s">
        <v>18326</v>
      </c>
      <c r="E2774" t="s">
        <v>18328</v>
      </c>
      <c r="F2774" t="s">
        <v>108</v>
      </c>
      <c r="H2774" t="s">
        <v>18329</v>
      </c>
      <c r="I2774" t="s">
        <v>453</v>
      </c>
      <c r="J2774" t="s">
        <v>111</v>
      </c>
      <c r="K2774" t="str">
        <f>"85383"</f>
        <v>85383</v>
      </c>
      <c r="L2774" t="s">
        <v>558</v>
      </c>
      <c r="M2774" t="s">
        <v>18329</v>
      </c>
      <c r="N2774" t="s">
        <v>453</v>
      </c>
      <c r="O2774" t="s">
        <v>111</v>
      </c>
      <c r="P2774" t="str">
        <f>"85383-1785"</f>
        <v>85383-1785</v>
      </c>
      <c r="R2774" t="str">
        <f>"200-10-139"</f>
        <v>200-10-139</v>
      </c>
      <c r="S2774" t="s">
        <v>18330</v>
      </c>
      <c r="T2774" t="s">
        <v>18331</v>
      </c>
      <c r="U2774">
        <v>3172</v>
      </c>
      <c r="V2774">
        <v>0</v>
      </c>
      <c r="W2774">
        <v>3</v>
      </c>
      <c r="X2774">
        <v>1998</v>
      </c>
      <c r="Z2774">
        <v>2</v>
      </c>
      <c r="AA2774" t="s">
        <v>26</v>
      </c>
      <c r="AB2774">
        <v>0</v>
      </c>
      <c r="AC2774" t="s">
        <v>115</v>
      </c>
      <c r="AD2774">
        <v>2</v>
      </c>
      <c r="AE2774" t="s">
        <v>115</v>
      </c>
      <c r="AF2774">
        <v>0</v>
      </c>
      <c r="AG2774">
        <v>0</v>
      </c>
      <c r="AH2774" t="s">
        <v>116</v>
      </c>
      <c r="AI2774" s="1">
        <v>89998</v>
      </c>
      <c r="AJ2774" s="2">
        <v>0.26</v>
      </c>
      <c r="AK2774" s="1">
        <v>352206</v>
      </c>
      <c r="AL2774" t="s">
        <v>117</v>
      </c>
      <c r="AM2774" t="s">
        <v>191</v>
      </c>
      <c r="AN2774">
        <v>7763</v>
      </c>
      <c r="AO2774">
        <v>0.18</v>
      </c>
      <c r="AP2774">
        <v>1</v>
      </c>
      <c r="AR2774">
        <v>1</v>
      </c>
      <c r="AS2774" s="1">
        <v>25420</v>
      </c>
      <c r="AT2774" s="1">
        <v>5080</v>
      </c>
      <c r="AU2774" s="1">
        <v>20340</v>
      </c>
      <c r="AV2774">
        <v>80.02</v>
      </c>
      <c r="AX2774" s="1">
        <v>2034.5</v>
      </c>
      <c r="AY2774" t="s">
        <v>3228</v>
      </c>
      <c r="AZ2774" t="s">
        <v>3228</v>
      </c>
      <c r="BA2774" t="s">
        <v>457</v>
      </c>
      <c r="BE2774" s="3">
        <v>41886</v>
      </c>
      <c r="BF2774" s="1">
        <v>264000</v>
      </c>
      <c r="BG2774" t="s">
        <v>18332</v>
      </c>
      <c r="BH2774" s="1">
        <v>83.23</v>
      </c>
      <c r="BI2774" s="1">
        <v>262208</v>
      </c>
      <c r="BJ2774" s="3">
        <v>42702</v>
      </c>
      <c r="BK2774" t="s">
        <v>123</v>
      </c>
      <c r="BL2774" t="str">
        <f>"2016.873327"</f>
        <v>2016.873327</v>
      </c>
      <c r="BM2774" t="s">
        <v>402</v>
      </c>
      <c r="BN2774" t="s">
        <v>461</v>
      </c>
      <c r="BO2774" t="s">
        <v>18333</v>
      </c>
      <c r="BS2774">
        <v>30</v>
      </c>
      <c r="BW2774" t="str">
        <f>""</f>
        <v/>
      </c>
      <c r="CH2774" t="str">
        <f>""</f>
        <v/>
      </c>
      <c r="CS2774" t="str">
        <f>""</f>
        <v/>
      </c>
    </row>
    <row r="2775" spans="1:97" x14ac:dyDescent="0.25">
      <c r="A2775" t="s">
        <v>13710</v>
      </c>
      <c r="B2775" t="s">
        <v>18334</v>
      </c>
      <c r="C2775" t="s">
        <v>18335</v>
      </c>
      <c r="D2775" t="s">
        <v>18334</v>
      </c>
      <c r="E2775" t="s">
        <v>18336</v>
      </c>
      <c r="F2775" t="s">
        <v>108</v>
      </c>
      <c r="H2775" t="s">
        <v>18337</v>
      </c>
      <c r="I2775" t="s">
        <v>4251</v>
      </c>
      <c r="J2775" t="s">
        <v>111</v>
      </c>
      <c r="K2775" t="str">
        <f>"85353"</f>
        <v>85353</v>
      </c>
      <c r="L2775" t="s">
        <v>3758</v>
      </c>
      <c r="M2775" t="s">
        <v>18337</v>
      </c>
      <c r="N2775" t="s">
        <v>4251</v>
      </c>
      <c r="O2775" t="s">
        <v>111</v>
      </c>
      <c r="P2775" t="str">
        <f>"85353-7671"</f>
        <v>85353-7671</v>
      </c>
      <c r="Q2775" t="s">
        <v>113</v>
      </c>
      <c r="R2775" t="str">
        <f>"101-25-828"</f>
        <v>101-25-828</v>
      </c>
      <c r="S2775" t="s">
        <v>5149</v>
      </c>
      <c r="T2775" t="s">
        <v>5149</v>
      </c>
      <c r="U2775">
        <v>2764</v>
      </c>
      <c r="V2775">
        <v>0</v>
      </c>
      <c r="W2775">
        <v>3</v>
      </c>
      <c r="X2775">
        <v>2015</v>
      </c>
      <c r="Z2775">
        <v>1</v>
      </c>
      <c r="AB2775">
        <v>0</v>
      </c>
      <c r="AC2775" t="s">
        <v>115</v>
      </c>
      <c r="AD2775">
        <v>2</v>
      </c>
      <c r="AE2775" t="s">
        <v>115</v>
      </c>
      <c r="AF2775">
        <v>0</v>
      </c>
      <c r="AG2775">
        <v>0</v>
      </c>
      <c r="AH2775" t="s">
        <v>116</v>
      </c>
      <c r="AI2775" s="1">
        <v>39007</v>
      </c>
      <c r="AJ2775" s="2">
        <v>0.12</v>
      </c>
      <c r="AK2775" s="1">
        <v>317191</v>
      </c>
      <c r="AL2775" t="s">
        <v>117</v>
      </c>
      <c r="AM2775" t="s">
        <v>1302</v>
      </c>
      <c r="AN2775">
        <v>9000</v>
      </c>
      <c r="AO2775">
        <v>0.21</v>
      </c>
      <c r="AR2775">
        <v>1</v>
      </c>
      <c r="AS2775" s="1">
        <v>23760</v>
      </c>
      <c r="AT2775" s="1">
        <v>4750</v>
      </c>
      <c r="AU2775" s="1">
        <v>19010</v>
      </c>
      <c r="AV2775">
        <v>80.010000000000005</v>
      </c>
      <c r="AX2775" s="1">
        <v>2560.8200000000002</v>
      </c>
      <c r="AY2775" t="s">
        <v>5150</v>
      </c>
      <c r="AZ2775" t="s">
        <v>5150</v>
      </c>
      <c r="BA2775" t="s">
        <v>4254</v>
      </c>
      <c r="BE2775" s="3">
        <v>42216</v>
      </c>
      <c r="BF2775" s="1">
        <v>271161</v>
      </c>
      <c r="BG2775" t="s">
        <v>18338</v>
      </c>
      <c r="BH2775" s="1">
        <v>98.1</v>
      </c>
      <c r="BI2775" s="1">
        <v>278184</v>
      </c>
      <c r="BJ2775" s="3">
        <v>42552</v>
      </c>
      <c r="BK2775" t="s">
        <v>123</v>
      </c>
      <c r="BL2775" t="str">
        <f>"2016.464253"</f>
        <v>2016.464253</v>
      </c>
      <c r="BM2775" t="s">
        <v>322</v>
      </c>
      <c r="BO2775" t="s">
        <v>18339</v>
      </c>
      <c r="BS2775">
        <v>30</v>
      </c>
      <c r="BW2775" t="str">
        <f>""</f>
        <v/>
      </c>
      <c r="CH2775" t="str">
        <f>""</f>
        <v/>
      </c>
      <c r="CS2775" t="str">
        <f>""</f>
        <v/>
      </c>
    </row>
    <row r="2776" spans="1:97" x14ac:dyDescent="0.25">
      <c r="A2776" t="s">
        <v>7797</v>
      </c>
      <c r="B2776" t="s">
        <v>18340</v>
      </c>
      <c r="C2776" t="s">
        <v>1366</v>
      </c>
      <c r="D2776" t="s">
        <v>18340</v>
      </c>
      <c r="E2776" t="s">
        <v>18341</v>
      </c>
      <c r="F2776" t="s">
        <v>108</v>
      </c>
      <c r="H2776" t="s">
        <v>18342</v>
      </c>
      <c r="I2776" t="s">
        <v>225</v>
      </c>
      <c r="J2776" t="s">
        <v>111</v>
      </c>
      <c r="K2776" t="str">
        <f>"85212"</f>
        <v>85212</v>
      </c>
      <c r="L2776" t="s">
        <v>1569</v>
      </c>
      <c r="M2776" t="s">
        <v>18342</v>
      </c>
      <c r="N2776" t="s">
        <v>225</v>
      </c>
      <c r="O2776" t="s">
        <v>111</v>
      </c>
      <c r="P2776" t="str">
        <f>"85212-4099"</f>
        <v>85212-4099</v>
      </c>
      <c r="Q2776" t="s">
        <v>113</v>
      </c>
      <c r="R2776" t="str">
        <f>"304-33-491"</f>
        <v>304-33-491</v>
      </c>
      <c r="S2776" t="s">
        <v>17735</v>
      </c>
      <c r="T2776" t="s">
        <v>13511</v>
      </c>
      <c r="U2776">
        <v>3942</v>
      </c>
      <c r="V2776">
        <v>0</v>
      </c>
      <c r="W2776">
        <v>4</v>
      </c>
      <c r="X2776">
        <v>2001</v>
      </c>
      <c r="Z2776">
        <v>2</v>
      </c>
      <c r="AB2776">
        <v>0</v>
      </c>
      <c r="AC2776" t="s">
        <v>115</v>
      </c>
      <c r="AD2776">
        <v>3</v>
      </c>
      <c r="AE2776" t="s">
        <v>115</v>
      </c>
      <c r="AF2776">
        <v>0</v>
      </c>
      <c r="AG2776">
        <v>0</v>
      </c>
      <c r="AH2776" t="s">
        <v>116</v>
      </c>
      <c r="AI2776" s="1">
        <v>81694</v>
      </c>
      <c r="AJ2776" s="2">
        <v>0.2</v>
      </c>
      <c r="AK2776" s="1">
        <v>404652</v>
      </c>
      <c r="AL2776" t="s">
        <v>117</v>
      </c>
      <c r="AM2776" t="s">
        <v>393</v>
      </c>
      <c r="AN2776">
        <v>8177</v>
      </c>
      <c r="AO2776">
        <v>0.19</v>
      </c>
      <c r="AP2776">
        <v>1</v>
      </c>
      <c r="AR2776">
        <v>1</v>
      </c>
      <c r="AS2776" s="1">
        <v>26080</v>
      </c>
      <c r="AT2776" s="1">
        <v>5210</v>
      </c>
      <c r="AU2776" s="1">
        <v>20870</v>
      </c>
      <c r="AV2776">
        <v>80.02</v>
      </c>
      <c r="AX2776" s="1">
        <v>1959.5</v>
      </c>
      <c r="AY2776" t="s">
        <v>776</v>
      </c>
      <c r="AZ2776" t="s">
        <v>777</v>
      </c>
      <c r="BA2776" t="s">
        <v>572</v>
      </c>
      <c r="BE2776" s="3">
        <v>42200</v>
      </c>
      <c r="BF2776" s="1">
        <v>326000</v>
      </c>
      <c r="BG2776" t="s">
        <v>18343</v>
      </c>
      <c r="BH2776" s="1">
        <v>82.7</v>
      </c>
      <c r="BI2776" s="1">
        <v>322958</v>
      </c>
      <c r="BJ2776" s="3">
        <v>42689</v>
      </c>
      <c r="BK2776" t="s">
        <v>123</v>
      </c>
      <c r="BL2776" t="str">
        <f>"2016.842906"</f>
        <v>2016.842906</v>
      </c>
      <c r="BM2776" t="s">
        <v>402</v>
      </c>
      <c r="BO2776" t="s">
        <v>18344</v>
      </c>
      <c r="BS2776">
        <v>30</v>
      </c>
      <c r="BW2776" t="str">
        <f>""</f>
        <v/>
      </c>
      <c r="CH2776" t="str">
        <f>""</f>
        <v/>
      </c>
      <c r="CS2776" t="str">
        <f>""</f>
        <v/>
      </c>
    </row>
    <row r="2777" spans="1:97" x14ac:dyDescent="0.25">
      <c r="A2777" t="s">
        <v>3641</v>
      </c>
      <c r="B2777" t="s">
        <v>603</v>
      </c>
      <c r="C2777" t="s">
        <v>1407</v>
      </c>
      <c r="D2777" t="s">
        <v>603</v>
      </c>
      <c r="E2777" t="s">
        <v>18345</v>
      </c>
      <c r="F2777" t="s">
        <v>108</v>
      </c>
      <c r="H2777" t="s">
        <v>18346</v>
      </c>
      <c r="I2777" t="s">
        <v>2874</v>
      </c>
      <c r="J2777" t="s">
        <v>111</v>
      </c>
      <c r="K2777" t="str">
        <f>"85308"</f>
        <v>85308</v>
      </c>
      <c r="L2777" t="s">
        <v>5239</v>
      </c>
      <c r="M2777" t="s">
        <v>18346</v>
      </c>
      <c r="N2777" t="s">
        <v>2874</v>
      </c>
      <c r="O2777" t="s">
        <v>111</v>
      </c>
      <c r="P2777" t="str">
        <f>"85308-5858"</f>
        <v>85308-5858</v>
      </c>
      <c r="Q2777" t="s">
        <v>113</v>
      </c>
      <c r="R2777" t="str">
        <f>"200-34-019"</f>
        <v>200-34-019</v>
      </c>
      <c r="S2777" t="s">
        <v>18347</v>
      </c>
      <c r="U2777">
        <v>2316</v>
      </c>
      <c r="V2777">
        <v>0</v>
      </c>
      <c r="W2777">
        <v>4</v>
      </c>
      <c r="X2777">
        <v>1990</v>
      </c>
      <c r="Z2777">
        <v>2</v>
      </c>
      <c r="AA2777" t="s">
        <v>26</v>
      </c>
      <c r="AB2777">
        <v>0</v>
      </c>
      <c r="AC2777" t="s">
        <v>115</v>
      </c>
      <c r="AD2777">
        <v>3</v>
      </c>
      <c r="AE2777" t="s">
        <v>115</v>
      </c>
      <c r="AF2777">
        <v>0</v>
      </c>
      <c r="AG2777">
        <v>0</v>
      </c>
      <c r="AH2777" t="s">
        <v>116</v>
      </c>
      <c r="AI2777" s="1">
        <v>51308</v>
      </c>
      <c r="AJ2777" s="2">
        <v>0.14000000000000001</v>
      </c>
      <c r="AK2777" s="1">
        <v>355403</v>
      </c>
      <c r="AL2777" t="s">
        <v>117</v>
      </c>
      <c r="AM2777" t="s">
        <v>191</v>
      </c>
      <c r="AN2777">
        <v>6635</v>
      </c>
      <c r="AO2777">
        <v>0.15</v>
      </c>
      <c r="AP2777">
        <v>1</v>
      </c>
      <c r="AR2777">
        <v>1</v>
      </c>
      <c r="AS2777" s="1">
        <v>25510</v>
      </c>
      <c r="AT2777" s="1">
        <v>5100</v>
      </c>
      <c r="AU2777" s="1">
        <v>20410</v>
      </c>
      <c r="AV2777">
        <v>80.010000000000005</v>
      </c>
      <c r="AX2777" s="1">
        <v>2205.7600000000002</v>
      </c>
      <c r="AY2777" t="s">
        <v>8400</v>
      </c>
      <c r="AZ2777" t="s">
        <v>8400</v>
      </c>
      <c r="BA2777" t="s">
        <v>2223</v>
      </c>
      <c r="BE2777" s="3">
        <v>42326</v>
      </c>
      <c r="BF2777" s="1">
        <v>295000</v>
      </c>
      <c r="BG2777" t="s">
        <v>18348</v>
      </c>
      <c r="BH2777" s="1">
        <v>127.37</v>
      </c>
      <c r="BI2777" s="1">
        <v>304095</v>
      </c>
      <c r="BJ2777" s="3">
        <v>42601</v>
      </c>
      <c r="BK2777" t="s">
        <v>123</v>
      </c>
      <c r="BL2777" t="str">
        <f>"2016.596212"</f>
        <v>2016.596212</v>
      </c>
      <c r="BM2777" t="s">
        <v>12796</v>
      </c>
      <c r="BO2777" t="s">
        <v>18349</v>
      </c>
      <c r="BS2777">
        <v>30</v>
      </c>
      <c r="BW2777" t="str">
        <f>""</f>
        <v/>
      </c>
      <c r="CH2777" t="str">
        <f>""</f>
        <v/>
      </c>
      <c r="CS2777" t="str">
        <f>""</f>
        <v/>
      </c>
    </row>
    <row r="2778" spans="1:97" x14ac:dyDescent="0.25">
      <c r="A2778" t="s">
        <v>12368</v>
      </c>
      <c r="B2778" t="s">
        <v>3333</v>
      </c>
      <c r="C2778" t="s">
        <v>220</v>
      </c>
      <c r="D2778" t="s">
        <v>3333</v>
      </c>
      <c r="E2778" t="s">
        <v>18350</v>
      </c>
      <c r="F2778" t="s">
        <v>108</v>
      </c>
      <c r="H2778" t="s">
        <v>18351</v>
      </c>
      <c r="I2778" t="s">
        <v>453</v>
      </c>
      <c r="J2778" t="s">
        <v>111</v>
      </c>
      <c r="K2778" t="str">
        <f>"85382"</f>
        <v>85382</v>
      </c>
      <c r="L2778" t="s">
        <v>6308</v>
      </c>
      <c r="M2778" t="s">
        <v>18351</v>
      </c>
      <c r="N2778" t="s">
        <v>453</v>
      </c>
      <c r="O2778" t="s">
        <v>111</v>
      </c>
      <c r="P2778" t="str">
        <f>"85382-2424"</f>
        <v>85382-2424</v>
      </c>
      <c r="Q2778" t="s">
        <v>113</v>
      </c>
      <c r="R2778" t="str">
        <f>"200-16-178"</f>
        <v>200-16-178</v>
      </c>
      <c r="S2778" t="s">
        <v>18352</v>
      </c>
      <c r="T2778" t="s">
        <v>12241</v>
      </c>
      <c r="U2778">
        <v>1988</v>
      </c>
      <c r="V2778">
        <v>0</v>
      </c>
      <c r="W2778">
        <v>4</v>
      </c>
      <c r="X2778">
        <v>1998</v>
      </c>
      <c r="Z2778">
        <v>2</v>
      </c>
      <c r="AB2778">
        <v>0</v>
      </c>
      <c r="AC2778" t="s">
        <v>115</v>
      </c>
      <c r="AD2778">
        <v>2</v>
      </c>
      <c r="AE2778" t="s">
        <v>115</v>
      </c>
      <c r="AF2778">
        <v>0</v>
      </c>
      <c r="AG2778">
        <v>0</v>
      </c>
      <c r="AH2778" t="s">
        <v>116</v>
      </c>
      <c r="AI2778" s="1">
        <v>56114</v>
      </c>
      <c r="AJ2778" s="2">
        <v>0.18</v>
      </c>
      <c r="AK2778" s="1">
        <v>304114</v>
      </c>
      <c r="AL2778" t="s">
        <v>117</v>
      </c>
      <c r="AM2778" t="s">
        <v>118</v>
      </c>
      <c r="AN2778">
        <v>5733</v>
      </c>
      <c r="AO2778">
        <v>0.13</v>
      </c>
      <c r="AP2778">
        <v>1</v>
      </c>
      <c r="AR2778">
        <v>1</v>
      </c>
      <c r="AS2778" s="1">
        <v>19660</v>
      </c>
      <c r="AT2778" s="1">
        <v>3930</v>
      </c>
      <c r="AU2778" s="1">
        <v>15730</v>
      </c>
      <c r="AV2778">
        <v>80.010000000000005</v>
      </c>
      <c r="AX2778" s="1">
        <v>1760.3</v>
      </c>
      <c r="AY2778" t="s">
        <v>6311</v>
      </c>
      <c r="AZ2778" t="s">
        <v>6311</v>
      </c>
      <c r="BA2778" t="s">
        <v>4219</v>
      </c>
      <c r="BE2778" s="3">
        <v>42408</v>
      </c>
      <c r="BF2778" s="1">
        <v>248000</v>
      </c>
      <c r="BG2778" t="s">
        <v>18353</v>
      </c>
      <c r="BH2778" s="1">
        <v>124.75</v>
      </c>
      <c r="BI2778" s="1">
        <v>248000</v>
      </c>
      <c r="BJ2778" s="3">
        <v>42408</v>
      </c>
      <c r="BK2778" t="s">
        <v>123</v>
      </c>
      <c r="BL2778" t="str">
        <f>"2016.79199"</f>
        <v>2016.79199</v>
      </c>
      <c r="BM2778" t="s">
        <v>2716</v>
      </c>
      <c r="BO2778" t="s">
        <v>18354</v>
      </c>
      <c r="BS2778">
        <v>30</v>
      </c>
      <c r="BW2778" t="str">
        <f>""</f>
        <v/>
      </c>
      <c r="CH2778" t="str">
        <f>""</f>
        <v/>
      </c>
      <c r="CS2778" t="str">
        <f>""</f>
        <v/>
      </c>
    </row>
    <row r="2779" spans="1:97" x14ac:dyDescent="0.25">
      <c r="A2779" t="s">
        <v>7888</v>
      </c>
      <c r="B2779" t="s">
        <v>3822</v>
      </c>
      <c r="C2779" t="s">
        <v>16253</v>
      </c>
      <c r="D2779" t="s">
        <v>3822</v>
      </c>
      <c r="E2779" t="s">
        <v>18355</v>
      </c>
      <c r="F2779" t="s">
        <v>108</v>
      </c>
      <c r="H2779" t="s">
        <v>18356</v>
      </c>
      <c r="I2779" t="s">
        <v>499</v>
      </c>
      <c r="J2779" t="s">
        <v>111</v>
      </c>
      <c r="K2779" t="str">
        <f>"85395"</f>
        <v>85395</v>
      </c>
      <c r="L2779" t="s">
        <v>6145</v>
      </c>
      <c r="M2779" t="s">
        <v>18356</v>
      </c>
      <c r="N2779" t="s">
        <v>499</v>
      </c>
      <c r="O2779" t="s">
        <v>111</v>
      </c>
      <c r="P2779" t="str">
        <f>"85395-2281"</f>
        <v>85395-2281</v>
      </c>
      <c r="Q2779" t="s">
        <v>113</v>
      </c>
      <c r="R2779" t="str">
        <f>"501-98-040"</f>
        <v>501-98-040</v>
      </c>
      <c r="S2779" t="s">
        <v>18357</v>
      </c>
      <c r="T2779" t="s">
        <v>18358</v>
      </c>
      <c r="U2779">
        <v>2731</v>
      </c>
      <c r="V2779">
        <v>0</v>
      </c>
      <c r="W2779">
        <v>4</v>
      </c>
      <c r="X2779">
        <v>2000</v>
      </c>
      <c r="Z2779">
        <v>1</v>
      </c>
      <c r="AA2779" t="s">
        <v>26</v>
      </c>
      <c r="AB2779">
        <v>0</v>
      </c>
      <c r="AC2779" t="s">
        <v>115</v>
      </c>
      <c r="AD2779">
        <v>3</v>
      </c>
      <c r="AE2779" t="s">
        <v>115</v>
      </c>
      <c r="AF2779">
        <v>0</v>
      </c>
      <c r="AG2779">
        <v>0</v>
      </c>
      <c r="AH2779" t="s">
        <v>116</v>
      </c>
      <c r="AI2779" s="1">
        <v>67022</v>
      </c>
      <c r="AJ2779" s="2">
        <v>0.17</v>
      </c>
      <c r="AK2779" s="1">
        <v>388777</v>
      </c>
      <c r="AL2779" t="s">
        <v>117</v>
      </c>
      <c r="AM2779" t="s">
        <v>118</v>
      </c>
      <c r="AN2779">
        <v>11024</v>
      </c>
      <c r="AO2779">
        <v>0.25</v>
      </c>
      <c r="AP2779">
        <v>1</v>
      </c>
      <c r="AR2779">
        <v>1</v>
      </c>
      <c r="AS2779" s="1">
        <v>28270</v>
      </c>
      <c r="AT2779" s="1">
        <v>5650</v>
      </c>
      <c r="AU2779" s="1">
        <v>22620</v>
      </c>
      <c r="AV2779">
        <v>80.010000000000005</v>
      </c>
      <c r="AX2779" s="1">
        <v>3383.88</v>
      </c>
      <c r="AY2779" t="s">
        <v>6796</v>
      </c>
      <c r="AZ2779" t="s">
        <v>6796</v>
      </c>
      <c r="BA2779" t="s">
        <v>3154</v>
      </c>
      <c r="BE2779" s="3">
        <v>42551</v>
      </c>
      <c r="BF2779" s="1">
        <v>342000</v>
      </c>
      <c r="BG2779" t="s">
        <v>18359</v>
      </c>
      <c r="BH2779" s="1">
        <v>125.23</v>
      </c>
      <c r="BI2779" s="1">
        <v>321755</v>
      </c>
      <c r="BJ2779" s="3">
        <v>42551</v>
      </c>
      <c r="BK2779" t="s">
        <v>123</v>
      </c>
      <c r="BL2779" t="str">
        <f>"2016.462653"</f>
        <v>2016.462653</v>
      </c>
      <c r="BM2779" t="s">
        <v>724</v>
      </c>
      <c r="BO2779" t="s">
        <v>18360</v>
      </c>
      <c r="BS2779">
        <v>30</v>
      </c>
      <c r="BW2779" t="str">
        <f>""</f>
        <v/>
      </c>
      <c r="CH2779" t="str">
        <f>""</f>
        <v/>
      </c>
      <c r="CS2779" t="str">
        <f>""</f>
        <v/>
      </c>
    </row>
    <row r="2780" spans="1:97" x14ac:dyDescent="0.25">
      <c r="A2780" t="s">
        <v>305</v>
      </c>
      <c r="B2780" t="s">
        <v>18361</v>
      </c>
      <c r="C2780" t="s">
        <v>976</v>
      </c>
      <c r="D2780" t="s">
        <v>18361</v>
      </c>
      <c r="E2780" t="s">
        <v>18362</v>
      </c>
      <c r="F2780" t="s">
        <v>108</v>
      </c>
      <c r="H2780" t="s">
        <v>18363</v>
      </c>
      <c r="I2780" t="s">
        <v>144</v>
      </c>
      <c r="J2780" t="s">
        <v>111</v>
      </c>
      <c r="K2780" t="str">
        <f>"85326"</f>
        <v>85326</v>
      </c>
      <c r="L2780" t="s">
        <v>18364</v>
      </c>
      <c r="M2780" t="s">
        <v>18363</v>
      </c>
      <c r="N2780" t="s">
        <v>144</v>
      </c>
      <c r="O2780" t="s">
        <v>111</v>
      </c>
      <c r="P2780" t="str">
        <f>"85326-5834"</f>
        <v>85326-5834</v>
      </c>
      <c r="Q2780" t="s">
        <v>113</v>
      </c>
      <c r="R2780" t="str">
        <f>"502-36-137"</f>
        <v>502-36-137</v>
      </c>
      <c r="S2780" t="s">
        <v>18365</v>
      </c>
      <c r="T2780" t="s">
        <v>18366</v>
      </c>
      <c r="U2780">
        <v>4061</v>
      </c>
      <c r="V2780">
        <v>0</v>
      </c>
      <c r="W2780">
        <v>4</v>
      </c>
      <c r="X2780">
        <v>2008</v>
      </c>
      <c r="Z2780">
        <v>2</v>
      </c>
      <c r="AB2780">
        <v>0</v>
      </c>
      <c r="AC2780" t="s">
        <v>115</v>
      </c>
      <c r="AD2780">
        <v>3</v>
      </c>
      <c r="AE2780" t="s">
        <v>115</v>
      </c>
      <c r="AF2780">
        <v>0</v>
      </c>
      <c r="AG2780">
        <v>0</v>
      </c>
      <c r="AH2780" t="s">
        <v>116</v>
      </c>
      <c r="AI2780" s="1">
        <v>59491</v>
      </c>
      <c r="AJ2780" s="2">
        <v>0.19</v>
      </c>
      <c r="AK2780" s="1">
        <v>312576</v>
      </c>
      <c r="AL2780" t="s">
        <v>117</v>
      </c>
      <c r="AM2780" t="s">
        <v>5023</v>
      </c>
      <c r="AN2780">
        <v>6960</v>
      </c>
      <c r="AO2780">
        <v>0.16</v>
      </c>
      <c r="AR2780">
        <v>1</v>
      </c>
      <c r="AS2780" s="1">
        <v>22210</v>
      </c>
      <c r="AT2780" s="1">
        <v>4440</v>
      </c>
      <c r="AU2780" s="1">
        <v>17770</v>
      </c>
      <c r="AV2780">
        <v>80.010000000000005</v>
      </c>
      <c r="AX2780" s="1">
        <v>2468.64</v>
      </c>
      <c r="AY2780" t="s">
        <v>2767</v>
      </c>
      <c r="AZ2780" t="s">
        <v>2767</v>
      </c>
      <c r="BA2780" t="s">
        <v>5025</v>
      </c>
      <c r="BE2780" s="3">
        <v>42487</v>
      </c>
      <c r="BF2780" s="1">
        <v>245000</v>
      </c>
      <c r="BG2780" t="s">
        <v>18367</v>
      </c>
      <c r="BH2780" s="1">
        <v>60.33</v>
      </c>
      <c r="BI2780" s="1">
        <v>253085</v>
      </c>
      <c r="BJ2780" s="3">
        <v>42487</v>
      </c>
      <c r="BK2780" t="s">
        <v>123</v>
      </c>
      <c r="BL2780" t="str">
        <f>"2016.282575"</f>
        <v>2016.282575</v>
      </c>
      <c r="BM2780" t="s">
        <v>2094</v>
      </c>
      <c r="BO2780" t="s">
        <v>18368</v>
      </c>
      <c r="BS2780">
        <v>30</v>
      </c>
      <c r="BW2780" t="str">
        <f>""</f>
        <v/>
      </c>
      <c r="CH2780" t="str">
        <f>""</f>
        <v/>
      </c>
      <c r="CS2780" t="str">
        <f>""</f>
        <v/>
      </c>
    </row>
    <row r="2781" spans="1:97" x14ac:dyDescent="0.25">
      <c r="A2781" t="s">
        <v>11648</v>
      </c>
      <c r="B2781" t="s">
        <v>18369</v>
      </c>
      <c r="C2781" t="s">
        <v>1692</v>
      </c>
      <c r="D2781" t="s">
        <v>18369</v>
      </c>
      <c r="E2781" t="s">
        <v>18370</v>
      </c>
      <c r="F2781" t="s">
        <v>108</v>
      </c>
      <c r="H2781" t="s">
        <v>18371</v>
      </c>
      <c r="I2781" t="s">
        <v>5114</v>
      </c>
      <c r="J2781" t="s">
        <v>111</v>
      </c>
      <c r="K2781" t="str">
        <f>"85323"</f>
        <v>85323</v>
      </c>
      <c r="L2781" t="s">
        <v>189</v>
      </c>
      <c r="M2781" t="s">
        <v>18371</v>
      </c>
      <c r="N2781" t="s">
        <v>5114</v>
      </c>
      <c r="O2781" t="s">
        <v>111</v>
      </c>
      <c r="P2781" t="str">
        <f>"85323-3300"</f>
        <v>85323-3300</v>
      </c>
      <c r="Q2781" t="s">
        <v>113</v>
      </c>
      <c r="R2781" t="str">
        <f>"101-01-749"</f>
        <v>101-01-749</v>
      </c>
      <c r="S2781" t="s">
        <v>9031</v>
      </c>
      <c r="T2781" t="s">
        <v>9032</v>
      </c>
      <c r="U2781">
        <v>3645</v>
      </c>
      <c r="V2781">
        <v>0</v>
      </c>
      <c r="W2781">
        <v>4</v>
      </c>
      <c r="X2781">
        <v>2006</v>
      </c>
      <c r="Z2781">
        <v>2</v>
      </c>
      <c r="AA2781" t="s">
        <v>26</v>
      </c>
      <c r="AB2781">
        <v>0</v>
      </c>
      <c r="AC2781" t="s">
        <v>115</v>
      </c>
      <c r="AD2781">
        <v>2</v>
      </c>
      <c r="AE2781" t="s">
        <v>115</v>
      </c>
      <c r="AF2781">
        <v>0</v>
      </c>
      <c r="AG2781">
        <v>0</v>
      </c>
      <c r="AH2781" t="s">
        <v>116</v>
      </c>
      <c r="AI2781" s="1">
        <v>104782</v>
      </c>
      <c r="AJ2781" s="2">
        <v>0.3</v>
      </c>
      <c r="AK2781" s="1">
        <v>351610</v>
      </c>
      <c r="AL2781" t="s">
        <v>117</v>
      </c>
      <c r="AM2781" t="s">
        <v>118</v>
      </c>
      <c r="AN2781">
        <v>8810</v>
      </c>
      <c r="AO2781">
        <v>0.2</v>
      </c>
      <c r="AR2781">
        <v>1</v>
      </c>
      <c r="AS2781" s="1">
        <v>26720</v>
      </c>
      <c r="AT2781" s="1">
        <v>5340</v>
      </c>
      <c r="AU2781" s="1">
        <v>21380</v>
      </c>
      <c r="AV2781">
        <v>80.010000000000005</v>
      </c>
      <c r="AX2781" s="1">
        <v>2720.74</v>
      </c>
      <c r="AY2781" t="s">
        <v>9033</v>
      </c>
      <c r="AZ2781" t="s">
        <v>9033</v>
      </c>
      <c r="BA2781" t="s">
        <v>4254</v>
      </c>
      <c r="BB2781" s="3">
        <v>42020</v>
      </c>
      <c r="BD2781" t="s">
        <v>842</v>
      </c>
      <c r="BE2781" s="3">
        <v>42020</v>
      </c>
      <c r="BF2781" s="1">
        <v>239000</v>
      </c>
      <c r="BG2781" t="s">
        <v>18372</v>
      </c>
      <c r="BH2781" s="1">
        <v>65.569999999999993</v>
      </c>
      <c r="BI2781" s="1">
        <v>246828</v>
      </c>
      <c r="BJ2781" s="3">
        <v>42328</v>
      </c>
      <c r="BK2781" t="s">
        <v>123</v>
      </c>
      <c r="BL2781" t="str">
        <f>"2015.829154"</f>
        <v>2015.829154</v>
      </c>
      <c r="BM2781" t="s">
        <v>6385</v>
      </c>
      <c r="BO2781" t="s">
        <v>18373</v>
      </c>
      <c r="BS2781">
        <v>30</v>
      </c>
      <c r="BW2781" t="str">
        <f>""</f>
        <v/>
      </c>
      <c r="CH2781" t="str">
        <f>""</f>
        <v/>
      </c>
      <c r="CS2781" t="str">
        <f>""</f>
        <v/>
      </c>
    </row>
    <row r="2782" spans="1:97" x14ac:dyDescent="0.25">
      <c r="A2782" t="s">
        <v>1876</v>
      </c>
      <c r="B2782" t="s">
        <v>18374</v>
      </c>
      <c r="C2782" t="s">
        <v>18375</v>
      </c>
      <c r="D2782" t="s">
        <v>18374</v>
      </c>
      <c r="E2782" t="s">
        <v>18376</v>
      </c>
      <c r="F2782" t="s">
        <v>108</v>
      </c>
      <c r="H2782" t="s">
        <v>18377</v>
      </c>
      <c r="I2782" t="s">
        <v>390</v>
      </c>
      <c r="J2782" t="s">
        <v>111</v>
      </c>
      <c r="K2782" t="str">
        <f>"85018"</f>
        <v>85018</v>
      </c>
      <c r="L2782" t="s">
        <v>5400</v>
      </c>
      <c r="M2782" t="s">
        <v>18377</v>
      </c>
      <c r="N2782" t="s">
        <v>390</v>
      </c>
      <c r="O2782" t="s">
        <v>111</v>
      </c>
      <c r="P2782" t="str">
        <f>"85018-4328"</f>
        <v>85018-4328</v>
      </c>
      <c r="Q2782" t="s">
        <v>113</v>
      </c>
      <c r="R2782" t="str">
        <f>"171-41-046"</f>
        <v>171-41-046</v>
      </c>
      <c r="S2782" t="s">
        <v>18378</v>
      </c>
      <c r="T2782" t="s">
        <v>18379</v>
      </c>
      <c r="U2782">
        <v>1794</v>
      </c>
      <c r="V2782">
        <v>0</v>
      </c>
      <c r="W2782">
        <v>1</v>
      </c>
      <c r="X2782">
        <v>1954</v>
      </c>
      <c r="Z2782">
        <v>1</v>
      </c>
      <c r="AB2782">
        <v>0</v>
      </c>
      <c r="AC2782" t="s">
        <v>5188</v>
      </c>
      <c r="AD2782">
        <v>1</v>
      </c>
      <c r="AE2782" t="s">
        <v>5188</v>
      </c>
      <c r="AF2782">
        <v>0</v>
      </c>
      <c r="AG2782">
        <v>0</v>
      </c>
      <c r="AH2782" t="s">
        <v>116</v>
      </c>
      <c r="AI2782" s="1">
        <v>74176</v>
      </c>
      <c r="AJ2782" s="2">
        <v>0.15</v>
      </c>
      <c r="AK2782" s="1">
        <v>487331</v>
      </c>
      <c r="AL2782" t="s">
        <v>117</v>
      </c>
      <c r="AM2782" t="s">
        <v>191</v>
      </c>
      <c r="AN2782">
        <v>5798</v>
      </c>
      <c r="AO2782">
        <v>0.13</v>
      </c>
      <c r="AP2782">
        <v>1</v>
      </c>
      <c r="AR2782">
        <v>1</v>
      </c>
      <c r="AS2782" s="1">
        <v>31500</v>
      </c>
      <c r="AT2782" s="1">
        <v>6300</v>
      </c>
      <c r="AU2782" s="1">
        <v>25200</v>
      </c>
      <c r="AV2782">
        <v>80</v>
      </c>
      <c r="AX2782" s="1">
        <v>2061</v>
      </c>
      <c r="AY2782" t="s">
        <v>18380</v>
      </c>
      <c r="AZ2782" t="s">
        <v>8348</v>
      </c>
      <c r="BA2782" t="s">
        <v>8349</v>
      </c>
      <c r="BE2782" s="3">
        <v>42062</v>
      </c>
      <c r="BF2782" s="1">
        <v>384000</v>
      </c>
      <c r="BG2782" t="s">
        <v>18381</v>
      </c>
      <c r="BH2782" s="1">
        <v>214.05</v>
      </c>
      <c r="BI2782" s="1">
        <v>413155</v>
      </c>
      <c r="BJ2782" s="3">
        <v>43367</v>
      </c>
      <c r="BK2782" t="s">
        <v>123</v>
      </c>
      <c r="BL2782" t="str">
        <f>"2018.716509"</f>
        <v>2018.716509</v>
      </c>
      <c r="BM2782" t="s">
        <v>673</v>
      </c>
      <c r="BN2782" t="s">
        <v>674</v>
      </c>
      <c r="BO2782" t="s">
        <v>18382</v>
      </c>
      <c r="BP2782" t="s">
        <v>18383</v>
      </c>
      <c r="BR2782" t="s">
        <v>139</v>
      </c>
      <c r="BW2782" t="str">
        <f>""</f>
        <v/>
      </c>
      <c r="CH2782" t="str">
        <f>""</f>
        <v/>
      </c>
      <c r="CS2782" t="str">
        <f>""</f>
        <v/>
      </c>
    </row>
    <row r="2783" spans="1:97" x14ac:dyDescent="0.25">
      <c r="A2783" t="s">
        <v>894</v>
      </c>
      <c r="B2783" t="s">
        <v>18384</v>
      </c>
      <c r="C2783" t="s">
        <v>703</v>
      </c>
      <c r="D2783" t="s">
        <v>18384</v>
      </c>
      <c r="E2783" t="s">
        <v>18385</v>
      </c>
      <c r="F2783" t="s">
        <v>108</v>
      </c>
      <c r="H2783" t="s">
        <v>18386</v>
      </c>
      <c r="I2783" t="s">
        <v>5387</v>
      </c>
      <c r="J2783" t="s">
        <v>111</v>
      </c>
      <c r="K2783" t="str">
        <f>"85283"</f>
        <v>85283</v>
      </c>
      <c r="L2783" t="s">
        <v>3982</v>
      </c>
      <c r="M2783" t="s">
        <v>18386</v>
      </c>
      <c r="N2783" t="s">
        <v>5387</v>
      </c>
      <c r="O2783" t="s">
        <v>111</v>
      </c>
      <c r="P2783" t="str">
        <f>"85283-4870"</f>
        <v>85283-4870</v>
      </c>
      <c r="Q2783" t="s">
        <v>113</v>
      </c>
      <c r="R2783" t="str">
        <f>"301-92-941"</f>
        <v>301-92-941</v>
      </c>
      <c r="S2783" t="s">
        <v>5388</v>
      </c>
      <c r="T2783" t="s">
        <v>5389</v>
      </c>
      <c r="U2783">
        <v>1816</v>
      </c>
      <c r="V2783">
        <v>0</v>
      </c>
      <c r="W2783">
        <v>2</v>
      </c>
      <c r="X2783">
        <v>1983</v>
      </c>
      <c r="Z2783">
        <v>1</v>
      </c>
      <c r="AB2783">
        <v>0</v>
      </c>
      <c r="AC2783" t="s">
        <v>115</v>
      </c>
      <c r="AD2783">
        <v>4</v>
      </c>
      <c r="AE2783" t="s">
        <v>115</v>
      </c>
      <c r="AF2783">
        <v>0</v>
      </c>
      <c r="AG2783">
        <v>0</v>
      </c>
      <c r="AH2783" t="s">
        <v>116</v>
      </c>
      <c r="AI2783" s="1">
        <v>37243</v>
      </c>
      <c r="AJ2783" s="2">
        <v>0.1</v>
      </c>
      <c r="AK2783" s="1">
        <v>358823</v>
      </c>
      <c r="AL2783" t="s">
        <v>117</v>
      </c>
      <c r="AM2783" t="s">
        <v>393</v>
      </c>
      <c r="AN2783">
        <v>8490</v>
      </c>
      <c r="AO2783">
        <v>0.2</v>
      </c>
      <c r="AP2783">
        <v>1</v>
      </c>
      <c r="AR2783">
        <v>1</v>
      </c>
      <c r="AS2783" s="1">
        <v>25600</v>
      </c>
      <c r="AT2783" s="1">
        <v>5120</v>
      </c>
      <c r="AU2783" s="1">
        <v>20480</v>
      </c>
      <c r="AV2783">
        <v>80</v>
      </c>
      <c r="AX2783" s="1">
        <v>2399.6799999999998</v>
      </c>
      <c r="AY2783" t="s">
        <v>5857</v>
      </c>
      <c r="AZ2783" t="s">
        <v>5391</v>
      </c>
      <c r="BA2783" t="s">
        <v>5392</v>
      </c>
      <c r="BE2783" s="3">
        <v>42416</v>
      </c>
      <c r="BF2783" s="1">
        <v>289900</v>
      </c>
      <c r="BG2783" t="s">
        <v>18387</v>
      </c>
      <c r="BH2783" s="1">
        <v>159.63999999999999</v>
      </c>
      <c r="BI2783" s="1">
        <v>321580</v>
      </c>
      <c r="BJ2783" s="3">
        <v>43539</v>
      </c>
      <c r="BK2783" t="s">
        <v>123</v>
      </c>
      <c r="BL2783" t="str">
        <f>"2019.182392"</f>
        <v>2019.182392</v>
      </c>
      <c r="BM2783" t="s">
        <v>13433</v>
      </c>
      <c r="BN2783" t="s">
        <v>18388</v>
      </c>
      <c r="BO2783" t="s">
        <v>18389</v>
      </c>
      <c r="BP2783" t="s">
        <v>18390</v>
      </c>
      <c r="BR2783" t="s">
        <v>139</v>
      </c>
      <c r="BW2783" t="str">
        <f>""</f>
        <v/>
      </c>
      <c r="CH2783" t="str">
        <f>""</f>
        <v/>
      </c>
      <c r="CS2783" t="str">
        <f>""</f>
        <v/>
      </c>
    </row>
    <row r="2784" spans="1:97" x14ac:dyDescent="0.25">
      <c r="A2784" t="s">
        <v>1393</v>
      </c>
      <c r="B2784" t="s">
        <v>18391</v>
      </c>
      <c r="E2784" t="s">
        <v>18392</v>
      </c>
      <c r="F2784" t="s">
        <v>108</v>
      </c>
      <c r="H2784" t="s">
        <v>18393</v>
      </c>
      <c r="I2784" t="s">
        <v>225</v>
      </c>
      <c r="J2784" t="s">
        <v>111</v>
      </c>
      <c r="K2784" t="str">
        <f>"85215"</f>
        <v>85215</v>
      </c>
      <c r="L2784" t="s">
        <v>500</v>
      </c>
      <c r="M2784" t="s">
        <v>18393</v>
      </c>
      <c r="N2784" t="s">
        <v>225</v>
      </c>
      <c r="O2784" t="s">
        <v>111</v>
      </c>
      <c r="P2784" t="str">
        <f>"85215-2936"</f>
        <v>85215-2936</v>
      </c>
      <c r="Q2784" t="s">
        <v>113</v>
      </c>
      <c r="R2784" t="str">
        <f>"141-71-036"</f>
        <v>141-71-036</v>
      </c>
      <c r="S2784" t="s">
        <v>6660</v>
      </c>
      <c r="T2784" t="s">
        <v>6661</v>
      </c>
      <c r="U2784">
        <v>1232</v>
      </c>
      <c r="V2784">
        <v>0</v>
      </c>
      <c r="W2784">
        <v>2</v>
      </c>
      <c r="X2784">
        <v>1973</v>
      </c>
      <c r="Z2784">
        <v>1</v>
      </c>
      <c r="AB2784">
        <v>0</v>
      </c>
      <c r="AC2784" t="s">
        <v>5188</v>
      </c>
      <c r="AD2784">
        <v>2</v>
      </c>
      <c r="AE2784" t="s">
        <v>5188</v>
      </c>
      <c r="AF2784">
        <v>0</v>
      </c>
      <c r="AG2784">
        <v>0</v>
      </c>
      <c r="AH2784" t="s">
        <v>116</v>
      </c>
      <c r="AI2784" s="1">
        <v>44838</v>
      </c>
      <c r="AJ2784" s="2">
        <v>0.17</v>
      </c>
      <c r="AK2784" s="1">
        <v>266933</v>
      </c>
      <c r="AL2784" t="s">
        <v>117</v>
      </c>
      <c r="AM2784" t="s">
        <v>917</v>
      </c>
      <c r="AN2784">
        <v>14164</v>
      </c>
      <c r="AO2784">
        <v>0.32</v>
      </c>
      <c r="AP2784">
        <v>1</v>
      </c>
      <c r="AR2784">
        <v>1</v>
      </c>
      <c r="AS2784" s="1">
        <v>17610</v>
      </c>
      <c r="AT2784" s="1">
        <v>3520</v>
      </c>
      <c r="AU2784" s="1">
        <v>14090</v>
      </c>
      <c r="AV2784">
        <v>80.010000000000005</v>
      </c>
      <c r="AX2784" s="1">
        <v>998.1</v>
      </c>
      <c r="AY2784" t="s">
        <v>6662</v>
      </c>
      <c r="AZ2784" t="s">
        <v>5275</v>
      </c>
      <c r="BA2784" t="s">
        <v>3119</v>
      </c>
      <c r="BB2784" s="3">
        <v>43327</v>
      </c>
      <c r="BC2784" s="1">
        <v>0</v>
      </c>
      <c r="BD2784" t="s">
        <v>247</v>
      </c>
      <c r="BE2784" s="3">
        <v>42443</v>
      </c>
      <c r="BF2784" s="1">
        <v>215000</v>
      </c>
      <c r="BG2784" t="s">
        <v>18394</v>
      </c>
      <c r="BH2784" s="1">
        <v>174.51</v>
      </c>
      <c r="BI2784" s="1">
        <v>222095</v>
      </c>
      <c r="BJ2784" s="3">
        <v>42443</v>
      </c>
      <c r="BK2784" t="s">
        <v>123</v>
      </c>
      <c r="BL2784" t="str">
        <f>"2016.162046"</f>
        <v>2016.162046</v>
      </c>
      <c r="BM2784" t="s">
        <v>7000</v>
      </c>
      <c r="BN2784" t="s">
        <v>7001</v>
      </c>
      <c r="BO2784" t="s">
        <v>18395</v>
      </c>
      <c r="BS2784">
        <v>30</v>
      </c>
      <c r="BW2784" t="str">
        <f>""</f>
        <v/>
      </c>
      <c r="CH2784" t="str">
        <f>""</f>
        <v/>
      </c>
      <c r="CS2784" t="str">
        <f>""</f>
        <v/>
      </c>
    </row>
    <row r="2785" spans="1:97" x14ac:dyDescent="0.25">
      <c r="A2785" t="s">
        <v>9984</v>
      </c>
      <c r="B2785" t="s">
        <v>18396</v>
      </c>
      <c r="C2785" t="s">
        <v>18069</v>
      </c>
      <c r="D2785" t="s">
        <v>18396</v>
      </c>
      <c r="E2785" t="s">
        <v>18397</v>
      </c>
      <c r="F2785" t="s">
        <v>108</v>
      </c>
      <c r="H2785" t="s">
        <v>18398</v>
      </c>
      <c r="I2785" t="s">
        <v>390</v>
      </c>
      <c r="J2785" t="s">
        <v>111</v>
      </c>
      <c r="K2785" t="str">
        <f>"85014"</f>
        <v>85014</v>
      </c>
      <c r="L2785" t="s">
        <v>6541</v>
      </c>
      <c r="M2785" t="s">
        <v>18398</v>
      </c>
      <c r="N2785" t="s">
        <v>390</v>
      </c>
      <c r="O2785" t="s">
        <v>111</v>
      </c>
      <c r="P2785" t="str">
        <f>"85014-2608"</f>
        <v>85014-2608</v>
      </c>
      <c r="Q2785" t="s">
        <v>113</v>
      </c>
      <c r="R2785" t="str">
        <f>"162-14-094"</f>
        <v>162-14-094</v>
      </c>
      <c r="S2785" t="s">
        <v>17456</v>
      </c>
      <c r="T2785" t="s">
        <v>17456</v>
      </c>
      <c r="U2785">
        <v>1301</v>
      </c>
      <c r="V2785">
        <v>0</v>
      </c>
      <c r="W2785">
        <v>2</v>
      </c>
      <c r="X2785">
        <v>1950</v>
      </c>
      <c r="Z2785">
        <v>1</v>
      </c>
      <c r="AA2785" t="s">
        <v>26</v>
      </c>
      <c r="AB2785">
        <v>0</v>
      </c>
      <c r="AC2785" t="s">
        <v>5188</v>
      </c>
      <c r="AD2785">
        <v>1</v>
      </c>
      <c r="AE2785" t="s">
        <v>5188</v>
      </c>
      <c r="AF2785">
        <v>0</v>
      </c>
      <c r="AG2785">
        <v>0</v>
      </c>
      <c r="AH2785" t="s">
        <v>116</v>
      </c>
      <c r="AI2785" s="1">
        <v>106145</v>
      </c>
      <c r="AJ2785" s="2">
        <v>0.28999999999999998</v>
      </c>
      <c r="AK2785" s="1">
        <v>366145</v>
      </c>
      <c r="AL2785" t="s">
        <v>117</v>
      </c>
      <c r="AM2785" t="s">
        <v>191</v>
      </c>
      <c r="AN2785">
        <v>7553</v>
      </c>
      <c r="AO2785">
        <v>0.17</v>
      </c>
      <c r="AP2785">
        <v>1</v>
      </c>
      <c r="AR2785">
        <v>1</v>
      </c>
      <c r="AS2785" s="1">
        <v>24660</v>
      </c>
      <c r="AT2785" s="1">
        <v>4930</v>
      </c>
      <c r="AU2785" s="1">
        <v>19730</v>
      </c>
      <c r="AV2785">
        <v>80.010000000000005</v>
      </c>
      <c r="AX2785" s="1">
        <v>1957.62</v>
      </c>
      <c r="AY2785" t="s">
        <v>6998</v>
      </c>
      <c r="AZ2785" t="s">
        <v>6254</v>
      </c>
      <c r="BA2785" t="s">
        <v>5469</v>
      </c>
      <c r="BE2785" s="3">
        <v>42153</v>
      </c>
      <c r="BF2785" s="1">
        <v>260000</v>
      </c>
      <c r="BG2785" t="s">
        <v>18399</v>
      </c>
      <c r="BH2785" s="1">
        <v>199.85</v>
      </c>
      <c r="BI2785" s="1">
        <v>260000</v>
      </c>
      <c r="BJ2785" s="3">
        <v>42153</v>
      </c>
      <c r="BK2785" t="s">
        <v>123</v>
      </c>
      <c r="BL2785" t="str">
        <f>"2015.381104"</f>
        <v>2015.381104</v>
      </c>
      <c r="BM2785" t="s">
        <v>135</v>
      </c>
      <c r="BO2785" t="s">
        <v>18400</v>
      </c>
      <c r="BS2785">
        <v>30</v>
      </c>
      <c r="BW2785" t="str">
        <f>""</f>
        <v/>
      </c>
      <c r="CH2785" t="str">
        <f>""</f>
        <v/>
      </c>
      <c r="CS2785" t="str">
        <f>""</f>
        <v/>
      </c>
    </row>
    <row r="2786" spans="1:97" x14ac:dyDescent="0.25">
      <c r="A2786" t="s">
        <v>494</v>
      </c>
      <c r="B2786" t="s">
        <v>18401</v>
      </c>
      <c r="C2786" t="s">
        <v>1289</v>
      </c>
      <c r="D2786" t="s">
        <v>18401</v>
      </c>
      <c r="E2786" t="s">
        <v>18402</v>
      </c>
      <c r="F2786" t="s">
        <v>108</v>
      </c>
      <c r="H2786" t="s">
        <v>18403</v>
      </c>
      <c r="I2786" t="s">
        <v>203</v>
      </c>
      <c r="J2786" t="s">
        <v>111</v>
      </c>
      <c r="K2786" t="str">
        <f>"85296"</f>
        <v>85296</v>
      </c>
      <c r="L2786" t="s">
        <v>4035</v>
      </c>
      <c r="M2786" t="s">
        <v>18403</v>
      </c>
      <c r="N2786" t="s">
        <v>203</v>
      </c>
      <c r="O2786" t="s">
        <v>111</v>
      </c>
      <c r="P2786" t="str">
        <f>"85296-1415"</f>
        <v>85296-1415</v>
      </c>
      <c r="Q2786" t="s">
        <v>113</v>
      </c>
      <c r="R2786" t="str">
        <f>"314-07-122"</f>
        <v>314-07-122</v>
      </c>
      <c r="S2786" t="s">
        <v>18404</v>
      </c>
      <c r="T2786" t="s">
        <v>4037</v>
      </c>
      <c r="U2786">
        <v>1899</v>
      </c>
      <c r="V2786">
        <v>0</v>
      </c>
      <c r="W2786">
        <v>2</v>
      </c>
      <c r="X2786">
        <v>2008</v>
      </c>
      <c r="Z2786">
        <v>1</v>
      </c>
      <c r="AB2786">
        <v>0</v>
      </c>
      <c r="AC2786" t="s">
        <v>115</v>
      </c>
      <c r="AD2786">
        <v>2</v>
      </c>
      <c r="AE2786" t="s">
        <v>115</v>
      </c>
      <c r="AF2786">
        <v>0</v>
      </c>
      <c r="AG2786">
        <v>0</v>
      </c>
      <c r="AH2786" t="s">
        <v>116</v>
      </c>
      <c r="AI2786" s="1">
        <v>91438</v>
      </c>
      <c r="AJ2786" s="2">
        <v>0.31</v>
      </c>
      <c r="AK2786" s="1">
        <v>295438</v>
      </c>
      <c r="AL2786" t="s">
        <v>117</v>
      </c>
      <c r="AM2786" t="s">
        <v>288</v>
      </c>
      <c r="AN2786">
        <v>4500</v>
      </c>
      <c r="AO2786">
        <v>0.1</v>
      </c>
      <c r="AR2786">
        <v>1</v>
      </c>
      <c r="AS2786" s="1">
        <v>20760</v>
      </c>
      <c r="AT2786" s="1">
        <v>4150</v>
      </c>
      <c r="AU2786" s="1">
        <v>16610</v>
      </c>
      <c r="AV2786">
        <v>80.010000000000005</v>
      </c>
      <c r="AX2786" s="1">
        <v>1497.08</v>
      </c>
      <c r="AY2786" t="s">
        <v>472</v>
      </c>
      <c r="AZ2786" t="s">
        <v>472</v>
      </c>
      <c r="BA2786" t="s">
        <v>473</v>
      </c>
      <c r="BE2786" s="3">
        <v>41724</v>
      </c>
      <c r="BF2786" s="1">
        <v>204000</v>
      </c>
      <c r="BG2786" t="s">
        <v>18405</v>
      </c>
      <c r="BH2786" s="1">
        <v>107.42</v>
      </c>
      <c r="BI2786" s="1">
        <v>204000</v>
      </c>
      <c r="BJ2786" s="3">
        <v>41724</v>
      </c>
      <c r="BK2786" t="s">
        <v>123</v>
      </c>
      <c r="BL2786" t="str">
        <f>"2014.191083"</f>
        <v>2014.191083</v>
      </c>
      <c r="BM2786" t="s">
        <v>124</v>
      </c>
      <c r="BO2786" t="s">
        <v>18406</v>
      </c>
      <c r="BS2786">
        <v>30</v>
      </c>
      <c r="BW2786" t="str">
        <f>""</f>
        <v/>
      </c>
      <c r="CH2786" t="str">
        <f>""</f>
        <v/>
      </c>
      <c r="CS2786" t="str">
        <f>""</f>
        <v/>
      </c>
    </row>
    <row r="2787" spans="1:97" x14ac:dyDescent="0.25">
      <c r="A2787" t="s">
        <v>18407</v>
      </c>
      <c r="B2787" t="s">
        <v>18408</v>
      </c>
      <c r="E2787" t="s">
        <v>18409</v>
      </c>
      <c r="F2787" t="s">
        <v>282</v>
      </c>
      <c r="H2787" t="s">
        <v>18410</v>
      </c>
      <c r="I2787" t="s">
        <v>390</v>
      </c>
      <c r="J2787" t="s">
        <v>111</v>
      </c>
      <c r="K2787" t="str">
        <f>"85041"</f>
        <v>85041</v>
      </c>
      <c r="L2787" t="s">
        <v>6891</v>
      </c>
      <c r="M2787" t="s">
        <v>18411</v>
      </c>
      <c r="N2787" t="s">
        <v>390</v>
      </c>
      <c r="O2787" t="s">
        <v>111</v>
      </c>
      <c r="P2787" t="str">
        <f>"85003-2135"</f>
        <v>85003-2135</v>
      </c>
      <c r="Q2787" t="s">
        <v>113</v>
      </c>
      <c r="R2787" t="str">
        <f>"105-88-864"</f>
        <v>105-88-864</v>
      </c>
      <c r="S2787" t="s">
        <v>16123</v>
      </c>
      <c r="T2787" t="s">
        <v>15660</v>
      </c>
      <c r="U2787">
        <v>2357</v>
      </c>
      <c r="V2787">
        <v>0</v>
      </c>
      <c r="W2787">
        <v>4</v>
      </c>
      <c r="X2787">
        <v>2014</v>
      </c>
      <c r="Z2787">
        <v>1</v>
      </c>
      <c r="AB2787">
        <v>0</v>
      </c>
      <c r="AC2787" t="s">
        <v>115</v>
      </c>
      <c r="AD2787">
        <v>2</v>
      </c>
      <c r="AE2787" t="s">
        <v>115</v>
      </c>
      <c r="AF2787">
        <v>0</v>
      </c>
      <c r="AG2787">
        <v>0</v>
      </c>
      <c r="AH2787" t="s">
        <v>116</v>
      </c>
      <c r="AI2787" s="1">
        <v>47543</v>
      </c>
      <c r="AJ2787" s="2">
        <v>0.15</v>
      </c>
      <c r="AK2787" s="1">
        <v>315878</v>
      </c>
      <c r="AL2787" t="s">
        <v>117</v>
      </c>
      <c r="AM2787" t="s">
        <v>760</v>
      </c>
      <c r="AN2787">
        <v>6900</v>
      </c>
      <c r="AO2787">
        <v>0.16</v>
      </c>
      <c r="AR2787">
        <v>1</v>
      </c>
      <c r="AS2787" s="1">
        <v>22980</v>
      </c>
      <c r="AT2787" s="1">
        <v>4590</v>
      </c>
      <c r="AU2787" s="1">
        <v>18390</v>
      </c>
      <c r="AV2787">
        <v>80.03</v>
      </c>
      <c r="AX2787" s="1">
        <v>2294.42</v>
      </c>
      <c r="AY2787" t="s">
        <v>5220</v>
      </c>
      <c r="AZ2787" t="s">
        <v>5220</v>
      </c>
      <c r="BA2787" t="s">
        <v>1661</v>
      </c>
      <c r="BE2787" s="3">
        <v>41759</v>
      </c>
      <c r="BF2787" s="1">
        <v>247990</v>
      </c>
      <c r="BG2787" t="s">
        <v>158</v>
      </c>
      <c r="BH2787" s="1">
        <v>105.21</v>
      </c>
      <c r="BI2787" s="1">
        <v>268335</v>
      </c>
      <c r="BJ2787" s="3">
        <v>43188</v>
      </c>
      <c r="BK2787" t="s">
        <v>123</v>
      </c>
      <c r="BL2787" t="str">
        <f>"2018.236437"</f>
        <v>2018.236437</v>
      </c>
      <c r="BM2787" t="s">
        <v>18412</v>
      </c>
      <c r="BN2787" t="s">
        <v>751</v>
      </c>
      <c r="BO2787" t="s">
        <v>18413</v>
      </c>
      <c r="BR2787" t="s">
        <v>346</v>
      </c>
      <c r="BW2787" t="str">
        <f>""</f>
        <v/>
      </c>
      <c r="CH2787" t="str">
        <f>""</f>
        <v/>
      </c>
      <c r="CS2787" t="str">
        <f>""</f>
        <v/>
      </c>
    </row>
    <row r="2788" spans="1:97" x14ac:dyDescent="0.25">
      <c r="A2788" t="s">
        <v>894</v>
      </c>
      <c r="B2788" t="s">
        <v>1421</v>
      </c>
      <c r="E2788" t="s">
        <v>18414</v>
      </c>
      <c r="F2788" t="s">
        <v>108</v>
      </c>
      <c r="H2788" t="s">
        <v>18415</v>
      </c>
      <c r="I2788" t="s">
        <v>110</v>
      </c>
      <c r="J2788" t="s">
        <v>111</v>
      </c>
      <c r="K2788" t="str">
        <f>"85226"</f>
        <v>85226</v>
      </c>
      <c r="L2788" t="s">
        <v>7339</v>
      </c>
      <c r="M2788" t="s">
        <v>18415</v>
      </c>
      <c r="N2788" t="s">
        <v>110</v>
      </c>
      <c r="O2788" t="s">
        <v>111</v>
      </c>
      <c r="P2788" t="str">
        <f>"85226-4864"</f>
        <v>85226-4864</v>
      </c>
      <c r="Q2788" t="s">
        <v>113</v>
      </c>
      <c r="R2788" t="str">
        <f>"301-89-596"</f>
        <v>301-89-596</v>
      </c>
      <c r="S2788" t="s">
        <v>18416</v>
      </c>
      <c r="U2788">
        <v>1860</v>
      </c>
      <c r="V2788">
        <v>0</v>
      </c>
      <c r="W2788">
        <v>4</v>
      </c>
      <c r="X2788">
        <v>1985</v>
      </c>
      <c r="Z2788">
        <v>2</v>
      </c>
      <c r="AA2788" t="s">
        <v>26</v>
      </c>
      <c r="AB2788">
        <v>0</v>
      </c>
      <c r="AC2788" t="s">
        <v>115</v>
      </c>
      <c r="AD2788">
        <v>2</v>
      </c>
      <c r="AE2788" t="s">
        <v>115</v>
      </c>
      <c r="AF2788">
        <v>0</v>
      </c>
      <c r="AG2788">
        <v>0</v>
      </c>
      <c r="AH2788" t="s">
        <v>116</v>
      </c>
      <c r="AI2788" s="1">
        <v>57788</v>
      </c>
      <c r="AJ2788" s="2">
        <v>0.17</v>
      </c>
      <c r="AK2788" s="1">
        <v>346288</v>
      </c>
      <c r="AL2788" t="s">
        <v>117</v>
      </c>
      <c r="AM2788" t="s">
        <v>118</v>
      </c>
      <c r="AN2788">
        <v>8455</v>
      </c>
      <c r="AO2788">
        <v>0.19</v>
      </c>
      <c r="AP2788">
        <v>1</v>
      </c>
      <c r="AR2788">
        <v>1</v>
      </c>
      <c r="AS2788" s="1">
        <v>24810</v>
      </c>
      <c r="AT2788" s="1">
        <v>4960</v>
      </c>
      <c r="AU2788" s="1">
        <v>19850</v>
      </c>
      <c r="AV2788">
        <v>80.010000000000005</v>
      </c>
      <c r="AX2788" s="1">
        <v>1805.56</v>
      </c>
      <c r="AY2788" t="s">
        <v>5200</v>
      </c>
      <c r="AZ2788" t="s">
        <v>5201</v>
      </c>
      <c r="BA2788" t="s">
        <v>5202</v>
      </c>
      <c r="BE2788" s="3">
        <v>42516</v>
      </c>
      <c r="BF2788" s="1">
        <v>288500</v>
      </c>
      <c r="BG2788" t="s">
        <v>18417</v>
      </c>
      <c r="BH2788" s="1">
        <v>155.11000000000001</v>
      </c>
      <c r="BI2788" s="1">
        <v>288500</v>
      </c>
      <c r="BJ2788" s="3">
        <v>42516</v>
      </c>
      <c r="BK2788" t="s">
        <v>123</v>
      </c>
      <c r="BL2788" t="str">
        <f>"2016.362785"</f>
        <v>2016.362785</v>
      </c>
      <c r="BM2788" t="s">
        <v>2368</v>
      </c>
      <c r="BO2788" t="s">
        <v>18418</v>
      </c>
      <c r="BS2788">
        <v>30</v>
      </c>
      <c r="BW2788" t="str">
        <f>""</f>
        <v/>
      </c>
      <c r="CH2788" t="str">
        <f>""</f>
        <v/>
      </c>
      <c r="CS2788" t="str">
        <f>""</f>
        <v/>
      </c>
    </row>
    <row r="2789" spans="1:97" x14ac:dyDescent="0.25">
      <c r="A2789" t="s">
        <v>6374</v>
      </c>
      <c r="B2789" t="s">
        <v>13656</v>
      </c>
      <c r="E2789" t="s">
        <v>18419</v>
      </c>
      <c r="F2789" t="s">
        <v>108</v>
      </c>
      <c r="H2789" t="s">
        <v>18420</v>
      </c>
      <c r="I2789" t="s">
        <v>632</v>
      </c>
      <c r="J2789" t="s">
        <v>111</v>
      </c>
      <c r="K2789" t="str">
        <f>"85379"</f>
        <v>85379</v>
      </c>
      <c r="L2789" t="s">
        <v>145</v>
      </c>
      <c r="M2789" t="s">
        <v>18420</v>
      </c>
      <c r="N2789" t="s">
        <v>632</v>
      </c>
      <c r="O2789" t="s">
        <v>111</v>
      </c>
      <c r="P2789" t="str">
        <f>"85379-4755"</f>
        <v>85379-4755</v>
      </c>
      <c r="Q2789" t="s">
        <v>113</v>
      </c>
      <c r="R2789" t="str">
        <f>"509-03-728"</f>
        <v>509-03-728</v>
      </c>
      <c r="S2789" t="s">
        <v>18421</v>
      </c>
      <c r="U2789">
        <v>3343</v>
      </c>
      <c r="V2789">
        <v>0</v>
      </c>
      <c r="W2789">
        <v>5</v>
      </c>
      <c r="X2789">
        <v>2005</v>
      </c>
      <c r="Z2789">
        <v>2</v>
      </c>
      <c r="AA2789" t="s">
        <v>26</v>
      </c>
      <c r="AB2789">
        <v>0</v>
      </c>
      <c r="AC2789" t="s">
        <v>115</v>
      </c>
      <c r="AD2789">
        <v>2</v>
      </c>
      <c r="AE2789" t="s">
        <v>115</v>
      </c>
      <c r="AF2789">
        <v>0</v>
      </c>
      <c r="AG2789">
        <v>0</v>
      </c>
      <c r="AH2789" t="s">
        <v>116</v>
      </c>
      <c r="AI2789" s="1">
        <v>22470</v>
      </c>
      <c r="AJ2789" s="2">
        <v>0.06</v>
      </c>
      <c r="AK2789" s="1">
        <v>360209</v>
      </c>
      <c r="AL2789" t="s">
        <v>117</v>
      </c>
      <c r="AM2789" t="s">
        <v>118</v>
      </c>
      <c r="AN2789">
        <v>7640</v>
      </c>
      <c r="AO2789">
        <v>0.18</v>
      </c>
      <c r="AR2789">
        <v>1</v>
      </c>
      <c r="AS2789" s="1">
        <v>26360</v>
      </c>
      <c r="AT2789" s="1">
        <v>5270</v>
      </c>
      <c r="AU2789" s="1">
        <v>21090</v>
      </c>
      <c r="AV2789">
        <v>80.010000000000005</v>
      </c>
      <c r="AX2789" s="1">
        <v>2068.3000000000002</v>
      </c>
      <c r="AY2789" t="s">
        <v>5818</v>
      </c>
      <c r="AZ2789" t="s">
        <v>5818</v>
      </c>
      <c r="BA2789" t="s">
        <v>321</v>
      </c>
      <c r="BB2789" s="3">
        <v>42517</v>
      </c>
      <c r="BD2789" t="s">
        <v>240</v>
      </c>
      <c r="BE2789" s="3">
        <v>42384</v>
      </c>
      <c r="BF2789" s="1">
        <v>290000</v>
      </c>
      <c r="BG2789" t="s">
        <v>18422</v>
      </c>
      <c r="BH2789" s="1">
        <v>86.75</v>
      </c>
      <c r="BI2789" s="1">
        <v>337739</v>
      </c>
      <c r="BJ2789" s="3">
        <v>43171</v>
      </c>
      <c r="BK2789" t="s">
        <v>123</v>
      </c>
      <c r="BL2789" t="str">
        <f>"2018.183470"</f>
        <v>2018.183470</v>
      </c>
      <c r="BM2789" t="s">
        <v>7523</v>
      </c>
      <c r="BN2789" t="s">
        <v>18423</v>
      </c>
      <c r="BO2789" t="s">
        <v>18424</v>
      </c>
      <c r="BR2789" t="s">
        <v>139</v>
      </c>
      <c r="BW2789" t="str">
        <f>""</f>
        <v/>
      </c>
      <c r="CH2789" t="str">
        <f>""</f>
        <v/>
      </c>
      <c r="CS2789" t="str">
        <f>""</f>
        <v/>
      </c>
    </row>
    <row r="2790" spans="1:97" x14ac:dyDescent="0.25">
      <c r="B2790" t="s">
        <v>18425</v>
      </c>
      <c r="E2790" t="s">
        <v>18426</v>
      </c>
      <c r="F2790" t="s">
        <v>108</v>
      </c>
      <c r="H2790" t="s">
        <v>18427</v>
      </c>
      <c r="I2790" t="s">
        <v>390</v>
      </c>
      <c r="J2790" t="s">
        <v>111</v>
      </c>
      <c r="K2790" t="str">
        <f>"85028"</f>
        <v>85028</v>
      </c>
      <c r="L2790" t="s">
        <v>3982</v>
      </c>
      <c r="M2790" t="s">
        <v>18427</v>
      </c>
      <c r="N2790" t="s">
        <v>390</v>
      </c>
      <c r="O2790" t="s">
        <v>111</v>
      </c>
      <c r="P2790" t="str">
        <f>"85028-3729"</f>
        <v>85028-3729</v>
      </c>
      <c r="Q2790" t="s">
        <v>113</v>
      </c>
      <c r="R2790" t="str">
        <f>"165-05-118"</f>
        <v>165-05-118</v>
      </c>
      <c r="S2790" t="s">
        <v>18428</v>
      </c>
      <c r="T2790" t="s">
        <v>18429</v>
      </c>
      <c r="U2790">
        <v>1649</v>
      </c>
      <c r="V2790">
        <v>0</v>
      </c>
      <c r="W2790">
        <v>2</v>
      </c>
      <c r="X2790">
        <v>1971</v>
      </c>
      <c r="Z2790">
        <v>1</v>
      </c>
      <c r="AB2790">
        <v>0</v>
      </c>
      <c r="AC2790" t="s">
        <v>115</v>
      </c>
      <c r="AD2790">
        <v>2</v>
      </c>
      <c r="AE2790" t="s">
        <v>115</v>
      </c>
      <c r="AF2790">
        <v>0</v>
      </c>
      <c r="AG2790">
        <v>0</v>
      </c>
      <c r="AH2790" t="s">
        <v>116</v>
      </c>
      <c r="AI2790" s="1">
        <v>82365</v>
      </c>
      <c r="AJ2790" s="2">
        <v>0.22</v>
      </c>
      <c r="AK2790" s="1">
        <v>369393</v>
      </c>
      <c r="AL2790" t="s">
        <v>117</v>
      </c>
      <c r="AM2790" t="s">
        <v>1302</v>
      </c>
      <c r="AN2790">
        <v>10037</v>
      </c>
      <c r="AO2790">
        <v>0.23</v>
      </c>
      <c r="AP2790">
        <v>1</v>
      </c>
      <c r="AR2790">
        <v>1</v>
      </c>
      <c r="AS2790" s="1">
        <v>25460</v>
      </c>
      <c r="AT2790" s="1">
        <v>5090</v>
      </c>
      <c r="AU2790" s="1">
        <v>20370</v>
      </c>
      <c r="AV2790">
        <v>80.010000000000005</v>
      </c>
      <c r="AX2790" s="1">
        <v>2157.3200000000002</v>
      </c>
      <c r="AY2790" t="s">
        <v>9580</v>
      </c>
      <c r="AZ2790" t="s">
        <v>5489</v>
      </c>
      <c r="BA2790" t="s">
        <v>5232</v>
      </c>
      <c r="BB2790" s="3">
        <v>42587</v>
      </c>
      <c r="BD2790" t="s">
        <v>240</v>
      </c>
      <c r="BE2790" s="3">
        <v>42219</v>
      </c>
      <c r="BF2790" s="1">
        <v>279000</v>
      </c>
      <c r="BG2790" t="s">
        <v>18430</v>
      </c>
      <c r="BH2790" s="1">
        <v>169.19</v>
      </c>
      <c r="BI2790" s="1">
        <v>287028</v>
      </c>
      <c r="BJ2790" s="3">
        <v>42587</v>
      </c>
      <c r="BK2790" t="s">
        <v>123</v>
      </c>
      <c r="BL2790" t="str">
        <f>"2016.557461"</f>
        <v>2016.557461</v>
      </c>
      <c r="BM2790" t="s">
        <v>1287</v>
      </c>
      <c r="BO2790" t="s">
        <v>18431</v>
      </c>
      <c r="BS2790">
        <v>30</v>
      </c>
      <c r="BW2790" t="str">
        <f>""</f>
        <v/>
      </c>
      <c r="CH2790" t="str">
        <f>""</f>
        <v/>
      </c>
      <c r="CS2790" t="str">
        <f>""</f>
        <v/>
      </c>
    </row>
    <row r="2791" spans="1:97" x14ac:dyDescent="0.25">
      <c r="A2791" t="s">
        <v>589</v>
      </c>
      <c r="B2791" t="s">
        <v>212</v>
      </c>
      <c r="C2791" t="s">
        <v>970</v>
      </c>
      <c r="D2791" t="s">
        <v>18432</v>
      </c>
      <c r="E2791" t="s">
        <v>18433</v>
      </c>
      <c r="F2791" t="s">
        <v>108</v>
      </c>
      <c r="H2791" t="s">
        <v>18434</v>
      </c>
      <c r="I2791" t="s">
        <v>225</v>
      </c>
      <c r="J2791" t="s">
        <v>111</v>
      </c>
      <c r="K2791" t="str">
        <f>"85215"</f>
        <v>85215</v>
      </c>
      <c r="L2791" t="s">
        <v>5021</v>
      </c>
      <c r="M2791" t="s">
        <v>18434</v>
      </c>
      <c r="N2791" t="s">
        <v>225</v>
      </c>
      <c r="O2791" t="s">
        <v>111</v>
      </c>
      <c r="P2791" t="str">
        <f>"85215-2108"</f>
        <v>85215-2108</v>
      </c>
      <c r="Q2791" t="s">
        <v>113</v>
      </c>
      <c r="R2791" t="str">
        <f>"141-66-476"</f>
        <v>141-66-476</v>
      </c>
      <c r="S2791" t="s">
        <v>18435</v>
      </c>
      <c r="T2791" t="s">
        <v>18435</v>
      </c>
      <c r="U2791">
        <v>1440</v>
      </c>
      <c r="V2791">
        <v>0</v>
      </c>
      <c r="W2791">
        <v>3</v>
      </c>
      <c r="X2791">
        <v>1996</v>
      </c>
      <c r="Z2791">
        <v>1</v>
      </c>
      <c r="AB2791">
        <v>0</v>
      </c>
      <c r="AC2791" t="s">
        <v>115</v>
      </c>
      <c r="AD2791">
        <v>2</v>
      </c>
      <c r="AE2791" t="s">
        <v>115</v>
      </c>
      <c r="AF2791">
        <v>0</v>
      </c>
      <c r="AG2791">
        <v>0</v>
      </c>
      <c r="AH2791" t="s">
        <v>116</v>
      </c>
      <c r="AI2791" s="1">
        <v>63276</v>
      </c>
      <c r="AJ2791" s="2">
        <v>0.23</v>
      </c>
      <c r="AK2791" s="1">
        <v>280102</v>
      </c>
      <c r="AL2791" t="s">
        <v>117</v>
      </c>
      <c r="AM2791" t="s">
        <v>191</v>
      </c>
      <c r="AN2791">
        <v>9258</v>
      </c>
      <c r="AO2791">
        <v>0.21</v>
      </c>
      <c r="AP2791">
        <v>1</v>
      </c>
      <c r="AR2791">
        <v>1</v>
      </c>
      <c r="AS2791" s="1">
        <v>19880</v>
      </c>
      <c r="AT2791" s="1">
        <v>3970</v>
      </c>
      <c r="AU2791" s="1">
        <v>15910</v>
      </c>
      <c r="AV2791">
        <v>80.03</v>
      </c>
      <c r="AX2791" s="1">
        <v>1414.42</v>
      </c>
      <c r="AY2791" t="s">
        <v>6662</v>
      </c>
      <c r="AZ2791" t="s">
        <v>5275</v>
      </c>
      <c r="BA2791" t="s">
        <v>3119</v>
      </c>
      <c r="BE2791" s="3">
        <v>42346</v>
      </c>
      <c r="BF2791" s="1">
        <v>209900</v>
      </c>
      <c r="BG2791" t="s">
        <v>18436</v>
      </c>
      <c r="BH2791" s="1">
        <v>145.76</v>
      </c>
      <c r="BI2791" s="1">
        <v>216826</v>
      </c>
      <c r="BJ2791" s="3">
        <v>42346</v>
      </c>
      <c r="BK2791" t="s">
        <v>123</v>
      </c>
      <c r="BL2791" t="str">
        <f>"2015.868921"</f>
        <v>2015.868921</v>
      </c>
      <c r="BM2791" t="s">
        <v>1998</v>
      </c>
      <c r="BO2791" t="s">
        <v>18437</v>
      </c>
      <c r="BP2791" t="s">
        <v>18438</v>
      </c>
      <c r="BS2791">
        <v>30</v>
      </c>
      <c r="BW2791" t="str">
        <f>""</f>
        <v/>
      </c>
      <c r="CH2791" t="str">
        <f>""</f>
        <v/>
      </c>
      <c r="CS2791" t="str">
        <f>""</f>
        <v/>
      </c>
    </row>
    <row r="2792" spans="1:97" x14ac:dyDescent="0.25">
      <c r="A2792" t="s">
        <v>1344</v>
      </c>
      <c r="B2792" t="s">
        <v>18439</v>
      </c>
      <c r="C2792" t="s">
        <v>17803</v>
      </c>
      <c r="D2792" t="s">
        <v>18439</v>
      </c>
      <c r="E2792" t="s">
        <v>18440</v>
      </c>
      <c r="F2792" t="s">
        <v>108</v>
      </c>
      <c r="H2792" t="s">
        <v>18441</v>
      </c>
      <c r="I2792" t="s">
        <v>5387</v>
      </c>
      <c r="J2792" t="s">
        <v>111</v>
      </c>
      <c r="K2792" t="str">
        <f>"85282"</f>
        <v>85282</v>
      </c>
      <c r="L2792" t="s">
        <v>15475</v>
      </c>
      <c r="M2792" t="s">
        <v>18441</v>
      </c>
      <c r="N2792" t="s">
        <v>5387</v>
      </c>
      <c r="O2792" t="s">
        <v>111</v>
      </c>
      <c r="P2792" t="str">
        <f>"85282-5519"</f>
        <v>85282-5519</v>
      </c>
      <c r="Q2792" t="s">
        <v>113</v>
      </c>
      <c r="R2792" t="str">
        <f>"133-54-531"</f>
        <v>133-54-531</v>
      </c>
      <c r="S2792" t="s">
        <v>18442</v>
      </c>
      <c r="U2792">
        <v>2148</v>
      </c>
      <c r="V2792">
        <v>0</v>
      </c>
      <c r="W2792">
        <v>2</v>
      </c>
      <c r="X2792">
        <v>1966</v>
      </c>
      <c r="Z2792">
        <v>1</v>
      </c>
      <c r="AA2792" t="s">
        <v>26</v>
      </c>
      <c r="AB2792">
        <v>0</v>
      </c>
      <c r="AC2792" t="s">
        <v>115</v>
      </c>
      <c r="AD2792">
        <v>2</v>
      </c>
      <c r="AE2792" t="s">
        <v>115</v>
      </c>
      <c r="AF2792">
        <v>0</v>
      </c>
      <c r="AG2792">
        <v>0</v>
      </c>
      <c r="AH2792" t="s">
        <v>5467</v>
      </c>
      <c r="AI2792" s="1">
        <v>109889</v>
      </c>
      <c r="AJ2792" s="2">
        <v>0.3</v>
      </c>
      <c r="AK2792" s="1">
        <v>367990</v>
      </c>
      <c r="AL2792" t="s">
        <v>117</v>
      </c>
      <c r="AM2792" t="s">
        <v>191</v>
      </c>
      <c r="AN2792">
        <v>8316</v>
      </c>
      <c r="AO2792">
        <v>0.19</v>
      </c>
      <c r="AP2792">
        <v>1</v>
      </c>
      <c r="AR2792">
        <v>1</v>
      </c>
      <c r="AS2792" s="1">
        <v>25700</v>
      </c>
      <c r="AT2792" s="1">
        <v>5140</v>
      </c>
      <c r="AU2792" s="1">
        <v>20560</v>
      </c>
      <c r="AV2792">
        <v>80</v>
      </c>
      <c r="AX2792" s="1">
        <v>2265</v>
      </c>
      <c r="AY2792" t="s">
        <v>11072</v>
      </c>
      <c r="AZ2792" t="s">
        <v>11073</v>
      </c>
      <c r="BA2792" t="s">
        <v>10858</v>
      </c>
      <c r="BE2792" s="3">
        <v>41866</v>
      </c>
      <c r="BF2792" s="1">
        <v>254000</v>
      </c>
      <c r="BG2792" t="s">
        <v>18443</v>
      </c>
      <c r="BH2792" s="1">
        <v>118.25</v>
      </c>
      <c r="BI2792" s="1">
        <v>258101</v>
      </c>
      <c r="BJ2792" s="3">
        <v>42605</v>
      </c>
      <c r="BK2792" t="s">
        <v>123</v>
      </c>
      <c r="BL2792" t="str">
        <f>"2016.604756"</f>
        <v>2016.604756</v>
      </c>
      <c r="BM2792" t="s">
        <v>955</v>
      </c>
      <c r="BO2792" t="s">
        <v>18444</v>
      </c>
      <c r="BS2792">
        <v>30</v>
      </c>
      <c r="BW2792" t="str">
        <f>""</f>
        <v/>
      </c>
      <c r="CH2792" t="str">
        <f>""</f>
        <v/>
      </c>
      <c r="CS2792" t="str">
        <f>""</f>
        <v/>
      </c>
    </row>
    <row r="2793" spans="1:97" x14ac:dyDescent="0.25">
      <c r="A2793" t="s">
        <v>894</v>
      </c>
      <c r="B2793" t="s">
        <v>10633</v>
      </c>
      <c r="C2793" t="s">
        <v>6830</v>
      </c>
      <c r="D2793" t="s">
        <v>10633</v>
      </c>
      <c r="E2793" t="s">
        <v>18445</v>
      </c>
      <c r="F2793" t="s">
        <v>108</v>
      </c>
      <c r="H2793" t="s">
        <v>18446</v>
      </c>
      <c r="I2793" t="s">
        <v>632</v>
      </c>
      <c r="J2793" t="s">
        <v>111</v>
      </c>
      <c r="K2793" t="str">
        <f>"85379"</f>
        <v>85379</v>
      </c>
      <c r="L2793" t="s">
        <v>1244</v>
      </c>
      <c r="M2793" t="s">
        <v>18446</v>
      </c>
      <c r="N2793" t="s">
        <v>632</v>
      </c>
      <c r="O2793" t="s">
        <v>111</v>
      </c>
      <c r="P2793" t="str">
        <f>"85379-6095"</f>
        <v>85379-6095</v>
      </c>
      <c r="Q2793" t="s">
        <v>113</v>
      </c>
      <c r="R2793" t="str">
        <f>"501-95-167"</f>
        <v>501-95-167</v>
      </c>
      <c r="S2793" t="s">
        <v>18447</v>
      </c>
      <c r="U2793">
        <v>1370</v>
      </c>
      <c r="V2793">
        <v>0</v>
      </c>
      <c r="W2793">
        <v>3</v>
      </c>
      <c r="X2793">
        <v>2002</v>
      </c>
      <c r="Z2793">
        <v>1</v>
      </c>
      <c r="AA2793" t="s">
        <v>26</v>
      </c>
      <c r="AB2793">
        <v>0</v>
      </c>
      <c r="AC2793" t="s">
        <v>115</v>
      </c>
      <c r="AD2793">
        <v>2</v>
      </c>
      <c r="AE2793" t="s">
        <v>115</v>
      </c>
      <c r="AF2793">
        <v>0</v>
      </c>
      <c r="AG2793">
        <v>0</v>
      </c>
      <c r="AH2793" t="s">
        <v>116</v>
      </c>
      <c r="AI2793" s="1">
        <v>37336</v>
      </c>
      <c r="AJ2793" s="2">
        <v>0.15</v>
      </c>
      <c r="AK2793" s="1">
        <v>254441</v>
      </c>
      <c r="AL2793" t="s">
        <v>117</v>
      </c>
      <c r="AM2793" t="s">
        <v>118</v>
      </c>
      <c r="AN2793">
        <v>6899</v>
      </c>
      <c r="AO2793">
        <v>0.16</v>
      </c>
      <c r="AP2793">
        <v>1</v>
      </c>
      <c r="AR2793">
        <v>1</v>
      </c>
      <c r="AS2793" s="1">
        <v>17270</v>
      </c>
      <c r="AT2793" s="1">
        <v>3450</v>
      </c>
      <c r="AU2793" s="1">
        <v>13820</v>
      </c>
      <c r="AV2793">
        <v>80.02</v>
      </c>
      <c r="AX2793" s="1">
        <v>1122.74</v>
      </c>
      <c r="AY2793" t="s">
        <v>6615</v>
      </c>
      <c r="AZ2793" t="s">
        <v>6615</v>
      </c>
      <c r="BA2793" t="s">
        <v>321</v>
      </c>
      <c r="BE2793" s="3">
        <v>41838</v>
      </c>
      <c r="BF2793" s="1">
        <v>165000</v>
      </c>
      <c r="BG2793" t="s">
        <v>18448</v>
      </c>
      <c r="BH2793" s="1">
        <v>120.44</v>
      </c>
      <c r="BI2793" s="1">
        <v>217105</v>
      </c>
      <c r="BJ2793" s="3">
        <v>43157</v>
      </c>
      <c r="BK2793" t="s">
        <v>123</v>
      </c>
      <c r="BL2793" t="str">
        <f>"2018.142970"</f>
        <v>2018.142970</v>
      </c>
      <c r="BM2793" t="s">
        <v>2774</v>
      </c>
      <c r="BN2793" t="s">
        <v>2775</v>
      </c>
      <c r="BO2793" t="s">
        <v>18449</v>
      </c>
      <c r="BP2793" t="s">
        <v>18450</v>
      </c>
      <c r="BR2793" t="s">
        <v>346</v>
      </c>
      <c r="BW2793" t="str">
        <f>""</f>
        <v/>
      </c>
      <c r="CH2793" t="str">
        <f>""</f>
        <v/>
      </c>
      <c r="CS2793" t="str">
        <f>""</f>
        <v/>
      </c>
    </row>
    <row r="2794" spans="1:97" x14ac:dyDescent="0.25">
      <c r="A2794" t="s">
        <v>370</v>
      </c>
      <c r="B2794" t="s">
        <v>6443</v>
      </c>
      <c r="C2794" t="s">
        <v>18451</v>
      </c>
      <c r="D2794" t="s">
        <v>6443</v>
      </c>
      <c r="E2794" t="s">
        <v>18452</v>
      </c>
      <c r="F2794" t="s">
        <v>108</v>
      </c>
      <c r="H2794" t="s">
        <v>18453</v>
      </c>
      <c r="I2794" t="s">
        <v>144</v>
      </c>
      <c r="J2794" t="s">
        <v>111</v>
      </c>
      <c r="K2794" t="str">
        <f>"85326"</f>
        <v>85326</v>
      </c>
      <c r="L2794" t="s">
        <v>6481</v>
      </c>
      <c r="M2794" t="s">
        <v>18453</v>
      </c>
      <c r="N2794" t="s">
        <v>144</v>
      </c>
      <c r="O2794" t="s">
        <v>111</v>
      </c>
      <c r="P2794" t="str">
        <f>"85326-2992"</f>
        <v>85326-2992</v>
      </c>
      <c r="Q2794" t="s">
        <v>113</v>
      </c>
      <c r="R2794" t="str">
        <f>"504-60-763"</f>
        <v>504-60-763</v>
      </c>
      <c r="S2794" t="s">
        <v>18454</v>
      </c>
      <c r="U2794">
        <v>2840</v>
      </c>
      <c r="V2794">
        <v>0</v>
      </c>
      <c r="W2794">
        <v>4</v>
      </c>
      <c r="X2794">
        <v>2007</v>
      </c>
      <c r="Z2794">
        <v>2</v>
      </c>
      <c r="AA2794" t="s">
        <v>26</v>
      </c>
      <c r="AB2794">
        <v>0</v>
      </c>
      <c r="AC2794" t="s">
        <v>115</v>
      </c>
      <c r="AD2794">
        <v>2</v>
      </c>
      <c r="AE2794" t="s">
        <v>115</v>
      </c>
      <c r="AF2794">
        <v>0</v>
      </c>
      <c r="AG2794">
        <v>0</v>
      </c>
      <c r="AH2794" t="s">
        <v>116</v>
      </c>
      <c r="AI2794" s="1">
        <v>48303</v>
      </c>
      <c r="AJ2794" s="2">
        <v>0.17</v>
      </c>
      <c r="AK2794" s="1">
        <v>284303</v>
      </c>
      <c r="AL2794" t="s">
        <v>117</v>
      </c>
      <c r="AM2794" t="s">
        <v>118</v>
      </c>
      <c r="AN2794">
        <v>6417</v>
      </c>
      <c r="AO2794">
        <v>0.15</v>
      </c>
      <c r="AR2794">
        <v>1</v>
      </c>
      <c r="AS2794" s="1">
        <v>19450</v>
      </c>
      <c r="AT2794" s="1">
        <v>3890</v>
      </c>
      <c r="AU2794" s="1">
        <v>15560</v>
      </c>
      <c r="AV2794">
        <v>80</v>
      </c>
      <c r="AX2794" s="1">
        <v>2212.7399999999998</v>
      </c>
      <c r="AY2794" t="s">
        <v>6624</v>
      </c>
      <c r="AZ2794" t="s">
        <v>6624</v>
      </c>
      <c r="BA2794" t="s">
        <v>5025</v>
      </c>
      <c r="BE2794" s="3">
        <v>42440</v>
      </c>
      <c r="BF2794" s="1">
        <v>238500</v>
      </c>
      <c r="BG2794" t="s">
        <v>18455</v>
      </c>
      <c r="BH2794" s="1">
        <v>83.98</v>
      </c>
      <c r="BI2794" s="1">
        <v>236000</v>
      </c>
      <c r="BJ2794" s="3">
        <v>42440</v>
      </c>
      <c r="BK2794" t="s">
        <v>123</v>
      </c>
      <c r="BL2794" t="str">
        <f>"2016.159444"</f>
        <v>2016.159444</v>
      </c>
      <c r="BM2794" t="s">
        <v>2472</v>
      </c>
      <c r="BO2794" t="s">
        <v>18456</v>
      </c>
      <c r="BS2794">
        <v>30</v>
      </c>
      <c r="BW2794" t="str">
        <f>""</f>
        <v/>
      </c>
      <c r="CH2794" t="str">
        <f>""</f>
        <v/>
      </c>
      <c r="CS2794" t="str">
        <f>""</f>
        <v/>
      </c>
    </row>
    <row r="2795" spans="1:97" x14ac:dyDescent="0.25">
      <c r="A2795" t="s">
        <v>4854</v>
      </c>
      <c r="B2795" t="s">
        <v>1820</v>
      </c>
      <c r="C2795" t="s">
        <v>703</v>
      </c>
      <c r="D2795" t="s">
        <v>1820</v>
      </c>
      <c r="E2795" t="s">
        <v>18457</v>
      </c>
      <c r="F2795" t="s">
        <v>108</v>
      </c>
      <c r="H2795" t="s">
        <v>18458</v>
      </c>
      <c r="I2795" t="s">
        <v>390</v>
      </c>
      <c r="J2795" t="s">
        <v>111</v>
      </c>
      <c r="K2795" t="str">
        <f>"85032"</f>
        <v>85032</v>
      </c>
      <c r="L2795" t="s">
        <v>5185</v>
      </c>
      <c r="M2795" t="s">
        <v>18458</v>
      </c>
      <c r="N2795" t="s">
        <v>390</v>
      </c>
      <c r="O2795" t="s">
        <v>111</v>
      </c>
      <c r="P2795" t="str">
        <f>"85032-9507"</f>
        <v>85032-9507</v>
      </c>
      <c r="Q2795" t="s">
        <v>113</v>
      </c>
      <c r="R2795" t="str">
        <f>"215-12-517"</f>
        <v>215-12-517</v>
      </c>
      <c r="S2795" t="s">
        <v>18459</v>
      </c>
      <c r="T2795" t="s">
        <v>18460</v>
      </c>
      <c r="U2795">
        <v>1913</v>
      </c>
      <c r="V2795">
        <v>0</v>
      </c>
      <c r="W2795">
        <v>3</v>
      </c>
      <c r="X2795">
        <v>1992</v>
      </c>
      <c r="Z2795">
        <v>1</v>
      </c>
      <c r="AA2795" t="s">
        <v>26</v>
      </c>
      <c r="AB2795">
        <v>0</v>
      </c>
      <c r="AC2795" t="s">
        <v>115</v>
      </c>
      <c r="AD2795">
        <v>3</v>
      </c>
      <c r="AE2795" t="s">
        <v>115</v>
      </c>
      <c r="AF2795">
        <v>0</v>
      </c>
      <c r="AG2795">
        <v>0</v>
      </c>
      <c r="AH2795" t="s">
        <v>116</v>
      </c>
      <c r="AI2795" s="1">
        <v>50544</v>
      </c>
      <c r="AJ2795" s="2">
        <v>0.12</v>
      </c>
      <c r="AK2795" s="1">
        <v>412094</v>
      </c>
      <c r="AL2795" t="s">
        <v>117</v>
      </c>
      <c r="AM2795" t="s">
        <v>1315</v>
      </c>
      <c r="AN2795">
        <v>7915</v>
      </c>
      <c r="AO2795">
        <v>0.18</v>
      </c>
      <c r="AP2795">
        <v>1</v>
      </c>
      <c r="AR2795">
        <v>1</v>
      </c>
      <c r="AS2795" s="1">
        <v>30250</v>
      </c>
      <c r="AT2795" s="1">
        <v>6050</v>
      </c>
      <c r="AU2795" s="1">
        <v>24200</v>
      </c>
      <c r="AV2795">
        <v>80</v>
      </c>
      <c r="AX2795" s="1">
        <v>2866.68</v>
      </c>
      <c r="AY2795" t="s">
        <v>1316</v>
      </c>
      <c r="AZ2795" t="s">
        <v>1317</v>
      </c>
      <c r="BA2795" t="s">
        <v>1318</v>
      </c>
      <c r="BE2795" s="3">
        <v>42383</v>
      </c>
      <c r="BF2795" s="1">
        <v>360000</v>
      </c>
      <c r="BG2795" t="s">
        <v>18461</v>
      </c>
      <c r="BH2795" s="1">
        <v>188.19</v>
      </c>
      <c r="BI2795" s="1">
        <v>361550</v>
      </c>
      <c r="BJ2795" s="3">
        <v>42383</v>
      </c>
      <c r="BK2795" t="s">
        <v>123</v>
      </c>
      <c r="BL2795" t="str">
        <f>"2016.26573"</f>
        <v>2016.26573</v>
      </c>
      <c r="BM2795" t="s">
        <v>124</v>
      </c>
      <c r="BO2795" t="s">
        <v>18462</v>
      </c>
      <c r="BS2795">
        <v>30</v>
      </c>
      <c r="BW2795" t="str">
        <f>""</f>
        <v/>
      </c>
      <c r="CH2795" t="str">
        <f>""</f>
        <v/>
      </c>
      <c r="CS2795" t="str">
        <f>""</f>
        <v/>
      </c>
    </row>
    <row r="2796" spans="1:97" x14ac:dyDescent="0.25">
      <c r="A2796" t="s">
        <v>464</v>
      </c>
      <c r="B2796" t="s">
        <v>18463</v>
      </c>
      <c r="C2796" t="s">
        <v>767</v>
      </c>
      <c r="D2796" t="s">
        <v>18463</v>
      </c>
      <c r="E2796" t="s">
        <v>18464</v>
      </c>
      <c r="F2796" t="s">
        <v>108</v>
      </c>
      <c r="H2796" t="s">
        <v>18465</v>
      </c>
      <c r="I2796" t="s">
        <v>2874</v>
      </c>
      <c r="J2796" t="s">
        <v>111</v>
      </c>
      <c r="K2796" t="str">
        <f>"85306"</f>
        <v>85306</v>
      </c>
      <c r="L2796" t="s">
        <v>7746</v>
      </c>
      <c r="M2796" t="s">
        <v>18465</v>
      </c>
      <c r="N2796" t="s">
        <v>2874</v>
      </c>
      <c r="O2796" t="s">
        <v>111</v>
      </c>
      <c r="P2796" t="str">
        <f>"85306-1715"</f>
        <v>85306-1715</v>
      </c>
      <c r="Q2796" t="s">
        <v>113</v>
      </c>
      <c r="R2796" t="str">
        <f>"200-98-184"</f>
        <v>200-98-184</v>
      </c>
      <c r="S2796" t="s">
        <v>18466</v>
      </c>
      <c r="T2796" t="s">
        <v>18467</v>
      </c>
      <c r="U2796">
        <v>2172</v>
      </c>
      <c r="V2796">
        <v>0</v>
      </c>
      <c r="W2796">
        <v>3</v>
      </c>
      <c r="X2796">
        <v>1986</v>
      </c>
      <c r="Z2796">
        <v>1</v>
      </c>
      <c r="AA2796" t="s">
        <v>26</v>
      </c>
      <c r="AB2796">
        <v>0</v>
      </c>
      <c r="AC2796" t="s">
        <v>115</v>
      </c>
      <c r="AD2796">
        <v>2</v>
      </c>
      <c r="AE2796" t="s">
        <v>115</v>
      </c>
      <c r="AF2796">
        <v>0</v>
      </c>
      <c r="AG2796">
        <v>0</v>
      </c>
      <c r="AH2796" t="s">
        <v>116</v>
      </c>
      <c r="AI2796" s="1">
        <v>72909</v>
      </c>
      <c r="AJ2796" s="2">
        <v>0.22</v>
      </c>
      <c r="AK2796" s="1">
        <v>331832</v>
      </c>
      <c r="AL2796" t="s">
        <v>117</v>
      </c>
      <c r="AM2796" t="s">
        <v>191</v>
      </c>
      <c r="AN2796">
        <v>10497</v>
      </c>
      <c r="AO2796">
        <v>0.24</v>
      </c>
      <c r="AP2796">
        <v>1</v>
      </c>
      <c r="AR2796">
        <v>1</v>
      </c>
      <c r="AS2796" s="1">
        <v>23830</v>
      </c>
      <c r="AT2796" s="1">
        <v>4760</v>
      </c>
      <c r="AU2796" s="1">
        <v>19070</v>
      </c>
      <c r="AV2796">
        <v>80.03</v>
      </c>
      <c r="AX2796" s="1">
        <v>1729.08</v>
      </c>
      <c r="AY2796" t="s">
        <v>16272</v>
      </c>
      <c r="AZ2796" t="s">
        <v>16272</v>
      </c>
      <c r="BA2796" t="s">
        <v>3360</v>
      </c>
      <c r="BE2796" s="3">
        <v>41789</v>
      </c>
      <c r="BF2796" s="1">
        <v>229000</v>
      </c>
      <c r="BG2796" t="s">
        <v>18468</v>
      </c>
      <c r="BH2796" s="1">
        <v>105.43</v>
      </c>
      <c r="BI2796" s="1">
        <v>233923</v>
      </c>
      <c r="BJ2796" s="3">
        <v>41789</v>
      </c>
      <c r="BK2796" t="s">
        <v>123</v>
      </c>
      <c r="BL2796" t="str">
        <f>"2014.352776"</f>
        <v>2014.352776</v>
      </c>
      <c r="BM2796" t="s">
        <v>1214</v>
      </c>
      <c r="BN2796" t="s">
        <v>1215</v>
      </c>
      <c r="BO2796" t="s">
        <v>18469</v>
      </c>
      <c r="BS2796">
        <v>30</v>
      </c>
      <c r="BT2796" s="1">
        <v>25000</v>
      </c>
      <c r="BU2796" s="3">
        <v>43413</v>
      </c>
      <c r="BV2796" t="s">
        <v>134</v>
      </c>
      <c r="BW2796" t="str">
        <f>"2018.834834"</f>
        <v>2018.834834</v>
      </c>
      <c r="BX2796" t="s">
        <v>1214</v>
      </c>
      <c r="BY2796" t="s">
        <v>1215</v>
      </c>
      <c r="BZ2796" t="s">
        <v>18470</v>
      </c>
      <c r="CA2796" t="s">
        <v>18471</v>
      </c>
      <c r="CC2796" t="s">
        <v>139</v>
      </c>
      <c r="CH2796" t="str">
        <f>""</f>
        <v/>
      </c>
      <c r="CS2796" t="str">
        <f>""</f>
        <v/>
      </c>
    </row>
    <row r="2797" spans="1:97" x14ac:dyDescent="0.25">
      <c r="A2797" t="s">
        <v>1295</v>
      </c>
      <c r="B2797" t="s">
        <v>16444</v>
      </c>
      <c r="C2797" t="s">
        <v>18472</v>
      </c>
      <c r="D2797" t="s">
        <v>18473</v>
      </c>
      <c r="E2797" t="s">
        <v>18474</v>
      </c>
      <c r="F2797" t="s">
        <v>108</v>
      </c>
      <c r="H2797" t="s">
        <v>18475</v>
      </c>
      <c r="I2797" t="s">
        <v>5114</v>
      </c>
      <c r="J2797" t="s">
        <v>111</v>
      </c>
      <c r="K2797" t="str">
        <f>"85323"</f>
        <v>85323</v>
      </c>
      <c r="L2797" t="s">
        <v>688</v>
      </c>
      <c r="M2797" t="s">
        <v>18475</v>
      </c>
      <c r="N2797" t="s">
        <v>5114</v>
      </c>
      <c r="O2797" t="s">
        <v>111</v>
      </c>
      <c r="P2797" t="str">
        <f>"85323-7649"</f>
        <v>85323-7649</v>
      </c>
      <c r="Q2797" t="s">
        <v>113</v>
      </c>
      <c r="R2797" t="str">
        <f>"500-32-019"</f>
        <v>500-32-019</v>
      </c>
      <c r="S2797" t="s">
        <v>18476</v>
      </c>
      <c r="U2797">
        <v>2474</v>
      </c>
      <c r="V2797">
        <v>0</v>
      </c>
      <c r="W2797">
        <v>4</v>
      </c>
      <c r="X2797">
        <v>2014</v>
      </c>
      <c r="Z2797">
        <v>2</v>
      </c>
      <c r="AB2797">
        <v>0</v>
      </c>
      <c r="AC2797" t="s">
        <v>115</v>
      </c>
      <c r="AD2797">
        <v>2</v>
      </c>
      <c r="AE2797" t="s">
        <v>115</v>
      </c>
      <c r="AF2797">
        <v>0</v>
      </c>
      <c r="AG2797">
        <v>0</v>
      </c>
      <c r="AH2797" t="s">
        <v>116</v>
      </c>
      <c r="AI2797" s="1">
        <v>46831</v>
      </c>
      <c r="AJ2797" s="2">
        <v>0.15</v>
      </c>
      <c r="AK2797" s="1">
        <v>318322</v>
      </c>
      <c r="AL2797" t="s">
        <v>117</v>
      </c>
      <c r="AM2797" t="s">
        <v>118</v>
      </c>
      <c r="AN2797">
        <v>11760</v>
      </c>
      <c r="AO2797">
        <v>0.27</v>
      </c>
      <c r="AR2797">
        <v>1</v>
      </c>
      <c r="AS2797" s="1">
        <v>23210</v>
      </c>
      <c r="AT2797" s="1">
        <v>4640</v>
      </c>
      <c r="AU2797" s="1">
        <v>18570</v>
      </c>
      <c r="AV2797">
        <v>80.010000000000005</v>
      </c>
      <c r="AX2797" s="1">
        <v>2505.48</v>
      </c>
      <c r="AY2797" t="s">
        <v>5458</v>
      </c>
      <c r="AZ2797" t="s">
        <v>5458</v>
      </c>
      <c r="BA2797" t="s">
        <v>4254</v>
      </c>
      <c r="BE2797" s="3">
        <v>41976</v>
      </c>
      <c r="BF2797" s="1">
        <v>265777</v>
      </c>
      <c r="BG2797" t="s">
        <v>3524</v>
      </c>
      <c r="BH2797" s="1">
        <v>107.43</v>
      </c>
      <c r="BI2797" s="1">
        <v>271491</v>
      </c>
      <c r="BJ2797" s="3">
        <v>41976</v>
      </c>
      <c r="BK2797" t="s">
        <v>123</v>
      </c>
      <c r="BL2797" t="str">
        <f>"2014.796274"</f>
        <v>2014.796274</v>
      </c>
      <c r="BM2797" t="s">
        <v>3453</v>
      </c>
      <c r="BO2797" t="s">
        <v>18477</v>
      </c>
      <c r="BP2797" t="s">
        <v>18478</v>
      </c>
      <c r="BS2797">
        <v>30</v>
      </c>
      <c r="BW2797" t="str">
        <f>""</f>
        <v/>
      </c>
      <c r="CH2797" t="str">
        <f>""</f>
        <v/>
      </c>
      <c r="CS2797" t="str">
        <f>""</f>
        <v/>
      </c>
    </row>
    <row r="2798" spans="1:97" x14ac:dyDescent="0.25">
      <c r="A2798" t="s">
        <v>1009</v>
      </c>
      <c r="B2798" t="s">
        <v>1094</v>
      </c>
      <c r="E2798" t="s">
        <v>18479</v>
      </c>
      <c r="F2798" t="s">
        <v>108</v>
      </c>
      <c r="H2798" t="s">
        <v>18480</v>
      </c>
      <c r="I2798" t="s">
        <v>225</v>
      </c>
      <c r="J2798" t="s">
        <v>111</v>
      </c>
      <c r="K2798" t="str">
        <f>"85203"</f>
        <v>85203</v>
      </c>
      <c r="L2798" t="s">
        <v>8543</v>
      </c>
      <c r="M2798" t="s">
        <v>18480</v>
      </c>
      <c r="N2798" t="s">
        <v>225</v>
      </c>
      <c r="O2798" t="s">
        <v>111</v>
      </c>
      <c r="P2798" t="str">
        <f>"85203-3631"</f>
        <v>85203-3631</v>
      </c>
      <c r="Q2798" t="s">
        <v>113</v>
      </c>
      <c r="R2798" t="str">
        <f>"136-26-690"</f>
        <v>136-26-690</v>
      </c>
      <c r="S2798" t="s">
        <v>18481</v>
      </c>
      <c r="T2798" t="s">
        <v>18482</v>
      </c>
      <c r="U2798">
        <v>1246</v>
      </c>
      <c r="V2798">
        <v>0</v>
      </c>
      <c r="W2798">
        <v>2</v>
      </c>
      <c r="X2798">
        <v>1983</v>
      </c>
      <c r="Z2798">
        <v>1</v>
      </c>
      <c r="AA2798" t="s">
        <v>26</v>
      </c>
      <c r="AB2798">
        <v>0</v>
      </c>
      <c r="AC2798" t="s">
        <v>115</v>
      </c>
      <c r="AD2798">
        <v>2</v>
      </c>
      <c r="AE2798" t="s">
        <v>115</v>
      </c>
      <c r="AF2798">
        <v>0</v>
      </c>
      <c r="AG2798">
        <v>0</v>
      </c>
      <c r="AH2798" t="s">
        <v>116</v>
      </c>
      <c r="AI2798" s="1">
        <v>38178</v>
      </c>
      <c r="AJ2798" s="2">
        <v>0.15</v>
      </c>
      <c r="AK2798" s="1">
        <v>260865</v>
      </c>
      <c r="AL2798" t="s">
        <v>117</v>
      </c>
      <c r="AM2798" t="s">
        <v>393</v>
      </c>
      <c r="AN2798">
        <v>8599</v>
      </c>
      <c r="AO2798">
        <v>0.2</v>
      </c>
      <c r="AP2798">
        <v>1</v>
      </c>
      <c r="AR2798">
        <v>1</v>
      </c>
      <c r="AS2798" s="1">
        <v>16750</v>
      </c>
      <c r="AT2798" s="1">
        <v>3350</v>
      </c>
      <c r="AU2798" s="1">
        <v>13400</v>
      </c>
      <c r="AV2798">
        <v>80</v>
      </c>
      <c r="AX2798" s="1">
        <v>1160.52</v>
      </c>
      <c r="AY2798" t="s">
        <v>12830</v>
      </c>
      <c r="AZ2798" t="s">
        <v>5190</v>
      </c>
      <c r="BA2798" t="s">
        <v>5191</v>
      </c>
      <c r="BE2798" s="3">
        <v>42529</v>
      </c>
      <c r="BF2798" s="1">
        <v>218000</v>
      </c>
      <c r="BG2798" t="s">
        <v>18483</v>
      </c>
      <c r="BH2798" s="1">
        <v>174.96</v>
      </c>
      <c r="BI2798" s="1">
        <v>222687</v>
      </c>
      <c r="BJ2798" s="3">
        <v>42529</v>
      </c>
      <c r="BK2798" t="s">
        <v>123</v>
      </c>
      <c r="BL2798" t="str">
        <f>"2016.397111"</f>
        <v>2016.397111</v>
      </c>
      <c r="BM2798" t="s">
        <v>2683</v>
      </c>
      <c r="BO2798" t="s">
        <v>18484</v>
      </c>
      <c r="BS2798">
        <v>30</v>
      </c>
      <c r="BW2798" t="str">
        <f>""</f>
        <v/>
      </c>
      <c r="CH2798" t="str">
        <f>""</f>
        <v/>
      </c>
      <c r="CS2798" t="str">
        <f>""</f>
        <v/>
      </c>
    </row>
    <row r="2799" spans="1:97" x14ac:dyDescent="0.25">
      <c r="A2799" t="s">
        <v>1067</v>
      </c>
      <c r="B2799" t="s">
        <v>18485</v>
      </c>
      <c r="C2799" t="s">
        <v>1547</v>
      </c>
      <c r="D2799" t="s">
        <v>18485</v>
      </c>
      <c r="E2799" t="s">
        <v>18486</v>
      </c>
      <c r="F2799" t="s">
        <v>108</v>
      </c>
      <c r="H2799" t="s">
        <v>18487</v>
      </c>
      <c r="I2799" t="s">
        <v>632</v>
      </c>
      <c r="J2799" t="s">
        <v>111</v>
      </c>
      <c r="K2799" t="str">
        <f>"85379"</f>
        <v>85379</v>
      </c>
      <c r="L2799" t="s">
        <v>454</v>
      </c>
      <c r="M2799" t="s">
        <v>18487</v>
      </c>
      <c r="N2799" t="s">
        <v>632</v>
      </c>
      <c r="O2799" t="s">
        <v>111</v>
      </c>
      <c r="P2799" t="str">
        <f>"85379-1045"</f>
        <v>85379-1045</v>
      </c>
      <c r="Q2799" t="s">
        <v>113</v>
      </c>
      <c r="R2799" t="str">
        <f>"501-46-678"</f>
        <v>501-46-678</v>
      </c>
      <c r="S2799" t="s">
        <v>5319</v>
      </c>
      <c r="U2799">
        <v>3950</v>
      </c>
      <c r="V2799">
        <v>0</v>
      </c>
      <c r="W2799">
        <v>5</v>
      </c>
      <c r="X2799">
        <v>2015</v>
      </c>
      <c r="Z2799">
        <v>2</v>
      </c>
      <c r="AB2799">
        <v>0</v>
      </c>
      <c r="AC2799" t="s">
        <v>115</v>
      </c>
      <c r="AD2799">
        <v>3</v>
      </c>
      <c r="AE2799" t="s">
        <v>115</v>
      </c>
      <c r="AF2799">
        <v>0</v>
      </c>
      <c r="AG2799">
        <v>0</v>
      </c>
      <c r="AH2799" t="s">
        <v>116</v>
      </c>
      <c r="AI2799" s="1">
        <v>69485</v>
      </c>
      <c r="AJ2799" s="2">
        <v>0.18</v>
      </c>
      <c r="AK2799" s="1">
        <v>378576</v>
      </c>
      <c r="AL2799" t="s">
        <v>117</v>
      </c>
      <c r="AM2799" t="s">
        <v>118</v>
      </c>
      <c r="AN2799">
        <v>7275</v>
      </c>
      <c r="AO2799">
        <v>0.17</v>
      </c>
      <c r="AR2799">
        <v>1</v>
      </c>
      <c r="AS2799" s="1">
        <v>27830</v>
      </c>
      <c r="AT2799" s="1">
        <v>5560</v>
      </c>
      <c r="AU2799" s="1">
        <v>22270</v>
      </c>
      <c r="AV2799">
        <v>80.02</v>
      </c>
      <c r="AX2799" s="1">
        <v>2347.02</v>
      </c>
      <c r="AY2799" t="s">
        <v>5060</v>
      </c>
      <c r="AZ2799" t="s">
        <v>5060</v>
      </c>
      <c r="BA2799" t="s">
        <v>5061</v>
      </c>
      <c r="BE2799" s="3">
        <v>42468</v>
      </c>
      <c r="BF2799" s="1">
        <v>310990</v>
      </c>
      <c r="BG2799" t="s">
        <v>459</v>
      </c>
      <c r="BH2799" s="1">
        <v>78.73</v>
      </c>
      <c r="BI2799" s="1">
        <v>309091</v>
      </c>
      <c r="BJ2799" s="3">
        <v>42468</v>
      </c>
      <c r="BK2799" t="s">
        <v>123</v>
      </c>
      <c r="BL2799" t="str">
        <f>"2016.232937"</f>
        <v>2016.232937</v>
      </c>
      <c r="BM2799" t="s">
        <v>1998</v>
      </c>
      <c r="BO2799" t="s">
        <v>18488</v>
      </c>
      <c r="BS2799">
        <v>30</v>
      </c>
      <c r="BW2799" t="str">
        <f>""</f>
        <v/>
      </c>
      <c r="CH2799" t="str">
        <f>""</f>
        <v/>
      </c>
      <c r="CS2799" t="str">
        <f>""</f>
        <v/>
      </c>
    </row>
    <row r="2800" spans="1:97" x14ac:dyDescent="0.25">
      <c r="A2800" t="s">
        <v>2403</v>
      </c>
      <c r="B2800" t="s">
        <v>8161</v>
      </c>
      <c r="C2800" t="s">
        <v>1451</v>
      </c>
      <c r="D2800" t="s">
        <v>8161</v>
      </c>
      <c r="E2800" t="s">
        <v>18489</v>
      </c>
      <c r="F2800" t="s">
        <v>108</v>
      </c>
      <c r="H2800" t="s">
        <v>18490</v>
      </c>
      <c r="I2800" t="s">
        <v>390</v>
      </c>
      <c r="J2800" t="s">
        <v>111</v>
      </c>
      <c r="K2800" t="str">
        <f>"85085"</f>
        <v>85085</v>
      </c>
      <c r="L2800" t="s">
        <v>1398</v>
      </c>
      <c r="M2800" t="s">
        <v>18490</v>
      </c>
      <c r="N2800" t="s">
        <v>390</v>
      </c>
      <c r="O2800" t="s">
        <v>111</v>
      </c>
      <c r="P2800" t="str">
        <f>"85085-6357"</f>
        <v>85085-6357</v>
      </c>
      <c r="Q2800" t="s">
        <v>113</v>
      </c>
      <c r="R2800" t="str">
        <f>"210-02-879"</f>
        <v>210-02-879</v>
      </c>
      <c r="S2800" t="s">
        <v>18491</v>
      </c>
      <c r="T2800" t="s">
        <v>18492</v>
      </c>
      <c r="U2800">
        <v>2414</v>
      </c>
      <c r="V2800">
        <v>0</v>
      </c>
      <c r="W2800">
        <v>4</v>
      </c>
      <c r="X2800">
        <v>2013</v>
      </c>
      <c r="Z2800">
        <v>2</v>
      </c>
      <c r="AA2800" t="s">
        <v>26</v>
      </c>
      <c r="AB2800">
        <v>0</v>
      </c>
      <c r="AC2800" t="s">
        <v>115</v>
      </c>
      <c r="AD2800">
        <v>2</v>
      </c>
      <c r="AE2800" t="s">
        <v>115</v>
      </c>
      <c r="AF2800">
        <v>0</v>
      </c>
      <c r="AG2800">
        <v>0</v>
      </c>
      <c r="AH2800" t="s">
        <v>116</v>
      </c>
      <c r="AI2800" s="1">
        <v>45620</v>
      </c>
      <c r="AJ2800" s="2">
        <v>0.1</v>
      </c>
      <c r="AK2800" s="1">
        <v>448490</v>
      </c>
      <c r="AL2800" t="s">
        <v>117</v>
      </c>
      <c r="AM2800" t="s">
        <v>1315</v>
      </c>
      <c r="AN2800">
        <v>7232</v>
      </c>
      <c r="AO2800">
        <v>0.17</v>
      </c>
      <c r="AR2800">
        <v>1</v>
      </c>
      <c r="AS2800" s="1">
        <v>34050</v>
      </c>
      <c r="AT2800" s="1">
        <v>6810</v>
      </c>
      <c r="AU2800" s="1">
        <v>27240</v>
      </c>
      <c r="AV2800">
        <v>80</v>
      </c>
      <c r="AX2800" s="1">
        <v>3308.92</v>
      </c>
      <c r="AY2800" t="s">
        <v>1461</v>
      </c>
      <c r="AZ2800" t="s">
        <v>1461</v>
      </c>
      <c r="BA2800" t="s">
        <v>1462</v>
      </c>
      <c r="BB2800" s="3">
        <v>42794</v>
      </c>
      <c r="BD2800" t="s">
        <v>458</v>
      </c>
      <c r="BE2800" s="3">
        <v>41698</v>
      </c>
      <c r="BF2800" s="1">
        <v>371990</v>
      </c>
      <c r="BG2800" t="s">
        <v>446</v>
      </c>
      <c r="BH2800" s="1">
        <v>154.1</v>
      </c>
      <c r="BI2800" s="1">
        <v>402870</v>
      </c>
      <c r="BJ2800" s="3">
        <v>42794</v>
      </c>
      <c r="BK2800" t="s">
        <v>123</v>
      </c>
      <c r="BL2800" t="str">
        <f>"2017.144492"</f>
        <v>2017.144492</v>
      </c>
      <c r="BM2800" t="s">
        <v>135</v>
      </c>
      <c r="BO2800" t="s">
        <v>18493</v>
      </c>
      <c r="BS2800">
        <v>30</v>
      </c>
      <c r="BW2800" t="str">
        <f>""</f>
        <v/>
      </c>
      <c r="CH2800" t="str">
        <f>""</f>
        <v/>
      </c>
      <c r="CS2800" t="str">
        <f>""</f>
        <v/>
      </c>
    </row>
    <row r="2801" spans="1:97" x14ac:dyDescent="0.25">
      <c r="A2801" t="s">
        <v>1664</v>
      </c>
      <c r="B2801" t="s">
        <v>2433</v>
      </c>
      <c r="C2801" t="s">
        <v>355</v>
      </c>
      <c r="D2801" t="s">
        <v>2433</v>
      </c>
      <c r="E2801" t="s">
        <v>18494</v>
      </c>
      <c r="F2801" t="s">
        <v>108</v>
      </c>
      <c r="H2801" t="s">
        <v>18495</v>
      </c>
      <c r="I2801" t="s">
        <v>632</v>
      </c>
      <c r="J2801" t="s">
        <v>111</v>
      </c>
      <c r="K2801" t="str">
        <f>"85374"</f>
        <v>85374</v>
      </c>
      <c r="L2801" t="s">
        <v>316</v>
      </c>
      <c r="M2801" t="s">
        <v>18495</v>
      </c>
      <c r="N2801" t="s">
        <v>632</v>
      </c>
      <c r="O2801" t="s">
        <v>111</v>
      </c>
      <c r="P2801" t="str">
        <f>"85374-5771"</f>
        <v>85374-5771</v>
      </c>
      <c r="Q2801" t="s">
        <v>113</v>
      </c>
      <c r="R2801" t="str">
        <f>"501-93-400"</f>
        <v>501-93-400</v>
      </c>
      <c r="S2801" t="s">
        <v>17450</v>
      </c>
      <c r="U2801">
        <v>2166</v>
      </c>
      <c r="V2801">
        <v>0</v>
      </c>
      <c r="W2801">
        <v>4</v>
      </c>
      <c r="X2801">
        <v>2000</v>
      </c>
      <c r="Z2801">
        <v>2</v>
      </c>
      <c r="AB2801">
        <v>0</v>
      </c>
      <c r="AC2801" t="s">
        <v>115</v>
      </c>
      <c r="AD2801">
        <v>2</v>
      </c>
      <c r="AE2801" t="s">
        <v>115</v>
      </c>
      <c r="AF2801">
        <v>0</v>
      </c>
      <c r="AG2801">
        <v>0</v>
      </c>
      <c r="AH2801" t="s">
        <v>116</v>
      </c>
      <c r="AI2801" s="1">
        <v>65496</v>
      </c>
      <c r="AJ2801" s="2">
        <v>0.24</v>
      </c>
      <c r="AK2801" s="1">
        <v>269796</v>
      </c>
      <c r="AL2801" t="s">
        <v>117</v>
      </c>
      <c r="AM2801" t="s">
        <v>118</v>
      </c>
      <c r="AN2801">
        <v>6005</v>
      </c>
      <c r="AO2801">
        <v>0.14000000000000001</v>
      </c>
      <c r="AP2801">
        <v>1</v>
      </c>
      <c r="AR2801">
        <v>1</v>
      </c>
      <c r="AS2801" s="1">
        <v>18610</v>
      </c>
      <c r="AT2801" s="1">
        <v>3720</v>
      </c>
      <c r="AU2801" s="1">
        <v>14890</v>
      </c>
      <c r="AV2801">
        <v>80.010000000000005</v>
      </c>
      <c r="AX2801" s="1">
        <v>1246.52</v>
      </c>
      <c r="AY2801" t="s">
        <v>5983</v>
      </c>
      <c r="AZ2801" t="s">
        <v>5983</v>
      </c>
      <c r="BA2801" t="s">
        <v>5109</v>
      </c>
      <c r="BE2801" s="3">
        <v>42545</v>
      </c>
      <c r="BF2801" s="1">
        <v>200000</v>
      </c>
      <c r="BG2801" t="s">
        <v>18496</v>
      </c>
      <c r="BH2801" s="1">
        <v>92.34</v>
      </c>
      <c r="BI2801" s="1">
        <v>204300</v>
      </c>
      <c r="BJ2801" s="3">
        <v>42545</v>
      </c>
      <c r="BK2801" t="s">
        <v>123</v>
      </c>
      <c r="BL2801" t="str">
        <f>"2016.442486"</f>
        <v>2016.442486</v>
      </c>
      <c r="BM2801" t="s">
        <v>1038</v>
      </c>
      <c r="BO2801" t="s">
        <v>18497</v>
      </c>
      <c r="BS2801">
        <v>30</v>
      </c>
      <c r="BW2801" t="str">
        <f>""</f>
        <v/>
      </c>
      <c r="CH2801" t="str">
        <f>""</f>
        <v/>
      </c>
      <c r="CS2801" t="str">
        <f>""</f>
        <v/>
      </c>
    </row>
    <row r="2802" spans="1:97" x14ac:dyDescent="0.25">
      <c r="A2802" t="s">
        <v>265</v>
      </c>
      <c r="B2802" t="s">
        <v>18498</v>
      </c>
      <c r="C2802" t="s">
        <v>976</v>
      </c>
      <c r="D2802" t="s">
        <v>18498</v>
      </c>
      <c r="E2802" t="s">
        <v>18499</v>
      </c>
      <c r="F2802" t="s">
        <v>108</v>
      </c>
      <c r="H2802" t="s">
        <v>18500</v>
      </c>
      <c r="I2802" t="s">
        <v>390</v>
      </c>
      <c r="J2802" t="s">
        <v>111</v>
      </c>
      <c r="K2802" t="str">
        <f>"85013"</f>
        <v>85013</v>
      </c>
      <c r="L2802" t="s">
        <v>7626</v>
      </c>
      <c r="M2802" t="s">
        <v>18500</v>
      </c>
      <c r="N2802" t="s">
        <v>390</v>
      </c>
      <c r="O2802" t="s">
        <v>111</v>
      </c>
      <c r="P2802" t="str">
        <f>"85013-3630"</f>
        <v>85013-3630</v>
      </c>
      <c r="Q2802" t="s">
        <v>113</v>
      </c>
      <c r="R2802" t="str">
        <f>"110-13-067"</f>
        <v>110-13-067</v>
      </c>
      <c r="S2802" t="s">
        <v>18501</v>
      </c>
      <c r="T2802" t="s">
        <v>9544</v>
      </c>
      <c r="U2802">
        <v>1580</v>
      </c>
      <c r="V2802">
        <v>0</v>
      </c>
      <c r="W2802">
        <v>2</v>
      </c>
      <c r="X2802">
        <v>1951</v>
      </c>
      <c r="Z2802">
        <v>1</v>
      </c>
      <c r="AB2802">
        <v>0</v>
      </c>
      <c r="AC2802" t="s">
        <v>5188</v>
      </c>
      <c r="AD2802">
        <v>1</v>
      </c>
      <c r="AE2802" t="s">
        <v>5188</v>
      </c>
      <c r="AF2802">
        <v>0</v>
      </c>
      <c r="AG2802">
        <v>0</v>
      </c>
      <c r="AH2802" t="s">
        <v>116</v>
      </c>
      <c r="AI2802" s="1">
        <v>63194</v>
      </c>
      <c r="AJ2802" s="2">
        <v>0.2</v>
      </c>
      <c r="AK2802" s="1">
        <v>314213</v>
      </c>
      <c r="AL2802" t="s">
        <v>117</v>
      </c>
      <c r="AM2802" t="s">
        <v>191</v>
      </c>
      <c r="AN2802">
        <v>6207</v>
      </c>
      <c r="AO2802">
        <v>0.14000000000000001</v>
      </c>
      <c r="AP2802">
        <v>1</v>
      </c>
      <c r="AR2802">
        <v>1</v>
      </c>
      <c r="AS2802" s="1">
        <v>21250</v>
      </c>
      <c r="AT2802" s="1">
        <v>4250</v>
      </c>
      <c r="AU2802" s="1">
        <v>17000</v>
      </c>
      <c r="AV2802">
        <v>80</v>
      </c>
      <c r="AX2802" s="1">
        <v>1399.18</v>
      </c>
      <c r="AY2802" t="s">
        <v>5468</v>
      </c>
      <c r="AZ2802" t="s">
        <v>5468</v>
      </c>
      <c r="BA2802" t="s">
        <v>5469</v>
      </c>
      <c r="BE2802" s="3">
        <v>42213</v>
      </c>
      <c r="BF2802" s="1">
        <v>153000</v>
      </c>
      <c r="BG2802" t="s">
        <v>18502</v>
      </c>
      <c r="BH2802" s="1">
        <v>96.84</v>
      </c>
      <c r="BI2802" s="1">
        <v>251019</v>
      </c>
      <c r="BJ2802" s="3">
        <v>42551</v>
      </c>
      <c r="BK2802" t="s">
        <v>123</v>
      </c>
      <c r="BL2802" t="str">
        <f>"2016.459637"</f>
        <v>2016.459637</v>
      </c>
      <c r="BM2802" t="s">
        <v>11327</v>
      </c>
      <c r="BO2802" t="s">
        <v>18503</v>
      </c>
      <c r="BP2802" t="s">
        <v>18504</v>
      </c>
      <c r="BS2802">
        <v>30</v>
      </c>
      <c r="BW2802" t="str">
        <f>""</f>
        <v/>
      </c>
      <c r="CH2802" t="str">
        <f>""</f>
        <v/>
      </c>
      <c r="CS2802" t="str">
        <f>""</f>
        <v/>
      </c>
    </row>
    <row r="2803" spans="1:97" x14ac:dyDescent="0.25">
      <c r="A2803" t="s">
        <v>6771</v>
      </c>
      <c r="B2803" t="s">
        <v>18505</v>
      </c>
      <c r="E2803" t="s">
        <v>18506</v>
      </c>
      <c r="F2803" t="s">
        <v>108</v>
      </c>
      <c r="H2803" t="s">
        <v>18507</v>
      </c>
      <c r="I2803" t="s">
        <v>632</v>
      </c>
      <c r="J2803" t="s">
        <v>111</v>
      </c>
      <c r="K2803" t="str">
        <f>"85387"</f>
        <v>85387</v>
      </c>
      <c r="L2803" t="s">
        <v>5496</v>
      </c>
      <c r="M2803" t="s">
        <v>18507</v>
      </c>
      <c r="N2803" t="s">
        <v>632</v>
      </c>
      <c r="O2803" t="s">
        <v>111</v>
      </c>
      <c r="P2803" t="str">
        <f>"85387-6877"</f>
        <v>85387-6877</v>
      </c>
      <c r="Q2803" t="s">
        <v>113</v>
      </c>
      <c r="R2803" t="str">
        <f>"503-73-730"</f>
        <v>503-73-730</v>
      </c>
      <c r="S2803" t="s">
        <v>10636</v>
      </c>
      <c r="T2803" t="s">
        <v>5498</v>
      </c>
      <c r="U2803">
        <v>1716</v>
      </c>
      <c r="V2803">
        <v>0</v>
      </c>
      <c r="W2803">
        <v>3</v>
      </c>
      <c r="X2803">
        <v>2006</v>
      </c>
      <c r="Z2803">
        <v>1</v>
      </c>
      <c r="AB2803">
        <v>0</v>
      </c>
      <c r="AC2803" t="s">
        <v>115</v>
      </c>
      <c r="AD2803">
        <v>2</v>
      </c>
      <c r="AE2803" t="s">
        <v>115</v>
      </c>
      <c r="AF2803">
        <v>0</v>
      </c>
      <c r="AG2803">
        <v>0</v>
      </c>
      <c r="AH2803" t="s">
        <v>116</v>
      </c>
      <c r="AI2803" s="1">
        <v>8569</v>
      </c>
      <c r="AJ2803" s="2">
        <v>0.04</v>
      </c>
      <c r="AK2803" s="1">
        <v>238406</v>
      </c>
      <c r="AL2803" t="s">
        <v>117</v>
      </c>
      <c r="AM2803" t="s">
        <v>118</v>
      </c>
      <c r="AN2803">
        <v>6562</v>
      </c>
      <c r="AO2803">
        <v>0.15</v>
      </c>
      <c r="AR2803">
        <v>1</v>
      </c>
      <c r="AS2803" s="1">
        <v>15870</v>
      </c>
      <c r="AT2803" s="1">
        <v>3170</v>
      </c>
      <c r="AU2803" s="1">
        <v>12700</v>
      </c>
      <c r="AV2803">
        <v>80.03</v>
      </c>
      <c r="AX2803" s="1">
        <v>1077.94</v>
      </c>
      <c r="AY2803" t="s">
        <v>5108</v>
      </c>
      <c r="AZ2803" t="s">
        <v>5108</v>
      </c>
      <c r="BA2803" t="s">
        <v>5109</v>
      </c>
      <c r="BE2803" s="3">
        <v>41795</v>
      </c>
      <c r="BF2803" s="1">
        <v>153000</v>
      </c>
      <c r="BG2803" t="s">
        <v>18508</v>
      </c>
      <c r="BH2803" s="1">
        <v>89.16</v>
      </c>
      <c r="BI2803" s="1">
        <v>229837</v>
      </c>
      <c r="BJ2803" s="3">
        <v>43579</v>
      </c>
      <c r="BK2803" t="s">
        <v>123</v>
      </c>
      <c r="BL2803" t="str">
        <f>"2019.289207"</f>
        <v>2019.289207</v>
      </c>
      <c r="BM2803" t="s">
        <v>18509</v>
      </c>
      <c r="BN2803" t="s">
        <v>5843</v>
      </c>
      <c r="BO2803" t="s">
        <v>18510</v>
      </c>
      <c r="BR2803" t="s">
        <v>139</v>
      </c>
      <c r="BW2803" t="str">
        <f>""</f>
        <v/>
      </c>
      <c r="CH2803" t="str">
        <f>""</f>
        <v/>
      </c>
      <c r="CS2803" t="str">
        <f>""</f>
        <v/>
      </c>
    </row>
    <row r="2804" spans="1:97" x14ac:dyDescent="0.25">
      <c r="A2804" t="s">
        <v>2045</v>
      </c>
      <c r="B2804" t="s">
        <v>14122</v>
      </c>
      <c r="C2804" t="s">
        <v>10962</v>
      </c>
      <c r="D2804" t="s">
        <v>14122</v>
      </c>
      <c r="E2804" t="s">
        <v>18511</v>
      </c>
      <c r="F2804" t="s">
        <v>108</v>
      </c>
      <c r="H2804" t="s">
        <v>18512</v>
      </c>
      <c r="I2804" t="s">
        <v>203</v>
      </c>
      <c r="J2804" t="s">
        <v>111</v>
      </c>
      <c r="K2804" t="str">
        <f>"85234"</f>
        <v>85234</v>
      </c>
      <c r="L2804" t="s">
        <v>2963</v>
      </c>
      <c r="M2804" t="s">
        <v>18512</v>
      </c>
      <c r="N2804" t="s">
        <v>203</v>
      </c>
      <c r="O2804" t="s">
        <v>111</v>
      </c>
      <c r="P2804" t="str">
        <f>"85234-2675"</f>
        <v>85234-2675</v>
      </c>
      <c r="Q2804" t="s">
        <v>113</v>
      </c>
      <c r="R2804" t="str">
        <f>"309-03-690"</f>
        <v>309-03-690</v>
      </c>
      <c r="S2804" t="s">
        <v>18513</v>
      </c>
      <c r="T2804" t="s">
        <v>18514</v>
      </c>
      <c r="U2804">
        <v>1752</v>
      </c>
      <c r="V2804">
        <v>0</v>
      </c>
      <c r="W2804">
        <v>4</v>
      </c>
      <c r="X2804">
        <v>1992</v>
      </c>
      <c r="Z2804">
        <v>2</v>
      </c>
      <c r="AB2804">
        <v>0</v>
      </c>
      <c r="AC2804" t="s">
        <v>115</v>
      </c>
      <c r="AD2804">
        <v>2</v>
      </c>
      <c r="AE2804" t="s">
        <v>115</v>
      </c>
      <c r="AF2804">
        <v>0</v>
      </c>
      <c r="AG2804">
        <v>0</v>
      </c>
      <c r="AH2804" t="s">
        <v>116</v>
      </c>
      <c r="AI2804" s="1">
        <v>70542</v>
      </c>
      <c r="AJ2804" s="2">
        <v>0.23</v>
      </c>
      <c r="AK2804" s="1">
        <v>300379</v>
      </c>
      <c r="AL2804" t="s">
        <v>117</v>
      </c>
      <c r="AM2804" t="s">
        <v>288</v>
      </c>
      <c r="AN2804">
        <v>4970</v>
      </c>
      <c r="AO2804">
        <v>0.11</v>
      </c>
      <c r="AP2804">
        <v>1</v>
      </c>
      <c r="AR2804">
        <v>1</v>
      </c>
      <c r="AS2804" s="1">
        <v>20330</v>
      </c>
      <c r="AT2804" s="1">
        <v>4060</v>
      </c>
      <c r="AU2804" s="1">
        <v>16270</v>
      </c>
      <c r="AV2804">
        <v>80.03</v>
      </c>
      <c r="AX2804" s="1">
        <v>1808.58</v>
      </c>
      <c r="AY2804" t="s">
        <v>10191</v>
      </c>
      <c r="AZ2804" t="s">
        <v>571</v>
      </c>
      <c r="BA2804" t="s">
        <v>521</v>
      </c>
      <c r="BE2804" s="3">
        <v>42193</v>
      </c>
      <c r="BF2804" s="1">
        <v>225000</v>
      </c>
      <c r="BG2804" t="s">
        <v>18515</v>
      </c>
      <c r="BH2804" s="1">
        <v>128.41999999999999</v>
      </c>
      <c r="BI2804" s="1">
        <v>229837</v>
      </c>
      <c r="BJ2804" s="3">
        <v>42193</v>
      </c>
      <c r="BK2804" t="s">
        <v>123</v>
      </c>
      <c r="BL2804" t="str">
        <f>"2015.490958"</f>
        <v>2015.490958</v>
      </c>
      <c r="BM2804" t="s">
        <v>135</v>
      </c>
      <c r="BO2804" t="s">
        <v>18516</v>
      </c>
      <c r="BS2804">
        <v>30</v>
      </c>
      <c r="BW2804" t="str">
        <f>""</f>
        <v/>
      </c>
      <c r="CH2804" t="str">
        <f>""</f>
        <v/>
      </c>
      <c r="CS2804" t="str">
        <f>""</f>
        <v/>
      </c>
    </row>
    <row r="2805" spans="1:97" x14ac:dyDescent="0.25">
      <c r="A2805" t="s">
        <v>464</v>
      </c>
      <c r="B2805" t="s">
        <v>10570</v>
      </c>
      <c r="E2805" t="s">
        <v>18517</v>
      </c>
      <c r="F2805" t="s">
        <v>108</v>
      </c>
      <c r="H2805" t="s">
        <v>18518</v>
      </c>
      <c r="I2805" t="s">
        <v>390</v>
      </c>
      <c r="J2805" t="s">
        <v>111</v>
      </c>
      <c r="K2805" t="str">
        <f>"85021"</f>
        <v>85021</v>
      </c>
      <c r="L2805" t="s">
        <v>6902</v>
      </c>
      <c r="M2805" t="s">
        <v>18518</v>
      </c>
      <c r="N2805" t="s">
        <v>390</v>
      </c>
      <c r="O2805" t="s">
        <v>111</v>
      </c>
      <c r="P2805" t="str">
        <f>"85021-8658"</f>
        <v>85021-8658</v>
      </c>
      <c r="Q2805" t="s">
        <v>113</v>
      </c>
      <c r="R2805" t="str">
        <f>"157-11-045"</f>
        <v>157-11-045</v>
      </c>
      <c r="S2805" t="s">
        <v>18519</v>
      </c>
      <c r="T2805" t="s">
        <v>18519</v>
      </c>
      <c r="U2805">
        <v>1799</v>
      </c>
      <c r="V2805">
        <v>0</v>
      </c>
      <c r="W2805">
        <v>2</v>
      </c>
      <c r="X2805">
        <v>1957</v>
      </c>
      <c r="Z2805">
        <v>1</v>
      </c>
      <c r="AA2805" t="s">
        <v>26</v>
      </c>
      <c r="AB2805">
        <v>0</v>
      </c>
      <c r="AC2805" t="s">
        <v>5188</v>
      </c>
      <c r="AD2805">
        <v>2</v>
      </c>
      <c r="AE2805" t="s">
        <v>5188</v>
      </c>
      <c r="AF2805">
        <v>0</v>
      </c>
      <c r="AG2805">
        <v>0</v>
      </c>
      <c r="AH2805" t="s">
        <v>116</v>
      </c>
      <c r="AI2805" s="1">
        <v>17650</v>
      </c>
      <c r="AJ2805" s="2">
        <v>0.04</v>
      </c>
      <c r="AK2805" s="1">
        <v>434645</v>
      </c>
      <c r="AL2805" t="s">
        <v>117</v>
      </c>
      <c r="AM2805" t="s">
        <v>1302</v>
      </c>
      <c r="AN2805">
        <v>9810</v>
      </c>
      <c r="AO2805">
        <v>0.22</v>
      </c>
      <c r="AP2805">
        <v>1</v>
      </c>
      <c r="AR2805">
        <v>1</v>
      </c>
      <c r="AS2805" s="1">
        <v>30250</v>
      </c>
      <c r="AT2805" s="1">
        <v>6050</v>
      </c>
      <c r="AU2805" s="1">
        <v>24200</v>
      </c>
      <c r="AV2805">
        <v>80</v>
      </c>
      <c r="AX2805" s="1">
        <v>2637.38</v>
      </c>
      <c r="AY2805" t="s">
        <v>18520</v>
      </c>
      <c r="AZ2805" t="s">
        <v>18520</v>
      </c>
      <c r="BA2805" t="s">
        <v>1304</v>
      </c>
      <c r="BE2805" s="3">
        <v>42130</v>
      </c>
      <c r="BF2805" s="1">
        <v>399000</v>
      </c>
      <c r="BG2805" t="s">
        <v>18521</v>
      </c>
      <c r="BH2805" s="1">
        <v>221.91</v>
      </c>
      <c r="BI2805" s="1">
        <v>396005</v>
      </c>
      <c r="BJ2805" s="3">
        <v>43083</v>
      </c>
      <c r="BK2805" t="s">
        <v>123</v>
      </c>
      <c r="BL2805" t="str">
        <f>"2017.923410"</f>
        <v>2017.923410</v>
      </c>
      <c r="BM2805" t="s">
        <v>3252</v>
      </c>
      <c r="BN2805">
        <v>74153</v>
      </c>
      <c r="BO2805" t="s">
        <v>18522</v>
      </c>
      <c r="BS2805">
        <v>31</v>
      </c>
      <c r="BT2805" s="1">
        <v>20990</v>
      </c>
      <c r="BU2805" s="3">
        <v>43458</v>
      </c>
      <c r="BW2805" t="str">
        <f>"2018.939557"</f>
        <v>2018.939557</v>
      </c>
      <c r="BX2805" t="s">
        <v>2475</v>
      </c>
      <c r="BY2805" t="s">
        <v>18523</v>
      </c>
      <c r="BZ2805" t="s">
        <v>18524</v>
      </c>
      <c r="CC2805" t="s">
        <v>346</v>
      </c>
      <c r="CH2805" t="str">
        <f>""</f>
        <v/>
      </c>
      <c r="CS2805" t="str">
        <f>""</f>
        <v/>
      </c>
    </row>
    <row r="2806" spans="1:97" x14ac:dyDescent="0.25">
      <c r="A2806" t="s">
        <v>18525</v>
      </c>
      <c r="B2806" t="s">
        <v>1160</v>
      </c>
      <c r="C2806" t="s">
        <v>18526</v>
      </c>
      <c r="D2806" t="s">
        <v>1160</v>
      </c>
      <c r="E2806" t="s">
        <v>18527</v>
      </c>
      <c r="F2806" t="s">
        <v>108</v>
      </c>
      <c r="H2806" t="s">
        <v>18528</v>
      </c>
      <c r="I2806" t="s">
        <v>5551</v>
      </c>
      <c r="J2806" t="s">
        <v>111</v>
      </c>
      <c r="K2806" t="str">
        <f>"85248"</f>
        <v>85248</v>
      </c>
      <c r="L2806" t="s">
        <v>5367</v>
      </c>
      <c r="M2806" t="s">
        <v>18528</v>
      </c>
      <c r="N2806" t="s">
        <v>5551</v>
      </c>
      <c r="O2806" t="s">
        <v>111</v>
      </c>
      <c r="P2806" t="str">
        <f>"85248-9291"</f>
        <v>85248-9291</v>
      </c>
      <c r="Q2806" t="s">
        <v>113</v>
      </c>
      <c r="R2806" t="str">
        <f>"303-59-116"</f>
        <v>303-59-116</v>
      </c>
      <c r="S2806" t="s">
        <v>11739</v>
      </c>
      <c r="U2806">
        <v>1971</v>
      </c>
      <c r="V2806">
        <v>0</v>
      </c>
      <c r="W2806">
        <v>3</v>
      </c>
      <c r="X2806">
        <v>1988</v>
      </c>
      <c r="Z2806">
        <v>1</v>
      </c>
      <c r="AB2806">
        <v>0</v>
      </c>
      <c r="AC2806" t="s">
        <v>115</v>
      </c>
      <c r="AD2806">
        <v>2</v>
      </c>
      <c r="AE2806" t="s">
        <v>115</v>
      </c>
      <c r="AF2806">
        <v>0</v>
      </c>
      <c r="AG2806">
        <v>0</v>
      </c>
      <c r="AH2806" t="s">
        <v>116</v>
      </c>
      <c r="AI2806" s="1">
        <v>99888</v>
      </c>
      <c r="AJ2806" s="2">
        <v>0.32</v>
      </c>
      <c r="AK2806" s="1">
        <v>315001</v>
      </c>
      <c r="AL2806" t="s">
        <v>117</v>
      </c>
      <c r="AM2806" t="s">
        <v>191</v>
      </c>
      <c r="AN2806">
        <v>7200</v>
      </c>
      <c r="AO2806">
        <v>0.16</v>
      </c>
      <c r="AP2806">
        <v>1</v>
      </c>
      <c r="AR2806">
        <v>1</v>
      </c>
      <c r="AS2806" s="1">
        <v>20800</v>
      </c>
      <c r="AT2806" s="1">
        <v>4160</v>
      </c>
      <c r="AU2806" s="1">
        <v>16640</v>
      </c>
      <c r="AV2806">
        <v>80</v>
      </c>
      <c r="AX2806" s="1">
        <v>2444.6799999999998</v>
      </c>
      <c r="AY2806" t="s">
        <v>1881</v>
      </c>
      <c r="AZ2806" t="s">
        <v>1882</v>
      </c>
      <c r="BA2806" t="s">
        <v>121</v>
      </c>
      <c r="BE2806" s="3">
        <v>41906</v>
      </c>
      <c r="BF2806" s="1">
        <v>218000</v>
      </c>
      <c r="BG2806" t="s">
        <v>18529</v>
      </c>
      <c r="BH2806" s="1">
        <v>110.6</v>
      </c>
      <c r="BI2806" s="1">
        <v>215113</v>
      </c>
      <c r="BJ2806" s="3">
        <v>42489</v>
      </c>
      <c r="BK2806" t="s">
        <v>123</v>
      </c>
      <c r="BL2806" t="str">
        <f>"2016.291914"</f>
        <v>2016.291914</v>
      </c>
      <c r="BM2806" t="s">
        <v>402</v>
      </c>
      <c r="BO2806" t="s">
        <v>18530</v>
      </c>
      <c r="BS2806">
        <v>30</v>
      </c>
      <c r="BW2806" t="str">
        <f>""</f>
        <v/>
      </c>
      <c r="CH2806" t="str">
        <f>""</f>
        <v/>
      </c>
      <c r="CS2806" t="str">
        <f>""</f>
        <v/>
      </c>
    </row>
    <row r="2807" spans="1:97" x14ac:dyDescent="0.25">
      <c r="A2807" t="s">
        <v>1850</v>
      </c>
      <c r="B2807" t="s">
        <v>6628</v>
      </c>
      <c r="C2807" t="s">
        <v>6221</v>
      </c>
      <c r="D2807" t="s">
        <v>6628</v>
      </c>
      <c r="E2807" t="s">
        <v>18531</v>
      </c>
      <c r="F2807" t="s">
        <v>108</v>
      </c>
      <c r="H2807" t="s">
        <v>18532</v>
      </c>
      <c r="I2807" t="s">
        <v>499</v>
      </c>
      <c r="J2807" t="s">
        <v>111</v>
      </c>
      <c r="K2807" t="str">
        <f>"85338"</f>
        <v>85338</v>
      </c>
      <c r="L2807" t="s">
        <v>316</v>
      </c>
      <c r="M2807" t="s">
        <v>18532</v>
      </c>
      <c r="N2807" t="s">
        <v>499</v>
      </c>
      <c r="O2807" t="s">
        <v>111</v>
      </c>
      <c r="P2807" t="str">
        <f>"85338-6165"</f>
        <v>85338-6165</v>
      </c>
      <c r="Q2807" t="s">
        <v>113</v>
      </c>
      <c r="R2807" t="str">
        <f>"500-89-440"</f>
        <v>500-89-440</v>
      </c>
      <c r="S2807" t="s">
        <v>18533</v>
      </c>
      <c r="U2807">
        <v>2472</v>
      </c>
      <c r="V2807">
        <v>0</v>
      </c>
      <c r="W2807">
        <v>3</v>
      </c>
      <c r="X2807">
        <v>2001</v>
      </c>
      <c r="Z2807">
        <v>1</v>
      </c>
      <c r="AB2807">
        <v>0</v>
      </c>
      <c r="AC2807" t="s">
        <v>115</v>
      </c>
      <c r="AD2807">
        <v>3</v>
      </c>
      <c r="AE2807" t="s">
        <v>115</v>
      </c>
      <c r="AF2807">
        <v>0</v>
      </c>
      <c r="AG2807">
        <v>0</v>
      </c>
      <c r="AH2807" t="s">
        <v>116</v>
      </c>
      <c r="AI2807" s="1">
        <v>36722</v>
      </c>
      <c r="AJ2807" s="2">
        <v>0.11</v>
      </c>
      <c r="AK2807" s="1">
        <v>323896</v>
      </c>
      <c r="AL2807" t="s">
        <v>117</v>
      </c>
      <c r="AM2807" t="s">
        <v>118</v>
      </c>
      <c r="AN2807">
        <v>9294</v>
      </c>
      <c r="AO2807">
        <v>0.21</v>
      </c>
      <c r="AP2807">
        <v>1</v>
      </c>
      <c r="AR2807">
        <v>1</v>
      </c>
      <c r="AS2807" s="1">
        <v>21600</v>
      </c>
      <c r="AT2807" s="1">
        <v>4320</v>
      </c>
      <c r="AU2807" s="1">
        <v>17280</v>
      </c>
      <c r="AV2807">
        <v>80</v>
      </c>
      <c r="AX2807" s="1">
        <v>1719.84</v>
      </c>
      <c r="AY2807" t="s">
        <v>4311</v>
      </c>
      <c r="AZ2807" t="s">
        <v>4311</v>
      </c>
      <c r="BA2807" t="s">
        <v>218</v>
      </c>
      <c r="BE2807" s="3">
        <v>41829</v>
      </c>
      <c r="BF2807" s="1">
        <v>229000</v>
      </c>
      <c r="BG2807" t="s">
        <v>18534</v>
      </c>
      <c r="BH2807" s="1">
        <v>92.64</v>
      </c>
      <c r="BI2807" s="1">
        <v>287174</v>
      </c>
      <c r="BJ2807" s="3">
        <v>42916</v>
      </c>
      <c r="BK2807" t="s">
        <v>123</v>
      </c>
      <c r="BL2807" t="str">
        <f>"2017.479073"</f>
        <v>2017.479073</v>
      </c>
      <c r="BM2807" t="s">
        <v>5277</v>
      </c>
      <c r="BO2807" t="s">
        <v>18535</v>
      </c>
      <c r="BS2807">
        <v>30</v>
      </c>
      <c r="BW2807" t="str">
        <f>""</f>
        <v/>
      </c>
      <c r="CH2807" t="str">
        <f>""</f>
        <v/>
      </c>
      <c r="CS2807" t="str">
        <f>""</f>
        <v/>
      </c>
    </row>
    <row r="2808" spans="1:97" x14ac:dyDescent="0.25">
      <c r="A2808" t="s">
        <v>1850</v>
      </c>
      <c r="B2808" t="s">
        <v>12603</v>
      </c>
      <c r="C2808" t="s">
        <v>2817</v>
      </c>
      <c r="D2808" t="s">
        <v>12603</v>
      </c>
      <c r="E2808" t="s">
        <v>18536</v>
      </c>
      <c r="F2808" t="s">
        <v>108</v>
      </c>
      <c r="H2808" t="s">
        <v>18537</v>
      </c>
      <c r="I2808" t="s">
        <v>453</v>
      </c>
      <c r="J2808" t="s">
        <v>111</v>
      </c>
      <c r="K2808" t="str">
        <f>"85381"</f>
        <v>85381</v>
      </c>
      <c r="L2808" t="s">
        <v>6631</v>
      </c>
      <c r="M2808" t="s">
        <v>18537</v>
      </c>
      <c r="N2808" t="s">
        <v>453</v>
      </c>
      <c r="O2808" t="s">
        <v>111</v>
      </c>
      <c r="P2808" t="str">
        <f>"85381-4958"</f>
        <v>85381-4958</v>
      </c>
      <c r="Q2808" t="s">
        <v>113</v>
      </c>
      <c r="R2808" t="str">
        <f>"200-78-413"</f>
        <v>200-78-413</v>
      </c>
      <c r="S2808" t="s">
        <v>18538</v>
      </c>
      <c r="T2808" t="s">
        <v>18539</v>
      </c>
      <c r="U2808">
        <v>1780</v>
      </c>
      <c r="V2808">
        <v>0</v>
      </c>
      <c r="W2808">
        <v>3</v>
      </c>
      <c r="X2808">
        <v>1985</v>
      </c>
      <c r="Z2808">
        <v>1</v>
      </c>
      <c r="AA2808" t="s">
        <v>26</v>
      </c>
      <c r="AB2808">
        <v>0</v>
      </c>
      <c r="AC2808" t="s">
        <v>115</v>
      </c>
      <c r="AD2808">
        <v>2</v>
      </c>
      <c r="AE2808" t="s">
        <v>115</v>
      </c>
      <c r="AF2808">
        <v>0</v>
      </c>
      <c r="AG2808">
        <v>0</v>
      </c>
      <c r="AH2808" t="s">
        <v>116</v>
      </c>
      <c r="AI2808" s="1">
        <v>47819</v>
      </c>
      <c r="AJ2808" s="2">
        <v>0.16</v>
      </c>
      <c r="AK2808" s="1">
        <v>296255</v>
      </c>
      <c r="AL2808" t="s">
        <v>117</v>
      </c>
      <c r="AM2808" t="s">
        <v>171</v>
      </c>
      <c r="AN2808">
        <v>10942</v>
      </c>
      <c r="AO2808">
        <v>0.25</v>
      </c>
      <c r="AP2808">
        <v>1</v>
      </c>
      <c r="AR2808">
        <v>1</v>
      </c>
      <c r="AS2808" s="1">
        <v>20420</v>
      </c>
      <c r="AT2808" s="1">
        <v>4080</v>
      </c>
      <c r="AU2808" s="1">
        <v>16340</v>
      </c>
      <c r="AV2808">
        <v>80.02</v>
      </c>
      <c r="AX2808" s="1">
        <v>1484.2</v>
      </c>
      <c r="AY2808" t="s">
        <v>6872</v>
      </c>
      <c r="AZ2808" t="s">
        <v>6872</v>
      </c>
      <c r="BA2808" t="s">
        <v>1800</v>
      </c>
      <c r="BE2808" s="3">
        <v>41849</v>
      </c>
      <c r="BF2808" s="1">
        <v>220000</v>
      </c>
      <c r="BG2808" t="s">
        <v>18540</v>
      </c>
      <c r="BH2808" s="1">
        <v>123.6</v>
      </c>
      <c r="BI2808" s="1">
        <v>248436</v>
      </c>
      <c r="BJ2808" s="3">
        <v>43039</v>
      </c>
      <c r="BK2808" t="s">
        <v>123</v>
      </c>
      <c r="BL2808" t="str">
        <f>"2017.806969"</f>
        <v>2017.806969</v>
      </c>
      <c r="BM2808" t="s">
        <v>18541</v>
      </c>
      <c r="BO2808" t="s">
        <v>18542</v>
      </c>
      <c r="BS2808">
        <v>30</v>
      </c>
      <c r="BW2808" t="str">
        <f>""</f>
        <v/>
      </c>
      <c r="CH2808" t="str">
        <f>""</f>
        <v/>
      </c>
      <c r="CS2808" t="str">
        <f>""</f>
        <v/>
      </c>
    </row>
    <row r="2809" spans="1:97" x14ac:dyDescent="0.25">
      <c r="B2809" t="s">
        <v>18543</v>
      </c>
      <c r="E2809" t="s">
        <v>18543</v>
      </c>
      <c r="F2809" t="s">
        <v>108</v>
      </c>
      <c r="H2809" t="s">
        <v>18544</v>
      </c>
      <c r="I2809" t="s">
        <v>390</v>
      </c>
      <c r="J2809" t="s">
        <v>111</v>
      </c>
      <c r="K2809" t="str">
        <f>"85045"</f>
        <v>85045</v>
      </c>
      <c r="L2809" t="s">
        <v>8199</v>
      </c>
      <c r="M2809" t="s">
        <v>18544</v>
      </c>
      <c r="N2809" t="s">
        <v>390</v>
      </c>
      <c r="O2809" t="s">
        <v>111</v>
      </c>
      <c r="P2809" t="str">
        <f>"85045"</f>
        <v>85045</v>
      </c>
      <c r="Q2809" t="s">
        <v>113</v>
      </c>
      <c r="R2809" t="str">
        <f>"300-97-425"</f>
        <v>300-97-425</v>
      </c>
      <c r="S2809" t="s">
        <v>18545</v>
      </c>
      <c r="T2809" t="s">
        <v>18546</v>
      </c>
      <c r="U2809">
        <v>1977</v>
      </c>
      <c r="V2809">
        <v>0</v>
      </c>
      <c r="W2809">
        <v>4</v>
      </c>
      <c r="X2809">
        <v>2008</v>
      </c>
      <c r="Z2809">
        <v>2</v>
      </c>
      <c r="AB2809">
        <v>0</v>
      </c>
      <c r="AC2809" t="s">
        <v>115</v>
      </c>
      <c r="AD2809">
        <v>2</v>
      </c>
      <c r="AE2809" t="s">
        <v>115</v>
      </c>
      <c r="AF2809">
        <v>0</v>
      </c>
      <c r="AG2809">
        <v>0</v>
      </c>
      <c r="AH2809" t="s">
        <v>116</v>
      </c>
      <c r="AI2809" s="1">
        <v>65912</v>
      </c>
      <c r="AJ2809" s="2">
        <v>0.2</v>
      </c>
      <c r="AK2809" s="1">
        <v>324312</v>
      </c>
      <c r="AL2809" t="s">
        <v>117</v>
      </c>
      <c r="AM2809" t="s">
        <v>118</v>
      </c>
      <c r="AN2809">
        <v>2635</v>
      </c>
      <c r="AO2809">
        <v>0.6</v>
      </c>
      <c r="AR2809">
        <v>1</v>
      </c>
      <c r="AS2809" s="1">
        <v>22500</v>
      </c>
      <c r="AT2809" s="1">
        <v>4500</v>
      </c>
      <c r="AU2809" s="1">
        <v>18000</v>
      </c>
      <c r="AV2809">
        <v>80</v>
      </c>
      <c r="AX2809" s="1">
        <v>2140.62</v>
      </c>
      <c r="AY2809" t="s">
        <v>2966</v>
      </c>
      <c r="AZ2809" t="s">
        <v>2967</v>
      </c>
      <c r="BA2809" t="s">
        <v>930</v>
      </c>
      <c r="BE2809" s="3">
        <v>42128</v>
      </c>
      <c r="BF2809" s="1">
        <v>253000</v>
      </c>
      <c r="BG2809" t="s">
        <v>18547</v>
      </c>
      <c r="BH2809" s="1">
        <v>127.97</v>
      </c>
      <c r="BI2809" s="1">
        <v>258400</v>
      </c>
      <c r="BJ2809" s="3">
        <v>42128</v>
      </c>
      <c r="BK2809" t="s">
        <v>123</v>
      </c>
      <c r="BL2809" t="str">
        <f>"2015.312330"</f>
        <v>2015.312330</v>
      </c>
      <c r="BM2809" t="s">
        <v>124</v>
      </c>
      <c r="BO2809" t="s">
        <v>18543</v>
      </c>
      <c r="BS2809">
        <v>30</v>
      </c>
      <c r="BW2809" t="str">
        <f>""</f>
        <v/>
      </c>
      <c r="CH2809" t="str">
        <f>""</f>
        <v/>
      </c>
      <c r="CS2809" t="str">
        <f>""</f>
        <v/>
      </c>
    </row>
    <row r="2810" spans="1:97" x14ac:dyDescent="0.25">
      <c r="A2810" t="s">
        <v>1272</v>
      </c>
      <c r="B2810" t="s">
        <v>18548</v>
      </c>
      <c r="E2810" t="s">
        <v>18549</v>
      </c>
      <c r="F2810" t="s">
        <v>108</v>
      </c>
      <c r="H2810" t="s">
        <v>18550</v>
      </c>
      <c r="I2810" t="s">
        <v>225</v>
      </c>
      <c r="J2810" t="s">
        <v>111</v>
      </c>
      <c r="K2810" t="str">
        <f>"85206"</f>
        <v>85206</v>
      </c>
      <c r="L2810" t="s">
        <v>1789</v>
      </c>
      <c r="M2810" t="s">
        <v>18550</v>
      </c>
      <c r="N2810" t="s">
        <v>225</v>
      </c>
      <c r="O2810" t="s">
        <v>111</v>
      </c>
      <c r="P2810" t="str">
        <f>"85206-3283"</f>
        <v>85206-3283</v>
      </c>
      <c r="Q2810" t="s">
        <v>113</v>
      </c>
      <c r="R2810" t="str">
        <f>"140-56-113"</f>
        <v>140-56-113</v>
      </c>
      <c r="S2810" t="s">
        <v>18551</v>
      </c>
      <c r="T2810" t="s">
        <v>18552</v>
      </c>
      <c r="U2810">
        <v>1910</v>
      </c>
      <c r="V2810">
        <v>0</v>
      </c>
      <c r="W2810">
        <v>2</v>
      </c>
      <c r="X2810">
        <v>1986</v>
      </c>
      <c r="Z2810">
        <v>2</v>
      </c>
      <c r="AB2810">
        <v>0</v>
      </c>
      <c r="AC2810" t="s">
        <v>115</v>
      </c>
      <c r="AD2810">
        <v>2</v>
      </c>
      <c r="AE2810" t="s">
        <v>115</v>
      </c>
      <c r="AF2810">
        <v>0</v>
      </c>
      <c r="AG2810">
        <v>0</v>
      </c>
      <c r="AH2810" t="s">
        <v>116</v>
      </c>
      <c r="AI2810" s="1">
        <v>64448</v>
      </c>
      <c r="AJ2810" s="2">
        <v>0.22</v>
      </c>
      <c r="AK2810" s="1">
        <v>286543</v>
      </c>
      <c r="AL2810" t="s">
        <v>117</v>
      </c>
      <c r="AM2810" t="s">
        <v>393</v>
      </c>
      <c r="AN2810">
        <v>7074</v>
      </c>
      <c r="AO2810">
        <v>0.16</v>
      </c>
      <c r="AP2810">
        <v>1</v>
      </c>
      <c r="AR2810">
        <v>1</v>
      </c>
      <c r="AS2810" s="1">
        <v>19220</v>
      </c>
      <c r="AT2810" s="1">
        <v>3840</v>
      </c>
      <c r="AU2810" s="1">
        <v>15380</v>
      </c>
      <c r="AV2810">
        <v>80.02</v>
      </c>
      <c r="AX2810" s="1">
        <v>1106.92</v>
      </c>
      <c r="AY2810" t="s">
        <v>6934</v>
      </c>
      <c r="AZ2810" t="s">
        <v>5158</v>
      </c>
      <c r="BA2810" t="s">
        <v>5159</v>
      </c>
      <c r="BE2810" s="3">
        <v>42438</v>
      </c>
      <c r="BF2810" s="1">
        <v>215000</v>
      </c>
      <c r="BG2810" t="s">
        <v>18553</v>
      </c>
      <c r="BH2810" s="1">
        <v>112.57</v>
      </c>
      <c r="BI2810" s="1">
        <v>222095</v>
      </c>
      <c r="BJ2810" s="3">
        <v>42438</v>
      </c>
      <c r="BK2810" t="s">
        <v>123</v>
      </c>
      <c r="BL2810" t="str">
        <f>"2016.152980"</f>
        <v>2016.152980</v>
      </c>
      <c r="BM2810" t="s">
        <v>544</v>
      </c>
      <c r="BO2810" t="s">
        <v>18554</v>
      </c>
      <c r="BS2810">
        <v>30</v>
      </c>
      <c r="BW2810" t="str">
        <f>""</f>
        <v/>
      </c>
      <c r="CH2810" t="str">
        <f>""</f>
        <v/>
      </c>
      <c r="CS2810" t="str">
        <f>""</f>
        <v/>
      </c>
    </row>
    <row r="2811" spans="1:97" x14ac:dyDescent="0.25">
      <c r="A2811" t="s">
        <v>8500</v>
      </c>
      <c r="B2811" t="s">
        <v>18555</v>
      </c>
      <c r="C2811" t="s">
        <v>18556</v>
      </c>
      <c r="D2811" t="s">
        <v>18555</v>
      </c>
      <c r="E2811" t="s">
        <v>18557</v>
      </c>
      <c r="F2811" t="s">
        <v>108</v>
      </c>
      <c r="H2811" t="s">
        <v>18558</v>
      </c>
      <c r="I2811" t="s">
        <v>390</v>
      </c>
      <c r="J2811" t="s">
        <v>111</v>
      </c>
      <c r="K2811" t="str">
        <f>"85048"</f>
        <v>85048</v>
      </c>
      <c r="L2811" t="s">
        <v>8543</v>
      </c>
      <c r="M2811" t="s">
        <v>18558</v>
      </c>
      <c r="N2811" t="s">
        <v>390</v>
      </c>
      <c r="O2811" t="s">
        <v>111</v>
      </c>
      <c r="P2811" t="str">
        <f>"85048-7604"</f>
        <v>85048-7604</v>
      </c>
      <c r="Q2811" t="s">
        <v>113</v>
      </c>
      <c r="R2811" t="str">
        <f>"301-69-908"</f>
        <v>301-69-908</v>
      </c>
      <c r="S2811" t="s">
        <v>18559</v>
      </c>
      <c r="T2811" t="s">
        <v>18560</v>
      </c>
      <c r="U2811">
        <v>1664</v>
      </c>
      <c r="V2811">
        <v>0</v>
      </c>
      <c r="W2811">
        <v>3</v>
      </c>
      <c r="X2811">
        <v>1989</v>
      </c>
      <c r="Z2811">
        <v>2</v>
      </c>
      <c r="AB2811">
        <v>0</v>
      </c>
      <c r="AC2811" t="s">
        <v>115</v>
      </c>
      <c r="AD2811">
        <v>2</v>
      </c>
      <c r="AE2811" t="s">
        <v>115</v>
      </c>
      <c r="AF2811">
        <v>0</v>
      </c>
      <c r="AG2811">
        <v>0</v>
      </c>
      <c r="AH2811" t="s">
        <v>116</v>
      </c>
      <c r="AI2811" s="1">
        <v>46013</v>
      </c>
      <c r="AJ2811" s="2">
        <v>0.14000000000000001</v>
      </c>
      <c r="AK2811" s="1">
        <v>321013</v>
      </c>
      <c r="AL2811" t="s">
        <v>117</v>
      </c>
      <c r="AM2811" t="s">
        <v>191</v>
      </c>
      <c r="AN2811">
        <v>4500</v>
      </c>
      <c r="AO2811">
        <v>0.1</v>
      </c>
      <c r="AP2811">
        <v>1</v>
      </c>
      <c r="AR2811">
        <v>1</v>
      </c>
      <c r="AS2811" s="1">
        <v>19910</v>
      </c>
      <c r="AT2811" s="1">
        <v>3980</v>
      </c>
      <c r="AU2811" s="1">
        <v>15930</v>
      </c>
      <c r="AV2811">
        <v>80.010000000000005</v>
      </c>
      <c r="AX2811" s="1">
        <v>1761.3</v>
      </c>
      <c r="AY2811" t="s">
        <v>6633</v>
      </c>
      <c r="AZ2811" t="s">
        <v>929</v>
      </c>
      <c r="BA2811" t="s">
        <v>930</v>
      </c>
      <c r="BB2811" s="3">
        <v>43224</v>
      </c>
      <c r="BC2811" s="1">
        <v>0</v>
      </c>
      <c r="BD2811" t="s">
        <v>247</v>
      </c>
      <c r="BE2811" s="3">
        <v>41941</v>
      </c>
      <c r="BF2811" s="1">
        <v>240000</v>
      </c>
      <c r="BG2811" t="s">
        <v>18561</v>
      </c>
      <c r="BH2811" s="1">
        <v>144.22999999999999</v>
      </c>
      <c r="BI2811" s="1">
        <v>275000</v>
      </c>
      <c r="BJ2811" s="3">
        <v>43224</v>
      </c>
      <c r="BK2811" t="s">
        <v>123</v>
      </c>
      <c r="BL2811" t="str">
        <f>"2018.340688"</f>
        <v>2018.340688</v>
      </c>
      <c r="BM2811" t="s">
        <v>135</v>
      </c>
      <c r="BN2811" t="s">
        <v>136</v>
      </c>
      <c r="BO2811" t="s">
        <v>18562</v>
      </c>
      <c r="BP2811" t="s">
        <v>18563</v>
      </c>
      <c r="BR2811" t="s">
        <v>139</v>
      </c>
      <c r="BW2811" t="str">
        <f>""</f>
        <v/>
      </c>
      <c r="CH2811" t="str">
        <f>""</f>
        <v/>
      </c>
      <c r="CS2811" t="str">
        <f>""</f>
        <v/>
      </c>
    </row>
    <row r="2812" spans="1:97" x14ac:dyDescent="0.25">
      <c r="A2812" t="s">
        <v>18564</v>
      </c>
      <c r="B2812" t="s">
        <v>6495</v>
      </c>
      <c r="C2812" t="s">
        <v>15844</v>
      </c>
      <c r="D2812" t="s">
        <v>6495</v>
      </c>
      <c r="E2812" t="s">
        <v>18565</v>
      </c>
      <c r="F2812" t="s">
        <v>108</v>
      </c>
      <c r="H2812" t="s">
        <v>18566</v>
      </c>
      <c r="I2812" t="s">
        <v>225</v>
      </c>
      <c r="J2812" t="s">
        <v>111</v>
      </c>
      <c r="K2812" t="str">
        <f>"85201"</f>
        <v>85201</v>
      </c>
      <c r="L2812" t="s">
        <v>2963</v>
      </c>
      <c r="M2812" t="s">
        <v>18566</v>
      </c>
      <c r="N2812" t="s">
        <v>225</v>
      </c>
      <c r="O2812" t="s">
        <v>111</v>
      </c>
      <c r="P2812" t="str">
        <f>"85201-4416"</f>
        <v>85201-4416</v>
      </c>
      <c r="Q2812" t="s">
        <v>113</v>
      </c>
      <c r="R2812" t="str">
        <f>"135-37-112"</f>
        <v>135-37-112</v>
      </c>
      <c r="S2812" t="s">
        <v>18567</v>
      </c>
      <c r="T2812" t="s">
        <v>18568</v>
      </c>
      <c r="U2812">
        <v>1332</v>
      </c>
      <c r="V2812">
        <v>0</v>
      </c>
      <c r="W2812">
        <v>2</v>
      </c>
      <c r="X2812">
        <v>1974</v>
      </c>
      <c r="Z2812">
        <v>1</v>
      </c>
      <c r="AA2812" t="s">
        <v>26</v>
      </c>
      <c r="AB2812">
        <v>0</v>
      </c>
      <c r="AC2812" t="s">
        <v>5188</v>
      </c>
      <c r="AD2812">
        <v>1</v>
      </c>
      <c r="AE2812" t="s">
        <v>5188</v>
      </c>
      <c r="AF2812">
        <v>0</v>
      </c>
      <c r="AG2812">
        <v>0</v>
      </c>
      <c r="AH2812" t="s">
        <v>116</v>
      </c>
      <c r="AI2812" s="1">
        <v>35578</v>
      </c>
      <c r="AJ2812" s="2">
        <v>0.15</v>
      </c>
      <c r="AK2812" s="1">
        <v>235578</v>
      </c>
      <c r="AL2812" t="s">
        <v>117</v>
      </c>
      <c r="AM2812" t="s">
        <v>229</v>
      </c>
      <c r="AN2812">
        <v>6519</v>
      </c>
      <c r="AO2812">
        <v>0.15</v>
      </c>
      <c r="AP2812">
        <v>1</v>
      </c>
      <c r="AR2812">
        <v>1</v>
      </c>
      <c r="AS2812" s="1">
        <v>15430</v>
      </c>
      <c r="AT2812" s="1">
        <v>3080</v>
      </c>
      <c r="AU2812" s="1">
        <v>12350</v>
      </c>
      <c r="AV2812">
        <v>80.040000000000006</v>
      </c>
      <c r="AX2812" s="1">
        <v>853.76</v>
      </c>
      <c r="AY2812" t="s">
        <v>16257</v>
      </c>
      <c r="AZ2812" t="s">
        <v>11073</v>
      </c>
      <c r="BA2812" t="s">
        <v>10858</v>
      </c>
      <c r="BB2812" s="3">
        <v>42830</v>
      </c>
      <c r="BD2812" t="s">
        <v>240</v>
      </c>
      <c r="BE2812" s="3">
        <v>42440</v>
      </c>
      <c r="BF2812" s="1">
        <v>178000</v>
      </c>
      <c r="BG2812" t="s">
        <v>18569</v>
      </c>
      <c r="BH2812" s="1">
        <v>133.63</v>
      </c>
      <c r="BI2812" s="1">
        <v>200000</v>
      </c>
      <c r="BJ2812" s="3">
        <v>42830</v>
      </c>
      <c r="BK2812" t="s">
        <v>123</v>
      </c>
      <c r="BL2812" t="str">
        <f>"2017.239915"</f>
        <v>2017.239915</v>
      </c>
      <c r="BM2812" t="s">
        <v>1998</v>
      </c>
      <c r="BO2812" t="s">
        <v>18570</v>
      </c>
      <c r="BS2812">
        <v>30</v>
      </c>
      <c r="BW2812" t="str">
        <f>""</f>
        <v/>
      </c>
      <c r="CH2812" t="str">
        <f>""</f>
        <v/>
      </c>
      <c r="CS2812" t="str">
        <f>""</f>
        <v/>
      </c>
    </row>
    <row r="2813" spans="1:97" x14ac:dyDescent="0.25">
      <c r="A2813" t="s">
        <v>701</v>
      </c>
      <c r="B2813" t="s">
        <v>18571</v>
      </c>
      <c r="C2813" t="s">
        <v>4695</v>
      </c>
      <c r="D2813" t="s">
        <v>18571</v>
      </c>
      <c r="E2813" t="s">
        <v>18572</v>
      </c>
      <c r="F2813" t="s">
        <v>108</v>
      </c>
      <c r="H2813" t="s">
        <v>18573</v>
      </c>
      <c r="I2813" t="s">
        <v>390</v>
      </c>
      <c r="J2813" t="s">
        <v>111</v>
      </c>
      <c r="K2813" t="str">
        <f>"85021"</f>
        <v>85021</v>
      </c>
      <c r="L2813" t="s">
        <v>5228</v>
      </c>
      <c r="M2813" t="s">
        <v>18573</v>
      </c>
      <c r="N2813" t="s">
        <v>390</v>
      </c>
      <c r="O2813" t="s">
        <v>111</v>
      </c>
      <c r="P2813" t="str">
        <f>"85021-7710"</f>
        <v>85021-7710</v>
      </c>
      <c r="Q2813" t="s">
        <v>113</v>
      </c>
      <c r="R2813" t="str">
        <f>"157-23-135"</f>
        <v>157-23-135</v>
      </c>
      <c r="S2813" t="s">
        <v>18574</v>
      </c>
      <c r="T2813" t="s">
        <v>18575</v>
      </c>
      <c r="U2813">
        <v>1717</v>
      </c>
      <c r="V2813">
        <v>0</v>
      </c>
      <c r="W2813">
        <v>2</v>
      </c>
      <c r="X2813">
        <v>1958</v>
      </c>
      <c r="Z2813">
        <v>1</v>
      </c>
      <c r="AA2813" t="s">
        <v>26</v>
      </c>
      <c r="AB2813">
        <v>0</v>
      </c>
      <c r="AC2813" t="s">
        <v>5188</v>
      </c>
      <c r="AD2813">
        <v>1</v>
      </c>
      <c r="AE2813" t="s">
        <v>5188</v>
      </c>
      <c r="AF2813">
        <v>0</v>
      </c>
      <c r="AG2813">
        <v>0</v>
      </c>
      <c r="AH2813" t="s">
        <v>116</v>
      </c>
      <c r="AI2813" s="1">
        <v>83473</v>
      </c>
      <c r="AJ2813" s="2">
        <v>0.27</v>
      </c>
      <c r="AK2813" s="1">
        <v>305568</v>
      </c>
      <c r="AL2813" t="s">
        <v>117</v>
      </c>
      <c r="AM2813" t="s">
        <v>191</v>
      </c>
      <c r="AN2813">
        <v>9082</v>
      </c>
      <c r="AO2813">
        <v>0.21</v>
      </c>
      <c r="AP2813">
        <v>1</v>
      </c>
      <c r="AR2813">
        <v>1</v>
      </c>
      <c r="AS2813" s="1">
        <v>18230</v>
      </c>
      <c r="AT2813" s="1">
        <v>3640</v>
      </c>
      <c r="AU2813" s="1">
        <v>14590</v>
      </c>
      <c r="AV2813">
        <v>80.03</v>
      </c>
      <c r="AX2813" s="1">
        <v>1759.56</v>
      </c>
      <c r="AY2813" t="s">
        <v>18520</v>
      </c>
      <c r="AZ2813" t="s">
        <v>18520</v>
      </c>
      <c r="BA2813" t="s">
        <v>1304</v>
      </c>
      <c r="BE2813" s="3">
        <v>41928</v>
      </c>
      <c r="BF2813" s="1">
        <v>215000</v>
      </c>
      <c r="BG2813" t="s">
        <v>18576</v>
      </c>
      <c r="BH2813" s="1">
        <v>132.55000000000001</v>
      </c>
      <c r="BI2813" s="1">
        <v>222095</v>
      </c>
      <c r="BJ2813" s="3">
        <v>41928</v>
      </c>
      <c r="BK2813" t="s">
        <v>123</v>
      </c>
      <c r="BL2813" t="str">
        <f>"2014.686089"</f>
        <v>2014.686089</v>
      </c>
      <c r="BM2813" t="s">
        <v>196</v>
      </c>
      <c r="BO2813" t="s">
        <v>18577</v>
      </c>
      <c r="BS2813">
        <v>30</v>
      </c>
      <c r="BW2813" t="str">
        <f>""</f>
        <v/>
      </c>
      <c r="CH2813" t="str">
        <f>""</f>
        <v/>
      </c>
      <c r="CS2813" t="str">
        <f>""</f>
        <v/>
      </c>
    </row>
    <row r="2814" spans="1:97" x14ac:dyDescent="0.25">
      <c r="A2814" t="s">
        <v>3089</v>
      </c>
      <c r="B2814" t="s">
        <v>18578</v>
      </c>
      <c r="C2814" t="s">
        <v>484</v>
      </c>
      <c r="D2814" t="s">
        <v>18578</v>
      </c>
      <c r="E2814" t="s">
        <v>18579</v>
      </c>
      <c r="F2814" t="s">
        <v>282</v>
      </c>
      <c r="H2814" t="s">
        <v>18580</v>
      </c>
      <c r="I2814" t="s">
        <v>167</v>
      </c>
      <c r="J2814" t="s">
        <v>111</v>
      </c>
      <c r="K2814" t="str">
        <f>"85339"</f>
        <v>85339</v>
      </c>
      <c r="L2814" t="s">
        <v>734</v>
      </c>
      <c r="M2814" t="s">
        <v>18581</v>
      </c>
      <c r="N2814" t="s">
        <v>390</v>
      </c>
      <c r="O2814" t="s">
        <v>111</v>
      </c>
      <c r="P2814" t="str">
        <f>"85014-5508"</f>
        <v>85014-5508</v>
      </c>
      <c r="Q2814" t="s">
        <v>113</v>
      </c>
      <c r="R2814" t="str">
        <f>"300-15-172"</f>
        <v>300-15-172</v>
      </c>
      <c r="S2814" t="s">
        <v>18582</v>
      </c>
      <c r="T2814" t="s">
        <v>18582</v>
      </c>
      <c r="U2814">
        <v>2751</v>
      </c>
      <c r="V2814">
        <v>0</v>
      </c>
      <c r="W2814">
        <v>4</v>
      </c>
      <c r="X2814">
        <v>2012</v>
      </c>
      <c r="Z2814">
        <v>2</v>
      </c>
      <c r="AB2814">
        <v>0</v>
      </c>
      <c r="AC2814" t="s">
        <v>115</v>
      </c>
      <c r="AD2814">
        <v>2</v>
      </c>
      <c r="AE2814" t="s">
        <v>115</v>
      </c>
      <c r="AF2814">
        <v>0</v>
      </c>
      <c r="AG2814">
        <v>0</v>
      </c>
      <c r="AH2814" t="s">
        <v>116</v>
      </c>
      <c r="AI2814" s="1">
        <v>78626</v>
      </c>
      <c r="AJ2814" s="2">
        <v>0.25</v>
      </c>
      <c r="AK2814" s="1">
        <v>312549</v>
      </c>
      <c r="AL2814" t="s">
        <v>117</v>
      </c>
      <c r="AM2814" t="s">
        <v>229</v>
      </c>
      <c r="AN2814">
        <v>6479</v>
      </c>
      <c r="AO2814">
        <v>0.15</v>
      </c>
      <c r="AR2814">
        <v>1</v>
      </c>
      <c r="AS2814" s="1">
        <v>21080</v>
      </c>
      <c r="AT2814" s="1">
        <v>4210</v>
      </c>
      <c r="AU2814" s="1">
        <v>16870</v>
      </c>
      <c r="AV2814">
        <v>80.03</v>
      </c>
      <c r="AX2814" s="1">
        <v>3073.74</v>
      </c>
      <c r="AY2814" t="s">
        <v>5220</v>
      </c>
      <c r="AZ2814" t="s">
        <v>5220</v>
      </c>
      <c r="BA2814" t="s">
        <v>1661</v>
      </c>
      <c r="BE2814" s="3">
        <v>42359</v>
      </c>
      <c r="BF2814" s="1">
        <v>229000</v>
      </c>
      <c r="BG2814" t="s">
        <v>18583</v>
      </c>
      <c r="BH2814" s="1">
        <v>83.24</v>
      </c>
      <c r="BI2814" s="1">
        <v>233923</v>
      </c>
      <c r="BJ2814" s="3">
        <v>42359</v>
      </c>
      <c r="BK2814" t="s">
        <v>123</v>
      </c>
      <c r="BL2814" t="str">
        <f>"2015.899346"</f>
        <v>2015.899346</v>
      </c>
      <c r="BM2814" t="s">
        <v>1325</v>
      </c>
      <c r="BO2814" t="s">
        <v>18584</v>
      </c>
      <c r="BS2814">
        <v>30</v>
      </c>
      <c r="BW2814" t="str">
        <f>""</f>
        <v/>
      </c>
      <c r="CH2814" t="str">
        <f>""</f>
        <v/>
      </c>
      <c r="CS2814" t="str">
        <f>""</f>
        <v/>
      </c>
    </row>
    <row r="2815" spans="1:97" x14ac:dyDescent="0.25">
      <c r="A2815" t="s">
        <v>914</v>
      </c>
      <c r="B2815" t="s">
        <v>18585</v>
      </c>
      <c r="C2815" t="s">
        <v>7158</v>
      </c>
      <c r="D2815" t="s">
        <v>371</v>
      </c>
      <c r="E2815" t="s">
        <v>18586</v>
      </c>
      <c r="F2815" t="s">
        <v>108</v>
      </c>
      <c r="H2815" t="s">
        <v>18587</v>
      </c>
      <c r="I2815" t="s">
        <v>5523</v>
      </c>
      <c r="J2815" t="s">
        <v>111</v>
      </c>
      <c r="K2815" t="str">
        <f>"85351"</f>
        <v>85351</v>
      </c>
      <c r="L2815" t="s">
        <v>6631</v>
      </c>
      <c r="M2815" t="s">
        <v>18587</v>
      </c>
      <c r="N2815" t="s">
        <v>5523</v>
      </c>
      <c r="O2815" t="s">
        <v>111</v>
      </c>
      <c r="P2815" t="str">
        <f>"85351-1625"</f>
        <v>85351-1625</v>
      </c>
      <c r="Q2815" t="s">
        <v>113</v>
      </c>
      <c r="R2815" t="str">
        <f>"200-92-236"</f>
        <v>200-92-236</v>
      </c>
      <c r="S2815" t="s">
        <v>18588</v>
      </c>
      <c r="U2815">
        <v>1832</v>
      </c>
      <c r="V2815">
        <v>0</v>
      </c>
      <c r="W2815">
        <v>2</v>
      </c>
      <c r="X2815">
        <v>1972</v>
      </c>
      <c r="Z2815">
        <v>1</v>
      </c>
      <c r="AB2815">
        <v>0</v>
      </c>
      <c r="AC2815" t="s">
        <v>115</v>
      </c>
      <c r="AD2815">
        <v>2</v>
      </c>
      <c r="AE2815" t="s">
        <v>115</v>
      </c>
      <c r="AF2815">
        <v>0</v>
      </c>
      <c r="AG2815">
        <v>0</v>
      </c>
      <c r="AH2815" t="s">
        <v>116</v>
      </c>
      <c r="AI2815" s="1">
        <v>39836</v>
      </c>
      <c r="AJ2815" s="2">
        <v>0.16</v>
      </c>
      <c r="AK2815" s="1">
        <v>244136</v>
      </c>
      <c r="AL2815" t="s">
        <v>117</v>
      </c>
      <c r="AM2815" t="s">
        <v>191</v>
      </c>
      <c r="AN2815">
        <v>8887</v>
      </c>
      <c r="AO2815">
        <v>0.2</v>
      </c>
      <c r="AP2815">
        <v>1</v>
      </c>
      <c r="AR2815">
        <v>1</v>
      </c>
      <c r="AS2815" s="1">
        <v>15970</v>
      </c>
      <c r="AT2815" s="1">
        <v>3190</v>
      </c>
      <c r="AU2815" s="1">
        <v>12780</v>
      </c>
      <c r="AV2815">
        <v>80.03</v>
      </c>
      <c r="AX2815" s="1">
        <v>1133.4000000000001</v>
      </c>
      <c r="AY2815" t="s">
        <v>5573</v>
      </c>
      <c r="AZ2815" t="s">
        <v>5573</v>
      </c>
      <c r="BA2815" t="s">
        <v>3360</v>
      </c>
      <c r="BE2815" s="3">
        <v>42265</v>
      </c>
      <c r="BF2815" s="1">
        <v>200000</v>
      </c>
      <c r="BG2815" t="s">
        <v>18589</v>
      </c>
      <c r="BH2815" s="1">
        <v>109.17</v>
      </c>
      <c r="BI2815" s="1">
        <v>204300</v>
      </c>
      <c r="BJ2815" s="3">
        <v>42265</v>
      </c>
      <c r="BK2815" t="s">
        <v>123</v>
      </c>
      <c r="BL2815" t="str">
        <f>"2015.675400"</f>
        <v>2015.675400</v>
      </c>
      <c r="BM2815" t="s">
        <v>1033</v>
      </c>
      <c r="BO2815" t="s">
        <v>18590</v>
      </c>
      <c r="BP2815" t="s">
        <v>18591</v>
      </c>
      <c r="BS2815">
        <v>30</v>
      </c>
      <c r="BW2815" t="str">
        <f>""</f>
        <v/>
      </c>
      <c r="CH2815" t="str">
        <f>""</f>
        <v/>
      </c>
      <c r="CS2815" t="str">
        <f>""</f>
        <v/>
      </c>
    </row>
    <row r="2816" spans="1:97" x14ac:dyDescent="0.25">
      <c r="A2816" t="s">
        <v>1406</v>
      </c>
      <c r="B2816" t="s">
        <v>18592</v>
      </c>
      <c r="E2816" t="s">
        <v>18593</v>
      </c>
      <c r="F2816" t="s">
        <v>108</v>
      </c>
      <c r="H2816" t="s">
        <v>18594</v>
      </c>
      <c r="I2816" t="s">
        <v>225</v>
      </c>
      <c r="J2816" t="s">
        <v>111</v>
      </c>
      <c r="K2816" t="str">
        <f>"85212"</f>
        <v>85212</v>
      </c>
      <c r="L2816" t="s">
        <v>5084</v>
      </c>
      <c r="M2816" t="s">
        <v>18594</v>
      </c>
      <c r="N2816" t="s">
        <v>225</v>
      </c>
      <c r="O2816" t="s">
        <v>111</v>
      </c>
      <c r="P2816" t="str">
        <f>"85212-2836"</f>
        <v>85212-2836</v>
      </c>
      <c r="Q2816" t="s">
        <v>113</v>
      </c>
      <c r="R2816" t="str">
        <f>"312-09-075"</f>
        <v>312-09-075</v>
      </c>
      <c r="S2816" t="s">
        <v>18595</v>
      </c>
      <c r="T2816" t="s">
        <v>18595</v>
      </c>
      <c r="U2816">
        <v>1723</v>
      </c>
      <c r="V2816">
        <v>0</v>
      </c>
      <c r="W2816">
        <v>3</v>
      </c>
      <c r="X2816">
        <v>2003</v>
      </c>
      <c r="Z2816">
        <v>2</v>
      </c>
      <c r="AA2816" t="s">
        <v>26</v>
      </c>
      <c r="AB2816">
        <v>0</v>
      </c>
      <c r="AC2816" t="s">
        <v>115</v>
      </c>
      <c r="AD2816">
        <v>2</v>
      </c>
      <c r="AE2816" t="s">
        <v>115</v>
      </c>
      <c r="AF2816">
        <v>0</v>
      </c>
      <c r="AG2816">
        <v>0</v>
      </c>
      <c r="AH2816" t="s">
        <v>116</v>
      </c>
      <c r="AI2816" s="1">
        <v>66548</v>
      </c>
      <c r="AJ2816" s="2">
        <v>0.25</v>
      </c>
      <c r="AK2816" s="1">
        <v>269826</v>
      </c>
      <c r="AL2816" t="s">
        <v>117</v>
      </c>
      <c r="AM2816" t="s">
        <v>229</v>
      </c>
      <c r="AN2816">
        <v>4175</v>
      </c>
      <c r="AO2816">
        <v>0.96</v>
      </c>
      <c r="AP2816">
        <v>1</v>
      </c>
      <c r="AR2816">
        <v>1</v>
      </c>
      <c r="AS2816" s="1">
        <v>17460</v>
      </c>
      <c r="AT2816" s="1">
        <v>3490</v>
      </c>
      <c r="AU2816" s="1">
        <v>13970</v>
      </c>
      <c r="AV2816">
        <v>80.010000000000005</v>
      </c>
      <c r="AX2816" s="1">
        <v>1105.92</v>
      </c>
      <c r="AY2816" t="s">
        <v>7302</v>
      </c>
      <c r="AZ2816" t="s">
        <v>777</v>
      </c>
      <c r="BA2816" t="s">
        <v>572</v>
      </c>
      <c r="BE2816" s="3">
        <v>42144</v>
      </c>
      <c r="BF2816" s="1">
        <v>199000</v>
      </c>
      <c r="BG2816" t="s">
        <v>18596</v>
      </c>
      <c r="BH2816" s="1">
        <v>115.5</v>
      </c>
      <c r="BI2816" s="1">
        <v>203278</v>
      </c>
      <c r="BJ2816" s="3">
        <v>42144</v>
      </c>
      <c r="BK2816" t="s">
        <v>123</v>
      </c>
      <c r="BL2816" t="str">
        <f>"2015.357289"</f>
        <v>2015.357289</v>
      </c>
      <c r="BM2816" t="s">
        <v>248</v>
      </c>
      <c r="BO2816" t="s">
        <v>18597</v>
      </c>
      <c r="BS2816">
        <v>30</v>
      </c>
      <c r="BW2816" t="str">
        <f>""</f>
        <v/>
      </c>
      <c r="CH2816" t="str">
        <f>""</f>
        <v/>
      </c>
      <c r="CS2816" t="str">
        <f>""</f>
        <v/>
      </c>
    </row>
    <row r="2817" spans="1:97" x14ac:dyDescent="0.25">
      <c r="A2817" t="s">
        <v>4011</v>
      </c>
      <c r="B2817" t="s">
        <v>18598</v>
      </c>
      <c r="C2817" t="s">
        <v>18599</v>
      </c>
      <c r="D2817" t="s">
        <v>18598</v>
      </c>
      <c r="E2817" t="s">
        <v>18600</v>
      </c>
      <c r="F2817" t="s">
        <v>108</v>
      </c>
      <c r="H2817" t="s">
        <v>18601</v>
      </c>
      <c r="I2817" t="s">
        <v>144</v>
      </c>
      <c r="J2817" t="s">
        <v>111</v>
      </c>
      <c r="K2817" t="str">
        <f>"85326"</f>
        <v>85326</v>
      </c>
      <c r="L2817" t="s">
        <v>7607</v>
      </c>
      <c r="M2817" t="s">
        <v>18601</v>
      </c>
      <c r="N2817" t="s">
        <v>144</v>
      </c>
      <c r="O2817" t="s">
        <v>111</v>
      </c>
      <c r="P2817" t="str">
        <f>"85326-9023"</f>
        <v>85326-9023</v>
      </c>
      <c r="Q2817" t="s">
        <v>113</v>
      </c>
      <c r="R2817" t="str">
        <f>"504-61-075"</f>
        <v>504-61-075</v>
      </c>
      <c r="S2817" t="s">
        <v>8443</v>
      </c>
      <c r="U2817">
        <v>2142</v>
      </c>
      <c r="V2817">
        <v>0</v>
      </c>
      <c r="W2817">
        <v>3</v>
      </c>
      <c r="X2817">
        <v>2015</v>
      </c>
      <c r="Z2817">
        <v>1</v>
      </c>
      <c r="AB2817">
        <v>0</v>
      </c>
      <c r="AC2817" t="s">
        <v>115</v>
      </c>
      <c r="AD2817">
        <v>3</v>
      </c>
      <c r="AE2817" t="s">
        <v>115</v>
      </c>
      <c r="AF2817">
        <v>0</v>
      </c>
      <c r="AG2817">
        <v>0</v>
      </c>
      <c r="AH2817" t="s">
        <v>116</v>
      </c>
      <c r="AI2817" s="1">
        <v>69743</v>
      </c>
      <c r="AJ2817" s="2">
        <v>0.25</v>
      </c>
      <c r="AK2817" s="1">
        <v>280749</v>
      </c>
      <c r="AL2817" t="s">
        <v>117</v>
      </c>
      <c r="AM2817" t="s">
        <v>118</v>
      </c>
      <c r="AN2817">
        <v>7150</v>
      </c>
      <c r="AO2817">
        <v>0.16</v>
      </c>
      <c r="AR2817">
        <v>1</v>
      </c>
      <c r="AS2817" s="1">
        <v>20530</v>
      </c>
      <c r="AT2817" s="1">
        <v>4100</v>
      </c>
      <c r="AU2817" s="1">
        <v>16430</v>
      </c>
      <c r="AV2817">
        <v>80.03</v>
      </c>
      <c r="AX2817" s="1">
        <v>1905.58</v>
      </c>
      <c r="AY2817" t="s">
        <v>8444</v>
      </c>
      <c r="AZ2817" t="s">
        <v>8444</v>
      </c>
      <c r="BA2817" t="s">
        <v>5025</v>
      </c>
      <c r="BE2817" s="3">
        <v>42202</v>
      </c>
      <c r="BF2817" s="1">
        <v>206565</v>
      </c>
      <c r="BG2817" t="s">
        <v>1975</v>
      </c>
      <c r="BH2817" s="1">
        <v>96.44</v>
      </c>
      <c r="BI2817" s="1">
        <v>211006</v>
      </c>
      <c r="BJ2817" s="3">
        <v>42202</v>
      </c>
      <c r="BK2817" t="s">
        <v>123</v>
      </c>
      <c r="BL2817" t="str">
        <f>"2015.515439"</f>
        <v>2015.515439</v>
      </c>
      <c r="BM2817" t="s">
        <v>724</v>
      </c>
      <c r="BO2817" t="s">
        <v>18602</v>
      </c>
      <c r="BS2817">
        <v>30</v>
      </c>
      <c r="BW2817" t="str">
        <f>""</f>
        <v/>
      </c>
      <c r="CH2817" t="str">
        <f>""</f>
        <v/>
      </c>
      <c r="CS2817" t="str">
        <f>""</f>
        <v/>
      </c>
    </row>
    <row r="2818" spans="1:97" x14ac:dyDescent="0.25">
      <c r="A2818" t="s">
        <v>305</v>
      </c>
      <c r="B2818" t="s">
        <v>11970</v>
      </c>
      <c r="C2818" t="s">
        <v>4714</v>
      </c>
      <c r="D2818" t="s">
        <v>11970</v>
      </c>
      <c r="E2818" t="s">
        <v>18603</v>
      </c>
      <c r="F2818" t="s">
        <v>108</v>
      </c>
      <c r="H2818" t="s">
        <v>18604</v>
      </c>
      <c r="I2818" t="s">
        <v>390</v>
      </c>
      <c r="J2818" t="s">
        <v>111</v>
      </c>
      <c r="K2818" t="str">
        <f>"85013"</f>
        <v>85013</v>
      </c>
      <c r="L2818" t="s">
        <v>8199</v>
      </c>
      <c r="M2818" t="s">
        <v>18604</v>
      </c>
      <c r="N2818" t="s">
        <v>390</v>
      </c>
      <c r="O2818" t="s">
        <v>111</v>
      </c>
      <c r="P2818" t="str">
        <f>"85013-2649"</f>
        <v>85013-2649</v>
      </c>
      <c r="R2818" t="str">
        <f>"155-43-055"</f>
        <v>155-43-055</v>
      </c>
      <c r="S2818" t="s">
        <v>18605</v>
      </c>
      <c r="T2818" t="s">
        <v>18606</v>
      </c>
      <c r="U2818">
        <v>1937</v>
      </c>
      <c r="V2818">
        <v>0</v>
      </c>
      <c r="W2818">
        <v>3</v>
      </c>
      <c r="X2818">
        <v>1952</v>
      </c>
      <c r="Z2818">
        <v>1</v>
      </c>
      <c r="AA2818" t="s">
        <v>26</v>
      </c>
      <c r="AB2818">
        <v>0</v>
      </c>
      <c r="AC2818" t="s">
        <v>115</v>
      </c>
      <c r="AD2818">
        <v>1</v>
      </c>
      <c r="AE2818" t="s">
        <v>115</v>
      </c>
      <c r="AF2818">
        <v>0</v>
      </c>
      <c r="AG2818">
        <v>0</v>
      </c>
      <c r="AH2818" t="s">
        <v>116</v>
      </c>
      <c r="AI2818" s="1">
        <v>68638</v>
      </c>
      <c r="AJ2818" s="2">
        <v>0.18</v>
      </c>
      <c r="AK2818" s="1">
        <v>375263</v>
      </c>
      <c r="AL2818" t="s">
        <v>117</v>
      </c>
      <c r="AM2818" t="s">
        <v>191</v>
      </c>
      <c r="AN2818">
        <v>9422</v>
      </c>
      <c r="AO2818">
        <v>0.22</v>
      </c>
      <c r="AP2818">
        <v>1</v>
      </c>
      <c r="AR2818">
        <v>1</v>
      </c>
      <c r="AS2818" s="1">
        <v>24700</v>
      </c>
      <c r="AT2818" s="1">
        <v>4940</v>
      </c>
      <c r="AU2818" s="1">
        <v>19760</v>
      </c>
      <c r="AV2818">
        <v>80</v>
      </c>
      <c r="AX2818" s="1">
        <v>2395.94</v>
      </c>
      <c r="AY2818" t="s">
        <v>5468</v>
      </c>
      <c r="AZ2818" t="s">
        <v>5468</v>
      </c>
      <c r="BA2818" t="s">
        <v>5691</v>
      </c>
      <c r="BE2818" s="3">
        <v>41750</v>
      </c>
      <c r="BF2818" s="1">
        <v>294900</v>
      </c>
      <c r="BG2818" t="s">
        <v>18607</v>
      </c>
      <c r="BH2818" s="1">
        <v>152.25</v>
      </c>
      <c r="BI2818" s="1">
        <v>306625</v>
      </c>
      <c r="BJ2818" s="3">
        <v>42447</v>
      </c>
      <c r="BK2818" t="s">
        <v>123</v>
      </c>
      <c r="BL2818" t="str">
        <f>"2016.176846"</f>
        <v>2016.176846</v>
      </c>
      <c r="BM2818" t="s">
        <v>673</v>
      </c>
      <c r="BN2818" t="s">
        <v>674</v>
      </c>
      <c r="BO2818" t="s">
        <v>18608</v>
      </c>
      <c r="BS2818">
        <v>30</v>
      </c>
      <c r="BW2818" t="str">
        <f>""</f>
        <v/>
      </c>
      <c r="CH2818" t="str">
        <f>""</f>
        <v/>
      </c>
      <c r="CS2818" t="str">
        <f>""</f>
        <v/>
      </c>
    </row>
    <row r="2819" spans="1:97" x14ac:dyDescent="0.25">
      <c r="A2819" t="s">
        <v>4725</v>
      </c>
      <c r="B2819" t="s">
        <v>1041</v>
      </c>
      <c r="E2819" t="s">
        <v>18609</v>
      </c>
      <c r="F2819" t="s">
        <v>139</v>
      </c>
      <c r="H2819" t="s">
        <v>18610</v>
      </c>
      <c r="I2819" t="s">
        <v>390</v>
      </c>
      <c r="J2819" t="s">
        <v>111</v>
      </c>
      <c r="K2819" t="str">
        <f>"85020"</f>
        <v>85020</v>
      </c>
      <c r="L2819" t="s">
        <v>2963</v>
      </c>
      <c r="M2819" t="s">
        <v>18610</v>
      </c>
      <c r="N2819" t="s">
        <v>390</v>
      </c>
      <c r="O2819" t="s">
        <v>111</v>
      </c>
      <c r="P2819" t="str">
        <f>"85020-4015"</f>
        <v>85020-4015</v>
      </c>
      <c r="Q2819" t="s">
        <v>113</v>
      </c>
      <c r="R2819" t="str">
        <f>"160-38-040"</f>
        <v>160-38-040</v>
      </c>
      <c r="S2819" t="s">
        <v>18611</v>
      </c>
      <c r="T2819" t="s">
        <v>18612</v>
      </c>
      <c r="U2819">
        <v>2144</v>
      </c>
      <c r="V2819">
        <v>0</v>
      </c>
      <c r="W2819">
        <v>2</v>
      </c>
      <c r="X2819">
        <v>1948</v>
      </c>
      <c r="Z2819">
        <v>1</v>
      </c>
      <c r="AA2819" t="s">
        <v>26</v>
      </c>
      <c r="AB2819">
        <v>0</v>
      </c>
      <c r="AC2819" t="s">
        <v>5188</v>
      </c>
      <c r="AD2819">
        <v>1</v>
      </c>
      <c r="AE2819" t="s">
        <v>5188</v>
      </c>
      <c r="AF2819">
        <v>0</v>
      </c>
      <c r="AG2819">
        <v>0</v>
      </c>
      <c r="AH2819" t="s">
        <v>116</v>
      </c>
      <c r="AI2819" s="1">
        <v>69852</v>
      </c>
      <c r="AJ2819" s="2">
        <v>0.15</v>
      </c>
      <c r="AK2819" s="1">
        <v>477430</v>
      </c>
      <c r="AL2819" t="s">
        <v>117</v>
      </c>
      <c r="AM2819" t="s">
        <v>1302</v>
      </c>
      <c r="AN2819">
        <v>9304</v>
      </c>
      <c r="AO2819">
        <v>0.21</v>
      </c>
      <c r="AP2819">
        <v>1</v>
      </c>
      <c r="AR2819">
        <v>1</v>
      </c>
      <c r="AS2819" s="1">
        <v>33550</v>
      </c>
      <c r="AT2819" s="1">
        <v>6710</v>
      </c>
      <c r="AU2819" s="1">
        <v>26840</v>
      </c>
      <c r="AV2819">
        <v>80</v>
      </c>
      <c r="AX2819" s="1">
        <v>3535.04</v>
      </c>
      <c r="AY2819" t="s">
        <v>5734</v>
      </c>
      <c r="AZ2819" t="s">
        <v>5735</v>
      </c>
      <c r="BA2819" t="s">
        <v>5691</v>
      </c>
      <c r="BB2819" s="3">
        <v>43082</v>
      </c>
      <c r="BD2819" t="s">
        <v>2315</v>
      </c>
      <c r="BE2819" s="3">
        <v>41845</v>
      </c>
      <c r="BF2819" s="1">
        <v>399000</v>
      </c>
      <c r="BG2819" t="s">
        <v>18613</v>
      </c>
      <c r="BH2819" s="1">
        <v>171.98</v>
      </c>
      <c r="BI2819" s="1">
        <v>407578</v>
      </c>
      <c r="BJ2819" s="3">
        <v>41845</v>
      </c>
      <c r="BK2819" t="s">
        <v>123</v>
      </c>
      <c r="BL2819" t="str">
        <f>"2014.487468"</f>
        <v>2014.487468</v>
      </c>
      <c r="BM2819" t="s">
        <v>475</v>
      </c>
      <c r="BO2819" t="s">
        <v>18614</v>
      </c>
      <c r="BP2819" t="s">
        <v>18615</v>
      </c>
      <c r="BS2819">
        <v>30</v>
      </c>
      <c r="BW2819" t="str">
        <f>""</f>
        <v/>
      </c>
      <c r="CH2819" t="str">
        <f>""</f>
        <v/>
      </c>
      <c r="CS2819" t="str">
        <f>""</f>
        <v/>
      </c>
    </row>
    <row r="2820" spans="1:97" x14ac:dyDescent="0.25">
      <c r="A2820" t="s">
        <v>3089</v>
      </c>
      <c r="B2820" t="s">
        <v>18616</v>
      </c>
      <c r="C2820" t="s">
        <v>1959</v>
      </c>
      <c r="D2820" t="s">
        <v>18616</v>
      </c>
      <c r="E2820" t="s">
        <v>18617</v>
      </c>
      <c r="F2820" t="s">
        <v>108</v>
      </c>
      <c r="H2820" t="s">
        <v>18618</v>
      </c>
      <c r="I2820" t="s">
        <v>499</v>
      </c>
      <c r="J2820" t="s">
        <v>111</v>
      </c>
      <c r="K2820" t="str">
        <f>"85395"</f>
        <v>85395</v>
      </c>
      <c r="L2820" t="s">
        <v>5524</v>
      </c>
      <c r="M2820" t="s">
        <v>18618</v>
      </c>
      <c r="N2820" t="s">
        <v>499</v>
      </c>
      <c r="O2820" t="s">
        <v>111</v>
      </c>
      <c r="P2820" t="str">
        <f>"85395-8535"</f>
        <v>85395-8535</v>
      </c>
      <c r="Q2820" t="s">
        <v>113</v>
      </c>
      <c r="R2820" t="str">
        <f>"501-69-054"</f>
        <v>501-69-054</v>
      </c>
      <c r="S2820" t="s">
        <v>18619</v>
      </c>
      <c r="U2820">
        <v>2724</v>
      </c>
      <c r="V2820">
        <v>0</v>
      </c>
      <c r="W2820">
        <v>4</v>
      </c>
      <c r="X2820">
        <v>1993</v>
      </c>
      <c r="Z2820">
        <v>1</v>
      </c>
      <c r="AB2820">
        <v>0</v>
      </c>
      <c r="AC2820" t="s">
        <v>115</v>
      </c>
      <c r="AD2820">
        <v>2</v>
      </c>
      <c r="AE2820" t="s">
        <v>115</v>
      </c>
      <c r="AF2820">
        <v>0</v>
      </c>
      <c r="AG2820">
        <v>0</v>
      </c>
      <c r="AH2820" t="s">
        <v>116</v>
      </c>
      <c r="AI2820" s="1">
        <v>49451</v>
      </c>
      <c r="AJ2820" s="2">
        <v>0.11</v>
      </c>
      <c r="AK2820" s="1">
        <v>465951</v>
      </c>
      <c r="AL2820" t="s">
        <v>117</v>
      </c>
      <c r="AM2820" t="s">
        <v>118</v>
      </c>
      <c r="AN2820">
        <v>9515</v>
      </c>
      <c r="AO2820">
        <v>0.22</v>
      </c>
      <c r="AP2820">
        <v>1</v>
      </c>
      <c r="AR2820">
        <v>1</v>
      </c>
      <c r="AS2820" s="1">
        <v>31220</v>
      </c>
      <c r="AT2820" s="1">
        <v>6240</v>
      </c>
      <c r="AU2820" s="1">
        <v>24980</v>
      </c>
      <c r="AV2820">
        <v>80.010000000000005</v>
      </c>
      <c r="AX2820" s="1">
        <v>3559.14</v>
      </c>
      <c r="AY2820" t="s">
        <v>3020</v>
      </c>
      <c r="AZ2820" t="s">
        <v>3020</v>
      </c>
      <c r="BA2820" t="s">
        <v>3154</v>
      </c>
      <c r="BB2820" s="3">
        <v>42187</v>
      </c>
      <c r="BD2820" t="s">
        <v>842</v>
      </c>
      <c r="BE2820" s="3">
        <v>42187</v>
      </c>
      <c r="BF2820" s="1">
        <v>416500</v>
      </c>
      <c r="BG2820" t="s">
        <v>18620</v>
      </c>
      <c r="BH2820" s="1">
        <v>152.9</v>
      </c>
      <c r="BI2820" s="1">
        <v>416500</v>
      </c>
      <c r="BJ2820" s="3">
        <v>42187</v>
      </c>
      <c r="BK2820" t="s">
        <v>123</v>
      </c>
      <c r="BL2820" t="str">
        <f>"2015.480764"</f>
        <v>2015.480764</v>
      </c>
      <c r="BM2820" t="s">
        <v>18621</v>
      </c>
      <c r="BO2820" t="s">
        <v>18622</v>
      </c>
      <c r="BS2820">
        <v>30</v>
      </c>
      <c r="BW2820" t="str">
        <f>""</f>
        <v/>
      </c>
      <c r="CH2820" t="str">
        <f>""</f>
        <v/>
      </c>
      <c r="CS2820" t="str">
        <f>""</f>
        <v/>
      </c>
    </row>
    <row r="2821" spans="1:97" x14ac:dyDescent="0.25">
      <c r="A2821" t="s">
        <v>177</v>
      </c>
      <c r="B2821" t="s">
        <v>18623</v>
      </c>
      <c r="C2821" t="s">
        <v>496</v>
      </c>
      <c r="D2821" t="s">
        <v>18623</v>
      </c>
      <c r="E2821" t="s">
        <v>18624</v>
      </c>
      <c r="F2821" t="s">
        <v>108</v>
      </c>
      <c r="H2821" t="s">
        <v>18625</v>
      </c>
      <c r="I2821" t="s">
        <v>5114</v>
      </c>
      <c r="J2821" t="s">
        <v>111</v>
      </c>
      <c r="K2821" t="str">
        <f>"85392"</f>
        <v>85392</v>
      </c>
      <c r="L2821" t="s">
        <v>5687</v>
      </c>
      <c r="M2821" t="s">
        <v>18625</v>
      </c>
      <c r="N2821" t="s">
        <v>5114</v>
      </c>
      <c r="O2821" t="s">
        <v>111</v>
      </c>
      <c r="P2821" t="str">
        <f>"85392-3602"</f>
        <v>85392-3602</v>
      </c>
      <c r="Q2821" t="s">
        <v>113</v>
      </c>
      <c r="R2821" t="str">
        <f>"102-28-257"</f>
        <v>102-28-257</v>
      </c>
      <c r="S2821" t="s">
        <v>18626</v>
      </c>
      <c r="T2821" t="s">
        <v>13467</v>
      </c>
      <c r="U2821">
        <v>2223</v>
      </c>
      <c r="V2821">
        <v>0</v>
      </c>
      <c r="W2821">
        <v>3</v>
      </c>
      <c r="X2821">
        <v>1986</v>
      </c>
      <c r="Z2821">
        <v>1</v>
      </c>
      <c r="AA2821" t="s">
        <v>26</v>
      </c>
      <c r="AB2821">
        <v>0</v>
      </c>
      <c r="AC2821" t="s">
        <v>115</v>
      </c>
      <c r="AD2821">
        <v>2</v>
      </c>
      <c r="AE2821" t="s">
        <v>115</v>
      </c>
      <c r="AF2821">
        <v>0</v>
      </c>
      <c r="AG2821">
        <v>0</v>
      </c>
      <c r="AH2821" t="s">
        <v>116</v>
      </c>
      <c r="AI2821" s="1">
        <v>75025</v>
      </c>
      <c r="AJ2821" s="2">
        <v>0.2</v>
      </c>
      <c r="AK2821" s="1">
        <v>379489</v>
      </c>
      <c r="AL2821" t="s">
        <v>117</v>
      </c>
      <c r="AM2821" t="s">
        <v>118</v>
      </c>
      <c r="AN2821">
        <v>8655</v>
      </c>
      <c r="AO2821">
        <v>0.2</v>
      </c>
      <c r="AP2821">
        <v>1</v>
      </c>
      <c r="AR2821">
        <v>1</v>
      </c>
      <c r="AS2821" s="1">
        <v>27550</v>
      </c>
      <c r="AT2821" s="1">
        <v>5510</v>
      </c>
      <c r="AU2821" s="1">
        <v>22040</v>
      </c>
      <c r="AV2821">
        <v>80</v>
      </c>
      <c r="AX2821" s="1">
        <v>2993.38</v>
      </c>
      <c r="AY2821" t="s">
        <v>8084</v>
      </c>
      <c r="AZ2821" t="s">
        <v>8084</v>
      </c>
      <c r="BA2821" t="s">
        <v>5118</v>
      </c>
      <c r="BE2821" s="3">
        <v>42544</v>
      </c>
      <c r="BF2821" s="1">
        <v>325000</v>
      </c>
      <c r="BG2821" t="s">
        <v>18627</v>
      </c>
      <c r="BH2821" s="1">
        <v>146.19999999999999</v>
      </c>
      <c r="BI2821" s="1">
        <v>304464</v>
      </c>
      <c r="BJ2821" s="3">
        <v>42544</v>
      </c>
      <c r="BK2821" t="s">
        <v>123</v>
      </c>
      <c r="BL2821" t="str">
        <f>"2016.438879"</f>
        <v>2016.438879</v>
      </c>
      <c r="BM2821" t="s">
        <v>724</v>
      </c>
      <c r="BO2821" t="s">
        <v>18628</v>
      </c>
      <c r="BS2821">
        <v>30</v>
      </c>
      <c r="BW2821" t="str">
        <f>""</f>
        <v/>
      </c>
      <c r="CH2821" t="str">
        <f>""</f>
        <v/>
      </c>
      <c r="CS2821" t="str">
        <f>""</f>
        <v/>
      </c>
    </row>
    <row r="2822" spans="1:97" x14ac:dyDescent="0.25">
      <c r="A2822" t="s">
        <v>701</v>
      </c>
      <c r="B2822" t="s">
        <v>18629</v>
      </c>
      <c r="C2822" t="s">
        <v>703</v>
      </c>
      <c r="D2822" t="s">
        <v>18629</v>
      </c>
      <c r="E2822" t="s">
        <v>18630</v>
      </c>
      <c r="F2822" t="s">
        <v>108</v>
      </c>
      <c r="H2822" t="s">
        <v>18631</v>
      </c>
      <c r="I2822" t="s">
        <v>315</v>
      </c>
      <c r="J2822" t="s">
        <v>111</v>
      </c>
      <c r="K2822" t="str">
        <f>"85335"</f>
        <v>85335</v>
      </c>
      <c r="L2822" t="s">
        <v>2765</v>
      </c>
      <c r="M2822" t="s">
        <v>18631</v>
      </c>
      <c r="N2822" t="s">
        <v>315</v>
      </c>
      <c r="O2822" t="s">
        <v>111</v>
      </c>
      <c r="P2822" t="str">
        <f>"85335-7222"</f>
        <v>85335-7222</v>
      </c>
      <c r="Q2822" t="s">
        <v>113</v>
      </c>
      <c r="R2822" t="str">
        <f>"509-09-387"</f>
        <v>509-09-387</v>
      </c>
      <c r="S2822" t="s">
        <v>12673</v>
      </c>
      <c r="T2822" t="s">
        <v>12674</v>
      </c>
      <c r="U2822">
        <v>1972</v>
      </c>
      <c r="V2822">
        <v>0</v>
      </c>
      <c r="W2822">
        <v>3</v>
      </c>
      <c r="X2822">
        <v>2002</v>
      </c>
      <c r="Z2822">
        <v>1</v>
      </c>
      <c r="AA2822" t="s">
        <v>26</v>
      </c>
      <c r="AB2822">
        <v>0</v>
      </c>
      <c r="AC2822" t="s">
        <v>115</v>
      </c>
      <c r="AD2822">
        <v>2</v>
      </c>
      <c r="AE2822" t="s">
        <v>115</v>
      </c>
      <c r="AF2822">
        <v>0</v>
      </c>
      <c r="AG2822">
        <v>0</v>
      </c>
      <c r="AH2822" t="s">
        <v>116</v>
      </c>
      <c r="AI2822" s="1">
        <v>61168</v>
      </c>
      <c r="AJ2822" s="2">
        <v>0.23</v>
      </c>
      <c r="AK2822" s="1">
        <v>265702</v>
      </c>
      <c r="AL2822" t="s">
        <v>117</v>
      </c>
      <c r="AM2822" t="s">
        <v>319</v>
      </c>
      <c r="AN2822">
        <v>6720</v>
      </c>
      <c r="AO2822">
        <v>0.15</v>
      </c>
      <c r="AP2822">
        <v>1</v>
      </c>
      <c r="AR2822">
        <v>1</v>
      </c>
      <c r="AS2822" s="1">
        <v>18010</v>
      </c>
      <c r="AT2822" s="1">
        <v>3600</v>
      </c>
      <c r="AU2822" s="1">
        <v>14410</v>
      </c>
      <c r="AV2822">
        <v>80.010000000000005</v>
      </c>
      <c r="AX2822" s="1">
        <v>1435.9</v>
      </c>
      <c r="AY2822" t="s">
        <v>12675</v>
      </c>
      <c r="AZ2822" t="s">
        <v>12675</v>
      </c>
      <c r="BA2822" t="s">
        <v>635</v>
      </c>
      <c r="BE2822" s="3">
        <v>41918</v>
      </c>
      <c r="BF2822" s="1">
        <v>175000</v>
      </c>
      <c r="BG2822" t="s">
        <v>18632</v>
      </c>
      <c r="BH2822" s="1">
        <v>88.74</v>
      </c>
      <c r="BI2822" s="1">
        <v>204534</v>
      </c>
      <c r="BJ2822" s="3">
        <v>42695</v>
      </c>
      <c r="BK2822" t="s">
        <v>123</v>
      </c>
      <c r="BL2822" t="str">
        <f>"2016.857678"</f>
        <v>2016.857678</v>
      </c>
      <c r="BM2822" t="s">
        <v>1915</v>
      </c>
      <c r="BO2822" t="s">
        <v>18633</v>
      </c>
      <c r="BS2822">
        <v>30</v>
      </c>
      <c r="BW2822" t="str">
        <f>""</f>
        <v/>
      </c>
      <c r="CH2822" t="str">
        <f>""</f>
        <v/>
      </c>
      <c r="CS2822" t="str">
        <f>""</f>
        <v/>
      </c>
    </row>
    <row r="2823" spans="1:97" x14ac:dyDescent="0.25">
      <c r="A2823" t="s">
        <v>2429</v>
      </c>
      <c r="B2823" t="s">
        <v>18634</v>
      </c>
      <c r="C2823" t="s">
        <v>18635</v>
      </c>
      <c r="D2823" t="s">
        <v>18634</v>
      </c>
      <c r="E2823" t="s">
        <v>18636</v>
      </c>
      <c r="F2823" t="s">
        <v>108</v>
      </c>
      <c r="H2823" t="s">
        <v>18637</v>
      </c>
      <c r="I2823" t="s">
        <v>499</v>
      </c>
      <c r="J2823" t="s">
        <v>111</v>
      </c>
      <c r="K2823" t="str">
        <f>"85338"</f>
        <v>85338</v>
      </c>
      <c r="L2823" t="s">
        <v>6316</v>
      </c>
      <c r="M2823" t="s">
        <v>18637</v>
      </c>
      <c r="N2823" t="s">
        <v>499</v>
      </c>
      <c r="O2823" t="s">
        <v>111</v>
      </c>
      <c r="P2823" t="str">
        <f>"85338-9572"</f>
        <v>85338-9572</v>
      </c>
      <c r="Q2823" t="s">
        <v>113</v>
      </c>
      <c r="R2823" t="str">
        <f>"502-43-091"</f>
        <v>502-43-091</v>
      </c>
      <c r="S2823" t="s">
        <v>18638</v>
      </c>
      <c r="T2823" t="s">
        <v>18639</v>
      </c>
      <c r="U2823">
        <v>2812</v>
      </c>
      <c r="V2823">
        <v>0</v>
      </c>
      <c r="W2823">
        <v>2</v>
      </c>
      <c r="X2823">
        <v>1972</v>
      </c>
      <c r="Z2823">
        <v>1</v>
      </c>
      <c r="AB2823">
        <v>0</v>
      </c>
      <c r="AC2823" t="s">
        <v>115</v>
      </c>
      <c r="AD2823">
        <v>2</v>
      </c>
      <c r="AE2823" t="s">
        <v>115</v>
      </c>
      <c r="AF2823">
        <v>0</v>
      </c>
      <c r="AG2823">
        <v>0</v>
      </c>
      <c r="AH2823" t="s">
        <v>116</v>
      </c>
      <c r="AI2823" s="1">
        <v>40624</v>
      </c>
      <c r="AJ2823" s="2">
        <v>0.12</v>
      </c>
      <c r="AK2823" s="1">
        <v>335624</v>
      </c>
      <c r="AL2823" t="s">
        <v>117</v>
      </c>
      <c r="AM2823" t="s">
        <v>376</v>
      </c>
      <c r="AN2823">
        <v>44304</v>
      </c>
      <c r="AO2823">
        <v>1.02</v>
      </c>
      <c r="AP2823">
        <v>1</v>
      </c>
      <c r="AR2823">
        <v>1</v>
      </c>
      <c r="AS2823" s="1">
        <v>22660</v>
      </c>
      <c r="AT2823" s="1">
        <v>4530</v>
      </c>
      <c r="AU2823" s="1">
        <v>18130</v>
      </c>
      <c r="AV2823">
        <v>80.010000000000005</v>
      </c>
      <c r="AX2823" s="1">
        <v>1476.62</v>
      </c>
      <c r="AY2823" t="s">
        <v>6790</v>
      </c>
      <c r="AZ2823" t="s">
        <v>6790</v>
      </c>
      <c r="BA2823" t="s">
        <v>218</v>
      </c>
      <c r="BE2823" s="3">
        <v>42261</v>
      </c>
      <c r="BF2823" s="1">
        <v>295000</v>
      </c>
      <c r="BG2823" t="s">
        <v>18640</v>
      </c>
      <c r="BH2823" s="1">
        <v>104.91</v>
      </c>
      <c r="BI2823" s="1">
        <v>295000</v>
      </c>
      <c r="BJ2823" s="3">
        <v>42261</v>
      </c>
      <c r="BK2823" t="s">
        <v>123</v>
      </c>
      <c r="BL2823" t="str">
        <f>"2015.661962"</f>
        <v>2015.661962</v>
      </c>
      <c r="BM2823" t="s">
        <v>724</v>
      </c>
      <c r="BO2823" t="s">
        <v>18641</v>
      </c>
      <c r="BS2823">
        <v>30</v>
      </c>
      <c r="BW2823" t="str">
        <f>""</f>
        <v/>
      </c>
      <c r="CH2823" t="str">
        <f>""</f>
        <v/>
      </c>
      <c r="CS2823" t="str">
        <f>""</f>
        <v/>
      </c>
    </row>
    <row r="2824" spans="1:97" x14ac:dyDescent="0.25">
      <c r="A2824" t="s">
        <v>305</v>
      </c>
      <c r="B2824" t="s">
        <v>1552</v>
      </c>
      <c r="C2824" t="s">
        <v>767</v>
      </c>
      <c r="D2824" t="s">
        <v>1552</v>
      </c>
      <c r="E2824" t="s">
        <v>18642</v>
      </c>
      <c r="F2824" t="s">
        <v>108</v>
      </c>
      <c r="H2824" t="s">
        <v>18643</v>
      </c>
      <c r="I2824" t="s">
        <v>390</v>
      </c>
      <c r="J2824" t="s">
        <v>111</v>
      </c>
      <c r="K2824" t="str">
        <f>"85086"</f>
        <v>85086</v>
      </c>
      <c r="L2824" t="s">
        <v>688</v>
      </c>
      <c r="M2824" t="s">
        <v>18643</v>
      </c>
      <c r="N2824" t="s">
        <v>390</v>
      </c>
      <c r="O2824" t="s">
        <v>111</v>
      </c>
      <c r="P2824" t="str">
        <f>"85086-6700"</f>
        <v>85086-6700</v>
      </c>
      <c r="Q2824" t="s">
        <v>113</v>
      </c>
      <c r="R2824" t="str">
        <f>"203-11-234"</f>
        <v>203-11-234</v>
      </c>
      <c r="S2824" t="s">
        <v>18644</v>
      </c>
      <c r="U2824">
        <v>1827</v>
      </c>
      <c r="V2824">
        <v>0</v>
      </c>
      <c r="W2824">
        <v>3</v>
      </c>
      <c r="X2824">
        <v>2007</v>
      </c>
      <c r="Z2824">
        <v>1</v>
      </c>
      <c r="AB2824">
        <v>0</v>
      </c>
      <c r="AC2824" t="s">
        <v>115</v>
      </c>
      <c r="AD2824">
        <v>2</v>
      </c>
      <c r="AE2824" t="s">
        <v>115</v>
      </c>
      <c r="AF2824">
        <v>0</v>
      </c>
      <c r="AG2824">
        <v>0</v>
      </c>
      <c r="AH2824" t="s">
        <v>116</v>
      </c>
      <c r="AI2824" s="1">
        <v>22824</v>
      </c>
      <c r="AJ2824" s="2">
        <v>0.08</v>
      </c>
      <c r="AK2824" s="1">
        <v>303800</v>
      </c>
      <c r="AL2824" t="s">
        <v>117</v>
      </c>
      <c r="AM2824" t="s">
        <v>191</v>
      </c>
      <c r="AN2824">
        <v>6308</v>
      </c>
      <c r="AO2824">
        <v>0.14000000000000001</v>
      </c>
      <c r="AR2824">
        <v>1</v>
      </c>
      <c r="AS2824" s="1">
        <v>21460</v>
      </c>
      <c r="AT2824" s="1">
        <v>4290</v>
      </c>
      <c r="AU2824" s="1">
        <v>17170</v>
      </c>
      <c r="AV2824">
        <v>80.010000000000005</v>
      </c>
      <c r="AX2824" s="1">
        <v>2176.42</v>
      </c>
      <c r="AY2824" t="s">
        <v>5380</v>
      </c>
      <c r="AZ2824" t="s">
        <v>5380</v>
      </c>
      <c r="BA2824" t="s">
        <v>378</v>
      </c>
      <c r="BE2824" s="3">
        <v>42536</v>
      </c>
      <c r="BF2824" s="1">
        <v>260000</v>
      </c>
      <c r="BG2824" t="s">
        <v>18645</v>
      </c>
      <c r="BH2824" s="1">
        <v>142.31</v>
      </c>
      <c r="BI2824" s="1">
        <v>280976</v>
      </c>
      <c r="BJ2824" s="3">
        <v>43080</v>
      </c>
      <c r="BK2824" t="s">
        <v>123</v>
      </c>
      <c r="BL2824" t="str">
        <f>"2017.913914"</f>
        <v>2017.913914</v>
      </c>
      <c r="BM2824" t="s">
        <v>18646</v>
      </c>
      <c r="BO2824" t="s">
        <v>18647</v>
      </c>
      <c r="BS2824">
        <v>31</v>
      </c>
      <c r="BW2824" t="str">
        <f>""</f>
        <v/>
      </c>
      <c r="CH2824" t="str">
        <f>""</f>
        <v/>
      </c>
      <c r="CS2824" t="str">
        <f>""</f>
        <v/>
      </c>
    </row>
    <row r="2825" spans="1:97" x14ac:dyDescent="0.25">
      <c r="A2825" t="s">
        <v>18648</v>
      </c>
      <c r="B2825" t="s">
        <v>18649</v>
      </c>
      <c r="C2825" t="s">
        <v>13072</v>
      </c>
      <c r="D2825" t="s">
        <v>18649</v>
      </c>
      <c r="E2825" t="s">
        <v>18650</v>
      </c>
      <c r="F2825" t="s">
        <v>108</v>
      </c>
      <c r="H2825" t="s">
        <v>18651</v>
      </c>
      <c r="I2825" t="s">
        <v>2874</v>
      </c>
      <c r="J2825" t="s">
        <v>111</v>
      </c>
      <c r="K2825" t="str">
        <f>"85302"</f>
        <v>85302</v>
      </c>
      <c r="L2825" t="s">
        <v>6438</v>
      </c>
      <c r="M2825" t="s">
        <v>18651</v>
      </c>
      <c r="N2825" t="s">
        <v>2874</v>
      </c>
      <c r="O2825" t="s">
        <v>111</v>
      </c>
      <c r="P2825" t="str">
        <f>"85302-4841"</f>
        <v>85302-4841</v>
      </c>
      <c r="Q2825" t="s">
        <v>113</v>
      </c>
      <c r="R2825" t="str">
        <f>"148-20-055"</f>
        <v>148-20-055</v>
      </c>
      <c r="S2825" t="s">
        <v>18652</v>
      </c>
      <c r="T2825" t="s">
        <v>18653</v>
      </c>
      <c r="U2825">
        <v>1737</v>
      </c>
      <c r="V2825">
        <v>0</v>
      </c>
      <c r="W2825">
        <v>2</v>
      </c>
      <c r="X2825">
        <v>1978</v>
      </c>
      <c r="Z2825">
        <v>1</v>
      </c>
      <c r="AA2825" t="s">
        <v>26</v>
      </c>
      <c r="AB2825">
        <v>0</v>
      </c>
      <c r="AC2825" t="s">
        <v>115</v>
      </c>
      <c r="AD2825">
        <v>2</v>
      </c>
      <c r="AE2825" t="s">
        <v>115</v>
      </c>
      <c r="AF2825">
        <v>0</v>
      </c>
      <c r="AG2825">
        <v>0</v>
      </c>
      <c r="AH2825" t="s">
        <v>116</v>
      </c>
      <c r="AI2825" s="1">
        <v>52104</v>
      </c>
      <c r="AJ2825" s="2">
        <v>0.2</v>
      </c>
      <c r="AK2825" s="1">
        <v>259737</v>
      </c>
      <c r="AL2825" t="s">
        <v>117</v>
      </c>
      <c r="AM2825" t="s">
        <v>191</v>
      </c>
      <c r="AN2825">
        <v>7841</v>
      </c>
      <c r="AO2825">
        <v>0.18</v>
      </c>
      <c r="AP2825">
        <v>1</v>
      </c>
      <c r="AR2825">
        <v>1</v>
      </c>
      <c r="AS2825" s="1">
        <v>17800</v>
      </c>
      <c r="AT2825" s="1">
        <v>3560</v>
      </c>
      <c r="AU2825" s="1">
        <v>14240</v>
      </c>
      <c r="AV2825">
        <v>80</v>
      </c>
      <c r="AX2825" s="1">
        <v>1443.84</v>
      </c>
      <c r="AY2825" t="s">
        <v>6006</v>
      </c>
      <c r="AZ2825" t="s">
        <v>6006</v>
      </c>
      <c r="BA2825" t="s">
        <v>6007</v>
      </c>
      <c r="BE2825" s="3">
        <v>42307</v>
      </c>
      <c r="BF2825" s="1">
        <v>196000</v>
      </c>
      <c r="BG2825" t="s">
        <v>18654</v>
      </c>
      <c r="BH2825" s="1">
        <v>112.77</v>
      </c>
      <c r="BI2825" s="1">
        <v>207633</v>
      </c>
      <c r="BJ2825" s="3">
        <v>43056</v>
      </c>
      <c r="BK2825" t="s">
        <v>123</v>
      </c>
      <c r="BL2825" t="str">
        <f>"2017.855126"</f>
        <v>2017.855126</v>
      </c>
      <c r="BM2825" t="s">
        <v>361</v>
      </c>
      <c r="BO2825" t="s">
        <v>18655</v>
      </c>
      <c r="BS2825">
        <v>30</v>
      </c>
      <c r="BW2825" t="str">
        <f>""</f>
        <v/>
      </c>
      <c r="CH2825" t="str">
        <f>""</f>
        <v/>
      </c>
      <c r="CS2825" t="str">
        <f>""</f>
        <v/>
      </c>
    </row>
    <row r="2826" spans="1:97" x14ac:dyDescent="0.25">
      <c r="A2826" t="s">
        <v>894</v>
      </c>
      <c r="B2826" t="s">
        <v>7106</v>
      </c>
      <c r="E2826" t="s">
        <v>18656</v>
      </c>
      <c r="F2826" t="s">
        <v>108</v>
      </c>
      <c r="H2826" t="s">
        <v>18657</v>
      </c>
      <c r="I2826" t="s">
        <v>225</v>
      </c>
      <c r="J2826" t="s">
        <v>111</v>
      </c>
      <c r="K2826" t="str">
        <f>"85212"</f>
        <v>85212</v>
      </c>
      <c r="L2826" t="s">
        <v>681</v>
      </c>
      <c r="M2826" t="s">
        <v>18657</v>
      </c>
      <c r="N2826" t="s">
        <v>225</v>
      </c>
      <c r="O2826" t="s">
        <v>111</v>
      </c>
      <c r="P2826" t="str">
        <f>"85212-2388"</f>
        <v>85212-2388</v>
      </c>
      <c r="Q2826" t="s">
        <v>113</v>
      </c>
      <c r="R2826" t="str">
        <f>"309-19-131"</f>
        <v>309-19-131</v>
      </c>
      <c r="S2826" t="s">
        <v>14734</v>
      </c>
      <c r="U2826">
        <v>2490</v>
      </c>
      <c r="V2826">
        <v>0</v>
      </c>
      <c r="W2826">
        <v>4</v>
      </c>
      <c r="X2826">
        <v>1998</v>
      </c>
      <c r="Z2826">
        <v>2</v>
      </c>
      <c r="AB2826">
        <v>0</v>
      </c>
      <c r="AC2826" t="s">
        <v>115</v>
      </c>
      <c r="AD2826">
        <v>2</v>
      </c>
      <c r="AE2826" t="s">
        <v>115</v>
      </c>
      <c r="AF2826">
        <v>0</v>
      </c>
      <c r="AG2826">
        <v>0</v>
      </c>
      <c r="AH2826" t="s">
        <v>116</v>
      </c>
      <c r="AI2826" s="1">
        <v>68173</v>
      </c>
      <c r="AJ2826" s="2">
        <v>0.2</v>
      </c>
      <c r="AK2826" s="1">
        <v>340773</v>
      </c>
      <c r="AL2826" t="s">
        <v>117</v>
      </c>
      <c r="AM2826" t="s">
        <v>191</v>
      </c>
      <c r="AN2826">
        <v>8119</v>
      </c>
      <c r="AO2826">
        <v>0.19</v>
      </c>
      <c r="AP2826">
        <v>1</v>
      </c>
      <c r="AR2826">
        <v>1</v>
      </c>
      <c r="AS2826" s="1">
        <v>23510</v>
      </c>
      <c r="AT2826" s="1">
        <v>4700</v>
      </c>
      <c r="AU2826" s="1">
        <v>18810</v>
      </c>
      <c r="AV2826">
        <v>80.010000000000005</v>
      </c>
      <c r="AX2826" s="1">
        <v>1686.24</v>
      </c>
      <c r="AY2826" t="s">
        <v>7302</v>
      </c>
      <c r="AZ2826" t="s">
        <v>777</v>
      </c>
      <c r="BA2826" t="s">
        <v>572</v>
      </c>
      <c r="BE2826" s="3">
        <v>42166</v>
      </c>
      <c r="BF2826" s="1">
        <v>255000</v>
      </c>
      <c r="BG2826" t="s">
        <v>18658</v>
      </c>
      <c r="BH2826" s="1">
        <v>102.41</v>
      </c>
      <c r="BI2826" s="1">
        <v>272600</v>
      </c>
      <c r="BJ2826" s="3">
        <v>42823</v>
      </c>
      <c r="BK2826" t="s">
        <v>123</v>
      </c>
      <c r="BL2826" t="str">
        <f>"2017.218240"</f>
        <v>2017.218240</v>
      </c>
      <c r="BM2826" t="s">
        <v>750</v>
      </c>
      <c r="BO2826" t="s">
        <v>18659</v>
      </c>
      <c r="BS2826">
        <v>30</v>
      </c>
      <c r="BW2826" t="str">
        <f>""</f>
        <v/>
      </c>
      <c r="CH2826" t="str">
        <f>""</f>
        <v/>
      </c>
      <c r="CS2826" t="str">
        <f>""</f>
        <v/>
      </c>
    </row>
    <row r="2827" spans="1:97" x14ac:dyDescent="0.25">
      <c r="A2827" t="s">
        <v>152</v>
      </c>
      <c r="B2827" t="s">
        <v>7387</v>
      </c>
      <c r="C2827" t="s">
        <v>18660</v>
      </c>
      <c r="D2827" t="s">
        <v>18661</v>
      </c>
      <c r="E2827" t="s">
        <v>18662</v>
      </c>
      <c r="F2827" t="s">
        <v>108</v>
      </c>
      <c r="H2827" t="s">
        <v>18663</v>
      </c>
      <c r="I2827" t="s">
        <v>390</v>
      </c>
      <c r="J2827" t="s">
        <v>111</v>
      </c>
      <c r="K2827" t="str">
        <f>"85037"</f>
        <v>85037</v>
      </c>
      <c r="L2827" t="s">
        <v>5291</v>
      </c>
      <c r="M2827" t="s">
        <v>18663</v>
      </c>
      <c r="N2827" t="s">
        <v>390</v>
      </c>
      <c r="O2827" t="s">
        <v>111</v>
      </c>
      <c r="P2827" t="str">
        <f>"85037-4227"</f>
        <v>85037-4227</v>
      </c>
      <c r="Q2827" t="s">
        <v>113</v>
      </c>
      <c r="R2827" t="str">
        <f>"102-34-623"</f>
        <v>102-34-623</v>
      </c>
      <c r="S2827" t="s">
        <v>18664</v>
      </c>
      <c r="T2827" t="s">
        <v>18665</v>
      </c>
      <c r="U2827">
        <v>3017</v>
      </c>
      <c r="V2827">
        <v>0</v>
      </c>
      <c r="W2827">
        <v>3</v>
      </c>
      <c r="X2827">
        <v>2005</v>
      </c>
      <c r="Z2827">
        <v>2</v>
      </c>
      <c r="AB2827">
        <v>0</v>
      </c>
      <c r="AC2827" t="s">
        <v>115</v>
      </c>
      <c r="AD2827">
        <v>2</v>
      </c>
      <c r="AE2827" t="s">
        <v>115</v>
      </c>
      <c r="AF2827">
        <v>0</v>
      </c>
      <c r="AG2827">
        <v>0</v>
      </c>
      <c r="AH2827" t="s">
        <v>116</v>
      </c>
      <c r="AI2827" s="1">
        <v>41449</v>
      </c>
      <c r="AJ2827" s="2">
        <v>0.15</v>
      </c>
      <c r="AK2827" s="1">
        <v>281479</v>
      </c>
      <c r="AL2827" t="s">
        <v>117</v>
      </c>
      <c r="AM2827" t="s">
        <v>191</v>
      </c>
      <c r="AN2827">
        <v>5175</v>
      </c>
      <c r="AO2827">
        <v>0.12</v>
      </c>
      <c r="AR2827">
        <v>1</v>
      </c>
      <c r="AS2827" s="1">
        <v>18730</v>
      </c>
      <c r="AT2827" s="1">
        <v>3740</v>
      </c>
      <c r="AU2827" s="1">
        <v>14990</v>
      </c>
      <c r="AV2827">
        <v>80.03</v>
      </c>
      <c r="AX2827" s="1">
        <v>1804.64</v>
      </c>
      <c r="AY2827" t="s">
        <v>11279</v>
      </c>
      <c r="AZ2827" t="s">
        <v>11279</v>
      </c>
      <c r="BA2827" t="s">
        <v>11280</v>
      </c>
      <c r="BE2827" s="3">
        <v>42419</v>
      </c>
      <c r="BF2827" s="1">
        <v>227000</v>
      </c>
      <c r="BG2827" t="s">
        <v>18666</v>
      </c>
      <c r="BH2827" s="1">
        <v>75.239999999999995</v>
      </c>
      <c r="BI2827" s="1">
        <v>240030</v>
      </c>
      <c r="BJ2827" s="3">
        <v>42956</v>
      </c>
      <c r="BK2827" t="s">
        <v>123</v>
      </c>
      <c r="BL2827" t="str">
        <f>"2017.584147"</f>
        <v>2017.584147</v>
      </c>
      <c r="BM2827" t="s">
        <v>799</v>
      </c>
      <c r="BO2827" t="s">
        <v>18667</v>
      </c>
      <c r="BP2827" t="s">
        <v>18668</v>
      </c>
      <c r="BQ2827" t="str">
        <f>"2.7500%"</f>
        <v>2.7500%</v>
      </c>
      <c r="BR2827" t="s">
        <v>1480</v>
      </c>
      <c r="BS2827">
        <v>30</v>
      </c>
      <c r="BW2827" t="str">
        <f>""</f>
        <v/>
      </c>
      <c r="CH2827" t="str">
        <f>""</f>
        <v/>
      </c>
      <c r="CS2827" t="str">
        <f>""</f>
        <v/>
      </c>
    </row>
    <row r="2828" spans="1:97" x14ac:dyDescent="0.25">
      <c r="A2828" t="s">
        <v>311</v>
      </c>
      <c r="B2828" t="s">
        <v>3052</v>
      </c>
      <c r="C2828" t="s">
        <v>489</v>
      </c>
      <c r="D2828" t="s">
        <v>3052</v>
      </c>
      <c r="E2828" t="s">
        <v>18669</v>
      </c>
      <c r="F2828" t="s">
        <v>108</v>
      </c>
      <c r="H2828" t="s">
        <v>18670</v>
      </c>
      <c r="I2828" t="s">
        <v>390</v>
      </c>
      <c r="J2828" t="s">
        <v>111</v>
      </c>
      <c r="K2828" t="str">
        <f>"85032"</f>
        <v>85032</v>
      </c>
      <c r="L2828" t="s">
        <v>16284</v>
      </c>
      <c r="M2828" t="s">
        <v>18670</v>
      </c>
      <c r="N2828" t="s">
        <v>390</v>
      </c>
      <c r="O2828" t="s">
        <v>111</v>
      </c>
      <c r="P2828" t="str">
        <f>"85032-1185"</f>
        <v>85032-1185</v>
      </c>
      <c r="Q2828" t="s">
        <v>113</v>
      </c>
      <c r="R2828" t="str">
        <f>"214-02-152"</f>
        <v>214-02-152</v>
      </c>
      <c r="S2828" t="s">
        <v>18671</v>
      </c>
      <c r="T2828" t="s">
        <v>18672</v>
      </c>
      <c r="U2828">
        <v>1674</v>
      </c>
      <c r="V2828">
        <v>0</v>
      </c>
      <c r="W2828">
        <v>2</v>
      </c>
      <c r="X2828">
        <v>1985</v>
      </c>
      <c r="Z2828">
        <v>1</v>
      </c>
      <c r="AB2828">
        <v>0</v>
      </c>
      <c r="AC2828" t="s">
        <v>115</v>
      </c>
      <c r="AD2828">
        <v>2</v>
      </c>
      <c r="AE2828" t="s">
        <v>115</v>
      </c>
      <c r="AF2828">
        <v>0</v>
      </c>
      <c r="AG2828">
        <v>0</v>
      </c>
      <c r="AH2828" t="s">
        <v>116</v>
      </c>
      <c r="AI2828" s="1">
        <v>68210</v>
      </c>
      <c r="AJ2828" s="2">
        <v>0.23</v>
      </c>
      <c r="AK2828" s="1">
        <v>291442</v>
      </c>
      <c r="AL2828" t="s">
        <v>117</v>
      </c>
      <c r="AM2828" t="s">
        <v>191</v>
      </c>
      <c r="AN2828">
        <v>6271</v>
      </c>
      <c r="AO2828">
        <v>0.14000000000000001</v>
      </c>
      <c r="AP2828">
        <v>1</v>
      </c>
      <c r="AR2828">
        <v>1</v>
      </c>
      <c r="AS2828" s="1">
        <v>19530</v>
      </c>
      <c r="AT2828" s="1">
        <v>3900</v>
      </c>
      <c r="AU2828" s="1">
        <v>15630</v>
      </c>
      <c r="AV2828">
        <v>80.03</v>
      </c>
      <c r="AX2828" s="1">
        <v>1469.44</v>
      </c>
      <c r="AY2828" t="s">
        <v>16266</v>
      </c>
      <c r="AZ2828" t="s">
        <v>2550</v>
      </c>
      <c r="BA2828" t="s">
        <v>1318</v>
      </c>
      <c r="BE2828" s="3">
        <v>42237</v>
      </c>
      <c r="BF2828" s="1">
        <v>218000</v>
      </c>
      <c r="BG2828" t="s">
        <v>18673</v>
      </c>
      <c r="BH2828" s="1">
        <v>130.22999999999999</v>
      </c>
      <c r="BI2828" s="1">
        <v>223232</v>
      </c>
      <c r="BJ2828" s="3">
        <v>42237</v>
      </c>
      <c r="BK2828" t="s">
        <v>123</v>
      </c>
      <c r="BL2828" t="str">
        <f>"2015.606852"</f>
        <v>2015.606852</v>
      </c>
      <c r="BM2828" t="s">
        <v>2368</v>
      </c>
      <c r="BO2828" t="s">
        <v>18674</v>
      </c>
      <c r="BS2828">
        <v>30</v>
      </c>
      <c r="BW2828" t="str">
        <f>""</f>
        <v/>
      </c>
      <c r="CH2828" t="str">
        <f>""</f>
        <v/>
      </c>
      <c r="CS2828" t="str">
        <f>""</f>
        <v/>
      </c>
    </row>
    <row r="2829" spans="1:97" x14ac:dyDescent="0.25">
      <c r="A2829" t="s">
        <v>18675</v>
      </c>
      <c r="B2829" t="s">
        <v>348</v>
      </c>
      <c r="C2829" t="s">
        <v>2761</v>
      </c>
      <c r="D2829" t="s">
        <v>348</v>
      </c>
      <c r="E2829" t="s">
        <v>18676</v>
      </c>
      <c r="F2829" t="s">
        <v>108</v>
      </c>
      <c r="H2829" t="s">
        <v>18677</v>
      </c>
      <c r="I2829" t="s">
        <v>167</v>
      </c>
      <c r="J2829" t="s">
        <v>111</v>
      </c>
      <c r="K2829" t="str">
        <f>"85339"</f>
        <v>85339</v>
      </c>
      <c r="L2829" t="s">
        <v>2765</v>
      </c>
      <c r="M2829" t="s">
        <v>18677</v>
      </c>
      <c r="N2829" t="s">
        <v>167</v>
      </c>
      <c r="O2829" t="s">
        <v>111</v>
      </c>
      <c r="P2829" t="str">
        <f>"85339-2538"</f>
        <v>85339-2538</v>
      </c>
      <c r="Q2829" t="s">
        <v>113</v>
      </c>
      <c r="R2829" t="str">
        <f>"300-14-741"</f>
        <v>300-14-741</v>
      </c>
      <c r="S2829" t="s">
        <v>8158</v>
      </c>
      <c r="T2829" t="s">
        <v>8158</v>
      </c>
      <c r="U2829">
        <v>2522</v>
      </c>
      <c r="V2829">
        <v>0</v>
      </c>
      <c r="W2829">
        <v>3</v>
      </c>
      <c r="X2829">
        <v>2015</v>
      </c>
      <c r="Z2829">
        <v>1</v>
      </c>
      <c r="AB2829">
        <v>0</v>
      </c>
      <c r="AC2829" t="s">
        <v>115</v>
      </c>
      <c r="AD2829">
        <v>3</v>
      </c>
      <c r="AE2829" t="s">
        <v>115</v>
      </c>
      <c r="AF2829">
        <v>0</v>
      </c>
      <c r="AG2829">
        <v>0</v>
      </c>
      <c r="AH2829" t="s">
        <v>116</v>
      </c>
      <c r="AI2829" s="1">
        <v>46520</v>
      </c>
      <c r="AJ2829" s="2">
        <v>0.14000000000000001</v>
      </c>
      <c r="AK2829" s="1">
        <v>334649</v>
      </c>
      <c r="AL2829" t="s">
        <v>117</v>
      </c>
      <c r="AM2829" t="s">
        <v>191</v>
      </c>
      <c r="AN2829">
        <v>7112</v>
      </c>
      <c r="AO2829">
        <v>0.16</v>
      </c>
      <c r="AR2829">
        <v>1</v>
      </c>
      <c r="AS2829" s="1">
        <v>24880</v>
      </c>
      <c r="AT2829" s="1">
        <v>4970</v>
      </c>
      <c r="AU2829" s="1">
        <v>19910</v>
      </c>
      <c r="AV2829">
        <v>80.02</v>
      </c>
      <c r="AX2829" s="1">
        <v>3457.22</v>
      </c>
      <c r="AY2829" t="s">
        <v>8159</v>
      </c>
      <c r="AZ2829" t="s">
        <v>8159</v>
      </c>
      <c r="BA2829" t="s">
        <v>1661</v>
      </c>
      <c r="BE2829" s="3">
        <v>42153</v>
      </c>
      <c r="BF2829" s="1">
        <v>254919</v>
      </c>
      <c r="BG2829" t="s">
        <v>2289</v>
      </c>
      <c r="BH2829" s="1">
        <v>101.08</v>
      </c>
      <c r="BI2829" s="1">
        <v>265629</v>
      </c>
      <c r="BJ2829" s="3">
        <v>42153</v>
      </c>
      <c r="BK2829" t="s">
        <v>123</v>
      </c>
      <c r="BL2829" t="str">
        <f>"2015.379875"</f>
        <v>2015.379875</v>
      </c>
      <c r="BM2829" t="s">
        <v>2716</v>
      </c>
      <c r="BN2829" t="s">
        <v>13505</v>
      </c>
      <c r="BO2829" t="s">
        <v>18678</v>
      </c>
      <c r="BS2829">
        <v>30</v>
      </c>
      <c r="BT2829" s="1">
        <v>22500</v>
      </c>
      <c r="BU2829" s="3">
        <v>43532</v>
      </c>
      <c r="BW2829" t="str">
        <f>"2019.162763"</f>
        <v>2019.162763</v>
      </c>
      <c r="BX2829" t="s">
        <v>1948</v>
      </c>
      <c r="BY2829" t="s">
        <v>2988</v>
      </c>
      <c r="BZ2829" t="s">
        <v>18679</v>
      </c>
      <c r="CA2829" t="s">
        <v>18680</v>
      </c>
      <c r="CC2829" t="s">
        <v>346</v>
      </c>
      <c r="CH2829" t="str">
        <f>""</f>
        <v/>
      </c>
      <c r="CS2829" t="str">
        <f>""</f>
        <v/>
      </c>
    </row>
    <row r="2830" spans="1:97" x14ac:dyDescent="0.25">
      <c r="B2830" t="s">
        <v>18681</v>
      </c>
      <c r="E2830" t="s">
        <v>18681</v>
      </c>
      <c r="F2830" t="s">
        <v>108</v>
      </c>
      <c r="H2830" t="s">
        <v>18682</v>
      </c>
      <c r="I2830" t="s">
        <v>3150</v>
      </c>
      <c r="J2830" t="s">
        <v>111</v>
      </c>
      <c r="K2830" t="str">
        <f>"85340"</f>
        <v>85340</v>
      </c>
      <c r="L2830" t="s">
        <v>1789</v>
      </c>
      <c r="M2830" t="s">
        <v>18682</v>
      </c>
      <c r="N2830" t="s">
        <v>3150</v>
      </c>
      <c r="O2830" t="s">
        <v>111</v>
      </c>
      <c r="P2830" t="str">
        <f>"85340-5389"</f>
        <v>85340-5389</v>
      </c>
      <c r="Q2830" t="s">
        <v>113</v>
      </c>
      <c r="R2830" t="str">
        <f>"508-06-158"</f>
        <v>508-06-158</v>
      </c>
      <c r="S2830" t="s">
        <v>6579</v>
      </c>
      <c r="U2830">
        <v>3039</v>
      </c>
      <c r="V2830">
        <v>0</v>
      </c>
      <c r="W2830">
        <v>4</v>
      </c>
      <c r="X2830">
        <v>2002</v>
      </c>
      <c r="Z2830">
        <v>2</v>
      </c>
      <c r="AA2830" t="s">
        <v>26</v>
      </c>
      <c r="AB2830">
        <v>0</v>
      </c>
      <c r="AC2830" t="s">
        <v>115</v>
      </c>
      <c r="AD2830">
        <v>3</v>
      </c>
      <c r="AE2830" t="s">
        <v>115</v>
      </c>
      <c r="AF2830">
        <v>0</v>
      </c>
      <c r="AG2830">
        <v>0</v>
      </c>
      <c r="AH2830" t="s">
        <v>116</v>
      </c>
      <c r="AI2830" s="1">
        <v>91324</v>
      </c>
      <c r="AJ2830" s="2">
        <v>0.26</v>
      </c>
      <c r="AK2830" s="1">
        <v>349324</v>
      </c>
      <c r="AL2830" t="s">
        <v>117</v>
      </c>
      <c r="AM2830" t="s">
        <v>171</v>
      </c>
      <c r="AN2830">
        <v>6670</v>
      </c>
      <c r="AO2830">
        <v>0.15</v>
      </c>
      <c r="AP2830">
        <v>1</v>
      </c>
      <c r="AR2830">
        <v>1</v>
      </c>
      <c r="AS2830" s="1">
        <v>23350</v>
      </c>
      <c r="AT2830" s="1">
        <v>4670</v>
      </c>
      <c r="AU2830" s="1">
        <v>18680</v>
      </c>
      <c r="AV2830">
        <v>80</v>
      </c>
      <c r="AX2830" s="1">
        <v>2795.82</v>
      </c>
      <c r="AY2830" t="s">
        <v>6580</v>
      </c>
      <c r="AZ2830" t="s">
        <v>3153</v>
      </c>
      <c r="BA2830" t="s">
        <v>3154</v>
      </c>
      <c r="BB2830" s="3">
        <v>42067</v>
      </c>
      <c r="BD2830" t="s">
        <v>240</v>
      </c>
      <c r="BE2830" s="3">
        <v>42047</v>
      </c>
      <c r="BF2830" s="1">
        <v>258000</v>
      </c>
      <c r="BG2830" t="s">
        <v>18683</v>
      </c>
      <c r="BH2830" s="1">
        <v>84.9</v>
      </c>
      <c r="BI2830" s="1">
        <v>258000</v>
      </c>
      <c r="BJ2830" s="3">
        <v>42047</v>
      </c>
      <c r="BK2830" t="s">
        <v>123</v>
      </c>
      <c r="BL2830" t="str">
        <f>"2015.92965"</f>
        <v>2015.92965</v>
      </c>
      <c r="BM2830" t="s">
        <v>1998</v>
      </c>
      <c r="BO2830" t="s">
        <v>18684</v>
      </c>
      <c r="BP2830" t="s">
        <v>18685</v>
      </c>
      <c r="BS2830">
        <v>30</v>
      </c>
      <c r="BW2830" t="str">
        <f>""</f>
        <v/>
      </c>
      <c r="CH2830" t="str">
        <f>""</f>
        <v/>
      </c>
      <c r="CS2830" t="str">
        <f>""</f>
        <v/>
      </c>
    </row>
    <row r="2831" spans="1:97" x14ac:dyDescent="0.25">
      <c r="A2831" t="s">
        <v>140</v>
      </c>
      <c r="B2831" t="s">
        <v>18686</v>
      </c>
      <c r="C2831" t="s">
        <v>2976</v>
      </c>
      <c r="D2831" t="s">
        <v>18686</v>
      </c>
      <c r="E2831" t="s">
        <v>18687</v>
      </c>
      <c r="F2831" t="s">
        <v>108</v>
      </c>
      <c r="H2831" t="s">
        <v>18688</v>
      </c>
      <c r="I2831" t="s">
        <v>632</v>
      </c>
      <c r="J2831" t="s">
        <v>111</v>
      </c>
      <c r="K2831" t="str">
        <f>"85388"</f>
        <v>85388</v>
      </c>
      <c r="L2831" t="s">
        <v>3094</v>
      </c>
      <c r="M2831" t="s">
        <v>18688</v>
      </c>
      <c r="N2831" t="s">
        <v>632</v>
      </c>
      <c r="O2831" t="s">
        <v>111</v>
      </c>
      <c r="P2831" t="str">
        <f>"85388-7855"</f>
        <v>85388-7855</v>
      </c>
      <c r="Q2831" t="s">
        <v>113</v>
      </c>
      <c r="R2831" t="str">
        <f>"502-88-138"</f>
        <v>502-88-138</v>
      </c>
      <c r="S2831" t="s">
        <v>18689</v>
      </c>
      <c r="T2831" t="s">
        <v>12131</v>
      </c>
      <c r="U2831">
        <v>2615</v>
      </c>
      <c r="V2831">
        <v>0</v>
      </c>
      <c r="W2831">
        <v>4</v>
      </c>
      <c r="X2831">
        <v>2005</v>
      </c>
      <c r="Z2831">
        <v>2</v>
      </c>
      <c r="AB2831">
        <v>0</v>
      </c>
      <c r="AC2831" t="s">
        <v>115</v>
      </c>
      <c r="AD2831">
        <v>2</v>
      </c>
      <c r="AE2831" t="s">
        <v>115</v>
      </c>
      <c r="AF2831">
        <v>0</v>
      </c>
      <c r="AG2831">
        <v>0</v>
      </c>
      <c r="AH2831" t="s">
        <v>116</v>
      </c>
      <c r="AI2831" s="1">
        <v>76336</v>
      </c>
      <c r="AJ2831" s="2">
        <v>0.26</v>
      </c>
      <c r="AK2831" s="1">
        <v>296336</v>
      </c>
      <c r="AL2831" t="s">
        <v>117</v>
      </c>
      <c r="AM2831" t="s">
        <v>118</v>
      </c>
      <c r="AN2831">
        <v>6414</v>
      </c>
      <c r="AO2831">
        <v>0.15</v>
      </c>
      <c r="AR2831">
        <v>1</v>
      </c>
      <c r="AS2831" s="1">
        <v>19870</v>
      </c>
      <c r="AT2831" s="1">
        <v>3970</v>
      </c>
      <c r="AU2831" s="1">
        <v>15900</v>
      </c>
      <c r="AV2831">
        <v>80.02</v>
      </c>
      <c r="AX2831" s="1">
        <v>1551.98</v>
      </c>
      <c r="AY2831" t="s">
        <v>6262</v>
      </c>
      <c r="AZ2831" t="s">
        <v>6262</v>
      </c>
      <c r="BA2831" t="s">
        <v>5061</v>
      </c>
      <c r="BE2831" s="3">
        <v>42100</v>
      </c>
      <c r="BF2831" s="1">
        <v>220000</v>
      </c>
      <c r="BG2831" t="s">
        <v>18690</v>
      </c>
      <c r="BH2831" s="1">
        <v>84.13</v>
      </c>
      <c r="BI2831" s="1">
        <v>220000</v>
      </c>
      <c r="BJ2831" s="3">
        <v>42100</v>
      </c>
      <c r="BK2831" t="s">
        <v>123</v>
      </c>
      <c r="BL2831" t="str">
        <f>"2015.233337"</f>
        <v>2015.233337</v>
      </c>
      <c r="BM2831" t="s">
        <v>8916</v>
      </c>
      <c r="BO2831" t="s">
        <v>18691</v>
      </c>
      <c r="BS2831">
        <v>30</v>
      </c>
      <c r="BW2831" t="str">
        <f>""</f>
        <v/>
      </c>
      <c r="CH2831" t="str">
        <f>""</f>
        <v/>
      </c>
      <c r="CS2831" t="str">
        <f>""</f>
        <v/>
      </c>
    </row>
    <row r="2832" spans="1:97" x14ac:dyDescent="0.25">
      <c r="A2832" t="s">
        <v>12062</v>
      </c>
      <c r="B2832" t="s">
        <v>18692</v>
      </c>
      <c r="E2832" t="s">
        <v>18693</v>
      </c>
      <c r="F2832" t="s">
        <v>108</v>
      </c>
      <c r="H2832" t="s">
        <v>18694</v>
      </c>
      <c r="I2832" t="s">
        <v>390</v>
      </c>
      <c r="J2832" t="s">
        <v>111</v>
      </c>
      <c r="K2832" t="str">
        <f>"85053"</f>
        <v>85053</v>
      </c>
      <c r="L2832" t="s">
        <v>8199</v>
      </c>
      <c r="M2832" t="s">
        <v>18694</v>
      </c>
      <c r="N2832" t="s">
        <v>390</v>
      </c>
      <c r="O2832" t="s">
        <v>111</v>
      </c>
      <c r="P2832" t="str">
        <f>"85053-5829"</f>
        <v>85053-5829</v>
      </c>
      <c r="Q2832" t="s">
        <v>113</v>
      </c>
      <c r="R2832" t="str">
        <f>"207-07-530"</f>
        <v>207-07-530</v>
      </c>
      <c r="S2832" t="s">
        <v>18695</v>
      </c>
      <c r="T2832" t="s">
        <v>18696</v>
      </c>
      <c r="U2832">
        <v>1572</v>
      </c>
      <c r="V2832">
        <v>0</v>
      </c>
      <c r="W2832">
        <v>3</v>
      </c>
      <c r="X2832">
        <v>1979</v>
      </c>
      <c r="Z2832">
        <v>1</v>
      </c>
      <c r="AB2832">
        <v>0</v>
      </c>
      <c r="AC2832" t="s">
        <v>115</v>
      </c>
      <c r="AD2832">
        <v>2</v>
      </c>
      <c r="AE2832" t="s">
        <v>115</v>
      </c>
      <c r="AF2832">
        <v>0</v>
      </c>
      <c r="AG2832">
        <v>0</v>
      </c>
      <c r="AH2832" t="s">
        <v>116</v>
      </c>
      <c r="AI2832" s="1">
        <v>-4379</v>
      </c>
      <c r="AJ2832" s="2">
        <v>-0.02</v>
      </c>
      <c r="AK2832" s="1">
        <v>233211</v>
      </c>
      <c r="AL2832" t="s">
        <v>117</v>
      </c>
      <c r="AM2832" t="s">
        <v>171</v>
      </c>
      <c r="AN2832">
        <v>8831</v>
      </c>
      <c r="AO2832">
        <v>0.2</v>
      </c>
      <c r="AP2832">
        <v>1</v>
      </c>
      <c r="AR2832">
        <v>1</v>
      </c>
      <c r="AS2832" s="1">
        <v>17460</v>
      </c>
      <c r="AT2832" s="1">
        <v>3490</v>
      </c>
      <c r="AU2832" s="1">
        <v>13970</v>
      </c>
      <c r="AV2832">
        <v>80.010000000000005</v>
      </c>
      <c r="AX2832" s="1">
        <v>1299.98</v>
      </c>
      <c r="AY2832" t="s">
        <v>18697</v>
      </c>
      <c r="AZ2832" t="s">
        <v>2997</v>
      </c>
      <c r="BA2832" t="s">
        <v>2998</v>
      </c>
      <c r="BE2832" s="3">
        <v>42170</v>
      </c>
      <c r="BF2832" s="1">
        <v>130000</v>
      </c>
      <c r="BG2832" t="s">
        <v>18698</v>
      </c>
      <c r="BH2832" s="1">
        <v>82.7</v>
      </c>
      <c r="BI2832" s="1">
        <v>237590</v>
      </c>
      <c r="BJ2832" s="3">
        <v>43369</v>
      </c>
      <c r="BK2832" t="s">
        <v>123</v>
      </c>
      <c r="BL2832" t="str">
        <f>"2018.722035"</f>
        <v>2018.722035</v>
      </c>
      <c r="BM2832" t="s">
        <v>18699</v>
      </c>
      <c r="BN2832" t="s">
        <v>13886</v>
      </c>
      <c r="BO2832" t="s">
        <v>18700</v>
      </c>
      <c r="BR2832" t="s">
        <v>139</v>
      </c>
      <c r="BW2832" t="str">
        <f>""</f>
        <v/>
      </c>
      <c r="CH2832" t="str">
        <f>""</f>
        <v/>
      </c>
      <c r="CS2832" t="str">
        <f>""</f>
        <v/>
      </c>
    </row>
    <row r="2833" spans="1:97" x14ac:dyDescent="0.25">
      <c r="A2833" t="s">
        <v>2045</v>
      </c>
      <c r="B2833" t="s">
        <v>4729</v>
      </c>
      <c r="C2833" t="s">
        <v>18701</v>
      </c>
      <c r="D2833" t="s">
        <v>18702</v>
      </c>
      <c r="E2833" t="s">
        <v>18703</v>
      </c>
      <c r="F2833" t="s">
        <v>108</v>
      </c>
      <c r="H2833" t="s">
        <v>18704</v>
      </c>
      <c r="I2833" t="s">
        <v>203</v>
      </c>
      <c r="J2833" t="s">
        <v>111</v>
      </c>
      <c r="K2833" t="str">
        <f>"85296"</f>
        <v>85296</v>
      </c>
      <c r="L2833" t="s">
        <v>4467</v>
      </c>
      <c r="M2833" t="s">
        <v>18704</v>
      </c>
      <c r="N2833" t="s">
        <v>203</v>
      </c>
      <c r="O2833" t="s">
        <v>111</v>
      </c>
      <c r="P2833" t="str">
        <f>"85296-8963"</f>
        <v>85296-8963</v>
      </c>
      <c r="Q2833" t="s">
        <v>113</v>
      </c>
      <c r="R2833" t="str">
        <f>"309-15-059"</f>
        <v>309-15-059</v>
      </c>
      <c r="S2833" t="s">
        <v>12690</v>
      </c>
      <c r="T2833" t="s">
        <v>12690</v>
      </c>
      <c r="U2833">
        <v>2038</v>
      </c>
      <c r="V2833">
        <v>0</v>
      </c>
      <c r="W2833">
        <v>4</v>
      </c>
      <c r="X2833">
        <v>1998</v>
      </c>
      <c r="Z2833">
        <v>2</v>
      </c>
      <c r="AA2833" t="s">
        <v>26</v>
      </c>
      <c r="AB2833">
        <v>0</v>
      </c>
      <c r="AC2833" t="s">
        <v>115</v>
      </c>
      <c r="AD2833">
        <v>2</v>
      </c>
      <c r="AE2833" t="s">
        <v>115</v>
      </c>
      <c r="AF2833">
        <v>0</v>
      </c>
      <c r="AG2833">
        <v>0</v>
      </c>
      <c r="AH2833" t="s">
        <v>116</v>
      </c>
      <c r="AI2833" s="1">
        <v>56437</v>
      </c>
      <c r="AJ2833" s="2">
        <v>0.16</v>
      </c>
      <c r="AK2833" s="1">
        <v>352882</v>
      </c>
      <c r="AL2833" t="s">
        <v>117</v>
      </c>
      <c r="AM2833" t="s">
        <v>191</v>
      </c>
      <c r="AN2833">
        <v>8464</v>
      </c>
      <c r="AO2833">
        <v>0.19</v>
      </c>
      <c r="AP2833">
        <v>1</v>
      </c>
      <c r="AR2833">
        <v>1</v>
      </c>
      <c r="AS2833" s="1">
        <v>24970</v>
      </c>
      <c r="AT2833" s="1">
        <v>4990</v>
      </c>
      <c r="AU2833" s="1">
        <v>19980</v>
      </c>
      <c r="AV2833">
        <v>80.02</v>
      </c>
      <c r="AX2833" s="1">
        <v>1883.2</v>
      </c>
      <c r="AY2833" t="s">
        <v>5094</v>
      </c>
      <c r="AZ2833" t="s">
        <v>5094</v>
      </c>
      <c r="BA2833" t="s">
        <v>473</v>
      </c>
      <c r="BE2833" s="3">
        <v>42368</v>
      </c>
      <c r="BF2833" s="1">
        <v>290000</v>
      </c>
      <c r="BG2833" t="s">
        <v>18705</v>
      </c>
      <c r="BH2833" s="1">
        <v>142.30000000000001</v>
      </c>
      <c r="BI2833" s="1">
        <v>296445</v>
      </c>
      <c r="BJ2833" s="3">
        <v>42710</v>
      </c>
      <c r="BK2833" t="s">
        <v>123</v>
      </c>
      <c r="BL2833" t="str">
        <f>"2016.896702"</f>
        <v>2016.896702</v>
      </c>
      <c r="BM2833" t="s">
        <v>402</v>
      </c>
      <c r="BO2833" t="s">
        <v>18706</v>
      </c>
      <c r="BP2833" t="s">
        <v>18707</v>
      </c>
      <c r="BS2833">
        <v>30</v>
      </c>
      <c r="BW2833" t="str">
        <f>""</f>
        <v/>
      </c>
      <c r="CH2833" t="str">
        <f>""</f>
        <v/>
      </c>
      <c r="CS2833" t="str">
        <f>""</f>
        <v/>
      </c>
    </row>
    <row r="2834" spans="1:97" x14ac:dyDescent="0.25">
      <c r="B2834" t="s">
        <v>18708</v>
      </c>
      <c r="C2834" t="s">
        <v>933</v>
      </c>
      <c r="E2834" t="s">
        <v>18709</v>
      </c>
      <c r="F2834" t="s">
        <v>139</v>
      </c>
      <c r="H2834" t="s">
        <v>18710</v>
      </c>
      <c r="I2834" t="s">
        <v>203</v>
      </c>
      <c r="J2834" t="s">
        <v>111</v>
      </c>
      <c r="K2834" t="str">
        <f>"85234"</f>
        <v>85234</v>
      </c>
      <c r="L2834" t="s">
        <v>4259</v>
      </c>
      <c r="M2834" t="s">
        <v>18710</v>
      </c>
      <c r="N2834" t="s">
        <v>203</v>
      </c>
      <c r="O2834" t="s">
        <v>111</v>
      </c>
      <c r="P2834" t="str">
        <f>"85234-7838"</f>
        <v>85234-7838</v>
      </c>
      <c r="Q2834" t="s">
        <v>113</v>
      </c>
      <c r="R2834" t="str">
        <f>"313-12-292"</f>
        <v>313-12-292</v>
      </c>
      <c r="S2834" t="s">
        <v>18711</v>
      </c>
      <c r="T2834" t="s">
        <v>18711</v>
      </c>
      <c r="U2834">
        <v>2292</v>
      </c>
      <c r="V2834">
        <v>0</v>
      </c>
      <c r="W2834">
        <v>4</v>
      </c>
      <c r="X2834">
        <v>2005</v>
      </c>
      <c r="Z2834">
        <v>2</v>
      </c>
      <c r="AB2834">
        <v>0</v>
      </c>
      <c r="AC2834" t="s">
        <v>115</v>
      </c>
      <c r="AD2834">
        <v>2</v>
      </c>
      <c r="AE2834" t="s">
        <v>115</v>
      </c>
      <c r="AF2834">
        <v>0</v>
      </c>
      <c r="AG2834">
        <v>0</v>
      </c>
      <c r="AH2834" t="s">
        <v>116</v>
      </c>
      <c r="AI2834" s="1">
        <v>82153</v>
      </c>
      <c r="AJ2834" s="2">
        <v>0.27</v>
      </c>
      <c r="AK2834" s="1">
        <v>308380</v>
      </c>
      <c r="AL2834" t="s">
        <v>117</v>
      </c>
      <c r="AM2834" t="s">
        <v>288</v>
      </c>
      <c r="AN2834">
        <v>3804</v>
      </c>
      <c r="AO2834">
        <v>0.87</v>
      </c>
      <c r="AR2834">
        <v>1</v>
      </c>
      <c r="AS2834" s="1">
        <v>20860</v>
      </c>
      <c r="AT2834" s="1">
        <v>4170</v>
      </c>
      <c r="AU2834" s="1">
        <v>16690</v>
      </c>
      <c r="AV2834">
        <v>80.010000000000005</v>
      </c>
      <c r="AX2834" s="1">
        <v>1404.7</v>
      </c>
      <c r="AY2834" t="s">
        <v>7213</v>
      </c>
      <c r="AZ2834" t="s">
        <v>571</v>
      </c>
      <c r="BA2834" t="s">
        <v>521</v>
      </c>
      <c r="BB2834" s="3">
        <v>43525</v>
      </c>
      <c r="BC2834" s="1">
        <v>0</v>
      </c>
      <c r="BD2834" t="s">
        <v>247</v>
      </c>
      <c r="BE2834" s="3">
        <v>42391</v>
      </c>
      <c r="BF2834" s="1">
        <v>220000</v>
      </c>
      <c r="BG2834" t="s">
        <v>18712</v>
      </c>
      <c r="BH2834" s="1">
        <v>95.99</v>
      </c>
      <c r="BI2834" s="1">
        <v>226227</v>
      </c>
      <c r="BJ2834" s="3">
        <v>42391</v>
      </c>
      <c r="BK2834" t="s">
        <v>123</v>
      </c>
      <c r="BL2834" t="str">
        <f>"2016.44875"</f>
        <v>2016.44875</v>
      </c>
      <c r="BM2834" t="s">
        <v>724</v>
      </c>
      <c r="BN2834" t="s">
        <v>5423</v>
      </c>
      <c r="BO2834" t="s">
        <v>18713</v>
      </c>
      <c r="BS2834">
        <v>30</v>
      </c>
      <c r="BW2834" t="str">
        <f>""</f>
        <v/>
      </c>
      <c r="CH2834" t="str">
        <f>""</f>
        <v/>
      </c>
      <c r="CS2834" t="str">
        <f>""</f>
        <v/>
      </c>
    </row>
    <row r="2835" spans="1:97" x14ac:dyDescent="0.25">
      <c r="A2835" t="s">
        <v>18714</v>
      </c>
      <c r="B2835" t="s">
        <v>18715</v>
      </c>
      <c r="C2835" t="s">
        <v>1735</v>
      </c>
      <c r="D2835" t="s">
        <v>18715</v>
      </c>
      <c r="E2835" t="s">
        <v>18716</v>
      </c>
      <c r="F2835" t="s">
        <v>108</v>
      </c>
      <c r="H2835" t="s">
        <v>18717</v>
      </c>
      <c r="I2835" t="s">
        <v>203</v>
      </c>
      <c r="J2835" t="s">
        <v>111</v>
      </c>
      <c r="K2835" t="str">
        <f>"85234"</f>
        <v>85234</v>
      </c>
      <c r="L2835" t="s">
        <v>4259</v>
      </c>
      <c r="M2835" t="s">
        <v>18717</v>
      </c>
      <c r="N2835" t="s">
        <v>203</v>
      </c>
      <c r="O2835" t="s">
        <v>111</v>
      </c>
      <c r="P2835" t="str">
        <f>"85234-7845"</f>
        <v>85234-7845</v>
      </c>
      <c r="Q2835" t="s">
        <v>113</v>
      </c>
      <c r="R2835" t="str">
        <f>"313-12-206"</f>
        <v>313-12-206</v>
      </c>
      <c r="S2835" t="s">
        <v>18711</v>
      </c>
      <c r="T2835" t="s">
        <v>18711</v>
      </c>
      <c r="U2835">
        <v>1882</v>
      </c>
      <c r="V2835">
        <v>0</v>
      </c>
      <c r="W2835">
        <v>3</v>
      </c>
      <c r="X2835">
        <v>2015</v>
      </c>
      <c r="Z2835">
        <v>2</v>
      </c>
      <c r="AB2835">
        <v>0</v>
      </c>
      <c r="AC2835" t="s">
        <v>115</v>
      </c>
      <c r="AD2835">
        <v>2</v>
      </c>
      <c r="AE2835" t="s">
        <v>115</v>
      </c>
      <c r="AF2835">
        <v>0</v>
      </c>
      <c r="AG2835">
        <v>0</v>
      </c>
      <c r="AH2835" t="s">
        <v>116</v>
      </c>
      <c r="AI2835" s="1">
        <v>66498</v>
      </c>
      <c r="AJ2835" s="2">
        <v>0.23</v>
      </c>
      <c r="AK2835" s="1">
        <v>291228</v>
      </c>
      <c r="AL2835" t="s">
        <v>117</v>
      </c>
      <c r="AM2835" t="s">
        <v>288</v>
      </c>
      <c r="AN2835">
        <v>2655</v>
      </c>
      <c r="AO2835">
        <v>0.61</v>
      </c>
      <c r="AR2835">
        <v>1</v>
      </c>
      <c r="AS2835" s="1">
        <v>19120</v>
      </c>
      <c r="AT2835" s="1">
        <v>3820</v>
      </c>
      <c r="AU2835" s="1">
        <v>15300</v>
      </c>
      <c r="AV2835">
        <v>80.02</v>
      </c>
      <c r="AX2835" s="1">
        <v>1253.08</v>
      </c>
      <c r="AY2835" t="s">
        <v>7213</v>
      </c>
      <c r="AZ2835" t="s">
        <v>571</v>
      </c>
      <c r="BA2835" t="s">
        <v>521</v>
      </c>
      <c r="BE2835" s="3">
        <v>42354</v>
      </c>
      <c r="BF2835" s="1">
        <v>220000</v>
      </c>
      <c r="BG2835" t="s">
        <v>233</v>
      </c>
      <c r="BH2835" s="1">
        <v>116.9</v>
      </c>
      <c r="BI2835" s="1">
        <v>224730</v>
      </c>
      <c r="BJ2835" s="3">
        <v>42354</v>
      </c>
      <c r="BK2835" t="s">
        <v>123</v>
      </c>
      <c r="BL2835" t="str">
        <f>"2015.889000"</f>
        <v>2015.889000</v>
      </c>
      <c r="BM2835" t="s">
        <v>594</v>
      </c>
      <c r="BO2835" t="s">
        <v>18718</v>
      </c>
      <c r="BS2835">
        <v>30</v>
      </c>
      <c r="BW2835" t="str">
        <f>""</f>
        <v/>
      </c>
      <c r="CH2835" t="str">
        <f>""</f>
        <v/>
      </c>
      <c r="CS2835" t="str">
        <f>""</f>
        <v/>
      </c>
    </row>
    <row r="2836" spans="1:97" x14ac:dyDescent="0.25">
      <c r="A2836" t="s">
        <v>1344</v>
      </c>
      <c r="B2836" t="s">
        <v>18719</v>
      </c>
      <c r="E2836" t="s">
        <v>18720</v>
      </c>
      <c r="F2836" t="s">
        <v>108</v>
      </c>
      <c r="H2836" t="s">
        <v>18721</v>
      </c>
      <c r="I2836" t="s">
        <v>225</v>
      </c>
      <c r="J2836" t="s">
        <v>111</v>
      </c>
      <c r="K2836" t="str">
        <f>"85209"</f>
        <v>85209</v>
      </c>
      <c r="L2836" t="s">
        <v>3885</v>
      </c>
      <c r="M2836" t="s">
        <v>18721</v>
      </c>
      <c r="N2836" t="s">
        <v>225</v>
      </c>
      <c r="O2836" t="s">
        <v>111</v>
      </c>
      <c r="P2836" t="str">
        <f>"85209-5333"</f>
        <v>85209-5333</v>
      </c>
      <c r="Q2836" t="s">
        <v>113</v>
      </c>
      <c r="R2836" t="str">
        <f>"312-03-722"</f>
        <v>312-03-722</v>
      </c>
      <c r="S2836" t="s">
        <v>18722</v>
      </c>
      <c r="T2836" t="s">
        <v>18723</v>
      </c>
      <c r="U2836">
        <v>1990</v>
      </c>
      <c r="V2836">
        <v>0</v>
      </c>
      <c r="W2836">
        <v>3</v>
      </c>
      <c r="X2836">
        <v>2000</v>
      </c>
      <c r="Z2836">
        <v>2</v>
      </c>
      <c r="AB2836">
        <v>0</v>
      </c>
      <c r="AC2836" t="s">
        <v>115</v>
      </c>
      <c r="AD2836">
        <v>2</v>
      </c>
      <c r="AE2836" t="s">
        <v>115</v>
      </c>
      <c r="AF2836">
        <v>0</v>
      </c>
      <c r="AG2836">
        <v>0</v>
      </c>
      <c r="AH2836" t="s">
        <v>116</v>
      </c>
      <c r="AI2836" s="1">
        <v>55367</v>
      </c>
      <c r="AJ2836" s="2">
        <v>0.2</v>
      </c>
      <c r="AK2836" s="1">
        <v>277165</v>
      </c>
      <c r="AL2836" t="s">
        <v>117</v>
      </c>
      <c r="AM2836" t="s">
        <v>229</v>
      </c>
      <c r="AN2836">
        <v>3840</v>
      </c>
      <c r="AO2836">
        <v>0.88</v>
      </c>
      <c r="AP2836">
        <v>1</v>
      </c>
      <c r="AR2836">
        <v>1</v>
      </c>
      <c r="AS2836" s="1">
        <v>18460</v>
      </c>
      <c r="AT2836" s="1">
        <v>3690</v>
      </c>
      <c r="AU2836" s="1">
        <v>14770</v>
      </c>
      <c r="AV2836">
        <v>80.010000000000005</v>
      </c>
      <c r="AX2836" s="1">
        <v>1232.1400000000001</v>
      </c>
      <c r="AY2836" t="s">
        <v>570</v>
      </c>
      <c r="AZ2836" t="s">
        <v>777</v>
      </c>
      <c r="BA2836" t="s">
        <v>572</v>
      </c>
      <c r="BE2836" s="3">
        <v>42247</v>
      </c>
      <c r="BF2836" s="1">
        <v>214000</v>
      </c>
      <c r="BG2836" t="s">
        <v>18724</v>
      </c>
      <c r="BH2836" s="1">
        <v>107.54</v>
      </c>
      <c r="BI2836" s="1">
        <v>221798</v>
      </c>
      <c r="BJ2836" s="3">
        <v>42576</v>
      </c>
      <c r="BK2836" t="s">
        <v>123</v>
      </c>
      <c r="BL2836" t="str">
        <f>"2016.521817"</f>
        <v>2016.521817</v>
      </c>
      <c r="BM2836" t="s">
        <v>1544</v>
      </c>
      <c r="BO2836" t="s">
        <v>18725</v>
      </c>
      <c r="BS2836">
        <v>30</v>
      </c>
      <c r="BW2836" t="str">
        <f>""</f>
        <v/>
      </c>
      <c r="CH2836" t="str">
        <f>""</f>
        <v/>
      </c>
      <c r="CS2836" t="str">
        <f>""</f>
        <v/>
      </c>
    </row>
    <row r="2837" spans="1:97" x14ac:dyDescent="0.25">
      <c r="A2837" t="s">
        <v>984</v>
      </c>
      <c r="B2837" t="s">
        <v>4527</v>
      </c>
      <c r="C2837" t="s">
        <v>2281</v>
      </c>
      <c r="D2837" t="s">
        <v>4527</v>
      </c>
      <c r="E2837" t="s">
        <v>18726</v>
      </c>
      <c r="F2837" t="s">
        <v>108</v>
      </c>
      <c r="H2837" t="s">
        <v>18727</v>
      </c>
      <c r="I2837" t="s">
        <v>453</v>
      </c>
      <c r="J2837" t="s">
        <v>111</v>
      </c>
      <c r="K2837" t="str">
        <f>"85381"</f>
        <v>85381</v>
      </c>
      <c r="L2837" t="s">
        <v>8543</v>
      </c>
      <c r="M2837" t="s">
        <v>18727</v>
      </c>
      <c r="N2837" t="s">
        <v>453</v>
      </c>
      <c r="O2837" t="s">
        <v>111</v>
      </c>
      <c r="P2837" t="str">
        <f>"85381-8545"</f>
        <v>85381-8545</v>
      </c>
      <c r="Q2837" t="s">
        <v>113</v>
      </c>
      <c r="R2837" t="str">
        <f>"200-62-485"</f>
        <v>200-62-485</v>
      </c>
      <c r="S2837" t="s">
        <v>18728</v>
      </c>
      <c r="T2837" t="s">
        <v>18729</v>
      </c>
      <c r="U2837">
        <v>1893</v>
      </c>
      <c r="V2837">
        <v>0</v>
      </c>
      <c r="W2837">
        <v>3</v>
      </c>
      <c r="X2837">
        <v>1992</v>
      </c>
      <c r="Z2837">
        <v>2</v>
      </c>
      <c r="AB2837">
        <v>0</v>
      </c>
      <c r="AC2837" t="s">
        <v>115</v>
      </c>
      <c r="AD2837">
        <v>2</v>
      </c>
      <c r="AE2837" t="s">
        <v>115</v>
      </c>
      <c r="AF2837">
        <v>0</v>
      </c>
      <c r="AG2837">
        <v>0</v>
      </c>
      <c r="AH2837" t="s">
        <v>116</v>
      </c>
      <c r="AI2837" s="1">
        <v>44046</v>
      </c>
      <c r="AJ2837" s="2">
        <v>0.15</v>
      </c>
      <c r="AK2837" s="1">
        <v>294819</v>
      </c>
      <c r="AL2837" t="s">
        <v>117</v>
      </c>
      <c r="AM2837" t="s">
        <v>3345</v>
      </c>
      <c r="AN2837">
        <v>7333</v>
      </c>
      <c r="AO2837">
        <v>0.17</v>
      </c>
      <c r="AP2837">
        <v>1</v>
      </c>
      <c r="AR2837">
        <v>1</v>
      </c>
      <c r="AS2837" s="1">
        <v>19300</v>
      </c>
      <c r="AT2837" s="1">
        <v>3860</v>
      </c>
      <c r="AU2837" s="1">
        <v>15440</v>
      </c>
      <c r="AV2837">
        <v>80</v>
      </c>
      <c r="AX2837" s="1">
        <v>1600.76</v>
      </c>
      <c r="AY2837" t="s">
        <v>1799</v>
      </c>
      <c r="AZ2837" t="s">
        <v>1799</v>
      </c>
      <c r="BA2837" t="s">
        <v>1800</v>
      </c>
      <c r="BE2837" s="3">
        <v>42144</v>
      </c>
      <c r="BF2837" s="1">
        <v>235000</v>
      </c>
      <c r="BG2837" t="s">
        <v>18730</v>
      </c>
      <c r="BH2837" s="1">
        <v>124.14</v>
      </c>
      <c r="BI2837" s="1">
        <v>250773</v>
      </c>
      <c r="BJ2837" s="3">
        <v>42975</v>
      </c>
      <c r="BK2837" t="s">
        <v>123</v>
      </c>
      <c r="BL2837" t="str">
        <f>"2017.631667"</f>
        <v>2017.631667</v>
      </c>
      <c r="BM2837" t="s">
        <v>15109</v>
      </c>
      <c r="BO2837" t="s">
        <v>18731</v>
      </c>
      <c r="BQ2837" t="str">
        <f>"2.2500%"</f>
        <v>2.2500%</v>
      </c>
      <c r="BR2837" t="s">
        <v>1480</v>
      </c>
      <c r="BS2837">
        <v>30</v>
      </c>
      <c r="BW2837" t="str">
        <f>""</f>
        <v/>
      </c>
      <c r="CH2837" t="str">
        <f>""</f>
        <v/>
      </c>
      <c r="CS2837" t="str">
        <f>""</f>
        <v/>
      </c>
    </row>
    <row r="2838" spans="1:97" x14ac:dyDescent="0.25">
      <c r="A2838" t="s">
        <v>13079</v>
      </c>
      <c r="B2838" t="s">
        <v>4098</v>
      </c>
      <c r="C2838" t="s">
        <v>5375</v>
      </c>
      <c r="D2838" t="s">
        <v>4098</v>
      </c>
      <c r="E2838" t="s">
        <v>18732</v>
      </c>
      <c r="F2838" t="s">
        <v>108</v>
      </c>
      <c r="H2838" t="s">
        <v>18733</v>
      </c>
      <c r="I2838" t="s">
        <v>499</v>
      </c>
      <c r="J2838" t="s">
        <v>111</v>
      </c>
      <c r="K2838" t="str">
        <f>"85338"</f>
        <v>85338</v>
      </c>
      <c r="L2838" t="s">
        <v>5775</v>
      </c>
      <c r="M2838" t="s">
        <v>18733</v>
      </c>
      <c r="N2838" t="s">
        <v>499</v>
      </c>
      <c r="O2838" t="s">
        <v>111</v>
      </c>
      <c r="P2838" t="str">
        <f>"85338-3240"</f>
        <v>85338-3240</v>
      </c>
      <c r="Q2838" t="s">
        <v>113</v>
      </c>
      <c r="R2838" t="str">
        <f>"500-10-589"</f>
        <v>500-10-589</v>
      </c>
      <c r="S2838" t="s">
        <v>9551</v>
      </c>
      <c r="T2838" t="s">
        <v>9551</v>
      </c>
      <c r="U2838">
        <v>3114</v>
      </c>
      <c r="V2838">
        <v>0</v>
      </c>
      <c r="W2838">
        <v>6</v>
      </c>
      <c r="X2838">
        <v>2016</v>
      </c>
      <c r="Z2838">
        <v>2</v>
      </c>
      <c r="AB2838">
        <v>0</v>
      </c>
      <c r="AC2838" t="s">
        <v>115</v>
      </c>
      <c r="AD2838">
        <v>2</v>
      </c>
      <c r="AE2838" t="s">
        <v>115</v>
      </c>
      <c r="AF2838">
        <v>0</v>
      </c>
      <c r="AG2838">
        <v>0</v>
      </c>
      <c r="AH2838" t="s">
        <v>116</v>
      </c>
      <c r="AI2838" s="1">
        <v>54410</v>
      </c>
      <c r="AJ2838" s="2">
        <v>0.15</v>
      </c>
      <c r="AK2838" s="1">
        <v>366478</v>
      </c>
      <c r="AL2838" t="s">
        <v>117</v>
      </c>
      <c r="AM2838" t="s">
        <v>118</v>
      </c>
      <c r="AN2838">
        <v>6900</v>
      </c>
      <c r="AO2838">
        <v>0.16</v>
      </c>
      <c r="AR2838">
        <v>1</v>
      </c>
      <c r="AS2838" s="1">
        <v>26280</v>
      </c>
      <c r="AT2838" s="1">
        <v>5250</v>
      </c>
      <c r="AU2838" s="1">
        <v>21030</v>
      </c>
      <c r="AV2838">
        <v>80.02</v>
      </c>
      <c r="AX2838" s="1">
        <v>2564.42</v>
      </c>
      <c r="AY2838" t="s">
        <v>4311</v>
      </c>
      <c r="AZ2838" t="s">
        <v>4311</v>
      </c>
      <c r="BA2838" t="s">
        <v>7186</v>
      </c>
      <c r="BE2838" s="3">
        <v>42474</v>
      </c>
      <c r="BF2838" s="1">
        <v>305500</v>
      </c>
      <c r="BG2838" t="s">
        <v>158</v>
      </c>
      <c r="BH2838" s="1">
        <v>98.11</v>
      </c>
      <c r="BI2838" s="1">
        <v>312068</v>
      </c>
      <c r="BJ2838" s="3">
        <v>42474</v>
      </c>
      <c r="BK2838" t="s">
        <v>123</v>
      </c>
      <c r="BL2838" t="str">
        <f>"2016.247583"</f>
        <v>2016.247583</v>
      </c>
      <c r="BM2838" t="s">
        <v>475</v>
      </c>
      <c r="BO2838" t="s">
        <v>18734</v>
      </c>
      <c r="BS2838">
        <v>30</v>
      </c>
      <c r="BW2838" t="str">
        <f>""</f>
        <v/>
      </c>
      <c r="CH2838" t="str">
        <f>""</f>
        <v/>
      </c>
      <c r="CS2838" t="str">
        <f>""</f>
        <v/>
      </c>
    </row>
    <row r="2839" spans="1:97" x14ac:dyDescent="0.25">
      <c r="A2839" t="s">
        <v>1850</v>
      </c>
      <c r="B2839" t="s">
        <v>10785</v>
      </c>
      <c r="C2839" t="s">
        <v>18735</v>
      </c>
      <c r="D2839" t="s">
        <v>10785</v>
      </c>
      <c r="E2839" t="s">
        <v>18736</v>
      </c>
      <c r="F2839" t="s">
        <v>108</v>
      </c>
      <c r="H2839" t="s">
        <v>18737</v>
      </c>
      <c r="I2839" t="s">
        <v>499</v>
      </c>
      <c r="J2839" t="s">
        <v>111</v>
      </c>
      <c r="K2839" t="str">
        <f>"85338"</f>
        <v>85338</v>
      </c>
      <c r="L2839" t="s">
        <v>7339</v>
      </c>
      <c r="M2839" t="s">
        <v>18737</v>
      </c>
      <c r="N2839" t="s">
        <v>499</v>
      </c>
      <c r="O2839" t="s">
        <v>111</v>
      </c>
      <c r="P2839" t="str">
        <f>"85338-5763"</f>
        <v>85338-5763</v>
      </c>
      <c r="Q2839" t="s">
        <v>113</v>
      </c>
      <c r="R2839" t="str">
        <f>"400-03-882"</f>
        <v>400-03-882</v>
      </c>
      <c r="S2839" t="s">
        <v>15187</v>
      </c>
      <c r="U2839">
        <v>1873</v>
      </c>
      <c r="V2839">
        <v>0</v>
      </c>
      <c r="W2839">
        <v>3</v>
      </c>
      <c r="X2839">
        <v>2002</v>
      </c>
      <c r="Z2839">
        <v>1</v>
      </c>
      <c r="AA2839" t="s">
        <v>26</v>
      </c>
      <c r="AB2839">
        <v>0</v>
      </c>
      <c r="AC2839" t="s">
        <v>115</v>
      </c>
      <c r="AD2839">
        <v>2</v>
      </c>
      <c r="AE2839" t="s">
        <v>115</v>
      </c>
      <c r="AF2839">
        <v>0</v>
      </c>
      <c r="AG2839">
        <v>0</v>
      </c>
      <c r="AH2839" t="s">
        <v>116</v>
      </c>
      <c r="AI2839" s="1">
        <v>54922</v>
      </c>
      <c r="AJ2839" s="2">
        <v>0.18</v>
      </c>
      <c r="AK2839" s="1">
        <v>297253</v>
      </c>
      <c r="AL2839" t="s">
        <v>117</v>
      </c>
      <c r="AM2839" t="s">
        <v>118</v>
      </c>
      <c r="AN2839">
        <v>9376</v>
      </c>
      <c r="AO2839">
        <v>0.22</v>
      </c>
      <c r="AP2839">
        <v>1</v>
      </c>
      <c r="AR2839">
        <v>1</v>
      </c>
      <c r="AS2839" s="1">
        <v>21920</v>
      </c>
      <c r="AT2839" s="1">
        <v>4380</v>
      </c>
      <c r="AU2839" s="1">
        <v>17540</v>
      </c>
      <c r="AV2839">
        <v>80.02</v>
      </c>
      <c r="AX2839" s="1">
        <v>2105.02</v>
      </c>
      <c r="AY2839" t="s">
        <v>1246</v>
      </c>
      <c r="AZ2839" t="s">
        <v>1246</v>
      </c>
      <c r="BA2839" t="s">
        <v>1247</v>
      </c>
      <c r="BE2839" s="3">
        <v>42152</v>
      </c>
      <c r="BF2839" s="1">
        <v>234590</v>
      </c>
      <c r="BG2839" t="s">
        <v>11842</v>
      </c>
      <c r="BH2839" s="1">
        <v>125.25</v>
      </c>
      <c r="BI2839" s="1">
        <v>242331</v>
      </c>
      <c r="BJ2839" s="3">
        <v>42152</v>
      </c>
      <c r="BK2839" t="s">
        <v>123</v>
      </c>
      <c r="BL2839" t="str">
        <f>"2015.379322"</f>
        <v>2015.379322</v>
      </c>
      <c r="BM2839" t="s">
        <v>2368</v>
      </c>
      <c r="BO2839" t="s">
        <v>18738</v>
      </c>
      <c r="BS2839">
        <v>30</v>
      </c>
      <c r="BW2839" t="str">
        <f>""</f>
        <v/>
      </c>
      <c r="CH2839" t="str">
        <f>""</f>
        <v/>
      </c>
      <c r="CS2839" t="str">
        <f>""</f>
        <v/>
      </c>
    </row>
    <row r="2840" spans="1:97" x14ac:dyDescent="0.25">
      <c r="A2840" t="s">
        <v>152</v>
      </c>
      <c r="B2840" t="s">
        <v>18739</v>
      </c>
      <c r="E2840" t="s">
        <v>18740</v>
      </c>
      <c r="F2840" t="s">
        <v>108</v>
      </c>
      <c r="H2840" t="s">
        <v>18741</v>
      </c>
      <c r="I2840" t="s">
        <v>390</v>
      </c>
      <c r="J2840" t="s">
        <v>111</v>
      </c>
      <c r="K2840" t="str">
        <f>"85009"</f>
        <v>85009</v>
      </c>
      <c r="L2840" t="s">
        <v>2963</v>
      </c>
      <c r="M2840" t="s">
        <v>18741</v>
      </c>
      <c r="N2840" t="s">
        <v>390</v>
      </c>
      <c r="O2840" t="s">
        <v>111</v>
      </c>
      <c r="P2840" t="str">
        <f>"85009-1943"</f>
        <v>85009-1943</v>
      </c>
      <c r="Q2840" t="s">
        <v>113</v>
      </c>
      <c r="R2840" t="str">
        <f>"110-44-049"</f>
        <v>110-44-049</v>
      </c>
      <c r="S2840" t="s">
        <v>18742</v>
      </c>
      <c r="T2840" t="s">
        <v>17602</v>
      </c>
      <c r="U2840">
        <v>1851</v>
      </c>
      <c r="V2840">
        <v>0</v>
      </c>
      <c r="W2840">
        <v>2</v>
      </c>
      <c r="X2840">
        <v>1958</v>
      </c>
      <c r="Z2840">
        <v>1</v>
      </c>
      <c r="AB2840">
        <v>0</v>
      </c>
      <c r="AC2840" t="s">
        <v>5188</v>
      </c>
      <c r="AD2840">
        <v>2</v>
      </c>
      <c r="AE2840" t="s">
        <v>5188</v>
      </c>
      <c r="AF2840">
        <v>0</v>
      </c>
      <c r="AG2840">
        <v>0</v>
      </c>
      <c r="AH2840" t="s">
        <v>116</v>
      </c>
      <c r="AI2840" s="1">
        <v>-22821</v>
      </c>
      <c r="AJ2840" s="2">
        <v>-0.06</v>
      </c>
      <c r="AK2840" s="1">
        <v>365246</v>
      </c>
      <c r="AL2840" t="s">
        <v>117</v>
      </c>
      <c r="AM2840" t="s">
        <v>191</v>
      </c>
      <c r="AN2840">
        <v>9727</v>
      </c>
      <c r="AO2840">
        <v>0.22</v>
      </c>
      <c r="AP2840">
        <v>1</v>
      </c>
      <c r="AR2840">
        <v>1</v>
      </c>
      <c r="AS2840" s="1">
        <v>27070</v>
      </c>
      <c r="AT2840" s="1">
        <v>5410</v>
      </c>
      <c r="AU2840" s="1">
        <v>21660</v>
      </c>
      <c r="AV2840">
        <v>80.010000000000005</v>
      </c>
      <c r="AX2840" s="1">
        <v>2324.1</v>
      </c>
      <c r="AY2840" t="s">
        <v>8243</v>
      </c>
      <c r="AZ2840" t="s">
        <v>8243</v>
      </c>
      <c r="BA2840" t="s">
        <v>5469</v>
      </c>
      <c r="BE2840" s="3">
        <v>42445</v>
      </c>
      <c r="BF2840" s="1">
        <v>379900</v>
      </c>
      <c r="BG2840" t="s">
        <v>18743</v>
      </c>
      <c r="BH2840" s="1">
        <v>205.24</v>
      </c>
      <c r="BI2840" s="1">
        <v>388067</v>
      </c>
      <c r="BJ2840" s="3">
        <v>42445</v>
      </c>
      <c r="BK2840" t="s">
        <v>123</v>
      </c>
      <c r="BL2840" t="str">
        <f>"2016.168779"</f>
        <v>2016.168779</v>
      </c>
      <c r="BM2840" t="s">
        <v>1038</v>
      </c>
      <c r="BO2840" t="s">
        <v>18744</v>
      </c>
      <c r="BS2840">
        <v>30</v>
      </c>
      <c r="BW2840" t="str">
        <f>""</f>
        <v/>
      </c>
      <c r="CH2840" t="str">
        <f>""</f>
        <v/>
      </c>
      <c r="CS2840" t="str">
        <f>""</f>
        <v/>
      </c>
    </row>
    <row r="2841" spans="1:97" x14ac:dyDescent="0.25">
      <c r="A2841" t="s">
        <v>8500</v>
      </c>
      <c r="B2841" t="s">
        <v>18745</v>
      </c>
      <c r="C2841" t="s">
        <v>489</v>
      </c>
      <c r="D2841" t="s">
        <v>18745</v>
      </c>
      <c r="E2841" t="s">
        <v>18746</v>
      </c>
      <c r="F2841" t="s">
        <v>108</v>
      </c>
      <c r="H2841" t="s">
        <v>18747</v>
      </c>
      <c r="I2841" t="s">
        <v>453</v>
      </c>
      <c r="J2841" t="s">
        <v>111</v>
      </c>
      <c r="K2841" t="str">
        <f>"85381"</f>
        <v>85381</v>
      </c>
      <c r="L2841" t="s">
        <v>6438</v>
      </c>
      <c r="M2841" t="s">
        <v>18747</v>
      </c>
      <c r="N2841" t="s">
        <v>453</v>
      </c>
      <c r="O2841" t="s">
        <v>111</v>
      </c>
      <c r="P2841" t="str">
        <f>"85381-4992"</f>
        <v>85381-4992</v>
      </c>
      <c r="Q2841" t="s">
        <v>113</v>
      </c>
      <c r="R2841" t="str">
        <f>"231-10-964"</f>
        <v>231-10-964</v>
      </c>
      <c r="S2841" t="s">
        <v>6870</v>
      </c>
      <c r="T2841" t="s">
        <v>6871</v>
      </c>
      <c r="U2841">
        <v>2097</v>
      </c>
      <c r="V2841">
        <v>0</v>
      </c>
      <c r="W2841">
        <v>3</v>
      </c>
      <c r="X2841">
        <v>1991</v>
      </c>
      <c r="Z2841">
        <v>1</v>
      </c>
      <c r="AA2841" t="s">
        <v>26</v>
      </c>
      <c r="AB2841">
        <v>0</v>
      </c>
      <c r="AC2841" t="s">
        <v>115</v>
      </c>
      <c r="AD2841">
        <v>2</v>
      </c>
      <c r="AE2841" t="s">
        <v>115</v>
      </c>
      <c r="AF2841">
        <v>0</v>
      </c>
      <c r="AG2841">
        <v>0</v>
      </c>
      <c r="AH2841" t="s">
        <v>116</v>
      </c>
      <c r="AI2841" s="1">
        <v>-21452</v>
      </c>
      <c r="AJ2841" s="2">
        <v>-7.0000000000000007E-2</v>
      </c>
      <c r="AK2841" s="1">
        <v>299567</v>
      </c>
      <c r="AL2841" t="s">
        <v>117</v>
      </c>
      <c r="AM2841" t="s">
        <v>171</v>
      </c>
      <c r="AN2841">
        <v>8028</v>
      </c>
      <c r="AO2841">
        <v>0.18</v>
      </c>
      <c r="AP2841">
        <v>1</v>
      </c>
      <c r="AR2841">
        <v>1</v>
      </c>
      <c r="AS2841" s="1">
        <v>21920</v>
      </c>
      <c r="AT2841" s="1">
        <v>4380</v>
      </c>
      <c r="AU2841" s="1">
        <v>17540</v>
      </c>
      <c r="AV2841">
        <v>80.02</v>
      </c>
      <c r="AX2841" s="1">
        <v>1513.74</v>
      </c>
      <c r="AY2841" t="s">
        <v>6872</v>
      </c>
      <c r="AZ2841" t="s">
        <v>6872</v>
      </c>
      <c r="BA2841" t="s">
        <v>1800</v>
      </c>
      <c r="BB2841" s="3">
        <v>43131</v>
      </c>
      <c r="BC2841" s="1">
        <v>0</v>
      </c>
      <c r="BD2841" t="s">
        <v>247</v>
      </c>
      <c r="BE2841" s="3">
        <v>41642</v>
      </c>
      <c r="BF2841" s="1">
        <v>195000</v>
      </c>
      <c r="BG2841" t="s">
        <v>18748</v>
      </c>
      <c r="BH2841" s="1">
        <v>92.99</v>
      </c>
      <c r="BI2841" s="1">
        <v>251019</v>
      </c>
      <c r="BJ2841" s="3">
        <v>43131</v>
      </c>
      <c r="BK2841" t="s">
        <v>123</v>
      </c>
      <c r="BL2841" t="str">
        <f>"2018.80380"</f>
        <v>2018.80380</v>
      </c>
      <c r="BM2841" t="s">
        <v>18749</v>
      </c>
      <c r="BN2841" t="s">
        <v>18750</v>
      </c>
      <c r="BO2841" t="s">
        <v>18751</v>
      </c>
      <c r="BP2841" t="s">
        <v>18752</v>
      </c>
      <c r="BR2841" t="s">
        <v>139</v>
      </c>
      <c r="BT2841" s="1">
        <v>70000</v>
      </c>
      <c r="BU2841" s="3">
        <v>43642</v>
      </c>
      <c r="BW2841" t="str">
        <f>"2019.479642"</f>
        <v>2019.479642</v>
      </c>
      <c r="BX2841" t="s">
        <v>18753</v>
      </c>
      <c r="BY2841" t="s">
        <v>18754</v>
      </c>
      <c r="BZ2841" t="s">
        <v>18751</v>
      </c>
      <c r="CA2841" t="s">
        <v>18752</v>
      </c>
      <c r="CC2841" t="s">
        <v>346</v>
      </c>
      <c r="CH2841" t="str">
        <f>""</f>
        <v/>
      </c>
      <c r="CS2841" t="str">
        <f>""</f>
        <v/>
      </c>
    </row>
    <row r="2842" spans="1:97" x14ac:dyDescent="0.25">
      <c r="A2842" t="s">
        <v>5224</v>
      </c>
      <c r="B2842" t="s">
        <v>4020</v>
      </c>
      <c r="C2842" t="s">
        <v>513</v>
      </c>
      <c r="D2842" t="s">
        <v>4020</v>
      </c>
      <c r="E2842" t="s">
        <v>18755</v>
      </c>
      <c r="F2842" t="s">
        <v>108</v>
      </c>
      <c r="H2842" t="s">
        <v>18756</v>
      </c>
      <c r="I2842" t="s">
        <v>225</v>
      </c>
      <c r="J2842" t="s">
        <v>111</v>
      </c>
      <c r="K2842" t="str">
        <f>"85212"</f>
        <v>85212</v>
      </c>
      <c r="L2842" t="s">
        <v>774</v>
      </c>
      <c r="M2842" t="s">
        <v>18756</v>
      </c>
      <c r="N2842" t="s">
        <v>225</v>
      </c>
      <c r="O2842" t="s">
        <v>111</v>
      </c>
      <c r="P2842" t="str">
        <f>"85212-2910"</f>
        <v>85212-2910</v>
      </c>
      <c r="Q2842" t="s">
        <v>113</v>
      </c>
      <c r="R2842" t="str">
        <f>"312-05-457"</f>
        <v>312-05-457</v>
      </c>
      <c r="S2842" t="s">
        <v>18757</v>
      </c>
      <c r="U2842">
        <v>1428</v>
      </c>
      <c r="V2842">
        <v>0</v>
      </c>
      <c r="W2842">
        <v>3</v>
      </c>
      <c r="X2842">
        <v>2014</v>
      </c>
      <c r="Z2842">
        <v>1</v>
      </c>
      <c r="AB2842">
        <v>0</v>
      </c>
      <c r="AC2842" t="s">
        <v>115</v>
      </c>
      <c r="AD2842">
        <v>2</v>
      </c>
      <c r="AE2842" t="s">
        <v>115</v>
      </c>
      <c r="AF2842">
        <v>0</v>
      </c>
      <c r="AG2842">
        <v>0</v>
      </c>
      <c r="AH2842" t="s">
        <v>116</v>
      </c>
      <c r="AI2842" s="1">
        <v>78431</v>
      </c>
      <c r="AJ2842" s="2">
        <v>0.23</v>
      </c>
      <c r="AK2842" s="1">
        <v>337508</v>
      </c>
      <c r="AL2842" t="s">
        <v>117</v>
      </c>
      <c r="AM2842" t="s">
        <v>191</v>
      </c>
      <c r="AN2842">
        <v>7100</v>
      </c>
      <c r="AO2842">
        <v>0.16</v>
      </c>
      <c r="AR2842">
        <v>1</v>
      </c>
      <c r="AS2842" s="1">
        <v>23170</v>
      </c>
      <c r="AT2842" s="1">
        <v>4630</v>
      </c>
      <c r="AU2842" s="1">
        <v>18540</v>
      </c>
      <c r="AV2842">
        <v>80.02</v>
      </c>
      <c r="AX2842" s="1">
        <v>1653.62</v>
      </c>
      <c r="AY2842" t="s">
        <v>776</v>
      </c>
      <c r="AZ2842" t="s">
        <v>777</v>
      </c>
      <c r="BA2842" t="s">
        <v>572</v>
      </c>
      <c r="BE2842" s="3">
        <v>42352</v>
      </c>
      <c r="BF2842" s="1">
        <v>260000</v>
      </c>
      <c r="BG2842" t="s">
        <v>18758</v>
      </c>
      <c r="BH2842" s="1">
        <v>182.07</v>
      </c>
      <c r="BI2842" s="1">
        <v>259077</v>
      </c>
      <c r="BJ2842" s="3">
        <v>42601</v>
      </c>
      <c r="BK2842" t="s">
        <v>123</v>
      </c>
      <c r="BL2842" t="str">
        <f>"2016.597106"</f>
        <v>2016.597106</v>
      </c>
      <c r="BM2842" t="s">
        <v>936</v>
      </c>
      <c r="BO2842" t="s">
        <v>18759</v>
      </c>
      <c r="BS2842">
        <v>30</v>
      </c>
      <c r="BW2842" t="str">
        <f>""</f>
        <v/>
      </c>
      <c r="CH2842" t="str">
        <f>""</f>
        <v/>
      </c>
      <c r="CS2842" t="str">
        <f>""</f>
        <v/>
      </c>
    </row>
    <row r="2843" spans="1:97" x14ac:dyDescent="0.25">
      <c r="A2843" t="s">
        <v>464</v>
      </c>
      <c r="B2843" t="s">
        <v>18760</v>
      </c>
      <c r="E2843" t="s">
        <v>18761</v>
      </c>
      <c r="F2843" t="s">
        <v>108</v>
      </c>
      <c r="H2843" t="s">
        <v>18762</v>
      </c>
      <c r="I2843" t="s">
        <v>144</v>
      </c>
      <c r="J2843" t="s">
        <v>111</v>
      </c>
      <c r="K2843" t="str">
        <f>"85326"</f>
        <v>85326</v>
      </c>
      <c r="L2843" t="s">
        <v>316</v>
      </c>
      <c r="M2843" t="s">
        <v>18762</v>
      </c>
      <c r="N2843" t="s">
        <v>144</v>
      </c>
      <c r="O2843" t="s">
        <v>111</v>
      </c>
      <c r="P2843" t="str">
        <f>"85326-5553"</f>
        <v>85326-5553</v>
      </c>
      <c r="Q2843" t="s">
        <v>113</v>
      </c>
      <c r="R2843" t="str">
        <f>"504-20-285"</f>
        <v>504-20-285</v>
      </c>
      <c r="S2843" t="s">
        <v>18763</v>
      </c>
      <c r="U2843">
        <v>1960</v>
      </c>
      <c r="V2843">
        <v>0</v>
      </c>
      <c r="W2843">
        <v>3</v>
      </c>
      <c r="X2843">
        <v>2004</v>
      </c>
      <c r="Z2843">
        <v>2</v>
      </c>
      <c r="AA2843" t="s">
        <v>26</v>
      </c>
      <c r="AB2843">
        <v>0</v>
      </c>
      <c r="AC2843" t="s">
        <v>115</v>
      </c>
      <c r="AD2843">
        <v>3</v>
      </c>
      <c r="AE2843" t="s">
        <v>115</v>
      </c>
      <c r="AF2843">
        <v>0</v>
      </c>
      <c r="AG2843">
        <v>0</v>
      </c>
      <c r="AH2843" t="s">
        <v>116</v>
      </c>
      <c r="AI2843" s="1">
        <v>56711</v>
      </c>
      <c r="AJ2843" s="2">
        <v>0.22</v>
      </c>
      <c r="AK2843" s="1">
        <v>259211</v>
      </c>
      <c r="AL2843" t="s">
        <v>117</v>
      </c>
      <c r="AM2843" t="s">
        <v>118</v>
      </c>
      <c r="AN2843">
        <v>10750</v>
      </c>
      <c r="AO2843">
        <v>0.25</v>
      </c>
      <c r="AP2843">
        <v>1</v>
      </c>
      <c r="AR2843">
        <v>1</v>
      </c>
      <c r="AS2843" s="1">
        <v>17560</v>
      </c>
      <c r="AT2843" s="1">
        <v>3510</v>
      </c>
      <c r="AU2843" s="1">
        <v>14050</v>
      </c>
      <c r="AV2843">
        <v>80.010000000000005</v>
      </c>
      <c r="AX2843" s="1">
        <v>1693.24</v>
      </c>
      <c r="AY2843" t="s">
        <v>8444</v>
      </c>
      <c r="AZ2843" t="s">
        <v>8444</v>
      </c>
      <c r="BA2843" t="s">
        <v>5025</v>
      </c>
      <c r="BE2843" s="3">
        <v>42503</v>
      </c>
      <c r="BF2843" s="1">
        <v>202500</v>
      </c>
      <c r="BG2843" t="s">
        <v>18764</v>
      </c>
      <c r="BH2843" s="1">
        <v>103.32</v>
      </c>
      <c r="BI2843" s="1">
        <v>202500</v>
      </c>
      <c r="BJ2843" s="3">
        <v>42503</v>
      </c>
      <c r="BK2843" t="s">
        <v>123</v>
      </c>
      <c r="BL2843" t="str">
        <f>"2016.328280"</f>
        <v>2016.328280</v>
      </c>
      <c r="BM2843" t="s">
        <v>820</v>
      </c>
      <c r="BO2843" t="s">
        <v>18765</v>
      </c>
      <c r="BS2843">
        <v>30</v>
      </c>
      <c r="BW2843" t="str">
        <f>""</f>
        <v/>
      </c>
      <c r="CH2843" t="str">
        <f>""</f>
        <v/>
      </c>
      <c r="CS2843" t="str">
        <f>""</f>
        <v/>
      </c>
    </row>
    <row r="2844" spans="1:97" x14ac:dyDescent="0.25">
      <c r="A2844" t="s">
        <v>996</v>
      </c>
      <c r="B2844" t="s">
        <v>10868</v>
      </c>
      <c r="C2844" t="s">
        <v>18766</v>
      </c>
      <c r="D2844" t="s">
        <v>10868</v>
      </c>
      <c r="E2844" t="s">
        <v>18767</v>
      </c>
      <c r="F2844" t="s">
        <v>108</v>
      </c>
      <c r="H2844" t="s">
        <v>18768</v>
      </c>
      <c r="I2844" t="s">
        <v>390</v>
      </c>
      <c r="J2844" t="s">
        <v>111</v>
      </c>
      <c r="K2844" t="str">
        <f>"85086"</f>
        <v>85086</v>
      </c>
      <c r="L2844" t="s">
        <v>15336</v>
      </c>
      <c r="M2844" t="s">
        <v>18768</v>
      </c>
      <c r="N2844" t="s">
        <v>390</v>
      </c>
      <c r="O2844" t="s">
        <v>111</v>
      </c>
      <c r="P2844" t="str">
        <f>"85086-4353"</f>
        <v>85086-4353</v>
      </c>
      <c r="Q2844" t="s">
        <v>113</v>
      </c>
      <c r="R2844" t="str">
        <f>"203-31-002-G"</f>
        <v>203-31-002-G</v>
      </c>
      <c r="U2844">
        <v>1970</v>
      </c>
      <c r="V2844">
        <v>0</v>
      </c>
      <c r="W2844">
        <v>3</v>
      </c>
      <c r="X2844">
        <v>2002</v>
      </c>
      <c r="Z2844">
        <v>1</v>
      </c>
      <c r="AB2844">
        <v>0</v>
      </c>
      <c r="AC2844" t="s">
        <v>115</v>
      </c>
      <c r="AD2844">
        <v>5</v>
      </c>
      <c r="AE2844" t="s">
        <v>115</v>
      </c>
      <c r="AF2844">
        <v>0</v>
      </c>
      <c r="AG2844">
        <v>0</v>
      </c>
      <c r="AH2844" t="s">
        <v>116</v>
      </c>
      <c r="AI2844" s="1">
        <v>45321</v>
      </c>
      <c r="AJ2844" s="2">
        <v>0.1</v>
      </c>
      <c r="AK2844" s="1">
        <v>468576</v>
      </c>
      <c r="AL2844" t="s">
        <v>117</v>
      </c>
      <c r="AM2844" t="s">
        <v>376</v>
      </c>
      <c r="AN2844">
        <v>43646</v>
      </c>
      <c r="AO2844">
        <v>1</v>
      </c>
      <c r="AP2844">
        <v>1</v>
      </c>
      <c r="AR2844">
        <v>1</v>
      </c>
      <c r="AS2844" s="1">
        <v>33480</v>
      </c>
      <c r="AT2844" s="1">
        <v>6690</v>
      </c>
      <c r="AU2844" s="1">
        <v>26790</v>
      </c>
      <c r="AV2844">
        <v>80.02</v>
      </c>
      <c r="AX2844" s="1">
        <v>2919.36</v>
      </c>
      <c r="AY2844" t="s">
        <v>8639</v>
      </c>
      <c r="AZ2844" t="s">
        <v>8639</v>
      </c>
      <c r="BA2844" t="s">
        <v>378</v>
      </c>
      <c r="BE2844" s="3">
        <v>42487</v>
      </c>
      <c r="BF2844" s="1">
        <v>450000</v>
      </c>
      <c r="BG2844" t="s">
        <v>18769</v>
      </c>
      <c r="BH2844" s="1">
        <v>228.43</v>
      </c>
      <c r="BI2844" s="1">
        <v>423255</v>
      </c>
      <c r="BJ2844" s="3">
        <v>42487</v>
      </c>
      <c r="BK2844" t="s">
        <v>123</v>
      </c>
      <c r="BL2844" t="str">
        <f>"2016.282531"</f>
        <v>2016.282531</v>
      </c>
      <c r="BM2844" t="s">
        <v>10728</v>
      </c>
      <c r="BN2844" t="s">
        <v>18770</v>
      </c>
      <c r="BO2844" t="s">
        <v>18771</v>
      </c>
      <c r="BS2844">
        <v>30</v>
      </c>
      <c r="BW2844" t="str">
        <f>""</f>
        <v/>
      </c>
      <c r="CH2844" t="str">
        <f>""</f>
        <v/>
      </c>
      <c r="CS2844" t="str">
        <f>""</f>
        <v/>
      </c>
    </row>
    <row r="2845" spans="1:97" x14ac:dyDescent="0.25">
      <c r="A2845" t="s">
        <v>1900</v>
      </c>
      <c r="B2845" t="s">
        <v>18772</v>
      </c>
      <c r="C2845" t="s">
        <v>177</v>
      </c>
      <c r="D2845" t="s">
        <v>18772</v>
      </c>
      <c r="E2845" t="s">
        <v>18773</v>
      </c>
      <c r="F2845" t="s">
        <v>108</v>
      </c>
      <c r="H2845" t="s">
        <v>18774</v>
      </c>
      <c r="I2845" t="s">
        <v>453</v>
      </c>
      <c r="J2845" t="s">
        <v>111</v>
      </c>
      <c r="K2845" t="str">
        <f>"85383"</f>
        <v>85383</v>
      </c>
      <c r="L2845" t="s">
        <v>3225</v>
      </c>
      <c r="M2845" t="s">
        <v>18774</v>
      </c>
      <c r="N2845" t="s">
        <v>453</v>
      </c>
      <c r="O2845" t="s">
        <v>111</v>
      </c>
      <c r="P2845" t="str">
        <f>"85383-5854"</f>
        <v>85383-5854</v>
      </c>
      <c r="Q2845" t="s">
        <v>113</v>
      </c>
      <c r="R2845" t="str">
        <f>"503-66-544"</f>
        <v>503-66-544</v>
      </c>
      <c r="S2845" t="s">
        <v>9145</v>
      </c>
      <c r="T2845" t="s">
        <v>7704</v>
      </c>
      <c r="U2845">
        <v>2719</v>
      </c>
      <c r="V2845">
        <v>0</v>
      </c>
      <c r="W2845">
        <v>4</v>
      </c>
      <c r="X2845">
        <v>2013</v>
      </c>
      <c r="Z2845">
        <v>2</v>
      </c>
      <c r="AB2845">
        <v>0</v>
      </c>
      <c r="AC2845" t="s">
        <v>115</v>
      </c>
      <c r="AD2845">
        <v>2</v>
      </c>
      <c r="AE2845" t="s">
        <v>115</v>
      </c>
      <c r="AF2845">
        <v>0</v>
      </c>
      <c r="AG2845">
        <v>0</v>
      </c>
      <c r="AH2845" t="s">
        <v>116</v>
      </c>
      <c r="AI2845" s="1">
        <v>56500</v>
      </c>
      <c r="AJ2845" s="2">
        <v>0.17</v>
      </c>
      <c r="AK2845" s="1">
        <v>332226</v>
      </c>
      <c r="AL2845" t="s">
        <v>117</v>
      </c>
      <c r="AM2845" t="s">
        <v>191</v>
      </c>
      <c r="AN2845">
        <v>4950</v>
      </c>
      <c r="AO2845">
        <v>0.11</v>
      </c>
      <c r="AR2845">
        <v>1</v>
      </c>
      <c r="AS2845" s="1">
        <v>24370</v>
      </c>
      <c r="AT2845" s="1">
        <v>4870</v>
      </c>
      <c r="AU2845" s="1">
        <v>19500</v>
      </c>
      <c r="AV2845">
        <v>80.02</v>
      </c>
      <c r="AX2845" s="1">
        <v>2356.46</v>
      </c>
      <c r="AY2845" t="s">
        <v>456</v>
      </c>
      <c r="AZ2845" t="s">
        <v>456</v>
      </c>
      <c r="BA2845" t="s">
        <v>457</v>
      </c>
      <c r="BE2845" s="3">
        <v>42275</v>
      </c>
      <c r="BF2845" s="1">
        <v>275726</v>
      </c>
      <c r="BG2845" t="s">
        <v>749</v>
      </c>
      <c r="BH2845" s="1">
        <v>101.41</v>
      </c>
      <c r="BI2845" s="1">
        <v>275726</v>
      </c>
      <c r="BJ2845" s="3">
        <v>42275</v>
      </c>
      <c r="BK2845" t="s">
        <v>123</v>
      </c>
      <c r="BL2845" t="str">
        <f>"2015.694403"</f>
        <v>2015.694403</v>
      </c>
      <c r="BM2845" t="s">
        <v>1968</v>
      </c>
      <c r="BO2845" t="s">
        <v>18775</v>
      </c>
      <c r="BS2845">
        <v>30</v>
      </c>
      <c r="BW2845" t="str">
        <f>""</f>
        <v/>
      </c>
      <c r="CH2845" t="str">
        <f>""</f>
        <v/>
      </c>
      <c r="CS2845" t="str">
        <f>""</f>
        <v/>
      </c>
    </row>
    <row r="2846" spans="1:97" x14ac:dyDescent="0.25">
      <c r="A2846" t="s">
        <v>18776</v>
      </c>
      <c r="B2846" t="s">
        <v>18777</v>
      </c>
      <c r="C2846" t="s">
        <v>496</v>
      </c>
      <c r="D2846" t="s">
        <v>18777</v>
      </c>
      <c r="E2846" t="s">
        <v>18778</v>
      </c>
      <c r="F2846" t="s">
        <v>108</v>
      </c>
      <c r="H2846" t="s">
        <v>18779</v>
      </c>
      <c r="I2846" t="s">
        <v>225</v>
      </c>
      <c r="J2846" t="s">
        <v>111</v>
      </c>
      <c r="K2846" t="str">
        <f>"85202"</f>
        <v>85202</v>
      </c>
      <c r="L2846" t="s">
        <v>226</v>
      </c>
      <c r="M2846" t="s">
        <v>18779</v>
      </c>
      <c r="N2846" t="s">
        <v>225</v>
      </c>
      <c r="O2846" t="s">
        <v>111</v>
      </c>
      <c r="P2846" t="str">
        <f>"85202-8129"</f>
        <v>85202-8129</v>
      </c>
      <c r="Q2846" t="s">
        <v>113</v>
      </c>
      <c r="R2846" t="str">
        <f>"302-06-142"</f>
        <v>302-06-142</v>
      </c>
      <c r="S2846" t="s">
        <v>18780</v>
      </c>
      <c r="U2846">
        <v>1430</v>
      </c>
      <c r="V2846">
        <v>0</v>
      </c>
      <c r="W2846">
        <v>2</v>
      </c>
      <c r="X2846">
        <v>1978</v>
      </c>
      <c r="Z2846">
        <v>1</v>
      </c>
      <c r="AA2846" t="s">
        <v>26</v>
      </c>
      <c r="AB2846">
        <v>0</v>
      </c>
      <c r="AC2846" t="s">
        <v>5188</v>
      </c>
      <c r="AD2846">
        <v>2</v>
      </c>
      <c r="AE2846" t="s">
        <v>5188</v>
      </c>
      <c r="AF2846">
        <v>0</v>
      </c>
      <c r="AG2846">
        <v>0</v>
      </c>
      <c r="AH2846" t="s">
        <v>116</v>
      </c>
      <c r="AI2846" s="1">
        <v>10852</v>
      </c>
      <c r="AJ2846" s="2">
        <v>0.04</v>
      </c>
      <c r="AK2846" s="1">
        <v>280852</v>
      </c>
      <c r="AL2846" t="s">
        <v>117</v>
      </c>
      <c r="AM2846" t="s">
        <v>191</v>
      </c>
      <c r="AN2846">
        <v>8202</v>
      </c>
      <c r="AO2846">
        <v>0.19</v>
      </c>
      <c r="AP2846">
        <v>1</v>
      </c>
      <c r="AR2846">
        <v>1</v>
      </c>
      <c r="AS2846" s="1">
        <v>18460</v>
      </c>
      <c r="AT2846" s="1">
        <v>3690</v>
      </c>
      <c r="AU2846" s="1">
        <v>14770</v>
      </c>
      <c r="AV2846">
        <v>80.010000000000005</v>
      </c>
      <c r="AX2846" s="1">
        <v>1189.56</v>
      </c>
      <c r="AY2846" t="s">
        <v>5310</v>
      </c>
      <c r="AZ2846" t="s">
        <v>5310</v>
      </c>
      <c r="BA2846" t="s">
        <v>5311</v>
      </c>
      <c r="BB2846" s="3">
        <v>43781</v>
      </c>
      <c r="BC2846" s="1">
        <v>0</v>
      </c>
      <c r="BD2846" t="s">
        <v>247</v>
      </c>
      <c r="BE2846" s="3">
        <v>42488</v>
      </c>
      <c r="BF2846" s="1">
        <v>233000</v>
      </c>
      <c r="BG2846" t="s">
        <v>18781</v>
      </c>
      <c r="BH2846" s="1">
        <v>162.94</v>
      </c>
      <c r="BI2846" s="1">
        <v>270000</v>
      </c>
      <c r="BJ2846" s="3">
        <v>43090</v>
      </c>
      <c r="BK2846" t="s">
        <v>123</v>
      </c>
      <c r="BL2846" t="str">
        <f>"2017.947795"</f>
        <v>2017.947795</v>
      </c>
      <c r="BM2846" t="s">
        <v>5992</v>
      </c>
      <c r="BN2846">
        <v>11747</v>
      </c>
      <c r="BO2846" t="s">
        <v>18782</v>
      </c>
      <c r="BS2846">
        <v>31</v>
      </c>
      <c r="BW2846" t="str">
        <f>""</f>
        <v/>
      </c>
      <c r="CH2846" t="str">
        <f>""</f>
        <v/>
      </c>
      <c r="CS2846" t="str">
        <f>""</f>
        <v/>
      </c>
    </row>
    <row r="2847" spans="1:97" x14ac:dyDescent="0.25">
      <c r="A2847" t="s">
        <v>1393</v>
      </c>
      <c r="B2847" t="s">
        <v>18783</v>
      </c>
      <c r="C2847" t="s">
        <v>489</v>
      </c>
      <c r="D2847" t="s">
        <v>18783</v>
      </c>
      <c r="E2847" t="s">
        <v>18784</v>
      </c>
      <c r="F2847" t="s">
        <v>108</v>
      </c>
      <c r="H2847" t="s">
        <v>18785</v>
      </c>
      <c r="I2847" t="s">
        <v>632</v>
      </c>
      <c r="J2847" t="s">
        <v>111</v>
      </c>
      <c r="K2847" t="str">
        <f>"85379"</f>
        <v>85379</v>
      </c>
      <c r="L2847" t="s">
        <v>558</v>
      </c>
      <c r="M2847" t="s">
        <v>18785</v>
      </c>
      <c r="N2847" t="s">
        <v>632</v>
      </c>
      <c r="O2847" t="s">
        <v>111</v>
      </c>
      <c r="P2847" t="str">
        <f>"85379-4424"</f>
        <v>85379-4424</v>
      </c>
      <c r="Q2847" t="s">
        <v>113</v>
      </c>
      <c r="R2847" t="str">
        <f>"509-15-497"</f>
        <v>509-15-497</v>
      </c>
      <c r="S2847" t="s">
        <v>7110</v>
      </c>
      <c r="U2847">
        <v>4091</v>
      </c>
      <c r="V2847">
        <v>0</v>
      </c>
      <c r="W2847">
        <v>4</v>
      </c>
      <c r="X2847">
        <v>2005</v>
      </c>
      <c r="Z2847">
        <v>2</v>
      </c>
      <c r="AA2847" t="s">
        <v>26</v>
      </c>
      <c r="AB2847">
        <v>0</v>
      </c>
      <c r="AC2847" t="s">
        <v>115</v>
      </c>
      <c r="AD2847">
        <v>3</v>
      </c>
      <c r="AE2847" t="s">
        <v>115</v>
      </c>
      <c r="AF2847">
        <v>0</v>
      </c>
      <c r="AG2847">
        <v>0</v>
      </c>
      <c r="AH2847" t="s">
        <v>116</v>
      </c>
      <c r="AI2847" s="1">
        <v>86785</v>
      </c>
      <c r="AJ2847" s="2">
        <v>0.21</v>
      </c>
      <c r="AK2847" s="1">
        <v>404785</v>
      </c>
      <c r="AL2847" t="s">
        <v>117</v>
      </c>
      <c r="AM2847" t="s">
        <v>118</v>
      </c>
      <c r="AN2847">
        <v>9375</v>
      </c>
      <c r="AO2847">
        <v>0.22</v>
      </c>
      <c r="AR2847">
        <v>1</v>
      </c>
      <c r="AS2847" s="1">
        <v>28780</v>
      </c>
      <c r="AT2847" s="1">
        <v>5750</v>
      </c>
      <c r="AU2847" s="1">
        <v>23030</v>
      </c>
      <c r="AV2847">
        <v>80.02</v>
      </c>
      <c r="AX2847" s="1">
        <v>2293.04</v>
      </c>
      <c r="AY2847" t="s">
        <v>5615</v>
      </c>
      <c r="AZ2847" t="s">
        <v>5615</v>
      </c>
      <c r="BA2847" t="s">
        <v>635</v>
      </c>
      <c r="BE2847" s="3">
        <v>41681</v>
      </c>
      <c r="BF2847" s="1">
        <v>310000</v>
      </c>
      <c r="BG2847" t="s">
        <v>18786</v>
      </c>
      <c r="BH2847" s="1">
        <v>75.78</v>
      </c>
      <c r="BI2847" s="1">
        <v>318000</v>
      </c>
      <c r="BJ2847" s="3">
        <v>41907</v>
      </c>
      <c r="BK2847" t="s">
        <v>123</v>
      </c>
      <c r="BL2847" t="str">
        <f>"2014.634973"</f>
        <v>2014.634973</v>
      </c>
      <c r="BM2847" t="s">
        <v>1707</v>
      </c>
      <c r="BO2847" t="s">
        <v>18787</v>
      </c>
      <c r="BS2847">
        <v>30</v>
      </c>
      <c r="BW2847" t="str">
        <f>""</f>
        <v/>
      </c>
      <c r="CH2847" t="str">
        <f>""</f>
        <v/>
      </c>
      <c r="CS2847" t="str">
        <f>""</f>
        <v/>
      </c>
    </row>
    <row r="2848" spans="1:97" x14ac:dyDescent="0.25">
      <c r="A2848" t="s">
        <v>4554</v>
      </c>
      <c r="B2848" t="s">
        <v>18788</v>
      </c>
      <c r="C2848" t="s">
        <v>179</v>
      </c>
      <c r="D2848" t="s">
        <v>18788</v>
      </c>
      <c r="E2848" t="s">
        <v>18789</v>
      </c>
      <c r="F2848" t="s">
        <v>108</v>
      </c>
      <c r="H2848" t="s">
        <v>18790</v>
      </c>
      <c r="I2848" t="s">
        <v>1936</v>
      </c>
      <c r="J2848" t="s">
        <v>111</v>
      </c>
      <c r="K2848" t="str">
        <f>"85259"</f>
        <v>85259</v>
      </c>
      <c r="L2848" t="s">
        <v>6529</v>
      </c>
      <c r="M2848" t="s">
        <v>18790</v>
      </c>
      <c r="N2848" t="s">
        <v>1936</v>
      </c>
      <c r="O2848" t="s">
        <v>111</v>
      </c>
      <c r="P2848" t="str">
        <f>"85259-3746"</f>
        <v>85259-3746</v>
      </c>
      <c r="Q2848" t="s">
        <v>113</v>
      </c>
      <c r="R2848" t="str">
        <f>"217-19-547"</f>
        <v>217-19-547</v>
      </c>
      <c r="S2848" t="s">
        <v>18791</v>
      </c>
      <c r="T2848" t="s">
        <v>6532</v>
      </c>
      <c r="U2848">
        <v>2979</v>
      </c>
      <c r="V2848">
        <v>0</v>
      </c>
      <c r="W2848">
        <v>4</v>
      </c>
      <c r="X2848">
        <v>1996</v>
      </c>
      <c r="Z2848">
        <v>2</v>
      </c>
      <c r="AA2848" t="s">
        <v>26</v>
      </c>
      <c r="AB2848">
        <v>0</v>
      </c>
      <c r="AC2848" t="s">
        <v>115</v>
      </c>
      <c r="AD2848">
        <v>3</v>
      </c>
      <c r="AE2848" t="s">
        <v>115</v>
      </c>
      <c r="AF2848">
        <v>0</v>
      </c>
      <c r="AG2848">
        <v>0</v>
      </c>
      <c r="AH2848" t="s">
        <v>116</v>
      </c>
      <c r="AI2848" s="1">
        <v>149350</v>
      </c>
      <c r="AJ2848" s="2">
        <v>0.2</v>
      </c>
      <c r="AK2848" s="1">
        <v>739350</v>
      </c>
      <c r="AL2848" t="s">
        <v>117</v>
      </c>
      <c r="AM2848" t="s">
        <v>393</v>
      </c>
      <c r="AN2848">
        <v>7705</v>
      </c>
      <c r="AO2848">
        <v>0.18</v>
      </c>
      <c r="AP2848">
        <v>1</v>
      </c>
      <c r="AR2848">
        <v>1</v>
      </c>
      <c r="AS2848" s="1">
        <v>46200</v>
      </c>
      <c r="AT2848" s="1">
        <v>9240</v>
      </c>
      <c r="AU2848" s="1">
        <v>36960</v>
      </c>
      <c r="AV2848">
        <v>80</v>
      </c>
      <c r="AX2848" s="1">
        <v>3190.6</v>
      </c>
      <c r="AY2848" t="s">
        <v>6534</v>
      </c>
      <c r="AZ2848" t="s">
        <v>5762</v>
      </c>
      <c r="BA2848" t="s">
        <v>5763</v>
      </c>
      <c r="BE2848" s="3">
        <v>42110</v>
      </c>
      <c r="BF2848" s="1">
        <v>600000</v>
      </c>
      <c r="BG2848" t="s">
        <v>18792</v>
      </c>
      <c r="BH2848" s="1">
        <v>201.41</v>
      </c>
      <c r="BI2848" s="1">
        <v>590000</v>
      </c>
      <c r="BJ2848" s="3">
        <v>42660</v>
      </c>
      <c r="BK2848" t="s">
        <v>123</v>
      </c>
      <c r="BL2848" t="str">
        <f>"2016.757849"</f>
        <v>2016.757849</v>
      </c>
      <c r="BM2848" t="s">
        <v>699</v>
      </c>
      <c r="BO2848" t="s">
        <v>18793</v>
      </c>
      <c r="BS2848">
        <v>30</v>
      </c>
      <c r="BW2848" t="str">
        <f>""</f>
        <v/>
      </c>
      <c r="CH2848" t="str">
        <f>""</f>
        <v/>
      </c>
      <c r="CS2848" t="str">
        <f>""</f>
        <v/>
      </c>
    </row>
    <row r="2849" spans="1:97" x14ac:dyDescent="0.25">
      <c r="A2849" t="s">
        <v>18794</v>
      </c>
      <c r="B2849" t="s">
        <v>18795</v>
      </c>
      <c r="C2849" t="s">
        <v>328</v>
      </c>
      <c r="D2849" t="s">
        <v>18796</v>
      </c>
      <c r="E2849" t="s">
        <v>18797</v>
      </c>
      <c r="F2849" t="s">
        <v>108</v>
      </c>
      <c r="H2849" t="s">
        <v>18798</v>
      </c>
      <c r="I2849" t="s">
        <v>5387</v>
      </c>
      <c r="J2849" t="s">
        <v>111</v>
      </c>
      <c r="K2849" t="str">
        <f>"85282"</f>
        <v>85282</v>
      </c>
      <c r="L2849" t="s">
        <v>9178</v>
      </c>
      <c r="M2849" t="s">
        <v>18798</v>
      </c>
      <c r="N2849" t="s">
        <v>5387</v>
      </c>
      <c r="O2849" t="s">
        <v>111</v>
      </c>
      <c r="P2849" t="str">
        <f>"85282-2819"</f>
        <v>85282-2819</v>
      </c>
      <c r="Q2849" t="s">
        <v>113</v>
      </c>
      <c r="R2849" t="str">
        <f>"133-34-434"</f>
        <v>133-34-434</v>
      </c>
      <c r="S2849" t="s">
        <v>18799</v>
      </c>
      <c r="T2849" t="s">
        <v>9340</v>
      </c>
      <c r="U2849">
        <v>1590</v>
      </c>
      <c r="V2849">
        <v>0</v>
      </c>
      <c r="W2849">
        <v>2</v>
      </c>
      <c r="X2849">
        <v>1970</v>
      </c>
      <c r="Z2849">
        <v>1</v>
      </c>
      <c r="AA2849" t="s">
        <v>26</v>
      </c>
      <c r="AB2849">
        <v>0</v>
      </c>
      <c r="AC2849" t="s">
        <v>115</v>
      </c>
      <c r="AD2849">
        <v>2</v>
      </c>
      <c r="AE2849" t="s">
        <v>115</v>
      </c>
      <c r="AF2849">
        <v>0</v>
      </c>
      <c r="AG2849">
        <v>0</v>
      </c>
      <c r="AH2849" t="s">
        <v>116</v>
      </c>
      <c r="AI2849" s="1">
        <v>31628</v>
      </c>
      <c r="AJ2849" s="2">
        <v>0.1</v>
      </c>
      <c r="AK2849" s="1">
        <v>322934</v>
      </c>
      <c r="AL2849" t="s">
        <v>117</v>
      </c>
      <c r="AM2849" t="s">
        <v>191</v>
      </c>
      <c r="AN2849">
        <v>13173</v>
      </c>
      <c r="AO2849">
        <v>0.3</v>
      </c>
      <c r="AP2849">
        <v>1</v>
      </c>
      <c r="AR2849">
        <v>1</v>
      </c>
      <c r="AS2849" s="1">
        <v>24150</v>
      </c>
      <c r="AT2849" s="1">
        <v>4830</v>
      </c>
      <c r="AU2849" s="1">
        <v>19320</v>
      </c>
      <c r="AV2849">
        <v>80</v>
      </c>
      <c r="AX2849" s="1">
        <v>1799.7</v>
      </c>
      <c r="AY2849" t="s">
        <v>16257</v>
      </c>
      <c r="AZ2849" t="s">
        <v>11073</v>
      </c>
      <c r="BA2849" t="s">
        <v>10858</v>
      </c>
      <c r="BE2849" s="3">
        <v>42494</v>
      </c>
      <c r="BF2849" s="1">
        <v>222500</v>
      </c>
      <c r="BG2849" t="s">
        <v>18800</v>
      </c>
      <c r="BH2849" s="1">
        <v>139.94</v>
      </c>
      <c r="BI2849" s="1">
        <v>291306</v>
      </c>
      <c r="BJ2849" s="3">
        <v>43019</v>
      </c>
      <c r="BK2849" t="s">
        <v>123</v>
      </c>
      <c r="BL2849" t="str">
        <f>"2017.752907"</f>
        <v>2017.752907</v>
      </c>
      <c r="BM2849" t="s">
        <v>1277</v>
      </c>
      <c r="BO2849" t="s">
        <v>18801</v>
      </c>
      <c r="BP2849" t="s">
        <v>18802</v>
      </c>
      <c r="BS2849">
        <v>30</v>
      </c>
      <c r="BW2849" t="str">
        <f>""</f>
        <v/>
      </c>
      <c r="CH2849" t="str">
        <f>""</f>
        <v/>
      </c>
      <c r="CS2849" t="str">
        <f>""</f>
        <v/>
      </c>
    </row>
    <row r="2850" spans="1:97" x14ac:dyDescent="0.25">
      <c r="A2850" t="s">
        <v>15105</v>
      </c>
      <c r="B2850" t="s">
        <v>1552</v>
      </c>
      <c r="C2850" t="s">
        <v>3282</v>
      </c>
      <c r="D2850" t="s">
        <v>1552</v>
      </c>
      <c r="E2850" t="s">
        <v>18803</v>
      </c>
      <c r="F2850" t="s">
        <v>108</v>
      </c>
      <c r="H2850" t="s">
        <v>18804</v>
      </c>
      <c r="I2850" t="s">
        <v>453</v>
      </c>
      <c r="J2850" t="s">
        <v>111</v>
      </c>
      <c r="K2850" t="str">
        <f>"85383"</f>
        <v>85383</v>
      </c>
      <c r="L2850" t="s">
        <v>1244</v>
      </c>
      <c r="M2850" t="s">
        <v>18804</v>
      </c>
      <c r="N2850" t="s">
        <v>453</v>
      </c>
      <c r="O2850" t="s">
        <v>111</v>
      </c>
      <c r="P2850" t="str">
        <f>"85383-8734"</f>
        <v>85383-8734</v>
      </c>
      <c r="Q2850" t="s">
        <v>113</v>
      </c>
      <c r="R2850" t="str">
        <f>"201-36-100"</f>
        <v>201-36-100</v>
      </c>
      <c r="S2850" t="s">
        <v>18805</v>
      </c>
      <c r="T2850" t="s">
        <v>14595</v>
      </c>
      <c r="U2850">
        <v>3348</v>
      </c>
      <c r="V2850">
        <v>0</v>
      </c>
      <c r="W2850">
        <v>4</v>
      </c>
      <c r="X2850">
        <v>2003</v>
      </c>
      <c r="Z2850">
        <v>2</v>
      </c>
      <c r="AA2850" t="s">
        <v>26</v>
      </c>
      <c r="AB2850">
        <v>0</v>
      </c>
      <c r="AC2850" t="s">
        <v>115</v>
      </c>
      <c r="AD2850">
        <v>3</v>
      </c>
      <c r="AE2850" t="s">
        <v>115</v>
      </c>
      <c r="AF2850">
        <v>0</v>
      </c>
      <c r="AG2850">
        <v>0</v>
      </c>
      <c r="AH2850" t="s">
        <v>116</v>
      </c>
      <c r="AI2850" s="1">
        <v>100182</v>
      </c>
      <c r="AJ2850" s="2">
        <v>0.22</v>
      </c>
      <c r="AK2850" s="1">
        <v>445444</v>
      </c>
      <c r="AL2850" t="s">
        <v>117</v>
      </c>
      <c r="AM2850" t="s">
        <v>118</v>
      </c>
      <c r="AN2850">
        <v>10504</v>
      </c>
      <c r="AO2850">
        <v>0.24</v>
      </c>
      <c r="AP2850">
        <v>1</v>
      </c>
      <c r="AR2850">
        <v>1</v>
      </c>
      <c r="AS2850" s="1">
        <v>32510</v>
      </c>
      <c r="AT2850" s="1">
        <v>6500</v>
      </c>
      <c r="AU2850" s="1">
        <v>26010</v>
      </c>
      <c r="AV2850">
        <v>80.010000000000005</v>
      </c>
      <c r="AX2850" s="1">
        <v>2603.52</v>
      </c>
      <c r="AY2850" t="s">
        <v>8323</v>
      </c>
      <c r="AZ2850" t="s">
        <v>8323</v>
      </c>
      <c r="BA2850" t="s">
        <v>1386</v>
      </c>
      <c r="BE2850" s="3">
        <v>42446</v>
      </c>
      <c r="BF2850" s="1">
        <v>380000</v>
      </c>
      <c r="BG2850" t="s">
        <v>18806</v>
      </c>
      <c r="BH2850" s="1">
        <v>113.5</v>
      </c>
      <c r="BI2850" s="1">
        <v>345262</v>
      </c>
      <c r="BJ2850" s="3">
        <v>42446</v>
      </c>
      <c r="BK2850" t="s">
        <v>123</v>
      </c>
      <c r="BL2850" t="str">
        <f>"2016.172729"</f>
        <v>2016.172729</v>
      </c>
      <c r="BM2850" t="s">
        <v>2716</v>
      </c>
      <c r="BO2850" t="s">
        <v>18807</v>
      </c>
      <c r="BS2850">
        <v>30</v>
      </c>
      <c r="BW2850" t="str">
        <f>""</f>
        <v/>
      </c>
      <c r="CH2850" t="str">
        <f>""</f>
        <v/>
      </c>
      <c r="CS2850" t="str">
        <f>""</f>
        <v/>
      </c>
    </row>
    <row r="2851" spans="1:97" x14ac:dyDescent="0.25">
      <c r="B2851" t="s">
        <v>18808</v>
      </c>
      <c r="E2851" t="s">
        <v>18808</v>
      </c>
      <c r="F2851" t="s">
        <v>108</v>
      </c>
      <c r="H2851" t="s">
        <v>18809</v>
      </c>
      <c r="I2851" t="s">
        <v>144</v>
      </c>
      <c r="J2851" t="s">
        <v>111</v>
      </c>
      <c r="K2851" t="str">
        <f>"85396"</f>
        <v>85396</v>
      </c>
      <c r="L2851" t="s">
        <v>1244</v>
      </c>
      <c r="M2851" t="s">
        <v>18809</v>
      </c>
      <c r="N2851" t="s">
        <v>144</v>
      </c>
      <c r="O2851" t="s">
        <v>111</v>
      </c>
      <c r="P2851" t="str">
        <f>"85396-7790"</f>
        <v>85396-7790</v>
      </c>
      <c r="Q2851" t="s">
        <v>113</v>
      </c>
      <c r="R2851" t="str">
        <f>"502-81-067"</f>
        <v>502-81-067</v>
      </c>
      <c r="S2851" t="s">
        <v>15535</v>
      </c>
      <c r="U2851">
        <v>2569</v>
      </c>
      <c r="V2851">
        <v>0</v>
      </c>
      <c r="W2851">
        <v>3</v>
      </c>
      <c r="X2851">
        <v>2014</v>
      </c>
      <c r="Z2851">
        <v>1</v>
      </c>
      <c r="AA2851" t="s">
        <v>26</v>
      </c>
      <c r="AB2851">
        <v>0</v>
      </c>
      <c r="AC2851" t="s">
        <v>115</v>
      </c>
      <c r="AD2851">
        <v>4</v>
      </c>
      <c r="AE2851" t="s">
        <v>115</v>
      </c>
      <c r="AF2851">
        <v>0</v>
      </c>
      <c r="AG2851">
        <v>0</v>
      </c>
      <c r="AH2851" t="s">
        <v>116</v>
      </c>
      <c r="AI2851" s="1">
        <v>86138</v>
      </c>
      <c r="AJ2851" s="2">
        <v>0.18</v>
      </c>
      <c r="AK2851" s="1">
        <v>491673</v>
      </c>
      <c r="AL2851" t="s">
        <v>117</v>
      </c>
      <c r="AM2851" t="s">
        <v>118</v>
      </c>
      <c r="AN2851">
        <v>13007</v>
      </c>
      <c r="AO2851">
        <v>0.3</v>
      </c>
      <c r="AR2851">
        <v>1</v>
      </c>
      <c r="AS2851" s="1">
        <v>38570</v>
      </c>
      <c r="AT2851" s="1">
        <v>7710</v>
      </c>
      <c r="AU2851" s="1">
        <v>30860</v>
      </c>
      <c r="AV2851">
        <v>80.010000000000005</v>
      </c>
      <c r="AX2851" s="1">
        <v>4313.1000000000004</v>
      </c>
      <c r="AY2851" t="s">
        <v>217</v>
      </c>
      <c r="AZ2851" t="s">
        <v>217</v>
      </c>
      <c r="BA2851" t="s">
        <v>218</v>
      </c>
      <c r="BB2851" s="3">
        <v>43328</v>
      </c>
      <c r="BC2851" s="1">
        <v>0</v>
      </c>
      <c r="BD2851" t="s">
        <v>247</v>
      </c>
      <c r="BE2851" s="3">
        <v>42024</v>
      </c>
      <c r="BF2851" s="1">
        <v>433446</v>
      </c>
      <c r="BG2851" t="s">
        <v>14540</v>
      </c>
      <c r="BH2851" s="1">
        <v>168.72</v>
      </c>
      <c r="BI2851" s="1">
        <v>405535</v>
      </c>
      <c r="BJ2851" s="3">
        <v>42674</v>
      </c>
      <c r="BK2851" t="s">
        <v>123</v>
      </c>
      <c r="BL2851" t="str">
        <f>"2016.802052"</f>
        <v>2016.802052</v>
      </c>
      <c r="BM2851" t="s">
        <v>8916</v>
      </c>
      <c r="BN2851" t="s">
        <v>8917</v>
      </c>
      <c r="BO2851" t="s">
        <v>18810</v>
      </c>
      <c r="BS2851">
        <v>30</v>
      </c>
      <c r="BT2851" s="1">
        <v>405535</v>
      </c>
      <c r="BU2851" s="3">
        <v>42674</v>
      </c>
      <c r="BV2851" t="s">
        <v>123</v>
      </c>
      <c r="BW2851" t="str">
        <f>"2016.802052"</f>
        <v>2016.802052</v>
      </c>
      <c r="BX2851" t="s">
        <v>8916</v>
      </c>
      <c r="BY2851" t="s">
        <v>8917</v>
      </c>
      <c r="BZ2851" t="s">
        <v>18810</v>
      </c>
      <c r="CD2851">
        <v>30</v>
      </c>
      <c r="CH2851" t="str">
        <f>""</f>
        <v/>
      </c>
      <c r="CS2851" t="str">
        <f>""</f>
        <v/>
      </c>
    </row>
    <row r="2852" spans="1:97" x14ac:dyDescent="0.25">
      <c r="A2852" t="s">
        <v>18811</v>
      </c>
      <c r="B2852" t="s">
        <v>18812</v>
      </c>
      <c r="C2852" t="s">
        <v>488</v>
      </c>
      <c r="D2852" t="s">
        <v>18812</v>
      </c>
      <c r="E2852" t="s">
        <v>18813</v>
      </c>
      <c r="F2852" t="s">
        <v>108</v>
      </c>
      <c r="H2852" t="s">
        <v>18814</v>
      </c>
      <c r="I2852" t="s">
        <v>499</v>
      </c>
      <c r="J2852" t="s">
        <v>111</v>
      </c>
      <c r="K2852" t="str">
        <f>"85395"</f>
        <v>85395</v>
      </c>
      <c r="L2852" t="s">
        <v>541</v>
      </c>
      <c r="M2852" t="s">
        <v>18814</v>
      </c>
      <c r="N2852" t="s">
        <v>499</v>
      </c>
      <c r="O2852" t="s">
        <v>111</v>
      </c>
      <c r="P2852" t="str">
        <f>"85395-7602"</f>
        <v>85395-7602</v>
      </c>
      <c r="Q2852" t="s">
        <v>113</v>
      </c>
      <c r="R2852" t="str">
        <f>"508-11-617"</f>
        <v>508-11-617</v>
      </c>
      <c r="S2852" t="s">
        <v>5752</v>
      </c>
      <c r="T2852" t="s">
        <v>5753</v>
      </c>
      <c r="U2852">
        <v>3634</v>
      </c>
      <c r="V2852">
        <v>0</v>
      </c>
      <c r="W2852">
        <v>5</v>
      </c>
      <c r="X2852">
        <v>2012</v>
      </c>
      <c r="Z2852">
        <v>1</v>
      </c>
      <c r="AB2852">
        <v>0</v>
      </c>
      <c r="AC2852" t="s">
        <v>115</v>
      </c>
      <c r="AD2852">
        <v>3</v>
      </c>
      <c r="AE2852" t="s">
        <v>115</v>
      </c>
      <c r="AF2852">
        <v>0</v>
      </c>
      <c r="AG2852">
        <v>0</v>
      </c>
      <c r="AH2852" t="s">
        <v>116</v>
      </c>
      <c r="AI2852" s="1">
        <v>131260</v>
      </c>
      <c r="AJ2852" s="2">
        <v>0.26</v>
      </c>
      <c r="AK2852" s="1">
        <v>501100</v>
      </c>
      <c r="AL2852" t="s">
        <v>117</v>
      </c>
      <c r="AM2852" t="s">
        <v>118</v>
      </c>
      <c r="AN2852">
        <v>11068</v>
      </c>
      <c r="AO2852">
        <v>0.25</v>
      </c>
      <c r="AR2852">
        <v>1</v>
      </c>
      <c r="AS2852" s="1">
        <v>37830</v>
      </c>
      <c r="AT2852" s="1">
        <v>7560</v>
      </c>
      <c r="AU2852" s="1">
        <v>30270</v>
      </c>
      <c r="AV2852">
        <v>80.02</v>
      </c>
      <c r="AX2852" s="1">
        <v>4726.8</v>
      </c>
      <c r="AY2852" t="s">
        <v>3019</v>
      </c>
      <c r="AZ2852" t="s">
        <v>3020</v>
      </c>
      <c r="BA2852" t="s">
        <v>218</v>
      </c>
      <c r="BE2852" s="3">
        <v>41746</v>
      </c>
      <c r="BF2852" s="1">
        <v>360000</v>
      </c>
      <c r="BG2852" t="s">
        <v>18815</v>
      </c>
      <c r="BH2852" s="1">
        <v>99.06</v>
      </c>
      <c r="BI2852" s="1">
        <v>369840</v>
      </c>
      <c r="BJ2852" s="3">
        <v>42017</v>
      </c>
      <c r="BK2852" t="s">
        <v>123</v>
      </c>
      <c r="BL2852" t="str">
        <f>"2015.19421"</f>
        <v>2015.19421</v>
      </c>
      <c r="BM2852" t="s">
        <v>709</v>
      </c>
      <c r="BO2852" t="s">
        <v>18816</v>
      </c>
      <c r="BS2852">
        <v>30</v>
      </c>
      <c r="BW2852" t="str">
        <f>""</f>
        <v/>
      </c>
      <c r="CH2852" t="str">
        <f>""</f>
        <v/>
      </c>
      <c r="CS2852" t="str">
        <f>""</f>
        <v/>
      </c>
    </row>
    <row r="2853" spans="1:97" x14ac:dyDescent="0.25">
      <c r="A2853" t="s">
        <v>18817</v>
      </c>
      <c r="B2853" t="s">
        <v>7143</v>
      </c>
      <c r="C2853" t="s">
        <v>18818</v>
      </c>
      <c r="D2853" t="s">
        <v>7143</v>
      </c>
      <c r="E2853" t="s">
        <v>18819</v>
      </c>
      <c r="F2853" t="s">
        <v>108</v>
      </c>
      <c r="H2853" t="s">
        <v>18820</v>
      </c>
      <c r="I2853" t="s">
        <v>1788</v>
      </c>
      <c r="J2853" t="s">
        <v>111</v>
      </c>
      <c r="K2853" t="str">
        <f>"85355"</f>
        <v>85355</v>
      </c>
      <c r="L2853" t="s">
        <v>168</v>
      </c>
      <c r="M2853" t="s">
        <v>18820</v>
      </c>
      <c r="N2853" t="s">
        <v>1788</v>
      </c>
      <c r="O2853" t="s">
        <v>111</v>
      </c>
      <c r="P2853" t="str">
        <f>"85355-4465"</f>
        <v>85355-4465</v>
      </c>
      <c r="Q2853" t="s">
        <v>113</v>
      </c>
      <c r="R2853" t="str">
        <f>"502-90-520"</f>
        <v>502-90-520</v>
      </c>
      <c r="S2853" t="s">
        <v>8290</v>
      </c>
      <c r="T2853" t="s">
        <v>8290</v>
      </c>
      <c r="U2853">
        <v>2507</v>
      </c>
      <c r="V2853">
        <v>0</v>
      </c>
      <c r="W2853">
        <v>4</v>
      </c>
      <c r="X2853">
        <v>2014</v>
      </c>
      <c r="Z2853">
        <v>1</v>
      </c>
      <c r="AA2853" t="s">
        <v>26</v>
      </c>
      <c r="AB2853">
        <v>0</v>
      </c>
      <c r="AC2853" t="s">
        <v>115</v>
      </c>
      <c r="AD2853">
        <v>3</v>
      </c>
      <c r="AE2853" t="s">
        <v>115</v>
      </c>
      <c r="AF2853">
        <v>0</v>
      </c>
      <c r="AG2853">
        <v>0</v>
      </c>
      <c r="AH2853" t="s">
        <v>116</v>
      </c>
      <c r="AI2853" s="1">
        <v>90726</v>
      </c>
      <c r="AJ2853" s="2">
        <v>0.25</v>
      </c>
      <c r="AK2853" s="1">
        <v>357526</v>
      </c>
      <c r="AL2853" t="s">
        <v>117</v>
      </c>
      <c r="AM2853" t="s">
        <v>171</v>
      </c>
      <c r="AN2853">
        <v>8750</v>
      </c>
      <c r="AO2853">
        <v>0.2</v>
      </c>
      <c r="AR2853">
        <v>1</v>
      </c>
      <c r="AS2853" s="1">
        <v>27430</v>
      </c>
      <c r="AT2853" s="1">
        <v>5480</v>
      </c>
      <c r="AU2853" s="1">
        <v>21950</v>
      </c>
      <c r="AV2853">
        <v>80.02</v>
      </c>
      <c r="AX2853" s="1">
        <v>1661.66</v>
      </c>
      <c r="AY2853" t="s">
        <v>5972</v>
      </c>
      <c r="AZ2853" t="s">
        <v>5972</v>
      </c>
      <c r="BA2853" t="s">
        <v>5061</v>
      </c>
      <c r="BE2853" s="3">
        <v>41768</v>
      </c>
      <c r="BF2853" s="1">
        <v>311920</v>
      </c>
      <c r="BG2853" t="s">
        <v>158</v>
      </c>
      <c r="BH2853" s="1">
        <v>124.42</v>
      </c>
      <c r="BI2853" s="1">
        <v>266800</v>
      </c>
      <c r="BJ2853" s="3">
        <v>42704</v>
      </c>
      <c r="BK2853" t="s">
        <v>123</v>
      </c>
      <c r="BL2853" t="str">
        <f>"2016.878974"</f>
        <v>2016.878974</v>
      </c>
      <c r="BM2853" t="s">
        <v>124</v>
      </c>
      <c r="BO2853" t="s">
        <v>18821</v>
      </c>
      <c r="BS2853">
        <v>30</v>
      </c>
      <c r="BW2853" t="str">
        <f>""</f>
        <v/>
      </c>
      <c r="CH2853" t="str">
        <f>""</f>
        <v/>
      </c>
      <c r="CS2853" t="str">
        <f>""</f>
        <v/>
      </c>
    </row>
    <row r="2854" spans="1:97" x14ac:dyDescent="0.25">
      <c r="A2854" t="s">
        <v>6510</v>
      </c>
      <c r="B2854" t="s">
        <v>1733</v>
      </c>
      <c r="C2854" t="s">
        <v>494</v>
      </c>
      <c r="D2854" t="s">
        <v>1733</v>
      </c>
      <c r="E2854" t="s">
        <v>18822</v>
      </c>
      <c r="F2854" t="s">
        <v>108</v>
      </c>
      <c r="H2854" t="s">
        <v>18823</v>
      </c>
      <c r="I2854" t="s">
        <v>632</v>
      </c>
      <c r="J2854" t="s">
        <v>111</v>
      </c>
      <c r="K2854" t="str">
        <f>"85374"</f>
        <v>85374</v>
      </c>
      <c r="L2854" t="s">
        <v>8462</v>
      </c>
      <c r="M2854" t="s">
        <v>18823</v>
      </c>
      <c r="N2854" t="s">
        <v>632</v>
      </c>
      <c r="O2854" t="s">
        <v>111</v>
      </c>
      <c r="P2854" t="str">
        <f>"85374-6271"</f>
        <v>85374-6271</v>
      </c>
      <c r="Q2854" t="s">
        <v>113</v>
      </c>
      <c r="R2854" t="str">
        <f>"232-35-146"</f>
        <v>232-35-146</v>
      </c>
      <c r="S2854" t="s">
        <v>18824</v>
      </c>
      <c r="T2854" t="s">
        <v>18825</v>
      </c>
      <c r="U2854">
        <v>2282</v>
      </c>
      <c r="V2854">
        <v>0</v>
      </c>
      <c r="W2854">
        <v>3</v>
      </c>
      <c r="X2854">
        <v>1998</v>
      </c>
      <c r="Z2854">
        <v>1</v>
      </c>
      <c r="AA2854" t="s">
        <v>26</v>
      </c>
      <c r="AB2854">
        <v>0</v>
      </c>
      <c r="AC2854" t="s">
        <v>115</v>
      </c>
      <c r="AD2854">
        <v>2</v>
      </c>
      <c r="AE2854" t="s">
        <v>115</v>
      </c>
      <c r="AF2854">
        <v>0</v>
      </c>
      <c r="AG2854">
        <v>0</v>
      </c>
      <c r="AH2854" t="s">
        <v>116</v>
      </c>
      <c r="AI2854" s="1">
        <v>132410</v>
      </c>
      <c r="AJ2854" s="2">
        <v>0.25</v>
      </c>
      <c r="AK2854" s="1">
        <v>519938</v>
      </c>
      <c r="AL2854" t="s">
        <v>117</v>
      </c>
      <c r="AM2854" t="s">
        <v>118</v>
      </c>
      <c r="AN2854">
        <v>10560</v>
      </c>
      <c r="AO2854">
        <v>0.24</v>
      </c>
      <c r="AP2854">
        <v>1</v>
      </c>
      <c r="AR2854">
        <v>1</v>
      </c>
      <c r="AS2854" s="1">
        <v>38870</v>
      </c>
      <c r="AT2854" s="1">
        <v>7770</v>
      </c>
      <c r="AU2854" s="1">
        <v>31100</v>
      </c>
      <c r="AV2854">
        <v>80.010000000000005</v>
      </c>
      <c r="AX2854" s="1">
        <v>4135.58</v>
      </c>
      <c r="AY2854" t="s">
        <v>5108</v>
      </c>
      <c r="AZ2854" t="s">
        <v>5108</v>
      </c>
      <c r="BA2854" t="s">
        <v>5109</v>
      </c>
      <c r="BE2854" s="3">
        <v>41844</v>
      </c>
      <c r="BF2854" s="1">
        <v>447000</v>
      </c>
      <c r="BG2854" t="s">
        <v>18826</v>
      </c>
      <c r="BH2854" s="1">
        <v>195.88</v>
      </c>
      <c r="BI2854" s="1">
        <v>387528</v>
      </c>
      <c r="BJ2854" s="3">
        <v>42508</v>
      </c>
      <c r="BK2854" t="s">
        <v>123</v>
      </c>
      <c r="BL2854" t="str">
        <f>"2016.338838"</f>
        <v>2016.338838</v>
      </c>
      <c r="BM2854" t="s">
        <v>402</v>
      </c>
      <c r="BO2854" t="s">
        <v>18827</v>
      </c>
      <c r="BS2854">
        <v>30</v>
      </c>
      <c r="BW2854" t="str">
        <f>""</f>
        <v/>
      </c>
      <c r="CH2854" t="str">
        <f>""</f>
        <v/>
      </c>
      <c r="CS2854" t="str">
        <f>""</f>
        <v/>
      </c>
    </row>
    <row r="2855" spans="1:97" x14ac:dyDescent="0.25">
      <c r="A2855" t="s">
        <v>815</v>
      </c>
      <c r="B2855" t="s">
        <v>18828</v>
      </c>
      <c r="C2855" t="s">
        <v>18829</v>
      </c>
      <c r="D2855" t="s">
        <v>18828</v>
      </c>
      <c r="E2855" t="s">
        <v>18830</v>
      </c>
      <c r="F2855" t="s">
        <v>108</v>
      </c>
      <c r="H2855" t="s">
        <v>18831</v>
      </c>
      <c r="I2855" t="s">
        <v>2874</v>
      </c>
      <c r="J2855" t="s">
        <v>111</v>
      </c>
      <c r="K2855" t="str">
        <f>"85308"</f>
        <v>85308</v>
      </c>
      <c r="L2855" t="s">
        <v>2354</v>
      </c>
      <c r="M2855" t="s">
        <v>18831</v>
      </c>
      <c r="N2855" t="s">
        <v>2874</v>
      </c>
      <c r="O2855" t="s">
        <v>111</v>
      </c>
      <c r="P2855" t="str">
        <f>"85308-6377"</f>
        <v>85308-6377</v>
      </c>
      <c r="Q2855" t="s">
        <v>113</v>
      </c>
      <c r="R2855" t="str">
        <f>"231-16-171"</f>
        <v>231-16-171</v>
      </c>
      <c r="S2855" t="s">
        <v>18832</v>
      </c>
      <c r="T2855" t="s">
        <v>3162</v>
      </c>
      <c r="U2855">
        <v>3309</v>
      </c>
      <c r="V2855">
        <v>0</v>
      </c>
      <c r="W2855">
        <v>4</v>
      </c>
      <c r="X2855">
        <v>1995</v>
      </c>
      <c r="Z2855">
        <v>2</v>
      </c>
      <c r="AA2855" t="s">
        <v>26</v>
      </c>
      <c r="AB2855">
        <v>0</v>
      </c>
      <c r="AC2855" t="s">
        <v>115</v>
      </c>
      <c r="AD2855">
        <v>3</v>
      </c>
      <c r="AE2855" t="s">
        <v>115</v>
      </c>
      <c r="AF2855">
        <v>0</v>
      </c>
      <c r="AG2855">
        <v>0</v>
      </c>
      <c r="AH2855" t="s">
        <v>116</v>
      </c>
      <c r="AI2855" s="1">
        <v>219461</v>
      </c>
      <c r="AJ2855" s="2">
        <v>0.44</v>
      </c>
      <c r="AK2855" s="1">
        <v>498371</v>
      </c>
      <c r="AL2855" t="s">
        <v>117</v>
      </c>
      <c r="AM2855" t="s">
        <v>191</v>
      </c>
      <c r="AN2855">
        <v>8340</v>
      </c>
      <c r="AO2855">
        <v>0.19</v>
      </c>
      <c r="AP2855">
        <v>1</v>
      </c>
      <c r="AR2855">
        <v>1</v>
      </c>
      <c r="AS2855" s="1">
        <v>35670</v>
      </c>
      <c r="AT2855" s="1">
        <v>7130</v>
      </c>
      <c r="AU2855" s="1">
        <v>28540</v>
      </c>
      <c r="AV2855">
        <v>80.010000000000005</v>
      </c>
      <c r="AX2855" s="1">
        <v>3665.5</v>
      </c>
      <c r="AY2855" t="s">
        <v>7455</v>
      </c>
      <c r="AZ2855" t="s">
        <v>3049</v>
      </c>
      <c r="BA2855" t="s">
        <v>2223</v>
      </c>
      <c r="BB2855" s="3">
        <v>42513</v>
      </c>
      <c r="BD2855" t="s">
        <v>480</v>
      </c>
      <c r="BE2855" s="3">
        <v>42465</v>
      </c>
      <c r="BF2855" s="1">
        <v>415000</v>
      </c>
      <c r="BG2855" t="s">
        <v>18833</v>
      </c>
      <c r="BH2855" s="1">
        <v>125.42</v>
      </c>
      <c r="BI2855" s="1">
        <v>278910</v>
      </c>
      <c r="BJ2855" s="3">
        <v>42986</v>
      </c>
      <c r="BK2855" t="s">
        <v>123</v>
      </c>
      <c r="BL2855" t="str">
        <f>"2017.665640"</f>
        <v>2017.665640</v>
      </c>
      <c r="BM2855" t="s">
        <v>361</v>
      </c>
      <c r="BO2855" t="s">
        <v>18834</v>
      </c>
      <c r="BS2855">
        <v>30</v>
      </c>
      <c r="BW2855" t="str">
        <f>""</f>
        <v/>
      </c>
      <c r="CH2855" t="str">
        <f>""</f>
        <v/>
      </c>
      <c r="CS2855" t="str">
        <f>""</f>
        <v/>
      </c>
    </row>
    <row r="2856" spans="1:97" x14ac:dyDescent="0.25">
      <c r="A2856" t="s">
        <v>1160</v>
      </c>
      <c r="B2856" t="s">
        <v>18835</v>
      </c>
      <c r="C2856" t="s">
        <v>3505</v>
      </c>
      <c r="D2856" t="s">
        <v>18835</v>
      </c>
      <c r="E2856" t="s">
        <v>18836</v>
      </c>
      <c r="F2856" t="s">
        <v>108</v>
      </c>
      <c r="H2856" t="s">
        <v>18837</v>
      </c>
      <c r="I2856" t="s">
        <v>499</v>
      </c>
      <c r="J2856" t="s">
        <v>111</v>
      </c>
      <c r="K2856" t="str">
        <f>"85338"</f>
        <v>85338</v>
      </c>
      <c r="L2856" t="s">
        <v>6481</v>
      </c>
      <c r="M2856" t="s">
        <v>18837</v>
      </c>
      <c r="N2856" t="s">
        <v>499</v>
      </c>
      <c r="O2856" t="s">
        <v>111</v>
      </c>
      <c r="P2856" t="str">
        <f>"85338-6009"</f>
        <v>85338-6009</v>
      </c>
      <c r="Q2856" t="s">
        <v>113</v>
      </c>
      <c r="R2856" t="str">
        <f>"500-96-423"</f>
        <v>500-96-423</v>
      </c>
      <c r="S2856" t="s">
        <v>18838</v>
      </c>
      <c r="U2856">
        <v>2976</v>
      </c>
      <c r="V2856">
        <v>0</v>
      </c>
      <c r="W2856">
        <v>5</v>
      </c>
      <c r="X2856">
        <v>2007</v>
      </c>
      <c r="Z2856">
        <v>1</v>
      </c>
      <c r="AA2856" t="s">
        <v>26</v>
      </c>
      <c r="AB2856">
        <v>0</v>
      </c>
      <c r="AC2856" t="s">
        <v>115</v>
      </c>
      <c r="AD2856">
        <v>2</v>
      </c>
      <c r="AE2856" t="s">
        <v>115</v>
      </c>
      <c r="AF2856">
        <v>0</v>
      </c>
      <c r="AG2856">
        <v>0</v>
      </c>
      <c r="AH2856" t="s">
        <v>116</v>
      </c>
      <c r="AI2856" s="1">
        <v>41301</v>
      </c>
      <c r="AJ2856" s="2">
        <v>0.1</v>
      </c>
      <c r="AK2856" s="1">
        <v>427812</v>
      </c>
      <c r="AL2856" t="s">
        <v>117</v>
      </c>
      <c r="AM2856" t="s">
        <v>118</v>
      </c>
      <c r="AN2856">
        <v>13095</v>
      </c>
      <c r="AO2856">
        <v>0.3</v>
      </c>
      <c r="AR2856">
        <v>1</v>
      </c>
      <c r="AS2856" s="1">
        <v>29170</v>
      </c>
      <c r="AT2856" s="1">
        <v>5830</v>
      </c>
      <c r="AU2856" s="1">
        <v>23340</v>
      </c>
      <c r="AV2856">
        <v>80.010000000000005</v>
      </c>
      <c r="AX2856" s="1">
        <v>2888.24</v>
      </c>
      <c r="AY2856" t="s">
        <v>6319</v>
      </c>
      <c r="AZ2856" t="s">
        <v>6319</v>
      </c>
      <c r="BA2856" t="s">
        <v>7186</v>
      </c>
      <c r="BE2856" s="3">
        <v>41942</v>
      </c>
      <c r="BF2856" s="1">
        <v>379900</v>
      </c>
      <c r="BG2856" t="s">
        <v>18839</v>
      </c>
      <c r="BH2856" s="1">
        <v>127.65</v>
      </c>
      <c r="BI2856" s="1">
        <v>386511</v>
      </c>
      <c r="BJ2856" s="3">
        <v>42485</v>
      </c>
      <c r="BK2856" t="s">
        <v>123</v>
      </c>
      <c r="BL2856" t="str">
        <f>"2016.274954"</f>
        <v>2016.274954</v>
      </c>
      <c r="BM2856" t="s">
        <v>2378</v>
      </c>
      <c r="BO2856" t="s">
        <v>18840</v>
      </c>
      <c r="BS2856">
        <v>30</v>
      </c>
      <c r="BW2856" t="str">
        <f>""</f>
        <v/>
      </c>
      <c r="CH2856" t="str">
        <f>""</f>
        <v/>
      </c>
      <c r="CS2856" t="str">
        <f>""</f>
        <v/>
      </c>
    </row>
    <row r="2857" spans="1:97" x14ac:dyDescent="0.25">
      <c r="A2857" t="s">
        <v>1938</v>
      </c>
      <c r="B2857" t="s">
        <v>18841</v>
      </c>
      <c r="C2857" t="s">
        <v>703</v>
      </c>
      <c r="D2857" t="s">
        <v>18841</v>
      </c>
      <c r="E2857" t="s">
        <v>18842</v>
      </c>
      <c r="F2857" t="s">
        <v>108</v>
      </c>
      <c r="H2857" t="s">
        <v>18843</v>
      </c>
      <c r="I2857" t="s">
        <v>1397</v>
      </c>
      <c r="J2857" t="s">
        <v>111</v>
      </c>
      <c r="K2857" t="str">
        <f>"85331"</f>
        <v>85331</v>
      </c>
      <c r="L2857" t="s">
        <v>14190</v>
      </c>
      <c r="M2857" t="s">
        <v>18843</v>
      </c>
      <c r="N2857" t="s">
        <v>1397</v>
      </c>
      <c r="O2857" t="s">
        <v>111</v>
      </c>
      <c r="P2857" t="str">
        <f>"85331-1549"</f>
        <v>85331-1549</v>
      </c>
      <c r="Q2857" t="s">
        <v>113</v>
      </c>
      <c r="R2857" t="str">
        <f>"211-48-367"</f>
        <v>211-48-367</v>
      </c>
      <c r="S2857" t="s">
        <v>5959</v>
      </c>
      <c r="U2857">
        <v>2166</v>
      </c>
      <c r="V2857">
        <v>0</v>
      </c>
      <c r="W2857">
        <v>3</v>
      </c>
      <c r="X2857">
        <v>2010</v>
      </c>
      <c r="Z2857">
        <v>1</v>
      </c>
      <c r="AB2857">
        <v>0</v>
      </c>
      <c r="AC2857" t="s">
        <v>115</v>
      </c>
      <c r="AD2857">
        <v>2</v>
      </c>
      <c r="AE2857" t="s">
        <v>115</v>
      </c>
      <c r="AF2857">
        <v>0</v>
      </c>
      <c r="AG2857">
        <v>0</v>
      </c>
      <c r="AH2857" t="s">
        <v>116</v>
      </c>
      <c r="AI2857" s="1">
        <v>92668</v>
      </c>
      <c r="AJ2857" s="2">
        <v>0.17</v>
      </c>
      <c r="AK2857" s="1">
        <v>536218</v>
      </c>
      <c r="AL2857" t="s">
        <v>117</v>
      </c>
      <c r="AM2857" t="s">
        <v>3973</v>
      </c>
      <c r="AN2857">
        <v>7201</v>
      </c>
      <c r="AO2857">
        <v>0.16</v>
      </c>
      <c r="AR2857">
        <v>1</v>
      </c>
      <c r="AS2857" s="1">
        <v>35950</v>
      </c>
      <c r="AT2857" s="1">
        <v>7190</v>
      </c>
      <c r="AU2857" s="1">
        <v>28760</v>
      </c>
      <c r="AV2857">
        <v>80</v>
      </c>
      <c r="AX2857" s="1">
        <v>2198.62</v>
      </c>
      <c r="AY2857" t="s">
        <v>1401</v>
      </c>
      <c r="AZ2857" t="s">
        <v>1402</v>
      </c>
      <c r="BA2857" t="s">
        <v>1403</v>
      </c>
      <c r="BE2857" s="3">
        <v>42121</v>
      </c>
      <c r="BF2857" s="1">
        <v>440000</v>
      </c>
      <c r="BG2857" t="s">
        <v>18844</v>
      </c>
      <c r="BH2857" s="1">
        <v>203.14</v>
      </c>
      <c r="BI2857" s="1">
        <v>443550</v>
      </c>
      <c r="BJ2857" s="3">
        <v>42121</v>
      </c>
      <c r="BK2857" t="s">
        <v>123</v>
      </c>
      <c r="BL2857" t="str">
        <f>"2015.288196"</f>
        <v>2015.288196</v>
      </c>
      <c r="BM2857" t="s">
        <v>124</v>
      </c>
      <c r="BO2857" t="s">
        <v>18845</v>
      </c>
      <c r="BS2857">
        <v>30</v>
      </c>
      <c r="BW2857" t="str">
        <f>""</f>
        <v/>
      </c>
      <c r="CH2857" t="str">
        <f>""</f>
        <v/>
      </c>
      <c r="CS2857" t="str">
        <f>""</f>
        <v/>
      </c>
    </row>
    <row r="2858" spans="1:97" x14ac:dyDescent="0.25">
      <c r="B2858" t="s">
        <v>18846</v>
      </c>
      <c r="E2858" t="s">
        <v>18847</v>
      </c>
      <c r="F2858" t="s">
        <v>108</v>
      </c>
      <c r="H2858" t="s">
        <v>18848</v>
      </c>
      <c r="I2858" t="s">
        <v>203</v>
      </c>
      <c r="J2858" t="s">
        <v>111</v>
      </c>
      <c r="K2858" t="str">
        <f>"85298"</f>
        <v>85298</v>
      </c>
      <c r="L2858" t="s">
        <v>5872</v>
      </c>
      <c r="M2858" t="s">
        <v>18848</v>
      </c>
      <c r="N2858" t="s">
        <v>203</v>
      </c>
      <c r="O2858" t="s">
        <v>111</v>
      </c>
      <c r="P2858" t="str">
        <f>"85298-4248"</f>
        <v>85298-4248</v>
      </c>
      <c r="Q2858" t="s">
        <v>113</v>
      </c>
      <c r="R2858" t="str">
        <f>"304-87-477"</f>
        <v>304-87-477</v>
      </c>
      <c r="S2858" t="s">
        <v>18849</v>
      </c>
      <c r="T2858" t="s">
        <v>18850</v>
      </c>
      <c r="U2858">
        <v>3530</v>
      </c>
      <c r="V2858">
        <v>0</v>
      </c>
      <c r="W2858">
        <v>4</v>
      </c>
      <c r="X2858">
        <v>2006</v>
      </c>
      <c r="Z2858">
        <v>2</v>
      </c>
      <c r="AA2858" t="s">
        <v>26</v>
      </c>
      <c r="AB2858">
        <v>0</v>
      </c>
      <c r="AC2858" t="s">
        <v>115</v>
      </c>
      <c r="AD2858">
        <v>3</v>
      </c>
      <c r="AE2858" t="s">
        <v>115</v>
      </c>
      <c r="AF2858">
        <v>0</v>
      </c>
      <c r="AG2858">
        <v>0</v>
      </c>
      <c r="AH2858" t="s">
        <v>116</v>
      </c>
      <c r="AI2858" s="1">
        <v>157572</v>
      </c>
      <c r="AJ2858" s="2">
        <v>0.28999999999999998</v>
      </c>
      <c r="AK2858" s="1">
        <v>534648</v>
      </c>
      <c r="AL2858" t="s">
        <v>117</v>
      </c>
      <c r="AM2858" t="s">
        <v>171</v>
      </c>
      <c r="AN2858">
        <v>8516</v>
      </c>
      <c r="AO2858">
        <v>0.2</v>
      </c>
      <c r="AP2858">
        <v>1</v>
      </c>
      <c r="AR2858">
        <v>1</v>
      </c>
      <c r="AS2858" s="1">
        <v>39120</v>
      </c>
      <c r="AT2858" s="1">
        <v>7820</v>
      </c>
      <c r="AU2858" s="1">
        <v>31300</v>
      </c>
      <c r="AV2858">
        <v>80.010000000000005</v>
      </c>
      <c r="AX2858" s="1">
        <v>3548.08</v>
      </c>
      <c r="AY2858" t="s">
        <v>5875</v>
      </c>
      <c r="AZ2858" t="s">
        <v>1134</v>
      </c>
      <c r="BA2858" t="s">
        <v>1134</v>
      </c>
      <c r="BB2858" s="3">
        <v>42261</v>
      </c>
      <c r="BD2858" t="s">
        <v>458</v>
      </c>
      <c r="BE2858" s="3">
        <v>42167</v>
      </c>
      <c r="BF2858" s="1">
        <v>500000</v>
      </c>
      <c r="BG2858" t="s">
        <v>18851</v>
      </c>
      <c r="BH2858" s="1">
        <v>141.63999999999999</v>
      </c>
      <c r="BI2858" s="1">
        <v>377076</v>
      </c>
      <c r="BJ2858" s="3">
        <v>42655</v>
      </c>
      <c r="BK2858" t="s">
        <v>123</v>
      </c>
      <c r="BL2858" t="str">
        <f>"2016.747010"</f>
        <v>2016.747010</v>
      </c>
      <c r="BM2858" t="s">
        <v>322</v>
      </c>
      <c r="BO2858" t="s">
        <v>18852</v>
      </c>
      <c r="BS2858">
        <v>30</v>
      </c>
      <c r="BW2858" t="str">
        <f>""</f>
        <v/>
      </c>
      <c r="CH2858" t="str">
        <f>""</f>
        <v/>
      </c>
      <c r="CS2858" t="str">
        <f>""</f>
        <v/>
      </c>
    </row>
    <row r="2859" spans="1:97" x14ac:dyDescent="0.25">
      <c r="A2859" t="s">
        <v>1295</v>
      </c>
      <c r="B2859" t="s">
        <v>18853</v>
      </c>
      <c r="C2859" t="s">
        <v>220</v>
      </c>
      <c r="D2859" t="s">
        <v>1768</v>
      </c>
      <c r="E2859" t="s">
        <v>18854</v>
      </c>
      <c r="F2859" t="s">
        <v>108</v>
      </c>
      <c r="H2859" t="s">
        <v>18855</v>
      </c>
      <c r="I2859" t="s">
        <v>144</v>
      </c>
      <c r="J2859" t="s">
        <v>111</v>
      </c>
      <c r="K2859" t="str">
        <f>"85326"</f>
        <v>85326</v>
      </c>
      <c r="L2859" t="s">
        <v>5464</v>
      </c>
      <c r="M2859" t="s">
        <v>18855</v>
      </c>
      <c r="N2859" t="s">
        <v>144</v>
      </c>
      <c r="O2859" t="s">
        <v>111</v>
      </c>
      <c r="P2859" t="str">
        <f>"85326-2544"</f>
        <v>85326-2544</v>
      </c>
      <c r="Q2859" t="s">
        <v>113</v>
      </c>
      <c r="R2859" t="str">
        <f>"504-41-334"</f>
        <v>504-41-334</v>
      </c>
      <c r="S2859" t="s">
        <v>18856</v>
      </c>
      <c r="T2859" t="s">
        <v>18856</v>
      </c>
      <c r="U2859">
        <v>2546</v>
      </c>
      <c r="V2859">
        <v>0</v>
      </c>
      <c r="W2859">
        <v>4</v>
      </c>
      <c r="X2859">
        <v>2015</v>
      </c>
      <c r="Z2859">
        <v>2</v>
      </c>
      <c r="AB2859">
        <v>0</v>
      </c>
      <c r="AC2859" t="s">
        <v>115</v>
      </c>
      <c r="AD2859">
        <v>2</v>
      </c>
      <c r="AE2859" t="s">
        <v>115</v>
      </c>
      <c r="AF2859">
        <v>0</v>
      </c>
      <c r="AG2859">
        <v>0</v>
      </c>
      <c r="AH2859" t="s">
        <v>116</v>
      </c>
      <c r="AI2859" s="1">
        <v>53409</v>
      </c>
      <c r="AJ2859" s="2">
        <v>0.21</v>
      </c>
      <c r="AK2859" s="1">
        <v>259309</v>
      </c>
      <c r="AL2859" t="s">
        <v>117</v>
      </c>
      <c r="AM2859" t="s">
        <v>7948</v>
      </c>
      <c r="AN2859">
        <v>7826</v>
      </c>
      <c r="AO2859">
        <v>0.18</v>
      </c>
      <c r="AR2859">
        <v>1</v>
      </c>
      <c r="AS2859" s="1">
        <v>18800</v>
      </c>
      <c r="AT2859" s="1">
        <v>3760</v>
      </c>
      <c r="AU2859" s="1">
        <v>15040</v>
      </c>
      <c r="AV2859">
        <v>80</v>
      </c>
      <c r="AX2859" s="1">
        <v>1801.06</v>
      </c>
      <c r="AY2859" t="s">
        <v>15328</v>
      </c>
      <c r="AZ2859" t="s">
        <v>15328</v>
      </c>
      <c r="BA2859" t="s">
        <v>9622</v>
      </c>
      <c r="BE2859" s="3">
        <v>42220</v>
      </c>
      <c r="BF2859" s="1">
        <v>205900</v>
      </c>
      <c r="BG2859" t="s">
        <v>18857</v>
      </c>
      <c r="BH2859" s="1">
        <v>80.87</v>
      </c>
      <c r="BI2859" s="1">
        <v>205900</v>
      </c>
      <c r="BJ2859" s="3">
        <v>42220</v>
      </c>
      <c r="BK2859" t="s">
        <v>123</v>
      </c>
      <c r="BL2859" t="str">
        <f>"2015.563785"</f>
        <v>2015.563785</v>
      </c>
      <c r="BM2859" t="s">
        <v>175</v>
      </c>
      <c r="BO2859" t="s">
        <v>18858</v>
      </c>
      <c r="BP2859" t="s">
        <v>18859</v>
      </c>
      <c r="BS2859">
        <v>30</v>
      </c>
      <c r="BW2859" t="str">
        <f>""</f>
        <v/>
      </c>
      <c r="CH2859" t="str">
        <f>""</f>
        <v/>
      </c>
      <c r="CS2859" t="str">
        <f>""</f>
        <v/>
      </c>
    </row>
    <row r="2860" spans="1:97" x14ac:dyDescent="0.25">
      <c r="A2860" t="s">
        <v>18860</v>
      </c>
      <c r="B2860" t="s">
        <v>18861</v>
      </c>
      <c r="C2860" t="s">
        <v>2319</v>
      </c>
      <c r="D2860" t="s">
        <v>18861</v>
      </c>
      <c r="E2860" t="s">
        <v>18862</v>
      </c>
      <c r="F2860" t="s">
        <v>108</v>
      </c>
      <c r="H2860" t="s">
        <v>18863</v>
      </c>
      <c r="I2860" t="s">
        <v>225</v>
      </c>
      <c r="J2860" t="s">
        <v>111</v>
      </c>
      <c r="K2860" t="str">
        <f>"85213"</f>
        <v>85213</v>
      </c>
      <c r="L2860" t="s">
        <v>6631</v>
      </c>
      <c r="M2860" t="s">
        <v>18863</v>
      </c>
      <c r="N2860" t="s">
        <v>225</v>
      </c>
      <c r="O2860" t="s">
        <v>111</v>
      </c>
      <c r="P2860" t="str">
        <f>"85213-5227"</f>
        <v>85213-5227</v>
      </c>
      <c r="Q2860" t="s">
        <v>113</v>
      </c>
      <c r="R2860" t="str">
        <f>"140-08-361"</f>
        <v>140-08-361</v>
      </c>
      <c r="S2860" t="s">
        <v>18864</v>
      </c>
      <c r="T2860" t="s">
        <v>10222</v>
      </c>
      <c r="U2860">
        <v>1700</v>
      </c>
      <c r="V2860">
        <v>0</v>
      </c>
      <c r="W2860">
        <v>3</v>
      </c>
      <c r="X2860">
        <v>1978</v>
      </c>
      <c r="Z2860">
        <v>1</v>
      </c>
      <c r="AB2860">
        <v>0</v>
      </c>
      <c r="AC2860" t="s">
        <v>5188</v>
      </c>
      <c r="AD2860">
        <v>2</v>
      </c>
      <c r="AE2860" t="s">
        <v>5188</v>
      </c>
      <c r="AF2860">
        <v>0</v>
      </c>
      <c r="AG2860">
        <v>0</v>
      </c>
      <c r="AH2860" t="s">
        <v>116</v>
      </c>
      <c r="AI2860" s="1">
        <v>86097</v>
      </c>
      <c r="AJ2860" s="2">
        <v>0.3</v>
      </c>
      <c r="AK2860" s="1">
        <v>288864</v>
      </c>
      <c r="AL2860" t="s">
        <v>117</v>
      </c>
      <c r="AM2860" t="s">
        <v>917</v>
      </c>
      <c r="AN2860">
        <v>9965</v>
      </c>
      <c r="AO2860">
        <v>0.23</v>
      </c>
      <c r="AP2860">
        <v>1</v>
      </c>
      <c r="AR2860">
        <v>1</v>
      </c>
      <c r="AS2860" s="1">
        <v>20000</v>
      </c>
      <c r="AT2860" s="1">
        <v>4000</v>
      </c>
      <c r="AU2860" s="1">
        <v>16000</v>
      </c>
      <c r="AV2860">
        <v>80</v>
      </c>
      <c r="AX2860" s="1">
        <v>1344.76</v>
      </c>
      <c r="AY2860" t="s">
        <v>9091</v>
      </c>
      <c r="AZ2860" t="s">
        <v>1523</v>
      </c>
      <c r="BA2860" t="s">
        <v>1524</v>
      </c>
      <c r="BE2860" s="3">
        <v>42062</v>
      </c>
      <c r="BF2860" s="1">
        <v>204900</v>
      </c>
      <c r="BG2860" t="s">
        <v>18865</v>
      </c>
      <c r="BH2860" s="1">
        <v>120.53</v>
      </c>
      <c r="BI2860" s="1">
        <v>202767</v>
      </c>
      <c r="BJ2860" s="3">
        <v>42681</v>
      </c>
      <c r="BK2860" t="s">
        <v>123</v>
      </c>
      <c r="BL2860" t="str">
        <f>"2016.818852"</f>
        <v>2016.818852</v>
      </c>
      <c r="BM2860" t="s">
        <v>2117</v>
      </c>
      <c r="BO2860" t="s">
        <v>18866</v>
      </c>
      <c r="BS2860">
        <v>30</v>
      </c>
      <c r="BW2860" t="str">
        <f>""</f>
        <v/>
      </c>
      <c r="CH2860" t="str">
        <f>""</f>
        <v/>
      </c>
      <c r="CS2860" t="str">
        <f>""</f>
        <v/>
      </c>
    </row>
    <row r="2861" spans="1:97" x14ac:dyDescent="0.25">
      <c r="A2861" t="s">
        <v>8735</v>
      </c>
      <c r="B2861" t="s">
        <v>4652</v>
      </c>
      <c r="E2861" t="s">
        <v>18867</v>
      </c>
      <c r="F2861" t="s">
        <v>108</v>
      </c>
      <c r="H2861" t="s">
        <v>18868</v>
      </c>
      <c r="I2861" t="s">
        <v>203</v>
      </c>
      <c r="J2861" t="s">
        <v>111</v>
      </c>
      <c r="K2861" t="str">
        <f>"85298"</f>
        <v>85298</v>
      </c>
      <c r="L2861" t="s">
        <v>500</v>
      </c>
      <c r="M2861" t="s">
        <v>18868</v>
      </c>
      <c r="N2861" t="s">
        <v>203</v>
      </c>
      <c r="O2861" t="s">
        <v>111</v>
      </c>
      <c r="P2861" t="str">
        <f>"85298-8819"</f>
        <v>85298-8819</v>
      </c>
      <c r="Q2861" t="s">
        <v>113</v>
      </c>
      <c r="R2861" t="str">
        <f>"304-78-099"</f>
        <v>304-78-099</v>
      </c>
      <c r="S2861" t="s">
        <v>7461</v>
      </c>
      <c r="T2861" t="s">
        <v>7462</v>
      </c>
      <c r="U2861">
        <v>1664</v>
      </c>
      <c r="V2861">
        <v>0</v>
      </c>
      <c r="W2861">
        <v>3</v>
      </c>
      <c r="X2861">
        <v>2001</v>
      </c>
      <c r="Z2861">
        <v>1</v>
      </c>
      <c r="AB2861">
        <v>0</v>
      </c>
      <c r="AC2861" t="s">
        <v>115</v>
      </c>
      <c r="AD2861">
        <v>2</v>
      </c>
      <c r="AE2861" t="s">
        <v>115</v>
      </c>
      <c r="AF2861">
        <v>0</v>
      </c>
      <c r="AG2861">
        <v>0</v>
      </c>
      <c r="AH2861" t="s">
        <v>116</v>
      </c>
      <c r="AI2861" s="1">
        <v>83573</v>
      </c>
      <c r="AJ2861" s="2">
        <v>0.27</v>
      </c>
      <c r="AK2861" s="1">
        <v>305350</v>
      </c>
      <c r="AL2861" t="s">
        <v>117</v>
      </c>
      <c r="AM2861" t="s">
        <v>191</v>
      </c>
      <c r="AN2861">
        <v>8351</v>
      </c>
      <c r="AO2861">
        <v>0.19</v>
      </c>
      <c r="AP2861">
        <v>1</v>
      </c>
      <c r="AR2861">
        <v>1</v>
      </c>
      <c r="AS2861" s="1">
        <v>20430</v>
      </c>
      <c r="AT2861" s="1">
        <v>4080</v>
      </c>
      <c r="AU2861" s="1">
        <v>16350</v>
      </c>
      <c r="AV2861">
        <v>80.03</v>
      </c>
      <c r="AX2861" s="1">
        <v>1663.52</v>
      </c>
      <c r="AY2861" t="s">
        <v>1133</v>
      </c>
      <c r="AZ2861" t="s">
        <v>1134</v>
      </c>
      <c r="BA2861" t="s">
        <v>1134</v>
      </c>
      <c r="BE2861" s="3">
        <v>42352</v>
      </c>
      <c r="BF2861" s="1">
        <v>230000</v>
      </c>
      <c r="BG2861" t="s">
        <v>5034</v>
      </c>
      <c r="BH2861" s="1">
        <v>138.22</v>
      </c>
      <c r="BI2861" s="1">
        <v>221777</v>
      </c>
      <c r="BJ2861" s="3">
        <v>42352</v>
      </c>
      <c r="BK2861" t="s">
        <v>123</v>
      </c>
      <c r="BL2861" t="str">
        <f>"2015.879014"</f>
        <v>2015.879014</v>
      </c>
      <c r="BM2861" t="s">
        <v>724</v>
      </c>
      <c r="BO2861" t="s">
        <v>18869</v>
      </c>
      <c r="BS2861">
        <v>30</v>
      </c>
      <c r="BW2861" t="str">
        <f>""</f>
        <v/>
      </c>
      <c r="CH2861" t="str">
        <f>""</f>
        <v/>
      </c>
      <c r="CS2861" t="str">
        <f>""</f>
        <v/>
      </c>
    </row>
    <row r="2862" spans="1:97" x14ac:dyDescent="0.25">
      <c r="A2862" t="s">
        <v>412</v>
      </c>
      <c r="B2862" t="s">
        <v>464</v>
      </c>
      <c r="C2862" t="s">
        <v>4460</v>
      </c>
      <c r="D2862" t="s">
        <v>464</v>
      </c>
      <c r="E2862" t="s">
        <v>18870</v>
      </c>
      <c r="F2862" t="s">
        <v>108</v>
      </c>
      <c r="H2862" t="s">
        <v>18871</v>
      </c>
      <c r="I2862" t="s">
        <v>110</v>
      </c>
      <c r="J2862" t="s">
        <v>111</v>
      </c>
      <c r="K2862" t="str">
        <f>"85225"</f>
        <v>85225</v>
      </c>
      <c r="L2862" t="s">
        <v>2903</v>
      </c>
      <c r="M2862" t="s">
        <v>18871</v>
      </c>
      <c r="N2862" t="s">
        <v>110</v>
      </c>
      <c r="O2862" t="s">
        <v>111</v>
      </c>
      <c r="P2862" t="str">
        <f>"85225-4220"</f>
        <v>85225-4220</v>
      </c>
      <c r="Q2862" t="s">
        <v>113</v>
      </c>
      <c r="R2862" t="str">
        <f>"310-11-562"</f>
        <v>310-11-562</v>
      </c>
      <c r="S2862" t="s">
        <v>10229</v>
      </c>
      <c r="T2862" t="s">
        <v>10230</v>
      </c>
      <c r="U2862">
        <v>1623</v>
      </c>
      <c r="V2862">
        <v>0</v>
      </c>
      <c r="W2862">
        <v>3</v>
      </c>
      <c r="X2862">
        <v>1999</v>
      </c>
      <c r="Z2862">
        <v>1</v>
      </c>
      <c r="AB2862">
        <v>0</v>
      </c>
      <c r="AC2862" t="s">
        <v>115</v>
      </c>
      <c r="AD2862">
        <v>2</v>
      </c>
      <c r="AE2862" t="s">
        <v>115</v>
      </c>
      <c r="AF2862">
        <v>0</v>
      </c>
      <c r="AG2862">
        <v>0</v>
      </c>
      <c r="AH2862" t="s">
        <v>116</v>
      </c>
      <c r="AI2862" s="1">
        <v>103809</v>
      </c>
      <c r="AJ2862" s="2">
        <v>0.33</v>
      </c>
      <c r="AK2862" s="1">
        <v>312809</v>
      </c>
      <c r="AL2862" t="s">
        <v>117</v>
      </c>
      <c r="AM2862" t="s">
        <v>118</v>
      </c>
      <c r="AN2862">
        <v>7645</v>
      </c>
      <c r="AO2862">
        <v>0.18</v>
      </c>
      <c r="AP2862">
        <v>1</v>
      </c>
      <c r="AR2862">
        <v>1</v>
      </c>
      <c r="AS2862" s="1">
        <v>22010</v>
      </c>
      <c r="AT2862" s="1">
        <v>4400</v>
      </c>
      <c r="AU2862" s="1">
        <v>17610</v>
      </c>
      <c r="AV2862">
        <v>80.010000000000005</v>
      </c>
      <c r="AX2862" s="1">
        <v>1641.96</v>
      </c>
      <c r="AY2862" t="s">
        <v>2905</v>
      </c>
      <c r="AZ2862" t="s">
        <v>2906</v>
      </c>
      <c r="BA2862" t="s">
        <v>303</v>
      </c>
      <c r="BE2862" s="3">
        <v>41717</v>
      </c>
      <c r="BF2862" s="1">
        <v>209000</v>
      </c>
      <c r="BG2862" t="s">
        <v>18872</v>
      </c>
      <c r="BH2862" s="1">
        <v>128.77000000000001</v>
      </c>
      <c r="BI2862" s="1">
        <v>209000</v>
      </c>
      <c r="BJ2862" s="3">
        <v>41717</v>
      </c>
      <c r="BK2862" t="s">
        <v>123</v>
      </c>
      <c r="BL2862" t="str">
        <f>"2014.175261"</f>
        <v>2014.175261</v>
      </c>
      <c r="BM2862" t="s">
        <v>135</v>
      </c>
      <c r="BO2862" t="s">
        <v>18873</v>
      </c>
      <c r="BS2862">
        <v>30</v>
      </c>
      <c r="BW2862" t="str">
        <f>""</f>
        <v/>
      </c>
      <c r="CH2862" t="str">
        <f>""</f>
        <v/>
      </c>
      <c r="CS2862" t="str">
        <f>""</f>
        <v/>
      </c>
    </row>
    <row r="2863" spans="1:97" x14ac:dyDescent="0.25">
      <c r="A2863" t="s">
        <v>1109</v>
      </c>
      <c r="B2863" t="s">
        <v>8090</v>
      </c>
      <c r="C2863" t="s">
        <v>2731</v>
      </c>
      <c r="D2863" t="s">
        <v>8090</v>
      </c>
      <c r="E2863" t="s">
        <v>18874</v>
      </c>
      <c r="F2863" t="s">
        <v>108</v>
      </c>
      <c r="H2863" t="s">
        <v>18875</v>
      </c>
      <c r="I2863" t="s">
        <v>632</v>
      </c>
      <c r="J2863" t="s">
        <v>111</v>
      </c>
      <c r="K2863" t="str">
        <f>"85379"</f>
        <v>85379</v>
      </c>
      <c r="L2863" t="s">
        <v>5021</v>
      </c>
      <c r="M2863" t="s">
        <v>18875</v>
      </c>
      <c r="N2863" t="s">
        <v>632</v>
      </c>
      <c r="O2863" t="s">
        <v>111</v>
      </c>
      <c r="P2863" t="str">
        <f>"85379-5285"</f>
        <v>85379-5285</v>
      </c>
      <c r="Q2863" t="s">
        <v>113</v>
      </c>
      <c r="R2863" t="str">
        <f>"501-96-172"</f>
        <v>501-96-172</v>
      </c>
      <c r="S2863" t="s">
        <v>18876</v>
      </c>
      <c r="U2863">
        <v>2016</v>
      </c>
      <c r="V2863">
        <v>0</v>
      </c>
      <c r="W2863">
        <v>3</v>
      </c>
      <c r="X2863">
        <v>2004</v>
      </c>
      <c r="Z2863">
        <v>1</v>
      </c>
      <c r="AA2863" t="s">
        <v>26</v>
      </c>
      <c r="AB2863">
        <v>0</v>
      </c>
      <c r="AC2863" t="s">
        <v>115</v>
      </c>
      <c r="AD2863">
        <v>2</v>
      </c>
      <c r="AE2863" t="s">
        <v>115</v>
      </c>
      <c r="AF2863">
        <v>0</v>
      </c>
      <c r="AG2863">
        <v>0</v>
      </c>
      <c r="AH2863" t="s">
        <v>116</v>
      </c>
      <c r="AI2863" s="1">
        <v>21481</v>
      </c>
      <c r="AJ2863" s="2">
        <v>0.08</v>
      </c>
      <c r="AK2863" s="1">
        <v>280731</v>
      </c>
      <c r="AL2863" t="s">
        <v>117</v>
      </c>
      <c r="AM2863" t="s">
        <v>118</v>
      </c>
      <c r="AN2863">
        <v>6095</v>
      </c>
      <c r="AO2863">
        <v>0.14000000000000001</v>
      </c>
      <c r="AP2863">
        <v>1</v>
      </c>
      <c r="AR2863">
        <v>1</v>
      </c>
      <c r="AS2863" s="1">
        <v>18520</v>
      </c>
      <c r="AT2863" s="1">
        <v>3700</v>
      </c>
      <c r="AU2863" s="1">
        <v>14820</v>
      </c>
      <c r="AV2863">
        <v>80.02</v>
      </c>
      <c r="AX2863" s="1">
        <v>541.5</v>
      </c>
      <c r="AY2863" t="s">
        <v>5615</v>
      </c>
      <c r="AZ2863" t="s">
        <v>5615</v>
      </c>
      <c r="BA2863" t="s">
        <v>635</v>
      </c>
      <c r="BE2863" s="3">
        <v>42443</v>
      </c>
      <c r="BF2863" s="1">
        <v>224900</v>
      </c>
      <c r="BG2863" t="s">
        <v>18877</v>
      </c>
      <c r="BH2863" s="1">
        <v>111.56</v>
      </c>
      <c r="BI2863" s="1">
        <v>259250</v>
      </c>
      <c r="BJ2863" s="3">
        <v>43497</v>
      </c>
      <c r="BK2863" t="s">
        <v>123</v>
      </c>
      <c r="BL2863" t="str">
        <f>"2019.73680"</f>
        <v>2019.73680</v>
      </c>
      <c r="BM2863" t="s">
        <v>13076</v>
      </c>
      <c r="BN2863" t="s">
        <v>18878</v>
      </c>
      <c r="BO2863" t="s">
        <v>18879</v>
      </c>
      <c r="BP2863" t="s">
        <v>18880</v>
      </c>
      <c r="BR2863" t="s">
        <v>139</v>
      </c>
      <c r="BW2863" t="str">
        <f>""</f>
        <v/>
      </c>
      <c r="CH2863" t="str">
        <f>""</f>
        <v/>
      </c>
      <c r="CS2863" t="str">
        <f>""</f>
        <v/>
      </c>
    </row>
    <row r="2864" spans="1:97" x14ac:dyDescent="0.25">
      <c r="A2864" t="s">
        <v>152</v>
      </c>
      <c r="B2864" t="s">
        <v>17298</v>
      </c>
      <c r="C2864" t="s">
        <v>1210</v>
      </c>
      <c r="D2864" t="s">
        <v>17298</v>
      </c>
      <c r="E2864" t="s">
        <v>18881</v>
      </c>
      <c r="F2864" t="s">
        <v>108</v>
      </c>
      <c r="H2864" t="s">
        <v>18882</v>
      </c>
      <c r="I2864" t="s">
        <v>110</v>
      </c>
      <c r="J2864" t="s">
        <v>111</v>
      </c>
      <c r="K2864" t="str">
        <f>"85225"</f>
        <v>85225</v>
      </c>
      <c r="L2864" t="s">
        <v>8199</v>
      </c>
      <c r="M2864" t="s">
        <v>18882</v>
      </c>
      <c r="N2864" t="s">
        <v>110</v>
      </c>
      <c r="O2864" t="s">
        <v>111</v>
      </c>
      <c r="P2864" t="str">
        <f>"85225-8257"</f>
        <v>85225-8257</v>
      </c>
      <c r="Q2864" t="s">
        <v>113</v>
      </c>
      <c r="R2864" t="str">
        <f>"310-11-698"</f>
        <v>310-11-698</v>
      </c>
      <c r="S2864" t="s">
        <v>18883</v>
      </c>
      <c r="T2864" t="s">
        <v>18884</v>
      </c>
      <c r="U2864">
        <v>2061</v>
      </c>
      <c r="V2864">
        <v>0</v>
      </c>
      <c r="W2864">
        <v>4</v>
      </c>
      <c r="X2864">
        <v>2003</v>
      </c>
      <c r="Z2864">
        <v>2</v>
      </c>
      <c r="AB2864">
        <v>0</v>
      </c>
      <c r="AC2864" t="s">
        <v>115</v>
      </c>
      <c r="AD2864">
        <v>2</v>
      </c>
      <c r="AE2864" t="s">
        <v>115</v>
      </c>
      <c r="AF2864">
        <v>0</v>
      </c>
      <c r="AG2864">
        <v>0</v>
      </c>
      <c r="AH2864" t="s">
        <v>116</v>
      </c>
      <c r="AI2864" s="1">
        <v>86061</v>
      </c>
      <c r="AJ2864" s="2">
        <v>0.27</v>
      </c>
      <c r="AK2864" s="1">
        <v>318860</v>
      </c>
      <c r="AL2864" t="s">
        <v>117</v>
      </c>
      <c r="AM2864" t="s">
        <v>118</v>
      </c>
      <c r="AN2864">
        <v>4728</v>
      </c>
      <c r="AO2864">
        <v>0.11</v>
      </c>
      <c r="AP2864">
        <v>1</v>
      </c>
      <c r="AR2864">
        <v>1</v>
      </c>
      <c r="AS2864" s="1">
        <v>21660</v>
      </c>
      <c r="AT2864" s="1">
        <v>4330</v>
      </c>
      <c r="AU2864" s="1">
        <v>17330</v>
      </c>
      <c r="AV2864">
        <v>80.010000000000005</v>
      </c>
      <c r="AX2864" s="1">
        <v>1754.32</v>
      </c>
      <c r="AY2864" t="s">
        <v>2905</v>
      </c>
      <c r="AZ2864" t="s">
        <v>2906</v>
      </c>
      <c r="BA2864" t="s">
        <v>303</v>
      </c>
      <c r="BE2864" s="3">
        <v>41893</v>
      </c>
      <c r="BF2864" s="1">
        <v>227900</v>
      </c>
      <c r="BG2864" t="s">
        <v>18885</v>
      </c>
      <c r="BH2864" s="1">
        <v>110.58</v>
      </c>
      <c r="BI2864" s="1">
        <v>232799</v>
      </c>
      <c r="BJ2864" s="3">
        <v>41893</v>
      </c>
      <c r="BK2864" t="s">
        <v>123</v>
      </c>
      <c r="BL2864" t="str">
        <f>"2014.601730"</f>
        <v>2014.601730</v>
      </c>
      <c r="BM2864" t="s">
        <v>18886</v>
      </c>
      <c r="BO2864" t="s">
        <v>18887</v>
      </c>
      <c r="BS2864">
        <v>30</v>
      </c>
      <c r="BW2864" t="str">
        <f>""</f>
        <v/>
      </c>
      <c r="CH2864" t="str">
        <f>""</f>
        <v/>
      </c>
      <c r="CS2864" t="str">
        <f>""</f>
        <v/>
      </c>
    </row>
    <row r="2865" spans="1:97" x14ac:dyDescent="0.25">
      <c r="B2865" t="s">
        <v>18888</v>
      </c>
      <c r="E2865" t="s">
        <v>18889</v>
      </c>
      <c r="F2865" t="s">
        <v>139</v>
      </c>
      <c r="H2865" t="s">
        <v>18890</v>
      </c>
      <c r="I2865" t="s">
        <v>499</v>
      </c>
      <c r="J2865" t="s">
        <v>111</v>
      </c>
      <c r="K2865" t="str">
        <f>"85395"</f>
        <v>85395</v>
      </c>
      <c r="L2865" t="s">
        <v>5524</v>
      </c>
      <c r="M2865" t="s">
        <v>18890</v>
      </c>
      <c r="N2865" t="s">
        <v>499</v>
      </c>
      <c r="O2865" t="s">
        <v>111</v>
      </c>
      <c r="P2865" t="str">
        <f>"85395-8628"</f>
        <v>85395-8628</v>
      </c>
      <c r="Q2865" t="s">
        <v>113</v>
      </c>
      <c r="R2865" t="str">
        <f>"501-69-870"</f>
        <v>501-69-870</v>
      </c>
      <c r="S2865" t="s">
        <v>18891</v>
      </c>
      <c r="U2865">
        <v>1445</v>
      </c>
      <c r="V2865">
        <v>0</v>
      </c>
      <c r="W2865">
        <v>3</v>
      </c>
      <c r="X2865">
        <v>1996</v>
      </c>
      <c r="Z2865">
        <v>1</v>
      </c>
      <c r="AB2865">
        <v>0</v>
      </c>
      <c r="AC2865" t="s">
        <v>115</v>
      </c>
      <c r="AD2865">
        <v>2</v>
      </c>
      <c r="AE2865" t="s">
        <v>115</v>
      </c>
      <c r="AF2865">
        <v>0</v>
      </c>
      <c r="AG2865">
        <v>0</v>
      </c>
      <c r="AH2865" t="s">
        <v>116</v>
      </c>
      <c r="AI2865" s="1">
        <v>63405</v>
      </c>
      <c r="AJ2865" s="2">
        <v>0.23</v>
      </c>
      <c r="AK2865" s="1">
        <v>272486</v>
      </c>
      <c r="AL2865" t="s">
        <v>117</v>
      </c>
      <c r="AM2865" t="s">
        <v>118</v>
      </c>
      <c r="AN2865">
        <v>4640</v>
      </c>
      <c r="AO2865">
        <v>0.11</v>
      </c>
      <c r="AP2865">
        <v>1</v>
      </c>
      <c r="AR2865">
        <v>1</v>
      </c>
      <c r="AS2865" s="1">
        <v>18970</v>
      </c>
      <c r="AT2865" s="1">
        <v>3790</v>
      </c>
      <c r="AU2865" s="1">
        <v>15180</v>
      </c>
      <c r="AV2865">
        <v>80.02</v>
      </c>
      <c r="AX2865" s="1">
        <v>2092.88</v>
      </c>
      <c r="AY2865" t="s">
        <v>3020</v>
      </c>
      <c r="AZ2865" t="s">
        <v>3020</v>
      </c>
      <c r="BA2865" t="s">
        <v>3154</v>
      </c>
      <c r="BB2865" s="3">
        <v>43227</v>
      </c>
      <c r="BC2865" s="1">
        <v>0</v>
      </c>
      <c r="BD2865" t="s">
        <v>247</v>
      </c>
      <c r="BE2865" s="3">
        <v>42339</v>
      </c>
      <c r="BF2865" s="1">
        <v>240000</v>
      </c>
      <c r="BG2865" t="s">
        <v>18892</v>
      </c>
      <c r="BH2865" s="1">
        <v>166.09</v>
      </c>
      <c r="BI2865" s="1">
        <v>209081</v>
      </c>
      <c r="BJ2865" s="3">
        <v>42339</v>
      </c>
      <c r="BK2865" t="s">
        <v>123</v>
      </c>
      <c r="BL2865" t="str">
        <f>"2015.851059"</f>
        <v>2015.851059</v>
      </c>
      <c r="BM2865" t="s">
        <v>594</v>
      </c>
      <c r="BN2865" t="s">
        <v>595</v>
      </c>
      <c r="BO2865" t="s">
        <v>18893</v>
      </c>
      <c r="BS2865">
        <v>30</v>
      </c>
      <c r="BW2865" t="str">
        <f>""</f>
        <v/>
      </c>
      <c r="CH2865" t="str">
        <f>""</f>
        <v/>
      </c>
      <c r="CS2865" t="str">
        <f>""</f>
        <v/>
      </c>
    </row>
    <row r="2866" spans="1:97" x14ac:dyDescent="0.25">
      <c r="A2866" t="s">
        <v>18894</v>
      </c>
      <c r="B2866" t="s">
        <v>18895</v>
      </c>
      <c r="C2866" t="s">
        <v>464</v>
      </c>
      <c r="D2866" t="s">
        <v>18895</v>
      </c>
      <c r="E2866" t="s">
        <v>18896</v>
      </c>
      <c r="F2866" t="s">
        <v>108</v>
      </c>
      <c r="H2866" t="s">
        <v>18897</v>
      </c>
      <c r="I2866" t="s">
        <v>2874</v>
      </c>
      <c r="J2866" t="s">
        <v>111</v>
      </c>
      <c r="K2866" t="str">
        <f>"85304"</f>
        <v>85304</v>
      </c>
      <c r="L2866" t="s">
        <v>11566</v>
      </c>
      <c r="M2866" t="s">
        <v>18897</v>
      </c>
      <c r="N2866" t="s">
        <v>2874</v>
      </c>
      <c r="O2866" t="s">
        <v>111</v>
      </c>
      <c r="P2866" t="str">
        <f>"85304-1832"</f>
        <v>85304-1832</v>
      </c>
      <c r="Q2866" t="s">
        <v>113</v>
      </c>
      <c r="R2866" t="str">
        <f>"200-39-483"</f>
        <v>200-39-483</v>
      </c>
      <c r="S2866" t="s">
        <v>18898</v>
      </c>
      <c r="T2866" t="s">
        <v>14126</v>
      </c>
      <c r="U2866">
        <v>2951</v>
      </c>
      <c r="V2866">
        <v>0</v>
      </c>
      <c r="W2866">
        <v>4</v>
      </c>
      <c r="X2866">
        <v>1996</v>
      </c>
      <c r="Z2866">
        <v>2</v>
      </c>
      <c r="AA2866" t="s">
        <v>26</v>
      </c>
      <c r="AB2866">
        <v>0</v>
      </c>
      <c r="AC2866" t="s">
        <v>115</v>
      </c>
      <c r="AD2866">
        <v>3</v>
      </c>
      <c r="AE2866" t="s">
        <v>115</v>
      </c>
      <c r="AF2866">
        <v>0</v>
      </c>
      <c r="AG2866">
        <v>0</v>
      </c>
      <c r="AH2866" t="s">
        <v>116</v>
      </c>
      <c r="AI2866" s="1">
        <v>73077</v>
      </c>
      <c r="AJ2866" s="2">
        <v>0.19</v>
      </c>
      <c r="AK2866" s="1">
        <v>394677</v>
      </c>
      <c r="AL2866" t="s">
        <v>117</v>
      </c>
      <c r="AM2866" t="s">
        <v>118</v>
      </c>
      <c r="AN2866">
        <v>11761</v>
      </c>
      <c r="AO2866">
        <v>0.27</v>
      </c>
      <c r="AP2866">
        <v>1</v>
      </c>
      <c r="AR2866">
        <v>1</v>
      </c>
      <c r="AS2866" s="1">
        <v>31760</v>
      </c>
      <c r="AT2866" s="1">
        <v>6350</v>
      </c>
      <c r="AU2866" s="1">
        <v>25410</v>
      </c>
      <c r="AV2866">
        <v>80.010000000000005</v>
      </c>
      <c r="AX2866" s="1">
        <v>2589.02</v>
      </c>
      <c r="AY2866" t="s">
        <v>1808</v>
      </c>
      <c r="AZ2866" t="s">
        <v>1808</v>
      </c>
      <c r="BA2866" t="s">
        <v>8681</v>
      </c>
      <c r="BE2866" s="3">
        <v>42382</v>
      </c>
      <c r="BF2866" s="1">
        <v>320000</v>
      </c>
      <c r="BG2866" t="s">
        <v>564</v>
      </c>
      <c r="BH2866" s="1">
        <v>108.77</v>
      </c>
      <c r="BI2866" s="1">
        <v>321600</v>
      </c>
      <c r="BJ2866" s="3">
        <v>42527</v>
      </c>
      <c r="BK2866" t="s">
        <v>123</v>
      </c>
      <c r="BL2866" t="str">
        <f>"2016.387871"</f>
        <v>2016.387871</v>
      </c>
      <c r="BM2866" t="s">
        <v>255</v>
      </c>
      <c r="BO2866" t="s">
        <v>18899</v>
      </c>
      <c r="BS2866">
        <v>30</v>
      </c>
      <c r="BW2866" t="str">
        <f>""</f>
        <v/>
      </c>
      <c r="CH2866" t="str">
        <f>""</f>
        <v/>
      </c>
      <c r="CS2866" t="str">
        <f>""</f>
        <v/>
      </c>
    </row>
    <row r="2867" spans="1:97" x14ac:dyDescent="0.25">
      <c r="B2867" t="s">
        <v>18900</v>
      </c>
      <c r="E2867" t="s">
        <v>18901</v>
      </c>
      <c r="F2867" t="s">
        <v>108</v>
      </c>
      <c r="H2867" t="s">
        <v>18902</v>
      </c>
      <c r="I2867" t="s">
        <v>632</v>
      </c>
      <c r="J2867" t="s">
        <v>111</v>
      </c>
      <c r="K2867" t="str">
        <f>"85388"</f>
        <v>85388</v>
      </c>
      <c r="L2867" t="s">
        <v>4159</v>
      </c>
      <c r="M2867" t="s">
        <v>18902</v>
      </c>
      <c r="N2867" t="s">
        <v>632</v>
      </c>
      <c r="O2867" t="s">
        <v>111</v>
      </c>
      <c r="P2867" t="str">
        <f>"85388-1775"</f>
        <v>85388-1775</v>
      </c>
      <c r="Q2867" t="s">
        <v>113</v>
      </c>
      <c r="R2867" t="str">
        <f>"502-84-675"</f>
        <v>502-84-675</v>
      </c>
      <c r="S2867" t="s">
        <v>9278</v>
      </c>
      <c r="T2867" t="s">
        <v>9279</v>
      </c>
      <c r="U2867">
        <v>2243</v>
      </c>
      <c r="V2867">
        <v>0</v>
      </c>
      <c r="W2867">
        <v>3</v>
      </c>
      <c r="X2867">
        <v>2014</v>
      </c>
      <c r="Z2867">
        <v>1</v>
      </c>
      <c r="AB2867">
        <v>0</v>
      </c>
      <c r="AC2867" t="s">
        <v>115</v>
      </c>
      <c r="AD2867">
        <v>3</v>
      </c>
      <c r="AE2867" t="s">
        <v>115</v>
      </c>
      <c r="AF2867">
        <v>0</v>
      </c>
      <c r="AG2867">
        <v>0</v>
      </c>
      <c r="AH2867" t="s">
        <v>116</v>
      </c>
      <c r="AI2867" s="1">
        <v>46224</v>
      </c>
      <c r="AJ2867" s="2">
        <v>0.15</v>
      </c>
      <c r="AK2867" s="1">
        <v>309925</v>
      </c>
      <c r="AL2867" t="s">
        <v>117</v>
      </c>
      <c r="AM2867" t="s">
        <v>118</v>
      </c>
      <c r="AN2867">
        <v>9027</v>
      </c>
      <c r="AO2867">
        <v>0.21</v>
      </c>
      <c r="AR2867">
        <v>1</v>
      </c>
      <c r="AS2867" s="1">
        <v>22600</v>
      </c>
      <c r="AT2867" s="1">
        <v>4520</v>
      </c>
      <c r="AU2867" s="1">
        <v>18080</v>
      </c>
      <c r="AV2867">
        <v>80</v>
      </c>
      <c r="AX2867" s="1">
        <v>1817.9</v>
      </c>
      <c r="AY2867" t="s">
        <v>5168</v>
      </c>
      <c r="AZ2867" t="s">
        <v>5168</v>
      </c>
      <c r="BA2867" t="s">
        <v>5109</v>
      </c>
      <c r="BB2867" s="3">
        <v>43398</v>
      </c>
      <c r="BC2867" s="1">
        <v>0</v>
      </c>
      <c r="BD2867" t="s">
        <v>247</v>
      </c>
      <c r="BE2867" s="3">
        <v>42516</v>
      </c>
      <c r="BF2867" s="1">
        <v>263701</v>
      </c>
      <c r="BG2867" t="s">
        <v>18903</v>
      </c>
      <c r="BH2867" s="1">
        <v>117.57</v>
      </c>
      <c r="BI2867" s="1">
        <v>263701</v>
      </c>
      <c r="BJ2867" s="3">
        <v>42516</v>
      </c>
      <c r="BK2867" t="s">
        <v>123</v>
      </c>
      <c r="BL2867" t="str">
        <f>"2016.363826"</f>
        <v>2016.363826</v>
      </c>
      <c r="BM2867" t="s">
        <v>8868</v>
      </c>
      <c r="BN2867" t="s">
        <v>18904</v>
      </c>
      <c r="BO2867" t="s">
        <v>18905</v>
      </c>
      <c r="BP2867" t="s">
        <v>18906</v>
      </c>
      <c r="BS2867">
        <v>30</v>
      </c>
      <c r="BW2867" t="str">
        <f>""</f>
        <v/>
      </c>
      <c r="CH2867" t="str">
        <f>""</f>
        <v/>
      </c>
      <c r="CS2867" t="str">
        <f>""</f>
        <v/>
      </c>
    </row>
    <row r="2868" spans="1:97" x14ac:dyDescent="0.25">
      <c r="A2868" t="s">
        <v>18907</v>
      </c>
      <c r="B2868" t="s">
        <v>327</v>
      </c>
      <c r="C2868" t="s">
        <v>2852</v>
      </c>
      <c r="D2868" t="s">
        <v>327</v>
      </c>
      <c r="E2868" t="s">
        <v>18908</v>
      </c>
      <c r="F2868" t="s">
        <v>108</v>
      </c>
      <c r="H2868" t="s">
        <v>18909</v>
      </c>
      <c r="I2868" t="s">
        <v>453</v>
      </c>
      <c r="J2868" t="s">
        <v>111</v>
      </c>
      <c r="K2868" t="str">
        <f>"85381"</f>
        <v>85381</v>
      </c>
      <c r="L2868" t="s">
        <v>6631</v>
      </c>
      <c r="M2868" t="s">
        <v>18909</v>
      </c>
      <c r="N2868" t="s">
        <v>453</v>
      </c>
      <c r="O2868" t="s">
        <v>111</v>
      </c>
      <c r="P2868" t="str">
        <f>"85381-4955"</f>
        <v>85381-4955</v>
      </c>
      <c r="Q2868" t="s">
        <v>113</v>
      </c>
      <c r="R2868" t="str">
        <f>"200-78-367"</f>
        <v>200-78-367</v>
      </c>
      <c r="S2868" t="s">
        <v>18538</v>
      </c>
      <c r="T2868" t="s">
        <v>18539</v>
      </c>
      <c r="U2868">
        <v>2195</v>
      </c>
      <c r="V2868">
        <v>0</v>
      </c>
      <c r="W2868">
        <v>3</v>
      </c>
      <c r="X2868">
        <v>1986</v>
      </c>
      <c r="Z2868">
        <v>1</v>
      </c>
      <c r="AB2868">
        <v>0</v>
      </c>
      <c r="AC2868" t="s">
        <v>115</v>
      </c>
      <c r="AD2868">
        <v>2</v>
      </c>
      <c r="AE2868" t="s">
        <v>115</v>
      </c>
      <c r="AF2868">
        <v>0</v>
      </c>
      <c r="AG2868">
        <v>0</v>
      </c>
      <c r="AH2868" t="s">
        <v>116</v>
      </c>
      <c r="AI2868" s="1">
        <v>92979</v>
      </c>
      <c r="AJ2868" s="2">
        <v>0.31</v>
      </c>
      <c r="AK2868" s="1">
        <v>299979</v>
      </c>
      <c r="AL2868" t="s">
        <v>117</v>
      </c>
      <c r="AM2868" t="s">
        <v>171</v>
      </c>
      <c r="AN2868">
        <v>8120</v>
      </c>
      <c r="AO2868">
        <v>0.19</v>
      </c>
      <c r="AP2868">
        <v>1</v>
      </c>
      <c r="AR2868">
        <v>1</v>
      </c>
      <c r="AS2868" s="1">
        <v>20460</v>
      </c>
      <c r="AT2868" s="1">
        <v>4090</v>
      </c>
      <c r="AU2868" s="1">
        <v>16370</v>
      </c>
      <c r="AV2868">
        <v>80.010000000000005</v>
      </c>
      <c r="AX2868" s="1">
        <v>1485.68</v>
      </c>
      <c r="AY2868" t="s">
        <v>6872</v>
      </c>
      <c r="AZ2868" t="s">
        <v>6872</v>
      </c>
      <c r="BA2868" t="s">
        <v>1800</v>
      </c>
      <c r="BE2868" s="3">
        <v>42132</v>
      </c>
      <c r="BF2868" s="1">
        <v>207000</v>
      </c>
      <c r="BG2868" t="s">
        <v>18910</v>
      </c>
      <c r="BH2868" s="1">
        <v>94.31</v>
      </c>
      <c r="BI2868" s="1">
        <v>207000</v>
      </c>
      <c r="BJ2868" s="3">
        <v>42132</v>
      </c>
      <c r="BK2868" t="s">
        <v>123</v>
      </c>
      <c r="BL2868" t="str">
        <f>"2015.324493"</f>
        <v>2015.324493</v>
      </c>
      <c r="BM2868" t="s">
        <v>18911</v>
      </c>
      <c r="BO2868" t="s">
        <v>18912</v>
      </c>
      <c r="BS2868">
        <v>30</v>
      </c>
      <c r="BW2868" t="str">
        <f>""</f>
        <v/>
      </c>
      <c r="CH2868" t="str">
        <f>""</f>
        <v/>
      </c>
      <c r="CS2868" t="str">
        <f>""</f>
        <v/>
      </c>
    </row>
    <row r="2869" spans="1:97" x14ac:dyDescent="0.25">
      <c r="A2869" t="s">
        <v>3613</v>
      </c>
      <c r="B2869" t="s">
        <v>2692</v>
      </c>
      <c r="C2869" t="s">
        <v>18913</v>
      </c>
      <c r="D2869" t="s">
        <v>2692</v>
      </c>
      <c r="E2869" t="s">
        <v>18914</v>
      </c>
      <c r="F2869" t="s">
        <v>108</v>
      </c>
      <c r="H2869" t="s">
        <v>18915</v>
      </c>
      <c r="I2869" t="s">
        <v>3150</v>
      </c>
      <c r="J2869" t="s">
        <v>111</v>
      </c>
      <c r="K2869" t="str">
        <f>"85340"</f>
        <v>85340</v>
      </c>
      <c r="L2869" t="s">
        <v>2197</v>
      </c>
      <c r="M2869" t="s">
        <v>18915</v>
      </c>
      <c r="N2869" t="s">
        <v>3150</v>
      </c>
      <c r="O2869" t="s">
        <v>111</v>
      </c>
      <c r="P2869" t="str">
        <f>"85340-8367"</f>
        <v>85340-8367</v>
      </c>
      <c r="Q2869" t="s">
        <v>113</v>
      </c>
      <c r="R2869" t="str">
        <f>"508-08-081"</f>
        <v>508-08-081</v>
      </c>
      <c r="S2869" t="s">
        <v>18916</v>
      </c>
      <c r="T2869" t="s">
        <v>18917</v>
      </c>
      <c r="U2869">
        <v>3749</v>
      </c>
      <c r="V2869">
        <v>0</v>
      </c>
      <c r="W2869">
        <v>5</v>
      </c>
      <c r="X2869">
        <v>2003</v>
      </c>
      <c r="Z2869">
        <v>1</v>
      </c>
      <c r="AA2869" t="s">
        <v>26</v>
      </c>
      <c r="AB2869">
        <v>0</v>
      </c>
      <c r="AC2869" t="s">
        <v>115</v>
      </c>
      <c r="AD2869">
        <v>3</v>
      </c>
      <c r="AE2869" t="s">
        <v>115</v>
      </c>
      <c r="AF2869">
        <v>0</v>
      </c>
      <c r="AG2869">
        <v>0</v>
      </c>
      <c r="AH2869" t="s">
        <v>116</v>
      </c>
      <c r="AI2869" s="1">
        <v>2739</v>
      </c>
      <c r="AJ2869" s="2">
        <v>0.01</v>
      </c>
      <c r="AK2869" s="1">
        <v>474239</v>
      </c>
      <c r="AL2869" t="s">
        <v>117</v>
      </c>
      <c r="AM2869" t="s">
        <v>1302</v>
      </c>
      <c r="AN2869">
        <v>17914</v>
      </c>
      <c r="AO2869">
        <v>0.41</v>
      </c>
      <c r="AP2869">
        <v>1</v>
      </c>
      <c r="AR2869">
        <v>1</v>
      </c>
      <c r="AS2869" s="1">
        <v>34700</v>
      </c>
      <c r="AT2869" s="1">
        <v>6940</v>
      </c>
      <c r="AU2869" s="1">
        <v>27760</v>
      </c>
      <c r="AV2869">
        <v>80</v>
      </c>
      <c r="AX2869" s="1">
        <v>3215.68</v>
      </c>
      <c r="AY2869" t="s">
        <v>6580</v>
      </c>
      <c r="AZ2869" t="s">
        <v>3153</v>
      </c>
      <c r="BA2869" t="s">
        <v>3154</v>
      </c>
      <c r="BE2869" s="3">
        <v>41817</v>
      </c>
      <c r="BF2869" s="1">
        <v>390000</v>
      </c>
      <c r="BG2869" t="s">
        <v>17736</v>
      </c>
      <c r="BH2869" s="1">
        <v>104.03</v>
      </c>
      <c r="BI2869" s="1">
        <v>391500</v>
      </c>
      <c r="BJ2869" s="3">
        <v>42457</v>
      </c>
      <c r="BK2869" t="s">
        <v>123</v>
      </c>
      <c r="BL2869" t="str">
        <f>"2016.196938"</f>
        <v>2016.196938</v>
      </c>
      <c r="BM2869" t="s">
        <v>7311</v>
      </c>
      <c r="BO2869" t="s">
        <v>18918</v>
      </c>
      <c r="BS2869">
        <v>30</v>
      </c>
      <c r="BT2869" s="1">
        <v>80000</v>
      </c>
      <c r="BU2869" s="3">
        <v>42713</v>
      </c>
      <c r="BV2869" t="s">
        <v>134</v>
      </c>
      <c r="BW2869" t="str">
        <f>"2016.908973"</f>
        <v>2016.908973</v>
      </c>
      <c r="BX2869" t="s">
        <v>369</v>
      </c>
      <c r="BZ2869" t="s">
        <v>18918</v>
      </c>
      <c r="CD2869">
        <v>15</v>
      </c>
      <c r="CH2869" t="str">
        <f>""</f>
        <v/>
      </c>
      <c r="CS2869" t="str">
        <f>""</f>
        <v/>
      </c>
    </row>
    <row r="2870" spans="1:97" x14ac:dyDescent="0.25">
      <c r="A2870" t="s">
        <v>1349</v>
      </c>
      <c r="B2870" t="s">
        <v>2007</v>
      </c>
      <c r="C2870" t="s">
        <v>524</v>
      </c>
      <c r="D2870" t="s">
        <v>2007</v>
      </c>
      <c r="E2870" t="s">
        <v>18919</v>
      </c>
      <c r="F2870" t="s">
        <v>108</v>
      </c>
      <c r="H2870" t="s">
        <v>18920</v>
      </c>
      <c r="I2870" t="s">
        <v>499</v>
      </c>
      <c r="J2870" t="s">
        <v>111</v>
      </c>
      <c r="K2870" t="str">
        <f>"85338"</f>
        <v>85338</v>
      </c>
      <c r="L2870" t="s">
        <v>6316</v>
      </c>
      <c r="M2870" t="s">
        <v>18920</v>
      </c>
      <c r="N2870" t="s">
        <v>499</v>
      </c>
      <c r="O2870" t="s">
        <v>111</v>
      </c>
      <c r="P2870" t="str">
        <f>"85338-4052"</f>
        <v>85338-4052</v>
      </c>
      <c r="Q2870" t="s">
        <v>113</v>
      </c>
      <c r="R2870" t="str">
        <f>"502-39-841"</f>
        <v>502-39-841</v>
      </c>
      <c r="S2870" t="s">
        <v>18921</v>
      </c>
      <c r="T2870" t="s">
        <v>6318</v>
      </c>
      <c r="U2870">
        <v>1682</v>
      </c>
      <c r="V2870">
        <v>0</v>
      </c>
      <c r="W2870">
        <v>3</v>
      </c>
      <c r="X2870">
        <v>2015</v>
      </c>
      <c r="Z2870">
        <v>1</v>
      </c>
      <c r="AB2870">
        <v>0</v>
      </c>
      <c r="AC2870" t="s">
        <v>115</v>
      </c>
      <c r="AD2870">
        <v>2</v>
      </c>
      <c r="AE2870" t="s">
        <v>115</v>
      </c>
      <c r="AF2870">
        <v>0</v>
      </c>
      <c r="AG2870">
        <v>0</v>
      </c>
      <c r="AH2870" t="s">
        <v>116</v>
      </c>
      <c r="AI2870" s="1">
        <v>42849</v>
      </c>
      <c r="AJ2870" s="2">
        <v>0.17</v>
      </c>
      <c r="AK2870" s="1">
        <v>253700</v>
      </c>
      <c r="AL2870" t="s">
        <v>117</v>
      </c>
      <c r="AM2870" t="s">
        <v>118</v>
      </c>
      <c r="AN2870">
        <v>5540</v>
      </c>
      <c r="AO2870">
        <v>0.13</v>
      </c>
      <c r="AR2870">
        <v>1</v>
      </c>
      <c r="AS2870" s="1">
        <v>17880</v>
      </c>
      <c r="AT2870" s="1">
        <v>3570</v>
      </c>
      <c r="AU2870" s="1">
        <v>14310</v>
      </c>
      <c r="AV2870">
        <v>80.03</v>
      </c>
      <c r="AX2870" s="1">
        <v>1401.94</v>
      </c>
      <c r="AY2870" t="s">
        <v>6319</v>
      </c>
      <c r="AZ2870" t="s">
        <v>6319</v>
      </c>
      <c r="BA2870" t="s">
        <v>218</v>
      </c>
      <c r="BE2870" s="3">
        <v>42307</v>
      </c>
      <c r="BF2870" s="1">
        <v>206414</v>
      </c>
      <c r="BG2870" t="s">
        <v>6320</v>
      </c>
      <c r="BH2870" s="1">
        <v>122.72</v>
      </c>
      <c r="BI2870" s="1">
        <v>210851</v>
      </c>
      <c r="BJ2870" s="3">
        <v>42307</v>
      </c>
      <c r="BK2870" t="s">
        <v>123</v>
      </c>
      <c r="BL2870" t="str">
        <f>"2015.782758"</f>
        <v>2015.782758</v>
      </c>
      <c r="BM2870" t="s">
        <v>573</v>
      </c>
      <c r="BO2870" t="s">
        <v>18922</v>
      </c>
      <c r="BS2870">
        <v>30</v>
      </c>
      <c r="BW2870" t="str">
        <f>""</f>
        <v/>
      </c>
      <c r="CH2870" t="str">
        <f>""</f>
        <v/>
      </c>
      <c r="CS2870" t="str">
        <f>""</f>
        <v/>
      </c>
    </row>
    <row r="2871" spans="1:97" x14ac:dyDescent="0.25">
      <c r="A2871" t="s">
        <v>305</v>
      </c>
      <c r="B2871" t="s">
        <v>1208</v>
      </c>
      <c r="C2871" t="s">
        <v>1047</v>
      </c>
      <c r="D2871" t="s">
        <v>1208</v>
      </c>
      <c r="E2871" t="s">
        <v>18923</v>
      </c>
      <c r="F2871" t="s">
        <v>108</v>
      </c>
      <c r="H2871" t="s">
        <v>18924</v>
      </c>
      <c r="I2871" t="s">
        <v>1788</v>
      </c>
      <c r="J2871" t="s">
        <v>111</v>
      </c>
      <c r="K2871" t="str">
        <f>"85355"</f>
        <v>85355</v>
      </c>
      <c r="L2871" t="s">
        <v>168</v>
      </c>
      <c r="M2871" t="s">
        <v>18924</v>
      </c>
      <c r="N2871" t="s">
        <v>1788</v>
      </c>
      <c r="O2871" t="s">
        <v>111</v>
      </c>
      <c r="P2871" t="str">
        <f>"85355-4336"</f>
        <v>85355-4336</v>
      </c>
      <c r="Q2871" t="s">
        <v>113</v>
      </c>
      <c r="R2871" t="str">
        <f>"502-90-685"</f>
        <v>502-90-685</v>
      </c>
      <c r="S2871" t="s">
        <v>8290</v>
      </c>
      <c r="T2871" t="s">
        <v>8290</v>
      </c>
      <c r="U2871">
        <v>2520</v>
      </c>
      <c r="V2871">
        <v>0</v>
      </c>
      <c r="W2871">
        <v>3</v>
      </c>
      <c r="X2871">
        <v>2014</v>
      </c>
      <c r="Z2871">
        <v>1</v>
      </c>
      <c r="AA2871" t="s">
        <v>26</v>
      </c>
      <c r="AB2871">
        <v>0</v>
      </c>
      <c r="AC2871" t="s">
        <v>115</v>
      </c>
      <c r="AD2871">
        <v>3</v>
      </c>
      <c r="AE2871" t="s">
        <v>115</v>
      </c>
      <c r="AF2871">
        <v>0</v>
      </c>
      <c r="AG2871">
        <v>0</v>
      </c>
      <c r="AH2871" t="s">
        <v>116</v>
      </c>
      <c r="AI2871" s="1">
        <v>99598</v>
      </c>
      <c r="AJ2871" s="2">
        <v>0.28000000000000003</v>
      </c>
      <c r="AK2871" s="1">
        <v>350031</v>
      </c>
      <c r="AL2871" t="s">
        <v>117</v>
      </c>
      <c r="AM2871" t="s">
        <v>191</v>
      </c>
      <c r="AN2871">
        <v>8500</v>
      </c>
      <c r="AO2871">
        <v>0.2</v>
      </c>
      <c r="AR2871">
        <v>1</v>
      </c>
      <c r="AS2871" s="1">
        <v>26350</v>
      </c>
      <c r="AT2871" s="1">
        <v>5270</v>
      </c>
      <c r="AU2871" s="1">
        <v>21080</v>
      </c>
      <c r="AV2871">
        <v>80</v>
      </c>
      <c r="AX2871" s="1">
        <v>1618.82</v>
      </c>
      <c r="AY2871" t="s">
        <v>5972</v>
      </c>
      <c r="AZ2871" t="s">
        <v>5972</v>
      </c>
      <c r="BA2871" t="s">
        <v>5061</v>
      </c>
      <c r="BE2871" s="3">
        <v>41779</v>
      </c>
      <c r="BF2871" s="1">
        <v>242433</v>
      </c>
      <c r="BG2871" t="s">
        <v>2289</v>
      </c>
      <c r="BH2871" s="1">
        <v>96.2</v>
      </c>
      <c r="BI2871" s="1">
        <v>250433</v>
      </c>
      <c r="BJ2871" s="3">
        <v>41779</v>
      </c>
      <c r="BK2871" t="s">
        <v>123</v>
      </c>
      <c r="BL2871" t="str">
        <f>"2014.325928"</f>
        <v>2014.325928</v>
      </c>
      <c r="BM2871" t="s">
        <v>18925</v>
      </c>
      <c r="BO2871" t="s">
        <v>18926</v>
      </c>
      <c r="BS2871">
        <v>30</v>
      </c>
      <c r="BW2871" t="str">
        <f>""</f>
        <v/>
      </c>
      <c r="CH2871" t="str">
        <f>""</f>
        <v/>
      </c>
      <c r="CS2871" t="str">
        <f>""</f>
        <v/>
      </c>
    </row>
    <row r="2872" spans="1:97" x14ac:dyDescent="0.25">
      <c r="A2872" t="s">
        <v>243</v>
      </c>
      <c r="B2872" t="s">
        <v>18927</v>
      </c>
      <c r="E2872" t="s">
        <v>18928</v>
      </c>
      <c r="F2872" t="s">
        <v>108</v>
      </c>
      <c r="H2872" t="s">
        <v>18929</v>
      </c>
      <c r="I2872" t="s">
        <v>5114</v>
      </c>
      <c r="J2872" t="s">
        <v>111</v>
      </c>
      <c r="K2872" t="str">
        <f>"85392"</f>
        <v>85392</v>
      </c>
      <c r="L2872" t="s">
        <v>5687</v>
      </c>
      <c r="M2872" t="s">
        <v>18929</v>
      </c>
      <c r="N2872" t="s">
        <v>5114</v>
      </c>
      <c r="O2872" t="s">
        <v>111</v>
      </c>
      <c r="P2872" t="str">
        <f>"85392-3641"</f>
        <v>85392-3641</v>
      </c>
      <c r="Q2872" t="s">
        <v>113</v>
      </c>
      <c r="R2872" t="str">
        <f>"102-86-352"</f>
        <v>102-86-352</v>
      </c>
      <c r="S2872" t="s">
        <v>8278</v>
      </c>
      <c r="T2872" t="s">
        <v>8279</v>
      </c>
      <c r="U2872">
        <v>2381</v>
      </c>
      <c r="V2872">
        <v>0</v>
      </c>
      <c r="W2872">
        <v>3</v>
      </c>
      <c r="X2872">
        <v>1996</v>
      </c>
      <c r="Z2872">
        <v>1</v>
      </c>
      <c r="AA2872" t="s">
        <v>26</v>
      </c>
      <c r="AB2872">
        <v>0</v>
      </c>
      <c r="AC2872" t="s">
        <v>115</v>
      </c>
      <c r="AD2872">
        <v>3</v>
      </c>
      <c r="AE2872" t="s">
        <v>115</v>
      </c>
      <c r="AF2872">
        <v>0</v>
      </c>
      <c r="AG2872">
        <v>0</v>
      </c>
      <c r="AH2872" t="s">
        <v>116</v>
      </c>
      <c r="AI2872" s="1">
        <v>76982</v>
      </c>
      <c r="AJ2872" s="2">
        <v>0.24</v>
      </c>
      <c r="AK2872" s="1">
        <v>317552</v>
      </c>
      <c r="AL2872" t="s">
        <v>117</v>
      </c>
      <c r="AM2872" t="s">
        <v>118</v>
      </c>
      <c r="AN2872">
        <v>8764</v>
      </c>
      <c r="AO2872">
        <v>0.2</v>
      </c>
      <c r="AP2872">
        <v>1</v>
      </c>
      <c r="AR2872">
        <v>1</v>
      </c>
      <c r="AS2872" s="1">
        <v>23000</v>
      </c>
      <c r="AT2872" s="1">
        <v>4600</v>
      </c>
      <c r="AU2872" s="1">
        <v>18400</v>
      </c>
      <c r="AV2872">
        <v>80</v>
      </c>
      <c r="AX2872" s="1">
        <v>2326.58</v>
      </c>
      <c r="AY2872" t="s">
        <v>8084</v>
      </c>
      <c r="AZ2872" t="s">
        <v>8084</v>
      </c>
      <c r="BA2872" t="s">
        <v>5118</v>
      </c>
      <c r="BB2872" s="3">
        <v>42474</v>
      </c>
      <c r="BD2872" t="s">
        <v>240</v>
      </c>
      <c r="BE2872" s="3">
        <v>42184</v>
      </c>
      <c r="BF2872" s="1">
        <v>239900</v>
      </c>
      <c r="BG2872" t="s">
        <v>18930</v>
      </c>
      <c r="BH2872" s="1">
        <v>100.76</v>
      </c>
      <c r="BI2872" s="1">
        <v>240570</v>
      </c>
      <c r="BJ2872" s="3">
        <v>42474</v>
      </c>
      <c r="BK2872" t="s">
        <v>123</v>
      </c>
      <c r="BL2872" t="str">
        <f>"2016.247201"</f>
        <v>2016.247201</v>
      </c>
      <c r="BM2872" t="s">
        <v>402</v>
      </c>
      <c r="BO2872" t="s">
        <v>18931</v>
      </c>
      <c r="BP2872" t="s">
        <v>18932</v>
      </c>
      <c r="BS2872">
        <v>30</v>
      </c>
      <c r="BW2872" t="str">
        <f>""</f>
        <v/>
      </c>
      <c r="CH2872" t="str">
        <f>""</f>
        <v/>
      </c>
      <c r="CS2872" t="str">
        <f>""</f>
        <v/>
      </c>
    </row>
    <row r="2873" spans="1:97" x14ac:dyDescent="0.25">
      <c r="A2873" t="s">
        <v>16640</v>
      </c>
      <c r="B2873" t="s">
        <v>8723</v>
      </c>
      <c r="C2873" t="s">
        <v>18933</v>
      </c>
      <c r="D2873" t="s">
        <v>8723</v>
      </c>
      <c r="E2873" t="s">
        <v>18934</v>
      </c>
      <c r="F2873" t="s">
        <v>108</v>
      </c>
      <c r="H2873" t="s">
        <v>18935</v>
      </c>
      <c r="I2873" t="s">
        <v>390</v>
      </c>
      <c r="J2873" t="s">
        <v>111</v>
      </c>
      <c r="K2873" t="str">
        <f>"85044"</f>
        <v>85044</v>
      </c>
      <c r="L2873" t="s">
        <v>2903</v>
      </c>
      <c r="M2873" t="s">
        <v>18935</v>
      </c>
      <c r="N2873" t="s">
        <v>390</v>
      </c>
      <c r="O2873" t="s">
        <v>111</v>
      </c>
      <c r="P2873" t="str">
        <f>"85044-6883"</f>
        <v>85044-6883</v>
      </c>
      <c r="Q2873" t="s">
        <v>113</v>
      </c>
      <c r="R2873" t="str">
        <f>"307-04-354"</f>
        <v>307-04-354</v>
      </c>
      <c r="S2873" t="s">
        <v>18936</v>
      </c>
      <c r="T2873" t="s">
        <v>10747</v>
      </c>
      <c r="U2873">
        <v>1846</v>
      </c>
      <c r="V2873">
        <v>0</v>
      </c>
      <c r="W2873">
        <v>3</v>
      </c>
      <c r="X2873">
        <v>1994</v>
      </c>
      <c r="Z2873">
        <v>1</v>
      </c>
      <c r="AB2873">
        <v>0</v>
      </c>
      <c r="AC2873" t="s">
        <v>115</v>
      </c>
      <c r="AD2873">
        <v>2</v>
      </c>
      <c r="AE2873" t="s">
        <v>115</v>
      </c>
      <c r="AF2873">
        <v>0</v>
      </c>
      <c r="AG2873">
        <v>0</v>
      </c>
      <c r="AH2873" t="s">
        <v>116</v>
      </c>
      <c r="AI2873" s="1">
        <v>72752</v>
      </c>
      <c r="AJ2873" s="2">
        <v>0.22</v>
      </c>
      <c r="AK2873" s="1">
        <v>330752</v>
      </c>
      <c r="AL2873" t="s">
        <v>117</v>
      </c>
      <c r="AM2873" t="s">
        <v>191</v>
      </c>
      <c r="AN2873">
        <v>6303</v>
      </c>
      <c r="AO2873">
        <v>0.14000000000000001</v>
      </c>
      <c r="AP2873">
        <v>1</v>
      </c>
      <c r="AR2873">
        <v>1</v>
      </c>
      <c r="AS2873" s="1">
        <v>23400</v>
      </c>
      <c r="AT2873" s="1">
        <v>4680</v>
      </c>
      <c r="AU2873" s="1">
        <v>18720</v>
      </c>
      <c r="AV2873">
        <v>80</v>
      </c>
      <c r="AX2873" s="1">
        <v>2137.64</v>
      </c>
      <c r="AY2873" t="s">
        <v>6633</v>
      </c>
      <c r="AZ2873" t="s">
        <v>929</v>
      </c>
      <c r="BA2873" t="s">
        <v>5328</v>
      </c>
      <c r="BE2873" s="3">
        <v>42405</v>
      </c>
      <c r="BF2873" s="1">
        <v>260000</v>
      </c>
      <c r="BG2873" t="s">
        <v>18937</v>
      </c>
      <c r="BH2873" s="1">
        <v>140.85</v>
      </c>
      <c r="BI2873" s="1">
        <v>258000</v>
      </c>
      <c r="BJ2873" s="3">
        <v>42405</v>
      </c>
      <c r="BK2873" t="s">
        <v>123</v>
      </c>
      <c r="BL2873" t="str">
        <f>"2016.77735"</f>
        <v>2016.77735</v>
      </c>
      <c r="BM2873" t="s">
        <v>1185</v>
      </c>
      <c r="BO2873" t="s">
        <v>18938</v>
      </c>
      <c r="BS2873">
        <v>30</v>
      </c>
      <c r="BW2873" t="str">
        <f>""</f>
        <v/>
      </c>
      <c r="CH2873" t="str">
        <f>""</f>
        <v/>
      </c>
      <c r="CS2873" t="str">
        <f>""</f>
        <v/>
      </c>
    </row>
    <row r="2874" spans="1:97" x14ac:dyDescent="0.25">
      <c r="A2874" t="s">
        <v>140</v>
      </c>
      <c r="B2874" t="s">
        <v>18939</v>
      </c>
      <c r="E2874" t="s">
        <v>18940</v>
      </c>
      <c r="F2874" t="s">
        <v>108</v>
      </c>
      <c r="H2874" t="s">
        <v>18941</v>
      </c>
      <c r="I2874" t="s">
        <v>2874</v>
      </c>
      <c r="J2874" t="s">
        <v>111</v>
      </c>
      <c r="K2874" t="str">
        <f>"85308"</f>
        <v>85308</v>
      </c>
      <c r="L2874" t="s">
        <v>5291</v>
      </c>
      <c r="M2874" t="s">
        <v>18941</v>
      </c>
      <c r="N2874" t="s">
        <v>2874</v>
      </c>
      <c r="O2874" t="s">
        <v>111</v>
      </c>
      <c r="P2874" t="str">
        <f>"85308-6124"</f>
        <v>85308-6124</v>
      </c>
      <c r="R2874" t="str">
        <f>"233-02-214"</f>
        <v>233-02-214</v>
      </c>
      <c r="S2874" t="s">
        <v>8399</v>
      </c>
      <c r="T2874" t="s">
        <v>8399</v>
      </c>
      <c r="U2874">
        <v>3075</v>
      </c>
      <c r="V2874">
        <v>0</v>
      </c>
      <c r="W2874">
        <v>4</v>
      </c>
      <c r="X2874">
        <v>1996</v>
      </c>
      <c r="Z2874">
        <v>2</v>
      </c>
      <c r="AA2874" t="s">
        <v>26</v>
      </c>
      <c r="AB2874">
        <v>0</v>
      </c>
      <c r="AC2874" t="s">
        <v>115</v>
      </c>
      <c r="AD2874">
        <v>3</v>
      </c>
      <c r="AE2874" t="s">
        <v>115</v>
      </c>
      <c r="AF2874">
        <v>0</v>
      </c>
      <c r="AG2874">
        <v>0</v>
      </c>
      <c r="AH2874" t="s">
        <v>116</v>
      </c>
      <c r="AI2874" s="1">
        <v>84353</v>
      </c>
      <c r="AJ2874" s="2">
        <v>0.21</v>
      </c>
      <c r="AK2874" s="1">
        <v>409644</v>
      </c>
      <c r="AL2874" t="s">
        <v>117</v>
      </c>
      <c r="AM2874" t="s">
        <v>393</v>
      </c>
      <c r="AN2874">
        <v>9400</v>
      </c>
      <c r="AO2874">
        <v>0.22</v>
      </c>
      <c r="AP2874">
        <v>1</v>
      </c>
      <c r="AR2874">
        <v>1</v>
      </c>
      <c r="AS2874" s="1">
        <v>30560</v>
      </c>
      <c r="AT2874" s="1">
        <v>6110</v>
      </c>
      <c r="AU2874" s="1">
        <v>24450</v>
      </c>
      <c r="AV2874">
        <v>80.010000000000005</v>
      </c>
      <c r="AX2874" s="1">
        <v>3016.82</v>
      </c>
      <c r="AY2874" t="s">
        <v>8400</v>
      </c>
      <c r="AZ2874" t="s">
        <v>8400</v>
      </c>
      <c r="BA2874" t="s">
        <v>2223</v>
      </c>
      <c r="BE2874" s="3">
        <v>41912</v>
      </c>
      <c r="BF2874" s="1">
        <v>314900</v>
      </c>
      <c r="BG2874" t="s">
        <v>18942</v>
      </c>
      <c r="BH2874" s="1">
        <v>102.41</v>
      </c>
      <c r="BI2874" s="1">
        <v>325291</v>
      </c>
      <c r="BJ2874" s="3">
        <v>41912</v>
      </c>
      <c r="BK2874" t="s">
        <v>123</v>
      </c>
      <c r="BL2874" t="str">
        <f>"2014.649901"</f>
        <v>2014.649901</v>
      </c>
      <c r="BM2874" t="s">
        <v>903</v>
      </c>
      <c r="BN2874" t="s">
        <v>904</v>
      </c>
      <c r="BO2874" t="s">
        <v>18943</v>
      </c>
      <c r="BS2874">
        <v>30</v>
      </c>
      <c r="BW2874" t="str">
        <f>""</f>
        <v/>
      </c>
      <c r="CH2874" t="str">
        <f>""</f>
        <v/>
      </c>
      <c r="CS2874" t="str">
        <f>""</f>
        <v/>
      </c>
    </row>
    <row r="2875" spans="1:97" x14ac:dyDescent="0.25">
      <c r="A2875" t="s">
        <v>18944</v>
      </c>
      <c r="B2875" t="s">
        <v>18945</v>
      </c>
      <c r="C2875" t="s">
        <v>1407</v>
      </c>
      <c r="D2875" t="s">
        <v>18945</v>
      </c>
      <c r="E2875" t="s">
        <v>18946</v>
      </c>
      <c r="F2875" t="s">
        <v>108</v>
      </c>
      <c r="H2875" t="s">
        <v>18947</v>
      </c>
      <c r="I2875" t="s">
        <v>188</v>
      </c>
      <c r="J2875" t="s">
        <v>111</v>
      </c>
      <c r="K2875" t="str">
        <f>"85142"</f>
        <v>85142</v>
      </c>
      <c r="L2875" t="s">
        <v>189</v>
      </c>
      <c r="M2875" t="s">
        <v>18947</v>
      </c>
      <c r="N2875" t="s">
        <v>188</v>
      </c>
      <c r="O2875" t="s">
        <v>111</v>
      </c>
      <c r="P2875" t="str">
        <f>"85142-8626"</f>
        <v>85142-8626</v>
      </c>
      <c r="Q2875" t="s">
        <v>113</v>
      </c>
      <c r="R2875" t="str">
        <f>"314-02-378"</f>
        <v>314-02-378</v>
      </c>
      <c r="S2875" t="s">
        <v>18948</v>
      </c>
      <c r="U2875">
        <v>1987</v>
      </c>
      <c r="V2875">
        <v>0</v>
      </c>
      <c r="W2875">
        <v>3</v>
      </c>
      <c r="X2875">
        <v>2004</v>
      </c>
      <c r="Z2875">
        <v>1</v>
      </c>
      <c r="AB2875">
        <v>0</v>
      </c>
      <c r="AC2875" t="s">
        <v>115</v>
      </c>
      <c r="AD2875">
        <v>2</v>
      </c>
      <c r="AE2875" t="s">
        <v>115</v>
      </c>
      <c r="AF2875">
        <v>0</v>
      </c>
      <c r="AG2875">
        <v>0</v>
      </c>
      <c r="AH2875" t="s">
        <v>116</v>
      </c>
      <c r="AI2875" s="1">
        <v>87224</v>
      </c>
      <c r="AJ2875" s="2">
        <v>0.28000000000000003</v>
      </c>
      <c r="AK2875" s="1">
        <v>311951</v>
      </c>
      <c r="AL2875" t="s">
        <v>117</v>
      </c>
      <c r="AM2875" t="s">
        <v>191</v>
      </c>
      <c r="AN2875">
        <v>6600</v>
      </c>
      <c r="AO2875">
        <v>0.15</v>
      </c>
      <c r="AP2875">
        <v>1</v>
      </c>
      <c r="AR2875">
        <v>1</v>
      </c>
      <c r="AS2875" s="1">
        <v>20770</v>
      </c>
      <c r="AT2875" s="1">
        <v>4150</v>
      </c>
      <c r="AU2875" s="1">
        <v>16620</v>
      </c>
      <c r="AV2875">
        <v>80.02</v>
      </c>
      <c r="AX2875" s="1">
        <v>1783.58</v>
      </c>
      <c r="AY2875" t="s">
        <v>192</v>
      </c>
      <c r="AZ2875" t="s">
        <v>193</v>
      </c>
      <c r="BA2875" t="s">
        <v>194</v>
      </c>
      <c r="BE2875" s="3">
        <v>41758</v>
      </c>
      <c r="BF2875" s="1">
        <v>215000</v>
      </c>
      <c r="BG2875" t="s">
        <v>18949</v>
      </c>
      <c r="BH2875" s="1">
        <v>108.2</v>
      </c>
      <c r="BI2875" s="1">
        <v>224727</v>
      </c>
      <c r="BJ2875" s="3">
        <v>43146</v>
      </c>
      <c r="BK2875" t="s">
        <v>123</v>
      </c>
      <c r="BL2875" t="str">
        <f>"2018.115755"</f>
        <v>2018.115755</v>
      </c>
      <c r="BM2875" t="s">
        <v>5842</v>
      </c>
      <c r="BN2875" t="s">
        <v>5843</v>
      </c>
      <c r="BO2875" t="s">
        <v>18950</v>
      </c>
      <c r="BP2875" t="s">
        <v>18951</v>
      </c>
      <c r="BR2875" t="s">
        <v>139</v>
      </c>
      <c r="BW2875" t="str">
        <f>""</f>
        <v/>
      </c>
      <c r="CH2875" t="str">
        <f>""</f>
        <v/>
      </c>
      <c r="CS2875" t="str">
        <f>""</f>
        <v/>
      </c>
    </row>
    <row r="2876" spans="1:97" x14ac:dyDescent="0.25">
      <c r="A2876" t="s">
        <v>370</v>
      </c>
      <c r="B2876" t="s">
        <v>18952</v>
      </c>
      <c r="C2876" t="s">
        <v>2319</v>
      </c>
      <c r="D2876" t="s">
        <v>18952</v>
      </c>
      <c r="E2876" t="s">
        <v>18953</v>
      </c>
      <c r="F2876" t="s">
        <v>108</v>
      </c>
      <c r="H2876" t="s">
        <v>18954</v>
      </c>
      <c r="I2876" t="s">
        <v>203</v>
      </c>
      <c r="J2876" t="s">
        <v>111</v>
      </c>
      <c r="K2876" t="str">
        <f>"85295"</f>
        <v>85295</v>
      </c>
      <c r="L2876" t="s">
        <v>4534</v>
      </c>
      <c r="M2876" t="s">
        <v>18954</v>
      </c>
      <c r="N2876" t="s">
        <v>203</v>
      </c>
      <c r="O2876" t="s">
        <v>111</v>
      </c>
      <c r="P2876" t="str">
        <f>"85295-1436"</f>
        <v>85295-1436</v>
      </c>
      <c r="Q2876" t="s">
        <v>113</v>
      </c>
      <c r="R2876" t="str">
        <f>"304-44-416"</f>
        <v>304-44-416</v>
      </c>
      <c r="S2876" t="s">
        <v>8955</v>
      </c>
      <c r="T2876" t="s">
        <v>8956</v>
      </c>
      <c r="U2876">
        <v>3479</v>
      </c>
      <c r="V2876">
        <v>0</v>
      </c>
      <c r="W2876">
        <v>4</v>
      </c>
      <c r="X2876">
        <v>2002</v>
      </c>
      <c r="Z2876">
        <v>2</v>
      </c>
      <c r="AA2876" t="s">
        <v>26</v>
      </c>
      <c r="AB2876">
        <v>0</v>
      </c>
      <c r="AC2876" t="s">
        <v>115</v>
      </c>
      <c r="AD2876">
        <v>3</v>
      </c>
      <c r="AE2876" t="s">
        <v>115</v>
      </c>
      <c r="AF2876">
        <v>0</v>
      </c>
      <c r="AG2876">
        <v>0</v>
      </c>
      <c r="AH2876" t="s">
        <v>116</v>
      </c>
      <c r="AI2876" s="1">
        <v>95506</v>
      </c>
      <c r="AJ2876" s="2">
        <v>0.18</v>
      </c>
      <c r="AK2876" s="1">
        <v>521506</v>
      </c>
      <c r="AL2876" t="s">
        <v>117</v>
      </c>
      <c r="AM2876" t="s">
        <v>1302</v>
      </c>
      <c r="AN2876">
        <v>11050</v>
      </c>
      <c r="AO2876">
        <v>0.25</v>
      </c>
      <c r="AP2876">
        <v>1</v>
      </c>
      <c r="AR2876">
        <v>1</v>
      </c>
      <c r="AS2876" s="1">
        <v>37560</v>
      </c>
      <c r="AT2876" s="1">
        <v>7510</v>
      </c>
      <c r="AU2876" s="1">
        <v>30050</v>
      </c>
      <c r="AV2876">
        <v>80.010000000000005</v>
      </c>
      <c r="AX2876" s="1">
        <v>3081.14</v>
      </c>
      <c r="AY2876" t="s">
        <v>206</v>
      </c>
      <c r="AZ2876" t="s">
        <v>207</v>
      </c>
      <c r="BA2876" t="s">
        <v>208</v>
      </c>
      <c r="BE2876" s="3">
        <v>42327</v>
      </c>
      <c r="BF2876" s="1">
        <v>429000</v>
      </c>
      <c r="BG2876" t="s">
        <v>18955</v>
      </c>
      <c r="BH2876" s="1">
        <v>123.31</v>
      </c>
      <c r="BI2876" s="1">
        <v>426000</v>
      </c>
      <c r="BJ2876" s="3">
        <v>42327</v>
      </c>
      <c r="BK2876" t="s">
        <v>123</v>
      </c>
      <c r="BL2876" t="str">
        <f>"2015.828834"</f>
        <v>2015.828834</v>
      </c>
      <c r="BM2876" t="s">
        <v>594</v>
      </c>
      <c r="BO2876" t="s">
        <v>18956</v>
      </c>
      <c r="BS2876">
        <v>30</v>
      </c>
      <c r="BW2876" t="str">
        <f>""</f>
        <v/>
      </c>
      <c r="CH2876" t="str">
        <f>""</f>
        <v/>
      </c>
      <c r="CS2876" t="str">
        <f>""</f>
        <v/>
      </c>
    </row>
    <row r="2877" spans="1:97" x14ac:dyDescent="0.25">
      <c r="A2877" t="s">
        <v>1850</v>
      </c>
      <c r="B2877" t="s">
        <v>18957</v>
      </c>
      <c r="C2877" t="s">
        <v>1995</v>
      </c>
      <c r="D2877" t="s">
        <v>18957</v>
      </c>
      <c r="E2877" t="s">
        <v>18958</v>
      </c>
      <c r="F2877" t="s">
        <v>108</v>
      </c>
      <c r="H2877" t="s">
        <v>18959</v>
      </c>
      <c r="I2877" t="s">
        <v>203</v>
      </c>
      <c r="J2877" t="s">
        <v>111</v>
      </c>
      <c r="K2877" t="str">
        <f>"85297"</f>
        <v>85297</v>
      </c>
      <c r="L2877" t="s">
        <v>3269</v>
      </c>
      <c r="M2877" t="s">
        <v>18959</v>
      </c>
      <c r="N2877" t="s">
        <v>203</v>
      </c>
      <c r="O2877" t="s">
        <v>111</v>
      </c>
      <c r="P2877" t="str">
        <f>"85297-1133"</f>
        <v>85297-1133</v>
      </c>
      <c r="Q2877" t="s">
        <v>113</v>
      </c>
      <c r="R2877" t="str">
        <f>"304-53-177"</f>
        <v>304-53-177</v>
      </c>
      <c r="T2877" t="s">
        <v>18960</v>
      </c>
      <c r="U2877">
        <v>2801</v>
      </c>
      <c r="V2877">
        <v>0</v>
      </c>
      <c r="W2877">
        <v>4</v>
      </c>
      <c r="X2877">
        <v>2000</v>
      </c>
      <c r="Z2877">
        <v>1</v>
      </c>
      <c r="AA2877" t="s">
        <v>26</v>
      </c>
      <c r="AB2877">
        <v>0</v>
      </c>
      <c r="AC2877" t="s">
        <v>115</v>
      </c>
      <c r="AD2877">
        <v>4</v>
      </c>
      <c r="AE2877" t="s">
        <v>115</v>
      </c>
      <c r="AF2877">
        <v>0</v>
      </c>
      <c r="AG2877">
        <v>0</v>
      </c>
      <c r="AH2877" t="s">
        <v>116</v>
      </c>
      <c r="AI2877" s="1">
        <v>60953</v>
      </c>
      <c r="AJ2877" s="2">
        <v>0.11</v>
      </c>
      <c r="AK2877" s="1">
        <v>569206</v>
      </c>
      <c r="AL2877" t="s">
        <v>117</v>
      </c>
      <c r="AM2877" t="s">
        <v>376</v>
      </c>
      <c r="AN2877">
        <v>47202</v>
      </c>
      <c r="AO2877">
        <v>1.08</v>
      </c>
      <c r="AP2877">
        <v>1</v>
      </c>
      <c r="AR2877">
        <v>1</v>
      </c>
      <c r="AS2877" s="1">
        <v>44960</v>
      </c>
      <c r="AT2877" s="1">
        <v>8990</v>
      </c>
      <c r="AU2877" s="1">
        <v>35970</v>
      </c>
      <c r="AV2877">
        <v>80</v>
      </c>
      <c r="AX2877" s="1">
        <v>3612.5</v>
      </c>
      <c r="AY2877" t="s">
        <v>206</v>
      </c>
      <c r="AZ2877" t="s">
        <v>207</v>
      </c>
      <c r="BA2877" t="s">
        <v>208</v>
      </c>
      <c r="BE2877" s="3">
        <v>42460</v>
      </c>
      <c r="BF2877" s="1">
        <v>479000</v>
      </c>
      <c r="BG2877" t="s">
        <v>18961</v>
      </c>
      <c r="BH2877" s="1">
        <v>171.01</v>
      </c>
      <c r="BI2877" s="1">
        <v>455050</v>
      </c>
      <c r="BJ2877" s="3">
        <v>42460</v>
      </c>
      <c r="BK2877" t="s">
        <v>123</v>
      </c>
      <c r="BL2877" t="str">
        <f>"2016.212843"</f>
        <v>2016.212843</v>
      </c>
      <c r="BM2877" t="s">
        <v>2383</v>
      </c>
      <c r="BN2877" t="s">
        <v>15550</v>
      </c>
      <c r="BO2877" t="s">
        <v>18962</v>
      </c>
      <c r="BS2877">
        <v>30</v>
      </c>
      <c r="BT2877" s="1">
        <v>53203</v>
      </c>
      <c r="BU2877" s="3">
        <v>43230</v>
      </c>
      <c r="BW2877" t="str">
        <f>"2018.359423"</f>
        <v>2018.359423</v>
      </c>
      <c r="BX2877" t="s">
        <v>383</v>
      </c>
      <c r="BY2877" t="s">
        <v>384</v>
      </c>
      <c r="BZ2877" t="s">
        <v>18963</v>
      </c>
      <c r="CA2877" t="s">
        <v>18964</v>
      </c>
      <c r="CC2877" t="s">
        <v>346</v>
      </c>
      <c r="CH2877" t="str">
        <f>""</f>
        <v/>
      </c>
      <c r="CS2877" t="str">
        <f>""</f>
        <v/>
      </c>
    </row>
    <row r="2878" spans="1:97" x14ac:dyDescent="0.25">
      <c r="A2878" t="s">
        <v>257</v>
      </c>
      <c r="B2878" t="s">
        <v>18965</v>
      </c>
      <c r="C2878" t="s">
        <v>1021</v>
      </c>
      <c r="D2878" t="s">
        <v>18965</v>
      </c>
      <c r="E2878" t="s">
        <v>18966</v>
      </c>
      <c r="F2878" t="s">
        <v>108</v>
      </c>
      <c r="H2878" t="s">
        <v>18967</v>
      </c>
      <c r="I2878" t="s">
        <v>6646</v>
      </c>
      <c r="J2878" t="s">
        <v>111</v>
      </c>
      <c r="K2878" t="str">
        <f>"85086"</f>
        <v>85086</v>
      </c>
      <c r="L2878" t="s">
        <v>2015</v>
      </c>
      <c r="M2878" t="s">
        <v>18967</v>
      </c>
      <c r="N2878" t="s">
        <v>6646</v>
      </c>
      <c r="O2878" t="s">
        <v>111</v>
      </c>
      <c r="P2878" t="str">
        <f>"85086-1763"</f>
        <v>85086-1763</v>
      </c>
      <c r="Q2878" t="s">
        <v>113</v>
      </c>
      <c r="R2878" t="str">
        <f>"203-07-765"</f>
        <v>203-07-765</v>
      </c>
      <c r="S2878" t="s">
        <v>8835</v>
      </c>
      <c r="U2878">
        <v>2561</v>
      </c>
      <c r="V2878">
        <v>0</v>
      </c>
      <c r="W2878">
        <v>4</v>
      </c>
      <c r="X2878">
        <v>2001</v>
      </c>
      <c r="Z2878">
        <v>2</v>
      </c>
      <c r="AA2878" t="s">
        <v>26</v>
      </c>
      <c r="AB2878">
        <v>0</v>
      </c>
      <c r="AC2878" t="s">
        <v>115</v>
      </c>
      <c r="AD2878">
        <v>2</v>
      </c>
      <c r="AE2878" t="s">
        <v>115</v>
      </c>
      <c r="AF2878">
        <v>0</v>
      </c>
      <c r="AG2878">
        <v>0</v>
      </c>
      <c r="AH2878" t="s">
        <v>116</v>
      </c>
      <c r="AI2878" s="1">
        <v>43850</v>
      </c>
      <c r="AJ2878" s="2">
        <v>0.12</v>
      </c>
      <c r="AK2878" s="1">
        <v>369761</v>
      </c>
      <c r="AL2878" t="s">
        <v>117</v>
      </c>
      <c r="AM2878" t="s">
        <v>393</v>
      </c>
      <c r="AN2878">
        <v>6900</v>
      </c>
      <c r="AO2878">
        <v>0.16</v>
      </c>
      <c r="AP2878">
        <v>1</v>
      </c>
      <c r="AR2878">
        <v>1</v>
      </c>
      <c r="AS2878" s="1">
        <v>25670</v>
      </c>
      <c r="AT2878" s="1">
        <v>5130</v>
      </c>
      <c r="AU2878" s="1">
        <v>20540</v>
      </c>
      <c r="AV2878">
        <v>80.02</v>
      </c>
      <c r="AX2878" s="1">
        <v>2784.78</v>
      </c>
      <c r="AY2878" t="s">
        <v>665</v>
      </c>
      <c r="AZ2878" t="s">
        <v>665</v>
      </c>
      <c r="BA2878" t="s">
        <v>378</v>
      </c>
      <c r="BE2878" s="3">
        <v>42465</v>
      </c>
      <c r="BF2878" s="1">
        <v>315500</v>
      </c>
      <c r="BG2878" t="s">
        <v>18968</v>
      </c>
      <c r="BH2878" s="1">
        <v>123.19</v>
      </c>
      <c r="BI2878" s="1">
        <v>325911</v>
      </c>
      <c r="BJ2878" s="3">
        <v>42465</v>
      </c>
      <c r="BK2878" t="s">
        <v>123</v>
      </c>
      <c r="BL2878" t="str">
        <f>"2016.222774"</f>
        <v>2016.222774</v>
      </c>
      <c r="BM2878" t="s">
        <v>738</v>
      </c>
      <c r="BO2878" t="s">
        <v>18969</v>
      </c>
      <c r="BS2878">
        <v>30</v>
      </c>
      <c r="BW2878" t="str">
        <f>""</f>
        <v/>
      </c>
      <c r="CH2878" t="str">
        <f>""</f>
        <v/>
      </c>
      <c r="CS2878" t="str">
        <f>""</f>
        <v/>
      </c>
    </row>
    <row r="2879" spans="1:97" x14ac:dyDescent="0.25">
      <c r="A2879" t="s">
        <v>1359</v>
      </c>
      <c r="B2879" t="s">
        <v>3395</v>
      </c>
      <c r="C2879" t="s">
        <v>18970</v>
      </c>
      <c r="D2879" t="s">
        <v>3395</v>
      </c>
      <c r="E2879" t="s">
        <v>18971</v>
      </c>
      <c r="F2879" t="s">
        <v>108</v>
      </c>
      <c r="H2879" t="s">
        <v>18972</v>
      </c>
      <c r="I2879" t="s">
        <v>110</v>
      </c>
      <c r="J2879" t="s">
        <v>111</v>
      </c>
      <c r="K2879" t="str">
        <f>"85249"</f>
        <v>85249</v>
      </c>
      <c r="L2879" t="s">
        <v>3225</v>
      </c>
      <c r="M2879" t="s">
        <v>18972</v>
      </c>
      <c r="N2879" t="s">
        <v>110</v>
      </c>
      <c r="O2879" t="s">
        <v>111</v>
      </c>
      <c r="P2879" t="str">
        <f>"85249-7413"</f>
        <v>85249-7413</v>
      </c>
      <c r="Q2879" t="s">
        <v>113</v>
      </c>
      <c r="R2879" t="str">
        <f>"313-09-255"</f>
        <v>313-09-255</v>
      </c>
      <c r="S2879" t="s">
        <v>14317</v>
      </c>
      <c r="U2879">
        <v>3098</v>
      </c>
      <c r="V2879">
        <v>0</v>
      </c>
      <c r="W2879">
        <v>4</v>
      </c>
      <c r="X2879">
        <v>2005</v>
      </c>
      <c r="Z2879">
        <v>2</v>
      </c>
      <c r="AB2879">
        <v>0</v>
      </c>
      <c r="AC2879" t="s">
        <v>115</v>
      </c>
      <c r="AD2879">
        <v>3</v>
      </c>
      <c r="AE2879" t="s">
        <v>115</v>
      </c>
      <c r="AF2879">
        <v>0</v>
      </c>
      <c r="AG2879">
        <v>0</v>
      </c>
      <c r="AH2879" t="s">
        <v>116</v>
      </c>
      <c r="AI2879" s="1">
        <v>87273</v>
      </c>
      <c r="AJ2879" s="2">
        <v>0.23</v>
      </c>
      <c r="AK2879" s="1">
        <v>386906</v>
      </c>
      <c r="AL2879" t="s">
        <v>117</v>
      </c>
      <c r="AM2879" t="s">
        <v>118</v>
      </c>
      <c r="AN2879">
        <v>7465</v>
      </c>
      <c r="AO2879">
        <v>0.17</v>
      </c>
      <c r="AR2879">
        <v>1</v>
      </c>
      <c r="AS2879" s="1">
        <v>27030</v>
      </c>
      <c r="AT2879" s="1">
        <v>5400</v>
      </c>
      <c r="AU2879" s="1">
        <v>21630</v>
      </c>
      <c r="AV2879">
        <v>80.02</v>
      </c>
      <c r="AX2879" s="1">
        <v>2306.56</v>
      </c>
      <c r="AY2879" t="s">
        <v>6269</v>
      </c>
      <c r="AZ2879" t="s">
        <v>273</v>
      </c>
      <c r="BA2879" t="s">
        <v>274</v>
      </c>
      <c r="BE2879" s="3">
        <v>41915</v>
      </c>
      <c r="BF2879" s="1">
        <v>290000</v>
      </c>
      <c r="BG2879" t="s">
        <v>18973</v>
      </c>
      <c r="BH2879" s="1">
        <v>93.61</v>
      </c>
      <c r="BI2879" s="1">
        <v>299633</v>
      </c>
      <c r="BJ2879" s="3">
        <v>42605</v>
      </c>
      <c r="BK2879" t="s">
        <v>123</v>
      </c>
      <c r="BL2879" t="str">
        <f>"2016.604912"</f>
        <v>2016.604912</v>
      </c>
      <c r="BM2879" t="s">
        <v>1695</v>
      </c>
      <c r="BO2879" t="s">
        <v>18974</v>
      </c>
      <c r="BQ2879" t="str">
        <f>"2.3750%"</f>
        <v>2.3750%</v>
      </c>
      <c r="BR2879" t="s">
        <v>1480</v>
      </c>
      <c r="BS2879">
        <v>30</v>
      </c>
      <c r="BW2879" t="str">
        <f>""</f>
        <v/>
      </c>
      <c r="CH2879" t="str">
        <f>""</f>
        <v/>
      </c>
      <c r="CS2879" t="str">
        <f>""</f>
        <v/>
      </c>
    </row>
    <row r="2880" spans="1:97" x14ac:dyDescent="0.25">
      <c r="A2880" t="s">
        <v>4221</v>
      </c>
      <c r="B2880" t="s">
        <v>465</v>
      </c>
      <c r="C2880" t="s">
        <v>1649</v>
      </c>
      <c r="D2880" t="s">
        <v>465</v>
      </c>
      <c r="E2880" t="s">
        <v>18975</v>
      </c>
      <c r="F2880" t="s">
        <v>108</v>
      </c>
      <c r="H2880" t="s">
        <v>18976</v>
      </c>
      <c r="I2880" t="s">
        <v>110</v>
      </c>
      <c r="J2880" t="s">
        <v>111</v>
      </c>
      <c r="K2880" t="str">
        <f>"85249"</f>
        <v>85249</v>
      </c>
      <c r="L2880" t="s">
        <v>8747</v>
      </c>
      <c r="M2880" t="s">
        <v>18976</v>
      </c>
      <c r="N2880" t="s">
        <v>110</v>
      </c>
      <c r="O2880" t="s">
        <v>111</v>
      </c>
      <c r="P2880" t="str">
        <f>"85249-5014"</f>
        <v>85249-5014</v>
      </c>
      <c r="Q2880" t="s">
        <v>113</v>
      </c>
      <c r="R2880" t="str">
        <f>"303-89-229"</f>
        <v>303-89-229</v>
      </c>
      <c r="S2880" t="s">
        <v>18977</v>
      </c>
      <c r="U2880">
        <v>2391</v>
      </c>
      <c r="V2880">
        <v>0</v>
      </c>
      <c r="W2880">
        <v>3</v>
      </c>
      <c r="X2880">
        <v>2003</v>
      </c>
      <c r="Z2880">
        <v>1</v>
      </c>
      <c r="AA2880" t="s">
        <v>26</v>
      </c>
      <c r="AB2880">
        <v>0</v>
      </c>
      <c r="AC2880" t="s">
        <v>115</v>
      </c>
      <c r="AD2880">
        <v>3</v>
      </c>
      <c r="AE2880" t="s">
        <v>115</v>
      </c>
      <c r="AF2880">
        <v>0</v>
      </c>
      <c r="AG2880">
        <v>0</v>
      </c>
      <c r="AH2880" t="s">
        <v>116</v>
      </c>
      <c r="AI2880" s="1">
        <v>49642</v>
      </c>
      <c r="AJ2880" s="2">
        <v>0.12</v>
      </c>
      <c r="AK2880" s="1">
        <v>412919</v>
      </c>
      <c r="AL2880" t="s">
        <v>117</v>
      </c>
      <c r="AM2880" t="s">
        <v>118</v>
      </c>
      <c r="AN2880">
        <v>9245</v>
      </c>
      <c r="AO2880">
        <v>0.21</v>
      </c>
      <c r="AP2880">
        <v>1</v>
      </c>
      <c r="AR2880">
        <v>1</v>
      </c>
      <c r="AS2880" s="1">
        <v>29020</v>
      </c>
      <c r="AT2880" s="1">
        <v>5800</v>
      </c>
      <c r="AU2880" s="1">
        <v>23220</v>
      </c>
      <c r="AV2880">
        <v>80.010000000000005</v>
      </c>
      <c r="AX2880" s="1">
        <v>2454.12</v>
      </c>
      <c r="AY2880" t="s">
        <v>5050</v>
      </c>
      <c r="AZ2880" t="s">
        <v>120</v>
      </c>
      <c r="BA2880" t="s">
        <v>274</v>
      </c>
      <c r="BE2880" s="3">
        <v>42359</v>
      </c>
      <c r="BF2880" s="1">
        <v>347000</v>
      </c>
      <c r="BG2880" t="s">
        <v>18978</v>
      </c>
      <c r="BH2880" s="1">
        <v>145.13</v>
      </c>
      <c r="BI2880" s="1">
        <v>363277</v>
      </c>
      <c r="BJ2880" s="3">
        <v>42674</v>
      </c>
      <c r="BK2880" t="s">
        <v>123</v>
      </c>
      <c r="BL2880" t="str">
        <f>"2016.796916"</f>
        <v>2016.796916</v>
      </c>
      <c r="BM2880" t="s">
        <v>361</v>
      </c>
      <c r="BO2880" t="s">
        <v>18979</v>
      </c>
      <c r="BS2880">
        <v>30</v>
      </c>
      <c r="BW2880" t="str">
        <f>""</f>
        <v/>
      </c>
      <c r="CH2880" t="str">
        <f>""</f>
        <v/>
      </c>
      <c r="CS2880" t="str">
        <f>""</f>
        <v/>
      </c>
    </row>
    <row r="2881" spans="1:97" x14ac:dyDescent="0.25">
      <c r="A2881" t="s">
        <v>8735</v>
      </c>
      <c r="B2881" t="s">
        <v>4774</v>
      </c>
      <c r="E2881" t="s">
        <v>18980</v>
      </c>
      <c r="F2881" t="s">
        <v>108</v>
      </c>
      <c r="H2881" t="s">
        <v>18981</v>
      </c>
      <c r="I2881" t="s">
        <v>390</v>
      </c>
      <c r="J2881" t="s">
        <v>111</v>
      </c>
      <c r="K2881" t="str">
        <f>"85050"</f>
        <v>85050</v>
      </c>
      <c r="L2881" t="s">
        <v>6964</v>
      </c>
      <c r="M2881" t="s">
        <v>18981</v>
      </c>
      <c r="N2881" t="s">
        <v>390</v>
      </c>
      <c r="O2881" t="s">
        <v>111</v>
      </c>
      <c r="P2881" t="str">
        <f>"85050-3961"</f>
        <v>85050-3961</v>
      </c>
      <c r="Q2881" t="s">
        <v>113</v>
      </c>
      <c r="R2881" t="str">
        <f>"213-14-369"</f>
        <v>213-14-369</v>
      </c>
      <c r="S2881" t="s">
        <v>18982</v>
      </c>
      <c r="T2881" t="s">
        <v>18983</v>
      </c>
      <c r="U2881">
        <v>1514</v>
      </c>
      <c r="V2881">
        <v>0</v>
      </c>
      <c r="W2881">
        <v>3</v>
      </c>
      <c r="X2881">
        <v>1987</v>
      </c>
      <c r="Z2881">
        <v>1</v>
      </c>
      <c r="AB2881">
        <v>0</v>
      </c>
      <c r="AC2881" t="s">
        <v>115</v>
      </c>
      <c r="AD2881">
        <v>2</v>
      </c>
      <c r="AE2881" t="s">
        <v>115</v>
      </c>
      <c r="AF2881">
        <v>0</v>
      </c>
      <c r="AG2881">
        <v>0</v>
      </c>
      <c r="AH2881" t="s">
        <v>116</v>
      </c>
      <c r="AI2881" s="1">
        <v>17981</v>
      </c>
      <c r="AJ2881" s="2">
        <v>0.06</v>
      </c>
      <c r="AK2881" s="1">
        <v>305981</v>
      </c>
      <c r="AL2881" t="s">
        <v>117</v>
      </c>
      <c r="AM2881" t="s">
        <v>191</v>
      </c>
      <c r="AN2881">
        <v>6329</v>
      </c>
      <c r="AO2881">
        <v>0.14000000000000001</v>
      </c>
      <c r="AP2881">
        <v>1</v>
      </c>
      <c r="AR2881">
        <v>1</v>
      </c>
      <c r="AS2881" s="1">
        <v>21350</v>
      </c>
      <c r="AT2881" s="1">
        <v>4270</v>
      </c>
      <c r="AU2881" s="1">
        <v>17080</v>
      </c>
      <c r="AV2881">
        <v>80</v>
      </c>
      <c r="AX2881" s="1">
        <v>1790.88</v>
      </c>
      <c r="AY2881" t="s">
        <v>8037</v>
      </c>
      <c r="AZ2881" t="s">
        <v>2550</v>
      </c>
      <c r="BA2881" t="s">
        <v>1318</v>
      </c>
      <c r="BB2881" s="3">
        <v>43286</v>
      </c>
      <c r="BC2881" s="1">
        <v>0</v>
      </c>
      <c r="BD2881" t="s">
        <v>247</v>
      </c>
      <c r="BE2881" s="3">
        <v>41820</v>
      </c>
      <c r="BF2881" s="1">
        <v>258000</v>
      </c>
      <c r="BG2881" t="s">
        <v>18984</v>
      </c>
      <c r="BH2881" s="1">
        <v>170.41</v>
      </c>
      <c r="BI2881" s="1">
        <v>288000</v>
      </c>
      <c r="BJ2881" s="3">
        <v>43286</v>
      </c>
      <c r="BK2881" t="s">
        <v>123</v>
      </c>
      <c r="BL2881" t="str">
        <f>"2018.511774"</f>
        <v>2018.511774</v>
      </c>
      <c r="BM2881" t="s">
        <v>18985</v>
      </c>
      <c r="BN2881" t="s">
        <v>17186</v>
      </c>
      <c r="BO2881" t="s">
        <v>18986</v>
      </c>
      <c r="BR2881" t="s">
        <v>139</v>
      </c>
      <c r="BW2881" t="str">
        <f>""</f>
        <v/>
      </c>
      <c r="CH2881" t="str">
        <f>""</f>
        <v/>
      </c>
      <c r="CS2881" t="str">
        <f>""</f>
        <v/>
      </c>
    </row>
    <row r="2882" spans="1:97" x14ac:dyDescent="0.25">
      <c r="A2882" t="s">
        <v>9234</v>
      </c>
      <c r="B2882" t="s">
        <v>18987</v>
      </c>
      <c r="C2882" t="s">
        <v>8100</v>
      </c>
      <c r="D2882" t="s">
        <v>18987</v>
      </c>
      <c r="E2882" t="s">
        <v>18988</v>
      </c>
      <c r="F2882" t="s">
        <v>108</v>
      </c>
      <c r="H2882" t="s">
        <v>18989</v>
      </c>
      <c r="I2882" t="s">
        <v>5863</v>
      </c>
      <c r="J2882" t="s">
        <v>111</v>
      </c>
      <c r="K2882" t="str">
        <f>"85375"</f>
        <v>85375</v>
      </c>
      <c r="L2882" t="s">
        <v>6631</v>
      </c>
      <c r="M2882" t="s">
        <v>18989</v>
      </c>
      <c r="N2882" t="s">
        <v>5863</v>
      </c>
      <c r="O2882" t="s">
        <v>111</v>
      </c>
      <c r="P2882" t="str">
        <f>"85375-2700"</f>
        <v>85375-2700</v>
      </c>
      <c r="Q2882" t="s">
        <v>113</v>
      </c>
      <c r="R2882" t="str">
        <f>"232-26-558"</f>
        <v>232-26-558</v>
      </c>
      <c r="S2882" t="s">
        <v>6439</v>
      </c>
      <c r="U2882">
        <v>1547</v>
      </c>
      <c r="V2882">
        <v>0</v>
      </c>
      <c r="W2882">
        <v>2</v>
      </c>
      <c r="X2882">
        <v>1995</v>
      </c>
      <c r="Z2882">
        <v>1</v>
      </c>
      <c r="AB2882">
        <v>0</v>
      </c>
      <c r="AC2882" t="s">
        <v>115</v>
      </c>
      <c r="AD2882">
        <v>2</v>
      </c>
      <c r="AE2882" t="s">
        <v>115</v>
      </c>
      <c r="AF2882">
        <v>0</v>
      </c>
      <c r="AG2882">
        <v>0</v>
      </c>
      <c r="AH2882" t="s">
        <v>116</v>
      </c>
      <c r="AI2882" s="1">
        <v>56935</v>
      </c>
      <c r="AJ2882" s="2">
        <v>0.22</v>
      </c>
      <c r="AK2882" s="1">
        <v>264467</v>
      </c>
      <c r="AL2882" t="s">
        <v>117</v>
      </c>
      <c r="AM2882" t="s">
        <v>191</v>
      </c>
      <c r="AN2882">
        <v>8275</v>
      </c>
      <c r="AO2882">
        <v>0.19</v>
      </c>
      <c r="AP2882">
        <v>1</v>
      </c>
      <c r="AR2882">
        <v>1</v>
      </c>
      <c r="AS2882" s="1">
        <v>17220</v>
      </c>
      <c r="AT2882" s="1">
        <v>3440</v>
      </c>
      <c r="AU2882" s="1">
        <v>13780</v>
      </c>
      <c r="AV2882">
        <v>80.02</v>
      </c>
      <c r="AX2882" s="1">
        <v>2034.24</v>
      </c>
      <c r="AY2882" t="s">
        <v>5108</v>
      </c>
      <c r="AZ2882" t="s">
        <v>5108</v>
      </c>
      <c r="BA2882" t="s">
        <v>5109</v>
      </c>
      <c r="BB2882" s="3">
        <v>42823</v>
      </c>
      <c r="BD2882" t="s">
        <v>458</v>
      </c>
      <c r="BE2882" s="3">
        <v>41940</v>
      </c>
      <c r="BF2882" s="1">
        <v>170000</v>
      </c>
      <c r="BG2882" t="s">
        <v>18990</v>
      </c>
      <c r="BH2882" s="1">
        <v>109.89</v>
      </c>
      <c r="BI2882" s="1">
        <v>207532</v>
      </c>
      <c r="BJ2882" s="3">
        <v>42978</v>
      </c>
      <c r="BK2882" t="s">
        <v>123</v>
      </c>
      <c r="BL2882" t="str">
        <f>"2017.646638"</f>
        <v>2017.646638</v>
      </c>
      <c r="BM2882" t="s">
        <v>10154</v>
      </c>
      <c r="BO2882" t="s">
        <v>18991</v>
      </c>
      <c r="BS2882">
        <v>30</v>
      </c>
      <c r="BW2882" t="str">
        <f>""</f>
        <v/>
      </c>
      <c r="CH2882" t="str">
        <f>""</f>
        <v/>
      </c>
      <c r="CS2882" t="str">
        <f>""</f>
        <v/>
      </c>
    </row>
    <row r="2883" spans="1:97" x14ac:dyDescent="0.25">
      <c r="A2883" t="s">
        <v>996</v>
      </c>
      <c r="B2883" t="s">
        <v>1655</v>
      </c>
      <c r="E2883" t="s">
        <v>18992</v>
      </c>
      <c r="F2883" t="s">
        <v>108</v>
      </c>
      <c r="H2883" t="s">
        <v>18993</v>
      </c>
      <c r="I2883" t="s">
        <v>110</v>
      </c>
      <c r="J2883" t="s">
        <v>111</v>
      </c>
      <c r="K2883" t="str">
        <f>"85249"</f>
        <v>85249</v>
      </c>
      <c r="L2883" t="s">
        <v>3225</v>
      </c>
      <c r="M2883" t="s">
        <v>18993</v>
      </c>
      <c r="N2883" t="s">
        <v>110</v>
      </c>
      <c r="O2883" t="s">
        <v>111</v>
      </c>
      <c r="P2883" t="str">
        <f>"85249-7078"</f>
        <v>85249-7078</v>
      </c>
      <c r="Q2883" t="s">
        <v>113</v>
      </c>
      <c r="R2883" t="str">
        <f>"304-84-310"</f>
        <v>304-84-310</v>
      </c>
      <c r="S2883" t="s">
        <v>9127</v>
      </c>
      <c r="U2883">
        <v>3603</v>
      </c>
      <c r="V2883">
        <v>0</v>
      </c>
      <c r="W2883">
        <v>4</v>
      </c>
      <c r="X2883">
        <v>2004</v>
      </c>
      <c r="Z2883">
        <v>2</v>
      </c>
      <c r="AA2883" t="s">
        <v>26</v>
      </c>
      <c r="AB2883">
        <v>0</v>
      </c>
      <c r="AC2883" t="s">
        <v>115</v>
      </c>
      <c r="AD2883">
        <v>3</v>
      </c>
      <c r="AE2883" t="s">
        <v>115</v>
      </c>
      <c r="AF2883">
        <v>0</v>
      </c>
      <c r="AG2883">
        <v>0</v>
      </c>
      <c r="AH2883" t="s">
        <v>116</v>
      </c>
      <c r="AI2883" s="1">
        <v>58495</v>
      </c>
      <c r="AJ2883" s="2">
        <v>0.13</v>
      </c>
      <c r="AK2883" s="1">
        <v>445870</v>
      </c>
      <c r="AL2883" t="s">
        <v>117</v>
      </c>
      <c r="AM2883" t="s">
        <v>118</v>
      </c>
      <c r="AN2883">
        <v>8050</v>
      </c>
      <c r="AO2883">
        <v>0.18</v>
      </c>
      <c r="AP2883">
        <v>1</v>
      </c>
      <c r="AR2883">
        <v>1</v>
      </c>
      <c r="AS2883" s="1">
        <v>31450</v>
      </c>
      <c r="AT2883" s="1">
        <v>6290</v>
      </c>
      <c r="AU2883" s="1">
        <v>25160</v>
      </c>
      <c r="AV2883">
        <v>80</v>
      </c>
      <c r="AX2883" s="1">
        <v>2683.98</v>
      </c>
      <c r="AY2883" t="s">
        <v>6269</v>
      </c>
      <c r="AZ2883" t="s">
        <v>273</v>
      </c>
      <c r="BA2883" t="s">
        <v>274</v>
      </c>
      <c r="BE2883" s="3">
        <v>42111</v>
      </c>
      <c r="BF2883" s="1">
        <v>375000</v>
      </c>
      <c r="BG2883" t="s">
        <v>18994</v>
      </c>
      <c r="BH2883" s="1">
        <v>104.08</v>
      </c>
      <c r="BI2883" s="1">
        <v>387375</v>
      </c>
      <c r="BJ2883" s="3">
        <v>42111</v>
      </c>
      <c r="BK2883" t="s">
        <v>123</v>
      </c>
      <c r="BL2883" t="str">
        <f>"2015.265827"</f>
        <v>2015.265827</v>
      </c>
      <c r="BM2883" t="s">
        <v>2094</v>
      </c>
      <c r="BO2883" t="s">
        <v>18995</v>
      </c>
      <c r="BS2883">
        <v>30</v>
      </c>
      <c r="BW2883" t="str">
        <f>""</f>
        <v/>
      </c>
      <c r="CH2883" t="str">
        <f>""</f>
        <v/>
      </c>
      <c r="CS2883" t="str">
        <f>""</f>
        <v/>
      </c>
    </row>
    <row r="2884" spans="1:97" x14ac:dyDescent="0.25">
      <c r="A2884" t="s">
        <v>2915</v>
      </c>
      <c r="B2884" t="s">
        <v>18996</v>
      </c>
      <c r="C2884" t="s">
        <v>1995</v>
      </c>
      <c r="D2884" t="s">
        <v>18996</v>
      </c>
      <c r="E2884" t="s">
        <v>18997</v>
      </c>
      <c r="F2884" t="s">
        <v>108</v>
      </c>
      <c r="H2884" t="s">
        <v>18998</v>
      </c>
      <c r="I2884" t="s">
        <v>225</v>
      </c>
      <c r="J2884" t="s">
        <v>111</v>
      </c>
      <c r="K2884" t="str">
        <f>"85209"</f>
        <v>85209</v>
      </c>
      <c r="L2884" t="s">
        <v>3530</v>
      </c>
      <c r="M2884" t="s">
        <v>18998</v>
      </c>
      <c r="N2884" t="s">
        <v>225</v>
      </c>
      <c r="O2884" t="s">
        <v>111</v>
      </c>
      <c r="P2884" t="str">
        <f>"85209-1574"</f>
        <v>85209-1574</v>
      </c>
      <c r="Q2884" t="s">
        <v>113</v>
      </c>
      <c r="R2884" t="str">
        <f>"312-11-387"</f>
        <v>312-11-387</v>
      </c>
      <c r="S2884" t="s">
        <v>18999</v>
      </c>
      <c r="U2884">
        <v>3075</v>
      </c>
      <c r="V2884">
        <v>0</v>
      </c>
      <c r="W2884">
        <v>4</v>
      </c>
      <c r="X2884">
        <v>2005</v>
      </c>
      <c r="Z2884">
        <v>2</v>
      </c>
      <c r="AA2884" t="s">
        <v>26</v>
      </c>
      <c r="AB2884">
        <v>0</v>
      </c>
      <c r="AC2884" t="s">
        <v>115</v>
      </c>
      <c r="AD2884">
        <v>3</v>
      </c>
      <c r="AE2884" t="s">
        <v>115</v>
      </c>
      <c r="AF2884">
        <v>0</v>
      </c>
      <c r="AG2884">
        <v>0</v>
      </c>
      <c r="AH2884" t="s">
        <v>116</v>
      </c>
      <c r="AI2884" s="1">
        <v>36352</v>
      </c>
      <c r="AJ2884" s="2">
        <v>0.09</v>
      </c>
      <c r="AK2884" s="1">
        <v>407199</v>
      </c>
      <c r="AL2884" t="s">
        <v>117</v>
      </c>
      <c r="AM2884" t="s">
        <v>393</v>
      </c>
      <c r="AN2884">
        <v>7020</v>
      </c>
      <c r="AO2884">
        <v>0.16</v>
      </c>
      <c r="AR2884">
        <v>1</v>
      </c>
      <c r="AS2884" s="1">
        <v>28770</v>
      </c>
      <c r="AT2884" s="1">
        <v>5750</v>
      </c>
      <c r="AU2884" s="1">
        <v>23020</v>
      </c>
      <c r="AV2884">
        <v>80.010000000000005</v>
      </c>
      <c r="AX2884" s="1">
        <v>2188.44</v>
      </c>
      <c r="AY2884" t="s">
        <v>4370</v>
      </c>
      <c r="AZ2884" t="s">
        <v>777</v>
      </c>
      <c r="BA2884" t="s">
        <v>572</v>
      </c>
      <c r="BE2884" s="3">
        <v>41975</v>
      </c>
      <c r="BF2884" s="1">
        <v>309900</v>
      </c>
      <c r="BG2884" t="s">
        <v>19000</v>
      </c>
      <c r="BH2884" s="1">
        <v>100.78</v>
      </c>
      <c r="BI2884" s="1">
        <v>370847</v>
      </c>
      <c r="BJ2884" s="3">
        <v>43550</v>
      </c>
      <c r="BK2884" t="s">
        <v>123</v>
      </c>
      <c r="BL2884" t="str">
        <f>"2019.206407"</f>
        <v>2019.206407</v>
      </c>
      <c r="BM2884" t="s">
        <v>3562</v>
      </c>
      <c r="BN2884" t="s">
        <v>3686</v>
      </c>
      <c r="BO2884" t="s">
        <v>19001</v>
      </c>
      <c r="BP2884" t="s">
        <v>19002</v>
      </c>
      <c r="BR2884" t="s">
        <v>139</v>
      </c>
      <c r="BW2884" t="str">
        <f>""</f>
        <v/>
      </c>
      <c r="CH2884" t="str">
        <f>""</f>
        <v/>
      </c>
      <c r="CS2884" t="str">
        <f>""</f>
        <v/>
      </c>
    </row>
    <row r="2885" spans="1:97" x14ac:dyDescent="0.25">
      <c r="A2885" t="s">
        <v>1647</v>
      </c>
      <c r="B2885" t="s">
        <v>19003</v>
      </c>
      <c r="C2885" t="s">
        <v>328</v>
      </c>
      <c r="D2885" t="s">
        <v>19003</v>
      </c>
      <c r="E2885" t="s">
        <v>19004</v>
      </c>
      <c r="F2885" t="s">
        <v>108</v>
      </c>
      <c r="H2885" t="s">
        <v>19005</v>
      </c>
      <c r="I2885" t="s">
        <v>1936</v>
      </c>
      <c r="J2885" t="s">
        <v>111</v>
      </c>
      <c r="K2885" t="str">
        <f>"85254"</f>
        <v>85254</v>
      </c>
      <c r="L2885" t="s">
        <v>2875</v>
      </c>
      <c r="M2885" t="s">
        <v>19005</v>
      </c>
      <c r="N2885" t="s">
        <v>1936</v>
      </c>
      <c r="O2885" t="s">
        <v>111</v>
      </c>
      <c r="P2885" t="str">
        <f>"85254-1673"</f>
        <v>85254-1673</v>
      </c>
      <c r="Q2885" t="s">
        <v>113</v>
      </c>
      <c r="R2885" t="str">
        <f>"215-33-224"</f>
        <v>215-33-224</v>
      </c>
      <c r="S2885" t="s">
        <v>6300</v>
      </c>
      <c r="T2885" t="s">
        <v>6301</v>
      </c>
      <c r="U2885">
        <v>2409</v>
      </c>
      <c r="V2885">
        <v>0</v>
      </c>
      <c r="W2885">
        <v>3</v>
      </c>
      <c r="X2885">
        <v>1984</v>
      </c>
      <c r="Z2885">
        <v>1</v>
      </c>
      <c r="AA2885" t="s">
        <v>26</v>
      </c>
      <c r="AB2885">
        <v>0</v>
      </c>
      <c r="AC2885" t="s">
        <v>115</v>
      </c>
      <c r="AD2885">
        <v>4</v>
      </c>
      <c r="AE2885" t="s">
        <v>115</v>
      </c>
      <c r="AF2885">
        <v>0</v>
      </c>
      <c r="AG2885">
        <v>0</v>
      </c>
      <c r="AH2885" t="s">
        <v>116</v>
      </c>
      <c r="AI2885" s="1">
        <v>119674</v>
      </c>
      <c r="AJ2885" s="2">
        <v>0.22</v>
      </c>
      <c r="AK2885" s="1">
        <v>537977</v>
      </c>
      <c r="AL2885" t="s">
        <v>117</v>
      </c>
      <c r="AM2885" t="s">
        <v>1302</v>
      </c>
      <c r="AN2885">
        <v>10135</v>
      </c>
      <c r="AO2885">
        <v>0.23</v>
      </c>
      <c r="AP2885">
        <v>1</v>
      </c>
      <c r="AR2885">
        <v>1</v>
      </c>
      <c r="AS2885" s="1">
        <v>39320</v>
      </c>
      <c r="AT2885" s="1">
        <v>7860</v>
      </c>
      <c r="AU2885" s="1">
        <v>31460</v>
      </c>
      <c r="AV2885">
        <v>80.010000000000005</v>
      </c>
      <c r="AX2885" s="1">
        <v>3191.86</v>
      </c>
      <c r="AY2885" t="s">
        <v>2767</v>
      </c>
      <c r="AZ2885" t="s">
        <v>1317</v>
      </c>
      <c r="BA2885" t="s">
        <v>6302</v>
      </c>
      <c r="BE2885" s="3">
        <v>42195</v>
      </c>
      <c r="BF2885" s="1">
        <v>439000</v>
      </c>
      <c r="BG2885" t="s">
        <v>19006</v>
      </c>
      <c r="BH2885" s="1">
        <v>182.23</v>
      </c>
      <c r="BI2885" s="1">
        <v>418303</v>
      </c>
      <c r="BJ2885" s="3">
        <v>43635</v>
      </c>
      <c r="BK2885" t="s">
        <v>123</v>
      </c>
      <c r="BL2885" t="str">
        <f>"2019.461243"</f>
        <v>2019.461243</v>
      </c>
      <c r="BM2885" t="s">
        <v>1610</v>
      </c>
      <c r="BN2885" t="s">
        <v>1611</v>
      </c>
      <c r="BO2885" t="s">
        <v>19007</v>
      </c>
      <c r="BP2885" t="s">
        <v>19008</v>
      </c>
      <c r="BR2885" t="s">
        <v>139</v>
      </c>
      <c r="BW2885" t="str">
        <f>""</f>
        <v/>
      </c>
      <c r="CH2885" t="str">
        <f>""</f>
        <v/>
      </c>
      <c r="CS2885" t="str">
        <f>""</f>
        <v/>
      </c>
    </row>
    <row r="2886" spans="1:97" x14ac:dyDescent="0.25">
      <c r="A2886" t="s">
        <v>5038</v>
      </c>
      <c r="B2886" t="s">
        <v>19009</v>
      </c>
      <c r="C2886" t="s">
        <v>19010</v>
      </c>
      <c r="D2886" t="s">
        <v>19011</v>
      </c>
      <c r="E2886" t="s">
        <v>19012</v>
      </c>
      <c r="F2886" t="s">
        <v>108</v>
      </c>
      <c r="H2886" t="s">
        <v>19013</v>
      </c>
      <c r="I2886" t="s">
        <v>453</v>
      </c>
      <c r="J2886" t="s">
        <v>111</v>
      </c>
      <c r="K2886" t="str">
        <f>"85383"</f>
        <v>85383</v>
      </c>
      <c r="L2886" t="s">
        <v>6316</v>
      </c>
      <c r="M2886" t="s">
        <v>19013</v>
      </c>
      <c r="N2886" t="s">
        <v>453</v>
      </c>
      <c r="O2886" t="s">
        <v>111</v>
      </c>
      <c r="P2886" t="str">
        <f>"85383-2105"</f>
        <v>85383-2105</v>
      </c>
      <c r="Q2886" t="s">
        <v>113</v>
      </c>
      <c r="R2886" t="str">
        <f>"200-07-237"</f>
        <v>200-07-237</v>
      </c>
      <c r="S2886" t="s">
        <v>9944</v>
      </c>
      <c r="T2886" t="s">
        <v>9944</v>
      </c>
      <c r="U2886">
        <v>2384</v>
      </c>
      <c r="V2886">
        <v>0</v>
      </c>
      <c r="W2886">
        <v>3</v>
      </c>
      <c r="X2886">
        <v>1999</v>
      </c>
      <c r="Z2886">
        <v>1</v>
      </c>
      <c r="AA2886" t="s">
        <v>26</v>
      </c>
      <c r="AB2886">
        <v>0</v>
      </c>
      <c r="AC2886" t="s">
        <v>115</v>
      </c>
      <c r="AD2886">
        <v>3</v>
      </c>
      <c r="AE2886" t="s">
        <v>115</v>
      </c>
      <c r="AF2886">
        <v>0</v>
      </c>
      <c r="AG2886">
        <v>0</v>
      </c>
      <c r="AH2886" t="s">
        <v>116</v>
      </c>
      <c r="AI2886" s="1">
        <v>72999</v>
      </c>
      <c r="AJ2886" s="2">
        <v>0.17</v>
      </c>
      <c r="AK2886" s="1">
        <v>423599</v>
      </c>
      <c r="AL2886" t="s">
        <v>117</v>
      </c>
      <c r="AM2886" t="s">
        <v>1302</v>
      </c>
      <c r="AN2886">
        <v>10660</v>
      </c>
      <c r="AO2886">
        <v>0.24</v>
      </c>
      <c r="AP2886">
        <v>1</v>
      </c>
      <c r="AR2886">
        <v>1</v>
      </c>
      <c r="AS2886" s="1">
        <v>30770</v>
      </c>
      <c r="AT2886" s="1">
        <v>6150</v>
      </c>
      <c r="AU2886" s="1">
        <v>24620</v>
      </c>
      <c r="AV2886">
        <v>80.010000000000005</v>
      </c>
      <c r="AX2886" s="1">
        <v>3073.38</v>
      </c>
      <c r="AY2886" t="s">
        <v>4218</v>
      </c>
      <c r="AZ2886" t="s">
        <v>4218</v>
      </c>
      <c r="BA2886" t="s">
        <v>4219</v>
      </c>
      <c r="BE2886" s="3">
        <v>42159</v>
      </c>
      <c r="BF2886" s="1">
        <v>350600</v>
      </c>
      <c r="BG2886" t="s">
        <v>19014</v>
      </c>
      <c r="BH2886" s="1">
        <v>147.06</v>
      </c>
      <c r="BI2886" s="1">
        <v>350600</v>
      </c>
      <c r="BJ2886" s="3">
        <v>42159</v>
      </c>
      <c r="BK2886" t="s">
        <v>123</v>
      </c>
      <c r="BL2886" t="str">
        <f>"2015.398813"</f>
        <v>2015.398813</v>
      </c>
      <c r="BM2886" t="s">
        <v>1287</v>
      </c>
      <c r="BO2886" t="s">
        <v>19015</v>
      </c>
      <c r="BP2886" t="s">
        <v>19016</v>
      </c>
      <c r="BS2886">
        <v>30</v>
      </c>
      <c r="BW2886" t="str">
        <f>""</f>
        <v/>
      </c>
      <c r="CH2886" t="str">
        <f>""</f>
        <v/>
      </c>
      <c r="CS2886" t="str">
        <f>""</f>
        <v/>
      </c>
    </row>
    <row r="2887" spans="1:97" x14ac:dyDescent="0.25">
      <c r="A2887" t="s">
        <v>8500</v>
      </c>
      <c r="B2887" t="s">
        <v>19017</v>
      </c>
      <c r="C2887" t="s">
        <v>2761</v>
      </c>
      <c r="D2887" t="s">
        <v>19017</v>
      </c>
      <c r="E2887" t="s">
        <v>19018</v>
      </c>
      <c r="F2887" t="s">
        <v>108</v>
      </c>
      <c r="H2887" t="s">
        <v>19019</v>
      </c>
      <c r="I2887" t="s">
        <v>390</v>
      </c>
      <c r="J2887" t="s">
        <v>111</v>
      </c>
      <c r="K2887" t="str">
        <f>"85022"</f>
        <v>85022</v>
      </c>
      <c r="L2887" t="s">
        <v>9168</v>
      </c>
      <c r="M2887" t="s">
        <v>19019</v>
      </c>
      <c r="N2887" t="s">
        <v>390</v>
      </c>
      <c r="O2887" t="s">
        <v>111</v>
      </c>
      <c r="P2887" t="str">
        <f>"85022-4364"</f>
        <v>85022-4364</v>
      </c>
      <c r="Q2887" t="s">
        <v>113</v>
      </c>
      <c r="R2887" t="str">
        <f>"214-42-241"</f>
        <v>214-42-241</v>
      </c>
      <c r="S2887" t="s">
        <v>12767</v>
      </c>
      <c r="T2887" t="s">
        <v>12768</v>
      </c>
      <c r="U2887">
        <v>1999</v>
      </c>
      <c r="V2887">
        <v>0</v>
      </c>
      <c r="W2887">
        <v>3</v>
      </c>
      <c r="X2887">
        <v>1986</v>
      </c>
      <c r="Z2887">
        <v>1</v>
      </c>
      <c r="AB2887">
        <v>0</v>
      </c>
      <c r="AC2887" t="s">
        <v>115</v>
      </c>
      <c r="AD2887">
        <v>2</v>
      </c>
      <c r="AE2887" t="s">
        <v>115</v>
      </c>
      <c r="AF2887">
        <v>0</v>
      </c>
      <c r="AG2887">
        <v>0</v>
      </c>
      <c r="AH2887" t="s">
        <v>116</v>
      </c>
      <c r="AI2887" s="1">
        <v>105881</v>
      </c>
      <c r="AJ2887" s="2">
        <v>0.28000000000000003</v>
      </c>
      <c r="AK2887" s="1">
        <v>379256</v>
      </c>
      <c r="AL2887" t="s">
        <v>117</v>
      </c>
      <c r="AM2887" t="s">
        <v>1302</v>
      </c>
      <c r="AN2887">
        <v>10164</v>
      </c>
      <c r="AO2887">
        <v>0.23</v>
      </c>
      <c r="AP2887">
        <v>1</v>
      </c>
      <c r="AR2887">
        <v>1</v>
      </c>
      <c r="AS2887" s="1">
        <v>27800</v>
      </c>
      <c r="AT2887" s="1">
        <v>5560</v>
      </c>
      <c r="AU2887" s="1">
        <v>22240</v>
      </c>
      <c r="AV2887">
        <v>80</v>
      </c>
      <c r="AX2887" s="1">
        <v>2559.5</v>
      </c>
      <c r="AY2887" t="s">
        <v>5802</v>
      </c>
      <c r="AZ2887" t="s">
        <v>5489</v>
      </c>
      <c r="BA2887" t="s">
        <v>5232</v>
      </c>
      <c r="BE2887" s="3">
        <v>42367</v>
      </c>
      <c r="BF2887" s="1">
        <v>300000</v>
      </c>
      <c r="BG2887" t="s">
        <v>19020</v>
      </c>
      <c r="BH2887" s="1">
        <v>150.08000000000001</v>
      </c>
      <c r="BI2887" s="1">
        <v>273375</v>
      </c>
      <c r="BJ2887" s="3">
        <v>42367</v>
      </c>
      <c r="BK2887" t="s">
        <v>123</v>
      </c>
      <c r="BL2887" t="str">
        <f>"2015.915384"</f>
        <v>2015.915384</v>
      </c>
      <c r="BM2887" t="s">
        <v>2748</v>
      </c>
      <c r="BO2887" t="s">
        <v>19021</v>
      </c>
      <c r="BS2887">
        <v>30</v>
      </c>
      <c r="BW2887" t="str">
        <f>""</f>
        <v/>
      </c>
      <c r="CH2887" t="str">
        <f>""</f>
        <v/>
      </c>
      <c r="CS2887" t="str">
        <f>""</f>
        <v/>
      </c>
    </row>
    <row r="2888" spans="1:97" x14ac:dyDescent="0.25">
      <c r="A2888" t="s">
        <v>19022</v>
      </c>
      <c r="B2888" t="s">
        <v>19023</v>
      </c>
      <c r="C2888" t="s">
        <v>933</v>
      </c>
      <c r="D2888" t="s">
        <v>19023</v>
      </c>
      <c r="E2888" t="s">
        <v>19024</v>
      </c>
      <c r="F2888" t="s">
        <v>108</v>
      </c>
      <c r="H2888" t="s">
        <v>19025</v>
      </c>
      <c r="I2888" t="s">
        <v>2874</v>
      </c>
      <c r="J2888" t="s">
        <v>111</v>
      </c>
      <c r="K2888" t="str">
        <f>"85308"</f>
        <v>85308</v>
      </c>
      <c r="L2888" t="s">
        <v>168</v>
      </c>
      <c r="M2888" t="s">
        <v>19025</v>
      </c>
      <c r="N2888" t="s">
        <v>2874</v>
      </c>
      <c r="O2888" t="s">
        <v>111</v>
      </c>
      <c r="P2888" t="str">
        <f>"85308-7349"</f>
        <v>85308-7349</v>
      </c>
      <c r="Q2888" t="s">
        <v>113</v>
      </c>
      <c r="R2888" t="str">
        <f>"206-31-295"</f>
        <v>206-31-295</v>
      </c>
      <c r="S2888" t="s">
        <v>8585</v>
      </c>
      <c r="T2888" t="s">
        <v>8586</v>
      </c>
      <c r="U2888">
        <v>2330</v>
      </c>
      <c r="V2888">
        <v>0</v>
      </c>
      <c r="W2888">
        <v>3</v>
      </c>
      <c r="X2888">
        <v>1989</v>
      </c>
      <c r="Z2888">
        <v>2</v>
      </c>
      <c r="AA2888" t="s">
        <v>26</v>
      </c>
      <c r="AB2888">
        <v>0</v>
      </c>
      <c r="AC2888" t="s">
        <v>115</v>
      </c>
      <c r="AD2888">
        <v>2</v>
      </c>
      <c r="AE2888" t="s">
        <v>115</v>
      </c>
      <c r="AF2888">
        <v>0</v>
      </c>
      <c r="AG2888">
        <v>0</v>
      </c>
      <c r="AH2888" t="s">
        <v>116</v>
      </c>
      <c r="AI2888" s="1">
        <v>55766</v>
      </c>
      <c r="AJ2888" s="2">
        <v>0.18</v>
      </c>
      <c r="AK2888" s="1">
        <v>302766</v>
      </c>
      <c r="AL2888" t="s">
        <v>117</v>
      </c>
      <c r="AM2888" t="s">
        <v>191</v>
      </c>
      <c r="AN2888">
        <v>6502</v>
      </c>
      <c r="AO2888">
        <v>0.15</v>
      </c>
      <c r="AP2888">
        <v>1</v>
      </c>
      <c r="AR2888">
        <v>1</v>
      </c>
      <c r="AS2888" s="1">
        <v>22750</v>
      </c>
      <c r="AT2888" s="1">
        <v>4550</v>
      </c>
      <c r="AU2888" s="1">
        <v>18200</v>
      </c>
      <c r="AV2888">
        <v>80</v>
      </c>
      <c r="AX2888" s="1">
        <v>2191.56</v>
      </c>
      <c r="AY2888" t="s">
        <v>8587</v>
      </c>
      <c r="AZ2888" t="s">
        <v>5142</v>
      </c>
      <c r="BA2888" t="s">
        <v>5143</v>
      </c>
      <c r="BE2888" s="3">
        <v>41705</v>
      </c>
      <c r="BF2888" s="1">
        <v>180000</v>
      </c>
      <c r="BG2888" t="s">
        <v>19026</v>
      </c>
      <c r="BH2888" s="1">
        <v>77.25</v>
      </c>
      <c r="BI2888" s="1">
        <v>247000</v>
      </c>
      <c r="BJ2888" s="3">
        <v>43047</v>
      </c>
      <c r="BK2888" t="s">
        <v>123</v>
      </c>
      <c r="BL2888" t="str">
        <f>"2017.830372"</f>
        <v>2017.830372</v>
      </c>
      <c r="BM2888" t="s">
        <v>4885</v>
      </c>
      <c r="BO2888" t="s">
        <v>19027</v>
      </c>
      <c r="BS2888">
        <v>30</v>
      </c>
      <c r="BW2888" t="str">
        <f>""</f>
        <v/>
      </c>
      <c r="CH2888" t="str">
        <f>""</f>
        <v/>
      </c>
      <c r="CS2888" t="str">
        <f>""</f>
        <v/>
      </c>
    </row>
    <row r="2889" spans="1:97" x14ac:dyDescent="0.25">
      <c r="A2889" t="s">
        <v>19028</v>
      </c>
      <c r="B2889" t="s">
        <v>19029</v>
      </c>
      <c r="C2889" t="s">
        <v>365</v>
      </c>
      <c r="D2889" t="s">
        <v>19029</v>
      </c>
      <c r="E2889" t="s">
        <v>19030</v>
      </c>
      <c r="F2889" t="s">
        <v>108</v>
      </c>
      <c r="H2889" t="s">
        <v>19031</v>
      </c>
      <c r="I2889" t="s">
        <v>225</v>
      </c>
      <c r="J2889" t="s">
        <v>111</v>
      </c>
      <c r="K2889" t="str">
        <f>"85208"</f>
        <v>85208</v>
      </c>
      <c r="L2889" t="s">
        <v>6349</v>
      </c>
      <c r="M2889" t="s">
        <v>19031</v>
      </c>
      <c r="N2889" t="s">
        <v>225</v>
      </c>
      <c r="O2889" t="s">
        <v>111</v>
      </c>
      <c r="P2889" t="str">
        <f>"85208-7604"</f>
        <v>85208-7604</v>
      </c>
      <c r="Q2889" t="s">
        <v>113</v>
      </c>
      <c r="R2889" t="str">
        <f>"220-73-161"</f>
        <v>220-73-161</v>
      </c>
      <c r="S2889" t="s">
        <v>19032</v>
      </c>
      <c r="T2889" t="s">
        <v>19032</v>
      </c>
      <c r="U2889">
        <v>1679</v>
      </c>
      <c r="V2889">
        <v>0</v>
      </c>
      <c r="W2889">
        <v>2</v>
      </c>
      <c r="X2889">
        <v>2000</v>
      </c>
      <c r="Z2889">
        <v>1</v>
      </c>
      <c r="AB2889">
        <v>0</v>
      </c>
      <c r="AC2889" t="s">
        <v>115</v>
      </c>
      <c r="AD2889">
        <v>2</v>
      </c>
      <c r="AE2889" t="s">
        <v>115</v>
      </c>
      <c r="AF2889">
        <v>0</v>
      </c>
      <c r="AG2889">
        <v>0</v>
      </c>
      <c r="AH2889" t="s">
        <v>116</v>
      </c>
      <c r="AI2889" s="1">
        <v>36482</v>
      </c>
      <c r="AJ2889" s="2">
        <v>0.14000000000000001</v>
      </c>
      <c r="AK2889" s="1">
        <v>261676</v>
      </c>
      <c r="AL2889" t="s">
        <v>117</v>
      </c>
      <c r="AM2889" t="s">
        <v>191</v>
      </c>
      <c r="AN2889">
        <v>5500</v>
      </c>
      <c r="AO2889">
        <v>0.13</v>
      </c>
      <c r="AP2889">
        <v>1</v>
      </c>
      <c r="AR2889">
        <v>1</v>
      </c>
      <c r="AS2889" s="1">
        <v>17830</v>
      </c>
      <c r="AT2889" s="1">
        <v>3560</v>
      </c>
      <c r="AU2889" s="1">
        <v>14270</v>
      </c>
      <c r="AV2889">
        <v>80.03</v>
      </c>
      <c r="AX2889" s="1">
        <v>1241.5999999999999</v>
      </c>
      <c r="AY2889" t="s">
        <v>3985</v>
      </c>
      <c r="AZ2889" t="s">
        <v>3761</v>
      </c>
      <c r="BA2889" t="s">
        <v>232</v>
      </c>
      <c r="BE2889" s="3">
        <v>41764</v>
      </c>
      <c r="BF2889" s="1">
        <v>182500</v>
      </c>
      <c r="BG2889" t="s">
        <v>19033</v>
      </c>
      <c r="BH2889" s="1">
        <v>108.7</v>
      </c>
      <c r="BI2889" s="1">
        <v>225194</v>
      </c>
      <c r="BJ2889" s="3">
        <v>42662</v>
      </c>
      <c r="BK2889" t="s">
        <v>123</v>
      </c>
      <c r="BL2889" t="str">
        <f>"2016.766454"</f>
        <v>2016.766454</v>
      </c>
      <c r="BM2889" t="s">
        <v>2683</v>
      </c>
      <c r="BO2889" t="s">
        <v>19034</v>
      </c>
      <c r="BS2889">
        <v>30</v>
      </c>
      <c r="BW2889" t="str">
        <f>""</f>
        <v/>
      </c>
      <c r="CH2889" t="str">
        <f>""</f>
        <v/>
      </c>
      <c r="CS2889" t="str">
        <f>""</f>
        <v/>
      </c>
    </row>
    <row r="2890" spans="1:97" x14ac:dyDescent="0.25">
      <c r="A2890" t="s">
        <v>1406</v>
      </c>
      <c r="B2890" t="s">
        <v>15782</v>
      </c>
      <c r="E2890" t="s">
        <v>19035</v>
      </c>
      <c r="F2890" t="s">
        <v>108</v>
      </c>
      <c r="H2890" t="s">
        <v>19036</v>
      </c>
      <c r="I2890" t="s">
        <v>390</v>
      </c>
      <c r="J2890" t="s">
        <v>111</v>
      </c>
      <c r="K2890" t="str">
        <f>"85016"</f>
        <v>85016</v>
      </c>
      <c r="L2890" t="s">
        <v>5228</v>
      </c>
      <c r="M2890" t="s">
        <v>19036</v>
      </c>
      <c r="N2890" t="s">
        <v>390</v>
      </c>
      <c r="O2890" t="s">
        <v>111</v>
      </c>
      <c r="P2890" t="str">
        <f>"85016-6019"</f>
        <v>85016-6019</v>
      </c>
      <c r="R2890" t="str">
        <f>"119-28-100"</f>
        <v>119-28-100</v>
      </c>
      <c r="S2890" t="s">
        <v>19037</v>
      </c>
      <c r="T2890" t="s">
        <v>19037</v>
      </c>
      <c r="U2890">
        <v>1795</v>
      </c>
      <c r="V2890">
        <v>0</v>
      </c>
      <c r="W2890">
        <v>1</v>
      </c>
      <c r="X2890">
        <v>1947</v>
      </c>
      <c r="Z2890">
        <v>1</v>
      </c>
      <c r="AA2890" t="s">
        <v>26</v>
      </c>
      <c r="AB2890">
        <v>0</v>
      </c>
      <c r="AC2890" t="s">
        <v>5188</v>
      </c>
      <c r="AD2890">
        <v>1</v>
      </c>
      <c r="AE2890" t="s">
        <v>5188</v>
      </c>
      <c r="AF2890">
        <v>0</v>
      </c>
      <c r="AG2890">
        <v>0</v>
      </c>
      <c r="AH2890" t="s">
        <v>116</v>
      </c>
      <c r="AI2890" s="1">
        <v>92839</v>
      </c>
      <c r="AJ2890" s="2">
        <v>0.27</v>
      </c>
      <c r="AK2890" s="1">
        <v>348214</v>
      </c>
      <c r="AL2890" t="s">
        <v>117</v>
      </c>
      <c r="AM2890" t="s">
        <v>191</v>
      </c>
      <c r="AN2890">
        <v>7497</v>
      </c>
      <c r="AO2890">
        <v>0.17</v>
      </c>
      <c r="AP2890">
        <v>1</v>
      </c>
      <c r="AR2890">
        <v>1</v>
      </c>
      <c r="AS2890" s="1">
        <v>23780</v>
      </c>
      <c r="AT2890" s="1">
        <v>4750</v>
      </c>
      <c r="AU2890" s="1">
        <v>19030</v>
      </c>
      <c r="AV2890">
        <v>80.03</v>
      </c>
      <c r="AX2890" s="1">
        <v>2593.94</v>
      </c>
      <c r="AY2890" t="s">
        <v>14631</v>
      </c>
      <c r="AZ2890" t="s">
        <v>14631</v>
      </c>
      <c r="BA2890" t="s">
        <v>8412</v>
      </c>
      <c r="BE2890" s="3">
        <v>41758</v>
      </c>
      <c r="BF2890" s="1">
        <v>250000</v>
      </c>
      <c r="BG2890" t="s">
        <v>19038</v>
      </c>
      <c r="BH2890" s="1">
        <v>139.28</v>
      </c>
      <c r="BI2890" s="1">
        <v>255375</v>
      </c>
      <c r="BJ2890" s="3">
        <v>41758</v>
      </c>
      <c r="BK2890" t="s">
        <v>123</v>
      </c>
      <c r="BL2890" t="str">
        <f>"2014.277098"</f>
        <v>2014.277098</v>
      </c>
      <c r="BM2890" t="s">
        <v>2716</v>
      </c>
      <c r="BN2890" t="s">
        <v>13505</v>
      </c>
      <c r="BO2890" t="s">
        <v>19039</v>
      </c>
      <c r="BS2890">
        <v>30</v>
      </c>
      <c r="BW2890" t="str">
        <f>""</f>
        <v/>
      </c>
      <c r="CH2890" t="str">
        <f>""</f>
        <v/>
      </c>
      <c r="CS2890" t="str">
        <f>""</f>
        <v/>
      </c>
    </row>
    <row r="2891" spans="1:97" x14ac:dyDescent="0.25">
      <c r="A2891" t="s">
        <v>894</v>
      </c>
      <c r="B2891" t="s">
        <v>2007</v>
      </c>
      <c r="C2891" t="s">
        <v>484</v>
      </c>
      <c r="D2891" t="s">
        <v>2007</v>
      </c>
      <c r="E2891" t="s">
        <v>19040</v>
      </c>
      <c r="F2891" t="s">
        <v>108</v>
      </c>
      <c r="H2891" t="s">
        <v>19041</v>
      </c>
      <c r="I2891" t="s">
        <v>390</v>
      </c>
      <c r="J2891" t="s">
        <v>111</v>
      </c>
      <c r="K2891" t="str">
        <f>"85032"</f>
        <v>85032</v>
      </c>
      <c r="L2891" t="s">
        <v>15732</v>
      </c>
      <c r="M2891" t="s">
        <v>19041</v>
      </c>
      <c r="N2891" t="s">
        <v>390</v>
      </c>
      <c r="O2891" t="s">
        <v>111</v>
      </c>
      <c r="P2891" t="str">
        <f>"85032-5018"</f>
        <v>85032-5018</v>
      </c>
      <c r="Q2891" t="s">
        <v>113</v>
      </c>
      <c r="R2891" t="str">
        <f>"214-59-115"</f>
        <v>214-59-115</v>
      </c>
      <c r="S2891" t="s">
        <v>19042</v>
      </c>
      <c r="T2891" t="s">
        <v>15734</v>
      </c>
      <c r="U2891">
        <v>2610</v>
      </c>
      <c r="V2891">
        <v>0</v>
      </c>
      <c r="W2891">
        <v>3</v>
      </c>
      <c r="X2891">
        <v>1979</v>
      </c>
      <c r="Z2891">
        <v>1</v>
      </c>
      <c r="AB2891">
        <v>0</v>
      </c>
      <c r="AC2891" t="s">
        <v>115</v>
      </c>
      <c r="AD2891">
        <v>2</v>
      </c>
      <c r="AE2891" t="s">
        <v>115</v>
      </c>
      <c r="AF2891">
        <v>0</v>
      </c>
      <c r="AG2891">
        <v>0</v>
      </c>
      <c r="AH2891" t="s">
        <v>116</v>
      </c>
      <c r="AI2891" s="1">
        <v>81109</v>
      </c>
      <c r="AJ2891" s="2">
        <v>0.19</v>
      </c>
      <c r="AK2891" s="1">
        <v>427756</v>
      </c>
      <c r="AL2891" t="s">
        <v>117</v>
      </c>
      <c r="AM2891" t="s">
        <v>1302</v>
      </c>
      <c r="AN2891">
        <v>9991</v>
      </c>
      <c r="AO2891">
        <v>0.23</v>
      </c>
      <c r="AP2891">
        <v>1</v>
      </c>
      <c r="AR2891">
        <v>1</v>
      </c>
      <c r="AS2891" s="1">
        <v>30130</v>
      </c>
      <c r="AT2891" s="1">
        <v>6020</v>
      </c>
      <c r="AU2891" s="1">
        <v>24110</v>
      </c>
      <c r="AV2891">
        <v>80.02</v>
      </c>
      <c r="AX2891" s="1">
        <v>2717.84</v>
      </c>
      <c r="AY2891" t="s">
        <v>13914</v>
      </c>
      <c r="AZ2891" t="s">
        <v>5231</v>
      </c>
      <c r="BA2891" t="s">
        <v>1318</v>
      </c>
      <c r="BE2891" s="3">
        <v>42541</v>
      </c>
      <c r="BF2891" s="1">
        <v>359500</v>
      </c>
      <c r="BG2891" t="s">
        <v>19043</v>
      </c>
      <c r="BH2891" s="1">
        <v>137.74</v>
      </c>
      <c r="BI2891" s="1">
        <v>346647</v>
      </c>
      <c r="BJ2891" s="3">
        <v>42541</v>
      </c>
      <c r="BK2891" t="s">
        <v>123</v>
      </c>
      <c r="BL2891" t="str">
        <f>"2016.428656"</f>
        <v>2016.428656</v>
      </c>
      <c r="BM2891" t="s">
        <v>724</v>
      </c>
      <c r="BO2891" t="s">
        <v>19044</v>
      </c>
      <c r="BS2891">
        <v>30</v>
      </c>
      <c r="BW2891" t="str">
        <f>""</f>
        <v/>
      </c>
      <c r="CH2891" t="str">
        <f>""</f>
        <v/>
      </c>
      <c r="CS2891" t="str">
        <f>""</f>
        <v/>
      </c>
    </row>
    <row r="2892" spans="1:97" x14ac:dyDescent="0.25">
      <c r="A2892" t="s">
        <v>14236</v>
      </c>
      <c r="B2892" t="s">
        <v>19045</v>
      </c>
      <c r="C2892" t="s">
        <v>1496</v>
      </c>
      <c r="D2892" t="s">
        <v>19045</v>
      </c>
      <c r="E2892" t="s">
        <v>19046</v>
      </c>
      <c r="F2892" t="s">
        <v>108</v>
      </c>
      <c r="H2892" t="s">
        <v>19047</v>
      </c>
      <c r="I2892" t="s">
        <v>3150</v>
      </c>
      <c r="J2892" t="s">
        <v>111</v>
      </c>
      <c r="K2892" t="str">
        <f>"85340"</f>
        <v>85340</v>
      </c>
      <c r="L2892" t="s">
        <v>5074</v>
      </c>
      <c r="M2892" t="s">
        <v>19047</v>
      </c>
      <c r="N2892" t="s">
        <v>3150</v>
      </c>
      <c r="O2892" t="s">
        <v>111</v>
      </c>
      <c r="P2892" t="str">
        <f>"85340-5014"</f>
        <v>85340-5014</v>
      </c>
      <c r="Q2892" t="s">
        <v>113</v>
      </c>
      <c r="R2892" t="str">
        <f>"501-68-204"</f>
        <v>501-68-204</v>
      </c>
      <c r="S2892" t="s">
        <v>19048</v>
      </c>
      <c r="T2892" t="s">
        <v>19049</v>
      </c>
      <c r="U2892">
        <v>2633</v>
      </c>
      <c r="V2892">
        <v>0</v>
      </c>
      <c r="W2892">
        <v>4</v>
      </c>
      <c r="X2892">
        <v>1997</v>
      </c>
      <c r="Z2892">
        <v>1</v>
      </c>
      <c r="AA2892" t="s">
        <v>26</v>
      </c>
      <c r="AB2892">
        <v>0</v>
      </c>
      <c r="AC2892" t="s">
        <v>115</v>
      </c>
      <c r="AD2892">
        <v>3</v>
      </c>
      <c r="AE2892" t="s">
        <v>115</v>
      </c>
      <c r="AF2892">
        <v>0</v>
      </c>
      <c r="AG2892">
        <v>0</v>
      </c>
      <c r="AH2892" t="s">
        <v>116</v>
      </c>
      <c r="AI2892" s="1">
        <v>90515</v>
      </c>
      <c r="AJ2892" s="2">
        <v>0.19</v>
      </c>
      <c r="AK2892" s="1">
        <v>475824</v>
      </c>
      <c r="AL2892" t="s">
        <v>117</v>
      </c>
      <c r="AM2892" t="s">
        <v>1521</v>
      </c>
      <c r="AN2892">
        <v>16547</v>
      </c>
      <c r="AO2892">
        <v>0.38</v>
      </c>
      <c r="AP2892">
        <v>1</v>
      </c>
      <c r="AR2892">
        <v>1</v>
      </c>
      <c r="AS2892" s="1">
        <v>34360</v>
      </c>
      <c r="AT2892" s="1">
        <v>6870</v>
      </c>
      <c r="AU2892" s="1">
        <v>27490</v>
      </c>
      <c r="AV2892">
        <v>80.010000000000005</v>
      </c>
      <c r="AX2892" s="1">
        <v>2714.5</v>
      </c>
      <c r="AY2892" t="s">
        <v>11553</v>
      </c>
      <c r="AZ2892" t="s">
        <v>11553</v>
      </c>
      <c r="BA2892" t="s">
        <v>3154</v>
      </c>
      <c r="BE2892" s="3">
        <v>42202</v>
      </c>
      <c r="BF2892" s="1">
        <v>373000</v>
      </c>
      <c r="BG2892" t="s">
        <v>19050</v>
      </c>
      <c r="BH2892" s="1">
        <v>141.66</v>
      </c>
      <c r="BI2892" s="1">
        <v>385309</v>
      </c>
      <c r="BJ2892" s="3">
        <v>42202</v>
      </c>
      <c r="BK2892" t="s">
        <v>123</v>
      </c>
      <c r="BL2892" t="str">
        <f>"2015.516814"</f>
        <v>2015.516814</v>
      </c>
      <c r="BM2892" t="s">
        <v>594</v>
      </c>
      <c r="BO2892" t="s">
        <v>19051</v>
      </c>
      <c r="BS2892">
        <v>30</v>
      </c>
      <c r="BW2892" t="str">
        <f>""</f>
        <v/>
      </c>
      <c r="CH2892" t="str">
        <f>""</f>
        <v/>
      </c>
      <c r="CS2892" t="str">
        <f>""</f>
        <v/>
      </c>
    </row>
    <row r="2893" spans="1:97" x14ac:dyDescent="0.25">
      <c r="A2893" t="s">
        <v>695</v>
      </c>
      <c r="B2893" t="s">
        <v>19052</v>
      </c>
      <c r="C2893" t="s">
        <v>1692</v>
      </c>
      <c r="D2893" t="s">
        <v>19052</v>
      </c>
      <c r="E2893" t="s">
        <v>19053</v>
      </c>
      <c r="F2893" t="s">
        <v>108</v>
      </c>
      <c r="H2893" t="s">
        <v>19054</v>
      </c>
      <c r="I2893" t="s">
        <v>499</v>
      </c>
      <c r="J2893" t="s">
        <v>111</v>
      </c>
      <c r="K2893" t="str">
        <f>"85338"</f>
        <v>85338</v>
      </c>
      <c r="L2893" t="s">
        <v>5775</v>
      </c>
      <c r="M2893" t="s">
        <v>19054</v>
      </c>
      <c r="N2893" t="s">
        <v>499</v>
      </c>
      <c r="O2893" t="s">
        <v>111</v>
      </c>
      <c r="P2893" t="str">
        <f>"85338-3240"</f>
        <v>85338-3240</v>
      </c>
      <c r="Q2893" t="s">
        <v>113</v>
      </c>
      <c r="R2893" t="str">
        <f>"500-10-593"</f>
        <v>500-10-593</v>
      </c>
      <c r="S2893" t="s">
        <v>9551</v>
      </c>
      <c r="T2893" t="s">
        <v>9551</v>
      </c>
      <c r="U2893">
        <v>2885</v>
      </c>
      <c r="V2893">
        <v>0</v>
      </c>
      <c r="W2893">
        <v>5</v>
      </c>
      <c r="X2893">
        <v>2014</v>
      </c>
      <c r="Z2893">
        <v>2</v>
      </c>
      <c r="AA2893" t="s">
        <v>26</v>
      </c>
      <c r="AB2893">
        <v>0</v>
      </c>
      <c r="AC2893" t="s">
        <v>115</v>
      </c>
      <c r="AD2893">
        <v>2</v>
      </c>
      <c r="AE2893" t="s">
        <v>115</v>
      </c>
      <c r="AF2893">
        <v>0</v>
      </c>
      <c r="AG2893">
        <v>0</v>
      </c>
      <c r="AH2893" t="s">
        <v>116</v>
      </c>
      <c r="AI2893" s="1">
        <v>72480</v>
      </c>
      <c r="AJ2893" s="2">
        <v>0.19</v>
      </c>
      <c r="AK2893" s="1">
        <v>375455</v>
      </c>
      <c r="AL2893" t="s">
        <v>117</v>
      </c>
      <c r="AM2893" t="s">
        <v>118</v>
      </c>
      <c r="AN2893">
        <v>7790</v>
      </c>
      <c r="AO2893">
        <v>0.18</v>
      </c>
      <c r="AR2893">
        <v>1</v>
      </c>
      <c r="AS2893" s="1">
        <v>27480</v>
      </c>
      <c r="AT2893" s="1">
        <v>5490</v>
      </c>
      <c r="AU2893" s="1">
        <v>21990</v>
      </c>
      <c r="AV2893">
        <v>80.02</v>
      </c>
      <c r="AX2893" s="1">
        <v>2440.04</v>
      </c>
      <c r="AY2893" t="s">
        <v>4311</v>
      </c>
      <c r="AZ2893" t="s">
        <v>4311</v>
      </c>
      <c r="BA2893" t="s">
        <v>7186</v>
      </c>
      <c r="BE2893" s="3">
        <v>41962</v>
      </c>
      <c r="BF2893" s="1">
        <v>302975</v>
      </c>
      <c r="BG2893" t="s">
        <v>158</v>
      </c>
      <c r="BH2893" s="1">
        <v>105.02</v>
      </c>
      <c r="BI2893" s="1">
        <v>302975</v>
      </c>
      <c r="BJ2893" s="3">
        <v>41962</v>
      </c>
      <c r="BK2893" t="s">
        <v>123</v>
      </c>
      <c r="BL2893" t="str">
        <f>"2014.765308"</f>
        <v>2014.765308</v>
      </c>
      <c r="BM2893" t="s">
        <v>241</v>
      </c>
      <c r="BO2893" t="s">
        <v>19055</v>
      </c>
      <c r="BS2893">
        <v>30</v>
      </c>
      <c r="BW2893" t="str">
        <f>""</f>
        <v/>
      </c>
      <c r="CH2893" t="str">
        <f>""</f>
        <v/>
      </c>
      <c r="CS2893" t="str">
        <f>""</f>
        <v/>
      </c>
    </row>
    <row r="2894" spans="1:97" x14ac:dyDescent="0.25">
      <c r="A2894" t="s">
        <v>589</v>
      </c>
      <c r="B2894" t="s">
        <v>17491</v>
      </c>
      <c r="C2894" t="s">
        <v>4515</v>
      </c>
      <c r="D2894" t="s">
        <v>17491</v>
      </c>
      <c r="E2894" t="s">
        <v>19056</v>
      </c>
      <c r="F2894" t="s">
        <v>108</v>
      </c>
      <c r="H2894" t="s">
        <v>19057</v>
      </c>
      <c r="I2894" t="s">
        <v>188</v>
      </c>
      <c r="J2894" t="s">
        <v>111</v>
      </c>
      <c r="K2894" t="str">
        <f>"85142"</f>
        <v>85142</v>
      </c>
      <c r="L2894" t="s">
        <v>5775</v>
      </c>
      <c r="M2894" t="s">
        <v>19057</v>
      </c>
      <c r="N2894" t="s">
        <v>188</v>
      </c>
      <c r="O2894" t="s">
        <v>111</v>
      </c>
      <c r="P2894" t="str">
        <f>"85142-5544"</f>
        <v>85142-5544</v>
      </c>
      <c r="Q2894" t="s">
        <v>113</v>
      </c>
      <c r="R2894" t="str">
        <f>"314-05-307"</f>
        <v>314-05-307</v>
      </c>
      <c r="S2894" t="s">
        <v>19058</v>
      </c>
      <c r="U2894">
        <v>3850</v>
      </c>
      <c r="V2894">
        <v>0</v>
      </c>
      <c r="W2894">
        <v>5</v>
      </c>
      <c r="X2894">
        <v>2004</v>
      </c>
      <c r="Z2894">
        <v>2</v>
      </c>
      <c r="AA2894" t="s">
        <v>26</v>
      </c>
      <c r="AB2894">
        <v>0</v>
      </c>
      <c r="AC2894" t="s">
        <v>115</v>
      </c>
      <c r="AD2894">
        <v>4</v>
      </c>
      <c r="AE2894" t="s">
        <v>115</v>
      </c>
      <c r="AF2894">
        <v>0</v>
      </c>
      <c r="AG2894">
        <v>0</v>
      </c>
      <c r="AH2894" t="s">
        <v>116</v>
      </c>
      <c r="AI2894" s="1">
        <v>57696</v>
      </c>
      <c r="AJ2894" s="2">
        <v>0.12</v>
      </c>
      <c r="AK2894" s="1">
        <v>472783</v>
      </c>
      <c r="AL2894" t="s">
        <v>117</v>
      </c>
      <c r="AM2894" t="s">
        <v>171</v>
      </c>
      <c r="AN2894">
        <v>8639</v>
      </c>
      <c r="AO2894">
        <v>0.2</v>
      </c>
      <c r="AP2894">
        <v>1</v>
      </c>
      <c r="AR2894">
        <v>1</v>
      </c>
      <c r="AS2894" s="1">
        <v>32800</v>
      </c>
      <c r="AT2894" s="1">
        <v>6560</v>
      </c>
      <c r="AU2894" s="1">
        <v>26240</v>
      </c>
      <c r="AV2894">
        <v>80</v>
      </c>
      <c r="AX2894" s="1">
        <v>3228.46</v>
      </c>
      <c r="AY2894" t="s">
        <v>5792</v>
      </c>
      <c r="AZ2894" t="s">
        <v>5792</v>
      </c>
      <c r="BA2894" t="s">
        <v>290</v>
      </c>
      <c r="BE2894" s="3">
        <v>42166</v>
      </c>
      <c r="BF2894" s="1">
        <v>382000</v>
      </c>
      <c r="BG2894" t="s">
        <v>19059</v>
      </c>
      <c r="BH2894" s="1">
        <v>99.22</v>
      </c>
      <c r="BI2894" s="1">
        <v>415087</v>
      </c>
      <c r="BJ2894" s="3">
        <v>43290</v>
      </c>
      <c r="BK2894" t="s">
        <v>123</v>
      </c>
      <c r="BL2894" t="str">
        <f>"2018.517959"</f>
        <v>2018.517959</v>
      </c>
      <c r="BM2894" t="s">
        <v>13866</v>
      </c>
      <c r="BN2894" t="s">
        <v>13867</v>
      </c>
      <c r="BO2894" t="s">
        <v>19060</v>
      </c>
      <c r="BP2894" t="s">
        <v>19061</v>
      </c>
      <c r="BR2894" t="s">
        <v>139</v>
      </c>
      <c r="BW2894" t="str">
        <f>""</f>
        <v/>
      </c>
      <c r="CH2894" t="str">
        <f>""</f>
        <v/>
      </c>
      <c r="CS2894" t="str">
        <f>""</f>
        <v/>
      </c>
    </row>
    <row r="2895" spans="1:97" x14ac:dyDescent="0.25">
      <c r="A2895" t="s">
        <v>10986</v>
      </c>
      <c r="B2895" t="s">
        <v>19062</v>
      </c>
      <c r="C2895" t="s">
        <v>19063</v>
      </c>
      <c r="D2895" t="s">
        <v>19062</v>
      </c>
      <c r="E2895" t="s">
        <v>19064</v>
      </c>
      <c r="F2895" t="s">
        <v>108</v>
      </c>
      <c r="H2895" t="s">
        <v>19065</v>
      </c>
      <c r="I2895" t="s">
        <v>5863</v>
      </c>
      <c r="J2895" t="s">
        <v>111</v>
      </c>
      <c r="K2895" t="str">
        <f>"85375"</f>
        <v>85375</v>
      </c>
      <c r="L2895" t="s">
        <v>926</v>
      </c>
      <c r="M2895" t="s">
        <v>19065</v>
      </c>
      <c r="N2895" t="s">
        <v>5863</v>
      </c>
      <c r="O2895" t="s">
        <v>111</v>
      </c>
      <c r="P2895" t="str">
        <f>"85375-5515"</f>
        <v>85375-5515</v>
      </c>
      <c r="Q2895" t="s">
        <v>113</v>
      </c>
      <c r="R2895" t="str">
        <f>"232-16-617"</f>
        <v>232-16-617</v>
      </c>
      <c r="S2895" t="s">
        <v>7897</v>
      </c>
      <c r="U2895">
        <v>1824</v>
      </c>
      <c r="V2895">
        <v>0</v>
      </c>
      <c r="W2895">
        <v>3</v>
      </c>
      <c r="X2895">
        <v>1987</v>
      </c>
      <c r="Z2895">
        <v>1</v>
      </c>
      <c r="AB2895">
        <v>0</v>
      </c>
      <c r="AC2895" t="s">
        <v>115</v>
      </c>
      <c r="AD2895">
        <v>2</v>
      </c>
      <c r="AE2895" t="s">
        <v>115</v>
      </c>
      <c r="AF2895">
        <v>0</v>
      </c>
      <c r="AG2895">
        <v>0</v>
      </c>
      <c r="AH2895" t="s">
        <v>116</v>
      </c>
      <c r="AI2895" s="1">
        <v>68462</v>
      </c>
      <c r="AJ2895" s="2">
        <v>0.25</v>
      </c>
      <c r="AK2895" s="1">
        <v>269462</v>
      </c>
      <c r="AL2895" t="s">
        <v>117</v>
      </c>
      <c r="AM2895" t="s">
        <v>393</v>
      </c>
      <c r="AN2895">
        <v>8700</v>
      </c>
      <c r="AO2895">
        <v>0.2</v>
      </c>
      <c r="AP2895">
        <v>1</v>
      </c>
      <c r="AR2895">
        <v>1</v>
      </c>
      <c r="AS2895" s="1">
        <v>17580</v>
      </c>
      <c r="AT2895" s="1">
        <v>3510</v>
      </c>
      <c r="AU2895" s="1">
        <v>14070</v>
      </c>
      <c r="AV2895">
        <v>80.03</v>
      </c>
      <c r="AX2895" s="1">
        <v>1404.74</v>
      </c>
      <c r="AY2895" t="s">
        <v>320</v>
      </c>
      <c r="AZ2895" t="s">
        <v>320</v>
      </c>
      <c r="BA2895" t="s">
        <v>321</v>
      </c>
      <c r="BE2895" s="3">
        <v>42257</v>
      </c>
      <c r="BF2895" s="1">
        <v>203000</v>
      </c>
      <c r="BG2895" t="s">
        <v>19066</v>
      </c>
      <c r="BH2895" s="1">
        <v>111.29</v>
      </c>
      <c r="BI2895" s="1">
        <v>201000</v>
      </c>
      <c r="BJ2895" s="3">
        <v>42566</v>
      </c>
      <c r="BK2895" t="s">
        <v>123</v>
      </c>
      <c r="BL2895" t="str">
        <f>"2016.501755"</f>
        <v>2016.501755</v>
      </c>
      <c r="BM2895" t="s">
        <v>124</v>
      </c>
      <c r="BO2895" t="s">
        <v>19067</v>
      </c>
      <c r="BS2895">
        <v>30</v>
      </c>
      <c r="BW2895" t="str">
        <f>""</f>
        <v/>
      </c>
      <c r="CH2895" t="str">
        <f>""</f>
        <v/>
      </c>
      <c r="CS2895" t="str">
        <f>""</f>
        <v/>
      </c>
    </row>
    <row r="2896" spans="1:97" x14ac:dyDescent="0.25">
      <c r="A2896" t="s">
        <v>639</v>
      </c>
      <c r="B2896" t="s">
        <v>19068</v>
      </c>
      <c r="E2896" t="s">
        <v>19069</v>
      </c>
      <c r="F2896" t="s">
        <v>108</v>
      </c>
      <c r="H2896" t="s">
        <v>19070</v>
      </c>
      <c r="I2896" t="s">
        <v>1936</v>
      </c>
      <c r="J2896" t="s">
        <v>111</v>
      </c>
      <c r="K2896" t="str">
        <f>"85255"</f>
        <v>85255</v>
      </c>
      <c r="L2896" t="s">
        <v>5260</v>
      </c>
      <c r="M2896" t="s">
        <v>19070</v>
      </c>
      <c r="N2896" t="s">
        <v>1936</v>
      </c>
      <c r="O2896" t="s">
        <v>111</v>
      </c>
      <c r="P2896" t="str">
        <f>"85255-4873"</f>
        <v>85255-4873</v>
      </c>
      <c r="Q2896" t="s">
        <v>113</v>
      </c>
      <c r="R2896" t="str">
        <f>"212-02-359"</f>
        <v>212-02-359</v>
      </c>
      <c r="S2896" t="s">
        <v>19071</v>
      </c>
      <c r="T2896" t="s">
        <v>19071</v>
      </c>
      <c r="U2896">
        <v>1656</v>
      </c>
      <c r="V2896">
        <v>0</v>
      </c>
      <c r="W2896">
        <v>4</v>
      </c>
      <c r="X2896">
        <v>1998</v>
      </c>
      <c r="Z2896">
        <v>2</v>
      </c>
      <c r="AB2896">
        <v>0</v>
      </c>
      <c r="AC2896" t="s">
        <v>115</v>
      </c>
      <c r="AD2896">
        <v>2</v>
      </c>
      <c r="AE2896" t="s">
        <v>115</v>
      </c>
      <c r="AF2896">
        <v>0</v>
      </c>
      <c r="AG2896">
        <v>0</v>
      </c>
      <c r="AH2896" t="s">
        <v>116</v>
      </c>
      <c r="AI2896" s="1">
        <v>112284</v>
      </c>
      <c r="AJ2896" s="2">
        <v>0.3</v>
      </c>
      <c r="AK2896" s="1">
        <v>372794</v>
      </c>
      <c r="AL2896" t="s">
        <v>117</v>
      </c>
      <c r="AM2896" t="s">
        <v>6533</v>
      </c>
      <c r="AN2896">
        <v>2562</v>
      </c>
      <c r="AO2896">
        <v>0.59</v>
      </c>
      <c r="AP2896">
        <v>1</v>
      </c>
      <c r="AR2896">
        <v>1</v>
      </c>
      <c r="AS2896" s="1">
        <v>25700</v>
      </c>
      <c r="AT2896" s="1">
        <v>5140</v>
      </c>
      <c r="AU2896" s="1">
        <v>20560</v>
      </c>
      <c r="AV2896">
        <v>80</v>
      </c>
      <c r="AX2896" s="1">
        <v>2411.66</v>
      </c>
      <c r="AY2896" t="s">
        <v>9968</v>
      </c>
      <c r="AZ2896" t="s">
        <v>761</v>
      </c>
      <c r="BA2896" t="s">
        <v>762</v>
      </c>
      <c r="BE2896" s="3">
        <v>41726</v>
      </c>
      <c r="BF2896" s="1">
        <v>273000</v>
      </c>
      <c r="BG2896" t="s">
        <v>19072</v>
      </c>
      <c r="BH2896" s="1">
        <v>164.86</v>
      </c>
      <c r="BI2896" s="1">
        <v>260510</v>
      </c>
      <c r="BJ2896" s="3">
        <v>42419</v>
      </c>
      <c r="BK2896" t="s">
        <v>123</v>
      </c>
      <c r="BL2896" t="str">
        <f>"2016.104331"</f>
        <v>2016.104331</v>
      </c>
      <c r="BM2896" t="s">
        <v>255</v>
      </c>
      <c r="BO2896" t="s">
        <v>19073</v>
      </c>
      <c r="BS2896">
        <v>30</v>
      </c>
      <c r="BW2896" t="str">
        <f>""</f>
        <v/>
      </c>
      <c r="CH2896" t="str">
        <f>""</f>
        <v/>
      </c>
      <c r="CS2896" t="str">
        <f>""</f>
        <v/>
      </c>
    </row>
    <row r="2897" spans="1:97" x14ac:dyDescent="0.25">
      <c r="A2897" t="s">
        <v>943</v>
      </c>
      <c r="B2897" t="s">
        <v>19074</v>
      </c>
      <c r="E2897" t="s">
        <v>19075</v>
      </c>
      <c r="F2897" t="s">
        <v>108</v>
      </c>
      <c r="H2897" t="s">
        <v>19076</v>
      </c>
      <c r="I2897" t="s">
        <v>2874</v>
      </c>
      <c r="J2897" t="s">
        <v>111</v>
      </c>
      <c r="K2897" t="str">
        <f>"85308"</f>
        <v>85308</v>
      </c>
      <c r="L2897" t="s">
        <v>15475</v>
      </c>
      <c r="M2897" t="s">
        <v>19076</v>
      </c>
      <c r="N2897" t="s">
        <v>2874</v>
      </c>
      <c r="O2897" t="s">
        <v>111</v>
      </c>
      <c r="P2897" t="str">
        <f>"85308-9173"</f>
        <v>85308-9173</v>
      </c>
      <c r="Q2897" t="s">
        <v>113</v>
      </c>
      <c r="R2897" t="str">
        <f>"200-23-749"</f>
        <v>200-23-749</v>
      </c>
      <c r="S2897" t="s">
        <v>15476</v>
      </c>
      <c r="T2897" t="s">
        <v>15477</v>
      </c>
      <c r="U2897">
        <v>2855</v>
      </c>
      <c r="V2897">
        <v>0</v>
      </c>
      <c r="W2897">
        <v>4</v>
      </c>
      <c r="X2897">
        <v>1995</v>
      </c>
      <c r="Z2897">
        <v>2</v>
      </c>
      <c r="AB2897">
        <v>0</v>
      </c>
      <c r="AC2897" t="s">
        <v>115</v>
      </c>
      <c r="AD2897">
        <v>3</v>
      </c>
      <c r="AE2897" t="s">
        <v>115</v>
      </c>
      <c r="AF2897">
        <v>0</v>
      </c>
      <c r="AG2897">
        <v>0</v>
      </c>
      <c r="AH2897" t="s">
        <v>116</v>
      </c>
      <c r="AI2897" s="1">
        <v>66456</v>
      </c>
      <c r="AJ2897" s="2">
        <v>0.15</v>
      </c>
      <c r="AK2897" s="1">
        <v>453298</v>
      </c>
      <c r="AL2897" t="s">
        <v>117</v>
      </c>
      <c r="AM2897" t="s">
        <v>393</v>
      </c>
      <c r="AN2897">
        <v>7400</v>
      </c>
      <c r="AO2897">
        <v>0.17</v>
      </c>
      <c r="AP2897">
        <v>1</v>
      </c>
      <c r="AR2897">
        <v>1</v>
      </c>
      <c r="AS2897" s="1">
        <v>30320</v>
      </c>
      <c r="AT2897" s="1">
        <v>6060</v>
      </c>
      <c r="AU2897" s="1">
        <v>24260</v>
      </c>
      <c r="AV2897">
        <v>80.010000000000005</v>
      </c>
      <c r="AX2897" s="1">
        <v>2741.24</v>
      </c>
      <c r="AY2897" t="s">
        <v>7455</v>
      </c>
      <c r="AZ2897" t="s">
        <v>3049</v>
      </c>
      <c r="BA2897" t="s">
        <v>2223</v>
      </c>
      <c r="BE2897" s="3">
        <v>41915</v>
      </c>
      <c r="BF2897" s="1">
        <v>378700</v>
      </c>
      <c r="BG2897" t="s">
        <v>19077</v>
      </c>
      <c r="BH2897" s="1">
        <v>132.63999999999999</v>
      </c>
      <c r="BI2897" s="1">
        <v>386842</v>
      </c>
      <c r="BJ2897" s="3">
        <v>41915</v>
      </c>
      <c r="BK2897" t="s">
        <v>123</v>
      </c>
      <c r="BL2897" t="str">
        <f>"2014.657475"</f>
        <v>2014.657475</v>
      </c>
      <c r="BM2897" t="s">
        <v>1044</v>
      </c>
      <c r="BO2897" t="s">
        <v>19078</v>
      </c>
      <c r="BS2897">
        <v>30</v>
      </c>
      <c r="BW2897" t="str">
        <f>""</f>
        <v/>
      </c>
      <c r="CH2897" t="str">
        <f>""</f>
        <v/>
      </c>
      <c r="CS2897" t="str">
        <f>""</f>
        <v/>
      </c>
    </row>
    <row r="2898" spans="1:97" x14ac:dyDescent="0.25">
      <c r="A2898" t="s">
        <v>1601</v>
      </c>
      <c r="B2898" t="s">
        <v>19079</v>
      </c>
      <c r="C2898" t="s">
        <v>1845</v>
      </c>
      <c r="D2898" t="s">
        <v>19079</v>
      </c>
      <c r="E2898" t="s">
        <v>19080</v>
      </c>
      <c r="F2898" t="s">
        <v>108</v>
      </c>
      <c r="H2898" t="s">
        <v>19081</v>
      </c>
      <c r="I2898" t="s">
        <v>203</v>
      </c>
      <c r="J2898" t="s">
        <v>111</v>
      </c>
      <c r="K2898" t="str">
        <f>"85234"</f>
        <v>85234</v>
      </c>
      <c r="L2898" t="s">
        <v>2220</v>
      </c>
      <c r="M2898" t="s">
        <v>19081</v>
      </c>
      <c r="N2898" t="s">
        <v>203</v>
      </c>
      <c r="O2898" t="s">
        <v>111</v>
      </c>
      <c r="P2898" t="str">
        <f>"85234-1412"</f>
        <v>85234-1412</v>
      </c>
      <c r="Q2898" t="s">
        <v>113</v>
      </c>
      <c r="R2898" t="str">
        <f>"304-08-471"</f>
        <v>304-08-471</v>
      </c>
      <c r="S2898" t="s">
        <v>19082</v>
      </c>
      <c r="T2898" t="s">
        <v>19083</v>
      </c>
      <c r="U2898">
        <v>2112</v>
      </c>
      <c r="V2898">
        <v>0</v>
      </c>
      <c r="W2898">
        <v>3</v>
      </c>
      <c r="X2898">
        <v>1997</v>
      </c>
      <c r="Z2898">
        <v>1</v>
      </c>
      <c r="AB2898">
        <v>0</v>
      </c>
      <c r="AC2898" t="s">
        <v>115</v>
      </c>
      <c r="AD2898">
        <v>3</v>
      </c>
      <c r="AE2898" t="s">
        <v>115</v>
      </c>
      <c r="AF2898">
        <v>0</v>
      </c>
      <c r="AG2898">
        <v>0</v>
      </c>
      <c r="AH2898" t="s">
        <v>116</v>
      </c>
      <c r="AI2898" s="1">
        <v>83347</v>
      </c>
      <c r="AJ2898" s="2">
        <v>0.23</v>
      </c>
      <c r="AK2898" s="1">
        <v>360597</v>
      </c>
      <c r="AL2898" t="s">
        <v>117</v>
      </c>
      <c r="AM2898" t="s">
        <v>171</v>
      </c>
      <c r="AN2898">
        <v>8259</v>
      </c>
      <c r="AO2898">
        <v>0.19</v>
      </c>
      <c r="AP2898">
        <v>1</v>
      </c>
      <c r="AR2898">
        <v>1</v>
      </c>
      <c r="AS2898" s="1">
        <v>24800</v>
      </c>
      <c r="AT2898" s="1">
        <v>4960</v>
      </c>
      <c r="AU2898" s="1">
        <v>19840</v>
      </c>
      <c r="AV2898">
        <v>80</v>
      </c>
      <c r="AX2898" s="1">
        <v>1807.16</v>
      </c>
      <c r="AY2898" t="s">
        <v>8450</v>
      </c>
      <c r="AZ2898" t="s">
        <v>571</v>
      </c>
      <c r="BA2898" t="s">
        <v>521</v>
      </c>
      <c r="BE2898" s="3">
        <v>41782</v>
      </c>
      <c r="BF2898" s="1">
        <v>277250</v>
      </c>
      <c r="BG2898" t="s">
        <v>19084</v>
      </c>
      <c r="BH2898" s="1">
        <v>131.27000000000001</v>
      </c>
      <c r="BI2898" s="1">
        <v>277250</v>
      </c>
      <c r="BJ2898" s="3">
        <v>41782</v>
      </c>
      <c r="BK2898" t="s">
        <v>123</v>
      </c>
      <c r="BL2898" t="str">
        <f>"2014.337702"</f>
        <v>2014.337702</v>
      </c>
      <c r="BM2898" t="s">
        <v>1038</v>
      </c>
      <c r="BO2898" t="s">
        <v>19085</v>
      </c>
      <c r="BS2898">
        <v>30</v>
      </c>
      <c r="BW2898" t="str">
        <f>""</f>
        <v/>
      </c>
      <c r="CH2898" t="str">
        <f>""</f>
        <v/>
      </c>
      <c r="CS2898" t="str">
        <f>""</f>
        <v/>
      </c>
    </row>
    <row r="2899" spans="1:97" x14ac:dyDescent="0.25">
      <c r="A2899" t="s">
        <v>1963</v>
      </c>
      <c r="B2899" t="s">
        <v>3548</v>
      </c>
      <c r="C2899" t="s">
        <v>703</v>
      </c>
      <c r="D2899" t="s">
        <v>3548</v>
      </c>
      <c r="E2899" t="s">
        <v>19086</v>
      </c>
      <c r="F2899" t="s">
        <v>108</v>
      </c>
      <c r="H2899" t="s">
        <v>19087</v>
      </c>
      <c r="I2899" t="s">
        <v>110</v>
      </c>
      <c r="J2899" t="s">
        <v>111</v>
      </c>
      <c r="K2899" t="str">
        <f>"85249"</f>
        <v>85249</v>
      </c>
      <c r="L2899" t="s">
        <v>3225</v>
      </c>
      <c r="M2899" t="s">
        <v>19087</v>
      </c>
      <c r="N2899" t="s">
        <v>110</v>
      </c>
      <c r="O2899" t="s">
        <v>111</v>
      </c>
      <c r="P2899" t="str">
        <f>"85249-5881"</f>
        <v>85249-5881</v>
      </c>
      <c r="Q2899" t="s">
        <v>113</v>
      </c>
      <c r="R2899" t="str">
        <f>"304-82-286"</f>
        <v>304-82-286</v>
      </c>
      <c r="S2899" t="s">
        <v>7599</v>
      </c>
      <c r="T2899" t="s">
        <v>7599</v>
      </c>
      <c r="U2899">
        <v>1961</v>
      </c>
      <c r="V2899">
        <v>0</v>
      </c>
      <c r="W2899">
        <v>3</v>
      </c>
      <c r="X2899">
        <v>2004</v>
      </c>
      <c r="Z2899">
        <v>1</v>
      </c>
      <c r="AA2899" t="s">
        <v>26</v>
      </c>
      <c r="AB2899">
        <v>0</v>
      </c>
      <c r="AC2899" t="s">
        <v>115</v>
      </c>
      <c r="AD2899">
        <v>3</v>
      </c>
      <c r="AE2899" t="s">
        <v>115</v>
      </c>
      <c r="AF2899">
        <v>0</v>
      </c>
      <c r="AG2899">
        <v>0</v>
      </c>
      <c r="AH2899" t="s">
        <v>116</v>
      </c>
      <c r="AI2899" s="1">
        <v>154054</v>
      </c>
      <c r="AJ2899" s="2">
        <v>0.43</v>
      </c>
      <c r="AK2899" s="1">
        <v>358579</v>
      </c>
      <c r="AL2899" t="s">
        <v>117</v>
      </c>
      <c r="AM2899" t="s">
        <v>118</v>
      </c>
      <c r="AN2899">
        <v>8050</v>
      </c>
      <c r="AO2899">
        <v>0.18</v>
      </c>
      <c r="AP2899">
        <v>1</v>
      </c>
      <c r="AR2899">
        <v>1</v>
      </c>
      <c r="AS2899" s="1">
        <v>25500</v>
      </c>
      <c r="AT2899" s="1">
        <v>5100</v>
      </c>
      <c r="AU2899" s="1">
        <v>20400</v>
      </c>
      <c r="AV2899">
        <v>80</v>
      </c>
      <c r="AX2899" s="1">
        <v>2150.8000000000002</v>
      </c>
      <c r="AY2899" t="s">
        <v>3699</v>
      </c>
      <c r="AZ2899" t="s">
        <v>273</v>
      </c>
      <c r="BA2899" t="s">
        <v>274</v>
      </c>
      <c r="BE2899" s="3">
        <v>41642</v>
      </c>
      <c r="BF2899" s="1">
        <v>259900</v>
      </c>
      <c r="BG2899" t="s">
        <v>19088</v>
      </c>
      <c r="BH2899" s="1">
        <v>132.53</v>
      </c>
      <c r="BI2899" s="1">
        <v>204525</v>
      </c>
      <c r="BJ2899" s="3">
        <v>41642</v>
      </c>
      <c r="BK2899" t="s">
        <v>123</v>
      </c>
      <c r="BL2899" t="str">
        <f>"2014.5640"</f>
        <v>2014.5640</v>
      </c>
      <c r="BM2899" t="s">
        <v>475</v>
      </c>
      <c r="BO2899" t="s">
        <v>19089</v>
      </c>
      <c r="BS2899">
        <v>30</v>
      </c>
      <c r="BW2899" t="str">
        <f>""</f>
        <v/>
      </c>
      <c r="CH2899" t="str">
        <f>""</f>
        <v/>
      </c>
      <c r="CS2899" t="str">
        <f>""</f>
        <v/>
      </c>
    </row>
    <row r="2900" spans="1:97" x14ac:dyDescent="0.25">
      <c r="B2900" t="s">
        <v>19090</v>
      </c>
      <c r="E2900" t="s">
        <v>19091</v>
      </c>
      <c r="F2900" t="s">
        <v>139</v>
      </c>
      <c r="H2900" t="s">
        <v>19092</v>
      </c>
      <c r="I2900" t="s">
        <v>203</v>
      </c>
      <c r="J2900" t="s">
        <v>111</v>
      </c>
      <c r="K2900" t="str">
        <f>"85296"</f>
        <v>85296</v>
      </c>
      <c r="L2900" t="s">
        <v>5456</v>
      </c>
      <c r="M2900" t="s">
        <v>19092</v>
      </c>
      <c r="N2900" t="s">
        <v>203</v>
      </c>
      <c r="O2900" t="s">
        <v>111</v>
      </c>
      <c r="P2900" t="str">
        <f>"85296-4163"</f>
        <v>85296-4163</v>
      </c>
      <c r="Q2900" t="s">
        <v>113</v>
      </c>
      <c r="R2900" t="str">
        <f>"304-24-295"</f>
        <v>304-24-295</v>
      </c>
      <c r="S2900" t="s">
        <v>13585</v>
      </c>
      <c r="T2900" t="s">
        <v>13585</v>
      </c>
      <c r="U2900">
        <v>2505</v>
      </c>
      <c r="V2900">
        <v>0</v>
      </c>
      <c r="W2900">
        <v>3</v>
      </c>
      <c r="X2900">
        <v>1997</v>
      </c>
      <c r="Z2900">
        <v>1</v>
      </c>
      <c r="AA2900" t="s">
        <v>26</v>
      </c>
      <c r="AB2900">
        <v>0</v>
      </c>
      <c r="AC2900" t="s">
        <v>115</v>
      </c>
      <c r="AD2900">
        <v>3</v>
      </c>
      <c r="AE2900" t="s">
        <v>115</v>
      </c>
      <c r="AF2900">
        <v>0</v>
      </c>
      <c r="AG2900">
        <v>0</v>
      </c>
      <c r="AH2900" t="s">
        <v>116</v>
      </c>
      <c r="AI2900" s="1">
        <v>88775</v>
      </c>
      <c r="AJ2900" s="2">
        <v>0.21</v>
      </c>
      <c r="AK2900" s="1">
        <v>418302</v>
      </c>
      <c r="AL2900" t="s">
        <v>117</v>
      </c>
      <c r="AM2900" t="s">
        <v>393</v>
      </c>
      <c r="AN2900">
        <v>10206</v>
      </c>
      <c r="AO2900">
        <v>0.23</v>
      </c>
      <c r="AP2900">
        <v>1</v>
      </c>
      <c r="AR2900">
        <v>1</v>
      </c>
      <c r="AS2900" s="1">
        <v>30420</v>
      </c>
      <c r="AT2900" s="1">
        <v>6080</v>
      </c>
      <c r="AU2900" s="1">
        <v>24340</v>
      </c>
      <c r="AV2900">
        <v>80.010000000000005</v>
      </c>
      <c r="AX2900" s="1">
        <v>2246.6</v>
      </c>
      <c r="AY2900" t="s">
        <v>7046</v>
      </c>
      <c r="AZ2900" t="s">
        <v>207</v>
      </c>
      <c r="BA2900" t="s">
        <v>208</v>
      </c>
      <c r="BB2900" s="3">
        <v>43264</v>
      </c>
      <c r="BC2900" s="1">
        <v>0</v>
      </c>
      <c r="BD2900" t="s">
        <v>247</v>
      </c>
      <c r="BE2900" s="3">
        <v>41828</v>
      </c>
      <c r="BF2900" s="1">
        <v>319000</v>
      </c>
      <c r="BG2900" t="s">
        <v>19093</v>
      </c>
      <c r="BH2900" s="1">
        <v>127.35</v>
      </c>
      <c r="BI2900" s="1">
        <v>329527</v>
      </c>
      <c r="BJ2900" s="3">
        <v>41828</v>
      </c>
      <c r="BK2900" t="s">
        <v>123</v>
      </c>
      <c r="BL2900" t="str">
        <f>"2014.443795"</f>
        <v>2014.443795</v>
      </c>
      <c r="BM2900" t="s">
        <v>544</v>
      </c>
      <c r="BN2900" t="s">
        <v>545</v>
      </c>
      <c r="BO2900" t="s">
        <v>19094</v>
      </c>
      <c r="BP2900" t="s">
        <v>19095</v>
      </c>
      <c r="BS2900">
        <v>30</v>
      </c>
      <c r="BW2900" t="str">
        <f>""</f>
        <v/>
      </c>
      <c r="CH2900" t="str">
        <f>""</f>
        <v/>
      </c>
      <c r="CS2900" t="str">
        <f>""</f>
        <v/>
      </c>
    </row>
    <row r="2901" spans="1:97" x14ac:dyDescent="0.25">
      <c r="A2901" t="s">
        <v>14444</v>
      </c>
      <c r="B2901" t="s">
        <v>7441</v>
      </c>
      <c r="C2901" t="s">
        <v>7872</v>
      </c>
      <c r="D2901" t="s">
        <v>7441</v>
      </c>
      <c r="E2901" t="s">
        <v>19096</v>
      </c>
      <c r="F2901" t="s">
        <v>108</v>
      </c>
      <c r="H2901" t="s">
        <v>19097</v>
      </c>
      <c r="I2901" t="s">
        <v>499</v>
      </c>
      <c r="J2901" t="s">
        <v>111</v>
      </c>
      <c r="K2901" t="str">
        <f>"85395"</f>
        <v>85395</v>
      </c>
      <c r="L2901" t="s">
        <v>7243</v>
      </c>
      <c r="M2901" t="s">
        <v>19097</v>
      </c>
      <c r="N2901" t="s">
        <v>499</v>
      </c>
      <c r="O2901" t="s">
        <v>111</v>
      </c>
      <c r="P2901" t="str">
        <f>"85395-8393"</f>
        <v>85395-8393</v>
      </c>
      <c r="Q2901" t="s">
        <v>113</v>
      </c>
      <c r="R2901" t="str">
        <f>"501-61-703"</f>
        <v>501-61-703</v>
      </c>
      <c r="S2901" t="s">
        <v>12578</v>
      </c>
      <c r="T2901" t="s">
        <v>12579</v>
      </c>
      <c r="U2901">
        <v>4137</v>
      </c>
      <c r="V2901">
        <v>0</v>
      </c>
      <c r="W2901">
        <v>4</v>
      </c>
      <c r="X2901">
        <v>2006</v>
      </c>
      <c r="Z2901">
        <v>2</v>
      </c>
      <c r="AA2901" t="s">
        <v>26</v>
      </c>
      <c r="AB2901">
        <v>0</v>
      </c>
      <c r="AC2901" t="s">
        <v>115</v>
      </c>
      <c r="AD2901">
        <v>3</v>
      </c>
      <c r="AE2901" t="s">
        <v>115</v>
      </c>
      <c r="AF2901">
        <v>0</v>
      </c>
      <c r="AG2901">
        <v>0</v>
      </c>
      <c r="AH2901" t="s">
        <v>116</v>
      </c>
      <c r="AI2901" s="1">
        <v>62790</v>
      </c>
      <c r="AJ2901" s="2">
        <v>0.14000000000000001</v>
      </c>
      <c r="AK2901" s="1">
        <v>433090</v>
      </c>
      <c r="AL2901" t="s">
        <v>117</v>
      </c>
      <c r="AM2901" t="s">
        <v>118</v>
      </c>
      <c r="AN2901">
        <v>10400</v>
      </c>
      <c r="AO2901">
        <v>0.24</v>
      </c>
      <c r="AR2901">
        <v>1</v>
      </c>
      <c r="AS2901" s="1">
        <v>35360</v>
      </c>
      <c r="AT2901" s="1">
        <v>7070</v>
      </c>
      <c r="AU2901" s="1">
        <v>28290</v>
      </c>
      <c r="AV2901">
        <v>80.010000000000005</v>
      </c>
      <c r="AX2901" s="1">
        <v>4178.2</v>
      </c>
      <c r="AY2901" t="s">
        <v>3020</v>
      </c>
      <c r="AZ2901" t="s">
        <v>3020</v>
      </c>
      <c r="BA2901" t="s">
        <v>3154</v>
      </c>
      <c r="BE2901" s="3">
        <v>42185</v>
      </c>
      <c r="BF2901" s="1">
        <v>356000</v>
      </c>
      <c r="BG2901" t="s">
        <v>19098</v>
      </c>
      <c r="BH2901" s="1">
        <v>86.05</v>
      </c>
      <c r="BI2901" s="1">
        <v>370300</v>
      </c>
      <c r="BJ2901" s="3">
        <v>42998</v>
      </c>
      <c r="BK2901" t="s">
        <v>123</v>
      </c>
      <c r="BL2901" t="str">
        <f>"2017.694487"</f>
        <v>2017.694487</v>
      </c>
      <c r="BM2901" t="s">
        <v>807</v>
      </c>
      <c r="BO2901" t="s">
        <v>19099</v>
      </c>
      <c r="BQ2901" t="str">
        <f>"2.5000%"</f>
        <v>2.5000%</v>
      </c>
      <c r="BR2901" t="s">
        <v>1480</v>
      </c>
      <c r="BS2901">
        <v>30</v>
      </c>
      <c r="BW2901" t="str">
        <f>""</f>
        <v/>
      </c>
      <c r="CH2901" t="str">
        <f>""</f>
        <v/>
      </c>
      <c r="CS2901" t="str">
        <f>""</f>
        <v/>
      </c>
    </row>
    <row r="2902" spans="1:97" x14ac:dyDescent="0.25">
      <c r="A2902" t="s">
        <v>1354</v>
      </c>
      <c r="B2902" t="s">
        <v>19100</v>
      </c>
      <c r="C2902" t="s">
        <v>604</v>
      </c>
      <c r="D2902" t="s">
        <v>19100</v>
      </c>
      <c r="E2902" t="s">
        <v>19101</v>
      </c>
      <c r="F2902" t="s">
        <v>108</v>
      </c>
      <c r="H2902" t="s">
        <v>19102</v>
      </c>
      <c r="I2902" t="s">
        <v>5114</v>
      </c>
      <c r="J2902" t="s">
        <v>111</v>
      </c>
      <c r="K2902" t="str">
        <f>"85323"</f>
        <v>85323</v>
      </c>
      <c r="L2902" t="s">
        <v>1070</v>
      </c>
      <c r="M2902" t="s">
        <v>19102</v>
      </c>
      <c r="N2902" t="s">
        <v>5114</v>
      </c>
      <c r="O2902" t="s">
        <v>111</v>
      </c>
      <c r="P2902" t="str">
        <f>"85323-8062"</f>
        <v>85323-8062</v>
      </c>
      <c r="Q2902" t="s">
        <v>113</v>
      </c>
      <c r="R2902" t="str">
        <f>"500-29-323"</f>
        <v>500-29-323</v>
      </c>
      <c r="S2902" t="s">
        <v>16249</v>
      </c>
      <c r="U2902">
        <v>2284</v>
      </c>
      <c r="V2902">
        <v>0</v>
      </c>
      <c r="W2902">
        <v>3</v>
      </c>
      <c r="X2902">
        <v>2001</v>
      </c>
      <c r="Z2902">
        <v>1</v>
      </c>
      <c r="AA2902" t="s">
        <v>26</v>
      </c>
      <c r="AB2902">
        <v>0</v>
      </c>
      <c r="AC2902" t="s">
        <v>115</v>
      </c>
      <c r="AD2902">
        <v>2</v>
      </c>
      <c r="AE2902" t="s">
        <v>115</v>
      </c>
      <c r="AF2902">
        <v>0</v>
      </c>
      <c r="AG2902">
        <v>0</v>
      </c>
      <c r="AH2902" t="s">
        <v>116</v>
      </c>
      <c r="AI2902" s="1">
        <v>74047</v>
      </c>
      <c r="AJ2902" s="2">
        <v>0.25</v>
      </c>
      <c r="AK2902" s="1">
        <v>299016</v>
      </c>
      <c r="AL2902" t="s">
        <v>117</v>
      </c>
      <c r="AM2902" t="s">
        <v>118</v>
      </c>
      <c r="AN2902">
        <v>7360</v>
      </c>
      <c r="AO2902">
        <v>0.17</v>
      </c>
      <c r="AP2902">
        <v>1</v>
      </c>
      <c r="AR2902">
        <v>1</v>
      </c>
      <c r="AS2902" s="1">
        <v>20900</v>
      </c>
      <c r="AT2902" s="1">
        <v>4180</v>
      </c>
      <c r="AU2902" s="1">
        <v>16720</v>
      </c>
      <c r="AV2902">
        <v>80</v>
      </c>
      <c r="AX2902" s="1">
        <v>2029.8</v>
      </c>
      <c r="AY2902" t="s">
        <v>9447</v>
      </c>
      <c r="AZ2902" t="s">
        <v>9447</v>
      </c>
      <c r="BA2902" t="s">
        <v>4254</v>
      </c>
      <c r="BE2902" s="3">
        <v>41911</v>
      </c>
      <c r="BF2902" s="1">
        <v>217500</v>
      </c>
      <c r="BG2902" t="s">
        <v>19103</v>
      </c>
      <c r="BH2902" s="1">
        <v>95.23</v>
      </c>
      <c r="BI2902" s="1">
        <v>224969</v>
      </c>
      <c r="BJ2902" s="3">
        <v>42398</v>
      </c>
      <c r="BK2902" t="s">
        <v>123</v>
      </c>
      <c r="BL2902" t="str">
        <f>"2016.63607"</f>
        <v>2016.63607</v>
      </c>
      <c r="BM2902" t="s">
        <v>9615</v>
      </c>
      <c r="BO2902" t="s">
        <v>19104</v>
      </c>
      <c r="BS2902">
        <v>30</v>
      </c>
      <c r="BW2902" t="str">
        <f>""</f>
        <v/>
      </c>
      <c r="CH2902" t="str">
        <f>""</f>
        <v/>
      </c>
      <c r="CS2902" t="str">
        <f>""</f>
        <v/>
      </c>
    </row>
    <row r="2903" spans="1:97" x14ac:dyDescent="0.25">
      <c r="A2903" t="s">
        <v>19105</v>
      </c>
      <c r="B2903" t="s">
        <v>19106</v>
      </c>
      <c r="E2903" t="s">
        <v>19107</v>
      </c>
      <c r="F2903" t="s">
        <v>108</v>
      </c>
      <c r="H2903" t="s">
        <v>19108</v>
      </c>
      <c r="I2903" t="s">
        <v>188</v>
      </c>
      <c r="J2903" t="s">
        <v>111</v>
      </c>
      <c r="K2903" t="str">
        <f>"85142"</f>
        <v>85142</v>
      </c>
      <c r="L2903" t="s">
        <v>5893</v>
      </c>
      <c r="M2903" t="s">
        <v>19108</v>
      </c>
      <c r="N2903" t="s">
        <v>188</v>
      </c>
      <c r="O2903" t="s">
        <v>111</v>
      </c>
      <c r="P2903" t="str">
        <f>"85142-4830"</f>
        <v>85142-4830</v>
      </c>
      <c r="Q2903" t="s">
        <v>113</v>
      </c>
      <c r="R2903" t="str">
        <f>"314-04-760"</f>
        <v>314-04-760</v>
      </c>
      <c r="S2903" t="s">
        <v>5894</v>
      </c>
      <c r="T2903" t="s">
        <v>5894</v>
      </c>
      <c r="U2903">
        <v>2213</v>
      </c>
      <c r="V2903">
        <v>0</v>
      </c>
      <c r="W2903">
        <v>4</v>
      </c>
      <c r="X2903">
        <v>2014</v>
      </c>
      <c r="Z2903">
        <v>1</v>
      </c>
      <c r="AB2903">
        <v>0</v>
      </c>
      <c r="AC2903" t="s">
        <v>115</v>
      </c>
      <c r="AD2903">
        <v>2</v>
      </c>
      <c r="AE2903" t="s">
        <v>115</v>
      </c>
      <c r="AF2903">
        <v>0</v>
      </c>
      <c r="AG2903">
        <v>0</v>
      </c>
      <c r="AH2903" t="s">
        <v>116</v>
      </c>
      <c r="AI2903" s="1">
        <v>82187</v>
      </c>
      <c r="AJ2903" s="2">
        <v>0.23</v>
      </c>
      <c r="AK2903" s="1">
        <v>350841</v>
      </c>
      <c r="AL2903" t="s">
        <v>117</v>
      </c>
      <c r="AM2903" t="s">
        <v>191</v>
      </c>
      <c r="AN2903">
        <v>6900</v>
      </c>
      <c r="AO2903">
        <v>0.16</v>
      </c>
      <c r="AR2903">
        <v>1</v>
      </c>
      <c r="AS2903" s="1">
        <v>24220</v>
      </c>
      <c r="AT2903" s="1">
        <v>4840</v>
      </c>
      <c r="AU2903" s="1">
        <v>19380</v>
      </c>
      <c r="AV2903">
        <v>80.02</v>
      </c>
      <c r="AX2903" s="1">
        <v>2114.8000000000002</v>
      </c>
      <c r="AY2903" t="s">
        <v>5895</v>
      </c>
      <c r="AZ2903" t="s">
        <v>561</v>
      </c>
      <c r="BA2903" t="s">
        <v>194</v>
      </c>
      <c r="BE2903" s="3">
        <v>42034</v>
      </c>
      <c r="BF2903" s="1">
        <v>268163</v>
      </c>
      <c r="BG2903" t="s">
        <v>617</v>
      </c>
      <c r="BH2903" s="1">
        <v>121.18</v>
      </c>
      <c r="BI2903" s="1">
        <v>268654</v>
      </c>
      <c r="BJ2903" s="3">
        <v>42587</v>
      </c>
      <c r="BK2903" t="s">
        <v>123</v>
      </c>
      <c r="BL2903" t="str">
        <f>"2016.556596"</f>
        <v>2016.556596</v>
      </c>
      <c r="BM2903" t="s">
        <v>492</v>
      </c>
      <c r="BO2903" t="s">
        <v>19109</v>
      </c>
      <c r="BS2903">
        <v>30</v>
      </c>
      <c r="BW2903" t="str">
        <f>""</f>
        <v/>
      </c>
      <c r="CH2903" t="str">
        <f>""</f>
        <v/>
      </c>
      <c r="CS2903" t="str">
        <f>""</f>
        <v/>
      </c>
    </row>
    <row r="2904" spans="1:97" x14ac:dyDescent="0.25">
      <c r="B2904" t="s">
        <v>19110</v>
      </c>
      <c r="E2904" t="s">
        <v>19111</v>
      </c>
      <c r="F2904" t="s">
        <v>108</v>
      </c>
      <c r="H2904" t="s">
        <v>19112</v>
      </c>
      <c r="I2904" t="s">
        <v>453</v>
      </c>
      <c r="J2904" t="s">
        <v>111</v>
      </c>
      <c r="K2904" t="str">
        <f>"85382"</f>
        <v>85382</v>
      </c>
      <c r="L2904" t="s">
        <v>734</v>
      </c>
      <c r="M2904" t="s">
        <v>19112</v>
      </c>
      <c r="N2904" t="s">
        <v>453</v>
      </c>
      <c r="O2904" t="s">
        <v>111</v>
      </c>
      <c r="P2904" t="str">
        <f>"85382-8813"</f>
        <v>85382-8813</v>
      </c>
      <c r="Q2904" t="s">
        <v>113</v>
      </c>
      <c r="R2904" t="str">
        <f>"231-22-103"</f>
        <v>231-22-103</v>
      </c>
      <c r="S2904" t="s">
        <v>19113</v>
      </c>
      <c r="T2904" t="s">
        <v>19114</v>
      </c>
      <c r="U2904">
        <v>1996</v>
      </c>
      <c r="V2904">
        <v>0</v>
      </c>
      <c r="W2904">
        <v>3</v>
      </c>
      <c r="X2904">
        <v>1998</v>
      </c>
      <c r="Z2904">
        <v>1</v>
      </c>
      <c r="AB2904">
        <v>0</v>
      </c>
      <c r="AC2904" t="s">
        <v>115</v>
      </c>
      <c r="AD2904">
        <v>2</v>
      </c>
      <c r="AE2904" t="s">
        <v>115</v>
      </c>
      <c r="AF2904">
        <v>0</v>
      </c>
      <c r="AG2904">
        <v>0</v>
      </c>
      <c r="AH2904" t="s">
        <v>116</v>
      </c>
      <c r="AI2904" s="1">
        <v>52434</v>
      </c>
      <c r="AJ2904" s="2">
        <v>0.14000000000000001</v>
      </c>
      <c r="AK2904" s="1">
        <v>367099</v>
      </c>
      <c r="AL2904" t="s">
        <v>117</v>
      </c>
      <c r="AM2904" t="s">
        <v>118</v>
      </c>
      <c r="AN2904">
        <v>10435</v>
      </c>
      <c r="AO2904">
        <v>0.24</v>
      </c>
      <c r="AP2904">
        <v>1</v>
      </c>
      <c r="AR2904">
        <v>1</v>
      </c>
      <c r="AS2904" s="1">
        <v>25620</v>
      </c>
      <c r="AT2904" s="1">
        <v>5120</v>
      </c>
      <c r="AU2904" s="1">
        <v>20500</v>
      </c>
      <c r="AV2904">
        <v>80.02</v>
      </c>
      <c r="AX2904" s="1">
        <v>2506.2399999999998</v>
      </c>
      <c r="AY2904" t="s">
        <v>7828</v>
      </c>
      <c r="AZ2904" t="s">
        <v>7828</v>
      </c>
      <c r="BA2904" t="s">
        <v>4219</v>
      </c>
      <c r="BB2904" s="3">
        <v>42650</v>
      </c>
      <c r="BD2904" t="s">
        <v>480</v>
      </c>
      <c r="BE2904" s="3">
        <v>41940</v>
      </c>
      <c r="BF2904" s="1">
        <v>304000</v>
      </c>
      <c r="BG2904" t="s">
        <v>19115</v>
      </c>
      <c r="BH2904" s="1">
        <v>152.30000000000001</v>
      </c>
      <c r="BI2904" s="1">
        <v>314665</v>
      </c>
      <c r="BJ2904" s="3">
        <v>42481</v>
      </c>
      <c r="BK2904" t="s">
        <v>123</v>
      </c>
      <c r="BL2904" t="str">
        <f>"2016.265621"</f>
        <v>2016.265621</v>
      </c>
      <c r="BM2904" t="s">
        <v>673</v>
      </c>
      <c r="BO2904" t="s">
        <v>19116</v>
      </c>
      <c r="BS2904">
        <v>30</v>
      </c>
      <c r="BW2904" t="str">
        <f>""</f>
        <v/>
      </c>
      <c r="CH2904" t="str">
        <f>""</f>
        <v/>
      </c>
      <c r="CS2904" t="str">
        <f>""</f>
        <v/>
      </c>
    </row>
    <row r="2905" spans="1:97" x14ac:dyDescent="0.25">
      <c r="A2905" t="s">
        <v>1444</v>
      </c>
      <c r="B2905" t="s">
        <v>1308</v>
      </c>
      <c r="C2905" t="s">
        <v>1769</v>
      </c>
      <c r="D2905" t="s">
        <v>1308</v>
      </c>
      <c r="E2905" t="s">
        <v>19117</v>
      </c>
      <c r="F2905" t="s">
        <v>108</v>
      </c>
      <c r="H2905" t="s">
        <v>19118</v>
      </c>
      <c r="I2905" t="s">
        <v>390</v>
      </c>
      <c r="J2905" t="s">
        <v>111</v>
      </c>
      <c r="K2905" t="str">
        <f>"85022"</f>
        <v>85022</v>
      </c>
      <c r="L2905" t="s">
        <v>1300</v>
      </c>
      <c r="M2905" t="s">
        <v>19118</v>
      </c>
      <c r="N2905" t="s">
        <v>390</v>
      </c>
      <c r="O2905" t="s">
        <v>111</v>
      </c>
      <c r="P2905" t="str">
        <f>"85022-3934"</f>
        <v>85022-3934</v>
      </c>
      <c r="Q2905" t="s">
        <v>113</v>
      </c>
      <c r="R2905" t="str">
        <f>"214-49-175"</f>
        <v>214-49-175</v>
      </c>
      <c r="S2905" t="s">
        <v>19119</v>
      </c>
      <c r="T2905" t="s">
        <v>19119</v>
      </c>
      <c r="U2905">
        <v>3716</v>
      </c>
      <c r="V2905">
        <v>0</v>
      </c>
      <c r="W2905">
        <v>5</v>
      </c>
      <c r="X2905">
        <v>1995</v>
      </c>
      <c r="Z2905">
        <v>2</v>
      </c>
      <c r="AA2905" t="s">
        <v>26</v>
      </c>
      <c r="AB2905">
        <v>0</v>
      </c>
      <c r="AC2905" t="s">
        <v>115</v>
      </c>
      <c r="AD2905">
        <v>3</v>
      </c>
      <c r="AE2905" t="s">
        <v>115</v>
      </c>
      <c r="AF2905">
        <v>0</v>
      </c>
      <c r="AG2905">
        <v>0</v>
      </c>
      <c r="AH2905" t="s">
        <v>116</v>
      </c>
      <c r="AI2905" s="1">
        <v>122359</v>
      </c>
      <c r="AJ2905" s="2">
        <v>0.21</v>
      </c>
      <c r="AK2905" s="1">
        <v>575459</v>
      </c>
      <c r="AL2905" t="s">
        <v>117</v>
      </c>
      <c r="AM2905" t="s">
        <v>171</v>
      </c>
      <c r="AN2905">
        <v>10613</v>
      </c>
      <c r="AO2905">
        <v>0.24</v>
      </c>
      <c r="AP2905">
        <v>1</v>
      </c>
      <c r="AR2905">
        <v>1</v>
      </c>
      <c r="AS2905" s="1">
        <v>44280</v>
      </c>
      <c r="AT2905" s="1">
        <v>8850</v>
      </c>
      <c r="AU2905" s="1">
        <v>35430</v>
      </c>
      <c r="AV2905">
        <v>80.010000000000005</v>
      </c>
      <c r="AX2905" s="1">
        <v>4971.5200000000004</v>
      </c>
      <c r="AY2905" t="s">
        <v>5442</v>
      </c>
      <c r="AZ2905" t="s">
        <v>5231</v>
      </c>
      <c r="BA2905" t="s">
        <v>2551</v>
      </c>
      <c r="BE2905" s="3">
        <v>42384</v>
      </c>
      <c r="BF2905" s="1">
        <v>465000</v>
      </c>
      <c r="BG2905" t="s">
        <v>19120</v>
      </c>
      <c r="BH2905" s="1">
        <v>125.13</v>
      </c>
      <c r="BI2905" s="1">
        <v>453100</v>
      </c>
      <c r="BJ2905" s="3">
        <v>42566</v>
      </c>
      <c r="BK2905" t="s">
        <v>123</v>
      </c>
      <c r="BL2905" t="str">
        <f>"2016.499306"</f>
        <v>2016.499306</v>
      </c>
      <c r="BM2905" t="s">
        <v>255</v>
      </c>
      <c r="BO2905" t="s">
        <v>19121</v>
      </c>
      <c r="BS2905">
        <v>30</v>
      </c>
      <c r="BW2905" t="str">
        <f>""</f>
        <v/>
      </c>
      <c r="CH2905" t="str">
        <f>""</f>
        <v/>
      </c>
      <c r="CS2905" t="str">
        <f>""</f>
        <v/>
      </c>
    </row>
    <row r="2906" spans="1:97" x14ac:dyDescent="0.25">
      <c r="A2906" t="s">
        <v>325</v>
      </c>
      <c r="B2906" t="s">
        <v>19122</v>
      </c>
      <c r="C2906" t="s">
        <v>1047</v>
      </c>
      <c r="D2906" t="s">
        <v>1251</v>
      </c>
      <c r="E2906" t="s">
        <v>19123</v>
      </c>
      <c r="F2906" t="s">
        <v>108</v>
      </c>
      <c r="H2906" t="s">
        <v>19124</v>
      </c>
      <c r="I2906" t="s">
        <v>110</v>
      </c>
      <c r="J2906" t="s">
        <v>111</v>
      </c>
      <c r="K2906" t="str">
        <f>"85224"</f>
        <v>85224</v>
      </c>
      <c r="L2906" t="s">
        <v>7746</v>
      </c>
      <c r="M2906" t="s">
        <v>19124</v>
      </c>
      <c r="N2906" t="s">
        <v>110</v>
      </c>
      <c r="O2906" t="s">
        <v>111</v>
      </c>
      <c r="P2906" t="str">
        <f>"85224-7846"</f>
        <v>85224-7846</v>
      </c>
      <c r="Q2906" t="s">
        <v>113</v>
      </c>
      <c r="R2906" t="str">
        <f>"302-80-720"</f>
        <v>302-80-720</v>
      </c>
      <c r="S2906" t="s">
        <v>7747</v>
      </c>
      <c r="T2906" t="s">
        <v>7748</v>
      </c>
      <c r="U2906">
        <v>3144</v>
      </c>
      <c r="V2906">
        <v>0</v>
      </c>
      <c r="W2906">
        <v>4</v>
      </c>
      <c r="X2906">
        <v>1984</v>
      </c>
      <c r="Z2906">
        <v>2</v>
      </c>
      <c r="AA2906" t="s">
        <v>26</v>
      </c>
      <c r="AB2906">
        <v>0</v>
      </c>
      <c r="AC2906" t="s">
        <v>115</v>
      </c>
      <c r="AD2906">
        <v>3</v>
      </c>
      <c r="AE2906" t="s">
        <v>115</v>
      </c>
      <c r="AF2906">
        <v>0</v>
      </c>
      <c r="AG2906">
        <v>0</v>
      </c>
      <c r="AH2906" t="s">
        <v>116</v>
      </c>
      <c r="AI2906" s="1">
        <v>116334</v>
      </c>
      <c r="AJ2906" s="2">
        <v>0.23</v>
      </c>
      <c r="AK2906" s="1">
        <v>499396</v>
      </c>
      <c r="AL2906" t="s">
        <v>117</v>
      </c>
      <c r="AM2906" t="s">
        <v>118</v>
      </c>
      <c r="AN2906">
        <v>10816</v>
      </c>
      <c r="AO2906">
        <v>0.25</v>
      </c>
      <c r="AP2906">
        <v>1</v>
      </c>
      <c r="AR2906">
        <v>1</v>
      </c>
      <c r="AS2906" s="1">
        <v>32860</v>
      </c>
      <c r="AT2906" s="1">
        <v>6570</v>
      </c>
      <c r="AU2906" s="1">
        <v>26290</v>
      </c>
      <c r="AV2906">
        <v>80.010000000000005</v>
      </c>
      <c r="AX2906" s="1">
        <v>2584.94</v>
      </c>
      <c r="AY2906" t="s">
        <v>7749</v>
      </c>
      <c r="AZ2906" t="s">
        <v>5078</v>
      </c>
      <c r="BA2906" t="s">
        <v>2957</v>
      </c>
      <c r="BE2906" s="3">
        <v>41856</v>
      </c>
      <c r="BF2906" s="1">
        <v>375000</v>
      </c>
      <c r="BG2906" t="s">
        <v>19125</v>
      </c>
      <c r="BH2906" s="1">
        <v>119.27</v>
      </c>
      <c r="BI2906" s="1">
        <v>383062</v>
      </c>
      <c r="BJ2906" s="3">
        <v>41856</v>
      </c>
      <c r="BK2906" t="s">
        <v>123</v>
      </c>
      <c r="BL2906" t="str">
        <f>"2014.516159"</f>
        <v>2014.516159</v>
      </c>
      <c r="BM2906" t="s">
        <v>6329</v>
      </c>
      <c r="BO2906" t="s">
        <v>19126</v>
      </c>
      <c r="BP2906" t="s">
        <v>19127</v>
      </c>
      <c r="BS2906">
        <v>30</v>
      </c>
      <c r="BW2906" t="str">
        <f>""</f>
        <v/>
      </c>
      <c r="CH2906" t="str">
        <f>""</f>
        <v/>
      </c>
      <c r="CS2906" t="str">
        <f>""</f>
        <v/>
      </c>
    </row>
    <row r="2907" spans="1:97" x14ac:dyDescent="0.25">
      <c r="A2907" t="s">
        <v>1160</v>
      </c>
      <c r="B2907" t="s">
        <v>19128</v>
      </c>
      <c r="C2907" t="s">
        <v>19129</v>
      </c>
      <c r="D2907" t="s">
        <v>19128</v>
      </c>
      <c r="E2907" t="s">
        <v>19130</v>
      </c>
      <c r="F2907" t="s">
        <v>108</v>
      </c>
      <c r="H2907" t="s">
        <v>19131</v>
      </c>
      <c r="I2907" t="s">
        <v>390</v>
      </c>
      <c r="J2907" t="s">
        <v>111</v>
      </c>
      <c r="K2907" t="str">
        <f>"85048"</f>
        <v>85048</v>
      </c>
      <c r="L2907" t="s">
        <v>6325</v>
      </c>
      <c r="M2907" t="s">
        <v>19131</v>
      </c>
      <c r="N2907" t="s">
        <v>390</v>
      </c>
      <c r="O2907" t="s">
        <v>111</v>
      </c>
      <c r="P2907" t="str">
        <f>"85048-7341"</f>
        <v>85048-7341</v>
      </c>
      <c r="Q2907" t="s">
        <v>113</v>
      </c>
      <c r="R2907" t="str">
        <f>"301-79-867"</f>
        <v>301-79-867</v>
      </c>
      <c r="S2907" t="s">
        <v>14441</v>
      </c>
      <c r="U2907">
        <v>2621</v>
      </c>
      <c r="V2907">
        <v>0</v>
      </c>
      <c r="W2907">
        <v>4</v>
      </c>
      <c r="X2907">
        <v>1987</v>
      </c>
      <c r="Z2907">
        <v>2</v>
      </c>
      <c r="AA2907" t="s">
        <v>26</v>
      </c>
      <c r="AB2907">
        <v>0</v>
      </c>
      <c r="AC2907" t="s">
        <v>115</v>
      </c>
      <c r="AD2907">
        <v>2</v>
      </c>
      <c r="AE2907" t="s">
        <v>115</v>
      </c>
      <c r="AF2907">
        <v>0</v>
      </c>
      <c r="AG2907">
        <v>0</v>
      </c>
      <c r="AH2907" t="s">
        <v>116</v>
      </c>
      <c r="AI2907" s="1">
        <v>43289</v>
      </c>
      <c r="AJ2907" s="2">
        <v>0.1</v>
      </c>
      <c r="AK2907" s="1">
        <v>429926</v>
      </c>
      <c r="AL2907" t="s">
        <v>117</v>
      </c>
      <c r="AM2907" t="s">
        <v>191</v>
      </c>
      <c r="AN2907">
        <v>6003</v>
      </c>
      <c r="AO2907">
        <v>0.14000000000000001</v>
      </c>
      <c r="AP2907">
        <v>1</v>
      </c>
      <c r="AR2907">
        <v>1</v>
      </c>
      <c r="AS2907" s="1">
        <v>29000</v>
      </c>
      <c r="AT2907" s="1">
        <v>5800</v>
      </c>
      <c r="AU2907" s="1">
        <v>23200</v>
      </c>
      <c r="AV2907">
        <v>80</v>
      </c>
      <c r="AX2907" s="1">
        <v>2867.62</v>
      </c>
      <c r="AY2907" t="s">
        <v>928</v>
      </c>
      <c r="AZ2907" t="s">
        <v>929</v>
      </c>
      <c r="BA2907" t="s">
        <v>930</v>
      </c>
      <c r="BE2907" s="3">
        <v>41773</v>
      </c>
      <c r="BF2907" s="1">
        <v>378500</v>
      </c>
      <c r="BG2907" t="s">
        <v>19132</v>
      </c>
      <c r="BH2907" s="1">
        <v>144.41</v>
      </c>
      <c r="BI2907" s="1">
        <v>386637</v>
      </c>
      <c r="BJ2907" s="3">
        <v>41773</v>
      </c>
      <c r="BK2907" t="s">
        <v>123</v>
      </c>
      <c r="BL2907" t="str">
        <f>"2014.314770"</f>
        <v>2014.314770</v>
      </c>
      <c r="BM2907" t="s">
        <v>135</v>
      </c>
      <c r="BO2907" t="s">
        <v>19133</v>
      </c>
      <c r="BS2907">
        <v>30</v>
      </c>
      <c r="BW2907" t="str">
        <f>""</f>
        <v/>
      </c>
      <c r="CH2907" t="str">
        <f>""</f>
        <v/>
      </c>
      <c r="CS2907" t="str">
        <f>""</f>
        <v/>
      </c>
    </row>
    <row r="2908" spans="1:97" x14ac:dyDescent="0.25">
      <c r="A2908" t="s">
        <v>478</v>
      </c>
      <c r="B2908" t="s">
        <v>19134</v>
      </c>
      <c r="C2908" t="s">
        <v>355</v>
      </c>
      <c r="D2908" t="s">
        <v>19134</v>
      </c>
      <c r="E2908" t="s">
        <v>19135</v>
      </c>
      <c r="F2908" t="s">
        <v>108</v>
      </c>
      <c r="H2908" t="s">
        <v>19136</v>
      </c>
      <c r="I2908" t="s">
        <v>499</v>
      </c>
      <c r="J2908" t="s">
        <v>111</v>
      </c>
      <c r="K2908" t="str">
        <f>"85395"</f>
        <v>85395</v>
      </c>
      <c r="L2908" t="s">
        <v>541</v>
      </c>
      <c r="M2908" t="s">
        <v>19136</v>
      </c>
      <c r="N2908" t="s">
        <v>499</v>
      </c>
      <c r="O2908" t="s">
        <v>111</v>
      </c>
      <c r="P2908" t="str">
        <f>"85395-7178"</f>
        <v>85395-7178</v>
      </c>
      <c r="Q2908" t="s">
        <v>113</v>
      </c>
      <c r="R2908" t="str">
        <f>"508-14-848"</f>
        <v>508-14-848</v>
      </c>
      <c r="S2908" t="s">
        <v>7193</v>
      </c>
      <c r="T2908" t="s">
        <v>3018</v>
      </c>
      <c r="U2908">
        <v>2289</v>
      </c>
      <c r="V2908">
        <v>0</v>
      </c>
      <c r="W2908">
        <v>3</v>
      </c>
      <c r="X2908">
        <v>2014</v>
      </c>
      <c r="Z2908">
        <v>1</v>
      </c>
      <c r="AB2908">
        <v>0</v>
      </c>
      <c r="AC2908" t="s">
        <v>115</v>
      </c>
      <c r="AD2908">
        <v>3</v>
      </c>
      <c r="AE2908" t="s">
        <v>115</v>
      </c>
      <c r="AF2908">
        <v>0</v>
      </c>
      <c r="AG2908">
        <v>0</v>
      </c>
      <c r="AH2908" t="s">
        <v>116</v>
      </c>
      <c r="AI2908" s="1">
        <v>59471</v>
      </c>
      <c r="AJ2908" s="2">
        <v>0.16</v>
      </c>
      <c r="AK2908" s="1">
        <v>368197</v>
      </c>
      <c r="AL2908" t="s">
        <v>117</v>
      </c>
      <c r="AM2908" t="s">
        <v>118</v>
      </c>
      <c r="AN2908">
        <v>7781</v>
      </c>
      <c r="AO2908">
        <v>0.18</v>
      </c>
      <c r="AR2908">
        <v>1</v>
      </c>
      <c r="AS2908" s="1">
        <v>25850</v>
      </c>
      <c r="AT2908" s="1">
        <v>5170</v>
      </c>
      <c r="AU2908" s="1">
        <v>20680</v>
      </c>
      <c r="AV2908">
        <v>80</v>
      </c>
      <c r="AX2908" s="1">
        <v>2443.7800000000002</v>
      </c>
      <c r="AY2908" t="s">
        <v>3019</v>
      </c>
      <c r="AZ2908" t="s">
        <v>3020</v>
      </c>
      <c r="BA2908" t="s">
        <v>218</v>
      </c>
      <c r="BE2908" s="3">
        <v>42090</v>
      </c>
      <c r="BF2908" s="1">
        <v>299943</v>
      </c>
      <c r="BG2908" t="s">
        <v>19137</v>
      </c>
      <c r="BH2908" s="1">
        <v>131.04</v>
      </c>
      <c r="BI2908" s="1">
        <v>308726</v>
      </c>
      <c r="BJ2908" s="3">
        <v>42710</v>
      </c>
      <c r="BK2908" t="s">
        <v>123</v>
      </c>
      <c r="BL2908" t="str">
        <f>"2016.896705"</f>
        <v>2016.896705</v>
      </c>
      <c r="BM2908" t="s">
        <v>425</v>
      </c>
      <c r="BO2908" t="s">
        <v>19138</v>
      </c>
      <c r="BS2908">
        <v>30</v>
      </c>
      <c r="BW2908" t="str">
        <f>""</f>
        <v/>
      </c>
      <c r="CH2908" t="str">
        <f>""</f>
        <v/>
      </c>
      <c r="CS2908" t="str">
        <f>""</f>
        <v/>
      </c>
    </row>
    <row r="2909" spans="1:97" x14ac:dyDescent="0.25">
      <c r="A2909" t="s">
        <v>19139</v>
      </c>
      <c r="B2909" t="s">
        <v>19140</v>
      </c>
      <c r="C2909" t="s">
        <v>6281</v>
      </c>
      <c r="D2909" t="s">
        <v>19140</v>
      </c>
      <c r="E2909" t="s">
        <v>19141</v>
      </c>
      <c r="F2909" t="s">
        <v>108</v>
      </c>
      <c r="H2909" t="s">
        <v>19142</v>
      </c>
      <c r="I2909" t="s">
        <v>390</v>
      </c>
      <c r="J2909" t="s">
        <v>111</v>
      </c>
      <c r="K2909" t="str">
        <f>"85024"</f>
        <v>85024</v>
      </c>
      <c r="L2909" t="s">
        <v>10474</v>
      </c>
      <c r="M2909" t="s">
        <v>19142</v>
      </c>
      <c r="N2909" t="s">
        <v>390</v>
      </c>
      <c r="O2909" t="s">
        <v>111</v>
      </c>
      <c r="P2909" t="str">
        <f>"85024-4176"</f>
        <v>85024-4176</v>
      </c>
      <c r="Q2909" t="s">
        <v>113</v>
      </c>
      <c r="R2909" t="str">
        <f>"213-31-336"</f>
        <v>213-31-336</v>
      </c>
      <c r="S2909" t="s">
        <v>19143</v>
      </c>
      <c r="T2909" t="s">
        <v>19144</v>
      </c>
      <c r="U2909">
        <v>1883</v>
      </c>
      <c r="V2909">
        <v>0</v>
      </c>
      <c r="W2909">
        <v>3</v>
      </c>
      <c r="X2909">
        <v>2000</v>
      </c>
      <c r="Z2909">
        <v>1</v>
      </c>
      <c r="AB2909">
        <v>0</v>
      </c>
      <c r="AC2909" t="s">
        <v>115</v>
      </c>
      <c r="AD2909">
        <v>2</v>
      </c>
      <c r="AE2909" t="s">
        <v>115</v>
      </c>
      <c r="AF2909">
        <v>0</v>
      </c>
      <c r="AG2909">
        <v>0</v>
      </c>
      <c r="AH2909" t="s">
        <v>116</v>
      </c>
      <c r="AI2909" s="1">
        <v>64005</v>
      </c>
      <c r="AJ2909" s="2">
        <v>0.19</v>
      </c>
      <c r="AK2909" s="1">
        <v>334702</v>
      </c>
      <c r="AL2909" t="s">
        <v>117</v>
      </c>
      <c r="AM2909" t="s">
        <v>191</v>
      </c>
      <c r="AN2909">
        <v>5940</v>
      </c>
      <c r="AO2909">
        <v>0.14000000000000001</v>
      </c>
      <c r="AP2909">
        <v>1</v>
      </c>
      <c r="AR2909">
        <v>1</v>
      </c>
      <c r="AS2909" s="1">
        <v>24270</v>
      </c>
      <c r="AT2909" s="1">
        <v>4850</v>
      </c>
      <c r="AU2909" s="1">
        <v>19420</v>
      </c>
      <c r="AV2909">
        <v>80.02</v>
      </c>
      <c r="AX2909" s="1">
        <v>2073.36</v>
      </c>
      <c r="AY2909" t="s">
        <v>10684</v>
      </c>
      <c r="AZ2909" t="s">
        <v>2357</v>
      </c>
      <c r="BA2909" t="s">
        <v>1462</v>
      </c>
      <c r="BE2909" s="3">
        <v>42228</v>
      </c>
      <c r="BF2909" s="1">
        <v>265000</v>
      </c>
      <c r="BG2909" t="s">
        <v>19145</v>
      </c>
      <c r="BH2909" s="1">
        <v>140.72999999999999</v>
      </c>
      <c r="BI2909" s="1">
        <v>270697</v>
      </c>
      <c r="BJ2909" s="3">
        <v>42228</v>
      </c>
      <c r="BK2909" t="s">
        <v>123</v>
      </c>
      <c r="BL2909" t="str">
        <f>"2015.584059"</f>
        <v>2015.584059</v>
      </c>
      <c r="BM2909" t="s">
        <v>1185</v>
      </c>
      <c r="BO2909" t="s">
        <v>19146</v>
      </c>
      <c r="BS2909">
        <v>30</v>
      </c>
      <c r="BW2909" t="str">
        <f>""</f>
        <v/>
      </c>
      <c r="CH2909" t="str">
        <f>""</f>
        <v/>
      </c>
      <c r="CS2909" t="str">
        <f>""</f>
        <v/>
      </c>
    </row>
    <row r="2910" spans="1:97" x14ac:dyDescent="0.25">
      <c r="A2910" t="s">
        <v>177</v>
      </c>
      <c r="B2910" t="s">
        <v>19147</v>
      </c>
      <c r="C2910" t="s">
        <v>2793</v>
      </c>
      <c r="D2910" t="s">
        <v>19147</v>
      </c>
      <c r="E2910" t="s">
        <v>19148</v>
      </c>
      <c r="F2910" t="s">
        <v>108</v>
      </c>
      <c r="H2910" t="s">
        <v>19149</v>
      </c>
      <c r="I2910" t="s">
        <v>1936</v>
      </c>
      <c r="J2910" t="s">
        <v>111</v>
      </c>
      <c r="K2910" t="str">
        <f>"85254"</f>
        <v>85254</v>
      </c>
      <c r="L2910" t="s">
        <v>6983</v>
      </c>
      <c r="M2910" t="s">
        <v>19149</v>
      </c>
      <c r="N2910" t="s">
        <v>1936</v>
      </c>
      <c r="O2910" t="s">
        <v>111</v>
      </c>
      <c r="P2910" t="str">
        <f>"85254-4252"</f>
        <v>85254-4252</v>
      </c>
      <c r="Q2910" t="s">
        <v>113</v>
      </c>
      <c r="R2910" t="str">
        <f>"167-21-064"</f>
        <v>167-21-064</v>
      </c>
      <c r="S2910" t="s">
        <v>19150</v>
      </c>
      <c r="T2910" t="s">
        <v>19151</v>
      </c>
      <c r="U2910">
        <v>2693</v>
      </c>
      <c r="V2910">
        <v>0</v>
      </c>
      <c r="W2910">
        <v>3</v>
      </c>
      <c r="X2910">
        <v>1977</v>
      </c>
      <c r="Z2910">
        <v>1</v>
      </c>
      <c r="AA2910" t="s">
        <v>26</v>
      </c>
      <c r="AB2910">
        <v>0</v>
      </c>
      <c r="AC2910" t="s">
        <v>115</v>
      </c>
      <c r="AD2910">
        <v>2</v>
      </c>
      <c r="AE2910" t="s">
        <v>115</v>
      </c>
      <c r="AF2910">
        <v>0</v>
      </c>
      <c r="AG2910">
        <v>0</v>
      </c>
      <c r="AH2910" t="s">
        <v>116</v>
      </c>
      <c r="AI2910" s="1">
        <v>86539</v>
      </c>
      <c r="AJ2910" s="2">
        <v>0.15</v>
      </c>
      <c r="AK2910" s="1">
        <v>567764</v>
      </c>
      <c r="AL2910" t="s">
        <v>117</v>
      </c>
      <c r="AM2910" t="s">
        <v>6114</v>
      </c>
      <c r="AN2910">
        <v>15631</v>
      </c>
      <c r="AO2910">
        <v>0.36</v>
      </c>
      <c r="AP2910">
        <v>1</v>
      </c>
      <c r="AR2910">
        <v>1</v>
      </c>
      <c r="AS2910" s="1">
        <v>40670</v>
      </c>
      <c r="AT2910" s="1">
        <v>8130</v>
      </c>
      <c r="AU2910" s="1">
        <v>32540</v>
      </c>
      <c r="AV2910">
        <v>80.010000000000005</v>
      </c>
      <c r="AX2910" s="1">
        <v>3643.06</v>
      </c>
      <c r="AY2910" t="s">
        <v>9010</v>
      </c>
      <c r="AZ2910" t="s">
        <v>7739</v>
      </c>
      <c r="BA2910" t="s">
        <v>6302</v>
      </c>
      <c r="BE2910" s="3">
        <v>42053</v>
      </c>
      <c r="BF2910" s="1">
        <v>450000</v>
      </c>
      <c r="BG2910" t="s">
        <v>19152</v>
      </c>
      <c r="BH2910" s="1">
        <v>167.1</v>
      </c>
      <c r="BI2910" s="1">
        <v>449975</v>
      </c>
      <c r="BJ2910" s="3">
        <v>42788</v>
      </c>
      <c r="BK2910" t="s">
        <v>123</v>
      </c>
      <c r="BL2910" t="str">
        <f>"2017.128096"</f>
        <v>2017.128096</v>
      </c>
      <c r="BM2910" t="s">
        <v>3004</v>
      </c>
      <c r="BN2910" t="s">
        <v>10610</v>
      </c>
      <c r="BO2910" t="s">
        <v>19153</v>
      </c>
      <c r="BS2910">
        <v>30</v>
      </c>
      <c r="BT2910" s="1">
        <v>31250</v>
      </c>
      <c r="BU2910" s="3">
        <v>43703</v>
      </c>
      <c r="BW2910" t="str">
        <f>"2019.659015"</f>
        <v>2019.659015</v>
      </c>
      <c r="BX2910" t="s">
        <v>1214</v>
      </c>
      <c r="BY2910" t="s">
        <v>1215</v>
      </c>
      <c r="BZ2910" t="s">
        <v>19154</v>
      </c>
      <c r="CA2910" t="s">
        <v>19155</v>
      </c>
      <c r="CC2910" t="s">
        <v>346</v>
      </c>
      <c r="CH2910" t="str">
        <f>""</f>
        <v/>
      </c>
      <c r="CS2910" t="str">
        <f>""</f>
        <v/>
      </c>
    </row>
    <row r="2911" spans="1:97" x14ac:dyDescent="0.25">
      <c r="B2911" t="s">
        <v>19156</v>
      </c>
      <c r="E2911" t="s">
        <v>19156</v>
      </c>
      <c r="F2911" t="s">
        <v>108</v>
      </c>
      <c r="H2911" t="s">
        <v>19157</v>
      </c>
      <c r="I2911" t="s">
        <v>188</v>
      </c>
      <c r="J2911" t="s">
        <v>111</v>
      </c>
      <c r="K2911" t="str">
        <f>"85142"</f>
        <v>85142</v>
      </c>
      <c r="L2911" t="s">
        <v>1070</v>
      </c>
      <c r="M2911" t="s">
        <v>19157</v>
      </c>
      <c r="N2911" t="s">
        <v>188</v>
      </c>
      <c r="O2911" t="s">
        <v>111</v>
      </c>
      <c r="P2911" t="str">
        <f>"85142-5222"</f>
        <v>85142-5222</v>
      </c>
      <c r="Q2911" t="s">
        <v>113</v>
      </c>
      <c r="R2911" t="str">
        <f>"314-08-074"</f>
        <v>314-08-074</v>
      </c>
      <c r="S2911" t="s">
        <v>19158</v>
      </c>
      <c r="U2911">
        <v>2382</v>
      </c>
      <c r="V2911">
        <v>0</v>
      </c>
      <c r="W2911">
        <v>4</v>
      </c>
      <c r="X2911">
        <v>2015</v>
      </c>
      <c r="Z2911">
        <v>1</v>
      </c>
      <c r="AB2911">
        <v>0</v>
      </c>
      <c r="AC2911" t="s">
        <v>115</v>
      </c>
      <c r="AD2911">
        <v>3</v>
      </c>
      <c r="AE2911" t="s">
        <v>115</v>
      </c>
      <c r="AF2911">
        <v>0</v>
      </c>
      <c r="AG2911">
        <v>0</v>
      </c>
      <c r="AH2911" t="s">
        <v>116</v>
      </c>
      <c r="AI2911" s="1">
        <v>96395</v>
      </c>
      <c r="AJ2911" s="2">
        <v>0.25</v>
      </c>
      <c r="AK2911" s="1">
        <v>381330</v>
      </c>
      <c r="AL2911" t="s">
        <v>117</v>
      </c>
      <c r="AM2911" t="s">
        <v>393</v>
      </c>
      <c r="AN2911">
        <v>8400</v>
      </c>
      <c r="AO2911">
        <v>0.19</v>
      </c>
      <c r="AR2911">
        <v>1</v>
      </c>
      <c r="AS2911" s="1">
        <v>26220</v>
      </c>
      <c r="AT2911" s="1">
        <v>5240</v>
      </c>
      <c r="AU2911" s="1">
        <v>20980</v>
      </c>
      <c r="AV2911">
        <v>80.02</v>
      </c>
      <c r="AX2911" s="1">
        <v>2528.88</v>
      </c>
      <c r="AY2911" t="s">
        <v>1074</v>
      </c>
      <c r="AZ2911" t="s">
        <v>193</v>
      </c>
      <c r="BA2911" t="s">
        <v>194</v>
      </c>
      <c r="BE2911" s="3">
        <v>42285</v>
      </c>
      <c r="BF2911" s="1">
        <v>295500</v>
      </c>
      <c r="BG2911" t="s">
        <v>19159</v>
      </c>
      <c r="BH2911" s="1">
        <v>124.06</v>
      </c>
      <c r="BI2911" s="1">
        <v>284935</v>
      </c>
      <c r="BJ2911" s="3">
        <v>42285</v>
      </c>
      <c r="BK2911" t="s">
        <v>123</v>
      </c>
      <c r="BL2911" t="str">
        <f>"2015.726742"</f>
        <v>2015.726742</v>
      </c>
      <c r="BM2911" t="s">
        <v>1038</v>
      </c>
      <c r="BO2911" t="s">
        <v>19160</v>
      </c>
      <c r="BS2911">
        <v>30</v>
      </c>
      <c r="BW2911" t="str">
        <f>""</f>
        <v/>
      </c>
      <c r="CH2911" t="str">
        <f>""</f>
        <v/>
      </c>
      <c r="CS2911" t="str">
        <f>""</f>
        <v/>
      </c>
    </row>
    <row r="2912" spans="1:97" x14ac:dyDescent="0.25">
      <c r="A2912" t="s">
        <v>2123</v>
      </c>
      <c r="B2912" t="s">
        <v>19161</v>
      </c>
      <c r="C2912" t="s">
        <v>183</v>
      </c>
      <c r="D2912" t="s">
        <v>19161</v>
      </c>
      <c r="E2912" t="s">
        <v>19162</v>
      </c>
      <c r="F2912" t="s">
        <v>108</v>
      </c>
      <c r="H2912" t="s">
        <v>19163</v>
      </c>
      <c r="I2912" t="s">
        <v>167</v>
      </c>
      <c r="J2912" t="s">
        <v>111</v>
      </c>
      <c r="K2912" t="str">
        <f>"85339"</f>
        <v>85339</v>
      </c>
      <c r="L2912" t="s">
        <v>2765</v>
      </c>
      <c r="M2912" t="s">
        <v>19163</v>
      </c>
      <c r="N2912" t="s">
        <v>167</v>
      </c>
      <c r="O2912" t="s">
        <v>111</v>
      </c>
      <c r="P2912" t="str">
        <f>"85339-2348"</f>
        <v>85339-2348</v>
      </c>
      <c r="Q2912" t="s">
        <v>113</v>
      </c>
      <c r="R2912" t="str">
        <f>"300-84-473"</f>
        <v>300-84-473</v>
      </c>
      <c r="S2912" t="s">
        <v>19164</v>
      </c>
      <c r="U2912">
        <v>2974</v>
      </c>
      <c r="V2912">
        <v>0</v>
      </c>
      <c r="W2912">
        <v>4</v>
      </c>
      <c r="X2912">
        <v>2003</v>
      </c>
      <c r="Z2912">
        <v>2</v>
      </c>
      <c r="AB2912">
        <v>0</v>
      </c>
      <c r="AC2912" t="s">
        <v>115</v>
      </c>
      <c r="AD2912">
        <v>3</v>
      </c>
      <c r="AE2912" t="s">
        <v>115</v>
      </c>
      <c r="AF2912">
        <v>0</v>
      </c>
      <c r="AG2912">
        <v>0</v>
      </c>
      <c r="AH2912" t="s">
        <v>116</v>
      </c>
      <c r="AI2912" s="1">
        <v>50846</v>
      </c>
      <c r="AJ2912" s="2">
        <v>0.16</v>
      </c>
      <c r="AK2912" s="1">
        <v>308236</v>
      </c>
      <c r="AL2912" t="s">
        <v>117</v>
      </c>
      <c r="AM2912" t="s">
        <v>171</v>
      </c>
      <c r="AN2912">
        <v>6298</v>
      </c>
      <c r="AO2912">
        <v>0.14000000000000001</v>
      </c>
      <c r="AP2912">
        <v>1</v>
      </c>
      <c r="AR2912">
        <v>1</v>
      </c>
      <c r="AS2912" s="1">
        <v>21220</v>
      </c>
      <c r="AT2912" s="1">
        <v>4240</v>
      </c>
      <c r="AU2912" s="1">
        <v>16980</v>
      </c>
      <c r="AV2912">
        <v>80.02</v>
      </c>
      <c r="AX2912" s="1">
        <v>2380.1999999999998</v>
      </c>
      <c r="AY2912" t="s">
        <v>5777</v>
      </c>
      <c r="AZ2912" t="s">
        <v>5777</v>
      </c>
      <c r="BA2912" t="s">
        <v>173</v>
      </c>
      <c r="BE2912" s="3">
        <v>42202</v>
      </c>
      <c r="BF2912" s="1">
        <v>250000</v>
      </c>
      <c r="BG2912" t="s">
        <v>19165</v>
      </c>
      <c r="BH2912" s="1">
        <v>84.06</v>
      </c>
      <c r="BI2912" s="1">
        <v>257390</v>
      </c>
      <c r="BJ2912" s="3">
        <v>42979</v>
      </c>
      <c r="BK2912" t="s">
        <v>123</v>
      </c>
      <c r="BL2912" t="str">
        <f>"2017.652302"</f>
        <v>2017.652302</v>
      </c>
      <c r="BM2912" t="s">
        <v>3664</v>
      </c>
      <c r="BO2912" t="s">
        <v>19166</v>
      </c>
      <c r="BS2912">
        <v>28</v>
      </c>
      <c r="BW2912" t="str">
        <f>""</f>
        <v/>
      </c>
      <c r="CH2912" t="str">
        <f>""</f>
        <v/>
      </c>
      <c r="CS2912" t="str">
        <f>""</f>
        <v/>
      </c>
    </row>
    <row r="2913" spans="1:97" x14ac:dyDescent="0.25">
      <c r="A2913" t="s">
        <v>370</v>
      </c>
      <c r="B2913" t="s">
        <v>19167</v>
      </c>
      <c r="C2913" t="s">
        <v>2008</v>
      </c>
      <c r="D2913" t="s">
        <v>19167</v>
      </c>
      <c r="E2913" t="s">
        <v>19168</v>
      </c>
      <c r="F2913" t="s">
        <v>108</v>
      </c>
      <c r="H2913" t="s">
        <v>19169</v>
      </c>
      <c r="I2913" t="s">
        <v>144</v>
      </c>
      <c r="J2913" t="s">
        <v>111</v>
      </c>
      <c r="K2913" t="str">
        <f>"85396"</f>
        <v>85396</v>
      </c>
      <c r="L2913" t="s">
        <v>11339</v>
      </c>
      <c r="M2913" t="s">
        <v>19169</v>
      </c>
      <c r="N2913" t="s">
        <v>144</v>
      </c>
      <c r="O2913" t="s">
        <v>111</v>
      </c>
      <c r="P2913" t="str">
        <f>"85396-7238"</f>
        <v>85396-7238</v>
      </c>
      <c r="Q2913" t="s">
        <v>113</v>
      </c>
      <c r="R2913" t="str">
        <f>"503-85-216"</f>
        <v>503-85-216</v>
      </c>
      <c r="S2913" t="s">
        <v>11340</v>
      </c>
      <c r="U2913">
        <v>2032</v>
      </c>
      <c r="V2913">
        <v>0</v>
      </c>
      <c r="W2913">
        <v>3</v>
      </c>
      <c r="X2913">
        <v>2015</v>
      </c>
      <c r="Z2913">
        <v>1</v>
      </c>
      <c r="AB2913">
        <v>0</v>
      </c>
      <c r="AC2913" t="s">
        <v>115</v>
      </c>
      <c r="AD2913">
        <v>2</v>
      </c>
      <c r="AE2913" t="s">
        <v>115</v>
      </c>
      <c r="AF2913">
        <v>0</v>
      </c>
      <c r="AG2913">
        <v>0</v>
      </c>
      <c r="AH2913" t="s">
        <v>116</v>
      </c>
      <c r="AI2913" s="1">
        <v>73219</v>
      </c>
      <c r="AJ2913" s="2">
        <v>0.25</v>
      </c>
      <c r="AK2913" s="1">
        <v>291663</v>
      </c>
      <c r="AL2913" t="s">
        <v>117</v>
      </c>
      <c r="AM2913" t="s">
        <v>118</v>
      </c>
      <c r="AN2913">
        <v>6900</v>
      </c>
      <c r="AO2913">
        <v>0.16</v>
      </c>
      <c r="AR2913">
        <v>1</v>
      </c>
      <c r="AS2913" s="1">
        <v>18630</v>
      </c>
      <c r="AT2913" s="1">
        <v>3720</v>
      </c>
      <c r="AU2913" s="1">
        <v>14910</v>
      </c>
      <c r="AV2913">
        <v>80.03</v>
      </c>
      <c r="AX2913" s="1">
        <v>1875.04</v>
      </c>
      <c r="AY2913" t="s">
        <v>444</v>
      </c>
      <c r="AZ2913" t="s">
        <v>444</v>
      </c>
      <c r="BA2913" t="s">
        <v>445</v>
      </c>
      <c r="BE2913" s="3">
        <v>42328</v>
      </c>
      <c r="BF2913" s="1">
        <v>213847</v>
      </c>
      <c r="BG2913" t="s">
        <v>446</v>
      </c>
      <c r="BH2913" s="1">
        <v>105.24</v>
      </c>
      <c r="BI2913" s="1">
        <v>218444</v>
      </c>
      <c r="BJ2913" s="3">
        <v>42328</v>
      </c>
      <c r="BK2913" t="s">
        <v>123</v>
      </c>
      <c r="BL2913" t="str">
        <f>"2015.829865"</f>
        <v>2015.829865</v>
      </c>
      <c r="BM2913" t="s">
        <v>573</v>
      </c>
      <c r="BO2913" t="s">
        <v>19170</v>
      </c>
      <c r="BS2913">
        <v>30</v>
      </c>
      <c r="BW2913" t="str">
        <f>""</f>
        <v/>
      </c>
      <c r="CH2913" t="str">
        <f>""</f>
        <v/>
      </c>
      <c r="CS2913" t="str">
        <f>""</f>
        <v/>
      </c>
    </row>
    <row r="2914" spans="1:97" x14ac:dyDescent="0.25">
      <c r="A2914" t="s">
        <v>6619</v>
      </c>
      <c r="B2914" t="s">
        <v>19171</v>
      </c>
      <c r="C2914" t="s">
        <v>1126</v>
      </c>
      <c r="D2914" t="s">
        <v>19171</v>
      </c>
      <c r="E2914" t="s">
        <v>19172</v>
      </c>
      <c r="F2914" t="s">
        <v>108</v>
      </c>
      <c r="H2914" t="s">
        <v>19173</v>
      </c>
      <c r="I2914" t="s">
        <v>632</v>
      </c>
      <c r="J2914" t="s">
        <v>111</v>
      </c>
      <c r="K2914" t="str">
        <f>"85388"</f>
        <v>85388</v>
      </c>
      <c r="L2914" t="s">
        <v>4467</v>
      </c>
      <c r="M2914" t="s">
        <v>19173</v>
      </c>
      <c r="N2914" t="s">
        <v>632</v>
      </c>
      <c r="O2914" t="s">
        <v>111</v>
      </c>
      <c r="P2914" t="str">
        <f>"85388-7558"</f>
        <v>85388-7558</v>
      </c>
      <c r="Q2914" t="s">
        <v>113</v>
      </c>
      <c r="R2914" t="str">
        <f>"502-03-720"</f>
        <v>502-03-720</v>
      </c>
      <c r="S2914" t="s">
        <v>6261</v>
      </c>
      <c r="U2914">
        <v>3072</v>
      </c>
      <c r="V2914">
        <v>0</v>
      </c>
      <c r="W2914">
        <v>4</v>
      </c>
      <c r="X2914">
        <v>2005</v>
      </c>
      <c r="Z2914">
        <v>2</v>
      </c>
      <c r="AA2914" t="s">
        <v>26</v>
      </c>
      <c r="AB2914">
        <v>0</v>
      </c>
      <c r="AC2914" t="s">
        <v>115</v>
      </c>
      <c r="AD2914">
        <v>3</v>
      </c>
      <c r="AE2914" t="s">
        <v>115</v>
      </c>
      <c r="AF2914">
        <v>0</v>
      </c>
      <c r="AG2914">
        <v>0</v>
      </c>
      <c r="AH2914" t="s">
        <v>116</v>
      </c>
      <c r="AI2914" s="1">
        <v>82283</v>
      </c>
      <c r="AJ2914" s="2">
        <v>0.23</v>
      </c>
      <c r="AK2914" s="1">
        <v>357094</v>
      </c>
      <c r="AL2914" t="s">
        <v>117</v>
      </c>
      <c r="AM2914" t="s">
        <v>118</v>
      </c>
      <c r="AN2914">
        <v>7799</v>
      </c>
      <c r="AO2914">
        <v>0.18</v>
      </c>
      <c r="AR2914">
        <v>1</v>
      </c>
      <c r="AS2914" s="1">
        <v>24680</v>
      </c>
      <c r="AT2914" s="1">
        <v>4930</v>
      </c>
      <c r="AU2914" s="1">
        <v>19750</v>
      </c>
      <c r="AV2914">
        <v>80.02</v>
      </c>
      <c r="AX2914" s="1">
        <v>1962.72</v>
      </c>
      <c r="AY2914" t="s">
        <v>6262</v>
      </c>
      <c r="AZ2914" t="s">
        <v>6262</v>
      </c>
      <c r="BA2914" t="s">
        <v>5061</v>
      </c>
      <c r="BE2914" s="3">
        <v>42115</v>
      </c>
      <c r="BF2914" s="1">
        <v>285000</v>
      </c>
      <c r="BG2914" t="s">
        <v>19174</v>
      </c>
      <c r="BH2914" s="1">
        <v>92.77</v>
      </c>
      <c r="BI2914" s="1">
        <v>274811</v>
      </c>
      <c r="BJ2914" s="3">
        <v>42115</v>
      </c>
      <c r="BK2914" t="s">
        <v>123</v>
      </c>
      <c r="BL2914" t="str">
        <f>"2015.273116"</f>
        <v>2015.273116</v>
      </c>
      <c r="BM2914" t="s">
        <v>2716</v>
      </c>
      <c r="BO2914" t="s">
        <v>19175</v>
      </c>
      <c r="BS2914">
        <v>30</v>
      </c>
      <c r="BW2914" t="str">
        <f>""</f>
        <v/>
      </c>
      <c r="CH2914" t="str">
        <f>""</f>
        <v/>
      </c>
      <c r="CS2914" t="str">
        <f>""</f>
        <v/>
      </c>
    </row>
    <row r="2915" spans="1:97" x14ac:dyDescent="0.25">
      <c r="A2915" t="s">
        <v>14672</v>
      </c>
      <c r="B2915" t="s">
        <v>3862</v>
      </c>
      <c r="C2915" t="s">
        <v>3505</v>
      </c>
      <c r="D2915" t="s">
        <v>3862</v>
      </c>
      <c r="E2915" t="s">
        <v>19176</v>
      </c>
      <c r="F2915" t="s">
        <v>108</v>
      </c>
      <c r="H2915" t="s">
        <v>19177</v>
      </c>
      <c r="I2915" t="s">
        <v>499</v>
      </c>
      <c r="J2915" t="s">
        <v>111</v>
      </c>
      <c r="K2915" t="str">
        <f>"85395"</f>
        <v>85395</v>
      </c>
      <c r="L2915" t="s">
        <v>5131</v>
      </c>
      <c r="M2915" t="s">
        <v>19177</v>
      </c>
      <c r="N2915" t="s">
        <v>499</v>
      </c>
      <c r="O2915" t="s">
        <v>111</v>
      </c>
      <c r="P2915" t="str">
        <f>"85395-7305"</f>
        <v>85395-7305</v>
      </c>
      <c r="Q2915" t="s">
        <v>113</v>
      </c>
      <c r="R2915" t="str">
        <f>"508-09-718"</f>
        <v>508-09-718</v>
      </c>
      <c r="S2915" t="s">
        <v>19178</v>
      </c>
      <c r="U2915">
        <v>2025</v>
      </c>
      <c r="V2915">
        <v>0</v>
      </c>
      <c r="W2915">
        <v>3</v>
      </c>
      <c r="X2915">
        <v>2006</v>
      </c>
      <c r="Z2915">
        <v>1</v>
      </c>
      <c r="AB2915">
        <v>0</v>
      </c>
      <c r="AC2915" t="s">
        <v>115</v>
      </c>
      <c r="AD2915">
        <v>3</v>
      </c>
      <c r="AE2915" t="s">
        <v>115</v>
      </c>
      <c r="AF2915">
        <v>0</v>
      </c>
      <c r="AG2915">
        <v>0</v>
      </c>
      <c r="AH2915" t="s">
        <v>116</v>
      </c>
      <c r="AI2915" s="1">
        <v>54797</v>
      </c>
      <c r="AJ2915" s="2">
        <v>0.13</v>
      </c>
      <c r="AK2915" s="1">
        <v>408433</v>
      </c>
      <c r="AL2915" t="s">
        <v>117</v>
      </c>
      <c r="AM2915" t="s">
        <v>118</v>
      </c>
      <c r="AN2915">
        <v>7660</v>
      </c>
      <c r="AO2915">
        <v>0.18</v>
      </c>
      <c r="AR2915">
        <v>1</v>
      </c>
      <c r="AS2915" s="1">
        <v>28060</v>
      </c>
      <c r="AT2915" s="1">
        <v>5610</v>
      </c>
      <c r="AU2915" s="1">
        <v>22450</v>
      </c>
      <c r="AV2915">
        <v>80.010000000000005</v>
      </c>
      <c r="AX2915" s="1">
        <v>2855.94</v>
      </c>
      <c r="AY2915" t="s">
        <v>3020</v>
      </c>
      <c r="AZ2915" t="s">
        <v>3020</v>
      </c>
      <c r="BA2915" t="s">
        <v>218</v>
      </c>
      <c r="BE2915" s="3">
        <v>41789</v>
      </c>
      <c r="BF2915" s="1">
        <v>355000</v>
      </c>
      <c r="BG2915" t="s">
        <v>19179</v>
      </c>
      <c r="BH2915" s="1">
        <v>175.31</v>
      </c>
      <c r="BI2915" s="1">
        <v>353636</v>
      </c>
      <c r="BJ2915" s="3">
        <v>42069</v>
      </c>
      <c r="BK2915" t="s">
        <v>123</v>
      </c>
      <c r="BL2915" t="str">
        <f>"2015.152282"</f>
        <v>2015.152282</v>
      </c>
      <c r="BM2915" t="s">
        <v>6784</v>
      </c>
      <c r="BO2915" t="s">
        <v>19180</v>
      </c>
      <c r="BS2915">
        <v>30</v>
      </c>
      <c r="BW2915" t="str">
        <f>""</f>
        <v/>
      </c>
      <c r="CH2915" t="str">
        <f>""</f>
        <v/>
      </c>
      <c r="CS2915" t="str">
        <f>""</f>
        <v/>
      </c>
    </row>
    <row r="2916" spans="1:97" x14ac:dyDescent="0.25">
      <c r="A2916" t="s">
        <v>2123</v>
      </c>
      <c r="B2916" t="s">
        <v>19181</v>
      </c>
      <c r="C2916" t="s">
        <v>19182</v>
      </c>
      <c r="D2916" t="s">
        <v>19181</v>
      </c>
      <c r="E2916" t="s">
        <v>19183</v>
      </c>
      <c r="F2916" t="s">
        <v>108</v>
      </c>
      <c r="H2916" t="s">
        <v>19184</v>
      </c>
      <c r="I2916" t="s">
        <v>110</v>
      </c>
      <c r="J2916" t="s">
        <v>111</v>
      </c>
      <c r="K2916" t="str">
        <f>"85225"</f>
        <v>85225</v>
      </c>
      <c r="L2916" t="s">
        <v>5176</v>
      </c>
      <c r="M2916" t="s">
        <v>19184</v>
      </c>
      <c r="N2916" t="s">
        <v>110</v>
      </c>
      <c r="O2916" t="s">
        <v>111</v>
      </c>
      <c r="P2916" t="str">
        <f>"85225-6919"</f>
        <v>85225-6919</v>
      </c>
      <c r="Q2916" t="s">
        <v>113</v>
      </c>
      <c r="R2916" t="str">
        <f>"302-54-109"</f>
        <v>302-54-109</v>
      </c>
      <c r="S2916" t="s">
        <v>19185</v>
      </c>
      <c r="T2916" t="s">
        <v>19186</v>
      </c>
      <c r="U2916">
        <v>2296</v>
      </c>
      <c r="V2916">
        <v>0</v>
      </c>
      <c r="W2916">
        <v>2</v>
      </c>
      <c r="X2916">
        <v>1959</v>
      </c>
      <c r="Z2916">
        <v>1</v>
      </c>
      <c r="AB2916">
        <v>0</v>
      </c>
      <c r="AC2916" t="s">
        <v>115</v>
      </c>
      <c r="AD2916">
        <v>2</v>
      </c>
      <c r="AE2916" t="s">
        <v>115</v>
      </c>
      <c r="AF2916">
        <v>0</v>
      </c>
      <c r="AG2916">
        <v>0</v>
      </c>
      <c r="AH2916" t="s">
        <v>116</v>
      </c>
      <c r="AI2916" s="1">
        <v>80929</v>
      </c>
      <c r="AJ2916" s="2">
        <v>0.26</v>
      </c>
      <c r="AK2916" s="1">
        <v>315929</v>
      </c>
      <c r="AL2916" t="s">
        <v>117</v>
      </c>
      <c r="AM2916" t="s">
        <v>5077</v>
      </c>
      <c r="AN2916">
        <v>8619</v>
      </c>
      <c r="AO2916">
        <v>0.2</v>
      </c>
      <c r="AP2916">
        <v>1</v>
      </c>
      <c r="AR2916">
        <v>1</v>
      </c>
      <c r="AS2916" s="1">
        <v>20980</v>
      </c>
      <c r="AT2916" s="1">
        <v>4190</v>
      </c>
      <c r="AU2916" s="1">
        <v>16790</v>
      </c>
      <c r="AV2916">
        <v>80.03</v>
      </c>
      <c r="AX2916" s="1">
        <v>1034.8599999999999</v>
      </c>
      <c r="AY2916" t="s">
        <v>5657</v>
      </c>
      <c r="AZ2916" t="s">
        <v>5078</v>
      </c>
      <c r="BA2916" t="s">
        <v>2957</v>
      </c>
      <c r="BE2916" s="3">
        <v>42156</v>
      </c>
      <c r="BF2916" s="1">
        <v>235000</v>
      </c>
      <c r="BG2916" t="s">
        <v>19187</v>
      </c>
      <c r="BH2916" s="1">
        <v>102.35</v>
      </c>
      <c r="BI2916" s="1">
        <v>235000</v>
      </c>
      <c r="BJ2916" s="3">
        <v>42156</v>
      </c>
      <c r="BK2916" t="s">
        <v>123</v>
      </c>
      <c r="BL2916" t="str">
        <f>"2015.389583"</f>
        <v>2015.389583</v>
      </c>
      <c r="BM2916" t="s">
        <v>1038</v>
      </c>
      <c r="BO2916" t="s">
        <v>19188</v>
      </c>
      <c r="BS2916">
        <v>30</v>
      </c>
      <c r="BW2916" t="str">
        <f>""</f>
        <v/>
      </c>
      <c r="CH2916" t="str">
        <f>""</f>
        <v/>
      </c>
      <c r="CS2916" t="str">
        <f>""</f>
        <v/>
      </c>
    </row>
    <row r="2917" spans="1:97" x14ac:dyDescent="0.25">
      <c r="A2917" t="s">
        <v>2276</v>
      </c>
      <c r="B2917" t="s">
        <v>19189</v>
      </c>
      <c r="C2917" t="s">
        <v>976</v>
      </c>
      <c r="D2917" t="s">
        <v>19189</v>
      </c>
      <c r="E2917" t="s">
        <v>19190</v>
      </c>
      <c r="F2917" t="s">
        <v>139</v>
      </c>
      <c r="H2917" t="s">
        <v>19191</v>
      </c>
      <c r="I2917" t="s">
        <v>5387</v>
      </c>
      <c r="J2917" t="s">
        <v>111</v>
      </c>
      <c r="K2917" t="str">
        <f>"85284"</f>
        <v>85284</v>
      </c>
      <c r="L2917" t="s">
        <v>5239</v>
      </c>
      <c r="M2917" t="s">
        <v>19192</v>
      </c>
      <c r="N2917" t="s">
        <v>5387</v>
      </c>
      <c r="O2917" t="s">
        <v>111</v>
      </c>
      <c r="P2917" t="str">
        <f>"85284-3722"</f>
        <v>85284-3722</v>
      </c>
      <c r="Q2917" t="s">
        <v>113</v>
      </c>
      <c r="R2917" t="str">
        <f>"301-60-506"</f>
        <v>301-60-506</v>
      </c>
      <c r="S2917" t="s">
        <v>19193</v>
      </c>
      <c r="T2917" t="s">
        <v>7661</v>
      </c>
      <c r="U2917">
        <v>2279</v>
      </c>
      <c r="V2917">
        <v>0</v>
      </c>
      <c r="W2917">
        <v>3</v>
      </c>
      <c r="X2917">
        <v>1994</v>
      </c>
      <c r="Z2917">
        <v>1</v>
      </c>
      <c r="AA2917" t="s">
        <v>26</v>
      </c>
      <c r="AB2917">
        <v>0</v>
      </c>
      <c r="AC2917" t="s">
        <v>115</v>
      </c>
      <c r="AD2917">
        <v>3</v>
      </c>
      <c r="AE2917" t="s">
        <v>115</v>
      </c>
      <c r="AF2917">
        <v>0</v>
      </c>
      <c r="AG2917">
        <v>0</v>
      </c>
      <c r="AH2917" t="s">
        <v>116</v>
      </c>
      <c r="AI2917" s="1">
        <v>111122</v>
      </c>
      <c r="AJ2917" s="2">
        <v>0.26</v>
      </c>
      <c r="AK2917" s="1">
        <v>428034</v>
      </c>
      <c r="AL2917" t="s">
        <v>117</v>
      </c>
      <c r="AM2917" t="s">
        <v>191</v>
      </c>
      <c r="AN2917">
        <v>9370</v>
      </c>
      <c r="AO2917">
        <v>0.22</v>
      </c>
      <c r="AP2917">
        <v>1</v>
      </c>
      <c r="AR2917">
        <v>1</v>
      </c>
      <c r="AS2917" s="1">
        <v>33510</v>
      </c>
      <c r="AT2917" s="1">
        <v>6700</v>
      </c>
      <c r="AU2917" s="1">
        <v>26810</v>
      </c>
      <c r="AV2917">
        <v>80.010000000000005</v>
      </c>
      <c r="AX2917" s="1">
        <v>3346.52</v>
      </c>
      <c r="AY2917" t="s">
        <v>7662</v>
      </c>
      <c r="AZ2917" t="s">
        <v>5201</v>
      </c>
      <c r="BA2917" t="s">
        <v>5328</v>
      </c>
      <c r="BE2917" s="3">
        <v>42516</v>
      </c>
      <c r="BF2917" s="1">
        <v>375000</v>
      </c>
      <c r="BG2917" t="s">
        <v>19194</v>
      </c>
      <c r="BH2917" s="1">
        <v>164.55</v>
      </c>
      <c r="BI2917" s="1">
        <v>316912</v>
      </c>
      <c r="BJ2917" s="3">
        <v>42516</v>
      </c>
      <c r="BK2917" t="s">
        <v>123</v>
      </c>
      <c r="BL2917" t="str">
        <f>"2016.364826"</f>
        <v>2016.364826</v>
      </c>
      <c r="BM2917" t="s">
        <v>709</v>
      </c>
      <c r="BO2917" t="s">
        <v>19195</v>
      </c>
      <c r="BP2917" t="s">
        <v>19196</v>
      </c>
      <c r="BS2917">
        <v>30</v>
      </c>
      <c r="BW2917" t="str">
        <f>""</f>
        <v/>
      </c>
      <c r="CH2917" t="str">
        <f>""</f>
        <v/>
      </c>
      <c r="CS2917" t="str">
        <f>""</f>
        <v/>
      </c>
    </row>
    <row r="2918" spans="1:97" x14ac:dyDescent="0.25">
      <c r="A2918" t="s">
        <v>428</v>
      </c>
      <c r="B2918" t="s">
        <v>19197</v>
      </c>
      <c r="C2918" t="s">
        <v>2099</v>
      </c>
      <c r="D2918" t="s">
        <v>19197</v>
      </c>
      <c r="E2918" t="s">
        <v>19198</v>
      </c>
      <c r="F2918" t="s">
        <v>282</v>
      </c>
      <c r="H2918" t="s">
        <v>19199</v>
      </c>
      <c r="I2918" t="s">
        <v>453</v>
      </c>
      <c r="J2918" t="s">
        <v>111</v>
      </c>
      <c r="K2918" t="str">
        <f>"85383"</f>
        <v>85383</v>
      </c>
      <c r="L2918" t="s">
        <v>7607</v>
      </c>
      <c r="M2918" t="s">
        <v>19200</v>
      </c>
      <c r="N2918" t="s">
        <v>19201</v>
      </c>
      <c r="O2918" t="s">
        <v>8562</v>
      </c>
      <c r="P2918" t="str">
        <f>"48189"</f>
        <v>48189</v>
      </c>
      <c r="Q2918" t="s">
        <v>113</v>
      </c>
      <c r="R2918" t="str">
        <f>"201-09-244"</f>
        <v>201-09-244</v>
      </c>
      <c r="S2918" t="s">
        <v>12076</v>
      </c>
      <c r="T2918" t="s">
        <v>2222</v>
      </c>
      <c r="U2918">
        <v>3119</v>
      </c>
      <c r="V2918">
        <v>0</v>
      </c>
      <c r="W2918">
        <v>4</v>
      </c>
      <c r="X2918">
        <v>1999</v>
      </c>
      <c r="Z2918">
        <v>2</v>
      </c>
      <c r="AA2918" t="s">
        <v>26</v>
      </c>
      <c r="AB2918">
        <v>0</v>
      </c>
      <c r="AC2918" t="s">
        <v>115</v>
      </c>
      <c r="AD2918">
        <v>3</v>
      </c>
      <c r="AE2918" t="s">
        <v>115</v>
      </c>
      <c r="AF2918">
        <v>0</v>
      </c>
      <c r="AG2918">
        <v>0</v>
      </c>
      <c r="AH2918" t="s">
        <v>116</v>
      </c>
      <c r="AI2918" s="1">
        <v>28340</v>
      </c>
      <c r="AJ2918" s="2">
        <v>0.08</v>
      </c>
      <c r="AK2918" s="1">
        <v>335590</v>
      </c>
      <c r="AL2918" t="s">
        <v>117</v>
      </c>
      <c r="AM2918" t="s">
        <v>191</v>
      </c>
      <c r="AN2918">
        <v>6300</v>
      </c>
      <c r="AO2918">
        <v>0.14000000000000001</v>
      </c>
      <c r="AP2918">
        <v>1</v>
      </c>
      <c r="AR2918">
        <v>1</v>
      </c>
      <c r="AS2918" s="1">
        <v>29910</v>
      </c>
      <c r="AT2918" s="1">
        <v>5980</v>
      </c>
      <c r="AU2918" s="1">
        <v>23930</v>
      </c>
      <c r="AV2918">
        <v>80.010000000000005</v>
      </c>
      <c r="AX2918" s="1">
        <v>3118.22</v>
      </c>
      <c r="AY2918" t="s">
        <v>1385</v>
      </c>
      <c r="AZ2918" t="s">
        <v>1385</v>
      </c>
      <c r="BA2918" t="s">
        <v>2223</v>
      </c>
      <c r="BE2918" s="3">
        <v>41682</v>
      </c>
      <c r="BF2918" s="1">
        <v>315000</v>
      </c>
      <c r="BG2918" t="s">
        <v>19202</v>
      </c>
      <c r="BH2918" s="1">
        <v>100.99</v>
      </c>
      <c r="BI2918" s="1">
        <v>307250</v>
      </c>
      <c r="BJ2918" s="3">
        <v>42705</v>
      </c>
      <c r="BK2918" t="s">
        <v>123</v>
      </c>
      <c r="BL2918" t="str">
        <f>"2016.885203"</f>
        <v>2016.885203</v>
      </c>
      <c r="BM2918" t="s">
        <v>124</v>
      </c>
      <c r="BO2918" t="s">
        <v>19203</v>
      </c>
      <c r="BS2918">
        <v>30</v>
      </c>
      <c r="BW2918" t="str">
        <f>""</f>
        <v/>
      </c>
      <c r="CH2918" t="str">
        <f>""</f>
        <v/>
      </c>
      <c r="CS2918" t="str">
        <f>""</f>
        <v/>
      </c>
    </row>
    <row r="2919" spans="1:97" x14ac:dyDescent="0.25">
      <c r="A2919" t="s">
        <v>894</v>
      </c>
      <c r="B2919" t="s">
        <v>19204</v>
      </c>
      <c r="C2919" t="s">
        <v>1995</v>
      </c>
      <c r="D2919" t="s">
        <v>19204</v>
      </c>
      <c r="E2919" t="s">
        <v>19205</v>
      </c>
      <c r="F2919" t="s">
        <v>108</v>
      </c>
      <c r="H2919" t="s">
        <v>19206</v>
      </c>
      <c r="I2919" t="s">
        <v>1936</v>
      </c>
      <c r="J2919" t="s">
        <v>111</v>
      </c>
      <c r="K2919" t="str">
        <f>"85254"</f>
        <v>85254</v>
      </c>
      <c r="L2919" t="s">
        <v>5218</v>
      </c>
      <c r="M2919" t="s">
        <v>19206</v>
      </c>
      <c r="N2919" t="s">
        <v>1936</v>
      </c>
      <c r="O2919" t="s">
        <v>111</v>
      </c>
      <c r="P2919" t="str">
        <f>"85254-3238"</f>
        <v>85254-3238</v>
      </c>
      <c r="Q2919" t="s">
        <v>113</v>
      </c>
      <c r="R2919" t="str">
        <f>"215-61-074"</f>
        <v>215-61-074</v>
      </c>
      <c r="S2919" t="s">
        <v>7736</v>
      </c>
      <c r="T2919" t="s">
        <v>7737</v>
      </c>
      <c r="U2919">
        <v>1919</v>
      </c>
      <c r="V2919">
        <v>0</v>
      </c>
      <c r="W2919">
        <v>2</v>
      </c>
      <c r="X2919">
        <v>1978</v>
      </c>
      <c r="Z2919">
        <v>1</v>
      </c>
      <c r="AA2919" t="s">
        <v>26</v>
      </c>
      <c r="AB2919">
        <v>0</v>
      </c>
      <c r="AC2919" t="s">
        <v>115</v>
      </c>
      <c r="AD2919">
        <v>2</v>
      </c>
      <c r="AE2919" t="s">
        <v>115</v>
      </c>
      <c r="AF2919">
        <v>0</v>
      </c>
      <c r="AG2919">
        <v>0</v>
      </c>
      <c r="AH2919" t="s">
        <v>116</v>
      </c>
      <c r="AI2919" s="1">
        <v>155210</v>
      </c>
      <c r="AJ2919" s="2">
        <v>0.32</v>
      </c>
      <c r="AK2919" s="1">
        <v>479710</v>
      </c>
      <c r="AL2919" t="s">
        <v>117</v>
      </c>
      <c r="AM2919" t="s">
        <v>6114</v>
      </c>
      <c r="AN2919">
        <v>14869</v>
      </c>
      <c r="AO2919">
        <v>0.34</v>
      </c>
      <c r="AP2919">
        <v>1</v>
      </c>
      <c r="AR2919">
        <v>1</v>
      </c>
      <c r="AS2919" s="1">
        <v>33780</v>
      </c>
      <c r="AT2919" s="1">
        <v>6750</v>
      </c>
      <c r="AU2919" s="1">
        <v>27030</v>
      </c>
      <c r="AV2919">
        <v>80.02</v>
      </c>
      <c r="AX2919" s="1">
        <v>2965.86</v>
      </c>
      <c r="AY2919" t="s">
        <v>7738</v>
      </c>
      <c r="AZ2919" t="s">
        <v>7739</v>
      </c>
      <c r="BA2919" t="s">
        <v>6302</v>
      </c>
      <c r="BE2919" s="3">
        <v>42457</v>
      </c>
      <c r="BF2919" s="1">
        <v>244000</v>
      </c>
      <c r="BG2919" t="s">
        <v>19207</v>
      </c>
      <c r="BH2919" s="1">
        <v>127.15</v>
      </c>
      <c r="BI2919" s="1">
        <v>324500</v>
      </c>
      <c r="BJ2919" s="3">
        <v>42965</v>
      </c>
      <c r="BK2919" t="s">
        <v>123</v>
      </c>
      <c r="BL2919" t="str">
        <f>"2017.609758"</f>
        <v>2017.609758</v>
      </c>
      <c r="BM2919" t="s">
        <v>10154</v>
      </c>
      <c r="BN2919">
        <v>48083</v>
      </c>
      <c r="BO2919" t="s">
        <v>19208</v>
      </c>
      <c r="BS2919">
        <v>30</v>
      </c>
      <c r="BW2919" t="str">
        <f>""</f>
        <v/>
      </c>
      <c r="CH2919" t="str">
        <f>""</f>
        <v/>
      </c>
      <c r="CS2919" t="str">
        <f>""</f>
        <v/>
      </c>
    </row>
    <row r="2920" spans="1:97" x14ac:dyDescent="0.25">
      <c r="A2920" t="s">
        <v>19209</v>
      </c>
      <c r="B2920" t="s">
        <v>7879</v>
      </c>
      <c r="C2920" t="s">
        <v>1514</v>
      </c>
      <c r="D2920" t="s">
        <v>7879</v>
      </c>
      <c r="E2920" t="s">
        <v>19210</v>
      </c>
      <c r="F2920" t="s">
        <v>108</v>
      </c>
      <c r="H2920" t="s">
        <v>19211</v>
      </c>
      <c r="I2920" t="s">
        <v>203</v>
      </c>
      <c r="J2920" t="s">
        <v>111</v>
      </c>
      <c r="K2920" t="str">
        <f>"85234"</f>
        <v>85234</v>
      </c>
      <c r="L2920" t="s">
        <v>4751</v>
      </c>
      <c r="M2920" t="s">
        <v>19211</v>
      </c>
      <c r="N2920" t="s">
        <v>203</v>
      </c>
      <c r="O2920" t="s">
        <v>111</v>
      </c>
      <c r="P2920" t="str">
        <f>"85234-5031"</f>
        <v>85234-5031</v>
      </c>
      <c r="Q2920" t="s">
        <v>113</v>
      </c>
      <c r="R2920" t="str">
        <f>"304-09-032"</f>
        <v>304-09-032</v>
      </c>
      <c r="S2920" t="s">
        <v>19212</v>
      </c>
      <c r="T2920" t="s">
        <v>19212</v>
      </c>
      <c r="U2920">
        <v>2673</v>
      </c>
      <c r="V2920">
        <v>0</v>
      </c>
      <c r="W2920">
        <v>2</v>
      </c>
      <c r="X2920">
        <v>1975</v>
      </c>
      <c r="Z2920">
        <v>1</v>
      </c>
      <c r="AB2920">
        <v>0</v>
      </c>
      <c r="AC2920" t="s">
        <v>115</v>
      </c>
      <c r="AD2920">
        <v>2</v>
      </c>
      <c r="AE2920" t="s">
        <v>115</v>
      </c>
      <c r="AF2920">
        <v>0</v>
      </c>
      <c r="AG2920">
        <v>0</v>
      </c>
      <c r="AH2920" t="s">
        <v>116</v>
      </c>
      <c r="AI2920" s="1">
        <v>189240</v>
      </c>
      <c r="AJ2920" s="2">
        <v>0.39</v>
      </c>
      <c r="AK2920" s="1">
        <v>483128</v>
      </c>
      <c r="AL2920" t="s">
        <v>117</v>
      </c>
      <c r="AM2920" t="s">
        <v>376</v>
      </c>
      <c r="AN2920">
        <v>48504</v>
      </c>
      <c r="AO2920">
        <v>1.1100000000000001</v>
      </c>
      <c r="AP2920">
        <v>1</v>
      </c>
      <c r="AR2920">
        <v>1</v>
      </c>
      <c r="AS2920" s="1">
        <v>34410</v>
      </c>
      <c r="AT2920" s="1">
        <v>6880</v>
      </c>
      <c r="AU2920" s="1">
        <v>27530</v>
      </c>
      <c r="AV2920">
        <v>80.010000000000005</v>
      </c>
      <c r="AX2920" s="1">
        <v>2489.1799999999998</v>
      </c>
      <c r="AY2920" t="s">
        <v>6506</v>
      </c>
      <c r="AZ2920" t="s">
        <v>520</v>
      </c>
      <c r="BA2920" t="s">
        <v>5033</v>
      </c>
      <c r="BB2920" s="3">
        <v>42783</v>
      </c>
      <c r="BD2920" t="s">
        <v>240</v>
      </c>
      <c r="BE2920" s="3">
        <v>42223</v>
      </c>
      <c r="BF2920" s="1">
        <v>375000</v>
      </c>
      <c r="BG2920" t="s">
        <v>19213</v>
      </c>
      <c r="BH2920" s="1">
        <v>140.29</v>
      </c>
      <c r="BI2920" s="1">
        <v>293888</v>
      </c>
      <c r="BJ2920" s="3">
        <v>42783</v>
      </c>
      <c r="BK2920" t="s">
        <v>123</v>
      </c>
      <c r="BL2920" t="str">
        <f>"2017.118344"</f>
        <v>2017.118344</v>
      </c>
      <c r="BM2920" t="s">
        <v>135</v>
      </c>
      <c r="BO2920" t="s">
        <v>19214</v>
      </c>
      <c r="BS2920">
        <v>30</v>
      </c>
      <c r="BW2920" t="str">
        <f>""</f>
        <v/>
      </c>
      <c r="CH2920" t="str">
        <f>""</f>
        <v/>
      </c>
      <c r="CS2920" t="str">
        <f>""</f>
        <v/>
      </c>
    </row>
    <row r="2921" spans="1:97" x14ac:dyDescent="0.25">
      <c r="A2921" t="s">
        <v>2485</v>
      </c>
      <c r="B2921" t="s">
        <v>19215</v>
      </c>
      <c r="E2921" t="s">
        <v>19216</v>
      </c>
      <c r="F2921" t="s">
        <v>108</v>
      </c>
      <c r="H2921" t="s">
        <v>19217</v>
      </c>
      <c r="I2921" t="s">
        <v>188</v>
      </c>
      <c r="J2921" t="s">
        <v>111</v>
      </c>
      <c r="K2921" t="str">
        <f>"85142"</f>
        <v>85142</v>
      </c>
      <c r="L2921" t="s">
        <v>5239</v>
      </c>
      <c r="M2921" t="s">
        <v>19217</v>
      </c>
      <c r="N2921" t="s">
        <v>188</v>
      </c>
      <c r="O2921" t="s">
        <v>111</v>
      </c>
      <c r="P2921" t="str">
        <f>"85142-6536"</f>
        <v>85142-6536</v>
      </c>
      <c r="Q2921" t="s">
        <v>113</v>
      </c>
      <c r="R2921" t="str">
        <f>"304-66-196"</f>
        <v>304-66-196</v>
      </c>
      <c r="S2921" t="s">
        <v>19218</v>
      </c>
      <c r="T2921" t="s">
        <v>19218</v>
      </c>
      <c r="U2921">
        <v>3407</v>
      </c>
      <c r="V2921">
        <v>0</v>
      </c>
      <c r="W2921">
        <v>4</v>
      </c>
      <c r="X2921">
        <v>2004</v>
      </c>
      <c r="Z2921">
        <v>2</v>
      </c>
      <c r="AA2921" t="s">
        <v>26</v>
      </c>
      <c r="AB2921">
        <v>0</v>
      </c>
      <c r="AC2921" t="s">
        <v>115</v>
      </c>
      <c r="AD2921">
        <v>2</v>
      </c>
      <c r="AE2921" t="s">
        <v>115</v>
      </c>
      <c r="AF2921">
        <v>0</v>
      </c>
      <c r="AG2921">
        <v>0</v>
      </c>
      <c r="AH2921" t="s">
        <v>116</v>
      </c>
      <c r="AI2921" s="1">
        <v>88394</v>
      </c>
      <c r="AJ2921" s="2">
        <v>0.21</v>
      </c>
      <c r="AK2921" s="1">
        <v>416519</v>
      </c>
      <c r="AL2921" t="s">
        <v>117</v>
      </c>
      <c r="AM2921" t="s">
        <v>5791</v>
      </c>
      <c r="AN2921">
        <v>12095</v>
      </c>
      <c r="AO2921">
        <v>0.28000000000000003</v>
      </c>
      <c r="AP2921">
        <v>1</v>
      </c>
      <c r="AR2921">
        <v>1</v>
      </c>
      <c r="AS2921" s="1">
        <v>29720</v>
      </c>
      <c r="AT2921" s="1">
        <v>5940</v>
      </c>
      <c r="AU2921" s="1">
        <v>23780</v>
      </c>
      <c r="AV2921">
        <v>80.010000000000005</v>
      </c>
      <c r="AX2921" s="1">
        <v>2652.6</v>
      </c>
      <c r="AY2921" t="s">
        <v>560</v>
      </c>
      <c r="AZ2921" t="s">
        <v>561</v>
      </c>
      <c r="BA2921" t="s">
        <v>194</v>
      </c>
      <c r="BE2921" s="3">
        <v>42551</v>
      </c>
      <c r="BF2921" s="1">
        <v>346500</v>
      </c>
      <c r="BG2921" t="s">
        <v>19219</v>
      </c>
      <c r="BH2921" s="1">
        <v>101.7</v>
      </c>
      <c r="BI2921" s="1">
        <v>328125</v>
      </c>
      <c r="BJ2921" s="3">
        <v>42551</v>
      </c>
      <c r="BK2921" t="s">
        <v>123</v>
      </c>
      <c r="BL2921" t="str">
        <f>"2016.460845"</f>
        <v>2016.460845</v>
      </c>
      <c r="BM2921" t="s">
        <v>544</v>
      </c>
      <c r="BO2921" t="s">
        <v>19220</v>
      </c>
      <c r="BS2921">
        <v>30</v>
      </c>
      <c r="BW2921" t="str">
        <f>""</f>
        <v/>
      </c>
      <c r="CH2921" t="str">
        <f>""</f>
        <v/>
      </c>
      <c r="CS2921" t="str">
        <f>""</f>
        <v/>
      </c>
    </row>
    <row r="2922" spans="1:97" x14ac:dyDescent="0.25">
      <c r="A2922" t="s">
        <v>19221</v>
      </c>
      <c r="B2922" t="s">
        <v>19222</v>
      </c>
      <c r="C2922" t="s">
        <v>19223</v>
      </c>
      <c r="D2922" t="s">
        <v>19222</v>
      </c>
      <c r="E2922" t="s">
        <v>19224</v>
      </c>
      <c r="F2922" t="s">
        <v>108</v>
      </c>
      <c r="H2922" t="s">
        <v>19225</v>
      </c>
      <c r="I2922" t="s">
        <v>2874</v>
      </c>
      <c r="J2922" t="s">
        <v>111</v>
      </c>
      <c r="K2922" t="str">
        <f>"85305"</f>
        <v>85305</v>
      </c>
      <c r="L2922" t="s">
        <v>10474</v>
      </c>
      <c r="M2922" t="s">
        <v>19225</v>
      </c>
      <c r="N2922" t="s">
        <v>2874</v>
      </c>
      <c r="O2922" t="s">
        <v>111</v>
      </c>
      <c r="P2922" t="str">
        <f>"85305-3957"</f>
        <v>85305-3957</v>
      </c>
      <c r="Q2922" t="s">
        <v>113</v>
      </c>
      <c r="R2922" t="str">
        <f>"142-28-209"</f>
        <v>142-28-209</v>
      </c>
      <c r="S2922" t="s">
        <v>10475</v>
      </c>
      <c r="T2922" t="s">
        <v>10475</v>
      </c>
      <c r="U2922">
        <v>2841</v>
      </c>
      <c r="V2922">
        <v>0</v>
      </c>
      <c r="W2922">
        <v>4</v>
      </c>
      <c r="X2922">
        <v>2004</v>
      </c>
      <c r="Z2922">
        <v>1</v>
      </c>
      <c r="AB2922">
        <v>0</v>
      </c>
      <c r="AC2922" t="s">
        <v>115</v>
      </c>
      <c r="AD2922">
        <v>3</v>
      </c>
      <c r="AE2922" t="s">
        <v>115</v>
      </c>
      <c r="AF2922">
        <v>0</v>
      </c>
      <c r="AG2922">
        <v>0</v>
      </c>
      <c r="AH2922" t="s">
        <v>116</v>
      </c>
      <c r="AI2922" s="1">
        <v>101455</v>
      </c>
      <c r="AJ2922" s="2">
        <v>0.26</v>
      </c>
      <c r="AK2922" s="1">
        <v>384105</v>
      </c>
      <c r="AL2922" t="s">
        <v>117</v>
      </c>
      <c r="AM2922" t="s">
        <v>171</v>
      </c>
      <c r="AN2922">
        <v>10744</v>
      </c>
      <c r="AO2922">
        <v>0.25</v>
      </c>
      <c r="AP2922">
        <v>1</v>
      </c>
      <c r="AR2922">
        <v>1</v>
      </c>
      <c r="AS2922" s="1">
        <v>29630</v>
      </c>
      <c r="AT2922" s="1">
        <v>5920</v>
      </c>
      <c r="AU2922" s="1">
        <v>23710</v>
      </c>
      <c r="AV2922">
        <v>80.02</v>
      </c>
      <c r="AX2922" s="1">
        <v>2185.1799999999998</v>
      </c>
      <c r="AY2922" t="s">
        <v>6944</v>
      </c>
      <c r="AZ2922" t="s">
        <v>6944</v>
      </c>
      <c r="BA2922" t="s">
        <v>6945</v>
      </c>
      <c r="BE2922" s="3">
        <v>41747</v>
      </c>
      <c r="BF2922" s="1">
        <v>289500</v>
      </c>
      <c r="BG2922" t="s">
        <v>19226</v>
      </c>
      <c r="BH2922" s="1">
        <v>101.9</v>
      </c>
      <c r="BI2922" s="1">
        <v>282650</v>
      </c>
      <c r="BJ2922" s="3">
        <v>41747</v>
      </c>
      <c r="BK2922" t="s">
        <v>123</v>
      </c>
      <c r="BL2922" t="str">
        <f>"2014.253501"</f>
        <v>2014.253501</v>
      </c>
      <c r="BM2922" t="s">
        <v>135</v>
      </c>
      <c r="BO2922" t="s">
        <v>19227</v>
      </c>
      <c r="BS2922">
        <v>30</v>
      </c>
      <c r="BW2922" t="str">
        <f>""</f>
        <v/>
      </c>
      <c r="CH2922" t="str">
        <f>""</f>
        <v/>
      </c>
      <c r="CS2922" t="str">
        <f>""</f>
        <v/>
      </c>
    </row>
    <row r="2923" spans="1:97" x14ac:dyDescent="0.25">
      <c r="A2923" t="s">
        <v>1187</v>
      </c>
      <c r="B2923" t="s">
        <v>19228</v>
      </c>
      <c r="C2923" t="s">
        <v>976</v>
      </c>
      <c r="D2923" t="s">
        <v>19228</v>
      </c>
      <c r="E2923" t="s">
        <v>19229</v>
      </c>
      <c r="F2923" t="s">
        <v>108</v>
      </c>
      <c r="H2923" t="s">
        <v>19230</v>
      </c>
      <c r="I2923" t="s">
        <v>203</v>
      </c>
      <c r="J2923" t="s">
        <v>111</v>
      </c>
      <c r="K2923" t="str">
        <f>"85298"</f>
        <v>85298</v>
      </c>
      <c r="L2923" t="s">
        <v>721</v>
      </c>
      <c r="M2923" t="s">
        <v>19230</v>
      </c>
      <c r="N2923" t="s">
        <v>203</v>
      </c>
      <c r="O2923" t="s">
        <v>111</v>
      </c>
      <c r="P2923" t="str">
        <f>"85298-9070"</f>
        <v>85298-9070</v>
      </c>
      <c r="Q2923" t="s">
        <v>113</v>
      </c>
      <c r="R2923" t="str">
        <f>"304-79-215"</f>
        <v>304-79-215</v>
      </c>
      <c r="S2923" t="s">
        <v>7384</v>
      </c>
      <c r="T2923" t="s">
        <v>7384</v>
      </c>
      <c r="U2923">
        <v>3060</v>
      </c>
      <c r="V2923">
        <v>0</v>
      </c>
      <c r="W2923">
        <v>5</v>
      </c>
      <c r="X2923">
        <v>2004</v>
      </c>
      <c r="Z2923">
        <v>1</v>
      </c>
      <c r="AA2923" t="s">
        <v>26</v>
      </c>
      <c r="AB2923">
        <v>0</v>
      </c>
      <c r="AC2923" t="s">
        <v>115</v>
      </c>
      <c r="AD2923">
        <v>2</v>
      </c>
      <c r="AE2923" t="s">
        <v>115</v>
      </c>
      <c r="AF2923">
        <v>0</v>
      </c>
      <c r="AG2923">
        <v>0</v>
      </c>
      <c r="AH2923" t="s">
        <v>116</v>
      </c>
      <c r="AI2923" s="1">
        <v>81026</v>
      </c>
      <c r="AJ2923" s="2">
        <v>0.19</v>
      </c>
      <c r="AK2923" s="1">
        <v>427926</v>
      </c>
      <c r="AL2923" t="s">
        <v>117</v>
      </c>
      <c r="AM2923" t="s">
        <v>393</v>
      </c>
      <c r="AN2923">
        <v>9375</v>
      </c>
      <c r="AO2923">
        <v>0.22</v>
      </c>
      <c r="AP2923">
        <v>1</v>
      </c>
      <c r="AR2923">
        <v>1</v>
      </c>
      <c r="AS2923" s="1">
        <v>30730</v>
      </c>
      <c r="AT2923" s="1">
        <v>6140</v>
      </c>
      <c r="AU2923" s="1">
        <v>24590</v>
      </c>
      <c r="AV2923">
        <v>80.02</v>
      </c>
      <c r="AX2923" s="1">
        <v>2497.04</v>
      </c>
      <c r="AY2923" t="s">
        <v>272</v>
      </c>
      <c r="AZ2923" t="s">
        <v>273</v>
      </c>
      <c r="BA2923" t="s">
        <v>274</v>
      </c>
      <c r="BE2923" s="3">
        <v>42207</v>
      </c>
      <c r="BF2923" s="1">
        <v>335000</v>
      </c>
      <c r="BG2923" t="s">
        <v>19231</v>
      </c>
      <c r="BH2923" s="1">
        <v>109.48</v>
      </c>
      <c r="BI2923" s="1">
        <v>346900</v>
      </c>
      <c r="BJ2923" s="3">
        <v>43041</v>
      </c>
      <c r="BK2923" t="s">
        <v>123</v>
      </c>
      <c r="BL2923" t="str">
        <f>"2017.815566"</f>
        <v>2017.815566</v>
      </c>
      <c r="BM2923" t="s">
        <v>1249</v>
      </c>
      <c r="BN2923">
        <v>65203</v>
      </c>
      <c r="BO2923" t="s">
        <v>19232</v>
      </c>
      <c r="BS2923">
        <v>30</v>
      </c>
      <c r="BW2923" t="str">
        <f>""</f>
        <v/>
      </c>
      <c r="CH2923" t="str">
        <f>""</f>
        <v/>
      </c>
      <c r="CS2923" t="str">
        <f>""</f>
        <v/>
      </c>
    </row>
    <row r="2924" spans="1:97" x14ac:dyDescent="0.25">
      <c r="B2924" t="s">
        <v>19233</v>
      </c>
      <c r="E2924" t="s">
        <v>19234</v>
      </c>
      <c r="F2924" t="s">
        <v>108</v>
      </c>
      <c r="H2924" t="s">
        <v>19235</v>
      </c>
      <c r="I2924" t="s">
        <v>1936</v>
      </c>
      <c r="J2924" t="s">
        <v>111</v>
      </c>
      <c r="K2924" t="str">
        <f>"85255"</f>
        <v>85255</v>
      </c>
      <c r="L2924" t="s">
        <v>8335</v>
      </c>
      <c r="M2924" t="s">
        <v>19235</v>
      </c>
      <c r="N2924" t="s">
        <v>1936</v>
      </c>
      <c r="O2924" t="s">
        <v>111</v>
      </c>
      <c r="P2924" t="str">
        <f>"85255-3910"</f>
        <v>85255-3910</v>
      </c>
      <c r="Q2924" t="s">
        <v>113</v>
      </c>
      <c r="R2924" t="str">
        <f>"212-31-751"</f>
        <v>212-31-751</v>
      </c>
      <c r="S2924" t="s">
        <v>19236</v>
      </c>
      <c r="T2924" t="s">
        <v>19237</v>
      </c>
      <c r="U2924">
        <v>2366</v>
      </c>
      <c r="V2924">
        <v>0</v>
      </c>
      <c r="W2924">
        <v>3</v>
      </c>
      <c r="X2924">
        <v>1996</v>
      </c>
      <c r="Z2924">
        <v>1</v>
      </c>
      <c r="AB2924">
        <v>0</v>
      </c>
      <c r="AC2924" t="s">
        <v>115</v>
      </c>
      <c r="AD2924">
        <v>2</v>
      </c>
      <c r="AE2924" t="s">
        <v>115</v>
      </c>
      <c r="AF2924">
        <v>0</v>
      </c>
      <c r="AG2924">
        <v>0</v>
      </c>
      <c r="AH2924" t="s">
        <v>116</v>
      </c>
      <c r="AI2924" s="1">
        <v>148027</v>
      </c>
      <c r="AJ2924" s="2">
        <v>0.23</v>
      </c>
      <c r="AK2924" s="1">
        <v>639794</v>
      </c>
      <c r="AL2924" t="s">
        <v>117</v>
      </c>
      <c r="AM2924" t="s">
        <v>5516</v>
      </c>
      <c r="AN2924">
        <v>6892</v>
      </c>
      <c r="AO2924">
        <v>0.16</v>
      </c>
      <c r="AP2924">
        <v>1</v>
      </c>
      <c r="AR2924">
        <v>1</v>
      </c>
      <c r="AS2924" s="1">
        <v>42130</v>
      </c>
      <c r="AT2924" s="1">
        <v>8420</v>
      </c>
      <c r="AU2924" s="1">
        <v>33710</v>
      </c>
      <c r="AV2924">
        <v>80.010000000000005</v>
      </c>
      <c r="AX2924" s="1">
        <v>4242.4399999999996</v>
      </c>
      <c r="AY2924" t="s">
        <v>6446</v>
      </c>
      <c r="AZ2924" t="s">
        <v>761</v>
      </c>
      <c r="BA2924" t="s">
        <v>762</v>
      </c>
      <c r="BB2924" s="3">
        <v>42073</v>
      </c>
      <c r="BD2924" t="s">
        <v>240</v>
      </c>
      <c r="BE2924" s="3">
        <v>42034</v>
      </c>
      <c r="BF2924" s="1">
        <v>510000</v>
      </c>
      <c r="BG2924" t="s">
        <v>19238</v>
      </c>
      <c r="BH2924" s="1">
        <v>215.55</v>
      </c>
      <c r="BI2924" s="1">
        <v>491767</v>
      </c>
      <c r="BJ2924" s="3">
        <v>42034</v>
      </c>
      <c r="BK2924" t="s">
        <v>123</v>
      </c>
      <c r="BL2924" t="str">
        <f>"2015.62952"</f>
        <v>2015.62952</v>
      </c>
      <c r="BM2924" t="s">
        <v>2683</v>
      </c>
      <c r="BO2924" t="s">
        <v>19239</v>
      </c>
      <c r="BS2924">
        <v>30</v>
      </c>
      <c r="BW2924" t="str">
        <f>""</f>
        <v/>
      </c>
      <c r="CH2924" t="str">
        <f>""</f>
        <v/>
      </c>
      <c r="CS2924" t="str">
        <f>""</f>
        <v/>
      </c>
    </row>
    <row r="2925" spans="1:97" x14ac:dyDescent="0.25">
      <c r="A2925" t="s">
        <v>3879</v>
      </c>
      <c r="B2925" t="s">
        <v>19240</v>
      </c>
      <c r="C2925" t="s">
        <v>19241</v>
      </c>
      <c r="D2925" t="s">
        <v>19240</v>
      </c>
      <c r="E2925" t="s">
        <v>19242</v>
      </c>
      <c r="F2925" t="s">
        <v>139</v>
      </c>
      <c r="H2925" t="s">
        <v>19243</v>
      </c>
      <c r="I2925" t="s">
        <v>632</v>
      </c>
      <c r="J2925" t="s">
        <v>111</v>
      </c>
      <c r="K2925" t="str">
        <f>"85388"</f>
        <v>85388</v>
      </c>
      <c r="L2925" t="s">
        <v>7607</v>
      </c>
      <c r="M2925" t="s">
        <v>19244</v>
      </c>
      <c r="N2925" t="s">
        <v>632</v>
      </c>
      <c r="O2925" t="s">
        <v>111</v>
      </c>
      <c r="P2925" t="str">
        <f>"85388"</f>
        <v>85388</v>
      </c>
      <c r="Q2925" t="s">
        <v>113</v>
      </c>
      <c r="R2925" t="str">
        <f>"502-89-673"</f>
        <v>502-89-673</v>
      </c>
      <c r="S2925" t="s">
        <v>7646</v>
      </c>
      <c r="U2925">
        <v>1811</v>
      </c>
      <c r="V2925">
        <v>0</v>
      </c>
      <c r="W2925">
        <v>3</v>
      </c>
      <c r="X2925">
        <v>2008</v>
      </c>
      <c r="Z2925">
        <v>1</v>
      </c>
      <c r="AB2925">
        <v>0</v>
      </c>
      <c r="AC2925" t="s">
        <v>115</v>
      </c>
      <c r="AD2925">
        <v>2</v>
      </c>
      <c r="AE2925" t="s">
        <v>115</v>
      </c>
      <c r="AF2925">
        <v>0</v>
      </c>
      <c r="AG2925">
        <v>0</v>
      </c>
      <c r="AH2925" t="s">
        <v>116</v>
      </c>
      <c r="AI2925" s="1">
        <v>41276</v>
      </c>
      <c r="AJ2925" s="2">
        <v>0.15</v>
      </c>
      <c r="AK2925" s="1">
        <v>273690</v>
      </c>
      <c r="AL2925" t="s">
        <v>117</v>
      </c>
      <c r="AM2925" t="s">
        <v>118</v>
      </c>
      <c r="AN2925">
        <v>6000</v>
      </c>
      <c r="AO2925">
        <v>0.14000000000000001</v>
      </c>
      <c r="AR2925">
        <v>1</v>
      </c>
      <c r="AS2925" s="1">
        <v>18970</v>
      </c>
      <c r="AT2925" s="1">
        <v>3790</v>
      </c>
      <c r="AU2925" s="1">
        <v>15180</v>
      </c>
      <c r="AV2925">
        <v>80.02</v>
      </c>
      <c r="AX2925" s="1">
        <v>2223.3200000000002</v>
      </c>
      <c r="AY2925" t="s">
        <v>5168</v>
      </c>
      <c r="AZ2925" t="s">
        <v>5168</v>
      </c>
      <c r="BA2925" t="s">
        <v>5109</v>
      </c>
      <c r="BE2925" s="3">
        <v>41782</v>
      </c>
      <c r="BF2925" s="1">
        <v>224990</v>
      </c>
      <c r="BG2925" t="s">
        <v>275</v>
      </c>
      <c r="BH2925" s="1">
        <v>124.24</v>
      </c>
      <c r="BI2925" s="1">
        <v>232414</v>
      </c>
      <c r="BJ2925" s="3">
        <v>41782</v>
      </c>
      <c r="BK2925" t="s">
        <v>123</v>
      </c>
      <c r="BL2925" t="str">
        <f>"2014.337692"</f>
        <v>2014.337692</v>
      </c>
      <c r="BM2925" t="s">
        <v>628</v>
      </c>
      <c r="BO2925" t="s">
        <v>19245</v>
      </c>
      <c r="BS2925">
        <v>30</v>
      </c>
      <c r="BW2925" t="str">
        <f>""</f>
        <v/>
      </c>
      <c r="CH2925" t="str">
        <f>""</f>
        <v/>
      </c>
      <c r="CS2925" t="str">
        <f>""</f>
        <v/>
      </c>
    </row>
    <row r="2926" spans="1:97" x14ac:dyDescent="0.25">
      <c r="A2926" t="s">
        <v>325</v>
      </c>
      <c r="B2926" t="s">
        <v>5256</v>
      </c>
      <c r="C2926" t="s">
        <v>1496</v>
      </c>
      <c r="D2926" t="s">
        <v>5256</v>
      </c>
      <c r="E2926" t="s">
        <v>19246</v>
      </c>
      <c r="F2926" t="s">
        <v>108</v>
      </c>
      <c r="H2926" t="s">
        <v>19247</v>
      </c>
      <c r="I2926" t="s">
        <v>1936</v>
      </c>
      <c r="J2926" t="s">
        <v>111</v>
      </c>
      <c r="K2926" t="str">
        <f>"85259"</f>
        <v>85259</v>
      </c>
      <c r="L2926" t="s">
        <v>7339</v>
      </c>
      <c r="M2926" t="s">
        <v>19247</v>
      </c>
      <c r="N2926" t="s">
        <v>1936</v>
      </c>
      <c r="O2926" t="s">
        <v>111</v>
      </c>
      <c r="P2926" t="str">
        <f>"85259-3994"</f>
        <v>85259-3994</v>
      </c>
      <c r="Q2926" t="s">
        <v>113</v>
      </c>
      <c r="R2926" t="str">
        <f>"217-27-655"</f>
        <v>217-27-655</v>
      </c>
      <c r="S2926" t="s">
        <v>19248</v>
      </c>
      <c r="T2926" t="s">
        <v>19249</v>
      </c>
      <c r="U2926">
        <v>1971</v>
      </c>
      <c r="V2926">
        <v>0</v>
      </c>
      <c r="W2926">
        <v>3</v>
      </c>
      <c r="X2926">
        <v>1984</v>
      </c>
      <c r="Z2926">
        <v>1</v>
      </c>
      <c r="AA2926" t="s">
        <v>26</v>
      </c>
      <c r="AB2926">
        <v>0</v>
      </c>
      <c r="AC2926" t="s">
        <v>115</v>
      </c>
      <c r="AD2926">
        <v>2</v>
      </c>
      <c r="AE2926" t="s">
        <v>115</v>
      </c>
      <c r="AF2926">
        <v>0</v>
      </c>
      <c r="AG2926">
        <v>0</v>
      </c>
      <c r="AH2926" t="s">
        <v>116</v>
      </c>
      <c r="AI2926" s="1">
        <v>40314</v>
      </c>
      <c r="AJ2926" s="2">
        <v>0.1</v>
      </c>
      <c r="AK2926" s="1">
        <v>420314</v>
      </c>
      <c r="AL2926" t="s">
        <v>117</v>
      </c>
      <c r="AM2926" t="s">
        <v>393</v>
      </c>
      <c r="AN2926">
        <v>6882</v>
      </c>
      <c r="AO2926">
        <v>0.16</v>
      </c>
      <c r="AP2926">
        <v>1</v>
      </c>
      <c r="AR2926">
        <v>1</v>
      </c>
      <c r="AS2926" s="1">
        <v>32760</v>
      </c>
      <c r="AT2926" s="1">
        <v>6550</v>
      </c>
      <c r="AU2926" s="1">
        <v>26210</v>
      </c>
      <c r="AV2926">
        <v>80.010000000000005</v>
      </c>
      <c r="AX2926" s="1">
        <v>2210.62</v>
      </c>
      <c r="AY2926" t="s">
        <v>6534</v>
      </c>
      <c r="AZ2926" t="s">
        <v>5762</v>
      </c>
      <c r="BA2926" t="s">
        <v>5763</v>
      </c>
      <c r="BE2926" s="3">
        <v>41929</v>
      </c>
      <c r="BF2926" s="1">
        <v>333000</v>
      </c>
      <c r="BG2926" t="s">
        <v>19250</v>
      </c>
      <c r="BH2926" s="1">
        <v>168.95</v>
      </c>
      <c r="BI2926" s="1">
        <v>380000</v>
      </c>
      <c r="BJ2926" s="3">
        <v>42613</v>
      </c>
      <c r="BK2926" t="s">
        <v>123</v>
      </c>
      <c r="BL2926" t="str">
        <f>"2016.631130"</f>
        <v>2016.631130</v>
      </c>
      <c r="BM2926" t="s">
        <v>544</v>
      </c>
      <c r="BO2926" t="s">
        <v>19251</v>
      </c>
      <c r="BS2926">
        <v>30</v>
      </c>
      <c r="BW2926" t="str">
        <f>""</f>
        <v/>
      </c>
      <c r="CH2926" t="str">
        <f>""</f>
        <v/>
      </c>
      <c r="CS2926" t="str">
        <f>""</f>
        <v/>
      </c>
    </row>
    <row r="2927" spans="1:97" x14ac:dyDescent="0.25">
      <c r="A2927" t="s">
        <v>11127</v>
      </c>
      <c r="B2927" t="s">
        <v>19252</v>
      </c>
      <c r="C2927" t="s">
        <v>1109</v>
      </c>
      <c r="D2927" t="s">
        <v>19252</v>
      </c>
      <c r="E2927" t="s">
        <v>19253</v>
      </c>
      <c r="F2927" t="s">
        <v>108</v>
      </c>
      <c r="H2927" t="s">
        <v>19254</v>
      </c>
      <c r="I2927" t="s">
        <v>6646</v>
      </c>
      <c r="J2927" t="s">
        <v>111</v>
      </c>
      <c r="K2927" t="str">
        <f>"85086"</f>
        <v>85086</v>
      </c>
      <c r="L2927" t="s">
        <v>1070</v>
      </c>
      <c r="M2927" t="s">
        <v>19254</v>
      </c>
      <c r="N2927" t="s">
        <v>6646</v>
      </c>
      <c r="O2927" t="s">
        <v>111</v>
      </c>
      <c r="P2927" t="str">
        <f>"85086-2528"</f>
        <v>85086-2528</v>
      </c>
      <c r="Q2927" t="s">
        <v>113</v>
      </c>
      <c r="R2927" t="str">
        <f>"203-10-197"</f>
        <v>203-10-197</v>
      </c>
      <c r="S2927" t="s">
        <v>19255</v>
      </c>
      <c r="U2927">
        <v>2803</v>
      </c>
      <c r="V2927">
        <v>0</v>
      </c>
      <c r="W2927">
        <v>4</v>
      </c>
      <c r="X2927">
        <v>2000</v>
      </c>
      <c r="Z2927">
        <v>2</v>
      </c>
      <c r="AA2927" t="s">
        <v>26</v>
      </c>
      <c r="AB2927">
        <v>0</v>
      </c>
      <c r="AC2927" t="s">
        <v>115</v>
      </c>
      <c r="AD2927">
        <v>2</v>
      </c>
      <c r="AE2927" t="s">
        <v>115</v>
      </c>
      <c r="AF2927">
        <v>0</v>
      </c>
      <c r="AG2927">
        <v>0</v>
      </c>
      <c r="AH2927" t="s">
        <v>116</v>
      </c>
      <c r="AI2927" s="1">
        <v>82527</v>
      </c>
      <c r="AJ2927" s="2">
        <v>0.2</v>
      </c>
      <c r="AK2927" s="1">
        <v>422427</v>
      </c>
      <c r="AL2927" t="s">
        <v>117</v>
      </c>
      <c r="AM2927" t="s">
        <v>393</v>
      </c>
      <c r="AN2927">
        <v>10345</v>
      </c>
      <c r="AO2927">
        <v>0.24</v>
      </c>
      <c r="AP2927">
        <v>1</v>
      </c>
      <c r="AR2927">
        <v>1</v>
      </c>
      <c r="AS2927" s="1">
        <v>30070</v>
      </c>
      <c r="AT2927" s="1">
        <v>6010</v>
      </c>
      <c r="AU2927" s="1">
        <v>24060</v>
      </c>
      <c r="AV2927">
        <v>80.010000000000005</v>
      </c>
      <c r="AX2927" s="1">
        <v>2723.08</v>
      </c>
      <c r="AY2927" t="s">
        <v>6648</v>
      </c>
      <c r="AZ2927" t="s">
        <v>6648</v>
      </c>
      <c r="BA2927" t="s">
        <v>378</v>
      </c>
      <c r="BE2927" s="3">
        <v>41815</v>
      </c>
      <c r="BF2927" s="1">
        <v>339900</v>
      </c>
      <c r="BG2927" t="s">
        <v>19256</v>
      </c>
      <c r="BH2927" s="1">
        <v>121.26</v>
      </c>
      <c r="BI2927" s="1">
        <v>339900</v>
      </c>
      <c r="BJ2927" s="3">
        <v>41815</v>
      </c>
      <c r="BK2927" t="s">
        <v>123</v>
      </c>
      <c r="BL2927" t="str">
        <f>"2014.417628"</f>
        <v>2014.417628</v>
      </c>
      <c r="BM2927" t="s">
        <v>2683</v>
      </c>
      <c r="BO2927" t="s">
        <v>19257</v>
      </c>
      <c r="BS2927">
        <v>30</v>
      </c>
      <c r="BW2927" t="str">
        <f>""</f>
        <v/>
      </c>
      <c r="CH2927" t="str">
        <f>""</f>
        <v/>
      </c>
      <c r="CS2927" t="str">
        <f>""</f>
        <v/>
      </c>
    </row>
    <row r="2928" spans="1:97" x14ac:dyDescent="0.25">
      <c r="A2928" t="s">
        <v>1444</v>
      </c>
      <c r="B2928" t="s">
        <v>19258</v>
      </c>
      <c r="E2928" t="s">
        <v>19259</v>
      </c>
      <c r="F2928" t="s">
        <v>108</v>
      </c>
      <c r="H2928" t="s">
        <v>19260</v>
      </c>
      <c r="I2928" t="s">
        <v>1936</v>
      </c>
      <c r="J2928" t="s">
        <v>111</v>
      </c>
      <c r="K2928" t="str">
        <f>"85254"</f>
        <v>85254</v>
      </c>
      <c r="L2928" t="s">
        <v>8543</v>
      </c>
      <c r="M2928" t="s">
        <v>19260</v>
      </c>
      <c r="N2928" t="s">
        <v>1936</v>
      </c>
      <c r="O2928" t="s">
        <v>111</v>
      </c>
      <c r="P2928" t="str">
        <f>"85254-2805"</f>
        <v>85254-2805</v>
      </c>
      <c r="Q2928" t="s">
        <v>113</v>
      </c>
      <c r="R2928" t="str">
        <f>"215-68-031"</f>
        <v>215-68-031</v>
      </c>
      <c r="S2928" t="s">
        <v>19261</v>
      </c>
      <c r="T2928" t="s">
        <v>19262</v>
      </c>
      <c r="U2928">
        <v>2137</v>
      </c>
      <c r="V2928">
        <v>0</v>
      </c>
      <c r="W2928">
        <v>2</v>
      </c>
      <c r="X2928">
        <v>1979</v>
      </c>
      <c r="Z2928">
        <v>1</v>
      </c>
      <c r="AA2928" t="s">
        <v>26</v>
      </c>
      <c r="AB2928">
        <v>0</v>
      </c>
      <c r="AC2928" t="s">
        <v>115</v>
      </c>
      <c r="AD2928">
        <v>2</v>
      </c>
      <c r="AE2928" t="s">
        <v>115</v>
      </c>
      <c r="AF2928">
        <v>0</v>
      </c>
      <c r="AG2928">
        <v>0</v>
      </c>
      <c r="AH2928" t="s">
        <v>116</v>
      </c>
      <c r="AI2928" s="1">
        <v>94015</v>
      </c>
      <c r="AJ2928" s="2">
        <v>0.2</v>
      </c>
      <c r="AK2928" s="1">
        <v>459015</v>
      </c>
      <c r="AL2928" t="s">
        <v>117</v>
      </c>
      <c r="AM2928" t="s">
        <v>1302</v>
      </c>
      <c r="AN2928">
        <v>13270</v>
      </c>
      <c r="AO2928">
        <v>0.3</v>
      </c>
      <c r="AP2928">
        <v>1</v>
      </c>
      <c r="AR2928">
        <v>1</v>
      </c>
      <c r="AS2928" s="1">
        <v>34960</v>
      </c>
      <c r="AT2928" s="1">
        <v>6990</v>
      </c>
      <c r="AU2928" s="1">
        <v>27970</v>
      </c>
      <c r="AV2928">
        <v>80.010000000000005</v>
      </c>
      <c r="AX2928" s="1">
        <v>3135.34</v>
      </c>
      <c r="AY2928" t="s">
        <v>2767</v>
      </c>
      <c r="AZ2928" t="s">
        <v>1317</v>
      </c>
      <c r="BA2928" t="s">
        <v>6302</v>
      </c>
      <c r="BE2928" s="3">
        <v>42185</v>
      </c>
      <c r="BF2928" s="1">
        <v>365000</v>
      </c>
      <c r="BG2928" t="s">
        <v>19263</v>
      </c>
      <c r="BH2928" s="1">
        <v>170.8</v>
      </c>
      <c r="BI2928" s="1">
        <v>365000</v>
      </c>
      <c r="BJ2928" s="3">
        <v>42185</v>
      </c>
      <c r="BK2928" t="s">
        <v>123</v>
      </c>
      <c r="BL2928" t="str">
        <f>"2015.469972"</f>
        <v>2015.469972</v>
      </c>
      <c r="BM2928" t="s">
        <v>5747</v>
      </c>
      <c r="BO2928" t="s">
        <v>19264</v>
      </c>
      <c r="BS2928">
        <v>30</v>
      </c>
      <c r="BW2928" t="str">
        <f>""</f>
        <v/>
      </c>
      <c r="CH2928" t="str">
        <f>""</f>
        <v/>
      </c>
      <c r="CS2928" t="str">
        <f>""</f>
        <v/>
      </c>
    </row>
    <row r="2929" spans="1:97" x14ac:dyDescent="0.25">
      <c r="A2929" t="s">
        <v>1979</v>
      </c>
      <c r="B2929" t="s">
        <v>19265</v>
      </c>
      <c r="C2929" t="s">
        <v>13625</v>
      </c>
      <c r="D2929" t="s">
        <v>19265</v>
      </c>
      <c r="E2929" t="s">
        <v>19266</v>
      </c>
      <c r="F2929" t="s">
        <v>108</v>
      </c>
      <c r="H2929" t="s">
        <v>19267</v>
      </c>
      <c r="I2929" t="s">
        <v>203</v>
      </c>
      <c r="J2929" t="s">
        <v>111</v>
      </c>
      <c r="K2929" t="str">
        <f>"85233"</f>
        <v>85233</v>
      </c>
      <c r="L2929" t="s">
        <v>337</v>
      </c>
      <c r="M2929" t="s">
        <v>19267</v>
      </c>
      <c r="N2929" t="s">
        <v>203</v>
      </c>
      <c r="O2929" t="s">
        <v>111</v>
      </c>
      <c r="P2929" t="str">
        <f>"85233-7553"</f>
        <v>85233-7553</v>
      </c>
      <c r="Q2929" t="s">
        <v>113</v>
      </c>
      <c r="R2929" t="str">
        <f>"302-98-767"</f>
        <v>302-98-767</v>
      </c>
      <c r="S2929" t="s">
        <v>19268</v>
      </c>
      <c r="T2929" t="s">
        <v>10168</v>
      </c>
      <c r="U2929">
        <v>2226</v>
      </c>
      <c r="V2929">
        <v>0</v>
      </c>
      <c r="W2929">
        <v>3</v>
      </c>
      <c r="X2929">
        <v>1993</v>
      </c>
      <c r="Z2929">
        <v>1</v>
      </c>
      <c r="AB2929">
        <v>0</v>
      </c>
      <c r="AC2929" t="s">
        <v>115</v>
      </c>
      <c r="AD2929">
        <v>3</v>
      </c>
      <c r="AE2929" t="s">
        <v>115</v>
      </c>
      <c r="AF2929">
        <v>0</v>
      </c>
      <c r="AG2929">
        <v>0</v>
      </c>
      <c r="AH2929" t="s">
        <v>116</v>
      </c>
      <c r="AI2929" s="1">
        <v>69670</v>
      </c>
      <c r="AJ2929" s="2">
        <v>0.18</v>
      </c>
      <c r="AK2929" s="1">
        <v>378537</v>
      </c>
      <c r="AL2929" t="s">
        <v>117</v>
      </c>
      <c r="AM2929" t="s">
        <v>393</v>
      </c>
      <c r="AN2929">
        <v>9361</v>
      </c>
      <c r="AO2929">
        <v>0.22</v>
      </c>
      <c r="AP2929">
        <v>1</v>
      </c>
      <c r="AR2929">
        <v>1</v>
      </c>
      <c r="AS2929" s="1">
        <v>26260</v>
      </c>
      <c r="AT2929" s="1">
        <v>5250</v>
      </c>
      <c r="AU2929" s="1">
        <v>21010</v>
      </c>
      <c r="AV2929">
        <v>80.010000000000005</v>
      </c>
      <c r="AX2929" s="1">
        <v>1905.46</v>
      </c>
      <c r="AY2929" t="s">
        <v>6163</v>
      </c>
      <c r="AZ2929" t="s">
        <v>2906</v>
      </c>
      <c r="BA2929" t="s">
        <v>2957</v>
      </c>
      <c r="BE2929" s="3">
        <v>42328</v>
      </c>
      <c r="BF2929" s="1">
        <v>299000</v>
      </c>
      <c r="BG2929" t="s">
        <v>19269</v>
      </c>
      <c r="BH2929" s="1">
        <v>134.32</v>
      </c>
      <c r="BI2929" s="1">
        <v>308867</v>
      </c>
      <c r="BJ2929" s="3">
        <v>42328</v>
      </c>
      <c r="BK2929" t="s">
        <v>123</v>
      </c>
      <c r="BL2929" t="str">
        <f>"2015.830844"</f>
        <v>2015.830844</v>
      </c>
      <c r="BO2929" t="s">
        <v>19270</v>
      </c>
      <c r="BS2929">
        <v>30</v>
      </c>
      <c r="BW2929" t="str">
        <f>""</f>
        <v/>
      </c>
      <c r="CH2929" t="str">
        <f>""</f>
        <v/>
      </c>
      <c r="CS2929" t="str">
        <f>""</f>
        <v/>
      </c>
    </row>
    <row r="2930" spans="1:97" x14ac:dyDescent="0.25">
      <c r="A2930" t="s">
        <v>265</v>
      </c>
      <c r="B2930" t="s">
        <v>19271</v>
      </c>
      <c r="E2930" t="s">
        <v>19272</v>
      </c>
      <c r="F2930" t="s">
        <v>108</v>
      </c>
      <c r="H2930" t="s">
        <v>19273</v>
      </c>
      <c r="I2930" t="s">
        <v>1936</v>
      </c>
      <c r="J2930" t="s">
        <v>111</v>
      </c>
      <c r="K2930" t="str">
        <f>"85254"</f>
        <v>85254</v>
      </c>
      <c r="L2930" t="s">
        <v>4565</v>
      </c>
      <c r="M2930" t="s">
        <v>19273</v>
      </c>
      <c r="N2930" t="s">
        <v>1936</v>
      </c>
      <c r="O2930" t="s">
        <v>111</v>
      </c>
      <c r="P2930" t="str">
        <f>"85254-1173"</f>
        <v>85254-1173</v>
      </c>
      <c r="Q2930" t="s">
        <v>113</v>
      </c>
      <c r="R2930" t="str">
        <f>"215-35-252"</f>
        <v>215-35-252</v>
      </c>
      <c r="S2930" t="s">
        <v>15785</v>
      </c>
      <c r="T2930" t="s">
        <v>15786</v>
      </c>
      <c r="U2930">
        <v>1980</v>
      </c>
      <c r="V2930">
        <v>0</v>
      </c>
      <c r="W2930">
        <v>3</v>
      </c>
      <c r="X2930">
        <v>1985</v>
      </c>
      <c r="Z2930">
        <v>1</v>
      </c>
      <c r="AA2930" t="s">
        <v>26</v>
      </c>
      <c r="AB2930">
        <v>0</v>
      </c>
      <c r="AC2930" t="s">
        <v>115</v>
      </c>
      <c r="AD2930">
        <v>2</v>
      </c>
      <c r="AE2930" t="s">
        <v>115</v>
      </c>
      <c r="AF2930">
        <v>0</v>
      </c>
      <c r="AG2930">
        <v>0</v>
      </c>
      <c r="AH2930" t="s">
        <v>116</v>
      </c>
      <c r="AI2930" s="1">
        <v>98327</v>
      </c>
      <c r="AJ2930" s="2">
        <v>0.21</v>
      </c>
      <c r="AK2930" s="1">
        <v>469414</v>
      </c>
      <c r="AL2930" t="s">
        <v>117</v>
      </c>
      <c r="AM2930" t="s">
        <v>1302</v>
      </c>
      <c r="AN2930">
        <v>9667</v>
      </c>
      <c r="AO2930">
        <v>0.22</v>
      </c>
      <c r="AP2930">
        <v>1</v>
      </c>
      <c r="AR2930">
        <v>1</v>
      </c>
      <c r="AS2930" s="1">
        <v>34710</v>
      </c>
      <c r="AT2930" s="1">
        <v>6940</v>
      </c>
      <c r="AU2930" s="1">
        <v>27770</v>
      </c>
      <c r="AV2930">
        <v>80.010000000000005</v>
      </c>
      <c r="AX2930" s="1">
        <v>3057.92</v>
      </c>
      <c r="AY2930" t="s">
        <v>15787</v>
      </c>
      <c r="AZ2930" t="s">
        <v>7739</v>
      </c>
      <c r="BA2930" t="s">
        <v>6302</v>
      </c>
      <c r="BE2930" s="3">
        <v>42026</v>
      </c>
      <c r="BF2930" s="1">
        <v>365000</v>
      </c>
      <c r="BG2930" t="s">
        <v>19274</v>
      </c>
      <c r="BH2930" s="1">
        <v>184.34</v>
      </c>
      <c r="BI2930" s="1">
        <v>371087</v>
      </c>
      <c r="BJ2930" s="3">
        <v>42538</v>
      </c>
      <c r="BK2930" t="s">
        <v>123</v>
      </c>
      <c r="BL2930" t="str">
        <f>"2016.422018"</f>
        <v>2016.422018</v>
      </c>
      <c r="BM2930" t="s">
        <v>1154</v>
      </c>
      <c r="BO2930" t="s">
        <v>19275</v>
      </c>
      <c r="BS2930">
        <v>30</v>
      </c>
      <c r="BW2930" t="str">
        <f>""</f>
        <v/>
      </c>
      <c r="CH2930" t="str">
        <f>""</f>
        <v/>
      </c>
      <c r="CS2930" t="str">
        <f>""</f>
        <v/>
      </c>
    </row>
    <row r="2931" spans="1:97" x14ac:dyDescent="0.25">
      <c r="A2931" t="s">
        <v>668</v>
      </c>
      <c r="B2931" t="s">
        <v>2255</v>
      </c>
      <c r="C2931" t="s">
        <v>986</v>
      </c>
      <c r="D2931" t="s">
        <v>2255</v>
      </c>
      <c r="E2931" t="s">
        <v>19276</v>
      </c>
      <c r="F2931" t="s">
        <v>108</v>
      </c>
      <c r="H2931" t="s">
        <v>19277</v>
      </c>
      <c r="I2931" t="s">
        <v>453</v>
      </c>
      <c r="J2931" t="s">
        <v>111</v>
      </c>
      <c r="K2931" t="str">
        <f>"85383"</f>
        <v>85383</v>
      </c>
      <c r="L2931" t="s">
        <v>7243</v>
      </c>
      <c r="M2931" t="s">
        <v>19277</v>
      </c>
      <c r="N2931" t="s">
        <v>453</v>
      </c>
      <c r="O2931" t="s">
        <v>111</v>
      </c>
      <c r="P2931" t="str">
        <f>"85383-6263"</f>
        <v>85383-6263</v>
      </c>
      <c r="Q2931" t="s">
        <v>113</v>
      </c>
      <c r="R2931" t="str">
        <f>"201-20-416"</f>
        <v>201-20-416</v>
      </c>
      <c r="S2931" t="s">
        <v>8847</v>
      </c>
      <c r="T2931" t="s">
        <v>8847</v>
      </c>
      <c r="U2931">
        <v>4146</v>
      </c>
      <c r="V2931">
        <v>0</v>
      </c>
      <c r="W2931">
        <v>6</v>
      </c>
      <c r="X2931">
        <v>2015</v>
      </c>
      <c r="Z2931">
        <v>2</v>
      </c>
      <c r="AA2931" t="s">
        <v>26</v>
      </c>
      <c r="AB2931">
        <v>0</v>
      </c>
      <c r="AC2931" t="s">
        <v>115</v>
      </c>
      <c r="AD2931">
        <v>3</v>
      </c>
      <c r="AE2931" t="s">
        <v>115</v>
      </c>
      <c r="AF2931">
        <v>0</v>
      </c>
      <c r="AG2931">
        <v>0</v>
      </c>
      <c r="AH2931" t="s">
        <v>116</v>
      </c>
      <c r="AI2931" s="1">
        <v>105998</v>
      </c>
      <c r="AJ2931" s="2">
        <v>0.2</v>
      </c>
      <c r="AK2931" s="1">
        <v>533159</v>
      </c>
      <c r="AL2931" t="s">
        <v>117</v>
      </c>
      <c r="AM2931" t="s">
        <v>118</v>
      </c>
      <c r="AN2931">
        <v>10575</v>
      </c>
      <c r="AO2931">
        <v>0.24</v>
      </c>
      <c r="AR2931">
        <v>1</v>
      </c>
      <c r="AS2931" s="1">
        <v>41980</v>
      </c>
      <c r="AT2931" s="1">
        <v>8390</v>
      </c>
      <c r="AU2931" s="1">
        <v>33590</v>
      </c>
      <c r="AV2931">
        <v>80.010000000000005</v>
      </c>
      <c r="AX2931" s="1">
        <v>3214.04</v>
      </c>
      <c r="AY2931" t="s">
        <v>1385</v>
      </c>
      <c r="AZ2931" t="s">
        <v>1385</v>
      </c>
      <c r="BA2931" t="s">
        <v>1386</v>
      </c>
      <c r="BE2931" s="3">
        <v>42153</v>
      </c>
      <c r="BF2931" s="1">
        <v>436171</v>
      </c>
      <c r="BG2931" t="s">
        <v>2199</v>
      </c>
      <c r="BH2931" s="1">
        <v>105.2</v>
      </c>
      <c r="BI2931" s="1">
        <v>427161</v>
      </c>
      <c r="BJ2931" s="3">
        <v>42153</v>
      </c>
      <c r="BK2931" t="s">
        <v>123</v>
      </c>
      <c r="BL2931" t="str">
        <f>"2015.381092"</f>
        <v>2015.381092</v>
      </c>
      <c r="BM2931" t="s">
        <v>2245</v>
      </c>
      <c r="BO2931" t="s">
        <v>19278</v>
      </c>
      <c r="BS2931">
        <v>30</v>
      </c>
      <c r="BW2931" t="str">
        <f>""</f>
        <v/>
      </c>
      <c r="CH2931" t="str">
        <f>""</f>
        <v/>
      </c>
      <c r="CS2931" t="str">
        <f>""</f>
        <v/>
      </c>
    </row>
    <row r="2932" spans="1:97" x14ac:dyDescent="0.25">
      <c r="A2932" t="s">
        <v>370</v>
      </c>
      <c r="B2932" t="s">
        <v>19279</v>
      </c>
      <c r="C2932" t="s">
        <v>19280</v>
      </c>
      <c r="D2932" t="s">
        <v>19279</v>
      </c>
      <c r="E2932" t="s">
        <v>19281</v>
      </c>
      <c r="F2932" t="s">
        <v>108</v>
      </c>
      <c r="H2932" t="s">
        <v>19282</v>
      </c>
      <c r="I2932" t="s">
        <v>390</v>
      </c>
      <c r="J2932" t="s">
        <v>111</v>
      </c>
      <c r="K2932" t="str">
        <f>"85083"</f>
        <v>85083</v>
      </c>
      <c r="L2932" t="s">
        <v>12821</v>
      </c>
      <c r="M2932" t="s">
        <v>19282</v>
      </c>
      <c r="N2932" t="s">
        <v>390</v>
      </c>
      <c r="O2932" t="s">
        <v>111</v>
      </c>
      <c r="P2932" t="str">
        <f>"85083-9314"</f>
        <v>85083-9314</v>
      </c>
      <c r="Q2932" t="s">
        <v>113</v>
      </c>
      <c r="R2932" t="str">
        <f>"201-41-292"</f>
        <v>201-41-292</v>
      </c>
      <c r="S2932" t="s">
        <v>12822</v>
      </c>
      <c r="U2932">
        <v>3037</v>
      </c>
      <c r="V2932">
        <v>0</v>
      </c>
      <c r="W2932">
        <v>4</v>
      </c>
      <c r="X2932">
        <v>2013</v>
      </c>
      <c r="Z2932">
        <v>1</v>
      </c>
      <c r="AA2932" t="s">
        <v>26</v>
      </c>
      <c r="AB2932">
        <v>0</v>
      </c>
      <c r="AC2932" t="s">
        <v>115</v>
      </c>
      <c r="AD2932">
        <v>3</v>
      </c>
      <c r="AE2932" t="s">
        <v>115</v>
      </c>
      <c r="AF2932">
        <v>0</v>
      </c>
      <c r="AG2932">
        <v>0</v>
      </c>
      <c r="AH2932" t="s">
        <v>116</v>
      </c>
      <c r="AI2932" s="1">
        <v>91655</v>
      </c>
      <c r="AJ2932" s="2">
        <v>0.18</v>
      </c>
      <c r="AK2932" s="1">
        <v>506555</v>
      </c>
      <c r="AL2932" t="s">
        <v>117</v>
      </c>
      <c r="AM2932" t="s">
        <v>760</v>
      </c>
      <c r="AN2932">
        <v>13880</v>
      </c>
      <c r="AO2932">
        <v>0.32</v>
      </c>
      <c r="AR2932">
        <v>1</v>
      </c>
      <c r="AS2932" s="1">
        <v>40150</v>
      </c>
      <c r="AT2932" s="1">
        <v>8030</v>
      </c>
      <c r="AU2932" s="1">
        <v>32120</v>
      </c>
      <c r="AV2932">
        <v>80</v>
      </c>
      <c r="AX2932" s="1">
        <v>4494.1000000000004</v>
      </c>
      <c r="AY2932" t="s">
        <v>5125</v>
      </c>
      <c r="AZ2932" t="s">
        <v>3049</v>
      </c>
      <c r="BA2932" t="s">
        <v>1386</v>
      </c>
      <c r="BE2932" s="3">
        <v>42464</v>
      </c>
      <c r="BF2932" s="1">
        <v>414900</v>
      </c>
      <c r="BG2932" t="s">
        <v>19283</v>
      </c>
      <c r="BH2932" s="1">
        <v>136.62</v>
      </c>
      <c r="BI2932" s="1">
        <v>414900</v>
      </c>
      <c r="BJ2932" s="3">
        <v>42464</v>
      </c>
      <c r="BK2932" t="s">
        <v>123</v>
      </c>
      <c r="BL2932" t="str">
        <f>"2016.220305"</f>
        <v>2016.220305</v>
      </c>
      <c r="BM2932" t="s">
        <v>8868</v>
      </c>
      <c r="BO2932" t="s">
        <v>19284</v>
      </c>
      <c r="BS2932">
        <v>30</v>
      </c>
      <c r="BW2932" t="str">
        <f>""</f>
        <v/>
      </c>
      <c r="CH2932" t="str">
        <f>""</f>
        <v/>
      </c>
      <c r="CS2932" t="str">
        <f>""</f>
        <v/>
      </c>
    </row>
    <row r="2933" spans="1:97" x14ac:dyDescent="0.25">
      <c r="A2933" t="s">
        <v>894</v>
      </c>
      <c r="B2933" t="s">
        <v>1820</v>
      </c>
      <c r="C2933" t="s">
        <v>19285</v>
      </c>
      <c r="D2933" t="s">
        <v>1820</v>
      </c>
      <c r="E2933" t="s">
        <v>19286</v>
      </c>
      <c r="F2933" t="s">
        <v>108</v>
      </c>
      <c r="H2933" t="s">
        <v>19287</v>
      </c>
      <c r="I2933" t="s">
        <v>1397</v>
      </c>
      <c r="J2933" t="s">
        <v>111</v>
      </c>
      <c r="K2933" t="str">
        <f>"85331"</f>
        <v>85331</v>
      </c>
      <c r="L2933" t="s">
        <v>7922</v>
      </c>
      <c r="M2933" t="s">
        <v>19287</v>
      </c>
      <c r="N2933" t="s">
        <v>1397</v>
      </c>
      <c r="O2933" t="s">
        <v>111</v>
      </c>
      <c r="P2933" t="str">
        <f>"85331-4038"</f>
        <v>85331-4038</v>
      </c>
      <c r="Q2933" t="s">
        <v>113</v>
      </c>
      <c r="R2933" t="str">
        <f>"211-60-820"</f>
        <v>211-60-820</v>
      </c>
      <c r="S2933" t="s">
        <v>7923</v>
      </c>
      <c r="T2933" t="s">
        <v>7924</v>
      </c>
      <c r="U2933">
        <v>2324</v>
      </c>
      <c r="V2933">
        <v>0</v>
      </c>
      <c r="W2933">
        <v>4</v>
      </c>
      <c r="X2933">
        <v>2001</v>
      </c>
      <c r="Z2933">
        <v>2</v>
      </c>
      <c r="AA2933" t="s">
        <v>26</v>
      </c>
      <c r="AB2933">
        <v>0</v>
      </c>
      <c r="AC2933" t="s">
        <v>115</v>
      </c>
      <c r="AD2933">
        <v>2</v>
      </c>
      <c r="AE2933" t="s">
        <v>115</v>
      </c>
      <c r="AF2933">
        <v>0</v>
      </c>
      <c r="AG2933">
        <v>0</v>
      </c>
      <c r="AH2933" t="s">
        <v>116</v>
      </c>
      <c r="AI2933" s="1">
        <v>14617</v>
      </c>
      <c r="AJ2933" s="2">
        <v>0.03</v>
      </c>
      <c r="AK2933" s="1">
        <v>431617</v>
      </c>
      <c r="AL2933" t="s">
        <v>117</v>
      </c>
      <c r="AM2933" t="s">
        <v>760</v>
      </c>
      <c r="AN2933">
        <v>6875</v>
      </c>
      <c r="AO2933">
        <v>0.16</v>
      </c>
      <c r="AP2933">
        <v>1</v>
      </c>
      <c r="AR2933">
        <v>1</v>
      </c>
      <c r="AS2933" s="1">
        <v>31230</v>
      </c>
      <c r="AT2933" s="1">
        <v>6240</v>
      </c>
      <c r="AU2933" s="1">
        <v>24990</v>
      </c>
      <c r="AV2933">
        <v>80.02</v>
      </c>
      <c r="AX2933" s="1">
        <v>2049.44</v>
      </c>
      <c r="AY2933" t="s">
        <v>1401</v>
      </c>
      <c r="AZ2933" t="s">
        <v>1402</v>
      </c>
      <c r="BA2933" t="s">
        <v>1403</v>
      </c>
      <c r="BE2933" s="3">
        <v>42296</v>
      </c>
      <c r="BF2933" s="1">
        <v>410000</v>
      </c>
      <c r="BG2933" t="s">
        <v>19288</v>
      </c>
      <c r="BH2933" s="1">
        <v>176.42</v>
      </c>
      <c r="BI2933" s="1">
        <v>417000</v>
      </c>
      <c r="BJ2933" s="3">
        <v>42296</v>
      </c>
      <c r="BK2933" t="s">
        <v>123</v>
      </c>
      <c r="BL2933" t="str">
        <f>"2015.748535"</f>
        <v>2015.748535</v>
      </c>
      <c r="BM2933" t="s">
        <v>8868</v>
      </c>
      <c r="BO2933" t="s">
        <v>19289</v>
      </c>
      <c r="BS2933">
        <v>30</v>
      </c>
      <c r="BW2933" t="str">
        <f>""</f>
        <v/>
      </c>
      <c r="CH2933" t="str">
        <f>""</f>
        <v/>
      </c>
      <c r="CS2933" t="str">
        <f>""</f>
        <v/>
      </c>
    </row>
    <row r="2934" spans="1:97" x14ac:dyDescent="0.25">
      <c r="A2934" t="s">
        <v>305</v>
      </c>
      <c r="B2934" t="s">
        <v>3315</v>
      </c>
      <c r="C2934" t="s">
        <v>19290</v>
      </c>
      <c r="D2934" t="s">
        <v>3315</v>
      </c>
      <c r="E2934" t="s">
        <v>19291</v>
      </c>
      <c r="F2934" t="s">
        <v>108</v>
      </c>
      <c r="H2934" t="s">
        <v>19292</v>
      </c>
      <c r="I2934" t="s">
        <v>453</v>
      </c>
      <c r="J2934" t="s">
        <v>111</v>
      </c>
      <c r="K2934" t="str">
        <f>"85345"</f>
        <v>85345</v>
      </c>
      <c r="L2934" t="s">
        <v>5176</v>
      </c>
      <c r="M2934" t="s">
        <v>19292</v>
      </c>
      <c r="N2934" t="s">
        <v>453</v>
      </c>
      <c r="O2934" t="s">
        <v>111</v>
      </c>
      <c r="P2934" t="str">
        <f>"85345-8029"</f>
        <v>85345-8029</v>
      </c>
      <c r="Q2934" t="s">
        <v>113</v>
      </c>
      <c r="R2934" t="str">
        <f>"142-35-403"</f>
        <v>142-35-403</v>
      </c>
      <c r="S2934" t="s">
        <v>6942</v>
      </c>
      <c r="T2934" t="s">
        <v>6943</v>
      </c>
      <c r="U2934">
        <v>2437</v>
      </c>
      <c r="V2934">
        <v>0</v>
      </c>
      <c r="W2934">
        <v>3</v>
      </c>
      <c r="X2934">
        <v>2016</v>
      </c>
      <c r="Z2934">
        <v>1</v>
      </c>
      <c r="AA2934" t="s">
        <v>26</v>
      </c>
      <c r="AB2934">
        <v>0</v>
      </c>
      <c r="AC2934" t="s">
        <v>115</v>
      </c>
      <c r="AD2934">
        <v>3</v>
      </c>
      <c r="AE2934" t="s">
        <v>115</v>
      </c>
      <c r="AF2934">
        <v>0</v>
      </c>
      <c r="AG2934">
        <v>0</v>
      </c>
      <c r="AH2934" t="s">
        <v>116</v>
      </c>
      <c r="AI2934" s="1">
        <v>29060</v>
      </c>
      <c r="AJ2934" s="2">
        <v>0.08</v>
      </c>
      <c r="AK2934" s="1">
        <v>354990</v>
      </c>
      <c r="AL2934" t="s">
        <v>117</v>
      </c>
      <c r="AM2934" t="s">
        <v>118</v>
      </c>
      <c r="AN2934">
        <v>7599</v>
      </c>
      <c r="AO2934">
        <v>0.17</v>
      </c>
      <c r="AR2934">
        <v>1</v>
      </c>
      <c r="AS2934" s="1">
        <v>25960</v>
      </c>
      <c r="AT2934" s="1">
        <v>5190</v>
      </c>
      <c r="AU2934" s="1">
        <v>20770</v>
      </c>
      <c r="AV2934">
        <v>80.010000000000005</v>
      </c>
      <c r="AX2934" s="1">
        <v>2108.42</v>
      </c>
      <c r="AY2934" t="s">
        <v>6944</v>
      </c>
      <c r="AZ2934" t="s">
        <v>6944</v>
      </c>
      <c r="BA2934" t="s">
        <v>6945</v>
      </c>
      <c r="BE2934" s="3">
        <v>42443</v>
      </c>
      <c r="BF2934" s="1">
        <v>319630</v>
      </c>
      <c r="BG2934" t="s">
        <v>636</v>
      </c>
      <c r="BH2934" s="1">
        <v>131.16</v>
      </c>
      <c r="BI2934" s="1">
        <v>325930</v>
      </c>
      <c r="BJ2934" s="3">
        <v>42671</v>
      </c>
      <c r="BK2934" t="s">
        <v>123</v>
      </c>
      <c r="BL2934" t="str">
        <f>"2016.793707"</f>
        <v>2016.793707</v>
      </c>
      <c r="BM2934" t="s">
        <v>1695</v>
      </c>
      <c r="BO2934" t="s">
        <v>19293</v>
      </c>
      <c r="BS2934">
        <v>30</v>
      </c>
      <c r="BW2934" t="str">
        <f>""</f>
        <v/>
      </c>
      <c r="CH2934" t="str">
        <f>""</f>
        <v/>
      </c>
      <c r="CS2934" t="str">
        <f>""</f>
        <v/>
      </c>
    </row>
    <row r="2935" spans="1:97" x14ac:dyDescent="0.25">
      <c r="A2935" t="s">
        <v>602</v>
      </c>
      <c r="B2935" t="s">
        <v>7774</v>
      </c>
      <c r="C2935" t="s">
        <v>1547</v>
      </c>
      <c r="D2935" t="s">
        <v>7774</v>
      </c>
      <c r="E2935" t="s">
        <v>19294</v>
      </c>
      <c r="F2935" t="s">
        <v>108</v>
      </c>
      <c r="H2935" t="s">
        <v>19295</v>
      </c>
      <c r="I2935" t="s">
        <v>225</v>
      </c>
      <c r="J2935" t="s">
        <v>111</v>
      </c>
      <c r="K2935" t="str">
        <f>"85202"</f>
        <v>85202</v>
      </c>
      <c r="L2935" t="s">
        <v>6333</v>
      </c>
      <c r="M2935" t="s">
        <v>19295</v>
      </c>
      <c r="N2935" t="s">
        <v>225</v>
      </c>
      <c r="O2935" t="s">
        <v>111</v>
      </c>
      <c r="P2935" t="str">
        <f>"85202-9257"</f>
        <v>85202-9257</v>
      </c>
      <c r="Q2935" t="s">
        <v>113</v>
      </c>
      <c r="R2935" t="str">
        <f>"305-02-896"</f>
        <v>305-02-896</v>
      </c>
      <c r="S2935" t="s">
        <v>19296</v>
      </c>
      <c r="T2935" t="s">
        <v>14669</v>
      </c>
      <c r="U2935">
        <v>2038</v>
      </c>
      <c r="V2935">
        <v>0</v>
      </c>
      <c r="W2935">
        <v>4</v>
      </c>
      <c r="X2935">
        <v>1979</v>
      </c>
      <c r="Z2935">
        <v>2</v>
      </c>
      <c r="AA2935" t="s">
        <v>26</v>
      </c>
      <c r="AB2935">
        <v>0</v>
      </c>
      <c r="AC2935" t="s">
        <v>115</v>
      </c>
      <c r="AD2935">
        <v>2</v>
      </c>
      <c r="AE2935" t="s">
        <v>115</v>
      </c>
      <c r="AF2935">
        <v>0</v>
      </c>
      <c r="AG2935">
        <v>0</v>
      </c>
      <c r="AH2935" t="s">
        <v>116</v>
      </c>
      <c r="AI2935" s="1">
        <v>76214</v>
      </c>
      <c r="AJ2935" s="2">
        <v>0.23</v>
      </c>
      <c r="AK2935" s="1">
        <v>335572</v>
      </c>
      <c r="AL2935" t="s">
        <v>117</v>
      </c>
      <c r="AM2935" t="s">
        <v>191</v>
      </c>
      <c r="AN2935">
        <v>9392</v>
      </c>
      <c r="AO2935">
        <v>0.22</v>
      </c>
      <c r="AP2935">
        <v>1</v>
      </c>
      <c r="AR2935">
        <v>1</v>
      </c>
      <c r="AS2935" s="1">
        <v>23460</v>
      </c>
      <c r="AT2935" s="1">
        <v>4690</v>
      </c>
      <c r="AU2935" s="1">
        <v>18770</v>
      </c>
      <c r="AV2935">
        <v>80.010000000000005</v>
      </c>
      <c r="AX2935" s="1">
        <v>1647.94</v>
      </c>
      <c r="AY2935" t="s">
        <v>8619</v>
      </c>
      <c r="AZ2935" t="s">
        <v>7295</v>
      </c>
      <c r="BA2935" t="s">
        <v>5311</v>
      </c>
      <c r="BE2935" s="3">
        <v>41806</v>
      </c>
      <c r="BF2935" s="1">
        <v>253900</v>
      </c>
      <c r="BG2935" t="s">
        <v>19297</v>
      </c>
      <c r="BH2935" s="1">
        <v>124.58</v>
      </c>
      <c r="BI2935" s="1">
        <v>259358</v>
      </c>
      <c r="BJ2935" s="3">
        <v>41806</v>
      </c>
      <c r="BK2935" t="s">
        <v>123</v>
      </c>
      <c r="BL2935" t="str">
        <f>"2014.389914"</f>
        <v>2014.389914</v>
      </c>
      <c r="BM2935" t="s">
        <v>936</v>
      </c>
      <c r="BO2935" t="s">
        <v>19298</v>
      </c>
      <c r="BS2935">
        <v>30</v>
      </c>
      <c r="BW2935" t="str">
        <f>""</f>
        <v/>
      </c>
      <c r="CH2935" t="str">
        <f>""</f>
        <v/>
      </c>
      <c r="CS2935" t="str">
        <f>""</f>
        <v/>
      </c>
    </row>
    <row r="2936" spans="1:97" x14ac:dyDescent="0.25">
      <c r="A2936" t="s">
        <v>19299</v>
      </c>
      <c r="B2936" t="s">
        <v>19300</v>
      </c>
      <c r="C2936" t="s">
        <v>4407</v>
      </c>
      <c r="D2936" t="s">
        <v>19300</v>
      </c>
      <c r="E2936" t="s">
        <v>19301</v>
      </c>
      <c r="F2936" t="s">
        <v>108</v>
      </c>
      <c r="H2936" t="s">
        <v>19302</v>
      </c>
      <c r="I2936" t="s">
        <v>390</v>
      </c>
      <c r="J2936" t="s">
        <v>111</v>
      </c>
      <c r="K2936" t="str">
        <f>"85086"</f>
        <v>85086</v>
      </c>
      <c r="L2936" t="s">
        <v>5009</v>
      </c>
      <c r="M2936" t="s">
        <v>19302</v>
      </c>
      <c r="N2936" t="s">
        <v>390</v>
      </c>
      <c r="O2936" t="s">
        <v>111</v>
      </c>
      <c r="P2936" t="str">
        <f>"85086-3415"</f>
        <v>85086-3415</v>
      </c>
      <c r="Q2936" t="s">
        <v>113</v>
      </c>
      <c r="R2936" t="str">
        <f>"211-73-019-J"</f>
        <v>211-73-019-J</v>
      </c>
      <c r="U2936">
        <v>3048</v>
      </c>
      <c r="V2936">
        <v>0</v>
      </c>
      <c r="W2936">
        <v>3</v>
      </c>
      <c r="X2936">
        <v>2000</v>
      </c>
      <c r="Z2936">
        <v>1</v>
      </c>
      <c r="AA2936" t="s">
        <v>26</v>
      </c>
      <c r="AB2936">
        <v>0</v>
      </c>
      <c r="AC2936" t="s">
        <v>115</v>
      </c>
      <c r="AD2936">
        <v>3</v>
      </c>
      <c r="AE2936" t="s">
        <v>115</v>
      </c>
      <c r="AF2936">
        <v>0</v>
      </c>
      <c r="AG2936">
        <v>0</v>
      </c>
      <c r="AH2936" t="s">
        <v>116</v>
      </c>
      <c r="AI2936" s="1">
        <v>145393</v>
      </c>
      <c r="AJ2936" s="2">
        <v>0.27</v>
      </c>
      <c r="AK2936" s="1">
        <v>546957</v>
      </c>
      <c r="AL2936" t="s">
        <v>117</v>
      </c>
      <c r="AM2936" t="s">
        <v>376</v>
      </c>
      <c r="AN2936">
        <v>51150</v>
      </c>
      <c r="AO2936">
        <v>1.17</v>
      </c>
      <c r="AP2936">
        <v>1</v>
      </c>
      <c r="AR2936">
        <v>1</v>
      </c>
      <c r="AS2936" s="1">
        <v>42460</v>
      </c>
      <c r="AT2936" s="1">
        <v>8490</v>
      </c>
      <c r="AU2936" s="1">
        <v>33970</v>
      </c>
      <c r="AV2936">
        <v>80</v>
      </c>
      <c r="AX2936" s="1">
        <v>4510.04</v>
      </c>
      <c r="AY2936" t="s">
        <v>1587</v>
      </c>
      <c r="AZ2936" t="s">
        <v>1587</v>
      </c>
      <c r="BA2936" t="s">
        <v>378</v>
      </c>
      <c r="BE2936" s="3">
        <v>42221</v>
      </c>
      <c r="BF2936" s="1">
        <v>395000</v>
      </c>
      <c r="BG2936" t="s">
        <v>19303</v>
      </c>
      <c r="BH2936" s="1">
        <v>129.59</v>
      </c>
      <c r="BI2936" s="1">
        <v>401564</v>
      </c>
      <c r="BJ2936" s="3">
        <v>42481</v>
      </c>
      <c r="BK2936" t="s">
        <v>123</v>
      </c>
      <c r="BL2936" t="str">
        <f>"2016.268042"</f>
        <v>2016.268042</v>
      </c>
      <c r="BM2936" t="s">
        <v>1695</v>
      </c>
      <c r="BO2936" t="s">
        <v>19304</v>
      </c>
      <c r="BS2936">
        <v>30</v>
      </c>
      <c r="BW2936" t="str">
        <f>""</f>
        <v/>
      </c>
      <c r="CH2936" t="str">
        <f>""</f>
        <v/>
      </c>
      <c r="CS2936" t="str">
        <f>""</f>
        <v/>
      </c>
    </row>
    <row r="2937" spans="1:97" x14ac:dyDescent="0.25">
      <c r="A2937" t="s">
        <v>1109</v>
      </c>
      <c r="B2937" t="s">
        <v>4169</v>
      </c>
      <c r="C2937" t="s">
        <v>179</v>
      </c>
      <c r="D2937" t="s">
        <v>4169</v>
      </c>
      <c r="E2937" t="s">
        <v>19305</v>
      </c>
      <c r="F2937" t="s">
        <v>108</v>
      </c>
      <c r="H2937" t="s">
        <v>19306</v>
      </c>
      <c r="I2937" t="s">
        <v>374</v>
      </c>
      <c r="J2937" t="s">
        <v>111</v>
      </c>
      <c r="K2937" t="str">
        <f>"85087"</f>
        <v>85087</v>
      </c>
      <c r="L2937" t="s">
        <v>774</v>
      </c>
      <c r="M2937" t="s">
        <v>19306</v>
      </c>
      <c r="N2937" t="s">
        <v>374</v>
      </c>
      <c r="O2937" t="s">
        <v>111</v>
      </c>
      <c r="P2937" t="str">
        <f>"85087-8504"</f>
        <v>85087-8504</v>
      </c>
      <c r="Q2937" t="s">
        <v>113</v>
      </c>
      <c r="R2937" t="str">
        <f>"202-08-006-K"</f>
        <v>202-08-006-K</v>
      </c>
      <c r="U2937">
        <v>1830</v>
      </c>
      <c r="V2937">
        <v>0</v>
      </c>
      <c r="W2937">
        <v>3</v>
      </c>
      <c r="X2937">
        <v>2006</v>
      </c>
      <c r="Z2937">
        <v>1</v>
      </c>
      <c r="AB2937">
        <v>0</v>
      </c>
      <c r="AC2937" t="s">
        <v>115</v>
      </c>
      <c r="AD2937">
        <v>5</v>
      </c>
      <c r="AE2937" t="s">
        <v>115</v>
      </c>
      <c r="AF2937">
        <v>0</v>
      </c>
      <c r="AG2937">
        <v>0</v>
      </c>
      <c r="AH2937" t="s">
        <v>116</v>
      </c>
      <c r="AI2937" s="1">
        <v>59648</v>
      </c>
      <c r="AJ2937" s="2">
        <v>0.15</v>
      </c>
      <c r="AK2937" s="1">
        <v>393911</v>
      </c>
      <c r="AL2937" t="s">
        <v>117</v>
      </c>
      <c r="AM2937" t="s">
        <v>376</v>
      </c>
      <c r="AN2937">
        <v>54619</v>
      </c>
      <c r="AO2937">
        <v>1.25</v>
      </c>
      <c r="AP2937">
        <v>1</v>
      </c>
      <c r="AR2937">
        <v>1</v>
      </c>
      <c r="AS2937" s="1">
        <v>27720</v>
      </c>
      <c r="AT2937" s="1">
        <v>5540</v>
      </c>
      <c r="AU2937" s="1">
        <v>22180</v>
      </c>
      <c r="AV2937">
        <v>80.010000000000005</v>
      </c>
      <c r="AX2937" s="1">
        <v>2426.98</v>
      </c>
      <c r="AY2937" t="s">
        <v>377</v>
      </c>
      <c r="AZ2937" t="s">
        <v>377</v>
      </c>
      <c r="BA2937" t="s">
        <v>378</v>
      </c>
      <c r="BE2937" s="3">
        <v>41796</v>
      </c>
      <c r="BF2937" s="1">
        <v>322500</v>
      </c>
      <c r="BG2937" t="s">
        <v>19307</v>
      </c>
      <c r="BH2937" s="1">
        <v>176.23</v>
      </c>
      <c r="BI2937" s="1">
        <v>334263</v>
      </c>
      <c r="BJ2937" s="3">
        <v>42135</v>
      </c>
      <c r="BK2937" t="s">
        <v>123</v>
      </c>
      <c r="BL2937" t="str">
        <f>"2015.327651"</f>
        <v>2015.327651</v>
      </c>
      <c r="BM2937" t="s">
        <v>750</v>
      </c>
      <c r="BO2937" t="s">
        <v>19308</v>
      </c>
      <c r="BS2937">
        <v>30</v>
      </c>
      <c r="BW2937" t="str">
        <f>""</f>
        <v/>
      </c>
      <c r="CH2937" t="str">
        <f>""</f>
        <v/>
      </c>
      <c r="CS2937" t="str">
        <f>""</f>
        <v/>
      </c>
    </row>
    <row r="2938" spans="1:97" x14ac:dyDescent="0.25">
      <c r="A2938" t="s">
        <v>1176</v>
      </c>
      <c r="B2938" t="s">
        <v>19309</v>
      </c>
      <c r="C2938" t="s">
        <v>2719</v>
      </c>
      <c r="D2938" t="s">
        <v>19309</v>
      </c>
      <c r="E2938" t="s">
        <v>19310</v>
      </c>
      <c r="F2938" t="s">
        <v>108</v>
      </c>
      <c r="H2938" t="s">
        <v>19311</v>
      </c>
      <c r="I2938" t="s">
        <v>632</v>
      </c>
      <c r="J2938" t="s">
        <v>111</v>
      </c>
      <c r="K2938" t="str">
        <f>"85387"</f>
        <v>85387</v>
      </c>
      <c r="L2938" t="s">
        <v>3758</v>
      </c>
      <c r="M2938" t="s">
        <v>19311</v>
      </c>
      <c r="N2938" t="s">
        <v>632</v>
      </c>
      <c r="O2938" t="s">
        <v>111</v>
      </c>
      <c r="P2938" t="str">
        <f>"85387-6745"</f>
        <v>85387-6745</v>
      </c>
      <c r="Q2938" t="s">
        <v>113</v>
      </c>
      <c r="R2938" t="str">
        <f>"503-52-083-H"</f>
        <v>503-52-083-H</v>
      </c>
      <c r="U2938">
        <v>2841</v>
      </c>
      <c r="V2938">
        <v>0</v>
      </c>
      <c r="W2938">
        <v>4</v>
      </c>
      <c r="X2938">
        <v>2007</v>
      </c>
      <c r="Z2938">
        <v>2</v>
      </c>
      <c r="AB2938">
        <v>0</v>
      </c>
      <c r="AC2938" t="s">
        <v>115</v>
      </c>
      <c r="AD2938">
        <v>6</v>
      </c>
      <c r="AE2938" t="s">
        <v>115</v>
      </c>
      <c r="AF2938">
        <v>0</v>
      </c>
      <c r="AG2938">
        <v>0</v>
      </c>
      <c r="AH2938" t="s">
        <v>116</v>
      </c>
      <c r="AI2938" s="1">
        <v>76447</v>
      </c>
      <c r="AJ2938" s="2">
        <v>0.17</v>
      </c>
      <c r="AK2938" s="1">
        <v>453492</v>
      </c>
      <c r="AL2938" t="s">
        <v>117</v>
      </c>
      <c r="AM2938" t="s">
        <v>376</v>
      </c>
      <c r="AN2938">
        <v>44559</v>
      </c>
      <c r="AO2938">
        <v>1.02</v>
      </c>
      <c r="AR2938">
        <v>1</v>
      </c>
      <c r="AS2938" s="1">
        <v>34420</v>
      </c>
      <c r="AT2938" s="1">
        <v>6880</v>
      </c>
      <c r="AU2938" s="1">
        <v>27540</v>
      </c>
      <c r="AV2938">
        <v>80.010000000000005</v>
      </c>
      <c r="AX2938" s="1">
        <v>1672.74</v>
      </c>
      <c r="AY2938" t="s">
        <v>5499</v>
      </c>
      <c r="AZ2938" t="s">
        <v>5499</v>
      </c>
      <c r="BE2938" s="3">
        <v>42384</v>
      </c>
      <c r="BF2938" s="1">
        <v>370000</v>
      </c>
      <c r="BG2938" t="s">
        <v>19312</v>
      </c>
      <c r="BH2938" s="1">
        <v>130.24</v>
      </c>
      <c r="BI2938" s="1">
        <v>377045</v>
      </c>
      <c r="BJ2938" s="3">
        <v>42384</v>
      </c>
      <c r="BK2938" t="s">
        <v>123</v>
      </c>
      <c r="BL2938" t="str">
        <f>"2016.29915"</f>
        <v>2016.29915</v>
      </c>
      <c r="BM2938" t="s">
        <v>724</v>
      </c>
      <c r="BO2938" t="s">
        <v>19313</v>
      </c>
      <c r="BS2938">
        <v>30</v>
      </c>
      <c r="BW2938" t="str">
        <f>""</f>
        <v/>
      </c>
      <c r="CH2938" t="str">
        <f>""</f>
        <v/>
      </c>
      <c r="CS2938" t="str">
        <f>""</f>
        <v/>
      </c>
    </row>
    <row r="2939" spans="1:97" x14ac:dyDescent="0.25">
      <c r="A2939" t="s">
        <v>494</v>
      </c>
      <c r="B2939" t="s">
        <v>6876</v>
      </c>
      <c r="C2939" t="s">
        <v>703</v>
      </c>
      <c r="D2939" t="s">
        <v>6876</v>
      </c>
      <c r="E2939" t="s">
        <v>19314</v>
      </c>
      <c r="F2939" t="s">
        <v>108</v>
      </c>
      <c r="H2939" t="s">
        <v>19315</v>
      </c>
      <c r="I2939" t="s">
        <v>1936</v>
      </c>
      <c r="J2939" t="s">
        <v>111</v>
      </c>
      <c r="K2939" t="str">
        <f>"85258"</f>
        <v>85258</v>
      </c>
      <c r="L2939" t="s">
        <v>2547</v>
      </c>
      <c r="M2939" t="s">
        <v>19315</v>
      </c>
      <c r="N2939" t="s">
        <v>1936</v>
      </c>
      <c r="O2939" t="s">
        <v>111</v>
      </c>
      <c r="P2939" t="str">
        <f>"85258-2055"</f>
        <v>85258-2055</v>
      </c>
      <c r="Q2939" t="s">
        <v>113</v>
      </c>
      <c r="R2939" t="str">
        <f>"174-28-123"</f>
        <v>174-28-123</v>
      </c>
      <c r="S2939" t="s">
        <v>19316</v>
      </c>
      <c r="T2939" t="s">
        <v>19317</v>
      </c>
      <c r="U2939">
        <v>2527</v>
      </c>
      <c r="V2939">
        <v>0</v>
      </c>
      <c r="W2939">
        <v>5</v>
      </c>
      <c r="X2939">
        <v>1994</v>
      </c>
      <c r="Z2939">
        <v>1</v>
      </c>
      <c r="AA2939" t="s">
        <v>26</v>
      </c>
      <c r="AB2939">
        <v>0</v>
      </c>
      <c r="AC2939" t="s">
        <v>115</v>
      </c>
      <c r="AD2939">
        <v>2</v>
      </c>
      <c r="AE2939" t="s">
        <v>115</v>
      </c>
      <c r="AF2939">
        <v>0</v>
      </c>
      <c r="AG2939">
        <v>0</v>
      </c>
      <c r="AH2939" t="s">
        <v>116</v>
      </c>
      <c r="AI2939" s="1">
        <v>194480</v>
      </c>
      <c r="AJ2939" s="2">
        <v>0.24</v>
      </c>
      <c r="AK2939" s="1">
        <v>823780</v>
      </c>
      <c r="AL2939" t="s">
        <v>117</v>
      </c>
      <c r="AM2939" t="s">
        <v>5516</v>
      </c>
      <c r="AN2939">
        <v>7209</v>
      </c>
      <c r="AO2939">
        <v>0.16</v>
      </c>
      <c r="AP2939">
        <v>1</v>
      </c>
      <c r="AR2939">
        <v>1</v>
      </c>
      <c r="AS2939" s="1">
        <v>88550</v>
      </c>
      <c r="AT2939" s="1">
        <v>17710</v>
      </c>
      <c r="AU2939" s="1">
        <v>70840</v>
      </c>
      <c r="AV2939">
        <v>80</v>
      </c>
      <c r="AX2939" s="1">
        <v>6675.46</v>
      </c>
      <c r="AY2939" t="s">
        <v>14284</v>
      </c>
      <c r="AZ2939" t="s">
        <v>8949</v>
      </c>
      <c r="BA2939" t="s">
        <v>7868</v>
      </c>
      <c r="BE2939" s="3">
        <v>42163</v>
      </c>
      <c r="BF2939" s="1">
        <v>775000</v>
      </c>
      <c r="BG2939" t="s">
        <v>19318</v>
      </c>
      <c r="BH2939" s="1">
        <v>306.69</v>
      </c>
      <c r="BI2939" s="1">
        <v>629300</v>
      </c>
      <c r="BJ2939" s="3">
        <v>42163</v>
      </c>
      <c r="BK2939" t="s">
        <v>123</v>
      </c>
      <c r="BL2939" t="str">
        <f>"2015.407076"</f>
        <v>2015.407076</v>
      </c>
      <c r="BM2939" t="s">
        <v>255</v>
      </c>
      <c r="BO2939" t="s">
        <v>19319</v>
      </c>
      <c r="BS2939">
        <v>30</v>
      </c>
      <c r="BW2939" t="str">
        <f>""</f>
        <v/>
      </c>
      <c r="CH2939" t="str">
        <f>""</f>
        <v/>
      </c>
      <c r="CS2939" t="str">
        <f>""</f>
        <v/>
      </c>
    </row>
    <row r="2940" spans="1:97" x14ac:dyDescent="0.25">
      <c r="A2940" t="s">
        <v>140</v>
      </c>
      <c r="B2940" t="s">
        <v>1552</v>
      </c>
      <c r="C2940" t="s">
        <v>489</v>
      </c>
      <c r="D2940" t="s">
        <v>4196</v>
      </c>
      <c r="E2940" t="s">
        <v>19320</v>
      </c>
      <c r="F2940" t="s">
        <v>282</v>
      </c>
      <c r="H2940" t="s">
        <v>19321</v>
      </c>
      <c r="I2940" t="s">
        <v>6646</v>
      </c>
      <c r="J2940" t="s">
        <v>111</v>
      </c>
      <c r="K2940" t="str">
        <f>"85086"</f>
        <v>85086</v>
      </c>
      <c r="L2940" t="s">
        <v>284</v>
      </c>
      <c r="M2940" t="s">
        <v>19322</v>
      </c>
      <c r="N2940" t="s">
        <v>6646</v>
      </c>
      <c r="O2940" t="s">
        <v>111</v>
      </c>
      <c r="P2940" t="str">
        <f>"85086-3026"</f>
        <v>85086-3026</v>
      </c>
      <c r="Q2940" t="s">
        <v>113</v>
      </c>
      <c r="R2940" t="str">
        <f>"203-02-668"</f>
        <v>203-02-668</v>
      </c>
      <c r="S2940" t="s">
        <v>19323</v>
      </c>
      <c r="T2940" t="s">
        <v>6514</v>
      </c>
      <c r="U2940">
        <v>2986</v>
      </c>
      <c r="V2940">
        <v>0</v>
      </c>
      <c r="W2940">
        <v>4</v>
      </c>
      <c r="X2940">
        <v>1999</v>
      </c>
      <c r="Z2940">
        <v>1</v>
      </c>
      <c r="AB2940">
        <v>0</v>
      </c>
      <c r="AC2940" t="s">
        <v>115</v>
      </c>
      <c r="AD2940">
        <v>3</v>
      </c>
      <c r="AE2940" t="s">
        <v>115</v>
      </c>
      <c r="AF2940">
        <v>0</v>
      </c>
      <c r="AG2940">
        <v>0</v>
      </c>
      <c r="AH2940" t="s">
        <v>116</v>
      </c>
      <c r="AI2940" s="1">
        <v>-12467</v>
      </c>
      <c r="AJ2940" s="2">
        <v>-0.03</v>
      </c>
      <c r="AK2940" s="1">
        <v>457159</v>
      </c>
      <c r="AL2940" t="s">
        <v>117</v>
      </c>
      <c r="AM2940" t="s">
        <v>1302</v>
      </c>
      <c r="AN2940">
        <v>11032</v>
      </c>
      <c r="AO2940">
        <v>0.25</v>
      </c>
      <c r="AP2940">
        <v>1</v>
      </c>
      <c r="AR2940">
        <v>1</v>
      </c>
      <c r="AS2940" s="1">
        <v>41420</v>
      </c>
      <c r="AT2940" s="1">
        <v>8280</v>
      </c>
      <c r="AU2940" s="1">
        <v>33140</v>
      </c>
      <c r="AV2940">
        <v>80.010000000000005</v>
      </c>
      <c r="AX2940" s="1">
        <v>5196.32</v>
      </c>
      <c r="AY2940" t="s">
        <v>6648</v>
      </c>
      <c r="AZ2940" t="s">
        <v>6648</v>
      </c>
      <c r="BA2940" t="s">
        <v>378</v>
      </c>
      <c r="BB2940" s="3">
        <v>43025</v>
      </c>
      <c r="BD2940" t="s">
        <v>480</v>
      </c>
      <c r="BE2940" s="3">
        <v>42139</v>
      </c>
      <c r="BF2940" s="1">
        <v>450000</v>
      </c>
      <c r="BG2940" t="s">
        <v>19324</v>
      </c>
      <c r="BH2940" s="1">
        <v>150.69999999999999</v>
      </c>
      <c r="BI2940" s="1">
        <v>469626</v>
      </c>
      <c r="BJ2940" s="3">
        <v>43529</v>
      </c>
      <c r="BK2940" t="s">
        <v>123</v>
      </c>
      <c r="BL2940" t="str">
        <f>"2019.152314"</f>
        <v>2019.152314</v>
      </c>
      <c r="BM2940" t="s">
        <v>3562</v>
      </c>
      <c r="BN2940" t="s">
        <v>3686</v>
      </c>
      <c r="BO2940" t="s">
        <v>19325</v>
      </c>
      <c r="BP2940" t="s">
        <v>19326</v>
      </c>
      <c r="BR2940" t="s">
        <v>139</v>
      </c>
      <c r="BT2940" s="1">
        <v>469626</v>
      </c>
      <c r="BU2940" s="3">
        <v>43529</v>
      </c>
      <c r="BV2940" t="s">
        <v>123</v>
      </c>
      <c r="BW2940" t="str">
        <f>"2019.152314"</f>
        <v>2019.152314</v>
      </c>
      <c r="BX2940" t="s">
        <v>3562</v>
      </c>
      <c r="BY2940" t="s">
        <v>3686</v>
      </c>
      <c r="BZ2940" t="s">
        <v>19325</v>
      </c>
      <c r="CA2940" t="s">
        <v>19326</v>
      </c>
      <c r="CC2940" t="s">
        <v>139</v>
      </c>
      <c r="CH2940" t="str">
        <f>""</f>
        <v/>
      </c>
      <c r="CS2940" t="str">
        <f>""</f>
        <v/>
      </c>
    </row>
    <row r="2941" spans="1:97" x14ac:dyDescent="0.25">
      <c r="A2941" t="s">
        <v>140</v>
      </c>
      <c r="B2941" t="s">
        <v>19327</v>
      </c>
      <c r="E2941" t="s">
        <v>19328</v>
      </c>
      <c r="F2941" t="s">
        <v>108</v>
      </c>
      <c r="H2941" t="s">
        <v>19329</v>
      </c>
      <c r="I2941" t="s">
        <v>3150</v>
      </c>
      <c r="J2941" t="s">
        <v>111</v>
      </c>
      <c r="K2941" t="str">
        <f>"85340"</f>
        <v>85340</v>
      </c>
      <c r="L2941" t="s">
        <v>168</v>
      </c>
      <c r="M2941" t="s">
        <v>19329</v>
      </c>
      <c r="N2941" t="s">
        <v>3150</v>
      </c>
      <c r="O2941" t="s">
        <v>111</v>
      </c>
      <c r="P2941" t="str">
        <f>"85340-5540"</f>
        <v>85340-5540</v>
      </c>
      <c r="Q2941" t="s">
        <v>113</v>
      </c>
      <c r="R2941" t="str">
        <f>"508-07-498"</f>
        <v>508-07-498</v>
      </c>
      <c r="S2941" t="s">
        <v>13648</v>
      </c>
      <c r="U2941">
        <v>2185</v>
      </c>
      <c r="V2941">
        <v>0</v>
      </c>
      <c r="W2941">
        <v>3</v>
      </c>
      <c r="X2941">
        <v>2003</v>
      </c>
      <c r="Z2941">
        <v>1</v>
      </c>
      <c r="AB2941">
        <v>0</v>
      </c>
      <c r="AC2941" t="s">
        <v>115</v>
      </c>
      <c r="AD2941">
        <v>3</v>
      </c>
      <c r="AE2941" t="s">
        <v>115</v>
      </c>
      <c r="AF2941">
        <v>0</v>
      </c>
      <c r="AG2941">
        <v>0</v>
      </c>
      <c r="AH2941" t="s">
        <v>116</v>
      </c>
      <c r="AI2941" s="1">
        <v>10059</v>
      </c>
      <c r="AJ2941" s="2">
        <v>0.03</v>
      </c>
      <c r="AK2941" s="1">
        <v>297559</v>
      </c>
      <c r="AL2941" t="s">
        <v>117</v>
      </c>
      <c r="AM2941" t="s">
        <v>393</v>
      </c>
      <c r="AN2941">
        <v>6918</v>
      </c>
      <c r="AO2941">
        <v>0.16</v>
      </c>
      <c r="AP2941">
        <v>1</v>
      </c>
      <c r="AR2941">
        <v>1</v>
      </c>
      <c r="AS2941" s="1">
        <v>21130</v>
      </c>
      <c r="AT2941" s="1">
        <v>4220</v>
      </c>
      <c r="AU2941" s="1">
        <v>16910</v>
      </c>
      <c r="AV2941">
        <v>80.03</v>
      </c>
      <c r="AX2941" s="1">
        <v>1503.64</v>
      </c>
      <c r="AY2941" t="s">
        <v>6700</v>
      </c>
      <c r="AZ2941" t="s">
        <v>6701</v>
      </c>
      <c r="BA2941" t="s">
        <v>6702</v>
      </c>
      <c r="BE2941" s="3">
        <v>42417</v>
      </c>
      <c r="BF2941" s="1">
        <v>232000</v>
      </c>
      <c r="BG2941" t="s">
        <v>19330</v>
      </c>
      <c r="BH2941" s="1">
        <v>106.18</v>
      </c>
      <c r="BI2941" s="1">
        <v>232000</v>
      </c>
      <c r="BJ2941" s="3">
        <v>42417</v>
      </c>
      <c r="BK2941" t="s">
        <v>123</v>
      </c>
      <c r="BL2941" t="str">
        <f>"2016.100401"</f>
        <v>2016.100401</v>
      </c>
      <c r="BM2941" t="s">
        <v>724</v>
      </c>
      <c r="BN2941" t="s">
        <v>5423</v>
      </c>
      <c r="BO2941" t="s">
        <v>19331</v>
      </c>
      <c r="BS2941">
        <v>30</v>
      </c>
      <c r="BT2941" s="1">
        <v>55500</v>
      </c>
      <c r="BU2941" s="3">
        <v>43578</v>
      </c>
      <c r="BW2941" t="str">
        <f>"2019.284096"</f>
        <v>2019.284096</v>
      </c>
      <c r="BX2941" t="s">
        <v>135</v>
      </c>
      <c r="BY2941" t="s">
        <v>136</v>
      </c>
      <c r="BZ2941" t="s">
        <v>19332</v>
      </c>
      <c r="CC2941" t="s">
        <v>346</v>
      </c>
      <c r="CH2941" t="str">
        <f>""</f>
        <v/>
      </c>
      <c r="CS2941" t="str">
        <f>""</f>
        <v/>
      </c>
    </row>
    <row r="2942" spans="1:97" x14ac:dyDescent="0.25">
      <c r="A2942" t="s">
        <v>325</v>
      </c>
      <c r="B2942" t="s">
        <v>19333</v>
      </c>
      <c r="C2942" t="s">
        <v>2710</v>
      </c>
      <c r="D2942" t="s">
        <v>19333</v>
      </c>
      <c r="E2942" t="s">
        <v>19334</v>
      </c>
      <c r="F2942" t="s">
        <v>108</v>
      </c>
      <c r="H2942" t="s">
        <v>19335</v>
      </c>
      <c r="I2942" t="s">
        <v>3150</v>
      </c>
      <c r="J2942" t="s">
        <v>111</v>
      </c>
      <c r="K2942" t="str">
        <f>"85340"</f>
        <v>85340</v>
      </c>
      <c r="L2942" t="s">
        <v>2197</v>
      </c>
      <c r="M2942" t="s">
        <v>19335</v>
      </c>
      <c r="N2942" t="s">
        <v>3150</v>
      </c>
      <c r="O2942" t="s">
        <v>111</v>
      </c>
      <c r="P2942" t="str">
        <f>"85340-7375"</f>
        <v>85340-7375</v>
      </c>
      <c r="Q2942" t="s">
        <v>113</v>
      </c>
      <c r="R2942" t="str">
        <f>"501-62-220"</f>
        <v>501-62-220</v>
      </c>
      <c r="S2942" t="s">
        <v>11950</v>
      </c>
      <c r="U2942">
        <v>2166</v>
      </c>
      <c r="V2942">
        <v>0</v>
      </c>
      <c r="W2942">
        <v>4</v>
      </c>
      <c r="X2942">
        <v>2002</v>
      </c>
      <c r="Z2942">
        <v>2</v>
      </c>
      <c r="AB2942">
        <v>0</v>
      </c>
      <c r="AC2942" t="s">
        <v>115</v>
      </c>
      <c r="AD2942">
        <v>2</v>
      </c>
      <c r="AE2942" t="s">
        <v>115</v>
      </c>
      <c r="AF2942">
        <v>0</v>
      </c>
      <c r="AG2942">
        <v>0</v>
      </c>
      <c r="AH2942" t="s">
        <v>116</v>
      </c>
      <c r="AI2942" s="1">
        <v>25457</v>
      </c>
      <c r="AJ2942" s="2">
        <v>0.09</v>
      </c>
      <c r="AK2942" s="1">
        <v>271481</v>
      </c>
      <c r="AL2942" t="s">
        <v>117</v>
      </c>
      <c r="AM2942" t="s">
        <v>191</v>
      </c>
      <c r="AN2942">
        <v>6095</v>
      </c>
      <c r="AO2942">
        <v>0.14000000000000001</v>
      </c>
      <c r="AP2942">
        <v>1</v>
      </c>
      <c r="AR2942">
        <v>1</v>
      </c>
      <c r="AS2942" s="1">
        <v>17900</v>
      </c>
      <c r="AT2942" s="1">
        <v>3580</v>
      </c>
      <c r="AU2942" s="1">
        <v>14320</v>
      </c>
      <c r="AV2942">
        <v>80</v>
      </c>
      <c r="AX2942" s="1">
        <v>1789.22</v>
      </c>
      <c r="AY2942" t="s">
        <v>6580</v>
      </c>
      <c r="AZ2942" t="s">
        <v>3153</v>
      </c>
      <c r="BA2942" t="s">
        <v>3154</v>
      </c>
      <c r="BE2942" s="3">
        <v>42156</v>
      </c>
      <c r="BF2942" s="1">
        <v>189500</v>
      </c>
      <c r="BG2942" t="s">
        <v>19336</v>
      </c>
      <c r="BH2942" s="1">
        <v>87.49</v>
      </c>
      <c r="BI2942" s="1">
        <v>246024</v>
      </c>
      <c r="BJ2942" s="3">
        <v>43620</v>
      </c>
      <c r="BK2942" t="s">
        <v>123</v>
      </c>
      <c r="BL2942" t="str">
        <f>"2019.411339"</f>
        <v>2019.411339</v>
      </c>
      <c r="BM2942" t="s">
        <v>533</v>
      </c>
      <c r="BN2942" t="s">
        <v>534</v>
      </c>
      <c r="BO2942" t="s">
        <v>19337</v>
      </c>
      <c r="BP2942" t="s">
        <v>19338</v>
      </c>
      <c r="BR2942" t="s">
        <v>139</v>
      </c>
      <c r="BW2942" t="str">
        <f>""</f>
        <v/>
      </c>
      <c r="CH2942" t="str">
        <f>""</f>
        <v/>
      </c>
      <c r="CS2942" t="str">
        <f>""</f>
        <v/>
      </c>
    </row>
    <row r="2943" spans="1:97" x14ac:dyDescent="0.25">
      <c r="A2943" t="s">
        <v>5224</v>
      </c>
      <c r="B2943" t="s">
        <v>7497</v>
      </c>
      <c r="E2943" t="s">
        <v>19339</v>
      </c>
      <c r="F2943" t="s">
        <v>108</v>
      </c>
      <c r="H2943" t="s">
        <v>19340</v>
      </c>
      <c r="I2943" t="s">
        <v>453</v>
      </c>
      <c r="J2943" t="s">
        <v>111</v>
      </c>
      <c r="K2943" t="str">
        <f>"85381"</f>
        <v>85381</v>
      </c>
      <c r="L2943" t="s">
        <v>2963</v>
      </c>
      <c r="M2943" t="s">
        <v>19340</v>
      </c>
      <c r="N2943" t="s">
        <v>453</v>
      </c>
      <c r="O2943" t="s">
        <v>111</v>
      </c>
      <c r="P2943" t="str">
        <f>"85381-4886"</f>
        <v>85381-4886</v>
      </c>
      <c r="Q2943" t="s">
        <v>113</v>
      </c>
      <c r="R2943" t="str">
        <f>"200-79-536"</f>
        <v>200-79-536</v>
      </c>
      <c r="S2943" t="s">
        <v>5627</v>
      </c>
      <c r="T2943" t="s">
        <v>5628</v>
      </c>
      <c r="U2943">
        <v>1673</v>
      </c>
      <c r="V2943">
        <v>0</v>
      </c>
      <c r="W2943">
        <v>3</v>
      </c>
      <c r="X2943">
        <v>1990</v>
      </c>
      <c r="Z2943">
        <v>1</v>
      </c>
      <c r="AB2943">
        <v>0</v>
      </c>
      <c r="AC2943" t="s">
        <v>115</v>
      </c>
      <c r="AD2943">
        <v>2</v>
      </c>
      <c r="AE2943" t="s">
        <v>115</v>
      </c>
      <c r="AF2943">
        <v>0</v>
      </c>
      <c r="AG2943">
        <v>0</v>
      </c>
      <c r="AH2943" t="s">
        <v>116</v>
      </c>
      <c r="AI2943" s="1">
        <v>21312</v>
      </c>
      <c r="AJ2943" s="2">
        <v>0.08</v>
      </c>
      <c r="AK2943" s="1">
        <v>262312</v>
      </c>
      <c r="AL2943" t="s">
        <v>117</v>
      </c>
      <c r="AM2943" t="s">
        <v>3345</v>
      </c>
      <c r="AN2943">
        <v>6355</v>
      </c>
      <c r="AO2943">
        <v>0.15</v>
      </c>
      <c r="AP2943">
        <v>1</v>
      </c>
      <c r="AR2943">
        <v>1</v>
      </c>
      <c r="AS2943" s="1">
        <v>17970</v>
      </c>
      <c r="AT2943" s="1">
        <v>3590</v>
      </c>
      <c r="AU2943" s="1">
        <v>14380</v>
      </c>
      <c r="AV2943">
        <v>80.02</v>
      </c>
      <c r="AX2943" s="1">
        <v>1556.86</v>
      </c>
      <c r="AY2943" t="s">
        <v>5629</v>
      </c>
      <c r="AZ2943" t="s">
        <v>5629</v>
      </c>
      <c r="BA2943" t="s">
        <v>4007</v>
      </c>
      <c r="BE2943" s="3">
        <v>42440</v>
      </c>
      <c r="BF2943" s="1">
        <v>215000</v>
      </c>
      <c r="BG2943" t="s">
        <v>19341</v>
      </c>
      <c r="BH2943" s="1">
        <v>128.51</v>
      </c>
      <c r="BI2943" s="1">
        <v>241000</v>
      </c>
      <c r="BJ2943" s="3">
        <v>43609</v>
      </c>
      <c r="BK2943" t="s">
        <v>123</v>
      </c>
      <c r="BL2943" t="str">
        <f>"2019.382680"</f>
        <v>2019.382680</v>
      </c>
      <c r="BM2943" t="s">
        <v>9590</v>
      </c>
      <c r="BN2943" t="s">
        <v>9591</v>
      </c>
      <c r="BO2943" t="s">
        <v>19342</v>
      </c>
      <c r="BR2943" t="s">
        <v>139</v>
      </c>
      <c r="BW2943" t="str">
        <f>""</f>
        <v/>
      </c>
      <c r="CH2943" t="str">
        <f>""</f>
        <v/>
      </c>
      <c r="CS2943" t="str">
        <f>""</f>
        <v/>
      </c>
    </row>
    <row r="2944" spans="1:97" x14ac:dyDescent="0.25">
      <c r="A2944" t="s">
        <v>2433</v>
      </c>
      <c r="B2944" t="s">
        <v>3265</v>
      </c>
      <c r="C2944" t="s">
        <v>1297</v>
      </c>
      <c r="D2944" t="s">
        <v>3265</v>
      </c>
      <c r="E2944" t="s">
        <v>19343</v>
      </c>
      <c r="F2944" t="s">
        <v>108</v>
      </c>
      <c r="H2944" t="s">
        <v>19344</v>
      </c>
      <c r="I2944" t="s">
        <v>632</v>
      </c>
      <c r="J2944" t="s">
        <v>111</v>
      </c>
      <c r="K2944" t="str">
        <f>"85388"</f>
        <v>85388</v>
      </c>
      <c r="L2944" t="s">
        <v>5165</v>
      </c>
      <c r="M2944" t="s">
        <v>19344</v>
      </c>
      <c r="N2944" t="s">
        <v>632</v>
      </c>
      <c r="O2944" t="s">
        <v>111</v>
      </c>
      <c r="P2944" t="str">
        <f>"85388-5056"</f>
        <v>85388-5056</v>
      </c>
      <c r="Q2944" t="s">
        <v>113</v>
      </c>
      <c r="R2944" t="str">
        <f>"502-05-186"</f>
        <v>502-05-186</v>
      </c>
      <c r="S2944" t="s">
        <v>5166</v>
      </c>
      <c r="T2944" t="s">
        <v>5167</v>
      </c>
      <c r="U2944">
        <v>2761</v>
      </c>
      <c r="V2944">
        <v>0</v>
      </c>
      <c r="W2944">
        <v>4</v>
      </c>
      <c r="X2944">
        <v>2006</v>
      </c>
      <c r="Z2944">
        <v>2</v>
      </c>
      <c r="AA2944" t="s">
        <v>26</v>
      </c>
      <c r="AB2944">
        <v>0</v>
      </c>
      <c r="AC2944" t="s">
        <v>115</v>
      </c>
      <c r="AD2944">
        <v>2</v>
      </c>
      <c r="AE2944" t="s">
        <v>115</v>
      </c>
      <c r="AF2944">
        <v>0</v>
      </c>
      <c r="AG2944">
        <v>0</v>
      </c>
      <c r="AH2944" t="s">
        <v>116</v>
      </c>
      <c r="AI2944" s="1">
        <v>69899</v>
      </c>
      <c r="AJ2944" s="2">
        <v>0.21</v>
      </c>
      <c r="AK2944" s="1">
        <v>331867</v>
      </c>
      <c r="AL2944" t="s">
        <v>117</v>
      </c>
      <c r="AM2944" t="s">
        <v>118</v>
      </c>
      <c r="AN2944">
        <v>9118</v>
      </c>
      <c r="AO2944">
        <v>0.21</v>
      </c>
      <c r="AP2944">
        <v>1</v>
      </c>
      <c r="AR2944">
        <v>1</v>
      </c>
      <c r="AS2944" s="1">
        <v>23900</v>
      </c>
      <c r="AT2944" s="1">
        <v>4780</v>
      </c>
      <c r="AU2944" s="1">
        <v>19120</v>
      </c>
      <c r="AV2944">
        <v>80</v>
      </c>
      <c r="AX2944" s="1">
        <v>2063.6</v>
      </c>
      <c r="AY2944" t="s">
        <v>5168</v>
      </c>
      <c r="AZ2944" t="s">
        <v>5168</v>
      </c>
      <c r="BA2944" t="s">
        <v>5061</v>
      </c>
      <c r="BE2944" s="3">
        <v>42522</v>
      </c>
      <c r="BF2944" s="1">
        <v>267000</v>
      </c>
      <c r="BG2944" t="s">
        <v>19345</v>
      </c>
      <c r="BH2944" s="1">
        <v>96.7</v>
      </c>
      <c r="BI2944" s="1">
        <v>261968</v>
      </c>
      <c r="BJ2944" s="3">
        <v>42824</v>
      </c>
      <c r="BK2944" t="s">
        <v>123</v>
      </c>
      <c r="BL2944" t="str">
        <f>"2017.222891"</f>
        <v>2017.222891</v>
      </c>
      <c r="BM2944" t="s">
        <v>19346</v>
      </c>
      <c r="BO2944" t="s">
        <v>19347</v>
      </c>
      <c r="BS2944">
        <v>30</v>
      </c>
      <c r="BW2944" t="str">
        <f>""</f>
        <v/>
      </c>
      <c r="CH2944" t="str">
        <f>""</f>
        <v/>
      </c>
      <c r="CS2944" t="str">
        <f>""</f>
        <v/>
      </c>
    </row>
    <row r="2945" spans="1:97" x14ac:dyDescent="0.25">
      <c r="A2945" t="s">
        <v>211</v>
      </c>
      <c r="B2945" t="s">
        <v>8231</v>
      </c>
      <c r="C2945" t="s">
        <v>19348</v>
      </c>
      <c r="D2945" t="s">
        <v>8231</v>
      </c>
      <c r="E2945" t="s">
        <v>19349</v>
      </c>
      <c r="F2945" t="s">
        <v>108</v>
      </c>
      <c r="H2945" t="s">
        <v>19350</v>
      </c>
      <c r="I2945" t="s">
        <v>632</v>
      </c>
      <c r="J2945" t="s">
        <v>111</v>
      </c>
      <c r="K2945" t="str">
        <f>"85379"</f>
        <v>85379</v>
      </c>
      <c r="L2945" t="s">
        <v>145</v>
      </c>
      <c r="M2945" t="s">
        <v>19350</v>
      </c>
      <c r="N2945" t="s">
        <v>632</v>
      </c>
      <c r="O2945" t="s">
        <v>111</v>
      </c>
      <c r="P2945" t="str">
        <f>"85379-5743"</f>
        <v>85379-5743</v>
      </c>
      <c r="Q2945" t="s">
        <v>113</v>
      </c>
      <c r="R2945" t="str">
        <f>"509-03-458"</f>
        <v>509-03-458</v>
      </c>
      <c r="S2945" t="s">
        <v>19351</v>
      </c>
      <c r="U2945">
        <v>3122</v>
      </c>
      <c r="V2945">
        <v>0</v>
      </c>
      <c r="W2945">
        <v>4</v>
      </c>
      <c r="X2945">
        <v>2004</v>
      </c>
      <c r="Z2945">
        <v>2</v>
      </c>
      <c r="AA2945" t="s">
        <v>26</v>
      </c>
      <c r="AB2945">
        <v>0</v>
      </c>
      <c r="AC2945" t="s">
        <v>115</v>
      </c>
      <c r="AD2945">
        <v>3</v>
      </c>
      <c r="AE2945" t="s">
        <v>115</v>
      </c>
      <c r="AF2945">
        <v>0</v>
      </c>
      <c r="AG2945">
        <v>0</v>
      </c>
      <c r="AH2945" t="s">
        <v>116</v>
      </c>
      <c r="AI2945" s="1">
        <v>11147</v>
      </c>
      <c r="AJ2945" s="2">
        <v>0.03</v>
      </c>
      <c r="AK2945" s="1">
        <v>357202</v>
      </c>
      <c r="AL2945" t="s">
        <v>117</v>
      </c>
      <c r="AM2945" t="s">
        <v>118</v>
      </c>
      <c r="AN2945">
        <v>7381</v>
      </c>
      <c r="AO2945">
        <v>0.17</v>
      </c>
      <c r="AR2945">
        <v>1</v>
      </c>
      <c r="AS2945" s="1">
        <v>25900</v>
      </c>
      <c r="AT2945" s="1">
        <v>5180</v>
      </c>
      <c r="AU2945" s="1">
        <v>20720</v>
      </c>
      <c r="AV2945">
        <v>80</v>
      </c>
      <c r="AX2945" s="1">
        <v>1971.96</v>
      </c>
      <c r="AY2945" t="s">
        <v>5818</v>
      </c>
      <c r="AZ2945" t="s">
        <v>5818</v>
      </c>
      <c r="BA2945" t="s">
        <v>321</v>
      </c>
      <c r="BB2945" s="3">
        <v>43032</v>
      </c>
      <c r="BD2945" t="s">
        <v>157</v>
      </c>
      <c r="BE2945" s="3">
        <v>42144</v>
      </c>
      <c r="BF2945" s="1">
        <v>275000</v>
      </c>
      <c r="BG2945" t="s">
        <v>19352</v>
      </c>
      <c r="BH2945" s="1">
        <v>88.08</v>
      </c>
      <c r="BI2945" s="1">
        <v>346055</v>
      </c>
      <c r="BJ2945" s="3">
        <v>43032</v>
      </c>
      <c r="BK2945" t="s">
        <v>123</v>
      </c>
      <c r="BL2945" t="str">
        <f>"2017.786996"</f>
        <v>2017.786996</v>
      </c>
      <c r="BM2945" t="s">
        <v>19353</v>
      </c>
      <c r="BO2945" t="s">
        <v>19354</v>
      </c>
      <c r="BS2945">
        <v>30</v>
      </c>
      <c r="BW2945" t="str">
        <f>""</f>
        <v/>
      </c>
      <c r="CH2945" t="str">
        <f>""</f>
        <v/>
      </c>
      <c r="CS2945" t="str">
        <f>""</f>
        <v/>
      </c>
    </row>
    <row r="2946" spans="1:97" x14ac:dyDescent="0.25">
      <c r="A2946" t="s">
        <v>1109</v>
      </c>
      <c r="B2946" t="s">
        <v>19355</v>
      </c>
      <c r="C2946" t="s">
        <v>1620</v>
      </c>
      <c r="D2946" t="s">
        <v>19355</v>
      </c>
      <c r="E2946" t="s">
        <v>19356</v>
      </c>
      <c r="F2946" t="s">
        <v>108</v>
      </c>
      <c r="H2946" t="s">
        <v>19357</v>
      </c>
      <c r="I2946" t="s">
        <v>632</v>
      </c>
      <c r="J2946" t="s">
        <v>111</v>
      </c>
      <c r="K2946" t="str">
        <f>"85374"</f>
        <v>85374</v>
      </c>
      <c r="L2946" t="s">
        <v>7746</v>
      </c>
      <c r="M2946" t="s">
        <v>19357</v>
      </c>
      <c r="N2946" t="s">
        <v>632</v>
      </c>
      <c r="O2946" t="s">
        <v>111</v>
      </c>
      <c r="P2946" t="str">
        <f>"85374-6448"</f>
        <v>85374-6448</v>
      </c>
      <c r="Q2946" t="s">
        <v>113</v>
      </c>
      <c r="R2946" t="str">
        <f>"232-38-276"</f>
        <v>232-38-276</v>
      </c>
      <c r="S2946" t="s">
        <v>10492</v>
      </c>
      <c r="T2946" t="s">
        <v>10492</v>
      </c>
      <c r="U2946">
        <v>1627</v>
      </c>
      <c r="V2946">
        <v>0</v>
      </c>
      <c r="W2946">
        <v>3</v>
      </c>
      <c r="X2946">
        <v>1999</v>
      </c>
      <c r="Z2946">
        <v>1</v>
      </c>
      <c r="AB2946">
        <v>0</v>
      </c>
      <c r="AC2946" t="s">
        <v>115</v>
      </c>
      <c r="AD2946">
        <v>2</v>
      </c>
      <c r="AE2946" t="s">
        <v>115</v>
      </c>
      <c r="AF2946">
        <v>0</v>
      </c>
      <c r="AG2946">
        <v>0</v>
      </c>
      <c r="AH2946" t="s">
        <v>116</v>
      </c>
      <c r="AI2946" s="1">
        <v>61551</v>
      </c>
      <c r="AJ2946" s="2">
        <v>0.22</v>
      </c>
      <c r="AK2946" s="1">
        <v>282051</v>
      </c>
      <c r="AL2946" t="s">
        <v>117</v>
      </c>
      <c r="AM2946" t="s">
        <v>118</v>
      </c>
      <c r="AN2946">
        <v>7150</v>
      </c>
      <c r="AO2946">
        <v>0.16</v>
      </c>
      <c r="AP2946">
        <v>1</v>
      </c>
      <c r="AR2946">
        <v>1</v>
      </c>
      <c r="AS2946" s="1">
        <v>18770</v>
      </c>
      <c r="AT2946" s="1">
        <v>3750</v>
      </c>
      <c r="AU2946" s="1">
        <v>15020</v>
      </c>
      <c r="AV2946">
        <v>80.02</v>
      </c>
      <c r="AX2946" s="1">
        <v>1901.44</v>
      </c>
      <c r="AY2946" t="s">
        <v>5108</v>
      </c>
      <c r="AZ2946" t="s">
        <v>5108</v>
      </c>
      <c r="BA2946" t="s">
        <v>5109</v>
      </c>
      <c r="BE2946" s="3">
        <v>42514</v>
      </c>
      <c r="BF2946" s="1">
        <v>220500</v>
      </c>
      <c r="BG2946" t="s">
        <v>19358</v>
      </c>
      <c r="BH2946" s="1">
        <v>135.53</v>
      </c>
      <c r="BI2946" s="1">
        <v>220500</v>
      </c>
      <c r="BJ2946" s="3">
        <v>42514</v>
      </c>
      <c r="BK2946" t="s">
        <v>123</v>
      </c>
      <c r="BL2946" t="str">
        <f>"2016.355620"</f>
        <v>2016.355620</v>
      </c>
      <c r="BM2946" t="s">
        <v>8868</v>
      </c>
      <c r="BO2946" t="s">
        <v>19359</v>
      </c>
      <c r="BS2946">
        <v>30</v>
      </c>
      <c r="BW2946" t="str">
        <f>""</f>
        <v/>
      </c>
      <c r="CH2946" t="str">
        <f>""</f>
        <v/>
      </c>
      <c r="CS2946" t="str">
        <f>""</f>
        <v/>
      </c>
    </row>
    <row r="2947" spans="1:97" x14ac:dyDescent="0.25">
      <c r="B2947" t="s">
        <v>19360</v>
      </c>
      <c r="E2947" t="s">
        <v>19361</v>
      </c>
      <c r="F2947" t="s">
        <v>282</v>
      </c>
      <c r="H2947" t="s">
        <v>19362</v>
      </c>
      <c r="I2947" t="s">
        <v>5523</v>
      </c>
      <c r="J2947" t="s">
        <v>111</v>
      </c>
      <c r="K2947" t="str">
        <f>"85351"</f>
        <v>85351</v>
      </c>
      <c r="L2947" t="s">
        <v>5209</v>
      </c>
      <c r="M2947" t="s">
        <v>19363</v>
      </c>
      <c r="N2947" t="s">
        <v>5523</v>
      </c>
      <c r="O2947" t="s">
        <v>111</v>
      </c>
      <c r="P2947" t="str">
        <f>"85372-2421"</f>
        <v>85372-2421</v>
      </c>
      <c r="Q2947" t="s">
        <v>113</v>
      </c>
      <c r="R2947" t="str">
        <f>"200-94-252"</f>
        <v>200-94-252</v>
      </c>
      <c r="S2947" t="s">
        <v>19364</v>
      </c>
      <c r="U2947">
        <v>1832</v>
      </c>
      <c r="V2947">
        <v>0</v>
      </c>
      <c r="W2947">
        <v>2</v>
      </c>
      <c r="X2947">
        <v>1972</v>
      </c>
      <c r="Z2947">
        <v>1</v>
      </c>
      <c r="AB2947">
        <v>0</v>
      </c>
      <c r="AC2947" t="s">
        <v>115</v>
      </c>
      <c r="AD2947">
        <v>2</v>
      </c>
      <c r="AE2947" t="s">
        <v>115</v>
      </c>
      <c r="AF2947">
        <v>0</v>
      </c>
      <c r="AG2947">
        <v>0</v>
      </c>
      <c r="AH2947" t="s">
        <v>116</v>
      </c>
      <c r="AI2947" s="1">
        <v>21385</v>
      </c>
      <c r="AJ2947" s="2">
        <v>0.08</v>
      </c>
      <c r="AK2947" s="1">
        <v>251685</v>
      </c>
      <c r="AL2947" t="s">
        <v>117</v>
      </c>
      <c r="AM2947" t="s">
        <v>191</v>
      </c>
      <c r="AN2947">
        <v>14221</v>
      </c>
      <c r="AO2947">
        <v>0.33</v>
      </c>
      <c r="AP2947">
        <v>1</v>
      </c>
      <c r="AR2947">
        <v>1</v>
      </c>
      <c r="AS2947" s="1">
        <v>16400</v>
      </c>
      <c r="AT2947" s="1">
        <v>3280</v>
      </c>
      <c r="AU2947" s="1">
        <v>13120</v>
      </c>
      <c r="AV2947">
        <v>80</v>
      </c>
      <c r="AX2947" s="1">
        <v>1158.1199999999999</v>
      </c>
      <c r="AY2947" t="s">
        <v>5573</v>
      </c>
      <c r="AZ2947" t="s">
        <v>5573</v>
      </c>
      <c r="BA2947" t="s">
        <v>3360</v>
      </c>
      <c r="BB2947" s="3">
        <v>43318</v>
      </c>
      <c r="BC2947" s="1">
        <v>0</v>
      </c>
      <c r="BD2947" t="s">
        <v>247</v>
      </c>
      <c r="BE2947" s="3">
        <v>41977</v>
      </c>
      <c r="BF2947" s="1">
        <v>162000</v>
      </c>
      <c r="BG2947" t="s">
        <v>19365</v>
      </c>
      <c r="BH2947" s="1">
        <v>88.43</v>
      </c>
      <c r="BI2947" s="1">
        <v>230300</v>
      </c>
      <c r="BJ2947" s="3">
        <v>42425</v>
      </c>
      <c r="BK2947" t="s">
        <v>123</v>
      </c>
      <c r="BL2947" t="str">
        <f>"2016.117599"</f>
        <v>2016.117599</v>
      </c>
      <c r="BM2947" t="s">
        <v>361</v>
      </c>
      <c r="BN2947" t="s">
        <v>884</v>
      </c>
      <c r="BO2947" t="s">
        <v>19366</v>
      </c>
      <c r="BS2947">
        <v>30</v>
      </c>
      <c r="BW2947" t="str">
        <f>""</f>
        <v/>
      </c>
      <c r="CH2947" t="str">
        <f>""</f>
        <v/>
      </c>
      <c r="CS2947" t="str">
        <f>""</f>
        <v/>
      </c>
    </row>
    <row r="2948" spans="1:97" x14ac:dyDescent="0.25">
      <c r="A2948" t="s">
        <v>4660</v>
      </c>
      <c r="B2948" t="s">
        <v>19367</v>
      </c>
      <c r="C2948" t="s">
        <v>976</v>
      </c>
      <c r="D2948" t="s">
        <v>19367</v>
      </c>
      <c r="E2948" t="s">
        <v>19368</v>
      </c>
      <c r="F2948" t="s">
        <v>108</v>
      </c>
      <c r="H2948" t="s">
        <v>19369</v>
      </c>
      <c r="I2948" t="s">
        <v>453</v>
      </c>
      <c r="J2948" t="s">
        <v>111</v>
      </c>
      <c r="K2948" t="str">
        <f>"85383"</f>
        <v>85383</v>
      </c>
      <c r="L2948" t="s">
        <v>3318</v>
      </c>
      <c r="M2948" t="s">
        <v>19369</v>
      </c>
      <c r="N2948" t="s">
        <v>453</v>
      </c>
      <c r="O2948" t="s">
        <v>111</v>
      </c>
      <c r="P2948" t="str">
        <f>"85383-5130"</f>
        <v>85383-5130</v>
      </c>
      <c r="Q2948" t="s">
        <v>113</v>
      </c>
      <c r="R2948" t="str">
        <f>"201-40-187"</f>
        <v>201-40-187</v>
      </c>
      <c r="S2948" t="s">
        <v>8321</v>
      </c>
      <c r="T2948" t="s">
        <v>8322</v>
      </c>
      <c r="U2948">
        <v>2445</v>
      </c>
      <c r="V2948">
        <v>0</v>
      </c>
      <c r="W2948">
        <v>4</v>
      </c>
      <c r="X2948">
        <v>2008</v>
      </c>
      <c r="Z2948">
        <v>1</v>
      </c>
      <c r="AB2948">
        <v>0</v>
      </c>
      <c r="AC2948" t="s">
        <v>115</v>
      </c>
      <c r="AD2948">
        <v>2</v>
      </c>
      <c r="AE2948" t="s">
        <v>115</v>
      </c>
      <c r="AF2948">
        <v>0</v>
      </c>
      <c r="AG2948">
        <v>0</v>
      </c>
      <c r="AH2948" t="s">
        <v>116</v>
      </c>
      <c r="AI2948" s="1">
        <v>58815</v>
      </c>
      <c r="AJ2948" s="2">
        <v>0.17</v>
      </c>
      <c r="AK2948" s="1">
        <v>354539</v>
      </c>
      <c r="AL2948" t="s">
        <v>117</v>
      </c>
      <c r="AM2948" t="s">
        <v>118</v>
      </c>
      <c r="AN2948">
        <v>6670</v>
      </c>
      <c r="AO2948">
        <v>0.15</v>
      </c>
      <c r="AR2948">
        <v>1</v>
      </c>
      <c r="AS2948" s="1">
        <v>25180</v>
      </c>
      <c r="AT2948" s="1">
        <v>5030</v>
      </c>
      <c r="AU2948" s="1">
        <v>20150</v>
      </c>
      <c r="AV2948">
        <v>80.02</v>
      </c>
      <c r="AX2948" s="1">
        <v>2555.08</v>
      </c>
      <c r="AY2948" t="s">
        <v>8323</v>
      </c>
      <c r="AZ2948" t="s">
        <v>8323</v>
      </c>
      <c r="BA2948" t="s">
        <v>1386</v>
      </c>
      <c r="BE2948" s="3">
        <v>42403</v>
      </c>
      <c r="BF2948" s="1">
        <v>289500</v>
      </c>
      <c r="BG2948" t="s">
        <v>5034</v>
      </c>
      <c r="BH2948" s="1">
        <v>118.4</v>
      </c>
      <c r="BI2948" s="1">
        <v>295724</v>
      </c>
      <c r="BJ2948" s="3">
        <v>42403</v>
      </c>
      <c r="BK2948" t="s">
        <v>123</v>
      </c>
      <c r="BL2948" t="str">
        <f>"2016.72832"</f>
        <v>2016.72832</v>
      </c>
      <c r="BM2948" t="s">
        <v>361</v>
      </c>
      <c r="BO2948" t="s">
        <v>19370</v>
      </c>
      <c r="BS2948">
        <v>30</v>
      </c>
      <c r="BW2948" t="str">
        <f>""</f>
        <v/>
      </c>
      <c r="CH2948" t="str">
        <f>""</f>
        <v/>
      </c>
      <c r="CS2948" t="str">
        <f>""</f>
        <v/>
      </c>
    </row>
    <row r="2949" spans="1:97" x14ac:dyDescent="0.25">
      <c r="A2949" t="s">
        <v>1938</v>
      </c>
      <c r="B2949" t="s">
        <v>19371</v>
      </c>
      <c r="C2949" t="s">
        <v>513</v>
      </c>
      <c r="D2949" t="s">
        <v>19371</v>
      </c>
      <c r="E2949" t="s">
        <v>19372</v>
      </c>
      <c r="F2949" t="s">
        <v>108</v>
      </c>
      <c r="H2949" t="s">
        <v>19373</v>
      </c>
      <c r="I2949" t="s">
        <v>3150</v>
      </c>
      <c r="J2949" t="s">
        <v>111</v>
      </c>
      <c r="K2949" t="str">
        <f>"85340"</f>
        <v>85340</v>
      </c>
      <c r="L2949" t="s">
        <v>5074</v>
      </c>
      <c r="M2949" t="s">
        <v>19373</v>
      </c>
      <c r="N2949" t="s">
        <v>3150</v>
      </c>
      <c r="O2949" t="s">
        <v>111</v>
      </c>
      <c r="P2949" t="str">
        <f>"85340-5047"</f>
        <v>85340-5047</v>
      </c>
      <c r="Q2949" t="s">
        <v>113</v>
      </c>
      <c r="R2949" t="str">
        <f>"501-68-164"</f>
        <v>501-68-164</v>
      </c>
      <c r="S2949" t="s">
        <v>19048</v>
      </c>
      <c r="T2949" t="s">
        <v>19049</v>
      </c>
      <c r="U2949">
        <v>2102</v>
      </c>
      <c r="V2949">
        <v>0</v>
      </c>
      <c r="W2949">
        <v>3</v>
      </c>
      <c r="X2949">
        <v>1999</v>
      </c>
      <c r="Z2949">
        <v>1</v>
      </c>
      <c r="AA2949" t="s">
        <v>26</v>
      </c>
      <c r="AB2949">
        <v>0</v>
      </c>
      <c r="AC2949" t="s">
        <v>115</v>
      </c>
      <c r="AD2949">
        <v>2</v>
      </c>
      <c r="AE2949" t="s">
        <v>115</v>
      </c>
      <c r="AF2949">
        <v>0</v>
      </c>
      <c r="AG2949">
        <v>0</v>
      </c>
      <c r="AH2949" t="s">
        <v>116</v>
      </c>
      <c r="AI2949" s="1">
        <v>110989</v>
      </c>
      <c r="AJ2949" s="2">
        <v>0.24</v>
      </c>
      <c r="AK2949" s="1">
        <v>460988</v>
      </c>
      <c r="AL2949" t="s">
        <v>117</v>
      </c>
      <c r="AM2949" t="s">
        <v>1521</v>
      </c>
      <c r="AN2949">
        <v>19239</v>
      </c>
      <c r="AO2949">
        <v>0.44</v>
      </c>
      <c r="AP2949">
        <v>1</v>
      </c>
      <c r="AR2949">
        <v>1</v>
      </c>
      <c r="AS2949" s="1">
        <v>31870</v>
      </c>
      <c r="AT2949" s="1">
        <v>6370</v>
      </c>
      <c r="AU2949" s="1">
        <v>25500</v>
      </c>
      <c r="AV2949">
        <v>80.010000000000005</v>
      </c>
      <c r="AX2949" s="1">
        <v>2153.16</v>
      </c>
      <c r="AY2949" t="s">
        <v>11553</v>
      </c>
      <c r="AZ2949" t="s">
        <v>11553</v>
      </c>
      <c r="BA2949" t="s">
        <v>3154</v>
      </c>
      <c r="BE2949" s="3">
        <v>41817</v>
      </c>
      <c r="BF2949" s="1">
        <v>355000</v>
      </c>
      <c r="BG2949" t="s">
        <v>19374</v>
      </c>
      <c r="BH2949" s="1">
        <v>168.89</v>
      </c>
      <c r="BI2949" s="1">
        <v>349999</v>
      </c>
      <c r="BJ2949" s="3">
        <v>42690</v>
      </c>
      <c r="BK2949" t="s">
        <v>123</v>
      </c>
      <c r="BL2949" t="str">
        <f>"2016.844022"</f>
        <v>2016.844022</v>
      </c>
      <c r="BM2949" t="s">
        <v>3929</v>
      </c>
      <c r="BO2949" t="s">
        <v>19375</v>
      </c>
      <c r="BS2949">
        <v>30</v>
      </c>
      <c r="BW2949" t="str">
        <f>""</f>
        <v/>
      </c>
      <c r="CH2949" t="str">
        <f>""</f>
        <v/>
      </c>
      <c r="CS2949" t="str">
        <f>""</f>
        <v/>
      </c>
    </row>
    <row r="2950" spans="1:97" x14ac:dyDescent="0.25">
      <c r="A2950" t="s">
        <v>3443</v>
      </c>
      <c r="B2950" t="s">
        <v>19376</v>
      </c>
      <c r="E2950" t="s">
        <v>19377</v>
      </c>
      <c r="F2950" t="s">
        <v>108</v>
      </c>
      <c r="H2950" t="s">
        <v>19378</v>
      </c>
      <c r="I2950" t="s">
        <v>225</v>
      </c>
      <c r="J2950" t="s">
        <v>111</v>
      </c>
      <c r="K2950" t="str">
        <f>"85201"</f>
        <v>85201</v>
      </c>
      <c r="L2950" t="s">
        <v>9597</v>
      </c>
      <c r="M2950" t="s">
        <v>19378</v>
      </c>
      <c r="N2950" t="s">
        <v>225</v>
      </c>
      <c r="O2950" t="s">
        <v>111</v>
      </c>
      <c r="P2950" t="str">
        <f>"85201-2753"</f>
        <v>85201-2753</v>
      </c>
      <c r="Q2950" t="s">
        <v>113</v>
      </c>
      <c r="R2950" t="str">
        <f>"136-21-131"</f>
        <v>136-21-131</v>
      </c>
      <c r="S2950" t="s">
        <v>19379</v>
      </c>
      <c r="T2950" t="s">
        <v>19380</v>
      </c>
      <c r="U2950">
        <v>2914</v>
      </c>
      <c r="V2950">
        <v>0</v>
      </c>
      <c r="W2950">
        <v>4</v>
      </c>
      <c r="X2950">
        <v>1983</v>
      </c>
      <c r="Z2950">
        <v>2</v>
      </c>
      <c r="AA2950" t="s">
        <v>26</v>
      </c>
      <c r="AB2950">
        <v>0</v>
      </c>
      <c r="AC2950" t="s">
        <v>115</v>
      </c>
      <c r="AD2950">
        <v>3</v>
      </c>
      <c r="AE2950" t="s">
        <v>115</v>
      </c>
      <c r="AF2950">
        <v>0</v>
      </c>
      <c r="AG2950">
        <v>0</v>
      </c>
      <c r="AH2950" t="s">
        <v>116</v>
      </c>
      <c r="AI2950" s="1">
        <v>67485</v>
      </c>
      <c r="AJ2950" s="2">
        <v>0.19</v>
      </c>
      <c r="AK2950" s="1">
        <v>361278</v>
      </c>
      <c r="AL2950" t="s">
        <v>117</v>
      </c>
      <c r="AM2950" t="s">
        <v>393</v>
      </c>
      <c r="AN2950">
        <v>9348</v>
      </c>
      <c r="AO2950">
        <v>0.22</v>
      </c>
      <c r="AP2950">
        <v>1</v>
      </c>
      <c r="AR2950">
        <v>1</v>
      </c>
      <c r="AS2950" s="1">
        <v>26270</v>
      </c>
      <c r="AT2950" s="1">
        <v>5250</v>
      </c>
      <c r="AU2950" s="1">
        <v>21020</v>
      </c>
      <c r="AV2950">
        <v>80.02</v>
      </c>
      <c r="AX2950" s="1">
        <v>1803.28</v>
      </c>
      <c r="AY2950" t="s">
        <v>12830</v>
      </c>
      <c r="AZ2950" t="s">
        <v>5190</v>
      </c>
      <c r="BA2950" t="s">
        <v>5191</v>
      </c>
      <c r="BE2950" s="3">
        <v>41730</v>
      </c>
      <c r="BF2950" s="1">
        <v>235000</v>
      </c>
      <c r="BG2950" t="s">
        <v>19381</v>
      </c>
      <c r="BH2950" s="1">
        <v>80.650000000000006</v>
      </c>
      <c r="BI2950" s="1">
        <v>293793</v>
      </c>
      <c r="BJ2950" s="3">
        <v>42571</v>
      </c>
      <c r="BK2950" t="s">
        <v>123</v>
      </c>
      <c r="BL2950" t="str">
        <f>"2016.510990"</f>
        <v>2016.510990</v>
      </c>
      <c r="BM2950" t="s">
        <v>843</v>
      </c>
      <c r="BO2950" t="s">
        <v>19382</v>
      </c>
      <c r="BS2950">
        <v>30</v>
      </c>
      <c r="BW2950" t="str">
        <f>""</f>
        <v/>
      </c>
      <c r="CH2950" t="str">
        <f>""</f>
        <v/>
      </c>
      <c r="CS2950" t="str">
        <f>""</f>
        <v/>
      </c>
    </row>
    <row r="2951" spans="1:97" x14ac:dyDescent="0.25">
      <c r="A2951" t="s">
        <v>1444</v>
      </c>
      <c r="B2951" t="s">
        <v>15790</v>
      </c>
      <c r="C2951" t="s">
        <v>19383</v>
      </c>
      <c r="D2951" t="s">
        <v>15790</v>
      </c>
      <c r="E2951" t="s">
        <v>19384</v>
      </c>
      <c r="F2951" t="s">
        <v>108</v>
      </c>
      <c r="H2951" t="s">
        <v>19385</v>
      </c>
      <c r="I2951" t="s">
        <v>167</v>
      </c>
      <c r="J2951" t="s">
        <v>111</v>
      </c>
      <c r="K2951" t="str">
        <f>"85339"</f>
        <v>85339</v>
      </c>
      <c r="L2951" t="s">
        <v>3885</v>
      </c>
      <c r="M2951" t="s">
        <v>19385</v>
      </c>
      <c r="N2951" t="s">
        <v>167</v>
      </c>
      <c r="O2951" t="s">
        <v>111</v>
      </c>
      <c r="P2951" t="str">
        <f>"85339-7769"</f>
        <v>85339-7769</v>
      </c>
      <c r="Q2951" t="s">
        <v>113</v>
      </c>
      <c r="R2951" t="str">
        <f>"300-10-435"</f>
        <v>300-10-435</v>
      </c>
      <c r="S2951" t="s">
        <v>12928</v>
      </c>
      <c r="T2951" t="s">
        <v>12928</v>
      </c>
      <c r="U2951">
        <v>2894</v>
      </c>
      <c r="V2951">
        <v>0</v>
      </c>
      <c r="W2951">
        <v>4</v>
      </c>
      <c r="X2951">
        <v>2005</v>
      </c>
      <c r="Z2951">
        <v>1</v>
      </c>
      <c r="AA2951" t="s">
        <v>26</v>
      </c>
      <c r="AB2951">
        <v>0</v>
      </c>
      <c r="AC2951" t="s">
        <v>115</v>
      </c>
      <c r="AD2951">
        <v>3</v>
      </c>
      <c r="AE2951" t="s">
        <v>115</v>
      </c>
      <c r="AF2951">
        <v>0</v>
      </c>
      <c r="AG2951">
        <v>0</v>
      </c>
      <c r="AH2951" t="s">
        <v>116</v>
      </c>
      <c r="AI2951" s="1">
        <v>75031</v>
      </c>
      <c r="AJ2951" s="2">
        <v>0.19</v>
      </c>
      <c r="AK2951" s="1">
        <v>397591</v>
      </c>
      <c r="AL2951" t="s">
        <v>117</v>
      </c>
      <c r="AM2951" t="s">
        <v>1302</v>
      </c>
      <c r="AN2951">
        <v>12310</v>
      </c>
      <c r="AO2951">
        <v>0.28000000000000003</v>
      </c>
      <c r="AR2951">
        <v>1</v>
      </c>
      <c r="AS2951" s="1">
        <v>28820</v>
      </c>
      <c r="AT2951" s="1">
        <v>5760</v>
      </c>
      <c r="AU2951" s="1">
        <v>23060</v>
      </c>
      <c r="AV2951">
        <v>80.010000000000005</v>
      </c>
      <c r="AX2951" s="1">
        <v>3971.78</v>
      </c>
      <c r="AY2951" t="s">
        <v>806</v>
      </c>
      <c r="AZ2951" t="s">
        <v>806</v>
      </c>
      <c r="BA2951" t="s">
        <v>173</v>
      </c>
      <c r="BE2951" s="3">
        <v>41768</v>
      </c>
      <c r="BF2951" s="1">
        <v>315000</v>
      </c>
      <c r="BG2951" t="s">
        <v>19386</v>
      </c>
      <c r="BH2951" s="1">
        <v>108.85</v>
      </c>
      <c r="BI2951" s="1">
        <v>322560</v>
      </c>
      <c r="BJ2951" s="3">
        <v>41768</v>
      </c>
      <c r="BK2951" t="s">
        <v>123</v>
      </c>
      <c r="BL2951" t="str">
        <f>"2014.304070"</f>
        <v>2014.304070</v>
      </c>
      <c r="BM2951" t="s">
        <v>724</v>
      </c>
      <c r="BO2951" t="s">
        <v>19387</v>
      </c>
      <c r="BS2951">
        <v>15</v>
      </c>
      <c r="BW2951" t="str">
        <f>""</f>
        <v/>
      </c>
      <c r="CH2951" t="str">
        <f>""</f>
        <v/>
      </c>
      <c r="CS2951" t="str">
        <f>""</f>
        <v/>
      </c>
    </row>
    <row r="2952" spans="1:97" x14ac:dyDescent="0.25">
      <c r="A2952" t="s">
        <v>2915</v>
      </c>
      <c r="B2952" t="s">
        <v>19388</v>
      </c>
      <c r="E2952" t="s">
        <v>19389</v>
      </c>
      <c r="F2952" t="s">
        <v>108</v>
      </c>
      <c r="H2952" t="s">
        <v>19390</v>
      </c>
      <c r="I2952" t="s">
        <v>1788</v>
      </c>
      <c r="J2952" t="s">
        <v>111</v>
      </c>
      <c r="K2952" t="str">
        <f>"85355"</f>
        <v>85355</v>
      </c>
      <c r="L2952" t="s">
        <v>168</v>
      </c>
      <c r="M2952" t="s">
        <v>19390</v>
      </c>
      <c r="N2952" t="s">
        <v>1788</v>
      </c>
      <c r="O2952" t="s">
        <v>111</v>
      </c>
      <c r="P2952" t="str">
        <f>"85355-4478"</f>
        <v>85355-4478</v>
      </c>
      <c r="R2952" t="str">
        <f>"502-90-549"</f>
        <v>502-90-549</v>
      </c>
      <c r="S2952" t="s">
        <v>8290</v>
      </c>
      <c r="T2952" t="s">
        <v>8290</v>
      </c>
      <c r="U2952">
        <v>2880</v>
      </c>
      <c r="V2952">
        <v>0</v>
      </c>
      <c r="W2952">
        <v>3</v>
      </c>
      <c r="X2952">
        <v>2009</v>
      </c>
      <c r="Z2952">
        <v>2</v>
      </c>
      <c r="AA2952" t="s">
        <v>26</v>
      </c>
      <c r="AB2952">
        <v>0</v>
      </c>
      <c r="AC2952" t="s">
        <v>115</v>
      </c>
      <c r="AD2952">
        <v>3</v>
      </c>
      <c r="AE2952" t="s">
        <v>115</v>
      </c>
      <c r="AF2952">
        <v>0</v>
      </c>
      <c r="AG2952">
        <v>0</v>
      </c>
      <c r="AH2952" t="s">
        <v>116</v>
      </c>
      <c r="AI2952" s="1">
        <v>96743</v>
      </c>
      <c r="AJ2952" s="2">
        <v>0.28000000000000003</v>
      </c>
      <c r="AK2952" s="1">
        <v>350344</v>
      </c>
      <c r="AL2952" t="s">
        <v>117</v>
      </c>
      <c r="AM2952" t="s">
        <v>171</v>
      </c>
      <c r="AN2952">
        <v>8737</v>
      </c>
      <c r="AO2952">
        <v>0.2</v>
      </c>
      <c r="AR2952">
        <v>1</v>
      </c>
      <c r="AS2952" s="1">
        <v>28720</v>
      </c>
      <c r="AT2952" s="1">
        <v>5740</v>
      </c>
      <c r="AU2952" s="1">
        <v>22980</v>
      </c>
      <c r="AV2952">
        <v>80.010000000000005</v>
      </c>
      <c r="AX2952" s="1">
        <v>1806.54</v>
      </c>
      <c r="AY2952" t="s">
        <v>5972</v>
      </c>
      <c r="AZ2952" t="s">
        <v>5972</v>
      </c>
      <c r="BA2952" t="s">
        <v>5061</v>
      </c>
      <c r="BE2952" s="3">
        <v>41670</v>
      </c>
      <c r="BF2952" s="1">
        <v>245500</v>
      </c>
      <c r="BG2952" t="s">
        <v>19391</v>
      </c>
      <c r="BH2952" s="1">
        <v>85.24</v>
      </c>
      <c r="BI2952" s="1">
        <v>253601</v>
      </c>
      <c r="BJ2952" s="3">
        <v>41670</v>
      </c>
      <c r="BK2952" t="s">
        <v>123</v>
      </c>
      <c r="BL2952" t="str">
        <f>"2014.66822"</f>
        <v>2014.66822</v>
      </c>
      <c r="BM2952" t="s">
        <v>1033</v>
      </c>
      <c r="BN2952" t="s">
        <v>1052</v>
      </c>
      <c r="BO2952" t="s">
        <v>19392</v>
      </c>
      <c r="BS2952">
        <v>30</v>
      </c>
      <c r="BW2952" t="str">
        <f>""</f>
        <v/>
      </c>
      <c r="CH2952" t="str">
        <f>""</f>
        <v/>
      </c>
      <c r="CS2952" t="str">
        <f>""</f>
        <v/>
      </c>
    </row>
    <row r="2953" spans="1:97" x14ac:dyDescent="0.25">
      <c r="B2953" t="s">
        <v>19393</v>
      </c>
      <c r="E2953" t="s">
        <v>19394</v>
      </c>
      <c r="F2953" t="s">
        <v>108</v>
      </c>
      <c r="H2953" t="s">
        <v>19395</v>
      </c>
      <c r="I2953" t="s">
        <v>2874</v>
      </c>
      <c r="J2953" t="s">
        <v>111</v>
      </c>
      <c r="K2953" t="str">
        <f>"85310"</f>
        <v>85310</v>
      </c>
      <c r="L2953" t="s">
        <v>5910</v>
      </c>
      <c r="M2953" t="s">
        <v>19395</v>
      </c>
      <c r="N2953" t="s">
        <v>2874</v>
      </c>
      <c r="O2953" t="s">
        <v>111</v>
      </c>
      <c r="P2953" t="str">
        <f>"85310-2747"</f>
        <v>85310-2747</v>
      </c>
      <c r="Q2953" t="s">
        <v>113</v>
      </c>
      <c r="R2953" t="str">
        <f>"201-12-581"</f>
        <v>201-12-581</v>
      </c>
      <c r="S2953" t="s">
        <v>19396</v>
      </c>
      <c r="T2953" t="s">
        <v>19396</v>
      </c>
      <c r="U2953">
        <v>3089</v>
      </c>
      <c r="V2953">
        <v>0</v>
      </c>
      <c r="W2953">
        <v>4</v>
      </c>
      <c r="X2953">
        <v>2003</v>
      </c>
      <c r="Z2953">
        <v>1</v>
      </c>
      <c r="AA2953" t="s">
        <v>26</v>
      </c>
      <c r="AB2953">
        <v>0</v>
      </c>
      <c r="AC2953" t="s">
        <v>115</v>
      </c>
      <c r="AD2953">
        <v>3</v>
      </c>
      <c r="AE2953" t="s">
        <v>115</v>
      </c>
      <c r="AF2953">
        <v>0</v>
      </c>
      <c r="AG2953">
        <v>0</v>
      </c>
      <c r="AH2953" t="s">
        <v>116</v>
      </c>
      <c r="AI2953" s="1">
        <v>64953</v>
      </c>
      <c r="AJ2953" s="2">
        <v>0.13</v>
      </c>
      <c r="AK2953" s="1">
        <v>491328</v>
      </c>
      <c r="AL2953" t="s">
        <v>117</v>
      </c>
      <c r="AM2953" t="s">
        <v>760</v>
      </c>
      <c r="AN2953">
        <v>13009</v>
      </c>
      <c r="AO2953">
        <v>0.3</v>
      </c>
      <c r="AP2953">
        <v>1</v>
      </c>
      <c r="AR2953">
        <v>1</v>
      </c>
      <c r="AS2953" s="1">
        <v>36320</v>
      </c>
      <c r="AT2953" s="1">
        <v>7260</v>
      </c>
      <c r="AU2953" s="1">
        <v>29060</v>
      </c>
      <c r="AV2953">
        <v>80.010000000000005</v>
      </c>
      <c r="AX2953" s="1">
        <v>3404.9</v>
      </c>
      <c r="AY2953" t="s">
        <v>5125</v>
      </c>
      <c r="AZ2953" t="s">
        <v>3049</v>
      </c>
      <c r="BA2953" t="s">
        <v>1386</v>
      </c>
      <c r="BB2953" s="3">
        <v>42717</v>
      </c>
      <c r="BD2953" t="s">
        <v>480</v>
      </c>
      <c r="BE2953" s="3">
        <v>42111</v>
      </c>
      <c r="BF2953" s="1">
        <v>429500</v>
      </c>
      <c r="BG2953" t="s">
        <v>19397</v>
      </c>
      <c r="BH2953" s="1">
        <v>139.04</v>
      </c>
      <c r="BI2953" s="1">
        <v>426375</v>
      </c>
      <c r="BJ2953" s="3">
        <v>42111</v>
      </c>
      <c r="BK2953" t="s">
        <v>123</v>
      </c>
      <c r="BL2953" t="str">
        <f>"2015.265435"</f>
        <v>2015.265435</v>
      </c>
      <c r="BM2953" t="s">
        <v>1287</v>
      </c>
      <c r="BO2953" t="s">
        <v>19398</v>
      </c>
      <c r="BS2953">
        <v>30</v>
      </c>
      <c r="BW2953" t="str">
        <f>""</f>
        <v/>
      </c>
      <c r="CH2953" t="str">
        <f>""</f>
        <v/>
      </c>
      <c r="CS2953" t="str">
        <f>""</f>
        <v/>
      </c>
    </row>
    <row r="2954" spans="1:97" x14ac:dyDescent="0.25">
      <c r="A2954" t="s">
        <v>2178</v>
      </c>
      <c r="B2954" t="s">
        <v>19399</v>
      </c>
      <c r="C2954" t="s">
        <v>4098</v>
      </c>
      <c r="D2954" t="s">
        <v>19399</v>
      </c>
      <c r="E2954" t="s">
        <v>19400</v>
      </c>
      <c r="F2954" t="s">
        <v>108</v>
      </c>
      <c r="H2954" t="s">
        <v>19401</v>
      </c>
      <c r="I2954" t="s">
        <v>203</v>
      </c>
      <c r="J2954" t="s">
        <v>111</v>
      </c>
      <c r="K2954" t="str">
        <f>"85298"</f>
        <v>85298</v>
      </c>
      <c r="L2954" t="s">
        <v>7243</v>
      </c>
      <c r="M2954" t="s">
        <v>19401</v>
      </c>
      <c r="N2954" t="s">
        <v>203</v>
      </c>
      <c r="O2954" t="s">
        <v>111</v>
      </c>
      <c r="P2954" t="str">
        <f>"85298-4183"</f>
        <v>85298-4183</v>
      </c>
      <c r="Q2954" t="s">
        <v>113</v>
      </c>
      <c r="R2954" t="str">
        <f>"313-04-342"</f>
        <v>313-04-342</v>
      </c>
      <c r="S2954" t="s">
        <v>19402</v>
      </c>
      <c r="T2954" t="s">
        <v>19403</v>
      </c>
      <c r="U2954">
        <v>3379</v>
      </c>
      <c r="V2954">
        <v>0</v>
      </c>
      <c r="W2954">
        <v>4</v>
      </c>
      <c r="X2954">
        <v>2004</v>
      </c>
      <c r="Z2954">
        <v>2</v>
      </c>
      <c r="AA2954" t="s">
        <v>26</v>
      </c>
      <c r="AB2954">
        <v>0</v>
      </c>
      <c r="AC2954" t="s">
        <v>115</v>
      </c>
      <c r="AD2954">
        <v>3</v>
      </c>
      <c r="AE2954" t="s">
        <v>115</v>
      </c>
      <c r="AF2954">
        <v>0</v>
      </c>
      <c r="AG2954">
        <v>0</v>
      </c>
      <c r="AH2954" t="s">
        <v>116</v>
      </c>
      <c r="AI2954" s="1">
        <v>176331</v>
      </c>
      <c r="AJ2954" s="2">
        <v>0.34</v>
      </c>
      <c r="AK2954" s="1">
        <v>522106</v>
      </c>
      <c r="AL2954" t="s">
        <v>117</v>
      </c>
      <c r="AM2954" t="s">
        <v>191</v>
      </c>
      <c r="AN2954">
        <v>11692</v>
      </c>
      <c r="AO2954">
        <v>0.27</v>
      </c>
      <c r="AP2954">
        <v>1</v>
      </c>
      <c r="AR2954">
        <v>1</v>
      </c>
      <c r="AS2954" s="1">
        <v>36630</v>
      </c>
      <c r="AT2954" s="1">
        <v>7320</v>
      </c>
      <c r="AU2954" s="1">
        <v>29310</v>
      </c>
      <c r="AV2954">
        <v>80.02</v>
      </c>
      <c r="AX2954" s="1">
        <v>3229.56</v>
      </c>
      <c r="AY2954" t="s">
        <v>5875</v>
      </c>
      <c r="AZ2954" t="s">
        <v>1134</v>
      </c>
      <c r="BA2954" t="s">
        <v>1134</v>
      </c>
      <c r="BE2954" s="3">
        <v>42163</v>
      </c>
      <c r="BF2954" s="1">
        <v>425000</v>
      </c>
      <c r="BG2954" t="s">
        <v>19404</v>
      </c>
      <c r="BH2954" s="1">
        <v>125.78</v>
      </c>
      <c r="BI2954" s="1">
        <v>289275</v>
      </c>
      <c r="BJ2954" s="3">
        <v>42163</v>
      </c>
      <c r="BK2954" t="s">
        <v>123</v>
      </c>
      <c r="BL2954" t="str">
        <f>"2015.405670"</f>
        <v>2015.405670</v>
      </c>
      <c r="BM2954" t="s">
        <v>19405</v>
      </c>
      <c r="BO2954" t="s">
        <v>19406</v>
      </c>
      <c r="BS2954">
        <v>30</v>
      </c>
      <c r="BT2954" s="1">
        <v>56500</v>
      </c>
      <c r="BU2954" s="3">
        <v>42548</v>
      </c>
      <c r="BV2954" t="s">
        <v>134</v>
      </c>
      <c r="BW2954" t="str">
        <f>"2016.445820"</f>
        <v>2016.445820</v>
      </c>
      <c r="BX2954" t="s">
        <v>1033</v>
      </c>
      <c r="BZ2954" t="s">
        <v>19407</v>
      </c>
      <c r="CD2954">
        <v>35</v>
      </c>
      <c r="CH2954" t="str">
        <f>""</f>
        <v/>
      </c>
      <c r="CS2954" t="str">
        <f>""</f>
        <v/>
      </c>
    </row>
    <row r="2955" spans="1:97" x14ac:dyDescent="0.25">
      <c r="A2955" t="s">
        <v>265</v>
      </c>
      <c r="B2955" t="s">
        <v>19408</v>
      </c>
      <c r="C2955" t="s">
        <v>1289</v>
      </c>
      <c r="D2955" t="s">
        <v>19409</v>
      </c>
      <c r="E2955" t="s">
        <v>19410</v>
      </c>
      <c r="F2955" t="s">
        <v>108</v>
      </c>
      <c r="H2955" t="s">
        <v>19411</v>
      </c>
      <c r="I2955" t="s">
        <v>1936</v>
      </c>
      <c r="J2955" t="s">
        <v>111</v>
      </c>
      <c r="K2955" t="str">
        <f>"85255"</f>
        <v>85255</v>
      </c>
      <c r="L2955" t="s">
        <v>8255</v>
      </c>
      <c r="M2955" t="s">
        <v>19411</v>
      </c>
      <c r="N2955" t="s">
        <v>1936</v>
      </c>
      <c r="O2955" t="s">
        <v>111</v>
      </c>
      <c r="P2955" t="str">
        <f>"85255-2765"</f>
        <v>85255-2765</v>
      </c>
      <c r="Q2955" t="s">
        <v>113</v>
      </c>
      <c r="R2955" t="str">
        <f>"212-06-246"</f>
        <v>212-06-246</v>
      </c>
      <c r="S2955" t="s">
        <v>19412</v>
      </c>
      <c r="T2955" t="s">
        <v>19413</v>
      </c>
      <c r="U2955">
        <v>3352</v>
      </c>
      <c r="V2955">
        <v>0</v>
      </c>
      <c r="W2955">
        <v>5</v>
      </c>
      <c r="X2955">
        <v>1998</v>
      </c>
      <c r="Z2955">
        <v>2</v>
      </c>
      <c r="AA2955" t="s">
        <v>26</v>
      </c>
      <c r="AB2955">
        <v>0</v>
      </c>
      <c r="AC2955" t="s">
        <v>115</v>
      </c>
      <c r="AD2955">
        <v>3</v>
      </c>
      <c r="AE2955" t="s">
        <v>115</v>
      </c>
      <c r="AF2955">
        <v>0</v>
      </c>
      <c r="AG2955">
        <v>0</v>
      </c>
      <c r="AH2955" t="s">
        <v>116</v>
      </c>
      <c r="AI2955" s="1">
        <v>-28146</v>
      </c>
      <c r="AJ2955" s="2">
        <v>-0.06</v>
      </c>
      <c r="AK2955" s="1">
        <v>483568</v>
      </c>
      <c r="AL2955" t="s">
        <v>117</v>
      </c>
      <c r="AM2955" t="s">
        <v>1302</v>
      </c>
      <c r="AN2955">
        <v>10485</v>
      </c>
      <c r="AO2955">
        <v>0.24</v>
      </c>
      <c r="AP2955">
        <v>1</v>
      </c>
      <c r="AR2955">
        <v>1</v>
      </c>
      <c r="AS2955" s="1">
        <v>48180</v>
      </c>
      <c r="AT2955" s="1">
        <v>9630</v>
      </c>
      <c r="AU2955" s="1">
        <v>38550</v>
      </c>
      <c r="AV2955">
        <v>80.010000000000005</v>
      </c>
      <c r="AX2955" s="1">
        <v>4579.9399999999996</v>
      </c>
      <c r="AY2955" t="s">
        <v>9968</v>
      </c>
      <c r="AZ2955" t="s">
        <v>761</v>
      </c>
      <c r="BA2955" t="s">
        <v>762</v>
      </c>
      <c r="BE2955" s="3">
        <v>42552</v>
      </c>
      <c r="BF2955" s="1">
        <v>497500</v>
      </c>
      <c r="BG2955" t="s">
        <v>19414</v>
      </c>
      <c r="BH2955" s="1">
        <v>148.41999999999999</v>
      </c>
      <c r="BI2955" s="1">
        <v>479714</v>
      </c>
      <c r="BJ2955" s="3">
        <v>42552</v>
      </c>
      <c r="BK2955" t="s">
        <v>123</v>
      </c>
      <c r="BL2955" t="str">
        <f>"2016.466339"</f>
        <v>2016.466339</v>
      </c>
      <c r="BM2955" t="s">
        <v>724</v>
      </c>
      <c r="BN2955" t="s">
        <v>5423</v>
      </c>
      <c r="BO2955" t="s">
        <v>19415</v>
      </c>
      <c r="BP2955" t="s">
        <v>19416</v>
      </c>
      <c r="BS2955">
        <v>30</v>
      </c>
      <c r="BT2955" s="1">
        <v>32000</v>
      </c>
      <c r="BU2955" s="3">
        <v>43178</v>
      </c>
      <c r="BV2955" t="s">
        <v>134</v>
      </c>
      <c r="BW2955" t="str">
        <f>"2018.202851"</f>
        <v>2018.202851</v>
      </c>
      <c r="BX2955" t="s">
        <v>135</v>
      </c>
      <c r="BY2955" t="s">
        <v>136</v>
      </c>
      <c r="BZ2955" t="s">
        <v>19417</v>
      </c>
      <c r="CA2955" t="s">
        <v>19418</v>
      </c>
      <c r="CC2955" t="s">
        <v>139</v>
      </c>
      <c r="CH2955" t="str">
        <f>""</f>
        <v/>
      </c>
      <c r="CS2955" t="str">
        <f>""</f>
        <v/>
      </c>
    </row>
    <row r="2956" spans="1:97" x14ac:dyDescent="0.25">
      <c r="A2956" t="s">
        <v>4306</v>
      </c>
      <c r="B2956" t="s">
        <v>19419</v>
      </c>
      <c r="C2956" t="s">
        <v>852</v>
      </c>
      <c r="D2956" t="s">
        <v>19419</v>
      </c>
      <c r="E2956" t="s">
        <v>19420</v>
      </c>
      <c r="F2956" t="s">
        <v>108</v>
      </c>
      <c r="H2956" t="s">
        <v>19421</v>
      </c>
      <c r="I2956" t="s">
        <v>144</v>
      </c>
      <c r="J2956" t="s">
        <v>111</v>
      </c>
      <c r="K2956" t="str">
        <f>"85326"</f>
        <v>85326</v>
      </c>
      <c r="L2956" t="s">
        <v>8146</v>
      </c>
      <c r="M2956" t="s">
        <v>19421</v>
      </c>
      <c r="N2956" t="s">
        <v>144</v>
      </c>
      <c r="O2956" t="s">
        <v>111</v>
      </c>
      <c r="P2956" t="str">
        <f>"85326-8181"</f>
        <v>85326-8181</v>
      </c>
      <c r="Q2956" t="s">
        <v>113</v>
      </c>
      <c r="R2956" t="str">
        <f>"502-35-634"</f>
        <v>502-35-634</v>
      </c>
      <c r="S2956" t="s">
        <v>9331</v>
      </c>
      <c r="U2956">
        <v>3428</v>
      </c>
      <c r="V2956">
        <v>0</v>
      </c>
      <c r="W2956">
        <v>4</v>
      </c>
      <c r="X2956">
        <v>2013</v>
      </c>
      <c r="Z2956">
        <v>2</v>
      </c>
      <c r="AB2956">
        <v>0</v>
      </c>
      <c r="AC2956" t="s">
        <v>115</v>
      </c>
      <c r="AD2956">
        <v>3</v>
      </c>
      <c r="AE2956" t="s">
        <v>115</v>
      </c>
      <c r="AF2956">
        <v>0</v>
      </c>
      <c r="AG2956">
        <v>0</v>
      </c>
      <c r="AH2956" t="s">
        <v>116</v>
      </c>
      <c r="AI2956" s="1">
        <v>92717</v>
      </c>
      <c r="AJ2956" s="2">
        <v>0.25</v>
      </c>
      <c r="AK2956" s="1">
        <v>374054</v>
      </c>
      <c r="AL2956" t="s">
        <v>117</v>
      </c>
      <c r="AM2956" t="s">
        <v>118</v>
      </c>
      <c r="AN2956">
        <v>7042</v>
      </c>
      <c r="AO2956">
        <v>0.16</v>
      </c>
      <c r="AR2956">
        <v>1</v>
      </c>
      <c r="AS2956" s="1">
        <v>25730</v>
      </c>
      <c r="AT2956" s="1">
        <v>5140</v>
      </c>
      <c r="AU2956" s="1">
        <v>20590</v>
      </c>
      <c r="AV2956">
        <v>80.02</v>
      </c>
      <c r="AX2956" s="1">
        <v>2671.8</v>
      </c>
      <c r="AY2956" t="s">
        <v>2767</v>
      </c>
      <c r="AZ2956" t="s">
        <v>2767</v>
      </c>
      <c r="BA2956" t="s">
        <v>5025</v>
      </c>
      <c r="BE2956" s="3">
        <v>41920</v>
      </c>
      <c r="BF2956" s="1">
        <v>284482</v>
      </c>
      <c r="BG2956" t="s">
        <v>749</v>
      </c>
      <c r="BH2956" s="1">
        <v>82.99</v>
      </c>
      <c r="BI2956" s="1">
        <v>281337</v>
      </c>
      <c r="BJ2956" s="3">
        <v>42451</v>
      </c>
      <c r="BK2956" t="s">
        <v>123</v>
      </c>
      <c r="BL2956" t="str">
        <f>"2016.184827"</f>
        <v>2016.184827</v>
      </c>
      <c r="BM2956" t="s">
        <v>425</v>
      </c>
      <c r="BO2956" t="s">
        <v>19422</v>
      </c>
      <c r="BS2956">
        <v>30</v>
      </c>
      <c r="BW2956" t="str">
        <f>""</f>
        <v/>
      </c>
      <c r="CH2956" t="str">
        <f>""</f>
        <v/>
      </c>
      <c r="CS2956" t="str">
        <f>""</f>
        <v/>
      </c>
    </row>
    <row r="2957" spans="1:97" x14ac:dyDescent="0.25">
      <c r="A2957" t="s">
        <v>2374</v>
      </c>
      <c r="B2957" t="s">
        <v>19423</v>
      </c>
      <c r="C2957" t="s">
        <v>259</v>
      </c>
      <c r="D2957" t="s">
        <v>19423</v>
      </c>
      <c r="E2957" t="s">
        <v>19424</v>
      </c>
      <c r="F2957" t="s">
        <v>108</v>
      </c>
      <c r="H2957" t="s">
        <v>19425</v>
      </c>
      <c r="I2957" t="s">
        <v>110</v>
      </c>
      <c r="J2957" t="s">
        <v>111</v>
      </c>
      <c r="K2957" t="str">
        <f>"85248"</f>
        <v>85248</v>
      </c>
      <c r="L2957" t="s">
        <v>9060</v>
      </c>
      <c r="M2957" t="s">
        <v>19425</v>
      </c>
      <c r="N2957" t="s">
        <v>110</v>
      </c>
      <c r="O2957" t="s">
        <v>111</v>
      </c>
      <c r="P2957" t="str">
        <f>"85248-4563"</f>
        <v>85248-4563</v>
      </c>
      <c r="Q2957" t="s">
        <v>113</v>
      </c>
      <c r="R2957" t="str">
        <f>"303-40-910"</f>
        <v>303-40-910</v>
      </c>
      <c r="S2957" t="s">
        <v>9061</v>
      </c>
      <c r="T2957" t="s">
        <v>9062</v>
      </c>
      <c r="U2957">
        <v>2986</v>
      </c>
      <c r="V2957">
        <v>0</v>
      </c>
      <c r="W2957">
        <v>4</v>
      </c>
      <c r="X2957">
        <v>1999</v>
      </c>
      <c r="Z2957">
        <v>2</v>
      </c>
      <c r="AA2957" t="s">
        <v>26</v>
      </c>
      <c r="AB2957">
        <v>0</v>
      </c>
      <c r="AC2957" t="s">
        <v>115</v>
      </c>
      <c r="AD2957">
        <v>3</v>
      </c>
      <c r="AE2957" t="s">
        <v>115</v>
      </c>
      <c r="AF2957">
        <v>0</v>
      </c>
      <c r="AG2957">
        <v>0</v>
      </c>
      <c r="AH2957" t="s">
        <v>116</v>
      </c>
      <c r="AI2957" s="1">
        <v>77919</v>
      </c>
      <c r="AJ2957" s="2">
        <v>0.16</v>
      </c>
      <c r="AK2957" s="1">
        <v>472919</v>
      </c>
      <c r="AL2957" t="s">
        <v>117</v>
      </c>
      <c r="AM2957" t="s">
        <v>118</v>
      </c>
      <c r="AN2957">
        <v>8596</v>
      </c>
      <c r="AO2957">
        <v>0.2</v>
      </c>
      <c r="AP2957">
        <v>1</v>
      </c>
      <c r="AR2957">
        <v>1</v>
      </c>
      <c r="AS2957" s="1">
        <v>33710</v>
      </c>
      <c r="AT2957" s="1">
        <v>6740</v>
      </c>
      <c r="AU2957" s="1">
        <v>26970</v>
      </c>
      <c r="AV2957">
        <v>80.010000000000005</v>
      </c>
      <c r="AX2957" s="1">
        <v>3254.56</v>
      </c>
      <c r="AY2957" t="s">
        <v>9063</v>
      </c>
      <c r="AZ2957" t="s">
        <v>1882</v>
      </c>
      <c r="BA2957" t="s">
        <v>121</v>
      </c>
      <c r="BE2957" s="3">
        <v>42447</v>
      </c>
      <c r="BF2957" s="1">
        <v>395000</v>
      </c>
      <c r="BG2957" t="s">
        <v>19426</v>
      </c>
      <c r="BH2957" s="1">
        <v>132.28</v>
      </c>
      <c r="BI2957" s="1">
        <v>395000</v>
      </c>
      <c r="BJ2957" s="3">
        <v>42447</v>
      </c>
      <c r="BK2957" t="s">
        <v>123</v>
      </c>
      <c r="BL2957" t="str">
        <f>"2016.176948"</f>
        <v>2016.176948</v>
      </c>
      <c r="BM2957" t="s">
        <v>709</v>
      </c>
      <c r="BO2957" t="s">
        <v>19427</v>
      </c>
      <c r="BS2957">
        <v>30</v>
      </c>
      <c r="BW2957" t="str">
        <f>""</f>
        <v/>
      </c>
      <c r="CH2957" t="str">
        <f>""</f>
        <v/>
      </c>
      <c r="CS2957" t="str">
        <f>""</f>
        <v/>
      </c>
    </row>
    <row r="2958" spans="1:97" x14ac:dyDescent="0.25">
      <c r="A2958" t="s">
        <v>4554</v>
      </c>
      <c r="B2958" t="s">
        <v>19428</v>
      </c>
      <c r="E2958" t="s">
        <v>19429</v>
      </c>
      <c r="F2958" t="s">
        <v>108</v>
      </c>
      <c r="H2958" t="s">
        <v>19430</v>
      </c>
      <c r="I2958" t="s">
        <v>1936</v>
      </c>
      <c r="J2958" t="s">
        <v>111</v>
      </c>
      <c r="K2958" t="str">
        <f>"85260"</f>
        <v>85260</v>
      </c>
      <c r="L2958" t="s">
        <v>6325</v>
      </c>
      <c r="M2958" t="s">
        <v>19430</v>
      </c>
      <c r="N2958" t="s">
        <v>1936</v>
      </c>
      <c r="O2958" t="s">
        <v>111</v>
      </c>
      <c r="P2958" t="str">
        <f>"85260-6831"</f>
        <v>85260-6831</v>
      </c>
      <c r="Q2958" t="s">
        <v>113</v>
      </c>
      <c r="R2958" t="str">
        <f>"217-25-922"</f>
        <v>217-25-922</v>
      </c>
      <c r="S2958" t="s">
        <v>10270</v>
      </c>
      <c r="T2958" t="s">
        <v>10271</v>
      </c>
      <c r="U2958">
        <v>1508</v>
      </c>
      <c r="V2958">
        <v>0</v>
      </c>
      <c r="W2958">
        <v>3</v>
      </c>
      <c r="X2958">
        <v>1985</v>
      </c>
      <c r="Z2958">
        <v>1</v>
      </c>
      <c r="AB2958">
        <v>0</v>
      </c>
      <c r="AC2958" t="s">
        <v>115</v>
      </c>
      <c r="AD2958">
        <v>2</v>
      </c>
      <c r="AE2958" t="s">
        <v>115</v>
      </c>
      <c r="AF2958">
        <v>0</v>
      </c>
      <c r="AG2958">
        <v>0</v>
      </c>
      <c r="AH2958" t="s">
        <v>116</v>
      </c>
      <c r="AI2958" s="1">
        <v>80246</v>
      </c>
      <c r="AJ2958" s="2">
        <v>0.21</v>
      </c>
      <c r="AK2958" s="1">
        <v>386746</v>
      </c>
      <c r="AL2958" t="s">
        <v>117</v>
      </c>
      <c r="AM2958" t="s">
        <v>393</v>
      </c>
      <c r="AN2958">
        <v>10407</v>
      </c>
      <c r="AO2958">
        <v>0.24</v>
      </c>
      <c r="AP2958">
        <v>1</v>
      </c>
      <c r="AR2958">
        <v>1</v>
      </c>
      <c r="AS2958" s="1">
        <v>30580</v>
      </c>
      <c r="AT2958" s="1">
        <v>6110</v>
      </c>
      <c r="AU2958" s="1">
        <v>24470</v>
      </c>
      <c r="AV2958">
        <v>80.02</v>
      </c>
      <c r="AX2958" s="1">
        <v>1824.06</v>
      </c>
      <c r="AY2958" t="s">
        <v>5904</v>
      </c>
      <c r="AZ2958" t="s">
        <v>5420</v>
      </c>
      <c r="BA2958" t="s">
        <v>5763</v>
      </c>
      <c r="BE2958" s="3">
        <v>41915</v>
      </c>
      <c r="BF2958" s="1">
        <v>303000</v>
      </c>
      <c r="BG2958" t="s">
        <v>19431</v>
      </c>
      <c r="BH2958" s="1">
        <v>200.93</v>
      </c>
      <c r="BI2958" s="1">
        <v>306500</v>
      </c>
      <c r="BJ2958" s="3">
        <v>42454</v>
      </c>
      <c r="BK2958" t="s">
        <v>123</v>
      </c>
      <c r="BL2958" t="str">
        <f>"2016.193689"</f>
        <v>2016.193689</v>
      </c>
      <c r="BM2958" t="s">
        <v>124</v>
      </c>
      <c r="BO2958" t="s">
        <v>19432</v>
      </c>
      <c r="BS2958">
        <v>30</v>
      </c>
      <c r="BW2958" t="str">
        <f>""</f>
        <v/>
      </c>
      <c r="CH2958" t="str">
        <f>""</f>
        <v/>
      </c>
      <c r="CS2958" t="str">
        <f>""</f>
        <v/>
      </c>
    </row>
    <row r="2959" spans="1:97" x14ac:dyDescent="0.25">
      <c r="A2959" t="s">
        <v>996</v>
      </c>
      <c r="B2959" t="s">
        <v>10633</v>
      </c>
      <c r="E2959" t="s">
        <v>19433</v>
      </c>
      <c r="F2959" t="s">
        <v>108</v>
      </c>
      <c r="H2959" t="s">
        <v>19434</v>
      </c>
      <c r="I2959" t="s">
        <v>3150</v>
      </c>
      <c r="J2959" t="s">
        <v>111</v>
      </c>
      <c r="K2959" t="str">
        <f>"85340"</f>
        <v>85340</v>
      </c>
      <c r="L2959" t="s">
        <v>5176</v>
      </c>
      <c r="M2959" t="s">
        <v>19434</v>
      </c>
      <c r="N2959" t="s">
        <v>3150</v>
      </c>
      <c r="O2959" t="s">
        <v>111</v>
      </c>
      <c r="P2959" t="str">
        <f>"85340-2738"</f>
        <v>85340-2738</v>
      </c>
      <c r="Q2959" t="s">
        <v>113</v>
      </c>
      <c r="R2959" t="str">
        <f>"508-15-332"</f>
        <v>508-15-332</v>
      </c>
      <c r="S2959" t="s">
        <v>5177</v>
      </c>
      <c r="T2959" t="s">
        <v>5178</v>
      </c>
      <c r="U2959">
        <v>3718</v>
      </c>
      <c r="V2959">
        <v>0</v>
      </c>
      <c r="W2959">
        <v>6</v>
      </c>
      <c r="X2959">
        <v>2014</v>
      </c>
      <c r="Z2959">
        <v>1</v>
      </c>
      <c r="AB2959">
        <v>0</v>
      </c>
      <c r="AC2959" t="s">
        <v>115</v>
      </c>
      <c r="AD2959">
        <v>4</v>
      </c>
      <c r="AE2959" t="s">
        <v>115</v>
      </c>
      <c r="AF2959">
        <v>0</v>
      </c>
      <c r="AG2959">
        <v>0</v>
      </c>
      <c r="AH2959" t="s">
        <v>116</v>
      </c>
      <c r="AI2959" s="1">
        <v>-112783</v>
      </c>
      <c r="AJ2959" s="2">
        <v>-0.2</v>
      </c>
      <c r="AK2959" s="1">
        <v>555617</v>
      </c>
      <c r="AL2959" t="s">
        <v>117</v>
      </c>
      <c r="AM2959" t="s">
        <v>191</v>
      </c>
      <c r="AN2959">
        <v>14500</v>
      </c>
      <c r="AO2959">
        <v>0.33</v>
      </c>
      <c r="AR2959">
        <v>1</v>
      </c>
      <c r="AS2959" s="1">
        <v>42970</v>
      </c>
      <c r="AT2959" s="1">
        <v>8590</v>
      </c>
      <c r="AU2959" s="1">
        <v>34380</v>
      </c>
      <c r="AV2959">
        <v>80.010000000000005</v>
      </c>
      <c r="AX2959" s="1">
        <v>4476.6400000000003</v>
      </c>
      <c r="AY2959" t="s">
        <v>3020</v>
      </c>
      <c r="AZ2959" t="s">
        <v>3020</v>
      </c>
      <c r="BA2959" t="s">
        <v>3154</v>
      </c>
      <c r="BE2959" s="3">
        <v>42094</v>
      </c>
      <c r="BF2959" s="1">
        <v>634606</v>
      </c>
      <c r="BG2959" t="s">
        <v>19435</v>
      </c>
      <c r="BH2959" s="1">
        <v>170.68</v>
      </c>
      <c r="BI2959" s="1">
        <v>668400</v>
      </c>
      <c r="BJ2959" s="3">
        <v>43588</v>
      </c>
      <c r="BK2959" t="s">
        <v>123</v>
      </c>
      <c r="BL2959" t="str">
        <f>"2019.321996"</f>
        <v>2019.321996</v>
      </c>
      <c r="BM2959" t="s">
        <v>13866</v>
      </c>
      <c r="BN2959" t="s">
        <v>13867</v>
      </c>
      <c r="BO2959" t="s">
        <v>19433</v>
      </c>
      <c r="BR2959" t="s">
        <v>139</v>
      </c>
      <c r="BW2959" t="str">
        <f>""</f>
        <v/>
      </c>
      <c r="CH2959" t="str">
        <f>""</f>
        <v/>
      </c>
      <c r="CS2959" t="str">
        <f>""</f>
        <v/>
      </c>
    </row>
    <row r="2960" spans="1:97" x14ac:dyDescent="0.25">
      <c r="A2960" t="s">
        <v>1514</v>
      </c>
      <c r="B2960" t="s">
        <v>19436</v>
      </c>
      <c r="C2960" t="s">
        <v>6671</v>
      </c>
      <c r="D2960" t="s">
        <v>19436</v>
      </c>
      <c r="E2960" t="s">
        <v>19437</v>
      </c>
      <c r="F2960" t="s">
        <v>108</v>
      </c>
      <c r="H2960" t="s">
        <v>19438</v>
      </c>
      <c r="I2960" t="s">
        <v>225</v>
      </c>
      <c r="J2960" t="s">
        <v>111</v>
      </c>
      <c r="K2960" t="str">
        <f>"85209"</f>
        <v>85209</v>
      </c>
      <c r="L2960" t="s">
        <v>3108</v>
      </c>
      <c r="M2960" t="s">
        <v>19438</v>
      </c>
      <c r="N2960" t="s">
        <v>225</v>
      </c>
      <c r="O2960" t="s">
        <v>111</v>
      </c>
      <c r="P2960" t="str">
        <f>"85209-7043"</f>
        <v>85209-7043</v>
      </c>
      <c r="Q2960" t="s">
        <v>113</v>
      </c>
      <c r="R2960" t="str">
        <f>"220-80-740"</f>
        <v>220-80-740</v>
      </c>
      <c r="S2960" t="s">
        <v>19439</v>
      </c>
      <c r="U2960">
        <v>2395</v>
      </c>
      <c r="V2960">
        <v>0</v>
      </c>
      <c r="W2960">
        <v>4</v>
      </c>
      <c r="X2960">
        <v>1998</v>
      </c>
      <c r="Z2960">
        <v>2</v>
      </c>
      <c r="AA2960" t="s">
        <v>26</v>
      </c>
      <c r="AB2960">
        <v>0</v>
      </c>
      <c r="AC2960" t="s">
        <v>115</v>
      </c>
      <c r="AD2960">
        <v>3</v>
      </c>
      <c r="AE2960" t="s">
        <v>115</v>
      </c>
      <c r="AF2960">
        <v>0</v>
      </c>
      <c r="AG2960">
        <v>0</v>
      </c>
      <c r="AH2960" t="s">
        <v>116</v>
      </c>
      <c r="AI2960" s="1">
        <v>44960</v>
      </c>
      <c r="AJ2960" s="2">
        <v>0.13</v>
      </c>
      <c r="AK2960" s="1">
        <v>346596</v>
      </c>
      <c r="AL2960" t="s">
        <v>117</v>
      </c>
      <c r="AM2960" t="s">
        <v>191</v>
      </c>
      <c r="AN2960">
        <v>7410</v>
      </c>
      <c r="AO2960">
        <v>0.17</v>
      </c>
      <c r="AP2960">
        <v>1</v>
      </c>
      <c r="AR2960">
        <v>1</v>
      </c>
      <c r="AS2960" s="1">
        <v>23920</v>
      </c>
      <c r="AT2960" s="1">
        <v>4780</v>
      </c>
      <c r="AU2960" s="1">
        <v>19140</v>
      </c>
      <c r="AV2960">
        <v>80.02</v>
      </c>
      <c r="AX2960" s="1">
        <v>1949.48</v>
      </c>
      <c r="AY2960" t="s">
        <v>272</v>
      </c>
      <c r="AZ2960" t="s">
        <v>3761</v>
      </c>
      <c r="BA2960" t="s">
        <v>232</v>
      </c>
      <c r="BB2960" s="3">
        <v>42139</v>
      </c>
      <c r="BD2960" t="s">
        <v>842</v>
      </c>
      <c r="BE2960" s="3">
        <v>42102</v>
      </c>
      <c r="BF2960" s="1">
        <v>256000</v>
      </c>
      <c r="BG2960" t="s">
        <v>19440</v>
      </c>
      <c r="BH2960" s="1">
        <v>106.89</v>
      </c>
      <c r="BI2960" s="1">
        <v>301636</v>
      </c>
      <c r="BJ2960" s="3">
        <v>43131</v>
      </c>
      <c r="BK2960" t="s">
        <v>123</v>
      </c>
      <c r="BL2960" t="str">
        <f>"2018.78235"</f>
        <v>2018.78235</v>
      </c>
      <c r="BM2960" t="s">
        <v>673</v>
      </c>
      <c r="BN2960" t="s">
        <v>674</v>
      </c>
      <c r="BO2960" t="s">
        <v>19441</v>
      </c>
      <c r="BP2960" t="s">
        <v>19442</v>
      </c>
      <c r="BR2960" t="s">
        <v>139</v>
      </c>
      <c r="BW2960" t="str">
        <f>""</f>
        <v/>
      </c>
      <c r="CH2960" t="str">
        <f>""</f>
        <v/>
      </c>
      <c r="CS2960" t="str">
        <f>""</f>
        <v/>
      </c>
    </row>
    <row r="2961" spans="1:97" x14ac:dyDescent="0.25">
      <c r="A2961" t="s">
        <v>5069</v>
      </c>
      <c r="B2961" t="s">
        <v>3044</v>
      </c>
      <c r="C2961" t="s">
        <v>19443</v>
      </c>
      <c r="D2961" t="s">
        <v>3044</v>
      </c>
      <c r="E2961" t="s">
        <v>19444</v>
      </c>
      <c r="F2961" t="s">
        <v>108</v>
      </c>
      <c r="H2961" t="s">
        <v>19445</v>
      </c>
      <c r="I2961" t="s">
        <v>453</v>
      </c>
      <c r="J2961" t="s">
        <v>111</v>
      </c>
      <c r="K2961" t="str">
        <f>"85383"</f>
        <v>85383</v>
      </c>
      <c r="L2961" t="s">
        <v>7243</v>
      </c>
      <c r="M2961" t="s">
        <v>19445</v>
      </c>
      <c r="N2961" t="s">
        <v>453</v>
      </c>
      <c r="O2961" t="s">
        <v>111</v>
      </c>
      <c r="P2961" t="str">
        <f>"85383-6247"</f>
        <v>85383-6247</v>
      </c>
      <c r="Q2961" t="s">
        <v>113</v>
      </c>
      <c r="R2961" t="str">
        <f>"201-20-368"</f>
        <v>201-20-368</v>
      </c>
      <c r="S2961" t="s">
        <v>8847</v>
      </c>
      <c r="T2961" t="s">
        <v>8847</v>
      </c>
      <c r="U2961">
        <v>2560</v>
      </c>
      <c r="V2961">
        <v>0</v>
      </c>
      <c r="W2961">
        <v>4</v>
      </c>
      <c r="X2961">
        <v>2013</v>
      </c>
      <c r="Z2961">
        <v>1</v>
      </c>
      <c r="AB2961">
        <v>0</v>
      </c>
      <c r="AC2961" t="s">
        <v>115</v>
      </c>
      <c r="AD2961">
        <v>2</v>
      </c>
      <c r="AE2961" t="s">
        <v>115</v>
      </c>
      <c r="AF2961">
        <v>0</v>
      </c>
      <c r="AG2961">
        <v>0</v>
      </c>
      <c r="AH2961" t="s">
        <v>116</v>
      </c>
      <c r="AI2961" s="1">
        <v>82097</v>
      </c>
      <c r="AJ2961" s="2">
        <v>0.2</v>
      </c>
      <c r="AK2961" s="1">
        <v>412087</v>
      </c>
      <c r="AL2961" t="s">
        <v>117</v>
      </c>
      <c r="AM2961" t="s">
        <v>118</v>
      </c>
      <c r="AN2961">
        <v>7680</v>
      </c>
      <c r="AO2961">
        <v>0.18</v>
      </c>
      <c r="AR2961">
        <v>1</v>
      </c>
      <c r="AS2961" s="1">
        <v>31050</v>
      </c>
      <c r="AT2961" s="1">
        <v>6210</v>
      </c>
      <c r="AU2961" s="1">
        <v>24840</v>
      </c>
      <c r="AV2961">
        <v>80</v>
      </c>
      <c r="AX2961" s="1">
        <v>2708.22</v>
      </c>
      <c r="AY2961" t="s">
        <v>1385</v>
      </c>
      <c r="AZ2961" t="s">
        <v>1385</v>
      </c>
      <c r="BA2961" t="s">
        <v>1386</v>
      </c>
      <c r="BE2961" s="3">
        <v>41857</v>
      </c>
      <c r="BF2961" s="1">
        <v>329990</v>
      </c>
      <c r="BG2961" t="s">
        <v>158</v>
      </c>
      <c r="BH2961" s="1">
        <v>128.9</v>
      </c>
      <c r="BI2961" s="1">
        <v>329990</v>
      </c>
      <c r="BJ2961" s="3">
        <v>41857</v>
      </c>
      <c r="BK2961" t="s">
        <v>123</v>
      </c>
      <c r="BL2961" t="str">
        <f>"2014.518358"</f>
        <v>2014.518358</v>
      </c>
      <c r="BM2961" t="s">
        <v>241</v>
      </c>
      <c r="BO2961" t="s">
        <v>19446</v>
      </c>
      <c r="BS2961">
        <v>30</v>
      </c>
      <c r="BW2961" t="str">
        <f>""</f>
        <v/>
      </c>
      <c r="CH2961" t="str">
        <f>""</f>
        <v/>
      </c>
      <c r="CS2961" t="str">
        <f>""</f>
        <v/>
      </c>
    </row>
    <row r="2962" spans="1:97" x14ac:dyDescent="0.25">
      <c r="A2962" t="s">
        <v>11384</v>
      </c>
      <c r="B2962" t="s">
        <v>4306</v>
      </c>
      <c r="E2962" t="s">
        <v>19447</v>
      </c>
      <c r="F2962" t="s">
        <v>108</v>
      </c>
      <c r="H2962" t="s">
        <v>19448</v>
      </c>
      <c r="I2962" t="s">
        <v>390</v>
      </c>
      <c r="J2962" t="s">
        <v>111</v>
      </c>
      <c r="K2962" t="str">
        <f>"85054"</f>
        <v>85054</v>
      </c>
      <c r="L2962" t="s">
        <v>14621</v>
      </c>
      <c r="M2962" t="s">
        <v>19448</v>
      </c>
      <c r="N2962" t="s">
        <v>390</v>
      </c>
      <c r="O2962" t="s">
        <v>111</v>
      </c>
      <c r="P2962" t="str">
        <f>"85054-7138"</f>
        <v>85054-7138</v>
      </c>
      <c r="Q2962" t="s">
        <v>113</v>
      </c>
      <c r="R2962" t="str">
        <f>"212-37-222"</f>
        <v>212-37-222</v>
      </c>
      <c r="S2962" t="s">
        <v>16859</v>
      </c>
      <c r="T2962" t="s">
        <v>16860</v>
      </c>
      <c r="U2962">
        <v>1739</v>
      </c>
      <c r="V2962">
        <v>0</v>
      </c>
      <c r="W2962">
        <v>3</v>
      </c>
      <c r="X2962">
        <v>1998</v>
      </c>
      <c r="Z2962">
        <v>1</v>
      </c>
      <c r="AA2962" t="s">
        <v>26</v>
      </c>
      <c r="AB2962">
        <v>0</v>
      </c>
      <c r="AC2962" t="s">
        <v>115</v>
      </c>
      <c r="AD2962">
        <v>2</v>
      </c>
      <c r="AE2962" t="s">
        <v>115</v>
      </c>
      <c r="AF2962">
        <v>0</v>
      </c>
      <c r="AG2962">
        <v>0</v>
      </c>
      <c r="AH2962" t="s">
        <v>116</v>
      </c>
      <c r="AI2962" s="1">
        <v>29097</v>
      </c>
      <c r="AJ2962" s="2">
        <v>7.0000000000000007E-2</v>
      </c>
      <c r="AK2962" s="1">
        <v>421189</v>
      </c>
      <c r="AL2962" t="s">
        <v>117</v>
      </c>
      <c r="AM2962" t="s">
        <v>191</v>
      </c>
      <c r="AN2962">
        <v>5577</v>
      </c>
      <c r="AO2962">
        <v>0.13</v>
      </c>
      <c r="AP2962">
        <v>1</v>
      </c>
      <c r="AR2962">
        <v>1</v>
      </c>
      <c r="AS2962" s="1">
        <v>30430</v>
      </c>
      <c r="AT2962" s="1">
        <v>6080</v>
      </c>
      <c r="AU2962" s="1">
        <v>24350</v>
      </c>
      <c r="AV2962">
        <v>80.02</v>
      </c>
      <c r="AX2962" s="1">
        <v>3116.14</v>
      </c>
      <c r="AY2962" t="s">
        <v>6351</v>
      </c>
      <c r="AZ2962" t="s">
        <v>6352</v>
      </c>
      <c r="BA2962" t="s">
        <v>762</v>
      </c>
      <c r="BE2962" s="3">
        <v>41774</v>
      </c>
      <c r="BF2962" s="1">
        <v>425000</v>
      </c>
      <c r="BG2962" t="s">
        <v>19449</v>
      </c>
      <c r="BH2962" s="1">
        <v>244.39</v>
      </c>
      <c r="BI2962" s="1">
        <v>392092</v>
      </c>
      <c r="BJ2962" s="3">
        <v>42003</v>
      </c>
      <c r="BK2962" t="s">
        <v>123</v>
      </c>
      <c r="BL2962" t="str">
        <f>"2014.856673"</f>
        <v>2014.856673</v>
      </c>
      <c r="BM2962" t="s">
        <v>2683</v>
      </c>
      <c r="BO2962" t="s">
        <v>19450</v>
      </c>
      <c r="BS2962">
        <v>30</v>
      </c>
      <c r="BW2962" t="str">
        <f>""</f>
        <v/>
      </c>
      <c r="CH2962" t="str">
        <f>""</f>
        <v/>
      </c>
      <c r="CS2962" t="str">
        <f>""</f>
        <v/>
      </c>
    </row>
    <row r="2963" spans="1:97" x14ac:dyDescent="0.25">
      <c r="A2963" t="s">
        <v>19451</v>
      </c>
      <c r="B2963" t="s">
        <v>3029</v>
      </c>
      <c r="C2963" t="s">
        <v>19452</v>
      </c>
      <c r="D2963" t="s">
        <v>3029</v>
      </c>
      <c r="E2963" t="s">
        <v>19453</v>
      </c>
      <c r="F2963" t="s">
        <v>108</v>
      </c>
      <c r="H2963" t="s">
        <v>19454</v>
      </c>
      <c r="I2963" t="s">
        <v>203</v>
      </c>
      <c r="J2963" t="s">
        <v>111</v>
      </c>
      <c r="K2963" t="str">
        <f>"85234"</f>
        <v>85234</v>
      </c>
      <c r="L2963" t="s">
        <v>1796</v>
      </c>
      <c r="M2963" t="s">
        <v>19454</v>
      </c>
      <c r="N2963" t="s">
        <v>203</v>
      </c>
      <c r="O2963" t="s">
        <v>111</v>
      </c>
      <c r="P2963" t="str">
        <f>"85234-6420"</f>
        <v>85234-6420</v>
      </c>
      <c r="Q2963" t="s">
        <v>113</v>
      </c>
      <c r="R2963" t="str">
        <f>"304-97-283"</f>
        <v>304-97-283</v>
      </c>
      <c r="S2963" t="s">
        <v>19455</v>
      </c>
      <c r="T2963" t="s">
        <v>19456</v>
      </c>
      <c r="U2963">
        <v>2985</v>
      </c>
      <c r="V2963">
        <v>0</v>
      </c>
      <c r="W2963">
        <v>4</v>
      </c>
      <c r="X2963">
        <v>1987</v>
      </c>
      <c r="Z2963">
        <v>2</v>
      </c>
      <c r="AB2963">
        <v>0</v>
      </c>
      <c r="AC2963" t="s">
        <v>115</v>
      </c>
      <c r="AD2963">
        <v>3</v>
      </c>
      <c r="AE2963" t="s">
        <v>115</v>
      </c>
      <c r="AF2963">
        <v>0</v>
      </c>
      <c r="AG2963">
        <v>0</v>
      </c>
      <c r="AH2963" t="s">
        <v>116</v>
      </c>
      <c r="AI2963" s="1">
        <v>-13414</v>
      </c>
      <c r="AJ2963" s="2">
        <v>-0.04</v>
      </c>
      <c r="AK2963" s="1">
        <v>334440</v>
      </c>
      <c r="AL2963" t="s">
        <v>117</v>
      </c>
      <c r="AM2963" t="s">
        <v>393</v>
      </c>
      <c r="AN2963">
        <v>8564</v>
      </c>
      <c r="AO2963">
        <v>0.2</v>
      </c>
      <c r="AP2963">
        <v>1</v>
      </c>
      <c r="AR2963">
        <v>1</v>
      </c>
      <c r="AS2963" s="1">
        <v>28520</v>
      </c>
      <c r="AT2963" s="1">
        <v>5700</v>
      </c>
      <c r="AU2963" s="1">
        <v>22820</v>
      </c>
      <c r="AV2963">
        <v>80.010000000000005</v>
      </c>
      <c r="AX2963" s="1">
        <v>2155.7800000000002</v>
      </c>
      <c r="AY2963" t="s">
        <v>9115</v>
      </c>
      <c r="AZ2963" t="s">
        <v>5478</v>
      </c>
      <c r="BA2963" t="s">
        <v>5033</v>
      </c>
      <c r="BE2963" s="3">
        <v>42537</v>
      </c>
      <c r="BF2963" s="1">
        <v>332500</v>
      </c>
      <c r="BG2963" t="s">
        <v>7720</v>
      </c>
      <c r="BH2963" s="1">
        <v>111.39</v>
      </c>
      <c r="BI2963" s="1">
        <v>347854</v>
      </c>
      <c r="BJ2963" s="3">
        <v>42670</v>
      </c>
      <c r="BK2963" t="s">
        <v>123</v>
      </c>
      <c r="BL2963" t="str">
        <f>"2016.788941"</f>
        <v>2016.788941</v>
      </c>
      <c r="BM2963" t="s">
        <v>1695</v>
      </c>
      <c r="BO2963" t="s">
        <v>19457</v>
      </c>
      <c r="BS2963">
        <v>30</v>
      </c>
      <c r="BW2963" t="str">
        <f>""</f>
        <v/>
      </c>
      <c r="CH2963" t="str">
        <f>""</f>
        <v/>
      </c>
      <c r="CS2963" t="str">
        <f>""</f>
        <v/>
      </c>
    </row>
    <row r="2964" spans="1:97" x14ac:dyDescent="0.25">
      <c r="A2964" t="s">
        <v>1514</v>
      </c>
      <c r="B2964" t="s">
        <v>4774</v>
      </c>
      <c r="C2964" t="s">
        <v>1620</v>
      </c>
      <c r="D2964" t="s">
        <v>4774</v>
      </c>
      <c r="E2964" t="s">
        <v>19458</v>
      </c>
      <c r="F2964" t="s">
        <v>108</v>
      </c>
      <c r="H2964" t="s">
        <v>19459</v>
      </c>
      <c r="I2964" t="s">
        <v>3150</v>
      </c>
      <c r="J2964" t="s">
        <v>111</v>
      </c>
      <c r="K2964" t="str">
        <f>"85340"</f>
        <v>85340</v>
      </c>
      <c r="L2964" t="s">
        <v>5239</v>
      </c>
      <c r="M2964" t="s">
        <v>19459</v>
      </c>
      <c r="N2964" t="s">
        <v>3150</v>
      </c>
      <c r="O2964" t="s">
        <v>111</v>
      </c>
      <c r="P2964" t="str">
        <f>"85340-9346"</f>
        <v>85340-9346</v>
      </c>
      <c r="Q2964" t="s">
        <v>113</v>
      </c>
      <c r="R2964" t="str">
        <f>"501-56-441"</f>
        <v>501-56-441</v>
      </c>
      <c r="S2964" t="s">
        <v>7397</v>
      </c>
      <c r="T2964" t="s">
        <v>7397</v>
      </c>
      <c r="U2964">
        <v>2851</v>
      </c>
      <c r="V2964">
        <v>0</v>
      </c>
      <c r="W2964">
        <v>4</v>
      </c>
      <c r="X2964">
        <v>2015</v>
      </c>
      <c r="Z2964">
        <v>1</v>
      </c>
      <c r="AB2964">
        <v>0</v>
      </c>
      <c r="AC2964" t="s">
        <v>115</v>
      </c>
      <c r="AD2964">
        <v>3</v>
      </c>
      <c r="AE2964" t="s">
        <v>115</v>
      </c>
      <c r="AF2964">
        <v>0</v>
      </c>
      <c r="AG2964">
        <v>0</v>
      </c>
      <c r="AH2964" t="s">
        <v>116</v>
      </c>
      <c r="AI2964" s="1">
        <v>52623</v>
      </c>
      <c r="AJ2964" s="2">
        <v>0.11</v>
      </c>
      <c r="AK2964" s="1">
        <v>467623</v>
      </c>
      <c r="AL2964" t="s">
        <v>117</v>
      </c>
      <c r="AM2964" t="s">
        <v>376</v>
      </c>
      <c r="AN2964">
        <v>32672</v>
      </c>
      <c r="AO2964">
        <v>0.75</v>
      </c>
      <c r="AR2964">
        <v>1</v>
      </c>
      <c r="AS2964" s="1">
        <v>35670</v>
      </c>
      <c r="AT2964" s="1">
        <v>7130</v>
      </c>
      <c r="AU2964" s="1">
        <v>28540</v>
      </c>
      <c r="AV2964">
        <v>80.010000000000005</v>
      </c>
      <c r="AX2964" s="1">
        <v>2445.3000000000002</v>
      </c>
      <c r="AY2964" t="s">
        <v>5241</v>
      </c>
      <c r="AZ2964" t="s">
        <v>3153</v>
      </c>
      <c r="BA2964" t="s">
        <v>3154</v>
      </c>
      <c r="BE2964" s="3">
        <v>42039</v>
      </c>
      <c r="BF2964" s="1">
        <v>415418</v>
      </c>
      <c r="BG2964" t="s">
        <v>158</v>
      </c>
      <c r="BH2964" s="1">
        <v>145.71</v>
      </c>
      <c r="BI2964" s="1">
        <v>415000</v>
      </c>
      <c r="BJ2964" s="3">
        <v>42039</v>
      </c>
      <c r="BK2964" t="s">
        <v>123</v>
      </c>
      <c r="BL2964" t="str">
        <f>"2015.72015"</f>
        <v>2015.72015</v>
      </c>
      <c r="BM2964" t="s">
        <v>241</v>
      </c>
      <c r="BO2964" t="s">
        <v>19460</v>
      </c>
      <c r="BS2964">
        <v>30</v>
      </c>
      <c r="BW2964" t="str">
        <f>""</f>
        <v/>
      </c>
      <c r="CH2964" t="str">
        <f>""</f>
        <v/>
      </c>
      <c r="CS2964" t="str">
        <f>""</f>
        <v/>
      </c>
    </row>
    <row r="2965" spans="1:97" x14ac:dyDescent="0.25">
      <c r="A2965" t="s">
        <v>2536</v>
      </c>
      <c r="B2965" t="s">
        <v>19461</v>
      </c>
      <c r="C2965" t="s">
        <v>1729</v>
      </c>
      <c r="D2965" t="s">
        <v>10375</v>
      </c>
      <c r="E2965" t="s">
        <v>19462</v>
      </c>
      <c r="F2965" t="s">
        <v>108</v>
      </c>
      <c r="H2965" t="s">
        <v>19463</v>
      </c>
      <c r="I2965" t="s">
        <v>453</v>
      </c>
      <c r="J2965" t="s">
        <v>111</v>
      </c>
      <c r="K2965" t="str">
        <f>"85382"</f>
        <v>85382</v>
      </c>
      <c r="L2965" t="s">
        <v>1789</v>
      </c>
      <c r="M2965" t="s">
        <v>19463</v>
      </c>
      <c r="N2965" t="s">
        <v>453</v>
      </c>
      <c r="O2965" t="s">
        <v>111</v>
      </c>
      <c r="P2965" t="str">
        <f>"85382"</f>
        <v>85382</v>
      </c>
      <c r="Q2965" t="s">
        <v>113</v>
      </c>
      <c r="R2965" t="str">
        <f>"200-09-131"</f>
        <v>200-09-131</v>
      </c>
      <c r="S2965" t="s">
        <v>19464</v>
      </c>
      <c r="T2965" t="s">
        <v>19465</v>
      </c>
      <c r="U2965">
        <v>1968</v>
      </c>
      <c r="V2965">
        <v>0</v>
      </c>
      <c r="W2965">
        <v>3</v>
      </c>
      <c r="X2965">
        <v>2004</v>
      </c>
      <c r="Z2965">
        <v>1</v>
      </c>
      <c r="AB2965">
        <v>0</v>
      </c>
      <c r="AC2965" t="s">
        <v>115</v>
      </c>
      <c r="AD2965">
        <v>3</v>
      </c>
      <c r="AE2965" t="s">
        <v>115</v>
      </c>
      <c r="AF2965">
        <v>0</v>
      </c>
      <c r="AG2965">
        <v>0</v>
      </c>
      <c r="AH2965" t="s">
        <v>116</v>
      </c>
      <c r="AI2965" s="1">
        <v>88521</v>
      </c>
      <c r="AJ2965" s="2">
        <v>0.28000000000000003</v>
      </c>
      <c r="AK2965" s="1">
        <v>315421</v>
      </c>
      <c r="AL2965" t="s">
        <v>117</v>
      </c>
      <c r="AM2965" t="s">
        <v>191</v>
      </c>
      <c r="AN2965">
        <v>6600</v>
      </c>
      <c r="AO2965">
        <v>0.15</v>
      </c>
      <c r="AP2965">
        <v>1</v>
      </c>
      <c r="AR2965">
        <v>1</v>
      </c>
      <c r="AS2965" s="1">
        <v>22580</v>
      </c>
      <c r="AT2965" s="1">
        <v>4510</v>
      </c>
      <c r="AU2965" s="1">
        <v>18070</v>
      </c>
      <c r="AV2965">
        <v>80.03</v>
      </c>
      <c r="AX2965" s="1">
        <v>1882.4</v>
      </c>
      <c r="AY2965" t="s">
        <v>4520</v>
      </c>
      <c r="AZ2965" t="s">
        <v>4520</v>
      </c>
      <c r="BA2965" t="s">
        <v>4219</v>
      </c>
      <c r="BB2965" s="3">
        <v>41915</v>
      </c>
      <c r="BD2965" t="s">
        <v>240</v>
      </c>
      <c r="BE2965" s="3">
        <v>41915</v>
      </c>
      <c r="BF2965" s="1">
        <v>229500</v>
      </c>
      <c r="BG2965" t="s">
        <v>19466</v>
      </c>
      <c r="BH2965" s="1">
        <v>116.62</v>
      </c>
      <c r="BI2965" s="1">
        <v>226900</v>
      </c>
      <c r="BJ2965" s="3">
        <v>41915</v>
      </c>
      <c r="BK2965" t="s">
        <v>123</v>
      </c>
      <c r="BL2965" t="str">
        <f>"2014.658443"</f>
        <v>2014.658443</v>
      </c>
      <c r="BM2965" t="s">
        <v>5867</v>
      </c>
      <c r="BO2965" t="s">
        <v>19467</v>
      </c>
      <c r="BS2965">
        <v>30</v>
      </c>
      <c r="BW2965" t="str">
        <f>""</f>
        <v/>
      </c>
      <c r="CH2965" t="str">
        <f>""</f>
        <v/>
      </c>
      <c r="CS2965" t="str">
        <f>""</f>
        <v/>
      </c>
    </row>
    <row r="2966" spans="1:97" x14ac:dyDescent="0.25">
      <c r="A2966" t="s">
        <v>5373</v>
      </c>
      <c r="B2966" t="s">
        <v>19468</v>
      </c>
      <c r="C2966" t="s">
        <v>7872</v>
      </c>
      <c r="D2966" t="s">
        <v>19468</v>
      </c>
      <c r="E2966" t="s">
        <v>19469</v>
      </c>
      <c r="F2966" t="s">
        <v>108</v>
      </c>
      <c r="H2966" t="s">
        <v>19470</v>
      </c>
      <c r="I2966" t="s">
        <v>453</v>
      </c>
      <c r="J2966" t="s">
        <v>111</v>
      </c>
      <c r="K2966" t="str">
        <f>"85382"</f>
        <v>85382</v>
      </c>
      <c r="L2966" t="s">
        <v>9293</v>
      </c>
      <c r="M2966" t="s">
        <v>19470</v>
      </c>
      <c r="N2966" t="s">
        <v>453</v>
      </c>
      <c r="O2966" t="s">
        <v>111</v>
      </c>
      <c r="P2966" t="str">
        <f>"85382-3791"</f>
        <v>85382-3791</v>
      </c>
      <c r="Q2966" t="s">
        <v>113</v>
      </c>
      <c r="R2966" t="str">
        <f>"200-54-470"</f>
        <v>200-54-470</v>
      </c>
      <c r="S2966" t="s">
        <v>9325</v>
      </c>
      <c r="T2966" t="s">
        <v>9325</v>
      </c>
      <c r="U2966">
        <v>2273</v>
      </c>
      <c r="V2966">
        <v>0</v>
      </c>
      <c r="W2966">
        <v>3</v>
      </c>
      <c r="X2966">
        <v>1994</v>
      </c>
      <c r="Z2966">
        <v>1</v>
      </c>
      <c r="AB2966">
        <v>0</v>
      </c>
      <c r="AC2966" t="s">
        <v>115</v>
      </c>
      <c r="AD2966">
        <v>3</v>
      </c>
      <c r="AE2966" t="s">
        <v>115</v>
      </c>
      <c r="AF2966">
        <v>0</v>
      </c>
      <c r="AG2966">
        <v>0</v>
      </c>
      <c r="AH2966" t="s">
        <v>116</v>
      </c>
      <c r="AI2966" s="1">
        <v>43919</v>
      </c>
      <c r="AJ2966" s="2">
        <v>0.13</v>
      </c>
      <c r="AK2966" s="1">
        <v>334793</v>
      </c>
      <c r="AL2966" t="s">
        <v>117</v>
      </c>
      <c r="AM2966" t="s">
        <v>191</v>
      </c>
      <c r="AN2966">
        <v>9527</v>
      </c>
      <c r="AO2966">
        <v>0.22</v>
      </c>
      <c r="AP2966">
        <v>1</v>
      </c>
      <c r="AR2966">
        <v>1</v>
      </c>
      <c r="AS2966" s="1">
        <v>24280</v>
      </c>
      <c r="AT2966" s="1">
        <v>4850</v>
      </c>
      <c r="AU2966" s="1">
        <v>19430</v>
      </c>
      <c r="AV2966">
        <v>80.02</v>
      </c>
      <c r="AX2966" s="1">
        <v>2088.64</v>
      </c>
      <c r="AY2966" t="s">
        <v>5573</v>
      </c>
      <c r="AZ2966" t="s">
        <v>5573</v>
      </c>
      <c r="BA2966" t="s">
        <v>1800</v>
      </c>
      <c r="BE2966" s="3">
        <v>41757</v>
      </c>
      <c r="BF2966" s="1">
        <v>289000</v>
      </c>
      <c r="BG2966" t="s">
        <v>19471</v>
      </c>
      <c r="BH2966" s="1">
        <v>127.14</v>
      </c>
      <c r="BI2966" s="1">
        <v>290874</v>
      </c>
      <c r="BJ2966" s="3">
        <v>42430</v>
      </c>
      <c r="BK2966" t="s">
        <v>123</v>
      </c>
      <c r="BL2966" t="str">
        <f>"2016.131208"</f>
        <v>2016.131208</v>
      </c>
      <c r="BM2966" t="s">
        <v>6761</v>
      </c>
      <c r="BO2966" t="s">
        <v>19472</v>
      </c>
      <c r="BS2966">
        <v>30</v>
      </c>
      <c r="BW2966" t="str">
        <f>""</f>
        <v/>
      </c>
      <c r="CH2966" t="str">
        <f>""</f>
        <v/>
      </c>
      <c r="CS2966" t="str">
        <f>""</f>
        <v/>
      </c>
    </row>
    <row r="2967" spans="1:97" x14ac:dyDescent="0.25">
      <c r="A2967" t="s">
        <v>1938</v>
      </c>
      <c r="B2967" t="s">
        <v>19473</v>
      </c>
      <c r="E2967" t="s">
        <v>19474</v>
      </c>
      <c r="F2967" t="s">
        <v>108</v>
      </c>
      <c r="H2967" t="s">
        <v>19475</v>
      </c>
      <c r="I2967" t="s">
        <v>5523</v>
      </c>
      <c r="J2967" t="s">
        <v>111</v>
      </c>
      <c r="K2967" t="str">
        <f>"85373"</f>
        <v>85373</v>
      </c>
      <c r="L2967" t="s">
        <v>5524</v>
      </c>
      <c r="M2967" t="s">
        <v>19475</v>
      </c>
      <c r="N2967" t="s">
        <v>5523</v>
      </c>
      <c r="O2967" t="s">
        <v>111</v>
      </c>
      <c r="P2967" t="str">
        <f>"85373-5400"</f>
        <v>85373-5400</v>
      </c>
      <c r="R2967" t="str">
        <f>"503-88-554"</f>
        <v>503-88-554</v>
      </c>
      <c r="S2967" t="s">
        <v>19476</v>
      </c>
      <c r="T2967" t="s">
        <v>6818</v>
      </c>
      <c r="U2967">
        <v>2227</v>
      </c>
      <c r="V2967">
        <v>0</v>
      </c>
      <c r="W2967">
        <v>4</v>
      </c>
      <c r="X2967">
        <v>2007</v>
      </c>
      <c r="Z2967">
        <v>1</v>
      </c>
      <c r="AB2967">
        <v>0</v>
      </c>
      <c r="AC2967" t="s">
        <v>115</v>
      </c>
      <c r="AD2967">
        <v>3</v>
      </c>
      <c r="AE2967" t="s">
        <v>115</v>
      </c>
      <c r="AF2967">
        <v>0</v>
      </c>
      <c r="AG2967">
        <v>0</v>
      </c>
      <c r="AH2967" t="s">
        <v>116</v>
      </c>
      <c r="AI2967" s="1">
        <v>51415</v>
      </c>
      <c r="AJ2967" s="2">
        <v>0.16</v>
      </c>
      <c r="AK2967" s="1">
        <v>315327</v>
      </c>
      <c r="AL2967" t="s">
        <v>117</v>
      </c>
      <c r="AM2967" t="s">
        <v>393</v>
      </c>
      <c r="AN2967">
        <v>8050</v>
      </c>
      <c r="AO2967">
        <v>0.18</v>
      </c>
      <c r="AR2967">
        <v>1</v>
      </c>
      <c r="AS2967" s="1">
        <v>22720</v>
      </c>
      <c r="AT2967" s="1">
        <v>4540</v>
      </c>
      <c r="AU2967" s="1">
        <v>18180</v>
      </c>
      <c r="AV2967">
        <v>80.02</v>
      </c>
      <c r="AX2967" s="1">
        <v>2326.2600000000002</v>
      </c>
      <c r="AY2967" t="s">
        <v>3228</v>
      </c>
      <c r="AZ2967" t="s">
        <v>3228</v>
      </c>
      <c r="BA2967" t="s">
        <v>457</v>
      </c>
      <c r="BE2967" s="3">
        <v>42209</v>
      </c>
      <c r="BF2967" s="1">
        <v>253000</v>
      </c>
      <c r="BG2967" t="s">
        <v>19477</v>
      </c>
      <c r="BH2967" s="1">
        <v>113.61</v>
      </c>
      <c r="BI2967" s="1">
        <v>263912</v>
      </c>
      <c r="BJ2967" s="3">
        <v>42521</v>
      </c>
      <c r="BK2967" t="s">
        <v>123</v>
      </c>
      <c r="BL2967" t="str">
        <f>"2016.374445"</f>
        <v>2016.374445</v>
      </c>
      <c r="BM2967" t="s">
        <v>19478</v>
      </c>
      <c r="BN2967" t="s">
        <v>19479</v>
      </c>
      <c r="BO2967" t="s">
        <v>19480</v>
      </c>
      <c r="BS2967">
        <v>30</v>
      </c>
      <c r="BW2967" t="str">
        <f>""</f>
        <v/>
      </c>
      <c r="CH2967" t="str">
        <f>""</f>
        <v/>
      </c>
      <c r="CS2967" t="str">
        <f>""</f>
        <v/>
      </c>
    </row>
    <row r="2968" spans="1:97" x14ac:dyDescent="0.25">
      <c r="A2968" t="s">
        <v>996</v>
      </c>
      <c r="B2968" t="s">
        <v>14349</v>
      </c>
      <c r="C2968" t="s">
        <v>2178</v>
      </c>
      <c r="D2968" t="s">
        <v>14349</v>
      </c>
      <c r="E2968" t="s">
        <v>19481</v>
      </c>
      <c r="F2968" t="s">
        <v>108</v>
      </c>
      <c r="H2968" t="s">
        <v>19482</v>
      </c>
      <c r="I2968" t="s">
        <v>203</v>
      </c>
      <c r="J2968" t="s">
        <v>111</v>
      </c>
      <c r="K2968" t="str">
        <f>"85295"</f>
        <v>85295</v>
      </c>
      <c r="L2968" t="s">
        <v>5084</v>
      </c>
      <c r="M2968" t="s">
        <v>19482</v>
      </c>
      <c r="N2968" t="s">
        <v>203</v>
      </c>
      <c r="O2968" t="s">
        <v>111</v>
      </c>
      <c r="P2968" t="str">
        <f>"85295-2127"</f>
        <v>85295-2127</v>
      </c>
      <c r="Q2968" t="s">
        <v>113</v>
      </c>
      <c r="R2968" t="str">
        <f>"304-48-806"</f>
        <v>304-48-806</v>
      </c>
      <c r="S2968" t="s">
        <v>11698</v>
      </c>
      <c r="T2968" t="s">
        <v>11698</v>
      </c>
      <c r="U2968">
        <v>2657</v>
      </c>
      <c r="V2968">
        <v>0</v>
      </c>
      <c r="W2968">
        <v>4</v>
      </c>
      <c r="X2968">
        <v>2004</v>
      </c>
      <c r="Z2968">
        <v>1</v>
      </c>
      <c r="AA2968" t="s">
        <v>26</v>
      </c>
      <c r="AB2968">
        <v>0</v>
      </c>
      <c r="AC2968" t="s">
        <v>115</v>
      </c>
      <c r="AD2968">
        <v>2</v>
      </c>
      <c r="AE2968" t="s">
        <v>115</v>
      </c>
      <c r="AF2968">
        <v>0</v>
      </c>
      <c r="AG2968">
        <v>0</v>
      </c>
      <c r="AH2968" t="s">
        <v>116</v>
      </c>
      <c r="AI2968" s="1">
        <v>65071</v>
      </c>
      <c r="AJ2968" s="2">
        <v>0.15</v>
      </c>
      <c r="AK2968" s="1">
        <v>426517</v>
      </c>
      <c r="AL2968" t="s">
        <v>117</v>
      </c>
      <c r="AM2968" t="s">
        <v>393</v>
      </c>
      <c r="AN2968">
        <v>8054</v>
      </c>
      <c r="AO2968">
        <v>0.18</v>
      </c>
      <c r="AP2968">
        <v>1</v>
      </c>
      <c r="AR2968">
        <v>1</v>
      </c>
      <c r="AS2968" s="1">
        <v>29780</v>
      </c>
      <c r="AT2968" s="1">
        <v>5950</v>
      </c>
      <c r="AU2968" s="1">
        <v>23830</v>
      </c>
      <c r="AV2968">
        <v>80.02</v>
      </c>
      <c r="AX2968" s="1">
        <v>2495.08</v>
      </c>
      <c r="AY2968" t="s">
        <v>5087</v>
      </c>
      <c r="AZ2968" t="s">
        <v>5087</v>
      </c>
      <c r="BA2968" t="s">
        <v>473</v>
      </c>
      <c r="BE2968" s="3">
        <v>42384</v>
      </c>
      <c r="BF2968" s="1">
        <v>349900</v>
      </c>
      <c r="BG2968" t="s">
        <v>19483</v>
      </c>
      <c r="BH2968" s="1">
        <v>131.69</v>
      </c>
      <c r="BI2968" s="1">
        <v>361446</v>
      </c>
      <c r="BJ2968" s="3">
        <v>42384</v>
      </c>
      <c r="BK2968" t="s">
        <v>123</v>
      </c>
      <c r="BL2968" t="str">
        <f>"2016.30578"</f>
        <v>2016.30578</v>
      </c>
      <c r="BM2968" t="s">
        <v>1287</v>
      </c>
      <c r="BO2968" t="s">
        <v>19484</v>
      </c>
      <c r="BS2968">
        <v>30</v>
      </c>
      <c r="BW2968" t="str">
        <f>""</f>
        <v/>
      </c>
      <c r="CH2968" t="str">
        <f>""</f>
        <v/>
      </c>
      <c r="CS2968" t="str">
        <f>""</f>
        <v/>
      </c>
    </row>
    <row r="2969" spans="1:97" x14ac:dyDescent="0.25">
      <c r="A2969" t="s">
        <v>996</v>
      </c>
      <c r="B2969" t="s">
        <v>1733</v>
      </c>
      <c r="C2969" t="s">
        <v>1021</v>
      </c>
      <c r="D2969" t="s">
        <v>1733</v>
      </c>
      <c r="E2969" t="s">
        <v>19485</v>
      </c>
      <c r="F2969" t="s">
        <v>108</v>
      </c>
      <c r="H2969" t="s">
        <v>19486</v>
      </c>
      <c r="I2969" t="s">
        <v>110</v>
      </c>
      <c r="J2969" t="s">
        <v>111</v>
      </c>
      <c r="K2969" t="str">
        <f>"85249"</f>
        <v>85249</v>
      </c>
      <c r="L2969" t="s">
        <v>417</v>
      </c>
      <c r="M2969" t="s">
        <v>19486</v>
      </c>
      <c r="N2969" t="s">
        <v>110</v>
      </c>
      <c r="O2969" t="s">
        <v>111</v>
      </c>
      <c r="P2969" t="str">
        <f>"85249-5867"</f>
        <v>85249-5867</v>
      </c>
      <c r="Q2969" t="s">
        <v>113</v>
      </c>
      <c r="R2969" t="str">
        <f>"304-82-427"</f>
        <v>304-82-427</v>
      </c>
      <c r="S2969" t="s">
        <v>7599</v>
      </c>
      <c r="T2969" t="s">
        <v>7599</v>
      </c>
      <c r="U2969">
        <v>3079</v>
      </c>
      <c r="V2969">
        <v>0</v>
      </c>
      <c r="W2969">
        <v>4</v>
      </c>
      <c r="X2969">
        <v>2004</v>
      </c>
      <c r="Z2969">
        <v>2</v>
      </c>
      <c r="AA2969" t="s">
        <v>26</v>
      </c>
      <c r="AB2969">
        <v>0</v>
      </c>
      <c r="AC2969" t="s">
        <v>115</v>
      </c>
      <c r="AD2969">
        <v>3</v>
      </c>
      <c r="AE2969" t="s">
        <v>115</v>
      </c>
      <c r="AF2969">
        <v>0</v>
      </c>
      <c r="AG2969">
        <v>0</v>
      </c>
      <c r="AH2969" t="s">
        <v>116</v>
      </c>
      <c r="AI2969" s="1">
        <v>109854</v>
      </c>
      <c r="AJ2969" s="2">
        <v>0.25</v>
      </c>
      <c r="AK2969" s="1">
        <v>445062</v>
      </c>
      <c r="AL2969" t="s">
        <v>117</v>
      </c>
      <c r="AM2969" t="s">
        <v>118</v>
      </c>
      <c r="AN2969">
        <v>10232</v>
      </c>
      <c r="AO2969">
        <v>0.24</v>
      </c>
      <c r="AP2969">
        <v>1</v>
      </c>
      <c r="AR2969">
        <v>1</v>
      </c>
      <c r="AS2969" s="1">
        <v>30970</v>
      </c>
      <c r="AT2969" s="1">
        <v>6190</v>
      </c>
      <c r="AU2969" s="1">
        <v>24780</v>
      </c>
      <c r="AV2969">
        <v>80.010000000000005</v>
      </c>
      <c r="AX2969" s="1">
        <v>2735.82</v>
      </c>
      <c r="AY2969" t="s">
        <v>3699</v>
      </c>
      <c r="AZ2969" t="s">
        <v>273</v>
      </c>
      <c r="BA2969" t="s">
        <v>274</v>
      </c>
      <c r="BE2969" s="3">
        <v>42510</v>
      </c>
      <c r="BF2969" s="1">
        <v>324500</v>
      </c>
      <c r="BG2969" t="s">
        <v>19487</v>
      </c>
      <c r="BH2969" s="1">
        <v>105.39</v>
      </c>
      <c r="BI2969" s="1">
        <v>335208</v>
      </c>
      <c r="BJ2969" s="3">
        <v>42510</v>
      </c>
      <c r="BK2969" t="s">
        <v>123</v>
      </c>
      <c r="BL2969" t="str">
        <f>"2016.348200"</f>
        <v>2016.348200</v>
      </c>
      <c r="BM2969" t="s">
        <v>150</v>
      </c>
      <c r="BO2969" t="s">
        <v>19488</v>
      </c>
      <c r="BS2969">
        <v>30</v>
      </c>
      <c r="BW2969" t="str">
        <f>""</f>
        <v/>
      </c>
      <c r="CH2969" t="str">
        <f>""</f>
        <v/>
      </c>
      <c r="CS2969" t="str">
        <f>""</f>
        <v/>
      </c>
    </row>
    <row r="2970" spans="1:97" x14ac:dyDescent="0.25">
      <c r="A2970" t="s">
        <v>325</v>
      </c>
      <c r="B2970" t="s">
        <v>19489</v>
      </c>
      <c r="C2970" t="s">
        <v>19490</v>
      </c>
      <c r="D2970" t="s">
        <v>4661</v>
      </c>
      <c r="E2970" t="s">
        <v>19491</v>
      </c>
      <c r="F2970" t="s">
        <v>108</v>
      </c>
      <c r="H2970" t="s">
        <v>19492</v>
      </c>
      <c r="I2970" t="s">
        <v>2874</v>
      </c>
      <c r="J2970" t="s">
        <v>111</v>
      </c>
      <c r="K2970" t="str">
        <f>"85302"</f>
        <v>85302</v>
      </c>
      <c r="L2970" t="s">
        <v>1658</v>
      </c>
      <c r="M2970" t="s">
        <v>19492</v>
      </c>
      <c r="N2970" t="s">
        <v>2874</v>
      </c>
      <c r="O2970" t="s">
        <v>111</v>
      </c>
      <c r="P2970" t="str">
        <f>"85302-1413"</f>
        <v>85302-1413</v>
      </c>
      <c r="Q2970" t="s">
        <v>113</v>
      </c>
      <c r="R2970" t="str">
        <f>"148-23-247"</f>
        <v>148-23-247</v>
      </c>
      <c r="S2970" t="s">
        <v>19493</v>
      </c>
      <c r="U2970">
        <v>2137</v>
      </c>
      <c r="V2970">
        <v>0</v>
      </c>
      <c r="W2970">
        <v>3</v>
      </c>
      <c r="X2970">
        <v>1983</v>
      </c>
      <c r="Z2970">
        <v>1</v>
      </c>
      <c r="AA2970" t="s">
        <v>26</v>
      </c>
      <c r="AB2970">
        <v>0</v>
      </c>
      <c r="AC2970" t="s">
        <v>115</v>
      </c>
      <c r="AD2970">
        <v>2</v>
      </c>
      <c r="AE2970" t="s">
        <v>115</v>
      </c>
      <c r="AF2970">
        <v>0</v>
      </c>
      <c r="AG2970">
        <v>0</v>
      </c>
      <c r="AH2970" t="s">
        <v>116</v>
      </c>
      <c r="AI2970" s="1">
        <v>40969</v>
      </c>
      <c r="AJ2970" s="2">
        <v>0.14000000000000001</v>
      </c>
      <c r="AK2970" s="1">
        <v>294469</v>
      </c>
      <c r="AL2970" t="s">
        <v>117</v>
      </c>
      <c r="AM2970" t="s">
        <v>191</v>
      </c>
      <c r="AN2970">
        <v>8856</v>
      </c>
      <c r="AO2970">
        <v>0.2</v>
      </c>
      <c r="AP2970">
        <v>1</v>
      </c>
      <c r="AR2970">
        <v>1</v>
      </c>
      <c r="AS2970" s="1">
        <v>19910</v>
      </c>
      <c r="AT2970" s="1">
        <v>3980</v>
      </c>
      <c r="AU2970" s="1">
        <v>15930</v>
      </c>
      <c r="AV2970">
        <v>80.010000000000005</v>
      </c>
      <c r="AX2970" s="1">
        <v>1740.78</v>
      </c>
      <c r="AY2970" t="s">
        <v>8680</v>
      </c>
      <c r="AZ2970" t="s">
        <v>8680</v>
      </c>
      <c r="BA2970" t="s">
        <v>8681</v>
      </c>
      <c r="BE2970" s="3">
        <v>42524</v>
      </c>
      <c r="BF2970" s="1">
        <v>253500</v>
      </c>
      <c r="BG2970" t="s">
        <v>19494</v>
      </c>
      <c r="BH2970" s="1">
        <v>119.52</v>
      </c>
      <c r="BI2970" s="1">
        <v>253500</v>
      </c>
      <c r="BJ2970" s="3">
        <v>42524</v>
      </c>
      <c r="BK2970" t="s">
        <v>123</v>
      </c>
      <c r="BL2970" t="str">
        <f>"2016.385722"</f>
        <v>2016.385722</v>
      </c>
      <c r="BM2970" t="s">
        <v>724</v>
      </c>
      <c r="BO2970" t="s">
        <v>19495</v>
      </c>
      <c r="BS2970">
        <v>30</v>
      </c>
      <c r="BW2970" t="str">
        <f>""</f>
        <v/>
      </c>
      <c r="CH2970" t="str">
        <f>""</f>
        <v/>
      </c>
      <c r="CS2970" t="str">
        <f>""</f>
        <v/>
      </c>
    </row>
    <row r="2971" spans="1:97" x14ac:dyDescent="0.25">
      <c r="A2971" t="s">
        <v>3718</v>
      </c>
      <c r="B2971" t="s">
        <v>1667</v>
      </c>
      <c r="C2971" t="s">
        <v>19496</v>
      </c>
      <c r="D2971" t="s">
        <v>5695</v>
      </c>
      <c r="E2971" t="s">
        <v>19497</v>
      </c>
      <c r="F2971" t="s">
        <v>108</v>
      </c>
      <c r="H2971" t="s">
        <v>19498</v>
      </c>
      <c r="I2971" t="s">
        <v>203</v>
      </c>
      <c r="J2971" t="s">
        <v>111</v>
      </c>
      <c r="K2971" t="str">
        <f>"85234"</f>
        <v>85234</v>
      </c>
      <c r="L2971" t="s">
        <v>2220</v>
      </c>
      <c r="M2971" t="s">
        <v>19498</v>
      </c>
      <c r="N2971" t="s">
        <v>203</v>
      </c>
      <c r="O2971" t="s">
        <v>111</v>
      </c>
      <c r="P2971" t="str">
        <f>"85234-1432"</f>
        <v>85234-1432</v>
      </c>
      <c r="Q2971" t="s">
        <v>113</v>
      </c>
      <c r="R2971" t="str">
        <f>"304-08-578"</f>
        <v>304-08-578</v>
      </c>
      <c r="S2971" t="s">
        <v>19499</v>
      </c>
      <c r="T2971" t="s">
        <v>19500</v>
      </c>
      <c r="U2971">
        <v>2318</v>
      </c>
      <c r="V2971">
        <v>0</v>
      </c>
      <c r="W2971">
        <v>3</v>
      </c>
      <c r="X2971">
        <v>1999</v>
      </c>
      <c r="Z2971">
        <v>1</v>
      </c>
      <c r="AA2971" t="s">
        <v>26</v>
      </c>
      <c r="AB2971">
        <v>0</v>
      </c>
      <c r="AC2971" t="s">
        <v>115</v>
      </c>
      <c r="AD2971">
        <v>3</v>
      </c>
      <c r="AE2971" t="s">
        <v>115</v>
      </c>
      <c r="AF2971">
        <v>0</v>
      </c>
      <c r="AG2971">
        <v>0</v>
      </c>
      <c r="AH2971" t="s">
        <v>116</v>
      </c>
      <c r="AI2971" s="1">
        <v>77691</v>
      </c>
      <c r="AJ2971" s="2">
        <v>0.18</v>
      </c>
      <c r="AK2971" s="1">
        <v>435216</v>
      </c>
      <c r="AL2971" t="s">
        <v>117</v>
      </c>
      <c r="AM2971" t="s">
        <v>393</v>
      </c>
      <c r="AN2971">
        <v>8268</v>
      </c>
      <c r="AO2971">
        <v>0.19</v>
      </c>
      <c r="AP2971">
        <v>1</v>
      </c>
      <c r="AR2971">
        <v>1</v>
      </c>
      <c r="AS2971" s="1">
        <v>28320</v>
      </c>
      <c r="AT2971" s="1">
        <v>5660</v>
      </c>
      <c r="AU2971" s="1">
        <v>22660</v>
      </c>
      <c r="AV2971">
        <v>80.010000000000005</v>
      </c>
      <c r="AX2971" s="1">
        <v>1936.54</v>
      </c>
      <c r="AY2971" t="s">
        <v>8450</v>
      </c>
      <c r="AZ2971" t="s">
        <v>571</v>
      </c>
      <c r="BA2971" t="s">
        <v>521</v>
      </c>
      <c r="BE2971" s="3">
        <v>42124</v>
      </c>
      <c r="BF2971" s="1">
        <v>362000</v>
      </c>
      <c r="BG2971" t="s">
        <v>19501</v>
      </c>
      <c r="BH2971" s="1">
        <v>156.16999999999999</v>
      </c>
      <c r="BI2971" s="1">
        <v>357525</v>
      </c>
      <c r="BJ2971" s="3">
        <v>42124</v>
      </c>
      <c r="BK2971" t="s">
        <v>123</v>
      </c>
      <c r="BL2971" t="str">
        <f>"2015.305761"</f>
        <v>2015.305761</v>
      </c>
      <c r="BM2971" t="s">
        <v>475</v>
      </c>
      <c r="BO2971" t="s">
        <v>19502</v>
      </c>
      <c r="BP2971" t="s">
        <v>19503</v>
      </c>
      <c r="BS2971">
        <v>30</v>
      </c>
      <c r="BW2971" t="str">
        <f>""</f>
        <v/>
      </c>
      <c r="CH2971" t="str">
        <f>""</f>
        <v/>
      </c>
      <c r="CS2971" t="str">
        <f>""</f>
        <v/>
      </c>
    </row>
    <row r="2972" spans="1:97" x14ac:dyDescent="0.25">
      <c r="A2972" t="s">
        <v>19504</v>
      </c>
      <c r="B2972" t="s">
        <v>19505</v>
      </c>
      <c r="C2972" t="s">
        <v>1930</v>
      </c>
      <c r="D2972" t="s">
        <v>19505</v>
      </c>
      <c r="E2972" t="s">
        <v>19506</v>
      </c>
      <c r="F2972" t="s">
        <v>108</v>
      </c>
      <c r="H2972" t="s">
        <v>19507</v>
      </c>
      <c r="I2972" t="s">
        <v>203</v>
      </c>
      <c r="J2972" t="s">
        <v>111</v>
      </c>
      <c r="K2972" t="str">
        <f>"85233"</f>
        <v>85233</v>
      </c>
      <c r="L2972" t="s">
        <v>3225</v>
      </c>
      <c r="M2972" t="s">
        <v>19507</v>
      </c>
      <c r="N2972" t="s">
        <v>203</v>
      </c>
      <c r="O2972" t="s">
        <v>111</v>
      </c>
      <c r="P2972" t="str">
        <f>"85233-5616"</f>
        <v>85233-5616</v>
      </c>
      <c r="Q2972" t="s">
        <v>113</v>
      </c>
      <c r="R2972" t="str">
        <f>"302-96-523"</f>
        <v>302-96-523</v>
      </c>
      <c r="S2972" t="s">
        <v>19508</v>
      </c>
      <c r="T2972" t="s">
        <v>15237</v>
      </c>
      <c r="U2972">
        <v>2036</v>
      </c>
      <c r="V2972">
        <v>0</v>
      </c>
      <c r="W2972">
        <v>3</v>
      </c>
      <c r="X2972">
        <v>1986</v>
      </c>
      <c r="Z2972">
        <v>2</v>
      </c>
      <c r="AA2972" t="s">
        <v>26</v>
      </c>
      <c r="AB2972">
        <v>0</v>
      </c>
      <c r="AC2972" t="s">
        <v>115</v>
      </c>
      <c r="AD2972">
        <v>2</v>
      </c>
      <c r="AE2972" t="s">
        <v>115</v>
      </c>
      <c r="AF2972">
        <v>0</v>
      </c>
      <c r="AG2972">
        <v>0</v>
      </c>
      <c r="AH2972" t="s">
        <v>116</v>
      </c>
      <c r="AI2972" s="1">
        <v>86652</v>
      </c>
      <c r="AJ2972" s="2">
        <v>0.26</v>
      </c>
      <c r="AK2972" s="1">
        <v>331652</v>
      </c>
      <c r="AL2972" t="s">
        <v>117</v>
      </c>
      <c r="AM2972" t="s">
        <v>191</v>
      </c>
      <c r="AN2972">
        <v>7932</v>
      </c>
      <c r="AO2972">
        <v>0.18</v>
      </c>
      <c r="AP2972">
        <v>1</v>
      </c>
      <c r="AR2972">
        <v>1</v>
      </c>
      <c r="AS2972" s="1">
        <v>22370</v>
      </c>
      <c r="AT2972" s="1">
        <v>4470</v>
      </c>
      <c r="AU2972" s="1">
        <v>17900</v>
      </c>
      <c r="AV2972">
        <v>80.02</v>
      </c>
      <c r="AX2972" s="1">
        <v>1579.92</v>
      </c>
      <c r="AY2972" t="s">
        <v>5477</v>
      </c>
      <c r="AZ2972" t="s">
        <v>5478</v>
      </c>
      <c r="BA2972" t="s">
        <v>5479</v>
      </c>
      <c r="BE2972" s="3">
        <v>41858</v>
      </c>
      <c r="BF2972" s="1">
        <v>245000</v>
      </c>
      <c r="BG2972" t="s">
        <v>19509</v>
      </c>
      <c r="BH2972" s="1">
        <v>120.33</v>
      </c>
      <c r="BI2972" s="1">
        <v>245000</v>
      </c>
      <c r="BJ2972" s="3">
        <v>41858</v>
      </c>
      <c r="BK2972" t="s">
        <v>123</v>
      </c>
      <c r="BL2972" t="str">
        <f>"2014.521119"</f>
        <v>2014.521119</v>
      </c>
      <c r="BM2972" t="s">
        <v>8340</v>
      </c>
      <c r="BO2972" t="s">
        <v>19510</v>
      </c>
      <c r="BS2972">
        <v>30</v>
      </c>
      <c r="BW2972" t="str">
        <f>""</f>
        <v/>
      </c>
      <c r="CH2972" t="str">
        <f>""</f>
        <v/>
      </c>
      <c r="CS2972" t="str">
        <f>""</f>
        <v/>
      </c>
    </row>
    <row r="2973" spans="1:97" x14ac:dyDescent="0.25">
      <c r="A2973" t="s">
        <v>996</v>
      </c>
      <c r="B2973" t="s">
        <v>11434</v>
      </c>
      <c r="C2973" t="s">
        <v>19511</v>
      </c>
      <c r="D2973" t="s">
        <v>11434</v>
      </c>
      <c r="E2973" t="s">
        <v>19512</v>
      </c>
      <c r="F2973" t="s">
        <v>108</v>
      </c>
      <c r="H2973" t="s">
        <v>19513</v>
      </c>
      <c r="I2973" t="s">
        <v>110</v>
      </c>
      <c r="J2973" t="s">
        <v>111</v>
      </c>
      <c r="K2973" t="str">
        <f>"85225"</f>
        <v>85225</v>
      </c>
      <c r="L2973" t="s">
        <v>8199</v>
      </c>
      <c r="M2973" t="s">
        <v>19513</v>
      </c>
      <c r="N2973" t="s">
        <v>110</v>
      </c>
      <c r="O2973" t="s">
        <v>111</v>
      </c>
      <c r="P2973" t="str">
        <f>"85225-5217"</f>
        <v>85225-5217</v>
      </c>
      <c r="Q2973" t="s">
        <v>113</v>
      </c>
      <c r="R2973" t="str">
        <f>"302-84-384"</f>
        <v>302-84-384</v>
      </c>
      <c r="S2973" t="s">
        <v>19514</v>
      </c>
      <c r="T2973" t="s">
        <v>19515</v>
      </c>
      <c r="U2973">
        <v>2147</v>
      </c>
      <c r="V2973">
        <v>0</v>
      </c>
      <c r="W2973">
        <v>4</v>
      </c>
      <c r="X2973">
        <v>1994</v>
      </c>
      <c r="Z2973">
        <v>2</v>
      </c>
      <c r="AA2973" t="s">
        <v>26</v>
      </c>
      <c r="AB2973">
        <v>0</v>
      </c>
      <c r="AC2973" t="s">
        <v>115</v>
      </c>
      <c r="AD2973">
        <v>2</v>
      </c>
      <c r="AE2973" t="s">
        <v>115</v>
      </c>
      <c r="AF2973">
        <v>0</v>
      </c>
      <c r="AG2973">
        <v>0</v>
      </c>
      <c r="AH2973" t="s">
        <v>116</v>
      </c>
      <c r="AI2973" s="1">
        <v>22410</v>
      </c>
      <c r="AJ2973" s="2">
        <v>0.06</v>
      </c>
      <c r="AK2973" s="1">
        <v>355047</v>
      </c>
      <c r="AL2973" t="s">
        <v>117</v>
      </c>
      <c r="AM2973" t="s">
        <v>118</v>
      </c>
      <c r="AN2973">
        <v>5802</v>
      </c>
      <c r="AO2973">
        <v>0.13</v>
      </c>
      <c r="AP2973">
        <v>1</v>
      </c>
      <c r="AR2973">
        <v>1</v>
      </c>
      <c r="AS2973" s="1">
        <v>23550</v>
      </c>
      <c r="AT2973" s="1">
        <v>4710</v>
      </c>
      <c r="AU2973" s="1">
        <v>18840</v>
      </c>
      <c r="AV2973">
        <v>80</v>
      </c>
      <c r="AX2973" s="1">
        <v>1688.54</v>
      </c>
      <c r="AY2973" t="s">
        <v>2956</v>
      </c>
      <c r="AZ2973" t="s">
        <v>2906</v>
      </c>
      <c r="BA2973" t="s">
        <v>2957</v>
      </c>
      <c r="BE2973" s="3">
        <v>41990</v>
      </c>
      <c r="BF2973" s="1">
        <v>260000</v>
      </c>
      <c r="BG2973" t="s">
        <v>19516</v>
      </c>
      <c r="BH2973" s="1">
        <v>121.1</v>
      </c>
      <c r="BI2973" s="1">
        <v>332637</v>
      </c>
      <c r="BJ2973" s="3">
        <v>43553</v>
      </c>
      <c r="BK2973" t="s">
        <v>123</v>
      </c>
      <c r="BL2973" t="str">
        <f>"2019.219823"</f>
        <v>2019.219823</v>
      </c>
      <c r="BM2973" t="s">
        <v>2926</v>
      </c>
      <c r="BN2973" t="s">
        <v>545</v>
      </c>
      <c r="BO2973" t="s">
        <v>19517</v>
      </c>
      <c r="BP2973" t="s">
        <v>19518</v>
      </c>
      <c r="BR2973" t="s">
        <v>139</v>
      </c>
      <c r="BW2973" t="str">
        <f>""</f>
        <v/>
      </c>
      <c r="CH2973" t="str">
        <f>""</f>
        <v/>
      </c>
      <c r="CS2973" t="str">
        <f>""</f>
        <v/>
      </c>
    </row>
    <row r="2974" spans="1:97" x14ac:dyDescent="0.25">
      <c r="A2974" t="s">
        <v>19519</v>
      </c>
      <c r="B2974" t="s">
        <v>348</v>
      </c>
      <c r="C2974" t="s">
        <v>19520</v>
      </c>
      <c r="D2974" t="s">
        <v>348</v>
      </c>
      <c r="E2974" t="s">
        <v>19521</v>
      </c>
      <c r="F2974" t="s">
        <v>108</v>
      </c>
      <c r="H2974" t="s">
        <v>19522</v>
      </c>
      <c r="I2974" t="s">
        <v>167</v>
      </c>
      <c r="J2974" t="s">
        <v>111</v>
      </c>
      <c r="K2974" t="str">
        <f>"85339"</f>
        <v>85339</v>
      </c>
      <c r="L2974" t="s">
        <v>168</v>
      </c>
      <c r="M2974" t="s">
        <v>19522</v>
      </c>
      <c r="N2974" t="s">
        <v>167</v>
      </c>
      <c r="O2974" t="s">
        <v>111</v>
      </c>
      <c r="P2974" t="str">
        <f>"85339-5171"</f>
        <v>85339-5171</v>
      </c>
      <c r="Q2974" t="s">
        <v>113</v>
      </c>
      <c r="R2974" t="str">
        <f>"104-73-581"</f>
        <v>104-73-581</v>
      </c>
      <c r="S2974" t="s">
        <v>169</v>
      </c>
      <c r="T2974" t="s">
        <v>170</v>
      </c>
      <c r="U2974">
        <v>1776</v>
      </c>
      <c r="V2974">
        <v>0</v>
      </c>
      <c r="W2974">
        <v>3</v>
      </c>
      <c r="X2974">
        <v>2014</v>
      </c>
      <c r="Z2974">
        <v>1</v>
      </c>
      <c r="AB2974">
        <v>0</v>
      </c>
      <c r="AC2974" t="s">
        <v>115</v>
      </c>
      <c r="AD2974">
        <v>3</v>
      </c>
      <c r="AE2974" t="s">
        <v>115</v>
      </c>
      <c r="AF2974">
        <v>0</v>
      </c>
      <c r="AG2974">
        <v>0</v>
      </c>
      <c r="AH2974" t="s">
        <v>116</v>
      </c>
      <c r="AI2974" s="1">
        <v>37489</v>
      </c>
      <c r="AJ2974" s="2">
        <v>0.13</v>
      </c>
      <c r="AK2974" s="1">
        <v>290089</v>
      </c>
      <c r="AL2974" t="s">
        <v>117</v>
      </c>
      <c r="AM2974" t="s">
        <v>171</v>
      </c>
      <c r="AN2974">
        <v>7000</v>
      </c>
      <c r="AO2974">
        <v>0.16</v>
      </c>
      <c r="AR2974">
        <v>1</v>
      </c>
      <c r="AS2974" s="1">
        <v>20430</v>
      </c>
      <c r="AT2974" s="1">
        <v>4080</v>
      </c>
      <c r="AU2974" s="1">
        <v>16350</v>
      </c>
      <c r="AV2974">
        <v>80.03</v>
      </c>
      <c r="AX2974" s="1">
        <v>2885.68</v>
      </c>
      <c r="AY2974" t="s">
        <v>805</v>
      </c>
      <c r="AZ2974" t="s">
        <v>806</v>
      </c>
      <c r="BA2974" t="s">
        <v>173</v>
      </c>
      <c r="BE2974" s="3">
        <v>42125</v>
      </c>
      <c r="BF2974" s="1">
        <v>232712</v>
      </c>
      <c r="BG2974" t="s">
        <v>174</v>
      </c>
      <c r="BH2974" s="1">
        <v>131.03</v>
      </c>
      <c r="BI2974" s="1">
        <v>252600</v>
      </c>
      <c r="BJ2974" s="3">
        <v>43543</v>
      </c>
      <c r="BK2974" t="s">
        <v>123</v>
      </c>
      <c r="BL2974" t="str">
        <f>"2019.188999"</f>
        <v>2019.188999</v>
      </c>
      <c r="BM2974" t="s">
        <v>6896</v>
      </c>
      <c r="BN2974" t="s">
        <v>1371</v>
      </c>
      <c r="BO2974" t="s">
        <v>19523</v>
      </c>
      <c r="BP2974" t="s">
        <v>19524</v>
      </c>
      <c r="BR2974" t="s">
        <v>139</v>
      </c>
      <c r="BW2974" t="str">
        <f>""</f>
        <v/>
      </c>
      <c r="CH2974" t="str">
        <f>""</f>
        <v/>
      </c>
      <c r="CS2974" t="str">
        <f>""</f>
        <v/>
      </c>
    </row>
    <row r="2975" spans="1:97" x14ac:dyDescent="0.25">
      <c r="B2975" t="s">
        <v>19525</v>
      </c>
      <c r="C2975" t="s">
        <v>7799</v>
      </c>
      <c r="E2975" t="s">
        <v>19526</v>
      </c>
      <c r="F2975" t="s">
        <v>108</v>
      </c>
      <c r="H2975" t="s">
        <v>19527</v>
      </c>
      <c r="I2975" t="s">
        <v>632</v>
      </c>
      <c r="J2975" t="s">
        <v>111</v>
      </c>
      <c r="K2975" t="str">
        <f>"85379"</f>
        <v>85379</v>
      </c>
      <c r="L2975" t="s">
        <v>454</v>
      </c>
      <c r="M2975" t="s">
        <v>19527</v>
      </c>
      <c r="N2975" t="s">
        <v>632</v>
      </c>
      <c r="O2975" t="s">
        <v>111</v>
      </c>
      <c r="P2975" t="str">
        <f>"85379-1024"</f>
        <v>85379-1024</v>
      </c>
      <c r="Q2975" t="s">
        <v>113</v>
      </c>
      <c r="R2975" t="str">
        <f>"501-46-548"</f>
        <v>501-46-548</v>
      </c>
      <c r="S2975" t="s">
        <v>5319</v>
      </c>
      <c r="U2975">
        <v>2949</v>
      </c>
      <c r="V2975">
        <v>0</v>
      </c>
      <c r="W2975">
        <v>4</v>
      </c>
      <c r="X2975">
        <v>2015</v>
      </c>
      <c r="Z2975">
        <v>2</v>
      </c>
      <c r="AB2975">
        <v>0</v>
      </c>
      <c r="AC2975" t="s">
        <v>115</v>
      </c>
      <c r="AD2975">
        <v>2</v>
      </c>
      <c r="AE2975" t="s">
        <v>115</v>
      </c>
      <c r="AF2975">
        <v>0</v>
      </c>
      <c r="AG2975">
        <v>0</v>
      </c>
      <c r="AH2975" t="s">
        <v>116</v>
      </c>
      <c r="AI2975" s="1">
        <v>43288</v>
      </c>
      <c r="AJ2975" s="2">
        <v>0.13</v>
      </c>
      <c r="AK2975" s="1">
        <v>338089</v>
      </c>
      <c r="AL2975" t="s">
        <v>117</v>
      </c>
      <c r="AM2975" t="s">
        <v>118</v>
      </c>
      <c r="AN2975">
        <v>6679</v>
      </c>
      <c r="AO2975">
        <v>0.15</v>
      </c>
      <c r="AR2975">
        <v>1</v>
      </c>
      <c r="AS2975" s="1">
        <v>22880</v>
      </c>
      <c r="AT2975" s="1">
        <v>4570</v>
      </c>
      <c r="AU2975" s="1">
        <v>18310</v>
      </c>
      <c r="AV2975">
        <v>80.03</v>
      </c>
      <c r="AX2975" s="1">
        <v>1941</v>
      </c>
      <c r="AY2975" t="s">
        <v>5060</v>
      </c>
      <c r="AZ2975" t="s">
        <v>5060</v>
      </c>
      <c r="BA2975" t="s">
        <v>5061</v>
      </c>
      <c r="BB2975" s="3">
        <v>43602</v>
      </c>
      <c r="BC2975" s="1">
        <v>0</v>
      </c>
      <c r="BD2975" t="s">
        <v>247</v>
      </c>
      <c r="BE2975" s="3">
        <v>42299</v>
      </c>
      <c r="BF2975" s="1">
        <v>294801</v>
      </c>
      <c r="BG2975" t="s">
        <v>158</v>
      </c>
      <c r="BH2975" s="1">
        <v>99.97</v>
      </c>
      <c r="BI2975" s="1">
        <v>294801</v>
      </c>
      <c r="BJ2975" s="3">
        <v>42299</v>
      </c>
      <c r="BK2975" t="s">
        <v>123</v>
      </c>
      <c r="BL2975" t="str">
        <f>"2015.760040"</f>
        <v>2015.760040</v>
      </c>
      <c r="BM2975" t="s">
        <v>241</v>
      </c>
      <c r="BN2975" t="s">
        <v>1025</v>
      </c>
      <c r="BO2975" t="s">
        <v>19528</v>
      </c>
      <c r="BS2975">
        <v>30</v>
      </c>
      <c r="BW2975" t="str">
        <f>""</f>
        <v/>
      </c>
      <c r="CH2975" t="str">
        <f>""</f>
        <v/>
      </c>
      <c r="CS2975" t="str">
        <f>""</f>
        <v/>
      </c>
    </row>
    <row r="2976" spans="1:97" x14ac:dyDescent="0.25">
      <c r="A2976" t="s">
        <v>1938</v>
      </c>
      <c r="B2976" t="s">
        <v>3333</v>
      </c>
      <c r="E2976" t="s">
        <v>3808</v>
      </c>
      <c r="F2976" t="s">
        <v>108</v>
      </c>
      <c r="H2976" t="s">
        <v>19529</v>
      </c>
      <c r="I2976" t="s">
        <v>5863</v>
      </c>
      <c r="J2976" t="s">
        <v>111</v>
      </c>
      <c r="K2976" t="str">
        <f>"85375"</f>
        <v>85375</v>
      </c>
      <c r="L2976" t="s">
        <v>8034</v>
      </c>
      <c r="M2976" t="s">
        <v>19529</v>
      </c>
      <c r="N2976" t="s">
        <v>5863</v>
      </c>
      <c r="O2976" t="s">
        <v>111</v>
      </c>
      <c r="P2976" t="str">
        <f>"85375-6884"</f>
        <v>85375-6884</v>
      </c>
      <c r="Q2976" t="s">
        <v>113</v>
      </c>
      <c r="R2976" t="str">
        <f>"503-84-844"</f>
        <v>503-84-844</v>
      </c>
      <c r="S2976" t="s">
        <v>19530</v>
      </c>
      <c r="T2976" t="s">
        <v>19531</v>
      </c>
      <c r="U2976">
        <v>1351</v>
      </c>
      <c r="V2976">
        <v>0</v>
      </c>
      <c r="W2976">
        <v>3</v>
      </c>
      <c r="X2976">
        <v>2006</v>
      </c>
      <c r="Z2976">
        <v>1</v>
      </c>
      <c r="AB2976">
        <v>0</v>
      </c>
      <c r="AC2976" t="s">
        <v>115</v>
      </c>
      <c r="AD2976">
        <v>2</v>
      </c>
      <c r="AE2976" t="s">
        <v>115</v>
      </c>
      <c r="AF2976">
        <v>0</v>
      </c>
      <c r="AG2976">
        <v>0</v>
      </c>
      <c r="AH2976" t="s">
        <v>116</v>
      </c>
      <c r="AI2976" s="1">
        <v>86867</v>
      </c>
      <c r="AJ2976" s="2">
        <v>0.28999999999999998</v>
      </c>
      <c r="AK2976" s="1">
        <v>300950</v>
      </c>
      <c r="AL2976" t="s">
        <v>117</v>
      </c>
      <c r="AM2976" t="s">
        <v>191</v>
      </c>
      <c r="AN2976">
        <v>8161</v>
      </c>
      <c r="AO2976">
        <v>0.19</v>
      </c>
      <c r="AP2976">
        <v>1</v>
      </c>
      <c r="AR2976">
        <v>1</v>
      </c>
      <c r="AS2976" s="1">
        <v>20210</v>
      </c>
      <c r="AT2976" s="1">
        <v>4040</v>
      </c>
      <c r="AU2976" s="1">
        <v>16170</v>
      </c>
      <c r="AV2976">
        <v>80.010000000000005</v>
      </c>
      <c r="AX2976" s="1">
        <v>2266.7800000000002</v>
      </c>
      <c r="AY2976" t="s">
        <v>3228</v>
      </c>
      <c r="AZ2976" t="s">
        <v>3228</v>
      </c>
      <c r="BA2976" t="s">
        <v>457</v>
      </c>
      <c r="BE2976" s="3">
        <v>41649</v>
      </c>
      <c r="BF2976" s="1">
        <v>214000</v>
      </c>
      <c r="BG2976" t="s">
        <v>19532</v>
      </c>
      <c r="BH2976" s="1">
        <v>158.4</v>
      </c>
      <c r="BI2976" s="1">
        <v>214083</v>
      </c>
      <c r="BJ2976" s="3">
        <v>42684</v>
      </c>
      <c r="BK2976" t="s">
        <v>123</v>
      </c>
      <c r="BL2976" t="str">
        <f>"2016.830375"</f>
        <v>2016.830375</v>
      </c>
      <c r="BM2976" t="s">
        <v>709</v>
      </c>
      <c r="BO2976" t="s">
        <v>19533</v>
      </c>
      <c r="BS2976">
        <v>30</v>
      </c>
      <c r="BW2976" t="str">
        <f>""</f>
        <v/>
      </c>
      <c r="CH2976" t="str">
        <f>""</f>
        <v/>
      </c>
      <c r="CS2976" t="str">
        <f>""</f>
        <v/>
      </c>
    </row>
    <row r="2977" spans="1:97" x14ac:dyDescent="0.25">
      <c r="A2977" t="s">
        <v>265</v>
      </c>
      <c r="B2977" t="s">
        <v>19534</v>
      </c>
      <c r="E2977" t="s">
        <v>19535</v>
      </c>
      <c r="F2977" t="s">
        <v>108</v>
      </c>
      <c r="H2977" t="s">
        <v>19536</v>
      </c>
      <c r="I2977" t="s">
        <v>5114</v>
      </c>
      <c r="J2977" t="s">
        <v>111</v>
      </c>
      <c r="K2977" t="str">
        <f>"85392"</f>
        <v>85392</v>
      </c>
      <c r="L2977" t="s">
        <v>5228</v>
      </c>
      <c r="M2977" t="s">
        <v>19536</v>
      </c>
      <c r="N2977" t="s">
        <v>5114</v>
      </c>
      <c r="O2977" t="s">
        <v>111</v>
      </c>
      <c r="P2977" t="str">
        <f>"85392-5471"</f>
        <v>85392-5471</v>
      </c>
      <c r="Q2977" t="s">
        <v>113</v>
      </c>
      <c r="R2977" t="str">
        <f>"102-30-163"</f>
        <v>102-30-163</v>
      </c>
      <c r="S2977" t="s">
        <v>19537</v>
      </c>
      <c r="T2977" t="s">
        <v>5116</v>
      </c>
      <c r="U2977">
        <v>1573</v>
      </c>
      <c r="V2977">
        <v>0</v>
      </c>
      <c r="W2977">
        <v>2</v>
      </c>
      <c r="X2977">
        <v>1999</v>
      </c>
      <c r="Z2977">
        <v>1</v>
      </c>
      <c r="AB2977">
        <v>0</v>
      </c>
      <c r="AC2977" t="s">
        <v>115</v>
      </c>
      <c r="AD2977">
        <v>2</v>
      </c>
      <c r="AE2977" t="s">
        <v>115</v>
      </c>
      <c r="AF2977">
        <v>0</v>
      </c>
      <c r="AG2977">
        <v>0</v>
      </c>
      <c r="AH2977" t="s">
        <v>116</v>
      </c>
      <c r="AI2977" s="1">
        <v>19772</v>
      </c>
      <c r="AJ2977" s="2">
        <v>0.08</v>
      </c>
      <c r="AK2977" s="1">
        <v>239801</v>
      </c>
      <c r="AL2977" t="s">
        <v>117</v>
      </c>
      <c r="AM2977" t="s">
        <v>118</v>
      </c>
      <c r="AN2977">
        <v>5258</v>
      </c>
      <c r="AO2977">
        <v>0.12</v>
      </c>
      <c r="AP2977">
        <v>1</v>
      </c>
      <c r="AR2977">
        <v>1</v>
      </c>
      <c r="AS2977" s="1">
        <v>16380</v>
      </c>
      <c r="AT2977" s="1">
        <v>3270</v>
      </c>
      <c r="AU2977" s="1">
        <v>13110</v>
      </c>
      <c r="AV2977">
        <v>80.040000000000006</v>
      </c>
      <c r="AX2977" s="1">
        <v>1614.68</v>
      </c>
      <c r="AY2977" t="s">
        <v>9887</v>
      </c>
      <c r="AZ2977" t="s">
        <v>9887</v>
      </c>
      <c r="BA2977" t="s">
        <v>5118</v>
      </c>
      <c r="BE2977" s="3">
        <v>42303</v>
      </c>
      <c r="BF2977" s="1">
        <v>175000</v>
      </c>
      <c r="BG2977" t="s">
        <v>19538</v>
      </c>
      <c r="BH2977" s="1">
        <v>111.25</v>
      </c>
      <c r="BI2977" s="1">
        <v>220029</v>
      </c>
      <c r="BJ2977" s="3">
        <v>43307</v>
      </c>
      <c r="BK2977" t="s">
        <v>123</v>
      </c>
      <c r="BL2977" t="str">
        <f>"2018.565578"</f>
        <v>2018.565578</v>
      </c>
      <c r="BM2977" t="s">
        <v>533</v>
      </c>
      <c r="BN2977" t="s">
        <v>534</v>
      </c>
      <c r="BO2977" t="s">
        <v>19539</v>
      </c>
      <c r="BR2977" t="s">
        <v>139</v>
      </c>
      <c r="BW2977" t="str">
        <f>""</f>
        <v/>
      </c>
      <c r="CH2977" t="str">
        <f>""</f>
        <v/>
      </c>
      <c r="CS2977" t="str">
        <f>""</f>
        <v/>
      </c>
    </row>
    <row r="2978" spans="1:97" x14ac:dyDescent="0.25">
      <c r="A2978" t="s">
        <v>1272</v>
      </c>
      <c r="B2978" t="s">
        <v>7026</v>
      </c>
      <c r="E2978" t="s">
        <v>19540</v>
      </c>
      <c r="F2978" t="s">
        <v>108</v>
      </c>
      <c r="H2978" t="s">
        <v>19541</v>
      </c>
      <c r="I2978" t="s">
        <v>110</v>
      </c>
      <c r="J2978" t="s">
        <v>111</v>
      </c>
      <c r="K2978" t="str">
        <f>"85225"</f>
        <v>85225</v>
      </c>
      <c r="L2978" t="s">
        <v>7626</v>
      </c>
      <c r="M2978" t="s">
        <v>19541</v>
      </c>
      <c r="N2978" t="s">
        <v>110</v>
      </c>
      <c r="O2978" t="s">
        <v>111</v>
      </c>
      <c r="P2978" t="str">
        <f>"85225-5709"</f>
        <v>85225-5709</v>
      </c>
      <c r="Q2978" t="s">
        <v>113</v>
      </c>
      <c r="R2978" t="str">
        <f>"303-69-028"</f>
        <v>303-69-028</v>
      </c>
      <c r="S2978" t="s">
        <v>19542</v>
      </c>
      <c r="T2978" t="s">
        <v>13561</v>
      </c>
      <c r="U2978">
        <v>1314</v>
      </c>
      <c r="V2978">
        <v>0</v>
      </c>
      <c r="W2978">
        <v>3</v>
      </c>
      <c r="X2978">
        <v>1984</v>
      </c>
      <c r="Z2978">
        <v>1</v>
      </c>
      <c r="AA2978" t="s">
        <v>26</v>
      </c>
      <c r="AB2978">
        <v>0</v>
      </c>
      <c r="AC2978" t="s">
        <v>115</v>
      </c>
      <c r="AD2978">
        <v>2</v>
      </c>
      <c r="AE2978" t="s">
        <v>115</v>
      </c>
      <c r="AF2978">
        <v>0</v>
      </c>
      <c r="AG2978">
        <v>0</v>
      </c>
      <c r="AH2978" t="s">
        <v>116</v>
      </c>
      <c r="AI2978" s="1">
        <v>67529</v>
      </c>
      <c r="AJ2978" s="2">
        <v>0.24</v>
      </c>
      <c r="AK2978" s="1">
        <v>282429</v>
      </c>
      <c r="AL2978" t="s">
        <v>117</v>
      </c>
      <c r="AM2978" t="s">
        <v>118</v>
      </c>
      <c r="AN2978">
        <v>4230</v>
      </c>
      <c r="AO2978">
        <v>0.97</v>
      </c>
      <c r="AP2978">
        <v>1</v>
      </c>
      <c r="AR2978">
        <v>1</v>
      </c>
      <c r="AS2978" s="1">
        <v>20480</v>
      </c>
      <c r="AT2978" s="1">
        <v>4090</v>
      </c>
      <c r="AU2978" s="1">
        <v>16390</v>
      </c>
      <c r="AV2978">
        <v>80.03</v>
      </c>
      <c r="AX2978" s="1">
        <v>1587.12</v>
      </c>
      <c r="AY2978" t="s">
        <v>5650</v>
      </c>
      <c r="AZ2978" t="s">
        <v>2906</v>
      </c>
      <c r="BA2978" t="s">
        <v>303</v>
      </c>
      <c r="BE2978" s="3">
        <v>42459</v>
      </c>
      <c r="BF2978" s="1">
        <v>214900</v>
      </c>
      <c r="BG2978" t="s">
        <v>19543</v>
      </c>
      <c r="BH2978" s="1">
        <v>163.55000000000001</v>
      </c>
      <c r="BI2978" s="1">
        <v>214900</v>
      </c>
      <c r="BJ2978" s="3">
        <v>42459</v>
      </c>
      <c r="BK2978" t="s">
        <v>123</v>
      </c>
      <c r="BL2978" t="str">
        <f>"2016.207291"</f>
        <v>2016.207291</v>
      </c>
      <c r="BM2978" t="s">
        <v>724</v>
      </c>
      <c r="BO2978" t="s">
        <v>19544</v>
      </c>
      <c r="BS2978">
        <v>30</v>
      </c>
      <c r="BW2978" t="str">
        <f>""</f>
        <v/>
      </c>
      <c r="CH2978" t="str">
        <f>""</f>
        <v/>
      </c>
      <c r="CS2978" t="str">
        <f>""</f>
        <v/>
      </c>
    </row>
    <row r="2979" spans="1:97" x14ac:dyDescent="0.25">
      <c r="A2979" t="s">
        <v>19545</v>
      </c>
      <c r="B2979" t="s">
        <v>19546</v>
      </c>
      <c r="C2979" t="s">
        <v>19547</v>
      </c>
      <c r="D2979" t="s">
        <v>19546</v>
      </c>
      <c r="E2979" t="s">
        <v>19548</v>
      </c>
      <c r="F2979" t="s">
        <v>108</v>
      </c>
      <c r="H2979" t="s">
        <v>19549</v>
      </c>
      <c r="I2979" t="s">
        <v>188</v>
      </c>
      <c r="J2979" t="s">
        <v>111</v>
      </c>
      <c r="K2979" t="str">
        <f>"85142"</f>
        <v>85142</v>
      </c>
      <c r="L2979" t="s">
        <v>7339</v>
      </c>
      <c r="M2979" t="s">
        <v>19549</v>
      </c>
      <c r="N2979" t="s">
        <v>188</v>
      </c>
      <c r="O2979" t="s">
        <v>111</v>
      </c>
      <c r="P2979" t="str">
        <f>"85142-5272"</f>
        <v>85142-5272</v>
      </c>
      <c r="Q2979" t="s">
        <v>113</v>
      </c>
      <c r="R2979" t="str">
        <f>"314-03-241"</f>
        <v>314-03-241</v>
      </c>
      <c r="S2979" t="s">
        <v>19550</v>
      </c>
      <c r="U2979">
        <v>2560</v>
      </c>
      <c r="V2979">
        <v>0</v>
      </c>
      <c r="W2979">
        <v>4</v>
      </c>
      <c r="X2979">
        <v>2004</v>
      </c>
      <c r="Z2979">
        <v>2</v>
      </c>
      <c r="AB2979">
        <v>0</v>
      </c>
      <c r="AC2979" t="s">
        <v>115</v>
      </c>
      <c r="AD2979">
        <v>2</v>
      </c>
      <c r="AE2979" t="s">
        <v>115</v>
      </c>
      <c r="AF2979">
        <v>0</v>
      </c>
      <c r="AG2979">
        <v>0</v>
      </c>
      <c r="AH2979" t="s">
        <v>116</v>
      </c>
      <c r="AI2979" s="1">
        <v>75634</v>
      </c>
      <c r="AJ2979" s="2">
        <v>0.23</v>
      </c>
      <c r="AK2979" s="1">
        <v>335587</v>
      </c>
      <c r="AL2979" t="s">
        <v>117</v>
      </c>
      <c r="AM2979" t="s">
        <v>191</v>
      </c>
      <c r="AN2979">
        <v>6600</v>
      </c>
      <c r="AO2979">
        <v>0.15</v>
      </c>
      <c r="AR2979">
        <v>1</v>
      </c>
      <c r="AS2979" s="1">
        <v>22610</v>
      </c>
      <c r="AT2979" s="1">
        <v>4520</v>
      </c>
      <c r="AU2979" s="1">
        <v>18090</v>
      </c>
      <c r="AV2979">
        <v>80.010000000000005</v>
      </c>
      <c r="AX2979" s="1">
        <v>2034.8</v>
      </c>
      <c r="AY2979" t="s">
        <v>5895</v>
      </c>
      <c r="AZ2979" t="s">
        <v>561</v>
      </c>
      <c r="BA2979" t="s">
        <v>194</v>
      </c>
      <c r="BE2979" s="3">
        <v>42279</v>
      </c>
      <c r="BF2979" s="1">
        <v>260000</v>
      </c>
      <c r="BG2979" t="s">
        <v>19551</v>
      </c>
      <c r="BH2979" s="1">
        <v>101.56</v>
      </c>
      <c r="BI2979" s="1">
        <v>259953</v>
      </c>
      <c r="BJ2979" s="3">
        <v>42705</v>
      </c>
      <c r="BK2979" t="s">
        <v>123</v>
      </c>
      <c r="BL2979" t="str">
        <f>"2016.888399"</f>
        <v>2016.888399</v>
      </c>
      <c r="BM2979" t="s">
        <v>402</v>
      </c>
      <c r="BO2979" t="s">
        <v>19552</v>
      </c>
      <c r="BS2979">
        <v>30</v>
      </c>
      <c r="BW2979" t="str">
        <f>""</f>
        <v/>
      </c>
      <c r="CH2979" t="str">
        <f>""</f>
        <v/>
      </c>
      <c r="CS2979" t="str">
        <f>""</f>
        <v/>
      </c>
    </row>
    <row r="2980" spans="1:97" x14ac:dyDescent="0.25">
      <c r="A2980" t="s">
        <v>11273</v>
      </c>
      <c r="B2980" t="s">
        <v>19553</v>
      </c>
      <c r="E2980" t="s">
        <v>19554</v>
      </c>
      <c r="F2980" t="s">
        <v>108</v>
      </c>
      <c r="H2980" t="s">
        <v>19555</v>
      </c>
      <c r="I2980" t="s">
        <v>390</v>
      </c>
      <c r="J2980" t="s">
        <v>111</v>
      </c>
      <c r="K2980" t="str">
        <f>"85037"</f>
        <v>85037</v>
      </c>
      <c r="L2980" t="s">
        <v>5325</v>
      </c>
      <c r="M2980" t="s">
        <v>19555</v>
      </c>
      <c r="N2980" t="s">
        <v>390</v>
      </c>
      <c r="O2980" t="s">
        <v>111</v>
      </c>
      <c r="P2980" t="str">
        <f>"85037-1315"</f>
        <v>85037-1315</v>
      </c>
      <c r="Q2980" t="s">
        <v>113</v>
      </c>
      <c r="R2980" t="str">
        <f>"102-18-162"</f>
        <v>102-18-162</v>
      </c>
      <c r="S2980" t="s">
        <v>11454</v>
      </c>
      <c r="T2980" t="s">
        <v>11454</v>
      </c>
      <c r="U2980">
        <v>2613</v>
      </c>
      <c r="V2980">
        <v>0</v>
      </c>
      <c r="W2980">
        <v>3</v>
      </c>
      <c r="X2980">
        <v>2002</v>
      </c>
      <c r="Z2980">
        <v>2</v>
      </c>
      <c r="AA2980" t="s">
        <v>26</v>
      </c>
      <c r="AB2980">
        <v>0</v>
      </c>
      <c r="AC2980" t="s">
        <v>115</v>
      </c>
      <c r="AD2980">
        <v>2</v>
      </c>
      <c r="AE2980" t="s">
        <v>115</v>
      </c>
      <c r="AF2980">
        <v>0</v>
      </c>
      <c r="AG2980">
        <v>0</v>
      </c>
      <c r="AH2980" t="s">
        <v>116</v>
      </c>
      <c r="AI2980" s="1">
        <v>61829</v>
      </c>
      <c r="AJ2980" s="2">
        <v>0.22</v>
      </c>
      <c r="AK2980" s="1">
        <v>274829</v>
      </c>
      <c r="AL2980" t="s">
        <v>117</v>
      </c>
      <c r="AM2980" t="s">
        <v>191</v>
      </c>
      <c r="AN2980">
        <v>7150</v>
      </c>
      <c r="AO2980">
        <v>0.16</v>
      </c>
      <c r="AP2980">
        <v>1</v>
      </c>
      <c r="AR2980">
        <v>1</v>
      </c>
      <c r="AS2980" s="1">
        <v>20110</v>
      </c>
      <c r="AT2980" s="1">
        <v>4020</v>
      </c>
      <c r="AU2980" s="1">
        <v>16090</v>
      </c>
      <c r="AV2980">
        <v>80.010000000000005</v>
      </c>
      <c r="AX2980" s="1">
        <v>1950.16</v>
      </c>
      <c r="AY2980" t="s">
        <v>4285</v>
      </c>
      <c r="AZ2980" t="s">
        <v>4285</v>
      </c>
      <c r="BA2980" t="s">
        <v>4286</v>
      </c>
      <c r="BE2980" s="3">
        <v>42108</v>
      </c>
      <c r="BF2980" s="1">
        <v>213000</v>
      </c>
      <c r="BG2980" t="s">
        <v>19556</v>
      </c>
      <c r="BH2980" s="1">
        <v>81.52</v>
      </c>
      <c r="BI2980" s="1">
        <v>213000</v>
      </c>
      <c r="BJ2980" s="3">
        <v>42108</v>
      </c>
      <c r="BK2980" t="s">
        <v>123</v>
      </c>
      <c r="BL2980" t="str">
        <f>"2015.254389"</f>
        <v>2015.254389</v>
      </c>
      <c r="BM2980" t="s">
        <v>2368</v>
      </c>
      <c r="BN2980" t="s">
        <v>6128</v>
      </c>
      <c r="BO2980" t="s">
        <v>19557</v>
      </c>
      <c r="BS2980">
        <v>30</v>
      </c>
      <c r="BW2980" t="str">
        <f>""</f>
        <v/>
      </c>
      <c r="CH2980" t="str">
        <f>""</f>
        <v/>
      </c>
      <c r="CS2980" t="str">
        <f>""</f>
        <v/>
      </c>
    </row>
    <row r="2981" spans="1:97" x14ac:dyDescent="0.25">
      <c r="A2981" t="s">
        <v>370</v>
      </c>
      <c r="B2981" t="s">
        <v>7026</v>
      </c>
      <c r="C2981" t="s">
        <v>2002</v>
      </c>
      <c r="D2981" t="s">
        <v>7026</v>
      </c>
      <c r="E2981" t="s">
        <v>19558</v>
      </c>
      <c r="F2981" t="s">
        <v>108</v>
      </c>
      <c r="H2981" t="s">
        <v>19559</v>
      </c>
      <c r="I2981" t="s">
        <v>5114</v>
      </c>
      <c r="J2981" t="s">
        <v>111</v>
      </c>
      <c r="K2981" t="str">
        <f>"85392"</f>
        <v>85392</v>
      </c>
      <c r="L2981" t="s">
        <v>5228</v>
      </c>
      <c r="M2981" t="s">
        <v>19559</v>
      </c>
      <c r="N2981" t="s">
        <v>5114</v>
      </c>
      <c r="O2981" t="s">
        <v>111</v>
      </c>
      <c r="P2981" t="str">
        <f>"85392-5912"</f>
        <v>85392-5912</v>
      </c>
      <c r="Q2981" t="s">
        <v>113</v>
      </c>
      <c r="R2981" t="str">
        <f>"102-29-641"</f>
        <v>102-29-641</v>
      </c>
      <c r="S2981" t="s">
        <v>19560</v>
      </c>
      <c r="T2981" t="s">
        <v>5116</v>
      </c>
      <c r="U2981">
        <v>2390</v>
      </c>
      <c r="V2981">
        <v>0</v>
      </c>
      <c r="W2981">
        <v>3</v>
      </c>
      <c r="X2981">
        <v>2002</v>
      </c>
      <c r="Z2981">
        <v>2</v>
      </c>
      <c r="AB2981">
        <v>0</v>
      </c>
      <c r="AC2981" t="s">
        <v>115</v>
      </c>
      <c r="AD2981">
        <v>2</v>
      </c>
      <c r="AE2981" t="s">
        <v>115</v>
      </c>
      <c r="AF2981">
        <v>0</v>
      </c>
      <c r="AG2981">
        <v>0</v>
      </c>
      <c r="AH2981" t="s">
        <v>116</v>
      </c>
      <c r="AI2981" s="1">
        <v>85649</v>
      </c>
      <c r="AJ2981" s="2">
        <v>0.3</v>
      </c>
      <c r="AK2981" s="1">
        <v>288499</v>
      </c>
      <c r="AL2981" t="s">
        <v>117</v>
      </c>
      <c r="AM2981" t="s">
        <v>118</v>
      </c>
      <c r="AN2981">
        <v>5728</v>
      </c>
      <c r="AO2981">
        <v>0.13</v>
      </c>
      <c r="AP2981">
        <v>1</v>
      </c>
      <c r="AR2981">
        <v>1</v>
      </c>
      <c r="AS2981" s="1">
        <v>20030</v>
      </c>
      <c r="AT2981" s="1">
        <v>4000</v>
      </c>
      <c r="AU2981" s="1">
        <v>16030</v>
      </c>
      <c r="AV2981">
        <v>80.03</v>
      </c>
      <c r="AX2981" s="1">
        <v>2101.44</v>
      </c>
      <c r="AY2981" t="s">
        <v>9887</v>
      </c>
      <c r="AZ2981" t="s">
        <v>9887</v>
      </c>
      <c r="BA2981" t="s">
        <v>5118</v>
      </c>
      <c r="BE2981" s="3">
        <v>42093</v>
      </c>
      <c r="BF2981" s="1">
        <v>209000</v>
      </c>
      <c r="BG2981" t="s">
        <v>19561</v>
      </c>
      <c r="BH2981" s="1">
        <v>87.45</v>
      </c>
      <c r="BI2981" s="1">
        <v>202850</v>
      </c>
      <c r="BJ2981" s="3">
        <v>42731</v>
      </c>
      <c r="BK2981" t="s">
        <v>123</v>
      </c>
      <c r="BL2981" t="str">
        <f>"2016.949874"</f>
        <v>2016.949874</v>
      </c>
      <c r="BM2981" t="s">
        <v>322</v>
      </c>
      <c r="BO2981" t="s">
        <v>19562</v>
      </c>
      <c r="BS2981">
        <v>30</v>
      </c>
      <c r="BW2981" t="str">
        <f>""</f>
        <v/>
      </c>
      <c r="CH2981" t="str">
        <f>""</f>
        <v/>
      </c>
      <c r="CS2981" t="str">
        <f>""</f>
        <v/>
      </c>
    </row>
    <row r="2982" spans="1:97" x14ac:dyDescent="0.25">
      <c r="A2982" t="s">
        <v>19563</v>
      </c>
      <c r="B2982" t="s">
        <v>3265</v>
      </c>
      <c r="C2982" t="s">
        <v>5847</v>
      </c>
      <c r="D2982" t="s">
        <v>3265</v>
      </c>
      <c r="E2982" t="s">
        <v>19564</v>
      </c>
      <c r="F2982" t="s">
        <v>108</v>
      </c>
      <c r="H2982" t="s">
        <v>19565</v>
      </c>
      <c r="I2982" t="s">
        <v>315</v>
      </c>
      <c r="J2982" t="s">
        <v>111</v>
      </c>
      <c r="K2982" t="str">
        <f>"85335"</f>
        <v>85335</v>
      </c>
      <c r="L2982" t="s">
        <v>2765</v>
      </c>
      <c r="M2982" t="s">
        <v>19565</v>
      </c>
      <c r="N2982" t="s">
        <v>315</v>
      </c>
      <c r="O2982" t="s">
        <v>111</v>
      </c>
      <c r="P2982" t="str">
        <f>"85335-7227"</f>
        <v>85335-7227</v>
      </c>
      <c r="Q2982" t="s">
        <v>113</v>
      </c>
      <c r="R2982" t="str">
        <f>"509-09-452"</f>
        <v>509-09-452</v>
      </c>
      <c r="S2982" t="s">
        <v>12673</v>
      </c>
      <c r="T2982" t="s">
        <v>12674</v>
      </c>
      <c r="U2982">
        <v>1990</v>
      </c>
      <c r="V2982">
        <v>0</v>
      </c>
      <c r="W2982">
        <v>3</v>
      </c>
      <c r="X2982">
        <v>2002</v>
      </c>
      <c r="Z2982">
        <v>1</v>
      </c>
      <c r="AA2982" t="s">
        <v>26</v>
      </c>
      <c r="AB2982">
        <v>0</v>
      </c>
      <c r="AC2982" t="s">
        <v>115</v>
      </c>
      <c r="AD2982">
        <v>2</v>
      </c>
      <c r="AE2982" t="s">
        <v>115</v>
      </c>
      <c r="AF2982">
        <v>0</v>
      </c>
      <c r="AG2982">
        <v>0</v>
      </c>
      <c r="AH2982" t="s">
        <v>116</v>
      </c>
      <c r="AI2982" s="1">
        <v>60028</v>
      </c>
      <c r="AJ2982" s="2">
        <v>0.22</v>
      </c>
      <c r="AK2982" s="1">
        <v>266925</v>
      </c>
      <c r="AL2982" t="s">
        <v>117</v>
      </c>
      <c r="AM2982" t="s">
        <v>319</v>
      </c>
      <c r="AN2982">
        <v>6720</v>
      </c>
      <c r="AO2982">
        <v>0.15</v>
      </c>
      <c r="AP2982">
        <v>1</v>
      </c>
      <c r="AR2982">
        <v>1</v>
      </c>
      <c r="AS2982" s="1">
        <v>18110</v>
      </c>
      <c r="AT2982" s="1">
        <v>3620</v>
      </c>
      <c r="AU2982" s="1">
        <v>14490</v>
      </c>
      <c r="AV2982">
        <v>80.010000000000005</v>
      </c>
      <c r="AX2982" s="1">
        <v>1356.24</v>
      </c>
      <c r="AY2982" t="s">
        <v>12675</v>
      </c>
      <c r="AZ2982" t="s">
        <v>12675</v>
      </c>
      <c r="BA2982" t="s">
        <v>635</v>
      </c>
      <c r="BE2982" s="3">
        <v>42467</v>
      </c>
      <c r="BF2982" s="1">
        <v>200288</v>
      </c>
      <c r="BG2982" t="s">
        <v>19566</v>
      </c>
      <c r="BH2982" s="1">
        <v>100.65</v>
      </c>
      <c r="BI2982" s="1">
        <v>206897</v>
      </c>
      <c r="BJ2982" s="3">
        <v>42467</v>
      </c>
      <c r="BK2982" t="s">
        <v>123</v>
      </c>
      <c r="BL2982" t="str">
        <f>"2016.229271"</f>
        <v>2016.229271</v>
      </c>
      <c r="BM2982" t="s">
        <v>1185</v>
      </c>
      <c r="BO2982" t="s">
        <v>19567</v>
      </c>
      <c r="BS2982">
        <v>30</v>
      </c>
      <c r="BW2982" t="str">
        <f>""</f>
        <v/>
      </c>
      <c r="CH2982" t="str">
        <f>""</f>
        <v/>
      </c>
      <c r="CS2982" t="str">
        <f>""</f>
        <v/>
      </c>
    </row>
    <row r="2983" spans="1:97" x14ac:dyDescent="0.25">
      <c r="A2983" t="s">
        <v>1344</v>
      </c>
      <c r="B2983" t="s">
        <v>11670</v>
      </c>
      <c r="E2983" t="s">
        <v>19568</v>
      </c>
      <c r="F2983" t="s">
        <v>108</v>
      </c>
      <c r="H2983" t="s">
        <v>19569</v>
      </c>
      <c r="I2983" t="s">
        <v>203</v>
      </c>
      <c r="J2983" t="s">
        <v>111</v>
      </c>
      <c r="K2983" t="str">
        <f>"85295"</f>
        <v>85295</v>
      </c>
      <c r="L2983" t="s">
        <v>5084</v>
      </c>
      <c r="M2983" t="s">
        <v>19569</v>
      </c>
      <c r="N2983" t="s">
        <v>203</v>
      </c>
      <c r="O2983" t="s">
        <v>111</v>
      </c>
      <c r="P2983" t="str">
        <f>"85295-7675"</f>
        <v>85295-7675</v>
      </c>
      <c r="Q2983" t="s">
        <v>113</v>
      </c>
      <c r="R2983" t="str">
        <f>"309-30-062"</f>
        <v>309-30-062</v>
      </c>
      <c r="S2983" t="s">
        <v>5085</v>
      </c>
      <c r="T2983" t="s">
        <v>5086</v>
      </c>
      <c r="U2983">
        <v>3710</v>
      </c>
      <c r="V2983">
        <v>0</v>
      </c>
      <c r="W2983">
        <v>5</v>
      </c>
      <c r="X2983">
        <v>2003</v>
      </c>
      <c r="Z2983">
        <v>2</v>
      </c>
      <c r="AB2983">
        <v>0</v>
      </c>
      <c r="AC2983" t="s">
        <v>115</v>
      </c>
      <c r="AD2983">
        <v>2</v>
      </c>
      <c r="AE2983" t="s">
        <v>115</v>
      </c>
      <c r="AF2983">
        <v>0</v>
      </c>
      <c r="AG2983">
        <v>0</v>
      </c>
      <c r="AH2983" t="s">
        <v>116</v>
      </c>
      <c r="AI2983" s="1">
        <v>98117</v>
      </c>
      <c r="AJ2983" s="2">
        <v>0.21</v>
      </c>
      <c r="AK2983" s="1">
        <v>470972</v>
      </c>
      <c r="AL2983" t="s">
        <v>117</v>
      </c>
      <c r="AM2983" t="s">
        <v>393</v>
      </c>
      <c r="AN2983">
        <v>9275</v>
      </c>
      <c r="AO2983">
        <v>0.21</v>
      </c>
      <c r="AP2983">
        <v>1</v>
      </c>
      <c r="AR2983">
        <v>1</v>
      </c>
      <c r="AS2983" s="1">
        <v>29460</v>
      </c>
      <c r="AT2983" s="1">
        <v>5890</v>
      </c>
      <c r="AU2983" s="1">
        <v>23570</v>
      </c>
      <c r="AV2983">
        <v>80.010000000000005</v>
      </c>
      <c r="AX2983" s="1">
        <v>2529.16</v>
      </c>
      <c r="AY2983" t="s">
        <v>5087</v>
      </c>
      <c r="AZ2983" t="s">
        <v>5087</v>
      </c>
      <c r="BA2983" t="s">
        <v>473</v>
      </c>
      <c r="BE2983" s="3">
        <v>41747</v>
      </c>
      <c r="BF2983" s="1">
        <v>412000</v>
      </c>
      <c r="BG2983" t="s">
        <v>19570</v>
      </c>
      <c r="BH2983" s="1">
        <v>111.05</v>
      </c>
      <c r="BI2983" s="1">
        <v>372855</v>
      </c>
      <c r="BJ2983" s="3">
        <v>42429</v>
      </c>
      <c r="BK2983" t="s">
        <v>123</v>
      </c>
      <c r="BL2983" t="str">
        <f>"2016.126232"</f>
        <v>2016.126232</v>
      </c>
      <c r="BM2983" t="s">
        <v>820</v>
      </c>
      <c r="BN2983" t="s">
        <v>2188</v>
      </c>
      <c r="BO2983" t="s">
        <v>19571</v>
      </c>
      <c r="BS2983">
        <v>30</v>
      </c>
      <c r="BW2983" t="str">
        <f>""</f>
        <v/>
      </c>
      <c r="CH2983" t="str">
        <f>""</f>
        <v/>
      </c>
      <c r="CS2983" t="str">
        <f>""</f>
        <v/>
      </c>
    </row>
    <row r="2984" spans="1:97" x14ac:dyDescent="0.25">
      <c r="A2984" t="s">
        <v>15865</v>
      </c>
      <c r="B2984" t="s">
        <v>3147</v>
      </c>
      <c r="C2984" t="s">
        <v>259</v>
      </c>
      <c r="D2984" t="s">
        <v>3147</v>
      </c>
      <c r="E2984" t="s">
        <v>19572</v>
      </c>
      <c r="F2984" t="s">
        <v>108</v>
      </c>
      <c r="H2984" t="s">
        <v>19573</v>
      </c>
      <c r="I2984" t="s">
        <v>110</v>
      </c>
      <c r="J2984" t="s">
        <v>111</v>
      </c>
      <c r="K2984" t="str">
        <f>"85286"</f>
        <v>85286</v>
      </c>
      <c r="L2984" t="s">
        <v>5429</v>
      </c>
      <c r="M2984" t="s">
        <v>19573</v>
      </c>
      <c r="N2984" t="s">
        <v>110</v>
      </c>
      <c r="O2984" t="s">
        <v>111</v>
      </c>
      <c r="P2984" t="str">
        <f>"85286-6444"</f>
        <v>85286-6444</v>
      </c>
      <c r="Q2984" t="s">
        <v>113</v>
      </c>
      <c r="R2984" t="str">
        <f>"303-76-293"</f>
        <v>303-76-293</v>
      </c>
      <c r="S2984" t="s">
        <v>14691</v>
      </c>
      <c r="T2984" t="s">
        <v>14691</v>
      </c>
      <c r="U2984">
        <v>1847</v>
      </c>
      <c r="V2984">
        <v>0</v>
      </c>
      <c r="W2984">
        <v>3</v>
      </c>
      <c r="X2984">
        <v>1999</v>
      </c>
      <c r="Z2984">
        <v>1</v>
      </c>
      <c r="AB2984">
        <v>0</v>
      </c>
      <c r="AC2984" t="s">
        <v>115</v>
      </c>
      <c r="AD2984">
        <v>3</v>
      </c>
      <c r="AE2984" t="s">
        <v>115</v>
      </c>
      <c r="AF2984">
        <v>0</v>
      </c>
      <c r="AG2984">
        <v>0</v>
      </c>
      <c r="AH2984" t="s">
        <v>116</v>
      </c>
      <c r="AI2984" s="1">
        <v>51994</v>
      </c>
      <c r="AJ2984" s="2">
        <v>0.14000000000000001</v>
      </c>
      <c r="AK2984" s="1">
        <v>366494</v>
      </c>
      <c r="AL2984" t="s">
        <v>117</v>
      </c>
      <c r="AM2984" t="s">
        <v>118</v>
      </c>
      <c r="AN2984">
        <v>8054</v>
      </c>
      <c r="AO2984">
        <v>0.18</v>
      </c>
      <c r="AP2984">
        <v>1</v>
      </c>
      <c r="AR2984">
        <v>1</v>
      </c>
      <c r="AS2984" s="1">
        <v>26550</v>
      </c>
      <c r="AT2984" s="1">
        <v>5310</v>
      </c>
      <c r="AU2984" s="1">
        <v>21240</v>
      </c>
      <c r="AV2984">
        <v>80</v>
      </c>
      <c r="AX2984" s="1">
        <v>2040.98</v>
      </c>
      <c r="AY2984" t="s">
        <v>6015</v>
      </c>
      <c r="AZ2984" t="s">
        <v>1882</v>
      </c>
      <c r="BA2984" t="s">
        <v>121</v>
      </c>
      <c r="BE2984" s="3">
        <v>41684</v>
      </c>
      <c r="BF2984" s="1">
        <v>294900</v>
      </c>
      <c r="BG2984" t="s">
        <v>19574</v>
      </c>
      <c r="BH2984" s="1">
        <v>159.66</v>
      </c>
      <c r="BI2984" s="1">
        <v>314500</v>
      </c>
      <c r="BJ2984" s="3">
        <v>43643</v>
      </c>
      <c r="BK2984" t="s">
        <v>123</v>
      </c>
      <c r="BL2984" t="str">
        <f>"2019.484238"</f>
        <v>2019.484238</v>
      </c>
      <c r="BM2984" t="s">
        <v>2181</v>
      </c>
      <c r="BN2984" t="s">
        <v>1511</v>
      </c>
      <c r="BO2984" t="s">
        <v>19575</v>
      </c>
      <c r="BP2984" t="s">
        <v>19576</v>
      </c>
      <c r="BR2984" t="s">
        <v>139</v>
      </c>
      <c r="BW2984" t="str">
        <f>""</f>
        <v/>
      </c>
      <c r="CH2984" t="str">
        <f>""</f>
        <v/>
      </c>
      <c r="CS2984" t="str">
        <f>""</f>
        <v/>
      </c>
    </row>
    <row r="2985" spans="1:97" x14ac:dyDescent="0.25">
      <c r="A2985" t="s">
        <v>12368</v>
      </c>
      <c r="B2985" t="s">
        <v>2537</v>
      </c>
      <c r="C2985" t="s">
        <v>220</v>
      </c>
      <c r="D2985" t="s">
        <v>2537</v>
      </c>
      <c r="E2985" t="s">
        <v>19577</v>
      </c>
      <c r="F2985" t="s">
        <v>108</v>
      </c>
      <c r="H2985" t="s">
        <v>19578</v>
      </c>
      <c r="I2985" t="s">
        <v>225</v>
      </c>
      <c r="J2985" t="s">
        <v>111</v>
      </c>
      <c r="K2985" t="str">
        <f>"85212"</f>
        <v>85212</v>
      </c>
      <c r="L2985" t="s">
        <v>17845</v>
      </c>
      <c r="M2985" t="s">
        <v>19578</v>
      </c>
      <c r="N2985" t="s">
        <v>225</v>
      </c>
      <c r="O2985" t="s">
        <v>111</v>
      </c>
      <c r="P2985" t="str">
        <f>"85212-5204"</f>
        <v>85212-5204</v>
      </c>
      <c r="Q2985" t="s">
        <v>113</v>
      </c>
      <c r="R2985" t="str">
        <f>"312-09-561"</f>
        <v>312-09-561</v>
      </c>
      <c r="S2985" t="s">
        <v>19579</v>
      </c>
      <c r="T2985" t="s">
        <v>8810</v>
      </c>
      <c r="U2985">
        <v>2251</v>
      </c>
      <c r="V2985">
        <v>0</v>
      </c>
      <c r="W2985">
        <v>4</v>
      </c>
      <c r="X2985">
        <v>2010</v>
      </c>
      <c r="Z2985">
        <v>2</v>
      </c>
      <c r="AB2985">
        <v>0</v>
      </c>
      <c r="AC2985" t="s">
        <v>115</v>
      </c>
      <c r="AD2985">
        <v>3</v>
      </c>
      <c r="AE2985" t="s">
        <v>115</v>
      </c>
      <c r="AF2985">
        <v>0</v>
      </c>
      <c r="AG2985">
        <v>0</v>
      </c>
      <c r="AH2985" t="s">
        <v>116</v>
      </c>
      <c r="AI2985" s="1">
        <v>49977</v>
      </c>
      <c r="AJ2985" s="2">
        <v>0.15</v>
      </c>
      <c r="AK2985" s="1">
        <v>327977</v>
      </c>
      <c r="AL2985" t="s">
        <v>117</v>
      </c>
      <c r="AM2985" t="s">
        <v>191</v>
      </c>
      <c r="AN2985">
        <v>6292</v>
      </c>
      <c r="AO2985">
        <v>0.14000000000000001</v>
      </c>
      <c r="AR2985">
        <v>1</v>
      </c>
      <c r="AS2985" s="1">
        <v>22420</v>
      </c>
      <c r="AT2985" s="1">
        <v>4480</v>
      </c>
      <c r="AU2985" s="1">
        <v>17940</v>
      </c>
      <c r="AV2985">
        <v>80.02</v>
      </c>
      <c r="AX2985" s="1">
        <v>2272.1999999999998</v>
      </c>
      <c r="AY2985" t="s">
        <v>560</v>
      </c>
      <c r="AZ2985" t="s">
        <v>561</v>
      </c>
      <c r="BA2985" t="s">
        <v>194</v>
      </c>
      <c r="BE2985" s="3">
        <v>42429</v>
      </c>
      <c r="BF2985" s="1">
        <v>257000</v>
      </c>
      <c r="BG2985" t="s">
        <v>19580</v>
      </c>
      <c r="BH2985" s="1">
        <v>114.17</v>
      </c>
      <c r="BI2985" s="1">
        <v>278000</v>
      </c>
      <c r="BJ2985" s="3">
        <v>43220</v>
      </c>
      <c r="BK2985" t="s">
        <v>123</v>
      </c>
      <c r="BL2985" t="str">
        <f>"2018.328521"</f>
        <v>2018.328521</v>
      </c>
      <c r="BM2985" t="s">
        <v>19581</v>
      </c>
      <c r="BN2985" t="s">
        <v>10444</v>
      </c>
      <c r="BO2985" t="s">
        <v>19582</v>
      </c>
      <c r="BP2985" t="s">
        <v>19583</v>
      </c>
      <c r="BR2985" t="s">
        <v>139</v>
      </c>
      <c r="BW2985" t="str">
        <f>""</f>
        <v/>
      </c>
      <c r="CH2985" t="str">
        <f>""</f>
        <v/>
      </c>
      <c r="CS2985" t="str">
        <f>""</f>
        <v/>
      </c>
    </row>
    <row r="2986" spans="1:97" x14ac:dyDescent="0.25">
      <c r="A2986" t="s">
        <v>1840</v>
      </c>
      <c r="B2986" t="s">
        <v>3265</v>
      </c>
      <c r="C2986" t="s">
        <v>701</v>
      </c>
      <c r="D2986" t="s">
        <v>3265</v>
      </c>
      <c r="E2986" t="s">
        <v>19584</v>
      </c>
      <c r="F2986" t="s">
        <v>108</v>
      </c>
      <c r="H2986" t="s">
        <v>19585</v>
      </c>
      <c r="I2986" t="s">
        <v>167</v>
      </c>
      <c r="J2986" t="s">
        <v>111</v>
      </c>
      <c r="K2986" t="str">
        <f>"85339"</f>
        <v>85339</v>
      </c>
      <c r="L2986" t="s">
        <v>5367</v>
      </c>
      <c r="M2986" t="s">
        <v>19585</v>
      </c>
      <c r="N2986" t="s">
        <v>167</v>
      </c>
      <c r="O2986" t="s">
        <v>111</v>
      </c>
      <c r="P2986" t="str">
        <f>"85339-7078"</f>
        <v>85339-7078</v>
      </c>
      <c r="Q2986" t="s">
        <v>113</v>
      </c>
      <c r="R2986" t="str">
        <f>"104-87-194"</f>
        <v>104-87-194</v>
      </c>
      <c r="S2986" t="s">
        <v>12188</v>
      </c>
      <c r="U2986">
        <v>2562</v>
      </c>
      <c r="V2986">
        <v>0</v>
      </c>
      <c r="W2986">
        <v>3</v>
      </c>
      <c r="X2986">
        <v>2015</v>
      </c>
      <c r="Z2986">
        <v>1</v>
      </c>
      <c r="AA2986" t="s">
        <v>26</v>
      </c>
      <c r="AB2986">
        <v>0</v>
      </c>
      <c r="AC2986" t="s">
        <v>115</v>
      </c>
      <c r="AD2986">
        <v>2</v>
      </c>
      <c r="AE2986" t="s">
        <v>115</v>
      </c>
      <c r="AF2986">
        <v>0</v>
      </c>
      <c r="AG2986">
        <v>0</v>
      </c>
      <c r="AH2986" t="s">
        <v>116</v>
      </c>
      <c r="AI2986" s="1">
        <v>68796</v>
      </c>
      <c r="AJ2986" s="2">
        <v>0.21</v>
      </c>
      <c r="AK2986" s="1">
        <v>329021</v>
      </c>
      <c r="AL2986" t="s">
        <v>117</v>
      </c>
      <c r="AM2986" t="s">
        <v>760</v>
      </c>
      <c r="AN2986">
        <v>12478</v>
      </c>
      <c r="AO2986">
        <v>0.28999999999999998</v>
      </c>
      <c r="AR2986">
        <v>1</v>
      </c>
      <c r="AS2986" s="1">
        <v>25070</v>
      </c>
      <c r="AT2986" s="1">
        <v>5010</v>
      </c>
      <c r="AU2986" s="1">
        <v>20060</v>
      </c>
      <c r="AV2986">
        <v>80.02</v>
      </c>
      <c r="AX2986" s="1">
        <v>3116.6</v>
      </c>
      <c r="AY2986" t="s">
        <v>172</v>
      </c>
      <c r="AZ2986" t="s">
        <v>172</v>
      </c>
      <c r="BA2986" t="s">
        <v>173</v>
      </c>
      <c r="BE2986" s="3">
        <v>42142</v>
      </c>
      <c r="BF2986" s="1">
        <v>254748</v>
      </c>
      <c r="BG2986" t="s">
        <v>233</v>
      </c>
      <c r="BH2986" s="1">
        <v>99.43</v>
      </c>
      <c r="BI2986" s="1">
        <v>260225</v>
      </c>
      <c r="BJ2986" s="3">
        <v>42142</v>
      </c>
      <c r="BK2986" t="s">
        <v>123</v>
      </c>
      <c r="BL2986" t="str">
        <f>"2015.349811"</f>
        <v>2015.349811</v>
      </c>
      <c r="BM2986" t="s">
        <v>2290</v>
      </c>
      <c r="BO2986" t="s">
        <v>19586</v>
      </c>
      <c r="BS2986">
        <v>30</v>
      </c>
      <c r="BW2986" t="str">
        <f>""</f>
        <v/>
      </c>
      <c r="CH2986" t="str">
        <f>""</f>
        <v/>
      </c>
      <c r="CS2986" t="str">
        <f>""</f>
        <v/>
      </c>
    </row>
    <row r="2987" spans="1:97" x14ac:dyDescent="0.25">
      <c r="A2987" t="s">
        <v>1938</v>
      </c>
      <c r="B2987" t="s">
        <v>6276</v>
      </c>
      <c r="E2987" t="s">
        <v>19587</v>
      </c>
      <c r="F2987" t="s">
        <v>282</v>
      </c>
      <c r="H2987" t="s">
        <v>19588</v>
      </c>
      <c r="I2987" t="s">
        <v>453</v>
      </c>
      <c r="J2987" t="s">
        <v>111</v>
      </c>
      <c r="K2987" t="str">
        <f>"85345"</f>
        <v>85345</v>
      </c>
      <c r="L2987" t="s">
        <v>9764</v>
      </c>
      <c r="M2987" t="s">
        <v>19589</v>
      </c>
      <c r="N2987" t="s">
        <v>390</v>
      </c>
      <c r="O2987" t="s">
        <v>111</v>
      </c>
      <c r="P2987" t="str">
        <f>"85043-5730"</f>
        <v>85043-5730</v>
      </c>
      <c r="Q2987" t="s">
        <v>113</v>
      </c>
      <c r="R2987" t="str">
        <f>"142-45-665"</f>
        <v>142-45-665</v>
      </c>
      <c r="S2987" t="s">
        <v>16387</v>
      </c>
      <c r="T2987" t="s">
        <v>16387</v>
      </c>
      <c r="U2987">
        <v>1546</v>
      </c>
      <c r="V2987">
        <v>0</v>
      </c>
      <c r="W2987">
        <v>3</v>
      </c>
      <c r="X2987">
        <v>1996</v>
      </c>
      <c r="Z2987">
        <v>1</v>
      </c>
      <c r="AA2987" t="s">
        <v>26</v>
      </c>
      <c r="AB2987">
        <v>0</v>
      </c>
      <c r="AC2987" t="s">
        <v>115</v>
      </c>
      <c r="AD2987">
        <v>2</v>
      </c>
      <c r="AE2987" t="s">
        <v>115</v>
      </c>
      <c r="AF2987">
        <v>0</v>
      </c>
      <c r="AG2987">
        <v>0</v>
      </c>
      <c r="AH2987" t="s">
        <v>116</v>
      </c>
      <c r="AI2987" s="1">
        <v>-7171</v>
      </c>
      <c r="AJ2987" s="2">
        <v>-0.03</v>
      </c>
      <c r="AK2987" s="1">
        <v>206500</v>
      </c>
      <c r="AL2987" t="s">
        <v>117</v>
      </c>
      <c r="AM2987" t="s">
        <v>191</v>
      </c>
      <c r="AN2987">
        <v>10542</v>
      </c>
      <c r="AO2987">
        <v>0.24</v>
      </c>
      <c r="AP2987">
        <v>1</v>
      </c>
      <c r="AR2987">
        <v>1</v>
      </c>
      <c r="AS2987" s="1">
        <v>18350</v>
      </c>
      <c r="AT2987" s="1">
        <v>3670</v>
      </c>
      <c r="AU2987" s="1">
        <v>14680</v>
      </c>
      <c r="AV2987">
        <v>80</v>
      </c>
      <c r="AX2987" s="1">
        <v>1651.9</v>
      </c>
      <c r="AY2987" t="s">
        <v>4006</v>
      </c>
      <c r="AZ2987" t="s">
        <v>4006</v>
      </c>
      <c r="BA2987" t="s">
        <v>4007</v>
      </c>
      <c r="BE2987" s="3">
        <v>41726</v>
      </c>
      <c r="BF2987" s="1">
        <v>179500</v>
      </c>
      <c r="BG2987" t="s">
        <v>19590</v>
      </c>
      <c r="BH2987" s="1">
        <v>116.11</v>
      </c>
      <c r="BI2987" s="1">
        <v>213671</v>
      </c>
      <c r="BJ2987" s="3">
        <v>42549</v>
      </c>
      <c r="BK2987" t="s">
        <v>123</v>
      </c>
      <c r="BL2987" t="str">
        <f>"2016.452643"</f>
        <v>2016.452643</v>
      </c>
      <c r="BM2987" t="s">
        <v>402</v>
      </c>
      <c r="BO2987" t="s">
        <v>19591</v>
      </c>
      <c r="BS2987">
        <v>30</v>
      </c>
      <c r="BW2987" t="str">
        <f>""</f>
        <v/>
      </c>
      <c r="CH2987" t="str">
        <f>""</f>
        <v/>
      </c>
      <c r="CS2987" t="str">
        <f>""</f>
        <v/>
      </c>
    </row>
    <row r="2988" spans="1:97" x14ac:dyDescent="0.25">
      <c r="A2988" t="s">
        <v>894</v>
      </c>
      <c r="B2988" t="s">
        <v>19592</v>
      </c>
      <c r="C2988" t="s">
        <v>3470</v>
      </c>
      <c r="D2988" t="s">
        <v>19592</v>
      </c>
      <c r="E2988" t="s">
        <v>19593</v>
      </c>
      <c r="F2988" t="s">
        <v>108</v>
      </c>
      <c r="H2988" t="s">
        <v>19594</v>
      </c>
      <c r="I2988" t="s">
        <v>390</v>
      </c>
      <c r="J2988" t="s">
        <v>111</v>
      </c>
      <c r="K2988" t="str">
        <f>"85043"</f>
        <v>85043</v>
      </c>
      <c r="L2988" t="s">
        <v>5367</v>
      </c>
      <c r="M2988" t="s">
        <v>19594</v>
      </c>
      <c r="N2988" t="s">
        <v>390</v>
      </c>
      <c r="O2988" t="s">
        <v>111</v>
      </c>
      <c r="P2988" t="str">
        <f>"85043-1594"</f>
        <v>85043-1594</v>
      </c>
      <c r="Q2988" t="s">
        <v>113</v>
      </c>
      <c r="R2988" t="str">
        <f>"104-55-437"</f>
        <v>104-55-437</v>
      </c>
      <c r="S2988" t="s">
        <v>5368</v>
      </c>
      <c r="T2988" t="s">
        <v>5368</v>
      </c>
      <c r="U2988">
        <v>2389</v>
      </c>
      <c r="V2988">
        <v>0</v>
      </c>
      <c r="W2988">
        <v>3</v>
      </c>
      <c r="X2988">
        <v>2014</v>
      </c>
      <c r="Z2988">
        <v>2</v>
      </c>
      <c r="AB2988">
        <v>0</v>
      </c>
      <c r="AC2988" t="s">
        <v>115</v>
      </c>
      <c r="AD2988">
        <v>2</v>
      </c>
      <c r="AE2988" t="s">
        <v>115</v>
      </c>
      <c r="AF2988">
        <v>0</v>
      </c>
      <c r="AG2988">
        <v>0</v>
      </c>
      <c r="AH2988" t="s">
        <v>116</v>
      </c>
      <c r="AI2988" s="1">
        <v>71773</v>
      </c>
      <c r="AJ2988" s="2">
        <v>0.24</v>
      </c>
      <c r="AK2988" s="1">
        <v>295756</v>
      </c>
      <c r="AL2988" t="s">
        <v>117</v>
      </c>
      <c r="AM2988" t="s">
        <v>171</v>
      </c>
      <c r="AN2988">
        <v>6342</v>
      </c>
      <c r="AO2988">
        <v>0.15</v>
      </c>
      <c r="AR2988">
        <v>1</v>
      </c>
      <c r="AS2988" s="1">
        <v>20650</v>
      </c>
      <c r="AT2988" s="1">
        <v>4130</v>
      </c>
      <c r="AU2988" s="1">
        <v>16520</v>
      </c>
      <c r="AV2988">
        <v>80</v>
      </c>
      <c r="AX2988" s="1">
        <v>2176.1799999999998</v>
      </c>
      <c r="AY2988" t="s">
        <v>5369</v>
      </c>
      <c r="AZ2988" t="s">
        <v>5370</v>
      </c>
      <c r="BA2988" t="s">
        <v>5371</v>
      </c>
      <c r="BE2988" s="3">
        <v>42087</v>
      </c>
      <c r="BF2988" s="1">
        <v>223983</v>
      </c>
      <c r="BG2988" t="s">
        <v>2289</v>
      </c>
      <c r="BH2988" s="1">
        <v>93.76</v>
      </c>
      <c r="BI2988" s="1">
        <v>223983</v>
      </c>
      <c r="BJ2988" s="3">
        <v>42087</v>
      </c>
      <c r="BK2988" t="s">
        <v>123</v>
      </c>
      <c r="BL2988" t="str">
        <f>"2015.195475"</f>
        <v>2015.195475</v>
      </c>
      <c r="BM2988" t="s">
        <v>150</v>
      </c>
      <c r="BO2988" t="s">
        <v>19595</v>
      </c>
      <c r="BS2988">
        <v>30</v>
      </c>
      <c r="BW2988" t="str">
        <f>""</f>
        <v/>
      </c>
      <c r="CH2988" t="str">
        <f>""</f>
        <v/>
      </c>
      <c r="CS2988" t="str">
        <f>""</f>
        <v/>
      </c>
    </row>
    <row r="2989" spans="1:97" x14ac:dyDescent="0.25">
      <c r="A2989" t="s">
        <v>1344</v>
      </c>
      <c r="B2989" t="s">
        <v>2338</v>
      </c>
      <c r="C2989" t="s">
        <v>986</v>
      </c>
      <c r="D2989" t="s">
        <v>2338</v>
      </c>
      <c r="E2989" t="s">
        <v>19596</v>
      </c>
      <c r="F2989" t="s">
        <v>108</v>
      </c>
      <c r="H2989" t="s">
        <v>19597</v>
      </c>
      <c r="I2989" t="s">
        <v>453</v>
      </c>
      <c r="J2989" t="s">
        <v>111</v>
      </c>
      <c r="K2989" t="str">
        <f>"85383"</f>
        <v>85383</v>
      </c>
      <c r="L2989" t="s">
        <v>558</v>
      </c>
      <c r="M2989" t="s">
        <v>19597</v>
      </c>
      <c r="N2989" t="s">
        <v>453</v>
      </c>
      <c r="O2989" t="s">
        <v>111</v>
      </c>
      <c r="P2989" t="str">
        <f>"85383-2656"</f>
        <v>85383-2656</v>
      </c>
      <c r="Q2989" t="s">
        <v>113</v>
      </c>
      <c r="R2989" t="str">
        <f>"200-09-505"</f>
        <v>200-09-505</v>
      </c>
      <c r="S2989" t="s">
        <v>12058</v>
      </c>
      <c r="T2989" t="s">
        <v>12059</v>
      </c>
      <c r="U2989">
        <v>2537</v>
      </c>
      <c r="V2989">
        <v>0</v>
      </c>
      <c r="W2989">
        <v>4</v>
      </c>
      <c r="X2989">
        <v>2005</v>
      </c>
      <c r="Z2989">
        <v>2</v>
      </c>
      <c r="AA2989" t="s">
        <v>26</v>
      </c>
      <c r="AB2989">
        <v>0</v>
      </c>
      <c r="AC2989" t="s">
        <v>115</v>
      </c>
      <c r="AD2989">
        <v>2</v>
      </c>
      <c r="AE2989" t="s">
        <v>115</v>
      </c>
      <c r="AF2989">
        <v>0</v>
      </c>
      <c r="AG2989">
        <v>0</v>
      </c>
      <c r="AH2989" t="s">
        <v>116</v>
      </c>
      <c r="AI2989" s="1">
        <v>49020</v>
      </c>
      <c r="AJ2989" s="2">
        <v>0.14000000000000001</v>
      </c>
      <c r="AK2989" s="1">
        <v>341169</v>
      </c>
      <c r="AL2989" t="s">
        <v>117</v>
      </c>
      <c r="AM2989" t="s">
        <v>118</v>
      </c>
      <c r="AN2989">
        <v>10458</v>
      </c>
      <c r="AO2989">
        <v>0.24</v>
      </c>
      <c r="AR2989">
        <v>1</v>
      </c>
      <c r="AS2989" s="1">
        <v>24620</v>
      </c>
      <c r="AT2989" s="1">
        <v>4920</v>
      </c>
      <c r="AU2989" s="1">
        <v>19700</v>
      </c>
      <c r="AV2989">
        <v>80.02</v>
      </c>
      <c r="AX2989" s="1">
        <v>2007.26</v>
      </c>
      <c r="AY2989" t="s">
        <v>1808</v>
      </c>
      <c r="AZ2989" t="s">
        <v>1808</v>
      </c>
      <c r="BA2989" t="s">
        <v>457</v>
      </c>
      <c r="BE2989" s="3">
        <v>42321</v>
      </c>
      <c r="BF2989" s="1">
        <v>286000</v>
      </c>
      <c r="BG2989" t="s">
        <v>19598</v>
      </c>
      <c r="BH2989" s="1">
        <v>112.73</v>
      </c>
      <c r="BI2989" s="1">
        <v>292149</v>
      </c>
      <c r="BJ2989" s="3">
        <v>42321</v>
      </c>
      <c r="BK2989" t="s">
        <v>123</v>
      </c>
      <c r="BL2989" t="str">
        <f>"2015.813113"</f>
        <v>2015.813113</v>
      </c>
      <c r="BM2989" t="s">
        <v>12498</v>
      </c>
      <c r="BO2989" t="s">
        <v>19599</v>
      </c>
      <c r="BS2989">
        <v>30</v>
      </c>
      <c r="BW2989" t="str">
        <f>""</f>
        <v/>
      </c>
      <c r="CH2989" t="str">
        <f>""</f>
        <v/>
      </c>
      <c r="CS2989" t="str">
        <f>""</f>
        <v/>
      </c>
    </row>
    <row r="2990" spans="1:97" x14ac:dyDescent="0.25">
      <c r="A2990" t="s">
        <v>1359</v>
      </c>
      <c r="B2990" t="s">
        <v>19600</v>
      </c>
      <c r="C2990" t="s">
        <v>14984</v>
      </c>
      <c r="D2990" t="s">
        <v>19600</v>
      </c>
      <c r="E2990" t="s">
        <v>19601</v>
      </c>
      <c r="F2990" t="s">
        <v>108</v>
      </c>
      <c r="H2990" t="s">
        <v>19602</v>
      </c>
      <c r="I2990" t="s">
        <v>499</v>
      </c>
      <c r="J2990" t="s">
        <v>111</v>
      </c>
      <c r="K2990" t="str">
        <f>"85395"</f>
        <v>85395</v>
      </c>
      <c r="L2990" t="s">
        <v>1789</v>
      </c>
      <c r="M2990" t="s">
        <v>19602</v>
      </c>
      <c r="N2990" t="s">
        <v>499</v>
      </c>
      <c r="O2990" t="s">
        <v>111</v>
      </c>
      <c r="P2990" t="str">
        <f>"85395-1811"</f>
        <v>85395-1811</v>
      </c>
      <c r="Q2990" t="s">
        <v>113</v>
      </c>
      <c r="R2990" t="str">
        <f>"501-98-326"</f>
        <v>501-98-326</v>
      </c>
      <c r="S2990" t="s">
        <v>19603</v>
      </c>
      <c r="U2990">
        <v>1917</v>
      </c>
      <c r="V2990">
        <v>0</v>
      </c>
      <c r="W2990">
        <v>3</v>
      </c>
      <c r="X2990">
        <v>2010</v>
      </c>
      <c r="Z2990">
        <v>1</v>
      </c>
      <c r="AB2990">
        <v>0</v>
      </c>
      <c r="AC2990" t="s">
        <v>115</v>
      </c>
      <c r="AD2990">
        <v>2</v>
      </c>
      <c r="AE2990" t="s">
        <v>115</v>
      </c>
      <c r="AF2990">
        <v>0</v>
      </c>
      <c r="AG2990">
        <v>0</v>
      </c>
      <c r="AH2990" t="s">
        <v>116</v>
      </c>
      <c r="AI2990" s="1">
        <v>244983</v>
      </c>
      <c r="AJ2990" s="2">
        <v>0.51</v>
      </c>
      <c r="AK2990" s="1">
        <v>476983</v>
      </c>
      <c r="AL2990" t="s">
        <v>117</v>
      </c>
      <c r="AM2990" t="s">
        <v>118</v>
      </c>
      <c r="AN2990">
        <v>8111</v>
      </c>
      <c r="AO2990">
        <v>0.19</v>
      </c>
      <c r="AR2990">
        <v>1</v>
      </c>
      <c r="AS2990" s="1">
        <v>36430</v>
      </c>
      <c r="AT2990" s="1">
        <v>7280</v>
      </c>
      <c r="AU2990" s="1">
        <v>29150</v>
      </c>
      <c r="AV2990">
        <v>80.02</v>
      </c>
      <c r="AX2990" s="1">
        <v>4523.96</v>
      </c>
      <c r="AY2990" t="s">
        <v>3020</v>
      </c>
      <c r="AZ2990" t="s">
        <v>3020</v>
      </c>
      <c r="BA2990" t="s">
        <v>218</v>
      </c>
      <c r="BE2990" s="3">
        <v>42136</v>
      </c>
      <c r="BF2990" s="1">
        <v>432000</v>
      </c>
      <c r="BG2990" t="s">
        <v>19604</v>
      </c>
      <c r="BH2990" s="1">
        <v>225.35</v>
      </c>
      <c r="BI2990" s="1">
        <v>232000</v>
      </c>
      <c r="BJ2990" s="3">
        <v>42136</v>
      </c>
      <c r="BK2990" t="s">
        <v>123</v>
      </c>
      <c r="BL2990" t="str">
        <f>"2015.331641"</f>
        <v>2015.331641</v>
      </c>
      <c r="BM2990" t="s">
        <v>2127</v>
      </c>
      <c r="BO2990" t="s">
        <v>19605</v>
      </c>
      <c r="BS2990">
        <v>30</v>
      </c>
      <c r="BW2990" t="str">
        <f>""</f>
        <v/>
      </c>
      <c r="CH2990" t="str">
        <f>""</f>
        <v/>
      </c>
      <c r="CS2990" t="str">
        <f>""</f>
        <v/>
      </c>
    </row>
    <row r="2991" spans="1:97" x14ac:dyDescent="0.25">
      <c r="A2991" t="s">
        <v>1514</v>
      </c>
      <c r="B2991" t="s">
        <v>19606</v>
      </c>
      <c r="E2991" t="s">
        <v>19607</v>
      </c>
      <c r="F2991" t="s">
        <v>108</v>
      </c>
      <c r="H2991" t="s">
        <v>19608</v>
      </c>
      <c r="I2991" t="s">
        <v>5523</v>
      </c>
      <c r="J2991" t="s">
        <v>111</v>
      </c>
      <c r="K2991" t="str">
        <f>"85373"</f>
        <v>85373</v>
      </c>
      <c r="L2991" t="s">
        <v>5524</v>
      </c>
      <c r="M2991" t="s">
        <v>19608</v>
      </c>
      <c r="N2991" t="s">
        <v>5523</v>
      </c>
      <c r="O2991" t="s">
        <v>111</v>
      </c>
      <c r="P2991" t="str">
        <f>"85373-5643"</f>
        <v>85373-5643</v>
      </c>
      <c r="Q2991" t="s">
        <v>113</v>
      </c>
      <c r="R2991" t="str">
        <f>"503-88-579"</f>
        <v>503-88-579</v>
      </c>
      <c r="S2991" t="s">
        <v>5525</v>
      </c>
      <c r="T2991" t="s">
        <v>5526</v>
      </c>
      <c r="U2991">
        <v>1843</v>
      </c>
      <c r="V2991">
        <v>0</v>
      </c>
      <c r="W2991">
        <v>3</v>
      </c>
      <c r="X2991">
        <v>2014</v>
      </c>
      <c r="Z2991">
        <v>1</v>
      </c>
      <c r="AB2991">
        <v>0</v>
      </c>
      <c r="AC2991" t="s">
        <v>115</v>
      </c>
      <c r="AD2991">
        <v>2</v>
      </c>
      <c r="AE2991" t="s">
        <v>115</v>
      </c>
      <c r="AF2991">
        <v>0</v>
      </c>
      <c r="AG2991">
        <v>0</v>
      </c>
      <c r="AH2991" t="s">
        <v>116</v>
      </c>
      <c r="AI2991" s="1">
        <v>56836</v>
      </c>
      <c r="AJ2991" s="2">
        <v>0.2</v>
      </c>
      <c r="AK2991" s="1">
        <v>277936</v>
      </c>
      <c r="AL2991" t="s">
        <v>117</v>
      </c>
      <c r="AM2991" t="s">
        <v>191</v>
      </c>
      <c r="AN2991">
        <v>5175</v>
      </c>
      <c r="AO2991">
        <v>0.12</v>
      </c>
      <c r="AR2991">
        <v>1</v>
      </c>
      <c r="AS2991" s="1">
        <v>19880</v>
      </c>
      <c r="AT2991" s="1">
        <v>3970</v>
      </c>
      <c r="AU2991" s="1">
        <v>15910</v>
      </c>
      <c r="AV2991">
        <v>80.03</v>
      </c>
      <c r="AX2991" s="1">
        <v>1903.82</v>
      </c>
      <c r="AY2991" t="s">
        <v>3228</v>
      </c>
      <c r="AZ2991" t="s">
        <v>3228</v>
      </c>
      <c r="BA2991" t="s">
        <v>457</v>
      </c>
      <c r="BE2991" s="3">
        <v>41872</v>
      </c>
      <c r="BF2991" s="1">
        <v>221140</v>
      </c>
      <c r="BG2991" t="s">
        <v>2199</v>
      </c>
      <c r="BH2991" s="1">
        <v>119.99</v>
      </c>
      <c r="BI2991" s="1">
        <v>221100</v>
      </c>
      <c r="BJ2991" s="3">
        <v>41872</v>
      </c>
      <c r="BK2991" t="s">
        <v>123</v>
      </c>
      <c r="BL2991" t="str">
        <f>"2014.551599"</f>
        <v>2014.551599</v>
      </c>
      <c r="BM2991" t="s">
        <v>2245</v>
      </c>
      <c r="BO2991" t="s">
        <v>19609</v>
      </c>
      <c r="BS2991">
        <v>30</v>
      </c>
      <c r="BW2991" t="str">
        <f>""</f>
        <v/>
      </c>
      <c r="CH2991" t="str">
        <f>""</f>
        <v/>
      </c>
      <c r="CS2991" t="str">
        <f>""</f>
        <v/>
      </c>
    </row>
    <row r="2992" spans="1:97" x14ac:dyDescent="0.25">
      <c r="A2992" t="s">
        <v>701</v>
      </c>
      <c r="B2992" t="s">
        <v>5098</v>
      </c>
      <c r="E2992" t="s">
        <v>19610</v>
      </c>
      <c r="F2992" t="s">
        <v>108</v>
      </c>
      <c r="H2992" t="s">
        <v>19611</v>
      </c>
      <c r="I2992" t="s">
        <v>453</v>
      </c>
      <c r="J2992" t="s">
        <v>111</v>
      </c>
      <c r="K2992" t="str">
        <f>"85382"</f>
        <v>85382</v>
      </c>
      <c r="L2992" t="s">
        <v>7339</v>
      </c>
      <c r="M2992" t="s">
        <v>19611</v>
      </c>
      <c r="N2992" t="s">
        <v>453</v>
      </c>
      <c r="O2992" t="s">
        <v>111</v>
      </c>
      <c r="P2992" t="str">
        <f>"85382-8036"</f>
        <v>85382-8036</v>
      </c>
      <c r="Q2992" t="s">
        <v>113</v>
      </c>
      <c r="R2992" t="str">
        <f>"233-04-081"</f>
        <v>233-04-081</v>
      </c>
      <c r="S2992" t="s">
        <v>19612</v>
      </c>
      <c r="T2992" t="s">
        <v>10958</v>
      </c>
      <c r="U2992">
        <v>1908</v>
      </c>
      <c r="V2992">
        <v>0</v>
      </c>
      <c r="W2992">
        <v>3</v>
      </c>
      <c r="X2992">
        <v>1993</v>
      </c>
      <c r="Z2992">
        <v>1</v>
      </c>
      <c r="AA2992" t="s">
        <v>26</v>
      </c>
      <c r="AB2992">
        <v>0</v>
      </c>
      <c r="AC2992" t="s">
        <v>115</v>
      </c>
      <c r="AD2992">
        <v>3</v>
      </c>
      <c r="AE2992" t="s">
        <v>115</v>
      </c>
      <c r="AF2992">
        <v>0</v>
      </c>
      <c r="AG2992">
        <v>0</v>
      </c>
      <c r="AH2992" t="s">
        <v>116</v>
      </c>
      <c r="AI2992" s="1">
        <v>52411</v>
      </c>
      <c r="AJ2992" s="2">
        <v>0.17</v>
      </c>
      <c r="AK2992" s="1">
        <v>310661</v>
      </c>
      <c r="AL2992" t="s">
        <v>117</v>
      </c>
      <c r="AM2992" t="s">
        <v>118</v>
      </c>
      <c r="AN2992">
        <v>9420</v>
      </c>
      <c r="AO2992">
        <v>0.22</v>
      </c>
      <c r="AP2992">
        <v>1</v>
      </c>
      <c r="AR2992">
        <v>1</v>
      </c>
      <c r="AS2992" s="1">
        <v>22200</v>
      </c>
      <c r="AT2992" s="1">
        <v>4440</v>
      </c>
      <c r="AU2992" s="1">
        <v>17760</v>
      </c>
      <c r="AV2992">
        <v>80</v>
      </c>
      <c r="AX2992" s="1">
        <v>1700.6</v>
      </c>
      <c r="AY2992" t="s">
        <v>7828</v>
      </c>
      <c r="AZ2992" t="s">
        <v>7828</v>
      </c>
      <c r="BA2992" t="s">
        <v>4219</v>
      </c>
      <c r="BE2992" s="3">
        <v>42502</v>
      </c>
      <c r="BF2992" s="1">
        <v>250000</v>
      </c>
      <c r="BG2992" t="s">
        <v>19613</v>
      </c>
      <c r="BH2992" s="1">
        <v>131.03</v>
      </c>
      <c r="BI2992" s="1">
        <v>258250</v>
      </c>
      <c r="BJ2992" s="3">
        <v>42502</v>
      </c>
      <c r="BK2992" t="s">
        <v>123</v>
      </c>
      <c r="BL2992" t="str">
        <f>"2016.326151"</f>
        <v>2016.326151</v>
      </c>
      <c r="BM2992" t="s">
        <v>1287</v>
      </c>
      <c r="BO2992" t="s">
        <v>19614</v>
      </c>
      <c r="BS2992">
        <v>30</v>
      </c>
      <c r="BW2992" t="str">
        <f>""</f>
        <v/>
      </c>
      <c r="CH2992" t="str">
        <f>""</f>
        <v/>
      </c>
      <c r="CS2992" t="str">
        <f>""</f>
        <v/>
      </c>
    </row>
    <row r="2993" spans="1:97" x14ac:dyDescent="0.25">
      <c r="A2993" t="s">
        <v>163</v>
      </c>
      <c r="B2993" t="s">
        <v>327</v>
      </c>
      <c r="C2993" t="s">
        <v>220</v>
      </c>
      <c r="D2993" t="s">
        <v>327</v>
      </c>
      <c r="E2993" t="s">
        <v>19615</v>
      </c>
      <c r="F2993" t="s">
        <v>108</v>
      </c>
      <c r="H2993" t="s">
        <v>19616</v>
      </c>
      <c r="I2993" t="s">
        <v>3150</v>
      </c>
      <c r="J2993" t="s">
        <v>111</v>
      </c>
      <c r="K2993" t="str">
        <f>"85340"</f>
        <v>85340</v>
      </c>
      <c r="L2993" t="s">
        <v>3758</v>
      </c>
      <c r="M2993" t="s">
        <v>19616</v>
      </c>
      <c r="N2993" t="s">
        <v>3150</v>
      </c>
      <c r="O2993" t="s">
        <v>111</v>
      </c>
      <c r="P2993" t="str">
        <f>"85340-4170"</f>
        <v>85340-4170</v>
      </c>
      <c r="Q2993" t="s">
        <v>113</v>
      </c>
      <c r="R2993" t="str">
        <f>"508-10-246"</f>
        <v>508-10-246</v>
      </c>
      <c r="S2993" t="s">
        <v>13599</v>
      </c>
      <c r="U2993">
        <v>2134</v>
      </c>
      <c r="V2993">
        <v>0</v>
      </c>
      <c r="W2993">
        <v>3</v>
      </c>
      <c r="X2993">
        <v>2002</v>
      </c>
      <c r="Z2993">
        <v>1</v>
      </c>
      <c r="AA2993" t="s">
        <v>26</v>
      </c>
      <c r="AB2993">
        <v>0</v>
      </c>
      <c r="AC2993" t="s">
        <v>115</v>
      </c>
      <c r="AD2993">
        <v>3</v>
      </c>
      <c r="AE2993" t="s">
        <v>115</v>
      </c>
      <c r="AF2993">
        <v>0</v>
      </c>
      <c r="AG2993">
        <v>0</v>
      </c>
      <c r="AH2993" t="s">
        <v>116</v>
      </c>
      <c r="AI2993" s="1">
        <v>79958</v>
      </c>
      <c r="AJ2993" s="2">
        <v>0.27</v>
      </c>
      <c r="AK2993" s="1">
        <v>291708</v>
      </c>
      <c r="AL2993" t="s">
        <v>117</v>
      </c>
      <c r="AM2993" t="s">
        <v>191</v>
      </c>
      <c r="AN2993">
        <v>7018</v>
      </c>
      <c r="AO2993">
        <v>0.16</v>
      </c>
      <c r="AP2993">
        <v>1</v>
      </c>
      <c r="AR2993">
        <v>1</v>
      </c>
      <c r="AS2993" s="1">
        <v>20050</v>
      </c>
      <c r="AT2993" s="1">
        <v>4010</v>
      </c>
      <c r="AU2993" s="1">
        <v>16040</v>
      </c>
      <c r="AV2993">
        <v>80</v>
      </c>
      <c r="AX2993" s="1">
        <v>1293.82</v>
      </c>
      <c r="AY2993" t="s">
        <v>5241</v>
      </c>
      <c r="AZ2993" t="s">
        <v>3153</v>
      </c>
      <c r="BA2993" t="s">
        <v>3154</v>
      </c>
      <c r="BE2993" s="3">
        <v>42181</v>
      </c>
      <c r="BF2993" s="1">
        <v>205000</v>
      </c>
      <c r="BG2993" t="s">
        <v>19617</v>
      </c>
      <c r="BH2993" s="1">
        <v>96.06</v>
      </c>
      <c r="BI2993" s="1">
        <v>211750</v>
      </c>
      <c r="BJ2993" s="3">
        <v>42181</v>
      </c>
      <c r="BK2993" t="s">
        <v>123</v>
      </c>
      <c r="BL2993" t="str">
        <f>"2015.457534"</f>
        <v>2015.457534</v>
      </c>
      <c r="BM2993" t="s">
        <v>124</v>
      </c>
      <c r="BO2993" t="s">
        <v>19618</v>
      </c>
      <c r="BS2993">
        <v>30</v>
      </c>
      <c r="BW2993" t="str">
        <f>""</f>
        <v/>
      </c>
      <c r="CH2993" t="str">
        <f>""</f>
        <v/>
      </c>
      <c r="CS2993" t="str">
        <f>""</f>
        <v/>
      </c>
    </row>
    <row r="2994" spans="1:97" x14ac:dyDescent="0.25">
      <c r="A2994" t="s">
        <v>1672</v>
      </c>
      <c r="B2994" t="s">
        <v>19619</v>
      </c>
      <c r="C2994" t="s">
        <v>2374</v>
      </c>
      <c r="D2994" t="s">
        <v>19620</v>
      </c>
      <c r="E2994" t="s">
        <v>19621</v>
      </c>
      <c r="F2994" t="s">
        <v>108</v>
      </c>
      <c r="H2994" t="s">
        <v>19622</v>
      </c>
      <c r="I2994" t="s">
        <v>167</v>
      </c>
      <c r="J2994" t="s">
        <v>111</v>
      </c>
      <c r="K2994" t="str">
        <f>"85339"</f>
        <v>85339</v>
      </c>
      <c r="L2994" t="s">
        <v>5239</v>
      </c>
      <c r="M2994" t="s">
        <v>19622</v>
      </c>
      <c r="N2994" t="s">
        <v>167</v>
      </c>
      <c r="O2994" t="s">
        <v>111</v>
      </c>
      <c r="P2994" t="str">
        <f>"85339-3467"</f>
        <v>85339-3467</v>
      </c>
      <c r="Q2994" t="s">
        <v>113</v>
      </c>
      <c r="R2994" t="str">
        <f>"300-01-739"</f>
        <v>300-01-739</v>
      </c>
      <c r="S2994" t="s">
        <v>19623</v>
      </c>
      <c r="U2994">
        <v>2242</v>
      </c>
      <c r="V2994">
        <v>0</v>
      </c>
      <c r="W2994">
        <v>3</v>
      </c>
      <c r="X2994">
        <v>2015</v>
      </c>
      <c r="Z2994">
        <v>1</v>
      </c>
      <c r="AB2994">
        <v>0</v>
      </c>
      <c r="AC2994" t="s">
        <v>115</v>
      </c>
      <c r="AD2994">
        <v>2</v>
      </c>
      <c r="AE2994" t="s">
        <v>115</v>
      </c>
      <c r="AF2994">
        <v>0</v>
      </c>
      <c r="AG2994">
        <v>0</v>
      </c>
      <c r="AH2994" t="s">
        <v>116</v>
      </c>
      <c r="AI2994" s="1">
        <v>26865</v>
      </c>
      <c r="AJ2994" s="2">
        <v>0.1</v>
      </c>
      <c r="AK2994" s="1">
        <v>266917</v>
      </c>
      <c r="AL2994" t="s">
        <v>117</v>
      </c>
      <c r="AM2994" t="s">
        <v>191</v>
      </c>
      <c r="AN2994">
        <v>6573</v>
      </c>
      <c r="AO2994">
        <v>0.15</v>
      </c>
      <c r="AR2994">
        <v>1</v>
      </c>
      <c r="AS2994" s="1">
        <v>18270</v>
      </c>
      <c r="AT2994" s="1">
        <v>3650</v>
      </c>
      <c r="AU2994" s="1">
        <v>14620</v>
      </c>
      <c r="AV2994">
        <v>80.02</v>
      </c>
      <c r="AX2994" s="1">
        <v>2502.98</v>
      </c>
      <c r="AY2994" t="s">
        <v>5532</v>
      </c>
      <c r="AZ2994" t="s">
        <v>5532</v>
      </c>
      <c r="BA2994" t="s">
        <v>173</v>
      </c>
      <c r="BE2994" s="3">
        <v>42338</v>
      </c>
      <c r="BF2994" s="1">
        <v>235000</v>
      </c>
      <c r="BG2994" t="s">
        <v>19624</v>
      </c>
      <c r="BH2994" s="1">
        <v>104.82</v>
      </c>
      <c r="BI2994" s="1">
        <v>240052</v>
      </c>
      <c r="BJ2994" s="3">
        <v>42338</v>
      </c>
      <c r="BK2994" t="s">
        <v>123</v>
      </c>
      <c r="BL2994" t="str">
        <f>"2015.850359"</f>
        <v>2015.850359</v>
      </c>
      <c r="BM2994" t="s">
        <v>1033</v>
      </c>
      <c r="BO2994" t="s">
        <v>19625</v>
      </c>
      <c r="BP2994" t="s">
        <v>19626</v>
      </c>
      <c r="BS2994">
        <v>30</v>
      </c>
      <c r="BW2994" t="str">
        <f>""</f>
        <v/>
      </c>
      <c r="CH2994" t="str">
        <f>""</f>
        <v/>
      </c>
      <c r="CS2994" t="str">
        <f>""</f>
        <v/>
      </c>
    </row>
    <row r="2995" spans="1:97" x14ac:dyDescent="0.25">
      <c r="A2995" t="s">
        <v>177</v>
      </c>
      <c r="B2995" t="s">
        <v>19627</v>
      </c>
      <c r="E2995" t="s">
        <v>19628</v>
      </c>
      <c r="F2995" t="s">
        <v>108</v>
      </c>
      <c r="H2995" t="s">
        <v>19629</v>
      </c>
      <c r="I2995" t="s">
        <v>110</v>
      </c>
      <c r="J2995" t="s">
        <v>111</v>
      </c>
      <c r="K2995" t="str">
        <f>"85286"</f>
        <v>85286</v>
      </c>
      <c r="L2995" t="s">
        <v>5816</v>
      </c>
      <c r="M2995" t="s">
        <v>19629</v>
      </c>
      <c r="N2995" t="s">
        <v>110</v>
      </c>
      <c r="O2995" t="s">
        <v>111</v>
      </c>
      <c r="P2995" t="str">
        <f>"85286-6861"</f>
        <v>85286-6861</v>
      </c>
      <c r="Q2995" t="s">
        <v>113</v>
      </c>
      <c r="R2995" t="str">
        <f>"303-76-102"</f>
        <v>303-76-102</v>
      </c>
      <c r="S2995" t="s">
        <v>19630</v>
      </c>
      <c r="T2995" t="s">
        <v>19630</v>
      </c>
      <c r="U2995">
        <v>1529</v>
      </c>
      <c r="V2995">
        <v>0</v>
      </c>
      <c r="W2995">
        <v>3</v>
      </c>
      <c r="X2995">
        <v>1997</v>
      </c>
      <c r="Z2995">
        <v>1</v>
      </c>
      <c r="AA2995" t="s">
        <v>26</v>
      </c>
      <c r="AB2995">
        <v>0</v>
      </c>
      <c r="AC2995" t="s">
        <v>115</v>
      </c>
      <c r="AD2995">
        <v>2</v>
      </c>
      <c r="AE2995" t="s">
        <v>115</v>
      </c>
      <c r="AF2995">
        <v>0</v>
      </c>
      <c r="AG2995">
        <v>0</v>
      </c>
      <c r="AH2995" t="s">
        <v>116</v>
      </c>
      <c r="AI2995" s="1">
        <v>70375</v>
      </c>
      <c r="AJ2995" s="2">
        <v>0.23</v>
      </c>
      <c r="AK2995" s="1">
        <v>310473</v>
      </c>
      <c r="AL2995" t="s">
        <v>117</v>
      </c>
      <c r="AM2995" t="s">
        <v>118</v>
      </c>
      <c r="AN2995">
        <v>6386</v>
      </c>
      <c r="AO2995">
        <v>0.15</v>
      </c>
      <c r="AP2995">
        <v>1</v>
      </c>
      <c r="AR2995">
        <v>1</v>
      </c>
      <c r="AS2995" s="1">
        <v>21880</v>
      </c>
      <c r="AT2995" s="1">
        <v>4370</v>
      </c>
      <c r="AU2995" s="1">
        <v>17510</v>
      </c>
      <c r="AV2995">
        <v>80.03</v>
      </c>
      <c r="AX2995" s="1">
        <v>1684.54</v>
      </c>
      <c r="AY2995" t="s">
        <v>1881</v>
      </c>
      <c r="AZ2995" t="s">
        <v>1882</v>
      </c>
      <c r="BA2995" t="s">
        <v>121</v>
      </c>
      <c r="BE2995" s="3">
        <v>42170</v>
      </c>
      <c r="BF2995" s="1">
        <v>249000</v>
      </c>
      <c r="BG2995" t="s">
        <v>19631</v>
      </c>
      <c r="BH2995" s="1">
        <v>162.85</v>
      </c>
      <c r="BI2995" s="1">
        <v>240098</v>
      </c>
      <c r="BJ2995" s="3">
        <v>42170</v>
      </c>
      <c r="BK2995" t="s">
        <v>123</v>
      </c>
      <c r="BL2995" t="str">
        <f>"2015.424977"</f>
        <v>2015.424977</v>
      </c>
      <c r="BM2995" t="s">
        <v>135</v>
      </c>
      <c r="BO2995" t="s">
        <v>19632</v>
      </c>
      <c r="BS2995">
        <v>30</v>
      </c>
      <c r="BW2995" t="str">
        <f>""</f>
        <v/>
      </c>
      <c r="CH2995" t="str">
        <f>""</f>
        <v/>
      </c>
      <c r="CS2995" t="str">
        <f>""</f>
        <v/>
      </c>
    </row>
    <row r="2996" spans="1:97" x14ac:dyDescent="0.25">
      <c r="A2996" t="s">
        <v>1774</v>
      </c>
      <c r="B2996" t="s">
        <v>12534</v>
      </c>
      <c r="C2996" t="s">
        <v>2762</v>
      </c>
      <c r="D2996" t="s">
        <v>12534</v>
      </c>
      <c r="E2996" t="s">
        <v>19633</v>
      </c>
      <c r="F2996" t="s">
        <v>108</v>
      </c>
      <c r="H2996" t="s">
        <v>19634</v>
      </c>
      <c r="I2996" t="s">
        <v>225</v>
      </c>
      <c r="J2996" t="s">
        <v>111</v>
      </c>
      <c r="K2996" t="str">
        <f>"85205"</f>
        <v>85205</v>
      </c>
      <c r="L2996" t="s">
        <v>6964</v>
      </c>
      <c r="M2996" t="s">
        <v>19634</v>
      </c>
      <c r="N2996" t="s">
        <v>225</v>
      </c>
      <c r="O2996" t="s">
        <v>111</v>
      </c>
      <c r="P2996" t="str">
        <f>"85205-4733"</f>
        <v>85205-4733</v>
      </c>
      <c r="Q2996" t="s">
        <v>113</v>
      </c>
      <c r="R2996" t="str">
        <f>"141-33-116"</f>
        <v>141-33-116</v>
      </c>
      <c r="S2996" t="s">
        <v>19635</v>
      </c>
      <c r="T2996" t="s">
        <v>19636</v>
      </c>
      <c r="U2996">
        <v>1432</v>
      </c>
      <c r="V2996">
        <v>0</v>
      </c>
      <c r="W2996">
        <v>2</v>
      </c>
      <c r="X2996">
        <v>1979</v>
      </c>
      <c r="Z2996">
        <v>1</v>
      </c>
      <c r="AB2996">
        <v>0</v>
      </c>
      <c r="AC2996" t="s">
        <v>115</v>
      </c>
      <c r="AD2996">
        <v>2</v>
      </c>
      <c r="AE2996" t="s">
        <v>115</v>
      </c>
      <c r="AF2996">
        <v>0</v>
      </c>
      <c r="AG2996">
        <v>0</v>
      </c>
      <c r="AH2996" t="s">
        <v>116</v>
      </c>
      <c r="AI2996" s="1">
        <v>34599</v>
      </c>
      <c r="AJ2996" s="2">
        <v>0.14000000000000001</v>
      </c>
      <c r="AK2996" s="1">
        <v>253499</v>
      </c>
      <c r="AL2996" t="s">
        <v>117</v>
      </c>
      <c r="AM2996" t="s">
        <v>917</v>
      </c>
      <c r="AN2996">
        <v>12843</v>
      </c>
      <c r="AO2996">
        <v>0.3</v>
      </c>
      <c r="AP2996">
        <v>1</v>
      </c>
      <c r="AR2996">
        <v>1</v>
      </c>
      <c r="AS2996" s="1">
        <v>16070</v>
      </c>
      <c r="AT2996" s="1">
        <v>3210</v>
      </c>
      <c r="AU2996" s="1">
        <v>12860</v>
      </c>
      <c r="AV2996">
        <v>80.02</v>
      </c>
      <c r="AX2996" s="1">
        <v>1291.24</v>
      </c>
      <c r="AY2996" t="s">
        <v>6044</v>
      </c>
      <c r="AZ2996" t="s">
        <v>5275</v>
      </c>
      <c r="BA2996" t="s">
        <v>3119</v>
      </c>
      <c r="BE2996" s="3">
        <v>42447</v>
      </c>
      <c r="BF2996" s="1">
        <v>218900</v>
      </c>
      <c r="BG2996" t="s">
        <v>19637</v>
      </c>
      <c r="BH2996" s="1">
        <v>152.86000000000001</v>
      </c>
      <c r="BI2996" s="1">
        <v>218900</v>
      </c>
      <c r="BJ2996" s="3">
        <v>42447</v>
      </c>
      <c r="BK2996" t="s">
        <v>123</v>
      </c>
      <c r="BL2996" t="str">
        <f>"2016.177273"</f>
        <v>2016.177273</v>
      </c>
      <c r="BM2996" t="s">
        <v>724</v>
      </c>
      <c r="BO2996" t="s">
        <v>19638</v>
      </c>
      <c r="BS2996">
        <v>30</v>
      </c>
      <c r="BW2996" t="str">
        <f>""</f>
        <v/>
      </c>
      <c r="CH2996" t="str">
        <f>""</f>
        <v/>
      </c>
      <c r="CS2996" t="str">
        <f>""</f>
        <v/>
      </c>
    </row>
    <row r="2997" spans="1:97" x14ac:dyDescent="0.25">
      <c r="A2997" t="s">
        <v>2403</v>
      </c>
      <c r="B2997" t="s">
        <v>19639</v>
      </c>
      <c r="C2997" t="s">
        <v>4574</v>
      </c>
      <c r="D2997" t="s">
        <v>19639</v>
      </c>
      <c r="E2997" t="s">
        <v>19640</v>
      </c>
      <c r="F2997" t="s">
        <v>108</v>
      </c>
      <c r="H2997" t="s">
        <v>19641</v>
      </c>
      <c r="I2997" t="s">
        <v>632</v>
      </c>
      <c r="J2997" t="s">
        <v>111</v>
      </c>
      <c r="K2997" t="str">
        <f>"85379"</f>
        <v>85379</v>
      </c>
      <c r="L2997" t="s">
        <v>558</v>
      </c>
      <c r="M2997" t="s">
        <v>19641</v>
      </c>
      <c r="N2997" t="s">
        <v>632</v>
      </c>
      <c r="O2997" t="s">
        <v>111</v>
      </c>
      <c r="P2997" t="str">
        <f>"85379-4442"</f>
        <v>85379-4442</v>
      </c>
      <c r="Q2997" t="s">
        <v>113</v>
      </c>
      <c r="R2997" t="str">
        <f>"509-15-242"</f>
        <v>509-15-242</v>
      </c>
      <c r="S2997" t="s">
        <v>7110</v>
      </c>
      <c r="U2997">
        <v>2719</v>
      </c>
      <c r="V2997">
        <v>0</v>
      </c>
      <c r="W2997">
        <v>4</v>
      </c>
      <c r="X2997">
        <v>2004</v>
      </c>
      <c r="Z2997">
        <v>2</v>
      </c>
      <c r="AB2997">
        <v>0</v>
      </c>
      <c r="AC2997" t="s">
        <v>115</v>
      </c>
      <c r="AD2997">
        <v>3</v>
      </c>
      <c r="AE2997" t="s">
        <v>115</v>
      </c>
      <c r="AF2997">
        <v>0</v>
      </c>
      <c r="AG2997">
        <v>0</v>
      </c>
      <c r="AH2997" t="s">
        <v>116</v>
      </c>
      <c r="AI2997" s="1">
        <v>69513</v>
      </c>
      <c r="AJ2997" s="2">
        <v>0.21</v>
      </c>
      <c r="AK2997" s="1">
        <v>328182</v>
      </c>
      <c r="AL2997" t="s">
        <v>117</v>
      </c>
      <c r="AM2997" t="s">
        <v>118</v>
      </c>
      <c r="AN2997">
        <v>9301</v>
      </c>
      <c r="AO2997">
        <v>0.21</v>
      </c>
      <c r="AR2997">
        <v>1</v>
      </c>
      <c r="AS2997" s="1">
        <v>22120</v>
      </c>
      <c r="AT2997" s="1">
        <v>4420</v>
      </c>
      <c r="AU2997" s="1">
        <v>17700</v>
      </c>
      <c r="AV2997">
        <v>80.02</v>
      </c>
      <c r="AX2997" s="1">
        <v>1808</v>
      </c>
      <c r="AY2997" t="s">
        <v>5615</v>
      </c>
      <c r="AZ2997" t="s">
        <v>5615</v>
      </c>
      <c r="BA2997" t="s">
        <v>635</v>
      </c>
      <c r="BB2997" s="3">
        <v>42608</v>
      </c>
      <c r="BD2997" t="s">
        <v>240</v>
      </c>
      <c r="BE2997" s="3">
        <v>42152</v>
      </c>
      <c r="BF2997" s="1">
        <v>255000</v>
      </c>
      <c r="BG2997" t="s">
        <v>19642</v>
      </c>
      <c r="BH2997" s="1">
        <v>93.78</v>
      </c>
      <c r="BI2997" s="1">
        <v>258669</v>
      </c>
      <c r="BJ2997" s="3">
        <v>42608</v>
      </c>
      <c r="BK2997" t="s">
        <v>123</v>
      </c>
      <c r="BL2997" t="str">
        <f>"2016.615666"</f>
        <v>2016.615666</v>
      </c>
      <c r="BM2997" t="s">
        <v>1544</v>
      </c>
      <c r="BO2997" t="s">
        <v>19643</v>
      </c>
      <c r="BS2997">
        <v>30</v>
      </c>
      <c r="BW2997" t="str">
        <f>""</f>
        <v/>
      </c>
      <c r="CH2997" t="str">
        <f>""</f>
        <v/>
      </c>
      <c r="CS2997" t="str">
        <f>""</f>
        <v/>
      </c>
    </row>
    <row r="2998" spans="1:97" x14ac:dyDescent="0.25">
      <c r="A2998" t="s">
        <v>589</v>
      </c>
      <c r="B2998" t="s">
        <v>19644</v>
      </c>
      <c r="E2998" t="s">
        <v>19645</v>
      </c>
      <c r="F2998" t="s">
        <v>108</v>
      </c>
      <c r="H2998" t="s">
        <v>19646</v>
      </c>
      <c r="I2998" t="s">
        <v>499</v>
      </c>
      <c r="J2998" t="s">
        <v>111</v>
      </c>
      <c r="K2998" t="str">
        <f>"85338"</f>
        <v>85338</v>
      </c>
      <c r="L2998" t="s">
        <v>5775</v>
      </c>
      <c r="M2998" t="s">
        <v>19646</v>
      </c>
      <c r="N2998" t="s">
        <v>499</v>
      </c>
      <c r="O2998" t="s">
        <v>111</v>
      </c>
      <c r="P2998" t="str">
        <f>"85338-3254"</f>
        <v>85338-3254</v>
      </c>
      <c r="Q2998" t="s">
        <v>113</v>
      </c>
      <c r="R2998" t="str">
        <f>"500-10-452"</f>
        <v>500-10-452</v>
      </c>
      <c r="S2998" t="s">
        <v>9551</v>
      </c>
      <c r="T2998" t="s">
        <v>9551</v>
      </c>
      <c r="U2998">
        <v>2309</v>
      </c>
      <c r="V2998">
        <v>0</v>
      </c>
      <c r="W2998">
        <v>3</v>
      </c>
      <c r="X2998">
        <v>2014</v>
      </c>
      <c r="Z2998">
        <v>1</v>
      </c>
      <c r="AB2998">
        <v>0</v>
      </c>
      <c r="AC2998" t="s">
        <v>115</v>
      </c>
      <c r="AD2998">
        <v>2</v>
      </c>
      <c r="AE2998" t="s">
        <v>115</v>
      </c>
      <c r="AF2998">
        <v>0</v>
      </c>
      <c r="AG2998">
        <v>0</v>
      </c>
      <c r="AH2998" t="s">
        <v>116</v>
      </c>
      <c r="AI2998" s="1">
        <v>48039</v>
      </c>
      <c r="AJ2998" s="2">
        <v>0.15</v>
      </c>
      <c r="AK2998" s="1">
        <v>325887</v>
      </c>
      <c r="AL2998" t="s">
        <v>117</v>
      </c>
      <c r="AM2998" t="s">
        <v>118</v>
      </c>
      <c r="AN2998">
        <v>7545</v>
      </c>
      <c r="AO2998">
        <v>0.17</v>
      </c>
      <c r="AR2998">
        <v>1</v>
      </c>
      <c r="AS2998" s="1">
        <v>23220</v>
      </c>
      <c r="AT2998" s="1">
        <v>4640</v>
      </c>
      <c r="AU2998" s="1">
        <v>18580</v>
      </c>
      <c r="AV2998">
        <v>80.02</v>
      </c>
      <c r="AX2998" s="1">
        <v>1810.94</v>
      </c>
      <c r="AY2998" t="s">
        <v>4311</v>
      </c>
      <c r="AZ2998" t="s">
        <v>4311</v>
      </c>
      <c r="BA2998" t="s">
        <v>7186</v>
      </c>
      <c r="BE2998" s="3">
        <v>41871</v>
      </c>
      <c r="BF2998" s="1">
        <v>272000</v>
      </c>
      <c r="BG2998" t="s">
        <v>158</v>
      </c>
      <c r="BH2998" s="1">
        <v>117.8</v>
      </c>
      <c r="BI2998" s="1">
        <v>277848</v>
      </c>
      <c r="BJ2998" s="3">
        <v>41871</v>
      </c>
      <c r="BK2998" t="s">
        <v>123</v>
      </c>
      <c r="BL2998" t="str">
        <f>"2014.549192"</f>
        <v>2014.549192</v>
      </c>
      <c r="BM2998" t="s">
        <v>820</v>
      </c>
      <c r="BO2998" t="s">
        <v>19647</v>
      </c>
      <c r="BS2998">
        <v>30</v>
      </c>
      <c r="BW2998" t="str">
        <f>""</f>
        <v/>
      </c>
      <c r="CH2998" t="str">
        <f>""</f>
        <v/>
      </c>
      <c r="CS2998" t="str">
        <f>""</f>
        <v/>
      </c>
    </row>
    <row r="2999" spans="1:97" x14ac:dyDescent="0.25">
      <c r="A2999" t="s">
        <v>2006</v>
      </c>
      <c r="B2999" t="s">
        <v>6457</v>
      </c>
      <c r="E2999" t="s">
        <v>19648</v>
      </c>
      <c r="F2999" t="s">
        <v>108</v>
      </c>
      <c r="H2999" t="s">
        <v>19649</v>
      </c>
      <c r="I2999" t="s">
        <v>453</v>
      </c>
      <c r="J2999" t="s">
        <v>111</v>
      </c>
      <c r="K2999" t="str">
        <f>"85382"</f>
        <v>85382</v>
      </c>
      <c r="L2999" t="s">
        <v>7147</v>
      </c>
      <c r="M2999" t="s">
        <v>19649</v>
      </c>
      <c r="N2999" t="s">
        <v>453</v>
      </c>
      <c r="O2999" t="s">
        <v>111</v>
      </c>
      <c r="P2999" t="str">
        <f>"85382-3109"</f>
        <v>85382-3109</v>
      </c>
      <c r="Q2999" t="s">
        <v>113</v>
      </c>
      <c r="R2999" t="str">
        <f>"200-43-406"</f>
        <v>200-43-406</v>
      </c>
      <c r="S2999" t="s">
        <v>8285</v>
      </c>
      <c r="T2999" t="s">
        <v>8285</v>
      </c>
      <c r="U2999">
        <v>1929</v>
      </c>
      <c r="V2999">
        <v>0</v>
      </c>
      <c r="W2999">
        <v>3</v>
      </c>
      <c r="X2999">
        <v>2014</v>
      </c>
      <c r="Z2999">
        <v>2</v>
      </c>
      <c r="AB2999">
        <v>0</v>
      </c>
      <c r="AC2999" t="s">
        <v>115</v>
      </c>
      <c r="AD2999">
        <v>2</v>
      </c>
      <c r="AE2999" t="s">
        <v>115</v>
      </c>
      <c r="AF2999">
        <v>0</v>
      </c>
      <c r="AG2999">
        <v>0</v>
      </c>
      <c r="AH2999" t="s">
        <v>116</v>
      </c>
      <c r="AI2999" s="1">
        <v>67414</v>
      </c>
      <c r="AJ2999" s="2">
        <v>0.23</v>
      </c>
      <c r="AK2999" s="1">
        <v>289781</v>
      </c>
      <c r="AL2999" t="s">
        <v>117</v>
      </c>
      <c r="AM2999" t="s">
        <v>118</v>
      </c>
      <c r="AN2999">
        <v>2870</v>
      </c>
      <c r="AO2999">
        <v>0.66</v>
      </c>
      <c r="AR2999">
        <v>1</v>
      </c>
      <c r="AS2999" s="1">
        <v>20530</v>
      </c>
      <c r="AT2999" s="1">
        <v>4100</v>
      </c>
      <c r="AU2999" s="1">
        <v>16430</v>
      </c>
      <c r="AV2999">
        <v>80.03</v>
      </c>
      <c r="AX2999" s="1">
        <v>1662.3</v>
      </c>
      <c r="AY2999" t="s">
        <v>7828</v>
      </c>
      <c r="AZ2999" t="s">
        <v>7828</v>
      </c>
      <c r="BA2999" t="s">
        <v>4219</v>
      </c>
      <c r="BE2999" s="3">
        <v>41845</v>
      </c>
      <c r="BF2999" s="1">
        <v>215264</v>
      </c>
      <c r="BG2999" t="s">
        <v>2199</v>
      </c>
      <c r="BH2999" s="1">
        <v>111.59</v>
      </c>
      <c r="BI2999" s="1">
        <v>222367</v>
      </c>
      <c r="BJ2999" s="3">
        <v>41845</v>
      </c>
      <c r="BK2999" t="s">
        <v>123</v>
      </c>
      <c r="BL2999" t="str">
        <f>"2014.489624"</f>
        <v>2014.489624</v>
      </c>
      <c r="BM2999" t="s">
        <v>594</v>
      </c>
      <c r="BO2999" t="s">
        <v>19650</v>
      </c>
      <c r="BS2999">
        <v>30</v>
      </c>
      <c r="BW2999" t="str">
        <f>""</f>
        <v/>
      </c>
      <c r="CH2999" t="str">
        <f>""</f>
        <v/>
      </c>
      <c r="CS2999" t="str">
        <f>""</f>
        <v/>
      </c>
    </row>
    <row r="3000" spans="1:97" x14ac:dyDescent="0.25">
      <c r="A3000" t="s">
        <v>370</v>
      </c>
      <c r="B3000" t="s">
        <v>19651</v>
      </c>
      <c r="C3000" t="s">
        <v>3534</v>
      </c>
      <c r="D3000" t="s">
        <v>19651</v>
      </c>
      <c r="E3000" t="s">
        <v>19652</v>
      </c>
      <c r="F3000" t="s">
        <v>108</v>
      </c>
      <c r="H3000" t="s">
        <v>19653</v>
      </c>
      <c r="I3000" t="s">
        <v>5636</v>
      </c>
      <c r="J3000" t="s">
        <v>111</v>
      </c>
      <c r="K3000" t="str">
        <f>"85268"</f>
        <v>85268</v>
      </c>
      <c r="L3000" t="s">
        <v>168</v>
      </c>
      <c r="M3000" t="s">
        <v>19653</v>
      </c>
      <c r="N3000" t="s">
        <v>5636</v>
      </c>
      <c r="O3000" t="s">
        <v>111</v>
      </c>
      <c r="P3000" t="str">
        <f>"85268-2670"</f>
        <v>85268-2670</v>
      </c>
      <c r="Q3000" t="s">
        <v>113</v>
      </c>
      <c r="R3000" t="str">
        <f>"176-04-075"</f>
        <v>176-04-075</v>
      </c>
      <c r="S3000" t="s">
        <v>10825</v>
      </c>
      <c r="U3000">
        <v>1848</v>
      </c>
      <c r="V3000">
        <v>0</v>
      </c>
      <c r="W3000">
        <v>4</v>
      </c>
      <c r="X3000">
        <v>1987</v>
      </c>
      <c r="Z3000">
        <v>1</v>
      </c>
      <c r="AA3000" t="s">
        <v>26</v>
      </c>
      <c r="AB3000">
        <v>0</v>
      </c>
      <c r="AC3000" t="s">
        <v>115</v>
      </c>
      <c r="AD3000">
        <v>2</v>
      </c>
      <c r="AE3000" t="s">
        <v>115</v>
      </c>
      <c r="AF3000">
        <v>0</v>
      </c>
      <c r="AG3000">
        <v>0</v>
      </c>
      <c r="AH3000" t="s">
        <v>116</v>
      </c>
      <c r="AI3000" s="1">
        <v>105498</v>
      </c>
      <c r="AJ3000" s="2">
        <v>0.26</v>
      </c>
      <c r="AK3000" s="1">
        <v>400498</v>
      </c>
      <c r="AL3000" t="s">
        <v>117</v>
      </c>
      <c r="AM3000" t="s">
        <v>171</v>
      </c>
      <c r="AN3000">
        <v>11103</v>
      </c>
      <c r="AO3000">
        <v>0.26</v>
      </c>
      <c r="AP3000">
        <v>1</v>
      </c>
      <c r="AR3000">
        <v>1</v>
      </c>
      <c r="AS3000" s="1">
        <v>28080</v>
      </c>
      <c r="AT3000" s="1">
        <v>5610</v>
      </c>
      <c r="AU3000" s="1">
        <v>22470</v>
      </c>
      <c r="AV3000">
        <v>80.02</v>
      </c>
      <c r="AX3000" s="1">
        <v>1672.68</v>
      </c>
      <c r="AY3000" t="s">
        <v>6485</v>
      </c>
      <c r="AZ3000" t="s">
        <v>5640</v>
      </c>
      <c r="BA3000" t="s">
        <v>5641</v>
      </c>
      <c r="BE3000" s="3">
        <v>42030</v>
      </c>
      <c r="BF3000" s="1">
        <v>295000</v>
      </c>
      <c r="BG3000" t="s">
        <v>19654</v>
      </c>
      <c r="BH3000" s="1">
        <v>159.63</v>
      </c>
      <c r="BI3000" s="1">
        <v>295000</v>
      </c>
      <c r="BJ3000" s="3">
        <v>42030</v>
      </c>
      <c r="BK3000" t="s">
        <v>123</v>
      </c>
      <c r="BL3000" t="str">
        <f>"2015.50257"</f>
        <v>2015.50257</v>
      </c>
      <c r="BM3000" t="s">
        <v>1306</v>
      </c>
      <c r="BO3000" t="s">
        <v>19655</v>
      </c>
      <c r="BS3000">
        <v>30</v>
      </c>
      <c r="BW3000" t="str">
        <f>""</f>
        <v/>
      </c>
      <c r="CH3000" t="str">
        <f>""</f>
        <v/>
      </c>
      <c r="CS3000" t="str">
        <f>""</f>
        <v/>
      </c>
    </row>
    <row r="3001" spans="1:97" x14ac:dyDescent="0.25">
      <c r="A3001" t="s">
        <v>5373</v>
      </c>
      <c r="B3001" t="s">
        <v>19656</v>
      </c>
      <c r="C3001" t="s">
        <v>3105</v>
      </c>
      <c r="D3001" t="s">
        <v>19656</v>
      </c>
      <c r="E3001" t="s">
        <v>19657</v>
      </c>
      <c r="F3001" t="s">
        <v>108</v>
      </c>
      <c r="H3001" t="s">
        <v>19658</v>
      </c>
      <c r="I3001" t="s">
        <v>632</v>
      </c>
      <c r="J3001" t="s">
        <v>111</v>
      </c>
      <c r="K3001" t="str">
        <f>"85388"</f>
        <v>85388</v>
      </c>
      <c r="L3001" t="s">
        <v>417</v>
      </c>
      <c r="M3001" t="s">
        <v>19658</v>
      </c>
      <c r="N3001" t="s">
        <v>632</v>
      </c>
      <c r="O3001" t="s">
        <v>111</v>
      </c>
      <c r="P3001" t="str">
        <f>"85388-1651"</f>
        <v>85388-1651</v>
      </c>
      <c r="Q3001" t="s">
        <v>113</v>
      </c>
      <c r="R3001" t="str">
        <f>"502-09-396"</f>
        <v>502-09-396</v>
      </c>
      <c r="S3001" t="s">
        <v>14715</v>
      </c>
      <c r="T3001" t="s">
        <v>14716</v>
      </c>
      <c r="U3001">
        <v>1758</v>
      </c>
      <c r="V3001">
        <v>0</v>
      </c>
      <c r="W3001">
        <v>2</v>
      </c>
      <c r="X3001">
        <v>2011</v>
      </c>
      <c r="Z3001">
        <v>1</v>
      </c>
      <c r="AB3001">
        <v>0</v>
      </c>
      <c r="AC3001" t="s">
        <v>115</v>
      </c>
      <c r="AD3001">
        <v>2</v>
      </c>
      <c r="AE3001" t="s">
        <v>115</v>
      </c>
      <c r="AF3001">
        <v>0</v>
      </c>
      <c r="AG3001">
        <v>0</v>
      </c>
      <c r="AH3001" t="s">
        <v>116</v>
      </c>
      <c r="AI3001" s="1">
        <v>54016</v>
      </c>
      <c r="AJ3001" s="2">
        <v>0.2</v>
      </c>
      <c r="AK3001" s="1">
        <v>267330</v>
      </c>
      <c r="AL3001" t="s">
        <v>117</v>
      </c>
      <c r="AM3001" t="s">
        <v>118</v>
      </c>
      <c r="AN3001">
        <v>6681</v>
      </c>
      <c r="AO3001">
        <v>0.15</v>
      </c>
      <c r="AR3001">
        <v>1</v>
      </c>
      <c r="AS3001" s="1">
        <v>17660</v>
      </c>
      <c r="AT3001" s="1">
        <v>3530</v>
      </c>
      <c r="AU3001" s="1">
        <v>14130</v>
      </c>
      <c r="AV3001">
        <v>80.010000000000005</v>
      </c>
      <c r="AX3001" s="1">
        <v>1538.82</v>
      </c>
      <c r="AY3001" t="s">
        <v>5168</v>
      </c>
      <c r="AZ3001" t="s">
        <v>5168</v>
      </c>
      <c r="BA3001" t="s">
        <v>5109</v>
      </c>
      <c r="BE3001" s="3">
        <v>41905</v>
      </c>
      <c r="BF3001" s="1">
        <v>206500</v>
      </c>
      <c r="BG3001" t="s">
        <v>19659</v>
      </c>
      <c r="BH3001" s="1">
        <v>117.46</v>
      </c>
      <c r="BI3001" s="1">
        <v>213314</v>
      </c>
      <c r="BJ3001" s="3">
        <v>41905</v>
      </c>
      <c r="BK3001" t="s">
        <v>123</v>
      </c>
      <c r="BL3001" t="str">
        <f>"2014.627920"</f>
        <v>2014.627920</v>
      </c>
      <c r="BM3001" t="s">
        <v>1185</v>
      </c>
      <c r="BO3001" t="s">
        <v>19660</v>
      </c>
      <c r="BS3001">
        <v>30</v>
      </c>
      <c r="BW3001" t="str">
        <f>""</f>
        <v/>
      </c>
      <c r="CH3001" t="str">
        <f>""</f>
        <v/>
      </c>
      <c r="CS3001" t="str">
        <f>""</f>
        <v/>
      </c>
    </row>
    <row r="3002" spans="1:97" x14ac:dyDescent="0.25">
      <c r="A3002" t="s">
        <v>2374</v>
      </c>
      <c r="B3002" t="s">
        <v>19661</v>
      </c>
      <c r="C3002" t="s">
        <v>817</v>
      </c>
      <c r="D3002" t="s">
        <v>19661</v>
      </c>
      <c r="E3002" t="s">
        <v>19662</v>
      </c>
      <c r="F3002" t="s">
        <v>108</v>
      </c>
      <c r="H3002" t="s">
        <v>19663</v>
      </c>
      <c r="I3002" t="s">
        <v>499</v>
      </c>
      <c r="J3002" t="s">
        <v>111</v>
      </c>
      <c r="K3002" t="str">
        <f>"85338"</f>
        <v>85338</v>
      </c>
      <c r="L3002" t="s">
        <v>1796</v>
      </c>
      <c r="M3002" t="s">
        <v>19663</v>
      </c>
      <c r="N3002" t="s">
        <v>499</v>
      </c>
      <c r="O3002" t="s">
        <v>111</v>
      </c>
      <c r="P3002" t="str">
        <f>"85338-5090"</f>
        <v>85338-5090</v>
      </c>
      <c r="Q3002" t="s">
        <v>113</v>
      </c>
      <c r="R3002" t="str">
        <f>"400-80-401"</f>
        <v>400-80-401</v>
      </c>
      <c r="S3002" t="s">
        <v>19664</v>
      </c>
      <c r="U3002">
        <v>2423</v>
      </c>
      <c r="V3002">
        <v>0</v>
      </c>
      <c r="W3002">
        <v>3</v>
      </c>
      <c r="X3002">
        <v>2006</v>
      </c>
      <c r="Z3002">
        <v>1</v>
      </c>
      <c r="AB3002">
        <v>0</v>
      </c>
      <c r="AC3002" t="s">
        <v>115</v>
      </c>
      <c r="AD3002">
        <v>2</v>
      </c>
      <c r="AE3002" t="s">
        <v>115</v>
      </c>
      <c r="AF3002">
        <v>0</v>
      </c>
      <c r="AG3002">
        <v>0</v>
      </c>
      <c r="AH3002" t="s">
        <v>116</v>
      </c>
      <c r="AI3002" s="1">
        <v>104007</v>
      </c>
      <c r="AJ3002" s="2">
        <v>0.3</v>
      </c>
      <c r="AK3002" s="1">
        <v>346762</v>
      </c>
      <c r="AL3002" t="s">
        <v>117</v>
      </c>
      <c r="AM3002" t="s">
        <v>118</v>
      </c>
      <c r="AN3002">
        <v>8922</v>
      </c>
      <c r="AO3002">
        <v>0.2</v>
      </c>
      <c r="AR3002">
        <v>1</v>
      </c>
      <c r="AS3002" s="1">
        <v>24910</v>
      </c>
      <c r="AT3002" s="1">
        <v>4980</v>
      </c>
      <c r="AU3002" s="1">
        <v>19930</v>
      </c>
      <c r="AV3002">
        <v>80.010000000000005</v>
      </c>
      <c r="AX3002" s="1">
        <v>2705.72</v>
      </c>
      <c r="AY3002" t="s">
        <v>1246</v>
      </c>
      <c r="AZ3002" t="s">
        <v>1246</v>
      </c>
      <c r="BA3002" t="s">
        <v>1247</v>
      </c>
      <c r="BE3002" s="3">
        <v>42139</v>
      </c>
      <c r="BF3002" s="1">
        <v>235000</v>
      </c>
      <c r="BG3002" t="s">
        <v>19665</v>
      </c>
      <c r="BH3002" s="1">
        <v>96.99</v>
      </c>
      <c r="BI3002" s="1">
        <v>242755</v>
      </c>
      <c r="BJ3002" s="3">
        <v>42139</v>
      </c>
      <c r="BK3002" t="s">
        <v>123</v>
      </c>
      <c r="BL3002" t="str">
        <f>"2015.345785"</f>
        <v>2015.345785</v>
      </c>
      <c r="BM3002" t="s">
        <v>135</v>
      </c>
      <c r="BO3002" t="s">
        <v>19666</v>
      </c>
      <c r="BS3002">
        <v>30</v>
      </c>
      <c r="BW3002" t="str">
        <f>""</f>
        <v/>
      </c>
      <c r="CH3002" t="str">
        <f>""</f>
        <v/>
      </c>
      <c r="CS3002" t="str">
        <f>""</f>
        <v/>
      </c>
    </row>
    <row r="3003" spans="1:97" x14ac:dyDescent="0.25">
      <c r="A3003" t="s">
        <v>7562</v>
      </c>
      <c r="B3003" t="s">
        <v>19667</v>
      </c>
      <c r="C3003" t="s">
        <v>19668</v>
      </c>
      <c r="D3003" t="s">
        <v>19667</v>
      </c>
      <c r="E3003" t="s">
        <v>19669</v>
      </c>
      <c r="F3003" t="s">
        <v>108</v>
      </c>
      <c r="H3003" t="s">
        <v>19670</v>
      </c>
      <c r="I3003" t="s">
        <v>632</v>
      </c>
      <c r="J3003" t="s">
        <v>111</v>
      </c>
      <c r="K3003" t="str">
        <f>"85379"</f>
        <v>85379</v>
      </c>
      <c r="L3003" t="s">
        <v>558</v>
      </c>
      <c r="M3003" t="s">
        <v>19670</v>
      </c>
      <c r="N3003" t="s">
        <v>632</v>
      </c>
      <c r="O3003" t="s">
        <v>111</v>
      </c>
      <c r="P3003" t="str">
        <f>"85379-5265"</f>
        <v>85379-5265</v>
      </c>
      <c r="Q3003" t="s">
        <v>113</v>
      </c>
      <c r="R3003" t="str">
        <f>"509-14-073"</f>
        <v>509-14-073</v>
      </c>
      <c r="S3003" t="s">
        <v>5614</v>
      </c>
      <c r="U3003">
        <v>2285</v>
      </c>
      <c r="V3003">
        <v>0</v>
      </c>
      <c r="W3003">
        <v>3</v>
      </c>
      <c r="X3003">
        <v>2003</v>
      </c>
      <c r="Z3003">
        <v>2</v>
      </c>
      <c r="AB3003">
        <v>0</v>
      </c>
      <c r="AC3003" t="s">
        <v>115</v>
      </c>
      <c r="AD3003">
        <v>2</v>
      </c>
      <c r="AE3003" t="s">
        <v>115</v>
      </c>
      <c r="AF3003">
        <v>0</v>
      </c>
      <c r="AG3003">
        <v>0</v>
      </c>
      <c r="AH3003" t="s">
        <v>116</v>
      </c>
      <c r="AI3003" s="1">
        <v>67837</v>
      </c>
      <c r="AJ3003" s="2">
        <v>0.25</v>
      </c>
      <c r="AK3003" s="1">
        <v>269272</v>
      </c>
      <c r="AL3003" t="s">
        <v>117</v>
      </c>
      <c r="AM3003" t="s">
        <v>118</v>
      </c>
      <c r="AN3003">
        <v>5717</v>
      </c>
      <c r="AO3003">
        <v>0.13</v>
      </c>
      <c r="AP3003">
        <v>1</v>
      </c>
      <c r="AR3003">
        <v>1</v>
      </c>
      <c r="AS3003" s="1">
        <v>17870</v>
      </c>
      <c r="AT3003" s="1">
        <v>3570</v>
      </c>
      <c r="AU3003" s="1">
        <v>14300</v>
      </c>
      <c r="AV3003">
        <v>80.02</v>
      </c>
      <c r="AX3003" s="1">
        <v>1321.92</v>
      </c>
      <c r="AY3003" t="s">
        <v>5615</v>
      </c>
      <c r="AZ3003" t="s">
        <v>5615</v>
      </c>
      <c r="BA3003" t="s">
        <v>635</v>
      </c>
      <c r="BE3003" s="3">
        <v>42228</v>
      </c>
      <c r="BF3003" s="1">
        <v>195000</v>
      </c>
      <c r="BG3003" t="s">
        <v>19671</v>
      </c>
      <c r="BH3003" s="1">
        <v>85.34</v>
      </c>
      <c r="BI3003" s="1">
        <v>201435</v>
      </c>
      <c r="BJ3003" s="3">
        <v>42228</v>
      </c>
      <c r="BK3003" t="s">
        <v>123</v>
      </c>
      <c r="BL3003" t="str">
        <f>"2015.585149"</f>
        <v>2015.585149</v>
      </c>
      <c r="BM3003" t="s">
        <v>1038</v>
      </c>
      <c r="BO3003" t="s">
        <v>19672</v>
      </c>
      <c r="BS3003">
        <v>30</v>
      </c>
      <c r="BW3003" t="str">
        <f>""</f>
        <v/>
      </c>
      <c r="CH3003" t="str">
        <f>""</f>
        <v/>
      </c>
      <c r="CS3003" t="str">
        <f>""</f>
        <v/>
      </c>
    </row>
    <row r="3004" spans="1:97" x14ac:dyDescent="0.25">
      <c r="A3004" t="s">
        <v>3258</v>
      </c>
      <c r="B3004" t="s">
        <v>19673</v>
      </c>
      <c r="E3004" t="s">
        <v>19674</v>
      </c>
      <c r="F3004" t="s">
        <v>108</v>
      </c>
      <c r="H3004" t="s">
        <v>19675</v>
      </c>
      <c r="I3004" t="s">
        <v>225</v>
      </c>
      <c r="J3004" t="s">
        <v>111</v>
      </c>
      <c r="K3004" t="str">
        <f>"85212"</f>
        <v>85212</v>
      </c>
      <c r="L3004" t="s">
        <v>17845</v>
      </c>
      <c r="M3004" t="s">
        <v>19675</v>
      </c>
      <c r="N3004" t="s">
        <v>225</v>
      </c>
      <c r="O3004" t="s">
        <v>111</v>
      </c>
      <c r="P3004" t="str">
        <f>"85212-5208"</f>
        <v>85212-5208</v>
      </c>
      <c r="Q3004" t="s">
        <v>113</v>
      </c>
      <c r="R3004" t="str">
        <f>"312-09-609"</f>
        <v>312-09-609</v>
      </c>
      <c r="S3004" t="s">
        <v>19579</v>
      </c>
      <c r="T3004" t="s">
        <v>8810</v>
      </c>
      <c r="U3004">
        <v>2251</v>
      </c>
      <c r="V3004">
        <v>0</v>
      </c>
      <c r="W3004">
        <v>3</v>
      </c>
      <c r="X3004">
        <v>2010</v>
      </c>
      <c r="Z3004">
        <v>2</v>
      </c>
      <c r="AA3004" t="s">
        <v>26</v>
      </c>
      <c r="AB3004">
        <v>0</v>
      </c>
      <c r="AC3004" t="s">
        <v>115</v>
      </c>
      <c r="AD3004">
        <v>3</v>
      </c>
      <c r="AE3004" t="s">
        <v>115</v>
      </c>
      <c r="AF3004">
        <v>0</v>
      </c>
      <c r="AG3004">
        <v>0</v>
      </c>
      <c r="AH3004" t="s">
        <v>116</v>
      </c>
      <c r="AI3004" s="1">
        <v>58451</v>
      </c>
      <c r="AJ3004" s="2">
        <v>0.17</v>
      </c>
      <c r="AK3004" s="1">
        <v>334826</v>
      </c>
      <c r="AL3004" t="s">
        <v>117</v>
      </c>
      <c r="AM3004" t="s">
        <v>191</v>
      </c>
      <c r="AN3004">
        <v>5550</v>
      </c>
      <c r="AO3004">
        <v>0.13</v>
      </c>
      <c r="AR3004">
        <v>1</v>
      </c>
      <c r="AS3004" s="1">
        <v>22900</v>
      </c>
      <c r="AT3004" s="1">
        <v>4580</v>
      </c>
      <c r="AU3004" s="1">
        <v>18320</v>
      </c>
      <c r="AV3004">
        <v>80</v>
      </c>
      <c r="AX3004" s="1">
        <v>2194.8200000000002</v>
      </c>
      <c r="AY3004" t="s">
        <v>560</v>
      </c>
      <c r="AZ3004" t="s">
        <v>561</v>
      </c>
      <c r="BA3004" t="s">
        <v>194</v>
      </c>
      <c r="BE3004" s="3">
        <v>42496</v>
      </c>
      <c r="BF3004" s="1">
        <v>264900</v>
      </c>
      <c r="BG3004" t="s">
        <v>19676</v>
      </c>
      <c r="BH3004" s="1">
        <v>117.68</v>
      </c>
      <c r="BI3004" s="1">
        <v>276375</v>
      </c>
      <c r="BJ3004" s="3">
        <v>42818</v>
      </c>
      <c r="BK3004" t="s">
        <v>123</v>
      </c>
      <c r="BL3004" t="str">
        <f>"2017.209784"</f>
        <v>2017.209784</v>
      </c>
      <c r="BM3004" t="s">
        <v>3004</v>
      </c>
      <c r="BO3004" t="s">
        <v>19677</v>
      </c>
      <c r="BS3004">
        <v>30</v>
      </c>
      <c r="BW3004" t="str">
        <f>""</f>
        <v/>
      </c>
      <c r="CH3004" t="str">
        <f>""</f>
        <v/>
      </c>
      <c r="CS3004" t="str">
        <f>""</f>
        <v/>
      </c>
    </row>
    <row r="3005" spans="1:97" x14ac:dyDescent="0.25">
      <c r="A3005" t="s">
        <v>305</v>
      </c>
      <c r="B3005" t="s">
        <v>19678</v>
      </c>
      <c r="C3005" t="s">
        <v>4515</v>
      </c>
      <c r="D3005" t="s">
        <v>19678</v>
      </c>
      <c r="E3005" t="s">
        <v>19679</v>
      </c>
      <c r="F3005" t="s">
        <v>108</v>
      </c>
      <c r="H3005" t="s">
        <v>19680</v>
      </c>
      <c r="I3005" t="s">
        <v>499</v>
      </c>
      <c r="J3005" t="s">
        <v>111</v>
      </c>
      <c r="K3005" t="str">
        <f>"85338"</f>
        <v>85338</v>
      </c>
      <c r="L3005" t="s">
        <v>5291</v>
      </c>
      <c r="M3005" t="s">
        <v>19680</v>
      </c>
      <c r="N3005" t="s">
        <v>499</v>
      </c>
      <c r="O3005" t="s">
        <v>111</v>
      </c>
      <c r="P3005" t="str">
        <f>"85338-5513"</f>
        <v>85338-5513</v>
      </c>
      <c r="Q3005" t="s">
        <v>113</v>
      </c>
      <c r="R3005" t="str">
        <f>"400-03-493"</f>
        <v>400-03-493</v>
      </c>
      <c r="S3005" t="s">
        <v>5292</v>
      </c>
      <c r="U3005">
        <v>1629</v>
      </c>
      <c r="V3005">
        <v>0</v>
      </c>
      <c r="W3005">
        <v>3</v>
      </c>
      <c r="X3005">
        <v>2000</v>
      </c>
      <c r="Z3005">
        <v>1</v>
      </c>
      <c r="AA3005" t="s">
        <v>26</v>
      </c>
      <c r="AB3005">
        <v>0</v>
      </c>
      <c r="AC3005" t="s">
        <v>115</v>
      </c>
      <c r="AD3005">
        <v>2</v>
      </c>
      <c r="AE3005" t="s">
        <v>115</v>
      </c>
      <c r="AF3005">
        <v>0</v>
      </c>
      <c r="AG3005">
        <v>0</v>
      </c>
      <c r="AH3005" t="s">
        <v>116</v>
      </c>
      <c r="AI3005" s="1">
        <v>69741</v>
      </c>
      <c r="AJ3005" s="2">
        <v>0.26</v>
      </c>
      <c r="AK3005" s="1">
        <v>272962</v>
      </c>
      <c r="AL3005" t="s">
        <v>117</v>
      </c>
      <c r="AM3005" t="s">
        <v>288</v>
      </c>
      <c r="AN3005">
        <v>6050</v>
      </c>
      <c r="AO3005">
        <v>0.14000000000000001</v>
      </c>
      <c r="AP3005">
        <v>1</v>
      </c>
      <c r="AR3005">
        <v>1</v>
      </c>
      <c r="AS3005" s="1">
        <v>18420</v>
      </c>
      <c r="AT3005" s="1">
        <v>3680</v>
      </c>
      <c r="AU3005" s="1">
        <v>14740</v>
      </c>
      <c r="AV3005">
        <v>80.02</v>
      </c>
      <c r="AX3005" s="1">
        <v>1615.62</v>
      </c>
      <c r="AY3005" t="s">
        <v>4236</v>
      </c>
      <c r="AZ3005" t="s">
        <v>4236</v>
      </c>
      <c r="BA3005" t="s">
        <v>1247</v>
      </c>
      <c r="BE3005" s="3">
        <v>42109</v>
      </c>
      <c r="BF3005" s="1">
        <v>201000</v>
      </c>
      <c r="BG3005" t="s">
        <v>19681</v>
      </c>
      <c r="BH3005" s="1">
        <v>123.39</v>
      </c>
      <c r="BI3005" s="1">
        <v>203221</v>
      </c>
      <c r="BJ3005" s="3">
        <v>42109</v>
      </c>
      <c r="BK3005" t="s">
        <v>123</v>
      </c>
      <c r="BL3005" t="str">
        <f>"2015.256933"</f>
        <v>2015.256933</v>
      </c>
      <c r="BM3005" t="s">
        <v>724</v>
      </c>
      <c r="BO3005" t="s">
        <v>19682</v>
      </c>
      <c r="BS3005">
        <v>30</v>
      </c>
      <c r="BW3005" t="str">
        <f>""</f>
        <v/>
      </c>
      <c r="CH3005" t="str">
        <f>""</f>
        <v/>
      </c>
      <c r="CS3005" t="str">
        <f>""</f>
        <v/>
      </c>
    </row>
    <row r="3006" spans="1:97" x14ac:dyDescent="0.25">
      <c r="A3006" t="s">
        <v>1187</v>
      </c>
      <c r="B3006" t="s">
        <v>19683</v>
      </c>
      <c r="C3006" t="s">
        <v>1444</v>
      </c>
      <c r="D3006" t="s">
        <v>19684</v>
      </c>
      <c r="E3006" t="s">
        <v>19685</v>
      </c>
      <c r="F3006" t="s">
        <v>108</v>
      </c>
      <c r="H3006" t="s">
        <v>19686</v>
      </c>
      <c r="I3006" t="s">
        <v>5387</v>
      </c>
      <c r="J3006" t="s">
        <v>111</v>
      </c>
      <c r="K3006" t="str">
        <f>"85282"</f>
        <v>85282</v>
      </c>
      <c r="L3006" t="s">
        <v>10491</v>
      </c>
      <c r="M3006" t="s">
        <v>19686</v>
      </c>
      <c r="N3006" t="s">
        <v>5387</v>
      </c>
      <c r="O3006" t="s">
        <v>111</v>
      </c>
      <c r="P3006" t="str">
        <f>"85282-5734"</f>
        <v>85282-5734</v>
      </c>
      <c r="Q3006" t="s">
        <v>113</v>
      </c>
      <c r="R3006" t="str">
        <f>"133-37-150"</f>
        <v>133-37-150</v>
      </c>
      <c r="S3006" t="s">
        <v>19687</v>
      </c>
      <c r="U3006">
        <v>2046</v>
      </c>
      <c r="V3006">
        <v>0</v>
      </c>
      <c r="W3006">
        <v>2</v>
      </c>
      <c r="X3006">
        <v>1968</v>
      </c>
      <c r="Z3006">
        <v>1</v>
      </c>
      <c r="AA3006" t="s">
        <v>26</v>
      </c>
      <c r="AB3006">
        <v>0</v>
      </c>
      <c r="AC3006" t="s">
        <v>115</v>
      </c>
      <c r="AD3006">
        <v>2</v>
      </c>
      <c r="AE3006" t="s">
        <v>115</v>
      </c>
      <c r="AF3006">
        <v>0</v>
      </c>
      <c r="AG3006">
        <v>0</v>
      </c>
      <c r="AH3006" t="s">
        <v>116</v>
      </c>
      <c r="AI3006" s="1">
        <v>61333</v>
      </c>
      <c r="AJ3006" s="2">
        <v>0.17</v>
      </c>
      <c r="AK3006" s="1">
        <v>367783</v>
      </c>
      <c r="AL3006" t="s">
        <v>117</v>
      </c>
      <c r="AM3006" t="s">
        <v>191</v>
      </c>
      <c r="AN3006">
        <v>10494</v>
      </c>
      <c r="AO3006">
        <v>0.24</v>
      </c>
      <c r="AP3006">
        <v>1</v>
      </c>
      <c r="AR3006">
        <v>1</v>
      </c>
      <c r="AS3006" s="1">
        <v>24820</v>
      </c>
      <c r="AT3006" s="1">
        <v>4960</v>
      </c>
      <c r="AU3006" s="1">
        <v>19860</v>
      </c>
      <c r="AV3006">
        <v>80.02</v>
      </c>
      <c r="AX3006" s="1">
        <v>1929.2</v>
      </c>
      <c r="AY3006" t="s">
        <v>11072</v>
      </c>
      <c r="AZ3006" t="s">
        <v>11073</v>
      </c>
      <c r="BA3006" t="s">
        <v>10858</v>
      </c>
      <c r="BE3006" s="3">
        <v>42522</v>
      </c>
      <c r="BF3006" s="1">
        <v>303000</v>
      </c>
      <c r="BG3006" t="s">
        <v>19688</v>
      </c>
      <c r="BH3006" s="1">
        <v>148.09</v>
      </c>
      <c r="BI3006" s="1">
        <v>306450</v>
      </c>
      <c r="BJ3006" s="3">
        <v>42522</v>
      </c>
      <c r="BK3006" t="s">
        <v>123</v>
      </c>
      <c r="BL3006" t="str">
        <f>"2016.379833"</f>
        <v>2016.379833</v>
      </c>
      <c r="BM3006" t="s">
        <v>594</v>
      </c>
      <c r="BO3006" t="s">
        <v>19689</v>
      </c>
      <c r="BP3006" t="s">
        <v>19690</v>
      </c>
      <c r="BS3006">
        <v>30</v>
      </c>
      <c r="BW3006" t="str">
        <f>""</f>
        <v/>
      </c>
      <c r="CH3006" t="str">
        <f>""</f>
        <v/>
      </c>
      <c r="CS3006" t="str">
        <f>""</f>
        <v/>
      </c>
    </row>
    <row r="3007" spans="1:97" x14ac:dyDescent="0.25">
      <c r="A3007" t="s">
        <v>2123</v>
      </c>
      <c r="B3007" t="s">
        <v>1094</v>
      </c>
      <c r="C3007" t="s">
        <v>10627</v>
      </c>
      <c r="D3007" t="s">
        <v>1094</v>
      </c>
      <c r="E3007" t="s">
        <v>19691</v>
      </c>
      <c r="F3007" t="s">
        <v>108</v>
      </c>
      <c r="H3007" t="s">
        <v>19692</v>
      </c>
      <c r="I3007" t="s">
        <v>144</v>
      </c>
      <c r="J3007" t="s">
        <v>111</v>
      </c>
      <c r="K3007" t="str">
        <f>"85326"</f>
        <v>85326</v>
      </c>
      <c r="L3007" t="s">
        <v>8146</v>
      </c>
      <c r="M3007" t="s">
        <v>19692</v>
      </c>
      <c r="N3007" t="s">
        <v>144</v>
      </c>
      <c r="O3007" t="s">
        <v>111</v>
      </c>
      <c r="P3007" t="str">
        <f>"85326-6646"</f>
        <v>85326-6646</v>
      </c>
      <c r="Q3007" t="s">
        <v>113</v>
      </c>
      <c r="R3007" t="str">
        <f>"502-35-372"</f>
        <v>502-35-372</v>
      </c>
      <c r="S3007" t="s">
        <v>10984</v>
      </c>
      <c r="U3007">
        <v>1895</v>
      </c>
      <c r="V3007">
        <v>0</v>
      </c>
      <c r="W3007">
        <v>4</v>
      </c>
      <c r="X3007">
        <v>2016</v>
      </c>
      <c r="Z3007">
        <v>1</v>
      </c>
      <c r="AB3007">
        <v>0</v>
      </c>
      <c r="AC3007" t="s">
        <v>115</v>
      </c>
      <c r="AD3007">
        <v>2</v>
      </c>
      <c r="AE3007" t="s">
        <v>115</v>
      </c>
      <c r="AF3007">
        <v>0</v>
      </c>
      <c r="AG3007">
        <v>0</v>
      </c>
      <c r="AH3007" t="s">
        <v>116</v>
      </c>
      <c r="AI3007" s="1">
        <v>64865</v>
      </c>
      <c r="AJ3007" s="2">
        <v>0.24</v>
      </c>
      <c r="AK3007" s="1">
        <v>273251</v>
      </c>
      <c r="AL3007" t="s">
        <v>117</v>
      </c>
      <c r="AM3007" t="s">
        <v>118</v>
      </c>
      <c r="AN3007">
        <v>7669</v>
      </c>
      <c r="AO3007">
        <v>0.18</v>
      </c>
      <c r="AR3007">
        <v>1</v>
      </c>
      <c r="AS3007" s="1">
        <v>18880</v>
      </c>
      <c r="AT3007" s="1">
        <v>3770</v>
      </c>
      <c r="AU3007" s="1">
        <v>15110</v>
      </c>
      <c r="AV3007">
        <v>80.03</v>
      </c>
      <c r="AX3007" s="1">
        <v>1548.3</v>
      </c>
      <c r="AY3007" t="s">
        <v>2767</v>
      </c>
      <c r="AZ3007" t="s">
        <v>2767</v>
      </c>
      <c r="BA3007" t="s">
        <v>5025</v>
      </c>
      <c r="BE3007" s="3">
        <v>42549</v>
      </c>
      <c r="BF3007" s="1">
        <v>209874</v>
      </c>
      <c r="BG3007" t="s">
        <v>1079</v>
      </c>
      <c r="BH3007" s="1">
        <v>110.75</v>
      </c>
      <c r="BI3007" s="1">
        <v>208386</v>
      </c>
      <c r="BJ3007" s="3">
        <v>42549</v>
      </c>
      <c r="BK3007" t="s">
        <v>123</v>
      </c>
      <c r="BL3007" t="str">
        <f>"2016.453241"</f>
        <v>2016.453241</v>
      </c>
      <c r="BM3007" t="s">
        <v>475</v>
      </c>
      <c r="BO3007" t="s">
        <v>19693</v>
      </c>
      <c r="BS3007">
        <v>30</v>
      </c>
      <c r="BW3007" t="str">
        <f>""</f>
        <v/>
      </c>
      <c r="CH3007" t="str">
        <f>""</f>
        <v/>
      </c>
      <c r="CS3007" t="str">
        <f>""</f>
        <v/>
      </c>
    </row>
    <row r="3008" spans="1:97" x14ac:dyDescent="0.25">
      <c r="A3008" t="s">
        <v>1040</v>
      </c>
      <c r="B3008" t="s">
        <v>19694</v>
      </c>
      <c r="C3008" t="s">
        <v>259</v>
      </c>
      <c r="D3008" t="s">
        <v>19694</v>
      </c>
      <c r="E3008" t="s">
        <v>19695</v>
      </c>
      <c r="F3008" t="s">
        <v>108</v>
      </c>
      <c r="H3008" t="s">
        <v>19696</v>
      </c>
      <c r="I3008" t="s">
        <v>203</v>
      </c>
      <c r="J3008" t="s">
        <v>111</v>
      </c>
      <c r="K3008" t="str">
        <f>"85297"</f>
        <v>85297</v>
      </c>
      <c r="L3008" t="s">
        <v>5893</v>
      </c>
      <c r="M3008" t="s">
        <v>19696</v>
      </c>
      <c r="N3008" t="s">
        <v>203</v>
      </c>
      <c r="O3008" t="s">
        <v>111</v>
      </c>
      <c r="P3008" t="str">
        <f>"85297-9654"</f>
        <v>85297-9654</v>
      </c>
      <c r="Q3008" t="s">
        <v>113</v>
      </c>
      <c r="R3008" t="str">
        <f>"313-01-685"</f>
        <v>313-01-685</v>
      </c>
      <c r="S3008" t="s">
        <v>19697</v>
      </c>
      <c r="T3008" t="s">
        <v>19698</v>
      </c>
      <c r="U3008">
        <v>1895</v>
      </c>
      <c r="V3008">
        <v>0</v>
      </c>
      <c r="W3008">
        <v>3</v>
      </c>
      <c r="X3008">
        <v>2001</v>
      </c>
      <c r="Z3008">
        <v>1</v>
      </c>
      <c r="AA3008" t="s">
        <v>26</v>
      </c>
      <c r="AB3008">
        <v>0</v>
      </c>
      <c r="AC3008" t="s">
        <v>115</v>
      </c>
      <c r="AD3008">
        <v>2</v>
      </c>
      <c r="AE3008" t="s">
        <v>115</v>
      </c>
      <c r="AF3008">
        <v>0</v>
      </c>
      <c r="AG3008">
        <v>0</v>
      </c>
      <c r="AH3008" t="s">
        <v>116</v>
      </c>
      <c r="AI3008" s="1">
        <v>88592</v>
      </c>
      <c r="AJ3008" s="2">
        <v>0.26</v>
      </c>
      <c r="AK3008" s="1">
        <v>346842</v>
      </c>
      <c r="AL3008" t="s">
        <v>117</v>
      </c>
      <c r="AM3008" t="s">
        <v>288</v>
      </c>
      <c r="AN3008">
        <v>6916</v>
      </c>
      <c r="AO3008">
        <v>0.16</v>
      </c>
      <c r="AP3008">
        <v>1</v>
      </c>
      <c r="AR3008">
        <v>1</v>
      </c>
      <c r="AS3008" s="1">
        <v>23250</v>
      </c>
      <c r="AT3008" s="1">
        <v>4650</v>
      </c>
      <c r="AU3008" s="1">
        <v>18600</v>
      </c>
      <c r="AV3008">
        <v>80</v>
      </c>
      <c r="AX3008" s="1">
        <v>1869.52</v>
      </c>
      <c r="AY3008" t="s">
        <v>8338</v>
      </c>
      <c r="AZ3008" t="s">
        <v>8338</v>
      </c>
      <c r="BA3008" t="s">
        <v>290</v>
      </c>
      <c r="BE3008" s="3">
        <v>41901</v>
      </c>
      <c r="BF3008" s="1">
        <v>250000</v>
      </c>
      <c r="BG3008" t="s">
        <v>19699</v>
      </c>
      <c r="BH3008" s="1">
        <v>131.93</v>
      </c>
      <c r="BI3008" s="1">
        <v>258250</v>
      </c>
      <c r="BJ3008" s="3">
        <v>41901</v>
      </c>
      <c r="BK3008" t="s">
        <v>123</v>
      </c>
      <c r="BL3008" t="str">
        <f>"2014.621961"</f>
        <v>2014.621961</v>
      </c>
      <c r="BM3008" t="s">
        <v>2683</v>
      </c>
      <c r="BO3008" t="s">
        <v>19700</v>
      </c>
      <c r="BS3008">
        <v>30</v>
      </c>
      <c r="BW3008" t="str">
        <f>""</f>
        <v/>
      </c>
      <c r="CH3008" t="str">
        <f>""</f>
        <v/>
      </c>
      <c r="CS3008" t="str">
        <f>""</f>
        <v/>
      </c>
    </row>
    <row r="3009" spans="1:97" x14ac:dyDescent="0.25">
      <c r="A3009" t="s">
        <v>767</v>
      </c>
      <c r="B3009" t="s">
        <v>465</v>
      </c>
      <c r="E3009" t="s">
        <v>19701</v>
      </c>
      <c r="F3009" t="s">
        <v>108</v>
      </c>
      <c r="H3009" t="s">
        <v>19702</v>
      </c>
      <c r="I3009" t="s">
        <v>499</v>
      </c>
      <c r="J3009" t="s">
        <v>111</v>
      </c>
      <c r="K3009" t="str">
        <f>"85338"</f>
        <v>85338</v>
      </c>
      <c r="L3009" t="s">
        <v>6316</v>
      </c>
      <c r="M3009" t="s">
        <v>19702</v>
      </c>
      <c r="N3009" t="s">
        <v>499</v>
      </c>
      <c r="O3009" t="s">
        <v>111</v>
      </c>
      <c r="P3009" t="str">
        <f>"85338-6068"</f>
        <v>85338-6068</v>
      </c>
      <c r="Q3009" t="s">
        <v>113</v>
      </c>
      <c r="R3009" t="str">
        <f>"502-39-422"</f>
        <v>502-39-422</v>
      </c>
      <c r="S3009" t="s">
        <v>15300</v>
      </c>
      <c r="T3009" t="s">
        <v>6318</v>
      </c>
      <c r="U3009">
        <v>1950</v>
      </c>
      <c r="V3009">
        <v>0</v>
      </c>
      <c r="W3009">
        <v>3</v>
      </c>
      <c r="X3009">
        <v>2007</v>
      </c>
      <c r="Z3009">
        <v>1</v>
      </c>
      <c r="AB3009">
        <v>0</v>
      </c>
      <c r="AC3009" t="s">
        <v>115</v>
      </c>
      <c r="AD3009">
        <v>2</v>
      </c>
      <c r="AE3009" t="s">
        <v>115</v>
      </c>
      <c r="AF3009">
        <v>0</v>
      </c>
      <c r="AG3009">
        <v>0</v>
      </c>
      <c r="AH3009" t="s">
        <v>116</v>
      </c>
      <c r="AI3009" s="1">
        <v>45549</v>
      </c>
      <c r="AJ3009" s="2">
        <v>0.17</v>
      </c>
      <c r="AK3009" s="1">
        <v>261379</v>
      </c>
      <c r="AL3009" t="s">
        <v>117</v>
      </c>
      <c r="AM3009" t="s">
        <v>118</v>
      </c>
      <c r="AN3009">
        <v>6050</v>
      </c>
      <c r="AO3009">
        <v>0.14000000000000001</v>
      </c>
      <c r="AR3009">
        <v>1</v>
      </c>
      <c r="AS3009" s="1">
        <v>18460</v>
      </c>
      <c r="AT3009" s="1">
        <v>3690</v>
      </c>
      <c r="AU3009" s="1">
        <v>14770</v>
      </c>
      <c r="AV3009">
        <v>80.010000000000005</v>
      </c>
      <c r="AX3009" s="1">
        <v>1202.8599999999999</v>
      </c>
      <c r="AY3009" t="s">
        <v>6319</v>
      </c>
      <c r="AZ3009" t="s">
        <v>6319</v>
      </c>
      <c r="BA3009" t="s">
        <v>218</v>
      </c>
      <c r="BE3009" s="3">
        <v>42396</v>
      </c>
      <c r="BF3009" s="1">
        <v>210000</v>
      </c>
      <c r="BG3009" t="s">
        <v>19703</v>
      </c>
      <c r="BH3009" s="1">
        <v>107.69</v>
      </c>
      <c r="BI3009" s="1">
        <v>215830</v>
      </c>
      <c r="BJ3009" s="3">
        <v>42627</v>
      </c>
      <c r="BK3009" t="s">
        <v>123</v>
      </c>
      <c r="BL3009" t="str">
        <f>"2016.665054"</f>
        <v>2016.665054</v>
      </c>
      <c r="BM3009" t="s">
        <v>1695</v>
      </c>
      <c r="BO3009" t="s">
        <v>19704</v>
      </c>
      <c r="BS3009">
        <v>30</v>
      </c>
      <c r="BW3009" t="str">
        <f>""</f>
        <v/>
      </c>
      <c r="CH3009" t="str">
        <f>""</f>
        <v/>
      </c>
      <c r="CS3009" t="str">
        <f>""</f>
        <v/>
      </c>
    </row>
    <row r="3010" spans="1:97" x14ac:dyDescent="0.25">
      <c r="A3010" t="s">
        <v>19705</v>
      </c>
      <c r="B3010" t="s">
        <v>19706</v>
      </c>
      <c r="C3010" t="s">
        <v>852</v>
      </c>
      <c r="D3010" t="s">
        <v>19706</v>
      </c>
      <c r="E3010" t="s">
        <v>19707</v>
      </c>
      <c r="F3010" t="s">
        <v>108</v>
      </c>
      <c r="H3010" t="s">
        <v>19708</v>
      </c>
      <c r="I3010" t="s">
        <v>5551</v>
      </c>
      <c r="J3010" t="s">
        <v>111</v>
      </c>
      <c r="K3010" t="str">
        <f>"85248"</f>
        <v>85248</v>
      </c>
      <c r="L3010" t="s">
        <v>316</v>
      </c>
      <c r="M3010" t="s">
        <v>19708</v>
      </c>
      <c r="N3010" t="s">
        <v>5551</v>
      </c>
      <c r="O3010" t="s">
        <v>111</v>
      </c>
      <c r="P3010" t="str">
        <f>"85248-7124"</f>
        <v>85248-7124</v>
      </c>
      <c r="Q3010" t="s">
        <v>113</v>
      </c>
      <c r="R3010" t="str">
        <f>"303-66-306"</f>
        <v>303-66-306</v>
      </c>
      <c r="S3010" t="s">
        <v>10910</v>
      </c>
      <c r="U3010">
        <v>1823</v>
      </c>
      <c r="V3010">
        <v>0</v>
      </c>
      <c r="W3010">
        <v>3</v>
      </c>
      <c r="X3010">
        <v>1983</v>
      </c>
      <c r="Z3010">
        <v>1</v>
      </c>
      <c r="AB3010">
        <v>0</v>
      </c>
      <c r="AC3010" t="s">
        <v>115</v>
      </c>
      <c r="AD3010">
        <v>2</v>
      </c>
      <c r="AE3010" t="s">
        <v>115</v>
      </c>
      <c r="AF3010">
        <v>0</v>
      </c>
      <c r="AG3010">
        <v>0</v>
      </c>
      <c r="AH3010" t="s">
        <v>116</v>
      </c>
      <c r="AI3010" s="1">
        <v>78663</v>
      </c>
      <c r="AJ3010" s="2">
        <v>0.28000000000000003</v>
      </c>
      <c r="AK3010" s="1">
        <v>283197</v>
      </c>
      <c r="AL3010" t="s">
        <v>117</v>
      </c>
      <c r="AM3010" t="s">
        <v>191</v>
      </c>
      <c r="AN3010">
        <v>7126</v>
      </c>
      <c r="AO3010">
        <v>0.16</v>
      </c>
      <c r="AP3010">
        <v>1</v>
      </c>
      <c r="AR3010">
        <v>1</v>
      </c>
      <c r="AS3010" s="1">
        <v>19130</v>
      </c>
      <c r="AT3010" s="1">
        <v>3820</v>
      </c>
      <c r="AU3010" s="1">
        <v>15310</v>
      </c>
      <c r="AV3010">
        <v>80.03</v>
      </c>
      <c r="AX3010" s="1">
        <v>2046.34</v>
      </c>
      <c r="AY3010" t="s">
        <v>1881</v>
      </c>
      <c r="AZ3010" t="s">
        <v>1882</v>
      </c>
      <c r="BA3010" t="s">
        <v>121</v>
      </c>
      <c r="BE3010" s="3">
        <v>42265</v>
      </c>
      <c r="BF3010" s="1">
        <v>198000</v>
      </c>
      <c r="BG3010" t="s">
        <v>19709</v>
      </c>
      <c r="BH3010" s="1">
        <v>108.61</v>
      </c>
      <c r="BI3010" s="1">
        <v>204534</v>
      </c>
      <c r="BJ3010" s="3">
        <v>42265</v>
      </c>
      <c r="BK3010" t="s">
        <v>123</v>
      </c>
      <c r="BL3010" t="str">
        <f>"2015.675220"</f>
        <v>2015.675220</v>
      </c>
      <c r="BM3010" t="s">
        <v>2980</v>
      </c>
      <c r="BO3010" t="s">
        <v>19710</v>
      </c>
      <c r="BS3010">
        <v>30</v>
      </c>
      <c r="BW3010" t="str">
        <f>""</f>
        <v/>
      </c>
      <c r="CH3010" t="str">
        <f>""</f>
        <v/>
      </c>
      <c r="CS3010" t="str">
        <f>""</f>
        <v/>
      </c>
    </row>
    <row r="3011" spans="1:97" x14ac:dyDescent="0.25">
      <c r="A3011" t="s">
        <v>1181</v>
      </c>
      <c r="B3011" t="s">
        <v>9720</v>
      </c>
      <c r="E3011" t="s">
        <v>19711</v>
      </c>
      <c r="F3011" t="s">
        <v>139</v>
      </c>
      <c r="H3011" t="s">
        <v>19712</v>
      </c>
      <c r="I3011" t="s">
        <v>632</v>
      </c>
      <c r="J3011" t="s">
        <v>111</v>
      </c>
      <c r="K3011" t="str">
        <f>"85379"</f>
        <v>85379</v>
      </c>
      <c r="L3011" t="s">
        <v>5021</v>
      </c>
      <c r="M3011" t="s">
        <v>19712</v>
      </c>
      <c r="N3011" t="s">
        <v>632</v>
      </c>
      <c r="O3011" t="s">
        <v>111</v>
      </c>
      <c r="P3011" t="str">
        <f>"85379-5358"</f>
        <v>85379-5358</v>
      </c>
      <c r="Q3011" t="s">
        <v>113</v>
      </c>
      <c r="R3011" t="str">
        <f>"509-14-508"</f>
        <v>509-14-508</v>
      </c>
      <c r="S3011" t="s">
        <v>19713</v>
      </c>
      <c r="U3011">
        <v>2112</v>
      </c>
      <c r="V3011">
        <v>0</v>
      </c>
      <c r="W3011">
        <v>3</v>
      </c>
      <c r="X3011">
        <v>2004</v>
      </c>
      <c r="Z3011">
        <v>1</v>
      </c>
      <c r="AB3011">
        <v>0</v>
      </c>
      <c r="AC3011" t="s">
        <v>115</v>
      </c>
      <c r="AD3011">
        <v>2</v>
      </c>
      <c r="AE3011" t="s">
        <v>115</v>
      </c>
      <c r="AF3011">
        <v>0</v>
      </c>
      <c r="AG3011">
        <v>0</v>
      </c>
      <c r="AH3011" t="s">
        <v>116</v>
      </c>
      <c r="AI3011" s="1">
        <v>44881</v>
      </c>
      <c r="AJ3011" s="2">
        <v>0.16</v>
      </c>
      <c r="AK3011" s="1">
        <v>285061</v>
      </c>
      <c r="AL3011" t="s">
        <v>117</v>
      </c>
      <c r="AM3011" t="s">
        <v>118</v>
      </c>
      <c r="AN3011">
        <v>6670</v>
      </c>
      <c r="AO3011">
        <v>0.15</v>
      </c>
      <c r="AR3011">
        <v>1</v>
      </c>
      <c r="AS3011" s="1">
        <v>19070</v>
      </c>
      <c r="AT3011" s="1">
        <v>3810</v>
      </c>
      <c r="AU3011" s="1">
        <v>15260</v>
      </c>
      <c r="AV3011">
        <v>80.02</v>
      </c>
      <c r="AX3011" s="1">
        <v>1482.1</v>
      </c>
      <c r="AY3011" t="s">
        <v>5615</v>
      </c>
      <c r="AZ3011" t="s">
        <v>5615</v>
      </c>
      <c r="BA3011" t="s">
        <v>635</v>
      </c>
      <c r="BB3011" s="3">
        <v>42921</v>
      </c>
      <c r="BD3011" t="s">
        <v>157</v>
      </c>
      <c r="BE3011" s="3">
        <v>42240</v>
      </c>
      <c r="BF3011" s="1">
        <v>222000</v>
      </c>
      <c r="BG3011" t="s">
        <v>19714</v>
      </c>
      <c r="BH3011" s="1">
        <v>105.11</v>
      </c>
      <c r="BI3011" s="1">
        <v>240180</v>
      </c>
      <c r="BJ3011" s="3">
        <v>43220</v>
      </c>
      <c r="BK3011" t="s">
        <v>123</v>
      </c>
      <c r="BL3011" t="str">
        <f>"2018.327877"</f>
        <v>2018.327877</v>
      </c>
      <c r="BM3011" t="s">
        <v>673</v>
      </c>
      <c r="BN3011" t="s">
        <v>674</v>
      </c>
      <c r="BO3011" t="s">
        <v>19715</v>
      </c>
      <c r="BR3011" t="s">
        <v>346</v>
      </c>
      <c r="BW3011" t="str">
        <f>""</f>
        <v/>
      </c>
      <c r="CH3011" t="str">
        <f>""</f>
        <v/>
      </c>
      <c r="CS3011" t="str">
        <f>""</f>
        <v/>
      </c>
    </row>
    <row r="3012" spans="1:97" x14ac:dyDescent="0.25">
      <c r="A3012" t="s">
        <v>2729</v>
      </c>
      <c r="B3012" t="s">
        <v>19716</v>
      </c>
      <c r="C3012" t="s">
        <v>8737</v>
      </c>
      <c r="D3012" t="s">
        <v>19716</v>
      </c>
      <c r="E3012" t="s">
        <v>19717</v>
      </c>
      <c r="F3012" t="s">
        <v>108</v>
      </c>
      <c r="H3012" t="s">
        <v>19718</v>
      </c>
      <c r="I3012" t="s">
        <v>2874</v>
      </c>
      <c r="J3012" t="s">
        <v>111</v>
      </c>
      <c r="K3012" t="str">
        <f>"85305"</f>
        <v>85305</v>
      </c>
      <c r="L3012" t="s">
        <v>6902</v>
      </c>
      <c r="M3012" t="s">
        <v>19718</v>
      </c>
      <c r="N3012" t="s">
        <v>2874</v>
      </c>
      <c r="O3012" t="s">
        <v>111</v>
      </c>
      <c r="P3012" t="str">
        <f>"85305-2549"</f>
        <v>85305-2549</v>
      </c>
      <c r="Q3012" t="s">
        <v>113</v>
      </c>
      <c r="R3012" t="str">
        <f>"102-04-625"</f>
        <v>102-04-625</v>
      </c>
      <c r="S3012" t="s">
        <v>19719</v>
      </c>
      <c r="T3012" t="s">
        <v>19720</v>
      </c>
      <c r="U3012">
        <v>2201</v>
      </c>
      <c r="V3012">
        <v>0</v>
      </c>
      <c r="W3012">
        <v>3</v>
      </c>
      <c r="X3012">
        <v>2000</v>
      </c>
      <c r="Z3012">
        <v>1</v>
      </c>
      <c r="AA3012" t="s">
        <v>26</v>
      </c>
      <c r="AB3012">
        <v>0</v>
      </c>
      <c r="AC3012" t="s">
        <v>115</v>
      </c>
      <c r="AD3012">
        <v>3</v>
      </c>
      <c r="AE3012" t="s">
        <v>115</v>
      </c>
      <c r="AF3012">
        <v>0</v>
      </c>
      <c r="AG3012">
        <v>0</v>
      </c>
      <c r="AH3012" t="s">
        <v>116</v>
      </c>
      <c r="AI3012" s="1">
        <v>81663</v>
      </c>
      <c r="AJ3012" s="2">
        <v>0.26</v>
      </c>
      <c r="AK3012" s="1">
        <v>317485</v>
      </c>
      <c r="AL3012" t="s">
        <v>117</v>
      </c>
      <c r="AM3012" t="s">
        <v>171</v>
      </c>
      <c r="AN3012">
        <v>9639</v>
      </c>
      <c r="AO3012">
        <v>0.22</v>
      </c>
      <c r="AP3012">
        <v>1</v>
      </c>
      <c r="AR3012">
        <v>1</v>
      </c>
      <c r="AS3012" s="1">
        <v>21180</v>
      </c>
      <c r="AT3012" s="1">
        <v>4230</v>
      </c>
      <c r="AU3012" s="1">
        <v>16950</v>
      </c>
      <c r="AV3012">
        <v>80.03</v>
      </c>
      <c r="AX3012" s="1">
        <v>2396.6799999999998</v>
      </c>
      <c r="AY3012" t="s">
        <v>16057</v>
      </c>
      <c r="AZ3012" t="s">
        <v>16057</v>
      </c>
      <c r="BA3012" t="s">
        <v>4286</v>
      </c>
      <c r="BE3012" s="3">
        <v>41761</v>
      </c>
      <c r="BF3012" s="1">
        <v>234000</v>
      </c>
      <c r="BG3012" t="s">
        <v>19721</v>
      </c>
      <c r="BH3012" s="1">
        <v>106.32</v>
      </c>
      <c r="BI3012" s="1">
        <v>235822</v>
      </c>
      <c r="BJ3012" s="3">
        <v>41761</v>
      </c>
      <c r="BK3012" t="s">
        <v>123</v>
      </c>
      <c r="BL3012" t="str">
        <f>"2014.287828"</f>
        <v>2014.287828</v>
      </c>
      <c r="BM3012" t="s">
        <v>724</v>
      </c>
      <c r="BO3012" t="s">
        <v>19722</v>
      </c>
      <c r="BS3012">
        <v>30</v>
      </c>
      <c r="BW3012" t="str">
        <f>""</f>
        <v/>
      </c>
      <c r="CH3012" t="str">
        <f>""</f>
        <v/>
      </c>
      <c r="CS3012" t="str">
        <f>""</f>
        <v/>
      </c>
    </row>
    <row r="3013" spans="1:97" x14ac:dyDescent="0.25">
      <c r="A3013" t="s">
        <v>19723</v>
      </c>
      <c r="B3013" t="s">
        <v>4306</v>
      </c>
      <c r="C3013" t="s">
        <v>1938</v>
      </c>
      <c r="D3013" t="s">
        <v>19724</v>
      </c>
      <c r="E3013" t="s">
        <v>19725</v>
      </c>
      <c r="F3013" t="s">
        <v>108</v>
      </c>
      <c r="H3013" t="s">
        <v>19726</v>
      </c>
      <c r="I3013" t="s">
        <v>225</v>
      </c>
      <c r="J3013" t="s">
        <v>111</v>
      </c>
      <c r="K3013" t="str">
        <f>"85215"</f>
        <v>85215</v>
      </c>
      <c r="L3013" t="s">
        <v>8255</v>
      </c>
      <c r="M3013" t="s">
        <v>19726</v>
      </c>
      <c r="N3013" t="s">
        <v>225</v>
      </c>
      <c r="O3013" t="s">
        <v>111</v>
      </c>
      <c r="P3013" t="str">
        <f>"85215-1554"</f>
        <v>85215-1554</v>
      </c>
      <c r="Q3013" t="s">
        <v>113</v>
      </c>
      <c r="R3013" t="str">
        <f>"141-93-137-A"</f>
        <v>141-93-137-A</v>
      </c>
      <c r="S3013" t="s">
        <v>19727</v>
      </c>
      <c r="T3013" t="s">
        <v>758</v>
      </c>
      <c r="U3013">
        <v>2114</v>
      </c>
      <c r="V3013">
        <v>0</v>
      </c>
      <c r="W3013">
        <v>3</v>
      </c>
      <c r="X3013">
        <v>1995</v>
      </c>
      <c r="Z3013">
        <v>1</v>
      </c>
      <c r="AA3013" t="s">
        <v>26</v>
      </c>
      <c r="AB3013">
        <v>0</v>
      </c>
      <c r="AC3013" t="s">
        <v>115</v>
      </c>
      <c r="AD3013">
        <v>2</v>
      </c>
      <c r="AE3013" t="s">
        <v>115</v>
      </c>
      <c r="AF3013">
        <v>0</v>
      </c>
      <c r="AG3013">
        <v>0</v>
      </c>
      <c r="AH3013" t="s">
        <v>116</v>
      </c>
      <c r="AI3013" s="1">
        <v>54090</v>
      </c>
      <c r="AJ3013" s="2">
        <v>0.14000000000000001</v>
      </c>
      <c r="AK3013" s="1">
        <v>398090</v>
      </c>
      <c r="AL3013" t="s">
        <v>117</v>
      </c>
      <c r="AM3013" t="s">
        <v>393</v>
      </c>
      <c r="AN3013">
        <v>14996</v>
      </c>
      <c r="AO3013">
        <v>0.34</v>
      </c>
      <c r="AP3013">
        <v>1</v>
      </c>
      <c r="AR3013">
        <v>1</v>
      </c>
      <c r="AS3013" s="1">
        <v>27680</v>
      </c>
      <c r="AT3013" s="1">
        <v>5530</v>
      </c>
      <c r="AU3013" s="1">
        <v>22150</v>
      </c>
      <c r="AV3013">
        <v>80.02</v>
      </c>
      <c r="AX3013" s="1">
        <v>2316.8200000000002</v>
      </c>
      <c r="AY3013" t="s">
        <v>6662</v>
      </c>
      <c r="AZ3013" t="s">
        <v>5275</v>
      </c>
      <c r="BA3013" t="s">
        <v>3119</v>
      </c>
      <c r="BE3013" s="3">
        <v>41877</v>
      </c>
      <c r="BF3013" s="1">
        <v>350000</v>
      </c>
      <c r="BG3013" t="s">
        <v>19728</v>
      </c>
      <c r="BH3013" s="1">
        <v>165.56</v>
      </c>
      <c r="BI3013" s="1">
        <v>344000</v>
      </c>
      <c r="BJ3013" s="3">
        <v>41877</v>
      </c>
      <c r="BK3013" t="s">
        <v>123</v>
      </c>
      <c r="BL3013" t="str">
        <f>"2014.565996"</f>
        <v>2014.565996</v>
      </c>
      <c r="BM3013" t="s">
        <v>724</v>
      </c>
      <c r="BO3013" t="s">
        <v>19729</v>
      </c>
      <c r="BP3013" t="s">
        <v>19730</v>
      </c>
      <c r="BS3013">
        <v>30</v>
      </c>
      <c r="BW3013" t="str">
        <f>""</f>
        <v/>
      </c>
      <c r="CH3013" t="str">
        <f>""</f>
        <v/>
      </c>
      <c r="CS3013" t="str">
        <f>""</f>
        <v/>
      </c>
    </row>
    <row r="3014" spans="1:97" x14ac:dyDescent="0.25">
      <c r="A3014" t="s">
        <v>126</v>
      </c>
      <c r="B3014" t="s">
        <v>6696</v>
      </c>
      <c r="C3014" t="s">
        <v>9745</v>
      </c>
      <c r="D3014" t="s">
        <v>6696</v>
      </c>
      <c r="E3014" t="s">
        <v>19731</v>
      </c>
      <c r="F3014" t="s">
        <v>108</v>
      </c>
      <c r="H3014" t="s">
        <v>19732</v>
      </c>
      <c r="I3014" t="s">
        <v>499</v>
      </c>
      <c r="J3014" t="s">
        <v>111</v>
      </c>
      <c r="K3014" t="str">
        <f>"85395"</f>
        <v>85395</v>
      </c>
      <c r="L3014" t="s">
        <v>4159</v>
      </c>
      <c r="M3014" t="s">
        <v>19732</v>
      </c>
      <c r="N3014" t="s">
        <v>499</v>
      </c>
      <c r="O3014" t="s">
        <v>111</v>
      </c>
      <c r="P3014" t="str">
        <f>"85395-7742"</f>
        <v>85395-7742</v>
      </c>
      <c r="R3014" t="str">
        <f>"501-61-204"</f>
        <v>501-61-204</v>
      </c>
      <c r="S3014" t="s">
        <v>14967</v>
      </c>
      <c r="T3014" t="s">
        <v>14968</v>
      </c>
      <c r="U3014">
        <v>1820</v>
      </c>
      <c r="V3014">
        <v>0</v>
      </c>
      <c r="W3014">
        <v>3</v>
      </c>
      <c r="X3014">
        <v>2007</v>
      </c>
      <c r="Z3014">
        <v>1</v>
      </c>
      <c r="AB3014">
        <v>0</v>
      </c>
      <c r="AC3014" t="s">
        <v>115</v>
      </c>
      <c r="AD3014">
        <v>2</v>
      </c>
      <c r="AE3014" t="s">
        <v>115</v>
      </c>
      <c r="AF3014">
        <v>0</v>
      </c>
      <c r="AG3014">
        <v>0</v>
      </c>
      <c r="AH3014" t="s">
        <v>116</v>
      </c>
      <c r="AI3014" s="1">
        <v>57396</v>
      </c>
      <c r="AJ3014" s="2">
        <v>0.21</v>
      </c>
      <c r="AK3014" s="1">
        <v>274288</v>
      </c>
      <c r="AL3014" t="s">
        <v>117</v>
      </c>
      <c r="AM3014" t="s">
        <v>118</v>
      </c>
      <c r="AN3014">
        <v>6339</v>
      </c>
      <c r="AO3014">
        <v>0.15</v>
      </c>
      <c r="AR3014">
        <v>1</v>
      </c>
      <c r="AS3014" s="1">
        <v>19070</v>
      </c>
      <c r="AT3014" s="1">
        <v>3810</v>
      </c>
      <c r="AU3014" s="1">
        <v>15260</v>
      </c>
      <c r="AV3014">
        <v>80.02</v>
      </c>
      <c r="AX3014" s="1">
        <v>1945.28</v>
      </c>
      <c r="AY3014" t="s">
        <v>3019</v>
      </c>
      <c r="AZ3014" t="s">
        <v>504</v>
      </c>
      <c r="BA3014" t="s">
        <v>3154</v>
      </c>
      <c r="BE3014" s="3">
        <v>42459</v>
      </c>
      <c r="BF3014" s="1">
        <v>217920</v>
      </c>
      <c r="BG3014" t="s">
        <v>19733</v>
      </c>
      <c r="BH3014" s="1">
        <v>119.74</v>
      </c>
      <c r="BI3014" s="1">
        <v>216892</v>
      </c>
      <c r="BJ3014" s="3">
        <v>42670</v>
      </c>
      <c r="BK3014" t="s">
        <v>123</v>
      </c>
      <c r="BL3014" t="str">
        <f>"2016.787744"</f>
        <v>2016.787744</v>
      </c>
      <c r="BM3014" t="s">
        <v>402</v>
      </c>
      <c r="BN3014" t="s">
        <v>461</v>
      </c>
      <c r="BO3014" t="s">
        <v>19734</v>
      </c>
      <c r="BS3014">
        <v>30</v>
      </c>
      <c r="BW3014" t="str">
        <f>""</f>
        <v/>
      </c>
      <c r="CH3014" t="str">
        <f>""</f>
        <v/>
      </c>
      <c r="CS3014" t="str">
        <f>""</f>
        <v/>
      </c>
    </row>
    <row r="3015" spans="1:97" x14ac:dyDescent="0.25">
      <c r="A3015" t="s">
        <v>2433</v>
      </c>
      <c r="B3015" t="s">
        <v>19735</v>
      </c>
      <c r="C3015" t="s">
        <v>19736</v>
      </c>
      <c r="D3015" t="s">
        <v>19735</v>
      </c>
      <c r="E3015" t="s">
        <v>19737</v>
      </c>
      <c r="F3015" t="s">
        <v>108</v>
      </c>
      <c r="H3015" t="s">
        <v>19738</v>
      </c>
      <c r="I3015" t="s">
        <v>499</v>
      </c>
      <c r="J3015" t="s">
        <v>111</v>
      </c>
      <c r="K3015" t="str">
        <f>"85338"</f>
        <v>85338</v>
      </c>
      <c r="L3015" t="s">
        <v>8146</v>
      </c>
      <c r="M3015" t="s">
        <v>19738</v>
      </c>
      <c r="N3015" t="s">
        <v>499</v>
      </c>
      <c r="O3015" t="s">
        <v>111</v>
      </c>
      <c r="P3015" t="str">
        <f>"85338-7467"</f>
        <v>85338-7467</v>
      </c>
      <c r="Q3015" t="s">
        <v>113</v>
      </c>
      <c r="R3015" t="str">
        <f>"502-44-156"</f>
        <v>502-44-156</v>
      </c>
      <c r="S3015" t="s">
        <v>5101</v>
      </c>
      <c r="T3015" t="s">
        <v>5102</v>
      </c>
      <c r="U3015">
        <v>2478</v>
      </c>
      <c r="V3015">
        <v>0</v>
      </c>
      <c r="W3015">
        <v>4</v>
      </c>
      <c r="X3015">
        <v>2015</v>
      </c>
      <c r="Z3015">
        <v>1</v>
      </c>
      <c r="AB3015">
        <v>0</v>
      </c>
      <c r="AC3015" t="s">
        <v>115</v>
      </c>
      <c r="AD3015">
        <v>3</v>
      </c>
      <c r="AE3015" t="s">
        <v>115</v>
      </c>
      <c r="AF3015">
        <v>0</v>
      </c>
      <c r="AG3015">
        <v>0</v>
      </c>
      <c r="AH3015" t="s">
        <v>116</v>
      </c>
      <c r="AI3015" s="1">
        <v>70262</v>
      </c>
      <c r="AJ3015" s="2">
        <v>0.21</v>
      </c>
      <c r="AK3015" s="1">
        <v>334943</v>
      </c>
      <c r="AL3015" t="s">
        <v>117</v>
      </c>
      <c r="AM3015" t="s">
        <v>118</v>
      </c>
      <c r="AN3015">
        <v>8400</v>
      </c>
      <c r="AO3015">
        <v>0.19</v>
      </c>
      <c r="AR3015">
        <v>1</v>
      </c>
      <c r="AS3015" s="1">
        <v>24880</v>
      </c>
      <c r="AT3015" s="1">
        <v>4970</v>
      </c>
      <c r="AU3015" s="1">
        <v>19910</v>
      </c>
      <c r="AV3015">
        <v>80.02</v>
      </c>
      <c r="AX3015" s="1">
        <v>1784.18</v>
      </c>
      <c r="AY3015" t="s">
        <v>2767</v>
      </c>
      <c r="AZ3015" t="s">
        <v>2767</v>
      </c>
      <c r="BA3015" t="s">
        <v>1247</v>
      </c>
      <c r="BE3015" s="3">
        <v>42222</v>
      </c>
      <c r="BF3015" s="1">
        <v>264681</v>
      </c>
      <c r="BG3015" t="s">
        <v>275</v>
      </c>
      <c r="BH3015" s="1">
        <v>106.81</v>
      </c>
      <c r="BI3015" s="1">
        <v>264681</v>
      </c>
      <c r="BJ3015" s="3">
        <v>42222</v>
      </c>
      <c r="BK3015" t="s">
        <v>123</v>
      </c>
      <c r="BL3015" t="str">
        <f>"2015.571158"</f>
        <v>2015.571158</v>
      </c>
      <c r="BM3015" t="s">
        <v>651</v>
      </c>
      <c r="BO3015" t="s">
        <v>19739</v>
      </c>
      <c r="BS3015">
        <v>30</v>
      </c>
      <c r="BW3015" t="str">
        <f>""</f>
        <v/>
      </c>
      <c r="CH3015" t="str">
        <f>""</f>
        <v/>
      </c>
      <c r="CS3015" t="str">
        <f>""</f>
        <v/>
      </c>
    </row>
    <row r="3016" spans="1:97" x14ac:dyDescent="0.25">
      <c r="A3016" t="s">
        <v>305</v>
      </c>
      <c r="B3016" t="s">
        <v>3385</v>
      </c>
      <c r="C3016" t="s">
        <v>3707</v>
      </c>
      <c r="D3016" t="s">
        <v>3385</v>
      </c>
      <c r="E3016" t="s">
        <v>19740</v>
      </c>
      <c r="F3016" t="s">
        <v>108</v>
      </c>
      <c r="H3016" t="s">
        <v>19741</v>
      </c>
      <c r="I3016" t="s">
        <v>5523</v>
      </c>
      <c r="J3016" t="s">
        <v>111</v>
      </c>
      <c r="K3016" t="str">
        <f>"85373"</f>
        <v>85373</v>
      </c>
      <c r="L3016" t="s">
        <v>6996</v>
      </c>
      <c r="M3016" t="s">
        <v>19741</v>
      </c>
      <c r="N3016" t="s">
        <v>5523</v>
      </c>
      <c r="O3016" t="s">
        <v>111</v>
      </c>
      <c r="P3016" t="str">
        <f>"85373-2146"</f>
        <v>85373-2146</v>
      </c>
      <c r="Q3016" t="s">
        <v>113</v>
      </c>
      <c r="R3016" t="str">
        <f>"230-07-746"</f>
        <v>230-07-746</v>
      </c>
      <c r="S3016" t="s">
        <v>19742</v>
      </c>
      <c r="U3016">
        <v>2150</v>
      </c>
      <c r="V3016">
        <v>0</v>
      </c>
      <c r="W3016">
        <v>2</v>
      </c>
      <c r="X3016">
        <v>1978</v>
      </c>
      <c r="Z3016">
        <v>1</v>
      </c>
      <c r="AB3016">
        <v>0</v>
      </c>
      <c r="AC3016" t="s">
        <v>115</v>
      </c>
      <c r="AD3016">
        <v>2</v>
      </c>
      <c r="AE3016" t="s">
        <v>115</v>
      </c>
      <c r="AF3016">
        <v>0</v>
      </c>
      <c r="AG3016">
        <v>0</v>
      </c>
      <c r="AH3016" t="s">
        <v>116</v>
      </c>
      <c r="AI3016" s="1">
        <v>62669</v>
      </c>
      <c r="AJ3016" s="2">
        <v>0.22</v>
      </c>
      <c r="AK3016" s="1">
        <v>287669</v>
      </c>
      <c r="AL3016" t="s">
        <v>117</v>
      </c>
      <c r="AM3016" t="s">
        <v>191</v>
      </c>
      <c r="AN3016">
        <v>10003</v>
      </c>
      <c r="AO3016">
        <v>0.23</v>
      </c>
      <c r="AP3016">
        <v>1</v>
      </c>
      <c r="AR3016">
        <v>1</v>
      </c>
      <c r="AS3016" s="1">
        <v>18920</v>
      </c>
      <c r="AT3016" s="1">
        <v>3780</v>
      </c>
      <c r="AU3016" s="1">
        <v>15140</v>
      </c>
      <c r="AV3016">
        <v>80.02</v>
      </c>
      <c r="AX3016" s="1">
        <v>1117.78</v>
      </c>
      <c r="AY3016" t="s">
        <v>5573</v>
      </c>
      <c r="AZ3016" t="s">
        <v>5573</v>
      </c>
      <c r="BA3016" t="s">
        <v>3360</v>
      </c>
      <c r="BE3016" s="3">
        <v>42326</v>
      </c>
      <c r="BF3016" s="1">
        <v>229900</v>
      </c>
      <c r="BG3016" t="s">
        <v>19743</v>
      </c>
      <c r="BH3016" s="1">
        <v>106.93</v>
      </c>
      <c r="BI3016" s="1">
        <v>225000</v>
      </c>
      <c r="BJ3016" s="3">
        <v>42326</v>
      </c>
      <c r="BK3016" t="s">
        <v>123</v>
      </c>
      <c r="BL3016" t="str">
        <f>"2015.824725"</f>
        <v>2015.824725</v>
      </c>
      <c r="BM3016" t="s">
        <v>19744</v>
      </c>
      <c r="BO3016" t="s">
        <v>19745</v>
      </c>
      <c r="BS3016">
        <v>30</v>
      </c>
      <c r="BW3016" t="str">
        <f>""</f>
        <v/>
      </c>
      <c r="CH3016" t="str">
        <f>""</f>
        <v/>
      </c>
      <c r="CS3016" t="str">
        <f>""</f>
        <v/>
      </c>
    </row>
    <row r="3017" spans="1:97" x14ac:dyDescent="0.25">
      <c r="A3017" t="s">
        <v>19746</v>
      </c>
      <c r="B3017" t="s">
        <v>19747</v>
      </c>
      <c r="C3017" t="s">
        <v>1821</v>
      </c>
      <c r="D3017" t="s">
        <v>19747</v>
      </c>
      <c r="E3017" t="s">
        <v>19748</v>
      </c>
      <c r="F3017" t="s">
        <v>108</v>
      </c>
      <c r="H3017" t="s">
        <v>19749</v>
      </c>
      <c r="I3017" t="s">
        <v>110</v>
      </c>
      <c r="J3017" t="s">
        <v>111</v>
      </c>
      <c r="K3017" t="str">
        <f>"85224"</f>
        <v>85224</v>
      </c>
      <c r="L3017" t="s">
        <v>5228</v>
      </c>
      <c r="M3017" t="s">
        <v>19749</v>
      </c>
      <c r="N3017" t="s">
        <v>110</v>
      </c>
      <c r="O3017" t="s">
        <v>111</v>
      </c>
      <c r="P3017" t="str">
        <f>"85224-1256"</f>
        <v>85224-1256</v>
      </c>
      <c r="Q3017" t="s">
        <v>113</v>
      </c>
      <c r="R3017" t="str">
        <f>"302-78-692"</f>
        <v>302-78-692</v>
      </c>
      <c r="S3017" t="s">
        <v>19750</v>
      </c>
      <c r="T3017" t="s">
        <v>7140</v>
      </c>
      <c r="U3017">
        <v>1589</v>
      </c>
      <c r="V3017">
        <v>0</v>
      </c>
      <c r="W3017">
        <v>2</v>
      </c>
      <c r="X3017">
        <v>1984</v>
      </c>
      <c r="Z3017">
        <v>1</v>
      </c>
      <c r="AA3017" t="s">
        <v>26</v>
      </c>
      <c r="AB3017">
        <v>0</v>
      </c>
      <c r="AC3017" t="s">
        <v>115</v>
      </c>
      <c r="AD3017">
        <v>2</v>
      </c>
      <c r="AE3017" t="s">
        <v>115</v>
      </c>
      <c r="AF3017">
        <v>0</v>
      </c>
      <c r="AG3017">
        <v>0</v>
      </c>
      <c r="AH3017" t="s">
        <v>116</v>
      </c>
      <c r="AI3017" s="1">
        <v>65378</v>
      </c>
      <c r="AJ3017" s="2">
        <v>0.21</v>
      </c>
      <c r="AK3017" s="1">
        <v>305430</v>
      </c>
      <c r="AL3017" t="s">
        <v>117</v>
      </c>
      <c r="AM3017" t="s">
        <v>5077</v>
      </c>
      <c r="AN3017">
        <v>8795</v>
      </c>
      <c r="AO3017">
        <v>0.2</v>
      </c>
      <c r="AP3017">
        <v>1</v>
      </c>
      <c r="AR3017">
        <v>1</v>
      </c>
      <c r="AS3017" s="1">
        <v>21120</v>
      </c>
      <c r="AT3017" s="1">
        <v>4220</v>
      </c>
      <c r="AU3017" s="1">
        <v>16900</v>
      </c>
      <c r="AV3017">
        <v>80.02</v>
      </c>
      <c r="AX3017" s="1">
        <v>1456.94</v>
      </c>
      <c r="AY3017" t="s">
        <v>5310</v>
      </c>
      <c r="AZ3017" t="s">
        <v>5310</v>
      </c>
      <c r="BA3017" t="s">
        <v>5311</v>
      </c>
      <c r="BE3017" s="3">
        <v>42186</v>
      </c>
      <c r="BF3017" s="1">
        <v>235000</v>
      </c>
      <c r="BG3017" t="s">
        <v>19751</v>
      </c>
      <c r="BH3017" s="1">
        <v>147.88999999999999</v>
      </c>
      <c r="BI3017" s="1">
        <v>240052</v>
      </c>
      <c r="BJ3017" s="3">
        <v>42186</v>
      </c>
      <c r="BK3017" t="s">
        <v>123</v>
      </c>
      <c r="BL3017" t="str">
        <f>"2015.475198"</f>
        <v>2015.475198</v>
      </c>
      <c r="BM3017" t="s">
        <v>11327</v>
      </c>
      <c r="BO3017" t="s">
        <v>19752</v>
      </c>
      <c r="BS3017">
        <v>30</v>
      </c>
      <c r="BW3017" t="str">
        <f>""</f>
        <v/>
      </c>
      <c r="CH3017" t="str">
        <f>""</f>
        <v/>
      </c>
      <c r="CS3017" t="str">
        <f>""</f>
        <v/>
      </c>
    </row>
    <row r="3018" spans="1:97" x14ac:dyDescent="0.25">
      <c r="A3018" t="s">
        <v>4098</v>
      </c>
      <c r="B3018" t="s">
        <v>19753</v>
      </c>
      <c r="C3018" t="s">
        <v>19754</v>
      </c>
      <c r="D3018" t="s">
        <v>19755</v>
      </c>
      <c r="E3018" t="s">
        <v>19756</v>
      </c>
      <c r="F3018" t="s">
        <v>108</v>
      </c>
      <c r="H3018" t="s">
        <v>19757</v>
      </c>
      <c r="I3018" t="s">
        <v>203</v>
      </c>
      <c r="J3018" t="s">
        <v>111</v>
      </c>
      <c r="K3018" t="str">
        <f>"85295"</f>
        <v>85295</v>
      </c>
      <c r="L3018" t="s">
        <v>417</v>
      </c>
      <c r="M3018" t="s">
        <v>19757</v>
      </c>
      <c r="N3018" t="s">
        <v>203</v>
      </c>
      <c r="O3018" t="s">
        <v>111</v>
      </c>
      <c r="P3018" t="str">
        <f>"85295-9028"</f>
        <v>85295-9028</v>
      </c>
      <c r="Q3018" t="s">
        <v>113</v>
      </c>
      <c r="R3018" t="str">
        <f>"304-40-759"</f>
        <v>304-40-759</v>
      </c>
      <c r="S3018" t="s">
        <v>19758</v>
      </c>
      <c r="T3018" t="s">
        <v>19759</v>
      </c>
      <c r="U3018">
        <v>2250</v>
      </c>
      <c r="V3018">
        <v>0</v>
      </c>
      <c r="W3018">
        <v>2</v>
      </c>
      <c r="X3018">
        <v>2000</v>
      </c>
      <c r="Z3018">
        <v>2</v>
      </c>
      <c r="AB3018">
        <v>0</v>
      </c>
      <c r="AC3018" t="s">
        <v>115</v>
      </c>
      <c r="AD3018">
        <v>2</v>
      </c>
      <c r="AE3018" t="s">
        <v>115</v>
      </c>
      <c r="AF3018">
        <v>0</v>
      </c>
      <c r="AG3018">
        <v>0</v>
      </c>
      <c r="AH3018" t="s">
        <v>116</v>
      </c>
      <c r="AI3018" s="1">
        <v>71216</v>
      </c>
      <c r="AJ3018" s="2">
        <v>0.21</v>
      </c>
      <c r="AK3018" s="1">
        <v>336384</v>
      </c>
      <c r="AL3018" t="s">
        <v>117</v>
      </c>
      <c r="AM3018" t="s">
        <v>393</v>
      </c>
      <c r="AN3018">
        <v>7728</v>
      </c>
      <c r="AO3018">
        <v>0.18</v>
      </c>
      <c r="AP3018">
        <v>1</v>
      </c>
      <c r="AR3018">
        <v>1</v>
      </c>
      <c r="AS3018" s="1">
        <v>22380</v>
      </c>
      <c r="AT3018" s="1">
        <v>4470</v>
      </c>
      <c r="AU3018" s="1">
        <v>17910</v>
      </c>
      <c r="AV3018">
        <v>80.03</v>
      </c>
      <c r="AX3018" s="1">
        <v>1857.94</v>
      </c>
      <c r="AY3018" t="s">
        <v>5087</v>
      </c>
      <c r="AZ3018" t="s">
        <v>5087</v>
      </c>
      <c r="BA3018" t="s">
        <v>473</v>
      </c>
      <c r="BE3018" s="3">
        <v>42094</v>
      </c>
      <c r="BF3018" s="1">
        <v>275000</v>
      </c>
      <c r="BG3018" t="s">
        <v>19760</v>
      </c>
      <c r="BH3018" s="1">
        <v>122.22</v>
      </c>
      <c r="BI3018" s="1">
        <v>265168</v>
      </c>
      <c r="BJ3018" s="3">
        <v>42094</v>
      </c>
      <c r="BK3018" t="s">
        <v>123</v>
      </c>
      <c r="BL3018" t="str">
        <f>"2015.218829"</f>
        <v>2015.218829</v>
      </c>
      <c r="BM3018" t="s">
        <v>9499</v>
      </c>
      <c r="BO3018" t="s">
        <v>19761</v>
      </c>
      <c r="BP3018" t="s">
        <v>19762</v>
      </c>
      <c r="BS3018">
        <v>30</v>
      </c>
      <c r="BW3018" t="str">
        <f>""</f>
        <v/>
      </c>
      <c r="CH3018" t="str">
        <f>""</f>
        <v/>
      </c>
      <c r="CS3018" t="str">
        <f>""</f>
        <v/>
      </c>
    </row>
    <row r="3019" spans="1:97" x14ac:dyDescent="0.25">
      <c r="B3019" t="s">
        <v>19763</v>
      </c>
      <c r="C3019" t="s">
        <v>17987</v>
      </c>
      <c r="E3019" t="s">
        <v>19764</v>
      </c>
      <c r="F3019" t="s">
        <v>108</v>
      </c>
      <c r="H3019" t="s">
        <v>19765</v>
      </c>
      <c r="I3019" t="s">
        <v>225</v>
      </c>
      <c r="J3019" t="s">
        <v>111</v>
      </c>
      <c r="K3019" t="str">
        <f>"85212"</f>
        <v>85212</v>
      </c>
      <c r="L3019" t="s">
        <v>1569</v>
      </c>
      <c r="M3019" t="s">
        <v>19765</v>
      </c>
      <c r="N3019" t="s">
        <v>225</v>
      </c>
      <c r="O3019" t="s">
        <v>111</v>
      </c>
      <c r="P3019" t="str">
        <f>"85212-4095"</f>
        <v>85212-4095</v>
      </c>
      <c r="Q3019" t="s">
        <v>113</v>
      </c>
      <c r="R3019" t="str">
        <f>"304-33-564"</f>
        <v>304-33-564</v>
      </c>
      <c r="S3019" t="s">
        <v>17735</v>
      </c>
      <c r="T3019" t="s">
        <v>13511</v>
      </c>
      <c r="U3019">
        <v>3691</v>
      </c>
      <c r="V3019">
        <v>0</v>
      </c>
      <c r="W3019">
        <v>4</v>
      </c>
      <c r="X3019">
        <v>2003</v>
      </c>
      <c r="Z3019">
        <v>2</v>
      </c>
      <c r="AA3019" t="s">
        <v>26</v>
      </c>
      <c r="AB3019">
        <v>0</v>
      </c>
      <c r="AC3019" t="s">
        <v>115</v>
      </c>
      <c r="AD3019">
        <v>3</v>
      </c>
      <c r="AE3019" t="s">
        <v>115</v>
      </c>
      <c r="AF3019">
        <v>0</v>
      </c>
      <c r="AG3019">
        <v>0</v>
      </c>
      <c r="AH3019" t="s">
        <v>116</v>
      </c>
      <c r="AI3019" s="1">
        <v>72662</v>
      </c>
      <c r="AJ3019" s="2">
        <v>0.19</v>
      </c>
      <c r="AK3019" s="1">
        <v>382662</v>
      </c>
      <c r="AL3019" t="s">
        <v>117</v>
      </c>
      <c r="AM3019" t="s">
        <v>393</v>
      </c>
      <c r="AN3019">
        <v>8000</v>
      </c>
      <c r="AO3019">
        <v>0.18</v>
      </c>
      <c r="AP3019">
        <v>1</v>
      </c>
      <c r="AR3019">
        <v>1</v>
      </c>
      <c r="AS3019" s="1">
        <v>26720</v>
      </c>
      <c r="AT3019" s="1">
        <v>5340</v>
      </c>
      <c r="AU3019" s="1">
        <v>21380</v>
      </c>
      <c r="AV3019">
        <v>80.010000000000005</v>
      </c>
      <c r="AX3019" s="1">
        <v>2004.96</v>
      </c>
      <c r="AY3019" t="s">
        <v>776</v>
      </c>
      <c r="AZ3019" t="s">
        <v>777</v>
      </c>
      <c r="BA3019" t="s">
        <v>572</v>
      </c>
      <c r="BB3019" s="3">
        <v>43767</v>
      </c>
      <c r="BC3019" s="1">
        <v>0</v>
      </c>
      <c r="BD3019" t="s">
        <v>247</v>
      </c>
      <c r="BE3019" s="3">
        <v>42499</v>
      </c>
      <c r="BF3019" s="1">
        <v>312500</v>
      </c>
      <c r="BG3019" t="s">
        <v>10834</v>
      </c>
      <c r="BH3019" s="1">
        <v>84.67</v>
      </c>
      <c r="BI3019" s="1">
        <v>310000</v>
      </c>
      <c r="BJ3019" s="3">
        <v>42499</v>
      </c>
      <c r="BK3019" t="s">
        <v>123</v>
      </c>
      <c r="BL3019" t="str">
        <f>"2016.316708"</f>
        <v>2016.316708</v>
      </c>
      <c r="BM3019" t="s">
        <v>544</v>
      </c>
      <c r="BN3019" t="s">
        <v>545</v>
      </c>
      <c r="BO3019" t="s">
        <v>19766</v>
      </c>
      <c r="BS3019">
        <v>30</v>
      </c>
      <c r="BW3019" t="str">
        <f>""</f>
        <v/>
      </c>
      <c r="CH3019" t="str">
        <f>""</f>
        <v/>
      </c>
      <c r="CS3019" t="str">
        <f>""</f>
        <v/>
      </c>
    </row>
    <row r="3020" spans="1:97" x14ac:dyDescent="0.25">
      <c r="A3020" t="s">
        <v>996</v>
      </c>
      <c r="B3020" t="s">
        <v>19767</v>
      </c>
      <c r="C3020" t="s">
        <v>2319</v>
      </c>
      <c r="D3020" t="s">
        <v>19767</v>
      </c>
      <c r="E3020" t="s">
        <v>19768</v>
      </c>
      <c r="F3020" t="s">
        <v>108</v>
      </c>
      <c r="H3020" t="s">
        <v>19769</v>
      </c>
      <c r="I3020" t="s">
        <v>1936</v>
      </c>
      <c r="J3020" t="s">
        <v>111</v>
      </c>
      <c r="K3020" t="str">
        <f>"85254"</f>
        <v>85254</v>
      </c>
      <c r="L3020" t="s">
        <v>7626</v>
      </c>
      <c r="M3020" t="s">
        <v>19769</v>
      </c>
      <c r="N3020" t="s">
        <v>1936</v>
      </c>
      <c r="O3020" t="s">
        <v>111</v>
      </c>
      <c r="P3020" t="str">
        <f>"85254-1537"</f>
        <v>85254-1537</v>
      </c>
      <c r="Q3020" t="s">
        <v>113</v>
      </c>
      <c r="R3020" t="str">
        <f>"215-43-084"</f>
        <v>215-43-084</v>
      </c>
      <c r="S3020" t="s">
        <v>19770</v>
      </c>
      <c r="T3020" t="s">
        <v>19771</v>
      </c>
      <c r="U3020">
        <v>1174</v>
      </c>
      <c r="V3020">
        <v>0</v>
      </c>
      <c r="W3020">
        <v>3</v>
      </c>
      <c r="X3020">
        <v>1983</v>
      </c>
      <c r="Z3020">
        <v>1</v>
      </c>
      <c r="AB3020">
        <v>0</v>
      </c>
      <c r="AC3020" t="s">
        <v>115</v>
      </c>
      <c r="AD3020">
        <v>2</v>
      </c>
      <c r="AE3020" t="s">
        <v>115</v>
      </c>
      <c r="AF3020">
        <v>0</v>
      </c>
      <c r="AG3020">
        <v>0</v>
      </c>
      <c r="AH3020" t="s">
        <v>116</v>
      </c>
      <c r="AI3020" s="1">
        <v>19165</v>
      </c>
      <c r="AJ3020" s="2">
        <v>0.06</v>
      </c>
      <c r="AK3020" s="1">
        <v>332164</v>
      </c>
      <c r="AL3020" t="s">
        <v>117</v>
      </c>
      <c r="AM3020" t="s">
        <v>171</v>
      </c>
      <c r="AN3020">
        <v>15049</v>
      </c>
      <c r="AO3020">
        <v>0.34</v>
      </c>
      <c r="AP3020">
        <v>1</v>
      </c>
      <c r="AR3020">
        <v>1</v>
      </c>
      <c r="AS3020" s="1">
        <v>22360</v>
      </c>
      <c r="AT3020" s="1">
        <v>4470</v>
      </c>
      <c r="AU3020" s="1">
        <v>17890</v>
      </c>
      <c r="AV3020">
        <v>80.010000000000005</v>
      </c>
      <c r="AX3020" s="1">
        <v>1888.66</v>
      </c>
      <c r="AY3020" t="s">
        <v>19772</v>
      </c>
      <c r="AZ3020" t="s">
        <v>7739</v>
      </c>
      <c r="BA3020" t="s">
        <v>6302</v>
      </c>
      <c r="BB3020" s="3">
        <v>42828</v>
      </c>
      <c r="BD3020" t="s">
        <v>458</v>
      </c>
      <c r="BE3020" s="3">
        <v>41830</v>
      </c>
      <c r="BF3020" s="1">
        <v>228000</v>
      </c>
      <c r="BG3020" t="s">
        <v>19773</v>
      </c>
      <c r="BH3020" s="1">
        <v>194.21</v>
      </c>
      <c r="BI3020" s="1">
        <v>312999</v>
      </c>
      <c r="BJ3020" s="3">
        <v>43056</v>
      </c>
      <c r="BK3020" t="s">
        <v>123</v>
      </c>
      <c r="BL3020" t="str">
        <f>"2017.856325"</f>
        <v>2017.856325</v>
      </c>
      <c r="BM3020" t="s">
        <v>361</v>
      </c>
      <c r="BN3020">
        <v>92610</v>
      </c>
      <c r="BO3020" t="s">
        <v>19774</v>
      </c>
      <c r="BS3020">
        <v>30</v>
      </c>
      <c r="BW3020" t="str">
        <f>""</f>
        <v/>
      </c>
      <c r="CH3020" t="str">
        <f>""</f>
        <v/>
      </c>
      <c r="CS3020" t="str">
        <f>""</f>
        <v/>
      </c>
    </row>
    <row r="3021" spans="1:97" x14ac:dyDescent="0.25">
      <c r="A3021" t="s">
        <v>8540</v>
      </c>
      <c r="B3021" t="s">
        <v>19775</v>
      </c>
      <c r="E3021" t="s">
        <v>19776</v>
      </c>
      <c r="F3021" t="s">
        <v>108</v>
      </c>
      <c r="H3021" t="s">
        <v>19777</v>
      </c>
      <c r="I3021" t="s">
        <v>632</v>
      </c>
      <c r="J3021" t="s">
        <v>111</v>
      </c>
      <c r="K3021" t="str">
        <f>"85388"</f>
        <v>85388</v>
      </c>
      <c r="L3021" t="s">
        <v>9426</v>
      </c>
      <c r="M3021" t="s">
        <v>19777</v>
      </c>
      <c r="N3021" t="s">
        <v>632</v>
      </c>
      <c r="O3021" t="s">
        <v>111</v>
      </c>
      <c r="P3021" t="str">
        <f>"85388-6023"</f>
        <v>85388-6023</v>
      </c>
      <c r="Q3021" t="s">
        <v>113</v>
      </c>
      <c r="R3021" t="str">
        <f>"501-07-136"</f>
        <v>501-07-136</v>
      </c>
      <c r="S3021" t="s">
        <v>9427</v>
      </c>
      <c r="U3021">
        <v>1930</v>
      </c>
      <c r="V3021">
        <v>0</v>
      </c>
      <c r="W3021">
        <v>3</v>
      </c>
      <c r="X3021">
        <v>2007</v>
      </c>
      <c r="Z3021">
        <v>1</v>
      </c>
      <c r="AB3021">
        <v>0</v>
      </c>
      <c r="AC3021" t="s">
        <v>115</v>
      </c>
      <c r="AD3021">
        <v>2</v>
      </c>
      <c r="AE3021" t="s">
        <v>115</v>
      </c>
      <c r="AF3021">
        <v>0</v>
      </c>
      <c r="AG3021">
        <v>0</v>
      </c>
      <c r="AH3021" t="s">
        <v>116</v>
      </c>
      <c r="AI3021" s="1">
        <v>58719</v>
      </c>
      <c r="AJ3021" s="2">
        <v>0.21</v>
      </c>
      <c r="AK3021" s="1">
        <v>278136</v>
      </c>
      <c r="AL3021" t="s">
        <v>117</v>
      </c>
      <c r="AM3021" t="s">
        <v>118</v>
      </c>
      <c r="AN3021">
        <v>7403</v>
      </c>
      <c r="AO3021">
        <v>0.17</v>
      </c>
      <c r="AR3021">
        <v>1</v>
      </c>
      <c r="AS3021" s="1">
        <v>19420</v>
      </c>
      <c r="AT3021" s="1">
        <v>3880</v>
      </c>
      <c r="AU3021" s="1">
        <v>15540</v>
      </c>
      <c r="AV3021">
        <v>80.02</v>
      </c>
      <c r="AX3021" s="1">
        <v>1647.72</v>
      </c>
      <c r="AY3021" t="s">
        <v>5060</v>
      </c>
      <c r="AZ3021" t="s">
        <v>5060</v>
      </c>
      <c r="BA3021" t="s">
        <v>5061</v>
      </c>
      <c r="BB3021" s="3">
        <v>42941</v>
      </c>
      <c r="BD3021" t="s">
        <v>157</v>
      </c>
      <c r="BE3021" s="3">
        <v>41662</v>
      </c>
      <c r="BF3021" s="1">
        <v>182500</v>
      </c>
      <c r="BG3021" t="s">
        <v>19778</v>
      </c>
      <c r="BH3021" s="1">
        <v>94.56</v>
      </c>
      <c r="BI3021" s="1">
        <v>219417</v>
      </c>
      <c r="BJ3021" s="3">
        <v>42496</v>
      </c>
      <c r="BK3021" t="s">
        <v>123</v>
      </c>
      <c r="BL3021" t="str">
        <f>"2016.308931"</f>
        <v>2016.308931</v>
      </c>
      <c r="BM3021" t="s">
        <v>750</v>
      </c>
      <c r="BO3021" t="s">
        <v>19779</v>
      </c>
      <c r="BS3021">
        <v>30</v>
      </c>
      <c r="BW3021" t="str">
        <f>""</f>
        <v/>
      </c>
      <c r="CH3021" t="str">
        <f>""</f>
        <v/>
      </c>
      <c r="CS3021" t="str">
        <f>""</f>
        <v/>
      </c>
    </row>
    <row r="3022" spans="1:97" x14ac:dyDescent="0.25">
      <c r="A3022" t="s">
        <v>1774</v>
      </c>
      <c r="B3022" t="s">
        <v>19780</v>
      </c>
      <c r="C3022" t="s">
        <v>1649</v>
      </c>
      <c r="D3022" t="s">
        <v>19780</v>
      </c>
      <c r="E3022" t="s">
        <v>19781</v>
      </c>
      <c r="F3022" t="s">
        <v>108</v>
      </c>
      <c r="H3022" t="s">
        <v>19782</v>
      </c>
      <c r="I3022" t="s">
        <v>203</v>
      </c>
      <c r="J3022" t="s">
        <v>111</v>
      </c>
      <c r="K3022" t="str">
        <f>"85298"</f>
        <v>85298</v>
      </c>
      <c r="L3022" t="s">
        <v>734</v>
      </c>
      <c r="M3022" t="s">
        <v>19782</v>
      </c>
      <c r="N3022" t="s">
        <v>203</v>
      </c>
      <c r="O3022" t="s">
        <v>111</v>
      </c>
      <c r="P3022" t="str">
        <f>"85298-6890"</f>
        <v>85298-6890</v>
      </c>
      <c r="Q3022" t="s">
        <v>113</v>
      </c>
      <c r="R3022" t="str">
        <f>"304-72-429"</f>
        <v>304-72-429</v>
      </c>
      <c r="S3022" t="s">
        <v>19783</v>
      </c>
      <c r="T3022" t="s">
        <v>9237</v>
      </c>
      <c r="U3022">
        <v>2278</v>
      </c>
      <c r="V3022">
        <v>0</v>
      </c>
      <c r="W3022">
        <v>3</v>
      </c>
      <c r="X3022">
        <v>2005</v>
      </c>
      <c r="Z3022">
        <v>2</v>
      </c>
      <c r="AB3022">
        <v>0</v>
      </c>
      <c r="AC3022" t="s">
        <v>115</v>
      </c>
      <c r="AD3022">
        <v>2</v>
      </c>
      <c r="AE3022" t="s">
        <v>115</v>
      </c>
      <c r="AF3022">
        <v>0</v>
      </c>
      <c r="AG3022">
        <v>0</v>
      </c>
      <c r="AH3022" t="s">
        <v>116</v>
      </c>
      <c r="AI3022" s="1">
        <v>92807</v>
      </c>
      <c r="AJ3022" s="2">
        <v>0.25</v>
      </c>
      <c r="AK3022" s="1">
        <v>378022</v>
      </c>
      <c r="AL3022" t="s">
        <v>117</v>
      </c>
      <c r="AM3022" t="s">
        <v>393</v>
      </c>
      <c r="AN3022">
        <v>10338</v>
      </c>
      <c r="AO3022">
        <v>0.24</v>
      </c>
      <c r="AR3022">
        <v>1</v>
      </c>
      <c r="AS3022" s="1">
        <v>25620</v>
      </c>
      <c r="AT3022" s="1">
        <v>5120</v>
      </c>
      <c r="AU3022" s="1">
        <v>20500</v>
      </c>
      <c r="AV3022">
        <v>80.02</v>
      </c>
      <c r="AX3022" s="1">
        <v>2061.46</v>
      </c>
      <c r="AY3022" t="s">
        <v>302</v>
      </c>
      <c r="AZ3022" t="s">
        <v>273</v>
      </c>
      <c r="BA3022" t="s">
        <v>303</v>
      </c>
      <c r="BE3022" s="3">
        <v>42150</v>
      </c>
      <c r="BF3022" s="1">
        <v>297500</v>
      </c>
      <c r="BG3022" t="s">
        <v>19784</v>
      </c>
      <c r="BH3022" s="1">
        <v>130.6</v>
      </c>
      <c r="BI3022" s="1">
        <v>285215</v>
      </c>
      <c r="BJ3022" s="3">
        <v>42150</v>
      </c>
      <c r="BK3022" t="s">
        <v>123</v>
      </c>
      <c r="BL3022" t="str">
        <f>"2015.368742"</f>
        <v>2015.368742</v>
      </c>
      <c r="BM3022" t="s">
        <v>1760</v>
      </c>
      <c r="BO3022" t="s">
        <v>19785</v>
      </c>
      <c r="BS3022">
        <v>30</v>
      </c>
      <c r="BW3022" t="str">
        <f>""</f>
        <v/>
      </c>
      <c r="CH3022" t="str">
        <f>""</f>
        <v/>
      </c>
      <c r="CS3022" t="str">
        <f>""</f>
        <v/>
      </c>
    </row>
    <row r="3023" spans="1:97" x14ac:dyDescent="0.25">
      <c r="A3023" t="s">
        <v>2591</v>
      </c>
      <c r="B3023" t="s">
        <v>19786</v>
      </c>
      <c r="C3023" t="s">
        <v>3958</v>
      </c>
      <c r="D3023" t="s">
        <v>19786</v>
      </c>
      <c r="E3023" t="s">
        <v>19787</v>
      </c>
      <c r="F3023" t="s">
        <v>108</v>
      </c>
      <c r="H3023" t="s">
        <v>19788</v>
      </c>
      <c r="I3023" t="s">
        <v>390</v>
      </c>
      <c r="J3023" t="s">
        <v>111</v>
      </c>
      <c r="K3023" t="str">
        <f>"85051"</f>
        <v>85051</v>
      </c>
      <c r="L3023" t="s">
        <v>7116</v>
      </c>
      <c r="M3023" t="s">
        <v>19788</v>
      </c>
      <c r="N3023" t="s">
        <v>390</v>
      </c>
      <c r="O3023" t="s">
        <v>111</v>
      </c>
      <c r="P3023" t="str">
        <f>"85051-3674"</f>
        <v>85051-3674</v>
      </c>
      <c r="Q3023" t="s">
        <v>113</v>
      </c>
      <c r="R3023" t="str">
        <f>"150-14-094"</f>
        <v>150-14-094</v>
      </c>
      <c r="S3023" t="s">
        <v>19789</v>
      </c>
      <c r="T3023" t="s">
        <v>19789</v>
      </c>
      <c r="U3023">
        <v>2128</v>
      </c>
      <c r="V3023">
        <v>0</v>
      </c>
      <c r="W3023">
        <v>2</v>
      </c>
      <c r="X3023">
        <v>1976</v>
      </c>
      <c r="Z3023">
        <v>1</v>
      </c>
      <c r="AA3023" t="s">
        <v>26</v>
      </c>
      <c r="AB3023">
        <v>0</v>
      </c>
      <c r="AC3023" t="s">
        <v>115</v>
      </c>
      <c r="AD3023">
        <v>2</v>
      </c>
      <c r="AE3023" t="s">
        <v>115</v>
      </c>
      <c r="AF3023">
        <v>0</v>
      </c>
      <c r="AG3023">
        <v>0</v>
      </c>
      <c r="AH3023" t="s">
        <v>116</v>
      </c>
      <c r="AI3023" s="1">
        <v>18249</v>
      </c>
      <c r="AJ3023" s="2">
        <v>7.0000000000000007E-2</v>
      </c>
      <c r="AK3023" s="1">
        <v>280631</v>
      </c>
      <c r="AL3023" t="s">
        <v>117</v>
      </c>
      <c r="AM3023" t="s">
        <v>191</v>
      </c>
      <c r="AN3023">
        <v>12650</v>
      </c>
      <c r="AO3023">
        <v>0.28999999999999998</v>
      </c>
      <c r="AP3023">
        <v>1</v>
      </c>
      <c r="AR3023">
        <v>1</v>
      </c>
      <c r="AS3023" s="1">
        <v>19880</v>
      </c>
      <c r="AT3023" s="1">
        <v>3970</v>
      </c>
      <c r="AU3023" s="1">
        <v>15910</v>
      </c>
      <c r="AV3023">
        <v>80.03</v>
      </c>
      <c r="AX3023" s="1">
        <v>1933.16</v>
      </c>
      <c r="AY3023" t="s">
        <v>19790</v>
      </c>
      <c r="AZ3023" t="s">
        <v>19791</v>
      </c>
      <c r="BA3023" t="s">
        <v>6987</v>
      </c>
      <c r="BE3023" s="3">
        <v>42391</v>
      </c>
      <c r="BF3023" s="1">
        <v>217000</v>
      </c>
      <c r="BG3023" t="s">
        <v>19792</v>
      </c>
      <c r="BH3023" s="1">
        <v>109.54</v>
      </c>
      <c r="BI3023" s="1">
        <v>262382</v>
      </c>
      <c r="BJ3023" s="3">
        <v>43558</v>
      </c>
      <c r="BK3023" t="s">
        <v>123</v>
      </c>
      <c r="BL3023" t="str">
        <f>"2019.233096"</f>
        <v>2019.233096</v>
      </c>
      <c r="BM3023" t="s">
        <v>248</v>
      </c>
      <c r="BN3023" t="s">
        <v>249</v>
      </c>
      <c r="BO3023" t="s">
        <v>19793</v>
      </c>
      <c r="BP3023" t="s">
        <v>19794</v>
      </c>
      <c r="BR3023" t="s">
        <v>139</v>
      </c>
      <c r="BW3023" t="str">
        <f>""</f>
        <v/>
      </c>
      <c r="CH3023" t="str">
        <f>""</f>
        <v/>
      </c>
      <c r="CS3023" t="str">
        <f>""</f>
        <v/>
      </c>
    </row>
    <row r="3024" spans="1:97" x14ac:dyDescent="0.25">
      <c r="A3024" t="s">
        <v>489</v>
      </c>
      <c r="B3024" t="s">
        <v>19795</v>
      </c>
      <c r="C3024" t="s">
        <v>701</v>
      </c>
      <c r="D3024" t="s">
        <v>1455</v>
      </c>
      <c r="E3024" t="s">
        <v>19796</v>
      </c>
      <c r="F3024" t="s">
        <v>108</v>
      </c>
      <c r="H3024" t="s">
        <v>19797</v>
      </c>
      <c r="I3024" t="s">
        <v>632</v>
      </c>
      <c r="J3024" t="s">
        <v>111</v>
      </c>
      <c r="K3024" t="str">
        <f>"85379"</f>
        <v>85379</v>
      </c>
      <c r="L3024" t="s">
        <v>6416</v>
      </c>
      <c r="M3024" t="s">
        <v>19797</v>
      </c>
      <c r="N3024" t="s">
        <v>632</v>
      </c>
      <c r="O3024" t="s">
        <v>111</v>
      </c>
      <c r="P3024" t="str">
        <f>"85379-4220"</f>
        <v>85379-4220</v>
      </c>
      <c r="Q3024" t="s">
        <v>113</v>
      </c>
      <c r="R3024" t="str">
        <f>"509-08-589"</f>
        <v>509-08-589</v>
      </c>
      <c r="S3024" t="s">
        <v>6417</v>
      </c>
      <c r="U3024">
        <v>2567</v>
      </c>
      <c r="V3024">
        <v>0</v>
      </c>
      <c r="W3024">
        <v>4</v>
      </c>
      <c r="X3024">
        <v>2013</v>
      </c>
      <c r="Z3024">
        <v>2</v>
      </c>
      <c r="AB3024">
        <v>0</v>
      </c>
      <c r="AC3024" t="s">
        <v>115</v>
      </c>
      <c r="AD3024">
        <v>2</v>
      </c>
      <c r="AE3024" t="s">
        <v>115</v>
      </c>
      <c r="AF3024">
        <v>0</v>
      </c>
      <c r="AG3024">
        <v>0</v>
      </c>
      <c r="AH3024" t="s">
        <v>116</v>
      </c>
      <c r="AI3024" s="1">
        <v>21226</v>
      </c>
      <c r="AJ3024" s="2">
        <v>0.06</v>
      </c>
      <c r="AK3024" s="1">
        <v>342500</v>
      </c>
      <c r="AL3024" t="s">
        <v>117</v>
      </c>
      <c r="AM3024" t="s">
        <v>118</v>
      </c>
      <c r="AN3024">
        <v>9768</v>
      </c>
      <c r="AO3024">
        <v>0.22</v>
      </c>
      <c r="AR3024">
        <v>1</v>
      </c>
      <c r="AS3024" s="1">
        <v>25730</v>
      </c>
      <c r="AT3024" s="1">
        <v>5140</v>
      </c>
      <c r="AU3024" s="1">
        <v>20590</v>
      </c>
      <c r="AV3024">
        <v>80.02</v>
      </c>
      <c r="AX3024" s="1">
        <v>2867</v>
      </c>
      <c r="AY3024" t="s">
        <v>634</v>
      </c>
      <c r="AZ3024" t="s">
        <v>634</v>
      </c>
      <c r="BA3024" t="s">
        <v>635</v>
      </c>
      <c r="BE3024" s="3">
        <v>41788</v>
      </c>
      <c r="BF3024" s="1">
        <v>311011</v>
      </c>
      <c r="BG3024" t="s">
        <v>158</v>
      </c>
      <c r="BH3024" s="1">
        <v>121.16</v>
      </c>
      <c r="BI3024" s="1">
        <v>321274</v>
      </c>
      <c r="BJ3024" s="3">
        <v>41788</v>
      </c>
      <c r="BK3024" t="s">
        <v>123</v>
      </c>
      <c r="BL3024" t="str">
        <f>"2014.349059"</f>
        <v>2014.349059</v>
      </c>
      <c r="BM3024" t="s">
        <v>241</v>
      </c>
      <c r="BO3024" t="s">
        <v>19798</v>
      </c>
      <c r="BS3024">
        <v>30</v>
      </c>
      <c r="BW3024" t="str">
        <f>""</f>
        <v/>
      </c>
      <c r="CH3024" t="str">
        <f>""</f>
        <v/>
      </c>
      <c r="CS3024" t="str">
        <f>""</f>
        <v/>
      </c>
    </row>
    <row r="3025" spans="1:97" x14ac:dyDescent="0.25">
      <c r="A3025" t="s">
        <v>8500</v>
      </c>
      <c r="B3025" t="s">
        <v>19799</v>
      </c>
      <c r="E3025" t="s">
        <v>19800</v>
      </c>
      <c r="F3025" t="s">
        <v>282</v>
      </c>
      <c r="H3025" t="s">
        <v>19801</v>
      </c>
      <c r="I3025" t="s">
        <v>390</v>
      </c>
      <c r="J3025" t="s">
        <v>111</v>
      </c>
      <c r="K3025" t="str">
        <f>"85032"</f>
        <v>85032</v>
      </c>
      <c r="L3025" t="s">
        <v>6691</v>
      </c>
      <c r="M3025" t="s">
        <v>19802</v>
      </c>
      <c r="N3025" t="s">
        <v>2874</v>
      </c>
      <c r="O3025" t="s">
        <v>111</v>
      </c>
      <c r="P3025" t="str">
        <f>"85304-3511"</f>
        <v>85304-3511</v>
      </c>
      <c r="Q3025" t="s">
        <v>113</v>
      </c>
      <c r="R3025" t="str">
        <f>"215-13-156"</f>
        <v>215-13-156</v>
      </c>
      <c r="S3025" t="s">
        <v>11021</v>
      </c>
      <c r="T3025" t="s">
        <v>11022</v>
      </c>
      <c r="U3025">
        <v>1579</v>
      </c>
      <c r="V3025">
        <v>0</v>
      </c>
      <c r="W3025">
        <v>2</v>
      </c>
      <c r="X3025">
        <v>1972</v>
      </c>
      <c r="Z3025">
        <v>1</v>
      </c>
      <c r="AB3025">
        <v>0</v>
      </c>
      <c r="AC3025" t="s">
        <v>5188</v>
      </c>
      <c r="AD3025">
        <v>1</v>
      </c>
      <c r="AE3025" t="s">
        <v>5188</v>
      </c>
      <c r="AF3025">
        <v>0</v>
      </c>
      <c r="AG3025">
        <v>0</v>
      </c>
      <c r="AH3025" t="s">
        <v>116</v>
      </c>
      <c r="AI3025" s="1">
        <v>15579</v>
      </c>
      <c r="AJ3025" s="2">
        <v>0.06</v>
      </c>
      <c r="AK3025" s="1">
        <v>268664</v>
      </c>
      <c r="AL3025" t="s">
        <v>117</v>
      </c>
      <c r="AM3025" t="s">
        <v>171</v>
      </c>
      <c r="AN3025">
        <v>8572</v>
      </c>
      <c r="AO3025">
        <v>0.2</v>
      </c>
      <c r="AP3025">
        <v>1</v>
      </c>
      <c r="AR3025">
        <v>1</v>
      </c>
      <c r="AS3025" s="1">
        <v>17820</v>
      </c>
      <c r="AT3025" s="1">
        <v>3560</v>
      </c>
      <c r="AU3025" s="1">
        <v>14260</v>
      </c>
      <c r="AV3025">
        <v>80.02</v>
      </c>
      <c r="AX3025" s="1">
        <v>1602.64</v>
      </c>
      <c r="AY3025" t="s">
        <v>1316</v>
      </c>
      <c r="AZ3025" t="s">
        <v>1317</v>
      </c>
      <c r="BA3025" t="s">
        <v>1318</v>
      </c>
      <c r="BE3025" s="3">
        <v>42116</v>
      </c>
      <c r="BF3025" s="1">
        <v>197000</v>
      </c>
      <c r="BG3025" t="s">
        <v>19803</v>
      </c>
      <c r="BH3025" s="1">
        <v>124.76</v>
      </c>
      <c r="BI3025" s="1">
        <v>253085</v>
      </c>
      <c r="BJ3025" s="3">
        <v>42681</v>
      </c>
      <c r="BK3025" t="s">
        <v>123</v>
      </c>
      <c r="BL3025" t="str">
        <f>"2016.820476"</f>
        <v>2016.820476</v>
      </c>
      <c r="BM3025" t="s">
        <v>6761</v>
      </c>
      <c r="BO3025" t="s">
        <v>19804</v>
      </c>
      <c r="BS3025">
        <v>30</v>
      </c>
      <c r="BW3025" t="str">
        <f>""</f>
        <v/>
      </c>
      <c r="CH3025" t="str">
        <f>""</f>
        <v/>
      </c>
      <c r="CS3025" t="str">
        <f>""</f>
        <v/>
      </c>
    </row>
    <row r="3026" spans="1:97" x14ac:dyDescent="0.25">
      <c r="A3026" t="s">
        <v>6778</v>
      </c>
      <c r="B3026" t="s">
        <v>1515</v>
      </c>
      <c r="E3026" t="s">
        <v>19805</v>
      </c>
      <c r="F3026" t="s">
        <v>108</v>
      </c>
      <c r="H3026" t="s">
        <v>19806</v>
      </c>
      <c r="I3026" t="s">
        <v>390</v>
      </c>
      <c r="J3026" t="s">
        <v>111</v>
      </c>
      <c r="K3026" t="str">
        <f>"85029"</f>
        <v>85029</v>
      </c>
      <c r="L3026" t="s">
        <v>5248</v>
      </c>
      <c r="M3026" t="s">
        <v>19806</v>
      </c>
      <c r="N3026" t="s">
        <v>390</v>
      </c>
      <c r="O3026" t="s">
        <v>111</v>
      </c>
      <c r="P3026" t="str">
        <f>"85029-5553"</f>
        <v>85029-5553</v>
      </c>
      <c r="Q3026" t="s">
        <v>113</v>
      </c>
      <c r="R3026" t="str">
        <f>"149-04-832"</f>
        <v>149-04-832</v>
      </c>
      <c r="S3026" t="s">
        <v>19807</v>
      </c>
      <c r="T3026" t="s">
        <v>19808</v>
      </c>
      <c r="U3026">
        <v>1878</v>
      </c>
      <c r="V3026">
        <v>0</v>
      </c>
      <c r="W3026">
        <v>3</v>
      </c>
      <c r="X3026">
        <v>1992</v>
      </c>
      <c r="Z3026">
        <v>2</v>
      </c>
      <c r="AB3026">
        <v>0</v>
      </c>
      <c r="AC3026" t="s">
        <v>115</v>
      </c>
      <c r="AD3026">
        <v>2</v>
      </c>
      <c r="AE3026" t="s">
        <v>115</v>
      </c>
      <c r="AF3026">
        <v>0</v>
      </c>
      <c r="AG3026">
        <v>0</v>
      </c>
      <c r="AH3026" t="s">
        <v>116</v>
      </c>
      <c r="AI3026" s="1">
        <v>45442</v>
      </c>
      <c r="AJ3026" s="2">
        <v>0.18</v>
      </c>
      <c r="AK3026" s="1">
        <v>251525</v>
      </c>
      <c r="AL3026" t="s">
        <v>117</v>
      </c>
      <c r="AM3026" t="s">
        <v>3345</v>
      </c>
      <c r="AN3026">
        <v>2987</v>
      </c>
      <c r="AO3026">
        <v>0.69</v>
      </c>
      <c r="AP3026">
        <v>1</v>
      </c>
      <c r="AR3026">
        <v>1</v>
      </c>
      <c r="AS3026" s="1">
        <v>16250</v>
      </c>
      <c r="AT3026" s="1">
        <v>3250</v>
      </c>
      <c r="AU3026" s="1">
        <v>13000</v>
      </c>
      <c r="AV3026">
        <v>80</v>
      </c>
      <c r="AX3026" s="1">
        <v>1107.08</v>
      </c>
      <c r="AY3026" t="s">
        <v>19809</v>
      </c>
      <c r="AZ3026" t="s">
        <v>8648</v>
      </c>
      <c r="BA3026" t="s">
        <v>8649</v>
      </c>
      <c r="BE3026" s="3">
        <v>42481</v>
      </c>
      <c r="BF3026" s="1">
        <v>199500</v>
      </c>
      <c r="BG3026" t="s">
        <v>19810</v>
      </c>
      <c r="BH3026" s="1">
        <v>106.23</v>
      </c>
      <c r="BI3026" s="1">
        <v>206083</v>
      </c>
      <c r="BJ3026" s="3">
        <v>42481</v>
      </c>
      <c r="BK3026" t="s">
        <v>123</v>
      </c>
      <c r="BL3026" t="str">
        <f>"2016.268903"</f>
        <v>2016.268903</v>
      </c>
      <c r="BM3026" t="s">
        <v>594</v>
      </c>
      <c r="BO3026" t="s">
        <v>19811</v>
      </c>
      <c r="BS3026">
        <v>30</v>
      </c>
      <c r="BW3026" t="str">
        <f>""</f>
        <v/>
      </c>
      <c r="CH3026" t="str">
        <f>""</f>
        <v/>
      </c>
      <c r="CS3026" t="str">
        <f>""</f>
        <v/>
      </c>
    </row>
    <row r="3027" spans="1:97" x14ac:dyDescent="0.25">
      <c r="A3027" t="s">
        <v>4660</v>
      </c>
      <c r="B3027" t="s">
        <v>5405</v>
      </c>
      <c r="C3027" t="s">
        <v>179</v>
      </c>
      <c r="D3027" t="s">
        <v>5405</v>
      </c>
      <c r="E3027" t="s">
        <v>19812</v>
      </c>
      <c r="F3027" t="s">
        <v>108</v>
      </c>
      <c r="H3027" t="s">
        <v>19813</v>
      </c>
      <c r="I3027" t="s">
        <v>390</v>
      </c>
      <c r="J3027" t="s">
        <v>111</v>
      </c>
      <c r="K3027" t="str">
        <f>"85022"</f>
        <v>85022</v>
      </c>
      <c r="L3027" t="s">
        <v>6003</v>
      </c>
      <c r="M3027" t="s">
        <v>19813</v>
      </c>
      <c r="N3027" t="s">
        <v>390</v>
      </c>
      <c r="O3027" t="s">
        <v>111</v>
      </c>
      <c r="P3027" t="str">
        <f>"85022-5701"</f>
        <v>85022-5701</v>
      </c>
      <c r="Q3027" t="s">
        <v>113</v>
      </c>
      <c r="R3027" t="str">
        <f>"166-19-022"</f>
        <v>166-19-022</v>
      </c>
      <c r="U3027">
        <v>1372</v>
      </c>
      <c r="V3027">
        <v>0</v>
      </c>
      <c r="W3027">
        <v>3</v>
      </c>
      <c r="X3027">
        <v>1972</v>
      </c>
      <c r="Z3027">
        <v>1</v>
      </c>
      <c r="AA3027" t="s">
        <v>26</v>
      </c>
      <c r="AB3027">
        <v>0</v>
      </c>
      <c r="AC3027" t="s">
        <v>115</v>
      </c>
      <c r="AD3027">
        <v>4</v>
      </c>
      <c r="AE3027" t="s">
        <v>115</v>
      </c>
      <c r="AF3027">
        <v>0</v>
      </c>
      <c r="AG3027">
        <v>0</v>
      </c>
      <c r="AH3027" t="s">
        <v>116</v>
      </c>
      <c r="AI3027" s="1">
        <v>-19499</v>
      </c>
      <c r="AJ3027" s="2">
        <v>-7.0000000000000007E-2</v>
      </c>
      <c r="AK3027" s="1">
        <v>280401</v>
      </c>
      <c r="AL3027" t="s">
        <v>117</v>
      </c>
      <c r="AM3027" t="s">
        <v>191</v>
      </c>
      <c r="AN3027">
        <v>21039</v>
      </c>
      <c r="AO3027">
        <v>0.48</v>
      </c>
      <c r="AP3027">
        <v>1</v>
      </c>
      <c r="AR3027">
        <v>1</v>
      </c>
      <c r="AS3027" s="1">
        <v>19820</v>
      </c>
      <c r="AT3027" s="1">
        <v>3960</v>
      </c>
      <c r="AU3027" s="1">
        <v>15860</v>
      </c>
      <c r="AV3027">
        <v>80.02</v>
      </c>
      <c r="AX3027" s="1">
        <v>1573.38</v>
      </c>
      <c r="AY3027" t="s">
        <v>5802</v>
      </c>
      <c r="AZ3027" t="s">
        <v>5489</v>
      </c>
      <c r="BA3027" t="s">
        <v>5232</v>
      </c>
      <c r="BE3027" s="3">
        <v>42549</v>
      </c>
      <c r="BF3027" s="1">
        <v>299900</v>
      </c>
      <c r="BG3027" t="s">
        <v>19814</v>
      </c>
      <c r="BH3027" s="1">
        <v>218.59</v>
      </c>
      <c r="BI3027" s="1">
        <v>299900</v>
      </c>
      <c r="BJ3027" s="3">
        <v>42549</v>
      </c>
      <c r="BK3027" t="s">
        <v>123</v>
      </c>
      <c r="BL3027" t="str">
        <f>"2016.450325"</f>
        <v>2016.450325</v>
      </c>
      <c r="BM3027" t="s">
        <v>1287</v>
      </c>
      <c r="BO3027" t="s">
        <v>19815</v>
      </c>
      <c r="BS3027">
        <v>30</v>
      </c>
      <c r="BW3027" t="str">
        <f>""</f>
        <v/>
      </c>
      <c r="CH3027" t="str">
        <f>""</f>
        <v/>
      </c>
      <c r="CS3027" t="str">
        <f>""</f>
        <v/>
      </c>
    </row>
    <row r="3028" spans="1:97" x14ac:dyDescent="0.25">
      <c r="A3028" t="s">
        <v>1594</v>
      </c>
      <c r="B3028" t="s">
        <v>19816</v>
      </c>
      <c r="E3028" t="s">
        <v>19817</v>
      </c>
      <c r="F3028" t="s">
        <v>108</v>
      </c>
      <c r="H3028" t="s">
        <v>19818</v>
      </c>
      <c r="I3028" t="s">
        <v>632</v>
      </c>
      <c r="J3028" t="s">
        <v>111</v>
      </c>
      <c r="K3028" t="str">
        <f>"85374"</f>
        <v>85374</v>
      </c>
      <c r="L3028" t="s">
        <v>5990</v>
      </c>
      <c r="M3028" t="s">
        <v>19818</v>
      </c>
      <c r="N3028" t="s">
        <v>632</v>
      </c>
      <c r="O3028" t="s">
        <v>111</v>
      </c>
      <c r="P3028" t="str">
        <f>"85374-5881"</f>
        <v>85374-5881</v>
      </c>
      <c r="Q3028" t="s">
        <v>113</v>
      </c>
      <c r="R3028" t="str">
        <f>"501-93-335"</f>
        <v>501-93-335</v>
      </c>
      <c r="S3028" t="s">
        <v>19819</v>
      </c>
      <c r="U3028">
        <v>1884</v>
      </c>
      <c r="V3028">
        <v>0</v>
      </c>
      <c r="W3028">
        <v>3</v>
      </c>
      <c r="X3028">
        <v>2000</v>
      </c>
      <c r="Z3028">
        <v>1</v>
      </c>
      <c r="AA3028" t="s">
        <v>26</v>
      </c>
      <c r="AB3028">
        <v>0</v>
      </c>
      <c r="AC3028" t="s">
        <v>115</v>
      </c>
      <c r="AD3028">
        <v>2</v>
      </c>
      <c r="AE3028" t="s">
        <v>115</v>
      </c>
      <c r="AF3028">
        <v>0</v>
      </c>
      <c r="AG3028">
        <v>0</v>
      </c>
      <c r="AH3028" t="s">
        <v>116</v>
      </c>
      <c r="AI3028" s="1">
        <v>70651</v>
      </c>
      <c r="AJ3028" s="2">
        <v>0.25</v>
      </c>
      <c r="AK3028" s="1">
        <v>287581</v>
      </c>
      <c r="AL3028" t="s">
        <v>117</v>
      </c>
      <c r="AM3028" t="s">
        <v>118</v>
      </c>
      <c r="AN3028">
        <v>10035</v>
      </c>
      <c r="AO3028">
        <v>0.23</v>
      </c>
      <c r="AP3028">
        <v>1</v>
      </c>
      <c r="AR3028">
        <v>1</v>
      </c>
      <c r="AS3028" s="1">
        <v>20110</v>
      </c>
      <c r="AT3028" s="1">
        <v>4020</v>
      </c>
      <c r="AU3028" s="1">
        <v>16090</v>
      </c>
      <c r="AV3028">
        <v>80.010000000000005</v>
      </c>
      <c r="AX3028" s="1">
        <v>1412.28</v>
      </c>
      <c r="AY3028" t="s">
        <v>5983</v>
      </c>
      <c r="AZ3028" t="s">
        <v>5983</v>
      </c>
      <c r="BA3028" t="s">
        <v>5109</v>
      </c>
      <c r="BB3028" s="3">
        <v>42856</v>
      </c>
      <c r="BD3028" t="s">
        <v>4063</v>
      </c>
      <c r="BE3028" s="3">
        <v>41652</v>
      </c>
      <c r="BF3028" s="1">
        <v>210000</v>
      </c>
      <c r="BG3028" t="s">
        <v>19820</v>
      </c>
      <c r="BH3028" s="1">
        <v>111.46</v>
      </c>
      <c r="BI3028" s="1">
        <v>216930</v>
      </c>
      <c r="BJ3028" s="3">
        <v>41652</v>
      </c>
      <c r="BK3028" t="s">
        <v>123</v>
      </c>
      <c r="BL3028" t="str">
        <f>"2014.22164"</f>
        <v>2014.22164</v>
      </c>
      <c r="BM3028" t="s">
        <v>544</v>
      </c>
      <c r="BO3028" t="s">
        <v>19821</v>
      </c>
      <c r="BP3028" t="s">
        <v>19822</v>
      </c>
      <c r="BS3028">
        <v>30</v>
      </c>
      <c r="BW3028" t="str">
        <f>""</f>
        <v/>
      </c>
      <c r="CH3028" t="str">
        <f>""</f>
        <v/>
      </c>
      <c r="CS3028" t="str">
        <f>""</f>
        <v/>
      </c>
    </row>
    <row r="3029" spans="1:97" x14ac:dyDescent="0.25">
      <c r="A3029" t="s">
        <v>639</v>
      </c>
      <c r="B3029" t="s">
        <v>19823</v>
      </c>
      <c r="E3029" t="s">
        <v>19824</v>
      </c>
      <c r="F3029" t="s">
        <v>108</v>
      </c>
      <c r="H3029" t="s">
        <v>19825</v>
      </c>
      <c r="I3029" t="s">
        <v>203</v>
      </c>
      <c r="J3029" t="s">
        <v>111</v>
      </c>
      <c r="K3029" t="str">
        <f>"85295"</f>
        <v>85295</v>
      </c>
      <c r="L3029" t="s">
        <v>5084</v>
      </c>
      <c r="M3029" t="s">
        <v>19825</v>
      </c>
      <c r="N3029" t="s">
        <v>203</v>
      </c>
      <c r="O3029" t="s">
        <v>111</v>
      </c>
      <c r="P3029" t="str">
        <f>"85295-7684"</f>
        <v>85295-7684</v>
      </c>
      <c r="Q3029" t="s">
        <v>113</v>
      </c>
      <c r="R3029" t="str">
        <f>"309-30-043"</f>
        <v>309-30-043</v>
      </c>
      <c r="S3029" t="s">
        <v>5085</v>
      </c>
      <c r="T3029" t="s">
        <v>5086</v>
      </c>
      <c r="U3029">
        <v>2345</v>
      </c>
      <c r="V3029">
        <v>0</v>
      </c>
      <c r="W3029">
        <v>3</v>
      </c>
      <c r="X3029">
        <v>2002</v>
      </c>
      <c r="Z3029">
        <v>1</v>
      </c>
      <c r="AB3029">
        <v>0</v>
      </c>
      <c r="AC3029" t="s">
        <v>115</v>
      </c>
      <c r="AD3029">
        <v>2</v>
      </c>
      <c r="AE3029" t="s">
        <v>115</v>
      </c>
      <c r="AF3029">
        <v>0</v>
      </c>
      <c r="AG3029">
        <v>0</v>
      </c>
      <c r="AH3029" t="s">
        <v>116</v>
      </c>
      <c r="AI3029" s="1">
        <v>84054</v>
      </c>
      <c r="AJ3029" s="2">
        <v>0.23</v>
      </c>
      <c r="AK3029" s="1">
        <v>371228</v>
      </c>
      <c r="AL3029" t="s">
        <v>117</v>
      </c>
      <c r="AM3029" t="s">
        <v>393</v>
      </c>
      <c r="AN3029">
        <v>8049</v>
      </c>
      <c r="AO3029">
        <v>0.18</v>
      </c>
      <c r="AP3029">
        <v>1</v>
      </c>
      <c r="AR3029">
        <v>1</v>
      </c>
      <c r="AS3029" s="1">
        <v>25360</v>
      </c>
      <c r="AT3029" s="1">
        <v>5070</v>
      </c>
      <c r="AU3029" s="1">
        <v>20290</v>
      </c>
      <c r="AV3029">
        <v>80.010000000000005</v>
      </c>
      <c r="AX3029" s="1">
        <v>2121.16</v>
      </c>
      <c r="AY3029" t="s">
        <v>5087</v>
      </c>
      <c r="AZ3029" t="s">
        <v>5087</v>
      </c>
      <c r="BA3029" t="s">
        <v>473</v>
      </c>
      <c r="BE3029" s="3">
        <v>41900</v>
      </c>
      <c r="BF3029" s="1">
        <v>278000</v>
      </c>
      <c r="BG3029" t="s">
        <v>19826</v>
      </c>
      <c r="BH3029" s="1">
        <v>118.55</v>
      </c>
      <c r="BI3029" s="1">
        <v>287174</v>
      </c>
      <c r="BJ3029" s="3">
        <v>41900</v>
      </c>
      <c r="BK3029" t="s">
        <v>123</v>
      </c>
      <c r="BL3029" t="str">
        <f>"2014.619154"</f>
        <v>2014.619154</v>
      </c>
      <c r="BM3029" t="s">
        <v>544</v>
      </c>
      <c r="BO3029" t="s">
        <v>19827</v>
      </c>
      <c r="BS3029">
        <v>30</v>
      </c>
      <c r="BW3029" t="str">
        <f>""</f>
        <v/>
      </c>
      <c r="CH3029" t="str">
        <f>""</f>
        <v/>
      </c>
      <c r="CS3029" t="str">
        <f>""</f>
        <v/>
      </c>
    </row>
    <row r="3030" spans="1:97" x14ac:dyDescent="0.25">
      <c r="A3030" t="s">
        <v>19828</v>
      </c>
      <c r="B3030" t="s">
        <v>19829</v>
      </c>
      <c r="C3030" t="s">
        <v>727</v>
      </c>
      <c r="D3030" t="s">
        <v>19830</v>
      </c>
      <c r="E3030" t="s">
        <v>19831</v>
      </c>
      <c r="F3030" t="s">
        <v>108</v>
      </c>
      <c r="H3030" t="s">
        <v>19832</v>
      </c>
      <c r="I3030" t="s">
        <v>390</v>
      </c>
      <c r="J3030" t="s">
        <v>111</v>
      </c>
      <c r="K3030" t="str">
        <f>"85032"</f>
        <v>85032</v>
      </c>
      <c r="L3030" t="s">
        <v>16284</v>
      </c>
      <c r="M3030" t="s">
        <v>19832</v>
      </c>
      <c r="N3030" t="s">
        <v>390</v>
      </c>
      <c r="O3030" t="s">
        <v>111</v>
      </c>
      <c r="P3030" t="str">
        <f>"85032-1151"</f>
        <v>85032-1151</v>
      </c>
      <c r="Q3030" t="s">
        <v>113</v>
      </c>
      <c r="R3030" t="str">
        <f>"214-02-207"</f>
        <v>214-02-207</v>
      </c>
      <c r="S3030" t="s">
        <v>18671</v>
      </c>
      <c r="T3030" t="s">
        <v>18672</v>
      </c>
      <c r="U3030">
        <v>2016</v>
      </c>
      <c r="V3030">
        <v>0</v>
      </c>
      <c r="W3030">
        <v>2</v>
      </c>
      <c r="X3030">
        <v>1985</v>
      </c>
      <c r="Z3030">
        <v>1</v>
      </c>
      <c r="AA3030" t="s">
        <v>26</v>
      </c>
      <c r="AB3030">
        <v>0</v>
      </c>
      <c r="AC3030" t="s">
        <v>115</v>
      </c>
      <c r="AD3030">
        <v>2</v>
      </c>
      <c r="AE3030" t="s">
        <v>115</v>
      </c>
      <c r="AF3030">
        <v>0</v>
      </c>
      <c r="AG3030">
        <v>0</v>
      </c>
      <c r="AH3030" t="s">
        <v>116</v>
      </c>
      <c r="AI3030" s="1">
        <v>90959</v>
      </c>
      <c r="AJ3030" s="2">
        <v>0.26</v>
      </c>
      <c r="AK3030" s="1">
        <v>352308</v>
      </c>
      <c r="AL3030" t="s">
        <v>117</v>
      </c>
      <c r="AM3030" t="s">
        <v>191</v>
      </c>
      <c r="AN3030">
        <v>9535</v>
      </c>
      <c r="AO3030">
        <v>0.22</v>
      </c>
      <c r="AP3030">
        <v>1</v>
      </c>
      <c r="AR3030">
        <v>1</v>
      </c>
      <c r="AS3030" s="1">
        <v>24430</v>
      </c>
      <c r="AT3030" s="1">
        <v>4880</v>
      </c>
      <c r="AU3030" s="1">
        <v>19550</v>
      </c>
      <c r="AV3030">
        <v>80.02</v>
      </c>
      <c r="AX3030" s="1">
        <v>1862.12</v>
      </c>
      <c r="AY3030" t="s">
        <v>16266</v>
      </c>
      <c r="AZ3030" t="s">
        <v>2550</v>
      </c>
      <c r="BA3030" t="s">
        <v>1318</v>
      </c>
      <c r="BE3030" s="3">
        <v>42157</v>
      </c>
      <c r="BF3030" s="1">
        <v>253000</v>
      </c>
      <c r="BG3030" t="s">
        <v>19833</v>
      </c>
      <c r="BH3030" s="1">
        <v>125.5</v>
      </c>
      <c r="BI3030" s="1">
        <v>261349</v>
      </c>
      <c r="BJ3030" s="3">
        <v>42157</v>
      </c>
      <c r="BK3030" t="s">
        <v>123</v>
      </c>
      <c r="BL3030" t="str">
        <f>"2015.392978"</f>
        <v>2015.392978</v>
      </c>
      <c r="BM3030" t="s">
        <v>3562</v>
      </c>
      <c r="BO3030" t="s">
        <v>19834</v>
      </c>
      <c r="BP3030" t="s">
        <v>19835</v>
      </c>
      <c r="BS3030">
        <v>30</v>
      </c>
      <c r="BW3030" t="str">
        <f>""</f>
        <v/>
      </c>
      <c r="CH3030" t="str">
        <f>""</f>
        <v/>
      </c>
      <c r="CS3030" t="str">
        <f>""</f>
        <v/>
      </c>
    </row>
    <row r="3031" spans="1:97" x14ac:dyDescent="0.25">
      <c r="A3031" t="s">
        <v>815</v>
      </c>
      <c r="B3031" t="s">
        <v>19836</v>
      </c>
      <c r="E3031" t="s">
        <v>19837</v>
      </c>
      <c r="F3031" t="s">
        <v>108</v>
      </c>
      <c r="H3031" t="s">
        <v>19838</v>
      </c>
      <c r="I3031" t="s">
        <v>225</v>
      </c>
      <c r="J3031" t="s">
        <v>111</v>
      </c>
      <c r="K3031" t="str">
        <f>"85204"</f>
        <v>85204</v>
      </c>
      <c r="L3031" t="s">
        <v>5228</v>
      </c>
      <c r="M3031" t="s">
        <v>19838</v>
      </c>
      <c r="N3031" t="s">
        <v>225</v>
      </c>
      <c r="O3031" t="s">
        <v>111</v>
      </c>
      <c r="P3031" t="str">
        <f>"85204-3010"</f>
        <v>85204-3010</v>
      </c>
      <c r="Q3031" t="s">
        <v>113</v>
      </c>
      <c r="R3031" t="str">
        <f>"140-41-642"</f>
        <v>140-41-642</v>
      </c>
      <c r="S3031" t="s">
        <v>19839</v>
      </c>
      <c r="U3031">
        <v>1428</v>
      </c>
      <c r="V3031">
        <v>0</v>
      </c>
      <c r="W3031">
        <v>3</v>
      </c>
      <c r="X3031">
        <v>1985</v>
      </c>
      <c r="Z3031">
        <v>1</v>
      </c>
      <c r="AA3031" t="s">
        <v>26</v>
      </c>
      <c r="AB3031">
        <v>0</v>
      </c>
      <c r="AC3031" t="s">
        <v>115</v>
      </c>
      <c r="AD3031">
        <v>2</v>
      </c>
      <c r="AE3031" t="s">
        <v>115</v>
      </c>
      <c r="AF3031">
        <v>0</v>
      </c>
      <c r="AG3031">
        <v>0</v>
      </c>
      <c r="AH3031" t="s">
        <v>116</v>
      </c>
      <c r="AI3031" s="1">
        <v>42157</v>
      </c>
      <c r="AJ3031" s="2">
        <v>0.15</v>
      </c>
      <c r="AK3031" s="1">
        <v>274065</v>
      </c>
      <c r="AL3031" t="s">
        <v>117</v>
      </c>
      <c r="AM3031" t="s">
        <v>393</v>
      </c>
      <c r="AN3031">
        <v>7455</v>
      </c>
      <c r="AO3031">
        <v>0.17</v>
      </c>
      <c r="AP3031">
        <v>1</v>
      </c>
      <c r="AR3031">
        <v>1</v>
      </c>
      <c r="AS3031" s="1">
        <v>18620</v>
      </c>
      <c r="AT3031" s="1">
        <v>3720</v>
      </c>
      <c r="AU3031" s="1">
        <v>14900</v>
      </c>
      <c r="AV3031">
        <v>80.02</v>
      </c>
      <c r="AX3031" s="1">
        <v>1201.1400000000001</v>
      </c>
      <c r="AY3031" t="s">
        <v>8934</v>
      </c>
      <c r="AZ3031" t="s">
        <v>5158</v>
      </c>
      <c r="BA3031" t="s">
        <v>5159</v>
      </c>
      <c r="BE3031" s="3">
        <v>42072</v>
      </c>
      <c r="BF3031" s="1">
        <v>204000</v>
      </c>
      <c r="BG3031" t="s">
        <v>19840</v>
      </c>
      <c r="BH3031" s="1">
        <v>142.86000000000001</v>
      </c>
      <c r="BI3031" s="1">
        <v>231908</v>
      </c>
      <c r="BJ3031" s="3">
        <v>42881</v>
      </c>
      <c r="BK3031" t="s">
        <v>123</v>
      </c>
      <c r="BL3031" t="str">
        <f>"2017.383753"</f>
        <v>2017.383753</v>
      </c>
      <c r="BM3031" t="s">
        <v>5534</v>
      </c>
      <c r="BO3031" t="s">
        <v>19841</v>
      </c>
      <c r="BS3031">
        <v>30</v>
      </c>
      <c r="BW3031" t="str">
        <f>""</f>
        <v/>
      </c>
      <c r="CH3031" t="str">
        <f>""</f>
        <v/>
      </c>
      <c r="CS3031" t="str">
        <f>""</f>
        <v/>
      </c>
    </row>
    <row r="3032" spans="1:97" x14ac:dyDescent="0.25">
      <c r="A3032" t="s">
        <v>9984</v>
      </c>
      <c r="B3032" t="s">
        <v>6628</v>
      </c>
      <c r="C3032" t="s">
        <v>10852</v>
      </c>
      <c r="D3032" t="s">
        <v>603</v>
      </c>
      <c r="E3032" t="s">
        <v>19842</v>
      </c>
      <c r="F3032" t="s">
        <v>108</v>
      </c>
      <c r="H3032" t="s">
        <v>19843</v>
      </c>
      <c r="I3032" t="s">
        <v>390</v>
      </c>
      <c r="J3032" t="s">
        <v>111</v>
      </c>
      <c r="K3032" t="str">
        <f>"85015"</f>
        <v>85015</v>
      </c>
      <c r="L3032" t="s">
        <v>6325</v>
      </c>
      <c r="M3032" t="s">
        <v>19843</v>
      </c>
      <c r="N3032" t="s">
        <v>390</v>
      </c>
      <c r="O3032" t="s">
        <v>111</v>
      </c>
      <c r="P3032" t="str">
        <f>"85015-5252"</f>
        <v>85015-5252</v>
      </c>
      <c r="Q3032" t="s">
        <v>113</v>
      </c>
      <c r="R3032" t="str">
        <f>"155-49-001"</f>
        <v>155-49-001</v>
      </c>
      <c r="S3032" t="s">
        <v>19844</v>
      </c>
      <c r="T3032" t="s">
        <v>19845</v>
      </c>
      <c r="U3032">
        <v>2381</v>
      </c>
      <c r="V3032">
        <v>0</v>
      </c>
      <c r="W3032">
        <v>1</v>
      </c>
      <c r="X3032">
        <v>1949</v>
      </c>
      <c r="Z3032">
        <v>1</v>
      </c>
      <c r="AA3032" t="s">
        <v>26</v>
      </c>
      <c r="AB3032">
        <v>0</v>
      </c>
      <c r="AC3032" t="s">
        <v>115</v>
      </c>
      <c r="AD3032">
        <v>1</v>
      </c>
      <c r="AE3032" t="s">
        <v>115</v>
      </c>
      <c r="AF3032">
        <v>0</v>
      </c>
      <c r="AG3032">
        <v>0</v>
      </c>
      <c r="AH3032" t="s">
        <v>116</v>
      </c>
      <c r="AI3032" s="1">
        <v>112207</v>
      </c>
      <c r="AJ3032" s="2">
        <v>0.22</v>
      </c>
      <c r="AK3032" s="1">
        <v>503221</v>
      </c>
      <c r="AL3032" t="s">
        <v>117</v>
      </c>
      <c r="AM3032" t="s">
        <v>191</v>
      </c>
      <c r="AN3032">
        <v>9091</v>
      </c>
      <c r="AO3032">
        <v>0.21</v>
      </c>
      <c r="AP3032">
        <v>1</v>
      </c>
      <c r="AR3032">
        <v>1</v>
      </c>
      <c r="AS3032" s="1">
        <v>23230</v>
      </c>
      <c r="AT3032" s="1">
        <v>4640</v>
      </c>
      <c r="AU3032" s="1">
        <v>18590</v>
      </c>
      <c r="AV3032">
        <v>80.03</v>
      </c>
      <c r="AX3032" s="1">
        <v>2446.56</v>
      </c>
      <c r="AY3032" t="s">
        <v>5468</v>
      </c>
      <c r="AZ3032" t="s">
        <v>5468</v>
      </c>
      <c r="BA3032" t="s">
        <v>5469</v>
      </c>
      <c r="BE3032" s="3">
        <v>42152</v>
      </c>
      <c r="BF3032" s="1">
        <v>386500</v>
      </c>
      <c r="BG3032" t="s">
        <v>19846</v>
      </c>
      <c r="BH3032" s="1">
        <v>162.33000000000001</v>
      </c>
      <c r="BI3032" s="1">
        <v>391014</v>
      </c>
      <c r="BJ3032" s="3">
        <v>42688</v>
      </c>
      <c r="BK3032" t="s">
        <v>123</v>
      </c>
      <c r="BL3032" t="str">
        <f>"2016.834805"</f>
        <v>2016.834805</v>
      </c>
      <c r="BM3032" t="s">
        <v>1033</v>
      </c>
      <c r="BO3032" t="s">
        <v>19847</v>
      </c>
      <c r="BP3032" t="s">
        <v>19848</v>
      </c>
      <c r="BS3032">
        <v>30</v>
      </c>
      <c r="BW3032" t="str">
        <f>""</f>
        <v/>
      </c>
      <c r="CH3032" t="str">
        <f>""</f>
        <v/>
      </c>
      <c r="CS3032" t="str">
        <f>""</f>
        <v/>
      </c>
    </row>
    <row r="3033" spans="1:97" x14ac:dyDescent="0.25">
      <c r="A3033" t="s">
        <v>589</v>
      </c>
      <c r="B3033" t="s">
        <v>19849</v>
      </c>
      <c r="C3033" t="s">
        <v>1666</v>
      </c>
      <c r="D3033" t="s">
        <v>19849</v>
      </c>
      <c r="E3033" t="s">
        <v>19850</v>
      </c>
      <c r="F3033" t="s">
        <v>108</v>
      </c>
      <c r="H3033" t="s">
        <v>19851</v>
      </c>
      <c r="I3033" t="s">
        <v>5523</v>
      </c>
      <c r="J3033" t="s">
        <v>111</v>
      </c>
      <c r="K3033" t="str">
        <f>"85373"</f>
        <v>85373</v>
      </c>
      <c r="L3033" t="s">
        <v>9006</v>
      </c>
      <c r="M3033" t="s">
        <v>19851</v>
      </c>
      <c r="N3033" t="s">
        <v>5523</v>
      </c>
      <c r="O3033" t="s">
        <v>111</v>
      </c>
      <c r="P3033" t="str">
        <f>"85373-1136"</f>
        <v>85373-1136</v>
      </c>
      <c r="Q3033" t="s">
        <v>113</v>
      </c>
      <c r="R3033" t="str">
        <f>"200-96-578"</f>
        <v>200-96-578</v>
      </c>
      <c r="S3033" t="s">
        <v>19852</v>
      </c>
      <c r="U3033">
        <v>1997</v>
      </c>
      <c r="V3033">
        <v>0</v>
      </c>
      <c r="W3033">
        <v>2</v>
      </c>
      <c r="X3033">
        <v>1977</v>
      </c>
      <c r="Z3033">
        <v>1</v>
      </c>
      <c r="AA3033" t="s">
        <v>26</v>
      </c>
      <c r="AB3033">
        <v>0</v>
      </c>
      <c r="AC3033" t="s">
        <v>115</v>
      </c>
      <c r="AD3033">
        <v>2</v>
      </c>
      <c r="AE3033" t="s">
        <v>115</v>
      </c>
      <c r="AF3033">
        <v>0</v>
      </c>
      <c r="AG3033">
        <v>0</v>
      </c>
      <c r="AH3033" t="s">
        <v>116</v>
      </c>
      <c r="AI3033" s="1">
        <v>24431</v>
      </c>
      <c r="AJ3033" s="2">
        <v>0.09</v>
      </c>
      <c r="AK3033" s="1">
        <v>280127</v>
      </c>
      <c r="AL3033" t="s">
        <v>117</v>
      </c>
      <c r="AM3033" t="s">
        <v>191</v>
      </c>
      <c r="AN3033">
        <v>9088</v>
      </c>
      <c r="AO3033">
        <v>0.21</v>
      </c>
      <c r="AP3033">
        <v>1</v>
      </c>
      <c r="AR3033">
        <v>1</v>
      </c>
      <c r="AS3033" s="1">
        <v>18900</v>
      </c>
      <c r="AT3033" s="1">
        <v>3780</v>
      </c>
      <c r="AU3033" s="1">
        <v>15120</v>
      </c>
      <c r="AV3033">
        <v>80</v>
      </c>
      <c r="AX3033" s="1">
        <v>1324.76</v>
      </c>
      <c r="AY3033" t="s">
        <v>4520</v>
      </c>
      <c r="AZ3033" t="s">
        <v>4520</v>
      </c>
      <c r="BA3033" t="s">
        <v>3360</v>
      </c>
      <c r="BE3033" s="3">
        <v>42073</v>
      </c>
      <c r="BF3033" s="1">
        <v>248500</v>
      </c>
      <c r="BG3033" t="s">
        <v>19853</v>
      </c>
      <c r="BH3033" s="1">
        <v>124.44</v>
      </c>
      <c r="BI3033" s="1">
        <v>255696</v>
      </c>
      <c r="BJ3033" s="3">
        <v>42585</v>
      </c>
      <c r="BK3033" t="s">
        <v>123</v>
      </c>
      <c r="BL3033" t="str">
        <f>"2016.550268"</f>
        <v>2016.550268</v>
      </c>
      <c r="BM3033" t="s">
        <v>402</v>
      </c>
      <c r="BO3033" t="s">
        <v>19854</v>
      </c>
      <c r="BS3033">
        <v>30</v>
      </c>
      <c r="BW3033" t="str">
        <f>""</f>
        <v/>
      </c>
      <c r="CH3033" t="str">
        <f>""</f>
        <v/>
      </c>
      <c r="CS3033" t="str">
        <f>""</f>
        <v/>
      </c>
    </row>
    <row r="3034" spans="1:97" x14ac:dyDescent="0.25">
      <c r="A3034" t="s">
        <v>1465</v>
      </c>
      <c r="B3034" t="s">
        <v>19855</v>
      </c>
      <c r="C3034" t="s">
        <v>19443</v>
      </c>
      <c r="D3034" t="s">
        <v>19855</v>
      </c>
      <c r="E3034" t="s">
        <v>19856</v>
      </c>
      <c r="F3034" t="s">
        <v>108</v>
      </c>
      <c r="H3034" t="s">
        <v>19857</v>
      </c>
      <c r="I3034" t="s">
        <v>203</v>
      </c>
      <c r="J3034" t="s">
        <v>111</v>
      </c>
      <c r="K3034" t="str">
        <f>"85234"</f>
        <v>85234</v>
      </c>
      <c r="L3034" t="s">
        <v>12877</v>
      </c>
      <c r="M3034" t="s">
        <v>19857</v>
      </c>
      <c r="N3034" t="s">
        <v>203</v>
      </c>
      <c r="O3034" t="s">
        <v>111</v>
      </c>
      <c r="P3034" t="str">
        <f>"85234-2244"</f>
        <v>85234-2244</v>
      </c>
      <c r="Q3034" t="s">
        <v>113</v>
      </c>
      <c r="R3034" t="str">
        <f>"309-26-104"</f>
        <v>309-26-104</v>
      </c>
      <c r="S3034" t="s">
        <v>19858</v>
      </c>
      <c r="U3034">
        <v>1520</v>
      </c>
      <c r="V3034">
        <v>0</v>
      </c>
      <c r="W3034">
        <v>2</v>
      </c>
      <c r="X3034">
        <v>2001</v>
      </c>
      <c r="Z3034">
        <v>1</v>
      </c>
      <c r="AB3034">
        <v>0</v>
      </c>
      <c r="AC3034" t="s">
        <v>115</v>
      </c>
      <c r="AD3034">
        <v>2</v>
      </c>
      <c r="AE3034" t="s">
        <v>115</v>
      </c>
      <c r="AF3034">
        <v>0</v>
      </c>
      <c r="AG3034">
        <v>0</v>
      </c>
      <c r="AH3034" t="s">
        <v>116</v>
      </c>
      <c r="AI3034" s="1">
        <v>66152</v>
      </c>
      <c r="AJ3034" s="2">
        <v>0.22</v>
      </c>
      <c r="AK3034" s="1">
        <v>299602</v>
      </c>
      <c r="AL3034" t="s">
        <v>117</v>
      </c>
      <c r="AM3034" t="s">
        <v>393</v>
      </c>
      <c r="AN3034">
        <v>7257</v>
      </c>
      <c r="AO3034">
        <v>0.17</v>
      </c>
      <c r="AP3034">
        <v>1</v>
      </c>
      <c r="AR3034">
        <v>1</v>
      </c>
      <c r="AS3034" s="1">
        <v>20480</v>
      </c>
      <c r="AT3034" s="1">
        <v>4090</v>
      </c>
      <c r="AU3034" s="1">
        <v>16390</v>
      </c>
      <c r="AV3034">
        <v>80.03</v>
      </c>
      <c r="AX3034" s="1">
        <v>1402.88</v>
      </c>
      <c r="AY3034" t="s">
        <v>10654</v>
      </c>
      <c r="AZ3034" t="s">
        <v>571</v>
      </c>
      <c r="BA3034" t="s">
        <v>521</v>
      </c>
      <c r="BE3034" s="3">
        <v>42258</v>
      </c>
      <c r="BF3034" s="1">
        <v>230000</v>
      </c>
      <c r="BG3034" t="s">
        <v>19859</v>
      </c>
      <c r="BH3034" s="1">
        <v>151.32</v>
      </c>
      <c r="BI3034" s="1">
        <v>233450</v>
      </c>
      <c r="BJ3034" s="3">
        <v>42258</v>
      </c>
      <c r="BK3034" t="s">
        <v>123</v>
      </c>
      <c r="BL3034" t="str">
        <f>"2015.656631"</f>
        <v>2015.656631</v>
      </c>
      <c r="BM3034" t="s">
        <v>124</v>
      </c>
      <c r="BO3034" t="s">
        <v>19860</v>
      </c>
      <c r="BS3034">
        <v>30</v>
      </c>
      <c r="BW3034" t="str">
        <f>""</f>
        <v/>
      </c>
      <c r="CH3034" t="str">
        <f>""</f>
        <v/>
      </c>
      <c r="CS3034" t="str">
        <f>""</f>
        <v/>
      </c>
    </row>
    <row r="3035" spans="1:97" x14ac:dyDescent="0.25">
      <c r="A3035" t="s">
        <v>222</v>
      </c>
      <c r="B3035" t="s">
        <v>13902</v>
      </c>
      <c r="E3035" t="s">
        <v>19861</v>
      </c>
      <c r="F3035" t="s">
        <v>282</v>
      </c>
      <c r="H3035" t="s">
        <v>19862</v>
      </c>
      <c r="I3035" t="s">
        <v>5387</v>
      </c>
      <c r="J3035" t="s">
        <v>111</v>
      </c>
      <c r="K3035" t="str">
        <f>"85282"</f>
        <v>85282</v>
      </c>
      <c r="L3035" t="s">
        <v>14926</v>
      </c>
      <c r="M3035" t="s">
        <v>19863</v>
      </c>
      <c r="N3035" t="s">
        <v>390</v>
      </c>
      <c r="O3035" t="s">
        <v>111</v>
      </c>
      <c r="P3035" t="str">
        <f>"85041-8045"</f>
        <v>85041-8045</v>
      </c>
      <c r="Q3035" t="s">
        <v>113</v>
      </c>
      <c r="R3035" t="str">
        <f>"133-57-162"</f>
        <v>133-57-162</v>
      </c>
      <c r="S3035" t="s">
        <v>19864</v>
      </c>
      <c r="T3035" t="s">
        <v>5675</v>
      </c>
      <c r="U3035">
        <v>2148</v>
      </c>
      <c r="V3035">
        <v>0</v>
      </c>
      <c r="W3035">
        <v>2</v>
      </c>
      <c r="X3035">
        <v>1963</v>
      </c>
      <c r="Z3035">
        <v>2</v>
      </c>
      <c r="AA3035" t="s">
        <v>26</v>
      </c>
      <c r="AB3035">
        <v>0</v>
      </c>
      <c r="AC3035" t="s">
        <v>115</v>
      </c>
      <c r="AD3035">
        <v>2</v>
      </c>
      <c r="AE3035" t="s">
        <v>115</v>
      </c>
      <c r="AF3035">
        <v>0</v>
      </c>
      <c r="AG3035">
        <v>0</v>
      </c>
      <c r="AH3035" t="s">
        <v>116</v>
      </c>
      <c r="AI3035" s="1">
        <v>108569</v>
      </c>
      <c r="AJ3035" s="2">
        <v>0.3</v>
      </c>
      <c r="AK3035" s="1">
        <v>361654</v>
      </c>
      <c r="AL3035" t="s">
        <v>117</v>
      </c>
      <c r="AM3035" t="s">
        <v>191</v>
      </c>
      <c r="AN3035">
        <v>7741</v>
      </c>
      <c r="AO3035">
        <v>0.18</v>
      </c>
      <c r="AP3035">
        <v>1</v>
      </c>
      <c r="AR3035">
        <v>1</v>
      </c>
      <c r="AS3035" s="1">
        <v>25160</v>
      </c>
      <c r="AT3035" s="1">
        <v>5030</v>
      </c>
      <c r="AU3035" s="1">
        <v>20130</v>
      </c>
      <c r="AV3035">
        <v>80.010000000000005</v>
      </c>
      <c r="AX3035" s="1">
        <v>2335.7600000000002</v>
      </c>
      <c r="AY3035" t="s">
        <v>9517</v>
      </c>
      <c r="AZ3035" t="s">
        <v>11073</v>
      </c>
      <c r="BA3035" t="s">
        <v>9519</v>
      </c>
      <c r="BE3035" s="3">
        <v>42438</v>
      </c>
      <c r="BF3035" s="1">
        <v>245000</v>
      </c>
      <c r="BG3035" t="s">
        <v>19865</v>
      </c>
      <c r="BH3035" s="1">
        <v>114.06</v>
      </c>
      <c r="BI3035" s="1">
        <v>253085</v>
      </c>
      <c r="BJ3035" s="3">
        <v>42438</v>
      </c>
      <c r="BK3035" t="s">
        <v>123</v>
      </c>
      <c r="BL3035" t="str">
        <f>"2016.152390"</f>
        <v>2016.152390</v>
      </c>
      <c r="BM3035" t="s">
        <v>4014</v>
      </c>
      <c r="BO3035" t="s">
        <v>19866</v>
      </c>
      <c r="BS3035">
        <v>30</v>
      </c>
      <c r="BW3035" t="str">
        <f>""</f>
        <v/>
      </c>
      <c r="CH3035" t="str">
        <f>""</f>
        <v/>
      </c>
      <c r="CS3035" t="str">
        <f>""</f>
        <v/>
      </c>
    </row>
    <row r="3036" spans="1:97" x14ac:dyDescent="0.25">
      <c r="A3036" t="s">
        <v>2148</v>
      </c>
      <c r="B3036" t="s">
        <v>19867</v>
      </c>
      <c r="C3036" t="s">
        <v>19868</v>
      </c>
      <c r="D3036" t="s">
        <v>19867</v>
      </c>
      <c r="E3036" t="s">
        <v>19869</v>
      </c>
      <c r="F3036" t="s">
        <v>108</v>
      </c>
      <c r="H3036" t="s">
        <v>19870</v>
      </c>
      <c r="I3036" t="s">
        <v>390</v>
      </c>
      <c r="J3036" t="s">
        <v>111</v>
      </c>
      <c r="K3036" t="str">
        <f>"85032"</f>
        <v>85032</v>
      </c>
      <c r="L3036" t="s">
        <v>4003</v>
      </c>
      <c r="M3036" t="s">
        <v>19870</v>
      </c>
      <c r="N3036" t="s">
        <v>390</v>
      </c>
      <c r="O3036" t="s">
        <v>111</v>
      </c>
      <c r="P3036" t="str">
        <f>"85032-4773"</f>
        <v>85032-4773</v>
      </c>
      <c r="Q3036" t="s">
        <v>113</v>
      </c>
      <c r="R3036" t="str">
        <f>"215-71-197"</f>
        <v>215-71-197</v>
      </c>
      <c r="S3036" t="s">
        <v>19871</v>
      </c>
      <c r="T3036" t="s">
        <v>13923</v>
      </c>
      <c r="U3036">
        <v>1217</v>
      </c>
      <c r="V3036">
        <v>0</v>
      </c>
      <c r="W3036">
        <v>3</v>
      </c>
      <c r="X3036">
        <v>1984</v>
      </c>
      <c r="Z3036">
        <v>1</v>
      </c>
      <c r="AA3036" t="s">
        <v>26</v>
      </c>
      <c r="AB3036">
        <v>0</v>
      </c>
      <c r="AC3036" t="s">
        <v>115</v>
      </c>
      <c r="AD3036">
        <v>2</v>
      </c>
      <c r="AE3036" t="s">
        <v>115</v>
      </c>
      <c r="AF3036">
        <v>0</v>
      </c>
      <c r="AG3036">
        <v>0</v>
      </c>
      <c r="AH3036" t="s">
        <v>116</v>
      </c>
      <c r="AI3036" s="1">
        <v>64487</v>
      </c>
      <c r="AJ3036" s="2">
        <v>0.21</v>
      </c>
      <c r="AK3036" s="1">
        <v>308632</v>
      </c>
      <c r="AL3036" t="s">
        <v>117</v>
      </c>
      <c r="AM3036" t="s">
        <v>1302</v>
      </c>
      <c r="AN3036">
        <v>11250</v>
      </c>
      <c r="AO3036">
        <v>0.26</v>
      </c>
      <c r="AP3036">
        <v>1</v>
      </c>
      <c r="AR3036">
        <v>1</v>
      </c>
      <c r="AS3036" s="1">
        <v>22570</v>
      </c>
      <c r="AT3036" s="1">
        <v>4510</v>
      </c>
      <c r="AU3036" s="1">
        <v>18060</v>
      </c>
      <c r="AV3036">
        <v>80.02</v>
      </c>
      <c r="AX3036" s="1">
        <v>1967.16</v>
      </c>
      <c r="AY3036" t="s">
        <v>1316</v>
      </c>
      <c r="AZ3036" t="s">
        <v>1317</v>
      </c>
      <c r="BA3036" t="s">
        <v>1318</v>
      </c>
      <c r="BE3036" s="3">
        <v>42438</v>
      </c>
      <c r="BF3036" s="1">
        <v>238000</v>
      </c>
      <c r="BG3036" t="s">
        <v>19872</v>
      </c>
      <c r="BH3036" s="1">
        <v>195.56</v>
      </c>
      <c r="BI3036" s="1">
        <v>244145</v>
      </c>
      <c r="BJ3036" s="3">
        <v>42641</v>
      </c>
      <c r="BK3036" t="s">
        <v>123</v>
      </c>
      <c r="BL3036" t="str">
        <f>"2016.705151"</f>
        <v>2016.705151</v>
      </c>
      <c r="BM3036" t="s">
        <v>492</v>
      </c>
      <c r="BO3036" t="s">
        <v>19873</v>
      </c>
      <c r="BS3036">
        <v>30</v>
      </c>
      <c r="BW3036" t="str">
        <f>""</f>
        <v/>
      </c>
      <c r="CH3036" t="str">
        <f>""</f>
        <v/>
      </c>
      <c r="CS3036" t="str">
        <f>""</f>
        <v/>
      </c>
    </row>
    <row r="3037" spans="1:97" x14ac:dyDescent="0.25">
      <c r="A3037" t="s">
        <v>265</v>
      </c>
      <c r="B3037" t="s">
        <v>19874</v>
      </c>
      <c r="C3037" t="s">
        <v>154</v>
      </c>
      <c r="D3037" t="s">
        <v>19874</v>
      </c>
      <c r="E3037" t="s">
        <v>19875</v>
      </c>
      <c r="F3037" t="s">
        <v>108</v>
      </c>
      <c r="H3037" t="s">
        <v>19876</v>
      </c>
      <c r="I3037" t="s">
        <v>632</v>
      </c>
      <c r="J3037" t="s">
        <v>111</v>
      </c>
      <c r="K3037" t="str">
        <f>"85379"</f>
        <v>85379</v>
      </c>
      <c r="L3037" t="s">
        <v>454</v>
      </c>
      <c r="M3037" t="s">
        <v>19876</v>
      </c>
      <c r="N3037" t="s">
        <v>632</v>
      </c>
      <c r="O3037" t="s">
        <v>111</v>
      </c>
      <c r="P3037" t="str">
        <f>"85379-1016"</f>
        <v>85379-1016</v>
      </c>
      <c r="Q3037" t="s">
        <v>113</v>
      </c>
      <c r="R3037" t="str">
        <f>"501-46-496"</f>
        <v>501-46-496</v>
      </c>
      <c r="S3037" t="s">
        <v>5319</v>
      </c>
      <c r="U3037">
        <v>2708</v>
      </c>
      <c r="V3037">
        <v>0</v>
      </c>
      <c r="W3037">
        <v>4</v>
      </c>
      <c r="X3037">
        <v>2015</v>
      </c>
      <c r="Z3037">
        <v>2</v>
      </c>
      <c r="AB3037">
        <v>0</v>
      </c>
      <c r="AC3037" t="s">
        <v>115</v>
      </c>
      <c r="AD3037">
        <v>2</v>
      </c>
      <c r="AE3037" t="s">
        <v>115</v>
      </c>
      <c r="AF3037">
        <v>0</v>
      </c>
      <c r="AG3037">
        <v>0</v>
      </c>
      <c r="AH3037" t="s">
        <v>116</v>
      </c>
      <c r="AI3037" s="1">
        <v>1160</v>
      </c>
      <c r="AJ3037" s="2">
        <v>0</v>
      </c>
      <c r="AK3037" s="1">
        <v>316160</v>
      </c>
      <c r="AL3037" t="s">
        <v>117</v>
      </c>
      <c r="AM3037" t="s">
        <v>118</v>
      </c>
      <c r="AN3037">
        <v>6670</v>
      </c>
      <c r="AO3037">
        <v>0.15</v>
      </c>
      <c r="AR3037">
        <v>1</v>
      </c>
      <c r="AS3037" s="1">
        <v>21760</v>
      </c>
      <c r="AT3037" s="1">
        <v>4350</v>
      </c>
      <c r="AU3037" s="1">
        <v>17410</v>
      </c>
      <c r="AV3037">
        <v>80.010000000000005</v>
      </c>
      <c r="AX3037" s="1">
        <v>1776.18</v>
      </c>
      <c r="AY3037" t="s">
        <v>5060</v>
      </c>
      <c r="AZ3037" t="s">
        <v>5060</v>
      </c>
      <c r="BA3037" t="s">
        <v>5061</v>
      </c>
      <c r="BB3037" s="3">
        <v>42667</v>
      </c>
      <c r="BD3037" t="s">
        <v>842</v>
      </c>
      <c r="BE3037" s="3">
        <v>42223</v>
      </c>
      <c r="BF3037" s="1">
        <v>261492</v>
      </c>
      <c r="BG3037" t="s">
        <v>158</v>
      </c>
      <c r="BH3037" s="1">
        <v>96.56</v>
      </c>
      <c r="BI3037" s="1">
        <v>315000</v>
      </c>
      <c r="BJ3037" s="3">
        <v>43180</v>
      </c>
      <c r="BK3037" t="s">
        <v>123</v>
      </c>
      <c r="BL3037" t="str">
        <f>"2018.211361"</f>
        <v>2018.211361</v>
      </c>
      <c r="BM3037" t="s">
        <v>361</v>
      </c>
      <c r="BN3037" t="s">
        <v>884</v>
      </c>
      <c r="BO3037" t="s">
        <v>19877</v>
      </c>
      <c r="BP3037" t="s">
        <v>19878</v>
      </c>
      <c r="BR3037" t="s">
        <v>139</v>
      </c>
      <c r="BW3037" t="str">
        <f>""</f>
        <v/>
      </c>
      <c r="CH3037" t="str">
        <f>""</f>
        <v/>
      </c>
      <c r="CS3037" t="str">
        <f>""</f>
        <v/>
      </c>
    </row>
    <row r="3038" spans="1:97" x14ac:dyDescent="0.25">
      <c r="A3038" t="s">
        <v>12603</v>
      </c>
      <c r="B3038" t="s">
        <v>327</v>
      </c>
      <c r="C3038" t="s">
        <v>2319</v>
      </c>
      <c r="D3038" t="s">
        <v>327</v>
      </c>
      <c r="E3038" t="s">
        <v>19879</v>
      </c>
      <c r="F3038" t="s">
        <v>108</v>
      </c>
      <c r="H3038" t="s">
        <v>19880</v>
      </c>
      <c r="I3038" t="s">
        <v>499</v>
      </c>
      <c r="J3038" t="s">
        <v>111</v>
      </c>
      <c r="K3038" t="str">
        <f>"85338"</f>
        <v>85338</v>
      </c>
      <c r="L3038" t="s">
        <v>8146</v>
      </c>
      <c r="M3038" t="s">
        <v>19880</v>
      </c>
      <c r="N3038" t="s">
        <v>499</v>
      </c>
      <c r="O3038" t="s">
        <v>111</v>
      </c>
      <c r="P3038" t="str">
        <f>"85338-7476"</f>
        <v>85338-7476</v>
      </c>
      <c r="Q3038" t="s">
        <v>113</v>
      </c>
      <c r="R3038" t="str">
        <f>"502-44-123"</f>
        <v>502-44-123</v>
      </c>
      <c r="S3038" t="s">
        <v>5101</v>
      </c>
      <c r="T3038" t="s">
        <v>5102</v>
      </c>
      <c r="U3038">
        <v>2289</v>
      </c>
      <c r="V3038">
        <v>0</v>
      </c>
      <c r="W3038">
        <v>4</v>
      </c>
      <c r="X3038">
        <v>2015</v>
      </c>
      <c r="Z3038">
        <v>1</v>
      </c>
      <c r="AB3038">
        <v>0</v>
      </c>
      <c r="AC3038" t="s">
        <v>115</v>
      </c>
      <c r="AD3038">
        <v>3</v>
      </c>
      <c r="AE3038" t="s">
        <v>115</v>
      </c>
      <c r="AF3038">
        <v>0</v>
      </c>
      <c r="AG3038">
        <v>0</v>
      </c>
      <c r="AH3038" t="s">
        <v>116</v>
      </c>
      <c r="AI3038" s="1">
        <v>77608</v>
      </c>
      <c r="AJ3038" s="2">
        <v>0.24</v>
      </c>
      <c r="AK3038" s="1">
        <v>325943</v>
      </c>
      <c r="AL3038" t="s">
        <v>117</v>
      </c>
      <c r="AM3038" t="s">
        <v>118</v>
      </c>
      <c r="AN3038">
        <v>8580</v>
      </c>
      <c r="AO3038">
        <v>0.2</v>
      </c>
      <c r="AR3038">
        <v>1</v>
      </c>
      <c r="AS3038" s="1">
        <v>24310</v>
      </c>
      <c r="AT3038" s="1">
        <v>4860</v>
      </c>
      <c r="AU3038" s="1">
        <v>19450</v>
      </c>
      <c r="AV3038">
        <v>80.010000000000005</v>
      </c>
      <c r="AX3038" s="1">
        <v>1717.64</v>
      </c>
      <c r="AY3038" t="s">
        <v>2767</v>
      </c>
      <c r="AZ3038" t="s">
        <v>2767</v>
      </c>
      <c r="BA3038" t="s">
        <v>1247</v>
      </c>
      <c r="BE3038" s="3">
        <v>42160</v>
      </c>
      <c r="BF3038" s="1">
        <v>248335</v>
      </c>
      <c r="BG3038" t="s">
        <v>275</v>
      </c>
      <c r="BH3038" s="1">
        <v>108.49</v>
      </c>
      <c r="BI3038" s="1">
        <v>248335</v>
      </c>
      <c r="BJ3038" s="3">
        <v>42160</v>
      </c>
      <c r="BK3038" t="s">
        <v>123</v>
      </c>
      <c r="BL3038" t="str">
        <f>"2015.400604"</f>
        <v>2015.400604</v>
      </c>
      <c r="BM3038" t="s">
        <v>820</v>
      </c>
      <c r="BO3038" t="s">
        <v>19881</v>
      </c>
      <c r="BS3038">
        <v>30</v>
      </c>
      <c r="BW3038" t="str">
        <f>""</f>
        <v/>
      </c>
      <c r="CH3038" t="str">
        <f>""</f>
        <v/>
      </c>
      <c r="CS3038" t="str">
        <f>""</f>
        <v/>
      </c>
    </row>
    <row r="3039" spans="1:97" x14ac:dyDescent="0.25">
      <c r="A3039" t="s">
        <v>10405</v>
      </c>
      <c r="B3039" t="s">
        <v>19882</v>
      </c>
      <c r="C3039" t="s">
        <v>1210</v>
      </c>
      <c r="D3039" t="s">
        <v>19882</v>
      </c>
      <c r="E3039" t="s">
        <v>19883</v>
      </c>
      <c r="F3039" t="s">
        <v>108</v>
      </c>
      <c r="H3039" t="s">
        <v>19884</v>
      </c>
      <c r="I3039" t="s">
        <v>5387</v>
      </c>
      <c r="J3039" t="s">
        <v>111</v>
      </c>
      <c r="K3039" t="str">
        <f>"85282"</f>
        <v>85282</v>
      </c>
      <c r="L3039" t="s">
        <v>5606</v>
      </c>
      <c r="M3039" t="s">
        <v>19884</v>
      </c>
      <c r="N3039" t="s">
        <v>5387</v>
      </c>
      <c r="O3039" t="s">
        <v>111</v>
      </c>
      <c r="P3039" t="str">
        <f>"85282-6926"</f>
        <v>85282-6926</v>
      </c>
      <c r="Q3039" t="s">
        <v>113</v>
      </c>
      <c r="R3039" t="str">
        <f>"133-41-445"</f>
        <v>133-41-445</v>
      </c>
      <c r="S3039" t="s">
        <v>19885</v>
      </c>
      <c r="T3039" t="s">
        <v>12212</v>
      </c>
      <c r="U3039">
        <v>1830</v>
      </c>
      <c r="V3039">
        <v>0</v>
      </c>
      <c r="W3039">
        <v>2</v>
      </c>
      <c r="X3039">
        <v>1970</v>
      </c>
      <c r="Z3039">
        <v>1</v>
      </c>
      <c r="AA3039" t="s">
        <v>26</v>
      </c>
      <c r="AB3039">
        <v>0</v>
      </c>
      <c r="AC3039" t="s">
        <v>5188</v>
      </c>
      <c r="AD3039">
        <v>2</v>
      </c>
      <c r="AE3039" t="s">
        <v>5188</v>
      </c>
      <c r="AF3039">
        <v>0</v>
      </c>
      <c r="AG3039">
        <v>0</v>
      </c>
      <c r="AH3039" t="s">
        <v>116</v>
      </c>
      <c r="AI3039" s="1">
        <v>111668</v>
      </c>
      <c r="AJ3039" s="2">
        <v>0.34</v>
      </c>
      <c r="AK3039" s="1">
        <v>331868</v>
      </c>
      <c r="AL3039" t="s">
        <v>117</v>
      </c>
      <c r="AM3039" t="s">
        <v>191</v>
      </c>
      <c r="AN3039">
        <v>8899</v>
      </c>
      <c r="AO3039">
        <v>0.2</v>
      </c>
      <c r="AP3039">
        <v>1</v>
      </c>
      <c r="AR3039">
        <v>1</v>
      </c>
      <c r="AS3039" s="1">
        <v>22810</v>
      </c>
      <c r="AT3039" s="1">
        <v>4560</v>
      </c>
      <c r="AU3039" s="1">
        <v>18250</v>
      </c>
      <c r="AV3039">
        <v>80.010000000000005</v>
      </c>
      <c r="AX3039" s="1">
        <v>1829.66</v>
      </c>
      <c r="AY3039" t="s">
        <v>9564</v>
      </c>
      <c r="AZ3039" t="s">
        <v>11073</v>
      </c>
      <c r="BA3039" t="s">
        <v>9519</v>
      </c>
      <c r="BB3039" s="3">
        <v>42506</v>
      </c>
      <c r="BD3039" t="s">
        <v>240</v>
      </c>
      <c r="BE3039" s="3">
        <v>41772</v>
      </c>
      <c r="BF3039" s="1">
        <v>230000</v>
      </c>
      <c r="BG3039" t="s">
        <v>19886</v>
      </c>
      <c r="BH3039" s="1">
        <v>125.68</v>
      </c>
      <c r="BI3039" s="1">
        <v>220200</v>
      </c>
      <c r="BJ3039" s="3">
        <v>42506</v>
      </c>
      <c r="BK3039" t="s">
        <v>123</v>
      </c>
      <c r="BL3039" t="str">
        <f>"2016.334792"</f>
        <v>2016.334792</v>
      </c>
      <c r="BM3039" t="s">
        <v>699</v>
      </c>
      <c r="BO3039" t="s">
        <v>19887</v>
      </c>
      <c r="BS3039">
        <v>30</v>
      </c>
      <c r="BW3039" t="str">
        <f>""</f>
        <v/>
      </c>
      <c r="CH3039" t="str">
        <f>""</f>
        <v/>
      </c>
      <c r="CS3039" t="str">
        <f>""</f>
        <v/>
      </c>
    </row>
    <row r="3040" spans="1:97" x14ac:dyDescent="0.25">
      <c r="A3040" t="s">
        <v>10986</v>
      </c>
      <c r="B3040" t="s">
        <v>1920</v>
      </c>
      <c r="C3040" t="s">
        <v>6510</v>
      </c>
      <c r="D3040" t="s">
        <v>1920</v>
      </c>
      <c r="E3040" t="s">
        <v>19888</v>
      </c>
      <c r="F3040" t="s">
        <v>108</v>
      </c>
      <c r="H3040" t="s">
        <v>19889</v>
      </c>
      <c r="I3040" t="s">
        <v>225</v>
      </c>
      <c r="J3040" t="s">
        <v>111</v>
      </c>
      <c r="K3040" t="str">
        <f>"85206"</f>
        <v>85206</v>
      </c>
      <c r="L3040" t="s">
        <v>9764</v>
      </c>
      <c r="M3040" t="s">
        <v>19889</v>
      </c>
      <c r="N3040" t="s">
        <v>225</v>
      </c>
      <c r="O3040" t="s">
        <v>111</v>
      </c>
      <c r="P3040" t="str">
        <f>"85206-2135"</f>
        <v>85206-2135</v>
      </c>
      <c r="Q3040" t="s">
        <v>113</v>
      </c>
      <c r="R3040" t="str">
        <f>"140-35-067"</f>
        <v>140-35-067</v>
      </c>
      <c r="S3040" t="s">
        <v>19890</v>
      </c>
      <c r="U3040">
        <v>1333</v>
      </c>
      <c r="V3040">
        <v>0</v>
      </c>
      <c r="W3040">
        <v>2</v>
      </c>
      <c r="X3040">
        <v>1976</v>
      </c>
      <c r="Z3040">
        <v>1</v>
      </c>
      <c r="AB3040">
        <v>0</v>
      </c>
      <c r="AC3040" t="s">
        <v>115</v>
      </c>
      <c r="AD3040">
        <v>2</v>
      </c>
      <c r="AE3040" t="s">
        <v>115</v>
      </c>
      <c r="AF3040">
        <v>0</v>
      </c>
      <c r="AG3040">
        <v>0</v>
      </c>
      <c r="AH3040" t="s">
        <v>116</v>
      </c>
      <c r="AI3040" s="1">
        <v>24033</v>
      </c>
      <c r="AJ3040" s="2">
        <v>0.1</v>
      </c>
      <c r="AK3040" s="1">
        <v>229600</v>
      </c>
      <c r="AL3040" t="s">
        <v>117</v>
      </c>
      <c r="AM3040" t="s">
        <v>191</v>
      </c>
      <c r="AN3040">
        <v>6505</v>
      </c>
      <c r="AO3040">
        <v>0.15</v>
      </c>
      <c r="AP3040">
        <v>1</v>
      </c>
      <c r="AR3040">
        <v>1</v>
      </c>
      <c r="AS3040" s="1">
        <v>15070</v>
      </c>
      <c r="AT3040" s="1">
        <v>3010</v>
      </c>
      <c r="AU3040" s="1">
        <v>12060</v>
      </c>
      <c r="AV3040">
        <v>80.03</v>
      </c>
      <c r="AX3040" s="1">
        <v>1318.08</v>
      </c>
      <c r="AY3040" t="s">
        <v>230</v>
      </c>
      <c r="AZ3040" t="s">
        <v>5158</v>
      </c>
      <c r="BA3040" t="s">
        <v>5159</v>
      </c>
      <c r="BE3040" s="3">
        <v>42186</v>
      </c>
      <c r="BF3040" s="1">
        <v>157000</v>
      </c>
      <c r="BG3040" t="s">
        <v>19891</v>
      </c>
      <c r="BH3040" s="1">
        <v>117.78</v>
      </c>
      <c r="BI3040" s="1">
        <v>205567</v>
      </c>
      <c r="BJ3040" s="3">
        <v>43083</v>
      </c>
      <c r="BK3040" t="s">
        <v>123</v>
      </c>
      <c r="BL3040" t="str">
        <f>"2017.923352"</f>
        <v>2017.923352</v>
      </c>
      <c r="BM3040" t="s">
        <v>361</v>
      </c>
      <c r="BO3040" t="s">
        <v>19892</v>
      </c>
      <c r="BS3040">
        <v>31</v>
      </c>
      <c r="BW3040" t="str">
        <f>""</f>
        <v/>
      </c>
      <c r="CH3040" t="str">
        <f>""</f>
        <v/>
      </c>
      <c r="CS3040" t="str">
        <f>""</f>
        <v/>
      </c>
    </row>
    <row r="3041" spans="1:97" x14ac:dyDescent="0.25">
      <c r="A3041" t="s">
        <v>305</v>
      </c>
      <c r="B3041" t="s">
        <v>3147</v>
      </c>
      <c r="E3041" t="s">
        <v>19893</v>
      </c>
      <c r="F3041" t="s">
        <v>108</v>
      </c>
      <c r="H3041" t="s">
        <v>19894</v>
      </c>
      <c r="I3041" t="s">
        <v>499</v>
      </c>
      <c r="J3041" t="s">
        <v>111</v>
      </c>
      <c r="K3041" t="str">
        <f>"85395"</f>
        <v>85395</v>
      </c>
      <c r="L3041" t="s">
        <v>7147</v>
      </c>
      <c r="M3041" t="s">
        <v>19894</v>
      </c>
      <c r="N3041" t="s">
        <v>499</v>
      </c>
      <c r="O3041" t="s">
        <v>111</v>
      </c>
      <c r="P3041" t="str">
        <f>"85395-8444"</f>
        <v>85395-8444</v>
      </c>
      <c r="Q3041" t="s">
        <v>113</v>
      </c>
      <c r="R3041" t="str">
        <f>"508-01-379"</f>
        <v>508-01-379</v>
      </c>
      <c r="S3041" t="s">
        <v>7148</v>
      </c>
      <c r="T3041" t="s">
        <v>7149</v>
      </c>
      <c r="U3041">
        <v>2281</v>
      </c>
      <c r="V3041">
        <v>0</v>
      </c>
      <c r="W3041">
        <v>4</v>
      </c>
      <c r="X3041">
        <v>2000</v>
      </c>
      <c r="Z3041">
        <v>2</v>
      </c>
      <c r="AA3041" t="s">
        <v>26</v>
      </c>
      <c r="AB3041">
        <v>0</v>
      </c>
      <c r="AC3041" t="s">
        <v>115</v>
      </c>
      <c r="AD3041">
        <v>3</v>
      </c>
      <c r="AE3041" t="s">
        <v>115</v>
      </c>
      <c r="AF3041">
        <v>0</v>
      </c>
      <c r="AG3041">
        <v>0</v>
      </c>
      <c r="AH3041" t="s">
        <v>116</v>
      </c>
      <c r="AI3041" s="1">
        <v>81882</v>
      </c>
      <c r="AJ3041" s="2">
        <v>0.24</v>
      </c>
      <c r="AK3041" s="1">
        <v>341172</v>
      </c>
      <c r="AL3041" t="s">
        <v>117</v>
      </c>
      <c r="AM3041" t="s">
        <v>118</v>
      </c>
      <c r="AN3041">
        <v>8050</v>
      </c>
      <c r="AO3041">
        <v>0.18</v>
      </c>
      <c r="AP3041">
        <v>1</v>
      </c>
      <c r="AR3041">
        <v>1</v>
      </c>
      <c r="AS3041" s="1">
        <v>23310</v>
      </c>
      <c r="AT3041" s="1">
        <v>4660</v>
      </c>
      <c r="AU3041" s="1">
        <v>18650</v>
      </c>
      <c r="AV3041">
        <v>80.010000000000005</v>
      </c>
      <c r="AX3041" s="1">
        <v>2428.4</v>
      </c>
      <c r="AY3041" t="s">
        <v>3020</v>
      </c>
      <c r="AZ3041" t="s">
        <v>3020</v>
      </c>
      <c r="BA3041" t="s">
        <v>3154</v>
      </c>
      <c r="BE3041" s="3">
        <v>41684</v>
      </c>
      <c r="BF3041" s="1">
        <v>251000</v>
      </c>
      <c r="BG3041" t="s">
        <v>19895</v>
      </c>
      <c r="BH3041" s="1">
        <v>110.04</v>
      </c>
      <c r="BI3041" s="1">
        <v>259290</v>
      </c>
      <c r="BJ3041" s="3">
        <v>42060</v>
      </c>
      <c r="BK3041" t="s">
        <v>123</v>
      </c>
      <c r="BL3041" t="str">
        <f>"2015.123308"</f>
        <v>2015.123308</v>
      </c>
      <c r="BM3041" t="s">
        <v>820</v>
      </c>
      <c r="BO3041" t="s">
        <v>19896</v>
      </c>
      <c r="BS3041">
        <v>30</v>
      </c>
      <c r="BW3041" t="str">
        <f>""</f>
        <v/>
      </c>
      <c r="CH3041" t="str">
        <f>""</f>
        <v/>
      </c>
      <c r="CS3041" t="str">
        <f>""</f>
        <v/>
      </c>
    </row>
    <row r="3042" spans="1:97" x14ac:dyDescent="0.25">
      <c r="A3042" t="s">
        <v>15782</v>
      </c>
      <c r="B3042" t="s">
        <v>19897</v>
      </c>
      <c r="E3042" t="s">
        <v>19898</v>
      </c>
      <c r="F3042" t="s">
        <v>108</v>
      </c>
      <c r="H3042" t="s">
        <v>19899</v>
      </c>
      <c r="I3042" t="s">
        <v>5387</v>
      </c>
      <c r="J3042" t="s">
        <v>111</v>
      </c>
      <c r="K3042" t="str">
        <f>"85283"</f>
        <v>85283</v>
      </c>
      <c r="L3042" t="s">
        <v>9737</v>
      </c>
      <c r="M3042" t="s">
        <v>19899</v>
      </c>
      <c r="N3042" t="s">
        <v>5387</v>
      </c>
      <c r="O3042" t="s">
        <v>111</v>
      </c>
      <c r="P3042" t="str">
        <f>"85283-2325"</f>
        <v>85283-2325</v>
      </c>
      <c r="Q3042" t="s">
        <v>113</v>
      </c>
      <c r="R3042" t="str">
        <f>"301-01-643"</f>
        <v>301-01-643</v>
      </c>
      <c r="S3042" t="s">
        <v>9738</v>
      </c>
      <c r="T3042" t="s">
        <v>9739</v>
      </c>
      <c r="U3042">
        <v>2013</v>
      </c>
      <c r="V3042">
        <v>0</v>
      </c>
      <c r="W3042">
        <v>3</v>
      </c>
      <c r="X3042">
        <v>1974</v>
      </c>
      <c r="Z3042">
        <v>1</v>
      </c>
      <c r="AA3042" t="s">
        <v>26</v>
      </c>
      <c r="AB3042">
        <v>0</v>
      </c>
      <c r="AC3042" t="s">
        <v>5188</v>
      </c>
      <c r="AD3042">
        <v>2</v>
      </c>
      <c r="AE3042" t="s">
        <v>5188</v>
      </c>
      <c r="AF3042">
        <v>0</v>
      </c>
      <c r="AG3042">
        <v>0</v>
      </c>
      <c r="AH3042" t="s">
        <v>116</v>
      </c>
      <c r="AI3042" s="1">
        <v>61444</v>
      </c>
      <c r="AJ3042" s="2">
        <v>0.18</v>
      </c>
      <c r="AK3042" s="1">
        <v>346763</v>
      </c>
      <c r="AL3042" t="s">
        <v>117</v>
      </c>
      <c r="AM3042" t="s">
        <v>191</v>
      </c>
      <c r="AN3042">
        <v>8790</v>
      </c>
      <c r="AO3042">
        <v>0.2</v>
      </c>
      <c r="AP3042">
        <v>1</v>
      </c>
      <c r="AR3042">
        <v>1</v>
      </c>
      <c r="AS3042" s="1">
        <v>23660</v>
      </c>
      <c r="AT3042" s="1">
        <v>4730</v>
      </c>
      <c r="AU3042" s="1">
        <v>18930</v>
      </c>
      <c r="AV3042">
        <v>80.010000000000005</v>
      </c>
      <c r="AX3042" s="1">
        <v>2128.8000000000002</v>
      </c>
      <c r="AY3042" t="s">
        <v>9740</v>
      </c>
      <c r="AZ3042" t="s">
        <v>6726</v>
      </c>
      <c r="BA3042" t="s">
        <v>5392</v>
      </c>
      <c r="BE3042" s="3">
        <v>42311</v>
      </c>
      <c r="BF3042" s="1">
        <v>275000</v>
      </c>
      <c r="BG3042" t="s">
        <v>19900</v>
      </c>
      <c r="BH3042" s="1">
        <v>136.61000000000001</v>
      </c>
      <c r="BI3042" s="1">
        <v>285319</v>
      </c>
      <c r="BJ3042" s="3">
        <v>42605</v>
      </c>
      <c r="BK3042" t="s">
        <v>123</v>
      </c>
      <c r="BL3042" t="str">
        <f>"2016.604213"</f>
        <v>2016.604213</v>
      </c>
      <c r="BM3042" t="s">
        <v>4009</v>
      </c>
      <c r="BO3042" t="s">
        <v>19901</v>
      </c>
      <c r="BS3042">
        <v>30</v>
      </c>
      <c r="BW3042" t="str">
        <f>""</f>
        <v/>
      </c>
      <c r="CH3042" t="str">
        <f>""</f>
        <v/>
      </c>
      <c r="CS3042" t="str">
        <f>""</f>
        <v/>
      </c>
    </row>
    <row r="3043" spans="1:97" x14ac:dyDescent="0.25">
      <c r="A3043" t="s">
        <v>1187</v>
      </c>
      <c r="B3043" t="s">
        <v>19902</v>
      </c>
      <c r="C3043" t="s">
        <v>19903</v>
      </c>
      <c r="D3043" t="s">
        <v>19902</v>
      </c>
      <c r="E3043" t="s">
        <v>19904</v>
      </c>
      <c r="F3043" t="s">
        <v>108</v>
      </c>
      <c r="H3043" t="s">
        <v>19905</v>
      </c>
      <c r="I3043" t="s">
        <v>203</v>
      </c>
      <c r="J3043" t="s">
        <v>111</v>
      </c>
      <c r="K3043" t="str">
        <f>"85296"</f>
        <v>85296</v>
      </c>
      <c r="L3043" t="s">
        <v>2197</v>
      </c>
      <c r="M3043" t="s">
        <v>19905</v>
      </c>
      <c r="N3043" t="s">
        <v>203</v>
      </c>
      <c r="O3043" t="s">
        <v>111</v>
      </c>
      <c r="P3043" t="str">
        <f>"85296-1657"</f>
        <v>85296-1657</v>
      </c>
      <c r="Q3043" t="s">
        <v>113</v>
      </c>
      <c r="R3043" t="str">
        <f>"309-12-251"</f>
        <v>309-12-251</v>
      </c>
      <c r="S3043" t="s">
        <v>19906</v>
      </c>
      <c r="T3043" t="s">
        <v>19906</v>
      </c>
      <c r="U3043">
        <v>1466</v>
      </c>
      <c r="V3043">
        <v>0</v>
      </c>
      <c r="W3043">
        <v>3</v>
      </c>
      <c r="X3043">
        <v>1997</v>
      </c>
      <c r="Z3043">
        <v>1</v>
      </c>
      <c r="AA3043" t="s">
        <v>26</v>
      </c>
      <c r="AB3043">
        <v>0</v>
      </c>
      <c r="AC3043" t="s">
        <v>115</v>
      </c>
      <c r="AD3043">
        <v>2</v>
      </c>
      <c r="AE3043" t="s">
        <v>115</v>
      </c>
      <c r="AF3043">
        <v>0</v>
      </c>
      <c r="AG3043">
        <v>0</v>
      </c>
      <c r="AH3043" t="s">
        <v>116</v>
      </c>
      <c r="AI3043" s="1">
        <v>73342</v>
      </c>
      <c r="AJ3043" s="2">
        <v>0.25</v>
      </c>
      <c r="AK3043" s="1">
        <v>293049</v>
      </c>
      <c r="AL3043" t="s">
        <v>117</v>
      </c>
      <c r="AM3043" t="s">
        <v>393</v>
      </c>
      <c r="AN3043">
        <v>6604</v>
      </c>
      <c r="AO3043">
        <v>0.15</v>
      </c>
      <c r="AP3043">
        <v>1</v>
      </c>
      <c r="AR3043">
        <v>1</v>
      </c>
      <c r="AS3043" s="1">
        <v>21180</v>
      </c>
      <c r="AT3043" s="1">
        <v>4230</v>
      </c>
      <c r="AU3043" s="1">
        <v>16950</v>
      </c>
      <c r="AV3043">
        <v>80.03</v>
      </c>
      <c r="AX3043" s="1">
        <v>1420.1</v>
      </c>
      <c r="AY3043" t="s">
        <v>5601</v>
      </c>
      <c r="AZ3043" t="s">
        <v>5478</v>
      </c>
      <c r="BA3043" t="s">
        <v>5033</v>
      </c>
      <c r="BB3043" s="3">
        <v>42831</v>
      </c>
      <c r="BD3043" t="s">
        <v>458</v>
      </c>
      <c r="BE3043" s="3">
        <v>42118</v>
      </c>
      <c r="BF3043" s="1">
        <v>220000</v>
      </c>
      <c r="BG3043" t="s">
        <v>19907</v>
      </c>
      <c r="BH3043" s="1">
        <v>150.07</v>
      </c>
      <c r="BI3043" s="1">
        <v>219707</v>
      </c>
      <c r="BJ3043" s="3">
        <v>42643</v>
      </c>
      <c r="BK3043" t="s">
        <v>123</v>
      </c>
      <c r="BL3043" t="str">
        <f>"2016.714147"</f>
        <v>2016.714147</v>
      </c>
      <c r="BM3043" t="s">
        <v>544</v>
      </c>
      <c r="BN3043" t="s">
        <v>545</v>
      </c>
      <c r="BO3043" t="s">
        <v>19908</v>
      </c>
      <c r="BS3043">
        <v>30</v>
      </c>
      <c r="BW3043" t="str">
        <f>""</f>
        <v/>
      </c>
      <c r="CH3043" t="str">
        <f>""</f>
        <v/>
      </c>
      <c r="CS3043" t="str">
        <f>""</f>
        <v/>
      </c>
    </row>
    <row r="3044" spans="1:97" x14ac:dyDescent="0.25">
      <c r="A3044" t="s">
        <v>428</v>
      </c>
      <c r="B3044" t="s">
        <v>19909</v>
      </c>
      <c r="E3044" t="s">
        <v>19910</v>
      </c>
      <c r="F3044" t="s">
        <v>108</v>
      </c>
      <c r="H3044" t="s">
        <v>19911</v>
      </c>
      <c r="I3044" t="s">
        <v>632</v>
      </c>
      <c r="J3044" t="s">
        <v>111</v>
      </c>
      <c r="K3044" t="str">
        <f>"85374"</f>
        <v>85374</v>
      </c>
      <c r="L3044" t="s">
        <v>5514</v>
      </c>
      <c r="M3044" t="s">
        <v>19911</v>
      </c>
      <c r="N3044" t="s">
        <v>632</v>
      </c>
      <c r="O3044" t="s">
        <v>111</v>
      </c>
      <c r="P3044" t="str">
        <f>"85374-6832"</f>
        <v>85374-6832</v>
      </c>
      <c r="Q3044" t="s">
        <v>113</v>
      </c>
      <c r="R3044" t="str">
        <f>"232-39-233"</f>
        <v>232-39-233</v>
      </c>
      <c r="S3044" t="s">
        <v>19912</v>
      </c>
      <c r="U3044">
        <v>2431</v>
      </c>
      <c r="V3044">
        <v>0</v>
      </c>
      <c r="W3044">
        <v>4</v>
      </c>
      <c r="X3044">
        <v>2004</v>
      </c>
      <c r="Z3044">
        <v>2</v>
      </c>
      <c r="AA3044" t="s">
        <v>26</v>
      </c>
      <c r="AB3044">
        <v>0</v>
      </c>
      <c r="AC3044" t="s">
        <v>115</v>
      </c>
      <c r="AD3044">
        <v>3</v>
      </c>
      <c r="AE3044" t="s">
        <v>115</v>
      </c>
      <c r="AF3044">
        <v>0</v>
      </c>
      <c r="AG3044">
        <v>0</v>
      </c>
      <c r="AH3044" t="s">
        <v>116</v>
      </c>
      <c r="AI3044" s="1">
        <v>46366</v>
      </c>
      <c r="AJ3044" s="2">
        <v>0.15</v>
      </c>
      <c r="AK3044" s="1">
        <v>318366</v>
      </c>
      <c r="AL3044" t="s">
        <v>117</v>
      </c>
      <c r="AM3044" t="s">
        <v>5516</v>
      </c>
      <c r="AN3044">
        <v>6380</v>
      </c>
      <c r="AO3044">
        <v>0.15</v>
      </c>
      <c r="AR3044">
        <v>1</v>
      </c>
      <c r="AS3044" s="1">
        <v>22630</v>
      </c>
      <c r="AT3044" s="1">
        <v>4520</v>
      </c>
      <c r="AU3044" s="1">
        <v>18110</v>
      </c>
      <c r="AV3044">
        <v>80.03</v>
      </c>
      <c r="AX3044" s="1">
        <v>1649.5</v>
      </c>
      <c r="AY3044" t="s">
        <v>5517</v>
      </c>
      <c r="AZ3044" t="s">
        <v>5517</v>
      </c>
      <c r="BA3044" t="s">
        <v>5109</v>
      </c>
      <c r="BB3044" s="3">
        <v>42857</v>
      </c>
      <c r="BD3044" t="s">
        <v>4063</v>
      </c>
      <c r="BE3044" s="3">
        <v>42339</v>
      </c>
      <c r="BF3044" s="1">
        <v>273500</v>
      </c>
      <c r="BG3044" t="s">
        <v>19913</v>
      </c>
      <c r="BH3044" s="1">
        <v>112.51</v>
      </c>
      <c r="BI3044" s="1">
        <v>272000</v>
      </c>
      <c r="BJ3044" s="3">
        <v>42857</v>
      </c>
      <c r="BK3044" t="s">
        <v>123</v>
      </c>
      <c r="BL3044" t="str">
        <f>"2017.315920"</f>
        <v>2017.315920</v>
      </c>
      <c r="BM3044" t="s">
        <v>322</v>
      </c>
      <c r="BO3044" t="s">
        <v>19914</v>
      </c>
      <c r="BS3044">
        <v>30</v>
      </c>
      <c r="BW3044" t="str">
        <f>""</f>
        <v/>
      </c>
      <c r="CH3044" t="str">
        <f>""</f>
        <v/>
      </c>
      <c r="CS3044" t="str">
        <f>""</f>
        <v/>
      </c>
    </row>
    <row r="3045" spans="1:97" x14ac:dyDescent="0.25">
      <c r="A3045" t="s">
        <v>370</v>
      </c>
      <c r="B3045" t="s">
        <v>1532</v>
      </c>
      <c r="C3045" t="s">
        <v>19915</v>
      </c>
      <c r="D3045" t="s">
        <v>1532</v>
      </c>
      <c r="E3045" t="s">
        <v>19916</v>
      </c>
      <c r="F3045" t="s">
        <v>108</v>
      </c>
      <c r="H3045" t="s">
        <v>19917</v>
      </c>
      <c r="I3045" t="s">
        <v>144</v>
      </c>
      <c r="J3045" t="s">
        <v>111</v>
      </c>
      <c r="K3045" t="str">
        <f>"85326"</f>
        <v>85326</v>
      </c>
      <c r="L3045" t="s">
        <v>8146</v>
      </c>
      <c r="M3045" t="s">
        <v>19917</v>
      </c>
      <c r="N3045" t="s">
        <v>144</v>
      </c>
      <c r="O3045" t="s">
        <v>111</v>
      </c>
      <c r="P3045" t="str">
        <f>"85326-6641"</f>
        <v>85326-6641</v>
      </c>
      <c r="Q3045" t="s">
        <v>113</v>
      </c>
      <c r="R3045" t="str">
        <f>"502-35-419"</f>
        <v>502-35-419</v>
      </c>
      <c r="S3045" t="s">
        <v>10984</v>
      </c>
      <c r="U3045">
        <v>2693</v>
      </c>
      <c r="V3045">
        <v>0</v>
      </c>
      <c r="W3045">
        <v>4</v>
      </c>
      <c r="X3045">
        <v>2015</v>
      </c>
      <c r="Z3045">
        <v>2</v>
      </c>
      <c r="AB3045">
        <v>0</v>
      </c>
      <c r="AC3045" t="s">
        <v>115</v>
      </c>
      <c r="AD3045">
        <v>2</v>
      </c>
      <c r="AE3045" t="s">
        <v>115</v>
      </c>
      <c r="AF3045">
        <v>0</v>
      </c>
      <c r="AG3045">
        <v>0</v>
      </c>
      <c r="AH3045" t="s">
        <v>116</v>
      </c>
      <c r="AI3045" s="1">
        <v>82691</v>
      </c>
      <c r="AJ3045" s="2">
        <v>0.26</v>
      </c>
      <c r="AK3045" s="1">
        <v>318888</v>
      </c>
      <c r="AL3045" t="s">
        <v>117</v>
      </c>
      <c r="AM3045" t="s">
        <v>118</v>
      </c>
      <c r="AN3045">
        <v>7751</v>
      </c>
      <c r="AO3045">
        <v>0.18</v>
      </c>
      <c r="AR3045">
        <v>1</v>
      </c>
      <c r="AS3045" s="1">
        <v>21310</v>
      </c>
      <c r="AT3045" s="1">
        <v>4260</v>
      </c>
      <c r="AU3045" s="1">
        <v>17050</v>
      </c>
      <c r="AV3045">
        <v>80.010000000000005</v>
      </c>
      <c r="AX3045" s="1">
        <v>1835.38</v>
      </c>
      <c r="AY3045" t="s">
        <v>2767</v>
      </c>
      <c r="AZ3045" t="s">
        <v>2767</v>
      </c>
      <c r="BA3045" t="s">
        <v>5025</v>
      </c>
      <c r="BE3045" s="3">
        <v>42144</v>
      </c>
      <c r="BF3045" s="1">
        <v>236197</v>
      </c>
      <c r="BG3045" t="s">
        <v>749</v>
      </c>
      <c r="BH3045" s="1">
        <v>87.71</v>
      </c>
      <c r="BI3045" s="1">
        <v>236197</v>
      </c>
      <c r="BJ3045" s="3">
        <v>42144</v>
      </c>
      <c r="BK3045" t="s">
        <v>123</v>
      </c>
      <c r="BL3045" t="str">
        <f>"2015.355946"</f>
        <v>2015.355946</v>
      </c>
      <c r="BM3045" t="s">
        <v>1968</v>
      </c>
      <c r="BO3045" t="s">
        <v>19918</v>
      </c>
      <c r="BS3045">
        <v>30</v>
      </c>
      <c r="BW3045" t="str">
        <f>""</f>
        <v/>
      </c>
      <c r="CH3045" t="str">
        <f>""</f>
        <v/>
      </c>
      <c r="CS3045" t="str">
        <f>""</f>
        <v/>
      </c>
    </row>
    <row r="3046" spans="1:97" x14ac:dyDescent="0.25">
      <c r="A3046" t="s">
        <v>1272</v>
      </c>
      <c r="B3046" t="s">
        <v>19919</v>
      </c>
      <c r="E3046" t="s">
        <v>19920</v>
      </c>
      <c r="F3046" t="s">
        <v>108</v>
      </c>
      <c r="H3046" t="s">
        <v>19921</v>
      </c>
      <c r="I3046" t="s">
        <v>632</v>
      </c>
      <c r="J3046" t="s">
        <v>111</v>
      </c>
      <c r="K3046" t="str">
        <f>"85379"</f>
        <v>85379</v>
      </c>
      <c r="L3046" t="s">
        <v>6316</v>
      </c>
      <c r="M3046" t="s">
        <v>19921</v>
      </c>
      <c r="N3046" t="s">
        <v>632</v>
      </c>
      <c r="O3046" t="s">
        <v>111</v>
      </c>
      <c r="P3046" t="str">
        <f>"85379-6531"</f>
        <v>85379-6531</v>
      </c>
      <c r="Q3046" t="s">
        <v>113</v>
      </c>
      <c r="R3046" t="str">
        <f>"501-94-253"</f>
        <v>501-94-253</v>
      </c>
      <c r="S3046" t="s">
        <v>19922</v>
      </c>
      <c r="U3046">
        <v>1739</v>
      </c>
      <c r="V3046">
        <v>0</v>
      </c>
      <c r="W3046">
        <v>3</v>
      </c>
      <c r="X3046">
        <v>2001</v>
      </c>
      <c r="Z3046">
        <v>1</v>
      </c>
      <c r="AB3046">
        <v>0</v>
      </c>
      <c r="AC3046" t="s">
        <v>115</v>
      </c>
      <c r="AD3046">
        <v>2</v>
      </c>
      <c r="AE3046" t="s">
        <v>115</v>
      </c>
      <c r="AF3046">
        <v>0</v>
      </c>
      <c r="AG3046">
        <v>0</v>
      </c>
      <c r="AH3046" t="s">
        <v>116</v>
      </c>
      <c r="AI3046" s="1">
        <v>14808</v>
      </c>
      <c r="AJ3046" s="2">
        <v>0.06</v>
      </c>
      <c r="AK3046" s="1">
        <v>239708</v>
      </c>
      <c r="AL3046" t="s">
        <v>117</v>
      </c>
      <c r="AM3046" t="s">
        <v>118</v>
      </c>
      <c r="AN3046">
        <v>5500</v>
      </c>
      <c r="AO3046">
        <v>0.13</v>
      </c>
      <c r="AP3046">
        <v>1</v>
      </c>
      <c r="AR3046">
        <v>1</v>
      </c>
      <c r="AS3046" s="1">
        <v>16070</v>
      </c>
      <c r="AT3046" s="1">
        <v>3210</v>
      </c>
      <c r="AU3046" s="1">
        <v>12860</v>
      </c>
      <c r="AV3046">
        <v>80.02</v>
      </c>
      <c r="AX3046" s="1">
        <v>1134.28</v>
      </c>
      <c r="AY3046" t="s">
        <v>9749</v>
      </c>
      <c r="AZ3046" t="s">
        <v>9749</v>
      </c>
      <c r="BA3046" t="s">
        <v>321</v>
      </c>
      <c r="BE3046" s="3">
        <v>42185</v>
      </c>
      <c r="BF3046" s="1">
        <v>169900</v>
      </c>
      <c r="BG3046" t="s">
        <v>19923</v>
      </c>
      <c r="BH3046" s="1">
        <v>97.7</v>
      </c>
      <c r="BI3046" s="1">
        <v>224900</v>
      </c>
      <c r="BJ3046" s="3">
        <v>43524</v>
      </c>
      <c r="BK3046" t="s">
        <v>123</v>
      </c>
      <c r="BL3046" t="str">
        <f>"2019.139093"</f>
        <v>2019.139093</v>
      </c>
      <c r="BM3046" t="s">
        <v>460</v>
      </c>
      <c r="BN3046" t="s">
        <v>461</v>
      </c>
      <c r="BO3046" t="s">
        <v>19920</v>
      </c>
      <c r="BR3046" t="s">
        <v>139</v>
      </c>
      <c r="BW3046" t="str">
        <f>""</f>
        <v/>
      </c>
      <c r="CH3046" t="str">
        <f>""</f>
        <v/>
      </c>
      <c r="CS3046" t="str">
        <f>""</f>
        <v/>
      </c>
    </row>
    <row r="3047" spans="1:97" x14ac:dyDescent="0.25">
      <c r="A3047" t="s">
        <v>7263</v>
      </c>
      <c r="B3047" t="s">
        <v>4262</v>
      </c>
      <c r="C3047" t="s">
        <v>365</v>
      </c>
      <c r="D3047" t="s">
        <v>4262</v>
      </c>
      <c r="E3047" t="s">
        <v>19924</v>
      </c>
      <c r="F3047" t="s">
        <v>108</v>
      </c>
      <c r="H3047" t="s">
        <v>19925</v>
      </c>
      <c r="I3047" t="s">
        <v>144</v>
      </c>
      <c r="J3047" t="s">
        <v>111</v>
      </c>
      <c r="K3047" t="str">
        <f>"85396"</f>
        <v>85396</v>
      </c>
      <c r="L3047" t="s">
        <v>9496</v>
      </c>
      <c r="M3047" t="s">
        <v>19925</v>
      </c>
      <c r="N3047" t="s">
        <v>144</v>
      </c>
      <c r="O3047" t="s">
        <v>111</v>
      </c>
      <c r="P3047" t="str">
        <f>"85396-6943"</f>
        <v>85396-6943</v>
      </c>
      <c r="Q3047" t="s">
        <v>113</v>
      </c>
      <c r="R3047" t="str">
        <f>"503-96-461"</f>
        <v>503-96-461</v>
      </c>
      <c r="S3047" t="s">
        <v>19926</v>
      </c>
      <c r="U3047">
        <v>1612</v>
      </c>
      <c r="V3047">
        <v>0</v>
      </c>
      <c r="W3047">
        <v>3</v>
      </c>
      <c r="X3047">
        <v>2007</v>
      </c>
      <c r="Z3047">
        <v>1</v>
      </c>
      <c r="AB3047">
        <v>0</v>
      </c>
      <c r="AC3047" t="s">
        <v>115</v>
      </c>
      <c r="AD3047">
        <v>3</v>
      </c>
      <c r="AE3047" t="s">
        <v>115</v>
      </c>
      <c r="AF3047">
        <v>0</v>
      </c>
      <c r="AG3047">
        <v>0</v>
      </c>
      <c r="AH3047" t="s">
        <v>116</v>
      </c>
      <c r="AI3047" s="1">
        <v>44605</v>
      </c>
      <c r="AJ3047" s="2">
        <v>0.16</v>
      </c>
      <c r="AK3047" s="1">
        <v>280645</v>
      </c>
      <c r="AL3047" t="s">
        <v>117</v>
      </c>
      <c r="AM3047" t="s">
        <v>118</v>
      </c>
      <c r="AN3047">
        <v>7687</v>
      </c>
      <c r="AO3047">
        <v>0.18</v>
      </c>
      <c r="AR3047">
        <v>1</v>
      </c>
      <c r="AS3047" s="1">
        <v>18330</v>
      </c>
      <c r="AT3047" s="1">
        <v>3660</v>
      </c>
      <c r="AU3047" s="1">
        <v>14670</v>
      </c>
      <c r="AV3047">
        <v>80.03</v>
      </c>
      <c r="AX3047" s="1">
        <v>2708.46</v>
      </c>
      <c r="AY3047" t="s">
        <v>444</v>
      </c>
      <c r="AZ3047" t="s">
        <v>444</v>
      </c>
      <c r="BA3047" t="s">
        <v>445</v>
      </c>
      <c r="BE3047" s="3">
        <v>42137</v>
      </c>
      <c r="BF3047" s="1">
        <v>228500</v>
      </c>
      <c r="BG3047" t="s">
        <v>19927</v>
      </c>
      <c r="BH3047" s="1">
        <v>141.75</v>
      </c>
      <c r="BI3047" s="1">
        <v>236040</v>
      </c>
      <c r="BJ3047" s="3">
        <v>42137</v>
      </c>
      <c r="BK3047" t="s">
        <v>123</v>
      </c>
      <c r="BL3047" t="str">
        <f>"2015.337752"</f>
        <v>2015.337752</v>
      </c>
      <c r="BM3047" t="s">
        <v>1185</v>
      </c>
      <c r="BO3047" t="s">
        <v>19928</v>
      </c>
      <c r="BS3047">
        <v>30</v>
      </c>
      <c r="BW3047" t="str">
        <f>""</f>
        <v/>
      </c>
      <c r="CH3047" t="str">
        <f>""</f>
        <v/>
      </c>
      <c r="CS3047" t="str">
        <f>""</f>
        <v/>
      </c>
    </row>
    <row r="3048" spans="1:97" x14ac:dyDescent="0.25">
      <c r="A3048" t="s">
        <v>8221</v>
      </c>
      <c r="B3048" t="s">
        <v>19929</v>
      </c>
      <c r="E3048" t="s">
        <v>19930</v>
      </c>
      <c r="F3048" t="s">
        <v>108</v>
      </c>
      <c r="H3048" t="s">
        <v>19931</v>
      </c>
      <c r="I3048" t="s">
        <v>390</v>
      </c>
      <c r="J3048" t="s">
        <v>111</v>
      </c>
      <c r="K3048" t="str">
        <f>"85029"</f>
        <v>85029</v>
      </c>
      <c r="L3048" t="s">
        <v>14926</v>
      </c>
      <c r="M3048" t="s">
        <v>19931</v>
      </c>
      <c r="N3048" t="s">
        <v>390</v>
      </c>
      <c r="O3048" t="s">
        <v>111</v>
      </c>
      <c r="P3048" t="str">
        <f>"85029-1748"</f>
        <v>85029-1748</v>
      </c>
      <c r="Q3048" t="s">
        <v>113</v>
      </c>
      <c r="R3048" t="str">
        <f>"159-03-265"</f>
        <v>159-03-265</v>
      </c>
      <c r="S3048" t="s">
        <v>19932</v>
      </c>
      <c r="T3048" t="s">
        <v>19933</v>
      </c>
      <c r="U3048">
        <v>1600</v>
      </c>
      <c r="V3048">
        <v>0</v>
      </c>
      <c r="W3048">
        <v>2</v>
      </c>
      <c r="X3048">
        <v>1970</v>
      </c>
      <c r="Z3048">
        <v>1</v>
      </c>
      <c r="AA3048" t="s">
        <v>26</v>
      </c>
      <c r="AB3048">
        <v>0</v>
      </c>
      <c r="AC3048" t="s">
        <v>115</v>
      </c>
      <c r="AD3048">
        <v>2</v>
      </c>
      <c r="AE3048" t="s">
        <v>115</v>
      </c>
      <c r="AF3048">
        <v>0</v>
      </c>
      <c r="AG3048">
        <v>0</v>
      </c>
      <c r="AH3048" t="s">
        <v>116</v>
      </c>
      <c r="AI3048" s="1">
        <v>52402</v>
      </c>
      <c r="AJ3048" s="2">
        <v>0.2</v>
      </c>
      <c r="AK3048" s="1">
        <v>264167</v>
      </c>
      <c r="AL3048" t="s">
        <v>117</v>
      </c>
      <c r="AM3048" t="s">
        <v>171</v>
      </c>
      <c r="AN3048">
        <v>8550</v>
      </c>
      <c r="AO3048">
        <v>0.2</v>
      </c>
      <c r="AP3048">
        <v>1</v>
      </c>
      <c r="AR3048">
        <v>1</v>
      </c>
      <c r="AS3048" s="1">
        <v>17220</v>
      </c>
      <c r="AT3048" s="1">
        <v>3440</v>
      </c>
      <c r="AU3048" s="1">
        <v>13780</v>
      </c>
      <c r="AV3048">
        <v>80.02</v>
      </c>
      <c r="AX3048" s="1">
        <v>1144.98</v>
      </c>
      <c r="AY3048" t="s">
        <v>19934</v>
      </c>
      <c r="AZ3048" t="s">
        <v>8648</v>
      </c>
      <c r="BA3048" t="s">
        <v>8649</v>
      </c>
      <c r="BB3048" s="3">
        <v>43727</v>
      </c>
      <c r="BC3048" s="1">
        <v>0</v>
      </c>
      <c r="BD3048" t="s">
        <v>291</v>
      </c>
      <c r="BE3048" s="3">
        <v>42551</v>
      </c>
      <c r="BF3048" s="1">
        <v>205000</v>
      </c>
      <c r="BG3048" t="s">
        <v>19935</v>
      </c>
      <c r="BH3048" s="1">
        <v>128.13</v>
      </c>
      <c r="BI3048" s="1">
        <v>211765</v>
      </c>
      <c r="BJ3048" s="3">
        <v>42551</v>
      </c>
      <c r="BK3048" t="s">
        <v>123</v>
      </c>
      <c r="BL3048" t="str">
        <f>"2016.461079"</f>
        <v>2016.461079</v>
      </c>
      <c r="BM3048" t="s">
        <v>544</v>
      </c>
      <c r="BN3048" t="s">
        <v>545</v>
      </c>
      <c r="BO3048" t="s">
        <v>19936</v>
      </c>
      <c r="BS3048">
        <v>30</v>
      </c>
      <c r="BW3048" t="str">
        <f>""</f>
        <v/>
      </c>
      <c r="CH3048" t="str">
        <f>""</f>
        <v/>
      </c>
      <c r="CS3048" t="str">
        <f>""</f>
        <v/>
      </c>
    </row>
    <row r="3049" spans="1:97" x14ac:dyDescent="0.25">
      <c r="A3049" t="s">
        <v>1187</v>
      </c>
      <c r="B3049" t="s">
        <v>19937</v>
      </c>
      <c r="E3049" t="s">
        <v>19938</v>
      </c>
      <c r="F3049" t="s">
        <v>108</v>
      </c>
      <c r="H3049" t="s">
        <v>19939</v>
      </c>
      <c r="I3049" t="s">
        <v>390</v>
      </c>
      <c r="J3049" t="s">
        <v>111</v>
      </c>
      <c r="K3049" t="str">
        <f>"85053"</f>
        <v>85053</v>
      </c>
      <c r="L3049" t="s">
        <v>5138</v>
      </c>
      <c r="M3049" t="s">
        <v>19939</v>
      </c>
      <c r="N3049" t="s">
        <v>390</v>
      </c>
      <c r="O3049" t="s">
        <v>111</v>
      </c>
      <c r="P3049" t="str">
        <f>"85053-2004"</f>
        <v>85053-2004</v>
      </c>
      <c r="Q3049" t="s">
        <v>113</v>
      </c>
      <c r="R3049" t="str">
        <f>"207-04-038"</f>
        <v>207-04-038</v>
      </c>
      <c r="S3049" t="s">
        <v>19940</v>
      </c>
      <c r="U3049">
        <v>1602</v>
      </c>
      <c r="V3049">
        <v>0</v>
      </c>
      <c r="W3049">
        <v>2</v>
      </c>
      <c r="X3049">
        <v>1977</v>
      </c>
      <c r="Z3049">
        <v>1</v>
      </c>
      <c r="AA3049" t="s">
        <v>26</v>
      </c>
      <c r="AB3049">
        <v>0</v>
      </c>
      <c r="AC3049" t="s">
        <v>115</v>
      </c>
      <c r="AD3049">
        <v>2</v>
      </c>
      <c r="AE3049" t="s">
        <v>115</v>
      </c>
      <c r="AF3049">
        <v>0</v>
      </c>
      <c r="AG3049">
        <v>0</v>
      </c>
      <c r="AH3049" t="s">
        <v>116</v>
      </c>
      <c r="AI3049" s="1">
        <v>23067</v>
      </c>
      <c r="AJ3049" s="2">
        <v>0.09</v>
      </c>
      <c r="AK3049" s="1">
        <v>262255</v>
      </c>
      <c r="AL3049" t="s">
        <v>117</v>
      </c>
      <c r="AM3049" t="s">
        <v>171</v>
      </c>
      <c r="AN3049">
        <v>10530</v>
      </c>
      <c r="AO3049">
        <v>0.24</v>
      </c>
      <c r="AP3049">
        <v>1</v>
      </c>
      <c r="AR3049">
        <v>1</v>
      </c>
      <c r="AS3049" s="1">
        <v>18370</v>
      </c>
      <c r="AT3049" s="1">
        <v>3670</v>
      </c>
      <c r="AU3049" s="1">
        <v>14700</v>
      </c>
      <c r="AV3049">
        <v>80.02</v>
      </c>
      <c r="AX3049" s="1">
        <v>1265.98</v>
      </c>
      <c r="AY3049" t="s">
        <v>5141</v>
      </c>
      <c r="AZ3049" t="s">
        <v>5142</v>
      </c>
      <c r="BA3049" t="s">
        <v>5143</v>
      </c>
      <c r="BE3049" s="3">
        <v>42457</v>
      </c>
      <c r="BF3049" s="1">
        <v>199900</v>
      </c>
      <c r="BG3049" t="s">
        <v>19941</v>
      </c>
      <c r="BH3049" s="1">
        <v>124.78</v>
      </c>
      <c r="BI3049" s="1">
        <v>204197</v>
      </c>
      <c r="BJ3049" s="3">
        <v>42457</v>
      </c>
      <c r="BK3049" t="s">
        <v>123</v>
      </c>
      <c r="BL3049" t="str">
        <f>"2016.198318"</f>
        <v>2016.198318</v>
      </c>
      <c r="BM3049" t="s">
        <v>8868</v>
      </c>
      <c r="BN3049" t="s">
        <v>18904</v>
      </c>
      <c r="BO3049" t="s">
        <v>19942</v>
      </c>
      <c r="BS3049">
        <v>30</v>
      </c>
      <c r="BT3049" s="1">
        <v>34991</v>
      </c>
      <c r="BU3049" s="3">
        <v>43697</v>
      </c>
      <c r="BW3049" t="str">
        <f>"2019.640422"</f>
        <v>2019.640422</v>
      </c>
      <c r="BX3049" t="s">
        <v>383</v>
      </c>
      <c r="BY3049" t="s">
        <v>384</v>
      </c>
      <c r="BZ3049" t="s">
        <v>19938</v>
      </c>
      <c r="CA3049" t="s">
        <v>19943</v>
      </c>
      <c r="CC3049" t="s">
        <v>346</v>
      </c>
      <c r="CH3049" t="str">
        <f>""</f>
        <v/>
      </c>
      <c r="CS3049" t="str">
        <f>""</f>
        <v/>
      </c>
    </row>
    <row r="3050" spans="1:97" x14ac:dyDescent="0.25">
      <c r="A3050" t="s">
        <v>3258</v>
      </c>
      <c r="B3050" t="s">
        <v>19944</v>
      </c>
      <c r="C3050" t="s">
        <v>6679</v>
      </c>
      <c r="D3050" t="s">
        <v>19944</v>
      </c>
      <c r="E3050" t="s">
        <v>19945</v>
      </c>
      <c r="F3050" t="s">
        <v>108</v>
      </c>
      <c r="H3050" t="s">
        <v>19946</v>
      </c>
      <c r="I3050" t="s">
        <v>499</v>
      </c>
      <c r="J3050" t="s">
        <v>111</v>
      </c>
      <c r="K3050" t="str">
        <f>"85338"</f>
        <v>85338</v>
      </c>
      <c r="L3050" t="s">
        <v>5775</v>
      </c>
      <c r="M3050" t="s">
        <v>19946</v>
      </c>
      <c r="N3050" t="s">
        <v>499</v>
      </c>
      <c r="O3050" t="s">
        <v>111</v>
      </c>
      <c r="P3050" t="str">
        <f>"85338-3244"</f>
        <v>85338-3244</v>
      </c>
      <c r="Q3050" t="s">
        <v>113</v>
      </c>
      <c r="R3050" t="str">
        <f>"500-10-605"</f>
        <v>500-10-605</v>
      </c>
      <c r="S3050" t="s">
        <v>9551</v>
      </c>
      <c r="T3050" t="s">
        <v>9551</v>
      </c>
      <c r="U3050">
        <v>2406</v>
      </c>
      <c r="V3050">
        <v>0</v>
      </c>
      <c r="W3050">
        <v>4</v>
      </c>
      <c r="X3050">
        <v>2015</v>
      </c>
      <c r="Z3050">
        <v>1</v>
      </c>
      <c r="AB3050">
        <v>0</v>
      </c>
      <c r="AC3050" t="s">
        <v>115</v>
      </c>
      <c r="AD3050">
        <v>3</v>
      </c>
      <c r="AE3050" t="s">
        <v>115</v>
      </c>
      <c r="AF3050">
        <v>0</v>
      </c>
      <c r="AG3050">
        <v>0</v>
      </c>
      <c r="AH3050" t="s">
        <v>116</v>
      </c>
      <c r="AI3050" s="1">
        <v>58051</v>
      </c>
      <c r="AJ3050" s="2">
        <v>0.17</v>
      </c>
      <c r="AK3050" s="1">
        <v>335891</v>
      </c>
      <c r="AL3050" t="s">
        <v>117</v>
      </c>
      <c r="AM3050" t="s">
        <v>118</v>
      </c>
      <c r="AN3050">
        <v>6900</v>
      </c>
      <c r="AO3050">
        <v>0.16</v>
      </c>
      <c r="AR3050">
        <v>1</v>
      </c>
      <c r="AS3050" s="1">
        <v>24030</v>
      </c>
      <c r="AT3050" s="1">
        <v>4800</v>
      </c>
      <c r="AU3050" s="1">
        <v>19230</v>
      </c>
      <c r="AV3050">
        <v>80.02</v>
      </c>
      <c r="AX3050" s="1">
        <v>2089.7600000000002</v>
      </c>
      <c r="AY3050" t="s">
        <v>4311</v>
      </c>
      <c r="AZ3050" t="s">
        <v>4311</v>
      </c>
      <c r="BA3050" t="s">
        <v>7186</v>
      </c>
      <c r="BE3050" s="3">
        <v>42090</v>
      </c>
      <c r="BF3050" s="1">
        <v>277840</v>
      </c>
      <c r="BG3050" t="s">
        <v>158</v>
      </c>
      <c r="BH3050" s="1">
        <v>115.48</v>
      </c>
      <c r="BI3050" s="1">
        <v>277840</v>
      </c>
      <c r="BJ3050" s="3">
        <v>42090</v>
      </c>
      <c r="BK3050" t="s">
        <v>123</v>
      </c>
      <c r="BL3050" t="str">
        <f>"2015.206459"</f>
        <v>2015.206459</v>
      </c>
      <c r="BM3050" t="s">
        <v>241</v>
      </c>
      <c r="BO3050" t="s">
        <v>19947</v>
      </c>
      <c r="BS3050">
        <v>30</v>
      </c>
      <c r="BW3050" t="str">
        <f>""</f>
        <v/>
      </c>
      <c r="CH3050" t="str">
        <f>""</f>
        <v/>
      </c>
      <c r="CS3050" t="str">
        <f>""</f>
        <v/>
      </c>
    </row>
    <row r="3051" spans="1:97" x14ac:dyDescent="0.25">
      <c r="A3051" t="s">
        <v>177</v>
      </c>
      <c r="B3051" t="s">
        <v>19948</v>
      </c>
      <c r="E3051" t="s">
        <v>19949</v>
      </c>
      <c r="F3051" t="s">
        <v>108</v>
      </c>
      <c r="H3051" t="s">
        <v>19950</v>
      </c>
      <c r="I3051" t="s">
        <v>315</v>
      </c>
      <c r="J3051" t="s">
        <v>111</v>
      </c>
      <c r="K3051" t="str">
        <f>"85335"</f>
        <v>85335</v>
      </c>
      <c r="L3051" t="s">
        <v>2765</v>
      </c>
      <c r="M3051" t="s">
        <v>19950</v>
      </c>
      <c r="N3051" t="s">
        <v>315</v>
      </c>
      <c r="O3051" t="s">
        <v>111</v>
      </c>
      <c r="P3051" t="str">
        <f>"85335-5277"</f>
        <v>85335-5277</v>
      </c>
      <c r="Q3051" t="s">
        <v>113</v>
      </c>
      <c r="R3051" t="str">
        <f>"501-44-730"</f>
        <v>501-44-730</v>
      </c>
      <c r="S3051" t="s">
        <v>19951</v>
      </c>
      <c r="T3051" t="s">
        <v>19952</v>
      </c>
      <c r="U3051">
        <v>2635</v>
      </c>
      <c r="V3051">
        <v>0</v>
      </c>
      <c r="W3051">
        <v>4</v>
      </c>
      <c r="X3051">
        <v>2001</v>
      </c>
      <c r="Z3051">
        <v>2</v>
      </c>
      <c r="AA3051" t="s">
        <v>26</v>
      </c>
      <c r="AB3051">
        <v>0</v>
      </c>
      <c r="AC3051" t="s">
        <v>115</v>
      </c>
      <c r="AD3051">
        <v>3</v>
      </c>
      <c r="AE3051" t="s">
        <v>115</v>
      </c>
      <c r="AF3051">
        <v>0</v>
      </c>
      <c r="AG3051">
        <v>0</v>
      </c>
      <c r="AH3051" t="s">
        <v>116</v>
      </c>
      <c r="AI3051" s="1">
        <v>67313</v>
      </c>
      <c r="AJ3051" s="2">
        <v>0.2</v>
      </c>
      <c r="AK3051" s="1">
        <v>342938</v>
      </c>
      <c r="AL3051" t="s">
        <v>117</v>
      </c>
      <c r="AM3051" t="s">
        <v>319</v>
      </c>
      <c r="AN3051">
        <v>12454</v>
      </c>
      <c r="AO3051">
        <v>0.28999999999999998</v>
      </c>
      <c r="AP3051">
        <v>1</v>
      </c>
      <c r="AR3051">
        <v>1</v>
      </c>
      <c r="AS3051" s="1">
        <v>23980</v>
      </c>
      <c r="AT3051" s="1">
        <v>4790</v>
      </c>
      <c r="AU3051" s="1">
        <v>19190</v>
      </c>
      <c r="AV3051">
        <v>80.03</v>
      </c>
      <c r="AX3051" s="1">
        <v>1983.08</v>
      </c>
      <c r="AY3051" t="s">
        <v>12675</v>
      </c>
      <c r="AZ3051" t="s">
        <v>12675</v>
      </c>
      <c r="BA3051" t="s">
        <v>635</v>
      </c>
      <c r="BE3051" s="3">
        <v>42195</v>
      </c>
      <c r="BF3051" s="1">
        <v>242000</v>
      </c>
      <c r="BG3051" t="s">
        <v>19953</v>
      </c>
      <c r="BH3051" s="1">
        <v>91.84</v>
      </c>
      <c r="BI3051" s="1">
        <v>275625</v>
      </c>
      <c r="BJ3051" s="3">
        <v>43523</v>
      </c>
      <c r="BK3051" t="s">
        <v>123</v>
      </c>
      <c r="BL3051" t="str">
        <f>"2019.133399"</f>
        <v>2019.133399</v>
      </c>
      <c r="BM3051" t="s">
        <v>1809</v>
      </c>
      <c r="BN3051" t="s">
        <v>1810</v>
      </c>
      <c r="BO3051" t="s">
        <v>19954</v>
      </c>
      <c r="BR3051" t="s">
        <v>139</v>
      </c>
      <c r="BW3051" t="str">
        <f>""</f>
        <v/>
      </c>
      <c r="CH3051" t="str">
        <f>""</f>
        <v/>
      </c>
      <c r="CS3051" t="str">
        <f>""</f>
        <v/>
      </c>
    </row>
    <row r="3052" spans="1:97" x14ac:dyDescent="0.25">
      <c r="A3052" t="s">
        <v>639</v>
      </c>
      <c r="B3052" t="s">
        <v>19955</v>
      </c>
      <c r="E3052" t="s">
        <v>19956</v>
      </c>
      <c r="F3052" t="s">
        <v>108</v>
      </c>
      <c r="H3052" t="s">
        <v>19957</v>
      </c>
      <c r="I3052" t="s">
        <v>632</v>
      </c>
      <c r="J3052" t="s">
        <v>111</v>
      </c>
      <c r="K3052" t="str">
        <f>"85388"</f>
        <v>85388</v>
      </c>
      <c r="L3052" t="s">
        <v>541</v>
      </c>
      <c r="M3052" t="s">
        <v>19957</v>
      </c>
      <c r="N3052" t="s">
        <v>632</v>
      </c>
      <c r="O3052" t="s">
        <v>111</v>
      </c>
      <c r="P3052" t="str">
        <f>"85388-1198"</f>
        <v>85388-1198</v>
      </c>
      <c r="Q3052" t="s">
        <v>113</v>
      </c>
      <c r="R3052" t="str">
        <f>"509-10-347"</f>
        <v>509-10-347</v>
      </c>
      <c r="S3052" t="s">
        <v>19958</v>
      </c>
      <c r="U3052">
        <v>2143</v>
      </c>
      <c r="V3052">
        <v>0</v>
      </c>
      <c r="W3052">
        <v>4</v>
      </c>
      <c r="X3052">
        <v>2003</v>
      </c>
      <c r="Z3052">
        <v>2</v>
      </c>
      <c r="AA3052" t="s">
        <v>26</v>
      </c>
      <c r="AB3052">
        <v>0</v>
      </c>
      <c r="AC3052" t="s">
        <v>115</v>
      </c>
      <c r="AD3052">
        <v>2</v>
      </c>
      <c r="AE3052" t="s">
        <v>115</v>
      </c>
      <c r="AF3052">
        <v>0</v>
      </c>
      <c r="AG3052">
        <v>0</v>
      </c>
      <c r="AH3052" t="s">
        <v>116</v>
      </c>
      <c r="AI3052" s="1">
        <v>29330</v>
      </c>
      <c r="AJ3052" s="2">
        <v>0.1</v>
      </c>
      <c r="AK3052" s="1">
        <v>281330</v>
      </c>
      <c r="AL3052" t="s">
        <v>117</v>
      </c>
      <c r="AM3052" t="s">
        <v>118</v>
      </c>
      <c r="AN3052">
        <v>6380</v>
      </c>
      <c r="AO3052">
        <v>0.15</v>
      </c>
      <c r="AP3052">
        <v>1</v>
      </c>
      <c r="AR3052">
        <v>1</v>
      </c>
      <c r="AS3052" s="1">
        <v>19330</v>
      </c>
      <c r="AT3052" s="1">
        <v>3860</v>
      </c>
      <c r="AU3052" s="1">
        <v>15470</v>
      </c>
      <c r="AV3052">
        <v>80.03</v>
      </c>
      <c r="AX3052" s="1">
        <v>1293.22</v>
      </c>
      <c r="AY3052" t="s">
        <v>5517</v>
      </c>
      <c r="AZ3052" t="s">
        <v>5517</v>
      </c>
      <c r="BA3052" t="s">
        <v>5109</v>
      </c>
      <c r="BB3052" s="3">
        <v>43496</v>
      </c>
      <c r="BC3052" s="1">
        <v>0</v>
      </c>
      <c r="BD3052" t="s">
        <v>247</v>
      </c>
      <c r="BE3052" s="3">
        <v>41808</v>
      </c>
      <c r="BF3052" s="1">
        <v>177500</v>
      </c>
      <c r="BG3052" t="s">
        <v>12224</v>
      </c>
      <c r="BH3052" s="1">
        <v>82.83</v>
      </c>
      <c r="BI3052" s="1">
        <v>252000</v>
      </c>
      <c r="BJ3052" s="3">
        <v>43496</v>
      </c>
      <c r="BK3052" t="s">
        <v>123</v>
      </c>
      <c r="BL3052" t="str">
        <f>"2019.68417"</f>
        <v>2019.68417</v>
      </c>
      <c r="BM3052" t="s">
        <v>19959</v>
      </c>
      <c r="BN3052" t="s">
        <v>13886</v>
      </c>
      <c r="BO3052" t="s">
        <v>19960</v>
      </c>
      <c r="BR3052" t="s">
        <v>139</v>
      </c>
      <c r="BW3052" t="str">
        <f>""</f>
        <v/>
      </c>
      <c r="CH3052" t="str">
        <f>""</f>
        <v/>
      </c>
      <c r="CS3052" t="str">
        <f>""</f>
        <v/>
      </c>
    </row>
    <row r="3053" spans="1:97" x14ac:dyDescent="0.25">
      <c r="A3053" t="s">
        <v>2045</v>
      </c>
      <c r="B3053" t="s">
        <v>19961</v>
      </c>
      <c r="C3053" t="s">
        <v>2294</v>
      </c>
      <c r="D3053" t="s">
        <v>19961</v>
      </c>
      <c r="E3053" t="s">
        <v>19962</v>
      </c>
      <c r="F3053" t="s">
        <v>108</v>
      </c>
      <c r="H3053" t="s">
        <v>19963</v>
      </c>
      <c r="I3053" t="s">
        <v>390</v>
      </c>
      <c r="J3053" t="s">
        <v>111</v>
      </c>
      <c r="K3053" t="str">
        <f>"85021"</f>
        <v>85021</v>
      </c>
      <c r="L3053" t="s">
        <v>5228</v>
      </c>
      <c r="M3053" t="s">
        <v>19963</v>
      </c>
      <c r="N3053" t="s">
        <v>390</v>
      </c>
      <c r="O3053" t="s">
        <v>111</v>
      </c>
      <c r="P3053" t="str">
        <f>"85021-7618"</f>
        <v>85021-7618</v>
      </c>
      <c r="Q3053" t="s">
        <v>113</v>
      </c>
      <c r="R3053" t="str">
        <f>"157-26-094"</f>
        <v>157-26-094</v>
      </c>
      <c r="S3053" t="s">
        <v>19964</v>
      </c>
      <c r="T3053" t="s">
        <v>19965</v>
      </c>
      <c r="U3053">
        <v>1596</v>
      </c>
      <c r="V3053">
        <v>0</v>
      </c>
      <c r="W3053">
        <v>3</v>
      </c>
      <c r="X3053">
        <v>2004</v>
      </c>
      <c r="Z3053">
        <v>1</v>
      </c>
      <c r="AA3053" t="s">
        <v>26</v>
      </c>
      <c r="AB3053">
        <v>0</v>
      </c>
      <c r="AC3053" t="s">
        <v>115</v>
      </c>
      <c r="AD3053">
        <v>3</v>
      </c>
      <c r="AE3053" t="s">
        <v>115</v>
      </c>
      <c r="AF3053">
        <v>0</v>
      </c>
      <c r="AG3053">
        <v>0</v>
      </c>
      <c r="AH3053" t="s">
        <v>116</v>
      </c>
      <c r="AI3053" s="1">
        <v>75421</v>
      </c>
      <c r="AJ3053" s="2">
        <v>0.19</v>
      </c>
      <c r="AK3053" s="1">
        <v>389684</v>
      </c>
      <c r="AL3053" t="s">
        <v>117</v>
      </c>
      <c r="AM3053" t="s">
        <v>191</v>
      </c>
      <c r="AN3053">
        <v>8997</v>
      </c>
      <c r="AO3053">
        <v>0.21</v>
      </c>
      <c r="AP3053">
        <v>1</v>
      </c>
      <c r="AR3053">
        <v>1</v>
      </c>
      <c r="AS3053" s="1">
        <v>25720</v>
      </c>
      <c r="AT3053" s="1">
        <v>5140</v>
      </c>
      <c r="AU3053" s="1">
        <v>20580</v>
      </c>
      <c r="AV3053">
        <v>80.02</v>
      </c>
      <c r="AX3053" s="1">
        <v>1718.4</v>
      </c>
      <c r="AY3053" t="s">
        <v>18520</v>
      </c>
      <c r="AZ3053" t="s">
        <v>18520</v>
      </c>
      <c r="BA3053" t="s">
        <v>1304</v>
      </c>
      <c r="BE3053" s="3">
        <v>42163</v>
      </c>
      <c r="BF3053" s="1">
        <v>299990</v>
      </c>
      <c r="BG3053" t="s">
        <v>19966</v>
      </c>
      <c r="BH3053" s="1">
        <v>187.96</v>
      </c>
      <c r="BI3053" s="1">
        <v>314263</v>
      </c>
      <c r="BJ3053" s="3">
        <v>42444</v>
      </c>
      <c r="BK3053" t="s">
        <v>123</v>
      </c>
      <c r="BL3053" t="str">
        <f>"2016.163995"</f>
        <v>2016.163995</v>
      </c>
      <c r="BM3053" t="s">
        <v>322</v>
      </c>
      <c r="BO3053" t="s">
        <v>19967</v>
      </c>
      <c r="BS3053">
        <v>30</v>
      </c>
      <c r="BW3053" t="str">
        <f>""</f>
        <v/>
      </c>
      <c r="CH3053" t="str">
        <f>""</f>
        <v/>
      </c>
      <c r="CS3053" t="str">
        <f>""</f>
        <v/>
      </c>
    </row>
    <row r="3054" spans="1:97" x14ac:dyDescent="0.25">
      <c r="A3054" t="s">
        <v>1898</v>
      </c>
      <c r="B3054" t="s">
        <v>19968</v>
      </c>
      <c r="C3054" t="s">
        <v>3635</v>
      </c>
      <c r="D3054" t="s">
        <v>19968</v>
      </c>
      <c r="E3054" t="s">
        <v>19969</v>
      </c>
      <c r="F3054" t="s">
        <v>108</v>
      </c>
      <c r="H3054" t="s">
        <v>19970</v>
      </c>
      <c r="I3054" t="s">
        <v>5114</v>
      </c>
      <c r="J3054" t="s">
        <v>111</v>
      </c>
      <c r="K3054" t="str">
        <f>"85392"</f>
        <v>85392</v>
      </c>
      <c r="L3054" t="s">
        <v>6691</v>
      </c>
      <c r="M3054" t="s">
        <v>19970</v>
      </c>
      <c r="N3054" t="s">
        <v>5114</v>
      </c>
      <c r="O3054" t="s">
        <v>111</v>
      </c>
      <c r="P3054" t="str">
        <f>"85392-6501"</f>
        <v>85392-6501</v>
      </c>
      <c r="Q3054" t="s">
        <v>113</v>
      </c>
      <c r="R3054" t="str">
        <f>"501-88-120"</f>
        <v>501-88-120</v>
      </c>
      <c r="S3054" t="s">
        <v>19971</v>
      </c>
      <c r="T3054" t="s">
        <v>19971</v>
      </c>
      <c r="U3054">
        <v>2335</v>
      </c>
      <c r="V3054">
        <v>0</v>
      </c>
      <c r="W3054">
        <v>3</v>
      </c>
      <c r="X3054">
        <v>1995</v>
      </c>
      <c r="Z3054">
        <v>1</v>
      </c>
      <c r="AA3054" t="s">
        <v>26</v>
      </c>
      <c r="AB3054">
        <v>0</v>
      </c>
      <c r="AC3054" t="s">
        <v>115</v>
      </c>
      <c r="AD3054">
        <v>3</v>
      </c>
      <c r="AE3054" t="s">
        <v>115</v>
      </c>
      <c r="AF3054">
        <v>0</v>
      </c>
      <c r="AG3054">
        <v>0</v>
      </c>
      <c r="AH3054" t="s">
        <v>116</v>
      </c>
      <c r="AI3054" s="1">
        <v>55556</v>
      </c>
      <c r="AJ3054" s="2">
        <v>0.17</v>
      </c>
      <c r="AK3054" s="1">
        <v>324136</v>
      </c>
      <c r="AL3054" t="s">
        <v>117</v>
      </c>
      <c r="AM3054" t="s">
        <v>118</v>
      </c>
      <c r="AN3054">
        <v>8400</v>
      </c>
      <c r="AO3054">
        <v>0.19</v>
      </c>
      <c r="AP3054">
        <v>1</v>
      </c>
      <c r="AR3054">
        <v>1</v>
      </c>
      <c r="AS3054" s="1">
        <v>22250</v>
      </c>
      <c r="AT3054" s="1">
        <v>4450</v>
      </c>
      <c r="AU3054" s="1">
        <v>17800</v>
      </c>
      <c r="AV3054">
        <v>80</v>
      </c>
      <c r="AX3054" s="1">
        <v>1754.74</v>
      </c>
      <c r="AY3054" t="s">
        <v>7636</v>
      </c>
      <c r="AZ3054" t="s">
        <v>6701</v>
      </c>
      <c r="BA3054" t="s">
        <v>6702</v>
      </c>
      <c r="BE3054" s="3">
        <v>42366</v>
      </c>
      <c r="BF3054" s="1">
        <v>260000</v>
      </c>
      <c r="BG3054" t="s">
        <v>19972</v>
      </c>
      <c r="BH3054" s="1">
        <v>111.35</v>
      </c>
      <c r="BI3054" s="1">
        <v>268580</v>
      </c>
      <c r="BJ3054" s="3">
        <v>42366</v>
      </c>
      <c r="BK3054" t="s">
        <v>123</v>
      </c>
      <c r="BL3054" t="str">
        <f>"2015.912184"</f>
        <v>2015.912184</v>
      </c>
      <c r="BM3054" t="s">
        <v>724</v>
      </c>
      <c r="BO3054" t="s">
        <v>19973</v>
      </c>
      <c r="BS3054">
        <v>30</v>
      </c>
      <c r="BW3054" t="str">
        <f>""</f>
        <v/>
      </c>
      <c r="CH3054" t="str">
        <f>""</f>
        <v/>
      </c>
      <c r="CS3054" t="str">
        <f>""</f>
        <v/>
      </c>
    </row>
    <row r="3055" spans="1:97" x14ac:dyDescent="0.25">
      <c r="A3055" t="s">
        <v>19974</v>
      </c>
      <c r="B3055" t="s">
        <v>19975</v>
      </c>
      <c r="C3055" t="s">
        <v>524</v>
      </c>
      <c r="D3055" t="s">
        <v>19976</v>
      </c>
      <c r="E3055" t="s">
        <v>19977</v>
      </c>
      <c r="F3055" t="s">
        <v>108</v>
      </c>
      <c r="H3055" t="s">
        <v>19978</v>
      </c>
      <c r="I3055" t="s">
        <v>4251</v>
      </c>
      <c r="J3055" t="s">
        <v>111</v>
      </c>
      <c r="K3055" t="str">
        <f>"85353"</f>
        <v>85353</v>
      </c>
      <c r="L3055" t="s">
        <v>1789</v>
      </c>
      <c r="M3055" t="s">
        <v>19978</v>
      </c>
      <c r="N3055" t="s">
        <v>4251</v>
      </c>
      <c r="O3055" t="s">
        <v>111</v>
      </c>
      <c r="P3055" t="str">
        <f>"85353-4110"</f>
        <v>85353-4110</v>
      </c>
      <c r="Q3055" t="s">
        <v>113</v>
      </c>
      <c r="R3055" t="str">
        <f>"101-28-644"</f>
        <v>101-28-644</v>
      </c>
      <c r="S3055" t="s">
        <v>19979</v>
      </c>
      <c r="T3055" t="s">
        <v>19980</v>
      </c>
      <c r="U3055">
        <v>2213</v>
      </c>
      <c r="V3055">
        <v>0</v>
      </c>
      <c r="W3055">
        <v>3</v>
      </c>
      <c r="X3055">
        <v>2006</v>
      </c>
      <c r="Z3055">
        <v>1</v>
      </c>
      <c r="AA3055" t="s">
        <v>26</v>
      </c>
      <c r="AB3055">
        <v>0</v>
      </c>
      <c r="AC3055" t="s">
        <v>115</v>
      </c>
      <c r="AD3055">
        <v>3</v>
      </c>
      <c r="AE3055" t="s">
        <v>115</v>
      </c>
      <c r="AF3055">
        <v>0</v>
      </c>
      <c r="AG3055">
        <v>0</v>
      </c>
      <c r="AH3055" t="s">
        <v>116</v>
      </c>
      <c r="AI3055" s="1">
        <v>44068</v>
      </c>
      <c r="AJ3055" s="2">
        <v>0.16</v>
      </c>
      <c r="AK3055" s="1">
        <v>269778</v>
      </c>
      <c r="AL3055" t="s">
        <v>117</v>
      </c>
      <c r="AM3055" t="s">
        <v>1302</v>
      </c>
      <c r="AN3055">
        <v>6303</v>
      </c>
      <c r="AO3055">
        <v>0.14000000000000001</v>
      </c>
      <c r="AR3055">
        <v>1</v>
      </c>
      <c r="AS3055" s="1">
        <v>19180</v>
      </c>
      <c r="AT3055" s="1">
        <v>3830</v>
      </c>
      <c r="AU3055" s="1">
        <v>15350</v>
      </c>
      <c r="AV3055">
        <v>80.03</v>
      </c>
      <c r="AX3055" s="1">
        <v>1852.38</v>
      </c>
      <c r="AY3055" t="s">
        <v>5150</v>
      </c>
      <c r="AZ3055" t="s">
        <v>5150</v>
      </c>
      <c r="BA3055" t="s">
        <v>4254</v>
      </c>
      <c r="BE3055" s="3">
        <v>42500</v>
      </c>
      <c r="BF3055" s="1">
        <v>218500</v>
      </c>
      <c r="BG3055" t="s">
        <v>19981</v>
      </c>
      <c r="BH3055" s="1">
        <v>98.73</v>
      </c>
      <c r="BI3055" s="1">
        <v>225710</v>
      </c>
      <c r="BJ3055" s="3">
        <v>42500</v>
      </c>
      <c r="BK3055" t="s">
        <v>123</v>
      </c>
      <c r="BL3055" t="str">
        <f>"2016.319903"</f>
        <v>2016.319903</v>
      </c>
      <c r="BM3055" t="s">
        <v>2368</v>
      </c>
      <c r="BO3055" t="s">
        <v>19982</v>
      </c>
      <c r="BP3055" t="s">
        <v>19983</v>
      </c>
      <c r="BS3055">
        <v>25</v>
      </c>
      <c r="BW3055" t="str">
        <f>""</f>
        <v/>
      </c>
      <c r="CH3055" t="str">
        <f>""</f>
        <v/>
      </c>
      <c r="CS3055" t="str">
        <f>""</f>
        <v/>
      </c>
    </row>
    <row r="3056" spans="1:97" x14ac:dyDescent="0.25">
      <c r="A3056" t="s">
        <v>589</v>
      </c>
      <c r="B3056" t="s">
        <v>19984</v>
      </c>
      <c r="C3056" t="s">
        <v>4894</v>
      </c>
      <c r="D3056" t="s">
        <v>19984</v>
      </c>
      <c r="E3056" t="s">
        <v>19985</v>
      </c>
      <c r="F3056" t="s">
        <v>282</v>
      </c>
      <c r="H3056" t="s">
        <v>19986</v>
      </c>
      <c r="I3056" t="s">
        <v>225</v>
      </c>
      <c r="J3056" t="s">
        <v>111</v>
      </c>
      <c r="K3056" t="str">
        <f>"85203"</f>
        <v>85203</v>
      </c>
      <c r="L3056" t="s">
        <v>5464</v>
      </c>
      <c r="M3056" t="s">
        <v>19987</v>
      </c>
      <c r="N3056" t="s">
        <v>225</v>
      </c>
      <c r="O3056" t="s">
        <v>111</v>
      </c>
      <c r="P3056" t="str">
        <f>"85204-6824"</f>
        <v>85204-6824</v>
      </c>
      <c r="Q3056" t="s">
        <v>113</v>
      </c>
      <c r="R3056" t="str">
        <f>"137-36-010-A"</f>
        <v>137-36-010-A</v>
      </c>
      <c r="S3056" t="s">
        <v>19988</v>
      </c>
      <c r="U3056">
        <v>1701</v>
      </c>
      <c r="V3056">
        <v>0</v>
      </c>
      <c r="W3056">
        <v>3</v>
      </c>
      <c r="X3056">
        <v>1963</v>
      </c>
      <c r="Z3056">
        <v>1</v>
      </c>
      <c r="AB3056">
        <v>0</v>
      </c>
      <c r="AC3056" t="s">
        <v>115</v>
      </c>
      <c r="AD3056">
        <v>2</v>
      </c>
      <c r="AE3056" t="s">
        <v>115</v>
      </c>
      <c r="AF3056">
        <v>0</v>
      </c>
      <c r="AG3056">
        <v>0</v>
      </c>
      <c r="AH3056" t="s">
        <v>116</v>
      </c>
      <c r="AI3056" s="1">
        <v>43208</v>
      </c>
      <c r="AJ3056" s="2">
        <v>0.16</v>
      </c>
      <c r="AK3056" s="1">
        <v>270491</v>
      </c>
      <c r="AL3056" t="s">
        <v>117</v>
      </c>
      <c r="AM3056" t="s">
        <v>917</v>
      </c>
      <c r="AN3056">
        <v>10820</v>
      </c>
      <c r="AO3056">
        <v>0.25</v>
      </c>
      <c r="AP3056">
        <v>1</v>
      </c>
      <c r="AR3056">
        <v>1</v>
      </c>
      <c r="AS3056" s="1">
        <v>17300</v>
      </c>
      <c r="AT3056" s="1">
        <v>3460</v>
      </c>
      <c r="AU3056" s="1">
        <v>13840</v>
      </c>
      <c r="AV3056">
        <v>80</v>
      </c>
      <c r="AX3056" s="1">
        <v>1341.1</v>
      </c>
      <c r="AY3056" t="s">
        <v>7578</v>
      </c>
      <c r="AZ3056" t="s">
        <v>1523</v>
      </c>
      <c r="BA3056" t="s">
        <v>1524</v>
      </c>
      <c r="BE3056" s="3">
        <v>42468</v>
      </c>
      <c r="BF3056" s="1">
        <v>222500</v>
      </c>
      <c r="BG3056" t="s">
        <v>19989</v>
      </c>
      <c r="BH3056" s="1">
        <v>130.81</v>
      </c>
      <c r="BI3056" s="1">
        <v>227283</v>
      </c>
      <c r="BJ3056" s="3">
        <v>42468</v>
      </c>
      <c r="BK3056" t="s">
        <v>123</v>
      </c>
      <c r="BL3056" t="str">
        <f>"2016.235139"</f>
        <v>2016.235139</v>
      </c>
      <c r="BM3056" t="s">
        <v>2716</v>
      </c>
      <c r="BO3056" t="s">
        <v>19990</v>
      </c>
      <c r="BS3056">
        <v>30</v>
      </c>
      <c r="BW3056" t="str">
        <f>""</f>
        <v/>
      </c>
      <c r="CH3056" t="str">
        <f>""</f>
        <v/>
      </c>
      <c r="CS3056" t="str">
        <f>""</f>
        <v/>
      </c>
    </row>
    <row r="3057" spans="1:97" x14ac:dyDescent="0.25">
      <c r="A3057" t="s">
        <v>19991</v>
      </c>
      <c r="B3057" t="s">
        <v>5890</v>
      </c>
      <c r="E3057" t="s">
        <v>19992</v>
      </c>
      <c r="F3057" t="s">
        <v>108</v>
      </c>
      <c r="H3057" t="s">
        <v>19993</v>
      </c>
      <c r="I3057" t="s">
        <v>1936</v>
      </c>
      <c r="J3057" t="s">
        <v>111</v>
      </c>
      <c r="K3057" t="str">
        <f>"85257"</f>
        <v>85257</v>
      </c>
      <c r="L3057" t="s">
        <v>6169</v>
      </c>
      <c r="M3057" t="s">
        <v>19993</v>
      </c>
      <c r="N3057" t="s">
        <v>1936</v>
      </c>
      <c r="O3057" t="s">
        <v>111</v>
      </c>
      <c r="P3057" t="str">
        <f>"85257-3728"</f>
        <v>85257-3728</v>
      </c>
      <c r="Q3057" t="s">
        <v>113</v>
      </c>
      <c r="R3057" t="str">
        <f>"131-11-170"</f>
        <v>131-11-170</v>
      </c>
      <c r="S3057" t="s">
        <v>19994</v>
      </c>
      <c r="T3057" t="s">
        <v>19994</v>
      </c>
      <c r="U3057">
        <v>1517</v>
      </c>
      <c r="V3057">
        <v>0</v>
      </c>
      <c r="W3057">
        <v>2</v>
      </c>
      <c r="X3057">
        <v>1958</v>
      </c>
      <c r="Z3057">
        <v>1</v>
      </c>
      <c r="AA3057" t="s">
        <v>26</v>
      </c>
      <c r="AB3057">
        <v>0</v>
      </c>
      <c r="AC3057" t="s">
        <v>7038</v>
      </c>
      <c r="AD3057">
        <v>1</v>
      </c>
      <c r="AE3057" t="s">
        <v>7038</v>
      </c>
      <c r="AF3057">
        <v>0</v>
      </c>
      <c r="AG3057">
        <v>0</v>
      </c>
      <c r="AH3057" t="s">
        <v>116</v>
      </c>
      <c r="AI3057" s="1">
        <v>82457</v>
      </c>
      <c r="AJ3057" s="2">
        <v>0.23</v>
      </c>
      <c r="AK3057" s="1">
        <v>361326</v>
      </c>
      <c r="AL3057" t="s">
        <v>117</v>
      </c>
      <c r="AM3057" t="s">
        <v>393</v>
      </c>
      <c r="AN3057">
        <v>6380</v>
      </c>
      <c r="AO3057">
        <v>0.15</v>
      </c>
      <c r="AP3057">
        <v>1</v>
      </c>
      <c r="AR3057">
        <v>1</v>
      </c>
      <c r="AS3057" s="1">
        <v>24310</v>
      </c>
      <c r="AT3057" s="1">
        <v>4860</v>
      </c>
      <c r="AU3057" s="1">
        <v>19450</v>
      </c>
      <c r="AV3057">
        <v>80.010000000000005</v>
      </c>
      <c r="AX3057" s="1">
        <v>1058.8599999999999</v>
      </c>
      <c r="AY3057" t="s">
        <v>8392</v>
      </c>
      <c r="AZ3057" t="s">
        <v>5420</v>
      </c>
      <c r="BA3057" t="s">
        <v>5421</v>
      </c>
      <c r="BE3057" s="3">
        <v>42481</v>
      </c>
      <c r="BF3057" s="1">
        <v>273000</v>
      </c>
      <c r="BG3057" t="s">
        <v>19995</v>
      </c>
      <c r="BH3057" s="1">
        <v>179.96</v>
      </c>
      <c r="BI3057" s="1">
        <v>278869</v>
      </c>
      <c r="BJ3057" s="3">
        <v>42481</v>
      </c>
      <c r="BK3057" t="s">
        <v>123</v>
      </c>
      <c r="BL3057" t="str">
        <f>"2016.267940"</f>
        <v>2016.267940</v>
      </c>
      <c r="BM3057" t="s">
        <v>594</v>
      </c>
      <c r="BO3057" t="s">
        <v>19996</v>
      </c>
      <c r="BS3057">
        <v>30</v>
      </c>
      <c r="BW3057" t="str">
        <f>""</f>
        <v/>
      </c>
      <c r="CH3057" t="str">
        <f>""</f>
        <v/>
      </c>
      <c r="CS3057" t="str">
        <f>""</f>
        <v/>
      </c>
    </row>
    <row r="3058" spans="1:97" x14ac:dyDescent="0.25">
      <c r="A3058" t="s">
        <v>19997</v>
      </c>
      <c r="B3058" t="s">
        <v>19998</v>
      </c>
      <c r="C3058" t="s">
        <v>19999</v>
      </c>
      <c r="D3058" t="s">
        <v>19998</v>
      </c>
      <c r="E3058" t="s">
        <v>20000</v>
      </c>
      <c r="F3058" t="s">
        <v>108</v>
      </c>
      <c r="H3058" t="s">
        <v>20001</v>
      </c>
      <c r="I3058" t="s">
        <v>110</v>
      </c>
      <c r="J3058" t="s">
        <v>111</v>
      </c>
      <c r="K3058" t="str">
        <f>"85224"</f>
        <v>85224</v>
      </c>
      <c r="L3058" t="s">
        <v>6438</v>
      </c>
      <c r="M3058" t="s">
        <v>20001</v>
      </c>
      <c r="N3058" t="s">
        <v>110</v>
      </c>
      <c r="O3058" t="s">
        <v>111</v>
      </c>
      <c r="P3058" t="str">
        <f>"85224-8305"</f>
        <v>85224-8305</v>
      </c>
      <c r="Q3058" t="s">
        <v>113</v>
      </c>
      <c r="R3058" t="str">
        <f>"302-93-001"</f>
        <v>302-93-001</v>
      </c>
      <c r="S3058" t="s">
        <v>20002</v>
      </c>
      <c r="T3058" t="s">
        <v>20003</v>
      </c>
      <c r="U3058">
        <v>1440</v>
      </c>
      <c r="V3058">
        <v>0</v>
      </c>
      <c r="W3058">
        <v>2</v>
      </c>
      <c r="X3058">
        <v>1985</v>
      </c>
      <c r="Z3058">
        <v>1</v>
      </c>
      <c r="AB3058">
        <v>0</v>
      </c>
      <c r="AC3058" t="s">
        <v>115</v>
      </c>
      <c r="AD3058">
        <v>2</v>
      </c>
      <c r="AE3058" t="s">
        <v>115</v>
      </c>
      <c r="AF3058">
        <v>0</v>
      </c>
      <c r="AG3058">
        <v>0</v>
      </c>
      <c r="AH3058" t="s">
        <v>116</v>
      </c>
      <c r="AI3058" s="1">
        <v>61405</v>
      </c>
      <c r="AJ3058" s="2">
        <v>0.22</v>
      </c>
      <c r="AK3058" s="1">
        <v>284105</v>
      </c>
      <c r="AL3058" t="s">
        <v>117</v>
      </c>
      <c r="AM3058" t="s">
        <v>5077</v>
      </c>
      <c r="AN3058">
        <v>8381</v>
      </c>
      <c r="AO3058">
        <v>0.19</v>
      </c>
      <c r="AP3058">
        <v>1</v>
      </c>
      <c r="AR3058">
        <v>1</v>
      </c>
      <c r="AS3058" s="1">
        <v>19170</v>
      </c>
      <c r="AT3058" s="1">
        <v>3830</v>
      </c>
      <c r="AU3058" s="1">
        <v>15340</v>
      </c>
      <c r="AV3058">
        <v>80.02</v>
      </c>
      <c r="AX3058" s="1">
        <v>1226.6600000000001</v>
      </c>
      <c r="AY3058" t="s">
        <v>7749</v>
      </c>
      <c r="AZ3058" t="s">
        <v>5078</v>
      </c>
      <c r="BA3058" t="s">
        <v>2957</v>
      </c>
      <c r="BE3058" s="3">
        <v>42426</v>
      </c>
      <c r="BF3058" s="1">
        <v>225000</v>
      </c>
      <c r="BG3058" t="s">
        <v>20004</v>
      </c>
      <c r="BH3058" s="1">
        <v>156.25</v>
      </c>
      <c r="BI3058" s="1">
        <v>222700</v>
      </c>
      <c r="BJ3058" s="3">
        <v>42639</v>
      </c>
      <c r="BK3058" t="s">
        <v>123</v>
      </c>
      <c r="BL3058" t="str">
        <f>"2016.697144"</f>
        <v>2016.697144</v>
      </c>
      <c r="BM3058" t="s">
        <v>1135</v>
      </c>
      <c r="BO3058" t="s">
        <v>20005</v>
      </c>
      <c r="BS3058">
        <v>30</v>
      </c>
      <c r="BW3058" t="str">
        <f>""</f>
        <v/>
      </c>
      <c r="CH3058" t="str">
        <f>""</f>
        <v/>
      </c>
      <c r="CS3058" t="str">
        <f>""</f>
        <v/>
      </c>
    </row>
    <row r="3059" spans="1:97" x14ac:dyDescent="0.25">
      <c r="A3059" t="s">
        <v>13060</v>
      </c>
      <c r="B3059" t="s">
        <v>20006</v>
      </c>
      <c r="E3059" t="s">
        <v>20007</v>
      </c>
      <c r="F3059" t="s">
        <v>108</v>
      </c>
      <c r="H3059" t="s">
        <v>20008</v>
      </c>
      <c r="I3059" t="s">
        <v>110</v>
      </c>
      <c r="J3059" t="s">
        <v>111</v>
      </c>
      <c r="K3059" t="str">
        <f>"85224"</f>
        <v>85224</v>
      </c>
      <c r="L3059" t="s">
        <v>5228</v>
      </c>
      <c r="M3059" t="s">
        <v>20008</v>
      </c>
      <c r="N3059" t="s">
        <v>110</v>
      </c>
      <c r="O3059" t="s">
        <v>111</v>
      </c>
      <c r="P3059" t="str">
        <f>"85224-1252"</f>
        <v>85224-1252</v>
      </c>
      <c r="Q3059" t="s">
        <v>113</v>
      </c>
      <c r="R3059" t="str">
        <f>"302-78-443"</f>
        <v>302-78-443</v>
      </c>
      <c r="S3059" t="s">
        <v>7139</v>
      </c>
      <c r="T3059" t="s">
        <v>7140</v>
      </c>
      <c r="U3059">
        <v>2108</v>
      </c>
      <c r="V3059">
        <v>0</v>
      </c>
      <c r="W3059">
        <v>2</v>
      </c>
      <c r="X3059">
        <v>1983</v>
      </c>
      <c r="Z3059">
        <v>1</v>
      </c>
      <c r="AA3059" t="s">
        <v>26</v>
      </c>
      <c r="AB3059">
        <v>0</v>
      </c>
      <c r="AC3059" t="s">
        <v>115</v>
      </c>
      <c r="AD3059">
        <v>2</v>
      </c>
      <c r="AE3059" t="s">
        <v>115</v>
      </c>
      <c r="AF3059">
        <v>0</v>
      </c>
      <c r="AG3059">
        <v>0</v>
      </c>
      <c r="AH3059" t="s">
        <v>116</v>
      </c>
      <c r="AI3059" s="1">
        <v>139448</v>
      </c>
      <c r="AJ3059" s="2">
        <v>0.41</v>
      </c>
      <c r="AK3059" s="1">
        <v>341909</v>
      </c>
      <c r="AL3059" t="s">
        <v>117</v>
      </c>
      <c r="AM3059" t="s">
        <v>5077</v>
      </c>
      <c r="AN3059">
        <v>8355</v>
      </c>
      <c r="AO3059">
        <v>0.19</v>
      </c>
      <c r="AP3059">
        <v>1</v>
      </c>
      <c r="AR3059">
        <v>1</v>
      </c>
      <c r="AS3059" s="1">
        <v>23870</v>
      </c>
      <c r="AT3059" s="1">
        <v>4770</v>
      </c>
      <c r="AU3059" s="1">
        <v>19100</v>
      </c>
      <c r="AV3059">
        <v>80.02</v>
      </c>
      <c r="AX3059" s="1">
        <v>1726.62</v>
      </c>
      <c r="AY3059" t="s">
        <v>5310</v>
      </c>
      <c r="AZ3059" t="s">
        <v>5310</v>
      </c>
      <c r="BA3059" t="s">
        <v>5311</v>
      </c>
      <c r="BE3059" s="3">
        <v>41743</v>
      </c>
      <c r="BF3059" s="1">
        <v>198200</v>
      </c>
      <c r="BG3059" t="s">
        <v>20009</v>
      </c>
      <c r="BH3059" s="1">
        <v>94.02</v>
      </c>
      <c r="BI3059" s="1">
        <v>202461</v>
      </c>
      <c r="BJ3059" s="3">
        <v>41743</v>
      </c>
      <c r="BK3059" t="s">
        <v>123</v>
      </c>
      <c r="BL3059" t="str">
        <f>"2014.238017"</f>
        <v>2014.238017</v>
      </c>
      <c r="BM3059" t="s">
        <v>820</v>
      </c>
      <c r="BO3059" t="s">
        <v>20010</v>
      </c>
      <c r="BS3059">
        <v>30</v>
      </c>
      <c r="BW3059" t="str">
        <f>""</f>
        <v/>
      </c>
      <c r="CH3059" t="str">
        <f>""</f>
        <v/>
      </c>
      <c r="CS3059" t="str">
        <f>""</f>
        <v/>
      </c>
    </row>
    <row r="3060" spans="1:97" x14ac:dyDescent="0.25">
      <c r="A3060" t="s">
        <v>1444</v>
      </c>
      <c r="B3060" t="s">
        <v>20011</v>
      </c>
      <c r="E3060" t="s">
        <v>20012</v>
      </c>
      <c r="F3060" t="s">
        <v>108</v>
      </c>
      <c r="H3060" t="s">
        <v>20013</v>
      </c>
      <c r="I3060" t="s">
        <v>167</v>
      </c>
      <c r="J3060" t="s">
        <v>111</v>
      </c>
      <c r="K3060" t="str">
        <f>"85339"</f>
        <v>85339</v>
      </c>
      <c r="L3060" t="s">
        <v>5367</v>
      </c>
      <c r="M3060" t="s">
        <v>20013</v>
      </c>
      <c r="N3060" t="s">
        <v>167</v>
      </c>
      <c r="O3060" t="s">
        <v>111</v>
      </c>
      <c r="P3060" t="str">
        <f>"85339-7079"</f>
        <v>85339-7079</v>
      </c>
      <c r="Q3060" t="s">
        <v>113</v>
      </c>
      <c r="R3060" t="str">
        <f>"104-87-245"</f>
        <v>104-87-245</v>
      </c>
      <c r="S3060" t="s">
        <v>12188</v>
      </c>
      <c r="U3060">
        <v>2423</v>
      </c>
      <c r="V3060">
        <v>0</v>
      </c>
      <c r="W3060">
        <v>3</v>
      </c>
      <c r="X3060">
        <v>2016</v>
      </c>
      <c r="Z3060">
        <v>1</v>
      </c>
      <c r="AB3060">
        <v>0</v>
      </c>
      <c r="AC3060" t="s">
        <v>115</v>
      </c>
      <c r="AD3060">
        <v>2</v>
      </c>
      <c r="AE3060" t="s">
        <v>115</v>
      </c>
      <c r="AF3060">
        <v>0</v>
      </c>
      <c r="AG3060">
        <v>0</v>
      </c>
      <c r="AH3060" t="s">
        <v>116</v>
      </c>
      <c r="AI3060" s="1">
        <v>45086</v>
      </c>
      <c r="AJ3060" s="2">
        <v>0.15</v>
      </c>
      <c r="AK3060" s="1">
        <v>298086</v>
      </c>
      <c r="AL3060" t="s">
        <v>117</v>
      </c>
      <c r="AM3060" t="s">
        <v>760</v>
      </c>
      <c r="AN3060">
        <v>7869</v>
      </c>
      <c r="AO3060">
        <v>0.18</v>
      </c>
      <c r="AR3060">
        <v>1</v>
      </c>
      <c r="AS3060" s="1">
        <v>21620</v>
      </c>
      <c r="AT3060" s="1">
        <v>4320</v>
      </c>
      <c r="AU3060" s="1">
        <v>17300</v>
      </c>
      <c r="AV3060">
        <v>80.02</v>
      </c>
      <c r="AX3060" s="1">
        <v>2763.72</v>
      </c>
      <c r="AY3060" t="s">
        <v>172</v>
      </c>
      <c r="AZ3060" t="s">
        <v>172</v>
      </c>
      <c r="BA3060" t="s">
        <v>173</v>
      </c>
      <c r="BE3060" s="3">
        <v>42538</v>
      </c>
      <c r="BF3060" s="1">
        <v>247710</v>
      </c>
      <c r="BG3060" t="s">
        <v>233</v>
      </c>
      <c r="BH3060" s="1">
        <v>102.23</v>
      </c>
      <c r="BI3060" s="1">
        <v>253000</v>
      </c>
      <c r="BJ3060" s="3">
        <v>42538</v>
      </c>
      <c r="BK3060" t="s">
        <v>123</v>
      </c>
      <c r="BL3060" t="str">
        <f>"2016.425507"</f>
        <v>2016.425507</v>
      </c>
      <c r="BM3060" t="s">
        <v>124</v>
      </c>
      <c r="BO3060" t="s">
        <v>20014</v>
      </c>
      <c r="BS3060">
        <v>30</v>
      </c>
      <c r="BW3060" t="str">
        <f>""</f>
        <v/>
      </c>
      <c r="CH3060" t="str">
        <f>""</f>
        <v/>
      </c>
      <c r="CS3060" t="str">
        <f>""</f>
        <v/>
      </c>
    </row>
    <row r="3061" spans="1:97" x14ac:dyDescent="0.25">
      <c r="B3061" t="s">
        <v>20015</v>
      </c>
      <c r="E3061" t="s">
        <v>20016</v>
      </c>
      <c r="F3061" t="s">
        <v>108</v>
      </c>
      <c r="H3061" t="s">
        <v>20017</v>
      </c>
      <c r="I3061" t="s">
        <v>225</v>
      </c>
      <c r="J3061" t="s">
        <v>111</v>
      </c>
      <c r="K3061" t="str">
        <f>"85209"</f>
        <v>85209</v>
      </c>
      <c r="L3061" t="s">
        <v>2820</v>
      </c>
      <c r="M3061" t="s">
        <v>20017</v>
      </c>
      <c r="N3061" t="s">
        <v>225</v>
      </c>
      <c r="O3061" t="s">
        <v>111</v>
      </c>
      <c r="P3061" t="str">
        <f>"85209-7213"</f>
        <v>85209-7213</v>
      </c>
      <c r="Q3061" t="s">
        <v>113</v>
      </c>
      <c r="R3061" t="str">
        <f>"309-09-322"</f>
        <v>309-09-322</v>
      </c>
      <c r="S3061" t="s">
        <v>13411</v>
      </c>
      <c r="T3061" t="s">
        <v>6551</v>
      </c>
      <c r="U3061">
        <v>2212</v>
      </c>
      <c r="V3061">
        <v>0</v>
      </c>
      <c r="W3061">
        <v>4</v>
      </c>
      <c r="X3061">
        <v>1996</v>
      </c>
      <c r="Z3061">
        <v>2</v>
      </c>
      <c r="AA3061" t="s">
        <v>26</v>
      </c>
      <c r="AB3061">
        <v>0</v>
      </c>
      <c r="AC3061" t="s">
        <v>115</v>
      </c>
      <c r="AD3061">
        <v>2</v>
      </c>
      <c r="AE3061" t="s">
        <v>115</v>
      </c>
      <c r="AF3061">
        <v>0</v>
      </c>
      <c r="AG3061">
        <v>0</v>
      </c>
      <c r="AH3061" t="s">
        <v>116</v>
      </c>
      <c r="AI3061" s="1">
        <v>57035</v>
      </c>
      <c r="AJ3061" s="2">
        <v>0.17</v>
      </c>
      <c r="AK3061" s="1">
        <v>344565</v>
      </c>
      <c r="AL3061" t="s">
        <v>117</v>
      </c>
      <c r="AM3061" t="s">
        <v>191</v>
      </c>
      <c r="AN3061">
        <v>9209</v>
      </c>
      <c r="AO3061">
        <v>0.21</v>
      </c>
      <c r="AP3061">
        <v>1</v>
      </c>
      <c r="AR3061">
        <v>1</v>
      </c>
      <c r="AS3061" s="1">
        <v>24120</v>
      </c>
      <c r="AT3061" s="1">
        <v>4820</v>
      </c>
      <c r="AU3061" s="1">
        <v>19300</v>
      </c>
      <c r="AV3061">
        <v>80.02</v>
      </c>
      <c r="AX3061" s="1">
        <v>1711.02</v>
      </c>
      <c r="AY3061" t="s">
        <v>6552</v>
      </c>
      <c r="AZ3061" t="s">
        <v>571</v>
      </c>
      <c r="BA3061" t="s">
        <v>572</v>
      </c>
      <c r="BB3061" s="3">
        <v>42599</v>
      </c>
      <c r="BD3061" t="s">
        <v>480</v>
      </c>
      <c r="BE3061" s="3">
        <v>41648</v>
      </c>
      <c r="BF3061" s="1">
        <v>275000</v>
      </c>
      <c r="BG3061" t="s">
        <v>20018</v>
      </c>
      <c r="BH3061" s="1">
        <v>124.32</v>
      </c>
      <c r="BI3061" s="1">
        <v>287530</v>
      </c>
      <c r="BJ3061" s="3">
        <v>42045</v>
      </c>
      <c r="BK3061" t="s">
        <v>123</v>
      </c>
      <c r="BL3061" t="str">
        <f>"2015.86587"</f>
        <v>2015.86587</v>
      </c>
      <c r="BM3061" t="s">
        <v>150</v>
      </c>
      <c r="BO3061" t="s">
        <v>20019</v>
      </c>
      <c r="BS3061">
        <v>30</v>
      </c>
      <c r="BW3061" t="str">
        <f>""</f>
        <v/>
      </c>
      <c r="CH3061" t="str">
        <f>""</f>
        <v/>
      </c>
      <c r="CS3061" t="str">
        <f>""</f>
        <v/>
      </c>
    </row>
    <row r="3062" spans="1:97" x14ac:dyDescent="0.25">
      <c r="A3062" t="s">
        <v>1272</v>
      </c>
      <c r="B3062" t="s">
        <v>20020</v>
      </c>
      <c r="C3062" t="s">
        <v>179</v>
      </c>
      <c r="D3062" t="s">
        <v>20021</v>
      </c>
      <c r="E3062" t="s">
        <v>20022</v>
      </c>
      <c r="F3062" t="s">
        <v>108</v>
      </c>
      <c r="H3062" t="s">
        <v>20023</v>
      </c>
      <c r="I3062" t="s">
        <v>390</v>
      </c>
      <c r="J3062" t="s">
        <v>111</v>
      </c>
      <c r="K3062" t="str">
        <f>"85022"</f>
        <v>85022</v>
      </c>
      <c r="L3062" t="s">
        <v>2547</v>
      </c>
      <c r="M3062" t="s">
        <v>20023</v>
      </c>
      <c r="N3062" t="s">
        <v>390</v>
      </c>
      <c r="O3062" t="s">
        <v>111</v>
      </c>
      <c r="P3062" t="str">
        <f>"85022-2226"</f>
        <v>85022-2226</v>
      </c>
      <c r="Q3062" t="s">
        <v>113</v>
      </c>
      <c r="R3062" t="str">
        <f>"214-08-171"</f>
        <v>214-08-171</v>
      </c>
      <c r="S3062" t="s">
        <v>20024</v>
      </c>
      <c r="T3062" t="s">
        <v>20024</v>
      </c>
      <c r="U3062">
        <v>1375</v>
      </c>
      <c r="V3062">
        <v>0</v>
      </c>
      <c r="W3062">
        <v>3</v>
      </c>
      <c r="X3062">
        <v>1995</v>
      </c>
      <c r="Z3062">
        <v>1</v>
      </c>
      <c r="AB3062">
        <v>0</v>
      </c>
      <c r="AC3062" t="s">
        <v>115</v>
      </c>
      <c r="AD3062">
        <v>2</v>
      </c>
      <c r="AE3062" t="s">
        <v>115</v>
      </c>
      <c r="AF3062">
        <v>0</v>
      </c>
      <c r="AG3062">
        <v>0</v>
      </c>
      <c r="AH3062" t="s">
        <v>116</v>
      </c>
      <c r="AI3062" s="1">
        <v>-7781</v>
      </c>
      <c r="AJ3062" s="2">
        <v>-0.03</v>
      </c>
      <c r="AK3062" s="1">
        <v>254601</v>
      </c>
      <c r="AL3062" t="s">
        <v>117</v>
      </c>
      <c r="AM3062" t="s">
        <v>191</v>
      </c>
      <c r="AN3062">
        <v>5350</v>
      </c>
      <c r="AO3062">
        <v>0.12</v>
      </c>
      <c r="AP3062">
        <v>1</v>
      </c>
      <c r="AR3062">
        <v>1</v>
      </c>
      <c r="AS3062" s="1">
        <v>17160</v>
      </c>
      <c r="AT3062" s="1">
        <v>3430</v>
      </c>
      <c r="AU3062" s="1">
        <v>13730</v>
      </c>
      <c r="AV3062">
        <v>80.010000000000005</v>
      </c>
      <c r="AX3062" s="1">
        <v>1274.26</v>
      </c>
      <c r="AY3062" t="s">
        <v>2549</v>
      </c>
      <c r="AZ3062" t="s">
        <v>2550</v>
      </c>
      <c r="BA3062" t="s">
        <v>2551</v>
      </c>
      <c r="BE3062" s="3">
        <v>42004</v>
      </c>
      <c r="BF3062" s="1">
        <v>225000</v>
      </c>
      <c r="BG3062" t="s">
        <v>20025</v>
      </c>
      <c r="BH3062" s="1">
        <v>163.63999999999999</v>
      </c>
      <c r="BI3062" s="1">
        <v>262382</v>
      </c>
      <c r="BJ3062" s="3">
        <v>43087</v>
      </c>
      <c r="BK3062" t="s">
        <v>123</v>
      </c>
      <c r="BL3062" t="str">
        <f>"2017.932302"</f>
        <v>2017.932302</v>
      </c>
      <c r="BM3062" t="s">
        <v>361</v>
      </c>
      <c r="BO3062" t="s">
        <v>20026</v>
      </c>
      <c r="BP3062" t="s">
        <v>20027</v>
      </c>
      <c r="BS3062">
        <v>31</v>
      </c>
      <c r="BW3062" t="str">
        <f>""</f>
        <v/>
      </c>
      <c r="CH3062" t="str">
        <f>""</f>
        <v/>
      </c>
      <c r="CS3062" t="str">
        <f>""</f>
        <v/>
      </c>
    </row>
    <row r="3063" spans="1:97" x14ac:dyDescent="0.25">
      <c r="A3063" t="s">
        <v>18578</v>
      </c>
      <c r="B3063" t="s">
        <v>2434</v>
      </c>
      <c r="E3063" t="s">
        <v>20028</v>
      </c>
      <c r="F3063" t="s">
        <v>108</v>
      </c>
      <c r="H3063" t="s">
        <v>20029</v>
      </c>
      <c r="I3063" t="s">
        <v>110</v>
      </c>
      <c r="J3063" t="s">
        <v>111</v>
      </c>
      <c r="K3063" t="str">
        <f>"85226"</f>
        <v>85226</v>
      </c>
      <c r="L3063" t="s">
        <v>7339</v>
      </c>
      <c r="M3063" t="s">
        <v>20029</v>
      </c>
      <c r="N3063" t="s">
        <v>110</v>
      </c>
      <c r="O3063" t="s">
        <v>111</v>
      </c>
      <c r="P3063" t="str">
        <f>"85226-3629"</f>
        <v>85226-3629</v>
      </c>
      <c r="Q3063" t="s">
        <v>113</v>
      </c>
      <c r="R3063" t="str">
        <f>"301-88-537"</f>
        <v>301-88-537</v>
      </c>
      <c r="S3063" t="s">
        <v>20030</v>
      </c>
      <c r="U3063">
        <v>1378</v>
      </c>
      <c r="V3063">
        <v>0</v>
      </c>
      <c r="W3063">
        <v>3</v>
      </c>
      <c r="X3063">
        <v>1987</v>
      </c>
      <c r="Z3063">
        <v>2</v>
      </c>
      <c r="AA3063" t="s">
        <v>26</v>
      </c>
      <c r="AB3063">
        <v>0</v>
      </c>
      <c r="AC3063" t="s">
        <v>115</v>
      </c>
      <c r="AD3063">
        <v>2</v>
      </c>
      <c r="AE3063" t="s">
        <v>115</v>
      </c>
      <c r="AF3063">
        <v>0</v>
      </c>
      <c r="AG3063">
        <v>0</v>
      </c>
      <c r="AH3063" t="s">
        <v>116</v>
      </c>
      <c r="AI3063" s="1">
        <v>78401</v>
      </c>
      <c r="AJ3063" s="2">
        <v>0.27</v>
      </c>
      <c r="AK3063" s="1">
        <v>292813</v>
      </c>
      <c r="AL3063" t="s">
        <v>117</v>
      </c>
      <c r="AM3063" t="s">
        <v>118</v>
      </c>
      <c r="AN3063">
        <v>5728</v>
      </c>
      <c r="AO3063">
        <v>0.13</v>
      </c>
      <c r="AP3063">
        <v>1</v>
      </c>
      <c r="AR3063">
        <v>1</v>
      </c>
      <c r="AS3063" s="1">
        <v>20160</v>
      </c>
      <c r="AT3063" s="1">
        <v>4030</v>
      </c>
      <c r="AU3063" s="1">
        <v>16130</v>
      </c>
      <c r="AV3063">
        <v>80.010000000000005</v>
      </c>
      <c r="AX3063" s="1">
        <v>1428.9</v>
      </c>
      <c r="AY3063" t="s">
        <v>5200</v>
      </c>
      <c r="AZ3063" t="s">
        <v>5201</v>
      </c>
      <c r="BA3063" t="s">
        <v>5202</v>
      </c>
      <c r="BE3063" s="3">
        <v>41864</v>
      </c>
      <c r="BF3063" s="1">
        <v>209900</v>
      </c>
      <c r="BG3063" t="s">
        <v>20031</v>
      </c>
      <c r="BH3063" s="1">
        <v>152.32</v>
      </c>
      <c r="BI3063" s="1">
        <v>214412</v>
      </c>
      <c r="BJ3063" s="3">
        <v>41864</v>
      </c>
      <c r="BK3063" t="s">
        <v>123</v>
      </c>
      <c r="BL3063" t="str">
        <f>"2014.533519"</f>
        <v>2014.533519</v>
      </c>
      <c r="BM3063" t="s">
        <v>5253</v>
      </c>
      <c r="BO3063" t="s">
        <v>20032</v>
      </c>
      <c r="BS3063">
        <v>30</v>
      </c>
      <c r="BW3063" t="str">
        <f>""</f>
        <v/>
      </c>
      <c r="CH3063" t="str">
        <f>""</f>
        <v/>
      </c>
      <c r="CS3063" t="str">
        <f>""</f>
        <v/>
      </c>
    </row>
    <row r="3064" spans="1:97" x14ac:dyDescent="0.25">
      <c r="B3064" t="s">
        <v>20033</v>
      </c>
      <c r="C3064" t="s">
        <v>4863</v>
      </c>
      <c r="E3064" t="s">
        <v>7143</v>
      </c>
      <c r="F3064" t="s">
        <v>139</v>
      </c>
      <c r="H3064" t="s">
        <v>20034</v>
      </c>
      <c r="I3064" t="s">
        <v>390</v>
      </c>
      <c r="J3064" t="s">
        <v>111</v>
      </c>
      <c r="K3064" t="str">
        <f>"85020"</f>
        <v>85020</v>
      </c>
      <c r="L3064" t="s">
        <v>3430</v>
      </c>
      <c r="M3064" t="s">
        <v>20034</v>
      </c>
      <c r="N3064" t="s">
        <v>390</v>
      </c>
      <c r="O3064" t="s">
        <v>111</v>
      </c>
      <c r="P3064" t="str">
        <f>"85020-3516"</f>
        <v>85020-3516</v>
      </c>
      <c r="Q3064" t="s">
        <v>113</v>
      </c>
      <c r="R3064" t="str">
        <f>"160-53-084"</f>
        <v>160-53-084</v>
      </c>
      <c r="S3064" t="s">
        <v>20035</v>
      </c>
      <c r="T3064" t="s">
        <v>20036</v>
      </c>
      <c r="U3064">
        <v>2091</v>
      </c>
      <c r="V3064">
        <v>0</v>
      </c>
      <c r="W3064">
        <v>3</v>
      </c>
      <c r="X3064">
        <v>1956</v>
      </c>
      <c r="Z3064">
        <v>1</v>
      </c>
      <c r="AB3064">
        <v>0</v>
      </c>
      <c r="AC3064" t="s">
        <v>115</v>
      </c>
      <c r="AD3064">
        <v>2</v>
      </c>
      <c r="AE3064" t="s">
        <v>115</v>
      </c>
      <c r="AF3064">
        <v>0</v>
      </c>
      <c r="AG3064">
        <v>0</v>
      </c>
      <c r="AH3064" t="s">
        <v>116</v>
      </c>
      <c r="AI3064" s="1">
        <v>115022</v>
      </c>
      <c r="AJ3064" s="2">
        <v>0.31</v>
      </c>
      <c r="AK3064" s="1">
        <v>368107</v>
      </c>
      <c r="AL3064" t="s">
        <v>117</v>
      </c>
      <c r="AM3064" t="s">
        <v>191</v>
      </c>
      <c r="AN3064">
        <v>7984</v>
      </c>
      <c r="AO3064">
        <v>0.18</v>
      </c>
      <c r="AP3064">
        <v>1</v>
      </c>
      <c r="AR3064">
        <v>1</v>
      </c>
      <c r="AS3064" s="1">
        <v>28330</v>
      </c>
      <c r="AT3064" s="1">
        <v>5660</v>
      </c>
      <c r="AU3064" s="1">
        <v>22670</v>
      </c>
      <c r="AV3064">
        <v>80.02</v>
      </c>
      <c r="AX3064" s="1">
        <v>3114.12</v>
      </c>
      <c r="AY3064" t="s">
        <v>20037</v>
      </c>
      <c r="AZ3064" t="s">
        <v>6148</v>
      </c>
      <c r="BA3064" t="s">
        <v>6149</v>
      </c>
      <c r="BB3064" s="3">
        <v>43154</v>
      </c>
      <c r="BC3064" s="1">
        <v>0</v>
      </c>
      <c r="BD3064" t="s">
        <v>247</v>
      </c>
      <c r="BE3064" s="3">
        <v>41648</v>
      </c>
      <c r="BF3064" s="1">
        <v>227500</v>
      </c>
      <c r="BG3064" t="s">
        <v>20038</v>
      </c>
      <c r="BH3064" s="1">
        <v>108.8</v>
      </c>
      <c r="BI3064" s="1">
        <v>253085</v>
      </c>
      <c r="BJ3064" s="3">
        <v>43105</v>
      </c>
      <c r="BK3064" t="s">
        <v>123</v>
      </c>
      <c r="BL3064" t="str">
        <f>"2018.10627"</f>
        <v>2018.10627</v>
      </c>
      <c r="BM3064" t="s">
        <v>361</v>
      </c>
      <c r="BN3064" t="s">
        <v>884</v>
      </c>
      <c r="BO3064" t="s">
        <v>20039</v>
      </c>
      <c r="BP3064" t="s">
        <v>20040</v>
      </c>
      <c r="BR3064" t="s">
        <v>139</v>
      </c>
      <c r="BW3064" t="str">
        <f>""</f>
        <v/>
      </c>
      <c r="CH3064" t="str">
        <f>""</f>
        <v/>
      </c>
      <c r="CS3064" t="str">
        <f>""</f>
        <v/>
      </c>
    </row>
    <row r="3065" spans="1:97" x14ac:dyDescent="0.25">
      <c r="A3065" t="s">
        <v>6619</v>
      </c>
      <c r="B3065" t="s">
        <v>20041</v>
      </c>
      <c r="C3065" t="s">
        <v>4406</v>
      </c>
      <c r="D3065" t="s">
        <v>20041</v>
      </c>
      <c r="E3065" t="s">
        <v>20042</v>
      </c>
      <c r="F3065" t="s">
        <v>108</v>
      </c>
      <c r="H3065" t="s">
        <v>20043</v>
      </c>
      <c r="I3065" t="s">
        <v>453</v>
      </c>
      <c r="J3065" t="s">
        <v>111</v>
      </c>
      <c r="K3065" t="str">
        <f>"85383"</f>
        <v>85383</v>
      </c>
      <c r="L3065" t="s">
        <v>6316</v>
      </c>
      <c r="M3065" t="s">
        <v>20043</v>
      </c>
      <c r="N3065" t="s">
        <v>453</v>
      </c>
      <c r="O3065" t="s">
        <v>111</v>
      </c>
      <c r="P3065" t="str">
        <f>"85383-3156"</f>
        <v>85383-3156</v>
      </c>
      <c r="Q3065" t="s">
        <v>113</v>
      </c>
      <c r="R3065" t="str">
        <f>"231-27-291"</f>
        <v>231-27-291</v>
      </c>
      <c r="S3065" t="s">
        <v>10305</v>
      </c>
      <c r="U3065">
        <v>2634</v>
      </c>
      <c r="V3065">
        <v>0</v>
      </c>
      <c r="W3065">
        <v>4</v>
      </c>
      <c r="X3065">
        <v>2001</v>
      </c>
      <c r="Z3065">
        <v>2</v>
      </c>
      <c r="AA3065" t="s">
        <v>26</v>
      </c>
      <c r="AB3065">
        <v>0</v>
      </c>
      <c r="AC3065" t="s">
        <v>115</v>
      </c>
      <c r="AD3065">
        <v>2</v>
      </c>
      <c r="AE3065" t="s">
        <v>115</v>
      </c>
      <c r="AF3065">
        <v>0</v>
      </c>
      <c r="AG3065">
        <v>0</v>
      </c>
      <c r="AH3065" t="s">
        <v>116</v>
      </c>
      <c r="AI3065" s="1">
        <v>72788</v>
      </c>
      <c r="AJ3065" s="2">
        <v>0.19</v>
      </c>
      <c r="AK3065" s="1">
        <v>379515</v>
      </c>
      <c r="AL3065" t="s">
        <v>117</v>
      </c>
      <c r="AM3065" t="s">
        <v>118</v>
      </c>
      <c r="AN3065">
        <v>7239</v>
      </c>
      <c r="AO3065">
        <v>0.17</v>
      </c>
      <c r="AP3065">
        <v>1</v>
      </c>
      <c r="AR3065">
        <v>1</v>
      </c>
      <c r="AS3065" s="1">
        <v>26070</v>
      </c>
      <c r="AT3065" s="1">
        <v>5210</v>
      </c>
      <c r="AU3065" s="1">
        <v>20860</v>
      </c>
      <c r="AV3065">
        <v>80.02</v>
      </c>
      <c r="AX3065" s="1">
        <v>3032.52</v>
      </c>
      <c r="AY3065" t="s">
        <v>4218</v>
      </c>
      <c r="AZ3065" t="s">
        <v>4218</v>
      </c>
      <c r="BA3065" t="s">
        <v>4219</v>
      </c>
      <c r="BE3065" s="3">
        <v>42207</v>
      </c>
      <c r="BF3065" s="1">
        <v>310000</v>
      </c>
      <c r="BG3065" t="s">
        <v>20044</v>
      </c>
      <c r="BH3065" s="1">
        <v>117.69</v>
      </c>
      <c r="BI3065" s="1">
        <v>306727</v>
      </c>
      <c r="BJ3065" s="3">
        <v>43038</v>
      </c>
      <c r="BK3065" t="s">
        <v>123</v>
      </c>
      <c r="BL3065" t="str">
        <f>"2017.804252"</f>
        <v>2017.804252</v>
      </c>
      <c r="BM3065" t="s">
        <v>20045</v>
      </c>
      <c r="BO3065" t="s">
        <v>20046</v>
      </c>
      <c r="BS3065">
        <v>30</v>
      </c>
      <c r="BW3065" t="str">
        <f>""</f>
        <v/>
      </c>
      <c r="CH3065" t="str">
        <f>""</f>
        <v/>
      </c>
      <c r="CS3065" t="str">
        <f>""</f>
        <v/>
      </c>
    </row>
    <row r="3066" spans="1:97" x14ac:dyDescent="0.25">
      <c r="A3066" t="s">
        <v>20047</v>
      </c>
      <c r="B3066" t="s">
        <v>6495</v>
      </c>
      <c r="E3066" t="s">
        <v>20048</v>
      </c>
      <c r="F3066" t="s">
        <v>108</v>
      </c>
      <c r="H3066" t="s">
        <v>20049</v>
      </c>
      <c r="I3066" t="s">
        <v>453</v>
      </c>
      <c r="J3066" t="s">
        <v>111</v>
      </c>
      <c r="K3066" t="str">
        <f>"85383"</f>
        <v>85383</v>
      </c>
      <c r="L3066" t="s">
        <v>7235</v>
      </c>
      <c r="M3066" t="s">
        <v>20049</v>
      </c>
      <c r="N3066" t="s">
        <v>453</v>
      </c>
      <c r="O3066" t="s">
        <v>111</v>
      </c>
      <c r="P3066" t="str">
        <f>"85383-3528"</f>
        <v>85383-3528</v>
      </c>
      <c r="Q3066" t="s">
        <v>113</v>
      </c>
      <c r="R3066" t="str">
        <f>"503-55-393"</f>
        <v>503-55-393</v>
      </c>
      <c r="S3066" t="s">
        <v>7236</v>
      </c>
      <c r="T3066" t="s">
        <v>7237</v>
      </c>
      <c r="U3066">
        <v>1657</v>
      </c>
      <c r="V3066">
        <v>0</v>
      </c>
      <c r="W3066">
        <v>3</v>
      </c>
      <c r="X3066">
        <v>2015</v>
      </c>
      <c r="Z3066">
        <v>1</v>
      </c>
      <c r="AB3066">
        <v>0</v>
      </c>
      <c r="AC3066" t="s">
        <v>115</v>
      </c>
      <c r="AD3066">
        <v>2</v>
      </c>
      <c r="AE3066" t="s">
        <v>115</v>
      </c>
      <c r="AF3066">
        <v>0</v>
      </c>
      <c r="AG3066">
        <v>0</v>
      </c>
      <c r="AH3066" t="s">
        <v>116</v>
      </c>
      <c r="AI3066" s="1">
        <v>57629</v>
      </c>
      <c r="AJ3066" s="2">
        <v>0.18</v>
      </c>
      <c r="AK3066" s="1">
        <v>311698</v>
      </c>
      <c r="AL3066" t="s">
        <v>117</v>
      </c>
      <c r="AM3066" t="s">
        <v>229</v>
      </c>
      <c r="AN3066">
        <v>4950</v>
      </c>
      <c r="AO3066">
        <v>0.11</v>
      </c>
      <c r="AR3066">
        <v>1</v>
      </c>
      <c r="AS3066" s="1">
        <v>20450</v>
      </c>
      <c r="AT3066" s="1">
        <v>4090</v>
      </c>
      <c r="AU3066" s="1">
        <v>16360</v>
      </c>
      <c r="AV3066">
        <v>80</v>
      </c>
      <c r="AX3066" s="1">
        <v>1848.58</v>
      </c>
      <c r="AY3066" t="s">
        <v>456</v>
      </c>
      <c r="AZ3066" t="s">
        <v>456</v>
      </c>
      <c r="BA3066" t="s">
        <v>457</v>
      </c>
      <c r="BE3066" s="3">
        <v>42178</v>
      </c>
      <c r="BF3066" s="1">
        <v>217064</v>
      </c>
      <c r="BG3066" t="s">
        <v>20050</v>
      </c>
      <c r="BH3066" s="1">
        <v>131</v>
      </c>
      <c r="BI3066" s="1">
        <v>254069</v>
      </c>
      <c r="BJ3066" s="3">
        <v>43140</v>
      </c>
      <c r="BK3066" t="s">
        <v>123</v>
      </c>
      <c r="BL3066" t="str">
        <f>"2018.100880"</f>
        <v>2018.100880</v>
      </c>
      <c r="BM3066" t="s">
        <v>4672</v>
      </c>
      <c r="BN3066" t="s">
        <v>1922</v>
      </c>
      <c r="BO3066" t="s">
        <v>20051</v>
      </c>
      <c r="BR3066" t="s">
        <v>139</v>
      </c>
      <c r="BW3066" t="str">
        <f>""</f>
        <v/>
      </c>
      <c r="CH3066" t="str">
        <f>""</f>
        <v/>
      </c>
      <c r="CS3066" t="str">
        <f>""</f>
        <v/>
      </c>
    </row>
    <row r="3067" spans="1:97" x14ac:dyDescent="0.25">
      <c r="A3067" t="s">
        <v>464</v>
      </c>
      <c r="B3067" t="s">
        <v>20052</v>
      </c>
      <c r="E3067" t="s">
        <v>20053</v>
      </c>
      <c r="F3067" t="s">
        <v>108</v>
      </c>
      <c r="H3067" t="s">
        <v>20054</v>
      </c>
      <c r="I3067" t="s">
        <v>5114</v>
      </c>
      <c r="J3067" t="s">
        <v>111</v>
      </c>
      <c r="K3067" t="str">
        <f>"85392"</f>
        <v>85392</v>
      </c>
      <c r="L3067" t="s">
        <v>1300</v>
      </c>
      <c r="M3067" t="s">
        <v>20054</v>
      </c>
      <c r="N3067" t="s">
        <v>5114</v>
      </c>
      <c r="O3067" t="s">
        <v>111</v>
      </c>
      <c r="P3067" t="str">
        <f>"85392-7150"</f>
        <v>85392-7150</v>
      </c>
      <c r="Q3067" t="s">
        <v>113</v>
      </c>
      <c r="R3067" t="str">
        <f>"501-90-161"</f>
        <v>501-90-161</v>
      </c>
      <c r="S3067" t="s">
        <v>12546</v>
      </c>
      <c r="U3067">
        <v>2232</v>
      </c>
      <c r="V3067">
        <v>0</v>
      </c>
      <c r="W3067">
        <v>3</v>
      </c>
      <c r="X3067">
        <v>1999</v>
      </c>
      <c r="Z3067">
        <v>2</v>
      </c>
      <c r="AB3067">
        <v>0</v>
      </c>
      <c r="AC3067" t="s">
        <v>115</v>
      </c>
      <c r="AD3067">
        <v>2</v>
      </c>
      <c r="AE3067" t="s">
        <v>115</v>
      </c>
      <c r="AF3067">
        <v>0</v>
      </c>
      <c r="AG3067">
        <v>0</v>
      </c>
      <c r="AH3067" t="s">
        <v>116</v>
      </c>
      <c r="AI3067" s="1">
        <v>46345</v>
      </c>
      <c r="AJ3067" s="2">
        <v>0.18</v>
      </c>
      <c r="AK3067" s="1">
        <v>254455</v>
      </c>
      <c r="AL3067" t="s">
        <v>117</v>
      </c>
      <c r="AM3067" t="s">
        <v>118</v>
      </c>
      <c r="AN3067">
        <v>4140</v>
      </c>
      <c r="AO3067">
        <v>0.95</v>
      </c>
      <c r="AP3067">
        <v>1</v>
      </c>
      <c r="AR3067">
        <v>1</v>
      </c>
      <c r="AS3067" s="1">
        <v>16880</v>
      </c>
      <c r="AT3067" s="1">
        <v>3370</v>
      </c>
      <c r="AU3067" s="1">
        <v>13510</v>
      </c>
      <c r="AV3067">
        <v>80.040000000000006</v>
      </c>
      <c r="AX3067" s="1">
        <v>1209.6600000000001</v>
      </c>
      <c r="AY3067" t="s">
        <v>7636</v>
      </c>
      <c r="AZ3067" t="s">
        <v>6701</v>
      </c>
      <c r="BA3067" t="s">
        <v>6702</v>
      </c>
      <c r="BE3067" s="3">
        <v>42170</v>
      </c>
      <c r="BF3067" s="1">
        <v>179000</v>
      </c>
      <c r="BG3067" t="s">
        <v>17494</v>
      </c>
      <c r="BH3067" s="1">
        <v>80.2</v>
      </c>
      <c r="BI3067" s="1">
        <v>208110</v>
      </c>
      <c r="BJ3067" s="3">
        <v>43018</v>
      </c>
      <c r="BK3067" t="s">
        <v>123</v>
      </c>
      <c r="BL3067" t="str">
        <f>"2017.748693"</f>
        <v>2017.748693</v>
      </c>
      <c r="BM3067" t="s">
        <v>763</v>
      </c>
      <c r="BO3067" t="s">
        <v>20055</v>
      </c>
      <c r="BS3067">
        <v>30</v>
      </c>
      <c r="BW3067" t="str">
        <f>""</f>
        <v/>
      </c>
      <c r="CH3067" t="str">
        <f>""</f>
        <v/>
      </c>
      <c r="CS3067" t="str">
        <f>""</f>
        <v/>
      </c>
    </row>
    <row r="3068" spans="1:97" x14ac:dyDescent="0.25">
      <c r="A3068" t="s">
        <v>12368</v>
      </c>
      <c r="B3068" t="s">
        <v>2654</v>
      </c>
      <c r="E3068" t="s">
        <v>20056</v>
      </c>
      <c r="F3068" t="s">
        <v>108</v>
      </c>
      <c r="H3068" t="s">
        <v>20057</v>
      </c>
      <c r="I3068" t="s">
        <v>110</v>
      </c>
      <c r="J3068" t="s">
        <v>111</v>
      </c>
      <c r="K3068" t="str">
        <f>"85225"</f>
        <v>85225</v>
      </c>
      <c r="L3068" t="s">
        <v>5138</v>
      </c>
      <c r="M3068" t="s">
        <v>20057</v>
      </c>
      <c r="N3068" t="s">
        <v>110</v>
      </c>
      <c r="O3068" t="s">
        <v>111</v>
      </c>
      <c r="P3068" t="str">
        <f>"85225-8489"</f>
        <v>85225-8489</v>
      </c>
      <c r="Q3068" t="s">
        <v>113</v>
      </c>
      <c r="R3068" t="str">
        <f>"302-38-441"</f>
        <v>302-38-441</v>
      </c>
      <c r="S3068" t="s">
        <v>20058</v>
      </c>
      <c r="T3068" t="s">
        <v>20059</v>
      </c>
      <c r="U3068">
        <v>1644</v>
      </c>
      <c r="V3068">
        <v>0</v>
      </c>
      <c r="W3068">
        <v>2</v>
      </c>
      <c r="X3068">
        <v>1984</v>
      </c>
      <c r="Z3068">
        <v>1</v>
      </c>
      <c r="AB3068">
        <v>0</v>
      </c>
      <c r="AC3068" t="s">
        <v>115</v>
      </c>
      <c r="AD3068">
        <v>2</v>
      </c>
      <c r="AE3068" t="s">
        <v>115</v>
      </c>
      <c r="AF3068">
        <v>0</v>
      </c>
      <c r="AG3068">
        <v>0</v>
      </c>
      <c r="AH3068" t="s">
        <v>116</v>
      </c>
      <c r="AI3068" s="1">
        <v>45225</v>
      </c>
      <c r="AJ3068" s="2">
        <v>0.17</v>
      </c>
      <c r="AK3068" s="1">
        <v>272485</v>
      </c>
      <c r="AL3068" t="s">
        <v>117</v>
      </c>
      <c r="AM3068" t="s">
        <v>118</v>
      </c>
      <c r="AN3068">
        <v>5345</v>
      </c>
      <c r="AO3068">
        <v>0.12</v>
      </c>
      <c r="AP3068">
        <v>1</v>
      </c>
      <c r="AR3068">
        <v>1</v>
      </c>
      <c r="AS3068" s="1">
        <v>18830</v>
      </c>
      <c r="AT3068" s="1">
        <v>3760</v>
      </c>
      <c r="AU3068" s="1">
        <v>15070</v>
      </c>
      <c r="AV3068">
        <v>80.03</v>
      </c>
      <c r="AX3068" s="1">
        <v>1309.58</v>
      </c>
      <c r="AY3068" t="s">
        <v>2956</v>
      </c>
      <c r="AZ3068" t="s">
        <v>5078</v>
      </c>
      <c r="BA3068" t="s">
        <v>2957</v>
      </c>
      <c r="BE3068" s="3">
        <v>42412</v>
      </c>
      <c r="BF3068" s="1">
        <v>190000</v>
      </c>
      <c r="BG3068" t="s">
        <v>20060</v>
      </c>
      <c r="BH3068" s="1">
        <v>115.57</v>
      </c>
      <c r="BI3068" s="1">
        <v>227260</v>
      </c>
      <c r="BJ3068" s="3">
        <v>43335</v>
      </c>
      <c r="BK3068" t="s">
        <v>123</v>
      </c>
      <c r="BL3068" t="str">
        <f>"2018.638630"</f>
        <v>2018.638630</v>
      </c>
      <c r="BM3068" t="s">
        <v>533</v>
      </c>
      <c r="BN3068" t="s">
        <v>534</v>
      </c>
      <c r="BO3068" t="s">
        <v>20061</v>
      </c>
      <c r="BR3068" t="s">
        <v>139</v>
      </c>
      <c r="BW3068" t="str">
        <f>""</f>
        <v/>
      </c>
      <c r="CH3068" t="str">
        <f>""</f>
        <v/>
      </c>
      <c r="CS3068" t="str">
        <f>""</f>
        <v/>
      </c>
    </row>
    <row r="3069" spans="1:97" x14ac:dyDescent="0.25">
      <c r="B3069" t="s">
        <v>20062</v>
      </c>
      <c r="E3069" t="s">
        <v>2894</v>
      </c>
      <c r="F3069" t="s">
        <v>108</v>
      </c>
      <c r="H3069" t="s">
        <v>20063</v>
      </c>
      <c r="I3069" t="s">
        <v>188</v>
      </c>
      <c r="J3069" t="s">
        <v>111</v>
      </c>
      <c r="K3069" t="str">
        <f>"85142"</f>
        <v>85142</v>
      </c>
      <c r="L3069" t="s">
        <v>7339</v>
      </c>
      <c r="M3069" t="s">
        <v>20063</v>
      </c>
      <c r="N3069" t="s">
        <v>188</v>
      </c>
      <c r="O3069" t="s">
        <v>111</v>
      </c>
      <c r="P3069" t="str">
        <f>"85142-6921"</f>
        <v>85142-6921</v>
      </c>
      <c r="Q3069" t="s">
        <v>113</v>
      </c>
      <c r="R3069" t="str">
        <f>"314-03-063"</f>
        <v>314-03-063</v>
      </c>
      <c r="S3069" t="s">
        <v>20064</v>
      </c>
      <c r="U3069">
        <v>2335</v>
      </c>
      <c r="V3069">
        <v>0</v>
      </c>
      <c r="W3069">
        <v>3</v>
      </c>
      <c r="X3069">
        <v>2003</v>
      </c>
      <c r="Z3069">
        <v>1</v>
      </c>
      <c r="AB3069">
        <v>0</v>
      </c>
      <c r="AC3069" t="s">
        <v>115</v>
      </c>
      <c r="AD3069">
        <v>2</v>
      </c>
      <c r="AE3069" t="s">
        <v>115</v>
      </c>
      <c r="AF3069">
        <v>0</v>
      </c>
      <c r="AG3069">
        <v>0</v>
      </c>
      <c r="AH3069" t="s">
        <v>116</v>
      </c>
      <c r="AI3069" s="1">
        <v>96590</v>
      </c>
      <c r="AJ3069" s="2">
        <v>0.31</v>
      </c>
      <c r="AK3069" s="1">
        <v>314158</v>
      </c>
      <c r="AL3069" t="s">
        <v>117</v>
      </c>
      <c r="AM3069" t="s">
        <v>191</v>
      </c>
      <c r="AN3069">
        <v>6224</v>
      </c>
      <c r="AO3069">
        <v>0.14000000000000001</v>
      </c>
      <c r="AP3069">
        <v>1</v>
      </c>
      <c r="AR3069">
        <v>1</v>
      </c>
      <c r="AS3069" s="1">
        <v>20910</v>
      </c>
      <c r="AT3069" s="1">
        <v>3990</v>
      </c>
      <c r="AU3069" s="1">
        <v>16920</v>
      </c>
      <c r="AV3069">
        <v>80.92</v>
      </c>
      <c r="AX3069" s="1">
        <v>1782.14</v>
      </c>
      <c r="AY3069" t="s">
        <v>5895</v>
      </c>
      <c r="AZ3069" t="s">
        <v>561</v>
      </c>
      <c r="BA3069" t="s">
        <v>194</v>
      </c>
      <c r="BB3069" s="3">
        <v>42597</v>
      </c>
      <c r="BD3069" t="s">
        <v>458</v>
      </c>
      <c r="BE3069" s="3">
        <v>41893</v>
      </c>
      <c r="BF3069" s="1">
        <v>215000</v>
      </c>
      <c r="BG3069" t="s">
        <v>20065</v>
      </c>
      <c r="BH3069" s="1">
        <v>92.08</v>
      </c>
      <c r="BI3069" s="1">
        <v>217568</v>
      </c>
      <c r="BJ3069" s="3">
        <v>42587</v>
      </c>
      <c r="BK3069" t="s">
        <v>123</v>
      </c>
      <c r="BL3069" t="str">
        <f>"2016.556598"</f>
        <v>2016.556598</v>
      </c>
      <c r="BM3069" t="s">
        <v>492</v>
      </c>
      <c r="BO3069" t="s">
        <v>20066</v>
      </c>
      <c r="BS3069">
        <v>30</v>
      </c>
      <c r="BW3069" t="str">
        <f>""</f>
        <v/>
      </c>
      <c r="CH3069" t="str">
        <f>""</f>
        <v/>
      </c>
      <c r="CS3069" t="str">
        <f>""</f>
        <v/>
      </c>
    </row>
    <row r="3070" spans="1:97" x14ac:dyDescent="0.25">
      <c r="A3070" t="s">
        <v>13060</v>
      </c>
      <c r="B3070" t="s">
        <v>16905</v>
      </c>
      <c r="C3070" t="s">
        <v>14647</v>
      </c>
      <c r="D3070" t="s">
        <v>16905</v>
      </c>
      <c r="E3070" t="s">
        <v>20067</v>
      </c>
      <c r="F3070" t="s">
        <v>108</v>
      </c>
      <c r="H3070" t="s">
        <v>20068</v>
      </c>
      <c r="I3070" t="s">
        <v>390</v>
      </c>
      <c r="J3070" t="s">
        <v>111</v>
      </c>
      <c r="K3070" t="str">
        <f>"85041"</f>
        <v>85041</v>
      </c>
      <c r="L3070" t="s">
        <v>6891</v>
      </c>
      <c r="M3070" t="s">
        <v>20068</v>
      </c>
      <c r="N3070" t="s">
        <v>390</v>
      </c>
      <c r="O3070" t="s">
        <v>111</v>
      </c>
      <c r="P3070" t="str">
        <f>"85041-6210"</f>
        <v>85041-6210</v>
      </c>
      <c r="Q3070" t="s">
        <v>113</v>
      </c>
      <c r="R3070" t="str">
        <f>"105-88-892"</f>
        <v>105-88-892</v>
      </c>
      <c r="S3070" t="s">
        <v>16123</v>
      </c>
      <c r="T3070" t="s">
        <v>15660</v>
      </c>
      <c r="U3070">
        <v>2275</v>
      </c>
      <c r="V3070">
        <v>0</v>
      </c>
      <c r="W3070">
        <v>3</v>
      </c>
      <c r="X3070">
        <v>2008</v>
      </c>
      <c r="Z3070">
        <v>1</v>
      </c>
      <c r="AB3070">
        <v>0</v>
      </c>
      <c r="AC3070" t="s">
        <v>115</v>
      </c>
      <c r="AD3070">
        <v>3</v>
      </c>
      <c r="AE3070" t="s">
        <v>115</v>
      </c>
      <c r="AF3070">
        <v>0</v>
      </c>
      <c r="AG3070">
        <v>0</v>
      </c>
      <c r="AH3070" t="s">
        <v>116</v>
      </c>
      <c r="AI3070" s="1">
        <v>80925</v>
      </c>
      <c r="AJ3070" s="2">
        <v>0.28000000000000003</v>
      </c>
      <c r="AK3070" s="1">
        <v>287421</v>
      </c>
      <c r="AL3070" t="s">
        <v>117</v>
      </c>
      <c r="AM3070" t="s">
        <v>760</v>
      </c>
      <c r="AN3070">
        <v>6915</v>
      </c>
      <c r="AO3070">
        <v>0.16</v>
      </c>
      <c r="AR3070">
        <v>1</v>
      </c>
      <c r="AS3070" s="1">
        <v>19430</v>
      </c>
      <c r="AT3070" s="1">
        <v>3880</v>
      </c>
      <c r="AU3070" s="1">
        <v>15550</v>
      </c>
      <c r="AV3070">
        <v>80.03</v>
      </c>
      <c r="AX3070" s="1">
        <v>2029.82</v>
      </c>
      <c r="AY3070" t="s">
        <v>5220</v>
      </c>
      <c r="AZ3070" t="s">
        <v>5220</v>
      </c>
      <c r="BA3070" t="s">
        <v>1661</v>
      </c>
      <c r="BE3070" s="3">
        <v>41920</v>
      </c>
      <c r="BF3070" s="1">
        <v>199900</v>
      </c>
      <c r="BG3070" t="s">
        <v>20069</v>
      </c>
      <c r="BH3070" s="1">
        <v>87.87</v>
      </c>
      <c r="BI3070" s="1">
        <v>206496</v>
      </c>
      <c r="BJ3070" s="3">
        <v>41920</v>
      </c>
      <c r="BK3070" t="s">
        <v>123</v>
      </c>
      <c r="BL3070" t="str">
        <f>"2014.667295"</f>
        <v>2014.667295</v>
      </c>
      <c r="BM3070" t="s">
        <v>8916</v>
      </c>
      <c r="BO3070" t="s">
        <v>20070</v>
      </c>
      <c r="BS3070">
        <v>30</v>
      </c>
      <c r="BW3070" t="str">
        <f>""</f>
        <v/>
      </c>
      <c r="CH3070" t="str">
        <f>""</f>
        <v/>
      </c>
      <c r="CS3070" t="str">
        <f>""</f>
        <v/>
      </c>
    </row>
    <row r="3071" spans="1:97" x14ac:dyDescent="0.25">
      <c r="A3071" t="s">
        <v>2402</v>
      </c>
      <c r="B3071" t="s">
        <v>2894</v>
      </c>
      <c r="C3071" t="s">
        <v>2761</v>
      </c>
      <c r="D3071" t="s">
        <v>2894</v>
      </c>
      <c r="E3071" t="s">
        <v>20071</v>
      </c>
      <c r="F3071" t="s">
        <v>108</v>
      </c>
      <c r="H3071" t="s">
        <v>20072</v>
      </c>
      <c r="I3071" t="s">
        <v>632</v>
      </c>
      <c r="J3071" t="s">
        <v>111</v>
      </c>
      <c r="K3071" t="str">
        <f>"85379"</f>
        <v>85379</v>
      </c>
      <c r="L3071" t="s">
        <v>6316</v>
      </c>
      <c r="M3071" t="s">
        <v>20072</v>
      </c>
      <c r="N3071" t="s">
        <v>632</v>
      </c>
      <c r="O3071" t="s">
        <v>111</v>
      </c>
      <c r="P3071" t="str">
        <f>"85379-6555"</f>
        <v>85379-6555</v>
      </c>
      <c r="Q3071" t="s">
        <v>113</v>
      </c>
      <c r="R3071" t="str">
        <f>"501-15-186"</f>
        <v>501-15-186</v>
      </c>
      <c r="S3071" t="s">
        <v>12313</v>
      </c>
      <c r="U3071">
        <v>2265</v>
      </c>
      <c r="V3071">
        <v>0</v>
      </c>
      <c r="W3071">
        <v>3</v>
      </c>
      <c r="X3071">
        <v>2000</v>
      </c>
      <c r="Z3071">
        <v>1</v>
      </c>
      <c r="AA3071" t="s">
        <v>26</v>
      </c>
      <c r="AB3071">
        <v>0</v>
      </c>
      <c r="AC3071" t="s">
        <v>115</v>
      </c>
      <c r="AD3071">
        <v>3</v>
      </c>
      <c r="AE3071" t="s">
        <v>115</v>
      </c>
      <c r="AF3071">
        <v>0</v>
      </c>
      <c r="AG3071">
        <v>0</v>
      </c>
      <c r="AH3071" t="s">
        <v>116</v>
      </c>
      <c r="AI3071" s="1">
        <v>83454</v>
      </c>
      <c r="AJ3071" s="2">
        <v>0.27</v>
      </c>
      <c r="AK3071" s="1">
        <v>309658</v>
      </c>
      <c r="AL3071" t="s">
        <v>117</v>
      </c>
      <c r="AM3071" t="s">
        <v>118</v>
      </c>
      <c r="AN3071">
        <v>7560</v>
      </c>
      <c r="AO3071">
        <v>0.17</v>
      </c>
      <c r="AP3071">
        <v>1</v>
      </c>
      <c r="AR3071">
        <v>1</v>
      </c>
      <c r="AS3071" s="1">
        <v>22160</v>
      </c>
      <c r="AT3071" s="1">
        <v>4430</v>
      </c>
      <c r="AU3071" s="1">
        <v>17730</v>
      </c>
      <c r="AV3071">
        <v>80.010000000000005</v>
      </c>
      <c r="AX3071" s="1">
        <v>1605.36</v>
      </c>
      <c r="AY3071" t="s">
        <v>9749</v>
      </c>
      <c r="AZ3071" t="s">
        <v>9749</v>
      </c>
      <c r="BA3071" t="s">
        <v>321</v>
      </c>
      <c r="BE3071" s="3">
        <v>41877</v>
      </c>
      <c r="BF3071" s="1">
        <v>228500</v>
      </c>
      <c r="BG3071" t="s">
        <v>20073</v>
      </c>
      <c r="BH3071" s="1">
        <v>100.88</v>
      </c>
      <c r="BI3071" s="1">
        <v>226204</v>
      </c>
      <c r="BJ3071" s="3">
        <v>42333</v>
      </c>
      <c r="BK3071" t="s">
        <v>123</v>
      </c>
      <c r="BL3071" t="str">
        <f>"2015.842844"</f>
        <v>2015.842844</v>
      </c>
      <c r="BM3071" t="s">
        <v>1185</v>
      </c>
      <c r="BO3071" t="s">
        <v>20074</v>
      </c>
      <c r="BS3071">
        <v>30</v>
      </c>
      <c r="BW3071" t="str">
        <f>""</f>
        <v/>
      </c>
      <c r="CH3071" t="str">
        <f>""</f>
        <v/>
      </c>
      <c r="CS3071" t="str">
        <f>""</f>
        <v/>
      </c>
    </row>
    <row r="3072" spans="1:97" x14ac:dyDescent="0.25">
      <c r="A3072" t="s">
        <v>894</v>
      </c>
      <c r="B3072" t="s">
        <v>15170</v>
      </c>
      <c r="C3072" t="s">
        <v>1906</v>
      </c>
      <c r="D3072" t="s">
        <v>15170</v>
      </c>
      <c r="E3072" t="s">
        <v>20075</v>
      </c>
      <c r="F3072" t="s">
        <v>108</v>
      </c>
      <c r="H3072" t="s">
        <v>20076</v>
      </c>
      <c r="I3072" t="s">
        <v>225</v>
      </c>
      <c r="J3072" t="s">
        <v>111</v>
      </c>
      <c r="K3072" t="str">
        <f>"85206"</f>
        <v>85206</v>
      </c>
      <c r="L3072" t="s">
        <v>1789</v>
      </c>
      <c r="M3072" t="s">
        <v>20076</v>
      </c>
      <c r="N3072" t="s">
        <v>225</v>
      </c>
      <c r="O3072" t="s">
        <v>111</v>
      </c>
      <c r="P3072" t="str">
        <f>"85206-3269"</f>
        <v>85206-3269</v>
      </c>
      <c r="Q3072" t="s">
        <v>113</v>
      </c>
      <c r="R3072" t="str">
        <f>"140-57-112"</f>
        <v>140-57-112</v>
      </c>
      <c r="S3072" t="s">
        <v>20077</v>
      </c>
      <c r="T3072" t="s">
        <v>20078</v>
      </c>
      <c r="U3072">
        <v>1436</v>
      </c>
      <c r="V3072">
        <v>0</v>
      </c>
      <c r="W3072">
        <v>2</v>
      </c>
      <c r="X3072">
        <v>1984</v>
      </c>
      <c r="Z3072">
        <v>1</v>
      </c>
      <c r="AA3072" t="s">
        <v>26</v>
      </c>
      <c r="AB3072">
        <v>0</v>
      </c>
      <c r="AC3072" t="s">
        <v>115</v>
      </c>
      <c r="AD3072">
        <v>2</v>
      </c>
      <c r="AE3072" t="s">
        <v>115</v>
      </c>
      <c r="AF3072">
        <v>0</v>
      </c>
      <c r="AG3072">
        <v>0</v>
      </c>
      <c r="AH3072" t="s">
        <v>116</v>
      </c>
      <c r="AI3072" s="1">
        <v>23546</v>
      </c>
      <c r="AJ3072" s="2">
        <v>0.09</v>
      </c>
      <c r="AK3072" s="1">
        <v>250806</v>
      </c>
      <c r="AL3072" t="s">
        <v>117</v>
      </c>
      <c r="AM3072" t="s">
        <v>917</v>
      </c>
      <c r="AN3072">
        <v>7860</v>
      </c>
      <c r="AO3072">
        <v>0.18</v>
      </c>
      <c r="AP3072">
        <v>1</v>
      </c>
      <c r="AR3072">
        <v>1</v>
      </c>
      <c r="AS3072" s="1">
        <v>18430</v>
      </c>
      <c r="AT3072" s="1">
        <v>3680</v>
      </c>
      <c r="AU3072" s="1">
        <v>14750</v>
      </c>
      <c r="AV3072">
        <v>80.03</v>
      </c>
      <c r="AX3072" s="1">
        <v>1218.6400000000001</v>
      </c>
      <c r="AY3072" t="s">
        <v>9360</v>
      </c>
      <c r="AZ3072" t="s">
        <v>5158</v>
      </c>
      <c r="BA3072" t="s">
        <v>5159</v>
      </c>
      <c r="BE3072" s="3">
        <v>41968</v>
      </c>
      <c r="BF3072" s="1">
        <v>176000</v>
      </c>
      <c r="BG3072" t="s">
        <v>20079</v>
      </c>
      <c r="BH3072" s="1">
        <v>122.56</v>
      </c>
      <c r="BI3072" s="1">
        <v>227260</v>
      </c>
      <c r="BJ3072" s="3">
        <v>43539</v>
      </c>
      <c r="BK3072" t="s">
        <v>123</v>
      </c>
      <c r="BL3072" t="str">
        <f>"2019.181696"</f>
        <v>2019.181696</v>
      </c>
      <c r="BM3072" t="s">
        <v>20080</v>
      </c>
      <c r="BN3072" t="s">
        <v>18284</v>
      </c>
      <c r="BO3072" t="s">
        <v>20081</v>
      </c>
      <c r="BP3072" t="s">
        <v>20082</v>
      </c>
      <c r="BR3072" t="s">
        <v>139</v>
      </c>
      <c r="BW3072" t="str">
        <f>""</f>
        <v/>
      </c>
      <c r="CH3072" t="str">
        <f>""</f>
        <v/>
      </c>
      <c r="CS3072" t="str">
        <f>""</f>
        <v/>
      </c>
    </row>
    <row r="3073" spans="1:97" x14ac:dyDescent="0.25">
      <c r="A3073" t="s">
        <v>938</v>
      </c>
      <c r="B3073" t="s">
        <v>20083</v>
      </c>
      <c r="E3073" t="s">
        <v>20084</v>
      </c>
      <c r="F3073" t="s">
        <v>108</v>
      </c>
      <c r="H3073" t="s">
        <v>20085</v>
      </c>
      <c r="I3073" t="s">
        <v>390</v>
      </c>
      <c r="J3073" t="s">
        <v>111</v>
      </c>
      <c r="K3073" t="str">
        <f>"85044"</f>
        <v>85044</v>
      </c>
      <c r="L3073" t="s">
        <v>8345</v>
      </c>
      <c r="M3073" t="s">
        <v>20085</v>
      </c>
      <c r="N3073" t="s">
        <v>390</v>
      </c>
      <c r="O3073" t="s">
        <v>111</v>
      </c>
      <c r="P3073" t="str">
        <f>"85044-3326"</f>
        <v>85044-3326</v>
      </c>
      <c r="Q3073" t="s">
        <v>113</v>
      </c>
      <c r="R3073" t="str">
        <f>"301-59-203"</f>
        <v>301-59-203</v>
      </c>
      <c r="S3073" t="s">
        <v>20086</v>
      </c>
      <c r="U3073">
        <v>1443</v>
      </c>
      <c r="V3073">
        <v>0</v>
      </c>
      <c r="W3073">
        <v>2</v>
      </c>
      <c r="X3073">
        <v>1983</v>
      </c>
      <c r="Z3073">
        <v>1</v>
      </c>
      <c r="AA3073" t="s">
        <v>26</v>
      </c>
      <c r="AB3073">
        <v>0</v>
      </c>
      <c r="AC3073" t="s">
        <v>115</v>
      </c>
      <c r="AD3073">
        <v>2</v>
      </c>
      <c r="AE3073" t="s">
        <v>115</v>
      </c>
      <c r="AF3073">
        <v>0</v>
      </c>
      <c r="AG3073">
        <v>0</v>
      </c>
      <c r="AH3073" t="s">
        <v>116</v>
      </c>
      <c r="AI3073" s="1">
        <v>60075</v>
      </c>
      <c r="AJ3073" s="2">
        <v>0.22</v>
      </c>
      <c r="AK3073" s="1">
        <v>275971</v>
      </c>
      <c r="AL3073" t="s">
        <v>117</v>
      </c>
      <c r="AM3073" t="s">
        <v>191</v>
      </c>
      <c r="AN3073">
        <v>7200</v>
      </c>
      <c r="AO3073">
        <v>0.16</v>
      </c>
      <c r="AP3073">
        <v>1</v>
      </c>
      <c r="AR3073">
        <v>1</v>
      </c>
      <c r="AS3073" s="1">
        <v>20760</v>
      </c>
      <c r="AT3073" s="1">
        <v>4150</v>
      </c>
      <c r="AU3073" s="1">
        <v>16610</v>
      </c>
      <c r="AV3073">
        <v>80.010000000000005</v>
      </c>
      <c r="AX3073" s="1">
        <v>1592.92</v>
      </c>
      <c r="AY3073" t="s">
        <v>11872</v>
      </c>
      <c r="AZ3073" t="s">
        <v>7255</v>
      </c>
      <c r="BA3073" t="s">
        <v>5328</v>
      </c>
      <c r="BE3073" s="3">
        <v>42152</v>
      </c>
      <c r="BF3073" s="1">
        <v>210000</v>
      </c>
      <c r="BG3073" t="s">
        <v>20087</v>
      </c>
      <c r="BH3073" s="1">
        <v>145.53</v>
      </c>
      <c r="BI3073" s="1">
        <v>215896</v>
      </c>
      <c r="BJ3073" s="3">
        <v>42632</v>
      </c>
      <c r="BK3073" t="s">
        <v>123</v>
      </c>
      <c r="BL3073" t="str">
        <f>"2016.680729"</f>
        <v>2016.680729</v>
      </c>
      <c r="BM3073" t="s">
        <v>402</v>
      </c>
      <c r="BN3073" t="s">
        <v>461</v>
      </c>
      <c r="BO3073" t="s">
        <v>20088</v>
      </c>
      <c r="BS3073">
        <v>30</v>
      </c>
      <c r="BT3073" s="1">
        <v>215896</v>
      </c>
      <c r="BU3073" s="3">
        <v>42632</v>
      </c>
      <c r="BV3073" t="s">
        <v>123</v>
      </c>
      <c r="BW3073" t="str">
        <f>"2016.680729"</f>
        <v>2016.680729</v>
      </c>
      <c r="BX3073" t="s">
        <v>402</v>
      </c>
      <c r="BZ3073" t="s">
        <v>20088</v>
      </c>
      <c r="CD3073">
        <v>30</v>
      </c>
      <c r="CH3073" t="str">
        <f>""</f>
        <v/>
      </c>
      <c r="CS3073" t="str">
        <f>""</f>
        <v/>
      </c>
    </row>
    <row r="3074" spans="1:97" x14ac:dyDescent="0.25">
      <c r="A3074" t="s">
        <v>1406</v>
      </c>
      <c r="B3074" t="s">
        <v>478</v>
      </c>
      <c r="C3074" t="s">
        <v>767</v>
      </c>
      <c r="D3074" t="s">
        <v>478</v>
      </c>
      <c r="E3074" t="s">
        <v>20089</v>
      </c>
      <c r="F3074" t="s">
        <v>108</v>
      </c>
      <c r="H3074" t="s">
        <v>20090</v>
      </c>
      <c r="I3074" t="s">
        <v>5114</v>
      </c>
      <c r="J3074" t="s">
        <v>111</v>
      </c>
      <c r="K3074" t="str">
        <f>"85323"</f>
        <v>85323</v>
      </c>
      <c r="L3074" t="s">
        <v>5456</v>
      </c>
      <c r="M3074" t="s">
        <v>20090</v>
      </c>
      <c r="N3074" t="s">
        <v>5114</v>
      </c>
      <c r="O3074" t="s">
        <v>111</v>
      </c>
      <c r="P3074" t="str">
        <f>"85323-7681"</f>
        <v>85323-7681</v>
      </c>
      <c r="Q3074" t="s">
        <v>113</v>
      </c>
      <c r="R3074" t="str">
        <f>"500-32-707"</f>
        <v>500-32-707</v>
      </c>
      <c r="S3074" t="s">
        <v>5457</v>
      </c>
      <c r="U3074">
        <v>1759</v>
      </c>
      <c r="V3074">
        <v>0</v>
      </c>
      <c r="W3074">
        <v>3</v>
      </c>
      <c r="X3074">
        <v>2011</v>
      </c>
      <c r="Z3074">
        <v>1</v>
      </c>
      <c r="AA3074" t="s">
        <v>26</v>
      </c>
      <c r="AB3074">
        <v>0</v>
      </c>
      <c r="AC3074" t="s">
        <v>115</v>
      </c>
      <c r="AD3074">
        <v>3</v>
      </c>
      <c r="AE3074" t="s">
        <v>115</v>
      </c>
      <c r="AF3074">
        <v>0</v>
      </c>
      <c r="AG3074">
        <v>0</v>
      </c>
      <c r="AH3074" t="s">
        <v>116</v>
      </c>
      <c r="AI3074" s="1">
        <v>80110</v>
      </c>
      <c r="AJ3074" s="2">
        <v>0.28000000000000003</v>
      </c>
      <c r="AK3074" s="1">
        <v>281345</v>
      </c>
      <c r="AL3074" t="s">
        <v>117</v>
      </c>
      <c r="AM3074" t="s">
        <v>118</v>
      </c>
      <c r="AN3074">
        <v>7354</v>
      </c>
      <c r="AO3074">
        <v>0.17</v>
      </c>
      <c r="AR3074">
        <v>1</v>
      </c>
      <c r="AS3074" s="1">
        <v>19320</v>
      </c>
      <c r="AT3074" s="1">
        <v>3860</v>
      </c>
      <c r="AU3074" s="1">
        <v>15460</v>
      </c>
      <c r="AV3074">
        <v>80.02</v>
      </c>
      <c r="AX3074" s="1">
        <v>2083.1</v>
      </c>
      <c r="AY3074" t="s">
        <v>5458</v>
      </c>
      <c r="AZ3074" t="s">
        <v>5458</v>
      </c>
      <c r="BA3074" t="s">
        <v>4254</v>
      </c>
      <c r="BE3074" s="3">
        <v>42324</v>
      </c>
      <c r="BF3074" s="1">
        <v>220000</v>
      </c>
      <c r="BG3074" t="s">
        <v>20091</v>
      </c>
      <c r="BH3074" s="1">
        <v>125.07</v>
      </c>
      <c r="BI3074" s="1">
        <v>201235</v>
      </c>
      <c r="BJ3074" s="3">
        <v>42324</v>
      </c>
      <c r="BK3074" t="s">
        <v>123</v>
      </c>
      <c r="BL3074" t="str">
        <f>"2015.817060"</f>
        <v>2015.817060</v>
      </c>
      <c r="BM3074" t="s">
        <v>1033</v>
      </c>
      <c r="BO3074" t="s">
        <v>20092</v>
      </c>
      <c r="BS3074">
        <v>30</v>
      </c>
      <c r="BW3074" t="str">
        <f>""</f>
        <v/>
      </c>
      <c r="CH3074" t="str">
        <f>""</f>
        <v/>
      </c>
      <c r="CS3074" t="str">
        <f>""</f>
        <v/>
      </c>
    </row>
    <row r="3075" spans="1:97" x14ac:dyDescent="0.25">
      <c r="A3075" t="s">
        <v>2407</v>
      </c>
      <c r="B3075" t="s">
        <v>4099</v>
      </c>
      <c r="E3075" t="s">
        <v>20093</v>
      </c>
      <c r="F3075" t="s">
        <v>108</v>
      </c>
      <c r="H3075" t="s">
        <v>20094</v>
      </c>
      <c r="I3075" t="s">
        <v>499</v>
      </c>
      <c r="J3075" t="s">
        <v>111</v>
      </c>
      <c r="K3075" t="str">
        <f>"85338"</f>
        <v>85338</v>
      </c>
      <c r="L3075" t="s">
        <v>316</v>
      </c>
      <c r="M3075" t="s">
        <v>20094</v>
      </c>
      <c r="N3075" t="s">
        <v>499</v>
      </c>
      <c r="O3075" t="s">
        <v>111</v>
      </c>
      <c r="P3075" t="str">
        <f>"85338-6175"</f>
        <v>85338-6175</v>
      </c>
      <c r="Q3075" t="s">
        <v>113</v>
      </c>
      <c r="R3075" t="str">
        <f>"500-89-389"</f>
        <v>500-89-389</v>
      </c>
      <c r="S3075" t="s">
        <v>18533</v>
      </c>
      <c r="U3075">
        <v>2279</v>
      </c>
      <c r="V3075">
        <v>0</v>
      </c>
      <c r="W3075">
        <v>3</v>
      </c>
      <c r="X3075">
        <v>2001</v>
      </c>
      <c r="Z3075">
        <v>1</v>
      </c>
      <c r="AA3075" t="s">
        <v>26</v>
      </c>
      <c r="AB3075">
        <v>0</v>
      </c>
      <c r="AC3075" t="s">
        <v>115</v>
      </c>
      <c r="AD3075">
        <v>3</v>
      </c>
      <c r="AE3075" t="s">
        <v>115</v>
      </c>
      <c r="AF3075">
        <v>0</v>
      </c>
      <c r="AG3075">
        <v>0</v>
      </c>
      <c r="AH3075" t="s">
        <v>116</v>
      </c>
      <c r="AI3075" s="1">
        <v>53207</v>
      </c>
      <c r="AJ3075" s="2">
        <v>0.16</v>
      </c>
      <c r="AK3075" s="1">
        <v>323397</v>
      </c>
      <c r="AL3075" t="s">
        <v>117</v>
      </c>
      <c r="AM3075" t="s">
        <v>118</v>
      </c>
      <c r="AN3075">
        <v>10160</v>
      </c>
      <c r="AO3075">
        <v>0.23</v>
      </c>
      <c r="AP3075">
        <v>1</v>
      </c>
      <c r="AR3075">
        <v>1</v>
      </c>
      <c r="AS3075" s="1">
        <v>22330</v>
      </c>
      <c r="AT3075" s="1">
        <v>4460</v>
      </c>
      <c r="AU3075" s="1">
        <v>17870</v>
      </c>
      <c r="AV3075">
        <v>80.03</v>
      </c>
      <c r="AX3075" s="1">
        <v>1778.5</v>
      </c>
      <c r="AY3075" t="s">
        <v>4311</v>
      </c>
      <c r="AZ3075" t="s">
        <v>4311</v>
      </c>
      <c r="BA3075" t="s">
        <v>218</v>
      </c>
      <c r="BE3075" s="3">
        <v>41995</v>
      </c>
      <c r="BF3075" s="1">
        <v>250000</v>
      </c>
      <c r="BG3075" t="s">
        <v>20095</v>
      </c>
      <c r="BH3075" s="1">
        <v>109.7</v>
      </c>
      <c r="BI3075" s="1">
        <v>250190</v>
      </c>
      <c r="BJ3075" s="3">
        <v>42422</v>
      </c>
      <c r="BK3075" t="s">
        <v>123</v>
      </c>
      <c r="BL3075" t="str">
        <f>"2016.108618"</f>
        <v>2016.108618</v>
      </c>
      <c r="BM3075" t="s">
        <v>709</v>
      </c>
      <c r="BN3075" t="s">
        <v>863</v>
      </c>
      <c r="BO3075" t="s">
        <v>20096</v>
      </c>
      <c r="BS3075">
        <v>30</v>
      </c>
      <c r="BT3075" s="1">
        <v>20000</v>
      </c>
      <c r="BU3075" s="3">
        <v>43151</v>
      </c>
      <c r="BW3075" t="str">
        <f>"2018.125440"</f>
        <v>2018.125440</v>
      </c>
      <c r="BX3075" t="s">
        <v>20097</v>
      </c>
      <c r="BY3075" t="s">
        <v>20098</v>
      </c>
      <c r="BZ3075" t="s">
        <v>20093</v>
      </c>
      <c r="CC3075" t="s">
        <v>346</v>
      </c>
      <c r="CH3075" t="str">
        <f>""</f>
        <v/>
      </c>
      <c r="CS3075" t="str">
        <f>""</f>
        <v/>
      </c>
    </row>
    <row r="3076" spans="1:97" x14ac:dyDescent="0.25">
      <c r="A3076" t="s">
        <v>2729</v>
      </c>
      <c r="B3076" t="s">
        <v>20099</v>
      </c>
      <c r="C3076" t="s">
        <v>4588</v>
      </c>
      <c r="D3076" t="s">
        <v>20099</v>
      </c>
      <c r="E3076" t="s">
        <v>20100</v>
      </c>
      <c r="F3076" t="s">
        <v>108</v>
      </c>
      <c r="H3076" t="s">
        <v>20101</v>
      </c>
      <c r="I3076" t="s">
        <v>499</v>
      </c>
      <c r="J3076" t="s">
        <v>111</v>
      </c>
      <c r="K3076" t="str">
        <f>"85338"</f>
        <v>85338</v>
      </c>
      <c r="L3076" t="s">
        <v>5325</v>
      </c>
      <c r="M3076" t="s">
        <v>20101</v>
      </c>
      <c r="N3076" t="s">
        <v>499</v>
      </c>
      <c r="O3076" t="s">
        <v>111</v>
      </c>
      <c r="P3076" t="str">
        <f>"85338-4928"</f>
        <v>85338-4928</v>
      </c>
      <c r="Q3076" t="s">
        <v>113</v>
      </c>
      <c r="R3076" t="str">
        <f>"400-79-201"</f>
        <v>400-79-201</v>
      </c>
      <c r="S3076" t="s">
        <v>9894</v>
      </c>
      <c r="T3076" t="s">
        <v>9895</v>
      </c>
      <c r="U3076">
        <v>2526</v>
      </c>
      <c r="V3076">
        <v>0</v>
      </c>
      <c r="W3076">
        <v>3</v>
      </c>
      <c r="X3076">
        <v>1999</v>
      </c>
      <c r="Z3076">
        <v>1</v>
      </c>
      <c r="AB3076">
        <v>0</v>
      </c>
      <c r="AC3076" t="s">
        <v>115</v>
      </c>
      <c r="AD3076">
        <v>2</v>
      </c>
      <c r="AE3076" t="s">
        <v>115</v>
      </c>
      <c r="AF3076">
        <v>0</v>
      </c>
      <c r="AG3076">
        <v>0</v>
      </c>
      <c r="AH3076" t="s">
        <v>116</v>
      </c>
      <c r="AI3076" s="1">
        <v>63931</v>
      </c>
      <c r="AJ3076" s="2">
        <v>0.21</v>
      </c>
      <c r="AK3076" s="1">
        <v>309731</v>
      </c>
      <c r="AL3076" t="s">
        <v>117</v>
      </c>
      <c r="AM3076" t="s">
        <v>118</v>
      </c>
      <c r="AN3076">
        <v>7680</v>
      </c>
      <c r="AO3076">
        <v>0.18</v>
      </c>
      <c r="AP3076">
        <v>1</v>
      </c>
      <c r="AR3076">
        <v>1</v>
      </c>
      <c r="AS3076" s="1">
        <v>22130</v>
      </c>
      <c r="AT3076" s="1">
        <v>4420</v>
      </c>
      <c r="AU3076" s="1">
        <v>17710</v>
      </c>
      <c r="AV3076">
        <v>80.03</v>
      </c>
      <c r="AX3076" s="1">
        <v>1990.72</v>
      </c>
      <c r="AY3076" t="s">
        <v>4236</v>
      </c>
      <c r="AZ3076" t="s">
        <v>4236</v>
      </c>
      <c r="BA3076" t="s">
        <v>1247</v>
      </c>
      <c r="BB3076" s="3">
        <v>42986</v>
      </c>
      <c r="BD3076" t="s">
        <v>157</v>
      </c>
      <c r="BE3076" s="3">
        <v>42205</v>
      </c>
      <c r="BF3076" s="1">
        <v>235000</v>
      </c>
      <c r="BG3076" t="s">
        <v>20102</v>
      </c>
      <c r="BH3076" s="1">
        <v>93.03</v>
      </c>
      <c r="BI3076" s="1">
        <v>245800</v>
      </c>
      <c r="BJ3076" s="3">
        <v>42585</v>
      </c>
      <c r="BK3076" t="s">
        <v>123</v>
      </c>
      <c r="BL3076" t="str">
        <f>"2016.551575"</f>
        <v>2016.551575</v>
      </c>
      <c r="BM3076" t="s">
        <v>248</v>
      </c>
      <c r="BN3076" t="s">
        <v>249</v>
      </c>
      <c r="BO3076" t="s">
        <v>20103</v>
      </c>
      <c r="BS3076">
        <v>30</v>
      </c>
      <c r="BT3076" s="1">
        <v>245800</v>
      </c>
      <c r="BU3076" s="3">
        <v>42585</v>
      </c>
      <c r="BV3076" t="s">
        <v>123</v>
      </c>
      <c r="BW3076" t="str">
        <f>"2016.551575"</f>
        <v>2016.551575</v>
      </c>
      <c r="BX3076" t="s">
        <v>248</v>
      </c>
      <c r="BZ3076" t="s">
        <v>20103</v>
      </c>
      <c r="CD3076">
        <v>30</v>
      </c>
      <c r="CH3076" t="str">
        <f>""</f>
        <v/>
      </c>
      <c r="CS3076" t="str">
        <f>""</f>
        <v/>
      </c>
    </row>
    <row r="3077" spans="1:97" x14ac:dyDescent="0.25">
      <c r="A3077" t="s">
        <v>370</v>
      </c>
      <c r="B3077" t="s">
        <v>20104</v>
      </c>
      <c r="C3077" t="s">
        <v>524</v>
      </c>
      <c r="D3077" t="s">
        <v>20104</v>
      </c>
      <c r="E3077" t="s">
        <v>20105</v>
      </c>
      <c r="F3077" t="s">
        <v>108</v>
      </c>
      <c r="H3077" t="s">
        <v>20106</v>
      </c>
      <c r="I3077" t="s">
        <v>225</v>
      </c>
      <c r="J3077" t="s">
        <v>111</v>
      </c>
      <c r="K3077" t="str">
        <f>"85203"</f>
        <v>85203</v>
      </c>
      <c r="L3077" t="s">
        <v>8543</v>
      </c>
      <c r="M3077" t="s">
        <v>20106</v>
      </c>
      <c r="N3077" t="s">
        <v>225</v>
      </c>
      <c r="O3077" t="s">
        <v>111</v>
      </c>
      <c r="P3077" t="str">
        <f>"85203-3603"</f>
        <v>85203-3603</v>
      </c>
      <c r="Q3077" t="s">
        <v>113</v>
      </c>
      <c r="R3077" t="str">
        <f>"136-26-836"</f>
        <v>136-26-836</v>
      </c>
      <c r="S3077" t="s">
        <v>20107</v>
      </c>
      <c r="T3077" t="s">
        <v>20108</v>
      </c>
      <c r="U3077">
        <v>2416</v>
      </c>
      <c r="V3077">
        <v>0</v>
      </c>
      <c r="W3077">
        <v>4</v>
      </c>
      <c r="X3077">
        <v>1987</v>
      </c>
      <c r="Z3077">
        <v>2</v>
      </c>
      <c r="AA3077" t="s">
        <v>26</v>
      </c>
      <c r="AB3077">
        <v>0</v>
      </c>
      <c r="AC3077" t="s">
        <v>115</v>
      </c>
      <c r="AD3077">
        <v>6</v>
      </c>
      <c r="AE3077" t="s">
        <v>115</v>
      </c>
      <c r="AF3077">
        <v>0</v>
      </c>
      <c r="AG3077">
        <v>0</v>
      </c>
      <c r="AH3077" t="s">
        <v>116</v>
      </c>
      <c r="AI3077" s="1">
        <v>88498</v>
      </c>
      <c r="AJ3077" s="2">
        <v>0.23</v>
      </c>
      <c r="AK3077" s="1">
        <v>387035</v>
      </c>
      <c r="AL3077" t="s">
        <v>117</v>
      </c>
      <c r="AM3077" t="s">
        <v>1521</v>
      </c>
      <c r="AN3077">
        <v>16448</v>
      </c>
      <c r="AO3077">
        <v>0.38</v>
      </c>
      <c r="AP3077">
        <v>1</v>
      </c>
      <c r="AR3077">
        <v>1</v>
      </c>
      <c r="AS3077" s="1">
        <v>31750</v>
      </c>
      <c r="AT3077" s="1">
        <v>6350</v>
      </c>
      <c r="AU3077" s="1">
        <v>25400</v>
      </c>
      <c r="AV3077">
        <v>80</v>
      </c>
      <c r="AX3077" s="1">
        <v>2075.94</v>
      </c>
      <c r="AY3077" t="s">
        <v>12830</v>
      </c>
      <c r="AZ3077" t="s">
        <v>5190</v>
      </c>
      <c r="BA3077" t="s">
        <v>5191</v>
      </c>
      <c r="BE3077" s="3">
        <v>42230</v>
      </c>
      <c r="BF3077" s="1">
        <v>289000</v>
      </c>
      <c r="BG3077" t="s">
        <v>20109</v>
      </c>
      <c r="BH3077" s="1">
        <v>119.62</v>
      </c>
      <c r="BI3077" s="1">
        <v>298537</v>
      </c>
      <c r="BJ3077" s="3">
        <v>42230</v>
      </c>
      <c r="BK3077" t="s">
        <v>123</v>
      </c>
      <c r="BL3077" t="str">
        <f>"2015.591939"</f>
        <v>2015.591939</v>
      </c>
      <c r="BM3077" t="s">
        <v>3453</v>
      </c>
      <c r="BO3077" t="s">
        <v>20110</v>
      </c>
      <c r="BS3077">
        <v>30</v>
      </c>
      <c r="BW3077" t="str">
        <f>""</f>
        <v/>
      </c>
      <c r="CH3077" t="str">
        <f>""</f>
        <v/>
      </c>
      <c r="CS3077" t="str">
        <f>""</f>
        <v/>
      </c>
    </row>
    <row r="3078" spans="1:97" x14ac:dyDescent="0.25">
      <c r="A3078" t="s">
        <v>4578</v>
      </c>
      <c r="B3078" t="s">
        <v>20111</v>
      </c>
      <c r="C3078" t="s">
        <v>20112</v>
      </c>
      <c r="D3078" t="s">
        <v>20111</v>
      </c>
      <c r="E3078" t="s">
        <v>20113</v>
      </c>
      <c r="F3078" t="s">
        <v>108</v>
      </c>
      <c r="H3078" t="s">
        <v>20114</v>
      </c>
      <c r="I3078" t="s">
        <v>5863</v>
      </c>
      <c r="J3078" t="s">
        <v>111</v>
      </c>
      <c r="K3078" t="str">
        <f>"85375"</f>
        <v>85375</v>
      </c>
      <c r="L3078" t="s">
        <v>926</v>
      </c>
      <c r="M3078" t="s">
        <v>20114</v>
      </c>
      <c r="N3078" t="s">
        <v>5863</v>
      </c>
      <c r="O3078" t="s">
        <v>111</v>
      </c>
      <c r="P3078" t="str">
        <f>"85375-5586"</f>
        <v>85375-5586</v>
      </c>
      <c r="Q3078" t="s">
        <v>113</v>
      </c>
      <c r="R3078" t="str">
        <f>"232-16-437"</f>
        <v>232-16-437</v>
      </c>
      <c r="S3078" t="s">
        <v>10336</v>
      </c>
      <c r="U3078">
        <v>1996</v>
      </c>
      <c r="V3078">
        <v>0</v>
      </c>
      <c r="W3078">
        <v>3</v>
      </c>
      <c r="X3078">
        <v>1989</v>
      </c>
      <c r="Z3078">
        <v>1</v>
      </c>
      <c r="AB3078">
        <v>0</v>
      </c>
      <c r="AC3078" t="s">
        <v>115</v>
      </c>
      <c r="AD3078">
        <v>2</v>
      </c>
      <c r="AE3078" t="s">
        <v>115</v>
      </c>
      <c r="AF3078">
        <v>0</v>
      </c>
      <c r="AG3078">
        <v>0</v>
      </c>
      <c r="AH3078" t="s">
        <v>116</v>
      </c>
      <c r="AI3078" s="1">
        <v>80190</v>
      </c>
      <c r="AJ3078" s="2">
        <v>0.27</v>
      </c>
      <c r="AK3078" s="1">
        <v>300812</v>
      </c>
      <c r="AL3078" t="s">
        <v>117</v>
      </c>
      <c r="AM3078" t="s">
        <v>3345</v>
      </c>
      <c r="AN3078">
        <v>13494</v>
      </c>
      <c r="AO3078">
        <v>0.31</v>
      </c>
      <c r="AP3078">
        <v>1</v>
      </c>
      <c r="AR3078">
        <v>1</v>
      </c>
      <c r="AS3078" s="1">
        <v>19230</v>
      </c>
      <c r="AT3078" s="1">
        <v>3840</v>
      </c>
      <c r="AU3078" s="1">
        <v>15390</v>
      </c>
      <c r="AV3078">
        <v>80.03</v>
      </c>
      <c r="AX3078" s="1">
        <v>1495.88</v>
      </c>
      <c r="AY3078" t="s">
        <v>320</v>
      </c>
      <c r="AZ3078" t="s">
        <v>320</v>
      </c>
      <c r="BA3078" t="s">
        <v>321</v>
      </c>
      <c r="BE3078" s="3">
        <v>41753</v>
      </c>
      <c r="BF3078" s="1">
        <v>213000</v>
      </c>
      <c r="BG3078" t="s">
        <v>20115</v>
      </c>
      <c r="BH3078" s="1">
        <v>106.71</v>
      </c>
      <c r="BI3078" s="1">
        <v>220622</v>
      </c>
      <c r="BJ3078" s="3">
        <v>42451</v>
      </c>
      <c r="BK3078" t="s">
        <v>123</v>
      </c>
      <c r="BL3078" t="str">
        <f>"2016.182535"</f>
        <v>2016.182535</v>
      </c>
      <c r="BM3078" t="s">
        <v>683</v>
      </c>
      <c r="BO3078" t="s">
        <v>20116</v>
      </c>
      <c r="BS3078">
        <v>30</v>
      </c>
      <c r="BW3078" t="str">
        <f>""</f>
        <v/>
      </c>
      <c r="CH3078" t="str">
        <f>""</f>
        <v/>
      </c>
      <c r="CS3078" t="str">
        <f>""</f>
        <v/>
      </c>
    </row>
    <row r="3079" spans="1:97" x14ac:dyDescent="0.25">
      <c r="A3079" t="s">
        <v>494</v>
      </c>
      <c r="B3079" t="s">
        <v>20117</v>
      </c>
      <c r="C3079" t="s">
        <v>3862</v>
      </c>
      <c r="D3079" t="s">
        <v>20117</v>
      </c>
      <c r="E3079" t="s">
        <v>20118</v>
      </c>
      <c r="F3079" t="s">
        <v>108</v>
      </c>
      <c r="H3079" t="s">
        <v>20119</v>
      </c>
      <c r="I3079" t="s">
        <v>110</v>
      </c>
      <c r="J3079" t="s">
        <v>111</v>
      </c>
      <c r="K3079" t="str">
        <f>"85225"</f>
        <v>85225</v>
      </c>
      <c r="L3079" t="s">
        <v>926</v>
      </c>
      <c r="M3079" t="s">
        <v>20119</v>
      </c>
      <c r="N3079" t="s">
        <v>110</v>
      </c>
      <c r="O3079" t="s">
        <v>111</v>
      </c>
      <c r="P3079" t="str">
        <f>"85225-5309"</f>
        <v>85225-5309</v>
      </c>
      <c r="Q3079" t="s">
        <v>113</v>
      </c>
      <c r="R3079" t="str">
        <f>"302-84-211"</f>
        <v>302-84-211</v>
      </c>
      <c r="S3079" t="s">
        <v>7542</v>
      </c>
      <c r="T3079" t="s">
        <v>7543</v>
      </c>
      <c r="U3079">
        <v>2650</v>
      </c>
      <c r="V3079">
        <v>0</v>
      </c>
      <c r="W3079">
        <v>4</v>
      </c>
      <c r="X3079">
        <v>1990</v>
      </c>
      <c r="Z3079">
        <v>1</v>
      </c>
      <c r="AA3079" t="s">
        <v>26</v>
      </c>
      <c r="AB3079">
        <v>0</v>
      </c>
      <c r="AC3079" t="s">
        <v>115</v>
      </c>
      <c r="AD3079">
        <v>3</v>
      </c>
      <c r="AE3079" t="s">
        <v>115</v>
      </c>
      <c r="AF3079">
        <v>0</v>
      </c>
      <c r="AG3079">
        <v>0</v>
      </c>
      <c r="AH3079" t="s">
        <v>116</v>
      </c>
      <c r="AI3079" s="1">
        <v>60210</v>
      </c>
      <c r="AJ3079" s="2">
        <v>0.13</v>
      </c>
      <c r="AK3079" s="1">
        <v>456632</v>
      </c>
      <c r="AL3079" t="s">
        <v>117</v>
      </c>
      <c r="AM3079" t="s">
        <v>118</v>
      </c>
      <c r="AN3079">
        <v>14671</v>
      </c>
      <c r="AO3079">
        <v>0.34</v>
      </c>
      <c r="AP3079">
        <v>1</v>
      </c>
      <c r="AR3079">
        <v>1</v>
      </c>
      <c r="AS3079" s="1">
        <v>34220</v>
      </c>
      <c r="AT3079" s="1">
        <v>6840</v>
      </c>
      <c r="AU3079" s="1">
        <v>27380</v>
      </c>
      <c r="AV3079">
        <v>80.010000000000005</v>
      </c>
      <c r="AX3079" s="1">
        <v>2822.18</v>
      </c>
      <c r="AY3079" t="s">
        <v>2956</v>
      </c>
      <c r="AZ3079" t="s">
        <v>2906</v>
      </c>
      <c r="BA3079" t="s">
        <v>2957</v>
      </c>
      <c r="BE3079" s="3">
        <v>42202</v>
      </c>
      <c r="BF3079" s="1">
        <v>385000</v>
      </c>
      <c r="BG3079" t="s">
        <v>20120</v>
      </c>
      <c r="BH3079" s="1">
        <v>145.28</v>
      </c>
      <c r="BI3079" s="1">
        <v>396422</v>
      </c>
      <c r="BJ3079" s="3">
        <v>42450</v>
      </c>
      <c r="BK3079" t="s">
        <v>123</v>
      </c>
      <c r="BL3079" t="str">
        <f>"2016.181607"</f>
        <v>2016.181607</v>
      </c>
      <c r="BM3079" t="s">
        <v>5534</v>
      </c>
      <c r="BO3079" t="s">
        <v>20121</v>
      </c>
      <c r="BS3079">
        <v>30</v>
      </c>
      <c r="BW3079" t="str">
        <f>""</f>
        <v/>
      </c>
      <c r="CH3079" t="str">
        <f>""</f>
        <v/>
      </c>
      <c r="CS3079" t="str">
        <f>""</f>
        <v/>
      </c>
    </row>
    <row r="3080" spans="1:97" x14ac:dyDescent="0.25">
      <c r="A3080" t="s">
        <v>3089</v>
      </c>
      <c r="B3080" t="s">
        <v>1667</v>
      </c>
      <c r="C3080" t="s">
        <v>794</v>
      </c>
      <c r="D3080" t="s">
        <v>163</v>
      </c>
      <c r="E3080" t="s">
        <v>20122</v>
      </c>
      <c r="F3080" t="s">
        <v>108</v>
      </c>
      <c r="H3080" t="s">
        <v>20123</v>
      </c>
      <c r="I3080" t="s">
        <v>499</v>
      </c>
      <c r="J3080" t="s">
        <v>111</v>
      </c>
      <c r="K3080" t="str">
        <f>"85338"</f>
        <v>85338</v>
      </c>
      <c r="L3080" t="s">
        <v>6316</v>
      </c>
      <c r="M3080" t="s">
        <v>20123</v>
      </c>
      <c r="N3080" t="s">
        <v>499</v>
      </c>
      <c r="O3080" t="s">
        <v>111</v>
      </c>
      <c r="P3080" t="str">
        <f>"85338-6018"</f>
        <v>85338-6018</v>
      </c>
      <c r="Q3080" t="s">
        <v>113</v>
      </c>
      <c r="R3080" t="str">
        <f>"502-39-302"</f>
        <v>502-39-302</v>
      </c>
      <c r="S3080" t="s">
        <v>20124</v>
      </c>
      <c r="T3080" t="s">
        <v>6318</v>
      </c>
      <c r="U3080">
        <v>3316</v>
      </c>
      <c r="V3080">
        <v>0</v>
      </c>
      <c r="W3080">
        <v>5</v>
      </c>
      <c r="X3080">
        <v>2008</v>
      </c>
      <c r="Z3080">
        <v>1</v>
      </c>
      <c r="AA3080" t="s">
        <v>26</v>
      </c>
      <c r="AB3080">
        <v>0</v>
      </c>
      <c r="AC3080" t="s">
        <v>115</v>
      </c>
      <c r="AD3080">
        <v>2</v>
      </c>
      <c r="AE3080" t="s">
        <v>115</v>
      </c>
      <c r="AF3080">
        <v>0</v>
      </c>
      <c r="AG3080">
        <v>0</v>
      </c>
      <c r="AH3080" t="s">
        <v>116</v>
      </c>
      <c r="AI3080" s="1">
        <v>76120</v>
      </c>
      <c r="AJ3080" s="2">
        <v>0.19</v>
      </c>
      <c r="AK3080" s="1">
        <v>395338</v>
      </c>
      <c r="AL3080" t="s">
        <v>117</v>
      </c>
      <c r="AM3080" t="s">
        <v>118</v>
      </c>
      <c r="AN3080">
        <v>9000</v>
      </c>
      <c r="AO3080">
        <v>0.21</v>
      </c>
      <c r="AR3080">
        <v>1</v>
      </c>
      <c r="AS3080" s="1">
        <v>30050</v>
      </c>
      <c r="AT3080" s="1">
        <v>6010</v>
      </c>
      <c r="AU3080" s="1">
        <v>24040</v>
      </c>
      <c r="AV3080">
        <v>80</v>
      </c>
      <c r="AX3080" s="1">
        <v>2967.2</v>
      </c>
      <c r="AY3080" t="s">
        <v>6319</v>
      </c>
      <c r="AZ3080" t="s">
        <v>6319</v>
      </c>
      <c r="BA3080" t="s">
        <v>218</v>
      </c>
      <c r="BE3080" s="3">
        <v>42123</v>
      </c>
      <c r="BF3080" s="1">
        <v>312500</v>
      </c>
      <c r="BG3080" t="s">
        <v>20125</v>
      </c>
      <c r="BH3080" s="1">
        <v>94.24</v>
      </c>
      <c r="BI3080" s="1">
        <v>319218</v>
      </c>
      <c r="BJ3080" s="3">
        <v>42123</v>
      </c>
      <c r="BK3080" t="s">
        <v>123</v>
      </c>
      <c r="BL3080" t="str">
        <f>"2015.296912"</f>
        <v>2015.296912</v>
      </c>
      <c r="BM3080" t="s">
        <v>5348</v>
      </c>
      <c r="BO3080" t="s">
        <v>20126</v>
      </c>
      <c r="BP3080" t="s">
        <v>20127</v>
      </c>
      <c r="BS3080">
        <v>30</v>
      </c>
      <c r="BW3080" t="str">
        <f>""</f>
        <v/>
      </c>
      <c r="CH3080" t="str">
        <f>""</f>
        <v/>
      </c>
      <c r="CS3080" t="str">
        <f>""</f>
        <v/>
      </c>
    </row>
    <row r="3081" spans="1:97" x14ac:dyDescent="0.25">
      <c r="A3081" t="s">
        <v>3613</v>
      </c>
      <c r="B3081" t="s">
        <v>20128</v>
      </c>
      <c r="C3081" t="s">
        <v>3926</v>
      </c>
      <c r="D3081" t="s">
        <v>20128</v>
      </c>
      <c r="E3081" t="s">
        <v>20129</v>
      </c>
      <c r="F3081" t="s">
        <v>108</v>
      </c>
      <c r="H3081" t="s">
        <v>20130</v>
      </c>
      <c r="I3081" t="s">
        <v>2874</v>
      </c>
      <c r="J3081" t="s">
        <v>111</v>
      </c>
      <c r="K3081" t="str">
        <f>"85310"</f>
        <v>85310</v>
      </c>
      <c r="L3081" t="s">
        <v>2765</v>
      </c>
      <c r="M3081" t="s">
        <v>20130</v>
      </c>
      <c r="N3081" t="s">
        <v>2874</v>
      </c>
      <c r="O3081" t="s">
        <v>111</v>
      </c>
      <c r="P3081" t="str">
        <f>"85310-5879"</f>
        <v>85310-5879</v>
      </c>
      <c r="Q3081" t="s">
        <v>113</v>
      </c>
      <c r="R3081" t="str">
        <f>"231-17-432"</f>
        <v>231-17-432</v>
      </c>
      <c r="S3081" t="s">
        <v>14544</v>
      </c>
      <c r="T3081" t="s">
        <v>14544</v>
      </c>
      <c r="U3081">
        <v>3651</v>
      </c>
      <c r="V3081">
        <v>0</v>
      </c>
      <c r="W3081">
        <v>6</v>
      </c>
      <c r="X3081">
        <v>1995</v>
      </c>
      <c r="Z3081">
        <v>2</v>
      </c>
      <c r="AA3081" t="s">
        <v>26</v>
      </c>
      <c r="AB3081">
        <v>0</v>
      </c>
      <c r="AC3081" t="s">
        <v>115</v>
      </c>
      <c r="AD3081">
        <v>3</v>
      </c>
      <c r="AE3081" t="s">
        <v>115</v>
      </c>
      <c r="AF3081">
        <v>0</v>
      </c>
      <c r="AG3081">
        <v>0</v>
      </c>
      <c r="AH3081" t="s">
        <v>116</v>
      </c>
      <c r="AI3081" s="1">
        <v>117741</v>
      </c>
      <c r="AJ3081" s="2">
        <v>0.21</v>
      </c>
      <c r="AK3081" s="1">
        <v>570275</v>
      </c>
      <c r="AL3081" t="s">
        <v>117</v>
      </c>
      <c r="AM3081" t="s">
        <v>5791</v>
      </c>
      <c r="AN3081">
        <v>13500</v>
      </c>
      <c r="AO3081">
        <v>0.31</v>
      </c>
      <c r="AP3081">
        <v>1</v>
      </c>
      <c r="AR3081">
        <v>1</v>
      </c>
      <c r="AS3081" s="1">
        <v>42120</v>
      </c>
      <c r="AT3081" s="1">
        <v>8420</v>
      </c>
      <c r="AU3081" s="1">
        <v>33700</v>
      </c>
      <c r="AV3081">
        <v>80.010000000000005</v>
      </c>
      <c r="AX3081" s="1">
        <v>3753.44</v>
      </c>
      <c r="AY3081" t="s">
        <v>3048</v>
      </c>
      <c r="AZ3081" t="s">
        <v>3049</v>
      </c>
      <c r="BA3081" t="s">
        <v>2223</v>
      </c>
      <c r="BE3081" s="3">
        <v>42069</v>
      </c>
      <c r="BF3081" s="1">
        <v>465000</v>
      </c>
      <c r="BG3081" t="s">
        <v>20131</v>
      </c>
      <c r="BH3081" s="1">
        <v>127.36</v>
      </c>
      <c r="BI3081" s="1">
        <v>452534</v>
      </c>
      <c r="BJ3081" s="3">
        <v>42313</v>
      </c>
      <c r="BK3081" t="s">
        <v>123</v>
      </c>
      <c r="BL3081" t="str">
        <f>"2015.795349"</f>
        <v>2015.795349</v>
      </c>
      <c r="BM3081" t="s">
        <v>20132</v>
      </c>
      <c r="BO3081" t="s">
        <v>20133</v>
      </c>
      <c r="BS3081">
        <v>30</v>
      </c>
      <c r="BW3081" t="str">
        <f>""</f>
        <v/>
      </c>
      <c r="CH3081" t="str">
        <f>""</f>
        <v/>
      </c>
      <c r="CS3081" t="str">
        <f>""</f>
        <v/>
      </c>
    </row>
    <row r="3082" spans="1:97" x14ac:dyDescent="0.25">
      <c r="A3082" t="s">
        <v>20134</v>
      </c>
      <c r="B3082" t="s">
        <v>20135</v>
      </c>
      <c r="E3082" t="s">
        <v>20136</v>
      </c>
      <c r="F3082" t="s">
        <v>108</v>
      </c>
      <c r="H3082" t="s">
        <v>20137</v>
      </c>
      <c r="I3082" t="s">
        <v>390</v>
      </c>
      <c r="J3082" t="s">
        <v>111</v>
      </c>
      <c r="K3082" t="str">
        <f>"85029"</f>
        <v>85029</v>
      </c>
      <c r="L3082" t="s">
        <v>2547</v>
      </c>
      <c r="M3082" t="s">
        <v>20137</v>
      </c>
      <c r="N3082" t="s">
        <v>390</v>
      </c>
      <c r="O3082" t="s">
        <v>111</v>
      </c>
      <c r="P3082" t="str">
        <f>"85029-3244"</f>
        <v>85029-3244</v>
      </c>
      <c r="Q3082" t="s">
        <v>113</v>
      </c>
      <c r="R3082" t="str">
        <f>"149-17-472"</f>
        <v>149-17-472</v>
      </c>
      <c r="S3082" t="s">
        <v>20138</v>
      </c>
      <c r="T3082" t="s">
        <v>20138</v>
      </c>
      <c r="U3082">
        <v>1571</v>
      </c>
      <c r="V3082">
        <v>0</v>
      </c>
      <c r="W3082">
        <v>2</v>
      </c>
      <c r="X3082">
        <v>1979</v>
      </c>
      <c r="Z3082">
        <v>1</v>
      </c>
      <c r="AB3082">
        <v>0</v>
      </c>
      <c r="AC3082" t="s">
        <v>115</v>
      </c>
      <c r="AD3082">
        <v>2</v>
      </c>
      <c r="AE3082" t="s">
        <v>115</v>
      </c>
      <c r="AF3082">
        <v>0</v>
      </c>
      <c r="AG3082">
        <v>0</v>
      </c>
      <c r="AH3082" t="s">
        <v>116</v>
      </c>
      <c r="AI3082" s="1">
        <v>35542</v>
      </c>
      <c r="AJ3082" s="2">
        <v>0.15</v>
      </c>
      <c r="AK3082" s="1">
        <v>244542</v>
      </c>
      <c r="AL3082" t="s">
        <v>117</v>
      </c>
      <c r="AM3082" t="s">
        <v>5441</v>
      </c>
      <c r="AN3082">
        <v>4513</v>
      </c>
      <c r="AO3082">
        <v>0.1</v>
      </c>
      <c r="AP3082">
        <v>1</v>
      </c>
      <c r="AR3082">
        <v>1</v>
      </c>
      <c r="AS3082" s="1">
        <v>16110</v>
      </c>
      <c r="AT3082" s="1">
        <v>3220</v>
      </c>
      <c r="AU3082" s="1">
        <v>12890</v>
      </c>
      <c r="AV3082">
        <v>80.010000000000005</v>
      </c>
      <c r="AX3082" s="1">
        <v>1210.3399999999999</v>
      </c>
      <c r="AY3082" t="s">
        <v>20139</v>
      </c>
      <c r="AZ3082" t="s">
        <v>6986</v>
      </c>
      <c r="BA3082" t="s">
        <v>10888</v>
      </c>
      <c r="BE3082" s="3">
        <v>42538</v>
      </c>
      <c r="BF3082" s="1">
        <v>209000</v>
      </c>
      <c r="BG3082" t="s">
        <v>20140</v>
      </c>
      <c r="BH3082" s="1">
        <v>133.04</v>
      </c>
      <c r="BI3082" s="1">
        <v>209000</v>
      </c>
      <c r="BJ3082" s="3">
        <v>42538</v>
      </c>
      <c r="BK3082" t="s">
        <v>123</v>
      </c>
      <c r="BL3082" t="str">
        <f>"2016.425791"</f>
        <v>2016.425791</v>
      </c>
      <c r="BM3082" t="s">
        <v>1185</v>
      </c>
      <c r="BO3082" t="s">
        <v>20141</v>
      </c>
      <c r="BS3082">
        <v>30</v>
      </c>
      <c r="BW3082" t="str">
        <f>""</f>
        <v/>
      </c>
      <c r="CH3082" t="str">
        <f>""</f>
        <v/>
      </c>
      <c r="CS3082" t="str">
        <f>""</f>
        <v/>
      </c>
    </row>
    <row r="3083" spans="1:97" x14ac:dyDescent="0.25">
      <c r="A3083" t="s">
        <v>4930</v>
      </c>
      <c r="B3083" t="s">
        <v>20142</v>
      </c>
      <c r="C3083" t="s">
        <v>986</v>
      </c>
      <c r="D3083" t="s">
        <v>20142</v>
      </c>
      <c r="E3083" t="s">
        <v>20143</v>
      </c>
      <c r="F3083" t="s">
        <v>108</v>
      </c>
      <c r="H3083" t="s">
        <v>20144</v>
      </c>
      <c r="I3083" t="s">
        <v>453</v>
      </c>
      <c r="J3083" t="s">
        <v>111</v>
      </c>
      <c r="K3083" t="str">
        <f>"85383"</f>
        <v>85383</v>
      </c>
      <c r="L3083" t="s">
        <v>2820</v>
      </c>
      <c r="M3083" t="s">
        <v>20144</v>
      </c>
      <c r="N3083" t="s">
        <v>453</v>
      </c>
      <c r="O3083" t="s">
        <v>111</v>
      </c>
      <c r="P3083" t="str">
        <f>"85383-3919"</f>
        <v>85383-3919</v>
      </c>
      <c r="Q3083" t="s">
        <v>113</v>
      </c>
      <c r="R3083" t="str">
        <f>"510-02-826"</f>
        <v>510-02-826</v>
      </c>
      <c r="S3083" t="s">
        <v>20145</v>
      </c>
      <c r="U3083">
        <v>1874</v>
      </c>
      <c r="V3083">
        <v>0</v>
      </c>
      <c r="W3083">
        <v>4</v>
      </c>
      <c r="X3083">
        <v>2005</v>
      </c>
      <c r="Z3083">
        <v>1</v>
      </c>
      <c r="AB3083">
        <v>0</v>
      </c>
      <c r="AC3083" t="s">
        <v>115</v>
      </c>
      <c r="AD3083">
        <v>2</v>
      </c>
      <c r="AE3083" t="s">
        <v>115</v>
      </c>
      <c r="AF3083">
        <v>0</v>
      </c>
      <c r="AG3083">
        <v>0</v>
      </c>
      <c r="AH3083" t="s">
        <v>116</v>
      </c>
      <c r="AI3083" s="1">
        <v>94217</v>
      </c>
      <c r="AJ3083" s="2">
        <v>0.2</v>
      </c>
      <c r="AK3083" s="1">
        <v>480217</v>
      </c>
      <c r="AL3083" t="s">
        <v>117</v>
      </c>
      <c r="AM3083" t="s">
        <v>118</v>
      </c>
      <c r="AN3083">
        <v>7241</v>
      </c>
      <c r="AO3083">
        <v>0.17</v>
      </c>
      <c r="AR3083">
        <v>1</v>
      </c>
      <c r="AS3083" s="1">
        <v>38120</v>
      </c>
      <c r="AT3083" s="1">
        <v>7620</v>
      </c>
      <c r="AU3083" s="1">
        <v>30500</v>
      </c>
      <c r="AV3083">
        <v>80.010000000000005</v>
      </c>
      <c r="AX3083" s="1">
        <v>4458.9799999999996</v>
      </c>
      <c r="AY3083" t="s">
        <v>456</v>
      </c>
      <c r="AZ3083" t="s">
        <v>456</v>
      </c>
      <c r="BA3083" t="s">
        <v>457</v>
      </c>
      <c r="BE3083" s="3">
        <v>42236</v>
      </c>
      <c r="BF3083" s="1">
        <v>390000</v>
      </c>
      <c r="BG3083" t="s">
        <v>20146</v>
      </c>
      <c r="BH3083" s="1">
        <v>208.11</v>
      </c>
      <c r="BI3083" s="1">
        <v>386000</v>
      </c>
      <c r="BJ3083" s="3">
        <v>42650</v>
      </c>
      <c r="BK3083" t="s">
        <v>123</v>
      </c>
      <c r="BL3083" t="str">
        <f>"2016.737057"</f>
        <v>2016.737057</v>
      </c>
      <c r="BM3083" t="s">
        <v>322</v>
      </c>
      <c r="BO3083" t="s">
        <v>20147</v>
      </c>
      <c r="BS3083">
        <v>30</v>
      </c>
      <c r="BW3083" t="str">
        <f>""</f>
        <v/>
      </c>
      <c r="CH3083" t="str">
        <f>""</f>
        <v/>
      </c>
      <c r="CS3083" t="str">
        <f>""</f>
        <v/>
      </c>
    </row>
    <row r="3084" spans="1:97" x14ac:dyDescent="0.25">
      <c r="A3084" t="s">
        <v>701</v>
      </c>
      <c r="B3084" t="s">
        <v>3443</v>
      </c>
      <c r="E3084" t="s">
        <v>20148</v>
      </c>
      <c r="F3084" t="s">
        <v>108</v>
      </c>
      <c r="H3084" t="s">
        <v>20149</v>
      </c>
      <c r="I3084" t="s">
        <v>225</v>
      </c>
      <c r="J3084" t="s">
        <v>111</v>
      </c>
      <c r="K3084" t="str">
        <f>"85212"</f>
        <v>85212</v>
      </c>
      <c r="L3084" t="s">
        <v>5084</v>
      </c>
      <c r="M3084" t="s">
        <v>20149</v>
      </c>
      <c r="N3084" t="s">
        <v>225</v>
      </c>
      <c r="O3084" t="s">
        <v>111</v>
      </c>
      <c r="P3084" t="str">
        <f>"85212-2852"</f>
        <v>85212-2852</v>
      </c>
      <c r="Q3084" t="s">
        <v>113</v>
      </c>
      <c r="R3084" t="str">
        <f>"312-09-304"</f>
        <v>312-09-304</v>
      </c>
      <c r="S3084" t="s">
        <v>18595</v>
      </c>
      <c r="T3084" t="s">
        <v>18595</v>
      </c>
      <c r="U3084">
        <v>2886</v>
      </c>
      <c r="V3084">
        <v>0</v>
      </c>
      <c r="W3084">
        <v>3</v>
      </c>
      <c r="X3084">
        <v>2002</v>
      </c>
      <c r="Z3084">
        <v>2</v>
      </c>
      <c r="AA3084" t="s">
        <v>26</v>
      </c>
      <c r="AB3084">
        <v>0</v>
      </c>
      <c r="AC3084" t="s">
        <v>115</v>
      </c>
      <c r="AD3084">
        <v>2</v>
      </c>
      <c r="AE3084" t="s">
        <v>115</v>
      </c>
      <c r="AF3084">
        <v>0</v>
      </c>
      <c r="AG3084">
        <v>0</v>
      </c>
      <c r="AH3084" t="s">
        <v>116</v>
      </c>
      <c r="AI3084" s="1">
        <v>95891</v>
      </c>
      <c r="AJ3084" s="2">
        <v>0.26</v>
      </c>
      <c r="AK3084" s="1">
        <v>372244</v>
      </c>
      <c r="AL3084" t="s">
        <v>117</v>
      </c>
      <c r="AM3084" t="s">
        <v>191</v>
      </c>
      <c r="AN3084">
        <v>9837</v>
      </c>
      <c r="AO3084">
        <v>0.23</v>
      </c>
      <c r="AP3084">
        <v>1</v>
      </c>
      <c r="AR3084">
        <v>1</v>
      </c>
      <c r="AS3084" s="1">
        <v>26330</v>
      </c>
      <c r="AT3084" s="1">
        <v>5260</v>
      </c>
      <c r="AU3084" s="1">
        <v>21070</v>
      </c>
      <c r="AV3084">
        <v>80.02</v>
      </c>
      <c r="AX3084" s="1">
        <v>1877.52</v>
      </c>
      <c r="AY3084" t="s">
        <v>7302</v>
      </c>
      <c r="AZ3084" t="s">
        <v>777</v>
      </c>
      <c r="BA3084" t="s">
        <v>572</v>
      </c>
      <c r="BE3084" s="3">
        <v>41796</v>
      </c>
      <c r="BF3084" s="1">
        <v>278500</v>
      </c>
      <c r="BG3084" t="s">
        <v>20150</v>
      </c>
      <c r="BH3084" s="1">
        <v>96.5</v>
      </c>
      <c r="BI3084" s="1">
        <v>276353</v>
      </c>
      <c r="BJ3084" s="3">
        <v>42797</v>
      </c>
      <c r="BK3084" t="s">
        <v>123</v>
      </c>
      <c r="BL3084" t="str">
        <f>"2017.155171"</f>
        <v>2017.155171</v>
      </c>
      <c r="BM3084" t="s">
        <v>402</v>
      </c>
      <c r="BO3084" t="s">
        <v>20151</v>
      </c>
      <c r="BS3084">
        <v>28</v>
      </c>
      <c r="BW3084" t="str">
        <f>""</f>
        <v/>
      </c>
      <c r="CH3084" t="str">
        <f>""</f>
        <v/>
      </c>
      <c r="CS3084" t="str">
        <f>""</f>
        <v/>
      </c>
    </row>
    <row r="3085" spans="1:97" x14ac:dyDescent="0.25">
      <c r="A3085" t="s">
        <v>13060</v>
      </c>
      <c r="B3085" t="s">
        <v>1094</v>
      </c>
      <c r="C3085" t="s">
        <v>3464</v>
      </c>
      <c r="D3085" t="s">
        <v>1094</v>
      </c>
      <c r="E3085" t="s">
        <v>20152</v>
      </c>
      <c r="F3085" t="s">
        <v>108</v>
      </c>
      <c r="H3085" t="s">
        <v>20153</v>
      </c>
      <c r="I3085" t="s">
        <v>5636</v>
      </c>
      <c r="J3085" t="s">
        <v>111</v>
      </c>
      <c r="K3085" t="str">
        <f>"85268"</f>
        <v>85268</v>
      </c>
      <c r="L3085" t="s">
        <v>8103</v>
      </c>
      <c r="M3085" t="s">
        <v>20153</v>
      </c>
      <c r="N3085" t="s">
        <v>5636</v>
      </c>
      <c r="O3085" t="s">
        <v>111</v>
      </c>
      <c r="P3085" t="str">
        <f>"85268-5320"</f>
        <v>85268-5320</v>
      </c>
      <c r="Q3085" t="s">
        <v>113</v>
      </c>
      <c r="R3085" t="str">
        <f>"176-13-355"</f>
        <v>176-13-355</v>
      </c>
      <c r="S3085" t="s">
        <v>20154</v>
      </c>
      <c r="U3085">
        <v>3134</v>
      </c>
      <c r="V3085">
        <v>0</v>
      </c>
      <c r="W3085">
        <v>4</v>
      </c>
      <c r="X3085">
        <v>1999</v>
      </c>
      <c r="Z3085">
        <v>1</v>
      </c>
      <c r="AA3085" t="s">
        <v>26</v>
      </c>
      <c r="AB3085">
        <v>0</v>
      </c>
      <c r="AC3085" t="s">
        <v>115</v>
      </c>
      <c r="AD3085">
        <v>3</v>
      </c>
      <c r="AE3085" t="s">
        <v>115</v>
      </c>
      <c r="AF3085">
        <v>0</v>
      </c>
      <c r="AG3085">
        <v>0</v>
      </c>
      <c r="AH3085" t="s">
        <v>116</v>
      </c>
      <c r="AI3085" s="1">
        <v>131138</v>
      </c>
      <c r="AJ3085" s="2">
        <v>0.21</v>
      </c>
      <c r="AK3085" s="1">
        <v>634704</v>
      </c>
      <c r="AL3085" t="s">
        <v>117</v>
      </c>
      <c r="AM3085" t="s">
        <v>171</v>
      </c>
      <c r="AN3085">
        <v>12894</v>
      </c>
      <c r="AO3085">
        <v>0.3</v>
      </c>
      <c r="AP3085">
        <v>1</v>
      </c>
      <c r="AR3085">
        <v>1</v>
      </c>
      <c r="AS3085" s="1">
        <v>48220</v>
      </c>
      <c r="AT3085" s="1">
        <v>9640</v>
      </c>
      <c r="AU3085" s="1">
        <v>38580</v>
      </c>
      <c r="AV3085">
        <v>80.010000000000005</v>
      </c>
      <c r="AX3085" s="1">
        <v>3202.8</v>
      </c>
      <c r="AY3085" t="s">
        <v>5639</v>
      </c>
      <c r="AZ3085" t="s">
        <v>5640</v>
      </c>
      <c r="BA3085" t="s">
        <v>5641</v>
      </c>
      <c r="BE3085" s="3">
        <v>42307</v>
      </c>
      <c r="BF3085" s="1">
        <v>522500</v>
      </c>
      <c r="BG3085" t="s">
        <v>20155</v>
      </c>
      <c r="BH3085" s="1">
        <v>166.72</v>
      </c>
      <c r="BI3085" s="1">
        <v>503566</v>
      </c>
      <c r="BJ3085" s="3">
        <v>42307</v>
      </c>
      <c r="BK3085" t="s">
        <v>123</v>
      </c>
      <c r="BL3085" t="str">
        <f>"2015.782228"</f>
        <v>2015.782228</v>
      </c>
      <c r="BM3085" t="s">
        <v>4738</v>
      </c>
      <c r="BO3085" t="s">
        <v>20156</v>
      </c>
      <c r="BS3085">
        <v>30</v>
      </c>
      <c r="BW3085" t="str">
        <f>""</f>
        <v/>
      </c>
      <c r="CH3085" t="str">
        <f>""</f>
        <v/>
      </c>
      <c r="CS3085" t="str">
        <f>""</f>
        <v/>
      </c>
    </row>
    <row r="3086" spans="1:97" x14ac:dyDescent="0.25">
      <c r="A3086" t="s">
        <v>370</v>
      </c>
      <c r="B3086" t="s">
        <v>20157</v>
      </c>
      <c r="E3086" t="s">
        <v>20158</v>
      </c>
      <c r="F3086" t="s">
        <v>108</v>
      </c>
      <c r="H3086" t="s">
        <v>20159</v>
      </c>
      <c r="I3086" t="s">
        <v>203</v>
      </c>
      <c r="J3086" t="s">
        <v>111</v>
      </c>
      <c r="K3086" t="str">
        <f>"85295"</f>
        <v>85295</v>
      </c>
      <c r="L3086" t="s">
        <v>6316</v>
      </c>
      <c r="M3086" t="s">
        <v>20159</v>
      </c>
      <c r="N3086" t="s">
        <v>203</v>
      </c>
      <c r="O3086" t="s">
        <v>111</v>
      </c>
      <c r="P3086" t="str">
        <f>"85295-5489"</f>
        <v>85295-5489</v>
      </c>
      <c r="Q3086" t="s">
        <v>113</v>
      </c>
      <c r="R3086" t="str">
        <f>"304-42-706"</f>
        <v>304-42-706</v>
      </c>
      <c r="S3086" t="s">
        <v>20160</v>
      </c>
      <c r="T3086" t="s">
        <v>20161</v>
      </c>
      <c r="U3086">
        <v>3348</v>
      </c>
      <c r="V3086">
        <v>0</v>
      </c>
      <c r="W3086">
        <v>4</v>
      </c>
      <c r="X3086">
        <v>2000</v>
      </c>
      <c r="Z3086">
        <v>2</v>
      </c>
      <c r="AA3086" t="s">
        <v>26</v>
      </c>
      <c r="AB3086">
        <v>0</v>
      </c>
      <c r="AC3086" t="s">
        <v>115</v>
      </c>
      <c r="AD3086">
        <v>3</v>
      </c>
      <c r="AE3086" t="s">
        <v>115</v>
      </c>
      <c r="AF3086">
        <v>0</v>
      </c>
      <c r="AG3086">
        <v>0</v>
      </c>
      <c r="AH3086" t="s">
        <v>116</v>
      </c>
      <c r="AI3086" s="1">
        <v>90888</v>
      </c>
      <c r="AJ3086" s="2">
        <v>0.18</v>
      </c>
      <c r="AK3086" s="1">
        <v>499831</v>
      </c>
      <c r="AL3086" t="s">
        <v>117</v>
      </c>
      <c r="AM3086" t="s">
        <v>1521</v>
      </c>
      <c r="AN3086">
        <v>19810</v>
      </c>
      <c r="AO3086">
        <v>0.46</v>
      </c>
      <c r="AP3086">
        <v>1</v>
      </c>
      <c r="AR3086">
        <v>1</v>
      </c>
      <c r="AS3086" s="1">
        <v>37150</v>
      </c>
      <c r="AT3086" s="1">
        <v>7430</v>
      </c>
      <c r="AU3086" s="1">
        <v>29720</v>
      </c>
      <c r="AV3086">
        <v>80</v>
      </c>
      <c r="AX3086" s="1">
        <v>2809.2</v>
      </c>
      <c r="AY3086" t="s">
        <v>9212</v>
      </c>
      <c r="AZ3086" t="s">
        <v>207</v>
      </c>
      <c r="BA3086" t="s">
        <v>208</v>
      </c>
      <c r="BE3086" s="3">
        <v>42543</v>
      </c>
      <c r="BF3086" s="1">
        <v>408000</v>
      </c>
      <c r="BG3086" t="s">
        <v>20162</v>
      </c>
      <c r="BH3086" s="1">
        <v>121.86</v>
      </c>
      <c r="BI3086" s="1">
        <v>408943</v>
      </c>
      <c r="BJ3086" s="3">
        <v>42929</v>
      </c>
      <c r="BK3086" t="s">
        <v>123</v>
      </c>
      <c r="BL3086" t="str">
        <f>"2017.511237"</f>
        <v>2017.511237</v>
      </c>
      <c r="BM3086" t="s">
        <v>8621</v>
      </c>
      <c r="BO3086" t="s">
        <v>20163</v>
      </c>
      <c r="BS3086">
        <v>30</v>
      </c>
      <c r="BW3086" t="str">
        <f>""</f>
        <v/>
      </c>
      <c r="CH3086" t="str">
        <f>""</f>
        <v/>
      </c>
      <c r="CS3086" t="str">
        <f>""</f>
        <v/>
      </c>
    </row>
    <row r="3087" spans="1:97" x14ac:dyDescent="0.25">
      <c r="A3087" t="s">
        <v>496</v>
      </c>
      <c r="B3087" t="s">
        <v>20164</v>
      </c>
      <c r="E3087" t="s">
        <v>20165</v>
      </c>
      <c r="F3087" t="s">
        <v>282</v>
      </c>
      <c r="H3087" t="s">
        <v>20166</v>
      </c>
      <c r="I3087" t="s">
        <v>2874</v>
      </c>
      <c r="J3087" t="s">
        <v>111</v>
      </c>
      <c r="K3087" t="str">
        <f>"85308"</f>
        <v>85308</v>
      </c>
      <c r="L3087" t="s">
        <v>5438</v>
      </c>
      <c r="M3087" t="s">
        <v>20167</v>
      </c>
      <c r="N3087" t="s">
        <v>2874</v>
      </c>
      <c r="O3087" t="s">
        <v>111</v>
      </c>
      <c r="P3087" t="str">
        <f>"85308-5087"</f>
        <v>85308-5087</v>
      </c>
      <c r="Q3087" t="s">
        <v>113</v>
      </c>
      <c r="R3087" t="str">
        <f>"200-23-825"</f>
        <v>200-23-825</v>
      </c>
      <c r="S3087" t="s">
        <v>20168</v>
      </c>
      <c r="T3087" t="s">
        <v>10102</v>
      </c>
      <c r="U3087">
        <v>3163</v>
      </c>
      <c r="V3087">
        <v>0</v>
      </c>
      <c r="W3087">
        <v>4</v>
      </c>
      <c r="X3087">
        <v>1994</v>
      </c>
      <c r="Z3087">
        <v>2</v>
      </c>
      <c r="AB3087">
        <v>0</v>
      </c>
      <c r="AC3087" t="s">
        <v>115</v>
      </c>
      <c r="AD3087">
        <v>3</v>
      </c>
      <c r="AE3087" t="s">
        <v>115</v>
      </c>
      <c r="AF3087">
        <v>0</v>
      </c>
      <c r="AG3087">
        <v>0</v>
      </c>
      <c r="AH3087" t="s">
        <v>116</v>
      </c>
      <c r="AI3087" s="1">
        <v>23225</v>
      </c>
      <c r="AJ3087" s="2">
        <v>0.04</v>
      </c>
      <c r="AK3087" s="1">
        <v>556306</v>
      </c>
      <c r="AL3087" t="s">
        <v>117</v>
      </c>
      <c r="AM3087" t="s">
        <v>191</v>
      </c>
      <c r="AN3087">
        <v>9564</v>
      </c>
      <c r="AO3087">
        <v>0.22</v>
      </c>
      <c r="AP3087">
        <v>1</v>
      </c>
      <c r="AR3087">
        <v>1</v>
      </c>
      <c r="AS3087" s="1">
        <v>40810</v>
      </c>
      <c r="AT3087" s="1">
        <v>8160</v>
      </c>
      <c r="AU3087" s="1">
        <v>32650</v>
      </c>
      <c r="AV3087">
        <v>80</v>
      </c>
      <c r="AX3087" s="1">
        <v>4447.8599999999997</v>
      </c>
      <c r="AY3087" t="s">
        <v>7455</v>
      </c>
      <c r="AZ3087" t="s">
        <v>3049</v>
      </c>
      <c r="BA3087" t="s">
        <v>2223</v>
      </c>
      <c r="BB3087" s="3">
        <v>43252</v>
      </c>
      <c r="BC3087" s="1">
        <v>0</v>
      </c>
      <c r="BD3087" t="s">
        <v>247</v>
      </c>
      <c r="BE3087" s="3">
        <v>42055</v>
      </c>
      <c r="BF3087" s="1">
        <v>585000</v>
      </c>
      <c r="BG3087" t="s">
        <v>20169</v>
      </c>
      <c r="BH3087" s="1">
        <v>184.95</v>
      </c>
      <c r="BI3087" s="1">
        <v>533081</v>
      </c>
      <c r="BJ3087" s="3">
        <v>42055</v>
      </c>
      <c r="BK3087" t="s">
        <v>123</v>
      </c>
      <c r="BL3087" t="str">
        <f>"2015.111442"</f>
        <v>2015.111442</v>
      </c>
      <c r="BM3087" t="s">
        <v>2290</v>
      </c>
      <c r="BN3087" t="s">
        <v>2291</v>
      </c>
      <c r="BO3087" t="s">
        <v>20170</v>
      </c>
      <c r="BS3087">
        <v>30</v>
      </c>
      <c r="BW3087" t="str">
        <f>""</f>
        <v/>
      </c>
      <c r="CH3087" t="str">
        <f>""</f>
        <v/>
      </c>
      <c r="CS3087" t="str">
        <f>""</f>
        <v/>
      </c>
    </row>
    <row r="3088" spans="1:97" x14ac:dyDescent="0.25">
      <c r="A3088" t="s">
        <v>1465</v>
      </c>
      <c r="B3088" t="s">
        <v>20171</v>
      </c>
      <c r="C3088" t="s">
        <v>20172</v>
      </c>
      <c r="D3088" t="s">
        <v>20171</v>
      </c>
      <c r="E3088" t="s">
        <v>20173</v>
      </c>
      <c r="F3088" t="s">
        <v>108</v>
      </c>
      <c r="H3088" t="s">
        <v>20174</v>
      </c>
      <c r="I3088" t="s">
        <v>110</v>
      </c>
      <c r="J3088" t="s">
        <v>111</v>
      </c>
      <c r="K3088" t="str">
        <f>"85249"</f>
        <v>85249</v>
      </c>
      <c r="L3088" t="s">
        <v>3645</v>
      </c>
      <c r="M3088" t="s">
        <v>20174</v>
      </c>
      <c r="N3088" t="s">
        <v>110</v>
      </c>
      <c r="O3088" t="s">
        <v>111</v>
      </c>
      <c r="P3088" t="str">
        <f>"85249-3577"</f>
        <v>85249-3577</v>
      </c>
      <c r="Q3088" t="s">
        <v>113</v>
      </c>
      <c r="R3088" t="str">
        <f>"303-55-253"</f>
        <v>303-55-253</v>
      </c>
      <c r="S3088" t="s">
        <v>20175</v>
      </c>
      <c r="T3088" t="s">
        <v>20175</v>
      </c>
      <c r="U3088">
        <v>2911</v>
      </c>
      <c r="V3088">
        <v>0</v>
      </c>
      <c r="W3088">
        <v>3</v>
      </c>
      <c r="X3088">
        <v>2001</v>
      </c>
      <c r="Z3088">
        <v>1</v>
      </c>
      <c r="AA3088" t="s">
        <v>26</v>
      </c>
      <c r="AB3088">
        <v>0</v>
      </c>
      <c r="AC3088" t="s">
        <v>115</v>
      </c>
      <c r="AD3088">
        <v>3</v>
      </c>
      <c r="AE3088" t="s">
        <v>115</v>
      </c>
      <c r="AF3088">
        <v>0</v>
      </c>
      <c r="AG3088">
        <v>0</v>
      </c>
      <c r="AH3088" t="s">
        <v>116</v>
      </c>
      <c r="AI3088" s="1">
        <v>90498</v>
      </c>
      <c r="AJ3088" s="2">
        <v>0.18</v>
      </c>
      <c r="AK3088" s="1">
        <v>507498</v>
      </c>
      <c r="AL3088" t="s">
        <v>117</v>
      </c>
      <c r="AM3088" t="s">
        <v>118</v>
      </c>
      <c r="AN3088">
        <v>17331</v>
      </c>
      <c r="AO3088">
        <v>0.4</v>
      </c>
      <c r="AP3088">
        <v>1</v>
      </c>
      <c r="AR3088">
        <v>1</v>
      </c>
      <c r="AS3088" s="1">
        <v>34010</v>
      </c>
      <c r="AT3088" s="1">
        <v>6800</v>
      </c>
      <c r="AU3088" s="1">
        <v>27210</v>
      </c>
      <c r="AV3088">
        <v>80.010000000000005</v>
      </c>
      <c r="AX3088" s="1">
        <v>2864.28</v>
      </c>
      <c r="AY3088" t="s">
        <v>5050</v>
      </c>
      <c r="AZ3088" t="s">
        <v>120</v>
      </c>
      <c r="BA3088" t="s">
        <v>274</v>
      </c>
      <c r="BE3088" s="3">
        <v>42033</v>
      </c>
      <c r="BF3088" s="1">
        <v>432500</v>
      </c>
      <c r="BG3088" t="s">
        <v>20176</v>
      </c>
      <c r="BH3088" s="1">
        <v>148.57</v>
      </c>
      <c r="BI3088" s="1">
        <v>417000</v>
      </c>
      <c r="BJ3088" s="3">
        <v>42033</v>
      </c>
      <c r="BK3088" t="s">
        <v>123</v>
      </c>
      <c r="BL3088" t="str">
        <f>"2015.59591"</f>
        <v>2015.59591</v>
      </c>
      <c r="BM3088" t="s">
        <v>2980</v>
      </c>
      <c r="BO3088" t="s">
        <v>20177</v>
      </c>
      <c r="BS3088">
        <v>30</v>
      </c>
      <c r="BW3088" t="str">
        <f>""</f>
        <v/>
      </c>
      <c r="CH3088" t="str">
        <f>""</f>
        <v/>
      </c>
      <c r="CS3088" t="str">
        <f>""</f>
        <v/>
      </c>
    </row>
    <row r="3089" spans="1:97" x14ac:dyDescent="0.25">
      <c r="A3089" t="s">
        <v>20178</v>
      </c>
      <c r="B3089" t="s">
        <v>20179</v>
      </c>
      <c r="C3089" t="s">
        <v>4636</v>
      </c>
      <c r="D3089" t="s">
        <v>20179</v>
      </c>
      <c r="E3089" t="s">
        <v>20180</v>
      </c>
      <c r="F3089" t="s">
        <v>108</v>
      </c>
      <c r="H3089" t="s">
        <v>20181</v>
      </c>
      <c r="I3089" t="s">
        <v>110</v>
      </c>
      <c r="J3089" t="s">
        <v>111</v>
      </c>
      <c r="K3089" t="str">
        <f>"85249"</f>
        <v>85249</v>
      </c>
      <c r="L3089" t="s">
        <v>5990</v>
      </c>
      <c r="M3089" t="s">
        <v>20181</v>
      </c>
      <c r="N3089" t="s">
        <v>110</v>
      </c>
      <c r="O3089" t="s">
        <v>111</v>
      </c>
      <c r="P3089" t="str">
        <f>"85249-3662"</f>
        <v>85249-3662</v>
      </c>
      <c r="Q3089" t="s">
        <v>113</v>
      </c>
      <c r="R3089" t="str">
        <f>"303-53-637"</f>
        <v>303-53-637</v>
      </c>
      <c r="S3089" t="s">
        <v>20182</v>
      </c>
      <c r="T3089" t="s">
        <v>20183</v>
      </c>
      <c r="U3089">
        <v>2074</v>
      </c>
      <c r="V3089">
        <v>0</v>
      </c>
      <c r="W3089">
        <v>4</v>
      </c>
      <c r="X3089">
        <v>2003</v>
      </c>
      <c r="Z3089">
        <v>1</v>
      </c>
      <c r="AA3089" t="s">
        <v>26</v>
      </c>
      <c r="AB3089">
        <v>0</v>
      </c>
      <c r="AC3089" t="s">
        <v>115</v>
      </c>
      <c r="AD3089">
        <v>2</v>
      </c>
      <c r="AE3089" t="s">
        <v>115</v>
      </c>
      <c r="AF3089">
        <v>0</v>
      </c>
      <c r="AG3089">
        <v>0</v>
      </c>
      <c r="AH3089" t="s">
        <v>116</v>
      </c>
      <c r="AI3089" s="1">
        <v>32373</v>
      </c>
      <c r="AJ3089" s="2">
        <v>0.08</v>
      </c>
      <c r="AK3089" s="1">
        <v>397022</v>
      </c>
      <c r="AL3089" t="s">
        <v>117</v>
      </c>
      <c r="AM3089" t="s">
        <v>118</v>
      </c>
      <c r="AN3089">
        <v>8436</v>
      </c>
      <c r="AO3089">
        <v>0.19</v>
      </c>
      <c r="AP3089">
        <v>1</v>
      </c>
      <c r="AR3089">
        <v>1</v>
      </c>
      <c r="AS3089" s="1">
        <v>28770</v>
      </c>
      <c r="AT3089" s="1">
        <v>5750</v>
      </c>
      <c r="AU3089" s="1">
        <v>23020</v>
      </c>
      <c r="AV3089">
        <v>80.010000000000005</v>
      </c>
      <c r="AX3089" s="1">
        <v>2412.54</v>
      </c>
      <c r="AY3089" t="s">
        <v>119</v>
      </c>
      <c r="AZ3089" t="s">
        <v>120</v>
      </c>
      <c r="BA3089" t="s">
        <v>121</v>
      </c>
      <c r="BE3089" s="3">
        <v>42244</v>
      </c>
      <c r="BF3089" s="1">
        <v>312000</v>
      </c>
      <c r="BG3089" t="s">
        <v>20184</v>
      </c>
      <c r="BH3089" s="1">
        <v>150.43</v>
      </c>
      <c r="BI3089" s="1">
        <v>364649</v>
      </c>
      <c r="BJ3089" s="3">
        <v>43089</v>
      </c>
      <c r="BK3089" t="s">
        <v>123</v>
      </c>
      <c r="BL3089" t="str">
        <f>"2017.942030"</f>
        <v>2017.942030</v>
      </c>
      <c r="BM3089" t="s">
        <v>1277</v>
      </c>
      <c r="BO3089" t="s">
        <v>20185</v>
      </c>
      <c r="BS3089">
        <v>31</v>
      </c>
      <c r="BW3089" t="str">
        <f>""</f>
        <v/>
      </c>
      <c r="CH3089" t="str">
        <f>""</f>
        <v/>
      </c>
      <c r="CS3089" t="str">
        <f>""</f>
        <v/>
      </c>
    </row>
    <row r="3090" spans="1:97" x14ac:dyDescent="0.25">
      <c r="A3090" t="s">
        <v>2374</v>
      </c>
      <c r="B3090" t="s">
        <v>20186</v>
      </c>
      <c r="E3090" t="s">
        <v>20187</v>
      </c>
      <c r="F3090" t="s">
        <v>108</v>
      </c>
      <c r="H3090" t="s">
        <v>20188</v>
      </c>
      <c r="I3090" t="s">
        <v>5387</v>
      </c>
      <c r="J3090" t="s">
        <v>111</v>
      </c>
      <c r="K3090" t="str">
        <f>"85283"</f>
        <v>85283</v>
      </c>
      <c r="L3090" t="s">
        <v>5209</v>
      </c>
      <c r="M3090" t="s">
        <v>20188</v>
      </c>
      <c r="N3090" t="s">
        <v>5387</v>
      </c>
      <c r="O3090" t="s">
        <v>111</v>
      </c>
      <c r="P3090" t="str">
        <f>"85283-3908"</f>
        <v>85283-3908</v>
      </c>
      <c r="Q3090" t="s">
        <v>113</v>
      </c>
      <c r="R3090" t="str">
        <f>"301-48-910"</f>
        <v>301-48-910</v>
      </c>
      <c r="S3090" t="s">
        <v>13005</v>
      </c>
      <c r="T3090" t="s">
        <v>13006</v>
      </c>
      <c r="U3090">
        <v>2107</v>
      </c>
      <c r="V3090">
        <v>0</v>
      </c>
      <c r="W3090">
        <v>3</v>
      </c>
      <c r="X3090">
        <v>1979</v>
      </c>
      <c r="Z3090">
        <v>1</v>
      </c>
      <c r="AA3090" t="s">
        <v>26</v>
      </c>
      <c r="AB3090">
        <v>0</v>
      </c>
      <c r="AC3090" t="s">
        <v>5188</v>
      </c>
      <c r="AD3090">
        <v>2</v>
      </c>
      <c r="AE3090" t="s">
        <v>5188</v>
      </c>
      <c r="AF3090">
        <v>0</v>
      </c>
      <c r="AG3090">
        <v>0</v>
      </c>
      <c r="AH3090" t="s">
        <v>116</v>
      </c>
      <c r="AI3090" s="1">
        <v>71059</v>
      </c>
      <c r="AJ3090" s="2">
        <v>0.2</v>
      </c>
      <c r="AK3090" s="1">
        <v>358233</v>
      </c>
      <c r="AL3090" t="s">
        <v>117</v>
      </c>
      <c r="AM3090" t="s">
        <v>191</v>
      </c>
      <c r="AN3090">
        <v>9892</v>
      </c>
      <c r="AO3090">
        <v>0.23</v>
      </c>
      <c r="AP3090">
        <v>1</v>
      </c>
      <c r="AR3090">
        <v>1</v>
      </c>
      <c r="AS3090" s="1">
        <v>25930</v>
      </c>
      <c r="AT3090" s="1">
        <v>5180</v>
      </c>
      <c r="AU3090" s="1">
        <v>20750</v>
      </c>
      <c r="AV3090">
        <v>80.02</v>
      </c>
      <c r="AX3090" s="1">
        <v>2210.08</v>
      </c>
      <c r="AY3090" t="s">
        <v>5390</v>
      </c>
      <c r="AZ3090" t="s">
        <v>5391</v>
      </c>
      <c r="BA3090" t="s">
        <v>5392</v>
      </c>
      <c r="BB3090" s="3">
        <v>42604</v>
      </c>
      <c r="BD3090" t="s">
        <v>458</v>
      </c>
      <c r="BE3090" s="3">
        <v>42215</v>
      </c>
      <c r="BF3090" s="1">
        <v>245000</v>
      </c>
      <c r="BG3090" t="s">
        <v>20189</v>
      </c>
      <c r="BH3090" s="1">
        <v>116.28</v>
      </c>
      <c r="BI3090" s="1">
        <v>287174</v>
      </c>
      <c r="BJ3090" s="3">
        <v>42604</v>
      </c>
      <c r="BK3090" t="s">
        <v>123</v>
      </c>
      <c r="BL3090" t="str">
        <f>"2016.602592"</f>
        <v>2016.602592</v>
      </c>
      <c r="BM3090" t="s">
        <v>20190</v>
      </c>
      <c r="BO3090" t="s">
        <v>20191</v>
      </c>
      <c r="BS3090">
        <v>30</v>
      </c>
      <c r="BW3090" t="str">
        <f>""</f>
        <v/>
      </c>
      <c r="CH3090" t="str">
        <f>""</f>
        <v/>
      </c>
      <c r="CS3090" t="str">
        <f>""</f>
        <v/>
      </c>
    </row>
    <row r="3091" spans="1:97" x14ac:dyDescent="0.25">
      <c r="A3091" t="s">
        <v>305</v>
      </c>
      <c r="B3091" t="s">
        <v>19627</v>
      </c>
      <c r="C3091" t="s">
        <v>794</v>
      </c>
      <c r="D3091" t="s">
        <v>19627</v>
      </c>
      <c r="E3091" t="s">
        <v>20192</v>
      </c>
      <c r="F3091" t="s">
        <v>108</v>
      </c>
      <c r="H3091" t="s">
        <v>20193</v>
      </c>
      <c r="I3091" t="s">
        <v>1397</v>
      </c>
      <c r="J3091" t="s">
        <v>111</v>
      </c>
      <c r="K3091" t="str">
        <f>"85331"</f>
        <v>85331</v>
      </c>
      <c r="L3091" t="s">
        <v>20194</v>
      </c>
      <c r="M3091" t="s">
        <v>20193</v>
      </c>
      <c r="N3091" t="s">
        <v>1397</v>
      </c>
      <c r="O3091" t="s">
        <v>111</v>
      </c>
      <c r="P3091" t="str">
        <f>"85331-3481"</f>
        <v>85331-3481</v>
      </c>
      <c r="Q3091" t="s">
        <v>113</v>
      </c>
      <c r="R3091" t="str">
        <f>"211-44-337"</f>
        <v>211-44-337</v>
      </c>
      <c r="S3091" t="s">
        <v>20195</v>
      </c>
      <c r="T3091" t="s">
        <v>20196</v>
      </c>
      <c r="U3091">
        <v>2988</v>
      </c>
      <c r="V3091">
        <v>0</v>
      </c>
      <c r="W3091">
        <v>4</v>
      </c>
      <c r="X3091">
        <v>2002</v>
      </c>
      <c r="Z3091">
        <v>1</v>
      </c>
      <c r="AB3091">
        <v>0</v>
      </c>
      <c r="AC3091" t="s">
        <v>115</v>
      </c>
      <c r="AD3091">
        <v>3</v>
      </c>
      <c r="AE3091" t="s">
        <v>115</v>
      </c>
      <c r="AF3091">
        <v>0</v>
      </c>
      <c r="AG3091">
        <v>0</v>
      </c>
      <c r="AH3091" t="s">
        <v>116</v>
      </c>
      <c r="AI3091" s="1">
        <v>177075</v>
      </c>
      <c r="AJ3091" s="2">
        <v>0.28000000000000003</v>
      </c>
      <c r="AK3091" s="1">
        <v>630212</v>
      </c>
      <c r="AL3091" t="s">
        <v>117</v>
      </c>
      <c r="AM3091" t="s">
        <v>3973</v>
      </c>
      <c r="AN3091">
        <v>31485</v>
      </c>
      <c r="AO3091">
        <v>0.72</v>
      </c>
      <c r="AP3091">
        <v>1</v>
      </c>
      <c r="AR3091">
        <v>1</v>
      </c>
      <c r="AS3091" s="1">
        <v>44150</v>
      </c>
      <c r="AT3091" s="1">
        <v>8830</v>
      </c>
      <c r="AU3091" s="1">
        <v>35320</v>
      </c>
      <c r="AV3091">
        <v>80</v>
      </c>
      <c r="AX3091" s="1">
        <v>2250.42</v>
      </c>
      <c r="AY3091" t="s">
        <v>5017</v>
      </c>
      <c r="AZ3091" t="s">
        <v>1402</v>
      </c>
      <c r="BA3091" t="s">
        <v>1403</v>
      </c>
      <c r="BE3091" s="3">
        <v>41894</v>
      </c>
      <c r="BF3091" s="1">
        <v>475000</v>
      </c>
      <c r="BG3091" t="s">
        <v>20197</v>
      </c>
      <c r="BH3091" s="1">
        <v>158.97</v>
      </c>
      <c r="BI3091" s="1">
        <v>453137</v>
      </c>
      <c r="BJ3091" s="3">
        <v>42487</v>
      </c>
      <c r="BK3091" t="s">
        <v>123</v>
      </c>
      <c r="BL3091" t="str">
        <f>"2016.282336"</f>
        <v>2016.282336</v>
      </c>
      <c r="BM3091" t="s">
        <v>2378</v>
      </c>
      <c r="BO3091" t="s">
        <v>20198</v>
      </c>
      <c r="BS3091">
        <v>30</v>
      </c>
      <c r="BW3091" t="str">
        <f>""</f>
        <v/>
      </c>
      <c r="CH3091" t="str">
        <f>""</f>
        <v/>
      </c>
      <c r="CS3091" t="str">
        <f>""</f>
        <v/>
      </c>
    </row>
    <row r="3092" spans="1:97" x14ac:dyDescent="0.25">
      <c r="A3092" t="s">
        <v>20199</v>
      </c>
      <c r="B3092" t="s">
        <v>4874</v>
      </c>
      <c r="C3092" t="s">
        <v>1821</v>
      </c>
      <c r="D3092" t="s">
        <v>4874</v>
      </c>
      <c r="E3092" t="s">
        <v>20200</v>
      </c>
      <c r="F3092" t="s">
        <v>108</v>
      </c>
      <c r="H3092" t="s">
        <v>20201</v>
      </c>
      <c r="I3092" t="s">
        <v>203</v>
      </c>
      <c r="J3092" t="s">
        <v>111</v>
      </c>
      <c r="K3092" t="str">
        <f>"85233"</f>
        <v>85233</v>
      </c>
      <c r="L3092" t="s">
        <v>8146</v>
      </c>
      <c r="M3092" t="s">
        <v>20201</v>
      </c>
      <c r="N3092" t="s">
        <v>203</v>
      </c>
      <c r="O3092" t="s">
        <v>111</v>
      </c>
      <c r="P3092" t="str">
        <f>"85233-3517"</f>
        <v>85233-3517</v>
      </c>
      <c r="Q3092" t="s">
        <v>113</v>
      </c>
      <c r="R3092" t="str">
        <f>"302-22-042"</f>
        <v>302-22-042</v>
      </c>
      <c r="S3092" t="s">
        <v>14434</v>
      </c>
      <c r="U3092">
        <v>4198</v>
      </c>
      <c r="V3092">
        <v>0</v>
      </c>
      <c r="W3092">
        <v>5</v>
      </c>
      <c r="X3092">
        <v>1996</v>
      </c>
      <c r="Z3092">
        <v>2</v>
      </c>
      <c r="AA3092" t="s">
        <v>26</v>
      </c>
      <c r="AB3092">
        <v>0</v>
      </c>
      <c r="AC3092" t="s">
        <v>115</v>
      </c>
      <c r="AD3092">
        <v>4</v>
      </c>
      <c r="AE3092" t="s">
        <v>115</v>
      </c>
      <c r="AF3092">
        <v>0</v>
      </c>
      <c r="AG3092">
        <v>0</v>
      </c>
      <c r="AH3092" t="s">
        <v>116</v>
      </c>
      <c r="AI3092" s="1">
        <v>128605</v>
      </c>
      <c r="AJ3092" s="2">
        <v>0.24</v>
      </c>
      <c r="AK3092" s="1">
        <v>545579</v>
      </c>
      <c r="AL3092" t="s">
        <v>117</v>
      </c>
      <c r="AM3092" t="s">
        <v>393</v>
      </c>
      <c r="AN3092">
        <v>10738</v>
      </c>
      <c r="AO3092">
        <v>0.25</v>
      </c>
      <c r="AP3092">
        <v>1</v>
      </c>
      <c r="AR3092">
        <v>1</v>
      </c>
      <c r="AS3092" s="1">
        <v>39150</v>
      </c>
      <c r="AT3092" s="1">
        <v>7830</v>
      </c>
      <c r="AU3092" s="1">
        <v>31320</v>
      </c>
      <c r="AV3092">
        <v>80</v>
      </c>
      <c r="AX3092" s="1">
        <v>3408.6</v>
      </c>
      <c r="AY3092" t="s">
        <v>9989</v>
      </c>
      <c r="AZ3092" t="s">
        <v>5478</v>
      </c>
      <c r="BA3092" t="s">
        <v>5479</v>
      </c>
      <c r="BE3092" s="3">
        <v>42256</v>
      </c>
      <c r="BF3092" s="1">
        <v>435000</v>
      </c>
      <c r="BG3092" t="s">
        <v>20202</v>
      </c>
      <c r="BH3092" s="1">
        <v>103.62</v>
      </c>
      <c r="BI3092" s="1">
        <v>416974</v>
      </c>
      <c r="BJ3092" s="3">
        <v>42578</v>
      </c>
      <c r="BK3092" t="s">
        <v>123</v>
      </c>
      <c r="BL3092" t="str">
        <f>"2016.528681"</f>
        <v>2016.528681</v>
      </c>
      <c r="BM3092" t="s">
        <v>1760</v>
      </c>
      <c r="BO3092" t="s">
        <v>20203</v>
      </c>
      <c r="BS3092">
        <v>30</v>
      </c>
      <c r="BW3092" t="str">
        <f>""</f>
        <v/>
      </c>
      <c r="CH3092" t="str">
        <f>""</f>
        <v/>
      </c>
      <c r="CS3092" t="str">
        <f>""</f>
        <v/>
      </c>
    </row>
    <row r="3093" spans="1:97" x14ac:dyDescent="0.25">
      <c r="A3093" t="s">
        <v>701</v>
      </c>
      <c r="B3093" t="s">
        <v>20204</v>
      </c>
      <c r="C3093" t="s">
        <v>8858</v>
      </c>
      <c r="D3093" t="s">
        <v>20204</v>
      </c>
      <c r="E3093" t="s">
        <v>20205</v>
      </c>
      <c r="F3093" t="s">
        <v>108</v>
      </c>
      <c r="H3093" t="s">
        <v>20206</v>
      </c>
      <c r="I3093" t="s">
        <v>632</v>
      </c>
      <c r="J3093" t="s">
        <v>111</v>
      </c>
      <c r="K3093" t="str">
        <f>"85374"</f>
        <v>85374</v>
      </c>
      <c r="L3093" t="s">
        <v>3151</v>
      </c>
      <c r="M3093" t="s">
        <v>20206</v>
      </c>
      <c r="N3093" t="s">
        <v>632</v>
      </c>
      <c r="O3093" t="s">
        <v>111</v>
      </c>
      <c r="P3093" t="str">
        <f>"85374-5028"</f>
        <v>85374-5028</v>
      </c>
      <c r="Q3093" t="s">
        <v>113</v>
      </c>
      <c r="R3093" t="str">
        <f>"232-33-007"</f>
        <v>232-33-007</v>
      </c>
      <c r="S3093" t="s">
        <v>7469</v>
      </c>
      <c r="T3093" t="s">
        <v>7469</v>
      </c>
      <c r="U3093">
        <v>1909</v>
      </c>
      <c r="V3093">
        <v>0</v>
      </c>
      <c r="W3093">
        <v>4</v>
      </c>
      <c r="X3093">
        <v>1998</v>
      </c>
      <c r="Z3093">
        <v>1</v>
      </c>
      <c r="AB3093">
        <v>0</v>
      </c>
      <c r="AC3093" t="s">
        <v>115</v>
      </c>
      <c r="AD3093">
        <v>2</v>
      </c>
      <c r="AE3093" t="s">
        <v>115</v>
      </c>
      <c r="AF3093">
        <v>0</v>
      </c>
      <c r="AG3093">
        <v>0</v>
      </c>
      <c r="AH3093" t="s">
        <v>116</v>
      </c>
      <c r="AI3093" s="1">
        <v>99650</v>
      </c>
      <c r="AJ3093" s="2">
        <v>0.21</v>
      </c>
      <c r="AK3093" s="1">
        <v>473150</v>
      </c>
      <c r="AL3093" t="s">
        <v>117</v>
      </c>
      <c r="AM3093" t="s">
        <v>118</v>
      </c>
      <c r="AN3093">
        <v>11135</v>
      </c>
      <c r="AO3093">
        <v>0.26</v>
      </c>
      <c r="AP3093">
        <v>1</v>
      </c>
      <c r="AR3093">
        <v>1</v>
      </c>
      <c r="AS3093" s="1">
        <v>34000</v>
      </c>
      <c r="AT3093" s="1">
        <v>6800</v>
      </c>
      <c r="AU3093" s="1">
        <v>27200</v>
      </c>
      <c r="AV3093">
        <v>80</v>
      </c>
      <c r="AX3093" s="1">
        <v>3616.76</v>
      </c>
      <c r="AY3093" t="s">
        <v>5108</v>
      </c>
      <c r="AZ3093" t="s">
        <v>5108</v>
      </c>
      <c r="BA3093" t="s">
        <v>5109</v>
      </c>
      <c r="BB3093" s="3">
        <v>42583</v>
      </c>
      <c r="BD3093" t="s">
        <v>458</v>
      </c>
      <c r="BE3093" s="3">
        <v>42104</v>
      </c>
      <c r="BF3093" s="1">
        <v>373500</v>
      </c>
      <c r="BG3093" t="s">
        <v>20207</v>
      </c>
      <c r="BH3093" s="1">
        <v>195.65</v>
      </c>
      <c r="BI3093" s="1">
        <v>373500</v>
      </c>
      <c r="BJ3093" s="3">
        <v>42104</v>
      </c>
      <c r="BK3093" t="s">
        <v>123</v>
      </c>
      <c r="BL3093" t="str">
        <f>"2015.247091"</f>
        <v>2015.247091</v>
      </c>
      <c r="BM3093" t="s">
        <v>124</v>
      </c>
      <c r="BO3093" t="s">
        <v>20208</v>
      </c>
      <c r="BS3093">
        <v>30</v>
      </c>
      <c r="BW3093" t="str">
        <f>""</f>
        <v/>
      </c>
      <c r="CH3093" t="str">
        <f>""</f>
        <v/>
      </c>
      <c r="CS3093" t="str">
        <f>""</f>
        <v/>
      </c>
    </row>
    <row r="3094" spans="1:97" x14ac:dyDescent="0.25">
      <c r="A3094" t="s">
        <v>4327</v>
      </c>
      <c r="B3094" t="s">
        <v>20209</v>
      </c>
      <c r="C3094" t="s">
        <v>489</v>
      </c>
      <c r="D3094" t="s">
        <v>20209</v>
      </c>
      <c r="E3094" t="s">
        <v>20210</v>
      </c>
      <c r="F3094" t="s">
        <v>108</v>
      </c>
      <c r="H3094" t="s">
        <v>20211</v>
      </c>
      <c r="I3094" t="s">
        <v>167</v>
      </c>
      <c r="J3094" t="s">
        <v>111</v>
      </c>
      <c r="K3094" t="str">
        <f>"85339"</f>
        <v>85339</v>
      </c>
      <c r="L3094" t="s">
        <v>5637</v>
      </c>
      <c r="M3094" t="s">
        <v>20211</v>
      </c>
      <c r="N3094" t="s">
        <v>167</v>
      </c>
      <c r="O3094" t="s">
        <v>111</v>
      </c>
      <c r="P3094" t="str">
        <f>"85339-5232"</f>
        <v>85339-5232</v>
      </c>
      <c r="Q3094" t="s">
        <v>113</v>
      </c>
      <c r="R3094" t="str">
        <f>"300-15-468"</f>
        <v>300-15-468</v>
      </c>
      <c r="S3094" t="s">
        <v>14428</v>
      </c>
      <c r="T3094" t="s">
        <v>14429</v>
      </c>
      <c r="U3094">
        <v>3539</v>
      </c>
      <c r="V3094">
        <v>0</v>
      </c>
      <c r="W3094">
        <v>5</v>
      </c>
      <c r="X3094">
        <v>2014</v>
      </c>
      <c r="Z3094">
        <v>2</v>
      </c>
      <c r="AB3094">
        <v>0</v>
      </c>
      <c r="AC3094" t="s">
        <v>115</v>
      </c>
      <c r="AD3094">
        <v>3</v>
      </c>
      <c r="AE3094" t="s">
        <v>115</v>
      </c>
      <c r="AF3094">
        <v>0</v>
      </c>
      <c r="AG3094">
        <v>0</v>
      </c>
      <c r="AH3094" t="s">
        <v>116</v>
      </c>
      <c r="AI3094" s="1">
        <v>77344</v>
      </c>
      <c r="AJ3094" s="2">
        <v>0.2</v>
      </c>
      <c r="AK3094" s="1">
        <v>388348</v>
      </c>
      <c r="AL3094" t="s">
        <v>117</v>
      </c>
      <c r="AM3094" t="s">
        <v>171</v>
      </c>
      <c r="AN3094">
        <v>10140</v>
      </c>
      <c r="AO3094">
        <v>0.23</v>
      </c>
      <c r="AR3094">
        <v>1</v>
      </c>
      <c r="AS3094" s="1">
        <v>30220</v>
      </c>
      <c r="AT3094" s="1">
        <v>6040</v>
      </c>
      <c r="AU3094" s="1">
        <v>24180</v>
      </c>
      <c r="AV3094">
        <v>80.010000000000005</v>
      </c>
      <c r="AX3094" s="1">
        <v>4086.38</v>
      </c>
      <c r="AY3094" t="s">
        <v>805</v>
      </c>
      <c r="AZ3094" t="s">
        <v>806</v>
      </c>
      <c r="BA3094" t="s">
        <v>173</v>
      </c>
      <c r="BE3094" s="3">
        <v>42209</v>
      </c>
      <c r="BF3094" s="1">
        <v>304703</v>
      </c>
      <c r="BG3094" t="s">
        <v>158</v>
      </c>
      <c r="BH3094" s="1">
        <v>86.1</v>
      </c>
      <c r="BI3094" s="1">
        <v>311004</v>
      </c>
      <c r="BJ3094" s="3">
        <v>42209</v>
      </c>
      <c r="BK3094" t="s">
        <v>123</v>
      </c>
      <c r="BL3094" t="str">
        <f>"2015.533901"</f>
        <v>2015.533901</v>
      </c>
      <c r="BM3094" t="s">
        <v>241</v>
      </c>
      <c r="BO3094" t="s">
        <v>20212</v>
      </c>
      <c r="BS3094">
        <v>30</v>
      </c>
      <c r="BW3094" t="str">
        <f>""</f>
        <v/>
      </c>
      <c r="CH3094" t="str">
        <f>""</f>
        <v/>
      </c>
      <c r="CS3094" t="str">
        <f>""</f>
        <v/>
      </c>
    </row>
    <row r="3095" spans="1:97" x14ac:dyDescent="0.25">
      <c r="A3095" t="s">
        <v>4916</v>
      </c>
      <c r="B3095" t="s">
        <v>20213</v>
      </c>
      <c r="E3095" t="s">
        <v>20214</v>
      </c>
      <c r="F3095" t="s">
        <v>108</v>
      </c>
      <c r="H3095" t="s">
        <v>20215</v>
      </c>
      <c r="I3095" t="s">
        <v>632</v>
      </c>
      <c r="J3095" t="s">
        <v>111</v>
      </c>
      <c r="K3095" t="str">
        <f>"85388"</f>
        <v>85388</v>
      </c>
      <c r="L3095" t="s">
        <v>4159</v>
      </c>
      <c r="M3095" t="s">
        <v>20215</v>
      </c>
      <c r="N3095" t="s">
        <v>632</v>
      </c>
      <c r="O3095" t="s">
        <v>111</v>
      </c>
      <c r="P3095" t="str">
        <f>"85388-1672"</f>
        <v>85388-1672</v>
      </c>
      <c r="Q3095" t="s">
        <v>113</v>
      </c>
      <c r="R3095" t="str">
        <f>"502-09-288"</f>
        <v>502-09-288</v>
      </c>
      <c r="S3095" t="s">
        <v>20216</v>
      </c>
      <c r="T3095" t="s">
        <v>5360</v>
      </c>
      <c r="U3095">
        <v>2956</v>
      </c>
      <c r="V3095">
        <v>0</v>
      </c>
      <c r="W3095">
        <v>4</v>
      </c>
      <c r="X3095">
        <v>2007</v>
      </c>
      <c r="Z3095">
        <v>2</v>
      </c>
      <c r="AA3095" t="s">
        <v>26</v>
      </c>
      <c r="AB3095">
        <v>0</v>
      </c>
      <c r="AC3095" t="s">
        <v>115</v>
      </c>
      <c r="AD3095">
        <v>2</v>
      </c>
      <c r="AE3095" t="s">
        <v>115</v>
      </c>
      <c r="AF3095">
        <v>0</v>
      </c>
      <c r="AG3095">
        <v>0</v>
      </c>
      <c r="AH3095" t="s">
        <v>116</v>
      </c>
      <c r="AI3095" s="1">
        <v>55805</v>
      </c>
      <c r="AJ3095" s="2">
        <v>0.18</v>
      </c>
      <c r="AK3095" s="1">
        <v>315805</v>
      </c>
      <c r="AL3095" t="s">
        <v>117</v>
      </c>
      <c r="AM3095" t="s">
        <v>118</v>
      </c>
      <c r="AN3095">
        <v>7424</v>
      </c>
      <c r="AO3095">
        <v>0.17</v>
      </c>
      <c r="AR3095">
        <v>1</v>
      </c>
      <c r="AS3095" s="1">
        <v>24050</v>
      </c>
      <c r="AT3095" s="1">
        <v>4810</v>
      </c>
      <c r="AU3095" s="1">
        <v>19240</v>
      </c>
      <c r="AV3095">
        <v>80</v>
      </c>
      <c r="AX3095" s="1">
        <v>2233.16</v>
      </c>
      <c r="AY3095" t="s">
        <v>5168</v>
      </c>
      <c r="AZ3095" t="s">
        <v>5168</v>
      </c>
      <c r="BA3095" t="s">
        <v>5109</v>
      </c>
      <c r="BE3095" s="3">
        <v>42207</v>
      </c>
      <c r="BF3095" s="1">
        <v>260000</v>
      </c>
      <c r="BG3095" t="s">
        <v>20217</v>
      </c>
      <c r="BH3095" s="1">
        <v>87.96</v>
      </c>
      <c r="BI3095" s="1">
        <v>260000</v>
      </c>
      <c r="BJ3095" s="3">
        <v>42207</v>
      </c>
      <c r="BK3095" t="s">
        <v>123</v>
      </c>
      <c r="BL3095" t="str">
        <f>"2015.525746"</f>
        <v>2015.525746</v>
      </c>
      <c r="BM3095" t="s">
        <v>2094</v>
      </c>
      <c r="BO3095" t="s">
        <v>20218</v>
      </c>
      <c r="BS3095">
        <v>30</v>
      </c>
      <c r="BW3095" t="str">
        <f>""</f>
        <v/>
      </c>
      <c r="CH3095" t="str">
        <f>""</f>
        <v/>
      </c>
      <c r="CS3095" t="str">
        <f>""</f>
        <v/>
      </c>
    </row>
    <row r="3096" spans="1:97" x14ac:dyDescent="0.25">
      <c r="A3096" t="s">
        <v>5560</v>
      </c>
      <c r="B3096" t="s">
        <v>20219</v>
      </c>
      <c r="C3096" t="s">
        <v>177</v>
      </c>
      <c r="D3096" t="s">
        <v>20219</v>
      </c>
      <c r="E3096" t="s">
        <v>20220</v>
      </c>
      <c r="F3096" t="s">
        <v>108</v>
      </c>
      <c r="H3096" t="s">
        <v>20221</v>
      </c>
      <c r="I3096" t="s">
        <v>390</v>
      </c>
      <c r="J3096" t="s">
        <v>111</v>
      </c>
      <c r="K3096" t="str">
        <f>"85022"</f>
        <v>85022</v>
      </c>
      <c r="L3096" t="s">
        <v>6145</v>
      </c>
      <c r="M3096" t="s">
        <v>20221</v>
      </c>
      <c r="N3096" t="s">
        <v>390</v>
      </c>
      <c r="O3096" t="s">
        <v>111</v>
      </c>
      <c r="P3096" t="str">
        <f>"85022-3510"</f>
        <v>85022-3510</v>
      </c>
      <c r="Q3096" t="s">
        <v>113</v>
      </c>
      <c r="R3096" t="str">
        <f>"214-17-170"</f>
        <v>214-17-170</v>
      </c>
      <c r="S3096" t="s">
        <v>20222</v>
      </c>
      <c r="T3096" t="s">
        <v>20223</v>
      </c>
      <c r="U3096">
        <v>2808</v>
      </c>
      <c r="V3096">
        <v>0</v>
      </c>
      <c r="W3096">
        <v>4</v>
      </c>
      <c r="X3096">
        <v>1979</v>
      </c>
      <c r="Z3096">
        <v>1</v>
      </c>
      <c r="AA3096" t="s">
        <v>26</v>
      </c>
      <c r="AB3096">
        <v>0</v>
      </c>
      <c r="AC3096" t="s">
        <v>115</v>
      </c>
      <c r="AD3096">
        <v>2</v>
      </c>
      <c r="AE3096" t="s">
        <v>115</v>
      </c>
      <c r="AF3096">
        <v>0</v>
      </c>
      <c r="AG3096">
        <v>0</v>
      </c>
      <c r="AH3096" t="s">
        <v>116</v>
      </c>
      <c r="AI3096" s="1">
        <v>80846</v>
      </c>
      <c r="AJ3096" s="2">
        <v>0.15</v>
      </c>
      <c r="AK3096" s="1">
        <v>529795</v>
      </c>
      <c r="AL3096" t="s">
        <v>117</v>
      </c>
      <c r="AM3096" t="s">
        <v>1302</v>
      </c>
      <c r="AN3096">
        <v>18799</v>
      </c>
      <c r="AO3096">
        <v>0.43</v>
      </c>
      <c r="AP3096">
        <v>1</v>
      </c>
      <c r="AR3096">
        <v>1</v>
      </c>
      <c r="AS3096" s="1">
        <v>38530</v>
      </c>
      <c r="AT3096" s="1">
        <v>7700</v>
      </c>
      <c r="AU3096" s="1">
        <v>30830</v>
      </c>
      <c r="AV3096">
        <v>80.02</v>
      </c>
      <c r="AX3096" s="1">
        <v>4210.16</v>
      </c>
      <c r="AY3096" t="s">
        <v>5802</v>
      </c>
      <c r="AZ3096" t="s">
        <v>5489</v>
      </c>
      <c r="BA3096" t="s">
        <v>5232</v>
      </c>
      <c r="BE3096" s="3">
        <v>42390</v>
      </c>
      <c r="BF3096" s="1">
        <v>447000</v>
      </c>
      <c r="BG3096" t="s">
        <v>20224</v>
      </c>
      <c r="BH3096" s="1">
        <v>159.19</v>
      </c>
      <c r="BI3096" s="1">
        <v>448949</v>
      </c>
      <c r="BJ3096" s="3">
        <v>42390</v>
      </c>
      <c r="BK3096" t="s">
        <v>123</v>
      </c>
      <c r="BL3096" t="str">
        <f>"2016.42671"</f>
        <v>2016.42671</v>
      </c>
      <c r="BM3096" t="s">
        <v>1287</v>
      </c>
      <c r="BO3096" t="s">
        <v>20225</v>
      </c>
      <c r="BS3096">
        <v>30</v>
      </c>
      <c r="BW3096" t="str">
        <f>""</f>
        <v/>
      </c>
      <c r="CH3096" t="str">
        <f>""</f>
        <v/>
      </c>
      <c r="CS3096" t="str">
        <f>""</f>
        <v/>
      </c>
    </row>
    <row r="3097" spans="1:97" x14ac:dyDescent="0.25">
      <c r="A3097" t="s">
        <v>894</v>
      </c>
      <c r="B3097" t="s">
        <v>20226</v>
      </c>
      <c r="C3097" t="s">
        <v>220</v>
      </c>
      <c r="D3097" t="s">
        <v>20226</v>
      </c>
      <c r="E3097" t="s">
        <v>20227</v>
      </c>
      <c r="F3097" t="s">
        <v>108</v>
      </c>
      <c r="H3097" t="s">
        <v>20228</v>
      </c>
      <c r="I3097" t="s">
        <v>110</v>
      </c>
      <c r="J3097" t="s">
        <v>111</v>
      </c>
      <c r="K3097" t="str">
        <f>"85226"</f>
        <v>85226</v>
      </c>
      <c r="L3097" t="s">
        <v>6691</v>
      </c>
      <c r="M3097" t="s">
        <v>20228</v>
      </c>
      <c r="N3097" t="s">
        <v>110</v>
      </c>
      <c r="O3097" t="s">
        <v>111</v>
      </c>
      <c r="P3097" t="str">
        <f>"85226-1964"</f>
        <v>85226-1964</v>
      </c>
      <c r="Q3097" t="s">
        <v>113</v>
      </c>
      <c r="R3097" t="str">
        <f>"308-03-794"</f>
        <v>308-03-794</v>
      </c>
      <c r="S3097" t="s">
        <v>20229</v>
      </c>
      <c r="T3097" t="s">
        <v>20230</v>
      </c>
      <c r="U3097">
        <v>2328</v>
      </c>
      <c r="V3097">
        <v>0</v>
      </c>
      <c r="W3097">
        <v>3</v>
      </c>
      <c r="X3097">
        <v>1995</v>
      </c>
      <c r="Z3097">
        <v>2</v>
      </c>
      <c r="AA3097" t="s">
        <v>26</v>
      </c>
      <c r="AB3097">
        <v>0</v>
      </c>
      <c r="AC3097" t="s">
        <v>115</v>
      </c>
      <c r="AD3097">
        <v>3</v>
      </c>
      <c r="AE3097" t="s">
        <v>115</v>
      </c>
      <c r="AF3097">
        <v>0</v>
      </c>
      <c r="AG3097">
        <v>0</v>
      </c>
      <c r="AH3097" t="s">
        <v>116</v>
      </c>
      <c r="AI3097" s="1">
        <v>111819</v>
      </c>
      <c r="AJ3097" s="2">
        <v>0.27</v>
      </c>
      <c r="AK3097" s="1">
        <v>417769</v>
      </c>
      <c r="AL3097" t="s">
        <v>117</v>
      </c>
      <c r="AM3097" t="s">
        <v>118</v>
      </c>
      <c r="AN3097">
        <v>8207</v>
      </c>
      <c r="AO3097">
        <v>0.19</v>
      </c>
      <c r="AP3097">
        <v>1</v>
      </c>
      <c r="AR3097">
        <v>1</v>
      </c>
      <c r="AS3097" s="1">
        <v>30530</v>
      </c>
      <c r="AT3097" s="1">
        <v>6100</v>
      </c>
      <c r="AU3097" s="1">
        <v>24430</v>
      </c>
      <c r="AV3097">
        <v>80.02</v>
      </c>
      <c r="AX3097" s="1">
        <v>2384.16</v>
      </c>
      <c r="AY3097" t="s">
        <v>14847</v>
      </c>
      <c r="AZ3097" t="s">
        <v>5201</v>
      </c>
      <c r="BA3097" t="s">
        <v>5202</v>
      </c>
      <c r="BE3097" s="3">
        <v>42109</v>
      </c>
      <c r="BF3097" s="1">
        <v>370900</v>
      </c>
      <c r="BG3097" t="s">
        <v>20231</v>
      </c>
      <c r="BH3097" s="1">
        <v>159.32</v>
      </c>
      <c r="BI3097" s="1">
        <v>305950</v>
      </c>
      <c r="BJ3097" s="3">
        <v>42999</v>
      </c>
      <c r="BK3097" t="s">
        <v>123</v>
      </c>
      <c r="BL3097" t="str">
        <f>"2017.696539"</f>
        <v>2017.696539</v>
      </c>
      <c r="BM3097" t="s">
        <v>340</v>
      </c>
      <c r="BO3097" t="s">
        <v>20232</v>
      </c>
      <c r="BS3097">
        <v>29</v>
      </c>
      <c r="BW3097" t="str">
        <f>""</f>
        <v/>
      </c>
      <c r="CH3097" t="str">
        <f>""</f>
        <v/>
      </c>
      <c r="CS3097" t="str">
        <f>""</f>
        <v/>
      </c>
    </row>
    <row r="3098" spans="1:97" x14ac:dyDescent="0.25">
      <c r="A3098" t="s">
        <v>464</v>
      </c>
      <c r="B3098" t="s">
        <v>658</v>
      </c>
      <c r="C3098" t="s">
        <v>1011</v>
      </c>
      <c r="D3098" t="s">
        <v>658</v>
      </c>
      <c r="E3098" t="s">
        <v>20233</v>
      </c>
      <c r="F3098" t="s">
        <v>108</v>
      </c>
      <c r="H3098" t="s">
        <v>20234</v>
      </c>
      <c r="I3098" t="s">
        <v>1397</v>
      </c>
      <c r="J3098" t="s">
        <v>111</v>
      </c>
      <c r="K3098" t="str">
        <f>"85331"</f>
        <v>85331</v>
      </c>
      <c r="L3098" t="s">
        <v>14539</v>
      </c>
      <c r="M3098" t="s">
        <v>20234</v>
      </c>
      <c r="N3098" t="s">
        <v>1397</v>
      </c>
      <c r="O3098" t="s">
        <v>111</v>
      </c>
      <c r="P3098" t="str">
        <f>"85331-2436"</f>
        <v>85331-2436</v>
      </c>
      <c r="Q3098" t="s">
        <v>113</v>
      </c>
      <c r="R3098" t="str">
        <f>"211-89-378"</f>
        <v>211-89-378</v>
      </c>
      <c r="S3098" t="s">
        <v>10288</v>
      </c>
      <c r="T3098" t="s">
        <v>10288</v>
      </c>
      <c r="U3098">
        <v>2277</v>
      </c>
      <c r="V3098">
        <v>0</v>
      </c>
      <c r="W3098">
        <v>4</v>
      </c>
      <c r="X3098">
        <v>2014</v>
      </c>
      <c r="Z3098">
        <v>1</v>
      </c>
      <c r="AA3098" t="s">
        <v>26</v>
      </c>
      <c r="AB3098">
        <v>0</v>
      </c>
      <c r="AC3098" t="s">
        <v>115</v>
      </c>
      <c r="AD3098">
        <v>3</v>
      </c>
      <c r="AE3098" t="s">
        <v>115</v>
      </c>
      <c r="AF3098">
        <v>0</v>
      </c>
      <c r="AG3098">
        <v>0</v>
      </c>
      <c r="AH3098" t="s">
        <v>116</v>
      </c>
      <c r="AI3098" s="1">
        <v>154306</v>
      </c>
      <c r="AJ3098" s="2">
        <v>0.25</v>
      </c>
      <c r="AK3098" s="1">
        <v>605306</v>
      </c>
      <c r="AL3098" t="s">
        <v>117</v>
      </c>
      <c r="AM3098" t="s">
        <v>616</v>
      </c>
      <c r="AN3098">
        <v>8214</v>
      </c>
      <c r="AO3098">
        <v>0.19</v>
      </c>
      <c r="AR3098">
        <v>1</v>
      </c>
      <c r="AS3098" s="1">
        <v>47320</v>
      </c>
      <c r="AT3098" s="1">
        <v>9460</v>
      </c>
      <c r="AU3098" s="1">
        <v>37860</v>
      </c>
      <c r="AV3098">
        <v>80.010000000000005</v>
      </c>
      <c r="AX3098" s="1">
        <v>2772.18</v>
      </c>
      <c r="AY3098" t="s">
        <v>1401</v>
      </c>
      <c r="AZ3098" t="s">
        <v>1402</v>
      </c>
      <c r="BA3098" t="s">
        <v>1403</v>
      </c>
      <c r="BE3098" s="3">
        <v>41946</v>
      </c>
      <c r="BF3098" s="1">
        <v>512319</v>
      </c>
      <c r="BG3098" t="s">
        <v>14540</v>
      </c>
      <c r="BH3098" s="1">
        <v>225</v>
      </c>
      <c r="BI3098" s="1">
        <v>451000</v>
      </c>
      <c r="BJ3098" s="3">
        <v>42620</v>
      </c>
      <c r="BK3098" t="s">
        <v>123</v>
      </c>
      <c r="BL3098" t="str">
        <f>"2016.645223"</f>
        <v>2016.645223</v>
      </c>
      <c r="BM3098" t="s">
        <v>1033</v>
      </c>
      <c r="BO3098" t="s">
        <v>20235</v>
      </c>
      <c r="BS3098">
        <v>30</v>
      </c>
      <c r="BW3098" t="str">
        <f>""</f>
        <v/>
      </c>
      <c r="CH3098" t="str">
        <f>""</f>
        <v/>
      </c>
      <c r="CS3098" t="str">
        <f>""</f>
        <v/>
      </c>
    </row>
    <row r="3099" spans="1:97" x14ac:dyDescent="0.25">
      <c r="B3099" t="s">
        <v>20236</v>
      </c>
      <c r="E3099" t="s">
        <v>20237</v>
      </c>
      <c r="F3099" t="s">
        <v>139</v>
      </c>
      <c r="H3099" t="s">
        <v>20238</v>
      </c>
      <c r="I3099" t="s">
        <v>2874</v>
      </c>
      <c r="J3099" t="s">
        <v>111</v>
      </c>
      <c r="K3099" t="str">
        <f>"85308"</f>
        <v>85308</v>
      </c>
      <c r="L3099" t="s">
        <v>541</v>
      </c>
      <c r="M3099" t="s">
        <v>20238</v>
      </c>
      <c r="N3099" t="s">
        <v>2874</v>
      </c>
      <c r="O3099" t="s">
        <v>111</v>
      </c>
      <c r="P3099" t="str">
        <f>"85308-9606"</f>
        <v>85308-9606</v>
      </c>
      <c r="Q3099" t="s">
        <v>113</v>
      </c>
      <c r="R3099" t="str">
        <f>"200-21-793"</f>
        <v>200-21-793</v>
      </c>
      <c r="S3099" t="s">
        <v>20239</v>
      </c>
      <c r="T3099" t="s">
        <v>9025</v>
      </c>
      <c r="U3099">
        <v>2619</v>
      </c>
      <c r="V3099">
        <v>0</v>
      </c>
      <c r="W3099">
        <v>4</v>
      </c>
      <c r="X3099">
        <v>1997</v>
      </c>
      <c r="Z3099">
        <v>2</v>
      </c>
      <c r="AA3099" t="s">
        <v>26</v>
      </c>
      <c r="AB3099">
        <v>0</v>
      </c>
      <c r="AC3099" t="s">
        <v>115</v>
      </c>
      <c r="AD3099">
        <v>2</v>
      </c>
      <c r="AE3099" t="s">
        <v>115</v>
      </c>
      <c r="AF3099">
        <v>0</v>
      </c>
      <c r="AG3099">
        <v>0</v>
      </c>
      <c r="AH3099" t="s">
        <v>116</v>
      </c>
      <c r="AI3099" s="1">
        <v>93804</v>
      </c>
      <c r="AJ3099" s="2">
        <v>0.24</v>
      </c>
      <c r="AK3099" s="1">
        <v>392251</v>
      </c>
      <c r="AL3099" t="s">
        <v>117</v>
      </c>
      <c r="AM3099" t="s">
        <v>191</v>
      </c>
      <c r="AN3099">
        <v>7937</v>
      </c>
      <c r="AO3099">
        <v>0.18</v>
      </c>
      <c r="AP3099">
        <v>1</v>
      </c>
      <c r="AR3099">
        <v>1</v>
      </c>
      <c r="AS3099" s="1">
        <v>28260</v>
      </c>
      <c r="AT3099" s="1">
        <v>5650</v>
      </c>
      <c r="AU3099" s="1">
        <v>22610</v>
      </c>
      <c r="AV3099">
        <v>80.010000000000005</v>
      </c>
      <c r="AX3099" s="1">
        <v>2659</v>
      </c>
      <c r="AY3099" t="s">
        <v>8358</v>
      </c>
      <c r="AZ3099" t="s">
        <v>8358</v>
      </c>
      <c r="BA3099" t="s">
        <v>2223</v>
      </c>
      <c r="BB3099" s="3">
        <v>43180</v>
      </c>
      <c r="BC3099" s="1">
        <v>0</v>
      </c>
      <c r="BD3099" t="s">
        <v>247</v>
      </c>
      <c r="BE3099" s="3">
        <v>42263</v>
      </c>
      <c r="BF3099" s="1">
        <v>318000</v>
      </c>
      <c r="BG3099" t="s">
        <v>20240</v>
      </c>
      <c r="BH3099" s="1">
        <v>121.42</v>
      </c>
      <c r="BI3099" s="1">
        <v>298447</v>
      </c>
      <c r="BJ3099" s="3">
        <v>42720</v>
      </c>
      <c r="BK3099" t="s">
        <v>123</v>
      </c>
      <c r="BL3099" t="str">
        <f>"2016.927885"</f>
        <v>2016.927885</v>
      </c>
      <c r="BM3099" t="s">
        <v>2383</v>
      </c>
      <c r="BN3099" t="s">
        <v>15550</v>
      </c>
      <c r="BO3099" t="s">
        <v>20241</v>
      </c>
      <c r="BS3099">
        <v>15</v>
      </c>
      <c r="BW3099" t="str">
        <f>""</f>
        <v/>
      </c>
      <c r="CH3099" t="str">
        <f>""</f>
        <v/>
      </c>
      <c r="CS3099" t="str">
        <f>""</f>
        <v/>
      </c>
    </row>
    <row r="3100" spans="1:97" x14ac:dyDescent="0.25">
      <c r="A3100" t="s">
        <v>370</v>
      </c>
      <c r="B3100" t="s">
        <v>20242</v>
      </c>
      <c r="C3100" t="s">
        <v>20243</v>
      </c>
      <c r="D3100" t="s">
        <v>20242</v>
      </c>
      <c r="E3100" t="s">
        <v>20244</v>
      </c>
      <c r="F3100" t="s">
        <v>108</v>
      </c>
      <c r="H3100" t="s">
        <v>20245</v>
      </c>
      <c r="I3100" t="s">
        <v>632</v>
      </c>
      <c r="J3100" t="s">
        <v>111</v>
      </c>
      <c r="K3100" t="str">
        <f>"85387"</f>
        <v>85387</v>
      </c>
      <c r="L3100" t="s">
        <v>6529</v>
      </c>
      <c r="M3100" t="s">
        <v>20245</v>
      </c>
      <c r="N3100" t="s">
        <v>632</v>
      </c>
      <c r="O3100" t="s">
        <v>111</v>
      </c>
      <c r="P3100" t="str">
        <f>"85387-1000"</f>
        <v>85387-1000</v>
      </c>
      <c r="Q3100" t="s">
        <v>113</v>
      </c>
      <c r="R3100" t="str">
        <f>"510-04-867"</f>
        <v>510-04-867</v>
      </c>
      <c r="S3100" t="s">
        <v>8907</v>
      </c>
      <c r="T3100" t="s">
        <v>5498</v>
      </c>
      <c r="U3100">
        <v>2909</v>
      </c>
      <c r="V3100">
        <v>0</v>
      </c>
      <c r="W3100">
        <v>4</v>
      </c>
      <c r="X3100">
        <v>2016</v>
      </c>
      <c r="Z3100">
        <v>2</v>
      </c>
      <c r="AB3100">
        <v>0</v>
      </c>
      <c r="AC3100" t="s">
        <v>115</v>
      </c>
      <c r="AD3100">
        <v>3</v>
      </c>
      <c r="AE3100" t="s">
        <v>115</v>
      </c>
      <c r="AF3100">
        <v>0</v>
      </c>
      <c r="AG3100">
        <v>0</v>
      </c>
      <c r="AH3100" t="s">
        <v>116</v>
      </c>
      <c r="AI3100" s="1">
        <v>27603</v>
      </c>
      <c r="AJ3100" s="2">
        <v>0.08</v>
      </c>
      <c r="AK3100" s="1">
        <v>352603</v>
      </c>
      <c r="AL3100" t="s">
        <v>117</v>
      </c>
      <c r="AM3100" t="s">
        <v>118</v>
      </c>
      <c r="AN3100">
        <v>8133</v>
      </c>
      <c r="AO3100">
        <v>0.19</v>
      </c>
      <c r="AR3100">
        <v>1</v>
      </c>
      <c r="AS3100" s="1">
        <v>26330</v>
      </c>
      <c r="AT3100" s="1">
        <v>5260</v>
      </c>
      <c r="AU3100" s="1">
        <v>21070</v>
      </c>
      <c r="AV3100">
        <v>80.02</v>
      </c>
      <c r="AX3100" s="1">
        <v>1491.66</v>
      </c>
      <c r="AY3100" t="s">
        <v>5499</v>
      </c>
      <c r="AZ3100" t="s">
        <v>5499</v>
      </c>
      <c r="BE3100" s="3">
        <v>42417</v>
      </c>
      <c r="BF3100" s="1">
        <v>344859</v>
      </c>
      <c r="BG3100" t="s">
        <v>6320</v>
      </c>
      <c r="BH3100" s="1">
        <v>118.55</v>
      </c>
      <c r="BI3100" s="1">
        <v>325000</v>
      </c>
      <c r="BJ3100" s="3">
        <v>43189</v>
      </c>
      <c r="BK3100" t="s">
        <v>123</v>
      </c>
      <c r="BL3100" t="str">
        <f>"2018.238312"</f>
        <v>2018.238312</v>
      </c>
      <c r="BM3100" t="s">
        <v>20246</v>
      </c>
      <c r="BN3100" t="s">
        <v>20247</v>
      </c>
      <c r="BO3100" t="s">
        <v>20248</v>
      </c>
      <c r="BP3100" t="s">
        <v>20249</v>
      </c>
      <c r="BR3100" t="s">
        <v>139</v>
      </c>
      <c r="BW3100" t="str">
        <f>""</f>
        <v/>
      </c>
      <c r="CH3100" t="str">
        <f>""</f>
        <v/>
      </c>
      <c r="CS3100" t="str">
        <f>""</f>
        <v/>
      </c>
    </row>
    <row r="3101" spans="1:97" x14ac:dyDescent="0.25">
      <c r="A3101" t="s">
        <v>894</v>
      </c>
      <c r="B3101" t="s">
        <v>20250</v>
      </c>
      <c r="C3101" t="s">
        <v>2002</v>
      </c>
      <c r="D3101" t="s">
        <v>20250</v>
      </c>
      <c r="E3101" t="s">
        <v>20251</v>
      </c>
      <c r="F3101" t="s">
        <v>108</v>
      </c>
      <c r="H3101" t="s">
        <v>20252</v>
      </c>
      <c r="I3101" t="s">
        <v>188</v>
      </c>
      <c r="J3101" t="s">
        <v>111</v>
      </c>
      <c r="K3101" t="str">
        <f>"85142"</f>
        <v>85142</v>
      </c>
      <c r="L3101" t="s">
        <v>5456</v>
      </c>
      <c r="M3101" t="s">
        <v>20252</v>
      </c>
      <c r="N3101" t="s">
        <v>188</v>
      </c>
      <c r="O3101" t="s">
        <v>111</v>
      </c>
      <c r="P3101" t="str">
        <f>"85142-6263"</f>
        <v>85142-6263</v>
      </c>
      <c r="Q3101" t="s">
        <v>113</v>
      </c>
      <c r="R3101" t="str">
        <f>"304-67-511"</f>
        <v>304-67-511</v>
      </c>
      <c r="S3101" t="s">
        <v>20253</v>
      </c>
      <c r="T3101" t="s">
        <v>20253</v>
      </c>
      <c r="U3101">
        <v>4187</v>
      </c>
      <c r="V3101">
        <v>0</v>
      </c>
      <c r="W3101">
        <v>5</v>
      </c>
      <c r="X3101">
        <v>2014</v>
      </c>
      <c r="Z3101">
        <v>1</v>
      </c>
      <c r="AA3101" t="s">
        <v>26</v>
      </c>
      <c r="AB3101">
        <v>0</v>
      </c>
      <c r="AC3101" t="s">
        <v>115</v>
      </c>
      <c r="AD3101">
        <v>3</v>
      </c>
      <c r="AE3101" t="s">
        <v>115</v>
      </c>
      <c r="AF3101">
        <v>0</v>
      </c>
      <c r="AG3101">
        <v>0</v>
      </c>
      <c r="AH3101" t="s">
        <v>116</v>
      </c>
      <c r="AI3101" s="1">
        <v>191934</v>
      </c>
      <c r="AJ3101" s="2">
        <v>0.3</v>
      </c>
      <c r="AK3101" s="1">
        <v>637136</v>
      </c>
      <c r="AL3101" t="s">
        <v>117</v>
      </c>
      <c r="AM3101" t="s">
        <v>5791</v>
      </c>
      <c r="AN3101">
        <v>18004</v>
      </c>
      <c r="AO3101">
        <v>0.41</v>
      </c>
      <c r="AR3101">
        <v>1</v>
      </c>
      <c r="AS3101" s="1">
        <v>45180</v>
      </c>
      <c r="AT3101" s="1">
        <v>9030</v>
      </c>
      <c r="AU3101" s="1">
        <v>36150</v>
      </c>
      <c r="AV3101">
        <v>80.010000000000005</v>
      </c>
      <c r="AX3101" s="1">
        <v>4096.1400000000003</v>
      </c>
      <c r="AY3101" t="s">
        <v>192</v>
      </c>
      <c r="AZ3101" t="s">
        <v>193</v>
      </c>
      <c r="BA3101" t="s">
        <v>194</v>
      </c>
      <c r="BB3101" s="3">
        <v>42522</v>
      </c>
      <c r="BD3101" t="s">
        <v>240</v>
      </c>
      <c r="BE3101" s="3">
        <v>41815</v>
      </c>
      <c r="BF3101" s="1">
        <v>456464</v>
      </c>
      <c r="BG3101" t="s">
        <v>562</v>
      </c>
      <c r="BH3101" s="1">
        <v>109.02</v>
      </c>
      <c r="BI3101" s="1">
        <v>445202</v>
      </c>
      <c r="BJ3101" s="3">
        <v>42502</v>
      </c>
      <c r="BK3101" t="s">
        <v>123</v>
      </c>
      <c r="BL3101" t="str">
        <f>"2016.324761"</f>
        <v>2016.324761</v>
      </c>
      <c r="BM3101" t="s">
        <v>1695</v>
      </c>
      <c r="BO3101" t="s">
        <v>20254</v>
      </c>
      <c r="BS3101">
        <v>30</v>
      </c>
      <c r="BW3101" t="str">
        <f>""</f>
        <v/>
      </c>
      <c r="CH3101" t="str">
        <f>""</f>
        <v/>
      </c>
      <c r="CS3101" t="str">
        <f>""</f>
        <v/>
      </c>
    </row>
    <row r="3102" spans="1:97" x14ac:dyDescent="0.25">
      <c r="A3102" t="s">
        <v>996</v>
      </c>
      <c r="B3102" t="s">
        <v>20255</v>
      </c>
      <c r="C3102" t="s">
        <v>20256</v>
      </c>
      <c r="D3102" t="s">
        <v>20255</v>
      </c>
      <c r="E3102" t="s">
        <v>20257</v>
      </c>
      <c r="F3102" t="s">
        <v>108</v>
      </c>
      <c r="H3102" t="s">
        <v>20258</v>
      </c>
      <c r="I3102" t="s">
        <v>203</v>
      </c>
      <c r="J3102" t="s">
        <v>111</v>
      </c>
      <c r="K3102" t="str">
        <f>"85295"</f>
        <v>85295</v>
      </c>
      <c r="L3102" t="s">
        <v>5496</v>
      </c>
      <c r="M3102" t="s">
        <v>20258</v>
      </c>
      <c r="N3102" t="s">
        <v>203</v>
      </c>
      <c r="O3102" t="s">
        <v>111</v>
      </c>
      <c r="P3102" t="str">
        <f>"85295-9064"</f>
        <v>85295-9064</v>
      </c>
      <c r="Q3102" t="s">
        <v>113</v>
      </c>
      <c r="R3102" t="str">
        <f>"313-13-745"</f>
        <v>313-13-745</v>
      </c>
      <c r="S3102" t="s">
        <v>10498</v>
      </c>
      <c r="U3102">
        <v>1975</v>
      </c>
      <c r="V3102">
        <v>0</v>
      </c>
      <c r="W3102">
        <v>4</v>
      </c>
      <c r="X3102">
        <v>2011</v>
      </c>
      <c r="Z3102">
        <v>1</v>
      </c>
      <c r="AB3102">
        <v>0</v>
      </c>
      <c r="AC3102" t="s">
        <v>115</v>
      </c>
      <c r="AD3102">
        <v>2</v>
      </c>
      <c r="AE3102" t="s">
        <v>115</v>
      </c>
      <c r="AF3102">
        <v>0</v>
      </c>
      <c r="AG3102">
        <v>0</v>
      </c>
      <c r="AH3102" t="s">
        <v>116</v>
      </c>
      <c r="AI3102" s="1">
        <v>50224</v>
      </c>
      <c r="AJ3102" s="2">
        <v>0.14000000000000001</v>
      </c>
      <c r="AK3102" s="1">
        <v>354624</v>
      </c>
      <c r="AL3102" t="s">
        <v>117</v>
      </c>
      <c r="AM3102" t="s">
        <v>288</v>
      </c>
      <c r="AN3102">
        <v>6243</v>
      </c>
      <c r="AO3102">
        <v>0.14000000000000001</v>
      </c>
      <c r="AR3102">
        <v>1</v>
      </c>
      <c r="AS3102" s="1">
        <v>25050</v>
      </c>
      <c r="AT3102" s="1">
        <v>5010</v>
      </c>
      <c r="AU3102" s="1">
        <v>20040</v>
      </c>
      <c r="AV3102">
        <v>80</v>
      </c>
      <c r="AX3102" s="1">
        <v>1952.32</v>
      </c>
      <c r="AY3102" t="s">
        <v>5094</v>
      </c>
      <c r="AZ3102" t="s">
        <v>5094</v>
      </c>
      <c r="BA3102" t="s">
        <v>473</v>
      </c>
      <c r="BE3102" s="3">
        <v>42117</v>
      </c>
      <c r="BF3102" s="1">
        <v>298000</v>
      </c>
      <c r="BG3102" t="s">
        <v>20259</v>
      </c>
      <c r="BH3102" s="1">
        <v>150.88999999999999</v>
      </c>
      <c r="BI3102" s="1">
        <v>304400</v>
      </c>
      <c r="BJ3102" s="3">
        <v>42117</v>
      </c>
      <c r="BK3102" t="s">
        <v>123</v>
      </c>
      <c r="BL3102" t="str">
        <f>"2015.279968"</f>
        <v>2015.279968</v>
      </c>
      <c r="BM3102" t="s">
        <v>1192</v>
      </c>
      <c r="BO3102" t="s">
        <v>20260</v>
      </c>
      <c r="BS3102">
        <v>30</v>
      </c>
      <c r="BW3102" t="str">
        <f>""</f>
        <v/>
      </c>
      <c r="CH3102" t="str">
        <f>""</f>
        <v/>
      </c>
      <c r="CS3102" t="str">
        <f>""</f>
        <v/>
      </c>
    </row>
    <row r="3103" spans="1:97" x14ac:dyDescent="0.25">
      <c r="A3103" t="s">
        <v>701</v>
      </c>
      <c r="B3103" t="s">
        <v>5013</v>
      </c>
      <c r="C3103" t="s">
        <v>1126</v>
      </c>
      <c r="D3103" t="s">
        <v>5013</v>
      </c>
      <c r="E3103" t="s">
        <v>20261</v>
      </c>
      <c r="F3103" t="s">
        <v>108</v>
      </c>
      <c r="H3103" t="s">
        <v>20262</v>
      </c>
      <c r="I3103" t="s">
        <v>188</v>
      </c>
      <c r="J3103" t="s">
        <v>111</v>
      </c>
      <c r="K3103" t="str">
        <f>"85142"</f>
        <v>85142</v>
      </c>
      <c r="L3103" t="s">
        <v>3885</v>
      </c>
      <c r="M3103" t="s">
        <v>20262</v>
      </c>
      <c r="N3103" t="s">
        <v>188</v>
      </c>
      <c r="O3103" t="s">
        <v>111</v>
      </c>
      <c r="P3103" t="str">
        <f>"85142-5097"</f>
        <v>85142-5097</v>
      </c>
      <c r="Q3103" t="s">
        <v>113</v>
      </c>
      <c r="R3103" t="str">
        <f>"314-04-619"</f>
        <v>314-04-619</v>
      </c>
      <c r="S3103" t="s">
        <v>20263</v>
      </c>
      <c r="T3103" t="s">
        <v>3887</v>
      </c>
      <c r="U3103">
        <v>5320</v>
      </c>
      <c r="V3103">
        <v>0</v>
      </c>
      <c r="W3103">
        <v>6</v>
      </c>
      <c r="X3103">
        <v>2013</v>
      </c>
      <c r="Z3103">
        <v>1</v>
      </c>
      <c r="AB3103">
        <v>0</v>
      </c>
      <c r="AC3103" t="s">
        <v>115</v>
      </c>
      <c r="AD3103">
        <v>4</v>
      </c>
      <c r="AE3103" t="s">
        <v>115</v>
      </c>
      <c r="AF3103">
        <v>0</v>
      </c>
      <c r="AG3103">
        <v>0</v>
      </c>
      <c r="AH3103" t="s">
        <v>116</v>
      </c>
      <c r="AI3103" s="1">
        <v>214983</v>
      </c>
      <c r="AJ3103" s="2">
        <v>0.24</v>
      </c>
      <c r="AK3103" s="1">
        <v>889305</v>
      </c>
      <c r="AL3103" t="s">
        <v>117</v>
      </c>
      <c r="AM3103" t="s">
        <v>616</v>
      </c>
      <c r="AN3103">
        <v>30377</v>
      </c>
      <c r="AO3103">
        <v>0.7</v>
      </c>
      <c r="AR3103">
        <v>1</v>
      </c>
      <c r="AS3103" s="1">
        <v>68670</v>
      </c>
      <c r="AT3103" s="1">
        <v>13370</v>
      </c>
      <c r="AU3103" s="1">
        <v>55300</v>
      </c>
      <c r="AV3103">
        <v>80.53</v>
      </c>
      <c r="AX3103" s="1">
        <v>6532.74</v>
      </c>
      <c r="AY3103" t="s">
        <v>1074</v>
      </c>
      <c r="AZ3103" t="s">
        <v>193</v>
      </c>
      <c r="BA3103" t="s">
        <v>194</v>
      </c>
      <c r="BE3103" s="3">
        <v>42293</v>
      </c>
      <c r="BF3103" s="1">
        <v>650000</v>
      </c>
      <c r="BG3103" t="s">
        <v>20264</v>
      </c>
      <c r="BH3103" s="1">
        <v>122.18</v>
      </c>
      <c r="BI3103" s="1">
        <v>602822</v>
      </c>
      <c r="BJ3103" s="3">
        <v>42440</v>
      </c>
      <c r="BK3103" t="s">
        <v>123</v>
      </c>
      <c r="BL3103" t="str">
        <f>"2016.158783"</f>
        <v>2016.158783</v>
      </c>
      <c r="BM3103" t="s">
        <v>255</v>
      </c>
      <c r="BN3103" t="s">
        <v>2398</v>
      </c>
      <c r="BO3103" t="s">
        <v>20265</v>
      </c>
      <c r="BS3103">
        <v>30</v>
      </c>
      <c r="BT3103" s="1">
        <v>71500</v>
      </c>
      <c r="BU3103" s="3">
        <v>43504</v>
      </c>
      <c r="BW3103" t="str">
        <f>"2019.88991"</f>
        <v>2019.88991</v>
      </c>
      <c r="BX3103" t="s">
        <v>135</v>
      </c>
      <c r="BY3103" t="s">
        <v>136</v>
      </c>
      <c r="BZ3103" t="s">
        <v>20266</v>
      </c>
      <c r="CA3103" t="s">
        <v>20267</v>
      </c>
      <c r="CC3103" t="s">
        <v>346</v>
      </c>
      <c r="CH3103" t="str">
        <f>""</f>
        <v/>
      </c>
      <c r="CS3103" t="str">
        <f>""</f>
        <v/>
      </c>
    </row>
    <row r="3104" spans="1:97" x14ac:dyDescent="0.25">
      <c r="A3104" t="s">
        <v>1160</v>
      </c>
      <c r="B3104" t="s">
        <v>3527</v>
      </c>
      <c r="C3104" t="s">
        <v>20268</v>
      </c>
      <c r="D3104" t="s">
        <v>3527</v>
      </c>
      <c r="E3104" t="s">
        <v>20269</v>
      </c>
      <c r="F3104" t="s">
        <v>108</v>
      </c>
      <c r="H3104" t="s">
        <v>20270</v>
      </c>
      <c r="I3104" t="s">
        <v>632</v>
      </c>
      <c r="J3104" t="s">
        <v>111</v>
      </c>
      <c r="K3104" t="str">
        <f>"85379"</f>
        <v>85379</v>
      </c>
      <c r="L3104" t="s">
        <v>6416</v>
      </c>
      <c r="M3104" t="s">
        <v>20270</v>
      </c>
      <c r="N3104" t="s">
        <v>632</v>
      </c>
      <c r="O3104" t="s">
        <v>111</v>
      </c>
      <c r="P3104" t="str">
        <f>"85379-4230"</f>
        <v>85379-4230</v>
      </c>
      <c r="Q3104" t="s">
        <v>113</v>
      </c>
      <c r="R3104" t="str">
        <f>"509-08-553"</f>
        <v>509-08-553</v>
      </c>
      <c r="S3104" t="s">
        <v>6417</v>
      </c>
      <c r="U3104">
        <v>2963</v>
      </c>
      <c r="V3104">
        <v>0</v>
      </c>
      <c r="W3104">
        <v>4</v>
      </c>
      <c r="X3104">
        <v>2016</v>
      </c>
      <c r="Z3104">
        <v>1</v>
      </c>
      <c r="AB3104">
        <v>0</v>
      </c>
      <c r="AC3104" t="s">
        <v>115</v>
      </c>
      <c r="AD3104">
        <v>3</v>
      </c>
      <c r="AE3104" t="s">
        <v>115</v>
      </c>
      <c r="AF3104">
        <v>0</v>
      </c>
      <c r="AG3104">
        <v>0</v>
      </c>
      <c r="AH3104" t="s">
        <v>116</v>
      </c>
      <c r="AI3104" s="1">
        <v>46475</v>
      </c>
      <c r="AJ3104" s="2">
        <v>0.12</v>
      </c>
      <c r="AK3104" s="1">
        <v>389475</v>
      </c>
      <c r="AL3104" t="s">
        <v>117</v>
      </c>
      <c r="AM3104" t="s">
        <v>118</v>
      </c>
      <c r="AN3104">
        <v>10247</v>
      </c>
      <c r="AO3104">
        <v>0.24</v>
      </c>
      <c r="AR3104">
        <v>1</v>
      </c>
      <c r="AS3104" s="1">
        <v>29870</v>
      </c>
      <c r="AT3104" s="1">
        <v>5970</v>
      </c>
      <c r="AU3104" s="1">
        <v>23900</v>
      </c>
      <c r="AV3104">
        <v>80.010000000000005</v>
      </c>
      <c r="AX3104" s="1">
        <v>3377.36</v>
      </c>
      <c r="AY3104" t="s">
        <v>634</v>
      </c>
      <c r="AZ3104" t="s">
        <v>634</v>
      </c>
      <c r="BA3104" t="s">
        <v>635</v>
      </c>
      <c r="BE3104" s="3">
        <v>42499</v>
      </c>
      <c r="BF3104" s="1">
        <v>343922</v>
      </c>
      <c r="BG3104" t="s">
        <v>636</v>
      </c>
      <c r="BH3104" s="1">
        <v>116.07</v>
      </c>
      <c r="BI3104" s="1">
        <v>343000</v>
      </c>
      <c r="BJ3104" s="3">
        <v>42499</v>
      </c>
      <c r="BK3104" t="s">
        <v>123</v>
      </c>
      <c r="BL3104" t="str">
        <f>"2016.316576"</f>
        <v>2016.316576</v>
      </c>
      <c r="BM3104" t="s">
        <v>637</v>
      </c>
      <c r="BO3104" t="s">
        <v>20271</v>
      </c>
      <c r="BS3104">
        <v>30</v>
      </c>
      <c r="BW3104" t="str">
        <f>""</f>
        <v/>
      </c>
      <c r="CH3104" t="str">
        <f>""</f>
        <v/>
      </c>
      <c r="CS3104" t="str">
        <f>""</f>
        <v/>
      </c>
    </row>
    <row r="3105" spans="1:97" x14ac:dyDescent="0.25">
      <c r="A3105" t="s">
        <v>2374</v>
      </c>
      <c r="B3105" t="s">
        <v>3770</v>
      </c>
      <c r="E3105" t="s">
        <v>20272</v>
      </c>
      <c r="F3105" t="s">
        <v>108</v>
      </c>
      <c r="H3105" t="s">
        <v>20273</v>
      </c>
      <c r="I3105" t="s">
        <v>203</v>
      </c>
      <c r="J3105" t="s">
        <v>111</v>
      </c>
      <c r="K3105" t="str">
        <f>"85295"</f>
        <v>85295</v>
      </c>
      <c r="L3105" t="s">
        <v>5496</v>
      </c>
      <c r="M3105" t="s">
        <v>20273</v>
      </c>
      <c r="N3105" t="s">
        <v>203</v>
      </c>
      <c r="O3105" t="s">
        <v>111</v>
      </c>
      <c r="P3105" t="str">
        <f>"85295"</f>
        <v>85295</v>
      </c>
      <c r="Q3105" t="s">
        <v>113</v>
      </c>
      <c r="R3105" t="str">
        <f>"313-13-619"</f>
        <v>313-13-619</v>
      </c>
      <c r="S3105" t="s">
        <v>10498</v>
      </c>
      <c r="U3105">
        <v>1299</v>
      </c>
      <c r="V3105">
        <v>0</v>
      </c>
      <c r="W3105">
        <v>2</v>
      </c>
      <c r="X3105">
        <v>2007</v>
      </c>
      <c r="Z3105">
        <v>1</v>
      </c>
      <c r="AA3105" t="s">
        <v>26</v>
      </c>
      <c r="AB3105">
        <v>0</v>
      </c>
      <c r="AC3105" t="s">
        <v>115</v>
      </c>
      <c r="AD3105">
        <v>2</v>
      </c>
      <c r="AE3105" t="s">
        <v>115</v>
      </c>
      <c r="AF3105">
        <v>0</v>
      </c>
      <c r="AG3105">
        <v>0</v>
      </c>
      <c r="AH3105" t="s">
        <v>116</v>
      </c>
      <c r="AI3105" s="1">
        <v>49055</v>
      </c>
      <c r="AJ3105" s="2">
        <v>0.17</v>
      </c>
      <c r="AK3105" s="1">
        <v>281480</v>
      </c>
      <c r="AL3105" t="s">
        <v>117</v>
      </c>
      <c r="AM3105" t="s">
        <v>288</v>
      </c>
      <c r="AN3105">
        <v>5670</v>
      </c>
      <c r="AO3105">
        <v>0.13</v>
      </c>
      <c r="AR3105">
        <v>1</v>
      </c>
      <c r="AS3105" s="1">
        <v>18920</v>
      </c>
      <c r="AT3105" s="1">
        <v>3780</v>
      </c>
      <c r="AU3105" s="1">
        <v>15140</v>
      </c>
      <c r="AV3105">
        <v>80.02</v>
      </c>
      <c r="AX3105" s="1">
        <v>1548.22</v>
      </c>
      <c r="AY3105" t="s">
        <v>5094</v>
      </c>
      <c r="AZ3105" t="s">
        <v>5094</v>
      </c>
      <c r="BA3105" t="s">
        <v>473</v>
      </c>
      <c r="BE3105" s="3">
        <v>42440</v>
      </c>
      <c r="BF3105" s="1">
        <v>225000</v>
      </c>
      <c r="BG3105" t="s">
        <v>20274</v>
      </c>
      <c r="BH3105" s="1">
        <v>173.21</v>
      </c>
      <c r="BI3105" s="1">
        <v>232425</v>
      </c>
      <c r="BJ3105" s="3">
        <v>42440</v>
      </c>
      <c r="BK3105" t="s">
        <v>123</v>
      </c>
      <c r="BL3105" t="str">
        <f>"2016.158042"</f>
        <v>2016.158042</v>
      </c>
      <c r="BM3105" t="s">
        <v>724</v>
      </c>
      <c r="BO3105" t="s">
        <v>20275</v>
      </c>
      <c r="BS3105">
        <v>30</v>
      </c>
      <c r="BW3105" t="str">
        <f>""</f>
        <v/>
      </c>
      <c r="CH3105" t="str">
        <f>""</f>
        <v/>
      </c>
      <c r="CS3105" t="str">
        <f>""</f>
        <v/>
      </c>
    </row>
    <row r="3106" spans="1:97" x14ac:dyDescent="0.25">
      <c r="A3106" t="s">
        <v>1733</v>
      </c>
      <c r="B3106" t="s">
        <v>555</v>
      </c>
      <c r="C3106" t="s">
        <v>3707</v>
      </c>
      <c r="D3106" t="s">
        <v>555</v>
      </c>
      <c r="E3106" t="s">
        <v>20276</v>
      </c>
      <c r="F3106" t="s">
        <v>108</v>
      </c>
      <c r="H3106" t="s">
        <v>20277</v>
      </c>
      <c r="I3106" t="s">
        <v>632</v>
      </c>
      <c r="J3106" t="s">
        <v>111</v>
      </c>
      <c r="K3106" t="str">
        <f>"85388"</f>
        <v>85388</v>
      </c>
      <c r="L3106" t="s">
        <v>4467</v>
      </c>
      <c r="M3106" t="s">
        <v>20277</v>
      </c>
      <c r="N3106" t="s">
        <v>632</v>
      </c>
      <c r="O3106" t="s">
        <v>111</v>
      </c>
      <c r="P3106" t="str">
        <f>"85388-2330"</f>
        <v>85388-2330</v>
      </c>
      <c r="Q3106" t="s">
        <v>113</v>
      </c>
      <c r="R3106" t="str">
        <f>"502-09-716"</f>
        <v>502-09-716</v>
      </c>
      <c r="S3106" t="s">
        <v>16913</v>
      </c>
      <c r="T3106" t="s">
        <v>16914</v>
      </c>
      <c r="U3106">
        <v>2320</v>
      </c>
      <c r="V3106">
        <v>0</v>
      </c>
      <c r="W3106">
        <v>3</v>
      </c>
      <c r="X3106">
        <v>2008</v>
      </c>
      <c r="Z3106">
        <v>1</v>
      </c>
      <c r="AA3106" t="s">
        <v>26</v>
      </c>
      <c r="AB3106">
        <v>0</v>
      </c>
      <c r="AC3106" t="s">
        <v>115</v>
      </c>
      <c r="AD3106">
        <v>3</v>
      </c>
      <c r="AE3106" t="s">
        <v>115</v>
      </c>
      <c r="AF3106">
        <v>0</v>
      </c>
      <c r="AG3106">
        <v>0</v>
      </c>
      <c r="AH3106" t="s">
        <v>116</v>
      </c>
      <c r="AI3106" s="1">
        <v>134678</v>
      </c>
      <c r="AJ3106" s="2">
        <v>0.4</v>
      </c>
      <c r="AK3106" s="1">
        <v>335471</v>
      </c>
      <c r="AL3106" t="s">
        <v>117</v>
      </c>
      <c r="AM3106" t="s">
        <v>118</v>
      </c>
      <c r="AN3106">
        <v>10641</v>
      </c>
      <c r="AO3106">
        <v>0.24</v>
      </c>
      <c r="AR3106">
        <v>1</v>
      </c>
      <c r="AS3106" s="1">
        <v>25920</v>
      </c>
      <c r="AT3106" s="1">
        <v>5180</v>
      </c>
      <c r="AU3106" s="1">
        <v>20740</v>
      </c>
      <c r="AV3106">
        <v>80.02</v>
      </c>
      <c r="AX3106" s="1">
        <v>2191.2800000000002</v>
      </c>
      <c r="AY3106" t="s">
        <v>5168</v>
      </c>
      <c r="AZ3106" t="s">
        <v>5168</v>
      </c>
      <c r="BA3106" t="s">
        <v>5109</v>
      </c>
      <c r="BE3106" s="3">
        <v>41689</v>
      </c>
      <c r="BF3106" s="1">
        <v>235500</v>
      </c>
      <c r="BG3106" t="s">
        <v>20278</v>
      </c>
      <c r="BH3106" s="1">
        <v>101.51</v>
      </c>
      <c r="BI3106" s="1">
        <v>200793</v>
      </c>
      <c r="BJ3106" s="3">
        <v>42549</v>
      </c>
      <c r="BK3106" t="s">
        <v>123</v>
      </c>
      <c r="BL3106" t="str">
        <f>"2016.450136"</f>
        <v>2016.450136</v>
      </c>
      <c r="BM3106" t="s">
        <v>709</v>
      </c>
      <c r="BO3106" t="s">
        <v>20279</v>
      </c>
      <c r="BS3106">
        <v>30</v>
      </c>
      <c r="BW3106" t="str">
        <f>""</f>
        <v/>
      </c>
      <c r="CH3106" t="str">
        <f>""</f>
        <v/>
      </c>
      <c r="CS3106" t="str">
        <f>""</f>
        <v/>
      </c>
    </row>
    <row r="3107" spans="1:97" x14ac:dyDescent="0.25">
      <c r="A3107" t="s">
        <v>996</v>
      </c>
      <c r="B3107" t="s">
        <v>20280</v>
      </c>
      <c r="E3107" t="s">
        <v>20281</v>
      </c>
      <c r="F3107" t="s">
        <v>108</v>
      </c>
      <c r="H3107" t="s">
        <v>20282</v>
      </c>
      <c r="I3107" t="s">
        <v>390</v>
      </c>
      <c r="J3107" t="s">
        <v>111</v>
      </c>
      <c r="K3107" t="str">
        <f>"85083"</f>
        <v>85083</v>
      </c>
      <c r="L3107" t="s">
        <v>4467</v>
      </c>
      <c r="M3107" t="s">
        <v>20282</v>
      </c>
      <c r="N3107" t="s">
        <v>390</v>
      </c>
      <c r="O3107" t="s">
        <v>111</v>
      </c>
      <c r="P3107" t="str">
        <f>"85083-7597"</f>
        <v>85083-7597</v>
      </c>
      <c r="Q3107" t="s">
        <v>113</v>
      </c>
      <c r="R3107" t="str">
        <f>"204-19-247"</f>
        <v>204-19-247</v>
      </c>
      <c r="S3107" t="s">
        <v>15586</v>
      </c>
      <c r="T3107" t="s">
        <v>15587</v>
      </c>
      <c r="U3107">
        <v>3613</v>
      </c>
      <c r="V3107">
        <v>0</v>
      </c>
      <c r="W3107">
        <v>4</v>
      </c>
      <c r="X3107">
        <v>2006</v>
      </c>
      <c r="Z3107">
        <v>2</v>
      </c>
      <c r="AB3107">
        <v>0</v>
      </c>
      <c r="AC3107" t="s">
        <v>115</v>
      </c>
      <c r="AD3107">
        <v>3</v>
      </c>
      <c r="AE3107" t="s">
        <v>115</v>
      </c>
      <c r="AF3107">
        <v>0</v>
      </c>
      <c r="AG3107">
        <v>0</v>
      </c>
      <c r="AH3107" t="s">
        <v>116</v>
      </c>
      <c r="AI3107" s="1">
        <v>98634</v>
      </c>
      <c r="AJ3107" s="2">
        <v>0.22</v>
      </c>
      <c r="AK3107" s="1">
        <v>443952</v>
      </c>
      <c r="AL3107" t="s">
        <v>117</v>
      </c>
      <c r="AM3107" t="s">
        <v>171</v>
      </c>
      <c r="AN3107">
        <v>9910</v>
      </c>
      <c r="AO3107">
        <v>0.23</v>
      </c>
      <c r="AR3107">
        <v>1</v>
      </c>
      <c r="AS3107" s="1">
        <v>33410</v>
      </c>
      <c r="AT3107" s="1">
        <v>6680</v>
      </c>
      <c r="AU3107" s="1">
        <v>26730</v>
      </c>
      <c r="AV3107">
        <v>80.010000000000005</v>
      </c>
      <c r="AX3107" s="1">
        <v>3199.2</v>
      </c>
      <c r="AY3107" t="s">
        <v>1385</v>
      </c>
      <c r="AZ3107" t="s">
        <v>1385</v>
      </c>
      <c r="BA3107" t="s">
        <v>1386</v>
      </c>
      <c r="BE3107" s="3">
        <v>41781</v>
      </c>
      <c r="BF3107" s="1">
        <v>345000</v>
      </c>
      <c r="BG3107" t="s">
        <v>20283</v>
      </c>
      <c r="BH3107" s="1">
        <v>95.49</v>
      </c>
      <c r="BI3107" s="1">
        <v>345318</v>
      </c>
      <c r="BJ3107" s="3">
        <v>42545</v>
      </c>
      <c r="BK3107" t="s">
        <v>123</v>
      </c>
      <c r="BL3107" t="str">
        <f>"2016.442351"</f>
        <v>2016.442351</v>
      </c>
      <c r="BM3107" t="s">
        <v>1201</v>
      </c>
      <c r="BO3107" t="s">
        <v>20284</v>
      </c>
      <c r="BS3107">
        <v>30</v>
      </c>
      <c r="BW3107" t="str">
        <f>""</f>
        <v/>
      </c>
      <c r="CH3107" t="str">
        <f>""</f>
        <v/>
      </c>
      <c r="CS3107" t="str">
        <f>""</f>
        <v/>
      </c>
    </row>
    <row r="3108" spans="1:97" x14ac:dyDescent="0.25">
      <c r="A3108" t="s">
        <v>489</v>
      </c>
      <c r="B3108" t="s">
        <v>20285</v>
      </c>
      <c r="C3108" t="s">
        <v>1308</v>
      </c>
      <c r="D3108" t="s">
        <v>20285</v>
      </c>
      <c r="E3108" t="s">
        <v>20286</v>
      </c>
      <c r="F3108" t="s">
        <v>108</v>
      </c>
      <c r="H3108" t="s">
        <v>20287</v>
      </c>
      <c r="I3108" t="s">
        <v>188</v>
      </c>
      <c r="J3108" t="s">
        <v>111</v>
      </c>
      <c r="K3108" t="str">
        <f>"85142"</f>
        <v>85142</v>
      </c>
      <c r="L3108" t="s">
        <v>5910</v>
      </c>
      <c r="M3108" t="s">
        <v>20287</v>
      </c>
      <c r="N3108" t="s">
        <v>188</v>
      </c>
      <c r="O3108" t="s">
        <v>111</v>
      </c>
      <c r="P3108" t="str">
        <f>"85142-3609"</f>
        <v>85142-3609</v>
      </c>
      <c r="Q3108" t="s">
        <v>113</v>
      </c>
      <c r="R3108" t="str">
        <f>"304-68-834"</f>
        <v>304-68-834</v>
      </c>
      <c r="S3108" t="s">
        <v>5911</v>
      </c>
      <c r="U3108">
        <v>2898</v>
      </c>
      <c r="V3108">
        <v>0</v>
      </c>
      <c r="W3108">
        <v>4</v>
      </c>
      <c r="X3108">
        <v>2004</v>
      </c>
      <c r="Z3108">
        <v>1</v>
      </c>
      <c r="AA3108" t="s">
        <v>26</v>
      </c>
      <c r="AB3108">
        <v>0</v>
      </c>
      <c r="AC3108" t="s">
        <v>115</v>
      </c>
      <c r="AD3108">
        <v>3</v>
      </c>
      <c r="AE3108" t="s">
        <v>115</v>
      </c>
      <c r="AF3108">
        <v>0</v>
      </c>
      <c r="AG3108">
        <v>0</v>
      </c>
      <c r="AH3108" t="s">
        <v>116</v>
      </c>
      <c r="AI3108" s="1">
        <v>173963</v>
      </c>
      <c r="AJ3108" s="2">
        <v>0.38</v>
      </c>
      <c r="AK3108" s="1">
        <v>462182</v>
      </c>
      <c r="AL3108" t="s">
        <v>117</v>
      </c>
      <c r="AM3108" t="s">
        <v>917</v>
      </c>
      <c r="AN3108">
        <v>12257</v>
      </c>
      <c r="AO3108">
        <v>0.28000000000000003</v>
      </c>
      <c r="AP3108">
        <v>1</v>
      </c>
      <c r="AR3108">
        <v>1</v>
      </c>
      <c r="AS3108" s="1">
        <v>32250</v>
      </c>
      <c r="AT3108" s="1">
        <v>6450</v>
      </c>
      <c r="AU3108" s="1">
        <v>25800</v>
      </c>
      <c r="AV3108">
        <v>80</v>
      </c>
      <c r="AX3108" s="1">
        <v>3050.3</v>
      </c>
      <c r="AY3108" t="s">
        <v>5792</v>
      </c>
      <c r="AZ3108" t="s">
        <v>5792</v>
      </c>
      <c r="BA3108" t="s">
        <v>290</v>
      </c>
      <c r="BE3108" s="3">
        <v>41851</v>
      </c>
      <c r="BF3108" s="1">
        <v>285000</v>
      </c>
      <c r="BG3108" t="s">
        <v>20288</v>
      </c>
      <c r="BH3108" s="1">
        <v>98.34</v>
      </c>
      <c r="BI3108" s="1">
        <v>288219</v>
      </c>
      <c r="BJ3108" s="3">
        <v>42677</v>
      </c>
      <c r="BK3108" t="s">
        <v>123</v>
      </c>
      <c r="BL3108" t="str">
        <f>"2016.811065"</f>
        <v>2016.811065</v>
      </c>
      <c r="BM3108" t="s">
        <v>402</v>
      </c>
      <c r="BO3108" t="s">
        <v>20289</v>
      </c>
      <c r="BS3108">
        <v>30</v>
      </c>
      <c r="BW3108" t="str">
        <f>""</f>
        <v/>
      </c>
      <c r="CH3108" t="str">
        <f>""</f>
        <v/>
      </c>
      <c r="CS3108" t="str">
        <f>""</f>
        <v/>
      </c>
    </row>
    <row r="3109" spans="1:97" x14ac:dyDescent="0.25">
      <c r="A3109" t="s">
        <v>2433</v>
      </c>
      <c r="B3109" t="s">
        <v>20290</v>
      </c>
      <c r="C3109" t="s">
        <v>20291</v>
      </c>
      <c r="D3109" t="s">
        <v>20290</v>
      </c>
      <c r="E3109" t="s">
        <v>20292</v>
      </c>
      <c r="F3109" t="s">
        <v>108</v>
      </c>
      <c r="H3109" t="s">
        <v>20293</v>
      </c>
      <c r="I3109" t="s">
        <v>188</v>
      </c>
      <c r="J3109" t="s">
        <v>111</v>
      </c>
      <c r="K3109" t="str">
        <f>"85142"</f>
        <v>85142</v>
      </c>
      <c r="L3109" t="s">
        <v>5893</v>
      </c>
      <c r="M3109" t="s">
        <v>20293</v>
      </c>
      <c r="N3109" t="s">
        <v>188</v>
      </c>
      <c r="O3109" t="s">
        <v>111</v>
      </c>
      <c r="P3109" t="str">
        <f>"85142-4850"</f>
        <v>85142-4850</v>
      </c>
      <c r="Q3109" t="s">
        <v>113</v>
      </c>
      <c r="R3109" t="str">
        <f>"314-04-835"</f>
        <v>314-04-835</v>
      </c>
      <c r="S3109" t="s">
        <v>5894</v>
      </c>
      <c r="T3109" t="s">
        <v>5894</v>
      </c>
      <c r="U3109">
        <v>3013</v>
      </c>
      <c r="V3109">
        <v>0</v>
      </c>
      <c r="W3109">
        <v>3</v>
      </c>
      <c r="X3109">
        <v>2015</v>
      </c>
      <c r="Z3109">
        <v>1</v>
      </c>
      <c r="AB3109">
        <v>0</v>
      </c>
      <c r="AC3109" t="s">
        <v>115</v>
      </c>
      <c r="AD3109">
        <v>2</v>
      </c>
      <c r="AE3109" t="s">
        <v>115</v>
      </c>
      <c r="AF3109">
        <v>0</v>
      </c>
      <c r="AG3109">
        <v>0</v>
      </c>
      <c r="AH3109" t="s">
        <v>116</v>
      </c>
      <c r="AI3109" s="1">
        <v>128069</v>
      </c>
      <c r="AJ3109" s="2">
        <v>0.3</v>
      </c>
      <c r="AK3109" s="1">
        <v>421919</v>
      </c>
      <c r="AL3109" t="s">
        <v>117</v>
      </c>
      <c r="AM3109" t="s">
        <v>171</v>
      </c>
      <c r="AN3109">
        <v>8959</v>
      </c>
      <c r="AO3109">
        <v>0.21</v>
      </c>
      <c r="AR3109">
        <v>1</v>
      </c>
      <c r="AS3109" s="1">
        <v>29330</v>
      </c>
      <c r="AT3109" s="1">
        <v>5860</v>
      </c>
      <c r="AU3109" s="1">
        <v>23470</v>
      </c>
      <c r="AV3109">
        <v>80.02</v>
      </c>
      <c r="AX3109" s="1">
        <v>2653.96</v>
      </c>
      <c r="AY3109" t="s">
        <v>5895</v>
      </c>
      <c r="AZ3109" t="s">
        <v>561</v>
      </c>
      <c r="BA3109" t="s">
        <v>194</v>
      </c>
      <c r="BE3109" s="3">
        <v>42167</v>
      </c>
      <c r="BF3109" s="1">
        <v>293881</v>
      </c>
      <c r="BG3109" t="s">
        <v>617</v>
      </c>
      <c r="BH3109" s="1">
        <v>97.54</v>
      </c>
      <c r="BI3109" s="1">
        <v>293850</v>
      </c>
      <c r="BJ3109" s="3">
        <v>42167</v>
      </c>
      <c r="BK3109" t="s">
        <v>123</v>
      </c>
      <c r="BL3109" t="str">
        <f>"2015.418821"</f>
        <v>2015.418821</v>
      </c>
      <c r="BM3109" t="s">
        <v>1192</v>
      </c>
      <c r="BO3109" t="s">
        <v>20294</v>
      </c>
      <c r="BS3109">
        <v>30</v>
      </c>
      <c r="BW3109" t="str">
        <f>""</f>
        <v/>
      </c>
      <c r="CH3109" t="str">
        <f>""</f>
        <v/>
      </c>
      <c r="CS3109" t="str">
        <f>""</f>
        <v/>
      </c>
    </row>
    <row r="3110" spans="1:97" x14ac:dyDescent="0.25">
      <c r="A3110" t="s">
        <v>183</v>
      </c>
      <c r="B3110" t="s">
        <v>20295</v>
      </c>
      <c r="C3110" t="s">
        <v>670</v>
      </c>
      <c r="D3110" t="s">
        <v>20295</v>
      </c>
      <c r="E3110" t="s">
        <v>20296</v>
      </c>
      <c r="F3110" t="s">
        <v>108</v>
      </c>
      <c r="H3110" t="s">
        <v>20297</v>
      </c>
      <c r="I3110" t="s">
        <v>6844</v>
      </c>
      <c r="J3110" t="s">
        <v>111</v>
      </c>
      <c r="K3110" t="str">
        <f>"85361"</f>
        <v>85361</v>
      </c>
      <c r="L3110" t="s">
        <v>734</v>
      </c>
      <c r="M3110" t="s">
        <v>20297</v>
      </c>
      <c r="N3110" t="s">
        <v>6844</v>
      </c>
      <c r="O3110" t="s">
        <v>111</v>
      </c>
      <c r="P3110" t="str">
        <f>"85361-8560"</f>
        <v>85361-8560</v>
      </c>
      <c r="Q3110" t="s">
        <v>113</v>
      </c>
      <c r="R3110" t="str">
        <f>"503-34-211"</f>
        <v>503-34-211</v>
      </c>
      <c r="S3110" t="s">
        <v>20298</v>
      </c>
      <c r="U3110">
        <v>3031</v>
      </c>
      <c r="V3110">
        <v>0</v>
      </c>
      <c r="W3110">
        <v>4</v>
      </c>
      <c r="X3110">
        <v>2006</v>
      </c>
      <c r="Z3110">
        <v>1</v>
      </c>
      <c r="AB3110">
        <v>0</v>
      </c>
      <c r="AC3110" t="s">
        <v>115</v>
      </c>
      <c r="AD3110">
        <v>3</v>
      </c>
      <c r="AE3110" t="s">
        <v>115</v>
      </c>
      <c r="AF3110">
        <v>0</v>
      </c>
      <c r="AG3110">
        <v>0</v>
      </c>
      <c r="AH3110" t="s">
        <v>116</v>
      </c>
      <c r="AI3110" s="1">
        <v>88444</v>
      </c>
      <c r="AJ3110" s="2">
        <v>0.21</v>
      </c>
      <c r="AK3110" s="1">
        <v>418701</v>
      </c>
      <c r="AL3110" t="s">
        <v>117</v>
      </c>
      <c r="AM3110" t="s">
        <v>376</v>
      </c>
      <c r="AN3110">
        <v>45392</v>
      </c>
      <c r="AO3110">
        <v>1.04</v>
      </c>
      <c r="AR3110">
        <v>1</v>
      </c>
      <c r="AS3110" s="1">
        <v>29760</v>
      </c>
      <c r="AT3110" s="1">
        <v>5950</v>
      </c>
      <c r="AU3110" s="1">
        <v>23810</v>
      </c>
      <c r="AV3110">
        <v>80.010000000000005</v>
      </c>
      <c r="AX3110" s="1">
        <v>2150.58</v>
      </c>
      <c r="AY3110" t="s">
        <v>6847</v>
      </c>
      <c r="AZ3110" t="s">
        <v>6847</v>
      </c>
      <c r="BE3110" s="3">
        <v>42045</v>
      </c>
      <c r="BF3110" s="1">
        <v>320000</v>
      </c>
      <c r="BG3110" t="s">
        <v>20299</v>
      </c>
      <c r="BH3110" s="1">
        <v>105.58</v>
      </c>
      <c r="BI3110" s="1">
        <v>330257</v>
      </c>
      <c r="BJ3110" s="3">
        <v>42510</v>
      </c>
      <c r="BK3110" t="s">
        <v>123</v>
      </c>
      <c r="BL3110" t="str">
        <f>"2016.348126"</f>
        <v>2016.348126</v>
      </c>
      <c r="BM3110" t="s">
        <v>750</v>
      </c>
      <c r="BO3110" t="s">
        <v>20300</v>
      </c>
      <c r="BQ3110" t="str">
        <f>"2.2500%"</f>
        <v>2.2500%</v>
      </c>
      <c r="BR3110" t="s">
        <v>1480</v>
      </c>
      <c r="BS3110">
        <v>30</v>
      </c>
      <c r="BW3110" t="str">
        <f>""</f>
        <v/>
      </c>
      <c r="CH3110" t="str">
        <f>""</f>
        <v/>
      </c>
      <c r="CS3110" t="str">
        <f>""</f>
        <v/>
      </c>
    </row>
    <row r="3111" spans="1:97" x14ac:dyDescent="0.25">
      <c r="A3111" t="s">
        <v>412</v>
      </c>
      <c r="B3111" t="s">
        <v>20301</v>
      </c>
      <c r="C3111" t="s">
        <v>20302</v>
      </c>
      <c r="D3111" t="s">
        <v>20301</v>
      </c>
      <c r="E3111" t="s">
        <v>20303</v>
      </c>
      <c r="F3111" t="s">
        <v>108</v>
      </c>
      <c r="H3111" t="s">
        <v>20304</v>
      </c>
      <c r="I3111" t="s">
        <v>1936</v>
      </c>
      <c r="J3111" t="s">
        <v>111</v>
      </c>
      <c r="K3111" t="str">
        <f>"85258"</f>
        <v>85258</v>
      </c>
      <c r="L3111" t="s">
        <v>6691</v>
      </c>
      <c r="M3111" t="s">
        <v>20304</v>
      </c>
      <c r="N3111" t="s">
        <v>1936</v>
      </c>
      <c r="O3111" t="s">
        <v>111</v>
      </c>
      <c r="P3111" t="str">
        <f>"85258-3823"</f>
        <v>85258-3823</v>
      </c>
      <c r="Q3111" t="s">
        <v>113</v>
      </c>
      <c r="R3111" t="str">
        <f>"177-03-161"</f>
        <v>177-03-161</v>
      </c>
      <c r="S3111" t="s">
        <v>13021</v>
      </c>
      <c r="U3111">
        <v>1890</v>
      </c>
      <c r="V3111">
        <v>0</v>
      </c>
      <c r="W3111">
        <v>3</v>
      </c>
      <c r="X3111">
        <v>1974</v>
      </c>
      <c r="Z3111">
        <v>1</v>
      </c>
      <c r="AA3111" t="s">
        <v>26</v>
      </c>
      <c r="AB3111">
        <v>0</v>
      </c>
      <c r="AC3111" t="s">
        <v>115</v>
      </c>
      <c r="AD3111">
        <v>2</v>
      </c>
      <c r="AE3111" t="s">
        <v>115</v>
      </c>
      <c r="AF3111">
        <v>0</v>
      </c>
      <c r="AG3111">
        <v>0</v>
      </c>
      <c r="AH3111" t="s">
        <v>116</v>
      </c>
      <c r="AI3111" s="1">
        <v>85871</v>
      </c>
      <c r="AJ3111" s="2">
        <v>0.18</v>
      </c>
      <c r="AK3111" s="1">
        <v>464171</v>
      </c>
      <c r="AL3111" t="s">
        <v>117</v>
      </c>
      <c r="AM3111" t="s">
        <v>393</v>
      </c>
      <c r="AN3111">
        <v>6367</v>
      </c>
      <c r="AO3111">
        <v>0.15</v>
      </c>
      <c r="AP3111">
        <v>1</v>
      </c>
      <c r="AR3111">
        <v>1</v>
      </c>
      <c r="AS3111" s="1">
        <v>34560</v>
      </c>
      <c r="AT3111" s="1">
        <v>6910</v>
      </c>
      <c r="AU3111" s="1">
        <v>27650</v>
      </c>
      <c r="AV3111">
        <v>80.010000000000005</v>
      </c>
      <c r="AX3111" s="1">
        <v>2375.46</v>
      </c>
      <c r="AY3111" t="s">
        <v>13022</v>
      </c>
      <c r="AZ3111" t="s">
        <v>6975</v>
      </c>
      <c r="BA3111" t="s">
        <v>6976</v>
      </c>
      <c r="BE3111" s="3">
        <v>42376</v>
      </c>
      <c r="BF3111" s="1">
        <v>385000</v>
      </c>
      <c r="BG3111" t="s">
        <v>20305</v>
      </c>
      <c r="BH3111" s="1">
        <v>203.7</v>
      </c>
      <c r="BI3111" s="1">
        <v>378300</v>
      </c>
      <c r="BJ3111" s="3">
        <v>42912</v>
      </c>
      <c r="BK3111" t="s">
        <v>123</v>
      </c>
      <c r="BL3111" t="str">
        <f>"2017.464043"</f>
        <v>2017.464043</v>
      </c>
      <c r="BM3111" t="s">
        <v>3638</v>
      </c>
      <c r="BO3111" t="s">
        <v>20306</v>
      </c>
      <c r="BS3111">
        <v>30</v>
      </c>
      <c r="BW3111" t="str">
        <f>""</f>
        <v/>
      </c>
      <c r="CH3111" t="str">
        <f>""</f>
        <v/>
      </c>
      <c r="CS3111" t="str">
        <f>""</f>
        <v/>
      </c>
    </row>
    <row r="3112" spans="1:97" x14ac:dyDescent="0.25">
      <c r="A3112" t="s">
        <v>177</v>
      </c>
      <c r="B3112" t="s">
        <v>20307</v>
      </c>
      <c r="C3112" t="s">
        <v>20308</v>
      </c>
      <c r="D3112" t="s">
        <v>20307</v>
      </c>
      <c r="E3112" t="s">
        <v>20309</v>
      </c>
      <c r="F3112" t="s">
        <v>108</v>
      </c>
      <c r="H3112" t="s">
        <v>20310</v>
      </c>
      <c r="I3112" t="s">
        <v>188</v>
      </c>
      <c r="J3112" t="s">
        <v>111</v>
      </c>
      <c r="K3112" t="str">
        <f>"85142"</f>
        <v>85142</v>
      </c>
      <c r="L3112" t="s">
        <v>5239</v>
      </c>
      <c r="M3112" t="s">
        <v>20310</v>
      </c>
      <c r="N3112" t="s">
        <v>188</v>
      </c>
      <c r="O3112" t="s">
        <v>111</v>
      </c>
      <c r="P3112" t="str">
        <f>"85142-3346"</f>
        <v>85142-3346</v>
      </c>
      <c r="Q3112" t="s">
        <v>113</v>
      </c>
      <c r="R3112" t="str">
        <f>"304-64-007-Y"</f>
        <v>304-64-007-Y</v>
      </c>
      <c r="U3112">
        <v>3511</v>
      </c>
      <c r="V3112">
        <v>0</v>
      </c>
      <c r="W3112">
        <v>4</v>
      </c>
      <c r="X3112">
        <v>2014</v>
      </c>
      <c r="Z3112">
        <v>1</v>
      </c>
      <c r="AB3112">
        <v>0</v>
      </c>
      <c r="AC3112" t="s">
        <v>115</v>
      </c>
      <c r="AD3112">
        <v>4</v>
      </c>
      <c r="AE3112" t="s">
        <v>115</v>
      </c>
      <c r="AF3112">
        <v>0</v>
      </c>
      <c r="AG3112">
        <v>0</v>
      </c>
      <c r="AH3112" t="s">
        <v>116</v>
      </c>
      <c r="AI3112" s="1">
        <v>73917</v>
      </c>
      <c r="AJ3112" s="2">
        <v>0.12</v>
      </c>
      <c r="AK3112" s="1">
        <v>637315</v>
      </c>
      <c r="AL3112" t="s">
        <v>117</v>
      </c>
      <c r="AM3112" t="s">
        <v>376</v>
      </c>
      <c r="AN3112">
        <v>43556</v>
      </c>
      <c r="AO3112">
        <v>1</v>
      </c>
      <c r="AR3112">
        <v>1</v>
      </c>
      <c r="AS3112" s="1">
        <v>47930</v>
      </c>
      <c r="AT3112" s="1">
        <v>9580</v>
      </c>
      <c r="AU3112" s="1">
        <v>38350</v>
      </c>
      <c r="AV3112">
        <v>80.010000000000005</v>
      </c>
      <c r="AX3112" s="1">
        <v>4694.88</v>
      </c>
      <c r="AY3112" t="s">
        <v>560</v>
      </c>
      <c r="AZ3112" t="s">
        <v>561</v>
      </c>
      <c r="BA3112" t="s">
        <v>194</v>
      </c>
      <c r="BB3112" s="3">
        <v>43061</v>
      </c>
      <c r="BD3112" t="s">
        <v>157</v>
      </c>
      <c r="BE3112" s="3">
        <v>42094</v>
      </c>
      <c r="BF3112" s="1">
        <v>515000</v>
      </c>
      <c r="BG3112" t="s">
        <v>20311</v>
      </c>
      <c r="BH3112" s="1">
        <v>146.68</v>
      </c>
      <c r="BI3112" s="1">
        <v>563398</v>
      </c>
      <c r="BJ3112" s="3">
        <v>43061</v>
      </c>
      <c r="BK3112" t="s">
        <v>123</v>
      </c>
      <c r="BL3112" t="str">
        <f>"2017.870536"</f>
        <v>2017.870536</v>
      </c>
      <c r="BM3112" t="s">
        <v>8528</v>
      </c>
      <c r="BO3112" t="s">
        <v>20312</v>
      </c>
      <c r="BS3112">
        <v>30</v>
      </c>
      <c r="BW3112" t="str">
        <f>""</f>
        <v/>
      </c>
      <c r="CH3112" t="str">
        <f>""</f>
        <v/>
      </c>
      <c r="CS3112" t="str">
        <f>""</f>
        <v/>
      </c>
    </row>
    <row r="3113" spans="1:97" x14ac:dyDescent="0.25">
      <c r="A3113" t="s">
        <v>894</v>
      </c>
      <c r="B3113" t="s">
        <v>2730</v>
      </c>
      <c r="C3113" t="s">
        <v>5847</v>
      </c>
      <c r="D3113" t="s">
        <v>4774</v>
      </c>
      <c r="E3113" t="s">
        <v>20313</v>
      </c>
      <c r="F3113" t="s">
        <v>108</v>
      </c>
      <c r="H3113" t="s">
        <v>20314</v>
      </c>
      <c r="I3113" t="s">
        <v>390</v>
      </c>
      <c r="J3113" t="s">
        <v>111</v>
      </c>
      <c r="K3113" t="str">
        <f>"85028"</f>
        <v>85028</v>
      </c>
      <c r="L3113" t="s">
        <v>8543</v>
      </c>
      <c r="M3113" t="s">
        <v>20314</v>
      </c>
      <c r="N3113" t="s">
        <v>390</v>
      </c>
      <c r="O3113" t="s">
        <v>111</v>
      </c>
      <c r="P3113" t="str">
        <f>"85028-5322"</f>
        <v>85028-5322</v>
      </c>
      <c r="Q3113" t="s">
        <v>113</v>
      </c>
      <c r="R3113" t="str">
        <f>"165-13-127"</f>
        <v>165-13-127</v>
      </c>
      <c r="S3113" t="s">
        <v>20315</v>
      </c>
      <c r="T3113" t="s">
        <v>20316</v>
      </c>
      <c r="U3113">
        <v>2668</v>
      </c>
      <c r="V3113">
        <v>0</v>
      </c>
      <c r="W3113">
        <v>3</v>
      </c>
      <c r="X3113">
        <v>1973</v>
      </c>
      <c r="Z3113">
        <v>1</v>
      </c>
      <c r="AA3113" t="s">
        <v>26</v>
      </c>
      <c r="AB3113">
        <v>0</v>
      </c>
      <c r="AC3113" t="s">
        <v>115</v>
      </c>
      <c r="AD3113">
        <v>2</v>
      </c>
      <c r="AE3113" t="s">
        <v>115</v>
      </c>
      <c r="AF3113">
        <v>0</v>
      </c>
      <c r="AG3113">
        <v>0</v>
      </c>
      <c r="AH3113" t="s">
        <v>116</v>
      </c>
      <c r="AI3113" s="1">
        <v>128484</v>
      </c>
      <c r="AJ3113" s="2">
        <v>0.24</v>
      </c>
      <c r="AK3113" s="1">
        <v>535486</v>
      </c>
      <c r="AL3113" t="s">
        <v>117</v>
      </c>
      <c r="AM3113" t="s">
        <v>1302</v>
      </c>
      <c r="AN3113">
        <v>10497</v>
      </c>
      <c r="AO3113">
        <v>0.24</v>
      </c>
      <c r="AP3113">
        <v>1</v>
      </c>
      <c r="AR3113">
        <v>1</v>
      </c>
      <c r="AS3113" s="1">
        <v>38670</v>
      </c>
      <c r="AT3113" s="1">
        <v>7730</v>
      </c>
      <c r="AU3113" s="1">
        <v>30940</v>
      </c>
      <c r="AV3113">
        <v>80.010000000000005</v>
      </c>
      <c r="AX3113" s="1">
        <v>3625.08</v>
      </c>
      <c r="AY3113" t="s">
        <v>9580</v>
      </c>
      <c r="AZ3113" t="s">
        <v>5489</v>
      </c>
      <c r="BA3113" t="s">
        <v>5232</v>
      </c>
      <c r="BE3113" s="3">
        <v>42257</v>
      </c>
      <c r="BF3113" s="1">
        <v>394000</v>
      </c>
      <c r="BG3113" t="s">
        <v>20317</v>
      </c>
      <c r="BH3113" s="1">
        <v>150.61000000000001</v>
      </c>
      <c r="BI3113" s="1">
        <v>407002</v>
      </c>
      <c r="BJ3113" s="3">
        <v>42257</v>
      </c>
      <c r="BK3113" t="s">
        <v>123</v>
      </c>
      <c r="BL3113" t="str">
        <f>"2015.654033"</f>
        <v>2015.654033</v>
      </c>
      <c r="BM3113" t="s">
        <v>5867</v>
      </c>
      <c r="BO3113" t="s">
        <v>20318</v>
      </c>
      <c r="BP3113" t="s">
        <v>20319</v>
      </c>
      <c r="BS3113">
        <v>30</v>
      </c>
      <c r="BW3113" t="str">
        <f>""</f>
        <v/>
      </c>
      <c r="CH3113" t="str">
        <f>""</f>
        <v/>
      </c>
      <c r="CS3113" t="str">
        <f>""</f>
        <v/>
      </c>
    </row>
    <row r="3114" spans="1:97" x14ac:dyDescent="0.25">
      <c r="A3114" t="s">
        <v>10457</v>
      </c>
      <c r="B3114" t="s">
        <v>12979</v>
      </c>
      <c r="C3114" t="s">
        <v>507</v>
      </c>
      <c r="D3114" t="s">
        <v>12979</v>
      </c>
      <c r="E3114" t="s">
        <v>20320</v>
      </c>
      <c r="F3114" t="s">
        <v>108</v>
      </c>
      <c r="H3114" t="s">
        <v>20321</v>
      </c>
      <c r="I3114" t="s">
        <v>390</v>
      </c>
      <c r="J3114" t="s">
        <v>111</v>
      </c>
      <c r="K3114" t="str">
        <f>"85041"</f>
        <v>85041</v>
      </c>
      <c r="L3114" t="s">
        <v>5218</v>
      </c>
      <c r="M3114" t="s">
        <v>20321</v>
      </c>
      <c r="N3114" t="s">
        <v>390</v>
      </c>
      <c r="O3114" t="s">
        <v>111</v>
      </c>
      <c r="P3114" t="str">
        <f>"85041-6471"</f>
        <v>85041-6471</v>
      </c>
      <c r="Q3114" t="s">
        <v>113</v>
      </c>
      <c r="R3114" t="str">
        <f>"105-91-720"</f>
        <v>105-91-720</v>
      </c>
      <c r="S3114" t="s">
        <v>20322</v>
      </c>
      <c r="T3114" t="s">
        <v>20322</v>
      </c>
      <c r="U3114">
        <v>4113</v>
      </c>
      <c r="V3114">
        <v>0</v>
      </c>
      <c r="W3114">
        <v>4</v>
      </c>
      <c r="X3114">
        <v>2005</v>
      </c>
      <c r="Z3114">
        <v>2</v>
      </c>
      <c r="AA3114" t="s">
        <v>26</v>
      </c>
      <c r="AB3114">
        <v>0</v>
      </c>
      <c r="AC3114" t="s">
        <v>115</v>
      </c>
      <c r="AD3114">
        <v>3</v>
      </c>
      <c r="AE3114" t="s">
        <v>115</v>
      </c>
      <c r="AF3114">
        <v>0</v>
      </c>
      <c r="AG3114">
        <v>0</v>
      </c>
      <c r="AH3114" t="s">
        <v>116</v>
      </c>
      <c r="AI3114" s="1">
        <v>86571</v>
      </c>
      <c r="AJ3114" s="2">
        <v>0.22</v>
      </c>
      <c r="AK3114" s="1">
        <v>389369</v>
      </c>
      <c r="AL3114" t="s">
        <v>117</v>
      </c>
      <c r="AM3114" t="s">
        <v>1302</v>
      </c>
      <c r="AN3114">
        <v>11050</v>
      </c>
      <c r="AO3114">
        <v>0.25</v>
      </c>
      <c r="AR3114">
        <v>1</v>
      </c>
      <c r="AS3114" s="1">
        <v>28530</v>
      </c>
      <c r="AT3114" s="1">
        <v>5700</v>
      </c>
      <c r="AU3114" s="1">
        <v>22830</v>
      </c>
      <c r="AV3114">
        <v>80.02</v>
      </c>
      <c r="AX3114" s="1">
        <v>3370.02</v>
      </c>
      <c r="AY3114" t="s">
        <v>5220</v>
      </c>
      <c r="AZ3114" t="s">
        <v>5220</v>
      </c>
      <c r="BA3114" t="s">
        <v>1661</v>
      </c>
      <c r="BE3114" s="3">
        <v>41789</v>
      </c>
      <c r="BF3114" s="1">
        <v>279900</v>
      </c>
      <c r="BG3114" t="s">
        <v>20323</v>
      </c>
      <c r="BH3114" s="1">
        <v>68.05</v>
      </c>
      <c r="BI3114" s="1">
        <v>302798</v>
      </c>
      <c r="BJ3114" s="3">
        <v>42219</v>
      </c>
      <c r="BK3114" t="s">
        <v>123</v>
      </c>
      <c r="BL3114" t="str">
        <f>"2015.561372"</f>
        <v>2015.561372</v>
      </c>
      <c r="BM3114" t="s">
        <v>709</v>
      </c>
      <c r="BO3114" t="s">
        <v>20324</v>
      </c>
      <c r="BS3114">
        <v>30</v>
      </c>
      <c r="BW3114" t="str">
        <f>""</f>
        <v/>
      </c>
      <c r="CH3114" t="str">
        <f>""</f>
        <v/>
      </c>
      <c r="CS3114" t="str">
        <f>""</f>
        <v/>
      </c>
    </row>
    <row r="3115" spans="1:97" x14ac:dyDescent="0.25">
      <c r="A3115" t="s">
        <v>15428</v>
      </c>
      <c r="B3115" t="s">
        <v>2761</v>
      </c>
      <c r="C3115" t="s">
        <v>1692</v>
      </c>
      <c r="D3115" t="s">
        <v>2761</v>
      </c>
      <c r="E3115" t="s">
        <v>20325</v>
      </c>
      <c r="F3115" t="s">
        <v>108</v>
      </c>
      <c r="H3115" t="s">
        <v>20326</v>
      </c>
      <c r="I3115" t="s">
        <v>1936</v>
      </c>
      <c r="J3115" t="s">
        <v>111</v>
      </c>
      <c r="K3115" t="str">
        <f>"85254"</f>
        <v>85254</v>
      </c>
      <c r="L3115" t="s">
        <v>3982</v>
      </c>
      <c r="M3115" t="s">
        <v>20326</v>
      </c>
      <c r="N3115" t="s">
        <v>1936</v>
      </c>
      <c r="O3115" t="s">
        <v>111</v>
      </c>
      <c r="P3115" t="str">
        <f>"85254-1313"</f>
        <v>85254-1313</v>
      </c>
      <c r="Q3115" t="s">
        <v>113</v>
      </c>
      <c r="R3115" t="str">
        <f>"215-38-473"</f>
        <v>215-38-473</v>
      </c>
      <c r="S3115" t="s">
        <v>20327</v>
      </c>
      <c r="T3115" t="s">
        <v>16817</v>
      </c>
      <c r="U3115">
        <v>2341</v>
      </c>
      <c r="V3115">
        <v>0</v>
      </c>
      <c r="W3115">
        <v>3</v>
      </c>
      <c r="X3115">
        <v>1986</v>
      </c>
      <c r="Z3115">
        <v>1</v>
      </c>
      <c r="AA3115" t="s">
        <v>26</v>
      </c>
      <c r="AB3115">
        <v>0</v>
      </c>
      <c r="AC3115" t="s">
        <v>115</v>
      </c>
      <c r="AD3115">
        <v>2</v>
      </c>
      <c r="AE3115" t="s">
        <v>115</v>
      </c>
      <c r="AF3115">
        <v>0</v>
      </c>
      <c r="AG3115">
        <v>0</v>
      </c>
      <c r="AH3115" t="s">
        <v>116</v>
      </c>
      <c r="AI3115" s="1">
        <v>140845</v>
      </c>
      <c r="AJ3115" s="2">
        <v>0.26</v>
      </c>
      <c r="AK3115" s="1">
        <v>542845</v>
      </c>
      <c r="AL3115" t="s">
        <v>117</v>
      </c>
      <c r="AM3115" t="s">
        <v>1302</v>
      </c>
      <c r="AN3115">
        <v>13472</v>
      </c>
      <c r="AO3115">
        <v>0.31</v>
      </c>
      <c r="AP3115">
        <v>1</v>
      </c>
      <c r="AR3115">
        <v>1</v>
      </c>
      <c r="AS3115" s="1">
        <v>40620</v>
      </c>
      <c r="AT3115" s="1">
        <v>8120</v>
      </c>
      <c r="AU3115" s="1">
        <v>32500</v>
      </c>
      <c r="AV3115">
        <v>80.010000000000005</v>
      </c>
      <c r="AX3115" s="1">
        <v>3706.64</v>
      </c>
      <c r="AY3115" t="s">
        <v>15787</v>
      </c>
      <c r="AZ3115" t="s">
        <v>7739</v>
      </c>
      <c r="BA3115" t="s">
        <v>6302</v>
      </c>
      <c r="BE3115" s="3">
        <v>41960</v>
      </c>
      <c r="BF3115" s="1">
        <v>410000</v>
      </c>
      <c r="BG3115" t="s">
        <v>20328</v>
      </c>
      <c r="BH3115" s="1">
        <v>175.14</v>
      </c>
      <c r="BI3115" s="1">
        <v>402000</v>
      </c>
      <c r="BJ3115" s="3">
        <v>42615</v>
      </c>
      <c r="BK3115" t="s">
        <v>123</v>
      </c>
      <c r="BL3115" t="str">
        <f>"2016.639773"</f>
        <v>2016.639773</v>
      </c>
      <c r="BM3115" t="s">
        <v>903</v>
      </c>
      <c r="BO3115" t="s">
        <v>20329</v>
      </c>
      <c r="BS3115">
        <v>30</v>
      </c>
      <c r="BW3115" t="str">
        <f>""</f>
        <v/>
      </c>
      <c r="CH3115" t="str">
        <f>""</f>
        <v/>
      </c>
      <c r="CS3115" t="str">
        <f>""</f>
        <v/>
      </c>
    </row>
    <row r="3116" spans="1:97" x14ac:dyDescent="0.25">
      <c r="A3116" t="s">
        <v>20330</v>
      </c>
      <c r="B3116" t="s">
        <v>10031</v>
      </c>
      <c r="C3116" t="s">
        <v>20331</v>
      </c>
      <c r="D3116" t="s">
        <v>10031</v>
      </c>
      <c r="E3116" t="s">
        <v>20332</v>
      </c>
      <c r="F3116" t="s">
        <v>108</v>
      </c>
      <c r="H3116" t="s">
        <v>20333</v>
      </c>
      <c r="I3116" t="s">
        <v>632</v>
      </c>
      <c r="J3116" t="s">
        <v>111</v>
      </c>
      <c r="K3116" t="str">
        <f>"85387"</f>
        <v>85387</v>
      </c>
      <c r="L3116" t="s">
        <v>6529</v>
      </c>
      <c r="M3116" t="s">
        <v>20333</v>
      </c>
      <c r="N3116" t="s">
        <v>632</v>
      </c>
      <c r="O3116" t="s">
        <v>111</v>
      </c>
      <c r="P3116" t="str">
        <f>"85387-1096"</f>
        <v>85387-1096</v>
      </c>
      <c r="Q3116" t="s">
        <v>113</v>
      </c>
      <c r="R3116" t="str">
        <f>"510-04-802"</f>
        <v>510-04-802</v>
      </c>
      <c r="S3116" t="s">
        <v>8907</v>
      </c>
      <c r="T3116" t="s">
        <v>5498</v>
      </c>
      <c r="U3116">
        <v>3308</v>
      </c>
      <c r="V3116">
        <v>0</v>
      </c>
      <c r="W3116">
        <v>4</v>
      </c>
      <c r="X3116">
        <v>2016</v>
      </c>
      <c r="Z3116">
        <v>2</v>
      </c>
      <c r="AB3116">
        <v>0</v>
      </c>
      <c r="AC3116" t="s">
        <v>115</v>
      </c>
      <c r="AD3116">
        <v>2</v>
      </c>
      <c r="AE3116" t="s">
        <v>115</v>
      </c>
      <c r="AF3116">
        <v>0</v>
      </c>
      <c r="AG3116">
        <v>0</v>
      </c>
      <c r="AH3116" t="s">
        <v>116</v>
      </c>
      <c r="AI3116" s="1">
        <v>72275</v>
      </c>
      <c r="AJ3116" s="2">
        <v>0.2</v>
      </c>
      <c r="AK3116" s="1">
        <v>367936</v>
      </c>
      <c r="AL3116" t="s">
        <v>117</v>
      </c>
      <c r="AM3116" t="s">
        <v>118</v>
      </c>
      <c r="AN3116">
        <v>9491</v>
      </c>
      <c r="AO3116">
        <v>0.22</v>
      </c>
      <c r="AR3116">
        <v>1</v>
      </c>
      <c r="AS3116" s="1">
        <v>27530</v>
      </c>
      <c r="AT3116" s="1">
        <v>5500</v>
      </c>
      <c r="AU3116" s="1">
        <v>22030</v>
      </c>
      <c r="AV3116">
        <v>80.02</v>
      </c>
      <c r="AX3116" s="1">
        <v>1595.18</v>
      </c>
      <c r="AY3116" t="s">
        <v>5499</v>
      </c>
      <c r="AZ3116" t="s">
        <v>5499</v>
      </c>
      <c r="BE3116" s="3">
        <v>42459</v>
      </c>
      <c r="BF3116" s="1">
        <v>286216</v>
      </c>
      <c r="BG3116" t="s">
        <v>6320</v>
      </c>
      <c r="BH3116" s="1">
        <v>86.52</v>
      </c>
      <c r="BI3116" s="1">
        <v>295661</v>
      </c>
      <c r="BJ3116" s="3">
        <v>42459</v>
      </c>
      <c r="BK3116" t="s">
        <v>123</v>
      </c>
      <c r="BL3116" t="str">
        <f>"2016.204980"</f>
        <v>2016.204980</v>
      </c>
      <c r="BM3116" t="s">
        <v>573</v>
      </c>
      <c r="BO3116" t="s">
        <v>20334</v>
      </c>
      <c r="BS3116">
        <v>30</v>
      </c>
      <c r="BW3116" t="str">
        <f>""</f>
        <v/>
      </c>
      <c r="CH3116" t="str">
        <f>""</f>
        <v/>
      </c>
      <c r="CS3116" t="str">
        <f>""</f>
        <v/>
      </c>
    </row>
    <row r="3117" spans="1:97" x14ac:dyDescent="0.25">
      <c r="A3117" t="s">
        <v>1308</v>
      </c>
      <c r="B3117" t="s">
        <v>20335</v>
      </c>
      <c r="C3117" t="s">
        <v>484</v>
      </c>
      <c r="D3117" t="s">
        <v>20335</v>
      </c>
      <c r="E3117" t="s">
        <v>20336</v>
      </c>
      <c r="F3117" t="s">
        <v>108</v>
      </c>
      <c r="H3117" t="s">
        <v>20337</v>
      </c>
      <c r="I3117" t="s">
        <v>144</v>
      </c>
      <c r="J3117" t="s">
        <v>111</v>
      </c>
      <c r="K3117" t="str">
        <f>"85396"</f>
        <v>85396</v>
      </c>
      <c r="L3117" t="s">
        <v>1244</v>
      </c>
      <c r="M3117" t="s">
        <v>20337</v>
      </c>
      <c r="N3117" t="s">
        <v>144</v>
      </c>
      <c r="O3117" t="s">
        <v>111</v>
      </c>
      <c r="P3117" t="str">
        <f>"85396-8396"</f>
        <v>85396-8396</v>
      </c>
      <c r="Q3117" t="s">
        <v>113</v>
      </c>
      <c r="R3117" t="str">
        <f>"502-81-118"</f>
        <v>502-81-118</v>
      </c>
      <c r="S3117" t="s">
        <v>15535</v>
      </c>
      <c r="U3117">
        <v>2413</v>
      </c>
      <c r="V3117">
        <v>0</v>
      </c>
      <c r="W3117">
        <v>3</v>
      </c>
      <c r="X3117">
        <v>2014</v>
      </c>
      <c r="Z3117">
        <v>1</v>
      </c>
      <c r="AB3117">
        <v>0</v>
      </c>
      <c r="AC3117" t="s">
        <v>115</v>
      </c>
      <c r="AD3117">
        <v>3</v>
      </c>
      <c r="AE3117" t="s">
        <v>115</v>
      </c>
      <c r="AF3117">
        <v>0</v>
      </c>
      <c r="AG3117">
        <v>0</v>
      </c>
      <c r="AH3117" t="s">
        <v>116</v>
      </c>
      <c r="AI3117" s="1">
        <v>73875</v>
      </c>
      <c r="AJ3117" s="2">
        <v>0.17</v>
      </c>
      <c r="AK3117" s="1">
        <v>427155</v>
      </c>
      <c r="AL3117" t="s">
        <v>117</v>
      </c>
      <c r="AM3117" t="s">
        <v>118</v>
      </c>
      <c r="AN3117">
        <v>10446</v>
      </c>
      <c r="AO3117">
        <v>0.24</v>
      </c>
      <c r="AR3117">
        <v>1</v>
      </c>
      <c r="AS3117" s="1">
        <v>31310</v>
      </c>
      <c r="AT3117" s="1">
        <v>6260</v>
      </c>
      <c r="AU3117" s="1">
        <v>25050</v>
      </c>
      <c r="AV3117">
        <v>80.010000000000005</v>
      </c>
      <c r="AX3117" s="1">
        <v>3866.32</v>
      </c>
      <c r="AY3117" t="s">
        <v>217</v>
      </c>
      <c r="AZ3117" t="s">
        <v>217</v>
      </c>
      <c r="BA3117" t="s">
        <v>218</v>
      </c>
      <c r="BE3117" s="3">
        <v>42227</v>
      </c>
      <c r="BF3117" s="1">
        <v>341995</v>
      </c>
      <c r="BG3117" t="s">
        <v>14540</v>
      </c>
      <c r="BH3117" s="1">
        <v>141.72999999999999</v>
      </c>
      <c r="BI3117" s="1">
        <v>353280</v>
      </c>
      <c r="BJ3117" s="3">
        <v>42227</v>
      </c>
      <c r="BK3117" t="s">
        <v>123</v>
      </c>
      <c r="BL3117" t="str">
        <f>"2015.579912"</f>
        <v>2015.579912</v>
      </c>
      <c r="BM3117" t="s">
        <v>6077</v>
      </c>
      <c r="BO3117" t="s">
        <v>20338</v>
      </c>
      <c r="BS3117">
        <v>30</v>
      </c>
      <c r="BW3117" t="str">
        <f>""</f>
        <v/>
      </c>
      <c r="CH3117" t="str">
        <f>""</f>
        <v/>
      </c>
      <c r="CS3117" t="str">
        <f>""</f>
        <v/>
      </c>
    </row>
    <row r="3118" spans="1:97" x14ac:dyDescent="0.25">
      <c r="A3118" t="s">
        <v>177</v>
      </c>
      <c r="B3118" t="s">
        <v>20339</v>
      </c>
      <c r="C3118" t="s">
        <v>1995</v>
      </c>
      <c r="D3118" t="s">
        <v>20340</v>
      </c>
      <c r="E3118" t="s">
        <v>20341</v>
      </c>
      <c r="F3118" t="s">
        <v>108</v>
      </c>
      <c r="H3118" t="s">
        <v>20342</v>
      </c>
      <c r="I3118" t="s">
        <v>203</v>
      </c>
      <c r="J3118" t="s">
        <v>111</v>
      </c>
      <c r="K3118" t="str">
        <f>"85298"</f>
        <v>85298</v>
      </c>
      <c r="L3118" t="s">
        <v>3318</v>
      </c>
      <c r="M3118" t="s">
        <v>20342</v>
      </c>
      <c r="N3118" t="s">
        <v>203</v>
      </c>
      <c r="O3118" t="s">
        <v>111</v>
      </c>
      <c r="P3118" t="str">
        <f>"85298"</f>
        <v>85298</v>
      </c>
      <c r="Q3118" t="s">
        <v>113</v>
      </c>
      <c r="R3118" t="str">
        <f>"304-80-079"</f>
        <v>304-80-079</v>
      </c>
      <c r="S3118" t="s">
        <v>9270</v>
      </c>
      <c r="T3118" t="s">
        <v>9270</v>
      </c>
      <c r="U3118">
        <v>2243</v>
      </c>
      <c r="V3118">
        <v>0</v>
      </c>
      <c r="W3118">
        <v>4</v>
      </c>
      <c r="X3118">
        <v>2013</v>
      </c>
      <c r="Z3118">
        <v>2</v>
      </c>
      <c r="AB3118">
        <v>0</v>
      </c>
      <c r="AC3118" t="s">
        <v>115</v>
      </c>
      <c r="AD3118">
        <v>2</v>
      </c>
      <c r="AE3118" t="s">
        <v>115</v>
      </c>
      <c r="AF3118">
        <v>0</v>
      </c>
      <c r="AG3118">
        <v>0</v>
      </c>
      <c r="AH3118" t="s">
        <v>116</v>
      </c>
      <c r="AI3118" s="1">
        <v>56173</v>
      </c>
      <c r="AJ3118" s="2">
        <v>0.16</v>
      </c>
      <c r="AK3118" s="1">
        <v>350448</v>
      </c>
      <c r="AL3118" t="s">
        <v>117</v>
      </c>
      <c r="AM3118" t="s">
        <v>191</v>
      </c>
      <c r="AN3118">
        <v>6325</v>
      </c>
      <c r="AO3118">
        <v>0.14000000000000001</v>
      </c>
      <c r="AR3118">
        <v>1</v>
      </c>
      <c r="AS3118" s="1">
        <v>23900</v>
      </c>
      <c r="AT3118" s="1">
        <v>4780</v>
      </c>
      <c r="AU3118" s="1">
        <v>19120</v>
      </c>
      <c r="AV3118">
        <v>80</v>
      </c>
      <c r="AX3118" s="1">
        <v>2011.1</v>
      </c>
      <c r="AY3118" t="s">
        <v>3699</v>
      </c>
      <c r="AZ3118" t="s">
        <v>273</v>
      </c>
      <c r="BA3118" t="s">
        <v>274</v>
      </c>
      <c r="BE3118" s="3">
        <v>42419</v>
      </c>
      <c r="BF3118" s="1">
        <v>285000</v>
      </c>
      <c r="BG3118" t="s">
        <v>20343</v>
      </c>
      <c r="BH3118" s="1">
        <v>127.06</v>
      </c>
      <c r="BI3118" s="1">
        <v>294275</v>
      </c>
      <c r="BJ3118" s="3">
        <v>43118</v>
      </c>
      <c r="BK3118" t="s">
        <v>123</v>
      </c>
      <c r="BL3118" t="str">
        <f>"2018.41881"</f>
        <v>2018.41881</v>
      </c>
      <c r="BM3118" t="s">
        <v>460</v>
      </c>
      <c r="BN3118" t="s">
        <v>461</v>
      </c>
      <c r="BO3118" t="s">
        <v>20344</v>
      </c>
      <c r="BP3118" t="s">
        <v>20345</v>
      </c>
      <c r="BR3118" t="s">
        <v>139</v>
      </c>
      <c r="BW3118" t="str">
        <f>""</f>
        <v/>
      </c>
      <c r="CH3118" t="str">
        <f>""</f>
        <v/>
      </c>
      <c r="CS3118" t="str">
        <f>""</f>
        <v/>
      </c>
    </row>
    <row r="3119" spans="1:97" x14ac:dyDescent="0.25">
      <c r="A3119" t="s">
        <v>370</v>
      </c>
      <c r="B3119" t="s">
        <v>20346</v>
      </c>
      <c r="E3119" t="s">
        <v>20347</v>
      </c>
      <c r="F3119" t="s">
        <v>108</v>
      </c>
      <c r="H3119" t="s">
        <v>20348</v>
      </c>
      <c r="I3119" t="s">
        <v>453</v>
      </c>
      <c r="J3119" t="s">
        <v>111</v>
      </c>
      <c r="K3119" t="str">
        <f>"85383"</f>
        <v>85383</v>
      </c>
      <c r="L3119" t="s">
        <v>7243</v>
      </c>
      <c r="M3119" t="s">
        <v>20348</v>
      </c>
      <c r="N3119" t="s">
        <v>453</v>
      </c>
      <c r="O3119" t="s">
        <v>111</v>
      </c>
      <c r="P3119" t="str">
        <f>"85383-4825"</f>
        <v>85383-4825</v>
      </c>
      <c r="Q3119" t="s">
        <v>113</v>
      </c>
      <c r="R3119" t="str">
        <f>"201-37-080"</f>
        <v>201-37-080</v>
      </c>
      <c r="S3119" t="s">
        <v>13120</v>
      </c>
      <c r="U3119">
        <v>2198</v>
      </c>
      <c r="V3119">
        <v>0</v>
      </c>
      <c r="W3119">
        <v>3</v>
      </c>
      <c r="X3119">
        <v>2004</v>
      </c>
      <c r="Z3119">
        <v>1</v>
      </c>
      <c r="AB3119">
        <v>0</v>
      </c>
      <c r="AC3119" t="s">
        <v>115</v>
      </c>
      <c r="AD3119">
        <v>2</v>
      </c>
      <c r="AE3119" t="s">
        <v>115</v>
      </c>
      <c r="AF3119">
        <v>0</v>
      </c>
      <c r="AG3119">
        <v>0</v>
      </c>
      <c r="AH3119" t="s">
        <v>116</v>
      </c>
      <c r="AI3119" s="1">
        <v>73156</v>
      </c>
      <c r="AJ3119" s="2">
        <v>0.22</v>
      </c>
      <c r="AK3119" s="1">
        <v>332439</v>
      </c>
      <c r="AL3119" t="s">
        <v>117</v>
      </c>
      <c r="AM3119" t="s">
        <v>118</v>
      </c>
      <c r="AN3119">
        <v>6050</v>
      </c>
      <c r="AO3119">
        <v>0.14000000000000001</v>
      </c>
      <c r="AP3119">
        <v>1</v>
      </c>
      <c r="AR3119">
        <v>1</v>
      </c>
      <c r="AS3119" s="1">
        <v>23900</v>
      </c>
      <c r="AT3119" s="1">
        <v>4780</v>
      </c>
      <c r="AU3119" s="1">
        <v>19120</v>
      </c>
      <c r="AV3119">
        <v>80</v>
      </c>
      <c r="AX3119" s="1">
        <v>2032.24</v>
      </c>
      <c r="AY3119" t="s">
        <v>8323</v>
      </c>
      <c r="AZ3119" t="s">
        <v>8323</v>
      </c>
      <c r="BA3119" t="s">
        <v>1386</v>
      </c>
      <c r="BE3119" s="3">
        <v>42139</v>
      </c>
      <c r="BF3119" s="1">
        <v>251000</v>
      </c>
      <c r="BG3119" t="s">
        <v>20349</v>
      </c>
      <c r="BH3119" s="1">
        <v>114.19</v>
      </c>
      <c r="BI3119" s="1">
        <v>259283</v>
      </c>
      <c r="BJ3119" s="3">
        <v>42139</v>
      </c>
      <c r="BK3119" t="s">
        <v>123</v>
      </c>
      <c r="BL3119" t="str">
        <f>"2015.342092"</f>
        <v>2015.342092</v>
      </c>
      <c r="BM3119" t="s">
        <v>7311</v>
      </c>
      <c r="BO3119" t="s">
        <v>20350</v>
      </c>
      <c r="BS3119">
        <v>30</v>
      </c>
      <c r="BW3119" t="str">
        <f>""</f>
        <v/>
      </c>
      <c r="CH3119" t="str">
        <f>""</f>
        <v/>
      </c>
      <c r="CS3119" t="str">
        <f>""</f>
        <v/>
      </c>
    </row>
    <row r="3120" spans="1:97" x14ac:dyDescent="0.25">
      <c r="A3120" t="s">
        <v>1187</v>
      </c>
      <c r="B3120" t="s">
        <v>13656</v>
      </c>
      <c r="C3120" t="s">
        <v>20351</v>
      </c>
      <c r="D3120" t="s">
        <v>13656</v>
      </c>
      <c r="E3120" t="s">
        <v>20352</v>
      </c>
      <c r="F3120" t="s">
        <v>108</v>
      </c>
      <c r="H3120" t="s">
        <v>20353</v>
      </c>
      <c r="I3120" t="s">
        <v>632</v>
      </c>
      <c r="J3120" t="s">
        <v>111</v>
      </c>
      <c r="K3120" t="str">
        <f>"85379"</f>
        <v>85379</v>
      </c>
      <c r="L3120" t="s">
        <v>2820</v>
      </c>
      <c r="M3120" t="s">
        <v>20353</v>
      </c>
      <c r="N3120" t="s">
        <v>632</v>
      </c>
      <c r="O3120" t="s">
        <v>111</v>
      </c>
      <c r="P3120" t="str">
        <f>"85379-8305"</f>
        <v>85379-8305</v>
      </c>
      <c r="Q3120" t="s">
        <v>113</v>
      </c>
      <c r="R3120" t="str">
        <f>"501-15-518"</f>
        <v>501-15-518</v>
      </c>
      <c r="S3120" t="s">
        <v>20354</v>
      </c>
      <c r="U3120">
        <v>2162</v>
      </c>
      <c r="V3120">
        <v>0</v>
      </c>
      <c r="W3120">
        <v>3</v>
      </c>
      <c r="X3120">
        <v>2004</v>
      </c>
      <c r="Z3120">
        <v>1</v>
      </c>
      <c r="AB3120">
        <v>0</v>
      </c>
      <c r="AC3120" t="s">
        <v>115</v>
      </c>
      <c r="AD3120">
        <v>3</v>
      </c>
      <c r="AE3120" t="s">
        <v>115</v>
      </c>
      <c r="AF3120">
        <v>0</v>
      </c>
      <c r="AG3120">
        <v>0</v>
      </c>
      <c r="AH3120" t="s">
        <v>116</v>
      </c>
      <c r="AI3120" s="1">
        <v>28249</v>
      </c>
      <c r="AJ3120" s="2">
        <v>0.1</v>
      </c>
      <c r="AK3120" s="1">
        <v>272249</v>
      </c>
      <c r="AL3120" t="s">
        <v>117</v>
      </c>
      <c r="AM3120" t="s">
        <v>5516</v>
      </c>
      <c r="AN3120">
        <v>6785</v>
      </c>
      <c r="AO3120">
        <v>0.16</v>
      </c>
      <c r="AP3120">
        <v>1</v>
      </c>
      <c r="AR3120">
        <v>1</v>
      </c>
      <c r="AS3120" s="1">
        <v>20050</v>
      </c>
      <c r="AT3120" s="1">
        <v>4010</v>
      </c>
      <c r="AU3120" s="1">
        <v>16040</v>
      </c>
      <c r="AV3120">
        <v>80</v>
      </c>
      <c r="AX3120" s="1">
        <v>1409.56</v>
      </c>
      <c r="AY3120" t="s">
        <v>5983</v>
      </c>
      <c r="AZ3120" t="s">
        <v>5983</v>
      </c>
      <c r="BA3120" t="s">
        <v>321</v>
      </c>
      <c r="BB3120" s="3">
        <v>42583</v>
      </c>
      <c r="BD3120" t="s">
        <v>480</v>
      </c>
      <c r="BE3120" s="3">
        <v>42515</v>
      </c>
      <c r="BF3120" s="1">
        <v>219900</v>
      </c>
      <c r="BG3120" t="s">
        <v>20355</v>
      </c>
      <c r="BH3120" s="1">
        <v>101.71</v>
      </c>
      <c r="BI3120" s="1">
        <v>244000</v>
      </c>
      <c r="BJ3120" s="3">
        <v>42956</v>
      </c>
      <c r="BK3120" t="s">
        <v>123</v>
      </c>
      <c r="BL3120" t="str">
        <f>"2017.584188"</f>
        <v>2017.584188</v>
      </c>
      <c r="BM3120" t="s">
        <v>17597</v>
      </c>
      <c r="BO3120" t="s">
        <v>20356</v>
      </c>
      <c r="BS3120">
        <v>30</v>
      </c>
      <c r="BW3120" t="str">
        <f>""</f>
        <v/>
      </c>
      <c r="CH3120" t="str">
        <f>""</f>
        <v/>
      </c>
      <c r="CS3120" t="str">
        <f>""</f>
        <v/>
      </c>
    </row>
    <row r="3121" spans="1:97" x14ac:dyDescent="0.25">
      <c r="A3121" t="s">
        <v>3641</v>
      </c>
      <c r="B3121" t="s">
        <v>252</v>
      </c>
      <c r="C3121" t="s">
        <v>3282</v>
      </c>
      <c r="D3121" t="s">
        <v>252</v>
      </c>
      <c r="E3121" t="s">
        <v>20357</v>
      </c>
      <c r="F3121" t="s">
        <v>108</v>
      </c>
      <c r="H3121" t="s">
        <v>20358</v>
      </c>
      <c r="I3121" t="s">
        <v>453</v>
      </c>
      <c r="J3121" t="s">
        <v>111</v>
      </c>
      <c r="K3121" t="str">
        <f>"85383"</f>
        <v>85383</v>
      </c>
      <c r="L3121" t="s">
        <v>6316</v>
      </c>
      <c r="M3121" t="s">
        <v>20358</v>
      </c>
      <c r="N3121" t="s">
        <v>453</v>
      </c>
      <c r="O3121" t="s">
        <v>111</v>
      </c>
      <c r="P3121" t="str">
        <f>"85383-2137"</f>
        <v>85383-2137</v>
      </c>
      <c r="Q3121" t="s">
        <v>113</v>
      </c>
      <c r="R3121" t="str">
        <f>"200-07-584"</f>
        <v>200-07-584</v>
      </c>
      <c r="S3121" t="s">
        <v>9975</v>
      </c>
      <c r="U3121">
        <v>2897</v>
      </c>
      <c r="V3121">
        <v>0</v>
      </c>
      <c r="W3121">
        <v>4</v>
      </c>
      <c r="X3121">
        <v>2002</v>
      </c>
      <c r="Z3121">
        <v>1</v>
      </c>
      <c r="AA3121" t="s">
        <v>26</v>
      </c>
      <c r="AB3121">
        <v>0</v>
      </c>
      <c r="AC3121" t="s">
        <v>115</v>
      </c>
      <c r="AD3121">
        <v>3</v>
      </c>
      <c r="AE3121" t="s">
        <v>115</v>
      </c>
      <c r="AF3121">
        <v>0</v>
      </c>
      <c r="AG3121">
        <v>0</v>
      </c>
      <c r="AH3121" t="s">
        <v>116</v>
      </c>
      <c r="AI3121" s="1">
        <v>89143</v>
      </c>
      <c r="AJ3121" s="2">
        <v>0.19</v>
      </c>
      <c r="AK3121" s="1">
        <v>467143</v>
      </c>
      <c r="AL3121" t="s">
        <v>117</v>
      </c>
      <c r="AM3121" t="s">
        <v>118</v>
      </c>
      <c r="AN3121">
        <v>13222</v>
      </c>
      <c r="AO3121">
        <v>0.3</v>
      </c>
      <c r="AP3121">
        <v>1</v>
      </c>
      <c r="AR3121">
        <v>1</v>
      </c>
      <c r="AS3121" s="1">
        <v>35050</v>
      </c>
      <c r="AT3121" s="1">
        <v>7010</v>
      </c>
      <c r="AU3121" s="1">
        <v>28040</v>
      </c>
      <c r="AV3121">
        <v>80</v>
      </c>
      <c r="AX3121" s="1">
        <v>3600.78</v>
      </c>
      <c r="AY3121" t="s">
        <v>4218</v>
      </c>
      <c r="AZ3121" t="s">
        <v>4218</v>
      </c>
      <c r="BA3121" t="s">
        <v>4219</v>
      </c>
      <c r="BE3121" s="3">
        <v>42153</v>
      </c>
      <c r="BF3121" s="1">
        <v>385000</v>
      </c>
      <c r="BG3121" t="s">
        <v>20359</v>
      </c>
      <c r="BH3121" s="1">
        <v>132.9</v>
      </c>
      <c r="BI3121" s="1">
        <v>378000</v>
      </c>
      <c r="BJ3121" s="3">
        <v>42601</v>
      </c>
      <c r="BK3121" t="s">
        <v>123</v>
      </c>
      <c r="BL3121" t="str">
        <f>"2016.596052"</f>
        <v>2016.596052</v>
      </c>
      <c r="BM3121" t="s">
        <v>2290</v>
      </c>
      <c r="BO3121" t="s">
        <v>20360</v>
      </c>
      <c r="BS3121">
        <v>30</v>
      </c>
      <c r="BW3121" t="str">
        <f>""</f>
        <v/>
      </c>
      <c r="CH3121" t="str">
        <f>""</f>
        <v/>
      </c>
      <c r="CS3121" t="str">
        <f>""</f>
        <v/>
      </c>
    </row>
    <row r="3122" spans="1:97" x14ac:dyDescent="0.25">
      <c r="A3122" t="s">
        <v>1344</v>
      </c>
      <c r="B3122" t="s">
        <v>4652</v>
      </c>
      <c r="E3122" t="s">
        <v>20361</v>
      </c>
      <c r="F3122" t="s">
        <v>108</v>
      </c>
      <c r="H3122" t="s">
        <v>20362</v>
      </c>
      <c r="I3122" t="s">
        <v>453</v>
      </c>
      <c r="J3122" t="s">
        <v>111</v>
      </c>
      <c r="K3122" t="str">
        <f>"85383"</f>
        <v>85383</v>
      </c>
      <c r="L3122" t="s">
        <v>7243</v>
      </c>
      <c r="M3122" t="s">
        <v>20362</v>
      </c>
      <c r="N3122" t="s">
        <v>453</v>
      </c>
      <c r="O3122" t="s">
        <v>111</v>
      </c>
      <c r="P3122" t="str">
        <f>"85383-6261"</f>
        <v>85383-6261</v>
      </c>
      <c r="Q3122" t="s">
        <v>113</v>
      </c>
      <c r="R3122" t="str">
        <f>"201-20-381"</f>
        <v>201-20-381</v>
      </c>
      <c r="S3122" t="s">
        <v>8847</v>
      </c>
      <c r="T3122" t="s">
        <v>8847</v>
      </c>
      <c r="U3122">
        <v>3273</v>
      </c>
      <c r="V3122">
        <v>0</v>
      </c>
      <c r="W3122">
        <v>5</v>
      </c>
      <c r="X3122">
        <v>2016</v>
      </c>
      <c r="Z3122">
        <v>2</v>
      </c>
      <c r="AB3122">
        <v>0</v>
      </c>
      <c r="AC3122" t="s">
        <v>115</v>
      </c>
      <c r="AD3122">
        <v>2</v>
      </c>
      <c r="AE3122" t="s">
        <v>115</v>
      </c>
      <c r="AF3122">
        <v>0</v>
      </c>
      <c r="AG3122">
        <v>0</v>
      </c>
      <c r="AH3122" t="s">
        <v>116</v>
      </c>
      <c r="AI3122" s="1">
        <v>40449</v>
      </c>
      <c r="AJ3122" s="2">
        <v>0.09</v>
      </c>
      <c r="AK3122" s="1">
        <v>449336</v>
      </c>
      <c r="AL3122" t="s">
        <v>117</v>
      </c>
      <c r="AM3122" t="s">
        <v>118</v>
      </c>
      <c r="AN3122">
        <v>7500</v>
      </c>
      <c r="AO3122">
        <v>0.17</v>
      </c>
      <c r="AR3122">
        <v>1</v>
      </c>
      <c r="AS3122" s="1">
        <v>35010</v>
      </c>
      <c r="AT3122" s="1">
        <v>7000</v>
      </c>
      <c r="AU3122" s="1">
        <v>28010</v>
      </c>
      <c r="AV3122">
        <v>80.010000000000005</v>
      </c>
      <c r="AX3122" s="1">
        <v>2759.52</v>
      </c>
      <c r="AY3122" t="s">
        <v>1385</v>
      </c>
      <c r="AZ3122" t="s">
        <v>1385</v>
      </c>
      <c r="BA3122" t="s">
        <v>1386</v>
      </c>
      <c r="BE3122" s="3">
        <v>42472</v>
      </c>
      <c r="BF3122" s="1">
        <v>401325</v>
      </c>
      <c r="BG3122" t="s">
        <v>158</v>
      </c>
      <c r="BH3122" s="1">
        <v>122.62</v>
      </c>
      <c r="BI3122" s="1">
        <v>408887</v>
      </c>
      <c r="BJ3122" s="3">
        <v>42472</v>
      </c>
      <c r="BK3122" t="s">
        <v>123</v>
      </c>
      <c r="BL3122" t="str">
        <f>"2016.240868"</f>
        <v>2016.240868</v>
      </c>
      <c r="BM3122" t="s">
        <v>241</v>
      </c>
      <c r="BO3122" t="s">
        <v>20363</v>
      </c>
      <c r="BS3122">
        <v>30</v>
      </c>
      <c r="BW3122" t="str">
        <f>""</f>
        <v/>
      </c>
      <c r="CH3122" t="str">
        <f>""</f>
        <v/>
      </c>
      <c r="CS3122" t="str">
        <f>""</f>
        <v/>
      </c>
    </row>
    <row r="3123" spans="1:97" x14ac:dyDescent="0.25">
      <c r="A3123" t="s">
        <v>7969</v>
      </c>
      <c r="B3123" t="s">
        <v>2402</v>
      </c>
      <c r="C3123" t="s">
        <v>2019</v>
      </c>
      <c r="D3123" t="s">
        <v>2402</v>
      </c>
      <c r="E3123" t="s">
        <v>20364</v>
      </c>
      <c r="F3123" t="s">
        <v>108</v>
      </c>
      <c r="H3123" t="s">
        <v>20365</v>
      </c>
      <c r="I3123" t="s">
        <v>110</v>
      </c>
      <c r="J3123" t="s">
        <v>111</v>
      </c>
      <c r="K3123" t="str">
        <f>"85224"</f>
        <v>85224</v>
      </c>
      <c r="L3123" t="s">
        <v>7746</v>
      </c>
      <c r="M3123" t="s">
        <v>20365</v>
      </c>
      <c r="N3123" t="s">
        <v>110</v>
      </c>
      <c r="O3123" t="s">
        <v>111</v>
      </c>
      <c r="P3123" t="str">
        <f>"85224-3922"</f>
        <v>85224-3922</v>
      </c>
      <c r="Q3123" t="s">
        <v>113</v>
      </c>
      <c r="R3123" t="str">
        <f>"310-01-321"</f>
        <v>310-01-321</v>
      </c>
      <c r="S3123" t="s">
        <v>18043</v>
      </c>
      <c r="T3123" t="s">
        <v>13679</v>
      </c>
      <c r="U3123">
        <v>3443</v>
      </c>
      <c r="V3123">
        <v>0</v>
      </c>
      <c r="W3123">
        <v>4</v>
      </c>
      <c r="X3123">
        <v>1991</v>
      </c>
      <c r="Z3123">
        <v>2</v>
      </c>
      <c r="AA3123" t="s">
        <v>26</v>
      </c>
      <c r="AB3123">
        <v>0</v>
      </c>
      <c r="AC3123" t="s">
        <v>115</v>
      </c>
      <c r="AD3123">
        <v>3</v>
      </c>
      <c r="AE3123" t="s">
        <v>115</v>
      </c>
      <c r="AF3123">
        <v>0</v>
      </c>
      <c r="AG3123">
        <v>0</v>
      </c>
      <c r="AH3123" t="s">
        <v>116</v>
      </c>
      <c r="AI3123" s="1">
        <v>122781</v>
      </c>
      <c r="AJ3123" s="2">
        <v>0.24</v>
      </c>
      <c r="AK3123" s="1">
        <v>510516</v>
      </c>
      <c r="AL3123" t="s">
        <v>117</v>
      </c>
      <c r="AM3123" t="s">
        <v>118</v>
      </c>
      <c r="AN3123">
        <v>11482</v>
      </c>
      <c r="AO3123">
        <v>0.26</v>
      </c>
      <c r="AP3123">
        <v>1</v>
      </c>
      <c r="AR3123">
        <v>1</v>
      </c>
      <c r="AS3123" s="1">
        <v>37400</v>
      </c>
      <c r="AT3123" s="1">
        <v>7480</v>
      </c>
      <c r="AU3123" s="1">
        <v>29920</v>
      </c>
      <c r="AV3123">
        <v>80</v>
      </c>
      <c r="AX3123" s="1">
        <v>2886.42</v>
      </c>
      <c r="AY3123" t="s">
        <v>7749</v>
      </c>
      <c r="AZ3123" t="s">
        <v>5078</v>
      </c>
      <c r="BA3123" t="s">
        <v>2957</v>
      </c>
      <c r="BE3123" s="3">
        <v>41774</v>
      </c>
      <c r="BF3123" s="1">
        <v>385000</v>
      </c>
      <c r="BG3123" t="s">
        <v>20366</v>
      </c>
      <c r="BH3123" s="1">
        <v>111.82</v>
      </c>
      <c r="BI3123" s="1">
        <v>387735</v>
      </c>
      <c r="BJ3123" s="3">
        <v>42543</v>
      </c>
      <c r="BK3123" t="s">
        <v>123</v>
      </c>
      <c r="BL3123" t="str">
        <f>"2016.436313"</f>
        <v>2016.436313</v>
      </c>
      <c r="BM3123" t="s">
        <v>1287</v>
      </c>
      <c r="BO3123" t="s">
        <v>20367</v>
      </c>
      <c r="BS3123">
        <v>30</v>
      </c>
      <c r="BW3123" t="str">
        <f>""</f>
        <v/>
      </c>
      <c r="CH3123" t="str">
        <f>""</f>
        <v/>
      </c>
      <c r="CS3123" t="str">
        <f>""</f>
        <v/>
      </c>
    </row>
    <row r="3124" spans="1:97" x14ac:dyDescent="0.25">
      <c r="A3124" t="s">
        <v>3395</v>
      </c>
      <c r="B3124" t="s">
        <v>20368</v>
      </c>
      <c r="C3124" t="s">
        <v>2762</v>
      </c>
      <c r="D3124" t="s">
        <v>20369</v>
      </c>
      <c r="E3124" t="s">
        <v>20370</v>
      </c>
      <c r="F3124" t="s">
        <v>108</v>
      </c>
      <c r="H3124" t="s">
        <v>20371</v>
      </c>
      <c r="I3124" t="s">
        <v>6646</v>
      </c>
      <c r="J3124" t="s">
        <v>111</v>
      </c>
      <c r="K3124" t="str">
        <f>"85086"</f>
        <v>85086</v>
      </c>
      <c r="L3124" t="s">
        <v>2015</v>
      </c>
      <c r="M3124" t="s">
        <v>20371</v>
      </c>
      <c r="N3124" t="s">
        <v>6646</v>
      </c>
      <c r="O3124" t="s">
        <v>111</v>
      </c>
      <c r="P3124" t="str">
        <f>"85086-1695"</f>
        <v>85086-1695</v>
      </c>
      <c r="Q3124" t="s">
        <v>113</v>
      </c>
      <c r="R3124" t="str">
        <f>"203-05-612"</f>
        <v>203-05-612</v>
      </c>
      <c r="S3124" t="s">
        <v>18109</v>
      </c>
      <c r="U3124">
        <v>1890</v>
      </c>
      <c r="V3124">
        <v>0</v>
      </c>
      <c r="W3124">
        <v>3</v>
      </c>
      <c r="X3124">
        <v>2000</v>
      </c>
      <c r="Z3124">
        <v>1</v>
      </c>
      <c r="AA3124" t="s">
        <v>26</v>
      </c>
      <c r="AB3124">
        <v>0</v>
      </c>
      <c r="AC3124" t="s">
        <v>115</v>
      </c>
      <c r="AD3124">
        <v>3</v>
      </c>
      <c r="AE3124" t="s">
        <v>115</v>
      </c>
      <c r="AF3124">
        <v>0</v>
      </c>
      <c r="AG3124">
        <v>0</v>
      </c>
      <c r="AH3124" t="s">
        <v>116</v>
      </c>
      <c r="AI3124" s="1">
        <v>44197</v>
      </c>
      <c r="AJ3124" s="2">
        <v>0.13</v>
      </c>
      <c r="AK3124" s="1">
        <v>344518</v>
      </c>
      <c r="AL3124" t="s">
        <v>117</v>
      </c>
      <c r="AM3124" t="s">
        <v>393</v>
      </c>
      <c r="AN3124">
        <v>8372</v>
      </c>
      <c r="AO3124">
        <v>0.19</v>
      </c>
      <c r="AP3124">
        <v>1</v>
      </c>
      <c r="AR3124">
        <v>1</v>
      </c>
      <c r="AS3124" s="1">
        <v>24770</v>
      </c>
      <c r="AT3124" s="1">
        <v>4950</v>
      </c>
      <c r="AU3124" s="1">
        <v>19820</v>
      </c>
      <c r="AV3124">
        <v>80.02</v>
      </c>
      <c r="AX3124" s="1">
        <v>2678.84</v>
      </c>
      <c r="AY3124" t="s">
        <v>6648</v>
      </c>
      <c r="AZ3124" t="s">
        <v>6648</v>
      </c>
      <c r="BA3124" t="s">
        <v>378</v>
      </c>
      <c r="BE3124" s="3">
        <v>42522</v>
      </c>
      <c r="BF3124" s="1">
        <v>294000</v>
      </c>
      <c r="BG3124" t="s">
        <v>20372</v>
      </c>
      <c r="BH3124" s="1">
        <v>155.56</v>
      </c>
      <c r="BI3124" s="1">
        <v>300321</v>
      </c>
      <c r="BJ3124" s="3">
        <v>42522</v>
      </c>
      <c r="BK3124" t="s">
        <v>123</v>
      </c>
      <c r="BL3124" t="str">
        <f>"2016.380442"</f>
        <v>2016.380442</v>
      </c>
      <c r="BM3124" t="s">
        <v>724</v>
      </c>
      <c r="BO3124" t="s">
        <v>20373</v>
      </c>
      <c r="BP3124" t="s">
        <v>20374</v>
      </c>
      <c r="BS3124">
        <v>30</v>
      </c>
      <c r="BW3124" t="str">
        <f>""</f>
        <v/>
      </c>
      <c r="CH3124" t="str">
        <f>""</f>
        <v/>
      </c>
      <c r="CS3124" t="str">
        <f>""</f>
        <v/>
      </c>
    </row>
    <row r="3125" spans="1:97" x14ac:dyDescent="0.25">
      <c r="A3125" t="s">
        <v>370</v>
      </c>
      <c r="B3125" t="s">
        <v>20375</v>
      </c>
      <c r="C3125" t="s">
        <v>3958</v>
      </c>
      <c r="D3125" t="s">
        <v>20375</v>
      </c>
      <c r="E3125" t="s">
        <v>20376</v>
      </c>
      <c r="F3125" t="s">
        <v>108</v>
      </c>
      <c r="H3125" t="s">
        <v>20377</v>
      </c>
      <c r="I3125" t="s">
        <v>453</v>
      </c>
      <c r="J3125" t="s">
        <v>111</v>
      </c>
      <c r="K3125" t="str">
        <f>"85383"</f>
        <v>85383</v>
      </c>
      <c r="L3125" t="s">
        <v>6316</v>
      </c>
      <c r="M3125" t="s">
        <v>20377</v>
      </c>
      <c r="N3125" t="s">
        <v>453</v>
      </c>
      <c r="O3125" t="s">
        <v>111</v>
      </c>
      <c r="P3125" t="str">
        <f>"85383-2172"</f>
        <v>85383-2172</v>
      </c>
      <c r="Q3125" t="s">
        <v>113</v>
      </c>
      <c r="R3125" t="str">
        <f>"200-07-172"</f>
        <v>200-07-172</v>
      </c>
      <c r="S3125" t="s">
        <v>9944</v>
      </c>
      <c r="T3125" t="s">
        <v>9944</v>
      </c>
      <c r="U3125">
        <v>3406</v>
      </c>
      <c r="V3125">
        <v>0</v>
      </c>
      <c r="W3125">
        <v>4</v>
      </c>
      <c r="X3125">
        <v>2000</v>
      </c>
      <c r="Z3125">
        <v>2</v>
      </c>
      <c r="AA3125" t="s">
        <v>26</v>
      </c>
      <c r="AB3125">
        <v>0</v>
      </c>
      <c r="AC3125" t="s">
        <v>115</v>
      </c>
      <c r="AD3125">
        <v>3</v>
      </c>
      <c r="AE3125" t="s">
        <v>115</v>
      </c>
      <c r="AF3125">
        <v>0</v>
      </c>
      <c r="AG3125">
        <v>0</v>
      </c>
      <c r="AH3125" t="s">
        <v>116</v>
      </c>
      <c r="AI3125" s="1">
        <v>112546</v>
      </c>
      <c r="AJ3125" s="2">
        <v>0.24</v>
      </c>
      <c r="AK3125" s="1">
        <v>474546</v>
      </c>
      <c r="AL3125" t="s">
        <v>117</v>
      </c>
      <c r="AM3125" t="s">
        <v>1302</v>
      </c>
      <c r="AN3125">
        <v>10660</v>
      </c>
      <c r="AO3125">
        <v>0.24</v>
      </c>
      <c r="AP3125">
        <v>1</v>
      </c>
      <c r="AR3125">
        <v>1</v>
      </c>
      <c r="AS3125" s="1">
        <v>35320</v>
      </c>
      <c r="AT3125" s="1">
        <v>7060</v>
      </c>
      <c r="AU3125" s="1">
        <v>28260</v>
      </c>
      <c r="AV3125">
        <v>80.010000000000005</v>
      </c>
      <c r="AX3125" s="1">
        <v>3688.12</v>
      </c>
      <c r="AY3125" t="s">
        <v>4218</v>
      </c>
      <c r="AZ3125" t="s">
        <v>4218</v>
      </c>
      <c r="BA3125" t="s">
        <v>4219</v>
      </c>
      <c r="BE3125" s="3">
        <v>41771</v>
      </c>
      <c r="BF3125" s="1">
        <v>377000</v>
      </c>
      <c r="BG3125" t="s">
        <v>20378</v>
      </c>
      <c r="BH3125" s="1">
        <v>110.69</v>
      </c>
      <c r="BI3125" s="1">
        <v>362000</v>
      </c>
      <c r="BJ3125" s="3">
        <v>42732</v>
      </c>
      <c r="BK3125" t="s">
        <v>123</v>
      </c>
      <c r="BL3125" t="str">
        <f>"2016.957453"</f>
        <v>2016.957453</v>
      </c>
      <c r="BM3125" t="s">
        <v>425</v>
      </c>
      <c r="BO3125" t="s">
        <v>20379</v>
      </c>
      <c r="BS3125">
        <v>30</v>
      </c>
      <c r="BW3125" t="str">
        <f>""</f>
        <v/>
      </c>
      <c r="CH3125" t="str">
        <f>""</f>
        <v/>
      </c>
      <c r="CS3125" t="str">
        <f>""</f>
        <v/>
      </c>
    </row>
    <row r="3126" spans="1:97" x14ac:dyDescent="0.25">
      <c r="A3126" t="s">
        <v>2729</v>
      </c>
      <c r="B3126" t="s">
        <v>20380</v>
      </c>
      <c r="C3126" t="s">
        <v>1366</v>
      </c>
      <c r="D3126" t="s">
        <v>20380</v>
      </c>
      <c r="E3126" t="s">
        <v>20381</v>
      </c>
      <c r="F3126" t="s">
        <v>108</v>
      </c>
      <c r="H3126" t="s">
        <v>20382</v>
      </c>
      <c r="I3126" t="s">
        <v>453</v>
      </c>
      <c r="J3126" t="s">
        <v>111</v>
      </c>
      <c r="K3126" t="str">
        <f>"85381"</f>
        <v>85381</v>
      </c>
      <c r="L3126" t="s">
        <v>1312</v>
      </c>
      <c r="M3126" t="s">
        <v>20382</v>
      </c>
      <c r="N3126" t="s">
        <v>453</v>
      </c>
      <c r="O3126" t="s">
        <v>111</v>
      </c>
      <c r="P3126" t="str">
        <f>"85381-8180"</f>
        <v>85381-8180</v>
      </c>
      <c r="Q3126" t="s">
        <v>113</v>
      </c>
      <c r="R3126" t="str">
        <f>"200-79-861"</f>
        <v>200-79-861</v>
      </c>
      <c r="S3126" t="s">
        <v>20383</v>
      </c>
      <c r="T3126" t="s">
        <v>20383</v>
      </c>
      <c r="U3126">
        <v>2041</v>
      </c>
      <c r="V3126">
        <v>0</v>
      </c>
      <c r="W3126">
        <v>3</v>
      </c>
      <c r="X3126">
        <v>1994</v>
      </c>
      <c r="Z3126">
        <v>1</v>
      </c>
      <c r="AB3126">
        <v>0</v>
      </c>
      <c r="AC3126" t="s">
        <v>115</v>
      </c>
      <c r="AD3126">
        <v>3</v>
      </c>
      <c r="AE3126" t="s">
        <v>115</v>
      </c>
      <c r="AF3126">
        <v>0</v>
      </c>
      <c r="AG3126">
        <v>0</v>
      </c>
      <c r="AH3126" t="s">
        <v>116</v>
      </c>
      <c r="AI3126" s="1">
        <v>79775</v>
      </c>
      <c r="AJ3126" s="2">
        <v>0.26</v>
      </c>
      <c r="AK3126" s="1">
        <v>310940</v>
      </c>
      <c r="AL3126" t="s">
        <v>117</v>
      </c>
      <c r="AM3126" t="s">
        <v>171</v>
      </c>
      <c r="AN3126">
        <v>8098</v>
      </c>
      <c r="AO3126">
        <v>0.19</v>
      </c>
      <c r="AP3126">
        <v>1</v>
      </c>
      <c r="AR3126">
        <v>1</v>
      </c>
      <c r="AS3126" s="1">
        <v>22600</v>
      </c>
      <c r="AT3126" s="1">
        <v>4520</v>
      </c>
      <c r="AU3126" s="1">
        <v>18080</v>
      </c>
      <c r="AV3126">
        <v>80</v>
      </c>
      <c r="AX3126" s="1">
        <v>1705.08</v>
      </c>
      <c r="AY3126" t="s">
        <v>5629</v>
      </c>
      <c r="AZ3126" t="s">
        <v>5629</v>
      </c>
      <c r="BA3126" t="s">
        <v>4007</v>
      </c>
      <c r="BE3126" s="3">
        <v>41990</v>
      </c>
      <c r="BF3126" s="1">
        <v>230000</v>
      </c>
      <c r="BG3126" t="s">
        <v>20384</v>
      </c>
      <c r="BH3126" s="1">
        <v>112.69</v>
      </c>
      <c r="BI3126" s="1">
        <v>231165</v>
      </c>
      <c r="BJ3126" s="3">
        <v>41990</v>
      </c>
      <c r="BK3126" t="s">
        <v>123</v>
      </c>
      <c r="BL3126" t="str">
        <f>"2014.829309"</f>
        <v>2014.829309</v>
      </c>
      <c r="BM3126" t="s">
        <v>5867</v>
      </c>
      <c r="BO3126" t="s">
        <v>20385</v>
      </c>
      <c r="BS3126">
        <v>30</v>
      </c>
      <c r="BW3126" t="str">
        <f>""</f>
        <v/>
      </c>
      <c r="CH3126" t="str">
        <f>""</f>
        <v/>
      </c>
      <c r="CS3126" t="str">
        <f>""</f>
        <v/>
      </c>
    </row>
    <row r="3127" spans="1:97" x14ac:dyDescent="0.25">
      <c r="A3127" t="s">
        <v>8500</v>
      </c>
      <c r="B3127" t="s">
        <v>3248</v>
      </c>
      <c r="C3127" t="s">
        <v>8540</v>
      </c>
      <c r="D3127" t="s">
        <v>3248</v>
      </c>
      <c r="E3127" t="s">
        <v>20386</v>
      </c>
      <c r="F3127" t="s">
        <v>108</v>
      </c>
      <c r="H3127" t="s">
        <v>20387</v>
      </c>
      <c r="I3127" t="s">
        <v>225</v>
      </c>
      <c r="J3127" t="s">
        <v>111</v>
      </c>
      <c r="K3127" t="str">
        <f>"85204"</f>
        <v>85204</v>
      </c>
      <c r="L3127" t="s">
        <v>6964</v>
      </c>
      <c r="M3127" t="s">
        <v>20387</v>
      </c>
      <c r="N3127" t="s">
        <v>225</v>
      </c>
      <c r="O3127" t="s">
        <v>111</v>
      </c>
      <c r="P3127" t="str">
        <f>"85204-5926"</f>
        <v>85204-5926</v>
      </c>
      <c r="Q3127" t="s">
        <v>113</v>
      </c>
      <c r="R3127" t="str">
        <f>"139-07-069"</f>
        <v>139-07-069</v>
      </c>
      <c r="S3127" t="s">
        <v>14329</v>
      </c>
      <c r="T3127" t="s">
        <v>14329</v>
      </c>
      <c r="U3127">
        <v>3601</v>
      </c>
      <c r="V3127">
        <v>0</v>
      </c>
      <c r="W3127">
        <v>4</v>
      </c>
      <c r="X3127">
        <v>1975</v>
      </c>
      <c r="Z3127">
        <v>2</v>
      </c>
      <c r="AA3127" t="s">
        <v>26</v>
      </c>
      <c r="AB3127">
        <v>0</v>
      </c>
      <c r="AC3127" t="s">
        <v>115</v>
      </c>
      <c r="AD3127">
        <v>2</v>
      </c>
      <c r="AE3127" t="s">
        <v>115</v>
      </c>
      <c r="AF3127">
        <v>0</v>
      </c>
      <c r="AG3127">
        <v>0</v>
      </c>
      <c r="AH3127" t="s">
        <v>116</v>
      </c>
      <c r="AI3127" s="1">
        <v>135891</v>
      </c>
      <c r="AJ3127" s="2">
        <v>0.32</v>
      </c>
      <c r="AK3127" s="1">
        <v>430891</v>
      </c>
      <c r="AL3127" t="s">
        <v>117</v>
      </c>
      <c r="AM3127" t="s">
        <v>917</v>
      </c>
      <c r="AN3127">
        <v>10197</v>
      </c>
      <c r="AO3127">
        <v>0.23</v>
      </c>
      <c r="AP3127">
        <v>1</v>
      </c>
      <c r="AR3127">
        <v>1</v>
      </c>
      <c r="AS3127" s="1">
        <v>32670</v>
      </c>
      <c r="AT3127" s="1">
        <v>6530</v>
      </c>
      <c r="AU3127" s="1">
        <v>26140</v>
      </c>
      <c r="AV3127">
        <v>80.010000000000005</v>
      </c>
      <c r="AX3127" s="1">
        <v>2016.44</v>
      </c>
      <c r="AY3127" t="s">
        <v>14330</v>
      </c>
      <c r="AZ3127" t="s">
        <v>5158</v>
      </c>
      <c r="BA3127" t="s">
        <v>5159</v>
      </c>
      <c r="BE3127" s="3">
        <v>42492</v>
      </c>
      <c r="BF3127" s="1">
        <v>295000</v>
      </c>
      <c r="BG3127" t="s">
        <v>20388</v>
      </c>
      <c r="BH3127" s="1">
        <v>81.92</v>
      </c>
      <c r="BI3127" s="1">
        <v>295000</v>
      </c>
      <c r="BJ3127" s="3">
        <v>42492</v>
      </c>
      <c r="BK3127" t="s">
        <v>123</v>
      </c>
      <c r="BL3127" t="str">
        <f>"2016.297390"</f>
        <v>2016.297390</v>
      </c>
      <c r="BM3127" t="s">
        <v>1154</v>
      </c>
      <c r="BO3127" t="s">
        <v>20389</v>
      </c>
      <c r="BS3127">
        <v>30</v>
      </c>
      <c r="BW3127" t="str">
        <f>""</f>
        <v/>
      </c>
      <c r="CH3127" t="str">
        <f>""</f>
        <v/>
      </c>
      <c r="CS3127" t="str">
        <f>""</f>
        <v/>
      </c>
    </row>
    <row r="3128" spans="1:97" x14ac:dyDescent="0.25">
      <c r="A3128" t="s">
        <v>1979</v>
      </c>
      <c r="B3128" t="s">
        <v>20390</v>
      </c>
      <c r="C3128" t="s">
        <v>933</v>
      </c>
      <c r="D3128" t="s">
        <v>20390</v>
      </c>
      <c r="E3128" t="s">
        <v>20391</v>
      </c>
      <c r="F3128" t="s">
        <v>282</v>
      </c>
      <c r="H3128" t="s">
        <v>20392</v>
      </c>
      <c r="I3128" t="s">
        <v>110</v>
      </c>
      <c r="J3128" t="s">
        <v>111</v>
      </c>
      <c r="K3128" t="str">
        <f>"85249"</f>
        <v>85249</v>
      </c>
      <c r="L3128" t="s">
        <v>3696</v>
      </c>
      <c r="M3128" t="s">
        <v>20393</v>
      </c>
      <c r="N3128" t="s">
        <v>203</v>
      </c>
      <c r="O3128" t="s">
        <v>111</v>
      </c>
      <c r="P3128" t="str">
        <f>"85298-8755"</f>
        <v>85298-8755</v>
      </c>
      <c r="Q3128" t="s">
        <v>113</v>
      </c>
      <c r="R3128" t="str">
        <f>"304-83-124"</f>
        <v>304-83-124</v>
      </c>
      <c r="S3128" t="s">
        <v>20394</v>
      </c>
      <c r="T3128" t="s">
        <v>18164</v>
      </c>
      <c r="U3128">
        <v>2566</v>
      </c>
      <c r="V3128">
        <v>0</v>
      </c>
      <c r="W3128">
        <v>4</v>
      </c>
      <c r="X3128">
        <v>2003</v>
      </c>
      <c r="Z3128">
        <v>1</v>
      </c>
      <c r="AB3128">
        <v>0</v>
      </c>
      <c r="AC3128" t="s">
        <v>115</v>
      </c>
      <c r="AD3128">
        <v>3</v>
      </c>
      <c r="AE3128" t="s">
        <v>115</v>
      </c>
      <c r="AF3128">
        <v>0</v>
      </c>
      <c r="AG3128">
        <v>0</v>
      </c>
      <c r="AH3128" t="s">
        <v>116</v>
      </c>
      <c r="AI3128" s="1">
        <v>53184</v>
      </c>
      <c r="AJ3128" s="2">
        <v>0.14000000000000001</v>
      </c>
      <c r="AK3128" s="1">
        <v>390975</v>
      </c>
      <c r="AL3128" t="s">
        <v>117</v>
      </c>
      <c r="AM3128" t="s">
        <v>118</v>
      </c>
      <c r="AN3128">
        <v>8320</v>
      </c>
      <c r="AO3128">
        <v>0.19</v>
      </c>
      <c r="AP3128">
        <v>1</v>
      </c>
      <c r="AR3128">
        <v>1</v>
      </c>
      <c r="AS3128" s="1">
        <v>27950</v>
      </c>
      <c r="AT3128" s="1">
        <v>5590</v>
      </c>
      <c r="AU3128" s="1">
        <v>22360</v>
      </c>
      <c r="AV3128">
        <v>80</v>
      </c>
      <c r="AX3128" s="1">
        <v>2387.86</v>
      </c>
      <c r="AY3128" t="s">
        <v>6269</v>
      </c>
      <c r="AZ3128" t="s">
        <v>273</v>
      </c>
      <c r="BA3128" t="s">
        <v>274</v>
      </c>
      <c r="BE3128" s="3">
        <v>42405</v>
      </c>
      <c r="BF3128" s="1">
        <v>327000</v>
      </c>
      <c r="BG3128" t="s">
        <v>20395</v>
      </c>
      <c r="BH3128" s="1">
        <v>127.44</v>
      </c>
      <c r="BI3128" s="1">
        <v>337791</v>
      </c>
      <c r="BJ3128" s="3">
        <v>42405</v>
      </c>
      <c r="BK3128" t="s">
        <v>123</v>
      </c>
      <c r="BL3128" t="str">
        <f>"2016.77266"</f>
        <v>2016.77266</v>
      </c>
      <c r="BM3128" t="s">
        <v>820</v>
      </c>
      <c r="BO3128" t="s">
        <v>20396</v>
      </c>
      <c r="BS3128">
        <v>30</v>
      </c>
      <c r="BW3128" t="str">
        <f>""</f>
        <v/>
      </c>
      <c r="CH3128" t="str">
        <f>""</f>
        <v/>
      </c>
      <c r="CS3128" t="str">
        <f>""</f>
        <v/>
      </c>
    </row>
    <row r="3129" spans="1:97" x14ac:dyDescent="0.25">
      <c r="B3129" t="s">
        <v>20397</v>
      </c>
      <c r="E3129" t="s">
        <v>869</v>
      </c>
      <c r="F3129" t="s">
        <v>139</v>
      </c>
      <c r="H3129" t="s">
        <v>20398</v>
      </c>
      <c r="I3129" t="s">
        <v>110</v>
      </c>
      <c r="J3129" t="s">
        <v>111</v>
      </c>
      <c r="K3129" t="str">
        <f>"85248"</f>
        <v>85248</v>
      </c>
      <c r="L3129" t="s">
        <v>9060</v>
      </c>
      <c r="M3129" t="s">
        <v>20398</v>
      </c>
      <c r="N3129" t="s">
        <v>110</v>
      </c>
      <c r="O3129" t="s">
        <v>111</v>
      </c>
      <c r="P3129" t="str">
        <f>"85248-4482"</f>
        <v>85248-4482</v>
      </c>
      <c r="Q3129" t="s">
        <v>113</v>
      </c>
      <c r="R3129" t="str">
        <f>"303-40-776"</f>
        <v>303-40-776</v>
      </c>
      <c r="S3129" t="s">
        <v>20399</v>
      </c>
      <c r="T3129" t="s">
        <v>9062</v>
      </c>
      <c r="U3129">
        <v>1866</v>
      </c>
      <c r="V3129">
        <v>0</v>
      </c>
      <c r="W3129">
        <v>3</v>
      </c>
      <c r="X3129">
        <v>2000</v>
      </c>
      <c r="Z3129">
        <v>1</v>
      </c>
      <c r="AB3129">
        <v>0</v>
      </c>
      <c r="AC3129" t="s">
        <v>115</v>
      </c>
      <c r="AD3129">
        <v>3</v>
      </c>
      <c r="AE3129" t="s">
        <v>115</v>
      </c>
      <c r="AF3129">
        <v>0</v>
      </c>
      <c r="AG3129">
        <v>0</v>
      </c>
      <c r="AH3129" t="s">
        <v>116</v>
      </c>
      <c r="AI3129" s="1">
        <v>95708</v>
      </c>
      <c r="AJ3129" s="2">
        <v>0.25</v>
      </c>
      <c r="AK3129" s="1">
        <v>382245</v>
      </c>
      <c r="AL3129" t="s">
        <v>117</v>
      </c>
      <c r="AM3129" t="s">
        <v>118</v>
      </c>
      <c r="AN3129">
        <v>7020</v>
      </c>
      <c r="AO3129">
        <v>0.16</v>
      </c>
      <c r="AP3129">
        <v>1</v>
      </c>
      <c r="AR3129">
        <v>1</v>
      </c>
      <c r="AS3129" s="1">
        <v>25420</v>
      </c>
      <c r="AT3129" s="1">
        <v>5080</v>
      </c>
      <c r="AU3129" s="1">
        <v>20340</v>
      </c>
      <c r="AV3129">
        <v>80.02</v>
      </c>
      <c r="AX3129" s="1">
        <v>2343.6799999999998</v>
      </c>
      <c r="AY3129" t="s">
        <v>9063</v>
      </c>
      <c r="AZ3129" t="s">
        <v>1882</v>
      </c>
      <c r="BA3129" t="s">
        <v>121</v>
      </c>
      <c r="BB3129" s="3">
        <v>43276</v>
      </c>
      <c r="BC3129" s="1">
        <v>0</v>
      </c>
      <c r="BD3129" t="s">
        <v>247</v>
      </c>
      <c r="BE3129" s="3">
        <v>42293</v>
      </c>
      <c r="BF3129" s="1">
        <v>315000</v>
      </c>
      <c r="BG3129" t="s">
        <v>20400</v>
      </c>
      <c r="BH3129" s="1">
        <v>168.81</v>
      </c>
      <c r="BI3129" s="1">
        <v>286537</v>
      </c>
      <c r="BJ3129" s="3">
        <v>42293</v>
      </c>
      <c r="BK3129" t="s">
        <v>123</v>
      </c>
      <c r="BL3129" t="str">
        <f>"2015.745240"</f>
        <v>2015.745240</v>
      </c>
      <c r="BM3129" t="s">
        <v>2489</v>
      </c>
      <c r="BN3129" t="s">
        <v>4819</v>
      </c>
      <c r="BO3129" t="s">
        <v>20401</v>
      </c>
      <c r="BS3129">
        <v>30</v>
      </c>
      <c r="BW3129" t="str">
        <f>""</f>
        <v/>
      </c>
      <c r="CH3129" t="str">
        <f>""</f>
        <v/>
      </c>
      <c r="CS3129" t="str">
        <f>""</f>
        <v/>
      </c>
    </row>
    <row r="3130" spans="1:97" x14ac:dyDescent="0.25">
      <c r="A3130" t="s">
        <v>305</v>
      </c>
      <c r="B3130" t="s">
        <v>20402</v>
      </c>
      <c r="C3130" t="s">
        <v>496</v>
      </c>
      <c r="D3130" t="s">
        <v>20402</v>
      </c>
      <c r="E3130" t="s">
        <v>20403</v>
      </c>
      <c r="F3130" t="s">
        <v>108</v>
      </c>
      <c r="H3130" t="s">
        <v>20404</v>
      </c>
      <c r="I3130" t="s">
        <v>188</v>
      </c>
      <c r="J3130" t="s">
        <v>111</v>
      </c>
      <c r="K3130" t="str">
        <f>"85142"</f>
        <v>85142</v>
      </c>
      <c r="L3130" t="s">
        <v>11339</v>
      </c>
      <c r="M3130" t="s">
        <v>20404</v>
      </c>
      <c r="N3130" t="s">
        <v>188</v>
      </c>
      <c r="O3130" t="s">
        <v>111</v>
      </c>
      <c r="P3130" t="str">
        <f>"85142-5487"</f>
        <v>85142-5487</v>
      </c>
      <c r="Q3130" t="s">
        <v>113</v>
      </c>
      <c r="R3130" t="str">
        <f>"304-62-544"</f>
        <v>304-62-544</v>
      </c>
      <c r="S3130" t="s">
        <v>15775</v>
      </c>
      <c r="T3130" t="s">
        <v>15775</v>
      </c>
      <c r="U3130">
        <v>2340</v>
      </c>
      <c r="V3130">
        <v>0</v>
      </c>
      <c r="W3130">
        <v>4</v>
      </c>
      <c r="X3130">
        <v>2013</v>
      </c>
      <c r="Z3130">
        <v>1</v>
      </c>
      <c r="AB3130">
        <v>0</v>
      </c>
      <c r="AC3130" t="s">
        <v>115</v>
      </c>
      <c r="AD3130">
        <v>3</v>
      </c>
      <c r="AE3130" t="s">
        <v>115</v>
      </c>
      <c r="AF3130">
        <v>0</v>
      </c>
      <c r="AG3130">
        <v>0</v>
      </c>
      <c r="AH3130" t="s">
        <v>116</v>
      </c>
      <c r="AI3130" s="1">
        <v>44103</v>
      </c>
      <c r="AJ3130" s="2">
        <v>0.11</v>
      </c>
      <c r="AK3130" s="1">
        <v>400606</v>
      </c>
      <c r="AL3130" t="s">
        <v>117</v>
      </c>
      <c r="AM3130" t="s">
        <v>171</v>
      </c>
      <c r="AN3130">
        <v>10690</v>
      </c>
      <c r="AO3130">
        <v>0.24</v>
      </c>
      <c r="AR3130">
        <v>1</v>
      </c>
      <c r="AS3130" s="1">
        <v>29110</v>
      </c>
      <c r="AT3130" s="1">
        <v>5820</v>
      </c>
      <c r="AU3130" s="1">
        <v>23290</v>
      </c>
      <c r="AV3130">
        <v>80.010000000000005</v>
      </c>
      <c r="AX3130" s="1">
        <v>3315.82</v>
      </c>
      <c r="AY3130" t="s">
        <v>560</v>
      </c>
      <c r="AZ3130" t="s">
        <v>561</v>
      </c>
      <c r="BA3130" t="s">
        <v>194</v>
      </c>
      <c r="BE3130" s="3">
        <v>42384</v>
      </c>
      <c r="BF3130" s="1">
        <v>349000</v>
      </c>
      <c r="BG3130" t="s">
        <v>20405</v>
      </c>
      <c r="BH3130" s="1">
        <v>149.15</v>
      </c>
      <c r="BI3130" s="1">
        <v>356503</v>
      </c>
      <c r="BJ3130" s="3">
        <v>42384</v>
      </c>
      <c r="BK3130" t="s">
        <v>123</v>
      </c>
      <c r="BL3130" t="str">
        <f>"2016.28016"</f>
        <v>2016.28016</v>
      </c>
      <c r="BM3130" t="s">
        <v>475</v>
      </c>
      <c r="BO3130" t="s">
        <v>20406</v>
      </c>
      <c r="BS3130">
        <v>30</v>
      </c>
      <c r="BW3130" t="str">
        <f>""</f>
        <v/>
      </c>
      <c r="CH3130" t="str">
        <f>""</f>
        <v/>
      </c>
      <c r="CS3130" t="str">
        <f>""</f>
        <v/>
      </c>
    </row>
    <row r="3131" spans="1:97" x14ac:dyDescent="0.25">
      <c r="A3131" t="s">
        <v>1850</v>
      </c>
      <c r="B3131" t="s">
        <v>20407</v>
      </c>
      <c r="C3131" t="s">
        <v>852</v>
      </c>
      <c r="D3131" t="s">
        <v>20408</v>
      </c>
      <c r="E3131" t="s">
        <v>20409</v>
      </c>
      <c r="F3131" t="s">
        <v>108</v>
      </c>
      <c r="H3131" t="s">
        <v>20410</v>
      </c>
      <c r="I3131" t="s">
        <v>2874</v>
      </c>
      <c r="J3131" t="s">
        <v>111</v>
      </c>
      <c r="K3131" t="str">
        <f>"85310"</f>
        <v>85310</v>
      </c>
      <c r="L3131" t="s">
        <v>5910</v>
      </c>
      <c r="M3131" t="s">
        <v>20410</v>
      </c>
      <c r="N3131" t="s">
        <v>2874</v>
      </c>
      <c r="O3131" t="s">
        <v>111</v>
      </c>
      <c r="P3131" t="str">
        <f>"85310-5928"</f>
        <v>85310-5928</v>
      </c>
      <c r="Q3131" t="s">
        <v>113</v>
      </c>
      <c r="R3131" t="str">
        <f>"231-17-349"</f>
        <v>231-17-349</v>
      </c>
      <c r="S3131" t="s">
        <v>20411</v>
      </c>
      <c r="T3131" t="s">
        <v>17500</v>
      </c>
      <c r="U3131">
        <v>2066</v>
      </c>
      <c r="V3131">
        <v>0</v>
      </c>
      <c r="W3131">
        <v>3</v>
      </c>
      <c r="X3131">
        <v>1996</v>
      </c>
      <c r="Z3131">
        <v>1</v>
      </c>
      <c r="AA3131" t="s">
        <v>26</v>
      </c>
      <c r="AB3131">
        <v>0</v>
      </c>
      <c r="AC3131" t="s">
        <v>115</v>
      </c>
      <c r="AD3131">
        <v>3</v>
      </c>
      <c r="AE3131" t="s">
        <v>115</v>
      </c>
      <c r="AF3131">
        <v>0</v>
      </c>
      <c r="AG3131">
        <v>0</v>
      </c>
      <c r="AH3131" t="s">
        <v>116</v>
      </c>
      <c r="AI3131" s="1">
        <v>76731</v>
      </c>
      <c r="AJ3131" s="2">
        <v>0.21</v>
      </c>
      <c r="AK3131" s="1">
        <v>373681</v>
      </c>
      <c r="AL3131" t="s">
        <v>117</v>
      </c>
      <c r="AM3131" t="s">
        <v>118</v>
      </c>
      <c r="AN3131">
        <v>12723</v>
      </c>
      <c r="AO3131">
        <v>0.28999999999999998</v>
      </c>
      <c r="AP3131">
        <v>1</v>
      </c>
      <c r="AR3131">
        <v>1</v>
      </c>
      <c r="AS3131" s="1">
        <v>28770</v>
      </c>
      <c r="AT3131" s="1">
        <v>5750</v>
      </c>
      <c r="AU3131" s="1">
        <v>23020</v>
      </c>
      <c r="AV3131">
        <v>80.010000000000005</v>
      </c>
      <c r="AX3131" s="1">
        <v>2577.42</v>
      </c>
      <c r="AY3131" t="s">
        <v>3048</v>
      </c>
      <c r="AZ3131" t="s">
        <v>3049</v>
      </c>
      <c r="BA3131" t="s">
        <v>2223</v>
      </c>
      <c r="BE3131" s="3">
        <v>42257</v>
      </c>
      <c r="BF3131" s="1">
        <v>297500</v>
      </c>
      <c r="BG3131" t="s">
        <v>20412</v>
      </c>
      <c r="BH3131" s="1">
        <v>144</v>
      </c>
      <c r="BI3131" s="1">
        <v>296950</v>
      </c>
      <c r="BJ3131" s="3">
        <v>42692</v>
      </c>
      <c r="BK3131" t="s">
        <v>123</v>
      </c>
      <c r="BL3131" t="str">
        <f>"2016.852886"</f>
        <v>2016.852886</v>
      </c>
      <c r="BM3131" t="s">
        <v>1154</v>
      </c>
      <c r="BO3131" t="s">
        <v>20413</v>
      </c>
      <c r="BP3131" t="s">
        <v>20414</v>
      </c>
      <c r="BS3131">
        <v>30</v>
      </c>
      <c r="BW3131" t="str">
        <f>""</f>
        <v/>
      </c>
      <c r="CH3131" t="str">
        <f>""</f>
        <v/>
      </c>
      <c r="CS3131" t="str">
        <f>""</f>
        <v/>
      </c>
    </row>
    <row r="3132" spans="1:97" x14ac:dyDescent="0.25">
      <c r="A3132" t="s">
        <v>6000</v>
      </c>
      <c r="B3132" t="s">
        <v>20415</v>
      </c>
      <c r="E3132" t="s">
        <v>20416</v>
      </c>
      <c r="F3132" t="s">
        <v>108</v>
      </c>
      <c r="H3132" t="s">
        <v>20417</v>
      </c>
      <c r="I3132" t="s">
        <v>499</v>
      </c>
      <c r="J3132" t="s">
        <v>111</v>
      </c>
      <c r="K3132" t="str">
        <f>"85338"</f>
        <v>85338</v>
      </c>
      <c r="L3132" t="s">
        <v>6416</v>
      </c>
      <c r="M3132" t="s">
        <v>20417</v>
      </c>
      <c r="N3132" t="s">
        <v>499</v>
      </c>
      <c r="O3132" t="s">
        <v>111</v>
      </c>
      <c r="P3132" t="str">
        <f>"85338-7678"</f>
        <v>85338-7678</v>
      </c>
      <c r="Q3132" t="s">
        <v>113</v>
      </c>
      <c r="R3132" t="str">
        <f>"400-82-593"</f>
        <v>400-82-593</v>
      </c>
      <c r="S3132" t="s">
        <v>20418</v>
      </c>
      <c r="T3132" t="s">
        <v>17252</v>
      </c>
      <c r="U3132">
        <v>2184</v>
      </c>
      <c r="V3132">
        <v>0</v>
      </c>
      <c r="W3132">
        <v>3</v>
      </c>
      <c r="X3132">
        <v>2010</v>
      </c>
      <c r="Z3132">
        <v>1</v>
      </c>
      <c r="AB3132">
        <v>0</v>
      </c>
      <c r="AC3132" t="s">
        <v>115</v>
      </c>
      <c r="AD3132">
        <v>3</v>
      </c>
      <c r="AE3132" t="s">
        <v>115</v>
      </c>
      <c r="AF3132">
        <v>0</v>
      </c>
      <c r="AG3132">
        <v>0</v>
      </c>
      <c r="AH3132" t="s">
        <v>116</v>
      </c>
      <c r="AI3132" s="1">
        <v>84778</v>
      </c>
      <c r="AJ3132" s="2">
        <v>0.25</v>
      </c>
      <c r="AK3132" s="1">
        <v>337828</v>
      </c>
      <c r="AL3132" t="s">
        <v>117</v>
      </c>
      <c r="AM3132" t="s">
        <v>118</v>
      </c>
      <c r="AN3132">
        <v>8190</v>
      </c>
      <c r="AO3132">
        <v>0.19</v>
      </c>
      <c r="AR3132">
        <v>1</v>
      </c>
      <c r="AS3132" s="1">
        <v>23700</v>
      </c>
      <c r="AT3132" s="1">
        <v>4740</v>
      </c>
      <c r="AU3132" s="1">
        <v>18960</v>
      </c>
      <c r="AV3132">
        <v>80</v>
      </c>
      <c r="AX3132" s="1">
        <v>2692.34</v>
      </c>
      <c r="AY3132" t="s">
        <v>1246</v>
      </c>
      <c r="AZ3132" t="s">
        <v>1246</v>
      </c>
      <c r="BA3132" t="s">
        <v>1247</v>
      </c>
      <c r="BE3132" s="3">
        <v>42047</v>
      </c>
      <c r="BF3132" s="1">
        <v>245000</v>
      </c>
      <c r="BG3132" t="s">
        <v>17736</v>
      </c>
      <c r="BH3132" s="1">
        <v>112.18</v>
      </c>
      <c r="BI3132" s="1">
        <v>253050</v>
      </c>
      <c r="BJ3132" s="3">
        <v>42047</v>
      </c>
      <c r="BK3132" t="s">
        <v>123</v>
      </c>
      <c r="BL3132" t="str">
        <f>"2015.92883"</f>
        <v>2015.92883</v>
      </c>
      <c r="BM3132" t="s">
        <v>124</v>
      </c>
      <c r="BO3132" t="s">
        <v>20419</v>
      </c>
      <c r="BS3132">
        <v>30</v>
      </c>
      <c r="BW3132" t="str">
        <f>""</f>
        <v/>
      </c>
      <c r="CH3132" t="str">
        <f>""</f>
        <v/>
      </c>
      <c r="CS3132" t="str">
        <f>""</f>
        <v/>
      </c>
    </row>
    <row r="3133" spans="1:97" x14ac:dyDescent="0.25">
      <c r="A3133" t="s">
        <v>15865</v>
      </c>
      <c r="B3133" t="s">
        <v>20420</v>
      </c>
      <c r="C3133" t="s">
        <v>1649</v>
      </c>
      <c r="D3133" t="s">
        <v>20420</v>
      </c>
      <c r="E3133" t="s">
        <v>20421</v>
      </c>
      <c r="F3133" t="s">
        <v>108</v>
      </c>
      <c r="H3133" t="s">
        <v>20422</v>
      </c>
      <c r="I3133" t="s">
        <v>203</v>
      </c>
      <c r="J3133" t="s">
        <v>111</v>
      </c>
      <c r="K3133" t="str">
        <f>"85298"</f>
        <v>85298</v>
      </c>
      <c r="L3133" t="s">
        <v>1130</v>
      </c>
      <c r="M3133" t="s">
        <v>20422</v>
      </c>
      <c r="N3133" t="s">
        <v>203</v>
      </c>
      <c r="O3133" t="s">
        <v>111</v>
      </c>
      <c r="P3133" t="str">
        <f>"85298-8724"</f>
        <v>85298-8724</v>
      </c>
      <c r="Q3133" t="s">
        <v>113</v>
      </c>
      <c r="R3133" t="str">
        <f>"304-77-228"</f>
        <v>304-77-228</v>
      </c>
      <c r="S3133" t="s">
        <v>14495</v>
      </c>
      <c r="U3133">
        <v>3433</v>
      </c>
      <c r="V3133">
        <v>0</v>
      </c>
      <c r="W3133">
        <v>4</v>
      </c>
      <c r="X3133">
        <v>2006</v>
      </c>
      <c r="Z3133">
        <v>2</v>
      </c>
      <c r="AA3133" t="s">
        <v>26</v>
      </c>
      <c r="AB3133">
        <v>0</v>
      </c>
      <c r="AC3133" t="s">
        <v>115</v>
      </c>
      <c r="AD3133">
        <v>3</v>
      </c>
      <c r="AE3133" t="s">
        <v>115</v>
      </c>
      <c r="AF3133">
        <v>0</v>
      </c>
      <c r="AG3133">
        <v>0</v>
      </c>
      <c r="AH3133" t="s">
        <v>116</v>
      </c>
      <c r="AI3133" s="1">
        <v>101393</v>
      </c>
      <c r="AJ3133" s="2">
        <v>0.22</v>
      </c>
      <c r="AK3133" s="1">
        <v>458393</v>
      </c>
      <c r="AL3133" t="s">
        <v>117</v>
      </c>
      <c r="AM3133" t="s">
        <v>393</v>
      </c>
      <c r="AN3133">
        <v>8222</v>
      </c>
      <c r="AO3133">
        <v>0.19</v>
      </c>
      <c r="AR3133">
        <v>1</v>
      </c>
      <c r="AS3133" s="1">
        <v>32580</v>
      </c>
      <c r="AT3133" s="1">
        <v>6510</v>
      </c>
      <c r="AU3133" s="1">
        <v>26070</v>
      </c>
      <c r="AV3133">
        <v>80.02</v>
      </c>
      <c r="AX3133" s="1">
        <v>2842.14</v>
      </c>
      <c r="AY3133" t="s">
        <v>2214</v>
      </c>
      <c r="AZ3133" t="s">
        <v>1134</v>
      </c>
      <c r="BA3133" t="s">
        <v>1134</v>
      </c>
      <c r="BE3133" s="3">
        <v>42355</v>
      </c>
      <c r="BF3133" s="1">
        <v>367000</v>
      </c>
      <c r="BG3133" t="s">
        <v>20423</v>
      </c>
      <c r="BH3133" s="1">
        <v>106.9</v>
      </c>
      <c r="BI3133" s="1">
        <v>357000</v>
      </c>
      <c r="BJ3133" s="3">
        <v>42355</v>
      </c>
      <c r="BK3133" t="s">
        <v>123</v>
      </c>
      <c r="BL3133" t="str">
        <f>"2015.892232"</f>
        <v>2015.892232</v>
      </c>
      <c r="BM3133" t="s">
        <v>544</v>
      </c>
      <c r="BO3133" t="s">
        <v>20424</v>
      </c>
      <c r="BS3133">
        <v>30</v>
      </c>
      <c r="BW3133" t="str">
        <f>""</f>
        <v/>
      </c>
      <c r="CH3133" t="str">
        <f>""</f>
        <v/>
      </c>
      <c r="CS3133" t="str">
        <f>""</f>
        <v/>
      </c>
    </row>
    <row r="3134" spans="1:97" x14ac:dyDescent="0.25">
      <c r="A3134" t="s">
        <v>1009</v>
      </c>
      <c r="B3134" t="s">
        <v>20425</v>
      </c>
      <c r="C3134" t="s">
        <v>5560</v>
      </c>
      <c r="D3134" t="s">
        <v>20425</v>
      </c>
      <c r="E3134" t="s">
        <v>20426</v>
      </c>
      <c r="F3134" t="s">
        <v>108</v>
      </c>
      <c r="H3134" t="s">
        <v>20427</v>
      </c>
      <c r="I3134" t="s">
        <v>390</v>
      </c>
      <c r="J3134" t="s">
        <v>111</v>
      </c>
      <c r="K3134" t="str">
        <f>"85050"</f>
        <v>85050</v>
      </c>
      <c r="L3134" t="s">
        <v>6308</v>
      </c>
      <c r="M3134" t="s">
        <v>20427</v>
      </c>
      <c r="N3134" t="s">
        <v>390</v>
      </c>
      <c r="O3134" t="s">
        <v>111</v>
      </c>
      <c r="P3134" t="str">
        <f>"85050-8900"</f>
        <v>85050-8900</v>
      </c>
      <c r="Q3134" t="s">
        <v>113</v>
      </c>
      <c r="R3134" t="str">
        <f>"212-09-730"</f>
        <v>212-09-730</v>
      </c>
      <c r="S3134" t="s">
        <v>20428</v>
      </c>
      <c r="T3134" t="s">
        <v>6360</v>
      </c>
      <c r="U3134">
        <v>2069</v>
      </c>
      <c r="V3134">
        <v>0</v>
      </c>
      <c r="W3134">
        <v>3</v>
      </c>
      <c r="X3134">
        <v>1997</v>
      </c>
      <c r="Z3134">
        <v>1</v>
      </c>
      <c r="AA3134" t="s">
        <v>26</v>
      </c>
      <c r="AB3134">
        <v>0</v>
      </c>
      <c r="AC3134" t="s">
        <v>115</v>
      </c>
      <c r="AD3134">
        <v>2</v>
      </c>
      <c r="AE3134" t="s">
        <v>115</v>
      </c>
      <c r="AF3134">
        <v>0</v>
      </c>
      <c r="AG3134">
        <v>0</v>
      </c>
      <c r="AH3134" t="s">
        <v>116</v>
      </c>
      <c r="AI3134" s="1">
        <v>89758</v>
      </c>
      <c r="AJ3134" s="2">
        <v>0.21</v>
      </c>
      <c r="AK3134" s="1">
        <v>424708</v>
      </c>
      <c r="AL3134" t="s">
        <v>117</v>
      </c>
      <c r="AM3134" t="s">
        <v>191</v>
      </c>
      <c r="AN3134">
        <v>6778</v>
      </c>
      <c r="AO3134">
        <v>0.16</v>
      </c>
      <c r="AP3134">
        <v>1</v>
      </c>
      <c r="AR3134">
        <v>1</v>
      </c>
      <c r="AS3134" s="1">
        <v>31810</v>
      </c>
      <c r="AT3134" s="1">
        <v>6360</v>
      </c>
      <c r="AU3134" s="1">
        <v>25450</v>
      </c>
      <c r="AV3134">
        <v>80.010000000000005</v>
      </c>
      <c r="AX3134" s="1">
        <v>3123.1</v>
      </c>
      <c r="AY3134" t="s">
        <v>7995</v>
      </c>
      <c r="AZ3134" t="s">
        <v>6352</v>
      </c>
      <c r="BA3134" t="s">
        <v>762</v>
      </c>
      <c r="BE3134" s="3">
        <v>42514</v>
      </c>
      <c r="BF3134" s="1">
        <v>360000</v>
      </c>
      <c r="BG3134" t="s">
        <v>20429</v>
      </c>
      <c r="BH3134" s="1">
        <v>174</v>
      </c>
      <c r="BI3134" s="1">
        <v>334950</v>
      </c>
      <c r="BJ3134" s="3">
        <v>42514</v>
      </c>
      <c r="BK3134" t="s">
        <v>123</v>
      </c>
      <c r="BL3134" t="str">
        <f>"2016.356140"</f>
        <v>2016.356140</v>
      </c>
      <c r="BM3134" t="s">
        <v>724</v>
      </c>
      <c r="BO3134" t="s">
        <v>20430</v>
      </c>
      <c r="BS3134">
        <v>30</v>
      </c>
      <c r="BW3134" t="str">
        <f>""</f>
        <v/>
      </c>
      <c r="CH3134" t="str">
        <f>""</f>
        <v/>
      </c>
      <c r="CS3134" t="str">
        <f>""</f>
        <v/>
      </c>
    </row>
    <row r="3135" spans="1:97" x14ac:dyDescent="0.25">
      <c r="A3135" t="s">
        <v>370</v>
      </c>
      <c r="B3135" t="s">
        <v>19003</v>
      </c>
      <c r="C3135" t="s">
        <v>2019</v>
      </c>
      <c r="D3135" t="s">
        <v>19003</v>
      </c>
      <c r="E3135" t="s">
        <v>20431</v>
      </c>
      <c r="F3135" t="s">
        <v>108</v>
      </c>
      <c r="H3135" t="s">
        <v>20432</v>
      </c>
      <c r="I3135" t="s">
        <v>225</v>
      </c>
      <c r="J3135" t="s">
        <v>111</v>
      </c>
      <c r="K3135" t="str">
        <f>"85205"</f>
        <v>85205</v>
      </c>
      <c r="L3135" t="s">
        <v>3982</v>
      </c>
      <c r="M3135" t="s">
        <v>20432</v>
      </c>
      <c r="N3135" t="s">
        <v>225</v>
      </c>
      <c r="O3135" t="s">
        <v>111</v>
      </c>
      <c r="P3135" t="str">
        <f>"85205-4521"</f>
        <v>85205-4521</v>
      </c>
      <c r="Q3135" t="s">
        <v>113</v>
      </c>
      <c r="R3135" t="str">
        <f>"141-65-158"</f>
        <v>141-65-158</v>
      </c>
      <c r="S3135" t="s">
        <v>15648</v>
      </c>
      <c r="T3135" t="s">
        <v>15649</v>
      </c>
      <c r="U3135">
        <v>1791</v>
      </c>
      <c r="V3135">
        <v>0</v>
      </c>
      <c r="W3135">
        <v>2</v>
      </c>
      <c r="X3135">
        <v>1980</v>
      </c>
      <c r="Z3135">
        <v>1</v>
      </c>
      <c r="AB3135">
        <v>0</v>
      </c>
      <c r="AC3135" t="s">
        <v>115</v>
      </c>
      <c r="AD3135">
        <v>2</v>
      </c>
      <c r="AE3135" t="s">
        <v>115</v>
      </c>
      <c r="AF3135">
        <v>0</v>
      </c>
      <c r="AG3135">
        <v>0</v>
      </c>
      <c r="AH3135" t="s">
        <v>116</v>
      </c>
      <c r="AI3135" s="1">
        <v>16973</v>
      </c>
      <c r="AJ3135" s="2">
        <v>0.06</v>
      </c>
      <c r="AK3135" s="1">
        <v>287532</v>
      </c>
      <c r="AL3135" t="s">
        <v>117</v>
      </c>
      <c r="AM3135" t="s">
        <v>917</v>
      </c>
      <c r="AN3135">
        <v>12057</v>
      </c>
      <c r="AO3135">
        <v>0.28000000000000003</v>
      </c>
      <c r="AP3135">
        <v>1</v>
      </c>
      <c r="AR3135">
        <v>1</v>
      </c>
      <c r="AS3135" s="1">
        <v>18860</v>
      </c>
      <c r="AT3135" s="1">
        <v>3770</v>
      </c>
      <c r="AU3135" s="1">
        <v>15090</v>
      </c>
      <c r="AV3135">
        <v>80.010000000000005</v>
      </c>
      <c r="AX3135" s="1">
        <v>1622.08</v>
      </c>
      <c r="AY3135" t="s">
        <v>5274</v>
      </c>
      <c r="AZ3135" t="s">
        <v>5275</v>
      </c>
      <c r="BA3135" t="s">
        <v>3119</v>
      </c>
      <c r="BE3135" s="3">
        <v>41809</v>
      </c>
      <c r="BF3135" s="1">
        <v>205000</v>
      </c>
      <c r="BG3135" t="s">
        <v>20433</v>
      </c>
      <c r="BH3135" s="1">
        <v>114.46</v>
      </c>
      <c r="BI3135" s="1">
        <v>270559</v>
      </c>
      <c r="BJ3135" s="3">
        <v>42874</v>
      </c>
      <c r="BK3135" t="s">
        <v>123</v>
      </c>
      <c r="BL3135" t="str">
        <f>"2017.364714"</f>
        <v>2017.364714</v>
      </c>
      <c r="BM3135" t="s">
        <v>544</v>
      </c>
      <c r="BN3135" t="s">
        <v>545</v>
      </c>
      <c r="BO3135" t="s">
        <v>20434</v>
      </c>
      <c r="BS3135">
        <v>30</v>
      </c>
      <c r="BT3135" s="1">
        <v>270559</v>
      </c>
      <c r="BU3135" s="3">
        <v>42874</v>
      </c>
      <c r="BV3135" t="s">
        <v>123</v>
      </c>
      <c r="BW3135" t="str">
        <f>"2017.364714"</f>
        <v>2017.364714</v>
      </c>
      <c r="BX3135" t="s">
        <v>544</v>
      </c>
      <c r="BZ3135" t="s">
        <v>20434</v>
      </c>
      <c r="CD3135">
        <v>30</v>
      </c>
      <c r="CH3135" t="str">
        <f>""</f>
        <v/>
      </c>
      <c r="CS3135" t="str">
        <f>""</f>
        <v/>
      </c>
    </row>
    <row r="3136" spans="1:97" x14ac:dyDescent="0.25">
      <c r="A3136" t="s">
        <v>3613</v>
      </c>
      <c r="B3136" t="s">
        <v>6807</v>
      </c>
      <c r="C3136" t="s">
        <v>7797</v>
      </c>
      <c r="D3136" t="s">
        <v>20435</v>
      </c>
      <c r="E3136" t="s">
        <v>20436</v>
      </c>
      <c r="F3136" t="s">
        <v>108</v>
      </c>
      <c r="H3136" t="s">
        <v>20437</v>
      </c>
      <c r="I3136" t="s">
        <v>1936</v>
      </c>
      <c r="J3136" t="s">
        <v>111</v>
      </c>
      <c r="K3136" t="str">
        <f>"85260"</f>
        <v>85260</v>
      </c>
      <c r="L3136" t="s">
        <v>9368</v>
      </c>
      <c r="M3136" t="s">
        <v>20437</v>
      </c>
      <c r="N3136" t="s">
        <v>1936</v>
      </c>
      <c r="O3136" t="s">
        <v>111</v>
      </c>
      <c r="P3136" t="str">
        <f>"85260-3548"</f>
        <v>85260-3548</v>
      </c>
      <c r="Q3136" t="s">
        <v>113</v>
      </c>
      <c r="R3136" t="str">
        <f>"175-02-049"</f>
        <v>175-02-049</v>
      </c>
      <c r="S3136" t="s">
        <v>20438</v>
      </c>
      <c r="T3136" t="s">
        <v>7818</v>
      </c>
      <c r="U3136">
        <v>2822</v>
      </c>
      <c r="V3136">
        <v>0</v>
      </c>
      <c r="W3136">
        <v>4</v>
      </c>
      <c r="X3136">
        <v>1980</v>
      </c>
      <c r="Z3136">
        <v>1</v>
      </c>
      <c r="AA3136" t="s">
        <v>26</v>
      </c>
      <c r="AB3136">
        <v>0</v>
      </c>
      <c r="AC3136" t="s">
        <v>115</v>
      </c>
      <c r="AD3136">
        <v>2</v>
      </c>
      <c r="AE3136" t="s">
        <v>115</v>
      </c>
      <c r="AF3136">
        <v>0</v>
      </c>
      <c r="AG3136">
        <v>0</v>
      </c>
      <c r="AH3136" t="s">
        <v>116</v>
      </c>
      <c r="AI3136" s="1">
        <v>325358</v>
      </c>
      <c r="AJ3136" s="2">
        <v>0.36</v>
      </c>
      <c r="AK3136" s="1">
        <v>906233</v>
      </c>
      <c r="AL3136" t="s">
        <v>117</v>
      </c>
      <c r="AM3136" t="s">
        <v>3973</v>
      </c>
      <c r="AN3136">
        <v>35918</v>
      </c>
      <c r="AO3136">
        <v>0.82</v>
      </c>
      <c r="AP3136">
        <v>1</v>
      </c>
      <c r="AR3136">
        <v>1</v>
      </c>
      <c r="AS3136" s="1">
        <v>79960</v>
      </c>
      <c r="AT3136" s="1">
        <v>15990</v>
      </c>
      <c r="AU3136" s="1">
        <v>63970</v>
      </c>
      <c r="AV3136">
        <v>80</v>
      </c>
      <c r="AX3136" s="1">
        <v>6017.24</v>
      </c>
      <c r="AY3136" t="s">
        <v>8787</v>
      </c>
      <c r="AZ3136" t="s">
        <v>7739</v>
      </c>
      <c r="BA3136" t="s">
        <v>6302</v>
      </c>
      <c r="BE3136" s="3">
        <v>42528</v>
      </c>
      <c r="BF3136" s="1">
        <v>705000</v>
      </c>
      <c r="BG3136" t="s">
        <v>20439</v>
      </c>
      <c r="BH3136" s="1">
        <v>249.82</v>
      </c>
      <c r="BI3136" s="1">
        <v>580875</v>
      </c>
      <c r="BJ3136" s="3">
        <v>42528</v>
      </c>
      <c r="BK3136" t="s">
        <v>123</v>
      </c>
      <c r="BL3136" t="str">
        <f>"2016.392762"</f>
        <v>2016.392762</v>
      </c>
      <c r="BM3136" t="s">
        <v>402</v>
      </c>
      <c r="BO3136" t="s">
        <v>20440</v>
      </c>
      <c r="BP3136" t="s">
        <v>20441</v>
      </c>
      <c r="BS3136">
        <v>30</v>
      </c>
      <c r="BW3136" t="str">
        <f>""</f>
        <v/>
      </c>
      <c r="CH3136" t="str">
        <f>""</f>
        <v/>
      </c>
      <c r="CS3136" t="str">
        <f>""</f>
        <v/>
      </c>
    </row>
    <row r="3137" spans="1:97" x14ac:dyDescent="0.25">
      <c r="A3137" t="s">
        <v>20442</v>
      </c>
      <c r="B3137" t="s">
        <v>20443</v>
      </c>
      <c r="C3137" t="s">
        <v>1845</v>
      </c>
      <c r="D3137" t="s">
        <v>20443</v>
      </c>
      <c r="E3137" t="s">
        <v>20444</v>
      </c>
      <c r="F3137" t="s">
        <v>108</v>
      </c>
      <c r="H3137" t="s">
        <v>20445</v>
      </c>
      <c r="I3137" t="s">
        <v>390</v>
      </c>
      <c r="J3137" t="s">
        <v>111</v>
      </c>
      <c r="K3137" t="str">
        <f>"85024"</f>
        <v>85024</v>
      </c>
      <c r="L3137" t="s">
        <v>2963</v>
      </c>
      <c r="M3137" t="s">
        <v>20445</v>
      </c>
      <c r="N3137" t="s">
        <v>390</v>
      </c>
      <c r="O3137" t="s">
        <v>111</v>
      </c>
      <c r="P3137" t="str">
        <f>"85024-2494"</f>
        <v>85024-2494</v>
      </c>
      <c r="Q3137" t="s">
        <v>113</v>
      </c>
      <c r="R3137" t="str">
        <f>"213-32-247"</f>
        <v>213-32-247</v>
      </c>
      <c r="S3137" t="s">
        <v>20446</v>
      </c>
      <c r="T3137" t="s">
        <v>20447</v>
      </c>
      <c r="U3137">
        <v>3182</v>
      </c>
      <c r="V3137">
        <v>0</v>
      </c>
      <c r="W3137">
        <v>4</v>
      </c>
      <c r="X3137">
        <v>2005</v>
      </c>
      <c r="Z3137">
        <v>2</v>
      </c>
      <c r="AA3137" t="s">
        <v>26</v>
      </c>
      <c r="AB3137">
        <v>0</v>
      </c>
      <c r="AC3137" t="s">
        <v>115</v>
      </c>
      <c r="AD3137">
        <v>2</v>
      </c>
      <c r="AE3137" t="s">
        <v>115</v>
      </c>
      <c r="AF3137">
        <v>0</v>
      </c>
      <c r="AG3137">
        <v>0</v>
      </c>
      <c r="AH3137" t="s">
        <v>116</v>
      </c>
      <c r="AI3137" s="1">
        <v>89681</v>
      </c>
      <c r="AJ3137" s="2">
        <v>0.2</v>
      </c>
      <c r="AK3137" s="1">
        <v>454681</v>
      </c>
      <c r="AL3137" t="s">
        <v>117</v>
      </c>
      <c r="AM3137" t="s">
        <v>171</v>
      </c>
      <c r="AN3137">
        <v>4950</v>
      </c>
      <c r="AO3137">
        <v>0.11</v>
      </c>
      <c r="AR3137">
        <v>1</v>
      </c>
      <c r="AS3137" s="1">
        <v>34950</v>
      </c>
      <c r="AT3137" s="1">
        <v>6990</v>
      </c>
      <c r="AU3137" s="1">
        <v>27960</v>
      </c>
      <c r="AV3137">
        <v>80</v>
      </c>
      <c r="AX3137" s="1">
        <v>2914</v>
      </c>
      <c r="AY3137" t="s">
        <v>570</v>
      </c>
      <c r="AZ3137" t="s">
        <v>761</v>
      </c>
      <c r="BA3137" t="s">
        <v>762</v>
      </c>
      <c r="BE3137" s="3">
        <v>42174</v>
      </c>
      <c r="BF3137" s="1">
        <v>365000</v>
      </c>
      <c r="BG3137" t="s">
        <v>20448</v>
      </c>
      <c r="BH3137" s="1">
        <v>114.71</v>
      </c>
      <c r="BI3137" s="1">
        <v>365000</v>
      </c>
      <c r="BJ3137" s="3">
        <v>42174</v>
      </c>
      <c r="BK3137" t="s">
        <v>123</v>
      </c>
      <c r="BL3137" t="str">
        <f>"2015.438737"</f>
        <v>2015.438737</v>
      </c>
      <c r="BM3137" t="s">
        <v>1287</v>
      </c>
      <c r="BO3137" t="s">
        <v>20449</v>
      </c>
      <c r="BS3137">
        <v>30</v>
      </c>
      <c r="BW3137" t="str">
        <f>""</f>
        <v/>
      </c>
      <c r="CH3137" t="str">
        <f>""</f>
        <v/>
      </c>
      <c r="CS3137" t="str">
        <f>""</f>
        <v/>
      </c>
    </row>
    <row r="3138" spans="1:97" x14ac:dyDescent="0.25">
      <c r="A3138" t="s">
        <v>3613</v>
      </c>
      <c r="B3138" t="s">
        <v>20450</v>
      </c>
      <c r="C3138" t="s">
        <v>3057</v>
      </c>
      <c r="D3138" t="s">
        <v>20450</v>
      </c>
      <c r="E3138" t="s">
        <v>20451</v>
      </c>
      <c r="F3138" t="s">
        <v>108</v>
      </c>
      <c r="H3138" t="s">
        <v>20452</v>
      </c>
      <c r="I3138" t="s">
        <v>110</v>
      </c>
      <c r="J3138" t="s">
        <v>111</v>
      </c>
      <c r="K3138" t="str">
        <f>"85286"</f>
        <v>85286</v>
      </c>
      <c r="L3138" t="s">
        <v>375</v>
      </c>
      <c r="M3138" t="s">
        <v>20452</v>
      </c>
      <c r="N3138" t="s">
        <v>110</v>
      </c>
      <c r="O3138" t="s">
        <v>111</v>
      </c>
      <c r="P3138" t="str">
        <f>"85286-5618"</f>
        <v>85286-5618</v>
      </c>
      <c r="Q3138" t="s">
        <v>113</v>
      </c>
      <c r="R3138" t="str">
        <f>"304-56-051"</f>
        <v>304-56-051</v>
      </c>
      <c r="S3138" t="s">
        <v>20453</v>
      </c>
      <c r="T3138" t="s">
        <v>20454</v>
      </c>
      <c r="U3138">
        <v>2689</v>
      </c>
      <c r="V3138">
        <v>0</v>
      </c>
      <c r="W3138">
        <v>4</v>
      </c>
      <c r="X3138">
        <v>2003</v>
      </c>
      <c r="Z3138">
        <v>2</v>
      </c>
      <c r="AA3138" t="s">
        <v>26</v>
      </c>
      <c r="AB3138">
        <v>0</v>
      </c>
      <c r="AC3138" t="s">
        <v>115</v>
      </c>
      <c r="AD3138">
        <v>3</v>
      </c>
      <c r="AE3138" t="s">
        <v>115</v>
      </c>
      <c r="AF3138">
        <v>0</v>
      </c>
      <c r="AG3138">
        <v>0</v>
      </c>
      <c r="AH3138" t="s">
        <v>116</v>
      </c>
      <c r="AI3138" s="1">
        <v>95457</v>
      </c>
      <c r="AJ3138" s="2">
        <v>0.21</v>
      </c>
      <c r="AK3138" s="1">
        <v>461457</v>
      </c>
      <c r="AL3138" t="s">
        <v>117</v>
      </c>
      <c r="AM3138" t="s">
        <v>118</v>
      </c>
      <c r="AN3138">
        <v>9311</v>
      </c>
      <c r="AO3138">
        <v>0.21</v>
      </c>
      <c r="AP3138">
        <v>1</v>
      </c>
      <c r="AR3138">
        <v>1</v>
      </c>
      <c r="AS3138" s="1">
        <v>29760</v>
      </c>
      <c r="AT3138" s="1">
        <v>5950</v>
      </c>
      <c r="AU3138" s="1">
        <v>23810</v>
      </c>
      <c r="AV3138">
        <v>80.010000000000005</v>
      </c>
      <c r="AX3138" s="1">
        <v>2521.3200000000002</v>
      </c>
      <c r="AY3138" t="s">
        <v>737</v>
      </c>
      <c r="AZ3138" t="s">
        <v>120</v>
      </c>
      <c r="BA3138" t="s">
        <v>303</v>
      </c>
      <c r="BE3138" s="3">
        <v>42072</v>
      </c>
      <c r="BF3138" s="1">
        <v>366000</v>
      </c>
      <c r="BG3138" t="s">
        <v>20455</v>
      </c>
      <c r="BH3138" s="1">
        <v>136.11000000000001</v>
      </c>
      <c r="BI3138" s="1">
        <v>366000</v>
      </c>
      <c r="BJ3138" s="3">
        <v>42072</v>
      </c>
      <c r="BK3138" t="s">
        <v>123</v>
      </c>
      <c r="BL3138" t="str">
        <f>"2015.154913"</f>
        <v>2015.154913</v>
      </c>
      <c r="BM3138" t="s">
        <v>724</v>
      </c>
      <c r="BO3138" t="s">
        <v>20456</v>
      </c>
      <c r="BS3138">
        <v>30</v>
      </c>
      <c r="BW3138" t="str">
        <f>""</f>
        <v/>
      </c>
      <c r="CH3138" t="str">
        <f>""</f>
        <v/>
      </c>
      <c r="CS3138" t="str">
        <f>""</f>
        <v/>
      </c>
    </row>
    <row r="3139" spans="1:97" x14ac:dyDescent="0.25">
      <c r="A3139" t="s">
        <v>311</v>
      </c>
      <c r="B3139" t="s">
        <v>20457</v>
      </c>
      <c r="C3139" t="s">
        <v>1335</v>
      </c>
      <c r="D3139" t="s">
        <v>20457</v>
      </c>
      <c r="E3139" t="s">
        <v>20458</v>
      </c>
      <c r="F3139" t="s">
        <v>108</v>
      </c>
      <c r="H3139" t="s">
        <v>20459</v>
      </c>
      <c r="I3139" t="s">
        <v>1788</v>
      </c>
      <c r="J3139" t="s">
        <v>111</v>
      </c>
      <c r="K3139" t="str">
        <f>"85355"</f>
        <v>85355</v>
      </c>
      <c r="L3139" t="s">
        <v>734</v>
      </c>
      <c r="M3139" t="s">
        <v>20460</v>
      </c>
      <c r="N3139" t="s">
        <v>1788</v>
      </c>
      <c r="O3139" t="s">
        <v>111</v>
      </c>
      <c r="P3139" t="str">
        <f>"85355"</f>
        <v>85355</v>
      </c>
      <c r="Q3139" t="s">
        <v>113</v>
      </c>
      <c r="R3139" t="str">
        <f>"502-10-168"</f>
        <v>502-10-168</v>
      </c>
      <c r="S3139" t="s">
        <v>5970</v>
      </c>
      <c r="T3139" t="s">
        <v>5971</v>
      </c>
      <c r="U3139">
        <v>2594</v>
      </c>
      <c r="V3139">
        <v>0</v>
      </c>
      <c r="W3139">
        <v>4</v>
      </c>
      <c r="X3139">
        <v>2012</v>
      </c>
      <c r="Z3139">
        <v>1</v>
      </c>
      <c r="AB3139">
        <v>0</v>
      </c>
      <c r="AC3139" t="s">
        <v>115</v>
      </c>
      <c r="AD3139">
        <v>3</v>
      </c>
      <c r="AE3139" t="s">
        <v>115</v>
      </c>
      <c r="AF3139">
        <v>0</v>
      </c>
      <c r="AG3139">
        <v>0</v>
      </c>
      <c r="AH3139" t="s">
        <v>116</v>
      </c>
      <c r="AI3139" s="1">
        <v>41212</v>
      </c>
      <c r="AJ3139" s="2">
        <v>0.12</v>
      </c>
      <c r="AK3139" s="1">
        <v>351112</v>
      </c>
      <c r="AL3139" t="s">
        <v>117</v>
      </c>
      <c r="AM3139" t="s">
        <v>171</v>
      </c>
      <c r="AN3139">
        <v>10500</v>
      </c>
      <c r="AO3139">
        <v>0.24</v>
      </c>
      <c r="AR3139">
        <v>1</v>
      </c>
      <c r="AS3139" s="1">
        <v>25200</v>
      </c>
      <c r="AT3139" s="1">
        <v>5040</v>
      </c>
      <c r="AU3139" s="1">
        <v>20160</v>
      </c>
      <c r="AV3139">
        <v>80</v>
      </c>
      <c r="AX3139" s="1">
        <v>2037.02</v>
      </c>
      <c r="AY3139" t="s">
        <v>5972</v>
      </c>
      <c r="AZ3139" t="s">
        <v>5972</v>
      </c>
      <c r="BA3139" t="s">
        <v>5061</v>
      </c>
      <c r="BE3139" s="3">
        <v>41879</v>
      </c>
      <c r="BF3139" s="1">
        <v>300000</v>
      </c>
      <c r="BG3139" t="s">
        <v>20461</v>
      </c>
      <c r="BH3139" s="1">
        <v>115.65</v>
      </c>
      <c r="BI3139" s="1">
        <v>309900</v>
      </c>
      <c r="BJ3139" s="3">
        <v>41879</v>
      </c>
      <c r="BK3139" t="s">
        <v>123</v>
      </c>
      <c r="BL3139" t="str">
        <f>"2014.570284"</f>
        <v>2014.570284</v>
      </c>
      <c r="BM3139" t="s">
        <v>724</v>
      </c>
      <c r="BO3139" t="s">
        <v>20462</v>
      </c>
      <c r="BS3139">
        <v>30</v>
      </c>
      <c r="BW3139" t="str">
        <f>""</f>
        <v/>
      </c>
      <c r="CH3139" t="str">
        <f>""</f>
        <v/>
      </c>
      <c r="CS3139" t="str">
        <f>""</f>
        <v/>
      </c>
    </row>
    <row r="3140" spans="1:97" x14ac:dyDescent="0.25">
      <c r="A3140" t="s">
        <v>265</v>
      </c>
      <c r="B3140" t="s">
        <v>20463</v>
      </c>
      <c r="C3140" t="s">
        <v>7901</v>
      </c>
      <c r="D3140" t="s">
        <v>20463</v>
      </c>
      <c r="E3140" t="s">
        <v>20464</v>
      </c>
      <c r="F3140" t="s">
        <v>108</v>
      </c>
      <c r="H3140" t="s">
        <v>20465</v>
      </c>
      <c r="I3140" t="s">
        <v>1788</v>
      </c>
      <c r="J3140" t="s">
        <v>111</v>
      </c>
      <c r="K3140" t="str">
        <f>"85355"</f>
        <v>85355</v>
      </c>
      <c r="L3140" t="s">
        <v>734</v>
      </c>
      <c r="M3140" t="s">
        <v>20465</v>
      </c>
      <c r="N3140" t="s">
        <v>1788</v>
      </c>
      <c r="O3140" t="s">
        <v>111</v>
      </c>
      <c r="P3140" t="str">
        <f>"85355-7828"</f>
        <v>85355-7828</v>
      </c>
      <c r="Q3140" t="s">
        <v>113</v>
      </c>
      <c r="R3140" t="str">
        <f>"502-10-102"</f>
        <v>502-10-102</v>
      </c>
      <c r="S3140" t="s">
        <v>5970</v>
      </c>
      <c r="T3140" t="s">
        <v>5971</v>
      </c>
      <c r="U3140">
        <v>3074</v>
      </c>
      <c r="V3140">
        <v>0</v>
      </c>
      <c r="W3140">
        <v>5</v>
      </c>
      <c r="X3140">
        <v>2008</v>
      </c>
      <c r="Z3140">
        <v>1</v>
      </c>
      <c r="AA3140" t="s">
        <v>26</v>
      </c>
      <c r="AB3140">
        <v>0</v>
      </c>
      <c r="AC3140" t="s">
        <v>115</v>
      </c>
      <c r="AD3140">
        <v>3</v>
      </c>
      <c r="AE3140" t="s">
        <v>115</v>
      </c>
      <c r="AF3140">
        <v>0</v>
      </c>
      <c r="AG3140">
        <v>0</v>
      </c>
      <c r="AH3140" t="s">
        <v>116</v>
      </c>
      <c r="AI3140" s="1">
        <v>37675</v>
      </c>
      <c r="AJ3140" s="2">
        <v>0.09</v>
      </c>
      <c r="AK3140" s="1">
        <v>413196</v>
      </c>
      <c r="AL3140" t="s">
        <v>117</v>
      </c>
      <c r="AM3140" t="s">
        <v>171</v>
      </c>
      <c r="AN3140">
        <v>15299</v>
      </c>
      <c r="AO3140">
        <v>0.35</v>
      </c>
      <c r="AR3140">
        <v>1</v>
      </c>
      <c r="AS3140" s="1">
        <v>31270</v>
      </c>
      <c r="AT3140" s="1">
        <v>6250</v>
      </c>
      <c r="AU3140" s="1">
        <v>25020</v>
      </c>
      <c r="AV3140">
        <v>80.010000000000005</v>
      </c>
      <c r="AX3140" s="1">
        <v>2783.16</v>
      </c>
      <c r="AY3140" t="s">
        <v>5972</v>
      </c>
      <c r="AZ3140" t="s">
        <v>5972</v>
      </c>
      <c r="BA3140" t="s">
        <v>5061</v>
      </c>
      <c r="BB3140" s="3">
        <v>43040</v>
      </c>
      <c r="BD3140" t="s">
        <v>157</v>
      </c>
      <c r="BE3140" s="3">
        <v>42034</v>
      </c>
      <c r="BF3140" s="1">
        <v>325000</v>
      </c>
      <c r="BG3140" t="s">
        <v>20466</v>
      </c>
      <c r="BH3140" s="1">
        <v>105.73</v>
      </c>
      <c r="BI3140" s="1">
        <v>375521</v>
      </c>
      <c r="BJ3140" s="3">
        <v>43040</v>
      </c>
      <c r="BK3140" t="s">
        <v>123</v>
      </c>
      <c r="BL3140" t="str">
        <f>"2017.812070"</f>
        <v>2017.812070</v>
      </c>
      <c r="BM3140" t="s">
        <v>763</v>
      </c>
      <c r="BO3140" t="s">
        <v>20467</v>
      </c>
      <c r="BS3140">
        <v>30</v>
      </c>
      <c r="BW3140" t="str">
        <f>""</f>
        <v/>
      </c>
      <c r="CH3140" t="str">
        <f>""</f>
        <v/>
      </c>
      <c r="CS3140" t="str">
        <f>""</f>
        <v/>
      </c>
    </row>
    <row r="3141" spans="1:97" x14ac:dyDescent="0.25">
      <c r="A3141" t="s">
        <v>20468</v>
      </c>
      <c r="B3141" t="s">
        <v>20469</v>
      </c>
      <c r="C3141" t="s">
        <v>1995</v>
      </c>
      <c r="D3141" t="s">
        <v>20469</v>
      </c>
      <c r="E3141" t="s">
        <v>20470</v>
      </c>
      <c r="F3141" t="s">
        <v>108</v>
      </c>
      <c r="H3141" t="s">
        <v>20471</v>
      </c>
      <c r="I3141" t="s">
        <v>203</v>
      </c>
      <c r="J3141" t="s">
        <v>111</v>
      </c>
      <c r="K3141" t="str">
        <f>"85295"</f>
        <v>85295</v>
      </c>
      <c r="L3141" t="s">
        <v>8435</v>
      </c>
      <c r="M3141" t="s">
        <v>20471</v>
      </c>
      <c r="N3141" t="s">
        <v>203</v>
      </c>
      <c r="O3141" t="s">
        <v>111</v>
      </c>
      <c r="P3141" t="str">
        <f>"85295-3484"</f>
        <v>85295-3484</v>
      </c>
      <c r="Q3141" t="s">
        <v>113</v>
      </c>
      <c r="R3141" t="str">
        <f>"304-39-837"</f>
        <v>304-39-837</v>
      </c>
      <c r="S3141" t="s">
        <v>20472</v>
      </c>
      <c r="U3141">
        <v>4487</v>
      </c>
      <c r="V3141">
        <v>0</v>
      </c>
      <c r="W3141">
        <v>6</v>
      </c>
      <c r="X3141">
        <v>2013</v>
      </c>
      <c r="Z3141">
        <v>2</v>
      </c>
      <c r="AA3141" t="s">
        <v>26</v>
      </c>
      <c r="AB3141">
        <v>0</v>
      </c>
      <c r="AC3141" t="s">
        <v>115</v>
      </c>
      <c r="AD3141">
        <v>3</v>
      </c>
      <c r="AE3141" t="s">
        <v>115</v>
      </c>
      <c r="AF3141">
        <v>0</v>
      </c>
      <c r="AG3141">
        <v>0</v>
      </c>
      <c r="AH3141" t="s">
        <v>116</v>
      </c>
      <c r="AI3141" s="1">
        <v>138141</v>
      </c>
      <c r="AJ3141" s="2">
        <v>0.24</v>
      </c>
      <c r="AK3141" s="1">
        <v>579121</v>
      </c>
      <c r="AL3141" t="s">
        <v>117</v>
      </c>
      <c r="AM3141" t="s">
        <v>288</v>
      </c>
      <c r="AN3141">
        <v>7110</v>
      </c>
      <c r="AO3141">
        <v>0.16</v>
      </c>
      <c r="AR3141">
        <v>1</v>
      </c>
      <c r="AS3141" s="1">
        <v>40310</v>
      </c>
      <c r="AT3141" s="1">
        <v>8060</v>
      </c>
      <c r="AU3141" s="1">
        <v>32250</v>
      </c>
      <c r="AV3141">
        <v>80</v>
      </c>
      <c r="AX3141" s="1">
        <v>3916.84</v>
      </c>
      <c r="AY3141" t="s">
        <v>5094</v>
      </c>
      <c r="AZ3141" t="s">
        <v>5094</v>
      </c>
      <c r="BA3141" t="s">
        <v>473</v>
      </c>
      <c r="BE3141" s="3">
        <v>41642</v>
      </c>
      <c r="BF3141" s="1">
        <v>439497</v>
      </c>
      <c r="BG3141" t="s">
        <v>562</v>
      </c>
      <c r="BH3141" s="1">
        <v>97.95</v>
      </c>
      <c r="BI3141" s="1">
        <v>440980</v>
      </c>
      <c r="BJ3141" s="3">
        <v>42569</v>
      </c>
      <c r="BK3141" t="s">
        <v>123</v>
      </c>
      <c r="BL3141" t="str">
        <f>"2016.502092"</f>
        <v>2016.502092</v>
      </c>
      <c r="BM3141" t="s">
        <v>402</v>
      </c>
      <c r="BO3141" t="s">
        <v>20473</v>
      </c>
      <c r="BS3141">
        <v>30</v>
      </c>
      <c r="BW3141" t="str">
        <f>""</f>
        <v/>
      </c>
      <c r="CH3141" t="str">
        <f>""</f>
        <v/>
      </c>
      <c r="CS3141" t="str">
        <f>""</f>
        <v/>
      </c>
    </row>
    <row r="3142" spans="1:97" x14ac:dyDescent="0.25">
      <c r="A3142" t="s">
        <v>3089</v>
      </c>
      <c r="B3142" t="s">
        <v>5337</v>
      </c>
      <c r="C3142" t="s">
        <v>6679</v>
      </c>
      <c r="D3142" t="s">
        <v>5337</v>
      </c>
      <c r="E3142" t="s">
        <v>20474</v>
      </c>
      <c r="F3142" t="s">
        <v>108</v>
      </c>
      <c r="H3142" t="s">
        <v>20475</v>
      </c>
      <c r="I3142" t="s">
        <v>110</v>
      </c>
      <c r="J3142" t="s">
        <v>111</v>
      </c>
      <c r="K3142" t="str">
        <f>"85249"</f>
        <v>85249</v>
      </c>
      <c r="L3142" t="s">
        <v>3696</v>
      </c>
      <c r="M3142" t="s">
        <v>20475</v>
      </c>
      <c r="N3142" t="s">
        <v>110</v>
      </c>
      <c r="O3142" t="s">
        <v>111</v>
      </c>
      <c r="P3142" t="str">
        <f>"85249-3905"</f>
        <v>85249-3905</v>
      </c>
      <c r="Q3142" t="s">
        <v>113</v>
      </c>
      <c r="R3142" t="str">
        <f>"304-83-090"</f>
        <v>304-83-090</v>
      </c>
      <c r="S3142" t="s">
        <v>20394</v>
      </c>
      <c r="T3142" t="s">
        <v>18164</v>
      </c>
      <c r="U3142">
        <v>2170</v>
      </c>
      <c r="V3142">
        <v>0</v>
      </c>
      <c r="W3142">
        <v>3</v>
      </c>
      <c r="X3142">
        <v>2001</v>
      </c>
      <c r="Z3142">
        <v>1</v>
      </c>
      <c r="AB3142">
        <v>0</v>
      </c>
      <c r="AC3142" t="s">
        <v>115</v>
      </c>
      <c r="AD3142">
        <v>2</v>
      </c>
      <c r="AE3142" t="s">
        <v>115</v>
      </c>
      <c r="AF3142">
        <v>0</v>
      </c>
      <c r="AG3142">
        <v>0</v>
      </c>
      <c r="AH3142" t="s">
        <v>116</v>
      </c>
      <c r="AI3142" s="1">
        <v>89883</v>
      </c>
      <c r="AJ3142" s="2">
        <v>0.26</v>
      </c>
      <c r="AK3142" s="1">
        <v>346607</v>
      </c>
      <c r="AL3142" t="s">
        <v>117</v>
      </c>
      <c r="AM3142" t="s">
        <v>118</v>
      </c>
      <c r="AN3142">
        <v>7040</v>
      </c>
      <c r="AO3142">
        <v>0.16</v>
      </c>
      <c r="AP3142">
        <v>1</v>
      </c>
      <c r="AR3142">
        <v>1</v>
      </c>
      <c r="AS3142" s="1">
        <v>24210</v>
      </c>
      <c r="AT3142" s="1">
        <v>4840</v>
      </c>
      <c r="AU3142" s="1">
        <v>19370</v>
      </c>
      <c r="AV3142">
        <v>80.010000000000005</v>
      </c>
      <c r="AX3142" s="1">
        <v>2017.14</v>
      </c>
      <c r="AY3142" t="s">
        <v>6269</v>
      </c>
      <c r="AZ3142" t="s">
        <v>273</v>
      </c>
      <c r="BA3142" t="s">
        <v>274</v>
      </c>
      <c r="BE3142" s="3">
        <v>41873</v>
      </c>
      <c r="BF3142" s="1">
        <v>254500</v>
      </c>
      <c r="BG3142" t="s">
        <v>20476</v>
      </c>
      <c r="BH3142" s="1">
        <v>117.28</v>
      </c>
      <c r="BI3142" s="1">
        <v>256724</v>
      </c>
      <c r="BJ3142" s="3">
        <v>42436</v>
      </c>
      <c r="BK3142" t="s">
        <v>123</v>
      </c>
      <c r="BL3142" t="str">
        <f>"2016.143767"</f>
        <v>2016.143767</v>
      </c>
      <c r="BM3142" t="s">
        <v>402</v>
      </c>
      <c r="BO3142" t="s">
        <v>20477</v>
      </c>
      <c r="BS3142">
        <v>28</v>
      </c>
      <c r="BW3142" t="str">
        <f>""</f>
        <v/>
      </c>
      <c r="CH3142" t="str">
        <f>""</f>
        <v/>
      </c>
      <c r="CS3142" t="str">
        <f>""</f>
        <v/>
      </c>
    </row>
    <row r="3143" spans="1:97" x14ac:dyDescent="0.25">
      <c r="A3143" t="s">
        <v>938</v>
      </c>
      <c r="B3143" t="s">
        <v>20478</v>
      </c>
      <c r="E3143" t="s">
        <v>20479</v>
      </c>
      <c r="F3143" t="s">
        <v>108</v>
      </c>
      <c r="H3143" t="s">
        <v>20480</v>
      </c>
      <c r="I3143" t="s">
        <v>453</v>
      </c>
      <c r="J3143" t="s">
        <v>111</v>
      </c>
      <c r="K3143" t="str">
        <f>"85382"</f>
        <v>85382</v>
      </c>
      <c r="L3143" t="s">
        <v>5021</v>
      </c>
      <c r="M3143" t="s">
        <v>20480</v>
      </c>
      <c r="N3143" t="s">
        <v>453</v>
      </c>
      <c r="O3143" t="s">
        <v>111</v>
      </c>
      <c r="P3143" t="str">
        <f>"85382-6473"</f>
        <v>85382-6473</v>
      </c>
      <c r="Q3143" t="s">
        <v>113</v>
      </c>
      <c r="R3143" t="str">
        <f>"200-17-427"</f>
        <v>200-17-427</v>
      </c>
      <c r="S3143" t="s">
        <v>20481</v>
      </c>
      <c r="T3143" t="s">
        <v>6310</v>
      </c>
      <c r="U3143">
        <v>2764</v>
      </c>
      <c r="V3143">
        <v>0</v>
      </c>
      <c r="W3143">
        <v>4</v>
      </c>
      <c r="X3143">
        <v>2001</v>
      </c>
      <c r="Z3143">
        <v>2</v>
      </c>
      <c r="AA3143" t="s">
        <v>26</v>
      </c>
      <c r="AB3143">
        <v>0</v>
      </c>
      <c r="AC3143" t="s">
        <v>115</v>
      </c>
      <c r="AD3143">
        <v>3</v>
      </c>
      <c r="AE3143" t="s">
        <v>115</v>
      </c>
      <c r="AF3143">
        <v>0</v>
      </c>
      <c r="AG3143">
        <v>0</v>
      </c>
      <c r="AH3143" t="s">
        <v>116</v>
      </c>
      <c r="AI3143" s="1">
        <v>107316</v>
      </c>
      <c r="AJ3143" s="2">
        <v>0.28999999999999998</v>
      </c>
      <c r="AK3143" s="1">
        <v>371114</v>
      </c>
      <c r="AL3143" t="s">
        <v>117</v>
      </c>
      <c r="AM3143" t="s">
        <v>118</v>
      </c>
      <c r="AN3143">
        <v>6603</v>
      </c>
      <c r="AO3143">
        <v>0.15</v>
      </c>
      <c r="AP3143">
        <v>1</v>
      </c>
      <c r="AR3143">
        <v>1</v>
      </c>
      <c r="AS3143" s="1">
        <v>27050</v>
      </c>
      <c r="AT3143" s="1">
        <v>5410</v>
      </c>
      <c r="AU3143" s="1">
        <v>21640</v>
      </c>
      <c r="AV3143">
        <v>80</v>
      </c>
      <c r="AX3143" s="1">
        <v>3123.26</v>
      </c>
      <c r="AY3143" t="s">
        <v>6311</v>
      </c>
      <c r="AZ3143" t="s">
        <v>6311</v>
      </c>
      <c r="BA3143" t="s">
        <v>4219</v>
      </c>
      <c r="BE3143" s="3">
        <v>41676</v>
      </c>
      <c r="BF3143" s="1">
        <v>280000</v>
      </c>
      <c r="BG3143" t="s">
        <v>20482</v>
      </c>
      <c r="BH3143" s="1">
        <v>101.3</v>
      </c>
      <c r="BI3143" s="1">
        <v>263798</v>
      </c>
      <c r="BJ3143" s="3">
        <v>42622</v>
      </c>
      <c r="BK3143" t="s">
        <v>123</v>
      </c>
      <c r="BL3143" t="str">
        <f>"2016.653448"</f>
        <v>2016.653448</v>
      </c>
      <c r="BM3143" t="s">
        <v>709</v>
      </c>
      <c r="BO3143" t="s">
        <v>20483</v>
      </c>
      <c r="BS3143">
        <v>30</v>
      </c>
      <c r="BW3143" t="str">
        <f>""</f>
        <v/>
      </c>
      <c r="CH3143" t="str">
        <f>""</f>
        <v/>
      </c>
      <c r="CS3143" t="str">
        <f>""</f>
        <v/>
      </c>
    </row>
    <row r="3144" spans="1:97" x14ac:dyDescent="0.25">
      <c r="A3144" t="s">
        <v>370</v>
      </c>
      <c r="B3144" t="s">
        <v>20484</v>
      </c>
      <c r="E3144" t="s">
        <v>20485</v>
      </c>
      <c r="F3144" t="s">
        <v>108</v>
      </c>
      <c r="H3144" t="s">
        <v>20486</v>
      </c>
      <c r="I3144" t="s">
        <v>1936</v>
      </c>
      <c r="J3144" t="s">
        <v>111</v>
      </c>
      <c r="K3144" t="str">
        <f>"85254"</f>
        <v>85254</v>
      </c>
      <c r="L3144" t="s">
        <v>7116</v>
      </c>
      <c r="M3144" t="s">
        <v>20486</v>
      </c>
      <c r="N3144" t="s">
        <v>1936</v>
      </c>
      <c r="O3144" t="s">
        <v>111</v>
      </c>
      <c r="P3144" t="str">
        <f>"85254-1834"</f>
        <v>85254-1834</v>
      </c>
      <c r="Q3144" t="s">
        <v>113</v>
      </c>
      <c r="R3144" t="str">
        <f>"215-37-065"</f>
        <v>215-37-065</v>
      </c>
      <c r="S3144" t="s">
        <v>20487</v>
      </c>
      <c r="T3144" t="s">
        <v>20488</v>
      </c>
      <c r="U3144">
        <v>2243</v>
      </c>
      <c r="V3144">
        <v>0</v>
      </c>
      <c r="W3144">
        <v>3</v>
      </c>
      <c r="X3144">
        <v>1979</v>
      </c>
      <c r="Z3144">
        <v>1</v>
      </c>
      <c r="AA3144" t="s">
        <v>26</v>
      </c>
      <c r="AB3144">
        <v>0</v>
      </c>
      <c r="AC3144" t="s">
        <v>115</v>
      </c>
      <c r="AD3144">
        <v>2</v>
      </c>
      <c r="AE3144" t="s">
        <v>115</v>
      </c>
      <c r="AF3144">
        <v>0</v>
      </c>
      <c r="AG3144">
        <v>0</v>
      </c>
      <c r="AH3144" t="s">
        <v>116</v>
      </c>
      <c r="AI3144" s="1">
        <v>85284</v>
      </c>
      <c r="AJ3144" s="2">
        <v>0.17</v>
      </c>
      <c r="AK3144" s="1">
        <v>507234</v>
      </c>
      <c r="AL3144" t="s">
        <v>117</v>
      </c>
      <c r="AM3144" t="s">
        <v>6114</v>
      </c>
      <c r="AN3144">
        <v>13891</v>
      </c>
      <c r="AO3144">
        <v>0.32</v>
      </c>
      <c r="AP3144">
        <v>1</v>
      </c>
      <c r="AR3144">
        <v>1</v>
      </c>
      <c r="AS3144" s="1">
        <v>36780</v>
      </c>
      <c r="AT3144" s="1">
        <v>7350</v>
      </c>
      <c r="AU3144" s="1">
        <v>29430</v>
      </c>
      <c r="AV3144">
        <v>80.02</v>
      </c>
      <c r="AX3144" s="1">
        <v>3470.18</v>
      </c>
      <c r="AY3144" t="s">
        <v>7738</v>
      </c>
      <c r="AZ3144" t="s">
        <v>7739</v>
      </c>
      <c r="BA3144" t="s">
        <v>6302</v>
      </c>
      <c r="BE3144" s="3">
        <v>42088</v>
      </c>
      <c r="BF3144" s="1">
        <v>380000</v>
      </c>
      <c r="BG3144" t="s">
        <v>20489</v>
      </c>
      <c r="BH3144" s="1">
        <v>169.42</v>
      </c>
      <c r="BI3144" s="1">
        <v>391950</v>
      </c>
      <c r="BJ3144" s="3">
        <v>42594</v>
      </c>
      <c r="BK3144" t="s">
        <v>123</v>
      </c>
      <c r="BL3144" t="str">
        <f>"2016.574999"</f>
        <v>2016.574999</v>
      </c>
      <c r="BM3144" t="s">
        <v>20490</v>
      </c>
      <c r="BN3144" t="s">
        <v>20491</v>
      </c>
      <c r="BO3144" t="s">
        <v>20492</v>
      </c>
      <c r="BS3144">
        <v>30</v>
      </c>
      <c r="BT3144" s="1">
        <v>30000</v>
      </c>
      <c r="BU3144" s="3">
        <v>43630</v>
      </c>
      <c r="BW3144" t="str">
        <f>"2019.444439"</f>
        <v>2019.444439</v>
      </c>
      <c r="BX3144" t="s">
        <v>135</v>
      </c>
      <c r="BY3144" t="s">
        <v>136</v>
      </c>
      <c r="BZ3144" t="s">
        <v>20493</v>
      </c>
      <c r="CA3144" t="s">
        <v>20494</v>
      </c>
      <c r="CC3144" t="s">
        <v>346</v>
      </c>
      <c r="CH3144" t="str">
        <f>""</f>
        <v/>
      </c>
      <c r="CS3144" t="str">
        <f>""</f>
        <v/>
      </c>
    </row>
    <row r="3145" spans="1:97" x14ac:dyDescent="0.25">
      <c r="A3145" t="s">
        <v>1009</v>
      </c>
      <c r="B3145" t="s">
        <v>20495</v>
      </c>
      <c r="C3145" t="s">
        <v>199</v>
      </c>
      <c r="D3145" t="s">
        <v>20495</v>
      </c>
      <c r="E3145" t="s">
        <v>20496</v>
      </c>
      <c r="F3145" t="s">
        <v>108</v>
      </c>
      <c r="H3145" t="s">
        <v>20497</v>
      </c>
      <c r="I3145" t="s">
        <v>453</v>
      </c>
      <c r="J3145" t="s">
        <v>111</v>
      </c>
      <c r="K3145" t="str">
        <f>"85381"</f>
        <v>85381</v>
      </c>
      <c r="L3145" t="s">
        <v>926</v>
      </c>
      <c r="M3145" t="s">
        <v>20497</v>
      </c>
      <c r="N3145" t="s">
        <v>453</v>
      </c>
      <c r="O3145" t="s">
        <v>111</v>
      </c>
      <c r="P3145" t="str">
        <f>"85381-4717"</f>
        <v>85381-4717</v>
      </c>
      <c r="Q3145" t="s">
        <v>113</v>
      </c>
      <c r="R3145" t="str">
        <f>"200-69-001-U"</f>
        <v>200-69-001-U</v>
      </c>
      <c r="U3145">
        <v>2888</v>
      </c>
      <c r="V3145">
        <v>0</v>
      </c>
      <c r="W3145">
        <v>2</v>
      </c>
      <c r="X3145">
        <v>1974</v>
      </c>
      <c r="Z3145">
        <v>1</v>
      </c>
      <c r="AA3145" t="s">
        <v>26</v>
      </c>
      <c r="AB3145">
        <v>0</v>
      </c>
      <c r="AC3145" t="s">
        <v>115</v>
      </c>
      <c r="AD3145">
        <v>2</v>
      </c>
      <c r="AE3145" t="s">
        <v>115</v>
      </c>
      <c r="AF3145">
        <v>0</v>
      </c>
      <c r="AG3145">
        <v>0</v>
      </c>
      <c r="AH3145" t="s">
        <v>116</v>
      </c>
      <c r="AI3145" s="1">
        <v>47974</v>
      </c>
      <c r="AJ3145" s="2">
        <v>0.1</v>
      </c>
      <c r="AK3145" s="1">
        <v>497974</v>
      </c>
      <c r="AL3145" t="s">
        <v>117</v>
      </c>
      <c r="AM3145" t="s">
        <v>376</v>
      </c>
      <c r="AN3145">
        <v>54406</v>
      </c>
      <c r="AO3145">
        <v>1.25</v>
      </c>
      <c r="AP3145">
        <v>1</v>
      </c>
      <c r="AR3145">
        <v>1</v>
      </c>
      <c r="AS3145" s="1">
        <v>36970</v>
      </c>
      <c r="AT3145" s="1">
        <v>7390</v>
      </c>
      <c r="AU3145" s="1">
        <v>29580</v>
      </c>
      <c r="AV3145">
        <v>80.010000000000005</v>
      </c>
      <c r="AX3145" s="1">
        <v>3145.9</v>
      </c>
      <c r="AY3145" t="s">
        <v>8450</v>
      </c>
      <c r="AZ3145" t="s">
        <v>8450</v>
      </c>
      <c r="BA3145" t="s">
        <v>3360</v>
      </c>
      <c r="BB3145" s="3">
        <v>43143</v>
      </c>
      <c r="BC3145" s="1">
        <v>0</v>
      </c>
      <c r="BD3145" t="s">
        <v>247</v>
      </c>
      <c r="BE3145" s="3">
        <v>42121</v>
      </c>
      <c r="BF3145" s="1">
        <v>382000</v>
      </c>
      <c r="BG3145" t="s">
        <v>20498</v>
      </c>
      <c r="BH3145" s="1">
        <v>132.27000000000001</v>
      </c>
      <c r="BI3145" s="1">
        <v>450000</v>
      </c>
      <c r="BJ3145" s="3">
        <v>43143</v>
      </c>
      <c r="BK3145" t="s">
        <v>123</v>
      </c>
      <c r="BL3145" t="str">
        <f>"2018.107248"</f>
        <v>2018.107248</v>
      </c>
      <c r="BM3145" t="s">
        <v>135</v>
      </c>
      <c r="BN3145" t="s">
        <v>136</v>
      </c>
      <c r="BO3145" t="s">
        <v>20499</v>
      </c>
      <c r="BP3145" t="s">
        <v>20500</v>
      </c>
      <c r="BR3145" t="s">
        <v>139</v>
      </c>
      <c r="BW3145" t="str">
        <f>""</f>
        <v/>
      </c>
      <c r="CH3145" t="str">
        <f>""</f>
        <v/>
      </c>
      <c r="CS3145" t="str">
        <f>""</f>
        <v/>
      </c>
    </row>
    <row r="3146" spans="1:97" x14ac:dyDescent="0.25">
      <c r="A3146" t="s">
        <v>1393</v>
      </c>
      <c r="B3146" t="s">
        <v>20501</v>
      </c>
      <c r="C3146" t="s">
        <v>179</v>
      </c>
      <c r="D3146" t="s">
        <v>20501</v>
      </c>
      <c r="E3146" t="s">
        <v>20502</v>
      </c>
      <c r="F3146" t="s">
        <v>108</v>
      </c>
      <c r="H3146" t="s">
        <v>20503</v>
      </c>
      <c r="I3146" t="s">
        <v>1788</v>
      </c>
      <c r="J3146" t="s">
        <v>111</v>
      </c>
      <c r="K3146" t="str">
        <f>"85355"</f>
        <v>85355</v>
      </c>
      <c r="L3146" t="s">
        <v>3758</v>
      </c>
      <c r="M3146" t="s">
        <v>20503</v>
      </c>
      <c r="N3146" t="s">
        <v>1788</v>
      </c>
      <c r="O3146" t="s">
        <v>111</v>
      </c>
      <c r="P3146" t="str">
        <f>"85355-7810"</f>
        <v>85355-7810</v>
      </c>
      <c r="Q3146" t="s">
        <v>113</v>
      </c>
      <c r="R3146" t="str">
        <f>"502-10-259"</f>
        <v>502-10-259</v>
      </c>
      <c r="S3146" t="s">
        <v>7537</v>
      </c>
      <c r="T3146" t="s">
        <v>5971</v>
      </c>
      <c r="U3146">
        <v>2144</v>
      </c>
      <c r="V3146">
        <v>0</v>
      </c>
      <c r="W3146">
        <v>3</v>
      </c>
      <c r="X3146">
        <v>2007</v>
      </c>
      <c r="Z3146">
        <v>1</v>
      </c>
      <c r="AA3146" t="s">
        <v>26</v>
      </c>
      <c r="AB3146">
        <v>0</v>
      </c>
      <c r="AC3146" t="s">
        <v>115</v>
      </c>
      <c r="AD3146">
        <v>3</v>
      </c>
      <c r="AE3146" t="s">
        <v>115</v>
      </c>
      <c r="AF3146">
        <v>0</v>
      </c>
      <c r="AG3146">
        <v>0</v>
      </c>
      <c r="AH3146" t="s">
        <v>116</v>
      </c>
      <c r="AI3146" s="1">
        <v>68651</v>
      </c>
      <c r="AJ3146" s="2">
        <v>0.19</v>
      </c>
      <c r="AK3146" s="1">
        <v>353759</v>
      </c>
      <c r="AL3146" t="s">
        <v>117</v>
      </c>
      <c r="AM3146" t="s">
        <v>393</v>
      </c>
      <c r="AN3146">
        <v>10114</v>
      </c>
      <c r="AO3146">
        <v>0.23</v>
      </c>
      <c r="AR3146">
        <v>1</v>
      </c>
      <c r="AS3146" s="1">
        <v>25960</v>
      </c>
      <c r="AT3146" s="1">
        <v>5190</v>
      </c>
      <c r="AU3146" s="1">
        <v>20770</v>
      </c>
      <c r="AV3146">
        <v>80.010000000000005</v>
      </c>
      <c r="AX3146" s="1">
        <v>2049.16</v>
      </c>
      <c r="AY3146" t="s">
        <v>5972</v>
      </c>
      <c r="AZ3146" t="s">
        <v>5972</v>
      </c>
      <c r="BA3146" t="s">
        <v>5061</v>
      </c>
      <c r="BE3146" s="3">
        <v>42066</v>
      </c>
      <c r="BF3146" s="1">
        <v>276000</v>
      </c>
      <c r="BG3146" t="s">
        <v>20504</v>
      </c>
      <c r="BH3146" s="1">
        <v>128.72999999999999</v>
      </c>
      <c r="BI3146" s="1">
        <v>285108</v>
      </c>
      <c r="BJ3146" s="3">
        <v>42066</v>
      </c>
      <c r="BK3146" t="s">
        <v>123</v>
      </c>
      <c r="BL3146" t="str">
        <f>"2015.139299"</f>
        <v>2015.139299</v>
      </c>
      <c r="BM3146" t="s">
        <v>1038</v>
      </c>
      <c r="BO3146" t="s">
        <v>20505</v>
      </c>
      <c r="BS3146">
        <v>30</v>
      </c>
      <c r="BW3146" t="str">
        <f>""</f>
        <v/>
      </c>
      <c r="CH3146" t="str">
        <f>""</f>
        <v/>
      </c>
      <c r="CS3146" t="str">
        <f>""</f>
        <v/>
      </c>
    </row>
    <row r="3147" spans="1:97" x14ac:dyDescent="0.25">
      <c r="A3147" t="s">
        <v>589</v>
      </c>
      <c r="B3147" t="s">
        <v>20506</v>
      </c>
      <c r="C3147" t="s">
        <v>179</v>
      </c>
      <c r="D3147" t="s">
        <v>20507</v>
      </c>
      <c r="E3147" t="s">
        <v>20508</v>
      </c>
      <c r="F3147" t="s">
        <v>108</v>
      </c>
      <c r="H3147" t="s">
        <v>20509</v>
      </c>
      <c r="I3147" t="s">
        <v>5863</v>
      </c>
      <c r="J3147" t="s">
        <v>111</v>
      </c>
      <c r="K3147" t="str">
        <f>"85375"</f>
        <v>85375</v>
      </c>
      <c r="L3147" t="s">
        <v>8199</v>
      </c>
      <c r="M3147" t="s">
        <v>20509</v>
      </c>
      <c r="N3147" t="s">
        <v>5863</v>
      </c>
      <c r="O3147" t="s">
        <v>111</v>
      </c>
      <c r="P3147" t="str">
        <f>"85375-2518"</f>
        <v>85375-2518</v>
      </c>
      <c r="Q3147" t="s">
        <v>113</v>
      </c>
      <c r="R3147" t="str">
        <f>"232-13-110"</f>
        <v>232-13-110</v>
      </c>
      <c r="S3147" t="s">
        <v>20510</v>
      </c>
      <c r="U3147">
        <v>2020</v>
      </c>
      <c r="V3147">
        <v>0</v>
      </c>
      <c r="W3147">
        <v>3</v>
      </c>
      <c r="X3147">
        <v>1983</v>
      </c>
      <c r="Z3147">
        <v>1</v>
      </c>
      <c r="AB3147">
        <v>0</v>
      </c>
      <c r="AC3147" t="s">
        <v>115</v>
      </c>
      <c r="AD3147">
        <v>2</v>
      </c>
      <c r="AE3147" t="s">
        <v>115</v>
      </c>
      <c r="AF3147">
        <v>0</v>
      </c>
      <c r="AG3147">
        <v>0</v>
      </c>
      <c r="AH3147" t="s">
        <v>116</v>
      </c>
      <c r="AI3147" s="1">
        <v>67359</v>
      </c>
      <c r="AJ3147" s="2">
        <v>0.24</v>
      </c>
      <c r="AK3147" s="1">
        <v>276359</v>
      </c>
      <c r="AL3147" t="s">
        <v>117</v>
      </c>
      <c r="AM3147" t="s">
        <v>393</v>
      </c>
      <c r="AN3147">
        <v>9428</v>
      </c>
      <c r="AO3147">
        <v>0.22</v>
      </c>
      <c r="AP3147">
        <v>1</v>
      </c>
      <c r="AR3147">
        <v>1</v>
      </c>
      <c r="AS3147" s="1">
        <v>18020</v>
      </c>
      <c r="AT3147" s="1">
        <v>3600</v>
      </c>
      <c r="AU3147" s="1">
        <v>14420</v>
      </c>
      <c r="AV3147">
        <v>80.02</v>
      </c>
      <c r="AX3147" s="1">
        <v>1350.44</v>
      </c>
      <c r="AY3147" t="s">
        <v>320</v>
      </c>
      <c r="AZ3147" t="s">
        <v>320</v>
      </c>
      <c r="BA3147" t="s">
        <v>321</v>
      </c>
      <c r="BE3147" s="3">
        <v>42073</v>
      </c>
      <c r="BF3147" s="1">
        <v>162000</v>
      </c>
      <c r="BG3147" t="s">
        <v>20511</v>
      </c>
      <c r="BH3147" s="1">
        <v>80.2</v>
      </c>
      <c r="BI3147" s="1">
        <v>209000</v>
      </c>
      <c r="BJ3147" s="3">
        <v>43066</v>
      </c>
      <c r="BK3147" t="s">
        <v>123</v>
      </c>
      <c r="BL3147" t="str">
        <f>"2017.872725"</f>
        <v>2017.872725</v>
      </c>
      <c r="BM3147" t="s">
        <v>4127</v>
      </c>
      <c r="BO3147" t="s">
        <v>20512</v>
      </c>
      <c r="BS3147">
        <v>30</v>
      </c>
      <c r="BW3147" t="str">
        <f>""</f>
        <v/>
      </c>
      <c r="CH3147" t="str">
        <f>""</f>
        <v/>
      </c>
      <c r="CS3147" t="str">
        <f>""</f>
        <v/>
      </c>
    </row>
    <row r="3148" spans="1:97" x14ac:dyDescent="0.25">
      <c r="A3148" t="s">
        <v>1979</v>
      </c>
      <c r="B3148" t="s">
        <v>20513</v>
      </c>
      <c r="C3148" t="s">
        <v>970</v>
      </c>
      <c r="D3148" t="s">
        <v>20513</v>
      </c>
      <c r="E3148" t="s">
        <v>20514</v>
      </c>
      <c r="F3148" t="s">
        <v>108</v>
      </c>
      <c r="H3148" t="s">
        <v>20515</v>
      </c>
      <c r="I3148" t="s">
        <v>632</v>
      </c>
      <c r="J3148" t="s">
        <v>111</v>
      </c>
      <c r="K3148" t="str">
        <f>"85379"</f>
        <v>85379</v>
      </c>
      <c r="L3148" t="s">
        <v>269</v>
      </c>
      <c r="M3148" t="s">
        <v>20515</v>
      </c>
      <c r="N3148" t="s">
        <v>632</v>
      </c>
      <c r="O3148" t="s">
        <v>111</v>
      </c>
      <c r="P3148" t="str">
        <f>"85379-4697"</f>
        <v>85379-4697</v>
      </c>
      <c r="Q3148" t="s">
        <v>113</v>
      </c>
      <c r="R3148" t="str">
        <f>"501-40-142"</f>
        <v>501-40-142</v>
      </c>
      <c r="S3148" t="s">
        <v>20516</v>
      </c>
      <c r="U3148">
        <v>3924</v>
      </c>
      <c r="V3148">
        <v>0</v>
      </c>
      <c r="W3148">
        <v>4</v>
      </c>
      <c r="X3148">
        <v>2006</v>
      </c>
      <c r="Z3148">
        <v>2</v>
      </c>
      <c r="AA3148" t="s">
        <v>26</v>
      </c>
      <c r="AB3148">
        <v>0</v>
      </c>
      <c r="AC3148" t="s">
        <v>115</v>
      </c>
      <c r="AD3148">
        <v>3</v>
      </c>
      <c r="AE3148" t="s">
        <v>115</v>
      </c>
      <c r="AF3148">
        <v>0</v>
      </c>
      <c r="AG3148">
        <v>0</v>
      </c>
      <c r="AH3148" t="s">
        <v>116</v>
      </c>
      <c r="AI3148" s="1">
        <v>58386</v>
      </c>
      <c r="AJ3148" s="2">
        <v>0.14000000000000001</v>
      </c>
      <c r="AK3148" s="1">
        <v>419419</v>
      </c>
      <c r="AL3148" t="s">
        <v>117</v>
      </c>
      <c r="AM3148" t="s">
        <v>118</v>
      </c>
      <c r="AN3148">
        <v>10376</v>
      </c>
      <c r="AO3148">
        <v>0.24</v>
      </c>
      <c r="AR3148">
        <v>1</v>
      </c>
      <c r="AS3148" s="1">
        <v>29920</v>
      </c>
      <c r="AT3148" s="1">
        <v>5980</v>
      </c>
      <c r="AU3148" s="1">
        <v>23940</v>
      </c>
      <c r="AV3148">
        <v>80.010000000000005</v>
      </c>
      <c r="AX3148" s="1">
        <v>2525.4</v>
      </c>
      <c r="AY3148" t="s">
        <v>5060</v>
      </c>
      <c r="AZ3148" t="s">
        <v>5060</v>
      </c>
      <c r="BA3148" t="s">
        <v>5061</v>
      </c>
      <c r="BE3148" s="3">
        <v>42185</v>
      </c>
      <c r="BF3148" s="1">
        <v>335000</v>
      </c>
      <c r="BG3148" t="s">
        <v>20517</v>
      </c>
      <c r="BH3148" s="1">
        <v>85.37</v>
      </c>
      <c r="BI3148" s="1">
        <v>361033</v>
      </c>
      <c r="BJ3148" s="3">
        <v>42724</v>
      </c>
      <c r="BK3148" t="s">
        <v>123</v>
      </c>
      <c r="BL3148" t="str">
        <f>"2016.936789"</f>
        <v>2016.936789</v>
      </c>
      <c r="BM3148" t="s">
        <v>361</v>
      </c>
      <c r="BO3148" t="s">
        <v>20518</v>
      </c>
      <c r="BP3148" t="s">
        <v>20519</v>
      </c>
      <c r="BS3148">
        <v>30</v>
      </c>
      <c r="BW3148" t="str">
        <f>""</f>
        <v/>
      </c>
      <c r="CH3148" t="str">
        <f>""</f>
        <v/>
      </c>
      <c r="CS3148" t="str">
        <f>""</f>
        <v/>
      </c>
    </row>
    <row r="3149" spans="1:97" x14ac:dyDescent="0.25">
      <c r="A3149" t="s">
        <v>20520</v>
      </c>
      <c r="B3149" t="s">
        <v>1768</v>
      </c>
      <c r="C3149" t="s">
        <v>3926</v>
      </c>
      <c r="D3149" t="s">
        <v>1768</v>
      </c>
      <c r="E3149" t="s">
        <v>20521</v>
      </c>
      <c r="F3149" t="s">
        <v>108</v>
      </c>
      <c r="H3149" t="s">
        <v>20522</v>
      </c>
      <c r="I3149" t="s">
        <v>167</v>
      </c>
      <c r="J3149" t="s">
        <v>111</v>
      </c>
      <c r="K3149" t="str">
        <f>"85339"</f>
        <v>85339</v>
      </c>
      <c r="L3149" t="s">
        <v>7147</v>
      </c>
      <c r="M3149" t="s">
        <v>20522</v>
      </c>
      <c r="N3149" t="s">
        <v>167</v>
      </c>
      <c r="O3149" t="s">
        <v>111</v>
      </c>
      <c r="P3149" t="str">
        <f>"85339-7150"</f>
        <v>85339-7150</v>
      </c>
      <c r="Q3149" t="s">
        <v>113</v>
      </c>
      <c r="R3149" t="str">
        <f>"300-13-654"</f>
        <v>300-13-654</v>
      </c>
      <c r="S3149" t="s">
        <v>20523</v>
      </c>
      <c r="T3149" t="s">
        <v>20523</v>
      </c>
      <c r="U3149">
        <v>2313</v>
      </c>
      <c r="V3149">
        <v>0</v>
      </c>
      <c r="W3149">
        <v>4</v>
      </c>
      <c r="X3149">
        <v>2007</v>
      </c>
      <c r="Z3149">
        <v>1</v>
      </c>
      <c r="AB3149">
        <v>0</v>
      </c>
      <c r="AC3149" t="s">
        <v>115</v>
      </c>
      <c r="AD3149">
        <v>2</v>
      </c>
      <c r="AE3149" t="s">
        <v>115</v>
      </c>
      <c r="AF3149">
        <v>0</v>
      </c>
      <c r="AG3149">
        <v>0</v>
      </c>
      <c r="AH3149" t="s">
        <v>116</v>
      </c>
      <c r="AI3149" s="1">
        <v>49446</v>
      </c>
      <c r="AJ3149" s="2">
        <v>0.17</v>
      </c>
      <c r="AK3149" s="1">
        <v>293661</v>
      </c>
      <c r="AL3149" t="s">
        <v>117</v>
      </c>
      <c r="AM3149" t="s">
        <v>616</v>
      </c>
      <c r="AN3149">
        <v>8116</v>
      </c>
      <c r="AO3149">
        <v>0.19</v>
      </c>
      <c r="AR3149">
        <v>1</v>
      </c>
      <c r="AS3149" s="1">
        <v>20910</v>
      </c>
      <c r="AT3149" s="1">
        <v>4180</v>
      </c>
      <c r="AU3149" s="1">
        <v>16730</v>
      </c>
      <c r="AV3149">
        <v>80.010000000000005</v>
      </c>
      <c r="AX3149" s="1">
        <v>2960.84</v>
      </c>
      <c r="AY3149" t="s">
        <v>805</v>
      </c>
      <c r="AZ3149" t="s">
        <v>806</v>
      </c>
      <c r="BA3149" t="s">
        <v>173</v>
      </c>
      <c r="BE3149" s="3">
        <v>42412</v>
      </c>
      <c r="BF3149" s="1">
        <v>240000</v>
      </c>
      <c r="BG3149" t="s">
        <v>20524</v>
      </c>
      <c r="BH3149" s="1">
        <v>103.76</v>
      </c>
      <c r="BI3149" s="1">
        <v>244215</v>
      </c>
      <c r="BJ3149" s="3">
        <v>42738</v>
      </c>
      <c r="BK3149" t="s">
        <v>123</v>
      </c>
      <c r="BL3149" t="str">
        <f>"2017.161"</f>
        <v>2017.161</v>
      </c>
      <c r="BM3149" t="s">
        <v>322</v>
      </c>
      <c r="BO3149" t="s">
        <v>20525</v>
      </c>
      <c r="BS3149">
        <v>30</v>
      </c>
      <c r="BW3149" t="str">
        <f>""</f>
        <v/>
      </c>
      <c r="CH3149" t="str">
        <f>""</f>
        <v/>
      </c>
      <c r="CS3149" t="str">
        <f>""</f>
        <v/>
      </c>
    </row>
    <row r="3150" spans="1:97" x14ac:dyDescent="0.25">
      <c r="A3150" t="s">
        <v>325</v>
      </c>
      <c r="B3150" t="s">
        <v>20526</v>
      </c>
      <c r="C3150" t="s">
        <v>2008</v>
      </c>
      <c r="D3150" t="s">
        <v>20526</v>
      </c>
      <c r="E3150" t="s">
        <v>20527</v>
      </c>
      <c r="F3150" t="s">
        <v>108</v>
      </c>
      <c r="H3150" t="s">
        <v>20528</v>
      </c>
      <c r="I3150" t="s">
        <v>3150</v>
      </c>
      <c r="J3150" t="s">
        <v>111</v>
      </c>
      <c r="K3150" t="str">
        <f>"85340"</f>
        <v>85340</v>
      </c>
      <c r="L3150" t="s">
        <v>5239</v>
      </c>
      <c r="M3150" t="s">
        <v>20528</v>
      </c>
      <c r="N3150" t="s">
        <v>3150</v>
      </c>
      <c r="O3150" t="s">
        <v>111</v>
      </c>
      <c r="P3150" t="str">
        <f>"85340-9345"</f>
        <v>85340-9345</v>
      </c>
      <c r="Q3150" t="s">
        <v>113</v>
      </c>
      <c r="R3150" t="str">
        <f>"501-56-438"</f>
        <v>501-56-438</v>
      </c>
      <c r="S3150" t="s">
        <v>7397</v>
      </c>
      <c r="T3150" t="s">
        <v>7397</v>
      </c>
      <c r="U3150">
        <v>2501</v>
      </c>
      <c r="V3150">
        <v>0</v>
      </c>
      <c r="W3150">
        <v>4</v>
      </c>
      <c r="X3150">
        <v>2015</v>
      </c>
      <c r="Z3150">
        <v>1</v>
      </c>
      <c r="AA3150" t="s">
        <v>26</v>
      </c>
      <c r="AB3150">
        <v>0</v>
      </c>
      <c r="AC3150" t="s">
        <v>115</v>
      </c>
      <c r="AD3150">
        <v>3</v>
      </c>
      <c r="AE3150" t="s">
        <v>115</v>
      </c>
      <c r="AF3150">
        <v>0</v>
      </c>
      <c r="AG3150">
        <v>0</v>
      </c>
      <c r="AH3150" t="s">
        <v>116</v>
      </c>
      <c r="AI3150" s="1">
        <v>12629</v>
      </c>
      <c r="AJ3150" s="2">
        <v>0.03</v>
      </c>
      <c r="AK3150" s="1">
        <v>450724</v>
      </c>
      <c r="AL3150" t="s">
        <v>117</v>
      </c>
      <c r="AM3150" t="s">
        <v>376</v>
      </c>
      <c r="AN3150">
        <v>32802</v>
      </c>
      <c r="AO3150">
        <v>0.75</v>
      </c>
      <c r="AR3150">
        <v>1</v>
      </c>
      <c r="AS3150" s="1">
        <v>35400</v>
      </c>
      <c r="AT3150" s="1">
        <v>7080</v>
      </c>
      <c r="AU3150" s="1">
        <v>28320</v>
      </c>
      <c r="AV3150">
        <v>80</v>
      </c>
      <c r="AX3150" s="1">
        <v>2402.08</v>
      </c>
      <c r="AY3150" t="s">
        <v>5241</v>
      </c>
      <c r="AZ3150" t="s">
        <v>3153</v>
      </c>
      <c r="BA3150" t="s">
        <v>3154</v>
      </c>
      <c r="BB3150" s="3">
        <v>42947</v>
      </c>
      <c r="BD3150" t="s">
        <v>157</v>
      </c>
      <c r="BE3150" s="3">
        <v>42122</v>
      </c>
      <c r="BF3150" s="1">
        <v>373000</v>
      </c>
      <c r="BG3150" t="s">
        <v>158</v>
      </c>
      <c r="BH3150" s="1">
        <v>149.13999999999999</v>
      </c>
      <c r="BI3150" s="1">
        <v>438095</v>
      </c>
      <c r="BJ3150" s="3">
        <v>42947</v>
      </c>
      <c r="BK3150" t="s">
        <v>123</v>
      </c>
      <c r="BL3150" t="str">
        <f>"2017.557450"</f>
        <v>2017.557450</v>
      </c>
      <c r="BM3150" t="s">
        <v>20529</v>
      </c>
      <c r="BO3150" t="s">
        <v>20530</v>
      </c>
      <c r="BS3150">
        <v>30</v>
      </c>
      <c r="BW3150" t="str">
        <f>""</f>
        <v/>
      </c>
      <c r="CH3150" t="str">
        <f>""</f>
        <v/>
      </c>
      <c r="CS3150" t="str">
        <f>""</f>
        <v/>
      </c>
    </row>
    <row r="3151" spans="1:97" x14ac:dyDescent="0.25">
      <c r="A3151" t="s">
        <v>4327</v>
      </c>
      <c r="B3151" t="s">
        <v>20531</v>
      </c>
      <c r="C3151" t="s">
        <v>20532</v>
      </c>
      <c r="D3151" t="s">
        <v>20531</v>
      </c>
      <c r="E3151" t="s">
        <v>20533</v>
      </c>
      <c r="F3151" t="s">
        <v>108</v>
      </c>
      <c r="H3151" t="s">
        <v>20534</v>
      </c>
      <c r="I3151" t="s">
        <v>6646</v>
      </c>
      <c r="J3151" t="s">
        <v>111</v>
      </c>
      <c r="K3151" t="str">
        <f>"85086"</f>
        <v>85086</v>
      </c>
      <c r="L3151" t="s">
        <v>2015</v>
      </c>
      <c r="M3151" t="s">
        <v>20534</v>
      </c>
      <c r="N3151" t="s">
        <v>6646</v>
      </c>
      <c r="O3151" t="s">
        <v>111</v>
      </c>
      <c r="P3151" t="str">
        <f>"85086-1687"</f>
        <v>85086-1687</v>
      </c>
      <c r="Q3151" t="s">
        <v>113</v>
      </c>
      <c r="R3151" t="str">
        <f>"203-05-580"</f>
        <v>203-05-580</v>
      </c>
      <c r="S3151" t="s">
        <v>18109</v>
      </c>
      <c r="U3151">
        <v>2469</v>
      </c>
      <c r="V3151">
        <v>0</v>
      </c>
      <c r="W3151">
        <v>4</v>
      </c>
      <c r="X3151">
        <v>2000</v>
      </c>
      <c r="Z3151">
        <v>2</v>
      </c>
      <c r="AA3151" t="s">
        <v>26</v>
      </c>
      <c r="AB3151">
        <v>0</v>
      </c>
      <c r="AC3151" t="s">
        <v>115</v>
      </c>
      <c r="AD3151">
        <v>3</v>
      </c>
      <c r="AE3151" t="s">
        <v>115</v>
      </c>
      <c r="AF3151">
        <v>0</v>
      </c>
      <c r="AG3151">
        <v>0</v>
      </c>
      <c r="AH3151" t="s">
        <v>116</v>
      </c>
      <c r="AI3151" s="1">
        <v>75807</v>
      </c>
      <c r="AJ3151" s="2">
        <v>0.19</v>
      </c>
      <c r="AK3151" s="1">
        <v>389765</v>
      </c>
      <c r="AL3151" t="s">
        <v>117</v>
      </c>
      <c r="AM3151" t="s">
        <v>393</v>
      </c>
      <c r="AN3151">
        <v>9861</v>
      </c>
      <c r="AO3151">
        <v>0.23</v>
      </c>
      <c r="AP3151">
        <v>1</v>
      </c>
      <c r="AR3151">
        <v>1</v>
      </c>
      <c r="AS3151" s="1">
        <v>28450</v>
      </c>
      <c r="AT3151" s="1">
        <v>5690</v>
      </c>
      <c r="AU3151" s="1">
        <v>22760</v>
      </c>
      <c r="AV3151">
        <v>80</v>
      </c>
      <c r="AX3151" s="1">
        <v>3025.2</v>
      </c>
      <c r="AY3151" t="s">
        <v>6648</v>
      </c>
      <c r="AZ3151" t="s">
        <v>6648</v>
      </c>
      <c r="BA3151" t="s">
        <v>378</v>
      </c>
      <c r="BE3151" s="3">
        <v>41737</v>
      </c>
      <c r="BF3151" s="1">
        <v>355000</v>
      </c>
      <c r="BG3151" t="s">
        <v>20535</v>
      </c>
      <c r="BH3151" s="1">
        <v>143.78</v>
      </c>
      <c r="BI3151" s="1">
        <v>313958</v>
      </c>
      <c r="BJ3151" s="3">
        <v>42746</v>
      </c>
      <c r="BK3151" t="s">
        <v>123</v>
      </c>
      <c r="BL3151" t="str">
        <f>"2017.22191"</f>
        <v>2017.22191</v>
      </c>
      <c r="BM3151" t="s">
        <v>724</v>
      </c>
      <c r="BO3151" t="s">
        <v>20536</v>
      </c>
      <c r="BS3151">
        <v>30</v>
      </c>
      <c r="BW3151" t="str">
        <f>""</f>
        <v/>
      </c>
      <c r="CH3151" t="str">
        <f>""</f>
        <v/>
      </c>
      <c r="CS3151" t="str">
        <f>""</f>
        <v/>
      </c>
    </row>
    <row r="3152" spans="1:97" x14ac:dyDescent="0.25">
      <c r="A3152" t="s">
        <v>894</v>
      </c>
      <c r="B3152" t="s">
        <v>20537</v>
      </c>
      <c r="C3152" t="s">
        <v>976</v>
      </c>
      <c r="D3152" t="s">
        <v>20537</v>
      </c>
      <c r="E3152" t="s">
        <v>20538</v>
      </c>
      <c r="F3152" t="s">
        <v>108</v>
      </c>
      <c r="H3152" t="s">
        <v>20539</v>
      </c>
      <c r="I3152" t="s">
        <v>499</v>
      </c>
      <c r="J3152" t="s">
        <v>111</v>
      </c>
      <c r="K3152" t="str">
        <f>"85395"</f>
        <v>85395</v>
      </c>
      <c r="L3152" t="s">
        <v>7005</v>
      </c>
      <c r="M3152" t="s">
        <v>20539</v>
      </c>
      <c r="N3152" t="s">
        <v>499</v>
      </c>
      <c r="O3152" t="s">
        <v>111</v>
      </c>
      <c r="P3152" t="str">
        <f>"85395-8969"</f>
        <v>85395-8969</v>
      </c>
      <c r="Q3152" t="s">
        <v>113</v>
      </c>
      <c r="R3152" t="str">
        <f>"508-14-169"</f>
        <v>508-14-169</v>
      </c>
      <c r="S3152" t="s">
        <v>14773</v>
      </c>
      <c r="T3152" t="s">
        <v>14987</v>
      </c>
      <c r="U3152">
        <v>2785</v>
      </c>
      <c r="V3152">
        <v>0</v>
      </c>
      <c r="W3152">
        <v>4</v>
      </c>
      <c r="X3152">
        <v>2005</v>
      </c>
      <c r="Z3152">
        <v>1</v>
      </c>
      <c r="AB3152">
        <v>0</v>
      </c>
      <c r="AC3152" t="s">
        <v>115</v>
      </c>
      <c r="AD3152">
        <v>3</v>
      </c>
      <c r="AE3152" t="s">
        <v>115</v>
      </c>
      <c r="AF3152">
        <v>0</v>
      </c>
      <c r="AG3152">
        <v>0</v>
      </c>
      <c r="AH3152" t="s">
        <v>116</v>
      </c>
      <c r="AI3152" s="1">
        <v>75897</v>
      </c>
      <c r="AJ3152" s="2">
        <v>0.2</v>
      </c>
      <c r="AK3152" s="1">
        <v>374685</v>
      </c>
      <c r="AL3152" t="s">
        <v>117</v>
      </c>
      <c r="AM3152" t="s">
        <v>118</v>
      </c>
      <c r="AN3152">
        <v>8400</v>
      </c>
      <c r="AO3152">
        <v>0.19</v>
      </c>
      <c r="AR3152">
        <v>1</v>
      </c>
      <c r="AS3152" s="1">
        <v>26670</v>
      </c>
      <c r="AT3152" s="1">
        <v>5330</v>
      </c>
      <c r="AU3152" s="1">
        <v>21340</v>
      </c>
      <c r="AV3152">
        <v>80.010000000000005</v>
      </c>
      <c r="AX3152" s="1">
        <v>2614.64</v>
      </c>
      <c r="AY3152" t="s">
        <v>3020</v>
      </c>
      <c r="AZ3152" t="s">
        <v>3020</v>
      </c>
      <c r="BA3152" t="s">
        <v>7186</v>
      </c>
      <c r="BE3152" s="3">
        <v>42338</v>
      </c>
      <c r="BF3152" s="1">
        <v>292500</v>
      </c>
      <c r="BG3152" t="s">
        <v>20540</v>
      </c>
      <c r="BH3152" s="1">
        <v>105.03</v>
      </c>
      <c r="BI3152" s="1">
        <v>298788</v>
      </c>
      <c r="BJ3152" s="3">
        <v>42338</v>
      </c>
      <c r="BK3152" t="s">
        <v>123</v>
      </c>
      <c r="BL3152" t="str">
        <f>"2015.847841"</f>
        <v>2015.847841</v>
      </c>
      <c r="BM3152" t="s">
        <v>20541</v>
      </c>
      <c r="BO3152" t="s">
        <v>20542</v>
      </c>
      <c r="BS3152">
        <v>30</v>
      </c>
      <c r="BW3152" t="str">
        <f>""</f>
        <v/>
      </c>
      <c r="CH3152" t="str">
        <f>""</f>
        <v/>
      </c>
      <c r="CS3152" t="str">
        <f>""</f>
        <v/>
      </c>
    </row>
    <row r="3153" spans="1:97" x14ac:dyDescent="0.25">
      <c r="A3153" t="s">
        <v>3817</v>
      </c>
      <c r="B3153" t="s">
        <v>20543</v>
      </c>
      <c r="C3153" t="s">
        <v>20544</v>
      </c>
      <c r="D3153" t="s">
        <v>20543</v>
      </c>
      <c r="E3153" t="s">
        <v>20545</v>
      </c>
      <c r="F3153" t="s">
        <v>108</v>
      </c>
      <c r="H3153" t="s">
        <v>20546</v>
      </c>
      <c r="I3153" t="s">
        <v>632</v>
      </c>
      <c r="J3153" t="s">
        <v>111</v>
      </c>
      <c r="K3153" t="str">
        <f>"85388"</f>
        <v>85388</v>
      </c>
      <c r="L3153" t="s">
        <v>7607</v>
      </c>
      <c r="M3153" t="s">
        <v>20546</v>
      </c>
      <c r="N3153" t="s">
        <v>632</v>
      </c>
      <c r="O3153" t="s">
        <v>111</v>
      </c>
      <c r="P3153" t="str">
        <f>"85388-1802"</f>
        <v>85388-1802</v>
      </c>
      <c r="Q3153" t="s">
        <v>113</v>
      </c>
      <c r="R3153" t="str">
        <f>"502-89-461"</f>
        <v>502-89-461</v>
      </c>
      <c r="S3153" t="s">
        <v>7646</v>
      </c>
      <c r="U3153">
        <v>2245</v>
      </c>
      <c r="V3153">
        <v>0</v>
      </c>
      <c r="W3153">
        <v>3</v>
      </c>
      <c r="X3153">
        <v>2014</v>
      </c>
      <c r="Z3153">
        <v>1</v>
      </c>
      <c r="AB3153">
        <v>0</v>
      </c>
      <c r="AC3153" t="s">
        <v>115</v>
      </c>
      <c r="AD3153">
        <v>3</v>
      </c>
      <c r="AE3153" t="s">
        <v>115</v>
      </c>
      <c r="AF3153">
        <v>0</v>
      </c>
      <c r="AG3153">
        <v>0</v>
      </c>
      <c r="AH3153" t="s">
        <v>116</v>
      </c>
      <c r="AI3153" s="1">
        <v>50718</v>
      </c>
      <c r="AJ3153" s="2">
        <v>0.16</v>
      </c>
      <c r="AK3153" s="1">
        <v>310708</v>
      </c>
      <c r="AL3153" t="s">
        <v>117</v>
      </c>
      <c r="AM3153" t="s">
        <v>118</v>
      </c>
      <c r="AN3153">
        <v>7800</v>
      </c>
      <c r="AO3153">
        <v>0.18</v>
      </c>
      <c r="AR3153">
        <v>1</v>
      </c>
      <c r="AS3153" s="1">
        <v>22880</v>
      </c>
      <c r="AT3153" s="1">
        <v>4570</v>
      </c>
      <c r="AU3153" s="1">
        <v>18310</v>
      </c>
      <c r="AV3153">
        <v>80.03</v>
      </c>
      <c r="AX3153" s="1">
        <v>1999.78</v>
      </c>
      <c r="AY3153" t="s">
        <v>5168</v>
      </c>
      <c r="AZ3153" t="s">
        <v>5168</v>
      </c>
      <c r="BA3153" t="s">
        <v>5109</v>
      </c>
      <c r="BE3153" s="3">
        <v>41935</v>
      </c>
      <c r="BF3153" s="1">
        <v>259990</v>
      </c>
      <c r="BG3153" t="s">
        <v>275</v>
      </c>
      <c r="BH3153" s="1">
        <v>115.81</v>
      </c>
      <c r="BI3153" s="1">
        <v>259990</v>
      </c>
      <c r="BJ3153" s="3">
        <v>41935</v>
      </c>
      <c r="BK3153" t="s">
        <v>123</v>
      </c>
      <c r="BL3153" t="str">
        <f>"2014.701367"</f>
        <v>2014.701367</v>
      </c>
      <c r="BM3153" t="s">
        <v>651</v>
      </c>
      <c r="BO3153" t="s">
        <v>20547</v>
      </c>
      <c r="BS3153">
        <v>30</v>
      </c>
      <c r="BW3153" t="str">
        <f>""</f>
        <v/>
      </c>
      <c r="CH3153" t="str">
        <f>""</f>
        <v/>
      </c>
      <c r="CS3153" t="str">
        <f>""</f>
        <v/>
      </c>
    </row>
    <row r="3154" spans="1:97" x14ac:dyDescent="0.25">
      <c r="A3154" t="s">
        <v>20548</v>
      </c>
      <c r="B3154" t="s">
        <v>327</v>
      </c>
      <c r="C3154" t="s">
        <v>484</v>
      </c>
      <c r="D3154" t="s">
        <v>327</v>
      </c>
      <c r="E3154" t="s">
        <v>20549</v>
      </c>
      <c r="F3154" t="s">
        <v>108</v>
      </c>
      <c r="H3154" t="s">
        <v>20550</v>
      </c>
      <c r="I3154" t="s">
        <v>5863</v>
      </c>
      <c r="J3154" t="s">
        <v>111</v>
      </c>
      <c r="K3154" t="str">
        <f>"85375"</f>
        <v>85375</v>
      </c>
      <c r="L3154" t="s">
        <v>2547</v>
      </c>
      <c r="M3154" t="s">
        <v>20550</v>
      </c>
      <c r="N3154" t="s">
        <v>5863</v>
      </c>
      <c r="O3154" t="s">
        <v>111</v>
      </c>
      <c r="P3154" t="str">
        <f>"85375-5423"</f>
        <v>85375-5423</v>
      </c>
      <c r="Q3154" t="s">
        <v>113</v>
      </c>
      <c r="R3154" t="str">
        <f>"232-16-153"</f>
        <v>232-16-153</v>
      </c>
      <c r="S3154" t="s">
        <v>20551</v>
      </c>
      <c r="U3154">
        <v>1984</v>
      </c>
      <c r="V3154">
        <v>0</v>
      </c>
      <c r="W3154">
        <v>3</v>
      </c>
      <c r="X3154">
        <v>1987</v>
      </c>
      <c r="Z3154">
        <v>1</v>
      </c>
      <c r="AA3154" t="s">
        <v>26</v>
      </c>
      <c r="AB3154">
        <v>0</v>
      </c>
      <c r="AC3154" t="s">
        <v>115</v>
      </c>
      <c r="AD3154">
        <v>2</v>
      </c>
      <c r="AE3154" t="s">
        <v>115</v>
      </c>
      <c r="AF3154">
        <v>0</v>
      </c>
      <c r="AG3154">
        <v>0</v>
      </c>
      <c r="AH3154" t="s">
        <v>116</v>
      </c>
      <c r="AI3154" s="1">
        <v>84087</v>
      </c>
      <c r="AJ3154" s="2">
        <v>0.27</v>
      </c>
      <c r="AK3154" s="1">
        <v>314187</v>
      </c>
      <c r="AL3154" t="s">
        <v>117</v>
      </c>
      <c r="AM3154" t="s">
        <v>393</v>
      </c>
      <c r="AN3154">
        <v>10143</v>
      </c>
      <c r="AO3154">
        <v>0.23</v>
      </c>
      <c r="AP3154">
        <v>1</v>
      </c>
      <c r="AR3154">
        <v>1</v>
      </c>
      <c r="AS3154" s="1">
        <v>21020</v>
      </c>
      <c r="AT3154" s="1">
        <v>4200</v>
      </c>
      <c r="AU3154" s="1">
        <v>16820</v>
      </c>
      <c r="AV3154">
        <v>80.02</v>
      </c>
      <c r="AX3154" s="1">
        <v>1764.68</v>
      </c>
      <c r="AY3154" t="s">
        <v>320</v>
      </c>
      <c r="AZ3154" t="s">
        <v>320</v>
      </c>
      <c r="BA3154" t="s">
        <v>321</v>
      </c>
      <c r="BE3154" s="3">
        <v>41838</v>
      </c>
      <c r="BF3154" s="1">
        <v>225000</v>
      </c>
      <c r="BG3154" t="s">
        <v>20552</v>
      </c>
      <c r="BH3154" s="1">
        <v>113.41</v>
      </c>
      <c r="BI3154" s="1">
        <v>230100</v>
      </c>
      <c r="BJ3154" s="3">
        <v>42186</v>
      </c>
      <c r="BK3154" t="s">
        <v>123</v>
      </c>
      <c r="BL3154" t="str">
        <f>"2015.473117"</f>
        <v>2015.473117</v>
      </c>
      <c r="BM3154" t="s">
        <v>1695</v>
      </c>
      <c r="BO3154" t="s">
        <v>20553</v>
      </c>
      <c r="BS3154">
        <v>30</v>
      </c>
      <c r="BW3154" t="str">
        <f>""</f>
        <v/>
      </c>
      <c r="CH3154" t="str">
        <f>""</f>
        <v/>
      </c>
      <c r="CS3154" t="str">
        <f>""</f>
        <v/>
      </c>
    </row>
    <row r="3155" spans="1:97" x14ac:dyDescent="0.25">
      <c r="A3155" t="s">
        <v>140</v>
      </c>
      <c r="B3155" t="s">
        <v>20554</v>
      </c>
      <c r="C3155" t="s">
        <v>1423</v>
      </c>
      <c r="D3155" t="s">
        <v>20555</v>
      </c>
      <c r="E3155" t="s">
        <v>20556</v>
      </c>
      <c r="F3155" t="s">
        <v>108</v>
      </c>
      <c r="H3155" t="s">
        <v>20557</v>
      </c>
      <c r="I3155" t="s">
        <v>390</v>
      </c>
      <c r="J3155" t="s">
        <v>111</v>
      </c>
      <c r="K3155" t="str">
        <f>"85085"</f>
        <v>85085</v>
      </c>
      <c r="L3155" t="s">
        <v>3101</v>
      </c>
      <c r="M3155" t="s">
        <v>20557</v>
      </c>
      <c r="N3155" t="s">
        <v>390</v>
      </c>
      <c r="O3155" t="s">
        <v>111</v>
      </c>
      <c r="P3155" t="str">
        <f>"85085-5314"</f>
        <v>85085-5314</v>
      </c>
      <c r="Q3155" t="s">
        <v>113</v>
      </c>
      <c r="R3155" t="str">
        <f>"210-02-087"</f>
        <v>210-02-087</v>
      </c>
      <c r="S3155" t="s">
        <v>13362</v>
      </c>
      <c r="T3155" t="s">
        <v>13363</v>
      </c>
      <c r="U3155">
        <v>2639</v>
      </c>
      <c r="V3155">
        <v>0</v>
      </c>
      <c r="W3155">
        <v>4</v>
      </c>
      <c r="X3155">
        <v>2008</v>
      </c>
      <c r="Z3155">
        <v>2</v>
      </c>
      <c r="AB3155">
        <v>0</v>
      </c>
      <c r="AC3155" t="s">
        <v>115</v>
      </c>
      <c r="AD3155">
        <v>3</v>
      </c>
      <c r="AE3155" t="s">
        <v>115</v>
      </c>
      <c r="AF3155">
        <v>0</v>
      </c>
      <c r="AG3155">
        <v>0</v>
      </c>
      <c r="AH3155" t="s">
        <v>116</v>
      </c>
      <c r="AI3155" s="1">
        <v>58321</v>
      </c>
      <c r="AJ3155" s="2">
        <v>0.14000000000000001</v>
      </c>
      <c r="AK3155" s="1">
        <v>419871</v>
      </c>
      <c r="AL3155" t="s">
        <v>117</v>
      </c>
      <c r="AM3155" t="s">
        <v>191</v>
      </c>
      <c r="AN3155">
        <v>6250</v>
      </c>
      <c r="AO3155">
        <v>0.14000000000000001</v>
      </c>
      <c r="AR3155">
        <v>1</v>
      </c>
      <c r="AS3155" s="1">
        <v>31560</v>
      </c>
      <c r="AT3155" s="1">
        <v>6310</v>
      </c>
      <c r="AU3155" s="1">
        <v>25250</v>
      </c>
      <c r="AV3155">
        <v>80.010000000000005</v>
      </c>
      <c r="AX3155" s="1">
        <v>2784.88</v>
      </c>
      <c r="AY3155" t="s">
        <v>1461</v>
      </c>
      <c r="AZ3155" t="s">
        <v>1461</v>
      </c>
      <c r="BA3155" t="s">
        <v>1462</v>
      </c>
      <c r="BE3155" s="3">
        <v>42356</v>
      </c>
      <c r="BF3155" s="1">
        <v>350000</v>
      </c>
      <c r="BG3155" t="s">
        <v>20558</v>
      </c>
      <c r="BH3155" s="1">
        <v>132.63</v>
      </c>
      <c r="BI3155" s="1">
        <v>361550</v>
      </c>
      <c r="BJ3155" s="3">
        <v>42356</v>
      </c>
      <c r="BK3155" t="s">
        <v>123</v>
      </c>
      <c r="BL3155" t="str">
        <f>"2015.894777"</f>
        <v>2015.894777</v>
      </c>
      <c r="BM3155" t="s">
        <v>594</v>
      </c>
      <c r="BO3155" t="s">
        <v>20559</v>
      </c>
      <c r="BP3155" t="s">
        <v>20560</v>
      </c>
      <c r="BS3155">
        <v>30</v>
      </c>
      <c r="BW3155" t="str">
        <f>""</f>
        <v/>
      </c>
      <c r="CH3155" t="str">
        <f>""</f>
        <v/>
      </c>
      <c r="CS3155" t="str">
        <f>""</f>
        <v/>
      </c>
    </row>
    <row r="3156" spans="1:97" x14ac:dyDescent="0.25">
      <c r="A3156" t="s">
        <v>1340</v>
      </c>
      <c r="B3156" t="s">
        <v>20561</v>
      </c>
      <c r="C3156" t="s">
        <v>11735</v>
      </c>
      <c r="D3156" t="s">
        <v>20561</v>
      </c>
      <c r="E3156" t="s">
        <v>20562</v>
      </c>
      <c r="F3156" t="s">
        <v>108</v>
      </c>
      <c r="H3156" t="s">
        <v>20563</v>
      </c>
      <c r="I3156" t="s">
        <v>5387</v>
      </c>
      <c r="J3156" t="s">
        <v>111</v>
      </c>
      <c r="K3156" t="str">
        <f>"85284"</f>
        <v>85284</v>
      </c>
      <c r="L3156" t="s">
        <v>7005</v>
      </c>
      <c r="M3156" t="s">
        <v>20563</v>
      </c>
      <c r="N3156" t="s">
        <v>5387</v>
      </c>
      <c r="O3156" t="s">
        <v>111</v>
      </c>
      <c r="P3156" t="str">
        <f>"85284-1305"</f>
        <v>85284-1305</v>
      </c>
      <c r="Q3156" t="s">
        <v>113</v>
      </c>
      <c r="R3156" t="str">
        <f>"301-52-234"</f>
        <v>301-52-234</v>
      </c>
      <c r="S3156" t="s">
        <v>20564</v>
      </c>
      <c r="T3156" t="s">
        <v>20565</v>
      </c>
      <c r="U3156">
        <v>2998</v>
      </c>
      <c r="V3156">
        <v>0</v>
      </c>
      <c r="W3156">
        <v>4</v>
      </c>
      <c r="X3156">
        <v>1980</v>
      </c>
      <c r="Z3156">
        <v>1</v>
      </c>
      <c r="AA3156" t="s">
        <v>26</v>
      </c>
      <c r="AB3156">
        <v>0</v>
      </c>
      <c r="AC3156" t="s">
        <v>115</v>
      </c>
      <c r="AD3156">
        <v>3</v>
      </c>
      <c r="AE3156" t="s">
        <v>115</v>
      </c>
      <c r="AF3156">
        <v>0</v>
      </c>
      <c r="AG3156">
        <v>0</v>
      </c>
      <c r="AH3156" t="s">
        <v>116</v>
      </c>
      <c r="AI3156" s="1">
        <v>134635</v>
      </c>
      <c r="AJ3156" s="2">
        <v>0.21</v>
      </c>
      <c r="AK3156" s="1">
        <v>626385</v>
      </c>
      <c r="AL3156" t="s">
        <v>117</v>
      </c>
      <c r="AM3156" t="s">
        <v>1521</v>
      </c>
      <c r="AN3156">
        <v>23798</v>
      </c>
      <c r="AO3156">
        <v>0.55000000000000004</v>
      </c>
      <c r="AP3156">
        <v>1</v>
      </c>
      <c r="AR3156">
        <v>1</v>
      </c>
      <c r="AS3156" s="1">
        <v>51620</v>
      </c>
      <c r="AT3156" s="1">
        <v>10320</v>
      </c>
      <c r="AU3156" s="1">
        <v>41300</v>
      </c>
      <c r="AV3156">
        <v>80.010000000000005</v>
      </c>
      <c r="AX3156" s="1">
        <v>5998.94</v>
      </c>
      <c r="AY3156" t="s">
        <v>8795</v>
      </c>
      <c r="AZ3156" t="s">
        <v>5391</v>
      </c>
      <c r="BA3156" t="s">
        <v>5202</v>
      </c>
      <c r="BE3156" s="3">
        <v>42223</v>
      </c>
      <c r="BF3156" s="1">
        <v>510000</v>
      </c>
      <c r="BG3156" t="s">
        <v>20566</v>
      </c>
      <c r="BH3156" s="1">
        <v>170.11</v>
      </c>
      <c r="BI3156" s="1">
        <v>491750</v>
      </c>
      <c r="BJ3156" s="3">
        <v>42223</v>
      </c>
      <c r="BK3156" t="s">
        <v>123</v>
      </c>
      <c r="BL3156" t="str">
        <f>"2015.572240"</f>
        <v>2015.572240</v>
      </c>
      <c r="BM3156" t="s">
        <v>124</v>
      </c>
      <c r="BO3156" t="s">
        <v>20567</v>
      </c>
      <c r="BS3156">
        <v>30</v>
      </c>
      <c r="BW3156" t="str">
        <f>""</f>
        <v/>
      </c>
      <c r="CH3156" t="str">
        <f>""</f>
        <v/>
      </c>
      <c r="CS3156" t="str">
        <f>""</f>
        <v/>
      </c>
    </row>
    <row r="3157" spans="1:97" x14ac:dyDescent="0.25">
      <c r="A3157" t="s">
        <v>3077</v>
      </c>
      <c r="B3157" t="s">
        <v>20568</v>
      </c>
      <c r="C3157" t="s">
        <v>933</v>
      </c>
      <c r="D3157" t="s">
        <v>20568</v>
      </c>
      <c r="E3157" t="s">
        <v>20569</v>
      </c>
      <c r="F3157" t="s">
        <v>108</v>
      </c>
      <c r="H3157" t="s">
        <v>20570</v>
      </c>
      <c r="I3157" t="s">
        <v>167</v>
      </c>
      <c r="J3157" t="s">
        <v>111</v>
      </c>
      <c r="K3157" t="str">
        <f>"85339"</f>
        <v>85339</v>
      </c>
      <c r="L3157" t="s">
        <v>3885</v>
      </c>
      <c r="M3157" t="s">
        <v>20570</v>
      </c>
      <c r="N3157" t="s">
        <v>167</v>
      </c>
      <c r="O3157" t="s">
        <v>111</v>
      </c>
      <c r="P3157" t="str">
        <f>"85339-7780"</f>
        <v>85339-7780</v>
      </c>
      <c r="Q3157" t="s">
        <v>113</v>
      </c>
      <c r="R3157" t="str">
        <f>"300-11-719"</f>
        <v>300-11-719</v>
      </c>
      <c r="S3157" t="s">
        <v>20571</v>
      </c>
      <c r="T3157" t="s">
        <v>20572</v>
      </c>
      <c r="U3157">
        <v>2939</v>
      </c>
      <c r="V3157">
        <v>0</v>
      </c>
      <c r="W3157">
        <v>4</v>
      </c>
      <c r="X3157">
        <v>2008</v>
      </c>
      <c r="Z3157">
        <v>1</v>
      </c>
      <c r="AA3157" t="s">
        <v>26</v>
      </c>
      <c r="AB3157">
        <v>0</v>
      </c>
      <c r="AC3157" t="s">
        <v>115</v>
      </c>
      <c r="AD3157">
        <v>3</v>
      </c>
      <c r="AE3157" t="s">
        <v>115</v>
      </c>
      <c r="AF3157">
        <v>0</v>
      </c>
      <c r="AG3157">
        <v>0</v>
      </c>
      <c r="AH3157" t="s">
        <v>116</v>
      </c>
      <c r="AI3157" s="1">
        <v>79564</v>
      </c>
      <c r="AJ3157" s="2">
        <v>0.19</v>
      </c>
      <c r="AK3157" s="1">
        <v>412825</v>
      </c>
      <c r="AL3157" t="s">
        <v>117</v>
      </c>
      <c r="AM3157" t="s">
        <v>616</v>
      </c>
      <c r="AN3157">
        <v>17688</v>
      </c>
      <c r="AO3157">
        <v>0.41</v>
      </c>
      <c r="AR3157">
        <v>1</v>
      </c>
      <c r="AS3157" s="1">
        <v>29660</v>
      </c>
      <c r="AT3157" s="1">
        <v>5930</v>
      </c>
      <c r="AU3157" s="1">
        <v>23730</v>
      </c>
      <c r="AV3157">
        <v>80.010000000000005</v>
      </c>
      <c r="AX3157" s="1">
        <v>4035.98</v>
      </c>
      <c r="AY3157" t="s">
        <v>806</v>
      </c>
      <c r="AZ3157" t="s">
        <v>806</v>
      </c>
      <c r="BA3157" t="s">
        <v>173</v>
      </c>
      <c r="BB3157" s="3">
        <v>43076</v>
      </c>
      <c r="BD3157" t="s">
        <v>157</v>
      </c>
      <c r="BE3157" s="3">
        <v>42430</v>
      </c>
      <c r="BF3157" s="1">
        <v>339990</v>
      </c>
      <c r="BG3157" t="s">
        <v>20573</v>
      </c>
      <c r="BH3157" s="1">
        <v>115.68</v>
      </c>
      <c r="BI3157" s="1">
        <v>333261</v>
      </c>
      <c r="BJ3157" s="3">
        <v>42508</v>
      </c>
      <c r="BK3157" t="s">
        <v>123</v>
      </c>
      <c r="BL3157" t="str">
        <f>"2016.340525"</f>
        <v>2016.340525</v>
      </c>
      <c r="BM3157" t="s">
        <v>1695</v>
      </c>
      <c r="BN3157" t="s">
        <v>9191</v>
      </c>
      <c r="BO3157" t="s">
        <v>20574</v>
      </c>
      <c r="BS3157">
        <v>30</v>
      </c>
      <c r="BW3157" t="str">
        <f>""</f>
        <v/>
      </c>
      <c r="CH3157" t="str">
        <f>""</f>
        <v/>
      </c>
      <c r="CS3157" t="str">
        <f>""</f>
        <v/>
      </c>
    </row>
    <row r="3158" spans="1:97" x14ac:dyDescent="0.25">
      <c r="A3158" t="s">
        <v>1697</v>
      </c>
      <c r="B3158" t="s">
        <v>3265</v>
      </c>
      <c r="C3158" t="s">
        <v>3282</v>
      </c>
      <c r="D3158" t="s">
        <v>3265</v>
      </c>
      <c r="E3158" t="s">
        <v>20575</v>
      </c>
      <c r="F3158" t="s">
        <v>108</v>
      </c>
      <c r="H3158" t="s">
        <v>20576</v>
      </c>
      <c r="I3158" t="s">
        <v>5387</v>
      </c>
      <c r="J3158" t="s">
        <v>111</v>
      </c>
      <c r="K3158" t="str">
        <f>"85283"</f>
        <v>85283</v>
      </c>
      <c r="L3158" t="s">
        <v>6460</v>
      </c>
      <c r="M3158" t="s">
        <v>20576</v>
      </c>
      <c r="N3158" t="s">
        <v>5387</v>
      </c>
      <c r="O3158" t="s">
        <v>111</v>
      </c>
      <c r="P3158" t="str">
        <f>"85283-3103"</f>
        <v>85283-3103</v>
      </c>
      <c r="Q3158" t="s">
        <v>113</v>
      </c>
      <c r="R3158" t="str">
        <f>"301-91-243"</f>
        <v>301-91-243</v>
      </c>
      <c r="S3158" t="s">
        <v>16895</v>
      </c>
      <c r="T3158" t="s">
        <v>16896</v>
      </c>
      <c r="U3158">
        <v>1652</v>
      </c>
      <c r="V3158">
        <v>0</v>
      </c>
      <c r="W3158">
        <v>3</v>
      </c>
      <c r="X3158">
        <v>1973</v>
      </c>
      <c r="Z3158">
        <v>1</v>
      </c>
      <c r="AA3158" t="s">
        <v>26</v>
      </c>
      <c r="AB3158">
        <v>0</v>
      </c>
      <c r="AC3158" t="s">
        <v>115</v>
      </c>
      <c r="AD3158">
        <v>2</v>
      </c>
      <c r="AE3158" t="s">
        <v>115</v>
      </c>
      <c r="AF3158">
        <v>0</v>
      </c>
      <c r="AG3158">
        <v>0</v>
      </c>
      <c r="AH3158" t="s">
        <v>116</v>
      </c>
      <c r="AI3158" s="1">
        <v>74218</v>
      </c>
      <c r="AJ3158" s="2">
        <v>0.22</v>
      </c>
      <c r="AK3158" s="1">
        <v>336600</v>
      </c>
      <c r="AL3158" t="s">
        <v>117</v>
      </c>
      <c r="AM3158" t="s">
        <v>191</v>
      </c>
      <c r="AN3158">
        <v>8141</v>
      </c>
      <c r="AO3158">
        <v>0.19</v>
      </c>
      <c r="AP3158">
        <v>1</v>
      </c>
      <c r="AR3158">
        <v>1</v>
      </c>
      <c r="AS3158" s="1">
        <v>23160</v>
      </c>
      <c r="AT3158" s="1">
        <v>4630</v>
      </c>
      <c r="AU3158" s="1">
        <v>18530</v>
      </c>
      <c r="AV3158">
        <v>80.010000000000005</v>
      </c>
      <c r="AX3158" s="1">
        <v>2368.12</v>
      </c>
      <c r="AY3158" t="s">
        <v>6725</v>
      </c>
      <c r="AZ3158" t="s">
        <v>6726</v>
      </c>
      <c r="BA3158" t="s">
        <v>5392</v>
      </c>
      <c r="BE3158" s="3">
        <v>42151</v>
      </c>
      <c r="BF3158" s="1">
        <v>254000</v>
      </c>
      <c r="BG3158" t="s">
        <v>20577</v>
      </c>
      <c r="BH3158" s="1">
        <v>153.75</v>
      </c>
      <c r="BI3158" s="1">
        <v>262382</v>
      </c>
      <c r="BJ3158" s="3">
        <v>42151</v>
      </c>
      <c r="BK3158" t="s">
        <v>123</v>
      </c>
      <c r="BL3158" t="str">
        <f>"2015.373041"</f>
        <v>2015.373041</v>
      </c>
      <c r="BM3158" t="s">
        <v>544</v>
      </c>
      <c r="BO3158" t="s">
        <v>20578</v>
      </c>
      <c r="BS3158">
        <v>30</v>
      </c>
      <c r="BW3158" t="str">
        <f>""</f>
        <v/>
      </c>
      <c r="CH3158" t="str">
        <f>""</f>
        <v/>
      </c>
      <c r="CS3158" t="str">
        <f>""</f>
        <v/>
      </c>
    </row>
    <row r="3159" spans="1:97" x14ac:dyDescent="0.25">
      <c r="A3159" t="s">
        <v>1344</v>
      </c>
      <c r="B3159" t="s">
        <v>20579</v>
      </c>
      <c r="C3159" t="s">
        <v>12680</v>
      </c>
      <c r="D3159" t="s">
        <v>20579</v>
      </c>
      <c r="E3159" t="s">
        <v>20580</v>
      </c>
      <c r="F3159" t="s">
        <v>108</v>
      </c>
      <c r="H3159" t="s">
        <v>20581</v>
      </c>
      <c r="I3159" t="s">
        <v>499</v>
      </c>
      <c r="J3159" t="s">
        <v>111</v>
      </c>
      <c r="K3159" t="str">
        <f>"85395"</f>
        <v>85395</v>
      </c>
      <c r="L3159" t="s">
        <v>5743</v>
      </c>
      <c r="M3159" t="s">
        <v>20581</v>
      </c>
      <c r="N3159" t="s">
        <v>499</v>
      </c>
      <c r="O3159" t="s">
        <v>111</v>
      </c>
      <c r="P3159" t="str">
        <f>"85395-6366"</f>
        <v>85395-6366</v>
      </c>
      <c r="Q3159" t="s">
        <v>113</v>
      </c>
      <c r="R3159" t="str">
        <f>"508-13-227"</f>
        <v>508-13-227</v>
      </c>
      <c r="S3159" t="s">
        <v>5744</v>
      </c>
      <c r="T3159" t="s">
        <v>5745</v>
      </c>
      <c r="U3159">
        <v>3341</v>
      </c>
      <c r="V3159">
        <v>0</v>
      </c>
      <c r="W3159">
        <v>4</v>
      </c>
      <c r="X3159">
        <v>2005</v>
      </c>
      <c r="Z3159">
        <v>2</v>
      </c>
      <c r="AB3159">
        <v>0</v>
      </c>
      <c r="AC3159" t="s">
        <v>115</v>
      </c>
      <c r="AD3159">
        <v>3</v>
      </c>
      <c r="AE3159" t="s">
        <v>115</v>
      </c>
      <c r="AF3159">
        <v>0</v>
      </c>
      <c r="AG3159">
        <v>0</v>
      </c>
      <c r="AH3159" t="s">
        <v>116</v>
      </c>
      <c r="AI3159" s="1">
        <v>47826</v>
      </c>
      <c r="AJ3159" s="2">
        <v>0.12</v>
      </c>
      <c r="AK3159" s="1">
        <v>409172</v>
      </c>
      <c r="AL3159" t="s">
        <v>117</v>
      </c>
      <c r="AM3159" t="s">
        <v>118</v>
      </c>
      <c r="AN3159">
        <v>8750</v>
      </c>
      <c r="AO3159">
        <v>0.2</v>
      </c>
      <c r="AR3159">
        <v>1</v>
      </c>
      <c r="AS3159" s="1">
        <v>28060</v>
      </c>
      <c r="AT3159" s="1">
        <v>5610</v>
      </c>
      <c r="AU3159" s="1">
        <v>22450</v>
      </c>
      <c r="AV3159">
        <v>80.010000000000005</v>
      </c>
      <c r="AX3159" s="1">
        <v>3087.14</v>
      </c>
      <c r="AY3159" t="s">
        <v>3020</v>
      </c>
      <c r="AZ3159" t="s">
        <v>3020</v>
      </c>
      <c r="BA3159" t="s">
        <v>3154</v>
      </c>
      <c r="BE3159" s="3">
        <v>42179</v>
      </c>
      <c r="BF3159" s="1">
        <v>358000</v>
      </c>
      <c r="BG3159" t="s">
        <v>20582</v>
      </c>
      <c r="BH3159" s="1">
        <v>107.15</v>
      </c>
      <c r="BI3159" s="1">
        <v>361346</v>
      </c>
      <c r="BJ3159" s="3">
        <v>42517</v>
      </c>
      <c r="BK3159" t="s">
        <v>123</v>
      </c>
      <c r="BL3159" t="str">
        <f>"2016.369359"</f>
        <v>2016.369359</v>
      </c>
      <c r="BM3159" t="s">
        <v>6517</v>
      </c>
      <c r="BO3159" t="s">
        <v>20583</v>
      </c>
      <c r="BS3159">
        <v>30</v>
      </c>
      <c r="BW3159" t="str">
        <f>""</f>
        <v/>
      </c>
      <c r="CH3159" t="str">
        <f>""</f>
        <v/>
      </c>
      <c r="CS3159" t="str">
        <f>""</f>
        <v/>
      </c>
    </row>
    <row r="3160" spans="1:97" x14ac:dyDescent="0.25">
      <c r="A3160" t="s">
        <v>18776</v>
      </c>
      <c r="B3160" t="s">
        <v>20584</v>
      </c>
      <c r="C3160" t="s">
        <v>5869</v>
      </c>
      <c r="D3160" t="s">
        <v>20584</v>
      </c>
      <c r="E3160" t="s">
        <v>20585</v>
      </c>
      <c r="F3160" t="s">
        <v>108</v>
      </c>
      <c r="H3160" t="s">
        <v>20586</v>
      </c>
      <c r="I3160" t="s">
        <v>225</v>
      </c>
      <c r="J3160" t="s">
        <v>111</v>
      </c>
      <c r="K3160" t="str">
        <f>"85212"</f>
        <v>85212</v>
      </c>
      <c r="L3160" t="s">
        <v>567</v>
      </c>
      <c r="M3160" t="s">
        <v>20586</v>
      </c>
      <c r="N3160" t="s">
        <v>225</v>
      </c>
      <c r="O3160" t="s">
        <v>111</v>
      </c>
      <c r="P3160" t="str">
        <f>"85212-1733"</f>
        <v>85212-1733</v>
      </c>
      <c r="Q3160" t="s">
        <v>113</v>
      </c>
      <c r="R3160" t="str">
        <f>"309-16-185"</f>
        <v>309-16-185</v>
      </c>
      <c r="S3160" t="s">
        <v>20587</v>
      </c>
      <c r="T3160" t="s">
        <v>20587</v>
      </c>
      <c r="U3160">
        <v>2089</v>
      </c>
      <c r="V3160">
        <v>0</v>
      </c>
      <c r="W3160">
        <v>3</v>
      </c>
      <c r="X3160">
        <v>1998</v>
      </c>
      <c r="Z3160">
        <v>1</v>
      </c>
      <c r="AA3160" t="s">
        <v>26</v>
      </c>
      <c r="AB3160">
        <v>0</v>
      </c>
      <c r="AC3160" t="s">
        <v>115</v>
      </c>
      <c r="AD3160">
        <v>3</v>
      </c>
      <c r="AE3160" t="s">
        <v>115</v>
      </c>
      <c r="AF3160">
        <v>0</v>
      </c>
      <c r="AG3160">
        <v>0</v>
      </c>
      <c r="AH3160" t="s">
        <v>116</v>
      </c>
      <c r="AI3160" s="1">
        <v>73427</v>
      </c>
      <c r="AJ3160" s="2">
        <v>0.22</v>
      </c>
      <c r="AK3160" s="1">
        <v>341327</v>
      </c>
      <c r="AL3160" t="s">
        <v>117</v>
      </c>
      <c r="AM3160" t="s">
        <v>191</v>
      </c>
      <c r="AN3160">
        <v>7157</v>
      </c>
      <c r="AO3160">
        <v>0.16</v>
      </c>
      <c r="AP3160">
        <v>1</v>
      </c>
      <c r="AR3160">
        <v>1</v>
      </c>
      <c r="AS3160" s="1">
        <v>24210</v>
      </c>
      <c r="AT3160" s="1">
        <v>4840</v>
      </c>
      <c r="AU3160" s="1">
        <v>19370</v>
      </c>
      <c r="AV3160">
        <v>80.010000000000005</v>
      </c>
      <c r="AX3160" s="1">
        <v>1772.06</v>
      </c>
      <c r="AY3160" t="s">
        <v>570</v>
      </c>
      <c r="AZ3160" t="s">
        <v>777</v>
      </c>
      <c r="BA3160" t="s">
        <v>572</v>
      </c>
      <c r="BE3160" s="3">
        <v>41774</v>
      </c>
      <c r="BF3160" s="1">
        <v>245000</v>
      </c>
      <c r="BG3160" t="s">
        <v>20588</v>
      </c>
      <c r="BH3160" s="1">
        <v>117.28</v>
      </c>
      <c r="BI3160" s="1">
        <v>267900</v>
      </c>
      <c r="BJ3160" s="3">
        <v>42460</v>
      </c>
      <c r="BK3160" t="s">
        <v>123</v>
      </c>
      <c r="BL3160" t="str">
        <f>"2016.208064"</f>
        <v>2016.208064</v>
      </c>
      <c r="BM3160" t="s">
        <v>361</v>
      </c>
      <c r="BO3160" t="s">
        <v>20589</v>
      </c>
      <c r="BS3160">
        <v>30</v>
      </c>
      <c r="BW3160" t="str">
        <f>""</f>
        <v/>
      </c>
      <c r="CH3160" t="str">
        <f>""</f>
        <v/>
      </c>
      <c r="CS3160" t="str">
        <f>""</f>
        <v/>
      </c>
    </row>
    <row r="3161" spans="1:97" x14ac:dyDescent="0.25">
      <c r="A3161" t="s">
        <v>1034</v>
      </c>
      <c r="B3161" t="s">
        <v>20590</v>
      </c>
      <c r="C3161" t="s">
        <v>2178</v>
      </c>
      <c r="D3161" t="s">
        <v>20590</v>
      </c>
      <c r="E3161" t="s">
        <v>20591</v>
      </c>
      <c r="F3161" t="s">
        <v>108</v>
      </c>
      <c r="H3161" t="s">
        <v>20592</v>
      </c>
      <c r="I3161" t="s">
        <v>1936</v>
      </c>
      <c r="J3161" t="s">
        <v>111</v>
      </c>
      <c r="K3161" t="str">
        <f>"85255"</f>
        <v>85255</v>
      </c>
      <c r="L3161" t="s">
        <v>299</v>
      </c>
      <c r="M3161" t="s">
        <v>20592</v>
      </c>
      <c r="N3161" t="s">
        <v>1936</v>
      </c>
      <c r="O3161" t="s">
        <v>111</v>
      </c>
      <c r="P3161" t="str">
        <f>"85255-6113"</f>
        <v>85255-6113</v>
      </c>
      <c r="Q3161" t="s">
        <v>113</v>
      </c>
      <c r="R3161" t="str">
        <f>"212-05-463"</f>
        <v>212-05-463</v>
      </c>
      <c r="S3161" t="s">
        <v>15343</v>
      </c>
      <c r="T3161" t="s">
        <v>15344</v>
      </c>
      <c r="U3161">
        <v>2378</v>
      </c>
      <c r="V3161">
        <v>0</v>
      </c>
      <c r="W3161">
        <v>4</v>
      </c>
      <c r="X3161">
        <v>1993</v>
      </c>
      <c r="Z3161">
        <v>2</v>
      </c>
      <c r="AA3161" t="s">
        <v>26</v>
      </c>
      <c r="AB3161">
        <v>0</v>
      </c>
      <c r="AC3161" t="s">
        <v>115</v>
      </c>
      <c r="AD3161">
        <v>3</v>
      </c>
      <c r="AE3161" t="s">
        <v>115</v>
      </c>
      <c r="AF3161">
        <v>0</v>
      </c>
      <c r="AG3161">
        <v>0</v>
      </c>
      <c r="AH3161" t="s">
        <v>116</v>
      </c>
      <c r="AI3161" s="1">
        <v>144538</v>
      </c>
      <c r="AJ3161" s="2">
        <v>0.27</v>
      </c>
      <c r="AK3161" s="1">
        <v>542923</v>
      </c>
      <c r="AL3161" t="s">
        <v>117</v>
      </c>
      <c r="AM3161" t="s">
        <v>5516</v>
      </c>
      <c r="AN3161">
        <v>6345</v>
      </c>
      <c r="AO3161">
        <v>0.15</v>
      </c>
      <c r="AP3161">
        <v>1</v>
      </c>
      <c r="AR3161">
        <v>1</v>
      </c>
      <c r="AS3161" s="1">
        <v>38020</v>
      </c>
      <c r="AT3161" s="1">
        <v>7600</v>
      </c>
      <c r="AU3161" s="1">
        <v>30420</v>
      </c>
      <c r="AV3161">
        <v>80.010000000000005</v>
      </c>
      <c r="AX3161" s="1">
        <v>3677.7</v>
      </c>
      <c r="AY3161" t="s">
        <v>9968</v>
      </c>
      <c r="AZ3161" t="s">
        <v>761</v>
      </c>
      <c r="BA3161" t="s">
        <v>762</v>
      </c>
      <c r="BE3161" s="3">
        <v>41950</v>
      </c>
      <c r="BF3161" s="1">
        <v>390000</v>
      </c>
      <c r="BG3161" t="s">
        <v>20593</v>
      </c>
      <c r="BH3161" s="1">
        <v>164</v>
      </c>
      <c r="BI3161" s="1">
        <v>398385</v>
      </c>
      <c r="BJ3161" s="3">
        <v>41950</v>
      </c>
      <c r="BK3161" t="s">
        <v>123</v>
      </c>
      <c r="BL3161" t="str">
        <f>"2014.741665"</f>
        <v>2014.741665</v>
      </c>
      <c r="BM3161" t="s">
        <v>5747</v>
      </c>
      <c r="BO3161" t="s">
        <v>20594</v>
      </c>
      <c r="BS3161">
        <v>30</v>
      </c>
      <c r="BW3161" t="str">
        <f>""</f>
        <v/>
      </c>
      <c r="CH3161" t="str">
        <f>""</f>
        <v/>
      </c>
      <c r="CS3161" t="str">
        <f>""</f>
        <v/>
      </c>
    </row>
    <row r="3162" spans="1:97" x14ac:dyDescent="0.25">
      <c r="A3162" t="s">
        <v>976</v>
      </c>
      <c r="B3162" t="s">
        <v>2829</v>
      </c>
      <c r="C3162" t="s">
        <v>211</v>
      </c>
      <c r="D3162" t="s">
        <v>2829</v>
      </c>
      <c r="E3162" t="s">
        <v>20595</v>
      </c>
      <c r="F3162" t="s">
        <v>108</v>
      </c>
      <c r="H3162" t="s">
        <v>20596</v>
      </c>
      <c r="I3162" t="s">
        <v>225</v>
      </c>
      <c r="J3162" t="s">
        <v>111</v>
      </c>
      <c r="K3162" t="str">
        <f>"85213"</f>
        <v>85213</v>
      </c>
      <c r="L3162" t="s">
        <v>5138</v>
      </c>
      <c r="M3162" t="s">
        <v>20596</v>
      </c>
      <c r="N3162" t="s">
        <v>225</v>
      </c>
      <c r="O3162" t="s">
        <v>111</v>
      </c>
      <c r="P3162" t="str">
        <f>"85213-7015"</f>
        <v>85213-7015</v>
      </c>
      <c r="Q3162" t="s">
        <v>113</v>
      </c>
      <c r="R3162" t="str">
        <f>"140-12-026"</f>
        <v>140-12-026</v>
      </c>
      <c r="S3162" t="s">
        <v>11567</v>
      </c>
      <c r="U3162">
        <v>2620</v>
      </c>
      <c r="V3162">
        <v>0</v>
      </c>
      <c r="W3162">
        <v>4</v>
      </c>
      <c r="X3162">
        <v>1995</v>
      </c>
      <c r="Z3162">
        <v>1</v>
      </c>
      <c r="AB3162">
        <v>0</v>
      </c>
      <c r="AC3162" t="s">
        <v>115</v>
      </c>
      <c r="AD3162">
        <v>4</v>
      </c>
      <c r="AE3162" t="s">
        <v>115</v>
      </c>
      <c r="AF3162">
        <v>0</v>
      </c>
      <c r="AG3162">
        <v>0</v>
      </c>
      <c r="AH3162" t="s">
        <v>116</v>
      </c>
      <c r="AI3162" s="1">
        <v>81356</v>
      </c>
      <c r="AJ3162" s="2">
        <v>0.15</v>
      </c>
      <c r="AK3162" s="1">
        <v>536134</v>
      </c>
      <c r="AL3162" t="s">
        <v>117</v>
      </c>
      <c r="AM3162" t="s">
        <v>1521</v>
      </c>
      <c r="AN3162">
        <v>16769</v>
      </c>
      <c r="AO3162">
        <v>0.38</v>
      </c>
      <c r="AP3162">
        <v>1</v>
      </c>
      <c r="AR3162">
        <v>1</v>
      </c>
      <c r="AS3162" s="1">
        <v>38950</v>
      </c>
      <c r="AT3162" s="1">
        <v>7790</v>
      </c>
      <c r="AU3162" s="1">
        <v>31160</v>
      </c>
      <c r="AV3162">
        <v>80</v>
      </c>
      <c r="AX3162" s="1">
        <v>3043.74</v>
      </c>
      <c r="AY3162" t="s">
        <v>7654</v>
      </c>
      <c r="AZ3162" t="s">
        <v>1523</v>
      </c>
      <c r="BA3162" t="s">
        <v>1524</v>
      </c>
      <c r="BE3162" s="3">
        <v>42517</v>
      </c>
      <c r="BF3162" s="1">
        <v>448000</v>
      </c>
      <c r="BG3162" t="s">
        <v>20597</v>
      </c>
      <c r="BH3162" s="1">
        <v>170.99</v>
      </c>
      <c r="BI3162" s="1">
        <v>454778</v>
      </c>
      <c r="BJ3162" s="3">
        <v>42517</v>
      </c>
      <c r="BK3162" t="s">
        <v>123</v>
      </c>
      <c r="BL3162" t="str">
        <f>"2016.365850"</f>
        <v>2016.365850</v>
      </c>
      <c r="BM3162" t="s">
        <v>1038</v>
      </c>
      <c r="BO3162" t="s">
        <v>20598</v>
      </c>
      <c r="BS3162">
        <v>30</v>
      </c>
      <c r="BW3162" t="str">
        <f>""</f>
        <v/>
      </c>
      <c r="CH3162" t="str">
        <f>""</f>
        <v/>
      </c>
      <c r="CS3162" t="str">
        <f>""</f>
        <v/>
      </c>
    </row>
    <row r="3163" spans="1:97" x14ac:dyDescent="0.25">
      <c r="A3163" t="s">
        <v>589</v>
      </c>
      <c r="B3163" t="s">
        <v>20599</v>
      </c>
      <c r="C3163" t="s">
        <v>3057</v>
      </c>
      <c r="D3163" t="s">
        <v>20599</v>
      </c>
      <c r="E3163" t="s">
        <v>20600</v>
      </c>
      <c r="F3163" t="s">
        <v>108</v>
      </c>
      <c r="H3163" t="s">
        <v>20601</v>
      </c>
      <c r="I3163" t="s">
        <v>1397</v>
      </c>
      <c r="J3163" t="s">
        <v>111</v>
      </c>
      <c r="K3163" t="str">
        <f>"85331"</f>
        <v>85331</v>
      </c>
      <c r="L3163" t="s">
        <v>20602</v>
      </c>
      <c r="M3163" t="s">
        <v>20601</v>
      </c>
      <c r="N3163" t="s">
        <v>1397</v>
      </c>
      <c r="O3163" t="s">
        <v>111</v>
      </c>
      <c r="P3163" t="str">
        <f>"85331-2919"</f>
        <v>85331-2919</v>
      </c>
      <c r="Q3163" t="s">
        <v>113</v>
      </c>
      <c r="R3163" t="str">
        <f>"211-41-420"</f>
        <v>211-41-420</v>
      </c>
      <c r="S3163" t="s">
        <v>20603</v>
      </c>
      <c r="U3163">
        <v>2559</v>
      </c>
      <c r="V3163">
        <v>0</v>
      </c>
      <c r="W3163">
        <v>4</v>
      </c>
      <c r="X3163">
        <v>1995</v>
      </c>
      <c r="Z3163">
        <v>2</v>
      </c>
      <c r="AA3163" t="s">
        <v>26</v>
      </c>
      <c r="AB3163">
        <v>0</v>
      </c>
      <c r="AC3163" t="s">
        <v>115</v>
      </c>
      <c r="AD3163">
        <v>3</v>
      </c>
      <c r="AE3163" t="s">
        <v>115</v>
      </c>
      <c r="AF3163">
        <v>0</v>
      </c>
      <c r="AG3163">
        <v>0</v>
      </c>
      <c r="AH3163" t="s">
        <v>116</v>
      </c>
      <c r="AI3163" s="1">
        <v>95982</v>
      </c>
      <c r="AJ3163" s="2">
        <v>0.19</v>
      </c>
      <c r="AK3163" s="1">
        <v>512281</v>
      </c>
      <c r="AL3163" t="s">
        <v>117</v>
      </c>
      <c r="AM3163" t="s">
        <v>191</v>
      </c>
      <c r="AN3163">
        <v>15049</v>
      </c>
      <c r="AO3163">
        <v>0.34</v>
      </c>
      <c r="AP3163">
        <v>1</v>
      </c>
      <c r="AR3163">
        <v>1</v>
      </c>
      <c r="AS3163" s="1">
        <v>36130</v>
      </c>
      <c r="AT3163" s="1">
        <v>7220</v>
      </c>
      <c r="AU3163" s="1">
        <v>28910</v>
      </c>
      <c r="AV3163">
        <v>80.02</v>
      </c>
      <c r="AX3163" s="1">
        <v>2349.1999999999998</v>
      </c>
      <c r="AY3163" t="s">
        <v>7763</v>
      </c>
      <c r="AZ3163" t="s">
        <v>1402</v>
      </c>
      <c r="BA3163" t="s">
        <v>1403</v>
      </c>
      <c r="BE3163" s="3">
        <v>41834</v>
      </c>
      <c r="BF3163" s="1">
        <v>403000</v>
      </c>
      <c r="BG3163" t="s">
        <v>20604</v>
      </c>
      <c r="BH3163" s="1">
        <v>157.47999999999999</v>
      </c>
      <c r="BI3163" s="1">
        <v>416299</v>
      </c>
      <c r="BJ3163" s="3">
        <v>41834</v>
      </c>
      <c r="BK3163" t="s">
        <v>123</v>
      </c>
      <c r="BL3163" t="str">
        <f>"2014.459600"</f>
        <v>2014.459600</v>
      </c>
      <c r="BM3163" t="s">
        <v>544</v>
      </c>
      <c r="BO3163" t="s">
        <v>20605</v>
      </c>
      <c r="BS3163">
        <v>30</v>
      </c>
      <c r="BW3163" t="str">
        <f>""</f>
        <v/>
      </c>
      <c r="CH3163" t="str">
        <f>""</f>
        <v/>
      </c>
      <c r="CS3163" t="str">
        <f>""</f>
        <v/>
      </c>
    </row>
    <row r="3164" spans="1:97" x14ac:dyDescent="0.25">
      <c r="B3164" t="s">
        <v>20606</v>
      </c>
      <c r="E3164" t="s">
        <v>20607</v>
      </c>
      <c r="F3164" t="s">
        <v>108</v>
      </c>
      <c r="H3164" t="s">
        <v>20608</v>
      </c>
      <c r="I3164" t="s">
        <v>374</v>
      </c>
      <c r="J3164" t="s">
        <v>111</v>
      </c>
      <c r="K3164" t="str">
        <f>"85087"</f>
        <v>85087</v>
      </c>
      <c r="L3164" t="s">
        <v>11846</v>
      </c>
      <c r="M3164" t="s">
        <v>20608</v>
      </c>
      <c r="N3164" t="s">
        <v>374</v>
      </c>
      <c r="O3164" t="s">
        <v>111</v>
      </c>
      <c r="P3164" t="str">
        <f>"85087-7590"</f>
        <v>85087-7590</v>
      </c>
      <c r="Q3164" t="s">
        <v>113</v>
      </c>
      <c r="R3164" t="str">
        <f>"202-20-003-F"</f>
        <v>202-20-003-F</v>
      </c>
      <c r="U3164">
        <v>2605</v>
      </c>
      <c r="V3164">
        <v>0</v>
      </c>
      <c r="W3164">
        <v>4</v>
      </c>
      <c r="X3164">
        <v>2005</v>
      </c>
      <c r="Z3164">
        <v>1</v>
      </c>
      <c r="AB3164">
        <v>0</v>
      </c>
      <c r="AC3164" t="s">
        <v>115</v>
      </c>
      <c r="AD3164">
        <v>4</v>
      </c>
      <c r="AE3164" t="s">
        <v>115</v>
      </c>
      <c r="AF3164">
        <v>0</v>
      </c>
      <c r="AG3164">
        <v>0</v>
      </c>
      <c r="AH3164" t="s">
        <v>116</v>
      </c>
      <c r="AI3164" s="1">
        <v>-7427</v>
      </c>
      <c r="AJ3164" s="2">
        <v>-0.02</v>
      </c>
      <c r="AK3164" s="1">
        <v>483764</v>
      </c>
      <c r="AL3164" t="s">
        <v>117</v>
      </c>
      <c r="AM3164" t="s">
        <v>376</v>
      </c>
      <c r="AN3164">
        <v>46415</v>
      </c>
      <c r="AO3164">
        <v>1.07</v>
      </c>
      <c r="AP3164">
        <v>1</v>
      </c>
      <c r="AR3164">
        <v>1</v>
      </c>
      <c r="AS3164" s="1">
        <v>35030</v>
      </c>
      <c r="AT3164" s="1">
        <v>7000</v>
      </c>
      <c r="AU3164" s="1">
        <v>28030</v>
      </c>
      <c r="AV3164">
        <v>80.02</v>
      </c>
      <c r="AX3164" s="1">
        <v>3598.32</v>
      </c>
      <c r="AY3164" t="s">
        <v>665</v>
      </c>
      <c r="AZ3164" t="s">
        <v>665</v>
      </c>
      <c r="BA3164" t="s">
        <v>378</v>
      </c>
      <c r="BB3164" s="3">
        <v>42613</v>
      </c>
      <c r="BD3164" t="s">
        <v>458</v>
      </c>
      <c r="BE3164" s="3">
        <v>42069</v>
      </c>
      <c r="BF3164" s="1">
        <v>495000</v>
      </c>
      <c r="BG3164" t="s">
        <v>20609</v>
      </c>
      <c r="BH3164" s="1">
        <v>190.02</v>
      </c>
      <c r="BI3164" s="1">
        <v>491191</v>
      </c>
      <c r="BJ3164" s="3">
        <v>42069</v>
      </c>
      <c r="BK3164" t="s">
        <v>123</v>
      </c>
      <c r="BL3164" t="str">
        <f>"2015.150470"</f>
        <v>2015.150470</v>
      </c>
      <c r="BM3164" t="s">
        <v>1033</v>
      </c>
      <c r="BO3164" t="s">
        <v>20610</v>
      </c>
      <c r="BP3164" t="s">
        <v>20611</v>
      </c>
      <c r="BS3164">
        <v>30</v>
      </c>
      <c r="BW3164" t="str">
        <f>""</f>
        <v/>
      </c>
      <c r="CH3164" t="str">
        <f>""</f>
        <v/>
      </c>
      <c r="CS3164" t="str">
        <f>""</f>
        <v/>
      </c>
    </row>
    <row r="3165" spans="1:97" x14ac:dyDescent="0.25">
      <c r="A3165" t="s">
        <v>10986</v>
      </c>
      <c r="B3165" t="s">
        <v>20612</v>
      </c>
      <c r="C3165" t="s">
        <v>703</v>
      </c>
      <c r="D3165" t="s">
        <v>20612</v>
      </c>
      <c r="E3165" t="s">
        <v>20613</v>
      </c>
      <c r="F3165" t="s">
        <v>108</v>
      </c>
      <c r="H3165" t="s">
        <v>20614</v>
      </c>
      <c r="I3165" t="s">
        <v>1936</v>
      </c>
      <c r="J3165" t="s">
        <v>111</v>
      </c>
      <c r="K3165" t="str">
        <f>"85259"</f>
        <v>85259</v>
      </c>
      <c r="L3165" t="s">
        <v>6308</v>
      </c>
      <c r="M3165" t="s">
        <v>20614</v>
      </c>
      <c r="N3165" t="s">
        <v>1936</v>
      </c>
      <c r="O3165" t="s">
        <v>111</v>
      </c>
      <c r="P3165" t="str">
        <f>"85259-5871"</f>
        <v>85259-5871</v>
      </c>
      <c r="Q3165" t="s">
        <v>113</v>
      </c>
      <c r="R3165" t="str">
        <f>"217-33-808"</f>
        <v>217-33-808</v>
      </c>
      <c r="S3165" t="s">
        <v>18270</v>
      </c>
      <c r="T3165" t="s">
        <v>8982</v>
      </c>
      <c r="U3165">
        <v>3120</v>
      </c>
      <c r="V3165">
        <v>0</v>
      </c>
      <c r="W3165">
        <v>4</v>
      </c>
      <c r="X3165">
        <v>1995</v>
      </c>
      <c r="Z3165">
        <v>1</v>
      </c>
      <c r="AA3165" t="s">
        <v>26</v>
      </c>
      <c r="AB3165">
        <v>0</v>
      </c>
      <c r="AC3165" t="s">
        <v>115</v>
      </c>
      <c r="AD3165">
        <v>3</v>
      </c>
      <c r="AE3165" t="s">
        <v>115</v>
      </c>
      <c r="AF3165">
        <v>0</v>
      </c>
      <c r="AG3165">
        <v>0</v>
      </c>
      <c r="AH3165" t="s">
        <v>116</v>
      </c>
      <c r="AI3165" s="1">
        <v>129486</v>
      </c>
      <c r="AJ3165" s="2">
        <v>0.17</v>
      </c>
      <c r="AK3165" s="1">
        <v>774186</v>
      </c>
      <c r="AL3165" t="s">
        <v>117</v>
      </c>
      <c r="AM3165" t="s">
        <v>616</v>
      </c>
      <c r="AN3165">
        <v>15816</v>
      </c>
      <c r="AO3165">
        <v>0.36</v>
      </c>
      <c r="AP3165">
        <v>1</v>
      </c>
      <c r="AR3165">
        <v>1</v>
      </c>
      <c r="AS3165" s="1">
        <v>63960</v>
      </c>
      <c r="AT3165" s="1">
        <v>12790</v>
      </c>
      <c r="AU3165" s="1">
        <v>51170</v>
      </c>
      <c r="AV3165">
        <v>80</v>
      </c>
      <c r="AX3165" s="1">
        <v>4910.3599999999997</v>
      </c>
      <c r="AY3165" t="s">
        <v>5761</v>
      </c>
      <c r="AZ3165" t="s">
        <v>5762</v>
      </c>
      <c r="BA3165" t="s">
        <v>5763</v>
      </c>
      <c r="BE3165" s="3">
        <v>42108</v>
      </c>
      <c r="BF3165" s="1">
        <v>710000</v>
      </c>
      <c r="BG3165" t="s">
        <v>20615</v>
      </c>
      <c r="BH3165" s="1">
        <v>227.56</v>
      </c>
      <c r="BI3165" s="1">
        <v>644700</v>
      </c>
      <c r="BJ3165" s="3">
        <v>42108</v>
      </c>
      <c r="BK3165" t="s">
        <v>123</v>
      </c>
      <c r="BL3165" t="str">
        <f>"2015.252770"</f>
        <v>2015.252770</v>
      </c>
      <c r="BM3165" t="s">
        <v>124</v>
      </c>
      <c r="BO3165" t="s">
        <v>20616</v>
      </c>
      <c r="BS3165">
        <v>30</v>
      </c>
      <c r="BW3165" t="str">
        <f>""</f>
        <v/>
      </c>
      <c r="CH3165" t="str">
        <f>""</f>
        <v/>
      </c>
      <c r="CS3165" t="str">
        <f>""</f>
        <v/>
      </c>
    </row>
    <row r="3166" spans="1:97" x14ac:dyDescent="0.25">
      <c r="A3166" t="s">
        <v>20617</v>
      </c>
      <c r="B3166" t="s">
        <v>3770</v>
      </c>
      <c r="E3166" t="s">
        <v>20618</v>
      </c>
      <c r="F3166" t="s">
        <v>108</v>
      </c>
      <c r="H3166" t="s">
        <v>20619</v>
      </c>
      <c r="I3166" t="s">
        <v>390</v>
      </c>
      <c r="J3166" t="s">
        <v>111</v>
      </c>
      <c r="K3166" t="str">
        <f>"85048"</f>
        <v>85048</v>
      </c>
      <c r="L3166" t="s">
        <v>6691</v>
      </c>
      <c r="M3166" t="s">
        <v>20619</v>
      </c>
      <c r="N3166" t="s">
        <v>390</v>
      </c>
      <c r="O3166" t="s">
        <v>111</v>
      </c>
      <c r="P3166" t="str">
        <f>"85048-1802"</f>
        <v>85048-1802</v>
      </c>
      <c r="Q3166" t="s">
        <v>113</v>
      </c>
      <c r="R3166" t="str">
        <f>"300-94-777"</f>
        <v>300-94-777</v>
      </c>
      <c r="S3166" t="s">
        <v>20620</v>
      </c>
      <c r="T3166" t="s">
        <v>20621</v>
      </c>
      <c r="U3166">
        <v>3498</v>
      </c>
      <c r="V3166">
        <v>0</v>
      </c>
      <c r="W3166">
        <v>4</v>
      </c>
      <c r="X3166">
        <v>1993</v>
      </c>
      <c r="Z3166">
        <v>1</v>
      </c>
      <c r="AA3166" t="s">
        <v>26</v>
      </c>
      <c r="AB3166">
        <v>0</v>
      </c>
      <c r="AC3166" t="s">
        <v>115</v>
      </c>
      <c r="AD3166">
        <v>4</v>
      </c>
      <c r="AE3166" t="s">
        <v>115</v>
      </c>
      <c r="AF3166">
        <v>0</v>
      </c>
      <c r="AG3166">
        <v>0</v>
      </c>
      <c r="AH3166" t="s">
        <v>116</v>
      </c>
      <c r="AI3166" s="1">
        <v>147095</v>
      </c>
      <c r="AJ3166" s="2">
        <v>0.19</v>
      </c>
      <c r="AK3166" s="1">
        <v>795095</v>
      </c>
      <c r="AL3166" t="s">
        <v>117</v>
      </c>
      <c r="AM3166" t="s">
        <v>1302</v>
      </c>
      <c r="AN3166">
        <v>13552</v>
      </c>
      <c r="AO3166">
        <v>0.31</v>
      </c>
      <c r="AP3166">
        <v>1</v>
      </c>
      <c r="AR3166">
        <v>1</v>
      </c>
      <c r="AS3166" s="1">
        <v>63420</v>
      </c>
      <c r="AT3166" s="1">
        <v>12680</v>
      </c>
      <c r="AU3166" s="1">
        <v>50740</v>
      </c>
      <c r="AV3166">
        <v>80.010000000000005</v>
      </c>
      <c r="AX3166" s="1">
        <v>6457.5</v>
      </c>
      <c r="AY3166" t="s">
        <v>6202</v>
      </c>
      <c r="AZ3166" t="s">
        <v>2967</v>
      </c>
      <c r="BA3166" t="s">
        <v>930</v>
      </c>
      <c r="BB3166" s="3">
        <v>43341</v>
      </c>
      <c r="BC3166" s="1">
        <v>0</v>
      </c>
      <c r="BD3166" t="s">
        <v>247</v>
      </c>
      <c r="BE3166" s="3">
        <v>41906</v>
      </c>
      <c r="BF3166" s="1">
        <v>725000</v>
      </c>
      <c r="BG3166" t="s">
        <v>20622</v>
      </c>
      <c r="BH3166" s="1">
        <v>207.26</v>
      </c>
      <c r="BI3166" s="1">
        <v>648000</v>
      </c>
      <c r="BJ3166" s="3">
        <v>41906</v>
      </c>
      <c r="BK3166" t="s">
        <v>123</v>
      </c>
      <c r="BL3166" t="str">
        <f>"2014.630321"</f>
        <v>2014.630321</v>
      </c>
      <c r="BM3166" t="s">
        <v>135</v>
      </c>
      <c r="BN3166" t="s">
        <v>136</v>
      </c>
      <c r="BO3166" t="s">
        <v>20623</v>
      </c>
      <c r="BS3166">
        <v>30</v>
      </c>
      <c r="BW3166" t="str">
        <f>""</f>
        <v/>
      </c>
      <c r="CH3166" t="str">
        <f>""</f>
        <v/>
      </c>
      <c r="CS3166" t="str">
        <f>""</f>
        <v/>
      </c>
    </row>
    <row r="3167" spans="1:97" x14ac:dyDescent="0.25">
      <c r="A3167" t="s">
        <v>20624</v>
      </c>
      <c r="B3167" t="s">
        <v>2710</v>
      </c>
      <c r="C3167" t="s">
        <v>20625</v>
      </c>
      <c r="D3167" t="s">
        <v>2710</v>
      </c>
      <c r="E3167" t="s">
        <v>20626</v>
      </c>
      <c r="F3167" t="s">
        <v>108</v>
      </c>
      <c r="H3167" t="s">
        <v>20627</v>
      </c>
      <c r="I3167" t="s">
        <v>632</v>
      </c>
      <c r="J3167" t="s">
        <v>111</v>
      </c>
      <c r="K3167" t="str">
        <f>"85388"</f>
        <v>85388</v>
      </c>
      <c r="L3167" t="s">
        <v>1796</v>
      </c>
      <c r="M3167" t="s">
        <v>20627</v>
      </c>
      <c r="N3167" t="s">
        <v>632</v>
      </c>
      <c r="O3167" t="s">
        <v>111</v>
      </c>
      <c r="P3167" t="str">
        <f>"85388"</f>
        <v>85388</v>
      </c>
      <c r="Q3167" t="s">
        <v>113</v>
      </c>
      <c r="R3167" t="str">
        <f>"502-01-477"</f>
        <v>502-01-477</v>
      </c>
      <c r="S3167" t="s">
        <v>12585</v>
      </c>
      <c r="T3167" t="s">
        <v>5431</v>
      </c>
      <c r="U3167">
        <v>2285</v>
      </c>
      <c r="V3167">
        <v>0</v>
      </c>
      <c r="W3167">
        <v>3</v>
      </c>
      <c r="X3167">
        <v>2005</v>
      </c>
      <c r="Z3167">
        <v>2</v>
      </c>
      <c r="AB3167">
        <v>0</v>
      </c>
      <c r="AC3167" t="s">
        <v>115</v>
      </c>
      <c r="AD3167">
        <v>2</v>
      </c>
      <c r="AE3167" t="s">
        <v>115</v>
      </c>
      <c r="AF3167">
        <v>0</v>
      </c>
      <c r="AG3167">
        <v>0</v>
      </c>
      <c r="AH3167" t="s">
        <v>116</v>
      </c>
      <c r="AI3167" s="1">
        <v>61093</v>
      </c>
      <c r="AJ3167" s="2">
        <v>0.23</v>
      </c>
      <c r="AK3167" s="1">
        <v>264687</v>
      </c>
      <c r="AL3167" t="s">
        <v>117</v>
      </c>
      <c r="AM3167" t="s">
        <v>118</v>
      </c>
      <c r="AN3167">
        <v>5891</v>
      </c>
      <c r="AO3167">
        <v>0.14000000000000001</v>
      </c>
      <c r="AR3167">
        <v>1</v>
      </c>
      <c r="AS3167" s="1">
        <v>17760</v>
      </c>
      <c r="AT3167" s="1">
        <v>3550</v>
      </c>
      <c r="AU3167" s="1">
        <v>14210</v>
      </c>
      <c r="AV3167">
        <v>80.010000000000005</v>
      </c>
      <c r="AX3167" s="1">
        <v>1362.58</v>
      </c>
      <c r="AY3167" t="s">
        <v>5432</v>
      </c>
      <c r="AZ3167" t="s">
        <v>5432</v>
      </c>
      <c r="BA3167" t="s">
        <v>5109</v>
      </c>
      <c r="BE3167" s="3">
        <v>42262</v>
      </c>
      <c r="BF3167" s="1">
        <v>199000</v>
      </c>
      <c r="BG3167" t="s">
        <v>20628</v>
      </c>
      <c r="BH3167" s="1">
        <v>87.09</v>
      </c>
      <c r="BI3167" s="1">
        <v>203594</v>
      </c>
      <c r="BJ3167" s="3">
        <v>42650</v>
      </c>
      <c r="BK3167" t="s">
        <v>123</v>
      </c>
      <c r="BL3167" t="str">
        <f>"2016.737437"</f>
        <v>2016.737437</v>
      </c>
      <c r="BM3167" t="s">
        <v>724</v>
      </c>
      <c r="BO3167" t="s">
        <v>20629</v>
      </c>
      <c r="BS3167">
        <v>30</v>
      </c>
      <c r="BW3167" t="str">
        <f>""</f>
        <v/>
      </c>
      <c r="CH3167" t="str">
        <f>""</f>
        <v/>
      </c>
      <c r="CS3167" t="str">
        <f>""</f>
        <v/>
      </c>
    </row>
    <row r="3168" spans="1:97" x14ac:dyDescent="0.25">
      <c r="A3168" t="s">
        <v>7969</v>
      </c>
      <c r="B3168" t="s">
        <v>5245</v>
      </c>
      <c r="E3168" t="s">
        <v>20630</v>
      </c>
      <c r="F3168" t="s">
        <v>108</v>
      </c>
      <c r="H3168" t="s">
        <v>20631</v>
      </c>
      <c r="I3168" t="s">
        <v>499</v>
      </c>
      <c r="J3168" t="s">
        <v>111</v>
      </c>
      <c r="K3168" t="str">
        <f>"85338"</f>
        <v>85338</v>
      </c>
      <c r="L3168" t="s">
        <v>3758</v>
      </c>
      <c r="M3168" t="s">
        <v>20631</v>
      </c>
      <c r="N3168" t="s">
        <v>499</v>
      </c>
      <c r="O3168" t="s">
        <v>111</v>
      </c>
      <c r="P3168" t="str">
        <f>"85338-9637"</f>
        <v>85338-9637</v>
      </c>
      <c r="Q3168" t="s">
        <v>113</v>
      </c>
      <c r="R3168" t="str">
        <f>"400-52-600"</f>
        <v>400-52-600</v>
      </c>
      <c r="S3168" t="s">
        <v>20632</v>
      </c>
      <c r="U3168">
        <v>1693</v>
      </c>
      <c r="V3168">
        <v>0</v>
      </c>
      <c r="W3168">
        <v>2</v>
      </c>
      <c r="X3168">
        <v>1993</v>
      </c>
      <c r="Z3168">
        <v>1</v>
      </c>
      <c r="AB3168">
        <v>0</v>
      </c>
      <c r="AC3168" t="s">
        <v>115</v>
      </c>
      <c r="AD3168">
        <v>2</v>
      </c>
      <c r="AE3168" t="s">
        <v>115</v>
      </c>
      <c r="AF3168">
        <v>0</v>
      </c>
      <c r="AG3168">
        <v>0</v>
      </c>
      <c r="AH3168" t="s">
        <v>116</v>
      </c>
      <c r="AI3168" s="1">
        <v>43539</v>
      </c>
      <c r="AJ3168" s="2">
        <v>0.16</v>
      </c>
      <c r="AK3168" s="1">
        <v>267247</v>
      </c>
      <c r="AL3168" t="s">
        <v>117</v>
      </c>
      <c r="AM3168" t="s">
        <v>118</v>
      </c>
      <c r="AN3168">
        <v>6300</v>
      </c>
      <c r="AO3168">
        <v>0.14000000000000001</v>
      </c>
      <c r="AP3168">
        <v>1</v>
      </c>
      <c r="AR3168">
        <v>1</v>
      </c>
      <c r="AS3168" s="1">
        <v>16960</v>
      </c>
      <c r="AT3168" s="1">
        <v>3390</v>
      </c>
      <c r="AU3168" s="1">
        <v>13570</v>
      </c>
      <c r="AV3168">
        <v>80.010000000000005</v>
      </c>
      <c r="AX3168" s="1">
        <v>1426.62</v>
      </c>
      <c r="AY3168" t="s">
        <v>4236</v>
      </c>
      <c r="AZ3168" t="s">
        <v>4236</v>
      </c>
      <c r="BA3168" t="s">
        <v>1247</v>
      </c>
      <c r="BE3168" s="3">
        <v>42104</v>
      </c>
      <c r="BF3168" s="1">
        <v>219000</v>
      </c>
      <c r="BG3168" t="s">
        <v>20633</v>
      </c>
      <c r="BH3168" s="1">
        <v>129.36000000000001</v>
      </c>
      <c r="BI3168" s="1">
        <v>223708</v>
      </c>
      <c r="BJ3168" s="3">
        <v>42104</v>
      </c>
      <c r="BK3168" t="s">
        <v>123</v>
      </c>
      <c r="BL3168" t="str">
        <f>"2015.246292"</f>
        <v>2015.246292</v>
      </c>
      <c r="BM3168" t="s">
        <v>6784</v>
      </c>
      <c r="BO3168" t="s">
        <v>20634</v>
      </c>
      <c r="BS3168">
        <v>30</v>
      </c>
      <c r="BW3168" t="str">
        <f>""</f>
        <v/>
      </c>
      <c r="CH3168" t="str">
        <f>""</f>
        <v/>
      </c>
      <c r="CS3168" t="str">
        <f>""</f>
        <v/>
      </c>
    </row>
    <row r="3169" spans="1:97" x14ac:dyDescent="0.25">
      <c r="A3169" t="s">
        <v>20635</v>
      </c>
      <c r="B3169" t="s">
        <v>20636</v>
      </c>
      <c r="C3169" t="s">
        <v>9110</v>
      </c>
      <c r="D3169" t="s">
        <v>20636</v>
      </c>
      <c r="E3169" t="s">
        <v>20637</v>
      </c>
      <c r="F3169" t="s">
        <v>108</v>
      </c>
      <c r="H3169" t="s">
        <v>20638</v>
      </c>
      <c r="I3169" t="s">
        <v>225</v>
      </c>
      <c r="J3169" t="s">
        <v>111</v>
      </c>
      <c r="K3169" t="str">
        <f>"85209"</f>
        <v>85209</v>
      </c>
      <c r="L3169" t="s">
        <v>4326</v>
      </c>
      <c r="M3169" t="s">
        <v>20638</v>
      </c>
      <c r="N3169" t="s">
        <v>225</v>
      </c>
      <c r="O3169" t="s">
        <v>111</v>
      </c>
      <c r="P3169" t="str">
        <f>"85209-6709"</f>
        <v>85209-6709</v>
      </c>
      <c r="Q3169" t="s">
        <v>113</v>
      </c>
      <c r="R3169" t="str">
        <f>"309-10-446"</f>
        <v>309-10-446</v>
      </c>
      <c r="S3169" t="s">
        <v>20639</v>
      </c>
      <c r="U3169">
        <v>1608</v>
      </c>
      <c r="V3169">
        <v>0</v>
      </c>
      <c r="W3169">
        <v>2</v>
      </c>
      <c r="X3169">
        <v>1997</v>
      </c>
      <c r="Z3169">
        <v>1</v>
      </c>
      <c r="AB3169">
        <v>0</v>
      </c>
      <c r="AC3169" t="s">
        <v>115</v>
      </c>
      <c r="AD3169">
        <v>2</v>
      </c>
      <c r="AE3169" t="s">
        <v>115</v>
      </c>
      <c r="AF3169">
        <v>0</v>
      </c>
      <c r="AG3169">
        <v>0</v>
      </c>
      <c r="AH3169" t="s">
        <v>116</v>
      </c>
      <c r="AI3169" s="1">
        <v>77573</v>
      </c>
      <c r="AJ3169" s="2">
        <v>0.28000000000000003</v>
      </c>
      <c r="AK3169" s="1">
        <v>278473</v>
      </c>
      <c r="AL3169" t="s">
        <v>117</v>
      </c>
      <c r="AM3169" t="s">
        <v>393</v>
      </c>
      <c r="AN3169">
        <v>6708</v>
      </c>
      <c r="AO3169">
        <v>0.15</v>
      </c>
      <c r="AP3169">
        <v>1</v>
      </c>
      <c r="AR3169">
        <v>1</v>
      </c>
      <c r="AS3169" s="1">
        <v>18870</v>
      </c>
      <c r="AT3169" s="1">
        <v>3770</v>
      </c>
      <c r="AU3169" s="1">
        <v>15100</v>
      </c>
      <c r="AV3169">
        <v>80.02</v>
      </c>
      <c r="AX3169" s="1">
        <v>1736.42</v>
      </c>
      <c r="AY3169" t="s">
        <v>570</v>
      </c>
      <c r="AZ3169" t="s">
        <v>777</v>
      </c>
      <c r="BA3169" t="s">
        <v>572</v>
      </c>
      <c r="BE3169" s="3">
        <v>41754</v>
      </c>
      <c r="BF3169" s="1">
        <v>198000</v>
      </c>
      <c r="BG3169" t="s">
        <v>20640</v>
      </c>
      <c r="BH3169" s="1">
        <v>123.13</v>
      </c>
      <c r="BI3169" s="1">
        <v>200900</v>
      </c>
      <c r="BJ3169" s="3">
        <v>42557</v>
      </c>
      <c r="BK3169" t="s">
        <v>123</v>
      </c>
      <c r="BL3169" t="str">
        <f>"2016.473477"</f>
        <v>2016.473477</v>
      </c>
      <c r="BM3169" t="s">
        <v>1319</v>
      </c>
      <c r="BO3169" t="s">
        <v>20641</v>
      </c>
      <c r="BS3169">
        <v>30</v>
      </c>
      <c r="BW3169" t="str">
        <f>""</f>
        <v/>
      </c>
      <c r="CH3169" t="str">
        <f>""</f>
        <v/>
      </c>
      <c r="CS3169" t="str">
        <f>""</f>
        <v/>
      </c>
    </row>
    <row r="3170" spans="1:97" x14ac:dyDescent="0.25">
      <c r="A3170" t="s">
        <v>7562</v>
      </c>
      <c r="B3170" t="s">
        <v>20642</v>
      </c>
      <c r="C3170" t="s">
        <v>1906</v>
      </c>
      <c r="D3170" t="s">
        <v>20643</v>
      </c>
      <c r="E3170" t="s">
        <v>20644</v>
      </c>
      <c r="F3170" t="s">
        <v>108</v>
      </c>
      <c r="H3170" t="s">
        <v>20645</v>
      </c>
      <c r="I3170" t="s">
        <v>390</v>
      </c>
      <c r="J3170" t="s">
        <v>111</v>
      </c>
      <c r="K3170" t="str">
        <f>"85044"</f>
        <v>85044</v>
      </c>
      <c r="L3170" t="s">
        <v>4565</v>
      </c>
      <c r="M3170" t="s">
        <v>20645</v>
      </c>
      <c r="N3170" t="s">
        <v>390</v>
      </c>
      <c r="O3170" t="s">
        <v>111</v>
      </c>
      <c r="P3170" t="str">
        <f>"85044-4030"</f>
        <v>85044-4030</v>
      </c>
      <c r="Q3170" t="s">
        <v>113</v>
      </c>
      <c r="R3170" t="str">
        <f>"301-58-737"</f>
        <v>301-58-737</v>
      </c>
      <c r="S3170" t="s">
        <v>20646</v>
      </c>
      <c r="T3170" t="s">
        <v>20647</v>
      </c>
      <c r="U3170">
        <v>1600</v>
      </c>
      <c r="V3170">
        <v>0</v>
      </c>
      <c r="W3170">
        <v>4</v>
      </c>
      <c r="X3170">
        <v>1992</v>
      </c>
      <c r="Z3170">
        <v>2</v>
      </c>
      <c r="AB3170">
        <v>0</v>
      </c>
      <c r="AC3170" t="s">
        <v>115</v>
      </c>
      <c r="AD3170">
        <v>2</v>
      </c>
      <c r="AE3170" t="s">
        <v>115</v>
      </c>
      <c r="AF3170">
        <v>0</v>
      </c>
      <c r="AG3170">
        <v>0</v>
      </c>
      <c r="AH3170" t="s">
        <v>116</v>
      </c>
      <c r="AI3170" s="1">
        <v>56981</v>
      </c>
      <c r="AJ3170" s="2">
        <v>0.19</v>
      </c>
      <c r="AK3170" s="1">
        <v>297952</v>
      </c>
      <c r="AL3170" t="s">
        <v>117</v>
      </c>
      <c r="AM3170" t="s">
        <v>5700</v>
      </c>
      <c r="AN3170">
        <v>4278</v>
      </c>
      <c r="AO3170">
        <v>0.98</v>
      </c>
      <c r="AP3170">
        <v>1</v>
      </c>
      <c r="AR3170">
        <v>1</v>
      </c>
      <c r="AS3170" s="1">
        <v>19710</v>
      </c>
      <c r="AT3170" s="1">
        <v>3940</v>
      </c>
      <c r="AU3170" s="1">
        <v>15770</v>
      </c>
      <c r="AV3170">
        <v>80.010000000000005</v>
      </c>
      <c r="AX3170" s="1">
        <v>1964.12</v>
      </c>
      <c r="AY3170" t="s">
        <v>11872</v>
      </c>
      <c r="AZ3170" t="s">
        <v>7255</v>
      </c>
      <c r="BA3170" t="s">
        <v>5328</v>
      </c>
      <c r="BE3170" s="3">
        <v>41814</v>
      </c>
      <c r="BF3170" s="1">
        <v>235900</v>
      </c>
      <c r="BG3170" t="s">
        <v>20648</v>
      </c>
      <c r="BH3170" s="1">
        <v>147.44</v>
      </c>
      <c r="BI3170" s="1">
        <v>240971</v>
      </c>
      <c r="BJ3170" s="3">
        <v>41814</v>
      </c>
      <c r="BK3170" t="s">
        <v>123</v>
      </c>
      <c r="BL3170" t="str">
        <f>"2014.413159"</f>
        <v>2014.413159</v>
      </c>
      <c r="BM3170" t="s">
        <v>10507</v>
      </c>
      <c r="BO3170" t="s">
        <v>20649</v>
      </c>
      <c r="BP3170" t="s">
        <v>20650</v>
      </c>
      <c r="BS3170">
        <v>30</v>
      </c>
      <c r="BW3170" t="str">
        <f>""</f>
        <v/>
      </c>
      <c r="CH3170" t="str">
        <f>""</f>
        <v/>
      </c>
      <c r="CS3170" t="str">
        <f>""</f>
        <v/>
      </c>
    </row>
    <row r="3171" spans="1:97" x14ac:dyDescent="0.25">
      <c r="A3171" t="s">
        <v>20651</v>
      </c>
      <c r="B3171" t="s">
        <v>802</v>
      </c>
      <c r="E3171" t="s">
        <v>20652</v>
      </c>
      <c r="F3171" t="s">
        <v>108</v>
      </c>
      <c r="H3171" t="s">
        <v>20653</v>
      </c>
      <c r="I3171" t="s">
        <v>225</v>
      </c>
      <c r="J3171" t="s">
        <v>111</v>
      </c>
      <c r="K3171" t="str">
        <f>"85212"</f>
        <v>85212</v>
      </c>
      <c r="L3171" t="s">
        <v>1569</v>
      </c>
      <c r="M3171" t="s">
        <v>20653</v>
      </c>
      <c r="N3171" t="s">
        <v>225</v>
      </c>
      <c r="O3171" t="s">
        <v>111</v>
      </c>
      <c r="P3171" t="str">
        <f>"85212-1921"</f>
        <v>85212-1921</v>
      </c>
      <c r="Q3171" t="s">
        <v>113</v>
      </c>
      <c r="R3171" t="str">
        <f>"304-01-918"</f>
        <v>304-01-918</v>
      </c>
      <c r="S3171" t="s">
        <v>20654</v>
      </c>
      <c r="T3171" t="s">
        <v>12865</v>
      </c>
      <c r="U3171">
        <v>2162</v>
      </c>
      <c r="V3171">
        <v>0</v>
      </c>
      <c r="W3171">
        <v>3</v>
      </c>
      <c r="X3171">
        <v>2001</v>
      </c>
      <c r="Z3171">
        <v>2</v>
      </c>
      <c r="AB3171">
        <v>0</v>
      </c>
      <c r="AC3171" t="s">
        <v>115</v>
      </c>
      <c r="AD3171">
        <v>2</v>
      </c>
      <c r="AE3171" t="s">
        <v>115</v>
      </c>
      <c r="AF3171">
        <v>0</v>
      </c>
      <c r="AG3171">
        <v>0</v>
      </c>
      <c r="AH3171" t="s">
        <v>116</v>
      </c>
      <c r="AI3171" s="1">
        <v>89885</v>
      </c>
      <c r="AJ3171" s="2">
        <v>0.28000000000000003</v>
      </c>
      <c r="AK3171" s="1">
        <v>319125</v>
      </c>
      <c r="AL3171" t="s">
        <v>117</v>
      </c>
      <c r="AM3171" t="s">
        <v>191</v>
      </c>
      <c r="AN3171">
        <v>8864</v>
      </c>
      <c r="AO3171">
        <v>0.2</v>
      </c>
      <c r="AP3171">
        <v>1</v>
      </c>
      <c r="AR3171">
        <v>1</v>
      </c>
      <c r="AS3171" s="1">
        <v>22000</v>
      </c>
      <c r="AT3171" s="1">
        <v>4400</v>
      </c>
      <c r="AU3171" s="1">
        <v>17600</v>
      </c>
      <c r="AV3171">
        <v>80</v>
      </c>
      <c r="AX3171" s="1">
        <v>1439.02</v>
      </c>
      <c r="AY3171" t="s">
        <v>776</v>
      </c>
      <c r="AZ3171" t="s">
        <v>777</v>
      </c>
      <c r="BA3171" t="s">
        <v>572</v>
      </c>
      <c r="BE3171" s="3">
        <v>42236</v>
      </c>
      <c r="BF3171" s="1">
        <v>225500</v>
      </c>
      <c r="BG3171" t="s">
        <v>20655</v>
      </c>
      <c r="BH3171" s="1">
        <v>104.3</v>
      </c>
      <c r="BI3171" s="1">
        <v>229240</v>
      </c>
      <c r="BJ3171" s="3">
        <v>42599</v>
      </c>
      <c r="BK3171" t="s">
        <v>123</v>
      </c>
      <c r="BL3171" t="str">
        <f>"2016.588043"</f>
        <v>2016.588043</v>
      </c>
      <c r="BM3171" t="s">
        <v>2458</v>
      </c>
      <c r="BO3171" t="s">
        <v>20656</v>
      </c>
      <c r="BS3171">
        <v>30</v>
      </c>
      <c r="BW3171" t="str">
        <f>""</f>
        <v/>
      </c>
      <c r="CH3171" t="str">
        <f>""</f>
        <v/>
      </c>
      <c r="CS3171" t="str">
        <f>""</f>
        <v/>
      </c>
    </row>
    <row r="3172" spans="1:97" x14ac:dyDescent="0.25">
      <c r="A3172" t="s">
        <v>2201</v>
      </c>
      <c r="B3172" t="s">
        <v>20657</v>
      </c>
      <c r="C3172" t="s">
        <v>8089</v>
      </c>
      <c r="D3172" t="s">
        <v>20657</v>
      </c>
      <c r="E3172" t="s">
        <v>20658</v>
      </c>
      <c r="F3172" t="s">
        <v>108</v>
      </c>
      <c r="H3172" t="s">
        <v>20659</v>
      </c>
      <c r="I3172" t="s">
        <v>167</v>
      </c>
      <c r="J3172" t="s">
        <v>111</v>
      </c>
      <c r="K3172" t="str">
        <f>"85339"</f>
        <v>85339</v>
      </c>
      <c r="L3172" t="s">
        <v>316</v>
      </c>
      <c r="M3172" t="s">
        <v>20659</v>
      </c>
      <c r="N3172" t="s">
        <v>167</v>
      </c>
      <c r="O3172" t="s">
        <v>111</v>
      </c>
      <c r="P3172" t="str">
        <f>"85339-2271"</f>
        <v>85339-2271</v>
      </c>
      <c r="Q3172" t="s">
        <v>113</v>
      </c>
      <c r="R3172" t="str">
        <f>"104-91-341"</f>
        <v>104-91-341</v>
      </c>
      <c r="S3172" t="s">
        <v>6639</v>
      </c>
      <c r="T3172" t="s">
        <v>6640</v>
      </c>
      <c r="U3172">
        <v>2354</v>
      </c>
      <c r="V3172">
        <v>0</v>
      </c>
      <c r="W3172">
        <v>3</v>
      </c>
      <c r="X3172">
        <v>2003</v>
      </c>
      <c r="Z3172">
        <v>1</v>
      </c>
      <c r="AA3172" t="s">
        <v>26</v>
      </c>
      <c r="AB3172">
        <v>0</v>
      </c>
      <c r="AC3172" t="s">
        <v>115</v>
      </c>
      <c r="AD3172">
        <v>2</v>
      </c>
      <c r="AE3172" t="s">
        <v>115</v>
      </c>
      <c r="AF3172">
        <v>0</v>
      </c>
      <c r="AG3172">
        <v>0</v>
      </c>
      <c r="AH3172" t="s">
        <v>116</v>
      </c>
      <c r="AI3172" s="1">
        <v>34104</v>
      </c>
      <c r="AJ3172" s="2">
        <v>0.11</v>
      </c>
      <c r="AK3172" s="1">
        <v>308882</v>
      </c>
      <c r="AL3172" t="s">
        <v>117</v>
      </c>
      <c r="AM3172" t="s">
        <v>171</v>
      </c>
      <c r="AN3172">
        <v>6819</v>
      </c>
      <c r="AO3172">
        <v>0.16</v>
      </c>
      <c r="AP3172">
        <v>1</v>
      </c>
      <c r="AR3172">
        <v>1</v>
      </c>
      <c r="AS3172" s="1">
        <v>21520</v>
      </c>
      <c r="AT3172" s="1">
        <v>4300</v>
      </c>
      <c r="AU3172" s="1">
        <v>17220</v>
      </c>
      <c r="AV3172">
        <v>80.02</v>
      </c>
      <c r="AX3172" s="1">
        <v>2674.08</v>
      </c>
      <c r="AY3172" t="s">
        <v>805</v>
      </c>
      <c r="AZ3172" t="s">
        <v>806</v>
      </c>
      <c r="BA3172" t="s">
        <v>173</v>
      </c>
      <c r="BE3172" s="3">
        <v>42426</v>
      </c>
      <c r="BF3172" s="1">
        <v>273000</v>
      </c>
      <c r="BG3172" t="s">
        <v>20660</v>
      </c>
      <c r="BH3172" s="1">
        <v>115.97</v>
      </c>
      <c r="BI3172" s="1">
        <v>274778</v>
      </c>
      <c r="BJ3172" s="3">
        <v>42426</v>
      </c>
      <c r="BK3172" t="s">
        <v>123</v>
      </c>
      <c r="BL3172" t="str">
        <f>"2016.123191"</f>
        <v>2016.123191</v>
      </c>
      <c r="BM3172" t="s">
        <v>5938</v>
      </c>
      <c r="BO3172" t="s">
        <v>20661</v>
      </c>
      <c r="BS3172">
        <v>30</v>
      </c>
      <c r="BW3172" t="str">
        <f>""</f>
        <v/>
      </c>
      <c r="CH3172" t="str">
        <f>""</f>
        <v/>
      </c>
      <c r="CS3172" t="str">
        <f>""</f>
        <v/>
      </c>
    </row>
    <row r="3173" spans="1:97" x14ac:dyDescent="0.25">
      <c r="A3173" t="s">
        <v>20662</v>
      </c>
      <c r="B3173" t="s">
        <v>20663</v>
      </c>
      <c r="C3173" t="s">
        <v>348</v>
      </c>
      <c r="D3173" t="s">
        <v>9243</v>
      </c>
      <c r="E3173" t="s">
        <v>20664</v>
      </c>
      <c r="F3173" t="s">
        <v>108</v>
      </c>
      <c r="H3173" t="s">
        <v>20665</v>
      </c>
      <c r="I3173" t="s">
        <v>167</v>
      </c>
      <c r="J3173" t="s">
        <v>111</v>
      </c>
      <c r="K3173" t="str">
        <f>"85339"</f>
        <v>85339</v>
      </c>
      <c r="L3173" t="s">
        <v>5367</v>
      </c>
      <c r="M3173" t="s">
        <v>20665</v>
      </c>
      <c r="N3173" t="s">
        <v>167</v>
      </c>
      <c r="O3173" t="s">
        <v>111</v>
      </c>
      <c r="P3173" t="str">
        <f>"85339-7087"</f>
        <v>85339-7087</v>
      </c>
      <c r="Q3173" t="s">
        <v>113</v>
      </c>
      <c r="R3173" t="str">
        <f>"104-87-264"</f>
        <v>104-87-264</v>
      </c>
      <c r="S3173" t="s">
        <v>12188</v>
      </c>
      <c r="U3173">
        <v>1879</v>
      </c>
      <c r="V3173">
        <v>0</v>
      </c>
      <c r="W3173">
        <v>3</v>
      </c>
      <c r="X3173">
        <v>2015</v>
      </c>
      <c r="Z3173">
        <v>1</v>
      </c>
      <c r="AB3173">
        <v>0</v>
      </c>
      <c r="AC3173" t="s">
        <v>115</v>
      </c>
      <c r="AD3173">
        <v>2</v>
      </c>
      <c r="AE3173" t="s">
        <v>115</v>
      </c>
      <c r="AF3173">
        <v>0</v>
      </c>
      <c r="AG3173">
        <v>0</v>
      </c>
      <c r="AH3173" t="s">
        <v>116</v>
      </c>
      <c r="AI3173" s="1">
        <v>50134</v>
      </c>
      <c r="AJ3173" s="2">
        <v>0.19</v>
      </c>
      <c r="AK3173" s="1">
        <v>265359</v>
      </c>
      <c r="AL3173" t="s">
        <v>117</v>
      </c>
      <c r="AM3173" t="s">
        <v>760</v>
      </c>
      <c r="AN3173">
        <v>6760</v>
      </c>
      <c r="AO3173">
        <v>0.16</v>
      </c>
      <c r="AR3173">
        <v>1</v>
      </c>
      <c r="AS3173" s="1">
        <v>19110</v>
      </c>
      <c r="AT3173" s="1">
        <v>3820</v>
      </c>
      <c r="AU3173" s="1">
        <v>15290</v>
      </c>
      <c r="AV3173">
        <v>80.010000000000005</v>
      </c>
      <c r="AX3173" s="1">
        <v>2439.98</v>
      </c>
      <c r="AY3173" t="s">
        <v>172</v>
      </c>
      <c r="AZ3173" t="s">
        <v>172</v>
      </c>
      <c r="BA3173" t="s">
        <v>173</v>
      </c>
      <c r="BE3173" s="3">
        <v>42291</v>
      </c>
      <c r="BF3173" s="1">
        <v>215929</v>
      </c>
      <c r="BG3173" t="s">
        <v>233</v>
      </c>
      <c r="BH3173" s="1">
        <v>114.92</v>
      </c>
      <c r="BI3173" s="1">
        <v>215225</v>
      </c>
      <c r="BJ3173" s="3">
        <v>42681</v>
      </c>
      <c r="BK3173" t="s">
        <v>123</v>
      </c>
      <c r="BL3173" t="str">
        <f>"2016.819082"</f>
        <v>2016.819082</v>
      </c>
      <c r="BM3173" t="s">
        <v>2368</v>
      </c>
      <c r="BO3173" t="s">
        <v>20666</v>
      </c>
      <c r="BS3173">
        <v>30</v>
      </c>
      <c r="BW3173" t="str">
        <f>""</f>
        <v/>
      </c>
      <c r="CH3173" t="str">
        <f>""</f>
        <v/>
      </c>
      <c r="CS3173" t="str">
        <f>""</f>
        <v/>
      </c>
    </row>
    <row r="3174" spans="1:97" x14ac:dyDescent="0.25">
      <c r="A3174" t="s">
        <v>996</v>
      </c>
      <c r="B3174" t="s">
        <v>20667</v>
      </c>
      <c r="C3174" t="s">
        <v>20668</v>
      </c>
      <c r="D3174" t="s">
        <v>20667</v>
      </c>
      <c r="E3174" t="s">
        <v>20669</v>
      </c>
      <c r="F3174" t="s">
        <v>108</v>
      </c>
      <c r="H3174" t="s">
        <v>20670</v>
      </c>
      <c r="I3174" t="s">
        <v>374</v>
      </c>
      <c r="J3174" t="s">
        <v>111</v>
      </c>
      <c r="K3174" t="str">
        <f>"85087"</f>
        <v>85087</v>
      </c>
      <c r="L3174" t="s">
        <v>7109</v>
      </c>
      <c r="M3174" t="s">
        <v>20670</v>
      </c>
      <c r="N3174" t="s">
        <v>374</v>
      </c>
      <c r="O3174" t="s">
        <v>111</v>
      </c>
      <c r="P3174" t="str">
        <f>"85087-5944"</f>
        <v>85087-5944</v>
      </c>
      <c r="Q3174" t="s">
        <v>113</v>
      </c>
      <c r="R3174" t="str">
        <f>"202-30-394"</f>
        <v>202-30-394</v>
      </c>
      <c r="S3174" t="s">
        <v>7317</v>
      </c>
      <c r="T3174" t="s">
        <v>7096</v>
      </c>
      <c r="U3174">
        <v>2012</v>
      </c>
      <c r="V3174">
        <v>0</v>
      </c>
      <c r="W3174">
        <v>3</v>
      </c>
      <c r="X3174">
        <v>2005</v>
      </c>
      <c r="Z3174">
        <v>1</v>
      </c>
      <c r="AA3174" t="s">
        <v>26</v>
      </c>
      <c r="AB3174">
        <v>0</v>
      </c>
      <c r="AC3174" t="s">
        <v>115</v>
      </c>
      <c r="AD3174">
        <v>2</v>
      </c>
      <c r="AE3174" t="s">
        <v>115</v>
      </c>
      <c r="AF3174">
        <v>0</v>
      </c>
      <c r="AG3174">
        <v>0</v>
      </c>
      <c r="AH3174" t="s">
        <v>116</v>
      </c>
      <c r="AI3174" s="1">
        <v>72880</v>
      </c>
      <c r="AJ3174" s="2">
        <v>0.22</v>
      </c>
      <c r="AK3174" s="1">
        <v>333362</v>
      </c>
      <c r="AL3174" t="s">
        <v>117</v>
      </c>
      <c r="AM3174" t="s">
        <v>191</v>
      </c>
      <c r="AN3174">
        <v>7147</v>
      </c>
      <c r="AO3174">
        <v>0.16</v>
      </c>
      <c r="AR3174">
        <v>1</v>
      </c>
      <c r="AS3174" s="1">
        <v>24310</v>
      </c>
      <c r="AT3174" s="1">
        <v>4860</v>
      </c>
      <c r="AU3174" s="1">
        <v>19450</v>
      </c>
      <c r="AV3174">
        <v>80.010000000000005</v>
      </c>
      <c r="AX3174" s="1">
        <v>2158.62</v>
      </c>
      <c r="AY3174" t="s">
        <v>5380</v>
      </c>
      <c r="AZ3174" t="s">
        <v>5380</v>
      </c>
      <c r="BA3174" t="s">
        <v>378</v>
      </c>
      <c r="BE3174" s="3">
        <v>42517</v>
      </c>
      <c r="BF3174" s="1">
        <v>255000</v>
      </c>
      <c r="BG3174" t="s">
        <v>20671</v>
      </c>
      <c r="BH3174" s="1">
        <v>126.74</v>
      </c>
      <c r="BI3174" s="1">
        <v>260482</v>
      </c>
      <c r="BJ3174" s="3">
        <v>42517</v>
      </c>
      <c r="BK3174" t="s">
        <v>123</v>
      </c>
      <c r="BL3174" t="str">
        <f>"2016.369682"</f>
        <v>2016.369682</v>
      </c>
      <c r="BM3174" t="s">
        <v>1038</v>
      </c>
      <c r="BO3174" t="s">
        <v>20672</v>
      </c>
      <c r="BS3174">
        <v>30</v>
      </c>
      <c r="BW3174" t="str">
        <f>""</f>
        <v/>
      </c>
      <c r="CH3174" t="str">
        <f>""</f>
        <v/>
      </c>
      <c r="CS3174" t="str">
        <f>""</f>
        <v/>
      </c>
    </row>
    <row r="3175" spans="1:97" x14ac:dyDescent="0.25">
      <c r="B3175" t="s">
        <v>20673</v>
      </c>
      <c r="E3175" t="s">
        <v>20674</v>
      </c>
      <c r="F3175" t="s">
        <v>108</v>
      </c>
      <c r="H3175" t="s">
        <v>20675</v>
      </c>
      <c r="I3175" t="s">
        <v>225</v>
      </c>
      <c r="J3175" t="s">
        <v>111</v>
      </c>
      <c r="K3175" t="str">
        <f>"85209"</f>
        <v>85209</v>
      </c>
      <c r="L3175" t="s">
        <v>7725</v>
      </c>
      <c r="M3175" t="s">
        <v>20675</v>
      </c>
      <c r="N3175" t="s">
        <v>225</v>
      </c>
      <c r="O3175" t="s">
        <v>111</v>
      </c>
      <c r="P3175" t="str">
        <f>"85209-1111"</f>
        <v>85209-1111</v>
      </c>
      <c r="Q3175" t="s">
        <v>113</v>
      </c>
      <c r="R3175" t="str">
        <f>"312-01-073"</f>
        <v>312-01-073</v>
      </c>
      <c r="S3175" t="s">
        <v>20676</v>
      </c>
      <c r="U3175">
        <v>1691</v>
      </c>
      <c r="V3175">
        <v>0</v>
      </c>
      <c r="W3175">
        <v>3</v>
      </c>
      <c r="X3175">
        <v>2001</v>
      </c>
      <c r="Z3175">
        <v>1</v>
      </c>
      <c r="AA3175" t="s">
        <v>26</v>
      </c>
      <c r="AB3175">
        <v>0</v>
      </c>
      <c r="AC3175" t="s">
        <v>115</v>
      </c>
      <c r="AD3175">
        <v>2</v>
      </c>
      <c r="AE3175" t="s">
        <v>115</v>
      </c>
      <c r="AF3175">
        <v>0</v>
      </c>
      <c r="AG3175">
        <v>0</v>
      </c>
      <c r="AH3175" t="s">
        <v>116</v>
      </c>
      <c r="AI3175" s="1">
        <v>69258</v>
      </c>
      <c r="AJ3175" s="2">
        <v>0.22</v>
      </c>
      <c r="AK3175" s="1">
        <v>315141</v>
      </c>
      <c r="AL3175" t="s">
        <v>117</v>
      </c>
      <c r="AM3175" t="s">
        <v>191</v>
      </c>
      <c r="AN3175">
        <v>6446</v>
      </c>
      <c r="AO3175">
        <v>0.15</v>
      </c>
      <c r="AP3175">
        <v>1</v>
      </c>
      <c r="AR3175">
        <v>1</v>
      </c>
      <c r="AS3175" s="1">
        <v>21170</v>
      </c>
      <c r="AT3175" s="1">
        <v>4230</v>
      </c>
      <c r="AU3175" s="1">
        <v>16940</v>
      </c>
      <c r="AV3175">
        <v>80.02</v>
      </c>
      <c r="AX3175" s="1">
        <v>1504.06</v>
      </c>
      <c r="AY3175" t="s">
        <v>4370</v>
      </c>
      <c r="AZ3175" t="s">
        <v>777</v>
      </c>
      <c r="BA3175" t="s">
        <v>572</v>
      </c>
      <c r="BB3175" s="3">
        <v>43566</v>
      </c>
      <c r="BC3175" s="1">
        <v>0</v>
      </c>
      <c r="BD3175" t="s">
        <v>247</v>
      </c>
      <c r="BE3175" s="3">
        <v>42543</v>
      </c>
      <c r="BF3175" s="1">
        <v>255000</v>
      </c>
      <c r="BG3175" t="s">
        <v>20677</v>
      </c>
      <c r="BH3175" s="1">
        <v>150.80000000000001</v>
      </c>
      <c r="BI3175" s="1">
        <v>245883</v>
      </c>
      <c r="BJ3175" s="3">
        <v>42543</v>
      </c>
      <c r="BK3175" t="s">
        <v>123</v>
      </c>
      <c r="BL3175" t="str">
        <f>"2016.436053"</f>
        <v>2016.436053</v>
      </c>
      <c r="BM3175" t="s">
        <v>2368</v>
      </c>
      <c r="BN3175" t="s">
        <v>6128</v>
      </c>
      <c r="BO3175" t="s">
        <v>20678</v>
      </c>
      <c r="BS3175">
        <v>30</v>
      </c>
      <c r="BW3175" t="str">
        <f>""</f>
        <v/>
      </c>
      <c r="CH3175" t="str">
        <f>""</f>
        <v/>
      </c>
      <c r="CS3175" t="str">
        <f>""</f>
        <v/>
      </c>
    </row>
    <row r="3176" spans="1:97" x14ac:dyDescent="0.25">
      <c r="A3176" t="s">
        <v>3104</v>
      </c>
      <c r="B3176" t="s">
        <v>20679</v>
      </c>
      <c r="C3176" t="s">
        <v>20680</v>
      </c>
      <c r="D3176" t="s">
        <v>20679</v>
      </c>
      <c r="E3176" t="s">
        <v>20681</v>
      </c>
      <c r="F3176" t="s">
        <v>108</v>
      </c>
      <c r="H3176" t="s">
        <v>20682</v>
      </c>
      <c r="I3176" t="s">
        <v>203</v>
      </c>
      <c r="J3176" t="s">
        <v>111</v>
      </c>
      <c r="K3176" t="str">
        <f>"85297"</f>
        <v>85297</v>
      </c>
      <c r="L3176" t="s">
        <v>7339</v>
      </c>
      <c r="M3176" t="s">
        <v>20682</v>
      </c>
      <c r="N3176" t="s">
        <v>203</v>
      </c>
      <c r="O3176" t="s">
        <v>111</v>
      </c>
      <c r="P3176" t="str">
        <f>"85297-7848"</f>
        <v>85297-7848</v>
      </c>
      <c r="Q3176" t="s">
        <v>113</v>
      </c>
      <c r="R3176" t="str">
        <f>"309-24-644"</f>
        <v>309-24-644</v>
      </c>
      <c r="S3176" t="s">
        <v>20683</v>
      </c>
      <c r="U3176">
        <v>1850</v>
      </c>
      <c r="V3176">
        <v>0</v>
      </c>
      <c r="W3176">
        <v>2</v>
      </c>
      <c r="X3176">
        <v>2001</v>
      </c>
      <c r="Z3176">
        <v>1</v>
      </c>
      <c r="AB3176">
        <v>0</v>
      </c>
      <c r="AC3176" t="s">
        <v>115</v>
      </c>
      <c r="AD3176">
        <v>2</v>
      </c>
      <c r="AE3176" t="s">
        <v>115</v>
      </c>
      <c r="AF3176">
        <v>0</v>
      </c>
      <c r="AG3176">
        <v>0</v>
      </c>
      <c r="AH3176" t="s">
        <v>116</v>
      </c>
      <c r="AI3176" s="1">
        <v>72418</v>
      </c>
      <c r="AJ3176" s="2">
        <v>0.22</v>
      </c>
      <c r="AK3176" s="1">
        <v>322685</v>
      </c>
      <c r="AL3176" t="s">
        <v>117</v>
      </c>
      <c r="AM3176" t="s">
        <v>191</v>
      </c>
      <c r="AN3176">
        <v>6488</v>
      </c>
      <c r="AO3176">
        <v>0.15</v>
      </c>
      <c r="AP3176">
        <v>1</v>
      </c>
      <c r="AR3176">
        <v>1</v>
      </c>
      <c r="AS3176" s="1">
        <v>21260</v>
      </c>
      <c r="AT3176" s="1">
        <v>4250</v>
      </c>
      <c r="AU3176" s="1">
        <v>17010</v>
      </c>
      <c r="AV3176">
        <v>80.010000000000005</v>
      </c>
      <c r="AX3176" s="1">
        <v>1686.06</v>
      </c>
      <c r="AY3176" t="s">
        <v>394</v>
      </c>
      <c r="AZ3176" t="s">
        <v>394</v>
      </c>
      <c r="BA3176" t="s">
        <v>290</v>
      </c>
      <c r="BE3176" s="3">
        <v>42202</v>
      </c>
      <c r="BF3176" s="1">
        <v>245000</v>
      </c>
      <c r="BG3176" t="s">
        <v>20684</v>
      </c>
      <c r="BH3176" s="1">
        <v>132.43</v>
      </c>
      <c r="BI3176" s="1">
        <v>250267</v>
      </c>
      <c r="BJ3176" s="3">
        <v>42202</v>
      </c>
      <c r="BK3176" t="s">
        <v>123</v>
      </c>
      <c r="BL3176" t="str">
        <f>"2015.514885"</f>
        <v>2015.514885</v>
      </c>
      <c r="BM3176" t="s">
        <v>135</v>
      </c>
      <c r="BO3176" t="s">
        <v>20685</v>
      </c>
      <c r="BS3176">
        <v>30</v>
      </c>
      <c r="BW3176" t="str">
        <f>""</f>
        <v/>
      </c>
      <c r="CH3176" t="str">
        <f>""</f>
        <v/>
      </c>
      <c r="CS3176" t="str">
        <f>""</f>
        <v/>
      </c>
    </row>
    <row r="3177" spans="1:97" x14ac:dyDescent="0.25">
      <c r="A3177" t="s">
        <v>140</v>
      </c>
      <c r="B3177" t="s">
        <v>20686</v>
      </c>
      <c r="C3177" t="s">
        <v>1857</v>
      </c>
      <c r="D3177" t="s">
        <v>20686</v>
      </c>
      <c r="E3177" t="s">
        <v>20687</v>
      </c>
      <c r="F3177" t="s">
        <v>108</v>
      </c>
      <c r="H3177" t="s">
        <v>20688</v>
      </c>
      <c r="I3177" t="s">
        <v>2874</v>
      </c>
      <c r="J3177" t="s">
        <v>111</v>
      </c>
      <c r="K3177" t="str">
        <f>"85302"</f>
        <v>85302</v>
      </c>
      <c r="L3177" t="s">
        <v>6983</v>
      </c>
      <c r="M3177" t="s">
        <v>20688</v>
      </c>
      <c r="N3177" t="s">
        <v>2874</v>
      </c>
      <c r="O3177" t="s">
        <v>111</v>
      </c>
      <c r="P3177" t="str">
        <f>"85302-2525"</f>
        <v>85302-2525</v>
      </c>
      <c r="Q3177" t="s">
        <v>113</v>
      </c>
      <c r="R3177" t="str">
        <f>"148-08-241"</f>
        <v>148-08-241</v>
      </c>
      <c r="S3177" t="s">
        <v>7163</v>
      </c>
      <c r="U3177">
        <v>1706</v>
      </c>
      <c r="V3177">
        <v>0</v>
      </c>
      <c r="W3177">
        <v>2</v>
      </c>
      <c r="X3177">
        <v>1977</v>
      </c>
      <c r="Z3177">
        <v>1</v>
      </c>
      <c r="AB3177">
        <v>0</v>
      </c>
      <c r="AC3177" t="s">
        <v>115</v>
      </c>
      <c r="AD3177">
        <v>2</v>
      </c>
      <c r="AE3177" t="s">
        <v>115</v>
      </c>
      <c r="AF3177">
        <v>0</v>
      </c>
      <c r="AG3177">
        <v>0</v>
      </c>
      <c r="AH3177" t="s">
        <v>116</v>
      </c>
      <c r="AI3177" s="1">
        <v>21035</v>
      </c>
      <c r="AJ3177" s="2">
        <v>0.09</v>
      </c>
      <c r="AK3177" s="1">
        <v>246035</v>
      </c>
      <c r="AL3177" t="s">
        <v>117</v>
      </c>
      <c r="AM3177" t="s">
        <v>191</v>
      </c>
      <c r="AN3177">
        <v>8126</v>
      </c>
      <c r="AO3177">
        <v>0.19</v>
      </c>
      <c r="AP3177">
        <v>1</v>
      </c>
      <c r="AR3177">
        <v>1</v>
      </c>
      <c r="AS3177" s="1">
        <v>16000</v>
      </c>
      <c r="AT3177" s="1">
        <v>3200</v>
      </c>
      <c r="AU3177" s="1">
        <v>12800</v>
      </c>
      <c r="AV3177">
        <v>80</v>
      </c>
      <c r="AX3177" s="1">
        <v>1075.8800000000001</v>
      </c>
      <c r="AY3177" t="s">
        <v>6985</v>
      </c>
      <c r="AZ3177" t="s">
        <v>6986</v>
      </c>
      <c r="BA3177" t="s">
        <v>6987</v>
      </c>
      <c r="BE3177" s="3">
        <v>42432</v>
      </c>
      <c r="BF3177" s="1">
        <v>170000</v>
      </c>
      <c r="BG3177" t="s">
        <v>20689</v>
      </c>
      <c r="BH3177" s="1">
        <v>103.22</v>
      </c>
      <c r="BI3177" s="1">
        <v>225000</v>
      </c>
      <c r="BJ3177" s="3">
        <v>43623</v>
      </c>
      <c r="BK3177" t="s">
        <v>123</v>
      </c>
      <c r="BL3177" t="str">
        <f>"2019.424272"</f>
        <v>2019.424272</v>
      </c>
      <c r="BM3177" t="s">
        <v>5534</v>
      </c>
      <c r="BN3177" t="s">
        <v>6390</v>
      </c>
      <c r="BO3177" t="s">
        <v>20690</v>
      </c>
      <c r="BP3177" t="s">
        <v>20691</v>
      </c>
      <c r="BR3177" t="s">
        <v>139</v>
      </c>
      <c r="BW3177" t="str">
        <f>""</f>
        <v/>
      </c>
      <c r="CH3177" t="str">
        <f>""</f>
        <v/>
      </c>
      <c r="CS3177" t="str">
        <f>""</f>
        <v/>
      </c>
    </row>
    <row r="3178" spans="1:97" x14ac:dyDescent="0.25">
      <c r="A3178" t="s">
        <v>701</v>
      </c>
      <c r="B3178" t="s">
        <v>20692</v>
      </c>
      <c r="C3178" t="s">
        <v>4588</v>
      </c>
      <c r="D3178" t="s">
        <v>20692</v>
      </c>
      <c r="E3178" t="s">
        <v>20693</v>
      </c>
      <c r="F3178" t="s">
        <v>108</v>
      </c>
      <c r="H3178" t="s">
        <v>20694</v>
      </c>
      <c r="I3178" t="s">
        <v>5863</v>
      </c>
      <c r="J3178" t="s">
        <v>111</v>
      </c>
      <c r="K3178" t="str">
        <f>"85375"</f>
        <v>85375</v>
      </c>
      <c r="L3178" t="s">
        <v>6003</v>
      </c>
      <c r="M3178" t="s">
        <v>20694</v>
      </c>
      <c r="N3178" t="s">
        <v>5863</v>
      </c>
      <c r="O3178" t="s">
        <v>111</v>
      </c>
      <c r="P3178" t="str">
        <f>"85375-5127"</f>
        <v>85375-5127</v>
      </c>
      <c r="Q3178" t="s">
        <v>113</v>
      </c>
      <c r="R3178" t="str">
        <f>"232-08-599"</f>
        <v>232-08-599</v>
      </c>
      <c r="S3178" t="s">
        <v>20695</v>
      </c>
      <c r="U3178">
        <v>1418</v>
      </c>
      <c r="V3178">
        <v>0</v>
      </c>
      <c r="W3178">
        <v>2</v>
      </c>
      <c r="X3178">
        <v>1984</v>
      </c>
      <c r="Z3178">
        <v>1</v>
      </c>
      <c r="AB3178">
        <v>0</v>
      </c>
      <c r="AC3178" t="s">
        <v>115</v>
      </c>
      <c r="AD3178">
        <v>2</v>
      </c>
      <c r="AE3178" t="s">
        <v>115</v>
      </c>
      <c r="AF3178">
        <v>0</v>
      </c>
      <c r="AG3178">
        <v>0</v>
      </c>
      <c r="AH3178" t="s">
        <v>116</v>
      </c>
      <c r="AI3178" s="1">
        <v>-21119</v>
      </c>
      <c r="AJ3178" s="2">
        <v>-0.1</v>
      </c>
      <c r="AK3178" s="1">
        <v>206141</v>
      </c>
      <c r="AL3178" t="s">
        <v>117</v>
      </c>
      <c r="AM3178" t="s">
        <v>393</v>
      </c>
      <c r="AN3178">
        <v>8700</v>
      </c>
      <c r="AO3178">
        <v>0.2</v>
      </c>
      <c r="AP3178">
        <v>1</v>
      </c>
      <c r="AR3178">
        <v>1</v>
      </c>
      <c r="AS3178" s="1">
        <v>13620</v>
      </c>
      <c r="AT3178" s="1">
        <v>2720</v>
      </c>
      <c r="AU3178" s="1">
        <v>10900</v>
      </c>
      <c r="AV3178">
        <v>80.03</v>
      </c>
      <c r="AX3178" s="1">
        <v>816.02</v>
      </c>
      <c r="AY3178" t="s">
        <v>320</v>
      </c>
      <c r="AZ3178" t="s">
        <v>320</v>
      </c>
      <c r="BA3178" t="s">
        <v>321</v>
      </c>
      <c r="BE3178" s="3">
        <v>41851</v>
      </c>
      <c r="BF3178" s="1">
        <v>120000</v>
      </c>
      <c r="BG3178" t="s">
        <v>20696</v>
      </c>
      <c r="BH3178" s="1">
        <v>84.63</v>
      </c>
      <c r="BI3178" s="1">
        <v>227260</v>
      </c>
      <c r="BJ3178" s="3">
        <v>43430</v>
      </c>
      <c r="BK3178" t="s">
        <v>123</v>
      </c>
      <c r="BL3178" t="str">
        <f>"2018.869476"</f>
        <v>2018.869476</v>
      </c>
      <c r="BM3178" t="s">
        <v>533</v>
      </c>
      <c r="BN3178" t="s">
        <v>534</v>
      </c>
      <c r="BO3178" t="s">
        <v>20697</v>
      </c>
      <c r="BP3178" t="s">
        <v>20698</v>
      </c>
      <c r="BR3178" t="s">
        <v>139</v>
      </c>
      <c r="BW3178" t="str">
        <f>""</f>
        <v/>
      </c>
      <c r="CH3178" t="str">
        <f>""</f>
        <v/>
      </c>
      <c r="CS3178" t="str">
        <f>""</f>
        <v/>
      </c>
    </row>
    <row r="3179" spans="1:97" x14ac:dyDescent="0.25">
      <c r="A3179" t="s">
        <v>894</v>
      </c>
      <c r="B3179" t="s">
        <v>20699</v>
      </c>
      <c r="C3179" t="s">
        <v>154</v>
      </c>
      <c r="D3179" t="s">
        <v>20699</v>
      </c>
      <c r="E3179" t="s">
        <v>20700</v>
      </c>
      <c r="F3179" t="s">
        <v>108</v>
      </c>
      <c r="H3179" t="s">
        <v>20701</v>
      </c>
      <c r="I3179" t="s">
        <v>5523</v>
      </c>
      <c r="J3179" t="s">
        <v>111</v>
      </c>
      <c r="K3179" t="str">
        <f>"85373"</f>
        <v>85373</v>
      </c>
      <c r="L3179" t="s">
        <v>5524</v>
      </c>
      <c r="M3179" t="s">
        <v>20701</v>
      </c>
      <c r="N3179" t="s">
        <v>5523</v>
      </c>
      <c r="O3179" t="s">
        <v>111</v>
      </c>
      <c r="P3179" t="str">
        <f>"85373-5668"</f>
        <v>85373-5668</v>
      </c>
      <c r="Q3179" t="s">
        <v>113</v>
      </c>
      <c r="R3179" t="str">
        <f>"503-88-752"</f>
        <v>503-88-752</v>
      </c>
      <c r="S3179" t="s">
        <v>5525</v>
      </c>
      <c r="T3179" t="s">
        <v>5526</v>
      </c>
      <c r="U3179">
        <v>2041</v>
      </c>
      <c r="V3179">
        <v>0</v>
      </c>
      <c r="W3179">
        <v>3</v>
      </c>
      <c r="X3179">
        <v>2008</v>
      </c>
      <c r="Z3179">
        <v>1</v>
      </c>
      <c r="AB3179">
        <v>0</v>
      </c>
      <c r="AC3179" t="s">
        <v>115</v>
      </c>
      <c r="AD3179">
        <v>2</v>
      </c>
      <c r="AE3179" t="s">
        <v>115</v>
      </c>
      <c r="AF3179">
        <v>0</v>
      </c>
      <c r="AG3179">
        <v>0</v>
      </c>
      <c r="AH3179" t="s">
        <v>116</v>
      </c>
      <c r="AI3179" s="1">
        <v>62550</v>
      </c>
      <c r="AJ3179" s="2">
        <v>0.22</v>
      </c>
      <c r="AK3179" s="1">
        <v>290182</v>
      </c>
      <c r="AL3179" t="s">
        <v>117</v>
      </c>
      <c r="AM3179" t="s">
        <v>191</v>
      </c>
      <c r="AN3179">
        <v>6648</v>
      </c>
      <c r="AO3179">
        <v>0.15</v>
      </c>
      <c r="AR3179">
        <v>1</v>
      </c>
      <c r="AS3179" s="1">
        <v>20220</v>
      </c>
      <c r="AT3179" s="1">
        <v>4040</v>
      </c>
      <c r="AU3179" s="1">
        <v>16180</v>
      </c>
      <c r="AV3179">
        <v>80.02</v>
      </c>
      <c r="AX3179" s="1">
        <v>2089.7800000000002</v>
      </c>
      <c r="AY3179" t="s">
        <v>3228</v>
      </c>
      <c r="AZ3179" t="s">
        <v>3228</v>
      </c>
      <c r="BA3179" t="s">
        <v>457</v>
      </c>
      <c r="BE3179" s="3">
        <v>41911</v>
      </c>
      <c r="BF3179" s="1">
        <v>223500</v>
      </c>
      <c r="BG3179" t="s">
        <v>20702</v>
      </c>
      <c r="BH3179" s="1">
        <v>109.51</v>
      </c>
      <c r="BI3179" s="1">
        <v>227632</v>
      </c>
      <c r="BJ3179" s="3">
        <v>42681</v>
      </c>
      <c r="BK3179" t="s">
        <v>123</v>
      </c>
      <c r="BL3179" t="str">
        <f>"2016.818612"</f>
        <v>2016.818612</v>
      </c>
      <c r="BM3179" t="s">
        <v>322</v>
      </c>
      <c r="BO3179" t="s">
        <v>20703</v>
      </c>
      <c r="BS3179">
        <v>30</v>
      </c>
      <c r="BW3179" t="str">
        <f>""</f>
        <v/>
      </c>
      <c r="CH3179" t="str">
        <f>""</f>
        <v/>
      </c>
      <c r="CS3179" t="str">
        <f>""</f>
        <v/>
      </c>
    </row>
    <row r="3180" spans="1:97" x14ac:dyDescent="0.25">
      <c r="A3180" t="s">
        <v>370</v>
      </c>
      <c r="B3180" t="s">
        <v>20704</v>
      </c>
      <c r="E3180" t="s">
        <v>20705</v>
      </c>
      <c r="F3180" t="s">
        <v>108</v>
      </c>
      <c r="H3180" t="s">
        <v>20706</v>
      </c>
      <c r="I3180" t="s">
        <v>453</v>
      </c>
      <c r="J3180" t="s">
        <v>111</v>
      </c>
      <c r="K3180" t="str">
        <f>"85382"</f>
        <v>85382</v>
      </c>
      <c r="L3180" t="s">
        <v>4751</v>
      </c>
      <c r="M3180" t="s">
        <v>20706</v>
      </c>
      <c r="N3180" t="s">
        <v>453</v>
      </c>
      <c r="O3180" t="s">
        <v>111</v>
      </c>
      <c r="P3180" t="str">
        <f>"85382-5110"</f>
        <v>85382-5110</v>
      </c>
      <c r="Q3180" t="s">
        <v>113</v>
      </c>
      <c r="R3180" t="str">
        <f>"200-15-126"</f>
        <v>200-15-126</v>
      </c>
      <c r="S3180" t="s">
        <v>20707</v>
      </c>
      <c r="T3180" t="s">
        <v>20707</v>
      </c>
      <c r="U3180">
        <v>1667</v>
      </c>
      <c r="V3180">
        <v>0</v>
      </c>
      <c r="W3180">
        <v>3</v>
      </c>
      <c r="X3180">
        <v>1997</v>
      </c>
      <c r="Z3180">
        <v>1</v>
      </c>
      <c r="AA3180" t="s">
        <v>26</v>
      </c>
      <c r="AB3180">
        <v>0</v>
      </c>
      <c r="AC3180" t="s">
        <v>115</v>
      </c>
      <c r="AD3180">
        <v>2</v>
      </c>
      <c r="AE3180" t="s">
        <v>115</v>
      </c>
      <c r="AF3180">
        <v>0</v>
      </c>
      <c r="AG3180">
        <v>0</v>
      </c>
      <c r="AH3180" t="s">
        <v>116</v>
      </c>
      <c r="AI3180" s="1">
        <v>14859</v>
      </c>
      <c r="AJ3180" s="2">
        <v>0.05</v>
      </c>
      <c r="AK3180" s="1">
        <v>288604</v>
      </c>
      <c r="AL3180" t="s">
        <v>117</v>
      </c>
      <c r="AM3180" t="s">
        <v>118</v>
      </c>
      <c r="AN3180">
        <v>5100</v>
      </c>
      <c r="AO3180">
        <v>0.12</v>
      </c>
      <c r="AP3180">
        <v>1</v>
      </c>
      <c r="AR3180">
        <v>1</v>
      </c>
      <c r="AS3180" s="1">
        <v>20270</v>
      </c>
      <c r="AT3180" s="1">
        <v>4050</v>
      </c>
      <c r="AU3180" s="1">
        <v>16220</v>
      </c>
      <c r="AV3180">
        <v>80.02</v>
      </c>
      <c r="AX3180" s="1">
        <v>1661.76</v>
      </c>
      <c r="AY3180" t="s">
        <v>4520</v>
      </c>
      <c r="AZ3180" t="s">
        <v>4520</v>
      </c>
      <c r="BA3180" t="s">
        <v>4219</v>
      </c>
      <c r="BB3180" s="3">
        <v>43501</v>
      </c>
      <c r="BC3180" s="1">
        <v>0</v>
      </c>
      <c r="BD3180" t="s">
        <v>247</v>
      </c>
      <c r="BE3180" s="3">
        <v>42395</v>
      </c>
      <c r="BF3180" s="1">
        <v>240000</v>
      </c>
      <c r="BG3180" t="s">
        <v>20708</v>
      </c>
      <c r="BH3180" s="1">
        <v>143.97</v>
      </c>
      <c r="BI3180" s="1">
        <v>273745</v>
      </c>
      <c r="BJ3180" s="3">
        <v>43501</v>
      </c>
      <c r="BK3180" t="s">
        <v>123</v>
      </c>
      <c r="BL3180" t="str">
        <f>"2019.79882"</f>
        <v>2019.79882</v>
      </c>
      <c r="BM3180" t="s">
        <v>20709</v>
      </c>
      <c r="BN3180" t="s">
        <v>9929</v>
      </c>
      <c r="BO3180" t="s">
        <v>20705</v>
      </c>
      <c r="BR3180" t="s">
        <v>139</v>
      </c>
      <c r="BW3180" t="str">
        <f>""</f>
        <v/>
      </c>
      <c r="CH3180" t="str">
        <f>""</f>
        <v/>
      </c>
      <c r="CS3180" t="str">
        <f>""</f>
        <v/>
      </c>
    </row>
    <row r="3181" spans="1:97" x14ac:dyDescent="0.25">
      <c r="A3181" t="s">
        <v>464</v>
      </c>
      <c r="B3181" t="s">
        <v>15790</v>
      </c>
      <c r="E3181" t="s">
        <v>20710</v>
      </c>
      <c r="F3181" t="s">
        <v>108</v>
      </c>
      <c r="H3181" t="s">
        <v>20711</v>
      </c>
      <c r="I3181" t="s">
        <v>225</v>
      </c>
      <c r="J3181" t="s">
        <v>111</v>
      </c>
      <c r="K3181" t="str">
        <f>"85215"</f>
        <v>85215</v>
      </c>
      <c r="L3181" t="s">
        <v>6416</v>
      </c>
      <c r="M3181" t="s">
        <v>20711</v>
      </c>
      <c r="N3181" t="s">
        <v>225</v>
      </c>
      <c r="O3181" t="s">
        <v>111</v>
      </c>
      <c r="P3181" t="str">
        <f>"85215"</f>
        <v>85215</v>
      </c>
      <c r="Q3181" t="s">
        <v>113</v>
      </c>
      <c r="R3181" t="str">
        <f>"141-93-014"</f>
        <v>141-93-014</v>
      </c>
      <c r="S3181" t="s">
        <v>20712</v>
      </c>
      <c r="T3181" t="s">
        <v>20713</v>
      </c>
      <c r="U3181">
        <v>1542</v>
      </c>
      <c r="V3181">
        <v>0</v>
      </c>
      <c r="W3181">
        <v>3</v>
      </c>
      <c r="X3181">
        <v>1994</v>
      </c>
      <c r="Z3181">
        <v>1</v>
      </c>
      <c r="AB3181">
        <v>0</v>
      </c>
      <c r="AC3181" t="s">
        <v>115</v>
      </c>
      <c r="AD3181">
        <v>2</v>
      </c>
      <c r="AE3181" t="s">
        <v>115</v>
      </c>
      <c r="AF3181">
        <v>0</v>
      </c>
      <c r="AG3181">
        <v>0</v>
      </c>
      <c r="AH3181" t="s">
        <v>116</v>
      </c>
      <c r="AI3181" s="1">
        <v>29630</v>
      </c>
      <c r="AJ3181" s="2">
        <v>0.1</v>
      </c>
      <c r="AK3181" s="1">
        <v>293561</v>
      </c>
      <c r="AL3181" t="s">
        <v>117</v>
      </c>
      <c r="AM3181" t="s">
        <v>191</v>
      </c>
      <c r="AN3181">
        <v>8365</v>
      </c>
      <c r="AO3181">
        <v>0.19</v>
      </c>
      <c r="AP3181">
        <v>1</v>
      </c>
      <c r="AR3181">
        <v>1</v>
      </c>
      <c r="AS3181" s="1">
        <v>20360</v>
      </c>
      <c r="AT3181" s="1">
        <v>4070</v>
      </c>
      <c r="AU3181" s="1">
        <v>16290</v>
      </c>
      <c r="AV3181">
        <v>80.010000000000005</v>
      </c>
      <c r="AX3181" s="1">
        <v>1613.24</v>
      </c>
      <c r="AY3181" t="s">
        <v>6662</v>
      </c>
      <c r="AZ3181" t="s">
        <v>5275</v>
      </c>
      <c r="BA3181" t="s">
        <v>3119</v>
      </c>
      <c r="BE3181" s="3">
        <v>42327</v>
      </c>
      <c r="BF3181" s="1">
        <v>216700</v>
      </c>
      <c r="BG3181" t="s">
        <v>20714</v>
      </c>
      <c r="BH3181" s="1">
        <v>140.53</v>
      </c>
      <c r="BI3181" s="1">
        <v>263931</v>
      </c>
      <c r="BJ3181" s="3">
        <v>43125</v>
      </c>
      <c r="BK3181" t="s">
        <v>123</v>
      </c>
      <c r="BL3181" t="str">
        <f>"2018.60048"</f>
        <v>2018.60048</v>
      </c>
      <c r="BM3181" t="s">
        <v>361</v>
      </c>
      <c r="BN3181" t="s">
        <v>884</v>
      </c>
      <c r="BO3181" t="s">
        <v>20710</v>
      </c>
      <c r="BR3181" t="s">
        <v>139</v>
      </c>
      <c r="BW3181" t="str">
        <f>""</f>
        <v/>
      </c>
      <c r="CH3181" t="str">
        <f>""</f>
        <v/>
      </c>
      <c r="CS3181" t="str">
        <f>""</f>
        <v/>
      </c>
    </row>
    <row r="3182" spans="1:97" x14ac:dyDescent="0.25">
      <c r="A3182" t="s">
        <v>1160</v>
      </c>
      <c r="B3182" t="s">
        <v>16076</v>
      </c>
      <c r="C3182" t="s">
        <v>20715</v>
      </c>
      <c r="D3182" t="s">
        <v>16076</v>
      </c>
      <c r="E3182" t="s">
        <v>20716</v>
      </c>
      <c r="F3182" t="s">
        <v>108</v>
      </c>
      <c r="H3182" t="s">
        <v>20717</v>
      </c>
      <c r="I3182" t="s">
        <v>1788</v>
      </c>
      <c r="J3182" t="s">
        <v>111</v>
      </c>
      <c r="K3182" t="str">
        <f>"85355"</f>
        <v>85355</v>
      </c>
      <c r="L3182" t="s">
        <v>168</v>
      </c>
      <c r="M3182" t="s">
        <v>20717</v>
      </c>
      <c r="N3182" t="s">
        <v>1788</v>
      </c>
      <c r="O3182" t="s">
        <v>111</v>
      </c>
      <c r="P3182" t="str">
        <f>"85355-4458"</f>
        <v>85355-4458</v>
      </c>
      <c r="Q3182" t="s">
        <v>113</v>
      </c>
      <c r="R3182" t="str">
        <f>"502-90-503"</f>
        <v>502-90-503</v>
      </c>
      <c r="S3182" t="s">
        <v>8290</v>
      </c>
      <c r="T3182" t="s">
        <v>8290</v>
      </c>
      <c r="U3182">
        <v>2507</v>
      </c>
      <c r="V3182">
        <v>0</v>
      </c>
      <c r="W3182">
        <v>4</v>
      </c>
      <c r="X3182">
        <v>2015</v>
      </c>
      <c r="Z3182">
        <v>1</v>
      </c>
      <c r="AB3182">
        <v>0</v>
      </c>
      <c r="AC3182" t="s">
        <v>115</v>
      </c>
      <c r="AD3182">
        <v>3</v>
      </c>
      <c r="AE3182" t="s">
        <v>115</v>
      </c>
      <c r="AF3182">
        <v>0</v>
      </c>
      <c r="AG3182">
        <v>0</v>
      </c>
      <c r="AH3182" t="s">
        <v>116</v>
      </c>
      <c r="AI3182" s="1">
        <v>60708</v>
      </c>
      <c r="AJ3182" s="2">
        <v>0.18</v>
      </c>
      <c r="AK3182" s="1">
        <v>338197</v>
      </c>
      <c r="AL3182" t="s">
        <v>117</v>
      </c>
      <c r="AM3182" t="s">
        <v>191</v>
      </c>
      <c r="AN3182">
        <v>8750</v>
      </c>
      <c r="AO3182">
        <v>0.2</v>
      </c>
      <c r="AR3182">
        <v>1</v>
      </c>
      <c r="AS3182" s="1">
        <v>25050</v>
      </c>
      <c r="AT3182" s="1">
        <v>5010</v>
      </c>
      <c r="AU3182" s="1">
        <v>20040</v>
      </c>
      <c r="AV3182">
        <v>80</v>
      </c>
      <c r="AX3182" s="1">
        <v>1638.72</v>
      </c>
      <c r="AY3182" t="s">
        <v>5972</v>
      </c>
      <c r="AZ3182" t="s">
        <v>5972</v>
      </c>
      <c r="BA3182" t="s">
        <v>5061</v>
      </c>
      <c r="BE3182" s="3">
        <v>42124</v>
      </c>
      <c r="BF3182" s="1">
        <v>277489</v>
      </c>
      <c r="BG3182" t="s">
        <v>158</v>
      </c>
      <c r="BH3182" s="1">
        <v>110.69</v>
      </c>
      <c r="BI3182" s="1">
        <v>277489</v>
      </c>
      <c r="BJ3182" s="3">
        <v>42124</v>
      </c>
      <c r="BK3182" t="s">
        <v>123</v>
      </c>
      <c r="BL3182" t="str">
        <f>"2015.303422"</f>
        <v>2015.303422</v>
      </c>
      <c r="BM3182" t="s">
        <v>241</v>
      </c>
      <c r="BO3182" t="s">
        <v>20718</v>
      </c>
      <c r="BS3182">
        <v>30</v>
      </c>
      <c r="BW3182" t="str">
        <f>""</f>
        <v/>
      </c>
      <c r="CH3182" t="str">
        <f>""</f>
        <v/>
      </c>
      <c r="CS3182" t="str">
        <f>""</f>
        <v/>
      </c>
    </row>
    <row r="3183" spans="1:97" x14ac:dyDescent="0.25">
      <c r="A3183" t="s">
        <v>2045</v>
      </c>
      <c r="B3183" t="s">
        <v>20719</v>
      </c>
      <c r="C3183" t="s">
        <v>2184</v>
      </c>
      <c r="D3183" t="s">
        <v>20719</v>
      </c>
      <c r="E3183" t="s">
        <v>20720</v>
      </c>
      <c r="F3183" t="s">
        <v>108</v>
      </c>
      <c r="H3183" t="s">
        <v>20721</v>
      </c>
      <c r="I3183" t="s">
        <v>203</v>
      </c>
      <c r="J3183" t="s">
        <v>111</v>
      </c>
      <c r="K3183" t="str">
        <f>"85234"</f>
        <v>85234</v>
      </c>
      <c r="L3183" t="s">
        <v>5816</v>
      </c>
      <c r="M3183" t="s">
        <v>20721</v>
      </c>
      <c r="N3183" t="s">
        <v>203</v>
      </c>
      <c r="O3183" t="s">
        <v>111</v>
      </c>
      <c r="P3183" t="str">
        <f>"85234-4203"</f>
        <v>85234-4203</v>
      </c>
      <c r="R3183" t="str">
        <f>"309-23-492"</f>
        <v>309-23-492</v>
      </c>
      <c r="S3183" t="s">
        <v>11063</v>
      </c>
      <c r="T3183" t="s">
        <v>11063</v>
      </c>
      <c r="U3183">
        <v>2224</v>
      </c>
      <c r="V3183">
        <v>0</v>
      </c>
      <c r="W3183">
        <v>3</v>
      </c>
      <c r="X3183">
        <v>2001</v>
      </c>
      <c r="Z3183">
        <v>1</v>
      </c>
      <c r="AB3183">
        <v>0</v>
      </c>
      <c r="AC3183" t="s">
        <v>115</v>
      </c>
      <c r="AD3183">
        <v>2</v>
      </c>
      <c r="AE3183" t="s">
        <v>115</v>
      </c>
      <c r="AF3183">
        <v>0</v>
      </c>
      <c r="AG3183">
        <v>0</v>
      </c>
      <c r="AH3183" t="s">
        <v>116</v>
      </c>
      <c r="AI3183" s="1">
        <v>94784</v>
      </c>
      <c r="AJ3183" s="2">
        <v>0.24</v>
      </c>
      <c r="AK3183" s="1">
        <v>389384</v>
      </c>
      <c r="AL3183" t="s">
        <v>117</v>
      </c>
      <c r="AM3183" t="s">
        <v>393</v>
      </c>
      <c r="AN3183">
        <v>7150</v>
      </c>
      <c r="AO3183">
        <v>0.16</v>
      </c>
      <c r="AP3183">
        <v>1</v>
      </c>
      <c r="AR3183">
        <v>1</v>
      </c>
      <c r="AS3183" s="1">
        <v>26960</v>
      </c>
      <c r="AT3183" s="1">
        <v>5390</v>
      </c>
      <c r="AU3183" s="1">
        <v>21570</v>
      </c>
      <c r="AV3183">
        <v>80.010000000000005</v>
      </c>
      <c r="AX3183" s="1">
        <v>2017.6</v>
      </c>
      <c r="AY3183" t="s">
        <v>5565</v>
      </c>
      <c r="AZ3183" t="s">
        <v>571</v>
      </c>
      <c r="BA3183" t="s">
        <v>521</v>
      </c>
      <c r="BE3183" s="3">
        <v>41708</v>
      </c>
      <c r="BF3183" s="1">
        <v>287000</v>
      </c>
      <c r="BG3183" t="s">
        <v>20722</v>
      </c>
      <c r="BH3183" s="1">
        <v>129.05000000000001</v>
      </c>
      <c r="BI3183" s="1">
        <v>294600</v>
      </c>
      <c r="BJ3183" s="3">
        <v>42181</v>
      </c>
      <c r="BK3183" t="s">
        <v>123</v>
      </c>
      <c r="BL3183" t="str">
        <f>"2015.457489"</f>
        <v>2015.457489</v>
      </c>
      <c r="BM3183" t="s">
        <v>124</v>
      </c>
      <c r="BN3183" t="s">
        <v>1575</v>
      </c>
      <c r="BO3183" t="s">
        <v>20723</v>
      </c>
      <c r="BS3183">
        <v>30</v>
      </c>
      <c r="BW3183" t="str">
        <f>""</f>
        <v/>
      </c>
      <c r="CH3183" t="str">
        <f>""</f>
        <v/>
      </c>
      <c r="CS3183" t="str">
        <f>""</f>
        <v/>
      </c>
    </row>
    <row r="3184" spans="1:97" x14ac:dyDescent="0.25">
      <c r="A3184" t="s">
        <v>20724</v>
      </c>
      <c r="B3184" t="s">
        <v>1532</v>
      </c>
      <c r="E3184" t="s">
        <v>20725</v>
      </c>
      <c r="F3184" t="s">
        <v>108</v>
      </c>
      <c r="H3184" t="s">
        <v>20726</v>
      </c>
      <c r="I3184" t="s">
        <v>390</v>
      </c>
      <c r="J3184" t="s">
        <v>111</v>
      </c>
      <c r="K3184" t="str">
        <f>"85032"</f>
        <v>85032</v>
      </c>
      <c r="L3184" t="s">
        <v>6112</v>
      </c>
      <c r="M3184" t="s">
        <v>20726</v>
      </c>
      <c r="N3184" t="s">
        <v>390</v>
      </c>
      <c r="O3184" t="s">
        <v>111</v>
      </c>
      <c r="P3184" t="str">
        <f>"85032-2251"</f>
        <v>85032-2251</v>
      </c>
      <c r="Q3184" t="s">
        <v>113</v>
      </c>
      <c r="R3184" t="str">
        <f>"215-17-556"</f>
        <v>215-17-556</v>
      </c>
      <c r="S3184" t="s">
        <v>15035</v>
      </c>
      <c r="T3184" t="s">
        <v>15036</v>
      </c>
      <c r="U3184">
        <v>1346</v>
      </c>
      <c r="V3184">
        <v>0</v>
      </c>
      <c r="W3184">
        <v>3</v>
      </c>
      <c r="X3184">
        <v>1994</v>
      </c>
      <c r="Z3184">
        <v>1</v>
      </c>
      <c r="AB3184">
        <v>0</v>
      </c>
      <c r="AC3184" t="s">
        <v>115</v>
      </c>
      <c r="AD3184">
        <v>2</v>
      </c>
      <c r="AE3184" t="s">
        <v>115</v>
      </c>
      <c r="AF3184">
        <v>0</v>
      </c>
      <c r="AG3184">
        <v>0</v>
      </c>
      <c r="AH3184" t="s">
        <v>116</v>
      </c>
      <c r="AI3184" s="1">
        <v>77087</v>
      </c>
      <c r="AJ3184" s="2">
        <v>0.26</v>
      </c>
      <c r="AK3184" s="1">
        <v>291602</v>
      </c>
      <c r="AL3184" t="s">
        <v>117</v>
      </c>
      <c r="AM3184" t="s">
        <v>1315</v>
      </c>
      <c r="AN3184">
        <v>4360</v>
      </c>
      <c r="AO3184">
        <v>0.1</v>
      </c>
      <c r="AP3184">
        <v>1</v>
      </c>
      <c r="AR3184">
        <v>1</v>
      </c>
      <c r="AS3184" s="1">
        <v>20500</v>
      </c>
      <c r="AT3184" s="1">
        <v>4100</v>
      </c>
      <c r="AU3184" s="1">
        <v>16400</v>
      </c>
      <c r="AV3184">
        <v>80</v>
      </c>
      <c r="AX3184" s="1">
        <v>1730.22</v>
      </c>
      <c r="AY3184" t="s">
        <v>1316</v>
      </c>
      <c r="AZ3184" t="s">
        <v>1317</v>
      </c>
      <c r="BA3184" t="s">
        <v>1318</v>
      </c>
      <c r="BE3184" s="3">
        <v>42551</v>
      </c>
      <c r="BF3184" s="1">
        <v>210000</v>
      </c>
      <c r="BG3184" t="s">
        <v>20727</v>
      </c>
      <c r="BH3184" s="1">
        <v>156.02000000000001</v>
      </c>
      <c r="BI3184" s="1">
        <v>214515</v>
      </c>
      <c r="BJ3184" s="3">
        <v>42551</v>
      </c>
      <c r="BK3184" t="s">
        <v>123</v>
      </c>
      <c r="BL3184" t="str">
        <f>"2016.461063"</f>
        <v>2016.461063</v>
      </c>
      <c r="BM3184" t="s">
        <v>709</v>
      </c>
      <c r="BO3184" t="s">
        <v>20728</v>
      </c>
      <c r="BS3184">
        <v>30</v>
      </c>
      <c r="BW3184" t="str">
        <f>""</f>
        <v/>
      </c>
      <c r="CH3184" t="str">
        <f>""</f>
        <v/>
      </c>
      <c r="CS3184" t="str">
        <f>""</f>
        <v/>
      </c>
    </row>
    <row r="3185" spans="1:97" x14ac:dyDescent="0.25">
      <c r="A3185" t="s">
        <v>6627</v>
      </c>
      <c r="B3185" t="s">
        <v>20729</v>
      </c>
      <c r="E3185" t="s">
        <v>20730</v>
      </c>
      <c r="F3185" t="s">
        <v>108</v>
      </c>
      <c r="H3185" t="s">
        <v>20731</v>
      </c>
      <c r="I3185" t="s">
        <v>110</v>
      </c>
      <c r="J3185" t="s">
        <v>111</v>
      </c>
      <c r="K3185" t="str">
        <f>"85224"</f>
        <v>85224</v>
      </c>
      <c r="L3185" t="s">
        <v>5074</v>
      </c>
      <c r="M3185" t="s">
        <v>20731</v>
      </c>
      <c r="N3185" t="s">
        <v>110</v>
      </c>
      <c r="O3185" t="s">
        <v>111</v>
      </c>
      <c r="P3185" t="str">
        <f>"85224-4047"</f>
        <v>85224-4047</v>
      </c>
      <c r="Q3185" t="s">
        <v>113</v>
      </c>
      <c r="R3185" t="str">
        <f>"302-97-114"</f>
        <v>302-97-114</v>
      </c>
      <c r="S3185" t="s">
        <v>20732</v>
      </c>
      <c r="U3185">
        <v>1587</v>
      </c>
      <c r="V3185">
        <v>0</v>
      </c>
      <c r="W3185">
        <v>3</v>
      </c>
      <c r="X3185">
        <v>1992</v>
      </c>
      <c r="Z3185">
        <v>1</v>
      </c>
      <c r="AB3185">
        <v>0</v>
      </c>
      <c r="AC3185" t="s">
        <v>115</v>
      </c>
      <c r="AD3185">
        <v>2</v>
      </c>
      <c r="AE3185" t="s">
        <v>115</v>
      </c>
      <c r="AF3185">
        <v>0</v>
      </c>
      <c r="AG3185">
        <v>0</v>
      </c>
      <c r="AH3185" t="s">
        <v>116</v>
      </c>
      <c r="AI3185" s="1">
        <v>69704</v>
      </c>
      <c r="AJ3185" s="2">
        <v>0.23</v>
      </c>
      <c r="AK3185" s="1">
        <v>300600</v>
      </c>
      <c r="AL3185" t="s">
        <v>117</v>
      </c>
      <c r="AM3185" t="s">
        <v>118</v>
      </c>
      <c r="AN3185">
        <v>5009</v>
      </c>
      <c r="AO3185">
        <v>0.12</v>
      </c>
      <c r="AP3185">
        <v>1</v>
      </c>
      <c r="AR3185">
        <v>1</v>
      </c>
      <c r="AS3185" s="1">
        <v>20930</v>
      </c>
      <c r="AT3185" s="1">
        <v>4180</v>
      </c>
      <c r="AU3185" s="1">
        <v>16750</v>
      </c>
      <c r="AV3185">
        <v>80.03</v>
      </c>
      <c r="AX3185" s="1">
        <v>1524.14</v>
      </c>
      <c r="AY3185" t="s">
        <v>5722</v>
      </c>
      <c r="AZ3185" t="s">
        <v>5078</v>
      </c>
      <c r="BA3185" t="s">
        <v>2957</v>
      </c>
      <c r="BB3185" s="3">
        <v>42383</v>
      </c>
      <c r="BD3185" t="s">
        <v>842</v>
      </c>
      <c r="BE3185" s="3">
        <v>42382</v>
      </c>
      <c r="BF3185" s="1">
        <v>229000</v>
      </c>
      <c r="BG3185" t="s">
        <v>20733</v>
      </c>
      <c r="BH3185" s="1">
        <v>144.30000000000001</v>
      </c>
      <c r="BI3185" s="1">
        <v>230896</v>
      </c>
      <c r="BJ3185" s="3">
        <v>42800</v>
      </c>
      <c r="BK3185" t="s">
        <v>123</v>
      </c>
      <c r="BL3185" t="str">
        <f>"2017.157819"</f>
        <v>2017.157819</v>
      </c>
      <c r="BM3185" t="s">
        <v>402</v>
      </c>
      <c r="BO3185" t="s">
        <v>20734</v>
      </c>
      <c r="BS3185">
        <v>30</v>
      </c>
      <c r="BW3185" t="str">
        <f>""</f>
        <v/>
      </c>
      <c r="CH3185" t="str">
        <f>""</f>
        <v/>
      </c>
      <c r="CS3185" t="str">
        <f>""</f>
        <v/>
      </c>
    </row>
    <row r="3186" spans="1:97" x14ac:dyDescent="0.25">
      <c r="A3186" t="s">
        <v>370</v>
      </c>
      <c r="B3186" t="s">
        <v>20735</v>
      </c>
      <c r="C3186" t="s">
        <v>3377</v>
      </c>
      <c r="D3186" t="s">
        <v>20735</v>
      </c>
      <c r="E3186" t="s">
        <v>20736</v>
      </c>
      <c r="F3186" t="s">
        <v>108</v>
      </c>
      <c r="H3186" t="s">
        <v>20737</v>
      </c>
      <c r="I3186" t="s">
        <v>1788</v>
      </c>
      <c r="J3186" t="s">
        <v>111</v>
      </c>
      <c r="K3186" t="str">
        <f>"85355"</f>
        <v>85355</v>
      </c>
      <c r="L3186" t="s">
        <v>168</v>
      </c>
      <c r="M3186" t="s">
        <v>20737</v>
      </c>
      <c r="N3186" t="s">
        <v>1788</v>
      </c>
      <c r="O3186" t="s">
        <v>111</v>
      </c>
      <c r="P3186" t="str">
        <f>"85355-4442"</f>
        <v>85355-4442</v>
      </c>
      <c r="Q3186" t="s">
        <v>113</v>
      </c>
      <c r="R3186" t="str">
        <f>"502-90-407"</f>
        <v>502-90-407</v>
      </c>
      <c r="S3186" t="s">
        <v>8290</v>
      </c>
      <c r="U3186">
        <v>2971</v>
      </c>
      <c r="V3186">
        <v>0</v>
      </c>
      <c r="W3186">
        <v>3</v>
      </c>
      <c r="X3186">
        <v>2014</v>
      </c>
      <c r="Z3186">
        <v>2</v>
      </c>
      <c r="AA3186" t="s">
        <v>26</v>
      </c>
      <c r="AB3186">
        <v>0</v>
      </c>
      <c r="AC3186" t="s">
        <v>115</v>
      </c>
      <c r="AD3186">
        <v>3</v>
      </c>
      <c r="AE3186" t="s">
        <v>115</v>
      </c>
      <c r="AF3186">
        <v>0</v>
      </c>
      <c r="AG3186">
        <v>0</v>
      </c>
      <c r="AH3186" t="s">
        <v>116</v>
      </c>
      <c r="AI3186" s="1">
        <v>30046</v>
      </c>
      <c r="AJ3186" s="2">
        <v>0.09</v>
      </c>
      <c r="AK3186" s="1">
        <v>343582</v>
      </c>
      <c r="AL3186" t="s">
        <v>117</v>
      </c>
      <c r="AM3186" t="s">
        <v>191</v>
      </c>
      <c r="AN3186">
        <v>7245</v>
      </c>
      <c r="AO3186">
        <v>0.17</v>
      </c>
      <c r="AR3186">
        <v>1</v>
      </c>
      <c r="AS3186" s="1">
        <v>25960</v>
      </c>
      <c r="AT3186" s="1">
        <v>5190</v>
      </c>
      <c r="AU3186" s="1">
        <v>20770</v>
      </c>
      <c r="AV3186">
        <v>80.010000000000005</v>
      </c>
      <c r="AX3186" s="1">
        <v>1688.84</v>
      </c>
      <c r="AY3186" t="s">
        <v>5972</v>
      </c>
      <c r="AZ3186" t="s">
        <v>5972</v>
      </c>
      <c r="BA3186" t="s">
        <v>5061</v>
      </c>
      <c r="BE3186" s="3">
        <v>42368</v>
      </c>
      <c r="BF3186" s="1">
        <v>276000</v>
      </c>
      <c r="BG3186" t="s">
        <v>2780</v>
      </c>
      <c r="BH3186" s="1">
        <v>92.9</v>
      </c>
      <c r="BI3186" s="1">
        <v>273695</v>
      </c>
      <c r="BJ3186" s="3">
        <v>42634</v>
      </c>
      <c r="BK3186" t="s">
        <v>123</v>
      </c>
      <c r="BL3186" t="str">
        <f>"2016.687878"</f>
        <v>2016.687878</v>
      </c>
      <c r="BM3186" t="s">
        <v>425</v>
      </c>
      <c r="BO3186" t="s">
        <v>20738</v>
      </c>
      <c r="BS3186">
        <v>30</v>
      </c>
      <c r="BT3186" s="1">
        <v>39841</v>
      </c>
      <c r="BU3186" s="3">
        <v>42969</v>
      </c>
      <c r="BW3186" t="str">
        <f>"2017.617848"</f>
        <v>2017.617848</v>
      </c>
      <c r="BX3186" t="s">
        <v>198</v>
      </c>
      <c r="BZ3186" t="s">
        <v>20738</v>
      </c>
      <c r="CD3186">
        <v>15</v>
      </c>
      <c r="CH3186" t="str">
        <f>""</f>
        <v/>
      </c>
      <c r="CS3186" t="str">
        <f>""</f>
        <v/>
      </c>
    </row>
    <row r="3187" spans="1:97" x14ac:dyDescent="0.25">
      <c r="A3187" t="s">
        <v>1083</v>
      </c>
      <c r="B3187" t="s">
        <v>20739</v>
      </c>
      <c r="C3187" t="s">
        <v>767</v>
      </c>
      <c r="D3187" t="s">
        <v>20739</v>
      </c>
      <c r="E3187" t="s">
        <v>20740</v>
      </c>
      <c r="F3187" t="s">
        <v>108</v>
      </c>
      <c r="H3187" t="s">
        <v>20741</v>
      </c>
      <c r="I3187" t="s">
        <v>390</v>
      </c>
      <c r="J3187" t="s">
        <v>111</v>
      </c>
      <c r="K3187" t="str">
        <f>"85053"</f>
        <v>85053</v>
      </c>
      <c r="L3187" t="s">
        <v>7847</v>
      </c>
      <c r="M3187" t="s">
        <v>20741</v>
      </c>
      <c r="N3187" t="s">
        <v>390</v>
      </c>
      <c r="O3187" t="s">
        <v>111</v>
      </c>
      <c r="P3187" t="str">
        <f>"85053-2931"</f>
        <v>85053-2931</v>
      </c>
      <c r="Q3187" t="s">
        <v>113</v>
      </c>
      <c r="R3187" t="str">
        <f>"207-39-459"</f>
        <v>207-39-459</v>
      </c>
      <c r="S3187" t="s">
        <v>20742</v>
      </c>
      <c r="T3187" t="s">
        <v>20743</v>
      </c>
      <c r="U3187">
        <v>1696</v>
      </c>
      <c r="V3187">
        <v>0</v>
      </c>
      <c r="W3187">
        <v>2</v>
      </c>
      <c r="X3187">
        <v>1979</v>
      </c>
      <c r="Z3187">
        <v>1</v>
      </c>
      <c r="AB3187">
        <v>0</v>
      </c>
      <c r="AC3187" t="s">
        <v>115</v>
      </c>
      <c r="AD3187">
        <v>2</v>
      </c>
      <c r="AE3187" t="s">
        <v>115</v>
      </c>
      <c r="AF3187">
        <v>0</v>
      </c>
      <c r="AG3187">
        <v>0</v>
      </c>
      <c r="AH3187" t="s">
        <v>116</v>
      </c>
      <c r="AI3187" s="1">
        <v>43328</v>
      </c>
      <c r="AJ3187" s="2">
        <v>0.17</v>
      </c>
      <c r="AK3187" s="1">
        <v>253373</v>
      </c>
      <c r="AL3187" t="s">
        <v>117</v>
      </c>
      <c r="AM3187" t="s">
        <v>171</v>
      </c>
      <c r="AN3187">
        <v>8380</v>
      </c>
      <c r="AO3187">
        <v>0.19</v>
      </c>
      <c r="AP3187">
        <v>1</v>
      </c>
      <c r="AR3187">
        <v>1</v>
      </c>
      <c r="AS3187" s="1">
        <v>16810</v>
      </c>
      <c r="AT3187" s="1">
        <v>3360</v>
      </c>
      <c r="AU3187" s="1">
        <v>13450</v>
      </c>
      <c r="AV3187">
        <v>80.010000000000005</v>
      </c>
      <c r="AX3187" s="1">
        <v>1299.98</v>
      </c>
      <c r="AY3187" t="s">
        <v>8546</v>
      </c>
      <c r="AZ3187" t="s">
        <v>2997</v>
      </c>
      <c r="BA3187" t="s">
        <v>2998</v>
      </c>
      <c r="BB3187" s="3">
        <v>42545</v>
      </c>
      <c r="BD3187" t="s">
        <v>240</v>
      </c>
      <c r="BE3187" s="3">
        <v>42545</v>
      </c>
      <c r="BF3187" s="1">
        <v>198000</v>
      </c>
      <c r="BG3187" t="s">
        <v>20744</v>
      </c>
      <c r="BH3187" s="1">
        <v>116.75</v>
      </c>
      <c r="BI3187" s="1">
        <v>210045</v>
      </c>
      <c r="BJ3187" s="3">
        <v>42660</v>
      </c>
      <c r="BK3187" t="s">
        <v>123</v>
      </c>
      <c r="BL3187" t="str">
        <f>"2016.757970"</f>
        <v>2016.757970</v>
      </c>
      <c r="BM3187" t="s">
        <v>673</v>
      </c>
      <c r="BO3187" t="s">
        <v>20745</v>
      </c>
      <c r="BS3187">
        <v>30</v>
      </c>
      <c r="BW3187" t="str">
        <f>""</f>
        <v/>
      </c>
      <c r="CH3187" t="str">
        <f>""</f>
        <v/>
      </c>
      <c r="CS3187" t="str">
        <f>""</f>
        <v/>
      </c>
    </row>
    <row r="3188" spans="1:97" x14ac:dyDescent="0.25">
      <c r="B3188" t="s">
        <v>20746</v>
      </c>
      <c r="C3188" t="s">
        <v>938</v>
      </c>
      <c r="E3188" t="s">
        <v>20746</v>
      </c>
      <c r="F3188" t="s">
        <v>282</v>
      </c>
      <c r="H3188" t="s">
        <v>20747</v>
      </c>
      <c r="I3188" t="s">
        <v>390</v>
      </c>
      <c r="J3188" t="s">
        <v>111</v>
      </c>
      <c r="K3188" t="str">
        <f>"85044"</f>
        <v>85044</v>
      </c>
      <c r="L3188" t="s">
        <v>1312</v>
      </c>
      <c r="M3188" t="s">
        <v>20748</v>
      </c>
      <c r="N3188" t="s">
        <v>390</v>
      </c>
      <c r="O3188" t="s">
        <v>111</v>
      </c>
      <c r="P3188" t="str">
        <f>"85044-1111"</f>
        <v>85044-1111</v>
      </c>
      <c r="Q3188" t="s">
        <v>113</v>
      </c>
      <c r="R3188" t="str">
        <f>"307-01-313"</f>
        <v>307-01-313</v>
      </c>
      <c r="S3188" t="s">
        <v>20749</v>
      </c>
      <c r="T3188" t="s">
        <v>20750</v>
      </c>
      <c r="U3188">
        <v>1645</v>
      </c>
      <c r="V3188">
        <v>0</v>
      </c>
      <c r="W3188">
        <v>3</v>
      </c>
      <c r="X3188">
        <v>1987</v>
      </c>
      <c r="Z3188">
        <v>2</v>
      </c>
      <c r="AA3188" t="s">
        <v>26</v>
      </c>
      <c r="AB3188">
        <v>0</v>
      </c>
      <c r="AC3188" t="s">
        <v>115</v>
      </c>
      <c r="AD3188">
        <v>2</v>
      </c>
      <c r="AE3188" t="s">
        <v>115</v>
      </c>
      <c r="AF3188">
        <v>0</v>
      </c>
      <c r="AG3188">
        <v>0</v>
      </c>
      <c r="AH3188" t="s">
        <v>116</v>
      </c>
      <c r="AI3188" s="1">
        <v>73372</v>
      </c>
      <c r="AJ3188" s="2">
        <v>0.24</v>
      </c>
      <c r="AK3188" s="1">
        <v>312023</v>
      </c>
      <c r="AL3188" t="s">
        <v>117</v>
      </c>
      <c r="AM3188" t="s">
        <v>191</v>
      </c>
      <c r="AN3188">
        <v>4882</v>
      </c>
      <c r="AO3188">
        <v>0.11</v>
      </c>
      <c r="AP3188">
        <v>1</v>
      </c>
      <c r="AR3188">
        <v>1</v>
      </c>
      <c r="AS3188" s="1">
        <v>21180</v>
      </c>
      <c r="AT3188" s="1">
        <v>4230</v>
      </c>
      <c r="AU3188" s="1">
        <v>16950</v>
      </c>
      <c r="AV3188">
        <v>80.03</v>
      </c>
      <c r="AX3188" s="1">
        <v>1889.22</v>
      </c>
      <c r="AY3188" t="s">
        <v>11872</v>
      </c>
      <c r="AZ3188" t="s">
        <v>7255</v>
      </c>
      <c r="BA3188" t="s">
        <v>5328</v>
      </c>
      <c r="BB3188" s="3">
        <v>43665</v>
      </c>
      <c r="BC3188" s="1">
        <v>0</v>
      </c>
      <c r="BD3188" t="s">
        <v>247</v>
      </c>
      <c r="BE3188" s="3">
        <v>42223</v>
      </c>
      <c r="BF3188" s="1">
        <v>247500</v>
      </c>
      <c r="BG3188" t="s">
        <v>20751</v>
      </c>
      <c r="BH3188" s="1">
        <v>150.46</v>
      </c>
      <c r="BI3188" s="1">
        <v>238651</v>
      </c>
      <c r="BJ3188" s="3">
        <v>42223</v>
      </c>
      <c r="BK3188" t="s">
        <v>123</v>
      </c>
      <c r="BL3188" t="str">
        <f>"2015.573165"</f>
        <v>2015.573165</v>
      </c>
      <c r="BM3188" t="s">
        <v>8868</v>
      </c>
      <c r="BN3188" t="s">
        <v>18904</v>
      </c>
      <c r="BO3188" t="s">
        <v>20752</v>
      </c>
      <c r="BP3188" t="s">
        <v>20753</v>
      </c>
      <c r="BS3188">
        <v>30</v>
      </c>
      <c r="BW3188" t="str">
        <f>""</f>
        <v/>
      </c>
      <c r="CH3188" t="str">
        <f>""</f>
        <v/>
      </c>
      <c r="CS3188" t="str">
        <f>""</f>
        <v/>
      </c>
    </row>
    <row r="3189" spans="1:97" x14ac:dyDescent="0.25">
      <c r="A3189" t="s">
        <v>13651</v>
      </c>
      <c r="B3189" t="s">
        <v>20754</v>
      </c>
      <c r="C3189" t="s">
        <v>9149</v>
      </c>
      <c r="D3189" t="s">
        <v>20754</v>
      </c>
      <c r="E3189" t="s">
        <v>20755</v>
      </c>
      <c r="F3189" t="s">
        <v>108</v>
      </c>
      <c r="H3189" t="s">
        <v>20756</v>
      </c>
      <c r="I3189" t="s">
        <v>203</v>
      </c>
      <c r="J3189" t="s">
        <v>111</v>
      </c>
      <c r="K3189" t="str">
        <f>"85297"</f>
        <v>85297</v>
      </c>
      <c r="L3189" t="s">
        <v>8335</v>
      </c>
      <c r="M3189" t="s">
        <v>20756</v>
      </c>
      <c r="N3189" t="s">
        <v>203</v>
      </c>
      <c r="O3189" t="s">
        <v>111</v>
      </c>
      <c r="P3189" t="str">
        <f>"85297-2496"</f>
        <v>85297-2496</v>
      </c>
      <c r="Q3189" t="s">
        <v>113</v>
      </c>
      <c r="R3189" t="str">
        <f>"309-28-197"</f>
        <v>309-28-197</v>
      </c>
      <c r="S3189" t="s">
        <v>8336</v>
      </c>
      <c r="T3189" t="s">
        <v>8337</v>
      </c>
      <c r="U3189">
        <v>1727</v>
      </c>
      <c r="V3189">
        <v>0</v>
      </c>
      <c r="W3189">
        <v>3</v>
      </c>
      <c r="X3189">
        <v>2012</v>
      </c>
      <c r="Z3189">
        <v>1</v>
      </c>
      <c r="AB3189">
        <v>0</v>
      </c>
      <c r="AC3189" t="s">
        <v>115</v>
      </c>
      <c r="AD3189">
        <v>2</v>
      </c>
      <c r="AE3189" t="s">
        <v>115</v>
      </c>
      <c r="AF3189">
        <v>0</v>
      </c>
      <c r="AG3189">
        <v>0</v>
      </c>
      <c r="AH3189" t="s">
        <v>116</v>
      </c>
      <c r="AI3189" s="1">
        <v>78505</v>
      </c>
      <c r="AJ3189" s="2">
        <v>0.24</v>
      </c>
      <c r="AK3189" s="1">
        <v>333358</v>
      </c>
      <c r="AL3189" t="s">
        <v>117</v>
      </c>
      <c r="AM3189" t="s">
        <v>288</v>
      </c>
      <c r="AN3189">
        <v>4950</v>
      </c>
      <c r="AO3189">
        <v>0.11</v>
      </c>
      <c r="AR3189">
        <v>1</v>
      </c>
      <c r="AS3189" s="1">
        <v>22970</v>
      </c>
      <c r="AT3189" s="1">
        <v>4590</v>
      </c>
      <c r="AU3189" s="1">
        <v>18380</v>
      </c>
      <c r="AV3189">
        <v>80.02</v>
      </c>
      <c r="AX3189" s="1">
        <v>2042.28</v>
      </c>
      <c r="AY3189" t="s">
        <v>8338</v>
      </c>
      <c r="AZ3189" t="s">
        <v>8338</v>
      </c>
      <c r="BA3189" t="s">
        <v>290</v>
      </c>
      <c r="BE3189" s="3">
        <v>42195</v>
      </c>
      <c r="BF3189" s="1">
        <v>255000</v>
      </c>
      <c r="BG3189" t="s">
        <v>20757</v>
      </c>
      <c r="BH3189" s="1">
        <v>147.65</v>
      </c>
      <c r="BI3189" s="1">
        <v>254853</v>
      </c>
      <c r="BJ3189" s="3">
        <v>42797</v>
      </c>
      <c r="BK3189" t="s">
        <v>123</v>
      </c>
      <c r="BL3189" t="str">
        <f>"2017.156487"</f>
        <v>2017.156487</v>
      </c>
      <c r="BM3189" t="s">
        <v>402</v>
      </c>
      <c r="BO3189" t="s">
        <v>20758</v>
      </c>
      <c r="BS3189">
        <v>28</v>
      </c>
      <c r="BW3189" t="str">
        <f>""</f>
        <v/>
      </c>
      <c r="CH3189" t="str">
        <f>""</f>
        <v/>
      </c>
      <c r="CS3189" t="str">
        <f>""</f>
        <v/>
      </c>
    </row>
    <row r="3190" spans="1:97" x14ac:dyDescent="0.25">
      <c r="A3190" t="s">
        <v>177</v>
      </c>
      <c r="B3190" t="s">
        <v>20759</v>
      </c>
      <c r="C3190" t="s">
        <v>20760</v>
      </c>
      <c r="D3190" t="s">
        <v>20759</v>
      </c>
      <c r="E3190" t="s">
        <v>20761</v>
      </c>
      <c r="F3190" t="s">
        <v>108</v>
      </c>
      <c r="H3190" t="s">
        <v>20762</v>
      </c>
      <c r="I3190" t="s">
        <v>5551</v>
      </c>
      <c r="J3190" t="s">
        <v>111</v>
      </c>
      <c r="K3190" t="str">
        <f>"85248"</f>
        <v>85248</v>
      </c>
      <c r="L3190" t="s">
        <v>5367</v>
      </c>
      <c r="M3190" t="s">
        <v>20762</v>
      </c>
      <c r="N3190" t="s">
        <v>5551</v>
      </c>
      <c r="O3190" t="s">
        <v>111</v>
      </c>
      <c r="P3190" t="str">
        <f>"85248-9219"</f>
        <v>85248-9219</v>
      </c>
      <c r="Q3190" t="s">
        <v>113</v>
      </c>
      <c r="R3190" t="str">
        <f>"303-59-611"</f>
        <v>303-59-611</v>
      </c>
      <c r="S3190" t="s">
        <v>20763</v>
      </c>
      <c r="U3190">
        <v>1833</v>
      </c>
      <c r="V3190">
        <v>0</v>
      </c>
      <c r="W3190">
        <v>3</v>
      </c>
      <c r="X3190">
        <v>1990</v>
      </c>
      <c r="Z3190">
        <v>1</v>
      </c>
      <c r="AB3190">
        <v>0</v>
      </c>
      <c r="AC3190" t="s">
        <v>115</v>
      </c>
      <c r="AD3190">
        <v>2</v>
      </c>
      <c r="AE3190" t="s">
        <v>115</v>
      </c>
      <c r="AF3190">
        <v>0</v>
      </c>
      <c r="AG3190">
        <v>0</v>
      </c>
      <c r="AH3190" t="s">
        <v>116</v>
      </c>
      <c r="AI3190" s="1">
        <v>108315</v>
      </c>
      <c r="AJ3190" s="2">
        <v>0.35</v>
      </c>
      <c r="AK3190" s="1">
        <v>311315</v>
      </c>
      <c r="AL3190" t="s">
        <v>117</v>
      </c>
      <c r="AM3190" t="s">
        <v>191</v>
      </c>
      <c r="AN3190">
        <v>5700</v>
      </c>
      <c r="AO3190">
        <v>0.13</v>
      </c>
      <c r="AP3190">
        <v>1</v>
      </c>
      <c r="AR3190">
        <v>1</v>
      </c>
      <c r="AS3190" s="1">
        <v>20000</v>
      </c>
      <c r="AT3190" s="1">
        <v>4000</v>
      </c>
      <c r="AU3190" s="1">
        <v>16000</v>
      </c>
      <c r="AV3190">
        <v>80</v>
      </c>
      <c r="AX3190" s="1">
        <v>2074.7600000000002</v>
      </c>
      <c r="AY3190" t="s">
        <v>1881</v>
      </c>
      <c r="AZ3190" t="s">
        <v>1882</v>
      </c>
      <c r="BA3190" t="s">
        <v>121</v>
      </c>
      <c r="BE3190" s="3">
        <v>42509</v>
      </c>
      <c r="BF3190" s="1">
        <v>250000</v>
      </c>
      <c r="BG3190" t="s">
        <v>20764</v>
      </c>
      <c r="BH3190" s="1">
        <v>136.38999999999999</v>
      </c>
      <c r="BI3190" s="1">
        <v>203000</v>
      </c>
      <c r="BJ3190" s="3">
        <v>42509</v>
      </c>
      <c r="BK3190" t="s">
        <v>123</v>
      </c>
      <c r="BL3190" t="str">
        <f>"2016.344741"</f>
        <v>2016.344741</v>
      </c>
      <c r="BM3190" t="s">
        <v>2383</v>
      </c>
      <c r="BO3190" t="s">
        <v>20765</v>
      </c>
      <c r="BS3190">
        <v>30</v>
      </c>
      <c r="BW3190" t="str">
        <f>""</f>
        <v/>
      </c>
      <c r="CH3190" t="str">
        <f>""</f>
        <v/>
      </c>
      <c r="CS3190" t="str">
        <f>""</f>
        <v/>
      </c>
    </row>
    <row r="3191" spans="1:97" x14ac:dyDescent="0.25">
      <c r="A3191" t="s">
        <v>6000</v>
      </c>
      <c r="B3191" t="s">
        <v>1089</v>
      </c>
      <c r="C3191" t="s">
        <v>1181</v>
      </c>
      <c r="D3191" t="s">
        <v>1089</v>
      </c>
      <c r="E3191" t="s">
        <v>20766</v>
      </c>
      <c r="F3191" t="s">
        <v>282</v>
      </c>
      <c r="H3191" t="s">
        <v>20767</v>
      </c>
      <c r="I3191" t="s">
        <v>453</v>
      </c>
      <c r="J3191" t="s">
        <v>111</v>
      </c>
      <c r="K3191" t="str">
        <f>"85382"</f>
        <v>85382</v>
      </c>
      <c r="L3191" t="s">
        <v>7147</v>
      </c>
      <c r="M3191" t="s">
        <v>20768</v>
      </c>
      <c r="N3191" t="s">
        <v>2874</v>
      </c>
      <c r="O3191" t="s">
        <v>111</v>
      </c>
      <c r="P3191" t="str">
        <f>"85308-1172"</f>
        <v>85308-1172</v>
      </c>
      <c r="Q3191" t="s">
        <v>113</v>
      </c>
      <c r="R3191" t="str">
        <f>"231-18-159"</f>
        <v>231-18-159</v>
      </c>
      <c r="S3191" t="s">
        <v>20769</v>
      </c>
      <c r="T3191" t="s">
        <v>20770</v>
      </c>
      <c r="U3191">
        <v>1681</v>
      </c>
      <c r="V3191">
        <v>0</v>
      </c>
      <c r="W3191">
        <v>3</v>
      </c>
      <c r="X3191">
        <v>1997</v>
      </c>
      <c r="Z3191">
        <v>1</v>
      </c>
      <c r="AA3191" t="s">
        <v>26</v>
      </c>
      <c r="AB3191">
        <v>0</v>
      </c>
      <c r="AC3191" t="s">
        <v>115</v>
      </c>
      <c r="AD3191">
        <v>2</v>
      </c>
      <c r="AE3191" t="s">
        <v>115</v>
      </c>
      <c r="AF3191">
        <v>0</v>
      </c>
      <c r="AG3191">
        <v>0</v>
      </c>
      <c r="AH3191" t="s">
        <v>116</v>
      </c>
      <c r="AI3191" s="1">
        <v>49224</v>
      </c>
      <c r="AJ3191" s="2">
        <v>0.17</v>
      </c>
      <c r="AK3191" s="1">
        <v>290598</v>
      </c>
      <c r="AL3191" t="s">
        <v>117</v>
      </c>
      <c r="AM3191" t="s">
        <v>191</v>
      </c>
      <c r="AN3191">
        <v>6688</v>
      </c>
      <c r="AO3191">
        <v>0.15</v>
      </c>
      <c r="AP3191">
        <v>1</v>
      </c>
      <c r="AR3191">
        <v>1</v>
      </c>
      <c r="AS3191" s="1">
        <v>20120</v>
      </c>
      <c r="AT3191" s="1">
        <v>4020</v>
      </c>
      <c r="AU3191" s="1">
        <v>16100</v>
      </c>
      <c r="AV3191">
        <v>80.02</v>
      </c>
      <c r="AX3191" s="1">
        <v>1610.3</v>
      </c>
      <c r="AY3191" t="s">
        <v>7828</v>
      </c>
      <c r="AZ3191" t="s">
        <v>7828</v>
      </c>
      <c r="BA3191" t="s">
        <v>4219</v>
      </c>
      <c r="BE3191" s="3">
        <v>41795</v>
      </c>
      <c r="BF3191" s="1">
        <v>222000</v>
      </c>
      <c r="BG3191" t="s">
        <v>20771</v>
      </c>
      <c r="BH3191" s="1">
        <v>132.06</v>
      </c>
      <c r="BI3191" s="1">
        <v>241374</v>
      </c>
      <c r="BJ3191" s="3">
        <v>43559</v>
      </c>
      <c r="BK3191" t="s">
        <v>123</v>
      </c>
      <c r="BL3191" t="str">
        <f>"2019.235082"</f>
        <v>2019.235082</v>
      </c>
      <c r="BM3191" t="s">
        <v>492</v>
      </c>
      <c r="BN3191" t="s">
        <v>4706</v>
      </c>
      <c r="BO3191" t="s">
        <v>20772</v>
      </c>
      <c r="BP3191" t="s">
        <v>20773</v>
      </c>
      <c r="BR3191" t="s">
        <v>139</v>
      </c>
      <c r="BW3191" t="str">
        <f>""</f>
        <v/>
      </c>
      <c r="CH3191" t="str">
        <f>""</f>
        <v/>
      </c>
      <c r="CS3191" t="str">
        <f>""</f>
        <v/>
      </c>
    </row>
    <row r="3192" spans="1:97" x14ac:dyDescent="0.25">
      <c r="A3192" t="s">
        <v>20774</v>
      </c>
      <c r="B3192" t="s">
        <v>1552</v>
      </c>
      <c r="C3192" t="s">
        <v>6830</v>
      </c>
      <c r="D3192" t="s">
        <v>1552</v>
      </c>
      <c r="E3192" t="s">
        <v>20775</v>
      </c>
      <c r="F3192" t="s">
        <v>108</v>
      </c>
      <c r="H3192" t="s">
        <v>20776</v>
      </c>
      <c r="I3192" t="s">
        <v>632</v>
      </c>
      <c r="J3192" t="s">
        <v>111</v>
      </c>
      <c r="K3192" t="str">
        <f>"85374"</f>
        <v>85374</v>
      </c>
      <c r="L3192" t="s">
        <v>316</v>
      </c>
      <c r="M3192" t="s">
        <v>20776</v>
      </c>
      <c r="N3192" t="s">
        <v>632</v>
      </c>
      <c r="O3192" t="s">
        <v>111</v>
      </c>
      <c r="P3192" t="str">
        <f>"85374-5770"</f>
        <v>85374-5770</v>
      </c>
      <c r="Q3192" t="s">
        <v>113</v>
      </c>
      <c r="R3192" t="str">
        <f>"501-93-411"</f>
        <v>501-93-411</v>
      </c>
      <c r="S3192" t="s">
        <v>17450</v>
      </c>
      <c r="U3192">
        <v>1598</v>
      </c>
      <c r="V3192">
        <v>0</v>
      </c>
      <c r="W3192">
        <v>2</v>
      </c>
      <c r="X3192">
        <v>2000</v>
      </c>
      <c r="Z3192">
        <v>1</v>
      </c>
      <c r="AA3192" t="s">
        <v>26</v>
      </c>
      <c r="AB3192">
        <v>0</v>
      </c>
      <c r="AC3192" t="s">
        <v>115</v>
      </c>
      <c r="AD3192">
        <v>2</v>
      </c>
      <c r="AE3192" t="s">
        <v>115</v>
      </c>
      <c r="AF3192">
        <v>0</v>
      </c>
      <c r="AG3192">
        <v>0</v>
      </c>
      <c r="AH3192" t="s">
        <v>116</v>
      </c>
      <c r="AI3192" s="1">
        <v>7415</v>
      </c>
      <c r="AJ3192" s="2">
        <v>0.03</v>
      </c>
      <c r="AK3192" s="1">
        <v>253269</v>
      </c>
      <c r="AL3192" t="s">
        <v>117</v>
      </c>
      <c r="AM3192" t="s">
        <v>118</v>
      </c>
      <c r="AN3192">
        <v>6001</v>
      </c>
      <c r="AO3192">
        <v>0.14000000000000001</v>
      </c>
      <c r="AP3192">
        <v>1</v>
      </c>
      <c r="AR3192">
        <v>1</v>
      </c>
      <c r="AS3192" s="1">
        <v>17420</v>
      </c>
      <c r="AT3192" s="1">
        <v>3480</v>
      </c>
      <c r="AU3192" s="1">
        <v>13940</v>
      </c>
      <c r="AV3192">
        <v>80.02</v>
      </c>
      <c r="AX3192" s="1">
        <v>1316.62</v>
      </c>
      <c r="AY3192" t="s">
        <v>5983</v>
      </c>
      <c r="AZ3192" t="s">
        <v>5983</v>
      </c>
      <c r="BA3192" t="s">
        <v>5109</v>
      </c>
      <c r="BE3192" s="3">
        <v>41900</v>
      </c>
      <c r="BF3192" s="1">
        <v>174900</v>
      </c>
      <c r="BG3192" t="s">
        <v>20777</v>
      </c>
      <c r="BH3192" s="1">
        <v>109.45</v>
      </c>
      <c r="BI3192" s="1">
        <v>245854</v>
      </c>
      <c r="BJ3192" s="3">
        <v>43500</v>
      </c>
      <c r="BK3192" t="s">
        <v>123</v>
      </c>
      <c r="BL3192" t="str">
        <f>"2019.74454"</f>
        <v>2019.74454</v>
      </c>
      <c r="BM3192" t="s">
        <v>248</v>
      </c>
      <c r="BN3192" t="s">
        <v>249</v>
      </c>
      <c r="BO3192" t="s">
        <v>20778</v>
      </c>
      <c r="BP3192" t="s">
        <v>20779</v>
      </c>
      <c r="BR3192" t="s">
        <v>139</v>
      </c>
      <c r="BW3192" t="str">
        <f>""</f>
        <v/>
      </c>
      <c r="CH3192" t="str">
        <f>""</f>
        <v/>
      </c>
      <c r="CS3192" t="str">
        <f>""</f>
        <v/>
      </c>
    </row>
    <row r="3193" spans="1:97" x14ac:dyDescent="0.25">
      <c r="A3193" t="s">
        <v>1308</v>
      </c>
      <c r="B3193" t="s">
        <v>20780</v>
      </c>
      <c r="E3193" t="s">
        <v>20781</v>
      </c>
      <c r="F3193" t="s">
        <v>108</v>
      </c>
      <c r="H3193" t="s">
        <v>20782</v>
      </c>
      <c r="I3193" t="s">
        <v>632</v>
      </c>
      <c r="J3193" t="s">
        <v>111</v>
      </c>
      <c r="K3193" t="str">
        <f>"85379"</f>
        <v>85379</v>
      </c>
      <c r="L3193" t="s">
        <v>5021</v>
      </c>
      <c r="M3193" t="s">
        <v>20782</v>
      </c>
      <c r="N3193" t="s">
        <v>632</v>
      </c>
      <c r="O3193" t="s">
        <v>111</v>
      </c>
      <c r="P3193" t="str">
        <f>"85379-7244"</f>
        <v>85379-7244</v>
      </c>
      <c r="Q3193" t="s">
        <v>113</v>
      </c>
      <c r="R3193" t="str">
        <f>"501-96-096"</f>
        <v>501-96-096</v>
      </c>
      <c r="S3193" t="s">
        <v>18876</v>
      </c>
      <c r="U3193">
        <v>1320</v>
      </c>
      <c r="V3193">
        <v>0</v>
      </c>
      <c r="W3193">
        <v>2</v>
      </c>
      <c r="X3193">
        <v>2005</v>
      </c>
      <c r="Z3193">
        <v>1</v>
      </c>
      <c r="AB3193">
        <v>0</v>
      </c>
      <c r="AC3193" t="s">
        <v>115</v>
      </c>
      <c r="AD3193">
        <v>2</v>
      </c>
      <c r="AE3193" t="s">
        <v>115</v>
      </c>
      <c r="AF3193">
        <v>0</v>
      </c>
      <c r="AG3193">
        <v>0</v>
      </c>
      <c r="AH3193" t="s">
        <v>116</v>
      </c>
      <c r="AI3193" s="1">
        <v>14872</v>
      </c>
      <c r="AJ3193" s="2">
        <v>7.0000000000000007E-2</v>
      </c>
      <c r="AK3193" s="1">
        <v>214872</v>
      </c>
      <c r="AL3193" t="s">
        <v>117</v>
      </c>
      <c r="AM3193" t="s">
        <v>118</v>
      </c>
      <c r="AN3193">
        <v>5520</v>
      </c>
      <c r="AO3193">
        <v>0.13</v>
      </c>
      <c r="AR3193">
        <v>1</v>
      </c>
      <c r="AS3193" s="1">
        <v>13720</v>
      </c>
      <c r="AT3193" s="1">
        <v>2740</v>
      </c>
      <c r="AU3193" s="1">
        <v>10980</v>
      </c>
      <c r="AV3193">
        <v>80.03</v>
      </c>
      <c r="AX3193" s="1">
        <v>923.64</v>
      </c>
      <c r="AY3193" t="s">
        <v>5615</v>
      </c>
      <c r="AZ3193" t="s">
        <v>5615</v>
      </c>
      <c r="BA3193" t="s">
        <v>635</v>
      </c>
      <c r="BE3193" s="3">
        <v>42410</v>
      </c>
      <c r="BF3193" s="1">
        <v>137000</v>
      </c>
      <c r="BG3193" t="s">
        <v>20783</v>
      </c>
      <c r="BH3193" s="1">
        <v>103.79</v>
      </c>
      <c r="BI3193" s="1">
        <v>200000</v>
      </c>
      <c r="BJ3193" s="3">
        <v>43578</v>
      </c>
      <c r="BK3193" t="s">
        <v>123</v>
      </c>
      <c r="BL3193" t="str">
        <f>"2019.285736"</f>
        <v>2019.285736</v>
      </c>
      <c r="BM3193" t="s">
        <v>3040</v>
      </c>
      <c r="BN3193" t="s">
        <v>3041</v>
      </c>
      <c r="BO3193" t="s">
        <v>20784</v>
      </c>
      <c r="BR3193" t="s">
        <v>139</v>
      </c>
      <c r="BW3193" t="str">
        <f>""</f>
        <v/>
      </c>
      <c r="CH3193" t="str">
        <f>""</f>
        <v/>
      </c>
      <c r="CS3193" t="str">
        <f>""</f>
        <v/>
      </c>
    </row>
    <row r="3194" spans="1:97" x14ac:dyDescent="0.25">
      <c r="B3194" t="s">
        <v>20785</v>
      </c>
      <c r="E3194" t="s">
        <v>20786</v>
      </c>
      <c r="F3194" t="s">
        <v>108</v>
      </c>
      <c r="H3194" t="s">
        <v>20787</v>
      </c>
      <c r="I3194" t="s">
        <v>203</v>
      </c>
      <c r="J3194" t="s">
        <v>111</v>
      </c>
      <c r="K3194" t="str">
        <f>"85297"</f>
        <v>85297</v>
      </c>
      <c r="L3194" t="s">
        <v>7339</v>
      </c>
      <c r="M3194" t="s">
        <v>20787</v>
      </c>
      <c r="N3194" t="s">
        <v>203</v>
      </c>
      <c r="O3194" t="s">
        <v>111</v>
      </c>
      <c r="P3194" t="str">
        <f>"85297-7825"</f>
        <v>85297-7825</v>
      </c>
      <c r="Q3194" t="s">
        <v>113</v>
      </c>
      <c r="R3194" t="str">
        <f>"304-51-115"</f>
        <v>304-51-115</v>
      </c>
      <c r="S3194" t="s">
        <v>20788</v>
      </c>
      <c r="U3194">
        <v>1533</v>
      </c>
      <c r="V3194">
        <v>0</v>
      </c>
      <c r="W3194">
        <v>2</v>
      </c>
      <c r="X3194">
        <v>2000</v>
      </c>
      <c r="Z3194">
        <v>1</v>
      </c>
      <c r="AB3194">
        <v>0</v>
      </c>
      <c r="AC3194" t="s">
        <v>115</v>
      </c>
      <c r="AD3194">
        <v>2</v>
      </c>
      <c r="AE3194" t="s">
        <v>115</v>
      </c>
      <c r="AF3194">
        <v>0</v>
      </c>
      <c r="AG3194">
        <v>0</v>
      </c>
      <c r="AH3194" t="s">
        <v>116</v>
      </c>
      <c r="AI3194" s="1">
        <v>82376</v>
      </c>
      <c r="AJ3194" s="2">
        <v>0.28999999999999998</v>
      </c>
      <c r="AK3194" s="1">
        <v>283076</v>
      </c>
      <c r="AL3194" t="s">
        <v>117</v>
      </c>
      <c r="AM3194" t="s">
        <v>191</v>
      </c>
      <c r="AN3194">
        <v>6381</v>
      </c>
      <c r="AO3194">
        <v>0.15</v>
      </c>
      <c r="AP3194">
        <v>1</v>
      </c>
      <c r="AR3194">
        <v>1</v>
      </c>
      <c r="AS3194" s="1">
        <v>18830</v>
      </c>
      <c r="AT3194" s="1">
        <v>3760</v>
      </c>
      <c r="AU3194" s="1">
        <v>15070</v>
      </c>
      <c r="AV3194">
        <v>80.03</v>
      </c>
      <c r="AX3194" s="1">
        <v>1438.06</v>
      </c>
      <c r="AY3194" t="s">
        <v>394</v>
      </c>
      <c r="AZ3194" t="s">
        <v>394</v>
      </c>
      <c r="BA3194" t="s">
        <v>290</v>
      </c>
      <c r="BB3194" s="3">
        <v>42569</v>
      </c>
      <c r="BD3194" t="s">
        <v>458</v>
      </c>
      <c r="BE3194" s="3">
        <v>41863</v>
      </c>
      <c r="BF3194" s="1">
        <v>190000</v>
      </c>
      <c r="BG3194" t="s">
        <v>20789</v>
      </c>
      <c r="BH3194" s="1">
        <v>123.94</v>
      </c>
      <c r="BI3194" s="1">
        <v>200700</v>
      </c>
      <c r="BJ3194" s="3">
        <v>42529</v>
      </c>
      <c r="BK3194" t="s">
        <v>123</v>
      </c>
      <c r="BL3194" t="str">
        <f>"2016.395241"</f>
        <v>2016.395241</v>
      </c>
      <c r="BM3194" t="s">
        <v>724</v>
      </c>
      <c r="BO3194" t="s">
        <v>20790</v>
      </c>
      <c r="BS3194">
        <v>30</v>
      </c>
      <c r="BW3194" t="str">
        <f>""</f>
        <v/>
      </c>
      <c r="CH3194" t="str">
        <f>""</f>
        <v/>
      </c>
      <c r="CS3194" t="str">
        <f>""</f>
        <v/>
      </c>
    </row>
    <row r="3195" spans="1:97" x14ac:dyDescent="0.25">
      <c r="A3195" t="s">
        <v>9660</v>
      </c>
      <c r="B3195" t="s">
        <v>6495</v>
      </c>
      <c r="C3195" t="s">
        <v>945</v>
      </c>
      <c r="D3195" t="s">
        <v>6495</v>
      </c>
      <c r="E3195" t="s">
        <v>20791</v>
      </c>
      <c r="F3195" t="s">
        <v>108</v>
      </c>
      <c r="H3195" t="s">
        <v>20792</v>
      </c>
      <c r="I3195" t="s">
        <v>1936</v>
      </c>
      <c r="J3195" t="s">
        <v>111</v>
      </c>
      <c r="K3195" t="str">
        <f>"85251"</f>
        <v>85251</v>
      </c>
      <c r="L3195" t="s">
        <v>5185</v>
      </c>
      <c r="M3195" t="s">
        <v>20792</v>
      </c>
      <c r="N3195" t="s">
        <v>1936</v>
      </c>
      <c r="O3195" t="s">
        <v>111</v>
      </c>
      <c r="P3195" t="str">
        <f>"85251-4906"</f>
        <v>85251-4906</v>
      </c>
      <c r="Q3195" t="s">
        <v>113</v>
      </c>
      <c r="R3195" t="str">
        <f>"130-42-018"</f>
        <v>130-42-018</v>
      </c>
      <c r="S3195" t="s">
        <v>20793</v>
      </c>
      <c r="T3195" t="s">
        <v>20794</v>
      </c>
      <c r="U3195">
        <v>1860</v>
      </c>
      <c r="V3195">
        <v>0</v>
      </c>
      <c r="W3195">
        <v>2</v>
      </c>
      <c r="X3195">
        <v>1966</v>
      </c>
      <c r="Z3195">
        <v>1</v>
      </c>
      <c r="AA3195" t="s">
        <v>26</v>
      </c>
      <c r="AB3195">
        <v>0</v>
      </c>
      <c r="AC3195" t="s">
        <v>5188</v>
      </c>
      <c r="AD3195">
        <v>2</v>
      </c>
      <c r="AE3195" t="s">
        <v>5188</v>
      </c>
      <c r="AF3195">
        <v>0</v>
      </c>
      <c r="AG3195">
        <v>0</v>
      </c>
      <c r="AH3195" t="s">
        <v>116</v>
      </c>
      <c r="AI3195" s="1">
        <v>149506</v>
      </c>
      <c r="AJ3195" s="2">
        <v>0.32</v>
      </c>
      <c r="AK3195" s="1">
        <v>471278</v>
      </c>
      <c r="AL3195" t="s">
        <v>117</v>
      </c>
      <c r="AM3195" t="s">
        <v>393</v>
      </c>
      <c r="AN3195">
        <v>9083</v>
      </c>
      <c r="AO3195">
        <v>0.21</v>
      </c>
      <c r="AP3195">
        <v>1</v>
      </c>
      <c r="AR3195">
        <v>1</v>
      </c>
      <c r="AS3195" s="1">
        <v>31630</v>
      </c>
      <c r="AT3195" s="1">
        <v>6320</v>
      </c>
      <c r="AU3195" s="1">
        <v>25310</v>
      </c>
      <c r="AV3195">
        <v>80.02</v>
      </c>
      <c r="AX3195" s="1">
        <v>1553.28</v>
      </c>
      <c r="AY3195" t="s">
        <v>7031</v>
      </c>
      <c r="AZ3195" t="s">
        <v>5420</v>
      </c>
      <c r="BA3195" t="s">
        <v>5421</v>
      </c>
      <c r="BE3195" s="3">
        <v>41960</v>
      </c>
      <c r="BF3195" s="1">
        <v>315000</v>
      </c>
      <c r="BG3195" t="s">
        <v>20795</v>
      </c>
      <c r="BH3195" s="1">
        <v>169.35</v>
      </c>
      <c r="BI3195" s="1">
        <v>321772</v>
      </c>
      <c r="BJ3195" s="3">
        <v>41960</v>
      </c>
      <c r="BK3195" t="s">
        <v>123</v>
      </c>
      <c r="BL3195" t="str">
        <f>"2014.758165"</f>
        <v>2014.758165</v>
      </c>
      <c r="BM3195" t="s">
        <v>9665</v>
      </c>
      <c r="BO3195" t="s">
        <v>20796</v>
      </c>
      <c r="BS3195">
        <v>30</v>
      </c>
      <c r="BW3195" t="str">
        <f>""</f>
        <v/>
      </c>
      <c r="CH3195" t="str">
        <f>""</f>
        <v/>
      </c>
      <c r="CS3195" t="str">
        <f>""</f>
        <v/>
      </c>
    </row>
    <row r="3196" spans="1:97" x14ac:dyDescent="0.25">
      <c r="A3196" t="s">
        <v>5847</v>
      </c>
      <c r="B3196" t="s">
        <v>18739</v>
      </c>
      <c r="E3196" t="s">
        <v>20797</v>
      </c>
      <c r="F3196" t="s">
        <v>108</v>
      </c>
      <c r="H3196" t="s">
        <v>20798</v>
      </c>
      <c r="I3196" t="s">
        <v>110</v>
      </c>
      <c r="J3196" t="s">
        <v>111</v>
      </c>
      <c r="K3196" t="str">
        <f>"85249"</f>
        <v>85249</v>
      </c>
      <c r="L3196" t="s">
        <v>8747</v>
      </c>
      <c r="M3196" t="s">
        <v>20798</v>
      </c>
      <c r="N3196" t="s">
        <v>110</v>
      </c>
      <c r="O3196" t="s">
        <v>111</v>
      </c>
      <c r="P3196" t="str">
        <f>"85249-4677"</f>
        <v>85249-4677</v>
      </c>
      <c r="Q3196" t="s">
        <v>113</v>
      </c>
      <c r="R3196" t="str">
        <f>"303-84-652"</f>
        <v>303-84-652</v>
      </c>
      <c r="S3196" t="s">
        <v>20799</v>
      </c>
      <c r="U3196">
        <v>1421</v>
      </c>
      <c r="V3196">
        <v>0</v>
      </c>
      <c r="W3196">
        <v>2</v>
      </c>
      <c r="X3196">
        <v>2001</v>
      </c>
      <c r="Z3196">
        <v>1</v>
      </c>
      <c r="AA3196" t="s">
        <v>26</v>
      </c>
      <c r="AB3196">
        <v>0</v>
      </c>
      <c r="AC3196" t="s">
        <v>115</v>
      </c>
      <c r="AD3196">
        <v>2</v>
      </c>
      <c r="AE3196" t="s">
        <v>115</v>
      </c>
      <c r="AF3196">
        <v>0</v>
      </c>
      <c r="AG3196">
        <v>0</v>
      </c>
      <c r="AH3196" t="s">
        <v>116</v>
      </c>
      <c r="AI3196" s="1">
        <v>64827</v>
      </c>
      <c r="AJ3196" s="2">
        <v>0.24</v>
      </c>
      <c r="AK3196" s="1">
        <v>266062</v>
      </c>
      <c r="AL3196" t="s">
        <v>117</v>
      </c>
      <c r="AM3196" t="s">
        <v>118</v>
      </c>
      <c r="AN3196">
        <v>4400</v>
      </c>
      <c r="AO3196">
        <v>0.1</v>
      </c>
      <c r="AP3196">
        <v>1</v>
      </c>
      <c r="AR3196">
        <v>1</v>
      </c>
      <c r="AS3196" s="1">
        <v>17530</v>
      </c>
      <c r="AT3196" s="1">
        <v>3500</v>
      </c>
      <c r="AU3196" s="1">
        <v>14030</v>
      </c>
      <c r="AV3196">
        <v>80.03</v>
      </c>
      <c r="AX3196" s="1">
        <v>1263.32</v>
      </c>
      <c r="AY3196" t="s">
        <v>5050</v>
      </c>
      <c r="AZ3196" t="s">
        <v>120</v>
      </c>
      <c r="BA3196" t="s">
        <v>274</v>
      </c>
      <c r="BE3196" s="3">
        <v>41880</v>
      </c>
      <c r="BF3196" s="1">
        <v>197000</v>
      </c>
      <c r="BG3196" t="s">
        <v>20800</v>
      </c>
      <c r="BH3196" s="1">
        <v>138.63</v>
      </c>
      <c r="BI3196" s="1">
        <v>201235</v>
      </c>
      <c r="BJ3196" s="3">
        <v>41880</v>
      </c>
      <c r="BK3196" t="s">
        <v>123</v>
      </c>
      <c r="BL3196" t="str">
        <f>"2014.574545"</f>
        <v>2014.574545</v>
      </c>
      <c r="BM3196" t="s">
        <v>135</v>
      </c>
      <c r="BO3196" t="s">
        <v>20801</v>
      </c>
      <c r="BS3196">
        <v>30</v>
      </c>
      <c r="BW3196" t="str">
        <f>""</f>
        <v/>
      </c>
      <c r="CH3196" t="str">
        <f>""</f>
        <v/>
      </c>
      <c r="CS3196" t="str">
        <f>""</f>
        <v/>
      </c>
    </row>
    <row r="3197" spans="1:97" x14ac:dyDescent="0.25">
      <c r="A3197" t="s">
        <v>20802</v>
      </c>
      <c r="B3197" t="s">
        <v>20803</v>
      </c>
      <c r="C3197" t="s">
        <v>496</v>
      </c>
      <c r="D3197" t="s">
        <v>20803</v>
      </c>
      <c r="E3197" t="s">
        <v>20804</v>
      </c>
      <c r="F3197" t="s">
        <v>108</v>
      </c>
      <c r="H3197" t="s">
        <v>20805</v>
      </c>
      <c r="I3197" t="s">
        <v>5863</v>
      </c>
      <c r="J3197" t="s">
        <v>111</v>
      </c>
      <c r="K3197" t="str">
        <f>"85375"</f>
        <v>85375</v>
      </c>
      <c r="L3197" t="s">
        <v>5176</v>
      </c>
      <c r="M3197" t="s">
        <v>20805</v>
      </c>
      <c r="N3197" t="s">
        <v>5863</v>
      </c>
      <c r="O3197" t="s">
        <v>111</v>
      </c>
      <c r="P3197" t="str">
        <f>"85375-4930"</f>
        <v>85375-4930</v>
      </c>
      <c r="Q3197" t="s">
        <v>113</v>
      </c>
      <c r="R3197" t="str">
        <f>"232-06-109"</f>
        <v>232-06-109</v>
      </c>
      <c r="S3197" t="s">
        <v>20806</v>
      </c>
      <c r="U3197">
        <v>1951</v>
      </c>
      <c r="V3197">
        <v>0</v>
      </c>
      <c r="W3197">
        <v>2</v>
      </c>
      <c r="X3197">
        <v>1979</v>
      </c>
      <c r="Z3197">
        <v>1</v>
      </c>
      <c r="AB3197">
        <v>0</v>
      </c>
      <c r="AC3197" t="s">
        <v>115</v>
      </c>
      <c r="AD3197">
        <v>2</v>
      </c>
      <c r="AE3197" t="s">
        <v>115</v>
      </c>
      <c r="AF3197">
        <v>0</v>
      </c>
      <c r="AG3197">
        <v>0</v>
      </c>
      <c r="AH3197" t="s">
        <v>116</v>
      </c>
      <c r="AI3197" s="1">
        <v>32398</v>
      </c>
      <c r="AJ3197" s="2">
        <v>0.12</v>
      </c>
      <c r="AK3197" s="1">
        <v>269898</v>
      </c>
      <c r="AL3197" t="s">
        <v>117</v>
      </c>
      <c r="AM3197" t="s">
        <v>393</v>
      </c>
      <c r="AN3197">
        <v>9000</v>
      </c>
      <c r="AO3197">
        <v>0.21</v>
      </c>
      <c r="AP3197">
        <v>1</v>
      </c>
      <c r="AR3197">
        <v>1</v>
      </c>
      <c r="AS3197" s="1">
        <v>16020</v>
      </c>
      <c r="AT3197" s="1">
        <v>3200</v>
      </c>
      <c r="AU3197" s="1">
        <v>12820</v>
      </c>
      <c r="AV3197">
        <v>80.02</v>
      </c>
      <c r="AX3197" s="1">
        <v>1153.8</v>
      </c>
      <c r="AY3197" t="s">
        <v>320</v>
      </c>
      <c r="AZ3197" t="s">
        <v>320</v>
      </c>
      <c r="BA3197" t="s">
        <v>321</v>
      </c>
      <c r="BE3197" s="3">
        <v>42468</v>
      </c>
      <c r="BF3197" s="1">
        <v>237500</v>
      </c>
      <c r="BG3197" t="s">
        <v>20807</v>
      </c>
      <c r="BH3197" s="1">
        <v>121.73</v>
      </c>
      <c r="BI3197" s="1">
        <v>237500</v>
      </c>
      <c r="BJ3197" s="3">
        <v>42468</v>
      </c>
      <c r="BK3197" t="s">
        <v>123</v>
      </c>
      <c r="BL3197" t="str">
        <f>"2016.233038"</f>
        <v>2016.233038</v>
      </c>
      <c r="BM3197" t="s">
        <v>2290</v>
      </c>
      <c r="BO3197" t="s">
        <v>20808</v>
      </c>
      <c r="BS3197">
        <v>30</v>
      </c>
      <c r="BW3197" t="str">
        <f>""</f>
        <v/>
      </c>
      <c r="CH3197" t="str">
        <f>""</f>
        <v/>
      </c>
      <c r="CS3197" t="str">
        <f>""</f>
        <v/>
      </c>
    </row>
    <row r="3198" spans="1:97" x14ac:dyDescent="0.25">
      <c r="A3198" t="s">
        <v>996</v>
      </c>
      <c r="B3198" t="s">
        <v>8238</v>
      </c>
      <c r="C3198" t="s">
        <v>3505</v>
      </c>
      <c r="D3198" t="s">
        <v>8238</v>
      </c>
      <c r="E3198" t="s">
        <v>20809</v>
      </c>
      <c r="F3198" t="s">
        <v>108</v>
      </c>
      <c r="H3198" t="s">
        <v>20810</v>
      </c>
      <c r="I3198" t="s">
        <v>390</v>
      </c>
      <c r="J3198" t="s">
        <v>111</v>
      </c>
      <c r="K3198" t="str">
        <f>"85007"</f>
        <v>85007</v>
      </c>
      <c r="L3198" t="s">
        <v>8199</v>
      </c>
      <c r="M3198" t="s">
        <v>20810</v>
      </c>
      <c r="N3198" t="s">
        <v>390</v>
      </c>
      <c r="O3198" t="s">
        <v>111</v>
      </c>
      <c r="P3198" t="str">
        <f>"85007-1528"</f>
        <v>85007-1528</v>
      </c>
      <c r="Q3198" t="s">
        <v>113</v>
      </c>
      <c r="R3198" t="str">
        <f>"111-10-023"</f>
        <v>111-10-023</v>
      </c>
      <c r="S3198" t="s">
        <v>20811</v>
      </c>
      <c r="T3198" t="s">
        <v>20812</v>
      </c>
      <c r="U3198">
        <v>1442</v>
      </c>
      <c r="V3198">
        <v>0</v>
      </c>
      <c r="W3198">
        <v>2</v>
      </c>
      <c r="X3198">
        <v>1938</v>
      </c>
      <c r="Z3198">
        <v>1</v>
      </c>
      <c r="AA3198" t="s">
        <v>26</v>
      </c>
      <c r="AB3198">
        <v>0</v>
      </c>
      <c r="AC3198" t="s">
        <v>115</v>
      </c>
      <c r="AD3198">
        <v>1</v>
      </c>
      <c r="AE3198" t="s">
        <v>115</v>
      </c>
      <c r="AF3198">
        <v>0</v>
      </c>
      <c r="AG3198">
        <v>0</v>
      </c>
      <c r="AH3198" t="s">
        <v>116</v>
      </c>
      <c r="AI3198" s="1">
        <v>41248</v>
      </c>
      <c r="AJ3198" s="2">
        <v>0.08</v>
      </c>
      <c r="AK3198" s="1">
        <v>503257</v>
      </c>
      <c r="AL3198" t="s">
        <v>117</v>
      </c>
      <c r="AM3198" t="s">
        <v>191</v>
      </c>
      <c r="AN3198">
        <v>7283</v>
      </c>
      <c r="AO3198">
        <v>0.17</v>
      </c>
      <c r="AP3198">
        <v>1</v>
      </c>
      <c r="AR3198">
        <v>1</v>
      </c>
      <c r="AS3198" s="1">
        <v>17940</v>
      </c>
      <c r="AT3198" s="1">
        <v>3585</v>
      </c>
      <c r="AU3198" s="1">
        <v>14355</v>
      </c>
      <c r="AV3198">
        <v>80.02</v>
      </c>
      <c r="AX3198" s="1">
        <v>2308.64</v>
      </c>
      <c r="AY3198" t="s">
        <v>8309</v>
      </c>
      <c r="AZ3198" t="s">
        <v>8309</v>
      </c>
      <c r="BA3198" t="s">
        <v>5469</v>
      </c>
      <c r="BE3198" s="3">
        <v>42215</v>
      </c>
      <c r="BF3198" s="1">
        <v>435000</v>
      </c>
      <c r="BG3198" t="s">
        <v>20813</v>
      </c>
      <c r="BH3198" s="1">
        <v>301.66000000000003</v>
      </c>
      <c r="BI3198" s="1">
        <v>462009</v>
      </c>
      <c r="BJ3198" s="3">
        <v>42838</v>
      </c>
      <c r="BK3198" t="s">
        <v>123</v>
      </c>
      <c r="BL3198" t="str">
        <f>"2017.261834"</f>
        <v>2017.261834</v>
      </c>
      <c r="BM3198" t="s">
        <v>1707</v>
      </c>
      <c r="BO3198" t="s">
        <v>20814</v>
      </c>
      <c r="BS3198">
        <v>30</v>
      </c>
      <c r="BW3198" t="str">
        <f>""</f>
        <v/>
      </c>
      <c r="CH3198" t="str">
        <f>""</f>
        <v/>
      </c>
      <c r="CS3198" t="str">
        <f>""</f>
        <v/>
      </c>
    </row>
    <row r="3199" spans="1:97" x14ac:dyDescent="0.25">
      <c r="A3199" t="s">
        <v>5214</v>
      </c>
      <c r="B3199" t="s">
        <v>11434</v>
      </c>
      <c r="C3199" t="s">
        <v>16736</v>
      </c>
      <c r="D3199" t="s">
        <v>11434</v>
      </c>
      <c r="E3199" t="s">
        <v>20815</v>
      </c>
      <c r="F3199" t="s">
        <v>108</v>
      </c>
      <c r="H3199" t="s">
        <v>20816</v>
      </c>
      <c r="I3199" t="s">
        <v>5114</v>
      </c>
      <c r="J3199" t="s">
        <v>111</v>
      </c>
      <c r="K3199" t="str">
        <f>"85392"</f>
        <v>85392</v>
      </c>
      <c r="L3199" t="s">
        <v>3430</v>
      </c>
      <c r="M3199" t="s">
        <v>20816</v>
      </c>
      <c r="N3199" t="s">
        <v>5114</v>
      </c>
      <c r="O3199" t="s">
        <v>111</v>
      </c>
      <c r="P3199" t="str">
        <f>"85392-4334"</f>
        <v>85392-4334</v>
      </c>
      <c r="Q3199" t="s">
        <v>113</v>
      </c>
      <c r="R3199" t="str">
        <f>"102-86-012"</f>
        <v>102-86-012</v>
      </c>
      <c r="S3199" t="s">
        <v>12487</v>
      </c>
      <c r="T3199" t="s">
        <v>12488</v>
      </c>
      <c r="U3199">
        <v>2382</v>
      </c>
      <c r="V3199">
        <v>0</v>
      </c>
      <c r="W3199">
        <v>3</v>
      </c>
      <c r="X3199">
        <v>1992</v>
      </c>
      <c r="Z3199">
        <v>1</v>
      </c>
      <c r="AA3199" t="s">
        <v>26</v>
      </c>
      <c r="AB3199">
        <v>0</v>
      </c>
      <c r="AC3199" t="s">
        <v>115</v>
      </c>
      <c r="AD3199">
        <v>3</v>
      </c>
      <c r="AE3199" t="s">
        <v>115</v>
      </c>
      <c r="AF3199">
        <v>0</v>
      </c>
      <c r="AG3199">
        <v>0</v>
      </c>
      <c r="AH3199" t="s">
        <v>116</v>
      </c>
      <c r="AI3199" s="1">
        <v>42418</v>
      </c>
      <c r="AJ3199" s="2">
        <v>0.13</v>
      </c>
      <c r="AK3199" s="1">
        <v>315275</v>
      </c>
      <c r="AL3199" t="s">
        <v>117</v>
      </c>
      <c r="AM3199" t="s">
        <v>118</v>
      </c>
      <c r="AN3199">
        <v>7018</v>
      </c>
      <c r="AO3199">
        <v>0.16</v>
      </c>
      <c r="AP3199">
        <v>1</v>
      </c>
      <c r="AR3199">
        <v>1</v>
      </c>
      <c r="AS3199" s="1">
        <v>23110</v>
      </c>
      <c r="AT3199" s="1">
        <v>4620</v>
      </c>
      <c r="AU3199" s="1">
        <v>18490</v>
      </c>
      <c r="AV3199">
        <v>80.010000000000005</v>
      </c>
      <c r="AX3199" s="1">
        <v>2371.48</v>
      </c>
      <c r="AY3199" t="s">
        <v>8084</v>
      </c>
      <c r="AZ3199" t="s">
        <v>8084</v>
      </c>
      <c r="BA3199" t="s">
        <v>5118</v>
      </c>
      <c r="BE3199" s="3">
        <v>42513</v>
      </c>
      <c r="BF3199" s="1">
        <v>257000</v>
      </c>
      <c r="BG3199" t="s">
        <v>20817</v>
      </c>
      <c r="BH3199" s="1">
        <v>107.89</v>
      </c>
      <c r="BI3199" s="1">
        <v>272857</v>
      </c>
      <c r="BJ3199" s="3">
        <v>42720</v>
      </c>
      <c r="BK3199" t="s">
        <v>123</v>
      </c>
      <c r="BL3199" t="str">
        <f>"2016.930333"</f>
        <v>2016.930333</v>
      </c>
      <c r="BM3199" t="s">
        <v>673</v>
      </c>
      <c r="BO3199" t="s">
        <v>20818</v>
      </c>
      <c r="BS3199">
        <v>30</v>
      </c>
      <c r="BW3199" t="str">
        <f>""</f>
        <v/>
      </c>
      <c r="CH3199" t="str">
        <f>""</f>
        <v/>
      </c>
      <c r="CS3199" t="str">
        <f>""</f>
        <v/>
      </c>
    </row>
    <row r="3200" spans="1:97" x14ac:dyDescent="0.25">
      <c r="A3200" t="s">
        <v>177</v>
      </c>
      <c r="B3200" t="s">
        <v>8182</v>
      </c>
      <c r="E3200" t="s">
        <v>20819</v>
      </c>
      <c r="F3200" t="s">
        <v>108</v>
      </c>
      <c r="H3200" t="s">
        <v>20820</v>
      </c>
      <c r="I3200" t="s">
        <v>5863</v>
      </c>
      <c r="J3200" t="s">
        <v>111</v>
      </c>
      <c r="K3200" t="str">
        <f>"85375"</f>
        <v>85375</v>
      </c>
      <c r="L3200" t="s">
        <v>5709</v>
      </c>
      <c r="M3200" t="s">
        <v>20820</v>
      </c>
      <c r="N3200" t="s">
        <v>5863</v>
      </c>
      <c r="O3200" t="s">
        <v>111</v>
      </c>
      <c r="P3200" t="str">
        <f>"85375-3217"</f>
        <v>85375-3217</v>
      </c>
      <c r="Q3200" t="s">
        <v>113</v>
      </c>
      <c r="R3200" t="str">
        <f>"232-05-149"</f>
        <v>232-05-149</v>
      </c>
      <c r="S3200" t="s">
        <v>20821</v>
      </c>
      <c r="U3200">
        <v>1886</v>
      </c>
      <c r="V3200">
        <v>0</v>
      </c>
      <c r="W3200">
        <v>2</v>
      </c>
      <c r="X3200">
        <v>1979</v>
      </c>
      <c r="Z3200">
        <v>1</v>
      </c>
      <c r="AB3200">
        <v>0</v>
      </c>
      <c r="AC3200" t="s">
        <v>115</v>
      </c>
      <c r="AD3200">
        <v>2</v>
      </c>
      <c r="AE3200" t="s">
        <v>115</v>
      </c>
      <c r="AF3200">
        <v>0</v>
      </c>
      <c r="AG3200">
        <v>0</v>
      </c>
      <c r="AH3200" t="s">
        <v>116</v>
      </c>
      <c r="AI3200" s="1">
        <v>42138</v>
      </c>
      <c r="AJ3200" s="2">
        <v>0.17</v>
      </c>
      <c r="AK3200" s="1">
        <v>242665</v>
      </c>
      <c r="AL3200" t="s">
        <v>117</v>
      </c>
      <c r="AM3200" t="s">
        <v>393</v>
      </c>
      <c r="AN3200">
        <v>10011</v>
      </c>
      <c r="AO3200">
        <v>0.23</v>
      </c>
      <c r="AP3200">
        <v>1</v>
      </c>
      <c r="AR3200">
        <v>1</v>
      </c>
      <c r="AS3200" s="1">
        <v>15770</v>
      </c>
      <c r="AT3200" s="1">
        <v>3150</v>
      </c>
      <c r="AU3200" s="1">
        <v>12620</v>
      </c>
      <c r="AV3200">
        <v>80.03</v>
      </c>
      <c r="AX3200" s="1">
        <v>1082.72</v>
      </c>
      <c r="AY3200" t="s">
        <v>320</v>
      </c>
      <c r="AZ3200" t="s">
        <v>320</v>
      </c>
      <c r="BA3200" t="s">
        <v>321</v>
      </c>
      <c r="BE3200" s="3">
        <v>42013</v>
      </c>
      <c r="BF3200" s="1">
        <v>161000</v>
      </c>
      <c r="BG3200" t="s">
        <v>20822</v>
      </c>
      <c r="BH3200" s="1">
        <v>85.37</v>
      </c>
      <c r="BI3200" s="1">
        <v>200527</v>
      </c>
      <c r="BJ3200" s="3">
        <v>43637</v>
      </c>
      <c r="BK3200" t="s">
        <v>123</v>
      </c>
      <c r="BL3200" t="str">
        <f>"2019.465338"</f>
        <v>2019.465338</v>
      </c>
      <c r="BM3200" t="s">
        <v>248</v>
      </c>
      <c r="BN3200" t="s">
        <v>249</v>
      </c>
      <c r="BO3200" t="s">
        <v>20823</v>
      </c>
      <c r="BR3200" t="s">
        <v>139</v>
      </c>
      <c r="BW3200" t="str">
        <f>""</f>
        <v/>
      </c>
      <c r="CH3200" t="str">
        <f>""</f>
        <v/>
      </c>
      <c r="CS3200" t="str">
        <f>""</f>
        <v/>
      </c>
    </row>
    <row r="3201" spans="1:97" x14ac:dyDescent="0.25">
      <c r="A3201" t="s">
        <v>3067</v>
      </c>
      <c r="B3201" t="s">
        <v>20824</v>
      </c>
      <c r="C3201" t="s">
        <v>152</v>
      </c>
      <c r="D3201" t="s">
        <v>20824</v>
      </c>
      <c r="E3201" t="s">
        <v>20825</v>
      </c>
      <c r="F3201" t="s">
        <v>108</v>
      </c>
      <c r="H3201" t="s">
        <v>20826</v>
      </c>
      <c r="I3201" t="s">
        <v>2874</v>
      </c>
      <c r="J3201" t="s">
        <v>111</v>
      </c>
      <c r="K3201" t="str">
        <f>"85308"</f>
        <v>85308</v>
      </c>
      <c r="L3201" t="s">
        <v>6308</v>
      </c>
      <c r="M3201" t="s">
        <v>20826</v>
      </c>
      <c r="N3201" t="s">
        <v>2874</v>
      </c>
      <c r="O3201" t="s">
        <v>111</v>
      </c>
      <c r="P3201" t="str">
        <f>"85308-6035"</f>
        <v>85308-6035</v>
      </c>
      <c r="Q3201" t="s">
        <v>113</v>
      </c>
      <c r="R3201" t="str">
        <f>"231-11-078"</f>
        <v>231-11-078</v>
      </c>
      <c r="S3201" t="s">
        <v>20827</v>
      </c>
      <c r="T3201" t="s">
        <v>20828</v>
      </c>
      <c r="U3201">
        <v>2719</v>
      </c>
      <c r="V3201">
        <v>0</v>
      </c>
      <c r="W3201">
        <v>4</v>
      </c>
      <c r="X3201">
        <v>1990</v>
      </c>
      <c r="Z3201">
        <v>2</v>
      </c>
      <c r="AA3201" t="s">
        <v>26</v>
      </c>
      <c r="AB3201">
        <v>0</v>
      </c>
      <c r="AC3201" t="s">
        <v>115</v>
      </c>
      <c r="AD3201">
        <v>3</v>
      </c>
      <c r="AE3201" t="s">
        <v>115</v>
      </c>
      <c r="AF3201">
        <v>0</v>
      </c>
      <c r="AG3201">
        <v>0</v>
      </c>
      <c r="AH3201" t="s">
        <v>116</v>
      </c>
      <c r="AI3201" s="1">
        <v>79332</v>
      </c>
      <c r="AJ3201" s="2">
        <v>0.21</v>
      </c>
      <c r="AK3201" s="1">
        <v>381144</v>
      </c>
      <c r="AL3201" t="s">
        <v>117</v>
      </c>
      <c r="AM3201" t="s">
        <v>191</v>
      </c>
      <c r="AN3201">
        <v>6445</v>
      </c>
      <c r="AO3201">
        <v>0.15</v>
      </c>
      <c r="AP3201">
        <v>1</v>
      </c>
      <c r="AR3201">
        <v>1</v>
      </c>
      <c r="AS3201" s="1">
        <v>27400</v>
      </c>
      <c r="AT3201" s="1">
        <v>5480</v>
      </c>
      <c r="AU3201" s="1">
        <v>21920</v>
      </c>
      <c r="AV3201">
        <v>80</v>
      </c>
      <c r="AX3201" s="1">
        <v>2571.16</v>
      </c>
      <c r="AY3201" t="s">
        <v>8400</v>
      </c>
      <c r="AZ3201" t="s">
        <v>8400</v>
      </c>
      <c r="BA3201" t="s">
        <v>2223</v>
      </c>
      <c r="BE3201" s="3">
        <v>42123</v>
      </c>
      <c r="BF3201" s="1">
        <v>299000</v>
      </c>
      <c r="BG3201" t="s">
        <v>20829</v>
      </c>
      <c r="BH3201" s="1">
        <v>109.97</v>
      </c>
      <c r="BI3201" s="1">
        <v>301812</v>
      </c>
      <c r="BJ3201" s="3">
        <v>42710</v>
      </c>
      <c r="BK3201" t="s">
        <v>123</v>
      </c>
      <c r="BL3201" t="str">
        <f>"2016.896708"</f>
        <v>2016.896708</v>
      </c>
      <c r="BM3201" t="s">
        <v>1185</v>
      </c>
      <c r="BO3201" t="s">
        <v>20830</v>
      </c>
      <c r="BS3201">
        <v>30</v>
      </c>
      <c r="BW3201" t="str">
        <f>""</f>
        <v/>
      </c>
      <c r="CH3201" t="str">
        <f>""</f>
        <v/>
      </c>
      <c r="CS3201" t="str">
        <f>""</f>
        <v/>
      </c>
    </row>
    <row r="3202" spans="1:97" x14ac:dyDescent="0.25">
      <c r="A3202" t="s">
        <v>20831</v>
      </c>
      <c r="B3202" t="s">
        <v>3214</v>
      </c>
      <c r="C3202" t="s">
        <v>20832</v>
      </c>
      <c r="D3202" t="s">
        <v>20833</v>
      </c>
      <c r="E3202" t="s">
        <v>20834</v>
      </c>
      <c r="F3202" t="s">
        <v>108</v>
      </c>
      <c r="H3202" t="s">
        <v>20835</v>
      </c>
      <c r="I3202" t="s">
        <v>499</v>
      </c>
      <c r="J3202" t="s">
        <v>111</v>
      </c>
      <c r="K3202" t="str">
        <f>"85338"</f>
        <v>85338</v>
      </c>
      <c r="L3202" t="s">
        <v>6308</v>
      </c>
      <c r="M3202" t="s">
        <v>20835</v>
      </c>
      <c r="N3202" t="s">
        <v>499</v>
      </c>
      <c r="O3202" t="s">
        <v>111</v>
      </c>
      <c r="P3202" t="str">
        <f>"85338-6339"</f>
        <v>85338-6339</v>
      </c>
      <c r="Q3202" t="s">
        <v>113</v>
      </c>
      <c r="R3202" t="str">
        <f>"400-56-493"</f>
        <v>400-56-493</v>
      </c>
      <c r="S3202" t="s">
        <v>6774</v>
      </c>
      <c r="T3202" t="s">
        <v>6775</v>
      </c>
      <c r="U3202">
        <v>1418</v>
      </c>
      <c r="V3202">
        <v>0</v>
      </c>
      <c r="W3202">
        <v>3</v>
      </c>
      <c r="X3202">
        <v>2016</v>
      </c>
      <c r="Z3202">
        <v>1</v>
      </c>
      <c r="AB3202">
        <v>0</v>
      </c>
      <c r="AC3202" t="s">
        <v>115</v>
      </c>
      <c r="AD3202">
        <v>2</v>
      </c>
      <c r="AE3202" t="s">
        <v>115</v>
      </c>
      <c r="AF3202">
        <v>0</v>
      </c>
      <c r="AG3202">
        <v>0</v>
      </c>
      <c r="AH3202" t="s">
        <v>116</v>
      </c>
      <c r="AI3202" s="1">
        <v>60034</v>
      </c>
      <c r="AJ3202" s="2">
        <v>0.22</v>
      </c>
      <c r="AK3202" s="1">
        <v>275436</v>
      </c>
      <c r="AL3202" t="s">
        <v>117</v>
      </c>
      <c r="AM3202" t="s">
        <v>118</v>
      </c>
      <c r="AN3202">
        <v>6310</v>
      </c>
      <c r="AO3202">
        <v>0.14000000000000001</v>
      </c>
      <c r="AR3202">
        <v>1</v>
      </c>
      <c r="AS3202" s="1">
        <v>18250</v>
      </c>
      <c r="AT3202" s="1">
        <v>3650</v>
      </c>
      <c r="AU3202" s="1">
        <v>14600</v>
      </c>
      <c r="AV3202">
        <v>80</v>
      </c>
      <c r="AX3202" s="1">
        <v>1752.4</v>
      </c>
      <c r="AY3202" t="s">
        <v>1246</v>
      </c>
      <c r="AZ3202" t="s">
        <v>1246</v>
      </c>
      <c r="BA3202" t="s">
        <v>1247</v>
      </c>
      <c r="BE3202" s="3">
        <v>42529</v>
      </c>
      <c r="BF3202" s="1">
        <v>226739</v>
      </c>
      <c r="BG3202" t="s">
        <v>2780</v>
      </c>
      <c r="BH3202" s="1">
        <v>159.9</v>
      </c>
      <c r="BI3202" s="1">
        <v>215402</v>
      </c>
      <c r="BJ3202" s="3">
        <v>42529</v>
      </c>
      <c r="BK3202" t="s">
        <v>123</v>
      </c>
      <c r="BL3202" t="str">
        <f>"2016.396701"</f>
        <v>2016.396701</v>
      </c>
      <c r="BM3202" t="s">
        <v>3710</v>
      </c>
      <c r="BO3202" t="s">
        <v>20836</v>
      </c>
      <c r="BP3202" t="s">
        <v>20837</v>
      </c>
      <c r="BS3202">
        <v>30</v>
      </c>
      <c r="BW3202" t="str">
        <f>""</f>
        <v/>
      </c>
      <c r="CH3202" t="str">
        <f>""</f>
        <v/>
      </c>
      <c r="CS3202" t="str">
        <f>""</f>
        <v/>
      </c>
    </row>
    <row r="3203" spans="1:97" x14ac:dyDescent="0.25">
      <c r="A3203" t="s">
        <v>1344</v>
      </c>
      <c r="B3203" t="s">
        <v>2251</v>
      </c>
      <c r="E3203" t="s">
        <v>20838</v>
      </c>
      <c r="F3203" t="s">
        <v>108</v>
      </c>
      <c r="H3203" t="s">
        <v>20839</v>
      </c>
      <c r="I3203" t="s">
        <v>499</v>
      </c>
      <c r="J3203" t="s">
        <v>111</v>
      </c>
      <c r="K3203" t="str">
        <f>"85338"</f>
        <v>85338</v>
      </c>
      <c r="L3203" t="s">
        <v>5291</v>
      </c>
      <c r="M3203" t="s">
        <v>20839</v>
      </c>
      <c r="N3203" t="s">
        <v>499</v>
      </c>
      <c r="O3203" t="s">
        <v>111</v>
      </c>
      <c r="P3203" t="str">
        <f>"85338-5203"</f>
        <v>85338-5203</v>
      </c>
      <c r="Q3203" t="s">
        <v>113</v>
      </c>
      <c r="R3203" t="str">
        <f>"400-52-538"</f>
        <v>400-52-538</v>
      </c>
      <c r="S3203" t="s">
        <v>12935</v>
      </c>
      <c r="U3203">
        <v>2201</v>
      </c>
      <c r="V3203">
        <v>0</v>
      </c>
      <c r="W3203">
        <v>4</v>
      </c>
      <c r="X3203">
        <v>1991</v>
      </c>
      <c r="Z3203">
        <v>2</v>
      </c>
      <c r="AA3203" t="s">
        <v>26</v>
      </c>
      <c r="AB3203">
        <v>0</v>
      </c>
      <c r="AC3203" t="s">
        <v>115</v>
      </c>
      <c r="AD3203">
        <v>2</v>
      </c>
      <c r="AE3203" t="s">
        <v>115</v>
      </c>
      <c r="AF3203">
        <v>0</v>
      </c>
      <c r="AG3203">
        <v>0</v>
      </c>
      <c r="AH3203" t="s">
        <v>116</v>
      </c>
      <c r="AI3203" s="1">
        <v>73240</v>
      </c>
      <c r="AJ3203" s="2">
        <v>0.24</v>
      </c>
      <c r="AK3203" s="1">
        <v>301412</v>
      </c>
      <c r="AL3203" t="s">
        <v>117</v>
      </c>
      <c r="AM3203" t="s">
        <v>118</v>
      </c>
      <c r="AN3203">
        <v>5058</v>
      </c>
      <c r="AO3203">
        <v>0.12</v>
      </c>
      <c r="AP3203">
        <v>1</v>
      </c>
      <c r="AR3203">
        <v>1</v>
      </c>
      <c r="AS3203" s="1">
        <v>19820</v>
      </c>
      <c r="AT3203" s="1">
        <v>3960</v>
      </c>
      <c r="AU3203" s="1">
        <v>15860</v>
      </c>
      <c r="AV3203">
        <v>80.02</v>
      </c>
      <c r="AX3203" s="1">
        <v>1707.24</v>
      </c>
      <c r="AY3203" t="s">
        <v>4236</v>
      </c>
      <c r="AZ3203" t="s">
        <v>4236</v>
      </c>
      <c r="BA3203" t="s">
        <v>1247</v>
      </c>
      <c r="BE3203" s="3">
        <v>42265</v>
      </c>
      <c r="BF3203" s="1">
        <v>235000</v>
      </c>
      <c r="BG3203" t="s">
        <v>20840</v>
      </c>
      <c r="BH3203" s="1">
        <v>106.77</v>
      </c>
      <c r="BI3203" s="1">
        <v>228172</v>
      </c>
      <c r="BJ3203" s="3">
        <v>42725</v>
      </c>
      <c r="BK3203" t="s">
        <v>123</v>
      </c>
      <c r="BL3203" t="str">
        <f>"2016.938965"</f>
        <v>2016.938965</v>
      </c>
      <c r="BM3203" t="s">
        <v>402</v>
      </c>
      <c r="BO3203" t="s">
        <v>20841</v>
      </c>
      <c r="BS3203">
        <v>30</v>
      </c>
      <c r="BW3203" t="str">
        <f>""</f>
        <v/>
      </c>
      <c r="CH3203" t="str">
        <f>""</f>
        <v/>
      </c>
      <c r="CS3203" t="str">
        <f>""</f>
        <v/>
      </c>
    </row>
    <row r="3204" spans="1:97" x14ac:dyDescent="0.25">
      <c r="B3204" t="s">
        <v>20842</v>
      </c>
      <c r="C3204" t="s">
        <v>16694</v>
      </c>
      <c r="D3204" t="s">
        <v>20843</v>
      </c>
      <c r="E3204" t="s">
        <v>20843</v>
      </c>
      <c r="F3204" t="s">
        <v>108</v>
      </c>
      <c r="H3204" t="s">
        <v>20844</v>
      </c>
      <c r="I3204" t="s">
        <v>453</v>
      </c>
      <c r="J3204" t="s">
        <v>111</v>
      </c>
      <c r="K3204" t="str">
        <f>"85383"</f>
        <v>85383</v>
      </c>
      <c r="L3204" t="s">
        <v>5456</v>
      </c>
      <c r="M3204" t="s">
        <v>20844</v>
      </c>
      <c r="N3204" t="s">
        <v>453</v>
      </c>
      <c r="O3204" t="s">
        <v>111</v>
      </c>
      <c r="P3204" t="str">
        <f>"85383-6616"</f>
        <v>85383-6616</v>
      </c>
      <c r="Q3204" t="s">
        <v>113</v>
      </c>
      <c r="R3204" t="str">
        <f>"201-03-060"</f>
        <v>201-03-060</v>
      </c>
      <c r="S3204" t="s">
        <v>20845</v>
      </c>
      <c r="T3204" t="s">
        <v>6734</v>
      </c>
      <c r="U3204">
        <v>2172</v>
      </c>
      <c r="V3204">
        <v>0</v>
      </c>
      <c r="W3204">
        <v>4</v>
      </c>
      <c r="X3204">
        <v>2014</v>
      </c>
      <c r="Z3204">
        <v>1</v>
      </c>
      <c r="AB3204">
        <v>0</v>
      </c>
      <c r="AC3204" t="s">
        <v>115</v>
      </c>
      <c r="AD3204">
        <v>3</v>
      </c>
      <c r="AE3204" t="s">
        <v>115</v>
      </c>
      <c r="AF3204">
        <v>0</v>
      </c>
      <c r="AG3204">
        <v>0</v>
      </c>
      <c r="AH3204" t="s">
        <v>116</v>
      </c>
      <c r="AI3204" s="1">
        <v>16140</v>
      </c>
      <c r="AJ3204" s="2">
        <v>0.04</v>
      </c>
      <c r="AK3204" s="1">
        <v>424445</v>
      </c>
      <c r="AL3204" t="s">
        <v>117</v>
      </c>
      <c r="AM3204" t="s">
        <v>118</v>
      </c>
      <c r="AN3204">
        <v>8284</v>
      </c>
      <c r="AO3204">
        <v>0.19</v>
      </c>
      <c r="AR3204">
        <v>1</v>
      </c>
      <c r="AS3204" s="1">
        <v>34670</v>
      </c>
      <c r="AT3204" s="1">
        <v>6930</v>
      </c>
      <c r="AU3204" s="1">
        <v>27740</v>
      </c>
      <c r="AV3204">
        <v>80.010000000000005</v>
      </c>
      <c r="AX3204" s="1">
        <v>2446.1799999999998</v>
      </c>
      <c r="AY3204" t="s">
        <v>3048</v>
      </c>
      <c r="AZ3204" t="s">
        <v>3049</v>
      </c>
      <c r="BA3204" t="s">
        <v>1386</v>
      </c>
      <c r="BB3204" s="3">
        <v>43271</v>
      </c>
      <c r="BC3204" s="1">
        <v>0</v>
      </c>
      <c r="BD3204" t="s">
        <v>247</v>
      </c>
      <c r="BE3204" s="3">
        <v>42174</v>
      </c>
      <c r="BF3204" s="1">
        <v>350000</v>
      </c>
      <c r="BG3204" t="s">
        <v>19159</v>
      </c>
      <c r="BH3204" s="1">
        <v>161.13999999999999</v>
      </c>
      <c r="BI3204" s="1">
        <v>408305</v>
      </c>
      <c r="BJ3204" s="3">
        <v>43271</v>
      </c>
      <c r="BK3204" t="s">
        <v>123</v>
      </c>
      <c r="BL3204" t="str">
        <f>"2018.470534"</f>
        <v>2018.470534</v>
      </c>
      <c r="BM3204" t="s">
        <v>20846</v>
      </c>
      <c r="BN3204" t="s">
        <v>20847</v>
      </c>
      <c r="BO3204" t="s">
        <v>20848</v>
      </c>
      <c r="BP3204" t="s">
        <v>20849</v>
      </c>
      <c r="BR3204" t="s">
        <v>139</v>
      </c>
      <c r="BW3204" t="str">
        <f>""</f>
        <v/>
      </c>
      <c r="CH3204" t="str">
        <f>""</f>
        <v/>
      </c>
      <c r="CS3204" t="str">
        <f>""</f>
        <v/>
      </c>
    </row>
    <row r="3205" spans="1:97" x14ac:dyDescent="0.25">
      <c r="A3205" t="s">
        <v>305</v>
      </c>
      <c r="B3205" t="s">
        <v>20850</v>
      </c>
      <c r="C3205" t="s">
        <v>524</v>
      </c>
      <c r="D3205" t="s">
        <v>20850</v>
      </c>
      <c r="E3205" t="s">
        <v>20851</v>
      </c>
      <c r="F3205" t="s">
        <v>108</v>
      </c>
      <c r="H3205" t="s">
        <v>20852</v>
      </c>
      <c r="I3205" t="s">
        <v>203</v>
      </c>
      <c r="J3205" t="s">
        <v>111</v>
      </c>
      <c r="K3205" t="str">
        <f>"85234"</f>
        <v>85234</v>
      </c>
      <c r="L3205" t="s">
        <v>3108</v>
      </c>
      <c r="M3205" t="s">
        <v>20852</v>
      </c>
      <c r="N3205" t="s">
        <v>203</v>
      </c>
      <c r="O3205" t="s">
        <v>111</v>
      </c>
      <c r="P3205" t="str">
        <f>"85234"</f>
        <v>85234</v>
      </c>
      <c r="Q3205" t="s">
        <v>113</v>
      </c>
      <c r="R3205" t="str">
        <f>"304-06-172"</f>
        <v>304-06-172</v>
      </c>
      <c r="S3205" t="s">
        <v>7211</v>
      </c>
      <c r="T3205" t="s">
        <v>7212</v>
      </c>
      <c r="U3205">
        <v>1638</v>
      </c>
      <c r="V3205">
        <v>0</v>
      </c>
      <c r="W3205">
        <v>3</v>
      </c>
      <c r="X3205">
        <v>1992</v>
      </c>
      <c r="Z3205">
        <v>1</v>
      </c>
      <c r="AA3205" t="s">
        <v>26</v>
      </c>
      <c r="AB3205">
        <v>0</v>
      </c>
      <c r="AC3205" t="s">
        <v>115</v>
      </c>
      <c r="AD3205">
        <v>2</v>
      </c>
      <c r="AE3205" t="s">
        <v>115</v>
      </c>
      <c r="AF3205">
        <v>0</v>
      </c>
      <c r="AG3205">
        <v>0</v>
      </c>
      <c r="AH3205" t="s">
        <v>116</v>
      </c>
      <c r="AI3205" s="1">
        <v>53822</v>
      </c>
      <c r="AJ3205" s="2">
        <v>0.18</v>
      </c>
      <c r="AK3205" s="1">
        <v>305825</v>
      </c>
      <c r="AL3205" t="s">
        <v>117</v>
      </c>
      <c r="AM3205" t="s">
        <v>393</v>
      </c>
      <c r="AN3205">
        <v>6835</v>
      </c>
      <c r="AO3205">
        <v>0.16</v>
      </c>
      <c r="AP3205">
        <v>1</v>
      </c>
      <c r="AR3205">
        <v>1</v>
      </c>
      <c r="AS3205" s="1">
        <v>21030</v>
      </c>
      <c r="AT3205" s="1">
        <v>4200</v>
      </c>
      <c r="AU3205" s="1">
        <v>16830</v>
      </c>
      <c r="AV3205">
        <v>80.03</v>
      </c>
      <c r="AX3205" s="1">
        <v>1401.52</v>
      </c>
      <c r="AY3205" t="s">
        <v>7213</v>
      </c>
      <c r="AZ3205" t="s">
        <v>571</v>
      </c>
      <c r="BA3205" t="s">
        <v>521</v>
      </c>
      <c r="BE3205" s="3">
        <v>42297</v>
      </c>
      <c r="BF3205" s="1">
        <v>242000</v>
      </c>
      <c r="BG3205" t="s">
        <v>20853</v>
      </c>
      <c r="BH3205" s="1">
        <v>147.74</v>
      </c>
      <c r="BI3205" s="1">
        <v>252003</v>
      </c>
      <c r="BJ3205" s="3">
        <v>42571</v>
      </c>
      <c r="BK3205" t="s">
        <v>123</v>
      </c>
      <c r="BL3205" t="str">
        <f>"2016.512144"</f>
        <v>2016.512144</v>
      </c>
      <c r="BM3205" t="s">
        <v>544</v>
      </c>
      <c r="BO3205" t="s">
        <v>20854</v>
      </c>
      <c r="BS3205">
        <v>30</v>
      </c>
      <c r="BW3205" t="str">
        <f>""</f>
        <v/>
      </c>
      <c r="CH3205" t="str">
        <f>""</f>
        <v/>
      </c>
      <c r="CS3205" t="str">
        <f>""</f>
        <v/>
      </c>
    </row>
    <row r="3206" spans="1:97" x14ac:dyDescent="0.25">
      <c r="A3206" t="s">
        <v>5947</v>
      </c>
      <c r="B3206" t="s">
        <v>20855</v>
      </c>
      <c r="E3206" t="s">
        <v>20856</v>
      </c>
      <c r="F3206" t="s">
        <v>108</v>
      </c>
      <c r="H3206" t="s">
        <v>20857</v>
      </c>
      <c r="I3206" t="s">
        <v>453</v>
      </c>
      <c r="J3206" t="s">
        <v>111</v>
      </c>
      <c r="K3206" t="str">
        <f>"85345"</f>
        <v>85345</v>
      </c>
      <c r="L3206" t="s">
        <v>6145</v>
      </c>
      <c r="M3206" t="s">
        <v>20857</v>
      </c>
      <c r="N3206" t="s">
        <v>453</v>
      </c>
      <c r="O3206" t="s">
        <v>111</v>
      </c>
      <c r="P3206" t="str">
        <f>"85345-8252"</f>
        <v>85345-8252</v>
      </c>
      <c r="Q3206" t="s">
        <v>113</v>
      </c>
      <c r="R3206" t="str">
        <f>"142-01-010"</f>
        <v>142-01-010</v>
      </c>
      <c r="S3206" t="s">
        <v>7075</v>
      </c>
      <c r="T3206" t="s">
        <v>7076</v>
      </c>
      <c r="U3206">
        <v>1743</v>
      </c>
      <c r="V3206">
        <v>0</v>
      </c>
      <c r="W3206">
        <v>2</v>
      </c>
      <c r="X3206">
        <v>1985</v>
      </c>
      <c r="Z3206">
        <v>1</v>
      </c>
      <c r="AA3206" t="s">
        <v>26</v>
      </c>
      <c r="AB3206">
        <v>0</v>
      </c>
      <c r="AC3206" t="s">
        <v>115</v>
      </c>
      <c r="AD3206">
        <v>2</v>
      </c>
      <c r="AE3206" t="s">
        <v>115</v>
      </c>
      <c r="AF3206">
        <v>0</v>
      </c>
      <c r="AG3206">
        <v>0</v>
      </c>
      <c r="AH3206" t="s">
        <v>116</v>
      </c>
      <c r="AI3206" s="1">
        <v>47476</v>
      </c>
      <c r="AJ3206" s="2">
        <v>0.18</v>
      </c>
      <c r="AK3206" s="1">
        <v>269571</v>
      </c>
      <c r="AL3206" t="s">
        <v>117</v>
      </c>
      <c r="AM3206" t="s">
        <v>171</v>
      </c>
      <c r="AN3206">
        <v>9836</v>
      </c>
      <c r="AO3206">
        <v>0.23</v>
      </c>
      <c r="AP3206">
        <v>1</v>
      </c>
      <c r="AR3206">
        <v>1</v>
      </c>
      <c r="AS3206" s="1">
        <v>17580</v>
      </c>
      <c r="AT3206" s="1">
        <v>3510</v>
      </c>
      <c r="AU3206" s="1">
        <v>14070</v>
      </c>
      <c r="AV3206">
        <v>80.03</v>
      </c>
      <c r="AX3206" s="1">
        <v>1117.98</v>
      </c>
      <c r="AY3206" t="s">
        <v>7077</v>
      </c>
      <c r="AZ3206" t="s">
        <v>7077</v>
      </c>
      <c r="BA3206" t="s">
        <v>4007</v>
      </c>
      <c r="BE3206" s="3">
        <v>42300</v>
      </c>
      <c r="BF3206" s="1">
        <v>215000</v>
      </c>
      <c r="BG3206" t="s">
        <v>5034</v>
      </c>
      <c r="BH3206" s="1">
        <v>123.35</v>
      </c>
      <c r="BI3206" s="1">
        <v>222095</v>
      </c>
      <c r="BJ3206" s="3">
        <v>42300</v>
      </c>
      <c r="BK3206" t="s">
        <v>123</v>
      </c>
      <c r="BL3206" t="str">
        <f>"2015.765219"</f>
        <v>2015.765219</v>
      </c>
      <c r="BM3206" t="s">
        <v>1185</v>
      </c>
      <c r="BO3206" t="s">
        <v>20858</v>
      </c>
      <c r="BS3206">
        <v>30</v>
      </c>
      <c r="BW3206" t="str">
        <f>""</f>
        <v/>
      </c>
      <c r="CH3206" t="str">
        <f>""</f>
        <v/>
      </c>
      <c r="CS3206" t="str">
        <f>""</f>
        <v/>
      </c>
    </row>
    <row r="3207" spans="1:97" x14ac:dyDescent="0.25">
      <c r="A3207" t="s">
        <v>348</v>
      </c>
      <c r="B3207" t="s">
        <v>10105</v>
      </c>
      <c r="E3207" t="s">
        <v>20859</v>
      </c>
      <c r="F3207" t="s">
        <v>108</v>
      </c>
      <c r="H3207" t="s">
        <v>20860</v>
      </c>
      <c r="I3207" t="s">
        <v>225</v>
      </c>
      <c r="J3207" t="s">
        <v>111</v>
      </c>
      <c r="K3207" t="str">
        <f>"85215"</f>
        <v>85215</v>
      </c>
      <c r="L3207" t="s">
        <v>6416</v>
      </c>
      <c r="M3207" t="s">
        <v>20860</v>
      </c>
      <c r="N3207" t="s">
        <v>225</v>
      </c>
      <c r="O3207" t="s">
        <v>111</v>
      </c>
      <c r="P3207" t="str">
        <f>"85215"</f>
        <v>85215</v>
      </c>
      <c r="Q3207" t="s">
        <v>113</v>
      </c>
      <c r="R3207" t="str">
        <f>"141-69-792"</f>
        <v>141-69-792</v>
      </c>
      <c r="S3207" t="s">
        <v>20861</v>
      </c>
      <c r="T3207" t="s">
        <v>20713</v>
      </c>
      <c r="U3207">
        <v>1710</v>
      </c>
      <c r="V3207">
        <v>0</v>
      </c>
      <c r="W3207">
        <v>3</v>
      </c>
      <c r="X3207">
        <v>1993</v>
      </c>
      <c r="Z3207">
        <v>1</v>
      </c>
      <c r="AB3207">
        <v>0</v>
      </c>
      <c r="AC3207" t="s">
        <v>115</v>
      </c>
      <c r="AD3207">
        <v>2</v>
      </c>
      <c r="AE3207" t="s">
        <v>115</v>
      </c>
      <c r="AF3207">
        <v>0</v>
      </c>
      <c r="AG3207">
        <v>0</v>
      </c>
      <c r="AH3207" t="s">
        <v>116</v>
      </c>
      <c r="AI3207" s="1">
        <v>57880</v>
      </c>
      <c r="AJ3207" s="2">
        <v>0.19</v>
      </c>
      <c r="AK3207" s="1">
        <v>300880</v>
      </c>
      <c r="AL3207" t="s">
        <v>117</v>
      </c>
      <c r="AM3207" t="s">
        <v>191</v>
      </c>
      <c r="AN3207">
        <v>6787</v>
      </c>
      <c r="AO3207">
        <v>0.16</v>
      </c>
      <c r="AP3207">
        <v>1</v>
      </c>
      <c r="AR3207">
        <v>1</v>
      </c>
      <c r="AS3207" s="1">
        <v>20810</v>
      </c>
      <c r="AT3207" s="1">
        <v>4160</v>
      </c>
      <c r="AU3207" s="1">
        <v>16650</v>
      </c>
      <c r="AV3207">
        <v>80.010000000000005</v>
      </c>
      <c r="AX3207" s="1">
        <v>1655.28</v>
      </c>
      <c r="AY3207" t="s">
        <v>6662</v>
      </c>
      <c r="AZ3207" t="s">
        <v>5275</v>
      </c>
      <c r="BA3207" t="s">
        <v>3119</v>
      </c>
      <c r="BE3207" s="3">
        <v>42429</v>
      </c>
      <c r="BF3207" s="1">
        <v>238000</v>
      </c>
      <c r="BG3207" t="s">
        <v>20862</v>
      </c>
      <c r="BH3207" s="1">
        <v>139.18</v>
      </c>
      <c r="BI3207" s="1">
        <v>243000</v>
      </c>
      <c r="BJ3207" s="3">
        <v>42604</v>
      </c>
      <c r="BK3207" t="s">
        <v>123</v>
      </c>
      <c r="BL3207" t="str">
        <f>"2016.601587"</f>
        <v>2016.601587</v>
      </c>
      <c r="BM3207" t="s">
        <v>10499</v>
      </c>
      <c r="BO3207" t="s">
        <v>20863</v>
      </c>
      <c r="BS3207">
        <v>30</v>
      </c>
      <c r="BW3207" t="str">
        <f>""</f>
        <v/>
      </c>
      <c r="CH3207" t="str">
        <f>""</f>
        <v/>
      </c>
      <c r="CS3207" t="str">
        <f>""</f>
        <v/>
      </c>
    </row>
    <row r="3208" spans="1:97" x14ac:dyDescent="0.25">
      <c r="A3208" t="s">
        <v>305</v>
      </c>
      <c r="B3208" t="s">
        <v>8090</v>
      </c>
      <c r="E3208" t="s">
        <v>20864</v>
      </c>
      <c r="F3208" t="s">
        <v>108</v>
      </c>
      <c r="H3208" t="s">
        <v>20865</v>
      </c>
      <c r="I3208" t="s">
        <v>5114</v>
      </c>
      <c r="J3208" t="s">
        <v>111</v>
      </c>
      <c r="K3208" t="str">
        <f>"85323"</f>
        <v>85323</v>
      </c>
      <c r="L3208" t="s">
        <v>337</v>
      </c>
      <c r="M3208" t="s">
        <v>20865</v>
      </c>
      <c r="N3208" t="s">
        <v>5114</v>
      </c>
      <c r="O3208" t="s">
        <v>111</v>
      </c>
      <c r="P3208" t="str">
        <f>"85323-1191"</f>
        <v>85323-1191</v>
      </c>
      <c r="Q3208" t="s">
        <v>113</v>
      </c>
      <c r="R3208" t="str">
        <f>"500-95-639"</f>
        <v>500-95-639</v>
      </c>
      <c r="S3208" t="s">
        <v>16010</v>
      </c>
      <c r="U3208">
        <v>1524</v>
      </c>
      <c r="V3208">
        <v>0</v>
      </c>
      <c r="W3208">
        <v>3</v>
      </c>
      <c r="X3208">
        <v>2006</v>
      </c>
      <c r="Z3208">
        <v>1</v>
      </c>
      <c r="AB3208">
        <v>0</v>
      </c>
      <c r="AC3208" t="s">
        <v>115</v>
      </c>
      <c r="AD3208">
        <v>2</v>
      </c>
      <c r="AE3208" t="s">
        <v>115</v>
      </c>
      <c r="AF3208">
        <v>0</v>
      </c>
      <c r="AG3208">
        <v>0</v>
      </c>
      <c r="AH3208" t="s">
        <v>116</v>
      </c>
      <c r="AI3208" s="1">
        <v>16674</v>
      </c>
      <c r="AJ3208" s="2">
        <v>7.0000000000000007E-2</v>
      </c>
      <c r="AK3208" s="1">
        <v>231674</v>
      </c>
      <c r="AL3208" t="s">
        <v>117</v>
      </c>
      <c r="AM3208" t="s">
        <v>118</v>
      </c>
      <c r="AN3208">
        <v>5632</v>
      </c>
      <c r="AO3208">
        <v>0.13</v>
      </c>
      <c r="AR3208">
        <v>1</v>
      </c>
      <c r="AS3208" s="1">
        <v>15010</v>
      </c>
      <c r="AT3208" s="1">
        <v>3000</v>
      </c>
      <c r="AU3208" s="1">
        <v>12010</v>
      </c>
      <c r="AV3208">
        <v>80.010000000000005</v>
      </c>
      <c r="AX3208" s="1">
        <v>1353.22</v>
      </c>
      <c r="AY3208" t="s">
        <v>9447</v>
      </c>
      <c r="AZ3208" t="s">
        <v>9447</v>
      </c>
      <c r="BA3208" t="s">
        <v>4254</v>
      </c>
      <c r="BE3208" s="3">
        <v>42496</v>
      </c>
      <c r="BF3208" s="1">
        <v>182000</v>
      </c>
      <c r="BG3208" t="s">
        <v>20866</v>
      </c>
      <c r="BH3208" s="1">
        <v>119.42</v>
      </c>
      <c r="BI3208" s="1">
        <v>215000</v>
      </c>
      <c r="BJ3208" s="3">
        <v>43290</v>
      </c>
      <c r="BK3208" t="s">
        <v>123</v>
      </c>
      <c r="BL3208" t="str">
        <f>"2018.515710"</f>
        <v>2018.515710</v>
      </c>
      <c r="BM3208" t="s">
        <v>361</v>
      </c>
      <c r="BN3208" t="s">
        <v>884</v>
      </c>
      <c r="BO3208" t="s">
        <v>20864</v>
      </c>
      <c r="BR3208" t="s">
        <v>139</v>
      </c>
      <c r="BW3208" t="str">
        <f>""</f>
        <v/>
      </c>
      <c r="CH3208" t="str">
        <f>""</f>
        <v/>
      </c>
      <c r="CS3208" t="str">
        <f>""</f>
        <v/>
      </c>
    </row>
    <row r="3209" spans="1:97" x14ac:dyDescent="0.25">
      <c r="A3209" t="s">
        <v>2729</v>
      </c>
      <c r="B3209" t="s">
        <v>20867</v>
      </c>
      <c r="C3209" t="s">
        <v>2184</v>
      </c>
      <c r="D3209" t="s">
        <v>20867</v>
      </c>
      <c r="E3209" t="s">
        <v>20868</v>
      </c>
      <c r="F3209" t="s">
        <v>108</v>
      </c>
      <c r="H3209" t="s">
        <v>20869</v>
      </c>
      <c r="I3209" t="s">
        <v>390</v>
      </c>
      <c r="J3209" t="s">
        <v>111</v>
      </c>
      <c r="K3209" t="str">
        <f>"85024"</f>
        <v>85024</v>
      </c>
      <c r="L3209" t="s">
        <v>2354</v>
      </c>
      <c r="M3209" t="s">
        <v>20869</v>
      </c>
      <c r="N3209" t="s">
        <v>390</v>
      </c>
      <c r="O3209" t="s">
        <v>111</v>
      </c>
      <c r="P3209" t="str">
        <f>"85024-6519"</f>
        <v>85024-6519</v>
      </c>
      <c r="Q3209" t="s">
        <v>113</v>
      </c>
      <c r="R3209" t="str">
        <f>"213-03-178"</f>
        <v>213-03-178</v>
      </c>
      <c r="S3209" t="s">
        <v>20870</v>
      </c>
      <c r="T3209" t="s">
        <v>20871</v>
      </c>
      <c r="U3209">
        <v>1518</v>
      </c>
      <c r="V3209">
        <v>0</v>
      </c>
      <c r="W3209">
        <v>3</v>
      </c>
      <c r="X3209">
        <v>1995</v>
      </c>
      <c r="Z3209">
        <v>1</v>
      </c>
      <c r="AA3209" t="s">
        <v>26</v>
      </c>
      <c r="AB3209">
        <v>0</v>
      </c>
      <c r="AC3209" t="s">
        <v>115</v>
      </c>
      <c r="AD3209">
        <v>2</v>
      </c>
      <c r="AE3209" t="s">
        <v>115</v>
      </c>
      <c r="AF3209">
        <v>0</v>
      </c>
      <c r="AG3209">
        <v>0</v>
      </c>
      <c r="AH3209" t="s">
        <v>116</v>
      </c>
      <c r="AI3209" s="1">
        <v>44565</v>
      </c>
      <c r="AJ3209" s="2">
        <v>0.14000000000000001</v>
      </c>
      <c r="AK3209" s="1">
        <v>323475</v>
      </c>
      <c r="AL3209" t="s">
        <v>117</v>
      </c>
      <c r="AM3209" t="s">
        <v>191</v>
      </c>
      <c r="AN3209">
        <v>5423</v>
      </c>
      <c r="AO3209">
        <v>0.12</v>
      </c>
      <c r="AP3209">
        <v>1</v>
      </c>
      <c r="AR3209">
        <v>1</v>
      </c>
      <c r="AS3209" s="1">
        <v>23370</v>
      </c>
      <c r="AT3209" s="1">
        <v>4670</v>
      </c>
      <c r="AU3209" s="1">
        <v>18700</v>
      </c>
      <c r="AV3209">
        <v>80.02</v>
      </c>
      <c r="AX3209" s="1">
        <v>1995.76</v>
      </c>
      <c r="AY3209" t="s">
        <v>570</v>
      </c>
      <c r="AZ3209" t="s">
        <v>761</v>
      </c>
      <c r="BA3209" t="s">
        <v>762</v>
      </c>
      <c r="BE3209" s="3">
        <v>42237</v>
      </c>
      <c r="BF3209" s="1">
        <v>270000</v>
      </c>
      <c r="BG3209" t="s">
        <v>20872</v>
      </c>
      <c r="BH3209" s="1">
        <v>177.87</v>
      </c>
      <c r="BI3209" s="1">
        <v>278910</v>
      </c>
      <c r="BJ3209" s="3">
        <v>42237</v>
      </c>
      <c r="BK3209" t="s">
        <v>123</v>
      </c>
      <c r="BL3209" t="str">
        <f>"2015.608951"</f>
        <v>2015.608951</v>
      </c>
      <c r="BM3209" t="s">
        <v>699</v>
      </c>
      <c r="BO3209" t="s">
        <v>20873</v>
      </c>
      <c r="BS3209">
        <v>30</v>
      </c>
      <c r="BW3209" t="str">
        <f>""</f>
        <v/>
      </c>
      <c r="CH3209" t="str">
        <f>""</f>
        <v/>
      </c>
      <c r="CS3209" t="str">
        <f>""</f>
        <v/>
      </c>
    </row>
    <row r="3210" spans="1:97" x14ac:dyDescent="0.25">
      <c r="A3210" t="s">
        <v>7969</v>
      </c>
      <c r="B3210" t="s">
        <v>20874</v>
      </c>
      <c r="C3210" t="s">
        <v>3724</v>
      </c>
      <c r="D3210" t="s">
        <v>20874</v>
      </c>
      <c r="E3210" t="s">
        <v>20875</v>
      </c>
      <c r="F3210" t="s">
        <v>108</v>
      </c>
      <c r="H3210" t="s">
        <v>20876</v>
      </c>
      <c r="I3210" t="s">
        <v>225</v>
      </c>
      <c r="J3210" t="s">
        <v>111</v>
      </c>
      <c r="K3210" t="str">
        <f>"85208"</f>
        <v>85208</v>
      </c>
      <c r="L3210" t="s">
        <v>5400</v>
      </c>
      <c r="M3210" t="s">
        <v>20876</v>
      </c>
      <c r="N3210" t="s">
        <v>225</v>
      </c>
      <c r="O3210" t="s">
        <v>111</v>
      </c>
      <c r="P3210" t="str">
        <f>"85208-7137"</f>
        <v>85208-7137</v>
      </c>
      <c r="Q3210" t="s">
        <v>113</v>
      </c>
      <c r="R3210" t="str">
        <f>"220-71-248"</f>
        <v>220-71-248</v>
      </c>
      <c r="S3210" t="s">
        <v>13766</v>
      </c>
      <c r="T3210" t="s">
        <v>13767</v>
      </c>
      <c r="U3210">
        <v>1627</v>
      </c>
      <c r="V3210">
        <v>0</v>
      </c>
      <c r="W3210">
        <v>3</v>
      </c>
      <c r="X3210">
        <v>1999</v>
      </c>
      <c r="Z3210">
        <v>1</v>
      </c>
      <c r="AB3210">
        <v>0</v>
      </c>
      <c r="AC3210" t="s">
        <v>115</v>
      </c>
      <c r="AD3210">
        <v>2</v>
      </c>
      <c r="AE3210" t="s">
        <v>115</v>
      </c>
      <c r="AF3210">
        <v>0</v>
      </c>
      <c r="AG3210">
        <v>0</v>
      </c>
      <c r="AH3210" t="s">
        <v>116</v>
      </c>
      <c r="AI3210" s="1">
        <v>68028</v>
      </c>
      <c r="AJ3210" s="2">
        <v>0.25</v>
      </c>
      <c r="AK3210" s="1">
        <v>269463</v>
      </c>
      <c r="AL3210" t="s">
        <v>117</v>
      </c>
      <c r="AM3210" t="s">
        <v>191</v>
      </c>
      <c r="AN3210">
        <v>7113</v>
      </c>
      <c r="AO3210">
        <v>0.16</v>
      </c>
      <c r="AP3210">
        <v>1</v>
      </c>
      <c r="AR3210">
        <v>1</v>
      </c>
      <c r="AS3210" s="1">
        <v>18950</v>
      </c>
      <c r="AT3210" s="1">
        <v>3790</v>
      </c>
      <c r="AU3210" s="1">
        <v>15160</v>
      </c>
      <c r="AV3210">
        <v>80</v>
      </c>
      <c r="AX3210" s="1">
        <v>1331.74</v>
      </c>
      <c r="AY3210" t="s">
        <v>272</v>
      </c>
      <c r="AZ3210" t="s">
        <v>3761</v>
      </c>
      <c r="BA3210" t="s">
        <v>232</v>
      </c>
      <c r="BE3210" s="3">
        <v>42240</v>
      </c>
      <c r="BF3210" s="1">
        <v>195000</v>
      </c>
      <c r="BG3210" t="s">
        <v>20877</v>
      </c>
      <c r="BH3210" s="1">
        <v>119.85</v>
      </c>
      <c r="BI3210" s="1">
        <v>201435</v>
      </c>
      <c r="BJ3210" s="3">
        <v>42240</v>
      </c>
      <c r="BK3210" t="s">
        <v>123</v>
      </c>
      <c r="BL3210" t="str">
        <f>"2015.613489"</f>
        <v>2015.613489</v>
      </c>
      <c r="BM3210" t="s">
        <v>4014</v>
      </c>
      <c r="BO3210" t="s">
        <v>20878</v>
      </c>
      <c r="BS3210">
        <v>30</v>
      </c>
      <c r="BW3210" t="str">
        <f>""</f>
        <v/>
      </c>
      <c r="CH3210" t="str">
        <f>""</f>
        <v/>
      </c>
      <c r="CS3210" t="str">
        <f>""</f>
        <v/>
      </c>
    </row>
    <row r="3211" spans="1:97" x14ac:dyDescent="0.25">
      <c r="A3211" t="s">
        <v>1067</v>
      </c>
      <c r="B3211" t="s">
        <v>20879</v>
      </c>
      <c r="C3211" t="s">
        <v>1162</v>
      </c>
      <c r="D3211" t="s">
        <v>20879</v>
      </c>
      <c r="E3211" t="s">
        <v>20880</v>
      </c>
      <c r="F3211" t="s">
        <v>108</v>
      </c>
      <c r="H3211" t="s">
        <v>20881</v>
      </c>
      <c r="I3211" t="s">
        <v>499</v>
      </c>
      <c r="J3211" t="s">
        <v>111</v>
      </c>
      <c r="K3211" t="str">
        <f>"85338"</f>
        <v>85338</v>
      </c>
      <c r="L3211" t="s">
        <v>6416</v>
      </c>
      <c r="M3211" t="s">
        <v>20881</v>
      </c>
      <c r="N3211" t="s">
        <v>499</v>
      </c>
      <c r="O3211" t="s">
        <v>111</v>
      </c>
      <c r="P3211" t="str">
        <f>"85338-9605"</f>
        <v>85338-9605</v>
      </c>
      <c r="Q3211" t="s">
        <v>113</v>
      </c>
      <c r="R3211" t="str">
        <f>"500-06-439"</f>
        <v>500-06-439</v>
      </c>
      <c r="S3211" t="s">
        <v>20882</v>
      </c>
      <c r="U3211">
        <v>2450</v>
      </c>
      <c r="V3211">
        <v>0</v>
      </c>
      <c r="W3211">
        <v>4</v>
      </c>
      <c r="X3211">
        <v>1994</v>
      </c>
      <c r="Z3211">
        <v>2</v>
      </c>
      <c r="AB3211">
        <v>0</v>
      </c>
      <c r="AC3211" t="s">
        <v>115</v>
      </c>
      <c r="AD3211">
        <v>3</v>
      </c>
      <c r="AE3211" t="s">
        <v>115</v>
      </c>
      <c r="AF3211">
        <v>0</v>
      </c>
      <c r="AG3211">
        <v>0</v>
      </c>
      <c r="AH3211" t="s">
        <v>116</v>
      </c>
      <c r="AI3211" s="1">
        <v>13406</v>
      </c>
      <c r="AJ3211" s="2">
        <v>0.05</v>
      </c>
      <c r="AK3211" s="1">
        <v>277788</v>
      </c>
      <c r="AL3211" t="s">
        <v>117</v>
      </c>
      <c r="AM3211" t="s">
        <v>118</v>
      </c>
      <c r="AN3211">
        <v>8400</v>
      </c>
      <c r="AO3211">
        <v>0.19</v>
      </c>
      <c r="AP3211">
        <v>1</v>
      </c>
      <c r="AR3211">
        <v>1</v>
      </c>
      <c r="AS3211" s="1">
        <v>19530</v>
      </c>
      <c r="AT3211" s="1">
        <v>3900</v>
      </c>
      <c r="AU3211" s="1">
        <v>15630</v>
      </c>
      <c r="AV3211">
        <v>80.03</v>
      </c>
      <c r="AX3211" s="1">
        <v>1508.6</v>
      </c>
      <c r="AY3211" t="s">
        <v>11177</v>
      </c>
      <c r="AZ3211" t="s">
        <v>11177</v>
      </c>
      <c r="BA3211" t="s">
        <v>7186</v>
      </c>
      <c r="BE3211" s="3">
        <v>42488</v>
      </c>
      <c r="BF3211" s="1">
        <v>260000</v>
      </c>
      <c r="BG3211" t="s">
        <v>20883</v>
      </c>
      <c r="BH3211" s="1">
        <v>106.12</v>
      </c>
      <c r="BI3211" s="1">
        <v>264382</v>
      </c>
      <c r="BJ3211" s="3">
        <v>42744</v>
      </c>
      <c r="BK3211" t="s">
        <v>123</v>
      </c>
      <c r="BL3211" t="str">
        <f>"2017.14562"</f>
        <v>2017.14562</v>
      </c>
      <c r="BM3211" t="s">
        <v>6329</v>
      </c>
      <c r="BO3211" t="s">
        <v>20884</v>
      </c>
      <c r="BS3211">
        <v>30</v>
      </c>
      <c r="BW3211" t="str">
        <f>""</f>
        <v/>
      </c>
      <c r="CH3211" t="str">
        <f>""</f>
        <v/>
      </c>
      <c r="CS3211" t="str">
        <f>""</f>
        <v/>
      </c>
    </row>
    <row r="3212" spans="1:97" x14ac:dyDescent="0.25">
      <c r="A3212" t="s">
        <v>20885</v>
      </c>
      <c r="B3212" t="s">
        <v>364</v>
      </c>
      <c r="C3212" t="s">
        <v>7901</v>
      </c>
      <c r="D3212" t="s">
        <v>364</v>
      </c>
      <c r="E3212" t="s">
        <v>20886</v>
      </c>
      <c r="F3212" t="s">
        <v>108</v>
      </c>
      <c r="H3212" t="s">
        <v>20887</v>
      </c>
      <c r="I3212" t="s">
        <v>632</v>
      </c>
      <c r="J3212" t="s">
        <v>111</v>
      </c>
      <c r="K3212" t="str">
        <f>"85379"</f>
        <v>85379</v>
      </c>
      <c r="L3212" t="s">
        <v>375</v>
      </c>
      <c r="M3212" t="s">
        <v>20887</v>
      </c>
      <c r="N3212" t="s">
        <v>632</v>
      </c>
      <c r="O3212" t="s">
        <v>111</v>
      </c>
      <c r="P3212" t="str">
        <f>"85379-8157"</f>
        <v>85379-8157</v>
      </c>
      <c r="Q3212" t="s">
        <v>113</v>
      </c>
      <c r="R3212" t="str">
        <f>"509-18-372"</f>
        <v>509-18-372</v>
      </c>
      <c r="S3212" t="s">
        <v>20888</v>
      </c>
      <c r="U3212">
        <v>2139</v>
      </c>
      <c r="V3212">
        <v>0</v>
      </c>
      <c r="W3212">
        <v>4</v>
      </c>
      <c r="X3212">
        <v>2006</v>
      </c>
      <c r="Z3212">
        <v>2</v>
      </c>
      <c r="AB3212">
        <v>0</v>
      </c>
      <c r="AC3212" t="s">
        <v>115</v>
      </c>
      <c r="AD3212">
        <v>2</v>
      </c>
      <c r="AE3212" t="s">
        <v>115</v>
      </c>
      <c r="AF3212">
        <v>0</v>
      </c>
      <c r="AG3212">
        <v>0</v>
      </c>
      <c r="AH3212" t="s">
        <v>116</v>
      </c>
      <c r="AI3212" s="1">
        <v>45134</v>
      </c>
      <c r="AJ3212" s="2">
        <v>0.18</v>
      </c>
      <c r="AK3212" s="1">
        <v>254734</v>
      </c>
      <c r="AL3212" t="s">
        <v>117</v>
      </c>
      <c r="AM3212" t="s">
        <v>118</v>
      </c>
      <c r="AN3212">
        <v>4664</v>
      </c>
      <c r="AO3212">
        <v>0.11</v>
      </c>
      <c r="AR3212">
        <v>1</v>
      </c>
      <c r="AS3212" s="1">
        <v>17960</v>
      </c>
      <c r="AT3212" s="1">
        <v>3590</v>
      </c>
      <c r="AU3212" s="1">
        <v>14370</v>
      </c>
      <c r="AV3212">
        <v>80.010000000000005</v>
      </c>
      <c r="AX3212" s="1">
        <v>2395.54</v>
      </c>
      <c r="AY3212" t="s">
        <v>634</v>
      </c>
      <c r="AZ3212" t="s">
        <v>634</v>
      </c>
      <c r="BA3212" t="s">
        <v>635</v>
      </c>
      <c r="BE3212" s="3">
        <v>42377</v>
      </c>
      <c r="BF3212" s="1">
        <v>201500</v>
      </c>
      <c r="BG3212" t="s">
        <v>20889</v>
      </c>
      <c r="BH3212" s="1">
        <v>94.2</v>
      </c>
      <c r="BI3212" s="1">
        <v>209600</v>
      </c>
      <c r="BJ3212" s="3">
        <v>42450</v>
      </c>
      <c r="BK3212" t="s">
        <v>123</v>
      </c>
      <c r="BL3212" t="str">
        <f>"2016.180864"</f>
        <v>2016.180864</v>
      </c>
      <c r="BM3212" t="s">
        <v>1122</v>
      </c>
      <c r="BO3212" t="s">
        <v>20890</v>
      </c>
      <c r="BS3212">
        <v>30</v>
      </c>
      <c r="BW3212" t="str">
        <f>""</f>
        <v/>
      </c>
      <c r="CH3212" t="str">
        <f>""</f>
        <v/>
      </c>
      <c r="CS3212" t="str">
        <f>""</f>
        <v/>
      </c>
    </row>
    <row r="3213" spans="1:97" x14ac:dyDescent="0.25">
      <c r="A3213" t="s">
        <v>13060</v>
      </c>
      <c r="B3213" t="s">
        <v>20891</v>
      </c>
      <c r="C3213" t="s">
        <v>12785</v>
      </c>
      <c r="D3213" t="s">
        <v>20891</v>
      </c>
      <c r="E3213" t="s">
        <v>20892</v>
      </c>
      <c r="F3213" t="s">
        <v>108</v>
      </c>
      <c r="H3213" t="s">
        <v>20893</v>
      </c>
      <c r="I3213" t="s">
        <v>225</v>
      </c>
      <c r="J3213" t="s">
        <v>111</v>
      </c>
      <c r="K3213" t="str">
        <f>"85212"</f>
        <v>85212</v>
      </c>
      <c r="L3213" t="s">
        <v>774</v>
      </c>
      <c r="M3213" t="s">
        <v>20893</v>
      </c>
      <c r="N3213" t="s">
        <v>225</v>
      </c>
      <c r="O3213" t="s">
        <v>111</v>
      </c>
      <c r="P3213" t="str">
        <f>"85212-2923"</f>
        <v>85212-2923</v>
      </c>
      <c r="Q3213" t="s">
        <v>113</v>
      </c>
      <c r="R3213" t="str">
        <f>"312-05-387"</f>
        <v>312-05-387</v>
      </c>
      <c r="S3213" t="s">
        <v>18757</v>
      </c>
      <c r="U3213">
        <v>2159</v>
      </c>
      <c r="V3213">
        <v>0</v>
      </c>
      <c r="W3213">
        <v>3</v>
      </c>
      <c r="X3213">
        <v>2014</v>
      </c>
      <c r="Z3213">
        <v>1</v>
      </c>
      <c r="AB3213">
        <v>0</v>
      </c>
      <c r="AC3213" t="s">
        <v>115</v>
      </c>
      <c r="AD3213">
        <v>3</v>
      </c>
      <c r="AE3213" t="s">
        <v>115</v>
      </c>
      <c r="AF3213">
        <v>0</v>
      </c>
      <c r="AG3213">
        <v>0</v>
      </c>
      <c r="AH3213" t="s">
        <v>116</v>
      </c>
      <c r="AI3213" s="1">
        <v>120485</v>
      </c>
      <c r="AJ3213" s="2">
        <v>0.31</v>
      </c>
      <c r="AK3213" s="1">
        <v>393860</v>
      </c>
      <c r="AL3213" t="s">
        <v>117</v>
      </c>
      <c r="AM3213" t="s">
        <v>191</v>
      </c>
      <c r="AN3213">
        <v>8140</v>
      </c>
      <c r="AO3213">
        <v>0.19</v>
      </c>
      <c r="AR3213">
        <v>1</v>
      </c>
      <c r="AS3213" s="1">
        <v>28650</v>
      </c>
      <c r="AT3213" s="1">
        <v>5730</v>
      </c>
      <c r="AU3213" s="1">
        <v>22920</v>
      </c>
      <c r="AV3213">
        <v>80</v>
      </c>
      <c r="AX3213" s="1">
        <v>2150.84</v>
      </c>
      <c r="AY3213" t="s">
        <v>776</v>
      </c>
      <c r="AZ3213" t="s">
        <v>777</v>
      </c>
      <c r="BA3213" t="s">
        <v>572</v>
      </c>
      <c r="BE3213" s="3">
        <v>42082</v>
      </c>
      <c r="BF3213" s="1">
        <v>308552</v>
      </c>
      <c r="BG3213" t="s">
        <v>20894</v>
      </c>
      <c r="BH3213" s="1">
        <v>142.91</v>
      </c>
      <c r="BI3213" s="1">
        <v>273375</v>
      </c>
      <c r="BJ3213" s="3">
        <v>42082</v>
      </c>
      <c r="BK3213" t="s">
        <v>123</v>
      </c>
      <c r="BL3213" t="str">
        <f>"2015.184211"</f>
        <v>2015.184211</v>
      </c>
      <c r="BM3213" t="s">
        <v>2885</v>
      </c>
      <c r="BO3213" t="s">
        <v>20895</v>
      </c>
      <c r="BS3213">
        <v>15</v>
      </c>
      <c r="BW3213" t="str">
        <f>""</f>
        <v/>
      </c>
      <c r="CH3213" t="str">
        <f>""</f>
        <v/>
      </c>
      <c r="CS3213" t="str">
        <f>""</f>
        <v/>
      </c>
    </row>
    <row r="3214" spans="1:97" x14ac:dyDescent="0.25">
      <c r="A3214" t="s">
        <v>996</v>
      </c>
      <c r="B3214" t="s">
        <v>20896</v>
      </c>
      <c r="C3214" t="s">
        <v>4574</v>
      </c>
      <c r="D3214" t="s">
        <v>20896</v>
      </c>
      <c r="E3214" t="s">
        <v>20897</v>
      </c>
      <c r="F3214" t="s">
        <v>108</v>
      </c>
      <c r="H3214" t="s">
        <v>20898</v>
      </c>
      <c r="I3214" t="s">
        <v>390</v>
      </c>
      <c r="J3214" t="s">
        <v>111</v>
      </c>
      <c r="K3214" t="str">
        <f>"85028"</f>
        <v>85028</v>
      </c>
      <c r="L3214" t="s">
        <v>5408</v>
      </c>
      <c r="M3214" t="s">
        <v>20898</v>
      </c>
      <c r="N3214" t="s">
        <v>390</v>
      </c>
      <c r="O3214" t="s">
        <v>111</v>
      </c>
      <c r="P3214" t="str">
        <f>"85028-2839"</f>
        <v>85028-2839</v>
      </c>
      <c r="Q3214" t="s">
        <v>113</v>
      </c>
      <c r="R3214" t="str">
        <f>"166-57-072"</f>
        <v>166-57-072</v>
      </c>
      <c r="S3214" t="s">
        <v>20899</v>
      </c>
      <c r="T3214" t="s">
        <v>9579</v>
      </c>
      <c r="U3214">
        <v>1957</v>
      </c>
      <c r="V3214">
        <v>0</v>
      </c>
      <c r="W3214">
        <v>2</v>
      </c>
      <c r="X3214">
        <v>1969</v>
      </c>
      <c r="Z3214">
        <v>1</v>
      </c>
      <c r="AA3214" t="s">
        <v>26</v>
      </c>
      <c r="AB3214">
        <v>0</v>
      </c>
      <c r="AC3214" t="s">
        <v>5188</v>
      </c>
      <c r="AD3214">
        <v>2</v>
      </c>
      <c r="AE3214" t="s">
        <v>5188</v>
      </c>
      <c r="AF3214">
        <v>0</v>
      </c>
      <c r="AG3214">
        <v>0</v>
      </c>
      <c r="AH3214" t="s">
        <v>116</v>
      </c>
      <c r="AI3214" s="1">
        <v>59930</v>
      </c>
      <c r="AJ3214" s="2">
        <v>0.16</v>
      </c>
      <c r="AK3214" s="1">
        <v>381830</v>
      </c>
      <c r="AL3214" t="s">
        <v>117</v>
      </c>
      <c r="AM3214" t="s">
        <v>1302</v>
      </c>
      <c r="AN3214">
        <v>10747</v>
      </c>
      <c r="AO3214">
        <v>0.25</v>
      </c>
      <c r="AP3214">
        <v>1</v>
      </c>
      <c r="AR3214">
        <v>1</v>
      </c>
      <c r="AS3214" s="1">
        <v>26900</v>
      </c>
      <c r="AT3214" s="1">
        <v>5380</v>
      </c>
      <c r="AU3214" s="1">
        <v>21520</v>
      </c>
      <c r="AV3214">
        <v>80</v>
      </c>
      <c r="AX3214" s="1">
        <v>1965.42</v>
      </c>
      <c r="AY3214" t="s">
        <v>9580</v>
      </c>
      <c r="AZ3214" t="s">
        <v>5489</v>
      </c>
      <c r="BA3214" t="s">
        <v>5232</v>
      </c>
      <c r="BB3214" s="3">
        <v>42313</v>
      </c>
      <c r="BD3214" t="s">
        <v>458</v>
      </c>
      <c r="BE3214" s="3">
        <v>42146</v>
      </c>
      <c r="BF3214" s="1">
        <v>319000</v>
      </c>
      <c r="BG3214" t="s">
        <v>20900</v>
      </c>
      <c r="BH3214" s="1">
        <v>163.66999999999999</v>
      </c>
      <c r="BI3214" s="1">
        <v>321900</v>
      </c>
      <c r="BJ3214" s="3">
        <v>42503</v>
      </c>
      <c r="BK3214" t="s">
        <v>123</v>
      </c>
      <c r="BL3214" t="str">
        <f>"2016.329230"</f>
        <v>2016.329230</v>
      </c>
      <c r="BM3214" t="s">
        <v>1122</v>
      </c>
      <c r="BO3214" t="s">
        <v>20901</v>
      </c>
      <c r="BS3214">
        <v>30</v>
      </c>
      <c r="BW3214" t="str">
        <f>""</f>
        <v/>
      </c>
      <c r="CH3214" t="str">
        <f>""</f>
        <v/>
      </c>
      <c r="CS3214" t="str">
        <f>""</f>
        <v/>
      </c>
    </row>
    <row r="3215" spans="1:97" x14ac:dyDescent="0.25">
      <c r="A3215" t="s">
        <v>1850</v>
      </c>
      <c r="B3215" t="s">
        <v>20902</v>
      </c>
      <c r="C3215" t="s">
        <v>970</v>
      </c>
      <c r="D3215" t="s">
        <v>20903</v>
      </c>
      <c r="E3215" t="s">
        <v>20904</v>
      </c>
      <c r="F3215" t="s">
        <v>108</v>
      </c>
      <c r="H3215" t="s">
        <v>20905</v>
      </c>
      <c r="I3215" t="s">
        <v>110</v>
      </c>
      <c r="J3215" t="s">
        <v>111</v>
      </c>
      <c r="K3215" t="str">
        <f>"85224"</f>
        <v>85224</v>
      </c>
      <c r="L3215" t="s">
        <v>926</v>
      </c>
      <c r="M3215" t="s">
        <v>20905</v>
      </c>
      <c r="N3215" t="s">
        <v>110</v>
      </c>
      <c r="O3215" t="s">
        <v>111</v>
      </c>
      <c r="P3215" t="str">
        <f>"85224-1378"</f>
        <v>85224-1378</v>
      </c>
      <c r="Q3215" t="s">
        <v>113</v>
      </c>
      <c r="R3215" t="str">
        <f>"302-07-067"</f>
        <v>302-07-067</v>
      </c>
      <c r="S3215" t="s">
        <v>20906</v>
      </c>
      <c r="T3215" t="s">
        <v>20907</v>
      </c>
      <c r="U3215">
        <v>1355</v>
      </c>
      <c r="V3215">
        <v>0</v>
      </c>
      <c r="W3215">
        <v>2</v>
      </c>
      <c r="X3215">
        <v>1982</v>
      </c>
      <c r="Z3215">
        <v>1</v>
      </c>
      <c r="AB3215">
        <v>0</v>
      </c>
      <c r="AC3215" t="s">
        <v>115</v>
      </c>
      <c r="AD3215">
        <v>2</v>
      </c>
      <c r="AE3215" t="s">
        <v>115</v>
      </c>
      <c r="AF3215">
        <v>0</v>
      </c>
      <c r="AG3215">
        <v>0</v>
      </c>
      <c r="AH3215" t="s">
        <v>116</v>
      </c>
      <c r="AI3215" s="1">
        <v>59707</v>
      </c>
      <c r="AJ3215" s="2">
        <v>0.23</v>
      </c>
      <c r="AK3215" s="1">
        <v>262985</v>
      </c>
      <c r="AL3215" t="s">
        <v>117</v>
      </c>
      <c r="AM3215" t="s">
        <v>5077</v>
      </c>
      <c r="AN3215">
        <v>7497</v>
      </c>
      <c r="AO3215">
        <v>0.17</v>
      </c>
      <c r="AP3215">
        <v>1</v>
      </c>
      <c r="AR3215">
        <v>1</v>
      </c>
      <c r="AS3215" s="1">
        <v>17710</v>
      </c>
      <c r="AT3215" s="1">
        <v>3540</v>
      </c>
      <c r="AU3215" s="1">
        <v>14170</v>
      </c>
      <c r="AV3215">
        <v>80.010000000000005</v>
      </c>
      <c r="AX3215" s="1">
        <v>1140.98</v>
      </c>
      <c r="AY3215" t="s">
        <v>5310</v>
      </c>
      <c r="AZ3215" t="s">
        <v>5310</v>
      </c>
      <c r="BA3215" t="s">
        <v>5311</v>
      </c>
      <c r="BE3215" s="3">
        <v>42209</v>
      </c>
      <c r="BF3215" s="1">
        <v>199000</v>
      </c>
      <c r="BG3215" t="s">
        <v>20908</v>
      </c>
      <c r="BH3215" s="1">
        <v>146.86000000000001</v>
      </c>
      <c r="BI3215" s="1">
        <v>203278</v>
      </c>
      <c r="BJ3215" s="3">
        <v>42209</v>
      </c>
      <c r="BK3215" t="s">
        <v>123</v>
      </c>
      <c r="BL3215" t="str">
        <f>"2015.535372"</f>
        <v>2015.535372</v>
      </c>
      <c r="BM3215" t="s">
        <v>1544</v>
      </c>
      <c r="BO3215" t="s">
        <v>20909</v>
      </c>
      <c r="BP3215" t="s">
        <v>20910</v>
      </c>
      <c r="BS3215">
        <v>30</v>
      </c>
      <c r="BW3215" t="str">
        <f>""</f>
        <v/>
      </c>
      <c r="CH3215" t="str">
        <f>""</f>
        <v/>
      </c>
      <c r="CS3215" t="str">
        <f>""</f>
        <v/>
      </c>
    </row>
    <row r="3216" spans="1:97" x14ac:dyDescent="0.25">
      <c r="A3216" t="s">
        <v>3377</v>
      </c>
      <c r="B3216" t="s">
        <v>8858</v>
      </c>
      <c r="C3216" t="s">
        <v>20911</v>
      </c>
      <c r="D3216" t="s">
        <v>8858</v>
      </c>
      <c r="E3216" t="s">
        <v>20912</v>
      </c>
      <c r="F3216" t="s">
        <v>108</v>
      </c>
      <c r="H3216" t="s">
        <v>20913</v>
      </c>
      <c r="I3216" t="s">
        <v>499</v>
      </c>
      <c r="J3216" t="s">
        <v>111</v>
      </c>
      <c r="K3216" t="str">
        <f>"85395"</f>
        <v>85395</v>
      </c>
      <c r="L3216" t="s">
        <v>541</v>
      </c>
      <c r="M3216" t="s">
        <v>20913</v>
      </c>
      <c r="N3216" t="s">
        <v>499</v>
      </c>
      <c r="O3216" t="s">
        <v>111</v>
      </c>
      <c r="P3216" t="str">
        <f>"85395-7101"</f>
        <v>85395-7101</v>
      </c>
      <c r="Q3216" t="s">
        <v>113</v>
      </c>
      <c r="R3216" t="str">
        <f>"508-14-872"</f>
        <v>508-14-872</v>
      </c>
      <c r="S3216" t="s">
        <v>7193</v>
      </c>
      <c r="T3216" t="s">
        <v>3018</v>
      </c>
      <c r="U3216">
        <v>3200</v>
      </c>
      <c r="V3216">
        <v>0</v>
      </c>
      <c r="W3216">
        <v>5</v>
      </c>
      <c r="X3216">
        <v>2014</v>
      </c>
      <c r="Z3216">
        <v>1</v>
      </c>
      <c r="AB3216">
        <v>0</v>
      </c>
      <c r="AC3216" t="s">
        <v>115</v>
      </c>
      <c r="AD3216">
        <v>3</v>
      </c>
      <c r="AE3216" t="s">
        <v>115</v>
      </c>
      <c r="AF3216">
        <v>0</v>
      </c>
      <c r="AG3216">
        <v>0</v>
      </c>
      <c r="AH3216" t="s">
        <v>116</v>
      </c>
      <c r="AI3216" s="1">
        <v>113107</v>
      </c>
      <c r="AJ3216" s="2">
        <v>0.25</v>
      </c>
      <c r="AK3216" s="1">
        <v>450023</v>
      </c>
      <c r="AL3216" t="s">
        <v>117</v>
      </c>
      <c r="AM3216" t="s">
        <v>118</v>
      </c>
      <c r="AN3216">
        <v>10068</v>
      </c>
      <c r="AO3216">
        <v>0.23</v>
      </c>
      <c r="AR3216">
        <v>1</v>
      </c>
      <c r="AS3216" s="1">
        <v>32880</v>
      </c>
      <c r="AT3216" s="1">
        <v>6570</v>
      </c>
      <c r="AU3216" s="1">
        <v>26310</v>
      </c>
      <c r="AV3216">
        <v>80.02</v>
      </c>
      <c r="AX3216" s="1">
        <v>3204.72</v>
      </c>
      <c r="AY3216" t="s">
        <v>3019</v>
      </c>
      <c r="AZ3216" t="s">
        <v>3020</v>
      </c>
      <c r="BA3216" t="s">
        <v>218</v>
      </c>
      <c r="BE3216" s="3">
        <v>42104</v>
      </c>
      <c r="BF3216" s="1">
        <v>338916</v>
      </c>
      <c r="BG3216" t="s">
        <v>459</v>
      </c>
      <c r="BH3216" s="1">
        <v>105.91</v>
      </c>
      <c r="BI3216" s="1">
        <v>286916</v>
      </c>
      <c r="BJ3216" s="3">
        <v>42104</v>
      </c>
      <c r="BK3216" t="s">
        <v>123</v>
      </c>
      <c r="BL3216" t="str">
        <f>"2015.246719"</f>
        <v>2015.246719</v>
      </c>
      <c r="BM3216" t="s">
        <v>1866</v>
      </c>
      <c r="BN3216" t="s">
        <v>1867</v>
      </c>
      <c r="BO3216" t="s">
        <v>20914</v>
      </c>
      <c r="BS3216">
        <v>30</v>
      </c>
      <c r="BT3216" s="1">
        <v>50000</v>
      </c>
      <c r="BU3216" s="3">
        <v>43473</v>
      </c>
      <c r="BW3216" t="str">
        <f>"2019.11939"</f>
        <v>2019.11939</v>
      </c>
      <c r="BX3216" t="s">
        <v>1214</v>
      </c>
      <c r="BY3216" t="s">
        <v>1215</v>
      </c>
      <c r="BZ3216" t="s">
        <v>20915</v>
      </c>
      <c r="CA3216" t="s">
        <v>20916</v>
      </c>
      <c r="CC3216" t="s">
        <v>346</v>
      </c>
      <c r="CH3216" t="str">
        <f>""</f>
        <v/>
      </c>
      <c r="CS3216" t="str">
        <f>""</f>
        <v/>
      </c>
    </row>
    <row r="3217" spans="1:97" x14ac:dyDescent="0.25">
      <c r="A3217" t="s">
        <v>894</v>
      </c>
      <c r="B3217" t="s">
        <v>20917</v>
      </c>
      <c r="C3217" t="s">
        <v>20918</v>
      </c>
      <c r="D3217" t="s">
        <v>20917</v>
      </c>
      <c r="E3217" t="s">
        <v>20919</v>
      </c>
      <c r="F3217" t="s">
        <v>108</v>
      </c>
      <c r="H3217" t="s">
        <v>20920</v>
      </c>
      <c r="I3217" t="s">
        <v>390</v>
      </c>
      <c r="J3217" t="s">
        <v>111</v>
      </c>
      <c r="K3217" t="str">
        <f>"85041"</f>
        <v>85041</v>
      </c>
      <c r="L3217" t="s">
        <v>375</v>
      </c>
      <c r="M3217" t="s">
        <v>20920</v>
      </c>
      <c r="N3217" t="s">
        <v>390</v>
      </c>
      <c r="O3217" t="s">
        <v>111</v>
      </c>
      <c r="P3217" t="str">
        <f>"85041-7746"</f>
        <v>85041-7746</v>
      </c>
      <c r="Q3217" t="s">
        <v>113</v>
      </c>
      <c r="R3217" t="str">
        <f>"300-17-683"</f>
        <v>300-17-683</v>
      </c>
      <c r="S3217" t="s">
        <v>11150</v>
      </c>
      <c r="T3217" t="s">
        <v>7014</v>
      </c>
      <c r="U3217">
        <v>2522</v>
      </c>
      <c r="V3217">
        <v>0</v>
      </c>
      <c r="W3217">
        <v>3</v>
      </c>
      <c r="X3217">
        <v>2015</v>
      </c>
      <c r="Z3217">
        <v>1</v>
      </c>
      <c r="AB3217">
        <v>0</v>
      </c>
      <c r="AC3217" t="s">
        <v>115</v>
      </c>
      <c r="AD3217">
        <v>3</v>
      </c>
      <c r="AE3217" t="s">
        <v>115</v>
      </c>
      <c r="AF3217">
        <v>0</v>
      </c>
      <c r="AG3217">
        <v>0</v>
      </c>
      <c r="AH3217" t="s">
        <v>116</v>
      </c>
      <c r="AI3217" s="1">
        <v>53852</v>
      </c>
      <c r="AJ3217" s="2">
        <v>0.17</v>
      </c>
      <c r="AK3217" s="1">
        <v>313184</v>
      </c>
      <c r="AL3217" t="s">
        <v>117</v>
      </c>
      <c r="AM3217" t="s">
        <v>760</v>
      </c>
      <c r="AN3217">
        <v>7632</v>
      </c>
      <c r="AO3217">
        <v>0.18</v>
      </c>
      <c r="AR3217">
        <v>1</v>
      </c>
      <c r="AS3217" s="1">
        <v>23420</v>
      </c>
      <c r="AT3217" s="1">
        <v>4680</v>
      </c>
      <c r="AU3217" s="1">
        <v>18740</v>
      </c>
      <c r="AV3217">
        <v>80.02</v>
      </c>
      <c r="AX3217" s="1">
        <v>3207.8</v>
      </c>
      <c r="AY3217" t="s">
        <v>7015</v>
      </c>
      <c r="AZ3217" t="s">
        <v>7015</v>
      </c>
      <c r="BA3217" t="s">
        <v>1661</v>
      </c>
      <c r="BB3217" s="3">
        <v>42653</v>
      </c>
      <c r="BD3217" t="s">
        <v>240</v>
      </c>
      <c r="BE3217" s="3">
        <v>42153</v>
      </c>
      <c r="BF3217" s="1">
        <v>262359</v>
      </c>
      <c r="BG3217" t="s">
        <v>2289</v>
      </c>
      <c r="BH3217" s="1">
        <v>104.03</v>
      </c>
      <c r="BI3217" s="1">
        <v>259332</v>
      </c>
      <c r="BJ3217" s="3">
        <v>43053</v>
      </c>
      <c r="BK3217" t="s">
        <v>123</v>
      </c>
      <c r="BL3217" t="str">
        <f>"2017.843935"</f>
        <v>2017.843935</v>
      </c>
      <c r="BM3217" t="s">
        <v>666</v>
      </c>
      <c r="BO3217" t="s">
        <v>20921</v>
      </c>
      <c r="BS3217">
        <v>30</v>
      </c>
      <c r="BW3217" t="str">
        <f>""</f>
        <v/>
      </c>
      <c r="CH3217" t="str">
        <f>""</f>
        <v/>
      </c>
      <c r="CS3217" t="str">
        <f>""</f>
        <v/>
      </c>
    </row>
    <row r="3218" spans="1:97" x14ac:dyDescent="0.25">
      <c r="A3218" t="s">
        <v>370</v>
      </c>
      <c r="B3218" t="s">
        <v>20922</v>
      </c>
      <c r="E3218" t="s">
        <v>20923</v>
      </c>
      <c r="F3218" t="s">
        <v>108</v>
      </c>
      <c r="H3218" t="s">
        <v>20924</v>
      </c>
      <c r="I3218" t="s">
        <v>390</v>
      </c>
      <c r="J3218" t="s">
        <v>111</v>
      </c>
      <c r="K3218" t="str">
        <f>"85041"</f>
        <v>85041</v>
      </c>
      <c r="L3218" t="s">
        <v>6891</v>
      </c>
      <c r="M3218" t="s">
        <v>20924</v>
      </c>
      <c r="N3218" t="s">
        <v>390</v>
      </c>
      <c r="O3218" t="s">
        <v>111</v>
      </c>
      <c r="P3218" t="str">
        <f>"85041-6210"</f>
        <v>85041-6210</v>
      </c>
      <c r="Q3218" t="s">
        <v>113</v>
      </c>
      <c r="R3218" t="str">
        <f>"105-88-891"</f>
        <v>105-88-891</v>
      </c>
      <c r="S3218" t="s">
        <v>16123</v>
      </c>
      <c r="T3218" t="s">
        <v>15660</v>
      </c>
      <c r="U3218">
        <v>2275</v>
      </c>
      <c r="V3218">
        <v>0</v>
      </c>
      <c r="W3218">
        <v>3</v>
      </c>
      <c r="X3218">
        <v>2007</v>
      </c>
      <c r="Z3218">
        <v>1</v>
      </c>
      <c r="AB3218">
        <v>0</v>
      </c>
      <c r="AC3218" t="s">
        <v>115</v>
      </c>
      <c r="AD3218">
        <v>3</v>
      </c>
      <c r="AE3218" t="s">
        <v>115</v>
      </c>
      <c r="AF3218">
        <v>0</v>
      </c>
      <c r="AG3218">
        <v>0</v>
      </c>
      <c r="AH3218" t="s">
        <v>116</v>
      </c>
      <c r="AI3218" s="1">
        <v>44497</v>
      </c>
      <c r="AJ3218" s="2">
        <v>0.18</v>
      </c>
      <c r="AK3218" s="1">
        <v>251861</v>
      </c>
      <c r="AL3218" t="s">
        <v>117</v>
      </c>
      <c r="AM3218" t="s">
        <v>760</v>
      </c>
      <c r="AN3218">
        <v>6915</v>
      </c>
      <c r="AO3218">
        <v>0.16</v>
      </c>
      <c r="AR3218">
        <v>1</v>
      </c>
      <c r="AS3218" s="1">
        <v>19280</v>
      </c>
      <c r="AT3218" s="1">
        <v>3850</v>
      </c>
      <c r="AU3218" s="1">
        <v>15430</v>
      </c>
      <c r="AV3218">
        <v>80.03</v>
      </c>
      <c r="AX3218" s="1">
        <v>1983.66</v>
      </c>
      <c r="AY3218" t="s">
        <v>5220</v>
      </c>
      <c r="AZ3218" t="s">
        <v>5220</v>
      </c>
      <c r="BA3218" t="s">
        <v>1661</v>
      </c>
      <c r="BE3218" s="3">
        <v>42551</v>
      </c>
      <c r="BF3218" s="1">
        <v>203000</v>
      </c>
      <c r="BG3218" t="s">
        <v>20925</v>
      </c>
      <c r="BH3218" s="1">
        <v>89.23</v>
      </c>
      <c r="BI3218" s="1">
        <v>207364</v>
      </c>
      <c r="BJ3218" s="3">
        <v>42551</v>
      </c>
      <c r="BK3218" t="s">
        <v>123</v>
      </c>
      <c r="BL3218" t="str">
        <f>"2016.459342"</f>
        <v>2016.459342</v>
      </c>
      <c r="BM3218" t="s">
        <v>1185</v>
      </c>
      <c r="BO3218" t="s">
        <v>20926</v>
      </c>
      <c r="BS3218">
        <v>30</v>
      </c>
      <c r="BW3218" t="str">
        <f>""</f>
        <v/>
      </c>
      <c r="CH3218" t="str">
        <f>""</f>
        <v/>
      </c>
      <c r="CS3218" t="str">
        <f>""</f>
        <v/>
      </c>
    </row>
    <row r="3219" spans="1:97" x14ac:dyDescent="0.25">
      <c r="A3219" t="s">
        <v>1344</v>
      </c>
      <c r="B3219" t="s">
        <v>17861</v>
      </c>
      <c r="C3219" t="s">
        <v>20927</v>
      </c>
      <c r="D3219" t="s">
        <v>17861</v>
      </c>
      <c r="E3219" t="s">
        <v>20928</v>
      </c>
      <c r="F3219" t="s">
        <v>108</v>
      </c>
      <c r="H3219" t="s">
        <v>20929</v>
      </c>
      <c r="I3219" t="s">
        <v>499</v>
      </c>
      <c r="J3219" t="s">
        <v>111</v>
      </c>
      <c r="K3219" t="str">
        <f>"85395"</f>
        <v>85395</v>
      </c>
      <c r="L3219" t="s">
        <v>1312</v>
      </c>
      <c r="M3219" t="s">
        <v>20929</v>
      </c>
      <c r="N3219" t="s">
        <v>499</v>
      </c>
      <c r="O3219" t="s">
        <v>111</v>
      </c>
      <c r="P3219" t="str">
        <f>"85395-2026"</f>
        <v>85395-2026</v>
      </c>
      <c r="Q3219" t="s">
        <v>113</v>
      </c>
      <c r="R3219" t="str">
        <f>"501-76-457"</f>
        <v>501-76-457</v>
      </c>
      <c r="S3219" t="s">
        <v>20930</v>
      </c>
      <c r="T3219" t="s">
        <v>20931</v>
      </c>
      <c r="U3219">
        <v>2293</v>
      </c>
      <c r="V3219">
        <v>0</v>
      </c>
      <c r="W3219">
        <v>3</v>
      </c>
      <c r="X3219">
        <v>2002</v>
      </c>
      <c r="Z3219">
        <v>1</v>
      </c>
      <c r="AB3219">
        <v>0</v>
      </c>
      <c r="AC3219" t="s">
        <v>115</v>
      </c>
      <c r="AD3219">
        <v>3</v>
      </c>
      <c r="AE3219" t="s">
        <v>115</v>
      </c>
      <c r="AF3219">
        <v>0</v>
      </c>
      <c r="AG3219">
        <v>0</v>
      </c>
      <c r="AH3219" t="s">
        <v>116</v>
      </c>
      <c r="AI3219" s="1">
        <v>60709</v>
      </c>
      <c r="AJ3219" s="2">
        <v>0.18</v>
      </c>
      <c r="AK3219" s="1">
        <v>344420</v>
      </c>
      <c r="AL3219" t="s">
        <v>117</v>
      </c>
      <c r="AM3219" t="s">
        <v>118</v>
      </c>
      <c r="AN3219">
        <v>10009</v>
      </c>
      <c r="AO3219">
        <v>0.23</v>
      </c>
      <c r="AP3219">
        <v>1</v>
      </c>
      <c r="AR3219">
        <v>1</v>
      </c>
      <c r="AS3219" s="1">
        <v>23410</v>
      </c>
      <c r="AT3219" s="1">
        <v>4680</v>
      </c>
      <c r="AU3219" s="1">
        <v>18730</v>
      </c>
      <c r="AV3219">
        <v>80.010000000000005</v>
      </c>
      <c r="AX3219" s="1">
        <v>3138.34</v>
      </c>
      <c r="AY3219" t="s">
        <v>3020</v>
      </c>
      <c r="AZ3219" t="s">
        <v>3020</v>
      </c>
      <c r="BA3219" t="s">
        <v>7186</v>
      </c>
      <c r="BE3219" s="3">
        <v>41789</v>
      </c>
      <c r="BF3219" s="1">
        <v>284000</v>
      </c>
      <c r="BG3219" t="s">
        <v>20932</v>
      </c>
      <c r="BH3219" s="1">
        <v>123.86</v>
      </c>
      <c r="BI3219" s="1">
        <v>283711</v>
      </c>
      <c r="BJ3219" s="3">
        <v>42478</v>
      </c>
      <c r="BK3219" t="s">
        <v>123</v>
      </c>
      <c r="BL3219" t="str">
        <f>"2016.256404"</f>
        <v>2016.256404</v>
      </c>
      <c r="BM3219" t="s">
        <v>1325</v>
      </c>
      <c r="BO3219" t="s">
        <v>20933</v>
      </c>
      <c r="BS3219">
        <v>30</v>
      </c>
      <c r="BW3219" t="str">
        <f>""</f>
        <v/>
      </c>
      <c r="CH3219" t="str">
        <f>""</f>
        <v/>
      </c>
      <c r="CS3219" t="str">
        <f>""</f>
        <v/>
      </c>
    </row>
    <row r="3220" spans="1:97" x14ac:dyDescent="0.25">
      <c r="A3220" t="s">
        <v>8500</v>
      </c>
      <c r="B3220" t="s">
        <v>1161</v>
      </c>
      <c r="E3220" t="s">
        <v>20934</v>
      </c>
      <c r="F3220" t="s">
        <v>108</v>
      </c>
      <c r="H3220" t="s">
        <v>20935</v>
      </c>
      <c r="I3220" t="s">
        <v>390</v>
      </c>
      <c r="J3220" t="s">
        <v>111</v>
      </c>
      <c r="K3220" t="str">
        <f>"85008"</f>
        <v>85008</v>
      </c>
      <c r="L3220" t="s">
        <v>8345</v>
      </c>
      <c r="M3220" t="s">
        <v>20935</v>
      </c>
      <c r="N3220" t="s">
        <v>390</v>
      </c>
      <c r="O3220" t="s">
        <v>111</v>
      </c>
      <c r="P3220" t="str">
        <f>"85008-1623"</f>
        <v>85008-1623</v>
      </c>
      <c r="Q3220" t="s">
        <v>113</v>
      </c>
      <c r="R3220" t="str">
        <f>"126-14-016-D"</f>
        <v>126-14-016-D</v>
      </c>
      <c r="S3220" t="s">
        <v>20936</v>
      </c>
      <c r="U3220">
        <v>1514</v>
      </c>
      <c r="V3220">
        <v>0</v>
      </c>
      <c r="W3220">
        <v>2</v>
      </c>
      <c r="X3220">
        <v>1957</v>
      </c>
      <c r="Z3220">
        <v>1</v>
      </c>
      <c r="AB3220">
        <v>0</v>
      </c>
      <c r="AC3220" t="s">
        <v>5188</v>
      </c>
      <c r="AD3220">
        <v>1</v>
      </c>
      <c r="AE3220" t="s">
        <v>5188</v>
      </c>
      <c r="AF3220">
        <v>0</v>
      </c>
      <c r="AG3220">
        <v>0</v>
      </c>
      <c r="AH3220" t="s">
        <v>116</v>
      </c>
      <c r="AI3220" s="1">
        <v>99200</v>
      </c>
      <c r="AJ3220" s="2">
        <v>0.28999999999999998</v>
      </c>
      <c r="AK3220" s="1">
        <v>348038</v>
      </c>
      <c r="AL3220" t="s">
        <v>117</v>
      </c>
      <c r="AM3220" t="s">
        <v>3345</v>
      </c>
      <c r="AN3220">
        <v>12250</v>
      </c>
      <c r="AO3220">
        <v>0.28000000000000003</v>
      </c>
      <c r="AP3220">
        <v>1</v>
      </c>
      <c r="AR3220">
        <v>1</v>
      </c>
      <c r="AS3220" s="1">
        <v>20920</v>
      </c>
      <c r="AT3220" s="1">
        <v>4180</v>
      </c>
      <c r="AU3220" s="1">
        <v>16740</v>
      </c>
      <c r="AV3220">
        <v>80.02</v>
      </c>
      <c r="AX3220" s="1">
        <v>1554.54</v>
      </c>
      <c r="AY3220" t="s">
        <v>16394</v>
      </c>
      <c r="AZ3220" t="s">
        <v>16394</v>
      </c>
      <c r="BA3220" t="s">
        <v>6255</v>
      </c>
      <c r="BE3220" s="3">
        <v>41816</v>
      </c>
      <c r="BF3220" s="1">
        <v>239000</v>
      </c>
      <c r="BG3220" t="s">
        <v>20937</v>
      </c>
      <c r="BH3220" s="1">
        <v>157.86000000000001</v>
      </c>
      <c r="BI3220" s="1">
        <v>248838</v>
      </c>
      <c r="BJ3220" s="3">
        <v>42135</v>
      </c>
      <c r="BK3220" t="s">
        <v>123</v>
      </c>
      <c r="BL3220" t="str">
        <f>"2015.327806"</f>
        <v>2015.327806</v>
      </c>
      <c r="BM3220" t="s">
        <v>248</v>
      </c>
      <c r="BO3220" t="s">
        <v>20938</v>
      </c>
      <c r="BS3220">
        <v>30</v>
      </c>
      <c r="BW3220" t="str">
        <f>""</f>
        <v/>
      </c>
      <c r="CH3220" t="str">
        <f>""</f>
        <v/>
      </c>
      <c r="CS3220" t="str">
        <f>""</f>
        <v/>
      </c>
    </row>
    <row r="3221" spans="1:97" x14ac:dyDescent="0.25">
      <c r="A3221" t="s">
        <v>1344</v>
      </c>
      <c r="B3221" t="s">
        <v>2007</v>
      </c>
      <c r="C3221" t="s">
        <v>767</v>
      </c>
      <c r="D3221" t="s">
        <v>2007</v>
      </c>
      <c r="E3221" t="s">
        <v>20939</v>
      </c>
      <c r="F3221" t="s">
        <v>108</v>
      </c>
      <c r="H3221" t="s">
        <v>20940</v>
      </c>
      <c r="I3221" t="s">
        <v>390</v>
      </c>
      <c r="J3221" t="s">
        <v>111</v>
      </c>
      <c r="K3221" t="str">
        <f>"85044"</f>
        <v>85044</v>
      </c>
      <c r="L3221" t="s">
        <v>2903</v>
      </c>
      <c r="M3221" t="s">
        <v>20940</v>
      </c>
      <c r="N3221" t="s">
        <v>390</v>
      </c>
      <c r="O3221" t="s">
        <v>111</v>
      </c>
      <c r="P3221" t="str">
        <f>"85044-4974"</f>
        <v>85044-4974</v>
      </c>
      <c r="Q3221" t="s">
        <v>113</v>
      </c>
      <c r="R3221" t="str">
        <f>"307-05-417"</f>
        <v>307-05-417</v>
      </c>
      <c r="S3221" t="s">
        <v>20941</v>
      </c>
      <c r="T3221" t="s">
        <v>20941</v>
      </c>
      <c r="U3221">
        <v>1423</v>
      </c>
      <c r="V3221">
        <v>0</v>
      </c>
      <c r="W3221">
        <v>3</v>
      </c>
      <c r="X3221">
        <v>1997</v>
      </c>
      <c r="Z3221">
        <v>1</v>
      </c>
      <c r="AA3221" t="s">
        <v>26</v>
      </c>
      <c r="AB3221">
        <v>0</v>
      </c>
      <c r="AC3221" t="s">
        <v>115</v>
      </c>
      <c r="AD3221">
        <v>2</v>
      </c>
      <c r="AE3221" t="s">
        <v>115</v>
      </c>
      <c r="AF3221">
        <v>0</v>
      </c>
      <c r="AG3221">
        <v>0</v>
      </c>
      <c r="AH3221" t="s">
        <v>116</v>
      </c>
      <c r="AI3221" s="1">
        <v>52522</v>
      </c>
      <c r="AJ3221" s="2">
        <v>0.16</v>
      </c>
      <c r="AK3221" s="1">
        <v>318362</v>
      </c>
      <c r="AL3221" t="s">
        <v>117</v>
      </c>
      <c r="AM3221" t="s">
        <v>191</v>
      </c>
      <c r="AN3221">
        <v>5293</v>
      </c>
      <c r="AO3221">
        <v>0.12</v>
      </c>
      <c r="AP3221">
        <v>1</v>
      </c>
      <c r="AR3221">
        <v>1</v>
      </c>
      <c r="AS3221" s="1">
        <v>21670</v>
      </c>
      <c r="AT3221" s="1">
        <v>4330</v>
      </c>
      <c r="AU3221" s="1">
        <v>17340</v>
      </c>
      <c r="AV3221">
        <v>80.02</v>
      </c>
      <c r="AX3221" s="1">
        <v>1967.46</v>
      </c>
      <c r="AY3221" t="s">
        <v>6633</v>
      </c>
      <c r="AZ3221" t="s">
        <v>929</v>
      </c>
      <c r="BA3221" t="s">
        <v>5328</v>
      </c>
      <c r="BE3221" s="3">
        <v>42186</v>
      </c>
      <c r="BF3221" s="1">
        <v>270000</v>
      </c>
      <c r="BG3221" t="s">
        <v>20942</v>
      </c>
      <c r="BH3221" s="1">
        <v>189.74</v>
      </c>
      <c r="BI3221" s="1">
        <v>265840</v>
      </c>
      <c r="BJ3221" s="3">
        <v>42590</v>
      </c>
      <c r="BK3221" t="s">
        <v>123</v>
      </c>
      <c r="BL3221" t="str">
        <f>"2016.560426"</f>
        <v>2016.560426</v>
      </c>
      <c r="BM3221" t="s">
        <v>699</v>
      </c>
      <c r="BO3221" t="s">
        <v>20943</v>
      </c>
      <c r="BS3221">
        <v>30</v>
      </c>
      <c r="BW3221" t="str">
        <f>""</f>
        <v/>
      </c>
      <c r="CH3221" t="str">
        <f>""</f>
        <v/>
      </c>
      <c r="CS3221" t="str">
        <f>""</f>
        <v/>
      </c>
    </row>
    <row r="3222" spans="1:97" x14ac:dyDescent="0.25">
      <c r="A3222" t="s">
        <v>1876</v>
      </c>
      <c r="B3222" t="s">
        <v>4718</v>
      </c>
      <c r="C3222" t="s">
        <v>8221</v>
      </c>
      <c r="D3222" t="s">
        <v>4718</v>
      </c>
      <c r="E3222" t="s">
        <v>20944</v>
      </c>
      <c r="F3222" t="s">
        <v>108</v>
      </c>
      <c r="H3222" t="s">
        <v>20945</v>
      </c>
      <c r="I3222" t="s">
        <v>188</v>
      </c>
      <c r="J3222" t="s">
        <v>111</v>
      </c>
      <c r="K3222" t="str">
        <f>"85142"</f>
        <v>85142</v>
      </c>
      <c r="L3222" t="s">
        <v>1070</v>
      </c>
      <c r="M3222" t="s">
        <v>20945</v>
      </c>
      <c r="N3222" t="s">
        <v>188</v>
      </c>
      <c r="O3222" t="s">
        <v>111</v>
      </c>
      <c r="P3222" t="str">
        <f>"85142-5045"</f>
        <v>85142-5045</v>
      </c>
      <c r="Q3222" t="s">
        <v>113</v>
      </c>
      <c r="R3222" t="str">
        <f>"314-09-423"</f>
        <v>314-09-423</v>
      </c>
      <c r="S3222" t="s">
        <v>20946</v>
      </c>
      <c r="T3222" t="s">
        <v>1073</v>
      </c>
      <c r="U3222">
        <v>2105</v>
      </c>
      <c r="V3222">
        <v>0</v>
      </c>
      <c r="W3222">
        <v>3</v>
      </c>
      <c r="X3222">
        <v>2013</v>
      </c>
      <c r="Z3222">
        <v>2</v>
      </c>
      <c r="AB3222">
        <v>0</v>
      </c>
      <c r="AC3222" t="s">
        <v>115</v>
      </c>
      <c r="AD3222">
        <v>2</v>
      </c>
      <c r="AE3222" t="s">
        <v>115</v>
      </c>
      <c r="AF3222">
        <v>0</v>
      </c>
      <c r="AG3222">
        <v>0</v>
      </c>
      <c r="AH3222" t="s">
        <v>116</v>
      </c>
      <c r="AI3222" s="1">
        <v>38650</v>
      </c>
      <c r="AJ3222" s="2">
        <v>0.13</v>
      </c>
      <c r="AK3222" s="1">
        <v>298696</v>
      </c>
      <c r="AL3222" t="s">
        <v>117</v>
      </c>
      <c r="AM3222" t="s">
        <v>5379</v>
      </c>
      <c r="AN3222">
        <v>5048</v>
      </c>
      <c r="AO3222">
        <v>0.12</v>
      </c>
      <c r="AR3222">
        <v>1</v>
      </c>
      <c r="AS3222" s="1">
        <v>20360</v>
      </c>
      <c r="AT3222" s="1">
        <v>4070</v>
      </c>
      <c r="AU3222" s="1">
        <v>16290</v>
      </c>
      <c r="AV3222">
        <v>80.010000000000005</v>
      </c>
      <c r="AX3222" s="1">
        <v>2002.98</v>
      </c>
      <c r="AY3222" t="s">
        <v>1074</v>
      </c>
      <c r="AZ3222" t="s">
        <v>193</v>
      </c>
      <c r="BA3222" t="s">
        <v>194</v>
      </c>
      <c r="BE3222" s="3">
        <v>42367</v>
      </c>
      <c r="BF3222" s="1">
        <v>227000</v>
      </c>
      <c r="BG3222" t="s">
        <v>20947</v>
      </c>
      <c r="BH3222" s="1">
        <v>107.84</v>
      </c>
      <c r="BI3222" s="1">
        <v>232160</v>
      </c>
      <c r="BJ3222" s="3">
        <v>42867</v>
      </c>
      <c r="BK3222" t="s">
        <v>123</v>
      </c>
      <c r="BL3222" t="str">
        <f>"2017.344149"</f>
        <v>2017.344149</v>
      </c>
      <c r="BM3222" t="s">
        <v>135</v>
      </c>
      <c r="BN3222" t="s">
        <v>136</v>
      </c>
      <c r="BO3222" t="s">
        <v>20948</v>
      </c>
      <c r="BS3222">
        <v>30</v>
      </c>
      <c r="BT3222" s="1">
        <v>27886</v>
      </c>
      <c r="BU3222" s="3">
        <v>43315</v>
      </c>
      <c r="BW3222" t="str">
        <f>"2018.591801"</f>
        <v>2018.591801</v>
      </c>
      <c r="BX3222" t="s">
        <v>135</v>
      </c>
      <c r="BY3222" t="s">
        <v>136</v>
      </c>
      <c r="BZ3222" t="s">
        <v>20949</v>
      </c>
      <c r="CA3222" t="s">
        <v>20950</v>
      </c>
      <c r="CC3222" t="s">
        <v>346</v>
      </c>
      <c r="CH3222" t="str">
        <f>""</f>
        <v/>
      </c>
      <c r="CS3222" t="str">
        <f>""</f>
        <v/>
      </c>
    </row>
    <row r="3223" spans="1:97" x14ac:dyDescent="0.25">
      <c r="A3223" t="s">
        <v>2915</v>
      </c>
      <c r="B3223" t="s">
        <v>20951</v>
      </c>
      <c r="C3223" t="s">
        <v>7681</v>
      </c>
      <c r="D3223" t="s">
        <v>20951</v>
      </c>
      <c r="E3223" t="s">
        <v>20952</v>
      </c>
      <c r="F3223" t="s">
        <v>108</v>
      </c>
      <c r="H3223" t="s">
        <v>20953</v>
      </c>
      <c r="I3223" t="s">
        <v>110</v>
      </c>
      <c r="J3223" t="s">
        <v>111</v>
      </c>
      <c r="K3223" t="str">
        <f>"85248"</f>
        <v>85248</v>
      </c>
      <c r="L3223" t="s">
        <v>4751</v>
      </c>
      <c r="M3223" t="s">
        <v>20953</v>
      </c>
      <c r="N3223" t="s">
        <v>110</v>
      </c>
      <c r="O3223" t="s">
        <v>111</v>
      </c>
      <c r="P3223" t="str">
        <f>"85248-6364"</f>
        <v>85248-6364</v>
      </c>
      <c r="Q3223" t="s">
        <v>113</v>
      </c>
      <c r="R3223" t="str">
        <f>"303-74-539"</f>
        <v>303-74-539</v>
      </c>
      <c r="S3223" t="s">
        <v>20954</v>
      </c>
      <c r="T3223" t="s">
        <v>20954</v>
      </c>
      <c r="U3223">
        <v>2134</v>
      </c>
      <c r="V3223">
        <v>0</v>
      </c>
      <c r="W3223">
        <v>3</v>
      </c>
      <c r="X3223">
        <v>2001</v>
      </c>
      <c r="Z3223">
        <v>1</v>
      </c>
      <c r="AA3223" t="s">
        <v>26</v>
      </c>
      <c r="AB3223">
        <v>0</v>
      </c>
      <c r="AC3223" t="s">
        <v>115</v>
      </c>
      <c r="AD3223">
        <v>2</v>
      </c>
      <c r="AE3223" t="s">
        <v>115</v>
      </c>
      <c r="AF3223">
        <v>0</v>
      </c>
      <c r="AG3223">
        <v>0</v>
      </c>
      <c r="AH3223" t="s">
        <v>116</v>
      </c>
      <c r="AI3223" s="1">
        <v>114232</v>
      </c>
      <c r="AJ3223" s="2">
        <v>0.28999999999999998</v>
      </c>
      <c r="AK3223" s="1">
        <v>387770</v>
      </c>
      <c r="AL3223" t="s">
        <v>117</v>
      </c>
      <c r="AM3223" t="s">
        <v>118</v>
      </c>
      <c r="AN3223">
        <v>10365</v>
      </c>
      <c r="AO3223">
        <v>0.24</v>
      </c>
      <c r="AP3223">
        <v>1</v>
      </c>
      <c r="AR3223">
        <v>1</v>
      </c>
      <c r="AS3223" s="1">
        <v>27560</v>
      </c>
      <c r="AT3223" s="1">
        <v>5510</v>
      </c>
      <c r="AU3223" s="1">
        <v>22050</v>
      </c>
      <c r="AV3223">
        <v>80.010000000000005</v>
      </c>
      <c r="AX3223" s="1">
        <v>2115.64</v>
      </c>
      <c r="AY3223" t="s">
        <v>1881</v>
      </c>
      <c r="AZ3223" t="s">
        <v>1882</v>
      </c>
      <c r="BA3223" t="s">
        <v>121</v>
      </c>
      <c r="BE3223" s="3">
        <v>42398</v>
      </c>
      <c r="BF3223" s="1">
        <v>316000</v>
      </c>
      <c r="BG3223" t="s">
        <v>20955</v>
      </c>
      <c r="BH3223" s="1">
        <v>148.08000000000001</v>
      </c>
      <c r="BI3223" s="1">
        <v>273538</v>
      </c>
      <c r="BJ3223" s="3">
        <v>43497</v>
      </c>
      <c r="BK3223" t="s">
        <v>123</v>
      </c>
      <c r="BL3223" t="str">
        <f>"2019.72124"</f>
        <v>2019.72124</v>
      </c>
      <c r="BM3223" t="s">
        <v>2926</v>
      </c>
      <c r="BN3223" t="s">
        <v>545</v>
      </c>
      <c r="BO3223" t="s">
        <v>20956</v>
      </c>
      <c r="BP3223" t="s">
        <v>20957</v>
      </c>
      <c r="BR3223" t="s">
        <v>139</v>
      </c>
      <c r="BW3223" t="str">
        <f>""</f>
        <v/>
      </c>
      <c r="CH3223" t="str">
        <f>""</f>
        <v/>
      </c>
      <c r="CS3223" t="str">
        <f>""</f>
        <v/>
      </c>
    </row>
    <row r="3224" spans="1:97" x14ac:dyDescent="0.25">
      <c r="A3224" t="s">
        <v>20958</v>
      </c>
      <c r="B3224" t="s">
        <v>603</v>
      </c>
      <c r="C3224" t="s">
        <v>20959</v>
      </c>
      <c r="D3224" t="s">
        <v>14586</v>
      </c>
      <c r="E3224" t="s">
        <v>20960</v>
      </c>
      <c r="F3224" t="s">
        <v>108</v>
      </c>
      <c r="H3224" t="s">
        <v>20961</v>
      </c>
      <c r="I3224" t="s">
        <v>167</v>
      </c>
      <c r="J3224" t="s">
        <v>111</v>
      </c>
      <c r="K3224" t="str">
        <f>"85339"</f>
        <v>85339</v>
      </c>
      <c r="L3224" t="s">
        <v>5367</v>
      </c>
      <c r="M3224" t="s">
        <v>20961</v>
      </c>
      <c r="N3224" t="s">
        <v>167</v>
      </c>
      <c r="O3224" t="s">
        <v>111</v>
      </c>
      <c r="P3224" t="str">
        <f>"85339-2624"</f>
        <v>85339-2624</v>
      </c>
      <c r="Q3224" t="s">
        <v>113</v>
      </c>
      <c r="R3224" t="str">
        <f>"104-84-091"</f>
        <v>104-84-091</v>
      </c>
      <c r="S3224" t="s">
        <v>20962</v>
      </c>
      <c r="T3224" t="s">
        <v>20963</v>
      </c>
      <c r="U3224">
        <v>1720</v>
      </c>
      <c r="V3224">
        <v>0</v>
      </c>
      <c r="W3224">
        <v>3</v>
      </c>
      <c r="X3224">
        <v>2006</v>
      </c>
      <c r="Z3224">
        <v>1</v>
      </c>
      <c r="AB3224">
        <v>0</v>
      </c>
      <c r="AC3224" t="s">
        <v>115</v>
      </c>
      <c r="AD3224">
        <v>3</v>
      </c>
      <c r="AE3224" t="s">
        <v>115</v>
      </c>
      <c r="AF3224">
        <v>0</v>
      </c>
      <c r="AG3224">
        <v>0</v>
      </c>
      <c r="AH3224" t="s">
        <v>116</v>
      </c>
      <c r="AI3224" s="1">
        <v>414</v>
      </c>
      <c r="AJ3224" s="2">
        <v>0</v>
      </c>
      <c r="AK3224" s="1">
        <v>240414</v>
      </c>
      <c r="AL3224" t="s">
        <v>117</v>
      </c>
      <c r="AM3224" t="s">
        <v>171</v>
      </c>
      <c r="AN3224">
        <v>7139</v>
      </c>
      <c r="AO3224">
        <v>0.16</v>
      </c>
      <c r="AR3224">
        <v>1</v>
      </c>
      <c r="AS3224" s="1">
        <v>16220</v>
      </c>
      <c r="AT3224" s="1">
        <v>3240</v>
      </c>
      <c r="AU3224" s="1">
        <v>12980</v>
      </c>
      <c r="AV3224">
        <v>80.02</v>
      </c>
      <c r="AX3224" s="1">
        <v>1812.08</v>
      </c>
      <c r="AY3224" t="s">
        <v>172</v>
      </c>
      <c r="AZ3224" t="s">
        <v>172</v>
      </c>
      <c r="BA3224" t="s">
        <v>173</v>
      </c>
      <c r="BB3224" s="3">
        <v>43630</v>
      </c>
      <c r="BC3224" s="1">
        <v>0</v>
      </c>
      <c r="BD3224" t="s">
        <v>291</v>
      </c>
      <c r="BE3224" s="3">
        <v>42447</v>
      </c>
      <c r="BF3224" s="1">
        <v>185000</v>
      </c>
      <c r="BG3224" t="s">
        <v>20964</v>
      </c>
      <c r="BH3224" s="1">
        <v>107.56</v>
      </c>
      <c r="BI3224" s="1">
        <v>240000</v>
      </c>
      <c r="BJ3224" s="3">
        <v>43630</v>
      </c>
      <c r="BK3224" t="s">
        <v>123</v>
      </c>
      <c r="BL3224" t="str">
        <f>"2019.446647"</f>
        <v>2019.446647</v>
      </c>
      <c r="BM3224" t="s">
        <v>135</v>
      </c>
      <c r="BN3224" t="s">
        <v>136</v>
      </c>
      <c r="BO3224" t="s">
        <v>20965</v>
      </c>
      <c r="BP3224" t="s">
        <v>20966</v>
      </c>
      <c r="BR3224" t="s">
        <v>139</v>
      </c>
      <c r="BW3224" t="str">
        <f>""</f>
        <v/>
      </c>
      <c r="CH3224" t="str">
        <f>""</f>
        <v/>
      </c>
      <c r="CS3224" t="str">
        <f>""</f>
        <v/>
      </c>
    </row>
    <row r="3225" spans="1:97" x14ac:dyDescent="0.25">
      <c r="A3225" t="s">
        <v>1009</v>
      </c>
      <c r="B3225" t="s">
        <v>832</v>
      </c>
      <c r="C3225" t="s">
        <v>20967</v>
      </c>
      <c r="D3225" t="s">
        <v>832</v>
      </c>
      <c r="E3225" t="s">
        <v>20968</v>
      </c>
      <c r="F3225" t="s">
        <v>108</v>
      </c>
      <c r="H3225" t="s">
        <v>20969</v>
      </c>
      <c r="I3225" t="s">
        <v>453</v>
      </c>
      <c r="J3225" t="s">
        <v>111</v>
      </c>
      <c r="K3225" t="str">
        <f>"85382"</f>
        <v>85382</v>
      </c>
      <c r="L3225" t="s">
        <v>6308</v>
      </c>
      <c r="M3225" t="s">
        <v>20969</v>
      </c>
      <c r="N3225" t="s">
        <v>453</v>
      </c>
      <c r="O3225" t="s">
        <v>111</v>
      </c>
      <c r="P3225" t="str">
        <f>"85382-8340"</f>
        <v>85382-8340</v>
      </c>
      <c r="Q3225" t="s">
        <v>113</v>
      </c>
      <c r="R3225" t="str">
        <f>"200-15-753"</f>
        <v>200-15-753</v>
      </c>
      <c r="S3225" t="s">
        <v>11618</v>
      </c>
      <c r="T3225" t="s">
        <v>11618</v>
      </c>
      <c r="U3225">
        <v>3086</v>
      </c>
      <c r="V3225">
        <v>0</v>
      </c>
      <c r="W3225">
        <v>4</v>
      </c>
      <c r="X3225">
        <v>1999</v>
      </c>
      <c r="Z3225">
        <v>2</v>
      </c>
      <c r="AA3225" t="s">
        <v>26</v>
      </c>
      <c r="AB3225">
        <v>0</v>
      </c>
      <c r="AC3225" t="s">
        <v>115</v>
      </c>
      <c r="AD3225">
        <v>3</v>
      </c>
      <c r="AE3225" t="s">
        <v>115</v>
      </c>
      <c r="AF3225">
        <v>0</v>
      </c>
      <c r="AG3225">
        <v>0</v>
      </c>
      <c r="AH3225" t="s">
        <v>116</v>
      </c>
      <c r="AI3225" s="1">
        <v>74337</v>
      </c>
      <c r="AJ3225" s="2">
        <v>0.19</v>
      </c>
      <c r="AK3225" s="1">
        <v>389337</v>
      </c>
      <c r="AL3225" t="s">
        <v>117</v>
      </c>
      <c r="AM3225" t="s">
        <v>118</v>
      </c>
      <c r="AN3225">
        <v>7150</v>
      </c>
      <c r="AO3225">
        <v>0.16</v>
      </c>
      <c r="AP3225">
        <v>1</v>
      </c>
      <c r="AR3225">
        <v>1</v>
      </c>
      <c r="AS3225" s="1">
        <v>28430</v>
      </c>
      <c r="AT3225" s="1">
        <v>5680</v>
      </c>
      <c r="AU3225" s="1">
        <v>22750</v>
      </c>
      <c r="AV3225">
        <v>80.02</v>
      </c>
      <c r="AX3225" s="1">
        <v>2767.14</v>
      </c>
      <c r="AY3225" t="s">
        <v>6311</v>
      </c>
      <c r="AZ3225" t="s">
        <v>6311</v>
      </c>
      <c r="BA3225" t="s">
        <v>4219</v>
      </c>
      <c r="BE3225" s="3">
        <v>42185</v>
      </c>
      <c r="BF3225" s="1">
        <v>315000</v>
      </c>
      <c r="BG3225" t="s">
        <v>20970</v>
      </c>
      <c r="BH3225" s="1">
        <v>102.07</v>
      </c>
      <c r="BI3225" s="1">
        <v>315000</v>
      </c>
      <c r="BJ3225" s="3">
        <v>42185</v>
      </c>
      <c r="BK3225" t="s">
        <v>123</v>
      </c>
      <c r="BL3225" t="str">
        <f>"2015.468727"</f>
        <v>2015.468727</v>
      </c>
      <c r="BM3225" t="s">
        <v>135</v>
      </c>
      <c r="BO3225" t="s">
        <v>20971</v>
      </c>
      <c r="BS3225">
        <v>30</v>
      </c>
      <c r="BW3225" t="str">
        <f>""</f>
        <v/>
      </c>
      <c r="CH3225" t="str">
        <f>""</f>
        <v/>
      </c>
      <c r="CS3225" t="str">
        <f>""</f>
        <v/>
      </c>
    </row>
    <row r="3226" spans="1:97" x14ac:dyDescent="0.25">
      <c r="A3226" t="s">
        <v>555</v>
      </c>
      <c r="B3226" t="s">
        <v>20972</v>
      </c>
      <c r="C3226" t="s">
        <v>945</v>
      </c>
      <c r="D3226" t="s">
        <v>4774</v>
      </c>
      <c r="E3226" t="s">
        <v>20973</v>
      </c>
      <c r="F3226" t="s">
        <v>108</v>
      </c>
      <c r="H3226" t="s">
        <v>20974</v>
      </c>
      <c r="I3226" t="s">
        <v>390</v>
      </c>
      <c r="J3226" t="s">
        <v>111</v>
      </c>
      <c r="K3226" t="str">
        <f>"85032"</f>
        <v>85032</v>
      </c>
      <c r="L3226" t="s">
        <v>4003</v>
      </c>
      <c r="M3226" t="s">
        <v>20974</v>
      </c>
      <c r="N3226" t="s">
        <v>390</v>
      </c>
      <c r="O3226" t="s">
        <v>111</v>
      </c>
      <c r="P3226" t="str">
        <f>"85032-5401"</f>
        <v>85032-5401</v>
      </c>
      <c r="Q3226" t="s">
        <v>113</v>
      </c>
      <c r="R3226" t="str">
        <f>"215-91-026"</f>
        <v>215-91-026</v>
      </c>
      <c r="S3226" t="s">
        <v>20975</v>
      </c>
      <c r="T3226" t="s">
        <v>20975</v>
      </c>
      <c r="U3226">
        <v>2502</v>
      </c>
      <c r="V3226">
        <v>0</v>
      </c>
      <c r="W3226">
        <v>2</v>
      </c>
      <c r="X3226">
        <v>1980</v>
      </c>
      <c r="Z3226">
        <v>1</v>
      </c>
      <c r="AA3226" t="s">
        <v>26</v>
      </c>
      <c r="AB3226">
        <v>0</v>
      </c>
      <c r="AC3226" t="s">
        <v>115</v>
      </c>
      <c r="AD3226">
        <v>2</v>
      </c>
      <c r="AE3226" t="s">
        <v>115</v>
      </c>
      <c r="AF3226">
        <v>0</v>
      </c>
      <c r="AG3226">
        <v>0</v>
      </c>
      <c r="AH3226" t="s">
        <v>116</v>
      </c>
      <c r="AI3226" s="1">
        <v>90477</v>
      </c>
      <c r="AJ3226" s="2">
        <v>0.19</v>
      </c>
      <c r="AK3226" s="1">
        <v>471247</v>
      </c>
      <c r="AL3226" t="s">
        <v>117</v>
      </c>
      <c r="AM3226" t="s">
        <v>1302</v>
      </c>
      <c r="AN3226">
        <v>10172</v>
      </c>
      <c r="AO3226">
        <v>0.23</v>
      </c>
      <c r="AP3226">
        <v>1</v>
      </c>
      <c r="AR3226">
        <v>1</v>
      </c>
      <c r="AS3226" s="1">
        <v>34870</v>
      </c>
      <c r="AT3226" s="1">
        <v>6970</v>
      </c>
      <c r="AU3226" s="1">
        <v>27900</v>
      </c>
      <c r="AV3226">
        <v>80.010000000000005</v>
      </c>
      <c r="AX3226" s="1">
        <v>3164.02</v>
      </c>
      <c r="AY3226" t="s">
        <v>5230</v>
      </c>
      <c r="AZ3226" t="s">
        <v>1317</v>
      </c>
      <c r="BA3226" t="s">
        <v>1318</v>
      </c>
      <c r="BB3226" s="3">
        <v>42765</v>
      </c>
      <c r="BD3226" t="s">
        <v>458</v>
      </c>
      <c r="BE3226" s="3">
        <v>42509</v>
      </c>
      <c r="BF3226" s="1">
        <v>350000</v>
      </c>
      <c r="BG3226" t="s">
        <v>20976</v>
      </c>
      <c r="BH3226" s="1">
        <v>139.88999999999999</v>
      </c>
      <c r="BI3226" s="1">
        <v>380770</v>
      </c>
      <c r="BJ3226" s="3">
        <v>43073</v>
      </c>
      <c r="BK3226" t="s">
        <v>123</v>
      </c>
      <c r="BL3226" t="str">
        <f>"2017.896128"</f>
        <v>2017.896128</v>
      </c>
      <c r="BM3226" t="s">
        <v>14513</v>
      </c>
      <c r="BO3226" t="s">
        <v>20977</v>
      </c>
      <c r="BP3226" t="s">
        <v>20978</v>
      </c>
      <c r="BS3226">
        <v>30</v>
      </c>
      <c r="BW3226" t="str">
        <f>""</f>
        <v/>
      </c>
      <c r="CH3226" t="str">
        <f>""</f>
        <v/>
      </c>
      <c r="CS3226" t="str">
        <f>""</f>
        <v/>
      </c>
    </row>
    <row r="3227" spans="1:97" x14ac:dyDescent="0.25">
      <c r="A3227" t="s">
        <v>370</v>
      </c>
      <c r="B3227" t="s">
        <v>20979</v>
      </c>
      <c r="E3227" t="s">
        <v>20980</v>
      </c>
      <c r="F3227" t="s">
        <v>108</v>
      </c>
      <c r="H3227" t="s">
        <v>20981</v>
      </c>
      <c r="I3227" t="s">
        <v>632</v>
      </c>
      <c r="J3227" t="s">
        <v>111</v>
      </c>
      <c r="K3227" t="str">
        <f>"85388"</f>
        <v>85388</v>
      </c>
      <c r="L3227" t="s">
        <v>417</v>
      </c>
      <c r="M3227" t="s">
        <v>20981</v>
      </c>
      <c r="N3227" t="s">
        <v>632</v>
      </c>
      <c r="O3227" t="s">
        <v>111</v>
      </c>
      <c r="P3227" t="str">
        <f>"85388-7851"</f>
        <v>85388-7851</v>
      </c>
      <c r="Q3227" t="s">
        <v>113</v>
      </c>
      <c r="R3227" t="str">
        <f>"502-87-374"</f>
        <v>502-87-374</v>
      </c>
      <c r="S3227" t="s">
        <v>13936</v>
      </c>
      <c r="U3227">
        <v>2435</v>
      </c>
      <c r="V3227">
        <v>0</v>
      </c>
      <c r="W3227">
        <v>5</v>
      </c>
      <c r="X3227">
        <v>2005</v>
      </c>
      <c r="Z3227">
        <v>1</v>
      </c>
      <c r="AA3227" t="s">
        <v>26</v>
      </c>
      <c r="AB3227">
        <v>0</v>
      </c>
      <c r="AC3227" t="s">
        <v>115</v>
      </c>
      <c r="AD3227">
        <v>2</v>
      </c>
      <c r="AE3227" t="s">
        <v>115</v>
      </c>
      <c r="AF3227">
        <v>0</v>
      </c>
      <c r="AG3227">
        <v>0</v>
      </c>
      <c r="AH3227" t="s">
        <v>116</v>
      </c>
      <c r="AI3227" s="1">
        <v>91313</v>
      </c>
      <c r="AJ3227" s="2">
        <v>0.28999999999999998</v>
      </c>
      <c r="AK3227" s="1">
        <v>312978</v>
      </c>
      <c r="AL3227" t="s">
        <v>117</v>
      </c>
      <c r="AM3227" t="s">
        <v>118</v>
      </c>
      <c r="AN3227">
        <v>7661</v>
      </c>
      <c r="AO3227">
        <v>0.18</v>
      </c>
      <c r="AR3227">
        <v>1</v>
      </c>
      <c r="AS3227" s="1">
        <v>22500</v>
      </c>
      <c r="AT3227" s="1">
        <v>4500</v>
      </c>
      <c r="AU3227" s="1">
        <v>18000</v>
      </c>
      <c r="AV3227">
        <v>80</v>
      </c>
      <c r="AX3227" s="1">
        <v>1807.72</v>
      </c>
      <c r="AY3227" t="s">
        <v>6262</v>
      </c>
      <c r="AZ3227" t="s">
        <v>6262</v>
      </c>
      <c r="BA3227" t="s">
        <v>5061</v>
      </c>
      <c r="BE3227" s="3">
        <v>41760</v>
      </c>
      <c r="BF3227" s="1">
        <v>217000</v>
      </c>
      <c r="BG3227" t="s">
        <v>20982</v>
      </c>
      <c r="BH3227" s="1">
        <v>89.12</v>
      </c>
      <c r="BI3227" s="1">
        <v>221665</v>
      </c>
      <c r="BJ3227" s="3">
        <v>41760</v>
      </c>
      <c r="BK3227" t="s">
        <v>123</v>
      </c>
      <c r="BL3227" t="str">
        <f>"2014.285145"</f>
        <v>2014.285145</v>
      </c>
      <c r="BM3227" t="s">
        <v>150</v>
      </c>
      <c r="BO3227" t="s">
        <v>20983</v>
      </c>
      <c r="BS3227">
        <v>30</v>
      </c>
      <c r="BW3227" t="str">
        <f>""</f>
        <v/>
      </c>
      <c r="CH3227" t="str">
        <f>""</f>
        <v/>
      </c>
      <c r="CS3227" t="str">
        <f>""</f>
        <v/>
      </c>
    </row>
    <row r="3228" spans="1:97" x14ac:dyDescent="0.25">
      <c r="A3228" t="s">
        <v>20984</v>
      </c>
      <c r="B3228" t="s">
        <v>3713</v>
      </c>
      <c r="C3228" t="s">
        <v>2002</v>
      </c>
      <c r="D3228" t="s">
        <v>3713</v>
      </c>
      <c r="E3228" t="s">
        <v>20985</v>
      </c>
      <c r="F3228" t="s">
        <v>108</v>
      </c>
      <c r="H3228" t="s">
        <v>20986</v>
      </c>
      <c r="I3228" t="s">
        <v>188</v>
      </c>
      <c r="J3228" t="s">
        <v>111</v>
      </c>
      <c r="K3228" t="str">
        <f>"85142"</f>
        <v>85142</v>
      </c>
      <c r="L3228" t="s">
        <v>8146</v>
      </c>
      <c r="M3228" t="s">
        <v>20986</v>
      </c>
      <c r="N3228" t="s">
        <v>188</v>
      </c>
      <c r="O3228" t="s">
        <v>111</v>
      </c>
      <c r="P3228" t="str">
        <f>"85142-6932"</f>
        <v>85142-6932</v>
      </c>
      <c r="Q3228" t="s">
        <v>113</v>
      </c>
      <c r="R3228" t="str">
        <f>"304-65-796"</f>
        <v>304-65-796</v>
      </c>
      <c r="S3228" t="s">
        <v>14675</v>
      </c>
      <c r="U3228">
        <v>2107</v>
      </c>
      <c r="V3228">
        <v>0</v>
      </c>
      <c r="W3228">
        <v>4</v>
      </c>
      <c r="X3228">
        <v>2003</v>
      </c>
      <c r="Z3228">
        <v>2</v>
      </c>
      <c r="AB3228">
        <v>0</v>
      </c>
      <c r="AC3228" t="s">
        <v>115</v>
      </c>
      <c r="AD3228">
        <v>3</v>
      </c>
      <c r="AE3228" t="s">
        <v>115</v>
      </c>
      <c r="AF3228">
        <v>0</v>
      </c>
      <c r="AG3228">
        <v>0</v>
      </c>
      <c r="AH3228" t="s">
        <v>116</v>
      </c>
      <c r="AI3228" s="1">
        <v>51823</v>
      </c>
      <c r="AJ3228" s="2">
        <v>0.17</v>
      </c>
      <c r="AK3228" s="1">
        <v>302167</v>
      </c>
      <c r="AL3228" t="s">
        <v>117</v>
      </c>
      <c r="AM3228" t="s">
        <v>191</v>
      </c>
      <c r="AN3228">
        <v>6370</v>
      </c>
      <c r="AO3228">
        <v>0.15</v>
      </c>
      <c r="AP3228">
        <v>1</v>
      </c>
      <c r="AR3228">
        <v>1</v>
      </c>
      <c r="AS3228" s="1">
        <v>19600</v>
      </c>
      <c r="AT3228" s="1">
        <v>3920</v>
      </c>
      <c r="AU3228" s="1">
        <v>15680</v>
      </c>
      <c r="AV3228">
        <v>80</v>
      </c>
      <c r="AX3228" s="1">
        <v>1652.84</v>
      </c>
      <c r="AY3228" t="s">
        <v>5895</v>
      </c>
      <c r="AZ3228" t="s">
        <v>561</v>
      </c>
      <c r="BA3228" t="s">
        <v>194</v>
      </c>
      <c r="BE3228" s="3">
        <v>42521</v>
      </c>
      <c r="BF3228" s="1">
        <v>250000</v>
      </c>
      <c r="BG3228" t="s">
        <v>20987</v>
      </c>
      <c r="BH3228" s="1">
        <v>118.65</v>
      </c>
      <c r="BI3228" s="1">
        <v>250344</v>
      </c>
      <c r="BJ3228" s="3">
        <v>42853</v>
      </c>
      <c r="BK3228" t="s">
        <v>123</v>
      </c>
      <c r="BL3228" t="str">
        <f>"2017.307082"</f>
        <v>2017.307082</v>
      </c>
      <c r="BM3228" t="s">
        <v>1185</v>
      </c>
      <c r="BO3228" t="s">
        <v>20988</v>
      </c>
      <c r="BS3228">
        <v>30</v>
      </c>
      <c r="BW3228" t="str">
        <f>""</f>
        <v/>
      </c>
      <c r="CH3228" t="str">
        <f>""</f>
        <v/>
      </c>
      <c r="CS3228" t="str">
        <f>""</f>
        <v/>
      </c>
    </row>
    <row r="3229" spans="1:97" x14ac:dyDescent="0.25">
      <c r="A3229" t="s">
        <v>894</v>
      </c>
      <c r="B3229" t="s">
        <v>16048</v>
      </c>
      <c r="C3229" t="s">
        <v>703</v>
      </c>
      <c r="D3229" t="s">
        <v>16048</v>
      </c>
      <c r="E3229" t="s">
        <v>20989</v>
      </c>
      <c r="F3229" t="s">
        <v>108</v>
      </c>
      <c r="H3229" t="s">
        <v>20990</v>
      </c>
      <c r="I3229" t="s">
        <v>4251</v>
      </c>
      <c r="J3229" t="s">
        <v>111</v>
      </c>
      <c r="K3229" t="str">
        <f>"85353"</f>
        <v>85353</v>
      </c>
      <c r="L3229" t="s">
        <v>3885</v>
      </c>
      <c r="M3229" t="s">
        <v>20990</v>
      </c>
      <c r="N3229" t="s">
        <v>4251</v>
      </c>
      <c r="O3229" t="s">
        <v>111</v>
      </c>
      <c r="P3229" t="str">
        <f>"85353-1228"</f>
        <v>85353-1228</v>
      </c>
      <c r="Q3229" t="s">
        <v>113</v>
      </c>
      <c r="R3229" t="str">
        <f>"101-20-774"</f>
        <v>101-20-774</v>
      </c>
      <c r="S3229" t="s">
        <v>17224</v>
      </c>
      <c r="U3229">
        <v>1785</v>
      </c>
      <c r="V3229">
        <v>0</v>
      </c>
      <c r="W3229">
        <v>2</v>
      </c>
      <c r="X3229">
        <v>2014</v>
      </c>
      <c r="Z3229">
        <v>1</v>
      </c>
      <c r="AB3229">
        <v>0</v>
      </c>
      <c r="AC3229" t="s">
        <v>115</v>
      </c>
      <c r="AD3229">
        <v>2</v>
      </c>
      <c r="AE3229" t="s">
        <v>115</v>
      </c>
      <c r="AF3229">
        <v>0</v>
      </c>
      <c r="AG3229">
        <v>0</v>
      </c>
      <c r="AH3229" t="s">
        <v>116</v>
      </c>
      <c r="AI3229" s="1">
        <v>55432</v>
      </c>
      <c r="AJ3229" s="2">
        <v>0.21</v>
      </c>
      <c r="AK3229" s="1">
        <v>260432</v>
      </c>
      <c r="AL3229" t="s">
        <v>117</v>
      </c>
      <c r="AM3229" t="s">
        <v>191</v>
      </c>
      <c r="AN3229">
        <v>5164</v>
      </c>
      <c r="AO3229">
        <v>0.12</v>
      </c>
      <c r="AR3229">
        <v>1</v>
      </c>
      <c r="AS3229" s="1">
        <v>18320</v>
      </c>
      <c r="AT3229" s="1">
        <v>3660</v>
      </c>
      <c r="AU3229" s="1">
        <v>14660</v>
      </c>
      <c r="AV3229">
        <v>80.02</v>
      </c>
      <c r="AX3229" s="1">
        <v>1910.12</v>
      </c>
      <c r="AY3229" t="s">
        <v>4253</v>
      </c>
      <c r="AZ3229" t="s">
        <v>4253</v>
      </c>
      <c r="BA3229" t="s">
        <v>4254</v>
      </c>
      <c r="BE3229" s="3">
        <v>41922</v>
      </c>
      <c r="BF3229" s="1">
        <v>191494</v>
      </c>
      <c r="BG3229" t="s">
        <v>209</v>
      </c>
      <c r="BH3229" s="1">
        <v>107.28</v>
      </c>
      <c r="BI3229" s="1">
        <v>205000</v>
      </c>
      <c r="BJ3229" s="3">
        <v>43637</v>
      </c>
      <c r="BK3229" t="s">
        <v>123</v>
      </c>
      <c r="BL3229" t="str">
        <f>"2019.465249"</f>
        <v>2019.465249</v>
      </c>
      <c r="BM3229" t="s">
        <v>1370</v>
      </c>
      <c r="BN3229" t="s">
        <v>1371</v>
      </c>
      <c r="BO3229" t="s">
        <v>20991</v>
      </c>
      <c r="BP3229" t="s">
        <v>20992</v>
      </c>
      <c r="BR3229" t="s">
        <v>139</v>
      </c>
      <c r="BW3229" t="str">
        <f>""</f>
        <v/>
      </c>
      <c r="CH3229" t="str">
        <f>""</f>
        <v/>
      </c>
      <c r="CS3229" t="str">
        <f>""</f>
        <v/>
      </c>
    </row>
    <row r="3230" spans="1:97" x14ac:dyDescent="0.25">
      <c r="A3230" t="s">
        <v>13995</v>
      </c>
      <c r="B3230" t="s">
        <v>20993</v>
      </c>
      <c r="C3230" t="s">
        <v>20994</v>
      </c>
      <c r="D3230" t="s">
        <v>20993</v>
      </c>
      <c r="E3230" t="s">
        <v>20995</v>
      </c>
      <c r="F3230" t="s">
        <v>108</v>
      </c>
      <c r="H3230" t="s">
        <v>20996</v>
      </c>
      <c r="I3230" t="s">
        <v>2874</v>
      </c>
      <c r="J3230" t="s">
        <v>111</v>
      </c>
      <c r="K3230" t="str">
        <f>"85303"</f>
        <v>85303</v>
      </c>
      <c r="L3230" t="s">
        <v>7626</v>
      </c>
      <c r="M3230" t="s">
        <v>20996</v>
      </c>
      <c r="N3230" t="s">
        <v>2874</v>
      </c>
      <c r="O3230" t="s">
        <v>111</v>
      </c>
      <c r="P3230" t="str">
        <f>"85303-2540"</f>
        <v>85303-2540</v>
      </c>
      <c r="Q3230" t="s">
        <v>113</v>
      </c>
      <c r="R3230" t="str">
        <f>"143-27-504"</f>
        <v>143-27-504</v>
      </c>
      <c r="S3230" t="s">
        <v>20997</v>
      </c>
      <c r="U3230">
        <v>2467</v>
      </c>
      <c r="V3230">
        <v>0</v>
      </c>
      <c r="W3230">
        <v>3</v>
      </c>
      <c r="X3230">
        <v>2002</v>
      </c>
      <c r="Z3230">
        <v>2</v>
      </c>
      <c r="AB3230">
        <v>0</v>
      </c>
      <c r="AC3230" t="s">
        <v>115</v>
      </c>
      <c r="AD3230">
        <v>2</v>
      </c>
      <c r="AE3230" t="s">
        <v>115</v>
      </c>
      <c r="AF3230">
        <v>0</v>
      </c>
      <c r="AG3230">
        <v>0</v>
      </c>
      <c r="AH3230" t="s">
        <v>116</v>
      </c>
      <c r="AI3230" s="1">
        <v>74218</v>
      </c>
      <c r="AJ3230" s="2">
        <v>0.25</v>
      </c>
      <c r="AK3230" s="1">
        <v>291148</v>
      </c>
      <c r="AL3230" t="s">
        <v>117</v>
      </c>
      <c r="AM3230" t="s">
        <v>191</v>
      </c>
      <c r="AN3230">
        <v>10014</v>
      </c>
      <c r="AO3230">
        <v>0.23</v>
      </c>
      <c r="AP3230">
        <v>1</v>
      </c>
      <c r="AR3230">
        <v>1</v>
      </c>
      <c r="AS3230" s="1">
        <v>19730</v>
      </c>
      <c r="AT3230" s="1">
        <v>3940</v>
      </c>
      <c r="AU3230" s="1">
        <v>15790</v>
      </c>
      <c r="AV3230">
        <v>80.03</v>
      </c>
      <c r="AX3230" s="1">
        <v>1636.14</v>
      </c>
      <c r="AY3230" t="s">
        <v>9469</v>
      </c>
      <c r="AZ3230" t="s">
        <v>9469</v>
      </c>
      <c r="BA3230" t="s">
        <v>2878</v>
      </c>
      <c r="BE3230" s="3">
        <v>42229</v>
      </c>
      <c r="BF3230" s="1">
        <v>210000</v>
      </c>
      <c r="BG3230" t="s">
        <v>20998</v>
      </c>
      <c r="BH3230" s="1">
        <v>85.75</v>
      </c>
      <c r="BI3230" s="1">
        <v>216930</v>
      </c>
      <c r="BJ3230" s="3">
        <v>42229</v>
      </c>
      <c r="BK3230" t="s">
        <v>123</v>
      </c>
      <c r="BL3230" t="str">
        <f>"2015.587665"</f>
        <v>2015.587665</v>
      </c>
      <c r="BM3230" t="s">
        <v>475</v>
      </c>
      <c r="BO3230" t="s">
        <v>20999</v>
      </c>
      <c r="BS3230">
        <v>30</v>
      </c>
      <c r="BW3230" t="str">
        <f>""</f>
        <v/>
      </c>
      <c r="CH3230" t="str">
        <f>""</f>
        <v/>
      </c>
      <c r="CS3230" t="str">
        <f>""</f>
        <v/>
      </c>
    </row>
    <row r="3231" spans="1:97" x14ac:dyDescent="0.25">
      <c r="A3231" t="s">
        <v>4854</v>
      </c>
      <c r="B3231" t="s">
        <v>21000</v>
      </c>
      <c r="E3231" t="s">
        <v>21001</v>
      </c>
      <c r="F3231" t="s">
        <v>108</v>
      </c>
      <c r="H3231" t="s">
        <v>21002</v>
      </c>
      <c r="I3231" t="s">
        <v>203</v>
      </c>
      <c r="J3231" t="s">
        <v>111</v>
      </c>
      <c r="K3231" t="str">
        <f>"85234"</f>
        <v>85234</v>
      </c>
      <c r="L3231" t="s">
        <v>8199</v>
      </c>
      <c r="M3231" t="s">
        <v>21002</v>
      </c>
      <c r="N3231" t="s">
        <v>203</v>
      </c>
      <c r="O3231" t="s">
        <v>111</v>
      </c>
      <c r="P3231" t="str">
        <f>"85234-3531"</f>
        <v>85234-3531</v>
      </c>
      <c r="Q3231" t="s">
        <v>113</v>
      </c>
      <c r="R3231" t="str">
        <f>"304-96-466"</f>
        <v>304-96-466</v>
      </c>
      <c r="S3231" t="s">
        <v>21003</v>
      </c>
      <c r="T3231" t="s">
        <v>21004</v>
      </c>
      <c r="U3231">
        <v>2163</v>
      </c>
      <c r="V3231">
        <v>0</v>
      </c>
      <c r="W3231">
        <v>4</v>
      </c>
      <c r="X3231">
        <v>1986</v>
      </c>
      <c r="Z3231">
        <v>2</v>
      </c>
      <c r="AA3231" t="s">
        <v>26</v>
      </c>
      <c r="AB3231">
        <v>0</v>
      </c>
      <c r="AC3231" t="s">
        <v>115</v>
      </c>
      <c r="AD3231">
        <v>2</v>
      </c>
      <c r="AE3231" t="s">
        <v>115</v>
      </c>
      <c r="AF3231">
        <v>0</v>
      </c>
      <c r="AG3231">
        <v>0</v>
      </c>
      <c r="AH3231" t="s">
        <v>116</v>
      </c>
      <c r="AI3231" s="1">
        <v>97526</v>
      </c>
      <c r="AJ3231" s="2">
        <v>0.28000000000000003</v>
      </c>
      <c r="AK3231" s="1">
        <v>346776</v>
      </c>
      <c r="AL3231" t="s">
        <v>117</v>
      </c>
      <c r="AM3231" t="s">
        <v>393</v>
      </c>
      <c r="AN3231">
        <v>6987</v>
      </c>
      <c r="AO3231">
        <v>0.16</v>
      </c>
      <c r="AP3231">
        <v>1</v>
      </c>
      <c r="AR3231">
        <v>1</v>
      </c>
      <c r="AS3231" s="1">
        <v>23620</v>
      </c>
      <c r="AT3231" s="1">
        <v>4720</v>
      </c>
      <c r="AU3231" s="1">
        <v>18900</v>
      </c>
      <c r="AV3231">
        <v>80.02</v>
      </c>
      <c r="AX3231" s="1">
        <v>1940.56</v>
      </c>
      <c r="AY3231" t="s">
        <v>272</v>
      </c>
      <c r="AZ3231" t="s">
        <v>5478</v>
      </c>
      <c r="BA3231" t="s">
        <v>5033</v>
      </c>
      <c r="BE3231" s="3">
        <v>41837</v>
      </c>
      <c r="BF3231" s="1">
        <v>258500</v>
      </c>
      <c r="BG3231" t="s">
        <v>21005</v>
      </c>
      <c r="BH3231" s="1">
        <v>119.51</v>
      </c>
      <c r="BI3231" s="1">
        <v>249250</v>
      </c>
      <c r="BJ3231" s="3">
        <v>42691</v>
      </c>
      <c r="BK3231" t="s">
        <v>123</v>
      </c>
      <c r="BL3231" t="str">
        <f>"2016.847353"</f>
        <v>2016.847353</v>
      </c>
      <c r="BM3231" t="s">
        <v>361</v>
      </c>
      <c r="BO3231" t="s">
        <v>21006</v>
      </c>
      <c r="BS3231">
        <v>30</v>
      </c>
      <c r="BW3231" t="str">
        <f>""</f>
        <v/>
      </c>
      <c r="CH3231" t="str">
        <f>""</f>
        <v/>
      </c>
      <c r="CS3231" t="str">
        <f>""</f>
        <v/>
      </c>
    </row>
    <row r="3232" spans="1:97" x14ac:dyDescent="0.25">
      <c r="A3232" t="s">
        <v>2729</v>
      </c>
      <c r="B3232" t="s">
        <v>21007</v>
      </c>
      <c r="C3232" t="s">
        <v>970</v>
      </c>
      <c r="D3232" t="s">
        <v>21007</v>
      </c>
      <c r="E3232" t="s">
        <v>21008</v>
      </c>
      <c r="F3232" t="s">
        <v>108</v>
      </c>
      <c r="H3232" t="s">
        <v>21009</v>
      </c>
      <c r="I3232" t="s">
        <v>225</v>
      </c>
      <c r="J3232" t="s">
        <v>111</v>
      </c>
      <c r="K3232" t="str">
        <f>"85206"</f>
        <v>85206</v>
      </c>
      <c r="L3232" t="s">
        <v>1789</v>
      </c>
      <c r="M3232" t="s">
        <v>21009</v>
      </c>
      <c r="N3232" t="s">
        <v>225</v>
      </c>
      <c r="O3232" t="s">
        <v>111</v>
      </c>
      <c r="P3232" t="str">
        <f>"85206-3259"</f>
        <v>85206-3259</v>
      </c>
      <c r="Q3232" t="s">
        <v>113</v>
      </c>
      <c r="R3232" t="str">
        <f>"140-57-093"</f>
        <v>140-57-093</v>
      </c>
      <c r="S3232" t="s">
        <v>20077</v>
      </c>
      <c r="T3232" t="s">
        <v>20078</v>
      </c>
      <c r="U3232">
        <v>1610</v>
      </c>
      <c r="V3232">
        <v>0</v>
      </c>
      <c r="W3232">
        <v>3</v>
      </c>
      <c r="X3232">
        <v>1984</v>
      </c>
      <c r="Z3232">
        <v>1</v>
      </c>
      <c r="AB3232">
        <v>0</v>
      </c>
      <c r="AC3232" t="s">
        <v>115</v>
      </c>
      <c r="AD3232">
        <v>2</v>
      </c>
      <c r="AE3232" t="s">
        <v>115</v>
      </c>
      <c r="AF3232">
        <v>0</v>
      </c>
      <c r="AG3232">
        <v>0</v>
      </c>
      <c r="AH3232" t="s">
        <v>116</v>
      </c>
      <c r="AI3232" s="1">
        <v>37262</v>
      </c>
      <c r="AJ3232" s="2">
        <v>0.14000000000000001</v>
      </c>
      <c r="AK3232" s="1">
        <v>271262</v>
      </c>
      <c r="AL3232" t="s">
        <v>117</v>
      </c>
      <c r="AM3232" t="s">
        <v>393</v>
      </c>
      <c r="AN3232">
        <v>7452</v>
      </c>
      <c r="AO3232">
        <v>0.17</v>
      </c>
      <c r="AP3232">
        <v>1</v>
      </c>
      <c r="AR3232">
        <v>1</v>
      </c>
      <c r="AS3232" s="1">
        <v>18310</v>
      </c>
      <c r="AT3232" s="1">
        <v>3660</v>
      </c>
      <c r="AU3232" s="1">
        <v>14650</v>
      </c>
      <c r="AV3232">
        <v>80.010000000000005</v>
      </c>
      <c r="AX3232" s="1">
        <v>1230.22</v>
      </c>
      <c r="AY3232" t="s">
        <v>9360</v>
      </c>
      <c r="AZ3232" t="s">
        <v>5158</v>
      </c>
      <c r="BA3232" t="s">
        <v>5159</v>
      </c>
      <c r="BE3232" s="3">
        <v>42508</v>
      </c>
      <c r="BF3232" s="1">
        <v>234000</v>
      </c>
      <c r="BG3232" t="s">
        <v>21010</v>
      </c>
      <c r="BH3232" s="1">
        <v>145.34</v>
      </c>
      <c r="BI3232" s="1">
        <v>234000</v>
      </c>
      <c r="BJ3232" s="3">
        <v>42508</v>
      </c>
      <c r="BK3232" t="s">
        <v>123</v>
      </c>
      <c r="BL3232" t="str">
        <f>"2016.342098"</f>
        <v>2016.342098</v>
      </c>
      <c r="BM3232" t="s">
        <v>2683</v>
      </c>
      <c r="BO3232" t="s">
        <v>21011</v>
      </c>
      <c r="BS3232">
        <v>30</v>
      </c>
      <c r="BW3232" t="str">
        <f>""</f>
        <v/>
      </c>
      <c r="CH3232" t="str">
        <f>""</f>
        <v/>
      </c>
      <c r="CS3232" t="str">
        <f>""</f>
        <v/>
      </c>
    </row>
    <row r="3233" spans="1:97" x14ac:dyDescent="0.25">
      <c r="A3233" t="s">
        <v>3403</v>
      </c>
      <c r="B3233" t="s">
        <v>21012</v>
      </c>
      <c r="C3233" t="s">
        <v>21013</v>
      </c>
      <c r="D3233" t="s">
        <v>21012</v>
      </c>
      <c r="E3233" t="s">
        <v>21014</v>
      </c>
      <c r="F3233" t="s">
        <v>108</v>
      </c>
      <c r="H3233" t="s">
        <v>21015</v>
      </c>
      <c r="I3233" t="s">
        <v>5387</v>
      </c>
      <c r="J3233" t="s">
        <v>111</v>
      </c>
      <c r="K3233" t="str">
        <f>"85282"</f>
        <v>85282</v>
      </c>
      <c r="L3233" t="s">
        <v>5606</v>
      </c>
      <c r="M3233" t="s">
        <v>21015</v>
      </c>
      <c r="N3233" t="s">
        <v>5387</v>
      </c>
      <c r="O3233" t="s">
        <v>111</v>
      </c>
      <c r="P3233" t="str">
        <f>"85282-6708"</f>
        <v>85282-6708</v>
      </c>
      <c r="Q3233" t="s">
        <v>113</v>
      </c>
      <c r="R3233" t="str">
        <f>"133-41-082"</f>
        <v>133-41-082</v>
      </c>
      <c r="S3233" t="s">
        <v>21016</v>
      </c>
      <c r="U3233">
        <v>1880</v>
      </c>
      <c r="V3233">
        <v>0</v>
      </c>
      <c r="W3233">
        <v>3</v>
      </c>
      <c r="X3233">
        <v>1964</v>
      </c>
      <c r="Z3233">
        <v>1</v>
      </c>
      <c r="AA3233" t="s">
        <v>26</v>
      </c>
      <c r="AB3233">
        <v>0</v>
      </c>
      <c r="AC3233" t="s">
        <v>115</v>
      </c>
      <c r="AD3233">
        <v>2</v>
      </c>
      <c r="AE3233" t="s">
        <v>115</v>
      </c>
      <c r="AF3233">
        <v>0</v>
      </c>
      <c r="AG3233">
        <v>0</v>
      </c>
      <c r="AH3233" t="s">
        <v>116</v>
      </c>
      <c r="AI3233" s="1">
        <v>55049</v>
      </c>
      <c r="AJ3233" s="2">
        <v>0.16</v>
      </c>
      <c r="AK3233" s="1">
        <v>348216</v>
      </c>
      <c r="AL3233" t="s">
        <v>117</v>
      </c>
      <c r="AM3233" t="s">
        <v>191</v>
      </c>
      <c r="AN3233">
        <v>9635</v>
      </c>
      <c r="AO3233">
        <v>0.22</v>
      </c>
      <c r="AP3233">
        <v>1</v>
      </c>
      <c r="AR3233">
        <v>1</v>
      </c>
      <c r="AS3233" s="1">
        <v>24170</v>
      </c>
      <c r="AT3233" s="1">
        <v>4830</v>
      </c>
      <c r="AU3233" s="1">
        <v>19340</v>
      </c>
      <c r="AV3233">
        <v>80.02</v>
      </c>
      <c r="AX3233" s="1">
        <v>1886.26</v>
      </c>
      <c r="AY3233" t="s">
        <v>9564</v>
      </c>
      <c r="AZ3233" t="s">
        <v>11073</v>
      </c>
      <c r="BA3233" t="s">
        <v>9519</v>
      </c>
      <c r="BE3233" s="3">
        <v>42368</v>
      </c>
      <c r="BF3233" s="1">
        <v>280000</v>
      </c>
      <c r="BG3233" t="s">
        <v>21017</v>
      </c>
      <c r="BH3233" s="1">
        <v>148.94</v>
      </c>
      <c r="BI3233" s="1">
        <v>293167</v>
      </c>
      <c r="BJ3233" s="3">
        <v>42509</v>
      </c>
      <c r="BK3233" t="s">
        <v>123</v>
      </c>
      <c r="BL3233" t="str">
        <f>"2016.343473"</f>
        <v>2016.343473</v>
      </c>
      <c r="BM3233" t="s">
        <v>248</v>
      </c>
      <c r="BO3233" t="s">
        <v>21018</v>
      </c>
      <c r="BS3233">
        <v>30</v>
      </c>
      <c r="BW3233" t="str">
        <f>""</f>
        <v/>
      </c>
      <c r="CH3233" t="str">
        <f>""</f>
        <v/>
      </c>
      <c r="CS3233" t="str">
        <f>""</f>
        <v/>
      </c>
    </row>
    <row r="3234" spans="1:97" x14ac:dyDescent="0.25">
      <c r="A3234" t="s">
        <v>3212</v>
      </c>
      <c r="B3234" t="s">
        <v>996</v>
      </c>
      <c r="C3234" t="s">
        <v>14800</v>
      </c>
      <c r="D3234" t="s">
        <v>996</v>
      </c>
      <c r="E3234" t="s">
        <v>21019</v>
      </c>
      <c r="F3234" t="s">
        <v>282</v>
      </c>
      <c r="H3234" t="s">
        <v>21020</v>
      </c>
      <c r="I3234" t="s">
        <v>1936</v>
      </c>
      <c r="J3234" t="s">
        <v>111</v>
      </c>
      <c r="K3234" t="str">
        <f>"85257"</f>
        <v>85257</v>
      </c>
      <c r="L3234" t="s">
        <v>3430</v>
      </c>
      <c r="M3234" t="s">
        <v>21021</v>
      </c>
      <c r="N3234" t="s">
        <v>390</v>
      </c>
      <c r="O3234" t="s">
        <v>111</v>
      </c>
      <c r="P3234" t="str">
        <f>"85018-3834"</f>
        <v>85018-3834</v>
      </c>
      <c r="Q3234" t="s">
        <v>113</v>
      </c>
      <c r="R3234" t="str">
        <f>"131-33-090"</f>
        <v>131-33-090</v>
      </c>
      <c r="S3234" t="s">
        <v>21022</v>
      </c>
      <c r="T3234" t="s">
        <v>5581</v>
      </c>
      <c r="U3234">
        <v>1924</v>
      </c>
      <c r="V3234">
        <v>0</v>
      </c>
      <c r="W3234">
        <v>2</v>
      </c>
      <c r="X3234">
        <v>1960</v>
      </c>
      <c r="Z3234">
        <v>1</v>
      </c>
      <c r="AA3234" t="s">
        <v>26</v>
      </c>
      <c r="AB3234">
        <v>0</v>
      </c>
      <c r="AC3234" t="s">
        <v>115</v>
      </c>
      <c r="AD3234">
        <v>2</v>
      </c>
      <c r="AE3234" t="s">
        <v>115</v>
      </c>
      <c r="AF3234">
        <v>0</v>
      </c>
      <c r="AG3234">
        <v>0</v>
      </c>
      <c r="AH3234" t="s">
        <v>116</v>
      </c>
      <c r="AI3234" s="1">
        <v>133400</v>
      </c>
      <c r="AJ3234" s="2">
        <v>0.28999999999999998</v>
      </c>
      <c r="AK3234" s="1">
        <v>463436</v>
      </c>
      <c r="AL3234" t="s">
        <v>117</v>
      </c>
      <c r="AM3234" t="s">
        <v>393</v>
      </c>
      <c r="AN3234">
        <v>8243</v>
      </c>
      <c r="AO3234">
        <v>0.19</v>
      </c>
      <c r="AP3234">
        <v>1</v>
      </c>
      <c r="AR3234">
        <v>1</v>
      </c>
      <c r="AS3234" s="1">
        <v>33200</v>
      </c>
      <c r="AT3234" s="1">
        <v>6640</v>
      </c>
      <c r="AU3234" s="1">
        <v>26560</v>
      </c>
      <c r="AV3234">
        <v>80</v>
      </c>
      <c r="AX3234" s="1">
        <v>1561.12</v>
      </c>
      <c r="AY3234" t="s">
        <v>5419</v>
      </c>
      <c r="AZ3234" t="s">
        <v>5420</v>
      </c>
      <c r="BA3234" t="s">
        <v>5421</v>
      </c>
      <c r="BE3234" s="3">
        <v>41835</v>
      </c>
      <c r="BF3234" s="1">
        <v>328000</v>
      </c>
      <c r="BG3234" t="s">
        <v>21023</v>
      </c>
      <c r="BH3234" s="1">
        <v>170.48</v>
      </c>
      <c r="BI3234" s="1">
        <v>330036</v>
      </c>
      <c r="BJ3234" s="3">
        <v>42219</v>
      </c>
      <c r="BK3234" t="s">
        <v>123</v>
      </c>
      <c r="BL3234" t="str">
        <f>"2015.559519"</f>
        <v>2015.559519</v>
      </c>
      <c r="BM3234" t="s">
        <v>21024</v>
      </c>
      <c r="BO3234" t="s">
        <v>21025</v>
      </c>
      <c r="BS3234">
        <v>30</v>
      </c>
      <c r="BW3234" t="str">
        <f>""</f>
        <v/>
      </c>
      <c r="CH3234" t="str">
        <f>""</f>
        <v/>
      </c>
      <c r="CS3234" t="str">
        <f>""</f>
        <v/>
      </c>
    </row>
    <row r="3235" spans="1:97" x14ac:dyDescent="0.25">
      <c r="A3235" t="s">
        <v>1444</v>
      </c>
      <c r="B3235" t="s">
        <v>464</v>
      </c>
      <c r="C3235" t="s">
        <v>9201</v>
      </c>
      <c r="D3235" t="s">
        <v>464</v>
      </c>
      <c r="E3235" t="s">
        <v>21026</v>
      </c>
      <c r="F3235" t="s">
        <v>108</v>
      </c>
      <c r="H3235" t="s">
        <v>21027</v>
      </c>
      <c r="I3235" t="s">
        <v>144</v>
      </c>
      <c r="J3235" t="s">
        <v>111</v>
      </c>
      <c r="K3235" t="str">
        <f>"85326"</f>
        <v>85326</v>
      </c>
      <c r="L3235" t="s">
        <v>8146</v>
      </c>
      <c r="M3235" t="s">
        <v>21027</v>
      </c>
      <c r="N3235" t="s">
        <v>144</v>
      </c>
      <c r="O3235" t="s">
        <v>111</v>
      </c>
      <c r="P3235" t="str">
        <f>"85326-6623"</f>
        <v>85326-6623</v>
      </c>
      <c r="Q3235" t="s">
        <v>113</v>
      </c>
      <c r="R3235" t="str">
        <f>"502-35-380"</f>
        <v>502-35-380</v>
      </c>
      <c r="S3235" t="s">
        <v>10984</v>
      </c>
      <c r="U3235">
        <v>1895</v>
      </c>
      <c r="V3235">
        <v>0</v>
      </c>
      <c r="W3235">
        <v>4</v>
      </c>
      <c r="X3235">
        <v>2015</v>
      </c>
      <c r="Z3235">
        <v>1</v>
      </c>
      <c r="AB3235">
        <v>0</v>
      </c>
      <c r="AC3235" t="s">
        <v>115</v>
      </c>
      <c r="AD3235">
        <v>2</v>
      </c>
      <c r="AE3235" t="s">
        <v>115</v>
      </c>
      <c r="AF3235">
        <v>0</v>
      </c>
      <c r="AG3235">
        <v>0</v>
      </c>
      <c r="AH3235" t="s">
        <v>116</v>
      </c>
      <c r="AI3235" s="1">
        <v>16810</v>
      </c>
      <c r="AJ3235" s="2">
        <v>0.06</v>
      </c>
      <c r="AK3235" s="1">
        <v>269895</v>
      </c>
      <c r="AL3235" t="s">
        <v>117</v>
      </c>
      <c r="AM3235" t="s">
        <v>118</v>
      </c>
      <c r="AN3235">
        <v>7245</v>
      </c>
      <c r="AO3235">
        <v>0.17</v>
      </c>
      <c r="AR3235">
        <v>1</v>
      </c>
      <c r="AS3235" s="1">
        <v>18500</v>
      </c>
      <c r="AT3235" s="1">
        <v>3700</v>
      </c>
      <c r="AU3235" s="1">
        <v>14800</v>
      </c>
      <c r="AV3235">
        <v>80</v>
      </c>
      <c r="AX3235" s="1">
        <v>1604.52</v>
      </c>
      <c r="AY3235" t="s">
        <v>2767</v>
      </c>
      <c r="AZ3235" t="s">
        <v>2767</v>
      </c>
      <c r="BA3235" t="s">
        <v>5025</v>
      </c>
      <c r="BB3235" s="3">
        <v>42451</v>
      </c>
      <c r="BD3235" t="s">
        <v>842</v>
      </c>
      <c r="BE3235" s="3">
        <v>42297</v>
      </c>
      <c r="BF3235" s="1">
        <v>208500</v>
      </c>
      <c r="BG3235" t="s">
        <v>749</v>
      </c>
      <c r="BH3235" s="1">
        <v>110.03</v>
      </c>
      <c r="BI3235" s="1">
        <v>253085</v>
      </c>
      <c r="BJ3235" s="3">
        <v>43465</v>
      </c>
      <c r="BK3235" t="s">
        <v>123</v>
      </c>
      <c r="BL3235" t="str">
        <f>"2018.954284"</f>
        <v>2018.954284</v>
      </c>
      <c r="BM3235" t="s">
        <v>3040</v>
      </c>
      <c r="BN3235" t="s">
        <v>3041</v>
      </c>
      <c r="BO3235" t="s">
        <v>21028</v>
      </c>
      <c r="BP3235" t="s">
        <v>21029</v>
      </c>
      <c r="BR3235" t="s">
        <v>139</v>
      </c>
      <c r="BW3235" t="str">
        <f>""</f>
        <v/>
      </c>
      <c r="CH3235" t="str">
        <f>""</f>
        <v/>
      </c>
      <c r="CS3235" t="str">
        <f>""</f>
        <v/>
      </c>
    </row>
    <row r="3236" spans="1:97" x14ac:dyDescent="0.25">
      <c r="A3236" t="s">
        <v>2407</v>
      </c>
      <c r="B3236" t="s">
        <v>21030</v>
      </c>
      <c r="C3236" t="s">
        <v>1995</v>
      </c>
      <c r="D3236" t="s">
        <v>21030</v>
      </c>
      <c r="E3236" t="s">
        <v>21031</v>
      </c>
      <c r="F3236" t="s">
        <v>108</v>
      </c>
      <c r="H3236" t="s">
        <v>21032</v>
      </c>
      <c r="I3236" t="s">
        <v>499</v>
      </c>
      <c r="J3236" t="s">
        <v>111</v>
      </c>
      <c r="K3236" t="str">
        <f>"85395"</f>
        <v>85395</v>
      </c>
      <c r="L3236" t="s">
        <v>5743</v>
      </c>
      <c r="M3236" t="s">
        <v>21032</v>
      </c>
      <c r="N3236" t="s">
        <v>499</v>
      </c>
      <c r="O3236" t="s">
        <v>111</v>
      </c>
      <c r="P3236" t="str">
        <f>"85395-6329"</f>
        <v>85395-6329</v>
      </c>
      <c r="Q3236" t="s">
        <v>113</v>
      </c>
      <c r="R3236" t="str">
        <f>"508-13-383"</f>
        <v>508-13-383</v>
      </c>
      <c r="S3236" t="s">
        <v>5744</v>
      </c>
      <c r="T3236" t="s">
        <v>5745</v>
      </c>
      <c r="U3236">
        <v>1990</v>
      </c>
      <c r="V3236">
        <v>0</v>
      </c>
      <c r="W3236">
        <v>3</v>
      </c>
      <c r="X3236">
        <v>2010</v>
      </c>
      <c r="Z3236">
        <v>1</v>
      </c>
      <c r="AB3236">
        <v>0</v>
      </c>
      <c r="AC3236" t="s">
        <v>115</v>
      </c>
      <c r="AD3236">
        <v>2</v>
      </c>
      <c r="AE3236" t="s">
        <v>115</v>
      </c>
      <c r="AF3236">
        <v>0</v>
      </c>
      <c r="AG3236">
        <v>0</v>
      </c>
      <c r="AH3236" t="s">
        <v>116</v>
      </c>
      <c r="AI3236" s="1">
        <v>71691</v>
      </c>
      <c r="AJ3236" s="2">
        <v>0.24</v>
      </c>
      <c r="AK3236" s="1">
        <v>303430</v>
      </c>
      <c r="AL3236" t="s">
        <v>117</v>
      </c>
      <c r="AM3236" t="s">
        <v>118</v>
      </c>
      <c r="AN3236">
        <v>7224</v>
      </c>
      <c r="AO3236">
        <v>0.17</v>
      </c>
      <c r="AR3236">
        <v>1</v>
      </c>
      <c r="AS3236" s="1">
        <v>21280</v>
      </c>
      <c r="AT3236" s="1">
        <v>4250</v>
      </c>
      <c r="AU3236" s="1">
        <v>17030</v>
      </c>
      <c r="AV3236">
        <v>80.03</v>
      </c>
      <c r="AX3236" s="1">
        <v>2216.2800000000002</v>
      </c>
      <c r="AY3236" t="s">
        <v>3020</v>
      </c>
      <c r="AZ3236" t="s">
        <v>3020</v>
      </c>
      <c r="BA3236" t="s">
        <v>3154</v>
      </c>
      <c r="BE3236" s="3">
        <v>42160</v>
      </c>
      <c r="BF3236" s="1">
        <v>227500</v>
      </c>
      <c r="BG3236" t="s">
        <v>21033</v>
      </c>
      <c r="BH3236" s="1">
        <v>114.32</v>
      </c>
      <c r="BI3236" s="1">
        <v>231739</v>
      </c>
      <c r="BJ3236" s="3">
        <v>42824</v>
      </c>
      <c r="BK3236" t="s">
        <v>123</v>
      </c>
      <c r="BL3236" t="str">
        <f>"2017.222916"</f>
        <v>2017.222916</v>
      </c>
      <c r="BM3236" t="s">
        <v>402</v>
      </c>
      <c r="BO3236" t="s">
        <v>21034</v>
      </c>
      <c r="BS3236">
        <v>28</v>
      </c>
      <c r="BW3236" t="str">
        <f>""</f>
        <v/>
      </c>
      <c r="CH3236" t="str">
        <f>""</f>
        <v/>
      </c>
      <c r="CS3236" t="str">
        <f>""</f>
        <v/>
      </c>
    </row>
    <row r="3237" spans="1:97" x14ac:dyDescent="0.25">
      <c r="A3237" t="s">
        <v>370</v>
      </c>
      <c r="B3237" t="s">
        <v>21035</v>
      </c>
      <c r="E3237" t="s">
        <v>21036</v>
      </c>
      <c r="F3237" t="s">
        <v>108</v>
      </c>
      <c r="H3237" t="s">
        <v>21037</v>
      </c>
      <c r="I3237" t="s">
        <v>390</v>
      </c>
      <c r="J3237" t="s">
        <v>111</v>
      </c>
      <c r="K3237" t="str">
        <f>"85032"</f>
        <v>85032</v>
      </c>
      <c r="L3237" t="s">
        <v>6003</v>
      </c>
      <c r="M3237" t="s">
        <v>21037</v>
      </c>
      <c r="N3237" t="s">
        <v>390</v>
      </c>
      <c r="O3237" t="s">
        <v>111</v>
      </c>
      <c r="P3237" t="str">
        <f>"85032-4301"</f>
        <v>85032-4301</v>
      </c>
      <c r="Q3237" t="s">
        <v>113</v>
      </c>
      <c r="R3237" t="str">
        <f>"214-66-207"</f>
        <v>214-66-207</v>
      </c>
      <c r="S3237" t="s">
        <v>21038</v>
      </c>
      <c r="T3237" t="s">
        <v>13913</v>
      </c>
      <c r="U3237">
        <v>1380</v>
      </c>
      <c r="V3237">
        <v>0</v>
      </c>
      <c r="W3237">
        <v>2</v>
      </c>
      <c r="X3237">
        <v>1966</v>
      </c>
      <c r="Z3237">
        <v>1</v>
      </c>
      <c r="AB3237">
        <v>0</v>
      </c>
      <c r="AC3237" t="s">
        <v>5188</v>
      </c>
      <c r="AD3237">
        <v>2</v>
      </c>
      <c r="AE3237" t="s">
        <v>5188</v>
      </c>
      <c r="AF3237">
        <v>0</v>
      </c>
      <c r="AG3237">
        <v>0</v>
      </c>
      <c r="AH3237" t="s">
        <v>116</v>
      </c>
      <c r="AI3237" s="1">
        <v>20418</v>
      </c>
      <c r="AJ3237" s="2">
        <v>0.09</v>
      </c>
      <c r="AK3237" s="1">
        <v>225418</v>
      </c>
      <c r="AL3237" t="s">
        <v>117</v>
      </c>
      <c r="AM3237" t="s">
        <v>191</v>
      </c>
      <c r="AN3237">
        <v>6976</v>
      </c>
      <c r="AO3237">
        <v>0.16</v>
      </c>
      <c r="AP3237">
        <v>1</v>
      </c>
      <c r="AR3237">
        <v>1</v>
      </c>
      <c r="AS3237" s="1">
        <v>15450</v>
      </c>
      <c r="AT3237" s="1">
        <v>3090</v>
      </c>
      <c r="AU3237" s="1">
        <v>12360</v>
      </c>
      <c r="AV3237">
        <v>80</v>
      </c>
      <c r="AX3237" s="1">
        <v>906.12</v>
      </c>
      <c r="AY3237" t="s">
        <v>13914</v>
      </c>
      <c r="AZ3237" t="s">
        <v>5231</v>
      </c>
      <c r="BA3237" t="s">
        <v>2551</v>
      </c>
      <c r="BE3237" s="3">
        <v>42514</v>
      </c>
      <c r="BF3237" s="1">
        <v>210000</v>
      </c>
      <c r="BG3237" t="s">
        <v>21039</v>
      </c>
      <c r="BH3237" s="1">
        <v>152.16999999999999</v>
      </c>
      <c r="BI3237" s="1">
        <v>205000</v>
      </c>
      <c r="BJ3237" s="3">
        <v>42514</v>
      </c>
      <c r="BK3237" t="s">
        <v>123</v>
      </c>
      <c r="BL3237" t="str">
        <f>"2016.356608"</f>
        <v>2016.356608</v>
      </c>
      <c r="BM3237" t="s">
        <v>544</v>
      </c>
      <c r="BO3237" t="s">
        <v>21040</v>
      </c>
      <c r="BS3237">
        <v>30</v>
      </c>
      <c r="BW3237" t="str">
        <f>""</f>
        <v/>
      </c>
      <c r="CH3237" t="str">
        <f>""</f>
        <v/>
      </c>
      <c r="CS3237" t="str">
        <f>""</f>
        <v/>
      </c>
    </row>
    <row r="3238" spans="1:97" x14ac:dyDescent="0.25">
      <c r="A3238" t="s">
        <v>2374</v>
      </c>
      <c r="B3238" t="s">
        <v>21041</v>
      </c>
      <c r="E3238" t="s">
        <v>21042</v>
      </c>
      <c r="F3238" t="s">
        <v>108</v>
      </c>
      <c r="H3238" t="s">
        <v>21043</v>
      </c>
      <c r="I3238" t="s">
        <v>390</v>
      </c>
      <c r="J3238" t="s">
        <v>111</v>
      </c>
      <c r="K3238" t="str">
        <f>"85022"</f>
        <v>85022</v>
      </c>
      <c r="L3238" t="s">
        <v>6983</v>
      </c>
      <c r="M3238" t="s">
        <v>21043</v>
      </c>
      <c r="N3238" t="s">
        <v>390</v>
      </c>
      <c r="O3238" t="s">
        <v>111</v>
      </c>
      <c r="P3238" t="str">
        <f>"85022-1300"</f>
        <v>85022-1300</v>
      </c>
      <c r="Q3238" t="s">
        <v>113</v>
      </c>
      <c r="R3238" t="str">
        <f>"214-07-169"</f>
        <v>214-07-169</v>
      </c>
      <c r="S3238" t="s">
        <v>21044</v>
      </c>
      <c r="T3238" t="s">
        <v>21044</v>
      </c>
      <c r="U3238">
        <v>1520</v>
      </c>
      <c r="V3238">
        <v>0</v>
      </c>
      <c r="W3238">
        <v>3</v>
      </c>
      <c r="X3238">
        <v>1997</v>
      </c>
      <c r="Z3238">
        <v>1</v>
      </c>
      <c r="AB3238">
        <v>0</v>
      </c>
      <c r="AC3238" t="s">
        <v>115</v>
      </c>
      <c r="AD3238">
        <v>2</v>
      </c>
      <c r="AE3238" t="s">
        <v>115</v>
      </c>
      <c r="AF3238">
        <v>0</v>
      </c>
      <c r="AG3238">
        <v>0</v>
      </c>
      <c r="AH3238" t="s">
        <v>116</v>
      </c>
      <c r="AI3238" s="1">
        <v>65446</v>
      </c>
      <c r="AJ3238" s="2">
        <v>0.23</v>
      </c>
      <c r="AK3238" s="1">
        <v>281446</v>
      </c>
      <c r="AL3238" t="s">
        <v>117</v>
      </c>
      <c r="AM3238" t="s">
        <v>171</v>
      </c>
      <c r="AN3238">
        <v>6511</v>
      </c>
      <c r="AO3238">
        <v>0.15</v>
      </c>
      <c r="AP3238">
        <v>1</v>
      </c>
      <c r="AR3238">
        <v>1</v>
      </c>
      <c r="AS3238" s="1">
        <v>21380</v>
      </c>
      <c r="AT3238" s="1">
        <v>4270</v>
      </c>
      <c r="AU3238" s="1">
        <v>17110</v>
      </c>
      <c r="AV3238">
        <v>80.03</v>
      </c>
      <c r="AX3238" s="1">
        <v>1668.36</v>
      </c>
      <c r="AY3238" t="s">
        <v>2549</v>
      </c>
      <c r="AZ3238" t="s">
        <v>2550</v>
      </c>
      <c r="BA3238" t="s">
        <v>2551</v>
      </c>
      <c r="BE3238" s="3">
        <v>42325</v>
      </c>
      <c r="BF3238" s="1">
        <v>216000</v>
      </c>
      <c r="BG3238" t="s">
        <v>21045</v>
      </c>
      <c r="BH3238" s="1">
        <v>142.11000000000001</v>
      </c>
      <c r="BI3238" s="1">
        <v>216000</v>
      </c>
      <c r="BJ3238" s="3">
        <v>42325</v>
      </c>
      <c r="BK3238" t="s">
        <v>123</v>
      </c>
      <c r="BL3238" t="str">
        <f>"2015.820645"</f>
        <v>2015.820645</v>
      </c>
      <c r="BM3238" t="s">
        <v>135</v>
      </c>
      <c r="BO3238" t="s">
        <v>21046</v>
      </c>
      <c r="BS3238">
        <v>30</v>
      </c>
      <c r="BW3238" t="str">
        <f>""</f>
        <v/>
      </c>
      <c r="CH3238" t="str">
        <f>""</f>
        <v/>
      </c>
      <c r="CS3238" t="str">
        <f>""</f>
        <v/>
      </c>
    </row>
    <row r="3239" spans="1:97" x14ac:dyDescent="0.25">
      <c r="A3239" t="s">
        <v>3104</v>
      </c>
      <c r="B3239" t="s">
        <v>21047</v>
      </c>
      <c r="E3239" t="s">
        <v>21048</v>
      </c>
      <c r="F3239" t="s">
        <v>108</v>
      </c>
      <c r="H3239" t="s">
        <v>21049</v>
      </c>
      <c r="I3239" t="s">
        <v>453</v>
      </c>
      <c r="J3239" t="s">
        <v>111</v>
      </c>
      <c r="K3239" t="str">
        <f>"85383"</f>
        <v>85383</v>
      </c>
      <c r="L3239" t="s">
        <v>269</v>
      </c>
      <c r="M3239" t="s">
        <v>21049</v>
      </c>
      <c r="N3239" t="s">
        <v>453</v>
      </c>
      <c r="O3239" t="s">
        <v>111</v>
      </c>
      <c r="P3239" t="str">
        <f>"85383-6678"</f>
        <v>85383-6678</v>
      </c>
      <c r="Q3239" t="s">
        <v>113</v>
      </c>
      <c r="R3239" t="str">
        <f>"201-39-740"</f>
        <v>201-39-740</v>
      </c>
      <c r="S3239" t="s">
        <v>21050</v>
      </c>
      <c r="T3239" t="s">
        <v>6734</v>
      </c>
      <c r="U3239">
        <v>1885</v>
      </c>
      <c r="V3239">
        <v>0</v>
      </c>
      <c r="W3239">
        <v>4</v>
      </c>
      <c r="X3239">
        <v>2007</v>
      </c>
      <c r="Z3239">
        <v>1</v>
      </c>
      <c r="AB3239">
        <v>0</v>
      </c>
      <c r="AC3239" t="s">
        <v>115</v>
      </c>
      <c r="AD3239">
        <v>2</v>
      </c>
      <c r="AE3239" t="s">
        <v>115</v>
      </c>
      <c r="AF3239">
        <v>0</v>
      </c>
      <c r="AG3239">
        <v>0</v>
      </c>
      <c r="AH3239" t="s">
        <v>116</v>
      </c>
      <c r="AI3239" s="1">
        <v>69605</v>
      </c>
      <c r="AJ3239" s="2">
        <v>0.21</v>
      </c>
      <c r="AK3239" s="1">
        <v>324470</v>
      </c>
      <c r="AL3239" t="s">
        <v>117</v>
      </c>
      <c r="AM3239" t="s">
        <v>118</v>
      </c>
      <c r="AN3239">
        <v>5750</v>
      </c>
      <c r="AO3239">
        <v>0.13</v>
      </c>
      <c r="AR3239">
        <v>1</v>
      </c>
      <c r="AS3239" s="1">
        <v>23060</v>
      </c>
      <c r="AT3239" s="1">
        <v>4610</v>
      </c>
      <c r="AU3239" s="1">
        <v>18450</v>
      </c>
      <c r="AV3239">
        <v>80.010000000000005</v>
      </c>
      <c r="AX3239" s="1">
        <v>2285.6799999999998</v>
      </c>
      <c r="AY3239" t="s">
        <v>3048</v>
      </c>
      <c r="AZ3239" t="s">
        <v>3049</v>
      </c>
      <c r="BA3239" t="s">
        <v>1386</v>
      </c>
      <c r="BB3239" s="3">
        <v>42152</v>
      </c>
      <c r="BD3239" t="s">
        <v>458</v>
      </c>
      <c r="BE3239" s="3">
        <v>41792</v>
      </c>
      <c r="BF3239" s="1">
        <v>250000</v>
      </c>
      <c r="BG3239" t="s">
        <v>21051</v>
      </c>
      <c r="BH3239" s="1">
        <v>132.63</v>
      </c>
      <c r="BI3239" s="1">
        <v>254865</v>
      </c>
      <c r="BJ3239" s="3">
        <v>42152</v>
      </c>
      <c r="BK3239" t="s">
        <v>123</v>
      </c>
      <c r="BL3239" t="str">
        <f>"2015.377389"</f>
        <v>2015.377389</v>
      </c>
      <c r="BM3239" t="s">
        <v>21052</v>
      </c>
      <c r="BO3239" t="s">
        <v>21053</v>
      </c>
      <c r="BS3239">
        <v>30</v>
      </c>
      <c r="BW3239" t="str">
        <f>""</f>
        <v/>
      </c>
      <c r="CH3239" t="str">
        <f>""</f>
        <v/>
      </c>
      <c r="CS3239" t="str">
        <f>""</f>
        <v/>
      </c>
    </row>
    <row r="3240" spans="1:97" x14ac:dyDescent="0.25">
      <c r="A3240" t="s">
        <v>21054</v>
      </c>
      <c r="B3240" t="s">
        <v>21055</v>
      </c>
      <c r="E3240" t="s">
        <v>21056</v>
      </c>
      <c r="F3240" t="s">
        <v>108</v>
      </c>
      <c r="H3240" t="s">
        <v>21057</v>
      </c>
      <c r="I3240" t="s">
        <v>453</v>
      </c>
      <c r="J3240" t="s">
        <v>111</v>
      </c>
      <c r="K3240" t="str">
        <f>"85383"</f>
        <v>85383</v>
      </c>
      <c r="L3240" t="s">
        <v>6416</v>
      </c>
      <c r="M3240" t="s">
        <v>21057</v>
      </c>
      <c r="N3240" t="s">
        <v>453</v>
      </c>
      <c r="O3240" t="s">
        <v>111</v>
      </c>
      <c r="P3240" t="str">
        <f>"85383-7103"</f>
        <v>85383-7103</v>
      </c>
      <c r="Q3240" t="s">
        <v>113</v>
      </c>
      <c r="R3240" t="str">
        <f>"201-09-453"</f>
        <v>201-09-453</v>
      </c>
      <c r="S3240" t="s">
        <v>21058</v>
      </c>
      <c r="T3240" t="s">
        <v>2222</v>
      </c>
      <c r="U3240">
        <v>1523</v>
      </c>
      <c r="V3240">
        <v>0</v>
      </c>
      <c r="W3240">
        <v>3</v>
      </c>
      <c r="X3240">
        <v>1999</v>
      </c>
      <c r="Z3240">
        <v>1</v>
      </c>
      <c r="AB3240">
        <v>0</v>
      </c>
      <c r="AC3240" t="s">
        <v>115</v>
      </c>
      <c r="AD3240">
        <v>2</v>
      </c>
      <c r="AE3240" t="s">
        <v>115</v>
      </c>
      <c r="AF3240">
        <v>0</v>
      </c>
      <c r="AG3240">
        <v>0</v>
      </c>
      <c r="AH3240" t="s">
        <v>116</v>
      </c>
      <c r="AI3240" s="1">
        <v>62530</v>
      </c>
      <c r="AJ3240" s="2">
        <v>0.23</v>
      </c>
      <c r="AK3240" s="1">
        <v>266727</v>
      </c>
      <c r="AL3240" t="s">
        <v>117</v>
      </c>
      <c r="AM3240" t="s">
        <v>191</v>
      </c>
      <c r="AN3240">
        <v>5957</v>
      </c>
      <c r="AO3240">
        <v>0.14000000000000001</v>
      </c>
      <c r="AP3240">
        <v>1</v>
      </c>
      <c r="AR3240">
        <v>1</v>
      </c>
      <c r="AS3240" s="1">
        <v>18410</v>
      </c>
      <c r="AT3240" s="1">
        <v>3680</v>
      </c>
      <c r="AU3240" s="1">
        <v>14730</v>
      </c>
      <c r="AV3240">
        <v>80.010000000000005</v>
      </c>
      <c r="AX3240" s="1">
        <v>1703.24</v>
      </c>
      <c r="AY3240" t="s">
        <v>1385</v>
      </c>
      <c r="AZ3240" t="s">
        <v>1385</v>
      </c>
      <c r="BA3240" t="s">
        <v>2223</v>
      </c>
      <c r="BE3240" s="3">
        <v>42214</v>
      </c>
      <c r="BF3240" s="1">
        <v>199900</v>
      </c>
      <c r="BG3240" t="s">
        <v>21059</v>
      </c>
      <c r="BH3240" s="1">
        <v>131.25</v>
      </c>
      <c r="BI3240" s="1">
        <v>204197</v>
      </c>
      <c r="BJ3240" s="3">
        <v>42214</v>
      </c>
      <c r="BK3240" t="s">
        <v>123</v>
      </c>
      <c r="BL3240" t="str">
        <f>"2015.548640"</f>
        <v>2015.548640</v>
      </c>
      <c r="BM3240" t="s">
        <v>135</v>
      </c>
      <c r="BO3240" t="s">
        <v>21060</v>
      </c>
      <c r="BS3240">
        <v>30</v>
      </c>
      <c r="BW3240" t="str">
        <f>""</f>
        <v/>
      </c>
      <c r="CH3240" t="str">
        <f>""</f>
        <v/>
      </c>
      <c r="CS3240" t="str">
        <f>""</f>
        <v/>
      </c>
    </row>
    <row r="3241" spans="1:97" x14ac:dyDescent="0.25">
      <c r="A3241" t="s">
        <v>21061</v>
      </c>
      <c r="B3241" t="s">
        <v>21062</v>
      </c>
      <c r="C3241" t="s">
        <v>21063</v>
      </c>
      <c r="D3241" t="s">
        <v>21062</v>
      </c>
      <c r="E3241" t="s">
        <v>21064</v>
      </c>
      <c r="F3241" t="s">
        <v>108</v>
      </c>
      <c r="H3241" t="s">
        <v>21065</v>
      </c>
      <c r="I3241" t="s">
        <v>167</v>
      </c>
      <c r="J3241" t="s">
        <v>111</v>
      </c>
      <c r="K3241" t="str">
        <f>"85339"</f>
        <v>85339</v>
      </c>
      <c r="L3241" t="s">
        <v>2765</v>
      </c>
      <c r="M3241" t="s">
        <v>21065</v>
      </c>
      <c r="N3241" t="s">
        <v>167</v>
      </c>
      <c r="O3241" t="s">
        <v>111</v>
      </c>
      <c r="P3241" t="str">
        <f>"85339-2536"</f>
        <v>85339-2536</v>
      </c>
      <c r="Q3241" t="s">
        <v>113</v>
      </c>
      <c r="R3241" t="str">
        <f>"300-14-872"</f>
        <v>300-14-872</v>
      </c>
      <c r="S3241" t="s">
        <v>8158</v>
      </c>
      <c r="T3241" t="s">
        <v>8158</v>
      </c>
      <c r="U3241">
        <v>3498</v>
      </c>
      <c r="V3241">
        <v>0</v>
      </c>
      <c r="W3241">
        <v>5</v>
      </c>
      <c r="X3241">
        <v>2016</v>
      </c>
      <c r="Z3241">
        <v>2</v>
      </c>
      <c r="AB3241">
        <v>0</v>
      </c>
      <c r="AC3241" t="s">
        <v>115</v>
      </c>
      <c r="AD3241">
        <v>2</v>
      </c>
      <c r="AE3241" t="s">
        <v>115</v>
      </c>
      <c r="AF3241">
        <v>0</v>
      </c>
      <c r="AG3241">
        <v>0</v>
      </c>
      <c r="AH3241" t="s">
        <v>116</v>
      </c>
      <c r="AI3241" s="1">
        <v>77708</v>
      </c>
      <c r="AJ3241" s="2">
        <v>0.21</v>
      </c>
      <c r="AK3241" s="1">
        <v>377708</v>
      </c>
      <c r="AL3241" t="s">
        <v>117</v>
      </c>
      <c r="AM3241" t="s">
        <v>191</v>
      </c>
      <c r="AN3241">
        <v>9622</v>
      </c>
      <c r="AO3241">
        <v>0.22</v>
      </c>
      <c r="AR3241">
        <v>1</v>
      </c>
      <c r="AS3241" s="1">
        <v>28870</v>
      </c>
      <c r="AT3241" s="1">
        <v>5770</v>
      </c>
      <c r="AU3241" s="1">
        <v>23100</v>
      </c>
      <c r="AV3241">
        <v>80.010000000000005</v>
      </c>
      <c r="AX3241" s="1">
        <v>3931.52</v>
      </c>
      <c r="AY3241" t="s">
        <v>8159</v>
      </c>
      <c r="AZ3241" t="s">
        <v>8159</v>
      </c>
      <c r="BA3241" t="s">
        <v>1661</v>
      </c>
      <c r="BE3241" s="3">
        <v>42552</v>
      </c>
      <c r="BF3241" s="1">
        <v>328149</v>
      </c>
      <c r="BG3241" t="s">
        <v>2289</v>
      </c>
      <c r="BH3241" s="1">
        <v>93.81</v>
      </c>
      <c r="BI3241" s="1">
        <v>300000</v>
      </c>
      <c r="BJ3241" s="3">
        <v>42552</v>
      </c>
      <c r="BK3241" t="s">
        <v>123</v>
      </c>
      <c r="BL3241" t="str">
        <f>"2016.466828"</f>
        <v>2016.466828</v>
      </c>
      <c r="BM3241" t="s">
        <v>738</v>
      </c>
      <c r="BO3241" t="s">
        <v>21066</v>
      </c>
      <c r="BS3241">
        <v>30</v>
      </c>
      <c r="BW3241" t="str">
        <f>""</f>
        <v/>
      </c>
      <c r="CH3241" t="str">
        <f>""</f>
        <v/>
      </c>
      <c r="CS3241" t="str">
        <f>""</f>
        <v/>
      </c>
    </row>
    <row r="3242" spans="1:97" x14ac:dyDescent="0.25">
      <c r="A3242" t="s">
        <v>886</v>
      </c>
      <c r="B3242" t="s">
        <v>21067</v>
      </c>
      <c r="C3242" t="s">
        <v>13809</v>
      </c>
      <c r="D3242" t="s">
        <v>21067</v>
      </c>
      <c r="E3242" t="s">
        <v>21068</v>
      </c>
      <c r="F3242" t="s">
        <v>108</v>
      </c>
      <c r="H3242" t="s">
        <v>21069</v>
      </c>
      <c r="I3242" t="s">
        <v>390</v>
      </c>
      <c r="J3242" t="s">
        <v>111</v>
      </c>
      <c r="K3242" t="str">
        <f>"85083"</f>
        <v>85083</v>
      </c>
      <c r="L3242" t="s">
        <v>4467</v>
      </c>
      <c r="M3242" t="s">
        <v>21069</v>
      </c>
      <c r="N3242" t="s">
        <v>390</v>
      </c>
      <c r="O3242" t="s">
        <v>111</v>
      </c>
      <c r="P3242" t="str">
        <f>"85083-6588"</f>
        <v>85083-6588</v>
      </c>
      <c r="Q3242" t="s">
        <v>113</v>
      </c>
      <c r="R3242" t="str">
        <f>"201-07-665"</f>
        <v>201-07-665</v>
      </c>
      <c r="S3242" t="s">
        <v>21070</v>
      </c>
      <c r="T3242" t="s">
        <v>21070</v>
      </c>
      <c r="U3242">
        <v>2547</v>
      </c>
      <c r="V3242">
        <v>0</v>
      </c>
      <c r="W3242">
        <v>5</v>
      </c>
      <c r="X3242">
        <v>2003</v>
      </c>
      <c r="Z3242">
        <v>2</v>
      </c>
      <c r="AA3242" t="s">
        <v>26</v>
      </c>
      <c r="AB3242">
        <v>0</v>
      </c>
      <c r="AC3242" t="s">
        <v>115</v>
      </c>
      <c r="AD3242">
        <v>2</v>
      </c>
      <c r="AE3242" t="s">
        <v>115</v>
      </c>
      <c r="AF3242">
        <v>0</v>
      </c>
      <c r="AG3242">
        <v>0</v>
      </c>
      <c r="AH3242" t="s">
        <v>116</v>
      </c>
      <c r="AI3242" s="1">
        <v>61290</v>
      </c>
      <c r="AJ3242" s="2">
        <v>0.16</v>
      </c>
      <c r="AK3242" s="1">
        <v>385283</v>
      </c>
      <c r="AL3242" t="s">
        <v>117</v>
      </c>
      <c r="AM3242" t="s">
        <v>171</v>
      </c>
      <c r="AN3242">
        <v>6506</v>
      </c>
      <c r="AO3242">
        <v>0.15</v>
      </c>
      <c r="AP3242">
        <v>1</v>
      </c>
      <c r="AR3242">
        <v>1</v>
      </c>
      <c r="AS3242" s="1">
        <v>29150</v>
      </c>
      <c r="AT3242" s="1">
        <v>5830</v>
      </c>
      <c r="AU3242" s="1">
        <v>23320</v>
      </c>
      <c r="AV3242">
        <v>80</v>
      </c>
      <c r="AX3242" s="1">
        <v>2571.54</v>
      </c>
      <c r="AY3242" t="s">
        <v>1385</v>
      </c>
      <c r="AZ3242" t="s">
        <v>1385</v>
      </c>
      <c r="BA3242" t="s">
        <v>1386</v>
      </c>
      <c r="BE3242" s="3">
        <v>42244</v>
      </c>
      <c r="BF3242" s="1">
        <v>316400</v>
      </c>
      <c r="BG3242" t="s">
        <v>21071</v>
      </c>
      <c r="BH3242" s="1">
        <v>124.22</v>
      </c>
      <c r="BI3242" s="1">
        <v>323993</v>
      </c>
      <c r="BJ3242" s="3">
        <v>42244</v>
      </c>
      <c r="BK3242" t="s">
        <v>123</v>
      </c>
      <c r="BL3242" t="str">
        <f>"2015.625545"</f>
        <v>2015.625545</v>
      </c>
      <c r="BM3242" t="s">
        <v>544</v>
      </c>
      <c r="BO3242" t="s">
        <v>21072</v>
      </c>
      <c r="BS3242">
        <v>30</v>
      </c>
      <c r="BW3242" t="str">
        <f>""</f>
        <v/>
      </c>
      <c r="CH3242" t="str">
        <f>""</f>
        <v/>
      </c>
      <c r="CS3242" t="str">
        <f>""</f>
        <v/>
      </c>
    </row>
    <row r="3243" spans="1:97" x14ac:dyDescent="0.25">
      <c r="B3243" t="s">
        <v>21073</v>
      </c>
      <c r="E3243" t="s">
        <v>21074</v>
      </c>
      <c r="F3243" t="s">
        <v>108</v>
      </c>
      <c r="H3243" t="s">
        <v>21075</v>
      </c>
      <c r="I3243" t="s">
        <v>225</v>
      </c>
      <c r="J3243" t="s">
        <v>111</v>
      </c>
      <c r="K3243" t="str">
        <f>"85207"</f>
        <v>85207</v>
      </c>
      <c r="L3243" t="s">
        <v>2211</v>
      </c>
      <c r="M3243" t="s">
        <v>21075</v>
      </c>
      <c r="N3243" t="s">
        <v>225</v>
      </c>
      <c r="O3243" t="s">
        <v>111</v>
      </c>
      <c r="P3243" t="str">
        <f>"85207-3209"</f>
        <v>85207-3209</v>
      </c>
      <c r="Q3243" t="s">
        <v>113</v>
      </c>
      <c r="R3243" t="str">
        <f>"220-12-018-G"</f>
        <v>220-12-018-G</v>
      </c>
      <c r="U3243">
        <v>2320</v>
      </c>
      <c r="V3243">
        <v>0</v>
      </c>
      <c r="W3243">
        <v>3</v>
      </c>
      <c r="X3243">
        <v>1974</v>
      </c>
      <c r="Z3243">
        <v>1</v>
      </c>
      <c r="AB3243">
        <v>0</v>
      </c>
      <c r="AC3243" t="s">
        <v>5188</v>
      </c>
      <c r="AD3243">
        <v>2</v>
      </c>
      <c r="AE3243" t="s">
        <v>5188</v>
      </c>
      <c r="AF3243">
        <v>0</v>
      </c>
      <c r="AG3243">
        <v>0</v>
      </c>
      <c r="AH3243" t="s">
        <v>116</v>
      </c>
      <c r="AI3243" s="1">
        <v>113583</v>
      </c>
      <c r="AJ3243" s="2">
        <v>0.3</v>
      </c>
      <c r="AK3243" s="1">
        <v>383383</v>
      </c>
      <c r="AL3243" t="s">
        <v>117</v>
      </c>
      <c r="AM3243" t="s">
        <v>376</v>
      </c>
      <c r="AN3243">
        <v>52141</v>
      </c>
      <c r="AO3243">
        <v>1.2</v>
      </c>
      <c r="AP3243">
        <v>1</v>
      </c>
      <c r="AR3243">
        <v>1</v>
      </c>
      <c r="AS3243" s="1">
        <v>26130</v>
      </c>
      <c r="AT3243" s="1">
        <v>5220</v>
      </c>
      <c r="AU3243" s="1">
        <v>20910</v>
      </c>
      <c r="AV3243">
        <v>80.02</v>
      </c>
      <c r="AX3243" s="1">
        <v>1479.24</v>
      </c>
      <c r="AY3243" t="s">
        <v>6572</v>
      </c>
      <c r="AZ3243" t="s">
        <v>3761</v>
      </c>
      <c r="BA3243" t="s">
        <v>232</v>
      </c>
      <c r="BB3243" s="3">
        <v>41942</v>
      </c>
      <c r="BD3243" t="s">
        <v>240</v>
      </c>
      <c r="BE3243" s="3">
        <v>41942</v>
      </c>
      <c r="BF3243" s="1">
        <v>270000</v>
      </c>
      <c r="BG3243" t="s">
        <v>21076</v>
      </c>
      <c r="BH3243" s="1">
        <v>116.38</v>
      </c>
      <c r="BI3243" s="1">
        <v>269800</v>
      </c>
      <c r="BJ3243" s="3">
        <v>42305</v>
      </c>
      <c r="BK3243" t="s">
        <v>123</v>
      </c>
      <c r="BL3243" t="str">
        <f>"2015.773684"</f>
        <v>2015.773684</v>
      </c>
      <c r="BM3243" t="s">
        <v>322</v>
      </c>
      <c r="BO3243" t="s">
        <v>21073</v>
      </c>
      <c r="BS3243">
        <v>30</v>
      </c>
      <c r="BW3243" t="str">
        <f>""</f>
        <v/>
      </c>
      <c r="CH3243" t="str">
        <f>""</f>
        <v/>
      </c>
      <c r="CS3243" t="str">
        <f>""</f>
        <v/>
      </c>
    </row>
    <row r="3244" spans="1:97" x14ac:dyDescent="0.25">
      <c r="A3244" t="s">
        <v>370</v>
      </c>
      <c r="B3244" t="s">
        <v>18160</v>
      </c>
      <c r="C3244" t="s">
        <v>17672</v>
      </c>
      <c r="D3244" t="s">
        <v>18160</v>
      </c>
      <c r="E3244" t="s">
        <v>21077</v>
      </c>
      <c r="F3244" t="s">
        <v>108</v>
      </c>
      <c r="H3244" t="s">
        <v>21078</v>
      </c>
      <c r="I3244" t="s">
        <v>225</v>
      </c>
      <c r="J3244" t="s">
        <v>111</v>
      </c>
      <c r="K3244" t="str">
        <f>"85207"</f>
        <v>85207</v>
      </c>
      <c r="L3244" t="s">
        <v>688</v>
      </c>
      <c r="M3244" t="s">
        <v>21078</v>
      </c>
      <c r="N3244" t="s">
        <v>225</v>
      </c>
      <c r="O3244" t="s">
        <v>111</v>
      </c>
      <c r="P3244" t="str">
        <f>"85207-5257"</f>
        <v>85207-5257</v>
      </c>
      <c r="Q3244" t="s">
        <v>113</v>
      </c>
      <c r="R3244" t="str">
        <f>"220-19-002-K"</f>
        <v>220-19-002-K</v>
      </c>
      <c r="U3244">
        <v>1938</v>
      </c>
      <c r="V3244">
        <v>0</v>
      </c>
      <c r="W3244">
        <v>3</v>
      </c>
      <c r="X3244">
        <v>2003</v>
      </c>
      <c r="Z3244">
        <v>1</v>
      </c>
      <c r="AB3244">
        <v>0</v>
      </c>
      <c r="AC3244" t="s">
        <v>115</v>
      </c>
      <c r="AD3244">
        <v>3</v>
      </c>
      <c r="AE3244" t="s">
        <v>115</v>
      </c>
      <c r="AF3244">
        <v>0</v>
      </c>
      <c r="AG3244">
        <v>0</v>
      </c>
      <c r="AH3244" t="s">
        <v>116</v>
      </c>
      <c r="AI3244" s="1">
        <v>32771</v>
      </c>
      <c r="AJ3244" s="2">
        <v>0.08</v>
      </c>
      <c r="AK3244" s="1">
        <v>434217</v>
      </c>
      <c r="AL3244" t="s">
        <v>117</v>
      </c>
      <c r="AM3244" t="s">
        <v>376</v>
      </c>
      <c r="AN3244">
        <v>46313</v>
      </c>
      <c r="AO3244">
        <v>1.06</v>
      </c>
      <c r="AP3244">
        <v>1</v>
      </c>
      <c r="AR3244">
        <v>1</v>
      </c>
      <c r="AS3244" s="1">
        <v>32820</v>
      </c>
      <c r="AT3244" s="1">
        <v>6560</v>
      </c>
      <c r="AU3244" s="1">
        <v>26260</v>
      </c>
      <c r="AV3244">
        <v>80.010000000000005</v>
      </c>
      <c r="AX3244" s="1">
        <v>2441.7600000000002</v>
      </c>
      <c r="AY3244" t="s">
        <v>15020</v>
      </c>
      <c r="AZ3244" t="s">
        <v>3761</v>
      </c>
      <c r="BA3244" t="s">
        <v>232</v>
      </c>
      <c r="BE3244" s="3">
        <v>42244</v>
      </c>
      <c r="BF3244" s="1">
        <v>349900</v>
      </c>
      <c r="BG3244" t="s">
        <v>14525</v>
      </c>
      <c r="BH3244" s="1">
        <v>180.55</v>
      </c>
      <c r="BI3244" s="1">
        <v>361446</v>
      </c>
      <c r="BJ3244" s="3">
        <v>42244</v>
      </c>
      <c r="BK3244" t="s">
        <v>123</v>
      </c>
      <c r="BL3244" t="str">
        <f>"2015.624736"</f>
        <v>2015.624736</v>
      </c>
      <c r="BM3244" t="s">
        <v>1185</v>
      </c>
      <c r="BN3244" t="s">
        <v>6728</v>
      </c>
      <c r="BO3244" t="s">
        <v>21079</v>
      </c>
      <c r="BS3244">
        <v>30</v>
      </c>
      <c r="BT3244" s="1">
        <v>40000</v>
      </c>
      <c r="BU3244" s="3">
        <v>43620</v>
      </c>
      <c r="BV3244" t="s">
        <v>134</v>
      </c>
      <c r="BW3244" t="str">
        <f>"2019.414592"</f>
        <v>2019.414592</v>
      </c>
      <c r="BX3244" t="s">
        <v>21080</v>
      </c>
      <c r="BY3244" t="s">
        <v>21081</v>
      </c>
      <c r="BZ3244" t="s">
        <v>21082</v>
      </c>
      <c r="CA3244" t="s">
        <v>21083</v>
      </c>
      <c r="CC3244" t="s">
        <v>139</v>
      </c>
      <c r="CH3244" t="str">
        <f>""</f>
        <v/>
      </c>
      <c r="CS3244" t="str">
        <f>""</f>
        <v/>
      </c>
    </row>
    <row r="3245" spans="1:97" x14ac:dyDescent="0.25">
      <c r="A3245" t="s">
        <v>996</v>
      </c>
      <c r="B3245" t="s">
        <v>21084</v>
      </c>
      <c r="C3245" t="s">
        <v>21085</v>
      </c>
      <c r="D3245" t="s">
        <v>21086</v>
      </c>
      <c r="E3245" t="s">
        <v>21087</v>
      </c>
      <c r="F3245" t="s">
        <v>108</v>
      </c>
      <c r="H3245" t="s">
        <v>21088</v>
      </c>
      <c r="I3245" t="s">
        <v>453</v>
      </c>
      <c r="J3245" t="s">
        <v>111</v>
      </c>
      <c r="K3245" t="str">
        <f>"85345"</f>
        <v>85345</v>
      </c>
      <c r="L3245" t="s">
        <v>6145</v>
      </c>
      <c r="M3245" t="s">
        <v>21088</v>
      </c>
      <c r="N3245" t="s">
        <v>453</v>
      </c>
      <c r="O3245" t="s">
        <v>111</v>
      </c>
      <c r="P3245" t="str">
        <f>"85345-1083"</f>
        <v>85345-1083</v>
      </c>
      <c r="Q3245" t="s">
        <v>113</v>
      </c>
      <c r="R3245" t="str">
        <f>"142-11-397"</f>
        <v>142-11-397</v>
      </c>
      <c r="S3245" t="s">
        <v>21089</v>
      </c>
      <c r="T3245" t="s">
        <v>21090</v>
      </c>
      <c r="U3245">
        <v>1606</v>
      </c>
      <c r="V3245">
        <v>0</v>
      </c>
      <c r="W3245">
        <v>3</v>
      </c>
      <c r="X3245">
        <v>1992</v>
      </c>
      <c r="Z3245">
        <v>1</v>
      </c>
      <c r="AA3245" t="s">
        <v>26</v>
      </c>
      <c r="AB3245">
        <v>0</v>
      </c>
      <c r="AC3245" t="s">
        <v>115</v>
      </c>
      <c r="AD3245">
        <v>2</v>
      </c>
      <c r="AE3245" t="s">
        <v>115</v>
      </c>
      <c r="AF3245">
        <v>0</v>
      </c>
      <c r="AG3245">
        <v>0</v>
      </c>
      <c r="AH3245" t="s">
        <v>116</v>
      </c>
      <c r="AI3245" s="1">
        <v>42725</v>
      </c>
      <c r="AJ3245" s="2">
        <v>0.17</v>
      </c>
      <c r="AK3245" s="1">
        <v>258725</v>
      </c>
      <c r="AL3245" t="s">
        <v>117</v>
      </c>
      <c r="AM3245" t="s">
        <v>171</v>
      </c>
      <c r="AN3245">
        <v>9827</v>
      </c>
      <c r="AO3245">
        <v>0.23</v>
      </c>
      <c r="AP3245">
        <v>1</v>
      </c>
      <c r="AR3245">
        <v>1</v>
      </c>
      <c r="AS3245" s="1">
        <v>17500</v>
      </c>
      <c r="AT3245" s="1">
        <v>3500</v>
      </c>
      <c r="AU3245" s="1">
        <v>14000</v>
      </c>
      <c r="AV3245">
        <v>80</v>
      </c>
      <c r="AX3245" s="1">
        <v>1033.8399999999999</v>
      </c>
      <c r="AY3245" t="s">
        <v>7077</v>
      </c>
      <c r="AZ3245" t="s">
        <v>7077</v>
      </c>
      <c r="BA3245" t="s">
        <v>4007</v>
      </c>
      <c r="BE3245" s="3">
        <v>42156</v>
      </c>
      <c r="BF3245" s="1">
        <v>178000</v>
      </c>
      <c r="BG3245" t="s">
        <v>21091</v>
      </c>
      <c r="BH3245" s="1">
        <v>110.83</v>
      </c>
      <c r="BI3245" s="1">
        <v>216000</v>
      </c>
      <c r="BJ3245" s="3">
        <v>43237</v>
      </c>
      <c r="BK3245" t="s">
        <v>123</v>
      </c>
      <c r="BL3245" t="str">
        <f>"2018.376967"</f>
        <v>2018.376967</v>
      </c>
      <c r="BM3245" t="s">
        <v>361</v>
      </c>
      <c r="BN3245" t="s">
        <v>884</v>
      </c>
      <c r="BO3245" t="s">
        <v>21092</v>
      </c>
      <c r="BP3245" t="s">
        <v>21093</v>
      </c>
      <c r="BR3245" t="s">
        <v>139</v>
      </c>
      <c r="BW3245" t="str">
        <f>""</f>
        <v/>
      </c>
      <c r="CH3245" t="str">
        <f>""</f>
        <v/>
      </c>
      <c r="CS3245" t="str">
        <f>""</f>
        <v/>
      </c>
    </row>
    <row r="3246" spans="1:97" x14ac:dyDescent="0.25">
      <c r="A3246" t="s">
        <v>251</v>
      </c>
      <c r="B3246" t="s">
        <v>19955</v>
      </c>
      <c r="C3246" t="s">
        <v>21094</v>
      </c>
      <c r="D3246" t="s">
        <v>19955</v>
      </c>
      <c r="E3246" t="s">
        <v>21095</v>
      </c>
      <c r="F3246" t="s">
        <v>108</v>
      </c>
      <c r="H3246" t="s">
        <v>21096</v>
      </c>
      <c r="I3246" t="s">
        <v>453</v>
      </c>
      <c r="J3246" t="s">
        <v>111</v>
      </c>
      <c r="K3246" t="str">
        <f>"85383"</f>
        <v>85383</v>
      </c>
      <c r="L3246" t="s">
        <v>558</v>
      </c>
      <c r="M3246" t="s">
        <v>21096</v>
      </c>
      <c r="N3246" t="s">
        <v>453</v>
      </c>
      <c r="O3246" t="s">
        <v>111</v>
      </c>
      <c r="P3246" t="str">
        <f>"85383-1797"</f>
        <v>85383-1797</v>
      </c>
      <c r="Q3246" t="s">
        <v>113</v>
      </c>
      <c r="R3246" t="str">
        <f>"200-10-258"</f>
        <v>200-10-258</v>
      </c>
      <c r="S3246" t="s">
        <v>21097</v>
      </c>
      <c r="T3246" t="s">
        <v>18331</v>
      </c>
      <c r="U3246">
        <v>3094</v>
      </c>
      <c r="V3246">
        <v>0</v>
      </c>
      <c r="W3246">
        <v>3</v>
      </c>
      <c r="X3246">
        <v>1999</v>
      </c>
      <c r="Z3246">
        <v>2</v>
      </c>
      <c r="AB3246">
        <v>0</v>
      </c>
      <c r="AC3246" t="s">
        <v>115</v>
      </c>
      <c r="AD3246">
        <v>2</v>
      </c>
      <c r="AE3246" t="s">
        <v>115</v>
      </c>
      <c r="AF3246">
        <v>0</v>
      </c>
      <c r="AG3246">
        <v>0</v>
      </c>
      <c r="AH3246" t="s">
        <v>116</v>
      </c>
      <c r="AI3246" s="1">
        <v>4461</v>
      </c>
      <c r="AJ3246" s="2">
        <v>0.01</v>
      </c>
      <c r="AK3246" s="1">
        <v>304676</v>
      </c>
      <c r="AL3246" t="s">
        <v>117</v>
      </c>
      <c r="AM3246" t="s">
        <v>191</v>
      </c>
      <c r="AN3246">
        <v>8027</v>
      </c>
      <c r="AO3246">
        <v>0.18</v>
      </c>
      <c r="AP3246">
        <v>1</v>
      </c>
      <c r="AR3246">
        <v>1</v>
      </c>
      <c r="AS3246" s="1">
        <v>24180</v>
      </c>
      <c r="AT3246" s="1">
        <v>4830</v>
      </c>
      <c r="AU3246" s="1">
        <v>19350</v>
      </c>
      <c r="AV3246">
        <v>80.02</v>
      </c>
      <c r="AX3246" s="1">
        <v>1933.5</v>
      </c>
      <c r="AY3246" t="s">
        <v>3228</v>
      </c>
      <c r="AZ3246" t="s">
        <v>3228</v>
      </c>
      <c r="BA3246" t="s">
        <v>457</v>
      </c>
      <c r="BE3246" s="3">
        <v>42552</v>
      </c>
      <c r="BF3246" s="1">
        <v>299500</v>
      </c>
      <c r="BG3246" t="s">
        <v>21098</v>
      </c>
      <c r="BH3246" s="1">
        <v>96.8</v>
      </c>
      <c r="BI3246" s="1">
        <v>300215</v>
      </c>
      <c r="BJ3246" s="3">
        <v>42552</v>
      </c>
      <c r="BK3246" t="s">
        <v>123</v>
      </c>
      <c r="BL3246" t="str">
        <f>"2016.467775"</f>
        <v>2016.467775</v>
      </c>
      <c r="BM3246" t="s">
        <v>2489</v>
      </c>
      <c r="BO3246" t="s">
        <v>21099</v>
      </c>
      <c r="BS3246">
        <v>30</v>
      </c>
      <c r="BW3246" t="str">
        <f>""</f>
        <v/>
      </c>
      <c r="CH3246" t="str">
        <f>""</f>
        <v/>
      </c>
      <c r="CS3246" t="str">
        <f>""</f>
        <v/>
      </c>
    </row>
    <row r="3247" spans="1:97" x14ac:dyDescent="0.25">
      <c r="A3247" t="s">
        <v>6215</v>
      </c>
      <c r="B3247" t="s">
        <v>4593</v>
      </c>
      <c r="E3247" t="s">
        <v>21100</v>
      </c>
      <c r="F3247" t="s">
        <v>108</v>
      </c>
      <c r="H3247" t="s">
        <v>21101</v>
      </c>
      <c r="I3247" t="s">
        <v>3150</v>
      </c>
      <c r="J3247" t="s">
        <v>111</v>
      </c>
      <c r="K3247" t="str">
        <f>"85340"</f>
        <v>85340</v>
      </c>
      <c r="L3247" t="s">
        <v>734</v>
      </c>
      <c r="M3247" t="s">
        <v>21101</v>
      </c>
      <c r="N3247" t="s">
        <v>3150</v>
      </c>
      <c r="O3247" t="s">
        <v>111</v>
      </c>
      <c r="P3247" t="str">
        <f>"85340-9584"</f>
        <v>85340-9584</v>
      </c>
      <c r="Q3247" t="s">
        <v>113</v>
      </c>
      <c r="R3247" t="str">
        <f>"502-70-136-A"</f>
        <v>502-70-136-A</v>
      </c>
      <c r="S3247" t="s">
        <v>21102</v>
      </c>
      <c r="T3247" t="s">
        <v>21103</v>
      </c>
      <c r="U3247">
        <v>1620</v>
      </c>
      <c r="V3247">
        <v>0</v>
      </c>
      <c r="W3247">
        <v>3</v>
      </c>
      <c r="X3247">
        <v>1997</v>
      </c>
      <c r="Z3247">
        <v>1</v>
      </c>
      <c r="AB3247">
        <v>0</v>
      </c>
      <c r="AC3247" t="s">
        <v>115</v>
      </c>
      <c r="AD3247">
        <v>2</v>
      </c>
      <c r="AE3247" t="s">
        <v>115</v>
      </c>
      <c r="AF3247">
        <v>0</v>
      </c>
      <c r="AG3247">
        <v>0</v>
      </c>
      <c r="AH3247" t="s">
        <v>116</v>
      </c>
      <c r="AI3247" s="1">
        <v>44458</v>
      </c>
      <c r="AJ3247" s="2">
        <v>0.13</v>
      </c>
      <c r="AK3247" s="1">
        <v>336607</v>
      </c>
      <c r="AL3247" t="s">
        <v>117</v>
      </c>
      <c r="AM3247" t="s">
        <v>3973</v>
      </c>
      <c r="AN3247">
        <v>44952</v>
      </c>
      <c r="AO3247">
        <v>1.03</v>
      </c>
      <c r="AP3247">
        <v>1</v>
      </c>
      <c r="AR3247">
        <v>1</v>
      </c>
      <c r="AS3247" s="1">
        <v>22030</v>
      </c>
      <c r="AT3247" s="1">
        <v>4400</v>
      </c>
      <c r="AU3247" s="1">
        <v>17630</v>
      </c>
      <c r="AV3247">
        <v>80.03</v>
      </c>
      <c r="AX3247" s="1">
        <v>2256.92</v>
      </c>
      <c r="AY3247" t="s">
        <v>543</v>
      </c>
      <c r="AZ3247" t="s">
        <v>504</v>
      </c>
      <c r="BA3247" t="s">
        <v>218</v>
      </c>
      <c r="BE3247" s="3">
        <v>42117</v>
      </c>
      <c r="BF3247" s="1">
        <v>286000</v>
      </c>
      <c r="BG3247" t="s">
        <v>21104</v>
      </c>
      <c r="BH3247" s="1">
        <v>176.54</v>
      </c>
      <c r="BI3247" s="1">
        <v>292149</v>
      </c>
      <c r="BJ3247" s="3">
        <v>42117</v>
      </c>
      <c r="BK3247" t="s">
        <v>123</v>
      </c>
      <c r="BL3247" t="str">
        <f>"2015.281427"</f>
        <v>2015.281427</v>
      </c>
      <c r="BM3247" t="s">
        <v>1038</v>
      </c>
      <c r="BO3247" t="s">
        <v>21105</v>
      </c>
      <c r="BS3247">
        <v>30</v>
      </c>
      <c r="BW3247" t="str">
        <f>""</f>
        <v/>
      </c>
      <c r="CH3247" t="str">
        <f>""</f>
        <v/>
      </c>
      <c r="CS3247" t="str">
        <f>""</f>
        <v/>
      </c>
    </row>
    <row r="3248" spans="1:97" x14ac:dyDescent="0.25">
      <c r="A3248" t="s">
        <v>3613</v>
      </c>
      <c r="B3248" t="s">
        <v>659</v>
      </c>
      <c r="C3248" t="s">
        <v>21106</v>
      </c>
      <c r="D3248" t="s">
        <v>659</v>
      </c>
      <c r="E3248" t="s">
        <v>21107</v>
      </c>
      <c r="F3248" t="s">
        <v>108</v>
      </c>
      <c r="H3248" t="s">
        <v>21108</v>
      </c>
      <c r="I3248" t="s">
        <v>374</v>
      </c>
      <c r="J3248" t="s">
        <v>111</v>
      </c>
      <c r="K3248" t="str">
        <f>"85087"</f>
        <v>85087</v>
      </c>
      <c r="L3248" t="s">
        <v>11846</v>
      </c>
      <c r="M3248" t="s">
        <v>21108</v>
      </c>
      <c r="N3248" t="s">
        <v>374</v>
      </c>
      <c r="O3248" t="s">
        <v>111</v>
      </c>
      <c r="P3248" t="str">
        <f>"85087-8606"</f>
        <v>85087-8606</v>
      </c>
      <c r="Q3248" t="s">
        <v>113</v>
      </c>
      <c r="R3248" t="str">
        <f>"202-20-082-B"</f>
        <v>202-20-082-B</v>
      </c>
      <c r="U3248">
        <v>1456</v>
      </c>
      <c r="V3248">
        <v>0</v>
      </c>
      <c r="W3248">
        <v>2</v>
      </c>
      <c r="X3248">
        <v>1981</v>
      </c>
      <c r="Z3248">
        <v>1</v>
      </c>
      <c r="AB3248">
        <v>0</v>
      </c>
      <c r="AC3248" t="s">
        <v>115</v>
      </c>
      <c r="AD3248">
        <v>5</v>
      </c>
      <c r="AE3248" t="s">
        <v>115</v>
      </c>
      <c r="AF3248">
        <v>0</v>
      </c>
      <c r="AG3248">
        <v>0</v>
      </c>
      <c r="AH3248" t="s">
        <v>116</v>
      </c>
      <c r="AI3248" s="1">
        <v>71482</v>
      </c>
      <c r="AJ3248" s="2">
        <v>0.19</v>
      </c>
      <c r="AK3248" s="1">
        <v>379212</v>
      </c>
      <c r="AL3248" t="s">
        <v>117</v>
      </c>
      <c r="AM3248" t="s">
        <v>376</v>
      </c>
      <c r="AN3248">
        <v>188402</v>
      </c>
      <c r="AO3248">
        <v>4.32</v>
      </c>
      <c r="AP3248">
        <v>1</v>
      </c>
      <c r="AR3248">
        <v>1</v>
      </c>
      <c r="AS3248" s="1">
        <v>26250</v>
      </c>
      <c r="AT3248" s="1">
        <v>5250</v>
      </c>
      <c r="AU3248" s="1">
        <v>21000</v>
      </c>
      <c r="AV3248">
        <v>80</v>
      </c>
      <c r="AX3248" s="1">
        <v>2246.8200000000002</v>
      </c>
      <c r="AY3248" t="s">
        <v>665</v>
      </c>
      <c r="AZ3248" t="s">
        <v>665</v>
      </c>
      <c r="BA3248" t="s">
        <v>378</v>
      </c>
      <c r="BE3248" s="3">
        <v>42123</v>
      </c>
      <c r="BF3248" s="1">
        <v>297900</v>
      </c>
      <c r="BG3248" t="s">
        <v>21109</v>
      </c>
      <c r="BH3248" s="1">
        <v>204.6</v>
      </c>
      <c r="BI3248" s="1">
        <v>307730</v>
      </c>
      <c r="BJ3248" s="3">
        <v>42123</v>
      </c>
      <c r="BK3248" t="s">
        <v>123</v>
      </c>
      <c r="BL3248" t="str">
        <f>"2015.296524"</f>
        <v>2015.296524</v>
      </c>
      <c r="BM3248" t="s">
        <v>594</v>
      </c>
      <c r="BO3248" t="s">
        <v>21110</v>
      </c>
      <c r="BS3248">
        <v>30</v>
      </c>
      <c r="BW3248" t="str">
        <f>""</f>
        <v/>
      </c>
      <c r="CH3248" t="str">
        <f>""</f>
        <v/>
      </c>
      <c r="CS3248" t="str">
        <f>""</f>
        <v/>
      </c>
    </row>
    <row r="3249" spans="1:97" x14ac:dyDescent="0.25">
      <c r="A3249" t="s">
        <v>1876</v>
      </c>
      <c r="B3249" t="s">
        <v>21111</v>
      </c>
      <c r="C3249" t="s">
        <v>21112</v>
      </c>
      <c r="D3249" t="s">
        <v>21113</v>
      </c>
      <c r="E3249" t="s">
        <v>21114</v>
      </c>
      <c r="F3249" t="s">
        <v>139</v>
      </c>
      <c r="H3249" t="s">
        <v>21115</v>
      </c>
      <c r="I3249" t="s">
        <v>188</v>
      </c>
      <c r="J3249" t="s">
        <v>111</v>
      </c>
      <c r="K3249" t="str">
        <f>"85142"</f>
        <v>85142</v>
      </c>
      <c r="L3249" t="s">
        <v>5775</v>
      </c>
      <c r="M3249" t="s">
        <v>21115</v>
      </c>
      <c r="N3249" t="s">
        <v>188</v>
      </c>
      <c r="O3249" t="s">
        <v>111</v>
      </c>
      <c r="P3249" t="str">
        <f>"85142-8595"</f>
        <v>85142-8595</v>
      </c>
      <c r="Q3249" t="s">
        <v>113</v>
      </c>
      <c r="R3249" t="str">
        <f>"304-61-179"</f>
        <v>304-61-179</v>
      </c>
      <c r="S3249" t="s">
        <v>10012</v>
      </c>
      <c r="U3249">
        <v>1637</v>
      </c>
      <c r="V3249">
        <v>0</v>
      </c>
      <c r="W3249">
        <v>3</v>
      </c>
      <c r="X3249">
        <v>2004</v>
      </c>
      <c r="Z3249">
        <v>1</v>
      </c>
      <c r="AB3249">
        <v>0</v>
      </c>
      <c r="AC3249" t="s">
        <v>115</v>
      </c>
      <c r="AD3249">
        <v>2</v>
      </c>
      <c r="AE3249" t="s">
        <v>115</v>
      </c>
      <c r="AF3249">
        <v>0</v>
      </c>
      <c r="AG3249">
        <v>0</v>
      </c>
      <c r="AH3249" t="s">
        <v>116</v>
      </c>
      <c r="AI3249" s="1">
        <v>101615</v>
      </c>
      <c r="AJ3249" s="2">
        <v>0.33</v>
      </c>
      <c r="AK3249" s="1">
        <v>306615</v>
      </c>
      <c r="AL3249" t="s">
        <v>117</v>
      </c>
      <c r="AM3249" t="s">
        <v>191</v>
      </c>
      <c r="AN3249">
        <v>12279</v>
      </c>
      <c r="AO3249">
        <v>0.28000000000000003</v>
      </c>
      <c r="AP3249">
        <v>1</v>
      </c>
      <c r="AR3249">
        <v>1</v>
      </c>
      <c r="AS3249" s="1">
        <v>21600</v>
      </c>
      <c r="AT3249" s="1">
        <v>4320</v>
      </c>
      <c r="AU3249" s="1">
        <v>17280</v>
      </c>
      <c r="AV3249">
        <v>80</v>
      </c>
      <c r="AX3249" s="1">
        <v>1900.7</v>
      </c>
      <c r="AY3249" t="s">
        <v>5792</v>
      </c>
      <c r="AZ3249" t="s">
        <v>5792</v>
      </c>
      <c r="BA3249" t="s">
        <v>290</v>
      </c>
      <c r="BB3249" s="3">
        <v>43206</v>
      </c>
      <c r="BC3249" s="1">
        <v>0</v>
      </c>
      <c r="BD3249" t="s">
        <v>247</v>
      </c>
      <c r="BE3249" s="3">
        <v>42108</v>
      </c>
      <c r="BF3249" s="1">
        <v>216000</v>
      </c>
      <c r="BG3249" t="s">
        <v>21116</v>
      </c>
      <c r="BH3249" s="1">
        <v>131.94999999999999</v>
      </c>
      <c r="BI3249" s="1">
        <v>205000</v>
      </c>
      <c r="BJ3249" s="3">
        <v>42461</v>
      </c>
      <c r="BK3249" t="s">
        <v>123</v>
      </c>
      <c r="BL3249" t="str">
        <f>"2016.217334"</f>
        <v>2016.217334</v>
      </c>
      <c r="BM3249" t="s">
        <v>11726</v>
      </c>
      <c r="BN3249" t="s">
        <v>7780</v>
      </c>
      <c r="BO3249" t="s">
        <v>21117</v>
      </c>
      <c r="BS3249">
        <v>15</v>
      </c>
      <c r="BW3249" t="str">
        <f>""</f>
        <v/>
      </c>
      <c r="CH3249" t="str">
        <f>""</f>
        <v/>
      </c>
      <c r="CS3249" t="str">
        <f>""</f>
        <v/>
      </c>
    </row>
    <row r="3250" spans="1:97" x14ac:dyDescent="0.25">
      <c r="B3250" t="s">
        <v>21118</v>
      </c>
      <c r="E3250" t="s">
        <v>21119</v>
      </c>
      <c r="F3250" t="s">
        <v>108</v>
      </c>
      <c r="H3250" t="s">
        <v>21120</v>
      </c>
      <c r="I3250" t="s">
        <v>144</v>
      </c>
      <c r="J3250" t="s">
        <v>111</v>
      </c>
      <c r="K3250" t="str">
        <f>"85326"</f>
        <v>85326</v>
      </c>
      <c r="L3250" t="s">
        <v>8146</v>
      </c>
      <c r="M3250" t="s">
        <v>21120</v>
      </c>
      <c r="N3250" t="s">
        <v>144</v>
      </c>
      <c r="O3250" t="s">
        <v>111</v>
      </c>
      <c r="P3250" t="str">
        <f>"85326-6625"</f>
        <v>85326-6625</v>
      </c>
      <c r="Q3250" t="s">
        <v>113</v>
      </c>
      <c r="R3250" t="str">
        <f>"502-35-382"</f>
        <v>502-35-382</v>
      </c>
      <c r="S3250" t="s">
        <v>10984</v>
      </c>
      <c r="U3250">
        <v>1820</v>
      </c>
      <c r="V3250">
        <v>0</v>
      </c>
      <c r="W3250">
        <v>3</v>
      </c>
      <c r="X3250">
        <v>2014</v>
      </c>
      <c r="Z3250">
        <v>1</v>
      </c>
      <c r="AB3250">
        <v>0</v>
      </c>
      <c r="AC3250" t="s">
        <v>115</v>
      </c>
      <c r="AD3250">
        <v>2</v>
      </c>
      <c r="AE3250" t="s">
        <v>115</v>
      </c>
      <c r="AF3250">
        <v>0</v>
      </c>
      <c r="AG3250">
        <v>0</v>
      </c>
      <c r="AH3250" t="s">
        <v>116</v>
      </c>
      <c r="AI3250" s="1">
        <v>39956</v>
      </c>
      <c r="AJ3250" s="2">
        <v>0.15</v>
      </c>
      <c r="AK3250" s="1">
        <v>262456</v>
      </c>
      <c r="AL3250" t="s">
        <v>117</v>
      </c>
      <c r="AM3250" t="s">
        <v>118</v>
      </c>
      <c r="AN3250">
        <v>6728</v>
      </c>
      <c r="AO3250">
        <v>0.15</v>
      </c>
      <c r="AR3250">
        <v>1</v>
      </c>
      <c r="AS3250" s="1">
        <v>17970</v>
      </c>
      <c r="AT3250" s="1">
        <v>3590</v>
      </c>
      <c r="AU3250" s="1">
        <v>14380</v>
      </c>
      <c r="AV3250">
        <v>80.02</v>
      </c>
      <c r="AX3250" s="1">
        <v>1456.54</v>
      </c>
      <c r="AY3250" t="s">
        <v>2767</v>
      </c>
      <c r="AZ3250" t="s">
        <v>2767</v>
      </c>
      <c r="BA3250" t="s">
        <v>5025</v>
      </c>
      <c r="BB3250" s="3">
        <v>43594</v>
      </c>
      <c r="BC3250" s="1">
        <v>0</v>
      </c>
      <c r="BD3250" t="s">
        <v>247</v>
      </c>
      <c r="BE3250" s="3">
        <v>41983</v>
      </c>
      <c r="BF3250" s="1">
        <v>208094</v>
      </c>
      <c r="BG3250" t="s">
        <v>749</v>
      </c>
      <c r="BH3250" s="1">
        <v>114.34</v>
      </c>
      <c r="BI3250" s="1">
        <v>222500</v>
      </c>
      <c r="BJ3250" s="3">
        <v>43553</v>
      </c>
      <c r="BK3250" t="s">
        <v>123</v>
      </c>
      <c r="BL3250" t="str">
        <f>"2019.220264"</f>
        <v>2019.220264</v>
      </c>
      <c r="BM3250" t="s">
        <v>10402</v>
      </c>
      <c r="BN3250" t="s">
        <v>10403</v>
      </c>
      <c r="BO3250" t="s">
        <v>21121</v>
      </c>
      <c r="BP3250" t="s">
        <v>21122</v>
      </c>
      <c r="BR3250" t="s">
        <v>139</v>
      </c>
      <c r="BW3250" t="str">
        <f>""</f>
        <v/>
      </c>
      <c r="CH3250" t="str">
        <f>""</f>
        <v/>
      </c>
      <c r="CS3250" t="str">
        <f>""</f>
        <v/>
      </c>
    </row>
    <row r="3251" spans="1:97" x14ac:dyDescent="0.25">
      <c r="A3251" t="s">
        <v>3613</v>
      </c>
      <c r="B3251" t="s">
        <v>14169</v>
      </c>
      <c r="C3251" t="s">
        <v>21123</v>
      </c>
      <c r="D3251" t="s">
        <v>14169</v>
      </c>
      <c r="E3251" t="s">
        <v>21124</v>
      </c>
      <c r="F3251" t="s">
        <v>108</v>
      </c>
      <c r="H3251" t="s">
        <v>21125</v>
      </c>
      <c r="I3251" t="s">
        <v>632</v>
      </c>
      <c r="J3251" t="s">
        <v>111</v>
      </c>
      <c r="K3251" t="str">
        <f>"85379"</f>
        <v>85379</v>
      </c>
      <c r="L3251" t="s">
        <v>269</v>
      </c>
      <c r="M3251" t="s">
        <v>21125</v>
      </c>
      <c r="N3251" t="s">
        <v>632</v>
      </c>
      <c r="O3251" t="s">
        <v>111</v>
      </c>
      <c r="P3251" t="str">
        <f>"85379-4684"</f>
        <v>85379-4684</v>
      </c>
      <c r="R3251" t="str">
        <f>"501-40-574"</f>
        <v>501-40-574</v>
      </c>
      <c r="S3251" t="s">
        <v>21126</v>
      </c>
      <c r="U3251">
        <v>2831</v>
      </c>
      <c r="V3251">
        <v>0</v>
      </c>
      <c r="W3251">
        <v>4</v>
      </c>
      <c r="X3251">
        <v>2005</v>
      </c>
      <c r="Z3251">
        <v>2</v>
      </c>
      <c r="AA3251" t="s">
        <v>26</v>
      </c>
      <c r="AB3251">
        <v>0</v>
      </c>
      <c r="AC3251" t="s">
        <v>115</v>
      </c>
      <c r="AD3251">
        <v>2</v>
      </c>
      <c r="AE3251" t="s">
        <v>115</v>
      </c>
      <c r="AF3251">
        <v>0</v>
      </c>
      <c r="AG3251">
        <v>0</v>
      </c>
      <c r="AH3251" t="s">
        <v>116</v>
      </c>
      <c r="AI3251" s="1">
        <v>65425</v>
      </c>
      <c r="AJ3251" s="2">
        <v>0.19</v>
      </c>
      <c r="AK3251" s="1">
        <v>336122</v>
      </c>
      <c r="AL3251" t="s">
        <v>117</v>
      </c>
      <c r="AM3251" t="s">
        <v>118</v>
      </c>
      <c r="AN3251">
        <v>6929</v>
      </c>
      <c r="AO3251">
        <v>0.16</v>
      </c>
      <c r="AR3251">
        <v>1</v>
      </c>
      <c r="AS3251" s="1">
        <v>24050</v>
      </c>
      <c r="AT3251" s="1">
        <v>4810</v>
      </c>
      <c r="AU3251" s="1">
        <v>19240</v>
      </c>
      <c r="AV3251">
        <v>80</v>
      </c>
      <c r="AX3251" s="1">
        <v>2283.62</v>
      </c>
      <c r="AY3251" t="s">
        <v>5060</v>
      </c>
      <c r="AZ3251" t="s">
        <v>5060</v>
      </c>
      <c r="BA3251" t="s">
        <v>5061</v>
      </c>
      <c r="BB3251" s="3">
        <v>42403</v>
      </c>
      <c r="BD3251" t="s">
        <v>240</v>
      </c>
      <c r="BE3251" s="3">
        <v>42403</v>
      </c>
      <c r="BF3251" s="1">
        <v>265000</v>
      </c>
      <c r="BG3251" t="s">
        <v>21127</v>
      </c>
      <c r="BH3251" s="1">
        <v>93.61</v>
      </c>
      <c r="BI3251" s="1">
        <v>270697</v>
      </c>
      <c r="BJ3251" s="3">
        <v>42403</v>
      </c>
      <c r="BK3251" t="s">
        <v>123</v>
      </c>
      <c r="BL3251" t="str">
        <f>"2016.71246"</f>
        <v>2016.71246</v>
      </c>
      <c r="BM3251" t="s">
        <v>1325</v>
      </c>
      <c r="BN3251" t="s">
        <v>15523</v>
      </c>
      <c r="BO3251" t="s">
        <v>21128</v>
      </c>
      <c r="BS3251">
        <v>30</v>
      </c>
      <c r="BW3251" t="str">
        <f>""</f>
        <v/>
      </c>
      <c r="CH3251" t="str">
        <f>""</f>
        <v/>
      </c>
      <c r="CS3251" t="str">
        <f>""</f>
        <v/>
      </c>
    </row>
    <row r="3252" spans="1:97" x14ac:dyDescent="0.25">
      <c r="A3252" t="s">
        <v>1514</v>
      </c>
      <c r="B3252" t="s">
        <v>21129</v>
      </c>
      <c r="C3252" t="s">
        <v>2930</v>
      </c>
      <c r="D3252" t="s">
        <v>21129</v>
      </c>
      <c r="E3252" t="s">
        <v>21130</v>
      </c>
      <c r="F3252" t="s">
        <v>108</v>
      </c>
      <c r="H3252" t="s">
        <v>21131</v>
      </c>
      <c r="I3252" t="s">
        <v>390</v>
      </c>
      <c r="J3252" t="s">
        <v>111</v>
      </c>
      <c r="K3252" t="str">
        <f>"85086"</f>
        <v>85086</v>
      </c>
      <c r="L3252" t="s">
        <v>4698</v>
      </c>
      <c r="M3252" t="s">
        <v>21131</v>
      </c>
      <c r="N3252" t="s">
        <v>390</v>
      </c>
      <c r="O3252" t="s">
        <v>111</v>
      </c>
      <c r="P3252" t="str">
        <f>"85086-2249"</f>
        <v>85086-2249</v>
      </c>
      <c r="Q3252" t="s">
        <v>113</v>
      </c>
      <c r="R3252" t="str">
        <f>"203-26-524"</f>
        <v>203-26-524</v>
      </c>
      <c r="S3252" t="s">
        <v>21132</v>
      </c>
      <c r="U3252">
        <v>2350</v>
      </c>
      <c r="V3252">
        <v>0</v>
      </c>
      <c r="W3252">
        <v>3</v>
      </c>
      <c r="X3252">
        <v>2002</v>
      </c>
      <c r="Z3252">
        <v>1</v>
      </c>
      <c r="AA3252" t="s">
        <v>26</v>
      </c>
      <c r="AB3252">
        <v>0</v>
      </c>
      <c r="AC3252" t="s">
        <v>115</v>
      </c>
      <c r="AD3252">
        <v>3</v>
      </c>
      <c r="AE3252" t="s">
        <v>115</v>
      </c>
      <c r="AF3252">
        <v>0</v>
      </c>
      <c r="AG3252">
        <v>0</v>
      </c>
      <c r="AH3252" t="s">
        <v>116</v>
      </c>
      <c r="AI3252" s="1">
        <v>70211</v>
      </c>
      <c r="AJ3252" s="2">
        <v>0.19</v>
      </c>
      <c r="AK3252" s="1">
        <v>377410</v>
      </c>
      <c r="AL3252" t="s">
        <v>117</v>
      </c>
      <c r="AM3252" t="s">
        <v>1302</v>
      </c>
      <c r="AN3252">
        <v>7475</v>
      </c>
      <c r="AO3252">
        <v>0.17</v>
      </c>
      <c r="AP3252">
        <v>1</v>
      </c>
      <c r="AR3252">
        <v>1</v>
      </c>
      <c r="AS3252" s="1">
        <v>27680</v>
      </c>
      <c r="AT3252" s="1">
        <v>5530</v>
      </c>
      <c r="AU3252" s="1">
        <v>22150</v>
      </c>
      <c r="AV3252">
        <v>80.02</v>
      </c>
      <c r="AX3252" s="1">
        <v>2608.1</v>
      </c>
      <c r="AY3252" t="s">
        <v>8639</v>
      </c>
      <c r="AZ3252" t="s">
        <v>8639</v>
      </c>
      <c r="BA3252" t="s">
        <v>378</v>
      </c>
      <c r="BE3252" s="3">
        <v>42311</v>
      </c>
      <c r="BF3252" s="1">
        <v>349000</v>
      </c>
      <c r="BG3252" t="s">
        <v>21133</v>
      </c>
      <c r="BH3252" s="1">
        <v>148.51</v>
      </c>
      <c r="BI3252" s="1">
        <v>307199</v>
      </c>
      <c r="BJ3252" s="3">
        <v>42660</v>
      </c>
      <c r="BK3252" t="s">
        <v>123</v>
      </c>
      <c r="BL3252" t="str">
        <f>"2016.760521"</f>
        <v>2016.760521</v>
      </c>
      <c r="BM3252" t="s">
        <v>1154</v>
      </c>
      <c r="BO3252" t="s">
        <v>21134</v>
      </c>
      <c r="BS3252">
        <v>30</v>
      </c>
      <c r="BW3252" t="str">
        <f>""</f>
        <v/>
      </c>
      <c r="CH3252" t="str">
        <f>""</f>
        <v/>
      </c>
      <c r="CS3252" t="str">
        <f>""</f>
        <v/>
      </c>
    </row>
    <row r="3253" spans="1:97" x14ac:dyDescent="0.25">
      <c r="A3253" t="s">
        <v>3089</v>
      </c>
      <c r="B3253" t="s">
        <v>21135</v>
      </c>
      <c r="E3253" t="s">
        <v>21136</v>
      </c>
      <c r="F3253" t="s">
        <v>108</v>
      </c>
      <c r="H3253" t="s">
        <v>21137</v>
      </c>
      <c r="I3253" t="s">
        <v>1936</v>
      </c>
      <c r="J3253" t="s">
        <v>111</v>
      </c>
      <c r="K3253" t="str">
        <f>"85251"</f>
        <v>85251</v>
      </c>
      <c r="L3253" t="s">
        <v>8199</v>
      </c>
      <c r="M3253" t="s">
        <v>21137</v>
      </c>
      <c r="N3253" t="s">
        <v>1936</v>
      </c>
      <c r="O3253" t="s">
        <v>111</v>
      </c>
      <c r="P3253" t="str">
        <f>"85251-1806"</f>
        <v>85251-1806</v>
      </c>
      <c r="Q3253" t="s">
        <v>113</v>
      </c>
      <c r="R3253" t="str">
        <f>"173-67-003"</f>
        <v>173-67-003</v>
      </c>
      <c r="S3253" t="s">
        <v>21138</v>
      </c>
      <c r="U3253">
        <v>1740</v>
      </c>
      <c r="V3253">
        <v>0</v>
      </c>
      <c r="W3253">
        <v>2</v>
      </c>
      <c r="X3253">
        <v>1960</v>
      </c>
      <c r="Z3253">
        <v>1</v>
      </c>
      <c r="AA3253" t="s">
        <v>26</v>
      </c>
      <c r="AB3253">
        <v>0</v>
      </c>
      <c r="AC3253" t="s">
        <v>115</v>
      </c>
      <c r="AD3253">
        <v>2</v>
      </c>
      <c r="AE3253" t="s">
        <v>115</v>
      </c>
      <c r="AF3253">
        <v>0</v>
      </c>
      <c r="AG3253">
        <v>0</v>
      </c>
      <c r="AH3253" t="s">
        <v>116</v>
      </c>
      <c r="AI3253" s="1">
        <v>14195</v>
      </c>
      <c r="AJ3253" s="2">
        <v>0.03</v>
      </c>
      <c r="AK3253" s="1">
        <v>442890</v>
      </c>
      <c r="AL3253" t="s">
        <v>117</v>
      </c>
      <c r="AM3253" t="s">
        <v>393</v>
      </c>
      <c r="AN3253">
        <v>9390</v>
      </c>
      <c r="AO3253">
        <v>0.22</v>
      </c>
      <c r="AP3253">
        <v>1</v>
      </c>
      <c r="AR3253">
        <v>1</v>
      </c>
      <c r="AS3253" s="1">
        <v>31230</v>
      </c>
      <c r="AT3253" s="1">
        <v>6240</v>
      </c>
      <c r="AU3253" s="1">
        <v>24990</v>
      </c>
      <c r="AV3253">
        <v>80.02</v>
      </c>
      <c r="AX3253" s="1">
        <v>1686.06</v>
      </c>
      <c r="AY3253" t="s">
        <v>11099</v>
      </c>
      <c r="AZ3253" t="s">
        <v>6975</v>
      </c>
      <c r="BA3253" t="s">
        <v>6976</v>
      </c>
      <c r="BB3253" s="3">
        <v>42585</v>
      </c>
      <c r="BD3253" t="s">
        <v>240</v>
      </c>
      <c r="BE3253" s="3">
        <v>41733</v>
      </c>
      <c r="BF3253" s="1">
        <v>368000</v>
      </c>
      <c r="BG3253" t="s">
        <v>21139</v>
      </c>
      <c r="BH3253" s="1">
        <v>211.49</v>
      </c>
      <c r="BI3253" s="1">
        <v>428695</v>
      </c>
      <c r="BJ3253" s="3">
        <v>42585</v>
      </c>
      <c r="BK3253" t="s">
        <v>123</v>
      </c>
      <c r="BL3253" t="str">
        <f>"2016.551933"</f>
        <v>2016.551933</v>
      </c>
      <c r="BM3253" t="s">
        <v>820</v>
      </c>
      <c r="BO3253" t="s">
        <v>21140</v>
      </c>
      <c r="BS3253">
        <v>30</v>
      </c>
      <c r="BW3253" t="str">
        <f>""</f>
        <v/>
      </c>
      <c r="CH3253" t="str">
        <f>""</f>
        <v/>
      </c>
      <c r="CS3253" t="str">
        <f>""</f>
        <v/>
      </c>
    </row>
    <row r="3254" spans="1:97" x14ac:dyDescent="0.25">
      <c r="A3254" t="s">
        <v>325</v>
      </c>
      <c r="B3254" t="s">
        <v>21141</v>
      </c>
      <c r="C3254" t="s">
        <v>513</v>
      </c>
      <c r="D3254" t="s">
        <v>21141</v>
      </c>
      <c r="E3254" t="s">
        <v>21142</v>
      </c>
      <c r="F3254" t="s">
        <v>108</v>
      </c>
      <c r="H3254" t="s">
        <v>21143</v>
      </c>
      <c r="I3254" t="s">
        <v>390</v>
      </c>
      <c r="J3254" t="s">
        <v>111</v>
      </c>
      <c r="K3254" t="str">
        <f>"85040"</f>
        <v>85040</v>
      </c>
      <c r="L3254" t="s">
        <v>15921</v>
      </c>
      <c r="M3254" t="s">
        <v>21143</v>
      </c>
      <c r="N3254" t="s">
        <v>390</v>
      </c>
      <c r="O3254" t="s">
        <v>111</v>
      </c>
      <c r="P3254" t="str">
        <f>"85040-3409"</f>
        <v>85040-3409</v>
      </c>
      <c r="Q3254" t="s">
        <v>113</v>
      </c>
      <c r="R3254" t="str">
        <f>"122-52-338"</f>
        <v>122-52-338</v>
      </c>
      <c r="S3254" t="s">
        <v>15922</v>
      </c>
      <c r="T3254" t="s">
        <v>15923</v>
      </c>
      <c r="U3254">
        <v>3073</v>
      </c>
      <c r="V3254">
        <v>0</v>
      </c>
      <c r="W3254">
        <v>4</v>
      </c>
      <c r="X3254">
        <v>2007</v>
      </c>
      <c r="Z3254">
        <v>2</v>
      </c>
      <c r="AA3254" t="s">
        <v>26</v>
      </c>
      <c r="AB3254">
        <v>0</v>
      </c>
      <c r="AC3254" t="s">
        <v>115</v>
      </c>
      <c r="AD3254">
        <v>2</v>
      </c>
      <c r="AE3254" t="s">
        <v>115</v>
      </c>
      <c r="AF3254">
        <v>0</v>
      </c>
      <c r="AG3254">
        <v>0</v>
      </c>
      <c r="AH3254" t="s">
        <v>116</v>
      </c>
      <c r="AI3254" s="1">
        <v>17177</v>
      </c>
      <c r="AJ3254" s="2">
        <v>0.05</v>
      </c>
      <c r="AK3254" s="1">
        <v>345671</v>
      </c>
      <c r="AL3254" t="s">
        <v>117</v>
      </c>
      <c r="AM3254" t="s">
        <v>191</v>
      </c>
      <c r="AN3254">
        <v>5175</v>
      </c>
      <c r="AO3254">
        <v>0.12</v>
      </c>
      <c r="AR3254">
        <v>1</v>
      </c>
      <c r="AS3254" s="1">
        <v>23880</v>
      </c>
      <c r="AT3254" s="1">
        <v>4770</v>
      </c>
      <c r="AU3254" s="1">
        <v>19110</v>
      </c>
      <c r="AV3254">
        <v>80.03</v>
      </c>
      <c r="AX3254" s="1">
        <v>3240.4</v>
      </c>
      <c r="AY3254" t="s">
        <v>5251</v>
      </c>
      <c r="AZ3254" t="s">
        <v>5251</v>
      </c>
      <c r="BA3254" t="s">
        <v>2860</v>
      </c>
      <c r="BB3254" s="3">
        <v>42947</v>
      </c>
      <c r="BD3254" t="s">
        <v>157</v>
      </c>
      <c r="BE3254" s="3">
        <v>42153</v>
      </c>
      <c r="BF3254" s="1">
        <v>270965</v>
      </c>
      <c r="BG3254" t="s">
        <v>21144</v>
      </c>
      <c r="BH3254" s="1">
        <v>88.18</v>
      </c>
      <c r="BI3254" s="1">
        <v>328494</v>
      </c>
      <c r="BJ3254" s="3">
        <v>42947</v>
      </c>
      <c r="BK3254" t="s">
        <v>123</v>
      </c>
      <c r="BL3254" t="str">
        <f>"2017.556967"</f>
        <v>2017.556967</v>
      </c>
      <c r="BM3254" t="s">
        <v>21145</v>
      </c>
      <c r="BO3254" t="s">
        <v>21146</v>
      </c>
      <c r="BS3254">
        <v>30</v>
      </c>
      <c r="BW3254" t="str">
        <f>""</f>
        <v/>
      </c>
      <c r="CH3254" t="str">
        <f>""</f>
        <v/>
      </c>
      <c r="CS3254" t="str">
        <f>""</f>
        <v/>
      </c>
    </row>
    <row r="3255" spans="1:97" x14ac:dyDescent="0.25">
      <c r="A3255" t="s">
        <v>21147</v>
      </c>
      <c r="B3255" t="s">
        <v>21148</v>
      </c>
      <c r="C3255" t="s">
        <v>18320</v>
      </c>
      <c r="D3255" t="s">
        <v>21148</v>
      </c>
      <c r="E3255" t="s">
        <v>21149</v>
      </c>
      <c r="F3255" t="s">
        <v>108</v>
      </c>
      <c r="H3255" t="s">
        <v>21150</v>
      </c>
      <c r="I3255" t="s">
        <v>144</v>
      </c>
      <c r="J3255" t="s">
        <v>111</v>
      </c>
      <c r="K3255" t="str">
        <f>"85326"</f>
        <v>85326</v>
      </c>
      <c r="L3255" t="s">
        <v>8146</v>
      </c>
      <c r="M3255" t="s">
        <v>21150</v>
      </c>
      <c r="N3255" t="s">
        <v>144</v>
      </c>
      <c r="O3255" t="s">
        <v>111</v>
      </c>
      <c r="P3255" t="str">
        <f>"85326-6641"</f>
        <v>85326-6641</v>
      </c>
      <c r="Q3255" t="s">
        <v>113</v>
      </c>
      <c r="R3255" t="str">
        <f>"502-35-417"</f>
        <v>502-35-417</v>
      </c>
      <c r="S3255" t="s">
        <v>10984</v>
      </c>
      <c r="U3255">
        <v>1895</v>
      </c>
      <c r="V3255">
        <v>0</v>
      </c>
      <c r="W3255">
        <v>4</v>
      </c>
      <c r="X3255">
        <v>2015</v>
      </c>
      <c r="Z3255">
        <v>1</v>
      </c>
      <c r="AB3255">
        <v>0</v>
      </c>
      <c r="AC3255" t="s">
        <v>115</v>
      </c>
      <c r="AD3255">
        <v>2</v>
      </c>
      <c r="AE3255" t="s">
        <v>115</v>
      </c>
      <c r="AF3255">
        <v>0</v>
      </c>
      <c r="AG3255">
        <v>0</v>
      </c>
      <c r="AH3255" t="s">
        <v>116</v>
      </c>
      <c r="AI3255" s="1">
        <v>61730</v>
      </c>
      <c r="AJ3255" s="2">
        <v>0.23</v>
      </c>
      <c r="AK3255" s="1">
        <v>270530</v>
      </c>
      <c r="AL3255" t="s">
        <v>117</v>
      </c>
      <c r="AM3255" t="s">
        <v>118</v>
      </c>
      <c r="AN3255">
        <v>7467</v>
      </c>
      <c r="AO3255">
        <v>0.17</v>
      </c>
      <c r="AR3255">
        <v>1</v>
      </c>
      <c r="AS3255" s="1">
        <v>18570</v>
      </c>
      <c r="AT3255" s="1">
        <v>3710</v>
      </c>
      <c r="AU3255" s="1">
        <v>14860</v>
      </c>
      <c r="AV3255">
        <v>80.02</v>
      </c>
      <c r="AX3255" s="1">
        <v>1588.46</v>
      </c>
      <c r="AY3255" t="s">
        <v>2767</v>
      </c>
      <c r="AZ3255" t="s">
        <v>2767</v>
      </c>
      <c r="BA3255" t="s">
        <v>5025</v>
      </c>
      <c r="BE3255" s="3">
        <v>42212</v>
      </c>
      <c r="BF3255" s="1">
        <v>210000</v>
      </c>
      <c r="BG3255" t="s">
        <v>749</v>
      </c>
      <c r="BH3255" s="1">
        <v>110.82</v>
      </c>
      <c r="BI3255" s="1">
        <v>208800</v>
      </c>
      <c r="BJ3255" s="3">
        <v>42587</v>
      </c>
      <c r="BK3255" t="s">
        <v>123</v>
      </c>
      <c r="BL3255" t="str">
        <f>"2016.557081"</f>
        <v>2016.557081</v>
      </c>
      <c r="BM3255" t="s">
        <v>21151</v>
      </c>
      <c r="BO3255" t="s">
        <v>21152</v>
      </c>
      <c r="BS3255">
        <v>30</v>
      </c>
      <c r="BW3255" t="str">
        <f>""</f>
        <v/>
      </c>
      <c r="CH3255" t="str">
        <f>""</f>
        <v/>
      </c>
      <c r="CS3255" t="str">
        <f>""</f>
        <v/>
      </c>
    </row>
    <row r="3256" spans="1:97" x14ac:dyDescent="0.25">
      <c r="A3256" t="s">
        <v>19683</v>
      </c>
      <c r="B3256" t="s">
        <v>3219</v>
      </c>
      <c r="C3256" t="s">
        <v>524</v>
      </c>
      <c r="D3256" t="s">
        <v>3219</v>
      </c>
      <c r="E3256" t="s">
        <v>21153</v>
      </c>
      <c r="F3256" t="s">
        <v>108</v>
      </c>
      <c r="H3256" t="s">
        <v>21154</v>
      </c>
      <c r="I3256" t="s">
        <v>5636</v>
      </c>
      <c r="J3256" t="s">
        <v>111</v>
      </c>
      <c r="K3256" t="str">
        <f>"85268"</f>
        <v>85268</v>
      </c>
      <c r="L3256" t="s">
        <v>516</v>
      </c>
      <c r="M3256" t="s">
        <v>21154</v>
      </c>
      <c r="N3256" t="s">
        <v>5636</v>
      </c>
      <c r="O3256" t="s">
        <v>111</v>
      </c>
      <c r="P3256" t="str">
        <f>"85268-8511"</f>
        <v>85268-8511</v>
      </c>
      <c r="Q3256" t="s">
        <v>113</v>
      </c>
      <c r="R3256" t="str">
        <f>"176-25-093"</f>
        <v>176-25-093</v>
      </c>
      <c r="S3256" t="s">
        <v>21155</v>
      </c>
      <c r="T3256" t="s">
        <v>21156</v>
      </c>
      <c r="U3256">
        <v>1451</v>
      </c>
      <c r="V3256">
        <v>0</v>
      </c>
      <c r="W3256">
        <v>3</v>
      </c>
      <c r="X3256">
        <v>1998</v>
      </c>
      <c r="Z3256">
        <v>1</v>
      </c>
      <c r="AB3256">
        <v>0</v>
      </c>
      <c r="AC3256" t="s">
        <v>115</v>
      </c>
      <c r="AD3256">
        <v>2</v>
      </c>
      <c r="AE3256" t="s">
        <v>115</v>
      </c>
      <c r="AF3256">
        <v>0</v>
      </c>
      <c r="AG3256">
        <v>0</v>
      </c>
      <c r="AH3256" t="s">
        <v>116</v>
      </c>
      <c r="AI3256" s="1">
        <v>71059</v>
      </c>
      <c r="AJ3256" s="2">
        <v>0.19</v>
      </c>
      <c r="AK3256" s="1">
        <v>373109</v>
      </c>
      <c r="AL3256" t="s">
        <v>117</v>
      </c>
      <c r="AM3256" t="s">
        <v>191</v>
      </c>
      <c r="AN3256">
        <v>6600</v>
      </c>
      <c r="AO3256">
        <v>0.15</v>
      </c>
      <c r="AP3256">
        <v>1</v>
      </c>
      <c r="AR3256">
        <v>1</v>
      </c>
      <c r="AS3256" s="1">
        <v>25780</v>
      </c>
      <c r="AT3256" s="1">
        <v>5150</v>
      </c>
      <c r="AU3256" s="1">
        <v>20630</v>
      </c>
      <c r="AV3256">
        <v>80.02</v>
      </c>
      <c r="AX3256" s="1">
        <v>1692.64</v>
      </c>
      <c r="AY3256" t="s">
        <v>6485</v>
      </c>
      <c r="AZ3256" t="s">
        <v>5640</v>
      </c>
      <c r="BA3256" t="s">
        <v>5641</v>
      </c>
      <c r="BE3256" s="3">
        <v>42142</v>
      </c>
      <c r="BF3256" s="1">
        <v>297900</v>
      </c>
      <c r="BG3256" t="s">
        <v>21157</v>
      </c>
      <c r="BH3256" s="1">
        <v>205.31</v>
      </c>
      <c r="BI3256" s="1">
        <v>302050</v>
      </c>
      <c r="BJ3256" s="3">
        <v>43117</v>
      </c>
      <c r="BK3256" t="s">
        <v>123</v>
      </c>
      <c r="BL3256" t="str">
        <f>"2018.37854"</f>
        <v>2018.37854</v>
      </c>
      <c r="BM3256" t="s">
        <v>5842</v>
      </c>
      <c r="BN3256" t="s">
        <v>5843</v>
      </c>
      <c r="BO3256" t="s">
        <v>21158</v>
      </c>
      <c r="BP3256" t="s">
        <v>21159</v>
      </c>
      <c r="BR3256" t="s">
        <v>139</v>
      </c>
      <c r="BW3256" t="str">
        <f>""</f>
        <v/>
      </c>
      <c r="CH3256" t="str">
        <f>""</f>
        <v/>
      </c>
      <c r="CS3256" t="str">
        <f>""</f>
        <v/>
      </c>
    </row>
    <row r="3257" spans="1:97" x14ac:dyDescent="0.25">
      <c r="A3257" t="s">
        <v>2507</v>
      </c>
      <c r="B3257" t="s">
        <v>2692</v>
      </c>
      <c r="C3257" t="s">
        <v>21160</v>
      </c>
      <c r="D3257" t="s">
        <v>2692</v>
      </c>
      <c r="E3257" t="s">
        <v>21161</v>
      </c>
      <c r="F3257" t="s">
        <v>108</v>
      </c>
      <c r="H3257" t="s">
        <v>21162</v>
      </c>
      <c r="I3257" t="s">
        <v>499</v>
      </c>
      <c r="J3257" t="s">
        <v>111</v>
      </c>
      <c r="K3257" t="str">
        <f>"85338"</f>
        <v>85338</v>
      </c>
      <c r="L3257" t="s">
        <v>6481</v>
      </c>
      <c r="M3257" t="s">
        <v>21162</v>
      </c>
      <c r="N3257" t="s">
        <v>499</v>
      </c>
      <c r="O3257" t="s">
        <v>111</v>
      </c>
      <c r="P3257" t="str">
        <f>"85338-2782"</f>
        <v>85338-2782</v>
      </c>
      <c r="Q3257" t="s">
        <v>113</v>
      </c>
      <c r="R3257" t="str">
        <f>"500-96-637"</f>
        <v>500-96-637</v>
      </c>
      <c r="S3257" t="s">
        <v>11223</v>
      </c>
      <c r="U3257">
        <v>2155</v>
      </c>
      <c r="V3257">
        <v>0</v>
      </c>
      <c r="W3257">
        <v>3</v>
      </c>
      <c r="X3257">
        <v>2014</v>
      </c>
      <c r="Z3257">
        <v>1</v>
      </c>
      <c r="AB3257">
        <v>0</v>
      </c>
      <c r="AC3257" t="s">
        <v>115</v>
      </c>
      <c r="AD3257">
        <v>2</v>
      </c>
      <c r="AE3257" t="s">
        <v>115</v>
      </c>
      <c r="AF3257">
        <v>0</v>
      </c>
      <c r="AG3257">
        <v>0</v>
      </c>
      <c r="AH3257" t="s">
        <v>116</v>
      </c>
      <c r="AI3257" s="1">
        <v>56581</v>
      </c>
      <c r="AJ3257" s="2">
        <v>0.19</v>
      </c>
      <c r="AK3257" s="1">
        <v>291571</v>
      </c>
      <c r="AL3257" t="s">
        <v>117</v>
      </c>
      <c r="AM3257" t="s">
        <v>118</v>
      </c>
      <c r="AN3257">
        <v>6325</v>
      </c>
      <c r="AO3257">
        <v>0.14000000000000001</v>
      </c>
      <c r="AR3257">
        <v>1</v>
      </c>
      <c r="AS3257" s="1">
        <v>19400</v>
      </c>
      <c r="AT3257" s="1">
        <v>3880</v>
      </c>
      <c r="AU3257" s="1">
        <v>15520</v>
      </c>
      <c r="AV3257">
        <v>80</v>
      </c>
      <c r="AX3257" s="1">
        <v>1209.72</v>
      </c>
      <c r="AY3257" t="s">
        <v>6319</v>
      </c>
      <c r="AZ3257" t="s">
        <v>6319</v>
      </c>
      <c r="BA3257" t="s">
        <v>218</v>
      </c>
      <c r="BE3257" s="3">
        <v>41996</v>
      </c>
      <c r="BF3257" s="1">
        <v>234990</v>
      </c>
      <c r="BG3257" t="s">
        <v>158</v>
      </c>
      <c r="BH3257" s="1">
        <v>109.04</v>
      </c>
      <c r="BI3257" s="1">
        <v>234990</v>
      </c>
      <c r="BJ3257" s="3">
        <v>41996</v>
      </c>
      <c r="BK3257" t="s">
        <v>123</v>
      </c>
      <c r="BL3257" t="str">
        <f>"2014.846459"</f>
        <v>2014.846459</v>
      </c>
      <c r="BM3257" t="s">
        <v>241</v>
      </c>
      <c r="BO3257" t="s">
        <v>21163</v>
      </c>
      <c r="BS3257">
        <v>30</v>
      </c>
      <c r="BW3257" t="str">
        <f>""</f>
        <v/>
      </c>
      <c r="CH3257" t="str">
        <f>""</f>
        <v/>
      </c>
      <c r="CS3257" t="str">
        <f>""</f>
        <v/>
      </c>
    </row>
    <row r="3258" spans="1:97" x14ac:dyDescent="0.25">
      <c r="A3258" t="s">
        <v>106</v>
      </c>
      <c r="B3258" t="s">
        <v>21164</v>
      </c>
      <c r="C3258" t="s">
        <v>6047</v>
      </c>
      <c r="D3258" t="s">
        <v>21164</v>
      </c>
      <c r="E3258" t="s">
        <v>21165</v>
      </c>
      <c r="F3258" t="s">
        <v>108</v>
      </c>
      <c r="H3258" t="s">
        <v>21166</v>
      </c>
      <c r="I3258" t="s">
        <v>188</v>
      </c>
      <c r="J3258" t="s">
        <v>111</v>
      </c>
      <c r="K3258" t="str">
        <f>"85142"</f>
        <v>85142</v>
      </c>
      <c r="L3258" t="s">
        <v>5910</v>
      </c>
      <c r="M3258" t="s">
        <v>21166</v>
      </c>
      <c r="N3258" t="s">
        <v>188</v>
      </c>
      <c r="O3258" t="s">
        <v>111</v>
      </c>
      <c r="P3258" t="str">
        <f>"85142-3650"</f>
        <v>85142-3650</v>
      </c>
      <c r="Q3258" t="s">
        <v>113</v>
      </c>
      <c r="R3258" t="str">
        <f>"304-68-809"</f>
        <v>304-68-809</v>
      </c>
      <c r="S3258" t="s">
        <v>5911</v>
      </c>
      <c r="U3258">
        <v>2715</v>
      </c>
      <c r="V3258">
        <v>0</v>
      </c>
      <c r="W3258">
        <v>4</v>
      </c>
      <c r="X3258">
        <v>2004</v>
      </c>
      <c r="Z3258">
        <v>1</v>
      </c>
      <c r="AB3258">
        <v>0</v>
      </c>
      <c r="AC3258" t="s">
        <v>115</v>
      </c>
      <c r="AD3258">
        <v>3</v>
      </c>
      <c r="AE3258" t="s">
        <v>115</v>
      </c>
      <c r="AF3258">
        <v>0</v>
      </c>
      <c r="AG3258">
        <v>0</v>
      </c>
      <c r="AH3258" t="s">
        <v>116</v>
      </c>
      <c r="AI3258" s="1">
        <v>119076</v>
      </c>
      <c r="AJ3258" s="2">
        <v>0.3</v>
      </c>
      <c r="AK3258" s="1">
        <v>403529</v>
      </c>
      <c r="AL3258" t="s">
        <v>117</v>
      </c>
      <c r="AM3258" t="s">
        <v>917</v>
      </c>
      <c r="AN3258">
        <v>9675</v>
      </c>
      <c r="AO3258">
        <v>0.22</v>
      </c>
      <c r="AP3258">
        <v>1</v>
      </c>
      <c r="AR3258">
        <v>1</v>
      </c>
      <c r="AS3258" s="1">
        <v>27550</v>
      </c>
      <c r="AT3258" s="1">
        <v>5510</v>
      </c>
      <c r="AU3258" s="1">
        <v>22040</v>
      </c>
      <c r="AV3258">
        <v>80</v>
      </c>
      <c r="AX3258" s="1">
        <v>2532.38</v>
      </c>
      <c r="AY3258" t="s">
        <v>5792</v>
      </c>
      <c r="AZ3258" t="s">
        <v>5792</v>
      </c>
      <c r="BA3258" t="s">
        <v>290</v>
      </c>
      <c r="BE3258" s="3">
        <v>42251</v>
      </c>
      <c r="BF3258" s="1">
        <v>295000</v>
      </c>
      <c r="BG3258" t="s">
        <v>21167</v>
      </c>
      <c r="BH3258" s="1">
        <v>108.66</v>
      </c>
      <c r="BI3258" s="1">
        <v>284453</v>
      </c>
      <c r="BJ3258" s="3">
        <v>42251</v>
      </c>
      <c r="BK3258" t="s">
        <v>123</v>
      </c>
      <c r="BL3258" t="str">
        <f>"2015.645551"</f>
        <v>2015.645551</v>
      </c>
      <c r="BM3258" t="s">
        <v>2472</v>
      </c>
      <c r="BO3258" t="s">
        <v>21168</v>
      </c>
      <c r="BS3258">
        <v>30</v>
      </c>
      <c r="BW3258" t="str">
        <f>""</f>
        <v/>
      </c>
      <c r="CH3258" t="str">
        <f>""</f>
        <v/>
      </c>
      <c r="CS3258" t="str">
        <f>""</f>
        <v/>
      </c>
    </row>
    <row r="3259" spans="1:97" x14ac:dyDescent="0.25">
      <c r="A3259" t="s">
        <v>4229</v>
      </c>
      <c r="B3259" t="s">
        <v>6085</v>
      </c>
      <c r="C3259" t="s">
        <v>179</v>
      </c>
      <c r="D3259" t="s">
        <v>6085</v>
      </c>
      <c r="E3259" t="s">
        <v>21169</v>
      </c>
      <c r="F3259" t="s">
        <v>108</v>
      </c>
      <c r="H3259" t="s">
        <v>21170</v>
      </c>
      <c r="I3259" t="s">
        <v>144</v>
      </c>
      <c r="J3259" t="s">
        <v>111</v>
      </c>
      <c r="K3259" t="str">
        <f>"85396"</f>
        <v>85396</v>
      </c>
      <c r="L3259" t="s">
        <v>1244</v>
      </c>
      <c r="M3259" t="s">
        <v>21170</v>
      </c>
      <c r="N3259" t="s">
        <v>144</v>
      </c>
      <c r="O3259" t="s">
        <v>111</v>
      </c>
      <c r="P3259" t="str">
        <f>"85396-7761"</f>
        <v>85396-7761</v>
      </c>
      <c r="Q3259" t="s">
        <v>113</v>
      </c>
      <c r="R3259" t="str">
        <f>"502-81-154"</f>
        <v>502-81-154</v>
      </c>
      <c r="S3259" t="s">
        <v>8370</v>
      </c>
      <c r="U3259">
        <v>2786</v>
      </c>
      <c r="V3259">
        <v>0</v>
      </c>
      <c r="W3259">
        <v>4</v>
      </c>
      <c r="X3259">
        <v>2012</v>
      </c>
      <c r="Z3259">
        <v>2</v>
      </c>
      <c r="AA3259" t="s">
        <v>26</v>
      </c>
      <c r="AB3259">
        <v>0</v>
      </c>
      <c r="AC3259" t="s">
        <v>115</v>
      </c>
      <c r="AD3259">
        <v>3</v>
      </c>
      <c r="AE3259" t="s">
        <v>115</v>
      </c>
      <c r="AF3259">
        <v>0</v>
      </c>
      <c r="AG3259">
        <v>0</v>
      </c>
      <c r="AH3259" t="s">
        <v>116</v>
      </c>
      <c r="AI3259" s="1">
        <v>10779</v>
      </c>
      <c r="AJ3259" s="2">
        <v>0.03</v>
      </c>
      <c r="AK3259" s="1">
        <v>381583</v>
      </c>
      <c r="AL3259" t="s">
        <v>117</v>
      </c>
      <c r="AM3259" t="s">
        <v>118</v>
      </c>
      <c r="AN3259">
        <v>9593</v>
      </c>
      <c r="AO3259">
        <v>0.22</v>
      </c>
      <c r="AR3259">
        <v>1</v>
      </c>
      <c r="AS3259" s="1">
        <v>27730</v>
      </c>
      <c r="AT3259" s="1">
        <v>5540</v>
      </c>
      <c r="AU3259" s="1">
        <v>22190</v>
      </c>
      <c r="AV3259">
        <v>80.02</v>
      </c>
      <c r="AX3259" s="1">
        <v>4390.96</v>
      </c>
      <c r="AY3259" t="s">
        <v>217</v>
      </c>
      <c r="AZ3259" t="s">
        <v>217</v>
      </c>
      <c r="BA3259" t="s">
        <v>218</v>
      </c>
      <c r="BE3259" s="3">
        <v>42429</v>
      </c>
      <c r="BF3259" s="1">
        <v>369750</v>
      </c>
      <c r="BG3259" t="s">
        <v>21171</v>
      </c>
      <c r="BH3259" s="1">
        <v>132.72</v>
      </c>
      <c r="BI3259" s="1">
        <v>370804</v>
      </c>
      <c r="BJ3259" s="3">
        <v>42429</v>
      </c>
      <c r="BK3259" t="s">
        <v>123</v>
      </c>
      <c r="BL3259" t="str">
        <f>"2016.128386"</f>
        <v>2016.128386</v>
      </c>
      <c r="BM3259" t="s">
        <v>3810</v>
      </c>
      <c r="BO3259" t="s">
        <v>21172</v>
      </c>
      <c r="BS3259">
        <v>30</v>
      </c>
      <c r="BW3259" t="str">
        <f>""</f>
        <v/>
      </c>
      <c r="CH3259" t="str">
        <f>""</f>
        <v/>
      </c>
      <c r="CS3259" t="str">
        <f>""</f>
        <v/>
      </c>
    </row>
    <row r="3260" spans="1:97" x14ac:dyDescent="0.25">
      <c r="A3260" t="s">
        <v>991</v>
      </c>
      <c r="B3260" t="s">
        <v>21173</v>
      </c>
      <c r="C3260" t="s">
        <v>767</v>
      </c>
      <c r="D3260" t="s">
        <v>21173</v>
      </c>
      <c r="E3260" t="s">
        <v>21174</v>
      </c>
      <c r="F3260" t="s">
        <v>108</v>
      </c>
      <c r="H3260" t="s">
        <v>21175</v>
      </c>
      <c r="I3260" t="s">
        <v>632</v>
      </c>
      <c r="J3260" t="s">
        <v>111</v>
      </c>
      <c r="K3260" t="str">
        <f>"85388"</f>
        <v>85388</v>
      </c>
      <c r="L3260" t="s">
        <v>4159</v>
      </c>
      <c r="M3260" t="s">
        <v>21175</v>
      </c>
      <c r="N3260" t="s">
        <v>632</v>
      </c>
      <c r="O3260" t="s">
        <v>111</v>
      </c>
      <c r="P3260" t="str">
        <f>"85388-3100"</f>
        <v>85388-3100</v>
      </c>
      <c r="Q3260" t="s">
        <v>113</v>
      </c>
      <c r="R3260" t="str">
        <f>"502-84-796"</f>
        <v>502-84-796</v>
      </c>
      <c r="S3260" t="s">
        <v>9278</v>
      </c>
      <c r="T3260" t="s">
        <v>9279</v>
      </c>
      <c r="U3260">
        <v>2820</v>
      </c>
      <c r="V3260">
        <v>0</v>
      </c>
      <c r="W3260">
        <v>4</v>
      </c>
      <c r="X3260">
        <v>2005</v>
      </c>
      <c r="Z3260">
        <v>2</v>
      </c>
      <c r="AB3260">
        <v>0</v>
      </c>
      <c r="AC3260" t="s">
        <v>115</v>
      </c>
      <c r="AD3260">
        <v>3</v>
      </c>
      <c r="AE3260" t="s">
        <v>115</v>
      </c>
      <c r="AF3260">
        <v>0</v>
      </c>
      <c r="AG3260">
        <v>0</v>
      </c>
      <c r="AH3260" t="s">
        <v>116</v>
      </c>
      <c r="AI3260" s="1">
        <v>24207</v>
      </c>
      <c r="AJ3260" s="2">
        <v>7.0000000000000007E-2</v>
      </c>
      <c r="AK3260" s="1">
        <v>323777</v>
      </c>
      <c r="AL3260" t="s">
        <v>117</v>
      </c>
      <c r="AM3260" t="s">
        <v>118</v>
      </c>
      <c r="AN3260">
        <v>8949</v>
      </c>
      <c r="AO3260">
        <v>0.2</v>
      </c>
      <c r="AR3260">
        <v>1</v>
      </c>
      <c r="AS3260" s="1">
        <v>21970</v>
      </c>
      <c r="AT3260" s="1">
        <v>4390</v>
      </c>
      <c r="AU3260" s="1">
        <v>17580</v>
      </c>
      <c r="AV3260">
        <v>80.02</v>
      </c>
      <c r="AX3260" s="1">
        <v>1928.86</v>
      </c>
      <c r="AY3260" t="s">
        <v>5168</v>
      </c>
      <c r="AZ3260" t="s">
        <v>5168</v>
      </c>
      <c r="BA3260" t="s">
        <v>5109</v>
      </c>
      <c r="BE3260" s="3">
        <v>42362</v>
      </c>
      <c r="BF3260" s="1">
        <v>290000</v>
      </c>
      <c r="BG3260" t="s">
        <v>21176</v>
      </c>
      <c r="BH3260" s="1">
        <v>102.84</v>
      </c>
      <c r="BI3260" s="1">
        <v>299570</v>
      </c>
      <c r="BJ3260" s="3">
        <v>42362</v>
      </c>
      <c r="BK3260" t="s">
        <v>123</v>
      </c>
      <c r="BL3260" t="str">
        <f>"2015.907766"</f>
        <v>2015.907766</v>
      </c>
      <c r="BM3260" t="s">
        <v>724</v>
      </c>
      <c r="BO3260" t="s">
        <v>21177</v>
      </c>
      <c r="BS3260">
        <v>30</v>
      </c>
      <c r="BW3260" t="str">
        <f>""</f>
        <v/>
      </c>
      <c r="CH3260" t="str">
        <f>""</f>
        <v/>
      </c>
      <c r="CS3260" t="str">
        <f>""</f>
        <v/>
      </c>
    </row>
    <row r="3261" spans="1:97" x14ac:dyDescent="0.25">
      <c r="A3261" t="s">
        <v>177</v>
      </c>
      <c r="B3261" t="s">
        <v>21178</v>
      </c>
      <c r="E3261" t="s">
        <v>21179</v>
      </c>
      <c r="F3261" t="s">
        <v>108</v>
      </c>
      <c r="H3261" t="s">
        <v>21180</v>
      </c>
      <c r="I3261" t="s">
        <v>499</v>
      </c>
      <c r="J3261" t="s">
        <v>111</v>
      </c>
      <c r="K3261" t="str">
        <f>"85338"</f>
        <v>85338</v>
      </c>
      <c r="L3261" t="s">
        <v>1796</v>
      </c>
      <c r="M3261" t="s">
        <v>21180</v>
      </c>
      <c r="N3261" t="s">
        <v>499</v>
      </c>
      <c r="O3261" t="s">
        <v>111</v>
      </c>
      <c r="P3261" t="str">
        <f>"85338-5068"</f>
        <v>85338-5068</v>
      </c>
      <c r="Q3261" t="s">
        <v>113</v>
      </c>
      <c r="R3261" t="str">
        <f>"400-80-069"</f>
        <v>400-80-069</v>
      </c>
      <c r="S3261" t="s">
        <v>12647</v>
      </c>
      <c r="U3261">
        <v>3432</v>
      </c>
      <c r="V3261">
        <v>0</v>
      </c>
      <c r="W3261">
        <v>5</v>
      </c>
      <c r="X3261">
        <v>2006</v>
      </c>
      <c r="Z3261">
        <v>2</v>
      </c>
      <c r="AA3261" t="s">
        <v>26</v>
      </c>
      <c r="AB3261">
        <v>0</v>
      </c>
      <c r="AC3261" t="s">
        <v>115</v>
      </c>
      <c r="AD3261">
        <v>3</v>
      </c>
      <c r="AE3261" t="s">
        <v>115</v>
      </c>
      <c r="AF3261">
        <v>0</v>
      </c>
      <c r="AG3261">
        <v>0</v>
      </c>
      <c r="AH3261" t="s">
        <v>116</v>
      </c>
      <c r="AI3261" s="1">
        <v>114103</v>
      </c>
      <c r="AJ3261" s="2">
        <v>0.24</v>
      </c>
      <c r="AK3261" s="1">
        <v>473612</v>
      </c>
      <c r="AL3261" t="s">
        <v>117</v>
      </c>
      <c r="AM3261" t="s">
        <v>118</v>
      </c>
      <c r="AN3261">
        <v>8392</v>
      </c>
      <c r="AO3261">
        <v>0.19</v>
      </c>
      <c r="AP3261">
        <v>1</v>
      </c>
      <c r="AR3261">
        <v>1</v>
      </c>
      <c r="AS3261" s="1">
        <v>34930</v>
      </c>
      <c r="AT3261" s="1">
        <v>6980</v>
      </c>
      <c r="AU3261" s="1">
        <v>27950</v>
      </c>
      <c r="AV3261">
        <v>80.02</v>
      </c>
      <c r="AX3261" s="1">
        <v>4069.74</v>
      </c>
      <c r="AY3261" t="s">
        <v>1246</v>
      </c>
      <c r="AZ3261" t="s">
        <v>1246</v>
      </c>
      <c r="BA3261" t="s">
        <v>1247</v>
      </c>
      <c r="BE3261" s="3">
        <v>41760</v>
      </c>
      <c r="BF3261" s="1">
        <v>362500</v>
      </c>
      <c r="BG3261" t="s">
        <v>21181</v>
      </c>
      <c r="BH3261" s="1">
        <v>105.62</v>
      </c>
      <c r="BI3261" s="1">
        <v>359509</v>
      </c>
      <c r="BJ3261" s="3">
        <v>42591</v>
      </c>
      <c r="BK3261" t="s">
        <v>123</v>
      </c>
      <c r="BL3261" t="str">
        <f>"2016.563849"</f>
        <v>2016.563849</v>
      </c>
      <c r="BM3261" t="s">
        <v>2383</v>
      </c>
      <c r="BO3261" t="s">
        <v>21182</v>
      </c>
      <c r="BS3261">
        <v>30</v>
      </c>
      <c r="BW3261" t="str">
        <f>""</f>
        <v/>
      </c>
      <c r="CH3261" t="str">
        <f>""</f>
        <v/>
      </c>
      <c r="CS3261" t="str">
        <f>""</f>
        <v/>
      </c>
    </row>
    <row r="3262" spans="1:97" x14ac:dyDescent="0.25">
      <c r="A3262" t="s">
        <v>11384</v>
      </c>
      <c r="B3262" t="s">
        <v>21183</v>
      </c>
      <c r="C3262" t="s">
        <v>6370</v>
      </c>
      <c r="D3262" t="s">
        <v>21183</v>
      </c>
      <c r="E3262" t="s">
        <v>21184</v>
      </c>
      <c r="F3262" t="s">
        <v>108</v>
      </c>
      <c r="H3262" t="s">
        <v>21185</v>
      </c>
      <c r="I3262" t="s">
        <v>225</v>
      </c>
      <c r="J3262" t="s">
        <v>111</v>
      </c>
      <c r="K3262" t="str">
        <f>"85206"</f>
        <v>85206</v>
      </c>
      <c r="L3262" t="s">
        <v>1789</v>
      </c>
      <c r="M3262" t="s">
        <v>21185</v>
      </c>
      <c r="N3262" t="s">
        <v>225</v>
      </c>
      <c r="O3262" t="s">
        <v>111</v>
      </c>
      <c r="P3262" t="str">
        <f>"85206-3240"</f>
        <v>85206-3240</v>
      </c>
      <c r="Q3262" t="s">
        <v>113</v>
      </c>
      <c r="R3262" t="str">
        <f>"140-57-170"</f>
        <v>140-57-170</v>
      </c>
      <c r="S3262" t="s">
        <v>21186</v>
      </c>
      <c r="T3262" t="s">
        <v>20078</v>
      </c>
      <c r="U3262">
        <v>1271</v>
      </c>
      <c r="V3262">
        <v>0</v>
      </c>
      <c r="W3262">
        <v>2</v>
      </c>
      <c r="X3262">
        <v>1985</v>
      </c>
      <c r="Z3262">
        <v>1</v>
      </c>
      <c r="AB3262">
        <v>0</v>
      </c>
      <c r="AC3262" t="s">
        <v>115</v>
      </c>
      <c r="AD3262">
        <v>2</v>
      </c>
      <c r="AE3262" t="s">
        <v>115</v>
      </c>
      <c r="AF3262">
        <v>0</v>
      </c>
      <c r="AG3262">
        <v>0</v>
      </c>
      <c r="AH3262" t="s">
        <v>116</v>
      </c>
      <c r="AI3262" s="1">
        <v>18171</v>
      </c>
      <c r="AJ3262" s="2">
        <v>7.0000000000000007E-2</v>
      </c>
      <c r="AK3262" s="1">
        <v>248171</v>
      </c>
      <c r="AL3262" t="s">
        <v>117</v>
      </c>
      <c r="AM3262" t="s">
        <v>393</v>
      </c>
      <c r="AN3262">
        <v>7832</v>
      </c>
      <c r="AO3262">
        <v>0.18</v>
      </c>
      <c r="AP3262">
        <v>1</v>
      </c>
      <c r="AR3262">
        <v>1</v>
      </c>
      <c r="AS3262" s="1">
        <v>16420</v>
      </c>
      <c r="AT3262" s="1">
        <v>3280</v>
      </c>
      <c r="AU3262" s="1">
        <v>13140</v>
      </c>
      <c r="AV3262">
        <v>80.02</v>
      </c>
      <c r="AX3262" s="1">
        <v>1087.98</v>
      </c>
      <c r="AY3262" t="s">
        <v>9360</v>
      </c>
      <c r="AZ3262" t="s">
        <v>5158</v>
      </c>
      <c r="BA3262" t="s">
        <v>5159</v>
      </c>
      <c r="BE3262" s="3">
        <v>41666</v>
      </c>
      <c r="BF3262" s="1">
        <v>170000</v>
      </c>
      <c r="BG3262" t="s">
        <v>21187</v>
      </c>
      <c r="BH3262" s="1">
        <v>133.75</v>
      </c>
      <c r="BI3262" s="1">
        <v>230000</v>
      </c>
      <c r="BJ3262" s="3">
        <v>43384</v>
      </c>
      <c r="BK3262" t="s">
        <v>123</v>
      </c>
      <c r="BL3262" t="str">
        <f>"2018.764194"</f>
        <v>2018.764194</v>
      </c>
      <c r="BM3262" t="s">
        <v>6896</v>
      </c>
      <c r="BN3262" t="s">
        <v>6128</v>
      </c>
      <c r="BO3262" t="s">
        <v>21188</v>
      </c>
      <c r="BP3262" t="s">
        <v>21189</v>
      </c>
      <c r="BR3262" t="s">
        <v>139</v>
      </c>
      <c r="BW3262" t="str">
        <f>""</f>
        <v/>
      </c>
      <c r="CH3262" t="str">
        <f>""</f>
        <v/>
      </c>
      <c r="CS3262" t="str">
        <f>""</f>
        <v/>
      </c>
    </row>
    <row r="3263" spans="1:97" x14ac:dyDescent="0.25">
      <c r="A3263" t="s">
        <v>3104</v>
      </c>
      <c r="B3263" t="s">
        <v>13256</v>
      </c>
      <c r="C3263" t="s">
        <v>1547</v>
      </c>
      <c r="D3263" t="s">
        <v>13256</v>
      </c>
      <c r="E3263" t="s">
        <v>21190</v>
      </c>
      <c r="F3263" t="s">
        <v>108</v>
      </c>
      <c r="H3263" t="s">
        <v>21191</v>
      </c>
      <c r="I3263" t="s">
        <v>225</v>
      </c>
      <c r="J3263" t="s">
        <v>111</v>
      </c>
      <c r="K3263" t="str">
        <f>"85205"</f>
        <v>85205</v>
      </c>
      <c r="L3263" t="s">
        <v>2963</v>
      </c>
      <c r="M3263" t="s">
        <v>21191</v>
      </c>
      <c r="N3263" t="s">
        <v>225</v>
      </c>
      <c r="O3263" t="s">
        <v>111</v>
      </c>
      <c r="P3263" t="str">
        <f>"85205-6957"</f>
        <v>85205-6957</v>
      </c>
      <c r="Q3263" t="s">
        <v>113</v>
      </c>
      <c r="R3263" t="str">
        <f>"140-13-641"</f>
        <v>140-13-641</v>
      </c>
      <c r="S3263" t="s">
        <v>21192</v>
      </c>
      <c r="T3263" t="s">
        <v>21192</v>
      </c>
      <c r="U3263">
        <v>1999</v>
      </c>
      <c r="V3263">
        <v>0</v>
      </c>
      <c r="W3263">
        <v>3</v>
      </c>
      <c r="X3263">
        <v>2000</v>
      </c>
      <c r="Z3263">
        <v>1</v>
      </c>
      <c r="AB3263">
        <v>0</v>
      </c>
      <c r="AC3263" t="s">
        <v>115</v>
      </c>
      <c r="AD3263">
        <v>2</v>
      </c>
      <c r="AE3263" t="s">
        <v>115</v>
      </c>
      <c r="AF3263">
        <v>0</v>
      </c>
      <c r="AG3263">
        <v>0</v>
      </c>
      <c r="AH3263" t="s">
        <v>116</v>
      </c>
      <c r="AI3263" s="1">
        <v>55937</v>
      </c>
      <c r="AJ3263" s="2">
        <v>0.18</v>
      </c>
      <c r="AK3263" s="1">
        <v>311834</v>
      </c>
      <c r="AL3263" t="s">
        <v>117</v>
      </c>
      <c r="AM3263" t="s">
        <v>191</v>
      </c>
      <c r="AN3263">
        <v>6014</v>
      </c>
      <c r="AO3263">
        <v>0.14000000000000001</v>
      </c>
      <c r="AP3263">
        <v>1</v>
      </c>
      <c r="AR3263">
        <v>1</v>
      </c>
      <c r="AS3263" s="1">
        <v>21760</v>
      </c>
      <c r="AT3263" s="1">
        <v>4350</v>
      </c>
      <c r="AU3263" s="1">
        <v>17410</v>
      </c>
      <c r="AV3263">
        <v>80.010000000000005</v>
      </c>
      <c r="AX3263" s="1">
        <v>1483.3</v>
      </c>
      <c r="AY3263" t="s">
        <v>1522</v>
      </c>
      <c r="AZ3263" t="s">
        <v>1523</v>
      </c>
      <c r="BA3263" t="s">
        <v>1524</v>
      </c>
      <c r="BE3263" s="3">
        <v>42467</v>
      </c>
      <c r="BF3263" s="1">
        <v>249900</v>
      </c>
      <c r="BG3263" t="s">
        <v>21193</v>
      </c>
      <c r="BH3263" s="1">
        <v>125.01</v>
      </c>
      <c r="BI3263" s="1">
        <v>255897</v>
      </c>
      <c r="BJ3263" s="3">
        <v>42467</v>
      </c>
      <c r="BK3263" t="s">
        <v>123</v>
      </c>
      <c r="BL3263" t="str">
        <f>"2016.231267"</f>
        <v>2016.231267</v>
      </c>
      <c r="BM3263" t="s">
        <v>8916</v>
      </c>
      <c r="BO3263" t="s">
        <v>21194</v>
      </c>
      <c r="BS3263">
        <v>30</v>
      </c>
      <c r="BW3263" t="str">
        <f>""</f>
        <v/>
      </c>
      <c r="CH3263" t="str">
        <f>""</f>
        <v/>
      </c>
      <c r="CS3263" t="str">
        <f>""</f>
        <v/>
      </c>
    </row>
    <row r="3264" spans="1:97" x14ac:dyDescent="0.25">
      <c r="A3264" t="s">
        <v>894</v>
      </c>
      <c r="B3264" t="s">
        <v>21195</v>
      </c>
      <c r="C3264" t="s">
        <v>3707</v>
      </c>
      <c r="D3264" t="s">
        <v>21196</v>
      </c>
      <c r="E3264" t="s">
        <v>21197</v>
      </c>
      <c r="F3264" t="s">
        <v>108</v>
      </c>
      <c r="H3264" t="s">
        <v>21198</v>
      </c>
      <c r="I3264" t="s">
        <v>225</v>
      </c>
      <c r="J3264" t="s">
        <v>111</v>
      </c>
      <c r="K3264" t="str">
        <f>"85207"</f>
        <v>85207</v>
      </c>
      <c r="L3264" t="s">
        <v>516</v>
      </c>
      <c r="M3264" t="s">
        <v>21198</v>
      </c>
      <c r="N3264" t="s">
        <v>225</v>
      </c>
      <c r="O3264" t="s">
        <v>111</v>
      </c>
      <c r="P3264" t="str">
        <f>"85207-1850"</f>
        <v>85207-1850</v>
      </c>
      <c r="Q3264" t="s">
        <v>113</v>
      </c>
      <c r="R3264" t="str">
        <f>"219-18-098"</f>
        <v>219-18-098</v>
      </c>
      <c r="S3264" t="s">
        <v>9336</v>
      </c>
      <c r="T3264" t="s">
        <v>9336</v>
      </c>
      <c r="U3264">
        <v>2369</v>
      </c>
      <c r="V3264">
        <v>0</v>
      </c>
      <c r="W3264">
        <v>3</v>
      </c>
      <c r="X3264">
        <v>1999</v>
      </c>
      <c r="Z3264">
        <v>1</v>
      </c>
      <c r="AB3264">
        <v>0</v>
      </c>
      <c r="AC3264" t="s">
        <v>115</v>
      </c>
      <c r="AD3264">
        <v>3</v>
      </c>
      <c r="AE3264" t="s">
        <v>115</v>
      </c>
      <c r="AF3264">
        <v>0</v>
      </c>
      <c r="AG3264">
        <v>0</v>
      </c>
      <c r="AH3264" t="s">
        <v>116</v>
      </c>
      <c r="AI3264" s="1">
        <v>71926</v>
      </c>
      <c r="AJ3264" s="2">
        <v>0.16</v>
      </c>
      <c r="AK3264" s="1">
        <v>439239</v>
      </c>
      <c r="AL3264" t="s">
        <v>117</v>
      </c>
      <c r="AM3264" t="s">
        <v>917</v>
      </c>
      <c r="AN3264">
        <v>10407</v>
      </c>
      <c r="AO3264">
        <v>0.24</v>
      </c>
      <c r="AP3264">
        <v>1</v>
      </c>
      <c r="AR3264">
        <v>1</v>
      </c>
      <c r="AS3264" s="1">
        <v>31700</v>
      </c>
      <c r="AT3264" s="1">
        <v>6340</v>
      </c>
      <c r="AU3264" s="1">
        <v>25360</v>
      </c>
      <c r="AV3264">
        <v>80</v>
      </c>
      <c r="AX3264" s="1">
        <v>3184.94</v>
      </c>
      <c r="AY3264" t="s">
        <v>9337</v>
      </c>
      <c r="AZ3264" t="s">
        <v>231</v>
      </c>
      <c r="BA3264" t="s">
        <v>3119</v>
      </c>
      <c r="BB3264" s="3">
        <v>43042</v>
      </c>
      <c r="BD3264" t="s">
        <v>157</v>
      </c>
      <c r="BE3264" s="3">
        <v>42347</v>
      </c>
      <c r="BF3264" s="1">
        <v>334000</v>
      </c>
      <c r="BG3264" t="s">
        <v>21199</v>
      </c>
      <c r="BH3264" s="1">
        <v>140.99</v>
      </c>
      <c r="BI3264" s="1">
        <v>307313</v>
      </c>
      <c r="BJ3264" s="3">
        <v>42529</v>
      </c>
      <c r="BK3264" t="s">
        <v>123</v>
      </c>
      <c r="BL3264" t="str">
        <f>"2016.395936"</f>
        <v>2016.395936</v>
      </c>
      <c r="BM3264" t="s">
        <v>492</v>
      </c>
      <c r="BN3264" t="s">
        <v>4706</v>
      </c>
      <c r="BO3264" t="s">
        <v>21200</v>
      </c>
      <c r="BP3264" t="s">
        <v>21201</v>
      </c>
      <c r="BS3264">
        <v>30</v>
      </c>
      <c r="BT3264" s="1">
        <v>60000</v>
      </c>
      <c r="BU3264" s="3">
        <v>43298</v>
      </c>
      <c r="BV3264" t="s">
        <v>134</v>
      </c>
      <c r="BW3264" t="str">
        <f>"2018.540056"</f>
        <v>2018.540056</v>
      </c>
      <c r="BX3264" t="s">
        <v>1214</v>
      </c>
      <c r="BY3264" t="s">
        <v>1215</v>
      </c>
      <c r="BZ3264" t="s">
        <v>21202</v>
      </c>
      <c r="CC3264" t="s">
        <v>139</v>
      </c>
      <c r="CH3264" t="str">
        <f>""</f>
        <v/>
      </c>
      <c r="CS3264" t="str">
        <f>""</f>
        <v/>
      </c>
    </row>
    <row r="3265" spans="1:97" x14ac:dyDescent="0.25">
      <c r="A3265" t="s">
        <v>7313</v>
      </c>
      <c r="B3265" t="s">
        <v>2007</v>
      </c>
      <c r="C3265" t="s">
        <v>21203</v>
      </c>
      <c r="D3265" t="s">
        <v>2007</v>
      </c>
      <c r="E3265" t="s">
        <v>21204</v>
      </c>
      <c r="F3265" t="s">
        <v>108</v>
      </c>
      <c r="H3265" t="s">
        <v>21205</v>
      </c>
      <c r="I3265" t="s">
        <v>144</v>
      </c>
      <c r="J3265" t="s">
        <v>111</v>
      </c>
      <c r="K3265" t="str">
        <f>"85396"</f>
        <v>85396</v>
      </c>
      <c r="L3265" t="s">
        <v>1244</v>
      </c>
      <c r="M3265" t="s">
        <v>21205</v>
      </c>
      <c r="N3265" t="s">
        <v>144</v>
      </c>
      <c r="O3265" t="s">
        <v>111</v>
      </c>
      <c r="P3265" t="str">
        <f>"85396-7790"</f>
        <v>85396-7790</v>
      </c>
      <c r="Q3265" t="s">
        <v>113</v>
      </c>
      <c r="R3265" t="str">
        <f>"502-81-065"</f>
        <v>502-81-065</v>
      </c>
      <c r="S3265" t="s">
        <v>15535</v>
      </c>
      <c r="U3265">
        <v>2946</v>
      </c>
      <c r="V3265">
        <v>0</v>
      </c>
      <c r="W3265">
        <v>4</v>
      </c>
      <c r="X3265">
        <v>2014</v>
      </c>
      <c r="Z3265">
        <v>1</v>
      </c>
      <c r="AB3265">
        <v>0</v>
      </c>
      <c r="AC3265" t="s">
        <v>115</v>
      </c>
      <c r="AD3265">
        <v>3</v>
      </c>
      <c r="AE3265" t="s">
        <v>115</v>
      </c>
      <c r="AF3265">
        <v>0</v>
      </c>
      <c r="AG3265">
        <v>0</v>
      </c>
      <c r="AH3265" t="s">
        <v>116</v>
      </c>
      <c r="AI3265" s="1">
        <v>124541</v>
      </c>
      <c r="AJ3265" s="2">
        <v>0.26</v>
      </c>
      <c r="AK3265" s="1">
        <v>484235</v>
      </c>
      <c r="AL3265" t="s">
        <v>117</v>
      </c>
      <c r="AM3265" t="s">
        <v>118</v>
      </c>
      <c r="AN3265">
        <v>13563</v>
      </c>
      <c r="AO3265">
        <v>0.31</v>
      </c>
      <c r="AR3265">
        <v>1</v>
      </c>
      <c r="AS3265" s="1">
        <v>36130</v>
      </c>
      <c r="AT3265" s="1">
        <v>7220</v>
      </c>
      <c r="AU3265" s="1">
        <v>28910</v>
      </c>
      <c r="AV3265">
        <v>80.02</v>
      </c>
      <c r="AX3265" s="1">
        <v>4748.78</v>
      </c>
      <c r="AY3265" t="s">
        <v>217</v>
      </c>
      <c r="AZ3265" t="s">
        <v>217</v>
      </c>
      <c r="BA3265" t="s">
        <v>218</v>
      </c>
      <c r="BE3265" s="3">
        <v>42159</v>
      </c>
      <c r="BF3265" s="1">
        <v>388593</v>
      </c>
      <c r="BG3265" t="s">
        <v>14540</v>
      </c>
      <c r="BH3265" s="1">
        <v>131.91</v>
      </c>
      <c r="BI3265" s="1">
        <v>359694</v>
      </c>
      <c r="BJ3265" s="3">
        <v>42159</v>
      </c>
      <c r="BK3265" t="s">
        <v>123</v>
      </c>
      <c r="BL3265" t="str">
        <f>"2015.400383"</f>
        <v>2015.400383</v>
      </c>
      <c r="BM3265" t="s">
        <v>6077</v>
      </c>
      <c r="BO3265" t="s">
        <v>21206</v>
      </c>
      <c r="BS3265">
        <v>30</v>
      </c>
      <c r="BW3265" t="str">
        <f>""</f>
        <v/>
      </c>
      <c r="CH3265" t="str">
        <f>""</f>
        <v/>
      </c>
      <c r="CS3265" t="str">
        <f>""</f>
        <v/>
      </c>
    </row>
    <row r="3266" spans="1:97" x14ac:dyDescent="0.25">
      <c r="A3266" t="s">
        <v>21207</v>
      </c>
      <c r="B3266" t="s">
        <v>3265</v>
      </c>
      <c r="C3266" t="s">
        <v>489</v>
      </c>
      <c r="D3266" t="s">
        <v>3265</v>
      </c>
      <c r="E3266" t="s">
        <v>21208</v>
      </c>
      <c r="F3266" t="s">
        <v>108</v>
      </c>
      <c r="H3266" t="s">
        <v>21209</v>
      </c>
      <c r="I3266" t="s">
        <v>453</v>
      </c>
      <c r="J3266" t="s">
        <v>111</v>
      </c>
      <c r="K3266" t="str">
        <f>"85383"</f>
        <v>85383</v>
      </c>
      <c r="L3266" t="s">
        <v>2220</v>
      </c>
      <c r="M3266" t="s">
        <v>21209</v>
      </c>
      <c r="N3266" t="s">
        <v>453</v>
      </c>
      <c r="O3266" t="s">
        <v>111</v>
      </c>
      <c r="P3266" t="str">
        <f>"85383-7224"</f>
        <v>85383-7224</v>
      </c>
      <c r="Q3266" t="s">
        <v>113</v>
      </c>
      <c r="R3266" t="str">
        <f>"201-30-205"</f>
        <v>201-30-205</v>
      </c>
      <c r="S3266" t="s">
        <v>21210</v>
      </c>
      <c r="T3266" t="s">
        <v>2222</v>
      </c>
      <c r="U3266">
        <v>2336</v>
      </c>
      <c r="V3266">
        <v>0</v>
      </c>
      <c r="W3266">
        <v>4</v>
      </c>
      <c r="X3266">
        <v>2015</v>
      </c>
      <c r="Z3266">
        <v>1</v>
      </c>
      <c r="AB3266">
        <v>0</v>
      </c>
      <c r="AC3266" t="s">
        <v>115</v>
      </c>
      <c r="AD3266">
        <v>3</v>
      </c>
      <c r="AE3266" t="s">
        <v>115</v>
      </c>
      <c r="AF3266">
        <v>0</v>
      </c>
      <c r="AG3266">
        <v>0</v>
      </c>
      <c r="AH3266" t="s">
        <v>116</v>
      </c>
      <c r="AI3266" s="1">
        <v>15041</v>
      </c>
      <c r="AJ3266" s="2">
        <v>0.04</v>
      </c>
      <c r="AK3266" s="1">
        <v>397202</v>
      </c>
      <c r="AL3266" t="s">
        <v>117</v>
      </c>
      <c r="AM3266" t="s">
        <v>1302</v>
      </c>
      <c r="AN3266">
        <v>10095</v>
      </c>
      <c r="AO3266">
        <v>0.23</v>
      </c>
      <c r="AR3266">
        <v>1</v>
      </c>
      <c r="AS3266" s="1">
        <v>30510</v>
      </c>
      <c r="AT3266" s="1">
        <v>6100</v>
      </c>
      <c r="AU3266" s="1">
        <v>24410</v>
      </c>
      <c r="AV3266">
        <v>80.010000000000005</v>
      </c>
      <c r="AX3266" s="1">
        <v>2536.7800000000002</v>
      </c>
      <c r="AY3266" t="s">
        <v>1385</v>
      </c>
      <c r="AZ3266" t="s">
        <v>1385</v>
      </c>
      <c r="BA3266" t="s">
        <v>2223</v>
      </c>
      <c r="BE3266" s="3">
        <v>42184</v>
      </c>
      <c r="BF3266" s="1">
        <v>374118</v>
      </c>
      <c r="BG3266" t="s">
        <v>21211</v>
      </c>
      <c r="BH3266" s="1">
        <v>160.15</v>
      </c>
      <c r="BI3266" s="1">
        <v>382161</v>
      </c>
      <c r="BJ3266" s="3">
        <v>42184</v>
      </c>
      <c r="BK3266" t="s">
        <v>123</v>
      </c>
      <c r="BL3266" t="str">
        <f>"2015.465951"</f>
        <v>2015.465951</v>
      </c>
      <c r="BM3266" t="s">
        <v>651</v>
      </c>
      <c r="BO3266" t="s">
        <v>21212</v>
      </c>
      <c r="BS3266">
        <v>30</v>
      </c>
      <c r="BW3266" t="str">
        <f>""</f>
        <v/>
      </c>
      <c r="CH3266" t="str">
        <f>""</f>
        <v/>
      </c>
      <c r="CS3266" t="str">
        <f>""</f>
        <v/>
      </c>
    </row>
    <row r="3267" spans="1:97" x14ac:dyDescent="0.25">
      <c r="A3267" t="s">
        <v>1109</v>
      </c>
      <c r="B3267" t="s">
        <v>21213</v>
      </c>
      <c r="C3267" t="s">
        <v>8089</v>
      </c>
      <c r="D3267" t="s">
        <v>21214</v>
      </c>
      <c r="E3267" t="s">
        <v>21215</v>
      </c>
      <c r="F3267" t="s">
        <v>108</v>
      </c>
      <c r="H3267" t="s">
        <v>21216</v>
      </c>
      <c r="I3267" t="s">
        <v>188</v>
      </c>
      <c r="J3267" t="s">
        <v>111</v>
      </c>
      <c r="K3267" t="str">
        <f>"85142"</f>
        <v>85142</v>
      </c>
      <c r="L3267" t="s">
        <v>1070</v>
      </c>
      <c r="M3267" t="s">
        <v>21216</v>
      </c>
      <c r="N3267" t="s">
        <v>188</v>
      </c>
      <c r="O3267" t="s">
        <v>111</v>
      </c>
      <c r="P3267" t="str">
        <f>"85142-5232"</f>
        <v>85142-5232</v>
      </c>
      <c r="R3267" t="str">
        <f>"314-08-072"</f>
        <v>314-08-072</v>
      </c>
      <c r="S3267" t="s">
        <v>19158</v>
      </c>
      <c r="U3267">
        <v>2625</v>
      </c>
      <c r="V3267">
        <v>0</v>
      </c>
      <c r="W3267">
        <v>4</v>
      </c>
      <c r="X3267">
        <v>2015</v>
      </c>
      <c r="Z3267">
        <v>1</v>
      </c>
      <c r="AB3267">
        <v>0</v>
      </c>
      <c r="AC3267" t="s">
        <v>115</v>
      </c>
      <c r="AD3267">
        <v>3</v>
      </c>
      <c r="AE3267" t="s">
        <v>115</v>
      </c>
      <c r="AF3267">
        <v>0</v>
      </c>
      <c r="AG3267">
        <v>0</v>
      </c>
      <c r="AH3267" t="s">
        <v>116</v>
      </c>
      <c r="AI3267" s="1">
        <v>29178</v>
      </c>
      <c r="AJ3267" s="2">
        <v>0.08</v>
      </c>
      <c r="AK3267" s="1">
        <v>385758</v>
      </c>
      <c r="AL3267" t="s">
        <v>117</v>
      </c>
      <c r="AM3267" t="s">
        <v>393</v>
      </c>
      <c r="AN3267">
        <v>8391</v>
      </c>
      <c r="AO3267">
        <v>0.19</v>
      </c>
      <c r="AR3267">
        <v>1</v>
      </c>
      <c r="AS3267" s="1">
        <v>27600</v>
      </c>
      <c r="AT3267" s="1">
        <v>5520</v>
      </c>
      <c r="AU3267" s="1">
        <v>22080</v>
      </c>
      <c r="AV3267">
        <v>80</v>
      </c>
      <c r="AX3267" s="1">
        <v>2675.04</v>
      </c>
      <c r="AY3267" t="s">
        <v>1074</v>
      </c>
      <c r="AZ3267" t="s">
        <v>193</v>
      </c>
      <c r="BA3267" t="s">
        <v>194</v>
      </c>
      <c r="BE3267" s="3">
        <v>42298</v>
      </c>
      <c r="BF3267" s="1">
        <v>319538</v>
      </c>
      <c r="BG3267" t="s">
        <v>19159</v>
      </c>
      <c r="BH3267" s="1">
        <v>121.73</v>
      </c>
      <c r="BI3267" s="1">
        <v>328780</v>
      </c>
      <c r="BJ3267" s="3">
        <v>42674</v>
      </c>
      <c r="BK3267" t="s">
        <v>123</v>
      </c>
      <c r="BL3267" t="str">
        <f>"2016.796774"</f>
        <v>2016.796774</v>
      </c>
      <c r="BM3267" t="s">
        <v>322</v>
      </c>
      <c r="BN3267" t="s">
        <v>534</v>
      </c>
      <c r="BO3267" t="s">
        <v>21217</v>
      </c>
      <c r="BP3267" t="s">
        <v>21218</v>
      </c>
      <c r="BS3267">
        <v>30</v>
      </c>
      <c r="BT3267" s="1">
        <v>27800</v>
      </c>
      <c r="BU3267" s="3">
        <v>43740</v>
      </c>
      <c r="BW3267" t="str">
        <f>"2019.783153"</f>
        <v>2019.783153</v>
      </c>
      <c r="BX3267" t="s">
        <v>1948</v>
      </c>
      <c r="BY3267" t="s">
        <v>2988</v>
      </c>
      <c r="BZ3267" t="s">
        <v>21219</v>
      </c>
      <c r="CA3267" t="s">
        <v>21220</v>
      </c>
      <c r="CC3267" t="s">
        <v>346</v>
      </c>
      <c r="CH3267" t="str">
        <f>""</f>
        <v/>
      </c>
      <c r="CS3267" t="str">
        <f>""</f>
        <v/>
      </c>
    </row>
    <row r="3268" spans="1:97" x14ac:dyDescent="0.25">
      <c r="A3268" t="s">
        <v>21221</v>
      </c>
      <c r="B3268" t="s">
        <v>603</v>
      </c>
      <c r="C3268" t="s">
        <v>370</v>
      </c>
      <c r="D3268" t="s">
        <v>603</v>
      </c>
      <c r="E3268" t="s">
        <v>21222</v>
      </c>
      <c r="F3268" t="s">
        <v>108</v>
      </c>
      <c r="H3268" t="s">
        <v>21223</v>
      </c>
      <c r="I3268" t="s">
        <v>203</v>
      </c>
      <c r="J3268" t="s">
        <v>111</v>
      </c>
      <c r="K3268" t="str">
        <f>"85298"</f>
        <v>85298</v>
      </c>
      <c r="L3268" t="s">
        <v>5131</v>
      </c>
      <c r="M3268" t="s">
        <v>21223</v>
      </c>
      <c r="N3268" t="s">
        <v>203</v>
      </c>
      <c r="O3268" t="s">
        <v>111</v>
      </c>
      <c r="P3268" t="str">
        <f>"85298-5741"</f>
        <v>85298-5741</v>
      </c>
      <c r="Q3268" t="s">
        <v>113</v>
      </c>
      <c r="R3268" t="str">
        <f>"304-77-536"</f>
        <v>304-77-536</v>
      </c>
      <c r="S3268" t="s">
        <v>21224</v>
      </c>
      <c r="U3268">
        <v>2348</v>
      </c>
      <c r="V3268">
        <v>0</v>
      </c>
      <c r="W3268">
        <v>3</v>
      </c>
      <c r="X3268">
        <v>2007</v>
      </c>
      <c r="Z3268">
        <v>1</v>
      </c>
      <c r="AA3268" t="s">
        <v>26</v>
      </c>
      <c r="AB3268">
        <v>0</v>
      </c>
      <c r="AC3268" t="s">
        <v>115</v>
      </c>
      <c r="AD3268">
        <v>2</v>
      </c>
      <c r="AE3268" t="s">
        <v>115</v>
      </c>
      <c r="AF3268">
        <v>0</v>
      </c>
      <c r="AG3268">
        <v>0</v>
      </c>
      <c r="AH3268" t="s">
        <v>116</v>
      </c>
      <c r="AI3268" s="1">
        <v>39238</v>
      </c>
      <c r="AJ3268" s="2">
        <v>0.1</v>
      </c>
      <c r="AK3268" s="1">
        <v>405953</v>
      </c>
      <c r="AL3268" t="s">
        <v>117</v>
      </c>
      <c r="AM3268" t="s">
        <v>393</v>
      </c>
      <c r="AN3268">
        <v>11706</v>
      </c>
      <c r="AO3268">
        <v>0.27</v>
      </c>
      <c r="AR3268">
        <v>1</v>
      </c>
      <c r="AS3268" s="1">
        <v>29880</v>
      </c>
      <c r="AT3268" s="1">
        <v>5970</v>
      </c>
      <c r="AU3268" s="1">
        <v>23910</v>
      </c>
      <c r="AV3268">
        <v>80.02</v>
      </c>
      <c r="AX3268" s="1">
        <v>2465.9</v>
      </c>
      <c r="AY3268" t="s">
        <v>2214</v>
      </c>
      <c r="AZ3268" t="s">
        <v>1134</v>
      </c>
      <c r="BA3268" t="s">
        <v>1134</v>
      </c>
      <c r="BE3268" s="3">
        <v>41905</v>
      </c>
      <c r="BF3268" s="1">
        <v>316000</v>
      </c>
      <c r="BG3268" t="s">
        <v>21225</v>
      </c>
      <c r="BH3268" s="1">
        <v>134.58000000000001</v>
      </c>
      <c r="BI3268" s="1">
        <v>366715</v>
      </c>
      <c r="BJ3268" s="3">
        <v>42597</v>
      </c>
      <c r="BK3268" t="s">
        <v>123</v>
      </c>
      <c r="BL3268" t="str">
        <f>"2016.579785"</f>
        <v>2016.579785</v>
      </c>
      <c r="BM3268" t="s">
        <v>2094</v>
      </c>
      <c r="BO3268" t="s">
        <v>21226</v>
      </c>
      <c r="BS3268">
        <v>30</v>
      </c>
      <c r="BW3268" t="str">
        <f>""</f>
        <v/>
      </c>
      <c r="CH3268" t="str">
        <f>""</f>
        <v/>
      </c>
      <c r="CS3268" t="str">
        <f>""</f>
        <v/>
      </c>
    </row>
    <row r="3269" spans="1:97" x14ac:dyDescent="0.25">
      <c r="A3269" t="s">
        <v>21227</v>
      </c>
      <c r="B3269" t="s">
        <v>10633</v>
      </c>
      <c r="C3269" t="s">
        <v>6428</v>
      </c>
      <c r="D3269" t="s">
        <v>10633</v>
      </c>
      <c r="E3269" t="s">
        <v>21228</v>
      </c>
      <c r="F3269" t="s">
        <v>108</v>
      </c>
      <c r="H3269" t="s">
        <v>21229</v>
      </c>
      <c r="I3269" t="s">
        <v>203</v>
      </c>
      <c r="J3269" t="s">
        <v>111</v>
      </c>
      <c r="K3269" t="str">
        <f>"85298"</f>
        <v>85298</v>
      </c>
      <c r="L3269" t="s">
        <v>21230</v>
      </c>
      <c r="M3269" t="s">
        <v>21229</v>
      </c>
      <c r="N3269" t="s">
        <v>203</v>
      </c>
      <c r="O3269" t="s">
        <v>111</v>
      </c>
      <c r="P3269" t="str">
        <f>"85298-8792"</f>
        <v>85298-8792</v>
      </c>
      <c r="R3269" t="str">
        <f>"313-07-817"</f>
        <v>313-07-817</v>
      </c>
      <c r="S3269" t="s">
        <v>21231</v>
      </c>
      <c r="U3269">
        <v>2968</v>
      </c>
      <c r="V3269">
        <v>0</v>
      </c>
      <c r="W3269">
        <v>4</v>
      </c>
      <c r="X3269">
        <v>2010</v>
      </c>
      <c r="Z3269">
        <v>1</v>
      </c>
      <c r="AA3269" t="s">
        <v>26</v>
      </c>
      <c r="AB3269">
        <v>0</v>
      </c>
      <c r="AC3269" t="s">
        <v>115</v>
      </c>
      <c r="AD3269">
        <v>3</v>
      </c>
      <c r="AE3269" t="s">
        <v>115</v>
      </c>
      <c r="AF3269">
        <v>0</v>
      </c>
      <c r="AG3269">
        <v>0</v>
      </c>
      <c r="AH3269" t="s">
        <v>116</v>
      </c>
      <c r="AI3269" s="1">
        <v>86822</v>
      </c>
      <c r="AJ3269" s="2">
        <v>0.18</v>
      </c>
      <c r="AK3269" s="1">
        <v>489692</v>
      </c>
      <c r="AL3269" t="s">
        <v>117</v>
      </c>
      <c r="AM3269" t="s">
        <v>171</v>
      </c>
      <c r="AN3269">
        <v>10426</v>
      </c>
      <c r="AO3269">
        <v>0.24</v>
      </c>
      <c r="AR3269">
        <v>1</v>
      </c>
      <c r="AS3269" s="1">
        <v>34950</v>
      </c>
      <c r="AT3269" s="1">
        <v>6990</v>
      </c>
      <c r="AU3269" s="1">
        <v>27960</v>
      </c>
      <c r="AV3269">
        <v>80</v>
      </c>
      <c r="AX3269" s="1">
        <v>3118.08</v>
      </c>
      <c r="AY3269" t="s">
        <v>272</v>
      </c>
      <c r="AZ3269" t="s">
        <v>273</v>
      </c>
      <c r="BA3269" t="s">
        <v>274</v>
      </c>
      <c r="BE3269" s="3">
        <v>42097</v>
      </c>
      <c r="BF3269" s="1">
        <v>410000</v>
      </c>
      <c r="BG3269" t="s">
        <v>21232</v>
      </c>
      <c r="BH3269" s="1">
        <v>138.13999999999999</v>
      </c>
      <c r="BI3269" s="1">
        <v>402870</v>
      </c>
      <c r="BJ3269" s="3">
        <v>42097</v>
      </c>
      <c r="BK3269" t="s">
        <v>123</v>
      </c>
      <c r="BL3269" t="str">
        <f>"2015.227355"</f>
        <v>2015.227355</v>
      </c>
      <c r="BM3269" t="s">
        <v>4014</v>
      </c>
      <c r="BN3269" t="s">
        <v>2081</v>
      </c>
      <c r="BO3269" t="s">
        <v>21233</v>
      </c>
      <c r="BS3269">
        <v>30</v>
      </c>
      <c r="BW3269" t="str">
        <f>""</f>
        <v/>
      </c>
      <c r="CH3269" t="str">
        <f>""</f>
        <v/>
      </c>
      <c r="CS3269" t="str">
        <f>""</f>
        <v/>
      </c>
    </row>
    <row r="3270" spans="1:97" x14ac:dyDescent="0.25">
      <c r="A3270" t="s">
        <v>370</v>
      </c>
      <c r="B3270" t="s">
        <v>21234</v>
      </c>
      <c r="C3270" t="s">
        <v>1995</v>
      </c>
      <c r="D3270" t="s">
        <v>21234</v>
      </c>
      <c r="E3270" t="s">
        <v>21235</v>
      </c>
      <c r="F3270" t="s">
        <v>108</v>
      </c>
      <c r="H3270" t="s">
        <v>21236</v>
      </c>
      <c r="I3270" t="s">
        <v>6646</v>
      </c>
      <c r="J3270" t="s">
        <v>111</v>
      </c>
      <c r="K3270" t="str">
        <f>"85086"</f>
        <v>85086</v>
      </c>
      <c r="L3270" t="s">
        <v>3645</v>
      </c>
      <c r="M3270" t="s">
        <v>21236</v>
      </c>
      <c r="N3270" t="s">
        <v>6646</v>
      </c>
      <c r="O3270" t="s">
        <v>111</v>
      </c>
      <c r="P3270" t="str">
        <f>"85086-3648"</f>
        <v>85086-3648</v>
      </c>
      <c r="Q3270" t="s">
        <v>113</v>
      </c>
      <c r="R3270" t="str">
        <f>"203-40-791"</f>
        <v>203-40-791</v>
      </c>
      <c r="S3270" t="s">
        <v>21237</v>
      </c>
      <c r="U3270">
        <v>2968</v>
      </c>
      <c r="V3270">
        <v>0</v>
      </c>
      <c r="W3270">
        <v>4</v>
      </c>
      <c r="X3270">
        <v>2004</v>
      </c>
      <c r="Z3270">
        <v>2</v>
      </c>
      <c r="AA3270" t="s">
        <v>26</v>
      </c>
      <c r="AB3270">
        <v>0</v>
      </c>
      <c r="AC3270" t="s">
        <v>115</v>
      </c>
      <c r="AD3270">
        <v>3</v>
      </c>
      <c r="AE3270" t="s">
        <v>115</v>
      </c>
      <c r="AF3270">
        <v>0</v>
      </c>
      <c r="AG3270">
        <v>0</v>
      </c>
      <c r="AH3270" t="s">
        <v>116</v>
      </c>
      <c r="AI3270" s="1">
        <v>49743</v>
      </c>
      <c r="AJ3270" s="2">
        <v>0.12</v>
      </c>
      <c r="AK3270" s="1">
        <v>407683</v>
      </c>
      <c r="AL3270" t="s">
        <v>117</v>
      </c>
      <c r="AM3270" t="s">
        <v>191</v>
      </c>
      <c r="AN3270">
        <v>6942</v>
      </c>
      <c r="AO3270">
        <v>0.16</v>
      </c>
      <c r="AP3270">
        <v>1</v>
      </c>
      <c r="AR3270">
        <v>1</v>
      </c>
      <c r="AS3270" s="1">
        <v>28810</v>
      </c>
      <c r="AT3270" s="1">
        <v>5760</v>
      </c>
      <c r="AU3270" s="1">
        <v>23050</v>
      </c>
      <c r="AV3270">
        <v>80.010000000000005</v>
      </c>
      <c r="AX3270" s="1">
        <v>3213.6</v>
      </c>
      <c r="AY3270" t="s">
        <v>6515</v>
      </c>
      <c r="AZ3270" t="s">
        <v>6515</v>
      </c>
      <c r="BA3270" t="s">
        <v>378</v>
      </c>
      <c r="BE3270" s="3">
        <v>42214</v>
      </c>
      <c r="BF3270" s="1">
        <v>349900</v>
      </c>
      <c r="BG3270" t="s">
        <v>21238</v>
      </c>
      <c r="BH3270" s="1">
        <v>117.89</v>
      </c>
      <c r="BI3270" s="1">
        <v>357940</v>
      </c>
      <c r="BJ3270" s="3">
        <v>42552</v>
      </c>
      <c r="BK3270" t="s">
        <v>123</v>
      </c>
      <c r="BL3270" t="str">
        <f>"2016.464516"</f>
        <v>2016.464516</v>
      </c>
      <c r="BM3270" t="s">
        <v>402</v>
      </c>
      <c r="BO3270" t="s">
        <v>21239</v>
      </c>
      <c r="BS3270">
        <v>30</v>
      </c>
      <c r="BW3270" t="str">
        <f>""</f>
        <v/>
      </c>
      <c r="CH3270" t="str">
        <f>""</f>
        <v/>
      </c>
      <c r="CS3270" t="str">
        <f>""</f>
        <v/>
      </c>
    </row>
    <row r="3271" spans="1:97" x14ac:dyDescent="0.25">
      <c r="A3271" t="s">
        <v>8246</v>
      </c>
      <c r="B3271" t="s">
        <v>21240</v>
      </c>
      <c r="C3271" t="s">
        <v>365</v>
      </c>
      <c r="D3271" t="s">
        <v>21240</v>
      </c>
      <c r="E3271" t="s">
        <v>21241</v>
      </c>
      <c r="F3271" t="s">
        <v>108</v>
      </c>
      <c r="H3271" t="s">
        <v>21242</v>
      </c>
      <c r="I3271" t="s">
        <v>632</v>
      </c>
      <c r="J3271" t="s">
        <v>111</v>
      </c>
      <c r="K3271" t="str">
        <f>"85388"</f>
        <v>85388</v>
      </c>
      <c r="L3271" t="s">
        <v>7607</v>
      </c>
      <c r="M3271" t="s">
        <v>21242</v>
      </c>
      <c r="N3271" t="s">
        <v>632</v>
      </c>
      <c r="O3271" t="s">
        <v>111</v>
      </c>
      <c r="P3271" t="str">
        <f>"85388-1822"</f>
        <v>85388-1822</v>
      </c>
      <c r="Q3271" t="s">
        <v>113</v>
      </c>
      <c r="R3271" t="str">
        <f>"502-89-394"</f>
        <v>502-89-394</v>
      </c>
      <c r="S3271" t="s">
        <v>7646</v>
      </c>
      <c r="U3271">
        <v>3490</v>
      </c>
      <c r="V3271">
        <v>0</v>
      </c>
      <c r="W3271">
        <v>4</v>
      </c>
      <c r="X3271">
        <v>2015</v>
      </c>
      <c r="Z3271">
        <v>2</v>
      </c>
      <c r="AA3271" t="s">
        <v>26</v>
      </c>
      <c r="AB3271">
        <v>0</v>
      </c>
      <c r="AC3271" t="s">
        <v>115</v>
      </c>
      <c r="AD3271">
        <v>4</v>
      </c>
      <c r="AE3271" t="s">
        <v>115</v>
      </c>
      <c r="AF3271">
        <v>0</v>
      </c>
      <c r="AG3271">
        <v>0</v>
      </c>
      <c r="AH3271" t="s">
        <v>116</v>
      </c>
      <c r="AI3271" s="1">
        <v>45597</v>
      </c>
      <c r="AJ3271" s="2">
        <v>0.1</v>
      </c>
      <c r="AK3271" s="1">
        <v>448003</v>
      </c>
      <c r="AL3271" t="s">
        <v>117</v>
      </c>
      <c r="AM3271" t="s">
        <v>118</v>
      </c>
      <c r="AN3271">
        <v>10400</v>
      </c>
      <c r="AO3271">
        <v>0.24</v>
      </c>
      <c r="AR3271">
        <v>1</v>
      </c>
      <c r="AS3271" s="1">
        <v>37500</v>
      </c>
      <c r="AT3271" s="1">
        <v>7500</v>
      </c>
      <c r="AU3271" s="1">
        <v>30000</v>
      </c>
      <c r="AV3271">
        <v>80</v>
      </c>
      <c r="AX3271" s="1">
        <v>2427.94</v>
      </c>
      <c r="AY3271" t="s">
        <v>5168</v>
      </c>
      <c r="AZ3271" t="s">
        <v>5168</v>
      </c>
      <c r="BA3271" t="s">
        <v>5109</v>
      </c>
      <c r="BE3271" s="3">
        <v>42500</v>
      </c>
      <c r="BF3271" s="1">
        <v>360256</v>
      </c>
      <c r="BG3271" t="s">
        <v>3524</v>
      </c>
      <c r="BH3271" s="1">
        <v>103.23</v>
      </c>
      <c r="BI3271" s="1">
        <v>360256</v>
      </c>
      <c r="BJ3271" s="3">
        <v>42500</v>
      </c>
      <c r="BK3271" t="s">
        <v>123</v>
      </c>
      <c r="BL3271" t="str">
        <f>"2016.319393"</f>
        <v>2016.319393</v>
      </c>
      <c r="BM3271" t="s">
        <v>9615</v>
      </c>
      <c r="BO3271" t="s">
        <v>21243</v>
      </c>
      <c r="BS3271">
        <v>30</v>
      </c>
      <c r="BT3271" s="1">
        <v>42150</v>
      </c>
      <c r="BU3271" s="3">
        <v>42563</v>
      </c>
      <c r="BV3271" t="s">
        <v>134</v>
      </c>
      <c r="BW3271" t="str">
        <f>"2016.487114"</f>
        <v>2016.487114</v>
      </c>
      <c r="BX3271" t="s">
        <v>198</v>
      </c>
      <c r="BZ3271" t="s">
        <v>21243</v>
      </c>
      <c r="CD3271">
        <v>15</v>
      </c>
      <c r="CH3271" t="str">
        <f>""</f>
        <v/>
      </c>
      <c r="CS3271" t="str">
        <f>""</f>
        <v/>
      </c>
    </row>
    <row r="3272" spans="1:97" x14ac:dyDescent="0.25">
      <c r="A3272" t="s">
        <v>5314</v>
      </c>
      <c r="B3272" t="s">
        <v>21244</v>
      </c>
      <c r="C3272" t="s">
        <v>10325</v>
      </c>
      <c r="D3272" t="s">
        <v>21244</v>
      </c>
      <c r="E3272" t="s">
        <v>21245</v>
      </c>
      <c r="F3272" t="s">
        <v>108</v>
      </c>
      <c r="H3272" t="s">
        <v>21246</v>
      </c>
      <c r="I3272" t="s">
        <v>110</v>
      </c>
      <c r="J3272" t="s">
        <v>111</v>
      </c>
      <c r="K3272" t="str">
        <f>"85249"</f>
        <v>85249</v>
      </c>
      <c r="L3272" t="s">
        <v>3225</v>
      </c>
      <c r="M3272" t="s">
        <v>21246</v>
      </c>
      <c r="N3272" t="s">
        <v>110</v>
      </c>
      <c r="O3272" t="s">
        <v>111</v>
      </c>
      <c r="P3272" t="str">
        <f>"85249-7433"</f>
        <v>85249-7433</v>
      </c>
      <c r="Q3272" t="s">
        <v>113</v>
      </c>
      <c r="R3272" t="str">
        <f>"313-09-235"</f>
        <v>313-09-235</v>
      </c>
      <c r="S3272" t="s">
        <v>14317</v>
      </c>
      <c r="U3272">
        <v>3098</v>
      </c>
      <c r="V3272">
        <v>0</v>
      </c>
      <c r="W3272">
        <v>4</v>
      </c>
      <c r="X3272">
        <v>2005</v>
      </c>
      <c r="Z3272">
        <v>2</v>
      </c>
      <c r="AB3272">
        <v>0</v>
      </c>
      <c r="AC3272" t="s">
        <v>115</v>
      </c>
      <c r="AD3272">
        <v>3</v>
      </c>
      <c r="AE3272" t="s">
        <v>115</v>
      </c>
      <c r="AF3272">
        <v>0</v>
      </c>
      <c r="AG3272">
        <v>0</v>
      </c>
      <c r="AH3272" t="s">
        <v>116</v>
      </c>
      <c r="AI3272" s="1">
        <v>77235</v>
      </c>
      <c r="AJ3272" s="2">
        <v>0.2</v>
      </c>
      <c r="AK3272" s="1">
        <v>391712</v>
      </c>
      <c r="AL3272" t="s">
        <v>117</v>
      </c>
      <c r="AM3272" t="s">
        <v>118</v>
      </c>
      <c r="AN3272">
        <v>7170</v>
      </c>
      <c r="AO3272">
        <v>0.16</v>
      </c>
      <c r="AR3272">
        <v>1</v>
      </c>
      <c r="AS3272" s="1">
        <v>26500</v>
      </c>
      <c r="AT3272" s="1">
        <v>5300</v>
      </c>
      <c r="AU3272" s="1">
        <v>21200</v>
      </c>
      <c r="AV3272">
        <v>80</v>
      </c>
      <c r="AX3272" s="1">
        <v>2187.34</v>
      </c>
      <c r="AY3272" t="s">
        <v>6269</v>
      </c>
      <c r="AZ3272" t="s">
        <v>273</v>
      </c>
      <c r="BA3272" t="s">
        <v>274</v>
      </c>
      <c r="BB3272" s="3">
        <v>41894</v>
      </c>
      <c r="BD3272" t="s">
        <v>240</v>
      </c>
      <c r="BE3272" s="3">
        <v>41894</v>
      </c>
      <c r="BF3272" s="1">
        <v>310000</v>
      </c>
      <c r="BG3272" t="s">
        <v>21247</v>
      </c>
      <c r="BH3272" s="1">
        <v>100.06</v>
      </c>
      <c r="BI3272" s="1">
        <v>314477</v>
      </c>
      <c r="BJ3272" s="3">
        <v>42604</v>
      </c>
      <c r="BK3272" t="s">
        <v>123</v>
      </c>
      <c r="BL3272" t="str">
        <f>"2016.601902"</f>
        <v>2016.601902</v>
      </c>
      <c r="BM3272" t="s">
        <v>3004</v>
      </c>
      <c r="BO3272" t="s">
        <v>21248</v>
      </c>
      <c r="BS3272">
        <v>30</v>
      </c>
      <c r="BW3272" t="str">
        <f>""</f>
        <v/>
      </c>
      <c r="CH3272" t="str">
        <f>""</f>
        <v/>
      </c>
      <c r="CS3272" t="str">
        <f>""</f>
        <v/>
      </c>
    </row>
    <row r="3273" spans="1:97" x14ac:dyDescent="0.25">
      <c r="A3273" t="s">
        <v>1160</v>
      </c>
      <c r="B3273" t="s">
        <v>21249</v>
      </c>
      <c r="C3273" t="s">
        <v>4141</v>
      </c>
      <c r="D3273" t="s">
        <v>21250</v>
      </c>
      <c r="E3273" t="s">
        <v>21251</v>
      </c>
      <c r="F3273" t="s">
        <v>108</v>
      </c>
      <c r="H3273" t="s">
        <v>21252</v>
      </c>
      <c r="I3273" t="s">
        <v>390</v>
      </c>
      <c r="J3273" t="s">
        <v>111</v>
      </c>
      <c r="K3273" t="str">
        <f>"85083"</f>
        <v>85083</v>
      </c>
      <c r="L3273" t="s">
        <v>3520</v>
      </c>
      <c r="M3273" t="s">
        <v>21252</v>
      </c>
      <c r="N3273" t="s">
        <v>390</v>
      </c>
      <c r="O3273" t="s">
        <v>111</v>
      </c>
      <c r="P3273" t="str">
        <f>"85083-5840"</f>
        <v>85083-5840</v>
      </c>
      <c r="Q3273" t="s">
        <v>113</v>
      </c>
      <c r="R3273" t="str">
        <f>"205-03-232"</f>
        <v>205-03-232</v>
      </c>
      <c r="S3273" t="s">
        <v>10113</v>
      </c>
      <c r="T3273" t="s">
        <v>10113</v>
      </c>
      <c r="U3273">
        <v>2167</v>
      </c>
      <c r="V3273">
        <v>0</v>
      </c>
      <c r="W3273">
        <v>3</v>
      </c>
      <c r="X3273">
        <v>2001</v>
      </c>
      <c r="Z3273">
        <v>1</v>
      </c>
      <c r="AA3273" t="s">
        <v>26</v>
      </c>
      <c r="AB3273">
        <v>0</v>
      </c>
      <c r="AC3273" t="s">
        <v>115</v>
      </c>
      <c r="AD3273">
        <v>2</v>
      </c>
      <c r="AE3273" t="s">
        <v>115</v>
      </c>
      <c r="AF3273">
        <v>0</v>
      </c>
      <c r="AG3273">
        <v>0</v>
      </c>
      <c r="AH3273" t="s">
        <v>116</v>
      </c>
      <c r="AI3273" s="1">
        <v>101239</v>
      </c>
      <c r="AJ3273" s="2">
        <v>0.31</v>
      </c>
      <c r="AK3273" s="1">
        <v>330239</v>
      </c>
      <c r="AL3273" t="s">
        <v>117</v>
      </c>
      <c r="AM3273" t="s">
        <v>171</v>
      </c>
      <c r="AN3273">
        <v>7360</v>
      </c>
      <c r="AO3273">
        <v>0.17</v>
      </c>
      <c r="AP3273">
        <v>1</v>
      </c>
      <c r="AR3273">
        <v>1</v>
      </c>
      <c r="AS3273" s="1">
        <v>24160</v>
      </c>
      <c r="AT3273" s="1">
        <v>4830</v>
      </c>
      <c r="AU3273" s="1">
        <v>19330</v>
      </c>
      <c r="AV3273">
        <v>80.010000000000005</v>
      </c>
      <c r="AX3273" s="1">
        <v>2059.7199999999998</v>
      </c>
      <c r="AY3273" t="s">
        <v>3522</v>
      </c>
      <c r="AZ3273" t="s">
        <v>3522</v>
      </c>
      <c r="BA3273" t="s">
        <v>1386</v>
      </c>
      <c r="BE3273" s="3">
        <v>42465</v>
      </c>
      <c r="BF3273" s="1">
        <v>267500</v>
      </c>
      <c r="BG3273" t="s">
        <v>21253</v>
      </c>
      <c r="BH3273" s="1">
        <v>123.44</v>
      </c>
      <c r="BI3273" s="1">
        <v>229000</v>
      </c>
      <c r="BJ3273" s="3">
        <v>42465</v>
      </c>
      <c r="BK3273" t="s">
        <v>123</v>
      </c>
      <c r="BL3273" t="str">
        <f>"2016.222123"</f>
        <v>2016.222123</v>
      </c>
      <c r="BM3273" t="s">
        <v>1325</v>
      </c>
      <c r="BO3273" t="s">
        <v>21254</v>
      </c>
      <c r="BP3273" t="s">
        <v>21255</v>
      </c>
      <c r="BS3273">
        <v>30</v>
      </c>
      <c r="BW3273" t="str">
        <f>""</f>
        <v/>
      </c>
      <c r="CH3273" t="str">
        <f>""</f>
        <v/>
      </c>
      <c r="CS3273" t="str">
        <f>""</f>
        <v/>
      </c>
    </row>
    <row r="3274" spans="1:97" x14ac:dyDescent="0.25">
      <c r="A3274" t="s">
        <v>1465</v>
      </c>
      <c r="B3274" t="s">
        <v>21256</v>
      </c>
      <c r="E3274" t="s">
        <v>21257</v>
      </c>
      <c r="F3274" t="s">
        <v>108</v>
      </c>
      <c r="H3274" t="s">
        <v>21258</v>
      </c>
      <c r="I3274" t="s">
        <v>110</v>
      </c>
      <c r="J3274" t="s">
        <v>111</v>
      </c>
      <c r="K3274" t="str">
        <f>"85249"</f>
        <v>85249</v>
      </c>
      <c r="L3274" t="s">
        <v>681</v>
      </c>
      <c r="M3274" t="s">
        <v>21258</v>
      </c>
      <c r="N3274" t="s">
        <v>110</v>
      </c>
      <c r="O3274" t="s">
        <v>111</v>
      </c>
      <c r="P3274" t="str">
        <f>"85249-5298"</f>
        <v>85249-5298</v>
      </c>
      <c r="Q3274" t="s">
        <v>113</v>
      </c>
      <c r="R3274" t="str">
        <f>"303-47-089"</f>
        <v>303-47-089</v>
      </c>
      <c r="S3274" t="s">
        <v>12011</v>
      </c>
      <c r="T3274" t="s">
        <v>12011</v>
      </c>
      <c r="U3274">
        <v>2696</v>
      </c>
      <c r="V3274">
        <v>0</v>
      </c>
      <c r="W3274">
        <v>4</v>
      </c>
      <c r="X3274">
        <v>2011</v>
      </c>
      <c r="Z3274">
        <v>1</v>
      </c>
      <c r="AA3274" t="s">
        <v>26</v>
      </c>
      <c r="AB3274">
        <v>0</v>
      </c>
      <c r="AC3274" t="s">
        <v>115</v>
      </c>
      <c r="AD3274">
        <v>3</v>
      </c>
      <c r="AE3274" t="s">
        <v>115</v>
      </c>
      <c r="AF3274">
        <v>0</v>
      </c>
      <c r="AG3274">
        <v>0</v>
      </c>
      <c r="AH3274" t="s">
        <v>116</v>
      </c>
      <c r="AI3274" s="1">
        <v>100430</v>
      </c>
      <c r="AJ3274" s="2">
        <v>0.2</v>
      </c>
      <c r="AK3274" s="1">
        <v>514791</v>
      </c>
      <c r="AL3274" t="s">
        <v>117</v>
      </c>
      <c r="AM3274" t="s">
        <v>118</v>
      </c>
      <c r="AN3274">
        <v>10113</v>
      </c>
      <c r="AO3274">
        <v>0.23</v>
      </c>
      <c r="AR3274">
        <v>1</v>
      </c>
      <c r="AS3274" s="1">
        <v>38680</v>
      </c>
      <c r="AT3274" s="1">
        <v>7730</v>
      </c>
      <c r="AU3274" s="1">
        <v>30950</v>
      </c>
      <c r="AV3274">
        <v>80.02</v>
      </c>
      <c r="AX3274" s="1">
        <v>3572.32</v>
      </c>
      <c r="AY3274" t="s">
        <v>6854</v>
      </c>
      <c r="AZ3274" t="s">
        <v>120</v>
      </c>
      <c r="BA3274" t="s">
        <v>274</v>
      </c>
      <c r="BE3274" s="3">
        <v>42258</v>
      </c>
      <c r="BF3274" s="1">
        <v>399000</v>
      </c>
      <c r="BG3274" t="s">
        <v>21259</v>
      </c>
      <c r="BH3274" s="1">
        <v>148</v>
      </c>
      <c r="BI3274" s="1">
        <v>414361</v>
      </c>
      <c r="BJ3274" s="3">
        <v>42508</v>
      </c>
      <c r="BK3274" t="s">
        <v>123</v>
      </c>
      <c r="BL3274" t="str">
        <f>"2016.340204"</f>
        <v>2016.340204</v>
      </c>
      <c r="BM3274" t="s">
        <v>5534</v>
      </c>
      <c r="BO3274" t="s">
        <v>21260</v>
      </c>
      <c r="BS3274">
        <v>30</v>
      </c>
      <c r="BW3274" t="str">
        <f>""</f>
        <v/>
      </c>
      <c r="CH3274" t="str">
        <f>""</f>
        <v/>
      </c>
      <c r="CS3274" t="str">
        <f>""</f>
        <v/>
      </c>
    </row>
    <row r="3275" spans="1:97" x14ac:dyDescent="0.25">
      <c r="A3275" t="s">
        <v>14068</v>
      </c>
      <c r="B3275" t="s">
        <v>21261</v>
      </c>
      <c r="C3275" t="s">
        <v>365</v>
      </c>
      <c r="D3275" t="s">
        <v>21261</v>
      </c>
      <c r="E3275" t="s">
        <v>21262</v>
      </c>
      <c r="F3275" t="s">
        <v>108</v>
      </c>
      <c r="H3275" t="s">
        <v>21263</v>
      </c>
      <c r="I3275" t="s">
        <v>390</v>
      </c>
      <c r="J3275" t="s">
        <v>111</v>
      </c>
      <c r="K3275" t="str">
        <f>"85023"</f>
        <v>85023</v>
      </c>
      <c r="L3275" t="s">
        <v>7626</v>
      </c>
      <c r="M3275" t="s">
        <v>21263</v>
      </c>
      <c r="N3275" t="s">
        <v>390</v>
      </c>
      <c r="O3275" t="s">
        <v>111</v>
      </c>
      <c r="P3275" t="str">
        <f>"85023-7425"</f>
        <v>85023-7425</v>
      </c>
      <c r="Q3275" t="s">
        <v>113</v>
      </c>
      <c r="R3275" t="str">
        <f>"208-34-282"</f>
        <v>208-34-282</v>
      </c>
      <c r="S3275" t="s">
        <v>21264</v>
      </c>
      <c r="T3275" t="s">
        <v>21265</v>
      </c>
      <c r="U3275">
        <v>1685</v>
      </c>
      <c r="V3275">
        <v>0</v>
      </c>
      <c r="W3275">
        <v>3</v>
      </c>
      <c r="X3275">
        <v>1986</v>
      </c>
      <c r="Z3275">
        <v>2</v>
      </c>
      <c r="AA3275" t="s">
        <v>26</v>
      </c>
      <c r="AB3275">
        <v>0</v>
      </c>
      <c r="AC3275" t="s">
        <v>115</v>
      </c>
      <c r="AD3275">
        <v>2</v>
      </c>
      <c r="AE3275" t="s">
        <v>115</v>
      </c>
      <c r="AF3275">
        <v>0</v>
      </c>
      <c r="AG3275">
        <v>0</v>
      </c>
      <c r="AH3275" t="s">
        <v>116</v>
      </c>
      <c r="AI3275" s="1">
        <v>67447</v>
      </c>
      <c r="AJ3275" s="2">
        <v>0.23</v>
      </c>
      <c r="AK3275" s="1">
        <v>296447</v>
      </c>
      <c r="AL3275" t="s">
        <v>117</v>
      </c>
      <c r="AM3275" t="s">
        <v>1315</v>
      </c>
      <c r="AN3275">
        <v>4853</v>
      </c>
      <c r="AO3275">
        <v>0.11</v>
      </c>
      <c r="AP3275">
        <v>1</v>
      </c>
      <c r="AR3275">
        <v>1</v>
      </c>
      <c r="AS3275" s="1">
        <v>20080</v>
      </c>
      <c r="AT3275" s="1">
        <v>4010</v>
      </c>
      <c r="AU3275" s="1">
        <v>16070</v>
      </c>
      <c r="AV3275">
        <v>80.03</v>
      </c>
      <c r="AX3275" s="1">
        <v>2046.18</v>
      </c>
      <c r="AY3275" t="s">
        <v>9170</v>
      </c>
      <c r="AZ3275" t="s">
        <v>8648</v>
      </c>
      <c r="BA3275" t="s">
        <v>8649</v>
      </c>
      <c r="BE3275" s="3">
        <v>42338</v>
      </c>
      <c r="BF3275" s="1">
        <v>229000</v>
      </c>
      <c r="BG3275" t="s">
        <v>21266</v>
      </c>
      <c r="BH3275" s="1">
        <v>135.91</v>
      </c>
      <c r="BI3275" s="1">
        <v>229000</v>
      </c>
      <c r="BJ3275" s="3">
        <v>42338</v>
      </c>
      <c r="BK3275" t="s">
        <v>123</v>
      </c>
      <c r="BL3275" t="str">
        <f>"2015.850413"</f>
        <v>2015.850413</v>
      </c>
      <c r="BM3275" t="s">
        <v>544</v>
      </c>
      <c r="BO3275" t="s">
        <v>21267</v>
      </c>
      <c r="BS3275">
        <v>30</v>
      </c>
      <c r="BW3275" t="str">
        <f>""</f>
        <v/>
      </c>
      <c r="CH3275" t="str">
        <f>""</f>
        <v/>
      </c>
      <c r="CS3275" t="str">
        <f>""</f>
        <v/>
      </c>
    </row>
    <row r="3276" spans="1:97" x14ac:dyDescent="0.25">
      <c r="A3276" t="s">
        <v>6821</v>
      </c>
      <c r="B3276" t="s">
        <v>6696</v>
      </c>
      <c r="E3276" t="s">
        <v>21268</v>
      </c>
      <c r="F3276" t="s">
        <v>108</v>
      </c>
      <c r="H3276" t="s">
        <v>21269</v>
      </c>
      <c r="I3276" t="s">
        <v>144</v>
      </c>
      <c r="J3276" t="s">
        <v>111</v>
      </c>
      <c r="K3276" t="str">
        <f>"85396"</f>
        <v>85396</v>
      </c>
      <c r="L3276" t="s">
        <v>11339</v>
      </c>
      <c r="M3276" t="s">
        <v>21269</v>
      </c>
      <c r="N3276" t="s">
        <v>144</v>
      </c>
      <c r="O3276" t="s">
        <v>111</v>
      </c>
      <c r="P3276" t="str">
        <f>"85396-7286"</f>
        <v>85396-7286</v>
      </c>
      <c r="Q3276" t="s">
        <v>113</v>
      </c>
      <c r="R3276" t="str">
        <f>"503-85-287"</f>
        <v>503-85-287</v>
      </c>
      <c r="S3276" t="s">
        <v>11340</v>
      </c>
      <c r="U3276">
        <v>3663</v>
      </c>
      <c r="V3276">
        <v>0</v>
      </c>
      <c r="W3276">
        <v>4</v>
      </c>
      <c r="X3276">
        <v>2007</v>
      </c>
      <c r="Z3276">
        <v>2</v>
      </c>
      <c r="AB3276">
        <v>0</v>
      </c>
      <c r="AC3276" t="s">
        <v>115</v>
      </c>
      <c r="AD3276">
        <v>3</v>
      </c>
      <c r="AE3276" t="s">
        <v>115</v>
      </c>
      <c r="AF3276">
        <v>0</v>
      </c>
      <c r="AG3276">
        <v>0</v>
      </c>
      <c r="AH3276" t="s">
        <v>116</v>
      </c>
      <c r="AI3276" s="1">
        <v>70726</v>
      </c>
      <c r="AJ3276" s="2">
        <v>0.23</v>
      </c>
      <c r="AK3276" s="1">
        <v>302726</v>
      </c>
      <c r="AL3276" t="s">
        <v>117</v>
      </c>
      <c r="AM3276" t="s">
        <v>118</v>
      </c>
      <c r="AN3276">
        <v>7080</v>
      </c>
      <c r="AO3276">
        <v>0.16</v>
      </c>
      <c r="AR3276">
        <v>1</v>
      </c>
      <c r="AS3276" s="1">
        <v>21420</v>
      </c>
      <c r="AT3276" s="1">
        <v>4280</v>
      </c>
      <c r="AU3276" s="1">
        <v>17140</v>
      </c>
      <c r="AV3276">
        <v>80.02</v>
      </c>
      <c r="AX3276" s="1">
        <v>2068.52</v>
      </c>
      <c r="AY3276" t="s">
        <v>444</v>
      </c>
      <c r="AZ3276" t="s">
        <v>444</v>
      </c>
      <c r="BA3276" t="s">
        <v>445</v>
      </c>
      <c r="BE3276" s="3">
        <v>42551</v>
      </c>
      <c r="BF3276" s="1">
        <v>232000</v>
      </c>
      <c r="BG3276" t="s">
        <v>21270</v>
      </c>
      <c r="BH3276" s="1">
        <v>63.34</v>
      </c>
      <c r="BI3276" s="1">
        <v>232000</v>
      </c>
      <c r="BJ3276" s="3">
        <v>42551</v>
      </c>
      <c r="BK3276" t="s">
        <v>123</v>
      </c>
      <c r="BL3276" t="str">
        <f>"2016.463173"</f>
        <v>2016.463173</v>
      </c>
      <c r="BM3276" t="s">
        <v>175</v>
      </c>
      <c r="BO3276" t="s">
        <v>21271</v>
      </c>
      <c r="BS3276">
        <v>30</v>
      </c>
      <c r="BW3276" t="str">
        <f>""</f>
        <v/>
      </c>
      <c r="CH3276" t="str">
        <f>""</f>
        <v/>
      </c>
      <c r="CS3276" t="str">
        <f>""</f>
        <v/>
      </c>
    </row>
    <row r="3277" spans="1:97" x14ac:dyDescent="0.25">
      <c r="A3277" t="s">
        <v>2184</v>
      </c>
      <c r="B3277" t="s">
        <v>1089</v>
      </c>
      <c r="C3277" t="s">
        <v>305</v>
      </c>
      <c r="D3277" t="s">
        <v>1089</v>
      </c>
      <c r="E3277" t="s">
        <v>21272</v>
      </c>
      <c r="F3277" t="s">
        <v>108</v>
      </c>
      <c r="H3277" t="s">
        <v>21273</v>
      </c>
      <c r="I3277" t="s">
        <v>453</v>
      </c>
      <c r="J3277" t="s">
        <v>111</v>
      </c>
      <c r="K3277" t="str">
        <f>"85381"</f>
        <v>85381</v>
      </c>
      <c r="L3277" t="s">
        <v>5464</v>
      </c>
      <c r="M3277" t="s">
        <v>21273</v>
      </c>
      <c r="N3277" t="s">
        <v>453</v>
      </c>
      <c r="O3277" t="s">
        <v>111</v>
      </c>
      <c r="P3277" t="str">
        <f>"85381-9562"</f>
        <v>85381-9562</v>
      </c>
      <c r="Q3277" t="s">
        <v>113</v>
      </c>
      <c r="R3277" t="str">
        <f>"200-77-919"</f>
        <v>200-77-919</v>
      </c>
      <c r="S3277" t="s">
        <v>21274</v>
      </c>
      <c r="T3277" t="s">
        <v>21275</v>
      </c>
      <c r="U3277">
        <v>2409</v>
      </c>
      <c r="V3277">
        <v>0</v>
      </c>
      <c r="W3277">
        <v>3</v>
      </c>
      <c r="X3277">
        <v>1989</v>
      </c>
      <c r="Z3277">
        <v>1</v>
      </c>
      <c r="AA3277" t="s">
        <v>26</v>
      </c>
      <c r="AB3277">
        <v>0</v>
      </c>
      <c r="AC3277" t="s">
        <v>115</v>
      </c>
      <c r="AD3277">
        <v>2</v>
      </c>
      <c r="AE3277" t="s">
        <v>115</v>
      </c>
      <c r="AF3277">
        <v>0</v>
      </c>
      <c r="AG3277">
        <v>0</v>
      </c>
      <c r="AH3277" t="s">
        <v>116</v>
      </c>
      <c r="AI3277" s="1">
        <v>65022</v>
      </c>
      <c r="AJ3277" s="2">
        <v>0.19</v>
      </c>
      <c r="AK3277" s="1">
        <v>342022</v>
      </c>
      <c r="AL3277" t="s">
        <v>117</v>
      </c>
      <c r="AM3277" t="s">
        <v>171</v>
      </c>
      <c r="AN3277">
        <v>9936</v>
      </c>
      <c r="AO3277">
        <v>0.23</v>
      </c>
      <c r="AP3277">
        <v>1</v>
      </c>
      <c r="AR3277">
        <v>1</v>
      </c>
      <c r="AS3277" s="1">
        <v>23520</v>
      </c>
      <c r="AT3277" s="1">
        <v>4700</v>
      </c>
      <c r="AU3277" s="1">
        <v>18820</v>
      </c>
      <c r="AV3277">
        <v>80.02</v>
      </c>
      <c r="AX3277" s="1">
        <v>2017.3</v>
      </c>
      <c r="AY3277" t="s">
        <v>3359</v>
      </c>
      <c r="AZ3277" t="s">
        <v>3359</v>
      </c>
      <c r="BA3277" t="s">
        <v>3360</v>
      </c>
      <c r="BB3277" s="3">
        <v>42402</v>
      </c>
      <c r="BD3277" t="s">
        <v>1830</v>
      </c>
      <c r="BE3277" s="3">
        <v>41950</v>
      </c>
      <c r="BF3277" s="1">
        <v>252000</v>
      </c>
      <c r="BG3277" t="s">
        <v>21276</v>
      </c>
      <c r="BH3277" s="1">
        <v>104.83</v>
      </c>
      <c r="BI3277" s="1">
        <v>277000</v>
      </c>
      <c r="BJ3277" s="3">
        <v>43027</v>
      </c>
      <c r="BK3277" t="s">
        <v>123</v>
      </c>
      <c r="BL3277" t="str">
        <f>"2017.774528"</f>
        <v>2017.774528</v>
      </c>
      <c r="BM3277" t="s">
        <v>361</v>
      </c>
      <c r="BO3277" t="s">
        <v>21277</v>
      </c>
      <c r="BS3277">
        <v>30</v>
      </c>
      <c r="BW3277" t="str">
        <f>""</f>
        <v/>
      </c>
      <c r="CH3277" t="str">
        <f>""</f>
        <v/>
      </c>
      <c r="CS3277" t="str">
        <f>""</f>
        <v/>
      </c>
    </row>
    <row r="3278" spans="1:97" x14ac:dyDescent="0.25">
      <c r="A3278" t="s">
        <v>177</v>
      </c>
      <c r="B3278" t="s">
        <v>21278</v>
      </c>
      <c r="E3278" t="s">
        <v>21279</v>
      </c>
      <c r="F3278" t="s">
        <v>108</v>
      </c>
      <c r="H3278" t="s">
        <v>21280</v>
      </c>
      <c r="I3278" t="s">
        <v>203</v>
      </c>
      <c r="J3278" t="s">
        <v>111</v>
      </c>
      <c r="K3278" t="str">
        <f>"85297"</f>
        <v>85297</v>
      </c>
      <c r="L3278" t="s">
        <v>299</v>
      </c>
      <c r="M3278" t="s">
        <v>21280</v>
      </c>
      <c r="N3278" t="s">
        <v>203</v>
      </c>
      <c r="O3278" t="s">
        <v>111</v>
      </c>
      <c r="P3278" t="str">
        <f>"85297-6884"</f>
        <v>85297-6884</v>
      </c>
      <c r="Q3278" t="s">
        <v>113</v>
      </c>
      <c r="R3278" t="str">
        <f>"304-57-641"</f>
        <v>304-57-641</v>
      </c>
      <c r="S3278" t="s">
        <v>21281</v>
      </c>
      <c r="T3278" t="s">
        <v>21282</v>
      </c>
      <c r="U3278">
        <v>2337</v>
      </c>
      <c r="V3278">
        <v>0</v>
      </c>
      <c r="W3278">
        <v>4</v>
      </c>
      <c r="X3278">
        <v>2005</v>
      </c>
      <c r="Z3278">
        <v>1</v>
      </c>
      <c r="AA3278" t="s">
        <v>26</v>
      </c>
      <c r="AB3278">
        <v>0</v>
      </c>
      <c r="AC3278" t="s">
        <v>115</v>
      </c>
      <c r="AD3278">
        <v>3</v>
      </c>
      <c r="AE3278" t="s">
        <v>115</v>
      </c>
      <c r="AF3278">
        <v>0</v>
      </c>
      <c r="AG3278">
        <v>0</v>
      </c>
      <c r="AH3278" t="s">
        <v>116</v>
      </c>
      <c r="AI3278" s="1">
        <v>76164</v>
      </c>
      <c r="AJ3278" s="2">
        <v>0.18</v>
      </c>
      <c r="AK3278" s="1">
        <v>417054</v>
      </c>
      <c r="AL3278" t="s">
        <v>117</v>
      </c>
      <c r="AM3278" t="s">
        <v>171</v>
      </c>
      <c r="AN3278">
        <v>9000</v>
      </c>
      <c r="AO3278">
        <v>0.21</v>
      </c>
      <c r="AR3278">
        <v>1</v>
      </c>
      <c r="AS3278" s="1">
        <v>29710</v>
      </c>
      <c r="AT3278" s="1">
        <v>5940</v>
      </c>
      <c r="AU3278" s="1">
        <v>23770</v>
      </c>
      <c r="AV3278">
        <v>80.010000000000005</v>
      </c>
      <c r="AX3278" s="1">
        <v>2467.8000000000002</v>
      </c>
      <c r="AY3278" t="s">
        <v>302</v>
      </c>
      <c r="AZ3278" t="s">
        <v>273</v>
      </c>
      <c r="BA3278" t="s">
        <v>303</v>
      </c>
      <c r="BE3278" s="3">
        <v>41897</v>
      </c>
      <c r="BF3278" s="1">
        <v>330000</v>
      </c>
      <c r="BG3278" t="s">
        <v>21283</v>
      </c>
      <c r="BH3278" s="1">
        <v>141.21</v>
      </c>
      <c r="BI3278" s="1">
        <v>340890</v>
      </c>
      <c r="BJ3278" s="3">
        <v>41897</v>
      </c>
      <c r="BK3278" t="s">
        <v>123</v>
      </c>
      <c r="BL3278" t="str">
        <f>"2014.606917"</f>
        <v>2014.606917</v>
      </c>
      <c r="BM3278" t="s">
        <v>724</v>
      </c>
      <c r="BO3278" t="s">
        <v>21284</v>
      </c>
      <c r="BS3278">
        <v>30</v>
      </c>
      <c r="BW3278" t="str">
        <f>""</f>
        <v/>
      </c>
      <c r="CH3278" t="str">
        <f>""</f>
        <v/>
      </c>
      <c r="CS3278" t="str">
        <f>""</f>
        <v/>
      </c>
    </row>
    <row r="3279" spans="1:97" x14ac:dyDescent="0.25">
      <c r="A3279" t="s">
        <v>13735</v>
      </c>
      <c r="B3279" t="s">
        <v>21285</v>
      </c>
      <c r="C3279" t="s">
        <v>2976</v>
      </c>
      <c r="D3279" t="s">
        <v>21285</v>
      </c>
      <c r="E3279" t="s">
        <v>21286</v>
      </c>
      <c r="F3279" t="s">
        <v>282</v>
      </c>
      <c r="H3279" t="s">
        <v>21287</v>
      </c>
      <c r="I3279" t="s">
        <v>632</v>
      </c>
      <c r="J3279" t="s">
        <v>111</v>
      </c>
      <c r="K3279" t="str">
        <f>"85388"</f>
        <v>85388</v>
      </c>
      <c r="L3279" t="s">
        <v>7607</v>
      </c>
      <c r="M3279" t="s">
        <v>21288</v>
      </c>
      <c r="N3279" t="s">
        <v>632</v>
      </c>
      <c r="O3279" t="s">
        <v>111</v>
      </c>
      <c r="P3279" t="str">
        <f>"85374-5460"</f>
        <v>85374-5460</v>
      </c>
      <c r="Q3279" t="s">
        <v>113</v>
      </c>
      <c r="R3279" t="str">
        <f>"502-02-218"</f>
        <v>502-02-218</v>
      </c>
      <c r="S3279" t="s">
        <v>13127</v>
      </c>
      <c r="T3279" t="s">
        <v>13128</v>
      </c>
      <c r="U3279">
        <v>1767</v>
      </c>
      <c r="V3279">
        <v>0</v>
      </c>
      <c r="W3279">
        <v>3</v>
      </c>
      <c r="X3279">
        <v>2014</v>
      </c>
      <c r="Z3279">
        <v>1</v>
      </c>
      <c r="AB3279">
        <v>0</v>
      </c>
      <c r="AC3279" t="s">
        <v>115</v>
      </c>
      <c r="AD3279">
        <v>2</v>
      </c>
      <c r="AE3279" t="s">
        <v>115</v>
      </c>
      <c r="AF3279">
        <v>0</v>
      </c>
      <c r="AG3279">
        <v>0</v>
      </c>
      <c r="AH3279" t="s">
        <v>116</v>
      </c>
      <c r="AI3279" s="1">
        <v>62387</v>
      </c>
      <c r="AJ3279" s="2">
        <v>0.23</v>
      </c>
      <c r="AK3279" s="1">
        <v>275911</v>
      </c>
      <c r="AL3279" t="s">
        <v>117</v>
      </c>
      <c r="AM3279" t="s">
        <v>118</v>
      </c>
      <c r="AN3279">
        <v>6285</v>
      </c>
      <c r="AO3279">
        <v>0.14000000000000001</v>
      </c>
      <c r="AR3279">
        <v>1</v>
      </c>
      <c r="AS3279" s="1">
        <v>19170</v>
      </c>
      <c r="AT3279" s="1">
        <v>3830</v>
      </c>
      <c r="AU3279" s="1">
        <v>15340</v>
      </c>
      <c r="AV3279">
        <v>80.02</v>
      </c>
      <c r="AX3279" s="1">
        <v>1801.94</v>
      </c>
      <c r="AY3279" t="s">
        <v>5168</v>
      </c>
      <c r="AZ3279" t="s">
        <v>5168</v>
      </c>
      <c r="BA3279" t="s">
        <v>5109</v>
      </c>
      <c r="BE3279" s="3">
        <v>41711</v>
      </c>
      <c r="BF3279" s="1">
        <v>205280</v>
      </c>
      <c r="BG3279" t="s">
        <v>13129</v>
      </c>
      <c r="BH3279" s="1">
        <v>116.17</v>
      </c>
      <c r="BI3279" s="1">
        <v>213524</v>
      </c>
      <c r="BJ3279" s="3">
        <v>41836</v>
      </c>
      <c r="BK3279" t="s">
        <v>123</v>
      </c>
      <c r="BL3279" t="str">
        <f>"2014.465407"</f>
        <v>2014.465407</v>
      </c>
      <c r="BM3279" t="s">
        <v>255</v>
      </c>
      <c r="BO3279" t="s">
        <v>21289</v>
      </c>
      <c r="BS3279">
        <v>30</v>
      </c>
      <c r="BW3279" t="str">
        <f>""</f>
        <v/>
      </c>
      <c r="CH3279" t="str">
        <f>""</f>
        <v/>
      </c>
      <c r="CS3279" t="str">
        <f>""</f>
        <v/>
      </c>
    </row>
    <row r="3280" spans="1:97" x14ac:dyDescent="0.25">
      <c r="A3280" t="s">
        <v>177</v>
      </c>
      <c r="B3280" t="s">
        <v>16589</v>
      </c>
      <c r="C3280" t="s">
        <v>4396</v>
      </c>
      <c r="D3280" t="s">
        <v>16589</v>
      </c>
      <c r="E3280" t="s">
        <v>21290</v>
      </c>
      <c r="F3280" t="s">
        <v>108</v>
      </c>
      <c r="H3280" t="s">
        <v>21291</v>
      </c>
      <c r="I3280" t="s">
        <v>5114</v>
      </c>
      <c r="J3280" t="s">
        <v>111</v>
      </c>
      <c r="K3280" t="str">
        <f>"85392"</f>
        <v>85392</v>
      </c>
      <c r="L3280" t="s">
        <v>226</v>
      </c>
      <c r="M3280" t="s">
        <v>21291</v>
      </c>
      <c r="N3280" t="s">
        <v>5114</v>
      </c>
      <c r="O3280" t="s">
        <v>111</v>
      </c>
      <c r="P3280" t="str">
        <f>"85392-4401"</f>
        <v>85392-4401</v>
      </c>
      <c r="Q3280" t="s">
        <v>113</v>
      </c>
      <c r="R3280" t="str">
        <f>"102-27-078"</f>
        <v>102-27-078</v>
      </c>
      <c r="S3280" t="s">
        <v>14814</v>
      </c>
      <c r="T3280" t="s">
        <v>14815</v>
      </c>
      <c r="U3280">
        <v>3054</v>
      </c>
      <c r="V3280">
        <v>0</v>
      </c>
      <c r="W3280">
        <v>3</v>
      </c>
      <c r="X3280">
        <v>1973</v>
      </c>
      <c r="Z3280">
        <v>1</v>
      </c>
      <c r="AA3280" t="s">
        <v>26</v>
      </c>
      <c r="AB3280">
        <v>0</v>
      </c>
      <c r="AC3280" t="s">
        <v>115</v>
      </c>
      <c r="AD3280">
        <v>2</v>
      </c>
      <c r="AE3280" t="s">
        <v>115</v>
      </c>
      <c r="AF3280">
        <v>0</v>
      </c>
      <c r="AG3280">
        <v>0</v>
      </c>
      <c r="AH3280" t="s">
        <v>116</v>
      </c>
      <c r="AI3280" s="1">
        <v>77582</v>
      </c>
      <c r="AJ3280" s="2">
        <v>0.16</v>
      </c>
      <c r="AK3280" s="1">
        <v>472582</v>
      </c>
      <c r="AL3280" t="s">
        <v>117</v>
      </c>
      <c r="AM3280" t="s">
        <v>7948</v>
      </c>
      <c r="AN3280">
        <v>35832</v>
      </c>
      <c r="AO3280">
        <v>0.82</v>
      </c>
      <c r="AP3280">
        <v>1</v>
      </c>
      <c r="AR3280">
        <v>1</v>
      </c>
      <c r="AS3280" s="1">
        <v>35760</v>
      </c>
      <c r="AT3280" s="1">
        <v>7150</v>
      </c>
      <c r="AU3280" s="1">
        <v>28610</v>
      </c>
      <c r="AV3280">
        <v>80.010000000000005</v>
      </c>
      <c r="AX3280" s="1">
        <v>3999</v>
      </c>
      <c r="AY3280" t="s">
        <v>8084</v>
      </c>
      <c r="AZ3280" t="s">
        <v>8084</v>
      </c>
      <c r="BA3280" t="s">
        <v>5118</v>
      </c>
      <c r="BE3280" s="3">
        <v>42444</v>
      </c>
      <c r="BF3280" s="1">
        <v>395000</v>
      </c>
      <c r="BG3280" t="s">
        <v>21292</v>
      </c>
      <c r="BH3280" s="1">
        <v>129.34</v>
      </c>
      <c r="BI3280" s="1">
        <v>395000</v>
      </c>
      <c r="BJ3280" s="3">
        <v>42444</v>
      </c>
      <c r="BK3280" t="s">
        <v>123</v>
      </c>
      <c r="BL3280" t="str">
        <f>"2016.164799"</f>
        <v>2016.164799</v>
      </c>
      <c r="BM3280" t="s">
        <v>544</v>
      </c>
      <c r="BO3280" t="s">
        <v>21293</v>
      </c>
      <c r="BS3280">
        <v>30</v>
      </c>
      <c r="BW3280" t="str">
        <f>""</f>
        <v/>
      </c>
      <c r="CH3280" t="str">
        <f>""</f>
        <v/>
      </c>
      <c r="CS3280" t="str">
        <f>""</f>
        <v/>
      </c>
    </row>
    <row r="3281" spans="1:97" x14ac:dyDescent="0.25">
      <c r="A3281" t="s">
        <v>21294</v>
      </c>
      <c r="B3281" t="s">
        <v>21295</v>
      </c>
      <c r="C3281" t="s">
        <v>16253</v>
      </c>
      <c r="D3281" t="s">
        <v>21295</v>
      </c>
      <c r="E3281" t="s">
        <v>21296</v>
      </c>
      <c r="F3281" t="s">
        <v>108</v>
      </c>
      <c r="H3281" t="s">
        <v>21297</v>
      </c>
      <c r="I3281" t="s">
        <v>203</v>
      </c>
      <c r="J3281" t="s">
        <v>111</v>
      </c>
      <c r="K3281" t="str">
        <f>"85298"</f>
        <v>85298</v>
      </c>
      <c r="L3281" t="s">
        <v>2211</v>
      </c>
      <c r="M3281" t="s">
        <v>21297</v>
      </c>
      <c r="N3281" t="s">
        <v>203</v>
      </c>
      <c r="O3281" t="s">
        <v>111</v>
      </c>
      <c r="P3281" t="str">
        <f>"85298-2300"</f>
        <v>85298-2300</v>
      </c>
      <c r="R3281" t="str">
        <f>"304-81-684"</f>
        <v>304-81-684</v>
      </c>
      <c r="S3281" t="s">
        <v>7566</v>
      </c>
      <c r="T3281" t="s">
        <v>2213</v>
      </c>
      <c r="U3281">
        <v>2692</v>
      </c>
      <c r="V3281">
        <v>0</v>
      </c>
      <c r="W3281">
        <v>4</v>
      </c>
      <c r="X3281">
        <v>2013</v>
      </c>
      <c r="Z3281">
        <v>1</v>
      </c>
      <c r="AA3281" t="s">
        <v>26</v>
      </c>
      <c r="AB3281">
        <v>0</v>
      </c>
      <c r="AC3281" t="s">
        <v>115</v>
      </c>
      <c r="AD3281">
        <v>3</v>
      </c>
      <c r="AE3281" t="s">
        <v>115</v>
      </c>
      <c r="AF3281">
        <v>0</v>
      </c>
      <c r="AG3281">
        <v>0</v>
      </c>
      <c r="AH3281" t="s">
        <v>116</v>
      </c>
      <c r="AI3281" s="1">
        <v>96161</v>
      </c>
      <c r="AJ3281" s="2">
        <v>0.2</v>
      </c>
      <c r="AK3281" s="1">
        <v>479161</v>
      </c>
      <c r="AL3281" t="s">
        <v>117</v>
      </c>
      <c r="AM3281" t="s">
        <v>393</v>
      </c>
      <c r="AN3281">
        <v>8400</v>
      </c>
      <c r="AO3281">
        <v>0.19</v>
      </c>
      <c r="AR3281">
        <v>1</v>
      </c>
      <c r="AS3281" s="1">
        <v>34780</v>
      </c>
      <c r="AT3281" s="1">
        <v>6950</v>
      </c>
      <c r="AU3281" s="1">
        <v>27830</v>
      </c>
      <c r="AV3281">
        <v>80.02</v>
      </c>
      <c r="AX3281" s="1">
        <v>2864.16</v>
      </c>
      <c r="AY3281" t="s">
        <v>2214</v>
      </c>
      <c r="AZ3281" t="s">
        <v>1134</v>
      </c>
      <c r="BA3281" t="s">
        <v>1134</v>
      </c>
      <c r="BE3281" s="3">
        <v>41857</v>
      </c>
      <c r="BF3281" s="1">
        <v>380000</v>
      </c>
      <c r="BG3281" t="s">
        <v>474</v>
      </c>
      <c r="BH3281" s="1">
        <v>141.16</v>
      </c>
      <c r="BI3281" s="1">
        <v>383000</v>
      </c>
      <c r="BJ3281" s="3">
        <v>42492</v>
      </c>
      <c r="BK3281" t="s">
        <v>123</v>
      </c>
      <c r="BL3281" t="str">
        <f>"2016.296732"</f>
        <v>2016.296732</v>
      </c>
      <c r="BM3281" t="s">
        <v>255</v>
      </c>
      <c r="BN3281" t="s">
        <v>2398</v>
      </c>
      <c r="BO3281" t="s">
        <v>21298</v>
      </c>
      <c r="BS3281">
        <v>30</v>
      </c>
      <c r="BW3281" t="str">
        <f>""</f>
        <v/>
      </c>
      <c r="CH3281" t="str">
        <f>""</f>
        <v/>
      </c>
      <c r="CS3281" t="str">
        <f>""</f>
        <v/>
      </c>
    </row>
    <row r="3282" spans="1:97" x14ac:dyDescent="0.25">
      <c r="A3282" t="s">
        <v>325</v>
      </c>
      <c r="B3282" t="s">
        <v>3265</v>
      </c>
      <c r="C3282" t="s">
        <v>10172</v>
      </c>
      <c r="D3282" t="s">
        <v>3265</v>
      </c>
      <c r="E3282" t="s">
        <v>21299</v>
      </c>
      <c r="F3282" t="s">
        <v>108</v>
      </c>
      <c r="H3282" t="s">
        <v>21300</v>
      </c>
      <c r="I3282" t="s">
        <v>110</v>
      </c>
      <c r="J3282" t="s">
        <v>111</v>
      </c>
      <c r="K3282" t="str">
        <f>"85248"</f>
        <v>85248</v>
      </c>
      <c r="L3282" t="s">
        <v>9060</v>
      </c>
      <c r="M3282" t="s">
        <v>21300</v>
      </c>
      <c r="N3282" t="s">
        <v>110</v>
      </c>
      <c r="O3282" t="s">
        <v>111</v>
      </c>
      <c r="P3282" t="str">
        <f>"85248-4558"</f>
        <v>85248-4558</v>
      </c>
      <c r="Q3282" t="s">
        <v>113</v>
      </c>
      <c r="R3282" t="str">
        <f>"303-81-051"</f>
        <v>303-81-051</v>
      </c>
      <c r="S3282" t="s">
        <v>21301</v>
      </c>
      <c r="T3282" t="s">
        <v>9062</v>
      </c>
      <c r="U3282">
        <v>3008</v>
      </c>
      <c r="V3282">
        <v>0</v>
      </c>
      <c r="W3282">
        <v>4</v>
      </c>
      <c r="X3282">
        <v>1999</v>
      </c>
      <c r="Z3282">
        <v>2</v>
      </c>
      <c r="AA3282" t="s">
        <v>26</v>
      </c>
      <c r="AB3282">
        <v>0</v>
      </c>
      <c r="AC3282" t="s">
        <v>115</v>
      </c>
      <c r="AD3282">
        <v>3</v>
      </c>
      <c r="AE3282" t="s">
        <v>115</v>
      </c>
      <c r="AF3282">
        <v>0</v>
      </c>
      <c r="AG3282">
        <v>0</v>
      </c>
      <c r="AH3282" t="s">
        <v>116</v>
      </c>
      <c r="AI3282" s="1">
        <v>98488</v>
      </c>
      <c r="AJ3282" s="2">
        <v>0.21</v>
      </c>
      <c r="AK3282" s="1">
        <v>467238</v>
      </c>
      <c r="AL3282" t="s">
        <v>117</v>
      </c>
      <c r="AM3282" t="s">
        <v>118</v>
      </c>
      <c r="AN3282">
        <v>7433</v>
      </c>
      <c r="AO3282">
        <v>0.17</v>
      </c>
      <c r="AP3282">
        <v>1</v>
      </c>
      <c r="AR3282">
        <v>1</v>
      </c>
      <c r="AS3282" s="1">
        <v>32880</v>
      </c>
      <c r="AT3282" s="1">
        <v>6570</v>
      </c>
      <c r="AU3282" s="1">
        <v>26310</v>
      </c>
      <c r="AV3282">
        <v>80.02</v>
      </c>
      <c r="AX3282" s="1">
        <v>3179.76</v>
      </c>
      <c r="AY3282" t="s">
        <v>9063</v>
      </c>
      <c r="AZ3282" t="s">
        <v>1882</v>
      </c>
      <c r="BA3282" t="s">
        <v>121</v>
      </c>
      <c r="BE3282" s="3">
        <v>42230</v>
      </c>
      <c r="BF3282" s="1">
        <v>361000</v>
      </c>
      <c r="BG3282" t="s">
        <v>21302</v>
      </c>
      <c r="BH3282" s="1">
        <v>120.01</v>
      </c>
      <c r="BI3282" s="1">
        <v>368750</v>
      </c>
      <c r="BJ3282" s="3">
        <v>42230</v>
      </c>
      <c r="BK3282" t="s">
        <v>123</v>
      </c>
      <c r="BL3282" t="str">
        <f>"2015.592033"</f>
        <v>2015.592033</v>
      </c>
      <c r="BM3282" t="s">
        <v>124</v>
      </c>
      <c r="BO3282" t="s">
        <v>21303</v>
      </c>
      <c r="BS3282">
        <v>30</v>
      </c>
      <c r="BW3282" t="str">
        <f>""</f>
        <v/>
      </c>
      <c r="CH3282" t="str">
        <f>""</f>
        <v/>
      </c>
      <c r="CS3282" t="str">
        <f>""</f>
        <v/>
      </c>
    </row>
    <row r="3283" spans="1:97" x14ac:dyDescent="0.25">
      <c r="A3283" t="s">
        <v>2743</v>
      </c>
      <c r="B3283" t="s">
        <v>21304</v>
      </c>
      <c r="C3283" t="s">
        <v>986</v>
      </c>
      <c r="D3283" t="s">
        <v>21305</v>
      </c>
      <c r="E3283" t="s">
        <v>21306</v>
      </c>
      <c r="F3283" t="s">
        <v>108</v>
      </c>
      <c r="H3283" t="s">
        <v>21307</v>
      </c>
      <c r="I3283" t="s">
        <v>225</v>
      </c>
      <c r="J3283" t="s">
        <v>111</v>
      </c>
      <c r="K3283" t="str">
        <f>"85213"</f>
        <v>85213</v>
      </c>
      <c r="L3283" t="s">
        <v>5893</v>
      </c>
      <c r="M3283" t="s">
        <v>21307</v>
      </c>
      <c r="N3283" t="s">
        <v>225</v>
      </c>
      <c r="O3283" t="s">
        <v>111</v>
      </c>
      <c r="P3283" t="str">
        <f>"85213-2364"</f>
        <v>85213-2364</v>
      </c>
      <c r="Q3283" t="s">
        <v>113</v>
      </c>
      <c r="R3283" t="str">
        <f>"141-08-130"</f>
        <v>141-08-130</v>
      </c>
      <c r="S3283" t="s">
        <v>17081</v>
      </c>
      <c r="T3283" t="s">
        <v>17082</v>
      </c>
      <c r="U3283">
        <v>2077</v>
      </c>
      <c r="V3283">
        <v>0</v>
      </c>
      <c r="W3283">
        <v>3</v>
      </c>
      <c r="X3283">
        <v>1985</v>
      </c>
      <c r="Z3283">
        <v>2</v>
      </c>
      <c r="AA3283" t="s">
        <v>26</v>
      </c>
      <c r="AB3283">
        <v>0</v>
      </c>
      <c r="AC3283" t="s">
        <v>115</v>
      </c>
      <c r="AD3283">
        <v>2</v>
      </c>
      <c r="AE3283" t="s">
        <v>115</v>
      </c>
      <c r="AF3283">
        <v>0</v>
      </c>
      <c r="AG3283">
        <v>0</v>
      </c>
      <c r="AH3283" t="s">
        <v>116</v>
      </c>
      <c r="AI3283" s="1">
        <v>58406</v>
      </c>
      <c r="AJ3283" s="2">
        <v>0.16</v>
      </c>
      <c r="AK3283" s="1">
        <v>365277</v>
      </c>
      <c r="AL3283" t="s">
        <v>117</v>
      </c>
      <c r="AM3283" t="s">
        <v>917</v>
      </c>
      <c r="AN3283">
        <v>9040</v>
      </c>
      <c r="AO3283">
        <v>0.21</v>
      </c>
      <c r="AP3283">
        <v>1</v>
      </c>
      <c r="AR3283">
        <v>1</v>
      </c>
      <c r="AS3283" s="1">
        <v>25530</v>
      </c>
      <c r="AT3283" s="1">
        <v>5100</v>
      </c>
      <c r="AU3283" s="1">
        <v>20430</v>
      </c>
      <c r="AV3283">
        <v>80.02</v>
      </c>
      <c r="AX3283" s="1">
        <v>2122.66</v>
      </c>
      <c r="AY3283" t="s">
        <v>11944</v>
      </c>
      <c r="AZ3283" t="s">
        <v>4163</v>
      </c>
      <c r="BA3283" t="s">
        <v>1524</v>
      </c>
      <c r="BE3283" s="3">
        <v>42488</v>
      </c>
      <c r="BF3283" s="1">
        <v>301000</v>
      </c>
      <c r="BG3283" t="s">
        <v>21308</v>
      </c>
      <c r="BH3283" s="1">
        <v>144.91999999999999</v>
      </c>
      <c r="BI3283" s="1">
        <v>306871</v>
      </c>
      <c r="BJ3283" s="3">
        <v>42488</v>
      </c>
      <c r="BK3283" t="s">
        <v>123</v>
      </c>
      <c r="BL3283" t="str">
        <f>"2016.284410"</f>
        <v>2016.284410</v>
      </c>
      <c r="BM3283" t="s">
        <v>724</v>
      </c>
      <c r="BO3283" t="s">
        <v>21309</v>
      </c>
      <c r="BP3283" t="s">
        <v>21310</v>
      </c>
      <c r="BS3283">
        <v>30</v>
      </c>
      <c r="BW3283" t="str">
        <f>""</f>
        <v/>
      </c>
      <c r="CH3283" t="str">
        <f>""</f>
        <v/>
      </c>
      <c r="CS3283" t="str">
        <f>""</f>
        <v/>
      </c>
    </row>
    <row r="3284" spans="1:97" x14ac:dyDescent="0.25">
      <c r="A3284" t="s">
        <v>695</v>
      </c>
      <c r="B3284" t="s">
        <v>21311</v>
      </c>
      <c r="E3284" t="s">
        <v>21312</v>
      </c>
      <c r="F3284" t="s">
        <v>108</v>
      </c>
      <c r="H3284" t="s">
        <v>21313</v>
      </c>
      <c r="I3284" t="s">
        <v>225</v>
      </c>
      <c r="J3284" t="s">
        <v>111</v>
      </c>
      <c r="K3284" t="str">
        <f>"85207"</f>
        <v>85207</v>
      </c>
      <c r="L3284" t="s">
        <v>2211</v>
      </c>
      <c r="M3284" t="s">
        <v>21313</v>
      </c>
      <c r="N3284" t="s">
        <v>225</v>
      </c>
      <c r="O3284" t="s">
        <v>111</v>
      </c>
      <c r="P3284" t="str">
        <f>"85207-7235"</f>
        <v>85207-7235</v>
      </c>
      <c r="Q3284" t="s">
        <v>113</v>
      </c>
      <c r="R3284" t="str">
        <f>"220-14-068"</f>
        <v>220-14-068</v>
      </c>
      <c r="S3284" t="s">
        <v>11813</v>
      </c>
      <c r="T3284" t="s">
        <v>11813</v>
      </c>
      <c r="U3284">
        <v>1649</v>
      </c>
      <c r="V3284">
        <v>0</v>
      </c>
      <c r="W3284">
        <v>3</v>
      </c>
      <c r="X3284">
        <v>2002</v>
      </c>
      <c r="Z3284">
        <v>1</v>
      </c>
      <c r="AB3284">
        <v>0</v>
      </c>
      <c r="AC3284" t="s">
        <v>115</v>
      </c>
      <c r="AD3284">
        <v>2</v>
      </c>
      <c r="AE3284" t="s">
        <v>115</v>
      </c>
      <c r="AF3284">
        <v>0</v>
      </c>
      <c r="AG3284">
        <v>0</v>
      </c>
      <c r="AH3284" t="s">
        <v>116</v>
      </c>
      <c r="AI3284" s="1">
        <v>80304</v>
      </c>
      <c r="AJ3284" s="2">
        <v>0.28999999999999998</v>
      </c>
      <c r="AK3284" s="1">
        <v>281539</v>
      </c>
      <c r="AL3284" t="s">
        <v>117</v>
      </c>
      <c r="AM3284" t="str">
        <f>"R1-6"</f>
        <v>R1-6</v>
      </c>
      <c r="AN3284">
        <v>12332</v>
      </c>
      <c r="AO3284">
        <v>0.28000000000000003</v>
      </c>
      <c r="AP3284">
        <v>1</v>
      </c>
      <c r="AR3284">
        <v>1</v>
      </c>
      <c r="AS3284" s="1">
        <v>19570</v>
      </c>
      <c r="AT3284" s="1">
        <v>3910</v>
      </c>
      <c r="AU3284" s="1">
        <v>15660</v>
      </c>
      <c r="AV3284">
        <v>80.02</v>
      </c>
      <c r="AX3284" s="1">
        <v>1413.6</v>
      </c>
      <c r="AY3284" t="s">
        <v>6572</v>
      </c>
      <c r="AZ3284" t="s">
        <v>3761</v>
      </c>
      <c r="BA3284" t="s">
        <v>232</v>
      </c>
      <c r="BE3284" s="3">
        <v>42088</v>
      </c>
      <c r="BF3284" s="1">
        <v>197000</v>
      </c>
      <c r="BG3284" t="s">
        <v>21314</v>
      </c>
      <c r="BH3284" s="1">
        <v>119.47</v>
      </c>
      <c r="BI3284" s="1">
        <v>201235</v>
      </c>
      <c r="BJ3284" s="3">
        <v>42088</v>
      </c>
      <c r="BK3284" t="s">
        <v>123</v>
      </c>
      <c r="BL3284" t="str">
        <f>"2015.197655"</f>
        <v>2015.197655</v>
      </c>
      <c r="BM3284" t="s">
        <v>1185</v>
      </c>
      <c r="BO3284" t="s">
        <v>21315</v>
      </c>
      <c r="BS3284">
        <v>30</v>
      </c>
      <c r="BW3284" t="str">
        <f>""</f>
        <v/>
      </c>
      <c r="CH3284" t="str">
        <f>""</f>
        <v/>
      </c>
      <c r="CS3284" t="str">
        <f>""</f>
        <v/>
      </c>
    </row>
    <row r="3285" spans="1:97" x14ac:dyDescent="0.25">
      <c r="A3285" t="s">
        <v>938</v>
      </c>
      <c r="B3285" t="s">
        <v>21316</v>
      </c>
      <c r="C3285" t="s">
        <v>1995</v>
      </c>
      <c r="D3285" t="s">
        <v>21316</v>
      </c>
      <c r="E3285" t="s">
        <v>21317</v>
      </c>
      <c r="F3285" t="s">
        <v>108</v>
      </c>
      <c r="H3285" t="s">
        <v>21318</v>
      </c>
      <c r="I3285" t="s">
        <v>453</v>
      </c>
      <c r="J3285" t="s">
        <v>111</v>
      </c>
      <c r="K3285" t="str">
        <f>"85381"</f>
        <v>85381</v>
      </c>
      <c r="L3285" t="s">
        <v>1300</v>
      </c>
      <c r="M3285" t="s">
        <v>21318</v>
      </c>
      <c r="N3285" t="s">
        <v>453</v>
      </c>
      <c r="O3285" t="s">
        <v>111</v>
      </c>
      <c r="P3285" t="str">
        <f>"85381-5008"</f>
        <v>85381-5008</v>
      </c>
      <c r="Q3285" t="s">
        <v>113</v>
      </c>
      <c r="R3285" t="str">
        <f>"200-77-040"</f>
        <v>200-77-040</v>
      </c>
      <c r="S3285" t="s">
        <v>17963</v>
      </c>
      <c r="T3285" t="s">
        <v>7677</v>
      </c>
      <c r="U3285">
        <v>3439</v>
      </c>
      <c r="V3285">
        <v>0</v>
      </c>
      <c r="W3285">
        <v>2</v>
      </c>
      <c r="X3285">
        <v>1967</v>
      </c>
      <c r="Z3285">
        <v>2</v>
      </c>
      <c r="AB3285">
        <v>0</v>
      </c>
      <c r="AC3285" t="s">
        <v>115</v>
      </c>
      <c r="AD3285">
        <v>4</v>
      </c>
      <c r="AE3285" t="s">
        <v>115</v>
      </c>
      <c r="AF3285">
        <v>0</v>
      </c>
      <c r="AG3285">
        <v>0</v>
      </c>
      <c r="AH3285" t="s">
        <v>116</v>
      </c>
      <c r="AI3285" s="1">
        <v>98000</v>
      </c>
      <c r="AJ3285" s="2">
        <v>0.19</v>
      </c>
      <c r="AK3285" s="1">
        <v>516075</v>
      </c>
      <c r="AL3285" t="s">
        <v>117</v>
      </c>
      <c r="AM3285" t="s">
        <v>376</v>
      </c>
      <c r="AN3285">
        <v>32052</v>
      </c>
      <c r="AO3285">
        <v>0.74</v>
      </c>
      <c r="AP3285">
        <v>1</v>
      </c>
      <c r="AR3285">
        <v>1</v>
      </c>
      <c r="AS3285" s="1">
        <v>38750</v>
      </c>
      <c r="AT3285" s="1">
        <v>7750</v>
      </c>
      <c r="AU3285" s="1">
        <v>31000</v>
      </c>
      <c r="AV3285">
        <v>80</v>
      </c>
      <c r="AX3285" s="1">
        <v>3342.96</v>
      </c>
      <c r="AY3285" t="s">
        <v>3359</v>
      </c>
      <c r="AZ3285" t="s">
        <v>3359</v>
      </c>
      <c r="BA3285" t="s">
        <v>3360</v>
      </c>
      <c r="BE3285" s="3">
        <v>41887</v>
      </c>
      <c r="BF3285" s="1">
        <v>401000</v>
      </c>
      <c r="BG3285" t="s">
        <v>21319</v>
      </c>
      <c r="BH3285" s="1">
        <v>139.97</v>
      </c>
      <c r="BI3285" s="1">
        <v>398075</v>
      </c>
      <c r="BJ3285" s="3">
        <v>42851</v>
      </c>
      <c r="BK3285" t="s">
        <v>123</v>
      </c>
      <c r="BL3285" t="str">
        <f>"2017.296511"</f>
        <v>2017.296511</v>
      </c>
      <c r="BM3285" t="s">
        <v>2368</v>
      </c>
      <c r="BN3285" t="s">
        <v>6128</v>
      </c>
      <c r="BO3285" t="s">
        <v>21320</v>
      </c>
      <c r="BS3285">
        <v>27</v>
      </c>
      <c r="BT3285" s="1">
        <v>20000</v>
      </c>
      <c r="BU3285" s="3">
        <v>43308</v>
      </c>
      <c r="BW3285" t="str">
        <f>"2018.571647"</f>
        <v>2018.571647</v>
      </c>
      <c r="BX3285" t="s">
        <v>3538</v>
      </c>
      <c r="BY3285" t="s">
        <v>3539</v>
      </c>
      <c r="BZ3285" t="s">
        <v>21321</v>
      </c>
      <c r="CA3285" t="s">
        <v>21322</v>
      </c>
      <c r="CC3285" t="s">
        <v>346</v>
      </c>
      <c r="CH3285" t="str">
        <f>""</f>
        <v/>
      </c>
      <c r="CS3285" t="str">
        <f>""</f>
        <v/>
      </c>
    </row>
    <row r="3286" spans="1:97" x14ac:dyDescent="0.25">
      <c r="A3286" t="s">
        <v>257</v>
      </c>
      <c r="B3286" t="s">
        <v>16775</v>
      </c>
      <c r="E3286" t="s">
        <v>21323</v>
      </c>
      <c r="F3286" t="s">
        <v>108</v>
      </c>
      <c r="H3286" t="s">
        <v>21324</v>
      </c>
      <c r="I3286" t="s">
        <v>110</v>
      </c>
      <c r="J3286" t="s">
        <v>111</v>
      </c>
      <c r="K3286" t="str">
        <f>"85225"</f>
        <v>85225</v>
      </c>
      <c r="L3286" t="s">
        <v>6964</v>
      </c>
      <c r="M3286" t="s">
        <v>21324</v>
      </c>
      <c r="N3286" t="s">
        <v>110</v>
      </c>
      <c r="O3286" t="s">
        <v>111</v>
      </c>
      <c r="P3286" t="str">
        <f>"85225-1842"</f>
        <v>85225-1842</v>
      </c>
      <c r="Q3286" t="s">
        <v>113</v>
      </c>
      <c r="R3286" t="str">
        <f>"302-88-673"</f>
        <v>302-88-673</v>
      </c>
      <c r="S3286" t="s">
        <v>21325</v>
      </c>
      <c r="T3286" t="s">
        <v>21326</v>
      </c>
      <c r="U3286">
        <v>2102</v>
      </c>
      <c r="V3286">
        <v>0</v>
      </c>
      <c r="W3286">
        <v>2</v>
      </c>
      <c r="X3286">
        <v>1980</v>
      </c>
      <c r="Z3286">
        <v>1</v>
      </c>
      <c r="AA3286" t="s">
        <v>26</v>
      </c>
      <c r="AB3286">
        <v>0</v>
      </c>
      <c r="AC3286" t="s">
        <v>115</v>
      </c>
      <c r="AD3286">
        <v>2</v>
      </c>
      <c r="AE3286" t="s">
        <v>115</v>
      </c>
      <c r="AF3286">
        <v>0</v>
      </c>
      <c r="AG3286">
        <v>0</v>
      </c>
      <c r="AH3286" t="s">
        <v>116</v>
      </c>
      <c r="AI3286" s="1">
        <v>66508</v>
      </c>
      <c r="AJ3286" s="2">
        <v>0.19</v>
      </c>
      <c r="AK3286" s="1">
        <v>341172</v>
      </c>
      <c r="AL3286" t="s">
        <v>117</v>
      </c>
      <c r="AM3286" t="s">
        <v>5077</v>
      </c>
      <c r="AN3286">
        <v>15542</v>
      </c>
      <c r="AO3286">
        <v>0.36</v>
      </c>
      <c r="AP3286">
        <v>1</v>
      </c>
      <c r="AR3286">
        <v>1</v>
      </c>
      <c r="AS3286" s="1">
        <v>24350</v>
      </c>
      <c r="AT3286" s="1">
        <v>4870</v>
      </c>
      <c r="AU3286" s="1">
        <v>19480</v>
      </c>
      <c r="AV3286">
        <v>80</v>
      </c>
      <c r="AX3286" s="1">
        <v>1829.04</v>
      </c>
      <c r="AY3286" t="s">
        <v>7201</v>
      </c>
      <c r="AZ3286" t="s">
        <v>7201</v>
      </c>
      <c r="BA3286" t="s">
        <v>5311</v>
      </c>
      <c r="BE3286" s="3">
        <v>42348</v>
      </c>
      <c r="BF3286" s="1">
        <v>266500</v>
      </c>
      <c r="BG3286" t="s">
        <v>21327</v>
      </c>
      <c r="BH3286" s="1">
        <v>126.78</v>
      </c>
      <c r="BI3286" s="1">
        <v>274664</v>
      </c>
      <c r="BJ3286" s="3">
        <v>42348</v>
      </c>
      <c r="BK3286" t="s">
        <v>123</v>
      </c>
      <c r="BL3286" t="str">
        <f>"2015.874621"</f>
        <v>2015.874621</v>
      </c>
      <c r="BM3286" t="s">
        <v>1185</v>
      </c>
      <c r="BO3286" t="s">
        <v>21328</v>
      </c>
      <c r="BS3286">
        <v>30</v>
      </c>
      <c r="BW3286" t="str">
        <f>""</f>
        <v/>
      </c>
      <c r="CH3286" t="str">
        <f>""</f>
        <v/>
      </c>
      <c r="CS3286" t="str">
        <f>""</f>
        <v/>
      </c>
    </row>
    <row r="3287" spans="1:97" x14ac:dyDescent="0.25">
      <c r="A3287" t="s">
        <v>2991</v>
      </c>
      <c r="B3287" t="s">
        <v>6628</v>
      </c>
      <c r="C3287" t="s">
        <v>4539</v>
      </c>
      <c r="D3287" t="s">
        <v>21329</v>
      </c>
      <c r="E3287" t="s">
        <v>21330</v>
      </c>
      <c r="F3287" t="s">
        <v>108</v>
      </c>
      <c r="H3287" t="s">
        <v>21331</v>
      </c>
      <c r="I3287" t="s">
        <v>390</v>
      </c>
      <c r="J3287" t="s">
        <v>111</v>
      </c>
      <c r="K3287" t="str">
        <f>"85029"</f>
        <v>85029</v>
      </c>
      <c r="L3287" t="s">
        <v>1658</v>
      </c>
      <c r="M3287" t="s">
        <v>21331</v>
      </c>
      <c r="N3287" t="s">
        <v>390</v>
      </c>
      <c r="O3287" t="s">
        <v>111</v>
      </c>
      <c r="P3287" t="str">
        <f>"85029-4035"</f>
        <v>85029-4035</v>
      </c>
      <c r="Q3287" t="s">
        <v>113</v>
      </c>
      <c r="R3287" t="str">
        <f>"149-32-400"</f>
        <v>149-32-400</v>
      </c>
      <c r="S3287" t="s">
        <v>21332</v>
      </c>
      <c r="T3287" t="s">
        <v>21333</v>
      </c>
      <c r="U3287">
        <v>1630</v>
      </c>
      <c r="V3287">
        <v>0</v>
      </c>
      <c r="W3287">
        <v>2</v>
      </c>
      <c r="X3287">
        <v>1969</v>
      </c>
      <c r="Z3287">
        <v>1</v>
      </c>
      <c r="AA3287" t="s">
        <v>26</v>
      </c>
      <c r="AB3287">
        <v>0</v>
      </c>
      <c r="AC3287" t="s">
        <v>115</v>
      </c>
      <c r="AD3287">
        <v>2</v>
      </c>
      <c r="AE3287" t="s">
        <v>115</v>
      </c>
      <c r="AF3287">
        <v>0</v>
      </c>
      <c r="AG3287">
        <v>0</v>
      </c>
      <c r="AH3287" t="s">
        <v>116</v>
      </c>
      <c r="AI3287" s="1">
        <v>21555</v>
      </c>
      <c r="AJ3287" s="2">
        <v>0.09</v>
      </c>
      <c r="AK3287" s="1">
        <v>246749</v>
      </c>
      <c r="AL3287" t="s">
        <v>117</v>
      </c>
      <c r="AM3287" t="s">
        <v>191</v>
      </c>
      <c r="AN3287">
        <v>8503</v>
      </c>
      <c r="AO3287">
        <v>0.2</v>
      </c>
      <c r="AP3287">
        <v>1</v>
      </c>
      <c r="AR3287">
        <v>1</v>
      </c>
      <c r="AS3287" s="1">
        <v>15730</v>
      </c>
      <c r="AT3287" s="1">
        <v>3140</v>
      </c>
      <c r="AU3287" s="1">
        <v>12590</v>
      </c>
      <c r="AV3287">
        <v>80.040000000000006</v>
      </c>
      <c r="AX3287" s="1">
        <v>1070.3599999999999</v>
      </c>
      <c r="AY3287" t="s">
        <v>21334</v>
      </c>
      <c r="AZ3287" t="s">
        <v>6986</v>
      </c>
      <c r="BA3287" t="s">
        <v>10888</v>
      </c>
      <c r="BB3287" s="3">
        <v>43382</v>
      </c>
      <c r="BC3287" s="1">
        <v>0</v>
      </c>
      <c r="BD3287" t="s">
        <v>247</v>
      </c>
      <c r="BE3287" s="3">
        <v>41936</v>
      </c>
      <c r="BF3287" s="1">
        <v>170000</v>
      </c>
      <c r="BG3287" t="s">
        <v>21335</v>
      </c>
      <c r="BH3287" s="1">
        <v>104.29</v>
      </c>
      <c r="BI3287" s="1">
        <v>225194</v>
      </c>
      <c r="BJ3287" s="3">
        <v>43382</v>
      </c>
      <c r="BK3287" t="s">
        <v>123</v>
      </c>
      <c r="BL3287" t="str">
        <f>"2018.756935"</f>
        <v>2018.756935</v>
      </c>
      <c r="BM3287" t="s">
        <v>5534</v>
      </c>
      <c r="BN3287" t="s">
        <v>6390</v>
      </c>
      <c r="BO3287" t="s">
        <v>21336</v>
      </c>
      <c r="BP3287" t="s">
        <v>21337</v>
      </c>
      <c r="BR3287" t="s">
        <v>139</v>
      </c>
      <c r="BW3287" t="str">
        <f>""</f>
        <v/>
      </c>
      <c r="CH3287" t="str">
        <f>""</f>
        <v/>
      </c>
      <c r="CS3287" t="str">
        <f>""</f>
        <v/>
      </c>
    </row>
    <row r="3288" spans="1:97" x14ac:dyDescent="0.25">
      <c r="A3288" t="s">
        <v>1160</v>
      </c>
      <c r="B3288" t="s">
        <v>21338</v>
      </c>
      <c r="C3288" t="s">
        <v>9201</v>
      </c>
      <c r="D3288" t="s">
        <v>21338</v>
      </c>
      <c r="E3288" t="s">
        <v>21339</v>
      </c>
      <c r="F3288" t="s">
        <v>108</v>
      </c>
      <c r="H3288" t="s">
        <v>21340</v>
      </c>
      <c r="I3288" t="s">
        <v>632</v>
      </c>
      <c r="J3288" t="s">
        <v>111</v>
      </c>
      <c r="K3288" t="str">
        <f>"85379"</f>
        <v>85379</v>
      </c>
      <c r="L3288" t="s">
        <v>5021</v>
      </c>
      <c r="M3288" t="s">
        <v>21340</v>
      </c>
      <c r="N3288" t="s">
        <v>632</v>
      </c>
      <c r="O3288" t="s">
        <v>111</v>
      </c>
      <c r="P3288" t="str">
        <f>"85379-5289"</f>
        <v>85379-5289</v>
      </c>
      <c r="Q3288" t="s">
        <v>113</v>
      </c>
      <c r="R3288" t="str">
        <f>"501-96-184"</f>
        <v>501-96-184</v>
      </c>
      <c r="S3288" t="s">
        <v>18876</v>
      </c>
      <c r="U3288">
        <v>2118</v>
      </c>
      <c r="V3288">
        <v>0</v>
      </c>
      <c r="W3288">
        <v>4</v>
      </c>
      <c r="X3288">
        <v>2003</v>
      </c>
      <c r="Z3288">
        <v>2</v>
      </c>
      <c r="AB3288">
        <v>0</v>
      </c>
      <c r="AC3288" t="s">
        <v>115</v>
      </c>
      <c r="AD3288">
        <v>2</v>
      </c>
      <c r="AE3288" t="s">
        <v>115</v>
      </c>
      <c r="AF3288">
        <v>0</v>
      </c>
      <c r="AG3288">
        <v>0</v>
      </c>
      <c r="AH3288" t="s">
        <v>116</v>
      </c>
      <c r="AI3288" s="1">
        <v>19879</v>
      </c>
      <c r="AJ3288" s="2">
        <v>0.08</v>
      </c>
      <c r="AK3288" s="1">
        <v>263667</v>
      </c>
      <c r="AL3288" t="s">
        <v>117</v>
      </c>
      <c r="AM3288" t="s">
        <v>118</v>
      </c>
      <c r="AN3288">
        <v>6095</v>
      </c>
      <c r="AO3288">
        <v>0.14000000000000001</v>
      </c>
      <c r="AP3288">
        <v>1</v>
      </c>
      <c r="AR3288">
        <v>1</v>
      </c>
      <c r="AS3288" s="1">
        <v>16680</v>
      </c>
      <c r="AT3288" s="1">
        <v>3330</v>
      </c>
      <c r="AU3288" s="1">
        <v>13350</v>
      </c>
      <c r="AV3288">
        <v>80.040000000000006</v>
      </c>
      <c r="AX3288" s="1">
        <v>1209.42</v>
      </c>
      <c r="AY3288" t="s">
        <v>5615</v>
      </c>
      <c r="AZ3288" t="s">
        <v>5615</v>
      </c>
      <c r="BA3288" t="s">
        <v>635</v>
      </c>
      <c r="BB3288" s="3">
        <v>43206</v>
      </c>
      <c r="BC3288" s="1">
        <v>0</v>
      </c>
      <c r="BD3288" t="s">
        <v>247</v>
      </c>
      <c r="BE3288" s="3">
        <v>41719</v>
      </c>
      <c r="BF3288" s="1">
        <v>188000</v>
      </c>
      <c r="BG3288" t="s">
        <v>21341</v>
      </c>
      <c r="BH3288" s="1">
        <v>88.76</v>
      </c>
      <c r="BI3288" s="1">
        <v>243788</v>
      </c>
      <c r="BJ3288" s="3">
        <v>43206</v>
      </c>
      <c r="BK3288" t="s">
        <v>123</v>
      </c>
      <c r="BL3288" t="str">
        <f>"2018.282971"</f>
        <v>2018.282971</v>
      </c>
      <c r="BM3288" t="s">
        <v>135</v>
      </c>
      <c r="BN3288" t="s">
        <v>136</v>
      </c>
      <c r="BO3288" t="s">
        <v>21342</v>
      </c>
      <c r="BP3288" t="s">
        <v>21343</v>
      </c>
      <c r="BR3288" t="s">
        <v>139</v>
      </c>
      <c r="BW3288" t="str">
        <f>""</f>
        <v/>
      </c>
      <c r="CH3288" t="str">
        <f>""</f>
        <v/>
      </c>
      <c r="CS3288" t="str">
        <f>""</f>
        <v/>
      </c>
    </row>
    <row r="3289" spans="1:97" x14ac:dyDescent="0.25">
      <c r="A3289" t="s">
        <v>1845</v>
      </c>
      <c r="B3289" t="s">
        <v>21344</v>
      </c>
      <c r="E3289" t="s">
        <v>21345</v>
      </c>
      <c r="F3289" t="s">
        <v>108</v>
      </c>
      <c r="H3289" t="s">
        <v>21346</v>
      </c>
      <c r="I3289" t="s">
        <v>453</v>
      </c>
      <c r="J3289" t="s">
        <v>111</v>
      </c>
      <c r="K3289" t="str">
        <f>"85383"</f>
        <v>85383</v>
      </c>
      <c r="L3289" t="s">
        <v>1244</v>
      </c>
      <c r="M3289" t="s">
        <v>21346</v>
      </c>
      <c r="N3289" t="s">
        <v>453</v>
      </c>
      <c r="O3289" t="s">
        <v>111</v>
      </c>
      <c r="P3289" t="str">
        <f>"85383-8764"</f>
        <v>85383-8764</v>
      </c>
      <c r="Q3289" t="s">
        <v>113</v>
      </c>
      <c r="R3289" t="str">
        <f>"201-36-280"</f>
        <v>201-36-280</v>
      </c>
      <c r="S3289" t="s">
        <v>14594</v>
      </c>
      <c r="T3289" t="s">
        <v>14595</v>
      </c>
      <c r="U3289">
        <v>3115</v>
      </c>
      <c r="V3289">
        <v>0</v>
      </c>
      <c r="W3289">
        <v>4</v>
      </c>
      <c r="X3289">
        <v>2003</v>
      </c>
      <c r="Z3289">
        <v>1</v>
      </c>
      <c r="AA3289" t="s">
        <v>26</v>
      </c>
      <c r="AB3289">
        <v>0</v>
      </c>
      <c r="AC3289" t="s">
        <v>115</v>
      </c>
      <c r="AD3289">
        <v>2</v>
      </c>
      <c r="AE3289" t="s">
        <v>115</v>
      </c>
      <c r="AF3289">
        <v>0</v>
      </c>
      <c r="AG3289">
        <v>0</v>
      </c>
      <c r="AH3289" t="s">
        <v>116</v>
      </c>
      <c r="AI3289" s="1">
        <v>87638</v>
      </c>
      <c r="AJ3289" s="2">
        <v>0.19</v>
      </c>
      <c r="AK3289" s="1">
        <v>457638</v>
      </c>
      <c r="AL3289" t="s">
        <v>117</v>
      </c>
      <c r="AM3289" t="s">
        <v>118</v>
      </c>
      <c r="AN3289">
        <v>10641</v>
      </c>
      <c r="AO3289">
        <v>0.24</v>
      </c>
      <c r="AP3289">
        <v>1</v>
      </c>
      <c r="AR3289">
        <v>1</v>
      </c>
      <c r="AS3289" s="1">
        <v>35180</v>
      </c>
      <c r="AT3289" s="1">
        <v>7030</v>
      </c>
      <c r="AU3289" s="1">
        <v>28150</v>
      </c>
      <c r="AV3289">
        <v>80.02</v>
      </c>
      <c r="AX3289" s="1">
        <v>3040.1</v>
      </c>
      <c r="AY3289" t="s">
        <v>8323</v>
      </c>
      <c r="AZ3289" t="s">
        <v>8323</v>
      </c>
      <c r="BA3289" t="s">
        <v>1386</v>
      </c>
      <c r="BE3289" s="3">
        <v>42096</v>
      </c>
      <c r="BF3289" s="1">
        <v>370000</v>
      </c>
      <c r="BG3289" t="s">
        <v>21347</v>
      </c>
      <c r="BH3289" s="1">
        <v>118.78</v>
      </c>
      <c r="BI3289" s="1">
        <v>370000</v>
      </c>
      <c r="BJ3289" s="3">
        <v>42096</v>
      </c>
      <c r="BK3289" t="s">
        <v>123</v>
      </c>
      <c r="BL3289" t="str">
        <f>"2015.224718"</f>
        <v>2015.224718</v>
      </c>
      <c r="BM3289" t="s">
        <v>21348</v>
      </c>
      <c r="BO3289" t="s">
        <v>21349</v>
      </c>
      <c r="BS3289">
        <v>30</v>
      </c>
      <c r="BW3289" t="str">
        <f>""</f>
        <v/>
      </c>
      <c r="CH3289" t="str">
        <f>""</f>
        <v/>
      </c>
      <c r="CS3289" t="str">
        <f>""</f>
        <v/>
      </c>
    </row>
    <row r="3290" spans="1:97" x14ac:dyDescent="0.25">
      <c r="A3290" t="s">
        <v>1514</v>
      </c>
      <c r="B3290" t="s">
        <v>21350</v>
      </c>
      <c r="C3290" t="s">
        <v>1995</v>
      </c>
      <c r="D3290" t="s">
        <v>21350</v>
      </c>
      <c r="E3290" t="s">
        <v>21351</v>
      </c>
      <c r="F3290" t="s">
        <v>108</v>
      </c>
      <c r="H3290" t="s">
        <v>21352</v>
      </c>
      <c r="I3290" t="s">
        <v>2874</v>
      </c>
      <c r="J3290" t="s">
        <v>111</v>
      </c>
      <c r="K3290" t="str">
        <f>"85302"</f>
        <v>85302</v>
      </c>
      <c r="L3290" t="s">
        <v>6682</v>
      </c>
      <c r="M3290" t="s">
        <v>21352</v>
      </c>
      <c r="N3290" t="s">
        <v>2874</v>
      </c>
      <c r="O3290" t="s">
        <v>111</v>
      </c>
      <c r="P3290" t="str">
        <f>"85302-6620"</f>
        <v>85302-6620</v>
      </c>
      <c r="Q3290" t="s">
        <v>113</v>
      </c>
      <c r="R3290" t="str">
        <f>"148-11-137"</f>
        <v>148-11-137</v>
      </c>
      <c r="S3290" t="s">
        <v>21353</v>
      </c>
      <c r="T3290" t="s">
        <v>21354</v>
      </c>
      <c r="U3290">
        <v>2376</v>
      </c>
      <c r="V3290">
        <v>0</v>
      </c>
      <c r="W3290">
        <v>3</v>
      </c>
      <c r="X3290">
        <v>1967</v>
      </c>
      <c r="Z3290">
        <v>1</v>
      </c>
      <c r="AB3290">
        <v>0</v>
      </c>
      <c r="AC3290" t="s">
        <v>115</v>
      </c>
      <c r="AD3290">
        <v>2</v>
      </c>
      <c r="AE3290" t="s">
        <v>115</v>
      </c>
      <c r="AF3290">
        <v>0</v>
      </c>
      <c r="AG3290">
        <v>0</v>
      </c>
      <c r="AH3290" t="s">
        <v>116</v>
      </c>
      <c r="AI3290" s="1">
        <v>74257</v>
      </c>
      <c r="AJ3290" s="2">
        <v>0.26</v>
      </c>
      <c r="AK3290" s="1">
        <v>286022</v>
      </c>
      <c r="AL3290" t="s">
        <v>117</v>
      </c>
      <c r="AM3290" t="s">
        <v>191</v>
      </c>
      <c r="AN3290">
        <v>10346</v>
      </c>
      <c r="AO3290">
        <v>0.24</v>
      </c>
      <c r="AP3290">
        <v>1</v>
      </c>
      <c r="AR3290">
        <v>1</v>
      </c>
      <c r="AS3290" s="1">
        <v>19960</v>
      </c>
      <c r="AT3290" s="1">
        <v>3990</v>
      </c>
      <c r="AU3290" s="1">
        <v>15970</v>
      </c>
      <c r="AV3290">
        <v>80.010000000000005</v>
      </c>
      <c r="AX3290" s="1">
        <v>1992.86</v>
      </c>
      <c r="AY3290" t="s">
        <v>17858</v>
      </c>
      <c r="AZ3290" t="s">
        <v>17858</v>
      </c>
      <c r="BA3290" t="s">
        <v>6987</v>
      </c>
      <c r="BE3290" s="3">
        <v>41899</v>
      </c>
      <c r="BF3290" s="1">
        <v>199900</v>
      </c>
      <c r="BG3290" t="s">
        <v>21355</v>
      </c>
      <c r="BH3290" s="1">
        <v>94.29</v>
      </c>
      <c r="BI3290" s="1">
        <v>211765</v>
      </c>
      <c r="BJ3290" s="3">
        <v>42857</v>
      </c>
      <c r="BK3290" t="s">
        <v>123</v>
      </c>
      <c r="BL3290" t="str">
        <f>"2017.316089"</f>
        <v>2017.316089</v>
      </c>
      <c r="BM3290" t="s">
        <v>709</v>
      </c>
      <c r="BO3290" t="s">
        <v>21356</v>
      </c>
      <c r="BS3290">
        <v>30</v>
      </c>
      <c r="BW3290" t="str">
        <f>""</f>
        <v/>
      </c>
      <c r="CH3290" t="str">
        <f>""</f>
        <v/>
      </c>
      <c r="CS3290" t="str">
        <f>""</f>
        <v/>
      </c>
    </row>
    <row r="3291" spans="1:97" x14ac:dyDescent="0.25">
      <c r="A3291" t="s">
        <v>639</v>
      </c>
      <c r="B3291" t="s">
        <v>1144</v>
      </c>
      <c r="E3291" t="s">
        <v>21357</v>
      </c>
      <c r="F3291" t="s">
        <v>108</v>
      </c>
      <c r="H3291" t="s">
        <v>21358</v>
      </c>
      <c r="I3291" t="s">
        <v>390</v>
      </c>
      <c r="J3291" t="s">
        <v>111</v>
      </c>
      <c r="K3291" t="str">
        <f>"85045"</f>
        <v>85045</v>
      </c>
      <c r="L3291" t="s">
        <v>8199</v>
      </c>
      <c r="M3291" t="s">
        <v>21358</v>
      </c>
      <c r="N3291" t="s">
        <v>390</v>
      </c>
      <c r="O3291" t="s">
        <v>111</v>
      </c>
      <c r="P3291" t="str">
        <f>"85045"</f>
        <v>85045</v>
      </c>
      <c r="Q3291" t="s">
        <v>113</v>
      </c>
      <c r="R3291" t="str">
        <f>"300-97-389"</f>
        <v>300-97-389</v>
      </c>
      <c r="S3291" t="s">
        <v>18545</v>
      </c>
      <c r="T3291" t="s">
        <v>18546</v>
      </c>
      <c r="U3291">
        <v>1782</v>
      </c>
      <c r="V3291">
        <v>0</v>
      </c>
      <c r="W3291">
        <v>3</v>
      </c>
      <c r="X3291">
        <v>2008</v>
      </c>
      <c r="Z3291">
        <v>2</v>
      </c>
      <c r="AB3291">
        <v>0</v>
      </c>
      <c r="AC3291" t="s">
        <v>115</v>
      </c>
      <c r="AD3291">
        <v>2</v>
      </c>
      <c r="AE3291" t="s">
        <v>115</v>
      </c>
      <c r="AF3291">
        <v>0</v>
      </c>
      <c r="AG3291">
        <v>0</v>
      </c>
      <c r="AH3291" t="s">
        <v>116</v>
      </c>
      <c r="AI3291" s="1">
        <v>32280</v>
      </c>
      <c r="AJ3291" s="2">
        <v>0.1</v>
      </c>
      <c r="AK3291" s="1">
        <v>322280</v>
      </c>
      <c r="AL3291" t="s">
        <v>117</v>
      </c>
      <c r="AM3291" t="s">
        <v>118</v>
      </c>
      <c r="AN3291">
        <v>4716</v>
      </c>
      <c r="AO3291">
        <v>0.11</v>
      </c>
      <c r="AR3291">
        <v>1</v>
      </c>
      <c r="AS3291" s="1">
        <v>22850</v>
      </c>
      <c r="AT3291" s="1">
        <v>4570</v>
      </c>
      <c r="AU3291" s="1">
        <v>18280</v>
      </c>
      <c r="AV3291">
        <v>80</v>
      </c>
      <c r="AX3291" s="1">
        <v>2190.3000000000002</v>
      </c>
      <c r="AY3291" t="s">
        <v>2966</v>
      </c>
      <c r="AZ3291" t="s">
        <v>2967</v>
      </c>
      <c r="BA3291" t="s">
        <v>930</v>
      </c>
      <c r="BB3291" s="3">
        <v>42394</v>
      </c>
      <c r="BD3291" t="s">
        <v>240</v>
      </c>
      <c r="BE3291" s="3">
        <v>42171</v>
      </c>
      <c r="BF3291" s="1">
        <v>252000</v>
      </c>
      <c r="BG3291" t="s">
        <v>21359</v>
      </c>
      <c r="BH3291" s="1">
        <v>141.41</v>
      </c>
      <c r="BI3291" s="1">
        <v>290000</v>
      </c>
      <c r="BJ3291" s="3">
        <v>43595</v>
      </c>
      <c r="BK3291" t="s">
        <v>123</v>
      </c>
      <c r="BL3291" t="str">
        <f>"2019.340763"</f>
        <v>2019.340763</v>
      </c>
      <c r="BM3291" t="s">
        <v>21360</v>
      </c>
      <c r="BN3291" t="s">
        <v>21361</v>
      </c>
      <c r="BO3291" t="s">
        <v>21362</v>
      </c>
      <c r="BR3291" t="s">
        <v>139</v>
      </c>
      <c r="BW3291" t="str">
        <f>""</f>
        <v/>
      </c>
      <c r="CH3291" t="str">
        <f>""</f>
        <v/>
      </c>
      <c r="CS3291" t="str">
        <f>""</f>
        <v/>
      </c>
    </row>
    <row r="3292" spans="1:97" x14ac:dyDescent="0.25">
      <c r="A3292" t="s">
        <v>1295</v>
      </c>
      <c r="B3292" t="s">
        <v>10586</v>
      </c>
      <c r="C3292" t="s">
        <v>11851</v>
      </c>
      <c r="D3292" t="s">
        <v>10586</v>
      </c>
      <c r="E3292" t="s">
        <v>21363</v>
      </c>
      <c r="F3292" t="s">
        <v>108</v>
      </c>
      <c r="H3292" t="s">
        <v>21364</v>
      </c>
      <c r="I3292" t="s">
        <v>453</v>
      </c>
      <c r="J3292" t="s">
        <v>111</v>
      </c>
      <c r="K3292" t="str">
        <f>"85382"</f>
        <v>85382</v>
      </c>
      <c r="L3292" t="s">
        <v>7339</v>
      </c>
      <c r="M3292" t="s">
        <v>21364</v>
      </c>
      <c r="N3292" t="s">
        <v>453</v>
      </c>
      <c r="O3292" t="s">
        <v>111</v>
      </c>
      <c r="P3292" t="str">
        <f>"85382-8073"</f>
        <v>85382-8073</v>
      </c>
      <c r="Q3292" t="s">
        <v>113</v>
      </c>
      <c r="R3292" t="str">
        <f>"233-04-359"</f>
        <v>233-04-359</v>
      </c>
      <c r="S3292" t="s">
        <v>21365</v>
      </c>
      <c r="T3292" t="s">
        <v>10958</v>
      </c>
      <c r="U3292">
        <v>2060</v>
      </c>
      <c r="V3292">
        <v>0</v>
      </c>
      <c r="W3292">
        <v>3</v>
      </c>
      <c r="X3292">
        <v>1994</v>
      </c>
      <c r="Z3292">
        <v>1</v>
      </c>
      <c r="AA3292" t="s">
        <v>26</v>
      </c>
      <c r="AB3292">
        <v>0</v>
      </c>
      <c r="AC3292" t="s">
        <v>115</v>
      </c>
      <c r="AD3292">
        <v>2</v>
      </c>
      <c r="AE3292" t="s">
        <v>115</v>
      </c>
      <c r="AF3292">
        <v>0</v>
      </c>
      <c r="AG3292">
        <v>0</v>
      </c>
      <c r="AH3292" t="s">
        <v>116</v>
      </c>
      <c r="AI3292" s="1">
        <v>48399</v>
      </c>
      <c r="AJ3292" s="2">
        <v>0.15</v>
      </c>
      <c r="AK3292" s="1">
        <v>325648</v>
      </c>
      <c r="AL3292" t="s">
        <v>117</v>
      </c>
      <c r="AM3292" t="s">
        <v>118</v>
      </c>
      <c r="AN3292">
        <v>6400</v>
      </c>
      <c r="AO3292">
        <v>0.15</v>
      </c>
      <c r="AP3292">
        <v>1</v>
      </c>
      <c r="AR3292">
        <v>1</v>
      </c>
      <c r="AS3292" s="1">
        <v>22600</v>
      </c>
      <c r="AT3292" s="1">
        <v>4520</v>
      </c>
      <c r="AU3292" s="1">
        <v>18080</v>
      </c>
      <c r="AV3292">
        <v>80</v>
      </c>
      <c r="AX3292" s="1">
        <v>1891.3</v>
      </c>
      <c r="AY3292" t="s">
        <v>7828</v>
      </c>
      <c r="AZ3292" t="s">
        <v>7828</v>
      </c>
      <c r="BA3292" t="s">
        <v>4219</v>
      </c>
      <c r="BE3292" s="3">
        <v>42447</v>
      </c>
      <c r="BF3292" s="1">
        <v>270000</v>
      </c>
      <c r="BG3292" t="s">
        <v>21366</v>
      </c>
      <c r="BH3292" s="1">
        <v>131.07</v>
      </c>
      <c r="BI3292" s="1">
        <v>277249</v>
      </c>
      <c r="BJ3292" s="3">
        <v>42726</v>
      </c>
      <c r="BK3292" t="s">
        <v>123</v>
      </c>
      <c r="BL3292" t="str">
        <f>"2016.942885"</f>
        <v>2016.942885</v>
      </c>
      <c r="BM3292" t="s">
        <v>402</v>
      </c>
      <c r="BO3292" t="s">
        <v>21367</v>
      </c>
      <c r="BS3292">
        <v>30</v>
      </c>
      <c r="BW3292" t="str">
        <f>""</f>
        <v/>
      </c>
      <c r="CH3292" t="str">
        <f>""</f>
        <v/>
      </c>
      <c r="CS3292" t="str">
        <f>""</f>
        <v/>
      </c>
    </row>
    <row r="3293" spans="1:97" x14ac:dyDescent="0.25">
      <c r="A3293" t="s">
        <v>2485</v>
      </c>
      <c r="B3293" t="s">
        <v>21368</v>
      </c>
      <c r="E3293" t="s">
        <v>21369</v>
      </c>
      <c r="F3293" t="s">
        <v>108</v>
      </c>
      <c r="H3293" t="s">
        <v>21370</v>
      </c>
      <c r="I3293" t="s">
        <v>3150</v>
      </c>
      <c r="J3293" t="s">
        <v>111</v>
      </c>
      <c r="K3293" t="str">
        <f>"85340"</f>
        <v>85340</v>
      </c>
      <c r="L3293" t="s">
        <v>5074</v>
      </c>
      <c r="M3293" t="s">
        <v>21370</v>
      </c>
      <c r="N3293" t="s">
        <v>3150</v>
      </c>
      <c r="O3293" t="s">
        <v>111</v>
      </c>
      <c r="P3293" t="str">
        <f>"85340-5035"</f>
        <v>85340-5035</v>
      </c>
      <c r="Q3293" t="s">
        <v>113</v>
      </c>
      <c r="R3293" t="str">
        <f>"501-68-184"</f>
        <v>501-68-184</v>
      </c>
      <c r="S3293" t="s">
        <v>19048</v>
      </c>
      <c r="T3293" t="s">
        <v>19049</v>
      </c>
      <c r="U3293">
        <v>2447</v>
      </c>
      <c r="V3293">
        <v>0</v>
      </c>
      <c r="W3293">
        <v>4</v>
      </c>
      <c r="X3293">
        <v>1989</v>
      </c>
      <c r="Z3293">
        <v>1</v>
      </c>
      <c r="AA3293" t="s">
        <v>26</v>
      </c>
      <c r="AB3293">
        <v>0</v>
      </c>
      <c r="AC3293" t="s">
        <v>115</v>
      </c>
      <c r="AD3293">
        <v>2</v>
      </c>
      <c r="AE3293" t="s">
        <v>115</v>
      </c>
      <c r="AF3293">
        <v>0</v>
      </c>
      <c r="AG3293">
        <v>0</v>
      </c>
      <c r="AH3293" t="s">
        <v>116</v>
      </c>
      <c r="AI3293" s="1">
        <v>56035</v>
      </c>
      <c r="AJ3293" s="2">
        <v>0.12</v>
      </c>
      <c r="AK3293" s="1">
        <v>452804</v>
      </c>
      <c r="AL3293" t="s">
        <v>117</v>
      </c>
      <c r="AM3293" t="s">
        <v>1521</v>
      </c>
      <c r="AN3293">
        <v>15388</v>
      </c>
      <c r="AO3293">
        <v>0.35</v>
      </c>
      <c r="AP3293">
        <v>1</v>
      </c>
      <c r="AR3293">
        <v>1</v>
      </c>
      <c r="AS3293" s="1">
        <v>31820</v>
      </c>
      <c r="AT3293" s="1">
        <v>6360</v>
      </c>
      <c r="AU3293" s="1">
        <v>25460</v>
      </c>
      <c r="AV3293">
        <v>80.010000000000005</v>
      </c>
      <c r="AX3293" s="1">
        <v>2508.44</v>
      </c>
      <c r="AY3293" t="s">
        <v>11553</v>
      </c>
      <c r="AZ3293" t="s">
        <v>11553</v>
      </c>
      <c r="BA3293" t="s">
        <v>3154</v>
      </c>
      <c r="BE3293" s="3">
        <v>42502</v>
      </c>
      <c r="BF3293" s="1">
        <v>393500</v>
      </c>
      <c r="BG3293" t="s">
        <v>21371</v>
      </c>
      <c r="BH3293" s="1">
        <v>160.81</v>
      </c>
      <c r="BI3293" s="1">
        <v>396769</v>
      </c>
      <c r="BJ3293" s="3">
        <v>42916</v>
      </c>
      <c r="BK3293" t="s">
        <v>123</v>
      </c>
      <c r="BL3293" t="str">
        <f>"2017.482693"</f>
        <v>2017.482693</v>
      </c>
      <c r="BM3293" t="s">
        <v>8621</v>
      </c>
      <c r="BO3293" t="s">
        <v>21372</v>
      </c>
      <c r="BS3293">
        <v>29</v>
      </c>
      <c r="BW3293" t="str">
        <f>""</f>
        <v/>
      </c>
      <c r="CH3293" t="str">
        <f>""</f>
        <v/>
      </c>
      <c r="CS3293" t="str">
        <f>""</f>
        <v/>
      </c>
    </row>
    <row r="3294" spans="1:97" x14ac:dyDescent="0.25">
      <c r="A3294" t="s">
        <v>3221</v>
      </c>
      <c r="B3294" t="s">
        <v>21373</v>
      </c>
      <c r="C3294" t="s">
        <v>8059</v>
      </c>
      <c r="D3294" t="s">
        <v>21373</v>
      </c>
      <c r="E3294" t="s">
        <v>21374</v>
      </c>
      <c r="F3294" t="s">
        <v>108</v>
      </c>
      <c r="H3294" t="s">
        <v>21375</v>
      </c>
      <c r="I3294" t="s">
        <v>390</v>
      </c>
      <c r="J3294" t="s">
        <v>111</v>
      </c>
      <c r="K3294" t="str">
        <f>"85032"</f>
        <v>85032</v>
      </c>
      <c r="L3294" t="s">
        <v>9871</v>
      </c>
      <c r="M3294" t="s">
        <v>21375</v>
      </c>
      <c r="N3294" t="s">
        <v>390</v>
      </c>
      <c r="O3294" t="s">
        <v>111</v>
      </c>
      <c r="P3294" t="str">
        <f>"85032-4118"</f>
        <v>85032-4118</v>
      </c>
      <c r="Q3294" t="s">
        <v>113</v>
      </c>
      <c r="R3294" t="str">
        <f>"215-28-081"</f>
        <v>215-28-081</v>
      </c>
      <c r="S3294" t="s">
        <v>21376</v>
      </c>
      <c r="U3294">
        <v>1778</v>
      </c>
      <c r="V3294">
        <v>0</v>
      </c>
      <c r="W3294">
        <v>3</v>
      </c>
      <c r="X3294">
        <v>1984</v>
      </c>
      <c r="Z3294">
        <v>1</v>
      </c>
      <c r="AA3294" t="s">
        <v>26</v>
      </c>
      <c r="AB3294">
        <v>0</v>
      </c>
      <c r="AC3294" t="s">
        <v>115</v>
      </c>
      <c r="AD3294">
        <v>2</v>
      </c>
      <c r="AE3294" t="s">
        <v>115</v>
      </c>
      <c r="AF3294">
        <v>0</v>
      </c>
      <c r="AG3294">
        <v>0</v>
      </c>
      <c r="AH3294" t="s">
        <v>116</v>
      </c>
      <c r="AI3294" s="1">
        <v>35335</v>
      </c>
      <c r="AJ3294" s="2">
        <v>0.08</v>
      </c>
      <c r="AK3294" s="1">
        <v>436155</v>
      </c>
      <c r="AL3294" t="s">
        <v>117</v>
      </c>
      <c r="AM3294" t="s">
        <v>6114</v>
      </c>
      <c r="AN3294">
        <v>16440</v>
      </c>
      <c r="AO3294">
        <v>0.38</v>
      </c>
      <c r="AP3294">
        <v>1</v>
      </c>
      <c r="AR3294">
        <v>1</v>
      </c>
      <c r="AS3294" s="1">
        <v>31660</v>
      </c>
      <c r="AT3294" s="1">
        <v>6330</v>
      </c>
      <c r="AU3294" s="1">
        <v>25330</v>
      </c>
      <c r="AV3294">
        <v>80.010000000000005</v>
      </c>
      <c r="AX3294" s="1">
        <v>2906.7</v>
      </c>
      <c r="AY3294" t="s">
        <v>1316</v>
      </c>
      <c r="AZ3294" t="s">
        <v>1317</v>
      </c>
      <c r="BA3294" t="s">
        <v>1318</v>
      </c>
      <c r="BE3294" s="3">
        <v>42538</v>
      </c>
      <c r="BF3294" s="1">
        <v>400820</v>
      </c>
      <c r="BG3294" t="s">
        <v>21377</v>
      </c>
      <c r="BH3294" s="1">
        <v>225.43</v>
      </c>
      <c r="BI3294" s="1">
        <v>400820</v>
      </c>
      <c r="BJ3294" s="3">
        <v>42538</v>
      </c>
      <c r="BK3294" t="s">
        <v>123</v>
      </c>
      <c r="BL3294" t="str">
        <f>"2016.425718"</f>
        <v>2016.425718</v>
      </c>
      <c r="BM3294" t="s">
        <v>150</v>
      </c>
      <c r="BO3294" t="s">
        <v>21378</v>
      </c>
      <c r="BS3294">
        <v>30</v>
      </c>
      <c r="BW3294" t="str">
        <f>""</f>
        <v/>
      </c>
      <c r="CH3294" t="str">
        <f>""</f>
        <v/>
      </c>
      <c r="CS3294" t="str">
        <f>""</f>
        <v/>
      </c>
    </row>
    <row r="3295" spans="1:97" x14ac:dyDescent="0.25">
      <c r="A3295" t="s">
        <v>6771</v>
      </c>
      <c r="B3295" t="s">
        <v>21379</v>
      </c>
      <c r="E3295" t="s">
        <v>21380</v>
      </c>
      <c r="F3295" t="s">
        <v>108</v>
      </c>
      <c r="H3295" t="s">
        <v>21381</v>
      </c>
      <c r="I3295" t="s">
        <v>632</v>
      </c>
      <c r="J3295" t="s">
        <v>111</v>
      </c>
      <c r="K3295" t="str">
        <f>"85388"</f>
        <v>85388</v>
      </c>
      <c r="L3295" t="s">
        <v>7607</v>
      </c>
      <c r="M3295" t="s">
        <v>21381</v>
      </c>
      <c r="N3295" t="s">
        <v>632</v>
      </c>
      <c r="O3295" t="s">
        <v>111</v>
      </c>
      <c r="P3295" t="str">
        <f>"85388-1808"</f>
        <v>85388-1808</v>
      </c>
      <c r="Q3295" t="s">
        <v>113</v>
      </c>
      <c r="R3295" t="str">
        <f>"502-89-424"</f>
        <v>502-89-424</v>
      </c>
      <c r="S3295" t="s">
        <v>7646</v>
      </c>
      <c r="U3295">
        <v>2219</v>
      </c>
      <c r="V3295">
        <v>0</v>
      </c>
      <c r="W3295">
        <v>4</v>
      </c>
      <c r="X3295">
        <v>2014</v>
      </c>
      <c r="Z3295">
        <v>1</v>
      </c>
      <c r="AB3295">
        <v>0</v>
      </c>
      <c r="AC3295" t="s">
        <v>115</v>
      </c>
      <c r="AD3295">
        <v>3</v>
      </c>
      <c r="AE3295" t="s">
        <v>115</v>
      </c>
      <c r="AF3295">
        <v>0</v>
      </c>
      <c r="AG3295">
        <v>0</v>
      </c>
      <c r="AH3295" t="s">
        <v>116</v>
      </c>
      <c r="AI3295" s="1">
        <v>82592</v>
      </c>
      <c r="AJ3295" s="2">
        <v>0.26</v>
      </c>
      <c r="AK3295" s="1">
        <v>313844</v>
      </c>
      <c r="AL3295" t="s">
        <v>117</v>
      </c>
      <c r="AM3295" t="s">
        <v>118</v>
      </c>
      <c r="AN3295">
        <v>7800</v>
      </c>
      <c r="AO3295">
        <v>0.18</v>
      </c>
      <c r="AR3295">
        <v>1</v>
      </c>
      <c r="AS3295" s="1">
        <v>22820</v>
      </c>
      <c r="AT3295" s="1">
        <v>4560</v>
      </c>
      <c r="AU3295" s="1">
        <v>18260</v>
      </c>
      <c r="AV3295">
        <v>80.02</v>
      </c>
      <c r="AX3295" s="1">
        <v>1967.32</v>
      </c>
      <c r="AY3295" t="s">
        <v>5168</v>
      </c>
      <c r="AZ3295" t="s">
        <v>5168</v>
      </c>
      <c r="BA3295" t="s">
        <v>5109</v>
      </c>
      <c r="BE3295" s="3">
        <v>41995</v>
      </c>
      <c r="BF3295" s="1">
        <v>240000</v>
      </c>
      <c r="BG3295" t="s">
        <v>275</v>
      </c>
      <c r="BH3295" s="1">
        <v>108.16</v>
      </c>
      <c r="BI3295" s="1">
        <v>231252</v>
      </c>
      <c r="BJ3295" s="3">
        <v>41995</v>
      </c>
      <c r="BK3295" t="s">
        <v>123</v>
      </c>
      <c r="BL3295" t="str">
        <f>"2014.840141"</f>
        <v>2014.840141</v>
      </c>
      <c r="BM3295" t="s">
        <v>651</v>
      </c>
      <c r="BO3295" t="s">
        <v>21382</v>
      </c>
      <c r="BS3295">
        <v>30</v>
      </c>
      <c r="BW3295" t="str">
        <f>""</f>
        <v/>
      </c>
      <c r="CH3295" t="str">
        <f>""</f>
        <v/>
      </c>
      <c r="CS3295" t="str">
        <f>""</f>
        <v/>
      </c>
    </row>
    <row r="3296" spans="1:97" x14ac:dyDescent="0.25">
      <c r="A3296" t="s">
        <v>2045</v>
      </c>
      <c r="B3296" t="s">
        <v>18811</v>
      </c>
      <c r="C3296" t="s">
        <v>2761</v>
      </c>
      <c r="D3296" t="s">
        <v>18811</v>
      </c>
      <c r="E3296" t="s">
        <v>21383</v>
      </c>
      <c r="F3296" t="s">
        <v>108</v>
      </c>
      <c r="H3296" t="s">
        <v>21384</v>
      </c>
      <c r="I3296" t="s">
        <v>203</v>
      </c>
      <c r="J3296" t="s">
        <v>111</v>
      </c>
      <c r="K3296" t="str">
        <f>"85298"</f>
        <v>85298</v>
      </c>
      <c r="L3296" t="s">
        <v>500</v>
      </c>
      <c r="M3296" t="s">
        <v>21384</v>
      </c>
      <c r="N3296" t="s">
        <v>203</v>
      </c>
      <c r="O3296" t="s">
        <v>111</v>
      </c>
      <c r="P3296" t="str">
        <f>"85298-4235"</f>
        <v>85298-4235</v>
      </c>
      <c r="Q3296" t="s">
        <v>113</v>
      </c>
      <c r="R3296" t="str">
        <f>"313-07-464"</f>
        <v>313-07-464</v>
      </c>
      <c r="S3296" t="s">
        <v>7591</v>
      </c>
      <c r="T3296" t="s">
        <v>1132</v>
      </c>
      <c r="U3296">
        <v>4275</v>
      </c>
      <c r="V3296">
        <v>0</v>
      </c>
      <c r="W3296">
        <v>5</v>
      </c>
      <c r="X3296">
        <v>2007</v>
      </c>
      <c r="Z3296">
        <v>2</v>
      </c>
      <c r="AA3296" t="s">
        <v>26</v>
      </c>
      <c r="AB3296">
        <v>0</v>
      </c>
      <c r="AC3296" t="s">
        <v>115</v>
      </c>
      <c r="AD3296">
        <v>2</v>
      </c>
      <c r="AE3296" t="s">
        <v>115</v>
      </c>
      <c r="AF3296">
        <v>0</v>
      </c>
      <c r="AG3296">
        <v>0</v>
      </c>
      <c r="AH3296" t="s">
        <v>116</v>
      </c>
      <c r="AI3296" s="1">
        <v>77357</v>
      </c>
      <c r="AJ3296" s="2">
        <v>0.15</v>
      </c>
      <c r="AK3296" s="1">
        <v>510442</v>
      </c>
      <c r="AL3296" t="s">
        <v>117</v>
      </c>
      <c r="AM3296" t="s">
        <v>171</v>
      </c>
      <c r="AN3296">
        <v>9375</v>
      </c>
      <c r="AO3296">
        <v>0.22</v>
      </c>
      <c r="AR3296">
        <v>1</v>
      </c>
      <c r="AS3296" s="1">
        <v>34500</v>
      </c>
      <c r="AT3296" s="1">
        <v>6900</v>
      </c>
      <c r="AU3296" s="1">
        <v>27600</v>
      </c>
      <c r="AV3296">
        <v>80</v>
      </c>
      <c r="AX3296" s="1">
        <v>3052.88</v>
      </c>
      <c r="AY3296" t="s">
        <v>1133</v>
      </c>
      <c r="AZ3296" t="s">
        <v>1134</v>
      </c>
      <c r="BA3296" t="s">
        <v>1134</v>
      </c>
      <c r="BE3296" s="3">
        <v>42487</v>
      </c>
      <c r="BF3296" s="1">
        <v>420000</v>
      </c>
      <c r="BG3296" t="s">
        <v>21385</v>
      </c>
      <c r="BH3296" s="1">
        <v>98.25</v>
      </c>
      <c r="BI3296" s="1">
        <v>433085</v>
      </c>
      <c r="BJ3296" s="3">
        <v>42487</v>
      </c>
      <c r="BK3296" t="s">
        <v>123</v>
      </c>
      <c r="BL3296" t="str">
        <f>"2016.280876"</f>
        <v>2016.280876</v>
      </c>
      <c r="BM3296" t="s">
        <v>6337</v>
      </c>
      <c r="BO3296" t="s">
        <v>21386</v>
      </c>
      <c r="BS3296">
        <v>30</v>
      </c>
      <c r="BW3296" t="str">
        <f>""</f>
        <v/>
      </c>
      <c r="CH3296" t="str">
        <f>""</f>
        <v/>
      </c>
      <c r="CS3296" t="str">
        <f>""</f>
        <v/>
      </c>
    </row>
    <row r="3297" spans="1:97" x14ac:dyDescent="0.25">
      <c r="A3297" t="s">
        <v>21387</v>
      </c>
      <c r="B3297" t="s">
        <v>348</v>
      </c>
      <c r="C3297" t="s">
        <v>1047</v>
      </c>
      <c r="D3297" t="s">
        <v>348</v>
      </c>
      <c r="E3297" t="s">
        <v>21388</v>
      </c>
      <c r="F3297" t="s">
        <v>108</v>
      </c>
      <c r="H3297" t="s">
        <v>21389</v>
      </c>
      <c r="I3297" t="s">
        <v>374</v>
      </c>
      <c r="J3297" t="s">
        <v>111</v>
      </c>
      <c r="K3297" t="str">
        <f>"85087"</f>
        <v>85087</v>
      </c>
      <c r="L3297" t="s">
        <v>375</v>
      </c>
      <c r="M3297" t="s">
        <v>21389</v>
      </c>
      <c r="N3297" t="s">
        <v>374</v>
      </c>
      <c r="O3297" t="s">
        <v>111</v>
      </c>
      <c r="P3297" t="str">
        <f>"85087-6144"</f>
        <v>85087-6144</v>
      </c>
      <c r="Q3297" t="s">
        <v>113</v>
      </c>
      <c r="R3297" t="str">
        <f>"202-23-016"</f>
        <v>202-23-016</v>
      </c>
      <c r="S3297" t="s">
        <v>10584</v>
      </c>
      <c r="T3297" t="s">
        <v>664</v>
      </c>
      <c r="U3297">
        <v>2411</v>
      </c>
      <c r="V3297">
        <v>0</v>
      </c>
      <c r="W3297">
        <v>4</v>
      </c>
      <c r="X3297">
        <v>2015</v>
      </c>
      <c r="Z3297">
        <v>1</v>
      </c>
      <c r="AB3297">
        <v>0</v>
      </c>
      <c r="AC3297" t="s">
        <v>115</v>
      </c>
      <c r="AD3297">
        <v>3</v>
      </c>
      <c r="AE3297" t="s">
        <v>115</v>
      </c>
      <c r="AF3297">
        <v>0</v>
      </c>
      <c r="AG3297">
        <v>0</v>
      </c>
      <c r="AH3297" t="s">
        <v>116</v>
      </c>
      <c r="AI3297" s="1">
        <v>76380</v>
      </c>
      <c r="AJ3297" s="2">
        <v>0.2</v>
      </c>
      <c r="AK3297" s="1">
        <v>379049</v>
      </c>
      <c r="AL3297" t="s">
        <v>117</v>
      </c>
      <c r="AM3297" t="s">
        <v>393</v>
      </c>
      <c r="AN3297">
        <v>7800</v>
      </c>
      <c r="AO3297">
        <v>0.18</v>
      </c>
      <c r="AR3297">
        <v>1</v>
      </c>
      <c r="AS3297" s="1">
        <v>27710</v>
      </c>
      <c r="AT3297" s="1">
        <v>5540</v>
      </c>
      <c r="AU3297" s="1">
        <v>22170</v>
      </c>
      <c r="AV3297">
        <v>80.010000000000005</v>
      </c>
      <c r="AX3297" s="1">
        <v>2715.04</v>
      </c>
      <c r="AY3297" t="s">
        <v>665</v>
      </c>
      <c r="AZ3297" t="s">
        <v>665</v>
      </c>
      <c r="BA3297" t="s">
        <v>378</v>
      </c>
      <c r="BE3297" s="3">
        <v>42237</v>
      </c>
      <c r="BF3297" s="1">
        <v>293000</v>
      </c>
      <c r="BG3297" t="s">
        <v>209</v>
      </c>
      <c r="BH3297" s="1">
        <v>121.53</v>
      </c>
      <c r="BI3297" s="1">
        <v>302669</v>
      </c>
      <c r="BJ3297" s="3">
        <v>42237</v>
      </c>
      <c r="BK3297" t="s">
        <v>123</v>
      </c>
      <c r="BL3297" t="str">
        <f>"2015.608813"</f>
        <v>2015.608813</v>
      </c>
      <c r="BM3297" t="s">
        <v>175</v>
      </c>
      <c r="BO3297" t="s">
        <v>21390</v>
      </c>
      <c r="BS3297">
        <v>30</v>
      </c>
      <c r="BW3297" t="str">
        <f>""</f>
        <v/>
      </c>
      <c r="CH3297" t="str">
        <f>""</f>
        <v/>
      </c>
      <c r="CS3297" t="str">
        <f>""</f>
        <v/>
      </c>
    </row>
    <row r="3298" spans="1:97" x14ac:dyDescent="0.25">
      <c r="A3298" t="s">
        <v>1009</v>
      </c>
      <c r="B3298" t="s">
        <v>21391</v>
      </c>
      <c r="C3298" t="s">
        <v>719</v>
      </c>
      <c r="D3298" t="s">
        <v>1099</v>
      </c>
      <c r="E3298" t="s">
        <v>21392</v>
      </c>
      <c r="F3298" t="s">
        <v>108</v>
      </c>
      <c r="H3298" t="s">
        <v>21393</v>
      </c>
      <c r="I3298" t="s">
        <v>453</v>
      </c>
      <c r="J3298" t="s">
        <v>111</v>
      </c>
      <c r="K3298" t="str">
        <f>"85382"</f>
        <v>85382</v>
      </c>
      <c r="L3298" t="s">
        <v>6308</v>
      </c>
      <c r="M3298" t="s">
        <v>21393</v>
      </c>
      <c r="N3298" t="s">
        <v>453</v>
      </c>
      <c r="O3298" t="s">
        <v>111</v>
      </c>
      <c r="P3298" t="str">
        <f>"85382-8304"</f>
        <v>85382-8304</v>
      </c>
      <c r="Q3298" t="s">
        <v>113</v>
      </c>
      <c r="R3298" t="str">
        <f>"231-24-578"</f>
        <v>231-24-578</v>
      </c>
      <c r="S3298" t="s">
        <v>21394</v>
      </c>
      <c r="T3298" t="s">
        <v>6310</v>
      </c>
      <c r="U3298">
        <v>2398</v>
      </c>
      <c r="V3298">
        <v>0</v>
      </c>
      <c r="W3298">
        <v>3</v>
      </c>
      <c r="X3298">
        <v>2002</v>
      </c>
      <c r="Z3298">
        <v>1</v>
      </c>
      <c r="AA3298" t="s">
        <v>26</v>
      </c>
      <c r="AB3298">
        <v>0</v>
      </c>
      <c r="AC3298" t="s">
        <v>115</v>
      </c>
      <c r="AD3298">
        <v>3</v>
      </c>
      <c r="AE3298" t="s">
        <v>115</v>
      </c>
      <c r="AF3298">
        <v>0</v>
      </c>
      <c r="AG3298">
        <v>0</v>
      </c>
      <c r="AH3298" t="s">
        <v>116</v>
      </c>
      <c r="AI3298" s="1">
        <v>77594</v>
      </c>
      <c r="AJ3298" s="2">
        <v>0.21</v>
      </c>
      <c r="AK3298" s="1">
        <v>378197</v>
      </c>
      <c r="AL3298" t="s">
        <v>117</v>
      </c>
      <c r="AM3298" t="s">
        <v>118</v>
      </c>
      <c r="AN3298">
        <v>8552</v>
      </c>
      <c r="AO3298">
        <v>0.2</v>
      </c>
      <c r="AP3298">
        <v>1</v>
      </c>
      <c r="AR3298">
        <v>1</v>
      </c>
      <c r="AS3298" s="1">
        <v>28660</v>
      </c>
      <c r="AT3298" s="1">
        <v>5730</v>
      </c>
      <c r="AU3298" s="1">
        <v>22930</v>
      </c>
      <c r="AV3298">
        <v>80.010000000000005</v>
      </c>
      <c r="AX3298" s="1">
        <v>2621.62</v>
      </c>
      <c r="AY3298" t="s">
        <v>6311</v>
      </c>
      <c r="AZ3298" t="s">
        <v>6311</v>
      </c>
      <c r="BA3298" t="s">
        <v>4219</v>
      </c>
      <c r="BE3298" s="3">
        <v>42368</v>
      </c>
      <c r="BF3298" s="1">
        <v>291000</v>
      </c>
      <c r="BG3298" t="s">
        <v>21395</v>
      </c>
      <c r="BH3298" s="1">
        <v>121.35</v>
      </c>
      <c r="BI3298" s="1">
        <v>300603</v>
      </c>
      <c r="BJ3298" s="3">
        <v>42368</v>
      </c>
      <c r="BK3298" t="s">
        <v>123</v>
      </c>
      <c r="BL3298" t="str">
        <f>"2015.918219"</f>
        <v>2015.918219</v>
      </c>
      <c r="BM3298" t="s">
        <v>8916</v>
      </c>
      <c r="BO3298" t="s">
        <v>21396</v>
      </c>
      <c r="BP3298" t="s">
        <v>21396</v>
      </c>
      <c r="BS3298">
        <v>30</v>
      </c>
      <c r="BW3298" t="str">
        <f>""</f>
        <v/>
      </c>
      <c r="CH3298" t="str">
        <f>""</f>
        <v/>
      </c>
      <c r="CS3298" t="str">
        <f>""</f>
        <v/>
      </c>
    </row>
    <row r="3299" spans="1:97" x14ac:dyDescent="0.25">
      <c r="A3299" t="s">
        <v>1979</v>
      </c>
      <c r="B3299" t="s">
        <v>21397</v>
      </c>
      <c r="C3299" t="s">
        <v>945</v>
      </c>
      <c r="D3299" t="s">
        <v>21397</v>
      </c>
      <c r="E3299" t="s">
        <v>21398</v>
      </c>
      <c r="F3299" t="s">
        <v>108</v>
      </c>
      <c r="H3299" t="s">
        <v>21399</v>
      </c>
      <c r="I3299" t="s">
        <v>167</v>
      </c>
      <c r="J3299" t="s">
        <v>111</v>
      </c>
      <c r="K3299" t="str">
        <f>"85339"</f>
        <v>85339</v>
      </c>
      <c r="L3299" t="s">
        <v>5637</v>
      </c>
      <c r="M3299" t="s">
        <v>21399</v>
      </c>
      <c r="N3299" t="s">
        <v>167</v>
      </c>
      <c r="O3299" t="s">
        <v>111</v>
      </c>
      <c r="P3299" t="str">
        <f>"85339-5233"</f>
        <v>85339-5233</v>
      </c>
      <c r="Q3299" t="s">
        <v>113</v>
      </c>
      <c r="R3299" t="str">
        <f>"300-15-527"</f>
        <v>300-15-527</v>
      </c>
      <c r="S3299" t="s">
        <v>14428</v>
      </c>
      <c r="T3299" t="s">
        <v>14429</v>
      </c>
      <c r="U3299">
        <v>3555</v>
      </c>
      <c r="V3299">
        <v>0</v>
      </c>
      <c r="W3299">
        <v>5</v>
      </c>
      <c r="X3299">
        <v>2014</v>
      </c>
      <c r="Z3299">
        <v>2</v>
      </c>
      <c r="AB3299">
        <v>0</v>
      </c>
      <c r="AC3299" t="s">
        <v>115</v>
      </c>
      <c r="AD3299">
        <v>3</v>
      </c>
      <c r="AE3299" t="s">
        <v>115</v>
      </c>
      <c r="AF3299">
        <v>0</v>
      </c>
      <c r="AG3299">
        <v>0</v>
      </c>
      <c r="AH3299" t="s">
        <v>116</v>
      </c>
      <c r="AI3299" s="1">
        <v>146053</v>
      </c>
      <c r="AJ3299" s="2">
        <v>0.38</v>
      </c>
      <c r="AK3299" s="1">
        <v>383990</v>
      </c>
      <c r="AL3299" t="s">
        <v>117</v>
      </c>
      <c r="AM3299" t="s">
        <v>171</v>
      </c>
      <c r="AN3299">
        <v>9600</v>
      </c>
      <c r="AO3299">
        <v>0.22</v>
      </c>
      <c r="AR3299">
        <v>1</v>
      </c>
      <c r="AS3299" s="1">
        <v>30220</v>
      </c>
      <c r="AT3299" s="1">
        <v>6040</v>
      </c>
      <c r="AU3299" s="1">
        <v>24180</v>
      </c>
      <c r="AV3299">
        <v>80.010000000000005</v>
      </c>
      <c r="AX3299" s="1">
        <v>4086.38</v>
      </c>
      <c r="AY3299" t="s">
        <v>805</v>
      </c>
      <c r="AZ3299" t="s">
        <v>806</v>
      </c>
      <c r="BA3299" t="s">
        <v>173</v>
      </c>
      <c r="BE3299" s="3">
        <v>42270</v>
      </c>
      <c r="BF3299" s="1">
        <v>295990</v>
      </c>
      <c r="BG3299" t="s">
        <v>158</v>
      </c>
      <c r="BH3299" s="1">
        <v>83.26</v>
      </c>
      <c r="BI3299" s="1">
        <v>237937</v>
      </c>
      <c r="BJ3299" s="3">
        <v>42270</v>
      </c>
      <c r="BK3299" t="s">
        <v>123</v>
      </c>
      <c r="BL3299" t="str">
        <f>"2015.685759"</f>
        <v>2015.685759</v>
      </c>
      <c r="BM3299" t="s">
        <v>241</v>
      </c>
      <c r="BO3299" t="s">
        <v>21400</v>
      </c>
      <c r="BS3299">
        <v>30</v>
      </c>
      <c r="BW3299" t="str">
        <f>""</f>
        <v/>
      </c>
      <c r="CH3299" t="str">
        <f>""</f>
        <v/>
      </c>
      <c r="CS3299" t="str">
        <f>""</f>
        <v/>
      </c>
    </row>
    <row r="3300" spans="1:97" x14ac:dyDescent="0.25">
      <c r="A3300" t="s">
        <v>265</v>
      </c>
      <c r="B3300" t="s">
        <v>3404</v>
      </c>
      <c r="C3300" t="s">
        <v>986</v>
      </c>
      <c r="D3300" t="s">
        <v>3404</v>
      </c>
      <c r="E3300" t="s">
        <v>21401</v>
      </c>
      <c r="F3300" t="s">
        <v>108</v>
      </c>
      <c r="H3300" t="s">
        <v>21402</v>
      </c>
      <c r="I3300" t="s">
        <v>390</v>
      </c>
      <c r="J3300" t="s">
        <v>111</v>
      </c>
      <c r="K3300" t="str">
        <f>"85024"</f>
        <v>85024</v>
      </c>
      <c r="L3300" t="s">
        <v>6902</v>
      </c>
      <c r="M3300" t="s">
        <v>21402</v>
      </c>
      <c r="N3300" t="s">
        <v>390</v>
      </c>
      <c r="O3300" t="s">
        <v>111</v>
      </c>
      <c r="P3300" t="str">
        <f>"85024-3650"</f>
        <v>85024-3650</v>
      </c>
      <c r="Q3300" t="s">
        <v>113</v>
      </c>
      <c r="R3300" t="str">
        <f>"213-23-478"</f>
        <v>213-23-478</v>
      </c>
      <c r="S3300" t="s">
        <v>21403</v>
      </c>
      <c r="T3300" t="s">
        <v>21403</v>
      </c>
      <c r="U3300">
        <v>2115</v>
      </c>
      <c r="V3300">
        <v>0</v>
      </c>
      <c r="W3300">
        <v>4</v>
      </c>
      <c r="X3300">
        <v>1997</v>
      </c>
      <c r="Z3300">
        <v>2</v>
      </c>
      <c r="AB3300">
        <v>0</v>
      </c>
      <c r="AC3300" t="s">
        <v>115</v>
      </c>
      <c r="AD3300">
        <v>2</v>
      </c>
      <c r="AE3300" t="s">
        <v>115</v>
      </c>
      <c r="AF3300">
        <v>0</v>
      </c>
      <c r="AG3300">
        <v>0</v>
      </c>
      <c r="AH3300" t="s">
        <v>116</v>
      </c>
      <c r="AI3300" s="1">
        <v>96419</v>
      </c>
      <c r="AJ3300" s="2">
        <v>0.28000000000000003</v>
      </c>
      <c r="AK3300" s="1">
        <v>343169</v>
      </c>
      <c r="AL3300" t="s">
        <v>117</v>
      </c>
      <c r="AM3300" t="s">
        <v>171</v>
      </c>
      <c r="AN3300">
        <v>6051</v>
      </c>
      <c r="AO3300">
        <v>0.14000000000000001</v>
      </c>
      <c r="AP3300">
        <v>1</v>
      </c>
      <c r="AR3300">
        <v>1</v>
      </c>
      <c r="AS3300" s="1">
        <v>24270</v>
      </c>
      <c r="AT3300" s="1">
        <v>4850</v>
      </c>
      <c r="AU3300" s="1">
        <v>19420</v>
      </c>
      <c r="AV3300">
        <v>80.02</v>
      </c>
      <c r="AX3300" s="1">
        <v>2693.92</v>
      </c>
      <c r="AY3300" t="s">
        <v>8613</v>
      </c>
      <c r="AZ3300" t="s">
        <v>761</v>
      </c>
      <c r="BA3300" t="s">
        <v>2551</v>
      </c>
      <c r="BE3300" s="3">
        <v>41968</v>
      </c>
      <c r="BF3300" s="1">
        <v>265000</v>
      </c>
      <c r="BG3300" t="s">
        <v>21404</v>
      </c>
      <c r="BH3300" s="1">
        <v>125.3</v>
      </c>
      <c r="BI3300" s="1">
        <v>246750</v>
      </c>
      <c r="BJ3300" s="3">
        <v>41968</v>
      </c>
      <c r="BK3300" t="s">
        <v>123</v>
      </c>
      <c r="BL3300" t="str">
        <f>"2014.781998"</f>
        <v>2014.781998</v>
      </c>
      <c r="BM3300" t="s">
        <v>150</v>
      </c>
      <c r="BO3300" t="s">
        <v>21405</v>
      </c>
      <c r="BS3300">
        <v>30</v>
      </c>
      <c r="BW3300" t="str">
        <f>""</f>
        <v/>
      </c>
      <c r="CH3300" t="str">
        <f>""</f>
        <v/>
      </c>
      <c r="CS3300" t="str">
        <f>""</f>
        <v/>
      </c>
    </row>
    <row r="3301" spans="1:97" x14ac:dyDescent="0.25">
      <c r="A3301" t="s">
        <v>21406</v>
      </c>
      <c r="B3301" t="s">
        <v>21407</v>
      </c>
      <c r="C3301" t="s">
        <v>21408</v>
      </c>
      <c r="D3301" t="s">
        <v>21407</v>
      </c>
      <c r="E3301" t="s">
        <v>21409</v>
      </c>
      <c r="F3301" t="s">
        <v>108</v>
      </c>
      <c r="H3301" t="s">
        <v>21410</v>
      </c>
      <c r="I3301" t="s">
        <v>1936</v>
      </c>
      <c r="J3301" t="s">
        <v>111</v>
      </c>
      <c r="K3301" t="str">
        <f>"85254"</f>
        <v>85254</v>
      </c>
      <c r="L3301" t="s">
        <v>9178</v>
      </c>
      <c r="M3301" t="s">
        <v>21410</v>
      </c>
      <c r="N3301" t="s">
        <v>1936</v>
      </c>
      <c r="O3301" t="s">
        <v>111</v>
      </c>
      <c r="P3301" t="str">
        <f>"85254-2256"</f>
        <v>85254-2256</v>
      </c>
      <c r="Q3301" t="s">
        <v>113</v>
      </c>
      <c r="R3301" t="str">
        <f>"215-67-073-A"</f>
        <v>215-67-073-A</v>
      </c>
      <c r="S3301" t="s">
        <v>21411</v>
      </c>
      <c r="T3301" t="s">
        <v>21412</v>
      </c>
      <c r="U3301">
        <v>1842</v>
      </c>
      <c r="V3301">
        <v>0</v>
      </c>
      <c r="W3301">
        <v>3</v>
      </c>
      <c r="X3301">
        <v>1979</v>
      </c>
      <c r="Z3301">
        <v>1</v>
      </c>
      <c r="AA3301" t="s">
        <v>26</v>
      </c>
      <c r="AB3301">
        <v>0</v>
      </c>
      <c r="AC3301" t="s">
        <v>115</v>
      </c>
      <c r="AD3301">
        <v>2</v>
      </c>
      <c r="AE3301" t="s">
        <v>115</v>
      </c>
      <c r="AF3301">
        <v>0</v>
      </c>
      <c r="AG3301">
        <v>0</v>
      </c>
      <c r="AH3301" t="s">
        <v>116</v>
      </c>
      <c r="AI3301" s="1">
        <v>-204</v>
      </c>
      <c r="AJ3301" s="2">
        <v>0</v>
      </c>
      <c r="AK3301" s="1">
        <v>461252</v>
      </c>
      <c r="AL3301" t="s">
        <v>117</v>
      </c>
      <c r="AM3301" t="s">
        <v>1302</v>
      </c>
      <c r="AN3301">
        <v>10122</v>
      </c>
      <c r="AO3301">
        <v>0.23</v>
      </c>
      <c r="AP3301">
        <v>1</v>
      </c>
      <c r="AR3301">
        <v>1</v>
      </c>
      <c r="AS3301" s="1">
        <v>31980</v>
      </c>
      <c r="AT3301" s="1">
        <v>6390</v>
      </c>
      <c r="AU3301" s="1">
        <v>25590</v>
      </c>
      <c r="AV3301">
        <v>80.02</v>
      </c>
      <c r="AX3301" s="1">
        <v>2941.26</v>
      </c>
      <c r="AY3301" t="s">
        <v>2767</v>
      </c>
      <c r="AZ3301" t="s">
        <v>1317</v>
      </c>
      <c r="BA3301" t="s">
        <v>6302</v>
      </c>
      <c r="BE3301" s="3">
        <v>42242</v>
      </c>
      <c r="BF3301" s="1">
        <v>367000</v>
      </c>
      <c r="BG3301" t="s">
        <v>21413</v>
      </c>
      <c r="BH3301" s="1">
        <v>199.24</v>
      </c>
      <c r="BI3301" s="1">
        <v>376056</v>
      </c>
      <c r="BJ3301" s="3">
        <v>42613</v>
      </c>
      <c r="BK3301" t="s">
        <v>123</v>
      </c>
      <c r="BL3301" t="str">
        <f>"2016.628957"</f>
        <v>2016.628957</v>
      </c>
      <c r="BM3301" t="s">
        <v>7181</v>
      </c>
      <c r="BN3301" t="s">
        <v>21414</v>
      </c>
      <c r="BO3301" t="s">
        <v>21415</v>
      </c>
      <c r="BS3301">
        <v>30</v>
      </c>
      <c r="BT3301" s="1">
        <v>85400</v>
      </c>
      <c r="BU3301" s="3">
        <v>43495</v>
      </c>
      <c r="BV3301" t="s">
        <v>134</v>
      </c>
      <c r="BW3301" t="str">
        <f>"2019.63956"</f>
        <v>2019.63956</v>
      </c>
      <c r="BX3301" t="s">
        <v>4708</v>
      </c>
      <c r="BY3301" t="s">
        <v>4709</v>
      </c>
      <c r="BZ3301" t="s">
        <v>21416</v>
      </c>
      <c r="CA3301" t="s">
        <v>21417</v>
      </c>
      <c r="CC3301" t="s">
        <v>139</v>
      </c>
      <c r="CH3301" t="str">
        <f>""</f>
        <v/>
      </c>
      <c r="CS3301" t="str">
        <f>""</f>
        <v/>
      </c>
    </row>
    <row r="3302" spans="1:97" x14ac:dyDescent="0.25">
      <c r="A3302" t="s">
        <v>484</v>
      </c>
      <c r="B3302" t="s">
        <v>21418</v>
      </c>
      <c r="C3302" t="s">
        <v>701</v>
      </c>
      <c r="D3302" t="s">
        <v>21419</v>
      </c>
      <c r="E3302" t="s">
        <v>21420</v>
      </c>
      <c r="F3302" t="s">
        <v>108</v>
      </c>
      <c r="H3302" t="s">
        <v>21421</v>
      </c>
      <c r="I3302" t="s">
        <v>1397</v>
      </c>
      <c r="J3302" t="s">
        <v>111</v>
      </c>
      <c r="K3302" t="str">
        <f>"85331"</f>
        <v>85331</v>
      </c>
      <c r="L3302" t="s">
        <v>10622</v>
      </c>
      <c r="M3302" t="s">
        <v>21421</v>
      </c>
      <c r="N3302" t="s">
        <v>1397</v>
      </c>
      <c r="O3302" t="s">
        <v>111</v>
      </c>
      <c r="P3302" t="str">
        <f>"85331-5590"</f>
        <v>85331-5590</v>
      </c>
      <c r="Q3302" t="s">
        <v>113</v>
      </c>
      <c r="R3302" t="str">
        <f>"211-37-431"</f>
        <v>211-37-431</v>
      </c>
      <c r="S3302" t="s">
        <v>10623</v>
      </c>
      <c r="T3302" t="s">
        <v>10623</v>
      </c>
      <c r="U3302">
        <v>3376</v>
      </c>
      <c r="V3302">
        <v>0</v>
      </c>
      <c r="W3302">
        <v>4</v>
      </c>
      <c r="X3302">
        <v>2000</v>
      </c>
      <c r="Z3302">
        <v>2</v>
      </c>
      <c r="AA3302" t="s">
        <v>26</v>
      </c>
      <c r="AB3302">
        <v>0</v>
      </c>
      <c r="AC3302" t="s">
        <v>115</v>
      </c>
      <c r="AD3302">
        <v>3</v>
      </c>
      <c r="AE3302" t="s">
        <v>115</v>
      </c>
      <c r="AF3302">
        <v>0</v>
      </c>
      <c r="AG3302">
        <v>0</v>
      </c>
      <c r="AH3302" t="s">
        <v>116</v>
      </c>
      <c r="AI3302" s="1">
        <v>201699</v>
      </c>
      <c r="AJ3302" s="2">
        <v>0.34</v>
      </c>
      <c r="AK3302" s="1">
        <v>597669</v>
      </c>
      <c r="AL3302" t="s">
        <v>117</v>
      </c>
      <c r="AM3302" t="s">
        <v>616</v>
      </c>
      <c r="AN3302">
        <v>10840</v>
      </c>
      <c r="AO3302">
        <v>0.25</v>
      </c>
      <c r="AP3302">
        <v>1</v>
      </c>
      <c r="AR3302">
        <v>1</v>
      </c>
      <c r="AS3302" s="1">
        <v>43110</v>
      </c>
      <c r="AT3302" s="1">
        <v>8620</v>
      </c>
      <c r="AU3302" s="1">
        <v>34490</v>
      </c>
      <c r="AV3302">
        <v>80</v>
      </c>
      <c r="AX3302" s="1">
        <v>3036.62</v>
      </c>
      <c r="AY3302" t="s">
        <v>7359</v>
      </c>
      <c r="AZ3302" t="s">
        <v>1402</v>
      </c>
      <c r="BA3302" t="s">
        <v>1403</v>
      </c>
      <c r="BE3302" s="3">
        <v>42111</v>
      </c>
      <c r="BF3302" s="1">
        <v>418800</v>
      </c>
      <c r="BG3302" t="s">
        <v>21422</v>
      </c>
      <c r="BH3302" s="1">
        <v>124.05</v>
      </c>
      <c r="BI3302" s="1">
        <v>395970</v>
      </c>
      <c r="BJ3302" s="3">
        <v>42583</v>
      </c>
      <c r="BK3302" t="s">
        <v>123</v>
      </c>
      <c r="BL3302" t="str">
        <f>"2016.544496"</f>
        <v>2016.544496</v>
      </c>
      <c r="BM3302" t="s">
        <v>475</v>
      </c>
      <c r="BO3302" t="s">
        <v>21423</v>
      </c>
      <c r="BP3302" t="s">
        <v>21424</v>
      </c>
      <c r="BS3302">
        <v>30</v>
      </c>
      <c r="BW3302" t="str">
        <f>""</f>
        <v/>
      </c>
      <c r="CH3302" t="str">
        <f>""</f>
        <v/>
      </c>
      <c r="CS3302" t="str">
        <f>""</f>
        <v/>
      </c>
    </row>
    <row r="3303" spans="1:97" x14ac:dyDescent="0.25">
      <c r="A3303" t="s">
        <v>2045</v>
      </c>
      <c r="B3303" t="s">
        <v>21425</v>
      </c>
      <c r="C3303" t="s">
        <v>21426</v>
      </c>
      <c r="D3303" t="s">
        <v>21425</v>
      </c>
      <c r="E3303" t="s">
        <v>21427</v>
      </c>
      <c r="F3303" t="s">
        <v>108</v>
      </c>
      <c r="H3303" t="s">
        <v>21428</v>
      </c>
      <c r="I3303" t="s">
        <v>203</v>
      </c>
      <c r="J3303" t="s">
        <v>111</v>
      </c>
      <c r="K3303" t="str">
        <f>"85295"</f>
        <v>85295</v>
      </c>
      <c r="L3303" t="s">
        <v>4534</v>
      </c>
      <c r="M3303" t="s">
        <v>21428</v>
      </c>
      <c r="N3303" t="s">
        <v>203</v>
      </c>
      <c r="O3303" t="s">
        <v>111</v>
      </c>
      <c r="P3303" t="str">
        <f>"85295-1929"</f>
        <v>85295-1929</v>
      </c>
      <c r="Q3303" t="s">
        <v>113</v>
      </c>
      <c r="R3303" t="str">
        <f>"304-44-346"</f>
        <v>304-44-346</v>
      </c>
      <c r="S3303" t="s">
        <v>8955</v>
      </c>
      <c r="T3303" t="s">
        <v>8956</v>
      </c>
      <c r="U3303">
        <v>2601</v>
      </c>
      <c r="V3303">
        <v>0</v>
      </c>
      <c r="W3303">
        <v>4</v>
      </c>
      <c r="X3303">
        <v>2002</v>
      </c>
      <c r="Z3303">
        <v>1</v>
      </c>
      <c r="AA3303" t="s">
        <v>26</v>
      </c>
      <c r="AB3303">
        <v>0</v>
      </c>
      <c r="AC3303" t="s">
        <v>115</v>
      </c>
      <c r="AD3303">
        <v>3</v>
      </c>
      <c r="AE3303" t="s">
        <v>115</v>
      </c>
      <c r="AF3303">
        <v>0</v>
      </c>
      <c r="AG3303">
        <v>0</v>
      </c>
      <c r="AH3303" t="s">
        <v>116</v>
      </c>
      <c r="AI3303" s="1">
        <v>75632</v>
      </c>
      <c r="AJ3303" s="2">
        <v>0.16</v>
      </c>
      <c r="AK3303" s="1">
        <v>481350</v>
      </c>
      <c r="AL3303" t="s">
        <v>117</v>
      </c>
      <c r="AM3303" t="s">
        <v>1302</v>
      </c>
      <c r="AN3303">
        <v>10005</v>
      </c>
      <c r="AO3303">
        <v>0.23</v>
      </c>
      <c r="AP3303">
        <v>1</v>
      </c>
      <c r="AR3303">
        <v>1</v>
      </c>
      <c r="AS3303" s="1">
        <v>34180</v>
      </c>
      <c r="AT3303" s="1">
        <v>6830</v>
      </c>
      <c r="AU3303" s="1">
        <v>27350</v>
      </c>
      <c r="AV3303">
        <v>80.02</v>
      </c>
      <c r="AX3303" s="1">
        <v>2687.42</v>
      </c>
      <c r="AY3303" t="s">
        <v>206</v>
      </c>
      <c r="AZ3303" t="s">
        <v>207</v>
      </c>
      <c r="BA3303" t="s">
        <v>208</v>
      </c>
      <c r="BB3303" s="3">
        <v>43328</v>
      </c>
      <c r="BC3303" s="1">
        <v>0</v>
      </c>
      <c r="BD3303" t="s">
        <v>247</v>
      </c>
      <c r="BE3303" s="3">
        <v>41838</v>
      </c>
      <c r="BF3303" s="1">
        <v>405000</v>
      </c>
      <c r="BG3303" t="s">
        <v>21429</v>
      </c>
      <c r="BH3303" s="1">
        <v>155.71</v>
      </c>
      <c r="BI3303" s="1">
        <v>405718</v>
      </c>
      <c r="BJ3303" s="3">
        <v>42782</v>
      </c>
      <c r="BK3303" t="s">
        <v>123</v>
      </c>
      <c r="BL3303" t="str">
        <f>"2017.117823"</f>
        <v>2017.117823</v>
      </c>
      <c r="BM3303" t="s">
        <v>361</v>
      </c>
      <c r="BN3303" t="s">
        <v>884</v>
      </c>
      <c r="BO3303" t="s">
        <v>21430</v>
      </c>
      <c r="BS3303">
        <v>30</v>
      </c>
      <c r="BW3303" t="str">
        <f>""</f>
        <v/>
      </c>
      <c r="CH3303" t="str">
        <f>""</f>
        <v/>
      </c>
      <c r="CS3303" t="str">
        <f>""</f>
        <v/>
      </c>
    </row>
    <row r="3304" spans="1:97" x14ac:dyDescent="0.25">
      <c r="A3304" t="s">
        <v>1577</v>
      </c>
      <c r="B3304" t="s">
        <v>488</v>
      </c>
      <c r="C3304" t="s">
        <v>21431</v>
      </c>
      <c r="D3304" t="s">
        <v>488</v>
      </c>
      <c r="E3304" t="s">
        <v>21432</v>
      </c>
      <c r="F3304" t="s">
        <v>108</v>
      </c>
      <c r="H3304" t="s">
        <v>21433</v>
      </c>
      <c r="I3304" t="s">
        <v>203</v>
      </c>
      <c r="J3304" t="s">
        <v>111</v>
      </c>
      <c r="K3304" t="str">
        <f>"85295"</f>
        <v>85295</v>
      </c>
      <c r="L3304" t="s">
        <v>5496</v>
      </c>
      <c r="M3304" t="s">
        <v>21433</v>
      </c>
      <c r="N3304" t="s">
        <v>203</v>
      </c>
      <c r="O3304" t="s">
        <v>111</v>
      </c>
      <c r="P3304" t="str">
        <f>"85295"</f>
        <v>85295</v>
      </c>
      <c r="Q3304" t="s">
        <v>113</v>
      </c>
      <c r="R3304" t="str">
        <f>"313-13-663"</f>
        <v>313-13-663</v>
      </c>
      <c r="S3304" t="s">
        <v>10498</v>
      </c>
      <c r="U3304">
        <v>2780</v>
      </c>
      <c r="V3304">
        <v>0</v>
      </c>
      <c r="W3304">
        <v>4</v>
      </c>
      <c r="X3304">
        <v>2015</v>
      </c>
      <c r="Z3304">
        <v>2</v>
      </c>
      <c r="AB3304">
        <v>0</v>
      </c>
      <c r="AC3304" t="s">
        <v>115</v>
      </c>
      <c r="AD3304">
        <v>2</v>
      </c>
      <c r="AE3304" t="s">
        <v>115</v>
      </c>
      <c r="AF3304">
        <v>0</v>
      </c>
      <c r="AG3304">
        <v>0</v>
      </c>
      <c r="AH3304" t="s">
        <v>116</v>
      </c>
      <c r="AI3304" s="1">
        <v>76825</v>
      </c>
      <c r="AJ3304" s="2">
        <v>0.2</v>
      </c>
      <c r="AK3304" s="1">
        <v>393490</v>
      </c>
      <c r="AL3304" t="s">
        <v>117</v>
      </c>
      <c r="AM3304" t="s">
        <v>288</v>
      </c>
      <c r="AN3304">
        <v>6464</v>
      </c>
      <c r="AO3304">
        <v>0.15</v>
      </c>
      <c r="AR3304">
        <v>1</v>
      </c>
      <c r="AS3304" s="1">
        <v>28380</v>
      </c>
      <c r="AT3304" s="1">
        <v>5670</v>
      </c>
      <c r="AU3304" s="1">
        <v>22710</v>
      </c>
      <c r="AV3304">
        <v>80.02</v>
      </c>
      <c r="AX3304" s="1">
        <v>2487.16</v>
      </c>
      <c r="AY3304" t="s">
        <v>5094</v>
      </c>
      <c r="AZ3304" t="s">
        <v>5094</v>
      </c>
      <c r="BA3304" t="s">
        <v>473</v>
      </c>
      <c r="BE3304" s="3">
        <v>42143</v>
      </c>
      <c r="BF3304" s="1">
        <v>310000</v>
      </c>
      <c r="BG3304" t="s">
        <v>209</v>
      </c>
      <c r="BH3304" s="1">
        <v>111.51</v>
      </c>
      <c r="BI3304" s="1">
        <v>316665</v>
      </c>
      <c r="BJ3304" s="3">
        <v>42143</v>
      </c>
      <c r="BK3304" t="s">
        <v>123</v>
      </c>
      <c r="BL3304" t="str">
        <f>"2015.352323"</f>
        <v>2015.352323</v>
      </c>
      <c r="BM3304" t="s">
        <v>175</v>
      </c>
      <c r="BO3304" t="s">
        <v>21434</v>
      </c>
      <c r="BS3304">
        <v>30</v>
      </c>
      <c r="BW3304" t="str">
        <f>""</f>
        <v/>
      </c>
      <c r="CH3304" t="str">
        <f>""</f>
        <v/>
      </c>
      <c r="CS3304" t="str">
        <f>""</f>
        <v/>
      </c>
    </row>
    <row r="3305" spans="1:97" x14ac:dyDescent="0.25">
      <c r="A3305" t="s">
        <v>1272</v>
      </c>
      <c r="B3305" t="s">
        <v>21435</v>
      </c>
      <c r="C3305" t="s">
        <v>2509</v>
      </c>
      <c r="D3305" t="s">
        <v>21435</v>
      </c>
      <c r="E3305" t="s">
        <v>21436</v>
      </c>
      <c r="F3305" t="s">
        <v>108</v>
      </c>
      <c r="H3305" t="s">
        <v>21437</v>
      </c>
      <c r="I3305" t="s">
        <v>453</v>
      </c>
      <c r="J3305" t="s">
        <v>111</v>
      </c>
      <c r="K3305" t="str">
        <f>"85383"</f>
        <v>85383</v>
      </c>
      <c r="L3305" t="s">
        <v>454</v>
      </c>
      <c r="M3305" t="s">
        <v>21437</v>
      </c>
      <c r="N3305" t="s">
        <v>453</v>
      </c>
      <c r="O3305" t="s">
        <v>111</v>
      </c>
      <c r="P3305" t="str">
        <f>"85383-7904"</f>
        <v>85383-7904</v>
      </c>
      <c r="Q3305" t="s">
        <v>113</v>
      </c>
      <c r="R3305" t="str">
        <f>"510-02-559"</f>
        <v>510-02-559</v>
      </c>
      <c r="S3305" t="s">
        <v>21438</v>
      </c>
      <c r="U3305">
        <v>4299</v>
      </c>
      <c r="V3305">
        <v>0</v>
      </c>
      <c r="W3305">
        <v>4</v>
      </c>
      <c r="X3305">
        <v>2013</v>
      </c>
      <c r="Z3305">
        <v>2</v>
      </c>
      <c r="AA3305" t="s">
        <v>26</v>
      </c>
      <c r="AB3305">
        <v>0</v>
      </c>
      <c r="AC3305" t="s">
        <v>115</v>
      </c>
      <c r="AD3305">
        <v>3</v>
      </c>
      <c r="AE3305" t="s">
        <v>115</v>
      </c>
      <c r="AF3305">
        <v>0</v>
      </c>
      <c r="AG3305">
        <v>0</v>
      </c>
      <c r="AH3305" t="s">
        <v>116</v>
      </c>
      <c r="AI3305" s="1">
        <v>59861</v>
      </c>
      <c r="AJ3305" s="2">
        <v>0.12</v>
      </c>
      <c r="AK3305" s="1">
        <v>490623</v>
      </c>
      <c r="AL3305" t="s">
        <v>117</v>
      </c>
      <c r="AM3305" t="s">
        <v>118</v>
      </c>
      <c r="AN3305">
        <v>10720</v>
      </c>
      <c r="AO3305">
        <v>0.25</v>
      </c>
      <c r="AR3305">
        <v>1</v>
      </c>
      <c r="AS3305" s="1">
        <v>35560</v>
      </c>
      <c r="AT3305" s="1">
        <v>7110</v>
      </c>
      <c r="AU3305" s="1">
        <v>28450</v>
      </c>
      <c r="AV3305">
        <v>80.010000000000005</v>
      </c>
      <c r="AX3305" s="1">
        <v>3621.8</v>
      </c>
      <c r="AY3305" t="s">
        <v>456</v>
      </c>
      <c r="AZ3305" t="s">
        <v>456</v>
      </c>
      <c r="BA3305" t="s">
        <v>457</v>
      </c>
      <c r="BE3305" s="3">
        <v>42142</v>
      </c>
      <c r="BF3305" s="1">
        <v>367500</v>
      </c>
      <c r="BG3305" t="s">
        <v>21439</v>
      </c>
      <c r="BH3305" s="1">
        <v>85.48</v>
      </c>
      <c r="BI3305" s="1">
        <v>430762</v>
      </c>
      <c r="BJ3305" s="3">
        <v>42657</v>
      </c>
      <c r="BK3305" t="s">
        <v>123</v>
      </c>
      <c r="BL3305" t="str">
        <f>"2016.754652"</f>
        <v>2016.754652</v>
      </c>
      <c r="BM3305" t="s">
        <v>1998</v>
      </c>
      <c r="BO3305" t="s">
        <v>21440</v>
      </c>
      <c r="BS3305">
        <v>30</v>
      </c>
      <c r="BW3305" t="str">
        <f>""</f>
        <v/>
      </c>
      <c r="CH3305" t="str">
        <f>""</f>
        <v/>
      </c>
      <c r="CS3305" t="str">
        <f>""</f>
        <v/>
      </c>
    </row>
    <row r="3306" spans="1:97" x14ac:dyDescent="0.25">
      <c r="A3306" t="s">
        <v>243</v>
      </c>
      <c r="B3306" t="s">
        <v>10375</v>
      </c>
      <c r="E3306" t="s">
        <v>21441</v>
      </c>
      <c r="F3306" t="s">
        <v>108</v>
      </c>
      <c r="H3306" t="s">
        <v>21442</v>
      </c>
      <c r="I3306" t="s">
        <v>2874</v>
      </c>
      <c r="J3306" t="s">
        <v>111</v>
      </c>
      <c r="K3306" t="str">
        <f>"85302"</f>
        <v>85302</v>
      </c>
      <c r="L3306" t="s">
        <v>6682</v>
      </c>
      <c r="M3306" t="s">
        <v>21442</v>
      </c>
      <c r="N3306" t="s">
        <v>2874</v>
      </c>
      <c r="O3306" t="s">
        <v>111</v>
      </c>
      <c r="P3306" t="str">
        <f>"85302-5308"</f>
        <v>85302-5308</v>
      </c>
      <c r="Q3306" t="s">
        <v>113</v>
      </c>
      <c r="R3306" t="str">
        <f>"148-10-032"</f>
        <v>148-10-032</v>
      </c>
      <c r="S3306" t="s">
        <v>21443</v>
      </c>
      <c r="U3306">
        <v>2767</v>
      </c>
      <c r="V3306">
        <v>0</v>
      </c>
      <c r="W3306">
        <v>2</v>
      </c>
      <c r="X3306">
        <v>1973</v>
      </c>
      <c r="Z3306">
        <v>1</v>
      </c>
      <c r="AB3306">
        <v>0</v>
      </c>
      <c r="AC3306" t="s">
        <v>115</v>
      </c>
      <c r="AD3306">
        <v>2</v>
      </c>
      <c r="AE3306" t="s">
        <v>115</v>
      </c>
      <c r="AF3306">
        <v>0</v>
      </c>
      <c r="AG3306">
        <v>0</v>
      </c>
      <c r="AH3306" t="s">
        <v>116</v>
      </c>
      <c r="AI3306" s="1">
        <v>17855</v>
      </c>
      <c r="AJ3306" s="2">
        <v>0.06</v>
      </c>
      <c r="AK3306" s="1">
        <v>287855</v>
      </c>
      <c r="AL3306" t="s">
        <v>117</v>
      </c>
      <c r="AM3306" t="s">
        <v>191</v>
      </c>
      <c r="AN3306">
        <v>10574</v>
      </c>
      <c r="AO3306">
        <v>0.24</v>
      </c>
      <c r="AP3306">
        <v>1</v>
      </c>
      <c r="AR3306">
        <v>1</v>
      </c>
      <c r="AS3306" s="1">
        <v>20170</v>
      </c>
      <c r="AT3306" s="1">
        <v>4030</v>
      </c>
      <c r="AU3306" s="1">
        <v>16140</v>
      </c>
      <c r="AV3306">
        <v>80.02</v>
      </c>
      <c r="AX3306" s="1">
        <v>1694.16</v>
      </c>
      <c r="AY3306" t="s">
        <v>17858</v>
      </c>
      <c r="AZ3306" t="s">
        <v>17858</v>
      </c>
      <c r="BA3306" t="s">
        <v>6987</v>
      </c>
      <c r="BE3306" s="3">
        <v>42100</v>
      </c>
      <c r="BF3306" s="1">
        <v>179000</v>
      </c>
      <c r="BG3306" t="s">
        <v>21444</v>
      </c>
      <c r="BH3306" s="1">
        <v>64.67</v>
      </c>
      <c r="BI3306" s="1">
        <v>270000</v>
      </c>
      <c r="BJ3306" s="3">
        <v>43420</v>
      </c>
      <c r="BK3306" t="s">
        <v>123</v>
      </c>
      <c r="BL3306" t="str">
        <f>"2018.853456"</f>
        <v>2018.853456</v>
      </c>
      <c r="BM3306" t="s">
        <v>361</v>
      </c>
      <c r="BN3306" t="s">
        <v>884</v>
      </c>
      <c r="BO3306" t="s">
        <v>21441</v>
      </c>
      <c r="BP3306" t="s">
        <v>21445</v>
      </c>
      <c r="BR3306" t="s">
        <v>139</v>
      </c>
      <c r="BW3306" t="str">
        <f>""</f>
        <v/>
      </c>
      <c r="CH3306" t="str">
        <f>""</f>
        <v/>
      </c>
      <c r="CS3306" t="str">
        <f>""</f>
        <v/>
      </c>
    </row>
    <row r="3307" spans="1:97" x14ac:dyDescent="0.25">
      <c r="A3307" t="s">
        <v>21446</v>
      </c>
      <c r="B3307" t="s">
        <v>21447</v>
      </c>
      <c r="E3307" t="s">
        <v>21448</v>
      </c>
      <c r="F3307" t="s">
        <v>108</v>
      </c>
      <c r="H3307" t="s">
        <v>21449</v>
      </c>
      <c r="I3307" t="s">
        <v>188</v>
      </c>
      <c r="J3307" t="s">
        <v>111</v>
      </c>
      <c r="K3307" t="str">
        <f>"85142"</f>
        <v>85142</v>
      </c>
      <c r="L3307" t="s">
        <v>5910</v>
      </c>
      <c r="M3307" t="s">
        <v>21449</v>
      </c>
      <c r="N3307" t="s">
        <v>188</v>
      </c>
      <c r="O3307" t="s">
        <v>111</v>
      </c>
      <c r="P3307" t="str">
        <f>"85142-3578"</f>
        <v>85142-3578</v>
      </c>
      <c r="Q3307" t="s">
        <v>113</v>
      </c>
      <c r="R3307" t="str">
        <f>"314-02-233"</f>
        <v>314-02-233</v>
      </c>
      <c r="S3307" t="s">
        <v>21450</v>
      </c>
      <c r="U3307">
        <v>3705</v>
      </c>
      <c r="V3307">
        <v>0</v>
      </c>
      <c r="W3307">
        <v>4</v>
      </c>
      <c r="X3307">
        <v>2002</v>
      </c>
      <c r="Z3307">
        <v>2</v>
      </c>
      <c r="AA3307" t="s">
        <v>26</v>
      </c>
      <c r="AB3307">
        <v>0</v>
      </c>
      <c r="AC3307" t="s">
        <v>115</v>
      </c>
      <c r="AD3307">
        <v>3</v>
      </c>
      <c r="AE3307" t="s">
        <v>115</v>
      </c>
      <c r="AF3307">
        <v>0</v>
      </c>
      <c r="AG3307">
        <v>0</v>
      </c>
      <c r="AH3307" t="s">
        <v>116</v>
      </c>
      <c r="AI3307" s="1">
        <v>99472</v>
      </c>
      <c r="AJ3307" s="2">
        <v>0.2</v>
      </c>
      <c r="AK3307" s="1">
        <v>499592</v>
      </c>
      <c r="AL3307" t="s">
        <v>117</v>
      </c>
      <c r="AM3307" t="s">
        <v>5791</v>
      </c>
      <c r="AN3307">
        <v>12145</v>
      </c>
      <c r="AO3307">
        <v>0.28000000000000003</v>
      </c>
      <c r="AP3307">
        <v>1</v>
      </c>
      <c r="AR3307">
        <v>1</v>
      </c>
      <c r="AS3307" s="1">
        <v>32900</v>
      </c>
      <c r="AT3307" s="1">
        <v>6580</v>
      </c>
      <c r="AU3307" s="1">
        <v>26320</v>
      </c>
      <c r="AV3307">
        <v>80</v>
      </c>
      <c r="AX3307" s="1">
        <v>3170.56</v>
      </c>
      <c r="AY3307" t="s">
        <v>5792</v>
      </c>
      <c r="AZ3307" t="s">
        <v>5792</v>
      </c>
      <c r="BA3307" t="s">
        <v>290</v>
      </c>
      <c r="BE3307" s="3">
        <v>41950</v>
      </c>
      <c r="BF3307" s="1">
        <v>385000</v>
      </c>
      <c r="BG3307" t="s">
        <v>21451</v>
      </c>
      <c r="BH3307" s="1">
        <v>103.91</v>
      </c>
      <c r="BI3307" s="1">
        <v>400120</v>
      </c>
      <c r="BJ3307" s="3">
        <v>42072</v>
      </c>
      <c r="BK3307" t="s">
        <v>123</v>
      </c>
      <c r="BL3307" t="str">
        <f>"2015.156506"</f>
        <v>2015.156506</v>
      </c>
      <c r="BM3307" t="s">
        <v>255</v>
      </c>
      <c r="BN3307" t="s">
        <v>2398</v>
      </c>
      <c r="BO3307" t="s">
        <v>21452</v>
      </c>
      <c r="BS3307">
        <v>30</v>
      </c>
      <c r="BT3307" s="1">
        <v>400120</v>
      </c>
      <c r="BU3307" s="3">
        <v>42072</v>
      </c>
      <c r="BV3307" t="s">
        <v>123</v>
      </c>
      <c r="BW3307" t="str">
        <f>"2015.156506"</f>
        <v>2015.156506</v>
      </c>
      <c r="BX3307" t="s">
        <v>255</v>
      </c>
      <c r="BZ3307" t="s">
        <v>21452</v>
      </c>
      <c r="CD3307">
        <v>30</v>
      </c>
      <c r="CH3307" t="str">
        <f>""</f>
        <v/>
      </c>
      <c r="CS3307" t="str">
        <f>""</f>
        <v/>
      </c>
    </row>
    <row r="3308" spans="1:97" x14ac:dyDescent="0.25">
      <c r="A3308" t="s">
        <v>257</v>
      </c>
      <c r="B3308" t="s">
        <v>21453</v>
      </c>
      <c r="E3308" t="s">
        <v>21454</v>
      </c>
      <c r="F3308" t="s">
        <v>108</v>
      </c>
      <c r="H3308" t="s">
        <v>21455</v>
      </c>
      <c r="I3308" t="s">
        <v>188</v>
      </c>
      <c r="J3308" t="s">
        <v>111</v>
      </c>
      <c r="K3308" t="str">
        <f>"85142"</f>
        <v>85142</v>
      </c>
      <c r="L3308" t="s">
        <v>11339</v>
      </c>
      <c r="M3308" t="s">
        <v>21455</v>
      </c>
      <c r="N3308" t="s">
        <v>188</v>
      </c>
      <c r="O3308" t="s">
        <v>111</v>
      </c>
      <c r="P3308" t="str">
        <f>"85142-5495"</f>
        <v>85142-5495</v>
      </c>
      <c r="Q3308" t="s">
        <v>113</v>
      </c>
      <c r="R3308" t="str">
        <f>"304-62-593"</f>
        <v>304-62-593</v>
      </c>
      <c r="S3308" t="s">
        <v>15775</v>
      </c>
      <c r="T3308" t="s">
        <v>15775</v>
      </c>
      <c r="U3308">
        <v>2921</v>
      </c>
      <c r="V3308">
        <v>0</v>
      </c>
      <c r="W3308">
        <v>5</v>
      </c>
      <c r="X3308">
        <v>2014</v>
      </c>
      <c r="Z3308">
        <v>1</v>
      </c>
      <c r="AA3308" t="s">
        <v>26</v>
      </c>
      <c r="AB3308">
        <v>0</v>
      </c>
      <c r="AC3308" t="s">
        <v>115</v>
      </c>
      <c r="AD3308">
        <v>3</v>
      </c>
      <c r="AE3308" t="s">
        <v>115</v>
      </c>
      <c r="AF3308">
        <v>0</v>
      </c>
      <c r="AG3308">
        <v>0</v>
      </c>
      <c r="AH3308" t="s">
        <v>116</v>
      </c>
      <c r="AI3308" s="1">
        <v>100149</v>
      </c>
      <c r="AJ3308" s="2">
        <v>0.21</v>
      </c>
      <c r="AK3308" s="1">
        <v>467999</v>
      </c>
      <c r="AL3308" t="s">
        <v>117</v>
      </c>
      <c r="AM3308" t="s">
        <v>171</v>
      </c>
      <c r="AN3308">
        <v>9600</v>
      </c>
      <c r="AO3308">
        <v>0.22</v>
      </c>
      <c r="AR3308">
        <v>1</v>
      </c>
      <c r="AS3308" s="1">
        <v>34220</v>
      </c>
      <c r="AT3308" s="1">
        <v>6840</v>
      </c>
      <c r="AU3308" s="1">
        <v>27380</v>
      </c>
      <c r="AV3308">
        <v>80.010000000000005</v>
      </c>
      <c r="AX3308" s="1">
        <v>3155.58</v>
      </c>
      <c r="AY3308" t="s">
        <v>560</v>
      </c>
      <c r="AZ3308" t="s">
        <v>561</v>
      </c>
      <c r="BA3308" t="s">
        <v>194</v>
      </c>
      <c r="BE3308" s="3">
        <v>42367</v>
      </c>
      <c r="BF3308" s="1">
        <v>413000</v>
      </c>
      <c r="BG3308" t="s">
        <v>15776</v>
      </c>
      <c r="BH3308" s="1">
        <v>141.38999999999999</v>
      </c>
      <c r="BI3308" s="1">
        <v>367850</v>
      </c>
      <c r="BJ3308" s="3">
        <v>42367</v>
      </c>
      <c r="BK3308" t="s">
        <v>123</v>
      </c>
      <c r="BL3308" t="str">
        <f>"2015.914657"</f>
        <v>2015.914657</v>
      </c>
      <c r="BM3308" t="s">
        <v>11704</v>
      </c>
      <c r="BO3308" t="s">
        <v>21456</v>
      </c>
      <c r="BS3308">
        <v>30</v>
      </c>
      <c r="BW3308" t="str">
        <f>""</f>
        <v/>
      </c>
      <c r="CH3308" t="str">
        <f>""</f>
        <v/>
      </c>
      <c r="CS3308" t="str">
        <f>""</f>
        <v/>
      </c>
    </row>
    <row r="3309" spans="1:97" x14ac:dyDescent="0.25">
      <c r="B3309" t="s">
        <v>21457</v>
      </c>
      <c r="E3309" t="s">
        <v>21458</v>
      </c>
      <c r="F3309" t="s">
        <v>139</v>
      </c>
      <c r="H3309" t="s">
        <v>21459</v>
      </c>
      <c r="I3309" t="s">
        <v>1788</v>
      </c>
      <c r="J3309" t="s">
        <v>111</v>
      </c>
      <c r="K3309" t="str">
        <f>"85355"</f>
        <v>85355</v>
      </c>
      <c r="L3309" t="s">
        <v>734</v>
      </c>
      <c r="M3309" t="s">
        <v>21459</v>
      </c>
      <c r="N3309" t="s">
        <v>1788</v>
      </c>
      <c r="O3309" t="s">
        <v>111</v>
      </c>
      <c r="P3309" t="str">
        <f>"85355-7819"</f>
        <v>85355-7819</v>
      </c>
      <c r="Q3309" t="s">
        <v>113</v>
      </c>
      <c r="R3309" t="str">
        <f>"502-10-138"</f>
        <v>502-10-138</v>
      </c>
      <c r="S3309" t="s">
        <v>5970</v>
      </c>
      <c r="T3309" t="s">
        <v>5971</v>
      </c>
      <c r="U3309">
        <v>2594</v>
      </c>
      <c r="V3309">
        <v>0</v>
      </c>
      <c r="W3309">
        <v>4</v>
      </c>
      <c r="X3309">
        <v>2008</v>
      </c>
      <c r="Z3309">
        <v>1</v>
      </c>
      <c r="AA3309" t="s">
        <v>26</v>
      </c>
      <c r="AB3309">
        <v>0</v>
      </c>
      <c r="AC3309" t="s">
        <v>115</v>
      </c>
      <c r="AD3309">
        <v>3</v>
      </c>
      <c r="AE3309" t="s">
        <v>115</v>
      </c>
      <c r="AF3309">
        <v>0</v>
      </c>
      <c r="AG3309">
        <v>0</v>
      </c>
      <c r="AH3309" t="s">
        <v>116</v>
      </c>
      <c r="AI3309" s="1">
        <v>63655</v>
      </c>
      <c r="AJ3309" s="2">
        <v>0.17</v>
      </c>
      <c r="AK3309" s="1">
        <v>379582</v>
      </c>
      <c r="AL3309" t="s">
        <v>117</v>
      </c>
      <c r="AM3309" t="s">
        <v>171</v>
      </c>
      <c r="AN3309">
        <v>11200</v>
      </c>
      <c r="AO3309">
        <v>0.26</v>
      </c>
      <c r="AR3309">
        <v>1</v>
      </c>
      <c r="AS3309" s="1">
        <v>28280</v>
      </c>
      <c r="AT3309" s="1">
        <v>5650</v>
      </c>
      <c r="AU3309" s="1">
        <v>22630</v>
      </c>
      <c r="AV3309">
        <v>80.02</v>
      </c>
      <c r="AX3309" s="1">
        <v>2316.64</v>
      </c>
      <c r="AY3309" t="s">
        <v>5972</v>
      </c>
      <c r="AZ3309" t="s">
        <v>5972</v>
      </c>
      <c r="BA3309" t="s">
        <v>5061</v>
      </c>
      <c r="BB3309" s="3">
        <v>43108</v>
      </c>
      <c r="BC3309" s="1">
        <v>0</v>
      </c>
      <c r="BD3309" t="s">
        <v>247</v>
      </c>
      <c r="BE3309" s="3">
        <v>42222</v>
      </c>
      <c r="BF3309" s="1">
        <v>309500</v>
      </c>
      <c r="BG3309" t="s">
        <v>21460</v>
      </c>
      <c r="BH3309" s="1">
        <v>119.31</v>
      </c>
      <c r="BI3309" s="1">
        <v>315927</v>
      </c>
      <c r="BJ3309" s="3">
        <v>42454</v>
      </c>
      <c r="BK3309" t="s">
        <v>123</v>
      </c>
      <c r="BL3309" t="str">
        <f>"2016.193267"</f>
        <v>2016.193267</v>
      </c>
      <c r="BM3309" t="s">
        <v>820</v>
      </c>
      <c r="BN3309" t="s">
        <v>2188</v>
      </c>
      <c r="BO3309" t="s">
        <v>21461</v>
      </c>
      <c r="BS3309">
        <v>30</v>
      </c>
      <c r="BW3309" t="str">
        <f>""</f>
        <v/>
      </c>
      <c r="CH3309" t="str">
        <f>""</f>
        <v/>
      </c>
      <c r="CS3309" t="str">
        <f>""</f>
        <v/>
      </c>
    </row>
    <row r="3310" spans="1:97" x14ac:dyDescent="0.25">
      <c r="A3310" t="s">
        <v>943</v>
      </c>
      <c r="B3310" t="s">
        <v>11417</v>
      </c>
      <c r="E3310" t="s">
        <v>21462</v>
      </c>
      <c r="F3310" t="s">
        <v>108</v>
      </c>
      <c r="H3310" t="s">
        <v>21463</v>
      </c>
      <c r="I3310" t="s">
        <v>203</v>
      </c>
      <c r="J3310" t="s">
        <v>111</v>
      </c>
      <c r="K3310" t="str">
        <f>"85295"</f>
        <v>85295</v>
      </c>
      <c r="L3310" t="s">
        <v>8747</v>
      </c>
      <c r="M3310" t="s">
        <v>21463</v>
      </c>
      <c r="N3310" t="s">
        <v>203</v>
      </c>
      <c r="O3310" t="s">
        <v>111</v>
      </c>
      <c r="P3310" t="str">
        <f>"85295-4831"</f>
        <v>85295-4831</v>
      </c>
      <c r="Q3310" t="s">
        <v>113</v>
      </c>
      <c r="R3310" t="str">
        <f>"304-42-096"</f>
        <v>304-42-096</v>
      </c>
      <c r="S3310" t="s">
        <v>21464</v>
      </c>
      <c r="T3310" t="s">
        <v>21465</v>
      </c>
      <c r="U3310">
        <v>3232</v>
      </c>
      <c r="V3310">
        <v>0</v>
      </c>
      <c r="W3310">
        <v>4</v>
      </c>
      <c r="X3310">
        <v>1997</v>
      </c>
      <c r="Z3310">
        <v>2</v>
      </c>
      <c r="AA3310" t="s">
        <v>26</v>
      </c>
      <c r="AB3310">
        <v>0</v>
      </c>
      <c r="AC3310" t="s">
        <v>115</v>
      </c>
      <c r="AD3310">
        <v>3</v>
      </c>
      <c r="AE3310" t="s">
        <v>115</v>
      </c>
      <c r="AF3310">
        <v>0</v>
      </c>
      <c r="AG3310">
        <v>0</v>
      </c>
      <c r="AH3310" t="s">
        <v>116</v>
      </c>
      <c r="AI3310" s="1">
        <v>99563</v>
      </c>
      <c r="AJ3310" s="2">
        <v>0.23</v>
      </c>
      <c r="AK3310" s="1">
        <v>434372</v>
      </c>
      <c r="AL3310" t="s">
        <v>117</v>
      </c>
      <c r="AM3310" t="s">
        <v>393</v>
      </c>
      <c r="AN3310">
        <v>8581</v>
      </c>
      <c r="AO3310">
        <v>0.2</v>
      </c>
      <c r="AP3310">
        <v>1</v>
      </c>
      <c r="AR3310">
        <v>1</v>
      </c>
      <c r="AS3310" s="1">
        <v>32450</v>
      </c>
      <c r="AT3310" s="1">
        <v>6490</v>
      </c>
      <c r="AU3310" s="1">
        <v>25960</v>
      </c>
      <c r="AV3310">
        <v>80</v>
      </c>
      <c r="AX3310" s="1">
        <v>2472.66</v>
      </c>
      <c r="AY3310" t="s">
        <v>9212</v>
      </c>
      <c r="AZ3310" t="s">
        <v>207</v>
      </c>
      <c r="BA3310" t="s">
        <v>208</v>
      </c>
      <c r="BE3310" s="3">
        <v>42531</v>
      </c>
      <c r="BF3310" s="1">
        <v>334114</v>
      </c>
      <c r="BG3310" t="s">
        <v>21466</v>
      </c>
      <c r="BH3310" s="1">
        <v>103.38</v>
      </c>
      <c r="BI3310" s="1">
        <v>334809</v>
      </c>
      <c r="BJ3310" s="3">
        <v>42531</v>
      </c>
      <c r="BK3310" t="s">
        <v>123</v>
      </c>
      <c r="BL3310" t="str">
        <f>"2016.405626"</f>
        <v>2016.405626</v>
      </c>
      <c r="BM3310" t="s">
        <v>5348</v>
      </c>
      <c r="BO3310" t="s">
        <v>21467</v>
      </c>
      <c r="BS3310">
        <v>30</v>
      </c>
      <c r="BW3310" t="str">
        <f>""</f>
        <v/>
      </c>
      <c r="CH3310" t="str">
        <f>""</f>
        <v/>
      </c>
      <c r="CS3310" t="str">
        <f>""</f>
        <v/>
      </c>
    </row>
    <row r="3311" spans="1:97" x14ac:dyDescent="0.25">
      <c r="A3311" t="s">
        <v>1514</v>
      </c>
      <c r="B3311" t="s">
        <v>5013</v>
      </c>
      <c r="E3311" t="s">
        <v>21468</v>
      </c>
      <c r="F3311" t="s">
        <v>108</v>
      </c>
      <c r="H3311" t="s">
        <v>21469</v>
      </c>
      <c r="I3311" t="s">
        <v>1397</v>
      </c>
      <c r="J3311" t="s">
        <v>111</v>
      </c>
      <c r="K3311" t="str">
        <f>"85331"</f>
        <v>85331</v>
      </c>
      <c r="L3311" t="s">
        <v>7816</v>
      </c>
      <c r="M3311" t="s">
        <v>21469</v>
      </c>
      <c r="N3311" t="s">
        <v>1397</v>
      </c>
      <c r="O3311" t="s">
        <v>111</v>
      </c>
      <c r="P3311" t="str">
        <f>"85331-5553"</f>
        <v>85331-5553</v>
      </c>
      <c r="Q3311" t="s">
        <v>113</v>
      </c>
      <c r="R3311" t="str">
        <f>"211-37-287"</f>
        <v>211-37-287</v>
      </c>
      <c r="S3311" t="s">
        <v>7817</v>
      </c>
      <c r="T3311" t="s">
        <v>7818</v>
      </c>
      <c r="U3311">
        <v>3209</v>
      </c>
      <c r="V3311">
        <v>0</v>
      </c>
      <c r="W3311">
        <v>5</v>
      </c>
      <c r="X3311">
        <v>1999</v>
      </c>
      <c r="Z3311">
        <v>2</v>
      </c>
      <c r="AA3311" t="s">
        <v>26</v>
      </c>
      <c r="AB3311">
        <v>0</v>
      </c>
      <c r="AC3311" t="s">
        <v>115</v>
      </c>
      <c r="AD3311">
        <v>3</v>
      </c>
      <c r="AE3311" t="s">
        <v>115</v>
      </c>
      <c r="AF3311">
        <v>0</v>
      </c>
      <c r="AG3311">
        <v>0</v>
      </c>
      <c r="AH3311" t="s">
        <v>116</v>
      </c>
      <c r="AI3311" s="1">
        <v>96941</v>
      </c>
      <c r="AJ3311" s="2">
        <v>0.19</v>
      </c>
      <c r="AK3311" s="1">
        <v>519941</v>
      </c>
      <c r="AL3311" t="s">
        <v>117</v>
      </c>
      <c r="AM3311" t="s">
        <v>616</v>
      </c>
      <c r="AN3311">
        <v>8418</v>
      </c>
      <c r="AO3311">
        <v>0.19</v>
      </c>
      <c r="AP3311">
        <v>1</v>
      </c>
      <c r="AR3311">
        <v>1</v>
      </c>
      <c r="AS3311" s="1">
        <v>36110</v>
      </c>
      <c r="AT3311" s="1">
        <v>7220</v>
      </c>
      <c r="AU3311" s="1">
        <v>28890</v>
      </c>
      <c r="AV3311">
        <v>80.010000000000005</v>
      </c>
      <c r="AX3311" s="1">
        <v>2609.6</v>
      </c>
      <c r="AY3311" t="s">
        <v>1401</v>
      </c>
      <c r="AZ3311" t="s">
        <v>1402</v>
      </c>
      <c r="BA3311" t="s">
        <v>1403</v>
      </c>
      <c r="BE3311" s="3">
        <v>42261</v>
      </c>
      <c r="BF3311" s="1">
        <v>425000</v>
      </c>
      <c r="BG3311" t="s">
        <v>21470</v>
      </c>
      <c r="BH3311" s="1">
        <v>132.44</v>
      </c>
      <c r="BI3311" s="1">
        <v>423000</v>
      </c>
      <c r="BJ3311" s="3">
        <v>42261</v>
      </c>
      <c r="BK3311" t="s">
        <v>123</v>
      </c>
      <c r="BL3311" t="str">
        <f>"2015.660677"</f>
        <v>2015.660677</v>
      </c>
      <c r="BM3311" t="s">
        <v>2748</v>
      </c>
      <c r="BO3311" t="s">
        <v>21471</v>
      </c>
      <c r="BS3311">
        <v>30</v>
      </c>
      <c r="BW3311" t="str">
        <f>""</f>
        <v/>
      </c>
      <c r="CH3311" t="str">
        <f>""</f>
        <v/>
      </c>
      <c r="CS3311" t="str">
        <f>""</f>
        <v/>
      </c>
    </row>
    <row r="3312" spans="1:97" x14ac:dyDescent="0.25">
      <c r="A3312" t="s">
        <v>6619</v>
      </c>
      <c r="B3312" t="s">
        <v>21472</v>
      </c>
      <c r="C3312" t="s">
        <v>21473</v>
      </c>
      <c r="D3312" t="s">
        <v>21472</v>
      </c>
      <c r="E3312" t="s">
        <v>21474</v>
      </c>
      <c r="F3312" t="s">
        <v>108</v>
      </c>
      <c r="H3312" t="s">
        <v>21475</v>
      </c>
      <c r="I3312" t="s">
        <v>5114</v>
      </c>
      <c r="J3312" t="s">
        <v>111</v>
      </c>
      <c r="K3312" t="str">
        <f>"85392"</f>
        <v>85392</v>
      </c>
      <c r="L3312" t="s">
        <v>8199</v>
      </c>
      <c r="M3312" t="s">
        <v>21475</v>
      </c>
      <c r="N3312" t="s">
        <v>5114</v>
      </c>
      <c r="O3312" t="s">
        <v>111</v>
      </c>
      <c r="P3312" t="str">
        <f>"85392-3625"</f>
        <v>85392-3625</v>
      </c>
      <c r="Q3312" t="s">
        <v>113</v>
      </c>
      <c r="R3312" t="str">
        <f>"102-28-363"</f>
        <v>102-28-363</v>
      </c>
      <c r="S3312" t="s">
        <v>13466</v>
      </c>
      <c r="T3312" t="s">
        <v>13467</v>
      </c>
      <c r="U3312">
        <v>2279</v>
      </c>
      <c r="V3312">
        <v>0</v>
      </c>
      <c r="W3312">
        <v>3</v>
      </c>
      <c r="X3312">
        <v>1988</v>
      </c>
      <c r="Z3312">
        <v>1</v>
      </c>
      <c r="AA3312" t="s">
        <v>26</v>
      </c>
      <c r="AB3312">
        <v>0</v>
      </c>
      <c r="AC3312" t="s">
        <v>115</v>
      </c>
      <c r="AD3312">
        <v>2</v>
      </c>
      <c r="AE3312" t="s">
        <v>115</v>
      </c>
      <c r="AF3312">
        <v>0</v>
      </c>
      <c r="AG3312">
        <v>0</v>
      </c>
      <c r="AH3312" t="s">
        <v>116</v>
      </c>
      <c r="AI3312" s="1">
        <v>71918</v>
      </c>
      <c r="AJ3312" s="2">
        <v>0.23</v>
      </c>
      <c r="AK3312" s="1">
        <v>314673</v>
      </c>
      <c r="AL3312" t="s">
        <v>117</v>
      </c>
      <c r="AM3312" t="s">
        <v>118</v>
      </c>
      <c r="AN3312">
        <v>8677</v>
      </c>
      <c r="AO3312">
        <v>0.2</v>
      </c>
      <c r="AP3312">
        <v>1</v>
      </c>
      <c r="AR3312">
        <v>1</v>
      </c>
      <c r="AS3312" s="1">
        <v>22330</v>
      </c>
      <c r="AT3312" s="1">
        <v>4460</v>
      </c>
      <c r="AU3312" s="1">
        <v>17870</v>
      </c>
      <c r="AV3312">
        <v>80.03</v>
      </c>
      <c r="AX3312" s="1">
        <v>2322.14</v>
      </c>
      <c r="AY3312" t="s">
        <v>8084</v>
      </c>
      <c r="AZ3312" t="s">
        <v>8084</v>
      </c>
      <c r="BA3312" t="s">
        <v>5118</v>
      </c>
      <c r="BE3312" s="3">
        <v>41933</v>
      </c>
      <c r="BF3312" s="1">
        <v>237000</v>
      </c>
      <c r="BG3312" t="s">
        <v>21476</v>
      </c>
      <c r="BH3312" s="1">
        <v>103.99</v>
      </c>
      <c r="BI3312" s="1">
        <v>242755</v>
      </c>
      <c r="BJ3312" s="3">
        <v>41933</v>
      </c>
      <c r="BK3312" t="s">
        <v>123</v>
      </c>
      <c r="BL3312" t="str">
        <f>"2014.695433"</f>
        <v>2014.695433</v>
      </c>
      <c r="BM3312" t="s">
        <v>131</v>
      </c>
      <c r="BO3312" t="s">
        <v>21477</v>
      </c>
      <c r="BS3312">
        <v>30</v>
      </c>
      <c r="BW3312" t="str">
        <f>""</f>
        <v/>
      </c>
      <c r="CH3312" t="str">
        <f>""</f>
        <v/>
      </c>
      <c r="CS3312" t="str">
        <f>""</f>
        <v/>
      </c>
    </row>
    <row r="3313" spans="1:97" x14ac:dyDescent="0.25">
      <c r="A3313" t="s">
        <v>21478</v>
      </c>
      <c r="B3313" t="s">
        <v>21479</v>
      </c>
      <c r="C3313" t="s">
        <v>1289</v>
      </c>
      <c r="D3313" t="s">
        <v>21479</v>
      </c>
      <c r="E3313" t="s">
        <v>21480</v>
      </c>
      <c r="F3313" t="s">
        <v>108</v>
      </c>
      <c r="H3313" t="s">
        <v>21481</v>
      </c>
      <c r="I3313" t="s">
        <v>453</v>
      </c>
      <c r="J3313" t="s">
        <v>111</v>
      </c>
      <c r="K3313" t="str">
        <f>"85382"</f>
        <v>85382</v>
      </c>
      <c r="L3313" t="s">
        <v>3758</v>
      </c>
      <c r="M3313" t="s">
        <v>21481</v>
      </c>
      <c r="N3313" t="s">
        <v>453</v>
      </c>
      <c r="O3313" t="s">
        <v>111</v>
      </c>
      <c r="P3313" t="str">
        <f>"85382-3519"</f>
        <v>85382-3519</v>
      </c>
      <c r="Q3313" t="s">
        <v>113</v>
      </c>
      <c r="R3313" t="str">
        <f>"200-54-600"</f>
        <v>200-54-600</v>
      </c>
      <c r="S3313" t="s">
        <v>9951</v>
      </c>
      <c r="T3313" t="s">
        <v>9951</v>
      </c>
      <c r="U3313">
        <v>1819</v>
      </c>
      <c r="V3313">
        <v>0</v>
      </c>
      <c r="W3313">
        <v>3</v>
      </c>
      <c r="X3313">
        <v>1995</v>
      </c>
      <c r="Z3313">
        <v>1</v>
      </c>
      <c r="AA3313" t="s">
        <v>26</v>
      </c>
      <c r="AB3313">
        <v>0</v>
      </c>
      <c r="AC3313" t="s">
        <v>115</v>
      </c>
      <c r="AD3313">
        <v>2</v>
      </c>
      <c r="AE3313" t="s">
        <v>115</v>
      </c>
      <c r="AF3313">
        <v>0</v>
      </c>
      <c r="AG3313">
        <v>0</v>
      </c>
      <c r="AH3313" t="s">
        <v>116</v>
      </c>
      <c r="AI3313" s="1">
        <v>65804</v>
      </c>
      <c r="AJ3313" s="2">
        <v>0.22</v>
      </c>
      <c r="AK3313" s="1">
        <v>298964</v>
      </c>
      <c r="AL3313" t="s">
        <v>117</v>
      </c>
      <c r="AM3313" t="s">
        <v>191</v>
      </c>
      <c r="AN3313">
        <v>6600</v>
      </c>
      <c r="AO3313">
        <v>0.15</v>
      </c>
      <c r="AP3313">
        <v>1</v>
      </c>
      <c r="AR3313">
        <v>1</v>
      </c>
      <c r="AS3313" s="1">
        <v>21470</v>
      </c>
      <c r="AT3313" s="1">
        <v>4290</v>
      </c>
      <c r="AU3313" s="1">
        <v>17180</v>
      </c>
      <c r="AV3313">
        <v>80.02</v>
      </c>
      <c r="AX3313" s="1">
        <v>1722.66</v>
      </c>
      <c r="AY3313" t="s">
        <v>5573</v>
      </c>
      <c r="AZ3313" t="s">
        <v>5573</v>
      </c>
      <c r="BA3313" t="s">
        <v>1800</v>
      </c>
      <c r="BE3313" s="3">
        <v>41669</v>
      </c>
      <c r="BF3313" s="1">
        <v>224900</v>
      </c>
      <c r="BG3313" t="s">
        <v>21482</v>
      </c>
      <c r="BH3313" s="1">
        <v>123.64</v>
      </c>
      <c r="BI3313" s="1">
        <v>233160</v>
      </c>
      <c r="BJ3313" s="3">
        <v>41995</v>
      </c>
      <c r="BK3313" t="s">
        <v>123</v>
      </c>
      <c r="BL3313" t="str">
        <f>"2014.839401"</f>
        <v>2014.839401</v>
      </c>
      <c r="BM3313" t="s">
        <v>322</v>
      </c>
      <c r="BO3313" t="s">
        <v>21483</v>
      </c>
      <c r="BS3313">
        <v>30</v>
      </c>
      <c r="BW3313" t="str">
        <f>""</f>
        <v/>
      </c>
      <c r="CH3313" t="str">
        <f>""</f>
        <v/>
      </c>
      <c r="CS3313" t="str">
        <f>""</f>
        <v/>
      </c>
    </row>
    <row r="3314" spans="1:97" x14ac:dyDescent="0.25">
      <c r="A3314" t="s">
        <v>140</v>
      </c>
      <c r="B3314" t="s">
        <v>21484</v>
      </c>
      <c r="C3314" t="s">
        <v>6428</v>
      </c>
      <c r="D3314" t="s">
        <v>21484</v>
      </c>
      <c r="E3314" t="s">
        <v>21485</v>
      </c>
      <c r="F3314" t="s">
        <v>108</v>
      </c>
      <c r="H3314" t="s">
        <v>21486</v>
      </c>
      <c r="I3314" t="s">
        <v>203</v>
      </c>
      <c r="J3314" t="s">
        <v>111</v>
      </c>
      <c r="K3314" t="str">
        <f>"85234"</f>
        <v>85234</v>
      </c>
      <c r="L3314" t="s">
        <v>12877</v>
      </c>
      <c r="M3314" t="s">
        <v>21486</v>
      </c>
      <c r="N3314" t="s">
        <v>203</v>
      </c>
      <c r="O3314" t="s">
        <v>111</v>
      </c>
      <c r="P3314" t="str">
        <f>"85234-2147"</f>
        <v>85234-2147</v>
      </c>
      <c r="Q3314" t="s">
        <v>113</v>
      </c>
      <c r="R3314" t="str">
        <f>"304-07-911"</f>
        <v>304-07-911</v>
      </c>
      <c r="S3314" t="s">
        <v>21487</v>
      </c>
      <c r="T3314" t="s">
        <v>21487</v>
      </c>
      <c r="U3314">
        <v>1785</v>
      </c>
      <c r="V3314">
        <v>0</v>
      </c>
      <c r="W3314">
        <v>3</v>
      </c>
      <c r="X3314">
        <v>2000</v>
      </c>
      <c r="Z3314">
        <v>1</v>
      </c>
      <c r="AA3314" t="s">
        <v>26</v>
      </c>
      <c r="AB3314">
        <v>0</v>
      </c>
      <c r="AC3314" t="s">
        <v>115</v>
      </c>
      <c r="AD3314">
        <v>3</v>
      </c>
      <c r="AE3314" t="s">
        <v>115</v>
      </c>
      <c r="AF3314">
        <v>0</v>
      </c>
      <c r="AG3314">
        <v>0</v>
      </c>
      <c r="AH3314" t="s">
        <v>116</v>
      </c>
      <c r="AI3314" s="1">
        <v>39539</v>
      </c>
      <c r="AJ3314" s="2">
        <v>0.11</v>
      </c>
      <c r="AK3314" s="1">
        <v>348032</v>
      </c>
      <c r="AL3314" t="s">
        <v>117</v>
      </c>
      <c r="AM3314" t="s">
        <v>393</v>
      </c>
      <c r="AN3314">
        <v>7700</v>
      </c>
      <c r="AO3314">
        <v>0.18</v>
      </c>
      <c r="AP3314">
        <v>1</v>
      </c>
      <c r="AR3314">
        <v>1</v>
      </c>
      <c r="AS3314" s="1">
        <v>24530</v>
      </c>
      <c r="AT3314" s="1">
        <v>4900</v>
      </c>
      <c r="AU3314" s="1">
        <v>19630</v>
      </c>
      <c r="AV3314">
        <v>80.02</v>
      </c>
      <c r="AX3314" s="1">
        <v>1801.08</v>
      </c>
      <c r="AY3314" t="s">
        <v>10654</v>
      </c>
      <c r="AZ3314" t="s">
        <v>571</v>
      </c>
      <c r="BA3314" t="s">
        <v>521</v>
      </c>
      <c r="BE3314" s="3">
        <v>42552</v>
      </c>
      <c r="BF3314" s="1">
        <v>302000</v>
      </c>
      <c r="BG3314" t="s">
        <v>21488</v>
      </c>
      <c r="BH3314" s="1">
        <v>169.19</v>
      </c>
      <c r="BI3314" s="1">
        <v>308493</v>
      </c>
      <c r="BJ3314" s="3">
        <v>42552</v>
      </c>
      <c r="BK3314" t="s">
        <v>123</v>
      </c>
      <c r="BL3314" t="str">
        <f>"2016.467413"</f>
        <v>2016.467413</v>
      </c>
      <c r="BM3314" t="s">
        <v>1287</v>
      </c>
      <c r="BO3314" t="s">
        <v>21489</v>
      </c>
      <c r="BS3314">
        <v>30</v>
      </c>
      <c r="BW3314" t="str">
        <f>""</f>
        <v/>
      </c>
      <c r="CH3314" t="str">
        <f>""</f>
        <v/>
      </c>
      <c r="CS3314" t="str">
        <f>""</f>
        <v/>
      </c>
    </row>
    <row r="3315" spans="1:97" x14ac:dyDescent="0.25">
      <c r="A3315" t="s">
        <v>21490</v>
      </c>
      <c r="B3315" t="s">
        <v>21491</v>
      </c>
      <c r="C3315" t="s">
        <v>1857</v>
      </c>
      <c r="D3315" t="s">
        <v>21491</v>
      </c>
      <c r="E3315" t="s">
        <v>21492</v>
      </c>
      <c r="F3315" t="s">
        <v>108</v>
      </c>
      <c r="H3315" t="s">
        <v>21493</v>
      </c>
      <c r="I3315" t="s">
        <v>5863</v>
      </c>
      <c r="J3315" t="s">
        <v>111</v>
      </c>
      <c r="K3315" t="str">
        <f>"85375"</f>
        <v>85375</v>
      </c>
      <c r="L3315" t="s">
        <v>6682</v>
      </c>
      <c r="M3315" t="s">
        <v>21493</v>
      </c>
      <c r="N3315" t="s">
        <v>5863</v>
      </c>
      <c r="O3315" t="s">
        <v>111</v>
      </c>
      <c r="P3315" t="str">
        <f>"85375-2920"</f>
        <v>85375-2920</v>
      </c>
      <c r="Q3315" t="s">
        <v>113</v>
      </c>
      <c r="R3315" t="str">
        <f>"232-26-945"</f>
        <v>232-26-945</v>
      </c>
      <c r="S3315" t="s">
        <v>21494</v>
      </c>
      <c r="U3315">
        <v>1669</v>
      </c>
      <c r="V3315">
        <v>0</v>
      </c>
      <c r="W3315">
        <v>3</v>
      </c>
      <c r="X3315">
        <v>1995</v>
      </c>
      <c r="Z3315">
        <v>1</v>
      </c>
      <c r="AB3315">
        <v>0</v>
      </c>
      <c r="AC3315" t="s">
        <v>115</v>
      </c>
      <c r="AD3315">
        <v>2</v>
      </c>
      <c r="AE3315" t="s">
        <v>115</v>
      </c>
      <c r="AF3315">
        <v>0</v>
      </c>
      <c r="AG3315">
        <v>0</v>
      </c>
      <c r="AH3315" t="s">
        <v>116</v>
      </c>
      <c r="AI3315" s="1">
        <v>31712</v>
      </c>
      <c r="AJ3315" s="2">
        <v>0.11</v>
      </c>
      <c r="AK3315" s="1">
        <v>279512</v>
      </c>
      <c r="AL3315" t="s">
        <v>117</v>
      </c>
      <c r="AM3315" t="s">
        <v>191</v>
      </c>
      <c r="AN3315">
        <v>8183</v>
      </c>
      <c r="AO3315">
        <v>0.19</v>
      </c>
      <c r="AP3315">
        <v>1</v>
      </c>
      <c r="AR3315">
        <v>1</v>
      </c>
      <c r="AS3315" s="1">
        <v>18470</v>
      </c>
      <c r="AT3315" s="1">
        <v>3690</v>
      </c>
      <c r="AU3315" s="1">
        <v>14780</v>
      </c>
      <c r="AV3315">
        <v>80.02</v>
      </c>
      <c r="AX3315" s="1">
        <v>2187.54</v>
      </c>
      <c r="AY3315" t="s">
        <v>5108</v>
      </c>
      <c r="AZ3315" t="s">
        <v>5108</v>
      </c>
      <c r="BA3315" t="s">
        <v>5109</v>
      </c>
      <c r="BE3315" s="3">
        <v>42132</v>
      </c>
      <c r="BF3315" s="1">
        <v>201000</v>
      </c>
      <c r="BG3315" t="s">
        <v>21495</v>
      </c>
      <c r="BH3315" s="1">
        <v>120.43</v>
      </c>
      <c r="BI3315" s="1">
        <v>247800</v>
      </c>
      <c r="BJ3315" s="3">
        <v>43563</v>
      </c>
      <c r="BK3315" t="s">
        <v>123</v>
      </c>
      <c r="BL3315" t="str">
        <f>"2019.244691"</f>
        <v>2019.244691</v>
      </c>
      <c r="BM3315" t="s">
        <v>673</v>
      </c>
      <c r="BN3315" t="s">
        <v>674</v>
      </c>
      <c r="BO3315" t="s">
        <v>21496</v>
      </c>
      <c r="BP3315" t="s">
        <v>21497</v>
      </c>
      <c r="BR3315" t="s">
        <v>139</v>
      </c>
      <c r="BW3315" t="str">
        <f>""</f>
        <v/>
      </c>
      <c r="CH3315" t="str">
        <f>""</f>
        <v/>
      </c>
      <c r="CS3315" t="str">
        <f>""</f>
        <v/>
      </c>
    </row>
    <row r="3316" spans="1:97" x14ac:dyDescent="0.25">
      <c r="A3316" t="s">
        <v>6821</v>
      </c>
      <c r="B3316" t="s">
        <v>21498</v>
      </c>
      <c r="C3316" t="s">
        <v>1011</v>
      </c>
      <c r="D3316" t="s">
        <v>21498</v>
      </c>
      <c r="E3316" t="s">
        <v>21499</v>
      </c>
      <c r="F3316" t="s">
        <v>108</v>
      </c>
      <c r="H3316" t="s">
        <v>21500</v>
      </c>
      <c r="I3316" t="s">
        <v>390</v>
      </c>
      <c r="J3316" t="s">
        <v>111</v>
      </c>
      <c r="K3316" t="str">
        <f>"85024"</f>
        <v>85024</v>
      </c>
      <c r="L3316" t="s">
        <v>6316</v>
      </c>
      <c r="M3316" t="s">
        <v>21500</v>
      </c>
      <c r="N3316" t="s">
        <v>390</v>
      </c>
      <c r="O3316" t="s">
        <v>111</v>
      </c>
      <c r="P3316" t="str">
        <f>"85024-8622"</f>
        <v>85024-8622</v>
      </c>
      <c r="Q3316" t="s">
        <v>113</v>
      </c>
      <c r="R3316" t="str">
        <f>"212-15-164"</f>
        <v>212-15-164</v>
      </c>
      <c r="S3316" t="s">
        <v>15594</v>
      </c>
      <c r="T3316" t="s">
        <v>15594</v>
      </c>
      <c r="U3316">
        <v>2558</v>
      </c>
      <c r="V3316">
        <v>0</v>
      </c>
      <c r="W3316">
        <v>4</v>
      </c>
      <c r="X3316">
        <v>1999</v>
      </c>
      <c r="Z3316">
        <v>2</v>
      </c>
      <c r="AA3316" t="s">
        <v>26</v>
      </c>
      <c r="AB3316">
        <v>0</v>
      </c>
      <c r="AC3316" t="s">
        <v>115</v>
      </c>
      <c r="AD3316">
        <v>3</v>
      </c>
      <c r="AE3316" t="s">
        <v>115</v>
      </c>
      <c r="AF3316">
        <v>0</v>
      </c>
      <c r="AG3316">
        <v>0</v>
      </c>
      <c r="AH3316" t="s">
        <v>116</v>
      </c>
      <c r="AI3316" s="1">
        <v>39399</v>
      </c>
      <c r="AJ3316" s="2">
        <v>0.09</v>
      </c>
      <c r="AK3316" s="1">
        <v>433528</v>
      </c>
      <c r="AL3316" t="s">
        <v>117</v>
      </c>
      <c r="AM3316" t="s">
        <v>191</v>
      </c>
      <c r="AN3316">
        <v>5468</v>
      </c>
      <c r="AO3316">
        <v>0.13</v>
      </c>
      <c r="AP3316">
        <v>1</v>
      </c>
      <c r="AR3316">
        <v>1</v>
      </c>
      <c r="AS3316" s="1">
        <v>32270</v>
      </c>
      <c r="AT3316" s="1">
        <v>6450</v>
      </c>
      <c r="AU3316" s="1">
        <v>25820</v>
      </c>
      <c r="AV3316">
        <v>80.010000000000005</v>
      </c>
      <c r="AX3316" s="1">
        <v>2859.4</v>
      </c>
      <c r="AY3316" t="s">
        <v>570</v>
      </c>
      <c r="AZ3316" t="s">
        <v>761</v>
      </c>
      <c r="BA3316" t="s">
        <v>762</v>
      </c>
      <c r="BE3316" s="3">
        <v>41969</v>
      </c>
      <c r="BF3316" s="1">
        <v>360000</v>
      </c>
      <c r="BG3316" t="s">
        <v>21501</v>
      </c>
      <c r="BH3316" s="1">
        <v>140.72999999999999</v>
      </c>
      <c r="BI3316" s="1">
        <v>394129</v>
      </c>
      <c r="BJ3316" s="3">
        <v>42940</v>
      </c>
      <c r="BK3316" t="s">
        <v>123</v>
      </c>
      <c r="BL3316" t="str">
        <f>"2017.536507"</f>
        <v>2017.536507</v>
      </c>
      <c r="BM3316" t="s">
        <v>340</v>
      </c>
      <c r="BO3316" t="s">
        <v>21502</v>
      </c>
      <c r="BS3316">
        <v>30</v>
      </c>
      <c r="BW3316" t="str">
        <f>""</f>
        <v/>
      </c>
      <c r="CH3316" t="str">
        <f>""</f>
        <v/>
      </c>
      <c r="CS3316" t="str">
        <f>""</f>
        <v/>
      </c>
    </row>
    <row r="3317" spans="1:97" x14ac:dyDescent="0.25">
      <c r="A3317" t="s">
        <v>305</v>
      </c>
      <c r="B3317" t="s">
        <v>21503</v>
      </c>
      <c r="C3317" t="s">
        <v>21504</v>
      </c>
      <c r="D3317" t="s">
        <v>21503</v>
      </c>
      <c r="E3317" t="s">
        <v>21505</v>
      </c>
      <c r="F3317" t="s">
        <v>282</v>
      </c>
      <c r="H3317" t="s">
        <v>21506</v>
      </c>
      <c r="I3317" t="s">
        <v>110</v>
      </c>
      <c r="J3317" t="s">
        <v>111</v>
      </c>
      <c r="K3317" t="str">
        <f>"85226"</f>
        <v>85226</v>
      </c>
      <c r="L3317" t="s">
        <v>5918</v>
      </c>
      <c r="M3317" t="s">
        <v>21507</v>
      </c>
      <c r="N3317" t="s">
        <v>225</v>
      </c>
      <c r="O3317" t="s">
        <v>111</v>
      </c>
      <c r="P3317" t="str">
        <f>"85207-7538"</f>
        <v>85207-7538</v>
      </c>
      <c r="Q3317" t="s">
        <v>113</v>
      </c>
      <c r="R3317" t="str">
        <f>"301-62-908"</f>
        <v>301-62-908</v>
      </c>
      <c r="S3317" t="s">
        <v>21508</v>
      </c>
      <c r="T3317" t="s">
        <v>21509</v>
      </c>
      <c r="U3317">
        <v>2090</v>
      </c>
      <c r="V3317">
        <v>0</v>
      </c>
      <c r="W3317">
        <v>3</v>
      </c>
      <c r="X3317">
        <v>1985</v>
      </c>
      <c r="Z3317">
        <v>1</v>
      </c>
      <c r="AB3317">
        <v>0</v>
      </c>
      <c r="AC3317" t="s">
        <v>115</v>
      </c>
      <c r="AD3317">
        <v>3</v>
      </c>
      <c r="AE3317" t="s">
        <v>115</v>
      </c>
      <c r="AF3317">
        <v>0</v>
      </c>
      <c r="AG3317">
        <v>0</v>
      </c>
      <c r="AH3317" t="s">
        <v>116</v>
      </c>
      <c r="AI3317" s="1">
        <v>91161</v>
      </c>
      <c r="AJ3317" s="2">
        <v>0.23</v>
      </c>
      <c r="AK3317" s="1">
        <v>392524</v>
      </c>
      <c r="AL3317" t="s">
        <v>117</v>
      </c>
      <c r="AM3317" t="s">
        <v>5077</v>
      </c>
      <c r="AN3317">
        <v>9013</v>
      </c>
      <c r="AO3317">
        <v>0.21</v>
      </c>
      <c r="AP3317">
        <v>1</v>
      </c>
      <c r="AR3317">
        <v>1</v>
      </c>
      <c r="AS3317" s="1">
        <v>28220</v>
      </c>
      <c r="AT3317" s="1">
        <v>5640</v>
      </c>
      <c r="AU3317" s="1">
        <v>22580</v>
      </c>
      <c r="AV3317">
        <v>80.010000000000005</v>
      </c>
      <c r="AX3317" s="1">
        <v>2390.84</v>
      </c>
      <c r="AY3317" t="s">
        <v>5921</v>
      </c>
      <c r="AZ3317" t="s">
        <v>5922</v>
      </c>
      <c r="BA3317" t="s">
        <v>5202</v>
      </c>
      <c r="BE3317" s="3">
        <v>41835</v>
      </c>
      <c r="BF3317" s="1">
        <v>310000</v>
      </c>
      <c r="BG3317" t="s">
        <v>21510</v>
      </c>
      <c r="BH3317" s="1">
        <v>148.33000000000001</v>
      </c>
      <c r="BI3317" s="1">
        <v>301363</v>
      </c>
      <c r="BJ3317" s="3">
        <v>43013</v>
      </c>
      <c r="BK3317" t="s">
        <v>123</v>
      </c>
      <c r="BL3317" t="str">
        <f>"2017.739476"</f>
        <v>2017.739476</v>
      </c>
      <c r="BM3317" t="s">
        <v>1992</v>
      </c>
      <c r="BO3317" t="s">
        <v>21511</v>
      </c>
      <c r="BS3317">
        <v>30</v>
      </c>
      <c r="BW3317" t="str">
        <f>""</f>
        <v/>
      </c>
      <c r="CH3317" t="str">
        <f>""</f>
        <v/>
      </c>
      <c r="CS3317" t="str">
        <f>""</f>
        <v/>
      </c>
    </row>
    <row r="3318" spans="1:97" x14ac:dyDescent="0.25">
      <c r="A3318" t="s">
        <v>1850</v>
      </c>
      <c r="B3318" t="s">
        <v>7465</v>
      </c>
      <c r="C3318" t="s">
        <v>21512</v>
      </c>
      <c r="D3318" t="s">
        <v>7465</v>
      </c>
      <c r="E3318" t="s">
        <v>21513</v>
      </c>
      <c r="F3318" t="s">
        <v>108</v>
      </c>
      <c r="H3318" t="s">
        <v>21514</v>
      </c>
      <c r="I3318" t="s">
        <v>2874</v>
      </c>
      <c r="J3318" t="s">
        <v>111</v>
      </c>
      <c r="K3318" t="str">
        <f>"85308"</f>
        <v>85308</v>
      </c>
      <c r="L3318" t="s">
        <v>6788</v>
      </c>
      <c r="M3318" t="s">
        <v>21514</v>
      </c>
      <c r="N3318" t="s">
        <v>2874</v>
      </c>
      <c r="O3318" t="s">
        <v>111</v>
      </c>
      <c r="P3318" t="str">
        <f>"85308-8204"</f>
        <v>85308-8204</v>
      </c>
      <c r="Q3318" t="s">
        <v>113</v>
      </c>
      <c r="R3318" t="str">
        <f>"231-04-107"</f>
        <v>231-04-107</v>
      </c>
      <c r="S3318" t="s">
        <v>21515</v>
      </c>
      <c r="T3318" t="s">
        <v>21516</v>
      </c>
      <c r="U3318">
        <v>2722</v>
      </c>
      <c r="V3318">
        <v>0</v>
      </c>
      <c r="W3318">
        <v>3</v>
      </c>
      <c r="X3318">
        <v>1984</v>
      </c>
      <c r="Z3318">
        <v>1</v>
      </c>
      <c r="AA3318" t="s">
        <v>26</v>
      </c>
      <c r="AB3318">
        <v>0</v>
      </c>
      <c r="AC3318" t="s">
        <v>115</v>
      </c>
      <c r="AD3318">
        <v>8</v>
      </c>
      <c r="AE3318" t="s">
        <v>115</v>
      </c>
      <c r="AF3318">
        <v>0</v>
      </c>
      <c r="AG3318">
        <v>0</v>
      </c>
      <c r="AH3318" t="s">
        <v>116</v>
      </c>
      <c r="AI3318" s="1">
        <v>78373</v>
      </c>
      <c r="AJ3318" s="2">
        <v>0.18</v>
      </c>
      <c r="AK3318" s="1">
        <v>434143</v>
      </c>
      <c r="AL3318" t="s">
        <v>117</v>
      </c>
      <c r="AM3318" t="s">
        <v>6005</v>
      </c>
      <c r="AN3318">
        <v>20305</v>
      </c>
      <c r="AO3318">
        <v>0.47</v>
      </c>
      <c r="AP3318">
        <v>1</v>
      </c>
      <c r="AR3318">
        <v>1</v>
      </c>
      <c r="AS3318" s="1">
        <v>40350</v>
      </c>
      <c r="AT3318" s="1">
        <v>8070</v>
      </c>
      <c r="AU3318" s="1">
        <v>32280</v>
      </c>
      <c r="AV3318">
        <v>80</v>
      </c>
      <c r="AX3318" s="1">
        <v>3443.84</v>
      </c>
      <c r="AY3318" t="s">
        <v>8400</v>
      </c>
      <c r="AZ3318" t="s">
        <v>8400</v>
      </c>
      <c r="BA3318" t="s">
        <v>2223</v>
      </c>
      <c r="BE3318" s="3">
        <v>42152</v>
      </c>
      <c r="BF3318" s="1">
        <v>350000</v>
      </c>
      <c r="BG3318" t="s">
        <v>21517</v>
      </c>
      <c r="BH3318" s="1">
        <v>128.58000000000001</v>
      </c>
      <c r="BI3318" s="1">
        <v>355770</v>
      </c>
      <c r="BJ3318" s="3">
        <v>42583</v>
      </c>
      <c r="BK3318" t="s">
        <v>123</v>
      </c>
      <c r="BL3318" t="str">
        <f>"2016.543700"</f>
        <v>2016.543700</v>
      </c>
      <c r="BM3318" t="s">
        <v>248</v>
      </c>
      <c r="BO3318" t="s">
        <v>21518</v>
      </c>
      <c r="BS3318">
        <v>30</v>
      </c>
      <c r="BW3318" t="str">
        <f>""</f>
        <v/>
      </c>
      <c r="CH3318" t="str">
        <f>""</f>
        <v/>
      </c>
      <c r="CS3318" t="str">
        <f>""</f>
        <v/>
      </c>
    </row>
    <row r="3319" spans="1:97" x14ac:dyDescent="0.25">
      <c r="A3319" t="s">
        <v>21519</v>
      </c>
      <c r="B3319" t="s">
        <v>11201</v>
      </c>
      <c r="E3319" t="s">
        <v>21520</v>
      </c>
      <c r="F3319" t="s">
        <v>139</v>
      </c>
      <c r="H3319" t="s">
        <v>21521</v>
      </c>
      <c r="I3319" t="s">
        <v>225</v>
      </c>
      <c r="J3319" t="s">
        <v>111</v>
      </c>
      <c r="K3319" t="str">
        <f>"85212"</f>
        <v>85212</v>
      </c>
      <c r="L3319" t="s">
        <v>6595</v>
      </c>
      <c r="M3319" t="s">
        <v>21522</v>
      </c>
      <c r="N3319" t="s">
        <v>225</v>
      </c>
      <c r="O3319" t="s">
        <v>111</v>
      </c>
      <c r="P3319" t="str">
        <f>"85208"</f>
        <v>85208</v>
      </c>
      <c r="Q3319" t="s">
        <v>113</v>
      </c>
      <c r="R3319" t="str">
        <f>"304-89-206"</f>
        <v>304-89-206</v>
      </c>
      <c r="S3319" t="s">
        <v>8842</v>
      </c>
      <c r="T3319" t="s">
        <v>8842</v>
      </c>
      <c r="U3319">
        <v>1846</v>
      </c>
      <c r="V3319">
        <v>0</v>
      </c>
      <c r="W3319">
        <v>3</v>
      </c>
      <c r="X3319">
        <v>2014</v>
      </c>
      <c r="Z3319">
        <v>1</v>
      </c>
      <c r="AB3319">
        <v>0</v>
      </c>
      <c r="AC3319" t="s">
        <v>115</v>
      </c>
      <c r="AD3319">
        <v>2</v>
      </c>
      <c r="AE3319" t="s">
        <v>115</v>
      </c>
      <c r="AF3319">
        <v>0</v>
      </c>
      <c r="AG3319">
        <v>0</v>
      </c>
      <c r="AH3319" t="s">
        <v>116</v>
      </c>
      <c r="AI3319" s="1">
        <v>-37151</v>
      </c>
      <c r="AJ3319" s="2">
        <v>-0.15</v>
      </c>
      <c r="AK3319" s="1">
        <v>252849</v>
      </c>
      <c r="AL3319" t="s">
        <v>117</v>
      </c>
      <c r="AM3319" t="s">
        <v>191</v>
      </c>
      <c r="AN3319">
        <v>8203</v>
      </c>
      <c r="AO3319">
        <v>0.19</v>
      </c>
      <c r="AR3319">
        <v>1</v>
      </c>
      <c r="AS3319" s="1">
        <v>23210</v>
      </c>
      <c r="AT3319" s="1">
        <v>4640</v>
      </c>
      <c r="AU3319" s="1">
        <v>18570</v>
      </c>
      <c r="AV3319">
        <v>80.010000000000005</v>
      </c>
      <c r="AX3319" s="1">
        <v>1895.54</v>
      </c>
      <c r="AY3319" t="s">
        <v>560</v>
      </c>
      <c r="AZ3319" t="s">
        <v>561</v>
      </c>
      <c r="BA3319" t="s">
        <v>194</v>
      </c>
      <c r="BE3319" s="3">
        <v>41962</v>
      </c>
      <c r="BF3319" s="1">
        <v>242000</v>
      </c>
      <c r="BG3319" t="s">
        <v>8843</v>
      </c>
      <c r="BH3319" s="1">
        <v>131.09</v>
      </c>
      <c r="BI3319" s="1">
        <v>290000</v>
      </c>
      <c r="BJ3319" s="3">
        <v>43482</v>
      </c>
      <c r="BK3319" t="s">
        <v>123</v>
      </c>
      <c r="BL3319" t="str">
        <f>"2019.34988"</f>
        <v>2019.34988</v>
      </c>
      <c r="BM3319" t="s">
        <v>2774</v>
      </c>
      <c r="BN3319" t="s">
        <v>2775</v>
      </c>
      <c r="BO3319" t="s">
        <v>21523</v>
      </c>
      <c r="BR3319" t="s">
        <v>139</v>
      </c>
      <c r="BW3319" t="str">
        <f>""</f>
        <v/>
      </c>
      <c r="CH3319" t="str">
        <f>""</f>
        <v/>
      </c>
      <c r="CS3319" t="str">
        <f>""</f>
        <v/>
      </c>
    </row>
    <row r="3320" spans="1:97" x14ac:dyDescent="0.25">
      <c r="A3320" t="s">
        <v>106</v>
      </c>
      <c r="B3320" t="s">
        <v>21524</v>
      </c>
      <c r="C3320" t="s">
        <v>908</v>
      </c>
      <c r="D3320" t="s">
        <v>21524</v>
      </c>
      <c r="E3320" t="s">
        <v>21525</v>
      </c>
      <c r="F3320" t="s">
        <v>108</v>
      </c>
      <c r="H3320" t="s">
        <v>21526</v>
      </c>
      <c r="I3320" t="s">
        <v>390</v>
      </c>
      <c r="J3320" t="s">
        <v>111</v>
      </c>
      <c r="K3320" t="str">
        <f>"85022"</f>
        <v>85022</v>
      </c>
      <c r="L3320" t="s">
        <v>7626</v>
      </c>
      <c r="M3320" t="s">
        <v>21526</v>
      </c>
      <c r="N3320" t="s">
        <v>390</v>
      </c>
      <c r="O3320" t="s">
        <v>111</v>
      </c>
      <c r="P3320" t="str">
        <f>"85022-4210"</f>
        <v>85022-4210</v>
      </c>
      <c r="Q3320" t="s">
        <v>113</v>
      </c>
      <c r="R3320" t="str">
        <f>"208-17-157"</f>
        <v>208-17-157</v>
      </c>
      <c r="S3320" t="s">
        <v>21527</v>
      </c>
      <c r="T3320" t="s">
        <v>21528</v>
      </c>
      <c r="U3320">
        <v>1635</v>
      </c>
      <c r="V3320">
        <v>0</v>
      </c>
      <c r="W3320">
        <v>2</v>
      </c>
      <c r="X3320">
        <v>1972</v>
      </c>
      <c r="Z3320">
        <v>1</v>
      </c>
      <c r="AA3320" t="s">
        <v>26</v>
      </c>
      <c r="AB3320">
        <v>0</v>
      </c>
      <c r="AC3320" t="s">
        <v>115</v>
      </c>
      <c r="AD3320">
        <v>2</v>
      </c>
      <c r="AE3320" t="s">
        <v>115</v>
      </c>
      <c r="AF3320">
        <v>0</v>
      </c>
      <c r="AG3320">
        <v>0</v>
      </c>
      <c r="AH3320" t="s">
        <v>116</v>
      </c>
      <c r="AI3320" s="1">
        <v>74494</v>
      </c>
      <c r="AJ3320" s="2">
        <v>0.2</v>
      </c>
      <c r="AK3320" s="1">
        <v>366994</v>
      </c>
      <c r="AL3320" t="s">
        <v>117</v>
      </c>
      <c r="AM3320" t="s">
        <v>1302</v>
      </c>
      <c r="AN3320">
        <v>11331</v>
      </c>
      <c r="AO3320">
        <v>0.26</v>
      </c>
      <c r="AP3320">
        <v>1</v>
      </c>
      <c r="AR3320">
        <v>1</v>
      </c>
      <c r="AS3320" s="1">
        <v>25160</v>
      </c>
      <c r="AT3320" s="1">
        <v>5030</v>
      </c>
      <c r="AU3320" s="1">
        <v>20130</v>
      </c>
      <c r="AV3320">
        <v>80.010000000000005</v>
      </c>
      <c r="AX3320" s="1">
        <v>2577.66</v>
      </c>
      <c r="AY3320" t="s">
        <v>9170</v>
      </c>
      <c r="AZ3320" t="s">
        <v>8648</v>
      </c>
      <c r="BA3320" t="s">
        <v>8649</v>
      </c>
      <c r="BE3320" s="3">
        <v>42509</v>
      </c>
      <c r="BF3320" s="1">
        <v>292500</v>
      </c>
      <c r="BG3320" t="s">
        <v>21529</v>
      </c>
      <c r="BH3320" s="1">
        <v>178.9</v>
      </c>
      <c r="BI3320" s="1">
        <v>292500</v>
      </c>
      <c r="BJ3320" s="3">
        <v>42509</v>
      </c>
      <c r="BK3320" t="s">
        <v>123</v>
      </c>
      <c r="BL3320" t="str">
        <f>"2016.344921"</f>
        <v>2016.344921</v>
      </c>
      <c r="BM3320" t="s">
        <v>544</v>
      </c>
      <c r="BO3320" t="s">
        <v>21530</v>
      </c>
      <c r="BS3320">
        <v>30</v>
      </c>
      <c r="BW3320" t="str">
        <f>""</f>
        <v/>
      </c>
      <c r="CH3320" t="str">
        <f>""</f>
        <v/>
      </c>
      <c r="CS3320" t="str">
        <f>""</f>
        <v/>
      </c>
    </row>
    <row r="3321" spans="1:97" x14ac:dyDescent="0.25">
      <c r="A3321" t="s">
        <v>222</v>
      </c>
      <c r="B3321" t="s">
        <v>21531</v>
      </c>
      <c r="C3321" t="s">
        <v>2319</v>
      </c>
      <c r="D3321" t="s">
        <v>21531</v>
      </c>
      <c r="E3321" t="s">
        <v>21532</v>
      </c>
      <c r="F3321" t="s">
        <v>108</v>
      </c>
      <c r="H3321" t="s">
        <v>21533</v>
      </c>
      <c r="I3321" t="s">
        <v>203</v>
      </c>
      <c r="J3321" t="s">
        <v>111</v>
      </c>
      <c r="K3321" t="str">
        <f>"85233"</f>
        <v>85233</v>
      </c>
      <c r="L3321" t="s">
        <v>4159</v>
      </c>
      <c r="M3321" t="s">
        <v>21533</v>
      </c>
      <c r="N3321" t="s">
        <v>203</v>
      </c>
      <c r="O3321" t="s">
        <v>111</v>
      </c>
      <c r="P3321" t="str">
        <f>"85233-6913"</f>
        <v>85233-6913</v>
      </c>
      <c r="Q3321" t="s">
        <v>113</v>
      </c>
      <c r="R3321" t="str">
        <f>"302-35-012"</f>
        <v>302-35-012</v>
      </c>
      <c r="S3321" t="s">
        <v>21534</v>
      </c>
      <c r="T3321" t="s">
        <v>5600</v>
      </c>
      <c r="U3321">
        <v>2598</v>
      </c>
      <c r="V3321">
        <v>0</v>
      </c>
      <c r="W3321">
        <v>4</v>
      </c>
      <c r="X3321">
        <v>1993</v>
      </c>
      <c r="Z3321">
        <v>2</v>
      </c>
      <c r="AA3321" t="s">
        <v>26</v>
      </c>
      <c r="AB3321">
        <v>0</v>
      </c>
      <c r="AC3321" t="s">
        <v>115</v>
      </c>
      <c r="AD3321">
        <v>3</v>
      </c>
      <c r="AE3321" t="s">
        <v>115</v>
      </c>
      <c r="AF3321">
        <v>0</v>
      </c>
      <c r="AG3321">
        <v>0</v>
      </c>
      <c r="AH3321" t="s">
        <v>116</v>
      </c>
      <c r="AI3321" s="1">
        <v>78887</v>
      </c>
      <c r="AJ3321" s="2">
        <v>0.19</v>
      </c>
      <c r="AK3321" s="1">
        <v>405850</v>
      </c>
      <c r="AL3321" t="s">
        <v>117</v>
      </c>
      <c r="AM3321" t="s">
        <v>191</v>
      </c>
      <c r="AN3321">
        <v>9466</v>
      </c>
      <c r="AO3321">
        <v>0.22</v>
      </c>
      <c r="AP3321">
        <v>1</v>
      </c>
      <c r="AR3321">
        <v>1</v>
      </c>
      <c r="AS3321" s="1">
        <v>29000</v>
      </c>
      <c r="AT3321" s="1">
        <v>5800</v>
      </c>
      <c r="AU3321" s="1">
        <v>23200</v>
      </c>
      <c r="AV3321">
        <v>80</v>
      </c>
      <c r="AX3321" s="1">
        <v>2041.44</v>
      </c>
      <c r="AY3321" t="s">
        <v>5601</v>
      </c>
      <c r="AZ3321" t="s">
        <v>5478</v>
      </c>
      <c r="BA3321" t="s">
        <v>5479</v>
      </c>
      <c r="BE3321" s="3">
        <v>41716</v>
      </c>
      <c r="BF3321" s="1">
        <v>340000</v>
      </c>
      <c r="BG3321" t="s">
        <v>21535</v>
      </c>
      <c r="BH3321" s="1">
        <v>130.87</v>
      </c>
      <c r="BI3321" s="1">
        <v>326963</v>
      </c>
      <c r="BJ3321" s="3">
        <v>42629</v>
      </c>
      <c r="BK3321" t="s">
        <v>123</v>
      </c>
      <c r="BL3321" t="str">
        <f>"2016.672494"</f>
        <v>2016.672494</v>
      </c>
      <c r="BM3321" t="s">
        <v>475</v>
      </c>
      <c r="BO3321" t="s">
        <v>21536</v>
      </c>
      <c r="BS3321">
        <v>30</v>
      </c>
      <c r="BW3321" t="str">
        <f>""</f>
        <v/>
      </c>
      <c r="CH3321" t="str">
        <f>""</f>
        <v/>
      </c>
      <c r="CS3321" t="str">
        <f>""</f>
        <v/>
      </c>
    </row>
    <row r="3322" spans="1:97" x14ac:dyDescent="0.25">
      <c r="A3322" t="s">
        <v>10172</v>
      </c>
      <c r="B3322" t="s">
        <v>21537</v>
      </c>
      <c r="E3322" t="s">
        <v>21538</v>
      </c>
      <c r="F3322" t="s">
        <v>282</v>
      </c>
      <c r="H3322" t="s">
        <v>21539</v>
      </c>
      <c r="I3322" t="s">
        <v>1397</v>
      </c>
      <c r="J3322" t="s">
        <v>111</v>
      </c>
      <c r="K3322" t="str">
        <f>"85331"</f>
        <v>85331</v>
      </c>
      <c r="L3322" t="s">
        <v>10399</v>
      </c>
      <c r="M3322" t="s">
        <v>21540</v>
      </c>
      <c r="N3322" t="s">
        <v>1397</v>
      </c>
      <c r="O3322" t="s">
        <v>111</v>
      </c>
      <c r="P3322" t="str">
        <f>"85331-2395"</f>
        <v>85331-2395</v>
      </c>
      <c r="Q3322" t="s">
        <v>113</v>
      </c>
      <c r="R3322" t="str">
        <f>"211-63-308"</f>
        <v>211-63-308</v>
      </c>
      <c r="S3322" t="s">
        <v>17092</v>
      </c>
      <c r="U3322">
        <v>2737</v>
      </c>
      <c r="V3322">
        <v>0</v>
      </c>
      <c r="W3322">
        <v>4</v>
      </c>
      <c r="X3322">
        <v>1995</v>
      </c>
      <c r="Z3322">
        <v>1</v>
      </c>
      <c r="AA3322" t="s">
        <v>26</v>
      </c>
      <c r="AB3322">
        <v>0</v>
      </c>
      <c r="AC3322" t="s">
        <v>115</v>
      </c>
      <c r="AD3322">
        <v>3</v>
      </c>
      <c r="AE3322" t="s">
        <v>115</v>
      </c>
      <c r="AF3322">
        <v>0</v>
      </c>
      <c r="AG3322">
        <v>0</v>
      </c>
      <c r="AH3322" t="s">
        <v>116</v>
      </c>
      <c r="AI3322" s="1">
        <v>88079</v>
      </c>
      <c r="AJ3322" s="2">
        <v>0.16</v>
      </c>
      <c r="AK3322" s="1">
        <v>544754</v>
      </c>
      <c r="AL3322" t="s">
        <v>117</v>
      </c>
      <c r="AM3322" t="s">
        <v>1302</v>
      </c>
      <c r="AN3322">
        <v>11406</v>
      </c>
      <c r="AO3322">
        <v>0.26</v>
      </c>
      <c r="AP3322">
        <v>1</v>
      </c>
      <c r="AR3322">
        <v>1</v>
      </c>
      <c r="AS3322" s="1">
        <v>39430</v>
      </c>
      <c r="AT3322" s="1">
        <v>7880</v>
      </c>
      <c r="AU3322" s="1">
        <v>31550</v>
      </c>
      <c r="AV3322">
        <v>80.02</v>
      </c>
      <c r="AX3322" s="1">
        <v>2385.2600000000002</v>
      </c>
      <c r="AY3322" t="s">
        <v>1401</v>
      </c>
      <c r="AZ3322" t="s">
        <v>1402</v>
      </c>
      <c r="BA3322" t="s">
        <v>1403</v>
      </c>
      <c r="BE3322" s="3">
        <v>42367</v>
      </c>
      <c r="BF3322" s="1">
        <v>469900</v>
      </c>
      <c r="BG3322" t="s">
        <v>21541</v>
      </c>
      <c r="BH3322" s="1">
        <v>171.68</v>
      </c>
      <c r="BI3322" s="1">
        <v>456675</v>
      </c>
      <c r="BJ3322" s="3">
        <v>42367</v>
      </c>
      <c r="BK3322" t="s">
        <v>123</v>
      </c>
      <c r="BL3322" t="str">
        <f>"2015.914169"</f>
        <v>2015.914169</v>
      </c>
      <c r="BM3322" t="s">
        <v>175</v>
      </c>
      <c r="BO3322" t="s">
        <v>21542</v>
      </c>
      <c r="BS3322">
        <v>30</v>
      </c>
      <c r="BW3322" t="str">
        <f>""</f>
        <v/>
      </c>
      <c r="CH3322" t="str">
        <f>""</f>
        <v/>
      </c>
      <c r="CS3322" t="str">
        <f>""</f>
        <v/>
      </c>
    </row>
    <row r="3323" spans="1:97" x14ac:dyDescent="0.25">
      <c r="A3323" t="s">
        <v>1421</v>
      </c>
      <c r="B3323" t="s">
        <v>992</v>
      </c>
      <c r="E3323" t="s">
        <v>21543</v>
      </c>
      <c r="F3323" t="s">
        <v>108</v>
      </c>
      <c r="H3323" t="s">
        <v>21544</v>
      </c>
      <c r="I3323" t="s">
        <v>499</v>
      </c>
      <c r="J3323" t="s">
        <v>111</v>
      </c>
      <c r="K3323" t="str">
        <f>"85338"</f>
        <v>85338</v>
      </c>
      <c r="L3323" t="s">
        <v>6316</v>
      </c>
      <c r="M3323" t="s">
        <v>21544</v>
      </c>
      <c r="N3323" t="s">
        <v>499</v>
      </c>
      <c r="O3323" t="s">
        <v>111</v>
      </c>
      <c r="P3323" t="str">
        <f>"85338-2590"</f>
        <v>85338-2590</v>
      </c>
      <c r="Q3323" t="s">
        <v>113</v>
      </c>
      <c r="R3323" t="str">
        <f>"502-46-407"</f>
        <v>502-46-407</v>
      </c>
      <c r="S3323" t="s">
        <v>6317</v>
      </c>
      <c r="T3323" t="s">
        <v>6318</v>
      </c>
      <c r="U3323">
        <v>1950</v>
      </c>
      <c r="V3323">
        <v>0</v>
      </c>
      <c r="W3323">
        <v>3</v>
      </c>
      <c r="X3323">
        <v>2009</v>
      </c>
      <c r="Z3323">
        <v>1</v>
      </c>
      <c r="AA3323" t="s">
        <v>26</v>
      </c>
      <c r="AB3323">
        <v>0</v>
      </c>
      <c r="AC3323" t="s">
        <v>115</v>
      </c>
      <c r="AD3323">
        <v>2</v>
      </c>
      <c r="AE3323" t="s">
        <v>115</v>
      </c>
      <c r="AF3323">
        <v>0</v>
      </c>
      <c r="AG3323">
        <v>0</v>
      </c>
      <c r="AH3323" t="s">
        <v>116</v>
      </c>
      <c r="AI3323" s="1">
        <v>51736</v>
      </c>
      <c r="AJ3323" s="2">
        <v>0.18</v>
      </c>
      <c r="AK3323" s="1">
        <v>281573</v>
      </c>
      <c r="AL3323" t="s">
        <v>117</v>
      </c>
      <c r="AM3323" t="s">
        <v>118</v>
      </c>
      <c r="AN3323">
        <v>8298</v>
      </c>
      <c r="AO3323">
        <v>0.19</v>
      </c>
      <c r="AR3323">
        <v>1</v>
      </c>
      <c r="AS3323" s="1">
        <v>20980</v>
      </c>
      <c r="AT3323" s="1">
        <v>4190</v>
      </c>
      <c r="AU3323" s="1">
        <v>16790</v>
      </c>
      <c r="AV3323">
        <v>80.03</v>
      </c>
      <c r="AX3323" s="1">
        <v>1904.1</v>
      </c>
      <c r="AY3323" t="s">
        <v>6319</v>
      </c>
      <c r="AZ3323" t="s">
        <v>6319</v>
      </c>
      <c r="BA3323" t="s">
        <v>218</v>
      </c>
      <c r="BE3323" s="3">
        <v>42475</v>
      </c>
      <c r="BF3323" s="1">
        <v>225000</v>
      </c>
      <c r="BG3323" t="s">
        <v>20095</v>
      </c>
      <c r="BH3323" s="1">
        <v>115.38</v>
      </c>
      <c r="BI3323" s="1">
        <v>229837</v>
      </c>
      <c r="BJ3323" s="3">
        <v>42475</v>
      </c>
      <c r="BK3323" t="s">
        <v>123</v>
      </c>
      <c r="BL3323" t="str">
        <f>"2016.253597"</f>
        <v>2016.253597</v>
      </c>
      <c r="BM3323" t="s">
        <v>1287</v>
      </c>
      <c r="BO3323" t="s">
        <v>21545</v>
      </c>
      <c r="BS3323">
        <v>30</v>
      </c>
      <c r="BW3323" t="str">
        <f>""</f>
        <v/>
      </c>
      <c r="CH3323" t="str">
        <f>""</f>
        <v/>
      </c>
      <c r="CS3323" t="str">
        <f>""</f>
        <v/>
      </c>
    </row>
    <row r="3324" spans="1:97" x14ac:dyDescent="0.25">
      <c r="A3324" t="s">
        <v>1963</v>
      </c>
      <c r="B3324" t="s">
        <v>2499</v>
      </c>
      <c r="C3324" t="s">
        <v>21546</v>
      </c>
      <c r="D3324" t="s">
        <v>6227</v>
      </c>
      <c r="E3324" t="s">
        <v>21547</v>
      </c>
      <c r="F3324" t="s">
        <v>108</v>
      </c>
      <c r="H3324" t="s">
        <v>21548</v>
      </c>
      <c r="I3324" t="s">
        <v>390</v>
      </c>
      <c r="J3324" t="s">
        <v>111</v>
      </c>
      <c r="K3324" t="str">
        <f>"85086"</f>
        <v>85086</v>
      </c>
      <c r="L3324" t="s">
        <v>1597</v>
      </c>
      <c r="M3324" t="s">
        <v>21548</v>
      </c>
      <c r="N3324" t="s">
        <v>390</v>
      </c>
      <c r="O3324" t="s">
        <v>111</v>
      </c>
      <c r="P3324" t="str">
        <f>"85086-7109"</f>
        <v>85086-7109</v>
      </c>
      <c r="Q3324" t="s">
        <v>113</v>
      </c>
      <c r="R3324" t="str">
        <f>"211-73-031-E"</f>
        <v>211-73-031-E</v>
      </c>
      <c r="U3324">
        <v>3076</v>
      </c>
      <c r="V3324">
        <v>0</v>
      </c>
      <c r="W3324">
        <v>4</v>
      </c>
      <c r="X3324">
        <v>2000</v>
      </c>
      <c r="Z3324">
        <v>1</v>
      </c>
      <c r="AB3324">
        <v>0</v>
      </c>
      <c r="AC3324" t="s">
        <v>115</v>
      </c>
      <c r="AD3324">
        <v>3</v>
      </c>
      <c r="AE3324" t="s">
        <v>115</v>
      </c>
      <c r="AF3324">
        <v>0</v>
      </c>
      <c r="AG3324">
        <v>0</v>
      </c>
      <c r="AH3324" t="s">
        <v>116</v>
      </c>
      <c r="AI3324" s="1">
        <v>124283</v>
      </c>
      <c r="AJ3324" s="2">
        <v>0.24</v>
      </c>
      <c r="AK3324" s="1">
        <v>524283</v>
      </c>
      <c r="AL3324" t="s">
        <v>117</v>
      </c>
      <c r="AM3324" t="s">
        <v>376</v>
      </c>
      <c r="AN3324">
        <v>51245</v>
      </c>
      <c r="AO3324">
        <v>1.18</v>
      </c>
      <c r="AP3324">
        <v>1</v>
      </c>
      <c r="AR3324">
        <v>1</v>
      </c>
      <c r="AS3324" s="1">
        <v>39960</v>
      </c>
      <c r="AT3324" s="1">
        <v>7990</v>
      </c>
      <c r="AU3324" s="1">
        <v>31970</v>
      </c>
      <c r="AV3324">
        <v>80.010000000000005</v>
      </c>
      <c r="AX3324" s="1">
        <v>4193.66</v>
      </c>
      <c r="AY3324" t="s">
        <v>1587</v>
      </c>
      <c r="AZ3324" t="s">
        <v>1587</v>
      </c>
      <c r="BA3324" t="s">
        <v>378</v>
      </c>
      <c r="BE3324" s="3">
        <v>42311</v>
      </c>
      <c r="BF3324" s="1">
        <v>400000</v>
      </c>
      <c r="BG3324" t="s">
        <v>21549</v>
      </c>
      <c r="BH3324" s="1">
        <v>130.04</v>
      </c>
      <c r="BI3324" s="1">
        <v>400000</v>
      </c>
      <c r="BJ3324" s="3">
        <v>42311</v>
      </c>
      <c r="BK3324" t="s">
        <v>123</v>
      </c>
      <c r="BL3324" t="str">
        <f>"2015.791697"</f>
        <v>2015.791697</v>
      </c>
      <c r="BM3324" t="s">
        <v>10499</v>
      </c>
      <c r="BO3324" t="s">
        <v>21550</v>
      </c>
      <c r="BP3324" t="s">
        <v>21551</v>
      </c>
      <c r="BS3324">
        <v>30</v>
      </c>
      <c r="BW3324" t="str">
        <f>""</f>
        <v/>
      </c>
      <c r="CH3324" t="str">
        <f>""</f>
        <v/>
      </c>
      <c r="CS3324" t="str">
        <f>""</f>
        <v/>
      </c>
    </row>
    <row r="3325" spans="1:97" x14ac:dyDescent="0.25">
      <c r="A3325" t="s">
        <v>21552</v>
      </c>
      <c r="B3325" t="s">
        <v>6914</v>
      </c>
      <c r="C3325" t="s">
        <v>1496</v>
      </c>
      <c r="D3325" t="s">
        <v>10186</v>
      </c>
      <c r="E3325" t="s">
        <v>21553</v>
      </c>
      <c r="F3325" t="s">
        <v>108</v>
      </c>
      <c r="H3325" t="s">
        <v>21554</v>
      </c>
      <c r="I3325" t="s">
        <v>390</v>
      </c>
      <c r="J3325" t="s">
        <v>111</v>
      </c>
      <c r="K3325" t="str">
        <f>"85086"</f>
        <v>85086</v>
      </c>
      <c r="L3325" t="s">
        <v>1569</v>
      </c>
      <c r="M3325" t="s">
        <v>21554</v>
      </c>
      <c r="N3325" t="s">
        <v>390</v>
      </c>
      <c r="O3325" t="s">
        <v>111</v>
      </c>
      <c r="P3325" t="str">
        <f>"85086-2954"</f>
        <v>85086-2954</v>
      </c>
      <c r="Q3325" t="s">
        <v>113</v>
      </c>
      <c r="R3325" t="str">
        <f>"211-86-051"</f>
        <v>211-86-051</v>
      </c>
      <c r="S3325" t="s">
        <v>6513</v>
      </c>
      <c r="T3325" t="s">
        <v>6514</v>
      </c>
      <c r="U3325">
        <v>2978</v>
      </c>
      <c r="V3325">
        <v>0</v>
      </c>
      <c r="W3325">
        <v>5</v>
      </c>
      <c r="X3325">
        <v>2004</v>
      </c>
      <c r="Z3325">
        <v>1</v>
      </c>
      <c r="AB3325">
        <v>0</v>
      </c>
      <c r="AC3325" t="s">
        <v>115</v>
      </c>
      <c r="AD3325">
        <v>3</v>
      </c>
      <c r="AE3325" t="s">
        <v>115</v>
      </c>
      <c r="AF3325">
        <v>0</v>
      </c>
      <c r="AG3325">
        <v>0</v>
      </c>
      <c r="AH3325" t="s">
        <v>116</v>
      </c>
      <c r="AI3325" s="1">
        <v>100902</v>
      </c>
      <c r="AJ3325" s="2">
        <v>0.21</v>
      </c>
      <c r="AK3325" s="1">
        <v>483964</v>
      </c>
      <c r="AL3325" t="s">
        <v>117</v>
      </c>
      <c r="AM3325" t="s">
        <v>191</v>
      </c>
      <c r="AN3325">
        <v>14393</v>
      </c>
      <c r="AO3325">
        <v>0.33</v>
      </c>
      <c r="AP3325">
        <v>1</v>
      </c>
      <c r="AR3325">
        <v>1</v>
      </c>
      <c r="AS3325" s="1">
        <v>37760</v>
      </c>
      <c r="AT3325" s="1">
        <v>7550</v>
      </c>
      <c r="AU3325" s="1">
        <v>30210</v>
      </c>
      <c r="AV3325">
        <v>80.010000000000005</v>
      </c>
      <c r="AX3325" s="1">
        <v>4130.82</v>
      </c>
      <c r="AY3325" t="s">
        <v>6515</v>
      </c>
      <c r="AZ3325" t="s">
        <v>6515</v>
      </c>
      <c r="BA3325" t="s">
        <v>378</v>
      </c>
      <c r="BE3325" s="3">
        <v>42300</v>
      </c>
      <c r="BF3325" s="1">
        <v>375000</v>
      </c>
      <c r="BG3325" t="s">
        <v>21555</v>
      </c>
      <c r="BH3325" s="1">
        <v>125.92</v>
      </c>
      <c r="BI3325" s="1">
        <v>383062</v>
      </c>
      <c r="BJ3325" s="3">
        <v>42300</v>
      </c>
      <c r="BK3325" t="s">
        <v>123</v>
      </c>
      <c r="BL3325" t="str">
        <f>"2015.762450"</f>
        <v>2015.762450</v>
      </c>
      <c r="BM3325" t="s">
        <v>1998</v>
      </c>
      <c r="BO3325" t="s">
        <v>21556</v>
      </c>
      <c r="BP3325" t="s">
        <v>21557</v>
      </c>
      <c r="BS3325">
        <v>30</v>
      </c>
      <c r="BW3325" t="str">
        <f>""</f>
        <v/>
      </c>
      <c r="CH3325" t="str">
        <f>""</f>
        <v/>
      </c>
      <c r="CS3325" t="str">
        <f>""</f>
        <v/>
      </c>
    </row>
    <row r="3326" spans="1:97" x14ac:dyDescent="0.25">
      <c r="A3326" t="s">
        <v>1850</v>
      </c>
      <c r="B3326" t="s">
        <v>21558</v>
      </c>
      <c r="E3326" t="s">
        <v>21559</v>
      </c>
      <c r="F3326" t="s">
        <v>108</v>
      </c>
      <c r="H3326" t="s">
        <v>21560</v>
      </c>
      <c r="I3326" t="s">
        <v>1936</v>
      </c>
      <c r="J3326" t="s">
        <v>111</v>
      </c>
      <c r="K3326" t="str">
        <f>"85255"</f>
        <v>85255</v>
      </c>
      <c r="L3326" t="s">
        <v>4259</v>
      </c>
      <c r="M3326" t="s">
        <v>21560</v>
      </c>
      <c r="N3326" t="s">
        <v>1936</v>
      </c>
      <c r="O3326" t="s">
        <v>111</v>
      </c>
      <c r="P3326" t="str">
        <f>"85255-9220"</f>
        <v>85255-9220</v>
      </c>
      <c r="Q3326" t="s">
        <v>113</v>
      </c>
      <c r="R3326" t="str">
        <f>"217-11-335"</f>
        <v>217-11-335</v>
      </c>
      <c r="S3326" t="s">
        <v>21561</v>
      </c>
      <c r="T3326" t="s">
        <v>21562</v>
      </c>
      <c r="U3326">
        <v>4266</v>
      </c>
      <c r="V3326">
        <v>0</v>
      </c>
      <c r="W3326">
        <v>6</v>
      </c>
      <c r="X3326">
        <v>2007</v>
      </c>
      <c r="Z3326">
        <v>2</v>
      </c>
      <c r="AB3326">
        <v>0</v>
      </c>
      <c r="AC3326" t="s">
        <v>115</v>
      </c>
      <c r="AD3326">
        <v>5</v>
      </c>
      <c r="AE3326" t="s">
        <v>115</v>
      </c>
      <c r="AF3326">
        <v>0</v>
      </c>
      <c r="AG3326">
        <v>0</v>
      </c>
      <c r="AH3326" t="s">
        <v>116</v>
      </c>
      <c r="AI3326" s="1">
        <v>216227</v>
      </c>
      <c r="AJ3326" s="2">
        <v>0.18</v>
      </c>
      <c r="AK3326" s="1">
        <v>1208262</v>
      </c>
      <c r="AL3326" t="s">
        <v>117</v>
      </c>
      <c r="AM3326" t="s">
        <v>393</v>
      </c>
      <c r="AN3326">
        <v>14115</v>
      </c>
      <c r="AO3326">
        <v>0.32</v>
      </c>
      <c r="AP3326">
        <v>1</v>
      </c>
      <c r="AR3326">
        <v>1</v>
      </c>
      <c r="AS3326" s="1">
        <v>85810</v>
      </c>
      <c r="AT3326" s="1">
        <v>17160</v>
      </c>
      <c r="AU3326" s="1">
        <v>68650</v>
      </c>
      <c r="AV3326">
        <v>80</v>
      </c>
      <c r="AX3326" s="1">
        <v>6815.22</v>
      </c>
      <c r="AY3326" t="s">
        <v>7867</v>
      </c>
      <c r="AZ3326" t="s">
        <v>7867</v>
      </c>
      <c r="BA3326" t="s">
        <v>7868</v>
      </c>
      <c r="BE3326" s="3">
        <v>42184</v>
      </c>
      <c r="BF3326" s="1">
        <v>1170000</v>
      </c>
      <c r="BG3326" t="s">
        <v>21563</v>
      </c>
      <c r="BH3326" s="1">
        <v>274.26</v>
      </c>
      <c r="BI3326" s="1">
        <v>992035</v>
      </c>
      <c r="BJ3326" s="3">
        <v>42628</v>
      </c>
      <c r="BK3326" t="s">
        <v>123</v>
      </c>
      <c r="BL3326" t="str">
        <f>"2016.669260"</f>
        <v>2016.669260</v>
      </c>
      <c r="BM3326" t="s">
        <v>1791</v>
      </c>
      <c r="BO3326" t="s">
        <v>21564</v>
      </c>
      <c r="BS3326">
        <v>30</v>
      </c>
      <c r="BW3326" t="str">
        <f>""</f>
        <v/>
      </c>
      <c r="CH3326" t="str">
        <f>""</f>
        <v/>
      </c>
      <c r="CS3326" t="str">
        <f>""</f>
        <v/>
      </c>
    </row>
    <row r="3327" spans="1:97" x14ac:dyDescent="0.25">
      <c r="A3327" t="s">
        <v>21565</v>
      </c>
      <c r="B3327" t="s">
        <v>21566</v>
      </c>
      <c r="C3327" t="s">
        <v>21567</v>
      </c>
      <c r="D3327" t="s">
        <v>21566</v>
      </c>
      <c r="E3327" t="s">
        <v>21568</v>
      </c>
      <c r="F3327" t="s">
        <v>108</v>
      </c>
      <c r="H3327" t="s">
        <v>21569</v>
      </c>
      <c r="I3327" t="s">
        <v>390</v>
      </c>
      <c r="J3327" t="s">
        <v>111</v>
      </c>
      <c r="K3327" t="str">
        <f>"85086"</f>
        <v>85086</v>
      </c>
      <c r="L3327" t="s">
        <v>516</v>
      </c>
      <c r="M3327" t="s">
        <v>21569</v>
      </c>
      <c r="N3327" t="s">
        <v>390</v>
      </c>
      <c r="O3327" t="s">
        <v>111</v>
      </c>
      <c r="P3327" t="str">
        <f>"85086-6649"</f>
        <v>85086-6649</v>
      </c>
      <c r="Q3327" t="s">
        <v>113</v>
      </c>
      <c r="R3327" t="str">
        <f>"203-25-205"</f>
        <v>203-25-205</v>
      </c>
      <c r="S3327" t="s">
        <v>21570</v>
      </c>
      <c r="U3327">
        <v>2647</v>
      </c>
      <c r="V3327">
        <v>0</v>
      </c>
      <c r="W3327">
        <v>4</v>
      </c>
      <c r="X3327">
        <v>2003</v>
      </c>
      <c r="Z3327">
        <v>1</v>
      </c>
      <c r="AA3327" t="s">
        <v>26</v>
      </c>
      <c r="AB3327">
        <v>0</v>
      </c>
      <c r="AC3327" t="s">
        <v>115</v>
      </c>
      <c r="AD3327">
        <v>3</v>
      </c>
      <c r="AE3327" t="s">
        <v>115</v>
      </c>
      <c r="AF3327">
        <v>0</v>
      </c>
      <c r="AG3327">
        <v>0</v>
      </c>
      <c r="AH3327" t="s">
        <v>116</v>
      </c>
      <c r="AI3327" s="1">
        <v>75380</v>
      </c>
      <c r="AJ3327" s="2">
        <v>0.17</v>
      </c>
      <c r="AK3327" s="1">
        <v>447625</v>
      </c>
      <c r="AL3327" t="s">
        <v>117</v>
      </c>
      <c r="AM3327" t="s">
        <v>191</v>
      </c>
      <c r="AN3327">
        <v>10752</v>
      </c>
      <c r="AO3327">
        <v>0.25</v>
      </c>
      <c r="AP3327">
        <v>1</v>
      </c>
      <c r="AR3327">
        <v>1</v>
      </c>
      <c r="AS3327" s="1">
        <v>36130</v>
      </c>
      <c r="AT3327" s="1">
        <v>7220</v>
      </c>
      <c r="AU3327" s="1">
        <v>28910</v>
      </c>
      <c r="AV3327">
        <v>80.02</v>
      </c>
      <c r="AX3327" s="1">
        <v>4251.9399999999996</v>
      </c>
      <c r="AY3327" t="s">
        <v>8639</v>
      </c>
      <c r="AZ3327" t="s">
        <v>8639</v>
      </c>
      <c r="BA3327" t="s">
        <v>378</v>
      </c>
      <c r="BE3327" s="3">
        <v>41855</v>
      </c>
      <c r="BF3327" s="1">
        <v>347500</v>
      </c>
      <c r="BG3327" t="s">
        <v>21571</v>
      </c>
      <c r="BH3327" s="1">
        <v>131.28</v>
      </c>
      <c r="BI3327" s="1">
        <v>342245</v>
      </c>
      <c r="BJ3327" s="3">
        <v>42719</v>
      </c>
      <c r="BK3327" t="s">
        <v>123</v>
      </c>
      <c r="BL3327" t="str">
        <f>"2016.924333"</f>
        <v>2016.924333</v>
      </c>
      <c r="BM3327" t="s">
        <v>750</v>
      </c>
      <c r="BO3327" t="s">
        <v>21572</v>
      </c>
      <c r="BS3327">
        <v>30</v>
      </c>
      <c r="BT3327" s="1">
        <v>30000</v>
      </c>
      <c r="BU3327" s="3">
        <v>43017</v>
      </c>
      <c r="BW3327" t="str">
        <f>"2017.746158"</f>
        <v>2017.746158</v>
      </c>
      <c r="BX3327" t="s">
        <v>21573</v>
      </c>
      <c r="BZ3327" t="s">
        <v>21572</v>
      </c>
      <c r="CD3327">
        <v>15</v>
      </c>
      <c r="CH3327" t="str">
        <f>""</f>
        <v/>
      </c>
      <c r="CS3327" t="str">
        <f>""</f>
        <v/>
      </c>
    </row>
    <row r="3328" spans="1:97" x14ac:dyDescent="0.25">
      <c r="A3328" t="s">
        <v>589</v>
      </c>
      <c r="B3328" t="s">
        <v>12961</v>
      </c>
      <c r="C3328" t="s">
        <v>3137</v>
      </c>
      <c r="D3328" t="s">
        <v>12961</v>
      </c>
      <c r="E3328" t="s">
        <v>21574</v>
      </c>
      <c r="F3328" t="s">
        <v>108</v>
      </c>
      <c r="H3328" t="s">
        <v>21575</v>
      </c>
      <c r="I3328" t="s">
        <v>5387</v>
      </c>
      <c r="J3328" t="s">
        <v>111</v>
      </c>
      <c r="K3328" t="str">
        <f>"85284"</f>
        <v>85284</v>
      </c>
      <c r="L3328" t="s">
        <v>6631</v>
      </c>
      <c r="M3328" t="s">
        <v>21575</v>
      </c>
      <c r="N3328" t="s">
        <v>5387</v>
      </c>
      <c r="O3328" t="s">
        <v>111</v>
      </c>
      <c r="P3328" t="str">
        <f>"85284-3507"</f>
        <v>85284-3507</v>
      </c>
      <c r="Q3328" t="s">
        <v>113</v>
      </c>
      <c r="R3328" t="str">
        <f>"301-63-079"</f>
        <v>301-63-079</v>
      </c>
      <c r="S3328" t="s">
        <v>21576</v>
      </c>
      <c r="T3328" t="s">
        <v>21577</v>
      </c>
      <c r="U3328">
        <v>3574</v>
      </c>
      <c r="V3328">
        <v>0</v>
      </c>
      <c r="W3328">
        <v>5</v>
      </c>
      <c r="X3328">
        <v>1985</v>
      </c>
      <c r="Z3328">
        <v>1</v>
      </c>
      <c r="AA3328" t="s">
        <v>26</v>
      </c>
      <c r="AB3328">
        <v>0</v>
      </c>
      <c r="AC3328" t="s">
        <v>115</v>
      </c>
      <c r="AD3328">
        <v>3</v>
      </c>
      <c r="AE3328" t="s">
        <v>115</v>
      </c>
      <c r="AF3328">
        <v>0</v>
      </c>
      <c r="AG3328">
        <v>0</v>
      </c>
      <c r="AH3328" t="s">
        <v>116</v>
      </c>
      <c r="AI3328" s="1">
        <v>103176</v>
      </c>
      <c r="AJ3328" s="2">
        <v>0.13</v>
      </c>
      <c r="AK3328" s="1">
        <v>778976</v>
      </c>
      <c r="AL3328" t="s">
        <v>117</v>
      </c>
      <c r="AM3328" t="s">
        <v>1521</v>
      </c>
      <c r="AN3328">
        <v>19271</v>
      </c>
      <c r="AO3328">
        <v>0.44</v>
      </c>
      <c r="AP3328">
        <v>1</v>
      </c>
      <c r="AR3328">
        <v>1</v>
      </c>
      <c r="AS3328" s="1">
        <v>64270</v>
      </c>
      <c r="AT3328" s="1">
        <v>12850</v>
      </c>
      <c r="AU3328" s="1">
        <v>51420</v>
      </c>
      <c r="AV3328">
        <v>80.010000000000005</v>
      </c>
      <c r="AX3328" s="1">
        <v>6916.3</v>
      </c>
      <c r="AY3328" t="s">
        <v>5921</v>
      </c>
      <c r="AZ3328" t="s">
        <v>5922</v>
      </c>
      <c r="BA3328" t="s">
        <v>5202</v>
      </c>
      <c r="BE3328" s="3">
        <v>42250</v>
      </c>
      <c r="BF3328" s="1">
        <v>755000</v>
      </c>
      <c r="BG3328" t="s">
        <v>21578</v>
      </c>
      <c r="BH3328" s="1">
        <v>211.25</v>
      </c>
      <c r="BI3328" s="1">
        <v>675800</v>
      </c>
      <c r="BJ3328" s="3">
        <v>42489</v>
      </c>
      <c r="BK3328" t="s">
        <v>123</v>
      </c>
      <c r="BL3328" t="str">
        <f>"2016.290572"</f>
        <v>2016.290572</v>
      </c>
      <c r="BM3328" t="s">
        <v>699</v>
      </c>
      <c r="BO3328" t="s">
        <v>21579</v>
      </c>
      <c r="BS3328">
        <v>30</v>
      </c>
      <c r="BW3328" t="str">
        <f>""</f>
        <v/>
      </c>
      <c r="CH3328" t="str">
        <f>""</f>
        <v/>
      </c>
      <c r="CS3328" t="str">
        <f>""</f>
        <v/>
      </c>
    </row>
    <row r="3329" spans="1:97" x14ac:dyDescent="0.25">
      <c r="A3329" t="s">
        <v>3395</v>
      </c>
      <c r="B3329" t="s">
        <v>21580</v>
      </c>
      <c r="C3329" t="s">
        <v>976</v>
      </c>
      <c r="D3329" t="s">
        <v>21580</v>
      </c>
      <c r="E3329" t="s">
        <v>21581</v>
      </c>
      <c r="F3329" t="s">
        <v>108</v>
      </c>
      <c r="H3329" t="s">
        <v>21582</v>
      </c>
      <c r="I3329" t="s">
        <v>1936</v>
      </c>
      <c r="J3329" t="s">
        <v>111</v>
      </c>
      <c r="K3329" t="str">
        <f>"85255"</f>
        <v>85255</v>
      </c>
      <c r="L3329" t="s">
        <v>145</v>
      </c>
      <c r="M3329" t="s">
        <v>21582</v>
      </c>
      <c r="N3329" t="s">
        <v>1936</v>
      </c>
      <c r="O3329" t="s">
        <v>111</v>
      </c>
      <c r="P3329" t="str">
        <f>"85255-8322"</f>
        <v>85255-8322</v>
      </c>
      <c r="Q3329" t="s">
        <v>113</v>
      </c>
      <c r="R3329" t="str">
        <f>"212-01-242"</f>
        <v>212-01-242</v>
      </c>
      <c r="S3329" t="s">
        <v>21583</v>
      </c>
      <c r="T3329" t="s">
        <v>21584</v>
      </c>
      <c r="U3329">
        <v>4236</v>
      </c>
      <c r="V3329">
        <v>0</v>
      </c>
      <c r="W3329">
        <v>5</v>
      </c>
      <c r="X3329">
        <v>1981</v>
      </c>
      <c r="Z3329">
        <v>1</v>
      </c>
      <c r="AA3329" t="s">
        <v>26</v>
      </c>
      <c r="AB3329">
        <v>0</v>
      </c>
      <c r="AC3329" t="s">
        <v>115</v>
      </c>
      <c r="AD3329">
        <v>3</v>
      </c>
      <c r="AE3329" t="s">
        <v>115</v>
      </c>
      <c r="AF3329">
        <v>0</v>
      </c>
      <c r="AG3329">
        <v>0</v>
      </c>
      <c r="AH3329" t="s">
        <v>116</v>
      </c>
      <c r="AI3329" s="1">
        <v>516836</v>
      </c>
      <c r="AJ3329" s="2">
        <v>0.46</v>
      </c>
      <c r="AK3329" s="1">
        <v>1112340</v>
      </c>
      <c r="AL3329" t="s">
        <v>117</v>
      </c>
      <c r="AM3329" t="s">
        <v>1302</v>
      </c>
      <c r="AN3329">
        <v>24640</v>
      </c>
      <c r="AO3329">
        <v>0.56999999999999995</v>
      </c>
      <c r="AP3329">
        <v>1</v>
      </c>
      <c r="AR3329">
        <v>1</v>
      </c>
      <c r="AS3329" s="1">
        <v>89900</v>
      </c>
      <c r="AT3329" s="1">
        <v>17980</v>
      </c>
      <c r="AU3329" s="1">
        <v>71920</v>
      </c>
      <c r="AV3329">
        <v>80</v>
      </c>
      <c r="AX3329" s="1">
        <v>8348.5</v>
      </c>
      <c r="AY3329" t="s">
        <v>9968</v>
      </c>
      <c r="AZ3329" t="s">
        <v>761</v>
      </c>
      <c r="BA3329" t="s">
        <v>762</v>
      </c>
      <c r="BE3329" s="3">
        <v>41726</v>
      </c>
      <c r="BF3329" s="1">
        <v>641450</v>
      </c>
      <c r="BG3329" t="s">
        <v>21585</v>
      </c>
      <c r="BH3329" s="1">
        <v>151.43</v>
      </c>
      <c r="BI3329" s="1">
        <v>595504</v>
      </c>
      <c r="BJ3329" s="3">
        <v>41726</v>
      </c>
      <c r="BK3329" t="s">
        <v>123</v>
      </c>
      <c r="BL3329" t="str">
        <f>"2014.199837"</f>
        <v>2014.199837</v>
      </c>
      <c r="BM3329" t="s">
        <v>1306</v>
      </c>
      <c r="BO3329" t="s">
        <v>21586</v>
      </c>
      <c r="BS3329">
        <v>30</v>
      </c>
      <c r="BW3329" t="str">
        <f>""</f>
        <v/>
      </c>
      <c r="CH3329" t="str">
        <f>""</f>
        <v/>
      </c>
      <c r="CS3329" t="str">
        <f>""</f>
        <v/>
      </c>
    </row>
    <row r="3330" spans="1:97" x14ac:dyDescent="0.25">
      <c r="A3330" t="s">
        <v>21587</v>
      </c>
      <c r="B3330" t="s">
        <v>21588</v>
      </c>
      <c r="C3330" t="s">
        <v>11794</v>
      </c>
      <c r="D3330" t="s">
        <v>21588</v>
      </c>
      <c r="E3330" t="s">
        <v>21589</v>
      </c>
      <c r="F3330" t="s">
        <v>108</v>
      </c>
      <c r="H3330" t="s">
        <v>21590</v>
      </c>
      <c r="I3330" t="s">
        <v>1936</v>
      </c>
      <c r="J3330" t="s">
        <v>111</v>
      </c>
      <c r="K3330" t="str">
        <f>"85266"</f>
        <v>85266</v>
      </c>
      <c r="L3330" t="s">
        <v>2820</v>
      </c>
      <c r="M3330" t="s">
        <v>21590</v>
      </c>
      <c r="N3330" t="s">
        <v>1936</v>
      </c>
      <c r="O3330" t="s">
        <v>111</v>
      </c>
      <c r="P3330" t="str">
        <f>"85266-7165"</f>
        <v>85266-7165</v>
      </c>
      <c r="Q3330" t="s">
        <v>113</v>
      </c>
      <c r="R3330" t="str">
        <f>"216-50-255"</f>
        <v>216-50-255</v>
      </c>
      <c r="S3330" t="s">
        <v>21591</v>
      </c>
      <c r="T3330" t="s">
        <v>21592</v>
      </c>
      <c r="U3330">
        <v>1974</v>
      </c>
      <c r="V3330">
        <v>0</v>
      </c>
      <c r="W3330">
        <v>3</v>
      </c>
      <c r="X3330">
        <v>1994</v>
      </c>
      <c r="Z3330">
        <v>1</v>
      </c>
      <c r="AB3330">
        <v>0</v>
      </c>
      <c r="AC3330" t="s">
        <v>115</v>
      </c>
      <c r="AD3330">
        <v>2</v>
      </c>
      <c r="AE3330" t="s">
        <v>115</v>
      </c>
      <c r="AF3330">
        <v>0</v>
      </c>
      <c r="AG3330">
        <v>0</v>
      </c>
      <c r="AH3330" t="s">
        <v>116</v>
      </c>
      <c r="AI3330" s="1">
        <v>341990</v>
      </c>
      <c r="AJ3330" s="2">
        <v>0.63</v>
      </c>
      <c r="AK3330" s="1">
        <v>544490</v>
      </c>
      <c r="AL3330" t="s">
        <v>117</v>
      </c>
      <c r="AM3330" t="str">
        <f>"R1-10"</f>
        <v>R1-10</v>
      </c>
      <c r="AN3330">
        <v>5722</v>
      </c>
      <c r="AO3330">
        <v>0.13</v>
      </c>
      <c r="AP3330">
        <v>1</v>
      </c>
      <c r="AR3330">
        <v>1</v>
      </c>
      <c r="AS3330" s="1">
        <v>44080</v>
      </c>
      <c r="AT3330" s="1">
        <v>8810</v>
      </c>
      <c r="AU3330" s="1">
        <v>35270</v>
      </c>
      <c r="AV3330">
        <v>80.010000000000005</v>
      </c>
      <c r="AX3330" s="1">
        <v>2544.88</v>
      </c>
      <c r="AY3330" t="s">
        <v>7359</v>
      </c>
      <c r="AZ3330" t="s">
        <v>1402</v>
      </c>
      <c r="BA3330" t="s">
        <v>1403</v>
      </c>
      <c r="BB3330" s="3">
        <v>43669</v>
      </c>
      <c r="BC3330" s="1">
        <v>0</v>
      </c>
      <c r="BD3330" t="s">
        <v>247</v>
      </c>
      <c r="BE3330" s="3">
        <v>42489</v>
      </c>
      <c r="BF3330" s="1">
        <v>460000</v>
      </c>
      <c r="BG3330" t="s">
        <v>21593</v>
      </c>
      <c r="BH3330" s="1">
        <v>233.03</v>
      </c>
      <c r="BI3330" s="1">
        <v>202500</v>
      </c>
      <c r="BJ3330" s="3">
        <v>42489</v>
      </c>
      <c r="BK3330" t="s">
        <v>123</v>
      </c>
      <c r="BL3330" t="str">
        <f>"2016.289784"</f>
        <v>2016.289784</v>
      </c>
      <c r="BM3330" t="s">
        <v>124</v>
      </c>
      <c r="BN3330" t="s">
        <v>1575</v>
      </c>
      <c r="BO3330" t="s">
        <v>21594</v>
      </c>
      <c r="BS3330">
        <v>30</v>
      </c>
      <c r="BW3330" t="str">
        <f>""</f>
        <v/>
      </c>
      <c r="CH3330" t="str">
        <f>""</f>
        <v/>
      </c>
      <c r="CS3330" t="str">
        <f>""</f>
        <v/>
      </c>
    </row>
    <row r="3331" spans="1:97" x14ac:dyDescent="0.25">
      <c r="A3331" t="s">
        <v>21595</v>
      </c>
      <c r="B3331" t="s">
        <v>21596</v>
      </c>
      <c r="C3331" t="s">
        <v>21597</v>
      </c>
      <c r="D3331" t="s">
        <v>21596</v>
      </c>
      <c r="E3331" t="s">
        <v>21598</v>
      </c>
      <c r="F3331" t="s">
        <v>108</v>
      </c>
      <c r="H3331" t="s">
        <v>21599</v>
      </c>
      <c r="I3331" t="s">
        <v>2874</v>
      </c>
      <c r="J3331" t="s">
        <v>111</v>
      </c>
      <c r="K3331" t="str">
        <f>"85308"</f>
        <v>85308</v>
      </c>
      <c r="L3331" t="s">
        <v>5438</v>
      </c>
      <c r="M3331" t="s">
        <v>21599</v>
      </c>
      <c r="N3331" t="s">
        <v>2874</v>
      </c>
      <c r="O3331" t="s">
        <v>111</v>
      </c>
      <c r="P3331" t="str">
        <f>"85308-6251"</f>
        <v>85308-6251</v>
      </c>
      <c r="Q3331" t="s">
        <v>113</v>
      </c>
      <c r="R3331" t="str">
        <f>"200-23-488"</f>
        <v>200-23-488</v>
      </c>
      <c r="S3331" t="s">
        <v>15902</v>
      </c>
      <c r="T3331" t="s">
        <v>10102</v>
      </c>
      <c r="U3331">
        <v>3122</v>
      </c>
      <c r="V3331">
        <v>0</v>
      </c>
      <c r="W3331">
        <v>4</v>
      </c>
      <c r="X3331">
        <v>1993</v>
      </c>
      <c r="Z3331">
        <v>1</v>
      </c>
      <c r="AB3331">
        <v>0</v>
      </c>
      <c r="AC3331" t="s">
        <v>115</v>
      </c>
      <c r="AD3331">
        <v>3</v>
      </c>
      <c r="AE3331" t="s">
        <v>115</v>
      </c>
      <c r="AF3331">
        <v>0</v>
      </c>
      <c r="AG3331">
        <v>0</v>
      </c>
      <c r="AH3331" t="s">
        <v>116</v>
      </c>
      <c r="AI3331" s="1">
        <v>131041</v>
      </c>
      <c r="AJ3331" s="2">
        <v>0.24</v>
      </c>
      <c r="AK3331" s="1">
        <v>539373</v>
      </c>
      <c r="AL3331" t="s">
        <v>117</v>
      </c>
      <c r="AM3331" t="s">
        <v>191</v>
      </c>
      <c r="AN3331">
        <v>12166</v>
      </c>
      <c r="AO3331">
        <v>0.28000000000000003</v>
      </c>
      <c r="AP3331">
        <v>1</v>
      </c>
      <c r="AR3331">
        <v>1</v>
      </c>
      <c r="AS3331" s="1">
        <v>39920</v>
      </c>
      <c r="AT3331" s="1">
        <v>7980</v>
      </c>
      <c r="AU3331" s="1">
        <v>31940</v>
      </c>
      <c r="AV3331">
        <v>80.010000000000005</v>
      </c>
      <c r="AX3331" s="1">
        <v>4337.74</v>
      </c>
      <c r="AY3331" t="s">
        <v>7455</v>
      </c>
      <c r="AZ3331" t="s">
        <v>3049</v>
      </c>
      <c r="BA3331" t="s">
        <v>2223</v>
      </c>
      <c r="BB3331" s="3">
        <v>43040</v>
      </c>
      <c r="BD3331" t="s">
        <v>157</v>
      </c>
      <c r="BE3331" s="3">
        <v>41786</v>
      </c>
      <c r="BF3331" s="1">
        <v>369000</v>
      </c>
      <c r="BG3331" t="s">
        <v>21600</v>
      </c>
      <c r="BH3331" s="1">
        <v>118.19</v>
      </c>
      <c r="BI3331" s="1">
        <v>358332</v>
      </c>
      <c r="BJ3331" s="3">
        <v>42613</v>
      </c>
      <c r="BK3331" t="s">
        <v>123</v>
      </c>
      <c r="BL3331" t="str">
        <f>"2016.632739"</f>
        <v>2016.632739</v>
      </c>
      <c r="BM3331" t="s">
        <v>724</v>
      </c>
      <c r="BO3331" t="s">
        <v>21601</v>
      </c>
      <c r="BP3331" t="s">
        <v>21602</v>
      </c>
      <c r="BS3331">
        <v>30</v>
      </c>
      <c r="BT3331" s="1">
        <v>50000</v>
      </c>
      <c r="BU3331" s="3">
        <v>43018</v>
      </c>
      <c r="BW3331" t="str">
        <f>"2017.747629"</f>
        <v>2017.747629</v>
      </c>
      <c r="BX3331" t="s">
        <v>2475</v>
      </c>
      <c r="BZ3331" t="s">
        <v>21603</v>
      </c>
      <c r="CA3331" t="s">
        <v>21602</v>
      </c>
      <c r="CC3331" t="s">
        <v>1633</v>
      </c>
      <c r="CD3331">
        <v>15</v>
      </c>
      <c r="CH3331" t="str">
        <f>""</f>
        <v/>
      </c>
      <c r="CS3331" t="str">
        <f>""</f>
        <v/>
      </c>
    </row>
    <row r="3332" spans="1:97" x14ac:dyDescent="0.25">
      <c r="A3332" t="s">
        <v>8500</v>
      </c>
      <c r="B3332" t="s">
        <v>441</v>
      </c>
      <c r="C3332" t="s">
        <v>767</v>
      </c>
      <c r="D3332" t="s">
        <v>441</v>
      </c>
      <c r="E3332" t="s">
        <v>21604</v>
      </c>
      <c r="F3332" t="s">
        <v>108</v>
      </c>
      <c r="H3332" t="s">
        <v>21605</v>
      </c>
      <c r="I3332" t="s">
        <v>1936</v>
      </c>
      <c r="J3332" t="s">
        <v>111</v>
      </c>
      <c r="K3332" t="str">
        <f>"85262"</f>
        <v>85262</v>
      </c>
      <c r="L3332" t="s">
        <v>7972</v>
      </c>
      <c r="M3332" t="s">
        <v>21605</v>
      </c>
      <c r="N3332" t="s">
        <v>1936</v>
      </c>
      <c r="O3332" t="s">
        <v>111</v>
      </c>
      <c r="P3332" t="str">
        <f>"85262-5937"</f>
        <v>85262-5937</v>
      </c>
      <c r="Q3332" t="s">
        <v>113</v>
      </c>
      <c r="R3332" t="str">
        <f>"219-37-496-F"</f>
        <v>219-37-496-F</v>
      </c>
      <c r="U3332">
        <v>3252</v>
      </c>
      <c r="V3332">
        <v>0</v>
      </c>
      <c r="W3332">
        <v>5</v>
      </c>
      <c r="X3332">
        <v>2008</v>
      </c>
      <c r="Z3332">
        <v>1</v>
      </c>
      <c r="AB3332">
        <v>0</v>
      </c>
      <c r="AC3332" t="s">
        <v>115</v>
      </c>
      <c r="AD3332">
        <v>3</v>
      </c>
      <c r="AE3332" t="s">
        <v>115</v>
      </c>
      <c r="AF3332">
        <v>0</v>
      </c>
      <c r="AG3332">
        <v>0</v>
      </c>
      <c r="AH3332" t="s">
        <v>116</v>
      </c>
      <c r="AI3332" s="1">
        <v>145817</v>
      </c>
      <c r="AJ3332" s="2">
        <v>0.22</v>
      </c>
      <c r="AK3332" s="1">
        <v>657800</v>
      </c>
      <c r="AL3332" t="s">
        <v>117</v>
      </c>
      <c r="AM3332" t="s">
        <v>376</v>
      </c>
      <c r="AN3332">
        <v>47834</v>
      </c>
      <c r="AO3332">
        <v>1.1000000000000001</v>
      </c>
      <c r="AP3332">
        <v>1</v>
      </c>
      <c r="AR3332">
        <v>1</v>
      </c>
      <c r="AS3332" s="1">
        <v>40950</v>
      </c>
      <c r="AT3332" s="1">
        <v>8190</v>
      </c>
      <c r="AU3332" s="1">
        <v>32760</v>
      </c>
      <c r="AV3332">
        <v>80</v>
      </c>
      <c r="AX3332" s="1">
        <v>1805.26</v>
      </c>
      <c r="AY3332" t="s">
        <v>5017</v>
      </c>
      <c r="AZ3332" t="s">
        <v>1402</v>
      </c>
      <c r="BA3332" t="s">
        <v>1403</v>
      </c>
      <c r="BB3332" s="3">
        <v>42877</v>
      </c>
      <c r="BD3332" t="s">
        <v>458</v>
      </c>
      <c r="BE3332" s="3">
        <v>42538</v>
      </c>
      <c r="BF3332" s="1">
        <v>549500</v>
      </c>
      <c r="BG3332" t="s">
        <v>21606</v>
      </c>
      <c r="BH3332" s="1">
        <v>168.97</v>
      </c>
      <c r="BI3332" s="1">
        <v>511983</v>
      </c>
      <c r="BJ3332" s="3">
        <v>42877</v>
      </c>
      <c r="BK3332" t="s">
        <v>123</v>
      </c>
      <c r="BL3332" t="str">
        <f>"2017.367306"</f>
        <v>2017.367306</v>
      </c>
      <c r="BM3332" t="s">
        <v>402</v>
      </c>
      <c r="BN3332" t="s">
        <v>461</v>
      </c>
      <c r="BO3332" t="s">
        <v>21607</v>
      </c>
      <c r="BS3332">
        <v>30</v>
      </c>
      <c r="BW3332" t="str">
        <f>""</f>
        <v/>
      </c>
      <c r="CH3332" t="str">
        <f>""</f>
        <v/>
      </c>
      <c r="CS3332" t="str">
        <f>""</f>
        <v/>
      </c>
    </row>
    <row r="3333" spans="1:97" x14ac:dyDescent="0.25">
      <c r="A3333" t="s">
        <v>7174</v>
      </c>
      <c r="B3333" t="s">
        <v>21608</v>
      </c>
      <c r="C3333" t="s">
        <v>1845</v>
      </c>
      <c r="D3333" t="s">
        <v>21608</v>
      </c>
      <c r="E3333" t="s">
        <v>21609</v>
      </c>
      <c r="F3333" t="s">
        <v>108</v>
      </c>
      <c r="H3333" t="s">
        <v>21610</v>
      </c>
      <c r="I3333" t="s">
        <v>390</v>
      </c>
      <c r="J3333" t="s">
        <v>111</v>
      </c>
      <c r="K3333" t="str">
        <f>"85083"</f>
        <v>85083</v>
      </c>
      <c r="L3333" t="s">
        <v>20602</v>
      </c>
      <c r="M3333" t="s">
        <v>21610</v>
      </c>
      <c r="N3333" t="s">
        <v>390</v>
      </c>
      <c r="O3333" t="s">
        <v>111</v>
      </c>
      <c r="P3333" t="str">
        <f>"85083-8619"</f>
        <v>85083-8619</v>
      </c>
      <c r="Q3333" t="s">
        <v>113</v>
      </c>
      <c r="R3333" t="str">
        <f>"205-05-001-M"</f>
        <v>205-05-001-M</v>
      </c>
      <c r="U3333">
        <v>5657</v>
      </c>
      <c r="V3333">
        <v>0</v>
      </c>
      <c r="W3333">
        <v>6</v>
      </c>
      <c r="X3333">
        <v>2008</v>
      </c>
      <c r="Z3333">
        <v>2</v>
      </c>
      <c r="AB3333">
        <v>0</v>
      </c>
      <c r="AC3333" t="s">
        <v>115</v>
      </c>
      <c r="AD3333">
        <v>3</v>
      </c>
      <c r="AE3333" t="s">
        <v>115</v>
      </c>
      <c r="AF3333">
        <v>0</v>
      </c>
      <c r="AG3333">
        <v>0</v>
      </c>
      <c r="AH3333" t="s">
        <v>116</v>
      </c>
      <c r="AI3333" s="1">
        <v>92061</v>
      </c>
      <c r="AJ3333" s="2">
        <v>0.18</v>
      </c>
      <c r="AK3333" s="1">
        <v>525151</v>
      </c>
      <c r="AL3333" t="s">
        <v>117</v>
      </c>
      <c r="AM3333" t="s">
        <v>760</v>
      </c>
      <c r="AN3333">
        <v>50181</v>
      </c>
      <c r="AO3333">
        <v>1.1499999999999999</v>
      </c>
      <c r="AP3333">
        <v>1</v>
      </c>
      <c r="AR3333">
        <v>1</v>
      </c>
      <c r="AS3333" s="1">
        <v>62530</v>
      </c>
      <c r="AT3333" s="1">
        <v>12500</v>
      </c>
      <c r="AU3333" s="1">
        <v>50030</v>
      </c>
      <c r="AV3333">
        <v>80.010000000000005</v>
      </c>
      <c r="AX3333" s="1">
        <v>6414.96</v>
      </c>
      <c r="AY3333" t="s">
        <v>3522</v>
      </c>
      <c r="AZ3333" t="s">
        <v>3522</v>
      </c>
      <c r="BA3333" t="s">
        <v>1386</v>
      </c>
      <c r="BE3333" s="3">
        <v>42293</v>
      </c>
      <c r="BF3333" s="1">
        <v>426300</v>
      </c>
      <c r="BG3333" t="s">
        <v>21611</v>
      </c>
      <c r="BH3333" s="1">
        <v>75.36</v>
      </c>
      <c r="BI3333" s="1">
        <v>433090</v>
      </c>
      <c r="BJ3333" s="3">
        <v>42293</v>
      </c>
      <c r="BK3333" t="s">
        <v>123</v>
      </c>
      <c r="BL3333" t="str">
        <f>"2015.747321"</f>
        <v>2015.747321</v>
      </c>
      <c r="BM3333" t="s">
        <v>724</v>
      </c>
      <c r="BO3333" t="s">
        <v>21612</v>
      </c>
      <c r="BS3333">
        <v>30</v>
      </c>
      <c r="BW3333" t="str">
        <f>""</f>
        <v/>
      </c>
      <c r="CH3333" t="str">
        <f>""</f>
        <v/>
      </c>
      <c r="CS3333" t="str">
        <f>""</f>
        <v/>
      </c>
    </row>
    <row r="3334" spans="1:97" x14ac:dyDescent="0.25">
      <c r="A3334" t="s">
        <v>610</v>
      </c>
      <c r="B3334" t="s">
        <v>3333</v>
      </c>
      <c r="C3334" t="s">
        <v>1930</v>
      </c>
      <c r="D3334" t="s">
        <v>3333</v>
      </c>
      <c r="E3334" t="s">
        <v>21613</v>
      </c>
      <c r="F3334" t="s">
        <v>108</v>
      </c>
      <c r="H3334" t="s">
        <v>21614</v>
      </c>
      <c r="I3334" t="s">
        <v>390</v>
      </c>
      <c r="J3334" t="s">
        <v>111</v>
      </c>
      <c r="K3334" t="str">
        <f>"85023"</f>
        <v>85023</v>
      </c>
      <c r="L3334" t="s">
        <v>3982</v>
      </c>
      <c r="M3334" t="s">
        <v>21614</v>
      </c>
      <c r="N3334" t="s">
        <v>390</v>
      </c>
      <c r="O3334" t="s">
        <v>111</v>
      </c>
      <c r="P3334" t="str">
        <f>"85023-4378"</f>
        <v>85023-4378</v>
      </c>
      <c r="Q3334" t="s">
        <v>113</v>
      </c>
      <c r="R3334" t="str">
        <f>"208-35-366"</f>
        <v>208-35-366</v>
      </c>
      <c r="S3334" t="s">
        <v>21615</v>
      </c>
      <c r="T3334" t="s">
        <v>21616</v>
      </c>
      <c r="U3334">
        <v>2037</v>
      </c>
      <c r="V3334">
        <v>0</v>
      </c>
      <c r="W3334">
        <v>3</v>
      </c>
      <c r="X3334">
        <v>1995</v>
      </c>
      <c r="Z3334">
        <v>2</v>
      </c>
      <c r="AB3334">
        <v>0</v>
      </c>
      <c r="AC3334" t="s">
        <v>115</v>
      </c>
      <c r="AD3334">
        <v>2</v>
      </c>
      <c r="AE3334" t="s">
        <v>115</v>
      </c>
      <c r="AF3334">
        <v>0</v>
      </c>
      <c r="AG3334">
        <v>0</v>
      </c>
      <c r="AH3334" t="s">
        <v>116</v>
      </c>
      <c r="AI3334" s="1">
        <v>71104</v>
      </c>
      <c r="AJ3334" s="2">
        <v>0.24</v>
      </c>
      <c r="AK3334" s="1">
        <v>293104</v>
      </c>
      <c r="AL3334" t="s">
        <v>117</v>
      </c>
      <c r="AM3334" t="s">
        <v>1315</v>
      </c>
      <c r="AN3334">
        <v>6296</v>
      </c>
      <c r="AO3334">
        <v>0.14000000000000001</v>
      </c>
      <c r="AP3334">
        <v>1</v>
      </c>
      <c r="AR3334">
        <v>1</v>
      </c>
      <c r="AS3334" s="1">
        <v>20950</v>
      </c>
      <c r="AT3334" s="1">
        <v>4190</v>
      </c>
      <c r="AU3334" s="1">
        <v>16760</v>
      </c>
      <c r="AV3334">
        <v>80</v>
      </c>
      <c r="AX3334" s="1">
        <v>2075.3000000000002</v>
      </c>
      <c r="AY3334" t="s">
        <v>8647</v>
      </c>
      <c r="AZ3334" t="s">
        <v>8648</v>
      </c>
      <c r="BA3334" t="s">
        <v>8649</v>
      </c>
      <c r="BE3334" s="3">
        <v>42530</v>
      </c>
      <c r="BF3334" s="1">
        <v>222000</v>
      </c>
      <c r="BG3334" t="s">
        <v>21617</v>
      </c>
      <c r="BH3334" s="1">
        <v>108.98</v>
      </c>
      <c r="BI3334" s="1">
        <v>222000</v>
      </c>
      <c r="BJ3334" s="3">
        <v>42530</v>
      </c>
      <c r="BK3334" t="s">
        <v>123</v>
      </c>
      <c r="BL3334" t="str">
        <f>"2016.399614"</f>
        <v>2016.399614</v>
      </c>
      <c r="BM3334" t="s">
        <v>1227</v>
      </c>
      <c r="BO3334" t="s">
        <v>21618</v>
      </c>
      <c r="BS3334">
        <v>30</v>
      </c>
      <c r="BW3334" t="str">
        <f>""</f>
        <v/>
      </c>
      <c r="CH3334" t="str">
        <f>""</f>
        <v/>
      </c>
      <c r="CS3334" t="str">
        <f>""</f>
        <v/>
      </c>
    </row>
    <row r="3335" spans="1:97" x14ac:dyDescent="0.25">
      <c r="A3335" t="s">
        <v>894</v>
      </c>
      <c r="B3335" t="s">
        <v>21619</v>
      </c>
      <c r="C3335" t="s">
        <v>1729</v>
      </c>
      <c r="D3335" t="s">
        <v>21619</v>
      </c>
      <c r="E3335" t="s">
        <v>21620</v>
      </c>
      <c r="F3335" t="s">
        <v>108</v>
      </c>
      <c r="H3335" t="s">
        <v>21621</v>
      </c>
      <c r="I3335" t="s">
        <v>1788</v>
      </c>
      <c r="J3335" t="s">
        <v>111</v>
      </c>
      <c r="K3335" t="str">
        <f>"85355"</f>
        <v>85355</v>
      </c>
      <c r="L3335" t="s">
        <v>168</v>
      </c>
      <c r="M3335" t="s">
        <v>21621</v>
      </c>
      <c r="N3335" t="s">
        <v>1788</v>
      </c>
      <c r="O3335" t="s">
        <v>111</v>
      </c>
      <c r="P3335" t="str">
        <f>"85355-4416"</f>
        <v>85355-4416</v>
      </c>
      <c r="Q3335" t="s">
        <v>113</v>
      </c>
      <c r="R3335" t="str">
        <f>"502-90-249"</f>
        <v>502-90-249</v>
      </c>
      <c r="S3335" t="s">
        <v>8290</v>
      </c>
      <c r="U3335">
        <v>1845</v>
      </c>
      <c r="V3335">
        <v>0</v>
      </c>
      <c r="W3335">
        <v>3</v>
      </c>
      <c r="X3335">
        <v>2015</v>
      </c>
      <c r="Z3335">
        <v>1</v>
      </c>
      <c r="AB3335">
        <v>0</v>
      </c>
      <c r="AC3335" t="s">
        <v>115</v>
      </c>
      <c r="AD3335">
        <v>2</v>
      </c>
      <c r="AE3335" t="s">
        <v>115</v>
      </c>
      <c r="AF3335">
        <v>0</v>
      </c>
      <c r="AG3335">
        <v>0</v>
      </c>
      <c r="AH3335" t="s">
        <v>116</v>
      </c>
      <c r="AI3335" s="1">
        <v>64157</v>
      </c>
      <c r="AJ3335" s="2">
        <v>0.24</v>
      </c>
      <c r="AK3335" s="1">
        <v>264431</v>
      </c>
      <c r="AL3335" t="s">
        <v>117</v>
      </c>
      <c r="AM3335" t="s">
        <v>191</v>
      </c>
      <c r="AN3335">
        <v>6095</v>
      </c>
      <c r="AO3335">
        <v>0.14000000000000001</v>
      </c>
      <c r="AR3335">
        <v>1</v>
      </c>
      <c r="AS3335" s="1">
        <v>19260</v>
      </c>
      <c r="AT3335" s="1">
        <v>3850</v>
      </c>
      <c r="AU3335" s="1">
        <v>15410</v>
      </c>
      <c r="AV3335">
        <v>80.010000000000005</v>
      </c>
      <c r="AX3335" s="1">
        <v>1372.26</v>
      </c>
      <c r="AY3335" t="s">
        <v>5972</v>
      </c>
      <c r="AZ3335" t="s">
        <v>5972</v>
      </c>
      <c r="BA3335" t="s">
        <v>5061</v>
      </c>
      <c r="BE3335" s="3">
        <v>42458</v>
      </c>
      <c r="BF3335" s="1">
        <v>196059</v>
      </c>
      <c r="BG3335" t="s">
        <v>2780</v>
      </c>
      <c r="BH3335" s="1">
        <v>106.27</v>
      </c>
      <c r="BI3335" s="1">
        <v>200274</v>
      </c>
      <c r="BJ3335" s="3">
        <v>42458</v>
      </c>
      <c r="BK3335" t="s">
        <v>123</v>
      </c>
      <c r="BL3335" t="str">
        <f>"2016.203363"</f>
        <v>2016.203363</v>
      </c>
      <c r="BM3335" t="s">
        <v>175</v>
      </c>
      <c r="BO3335" t="s">
        <v>21622</v>
      </c>
      <c r="BS3335">
        <v>30</v>
      </c>
      <c r="BW3335" t="str">
        <f>""</f>
        <v/>
      </c>
      <c r="CH3335" t="str">
        <f>""</f>
        <v/>
      </c>
      <c r="CS3335" t="str">
        <f>""</f>
        <v/>
      </c>
    </row>
    <row r="3336" spans="1:97" x14ac:dyDescent="0.25">
      <c r="A3336" t="s">
        <v>4229</v>
      </c>
      <c r="B3336" t="s">
        <v>21623</v>
      </c>
      <c r="C3336" t="s">
        <v>11252</v>
      </c>
      <c r="D3336" t="s">
        <v>21623</v>
      </c>
      <c r="E3336" t="s">
        <v>21624</v>
      </c>
      <c r="F3336" t="s">
        <v>282</v>
      </c>
      <c r="H3336" t="s">
        <v>21625</v>
      </c>
      <c r="I3336" t="s">
        <v>144</v>
      </c>
      <c r="J3336" t="s">
        <v>111</v>
      </c>
      <c r="K3336" t="str">
        <f>"85326"</f>
        <v>85326</v>
      </c>
      <c r="L3336" t="s">
        <v>5021</v>
      </c>
      <c r="M3336" t="s">
        <v>21626</v>
      </c>
      <c r="N3336" t="s">
        <v>144</v>
      </c>
      <c r="O3336" t="s">
        <v>111</v>
      </c>
      <c r="P3336" t="str">
        <f>"85326-2671"</f>
        <v>85326-2671</v>
      </c>
      <c r="Q3336" t="s">
        <v>113</v>
      </c>
      <c r="R3336" t="str">
        <f>"504-42-619"</f>
        <v>504-42-619</v>
      </c>
      <c r="S3336" t="s">
        <v>9620</v>
      </c>
      <c r="T3336" t="s">
        <v>9620</v>
      </c>
      <c r="U3336">
        <v>1134</v>
      </c>
      <c r="V3336">
        <v>0</v>
      </c>
      <c r="W3336">
        <v>2</v>
      </c>
      <c r="X3336">
        <v>2016</v>
      </c>
      <c r="Z3336">
        <v>1</v>
      </c>
      <c r="AB3336">
        <v>0</v>
      </c>
      <c r="AC3336" t="s">
        <v>115</v>
      </c>
      <c r="AD3336">
        <v>2</v>
      </c>
      <c r="AE3336" t="s">
        <v>115</v>
      </c>
      <c r="AF3336">
        <v>0</v>
      </c>
      <c r="AG3336">
        <v>0</v>
      </c>
      <c r="AH3336" t="s">
        <v>116</v>
      </c>
      <c r="AI3336" s="1">
        <v>-36167</v>
      </c>
      <c r="AJ3336" s="2">
        <v>-0.19</v>
      </c>
      <c r="AK3336" s="1">
        <v>191833</v>
      </c>
      <c r="AL3336" t="s">
        <v>117</v>
      </c>
      <c r="AM3336" t="s">
        <v>5023</v>
      </c>
      <c r="AN3336">
        <v>7250</v>
      </c>
      <c r="AO3336">
        <v>0.17</v>
      </c>
      <c r="AR3336">
        <v>1</v>
      </c>
      <c r="AS3336" s="1">
        <v>13260</v>
      </c>
      <c r="AT3336" s="1">
        <v>2650</v>
      </c>
      <c r="AU3336" s="1">
        <v>10610</v>
      </c>
      <c r="AV3336">
        <v>80.02</v>
      </c>
      <c r="AX3336" s="1">
        <v>1364.04</v>
      </c>
      <c r="AY3336" t="s">
        <v>9621</v>
      </c>
      <c r="AZ3336" t="s">
        <v>9621</v>
      </c>
      <c r="BA3336" t="s">
        <v>9622</v>
      </c>
      <c r="BB3336" s="3">
        <v>43615</v>
      </c>
      <c r="BC3336" s="1">
        <v>0</v>
      </c>
      <c r="BD3336" t="s">
        <v>247</v>
      </c>
      <c r="BE3336" s="3">
        <v>42495</v>
      </c>
      <c r="BF3336" s="1">
        <v>151900</v>
      </c>
      <c r="BG3336" t="s">
        <v>9623</v>
      </c>
      <c r="BH3336" s="1">
        <v>133.94999999999999</v>
      </c>
      <c r="BI3336" s="1">
        <v>228000</v>
      </c>
      <c r="BJ3336" s="3">
        <v>43615</v>
      </c>
      <c r="BK3336" t="s">
        <v>123</v>
      </c>
      <c r="BL3336" t="str">
        <f>"2019.399831"</f>
        <v>2019.399831</v>
      </c>
      <c r="BM3336" t="s">
        <v>5842</v>
      </c>
      <c r="BN3336" t="s">
        <v>5843</v>
      </c>
      <c r="BO3336" t="s">
        <v>21627</v>
      </c>
      <c r="BP3336" t="s">
        <v>21628</v>
      </c>
      <c r="BR3336" t="s">
        <v>139</v>
      </c>
      <c r="BT3336" s="1">
        <v>228000</v>
      </c>
      <c r="BU3336" s="3">
        <v>43615</v>
      </c>
      <c r="BV3336" t="s">
        <v>123</v>
      </c>
      <c r="BW3336" t="str">
        <f>"2019.399831"</f>
        <v>2019.399831</v>
      </c>
      <c r="BX3336" t="s">
        <v>5842</v>
      </c>
      <c r="BY3336" t="s">
        <v>5843</v>
      </c>
      <c r="BZ3336" t="s">
        <v>21627</v>
      </c>
      <c r="CA3336" t="s">
        <v>21628</v>
      </c>
      <c r="CC3336" t="s">
        <v>139</v>
      </c>
      <c r="CH3336" t="str">
        <f>""</f>
        <v/>
      </c>
      <c r="CS3336" t="str">
        <f>""</f>
        <v/>
      </c>
    </row>
    <row r="3337" spans="1:97" x14ac:dyDescent="0.25">
      <c r="A3337" t="s">
        <v>21629</v>
      </c>
      <c r="B3337" t="s">
        <v>3187</v>
      </c>
      <c r="C3337" t="s">
        <v>817</v>
      </c>
      <c r="D3337" t="s">
        <v>21630</v>
      </c>
      <c r="E3337" t="s">
        <v>21631</v>
      </c>
      <c r="F3337" t="s">
        <v>108</v>
      </c>
      <c r="H3337" t="s">
        <v>21632</v>
      </c>
      <c r="I3337" t="s">
        <v>2874</v>
      </c>
      <c r="J3337" t="s">
        <v>111</v>
      </c>
      <c r="K3337" t="str">
        <f>"85302"</f>
        <v>85302</v>
      </c>
      <c r="L3337" t="s">
        <v>5209</v>
      </c>
      <c r="M3337" t="s">
        <v>21632</v>
      </c>
      <c r="N3337" t="s">
        <v>2874</v>
      </c>
      <c r="O3337" t="s">
        <v>111</v>
      </c>
      <c r="P3337" t="str">
        <f>"85302-2302"</f>
        <v>85302-2302</v>
      </c>
      <c r="Q3337" t="s">
        <v>113</v>
      </c>
      <c r="R3337" t="str">
        <f>"148-21-499"</f>
        <v>148-21-499</v>
      </c>
      <c r="S3337" t="s">
        <v>9812</v>
      </c>
      <c r="U3337">
        <v>1512</v>
      </c>
      <c r="V3337">
        <v>0</v>
      </c>
      <c r="W3337">
        <v>2</v>
      </c>
      <c r="X3337">
        <v>1977</v>
      </c>
      <c r="Z3337">
        <v>1</v>
      </c>
      <c r="AA3337" t="s">
        <v>26</v>
      </c>
      <c r="AB3337">
        <v>0</v>
      </c>
      <c r="AC3337" t="s">
        <v>115</v>
      </c>
      <c r="AD3337">
        <v>3</v>
      </c>
      <c r="AE3337" t="s">
        <v>115</v>
      </c>
      <c r="AF3337">
        <v>0</v>
      </c>
      <c r="AG3337">
        <v>0</v>
      </c>
      <c r="AH3337" t="s">
        <v>116</v>
      </c>
      <c r="AI3337" s="1">
        <v>35073</v>
      </c>
      <c r="AJ3337" s="2">
        <v>0.15</v>
      </c>
      <c r="AK3337" s="1">
        <v>238147</v>
      </c>
      <c r="AL3337" t="s">
        <v>117</v>
      </c>
      <c r="AM3337" t="s">
        <v>191</v>
      </c>
      <c r="AN3337">
        <v>6826</v>
      </c>
      <c r="AO3337">
        <v>0.16</v>
      </c>
      <c r="AP3337">
        <v>1</v>
      </c>
      <c r="AR3337">
        <v>1</v>
      </c>
      <c r="AS3337" s="1">
        <v>16020</v>
      </c>
      <c r="AT3337" s="1">
        <v>3200</v>
      </c>
      <c r="AU3337" s="1">
        <v>12820</v>
      </c>
      <c r="AV3337">
        <v>80.02</v>
      </c>
      <c r="AX3337" s="1">
        <v>952.04</v>
      </c>
      <c r="AY3337" t="s">
        <v>8680</v>
      </c>
      <c r="AZ3337" t="s">
        <v>8680</v>
      </c>
      <c r="BA3337" t="s">
        <v>8681</v>
      </c>
      <c r="BE3337" s="3">
        <v>42535</v>
      </c>
      <c r="BF3337" s="1">
        <v>198800</v>
      </c>
      <c r="BG3337" t="s">
        <v>21633</v>
      </c>
      <c r="BH3337" s="1">
        <v>131.38999999999999</v>
      </c>
      <c r="BI3337" s="1">
        <v>203074</v>
      </c>
      <c r="BJ3337" s="3">
        <v>42535</v>
      </c>
      <c r="BK3337" t="s">
        <v>123</v>
      </c>
      <c r="BL3337" t="str">
        <f>"2016.412786"</f>
        <v>2016.412786</v>
      </c>
      <c r="BM3337" t="s">
        <v>8868</v>
      </c>
      <c r="BO3337" t="s">
        <v>21634</v>
      </c>
      <c r="BP3337" t="s">
        <v>21635</v>
      </c>
      <c r="BS3337">
        <v>30</v>
      </c>
      <c r="BW3337" t="str">
        <f>""</f>
        <v/>
      </c>
      <c r="CH3337" t="str">
        <f>""</f>
        <v/>
      </c>
      <c r="CS3337" t="str">
        <f>""</f>
        <v/>
      </c>
    </row>
    <row r="3338" spans="1:97" x14ac:dyDescent="0.25">
      <c r="A3338" t="s">
        <v>305</v>
      </c>
      <c r="B3338" t="s">
        <v>3147</v>
      </c>
      <c r="C3338" t="s">
        <v>21636</v>
      </c>
      <c r="D3338" t="s">
        <v>3147</v>
      </c>
      <c r="E3338" t="s">
        <v>21637</v>
      </c>
      <c r="F3338" t="s">
        <v>108</v>
      </c>
      <c r="H3338" t="s">
        <v>21638</v>
      </c>
      <c r="I3338" t="s">
        <v>632</v>
      </c>
      <c r="J3338" t="s">
        <v>111</v>
      </c>
      <c r="K3338" t="str">
        <f>"85388"</f>
        <v>85388</v>
      </c>
      <c r="L3338" t="s">
        <v>4467</v>
      </c>
      <c r="M3338" t="s">
        <v>21638</v>
      </c>
      <c r="N3338" t="s">
        <v>632</v>
      </c>
      <c r="O3338" t="s">
        <v>111</v>
      </c>
      <c r="P3338" t="str">
        <f>"85388-1671"</f>
        <v>85388-1671</v>
      </c>
      <c r="Q3338" t="s">
        <v>113</v>
      </c>
      <c r="R3338" t="str">
        <f>"502-09-222"</f>
        <v>502-09-222</v>
      </c>
      <c r="S3338" t="s">
        <v>21639</v>
      </c>
      <c r="T3338" t="s">
        <v>21640</v>
      </c>
      <c r="U3338">
        <v>2346</v>
      </c>
      <c r="V3338">
        <v>0</v>
      </c>
      <c r="W3338">
        <v>3</v>
      </c>
      <c r="X3338">
        <v>2013</v>
      </c>
      <c r="Z3338">
        <v>2</v>
      </c>
      <c r="AA3338" t="s">
        <v>26</v>
      </c>
      <c r="AB3338">
        <v>0</v>
      </c>
      <c r="AC3338" t="s">
        <v>115</v>
      </c>
      <c r="AD3338">
        <v>2</v>
      </c>
      <c r="AE3338" t="s">
        <v>115</v>
      </c>
      <c r="AF3338">
        <v>0</v>
      </c>
      <c r="AG3338">
        <v>0</v>
      </c>
      <c r="AH3338" t="s">
        <v>116</v>
      </c>
      <c r="AI3338" s="1">
        <v>30971</v>
      </c>
      <c r="AJ3338" s="2">
        <v>0.1</v>
      </c>
      <c r="AK3338" s="1">
        <v>299625</v>
      </c>
      <c r="AL3338" t="s">
        <v>117</v>
      </c>
      <c r="AM3338" t="s">
        <v>118</v>
      </c>
      <c r="AN3338">
        <v>6750</v>
      </c>
      <c r="AO3338">
        <v>0.16</v>
      </c>
      <c r="AR3338">
        <v>1</v>
      </c>
      <c r="AS3338" s="1">
        <v>21350</v>
      </c>
      <c r="AT3338" s="1">
        <v>4270</v>
      </c>
      <c r="AU3338" s="1">
        <v>17080</v>
      </c>
      <c r="AV3338">
        <v>80</v>
      </c>
      <c r="AX3338" s="1">
        <v>1774.22</v>
      </c>
      <c r="AY3338" t="s">
        <v>5168</v>
      </c>
      <c r="AZ3338" t="s">
        <v>5168</v>
      </c>
      <c r="BA3338" t="s">
        <v>5109</v>
      </c>
      <c r="BB3338" s="3">
        <v>42523</v>
      </c>
      <c r="BD3338" t="s">
        <v>240</v>
      </c>
      <c r="BE3338" s="3">
        <v>42523</v>
      </c>
      <c r="BF3338" s="1">
        <v>263000</v>
      </c>
      <c r="BG3338" t="s">
        <v>21641</v>
      </c>
      <c r="BH3338" s="1">
        <v>112.11</v>
      </c>
      <c r="BI3338" s="1">
        <v>268654</v>
      </c>
      <c r="BJ3338" s="3">
        <v>42523</v>
      </c>
      <c r="BK3338" t="s">
        <v>123</v>
      </c>
      <c r="BL3338" t="str">
        <f>"2016.382066"</f>
        <v>2016.382066</v>
      </c>
      <c r="BM3338" t="s">
        <v>1325</v>
      </c>
      <c r="BO3338" t="s">
        <v>21642</v>
      </c>
      <c r="BS3338">
        <v>30</v>
      </c>
      <c r="BW3338" t="str">
        <f>""</f>
        <v/>
      </c>
      <c r="CH3338" t="str">
        <f>""</f>
        <v/>
      </c>
      <c r="CS3338" t="str">
        <f>""</f>
        <v/>
      </c>
    </row>
    <row r="3339" spans="1:97" x14ac:dyDescent="0.25">
      <c r="A3339" t="s">
        <v>2591</v>
      </c>
      <c r="B3339" t="s">
        <v>12316</v>
      </c>
      <c r="C3339" t="s">
        <v>2184</v>
      </c>
      <c r="D3339" t="s">
        <v>12316</v>
      </c>
      <c r="E3339" t="s">
        <v>21643</v>
      </c>
      <c r="F3339" t="s">
        <v>108</v>
      </c>
      <c r="H3339" t="s">
        <v>21644</v>
      </c>
      <c r="I3339" t="s">
        <v>5551</v>
      </c>
      <c r="J3339" t="s">
        <v>111</v>
      </c>
      <c r="K3339" t="str">
        <f>"85248"</f>
        <v>85248</v>
      </c>
      <c r="L3339" t="s">
        <v>5367</v>
      </c>
      <c r="M3339" t="s">
        <v>21644</v>
      </c>
      <c r="N3339" t="s">
        <v>5551</v>
      </c>
      <c r="O3339" t="s">
        <v>111</v>
      </c>
      <c r="P3339" t="str">
        <f>"85248-6898"</f>
        <v>85248-6898</v>
      </c>
      <c r="Q3339" t="s">
        <v>113</v>
      </c>
      <c r="R3339" t="str">
        <f>"303-59-319"</f>
        <v>303-59-319</v>
      </c>
      <c r="S3339" t="s">
        <v>11739</v>
      </c>
      <c r="U3339">
        <v>1224</v>
      </c>
      <c r="V3339">
        <v>0</v>
      </c>
      <c r="W3339">
        <v>3</v>
      </c>
      <c r="X3339">
        <v>1985</v>
      </c>
      <c r="Z3339">
        <v>1</v>
      </c>
      <c r="AB3339">
        <v>0</v>
      </c>
      <c r="AC3339" t="s">
        <v>115</v>
      </c>
      <c r="AD3339">
        <v>2</v>
      </c>
      <c r="AE3339" t="s">
        <v>115</v>
      </c>
      <c r="AF3339">
        <v>0</v>
      </c>
      <c r="AG3339">
        <v>0</v>
      </c>
      <c r="AH3339" t="s">
        <v>116</v>
      </c>
      <c r="AI3339" s="1">
        <v>46093</v>
      </c>
      <c r="AJ3339" s="2">
        <v>0.19</v>
      </c>
      <c r="AK3339" s="1">
        <v>246093</v>
      </c>
      <c r="AL3339" t="s">
        <v>117</v>
      </c>
      <c r="AM3339" t="s">
        <v>191</v>
      </c>
      <c r="AN3339">
        <v>6900</v>
      </c>
      <c r="AO3339">
        <v>0.16</v>
      </c>
      <c r="AP3339">
        <v>1</v>
      </c>
      <c r="AR3339">
        <v>1</v>
      </c>
      <c r="AS3339" s="1">
        <v>16020</v>
      </c>
      <c r="AT3339" s="1">
        <v>3200</v>
      </c>
      <c r="AU3339" s="1">
        <v>12820</v>
      </c>
      <c r="AV3339">
        <v>80.02</v>
      </c>
      <c r="AX3339" s="1">
        <v>1496.02</v>
      </c>
      <c r="AY3339" t="s">
        <v>1881</v>
      </c>
      <c r="AZ3339" t="s">
        <v>1882</v>
      </c>
      <c r="BA3339" t="s">
        <v>121</v>
      </c>
      <c r="BE3339" s="3">
        <v>41733</v>
      </c>
      <c r="BF3339" s="1">
        <v>160200</v>
      </c>
      <c r="BG3339" t="s">
        <v>21645</v>
      </c>
      <c r="BH3339" s="1">
        <v>130.88</v>
      </c>
      <c r="BI3339" s="1">
        <v>200000</v>
      </c>
      <c r="BJ3339" s="3">
        <v>42845</v>
      </c>
      <c r="BK3339" t="s">
        <v>123</v>
      </c>
      <c r="BL3339" t="str">
        <f>"2017.281671"</f>
        <v>2017.281671</v>
      </c>
      <c r="BM3339" t="s">
        <v>683</v>
      </c>
      <c r="BN3339" t="s">
        <v>5502</v>
      </c>
      <c r="BO3339" t="s">
        <v>21646</v>
      </c>
      <c r="BS3339">
        <v>30</v>
      </c>
      <c r="BT3339" s="1">
        <v>200000</v>
      </c>
      <c r="BU3339" s="3">
        <v>42845</v>
      </c>
      <c r="BV3339" t="s">
        <v>123</v>
      </c>
      <c r="BW3339" t="str">
        <f>"2017.281671"</f>
        <v>2017.281671</v>
      </c>
      <c r="BX3339" t="s">
        <v>683</v>
      </c>
      <c r="BZ3339" t="s">
        <v>21646</v>
      </c>
      <c r="CD3339">
        <v>30</v>
      </c>
      <c r="CH3339" t="str">
        <f>""</f>
        <v/>
      </c>
      <c r="CS3339" t="str">
        <f>""</f>
        <v/>
      </c>
    </row>
    <row r="3340" spans="1:97" x14ac:dyDescent="0.25">
      <c r="A3340" t="s">
        <v>140</v>
      </c>
      <c r="B3340" t="s">
        <v>21647</v>
      </c>
      <c r="C3340" t="s">
        <v>21648</v>
      </c>
      <c r="D3340" t="s">
        <v>21649</v>
      </c>
      <c r="E3340" t="s">
        <v>21650</v>
      </c>
      <c r="F3340" t="s">
        <v>108</v>
      </c>
      <c r="H3340" t="s">
        <v>21651</v>
      </c>
      <c r="I3340" t="s">
        <v>390</v>
      </c>
      <c r="J3340" t="s">
        <v>111</v>
      </c>
      <c r="K3340" t="str">
        <f>"85027"</f>
        <v>85027</v>
      </c>
      <c r="L3340" t="s">
        <v>3430</v>
      </c>
      <c r="M3340" t="s">
        <v>21651</v>
      </c>
      <c r="N3340" t="s">
        <v>390</v>
      </c>
      <c r="O3340" t="s">
        <v>111</v>
      </c>
      <c r="P3340" t="str">
        <f>"85027-4627"</f>
        <v>85027-4627</v>
      </c>
      <c r="Q3340" t="s">
        <v>113</v>
      </c>
      <c r="R3340" t="str">
        <f>"209-22-124"</f>
        <v>209-22-124</v>
      </c>
      <c r="S3340" t="s">
        <v>21652</v>
      </c>
      <c r="U3340">
        <v>1756</v>
      </c>
      <c r="V3340">
        <v>0</v>
      </c>
      <c r="W3340">
        <v>2</v>
      </c>
      <c r="X3340">
        <v>1977</v>
      </c>
      <c r="Z3340">
        <v>1</v>
      </c>
      <c r="AA3340" t="s">
        <v>26</v>
      </c>
      <c r="AB3340">
        <v>0</v>
      </c>
      <c r="AC3340" t="s">
        <v>5188</v>
      </c>
      <c r="AD3340">
        <v>1</v>
      </c>
      <c r="AE3340" t="s">
        <v>5188</v>
      </c>
      <c r="AF3340">
        <v>0</v>
      </c>
      <c r="AG3340">
        <v>0</v>
      </c>
      <c r="AH3340" t="s">
        <v>116</v>
      </c>
      <c r="AI3340" s="1">
        <v>35484</v>
      </c>
      <c r="AJ3340" s="2">
        <v>0.13</v>
      </c>
      <c r="AK3340" s="1">
        <v>267909</v>
      </c>
      <c r="AL3340" t="s">
        <v>117</v>
      </c>
      <c r="AM3340" t="s">
        <v>171</v>
      </c>
      <c r="AN3340">
        <v>9624</v>
      </c>
      <c r="AO3340">
        <v>0.22</v>
      </c>
      <c r="AP3340">
        <v>1</v>
      </c>
      <c r="AR3340">
        <v>1</v>
      </c>
      <c r="AS3340" s="1">
        <v>18200</v>
      </c>
      <c r="AT3340" s="1">
        <v>3640</v>
      </c>
      <c r="AU3340" s="1">
        <v>14560</v>
      </c>
      <c r="AV3340">
        <v>80</v>
      </c>
      <c r="AX3340" s="1">
        <v>1063.32</v>
      </c>
      <c r="AY3340" t="s">
        <v>10684</v>
      </c>
      <c r="AZ3340" t="s">
        <v>2357</v>
      </c>
      <c r="BA3340" t="s">
        <v>1462</v>
      </c>
      <c r="BE3340" s="3">
        <v>41884</v>
      </c>
      <c r="BF3340" s="1">
        <v>170000</v>
      </c>
      <c r="BG3340" t="s">
        <v>21653</v>
      </c>
      <c r="BH3340" s="1">
        <v>96.81</v>
      </c>
      <c r="BI3340" s="1">
        <v>232425</v>
      </c>
      <c r="BJ3340" s="3">
        <v>43392</v>
      </c>
      <c r="BK3340" t="s">
        <v>123</v>
      </c>
      <c r="BL3340" t="str">
        <f>"2018.786000"</f>
        <v>2018.786000</v>
      </c>
      <c r="BM3340" t="s">
        <v>5534</v>
      </c>
      <c r="BN3340" t="s">
        <v>5066</v>
      </c>
      <c r="BO3340" t="s">
        <v>21654</v>
      </c>
      <c r="BP3340" t="s">
        <v>21655</v>
      </c>
      <c r="BR3340" t="s">
        <v>139</v>
      </c>
      <c r="BW3340" t="str">
        <f>""</f>
        <v/>
      </c>
      <c r="CH3340" t="str">
        <f>""</f>
        <v/>
      </c>
      <c r="CS3340" t="str">
        <f>""</f>
        <v/>
      </c>
    </row>
    <row r="3341" spans="1:97" x14ac:dyDescent="0.25">
      <c r="A3341" t="s">
        <v>701</v>
      </c>
      <c r="B3341" t="s">
        <v>21656</v>
      </c>
      <c r="C3341" t="s">
        <v>21657</v>
      </c>
      <c r="D3341" t="s">
        <v>21656</v>
      </c>
      <c r="E3341" t="s">
        <v>21658</v>
      </c>
      <c r="F3341" t="s">
        <v>108</v>
      </c>
      <c r="H3341" t="s">
        <v>21659</v>
      </c>
      <c r="I3341" t="s">
        <v>110</v>
      </c>
      <c r="J3341" t="s">
        <v>111</v>
      </c>
      <c r="K3341" t="str">
        <f>"85249"</f>
        <v>85249</v>
      </c>
      <c r="L3341" t="s">
        <v>5048</v>
      </c>
      <c r="M3341" t="s">
        <v>21659</v>
      </c>
      <c r="N3341" t="s">
        <v>110</v>
      </c>
      <c r="O3341" t="s">
        <v>111</v>
      </c>
      <c r="P3341" t="str">
        <f>"85249-4226"</f>
        <v>85249-4226</v>
      </c>
      <c r="Q3341" t="s">
        <v>113</v>
      </c>
      <c r="R3341" t="str">
        <f>"303-79-712"</f>
        <v>303-79-712</v>
      </c>
      <c r="S3341" t="s">
        <v>21660</v>
      </c>
      <c r="U3341">
        <v>1060</v>
      </c>
      <c r="V3341">
        <v>0</v>
      </c>
      <c r="W3341">
        <v>2</v>
      </c>
      <c r="X3341">
        <v>2000</v>
      </c>
      <c r="Z3341">
        <v>1</v>
      </c>
      <c r="AB3341">
        <v>0</v>
      </c>
      <c r="AC3341" t="s">
        <v>115</v>
      </c>
      <c r="AD3341">
        <v>2</v>
      </c>
      <c r="AE3341" t="s">
        <v>115</v>
      </c>
      <c r="AF3341">
        <v>0</v>
      </c>
      <c r="AG3341">
        <v>0</v>
      </c>
      <c r="AH3341" t="s">
        <v>116</v>
      </c>
      <c r="AI3341" s="1">
        <v>29785</v>
      </c>
      <c r="AJ3341" s="2">
        <v>0.13</v>
      </c>
      <c r="AK3341" s="1">
        <v>236385</v>
      </c>
      <c r="AL3341" t="s">
        <v>117</v>
      </c>
      <c r="AM3341" t="s">
        <v>118</v>
      </c>
      <c r="AN3341">
        <v>4900</v>
      </c>
      <c r="AO3341">
        <v>0.11</v>
      </c>
      <c r="AP3341">
        <v>1</v>
      </c>
      <c r="AR3341">
        <v>1</v>
      </c>
      <c r="AS3341" s="1">
        <v>15330</v>
      </c>
      <c r="AT3341" s="1">
        <v>3060</v>
      </c>
      <c r="AU3341" s="1">
        <v>12270</v>
      </c>
      <c r="AV3341">
        <v>80.040000000000006</v>
      </c>
      <c r="AX3341" s="1">
        <v>1340.28</v>
      </c>
      <c r="AY3341" t="s">
        <v>5050</v>
      </c>
      <c r="AZ3341" t="s">
        <v>120</v>
      </c>
      <c r="BA3341" t="s">
        <v>274</v>
      </c>
      <c r="BE3341" s="3">
        <v>41880</v>
      </c>
      <c r="BF3341" s="1">
        <v>170000</v>
      </c>
      <c r="BG3341" t="s">
        <v>21661</v>
      </c>
      <c r="BH3341" s="1">
        <v>160.38</v>
      </c>
      <c r="BI3341" s="1">
        <v>206600</v>
      </c>
      <c r="BJ3341" s="3">
        <v>43007</v>
      </c>
      <c r="BK3341" t="s">
        <v>123</v>
      </c>
      <c r="BL3341" t="str">
        <f>"2017.720970"</f>
        <v>2017.720970</v>
      </c>
      <c r="BM3341" t="s">
        <v>2683</v>
      </c>
      <c r="BO3341" t="s">
        <v>21662</v>
      </c>
      <c r="BS3341">
        <v>30</v>
      </c>
      <c r="BW3341" t="str">
        <f>""</f>
        <v/>
      </c>
      <c r="CH3341" t="str">
        <f>""</f>
        <v/>
      </c>
      <c r="CS3341" t="str">
        <f>""</f>
        <v/>
      </c>
    </row>
    <row r="3342" spans="1:97" x14ac:dyDescent="0.25">
      <c r="A3342" t="s">
        <v>21663</v>
      </c>
      <c r="B3342" t="s">
        <v>21664</v>
      </c>
      <c r="E3342" t="s">
        <v>21665</v>
      </c>
      <c r="F3342" t="s">
        <v>108</v>
      </c>
      <c r="H3342" t="s">
        <v>21666</v>
      </c>
      <c r="I3342" t="s">
        <v>144</v>
      </c>
      <c r="J3342" t="s">
        <v>111</v>
      </c>
      <c r="K3342" t="str">
        <f>"85326"</f>
        <v>85326</v>
      </c>
      <c r="L3342" t="s">
        <v>6481</v>
      </c>
      <c r="M3342" t="s">
        <v>21666</v>
      </c>
      <c r="N3342" t="s">
        <v>144</v>
      </c>
      <c r="O3342" t="s">
        <v>111</v>
      </c>
      <c r="P3342" t="str">
        <f>"85326-9182"</f>
        <v>85326-9182</v>
      </c>
      <c r="Q3342" t="s">
        <v>113</v>
      </c>
      <c r="R3342" t="str">
        <f>"504-26-698"</f>
        <v>504-26-698</v>
      </c>
      <c r="S3342" t="s">
        <v>6623</v>
      </c>
      <c r="U3342">
        <v>2258</v>
      </c>
      <c r="V3342">
        <v>0</v>
      </c>
      <c r="W3342">
        <v>4</v>
      </c>
      <c r="X3342">
        <v>2006</v>
      </c>
      <c r="Z3342">
        <v>2</v>
      </c>
      <c r="AA3342" t="s">
        <v>26</v>
      </c>
      <c r="AB3342">
        <v>0</v>
      </c>
      <c r="AC3342" t="s">
        <v>115</v>
      </c>
      <c r="AD3342">
        <v>3</v>
      </c>
      <c r="AE3342" t="s">
        <v>115</v>
      </c>
      <c r="AF3342">
        <v>0</v>
      </c>
      <c r="AG3342">
        <v>0</v>
      </c>
      <c r="AH3342" t="s">
        <v>116</v>
      </c>
      <c r="AI3342" s="1">
        <v>35076</v>
      </c>
      <c r="AJ3342" s="2">
        <v>0.14000000000000001</v>
      </c>
      <c r="AK3342" s="1">
        <v>244076</v>
      </c>
      <c r="AL3342" t="s">
        <v>117</v>
      </c>
      <c r="AM3342" t="s">
        <v>118</v>
      </c>
      <c r="AN3342">
        <v>6095</v>
      </c>
      <c r="AO3342">
        <v>0.14000000000000001</v>
      </c>
      <c r="AR3342">
        <v>1</v>
      </c>
      <c r="AS3342" s="1">
        <v>17880</v>
      </c>
      <c r="AT3342" s="1">
        <v>3570</v>
      </c>
      <c r="AU3342" s="1">
        <v>14310</v>
      </c>
      <c r="AV3342">
        <v>80.03</v>
      </c>
      <c r="AX3342" s="1">
        <v>2242.94</v>
      </c>
      <c r="AY3342" t="s">
        <v>6624</v>
      </c>
      <c r="AZ3342" t="s">
        <v>6624</v>
      </c>
      <c r="BA3342" t="s">
        <v>5025</v>
      </c>
      <c r="BE3342" s="3">
        <v>42131</v>
      </c>
      <c r="BF3342" s="1">
        <v>185000</v>
      </c>
      <c r="BG3342" t="s">
        <v>21667</v>
      </c>
      <c r="BH3342" s="1">
        <v>81.93</v>
      </c>
      <c r="BI3342" s="1">
        <v>209000</v>
      </c>
      <c r="BJ3342" s="3">
        <v>42775</v>
      </c>
      <c r="BK3342" t="s">
        <v>123</v>
      </c>
      <c r="BL3342" t="str">
        <f>"2017.97345"</f>
        <v>2017.97345</v>
      </c>
      <c r="BM3342" t="s">
        <v>361</v>
      </c>
      <c r="BO3342" t="s">
        <v>21668</v>
      </c>
      <c r="BS3342">
        <v>30</v>
      </c>
      <c r="BW3342" t="str">
        <f>""</f>
        <v/>
      </c>
      <c r="CH3342" t="str">
        <f>""</f>
        <v/>
      </c>
      <c r="CS3342" t="str">
        <f>""</f>
        <v/>
      </c>
    </row>
    <row r="3343" spans="1:97" x14ac:dyDescent="0.25">
      <c r="A3343" t="s">
        <v>3077</v>
      </c>
      <c r="B3343" t="s">
        <v>1697</v>
      </c>
      <c r="C3343" t="s">
        <v>8839</v>
      </c>
      <c r="D3343" t="s">
        <v>1697</v>
      </c>
      <c r="E3343" t="s">
        <v>21669</v>
      </c>
      <c r="F3343" t="s">
        <v>108</v>
      </c>
      <c r="H3343" t="s">
        <v>21670</v>
      </c>
      <c r="I3343" t="s">
        <v>225</v>
      </c>
      <c r="J3343" t="s">
        <v>111</v>
      </c>
      <c r="K3343" t="str">
        <f>"85204"</f>
        <v>85204</v>
      </c>
      <c r="L3343" t="s">
        <v>9597</v>
      </c>
      <c r="M3343" t="s">
        <v>21670</v>
      </c>
      <c r="N3343" t="s">
        <v>225</v>
      </c>
      <c r="O3343" t="s">
        <v>111</v>
      </c>
      <c r="P3343" t="str">
        <f>"85204-6261"</f>
        <v>85204-6261</v>
      </c>
      <c r="Q3343" t="s">
        <v>113</v>
      </c>
      <c r="R3343" t="str">
        <f>"140-60-195"</f>
        <v>140-60-195</v>
      </c>
      <c r="S3343" t="s">
        <v>9598</v>
      </c>
      <c r="T3343" t="s">
        <v>9599</v>
      </c>
      <c r="U3343">
        <v>1574</v>
      </c>
      <c r="V3343">
        <v>0</v>
      </c>
      <c r="W3343">
        <v>2</v>
      </c>
      <c r="X3343">
        <v>1983</v>
      </c>
      <c r="Z3343">
        <v>1</v>
      </c>
      <c r="AB3343">
        <v>0</v>
      </c>
      <c r="AC3343" t="s">
        <v>5188</v>
      </c>
      <c r="AD3343">
        <v>2</v>
      </c>
      <c r="AE3343" t="s">
        <v>5188</v>
      </c>
      <c r="AF3343">
        <v>0</v>
      </c>
      <c r="AG3343">
        <v>0</v>
      </c>
      <c r="AH3343" t="s">
        <v>116</v>
      </c>
      <c r="AI3343" s="1">
        <v>36598</v>
      </c>
      <c r="AJ3343" s="2">
        <v>0.15</v>
      </c>
      <c r="AK3343" s="1">
        <v>246005</v>
      </c>
      <c r="AL3343" t="s">
        <v>117</v>
      </c>
      <c r="AM3343" t="s">
        <v>393</v>
      </c>
      <c r="AN3343">
        <v>7793</v>
      </c>
      <c r="AO3343">
        <v>0.18</v>
      </c>
      <c r="AP3343">
        <v>1</v>
      </c>
      <c r="AR3343">
        <v>1</v>
      </c>
      <c r="AS3343" s="1">
        <v>16250</v>
      </c>
      <c r="AT3343" s="1">
        <v>3250</v>
      </c>
      <c r="AU3343" s="1">
        <v>13000</v>
      </c>
      <c r="AV3343">
        <v>80</v>
      </c>
      <c r="AX3343" s="1">
        <v>1053.1400000000001</v>
      </c>
      <c r="AY3343" t="s">
        <v>9600</v>
      </c>
      <c r="AZ3343" t="s">
        <v>5158</v>
      </c>
      <c r="BA3343" t="s">
        <v>5159</v>
      </c>
      <c r="BE3343" s="3">
        <v>42314</v>
      </c>
      <c r="BF3343" s="1">
        <v>205000</v>
      </c>
      <c r="BG3343" t="s">
        <v>21671</v>
      </c>
      <c r="BH3343" s="1">
        <v>130.24</v>
      </c>
      <c r="BI3343" s="1">
        <v>209407</v>
      </c>
      <c r="BJ3343" s="3">
        <v>42314</v>
      </c>
      <c r="BK3343" t="s">
        <v>123</v>
      </c>
      <c r="BL3343" t="str">
        <f>"2015.800676"</f>
        <v>2015.800676</v>
      </c>
      <c r="BM3343" t="s">
        <v>11502</v>
      </c>
      <c r="BO3343" t="s">
        <v>21672</v>
      </c>
      <c r="BS3343">
        <v>30</v>
      </c>
      <c r="BW3343" t="str">
        <f>""</f>
        <v/>
      </c>
      <c r="CH3343" t="str">
        <f>""</f>
        <v/>
      </c>
      <c r="CS3343" t="str">
        <f>""</f>
        <v/>
      </c>
    </row>
    <row r="3344" spans="1:97" x14ac:dyDescent="0.25">
      <c r="A3344" t="s">
        <v>7562</v>
      </c>
      <c r="B3344" t="s">
        <v>21673</v>
      </c>
      <c r="C3344" t="s">
        <v>21674</v>
      </c>
      <c r="D3344" t="s">
        <v>21675</v>
      </c>
      <c r="E3344" t="s">
        <v>21676</v>
      </c>
      <c r="F3344" t="s">
        <v>108</v>
      </c>
      <c r="H3344" t="s">
        <v>21677</v>
      </c>
      <c r="I3344" t="s">
        <v>110</v>
      </c>
      <c r="J3344" t="s">
        <v>111</v>
      </c>
      <c r="K3344" t="str">
        <f>"85225"</f>
        <v>85225</v>
      </c>
      <c r="L3344" t="s">
        <v>6333</v>
      </c>
      <c r="M3344" t="s">
        <v>21677</v>
      </c>
      <c r="N3344" t="s">
        <v>110</v>
      </c>
      <c r="O3344" t="s">
        <v>111</v>
      </c>
      <c r="P3344" t="str">
        <f>"85225-1710"</f>
        <v>85225-1710</v>
      </c>
      <c r="Q3344" t="s">
        <v>113</v>
      </c>
      <c r="R3344" t="str">
        <f>"310-06-046"</f>
        <v>310-06-046</v>
      </c>
      <c r="S3344" t="s">
        <v>21678</v>
      </c>
      <c r="U3344">
        <v>1632</v>
      </c>
      <c r="V3344">
        <v>0</v>
      </c>
      <c r="W3344">
        <v>3</v>
      </c>
      <c r="X3344">
        <v>1995</v>
      </c>
      <c r="Z3344">
        <v>1</v>
      </c>
      <c r="AB3344">
        <v>0</v>
      </c>
      <c r="AC3344" t="s">
        <v>115</v>
      </c>
      <c r="AD3344">
        <v>2</v>
      </c>
      <c r="AE3344" t="s">
        <v>115</v>
      </c>
      <c r="AF3344">
        <v>0</v>
      </c>
      <c r="AG3344">
        <v>0</v>
      </c>
      <c r="AH3344" t="s">
        <v>116</v>
      </c>
      <c r="AI3344" s="1">
        <v>80292</v>
      </c>
      <c r="AJ3344" s="2">
        <v>0.27</v>
      </c>
      <c r="AK3344" s="1">
        <v>292146</v>
      </c>
      <c r="AL3344" t="s">
        <v>117</v>
      </c>
      <c r="AM3344" t="s">
        <v>118</v>
      </c>
      <c r="AN3344">
        <v>5624</v>
      </c>
      <c r="AO3344">
        <v>0.13</v>
      </c>
      <c r="AP3344">
        <v>1</v>
      </c>
      <c r="AR3344">
        <v>1</v>
      </c>
      <c r="AS3344" s="1">
        <v>20220</v>
      </c>
      <c r="AT3344" s="1">
        <v>4040</v>
      </c>
      <c r="AU3344" s="1">
        <v>16180</v>
      </c>
      <c r="AV3344">
        <v>80.02</v>
      </c>
      <c r="AX3344" s="1">
        <v>1387.08</v>
      </c>
      <c r="AY3344" t="s">
        <v>5650</v>
      </c>
      <c r="AZ3344" t="s">
        <v>5078</v>
      </c>
      <c r="BA3344" t="s">
        <v>2957</v>
      </c>
      <c r="BE3344" s="3">
        <v>41666</v>
      </c>
      <c r="BF3344" s="1">
        <v>204900</v>
      </c>
      <c r="BG3344" t="s">
        <v>21679</v>
      </c>
      <c r="BH3344" s="1">
        <v>125.55</v>
      </c>
      <c r="BI3344" s="1">
        <v>211854</v>
      </c>
      <c r="BJ3344" s="3">
        <v>42212</v>
      </c>
      <c r="BK3344" t="s">
        <v>123</v>
      </c>
      <c r="BL3344" t="str">
        <f>"2015.536985"</f>
        <v>2015.536985</v>
      </c>
      <c r="BM3344" t="s">
        <v>322</v>
      </c>
      <c r="BO3344" t="s">
        <v>21680</v>
      </c>
      <c r="BP3344" t="s">
        <v>21681</v>
      </c>
      <c r="BS3344">
        <v>30</v>
      </c>
      <c r="BW3344" t="str">
        <f>""</f>
        <v/>
      </c>
      <c r="CH3344" t="str">
        <f>""</f>
        <v/>
      </c>
      <c r="CS3344" t="str">
        <f>""</f>
        <v/>
      </c>
    </row>
    <row r="3345" spans="1:97" x14ac:dyDescent="0.25">
      <c r="A3345" t="s">
        <v>412</v>
      </c>
      <c r="B3345" t="s">
        <v>21682</v>
      </c>
      <c r="E3345" t="s">
        <v>21683</v>
      </c>
      <c r="F3345" t="s">
        <v>108</v>
      </c>
      <c r="H3345" t="s">
        <v>21684</v>
      </c>
      <c r="I3345" t="s">
        <v>390</v>
      </c>
      <c r="J3345" t="s">
        <v>111</v>
      </c>
      <c r="K3345" t="str">
        <f>"85051"</f>
        <v>85051</v>
      </c>
      <c r="L3345" t="s">
        <v>9168</v>
      </c>
      <c r="M3345" t="s">
        <v>21684</v>
      </c>
      <c r="N3345" t="s">
        <v>390</v>
      </c>
      <c r="O3345" t="s">
        <v>111</v>
      </c>
      <c r="P3345" t="str">
        <f>"85051-6680"</f>
        <v>85051-6680</v>
      </c>
      <c r="Q3345" t="s">
        <v>113</v>
      </c>
      <c r="R3345" t="str">
        <f>"151-02-042"</f>
        <v>151-02-042</v>
      </c>
      <c r="S3345" t="s">
        <v>21685</v>
      </c>
      <c r="T3345" t="s">
        <v>21686</v>
      </c>
      <c r="U3345">
        <v>1677</v>
      </c>
      <c r="V3345">
        <v>0</v>
      </c>
      <c r="W3345">
        <v>3</v>
      </c>
      <c r="X3345">
        <v>1992</v>
      </c>
      <c r="Z3345">
        <v>1</v>
      </c>
      <c r="AB3345">
        <v>0</v>
      </c>
      <c r="AC3345" t="s">
        <v>115</v>
      </c>
      <c r="AD3345">
        <v>3</v>
      </c>
      <c r="AE3345" t="s">
        <v>115</v>
      </c>
      <c r="AF3345">
        <v>0</v>
      </c>
      <c r="AG3345">
        <v>0</v>
      </c>
      <c r="AH3345" t="s">
        <v>116</v>
      </c>
      <c r="AI3345" s="1">
        <v>66244</v>
      </c>
      <c r="AJ3345" s="2">
        <v>0.24</v>
      </c>
      <c r="AK3345" s="1">
        <v>272844</v>
      </c>
      <c r="AL3345" t="s">
        <v>117</v>
      </c>
      <c r="AM3345" t="s">
        <v>191</v>
      </c>
      <c r="AN3345">
        <v>7418</v>
      </c>
      <c r="AO3345">
        <v>0.17</v>
      </c>
      <c r="AP3345">
        <v>1</v>
      </c>
      <c r="AR3345">
        <v>1</v>
      </c>
      <c r="AS3345" s="1">
        <v>19500</v>
      </c>
      <c r="AT3345" s="1">
        <v>3900</v>
      </c>
      <c r="AU3345" s="1">
        <v>15600</v>
      </c>
      <c r="AV3345">
        <v>80</v>
      </c>
      <c r="AX3345" s="1">
        <v>1832.8</v>
      </c>
      <c r="AY3345" t="s">
        <v>7431</v>
      </c>
      <c r="AZ3345" t="s">
        <v>19791</v>
      </c>
      <c r="BA3345" t="s">
        <v>21687</v>
      </c>
      <c r="BE3345" s="3">
        <v>42170</v>
      </c>
      <c r="BF3345" s="1">
        <v>200000</v>
      </c>
      <c r="BG3345" t="s">
        <v>21688</v>
      </c>
      <c r="BH3345" s="1">
        <v>130.88999999999999</v>
      </c>
      <c r="BI3345" s="1">
        <v>206600</v>
      </c>
      <c r="BJ3345" s="3">
        <v>42170</v>
      </c>
      <c r="BK3345" t="s">
        <v>123</v>
      </c>
      <c r="BL3345" t="str">
        <f>"2015.426225"</f>
        <v>2015.426225</v>
      </c>
      <c r="BM3345" t="s">
        <v>903</v>
      </c>
      <c r="BO3345" t="s">
        <v>21689</v>
      </c>
      <c r="BS3345">
        <v>30</v>
      </c>
      <c r="BW3345" t="str">
        <f>""</f>
        <v/>
      </c>
      <c r="CH3345" t="str">
        <f>""</f>
        <v/>
      </c>
      <c r="CS3345" t="str">
        <f>""</f>
        <v/>
      </c>
    </row>
    <row r="3346" spans="1:97" x14ac:dyDescent="0.25">
      <c r="A3346" t="s">
        <v>1850</v>
      </c>
      <c r="B3346" t="s">
        <v>412</v>
      </c>
      <c r="E3346" t="s">
        <v>21690</v>
      </c>
      <c r="F3346" t="s">
        <v>108</v>
      </c>
      <c r="H3346" t="s">
        <v>21691</v>
      </c>
      <c r="I3346" t="s">
        <v>390</v>
      </c>
      <c r="J3346" t="s">
        <v>111</v>
      </c>
      <c r="K3346" t="str">
        <f>"85024"</f>
        <v>85024</v>
      </c>
      <c r="L3346" t="s">
        <v>5438</v>
      </c>
      <c r="M3346" t="s">
        <v>21691</v>
      </c>
      <c r="N3346" t="s">
        <v>390</v>
      </c>
      <c r="O3346" t="s">
        <v>111</v>
      </c>
      <c r="P3346" t="str">
        <f>"85024-1257"</f>
        <v>85024-1257</v>
      </c>
      <c r="Q3346" t="s">
        <v>113</v>
      </c>
      <c r="R3346" t="str">
        <f>"213-26-165"</f>
        <v>213-26-165</v>
      </c>
      <c r="S3346" t="s">
        <v>21692</v>
      </c>
      <c r="T3346" t="s">
        <v>21692</v>
      </c>
      <c r="U3346">
        <v>1614</v>
      </c>
      <c r="V3346">
        <v>0</v>
      </c>
      <c r="W3346">
        <v>3</v>
      </c>
      <c r="X3346">
        <v>1996</v>
      </c>
      <c r="Z3346">
        <v>1</v>
      </c>
      <c r="AB3346">
        <v>0</v>
      </c>
      <c r="AC3346" t="s">
        <v>115</v>
      </c>
      <c r="AD3346">
        <v>2</v>
      </c>
      <c r="AE3346" t="s">
        <v>115</v>
      </c>
      <c r="AF3346">
        <v>0</v>
      </c>
      <c r="AG3346">
        <v>0</v>
      </c>
      <c r="AH3346" t="s">
        <v>116</v>
      </c>
      <c r="AI3346" s="1">
        <v>29827</v>
      </c>
      <c r="AJ3346" s="2">
        <v>0.1</v>
      </c>
      <c r="AK3346" s="1">
        <v>300473</v>
      </c>
      <c r="AL3346" t="s">
        <v>117</v>
      </c>
      <c r="AM3346" t="s">
        <v>191</v>
      </c>
      <c r="AN3346">
        <v>4954</v>
      </c>
      <c r="AO3346">
        <v>0.11</v>
      </c>
      <c r="AP3346">
        <v>1</v>
      </c>
      <c r="AR3346">
        <v>1</v>
      </c>
      <c r="AS3346" s="1">
        <v>21320</v>
      </c>
      <c r="AT3346" s="1">
        <v>4260</v>
      </c>
      <c r="AU3346" s="1">
        <v>17060</v>
      </c>
      <c r="AV3346">
        <v>80.02</v>
      </c>
      <c r="AX3346" s="1">
        <v>1721.34</v>
      </c>
      <c r="AY3346" t="s">
        <v>5710</v>
      </c>
      <c r="AZ3346" t="s">
        <v>761</v>
      </c>
      <c r="BA3346" t="s">
        <v>2551</v>
      </c>
      <c r="BE3346" s="3">
        <v>42513</v>
      </c>
      <c r="BF3346" s="1">
        <v>266000</v>
      </c>
      <c r="BG3346" t="s">
        <v>21693</v>
      </c>
      <c r="BH3346" s="1">
        <v>164.81</v>
      </c>
      <c r="BI3346" s="1">
        <v>270646</v>
      </c>
      <c r="BJ3346" s="3">
        <v>42513</v>
      </c>
      <c r="BK3346" t="s">
        <v>123</v>
      </c>
      <c r="BL3346" t="str">
        <f>"2016.352778"</f>
        <v>2016.352778</v>
      </c>
      <c r="BM3346" t="s">
        <v>709</v>
      </c>
      <c r="BO3346" t="s">
        <v>21694</v>
      </c>
      <c r="BS3346">
        <v>30</v>
      </c>
      <c r="BW3346" t="str">
        <f>""</f>
        <v/>
      </c>
      <c r="CH3346" t="str">
        <f>""</f>
        <v/>
      </c>
      <c r="CS3346" t="str">
        <f>""</f>
        <v/>
      </c>
    </row>
    <row r="3347" spans="1:97" x14ac:dyDescent="0.25">
      <c r="A3347" t="s">
        <v>886</v>
      </c>
      <c r="B3347" t="s">
        <v>21695</v>
      </c>
      <c r="C3347" t="s">
        <v>6046</v>
      </c>
      <c r="D3347" t="s">
        <v>21696</v>
      </c>
      <c r="E3347" t="s">
        <v>21697</v>
      </c>
      <c r="F3347" t="s">
        <v>108</v>
      </c>
      <c r="H3347" t="s">
        <v>21698</v>
      </c>
      <c r="I3347" t="s">
        <v>1936</v>
      </c>
      <c r="J3347" t="s">
        <v>111</v>
      </c>
      <c r="K3347" t="str">
        <f>"85250"</f>
        <v>85250</v>
      </c>
      <c r="L3347" t="s">
        <v>6891</v>
      </c>
      <c r="M3347" t="s">
        <v>21698</v>
      </c>
      <c r="N3347" t="s">
        <v>1936</v>
      </c>
      <c r="O3347" t="s">
        <v>111</v>
      </c>
      <c r="P3347" t="str">
        <f>"85250-5838"</f>
        <v>85250-5838</v>
      </c>
      <c r="Q3347" t="s">
        <v>113</v>
      </c>
      <c r="R3347" t="str">
        <f>"174-10-330"</f>
        <v>174-10-330</v>
      </c>
      <c r="S3347" t="s">
        <v>15215</v>
      </c>
      <c r="U3347">
        <v>2148</v>
      </c>
      <c r="V3347">
        <v>0</v>
      </c>
      <c r="W3347">
        <v>2</v>
      </c>
      <c r="X3347">
        <v>1965</v>
      </c>
      <c r="Z3347">
        <v>2</v>
      </c>
      <c r="AA3347" t="s">
        <v>26</v>
      </c>
      <c r="AB3347">
        <v>0</v>
      </c>
      <c r="AC3347" t="s">
        <v>115</v>
      </c>
      <c r="AD3347">
        <v>2</v>
      </c>
      <c r="AE3347" t="s">
        <v>115</v>
      </c>
      <c r="AF3347">
        <v>0</v>
      </c>
      <c r="AG3347">
        <v>0</v>
      </c>
      <c r="AH3347" t="s">
        <v>5467</v>
      </c>
      <c r="AI3347" s="1">
        <v>105330</v>
      </c>
      <c r="AJ3347" s="2">
        <v>0.22</v>
      </c>
      <c r="AK3347" s="1">
        <v>484330</v>
      </c>
      <c r="AL3347" t="s">
        <v>117</v>
      </c>
      <c r="AM3347" t="s">
        <v>393</v>
      </c>
      <c r="AN3347">
        <v>7713</v>
      </c>
      <c r="AO3347">
        <v>0.18</v>
      </c>
      <c r="AP3347">
        <v>1</v>
      </c>
      <c r="AR3347">
        <v>1</v>
      </c>
      <c r="AS3347" s="1">
        <v>31210</v>
      </c>
      <c r="AT3347" s="1">
        <v>6240</v>
      </c>
      <c r="AU3347" s="1">
        <v>24970</v>
      </c>
      <c r="AV3347">
        <v>80.010000000000005</v>
      </c>
      <c r="AX3347" s="1">
        <v>1649.54</v>
      </c>
      <c r="AY3347" t="s">
        <v>6974</v>
      </c>
      <c r="AZ3347" t="s">
        <v>6975</v>
      </c>
      <c r="BA3347" t="s">
        <v>6976</v>
      </c>
      <c r="BE3347" s="3">
        <v>41955</v>
      </c>
      <c r="BF3347" s="1">
        <v>379000</v>
      </c>
      <c r="BG3347" t="s">
        <v>21699</v>
      </c>
      <c r="BH3347" s="1">
        <v>176.44</v>
      </c>
      <c r="BI3347" s="1">
        <v>379000</v>
      </c>
      <c r="BJ3347" s="3">
        <v>41955</v>
      </c>
      <c r="BK3347" t="s">
        <v>123</v>
      </c>
      <c r="BL3347" t="str">
        <f>"2014.749636"</f>
        <v>2014.749636</v>
      </c>
      <c r="BM3347" t="s">
        <v>724</v>
      </c>
      <c r="BO3347" t="s">
        <v>21700</v>
      </c>
      <c r="BP3347" t="s">
        <v>21700</v>
      </c>
      <c r="BS3347">
        <v>30</v>
      </c>
      <c r="BW3347" t="str">
        <f>""</f>
        <v/>
      </c>
      <c r="CH3347" t="str">
        <f>""</f>
        <v/>
      </c>
      <c r="CS3347" t="str">
        <f>""</f>
        <v/>
      </c>
    </row>
    <row r="3348" spans="1:97" x14ac:dyDescent="0.25">
      <c r="A3348" t="s">
        <v>478</v>
      </c>
      <c r="B3348" t="s">
        <v>3333</v>
      </c>
      <c r="E3348" t="s">
        <v>21701</v>
      </c>
      <c r="F3348" t="s">
        <v>108</v>
      </c>
      <c r="H3348" t="s">
        <v>21702</v>
      </c>
      <c r="I3348" t="s">
        <v>6844</v>
      </c>
      <c r="J3348" t="s">
        <v>111</v>
      </c>
      <c r="K3348" t="str">
        <f>"85361"</f>
        <v>85361</v>
      </c>
      <c r="M3348" t="s">
        <v>21702</v>
      </c>
      <c r="N3348" t="s">
        <v>6844</v>
      </c>
      <c r="O3348" t="s">
        <v>111</v>
      </c>
      <c r="P3348" t="str">
        <f>"85361"</f>
        <v>85361</v>
      </c>
      <c r="Q3348" t="s">
        <v>113</v>
      </c>
      <c r="R3348" t="str">
        <f>"503-39-005-M"</f>
        <v>503-39-005-M</v>
      </c>
      <c r="U3348">
        <v>2185</v>
      </c>
      <c r="V3348">
        <v>0</v>
      </c>
      <c r="W3348">
        <v>3</v>
      </c>
      <c r="X3348">
        <v>2014</v>
      </c>
      <c r="Z3348">
        <v>1</v>
      </c>
      <c r="AB3348">
        <v>0</v>
      </c>
      <c r="AC3348" t="s">
        <v>115</v>
      </c>
      <c r="AD3348">
        <v>3</v>
      </c>
      <c r="AE3348" t="s">
        <v>115</v>
      </c>
      <c r="AF3348">
        <v>0</v>
      </c>
      <c r="AG3348">
        <v>0</v>
      </c>
      <c r="AH3348" t="s">
        <v>116</v>
      </c>
      <c r="AI3348" s="1">
        <v>-82639</v>
      </c>
      <c r="AJ3348" s="2">
        <v>-0.23</v>
      </c>
      <c r="AK3348" s="1">
        <v>361961</v>
      </c>
      <c r="AL3348" t="s">
        <v>117</v>
      </c>
      <c r="AM3348" t="s">
        <v>376</v>
      </c>
      <c r="AN3348">
        <v>51228</v>
      </c>
      <c r="AO3348">
        <v>1.18</v>
      </c>
      <c r="AR3348">
        <v>1</v>
      </c>
      <c r="AS3348" s="1">
        <v>25600</v>
      </c>
      <c r="AT3348" s="1">
        <v>5120</v>
      </c>
      <c r="AU3348" s="1">
        <v>20480</v>
      </c>
      <c r="AV3348">
        <v>80</v>
      </c>
      <c r="AX3348" s="1">
        <v>1611.62</v>
      </c>
      <c r="AY3348" t="s">
        <v>6847</v>
      </c>
      <c r="AZ3348" t="s">
        <v>6847</v>
      </c>
      <c r="BB3348" s="3">
        <v>42671</v>
      </c>
      <c r="BD3348" t="s">
        <v>21703</v>
      </c>
      <c r="BE3348" s="3">
        <v>41718</v>
      </c>
      <c r="BF3348" s="1">
        <v>220000</v>
      </c>
      <c r="BG3348" t="s">
        <v>8742</v>
      </c>
      <c r="BH3348" s="1">
        <v>100.69</v>
      </c>
      <c r="BI3348" s="1">
        <v>222300</v>
      </c>
      <c r="BJ3348" s="3">
        <v>42012</v>
      </c>
      <c r="BK3348" t="s">
        <v>123</v>
      </c>
      <c r="BL3348" t="str">
        <f>"2015.10922"</f>
        <v>2015.10922</v>
      </c>
      <c r="BM3348" t="s">
        <v>322</v>
      </c>
      <c r="BO3348" t="s">
        <v>21704</v>
      </c>
      <c r="BS3348">
        <v>30</v>
      </c>
      <c r="BT3348" s="1">
        <v>222300</v>
      </c>
      <c r="BU3348" s="3">
        <v>42013</v>
      </c>
      <c r="BV3348" t="s">
        <v>123</v>
      </c>
      <c r="BW3348" t="str">
        <f>"2015.13283"</f>
        <v>2015.13283</v>
      </c>
      <c r="BX3348" t="s">
        <v>322</v>
      </c>
      <c r="BZ3348" t="s">
        <v>21704</v>
      </c>
      <c r="CD3348">
        <v>30</v>
      </c>
      <c r="CH3348" t="str">
        <f>""</f>
        <v/>
      </c>
      <c r="CS3348" t="str">
        <f>""</f>
        <v/>
      </c>
    </row>
    <row r="3349" spans="1:97" x14ac:dyDescent="0.25">
      <c r="A3349" t="s">
        <v>2770</v>
      </c>
      <c r="B3349" t="s">
        <v>21705</v>
      </c>
      <c r="E3349" t="s">
        <v>21706</v>
      </c>
      <c r="F3349" t="s">
        <v>108</v>
      </c>
      <c r="H3349" t="s">
        <v>21707</v>
      </c>
      <c r="I3349" t="s">
        <v>499</v>
      </c>
      <c r="J3349" t="s">
        <v>111</v>
      </c>
      <c r="K3349" t="str">
        <f>"85338"</f>
        <v>85338</v>
      </c>
      <c r="L3349" t="s">
        <v>5291</v>
      </c>
      <c r="M3349" t="s">
        <v>21707</v>
      </c>
      <c r="N3349" t="s">
        <v>499</v>
      </c>
      <c r="O3349" t="s">
        <v>111</v>
      </c>
      <c r="P3349" t="str">
        <f>"85338-5479"</f>
        <v>85338-5479</v>
      </c>
      <c r="Q3349" t="s">
        <v>113</v>
      </c>
      <c r="R3349" t="str">
        <f>"400-03-401"</f>
        <v>400-03-401</v>
      </c>
      <c r="S3349" t="s">
        <v>21708</v>
      </c>
      <c r="U3349">
        <v>2649</v>
      </c>
      <c r="V3349">
        <v>0</v>
      </c>
      <c r="W3349">
        <v>4</v>
      </c>
      <c r="X3349">
        <v>2000</v>
      </c>
      <c r="Z3349">
        <v>2</v>
      </c>
      <c r="AA3349" t="s">
        <v>26</v>
      </c>
      <c r="AB3349">
        <v>0</v>
      </c>
      <c r="AC3349" t="s">
        <v>115</v>
      </c>
      <c r="AD3349">
        <v>3</v>
      </c>
      <c r="AE3349" t="s">
        <v>115</v>
      </c>
      <c r="AF3349">
        <v>0</v>
      </c>
      <c r="AG3349">
        <v>0</v>
      </c>
      <c r="AH3349" t="s">
        <v>116</v>
      </c>
      <c r="AI3349" s="1">
        <v>89348</v>
      </c>
      <c r="AJ3349" s="2">
        <v>0.25</v>
      </c>
      <c r="AK3349" s="1">
        <v>353025</v>
      </c>
      <c r="AL3349" t="s">
        <v>117</v>
      </c>
      <c r="AM3349" t="s">
        <v>118</v>
      </c>
      <c r="AN3349">
        <v>8580</v>
      </c>
      <c r="AO3349">
        <v>0.2</v>
      </c>
      <c r="AP3349">
        <v>1</v>
      </c>
      <c r="AR3349">
        <v>1</v>
      </c>
      <c r="AS3349" s="1">
        <v>24930</v>
      </c>
      <c r="AT3349" s="1">
        <v>4980</v>
      </c>
      <c r="AU3349" s="1">
        <v>19950</v>
      </c>
      <c r="AV3349">
        <v>80.02</v>
      </c>
      <c r="AX3349" s="1">
        <v>2332.7600000000002</v>
      </c>
      <c r="AY3349" t="s">
        <v>4236</v>
      </c>
      <c r="AZ3349" t="s">
        <v>4236</v>
      </c>
      <c r="BA3349" t="s">
        <v>1247</v>
      </c>
      <c r="BE3349" s="3">
        <v>41962</v>
      </c>
      <c r="BF3349" s="1">
        <v>254999</v>
      </c>
      <c r="BG3349" t="s">
        <v>21709</v>
      </c>
      <c r="BH3349" s="1">
        <v>96.26</v>
      </c>
      <c r="BI3349" s="1">
        <v>263677</v>
      </c>
      <c r="BJ3349" s="3">
        <v>42482</v>
      </c>
      <c r="BK3349" t="s">
        <v>123</v>
      </c>
      <c r="BL3349" t="str">
        <f>"2016.269254"</f>
        <v>2016.269254</v>
      </c>
      <c r="BM3349" t="s">
        <v>135</v>
      </c>
      <c r="BO3349" t="s">
        <v>21710</v>
      </c>
      <c r="BS3349">
        <v>30</v>
      </c>
      <c r="BW3349" t="str">
        <f>""</f>
        <v/>
      </c>
      <c r="CH3349" t="str">
        <f>""</f>
        <v/>
      </c>
      <c r="CS3349" t="str">
        <f>""</f>
        <v/>
      </c>
    </row>
    <row r="3350" spans="1:97" x14ac:dyDescent="0.25">
      <c r="A3350" t="s">
        <v>1067</v>
      </c>
      <c r="B3350" t="s">
        <v>21711</v>
      </c>
      <c r="C3350" t="s">
        <v>1297</v>
      </c>
      <c r="D3350" t="s">
        <v>21711</v>
      </c>
      <c r="E3350" t="s">
        <v>21712</v>
      </c>
      <c r="F3350" t="s">
        <v>108</v>
      </c>
      <c r="H3350" t="s">
        <v>21713</v>
      </c>
      <c r="I3350" t="s">
        <v>203</v>
      </c>
      <c r="J3350" t="s">
        <v>111</v>
      </c>
      <c r="K3350" t="str">
        <f>"85233"</f>
        <v>85233</v>
      </c>
      <c r="L3350" t="s">
        <v>5709</v>
      </c>
      <c r="M3350" t="s">
        <v>21713</v>
      </c>
      <c r="N3350" t="s">
        <v>203</v>
      </c>
      <c r="O3350" t="s">
        <v>111</v>
      </c>
      <c r="P3350" t="str">
        <f>"85233-6328"</f>
        <v>85233-6328</v>
      </c>
      <c r="Q3350" t="s">
        <v>113</v>
      </c>
      <c r="R3350" t="str">
        <f>"302-32-348"</f>
        <v>302-32-348</v>
      </c>
      <c r="S3350" t="s">
        <v>13048</v>
      </c>
      <c r="T3350" t="s">
        <v>13049</v>
      </c>
      <c r="U3350">
        <v>2200</v>
      </c>
      <c r="V3350">
        <v>0</v>
      </c>
      <c r="W3350">
        <v>4</v>
      </c>
      <c r="X3350">
        <v>1993</v>
      </c>
      <c r="Z3350">
        <v>2</v>
      </c>
      <c r="AA3350" t="s">
        <v>26</v>
      </c>
      <c r="AB3350">
        <v>0</v>
      </c>
      <c r="AC3350" t="s">
        <v>115</v>
      </c>
      <c r="AD3350">
        <v>3</v>
      </c>
      <c r="AE3350" t="s">
        <v>115</v>
      </c>
      <c r="AF3350">
        <v>0</v>
      </c>
      <c r="AG3350">
        <v>0</v>
      </c>
      <c r="AH3350" t="s">
        <v>116</v>
      </c>
      <c r="AI3350" s="1">
        <v>55213</v>
      </c>
      <c r="AJ3350" s="2">
        <v>0.15</v>
      </c>
      <c r="AK3350" s="1">
        <v>370856</v>
      </c>
      <c r="AL3350" t="s">
        <v>117</v>
      </c>
      <c r="AM3350" t="s">
        <v>393</v>
      </c>
      <c r="AN3350">
        <v>6443</v>
      </c>
      <c r="AO3350">
        <v>0.15</v>
      </c>
      <c r="AP3350">
        <v>1</v>
      </c>
      <c r="AR3350">
        <v>1</v>
      </c>
      <c r="AS3350" s="1">
        <v>25680</v>
      </c>
      <c r="AT3350" s="1">
        <v>5130</v>
      </c>
      <c r="AU3350" s="1">
        <v>20550</v>
      </c>
      <c r="AV3350">
        <v>80.02</v>
      </c>
      <c r="AX3350" s="1">
        <v>2248</v>
      </c>
      <c r="AY3350" t="s">
        <v>5601</v>
      </c>
      <c r="AZ3350" t="s">
        <v>5478</v>
      </c>
      <c r="BA3350" t="s">
        <v>5479</v>
      </c>
      <c r="BE3350" s="3">
        <v>42247</v>
      </c>
      <c r="BF3350" s="1">
        <v>309000</v>
      </c>
      <c r="BG3350" t="s">
        <v>21714</v>
      </c>
      <c r="BH3350" s="1">
        <v>140.44999999999999</v>
      </c>
      <c r="BI3350" s="1">
        <v>315643</v>
      </c>
      <c r="BJ3350" s="3">
        <v>42247</v>
      </c>
      <c r="BK3350" t="s">
        <v>123</v>
      </c>
      <c r="BL3350" t="str">
        <f>"2015.631429"</f>
        <v>2015.631429</v>
      </c>
      <c r="BM3350" t="s">
        <v>1185</v>
      </c>
      <c r="BO3350" t="s">
        <v>21715</v>
      </c>
      <c r="BS3350">
        <v>30</v>
      </c>
      <c r="BW3350" t="str">
        <f>""</f>
        <v/>
      </c>
      <c r="CH3350" t="str">
        <f>""</f>
        <v/>
      </c>
      <c r="CS3350" t="str">
        <f>""</f>
        <v/>
      </c>
    </row>
    <row r="3351" spans="1:97" x14ac:dyDescent="0.25">
      <c r="A3351" t="s">
        <v>2374</v>
      </c>
      <c r="B3351" t="s">
        <v>21716</v>
      </c>
      <c r="C3351" t="s">
        <v>1995</v>
      </c>
      <c r="D3351" t="s">
        <v>21716</v>
      </c>
      <c r="E3351" t="s">
        <v>21717</v>
      </c>
      <c r="F3351" t="s">
        <v>139</v>
      </c>
      <c r="H3351" t="s">
        <v>21718</v>
      </c>
      <c r="I3351" t="s">
        <v>390</v>
      </c>
      <c r="J3351" t="s">
        <v>111</v>
      </c>
      <c r="K3351" t="str">
        <f>"85083"</f>
        <v>85083</v>
      </c>
      <c r="L3351" t="s">
        <v>2820</v>
      </c>
      <c r="M3351" t="s">
        <v>21719</v>
      </c>
      <c r="N3351" t="s">
        <v>390</v>
      </c>
      <c r="O3351" t="s">
        <v>111</v>
      </c>
      <c r="P3351" t="str">
        <f>"85083-7721"</f>
        <v>85083-7721</v>
      </c>
      <c r="Q3351" t="s">
        <v>113</v>
      </c>
      <c r="R3351" t="str">
        <f>"201-07-537"</f>
        <v>201-07-537</v>
      </c>
      <c r="S3351" t="s">
        <v>21720</v>
      </c>
      <c r="T3351" t="s">
        <v>21721</v>
      </c>
      <c r="U3351">
        <v>3065</v>
      </c>
      <c r="V3351">
        <v>0</v>
      </c>
      <c r="W3351">
        <v>4</v>
      </c>
      <c r="X3351">
        <v>2003</v>
      </c>
      <c r="Z3351">
        <v>2</v>
      </c>
      <c r="AB3351">
        <v>0</v>
      </c>
      <c r="AC3351" t="s">
        <v>115</v>
      </c>
      <c r="AD3351">
        <v>3</v>
      </c>
      <c r="AE3351" t="s">
        <v>115</v>
      </c>
      <c r="AF3351">
        <v>0</v>
      </c>
      <c r="AG3351">
        <v>0</v>
      </c>
      <c r="AH3351" t="s">
        <v>116</v>
      </c>
      <c r="AI3351" s="1">
        <v>110188</v>
      </c>
      <c r="AJ3351" s="2">
        <v>0.26</v>
      </c>
      <c r="AK3351" s="1">
        <v>418438</v>
      </c>
      <c r="AL3351" t="s">
        <v>117</v>
      </c>
      <c r="AM3351" t="s">
        <v>1302</v>
      </c>
      <c r="AN3351">
        <v>7051</v>
      </c>
      <c r="AO3351">
        <v>0.16</v>
      </c>
      <c r="AP3351">
        <v>1</v>
      </c>
      <c r="AR3351">
        <v>1</v>
      </c>
      <c r="AS3351" s="1">
        <v>30550</v>
      </c>
      <c r="AT3351" s="1">
        <v>6110</v>
      </c>
      <c r="AU3351" s="1">
        <v>24440</v>
      </c>
      <c r="AV3351">
        <v>80</v>
      </c>
      <c r="AX3351" s="1">
        <v>2781.74</v>
      </c>
      <c r="AY3351" t="s">
        <v>3522</v>
      </c>
      <c r="AZ3351" t="s">
        <v>3522</v>
      </c>
      <c r="BA3351" t="s">
        <v>1386</v>
      </c>
      <c r="BB3351" s="3">
        <v>43243</v>
      </c>
      <c r="BC3351" s="1">
        <v>0</v>
      </c>
      <c r="BD3351" t="s">
        <v>291</v>
      </c>
      <c r="BE3351" s="3">
        <v>42474</v>
      </c>
      <c r="BF3351" s="1">
        <v>320000</v>
      </c>
      <c r="BG3351" t="s">
        <v>5034</v>
      </c>
      <c r="BH3351" s="1">
        <v>104.4</v>
      </c>
      <c r="BI3351" s="1">
        <v>308250</v>
      </c>
      <c r="BJ3351" s="3">
        <v>42474</v>
      </c>
      <c r="BK3351" t="s">
        <v>123</v>
      </c>
      <c r="BL3351" t="str">
        <f>"2016.249405"</f>
        <v>2016.249405</v>
      </c>
      <c r="BM3351" t="s">
        <v>1325</v>
      </c>
      <c r="BN3351" t="s">
        <v>15523</v>
      </c>
      <c r="BO3351" t="s">
        <v>21722</v>
      </c>
      <c r="BS3351">
        <v>30</v>
      </c>
      <c r="BW3351" t="str">
        <f>""</f>
        <v/>
      </c>
      <c r="CH3351" t="str">
        <f>""</f>
        <v/>
      </c>
      <c r="CS3351" t="str">
        <f>""</f>
        <v/>
      </c>
    </row>
    <row r="3352" spans="1:97" x14ac:dyDescent="0.25">
      <c r="A3352" t="s">
        <v>8100</v>
      </c>
      <c r="B3352" t="s">
        <v>21723</v>
      </c>
      <c r="C3352" t="s">
        <v>179</v>
      </c>
      <c r="D3352" t="s">
        <v>21723</v>
      </c>
      <c r="E3352" t="s">
        <v>21724</v>
      </c>
      <c r="F3352" t="s">
        <v>108</v>
      </c>
      <c r="H3352" t="s">
        <v>21725</v>
      </c>
      <c r="I3352" t="s">
        <v>453</v>
      </c>
      <c r="J3352" t="s">
        <v>111</v>
      </c>
      <c r="K3352" t="str">
        <f>"85381"</f>
        <v>85381</v>
      </c>
      <c r="L3352" t="s">
        <v>5606</v>
      </c>
      <c r="M3352" t="s">
        <v>21725</v>
      </c>
      <c r="N3352" t="s">
        <v>453</v>
      </c>
      <c r="O3352" t="s">
        <v>111</v>
      </c>
      <c r="P3352" t="str">
        <f>"85381-3543"</f>
        <v>85381-3543</v>
      </c>
      <c r="Q3352" t="s">
        <v>113</v>
      </c>
      <c r="R3352" t="str">
        <f>"200-61-716"</f>
        <v>200-61-716</v>
      </c>
      <c r="S3352" t="s">
        <v>21726</v>
      </c>
      <c r="T3352" t="s">
        <v>21727</v>
      </c>
      <c r="U3352">
        <v>2176</v>
      </c>
      <c r="V3352">
        <v>0</v>
      </c>
      <c r="W3352">
        <v>3</v>
      </c>
      <c r="X3352">
        <v>1993</v>
      </c>
      <c r="Z3352">
        <v>1</v>
      </c>
      <c r="AB3352">
        <v>0</v>
      </c>
      <c r="AC3352" t="s">
        <v>115</v>
      </c>
      <c r="AD3352">
        <v>3</v>
      </c>
      <c r="AE3352" t="s">
        <v>115</v>
      </c>
      <c r="AF3352">
        <v>0</v>
      </c>
      <c r="AG3352">
        <v>0</v>
      </c>
      <c r="AH3352" t="s">
        <v>116</v>
      </c>
      <c r="AI3352" s="1">
        <v>61909</v>
      </c>
      <c r="AJ3352" s="2">
        <v>0.16</v>
      </c>
      <c r="AK3352" s="1">
        <v>386909</v>
      </c>
      <c r="AL3352" t="s">
        <v>117</v>
      </c>
      <c r="AM3352" t="s">
        <v>3345</v>
      </c>
      <c r="AN3352">
        <v>8019</v>
      </c>
      <c r="AO3352">
        <v>0.18</v>
      </c>
      <c r="AP3352">
        <v>1</v>
      </c>
      <c r="AR3352">
        <v>1</v>
      </c>
      <c r="AS3352" s="1">
        <v>28610</v>
      </c>
      <c r="AT3352" s="1">
        <v>5720</v>
      </c>
      <c r="AU3352" s="1">
        <v>22890</v>
      </c>
      <c r="AV3352">
        <v>80.010000000000005</v>
      </c>
      <c r="AX3352" s="1">
        <v>2837.2</v>
      </c>
      <c r="AY3352" t="s">
        <v>5573</v>
      </c>
      <c r="AZ3352" t="s">
        <v>5573</v>
      </c>
      <c r="BA3352" t="s">
        <v>1800</v>
      </c>
      <c r="BE3352" s="3">
        <v>41964</v>
      </c>
      <c r="BF3352" s="1">
        <v>325000</v>
      </c>
      <c r="BG3352" t="s">
        <v>21728</v>
      </c>
      <c r="BH3352" s="1">
        <v>149.36000000000001</v>
      </c>
      <c r="BI3352" s="1">
        <v>325000</v>
      </c>
      <c r="BJ3352" s="3">
        <v>41964</v>
      </c>
      <c r="BK3352" t="s">
        <v>123</v>
      </c>
      <c r="BL3352" t="str">
        <f>"2014.774714"</f>
        <v>2014.774714</v>
      </c>
      <c r="BM3352" t="s">
        <v>1044</v>
      </c>
      <c r="BO3352" t="s">
        <v>21729</v>
      </c>
      <c r="BS3352">
        <v>30</v>
      </c>
      <c r="BW3352" t="str">
        <f>""</f>
        <v/>
      </c>
      <c r="CH3352" t="str">
        <f>""</f>
        <v/>
      </c>
      <c r="CS3352" t="str">
        <f>""</f>
        <v/>
      </c>
    </row>
    <row r="3353" spans="1:97" x14ac:dyDescent="0.25">
      <c r="A3353" t="s">
        <v>21730</v>
      </c>
      <c r="B3353" t="s">
        <v>21731</v>
      </c>
      <c r="C3353" t="s">
        <v>3782</v>
      </c>
      <c r="D3353" t="s">
        <v>21731</v>
      </c>
      <c r="E3353" t="s">
        <v>21732</v>
      </c>
      <c r="F3353" t="s">
        <v>108</v>
      </c>
      <c r="H3353" t="s">
        <v>21733</v>
      </c>
      <c r="I3353" t="s">
        <v>188</v>
      </c>
      <c r="J3353" t="s">
        <v>111</v>
      </c>
      <c r="K3353" t="str">
        <f>"85142"</f>
        <v>85142</v>
      </c>
      <c r="L3353" t="s">
        <v>5291</v>
      </c>
      <c r="M3353" t="s">
        <v>21733</v>
      </c>
      <c r="N3353" t="s">
        <v>188</v>
      </c>
      <c r="O3353" t="s">
        <v>111</v>
      </c>
      <c r="P3353" t="str">
        <f>"85142-4903"</f>
        <v>85142-4903</v>
      </c>
      <c r="Q3353" t="s">
        <v>113</v>
      </c>
      <c r="R3353" t="str">
        <f>"314-04-343"</f>
        <v>314-04-343</v>
      </c>
      <c r="S3353" t="s">
        <v>15462</v>
      </c>
      <c r="U3353">
        <v>2307</v>
      </c>
      <c r="V3353">
        <v>0</v>
      </c>
      <c r="W3353">
        <v>4</v>
      </c>
      <c r="X3353">
        <v>2006</v>
      </c>
      <c r="Z3353">
        <v>2</v>
      </c>
      <c r="AB3353">
        <v>0</v>
      </c>
      <c r="AC3353" t="s">
        <v>115</v>
      </c>
      <c r="AD3353">
        <v>2</v>
      </c>
      <c r="AE3353" t="s">
        <v>115</v>
      </c>
      <c r="AF3353">
        <v>0</v>
      </c>
      <c r="AG3353">
        <v>0</v>
      </c>
      <c r="AH3353" t="s">
        <v>116</v>
      </c>
      <c r="AI3353" s="1">
        <v>54726</v>
      </c>
      <c r="AJ3353" s="2">
        <v>0.17</v>
      </c>
      <c r="AK3353" s="1">
        <v>321826</v>
      </c>
      <c r="AL3353" t="s">
        <v>117</v>
      </c>
      <c r="AM3353" t="s">
        <v>191</v>
      </c>
      <c r="AN3353">
        <v>5572</v>
      </c>
      <c r="AO3353">
        <v>0.13</v>
      </c>
      <c r="AR3353">
        <v>1</v>
      </c>
      <c r="AS3353" s="1">
        <v>21420</v>
      </c>
      <c r="AT3353" s="1">
        <v>4280</v>
      </c>
      <c r="AU3353" s="1">
        <v>17140</v>
      </c>
      <c r="AV3353">
        <v>80.02</v>
      </c>
      <c r="AX3353" s="1">
        <v>2118.02</v>
      </c>
      <c r="AY3353" t="s">
        <v>192</v>
      </c>
      <c r="AZ3353" t="s">
        <v>193</v>
      </c>
      <c r="BA3353" t="s">
        <v>194</v>
      </c>
      <c r="BE3353" s="3">
        <v>41705</v>
      </c>
      <c r="BF3353" s="1">
        <v>261500</v>
      </c>
      <c r="BG3353" t="s">
        <v>21734</v>
      </c>
      <c r="BH3353" s="1">
        <v>113.35</v>
      </c>
      <c r="BI3353" s="1">
        <v>267100</v>
      </c>
      <c r="BJ3353" s="3">
        <v>41705</v>
      </c>
      <c r="BK3353" t="s">
        <v>123</v>
      </c>
      <c r="BL3353" t="str">
        <f>"2014.148518"</f>
        <v>2014.148518</v>
      </c>
      <c r="BM3353" t="s">
        <v>11524</v>
      </c>
      <c r="BO3353" t="s">
        <v>21735</v>
      </c>
      <c r="BS3353">
        <v>30</v>
      </c>
      <c r="BW3353" t="str">
        <f>""</f>
        <v/>
      </c>
      <c r="CH3353" t="str">
        <f>""</f>
        <v/>
      </c>
      <c r="CS3353" t="str">
        <f>""</f>
        <v/>
      </c>
    </row>
    <row r="3354" spans="1:97" x14ac:dyDescent="0.25">
      <c r="A3354" t="s">
        <v>2053</v>
      </c>
      <c r="B3354" t="s">
        <v>2338</v>
      </c>
      <c r="C3354" t="s">
        <v>21736</v>
      </c>
      <c r="D3354" t="s">
        <v>2338</v>
      </c>
      <c r="E3354" t="s">
        <v>21737</v>
      </c>
      <c r="F3354" t="s">
        <v>108</v>
      </c>
      <c r="H3354" t="s">
        <v>21738</v>
      </c>
      <c r="I3354" t="s">
        <v>453</v>
      </c>
      <c r="J3354" t="s">
        <v>111</v>
      </c>
      <c r="K3354" t="str">
        <f>"85383"</f>
        <v>85383</v>
      </c>
      <c r="L3354" t="s">
        <v>7243</v>
      </c>
      <c r="M3354" t="s">
        <v>21738</v>
      </c>
      <c r="N3354" t="s">
        <v>453</v>
      </c>
      <c r="O3354" t="s">
        <v>111</v>
      </c>
      <c r="P3354" t="str">
        <f>"85383-4826"</f>
        <v>85383-4826</v>
      </c>
      <c r="Q3354" t="s">
        <v>113</v>
      </c>
      <c r="R3354" t="str">
        <f>"201-37-064"</f>
        <v>201-37-064</v>
      </c>
      <c r="S3354" t="s">
        <v>13120</v>
      </c>
      <c r="U3354">
        <v>1809</v>
      </c>
      <c r="V3354">
        <v>0</v>
      </c>
      <c r="W3354">
        <v>4</v>
      </c>
      <c r="X3354">
        <v>2004</v>
      </c>
      <c r="Z3354">
        <v>1</v>
      </c>
      <c r="AA3354" t="s">
        <v>26</v>
      </c>
      <c r="AB3354">
        <v>0</v>
      </c>
      <c r="AC3354" t="s">
        <v>115</v>
      </c>
      <c r="AD3354">
        <v>2</v>
      </c>
      <c r="AE3354" t="s">
        <v>115</v>
      </c>
      <c r="AF3354">
        <v>0</v>
      </c>
      <c r="AG3354">
        <v>0</v>
      </c>
      <c r="AH3354" t="s">
        <v>116</v>
      </c>
      <c r="AI3354" s="1">
        <v>24419</v>
      </c>
      <c r="AJ3354" s="2">
        <v>0.08</v>
      </c>
      <c r="AK3354" s="1">
        <v>319959</v>
      </c>
      <c r="AL3354" t="s">
        <v>117</v>
      </c>
      <c r="AM3354" t="s">
        <v>118</v>
      </c>
      <c r="AN3354">
        <v>6050</v>
      </c>
      <c r="AO3354">
        <v>0.14000000000000001</v>
      </c>
      <c r="AP3354">
        <v>1</v>
      </c>
      <c r="AR3354">
        <v>1</v>
      </c>
      <c r="AS3354" s="1">
        <v>22730</v>
      </c>
      <c r="AT3354" s="1">
        <v>4540</v>
      </c>
      <c r="AU3354" s="1">
        <v>18190</v>
      </c>
      <c r="AV3354">
        <v>80.03</v>
      </c>
      <c r="AX3354" s="1">
        <v>1858.2</v>
      </c>
      <c r="AY3354" t="s">
        <v>8323</v>
      </c>
      <c r="AZ3354" t="s">
        <v>8323</v>
      </c>
      <c r="BA3354" t="s">
        <v>1386</v>
      </c>
      <c r="BE3354" s="3">
        <v>42475</v>
      </c>
      <c r="BF3354" s="1">
        <v>285000</v>
      </c>
      <c r="BG3354" t="s">
        <v>21739</v>
      </c>
      <c r="BH3354" s="1">
        <v>157.55000000000001</v>
      </c>
      <c r="BI3354" s="1">
        <v>295540</v>
      </c>
      <c r="BJ3354" s="3">
        <v>42838</v>
      </c>
      <c r="BK3354" t="s">
        <v>123</v>
      </c>
      <c r="BL3354" t="str">
        <f>"2017.261825"</f>
        <v>2017.261825</v>
      </c>
      <c r="BM3354" t="s">
        <v>425</v>
      </c>
      <c r="BN3354" t="s">
        <v>426</v>
      </c>
      <c r="BO3354" t="s">
        <v>21740</v>
      </c>
      <c r="BS3354">
        <v>30</v>
      </c>
      <c r="BW3354" t="str">
        <f>""</f>
        <v/>
      </c>
      <c r="CH3354" t="str">
        <f>""</f>
        <v/>
      </c>
      <c r="CS3354" t="str">
        <f>""</f>
        <v/>
      </c>
    </row>
    <row r="3355" spans="1:97" x14ac:dyDescent="0.25">
      <c r="A3355" t="s">
        <v>1938</v>
      </c>
      <c r="B3355" t="s">
        <v>21741</v>
      </c>
      <c r="C3355" t="s">
        <v>9208</v>
      </c>
      <c r="D3355" t="s">
        <v>21741</v>
      </c>
      <c r="E3355" t="s">
        <v>21742</v>
      </c>
      <c r="F3355" t="s">
        <v>108</v>
      </c>
      <c r="H3355" t="s">
        <v>21743</v>
      </c>
      <c r="I3355" t="s">
        <v>453</v>
      </c>
      <c r="J3355" t="s">
        <v>111</v>
      </c>
      <c r="K3355" t="str">
        <f>"85383"</f>
        <v>85383</v>
      </c>
      <c r="L3355" t="s">
        <v>3225</v>
      </c>
      <c r="M3355" t="s">
        <v>21743</v>
      </c>
      <c r="N3355" t="s">
        <v>453</v>
      </c>
      <c r="O3355" t="s">
        <v>111</v>
      </c>
      <c r="P3355" t="str">
        <f>"85383-5857"</f>
        <v>85383-5857</v>
      </c>
      <c r="Q3355" t="s">
        <v>113</v>
      </c>
      <c r="R3355" t="str">
        <f>"503-66-564"</f>
        <v>503-66-564</v>
      </c>
      <c r="S3355" t="s">
        <v>9145</v>
      </c>
      <c r="T3355" t="s">
        <v>7704</v>
      </c>
      <c r="U3355">
        <v>1976</v>
      </c>
      <c r="V3355">
        <v>0</v>
      </c>
      <c r="W3355">
        <v>4</v>
      </c>
      <c r="X3355">
        <v>2013</v>
      </c>
      <c r="Z3355">
        <v>1</v>
      </c>
      <c r="AB3355">
        <v>0</v>
      </c>
      <c r="AC3355" t="s">
        <v>115</v>
      </c>
      <c r="AD3355">
        <v>2</v>
      </c>
      <c r="AE3355" t="s">
        <v>115</v>
      </c>
      <c r="AF3355">
        <v>0</v>
      </c>
      <c r="AG3355">
        <v>0</v>
      </c>
      <c r="AH3355" t="s">
        <v>116</v>
      </c>
      <c r="AI3355" s="1">
        <v>89800</v>
      </c>
      <c r="AJ3355" s="2">
        <v>0.28999999999999998</v>
      </c>
      <c r="AK3355" s="1">
        <v>314400</v>
      </c>
      <c r="AL3355" t="s">
        <v>117</v>
      </c>
      <c r="AM3355" t="s">
        <v>191</v>
      </c>
      <c r="AN3355">
        <v>4950</v>
      </c>
      <c r="AO3355">
        <v>0.11</v>
      </c>
      <c r="AR3355">
        <v>1</v>
      </c>
      <c r="AS3355" s="1">
        <v>21860</v>
      </c>
      <c r="AT3355" s="1">
        <v>4370</v>
      </c>
      <c r="AU3355" s="1">
        <v>17490</v>
      </c>
      <c r="AV3355">
        <v>80.010000000000005</v>
      </c>
      <c r="AX3355" s="1">
        <v>2034.34</v>
      </c>
      <c r="AY3355" t="s">
        <v>456</v>
      </c>
      <c r="AZ3355" t="s">
        <v>456</v>
      </c>
      <c r="BA3355" t="s">
        <v>457</v>
      </c>
      <c r="BE3355" s="3">
        <v>41754</v>
      </c>
      <c r="BF3355" s="1">
        <v>229983</v>
      </c>
      <c r="BG3355" t="s">
        <v>749</v>
      </c>
      <c r="BH3355" s="1">
        <v>116.39</v>
      </c>
      <c r="BI3355" s="1">
        <v>224600</v>
      </c>
      <c r="BJ3355" s="3">
        <v>42436</v>
      </c>
      <c r="BK3355" t="s">
        <v>123</v>
      </c>
      <c r="BL3355" t="str">
        <f>"2016.144590"</f>
        <v>2016.144590</v>
      </c>
      <c r="BM3355" t="s">
        <v>425</v>
      </c>
      <c r="BO3355" t="s">
        <v>21744</v>
      </c>
      <c r="BS3355">
        <v>30</v>
      </c>
      <c r="BW3355" t="str">
        <f>""</f>
        <v/>
      </c>
      <c r="CH3355" t="str">
        <f>""</f>
        <v/>
      </c>
      <c r="CS3355" t="str">
        <f>""</f>
        <v/>
      </c>
    </row>
    <row r="3356" spans="1:97" x14ac:dyDescent="0.25">
      <c r="A3356" t="s">
        <v>257</v>
      </c>
      <c r="B3356" t="s">
        <v>465</v>
      </c>
      <c r="E3356" t="s">
        <v>21745</v>
      </c>
      <c r="F3356" t="s">
        <v>108</v>
      </c>
      <c r="H3356" t="s">
        <v>21746</v>
      </c>
      <c r="I3356" t="s">
        <v>225</v>
      </c>
      <c r="J3356" t="s">
        <v>111</v>
      </c>
      <c r="K3356" t="str">
        <f>"85205"</f>
        <v>85205</v>
      </c>
      <c r="L3356" t="s">
        <v>5464</v>
      </c>
      <c r="M3356" t="s">
        <v>21746</v>
      </c>
      <c r="N3356" t="s">
        <v>225</v>
      </c>
      <c r="O3356" t="s">
        <v>111</v>
      </c>
      <c r="P3356" t="str">
        <f>"85205-6418"</f>
        <v>85205-6418</v>
      </c>
      <c r="Q3356" t="s">
        <v>113</v>
      </c>
      <c r="R3356" t="str">
        <f>"140-16-166"</f>
        <v>140-16-166</v>
      </c>
      <c r="S3356" t="s">
        <v>11546</v>
      </c>
      <c r="T3356" t="s">
        <v>6748</v>
      </c>
      <c r="U3356">
        <v>2364</v>
      </c>
      <c r="V3356">
        <v>0</v>
      </c>
      <c r="W3356">
        <v>3</v>
      </c>
      <c r="X3356">
        <v>1985</v>
      </c>
      <c r="Z3356">
        <v>2</v>
      </c>
      <c r="AA3356" t="s">
        <v>26</v>
      </c>
      <c r="AB3356">
        <v>0</v>
      </c>
      <c r="AC3356" t="s">
        <v>115</v>
      </c>
      <c r="AD3356">
        <v>3</v>
      </c>
      <c r="AE3356" t="s">
        <v>115</v>
      </c>
      <c r="AF3356">
        <v>0</v>
      </c>
      <c r="AG3356">
        <v>0</v>
      </c>
      <c r="AH3356" t="s">
        <v>116</v>
      </c>
      <c r="AI3356" s="1">
        <v>59924</v>
      </c>
      <c r="AJ3356" s="2">
        <v>0.18</v>
      </c>
      <c r="AK3356" s="1">
        <v>335304</v>
      </c>
      <c r="AL3356" t="s">
        <v>117</v>
      </c>
      <c r="AM3356" t="s">
        <v>393</v>
      </c>
      <c r="AN3356">
        <v>7329</v>
      </c>
      <c r="AO3356">
        <v>0.17</v>
      </c>
      <c r="AP3356">
        <v>1</v>
      </c>
      <c r="AR3356">
        <v>1</v>
      </c>
      <c r="AS3356" s="1">
        <v>22980</v>
      </c>
      <c r="AT3356" s="1">
        <v>4590</v>
      </c>
      <c r="AU3356" s="1">
        <v>18390</v>
      </c>
      <c r="AV3356">
        <v>80.03</v>
      </c>
      <c r="AX3356" s="1">
        <v>1584.2</v>
      </c>
      <c r="AY3356" t="s">
        <v>7054</v>
      </c>
      <c r="AZ3356" t="s">
        <v>5275</v>
      </c>
      <c r="BA3356" t="s">
        <v>3119</v>
      </c>
      <c r="BE3356" s="3">
        <v>42516</v>
      </c>
      <c r="BF3356" s="1">
        <v>270000</v>
      </c>
      <c r="BG3356" t="s">
        <v>21747</v>
      </c>
      <c r="BH3356" s="1">
        <v>114.21</v>
      </c>
      <c r="BI3356" s="1">
        <v>275380</v>
      </c>
      <c r="BJ3356" s="3">
        <v>42639</v>
      </c>
      <c r="BK3356" t="s">
        <v>123</v>
      </c>
      <c r="BL3356" t="str">
        <f>"2016.699938"</f>
        <v>2016.699938</v>
      </c>
      <c r="BM3356" t="s">
        <v>255</v>
      </c>
      <c r="BO3356" t="s">
        <v>21748</v>
      </c>
      <c r="BS3356">
        <v>30</v>
      </c>
      <c r="BW3356" t="str">
        <f>""</f>
        <v/>
      </c>
      <c r="CH3356" t="str">
        <f>""</f>
        <v/>
      </c>
      <c r="CS3356" t="str">
        <f>""</f>
        <v/>
      </c>
    </row>
    <row r="3357" spans="1:97" x14ac:dyDescent="0.25">
      <c r="A3357" t="s">
        <v>21749</v>
      </c>
      <c r="B3357" t="s">
        <v>5236</v>
      </c>
      <c r="C3357" t="s">
        <v>328</v>
      </c>
      <c r="D3357" t="s">
        <v>5236</v>
      </c>
      <c r="E3357" t="s">
        <v>21750</v>
      </c>
      <c r="F3357" t="s">
        <v>108</v>
      </c>
      <c r="H3357" t="s">
        <v>21751</v>
      </c>
      <c r="I3357" t="s">
        <v>203</v>
      </c>
      <c r="J3357" t="s">
        <v>111</v>
      </c>
      <c r="K3357" t="str">
        <f>"85295"</f>
        <v>85295</v>
      </c>
      <c r="L3357" t="s">
        <v>204</v>
      </c>
      <c r="M3357" t="s">
        <v>21751</v>
      </c>
      <c r="N3357" t="s">
        <v>203</v>
      </c>
      <c r="O3357" t="s">
        <v>111</v>
      </c>
      <c r="P3357" t="str">
        <f>"85295-5936"</f>
        <v>85295-5936</v>
      </c>
      <c r="Q3357" t="s">
        <v>113</v>
      </c>
      <c r="R3357" t="str">
        <f>"304-44-821"</f>
        <v>304-44-821</v>
      </c>
      <c r="S3357" t="s">
        <v>21752</v>
      </c>
      <c r="T3357" t="s">
        <v>21753</v>
      </c>
      <c r="U3357">
        <v>2470</v>
      </c>
      <c r="V3357">
        <v>0</v>
      </c>
      <c r="W3357">
        <v>3</v>
      </c>
      <c r="X3357">
        <v>2001</v>
      </c>
      <c r="Z3357">
        <v>1</v>
      </c>
      <c r="AA3357" t="s">
        <v>26</v>
      </c>
      <c r="AB3357">
        <v>0</v>
      </c>
      <c r="AC3357" t="s">
        <v>115</v>
      </c>
      <c r="AD3357">
        <v>3</v>
      </c>
      <c r="AE3357" t="s">
        <v>115</v>
      </c>
      <c r="AF3357">
        <v>0</v>
      </c>
      <c r="AG3357">
        <v>0</v>
      </c>
      <c r="AH3357" t="s">
        <v>116</v>
      </c>
      <c r="AI3357" s="1">
        <v>95987</v>
      </c>
      <c r="AJ3357" s="2">
        <v>0.23</v>
      </c>
      <c r="AK3357" s="1">
        <v>421637</v>
      </c>
      <c r="AL3357" t="s">
        <v>117</v>
      </c>
      <c r="AM3357" t="s">
        <v>1302</v>
      </c>
      <c r="AN3357">
        <v>11700</v>
      </c>
      <c r="AO3357">
        <v>0.27</v>
      </c>
      <c r="AP3357">
        <v>1</v>
      </c>
      <c r="AR3357">
        <v>1</v>
      </c>
      <c r="AS3357" s="1">
        <v>31310</v>
      </c>
      <c r="AT3357" s="1">
        <v>6260</v>
      </c>
      <c r="AU3357" s="1">
        <v>25050</v>
      </c>
      <c r="AV3357">
        <v>80.010000000000005</v>
      </c>
      <c r="AX3357" s="1">
        <v>2416.38</v>
      </c>
      <c r="AY3357" t="s">
        <v>206</v>
      </c>
      <c r="AZ3357" t="s">
        <v>207</v>
      </c>
      <c r="BA3357" t="s">
        <v>208</v>
      </c>
      <c r="BE3357" s="3">
        <v>41817</v>
      </c>
      <c r="BF3357" s="1">
        <v>325000</v>
      </c>
      <c r="BG3357" t="s">
        <v>21754</v>
      </c>
      <c r="BH3357" s="1">
        <v>131.58000000000001</v>
      </c>
      <c r="BI3357" s="1">
        <v>325650</v>
      </c>
      <c r="BJ3357" s="3">
        <v>42152</v>
      </c>
      <c r="BK3357" t="s">
        <v>123</v>
      </c>
      <c r="BL3357" t="str">
        <f>"2015.375185"</f>
        <v>2015.375185</v>
      </c>
      <c r="BM3357" t="s">
        <v>322</v>
      </c>
      <c r="BO3357" t="s">
        <v>21755</v>
      </c>
      <c r="BS3357">
        <v>30</v>
      </c>
      <c r="BW3357" t="str">
        <f>""</f>
        <v/>
      </c>
      <c r="CH3357" t="str">
        <f>""</f>
        <v/>
      </c>
      <c r="CS3357" t="str">
        <f>""</f>
        <v/>
      </c>
    </row>
    <row r="3358" spans="1:97" x14ac:dyDescent="0.25">
      <c r="A3358" t="s">
        <v>5214</v>
      </c>
      <c r="B3358" t="s">
        <v>21756</v>
      </c>
      <c r="E3358" t="s">
        <v>21757</v>
      </c>
      <c r="F3358" t="s">
        <v>108</v>
      </c>
      <c r="H3358" t="s">
        <v>21758</v>
      </c>
      <c r="I3358" t="s">
        <v>453</v>
      </c>
      <c r="J3358" t="s">
        <v>111</v>
      </c>
      <c r="K3358" t="str">
        <f>"85383"</f>
        <v>85383</v>
      </c>
      <c r="L3358" t="s">
        <v>2220</v>
      </c>
      <c r="M3358" t="s">
        <v>21758</v>
      </c>
      <c r="N3358" t="s">
        <v>453</v>
      </c>
      <c r="O3358" t="s">
        <v>111</v>
      </c>
      <c r="P3358" t="str">
        <f>"85383-7221"</f>
        <v>85383-7221</v>
      </c>
      <c r="Q3358" t="s">
        <v>113</v>
      </c>
      <c r="R3358" t="str">
        <f>"201-30-194"</f>
        <v>201-30-194</v>
      </c>
      <c r="S3358" t="s">
        <v>21210</v>
      </c>
      <c r="T3358" t="s">
        <v>2222</v>
      </c>
      <c r="U3358">
        <v>3183</v>
      </c>
      <c r="V3358">
        <v>0</v>
      </c>
      <c r="W3358">
        <v>5</v>
      </c>
      <c r="X3358">
        <v>2013</v>
      </c>
      <c r="Z3358">
        <v>2</v>
      </c>
      <c r="AB3358">
        <v>0</v>
      </c>
      <c r="AC3358" t="s">
        <v>115</v>
      </c>
      <c r="AD3358">
        <v>3</v>
      </c>
      <c r="AE3358" t="s">
        <v>115</v>
      </c>
      <c r="AF3358">
        <v>0</v>
      </c>
      <c r="AG3358">
        <v>0</v>
      </c>
      <c r="AH3358" t="s">
        <v>116</v>
      </c>
      <c r="AI3358" s="1">
        <v>27869</v>
      </c>
      <c r="AJ3358" s="2">
        <v>7.0000000000000007E-2</v>
      </c>
      <c r="AK3358" s="1">
        <v>407859</v>
      </c>
      <c r="AL3358" t="s">
        <v>117</v>
      </c>
      <c r="AM3358" t="s">
        <v>1302</v>
      </c>
      <c r="AN3358">
        <v>10119</v>
      </c>
      <c r="AO3358">
        <v>0.23</v>
      </c>
      <c r="AR3358">
        <v>1</v>
      </c>
      <c r="AS3358" s="1">
        <v>33980</v>
      </c>
      <c r="AT3358" s="1">
        <v>6790</v>
      </c>
      <c r="AU3358" s="1">
        <v>27190</v>
      </c>
      <c r="AV3358">
        <v>80.02</v>
      </c>
      <c r="AX3358" s="1">
        <v>3134.02</v>
      </c>
      <c r="AY3358" t="s">
        <v>1385</v>
      </c>
      <c r="AZ3358" t="s">
        <v>1385</v>
      </c>
      <c r="BA3358" t="s">
        <v>2223</v>
      </c>
      <c r="BE3358" s="3">
        <v>42076</v>
      </c>
      <c r="BF3358" s="1">
        <v>379990</v>
      </c>
      <c r="BG3358" t="s">
        <v>275</v>
      </c>
      <c r="BH3358" s="1">
        <v>119.38</v>
      </c>
      <c r="BI3358" s="1">
        <v>379990</v>
      </c>
      <c r="BJ3358" s="3">
        <v>42076</v>
      </c>
      <c r="BK3358" t="s">
        <v>123</v>
      </c>
      <c r="BL3358" t="str">
        <f>"2015.170465"</f>
        <v>2015.170465</v>
      </c>
      <c r="BM3358" t="s">
        <v>651</v>
      </c>
      <c r="BO3358" t="s">
        <v>21759</v>
      </c>
      <c r="BS3358">
        <v>30</v>
      </c>
      <c r="BW3358" t="str">
        <f>""</f>
        <v/>
      </c>
      <c r="CH3358" t="str">
        <f>""</f>
        <v/>
      </c>
      <c r="CS3358" t="str">
        <f>""</f>
        <v/>
      </c>
    </row>
    <row r="3359" spans="1:97" x14ac:dyDescent="0.25">
      <c r="A3359" t="s">
        <v>1850</v>
      </c>
      <c r="B3359" t="s">
        <v>21760</v>
      </c>
      <c r="C3359" t="s">
        <v>18279</v>
      </c>
      <c r="D3359" t="s">
        <v>21760</v>
      </c>
      <c r="E3359" t="s">
        <v>21761</v>
      </c>
      <c r="F3359" t="s">
        <v>108</v>
      </c>
      <c r="H3359" t="s">
        <v>21762</v>
      </c>
      <c r="I3359" t="s">
        <v>225</v>
      </c>
      <c r="J3359" t="s">
        <v>111</v>
      </c>
      <c r="K3359" t="str">
        <f>"85207"</f>
        <v>85207</v>
      </c>
      <c r="L3359" t="s">
        <v>516</v>
      </c>
      <c r="M3359" t="s">
        <v>21762</v>
      </c>
      <c r="N3359" t="s">
        <v>225</v>
      </c>
      <c r="O3359" t="s">
        <v>111</v>
      </c>
      <c r="P3359" t="str">
        <f>"85207"</f>
        <v>85207</v>
      </c>
      <c r="Q3359" t="s">
        <v>113</v>
      </c>
      <c r="R3359" t="str">
        <f>"219-19-621"</f>
        <v>219-19-621</v>
      </c>
      <c r="S3359" t="s">
        <v>21763</v>
      </c>
      <c r="T3359" t="s">
        <v>9439</v>
      </c>
      <c r="U3359">
        <v>2451</v>
      </c>
      <c r="V3359">
        <v>0</v>
      </c>
      <c r="W3359">
        <v>4</v>
      </c>
      <c r="X3359">
        <v>1998</v>
      </c>
      <c r="Z3359">
        <v>2</v>
      </c>
      <c r="AA3359" t="s">
        <v>26</v>
      </c>
      <c r="AB3359">
        <v>0</v>
      </c>
      <c r="AC3359" t="s">
        <v>115</v>
      </c>
      <c r="AD3359">
        <v>3</v>
      </c>
      <c r="AE3359" t="s">
        <v>115</v>
      </c>
      <c r="AF3359">
        <v>0</v>
      </c>
      <c r="AG3359">
        <v>0</v>
      </c>
      <c r="AH3359" t="s">
        <v>116</v>
      </c>
      <c r="AI3359" s="1">
        <v>79872</v>
      </c>
      <c r="AJ3359" s="2">
        <v>0.18</v>
      </c>
      <c r="AK3359" s="1">
        <v>432289</v>
      </c>
      <c r="AL3359" t="s">
        <v>117</v>
      </c>
      <c r="AM3359" t="s">
        <v>917</v>
      </c>
      <c r="AN3359">
        <v>9706</v>
      </c>
      <c r="AO3359">
        <v>0.22</v>
      </c>
      <c r="AP3359">
        <v>1</v>
      </c>
      <c r="AR3359">
        <v>1</v>
      </c>
      <c r="AS3359" s="1">
        <v>30410</v>
      </c>
      <c r="AT3359" s="1">
        <v>6080</v>
      </c>
      <c r="AU3359" s="1">
        <v>24330</v>
      </c>
      <c r="AV3359">
        <v>80.010000000000005</v>
      </c>
      <c r="AX3359" s="1">
        <v>3109.84</v>
      </c>
      <c r="AY3359" t="s">
        <v>9337</v>
      </c>
      <c r="AZ3359" t="s">
        <v>231</v>
      </c>
      <c r="BA3359" t="s">
        <v>3119</v>
      </c>
      <c r="BE3359" s="3">
        <v>42125</v>
      </c>
      <c r="BF3359" s="1">
        <v>345000</v>
      </c>
      <c r="BG3359" t="s">
        <v>21764</v>
      </c>
      <c r="BH3359" s="1">
        <v>140.76</v>
      </c>
      <c r="BI3359" s="1">
        <v>352417</v>
      </c>
      <c r="BJ3359" s="3">
        <v>42125</v>
      </c>
      <c r="BK3359" t="s">
        <v>123</v>
      </c>
      <c r="BL3359" t="str">
        <f>"2015.310215"</f>
        <v>2015.310215</v>
      </c>
      <c r="BM3359" t="s">
        <v>21765</v>
      </c>
      <c r="BO3359" t="s">
        <v>21766</v>
      </c>
      <c r="BP3359" t="s">
        <v>21767</v>
      </c>
      <c r="BS3359">
        <v>30</v>
      </c>
      <c r="BW3359" t="str">
        <f>""</f>
        <v/>
      </c>
      <c r="CH3359" t="str">
        <f>""</f>
        <v/>
      </c>
      <c r="CS3359" t="str">
        <f>""</f>
        <v/>
      </c>
    </row>
    <row r="3360" spans="1:97" x14ac:dyDescent="0.25">
      <c r="A3360" t="s">
        <v>21768</v>
      </c>
      <c r="B3360" t="s">
        <v>10471</v>
      </c>
      <c r="C3360" t="s">
        <v>852</v>
      </c>
      <c r="D3360" t="s">
        <v>10471</v>
      </c>
      <c r="E3360" t="s">
        <v>21769</v>
      </c>
      <c r="F3360" t="s">
        <v>108</v>
      </c>
      <c r="H3360" t="s">
        <v>21770</v>
      </c>
      <c r="I3360" t="s">
        <v>499</v>
      </c>
      <c r="J3360" t="s">
        <v>111</v>
      </c>
      <c r="K3360" t="str">
        <f>"85395"</f>
        <v>85395</v>
      </c>
      <c r="L3360" t="s">
        <v>168</v>
      </c>
      <c r="M3360" t="s">
        <v>21770</v>
      </c>
      <c r="N3360" t="s">
        <v>499</v>
      </c>
      <c r="O3360" t="s">
        <v>111</v>
      </c>
      <c r="P3360" t="str">
        <f>"85395-7770"</f>
        <v>85395-7770</v>
      </c>
      <c r="Q3360" t="s">
        <v>113</v>
      </c>
      <c r="R3360" t="str">
        <f>"501-62-773"</f>
        <v>501-62-773</v>
      </c>
      <c r="S3360" t="s">
        <v>10001</v>
      </c>
      <c r="T3360" t="s">
        <v>10002</v>
      </c>
      <c r="U3360">
        <v>3122</v>
      </c>
      <c r="V3360">
        <v>0</v>
      </c>
      <c r="W3360">
        <v>5</v>
      </c>
      <c r="X3360">
        <v>2015</v>
      </c>
      <c r="Z3360">
        <v>1</v>
      </c>
      <c r="AB3360">
        <v>0</v>
      </c>
      <c r="AC3360" t="s">
        <v>115</v>
      </c>
      <c r="AD3360">
        <v>3</v>
      </c>
      <c r="AE3360" t="s">
        <v>115</v>
      </c>
      <c r="AF3360">
        <v>0</v>
      </c>
      <c r="AG3360">
        <v>0</v>
      </c>
      <c r="AH3360" t="s">
        <v>116</v>
      </c>
      <c r="AI3360" s="1">
        <v>53338</v>
      </c>
      <c r="AJ3360" s="2">
        <v>0.13</v>
      </c>
      <c r="AK3360" s="1">
        <v>417356</v>
      </c>
      <c r="AL3360" t="s">
        <v>117</v>
      </c>
      <c r="AM3360" t="s">
        <v>118</v>
      </c>
      <c r="AN3360">
        <v>9100</v>
      </c>
      <c r="AO3360">
        <v>0.21</v>
      </c>
      <c r="AR3360">
        <v>1</v>
      </c>
      <c r="AS3360" s="1">
        <v>30730</v>
      </c>
      <c r="AT3360" s="1">
        <v>6140</v>
      </c>
      <c r="AU3360" s="1">
        <v>24590</v>
      </c>
      <c r="AV3360">
        <v>80.02</v>
      </c>
      <c r="AX3360" s="1">
        <v>3218.7</v>
      </c>
      <c r="AY3360" t="s">
        <v>3019</v>
      </c>
      <c r="AZ3360" t="s">
        <v>504</v>
      </c>
      <c r="BA3360" t="s">
        <v>3154</v>
      </c>
      <c r="BE3360" s="3">
        <v>42453</v>
      </c>
      <c r="BF3360" s="1">
        <v>352390</v>
      </c>
      <c r="BG3360" t="s">
        <v>459</v>
      </c>
      <c r="BH3360" s="1">
        <v>112.87</v>
      </c>
      <c r="BI3360" s="1">
        <v>364018</v>
      </c>
      <c r="BJ3360" s="3">
        <v>42453</v>
      </c>
      <c r="BK3360" t="s">
        <v>123</v>
      </c>
      <c r="BL3360" t="str">
        <f>"2016.192655"</f>
        <v>2016.192655</v>
      </c>
      <c r="BM3360" t="s">
        <v>1866</v>
      </c>
      <c r="BO3360" t="s">
        <v>21771</v>
      </c>
      <c r="BS3360">
        <v>30</v>
      </c>
      <c r="BW3360" t="str">
        <f>""</f>
        <v/>
      </c>
      <c r="CH3360" t="str">
        <f>""</f>
        <v/>
      </c>
      <c r="CS3360" t="str">
        <f>""</f>
        <v/>
      </c>
    </row>
    <row r="3361" spans="1:97" x14ac:dyDescent="0.25">
      <c r="A3361" t="s">
        <v>370</v>
      </c>
      <c r="B3361" t="s">
        <v>21772</v>
      </c>
      <c r="E3361" t="s">
        <v>21773</v>
      </c>
      <c r="F3361" t="s">
        <v>108</v>
      </c>
      <c r="H3361" t="s">
        <v>21774</v>
      </c>
      <c r="I3361" t="s">
        <v>225</v>
      </c>
      <c r="J3361" t="s">
        <v>111</v>
      </c>
      <c r="K3361" t="str">
        <f>"85205"</f>
        <v>85205</v>
      </c>
      <c r="L3361" t="s">
        <v>1518</v>
      </c>
      <c r="M3361" t="s">
        <v>21774</v>
      </c>
      <c r="N3361" t="s">
        <v>225</v>
      </c>
      <c r="O3361" t="s">
        <v>111</v>
      </c>
      <c r="P3361" t="str">
        <f>"85205-5139"</f>
        <v>85205-5139</v>
      </c>
      <c r="Q3361" t="s">
        <v>113</v>
      </c>
      <c r="R3361" t="str">
        <f>"140-03-123"</f>
        <v>140-03-123</v>
      </c>
      <c r="S3361" t="s">
        <v>21775</v>
      </c>
      <c r="T3361" t="s">
        <v>21776</v>
      </c>
      <c r="U3361">
        <v>2111</v>
      </c>
      <c r="V3361">
        <v>0</v>
      </c>
      <c r="W3361">
        <v>3</v>
      </c>
      <c r="X3361">
        <v>1995</v>
      </c>
      <c r="Z3361">
        <v>1</v>
      </c>
      <c r="AA3361" t="s">
        <v>26</v>
      </c>
      <c r="AB3361">
        <v>0</v>
      </c>
      <c r="AC3361" t="s">
        <v>115</v>
      </c>
      <c r="AD3361">
        <v>2</v>
      </c>
      <c r="AE3361" t="s">
        <v>115</v>
      </c>
      <c r="AF3361">
        <v>0</v>
      </c>
      <c r="AG3361">
        <v>0</v>
      </c>
      <c r="AH3361" t="s">
        <v>116</v>
      </c>
      <c r="AI3361" s="1">
        <v>87096</v>
      </c>
      <c r="AJ3361" s="2">
        <v>0.23</v>
      </c>
      <c r="AK3361" s="1">
        <v>374442</v>
      </c>
      <c r="AL3361" t="s">
        <v>117</v>
      </c>
      <c r="AM3361" t="s">
        <v>1521</v>
      </c>
      <c r="AN3361">
        <v>10107</v>
      </c>
      <c r="AO3361">
        <v>0.23</v>
      </c>
      <c r="AP3361">
        <v>1</v>
      </c>
      <c r="AR3361">
        <v>1</v>
      </c>
      <c r="AS3361" s="1">
        <v>28260</v>
      </c>
      <c r="AT3361" s="1">
        <v>5650</v>
      </c>
      <c r="AU3361" s="1">
        <v>22610</v>
      </c>
      <c r="AV3361">
        <v>80.010000000000005</v>
      </c>
      <c r="AX3361" s="1">
        <v>2388.46</v>
      </c>
      <c r="AY3361" t="s">
        <v>1522</v>
      </c>
      <c r="AZ3361" t="s">
        <v>1523</v>
      </c>
      <c r="BA3361" t="s">
        <v>1524</v>
      </c>
      <c r="BE3361" s="3">
        <v>42507</v>
      </c>
      <c r="BF3361" s="1">
        <v>298000</v>
      </c>
      <c r="BG3361" t="s">
        <v>21777</v>
      </c>
      <c r="BH3361" s="1">
        <v>141.16999999999999</v>
      </c>
      <c r="BI3361" s="1">
        <v>287346</v>
      </c>
      <c r="BJ3361" s="3">
        <v>42507</v>
      </c>
      <c r="BK3361" t="s">
        <v>123</v>
      </c>
      <c r="BL3361" t="str">
        <f>"2016.337961"</f>
        <v>2016.337961</v>
      </c>
      <c r="BM3361" t="s">
        <v>21778</v>
      </c>
      <c r="BO3361" t="s">
        <v>21779</v>
      </c>
      <c r="BS3361">
        <v>30</v>
      </c>
      <c r="BW3361" t="str">
        <f>""</f>
        <v/>
      </c>
      <c r="CH3361" t="str">
        <f>""</f>
        <v/>
      </c>
      <c r="CS3361" t="str">
        <f>""</f>
        <v/>
      </c>
    </row>
    <row r="3362" spans="1:97" x14ac:dyDescent="0.25">
      <c r="A3362" t="s">
        <v>695</v>
      </c>
      <c r="B3362" t="s">
        <v>21780</v>
      </c>
      <c r="E3362" t="s">
        <v>21781</v>
      </c>
      <c r="F3362" t="s">
        <v>108</v>
      </c>
      <c r="H3362" t="s">
        <v>21782</v>
      </c>
      <c r="I3362" t="s">
        <v>374</v>
      </c>
      <c r="J3362" t="s">
        <v>111</v>
      </c>
      <c r="K3362" t="str">
        <f>"85087"</f>
        <v>85087</v>
      </c>
      <c r="L3362" t="s">
        <v>11846</v>
      </c>
      <c r="M3362" t="s">
        <v>21782</v>
      </c>
      <c r="N3362" t="s">
        <v>374</v>
      </c>
      <c r="O3362" t="s">
        <v>111</v>
      </c>
      <c r="P3362" t="str">
        <f>"85087-8659"</f>
        <v>85087-8659</v>
      </c>
      <c r="Q3362" t="s">
        <v>113</v>
      </c>
      <c r="R3362" t="str">
        <f>"202-20-690-A"</f>
        <v>202-20-690-A</v>
      </c>
      <c r="U3362">
        <v>2586</v>
      </c>
      <c r="V3362">
        <v>0</v>
      </c>
      <c r="W3362">
        <v>4</v>
      </c>
      <c r="X3362">
        <v>2006</v>
      </c>
      <c r="Z3362">
        <v>1</v>
      </c>
      <c r="AB3362">
        <v>0</v>
      </c>
      <c r="AC3362" t="s">
        <v>115</v>
      </c>
      <c r="AD3362">
        <v>3</v>
      </c>
      <c r="AE3362" t="s">
        <v>115</v>
      </c>
      <c r="AF3362">
        <v>0</v>
      </c>
      <c r="AG3362">
        <v>0</v>
      </c>
      <c r="AH3362" t="s">
        <v>116</v>
      </c>
      <c r="AI3362" s="1">
        <v>95661</v>
      </c>
      <c r="AJ3362" s="2">
        <v>0.2</v>
      </c>
      <c r="AK3362" s="1">
        <v>485661</v>
      </c>
      <c r="AL3362" t="s">
        <v>117</v>
      </c>
      <c r="AM3362" t="s">
        <v>376</v>
      </c>
      <c r="AN3362">
        <v>43699</v>
      </c>
      <c r="AO3362">
        <v>1</v>
      </c>
      <c r="AR3362">
        <v>1</v>
      </c>
      <c r="AS3362" s="1">
        <v>34870</v>
      </c>
      <c r="AT3362" s="1">
        <v>6970</v>
      </c>
      <c r="AU3362" s="1">
        <v>27900</v>
      </c>
      <c r="AV3362">
        <v>80.010000000000005</v>
      </c>
      <c r="AX3362" s="1">
        <v>3533.26</v>
      </c>
      <c r="AY3362" t="s">
        <v>665</v>
      </c>
      <c r="AZ3362" t="s">
        <v>665</v>
      </c>
      <c r="BA3362" t="s">
        <v>378</v>
      </c>
      <c r="BE3362" s="3">
        <v>41890</v>
      </c>
      <c r="BF3362" s="1">
        <v>390000</v>
      </c>
      <c r="BG3362" t="s">
        <v>21783</v>
      </c>
      <c r="BH3362" s="1">
        <v>150.81</v>
      </c>
      <c r="BI3362" s="1">
        <v>390000</v>
      </c>
      <c r="BJ3362" s="3">
        <v>41890</v>
      </c>
      <c r="BK3362" t="s">
        <v>123</v>
      </c>
      <c r="BL3362" t="str">
        <f>"2014.592247"</f>
        <v>2014.592247</v>
      </c>
      <c r="BM3362" t="s">
        <v>5534</v>
      </c>
      <c r="BO3362" t="s">
        <v>21784</v>
      </c>
      <c r="BS3362">
        <v>30</v>
      </c>
      <c r="BW3362" t="str">
        <f>""</f>
        <v/>
      </c>
      <c r="CH3362" t="str">
        <f>""</f>
        <v/>
      </c>
      <c r="CS3362" t="str">
        <f>""</f>
        <v/>
      </c>
    </row>
    <row r="3363" spans="1:97" x14ac:dyDescent="0.25">
      <c r="A3363" t="s">
        <v>305</v>
      </c>
      <c r="B3363" t="s">
        <v>3718</v>
      </c>
      <c r="C3363" t="s">
        <v>21785</v>
      </c>
      <c r="D3363" t="s">
        <v>3273</v>
      </c>
      <c r="E3363" t="s">
        <v>21786</v>
      </c>
      <c r="F3363" t="s">
        <v>139</v>
      </c>
      <c r="H3363" t="s">
        <v>21787</v>
      </c>
      <c r="I3363" t="s">
        <v>1936</v>
      </c>
      <c r="J3363" t="s">
        <v>111</v>
      </c>
      <c r="K3363" t="str">
        <f>"85260"</f>
        <v>85260</v>
      </c>
      <c r="L3363" t="s">
        <v>5106</v>
      </c>
      <c r="M3363" t="s">
        <v>21788</v>
      </c>
      <c r="N3363" t="s">
        <v>1936</v>
      </c>
      <c r="O3363" t="s">
        <v>111</v>
      </c>
      <c r="P3363" t="str">
        <f>"85260-8863"</f>
        <v>85260-8863</v>
      </c>
      <c r="Q3363" t="s">
        <v>113</v>
      </c>
      <c r="R3363" t="str">
        <f>"217-50-768"</f>
        <v>217-50-768</v>
      </c>
      <c r="S3363" t="s">
        <v>8013</v>
      </c>
      <c r="T3363" t="s">
        <v>8013</v>
      </c>
      <c r="U3363">
        <v>4511</v>
      </c>
      <c r="V3363">
        <v>0</v>
      </c>
      <c r="W3363">
        <v>6</v>
      </c>
      <c r="X3363">
        <v>2005</v>
      </c>
      <c r="Z3363">
        <v>1</v>
      </c>
      <c r="AA3363" t="s">
        <v>26</v>
      </c>
      <c r="AB3363">
        <v>0</v>
      </c>
      <c r="AC3363" t="s">
        <v>115</v>
      </c>
      <c r="AD3363">
        <v>3</v>
      </c>
      <c r="AE3363" t="s">
        <v>115</v>
      </c>
      <c r="AF3363">
        <v>0</v>
      </c>
      <c r="AG3363">
        <v>0</v>
      </c>
      <c r="AH3363" t="s">
        <v>116</v>
      </c>
      <c r="AI3363" s="1">
        <v>351579</v>
      </c>
      <c r="AJ3363" s="2">
        <v>0.33</v>
      </c>
      <c r="AK3363" s="1">
        <v>1056286</v>
      </c>
      <c r="AL3363" t="s">
        <v>117</v>
      </c>
      <c r="AM3363" t="s">
        <v>1302</v>
      </c>
      <c r="AN3363">
        <v>14450</v>
      </c>
      <c r="AO3363">
        <v>0.33</v>
      </c>
      <c r="AR3363">
        <v>1</v>
      </c>
      <c r="AS3363" s="1">
        <v>86070</v>
      </c>
      <c r="AT3363" s="1">
        <v>17210</v>
      </c>
      <c r="AU3363" s="1">
        <v>68860</v>
      </c>
      <c r="AV3363">
        <v>80</v>
      </c>
      <c r="AX3363" s="1">
        <v>6312.88</v>
      </c>
      <c r="AY3363" t="s">
        <v>5904</v>
      </c>
      <c r="AZ3363" t="s">
        <v>5420</v>
      </c>
      <c r="BA3363" t="s">
        <v>5763</v>
      </c>
      <c r="BE3363" s="3">
        <v>42286</v>
      </c>
      <c r="BF3363" s="1">
        <v>739000</v>
      </c>
      <c r="BG3363" t="s">
        <v>21789</v>
      </c>
      <c r="BH3363" s="1">
        <v>163.82</v>
      </c>
      <c r="BI3363" s="1">
        <v>654707</v>
      </c>
      <c r="BJ3363" s="3">
        <v>42286</v>
      </c>
      <c r="BK3363" t="s">
        <v>123</v>
      </c>
      <c r="BL3363" t="str">
        <f>"2015.729982"</f>
        <v>2015.729982</v>
      </c>
      <c r="BM3363" t="s">
        <v>1227</v>
      </c>
      <c r="BO3363" t="s">
        <v>21790</v>
      </c>
      <c r="BP3363" t="s">
        <v>21791</v>
      </c>
      <c r="BS3363">
        <v>30</v>
      </c>
      <c r="BT3363" s="1">
        <v>50000</v>
      </c>
      <c r="BU3363" s="3">
        <v>42935</v>
      </c>
      <c r="BW3363" t="str">
        <f>"2017.524922"</f>
        <v>2017.524922</v>
      </c>
      <c r="BX3363" t="s">
        <v>3252</v>
      </c>
      <c r="BZ3363" t="s">
        <v>21790</v>
      </c>
      <c r="CA3363" t="s">
        <v>21791</v>
      </c>
      <c r="CC3363" t="s">
        <v>1633</v>
      </c>
      <c r="CH3363" t="str">
        <f>""</f>
        <v/>
      </c>
      <c r="CS3363" t="str">
        <f>""</f>
        <v/>
      </c>
    </row>
    <row r="3364" spans="1:97" x14ac:dyDescent="0.25">
      <c r="A3364" t="s">
        <v>211</v>
      </c>
      <c r="B3364" t="s">
        <v>6090</v>
      </c>
      <c r="C3364" t="s">
        <v>767</v>
      </c>
      <c r="D3364" t="s">
        <v>6090</v>
      </c>
      <c r="E3364" t="s">
        <v>21792</v>
      </c>
      <c r="F3364" t="s">
        <v>108</v>
      </c>
      <c r="H3364" t="s">
        <v>21793</v>
      </c>
      <c r="I3364" t="s">
        <v>499</v>
      </c>
      <c r="J3364" t="s">
        <v>111</v>
      </c>
      <c r="K3364" t="str">
        <f>"85338"</f>
        <v>85338</v>
      </c>
      <c r="L3364" t="s">
        <v>6316</v>
      </c>
      <c r="M3364" t="s">
        <v>21793</v>
      </c>
      <c r="N3364" t="s">
        <v>499</v>
      </c>
      <c r="O3364" t="s">
        <v>111</v>
      </c>
      <c r="P3364" t="str">
        <f>"85338-6019"</f>
        <v>85338-6019</v>
      </c>
      <c r="Q3364" t="s">
        <v>113</v>
      </c>
      <c r="R3364" t="str">
        <f>"502-39-269"</f>
        <v>502-39-269</v>
      </c>
      <c r="S3364" t="s">
        <v>20124</v>
      </c>
      <c r="T3364" t="s">
        <v>6318</v>
      </c>
      <c r="U3364">
        <v>4129</v>
      </c>
      <c r="V3364">
        <v>0</v>
      </c>
      <c r="W3364">
        <v>5</v>
      </c>
      <c r="X3364">
        <v>2006</v>
      </c>
      <c r="Z3364">
        <v>2</v>
      </c>
      <c r="AB3364">
        <v>0</v>
      </c>
      <c r="AC3364" t="s">
        <v>115</v>
      </c>
      <c r="AD3364">
        <v>3</v>
      </c>
      <c r="AE3364" t="s">
        <v>115</v>
      </c>
      <c r="AF3364">
        <v>0</v>
      </c>
      <c r="AG3364">
        <v>0</v>
      </c>
      <c r="AH3364" t="s">
        <v>116</v>
      </c>
      <c r="AI3364" s="1">
        <v>60653</v>
      </c>
      <c r="AJ3364" s="2">
        <v>0.15</v>
      </c>
      <c r="AK3364" s="1">
        <v>404178</v>
      </c>
      <c r="AL3364" t="s">
        <v>117</v>
      </c>
      <c r="AM3364" t="s">
        <v>118</v>
      </c>
      <c r="AN3364">
        <v>9000</v>
      </c>
      <c r="AO3364">
        <v>0.21</v>
      </c>
      <c r="AP3364">
        <v>1</v>
      </c>
      <c r="AR3364">
        <v>1</v>
      </c>
      <c r="AS3364" s="1">
        <v>30160</v>
      </c>
      <c r="AT3364" s="1">
        <v>6030</v>
      </c>
      <c r="AU3364" s="1">
        <v>24130</v>
      </c>
      <c r="AV3364">
        <v>80.010000000000005</v>
      </c>
      <c r="AX3364" s="1">
        <v>3029</v>
      </c>
      <c r="AY3364" t="s">
        <v>6319</v>
      </c>
      <c r="AZ3364" t="s">
        <v>6319</v>
      </c>
      <c r="BA3364" t="s">
        <v>218</v>
      </c>
      <c r="BE3364" s="3">
        <v>42271</v>
      </c>
      <c r="BF3364" s="1">
        <v>337000</v>
      </c>
      <c r="BG3364" t="s">
        <v>21794</v>
      </c>
      <c r="BH3364" s="1">
        <v>81.62</v>
      </c>
      <c r="BI3364" s="1">
        <v>343525</v>
      </c>
      <c r="BJ3364" s="3">
        <v>42671</v>
      </c>
      <c r="BK3364" t="s">
        <v>123</v>
      </c>
      <c r="BL3364" t="str">
        <f>"2016.795718"</f>
        <v>2016.795718</v>
      </c>
      <c r="BM3364" t="s">
        <v>843</v>
      </c>
      <c r="BO3364" t="s">
        <v>21795</v>
      </c>
      <c r="BS3364">
        <v>30</v>
      </c>
      <c r="BW3364" t="str">
        <f>""</f>
        <v/>
      </c>
      <c r="CH3364" t="str">
        <f>""</f>
        <v/>
      </c>
      <c r="CS3364" t="str">
        <f>""</f>
        <v/>
      </c>
    </row>
    <row r="3365" spans="1:97" x14ac:dyDescent="0.25">
      <c r="A3365" t="s">
        <v>996</v>
      </c>
      <c r="B3365" t="s">
        <v>21796</v>
      </c>
      <c r="C3365" t="s">
        <v>2178</v>
      </c>
      <c r="D3365" t="s">
        <v>21796</v>
      </c>
      <c r="E3365" t="s">
        <v>21797</v>
      </c>
      <c r="F3365" t="s">
        <v>108</v>
      </c>
      <c r="H3365" t="s">
        <v>21798</v>
      </c>
      <c r="I3365" t="s">
        <v>632</v>
      </c>
      <c r="J3365" t="s">
        <v>111</v>
      </c>
      <c r="K3365" t="str">
        <f>"85388"</f>
        <v>85388</v>
      </c>
      <c r="L3365" t="s">
        <v>3094</v>
      </c>
      <c r="M3365" t="s">
        <v>21798</v>
      </c>
      <c r="N3365" t="s">
        <v>632</v>
      </c>
      <c r="O3365" t="s">
        <v>111</v>
      </c>
      <c r="P3365" t="str">
        <f>"85388-7732"</f>
        <v>85388-7732</v>
      </c>
      <c r="Q3365" t="s">
        <v>113</v>
      </c>
      <c r="R3365" t="str">
        <f>"502-88-065"</f>
        <v>502-88-065</v>
      </c>
      <c r="S3365" t="s">
        <v>12130</v>
      </c>
      <c r="T3365" t="s">
        <v>12131</v>
      </c>
      <c r="U3365">
        <v>1733</v>
      </c>
      <c r="V3365">
        <v>0</v>
      </c>
      <c r="W3365">
        <v>3</v>
      </c>
      <c r="X3365">
        <v>2004</v>
      </c>
      <c r="Z3365">
        <v>1</v>
      </c>
      <c r="AA3365" t="s">
        <v>26</v>
      </c>
      <c r="AB3365">
        <v>0</v>
      </c>
      <c r="AC3365" t="s">
        <v>115</v>
      </c>
      <c r="AD3365">
        <v>2</v>
      </c>
      <c r="AE3365" t="s">
        <v>115</v>
      </c>
      <c r="AF3365">
        <v>0</v>
      </c>
      <c r="AG3365">
        <v>0</v>
      </c>
      <c r="AH3365" t="s">
        <v>116</v>
      </c>
      <c r="AI3365" s="1">
        <v>56107</v>
      </c>
      <c r="AJ3365" s="2">
        <v>0.21</v>
      </c>
      <c r="AK3365" s="1">
        <v>265806</v>
      </c>
      <c r="AL3365" t="s">
        <v>117</v>
      </c>
      <c r="AM3365" t="s">
        <v>118</v>
      </c>
      <c r="AN3365">
        <v>5771</v>
      </c>
      <c r="AO3365">
        <v>0.13</v>
      </c>
      <c r="AP3365">
        <v>1</v>
      </c>
      <c r="AR3365">
        <v>1</v>
      </c>
      <c r="AS3365" s="1">
        <v>17930</v>
      </c>
      <c r="AT3365" s="1">
        <v>3580</v>
      </c>
      <c r="AU3365" s="1">
        <v>14350</v>
      </c>
      <c r="AV3365">
        <v>80.03</v>
      </c>
      <c r="AX3365" s="1">
        <v>1348.4</v>
      </c>
      <c r="AY3365" t="s">
        <v>6262</v>
      </c>
      <c r="AZ3365" t="s">
        <v>6262</v>
      </c>
      <c r="BA3365" t="s">
        <v>5061</v>
      </c>
      <c r="BE3365" s="3">
        <v>42306</v>
      </c>
      <c r="BF3365" s="1">
        <v>208000</v>
      </c>
      <c r="BG3365" t="s">
        <v>21799</v>
      </c>
      <c r="BH3365" s="1">
        <v>120.02</v>
      </c>
      <c r="BI3365" s="1">
        <v>209699</v>
      </c>
      <c r="BJ3365" s="3">
        <v>42306</v>
      </c>
      <c r="BK3365" t="s">
        <v>123</v>
      </c>
      <c r="BL3365" t="str">
        <f>"2015.779037"</f>
        <v>2015.779037</v>
      </c>
      <c r="BM3365" t="s">
        <v>724</v>
      </c>
      <c r="BO3365" t="s">
        <v>21800</v>
      </c>
      <c r="BS3365">
        <v>30</v>
      </c>
      <c r="BW3365" t="str">
        <f>""</f>
        <v/>
      </c>
      <c r="CH3365" t="str">
        <f>""</f>
        <v/>
      </c>
      <c r="CS3365" t="str">
        <f>""</f>
        <v/>
      </c>
    </row>
    <row r="3366" spans="1:97" x14ac:dyDescent="0.25">
      <c r="A3366" t="s">
        <v>4660</v>
      </c>
      <c r="B3366" t="s">
        <v>5356</v>
      </c>
      <c r="E3366" t="s">
        <v>21801</v>
      </c>
      <c r="F3366" t="s">
        <v>108</v>
      </c>
      <c r="H3366" t="s">
        <v>21802</v>
      </c>
      <c r="I3366" t="s">
        <v>110</v>
      </c>
      <c r="J3366" t="s">
        <v>111</v>
      </c>
      <c r="K3366" t="str">
        <f>"85224"</f>
        <v>85224</v>
      </c>
      <c r="L3366" t="s">
        <v>5228</v>
      </c>
      <c r="M3366" t="s">
        <v>21802</v>
      </c>
      <c r="N3366" t="s">
        <v>110</v>
      </c>
      <c r="O3366" t="s">
        <v>111</v>
      </c>
      <c r="P3366" t="str">
        <f>"85224-1030"</f>
        <v>85224-1030</v>
      </c>
      <c r="Q3366" t="s">
        <v>113</v>
      </c>
      <c r="R3366" t="str">
        <f>"302-87-086"</f>
        <v>302-87-086</v>
      </c>
      <c r="S3366" t="s">
        <v>21803</v>
      </c>
      <c r="U3366">
        <v>1703</v>
      </c>
      <c r="V3366">
        <v>0</v>
      </c>
      <c r="W3366">
        <v>2</v>
      </c>
      <c r="X3366">
        <v>1979</v>
      </c>
      <c r="Z3366">
        <v>1</v>
      </c>
      <c r="AA3366" t="s">
        <v>26</v>
      </c>
      <c r="AB3366">
        <v>0</v>
      </c>
      <c r="AC3366" t="s">
        <v>115</v>
      </c>
      <c r="AD3366">
        <v>2</v>
      </c>
      <c r="AE3366" t="s">
        <v>115</v>
      </c>
      <c r="AF3366">
        <v>0</v>
      </c>
      <c r="AG3366">
        <v>0</v>
      </c>
      <c r="AH3366" t="s">
        <v>116</v>
      </c>
      <c r="AI3366" s="1">
        <v>103795</v>
      </c>
      <c r="AJ3366" s="2">
        <v>0.33</v>
      </c>
      <c r="AK3366" s="1">
        <v>318822</v>
      </c>
      <c r="AL3366" t="s">
        <v>117</v>
      </c>
      <c r="AM3366" t="s">
        <v>5077</v>
      </c>
      <c r="AN3366">
        <v>9801</v>
      </c>
      <c r="AO3366">
        <v>0.22</v>
      </c>
      <c r="AP3366">
        <v>1</v>
      </c>
      <c r="AR3366">
        <v>1</v>
      </c>
      <c r="AS3366" s="1">
        <v>21560</v>
      </c>
      <c r="AT3366" s="1">
        <v>4310</v>
      </c>
      <c r="AU3366" s="1">
        <v>17250</v>
      </c>
      <c r="AV3366">
        <v>80.010000000000005</v>
      </c>
      <c r="AX3366" s="1">
        <v>1715.64</v>
      </c>
      <c r="AY3366" t="s">
        <v>5310</v>
      </c>
      <c r="AZ3366" t="s">
        <v>5310</v>
      </c>
      <c r="BA3366" t="s">
        <v>5311</v>
      </c>
      <c r="BE3366" s="3">
        <v>41929</v>
      </c>
      <c r="BF3366" s="1">
        <v>223000</v>
      </c>
      <c r="BG3366" t="s">
        <v>21804</v>
      </c>
      <c r="BH3366" s="1">
        <v>130.94999999999999</v>
      </c>
      <c r="BI3366" s="1">
        <v>215027</v>
      </c>
      <c r="BJ3366" s="3">
        <v>41929</v>
      </c>
      <c r="BK3366" t="s">
        <v>123</v>
      </c>
      <c r="BL3366" t="str">
        <f>"2014.690609"</f>
        <v>2014.690609</v>
      </c>
      <c r="BM3366" t="s">
        <v>135</v>
      </c>
      <c r="BO3366" t="s">
        <v>21805</v>
      </c>
      <c r="BS3366">
        <v>30</v>
      </c>
      <c r="BW3366" t="str">
        <f>""</f>
        <v/>
      </c>
      <c r="CH3366" t="str">
        <f>""</f>
        <v/>
      </c>
      <c r="CS3366" t="str">
        <f>""</f>
        <v/>
      </c>
    </row>
    <row r="3367" spans="1:97" x14ac:dyDescent="0.25">
      <c r="A3367" t="s">
        <v>370</v>
      </c>
      <c r="B3367" t="s">
        <v>1667</v>
      </c>
      <c r="C3367" t="s">
        <v>1170</v>
      </c>
      <c r="D3367" t="s">
        <v>1667</v>
      </c>
      <c r="E3367" t="s">
        <v>21806</v>
      </c>
      <c r="F3367" t="s">
        <v>108</v>
      </c>
      <c r="H3367" t="s">
        <v>21807</v>
      </c>
      <c r="I3367" t="s">
        <v>225</v>
      </c>
      <c r="J3367" t="s">
        <v>111</v>
      </c>
      <c r="K3367" t="str">
        <f>"85212"</f>
        <v>85212</v>
      </c>
      <c r="L3367" t="s">
        <v>1569</v>
      </c>
      <c r="M3367" t="s">
        <v>21807</v>
      </c>
      <c r="N3367" t="s">
        <v>225</v>
      </c>
      <c r="O3367" t="s">
        <v>111</v>
      </c>
      <c r="P3367" t="str">
        <f>"85212-1941"</f>
        <v>85212-1941</v>
      </c>
      <c r="Q3367" t="s">
        <v>113</v>
      </c>
      <c r="R3367" t="str">
        <f>"304-01-736"</f>
        <v>304-01-736</v>
      </c>
      <c r="S3367" t="s">
        <v>21808</v>
      </c>
      <c r="T3367" t="s">
        <v>12865</v>
      </c>
      <c r="U3367">
        <v>2343</v>
      </c>
      <c r="V3367">
        <v>0</v>
      </c>
      <c r="W3367">
        <v>3</v>
      </c>
      <c r="X3367">
        <v>2002</v>
      </c>
      <c r="Z3367">
        <v>1</v>
      </c>
      <c r="AB3367">
        <v>0</v>
      </c>
      <c r="AC3367" t="s">
        <v>115</v>
      </c>
      <c r="AD3367">
        <v>2</v>
      </c>
      <c r="AE3367" t="s">
        <v>115</v>
      </c>
      <c r="AF3367">
        <v>0</v>
      </c>
      <c r="AG3367">
        <v>0</v>
      </c>
      <c r="AH3367" t="s">
        <v>116</v>
      </c>
      <c r="AI3367" s="1">
        <v>72260</v>
      </c>
      <c r="AJ3367" s="2">
        <v>0.22</v>
      </c>
      <c r="AK3367" s="1">
        <v>327260</v>
      </c>
      <c r="AL3367" t="s">
        <v>117</v>
      </c>
      <c r="AM3367" t="s">
        <v>191</v>
      </c>
      <c r="AN3367">
        <v>7674</v>
      </c>
      <c r="AO3367">
        <v>0.18</v>
      </c>
      <c r="AP3367">
        <v>1</v>
      </c>
      <c r="AR3367">
        <v>1</v>
      </c>
      <c r="AS3367" s="1">
        <v>22320</v>
      </c>
      <c r="AT3367" s="1">
        <v>4460</v>
      </c>
      <c r="AU3367" s="1">
        <v>17860</v>
      </c>
      <c r="AV3367">
        <v>80.02</v>
      </c>
      <c r="AX3367" s="1">
        <v>1587.36</v>
      </c>
      <c r="AY3367" t="s">
        <v>776</v>
      </c>
      <c r="AZ3367" t="s">
        <v>777</v>
      </c>
      <c r="BA3367" t="s">
        <v>572</v>
      </c>
      <c r="BE3367" s="3">
        <v>42383</v>
      </c>
      <c r="BF3367" s="1">
        <v>255000</v>
      </c>
      <c r="BG3367" t="s">
        <v>21809</v>
      </c>
      <c r="BH3367" s="1">
        <v>108.83</v>
      </c>
      <c r="BI3367" s="1">
        <v>255000</v>
      </c>
      <c r="BJ3367" s="3">
        <v>42383</v>
      </c>
      <c r="BK3367" t="s">
        <v>123</v>
      </c>
      <c r="BL3367" t="str">
        <f>"2016.25147"</f>
        <v>2016.25147</v>
      </c>
      <c r="BM3367" t="s">
        <v>1287</v>
      </c>
      <c r="BO3367" t="s">
        <v>21810</v>
      </c>
      <c r="BS3367">
        <v>30</v>
      </c>
      <c r="BW3367" t="str">
        <f>""</f>
        <v/>
      </c>
      <c r="CH3367" t="str">
        <f>""</f>
        <v/>
      </c>
      <c r="CS3367" t="str">
        <f>""</f>
        <v/>
      </c>
    </row>
    <row r="3368" spans="1:97" x14ac:dyDescent="0.25">
      <c r="A3368" t="s">
        <v>695</v>
      </c>
      <c r="B3368" t="s">
        <v>21811</v>
      </c>
      <c r="E3368" t="s">
        <v>21812</v>
      </c>
      <c r="F3368" t="s">
        <v>108</v>
      </c>
      <c r="H3368" t="s">
        <v>21813</v>
      </c>
      <c r="I3368" t="s">
        <v>5387</v>
      </c>
      <c r="J3368" t="s">
        <v>111</v>
      </c>
      <c r="K3368" t="str">
        <f>"85281"</f>
        <v>85281</v>
      </c>
      <c r="L3368" t="s">
        <v>6964</v>
      </c>
      <c r="M3368" t="s">
        <v>21813</v>
      </c>
      <c r="N3368" t="s">
        <v>5387</v>
      </c>
      <c r="O3368" t="s">
        <v>111</v>
      </c>
      <c r="P3368" t="str">
        <f>"85281-1144"</f>
        <v>85281-1144</v>
      </c>
      <c r="Q3368" t="s">
        <v>113</v>
      </c>
      <c r="R3368" t="str">
        <f>"129-18-128"</f>
        <v>129-18-128</v>
      </c>
      <c r="S3368" t="s">
        <v>9587</v>
      </c>
      <c r="T3368" t="s">
        <v>9588</v>
      </c>
      <c r="U3368">
        <v>1440</v>
      </c>
      <c r="V3368">
        <v>0</v>
      </c>
      <c r="W3368">
        <v>2</v>
      </c>
      <c r="X3368">
        <v>1961</v>
      </c>
      <c r="Z3368">
        <v>2</v>
      </c>
      <c r="AA3368" t="s">
        <v>26</v>
      </c>
      <c r="AB3368">
        <v>0</v>
      </c>
      <c r="AC3368" t="s">
        <v>5188</v>
      </c>
      <c r="AD3368">
        <v>1</v>
      </c>
      <c r="AE3368" t="s">
        <v>5188</v>
      </c>
      <c r="AF3368">
        <v>0</v>
      </c>
      <c r="AG3368">
        <v>0</v>
      </c>
      <c r="AH3368" t="s">
        <v>116</v>
      </c>
      <c r="AI3368" s="1">
        <v>92379</v>
      </c>
      <c r="AJ3368" s="2">
        <v>0.27</v>
      </c>
      <c r="AK3368" s="1">
        <v>344529</v>
      </c>
      <c r="AL3368" t="s">
        <v>117</v>
      </c>
      <c r="AM3368" t="s">
        <v>191</v>
      </c>
      <c r="AN3368">
        <v>6926</v>
      </c>
      <c r="AO3368">
        <v>0.16</v>
      </c>
      <c r="AP3368">
        <v>1</v>
      </c>
      <c r="AR3368">
        <v>1</v>
      </c>
      <c r="AS3368" s="1">
        <v>21380</v>
      </c>
      <c r="AT3368" s="1">
        <v>4270</v>
      </c>
      <c r="AU3368" s="1">
        <v>17110</v>
      </c>
      <c r="AV3368">
        <v>80.03</v>
      </c>
      <c r="AX3368" s="1">
        <v>1103.28</v>
      </c>
      <c r="AY3368" t="s">
        <v>8392</v>
      </c>
      <c r="AZ3368" t="s">
        <v>5420</v>
      </c>
      <c r="BA3368" t="s">
        <v>5421</v>
      </c>
      <c r="BE3368" s="3">
        <v>42223</v>
      </c>
      <c r="BF3368" s="1">
        <v>260000</v>
      </c>
      <c r="BG3368" t="s">
        <v>21814</v>
      </c>
      <c r="BH3368" s="1">
        <v>180.56</v>
      </c>
      <c r="BI3368" s="1">
        <v>252150</v>
      </c>
      <c r="BJ3368" s="3">
        <v>42535</v>
      </c>
      <c r="BK3368" t="s">
        <v>123</v>
      </c>
      <c r="BL3368" t="str">
        <f>"2016.412837"</f>
        <v>2016.412837</v>
      </c>
      <c r="BM3368" t="s">
        <v>402</v>
      </c>
      <c r="BO3368" t="s">
        <v>21815</v>
      </c>
      <c r="BS3368">
        <v>30</v>
      </c>
      <c r="BW3368" t="str">
        <f>""</f>
        <v/>
      </c>
      <c r="CH3368" t="str">
        <f>""</f>
        <v/>
      </c>
      <c r="CS3368" t="str">
        <f>""</f>
        <v/>
      </c>
    </row>
    <row r="3369" spans="1:97" x14ac:dyDescent="0.25">
      <c r="A3369" t="s">
        <v>7343</v>
      </c>
      <c r="B3369" t="s">
        <v>21816</v>
      </c>
      <c r="C3369" t="s">
        <v>370</v>
      </c>
      <c r="D3369" t="s">
        <v>21817</v>
      </c>
      <c r="E3369" t="s">
        <v>21818</v>
      </c>
      <c r="F3369" t="s">
        <v>108</v>
      </c>
      <c r="H3369" t="s">
        <v>21819</v>
      </c>
      <c r="I3369" t="s">
        <v>390</v>
      </c>
      <c r="J3369" t="s">
        <v>111</v>
      </c>
      <c r="K3369" t="str">
        <f>"85044"</f>
        <v>85044</v>
      </c>
      <c r="L3369" t="s">
        <v>2875</v>
      </c>
      <c r="M3369" t="s">
        <v>21819</v>
      </c>
      <c r="N3369" t="s">
        <v>390</v>
      </c>
      <c r="O3369" t="s">
        <v>111</v>
      </c>
      <c r="P3369" t="str">
        <f>"85044-1128"</f>
        <v>85044-1128</v>
      </c>
      <c r="Q3369" t="s">
        <v>113</v>
      </c>
      <c r="R3369" t="str">
        <f>"301-40-605"</f>
        <v>301-40-605</v>
      </c>
      <c r="S3369" t="s">
        <v>21820</v>
      </c>
      <c r="T3369" t="s">
        <v>21821</v>
      </c>
      <c r="U3369">
        <v>1828</v>
      </c>
      <c r="V3369">
        <v>0</v>
      </c>
      <c r="W3369">
        <v>3</v>
      </c>
      <c r="X3369">
        <v>1979</v>
      </c>
      <c r="Z3369">
        <v>1</v>
      </c>
      <c r="AA3369" t="s">
        <v>26</v>
      </c>
      <c r="AB3369">
        <v>0</v>
      </c>
      <c r="AC3369" t="s">
        <v>115</v>
      </c>
      <c r="AD3369">
        <v>2</v>
      </c>
      <c r="AE3369" t="s">
        <v>115</v>
      </c>
      <c r="AF3369">
        <v>0</v>
      </c>
      <c r="AG3369">
        <v>0</v>
      </c>
      <c r="AH3369" t="s">
        <v>116</v>
      </c>
      <c r="AI3369" s="1">
        <v>93288</v>
      </c>
      <c r="AJ3369" s="2">
        <v>0.26</v>
      </c>
      <c r="AK3369" s="1">
        <v>352491</v>
      </c>
      <c r="AL3369" t="s">
        <v>117</v>
      </c>
      <c r="AM3369" t="s">
        <v>191</v>
      </c>
      <c r="AN3369">
        <v>8446</v>
      </c>
      <c r="AO3369">
        <v>0.19</v>
      </c>
      <c r="AP3369">
        <v>1</v>
      </c>
      <c r="AR3369">
        <v>1</v>
      </c>
      <c r="AS3369" s="1">
        <v>24830</v>
      </c>
      <c r="AT3369" s="1">
        <v>4960</v>
      </c>
      <c r="AU3369" s="1">
        <v>19870</v>
      </c>
      <c r="AV3369">
        <v>80.02</v>
      </c>
      <c r="AX3369" s="1">
        <v>1965.96</v>
      </c>
      <c r="AY3369" t="s">
        <v>11872</v>
      </c>
      <c r="AZ3369" t="s">
        <v>7255</v>
      </c>
      <c r="BA3369" t="s">
        <v>5328</v>
      </c>
      <c r="BE3369" s="3">
        <v>41656</v>
      </c>
      <c r="BF3369" s="1">
        <v>260000</v>
      </c>
      <c r="BG3369" t="s">
        <v>21822</v>
      </c>
      <c r="BH3369" s="1">
        <v>142.22999999999999</v>
      </c>
      <c r="BI3369" s="1">
        <v>259203</v>
      </c>
      <c r="BJ3369" s="3">
        <v>42691</v>
      </c>
      <c r="BK3369" t="s">
        <v>123</v>
      </c>
      <c r="BL3369" t="str">
        <f>"2016.849701"</f>
        <v>2016.849701</v>
      </c>
      <c r="BM3369" t="s">
        <v>709</v>
      </c>
      <c r="BO3369" t="s">
        <v>21823</v>
      </c>
      <c r="BP3369" t="s">
        <v>21824</v>
      </c>
      <c r="BS3369">
        <v>30</v>
      </c>
      <c r="BW3369" t="str">
        <f>""</f>
        <v/>
      </c>
      <c r="CH3369" t="str">
        <f>""</f>
        <v/>
      </c>
      <c r="CS3369" t="str">
        <f>""</f>
        <v/>
      </c>
    </row>
    <row r="3370" spans="1:97" x14ac:dyDescent="0.25">
      <c r="A3370" t="s">
        <v>370</v>
      </c>
      <c r="B3370" t="s">
        <v>21825</v>
      </c>
      <c r="C3370" t="s">
        <v>21826</v>
      </c>
      <c r="D3370" t="s">
        <v>21825</v>
      </c>
      <c r="E3370" t="s">
        <v>21827</v>
      </c>
      <c r="F3370" t="s">
        <v>108</v>
      </c>
      <c r="H3370" t="s">
        <v>21828</v>
      </c>
      <c r="I3370" t="s">
        <v>167</v>
      </c>
      <c r="J3370" t="s">
        <v>111</v>
      </c>
      <c r="K3370" t="str">
        <f>"85339"</f>
        <v>85339</v>
      </c>
      <c r="L3370" t="s">
        <v>6788</v>
      </c>
      <c r="M3370" t="s">
        <v>21828</v>
      </c>
      <c r="N3370" t="s">
        <v>167</v>
      </c>
      <c r="O3370" t="s">
        <v>111</v>
      </c>
      <c r="P3370" t="str">
        <f>"85339-1986"</f>
        <v>85339-1986</v>
      </c>
      <c r="Q3370" t="s">
        <v>113</v>
      </c>
      <c r="R3370" t="str">
        <f>"104-77-505"</f>
        <v>104-77-505</v>
      </c>
      <c r="S3370" t="s">
        <v>21829</v>
      </c>
      <c r="U3370">
        <v>2634</v>
      </c>
      <c r="V3370">
        <v>0</v>
      </c>
      <c r="W3370">
        <v>3</v>
      </c>
      <c r="X3370">
        <v>2006</v>
      </c>
      <c r="Z3370">
        <v>2</v>
      </c>
      <c r="AB3370">
        <v>0</v>
      </c>
      <c r="AC3370" t="s">
        <v>115</v>
      </c>
      <c r="AD3370">
        <v>2</v>
      </c>
      <c r="AE3370" t="s">
        <v>115</v>
      </c>
      <c r="AF3370">
        <v>0</v>
      </c>
      <c r="AG3370">
        <v>0</v>
      </c>
      <c r="AH3370" t="s">
        <v>116</v>
      </c>
      <c r="AI3370" s="1">
        <v>24230</v>
      </c>
      <c r="AJ3370" s="2">
        <v>0.09</v>
      </c>
      <c r="AK3370" s="1">
        <v>275454</v>
      </c>
      <c r="AL3370" t="s">
        <v>117</v>
      </c>
      <c r="AM3370" t="s">
        <v>171</v>
      </c>
      <c r="AN3370">
        <v>5621</v>
      </c>
      <c r="AO3370">
        <v>0.13</v>
      </c>
      <c r="AR3370">
        <v>1</v>
      </c>
      <c r="AS3370" s="1">
        <v>18100</v>
      </c>
      <c r="AT3370" s="1">
        <v>3620</v>
      </c>
      <c r="AU3370" s="1">
        <v>14480</v>
      </c>
      <c r="AV3370">
        <v>80</v>
      </c>
      <c r="AX3370" s="1">
        <v>2081.4</v>
      </c>
      <c r="AY3370" t="s">
        <v>5777</v>
      </c>
      <c r="AZ3370" t="s">
        <v>5777</v>
      </c>
      <c r="BA3370" t="s">
        <v>173</v>
      </c>
      <c r="BB3370" s="3">
        <v>43007</v>
      </c>
      <c r="BD3370" t="s">
        <v>157</v>
      </c>
      <c r="BE3370" s="3">
        <v>42215</v>
      </c>
      <c r="BF3370" s="1">
        <v>209000</v>
      </c>
      <c r="BG3370" t="s">
        <v>21830</v>
      </c>
      <c r="BH3370" s="1">
        <v>79.349999999999994</v>
      </c>
      <c r="BI3370" s="1">
        <v>251224</v>
      </c>
      <c r="BJ3370" s="3">
        <v>43549</v>
      </c>
      <c r="BK3370" t="s">
        <v>123</v>
      </c>
      <c r="BL3370" t="str">
        <f>"2019.202654"</f>
        <v>2019.202654</v>
      </c>
      <c r="BM3370" t="s">
        <v>1809</v>
      </c>
      <c r="BN3370" t="s">
        <v>1810</v>
      </c>
      <c r="BO3370" t="s">
        <v>21831</v>
      </c>
      <c r="BP3370" t="s">
        <v>21832</v>
      </c>
      <c r="BR3370" t="s">
        <v>139</v>
      </c>
      <c r="BW3370" t="str">
        <f>""</f>
        <v/>
      </c>
      <c r="CH3370" t="str">
        <f>""</f>
        <v/>
      </c>
      <c r="CS3370" t="str">
        <f>""</f>
        <v/>
      </c>
    </row>
    <row r="3371" spans="1:97" x14ac:dyDescent="0.25">
      <c r="A3371" t="s">
        <v>370</v>
      </c>
      <c r="B3371" t="s">
        <v>9791</v>
      </c>
      <c r="C3371" t="s">
        <v>1252</v>
      </c>
      <c r="D3371" t="s">
        <v>9791</v>
      </c>
      <c r="E3371" t="s">
        <v>21833</v>
      </c>
      <c r="F3371" t="s">
        <v>108</v>
      </c>
      <c r="H3371" t="s">
        <v>21834</v>
      </c>
      <c r="I3371" t="s">
        <v>632</v>
      </c>
      <c r="J3371" t="s">
        <v>111</v>
      </c>
      <c r="K3371" t="str">
        <f>"85388"</f>
        <v>85388</v>
      </c>
      <c r="L3371" t="s">
        <v>5429</v>
      </c>
      <c r="M3371" t="s">
        <v>21834</v>
      </c>
      <c r="N3371" t="s">
        <v>632</v>
      </c>
      <c r="O3371" t="s">
        <v>111</v>
      </c>
      <c r="P3371" t="str">
        <f>"85388-1200"</f>
        <v>85388-1200</v>
      </c>
      <c r="Q3371" t="s">
        <v>113</v>
      </c>
      <c r="R3371" t="str">
        <f>"502-01-913"</f>
        <v>502-01-913</v>
      </c>
      <c r="S3371" t="s">
        <v>5430</v>
      </c>
      <c r="T3371" t="s">
        <v>5431</v>
      </c>
      <c r="U3371">
        <v>1895</v>
      </c>
      <c r="V3371">
        <v>0</v>
      </c>
      <c r="W3371">
        <v>3</v>
      </c>
      <c r="X3371">
        <v>2004</v>
      </c>
      <c r="Z3371">
        <v>1</v>
      </c>
      <c r="AB3371">
        <v>0</v>
      </c>
      <c r="AC3371" t="s">
        <v>115</v>
      </c>
      <c r="AD3371">
        <v>3</v>
      </c>
      <c r="AE3371" t="s">
        <v>115</v>
      </c>
      <c r="AF3371">
        <v>0</v>
      </c>
      <c r="AG3371">
        <v>0</v>
      </c>
      <c r="AH3371" t="s">
        <v>116</v>
      </c>
      <c r="AI3371" s="1">
        <v>57411</v>
      </c>
      <c r="AJ3371" s="2">
        <v>0.21</v>
      </c>
      <c r="AK3371" s="1">
        <v>274111</v>
      </c>
      <c r="AL3371" t="s">
        <v>117</v>
      </c>
      <c r="AM3371" t="s">
        <v>118</v>
      </c>
      <c r="AN3371">
        <v>8229</v>
      </c>
      <c r="AO3371">
        <v>0.19</v>
      </c>
      <c r="AR3371">
        <v>1</v>
      </c>
      <c r="AS3371" s="1">
        <v>19180</v>
      </c>
      <c r="AT3371" s="1">
        <v>3830</v>
      </c>
      <c r="AU3371" s="1">
        <v>15350</v>
      </c>
      <c r="AV3371">
        <v>80.03</v>
      </c>
      <c r="AX3371" s="1">
        <v>1450.04</v>
      </c>
      <c r="AY3371" t="s">
        <v>5432</v>
      </c>
      <c r="AZ3371" t="s">
        <v>5432</v>
      </c>
      <c r="BA3371" t="s">
        <v>5109</v>
      </c>
      <c r="BE3371" s="3">
        <v>42541</v>
      </c>
      <c r="BF3371" s="1">
        <v>218500</v>
      </c>
      <c r="BG3371" t="s">
        <v>21835</v>
      </c>
      <c r="BH3371" s="1">
        <v>115.3</v>
      </c>
      <c r="BI3371" s="1">
        <v>216700</v>
      </c>
      <c r="BJ3371" s="3">
        <v>42915</v>
      </c>
      <c r="BK3371" t="s">
        <v>123</v>
      </c>
      <c r="BL3371" t="str">
        <f>"2017.475385"</f>
        <v>2017.475385</v>
      </c>
      <c r="BM3371" t="s">
        <v>8621</v>
      </c>
      <c r="BO3371" t="s">
        <v>21836</v>
      </c>
      <c r="BS3371">
        <v>30</v>
      </c>
      <c r="BW3371" t="str">
        <f>""</f>
        <v/>
      </c>
      <c r="CH3371" t="str">
        <f>""</f>
        <v/>
      </c>
      <c r="CS3371" t="str">
        <f>""</f>
        <v/>
      </c>
    </row>
    <row r="3372" spans="1:97" x14ac:dyDescent="0.25">
      <c r="A3372" t="s">
        <v>3768</v>
      </c>
      <c r="B3372" t="s">
        <v>996</v>
      </c>
      <c r="C3372" t="s">
        <v>21837</v>
      </c>
      <c r="D3372" t="s">
        <v>996</v>
      </c>
      <c r="E3372" t="s">
        <v>21838</v>
      </c>
      <c r="F3372" t="s">
        <v>108</v>
      </c>
      <c r="H3372" t="s">
        <v>21839</v>
      </c>
      <c r="I3372" t="s">
        <v>499</v>
      </c>
      <c r="J3372" t="s">
        <v>111</v>
      </c>
      <c r="K3372" t="str">
        <f>"85395"</f>
        <v>85395</v>
      </c>
      <c r="L3372" t="s">
        <v>7243</v>
      </c>
      <c r="M3372" t="s">
        <v>21839</v>
      </c>
      <c r="N3372" t="s">
        <v>499</v>
      </c>
      <c r="O3372" t="s">
        <v>111</v>
      </c>
      <c r="P3372" t="str">
        <f>"85395-8217"</f>
        <v>85395-8217</v>
      </c>
      <c r="Q3372" t="s">
        <v>113</v>
      </c>
      <c r="R3372" t="str">
        <f>"508-01-588"</f>
        <v>508-01-588</v>
      </c>
      <c r="S3372" t="s">
        <v>15264</v>
      </c>
      <c r="T3372" t="s">
        <v>15265</v>
      </c>
      <c r="U3372">
        <v>2680</v>
      </c>
      <c r="V3372">
        <v>0</v>
      </c>
      <c r="W3372">
        <v>4</v>
      </c>
      <c r="X3372">
        <v>2001</v>
      </c>
      <c r="Z3372">
        <v>1</v>
      </c>
      <c r="AA3372" t="s">
        <v>26</v>
      </c>
      <c r="AB3372">
        <v>0</v>
      </c>
      <c r="AC3372" t="s">
        <v>115</v>
      </c>
      <c r="AD3372">
        <v>3</v>
      </c>
      <c r="AE3372" t="s">
        <v>115</v>
      </c>
      <c r="AF3372">
        <v>0</v>
      </c>
      <c r="AG3372">
        <v>0</v>
      </c>
      <c r="AH3372" t="s">
        <v>116</v>
      </c>
      <c r="AI3372" s="1">
        <v>48846</v>
      </c>
      <c r="AJ3372" s="2">
        <v>0.12</v>
      </c>
      <c r="AK3372" s="1">
        <v>398170</v>
      </c>
      <c r="AL3372" t="s">
        <v>117</v>
      </c>
      <c r="AM3372" t="s">
        <v>118</v>
      </c>
      <c r="AN3372">
        <v>18172</v>
      </c>
      <c r="AO3372">
        <v>0.42</v>
      </c>
      <c r="AP3372">
        <v>1</v>
      </c>
      <c r="AR3372">
        <v>1</v>
      </c>
      <c r="AS3372" s="1">
        <v>29080</v>
      </c>
      <c r="AT3372" s="1">
        <v>5810</v>
      </c>
      <c r="AU3372" s="1">
        <v>23270</v>
      </c>
      <c r="AV3372">
        <v>80.02</v>
      </c>
      <c r="AX3372" s="1">
        <v>3764.22</v>
      </c>
      <c r="AY3372" t="s">
        <v>3020</v>
      </c>
      <c r="AZ3372" t="s">
        <v>3020</v>
      </c>
      <c r="BA3372" t="s">
        <v>3154</v>
      </c>
      <c r="BE3372" s="3">
        <v>42444</v>
      </c>
      <c r="BF3372" s="1">
        <v>345000</v>
      </c>
      <c r="BG3372" t="s">
        <v>21840</v>
      </c>
      <c r="BH3372" s="1">
        <v>128.72999999999999</v>
      </c>
      <c r="BI3372" s="1">
        <v>349324</v>
      </c>
      <c r="BJ3372" s="3">
        <v>42928</v>
      </c>
      <c r="BK3372" t="s">
        <v>123</v>
      </c>
      <c r="BL3372" t="str">
        <f>"2017.508120"</f>
        <v>2017.508120</v>
      </c>
      <c r="BM3372" t="s">
        <v>724</v>
      </c>
      <c r="BO3372" t="s">
        <v>21841</v>
      </c>
      <c r="BS3372">
        <v>15</v>
      </c>
      <c r="BW3372" t="str">
        <f>""</f>
        <v/>
      </c>
      <c r="CH3372" t="str">
        <f>""</f>
        <v/>
      </c>
      <c r="CS3372" t="str">
        <f>""</f>
        <v/>
      </c>
    </row>
    <row r="3373" spans="1:97" x14ac:dyDescent="0.25">
      <c r="A3373" t="s">
        <v>1109</v>
      </c>
      <c r="B3373" t="s">
        <v>21842</v>
      </c>
      <c r="E3373" t="s">
        <v>21843</v>
      </c>
      <c r="F3373" t="s">
        <v>108</v>
      </c>
      <c r="H3373" t="s">
        <v>21844</v>
      </c>
      <c r="I3373" t="s">
        <v>390</v>
      </c>
      <c r="J3373" t="s">
        <v>111</v>
      </c>
      <c r="K3373" t="str">
        <f>"85044"</f>
        <v>85044</v>
      </c>
      <c r="L3373" t="s">
        <v>8462</v>
      </c>
      <c r="M3373" t="s">
        <v>21844</v>
      </c>
      <c r="N3373" t="s">
        <v>390</v>
      </c>
      <c r="O3373" t="s">
        <v>111</v>
      </c>
      <c r="P3373" t="str">
        <f>"85044-2103"</f>
        <v>85044-2103</v>
      </c>
      <c r="Q3373" t="s">
        <v>113</v>
      </c>
      <c r="R3373" t="str">
        <f>"301-55-036"</f>
        <v>301-55-036</v>
      </c>
      <c r="S3373" t="s">
        <v>14746</v>
      </c>
      <c r="U3373">
        <v>1652</v>
      </c>
      <c r="V3373">
        <v>0</v>
      </c>
      <c r="W3373">
        <v>2</v>
      </c>
      <c r="X3373">
        <v>1976</v>
      </c>
      <c r="Z3373">
        <v>1</v>
      </c>
      <c r="AB3373">
        <v>0</v>
      </c>
      <c r="AC3373" t="s">
        <v>115</v>
      </c>
      <c r="AD3373">
        <v>2</v>
      </c>
      <c r="AE3373" t="s">
        <v>115</v>
      </c>
      <c r="AF3373">
        <v>0</v>
      </c>
      <c r="AG3373">
        <v>0</v>
      </c>
      <c r="AH3373" t="s">
        <v>116</v>
      </c>
      <c r="AI3373" s="1">
        <v>43281</v>
      </c>
      <c r="AJ3373" s="2">
        <v>0.16</v>
      </c>
      <c r="AK3373" s="1">
        <v>266281</v>
      </c>
      <c r="AL3373" t="s">
        <v>117</v>
      </c>
      <c r="AM3373" t="s">
        <v>191</v>
      </c>
      <c r="AN3373">
        <v>8268</v>
      </c>
      <c r="AO3373">
        <v>0.19</v>
      </c>
      <c r="AP3373">
        <v>1</v>
      </c>
      <c r="AR3373">
        <v>1</v>
      </c>
      <c r="AS3373" s="1">
        <v>18110</v>
      </c>
      <c r="AT3373" s="1">
        <v>3620</v>
      </c>
      <c r="AU3373" s="1">
        <v>14490</v>
      </c>
      <c r="AV3373">
        <v>80.010000000000005</v>
      </c>
      <c r="AX3373" s="1">
        <v>1395.4</v>
      </c>
      <c r="AY3373" t="s">
        <v>11872</v>
      </c>
      <c r="AZ3373" t="s">
        <v>7255</v>
      </c>
      <c r="BA3373" t="s">
        <v>5328</v>
      </c>
      <c r="BE3373" s="3">
        <v>42058</v>
      </c>
      <c r="BF3373" s="1">
        <v>179900</v>
      </c>
      <c r="BG3373" t="s">
        <v>21845</v>
      </c>
      <c r="BH3373" s="1">
        <v>108.9</v>
      </c>
      <c r="BI3373" s="1">
        <v>223000</v>
      </c>
      <c r="BJ3373" s="3">
        <v>43291</v>
      </c>
      <c r="BK3373" t="s">
        <v>123</v>
      </c>
      <c r="BL3373" t="str">
        <f>"2018.520797"</f>
        <v>2018.520797</v>
      </c>
      <c r="BM3373" t="s">
        <v>248</v>
      </c>
      <c r="BN3373" t="s">
        <v>249</v>
      </c>
      <c r="BO3373" t="s">
        <v>21843</v>
      </c>
      <c r="BR3373" t="s">
        <v>139</v>
      </c>
      <c r="BW3373" t="str">
        <f>""</f>
        <v/>
      </c>
      <c r="CH3373" t="str">
        <f>""</f>
        <v/>
      </c>
      <c r="CS3373" t="str">
        <f>""</f>
        <v/>
      </c>
    </row>
    <row r="3374" spans="1:97" x14ac:dyDescent="0.25">
      <c r="A3374" t="s">
        <v>610</v>
      </c>
      <c r="B3374" t="s">
        <v>11649</v>
      </c>
      <c r="E3374" t="s">
        <v>21846</v>
      </c>
      <c r="F3374" t="s">
        <v>108</v>
      </c>
      <c r="H3374" t="s">
        <v>21847</v>
      </c>
      <c r="I3374" t="s">
        <v>632</v>
      </c>
      <c r="J3374" t="s">
        <v>111</v>
      </c>
      <c r="K3374" t="str">
        <f>"85379"</f>
        <v>85379</v>
      </c>
      <c r="L3374" t="s">
        <v>5021</v>
      </c>
      <c r="M3374" t="s">
        <v>21847</v>
      </c>
      <c r="N3374" t="s">
        <v>632</v>
      </c>
      <c r="O3374" t="s">
        <v>111</v>
      </c>
      <c r="P3374" t="str">
        <f>"85379-5207"</f>
        <v>85379-5207</v>
      </c>
      <c r="Q3374" t="s">
        <v>113</v>
      </c>
      <c r="R3374" t="str">
        <f>"501-96-146"</f>
        <v>501-96-146</v>
      </c>
      <c r="S3374" t="s">
        <v>18876</v>
      </c>
      <c r="U3374">
        <v>2508</v>
      </c>
      <c r="V3374">
        <v>0</v>
      </c>
      <c r="W3374">
        <v>3</v>
      </c>
      <c r="X3374">
        <v>2003</v>
      </c>
      <c r="Z3374">
        <v>2</v>
      </c>
      <c r="AA3374" t="s">
        <v>26</v>
      </c>
      <c r="AB3374">
        <v>0</v>
      </c>
      <c r="AC3374" t="s">
        <v>115</v>
      </c>
      <c r="AD3374">
        <v>3</v>
      </c>
      <c r="AE3374" t="s">
        <v>115</v>
      </c>
      <c r="AF3374">
        <v>0</v>
      </c>
      <c r="AG3374">
        <v>0</v>
      </c>
      <c r="AH3374" t="s">
        <v>116</v>
      </c>
      <c r="AI3374" s="1">
        <v>58793</v>
      </c>
      <c r="AJ3374" s="2">
        <v>0.19</v>
      </c>
      <c r="AK3374" s="1">
        <v>308693</v>
      </c>
      <c r="AL3374" t="s">
        <v>117</v>
      </c>
      <c r="AM3374" t="s">
        <v>118</v>
      </c>
      <c r="AN3374">
        <v>7692</v>
      </c>
      <c r="AO3374">
        <v>0.18</v>
      </c>
      <c r="AP3374">
        <v>1</v>
      </c>
      <c r="AR3374">
        <v>1</v>
      </c>
      <c r="AS3374" s="1">
        <v>20210</v>
      </c>
      <c r="AT3374" s="1">
        <v>4040</v>
      </c>
      <c r="AU3374" s="1">
        <v>16170</v>
      </c>
      <c r="AV3374">
        <v>80.010000000000005</v>
      </c>
      <c r="AX3374" s="1">
        <v>1516.74</v>
      </c>
      <c r="AY3374" t="s">
        <v>5615</v>
      </c>
      <c r="AZ3374" t="s">
        <v>5615</v>
      </c>
      <c r="BA3374" t="s">
        <v>635</v>
      </c>
      <c r="BE3374" s="3">
        <v>42178</v>
      </c>
      <c r="BF3374" s="1">
        <v>249900</v>
      </c>
      <c r="BG3374" t="s">
        <v>21848</v>
      </c>
      <c r="BH3374" s="1">
        <v>99.64</v>
      </c>
      <c r="BI3374" s="1">
        <v>249900</v>
      </c>
      <c r="BJ3374" s="3">
        <v>42178</v>
      </c>
      <c r="BK3374" t="s">
        <v>123</v>
      </c>
      <c r="BL3374" t="str">
        <f>"2015.446330"</f>
        <v>2015.446330</v>
      </c>
      <c r="BM3374" t="s">
        <v>2748</v>
      </c>
      <c r="BO3374" t="s">
        <v>21849</v>
      </c>
      <c r="BS3374">
        <v>30</v>
      </c>
      <c r="BW3374" t="str">
        <f>""</f>
        <v/>
      </c>
      <c r="CH3374" t="str">
        <f>""</f>
        <v/>
      </c>
      <c r="CS3374" t="str">
        <f>""</f>
        <v/>
      </c>
    </row>
    <row r="3375" spans="1:97" x14ac:dyDescent="0.25">
      <c r="A3375" t="s">
        <v>21850</v>
      </c>
      <c r="B3375" t="s">
        <v>21851</v>
      </c>
      <c r="C3375" t="s">
        <v>3057</v>
      </c>
      <c r="D3375" t="s">
        <v>21851</v>
      </c>
      <c r="E3375" t="s">
        <v>21852</v>
      </c>
      <c r="F3375" t="s">
        <v>108</v>
      </c>
      <c r="H3375" t="s">
        <v>21853</v>
      </c>
      <c r="I3375" t="s">
        <v>2874</v>
      </c>
      <c r="J3375" t="s">
        <v>111</v>
      </c>
      <c r="K3375" t="str">
        <f>"85308"</f>
        <v>85308</v>
      </c>
      <c r="L3375" t="s">
        <v>5606</v>
      </c>
      <c r="M3375" t="s">
        <v>21853</v>
      </c>
      <c r="N3375" t="s">
        <v>2874</v>
      </c>
      <c r="O3375" t="s">
        <v>111</v>
      </c>
      <c r="P3375" t="str">
        <f>"85308-1528"</f>
        <v>85308-1528</v>
      </c>
      <c r="Q3375" t="s">
        <v>113</v>
      </c>
      <c r="R3375" t="str">
        <f>"207-22-041"</f>
        <v>207-22-041</v>
      </c>
      <c r="S3375" t="s">
        <v>21854</v>
      </c>
      <c r="U3375">
        <v>2620</v>
      </c>
      <c r="V3375">
        <v>0</v>
      </c>
      <c r="W3375">
        <v>3</v>
      </c>
      <c r="X3375">
        <v>1979</v>
      </c>
      <c r="Z3375">
        <v>2</v>
      </c>
      <c r="AA3375" t="s">
        <v>26</v>
      </c>
      <c r="AB3375">
        <v>0</v>
      </c>
      <c r="AC3375" t="s">
        <v>115</v>
      </c>
      <c r="AD3375">
        <v>3</v>
      </c>
      <c r="AE3375" t="s">
        <v>115</v>
      </c>
      <c r="AF3375">
        <v>0</v>
      </c>
      <c r="AG3375">
        <v>0</v>
      </c>
      <c r="AH3375" t="s">
        <v>116</v>
      </c>
      <c r="AI3375" s="1">
        <v>92144</v>
      </c>
      <c r="AJ3375" s="2">
        <v>0.26</v>
      </c>
      <c r="AK3375" s="1">
        <v>348191</v>
      </c>
      <c r="AL3375" t="s">
        <v>117</v>
      </c>
      <c r="AM3375" t="s">
        <v>5441</v>
      </c>
      <c r="AN3375">
        <v>9860</v>
      </c>
      <c r="AO3375">
        <v>0.23</v>
      </c>
      <c r="AP3375">
        <v>1</v>
      </c>
      <c r="AR3375">
        <v>1</v>
      </c>
      <c r="AS3375" s="1">
        <v>25280</v>
      </c>
      <c r="AT3375" s="1">
        <v>5050</v>
      </c>
      <c r="AU3375" s="1">
        <v>20230</v>
      </c>
      <c r="AV3375">
        <v>80.02</v>
      </c>
      <c r="AX3375" s="1">
        <v>1938.92</v>
      </c>
      <c r="AY3375" t="s">
        <v>7007</v>
      </c>
      <c r="AZ3375" t="s">
        <v>5142</v>
      </c>
      <c r="BA3375" t="s">
        <v>5143</v>
      </c>
      <c r="BB3375" s="3">
        <v>42061</v>
      </c>
      <c r="BD3375" t="s">
        <v>240</v>
      </c>
      <c r="BE3375" s="3">
        <v>42060</v>
      </c>
      <c r="BF3375" s="1">
        <v>256000</v>
      </c>
      <c r="BG3375" t="s">
        <v>21855</v>
      </c>
      <c r="BH3375" s="1">
        <v>97.71</v>
      </c>
      <c r="BI3375" s="1">
        <v>256047</v>
      </c>
      <c r="BJ3375" s="3">
        <v>42535</v>
      </c>
      <c r="BK3375" t="s">
        <v>123</v>
      </c>
      <c r="BL3375" t="str">
        <f>"2016.410655"</f>
        <v>2016.410655</v>
      </c>
      <c r="BM3375" t="s">
        <v>402</v>
      </c>
      <c r="BO3375" t="s">
        <v>21856</v>
      </c>
      <c r="BS3375">
        <v>30</v>
      </c>
      <c r="BW3375" t="str">
        <f>""</f>
        <v/>
      </c>
      <c r="CH3375" t="str">
        <f>""</f>
        <v/>
      </c>
      <c r="CS3375" t="str">
        <f>""</f>
        <v/>
      </c>
    </row>
    <row r="3376" spans="1:97" x14ac:dyDescent="0.25">
      <c r="B3376" t="s">
        <v>21857</v>
      </c>
      <c r="E3376" t="s">
        <v>21858</v>
      </c>
      <c r="F3376" t="s">
        <v>108</v>
      </c>
      <c r="H3376" t="s">
        <v>21859</v>
      </c>
      <c r="I3376" t="s">
        <v>110</v>
      </c>
      <c r="J3376" t="s">
        <v>111</v>
      </c>
      <c r="K3376" t="str">
        <f>"85249"</f>
        <v>85249</v>
      </c>
      <c r="L3376" t="s">
        <v>6529</v>
      </c>
      <c r="M3376" t="s">
        <v>21859</v>
      </c>
      <c r="N3376" t="s">
        <v>110</v>
      </c>
      <c r="O3376" t="s">
        <v>111</v>
      </c>
      <c r="P3376" t="str">
        <f>"85249-4825"</f>
        <v>85249-4825</v>
      </c>
      <c r="Q3376" t="s">
        <v>113</v>
      </c>
      <c r="R3376" t="str">
        <f>"303-56-066"</f>
        <v>303-56-066</v>
      </c>
      <c r="S3376" t="s">
        <v>21860</v>
      </c>
      <c r="U3376">
        <v>2159</v>
      </c>
      <c r="V3376">
        <v>0</v>
      </c>
      <c r="W3376">
        <v>3</v>
      </c>
      <c r="X3376">
        <v>1999</v>
      </c>
      <c r="Z3376">
        <v>1</v>
      </c>
      <c r="AA3376" t="s">
        <v>26</v>
      </c>
      <c r="AB3376">
        <v>0</v>
      </c>
      <c r="AC3376" t="s">
        <v>115</v>
      </c>
      <c r="AD3376">
        <v>2</v>
      </c>
      <c r="AE3376" t="s">
        <v>115</v>
      </c>
      <c r="AF3376">
        <v>0</v>
      </c>
      <c r="AG3376">
        <v>0</v>
      </c>
      <c r="AH3376" t="s">
        <v>116</v>
      </c>
      <c r="AI3376" s="1">
        <v>47406</v>
      </c>
      <c r="AJ3376" s="2">
        <v>0.13</v>
      </c>
      <c r="AK3376" s="1">
        <v>364106</v>
      </c>
      <c r="AL3376" t="s">
        <v>117</v>
      </c>
      <c r="AM3376" t="s">
        <v>118</v>
      </c>
      <c r="AN3376">
        <v>8433</v>
      </c>
      <c r="AO3376">
        <v>0.19</v>
      </c>
      <c r="AP3376">
        <v>1</v>
      </c>
      <c r="AR3376">
        <v>1</v>
      </c>
      <c r="AS3376" s="1">
        <v>25320</v>
      </c>
      <c r="AT3376" s="1">
        <v>5060</v>
      </c>
      <c r="AU3376" s="1">
        <v>20260</v>
      </c>
      <c r="AV3376">
        <v>80.02</v>
      </c>
      <c r="AX3376" s="1">
        <v>1928.72</v>
      </c>
      <c r="AY3376" t="s">
        <v>5050</v>
      </c>
      <c r="AZ3376" t="s">
        <v>120</v>
      </c>
      <c r="BA3376" t="s">
        <v>274</v>
      </c>
      <c r="BB3376" s="3">
        <v>42570</v>
      </c>
      <c r="BD3376" t="s">
        <v>480</v>
      </c>
      <c r="BE3376" s="3">
        <v>41905</v>
      </c>
      <c r="BF3376" s="1">
        <v>279900</v>
      </c>
      <c r="BG3376" t="s">
        <v>21861</v>
      </c>
      <c r="BH3376" s="1">
        <v>129.63999999999999</v>
      </c>
      <c r="BI3376" s="1">
        <v>316700</v>
      </c>
      <c r="BJ3376" s="3">
        <v>43083</v>
      </c>
      <c r="BK3376" t="s">
        <v>123</v>
      </c>
      <c r="BL3376" t="str">
        <f>"2017.923362"</f>
        <v>2017.923362</v>
      </c>
      <c r="BM3376" t="s">
        <v>361</v>
      </c>
      <c r="BO3376" t="s">
        <v>21862</v>
      </c>
      <c r="BP3376" t="s">
        <v>21863</v>
      </c>
      <c r="BS3376">
        <v>31</v>
      </c>
      <c r="BW3376" t="str">
        <f>""</f>
        <v/>
      </c>
      <c r="CH3376" t="str">
        <f>""</f>
        <v/>
      </c>
      <c r="CS3376" t="str">
        <f>""</f>
        <v/>
      </c>
    </row>
    <row r="3377" spans="1:97" x14ac:dyDescent="0.25">
      <c r="A3377" t="s">
        <v>1949</v>
      </c>
      <c r="B3377" t="s">
        <v>1930</v>
      </c>
      <c r="C3377" t="s">
        <v>21864</v>
      </c>
      <c r="D3377" t="s">
        <v>1930</v>
      </c>
      <c r="E3377" t="s">
        <v>21865</v>
      </c>
      <c r="F3377" t="s">
        <v>108</v>
      </c>
      <c r="H3377" t="s">
        <v>21866</v>
      </c>
      <c r="I3377" t="s">
        <v>390</v>
      </c>
      <c r="J3377" t="s">
        <v>111</v>
      </c>
      <c r="K3377" t="str">
        <f>"85044"</f>
        <v>85044</v>
      </c>
      <c r="L3377" t="s">
        <v>1312</v>
      </c>
      <c r="M3377" t="s">
        <v>21866</v>
      </c>
      <c r="N3377" t="s">
        <v>390</v>
      </c>
      <c r="O3377" t="s">
        <v>111</v>
      </c>
      <c r="P3377" t="str">
        <f>"85044-1120"</f>
        <v>85044-1120</v>
      </c>
      <c r="Q3377" t="s">
        <v>113</v>
      </c>
      <c r="R3377" t="str">
        <f>"301-40-770"</f>
        <v>301-40-770</v>
      </c>
      <c r="S3377" t="s">
        <v>21867</v>
      </c>
      <c r="T3377" t="s">
        <v>21821</v>
      </c>
      <c r="U3377">
        <v>1394</v>
      </c>
      <c r="V3377">
        <v>0</v>
      </c>
      <c r="W3377">
        <v>2</v>
      </c>
      <c r="X3377">
        <v>1983</v>
      </c>
      <c r="Z3377">
        <v>1</v>
      </c>
      <c r="AB3377">
        <v>0</v>
      </c>
      <c r="AC3377" t="s">
        <v>115</v>
      </c>
      <c r="AD3377">
        <v>2</v>
      </c>
      <c r="AE3377" t="s">
        <v>115</v>
      </c>
      <c r="AF3377">
        <v>0</v>
      </c>
      <c r="AG3377">
        <v>0</v>
      </c>
      <c r="AH3377" t="s">
        <v>116</v>
      </c>
      <c r="AI3377" s="1">
        <v>87092</v>
      </c>
      <c r="AJ3377" s="2">
        <v>0.3</v>
      </c>
      <c r="AK3377" s="1">
        <v>291392</v>
      </c>
      <c r="AL3377" t="s">
        <v>117</v>
      </c>
      <c r="AM3377" t="s">
        <v>191</v>
      </c>
      <c r="AN3377">
        <v>7897</v>
      </c>
      <c r="AO3377">
        <v>0.18</v>
      </c>
      <c r="AP3377">
        <v>1</v>
      </c>
      <c r="AR3377">
        <v>1</v>
      </c>
      <c r="AS3377" s="1">
        <v>19950</v>
      </c>
      <c r="AT3377" s="1">
        <v>3990</v>
      </c>
      <c r="AU3377" s="1">
        <v>15960</v>
      </c>
      <c r="AV3377">
        <v>80</v>
      </c>
      <c r="AX3377" s="1">
        <v>1649.88</v>
      </c>
      <c r="AY3377" t="s">
        <v>11872</v>
      </c>
      <c r="AZ3377" t="s">
        <v>7255</v>
      </c>
      <c r="BA3377" t="s">
        <v>5328</v>
      </c>
      <c r="BE3377" s="3">
        <v>42356</v>
      </c>
      <c r="BF3377" s="1">
        <v>200000</v>
      </c>
      <c r="BG3377" t="s">
        <v>21868</v>
      </c>
      <c r="BH3377" s="1">
        <v>143.47</v>
      </c>
      <c r="BI3377" s="1">
        <v>204300</v>
      </c>
      <c r="BJ3377" s="3">
        <v>42356</v>
      </c>
      <c r="BK3377" t="s">
        <v>123</v>
      </c>
      <c r="BL3377" t="str">
        <f>"2015.895578"</f>
        <v>2015.895578</v>
      </c>
      <c r="BM3377" t="s">
        <v>1791</v>
      </c>
      <c r="BO3377" t="s">
        <v>21869</v>
      </c>
      <c r="BS3377">
        <v>30</v>
      </c>
      <c r="BW3377" t="str">
        <f>""</f>
        <v/>
      </c>
      <c r="CH3377" t="str">
        <f>""</f>
        <v/>
      </c>
      <c r="CS3377" t="str">
        <f>""</f>
        <v/>
      </c>
    </row>
    <row r="3378" spans="1:97" x14ac:dyDescent="0.25">
      <c r="A3378" t="s">
        <v>1465</v>
      </c>
      <c r="B3378" t="s">
        <v>21870</v>
      </c>
      <c r="C3378" t="s">
        <v>1906</v>
      </c>
      <c r="D3378" t="s">
        <v>21870</v>
      </c>
      <c r="E3378" t="s">
        <v>21871</v>
      </c>
      <c r="F3378" t="s">
        <v>108</v>
      </c>
      <c r="H3378" t="s">
        <v>21872</v>
      </c>
      <c r="I3378" t="s">
        <v>632</v>
      </c>
      <c r="J3378" t="s">
        <v>111</v>
      </c>
      <c r="K3378" t="str">
        <f>"85374"</f>
        <v>85374</v>
      </c>
      <c r="L3378" t="s">
        <v>3885</v>
      </c>
      <c r="M3378" t="s">
        <v>21873</v>
      </c>
      <c r="N3378" t="s">
        <v>632</v>
      </c>
      <c r="O3378" t="s">
        <v>111</v>
      </c>
      <c r="P3378" t="str">
        <f>"85374"</f>
        <v>85374</v>
      </c>
      <c r="Q3378" t="s">
        <v>113</v>
      </c>
      <c r="R3378" t="str">
        <f>"509-12-231"</f>
        <v>509-12-231</v>
      </c>
      <c r="S3378" t="s">
        <v>21874</v>
      </c>
      <c r="U3378">
        <v>2694</v>
      </c>
      <c r="V3378">
        <v>0</v>
      </c>
      <c r="W3378">
        <v>4</v>
      </c>
      <c r="X3378">
        <v>2004</v>
      </c>
      <c r="Z3378">
        <v>2</v>
      </c>
      <c r="AA3378" t="s">
        <v>26</v>
      </c>
      <c r="AB3378">
        <v>0</v>
      </c>
      <c r="AC3378" t="s">
        <v>115</v>
      </c>
      <c r="AD3378">
        <v>2</v>
      </c>
      <c r="AE3378" t="s">
        <v>115</v>
      </c>
      <c r="AF3378">
        <v>0</v>
      </c>
      <c r="AG3378">
        <v>0</v>
      </c>
      <c r="AH3378" t="s">
        <v>116</v>
      </c>
      <c r="AI3378" s="1">
        <v>76241</v>
      </c>
      <c r="AJ3378" s="2">
        <v>0.23</v>
      </c>
      <c r="AK3378" s="1">
        <v>324976</v>
      </c>
      <c r="AL3378" t="s">
        <v>117</v>
      </c>
      <c r="AM3378" t="s">
        <v>118</v>
      </c>
      <c r="AN3378">
        <v>9005</v>
      </c>
      <c r="AO3378">
        <v>0.21</v>
      </c>
      <c r="AR3378">
        <v>1</v>
      </c>
      <c r="AS3378" s="1">
        <v>23060</v>
      </c>
      <c r="AT3378" s="1">
        <v>4610</v>
      </c>
      <c r="AU3378" s="1">
        <v>18450</v>
      </c>
      <c r="AV3378">
        <v>80.010000000000005</v>
      </c>
      <c r="AX3378" s="1">
        <v>1686.4</v>
      </c>
      <c r="AY3378" t="s">
        <v>5983</v>
      </c>
      <c r="AZ3378" t="s">
        <v>5983</v>
      </c>
      <c r="BA3378" t="s">
        <v>321</v>
      </c>
      <c r="BE3378" s="3">
        <v>41969</v>
      </c>
      <c r="BF3378" s="1">
        <v>243500</v>
      </c>
      <c r="BG3378" t="s">
        <v>21875</v>
      </c>
      <c r="BH3378" s="1">
        <v>90.39</v>
      </c>
      <c r="BI3378" s="1">
        <v>248735</v>
      </c>
      <c r="BJ3378" s="3">
        <v>41969</v>
      </c>
      <c r="BK3378" t="s">
        <v>123</v>
      </c>
      <c r="BL3378" t="str">
        <f>"2014.786547"</f>
        <v>2014.786547</v>
      </c>
      <c r="BM3378" t="s">
        <v>6784</v>
      </c>
      <c r="BO3378" t="s">
        <v>21876</v>
      </c>
      <c r="BS3378">
        <v>30</v>
      </c>
      <c r="BW3378" t="str">
        <f>""</f>
        <v/>
      </c>
      <c r="CH3378" t="str">
        <f>""</f>
        <v/>
      </c>
      <c r="CS3378" t="str">
        <f>""</f>
        <v/>
      </c>
    </row>
    <row r="3379" spans="1:97" x14ac:dyDescent="0.25">
      <c r="A3379" t="s">
        <v>21877</v>
      </c>
      <c r="B3379" t="s">
        <v>21878</v>
      </c>
      <c r="C3379" t="s">
        <v>2002</v>
      </c>
      <c r="D3379" t="s">
        <v>21878</v>
      </c>
      <c r="E3379" t="s">
        <v>21879</v>
      </c>
      <c r="F3379" t="s">
        <v>108</v>
      </c>
      <c r="H3379" t="s">
        <v>21880</v>
      </c>
      <c r="I3379" t="s">
        <v>390</v>
      </c>
      <c r="J3379" t="s">
        <v>111</v>
      </c>
      <c r="K3379" t="str">
        <f>"85050"</f>
        <v>85050</v>
      </c>
      <c r="L3379" t="s">
        <v>5209</v>
      </c>
      <c r="M3379" t="s">
        <v>21880</v>
      </c>
      <c r="N3379" t="s">
        <v>390</v>
      </c>
      <c r="O3379" t="s">
        <v>111</v>
      </c>
      <c r="P3379" t="str">
        <f>"85050-7931"</f>
        <v>85050-7931</v>
      </c>
      <c r="Q3379" t="s">
        <v>113</v>
      </c>
      <c r="R3379" t="str">
        <f>"213-30-370"</f>
        <v>213-30-370</v>
      </c>
      <c r="S3379" t="s">
        <v>21881</v>
      </c>
      <c r="T3379" t="s">
        <v>21881</v>
      </c>
      <c r="U3379">
        <v>1602</v>
      </c>
      <c r="V3379">
        <v>0</v>
      </c>
      <c r="W3379">
        <v>3</v>
      </c>
      <c r="X3379">
        <v>1999</v>
      </c>
      <c r="Z3379">
        <v>1</v>
      </c>
      <c r="AB3379">
        <v>0</v>
      </c>
      <c r="AC3379" t="s">
        <v>115</v>
      </c>
      <c r="AD3379">
        <v>2</v>
      </c>
      <c r="AE3379" t="s">
        <v>115</v>
      </c>
      <c r="AF3379">
        <v>0</v>
      </c>
      <c r="AG3379">
        <v>0</v>
      </c>
      <c r="AH3379" t="s">
        <v>116</v>
      </c>
      <c r="AI3379" s="1">
        <v>79356</v>
      </c>
      <c r="AJ3379" s="2">
        <v>0.24</v>
      </c>
      <c r="AK3379" s="1">
        <v>332441</v>
      </c>
      <c r="AL3379" t="s">
        <v>117</v>
      </c>
      <c r="AM3379" t="s">
        <v>191</v>
      </c>
      <c r="AN3379">
        <v>8563</v>
      </c>
      <c r="AO3379">
        <v>0.2</v>
      </c>
      <c r="AP3379">
        <v>1</v>
      </c>
      <c r="AR3379">
        <v>1</v>
      </c>
      <c r="AS3379" s="1">
        <v>24380</v>
      </c>
      <c r="AT3379" s="1">
        <v>4870</v>
      </c>
      <c r="AU3379" s="1">
        <v>19510</v>
      </c>
      <c r="AV3379">
        <v>80.02</v>
      </c>
      <c r="AX3379" s="1">
        <v>1980.5</v>
      </c>
      <c r="AY3379" t="s">
        <v>8037</v>
      </c>
      <c r="AZ3379" t="s">
        <v>2550</v>
      </c>
      <c r="BA3379" t="s">
        <v>1318</v>
      </c>
      <c r="BE3379" s="3">
        <v>42209</v>
      </c>
      <c r="BF3379" s="1">
        <v>245000</v>
      </c>
      <c r="BG3379" t="s">
        <v>21882</v>
      </c>
      <c r="BH3379" s="1">
        <v>152.93</v>
      </c>
      <c r="BI3379" s="1">
        <v>253085</v>
      </c>
      <c r="BJ3379" s="3">
        <v>42209</v>
      </c>
      <c r="BK3379" t="s">
        <v>123</v>
      </c>
      <c r="BL3379" t="str">
        <f>"2015.533451"</f>
        <v>2015.533451</v>
      </c>
      <c r="BM3379" t="s">
        <v>2716</v>
      </c>
      <c r="BO3379" t="s">
        <v>21883</v>
      </c>
      <c r="BS3379">
        <v>30</v>
      </c>
      <c r="BW3379" t="str">
        <f>""</f>
        <v/>
      </c>
      <c r="CH3379" t="str">
        <f>""</f>
        <v/>
      </c>
      <c r="CS3379" t="str">
        <f>""</f>
        <v/>
      </c>
    </row>
    <row r="3380" spans="1:97" x14ac:dyDescent="0.25">
      <c r="A3380" t="s">
        <v>1963</v>
      </c>
      <c r="B3380" t="s">
        <v>15691</v>
      </c>
      <c r="C3380" t="s">
        <v>1995</v>
      </c>
      <c r="D3380" t="s">
        <v>15691</v>
      </c>
      <c r="E3380" t="s">
        <v>21884</v>
      </c>
      <c r="F3380" t="s">
        <v>108</v>
      </c>
      <c r="H3380" t="s">
        <v>21885</v>
      </c>
      <c r="I3380" t="s">
        <v>225</v>
      </c>
      <c r="J3380" t="s">
        <v>111</v>
      </c>
      <c r="K3380" t="str">
        <f>"85208"</f>
        <v>85208</v>
      </c>
      <c r="L3380" t="s">
        <v>5400</v>
      </c>
      <c r="M3380" t="s">
        <v>21885</v>
      </c>
      <c r="N3380" t="s">
        <v>225</v>
      </c>
      <c r="O3380" t="s">
        <v>111</v>
      </c>
      <c r="P3380" t="str">
        <f>"85208-7445"</f>
        <v>85208-7445</v>
      </c>
      <c r="Q3380" t="s">
        <v>113</v>
      </c>
      <c r="R3380" t="str">
        <f>"220-72-182"</f>
        <v>220-72-182</v>
      </c>
      <c r="S3380" t="s">
        <v>21886</v>
      </c>
      <c r="T3380" t="s">
        <v>21887</v>
      </c>
      <c r="U3380">
        <v>2697</v>
      </c>
      <c r="V3380">
        <v>0</v>
      </c>
      <c r="W3380">
        <v>3</v>
      </c>
      <c r="X3380">
        <v>2001</v>
      </c>
      <c r="Z3380">
        <v>1</v>
      </c>
      <c r="AB3380">
        <v>0</v>
      </c>
      <c r="AC3380" t="s">
        <v>115</v>
      </c>
      <c r="AD3380">
        <v>3</v>
      </c>
      <c r="AE3380" t="s">
        <v>115</v>
      </c>
      <c r="AF3380">
        <v>0</v>
      </c>
      <c r="AG3380">
        <v>0</v>
      </c>
      <c r="AH3380" t="s">
        <v>116</v>
      </c>
      <c r="AI3380" s="1">
        <v>52188</v>
      </c>
      <c r="AJ3380" s="2">
        <v>0.15</v>
      </c>
      <c r="AK3380" s="1">
        <v>351758</v>
      </c>
      <c r="AL3380" t="s">
        <v>117</v>
      </c>
      <c r="AM3380" t="s">
        <v>393</v>
      </c>
      <c r="AN3380">
        <v>8805</v>
      </c>
      <c r="AO3380">
        <v>0.2</v>
      </c>
      <c r="AP3380">
        <v>1</v>
      </c>
      <c r="AR3380">
        <v>1</v>
      </c>
      <c r="AS3380" s="1">
        <v>25120</v>
      </c>
      <c r="AT3380" s="1">
        <v>5020</v>
      </c>
      <c r="AU3380" s="1">
        <v>20100</v>
      </c>
      <c r="AV3380">
        <v>80.02</v>
      </c>
      <c r="AX3380" s="1">
        <v>1885.92</v>
      </c>
      <c r="AY3380" t="s">
        <v>272</v>
      </c>
      <c r="AZ3380" t="s">
        <v>3761</v>
      </c>
      <c r="BA3380" t="s">
        <v>232</v>
      </c>
      <c r="BE3380" s="3">
        <v>41880</v>
      </c>
      <c r="BF3380" s="1">
        <v>263700</v>
      </c>
      <c r="BG3380" t="s">
        <v>21888</v>
      </c>
      <c r="BH3380" s="1">
        <v>97.78</v>
      </c>
      <c r="BI3380" s="1">
        <v>299570</v>
      </c>
      <c r="BJ3380" s="3">
        <v>43151</v>
      </c>
      <c r="BK3380" t="s">
        <v>123</v>
      </c>
      <c r="BL3380" t="str">
        <f>"2018.126545"</f>
        <v>2018.126545</v>
      </c>
      <c r="BM3380" t="s">
        <v>13433</v>
      </c>
      <c r="BN3380" t="s">
        <v>1136</v>
      </c>
      <c r="BO3380" t="s">
        <v>21889</v>
      </c>
      <c r="BP3380" t="s">
        <v>21890</v>
      </c>
      <c r="BR3380" t="s">
        <v>139</v>
      </c>
      <c r="BW3380" t="str">
        <f>""</f>
        <v/>
      </c>
      <c r="CH3380" t="str">
        <f>""</f>
        <v/>
      </c>
      <c r="CS3380" t="str">
        <f>""</f>
        <v/>
      </c>
    </row>
    <row r="3381" spans="1:97" x14ac:dyDescent="0.25">
      <c r="A3381" t="s">
        <v>1009</v>
      </c>
      <c r="B3381" t="s">
        <v>21891</v>
      </c>
      <c r="E3381" t="s">
        <v>21892</v>
      </c>
      <c r="F3381" t="s">
        <v>108</v>
      </c>
      <c r="H3381" t="s">
        <v>21893</v>
      </c>
      <c r="I3381" t="s">
        <v>5114</v>
      </c>
      <c r="J3381" t="s">
        <v>111</v>
      </c>
      <c r="K3381" t="str">
        <f>"85392"</f>
        <v>85392</v>
      </c>
      <c r="L3381" t="s">
        <v>8199</v>
      </c>
      <c r="M3381" t="s">
        <v>21893</v>
      </c>
      <c r="N3381" t="s">
        <v>5114</v>
      </c>
      <c r="O3381" t="s">
        <v>111</v>
      </c>
      <c r="P3381" t="str">
        <f>"85392-4211"</f>
        <v>85392-4211</v>
      </c>
      <c r="Q3381" t="s">
        <v>113</v>
      </c>
      <c r="R3381" t="str">
        <f>"102-28-552"</f>
        <v>102-28-552</v>
      </c>
      <c r="S3381" t="s">
        <v>21894</v>
      </c>
      <c r="T3381" t="s">
        <v>21895</v>
      </c>
      <c r="U3381">
        <v>1762</v>
      </c>
      <c r="V3381">
        <v>0</v>
      </c>
      <c r="W3381">
        <v>3</v>
      </c>
      <c r="X3381">
        <v>1987</v>
      </c>
      <c r="Z3381">
        <v>1</v>
      </c>
      <c r="AA3381" t="s">
        <v>26</v>
      </c>
      <c r="AB3381">
        <v>0</v>
      </c>
      <c r="AC3381" t="s">
        <v>115</v>
      </c>
      <c r="AD3381">
        <v>3</v>
      </c>
      <c r="AE3381" t="s">
        <v>115</v>
      </c>
      <c r="AF3381">
        <v>0</v>
      </c>
      <c r="AG3381">
        <v>0</v>
      </c>
      <c r="AH3381" t="s">
        <v>116</v>
      </c>
      <c r="AI3381" s="1">
        <v>53247</v>
      </c>
      <c r="AJ3381" s="2">
        <v>0.19</v>
      </c>
      <c r="AK3381" s="1">
        <v>283247</v>
      </c>
      <c r="AL3381" t="s">
        <v>117</v>
      </c>
      <c r="AM3381" t="s">
        <v>118</v>
      </c>
      <c r="AN3381">
        <v>7070</v>
      </c>
      <c r="AO3381">
        <v>0.16</v>
      </c>
      <c r="AP3381">
        <v>1</v>
      </c>
      <c r="AR3381">
        <v>1</v>
      </c>
      <c r="AS3381" s="1">
        <v>18460</v>
      </c>
      <c r="AT3381" s="1">
        <v>3690</v>
      </c>
      <c r="AU3381" s="1">
        <v>14770</v>
      </c>
      <c r="AV3381">
        <v>80.010000000000005</v>
      </c>
      <c r="AX3381" s="1">
        <v>1739.02</v>
      </c>
      <c r="AY3381" t="s">
        <v>8084</v>
      </c>
      <c r="AZ3381" t="s">
        <v>8084</v>
      </c>
      <c r="BA3381" t="s">
        <v>5118</v>
      </c>
      <c r="BE3381" s="3">
        <v>42201</v>
      </c>
      <c r="BF3381" s="1">
        <v>230000</v>
      </c>
      <c r="BG3381" t="s">
        <v>21896</v>
      </c>
      <c r="BH3381" s="1">
        <v>130.53</v>
      </c>
      <c r="BI3381" s="1">
        <v>230000</v>
      </c>
      <c r="BJ3381" s="3">
        <v>42201</v>
      </c>
      <c r="BK3381" t="s">
        <v>123</v>
      </c>
      <c r="BL3381" t="str">
        <f>"2015.510946"</f>
        <v>2015.510946</v>
      </c>
      <c r="BM3381" t="s">
        <v>5747</v>
      </c>
      <c r="BO3381" t="s">
        <v>21897</v>
      </c>
      <c r="BS3381">
        <v>30</v>
      </c>
      <c r="BW3381" t="str">
        <f>""</f>
        <v/>
      </c>
      <c r="CH3381" t="str">
        <f>""</f>
        <v/>
      </c>
      <c r="CS3381" t="str">
        <f>""</f>
        <v/>
      </c>
    </row>
    <row r="3382" spans="1:97" x14ac:dyDescent="0.25">
      <c r="A3382" t="s">
        <v>8500</v>
      </c>
      <c r="B3382" t="s">
        <v>21898</v>
      </c>
      <c r="E3382" t="s">
        <v>21899</v>
      </c>
      <c r="F3382" t="s">
        <v>108</v>
      </c>
      <c r="H3382" t="s">
        <v>21900</v>
      </c>
      <c r="I3382" t="s">
        <v>225</v>
      </c>
      <c r="J3382" t="s">
        <v>111</v>
      </c>
      <c r="K3382" t="str">
        <f>"85209"</f>
        <v>85209</v>
      </c>
      <c r="L3382" t="s">
        <v>5260</v>
      </c>
      <c r="M3382" t="s">
        <v>21900</v>
      </c>
      <c r="N3382" t="s">
        <v>225</v>
      </c>
      <c r="O3382" t="s">
        <v>111</v>
      </c>
      <c r="P3382" t="str">
        <f>"85209-4007"</f>
        <v>85209-4007</v>
      </c>
      <c r="Q3382" t="s">
        <v>113</v>
      </c>
      <c r="R3382" t="str">
        <f>"218-56-553"</f>
        <v>218-56-553</v>
      </c>
      <c r="S3382" t="s">
        <v>21901</v>
      </c>
      <c r="T3382" t="s">
        <v>21902</v>
      </c>
      <c r="U3382">
        <v>2096</v>
      </c>
      <c r="V3382">
        <v>0</v>
      </c>
      <c r="W3382">
        <v>4</v>
      </c>
      <c r="X3382">
        <v>1994</v>
      </c>
      <c r="Z3382">
        <v>2</v>
      </c>
      <c r="AA3382" t="s">
        <v>26</v>
      </c>
      <c r="AB3382">
        <v>0</v>
      </c>
      <c r="AC3382" t="s">
        <v>115</v>
      </c>
      <c r="AD3382">
        <v>2</v>
      </c>
      <c r="AE3382" t="s">
        <v>115</v>
      </c>
      <c r="AF3382">
        <v>0</v>
      </c>
      <c r="AG3382">
        <v>0</v>
      </c>
      <c r="AH3382" t="s">
        <v>116</v>
      </c>
      <c r="AI3382" s="1">
        <v>44287</v>
      </c>
      <c r="AJ3382" s="2">
        <v>0.13</v>
      </c>
      <c r="AK3382" s="1">
        <v>342565</v>
      </c>
      <c r="AL3382" t="s">
        <v>117</v>
      </c>
      <c r="AM3382" t="s">
        <v>191</v>
      </c>
      <c r="AN3382">
        <v>10634</v>
      </c>
      <c r="AO3382">
        <v>0.24</v>
      </c>
      <c r="AP3382">
        <v>1</v>
      </c>
      <c r="AR3382">
        <v>1</v>
      </c>
      <c r="AS3382" s="1">
        <v>24810</v>
      </c>
      <c r="AT3382" s="1">
        <v>4960</v>
      </c>
      <c r="AU3382" s="1">
        <v>19850</v>
      </c>
      <c r="AV3382">
        <v>80.010000000000005</v>
      </c>
      <c r="AX3382" s="1">
        <v>2023.56</v>
      </c>
      <c r="AY3382" t="s">
        <v>5157</v>
      </c>
      <c r="AZ3382" t="s">
        <v>231</v>
      </c>
      <c r="BA3382" t="s">
        <v>232</v>
      </c>
      <c r="BE3382" s="3">
        <v>42447</v>
      </c>
      <c r="BF3382" s="1">
        <v>292000</v>
      </c>
      <c r="BG3382" t="s">
        <v>21903</v>
      </c>
      <c r="BH3382" s="1">
        <v>139.31</v>
      </c>
      <c r="BI3382" s="1">
        <v>298278</v>
      </c>
      <c r="BJ3382" s="3">
        <v>42447</v>
      </c>
      <c r="BK3382" t="s">
        <v>123</v>
      </c>
      <c r="BL3382" t="str">
        <f>"2016.177983"</f>
        <v>2016.177983</v>
      </c>
      <c r="BM3382" t="s">
        <v>5348</v>
      </c>
      <c r="BO3382" t="s">
        <v>21904</v>
      </c>
      <c r="BS3382">
        <v>30</v>
      </c>
      <c r="BW3382" t="str">
        <f>""</f>
        <v/>
      </c>
      <c r="CH3382" t="str">
        <f>""</f>
        <v/>
      </c>
      <c r="CS3382" t="str">
        <f>""</f>
        <v/>
      </c>
    </row>
    <row r="3383" spans="1:97" x14ac:dyDescent="0.25">
      <c r="A3383" t="s">
        <v>1774</v>
      </c>
      <c r="B3383" t="s">
        <v>1089</v>
      </c>
      <c r="C3383" t="s">
        <v>2852</v>
      </c>
      <c r="D3383" t="s">
        <v>1089</v>
      </c>
      <c r="E3383" t="s">
        <v>21905</v>
      </c>
      <c r="F3383" t="s">
        <v>108</v>
      </c>
      <c r="H3383" t="s">
        <v>21906</v>
      </c>
      <c r="I3383" t="s">
        <v>6646</v>
      </c>
      <c r="J3383" t="s">
        <v>111</v>
      </c>
      <c r="K3383" t="str">
        <f>"85086"</f>
        <v>85086</v>
      </c>
      <c r="L3383" t="s">
        <v>189</v>
      </c>
      <c r="M3383" t="s">
        <v>21906</v>
      </c>
      <c r="N3383" t="s">
        <v>6646</v>
      </c>
      <c r="O3383" t="s">
        <v>111</v>
      </c>
      <c r="P3383" t="str">
        <f>"85086-2531"</f>
        <v>85086-2531</v>
      </c>
      <c r="Q3383" t="s">
        <v>113</v>
      </c>
      <c r="R3383" t="str">
        <f>"203-10-387"</f>
        <v>203-10-387</v>
      </c>
      <c r="S3383" t="s">
        <v>6647</v>
      </c>
      <c r="U3383">
        <v>2140</v>
      </c>
      <c r="V3383">
        <v>0</v>
      </c>
      <c r="W3383">
        <v>4</v>
      </c>
      <c r="X3383">
        <v>2000</v>
      </c>
      <c r="Z3383">
        <v>2</v>
      </c>
      <c r="AA3383" t="s">
        <v>26</v>
      </c>
      <c r="AB3383">
        <v>0</v>
      </c>
      <c r="AC3383" t="s">
        <v>115</v>
      </c>
      <c r="AD3383">
        <v>2</v>
      </c>
      <c r="AE3383" t="s">
        <v>115</v>
      </c>
      <c r="AF3383">
        <v>0</v>
      </c>
      <c r="AG3383">
        <v>0</v>
      </c>
      <c r="AH3383" t="s">
        <v>116</v>
      </c>
      <c r="AI3383" s="1">
        <v>2606</v>
      </c>
      <c r="AJ3383" s="2">
        <v>0.01</v>
      </c>
      <c r="AK3383" s="1">
        <v>325606</v>
      </c>
      <c r="AL3383" t="s">
        <v>117</v>
      </c>
      <c r="AM3383" t="s">
        <v>5379</v>
      </c>
      <c r="AN3383">
        <v>4950</v>
      </c>
      <c r="AO3383">
        <v>0.11</v>
      </c>
      <c r="AP3383">
        <v>1</v>
      </c>
      <c r="AR3383">
        <v>1</v>
      </c>
      <c r="AS3383" s="1">
        <v>22700</v>
      </c>
      <c r="AT3383" s="1">
        <v>4540</v>
      </c>
      <c r="AU3383" s="1">
        <v>18160</v>
      </c>
      <c r="AV3383">
        <v>80</v>
      </c>
      <c r="AX3383" s="1">
        <v>2237.54</v>
      </c>
      <c r="AY3383" t="s">
        <v>6648</v>
      </c>
      <c r="AZ3383" t="s">
        <v>6648</v>
      </c>
      <c r="BA3383" t="s">
        <v>378</v>
      </c>
      <c r="BE3383" s="3">
        <v>42272</v>
      </c>
      <c r="BF3383" s="1">
        <v>267000</v>
      </c>
      <c r="BG3383" t="s">
        <v>21907</v>
      </c>
      <c r="BH3383" s="1">
        <v>124.77</v>
      </c>
      <c r="BI3383" s="1">
        <v>323000</v>
      </c>
      <c r="BJ3383" s="3">
        <v>43410</v>
      </c>
      <c r="BK3383" t="s">
        <v>123</v>
      </c>
      <c r="BL3383" t="str">
        <f>"2018.826208"</f>
        <v>2018.826208</v>
      </c>
      <c r="BM3383" t="s">
        <v>3538</v>
      </c>
      <c r="BN3383" t="s">
        <v>21908</v>
      </c>
      <c r="BO3383" t="s">
        <v>21909</v>
      </c>
      <c r="BP3383" t="s">
        <v>21910</v>
      </c>
      <c r="BR3383" t="s">
        <v>139</v>
      </c>
      <c r="BW3383" t="str">
        <f>""</f>
        <v/>
      </c>
      <c r="CH3383" t="str">
        <f>""</f>
        <v/>
      </c>
      <c r="CS3383" t="str">
        <f>""</f>
        <v/>
      </c>
    </row>
    <row r="3384" spans="1:97" x14ac:dyDescent="0.25">
      <c r="A3384" t="s">
        <v>996</v>
      </c>
      <c r="B3384" t="s">
        <v>6211</v>
      </c>
      <c r="E3384" t="s">
        <v>21911</v>
      </c>
      <c r="F3384" t="s">
        <v>108</v>
      </c>
      <c r="H3384" t="s">
        <v>21912</v>
      </c>
      <c r="I3384" t="s">
        <v>110</v>
      </c>
      <c r="J3384" t="s">
        <v>111</v>
      </c>
      <c r="K3384" t="str">
        <f>"85225"</f>
        <v>85225</v>
      </c>
      <c r="L3384" t="s">
        <v>2547</v>
      </c>
      <c r="M3384" t="s">
        <v>21912</v>
      </c>
      <c r="N3384" t="s">
        <v>110</v>
      </c>
      <c r="O3384" t="s">
        <v>111</v>
      </c>
      <c r="P3384" t="str">
        <f>"85225-1553"</f>
        <v>85225-1553</v>
      </c>
      <c r="Q3384" t="s">
        <v>113</v>
      </c>
      <c r="R3384" t="str">
        <f>"302-37-599"</f>
        <v>302-37-599</v>
      </c>
      <c r="S3384" t="s">
        <v>21913</v>
      </c>
      <c r="T3384" t="s">
        <v>21914</v>
      </c>
      <c r="U3384">
        <v>1817</v>
      </c>
      <c r="V3384">
        <v>0</v>
      </c>
      <c r="W3384">
        <v>4</v>
      </c>
      <c r="X3384">
        <v>1992</v>
      </c>
      <c r="Z3384">
        <v>2</v>
      </c>
      <c r="AB3384">
        <v>0</v>
      </c>
      <c r="AC3384" t="s">
        <v>115</v>
      </c>
      <c r="AD3384">
        <v>2</v>
      </c>
      <c r="AE3384" t="s">
        <v>115</v>
      </c>
      <c r="AF3384">
        <v>0</v>
      </c>
      <c r="AG3384">
        <v>0</v>
      </c>
      <c r="AH3384" t="s">
        <v>116</v>
      </c>
      <c r="AI3384" s="1">
        <v>52101</v>
      </c>
      <c r="AJ3384" s="2">
        <v>0.16</v>
      </c>
      <c r="AK3384" s="1">
        <v>324901</v>
      </c>
      <c r="AL3384" t="s">
        <v>117</v>
      </c>
      <c r="AM3384" t="s">
        <v>118</v>
      </c>
      <c r="AN3384">
        <v>5114</v>
      </c>
      <c r="AO3384">
        <v>0.12</v>
      </c>
      <c r="AP3384">
        <v>1</v>
      </c>
      <c r="AR3384">
        <v>1</v>
      </c>
      <c r="AS3384" s="1">
        <v>21400</v>
      </c>
      <c r="AT3384" s="1">
        <v>4280</v>
      </c>
      <c r="AU3384" s="1">
        <v>17120</v>
      </c>
      <c r="AV3384">
        <v>80</v>
      </c>
      <c r="AX3384" s="1">
        <v>1563.86</v>
      </c>
      <c r="AY3384" t="s">
        <v>6163</v>
      </c>
      <c r="AZ3384" t="s">
        <v>2906</v>
      </c>
      <c r="BA3384" t="s">
        <v>2957</v>
      </c>
      <c r="BB3384" s="3">
        <v>42636</v>
      </c>
      <c r="BD3384" t="s">
        <v>240</v>
      </c>
      <c r="BE3384" s="3">
        <v>42326</v>
      </c>
      <c r="BF3384" s="1">
        <v>269900</v>
      </c>
      <c r="BG3384" t="s">
        <v>21915</v>
      </c>
      <c r="BH3384" s="1">
        <v>148.54</v>
      </c>
      <c r="BI3384" s="1">
        <v>272800</v>
      </c>
      <c r="BJ3384" s="3">
        <v>42636</v>
      </c>
      <c r="BK3384" t="s">
        <v>123</v>
      </c>
      <c r="BL3384" t="str">
        <f>"2016.693595"</f>
        <v>2016.693595</v>
      </c>
      <c r="BM3384" t="s">
        <v>594</v>
      </c>
      <c r="BO3384" t="s">
        <v>21916</v>
      </c>
      <c r="BS3384">
        <v>30</v>
      </c>
      <c r="BW3384" t="str">
        <f>""</f>
        <v/>
      </c>
      <c r="CH3384" t="str">
        <f>""</f>
        <v/>
      </c>
      <c r="CS3384" t="str">
        <f>""</f>
        <v/>
      </c>
    </row>
    <row r="3385" spans="1:97" x14ac:dyDescent="0.25">
      <c r="A3385" t="s">
        <v>370</v>
      </c>
      <c r="B3385" t="s">
        <v>21917</v>
      </c>
      <c r="E3385" t="s">
        <v>21918</v>
      </c>
      <c r="F3385" t="s">
        <v>108</v>
      </c>
      <c r="H3385" t="s">
        <v>21919</v>
      </c>
      <c r="I3385" t="s">
        <v>499</v>
      </c>
      <c r="J3385" t="s">
        <v>111</v>
      </c>
      <c r="K3385" t="str">
        <f>"85395"</f>
        <v>85395</v>
      </c>
      <c r="L3385" t="s">
        <v>7243</v>
      </c>
      <c r="M3385" t="s">
        <v>21919</v>
      </c>
      <c r="N3385" t="s">
        <v>499</v>
      </c>
      <c r="O3385" t="s">
        <v>111</v>
      </c>
      <c r="P3385" t="str">
        <f>"85395-8239"</f>
        <v>85395-8239</v>
      </c>
      <c r="Q3385" t="s">
        <v>113</v>
      </c>
      <c r="R3385" t="str">
        <f>"508-01-610"</f>
        <v>508-01-610</v>
      </c>
      <c r="S3385" t="s">
        <v>15264</v>
      </c>
      <c r="T3385" t="s">
        <v>15265</v>
      </c>
      <c r="U3385">
        <v>2680</v>
      </c>
      <c r="V3385">
        <v>0</v>
      </c>
      <c r="W3385">
        <v>4</v>
      </c>
      <c r="X3385">
        <v>2001</v>
      </c>
      <c r="Z3385">
        <v>1</v>
      </c>
      <c r="AA3385" t="s">
        <v>26</v>
      </c>
      <c r="AB3385">
        <v>0</v>
      </c>
      <c r="AC3385" t="s">
        <v>115</v>
      </c>
      <c r="AD3385">
        <v>3</v>
      </c>
      <c r="AE3385" t="s">
        <v>115</v>
      </c>
      <c r="AF3385">
        <v>0</v>
      </c>
      <c r="AG3385">
        <v>0</v>
      </c>
      <c r="AH3385" t="s">
        <v>116</v>
      </c>
      <c r="AI3385" s="1">
        <v>82154</v>
      </c>
      <c r="AJ3385" s="2">
        <v>0.22</v>
      </c>
      <c r="AK3385" s="1">
        <v>378625</v>
      </c>
      <c r="AL3385" t="s">
        <v>117</v>
      </c>
      <c r="AM3385" t="s">
        <v>118</v>
      </c>
      <c r="AN3385">
        <v>10000</v>
      </c>
      <c r="AO3385">
        <v>0.23</v>
      </c>
      <c r="AP3385">
        <v>1</v>
      </c>
      <c r="AR3385">
        <v>1</v>
      </c>
      <c r="AS3385" s="1">
        <v>27460</v>
      </c>
      <c r="AT3385" s="1">
        <v>5490</v>
      </c>
      <c r="AU3385" s="1">
        <v>21970</v>
      </c>
      <c r="AV3385">
        <v>80.010000000000005</v>
      </c>
      <c r="AX3385" s="1">
        <v>3172.44</v>
      </c>
      <c r="AY3385" t="s">
        <v>3020</v>
      </c>
      <c r="AZ3385" t="s">
        <v>3020</v>
      </c>
      <c r="BA3385" t="s">
        <v>3154</v>
      </c>
      <c r="BE3385" s="3">
        <v>41864</v>
      </c>
      <c r="BF3385" s="1">
        <v>291000</v>
      </c>
      <c r="BG3385" t="s">
        <v>21920</v>
      </c>
      <c r="BH3385" s="1">
        <v>108.58</v>
      </c>
      <c r="BI3385" s="1">
        <v>296471</v>
      </c>
      <c r="BJ3385" s="3">
        <v>41864</v>
      </c>
      <c r="BK3385" t="s">
        <v>123</v>
      </c>
      <c r="BL3385" t="str">
        <f>"2014.534064"</f>
        <v>2014.534064</v>
      </c>
      <c r="BM3385" t="s">
        <v>5747</v>
      </c>
      <c r="BO3385" t="s">
        <v>21921</v>
      </c>
      <c r="BS3385">
        <v>30</v>
      </c>
      <c r="BW3385" t="str">
        <f>""</f>
        <v/>
      </c>
      <c r="CH3385" t="str">
        <f>""</f>
        <v/>
      </c>
      <c r="CS3385" t="str">
        <f>""</f>
        <v/>
      </c>
    </row>
    <row r="3386" spans="1:97" x14ac:dyDescent="0.25">
      <c r="A3386" t="s">
        <v>464</v>
      </c>
      <c r="B3386" t="s">
        <v>4578</v>
      </c>
      <c r="C3386" t="s">
        <v>2793</v>
      </c>
      <c r="D3386" t="s">
        <v>4578</v>
      </c>
      <c r="E3386" t="s">
        <v>21922</v>
      </c>
      <c r="F3386" t="s">
        <v>108</v>
      </c>
      <c r="H3386" t="s">
        <v>21923</v>
      </c>
      <c r="I3386" t="s">
        <v>5523</v>
      </c>
      <c r="J3386" t="s">
        <v>111</v>
      </c>
      <c r="K3386" t="str">
        <f>"85373"</f>
        <v>85373</v>
      </c>
      <c r="L3386" t="s">
        <v>2197</v>
      </c>
      <c r="M3386" t="s">
        <v>21923</v>
      </c>
      <c r="N3386" t="s">
        <v>5523</v>
      </c>
      <c r="O3386" t="s">
        <v>111</v>
      </c>
      <c r="P3386" t="str">
        <f>"85373-5019"</f>
        <v>85373-5019</v>
      </c>
      <c r="Q3386" t="s">
        <v>113</v>
      </c>
      <c r="R3386" t="str">
        <f>"503-97-476"</f>
        <v>503-97-476</v>
      </c>
      <c r="S3386" t="s">
        <v>21924</v>
      </c>
      <c r="T3386" t="s">
        <v>21925</v>
      </c>
      <c r="U3386">
        <v>1531</v>
      </c>
      <c r="V3386">
        <v>0</v>
      </c>
      <c r="W3386">
        <v>2</v>
      </c>
      <c r="X3386">
        <v>2005</v>
      </c>
      <c r="Z3386">
        <v>1</v>
      </c>
      <c r="AB3386">
        <v>0</v>
      </c>
      <c r="AC3386" t="s">
        <v>115</v>
      </c>
      <c r="AD3386">
        <v>2</v>
      </c>
      <c r="AE3386" t="s">
        <v>115</v>
      </c>
      <c r="AF3386">
        <v>0</v>
      </c>
      <c r="AG3386">
        <v>0</v>
      </c>
      <c r="AH3386" t="s">
        <v>116</v>
      </c>
      <c r="AI3386" s="1">
        <v>46278</v>
      </c>
      <c r="AJ3386" s="2">
        <v>0.19</v>
      </c>
      <c r="AK3386" s="1">
        <v>246680</v>
      </c>
      <c r="AL3386" t="s">
        <v>117</v>
      </c>
      <c r="AM3386" t="s">
        <v>191</v>
      </c>
      <c r="AN3386">
        <v>5004</v>
      </c>
      <c r="AO3386">
        <v>0.12</v>
      </c>
      <c r="AR3386">
        <v>1</v>
      </c>
      <c r="AS3386" s="1">
        <v>16370</v>
      </c>
      <c r="AT3386" s="1">
        <v>3270</v>
      </c>
      <c r="AU3386" s="1">
        <v>13100</v>
      </c>
      <c r="AV3386">
        <v>80.02</v>
      </c>
      <c r="AX3386" s="1">
        <v>1453.38</v>
      </c>
      <c r="AY3386" t="s">
        <v>3228</v>
      </c>
      <c r="AZ3386" t="s">
        <v>3228</v>
      </c>
      <c r="BA3386" t="s">
        <v>457</v>
      </c>
      <c r="BE3386" s="3">
        <v>42124</v>
      </c>
      <c r="BF3386" s="1">
        <v>194000</v>
      </c>
      <c r="BG3386" t="s">
        <v>21926</v>
      </c>
      <c r="BH3386" s="1">
        <v>126.71</v>
      </c>
      <c r="BI3386" s="1">
        <v>200402</v>
      </c>
      <c r="BJ3386" s="3">
        <v>42124</v>
      </c>
      <c r="BK3386" t="s">
        <v>123</v>
      </c>
      <c r="BL3386" t="str">
        <f>"2015.304858"</f>
        <v>2015.304858</v>
      </c>
      <c r="BM3386" t="s">
        <v>402</v>
      </c>
      <c r="BO3386" t="s">
        <v>21927</v>
      </c>
      <c r="BS3386">
        <v>30</v>
      </c>
      <c r="BW3386" t="str">
        <f>""</f>
        <v/>
      </c>
      <c r="CH3386" t="str">
        <f>""</f>
        <v/>
      </c>
      <c r="CS3386" t="str">
        <f>""</f>
        <v/>
      </c>
    </row>
    <row r="3387" spans="1:97" x14ac:dyDescent="0.25">
      <c r="A3387" t="s">
        <v>211</v>
      </c>
      <c r="B3387" t="s">
        <v>21928</v>
      </c>
      <c r="C3387" t="s">
        <v>5038</v>
      </c>
      <c r="D3387" t="s">
        <v>21928</v>
      </c>
      <c r="E3387" t="s">
        <v>21929</v>
      </c>
      <c r="F3387" t="s">
        <v>108</v>
      </c>
      <c r="H3387" t="s">
        <v>21930</v>
      </c>
      <c r="I3387" t="s">
        <v>5523</v>
      </c>
      <c r="J3387" t="s">
        <v>111</v>
      </c>
      <c r="K3387" t="str">
        <f>"85373"</f>
        <v>85373</v>
      </c>
      <c r="L3387" t="s">
        <v>5514</v>
      </c>
      <c r="M3387" t="s">
        <v>21930</v>
      </c>
      <c r="N3387" t="s">
        <v>5523</v>
      </c>
      <c r="O3387" t="s">
        <v>111</v>
      </c>
      <c r="P3387" t="str">
        <f>"85373-1140"</f>
        <v>85373-1140</v>
      </c>
      <c r="Q3387" t="s">
        <v>113</v>
      </c>
      <c r="R3387" t="str">
        <f>"200-96-325"</f>
        <v>200-96-325</v>
      </c>
      <c r="S3387" t="s">
        <v>21931</v>
      </c>
      <c r="U3387">
        <v>2174</v>
      </c>
      <c r="V3387">
        <v>0</v>
      </c>
      <c r="W3387">
        <v>2</v>
      </c>
      <c r="X3387">
        <v>1977</v>
      </c>
      <c r="Z3387">
        <v>1</v>
      </c>
      <c r="AA3387" t="s">
        <v>15127</v>
      </c>
      <c r="AB3387">
        <v>0</v>
      </c>
      <c r="AC3387" t="s">
        <v>115</v>
      </c>
      <c r="AD3387">
        <v>2</v>
      </c>
      <c r="AE3387" t="s">
        <v>115</v>
      </c>
      <c r="AF3387">
        <v>0</v>
      </c>
      <c r="AG3387">
        <v>0</v>
      </c>
      <c r="AH3387" t="s">
        <v>116</v>
      </c>
      <c r="AI3387" s="1">
        <v>89516</v>
      </c>
      <c r="AJ3387" s="2">
        <v>0.26</v>
      </c>
      <c r="AK3387" s="1">
        <v>344512</v>
      </c>
      <c r="AL3387" t="s">
        <v>117</v>
      </c>
      <c r="AM3387" t="s">
        <v>393</v>
      </c>
      <c r="AN3387">
        <v>10631</v>
      </c>
      <c r="AO3387">
        <v>0.24</v>
      </c>
      <c r="AP3387">
        <v>1</v>
      </c>
      <c r="AR3387">
        <v>1</v>
      </c>
      <c r="AS3387" s="1">
        <v>24200</v>
      </c>
      <c r="AT3387" s="1">
        <v>4840</v>
      </c>
      <c r="AU3387" s="1">
        <v>19360</v>
      </c>
      <c r="AV3387">
        <v>80</v>
      </c>
      <c r="AX3387" s="1">
        <v>1741.72</v>
      </c>
      <c r="AY3387" t="s">
        <v>4520</v>
      </c>
      <c r="AZ3387" t="s">
        <v>4520</v>
      </c>
      <c r="BA3387" t="s">
        <v>3360</v>
      </c>
      <c r="BE3387" s="3">
        <v>41661</v>
      </c>
      <c r="BF3387" s="1">
        <v>248000</v>
      </c>
      <c r="BG3387" t="s">
        <v>21932</v>
      </c>
      <c r="BH3387" s="1">
        <v>114.08</v>
      </c>
      <c r="BI3387" s="1">
        <v>254996</v>
      </c>
      <c r="BJ3387" s="3">
        <v>42086</v>
      </c>
      <c r="BK3387" t="s">
        <v>123</v>
      </c>
      <c r="BL3387" t="str">
        <f>"2015.193198"</f>
        <v>2015.193198</v>
      </c>
      <c r="BM3387" t="s">
        <v>255</v>
      </c>
      <c r="BO3387" t="s">
        <v>21933</v>
      </c>
      <c r="BS3387">
        <v>30</v>
      </c>
      <c r="BW3387" t="str">
        <f>""</f>
        <v/>
      </c>
      <c r="CH3387" t="str">
        <f>""</f>
        <v/>
      </c>
      <c r="CS3387" t="str">
        <f>""</f>
        <v/>
      </c>
    </row>
    <row r="3388" spans="1:97" x14ac:dyDescent="0.25">
      <c r="A3388" t="s">
        <v>1109</v>
      </c>
      <c r="B3388" t="s">
        <v>1388</v>
      </c>
      <c r="C3388" t="s">
        <v>12861</v>
      </c>
      <c r="D3388" t="s">
        <v>1388</v>
      </c>
      <c r="E3388" t="s">
        <v>21934</v>
      </c>
      <c r="F3388" t="s">
        <v>108</v>
      </c>
      <c r="H3388" t="s">
        <v>21935</v>
      </c>
      <c r="I3388" t="s">
        <v>5523</v>
      </c>
      <c r="J3388" t="s">
        <v>111</v>
      </c>
      <c r="K3388" t="str">
        <f>"85373"</f>
        <v>85373</v>
      </c>
      <c r="L3388" t="s">
        <v>9178</v>
      </c>
      <c r="M3388" t="s">
        <v>21935</v>
      </c>
      <c r="N3388" t="s">
        <v>5523</v>
      </c>
      <c r="O3388" t="s">
        <v>111</v>
      </c>
      <c r="P3388" t="str">
        <f>"85373-1526"</f>
        <v>85373-1526</v>
      </c>
      <c r="Q3388" t="s">
        <v>113</v>
      </c>
      <c r="R3388" t="str">
        <f>"230-05-719"</f>
        <v>230-05-719</v>
      </c>
      <c r="S3388" t="s">
        <v>21936</v>
      </c>
      <c r="U3388">
        <v>2092</v>
      </c>
      <c r="V3388">
        <v>0</v>
      </c>
      <c r="W3388">
        <v>2</v>
      </c>
      <c r="X3388">
        <v>1975</v>
      </c>
      <c r="Z3388">
        <v>1</v>
      </c>
      <c r="AA3388" t="s">
        <v>26</v>
      </c>
      <c r="AB3388">
        <v>0</v>
      </c>
      <c r="AC3388" t="s">
        <v>115</v>
      </c>
      <c r="AD3388">
        <v>2</v>
      </c>
      <c r="AE3388" t="s">
        <v>115</v>
      </c>
      <c r="AF3388">
        <v>0</v>
      </c>
      <c r="AG3388">
        <v>0</v>
      </c>
      <c r="AH3388" t="s">
        <v>116</v>
      </c>
      <c r="AI3388" s="1">
        <v>66282</v>
      </c>
      <c r="AJ3388" s="2">
        <v>0.19</v>
      </c>
      <c r="AK3388" s="1">
        <v>343663</v>
      </c>
      <c r="AL3388" t="s">
        <v>117</v>
      </c>
      <c r="AM3388" t="s">
        <v>191</v>
      </c>
      <c r="AN3388">
        <v>10561</v>
      </c>
      <c r="AO3388">
        <v>0.24</v>
      </c>
      <c r="AP3388">
        <v>1</v>
      </c>
      <c r="AR3388">
        <v>1</v>
      </c>
      <c r="AS3388" s="1">
        <v>25380</v>
      </c>
      <c r="AT3388" s="1">
        <v>5070</v>
      </c>
      <c r="AU3388" s="1">
        <v>20310</v>
      </c>
      <c r="AV3388">
        <v>80.02</v>
      </c>
      <c r="AX3388" s="1">
        <v>1770.72</v>
      </c>
      <c r="AY3388" t="s">
        <v>4520</v>
      </c>
      <c r="AZ3388" t="s">
        <v>4520</v>
      </c>
      <c r="BA3388" t="s">
        <v>3360</v>
      </c>
      <c r="BE3388" s="3">
        <v>41740</v>
      </c>
      <c r="BF3388" s="1">
        <v>240000</v>
      </c>
      <c r="BG3388" t="s">
        <v>21937</v>
      </c>
      <c r="BH3388" s="1">
        <v>114.72</v>
      </c>
      <c r="BI3388" s="1">
        <v>277381</v>
      </c>
      <c r="BJ3388" s="3">
        <v>42972</v>
      </c>
      <c r="BK3388" t="s">
        <v>123</v>
      </c>
      <c r="BL3388" t="str">
        <f>"2017.628402"</f>
        <v>2017.628402</v>
      </c>
      <c r="BM3388" t="s">
        <v>135</v>
      </c>
      <c r="BO3388" t="s">
        <v>21938</v>
      </c>
      <c r="BS3388">
        <v>30</v>
      </c>
      <c r="BW3388" t="str">
        <f>""</f>
        <v/>
      </c>
      <c r="CH3388" t="str">
        <f>""</f>
        <v/>
      </c>
      <c r="CS3388" t="str">
        <f>""</f>
        <v/>
      </c>
    </row>
    <row r="3389" spans="1:97" x14ac:dyDescent="0.25">
      <c r="B3389" t="s">
        <v>21939</v>
      </c>
      <c r="E3389" t="s">
        <v>21940</v>
      </c>
      <c r="F3389" t="s">
        <v>108</v>
      </c>
      <c r="H3389" t="s">
        <v>21941</v>
      </c>
      <c r="I3389" t="s">
        <v>453</v>
      </c>
      <c r="J3389" t="s">
        <v>111</v>
      </c>
      <c r="K3389" t="str">
        <f>"85382"</f>
        <v>85382</v>
      </c>
      <c r="L3389" t="s">
        <v>7147</v>
      </c>
      <c r="M3389" t="s">
        <v>21941</v>
      </c>
      <c r="N3389" t="s">
        <v>453</v>
      </c>
      <c r="O3389" t="s">
        <v>111</v>
      </c>
      <c r="P3389" t="str">
        <f>"85382-8214"</f>
        <v>85382-8214</v>
      </c>
      <c r="Q3389" t="s">
        <v>113</v>
      </c>
      <c r="R3389" t="str">
        <f>"200-43-439"</f>
        <v>200-43-439</v>
      </c>
      <c r="S3389" t="s">
        <v>8285</v>
      </c>
      <c r="T3389" t="s">
        <v>8285</v>
      </c>
      <c r="U3389">
        <v>1883</v>
      </c>
      <c r="V3389">
        <v>0</v>
      </c>
      <c r="W3389">
        <v>3</v>
      </c>
      <c r="X3389">
        <v>2014</v>
      </c>
      <c r="Z3389">
        <v>2</v>
      </c>
      <c r="AB3389">
        <v>0</v>
      </c>
      <c r="AC3389" t="s">
        <v>115</v>
      </c>
      <c r="AD3389">
        <v>2</v>
      </c>
      <c r="AE3389" t="s">
        <v>115</v>
      </c>
      <c r="AF3389">
        <v>0</v>
      </c>
      <c r="AG3389">
        <v>0</v>
      </c>
      <c r="AH3389" t="s">
        <v>116</v>
      </c>
      <c r="AI3389" s="1">
        <v>49806</v>
      </c>
      <c r="AJ3389" s="2">
        <v>0.17</v>
      </c>
      <c r="AK3389" s="1">
        <v>285952</v>
      </c>
      <c r="AL3389" t="s">
        <v>117</v>
      </c>
      <c r="AM3389" t="s">
        <v>118</v>
      </c>
      <c r="AN3389">
        <v>2520</v>
      </c>
      <c r="AO3389">
        <v>0.57999999999999996</v>
      </c>
      <c r="AR3389">
        <v>1</v>
      </c>
      <c r="AS3389" s="1">
        <v>20370</v>
      </c>
      <c r="AT3389" s="1">
        <v>4070</v>
      </c>
      <c r="AU3389" s="1">
        <v>16300</v>
      </c>
      <c r="AV3389">
        <v>80.02</v>
      </c>
      <c r="AX3389" s="1">
        <v>1938.58</v>
      </c>
      <c r="AY3389" t="s">
        <v>7828</v>
      </c>
      <c r="AZ3389" t="s">
        <v>7828</v>
      </c>
      <c r="BA3389" t="s">
        <v>4219</v>
      </c>
      <c r="BB3389" s="3">
        <v>42678</v>
      </c>
      <c r="BD3389" t="s">
        <v>458</v>
      </c>
      <c r="BE3389" s="3">
        <v>41759</v>
      </c>
      <c r="BF3389" s="1">
        <v>238055</v>
      </c>
      <c r="BG3389" t="s">
        <v>2199</v>
      </c>
      <c r="BH3389" s="1">
        <v>126.42</v>
      </c>
      <c r="BI3389" s="1">
        <v>236146</v>
      </c>
      <c r="BJ3389" s="3">
        <v>42677</v>
      </c>
      <c r="BK3389" t="s">
        <v>123</v>
      </c>
      <c r="BL3389" t="str">
        <f>"2016.811032"</f>
        <v>2016.811032</v>
      </c>
      <c r="BM3389" t="s">
        <v>709</v>
      </c>
      <c r="BO3389" t="s">
        <v>21942</v>
      </c>
      <c r="BS3389">
        <v>25</v>
      </c>
      <c r="BW3389" t="str">
        <f>""</f>
        <v/>
      </c>
      <c r="CH3389" t="str">
        <f>""</f>
        <v/>
      </c>
      <c r="CS3389" t="str">
        <f>""</f>
        <v/>
      </c>
    </row>
    <row r="3390" spans="1:97" x14ac:dyDescent="0.25">
      <c r="A3390" t="s">
        <v>106</v>
      </c>
      <c r="B3390" t="s">
        <v>1944</v>
      </c>
      <c r="C3390" t="s">
        <v>933</v>
      </c>
      <c r="D3390" t="s">
        <v>1944</v>
      </c>
      <c r="E3390" t="s">
        <v>21943</v>
      </c>
      <c r="F3390" t="s">
        <v>108</v>
      </c>
      <c r="H3390" t="s">
        <v>21944</v>
      </c>
      <c r="I3390" t="s">
        <v>390</v>
      </c>
      <c r="J3390" t="s">
        <v>111</v>
      </c>
      <c r="K3390" t="str">
        <f>"85044"</f>
        <v>85044</v>
      </c>
      <c r="L3390" t="s">
        <v>5138</v>
      </c>
      <c r="M3390" t="s">
        <v>21944</v>
      </c>
      <c r="N3390" t="s">
        <v>390</v>
      </c>
      <c r="O3390" t="s">
        <v>111</v>
      </c>
      <c r="P3390" t="str">
        <f>"85044-1711"</f>
        <v>85044-1711</v>
      </c>
      <c r="Q3390" t="s">
        <v>113</v>
      </c>
      <c r="R3390" t="str">
        <f>"301-41-016"</f>
        <v>301-41-016</v>
      </c>
      <c r="S3390" t="s">
        <v>21945</v>
      </c>
      <c r="T3390" t="s">
        <v>21946</v>
      </c>
      <c r="U3390">
        <v>1023</v>
      </c>
      <c r="V3390">
        <v>0</v>
      </c>
      <c r="W3390">
        <v>2</v>
      </c>
      <c r="X3390">
        <v>1984</v>
      </c>
      <c r="Z3390">
        <v>1</v>
      </c>
      <c r="AB3390">
        <v>0</v>
      </c>
      <c r="AC3390" t="s">
        <v>115</v>
      </c>
      <c r="AD3390">
        <v>2</v>
      </c>
      <c r="AE3390" t="s">
        <v>115</v>
      </c>
      <c r="AF3390">
        <v>0</v>
      </c>
      <c r="AG3390">
        <v>0</v>
      </c>
      <c r="AH3390" t="s">
        <v>116</v>
      </c>
      <c r="AI3390" s="1">
        <v>26079</v>
      </c>
      <c r="AJ3390" s="2">
        <v>0.11</v>
      </c>
      <c r="AK3390" s="1">
        <v>234745</v>
      </c>
      <c r="AL3390" t="s">
        <v>117</v>
      </c>
      <c r="AM3390" t="s">
        <v>191</v>
      </c>
      <c r="AN3390">
        <v>7736</v>
      </c>
      <c r="AO3390">
        <v>0.18</v>
      </c>
      <c r="AP3390">
        <v>1</v>
      </c>
      <c r="AR3390">
        <v>1</v>
      </c>
      <c r="AS3390" s="1">
        <v>15680</v>
      </c>
      <c r="AT3390" s="1">
        <v>3130</v>
      </c>
      <c r="AU3390" s="1">
        <v>12550</v>
      </c>
      <c r="AV3390">
        <v>80.040000000000006</v>
      </c>
      <c r="AX3390" s="1">
        <v>1249.98</v>
      </c>
      <c r="AY3390" t="s">
        <v>11872</v>
      </c>
      <c r="AZ3390" t="s">
        <v>7255</v>
      </c>
      <c r="BA3390" t="s">
        <v>5328</v>
      </c>
      <c r="BE3390" s="3">
        <v>42030</v>
      </c>
      <c r="BF3390" s="1">
        <v>170000</v>
      </c>
      <c r="BG3390" t="s">
        <v>21947</v>
      </c>
      <c r="BH3390" s="1">
        <v>166.18</v>
      </c>
      <c r="BI3390" s="1">
        <v>208666</v>
      </c>
      <c r="BJ3390" s="3">
        <v>43236</v>
      </c>
      <c r="BK3390" t="s">
        <v>123</v>
      </c>
      <c r="BL3390" t="str">
        <f>"2018.373235"</f>
        <v>2018.373235</v>
      </c>
      <c r="BM3390" t="s">
        <v>21948</v>
      </c>
      <c r="BN3390" t="s">
        <v>21949</v>
      </c>
      <c r="BO3390" t="s">
        <v>21950</v>
      </c>
      <c r="BP3390" t="s">
        <v>21951</v>
      </c>
      <c r="BR3390" t="s">
        <v>139</v>
      </c>
      <c r="BW3390" t="str">
        <f>""</f>
        <v/>
      </c>
      <c r="CH3390" t="str">
        <f>""</f>
        <v/>
      </c>
      <c r="CS3390" t="str">
        <f>""</f>
        <v/>
      </c>
    </row>
    <row r="3391" spans="1:97" x14ac:dyDescent="0.25">
      <c r="A3391" t="s">
        <v>7797</v>
      </c>
      <c r="B3391" t="s">
        <v>21952</v>
      </c>
      <c r="C3391" t="s">
        <v>21953</v>
      </c>
      <c r="D3391" t="s">
        <v>21952</v>
      </c>
      <c r="E3391" t="s">
        <v>21954</v>
      </c>
      <c r="F3391" t="s">
        <v>108</v>
      </c>
      <c r="H3391" t="s">
        <v>21955</v>
      </c>
      <c r="I3391" t="s">
        <v>390</v>
      </c>
      <c r="J3391" t="s">
        <v>111</v>
      </c>
      <c r="K3391" t="str">
        <f>"85042"</f>
        <v>85042</v>
      </c>
      <c r="L3391" t="s">
        <v>9178</v>
      </c>
      <c r="M3391" t="s">
        <v>21955</v>
      </c>
      <c r="N3391" t="s">
        <v>390</v>
      </c>
      <c r="O3391" t="s">
        <v>111</v>
      </c>
      <c r="P3391" t="str">
        <f>"85042-4266"</f>
        <v>85042-4266</v>
      </c>
      <c r="Q3391" t="s">
        <v>113</v>
      </c>
      <c r="R3391" t="str">
        <f>"114-08-029"</f>
        <v>114-08-029</v>
      </c>
      <c r="S3391" t="s">
        <v>21956</v>
      </c>
      <c r="T3391" t="s">
        <v>21957</v>
      </c>
      <c r="U3391">
        <v>1900</v>
      </c>
      <c r="V3391">
        <v>0</v>
      </c>
      <c r="W3391">
        <v>3</v>
      </c>
      <c r="X3391">
        <v>2004</v>
      </c>
      <c r="Z3391">
        <v>1</v>
      </c>
      <c r="AB3391">
        <v>0</v>
      </c>
      <c r="AC3391" t="s">
        <v>115</v>
      </c>
      <c r="AD3391">
        <v>2</v>
      </c>
      <c r="AE3391" t="s">
        <v>115</v>
      </c>
      <c r="AF3391">
        <v>0</v>
      </c>
      <c r="AG3391">
        <v>0</v>
      </c>
      <c r="AH3391" t="s">
        <v>116</v>
      </c>
      <c r="AI3391" s="1">
        <v>45026</v>
      </c>
      <c r="AJ3391" s="2">
        <v>0.17</v>
      </c>
      <c r="AK3391" s="1">
        <v>267121</v>
      </c>
      <c r="AL3391" t="s">
        <v>117</v>
      </c>
      <c r="AM3391" t="s">
        <v>191</v>
      </c>
      <c r="AN3391">
        <v>8731</v>
      </c>
      <c r="AO3391">
        <v>0.2</v>
      </c>
      <c r="AP3391">
        <v>1</v>
      </c>
      <c r="AR3391">
        <v>1</v>
      </c>
      <c r="AS3391" s="1">
        <v>19980</v>
      </c>
      <c r="AT3391" s="1">
        <v>3990</v>
      </c>
      <c r="AU3391" s="1">
        <v>15990</v>
      </c>
      <c r="AV3391">
        <v>80.03</v>
      </c>
      <c r="AX3391" s="1">
        <v>1685.42</v>
      </c>
      <c r="AY3391" t="s">
        <v>21958</v>
      </c>
      <c r="AZ3391" t="s">
        <v>21959</v>
      </c>
      <c r="BA3391" t="s">
        <v>2860</v>
      </c>
      <c r="BE3391" s="3">
        <v>42531</v>
      </c>
      <c r="BF3391" s="1">
        <v>215000</v>
      </c>
      <c r="BG3391" t="s">
        <v>21960</v>
      </c>
      <c r="BH3391" s="1">
        <v>113.16</v>
      </c>
      <c r="BI3391" s="1">
        <v>222095</v>
      </c>
      <c r="BJ3391" s="3">
        <v>42531</v>
      </c>
      <c r="BK3391" t="s">
        <v>123</v>
      </c>
      <c r="BL3391" t="str">
        <f>"2016.404410"</f>
        <v>2016.404410</v>
      </c>
      <c r="BM3391" t="s">
        <v>1033</v>
      </c>
      <c r="BO3391" t="s">
        <v>21961</v>
      </c>
      <c r="BS3391">
        <v>30</v>
      </c>
      <c r="BW3391" t="str">
        <f>""</f>
        <v/>
      </c>
      <c r="CH3391" t="str">
        <f>""</f>
        <v/>
      </c>
      <c r="CS3391" t="str">
        <f>""</f>
        <v/>
      </c>
    </row>
    <row r="3392" spans="1:97" x14ac:dyDescent="0.25">
      <c r="A3392" t="s">
        <v>12686</v>
      </c>
      <c r="B3392" t="s">
        <v>21962</v>
      </c>
      <c r="E3392" t="s">
        <v>21963</v>
      </c>
      <c r="F3392" t="s">
        <v>108</v>
      </c>
      <c r="H3392" t="s">
        <v>21964</v>
      </c>
      <c r="I3392" t="s">
        <v>390</v>
      </c>
      <c r="J3392" t="s">
        <v>111</v>
      </c>
      <c r="K3392" t="str">
        <f>"85048"</f>
        <v>85048</v>
      </c>
      <c r="L3392" t="s">
        <v>5209</v>
      </c>
      <c r="M3392" t="s">
        <v>21964</v>
      </c>
      <c r="N3392" t="s">
        <v>390</v>
      </c>
      <c r="O3392" t="s">
        <v>111</v>
      </c>
      <c r="P3392" t="str">
        <f>"85048-2063"</f>
        <v>85048-2063</v>
      </c>
      <c r="Q3392" t="s">
        <v>113</v>
      </c>
      <c r="R3392" t="str">
        <f>"300-95-506"</f>
        <v>300-95-506</v>
      </c>
      <c r="S3392" t="s">
        <v>21965</v>
      </c>
      <c r="U3392">
        <v>2303</v>
      </c>
      <c r="V3392">
        <v>0</v>
      </c>
      <c r="W3392">
        <v>4</v>
      </c>
      <c r="X3392">
        <v>1994</v>
      </c>
      <c r="Z3392">
        <v>2</v>
      </c>
      <c r="AA3392" t="s">
        <v>26</v>
      </c>
      <c r="AB3392">
        <v>0</v>
      </c>
      <c r="AC3392" t="s">
        <v>115</v>
      </c>
      <c r="AD3392">
        <v>2</v>
      </c>
      <c r="AE3392" t="s">
        <v>115</v>
      </c>
      <c r="AF3392">
        <v>0</v>
      </c>
      <c r="AG3392">
        <v>0</v>
      </c>
      <c r="AH3392" t="s">
        <v>116</v>
      </c>
      <c r="AI3392" s="1">
        <v>40317</v>
      </c>
      <c r="AJ3392" s="2">
        <v>0.1</v>
      </c>
      <c r="AK3392" s="1">
        <v>397739</v>
      </c>
      <c r="AL3392" t="s">
        <v>117</v>
      </c>
      <c r="AM3392" t="s">
        <v>191</v>
      </c>
      <c r="AN3392">
        <v>4404</v>
      </c>
      <c r="AO3392">
        <v>0.1</v>
      </c>
      <c r="AP3392">
        <v>1</v>
      </c>
      <c r="AR3392">
        <v>1</v>
      </c>
      <c r="AS3392" s="1">
        <v>27010</v>
      </c>
      <c r="AT3392" s="1">
        <v>5400</v>
      </c>
      <c r="AU3392" s="1">
        <v>21610</v>
      </c>
      <c r="AV3392">
        <v>80.010000000000005</v>
      </c>
      <c r="AX3392" s="1">
        <v>2593.66</v>
      </c>
      <c r="AY3392" t="s">
        <v>2966</v>
      </c>
      <c r="AZ3392" t="s">
        <v>2967</v>
      </c>
      <c r="BA3392" t="s">
        <v>930</v>
      </c>
      <c r="BE3392" s="3">
        <v>42492</v>
      </c>
      <c r="BF3392" s="1">
        <v>349900</v>
      </c>
      <c r="BG3392" t="s">
        <v>21966</v>
      </c>
      <c r="BH3392" s="1">
        <v>151.93</v>
      </c>
      <c r="BI3392" s="1">
        <v>357422</v>
      </c>
      <c r="BJ3392" s="3">
        <v>42492</v>
      </c>
      <c r="BK3392" t="s">
        <v>123</v>
      </c>
      <c r="BL3392" t="str">
        <f>"2016.297446"</f>
        <v>2016.297446</v>
      </c>
      <c r="BM3392" t="s">
        <v>4014</v>
      </c>
      <c r="BO3392" t="s">
        <v>21967</v>
      </c>
      <c r="BS3392">
        <v>30</v>
      </c>
      <c r="BW3392" t="str">
        <f>""</f>
        <v/>
      </c>
      <c r="CH3392" t="str">
        <f>""</f>
        <v/>
      </c>
      <c r="CS3392" t="str">
        <f>""</f>
        <v/>
      </c>
    </row>
    <row r="3393" spans="1:97" x14ac:dyDescent="0.25">
      <c r="A3393" t="s">
        <v>21968</v>
      </c>
      <c r="B3393" t="s">
        <v>21969</v>
      </c>
      <c r="E3393" t="s">
        <v>21970</v>
      </c>
      <c r="F3393" t="s">
        <v>108</v>
      </c>
      <c r="H3393" t="s">
        <v>21971</v>
      </c>
      <c r="I3393" t="s">
        <v>1936</v>
      </c>
      <c r="J3393" t="s">
        <v>111</v>
      </c>
      <c r="K3393" t="str">
        <f>"85257"</f>
        <v>85257</v>
      </c>
      <c r="L3393" t="s">
        <v>4565</v>
      </c>
      <c r="M3393" t="s">
        <v>21971</v>
      </c>
      <c r="N3393" t="s">
        <v>1936</v>
      </c>
      <c r="O3393" t="s">
        <v>111</v>
      </c>
      <c r="P3393" t="str">
        <f>"85257-4901"</f>
        <v>85257-4901</v>
      </c>
      <c r="Q3393" t="s">
        <v>113</v>
      </c>
      <c r="R3393" t="str">
        <f>"131-53-257"</f>
        <v>131-53-257</v>
      </c>
      <c r="S3393" t="s">
        <v>21972</v>
      </c>
      <c r="T3393" t="s">
        <v>12453</v>
      </c>
      <c r="U3393">
        <v>1408</v>
      </c>
      <c r="V3393">
        <v>0</v>
      </c>
      <c r="W3393">
        <v>3</v>
      </c>
      <c r="X3393">
        <v>1986</v>
      </c>
      <c r="Z3393">
        <v>1</v>
      </c>
      <c r="AB3393">
        <v>0</v>
      </c>
      <c r="AC3393" t="s">
        <v>115</v>
      </c>
      <c r="AD3393">
        <v>2</v>
      </c>
      <c r="AE3393" t="s">
        <v>115</v>
      </c>
      <c r="AF3393">
        <v>0</v>
      </c>
      <c r="AG3393">
        <v>0</v>
      </c>
      <c r="AH3393" t="s">
        <v>116</v>
      </c>
      <c r="AI3393" s="1">
        <v>108883</v>
      </c>
      <c r="AJ3393" s="2">
        <v>0.32</v>
      </c>
      <c r="AK3393" s="1">
        <v>343497</v>
      </c>
      <c r="AL3393" t="s">
        <v>117</v>
      </c>
      <c r="AM3393" t="s">
        <v>393</v>
      </c>
      <c r="AN3393">
        <v>5257</v>
      </c>
      <c r="AO3393">
        <v>0.12</v>
      </c>
      <c r="AP3393">
        <v>1</v>
      </c>
      <c r="AR3393">
        <v>1</v>
      </c>
      <c r="AS3393" s="1">
        <v>23420</v>
      </c>
      <c r="AT3393" s="1">
        <v>4680</v>
      </c>
      <c r="AU3393" s="1">
        <v>18740</v>
      </c>
      <c r="AV3393">
        <v>80.02</v>
      </c>
      <c r="AX3393" s="1">
        <v>1172.24</v>
      </c>
      <c r="AY3393" t="s">
        <v>5419</v>
      </c>
      <c r="AZ3393" t="s">
        <v>5420</v>
      </c>
      <c r="BA3393" t="s">
        <v>5421</v>
      </c>
      <c r="BE3393" s="3">
        <v>41788</v>
      </c>
      <c r="BF3393" s="1">
        <v>250000</v>
      </c>
      <c r="BG3393" t="s">
        <v>21973</v>
      </c>
      <c r="BH3393" s="1">
        <v>177.56</v>
      </c>
      <c r="BI3393" s="1">
        <v>234614</v>
      </c>
      <c r="BJ3393" s="3">
        <v>42632</v>
      </c>
      <c r="BK3393" t="s">
        <v>123</v>
      </c>
      <c r="BL3393" t="str">
        <f>"2016.677254"</f>
        <v>2016.677254</v>
      </c>
      <c r="BM3393" t="s">
        <v>9928</v>
      </c>
      <c r="BO3393" t="s">
        <v>21974</v>
      </c>
      <c r="BS3393">
        <v>30</v>
      </c>
      <c r="BW3393" t="str">
        <f>""</f>
        <v/>
      </c>
      <c r="CH3393" t="str">
        <f>""</f>
        <v/>
      </c>
      <c r="CS3393" t="str">
        <f>""</f>
        <v/>
      </c>
    </row>
    <row r="3394" spans="1:97" x14ac:dyDescent="0.25">
      <c r="A3394" t="s">
        <v>1344</v>
      </c>
      <c r="B3394" t="s">
        <v>3187</v>
      </c>
      <c r="E3394" t="s">
        <v>21975</v>
      </c>
      <c r="F3394" t="s">
        <v>139</v>
      </c>
      <c r="H3394" t="s">
        <v>21976</v>
      </c>
      <c r="I3394" t="s">
        <v>453</v>
      </c>
      <c r="J3394" t="s">
        <v>111</v>
      </c>
      <c r="K3394" t="str">
        <f>"85382"</f>
        <v>85382</v>
      </c>
      <c r="L3394" t="s">
        <v>7147</v>
      </c>
      <c r="M3394" t="s">
        <v>21976</v>
      </c>
      <c r="N3394" t="s">
        <v>453</v>
      </c>
      <c r="O3394" t="s">
        <v>111</v>
      </c>
      <c r="P3394" t="str">
        <f>"85382-7725"</f>
        <v>85382-7725</v>
      </c>
      <c r="Q3394" t="s">
        <v>113</v>
      </c>
      <c r="R3394" t="str">
        <f>"231-18-104"</f>
        <v>231-18-104</v>
      </c>
      <c r="S3394" t="s">
        <v>21977</v>
      </c>
      <c r="T3394" t="s">
        <v>20770</v>
      </c>
      <c r="U3394">
        <v>1919</v>
      </c>
      <c r="V3394">
        <v>0</v>
      </c>
      <c r="W3394">
        <v>4</v>
      </c>
      <c r="X3394">
        <v>1996</v>
      </c>
      <c r="Z3394">
        <v>2</v>
      </c>
      <c r="AB3394">
        <v>0</v>
      </c>
      <c r="AC3394" t="s">
        <v>115</v>
      </c>
      <c r="AD3394">
        <v>2</v>
      </c>
      <c r="AE3394" t="s">
        <v>115</v>
      </c>
      <c r="AF3394">
        <v>0</v>
      </c>
      <c r="AG3394">
        <v>0</v>
      </c>
      <c r="AH3394" t="s">
        <v>116</v>
      </c>
      <c r="AI3394" s="1">
        <v>58620</v>
      </c>
      <c r="AJ3394" s="2">
        <v>0.2</v>
      </c>
      <c r="AK3394" s="1">
        <v>289479</v>
      </c>
      <c r="AL3394" t="s">
        <v>117</v>
      </c>
      <c r="AM3394" t="s">
        <v>191</v>
      </c>
      <c r="AN3394">
        <v>6600</v>
      </c>
      <c r="AO3394">
        <v>0.15</v>
      </c>
      <c r="AP3394">
        <v>1</v>
      </c>
      <c r="AR3394">
        <v>1</v>
      </c>
      <c r="AS3394" s="1">
        <v>18860</v>
      </c>
      <c r="AT3394" s="1">
        <v>3770</v>
      </c>
      <c r="AU3394" s="1">
        <v>15090</v>
      </c>
      <c r="AV3394">
        <v>80.010000000000005</v>
      </c>
      <c r="AX3394" s="1">
        <v>1479.14</v>
      </c>
      <c r="AY3394" t="s">
        <v>7828</v>
      </c>
      <c r="AZ3394" t="s">
        <v>7828</v>
      </c>
      <c r="BA3394" t="s">
        <v>4219</v>
      </c>
      <c r="BB3394" s="3">
        <v>43188</v>
      </c>
      <c r="BC3394" s="1">
        <v>0</v>
      </c>
      <c r="BD3394" t="s">
        <v>247</v>
      </c>
      <c r="BE3394" s="3">
        <v>41908</v>
      </c>
      <c r="BF3394" s="1">
        <v>226000</v>
      </c>
      <c r="BG3394" t="s">
        <v>21978</v>
      </c>
      <c r="BH3394" s="1">
        <v>117.77</v>
      </c>
      <c r="BI3394" s="1">
        <v>230859</v>
      </c>
      <c r="BJ3394" s="3">
        <v>41908</v>
      </c>
      <c r="BK3394" t="s">
        <v>123</v>
      </c>
      <c r="BL3394" t="str">
        <f>"2014.639045"</f>
        <v>2014.639045</v>
      </c>
      <c r="BM3394" t="s">
        <v>936</v>
      </c>
      <c r="BN3394" t="s">
        <v>1611</v>
      </c>
      <c r="BO3394" t="s">
        <v>21979</v>
      </c>
      <c r="BS3394">
        <v>30</v>
      </c>
      <c r="BW3394" t="str">
        <f>""</f>
        <v/>
      </c>
      <c r="CH3394" t="str">
        <f>""</f>
        <v/>
      </c>
      <c r="CS3394" t="str">
        <f>""</f>
        <v/>
      </c>
    </row>
    <row r="3395" spans="1:97" x14ac:dyDescent="0.25">
      <c r="A3395" t="s">
        <v>140</v>
      </c>
      <c r="B3395" t="s">
        <v>13682</v>
      </c>
      <c r="C3395" t="s">
        <v>524</v>
      </c>
      <c r="D3395" t="s">
        <v>13682</v>
      </c>
      <c r="E3395" t="s">
        <v>21980</v>
      </c>
      <c r="F3395" t="s">
        <v>108</v>
      </c>
      <c r="H3395" t="s">
        <v>21981</v>
      </c>
      <c r="I3395" t="s">
        <v>225</v>
      </c>
      <c r="J3395" t="s">
        <v>111</v>
      </c>
      <c r="K3395" t="str">
        <f>"85212"</f>
        <v>85212</v>
      </c>
      <c r="L3395" t="s">
        <v>4035</v>
      </c>
      <c r="M3395" t="s">
        <v>21981</v>
      </c>
      <c r="N3395" t="s">
        <v>225</v>
      </c>
      <c r="O3395" t="s">
        <v>111</v>
      </c>
      <c r="P3395" t="str">
        <f>"85212-1496"</f>
        <v>85212-1496</v>
      </c>
      <c r="Q3395" t="s">
        <v>113</v>
      </c>
      <c r="R3395" t="str">
        <f>"304-02-037"</f>
        <v>304-02-037</v>
      </c>
      <c r="S3395" t="s">
        <v>7300</v>
      </c>
      <c r="T3395" t="s">
        <v>7301</v>
      </c>
      <c r="U3395">
        <v>1877</v>
      </c>
      <c r="V3395">
        <v>0</v>
      </c>
      <c r="W3395">
        <v>3</v>
      </c>
      <c r="X3395">
        <v>2000</v>
      </c>
      <c r="Z3395">
        <v>1</v>
      </c>
      <c r="AA3395" t="s">
        <v>26</v>
      </c>
      <c r="AB3395">
        <v>0</v>
      </c>
      <c r="AC3395" t="s">
        <v>115</v>
      </c>
      <c r="AD3395">
        <v>2</v>
      </c>
      <c r="AE3395" t="s">
        <v>115</v>
      </c>
      <c r="AF3395">
        <v>0</v>
      </c>
      <c r="AG3395">
        <v>0</v>
      </c>
      <c r="AH3395" t="s">
        <v>116</v>
      </c>
      <c r="AI3395" s="1">
        <v>68853</v>
      </c>
      <c r="AJ3395" s="2">
        <v>0.21</v>
      </c>
      <c r="AK3395" s="1">
        <v>325037</v>
      </c>
      <c r="AL3395" t="s">
        <v>117</v>
      </c>
      <c r="AM3395" t="s">
        <v>191</v>
      </c>
      <c r="AN3395">
        <v>7015</v>
      </c>
      <c r="AO3395">
        <v>0.16</v>
      </c>
      <c r="AP3395">
        <v>1</v>
      </c>
      <c r="AR3395">
        <v>1</v>
      </c>
      <c r="AS3395" s="1">
        <v>21830</v>
      </c>
      <c r="AT3395" s="1">
        <v>4360</v>
      </c>
      <c r="AU3395" s="1">
        <v>17470</v>
      </c>
      <c r="AV3395">
        <v>80.03</v>
      </c>
      <c r="AX3395" s="1">
        <v>1502.74</v>
      </c>
      <c r="AY3395" t="s">
        <v>7302</v>
      </c>
      <c r="AZ3395" t="s">
        <v>777</v>
      </c>
      <c r="BA3395" t="s">
        <v>572</v>
      </c>
      <c r="BE3395" s="3">
        <v>42083</v>
      </c>
      <c r="BF3395" s="1">
        <v>248000</v>
      </c>
      <c r="BG3395" t="s">
        <v>9927</v>
      </c>
      <c r="BH3395" s="1">
        <v>132.13</v>
      </c>
      <c r="BI3395" s="1">
        <v>256184</v>
      </c>
      <c r="BJ3395" s="3">
        <v>42083</v>
      </c>
      <c r="BK3395" t="s">
        <v>123</v>
      </c>
      <c r="BL3395" t="str">
        <f>"2015.187567"</f>
        <v>2015.187567</v>
      </c>
      <c r="BM3395" t="s">
        <v>475</v>
      </c>
      <c r="BO3395" t="s">
        <v>21982</v>
      </c>
      <c r="BS3395">
        <v>30</v>
      </c>
      <c r="BW3395" t="str">
        <f>""</f>
        <v/>
      </c>
      <c r="CH3395" t="str">
        <f>""</f>
        <v/>
      </c>
      <c r="CS3395" t="str">
        <f>""</f>
        <v/>
      </c>
    </row>
    <row r="3396" spans="1:97" x14ac:dyDescent="0.25">
      <c r="A3396" t="s">
        <v>894</v>
      </c>
      <c r="B3396" t="s">
        <v>21983</v>
      </c>
      <c r="C3396" t="s">
        <v>21984</v>
      </c>
      <c r="D3396" t="s">
        <v>21983</v>
      </c>
      <c r="E3396" t="s">
        <v>21985</v>
      </c>
      <c r="F3396" t="s">
        <v>108</v>
      </c>
      <c r="H3396" t="s">
        <v>21986</v>
      </c>
      <c r="I3396" t="s">
        <v>632</v>
      </c>
      <c r="J3396" t="s">
        <v>111</v>
      </c>
      <c r="K3396" t="str">
        <f>"85379"</f>
        <v>85379</v>
      </c>
      <c r="L3396" t="s">
        <v>145</v>
      </c>
      <c r="M3396" t="s">
        <v>21986</v>
      </c>
      <c r="N3396" t="s">
        <v>632</v>
      </c>
      <c r="O3396" t="s">
        <v>111</v>
      </c>
      <c r="P3396" t="str">
        <f>"85379-5774"</f>
        <v>85379-5774</v>
      </c>
      <c r="Q3396" t="s">
        <v>113</v>
      </c>
      <c r="R3396" t="str">
        <f>"509-03-335"</f>
        <v>509-03-335</v>
      </c>
      <c r="S3396" t="s">
        <v>21987</v>
      </c>
      <c r="U3396">
        <v>1708</v>
      </c>
      <c r="V3396">
        <v>0</v>
      </c>
      <c r="W3396">
        <v>3</v>
      </c>
      <c r="X3396">
        <v>2005</v>
      </c>
      <c r="Z3396">
        <v>1</v>
      </c>
      <c r="AB3396">
        <v>0</v>
      </c>
      <c r="AC3396" t="s">
        <v>115</v>
      </c>
      <c r="AD3396">
        <v>2</v>
      </c>
      <c r="AE3396" t="s">
        <v>115</v>
      </c>
      <c r="AF3396">
        <v>0</v>
      </c>
      <c r="AG3396">
        <v>0</v>
      </c>
      <c r="AH3396" t="s">
        <v>116</v>
      </c>
      <c r="AI3396" s="1">
        <v>17722</v>
      </c>
      <c r="AJ3396" s="2">
        <v>7.0000000000000007E-2</v>
      </c>
      <c r="AK3396" s="1">
        <v>252109</v>
      </c>
      <c r="AL3396" t="s">
        <v>117</v>
      </c>
      <c r="AM3396" t="s">
        <v>118</v>
      </c>
      <c r="AN3396">
        <v>5280</v>
      </c>
      <c r="AO3396">
        <v>0.12</v>
      </c>
      <c r="AR3396">
        <v>1</v>
      </c>
      <c r="AS3396" s="1">
        <v>17310</v>
      </c>
      <c r="AT3396" s="1">
        <v>3460</v>
      </c>
      <c r="AU3396" s="1">
        <v>13850</v>
      </c>
      <c r="AV3396">
        <v>80.010000000000005</v>
      </c>
      <c r="AX3396" s="1">
        <v>1205.82</v>
      </c>
      <c r="AY3396" t="s">
        <v>5818</v>
      </c>
      <c r="AZ3396" t="s">
        <v>5818</v>
      </c>
      <c r="BA3396" t="s">
        <v>321</v>
      </c>
      <c r="BE3396" s="3">
        <v>41879</v>
      </c>
      <c r="BF3396" s="1">
        <v>168000</v>
      </c>
      <c r="BG3396" t="s">
        <v>21988</v>
      </c>
      <c r="BH3396" s="1">
        <v>98.36</v>
      </c>
      <c r="BI3396" s="1">
        <v>234387</v>
      </c>
      <c r="BJ3396" s="3">
        <v>43318</v>
      </c>
      <c r="BK3396" t="s">
        <v>123</v>
      </c>
      <c r="BL3396" t="str">
        <f>"2018.595141"</f>
        <v>2018.595141</v>
      </c>
      <c r="BM3396" t="s">
        <v>1185</v>
      </c>
      <c r="BN3396" t="s">
        <v>6728</v>
      </c>
      <c r="BO3396" t="s">
        <v>21989</v>
      </c>
      <c r="BP3396" t="s">
        <v>21990</v>
      </c>
      <c r="BR3396" t="s">
        <v>139</v>
      </c>
      <c r="BW3396" t="str">
        <f>""</f>
        <v/>
      </c>
      <c r="CH3396" t="str">
        <f>""</f>
        <v/>
      </c>
      <c r="CS3396" t="str">
        <f>""</f>
        <v/>
      </c>
    </row>
    <row r="3397" spans="1:97" x14ac:dyDescent="0.25">
      <c r="A3397" t="s">
        <v>990</v>
      </c>
      <c r="B3397" t="s">
        <v>21991</v>
      </c>
      <c r="C3397" t="s">
        <v>1160</v>
      </c>
      <c r="D3397" t="s">
        <v>21991</v>
      </c>
      <c r="E3397" t="s">
        <v>21992</v>
      </c>
      <c r="F3397" t="s">
        <v>108</v>
      </c>
      <c r="H3397" t="s">
        <v>21993</v>
      </c>
      <c r="I3397" t="s">
        <v>390</v>
      </c>
      <c r="J3397" t="s">
        <v>111</v>
      </c>
      <c r="K3397" t="str">
        <f>"85037"</f>
        <v>85037</v>
      </c>
      <c r="L3397" t="s">
        <v>5910</v>
      </c>
      <c r="M3397" t="s">
        <v>21993</v>
      </c>
      <c r="N3397" t="s">
        <v>390</v>
      </c>
      <c r="O3397" t="s">
        <v>111</v>
      </c>
      <c r="P3397" t="str">
        <f>"85037-6311"</f>
        <v>85037-6311</v>
      </c>
      <c r="Q3397" t="s">
        <v>113</v>
      </c>
      <c r="R3397" t="str">
        <f>"102-34-116"</f>
        <v>102-34-116</v>
      </c>
      <c r="S3397" t="s">
        <v>11277</v>
      </c>
      <c r="T3397" t="s">
        <v>11278</v>
      </c>
      <c r="U3397">
        <v>3674</v>
      </c>
      <c r="V3397">
        <v>0</v>
      </c>
      <c r="W3397">
        <v>4</v>
      </c>
      <c r="X3397">
        <v>2004</v>
      </c>
      <c r="Z3397">
        <v>2</v>
      </c>
      <c r="AA3397" t="s">
        <v>26</v>
      </c>
      <c r="AB3397">
        <v>0</v>
      </c>
      <c r="AC3397" t="s">
        <v>115</v>
      </c>
      <c r="AD3397">
        <v>3</v>
      </c>
      <c r="AE3397" t="s">
        <v>115</v>
      </c>
      <c r="AF3397">
        <v>0</v>
      </c>
      <c r="AG3397">
        <v>0</v>
      </c>
      <c r="AH3397" t="s">
        <v>116</v>
      </c>
      <c r="AI3397" s="1">
        <v>68179</v>
      </c>
      <c r="AJ3397" s="2">
        <v>0.21</v>
      </c>
      <c r="AK3397" s="1">
        <v>323179</v>
      </c>
      <c r="AL3397" t="s">
        <v>117</v>
      </c>
      <c r="AM3397" t="s">
        <v>171</v>
      </c>
      <c r="AN3397">
        <v>7415</v>
      </c>
      <c r="AO3397">
        <v>0.17</v>
      </c>
      <c r="AP3397">
        <v>1</v>
      </c>
      <c r="AR3397">
        <v>1</v>
      </c>
      <c r="AS3397" s="1">
        <v>21950</v>
      </c>
      <c r="AT3397" s="1">
        <v>4390</v>
      </c>
      <c r="AU3397" s="1">
        <v>17560</v>
      </c>
      <c r="AV3397">
        <v>80</v>
      </c>
      <c r="AX3397" s="1">
        <v>2117.16</v>
      </c>
      <c r="AY3397" t="s">
        <v>11279</v>
      </c>
      <c r="AZ3397" t="s">
        <v>11279</v>
      </c>
      <c r="BA3397" t="s">
        <v>11280</v>
      </c>
      <c r="BE3397" s="3">
        <v>42123</v>
      </c>
      <c r="BF3397" s="1">
        <v>238500</v>
      </c>
      <c r="BG3397" t="s">
        <v>21994</v>
      </c>
      <c r="BH3397" s="1">
        <v>64.92</v>
      </c>
      <c r="BI3397" s="1">
        <v>255000</v>
      </c>
      <c r="BJ3397" s="3">
        <v>42705</v>
      </c>
      <c r="BK3397" t="s">
        <v>123</v>
      </c>
      <c r="BL3397" t="str">
        <f>"2016.886075"</f>
        <v>2016.886075</v>
      </c>
      <c r="BM3397" t="s">
        <v>1185</v>
      </c>
      <c r="BO3397" t="s">
        <v>21995</v>
      </c>
      <c r="BS3397">
        <v>30</v>
      </c>
      <c r="BW3397" t="str">
        <f>""</f>
        <v/>
      </c>
      <c r="CH3397" t="str">
        <f>""</f>
        <v/>
      </c>
      <c r="CS3397" t="str">
        <f>""</f>
        <v/>
      </c>
    </row>
    <row r="3398" spans="1:97" x14ac:dyDescent="0.25">
      <c r="A3398" t="s">
        <v>325</v>
      </c>
      <c r="B3398" t="s">
        <v>141</v>
      </c>
      <c r="C3398" t="s">
        <v>4515</v>
      </c>
      <c r="D3398" t="s">
        <v>141</v>
      </c>
      <c r="E3398" t="s">
        <v>21996</v>
      </c>
      <c r="F3398" t="s">
        <v>108</v>
      </c>
      <c r="H3398" t="s">
        <v>21997</v>
      </c>
      <c r="I3398" t="s">
        <v>110</v>
      </c>
      <c r="J3398" t="s">
        <v>111</v>
      </c>
      <c r="K3398" t="str">
        <f>"85224"</f>
        <v>85224</v>
      </c>
      <c r="L3398" t="s">
        <v>5106</v>
      </c>
      <c r="M3398" t="s">
        <v>21997</v>
      </c>
      <c r="N3398" t="s">
        <v>110</v>
      </c>
      <c r="O3398" t="s">
        <v>111</v>
      </c>
      <c r="P3398" t="str">
        <f>"85224-7558"</f>
        <v>85224-7558</v>
      </c>
      <c r="Q3398" t="s">
        <v>113</v>
      </c>
      <c r="R3398" t="str">
        <f>"303-23-956"</f>
        <v>303-23-956</v>
      </c>
      <c r="S3398" t="s">
        <v>12443</v>
      </c>
      <c r="T3398" t="s">
        <v>12444</v>
      </c>
      <c r="U3398">
        <v>2624</v>
      </c>
      <c r="V3398">
        <v>0</v>
      </c>
      <c r="W3398">
        <v>4</v>
      </c>
      <c r="X3398">
        <v>1994</v>
      </c>
      <c r="Z3398">
        <v>2</v>
      </c>
      <c r="AB3398">
        <v>0</v>
      </c>
      <c r="AC3398" t="s">
        <v>115</v>
      </c>
      <c r="AD3398">
        <v>2</v>
      </c>
      <c r="AE3398" t="s">
        <v>115</v>
      </c>
      <c r="AF3398">
        <v>0</v>
      </c>
      <c r="AG3398">
        <v>0</v>
      </c>
      <c r="AH3398" t="s">
        <v>116</v>
      </c>
      <c r="AI3398" s="1">
        <v>101428</v>
      </c>
      <c r="AJ3398" s="2">
        <v>0.26</v>
      </c>
      <c r="AK3398" s="1">
        <v>383598</v>
      </c>
      <c r="AL3398" t="s">
        <v>117</v>
      </c>
      <c r="AM3398" t="s">
        <v>118</v>
      </c>
      <c r="AN3398">
        <v>5750</v>
      </c>
      <c r="AO3398">
        <v>0.13</v>
      </c>
      <c r="AP3398">
        <v>1</v>
      </c>
      <c r="AR3398">
        <v>1</v>
      </c>
      <c r="AS3398" s="1">
        <v>26320</v>
      </c>
      <c r="AT3398" s="1">
        <v>5260</v>
      </c>
      <c r="AU3398" s="1">
        <v>21060</v>
      </c>
      <c r="AV3398">
        <v>80.02</v>
      </c>
      <c r="AX3398" s="1">
        <v>2176.7399999999998</v>
      </c>
      <c r="AY3398" t="s">
        <v>6015</v>
      </c>
      <c r="AZ3398" t="s">
        <v>5078</v>
      </c>
      <c r="BA3398" t="s">
        <v>121</v>
      </c>
      <c r="BE3398" s="3">
        <v>41926</v>
      </c>
      <c r="BF3398" s="1">
        <v>300000</v>
      </c>
      <c r="BG3398" t="s">
        <v>21998</v>
      </c>
      <c r="BH3398" s="1">
        <v>114.33</v>
      </c>
      <c r="BI3398" s="1">
        <v>282170</v>
      </c>
      <c r="BJ3398" s="3">
        <v>41926</v>
      </c>
      <c r="BK3398" t="s">
        <v>123</v>
      </c>
      <c r="BL3398" t="str">
        <f>"2014.679297"</f>
        <v>2014.679297</v>
      </c>
      <c r="BM3398" t="s">
        <v>724</v>
      </c>
      <c r="BO3398" t="s">
        <v>21999</v>
      </c>
      <c r="BS3398">
        <v>30</v>
      </c>
      <c r="BW3398" t="str">
        <f>""</f>
        <v/>
      </c>
      <c r="CH3398" t="str">
        <f>""</f>
        <v/>
      </c>
      <c r="CS3398" t="str">
        <f>""</f>
        <v/>
      </c>
    </row>
    <row r="3399" spans="1:97" x14ac:dyDescent="0.25">
      <c r="A3399" t="s">
        <v>183</v>
      </c>
      <c r="B3399" t="s">
        <v>2251</v>
      </c>
      <c r="C3399" t="s">
        <v>5120</v>
      </c>
      <c r="D3399" t="s">
        <v>2251</v>
      </c>
      <c r="E3399" t="s">
        <v>22000</v>
      </c>
      <c r="F3399" t="s">
        <v>108</v>
      </c>
      <c r="H3399" t="s">
        <v>22001</v>
      </c>
      <c r="I3399" t="s">
        <v>144</v>
      </c>
      <c r="J3399" t="s">
        <v>111</v>
      </c>
      <c r="K3399" t="str">
        <f>"85326"</f>
        <v>85326</v>
      </c>
      <c r="L3399" t="s">
        <v>6316</v>
      </c>
      <c r="M3399" t="s">
        <v>22001</v>
      </c>
      <c r="N3399" t="s">
        <v>144</v>
      </c>
      <c r="O3399" t="s">
        <v>111</v>
      </c>
      <c r="P3399" t="str">
        <f>"85326-8059"</f>
        <v>85326-8059</v>
      </c>
      <c r="Q3399" t="s">
        <v>113</v>
      </c>
      <c r="R3399" t="str">
        <f>"504-58-020"</f>
        <v>504-58-020</v>
      </c>
      <c r="S3399" t="s">
        <v>22002</v>
      </c>
      <c r="U3399">
        <v>1663</v>
      </c>
      <c r="V3399">
        <v>0</v>
      </c>
      <c r="W3399">
        <v>3</v>
      </c>
      <c r="X3399">
        <v>2016</v>
      </c>
      <c r="Z3399">
        <v>1</v>
      </c>
      <c r="AA3399" t="s">
        <v>26</v>
      </c>
      <c r="AB3399">
        <v>0</v>
      </c>
      <c r="AC3399" t="s">
        <v>115</v>
      </c>
      <c r="AD3399">
        <v>2</v>
      </c>
      <c r="AE3399" t="s">
        <v>115</v>
      </c>
      <c r="AF3399">
        <v>0</v>
      </c>
      <c r="AG3399">
        <v>0</v>
      </c>
      <c r="AH3399" t="s">
        <v>116</v>
      </c>
      <c r="AI3399" s="1">
        <v>25880</v>
      </c>
      <c r="AJ3399" s="2">
        <v>0.11</v>
      </c>
      <c r="AK3399" s="1">
        <v>242548</v>
      </c>
      <c r="AL3399" t="s">
        <v>117</v>
      </c>
      <c r="AM3399" t="s">
        <v>118</v>
      </c>
      <c r="AN3399">
        <v>6172</v>
      </c>
      <c r="AO3399">
        <v>0.14000000000000001</v>
      </c>
      <c r="AR3399">
        <v>1</v>
      </c>
      <c r="AS3399" s="1">
        <v>17010</v>
      </c>
      <c r="AT3399" s="1">
        <v>3400</v>
      </c>
      <c r="AU3399" s="1">
        <v>13610</v>
      </c>
      <c r="AV3399">
        <v>80.010000000000005</v>
      </c>
      <c r="AX3399" s="1">
        <v>2587.8000000000002</v>
      </c>
      <c r="AY3399" t="s">
        <v>7333</v>
      </c>
      <c r="AZ3399" t="s">
        <v>7333</v>
      </c>
      <c r="BA3399" t="s">
        <v>5025</v>
      </c>
      <c r="BE3399" s="3">
        <v>42508</v>
      </c>
      <c r="BF3399" s="1">
        <v>209747</v>
      </c>
      <c r="BG3399" t="s">
        <v>209</v>
      </c>
      <c r="BH3399" s="1">
        <v>126.13</v>
      </c>
      <c r="BI3399" s="1">
        <v>216668</v>
      </c>
      <c r="BJ3399" s="3">
        <v>42508</v>
      </c>
      <c r="BK3399" t="s">
        <v>123</v>
      </c>
      <c r="BL3399" t="str">
        <f>"2016.342580"</f>
        <v>2016.342580</v>
      </c>
      <c r="BM3399" t="s">
        <v>175</v>
      </c>
      <c r="BO3399" t="s">
        <v>22003</v>
      </c>
      <c r="BS3399">
        <v>30</v>
      </c>
      <c r="BW3399" t="str">
        <f>""</f>
        <v/>
      </c>
      <c r="CH3399" t="str">
        <f>""</f>
        <v/>
      </c>
      <c r="CS3399" t="str">
        <f>""</f>
        <v/>
      </c>
    </row>
    <row r="3400" spans="1:97" x14ac:dyDescent="0.25">
      <c r="A3400" t="s">
        <v>1857</v>
      </c>
      <c r="B3400" t="s">
        <v>22004</v>
      </c>
      <c r="E3400" t="s">
        <v>22005</v>
      </c>
      <c r="F3400" t="s">
        <v>108</v>
      </c>
      <c r="H3400" t="s">
        <v>22006</v>
      </c>
      <c r="I3400" t="s">
        <v>390</v>
      </c>
      <c r="J3400" t="s">
        <v>111</v>
      </c>
      <c r="K3400" t="str">
        <f>"85032"</f>
        <v>85032</v>
      </c>
      <c r="L3400" t="s">
        <v>1300</v>
      </c>
      <c r="M3400" t="s">
        <v>22006</v>
      </c>
      <c r="N3400" t="s">
        <v>390</v>
      </c>
      <c r="O3400" t="s">
        <v>111</v>
      </c>
      <c r="P3400" t="str">
        <f>"85032-7387"</f>
        <v>85032-7387</v>
      </c>
      <c r="Q3400" t="s">
        <v>113</v>
      </c>
      <c r="R3400" t="str">
        <f>"166-56-283"</f>
        <v>166-56-283</v>
      </c>
      <c r="S3400" t="s">
        <v>22007</v>
      </c>
      <c r="T3400" t="s">
        <v>22008</v>
      </c>
      <c r="U3400">
        <v>1593</v>
      </c>
      <c r="V3400">
        <v>0</v>
      </c>
      <c r="W3400">
        <v>2</v>
      </c>
      <c r="X3400">
        <v>1978</v>
      </c>
      <c r="Z3400">
        <v>1</v>
      </c>
      <c r="AB3400">
        <v>0</v>
      </c>
      <c r="AC3400" t="s">
        <v>115</v>
      </c>
      <c r="AD3400">
        <v>2</v>
      </c>
      <c r="AE3400" t="s">
        <v>115</v>
      </c>
      <c r="AF3400">
        <v>0</v>
      </c>
      <c r="AG3400">
        <v>0</v>
      </c>
      <c r="AH3400" t="s">
        <v>116</v>
      </c>
      <c r="AI3400" s="1">
        <v>84561</v>
      </c>
      <c r="AJ3400" s="2">
        <v>0.28000000000000003</v>
      </c>
      <c r="AK3400" s="1">
        <v>306338</v>
      </c>
      <c r="AL3400" t="s">
        <v>117</v>
      </c>
      <c r="AM3400" t="s">
        <v>191</v>
      </c>
      <c r="AN3400">
        <v>6184</v>
      </c>
      <c r="AO3400">
        <v>0.14000000000000001</v>
      </c>
      <c r="AP3400">
        <v>1</v>
      </c>
      <c r="AR3400">
        <v>1</v>
      </c>
      <c r="AS3400" s="1">
        <v>20630</v>
      </c>
      <c r="AT3400" s="1">
        <v>4120</v>
      </c>
      <c r="AU3400" s="1">
        <v>16510</v>
      </c>
      <c r="AV3400">
        <v>80.03</v>
      </c>
      <c r="AX3400" s="1">
        <v>1638.78</v>
      </c>
      <c r="AY3400" t="s">
        <v>5488</v>
      </c>
      <c r="AZ3400" t="s">
        <v>5489</v>
      </c>
      <c r="BA3400" t="s">
        <v>5232</v>
      </c>
      <c r="BB3400" s="3">
        <v>43199</v>
      </c>
      <c r="BC3400" s="1">
        <v>0</v>
      </c>
      <c r="BD3400" t="s">
        <v>247</v>
      </c>
      <c r="BE3400" s="3">
        <v>42047</v>
      </c>
      <c r="BF3400" s="1">
        <v>238500</v>
      </c>
      <c r="BG3400" t="s">
        <v>22009</v>
      </c>
      <c r="BH3400" s="1">
        <v>149.72</v>
      </c>
      <c r="BI3400" s="1">
        <v>221777</v>
      </c>
      <c r="BJ3400" s="3">
        <v>42047</v>
      </c>
      <c r="BK3400" t="s">
        <v>123</v>
      </c>
      <c r="BL3400" t="str">
        <f>"2015.90570"</f>
        <v>2015.90570</v>
      </c>
      <c r="BM3400" t="s">
        <v>131</v>
      </c>
      <c r="BN3400" t="s">
        <v>132</v>
      </c>
      <c r="BO3400" t="s">
        <v>22010</v>
      </c>
      <c r="BS3400">
        <v>30</v>
      </c>
      <c r="BW3400" t="str">
        <f>""</f>
        <v/>
      </c>
      <c r="CH3400" t="str">
        <f>""</f>
        <v/>
      </c>
      <c r="CS3400" t="str">
        <f>""</f>
        <v/>
      </c>
    </row>
    <row r="3401" spans="1:97" x14ac:dyDescent="0.25">
      <c r="A3401" t="s">
        <v>1833</v>
      </c>
      <c r="B3401" t="s">
        <v>141</v>
      </c>
      <c r="E3401" t="s">
        <v>22011</v>
      </c>
      <c r="F3401" t="s">
        <v>108</v>
      </c>
      <c r="H3401" t="s">
        <v>22012</v>
      </c>
      <c r="I3401" t="s">
        <v>225</v>
      </c>
      <c r="J3401" t="s">
        <v>111</v>
      </c>
      <c r="K3401" t="str">
        <f>"85209"</f>
        <v>85209</v>
      </c>
      <c r="L3401" t="s">
        <v>22013</v>
      </c>
      <c r="M3401" t="s">
        <v>22012</v>
      </c>
      <c r="N3401" t="s">
        <v>225</v>
      </c>
      <c r="O3401" t="s">
        <v>111</v>
      </c>
      <c r="P3401" t="str">
        <f>"85209-6929"</f>
        <v>85209-6929</v>
      </c>
      <c r="Q3401" t="s">
        <v>113</v>
      </c>
      <c r="R3401" t="str">
        <f>"309-10-279"</f>
        <v>309-10-279</v>
      </c>
      <c r="S3401" t="s">
        <v>20639</v>
      </c>
      <c r="U3401">
        <v>1757</v>
      </c>
      <c r="V3401">
        <v>0</v>
      </c>
      <c r="W3401">
        <v>2</v>
      </c>
      <c r="X3401">
        <v>1997</v>
      </c>
      <c r="Z3401">
        <v>1</v>
      </c>
      <c r="AB3401">
        <v>0</v>
      </c>
      <c r="AC3401" t="s">
        <v>115</v>
      </c>
      <c r="AD3401">
        <v>2</v>
      </c>
      <c r="AE3401" t="s">
        <v>115</v>
      </c>
      <c r="AF3401">
        <v>0</v>
      </c>
      <c r="AG3401">
        <v>0</v>
      </c>
      <c r="AH3401" t="s">
        <v>116</v>
      </c>
      <c r="AI3401" s="1">
        <v>68195</v>
      </c>
      <c r="AJ3401" s="2">
        <v>0.24</v>
      </c>
      <c r="AK3401" s="1">
        <v>283879</v>
      </c>
      <c r="AL3401" t="s">
        <v>117</v>
      </c>
      <c r="AM3401" t="s">
        <v>393</v>
      </c>
      <c r="AN3401">
        <v>6429</v>
      </c>
      <c r="AO3401">
        <v>0.15</v>
      </c>
      <c r="AP3401">
        <v>1</v>
      </c>
      <c r="AR3401">
        <v>1</v>
      </c>
      <c r="AS3401" s="1">
        <v>19550</v>
      </c>
      <c r="AT3401" s="1">
        <v>3910</v>
      </c>
      <c r="AU3401" s="1">
        <v>15640</v>
      </c>
      <c r="AV3401">
        <v>80</v>
      </c>
      <c r="AX3401" s="1">
        <v>1811.86</v>
      </c>
      <c r="AY3401" t="s">
        <v>570</v>
      </c>
      <c r="AZ3401" t="s">
        <v>777</v>
      </c>
      <c r="BA3401" t="s">
        <v>572</v>
      </c>
      <c r="BE3401" s="3">
        <v>42398</v>
      </c>
      <c r="BF3401" s="1">
        <v>215000</v>
      </c>
      <c r="BG3401" t="s">
        <v>22014</v>
      </c>
      <c r="BH3401" s="1">
        <v>122.37</v>
      </c>
      <c r="BI3401" s="1">
        <v>215684</v>
      </c>
      <c r="BJ3401" s="3">
        <v>42648</v>
      </c>
      <c r="BK3401" t="s">
        <v>123</v>
      </c>
      <c r="BL3401" t="str">
        <f>"2016.728096"</f>
        <v>2016.728096</v>
      </c>
      <c r="BM3401" t="s">
        <v>402</v>
      </c>
      <c r="BO3401" t="s">
        <v>22015</v>
      </c>
      <c r="BS3401">
        <v>30</v>
      </c>
      <c r="BW3401" t="str">
        <f>""</f>
        <v/>
      </c>
      <c r="CH3401" t="str">
        <f>""</f>
        <v/>
      </c>
      <c r="CS3401" t="str">
        <f>""</f>
        <v/>
      </c>
    </row>
    <row r="3402" spans="1:97" x14ac:dyDescent="0.25">
      <c r="A3402" t="s">
        <v>1938</v>
      </c>
      <c r="B3402" t="s">
        <v>10186</v>
      </c>
      <c r="C3402" t="s">
        <v>5375</v>
      </c>
      <c r="D3402" t="s">
        <v>10186</v>
      </c>
      <c r="E3402" t="s">
        <v>22016</v>
      </c>
      <c r="F3402" t="s">
        <v>108</v>
      </c>
      <c r="H3402" t="s">
        <v>22017</v>
      </c>
      <c r="I3402" t="s">
        <v>188</v>
      </c>
      <c r="J3402" t="s">
        <v>111</v>
      </c>
      <c r="K3402" t="str">
        <f>"85142"</f>
        <v>85142</v>
      </c>
      <c r="L3402" t="s">
        <v>5131</v>
      </c>
      <c r="M3402" t="s">
        <v>22017</v>
      </c>
      <c r="N3402" t="s">
        <v>188</v>
      </c>
      <c r="O3402" t="s">
        <v>111</v>
      </c>
      <c r="P3402" t="str">
        <f>"85142-7128"</f>
        <v>85142-7128</v>
      </c>
      <c r="Q3402" t="s">
        <v>113</v>
      </c>
      <c r="R3402" t="str">
        <f>"304-89-056-P"</f>
        <v>304-89-056-P</v>
      </c>
      <c r="S3402" t="s">
        <v>7932</v>
      </c>
      <c r="U3402">
        <v>1848</v>
      </c>
      <c r="V3402">
        <v>0</v>
      </c>
      <c r="W3402">
        <v>3</v>
      </c>
      <c r="X3402">
        <v>2013</v>
      </c>
      <c r="Z3402">
        <v>1</v>
      </c>
      <c r="AA3402" t="s">
        <v>26</v>
      </c>
      <c r="AB3402">
        <v>0</v>
      </c>
      <c r="AC3402" t="s">
        <v>115</v>
      </c>
      <c r="AD3402">
        <v>3</v>
      </c>
      <c r="AE3402" t="s">
        <v>115</v>
      </c>
      <c r="AF3402">
        <v>0</v>
      </c>
      <c r="AG3402">
        <v>0</v>
      </c>
      <c r="AH3402" t="s">
        <v>116</v>
      </c>
      <c r="AI3402" s="1">
        <v>106010</v>
      </c>
      <c r="AJ3402" s="2">
        <v>0.26</v>
      </c>
      <c r="AK3402" s="1">
        <v>404067</v>
      </c>
      <c r="AL3402" t="s">
        <v>117</v>
      </c>
      <c r="AM3402" t="str">
        <f>"R1-35"</f>
        <v>R1-35</v>
      </c>
      <c r="AN3402">
        <v>35293</v>
      </c>
      <c r="AO3402">
        <v>0.81</v>
      </c>
      <c r="AR3402">
        <v>1</v>
      </c>
      <c r="AS3402" s="1">
        <v>29080</v>
      </c>
      <c r="AT3402" s="1">
        <v>5810</v>
      </c>
      <c r="AU3402" s="1">
        <v>23270</v>
      </c>
      <c r="AV3402">
        <v>80.02</v>
      </c>
      <c r="AX3402" s="1">
        <v>2416.02</v>
      </c>
      <c r="AY3402" t="s">
        <v>1133</v>
      </c>
      <c r="AZ3402" t="s">
        <v>1134</v>
      </c>
      <c r="BA3402" t="s">
        <v>1134</v>
      </c>
      <c r="BB3402" s="3">
        <v>41852</v>
      </c>
      <c r="BD3402" t="s">
        <v>22018</v>
      </c>
      <c r="BE3402" s="3">
        <v>41802</v>
      </c>
      <c r="BF3402" s="1">
        <v>264900</v>
      </c>
      <c r="BG3402" t="s">
        <v>22019</v>
      </c>
      <c r="BH3402" s="1">
        <v>143.34</v>
      </c>
      <c r="BI3402" s="1">
        <v>265627</v>
      </c>
      <c r="BJ3402" s="3">
        <v>42578</v>
      </c>
      <c r="BK3402" t="s">
        <v>123</v>
      </c>
      <c r="BL3402" t="str">
        <f>"2016.530346"</f>
        <v>2016.530346</v>
      </c>
      <c r="BM3402" t="s">
        <v>425</v>
      </c>
      <c r="BO3402" t="s">
        <v>22020</v>
      </c>
      <c r="BS3402">
        <v>28</v>
      </c>
      <c r="BT3402" s="1">
        <v>32430</v>
      </c>
      <c r="BU3402" s="3">
        <v>42850</v>
      </c>
      <c r="BV3402" t="s">
        <v>134</v>
      </c>
      <c r="BW3402" t="str">
        <f>"2017.293684"</f>
        <v>2017.293684</v>
      </c>
      <c r="BX3402" t="s">
        <v>198</v>
      </c>
      <c r="BZ3402" t="s">
        <v>22020</v>
      </c>
      <c r="CD3402">
        <v>15</v>
      </c>
      <c r="CH3402" t="str">
        <f>""</f>
        <v/>
      </c>
      <c r="CS3402" t="str">
        <f>""</f>
        <v/>
      </c>
    </row>
    <row r="3403" spans="1:97" x14ac:dyDescent="0.25">
      <c r="A3403" t="s">
        <v>305</v>
      </c>
      <c r="B3403" t="s">
        <v>22021</v>
      </c>
      <c r="C3403" t="s">
        <v>8858</v>
      </c>
      <c r="D3403" t="s">
        <v>22021</v>
      </c>
      <c r="E3403" t="s">
        <v>22022</v>
      </c>
      <c r="F3403" t="s">
        <v>108</v>
      </c>
      <c r="H3403" t="s">
        <v>22023</v>
      </c>
      <c r="I3403" t="s">
        <v>144</v>
      </c>
      <c r="J3403" t="s">
        <v>111</v>
      </c>
      <c r="K3403" t="str">
        <f>"85396"</f>
        <v>85396</v>
      </c>
      <c r="L3403" t="s">
        <v>11339</v>
      </c>
      <c r="M3403" t="s">
        <v>22023</v>
      </c>
      <c r="N3403" t="s">
        <v>144</v>
      </c>
      <c r="O3403" t="s">
        <v>111</v>
      </c>
      <c r="P3403" t="str">
        <f>"85396-7279"</f>
        <v>85396-7279</v>
      </c>
      <c r="Q3403" t="s">
        <v>113</v>
      </c>
      <c r="R3403" t="str">
        <f>"503-85-398"</f>
        <v>503-85-398</v>
      </c>
      <c r="S3403" t="s">
        <v>11340</v>
      </c>
      <c r="U3403">
        <v>1450</v>
      </c>
      <c r="V3403">
        <v>0</v>
      </c>
      <c r="W3403">
        <v>3</v>
      </c>
      <c r="X3403">
        <v>2015</v>
      </c>
      <c r="Z3403">
        <v>1</v>
      </c>
      <c r="AB3403">
        <v>0</v>
      </c>
      <c r="AC3403" t="s">
        <v>115</v>
      </c>
      <c r="AD3403">
        <v>2</v>
      </c>
      <c r="AE3403" t="s">
        <v>115</v>
      </c>
      <c r="AF3403">
        <v>0</v>
      </c>
      <c r="AG3403">
        <v>0</v>
      </c>
      <c r="AH3403" t="s">
        <v>116</v>
      </c>
      <c r="AI3403" s="1">
        <v>20622</v>
      </c>
      <c r="AJ3403" s="2">
        <v>0.09</v>
      </c>
      <c r="AK3403" s="1">
        <v>231354</v>
      </c>
      <c r="AL3403" t="s">
        <v>117</v>
      </c>
      <c r="AM3403" t="s">
        <v>118</v>
      </c>
      <c r="AN3403">
        <v>5520</v>
      </c>
      <c r="AO3403">
        <v>0.13</v>
      </c>
      <c r="AR3403">
        <v>1</v>
      </c>
      <c r="AS3403" s="1">
        <v>15430</v>
      </c>
      <c r="AT3403" s="1">
        <v>3080</v>
      </c>
      <c r="AU3403" s="1">
        <v>12350</v>
      </c>
      <c r="AV3403">
        <v>80.040000000000006</v>
      </c>
      <c r="AX3403" s="1">
        <v>1466.58</v>
      </c>
      <c r="AY3403" t="s">
        <v>444</v>
      </c>
      <c r="AZ3403" t="s">
        <v>444</v>
      </c>
      <c r="BA3403" t="s">
        <v>445</v>
      </c>
      <c r="BE3403" s="3">
        <v>42261</v>
      </c>
      <c r="BF3403" s="1">
        <v>155841</v>
      </c>
      <c r="BG3403" t="s">
        <v>446</v>
      </c>
      <c r="BH3403" s="1">
        <v>107.48</v>
      </c>
      <c r="BI3403" s="1">
        <v>210732</v>
      </c>
      <c r="BJ3403" s="3">
        <v>43375</v>
      </c>
      <c r="BK3403" t="s">
        <v>123</v>
      </c>
      <c r="BL3403" t="str">
        <f>"2018.741500"</f>
        <v>2018.741500</v>
      </c>
      <c r="BM3403" t="s">
        <v>4672</v>
      </c>
      <c r="BN3403" t="s">
        <v>1922</v>
      </c>
      <c r="BO3403" t="s">
        <v>22024</v>
      </c>
      <c r="BP3403" t="s">
        <v>22025</v>
      </c>
      <c r="BR3403" t="s">
        <v>139</v>
      </c>
      <c r="BW3403" t="str">
        <f>""</f>
        <v/>
      </c>
      <c r="CH3403" t="str">
        <f>""</f>
        <v/>
      </c>
      <c r="CS3403" t="str">
        <f>""</f>
        <v/>
      </c>
    </row>
    <row r="3404" spans="1:97" x14ac:dyDescent="0.25">
      <c r="A3404" t="s">
        <v>11648</v>
      </c>
      <c r="B3404" t="s">
        <v>22026</v>
      </c>
      <c r="E3404" t="s">
        <v>22027</v>
      </c>
      <c r="F3404" t="s">
        <v>108</v>
      </c>
      <c r="H3404" t="s">
        <v>22028</v>
      </c>
      <c r="I3404" t="s">
        <v>225</v>
      </c>
      <c r="J3404" t="s">
        <v>111</v>
      </c>
      <c r="K3404" t="str">
        <f>"85206"</f>
        <v>85206</v>
      </c>
      <c r="L3404" t="s">
        <v>6631</v>
      </c>
      <c r="M3404" t="s">
        <v>22028</v>
      </c>
      <c r="N3404" t="s">
        <v>225</v>
      </c>
      <c r="O3404" t="s">
        <v>111</v>
      </c>
      <c r="P3404" t="str">
        <f>"85206-2271"</f>
        <v>85206-2271</v>
      </c>
      <c r="Q3404" t="s">
        <v>113</v>
      </c>
      <c r="R3404" t="str">
        <f>"141-52-928"</f>
        <v>141-52-928</v>
      </c>
      <c r="S3404" t="s">
        <v>22029</v>
      </c>
      <c r="T3404" t="s">
        <v>22030</v>
      </c>
      <c r="U3404">
        <v>1742</v>
      </c>
      <c r="V3404">
        <v>0</v>
      </c>
      <c r="W3404">
        <v>3</v>
      </c>
      <c r="X3404">
        <v>1994</v>
      </c>
      <c r="Z3404">
        <v>1</v>
      </c>
      <c r="AB3404">
        <v>0</v>
      </c>
      <c r="AC3404" t="s">
        <v>115</v>
      </c>
      <c r="AD3404">
        <v>3</v>
      </c>
      <c r="AE3404" t="s">
        <v>115</v>
      </c>
      <c r="AF3404">
        <v>0</v>
      </c>
      <c r="AG3404">
        <v>0</v>
      </c>
      <c r="AH3404" t="s">
        <v>116</v>
      </c>
      <c r="AI3404" s="1">
        <v>29797</v>
      </c>
      <c r="AJ3404" s="2">
        <v>0.1</v>
      </c>
      <c r="AK3404" s="1">
        <v>294876</v>
      </c>
      <c r="AL3404" t="s">
        <v>117</v>
      </c>
      <c r="AM3404" t="s">
        <v>917</v>
      </c>
      <c r="AN3404">
        <v>9161</v>
      </c>
      <c r="AO3404">
        <v>0.21</v>
      </c>
      <c r="AP3404">
        <v>1</v>
      </c>
      <c r="AR3404">
        <v>1</v>
      </c>
      <c r="AS3404" s="1">
        <v>19160</v>
      </c>
      <c r="AT3404" s="1">
        <v>3830</v>
      </c>
      <c r="AU3404" s="1">
        <v>15330</v>
      </c>
      <c r="AV3404">
        <v>80.010000000000005</v>
      </c>
      <c r="AX3404" s="1">
        <v>1469.88</v>
      </c>
      <c r="AY3404" t="s">
        <v>230</v>
      </c>
      <c r="AZ3404" t="s">
        <v>5158</v>
      </c>
      <c r="BA3404" t="s">
        <v>5159</v>
      </c>
      <c r="BE3404" s="3">
        <v>42360</v>
      </c>
      <c r="BF3404" s="1">
        <v>259500</v>
      </c>
      <c r="BG3404" t="s">
        <v>22031</v>
      </c>
      <c r="BH3404" s="1">
        <v>148.97</v>
      </c>
      <c r="BI3404" s="1">
        <v>265079</v>
      </c>
      <c r="BJ3404" s="3">
        <v>42360</v>
      </c>
      <c r="BK3404" t="s">
        <v>123</v>
      </c>
      <c r="BL3404" t="str">
        <f>"2015.900535"</f>
        <v>2015.900535</v>
      </c>
      <c r="BM3404" t="s">
        <v>4014</v>
      </c>
      <c r="BO3404" t="s">
        <v>22032</v>
      </c>
      <c r="BS3404">
        <v>30</v>
      </c>
      <c r="BW3404" t="str">
        <f>""</f>
        <v/>
      </c>
      <c r="CH3404" t="str">
        <f>""</f>
        <v/>
      </c>
      <c r="CS3404" t="str">
        <f>""</f>
        <v/>
      </c>
    </row>
    <row r="3405" spans="1:97" x14ac:dyDescent="0.25">
      <c r="A3405" t="s">
        <v>8500</v>
      </c>
      <c r="B3405" t="s">
        <v>6696</v>
      </c>
      <c r="C3405" t="s">
        <v>2099</v>
      </c>
      <c r="D3405" t="s">
        <v>6696</v>
      </c>
      <c r="E3405" t="s">
        <v>22033</v>
      </c>
      <c r="F3405" t="s">
        <v>108</v>
      </c>
      <c r="H3405" t="s">
        <v>22034</v>
      </c>
      <c r="I3405" t="s">
        <v>225</v>
      </c>
      <c r="J3405" t="s">
        <v>111</v>
      </c>
      <c r="K3405" t="str">
        <f>"85213"</f>
        <v>85213</v>
      </c>
      <c r="L3405" t="s">
        <v>4159</v>
      </c>
      <c r="M3405" t="s">
        <v>22034</v>
      </c>
      <c r="N3405" t="s">
        <v>225</v>
      </c>
      <c r="O3405" t="s">
        <v>111</v>
      </c>
      <c r="P3405" t="str">
        <f>"85213-1967"</f>
        <v>85213-1967</v>
      </c>
      <c r="Q3405" t="s">
        <v>113</v>
      </c>
      <c r="R3405" t="str">
        <f>"141-18-137"</f>
        <v>141-18-137</v>
      </c>
      <c r="S3405" t="s">
        <v>5667</v>
      </c>
      <c r="T3405" t="s">
        <v>5668</v>
      </c>
      <c r="U3405">
        <v>2776</v>
      </c>
      <c r="V3405">
        <v>0</v>
      </c>
      <c r="W3405">
        <v>4</v>
      </c>
      <c r="X3405">
        <v>2014</v>
      </c>
      <c r="Z3405">
        <v>2</v>
      </c>
      <c r="AB3405">
        <v>0</v>
      </c>
      <c r="AC3405" t="s">
        <v>115</v>
      </c>
      <c r="AD3405">
        <v>3</v>
      </c>
      <c r="AE3405" t="s">
        <v>115</v>
      </c>
      <c r="AF3405">
        <v>0</v>
      </c>
      <c r="AG3405">
        <v>0</v>
      </c>
      <c r="AH3405" t="s">
        <v>116</v>
      </c>
      <c r="AI3405" s="1">
        <v>109960</v>
      </c>
      <c r="AJ3405" s="2">
        <v>0.26</v>
      </c>
      <c r="AK3405" s="1">
        <v>421962</v>
      </c>
      <c r="AL3405" t="s">
        <v>117</v>
      </c>
      <c r="AM3405" t="s">
        <v>917</v>
      </c>
      <c r="AN3405">
        <v>5775</v>
      </c>
      <c r="AO3405">
        <v>0.13</v>
      </c>
      <c r="AR3405">
        <v>1</v>
      </c>
      <c r="AS3405" s="1">
        <v>28400</v>
      </c>
      <c r="AT3405" s="1">
        <v>5680</v>
      </c>
      <c r="AU3405" s="1">
        <v>22720</v>
      </c>
      <c r="AV3405">
        <v>80</v>
      </c>
      <c r="AX3405" s="1">
        <v>2458.16</v>
      </c>
      <c r="AY3405" t="s">
        <v>4162</v>
      </c>
      <c r="AZ3405" t="s">
        <v>4163</v>
      </c>
      <c r="BA3405" t="s">
        <v>1524</v>
      </c>
      <c r="BE3405" s="3">
        <v>41991</v>
      </c>
      <c r="BF3405" s="1">
        <v>314736</v>
      </c>
      <c r="BG3405" t="s">
        <v>2842</v>
      </c>
      <c r="BH3405" s="1">
        <v>113.38</v>
      </c>
      <c r="BI3405" s="1">
        <v>312002</v>
      </c>
      <c r="BJ3405" s="3">
        <v>42458</v>
      </c>
      <c r="BK3405" t="s">
        <v>123</v>
      </c>
      <c r="BL3405" t="str">
        <f>"2016.202776"</f>
        <v>2016.202776</v>
      </c>
      <c r="BM3405" t="s">
        <v>255</v>
      </c>
      <c r="BO3405" t="s">
        <v>22035</v>
      </c>
      <c r="BS3405">
        <v>30</v>
      </c>
      <c r="BW3405" t="str">
        <f>""</f>
        <v/>
      </c>
      <c r="CH3405" t="str">
        <f>""</f>
        <v/>
      </c>
      <c r="CS3405" t="str">
        <f>""</f>
        <v/>
      </c>
    </row>
    <row r="3406" spans="1:97" x14ac:dyDescent="0.25">
      <c r="A3406" t="s">
        <v>370</v>
      </c>
      <c r="B3406" t="s">
        <v>22036</v>
      </c>
      <c r="C3406" t="s">
        <v>817</v>
      </c>
      <c r="D3406" t="s">
        <v>22036</v>
      </c>
      <c r="E3406" t="s">
        <v>22037</v>
      </c>
      <c r="F3406" t="s">
        <v>139</v>
      </c>
      <c r="H3406" t="s">
        <v>22038</v>
      </c>
      <c r="I3406" t="s">
        <v>6844</v>
      </c>
      <c r="J3406" t="s">
        <v>111</v>
      </c>
      <c r="K3406" t="str">
        <f>"85361"</f>
        <v>85361</v>
      </c>
      <c r="L3406" t="s">
        <v>1789</v>
      </c>
      <c r="M3406" t="s">
        <v>22039</v>
      </c>
      <c r="N3406" t="s">
        <v>6844</v>
      </c>
      <c r="O3406" t="s">
        <v>111</v>
      </c>
      <c r="P3406" t="str">
        <f>"85361-8521"</f>
        <v>85361-8521</v>
      </c>
      <c r="Q3406" t="s">
        <v>113</v>
      </c>
      <c r="R3406" t="str">
        <f>"503-32-149"</f>
        <v>503-32-149</v>
      </c>
      <c r="S3406" t="s">
        <v>22040</v>
      </c>
      <c r="T3406" t="s">
        <v>6846</v>
      </c>
      <c r="U3406">
        <v>2293</v>
      </c>
      <c r="V3406">
        <v>0</v>
      </c>
      <c r="W3406">
        <v>3</v>
      </c>
      <c r="X3406">
        <v>2002</v>
      </c>
      <c r="Z3406">
        <v>1</v>
      </c>
      <c r="AB3406">
        <v>0</v>
      </c>
      <c r="AC3406" t="s">
        <v>115</v>
      </c>
      <c r="AD3406">
        <v>2</v>
      </c>
      <c r="AE3406" t="s">
        <v>115</v>
      </c>
      <c r="AF3406">
        <v>0</v>
      </c>
      <c r="AG3406">
        <v>0</v>
      </c>
      <c r="AH3406" t="s">
        <v>116</v>
      </c>
      <c r="AI3406" s="1">
        <v>68747</v>
      </c>
      <c r="AJ3406" s="2">
        <v>0.19</v>
      </c>
      <c r="AK3406" s="1">
        <v>364247</v>
      </c>
      <c r="AL3406" t="s">
        <v>117</v>
      </c>
      <c r="AM3406" t="s">
        <v>376</v>
      </c>
      <c r="AN3406">
        <v>43662</v>
      </c>
      <c r="AO3406">
        <v>1</v>
      </c>
      <c r="AP3406">
        <v>1</v>
      </c>
      <c r="AR3406">
        <v>1</v>
      </c>
      <c r="AS3406" s="1">
        <v>24920</v>
      </c>
      <c r="AT3406" s="1">
        <v>4980</v>
      </c>
      <c r="AU3406" s="1">
        <v>19940</v>
      </c>
      <c r="AV3406">
        <v>80.02</v>
      </c>
      <c r="AX3406" s="1">
        <v>1643.32</v>
      </c>
      <c r="AY3406" t="s">
        <v>6847</v>
      </c>
      <c r="AZ3406" t="s">
        <v>6847</v>
      </c>
      <c r="BE3406" s="3">
        <v>42524</v>
      </c>
      <c r="BF3406" s="1">
        <v>295500</v>
      </c>
      <c r="BG3406" t="s">
        <v>22041</v>
      </c>
      <c r="BH3406" s="1">
        <v>128.87</v>
      </c>
      <c r="BI3406" s="1">
        <v>295500</v>
      </c>
      <c r="BJ3406" s="3">
        <v>42524</v>
      </c>
      <c r="BK3406" t="s">
        <v>123</v>
      </c>
      <c r="BL3406" t="str">
        <f>"2016.387217"</f>
        <v>2016.387217</v>
      </c>
      <c r="BM3406" t="s">
        <v>709</v>
      </c>
      <c r="BO3406" t="s">
        <v>22042</v>
      </c>
      <c r="BS3406">
        <v>30</v>
      </c>
      <c r="BW3406" t="str">
        <f>""</f>
        <v/>
      </c>
      <c r="CH3406" t="str">
        <f>""</f>
        <v/>
      </c>
      <c r="CS3406" t="str">
        <f>""</f>
        <v/>
      </c>
    </row>
    <row r="3407" spans="1:97" x14ac:dyDescent="0.25">
      <c r="A3407" t="s">
        <v>140</v>
      </c>
      <c r="B3407" t="s">
        <v>22043</v>
      </c>
      <c r="C3407" t="s">
        <v>13625</v>
      </c>
      <c r="D3407" t="s">
        <v>22043</v>
      </c>
      <c r="E3407" t="s">
        <v>22044</v>
      </c>
      <c r="F3407" t="s">
        <v>108</v>
      </c>
      <c r="H3407" t="s">
        <v>22045</v>
      </c>
      <c r="I3407" t="s">
        <v>110</v>
      </c>
      <c r="J3407" t="s">
        <v>111</v>
      </c>
      <c r="K3407" t="str">
        <f>"85286"</f>
        <v>85286</v>
      </c>
      <c r="L3407" t="s">
        <v>5429</v>
      </c>
      <c r="M3407" t="s">
        <v>22045</v>
      </c>
      <c r="N3407" t="s">
        <v>110</v>
      </c>
      <c r="O3407" t="s">
        <v>111</v>
      </c>
      <c r="P3407" t="str">
        <f>"85286-6443"</f>
        <v>85286-6443</v>
      </c>
      <c r="Q3407" t="s">
        <v>113</v>
      </c>
      <c r="R3407" t="str">
        <f>"303-76-396"</f>
        <v>303-76-396</v>
      </c>
      <c r="S3407" t="s">
        <v>14691</v>
      </c>
      <c r="T3407" t="s">
        <v>14691</v>
      </c>
      <c r="U3407">
        <v>1598</v>
      </c>
      <c r="V3407">
        <v>0</v>
      </c>
      <c r="W3407">
        <v>3</v>
      </c>
      <c r="X3407">
        <v>1999</v>
      </c>
      <c r="Z3407">
        <v>1</v>
      </c>
      <c r="AB3407">
        <v>0</v>
      </c>
      <c r="AC3407" t="s">
        <v>115</v>
      </c>
      <c r="AD3407">
        <v>2</v>
      </c>
      <c r="AE3407" t="s">
        <v>115</v>
      </c>
      <c r="AF3407">
        <v>0</v>
      </c>
      <c r="AG3407">
        <v>0</v>
      </c>
      <c r="AH3407" t="s">
        <v>116</v>
      </c>
      <c r="AI3407" s="1">
        <v>105424</v>
      </c>
      <c r="AJ3407" s="2">
        <v>0.33</v>
      </c>
      <c r="AK3407" s="1">
        <v>319539</v>
      </c>
      <c r="AL3407" t="s">
        <v>117</v>
      </c>
      <c r="AM3407" t="s">
        <v>118</v>
      </c>
      <c r="AN3407">
        <v>6935</v>
      </c>
      <c r="AO3407">
        <v>0.16</v>
      </c>
      <c r="AP3407">
        <v>1</v>
      </c>
      <c r="AR3407">
        <v>1</v>
      </c>
      <c r="AS3407" s="1">
        <v>23330</v>
      </c>
      <c r="AT3407" s="1">
        <v>4660</v>
      </c>
      <c r="AU3407" s="1">
        <v>18670</v>
      </c>
      <c r="AV3407">
        <v>80.03</v>
      </c>
      <c r="AX3407" s="1">
        <v>1707</v>
      </c>
      <c r="AY3407" t="s">
        <v>6015</v>
      </c>
      <c r="AZ3407" t="s">
        <v>1882</v>
      </c>
      <c r="BA3407" t="s">
        <v>121</v>
      </c>
      <c r="BE3407" s="3">
        <v>41851</v>
      </c>
      <c r="BF3407" s="1">
        <v>226500</v>
      </c>
      <c r="BG3407" t="s">
        <v>22046</v>
      </c>
      <c r="BH3407" s="1">
        <v>141.74</v>
      </c>
      <c r="BI3407" s="1">
        <v>214115</v>
      </c>
      <c r="BJ3407" s="3">
        <v>42576</v>
      </c>
      <c r="BK3407" t="s">
        <v>123</v>
      </c>
      <c r="BL3407" t="str">
        <f>"2016.524200"</f>
        <v>2016.524200</v>
      </c>
      <c r="BM3407" t="s">
        <v>2107</v>
      </c>
      <c r="BO3407" t="s">
        <v>22047</v>
      </c>
      <c r="BS3407">
        <v>30</v>
      </c>
      <c r="BW3407" t="str">
        <f>""</f>
        <v/>
      </c>
      <c r="CH3407" t="str">
        <f>""</f>
        <v/>
      </c>
      <c r="CS3407" t="str">
        <f>""</f>
        <v/>
      </c>
    </row>
    <row r="3408" spans="1:97" x14ac:dyDescent="0.25">
      <c r="A3408" t="s">
        <v>464</v>
      </c>
      <c r="B3408" t="s">
        <v>22048</v>
      </c>
      <c r="C3408" t="s">
        <v>22049</v>
      </c>
      <c r="D3408" t="s">
        <v>22048</v>
      </c>
      <c r="E3408" t="s">
        <v>22050</v>
      </c>
      <c r="F3408" t="s">
        <v>108</v>
      </c>
      <c r="H3408" t="s">
        <v>22051</v>
      </c>
      <c r="I3408" t="s">
        <v>499</v>
      </c>
      <c r="J3408" t="s">
        <v>111</v>
      </c>
      <c r="K3408" t="str">
        <f>"85338"</f>
        <v>85338</v>
      </c>
      <c r="L3408" t="s">
        <v>6481</v>
      </c>
      <c r="M3408" t="s">
        <v>22051</v>
      </c>
      <c r="N3408" t="s">
        <v>499</v>
      </c>
      <c r="O3408" t="s">
        <v>111</v>
      </c>
      <c r="P3408" t="str">
        <f>"85338-2781"</f>
        <v>85338-2781</v>
      </c>
      <c r="Q3408" t="s">
        <v>113</v>
      </c>
      <c r="R3408" t="str">
        <f>"500-96-613"</f>
        <v>500-96-613</v>
      </c>
      <c r="S3408" t="s">
        <v>11223</v>
      </c>
      <c r="U3408">
        <v>2024</v>
      </c>
      <c r="V3408">
        <v>0</v>
      </c>
      <c r="W3408">
        <v>3</v>
      </c>
      <c r="X3408">
        <v>2008</v>
      </c>
      <c r="Z3408">
        <v>1</v>
      </c>
      <c r="AB3408">
        <v>0</v>
      </c>
      <c r="AC3408" t="s">
        <v>115</v>
      </c>
      <c r="AD3408">
        <v>2</v>
      </c>
      <c r="AE3408" t="s">
        <v>115</v>
      </c>
      <c r="AF3408">
        <v>0</v>
      </c>
      <c r="AG3408">
        <v>0</v>
      </c>
      <c r="AH3408" t="s">
        <v>116</v>
      </c>
      <c r="AI3408" s="1">
        <v>62319</v>
      </c>
      <c r="AJ3408" s="2">
        <v>0.23</v>
      </c>
      <c r="AK3408" s="1">
        <v>266619</v>
      </c>
      <c r="AL3408" t="s">
        <v>117</v>
      </c>
      <c r="AM3408" t="s">
        <v>118</v>
      </c>
      <c r="AN3408">
        <v>7444</v>
      </c>
      <c r="AO3408">
        <v>0.17</v>
      </c>
      <c r="AR3408">
        <v>1</v>
      </c>
      <c r="AS3408" s="1">
        <v>18800</v>
      </c>
      <c r="AT3408" s="1">
        <v>3760</v>
      </c>
      <c r="AU3408" s="1">
        <v>15040</v>
      </c>
      <c r="AV3408">
        <v>80</v>
      </c>
      <c r="AX3408" s="1">
        <v>1486.44</v>
      </c>
      <c r="AY3408" t="s">
        <v>6319</v>
      </c>
      <c r="AZ3408" t="s">
        <v>6319</v>
      </c>
      <c r="BA3408" t="s">
        <v>218</v>
      </c>
      <c r="BE3408" s="3">
        <v>42447</v>
      </c>
      <c r="BF3408" s="1">
        <v>200000</v>
      </c>
      <c r="BG3408" t="s">
        <v>22052</v>
      </c>
      <c r="BH3408" s="1">
        <v>98.81</v>
      </c>
      <c r="BI3408" s="1">
        <v>204300</v>
      </c>
      <c r="BJ3408" s="3">
        <v>42447</v>
      </c>
      <c r="BK3408" t="s">
        <v>123</v>
      </c>
      <c r="BL3408" t="str">
        <f>"2016.176456"</f>
        <v>2016.176456</v>
      </c>
      <c r="BM3408" t="s">
        <v>594</v>
      </c>
      <c r="BO3408" t="s">
        <v>22053</v>
      </c>
      <c r="BS3408">
        <v>30</v>
      </c>
      <c r="BW3408" t="str">
        <f>""</f>
        <v/>
      </c>
      <c r="CH3408" t="str">
        <f>""</f>
        <v/>
      </c>
      <c r="CS3408" t="str">
        <f>""</f>
        <v/>
      </c>
    </row>
    <row r="3409" spans="1:97" x14ac:dyDescent="0.25">
      <c r="A3409" t="s">
        <v>894</v>
      </c>
      <c r="B3409" t="s">
        <v>10375</v>
      </c>
      <c r="C3409" t="s">
        <v>22054</v>
      </c>
      <c r="D3409" t="s">
        <v>10375</v>
      </c>
      <c r="E3409" t="s">
        <v>22055</v>
      </c>
      <c r="F3409" t="s">
        <v>108</v>
      </c>
      <c r="H3409" t="s">
        <v>22056</v>
      </c>
      <c r="I3409" t="s">
        <v>5114</v>
      </c>
      <c r="J3409" t="s">
        <v>111</v>
      </c>
      <c r="K3409" t="str">
        <f>"85392"</f>
        <v>85392</v>
      </c>
      <c r="L3409" t="s">
        <v>3430</v>
      </c>
      <c r="M3409" t="s">
        <v>22056</v>
      </c>
      <c r="N3409" t="s">
        <v>5114</v>
      </c>
      <c r="O3409" t="s">
        <v>111</v>
      </c>
      <c r="P3409" t="str">
        <f>"85392-4034"</f>
        <v>85392-4034</v>
      </c>
      <c r="Q3409" t="s">
        <v>113</v>
      </c>
      <c r="R3409" t="str">
        <f>"102-28-707"</f>
        <v>102-28-707</v>
      </c>
      <c r="S3409" t="s">
        <v>10877</v>
      </c>
      <c r="T3409" t="s">
        <v>8083</v>
      </c>
      <c r="U3409">
        <v>2672</v>
      </c>
      <c r="V3409">
        <v>0</v>
      </c>
      <c r="W3409">
        <v>4</v>
      </c>
      <c r="X3409">
        <v>1991</v>
      </c>
      <c r="Z3409">
        <v>2</v>
      </c>
      <c r="AA3409" t="s">
        <v>26</v>
      </c>
      <c r="AB3409">
        <v>0</v>
      </c>
      <c r="AC3409" t="s">
        <v>115</v>
      </c>
      <c r="AD3409">
        <v>3</v>
      </c>
      <c r="AE3409" t="s">
        <v>115</v>
      </c>
      <c r="AF3409">
        <v>0</v>
      </c>
      <c r="AG3409">
        <v>0</v>
      </c>
      <c r="AH3409" t="s">
        <v>116</v>
      </c>
      <c r="AI3409" s="1">
        <v>125018</v>
      </c>
      <c r="AJ3409" s="2">
        <v>0.36</v>
      </c>
      <c r="AK3409" s="1">
        <v>349688</v>
      </c>
      <c r="AL3409" t="s">
        <v>117</v>
      </c>
      <c r="AM3409" t="s">
        <v>118</v>
      </c>
      <c r="AN3409">
        <v>9335</v>
      </c>
      <c r="AO3409">
        <v>0.21</v>
      </c>
      <c r="AP3409">
        <v>1</v>
      </c>
      <c r="AR3409">
        <v>1</v>
      </c>
      <c r="AS3409" s="1">
        <v>24480</v>
      </c>
      <c r="AT3409" s="1">
        <v>4890</v>
      </c>
      <c r="AU3409" s="1">
        <v>19590</v>
      </c>
      <c r="AV3409">
        <v>80.02</v>
      </c>
      <c r="AX3409" s="1">
        <v>2534.46</v>
      </c>
      <c r="AY3409" t="s">
        <v>8084</v>
      </c>
      <c r="AZ3409" t="s">
        <v>8084</v>
      </c>
      <c r="BA3409" t="s">
        <v>5118</v>
      </c>
      <c r="BE3409" s="3">
        <v>41778</v>
      </c>
      <c r="BF3409" s="1">
        <v>233000</v>
      </c>
      <c r="BG3409" t="s">
        <v>22057</v>
      </c>
      <c r="BH3409" s="1">
        <v>87.2</v>
      </c>
      <c r="BI3409" s="1">
        <v>224670</v>
      </c>
      <c r="BJ3409" s="3">
        <v>41778</v>
      </c>
      <c r="BK3409" t="s">
        <v>123</v>
      </c>
      <c r="BL3409" t="str">
        <f>"2014.322522"</f>
        <v>2014.322522</v>
      </c>
      <c r="BM3409" t="s">
        <v>544</v>
      </c>
      <c r="BO3409" t="s">
        <v>22058</v>
      </c>
      <c r="BS3409">
        <v>30</v>
      </c>
      <c r="BW3409" t="str">
        <f>""</f>
        <v/>
      </c>
      <c r="CH3409" t="str">
        <f>""</f>
        <v/>
      </c>
      <c r="CS3409" t="str">
        <f>""</f>
        <v/>
      </c>
    </row>
    <row r="3410" spans="1:97" x14ac:dyDescent="0.25">
      <c r="A3410" t="s">
        <v>22059</v>
      </c>
      <c r="B3410" t="s">
        <v>14280</v>
      </c>
      <c r="E3410" t="s">
        <v>22060</v>
      </c>
      <c r="F3410" t="s">
        <v>108</v>
      </c>
      <c r="H3410" t="s">
        <v>22061</v>
      </c>
      <c r="I3410" t="s">
        <v>167</v>
      </c>
      <c r="J3410" t="s">
        <v>111</v>
      </c>
      <c r="K3410" t="str">
        <f>"85339"</f>
        <v>85339</v>
      </c>
      <c r="L3410" t="s">
        <v>6788</v>
      </c>
      <c r="M3410" t="s">
        <v>22061</v>
      </c>
      <c r="N3410" t="s">
        <v>167</v>
      </c>
      <c r="O3410" t="s">
        <v>111</v>
      </c>
      <c r="P3410" t="str">
        <f>"85339-6290"</f>
        <v>85339-6290</v>
      </c>
      <c r="Q3410" t="s">
        <v>113</v>
      </c>
      <c r="R3410" t="str">
        <f>"104-78-229"</f>
        <v>104-78-229</v>
      </c>
      <c r="S3410" t="s">
        <v>22062</v>
      </c>
      <c r="U3410">
        <v>3033</v>
      </c>
      <c r="V3410">
        <v>0</v>
      </c>
      <c r="W3410">
        <v>4</v>
      </c>
      <c r="X3410">
        <v>2006</v>
      </c>
      <c r="Z3410">
        <v>2</v>
      </c>
      <c r="AA3410" t="s">
        <v>26</v>
      </c>
      <c r="AB3410">
        <v>0</v>
      </c>
      <c r="AC3410" t="s">
        <v>115</v>
      </c>
      <c r="AD3410">
        <v>2</v>
      </c>
      <c r="AE3410" t="s">
        <v>115</v>
      </c>
      <c r="AF3410">
        <v>0</v>
      </c>
      <c r="AG3410">
        <v>0</v>
      </c>
      <c r="AH3410" t="s">
        <v>116</v>
      </c>
      <c r="AI3410" s="1">
        <v>77622</v>
      </c>
      <c r="AJ3410" s="2">
        <v>0.25</v>
      </c>
      <c r="AK3410" s="1">
        <v>312472</v>
      </c>
      <c r="AL3410" t="s">
        <v>117</v>
      </c>
      <c r="AM3410" t="s">
        <v>171</v>
      </c>
      <c r="AN3410">
        <v>6569</v>
      </c>
      <c r="AO3410">
        <v>0.15</v>
      </c>
      <c r="AR3410">
        <v>1</v>
      </c>
      <c r="AS3410" s="1">
        <v>21350</v>
      </c>
      <c r="AT3410" s="1">
        <v>4270</v>
      </c>
      <c r="AU3410" s="1">
        <v>17080</v>
      </c>
      <c r="AV3410">
        <v>80</v>
      </c>
      <c r="AX3410" s="1">
        <v>1891.84</v>
      </c>
      <c r="AY3410" t="s">
        <v>5777</v>
      </c>
      <c r="AZ3410" t="s">
        <v>5777</v>
      </c>
      <c r="BA3410" t="s">
        <v>173</v>
      </c>
      <c r="BE3410" s="3">
        <v>41850</v>
      </c>
      <c r="BF3410" s="1">
        <v>225000</v>
      </c>
      <c r="BG3410" t="s">
        <v>22063</v>
      </c>
      <c r="BH3410" s="1">
        <v>74.180000000000007</v>
      </c>
      <c r="BI3410" s="1">
        <v>234850</v>
      </c>
      <c r="BJ3410" s="3">
        <v>42426</v>
      </c>
      <c r="BK3410" t="s">
        <v>123</v>
      </c>
      <c r="BL3410" t="str">
        <f>"2016.120363"</f>
        <v>2016.120363</v>
      </c>
      <c r="BM3410" t="s">
        <v>750</v>
      </c>
      <c r="BO3410" t="s">
        <v>22064</v>
      </c>
      <c r="BS3410">
        <v>25</v>
      </c>
      <c r="BW3410" t="str">
        <f>""</f>
        <v/>
      </c>
      <c r="CH3410" t="str">
        <f>""</f>
        <v/>
      </c>
      <c r="CS3410" t="str">
        <f>""</f>
        <v/>
      </c>
    </row>
    <row r="3411" spans="1:97" x14ac:dyDescent="0.25">
      <c r="B3411" t="s">
        <v>22065</v>
      </c>
      <c r="E3411" t="s">
        <v>22066</v>
      </c>
      <c r="F3411" t="s">
        <v>139</v>
      </c>
      <c r="H3411" t="s">
        <v>22067</v>
      </c>
      <c r="I3411" t="s">
        <v>203</v>
      </c>
      <c r="J3411" t="s">
        <v>111</v>
      </c>
      <c r="K3411" t="str">
        <f>"85295"</f>
        <v>85295</v>
      </c>
      <c r="L3411" t="s">
        <v>7125</v>
      </c>
      <c r="M3411" t="s">
        <v>22068</v>
      </c>
      <c r="N3411" t="s">
        <v>188</v>
      </c>
      <c r="O3411" t="s">
        <v>111</v>
      </c>
      <c r="P3411" t="str">
        <f>"85142-4989"</f>
        <v>85142-4989</v>
      </c>
      <c r="Q3411" t="s">
        <v>113</v>
      </c>
      <c r="R3411" t="str">
        <f>"304-80-564"</f>
        <v>304-80-564</v>
      </c>
      <c r="S3411" t="s">
        <v>7127</v>
      </c>
      <c r="T3411" t="s">
        <v>7128</v>
      </c>
      <c r="U3411">
        <v>1720</v>
      </c>
      <c r="V3411">
        <v>0</v>
      </c>
      <c r="W3411">
        <v>3</v>
      </c>
      <c r="X3411">
        <v>2013</v>
      </c>
      <c r="Z3411">
        <v>2</v>
      </c>
      <c r="AB3411">
        <v>0</v>
      </c>
      <c r="AC3411" t="s">
        <v>115</v>
      </c>
      <c r="AD3411">
        <v>2</v>
      </c>
      <c r="AE3411" t="s">
        <v>115</v>
      </c>
      <c r="AF3411">
        <v>0</v>
      </c>
      <c r="AG3411">
        <v>0</v>
      </c>
      <c r="AH3411" t="s">
        <v>116</v>
      </c>
      <c r="AI3411" s="1">
        <v>65099</v>
      </c>
      <c r="AJ3411" s="2">
        <v>0.22</v>
      </c>
      <c r="AK3411" s="1">
        <v>297524</v>
      </c>
      <c r="AL3411" t="s">
        <v>117</v>
      </c>
      <c r="AM3411" t="s">
        <v>1315</v>
      </c>
      <c r="AN3411">
        <v>2880</v>
      </c>
      <c r="AO3411">
        <v>0.66</v>
      </c>
      <c r="AR3411">
        <v>1</v>
      </c>
      <c r="AS3411" s="1">
        <v>20120</v>
      </c>
      <c r="AT3411" s="1">
        <v>4020</v>
      </c>
      <c r="AU3411" s="1">
        <v>16100</v>
      </c>
      <c r="AV3411">
        <v>80.02</v>
      </c>
      <c r="AX3411" s="1">
        <v>2094.92</v>
      </c>
      <c r="AY3411" t="s">
        <v>5087</v>
      </c>
      <c r="AZ3411" t="s">
        <v>5087</v>
      </c>
      <c r="BA3411" t="s">
        <v>473</v>
      </c>
      <c r="BB3411" s="3">
        <v>43229</v>
      </c>
      <c r="BC3411" s="1">
        <v>0</v>
      </c>
      <c r="BD3411" t="s">
        <v>247</v>
      </c>
      <c r="BE3411" s="3">
        <v>41649</v>
      </c>
      <c r="BF3411" s="1">
        <v>244291</v>
      </c>
      <c r="BG3411" t="s">
        <v>749</v>
      </c>
      <c r="BH3411" s="1">
        <v>142.03</v>
      </c>
      <c r="BI3411" s="1">
        <v>232425</v>
      </c>
      <c r="BJ3411" s="3">
        <v>42303</v>
      </c>
      <c r="BK3411" t="s">
        <v>123</v>
      </c>
      <c r="BL3411" t="str">
        <f>"2015.767103"</f>
        <v>2015.767103</v>
      </c>
      <c r="BM3411" t="s">
        <v>1695</v>
      </c>
      <c r="BN3411" t="s">
        <v>3082</v>
      </c>
      <c r="BO3411" t="s">
        <v>22069</v>
      </c>
      <c r="BS3411">
        <v>30</v>
      </c>
      <c r="BW3411" t="str">
        <f>""</f>
        <v/>
      </c>
      <c r="CH3411" t="str">
        <f>""</f>
        <v/>
      </c>
      <c r="CS3411" t="str">
        <f>""</f>
        <v/>
      </c>
    </row>
    <row r="3412" spans="1:97" x14ac:dyDescent="0.25">
      <c r="B3412" t="s">
        <v>22070</v>
      </c>
      <c r="E3412" t="s">
        <v>22071</v>
      </c>
      <c r="F3412" t="s">
        <v>108</v>
      </c>
      <c r="H3412" t="s">
        <v>22072</v>
      </c>
      <c r="I3412" t="s">
        <v>499</v>
      </c>
      <c r="J3412" t="s">
        <v>111</v>
      </c>
      <c r="K3412" t="str">
        <f>"85338"</f>
        <v>85338</v>
      </c>
      <c r="L3412" t="s">
        <v>6308</v>
      </c>
      <c r="M3412" t="s">
        <v>22072</v>
      </c>
      <c r="N3412" t="s">
        <v>499</v>
      </c>
      <c r="O3412" t="s">
        <v>111</v>
      </c>
      <c r="P3412" t="str">
        <f>"85338-8147"</f>
        <v>85338-8147</v>
      </c>
      <c r="Q3412" t="s">
        <v>113</v>
      </c>
      <c r="R3412" t="str">
        <f>"400-83-302"</f>
        <v>400-83-302</v>
      </c>
      <c r="S3412" t="s">
        <v>6774</v>
      </c>
      <c r="T3412" t="s">
        <v>6775</v>
      </c>
      <c r="U3412">
        <v>2489</v>
      </c>
      <c r="V3412">
        <v>0</v>
      </c>
      <c r="W3412">
        <v>4</v>
      </c>
      <c r="X3412">
        <v>2014</v>
      </c>
      <c r="Z3412">
        <v>1</v>
      </c>
      <c r="AB3412">
        <v>0</v>
      </c>
      <c r="AC3412" t="s">
        <v>115</v>
      </c>
      <c r="AD3412">
        <v>2</v>
      </c>
      <c r="AE3412" t="s">
        <v>115</v>
      </c>
      <c r="AF3412">
        <v>0</v>
      </c>
      <c r="AG3412">
        <v>0</v>
      </c>
      <c r="AH3412" t="s">
        <v>116</v>
      </c>
      <c r="AI3412" s="1">
        <v>136394</v>
      </c>
      <c r="AJ3412" s="2">
        <v>0.33</v>
      </c>
      <c r="AK3412" s="1">
        <v>415406</v>
      </c>
      <c r="AL3412" t="s">
        <v>117</v>
      </c>
      <c r="AM3412" t="s">
        <v>118</v>
      </c>
      <c r="AN3412">
        <v>8937</v>
      </c>
      <c r="AO3412">
        <v>0.2</v>
      </c>
      <c r="AR3412">
        <v>1</v>
      </c>
      <c r="AS3412" s="1">
        <v>27920</v>
      </c>
      <c r="AT3412" s="1">
        <v>5580</v>
      </c>
      <c r="AU3412" s="1">
        <v>22340</v>
      </c>
      <c r="AV3412">
        <v>80.010000000000005</v>
      </c>
      <c r="AX3412" s="1">
        <v>2604.46</v>
      </c>
      <c r="AY3412" t="s">
        <v>1246</v>
      </c>
      <c r="AZ3412" t="s">
        <v>1246</v>
      </c>
      <c r="BA3412" t="s">
        <v>1247</v>
      </c>
      <c r="BB3412" s="3">
        <v>43313</v>
      </c>
      <c r="BC3412" s="1">
        <v>0</v>
      </c>
      <c r="BD3412" t="s">
        <v>247</v>
      </c>
      <c r="BE3412" s="3">
        <v>41957</v>
      </c>
      <c r="BF3412" s="1">
        <v>289357</v>
      </c>
      <c r="BG3412" t="s">
        <v>2780</v>
      </c>
      <c r="BH3412" s="1">
        <v>116.25</v>
      </c>
      <c r="BI3412" s="1">
        <v>279012</v>
      </c>
      <c r="BJ3412" s="3">
        <v>41957</v>
      </c>
      <c r="BK3412" t="s">
        <v>123</v>
      </c>
      <c r="BL3412" t="str">
        <f>"2014.753781"</f>
        <v>2014.753781</v>
      </c>
      <c r="BM3412" t="s">
        <v>1554</v>
      </c>
      <c r="BN3412" t="s">
        <v>22073</v>
      </c>
      <c r="BO3412" t="s">
        <v>22074</v>
      </c>
      <c r="BS3412">
        <v>30</v>
      </c>
      <c r="BW3412" t="str">
        <f>""</f>
        <v/>
      </c>
      <c r="CH3412" t="str">
        <f>""</f>
        <v/>
      </c>
      <c r="CS3412" t="str">
        <f>""</f>
        <v/>
      </c>
    </row>
    <row r="3413" spans="1:97" x14ac:dyDescent="0.25">
      <c r="A3413" t="s">
        <v>2374</v>
      </c>
      <c r="B3413" t="s">
        <v>8094</v>
      </c>
      <c r="C3413" t="s">
        <v>327</v>
      </c>
      <c r="D3413" t="s">
        <v>3029</v>
      </c>
      <c r="E3413" t="s">
        <v>22075</v>
      </c>
      <c r="F3413" t="s">
        <v>108</v>
      </c>
      <c r="H3413" t="s">
        <v>22076</v>
      </c>
      <c r="I3413" t="s">
        <v>1936</v>
      </c>
      <c r="J3413" t="s">
        <v>111</v>
      </c>
      <c r="K3413" t="str">
        <f>"85251"</f>
        <v>85251</v>
      </c>
      <c r="L3413" t="s">
        <v>2857</v>
      </c>
      <c r="M3413" t="s">
        <v>22076</v>
      </c>
      <c r="N3413" t="s">
        <v>1936</v>
      </c>
      <c r="O3413" t="s">
        <v>111</v>
      </c>
      <c r="P3413" t="str">
        <f>"85251-5824"</f>
        <v>85251-5824</v>
      </c>
      <c r="Q3413" t="s">
        <v>113</v>
      </c>
      <c r="R3413" t="str">
        <f>"130-48-024"</f>
        <v>130-48-024</v>
      </c>
      <c r="S3413" t="s">
        <v>22077</v>
      </c>
      <c r="U3413">
        <v>1416</v>
      </c>
      <c r="V3413">
        <v>0</v>
      </c>
      <c r="W3413">
        <v>2</v>
      </c>
      <c r="X3413">
        <v>1958</v>
      </c>
      <c r="Z3413">
        <v>1</v>
      </c>
      <c r="AA3413" t="s">
        <v>26</v>
      </c>
      <c r="AB3413">
        <v>0</v>
      </c>
      <c r="AC3413" t="s">
        <v>5188</v>
      </c>
      <c r="AD3413">
        <v>1</v>
      </c>
      <c r="AE3413" t="s">
        <v>5188</v>
      </c>
      <c r="AF3413">
        <v>0</v>
      </c>
      <c r="AG3413">
        <v>0</v>
      </c>
      <c r="AH3413" t="s">
        <v>116</v>
      </c>
      <c r="AI3413" s="1">
        <v>42114</v>
      </c>
      <c r="AJ3413" s="2">
        <v>0.1</v>
      </c>
      <c r="AK3413" s="1">
        <v>427481</v>
      </c>
      <c r="AL3413" t="s">
        <v>117</v>
      </c>
      <c r="AM3413" t="s">
        <v>393</v>
      </c>
      <c r="AN3413">
        <v>6683</v>
      </c>
      <c r="AO3413">
        <v>0.15</v>
      </c>
      <c r="AP3413">
        <v>1</v>
      </c>
      <c r="AR3413">
        <v>1</v>
      </c>
      <c r="AS3413" s="1">
        <v>26650</v>
      </c>
      <c r="AT3413" s="1">
        <v>5330</v>
      </c>
      <c r="AU3413" s="1">
        <v>21320</v>
      </c>
      <c r="AV3413">
        <v>80</v>
      </c>
      <c r="AX3413" s="1">
        <v>1302.2</v>
      </c>
      <c r="AY3413" t="s">
        <v>7031</v>
      </c>
      <c r="AZ3413" t="s">
        <v>5420</v>
      </c>
      <c r="BA3413" t="s">
        <v>5421</v>
      </c>
      <c r="BB3413" s="3">
        <v>42643</v>
      </c>
      <c r="BD3413" t="s">
        <v>240</v>
      </c>
      <c r="BE3413" s="3">
        <v>41802</v>
      </c>
      <c r="BF3413" s="1">
        <v>385000</v>
      </c>
      <c r="BG3413" t="s">
        <v>22078</v>
      </c>
      <c r="BH3413" s="1">
        <v>271.89</v>
      </c>
      <c r="BI3413" s="1">
        <v>385367</v>
      </c>
      <c r="BJ3413" s="3">
        <v>42643</v>
      </c>
      <c r="BK3413" t="s">
        <v>123</v>
      </c>
      <c r="BL3413" t="str">
        <f>"2016.713704"</f>
        <v>2016.713704</v>
      </c>
      <c r="BM3413" t="s">
        <v>1038</v>
      </c>
      <c r="BO3413" t="s">
        <v>22079</v>
      </c>
      <c r="BS3413">
        <v>15</v>
      </c>
      <c r="BW3413" t="str">
        <f>""</f>
        <v/>
      </c>
      <c r="CH3413" t="str">
        <f>""</f>
        <v/>
      </c>
      <c r="CS3413" t="str">
        <f>""</f>
        <v/>
      </c>
    </row>
    <row r="3414" spans="1:97" x14ac:dyDescent="0.25">
      <c r="A3414" t="s">
        <v>894</v>
      </c>
      <c r="B3414" t="s">
        <v>22080</v>
      </c>
      <c r="C3414" t="s">
        <v>2104</v>
      </c>
      <c r="D3414" t="s">
        <v>22081</v>
      </c>
      <c r="E3414" t="s">
        <v>22082</v>
      </c>
      <c r="F3414" t="s">
        <v>108</v>
      </c>
      <c r="H3414" t="s">
        <v>22083</v>
      </c>
      <c r="I3414" t="s">
        <v>203</v>
      </c>
      <c r="J3414" t="s">
        <v>111</v>
      </c>
      <c r="K3414" t="str">
        <f>"85234"</f>
        <v>85234</v>
      </c>
      <c r="L3414" t="s">
        <v>3108</v>
      </c>
      <c r="M3414" t="s">
        <v>22083</v>
      </c>
      <c r="N3414" t="s">
        <v>203</v>
      </c>
      <c r="O3414" t="s">
        <v>111</v>
      </c>
      <c r="P3414" t="str">
        <f>"85234-7557"</f>
        <v>85234-7557</v>
      </c>
      <c r="Q3414" t="s">
        <v>113</v>
      </c>
      <c r="R3414" t="str">
        <f>"304-06-543"</f>
        <v>304-06-543</v>
      </c>
      <c r="S3414" t="s">
        <v>7211</v>
      </c>
      <c r="T3414" t="s">
        <v>7212</v>
      </c>
      <c r="U3414">
        <v>1539</v>
      </c>
      <c r="V3414">
        <v>0</v>
      </c>
      <c r="W3414">
        <v>3</v>
      </c>
      <c r="X3414">
        <v>1994</v>
      </c>
      <c r="Z3414">
        <v>1</v>
      </c>
      <c r="AB3414">
        <v>0</v>
      </c>
      <c r="AC3414" t="s">
        <v>115</v>
      </c>
      <c r="AD3414">
        <v>2</v>
      </c>
      <c r="AE3414" t="s">
        <v>115</v>
      </c>
      <c r="AF3414">
        <v>0</v>
      </c>
      <c r="AG3414">
        <v>0</v>
      </c>
      <c r="AH3414" t="s">
        <v>116</v>
      </c>
      <c r="AI3414" s="1">
        <v>56956</v>
      </c>
      <c r="AJ3414" s="2">
        <v>0.19</v>
      </c>
      <c r="AK3414" s="1">
        <v>296956</v>
      </c>
      <c r="AL3414" t="s">
        <v>117</v>
      </c>
      <c r="AM3414" t="s">
        <v>393</v>
      </c>
      <c r="AN3414">
        <v>7658</v>
      </c>
      <c r="AO3414">
        <v>0.18</v>
      </c>
      <c r="AP3414">
        <v>1</v>
      </c>
      <c r="AR3414">
        <v>1</v>
      </c>
      <c r="AS3414" s="1">
        <v>19980</v>
      </c>
      <c r="AT3414" s="1">
        <v>3990</v>
      </c>
      <c r="AU3414" s="1">
        <v>15990</v>
      </c>
      <c r="AV3414">
        <v>80.03</v>
      </c>
      <c r="AX3414" s="1">
        <v>1300.5999999999999</v>
      </c>
      <c r="AY3414" t="s">
        <v>7213</v>
      </c>
      <c r="AZ3414" t="s">
        <v>571</v>
      </c>
      <c r="BA3414" t="s">
        <v>521</v>
      </c>
      <c r="BE3414" s="3">
        <v>42234</v>
      </c>
      <c r="BF3414" s="1">
        <v>240000</v>
      </c>
      <c r="BG3414" t="s">
        <v>22084</v>
      </c>
      <c r="BH3414" s="1">
        <v>155.94999999999999</v>
      </c>
      <c r="BI3414" s="1">
        <v>240000</v>
      </c>
      <c r="BJ3414" s="3">
        <v>42234</v>
      </c>
      <c r="BK3414" t="s">
        <v>123</v>
      </c>
      <c r="BL3414" t="str">
        <f>"2015.597943"</f>
        <v>2015.597943</v>
      </c>
      <c r="BM3414" t="s">
        <v>1185</v>
      </c>
      <c r="BO3414" t="s">
        <v>22085</v>
      </c>
      <c r="BP3414" t="s">
        <v>22086</v>
      </c>
      <c r="BS3414">
        <v>30</v>
      </c>
      <c r="BW3414" t="str">
        <f>""</f>
        <v/>
      </c>
      <c r="CH3414" t="str">
        <f>""</f>
        <v/>
      </c>
      <c r="CS3414" t="str">
        <f>""</f>
        <v/>
      </c>
    </row>
    <row r="3415" spans="1:97" x14ac:dyDescent="0.25">
      <c r="A3415" t="s">
        <v>548</v>
      </c>
      <c r="B3415" t="s">
        <v>22087</v>
      </c>
      <c r="C3415" t="s">
        <v>1416</v>
      </c>
      <c r="D3415" t="s">
        <v>22087</v>
      </c>
      <c r="E3415" t="s">
        <v>22088</v>
      </c>
      <c r="F3415" t="s">
        <v>108</v>
      </c>
      <c r="H3415" t="s">
        <v>22089</v>
      </c>
      <c r="I3415" t="s">
        <v>225</v>
      </c>
      <c r="J3415" t="s">
        <v>111</v>
      </c>
      <c r="K3415" t="str">
        <f>"85208"</f>
        <v>85208</v>
      </c>
      <c r="L3415" t="s">
        <v>2875</v>
      </c>
      <c r="M3415" t="s">
        <v>22089</v>
      </c>
      <c r="N3415" t="s">
        <v>225</v>
      </c>
      <c r="O3415" t="s">
        <v>111</v>
      </c>
      <c r="P3415" t="str">
        <f>"85208-2737"</f>
        <v>85208-2737</v>
      </c>
      <c r="Q3415" t="s">
        <v>113</v>
      </c>
      <c r="R3415" t="str">
        <f>"218-64-533"</f>
        <v>218-64-533</v>
      </c>
      <c r="S3415" t="s">
        <v>22090</v>
      </c>
      <c r="T3415" t="s">
        <v>22091</v>
      </c>
      <c r="U3415">
        <v>2553</v>
      </c>
      <c r="V3415">
        <v>0</v>
      </c>
      <c r="W3415">
        <v>4</v>
      </c>
      <c r="X3415">
        <v>1994</v>
      </c>
      <c r="Z3415">
        <v>2</v>
      </c>
      <c r="AA3415" t="s">
        <v>26</v>
      </c>
      <c r="AB3415">
        <v>0</v>
      </c>
      <c r="AC3415" t="s">
        <v>115</v>
      </c>
      <c r="AD3415">
        <v>3</v>
      </c>
      <c r="AE3415" t="s">
        <v>115</v>
      </c>
      <c r="AF3415">
        <v>0</v>
      </c>
      <c r="AG3415">
        <v>0</v>
      </c>
      <c r="AH3415" t="s">
        <v>116</v>
      </c>
      <c r="AI3415" s="1">
        <v>51769</v>
      </c>
      <c r="AJ3415" s="2">
        <v>0.14000000000000001</v>
      </c>
      <c r="AK3415" s="1">
        <v>368383</v>
      </c>
      <c r="AL3415" t="s">
        <v>117</v>
      </c>
      <c r="AM3415" t="s">
        <v>191</v>
      </c>
      <c r="AN3415">
        <v>9927</v>
      </c>
      <c r="AO3415">
        <v>0.23</v>
      </c>
      <c r="AP3415">
        <v>1</v>
      </c>
      <c r="AR3415">
        <v>1</v>
      </c>
      <c r="AS3415" s="1">
        <v>25870</v>
      </c>
      <c r="AT3415" s="1">
        <v>5170</v>
      </c>
      <c r="AU3415" s="1">
        <v>20700</v>
      </c>
      <c r="AV3415">
        <v>80.02</v>
      </c>
      <c r="AX3415" s="1">
        <v>2026.44</v>
      </c>
      <c r="AY3415" t="s">
        <v>12506</v>
      </c>
      <c r="AZ3415" t="s">
        <v>231</v>
      </c>
      <c r="BA3415" t="s">
        <v>232</v>
      </c>
      <c r="BE3415" s="3">
        <v>42472</v>
      </c>
      <c r="BF3415" s="1">
        <v>314000</v>
      </c>
      <c r="BG3415" t="s">
        <v>22092</v>
      </c>
      <c r="BH3415" s="1">
        <v>122.99</v>
      </c>
      <c r="BI3415" s="1">
        <v>316614</v>
      </c>
      <c r="BJ3415" s="3">
        <v>42472</v>
      </c>
      <c r="BK3415" t="s">
        <v>123</v>
      </c>
      <c r="BL3415" t="str">
        <f>"2016.241404"</f>
        <v>2016.241404</v>
      </c>
      <c r="BM3415" t="s">
        <v>1287</v>
      </c>
      <c r="BO3415" t="s">
        <v>22093</v>
      </c>
      <c r="BS3415">
        <v>30</v>
      </c>
      <c r="BW3415" t="str">
        <f>""</f>
        <v/>
      </c>
      <c r="CH3415" t="str">
        <f>""</f>
        <v/>
      </c>
      <c r="CS3415" t="str">
        <f>""</f>
        <v/>
      </c>
    </row>
    <row r="3416" spans="1:97" x14ac:dyDescent="0.25">
      <c r="A3416" t="s">
        <v>1295</v>
      </c>
      <c r="B3416" t="s">
        <v>3333</v>
      </c>
      <c r="C3416" t="s">
        <v>22094</v>
      </c>
      <c r="D3416" t="s">
        <v>3333</v>
      </c>
      <c r="E3416" t="s">
        <v>22095</v>
      </c>
      <c r="F3416" t="s">
        <v>108</v>
      </c>
      <c r="H3416" t="s">
        <v>22096</v>
      </c>
      <c r="I3416" t="s">
        <v>1397</v>
      </c>
      <c r="J3416" t="s">
        <v>111</v>
      </c>
      <c r="K3416" t="str">
        <f>"85331"</f>
        <v>85331</v>
      </c>
      <c r="L3416" t="s">
        <v>6035</v>
      </c>
      <c r="M3416" t="s">
        <v>22096</v>
      </c>
      <c r="N3416" t="s">
        <v>1397</v>
      </c>
      <c r="O3416" t="s">
        <v>111</v>
      </c>
      <c r="P3416" t="str">
        <f>"85331-3880"</f>
        <v>85331-3880</v>
      </c>
      <c r="Q3416" t="s">
        <v>113</v>
      </c>
      <c r="R3416" t="str">
        <f>"211-88-188"</f>
        <v>211-88-188</v>
      </c>
      <c r="S3416" t="s">
        <v>22097</v>
      </c>
      <c r="U3416">
        <v>1674</v>
      </c>
      <c r="V3416">
        <v>0</v>
      </c>
      <c r="W3416">
        <v>3</v>
      </c>
      <c r="X3416">
        <v>1998</v>
      </c>
      <c r="Z3416">
        <v>2</v>
      </c>
      <c r="AA3416" t="s">
        <v>26</v>
      </c>
      <c r="AB3416">
        <v>0</v>
      </c>
      <c r="AC3416" t="s">
        <v>115</v>
      </c>
      <c r="AD3416">
        <v>2</v>
      </c>
      <c r="AE3416" t="s">
        <v>115</v>
      </c>
      <c r="AF3416">
        <v>0</v>
      </c>
      <c r="AG3416">
        <v>0</v>
      </c>
      <c r="AH3416" t="s">
        <v>116</v>
      </c>
      <c r="AI3416" s="1">
        <v>83404</v>
      </c>
      <c r="AJ3416" s="2">
        <v>0.24</v>
      </c>
      <c r="AK3416" s="1">
        <v>345904</v>
      </c>
      <c r="AL3416" t="s">
        <v>117</v>
      </c>
      <c r="AM3416" t="s">
        <v>191</v>
      </c>
      <c r="AN3416">
        <v>4200</v>
      </c>
      <c r="AO3416">
        <v>0.96</v>
      </c>
      <c r="AP3416">
        <v>1</v>
      </c>
      <c r="AR3416">
        <v>1</v>
      </c>
      <c r="AS3416" s="1">
        <v>24020</v>
      </c>
      <c r="AT3416" s="1">
        <v>4800</v>
      </c>
      <c r="AU3416" s="1">
        <v>19220</v>
      </c>
      <c r="AV3416">
        <v>80.02</v>
      </c>
      <c r="AX3416" s="1">
        <v>1432.42</v>
      </c>
      <c r="AY3416" t="s">
        <v>7763</v>
      </c>
      <c r="AZ3416" t="s">
        <v>1402</v>
      </c>
      <c r="BA3416" t="s">
        <v>1403</v>
      </c>
      <c r="BE3416" s="3">
        <v>42060</v>
      </c>
      <c r="BF3416" s="1">
        <v>262500</v>
      </c>
      <c r="BG3416" t="s">
        <v>22098</v>
      </c>
      <c r="BH3416" s="1">
        <v>156.81</v>
      </c>
      <c r="BI3416" s="1">
        <v>262500</v>
      </c>
      <c r="BJ3416" s="3">
        <v>42060</v>
      </c>
      <c r="BK3416" t="s">
        <v>123</v>
      </c>
      <c r="BL3416" t="str">
        <f>"2015.123764"</f>
        <v>2015.123764</v>
      </c>
      <c r="BM3416" t="s">
        <v>1038</v>
      </c>
      <c r="BO3416" t="s">
        <v>22099</v>
      </c>
      <c r="BS3416">
        <v>30</v>
      </c>
      <c r="BW3416" t="str">
        <f>""</f>
        <v/>
      </c>
      <c r="CH3416" t="str">
        <f>""</f>
        <v/>
      </c>
      <c r="CS3416" t="str">
        <f>""</f>
        <v/>
      </c>
    </row>
    <row r="3417" spans="1:97" x14ac:dyDescent="0.25">
      <c r="A3417" t="s">
        <v>152</v>
      </c>
      <c r="B3417" t="s">
        <v>22100</v>
      </c>
      <c r="E3417" t="s">
        <v>22101</v>
      </c>
      <c r="F3417" t="s">
        <v>108</v>
      </c>
      <c r="H3417" t="s">
        <v>22102</v>
      </c>
      <c r="I3417" t="s">
        <v>390</v>
      </c>
      <c r="J3417" t="s">
        <v>111</v>
      </c>
      <c r="K3417" t="str">
        <f>"85040"</f>
        <v>85040</v>
      </c>
      <c r="L3417" t="s">
        <v>15921</v>
      </c>
      <c r="M3417" t="s">
        <v>22102</v>
      </c>
      <c r="N3417" t="s">
        <v>390</v>
      </c>
      <c r="O3417" t="s">
        <v>111</v>
      </c>
      <c r="P3417" t="str">
        <f>"85040-3490"</f>
        <v>85040-3490</v>
      </c>
      <c r="Q3417" t="s">
        <v>113</v>
      </c>
      <c r="R3417" t="str">
        <f>"122-52-476"</f>
        <v>122-52-476</v>
      </c>
      <c r="S3417" t="s">
        <v>15922</v>
      </c>
      <c r="T3417" t="s">
        <v>15923</v>
      </c>
      <c r="U3417">
        <v>2085</v>
      </c>
      <c r="V3417">
        <v>0</v>
      </c>
      <c r="W3417">
        <v>4</v>
      </c>
      <c r="X3417">
        <v>2006</v>
      </c>
      <c r="Z3417">
        <v>2</v>
      </c>
      <c r="AB3417">
        <v>0</v>
      </c>
      <c r="AC3417" t="s">
        <v>115</v>
      </c>
      <c r="AD3417">
        <v>2</v>
      </c>
      <c r="AE3417" t="s">
        <v>115</v>
      </c>
      <c r="AF3417">
        <v>0</v>
      </c>
      <c r="AG3417">
        <v>0</v>
      </c>
      <c r="AH3417" t="s">
        <v>116</v>
      </c>
      <c r="AI3417" s="1">
        <v>64145</v>
      </c>
      <c r="AJ3417" s="2">
        <v>0.22</v>
      </c>
      <c r="AK3417" s="1">
        <v>286240</v>
      </c>
      <c r="AL3417" t="s">
        <v>117</v>
      </c>
      <c r="AM3417" t="s">
        <v>1315</v>
      </c>
      <c r="AN3417">
        <v>5508</v>
      </c>
      <c r="AO3417">
        <v>0.13</v>
      </c>
      <c r="AR3417">
        <v>1</v>
      </c>
      <c r="AS3417" s="1">
        <v>19470</v>
      </c>
      <c r="AT3417" s="1">
        <v>3890</v>
      </c>
      <c r="AU3417" s="1">
        <v>15580</v>
      </c>
      <c r="AV3417">
        <v>80.02</v>
      </c>
      <c r="AX3417" s="1">
        <v>2425.66</v>
      </c>
      <c r="AY3417" t="s">
        <v>5251</v>
      </c>
      <c r="AZ3417" t="s">
        <v>5251</v>
      </c>
      <c r="BA3417" t="s">
        <v>2860</v>
      </c>
      <c r="BE3417" s="3">
        <v>42278</v>
      </c>
      <c r="BF3417" s="1">
        <v>215000</v>
      </c>
      <c r="BG3417" t="s">
        <v>22103</v>
      </c>
      <c r="BH3417" s="1">
        <v>103.12</v>
      </c>
      <c r="BI3417" s="1">
        <v>222095</v>
      </c>
      <c r="BJ3417" s="3">
        <v>42278</v>
      </c>
      <c r="BK3417" t="s">
        <v>123</v>
      </c>
      <c r="BL3417" t="str">
        <f>"2015.709409"</f>
        <v>2015.709409</v>
      </c>
      <c r="BM3417" t="s">
        <v>544</v>
      </c>
      <c r="BO3417" t="s">
        <v>22104</v>
      </c>
      <c r="BS3417">
        <v>30</v>
      </c>
      <c r="BW3417" t="str">
        <f>""</f>
        <v/>
      </c>
      <c r="CH3417" t="str">
        <f>""</f>
        <v/>
      </c>
      <c r="CS3417" t="str">
        <f>""</f>
        <v/>
      </c>
    </row>
    <row r="3418" spans="1:97" x14ac:dyDescent="0.25">
      <c r="A3418" t="s">
        <v>22105</v>
      </c>
      <c r="B3418" t="s">
        <v>4874</v>
      </c>
      <c r="C3418" t="s">
        <v>484</v>
      </c>
      <c r="D3418" t="s">
        <v>4874</v>
      </c>
      <c r="E3418" t="s">
        <v>22106</v>
      </c>
      <c r="F3418" t="s">
        <v>108</v>
      </c>
      <c r="H3418" t="s">
        <v>22107</v>
      </c>
      <c r="I3418" t="s">
        <v>390</v>
      </c>
      <c r="J3418" t="s">
        <v>111</v>
      </c>
      <c r="K3418" t="str">
        <f>"85044"</f>
        <v>85044</v>
      </c>
      <c r="L3418" t="s">
        <v>8034</v>
      </c>
      <c r="M3418" t="s">
        <v>22107</v>
      </c>
      <c r="N3418" t="s">
        <v>390</v>
      </c>
      <c r="O3418" t="s">
        <v>111</v>
      </c>
      <c r="P3418" t="str">
        <f>"85044-1901"</f>
        <v>85044-1901</v>
      </c>
      <c r="Q3418" t="s">
        <v>113</v>
      </c>
      <c r="R3418" t="str">
        <f>"306-22-169"</f>
        <v>306-22-169</v>
      </c>
      <c r="S3418" t="s">
        <v>22108</v>
      </c>
      <c r="T3418" t="s">
        <v>22109</v>
      </c>
      <c r="U3418">
        <v>1986</v>
      </c>
      <c r="V3418">
        <v>0</v>
      </c>
      <c r="W3418">
        <v>2</v>
      </c>
      <c r="X3418">
        <v>1979</v>
      </c>
      <c r="Z3418">
        <v>1</v>
      </c>
      <c r="AB3418">
        <v>0</v>
      </c>
      <c r="AC3418" t="s">
        <v>115</v>
      </c>
      <c r="AD3418">
        <v>2</v>
      </c>
      <c r="AE3418" t="s">
        <v>115</v>
      </c>
      <c r="AF3418">
        <v>0</v>
      </c>
      <c r="AG3418">
        <v>0</v>
      </c>
      <c r="AH3418" t="s">
        <v>116</v>
      </c>
      <c r="AI3418" s="1">
        <v>31726</v>
      </c>
      <c r="AJ3418" s="2">
        <v>0.11</v>
      </c>
      <c r="AK3418" s="1">
        <v>296174</v>
      </c>
      <c r="AL3418" t="s">
        <v>117</v>
      </c>
      <c r="AM3418" t="s">
        <v>191</v>
      </c>
      <c r="AN3418">
        <v>7244</v>
      </c>
      <c r="AO3418">
        <v>0.17</v>
      </c>
      <c r="AP3418">
        <v>1</v>
      </c>
      <c r="AR3418">
        <v>1</v>
      </c>
      <c r="AS3418" s="1">
        <v>20670</v>
      </c>
      <c r="AT3418" s="1">
        <v>4130</v>
      </c>
      <c r="AU3418" s="1">
        <v>16540</v>
      </c>
      <c r="AV3418">
        <v>80.02</v>
      </c>
      <c r="AX3418" s="1">
        <v>1773.3</v>
      </c>
      <c r="AY3418" t="s">
        <v>11872</v>
      </c>
      <c r="AZ3418" t="s">
        <v>7255</v>
      </c>
      <c r="BA3418" t="s">
        <v>5328</v>
      </c>
      <c r="BE3418" s="3">
        <v>42248</v>
      </c>
      <c r="BF3418" s="1">
        <v>209000</v>
      </c>
      <c r="BG3418" t="s">
        <v>5716</v>
      </c>
      <c r="BH3418" s="1">
        <v>105.24</v>
      </c>
      <c r="BI3418" s="1">
        <v>264448</v>
      </c>
      <c r="BJ3418" s="3">
        <v>43189</v>
      </c>
      <c r="BK3418" t="s">
        <v>123</v>
      </c>
      <c r="BL3418" t="str">
        <f>"2018.239766"</f>
        <v>2018.239766</v>
      </c>
      <c r="BM3418" t="s">
        <v>22110</v>
      </c>
      <c r="BN3418" t="s">
        <v>2398</v>
      </c>
      <c r="BO3418" t="s">
        <v>22111</v>
      </c>
      <c r="BP3418" t="s">
        <v>22112</v>
      </c>
      <c r="BR3418" t="s">
        <v>139</v>
      </c>
      <c r="BW3418" t="str">
        <f>""</f>
        <v/>
      </c>
      <c r="CH3418" t="str">
        <f>""</f>
        <v/>
      </c>
      <c r="CS3418" t="str">
        <f>""</f>
        <v/>
      </c>
    </row>
    <row r="3419" spans="1:97" x14ac:dyDescent="0.25">
      <c r="A3419" t="s">
        <v>140</v>
      </c>
      <c r="B3419" t="s">
        <v>22113</v>
      </c>
      <c r="C3419" t="s">
        <v>259</v>
      </c>
      <c r="D3419" t="s">
        <v>22113</v>
      </c>
      <c r="E3419" t="s">
        <v>22114</v>
      </c>
      <c r="F3419" t="s">
        <v>108</v>
      </c>
      <c r="H3419" t="s">
        <v>22115</v>
      </c>
      <c r="I3419" t="s">
        <v>225</v>
      </c>
      <c r="J3419" t="s">
        <v>111</v>
      </c>
      <c r="K3419" t="str">
        <f>"85207"</f>
        <v>85207</v>
      </c>
      <c r="L3419" t="s">
        <v>168</v>
      </c>
      <c r="M3419" t="s">
        <v>22115</v>
      </c>
      <c r="N3419" t="s">
        <v>225</v>
      </c>
      <c r="O3419" t="s">
        <v>111</v>
      </c>
      <c r="P3419" t="str">
        <f>"85207-3842"</f>
        <v>85207-3842</v>
      </c>
      <c r="Q3419" t="s">
        <v>113</v>
      </c>
      <c r="R3419" t="str">
        <f>"218-03-110"</f>
        <v>218-03-110</v>
      </c>
      <c r="S3419" t="s">
        <v>16223</v>
      </c>
      <c r="T3419" t="s">
        <v>16224</v>
      </c>
      <c r="U3419">
        <v>1948</v>
      </c>
      <c r="V3419">
        <v>0</v>
      </c>
      <c r="W3419">
        <v>3</v>
      </c>
      <c r="X3419">
        <v>1989</v>
      </c>
      <c r="Z3419">
        <v>1</v>
      </c>
      <c r="AB3419">
        <v>0</v>
      </c>
      <c r="AC3419" t="s">
        <v>115</v>
      </c>
      <c r="AD3419">
        <v>2</v>
      </c>
      <c r="AE3419" t="s">
        <v>115</v>
      </c>
      <c r="AF3419">
        <v>0</v>
      </c>
      <c r="AG3419">
        <v>0</v>
      </c>
      <c r="AH3419" t="s">
        <v>116</v>
      </c>
      <c r="AI3419" s="1">
        <v>78231</v>
      </c>
      <c r="AJ3419" s="2">
        <v>0.26</v>
      </c>
      <c r="AK3419" s="1">
        <v>300551</v>
      </c>
      <c r="AL3419" t="s">
        <v>117</v>
      </c>
      <c r="AM3419" t="s">
        <v>917</v>
      </c>
      <c r="AN3419">
        <v>9152</v>
      </c>
      <c r="AO3419">
        <v>0.21</v>
      </c>
      <c r="AP3419">
        <v>1</v>
      </c>
      <c r="AR3419">
        <v>1</v>
      </c>
      <c r="AS3419" s="1">
        <v>20380</v>
      </c>
      <c r="AT3419" s="1">
        <v>4070</v>
      </c>
      <c r="AU3419" s="1">
        <v>16310</v>
      </c>
      <c r="AV3419">
        <v>80.03</v>
      </c>
      <c r="AX3419" s="1">
        <v>1453.6</v>
      </c>
      <c r="AY3419" t="s">
        <v>6749</v>
      </c>
      <c r="AZ3419" t="s">
        <v>231</v>
      </c>
      <c r="BA3419" t="s">
        <v>3119</v>
      </c>
      <c r="BE3419" s="3">
        <v>41879</v>
      </c>
      <c r="BF3419" s="1">
        <v>220000</v>
      </c>
      <c r="BG3419" t="s">
        <v>22116</v>
      </c>
      <c r="BH3419" s="1">
        <v>112.94</v>
      </c>
      <c r="BI3419" s="1">
        <v>222320</v>
      </c>
      <c r="BJ3419" s="3">
        <v>42746</v>
      </c>
      <c r="BK3419" t="s">
        <v>123</v>
      </c>
      <c r="BL3419" t="str">
        <f>"2017.21513"</f>
        <v>2017.21513</v>
      </c>
      <c r="BM3419" t="s">
        <v>1695</v>
      </c>
      <c r="BO3419" t="s">
        <v>22117</v>
      </c>
      <c r="BS3419">
        <v>30</v>
      </c>
      <c r="BW3419" t="str">
        <f>""</f>
        <v/>
      </c>
      <c r="CH3419" t="str">
        <f>""</f>
        <v/>
      </c>
      <c r="CS3419" t="str">
        <f>""</f>
        <v/>
      </c>
    </row>
    <row r="3420" spans="1:97" x14ac:dyDescent="0.25">
      <c r="B3420" t="s">
        <v>22118</v>
      </c>
      <c r="C3420" t="s">
        <v>489</v>
      </c>
      <c r="D3420" t="s">
        <v>6364</v>
      </c>
      <c r="E3420" t="s">
        <v>6364</v>
      </c>
      <c r="F3420" t="s">
        <v>108</v>
      </c>
      <c r="H3420" t="s">
        <v>22119</v>
      </c>
      <c r="I3420" t="s">
        <v>632</v>
      </c>
      <c r="J3420" t="s">
        <v>111</v>
      </c>
      <c r="K3420" t="str">
        <f>"85387"</f>
        <v>85387</v>
      </c>
      <c r="L3420" t="s">
        <v>6529</v>
      </c>
      <c r="M3420" t="s">
        <v>22119</v>
      </c>
      <c r="N3420" t="s">
        <v>632</v>
      </c>
      <c r="O3420" t="s">
        <v>111</v>
      </c>
      <c r="P3420" t="str">
        <f>"85387-1016"</f>
        <v>85387-1016</v>
      </c>
      <c r="Q3420" t="s">
        <v>113</v>
      </c>
      <c r="R3420" t="str">
        <f>"503-51-453"</f>
        <v>503-51-453</v>
      </c>
      <c r="S3420" t="s">
        <v>22120</v>
      </c>
      <c r="T3420" t="s">
        <v>5498</v>
      </c>
      <c r="U3420">
        <v>2205</v>
      </c>
      <c r="V3420">
        <v>0</v>
      </c>
      <c r="W3420">
        <v>3</v>
      </c>
      <c r="X3420">
        <v>2007</v>
      </c>
      <c r="Z3420">
        <v>1</v>
      </c>
      <c r="AB3420">
        <v>0</v>
      </c>
      <c r="AC3420" t="s">
        <v>115</v>
      </c>
      <c r="AD3420">
        <v>3</v>
      </c>
      <c r="AE3420" t="s">
        <v>115</v>
      </c>
      <c r="AF3420">
        <v>0</v>
      </c>
      <c r="AG3420">
        <v>0</v>
      </c>
      <c r="AH3420" t="s">
        <v>116</v>
      </c>
      <c r="AI3420" s="1">
        <v>37683</v>
      </c>
      <c r="AJ3420" s="2">
        <v>0.13</v>
      </c>
      <c r="AK3420" s="1">
        <v>284983</v>
      </c>
      <c r="AL3420" t="s">
        <v>117</v>
      </c>
      <c r="AM3420" t="s">
        <v>118</v>
      </c>
      <c r="AN3420">
        <v>7475</v>
      </c>
      <c r="AO3420">
        <v>0.17</v>
      </c>
      <c r="AR3420">
        <v>1</v>
      </c>
      <c r="AS3420" s="1">
        <v>19070</v>
      </c>
      <c r="AT3420" s="1">
        <v>3810</v>
      </c>
      <c r="AU3420" s="1">
        <v>15260</v>
      </c>
      <c r="AV3420">
        <v>80.02</v>
      </c>
      <c r="AX3420" s="1">
        <v>1158</v>
      </c>
      <c r="AY3420" t="s">
        <v>5499</v>
      </c>
      <c r="AZ3420" t="s">
        <v>5499</v>
      </c>
      <c r="BB3420" s="3">
        <v>43585</v>
      </c>
      <c r="BC3420" s="1">
        <v>0</v>
      </c>
      <c r="BD3420" t="s">
        <v>247</v>
      </c>
      <c r="BE3420" s="3">
        <v>42181</v>
      </c>
      <c r="BF3420" s="1">
        <v>230000</v>
      </c>
      <c r="BG3420" t="s">
        <v>22121</v>
      </c>
      <c r="BH3420" s="1">
        <v>104.31</v>
      </c>
      <c r="BI3420" s="1">
        <v>215000</v>
      </c>
      <c r="BJ3420" s="3">
        <v>42181</v>
      </c>
      <c r="BK3420" t="s">
        <v>123</v>
      </c>
      <c r="BL3420" t="str">
        <f>"2015.460969"</f>
        <v>2015.460969</v>
      </c>
      <c r="BM3420" t="s">
        <v>820</v>
      </c>
      <c r="BN3420" t="s">
        <v>2188</v>
      </c>
      <c r="BO3420" t="s">
        <v>22122</v>
      </c>
      <c r="BP3420" t="s">
        <v>22123</v>
      </c>
      <c r="BS3420">
        <v>30</v>
      </c>
      <c r="BT3420" s="1">
        <v>32300</v>
      </c>
      <c r="BU3420" s="3">
        <v>43585</v>
      </c>
      <c r="BV3420" t="s">
        <v>134</v>
      </c>
      <c r="BW3420" t="str">
        <f>"2019.307172"</f>
        <v>2019.307172</v>
      </c>
      <c r="BX3420" t="s">
        <v>3538</v>
      </c>
      <c r="BY3420" t="s">
        <v>3539</v>
      </c>
      <c r="BZ3420" t="s">
        <v>22124</v>
      </c>
      <c r="CA3420" t="s">
        <v>22125</v>
      </c>
      <c r="CC3420" t="s">
        <v>139</v>
      </c>
      <c r="CH3420" t="str">
        <f>""</f>
        <v/>
      </c>
      <c r="CS3420" t="str">
        <f>""</f>
        <v/>
      </c>
    </row>
    <row r="3421" spans="1:97" x14ac:dyDescent="0.25">
      <c r="A3421" t="s">
        <v>4098</v>
      </c>
      <c r="B3421" t="s">
        <v>22126</v>
      </c>
      <c r="C3421" t="s">
        <v>7856</v>
      </c>
      <c r="D3421" t="s">
        <v>22126</v>
      </c>
      <c r="E3421" t="s">
        <v>22127</v>
      </c>
      <c r="F3421" t="s">
        <v>108</v>
      </c>
      <c r="H3421" t="s">
        <v>22128</v>
      </c>
      <c r="I3421" t="s">
        <v>632</v>
      </c>
      <c r="J3421" t="s">
        <v>111</v>
      </c>
      <c r="K3421" t="str">
        <f>"85379"</f>
        <v>85379</v>
      </c>
      <c r="L3421" t="s">
        <v>558</v>
      </c>
      <c r="M3421" t="s">
        <v>22128</v>
      </c>
      <c r="N3421" t="s">
        <v>632</v>
      </c>
      <c r="O3421" t="s">
        <v>111</v>
      </c>
      <c r="P3421" t="str">
        <f>"85379-5250"</f>
        <v>85379-5250</v>
      </c>
      <c r="Q3421" t="s">
        <v>113</v>
      </c>
      <c r="R3421" t="str">
        <f>"509-14-207"</f>
        <v>509-14-207</v>
      </c>
      <c r="S3421" t="s">
        <v>5614</v>
      </c>
      <c r="U3421">
        <v>2257</v>
      </c>
      <c r="V3421">
        <v>0</v>
      </c>
      <c r="W3421">
        <v>4</v>
      </c>
      <c r="X3421">
        <v>2004</v>
      </c>
      <c r="Z3421">
        <v>2</v>
      </c>
      <c r="AA3421" t="s">
        <v>26</v>
      </c>
      <c r="AB3421">
        <v>0</v>
      </c>
      <c r="AC3421" t="s">
        <v>115</v>
      </c>
      <c r="AD3421">
        <v>2</v>
      </c>
      <c r="AE3421" t="s">
        <v>115</v>
      </c>
      <c r="AF3421">
        <v>0</v>
      </c>
      <c r="AG3421">
        <v>0</v>
      </c>
      <c r="AH3421" t="s">
        <v>116</v>
      </c>
      <c r="AI3421" s="1">
        <v>55114</v>
      </c>
      <c r="AJ3421" s="2">
        <v>0.18</v>
      </c>
      <c r="AK3421" s="1">
        <v>299114</v>
      </c>
      <c r="AL3421" t="s">
        <v>117</v>
      </c>
      <c r="AM3421" t="s">
        <v>118</v>
      </c>
      <c r="AN3421">
        <v>6095</v>
      </c>
      <c r="AO3421">
        <v>0.14000000000000001</v>
      </c>
      <c r="AP3421">
        <v>1</v>
      </c>
      <c r="AR3421">
        <v>1</v>
      </c>
      <c r="AS3421" s="1">
        <v>20450</v>
      </c>
      <c r="AT3421" s="1">
        <v>4090</v>
      </c>
      <c r="AU3421" s="1">
        <v>16360</v>
      </c>
      <c r="AV3421">
        <v>80</v>
      </c>
      <c r="AX3421" s="1">
        <v>1516.68</v>
      </c>
      <c r="AY3421" t="s">
        <v>5615</v>
      </c>
      <c r="AZ3421" t="s">
        <v>5615</v>
      </c>
      <c r="BA3421" t="s">
        <v>635</v>
      </c>
      <c r="BE3421" s="3">
        <v>42467</v>
      </c>
      <c r="BF3421" s="1">
        <v>244000</v>
      </c>
      <c r="BG3421" t="s">
        <v>22129</v>
      </c>
      <c r="BH3421" s="1">
        <v>108.11</v>
      </c>
      <c r="BI3421" s="1">
        <v>244000</v>
      </c>
      <c r="BJ3421" s="3">
        <v>42467</v>
      </c>
      <c r="BK3421" t="s">
        <v>123</v>
      </c>
      <c r="BL3421" t="str">
        <f>"2016.229503"</f>
        <v>2016.229503</v>
      </c>
      <c r="BM3421" t="s">
        <v>1185</v>
      </c>
      <c r="BO3421" t="s">
        <v>22130</v>
      </c>
      <c r="BS3421">
        <v>30</v>
      </c>
      <c r="BW3421" t="str">
        <f>""</f>
        <v/>
      </c>
      <c r="CH3421" t="str">
        <f>""</f>
        <v/>
      </c>
      <c r="CS3421" t="str">
        <f>""</f>
        <v/>
      </c>
    </row>
    <row r="3422" spans="1:97" x14ac:dyDescent="0.25">
      <c r="A3422" t="s">
        <v>1743</v>
      </c>
      <c r="B3422" t="s">
        <v>22131</v>
      </c>
      <c r="C3422" t="s">
        <v>22132</v>
      </c>
      <c r="D3422" t="s">
        <v>488</v>
      </c>
      <c r="E3422" t="s">
        <v>22133</v>
      </c>
      <c r="F3422" t="s">
        <v>108</v>
      </c>
      <c r="H3422" t="s">
        <v>22134</v>
      </c>
      <c r="I3422" t="s">
        <v>499</v>
      </c>
      <c r="J3422" t="s">
        <v>111</v>
      </c>
      <c r="K3422" t="str">
        <f>"85338"</f>
        <v>85338</v>
      </c>
      <c r="L3422" t="s">
        <v>11175</v>
      </c>
      <c r="M3422" t="s">
        <v>22134</v>
      </c>
      <c r="N3422" t="s">
        <v>499</v>
      </c>
      <c r="O3422" t="s">
        <v>111</v>
      </c>
      <c r="P3422" t="str">
        <f>"85338-7923"</f>
        <v>85338-7923</v>
      </c>
      <c r="Q3422" t="s">
        <v>113</v>
      </c>
      <c r="R3422" t="str">
        <f>"500-07-739"</f>
        <v>500-07-739</v>
      </c>
      <c r="S3422" t="s">
        <v>11176</v>
      </c>
      <c r="T3422" t="s">
        <v>11176</v>
      </c>
      <c r="U3422">
        <v>1989</v>
      </c>
      <c r="V3422">
        <v>0</v>
      </c>
      <c r="W3422">
        <v>3</v>
      </c>
      <c r="X3422">
        <v>2007</v>
      </c>
      <c r="Z3422">
        <v>1</v>
      </c>
      <c r="AB3422">
        <v>0</v>
      </c>
      <c r="AC3422" t="s">
        <v>115</v>
      </c>
      <c r="AD3422">
        <v>2</v>
      </c>
      <c r="AE3422" t="s">
        <v>115</v>
      </c>
      <c r="AF3422">
        <v>0</v>
      </c>
      <c r="AG3422">
        <v>0</v>
      </c>
      <c r="AH3422" t="s">
        <v>116</v>
      </c>
      <c r="AI3422" s="1">
        <v>51855</v>
      </c>
      <c r="AJ3422" s="2">
        <v>0.2</v>
      </c>
      <c r="AK3422" s="1">
        <v>259855</v>
      </c>
      <c r="AL3422" t="s">
        <v>117</v>
      </c>
      <c r="AM3422" t="s">
        <v>118</v>
      </c>
      <c r="AN3422">
        <v>7463</v>
      </c>
      <c r="AO3422">
        <v>0.17</v>
      </c>
      <c r="AR3422">
        <v>1</v>
      </c>
      <c r="AS3422" s="1">
        <v>18100</v>
      </c>
      <c r="AT3422" s="1">
        <v>3620</v>
      </c>
      <c r="AU3422" s="1">
        <v>14480</v>
      </c>
      <c r="AV3422">
        <v>80</v>
      </c>
      <c r="AX3422" s="1">
        <v>1753.28</v>
      </c>
      <c r="AY3422" t="s">
        <v>11177</v>
      </c>
      <c r="AZ3422" t="s">
        <v>11177</v>
      </c>
      <c r="BA3422" t="s">
        <v>7186</v>
      </c>
      <c r="BE3422" s="3">
        <v>41739</v>
      </c>
      <c r="BF3422" s="1">
        <v>193000</v>
      </c>
      <c r="BG3422" t="s">
        <v>22135</v>
      </c>
      <c r="BH3422" s="1">
        <v>97.03</v>
      </c>
      <c r="BI3422" s="1">
        <v>208000</v>
      </c>
      <c r="BJ3422" s="3">
        <v>42940</v>
      </c>
      <c r="BK3422" t="s">
        <v>123</v>
      </c>
      <c r="BL3422" t="str">
        <f>"2017.539823"</f>
        <v>2017.539823</v>
      </c>
      <c r="BM3422" t="s">
        <v>22136</v>
      </c>
      <c r="BO3422" t="s">
        <v>22137</v>
      </c>
      <c r="BS3422">
        <v>30</v>
      </c>
      <c r="BW3422" t="str">
        <f>""</f>
        <v/>
      </c>
      <c r="CH3422" t="str">
        <f>""</f>
        <v/>
      </c>
      <c r="CS3422" t="str">
        <f>""</f>
        <v/>
      </c>
    </row>
    <row r="3423" spans="1:97" x14ac:dyDescent="0.25">
      <c r="A3423" t="s">
        <v>22138</v>
      </c>
      <c r="B3423" t="s">
        <v>22139</v>
      </c>
      <c r="C3423" t="s">
        <v>4221</v>
      </c>
      <c r="D3423" t="s">
        <v>10934</v>
      </c>
      <c r="E3423" t="s">
        <v>22140</v>
      </c>
      <c r="F3423" t="s">
        <v>108</v>
      </c>
      <c r="H3423" t="s">
        <v>22141</v>
      </c>
      <c r="I3423" t="s">
        <v>2874</v>
      </c>
      <c r="J3423" t="s">
        <v>111</v>
      </c>
      <c r="K3423" t="str">
        <f>"85308"</f>
        <v>85308</v>
      </c>
      <c r="L3423" t="s">
        <v>168</v>
      </c>
      <c r="M3423" t="s">
        <v>22141</v>
      </c>
      <c r="N3423" t="s">
        <v>2874</v>
      </c>
      <c r="O3423" t="s">
        <v>111</v>
      </c>
      <c r="P3423" t="str">
        <f>"85308-7346"</f>
        <v>85308-7346</v>
      </c>
      <c r="Q3423" t="s">
        <v>113</v>
      </c>
      <c r="R3423" t="str">
        <f>"206-31-315"</f>
        <v>206-31-315</v>
      </c>
      <c r="S3423" t="s">
        <v>8585</v>
      </c>
      <c r="T3423" t="s">
        <v>8586</v>
      </c>
      <c r="U3423">
        <v>1818</v>
      </c>
      <c r="V3423">
        <v>0</v>
      </c>
      <c r="W3423">
        <v>3</v>
      </c>
      <c r="X3423">
        <v>1989</v>
      </c>
      <c r="Z3423">
        <v>1</v>
      </c>
      <c r="AB3423">
        <v>0</v>
      </c>
      <c r="AC3423" t="s">
        <v>115</v>
      </c>
      <c r="AD3423">
        <v>2</v>
      </c>
      <c r="AE3423" t="s">
        <v>115</v>
      </c>
      <c r="AF3423">
        <v>0</v>
      </c>
      <c r="AG3423">
        <v>0</v>
      </c>
      <c r="AH3423" t="s">
        <v>116</v>
      </c>
      <c r="AI3423" s="1">
        <v>55781</v>
      </c>
      <c r="AJ3423" s="2">
        <v>0.2</v>
      </c>
      <c r="AK3423" s="1">
        <v>282937</v>
      </c>
      <c r="AL3423" t="s">
        <v>117</v>
      </c>
      <c r="AM3423" t="s">
        <v>191</v>
      </c>
      <c r="AN3423">
        <v>7217</v>
      </c>
      <c r="AO3423">
        <v>0.17</v>
      </c>
      <c r="AP3423">
        <v>1</v>
      </c>
      <c r="AR3423">
        <v>1</v>
      </c>
      <c r="AS3423" s="1">
        <v>19880</v>
      </c>
      <c r="AT3423" s="1">
        <v>3970</v>
      </c>
      <c r="AU3423" s="1">
        <v>15910</v>
      </c>
      <c r="AV3423">
        <v>80.03</v>
      </c>
      <c r="AX3423" s="1">
        <v>1588.54</v>
      </c>
      <c r="AY3423" t="s">
        <v>8587</v>
      </c>
      <c r="AZ3423" t="s">
        <v>5142</v>
      </c>
      <c r="BA3423" t="s">
        <v>5143</v>
      </c>
      <c r="BE3423" s="3">
        <v>42261</v>
      </c>
      <c r="BF3423" s="1">
        <v>219900</v>
      </c>
      <c r="BG3423" t="s">
        <v>22142</v>
      </c>
      <c r="BH3423" s="1">
        <v>120.96</v>
      </c>
      <c r="BI3423" s="1">
        <v>227156</v>
      </c>
      <c r="BJ3423" s="3">
        <v>42261</v>
      </c>
      <c r="BK3423" t="s">
        <v>123</v>
      </c>
      <c r="BL3423" t="str">
        <f>"2015.661111"</f>
        <v>2015.661111</v>
      </c>
      <c r="BM3423" t="s">
        <v>175</v>
      </c>
      <c r="BO3423" t="s">
        <v>22143</v>
      </c>
      <c r="BP3423" t="s">
        <v>22143</v>
      </c>
      <c r="BS3423">
        <v>30</v>
      </c>
      <c r="BW3423" t="str">
        <f>""</f>
        <v/>
      </c>
      <c r="CH3423" t="str">
        <f>""</f>
        <v/>
      </c>
      <c r="CS3423" t="str">
        <f>""</f>
        <v/>
      </c>
    </row>
    <row r="3424" spans="1:97" x14ac:dyDescent="0.25">
      <c r="A3424" t="s">
        <v>305</v>
      </c>
      <c r="B3424" t="s">
        <v>22144</v>
      </c>
      <c r="C3424" t="s">
        <v>496</v>
      </c>
      <c r="D3424" t="s">
        <v>22145</v>
      </c>
      <c r="E3424" t="s">
        <v>22146</v>
      </c>
      <c r="F3424" t="s">
        <v>108</v>
      </c>
      <c r="H3424" t="s">
        <v>22147</v>
      </c>
      <c r="I3424" t="s">
        <v>2874</v>
      </c>
      <c r="J3424" t="s">
        <v>111</v>
      </c>
      <c r="K3424" t="str">
        <f>"85308"</f>
        <v>85308</v>
      </c>
      <c r="L3424" t="s">
        <v>2857</v>
      </c>
      <c r="M3424" t="s">
        <v>22147</v>
      </c>
      <c r="N3424" t="s">
        <v>2874</v>
      </c>
      <c r="O3424" t="s">
        <v>111</v>
      </c>
      <c r="P3424" t="str">
        <f>"85308-1234"</f>
        <v>85308-1234</v>
      </c>
      <c r="Q3424" t="s">
        <v>113</v>
      </c>
      <c r="R3424" t="str">
        <f>"200-49-208"</f>
        <v>200-49-208</v>
      </c>
      <c r="S3424" t="s">
        <v>22148</v>
      </c>
      <c r="T3424" t="s">
        <v>22149</v>
      </c>
      <c r="U3424">
        <v>1921</v>
      </c>
      <c r="V3424">
        <v>0</v>
      </c>
      <c r="W3424">
        <v>3</v>
      </c>
      <c r="X3424">
        <v>1979</v>
      </c>
      <c r="Z3424">
        <v>1</v>
      </c>
      <c r="AA3424" t="s">
        <v>26</v>
      </c>
      <c r="AB3424">
        <v>0</v>
      </c>
      <c r="AC3424" t="s">
        <v>115</v>
      </c>
      <c r="AD3424">
        <v>2</v>
      </c>
      <c r="AE3424" t="s">
        <v>115</v>
      </c>
      <c r="AF3424">
        <v>0</v>
      </c>
      <c r="AG3424">
        <v>0</v>
      </c>
      <c r="AH3424" t="s">
        <v>116</v>
      </c>
      <c r="AI3424" s="1">
        <v>26823</v>
      </c>
      <c r="AJ3424" s="2">
        <v>0.12</v>
      </c>
      <c r="AK3424" s="1">
        <v>229323</v>
      </c>
      <c r="AL3424" t="s">
        <v>117</v>
      </c>
      <c r="AM3424" t="s">
        <v>191</v>
      </c>
      <c r="AN3424">
        <v>7389</v>
      </c>
      <c r="AO3424">
        <v>0.17</v>
      </c>
      <c r="AP3424">
        <v>1</v>
      </c>
      <c r="AR3424">
        <v>1</v>
      </c>
      <c r="AS3424" s="1">
        <v>20420</v>
      </c>
      <c r="AT3424" s="1">
        <v>4080</v>
      </c>
      <c r="AU3424" s="1">
        <v>16340</v>
      </c>
      <c r="AV3424">
        <v>80.02</v>
      </c>
      <c r="AX3424" s="1">
        <v>1437.06</v>
      </c>
      <c r="AY3424" t="s">
        <v>7283</v>
      </c>
      <c r="AZ3424" t="s">
        <v>5142</v>
      </c>
      <c r="BA3424" t="s">
        <v>5143</v>
      </c>
      <c r="BE3424" s="3">
        <v>42212</v>
      </c>
      <c r="BF3424" s="1">
        <v>205000</v>
      </c>
      <c r="BG3424" t="s">
        <v>22150</v>
      </c>
      <c r="BH3424" s="1">
        <v>106.72</v>
      </c>
      <c r="BI3424" s="1">
        <v>202500</v>
      </c>
      <c r="BJ3424" s="3">
        <v>42613</v>
      </c>
      <c r="BK3424" t="s">
        <v>123</v>
      </c>
      <c r="BL3424" t="str">
        <f>"2016.629104"</f>
        <v>2016.629104</v>
      </c>
      <c r="BM3424" t="s">
        <v>2051</v>
      </c>
      <c r="BO3424" t="s">
        <v>22151</v>
      </c>
      <c r="BP3424" t="s">
        <v>22152</v>
      </c>
      <c r="BS3424">
        <v>30</v>
      </c>
      <c r="BW3424" t="str">
        <f>""</f>
        <v/>
      </c>
      <c r="CH3424" t="str">
        <f>""</f>
        <v/>
      </c>
      <c r="CS3424" t="str">
        <f>""</f>
        <v/>
      </c>
    </row>
    <row r="3425" spans="1:97" x14ac:dyDescent="0.25">
      <c r="A3425" t="s">
        <v>943</v>
      </c>
      <c r="B3425" t="s">
        <v>3658</v>
      </c>
      <c r="C3425" t="s">
        <v>2099</v>
      </c>
      <c r="D3425" t="s">
        <v>3658</v>
      </c>
      <c r="E3425" t="s">
        <v>22153</v>
      </c>
      <c r="F3425" t="s">
        <v>108</v>
      </c>
      <c r="H3425" t="s">
        <v>22154</v>
      </c>
      <c r="I3425" t="s">
        <v>110</v>
      </c>
      <c r="J3425" t="s">
        <v>111</v>
      </c>
      <c r="K3425" t="str">
        <f>"85225"</f>
        <v>85225</v>
      </c>
      <c r="L3425" t="s">
        <v>11097</v>
      </c>
      <c r="M3425" t="s">
        <v>22154</v>
      </c>
      <c r="N3425" t="s">
        <v>110</v>
      </c>
      <c r="O3425" t="s">
        <v>111</v>
      </c>
      <c r="P3425" t="str">
        <f>"85225-6533"</f>
        <v>85225-6533</v>
      </c>
      <c r="Q3425" t="s">
        <v>113</v>
      </c>
      <c r="R3425" t="str">
        <f>"302-43-051"</f>
        <v>302-43-051</v>
      </c>
      <c r="S3425" t="s">
        <v>12211</v>
      </c>
      <c r="T3425" t="s">
        <v>12212</v>
      </c>
      <c r="U3425">
        <v>1752</v>
      </c>
      <c r="V3425">
        <v>0</v>
      </c>
      <c r="W3425">
        <v>2</v>
      </c>
      <c r="X3425">
        <v>1973</v>
      </c>
      <c r="Z3425">
        <v>1</v>
      </c>
      <c r="AA3425" t="s">
        <v>26</v>
      </c>
      <c r="AB3425">
        <v>0</v>
      </c>
      <c r="AC3425" t="s">
        <v>115</v>
      </c>
      <c r="AD3425">
        <v>2</v>
      </c>
      <c r="AE3425" t="s">
        <v>115</v>
      </c>
      <c r="AF3425">
        <v>0</v>
      </c>
      <c r="AG3425">
        <v>0</v>
      </c>
      <c r="AH3425" t="s">
        <v>116</v>
      </c>
      <c r="AI3425" s="1">
        <v>69306</v>
      </c>
      <c r="AJ3425" s="2">
        <v>0.23</v>
      </c>
      <c r="AK3425" s="1">
        <v>302756</v>
      </c>
      <c r="AL3425" t="s">
        <v>117</v>
      </c>
      <c r="AM3425" t="s">
        <v>5077</v>
      </c>
      <c r="AN3425">
        <v>8063</v>
      </c>
      <c r="AO3425">
        <v>0.18</v>
      </c>
      <c r="AP3425">
        <v>1</v>
      </c>
      <c r="AR3425">
        <v>1</v>
      </c>
      <c r="AS3425" s="1">
        <v>21520</v>
      </c>
      <c r="AT3425" s="1">
        <v>4300</v>
      </c>
      <c r="AU3425" s="1">
        <v>17220</v>
      </c>
      <c r="AV3425">
        <v>80.02</v>
      </c>
      <c r="AX3425" s="1">
        <v>1329.46</v>
      </c>
      <c r="AY3425" t="s">
        <v>5722</v>
      </c>
      <c r="AZ3425" t="s">
        <v>5078</v>
      </c>
      <c r="BA3425" t="s">
        <v>2957</v>
      </c>
      <c r="BE3425" s="3">
        <v>42458</v>
      </c>
      <c r="BF3425" s="1">
        <v>246000</v>
      </c>
      <c r="BG3425" t="s">
        <v>22155</v>
      </c>
      <c r="BH3425" s="1">
        <v>140.41</v>
      </c>
      <c r="BI3425" s="1">
        <v>233450</v>
      </c>
      <c r="BJ3425" s="3">
        <v>42458</v>
      </c>
      <c r="BK3425" t="s">
        <v>123</v>
      </c>
      <c r="BL3425" t="str">
        <f>"2016.202100"</f>
        <v>2016.202100</v>
      </c>
      <c r="BM3425" t="s">
        <v>594</v>
      </c>
      <c r="BO3425" t="s">
        <v>22156</v>
      </c>
      <c r="BS3425">
        <v>30</v>
      </c>
      <c r="BW3425" t="str">
        <f>""</f>
        <v/>
      </c>
      <c r="CH3425" t="str">
        <f>""</f>
        <v/>
      </c>
      <c r="CS3425" t="str">
        <f>""</f>
        <v/>
      </c>
    </row>
    <row r="3426" spans="1:97" x14ac:dyDescent="0.25">
      <c r="A3426" t="s">
        <v>2374</v>
      </c>
      <c r="B3426" t="s">
        <v>22157</v>
      </c>
      <c r="E3426" t="s">
        <v>22158</v>
      </c>
      <c r="F3426" t="s">
        <v>108</v>
      </c>
      <c r="H3426" t="s">
        <v>22159</v>
      </c>
      <c r="I3426" t="s">
        <v>5387</v>
      </c>
      <c r="J3426" t="s">
        <v>111</v>
      </c>
      <c r="K3426" t="str">
        <f>"85282"</f>
        <v>85282</v>
      </c>
      <c r="L3426" t="s">
        <v>2857</v>
      </c>
      <c r="M3426" t="s">
        <v>22159</v>
      </c>
      <c r="N3426" t="s">
        <v>5387</v>
      </c>
      <c r="O3426" t="s">
        <v>111</v>
      </c>
      <c r="P3426" t="str">
        <f>"85282-5336"</f>
        <v>85282-5336</v>
      </c>
      <c r="Q3426" t="s">
        <v>113</v>
      </c>
      <c r="R3426" t="str">
        <f>"133-52-060"</f>
        <v>133-52-060</v>
      </c>
      <c r="S3426" t="s">
        <v>22160</v>
      </c>
      <c r="T3426" t="s">
        <v>5675</v>
      </c>
      <c r="U3426">
        <v>1608</v>
      </c>
      <c r="V3426">
        <v>0</v>
      </c>
      <c r="W3426">
        <v>2</v>
      </c>
      <c r="X3426">
        <v>1961</v>
      </c>
      <c r="Z3426">
        <v>1</v>
      </c>
      <c r="AB3426">
        <v>0</v>
      </c>
      <c r="AC3426" t="s">
        <v>115</v>
      </c>
      <c r="AD3426">
        <v>2</v>
      </c>
      <c r="AE3426" t="s">
        <v>115</v>
      </c>
      <c r="AF3426">
        <v>0</v>
      </c>
      <c r="AG3426">
        <v>0</v>
      </c>
      <c r="AH3426" t="s">
        <v>116</v>
      </c>
      <c r="AI3426" s="1">
        <v>99254</v>
      </c>
      <c r="AJ3426" s="2">
        <v>0.32</v>
      </c>
      <c r="AK3426" s="1">
        <v>314904</v>
      </c>
      <c r="AL3426" t="s">
        <v>117</v>
      </c>
      <c r="AM3426" t="s">
        <v>191</v>
      </c>
      <c r="AN3426">
        <v>7937</v>
      </c>
      <c r="AO3426">
        <v>0.18</v>
      </c>
      <c r="AP3426">
        <v>1</v>
      </c>
      <c r="AR3426">
        <v>1</v>
      </c>
      <c r="AS3426" s="1">
        <v>21370</v>
      </c>
      <c r="AT3426" s="1">
        <v>4270</v>
      </c>
      <c r="AU3426" s="1">
        <v>17100</v>
      </c>
      <c r="AV3426">
        <v>80.02</v>
      </c>
      <c r="AX3426" s="1">
        <v>1620.26</v>
      </c>
      <c r="AY3426" t="s">
        <v>9517</v>
      </c>
      <c r="AZ3426" t="s">
        <v>11073</v>
      </c>
      <c r="BA3426" t="s">
        <v>9519</v>
      </c>
      <c r="BE3426" s="3">
        <v>41948</v>
      </c>
      <c r="BF3426" s="1">
        <v>227000</v>
      </c>
      <c r="BG3426" t="s">
        <v>22161</v>
      </c>
      <c r="BH3426" s="1">
        <v>141.16999999999999</v>
      </c>
      <c r="BI3426" s="1">
        <v>215650</v>
      </c>
      <c r="BJ3426" s="3">
        <v>41948</v>
      </c>
      <c r="BK3426" t="s">
        <v>123</v>
      </c>
      <c r="BL3426" t="str">
        <f>"2014.735454"</f>
        <v>2014.735454</v>
      </c>
      <c r="BM3426" t="s">
        <v>9928</v>
      </c>
      <c r="BO3426" t="s">
        <v>22162</v>
      </c>
      <c r="BS3426">
        <v>30</v>
      </c>
      <c r="BW3426" t="str">
        <f>""</f>
        <v/>
      </c>
      <c r="CH3426" t="str">
        <f>""</f>
        <v/>
      </c>
      <c r="CS3426" t="str">
        <f>""</f>
        <v/>
      </c>
    </row>
    <row r="3427" spans="1:97" x14ac:dyDescent="0.25">
      <c r="A3427" t="s">
        <v>996</v>
      </c>
      <c r="B3427" t="s">
        <v>9910</v>
      </c>
      <c r="C3427" t="s">
        <v>22163</v>
      </c>
      <c r="D3427" t="s">
        <v>9910</v>
      </c>
      <c r="E3427" t="s">
        <v>22164</v>
      </c>
      <c r="F3427" t="s">
        <v>108</v>
      </c>
      <c r="H3427" t="s">
        <v>22165</v>
      </c>
      <c r="I3427" t="s">
        <v>225</v>
      </c>
      <c r="J3427" t="s">
        <v>111</v>
      </c>
      <c r="K3427" t="str">
        <f>"85213"</f>
        <v>85213</v>
      </c>
      <c r="L3427" t="s">
        <v>4159</v>
      </c>
      <c r="M3427" t="s">
        <v>22165</v>
      </c>
      <c r="N3427" t="s">
        <v>225</v>
      </c>
      <c r="O3427" t="s">
        <v>111</v>
      </c>
      <c r="P3427" t="str">
        <f>"85213-1995"</f>
        <v>85213-1995</v>
      </c>
      <c r="Q3427" t="s">
        <v>113</v>
      </c>
      <c r="R3427" t="str">
        <f>"141-18-213"</f>
        <v>141-18-213</v>
      </c>
      <c r="S3427" t="s">
        <v>5667</v>
      </c>
      <c r="U3427">
        <v>1695</v>
      </c>
      <c r="V3427">
        <v>0</v>
      </c>
      <c r="W3427">
        <v>3</v>
      </c>
      <c r="X3427">
        <v>2014</v>
      </c>
      <c r="Z3427">
        <v>1</v>
      </c>
      <c r="AB3427">
        <v>0</v>
      </c>
      <c r="AC3427" t="s">
        <v>115</v>
      </c>
      <c r="AD3427">
        <v>2</v>
      </c>
      <c r="AE3427" t="s">
        <v>115</v>
      </c>
      <c r="AF3427">
        <v>0</v>
      </c>
      <c r="AG3427">
        <v>0</v>
      </c>
      <c r="AH3427" t="s">
        <v>116</v>
      </c>
      <c r="AI3427" s="1">
        <v>62188</v>
      </c>
      <c r="AJ3427" s="2">
        <v>0.18</v>
      </c>
      <c r="AK3427" s="1">
        <v>337188</v>
      </c>
      <c r="AL3427" t="s">
        <v>117</v>
      </c>
      <c r="AM3427" t="s">
        <v>917</v>
      </c>
      <c r="AN3427">
        <v>5360</v>
      </c>
      <c r="AO3427">
        <v>0.12</v>
      </c>
      <c r="AR3427">
        <v>1</v>
      </c>
      <c r="AS3427" s="1">
        <v>22620</v>
      </c>
      <c r="AT3427" s="1">
        <v>4520</v>
      </c>
      <c r="AU3427" s="1">
        <v>18100</v>
      </c>
      <c r="AV3427">
        <v>80.02</v>
      </c>
      <c r="AX3427" s="1">
        <v>2022.34</v>
      </c>
      <c r="AY3427" t="s">
        <v>4162</v>
      </c>
      <c r="AZ3427" t="s">
        <v>4163</v>
      </c>
      <c r="BA3427" t="s">
        <v>1524</v>
      </c>
      <c r="BE3427" s="3">
        <v>41815</v>
      </c>
      <c r="BF3427" s="1">
        <v>259340</v>
      </c>
      <c r="BG3427" t="s">
        <v>2842</v>
      </c>
      <c r="BH3427" s="1">
        <v>153</v>
      </c>
      <c r="BI3427" s="1">
        <v>275000</v>
      </c>
      <c r="BJ3427" s="3">
        <v>42913</v>
      </c>
      <c r="BK3427" t="s">
        <v>123</v>
      </c>
      <c r="BL3427" t="str">
        <f>"2017.468076"</f>
        <v>2017.468076</v>
      </c>
      <c r="BM3427" t="s">
        <v>2657</v>
      </c>
      <c r="BO3427" t="s">
        <v>22166</v>
      </c>
      <c r="BS3427">
        <v>30</v>
      </c>
      <c r="BW3427" t="str">
        <f>""</f>
        <v/>
      </c>
      <c r="CH3427" t="str">
        <f>""</f>
        <v/>
      </c>
      <c r="CS3427" t="str">
        <f>""</f>
        <v/>
      </c>
    </row>
    <row r="3428" spans="1:97" x14ac:dyDescent="0.25">
      <c r="A3428" t="s">
        <v>589</v>
      </c>
      <c r="B3428" t="s">
        <v>22167</v>
      </c>
      <c r="C3428" t="s">
        <v>327</v>
      </c>
      <c r="D3428" t="s">
        <v>22167</v>
      </c>
      <c r="E3428" t="s">
        <v>22168</v>
      </c>
      <c r="F3428" t="s">
        <v>108</v>
      </c>
      <c r="H3428" t="s">
        <v>22169</v>
      </c>
      <c r="I3428" t="s">
        <v>390</v>
      </c>
      <c r="J3428" t="s">
        <v>111</v>
      </c>
      <c r="K3428" t="str">
        <f>"85024"</f>
        <v>85024</v>
      </c>
      <c r="L3428" t="s">
        <v>10474</v>
      </c>
      <c r="M3428" t="s">
        <v>22169</v>
      </c>
      <c r="N3428" t="s">
        <v>390</v>
      </c>
      <c r="O3428" t="s">
        <v>111</v>
      </c>
      <c r="P3428" t="str">
        <f>"85024-9108"</f>
        <v>85024-9108</v>
      </c>
      <c r="Q3428" t="s">
        <v>113</v>
      </c>
      <c r="R3428" t="str">
        <f>"213-31-329"</f>
        <v>213-31-329</v>
      </c>
      <c r="S3428" t="s">
        <v>19143</v>
      </c>
      <c r="T3428" t="s">
        <v>19144</v>
      </c>
      <c r="U3428">
        <v>2124</v>
      </c>
      <c r="V3428">
        <v>0</v>
      </c>
      <c r="W3428">
        <v>3</v>
      </c>
      <c r="X3428">
        <v>1999</v>
      </c>
      <c r="Z3428">
        <v>1</v>
      </c>
      <c r="AA3428" t="s">
        <v>26</v>
      </c>
      <c r="AB3428">
        <v>0</v>
      </c>
      <c r="AC3428" t="s">
        <v>115</v>
      </c>
      <c r="AD3428">
        <v>2</v>
      </c>
      <c r="AE3428" t="s">
        <v>115</v>
      </c>
      <c r="AF3428">
        <v>0</v>
      </c>
      <c r="AG3428">
        <v>0</v>
      </c>
      <c r="AH3428" t="s">
        <v>116</v>
      </c>
      <c r="AI3428" s="1">
        <v>88384</v>
      </c>
      <c r="AJ3428" s="2">
        <v>0.24</v>
      </c>
      <c r="AK3428" s="1">
        <v>368087</v>
      </c>
      <c r="AL3428" t="s">
        <v>117</v>
      </c>
      <c r="AM3428" t="s">
        <v>191</v>
      </c>
      <c r="AN3428">
        <v>5940</v>
      </c>
      <c r="AO3428">
        <v>0.14000000000000001</v>
      </c>
      <c r="AP3428">
        <v>1</v>
      </c>
      <c r="AR3428">
        <v>1</v>
      </c>
      <c r="AS3428" s="1">
        <v>27100</v>
      </c>
      <c r="AT3428" s="1">
        <v>5420</v>
      </c>
      <c r="AU3428" s="1">
        <v>21680</v>
      </c>
      <c r="AV3428">
        <v>80</v>
      </c>
      <c r="AX3428" s="1">
        <v>2282.14</v>
      </c>
      <c r="AY3428" t="s">
        <v>10684</v>
      </c>
      <c r="AZ3428" t="s">
        <v>2357</v>
      </c>
      <c r="BA3428" t="s">
        <v>1462</v>
      </c>
      <c r="BE3428" s="3">
        <v>42549</v>
      </c>
      <c r="BF3428" s="1">
        <v>318000</v>
      </c>
      <c r="BG3428" t="s">
        <v>22170</v>
      </c>
      <c r="BH3428" s="1">
        <v>149.72</v>
      </c>
      <c r="BI3428" s="1">
        <v>279703</v>
      </c>
      <c r="BJ3428" s="3">
        <v>42549</v>
      </c>
      <c r="BK3428" t="s">
        <v>123</v>
      </c>
      <c r="BL3428" t="str">
        <f>"2016.452096"</f>
        <v>2016.452096</v>
      </c>
      <c r="BM3428" t="s">
        <v>475</v>
      </c>
      <c r="BO3428" t="s">
        <v>22171</v>
      </c>
      <c r="BS3428">
        <v>30</v>
      </c>
      <c r="BW3428" t="str">
        <f>""</f>
        <v/>
      </c>
      <c r="CH3428" t="str">
        <f>""</f>
        <v/>
      </c>
      <c r="CS3428" t="str">
        <f>""</f>
        <v/>
      </c>
    </row>
    <row r="3429" spans="1:97" x14ac:dyDescent="0.25">
      <c r="A3429" t="s">
        <v>22172</v>
      </c>
      <c r="B3429" t="s">
        <v>3333</v>
      </c>
      <c r="C3429" t="s">
        <v>355</v>
      </c>
      <c r="D3429" t="s">
        <v>3333</v>
      </c>
      <c r="E3429" t="s">
        <v>22173</v>
      </c>
      <c r="F3429" t="s">
        <v>108</v>
      </c>
      <c r="H3429" t="s">
        <v>22174</v>
      </c>
      <c r="I3429" t="s">
        <v>144</v>
      </c>
      <c r="J3429" t="s">
        <v>111</v>
      </c>
      <c r="K3429" t="str">
        <f>"85326"</f>
        <v>85326</v>
      </c>
      <c r="L3429" t="s">
        <v>5021</v>
      </c>
      <c r="M3429" t="s">
        <v>22174</v>
      </c>
      <c r="N3429" t="s">
        <v>144</v>
      </c>
      <c r="O3429" t="s">
        <v>111</v>
      </c>
      <c r="P3429" t="str">
        <f>"85326-3537"</f>
        <v>85326-3537</v>
      </c>
      <c r="Q3429" t="s">
        <v>113</v>
      </c>
      <c r="R3429" t="str">
        <f>"504-28-287"</f>
        <v>504-28-287</v>
      </c>
      <c r="S3429" t="s">
        <v>5022</v>
      </c>
      <c r="U3429">
        <v>2430</v>
      </c>
      <c r="V3429">
        <v>0</v>
      </c>
      <c r="W3429">
        <v>4</v>
      </c>
      <c r="X3429">
        <v>2013</v>
      </c>
      <c r="Z3429">
        <v>2</v>
      </c>
      <c r="AB3429">
        <v>0</v>
      </c>
      <c r="AC3429" t="s">
        <v>115</v>
      </c>
      <c r="AD3429">
        <v>3</v>
      </c>
      <c r="AE3429" t="s">
        <v>115</v>
      </c>
      <c r="AF3429">
        <v>0</v>
      </c>
      <c r="AG3429">
        <v>0</v>
      </c>
      <c r="AH3429" t="s">
        <v>116</v>
      </c>
      <c r="AI3429" s="1">
        <v>59744</v>
      </c>
      <c r="AJ3429" s="2">
        <v>0.22</v>
      </c>
      <c r="AK3429" s="1">
        <v>268912</v>
      </c>
      <c r="AL3429" t="s">
        <v>117</v>
      </c>
      <c r="AM3429" t="s">
        <v>5023</v>
      </c>
      <c r="AN3429">
        <v>7989</v>
      </c>
      <c r="AO3429">
        <v>0.18</v>
      </c>
      <c r="AR3429">
        <v>1</v>
      </c>
      <c r="AS3429" s="1">
        <v>18910</v>
      </c>
      <c r="AT3429" s="1">
        <v>3780</v>
      </c>
      <c r="AU3429" s="1">
        <v>15130</v>
      </c>
      <c r="AV3429">
        <v>80.010000000000005</v>
      </c>
      <c r="AX3429" s="1">
        <v>2016.34</v>
      </c>
      <c r="AY3429" t="s">
        <v>5024</v>
      </c>
      <c r="AZ3429" t="s">
        <v>5024</v>
      </c>
      <c r="BA3429" t="s">
        <v>5025</v>
      </c>
      <c r="BE3429" s="3">
        <v>41676</v>
      </c>
      <c r="BF3429" s="1">
        <v>212919</v>
      </c>
      <c r="BG3429" t="s">
        <v>292</v>
      </c>
      <c r="BH3429" s="1">
        <v>87.62</v>
      </c>
      <c r="BI3429" s="1">
        <v>209168</v>
      </c>
      <c r="BJ3429" s="3">
        <v>42543</v>
      </c>
      <c r="BK3429" t="s">
        <v>123</v>
      </c>
      <c r="BL3429" t="str">
        <f>"2016.436289"</f>
        <v>2016.436289</v>
      </c>
      <c r="BM3429" t="s">
        <v>2378</v>
      </c>
      <c r="BO3429" t="s">
        <v>22175</v>
      </c>
      <c r="BS3429">
        <v>30</v>
      </c>
      <c r="BW3429" t="str">
        <f>""</f>
        <v/>
      </c>
      <c r="CH3429" t="str">
        <f>""</f>
        <v/>
      </c>
      <c r="CS3429" t="str">
        <f>""</f>
        <v/>
      </c>
    </row>
    <row r="3430" spans="1:97" x14ac:dyDescent="0.25">
      <c r="A3430" t="s">
        <v>325</v>
      </c>
      <c r="B3430" t="s">
        <v>22176</v>
      </c>
      <c r="E3430" t="s">
        <v>22177</v>
      </c>
      <c r="F3430" t="s">
        <v>108</v>
      </c>
      <c r="H3430" t="s">
        <v>22178</v>
      </c>
      <c r="I3430" t="s">
        <v>203</v>
      </c>
      <c r="J3430" t="s">
        <v>111</v>
      </c>
      <c r="K3430" t="str">
        <f>"85233"</f>
        <v>85233</v>
      </c>
      <c r="L3430" t="s">
        <v>6325</v>
      </c>
      <c r="M3430" t="s">
        <v>22178</v>
      </c>
      <c r="N3430" t="s">
        <v>203</v>
      </c>
      <c r="O3430" t="s">
        <v>111</v>
      </c>
      <c r="P3430" t="str">
        <f>"85233-2713"</f>
        <v>85233-2713</v>
      </c>
      <c r="Q3430" t="s">
        <v>113</v>
      </c>
      <c r="R3430" t="str">
        <f>"302-13-399"</f>
        <v>302-13-399</v>
      </c>
      <c r="S3430" t="s">
        <v>22179</v>
      </c>
      <c r="T3430" t="s">
        <v>22180</v>
      </c>
      <c r="U3430">
        <v>1340</v>
      </c>
      <c r="V3430">
        <v>0</v>
      </c>
      <c r="W3430">
        <v>2</v>
      </c>
      <c r="X3430">
        <v>1985</v>
      </c>
      <c r="Z3430">
        <v>1</v>
      </c>
      <c r="AB3430">
        <v>0</v>
      </c>
      <c r="AC3430" t="s">
        <v>115</v>
      </c>
      <c r="AD3430">
        <v>2</v>
      </c>
      <c r="AE3430" t="s">
        <v>115</v>
      </c>
      <c r="AF3430">
        <v>0</v>
      </c>
      <c r="AG3430">
        <v>0</v>
      </c>
      <c r="AH3430" t="s">
        <v>116</v>
      </c>
      <c r="AI3430" s="1">
        <v>38649</v>
      </c>
      <c r="AJ3430" s="2">
        <v>0.15</v>
      </c>
      <c r="AK3430" s="1">
        <v>262974</v>
      </c>
      <c r="AL3430" t="s">
        <v>117</v>
      </c>
      <c r="AM3430" t="s">
        <v>393</v>
      </c>
      <c r="AN3430">
        <v>7009</v>
      </c>
      <c r="AO3430">
        <v>0.16</v>
      </c>
      <c r="AP3430">
        <v>1</v>
      </c>
      <c r="AR3430">
        <v>1</v>
      </c>
      <c r="AS3430" s="1">
        <v>16850</v>
      </c>
      <c r="AT3430" s="1">
        <v>3370</v>
      </c>
      <c r="AU3430" s="1">
        <v>13480</v>
      </c>
      <c r="AV3430">
        <v>80</v>
      </c>
      <c r="AX3430" s="1">
        <v>968.8</v>
      </c>
      <c r="AY3430" t="s">
        <v>8604</v>
      </c>
      <c r="AZ3430" t="s">
        <v>5478</v>
      </c>
      <c r="BA3430" t="s">
        <v>5479</v>
      </c>
      <c r="BB3430" s="3">
        <v>42731</v>
      </c>
      <c r="BD3430" t="s">
        <v>458</v>
      </c>
      <c r="BE3430" s="3">
        <v>42551</v>
      </c>
      <c r="BF3430" s="1">
        <v>212000</v>
      </c>
      <c r="BG3430" t="s">
        <v>7720</v>
      </c>
      <c r="BH3430" s="1">
        <v>158.21</v>
      </c>
      <c r="BI3430" s="1">
        <v>224325</v>
      </c>
      <c r="BJ3430" s="3">
        <v>42731</v>
      </c>
      <c r="BK3430" t="s">
        <v>123</v>
      </c>
      <c r="BL3430" t="str">
        <f>"2016.952975"</f>
        <v>2016.952975</v>
      </c>
      <c r="BM3430" t="s">
        <v>402</v>
      </c>
      <c r="BO3430" t="s">
        <v>22181</v>
      </c>
      <c r="BS3430">
        <v>30</v>
      </c>
      <c r="BW3430" t="str">
        <f>""</f>
        <v/>
      </c>
      <c r="CH3430" t="str">
        <f>""</f>
        <v/>
      </c>
      <c r="CS3430" t="str">
        <f>""</f>
        <v/>
      </c>
    </row>
    <row r="3431" spans="1:97" x14ac:dyDescent="0.25">
      <c r="A3431" t="s">
        <v>3718</v>
      </c>
      <c r="B3431" t="s">
        <v>22182</v>
      </c>
      <c r="E3431" t="s">
        <v>22183</v>
      </c>
      <c r="F3431" t="s">
        <v>108</v>
      </c>
      <c r="H3431" t="s">
        <v>22184</v>
      </c>
      <c r="I3431" t="s">
        <v>390</v>
      </c>
      <c r="J3431" t="s">
        <v>111</v>
      </c>
      <c r="K3431" t="str">
        <f>"85051"</f>
        <v>85051</v>
      </c>
      <c r="L3431" t="s">
        <v>4282</v>
      </c>
      <c r="M3431" t="s">
        <v>22184</v>
      </c>
      <c r="N3431" t="s">
        <v>390</v>
      </c>
      <c r="O3431" t="s">
        <v>111</v>
      </c>
      <c r="P3431" t="str">
        <f>"85051-1019"</f>
        <v>85051-1019</v>
      </c>
      <c r="Q3431" t="s">
        <v>113</v>
      </c>
      <c r="R3431" t="str">
        <f>"149-37-114"</f>
        <v>149-37-114</v>
      </c>
      <c r="S3431" t="s">
        <v>22185</v>
      </c>
      <c r="T3431" t="s">
        <v>22186</v>
      </c>
      <c r="U3431">
        <v>1776</v>
      </c>
      <c r="V3431">
        <v>0</v>
      </c>
      <c r="W3431">
        <v>2</v>
      </c>
      <c r="X3431">
        <v>1970</v>
      </c>
      <c r="Z3431">
        <v>1</v>
      </c>
      <c r="AA3431" t="s">
        <v>26</v>
      </c>
      <c r="AB3431">
        <v>0</v>
      </c>
      <c r="AC3431" t="s">
        <v>115</v>
      </c>
      <c r="AD3431">
        <v>2</v>
      </c>
      <c r="AE3431" t="s">
        <v>115</v>
      </c>
      <c r="AF3431">
        <v>0</v>
      </c>
      <c r="AG3431">
        <v>0</v>
      </c>
      <c r="AH3431" t="s">
        <v>116</v>
      </c>
      <c r="AI3431" s="1">
        <v>59656</v>
      </c>
      <c r="AJ3431" s="2">
        <v>0.23</v>
      </c>
      <c r="AK3431" s="1">
        <v>263806</v>
      </c>
      <c r="AL3431" t="s">
        <v>117</v>
      </c>
      <c r="AM3431" t="s">
        <v>191</v>
      </c>
      <c r="AN3431">
        <v>9605</v>
      </c>
      <c r="AO3431">
        <v>0.22</v>
      </c>
      <c r="AP3431">
        <v>1</v>
      </c>
      <c r="AR3431">
        <v>1</v>
      </c>
      <c r="AS3431" s="1">
        <v>16760</v>
      </c>
      <c r="AT3431" s="1">
        <v>3350</v>
      </c>
      <c r="AU3431" s="1">
        <v>13410</v>
      </c>
      <c r="AV3431">
        <v>80.010000000000005</v>
      </c>
      <c r="AX3431" s="1">
        <v>1349.8</v>
      </c>
      <c r="AY3431" t="s">
        <v>22187</v>
      </c>
      <c r="AZ3431" t="s">
        <v>6986</v>
      </c>
      <c r="BA3431" t="s">
        <v>21687</v>
      </c>
      <c r="BE3431" s="3">
        <v>42062</v>
      </c>
      <c r="BF3431" s="1">
        <v>199900</v>
      </c>
      <c r="BG3431" t="s">
        <v>11959</v>
      </c>
      <c r="BH3431" s="1">
        <v>112.56</v>
      </c>
      <c r="BI3431" s="1">
        <v>204150</v>
      </c>
      <c r="BJ3431" s="3">
        <v>42062</v>
      </c>
      <c r="BK3431" t="s">
        <v>123</v>
      </c>
      <c r="BL3431" t="str">
        <f>"2015.135252"</f>
        <v>2015.135252</v>
      </c>
      <c r="BM3431" t="s">
        <v>124</v>
      </c>
      <c r="BO3431" t="s">
        <v>22188</v>
      </c>
      <c r="BS3431">
        <v>30</v>
      </c>
      <c r="BW3431" t="str">
        <f>""</f>
        <v/>
      </c>
      <c r="CH3431" t="str">
        <f>""</f>
        <v/>
      </c>
      <c r="CS3431" t="str">
        <f>""</f>
        <v/>
      </c>
    </row>
    <row r="3432" spans="1:97" x14ac:dyDescent="0.25">
      <c r="A3432" t="s">
        <v>1444</v>
      </c>
      <c r="B3432" t="s">
        <v>3333</v>
      </c>
      <c r="C3432" t="s">
        <v>489</v>
      </c>
      <c r="D3432" t="s">
        <v>3333</v>
      </c>
      <c r="E3432" t="s">
        <v>22189</v>
      </c>
      <c r="F3432" t="s">
        <v>108</v>
      </c>
      <c r="H3432" t="s">
        <v>22190</v>
      </c>
      <c r="I3432" t="s">
        <v>188</v>
      </c>
      <c r="J3432" t="s">
        <v>111</v>
      </c>
      <c r="K3432" t="str">
        <f>"85142"</f>
        <v>85142</v>
      </c>
      <c r="L3432" t="s">
        <v>7339</v>
      </c>
      <c r="M3432" t="s">
        <v>22190</v>
      </c>
      <c r="N3432" t="s">
        <v>188</v>
      </c>
      <c r="O3432" t="s">
        <v>111</v>
      </c>
      <c r="P3432" t="str">
        <f>"85142-6767"</f>
        <v>85142-6767</v>
      </c>
      <c r="Q3432" t="s">
        <v>113</v>
      </c>
      <c r="R3432" t="str">
        <f>"314-06-837"</f>
        <v>314-06-837</v>
      </c>
      <c r="S3432" t="s">
        <v>22191</v>
      </c>
      <c r="T3432" t="s">
        <v>22192</v>
      </c>
      <c r="U3432">
        <v>2651</v>
      </c>
      <c r="V3432">
        <v>0</v>
      </c>
      <c r="W3432">
        <v>3</v>
      </c>
      <c r="X3432">
        <v>2005</v>
      </c>
      <c r="Z3432">
        <v>2</v>
      </c>
      <c r="AB3432">
        <v>0</v>
      </c>
      <c r="AC3432" t="s">
        <v>115</v>
      </c>
      <c r="AD3432">
        <v>2</v>
      </c>
      <c r="AE3432" t="s">
        <v>115</v>
      </c>
      <c r="AF3432">
        <v>0</v>
      </c>
      <c r="AG3432">
        <v>0</v>
      </c>
      <c r="AH3432" t="s">
        <v>116</v>
      </c>
      <c r="AI3432" s="1">
        <v>40964</v>
      </c>
      <c r="AJ3432" s="2">
        <v>0.14000000000000001</v>
      </c>
      <c r="AK3432" s="1">
        <v>289464</v>
      </c>
      <c r="AL3432" t="s">
        <v>117</v>
      </c>
      <c r="AM3432" t="s">
        <v>5379</v>
      </c>
      <c r="AN3432">
        <v>3600</v>
      </c>
      <c r="AO3432">
        <v>0.83</v>
      </c>
      <c r="AP3432">
        <v>1</v>
      </c>
      <c r="AR3432">
        <v>1</v>
      </c>
      <c r="AS3432" s="1">
        <v>19270</v>
      </c>
      <c r="AT3432" s="1">
        <v>3850</v>
      </c>
      <c r="AU3432" s="1">
        <v>15420</v>
      </c>
      <c r="AV3432">
        <v>80.02</v>
      </c>
      <c r="AX3432" s="1">
        <v>1736.66</v>
      </c>
      <c r="AY3432" t="s">
        <v>5895</v>
      </c>
      <c r="AZ3432" t="s">
        <v>561</v>
      </c>
      <c r="BA3432" t="s">
        <v>194</v>
      </c>
      <c r="BE3432" s="3">
        <v>42249</v>
      </c>
      <c r="BF3432" s="1">
        <v>218000</v>
      </c>
      <c r="BG3432" t="s">
        <v>22193</v>
      </c>
      <c r="BH3432" s="1">
        <v>82.23</v>
      </c>
      <c r="BI3432" s="1">
        <v>248500</v>
      </c>
      <c r="BJ3432" s="3">
        <v>43599</v>
      </c>
      <c r="BK3432" t="s">
        <v>123</v>
      </c>
      <c r="BL3432" t="str">
        <f>"2019.350012"</f>
        <v>2019.350012</v>
      </c>
      <c r="BM3432" t="s">
        <v>22194</v>
      </c>
      <c r="BN3432" t="s">
        <v>22195</v>
      </c>
      <c r="BO3432" t="s">
        <v>22196</v>
      </c>
      <c r="BP3432" t="s">
        <v>22197</v>
      </c>
      <c r="BR3432" t="s">
        <v>139</v>
      </c>
      <c r="BW3432" t="str">
        <f>""</f>
        <v/>
      </c>
      <c r="CH3432" t="str">
        <f>""</f>
        <v/>
      </c>
      <c r="CS3432" t="str">
        <f>""</f>
        <v/>
      </c>
    </row>
    <row r="3433" spans="1:97" x14ac:dyDescent="0.25">
      <c r="A3433" t="s">
        <v>1009</v>
      </c>
      <c r="B3433" t="s">
        <v>22198</v>
      </c>
      <c r="E3433" t="s">
        <v>22199</v>
      </c>
      <c r="F3433" t="s">
        <v>108</v>
      </c>
      <c r="H3433" t="s">
        <v>22200</v>
      </c>
      <c r="I3433" t="s">
        <v>5387</v>
      </c>
      <c r="J3433" t="s">
        <v>111</v>
      </c>
      <c r="K3433" t="str">
        <f>"85282"</f>
        <v>85282</v>
      </c>
      <c r="L3433" t="s">
        <v>5606</v>
      </c>
      <c r="M3433" t="s">
        <v>22200</v>
      </c>
      <c r="N3433" t="s">
        <v>5387</v>
      </c>
      <c r="O3433" t="s">
        <v>111</v>
      </c>
      <c r="P3433" t="str">
        <f>"85282-6705"</f>
        <v>85282-6705</v>
      </c>
      <c r="Q3433" t="s">
        <v>113</v>
      </c>
      <c r="R3433" t="str">
        <f>"133-41-014"</f>
        <v>133-41-014</v>
      </c>
      <c r="S3433" t="s">
        <v>21016</v>
      </c>
      <c r="U3433">
        <v>2356</v>
      </c>
      <c r="V3433">
        <v>0</v>
      </c>
      <c r="W3433">
        <v>2</v>
      </c>
      <c r="X3433">
        <v>1964</v>
      </c>
      <c r="Z3433">
        <v>2</v>
      </c>
      <c r="AB3433">
        <v>0</v>
      </c>
      <c r="AC3433" t="s">
        <v>115</v>
      </c>
      <c r="AD3433">
        <v>2</v>
      </c>
      <c r="AE3433" t="s">
        <v>115</v>
      </c>
      <c r="AF3433">
        <v>0</v>
      </c>
      <c r="AG3433">
        <v>0</v>
      </c>
      <c r="AH3433" t="s">
        <v>116</v>
      </c>
      <c r="AI3433" s="1">
        <v>75662</v>
      </c>
      <c r="AJ3433" s="2">
        <v>0.22</v>
      </c>
      <c r="AK3433" s="1">
        <v>342926</v>
      </c>
      <c r="AL3433" t="s">
        <v>117</v>
      </c>
      <c r="AM3433" t="s">
        <v>191</v>
      </c>
      <c r="AN3433">
        <v>7963</v>
      </c>
      <c r="AO3433">
        <v>0.18</v>
      </c>
      <c r="AP3433">
        <v>1</v>
      </c>
      <c r="AR3433">
        <v>1</v>
      </c>
      <c r="AS3433" s="1">
        <v>23770</v>
      </c>
      <c r="AT3433" s="1">
        <v>4750</v>
      </c>
      <c r="AU3433" s="1">
        <v>19020</v>
      </c>
      <c r="AV3433">
        <v>80.02</v>
      </c>
      <c r="AX3433" s="1">
        <v>1952.64</v>
      </c>
      <c r="AY3433" t="s">
        <v>9564</v>
      </c>
      <c r="AZ3433" t="s">
        <v>11073</v>
      </c>
      <c r="BA3433" t="s">
        <v>9519</v>
      </c>
      <c r="BE3433" s="3">
        <v>42234</v>
      </c>
      <c r="BF3433" s="1">
        <v>261000</v>
      </c>
      <c r="BG3433" t="s">
        <v>22201</v>
      </c>
      <c r="BH3433" s="1">
        <v>110.78</v>
      </c>
      <c r="BI3433" s="1">
        <v>267264</v>
      </c>
      <c r="BJ3433" s="3">
        <v>42234</v>
      </c>
      <c r="BK3433" t="s">
        <v>123</v>
      </c>
      <c r="BL3433" t="str">
        <f>"2015.597351"</f>
        <v>2015.597351</v>
      </c>
      <c r="BM3433" t="s">
        <v>12498</v>
      </c>
      <c r="BO3433" t="s">
        <v>22202</v>
      </c>
      <c r="BS3433">
        <v>30</v>
      </c>
      <c r="BW3433" t="str">
        <f>""</f>
        <v/>
      </c>
      <c r="CH3433" t="str">
        <f>""</f>
        <v/>
      </c>
      <c r="CS3433" t="str">
        <f>""</f>
        <v/>
      </c>
    </row>
    <row r="3434" spans="1:97" x14ac:dyDescent="0.25">
      <c r="A3434" t="s">
        <v>265</v>
      </c>
      <c r="B3434" t="s">
        <v>22203</v>
      </c>
      <c r="C3434" t="s">
        <v>22204</v>
      </c>
      <c r="D3434" t="s">
        <v>22203</v>
      </c>
      <c r="E3434" t="s">
        <v>22205</v>
      </c>
      <c r="F3434" t="s">
        <v>108</v>
      </c>
      <c r="H3434" t="s">
        <v>22206</v>
      </c>
      <c r="I3434" t="s">
        <v>1936</v>
      </c>
      <c r="J3434" t="s">
        <v>111</v>
      </c>
      <c r="K3434" t="str">
        <f>"85257"</f>
        <v>85257</v>
      </c>
      <c r="L3434" t="s">
        <v>1300</v>
      </c>
      <c r="M3434" t="s">
        <v>22206</v>
      </c>
      <c r="N3434" t="s">
        <v>1936</v>
      </c>
      <c r="O3434" t="s">
        <v>111</v>
      </c>
      <c r="P3434" t="str">
        <f>"85257-1509"</f>
        <v>85257-1509</v>
      </c>
      <c r="Q3434" t="s">
        <v>113</v>
      </c>
      <c r="R3434" t="str">
        <f>"131-28-212"</f>
        <v>131-28-212</v>
      </c>
      <c r="S3434" t="s">
        <v>12700</v>
      </c>
      <c r="T3434" t="s">
        <v>8495</v>
      </c>
      <c r="U3434">
        <v>1598</v>
      </c>
      <c r="V3434">
        <v>0</v>
      </c>
      <c r="W3434">
        <v>2</v>
      </c>
      <c r="X3434">
        <v>1959</v>
      </c>
      <c r="Z3434">
        <v>1</v>
      </c>
      <c r="AA3434" t="s">
        <v>26</v>
      </c>
      <c r="AB3434">
        <v>0</v>
      </c>
      <c r="AC3434" t="s">
        <v>5188</v>
      </c>
      <c r="AD3434">
        <v>2</v>
      </c>
      <c r="AE3434" t="s">
        <v>5188</v>
      </c>
      <c r="AF3434">
        <v>0</v>
      </c>
      <c r="AG3434">
        <v>0</v>
      </c>
      <c r="AH3434" t="s">
        <v>116</v>
      </c>
      <c r="AI3434" s="1">
        <v>118968</v>
      </c>
      <c r="AJ3434" s="2">
        <v>0.31</v>
      </c>
      <c r="AK3434" s="1">
        <v>387548</v>
      </c>
      <c r="AL3434" t="s">
        <v>117</v>
      </c>
      <c r="AM3434" t="s">
        <v>393</v>
      </c>
      <c r="AN3434">
        <v>6955</v>
      </c>
      <c r="AO3434">
        <v>0.16</v>
      </c>
      <c r="AP3434">
        <v>1</v>
      </c>
      <c r="AR3434">
        <v>1</v>
      </c>
      <c r="AS3434" s="1">
        <v>25850</v>
      </c>
      <c r="AT3434" s="1">
        <v>5170</v>
      </c>
      <c r="AU3434" s="1">
        <v>20680</v>
      </c>
      <c r="AV3434">
        <v>80</v>
      </c>
      <c r="AX3434" s="1">
        <v>1289.82</v>
      </c>
      <c r="AY3434" t="s">
        <v>7031</v>
      </c>
      <c r="AZ3434" t="s">
        <v>5420</v>
      </c>
      <c r="BA3434" t="s">
        <v>5421</v>
      </c>
      <c r="BB3434" s="3">
        <v>43635</v>
      </c>
      <c r="BC3434" s="1">
        <v>0</v>
      </c>
      <c r="BD3434" t="s">
        <v>247</v>
      </c>
      <c r="BE3434" s="3">
        <v>41815</v>
      </c>
      <c r="BF3434" s="1">
        <v>230000</v>
      </c>
      <c r="BG3434" t="s">
        <v>22207</v>
      </c>
      <c r="BH3434" s="1">
        <v>143.93</v>
      </c>
      <c r="BI3434" s="1">
        <v>268580</v>
      </c>
      <c r="BJ3434" s="3">
        <v>43635</v>
      </c>
      <c r="BK3434" t="s">
        <v>123</v>
      </c>
      <c r="BL3434" t="str">
        <f>"2019.458353"</f>
        <v>2019.458353</v>
      </c>
      <c r="BM3434" t="s">
        <v>17315</v>
      </c>
      <c r="BN3434" t="s">
        <v>17316</v>
      </c>
      <c r="BO3434" t="s">
        <v>22208</v>
      </c>
      <c r="BP3434" t="s">
        <v>22209</v>
      </c>
      <c r="BR3434" t="s">
        <v>139</v>
      </c>
      <c r="BW3434" t="str">
        <f>""</f>
        <v/>
      </c>
      <c r="CH3434" t="str">
        <f>""</f>
        <v/>
      </c>
      <c r="CS3434" t="str">
        <f>""</f>
        <v/>
      </c>
    </row>
    <row r="3435" spans="1:97" x14ac:dyDescent="0.25">
      <c r="A3435" t="s">
        <v>4086</v>
      </c>
      <c r="B3435" t="s">
        <v>5878</v>
      </c>
      <c r="E3435" t="s">
        <v>22210</v>
      </c>
      <c r="F3435" t="s">
        <v>108</v>
      </c>
      <c r="H3435" t="s">
        <v>22211</v>
      </c>
      <c r="I3435" t="s">
        <v>632</v>
      </c>
      <c r="J3435" t="s">
        <v>111</v>
      </c>
      <c r="K3435" t="str">
        <f>"85388"</f>
        <v>85388</v>
      </c>
      <c r="L3435" t="s">
        <v>4467</v>
      </c>
      <c r="M3435" t="s">
        <v>22211</v>
      </c>
      <c r="N3435" t="s">
        <v>632</v>
      </c>
      <c r="O3435" t="s">
        <v>111</v>
      </c>
      <c r="P3435" t="str">
        <f>"85388-7584"</f>
        <v>85388-7584</v>
      </c>
      <c r="Q3435" t="s">
        <v>113</v>
      </c>
      <c r="R3435" t="str">
        <f>"502-03-358"</f>
        <v>502-03-358</v>
      </c>
      <c r="S3435" t="s">
        <v>10706</v>
      </c>
      <c r="U3435">
        <v>2417</v>
      </c>
      <c r="V3435">
        <v>0</v>
      </c>
      <c r="W3435">
        <v>3</v>
      </c>
      <c r="X3435">
        <v>2004</v>
      </c>
      <c r="Z3435">
        <v>1</v>
      </c>
      <c r="AA3435" t="s">
        <v>26</v>
      </c>
      <c r="AB3435">
        <v>0</v>
      </c>
      <c r="AC3435" t="s">
        <v>115</v>
      </c>
      <c r="AD3435">
        <v>2</v>
      </c>
      <c r="AE3435" t="s">
        <v>115</v>
      </c>
      <c r="AF3435">
        <v>0</v>
      </c>
      <c r="AG3435">
        <v>0</v>
      </c>
      <c r="AH3435" t="s">
        <v>116</v>
      </c>
      <c r="AI3435" s="1">
        <v>77248</v>
      </c>
      <c r="AJ3435" s="2">
        <v>0.24</v>
      </c>
      <c r="AK3435" s="1">
        <v>316248</v>
      </c>
      <c r="AL3435" t="s">
        <v>117</v>
      </c>
      <c r="AM3435" t="s">
        <v>118</v>
      </c>
      <c r="AN3435">
        <v>7519</v>
      </c>
      <c r="AO3435">
        <v>0.17</v>
      </c>
      <c r="AP3435">
        <v>1</v>
      </c>
      <c r="AR3435">
        <v>1</v>
      </c>
      <c r="AS3435" s="1">
        <v>22060</v>
      </c>
      <c r="AT3435" s="1">
        <v>4410</v>
      </c>
      <c r="AU3435" s="1">
        <v>17650</v>
      </c>
      <c r="AV3435">
        <v>80.010000000000005</v>
      </c>
      <c r="AX3435" s="1">
        <v>1744.96</v>
      </c>
      <c r="AY3435" t="s">
        <v>6262</v>
      </c>
      <c r="AZ3435" t="s">
        <v>6262</v>
      </c>
      <c r="BA3435" t="s">
        <v>5061</v>
      </c>
      <c r="BE3435" s="3">
        <v>42132</v>
      </c>
      <c r="BF3435" s="1">
        <v>239000</v>
      </c>
      <c r="BG3435" t="s">
        <v>22212</v>
      </c>
      <c r="BH3435" s="1">
        <v>98.88</v>
      </c>
      <c r="BI3435" s="1">
        <v>239000</v>
      </c>
      <c r="BJ3435" s="3">
        <v>42132</v>
      </c>
      <c r="BK3435" t="s">
        <v>123</v>
      </c>
      <c r="BL3435" t="str">
        <f>"2015.327165"</f>
        <v>2015.327165</v>
      </c>
      <c r="BM3435" t="s">
        <v>175</v>
      </c>
      <c r="BO3435" t="s">
        <v>22213</v>
      </c>
      <c r="BS3435">
        <v>30</v>
      </c>
      <c r="BW3435" t="str">
        <f>""</f>
        <v/>
      </c>
      <c r="CH3435" t="str">
        <f>""</f>
        <v/>
      </c>
      <c r="CS3435" t="str">
        <f>""</f>
        <v/>
      </c>
    </row>
    <row r="3436" spans="1:97" x14ac:dyDescent="0.25">
      <c r="A3436" t="s">
        <v>12349</v>
      </c>
      <c r="B3436" t="s">
        <v>9102</v>
      </c>
      <c r="C3436" t="s">
        <v>22214</v>
      </c>
      <c r="D3436" t="s">
        <v>9102</v>
      </c>
      <c r="E3436" t="s">
        <v>22215</v>
      </c>
      <c r="F3436" t="s">
        <v>108</v>
      </c>
      <c r="H3436" t="s">
        <v>22216</v>
      </c>
      <c r="I3436" t="s">
        <v>499</v>
      </c>
      <c r="J3436" t="s">
        <v>111</v>
      </c>
      <c r="K3436" t="str">
        <f>"85338"</f>
        <v>85338</v>
      </c>
      <c r="L3436" t="s">
        <v>2765</v>
      </c>
      <c r="M3436" t="s">
        <v>22216</v>
      </c>
      <c r="N3436" t="s">
        <v>499</v>
      </c>
      <c r="O3436" t="s">
        <v>111</v>
      </c>
      <c r="P3436" t="str">
        <f>"85338-7587"</f>
        <v>85338-7587</v>
      </c>
      <c r="Q3436" t="s">
        <v>113</v>
      </c>
      <c r="R3436" t="str">
        <f>"502-44-635"</f>
        <v>502-44-635</v>
      </c>
      <c r="S3436" t="s">
        <v>13773</v>
      </c>
      <c r="T3436" t="s">
        <v>5102</v>
      </c>
      <c r="U3436">
        <v>2246</v>
      </c>
      <c r="V3436">
        <v>0</v>
      </c>
      <c r="W3436">
        <v>4</v>
      </c>
      <c r="X3436">
        <v>2013</v>
      </c>
      <c r="Z3436">
        <v>2</v>
      </c>
      <c r="AB3436">
        <v>0</v>
      </c>
      <c r="AC3436" t="s">
        <v>115</v>
      </c>
      <c r="AD3436">
        <v>2</v>
      </c>
      <c r="AE3436" t="s">
        <v>115</v>
      </c>
      <c r="AF3436">
        <v>0</v>
      </c>
      <c r="AG3436">
        <v>0</v>
      </c>
      <c r="AH3436" t="s">
        <v>116</v>
      </c>
      <c r="AI3436" s="1">
        <v>65909</v>
      </c>
      <c r="AJ3436" s="2">
        <v>0.23</v>
      </c>
      <c r="AK3436" s="1">
        <v>280909</v>
      </c>
      <c r="AL3436" t="s">
        <v>117</v>
      </c>
      <c r="AM3436" t="s">
        <v>118</v>
      </c>
      <c r="AN3436">
        <v>6435</v>
      </c>
      <c r="AO3436">
        <v>0.15</v>
      </c>
      <c r="AR3436">
        <v>1</v>
      </c>
      <c r="AS3436" s="1">
        <v>19660</v>
      </c>
      <c r="AT3436" s="1">
        <v>3930</v>
      </c>
      <c r="AU3436" s="1">
        <v>15730</v>
      </c>
      <c r="AV3436">
        <v>80.010000000000005</v>
      </c>
      <c r="AX3436" s="1">
        <v>1317.2</v>
      </c>
      <c r="AY3436" t="s">
        <v>2767</v>
      </c>
      <c r="AZ3436" t="s">
        <v>2767</v>
      </c>
      <c r="BA3436" t="s">
        <v>1247</v>
      </c>
      <c r="BE3436" s="3">
        <v>42538</v>
      </c>
      <c r="BF3436" s="1">
        <v>215000</v>
      </c>
      <c r="BG3436" t="s">
        <v>22217</v>
      </c>
      <c r="BH3436" s="1">
        <v>95.73</v>
      </c>
      <c r="BI3436" s="1">
        <v>215000</v>
      </c>
      <c r="BJ3436" s="3">
        <v>42538</v>
      </c>
      <c r="BK3436" t="s">
        <v>123</v>
      </c>
      <c r="BL3436" t="str">
        <f>"2016.424786"</f>
        <v>2016.424786</v>
      </c>
      <c r="BM3436" t="s">
        <v>544</v>
      </c>
      <c r="BO3436" t="s">
        <v>22218</v>
      </c>
      <c r="BS3436">
        <v>30</v>
      </c>
      <c r="BW3436" t="str">
        <f>""</f>
        <v/>
      </c>
      <c r="CH3436" t="str">
        <f>""</f>
        <v/>
      </c>
      <c r="CS3436" t="str">
        <f>""</f>
        <v/>
      </c>
    </row>
    <row r="3437" spans="1:97" x14ac:dyDescent="0.25">
      <c r="A3437" t="s">
        <v>22219</v>
      </c>
      <c r="B3437" t="s">
        <v>22220</v>
      </c>
      <c r="C3437" t="s">
        <v>2719</v>
      </c>
      <c r="D3437" t="s">
        <v>22220</v>
      </c>
      <c r="E3437" t="s">
        <v>22221</v>
      </c>
      <c r="F3437" t="s">
        <v>108</v>
      </c>
      <c r="H3437" t="s">
        <v>22222</v>
      </c>
      <c r="I3437" t="s">
        <v>110</v>
      </c>
      <c r="J3437" t="s">
        <v>111</v>
      </c>
      <c r="K3437" t="str">
        <f>"85224"</f>
        <v>85224</v>
      </c>
      <c r="L3437" t="s">
        <v>5209</v>
      </c>
      <c r="M3437" t="s">
        <v>22222</v>
      </c>
      <c r="N3437" t="s">
        <v>110</v>
      </c>
      <c r="O3437" t="s">
        <v>111</v>
      </c>
      <c r="P3437" t="str">
        <f>"85224-2750"</f>
        <v>85224-2750</v>
      </c>
      <c r="Q3437" t="s">
        <v>113</v>
      </c>
      <c r="R3437" t="str">
        <f>"302-81-081"</f>
        <v>302-81-081</v>
      </c>
      <c r="S3437" t="s">
        <v>22223</v>
      </c>
      <c r="T3437" t="s">
        <v>8456</v>
      </c>
      <c r="U3437">
        <v>1604</v>
      </c>
      <c r="V3437">
        <v>0</v>
      </c>
      <c r="W3437">
        <v>3</v>
      </c>
      <c r="X3437">
        <v>1980</v>
      </c>
      <c r="Z3437">
        <v>1</v>
      </c>
      <c r="AB3437">
        <v>0</v>
      </c>
      <c r="AC3437" t="s">
        <v>115</v>
      </c>
      <c r="AD3437">
        <v>2</v>
      </c>
      <c r="AE3437" t="s">
        <v>115</v>
      </c>
      <c r="AF3437">
        <v>0</v>
      </c>
      <c r="AG3437">
        <v>0</v>
      </c>
      <c r="AH3437" t="s">
        <v>116</v>
      </c>
      <c r="AI3437" s="1">
        <v>69053</v>
      </c>
      <c r="AJ3437" s="2">
        <v>0.24</v>
      </c>
      <c r="AK3437" s="1">
        <v>291707</v>
      </c>
      <c r="AL3437" t="s">
        <v>117</v>
      </c>
      <c r="AM3437" t="s">
        <v>5077</v>
      </c>
      <c r="AN3437">
        <v>7688</v>
      </c>
      <c r="AO3437">
        <v>0.18</v>
      </c>
      <c r="AP3437">
        <v>1</v>
      </c>
      <c r="AR3437">
        <v>1</v>
      </c>
      <c r="AS3437" s="1">
        <v>19550</v>
      </c>
      <c r="AT3437" s="1">
        <v>3910</v>
      </c>
      <c r="AU3437" s="1">
        <v>15640</v>
      </c>
      <c r="AV3437">
        <v>80</v>
      </c>
      <c r="AX3437" s="1">
        <v>1256.82</v>
      </c>
      <c r="AY3437" t="s">
        <v>5722</v>
      </c>
      <c r="AZ3437" t="s">
        <v>5078</v>
      </c>
      <c r="BA3437" t="s">
        <v>2957</v>
      </c>
      <c r="BE3437" s="3">
        <v>42475</v>
      </c>
      <c r="BF3437" s="1">
        <v>224000</v>
      </c>
      <c r="BG3437" t="s">
        <v>22224</v>
      </c>
      <c r="BH3437" s="1">
        <v>139.65</v>
      </c>
      <c r="BI3437" s="1">
        <v>222654</v>
      </c>
      <c r="BJ3437" s="3">
        <v>42832</v>
      </c>
      <c r="BK3437" t="s">
        <v>123</v>
      </c>
      <c r="BL3437" t="str">
        <f>"2017.246641"</f>
        <v>2017.246641</v>
      </c>
      <c r="BM3437" t="s">
        <v>402</v>
      </c>
      <c r="BO3437" t="s">
        <v>22225</v>
      </c>
      <c r="BS3437">
        <v>30</v>
      </c>
      <c r="BW3437" t="str">
        <f>""</f>
        <v/>
      </c>
      <c r="CH3437" t="str">
        <f>""</f>
        <v/>
      </c>
      <c r="CS3437" t="str">
        <f>""</f>
        <v/>
      </c>
    </row>
    <row r="3438" spans="1:97" x14ac:dyDescent="0.25">
      <c r="A3438" t="s">
        <v>7805</v>
      </c>
      <c r="B3438" t="s">
        <v>2761</v>
      </c>
      <c r="C3438" t="s">
        <v>1735</v>
      </c>
      <c r="D3438" t="s">
        <v>2761</v>
      </c>
      <c r="E3438" t="s">
        <v>22226</v>
      </c>
      <c r="F3438" t="s">
        <v>108</v>
      </c>
      <c r="H3438" t="s">
        <v>22227</v>
      </c>
      <c r="I3438" t="s">
        <v>390</v>
      </c>
      <c r="J3438" t="s">
        <v>111</v>
      </c>
      <c r="K3438" t="str">
        <f>"85024"</f>
        <v>85024</v>
      </c>
      <c r="L3438" t="s">
        <v>6902</v>
      </c>
      <c r="M3438" t="s">
        <v>22227</v>
      </c>
      <c r="N3438" t="s">
        <v>390</v>
      </c>
      <c r="O3438" t="s">
        <v>111</v>
      </c>
      <c r="P3438" t="str">
        <f>"85024-3645"</f>
        <v>85024-3645</v>
      </c>
      <c r="Q3438" t="s">
        <v>113</v>
      </c>
      <c r="R3438" t="str">
        <f>"213-23-494"</f>
        <v>213-23-494</v>
      </c>
      <c r="S3438" t="s">
        <v>21403</v>
      </c>
      <c r="T3438" t="s">
        <v>21403</v>
      </c>
      <c r="U3438">
        <v>2258</v>
      </c>
      <c r="V3438">
        <v>0</v>
      </c>
      <c r="W3438">
        <v>3</v>
      </c>
      <c r="X3438">
        <v>1998</v>
      </c>
      <c r="Z3438">
        <v>2</v>
      </c>
      <c r="AA3438" t="s">
        <v>26</v>
      </c>
      <c r="AB3438">
        <v>0</v>
      </c>
      <c r="AC3438" t="s">
        <v>115</v>
      </c>
      <c r="AD3438">
        <v>2</v>
      </c>
      <c r="AE3438" t="s">
        <v>115</v>
      </c>
      <c r="AF3438">
        <v>0</v>
      </c>
      <c r="AG3438">
        <v>0</v>
      </c>
      <c r="AH3438" t="s">
        <v>116</v>
      </c>
      <c r="AI3438" s="1">
        <v>80959</v>
      </c>
      <c r="AJ3438" s="2">
        <v>0.22</v>
      </c>
      <c r="AK3438" s="1">
        <v>360959</v>
      </c>
      <c r="AL3438" t="s">
        <v>117</v>
      </c>
      <c r="AM3438" t="s">
        <v>171</v>
      </c>
      <c r="AN3438">
        <v>6903</v>
      </c>
      <c r="AO3438">
        <v>0.16</v>
      </c>
      <c r="AP3438">
        <v>1</v>
      </c>
      <c r="AR3438">
        <v>1</v>
      </c>
      <c r="AS3438" s="1">
        <v>25470</v>
      </c>
      <c r="AT3438" s="1">
        <v>5090</v>
      </c>
      <c r="AU3438" s="1">
        <v>20380</v>
      </c>
      <c r="AV3438">
        <v>80.02</v>
      </c>
      <c r="AX3438" s="1">
        <v>2186.64</v>
      </c>
      <c r="AY3438" t="s">
        <v>8613</v>
      </c>
      <c r="AZ3438" t="s">
        <v>761</v>
      </c>
      <c r="BA3438" t="s">
        <v>2551</v>
      </c>
      <c r="BE3438" s="3">
        <v>42156</v>
      </c>
      <c r="BF3438" s="1">
        <v>295000</v>
      </c>
      <c r="BG3438" t="s">
        <v>22228</v>
      </c>
      <c r="BH3438" s="1">
        <v>130.65</v>
      </c>
      <c r="BI3438" s="1">
        <v>280000</v>
      </c>
      <c r="BJ3438" s="3">
        <v>42156</v>
      </c>
      <c r="BK3438" t="s">
        <v>123</v>
      </c>
      <c r="BL3438" t="str">
        <f>"2015.390030"</f>
        <v>2015.390030</v>
      </c>
      <c r="BM3438" t="s">
        <v>724</v>
      </c>
      <c r="BO3438" t="s">
        <v>22229</v>
      </c>
      <c r="BS3438">
        <v>30</v>
      </c>
      <c r="BW3438" t="str">
        <f>""</f>
        <v/>
      </c>
      <c r="CH3438" t="str">
        <f>""</f>
        <v/>
      </c>
      <c r="CS3438" t="str">
        <f>""</f>
        <v/>
      </c>
    </row>
    <row r="3439" spans="1:97" x14ac:dyDescent="0.25">
      <c r="A3439" t="s">
        <v>464</v>
      </c>
      <c r="B3439" t="s">
        <v>22230</v>
      </c>
      <c r="C3439" t="s">
        <v>1857</v>
      </c>
      <c r="D3439" t="s">
        <v>22230</v>
      </c>
      <c r="E3439" t="s">
        <v>22231</v>
      </c>
      <c r="F3439" t="s">
        <v>108</v>
      </c>
      <c r="H3439" t="s">
        <v>22232</v>
      </c>
      <c r="I3439" t="s">
        <v>5551</v>
      </c>
      <c r="J3439" t="s">
        <v>111</v>
      </c>
      <c r="K3439" t="str">
        <f>"85248"</f>
        <v>85248</v>
      </c>
      <c r="L3439" t="s">
        <v>5456</v>
      </c>
      <c r="M3439" t="s">
        <v>22232</v>
      </c>
      <c r="N3439" t="s">
        <v>5551</v>
      </c>
      <c r="O3439" t="s">
        <v>111</v>
      </c>
      <c r="P3439" t="str">
        <f>"85248"</f>
        <v>85248</v>
      </c>
      <c r="Q3439" t="s">
        <v>113</v>
      </c>
      <c r="R3439" t="str">
        <f>"303-50-524"</f>
        <v>303-50-524</v>
      </c>
      <c r="S3439" t="s">
        <v>22233</v>
      </c>
      <c r="U3439">
        <v>1763</v>
      </c>
      <c r="V3439">
        <v>0</v>
      </c>
      <c r="W3439">
        <v>3</v>
      </c>
      <c r="X3439">
        <v>1996</v>
      </c>
      <c r="Z3439">
        <v>1</v>
      </c>
      <c r="AB3439">
        <v>0</v>
      </c>
      <c r="AC3439" t="s">
        <v>115</v>
      </c>
      <c r="AD3439">
        <v>2</v>
      </c>
      <c r="AE3439" t="s">
        <v>115</v>
      </c>
      <c r="AF3439">
        <v>0</v>
      </c>
      <c r="AG3439">
        <v>0</v>
      </c>
      <c r="AH3439" t="s">
        <v>116</v>
      </c>
      <c r="AI3439" s="1">
        <v>82450</v>
      </c>
      <c r="AJ3439" s="2">
        <v>0.26</v>
      </c>
      <c r="AK3439" s="1">
        <v>322350</v>
      </c>
      <c r="AL3439" t="s">
        <v>117</v>
      </c>
      <c r="AM3439" t="s">
        <v>191</v>
      </c>
      <c r="AN3439">
        <v>7828</v>
      </c>
      <c r="AO3439">
        <v>0.18</v>
      </c>
      <c r="AP3439">
        <v>1</v>
      </c>
      <c r="AR3439">
        <v>1</v>
      </c>
      <c r="AS3439" s="1">
        <v>23130</v>
      </c>
      <c r="AT3439" s="1">
        <v>4620</v>
      </c>
      <c r="AU3439" s="1">
        <v>18510</v>
      </c>
      <c r="AV3439">
        <v>80.03</v>
      </c>
      <c r="AX3439" s="1">
        <v>2549.6</v>
      </c>
      <c r="AY3439" t="s">
        <v>1881</v>
      </c>
      <c r="AZ3439" t="s">
        <v>1882</v>
      </c>
      <c r="BA3439" t="s">
        <v>121</v>
      </c>
      <c r="BB3439" s="3">
        <v>42485</v>
      </c>
      <c r="BD3439" t="s">
        <v>842</v>
      </c>
      <c r="BE3439" s="3">
        <v>42467</v>
      </c>
      <c r="BF3439" s="1">
        <v>239900</v>
      </c>
      <c r="BG3439" t="s">
        <v>22234</v>
      </c>
      <c r="BH3439" s="1">
        <v>136.07</v>
      </c>
      <c r="BI3439" s="1">
        <v>239900</v>
      </c>
      <c r="BJ3439" s="3">
        <v>42467</v>
      </c>
      <c r="BK3439" t="s">
        <v>123</v>
      </c>
      <c r="BL3439" t="str">
        <f>"2016.230894"</f>
        <v>2016.230894</v>
      </c>
      <c r="BM3439" t="s">
        <v>1791</v>
      </c>
      <c r="BO3439" t="s">
        <v>22235</v>
      </c>
      <c r="BS3439">
        <v>30</v>
      </c>
      <c r="BW3439" t="str">
        <f>""</f>
        <v/>
      </c>
      <c r="CH3439" t="str">
        <f>""</f>
        <v/>
      </c>
      <c r="CS3439" t="str">
        <f>""</f>
        <v/>
      </c>
    </row>
    <row r="3440" spans="1:97" x14ac:dyDescent="0.25">
      <c r="A3440" t="s">
        <v>203</v>
      </c>
      <c r="B3440" t="s">
        <v>1667</v>
      </c>
      <c r="E3440" t="s">
        <v>22236</v>
      </c>
      <c r="F3440" t="s">
        <v>108</v>
      </c>
      <c r="H3440" t="s">
        <v>22237</v>
      </c>
      <c r="I3440" t="s">
        <v>5387</v>
      </c>
      <c r="J3440" t="s">
        <v>111</v>
      </c>
      <c r="K3440" t="str">
        <f>"85282"</f>
        <v>85282</v>
      </c>
      <c r="L3440" t="s">
        <v>5408</v>
      </c>
      <c r="M3440" t="s">
        <v>22237</v>
      </c>
      <c r="N3440" t="s">
        <v>5387</v>
      </c>
      <c r="O3440" t="s">
        <v>111</v>
      </c>
      <c r="P3440" t="str">
        <f>"85282-4843"</f>
        <v>85282-4843</v>
      </c>
      <c r="Q3440" t="s">
        <v>113</v>
      </c>
      <c r="R3440" t="str">
        <f>"123-47-123"</f>
        <v>123-47-123</v>
      </c>
      <c r="S3440" t="s">
        <v>22238</v>
      </c>
      <c r="T3440" t="s">
        <v>9516</v>
      </c>
      <c r="U3440">
        <v>1276</v>
      </c>
      <c r="V3440">
        <v>0</v>
      </c>
      <c r="W3440">
        <v>2</v>
      </c>
      <c r="X3440">
        <v>1979</v>
      </c>
      <c r="Z3440">
        <v>1</v>
      </c>
      <c r="AB3440">
        <v>0</v>
      </c>
      <c r="AC3440" t="s">
        <v>5188</v>
      </c>
      <c r="AD3440">
        <v>2</v>
      </c>
      <c r="AE3440" t="s">
        <v>5188</v>
      </c>
      <c r="AF3440">
        <v>0</v>
      </c>
      <c r="AG3440">
        <v>0</v>
      </c>
      <c r="AH3440" t="s">
        <v>116</v>
      </c>
      <c r="AI3440" s="1">
        <v>54140</v>
      </c>
      <c r="AJ3440" s="2">
        <v>0.19</v>
      </c>
      <c r="AK3440" s="1">
        <v>280738</v>
      </c>
      <c r="AL3440" t="s">
        <v>117</v>
      </c>
      <c r="AM3440" t="s">
        <v>191</v>
      </c>
      <c r="AN3440">
        <v>11042</v>
      </c>
      <c r="AO3440">
        <v>0.25</v>
      </c>
      <c r="AP3440">
        <v>1</v>
      </c>
      <c r="AR3440">
        <v>1</v>
      </c>
      <c r="AS3440" s="1">
        <v>18530</v>
      </c>
      <c r="AT3440" s="1">
        <v>3700</v>
      </c>
      <c r="AU3440" s="1">
        <v>14830</v>
      </c>
      <c r="AV3440">
        <v>80.03</v>
      </c>
      <c r="AX3440" s="1">
        <v>1451.82</v>
      </c>
      <c r="AY3440" t="s">
        <v>9517</v>
      </c>
      <c r="AZ3440" t="s">
        <v>9518</v>
      </c>
      <c r="BA3440" t="s">
        <v>9519</v>
      </c>
      <c r="BB3440" s="3">
        <v>43560</v>
      </c>
      <c r="BC3440" s="1">
        <v>0</v>
      </c>
      <c r="BD3440" t="s">
        <v>291</v>
      </c>
      <c r="BE3440" s="3">
        <v>42207</v>
      </c>
      <c r="BF3440" s="1">
        <v>224000</v>
      </c>
      <c r="BG3440" t="s">
        <v>22239</v>
      </c>
      <c r="BH3440" s="1">
        <v>175.55</v>
      </c>
      <c r="BI3440" s="1">
        <v>226598</v>
      </c>
      <c r="BJ3440" s="3">
        <v>42655</v>
      </c>
      <c r="BK3440" t="s">
        <v>123</v>
      </c>
      <c r="BL3440" t="str">
        <f>"2016.749787"</f>
        <v>2016.749787</v>
      </c>
      <c r="BM3440" t="s">
        <v>402</v>
      </c>
      <c r="BN3440" t="s">
        <v>461</v>
      </c>
      <c r="BO3440" t="s">
        <v>22240</v>
      </c>
      <c r="BP3440" t="s">
        <v>22241</v>
      </c>
      <c r="BS3440">
        <v>30</v>
      </c>
      <c r="BW3440" t="str">
        <f>""</f>
        <v/>
      </c>
      <c r="CH3440" t="str">
        <f>""</f>
        <v/>
      </c>
      <c r="CS3440" t="str">
        <f>""</f>
        <v/>
      </c>
    </row>
    <row r="3441" spans="1:97" x14ac:dyDescent="0.25">
      <c r="A3441" t="s">
        <v>10874</v>
      </c>
      <c r="B3441" t="s">
        <v>3147</v>
      </c>
      <c r="C3441" t="s">
        <v>6084</v>
      </c>
      <c r="D3441" t="s">
        <v>3147</v>
      </c>
      <c r="E3441" t="s">
        <v>22242</v>
      </c>
      <c r="F3441" t="s">
        <v>108</v>
      </c>
      <c r="H3441" t="s">
        <v>22243</v>
      </c>
      <c r="I3441" t="s">
        <v>110</v>
      </c>
      <c r="J3441" t="s">
        <v>111</v>
      </c>
      <c r="K3441" t="str">
        <f>"85224"</f>
        <v>85224</v>
      </c>
      <c r="L3441" t="s">
        <v>6169</v>
      </c>
      <c r="M3441" t="s">
        <v>22243</v>
      </c>
      <c r="N3441" t="s">
        <v>110</v>
      </c>
      <c r="O3441" t="s">
        <v>111</v>
      </c>
      <c r="P3441" t="str">
        <f>"85224-2652"</f>
        <v>85224-2652</v>
      </c>
      <c r="Q3441" t="s">
        <v>113</v>
      </c>
      <c r="R3441" t="str">
        <f>"302-81-227"</f>
        <v>302-81-227</v>
      </c>
      <c r="S3441" t="s">
        <v>13713</v>
      </c>
      <c r="U3441">
        <v>1120</v>
      </c>
      <c r="V3441">
        <v>0</v>
      </c>
      <c r="W3441">
        <v>2</v>
      </c>
      <c r="X3441">
        <v>1982</v>
      </c>
      <c r="Z3441">
        <v>1</v>
      </c>
      <c r="AA3441" t="s">
        <v>26</v>
      </c>
      <c r="AB3441">
        <v>0</v>
      </c>
      <c r="AC3441" t="s">
        <v>5188</v>
      </c>
      <c r="AD3441">
        <v>2</v>
      </c>
      <c r="AE3441" t="s">
        <v>5188</v>
      </c>
      <c r="AF3441">
        <v>0</v>
      </c>
      <c r="AG3441">
        <v>0</v>
      </c>
      <c r="AH3441" t="s">
        <v>116</v>
      </c>
      <c r="AI3441" s="1">
        <v>48656</v>
      </c>
      <c r="AJ3441" s="2">
        <v>0.19</v>
      </c>
      <c r="AK3441" s="1">
        <v>252656</v>
      </c>
      <c r="AL3441" t="s">
        <v>117</v>
      </c>
      <c r="AM3441" t="s">
        <v>5077</v>
      </c>
      <c r="AN3441">
        <v>7209</v>
      </c>
      <c r="AO3441">
        <v>0.16</v>
      </c>
      <c r="AP3441">
        <v>1</v>
      </c>
      <c r="AR3441">
        <v>1</v>
      </c>
      <c r="AS3441" s="1">
        <v>16810</v>
      </c>
      <c r="AT3441" s="1">
        <v>3360</v>
      </c>
      <c r="AU3441" s="1">
        <v>13450</v>
      </c>
      <c r="AV3441">
        <v>80.010000000000005</v>
      </c>
      <c r="AX3441" s="1">
        <v>993.62</v>
      </c>
      <c r="AY3441" t="s">
        <v>5722</v>
      </c>
      <c r="AZ3441" t="s">
        <v>5078</v>
      </c>
      <c r="BA3441" t="s">
        <v>2957</v>
      </c>
      <c r="BE3441" s="3">
        <v>42474</v>
      </c>
      <c r="BF3441" s="1">
        <v>197000</v>
      </c>
      <c r="BG3441" t="s">
        <v>22244</v>
      </c>
      <c r="BH3441" s="1">
        <v>175.89</v>
      </c>
      <c r="BI3441" s="1">
        <v>204000</v>
      </c>
      <c r="BJ3441" s="3">
        <v>43038</v>
      </c>
      <c r="BK3441" t="s">
        <v>123</v>
      </c>
      <c r="BL3441" t="str">
        <f>"2017.802429"</f>
        <v>2017.802429</v>
      </c>
      <c r="BM3441" t="s">
        <v>22245</v>
      </c>
      <c r="BO3441" t="s">
        <v>22246</v>
      </c>
      <c r="BS3441">
        <v>30</v>
      </c>
      <c r="BW3441" t="str">
        <f>""</f>
        <v/>
      </c>
      <c r="CH3441" t="str">
        <f>""</f>
        <v/>
      </c>
      <c r="CS3441" t="str">
        <f>""</f>
        <v/>
      </c>
    </row>
    <row r="3442" spans="1:97" x14ac:dyDescent="0.25">
      <c r="A3442" t="s">
        <v>610</v>
      </c>
      <c r="B3442" t="s">
        <v>22247</v>
      </c>
      <c r="C3442" t="s">
        <v>348</v>
      </c>
      <c r="D3442" t="s">
        <v>22247</v>
      </c>
      <c r="E3442" t="s">
        <v>22248</v>
      </c>
      <c r="F3442" t="s">
        <v>108</v>
      </c>
      <c r="H3442" t="s">
        <v>22249</v>
      </c>
      <c r="I3442" t="s">
        <v>225</v>
      </c>
      <c r="J3442" t="s">
        <v>111</v>
      </c>
      <c r="K3442" t="str">
        <f>"85203"</f>
        <v>85203</v>
      </c>
      <c r="L3442" t="s">
        <v>4003</v>
      </c>
      <c r="M3442" t="s">
        <v>22249</v>
      </c>
      <c r="N3442" t="s">
        <v>225</v>
      </c>
      <c r="O3442" t="s">
        <v>111</v>
      </c>
      <c r="P3442" t="str">
        <f>"85203-6527"</f>
        <v>85203-6527</v>
      </c>
      <c r="Q3442" t="s">
        <v>113</v>
      </c>
      <c r="R3442" t="str">
        <f>"137-34-067"</f>
        <v>137-34-067</v>
      </c>
      <c r="S3442" t="s">
        <v>22250</v>
      </c>
      <c r="U3442">
        <v>1404</v>
      </c>
      <c r="V3442">
        <v>0</v>
      </c>
      <c r="W3442">
        <v>2</v>
      </c>
      <c r="X3442">
        <v>1964</v>
      </c>
      <c r="Z3442">
        <v>1</v>
      </c>
      <c r="AA3442" t="s">
        <v>26</v>
      </c>
      <c r="AB3442">
        <v>0</v>
      </c>
      <c r="AC3442" t="s">
        <v>7038</v>
      </c>
      <c r="AD3442">
        <v>0</v>
      </c>
      <c r="AE3442" t="s">
        <v>7038</v>
      </c>
      <c r="AF3442">
        <v>0</v>
      </c>
      <c r="AG3442">
        <v>0</v>
      </c>
      <c r="AH3442" t="s">
        <v>116</v>
      </c>
      <c r="AI3442" s="1">
        <v>34235</v>
      </c>
      <c r="AJ3442" s="2">
        <v>0.13</v>
      </c>
      <c r="AK3442" s="1">
        <v>264235</v>
      </c>
      <c r="AL3442" t="s">
        <v>117</v>
      </c>
      <c r="AM3442" t="s">
        <v>917</v>
      </c>
      <c r="AN3442">
        <v>8699</v>
      </c>
      <c r="AO3442">
        <v>0.2</v>
      </c>
      <c r="AP3442">
        <v>1</v>
      </c>
      <c r="AR3442">
        <v>1</v>
      </c>
      <c r="AS3442" s="1">
        <v>16270</v>
      </c>
      <c r="AT3442" s="1">
        <v>3250</v>
      </c>
      <c r="AU3442" s="1">
        <v>13020</v>
      </c>
      <c r="AV3442">
        <v>80.02</v>
      </c>
      <c r="AX3442" s="1">
        <v>942.92</v>
      </c>
      <c r="AY3442" t="s">
        <v>7578</v>
      </c>
      <c r="AZ3442" t="s">
        <v>1523</v>
      </c>
      <c r="BA3442" t="s">
        <v>1524</v>
      </c>
      <c r="BB3442" s="3">
        <v>43033</v>
      </c>
      <c r="BD3442" t="s">
        <v>157</v>
      </c>
      <c r="BE3442" s="3">
        <v>42510</v>
      </c>
      <c r="BF3442" s="1">
        <v>230500</v>
      </c>
      <c r="BG3442" t="s">
        <v>22251</v>
      </c>
      <c r="BH3442" s="1">
        <v>164.17</v>
      </c>
      <c r="BI3442" s="1">
        <v>230000</v>
      </c>
      <c r="BJ3442" s="3">
        <v>42510</v>
      </c>
      <c r="BK3442" t="s">
        <v>123</v>
      </c>
      <c r="BL3442" t="str">
        <f>"2016.348612"</f>
        <v>2016.348612</v>
      </c>
      <c r="BM3442" t="s">
        <v>594</v>
      </c>
      <c r="BN3442" t="s">
        <v>595</v>
      </c>
      <c r="BO3442" t="s">
        <v>22252</v>
      </c>
      <c r="BS3442">
        <v>30</v>
      </c>
      <c r="BW3442" t="str">
        <f>""</f>
        <v/>
      </c>
      <c r="CH3442" t="str">
        <f>""</f>
        <v/>
      </c>
      <c r="CS3442" t="str">
        <f>""</f>
        <v/>
      </c>
    </row>
    <row r="3443" spans="1:97" x14ac:dyDescent="0.25">
      <c r="A3443" t="s">
        <v>3755</v>
      </c>
      <c r="B3443" t="s">
        <v>1552</v>
      </c>
      <c r="E3443" t="s">
        <v>22253</v>
      </c>
      <c r="F3443" t="s">
        <v>108</v>
      </c>
      <c r="H3443" t="s">
        <v>22254</v>
      </c>
      <c r="I3443" t="s">
        <v>632</v>
      </c>
      <c r="J3443" t="s">
        <v>111</v>
      </c>
      <c r="K3443" t="str">
        <f>"85379"</f>
        <v>85379</v>
      </c>
      <c r="L3443" t="s">
        <v>6316</v>
      </c>
      <c r="M3443" t="s">
        <v>22254</v>
      </c>
      <c r="N3443" t="s">
        <v>632</v>
      </c>
      <c r="O3443" t="s">
        <v>111</v>
      </c>
      <c r="P3443" t="str">
        <f>"85379-6556"</f>
        <v>85379-6556</v>
      </c>
      <c r="Q3443" t="s">
        <v>113</v>
      </c>
      <c r="R3443" t="str">
        <f>"501-15-182"</f>
        <v>501-15-182</v>
      </c>
      <c r="S3443" t="s">
        <v>12313</v>
      </c>
      <c r="U3443">
        <v>2466</v>
      </c>
      <c r="V3443">
        <v>0</v>
      </c>
      <c r="W3443">
        <v>4</v>
      </c>
      <c r="X3443">
        <v>2000</v>
      </c>
      <c r="Z3443">
        <v>2</v>
      </c>
      <c r="AB3443">
        <v>0</v>
      </c>
      <c r="AC3443" t="s">
        <v>115</v>
      </c>
      <c r="AD3443">
        <v>3</v>
      </c>
      <c r="AE3443" t="s">
        <v>115</v>
      </c>
      <c r="AF3443">
        <v>0</v>
      </c>
      <c r="AG3443">
        <v>0</v>
      </c>
      <c r="AH3443" t="s">
        <v>116</v>
      </c>
      <c r="AI3443" s="1">
        <v>77336</v>
      </c>
      <c r="AJ3443" s="2">
        <v>0.27</v>
      </c>
      <c r="AK3443" s="1">
        <v>284070</v>
      </c>
      <c r="AL3443" t="s">
        <v>117</v>
      </c>
      <c r="AM3443" t="s">
        <v>118</v>
      </c>
      <c r="AN3443">
        <v>7443</v>
      </c>
      <c r="AO3443">
        <v>0.17</v>
      </c>
      <c r="AP3443">
        <v>1</v>
      </c>
      <c r="AR3443">
        <v>1</v>
      </c>
      <c r="AS3443" s="1">
        <v>19930</v>
      </c>
      <c r="AT3443" s="1">
        <v>3980</v>
      </c>
      <c r="AU3443" s="1">
        <v>15950</v>
      </c>
      <c r="AV3443">
        <v>80.03</v>
      </c>
      <c r="AX3443" s="1">
        <v>1444.24</v>
      </c>
      <c r="AY3443" t="s">
        <v>9749</v>
      </c>
      <c r="AZ3443" t="s">
        <v>9749</v>
      </c>
      <c r="BA3443" t="s">
        <v>321</v>
      </c>
      <c r="BE3443" s="3">
        <v>42300</v>
      </c>
      <c r="BF3443" s="1">
        <v>215000</v>
      </c>
      <c r="BG3443" t="s">
        <v>22255</v>
      </c>
      <c r="BH3443" s="1">
        <v>87.19</v>
      </c>
      <c r="BI3443" s="1">
        <v>206734</v>
      </c>
      <c r="BJ3443" s="3">
        <v>43039</v>
      </c>
      <c r="BK3443" t="s">
        <v>123</v>
      </c>
      <c r="BL3443" t="str">
        <f>"2017.808615"</f>
        <v>2017.808615</v>
      </c>
      <c r="BM3443" t="s">
        <v>1718</v>
      </c>
      <c r="BO3443" t="s">
        <v>22256</v>
      </c>
      <c r="BS3443">
        <v>30</v>
      </c>
      <c r="BW3443" t="str">
        <f>""</f>
        <v/>
      </c>
      <c r="CH3443" t="str">
        <f>""</f>
        <v/>
      </c>
      <c r="CS3443" t="str">
        <f>""</f>
        <v/>
      </c>
    </row>
    <row r="3444" spans="1:97" x14ac:dyDescent="0.25">
      <c r="A3444" t="s">
        <v>22257</v>
      </c>
      <c r="B3444" t="s">
        <v>4527</v>
      </c>
      <c r="E3444" t="s">
        <v>22258</v>
      </c>
      <c r="F3444" t="s">
        <v>108</v>
      </c>
      <c r="H3444" t="s">
        <v>22259</v>
      </c>
      <c r="I3444" t="s">
        <v>203</v>
      </c>
      <c r="J3444" t="s">
        <v>111</v>
      </c>
      <c r="K3444" t="str">
        <f>"85295"</f>
        <v>85295</v>
      </c>
      <c r="L3444" t="s">
        <v>3520</v>
      </c>
      <c r="M3444" t="s">
        <v>22259</v>
      </c>
      <c r="N3444" t="s">
        <v>203</v>
      </c>
      <c r="O3444" t="s">
        <v>111</v>
      </c>
      <c r="P3444" t="str">
        <f>"85295-2782"</f>
        <v>85295-2782</v>
      </c>
      <c r="Q3444" t="s">
        <v>113</v>
      </c>
      <c r="R3444" t="str">
        <f>"313-10-194"</f>
        <v>313-10-194</v>
      </c>
      <c r="S3444" t="s">
        <v>8655</v>
      </c>
      <c r="T3444" t="s">
        <v>8655</v>
      </c>
      <c r="U3444">
        <v>2219</v>
      </c>
      <c r="V3444">
        <v>0</v>
      </c>
      <c r="W3444">
        <v>4</v>
      </c>
      <c r="X3444">
        <v>2012</v>
      </c>
      <c r="Z3444">
        <v>2</v>
      </c>
      <c r="AB3444">
        <v>0</v>
      </c>
      <c r="AC3444" t="s">
        <v>115</v>
      </c>
      <c r="AD3444">
        <v>2</v>
      </c>
      <c r="AE3444" t="s">
        <v>115</v>
      </c>
      <c r="AF3444">
        <v>0</v>
      </c>
      <c r="AG3444">
        <v>0</v>
      </c>
      <c r="AH3444" t="s">
        <v>116</v>
      </c>
      <c r="AI3444" s="1">
        <v>76837</v>
      </c>
      <c r="AJ3444" s="2">
        <v>0.24</v>
      </c>
      <c r="AK3444" s="1">
        <v>321627</v>
      </c>
      <c r="AL3444" t="s">
        <v>117</v>
      </c>
      <c r="AM3444" t="s">
        <v>191</v>
      </c>
      <c r="AN3444">
        <v>4279</v>
      </c>
      <c r="AO3444">
        <v>0.98</v>
      </c>
      <c r="AR3444">
        <v>1</v>
      </c>
      <c r="AS3444" s="1">
        <v>21320</v>
      </c>
      <c r="AT3444" s="1">
        <v>4260</v>
      </c>
      <c r="AU3444" s="1">
        <v>17060</v>
      </c>
      <c r="AV3444">
        <v>80.02</v>
      </c>
      <c r="AX3444" s="1">
        <v>1724.24</v>
      </c>
      <c r="AY3444" t="s">
        <v>5087</v>
      </c>
      <c r="AZ3444" t="s">
        <v>5087</v>
      </c>
      <c r="BA3444" t="s">
        <v>473</v>
      </c>
      <c r="BE3444" s="3">
        <v>42489</v>
      </c>
      <c r="BF3444" s="1">
        <v>255000</v>
      </c>
      <c r="BG3444" t="s">
        <v>22260</v>
      </c>
      <c r="BH3444" s="1">
        <v>114.92</v>
      </c>
      <c r="BI3444" s="1">
        <v>244790</v>
      </c>
      <c r="BJ3444" s="3">
        <v>42710</v>
      </c>
      <c r="BK3444" t="s">
        <v>123</v>
      </c>
      <c r="BL3444" t="str">
        <f>"2016.896697"</f>
        <v>2016.896697</v>
      </c>
      <c r="BM3444" t="s">
        <v>402</v>
      </c>
      <c r="BO3444" t="s">
        <v>22261</v>
      </c>
      <c r="BS3444">
        <v>22</v>
      </c>
      <c r="BW3444" t="str">
        <f>""</f>
        <v/>
      </c>
      <c r="CH3444" t="str">
        <f>""</f>
        <v/>
      </c>
      <c r="CS3444" t="str">
        <f>""</f>
        <v/>
      </c>
    </row>
    <row r="3445" spans="1:97" x14ac:dyDescent="0.25">
      <c r="A3445" t="s">
        <v>10325</v>
      </c>
      <c r="B3445" t="s">
        <v>22262</v>
      </c>
      <c r="E3445" t="s">
        <v>22263</v>
      </c>
      <c r="F3445" t="s">
        <v>108</v>
      </c>
      <c r="H3445" t="s">
        <v>22264</v>
      </c>
      <c r="I3445" t="s">
        <v>390</v>
      </c>
      <c r="J3445" t="s">
        <v>111</v>
      </c>
      <c r="K3445" t="str">
        <f>"85032"</f>
        <v>85032</v>
      </c>
      <c r="L3445" t="s">
        <v>4003</v>
      </c>
      <c r="M3445" t="s">
        <v>22264</v>
      </c>
      <c r="N3445" t="s">
        <v>390</v>
      </c>
      <c r="O3445" t="s">
        <v>111</v>
      </c>
      <c r="P3445" t="str">
        <f>"85032-4777"</f>
        <v>85032-4777</v>
      </c>
      <c r="Q3445" t="s">
        <v>113</v>
      </c>
      <c r="R3445" t="str">
        <f>"215-71-161"</f>
        <v>215-71-161</v>
      </c>
      <c r="S3445" t="s">
        <v>19871</v>
      </c>
      <c r="T3445" t="s">
        <v>13923</v>
      </c>
      <c r="U3445">
        <v>1612</v>
      </c>
      <c r="V3445">
        <v>0</v>
      </c>
      <c r="W3445">
        <v>3</v>
      </c>
      <c r="X3445">
        <v>1984</v>
      </c>
      <c r="Z3445">
        <v>1</v>
      </c>
      <c r="AA3445" t="s">
        <v>26</v>
      </c>
      <c r="AB3445">
        <v>0</v>
      </c>
      <c r="AC3445" t="s">
        <v>115</v>
      </c>
      <c r="AD3445">
        <v>2</v>
      </c>
      <c r="AE3445" t="s">
        <v>115</v>
      </c>
      <c r="AF3445">
        <v>0</v>
      </c>
      <c r="AG3445">
        <v>0</v>
      </c>
      <c r="AH3445" t="s">
        <v>116</v>
      </c>
      <c r="AI3445" s="1">
        <v>42920</v>
      </c>
      <c r="AJ3445" s="2">
        <v>0.12</v>
      </c>
      <c r="AK3445" s="1">
        <v>366920</v>
      </c>
      <c r="AL3445" t="s">
        <v>117</v>
      </c>
      <c r="AM3445" t="s">
        <v>1302</v>
      </c>
      <c r="AN3445">
        <v>9621</v>
      </c>
      <c r="AO3445">
        <v>0.22</v>
      </c>
      <c r="AP3445">
        <v>1</v>
      </c>
      <c r="AR3445">
        <v>1</v>
      </c>
      <c r="AS3445" s="1">
        <v>25720</v>
      </c>
      <c r="AT3445" s="1">
        <v>5140</v>
      </c>
      <c r="AU3445" s="1">
        <v>20580</v>
      </c>
      <c r="AV3445">
        <v>80.02</v>
      </c>
      <c r="AX3445" s="1">
        <v>2328.08</v>
      </c>
      <c r="AY3445" t="s">
        <v>1316</v>
      </c>
      <c r="AZ3445" t="s">
        <v>1317</v>
      </c>
      <c r="BA3445" t="s">
        <v>1318</v>
      </c>
      <c r="BE3445" s="3">
        <v>42307</v>
      </c>
      <c r="BF3445" s="1">
        <v>324000</v>
      </c>
      <c r="BG3445" t="s">
        <v>22265</v>
      </c>
      <c r="BH3445" s="1">
        <v>200.99</v>
      </c>
      <c r="BI3445" s="1">
        <v>324000</v>
      </c>
      <c r="BJ3445" s="3">
        <v>42307</v>
      </c>
      <c r="BK3445" t="s">
        <v>123</v>
      </c>
      <c r="BL3445" t="str">
        <f>"2015.782768"</f>
        <v>2015.782768</v>
      </c>
      <c r="BM3445" t="s">
        <v>7531</v>
      </c>
      <c r="BO3445" t="s">
        <v>22266</v>
      </c>
      <c r="BS3445">
        <v>30</v>
      </c>
      <c r="BW3445" t="str">
        <f>""</f>
        <v/>
      </c>
      <c r="CH3445" t="str">
        <f>""</f>
        <v/>
      </c>
      <c r="CS3445" t="str">
        <f>""</f>
        <v/>
      </c>
    </row>
    <row r="3446" spans="1:97" x14ac:dyDescent="0.25">
      <c r="A3446" t="s">
        <v>1272</v>
      </c>
      <c r="B3446" t="s">
        <v>1577</v>
      </c>
      <c r="C3446" t="s">
        <v>3604</v>
      </c>
      <c r="D3446" t="s">
        <v>10732</v>
      </c>
      <c r="E3446" t="s">
        <v>22267</v>
      </c>
      <c r="F3446" t="s">
        <v>108</v>
      </c>
      <c r="H3446" t="s">
        <v>22268</v>
      </c>
      <c r="I3446" t="s">
        <v>188</v>
      </c>
      <c r="J3446" t="s">
        <v>111</v>
      </c>
      <c r="K3446" t="str">
        <f>"85142"</f>
        <v>85142</v>
      </c>
      <c r="L3446" t="s">
        <v>5893</v>
      </c>
      <c r="M3446" t="s">
        <v>22268</v>
      </c>
      <c r="N3446" t="s">
        <v>188</v>
      </c>
      <c r="O3446" t="s">
        <v>111</v>
      </c>
      <c r="P3446" t="str">
        <f>"85142-3222"</f>
        <v>85142-3222</v>
      </c>
      <c r="Q3446" t="s">
        <v>113</v>
      </c>
      <c r="R3446" t="str">
        <f>"314-06-043"</f>
        <v>314-06-043</v>
      </c>
      <c r="S3446" t="s">
        <v>10795</v>
      </c>
      <c r="U3446">
        <v>2702</v>
      </c>
      <c r="V3446">
        <v>0</v>
      </c>
      <c r="W3446">
        <v>4</v>
      </c>
      <c r="X3446">
        <v>2005</v>
      </c>
      <c r="Z3446">
        <v>2</v>
      </c>
      <c r="AA3446" t="s">
        <v>26</v>
      </c>
      <c r="AB3446">
        <v>0</v>
      </c>
      <c r="AC3446" t="s">
        <v>115</v>
      </c>
      <c r="AD3446">
        <v>2</v>
      </c>
      <c r="AE3446" t="s">
        <v>115</v>
      </c>
      <c r="AF3446">
        <v>0</v>
      </c>
      <c r="AG3446">
        <v>0</v>
      </c>
      <c r="AH3446" t="s">
        <v>116</v>
      </c>
      <c r="AI3446" s="1">
        <v>79022</v>
      </c>
      <c r="AJ3446" s="2">
        <v>0.23</v>
      </c>
      <c r="AK3446" s="1">
        <v>341547</v>
      </c>
      <c r="AL3446" t="s">
        <v>117</v>
      </c>
      <c r="AM3446" t="s">
        <v>191</v>
      </c>
      <c r="AN3446">
        <v>6795</v>
      </c>
      <c r="AO3446">
        <v>0.16</v>
      </c>
      <c r="AR3446">
        <v>1</v>
      </c>
      <c r="AS3446" s="1">
        <v>23370</v>
      </c>
      <c r="AT3446" s="1">
        <v>4670</v>
      </c>
      <c r="AU3446" s="1">
        <v>18700</v>
      </c>
      <c r="AV3446">
        <v>80.02</v>
      </c>
      <c r="AX3446" s="1">
        <v>2006.76</v>
      </c>
      <c r="AY3446" t="s">
        <v>5895</v>
      </c>
      <c r="AZ3446" t="s">
        <v>561</v>
      </c>
      <c r="BA3446" t="s">
        <v>194</v>
      </c>
      <c r="BE3446" s="3">
        <v>42374</v>
      </c>
      <c r="BF3446" s="1">
        <v>257000</v>
      </c>
      <c r="BG3446" t="s">
        <v>22269</v>
      </c>
      <c r="BH3446" s="1">
        <v>95.11</v>
      </c>
      <c r="BI3446" s="1">
        <v>262525</v>
      </c>
      <c r="BJ3446" s="3">
        <v>42374</v>
      </c>
      <c r="BK3446" t="s">
        <v>123</v>
      </c>
      <c r="BL3446" t="str">
        <f>"2016.5337"</f>
        <v>2016.5337</v>
      </c>
      <c r="BM3446" t="s">
        <v>594</v>
      </c>
      <c r="BO3446" t="s">
        <v>22270</v>
      </c>
      <c r="BP3446" t="s">
        <v>22271</v>
      </c>
      <c r="BS3446">
        <v>30</v>
      </c>
      <c r="BW3446" t="str">
        <f>""</f>
        <v/>
      </c>
      <c r="CH3446" t="str">
        <f>""</f>
        <v/>
      </c>
      <c r="CS3446" t="str">
        <f>""</f>
        <v/>
      </c>
    </row>
    <row r="3447" spans="1:97" x14ac:dyDescent="0.25">
      <c r="B3447" t="s">
        <v>22272</v>
      </c>
      <c r="E3447" t="s">
        <v>22273</v>
      </c>
      <c r="F3447" t="s">
        <v>108</v>
      </c>
      <c r="H3447" t="s">
        <v>22274</v>
      </c>
      <c r="I3447" t="s">
        <v>453</v>
      </c>
      <c r="J3447" t="s">
        <v>111</v>
      </c>
      <c r="K3447" t="str">
        <f>"85381"</f>
        <v>85381</v>
      </c>
      <c r="L3447" t="s">
        <v>9597</v>
      </c>
      <c r="M3447" t="s">
        <v>22274</v>
      </c>
      <c r="N3447" t="s">
        <v>453</v>
      </c>
      <c r="O3447" t="s">
        <v>111</v>
      </c>
      <c r="P3447" t="str">
        <f>"85381-4932"</f>
        <v>85381-4932</v>
      </c>
      <c r="Q3447" t="s">
        <v>113</v>
      </c>
      <c r="R3447" t="str">
        <f>"200-97-365"</f>
        <v>200-97-365</v>
      </c>
      <c r="S3447" t="s">
        <v>9723</v>
      </c>
      <c r="T3447" t="s">
        <v>9724</v>
      </c>
      <c r="U3447">
        <v>1516</v>
      </c>
      <c r="V3447">
        <v>0</v>
      </c>
      <c r="W3447">
        <v>3</v>
      </c>
      <c r="X3447">
        <v>2014</v>
      </c>
      <c r="Z3447">
        <v>1</v>
      </c>
      <c r="AB3447">
        <v>0</v>
      </c>
      <c r="AC3447" t="s">
        <v>115</v>
      </c>
      <c r="AD3447">
        <v>2</v>
      </c>
      <c r="AE3447" t="s">
        <v>115</v>
      </c>
      <c r="AF3447">
        <v>0</v>
      </c>
      <c r="AG3447">
        <v>0</v>
      </c>
      <c r="AH3447" t="s">
        <v>116</v>
      </c>
      <c r="AI3447" s="1">
        <v>72460</v>
      </c>
      <c r="AJ3447" s="2">
        <v>0.26</v>
      </c>
      <c r="AK3447" s="1">
        <v>276710</v>
      </c>
      <c r="AL3447" t="s">
        <v>117</v>
      </c>
      <c r="AM3447" t="s">
        <v>118</v>
      </c>
      <c r="AN3447">
        <v>4260</v>
      </c>
      <c r="AO3447">
        <v>0.98</v>
      </c>
      <c r="AR3447">
        <v>1</v>
      </c>
      <c r="AS3447" s="1">
        <v>20710</v>
      </c>
      <c r="AT3447" s="1">
        <v>4140</v>
      </c>
      <c r="AU3447" s="1">
        <v>16570</v>
      </c>
      <c r="AV3447">
        <v>80.010000000000005</v>
      </c>
      <c r="AX3447" s="1">
        <v>1492.54</v>
      </c>
      <c r="AY3447" t="s">
        <v>5629</v>
      </c>
      <c r="AZ3447" t="s">
        <v>5629</v>
      </c>
      <c r="BA3447" t="s">
        <v>4007</v>
      </c>
      <c r="BB3447" s="3">
        <v>43060</v>
      </c>
      <c r="BD3447" t="s">
        <v>2315</v>
      </c>
      <c r="BE3447" s="3">
        <v>41837</v>
      </c>
      <c r="BF3447" s="1">
        <v>208926</v>
      </c>
      <c r="BG3447" t="s">
        <v>9725</v>
      </c>
      <c r="BH3447" s="1">
        <v>137.81</v>
      </c>
      <c r="BI3447" s="1">
        <v>204250</v>
      </c>
      <c r="BJ3447" s="3">
        <v>42704</v>
      </c>
      <c r="BK3447" t="s">
        <v>123</v>
      </c>
      <c r="BL3447" t="str">
        <f>"2016.880946"</f>
        <v>2016.880946</v>
      </c>
      <c r="BM3447" t="s">
        <v>248</v>
      </c>
      <c r="BO3447" t="s">
        <v>22275</v>
      </c>
      <c r="BS3447">
        <v>30</v>
      </c>
      <c r="BW3447" t="str">
        <f>""</f>
        <v/>
      </c>
      <c r="CH3447" t="str">
        <f>""</f>
        <v/>
      </c>
      <c r="CS3447" t="str">
        <f>""</f>
        <v/>
      </c>
    </row>
    <row r="3448" spans="1:97" x14ac:dyDescent="0.25">
      <c r="A3448" t="s">
        <v>15782</v>
      </c>
      <c r="B3448" t="s">
        <v>22276</v>
      </c>
      <c r="C3448" t="s">
        <v>18660</v>
      </c>
      <c r="D3448" t="s">
        <v>22277</v>
      </c>
      <c r="E3448" t="s">
        <v>22278</v>
      </c>
      <c r="F3448" t="s">
        <v>108</v>
      </c>
      <c r="H3448" t="s">
        <v>22279</v>
      </c>
      <c r="I3448" t="s">
        <v>390</v>
      </c>
      <c r="J3448" t="s">
        <v>111</v>
      </c>
      <c r="K3448" t="str">
        <f>"85050"</f>
        <v>85050</v>
      </c>
      <c r="L3448" t="s">
        <v>10238</v>
      </c>
      <c r="M3448" t="s">
        <v>22279</v>
      </c>
      <c r="N3448" t="s">
        <v>390</v>
      </c>
      <c r="O3448" t="s">
        <v>111</v>
      </c>
      <c r="P3448" t="str">
        <f>"85050-3287"</f>
        <v>85050-3287</v>
      </c>
      <c r="Q3448" t="s">
        <v>113</v>
      </c>
      <c r="R3448" t="str">
        <f>"213-30-158"</f>
        <v>213-30-158</v>
      </c>
      <c r="S3448" t="s">
        <v>11143</v>
      </c>
      <c r="T3448" t="s">
        <v>11144</v>
      </c>
      <c r="U3448">
        <v>1924</v>
      </c>
      <c r="V3448">
        <v>0</v>
      </c>
      <c r="W3448">
        <v>3</v>
      </c>
      <c r="X3448">
        <v>1996</v>
      </c>
      <c r="Z3448">
        <v>2</v>
      </c>
      <c r="AA3448" t="s">
        <v>26</v>
      </c>
      <c r="AB3448">
        <v>0</v>
      </c>
      <c r="AC3448" t="s">
        <v>115</v>
      </c>
      <c r="AD3448">
        <v>2</v>
      </c>
      <c r="AE3448" t="s">
        <v>115</v>
      </c>
      <c r="AF3448">
        <v>0</v>
      </c>
      <c r="AG3448">
        <v>0</v>
      </c>
      <c r="AH3448" t="s">
        <v>116</v>
      </c>
      <c r="AI3448" s="1">
        <v>54647</v>
      </c>
      <c r="AJ3448" s="2">
        <v>0.15</v>
      </c>
      <c r="AK3448" s="1">
        <v>361097</v>
      </c>
      <c r="AL3448" t="s">
        <v>117</v>
      </c>
      <c r="AM3448" t="s">
        <v>1315</v>
      </c>
      <c r="AN3448">
        <v>5275</v>
      </c>
      <c r="AO3448">
        <v>0.12</v>
      </c>
      <c r="AP3448">
        <v>1</v>
      </c>
      <c r="AR3448">
        <v>1</v>
      </c>
      <c r="AS3448" s="1">
        <v>25850</v>
      </c>
      <c r="AT3448" s="1">
        <v>5170</v>
      </c>
      <c r="AU3448" s="1">
        <v>20680</v>
      </c>
      <c r="AV3448">
        <v>80</v>
      </c>
      <c r="AX3448" s="1">
        <v>2238.6</v>
      </c>
      <c r="AY3448" t="s">
        <v>8037</v>
      </c>
      <c r="AZ3448" t="s">
        <v>2550</v>
      </c>
      <c r="BA3448" t="s">
        <v>1318</v>
      </c>
      <c r="BE3448" s="3">
        <v>42137</v>
      </c>
      <c r="BF3448" s="1">
        <v>302000</v>
      </c>
      <c r="BG3448" t="s">
        <v>22280</v>
      </c>
      <c r="BH3448" s="1">
        <v>156.96</v>
      </c>
      <c r="BI3448" s="1">
        <v>306450</v>
      </c>
      <c r="BJ3448" s="3">
        <v>42137</v>
      </c>
      <c r="BK3448" t="s">
        <v>123</v>
      </c>
      <c r="BL3448" t="str">
        <f>"2015.337499"</f>
        <v>2015.337499</v>
      </c>
      <c r="BM3448" t="s">
        <v>5534</v>
      </c>
      <c r="BO3448" t="s">
        <v>22281</v>
      </c>
      <c r="BP3448" t="s">
        <v>22282</v>
      </c>
      <c r="BS3448">
        <v>30</v>
      </c>
      <c r="BW3448" t="str">
        <f>""</f>
        <v/>
      </c>
      <c r="CH3448" t="str">
        <f>""</f>
        <v/>
      </c>
      <c r="CS3448" t="str">
        <f>""</f>
        <v/>
      </c>
    </row>
    <row r="3449" spans="1:97" x14ac:dyDescent="0.25">
      <c r="A3449" t="s">
        <v>365</v>
      </c>
      <c r="B3449" t="s">
        <v>9962</v>
      </c>
      <c r="E3449" t="s">
        <v>22283</v>
      </c>
      <c r="F3449" t="s">
        <v>108</v>
      </c>
      <c r="H3449" t="s">
        <v>22284</v>
      </c>
      <c r="I3449" t="s">
        <v>167</v>
      </c>
      <c r="J3449" t="s">
        <v>111</v>
      </c>
      <c r="K3449" t="str">
        <f>"85339"</f>
        <v>85339</v>
      </c>
      <c r="L3449" t="s">
        <v>5367</v>
      </c>
      <c r="M3449" t="s">
        <v>22284</v>
      </c>
      <c r="N3449" t="s">
        <v>167</v>
      </c>
      <c r="O3449" t="s">
        <v>111</v>
      </c>
      <c r="P3449" t="str">
        <f>"85339-7236"</f>
        <v>85339-7236</v>
      </c>
      <c r="Q3449" t="s">
        <v>113</v>
      </c>
      <c r="R3449" t="str">
        <f>"104-87-277"</f>
        <v>104-87-277</v>
      </c>
      <c r="S3449" t="s">
        <v>12188</v>
      </c>
      <c r="U3449">
        <v>1879</v>
      </c>
      <c r="V3449">
        <v>0</v>
      </c>
      <c r="W3449">
        <v>3</v>
      </c>
      <c r="X3449">
        <v>2015</v>
      </c>
      <c r="Z3449">
        <v>1</v>
      </c>
      <c r="AB3449">
        <v>0</v>
      </c>
      <c r="AC3449" t="s">
        <v>115</v>
      </c>
      <c r="AD3449">
        <v>2</v>
      </c>
      <c r="AE3449" t="s">
        <v>115</v>
      </c>
      <c r="AF3449">
        <v>0</v>
      </c>
      <c r="AG3449">
        <v>0</v>
      </c>
      <c r="AH3449" t="s">
        <v>116</v>
      </c>
      <c r="AI3449" s="1">
        <v>25321</v>
      </c>
      <c r="AJ3449" s="2">
        <v>0.1</v>
      </c>
      <c r="AK3449" s="1">
        <v>261921</v>
      </c>
      <c r="AL3449" t="s">
        <v>117</v>
      </c>
      <c r="AM3449" t="s">
        <v>760</v>
      </c>
      <c r="AN3449">
        <v>6325</v>
      </c>
      <c r="AO3449">
        <v>0.14000000000000001</v>
      </c>
      <c r="AR3449">
        <v>1</v>
      </c>
      <c r="AS3449" s="1">
        <v>18670</v>
      </c>
      <c r="AT3449" s="1">
        <v>3730</v>
      </c>
      <c r="AU3449" s="1">
        <v>14940</v>
      </c>
      <c r="AV3449">
        <v>80.02</v>
      </c>
      <c r="AX3449" s="1">
        <v>2282.86</v>
      </c>
      <c r="AY3449" t="s">
        <v>172</v>
      </c>
      <c r="AZ3449" t="s">
        <v>172</v>
      </c>
      <c r="BA3449" t="s">
        <v>173</v>
      </c>
      <c r="BE3449" s="3">
        <v>42409</v>
      </c>
      <c r="BF3449" s="1">
        <v>206005</v>
      </c>
      <c r="BG3449" t="s">
        <v>233</v>
      </c>
      <c r="BH3449" s="1">
        <v>109.64</v>
      </c>
      <c r="BI3449" s="1">
        <v>236600</v>
      </c>
      <c r="BJ3449" s="3">
        <v>43614</v>
      </c>
      <c r="BK3449" t="s">
        <v>123</v>
      </c>
      <c r="BL3449" t="str">
        <f>"2019.394758"</f>
        <v>2019.394758</v>
      </c>
      <c r="BM3449" t="s">
        <v>673</v>
      </c>
      <c r="BN3449" t="s">
        <v>22285</v>
      </c>
      <c r="BO3449" t="s">
        <v>22286</v>
      </c>
      <c r="BR3449" t="s">
        <v>139</v>
      </c>
      <c r="BW3449" t="str">
        <f>""</f>
        <v/>
      </c>
      <c r="CH3449" t="str">
        <f>""</f>
        <v/>
      </c>
      <c r="CS3449" t="str">
        <f>""</f>
        <v/>
      </c>
    </row>
    <row r="3450" spans="1:97" x14ac:dyDescent="0.25">
      <c r="A3450" t="s">
        <v>996</v>
      </c>
      <c r="B3450" t="s">
        <v>21304</v>
      </c>
      <c r="C3450" t="s">
        <v>507</v>
      </c>
      <c r="D3450" t="s">
        <v>21304</v>
      </c>
      <c r="E3450" t="s">
        <v>22287</v>
      </c>
      <c r="F3450" t="s">
        <v>108</v>
      </c>
      <c r="H3450" t="s">
        <v>22288</v>
      </c>
      <c r="I3450" t="s">
        <v>5114</v>
      </c>
      <c r="J3450" t="s">
        <v>111</v>
      </c>
      <c r="K3450" t="str">
        <f>"85392"</f>
        <v>85392</v>
      </c>
      <c r="L3450" t="s">
        <v>6333</v>
      </c>
      <c r="M3450" t="s">
        <v>22288</v>
      </c>
      <c r="N3450" t="s">
        <v>5114</v>
      </c>
      <c r="O3450" t="s">
        <v>111</v>
      </c>
      <c r="P3450" t="str">
        <f>"85392-6724"</f>
        <v>85392-6724</v>
      </c>
      <c r="Q3450" t="s">
        <v>113</v>
      </c>
      <c r="R3450" t="str">
        <f>"508-03-130"</f>
        <v>508-03-130</v>
      </c>
      <c r="S3450" t="s">
        <v>11789</v>
      </c>
      <c r="T3450" t="s">
        <v>11789</v>
      </c>
      <c r="U3450">
        <v>2011</v>
      </c>
      <c r="V3450">
        <v>0</v>
      </c>
      <c r="W3450">
        <v>3</v>
      </c>
      <c r="X3450">
        <v>2002</v>
      </c>
      <c r="Z3450">
        <v>1</v>
      </c>
      <c r="AA3450" t="s">
        <v>26</v>
      </c>
      <c r="AB3450">
        <v>0</v>
      </c>
      <c r="AC3450" t="s">
        <v>115</v>
      </c>
      <c r="AD3450">
        <v>3</v>
      </c>
      <c r="AE3450" t="s">
        <v>115</v>
      </c>
      <c r="AF3450">
        <v>0</v>
      </c>
      <c r="AG3450">
        <v>0</v>
      </c>
      <c r="AH3450" t="s">
        <v>116</v>
      </c>
      <c r="AI3450" s="1">
        <v>58947</v>
      </c>
      <c r="AJ3450" s="2">
        <v>0.2</v>
      </c>
      <c r="AK3450" s="1">
        <v>287547</v>
      </c>
      <c r="AL3450" t="s">
        <v>117</v>
      </c>
      <c r="AM3450" t="s">
        <v>118</v>
      </c>
      <c r="AN3450">
        <v>6050</v>
      </c>
      <c r="AO3450">
        <v>0.14000000000000001</v>
      </c>
      <c r="AP3450">
        <v>1</v>
      </c>
      <c r="AR3450">
        <v>1</v>
      </c>
      <c r="AS3450" s="1">
        <v>20470</v>
      </c>
      <c r="AT3450" s="1">
        <v>4090</v>
      </c>
      <c r="AU3450" s="1">
        <v>16380</v>
      </c>
      <c r="AV3450">
        <v>80.02</v>
      </c>
      <c r="AX3450" s="1">
        <v>1567.26</v>
      </c>
      <c r="AY3450" t="s">
        <v>6700</v>
      </c>
      <c r="AZ3450" t="s">
        <v>6701</v>
      </c>
      <c r="BA3450" t="s">
        <v>6702</v>
      </c>
      <c r="BE3450" s="3">
        <v>41754</v>
      </c>
      <c r="BF3450" s="1">
        <v>204000</v>
      </c>
      <c r="BG3450" t="s">
        <v>22289</v>
      </c>
      <c r="BH3450" s="1">
        <v>101.44</v>
      </c>
      <c r="BI3450" s="1">
        <v>228600</v>
      </c>
      <c r="BJ3450" s="3">
        <v>42732</v>
      </c>
      <c r="BK3450" t="s">
        <v>123</v>
      </c>
      <c r="BL3450" t="str">
        <f>"2016.955957"</f>
        <v>2016.955957</v>
      </c>
      <c r="BM3450" t="s">
        <v>135</v>
      </c>
      <c r="BO3450" t="s">
        <v>22290</v>
      </c>
      <c r="BS3450">
        <v>30</v>
      </c>
      <c r="BW3450" t="str">
        <f>""</f>
        <v/>
      </c>
      <c r="CH3450" t="str">
        <f>""</f>
        <v/>
      </c>
      <c r="CS3450" t="str">
        <f>""</f>
        <v/>
      </c>
    </row>
    <row r="3451" spans="1:97" x14ac:dyDescent="0.25">
      <c r="A3451" t="s">
        <v>4515</v>
      </c>
      <c r="B3451" t="s">
        <v>22291</v>
      </c>
      <c r="E3451" t="s">
        <v>22292</v>
      </c>
      <c r="F3451" t="s">
        <v>108</v>
      </c>
      <c r="H3451" t="s">
        <v>22293</v>
      </c>
      <c r="I3451" t="s">
        <v>188</v>
      </c>
      <c r="J3451" t="s">
        <v>111</v>
      </c>
      <c r="K3451" t="str">
        <f>"85142"</f>
        <v>85142</v>
      </c>
      <c r="L3451" t="s">
        <v>3326</v>
      </c>
      <c r="M3451" t="s">
        <v>22293</v>
      </c>
      <c r="N3451" t="s">
        <v>188</v>
      </c>
      <c r="O3451" t="s">
        <v>111</v>
      </c>
      <c r="P3451" t="str">
        <f>"85142-8419"</f>
        <v>85142-8419</v>
      </c>
      <c r="Q3451" t="s">
        <v>113</v>
      </c>
      <c r="R3451" t="str">
        <f>"304-88-059-G"</f>
        <v>304-88-059-G</v>
      </c>
      <c r="S3451" t="s">
        <v>3834</v>
      </c>
      <c r="U3451">
        <v>1590</v>
      </c>
      <c r="V3451">
        <v>0</v>
      </c>
      <c r="W3451">
        <v>3</v>
      </c>
      <c r="X3451">
        <v>2002</v>
      </c>
      <c r="Z3451">
        <v>1</v>
      </c>
      <c r="AB3451">
        <v>0</v>
      </c>
      <c r="AC3451" t="s">
        <v>115</v>
      </c>
      <c r="AD3451">
        <v>3</v>
      </c>
      <c r="AE3451" t="s">
        <v>115</v>
      </c>
      <c r="AF3451">
        <v>0</v>
      </c>
      <c r="AG3451">
        <v>0</v>
      </c>
      <c r="AH3451" t="s">
        <v>116</v>
      </c>
      <c r="AI3451" s="1">
        <v>133862</v>
      </c>
      <c r="AJ3451" s="2">
        <v>0.34</v>
      </c>
      <c r="AK3451" s="1">
        <v>391362</v>
      </c>
      <c r="AL3451" t="s">
        <v>117</v>
      </c>
      <c r="AM3451" t="s">
        <v>376</v>
      </c>
      <c r="AN3451">
        <v>43693</v>
      </c>
      <c r="AO3451">
        <v>1</v>
      </c>
      <c r="AP3451">
        <v>1</v>
      </c>
      <c r="AR3451">
        <v>1</v>
      </c>
      <c r="AS3451" s="1">
        <v>26260</v>
      </c>
      <c r="AT3451" s="1">
        <v>5250</v>
      </c>
      <c r="AU3451" s="1">
        <v>21010</v>
      </c>
      <c r="AV3451">
        <v>80.010000000000005</v>
      </c>
      <c r="AX3451" s="1">
        <v>2299.9</v>
      </c>
      <c r="AY3451" t="s">
        <v>1133</v>
      </c>
      <c r="AZ3451" t="s">
        <v>1134</v>
      </c>
      <c r="BA3451" t="s">
        <v>1134</v>
      </c>
      <c r="BE3451" s="3">
        <v>41753</v>
      </c>
      <c r="BF3451" s="1">
        <v>181000</v>
      </c>
      <c r="BG3451" t="s">
        <v>22294</v>
      </c>
      <c r="BH3451" s="1">
        <v>113.84</v>
      </c>
      <c r="BI3451" s="1">
        <v>227500</v>
      </c>
      <c r="BJ3451" s="3">
        <v>42395</v>
      </c>
      <c r="BK3451" t="s">
        <v>123</v>
      </c>
      <c r="BL3451" t="str">
        <f>"2016.50842"</f>
        <v>2016.50842</v>
      </c>
      <c r="BM3451" t="s">
        <v>131</v>
      </c>
      <c r="BO3451" t="s">
        <v>22295</v>
      </c>
      <c r="BS3451">
        <v>15</v>
      </c>
      <c r="BT3451" s="1">
        <v>30000</v>
      </c>
      <c r="BU3451" s="3">
        <v>43070</v>
      </c>
      <c r="BW3451" t="str">
        <f>"2017.891061"</f>
        <v>2017.891061</v>
      </c>
      <c r="BX3451" t="s">
        <v>7942</v>
      </c>
      <c r="BZ3451" t="s">
        <v>22295</v>
      </c>
      <c r="CC3451" t="s">
        <v>1633</v>
      </c>
      <c r="CD3451">
        <v>30</v>
      </c>
      <c r="CH3451" t="str">
        <f>""</f>
        <v/>
      </c>
      <c r="CS3451" t="str">
        <f>""</f>
        <v/>
      </c>
    </row>
    <row r="3452" spans="1:97" x14ac:dyDescent="0.25">
      <c r="A3452" t="s">
        <v>464</v>
      </c>
      <c r="B3452" t="s">
        <v>1515</v>
      </c>
      <c r="E3452" t="s">
        <v>22296</v>
      </c>
      <c r="F3452" t="s">
        <v>108</v>
      </c>
      <c r="H3452" t="s">
        <v>22297</v>
      </c>
      <c r="I3452" t="s">
        <v>5863</v>
      </c>
      <c r="J3452" t="s">
        <v>111</v>
      </c>
      <c r="K3452" t="str">
        <f>"85375"</f>
        <v>85375</v>
      </c>
      <c r="L3452" t="s">
        <v>5606</v>
      </c>
      <c r="M3452" t="s">
        <v>22297</v>
      </c>
      <c r="N3452" t="s">
        <v>5863</v>
      </c>
      <c r="O3452" t="s">
        <v>111</v>
      </c>
      <c r="P3452" t="str">
        <f>"85375-2841"</f>
        <v>85375-2841</v>
      </c>
      <c r="R3452" t="str">
        <f>"232-26-299"</f>
        <v>232-26-299</v>
      </c>
      <c r="S3452" t="s">
        <v>6439</v>
      </c>
      <c r="U3452">
        <v>1824</v>
      </c>
      <c r="V3452">
        <v>0</v>
      </c>
      <c r="W3452">
        <v>3</v>
      </c>
      <c r="X3452">
        <v>1994</v>
      </c>
      <c r="Z3452">
        <v>1</v>
      </c>
      <c r="AB3452">
        <v>0</v>
      </c>
      <c r="AC3452" t="s">
        <v>115</v>
      </c>
      <c r="AD3452">
        <v>2</v>
      </c>
      <c r="AE3452" t="s">
        <v>115</v>
      </c>
      <c r="AF3452">
        <v>0</v>
      </c>
      <c r="AG3452">
        <v>0</v>
      </c>
      <c r="AH3452" t="s">
        <v>116</v>
      </c>
      <c r="AI3452" s="1">
        <v>81903</v>
      </c>
      <c r="AJ3452" s="2">
        <v>0.28000000000000003</v>
      </c>
      <c r="AK3452" s="1">
        <v>296903</v>
      </c>
      <c r="AL3452" t="s">
        <v>117</v>
      </c>
      <c r="AM3452" t="s">
        <v>191</v>
      </c>
      <c r="AN3452">
        <v>9137</v>
      </c>
      <c r="AO3452">
        <v>0.21</v>
      </c>
      <c r="AP3452">
        <v>1</v>
      </c>
      <c r="AR3452">
        <v>1</v>
      </c>
      <c r="AS3452" s="1">
        <v>19170</v>
      </c>
      <c r="AT3452" s="1">
        <v>3830</v>
      </c>
      <c r="AU3452" s="1">
        <v>15340</v>
      </c>
      <c r="AV3452">
        <v>80.02</v>
      </c>
      <c r="AX3452" s="1">
        <v>1807.02</v>
      </c>
      <c r="AY3452" t="s">
        <v>5108</v>
      </c>
      <c r="AZ3452" t="s">
        <v>5108</v>
      </c>
      <c r="BA3452" t="s">
        <v>5109</v>
      </c>
      <c r="BB3452" s="3">
        <v>43098</v>
      </c>
      <c r="BD3452" t="s">
        <v>157</v>
      </c>
      <c r="BE3452" s="3">
        <v>41759</v>
      </c>
      <c r="BF3452" s="1">
        <v>218000</v>
      </c>
      <c r="BG3452" t="s">
        <v>22298</v>
      </c>
      <c r="BH3452" s="1">
        <v>119.52</v>
      </c>
      <c r="BI3452" s="1">
        <v>215000</v>
      </c>
      <c r="BJ3452" s="3">
        <v>43098</v>
      </c>
      <c r="BK3452" t="s">
        <v>123</v>
      </c>
      <c r="BL3452" t="str">
        <f>"2017.964874"</f>
        <v>2017.964874</v>
      </c>
      <c r="BM3452" t="s">
        <v>6604</v>
      </c>
      <c r="BO3452" t="s">
        <v>22299</v>
      </c>
      <c r="BS3452">
        <v>31</v>
      </c>
      <c r="BW3452" t="str">
        <f>""</f>
        <v/>
      </c>
      <c r="CH3452" t="str">
        <f>""</f>
        <v/>
      </c>
      <c r="CS3452" t="str">
        <f>""</f>
        <v/>
      </c>
    </row>
    <row r="3453" spans="1:97" x14ac:dyDescent="0.25">
      <c r="A3453" t="s">
        <v>305</v>
      </c>
      <c r="B3453" t="s">
        <v>2975</v>
      </c>
      <c r="C3453" t="s">
        <v>2261</v>
      </c>
      <c r="D3453" t="s">
        <v>2975</v>
      </c>
      <c r="E3453" t="s">
        <v>22300</v>
      </c>
      <c r="F3453" t="s">
        <v>108</v>
      </c>
      <c r="H3453" t="s">
        <v>22301</v>
      </c>
      <c r="I3453" t="s">
        <v>188</v>
      </c>
      <c r="J3453" t="s">
        <v>111</v>
      </c>
      <c r="K3453" t="str">
        <f>"85142"</f>
        <v>85142</v>
      </c>
      <c r="L3453" t="s">
        <v>1070</v>
      </c>
      <c r="M3453" t="s">
        <v>22301</v>
      </c>
      <c r="N3453" t="s">
        <v>188</v>
      </c>
      <c r="O3453" t="s">
        <v>111</v>
      </c>
      <c r="P3453" t="str">
        <f>"85142-5080"</f>
        <v>85142-5080</v>
      </c>
      <c r="Q3453" t="s">
        <v>113</v>
      </c>
      <c r="R3453" t="str">
        <f>"314-09-093"</f>
        <v>314-09-093</v>
      </c>
      <c r="S3453" t="s">
        <v>17033</v>
      </c>
      <c r="T3453" t="s">
        <v>17034</v>
      </c>
      <c r="U3453">
        <v>2638</v>
      </c>
      <c r="V3453">
        <v>0</v>
      </c>
      <c r="W3453">
        <v>3</v>
      </c>
      <c r="X3453">
        <v>2012</v>
      </c>
      <c r="Z3453">
        <v>1</v>
      </c>
      <c r="AA3453" t="s">
        <v>26</v>
      </c>
      <c r="AB3453">
        <v>0</v>
      </c>
      <c r="AC3453" t="s">
        <v>115</v>
      </c>
      <c r="AD3453">
        <v>2</v>
      </c>
      <c r="AE3453" t="s">
        <v>115</v>
      </c>
      <c r="AF3453">
        <v>0</v>
      </c>
      <c r="AG3453">
        <v>0</v>
      </c>
      <c r="AH3453" t="s">
        <v>116</v>
      </c>
      <c r="AI3453" s="1">
        <v>98630</v>
      </c>
      <c r="AJ3453" s="2">
        <v>0.26</v>
      </c>
      <c r="AK3453" s="1">
        <v>383630</v>
      </c>
      <c r="AL3453" t="s">
        <v>117</v>
      </c>
      <c r="AM3453" t="s">
        <v>393</v>
      </c>
      <c r="AN3453">
        <v>8400</v>
      </c>
      <c r="AO3453">
        <v>0.19</v>
      </c>
      <c r="AR3453">
        <v>1</v>
      </c>
      <c r="AS3453" s="1">
        <v>26980</v>
      </c>
      <c r="AT3453" s="1">
        <v>5390</v>
      </c>
      <c r="AU3453" s="1">
        <v>21590</v>
      </c>
      <c r="AV3453">
        <v>80.02</v>
      </c>
      <c r="AX3453" s="1">
        <v>3035.86</v>
      </c>
      <c r="AY3453" t="s">
        <v>1074</v>
      </c>
      <c r="AZ3453" t="s">
        <v>193</v>
      </c>
      <c r="BA3453" t="s">
        <v>194</v>
      </c>
      <c r="BE3453" s="3">
        <v>41992</v>
      </c>
      <c r="BF3453" s="1">
        <v>285000</v>
      </c>
      <c r="BG3453" t="s">
        <v>22302</v>
      </c>
      <c r="BH3453" s="1">
        <v>108.04</v>
      </c>
      <c r="BI3453" s="1">
        <v>285000</v>
      </c>
      <c r="BJ3453" s="3">
        <v>41992</v>
      </c>
      <c r="BK3453" t="s">
        <v>123</v>
      </c>
      <c r="BL3453" t="str">
        <f>"2014.837448"</f>
        <v>2014.837448</v>
      </c>
      <c r="BM3453" t="s">
        <v>135</v>
      </c>
      <c r="BO3453" t="s">
        <v>22303</v>
      </c>
      <c r="BS3453">
        <v>30</v>
      </c>
      <c r="BW3453" t="str">
        <f>""</f>
        <v/>
      </c>
      <c r="CH3453" t="str">
        <f>""</f>
        <v/>
      </c>
      <c r="CS3453" t="str">
        <f>""</f>
        <v/>
      </c>
    </row>
    <row r="3454" spans="1:97" x14ac:dyDescent="0.25">
      <c r="A3454" t="s">
        <v>22304</v>
      </c>
      <c r="B3454" t="s">
        <v>22305</v>
      </c>
      <c r="E3454" t="s">
        <v>22306</v>
      </c>
      <c r="F3454" t="s">
        <v>108</v>
      </c>
      <c r="H3454" t="s">
        <v>22307</v>
      </c>
      <c r="I3454" t="s">
        <v>203</v>
      </c>
      <c r="J3454" t="s">
        <v>111</v>
      </c>
      <c r="K3454" t="str">
        <f>"85234"</f>
        <v>85234</v>
      </c>
      <c r="L3454" t="s">
        <v>4751</v>
      </c>
      <c r="M3454" t="s">
        <v>22307</v>
      </c>
      <c r="N3454" t="s">
        <v>203</v>
      </c>
      <c r="O3454" t="s">
        <v>111</v>
      </c>
      <c r="P3454" t="str">
        <f>"85234-8210"</f>
        <v>85234-8210</v>
      </c>
      <c r="Q3454" t="s">
        <v>113</v>
      </c>
      <c r="R3454" t="str">
        <f>"309-04-523"</f>
        <v>309-04-523</v>
      </c>
      <c r="S3454" t="s">
        <v>11605</v>
      </c>
      <c r="T3454" t="s">
        <v>11605</v>
      </c>
      <c r="U3454">
        <v>2274</v>
      </c>
      <c r="V3454">
        <v>0</v>
      </c>
      <c r="W3454">
        <v>3</v>
      </c>
      <c r="X3454">
        <v>1995</v>
      </c>
      <c r="Z3454">
        <v>1</v>
      </c>
      <c r="AA3454" t="s">
        <v>26</v>
      </c>
      <c r="AB3454">
        <v>0</v>
      </c>
      <c r="AC3454" t="s">
        <v>115</v>
      </c>
      <c r="AD3454">
        <v>3</v>
      </c>
      <c r="AE3454" t="s">
        <v>115</v>
      </c>
      <c r="AF3454">
        <v>0</v>
      </c>
      <c r="AG3454">
        <v>0</v>
      </c>
      <c r="AH3454" t="s">
        <v>116</v>
      </c>
      <c r="AI3454" s="1">
        <v>67732</v>
      </c>
      <c r="AJ3454" s="2">
        <v>0.17</v>
      </c>
      <c r="AK3454" s="1">
        <v>392127</v>
      </c>
      <c r="AL3454" t="s">
        <v>117</v>
      </c>
      <c r="AM3454" t="s">
        <v>393</v>
      </c>
      <c r="AN3454">
        <v>7148</v>
      </c>
      <c r="AO3454">
        <v>0.16</v>
      </c>
      <c r="AP3454">
        <v>1</v>
      </c>
      <c r="AR3454">
        <v>1</v>
      </c>
      <c r="AS3454" s="1">
        <v>26520</v>
      </c>
      <c r="AT3454" s="1">
        <v>5300</v>
      </c>
      <c r="AU3454" s="1">
        <v>21220</v>
      </c>
      <c r="AV3454">
        <v>80.02</v>
      </c>
      <c r="AX3454" s="1">
        <v>1888.82</v>
      </c>
      <c r="AY3454" t="s">
        <v>6506</v>
      </c>
      <c r="AZ3454" t="s">
        <v>520</v>
      </c>
      <c r="BA3454" t="s">
        <v>5033</v>
      </c>
      <c r="BE3454" s="3">
        <v>42181</v>
      </c>
      <c r="BF3454" s="1">
        <v>322000</v>
      </c>
      <c r="BG3454" t="s">
        <v>22308</v>
      </c>
      <c r="BH3454" s="1">
        <v>141.6</v>
      </c>
      <c r="BI3454" s="1">
        <v>324395</v>
      </c>
      <c r="BJ3454" s="3">
        <v>42640</v>
      </c>
      <c r="BK3454" t="s">
        <v>123</v>
      </c>
      <c r="BL3454" t="str">
        <f>"2016.703683"</f>
        <v>2016.703683</v>
      </c>
      <c r="BM3454" t="s">
        <v>6517</v>
      </c>
      <c r="BO3454" t="s">
        <v>22309</v>
      </c>
      <c r="BS3454">
        <v>30</v>
      </c>
      <c r="BW3454" t="str">
        <f>""</f>
        <v/>
      </c>
      <c r="CH3454" t="str">
        <f>""</f>
        <v/>
      </c>
      <c r="CS3454" t="str">
        <f>""</f>
        <v/>
      </c>
    </row>
    <row r="3455" spans="1:97" x14ac:dyDescent="0.25">
      <c r="A3455" t="s">
        <v>22310</v>
      </c>
      <c r="B3455" t="s">
        <v>22311</v>
      </c>
      <c r="C3455" t="s">
        <v>1009</v>
      </c>
      <c r="D3455" t="s">
        <v>22311</v>
      </c>
      <c r="E3455" t="s">
        <v>22312</v>
      </c>
      <c r="F3455" t="s">
        <v>108</v>
      </c>
      <c r="H3455" t="s">
        <v>22313</v>
      </c>
      <c r="I3455" t="s">
        <v>2874</v>
      </c>
      <c r="J3455" t="s">
        <v>111</v>
      </c>
      <c r="K3455" t="str">
        <f>"85308"</f>
        <v>85308</v>
      </c>
      <c r="L3455" t="s">
        <v>6923</v>
      </c>
      <c r="M3455" t="s">
        <v>22313</v>
      </c>
      <c r="N3455" t="s">
        <v>2874</v>
      </c>
      <c r="O3455" t="s">
        <v>111</v>
      </c>
      <c r="P3455" t="str">
        <f>"85308-2411"</f>
        <v>85308-2411</v>
      </c>
      <c r="Q3455" t="s">
        <v>113</v>
      </c>
      <c r="R3455" t="str">
        <f>"207-20-564"</f>
        <v>207-20-564</v>
      </c>
      <c r="S3455" t="s">
        <v>22314</v>
      </c>
      <c r="T3455" t="s">
        <v>22315</v>
      </c>
      <c r="U3455">
        <v>1355</v>
      </c>
      <c r="V3455">
        <v>0</v>
      </c>
      <c r="W3455">
        <v>2</v>
      </c>
      <c r="X3455">
        <v>1986</v>
      </c>
      <c r="Z3455">
        <v>2</v>
      </c>
      <c r="AA3455" t="s">
        <v>26</v>
      </c>
      <c r="AB3455">
        <v>0</v>
      </c>
      <c r="AC3455" t="s">
        <v>115</v>
      </c>
      <c r="AD3455">
        <v>2</v>
      </c>
      <c r="AE3455" t="s">
        <v>115</v>
      </c>
      <c r="AF3455">
        <v>0</v>
      </c>
      <c r="AG3455">
        <v>0</v>
      </c>
      <c r="AH3455" t="s">
        <v>116</v>
      </c>
      <c r="AI3455" s="1">
        <v>26927</v>
      </c>
      <c r="AJ3455" s="2">
        <v>0.11</v>
      </c>
      <c r="AK3455" s="1">
        <v>236927</v>
      </c>
      <c r="AL3455" t="s">
        <v>117</v>
      </c>
      <c r="AM3455" t="s">
        <v>1315</v>
      </c>
      <c r="AN3455">
        <v>4971</v>
      </c>
      <c r="AO3455">
        <v>0.11</v>
      </c>
      <c r="AP3455">
        <v>1</v>
      </c>
      <c r="AR3455">
        <v>1</v>
      </c>
      <c r="AS3455" s="1">
        <v>16300</v>
      </c>
      <c r="AT3455" s="1">
        <v>3260</v>
      </c>
      <c r="AU3455" s="1">
        <v>13040</v>
      </c>
      <c r="AV3455">
        <v>80</v>
      </c>
      <c r="AX3455" s="1">
        <v>1023.72</v>
      </c>
      <c r="AY3455" t="s">
        <v>8466</v>
      </c>
      <c r="AZ3455" t="s">
        <v>5142</v>
      </c>
      <c r="BA3455" t="s">
        <v>5143</v>
      </c>
      <c r="BE3455" s="3">
        <v>42438</v>
      </c>
      <c r="BF3455" s="1">
        <v>190000</v>
      </c>
      <c r="BG3455" t="s">
        <v>22316</v>
      </c>
      <c r="BH3455" s="1">
        <v>140.22</v>
      </c>
      <c r="BI3455" s="1">
        <v>210000</v>
      </c>
      <c r="BJ3455" s="3">
        <v>43042</v>
      </c>
      <c r="BK3455" t="s">
        <v>123</v>
      </c>
      <c r="BL3455" t="str">
        <f>"2017.818796"</f>
        <v>2017.818796</v>
      </c>
      <c r="BM3455" t="s">
        <v>4127</v>
      </c>
      <c r="BO3455" t="s">
        <v>22317</v>
      </c>
      <c r="BQ3455" t="str">
        <f>"3.2500%"</f>
        <v>3.2500%</v>
      </c>
      <c r="BR3455" t="s">
        <v>1480</v>
      </c>
      <c r="BS3455">
        <v>30</v>
      </c>
      <c r="BW3455" t="str">
        <f>""</f>
        <v/>
      </c>
      <c r="CH3455" t="str">
        <f>""</f>
        <v/>
      </c>
      <c r="CS3455" t="str">
        <f>""</f>
        <v/>
      </c>
    </row>
    <row r="3456" spans="1:97" x14ac:dyDescent="0.25">
      <c r="A3456" t="s">
        <v>1465</v>
      </c>
      <c r="B3456" t="s">
        <v>1963</v>
      </c>
      <c r="E3456" t="s">
        <v>22318</v>
      </c>
      <c r="F3456" t="s">
        <v>108</v>
      </c>
      <c r="H3456" t="s">
        <v>22319</v>
      </c>
      <c r="I3456" t="s">
        <v>5551</v>
      </c>
      <c r="J3456" t="s">
        <v>111</v>
      </c>
      <c r="K3456" t="str">
        <f>"85248"</f>
        <v>85248</v>
      </c>
      <c r="L3456" t="s">
        <v>7147</v>
      </c>
      <c r="M3456" t="s">
        <v>22319</v>
      </c>
      <c r="N3456" t="s">
        <v>5551</v>
      </c>
      <c r="O3456" t="s">
        <v>111</v>
      </c>
      <c r="P3456" t="str">
        <f>"85248-9276"</f>
        <v>85248-9276</v>
      </c>
      <c r="Q3456" t="s">
        <v>113</v>
      </c>
      <c r="R3456" t="str">
        <f>"303-70-049"</f>
        <v>303-70-049</v>
      </c>
      <c r="S3456" t="s">
        <v>22320</v>
      </c>
      <c r="U3456">
        <v>1323</v>
      </c>
      <c r="V3456">
        <v>0</v>
      </c>
      <c r="W3456">
        <v>3</v>
      </c>
      <c r="X3456">
        <v>1991</v>
      </c>
      <c r="Z3456">
        <v>1</v>
      </c>
      <c r="AB3456">
        <v>0</v>
      </c>
      <c r="AC3456" t="s">
        <v>115</v>
      </c>
      <c r="AD3456">
        <v>2</v>
      </c>
      <c r="AE3456" t="s">
        <v>115</v>
      </c>
      <c r="AF3456">
        <v>0</v>
      </c>
      <c r="AG3456">
        <v>0</v>
      </c>
      <c r="AH3456" t="s">
        <v>116</v>
      </c>
      <c r="AI3456" s="1">
        <v>77233</v>
      </c>
      <c r="AJ3456" s="2">
        <v>0.27</v>
      </c>
      <c r="AK3456" s="1">
        <v>290281</v>
      </c>
      <c r="AL3456" t="s">
        <v>117</v>
      </c>
      <c r="AM3456" t="s">
        <v>191</v>
      </c>
      <c r="AN3456">
        <v>5909</v>
      </c>
      <c r="AO3456">
        <v>0.14000000000000001</v>
      </c>
      <c r="AP3456">
        <v>1</v>
      </c>
      <c r="AR3456">
        <v>1</v>
      </c>
      <c r="AS3456" s="1">
        <v>18920</v>
      </c>
      <c r="AT3456" s="1">
        <v>3780</v>
      </c>
      <c r="AU3456" s="1">
        <v>15140</v>
      </c>
      <c r="AV3456">
        <v>80.02</v>
      </c>
      <c r="AX3456" s="1">
        <v>2008.9</v>
      </c>
      <c r="AY3456" t="s">
        <v>1881</v>
      </c>
      <c r="AZ3456" t="s">
        <v>1882</v>
      </c>
      <c r="BA3456" t="s">
        <v>121</v>
      </c>
      <c r="BE3456" s="3">
        <v>42306</v>
      </c>
      <c r="BF3456" s="1">
        <v>229900</v>
      </c>
      <c r="BG3456" t="s">
        <v>22321</v>
      </c>
      <c r="BH3456" s="1">
        <v>173.77</v>
      </c>
      <c r="BI3456" s="1">
        <v>213048</v>
      </c>
      <c r="BJ3456" s="3">
        <v>42306</v>
      </c>
      <c r="BK3456" t="s">
        <v>123</v>
      </c>
      <c r="BL3456" t="str">
        <f>"2015.777394"</f>
        <v>2015.777394</v>
      </c>
      <c r="BM3456" t="s">
        <v>135</v>
      </c>
      <c r="BO3456" t="s">
        <v>22322</v>
      </c>
      <c r="BS3456">
        <v>30</v>
      </c>
      <c r="BW3456" t="str">
        <f>""</f>
        <v/>
      </c>
      <c r="CH3456" t="str">
        <f>""</f>
        <v/>
      </c>
      <c r="CS3456" t="str">
        <f>""</f>
        <v/>
      </c>
    </row>
    <row r="3457" spans="1:97" x14ac:dyDescent="0.25">
      <c r="A3457" t="s">
        <v>5301</v>
      </c>
      <c r="B3457" t="s">
        <v>22323</v>
      </c>
      <c r="C3457" t="s">
        <v>22324</v>
      </c>
      <c r="D3457" t="s">
        <v>22323</v>
      </c>
      <c r="E3457" t="s">
        <v>22325</v>
      </c>
      <c r="F3457" t="s">
        <v>108</v>
      </c>
      <c r="H3457" t="s">
        <v>22326</v>
      </c>
      <c r="I3457" t="s">
        <v>632</v>
      </c>
      <c r="J3457" t="s">
        <v>111</v>
      </c>
      <c r="K3457" t="str">
        <f>"85388"</f>
        <v>85388</v>
      </c>
      <c r="L3457" t="s">
        <v>5165</v>
      </c>
      <c r="M3457" t="s">
        <v>22326</v>
      </c>
      <c r="N3457" t="s">
        <v>632</v>
      </c>
      <c r="O3457" t="s">
        <v>111</v>
      </c>
      <c r="P3457" t="str">
        <f>"85388-5015"</f>
        <v>85388-5015</v>
      </c>
      <c r="Q3457" t="s">
        <v>113</v>
      </c>
      <c r="R3457" t="str">
        <f>"502-05-446"</f>
        <v>502-05-446</v>
      </c>
      <c r="S3457" t="s">
        <v>5166</v>
      </c>
      <c r="T3457" t="s">
        <v>5167</v>
      </c>
      <c r="U3457">
        <v>2338</v>
      </c>
      <c r="V3457">
        <v>0</v>
      </c>
      <c r="W3457">
        <v>4</v>
      </c>
      <c r="X3457">
        <v>2013</v>
      </c>
      <c r="Z3457">
        <v>1</v>
      </c>
      <c r="AB3457">
        <v>0</v>
      </c>
      <c r="AC3457" t="s">
        <v>115</v>
      </c>
      <c r="AD3457">
        <v>3</v>
      </c>
      <c r="AE3457" t="s">
        <v>115</v>
      </c>
      <c r="AF3457">
        <v>0</v>
      </c>
      <c r="AG3457">
        <v>0</v>
      </c>
      <c r="AH3457" t="s">
        <v>116</v>
      </c>
      <c r="AI3457" s="1">
        <v>34135</v>
      </c>
      <c r="AJ3457" s="2">
        <v>0.11</v>
      </c>
      <c r="AK3457" s="1">
        <v>317177</v>
      </c>
      <c r="AL3457" t="s">
        <v>117</v>
      </c>
      <c r="AM3457" t="s">
        <v>118</v>
      </c>
      <c r="AN3457">
        <v>9734</v>
      </c>
      <c r="AO3457">
        <v>0.22</v>
      </c>
      <c r="AR3457">
        <v>1</v>
      </c>
      <c r="AS3457" s="1">
        <v>22330</v>
      </c>
      <c r="AT3457" s="1">
        <v>4460</v>
      </c>
      <c r="AU3457" s="1">
        <v>17870</v>
      </c>
      <c r="AV3457">
        <v>80.03</v>
      </c>
      <c r="AX3457" s="1">
        <v>1742.04</v>
      </c>
      <c r="AY3457" t="s">
        <v>5168</v>
      </c>
      <c r="AZ3457" t="s">
        <v>5168</v>
      </c>
      <c r="BA3457" t="s">
        <v>5061</v>
      </c>
      <c r="BE3457" s="3">
        <v>41757</v>
      </c>
      <c r="BF3457" s="1">
        <v>225662</v>
      </c>
      <c r="BG3457" t="s">
        <v>22327</v>
      </c>
      <c r="BH3457" s="1">
        <v>96.52</v>
      </c>
      <c r="BI3457" s="1">
        <v>283042</v>
      </c>
      <c r="BJ3457" s="3">
        <v>43003</v>
      </c>
      <c r="BK3457" t="s">
        <v>123</v>
      </c>
      <c r="BL3457" t="str">
        <f>"2017.705541"</f>
        <v>2017.705541</v>
      </c>
      <c r="BM3457" t="s">
        <v>10866</v>
      </c>
      <c r="BO3457" t="s">
        <v>22328</v>
      </c>
      <c r="BS3457">
        <v>30</v>
      </c>
      <c r="BW3457" t="str">
        <f>""</f>
        <v/>
      </c>
      <c r="CH3457" t="str">
        <f>""</f>
        <v/>
      </c>
      <c r="CS3457" t="str">
        <f>""</f>
        <v/>
      </c>
    </row>
    <row r="3458" spans="1:97" x14ac:dyDescent="0.25">
      <c r="A3458" t="s">
        <v>7306</v>
      </c>
      <c r="B3458" t="s">
        <v>17714</v>
      </c>
      <c r="E3458" t="s">
        <v>22329</v>
      </c>
      <c r="F3458" t="s">
        <v>108</v>
      </c>
      <c r="H3458" t="s">
        <v>22330</v>
      </c>
      <c r="I3458" t="s">
        <v>499</v>
      </c>
      <c r="J3458" t="s">
        <v>111</v>
      </c>
      <c r="K3458" t="str">
        <f>"85395"</f>
        <v>85395</v>
      </c>
      <c r="L3458" t="s">
        <v>7005</v>
      </c>
      <c r="M3458" t="s">
        <v>22330</v>
      </c>
      <c r="N3458" t="s">
        <v>499</v>
      </c>
      <c r="O3458" t="s">
        <v>111</v>
      </c>
      <c r="P3458" t="str">
        <f>"85395-8983"</f>
        <v>85395-8983</v>
      </c>
      <c r="Q3458" t="s">
        <v>113</v>
      </c>
      <c r="R3458" t="str">
        <f>"508-14-042"</f>
        <v>508-14-042</v>
      </c>
      <c r="S3458" t="s">
        <v>14773</v>
      </c>
      <c r="T3458" t="s">
        <v>14987</v>
      </c>
      <c r="U3458">
        <v>1922</v>
      </c>
      <c r="V3458">
        <v>0</v>
      </c>
      <c r="W3458">
        <v>3</v>
      </c>
      <c r="X3458">
        <v>2005</v>
      </c>
      <c r="Z3458">
        <v>1</v>
      </c>
      <c r="AB3458">
        <v>0</v>
      </c>
      <c r="AC3458" t="s">
        <v>115</v>
      </c>
      <c r="AD3458">
        <v>3</v>
      </c>
      <c r="AE3458" t="s">
        <v>115</v>
      </c>
      <c r="AF3458">
        <v>0</v>
      </c>
      <c r="AG3458">
        <v>0</v>
      </c>
      <c r="AH3458" t="s">
        <v>116</v>
      </c>
      <c r="AI3458" s="1">
        <v>75652</v>
      </c>
      <c r="AJ3458" s="2">
        <v>0.26</v>
      </c>
      <c r="AK3458" s="1">
        <v>292102</v>
      </c>
      <c r="AL3458" t="s">
        <v>117</v>
      </c>
      <c r="AM3458" t="s">
        <v>118</v>
      </c>
      <c r="AN3458">
        <v>6900</v>
      </c>
      <c r="AO3458">
        <v>0.16</v>
      </c>
      <c r="AR3458">
        <v>1</v>
      </c>
      <c r="AS3458" s="1">
        <v>20180</v>
      </c>
      <c r="AT3458" s="1">
        <v>4030</v>
      </c>
      <c r="AU3458" s="1">
        <v>16150</v>
      </c>
      <c r="AV3458">
        <v>80.03</v>
      </c>
      <c r="AX3458" s="1">
        <v>1834.76</v>
      </c>
      <c r="AY3458" t="s">
        <v>3020</v>
      </c>
      <c r="AZ3458" t="s">
        <v>3020</v>
      </c>
      <c r="BA3458" t="s">
        <v>7186</v>
      </c>
      <c r="BE3458" s="3">
        <v>41780</v>
      </c>
      <c r="BF3458" s="1">
        <v>199500</v>
      </c>
      <c r="BG3458" t="s">
        <v>22331</v>
      </c>
      <c r="BH3458" s="1">
        <v>103.8</v>
      </c>
      <c r="BI3458" s="1">
        <v>216450</v>
      </c>
      <c r="BJ3458" s="3">
        <v>42325</v>
      </c>
      <c r="BK3458" t="s">
        <v>123</v>
      </c>
      <c r="BL3458" t="str">
        <f>"2015.820231"</f>
        <v>2015.820231</v>
      </c>
      <c r="BM3458" t="s">
        <v>8868</v>
      </c>
      <c r="BN3458" t="s">
        <v>18904</v>
      </c>
      <c r="BO3458" t="s">
        <v>22332</v>
      </c>
      <c r="BS3458">
        <v>30</v>
      </c>
      <c r="BT3458" s="1">
        <v>216450</v>
      </c>
      <c r="BU3458" s="3">
        <v>42325</v>
      </c>
      <c r="BV3458" t="s">
        <v>123</v>
      </c>
      <c r="BW3458" t="str">
        <f>"2015.820231"</f>
        <v>2015.820231</v>
      </c>
      <c r="BX3458" t="s">
        <v>8868</v>
      </c>
      <c r="BZ3458" t="s">
        <v>22332</v>
      </c>
      <c r="CD3458">
        <v>30</v>
      </c>
      <c r="CH3458" t="str">
        <f>""</f>
        <v/>
      </c>
      <c r="CS3458" t="str">
        <f>""</f>
        <v/>
      </c>
    </row>
    <row r="3459" spans="1:97" x14ac:dyDescent="0.25">
      <c r="A3459" t="s">
        <v>1388</v>
      </c>
      <c r="B3459" t="s">
        <v>22333</v>
      </c>
      <c r="E3459" t="s">
        <v>22334</v>
      </c>
      <c r="F3459" t="s">
        <v>108</v>
      </c>
      <c r="H3459" t="s">
        <v>22335</v>
      </c>
      <c r="I3459" t="s">
        <v>3150</v>
      </c>
      <c r="J3459" t="s">
        <v>111</v>
      </c>
      <c r="K3459" t="str">
        <f>"85340"</f>
        <v>85340</v>
      </c>
      <c r="L3459" t="s">
        <v>168</v>
      </c>
      <c r="M3459" t="s">
        <v>22335</v>
      </c>
      <c r="N3459" t="s">
        <v>3150</v>
      </c>
      <c r="O3459" t="s">
        <v>111</v>
      </c>
      <c r="P3459" t="str">
        <f>"85340-5190"</f>
        <v>85340-5190</v>
      </c>
      <c r="Q3459" t="s">
        <v>113</v>
      </c>
      <c r="R3459" t="str">
        <f>"508-07-680"</f>
        <v>508-07-680</v>
      </c>
      <c r="S3459" t="s">
        <v>22336</v>
      </c>
      <c r="U3459">
        <v>2904</v>
      </c>
      <c r="V3459">
        <v>0</v>
      </c>
      <c r="W3459">
        <v>4</v>
      </c>
      <c r="X3459">
        <v>2003</v>
      </c>
      <c r="Z3459">
        <v>1</v>
      </c>
      <c r="AA3459" t="s">
        <v>26</v>
      </c>
      <c r="AB3459">
        <v>0</v>
      </c>
      <c r="AC3459" t="s">
        <v>115</v>
      </c>
      <c r="AD3459">
        <v>3</v>
      </c>
      <c r="AE3459" t="s">
        <v>115</v>
      </c>
      <c r="AF3459">
        <v>0</v>
      </c>
      <c r="AG3459">
        <v>0</v>
      </c>
      <c r="AH3459" t="s">
        <v>116</v>
      </c>
      <c r="AI3459" s="1">
        <v>135314</v>
      </c>
      <c r="AJ3459" s="2">
        <v>0.33</v>
      </c>
      <c r="AK3459" s="1">
        <v>408284</v>
      </c>
      <c r="AL3459" t="s">
        <v>117</v>
      </c>
      <c r="AM3459" t="s">
        <v>1302</v>
      </c>
      <c r="AN3459">
        <v>13142</v>
      </c>
      <c r="AO3459">
        <v>0.3</v>
      </c>
      <c r="AP3459">
        <v>1</v>
      </c>
      <c r="AR3459">
        <v>1</v>
      </c>
      <c r="AS3459" s="1">
        <v>30730</v>
      </c>
      <c r="AT3459" s="1">
        <v>6140</v>
      </c>
      <c r="AU3459" s="1">
        <v>24590</v>
      </c>
      <c r="AV3459">
        <v>80.02</v>
      </c>
      <c r="AX3459" s="1">
        <v>2540.66</v>
      </c>
      <c r="AY3459" t="s">
        <v>6700</v>
      </c>
      <c r="AZ3459" t="s">
        <v>6701</v>
      </c>
      <c r="BA3459" t="s">
        <v>6702</v>
      </c>
      <c r="BE3459" s="3">
        <v>42226</v>
      </c>
      <c r="BF3459" s="1">
        <v>337000</v>
      </c>
      <c r="BG3459" t="s">
        <v>17736</v>
      </c>
      <c r="BH3459" s="1">
        <v>116.05</v>
      </c>
      <c r="BI3459" s="1">
        <v>272970</v>
      </c>
      <c r="BJ3459" s="3">
        <v>42226</v>
      </c>
      <c r="BK3459" t="s">
        <v>123</v>
      </c>
      <c r="BL3459" t="str">
        <f>"2015.578772"</f>
        <v>2015.578772</v>
      </c>
      <c r="BM3459" t="s">
        <v>709</v>
      </c>
      <c r="BO3459" t="s">
        <v>22337</v>
      </c>
      <c r="BS3459">
        <v>30</v>
      </c>
      <c r="BW3459" t="str">
        <f>""</f>
        <v/>
      </c>
      <c r="CH3459" t="str">
        <f>""</f>
        <v/>
      </c>
      <c r="CS3459" t="str">
        <f>""</f>
        <v/>
      </c>
    </row>
    <row r="3460" spans="1:97" x14ac:dyDescent="0.25">
      <c r="B3460" t="s">
        <v>22338</v>
      </c>
      <c r="C3460" t="s">
        <v>1649</v>
      </c>
      <c r="E3460" t="s">
        <v>22339</v>
      </c>
      <c r="F3460" t="s">
        <v>108</v>
      </c>
      <c r="H3460" t="s">
        <v>22340</v>
      </c>
      <c r="I3460" t="s">
        <v>390</v>
      </c>
      <c r="J3460" t="s">
        <v>111</v>
      </c>
      <c r="K3460" t="str">
        <f>"85024"</f>
        <v>85024</v>
      </c>
      <c r="L3460" t="s">
        <v>5438</v>
      </c>
      <c r="M3460" t="s">
        <v>22340</v>
      </c>
      <c r="N3460" t="s">
        <v>390</v>
      </c>
      <c r="O3460" t="s">
        <v>111</v>
      </c>
      <c r="P3460" t="str">
        <f>"85024-1255"</f>
        <v>85024-1255</v>
      </c>
      <c r="Q3460" t="s">
        <v>113</v>
      </c>
      <c r="R3460" t="str">
        <f>"213-26-075"</f>
        <v>213-26-075</v>
      </c>
      <c r="S3460" t="s">
        <v>22341</v>
      </c>
      <c r="T3460" t="s">
        <v>22341</v>
      </c>
      <c r="U3460">
        <v>1754</v>
      </c>
      <c r="V3460">
        <v>0</v>
      </c>
      <c r="W3460">
        <v>3</v>
      </c>
      <c r="X3460">
        <v>1995</v>
      </c>
      <c r="Z3460">
        <v>1</v>
      </c>
      <c r="AA3460" t="s">
        <v>26</v>
      </c>
      <c r="AB3460">
        <v>0</v>
      </c>
      <c r="AC3460" t="s">
        <v>115</v>
      </c>
      <c r="AD3460">
        <v>2</v>
      </c>
      <c r="AE3460" t="s">
        <v>115</v>
      </c>
      <c r="AF3460">
        <v>0</v>
      </c>
      <c r="AG3460">
        <v>0</v>
      </c>
      <c r="AH3460" t="s">
        <v>116</v>
      </c>
      <c r="AI3460" s="1">
        <v>80911</v>
      </c>
      <c r="AJ3460" s="2">
        <v>0.24</v>
      </c>
      <c r="AK3460" s="1">
        <v>330911</v>
      </c>
      <c r="AL3460" t="s">
        <v>117</v>
      </c>
      <c r="AM3460" t="s">
        <v>191</v>
      </c>
      <c r="AN3460">
        <v>5867</v>
      </c>
      <c r="AO3460">
        <v>0.14000000000000001</v>
      </c>
      <c r="AP3460">
        <v>1</v>
      </c>
      <c r="AR3460">
        <v>1</v>
      </c>
      <c r="AS3460" s="1">
        <v>23770</v>
      </c>
      <c r="AT3460" s="1">
        <v>4750</v>
      </c>
      <c r="AU3460" s="1">
        <v>19020</v>
      </c>
      <c r="AV3460">
        <v>80.02</v>
      </c>
      <c r="AX3460" s="1">
        <v>2238.16</v>
      </c>
      <c r="AY3460" t="s">
        <v>5710</v>
      </c>
      <c r="AZ3460" t="s">
        <v>761</v>
      </c>
      <c r="BA3460" t="s">
        <v>2551</v>
      </c>
      <c r="BB3460" s="3">
        <v>43565</v>
      </c>
      <c r="BC3460" s="1">
        <v>0</v>
      </c>
      <c r="BD3460" t="s">
        <v>247</v>
      </c>
      <c r="BE3460" s="3">
        <v>41955</v>
      </c>
      <c r="BF3460" s="1">
        <v>250000</v>
      </c>
      <c r="BG3460" t="s">
        <v>22342</v>
      </c>
      <c r="BH3460" s="1">
        <v>142.53</v>
      </c>
      <c r="BI3460" s="1">
        <v>250000</v>
      </c>
      <c r="BJ3460" s="3">
        <v>41955</v>
      </c>
      <c r="BK3460" t="s">
        <v>123</v>
      </c>
      <c r="BL3460" t="str">
        <f>"2014.748226"</f>
        <v>2014.748226</v>
      </c>
      <c r="BM3460" t="s">
        <v>544</v>
      </c>
      <c r="BN3460" t="s">
        <v>545</v>
      </c>
      <c r="BO3460" t="s">
        <v>22343</v>
      </c>
      <c r="BP3460" t="s">
        <v>22344</v>
      </c>
      <c r="BS3460">
        <v>30</v>
      </c>
      <c r="BW3460" t="str">
        <f>""</f>
        <v/>
      </c>
      <c r="CH3460" t="str">
        <f>""</f>
        <v/>
      </c>
      <c r="CS3460" t="str">
        <f>""</f>
        <v/>
      </c>
    </row>
    <row r="3461" spans="1:97" x14ac:dyDescent="0.25">
      <c r="A3461" t="s">
        <v>938</v>
      </c>
      <c r="B3461" t="s">
        <v>22345</v>
      </c>
      <c r="C3461" t="s">
        <v>2640</v>
      </c>
      <c r="D3461" t="s">
        <v>22345</v>
      </c>
      <c r="E3461" t="s">
        <v>22346</v>
      </c>
      <c r="F3461" t="s">
        <v>108</v>
      </c>
      <c r="H3461" t="s">
        <v>22347</v>
      </c>
      <c r="I3461" t="s">
        <v>225</v>
      </c>
      <c r="J3461" t="s">
        <v>111</v>
      </c>
      <c r="K3461" t="str">
        <f>"85207"</f>
        <v>85207</v>
      </c>
      <c r="L3461" t="s">
        <v>375</v>
      </c>
      <c r="M3461" t="s">
        <v>22347</v>
      </c>
      <c r="N3461" t="s">
        <v>225</v>
      </c>
      <c r="O3461" t="s">
        <v>111</v>
      </c>
      <c r="P3461" t="str">
        <f>"85207-4445"</f>
        <v>85207-4445</v>
      </c>
      <c r="Q3461" t="s">
        <v>113</v>
      </c>
      <c r="R3461" t="str">
        <f>"220-01-261"</f>
        <v>220-01-261</v>
      </c>
      <c r="S3461" t="s">
        <v>5944</v>
      </c>
      <c r="T3461" t="s">
        <v>5944</v>
      </c>
      <c r="U3461">
        <v>2434</v>
      </c>
      <c r="V3461">
        <v>0</v>
      </c>
      <c r="W3461">
        <v>3</v>
      </c>
      <c r="X3461">
        <v>2000</v>
      </c>
      <c r="Z3461">
        <v>1</v>
      </c>
      <c r="AA3461" t="s">
        <v>26</v>
      </c>
      <c r="AB3461">
        <v>0</v>
      </c>
      <c r="AC3461" t="s">
        <v>115</v>
      </c>
      <c r="AD3461">
        <v>2</v>
      </c>
      <c r="AE3461" t="s">
        <v>115</v>
      </c>
      <c r="AF3461">
        <v>0</v>
      </c>
      <c r="AG3461">
        <v>0</v>
      </c>
      <c r="AH3461" t="s">
        <v>116</v>
      </c>
      <c r="AI3461" s="1">
        <v>89720</v>
      </c>
      <c r="AJ3461" s="2">
        <v>0.2</v>
      </c>
      <c r="AK3461" s="1">
        <v>456435</v>
      </c>
      <c r="AL3461" t="s">
        <v>117</v>
      </c>
      <c r="AM3461" t="s">
        <v>917</v>
      </c>
      <c r="AN3461">
        <v>10000</v>
      </c>
      <c r="AO3461">
        <v>0.23</v>
      </c>
      <c r="AP3461">
        <v>1</v>
      </c>
      <c r="AR3461">
        <v>1</v>
      </c>
      <c r="AS3461" s="1">
        <v>31910</v>
      </c>
      <c r="AT3461" s="1">
        <v>6380</v>
      </c>
      <c r="AU3461" s="1">
        <v>25530</v>
      </c>
      <c r="AV3461">
        <v>80.010000000000005</v>
      </c>
      <c r="AX3461" s="1">
        <v>2560.48</v>
      </c>
      <c r="AY3461" t="s">
        <v>3118</v>
      </c>
      <c r="AZ3461" t="s">
        <v>3761</v>
      </c>
      <c r="BA3461" t="s">
        <v>232</v>
      </c>
      <c r="BE3461" s="3">
        <v>41985</v>
      </c>
      <c r="BF3461" s="1">
        <v>355000</v>
      </c>
      <c r="BG3461" t="s">
        <v>22348</v>
      </c>
      <c r="BH3461" s="1">
        <v>145.85</v>
      </c>
      <c r="BI3461" s="1">
        <v>366715</v>
      </c>
      <c r="BJ3461" s="3">
        <v>41985</v>
      </c>
      <c r="BK3461" t="s">
        <v>123</v>
      </c>
      <c r="BL3461" t="str">
        <f>"2014.816985"</f>
        <v>2014.816985</v>
      </c>
      <c r="BM3461" t="s">
        <v>1325</v>
      </c>
      <c r="BO3461" t="s">
        <v>22349</v>
      </c>
      <c r="BS3461">
        <v>30</v>
      </c>
      <c r="BW3461" t="str">
        <f>""</f>
        <v/>
      </c>
      <c r="CH3461" t="str">
        <f>""</f>
        <v/>
      </c>
      <c r="CS3461" t="str">
        <f>""</f>
        <v/>
      </c>
    </row>
    <row r="3462" spans="1:97" x14ac:dyDescent="0.25">
      <c r="A3462" t="s">
        <v>3580</v>
      </c>
      <c r="B3462" t="s">
        <v>22350</v>
      </c>
      <c r="C3462" t="s">
        <v>1289</v>
      </c>
      <c r="D3462" t="s">
        <v>22350</v>
      </c>
      <c r="E3462" t="s">
        <v>22351</v>
      </c>
      <c r="F3462" t="s">
        <v>108</v>
      </c>
      <c r="H3462" t="s">
        <v>22352</v>
      </c>
      <c r="I3462" t="s">
        <v>1936</v>
      </c>
      <c r="J3462" t="s">
        <v>111</v>
      </c>
      <c r="K3462" t="str">
        <f>"85260"</f>
        <v>85260</v>
      </c>
      <c r="L3462" t="s">
        <v>5106</v>
      </c>
      <c r="M3462" t="s">
        <v>22352</v>
      </c>
      <c r="N3462" t="s">
        <v>1936</v>
      </c>
      <c r="O3462" t="s">
        <v>111</v>
      </c>
      <c r="P3462" t="str">
        <f>"85260-7540"</f>
        <v>85260-7540</v>
      </c>
      <c r="Q3462" t="s">
        <v>113</v>
      </c>
      <c r="R3462" t="str">
        <f>"217-16-301"</f>
        <v>217-16-301</v>
      </c>
      <c r="S3462" t="s">
        <v>22353</v>
      </c>
      <c r="T3462" t="s">
        <v>22354</v>
      </c>
      <c r="U3462">
        <v>2052</v>
      </c>
      <c r="V3462">
        <v>0</v>
      </c>
      <c r="W3462">
        <v>3</v>
      </c>
      <c r="X3462">
        <v>1993</v>
      </c>
      <c r="Z3462">
        <v>1</v>
      </c>
      <c r="AB3462">
        <v>0</v>
      </c>
      <c r="AC3462" t="s">
        <v>115</v>
      </c>
      <c r="AD3462">
        <v>2</v>
      </c>
      <c r="AE3462" t="s">
        <v>115</v>
      </c>
      <c r="AF3462">
        <v>0</v>
      </c>
      <c r="AG3462">
        <v>0</v>
      </c>
      <c r="AH3462" t="s">
        <v>116</v>
      </c>
      <c r="AI3462" s="1">
        <v>83828</v>
      </c>
      <c r="AJ3462" s="2">
        <v>0.18</v>
      </c>
      <c r="AK3462" s="1">
        <v>473972</v>
      </c>
      <c r="AL3462" t="s">
        <v>117</v>
      </c>
      <c r="AM3462" t="s">
        <v>6533</v>
      </c>
      <c r="AN3462">
        <v>5750</v>
      </c>
      <c r="AO3462">
        <v>0.13</v>
      </c>
      <c r="AP3462">
        <v>1</v>
      </c>
      <c r="AR3462">
        <v>1</v>
      </c>
      <c r="AS3462" s="1">
        <v>34810</v>
      </c>
      <c r="AT3462" s="1">
        <v>6960</v>
      </c>
      <c r="AU3462" s="1">
        <v>27850</v>
      </c>
      <c r="AV3462">
        <v>80.010000000000005</v>
      </c>
      <c r="AX3462" s="1">
        <v>1908.4</v>
      </c>
      <c r="AY3462" t="s">
        <v>5904</v>
      </c>
      <c r="AZ3462" t="s">
        <v>5420</v>
      </c>
      <c r="BA3462" t="s">
        <v>5763</v>
      </c>
      <c r="BE3462" s="3">
        <v>42545</v>
      </c>
      <c r="BF3462" s="1">
        <v>381000</v>
      </c>
      <c r="BG3462" t="s">
        <v>22355</v>
      </c>
      <c r="BH3462" s="1">
        <v>216.11</v>
      </c>
      <c r="BI3462" s="1">
        <v>390144</v>
      </c>
      <c r="BJ3462" s="3">
        <v>42545</v>
      </c>
      <c r="BK3462" t="s">
        <v>123</v>
      </c>
      <c r="BL3462" t="str">
        <f>"2016.444198"</f>
        <v>2016.444198</v>
      </c>
      <c r="BM3462" t="s">
        <v>1287</v>
      </c>
      <c r="BO3462" t="s">
        <v>22356</v>
      </c>
      <c r="BS3462">
        <v>30</v>
      </c>
      <c r="BW3462" t="str">
        <f>""</f>
        <v/>
      </c>
      <c r="CH3462" t="str">
        <f>""</f>
        <v/>
      </c>
      <c r="CS3462" t="str">
        <f>""</f>
        <v/>
      </c>
    </row>
    <row r="3463" spans="1:97" x14ac:dyDescent="0.25">
      <c r="A3463" t="s">
        <v>494</v>
      </c>
      <c r="B3463" t="s">
        <v>603</v>
      </c>
      <c r="C3463" t="s">
        <v>259</v>
      </c>
      <c r="D3463" t="s">
        <v>603</v>
      </c>
      <c r="E3463" t="s">
        <v>22357</v>
      </c>
      <c r="F3463" t="s">
        <v>108</v>
      </c>
      <c r="H3463" t="s">
        <v>22358</v>
      </c>
      <c r="I3463" t="s">
        <v>632</v>
      </c>
      <c r="J3463" t="s">
        <v>111</v>
      </c>
      <c r="K3463" t="str">
        <f>"85388"</f>
        <v>85388</v>
      </c>
      <c r="L3463" t="s">
        <v>7607</v>
      </c>
      <c r="M3463" t="s">
        <v>22358</v>
      </c>
      <c r="N3463" t="s">
        <v>632</v>
      </c>
      <c r="O3463" t="s">
        <v>111</v>
      </c>
      <c r="P3463" t="str">
        <f>"85388-1617"</f>
        <v>85388-1617</v>
      </c>
      <c r="Q3463" t="s">
        <v>113</v>
      </c>
      <c r="R3463" t="str">
        <f>"502-02-221"</f>
        <v>502-02-221</v>
      </c>
      <c r="S3463" t="s">
        <v>13127</v>
      </c>
      <c r="T3463" t="s">
        <v>13128</v>
      </c>
      <c r="U3463">
        <v>2437</v>
      </c>
      <c r="V3463">
        <v>0</v>
      </c>
      <c r="W3463">
        <v>4</v>
      </c>
      <c r="X3463">
        <v>2015</v>
      </c>
      <c r="Z3463">
        <v>2</v>
      </c>
      <c r="AB3463">
        <v>0</v>
      </c>
      <c r="AC3463" t="s">
        <v>115</v>
      </c>
      <c r="AD3463">
        <v>2</v>
      </c>
      <c r="AE3463" t="s">
        <v>115</v>
      </c>
      <c r="AF3463">
        <v>0</v>
      </c>
      <c r="AG3463">
        <v>0</v>
      </c>
      <c r="AH3463" t="s">
        <v>116</v>
      </c>
      <c r="AI3463" s="1">
        <v>44742</v>
      </c>
      <c r="AJ3463" s="2">
        <v>0.14000000000000001</v>
      </c>
      <c r="AK3463" s="1">
        <v>319107</v>
      </c>
      <c r="AL3463" t="s">
        <v>117</v>
      </c>
      <c r="AM3463" t="s">
        <v>118</v>
      </c>
      <c r="AN3463">
        <v>8352</v>
      </c>
      <c r="AO3463">
        <v>0.19</v>
      </c>
      <c r="AR3463">
        <v>1</v>
      </c>
      <c r="AS3463" s="1">
        <v>22780</v>
      </c>
      <c r="AT3463" s="1">
        <v>4550</v>
      </c>
      <c r="AU3463" s="1">
        <v>18230</v>
      </c>
      <c r="AV3463">
        <v>80.03</v>
      </c>
      <c r="AX3463" s="1">
        <v>1874.76</v>
      </c>
      <c r="AY3463" t="s">
        <v>5168</v>
      </c>
      <c r="AZ3463" t="s">
        <v>5168</v>
      </c>
      <c r="BA3463" t="s">
        <v>5109</v>
      </c>
      <c r="BE3463" s="3">
        <v>42373</v>
      </c>
      <c r="BF3463" s="1">
        <v>263185</v>
      </c>
      <c r="BG3463" t="s">
        <v>13129</v>
      </c>
      <c r="BH3463" s="1">
        <v>108</v>
      </c>
      <c r="BI3463" s="1">
        <v>274365</v>
      </c>
      <c r="BJ3463" s="3">
        <v>42627</v>
      </c>
      <c r="BK3463" t="s">
        <v>123</v>
      </c>
      <c r="BL3463" t="str">
        <f>"2016.666045"</f>
        <v>2016.666045</v>
      </c>
      <c r="BM3463" t="s">
        <v>5938</v>
      </c>
      <c r="BO3463" t="s">
        <v>22359</v>
      </c>
      <c r="BS3463">
        <v>30</v>
      </c>
      <c r="BW3463" t="str">
        <f>""</f>
        <v/>
      </c>
      <c r="CH3463" t="str">
        <f>""</f>
        <v/>
      </c>
      <c r="CS3463" t="str">
        <f>""</f>
        <v/>
      </c>
    </row>
    <row r="3464" spans="1:97" x14ac:dyDescent="0.25">
      <c r="A3464" t="s">
        <v>3444</v>
      </c>
      <c r="B3464" t="s">
        <v>22360</v>
      </c>
      <c r="E3464" t="s">
        <v>22361</v>
      </c>
      <c r="F3464" t="s">
        <v>108</v>
      </c>
      <c r="H3464" t="s">
        <v>22362</v>
      </c>
      <c r="I3464" t="s">
        <v>203</v>
      </c>
      <c r="J3464" t="s">
        <v>111</v>
      </c>
      <c r="K3464" t="str">
        <f>"85234"</f>
        <v>85234</v>
      </c>
      <c r="L3464" t="s">
        <v>7607</v>
      </c>
      <c r="M3464" t="s">
        <v>22362</v>
      </c>
      <c r="N3464" t="s">
        <v>203</v>
      </c>
      <c r="O3464" t="s">
        <v>111</v>
      </c>
      <c r="P3464" t="str">
        <f>"85234-6147"</f>
        <v>85234-6147</v>
      </c>
      <c r="Q3464" t="s">
        <v>113</v>
      </c>
      <c r="R3464" t="str">
        <f>"309-21-188"</f>
        <v>309-21-188</v>
      </c>
      <c r="S3464" t="s">
        <v>12734</v>
      </c>
      <c r="T3464" t="s">
        <v>12734</v>
      </c>
      <c r="U3464">
        <v>1644</v>
      </c>
      <c r="V3464">
        <v>0</v>
      </c>
      <c r="W3464">
        <v>3</v>
      </c>
      <c r="X3464">
        <v>2000</v>
      </c>
      <c r="Z3464">
        <v>1</v>
      </c>
      <c r="AA3464" t="s">
        <v>26</v>
      </c>
      <c r="AB3464">
        <v>0</v>
      </c>
      <c r="AC3464" t="s">
        <v>115</v>
      </c>
      <c r="AD3464">
        <v>2</v>
      </c>
      <c r="AE3464" t="s">
        <v>115</v>
      </c>
      <c r="AF3464">
        <v>0</v>
      </c>
      <c r="AG3464">
        <v>0</v>
      </c>
      <c r="AH3464" t="s">
        <v>116</v>
      </c>
      <c r="AI3464" s="1">
        <v>100798</v>
      </c>
      <c r="AJ3464" s="2">
        <v>0.31</v>
      </c>
      <c r="AK3464" s="1">
        <v>320647</v>
      </c>
      <c r="AL3464" t="s">
        <v>117</v>
      </c>
      <c r="AM3464" t="s">
        <v>191</v>
      </c>
      <c r="AN3464">
        <v>6609</v>
      </c>
      <c r="AO3464">
        <v>0.15</v>
      </c>
      <c r="AP3464">
        <v>1</v>
      </c>
      <c r="AR3464">
        <v>1</v>
      </c>
      <c r="AS3464" s="1">
        <v>22270</v>
      </c>
      <c r="AT3464" s="1">
        <v>4450</v>
      </c>
      <c r="AU3464" s="1">
        <v>17820</v>
      </c>
      <c r="AV3464">
        <v>80.02</v>
      </c>
      <c r="AX3464" s="1">
        <v>1623.52</v>
      </c>
      <c r="AY3464" t="s">
        <v>6506</v>
      </c>
      <c r="AZ3464" t="s">
        <v>520</v>
      </c>
      <c r="BA3464" t="s">
        <v>5033</v>
      </c>
      <c r="BE3464" s="3">
        <v>41826</v>
      </c>
      <c r="BF3464" s="1">
        <v>228000</v>
      </c>
      <c r="BG3464" t="s">
        <v>22363</v>
      </c>
      <c r="BH3464" s="1">
        <v>138.69</v>
      </c>
      <c r="BI3464" s="1">
        <v>219849</v>
      </c>
      <c r="BJ3464" s="3">
        <v>41827</v>
      </c>
      <c r="BK3464" t="s">
        <v>123</v>
      </c>
      <c r="BL3464" t="str">
        <f>"2014.441107"</f>
        <v>2014.441107</v>
      </c>
      <c r="BM3464" t="s">
        <v>175</v>
      </c>
      <c r="BO3464" t="s">
        <v>22364</v>
      </c>
      <c r="BS3464">
        <v>30</v>
      </c>
      <c r="BW3464" t="str">
        <f>""</f>
        <v/>
      </c>
      <c r="CH3464" t="str">
        <f>""</f>
        <v/>
      </c>
      <c r="CS3464" t="str">
        <f>""</f>
        <v/>
      </c>
    </row>
    <row r="3465" spans="1:97" x14ac:dyDescent="0.25">
      <c r="A3465" t="s">
        <v>177</v>
      </c>
      <c r="B3465" t="s">
        <v>22365</v>
      </c>
      <c r="C3465" t="s">
        <v>1845</v>
      </c>
      <c r="D3465" t="s">
        <v>22366</v>
      </c>
      <c r="E3465" t="s">
        <v>22367</v>
      </c>
      <c r="F3465" t="s">
        <v>108</v>
      </c>
      <c r="H3465" t="s">
        <v>22368</v>
      </c>
      <c r="I3465" t="s">
        <v>632</v>
      </c>
      <c r="J3465" t="s">
        <v>111</v>
      </c>
      <c r="K3465" t="str">
        <f>"85379"</f>
        <v>85379</v>
      </c>
      <c r="L3465" t="s">
        <v>269</v>
      </c>
      <c r="M3465" t="s">
        <v>22368</v>
      </c>
      <c r="N3465" t="s">
        <v>632</v>
      </c>
      <c r="O3465" t="s">
        <v>111</v>
      </c>
      <c r="P3465" t="str">
        <f>"85379-4802"</f>
        <v>85379-4802</v>
      </c>
      <c r="Q3465" t="s">
        <v>113</v>
      </c>
      <c r="R3465" t="str">
        <f>"501-40-194"</f>
        <v>501-40-194</v>
      </c>
      <c r="S3465" t="s">
        <v>10207</v>
      </c>
      <c r="U3465">
        <v>3077</v>
      </c>
      <c r="V3465">
        <v>0</v>
      </c>
      <c r="W3465">
        <v>4</v>
      </c>
      <c r="X3465">
        <v>2005</v>
      </c>
      <c r="Z3465">
        <v>2</v>
      </c>
      <c r="AA3465" t="s">
        <v>26</v>
      </c>
      <c r="AB3465">
        <v>0</v>
      </c>
      <c r="AC3465" t="s">
        <v>115</v>
      </c>
      <c r="AD3465">
        <v>3</v>
      </c>
      <c r="AE3465" t="s">
        <v>115</v>
      </c>
      <c r="AF3465">
        <v>0</v>
      </c>
      <c r="AG3465">
        <v>0</v>
      </c>
      <c r="AH3465" t="s">
        <v>116</v>
      </c>
      <c r="AI3465" s="1">
        <v>119629</v>
      </c>
      <c r="AJ3465" s="2">
        <v>0.36</v>
      </c>
      <c r="AK3465" s="1">
        <v>329469</v>
      </c>
      <c r="AL3465" t="s">
        <v>117</v>
      </c>
      <c r="AM3465" t="s">
        <v>118</v>
      </c>
      <c r="AN3465">
        <v>6774</v>
      </c>
      <c r="AO3465">
        <v>0.16</v>
      </c>
      <c r="AR3465">
        <v>1</v>
      </c>
      <c r="AS3465" s="1">
        <v>23520</v>
      </c>
      <c r="AT3465" s="1">
        <v>4700</v>
      </c>
      <c r="AU3465" s="1">
        <v>18820</v>
      </c>
      <c r="AV3465">
        <v>80.02</v>
      </c>
      <c r="AX3465" s="1">
        <v>1768.24</v>
      </c>
      <c r="AY3465" t="s">
        <v>5060</v>
      </c>
      <c r="AZ3465" t="s">
        <v>5060</v>
      </c>
      <c r="BA3465" t="s">
        <v>5061</v>
      </c>
      <c r="BE3465" s="3">
        <v>42214</v>
      </c>
      <c r="BF3465" s="1">
        <v>249000</v>
      </c>
      <c r="BG3465" t="s">
        <v>22369</v>
      </c>
      <c r="BH3465" s="1">
        <v>80.92</v>
      </c>
      <c r="BI3465" s="1">
        <v>209840</v>
      </c>
      <c r="BJ3465" s="3">
        <v>42643</v>
      </c>
      <c r="BK3465" t="s">
        <v>123</v>
      </c>
      <c r="BL3465" t="str">
        <f>"2016.714706"</f>
        <v>2016.714706</v>
      </c>
      <c r="BM3465" t="s">
        <v>2378</v>
      </c>
      <c r="BO3465" t="s">
        <v>22370</v>
      </c>
      <c r="BP3465" t="s">
        <v>22371</v>
      </c>
      <c r="BS3465">
        <v>30</v>
      </c>
      <c r="BW3465" t="str">
        <f>""</f>
        <v/>
      </c>
      <c r="CH3465" t="str">
        <f>""</f>
        <v/>
      </c>
      <c r="CS3465" t="str">
        <f>""</f>
        <v/>
      </c>
    </row>
    <row r="3466" spans="1:97" x14ac:dyDescent="0.25">
      <c r="A3466" t="s">
        <v>1979</v>
      </c>
      <c r="B3466" t="s">
        <v>2692</v>
      </c>
      <c r="E3466" t="s">
        <v>22372</v>
      </c>
      <c r="F3466" t="s">
        <v>108</v>
      </c>
      <c r="H3466" t="s">
        <v>22373</v>
      </c>
      <c r="I3466" t="s">
        <v>110</v>
      </c>
      <c r="J3466" t="s">
        <v>111</v>
      </c>
      <c r="K3466" t="str">
        <f>"85248"</f>
        <v>85248</v>
      </c>
      <c r="L3466" t="s">
        <v>1789</v>
      </c>
      <c r="M3466" t="s">
        <v>22373</v>
      </c>
      <c r="N3466" t="s">
        <v>110</v>
      </c>
      <c r="O3466" t="s">
        <v>111</v>
      </c>
      <c r="P3466" t="str">
        <f>"85248-3532"</f>
        <v>85248-3532</v>
      </c>
      <c r="Q3466" t="s">
        <v>113</v>
      </c>
      <c r="R3466" t="str">
        <f>"303-39-300"</f>
        <v>303-39-300</v>
      </c>
      <c r="S3466" t="s">
        <v>22374</v>
      </c>
      <c r="T3466" t="s">
        <v>22375</v>
      </c>
      <c r="U3466">
        <v>1304</v>
      </c>
      <c r="V3466">
        <v>0</v>
      </c>
      <c r="W3466">
        <v>3</v>
      </c>
      <c r="X3466">
        <v>1992</v>
      </c>
      <c r="Z3466">
        <v>1</v>
      </c>
      <c r="AB3466">
        <v>0</v>
      </c>
      <c r="AC3466" t="s">
        <v>115</v>
      </c>
      <c r="AD3466">
        <v>2</v>
      </c>
      <c r="AE3466" t="s">
        <v>115</v>
      </c>
      <c r="AF3466">
        <v>0</v>
      </c>
      <c r="AG3466">
        <v>0</v>
      </c>
      <c r="AH3466" t="s">
        <v>116</v>
      </c>
      <c r="AI3466" s="1">
        <v>69242</v>
      </c>
      <c r="AJ3466" s="2">
        <v>0.21</v>
      </c>
      <c r="AK3466" s="1">
        <v>324393</v>
      </c>
      <c r="AL3466" t="s">
        <v>117</v>
      </c>
      <c r="AM3466" t="s">
        <v>118</v>
      </c>
      <c r="AN3466">
        <v>5567</v>
      </c>
      <c r="AO3466">
        <v>0.13</v>
      </c>
      <c r="AP3466">
        <v>1</v>
      </c>
      <c r="AR3466">
        <v>1</v>
      </c>
      <c r="AS3466" s="1">
        <v>22910</v>
      </c>
      <c r="AT3466" s="1">
        <v>4580</v>
      </c>
      <c r="AU3466" s="1">
        <v>18330</v>
      </c>
      <c r="AV3466">
        <v>80.010000000000005</v>
      </c>
      <c r="AX3466" s="1">
        <v>1987.28</v>
      </c>
      <c r="AY3466" t="s">
        <v>1881</v>
      </c>
      <c r="AZ3466" t="s">
        <v>1882</v>
      </c>
      <c r="BA3466" t="s">
        <v>121</v>
      </c>
      <c r="BE3466" s="3">
        <v>41988</v>
      </c>
      <c r="BF3466" s="1">
        <v>247000</v>
      </c>
      <c r="BG3466" t="s">
        <v>22376</v>
      </c>
      <c r="BH3466" s="1">
        <v>189.42</v>
      </c>
      <c r="BI3466" s="1">
        <v>255151</v>
      </c>
      <c r="BJ3466" s="3">
        <v>41988</v>
      </c>
      <c r="BK3466" t="s">
        <v>123</v>
      </c>
      <c r="BL3466" t="str">
        <f>"2014.822576"</f>
        <v>2014.822576</v>
      </c>
      <c r="BM3466" t="s">
        <v>1044</v>
      </c>
      <c r="BO3466" t="s">
        <v>22377</v>
      </c>
      <c r="BS3466">
        <v>30</v>
      </c>
      <c r="BW3466" t="str">
        <f>""</f>
        <v/>
      </c>
      <c r="CH3466" t="str">
        <f>""</f>
        <v/>
      </c>
      <c r="CS3466" t="str">
        <f>""</f>
        <v/>
      </c>
    </row>
    <row r="3467" spans="1:97" x14ac:dyDescent="0.25">
      <c r="A3467" t="s">
        <v>4086</v>
      </c>
      <c r="B3467" t="s">
        <v>22378</v>
      </c>
      <c r="E3467" t="s">
        <v>22379</v>
      </c>
      <c r="F3467" t="s">
        <v>108</v>
      </c>
      <c r="H3467" t="s">
        <v>22380</v>
      </c>
      <c r="I3467" t="s">
        <v>225</v>
      </c>
      <c r="J3467" t="s">
        <v>111</v>
      </c>
      <c r="K3467" t="str">
        <f>"85207"</f>
        <v>85207</v>
      </c>
      <c r="L3467" t="s">
        <v>516</v>
      </c>
      <c r="M3467" t="s">
        <v>22380</v>
      </c>
      <c r="N3467" t="s">
        <v>225</v>
      </c>
      <c r="O3467" t="s">
        <v>111</v>
      </c>
      <c r="P3467" t="str">
        <f>"85207-1854"</f>
        <v>85207-1854</v>
      </c>
      <c r="Q3467" t="s">
        <v>113</v>
      </c>
      <c r="R3467" t="str">
        <f>"219-18-053"</f>
        <v>219-18-053</v>
      </c>
      <c r="S3467" t="s">
        <v>9336</v>
      </c>
      <c r="T3467" t="s">
        <v>9336</v>
      </c>
      <c r="U3467">
        <v>2732</v>
      </c>
      <c r="V3467">
        <v>0</v>
      </c>
      <c r="W3467">
        <v>4</v>
      </c>
      <c r="X3467">
        <v>2000</v>
      </c>
      <c r="Z3467">
        <v>2</v>
      </c>
      <c r="AA3467" t="s">
        <v>26</v>
      </c>
      <c r="AB3467">
        <v>0</v>
      </c>
      <c r="AC3467" t="s">
        <v>115</v>
      </c>
      <c r="AD3467">
        <v>3</v>
      </c>
      <c r="AE3467" t="s">
        <v>115</v>
      </c>
      <c r="AF3467">
        <v>0</v>
      </c>
      <c r="AG3467">
        <v>0</v>
      </c>
      <c r="AH3467" t="s">
        <v>116</v>
      </c>
      <c r="AI3467" s="1">
        <v>76670</v>
      </c>
      <c r="AJ3467" s="2">
        <v>0.16</v>
      </c>
      <c r="AK3467" s="1">
        <v>489870</v>
      </c>
      <c r="AL3467" t="s">
        <v>117</v>
      </c>
      <c r="AM3467" t="s">
        <v>917</v>
      </c>
      <c r="AN3467">
        <v>8461</v>
      </c>
      <c r="AO3467">
        <v>0.19</v>
      </c>
      <c r="AP3467">
        <v>1</v>
      </c>
      <c r="AR3467">
        <v>1</v>
      </c>
      <c r="AS3467" s="1">
        <v>36970</v>
      </c>
      <c r="AT3467" s="1">
        <v>7390</v>
      </c>
      <c r="AU3467" s="1">
        <v>29580</v>
      </c>
      <c r="AV3467">
        <v>80.010000000000005</v>
      </c>
      <c r="AX3467" s="1">
        <v>3772.26</v>
      </c>
      <c r="AY3467" t="s">
        <v>9337</v>
      </c>
      <c r="AZ3467" t="s">
        <v>231</v>
      </c>
      <c r="BA3467" t="s">
        <v>3119</v>
      </c>
      <c r="BE3467" s="3">
        <v>42338</v>
      </c>
      <c r="BF3467" s="1">
        <v>400000</v>
      </c>
      <c r="BG3467" t="s">
        <v>6855</v>
      </c>
      <c r="BH3467" s="1">
        <v>146.41</v>
      </c>
      <c r="BI3467" s="1">
        <v>413200</v>
      </c>
      <c r="BJ3467" s="3">
        <v>42338</v>
      </c>
      <c r="BK3467" t="s">
        <v>123</v>
      </c>
      <c r="BL3467" t="str">
        <f>"2015.850751"</f>
        <v>2015.850751</v>
      </c>
      <c r="BM3467" t="s">
        <v>4014</v>
      </c>
      <c r="BO3467" t="s">
        <v>22381</v>
      </c>
      <c r="BS3467">
        <v>30</v>
      </c>
      <c r="BW3467" t="str">
        <f>""</f>
        <v/>
      </c>
      <c r="CH3467" t="str">
        <f>""</f>
        <v/>
      </c>
      <c r="CS3467" t="str">
        <f>""</f>
        <v/>
      </c>
    </row>
    <row r="3468" spans="1:97" x14ac:dyDescent="0.25">
      <c r="A3468" t="s">
        <v>894</v>
      </c>
      <c r="B3468" t="s">
        <v>4544</v>
      </c>
      <c r="C3468" t="s">
        <v>179</v>
      </c>
      <c r="D3468" t="s">
        <v>4544</v>
      </c>
      <c r="E3468" t="s">
        <v>22382</v>
      </c>
      <c r="F3468" t="s">
        <v>108</v>
      </c>
      <c r="H3468" t="s">
        <v>22383</v>
      </c>
      <c r="I3468" t="s">
        <v>632</v>
      </c>
      <c r="J3468" t="s">
        <v>111</v>
      </c>
      <c r="K3468" t="str">
        <f>"85388"</f>
        <v>85388</v>
      </c>
      <c r="L3468" t="s">
        <v>4467</v>
      </c>
      <c r="M3468" t="s">
        <v>22383</v>
      </c>
      <c r="N3468" t="s">
        <v>632</v>
      </c>
      <c r="O3468" t="s">
        <v>111</v>
      </c>
      <c r="P3468" t="str">
        <f>"85388-2342"</f>
        <v>85388-2342</v>
      </c>
      <c r="Q3468" t="s">
        <v>113</v>
      </c>
      <c r="R3468" t="str">
        <f>"502-09-634"</f>
        <v>502-09-634</v>
      </c>
      <c r="S3468" t="s">
        <v>5359</v>
      </c>
      <c r="T3468" t="s">
        <v>5360</v>
      </c>
      <c r="U3468">
        <v>1938</v>
      </c>
      <c r="V3468">
        <v>0</v>
      </c>
      <c r="W3468">
        <v>3</v>
      </c>
      <c r="X3468">
        <v>2014</v>
      </c>
      <c r="Z3468">
        <v>1</v>
      </c>
      <c r="AB3468">
        <v>0</v>
      </c>
      <c r="AC3468" t="s">
        <v>115</v>
      </c>
      <c r="AD3468">
        <v>3</v>
      </c>
      <c r="AE3468" t="s">
        <v>115</v>
      </c>
      <c r="AF3468">
        <v>0</v>
      </c>
      <c r="AG3468">
        <v>0</v>
      </c>
      <c r="AH3468" t="s">
        <v>116</v>
      </c>
      <c r="AI3468" s="1">
        <v>56316</v>
      </c>
      <c r="AJ3468" s="2">
        <v>0.2</v>
      </c>
      <c r="AK3468" s="1">
        <v>288429</v>
      </c>
      <c r="AL3468" t="s">
        <v>117</v>
      </c>
      <c r="AM3468" t="s">
        <v>118</v>
      </c>
      <c r="AN3468">
        <v>7740</v>
      </c>
      <c r="AO3468">
        <v>0.18</v>
      </c>
      <c r="AR3468">
        <v>1</v>
      </c>
      <c r="AS3468" s="1">
        <v>21280</v>
      </c>
      <c r="AT3468" s="1">
        <v>4250</v>
      </c>
      <c r="AU3468" s="1">
        <v>17030</v>
      </c>
      <c r="AV3468">
        <v>80.03</v>
      </c>
      <c r="AX3468" s="1">
        <v>1732.36</v>
      </c>
      <c r="AY3468" t="s">
        <v>5168</v>
      </c>
      <c r="AZ3468" t="s">
        <v>5168</v>
      </c>
      <c r="BA3468" t="s">
        <v>5109</v>
      </c>
      <c r="BE3468" s="3">
        <v>41817</v>
      </c>
      <c r="BF3468" s="1">
        <v>233596</v>
      </c>
      <c r="BG3468" t="s">
        <v>2289</v>
      </c>
      <c r="BH3468" s="1">
        <v>120.53</v>
      </c>
      <c r="BI3468" s="1">
        <v>232113</v>
      </c>
      <c r="BJ3468" s="3">
        <v>41817</v>
      </c>
      <c r="BK3468" t="s">
        <v>123</v>
      </c>
      <c r="BL3468" t="str">
        <f>"2014.425351"</f>
        <v>2014.425351</v>
      </c>
      <c r="BM3468" t="s">
        <v>1038</v>
      </c>
      <c r="BO3468" t="s">
        <v>22384</v>
      </c>
      <c r="BS3468">
        <v>30</v>
      </c>
      <c r="BW3468" t="str">
        <f>""</f>
        <v/>
      </c>
      <c r="CH3468" t="str">
        <f>""</f>
        <v/>
      </c>
      <c r="CS3468" t="str">
        <f>""</f>
        <v/>
      </c>
    </row>
    <row r="3469" spans="1:97" x14ac:dyDescent="0.25">
      <c r="A3469" t="s">
        <v>4174</v>
      </c>
      <c r="B3469" t="s">
        <v>2894</v>
      </c>
      <c r="E3469" t="s">
        <v>22385</v>
      </c>
      <c r="F3469" t="s">
        <v>108</v>
      </c>
      <c r="H3469" t="s">
        <v>22386</v>
      </c>
      <c r="I3469" t="s">
        <v>110</v>
      </c>
      <c r="J3469" t="s">
        <v>111</v>
      </c>
      <c r="K3469" t="str">
        <f>"85224"</f>
        <v>85224</v>
      </c>
      <c r="L3469" t="s">
        <v>9597</v>
      </c>
      <c r="M3469" t="s">
        <v>22386</v>
      </c>
      <c r="N3469" t="s">
        <v>110</v>
      </c>
      <c r="O3469" t="s">
        <v>111</v>
      </c>
      <c r="P3469" t="str">
        <f>"85224-2509"</f>
        <v>85224-2509</v>
      </c>
      <c r="R3469" t="str">
        <f>"302-80-107"</f>
        <v>302-80-107</v>
      </c>
      <c r="S3469" t="s">
        <v>22387</v>
      </c>
      <c r="T3469" t="s">
        <v>20003</v>
      </c>
      <c r="U3469">
        <v>1413</v>
      </c>
      <c r="V3469">
        <v>0</v>
      </c>
      <c r="W3469">
        <v>3</v>
      </c>
      <c r="X3469">
        <v>1983</v>
      </c>
      <c r="Z3469">
        <v>1</v>
      </c>
      <c r="AA3469" t="s">
        <v>26</v>
      </c>
      <c r="AB3469">
        <v>0</v>
      </c>
      <c r="AC3469" t="s">
        <v>115</v>
      </c>
      <c r="AD3469">
        <v>2</v>
      </c>
      <c r="AE3469" t="s">
        <v>115</v>
      </c>
      <c r="AF3469">
        <v>0</v>
      </c>
      <c r="AG3469">
        <v>0</v>
      </c>
      <c r="AH3469" t="s">
        <v>116</v>
      </c>
      <c r="AI3469" s="1">
        <v>52633</v>
      </c>
      <c r="AJ3469" s="2">
        <v>0.18</v>
      </c>
      <c r="AK3469" s="1">
        <v>288472</v>
      </c>
      <c r="AL3469" t="s">
        <v>117</v>
      </c>
      <c r="AM3469" t="s">
        <v>5077</v>
      </c>
      <c r="AN3469">
        <v>7026</v>
      </c>
      <c r="AO3469">
        <v>0.16</v>
      </c>
      <c r="AP3469">
        <v>1</v>
      </c>
      <c r="AR3469">
        <v>1</v>
      </c>
      <c r="AS3469" s="1">
        <v>19470</v>
      </c>
      <c r="AT3469" s="1">
        <v>3890</v>
      </c>
      <c r="AU3469" s="1">
        <v>15580</v>
      </c>
      <c r="AV3469">
        <v>80.02</v>
      </c>
      <c r="AX3469" s="1">
        <v>1251.3399999999999</v>
      </c>
      <c r="AY3469" t="s">
        <v>7749</v>
      </c>
      <c r="AZ3469" t="s">
        <v>5078</v>
      </c>
      <c r="BA3469" t="s">
        <v>2957</v>
      </c>
      <c r="BE3469" s="3">
        <v>41934</v>
      </c>
      <c r="BF3469" s="1">
        <v>220000</v>
      </c>
      <c r="BG3469" t="s">
        <v>22388</v>
      </c>
      <c r="BH3469" s="1">
        <v>155.69999999999999</v>
      </c>
      <c r="BI3469" s="1">
        <v>235839</v>
      </c>
      <c r="BJ3469" s="3">
        <v>42116</v>
      </c>
      <c r="BK3469" t="s">
        <v>123</v>
      </c>
      <c r="BL3469" t="str">
        <f>"2015.275127"</f>
        <v>2015.275127</v>
      </c>
      <c r="BM3469" t="s">
        <v>6385</v>
      </c>
      <c r="BN3469" t="s">
        <v>3082</v>
      </c>
      <c r="BO3469" t="s">
        <v>22389</v>
      </c>
      <c r="BS3469">
        <v>30</v>
      </c>
      <c r="BW3469" t="str">
        <f>""</f>
        <v/>
      </c>
      <c r="CH3469" t="str">
        <f>""</f>
        <v/>
      </c>
      <c r="CS3469" t="str">
        <f>""</f>
        <v/>
      </c>
    </row>
    <row r="3470" spans="1:97" x14ac:dyDescent="0.25">
      <c r="A3470" t="s">
        <v>1160</v>
      </c>
      <c r="B3470" t="s">
        <v>603</v>
      </c>
      <c r="C3470" t="s">
        <v>3505</v>
      </c>
      <c r="D3470" t="s">
        <v>603</v>
      </c>
      <c r="E3470" t="s">
        <v>22390</v>
      </c>
      <c r="F3470" t="s">
        <v>108</v>
      </c>
      <c r="H3470" t="s">
        <v>22391</v>
      </c>
      <c r="I3470" t="s">
        <v>3150</v>
      </c>
      <c r="J3470" t="s">
        <v>111</v>
      </c>
      <c r="K3470" t="str">
        <f>"85340"</f>
        <v>85340</v>
      </c>
      <c r="L3470" t="s">
        <v>5239</v>
      </c>
      <c r="M3470" t="s">
        <v>22391</v>
      </c>
      <c r="N3470" t="s">
        <v>3150</v>
      </c>
      <c r="O3470" t="s">
        <v>111</v>
      </c>
      <c r="P3470" t="str">
        <f>"85340-9348"</f>
        <v>85340-9348</v>
      </c>
      <c r="Q3470" t="s">
        <v>113</v>
      </c>
      <c r="R3470" t="str">
        <f>"501-56-425"</f>
        <v>501-56-425</v>
      </c>
      <c r="S3470" t="s">
        <v>7397</v>
      </c>
      <c r="T3470" t="s">
        <v>7397</v>
      </c>
      <c r="U3470">
        <v>4001</v>
      </c>
      <c r="V3470">
        <v>0</v>
      </c>
      <c r="W3470">
        <v>6</v>
      </c>
      <c r="X3470">
        <v>2015</v>
      </c>
      <c r="Z3470">
        <v>1</v>
      </c>
      <c r="AB3470">
        <v>0</v>
      </c>
      <c r="AC3470" t="s">
        <v>115</v>
      </c>
      <c r="AD3470">
        <v>3</v>
      </c>
      <c r="AE3470" t="s">
        <v>115</v>
      </c>
      <c r="AF3470">
        <v>0</v>
      </c>
      <c r="AG3470">
        <v>0</v>
      </c>
      <c r="AH3470" t="s">
        <v>116</v>
      </c>
      <c r="AI3470" s="1">
        <v>158283</v>
      </c>
      <c r="AJ3470" s="2">
        <v>0.28000000000000003</v>
      </c>
      <c r="AK3470" s="1">
        <v>575055</v>
      </c>
      <c r="AL3470" t="s">
        <v>117</v>
      </c>
      <c r="AM3470" t="s">
        <v>376</v>
      </c>
      <c r="AN3470">
        <v>32720</v>
      </c>
      <c r="AO3470">
        <v>0.75</v>
      </c>
      <c r="AR3470">
        <v>1</v>
      </c>
      <c r="AS3470" s="1">
        <v>44880</v>
      </c>
      <c r="AT3470" s="1">
        <v>8970</v>
      </c>
      <c r="AU3470" s="1">
        <v>35910</v>
      </c>
      <c r="AV3470">
        <v>80.010000000000005</v>
      </c>
      <c r="AX3470" s="1">
        <v>3253.66</v>
      </c>
      <c r="AY3470" t="s">
        <v>5241</v>
      </c>
      <c r="AZ3470" t="s">
        <v>3153</v>
      </c>
      <c r="BA3470" t="s">
        <v>3154</v>
      </c>
      <c r="BE3470" s="3">
        <v>42080</v>
      </c>
      <c r="BF3470" s="1">
        <v>418304</v>
      </c>
      <c r="BG3470" t="s">
        <v>158</v>
      </c>
      <c r="BH3470" s="1">
        <v>104.55</v>
      </c>
      <c r="BI3470" s="1">
        <v>416772</v>
      </c>
      <c r="BJ3470" s="3">
        <v>42080</v>
      </c>
      <c r="BK3470" t="s">
        <v>123</v>
      </c>
      <c r="BL3470" t="str">
        <f>"2015.178934"</f>
        <v>2015.178934</v>
      </c>
      <c r="BM3470" t="s">
        <v>241</v>
      </c>
      <c r="BO3470" t="s">
        <v>22392</v>
      </c>
      <c r="BS3470">
        <v>30</v>
      </c>
      <c r="BW3470" t="str">
        <f>""</f>
        <v/>
      </c>
      <c r="CH3470" t="str">
        <f>""</f>
        <v/>
      </c>
      <c r="CS3470" t="str">
        <f>""</f>
        <v/>
      </c>
    </row>
    <row r="3471" spans="1:97" x14ac:dyDescent="0.25">
      <c r="A3471" t="s">
        <v>2058</v>
      </c>
      <c r="B3471" t="s">
        <v>22393</v>
      </c>
      <c r="C3471" t="s">
        <v>22394</v>
      </c>
      <c r="D3471" t="s">
        <v>22393</v>
      </c>
      <c r="E3471" t="s">
        <v>22395</v>
      </c>
      <c r="F3471" t="s">
        <v>108</v>
      </c>
      <c r="H3471" t="s">
        <v>22396</v>
      </c>
      <c r="I3471" t="s">
        <v>632</v>
      </c>
      <c r="J3471" t="s">
        <v>111</v>
      </c>
      <c r="K3471" t="str">
        <f>"85387"</f>
        <v>85387</v>
      </c>
      <c r="L3471" t="s">
        <v>6529</v>
      </c>
      <c r="M3471" t="s">
        <v>22396</v>
      </c>
      <c r="N3471" t="s">
        <v>632</v>
      </c>
      <c r="O3471" t="s">
        <v>111</v>
      </c>
      <c r="P3471" t="str">
        <f>"85387-1017"</f>
        <v>85387-1017</v>
      </c>
      <c r="Q3471" t="s">
        <v>113</v>
      </c>
      <c r="R3471" t="str">
        <f>"510-04-825"</f>
        <v>510-04-825</v>
      </c>
      <c r="S3471" t="s">
        <v>8907</v>
      </c>
      <c r="T3471" t="s">
        <v>5498</v>
      </c>
      <c r="U3471">
        <v>2032</v>
      </c>
      <c r="V3471">
        <v>0</v>
      </c>
      <c r="W3471">
        <v>3</v>
      </c>
      <c r="X3471">
        <v>2015</v>
      </c>
      <c r="Z3471">
        <v>1</v>
      </c>
      <c r="AB3471">
        <v>0</v>
      </c>
      <c r="AC3471" t="s">
        <v>115</v>
      </c>
      <c r="AD3471">
        <v>2</v>
      </c>
      <c r="AE3471" t="s">
        <v>115</v>
      </c>
      <c r="AF3471">
        <v>0</v>
      </c>
      <c r="AG3471">
        <v>0</v>
      </c>
      <c r="AH3471" t="s">
        <v>116</v>
      </c>
      <c r="AI3471" s="1">
        <v>79761</v>
      </c>
      <c r="AJ3471" s="2">
        <v>0.27</v>
      </c>
      <c r="AK3471" s="1">
        <v>297654</v>
      </c>
      <c r="AL3471" t="s">
        <v>117</v>
      </c>
      <c r="AM3471" t="s">
        <v>118</v>
      </c>
      <c r="AN3471">
        <v>7557</v>
      </c>
      <c r="AO3471">
        <v>0.17</v>
      </c>
      <c r="AR3471">
        <v>1</v>
      </c>
      <c r="AS3471" s="1">
        <v>21420</v>
      </c>
      <c r="AT3471" s="1">
        <v>4280</v>
      </c>
      <c r="AU3471" s="1">
        <v>17140</v>
      </c>
      <c r="AV3471">
        <v>80.02</v>
      </c>
      <c r="AX3471" s="1">
        <v>1149.78</v>
      </c>
      <c r="AY3471" t="s">
        <v>5499</v>
      </c>
      <c r="AZ3471" t="s">
        <v>5499</v>
      </c>
      <c r="BE3471" s="3">
        <v>42166</v>
      </c>
      <c r="BF3471" s="1">
        <v>213307</v>
      </c>
      <c r="BG3471" t="s">
        <v>22397</v>
      </c>
      <c r="BH3471" s="1">
        <v>104.97</v>
      </c>
      <c r="BI3471" s="1">
        <v>217893</v>
      </c>
      <c r="BJ3471" s="3">
        <v>42166</v>
      </c>
      <c r="BK3471" t="s">
        <v>123</v>
      </c>
      <c r="BL3471" t="str">
        <f>"2015.416087"</f>
        <v>2015.416087</v>
      </c>
      <c r="BM3471" t="s">
        <v>573</v>
      </c>
      <c r="BO3471" t="s">
        <v>22398</v>
      </c>
      <c r="BS3471">
        <v>30</v>
      </c>
      <c r="BW3471" t="str">
        <f>""</f>
        <v/>
      </c>
      <c r="CH3471" t="str">
        <f>""</f>
        <v/>
      </c>
      <c r="CS3471" t="str">
        <f>""</f>
        <v/>
      </c>
    </row>
    <row r="3472" spans="1:97" x14ac:dyDescent="0.25">
      <c r="A3472" t="s">
        <v>996</v>
      </c>
      <c r="B3472" t="s">
        <v>22399</v>
      </c>
      <c r="C3472" t="s">
        <v>2261</v>
      </c>
      <c r="D3472" t="s">
        <v>22399</v>
      </c>
      <c r="E3472" t="s">
        <v>22400</v>
      </c>
      <c r="F3472" t="s">
        <v>108</v>
      </c>
      <c r="H3472" t="s">
        <v>22401</v>
      </c>
      <c r="I3472" t="s">
        <v>374</v>
      </c>
      <c r="J3472" t="s">
        <v>111</v>
      </c>
      <c r="K3472" t="str">
        <f>"85087"</f>
        <v>85087</v>
      </c>
      <c r="L3472" t="s">
        <v>11089</v>
      </c>
      <c r="M3472" t="s">
        <v>22401</v>
      </c>
      <c r="N3472" t="s">
        <v>374</v>
      </c>
      <c r="O3472" t="s">
        <v>111</v>
      </c>
      <c r="P3472" t="str">
        <f>"85087-3082"</f>
        <v>85087-3082</v>
      </c>
      <c r="Q3472" t="s">
        <v>113</v>
      </c>
      <c r="R3472" t="str">
        <f>"202-22-775"</f>
        <v>202-22-775</v>
      </c>
      <c r="S3472" t="s">
        <v>11345</v>
      </c>
      <c r="U3472">
        <v>2128</v>
      </c>
      <c r="V3472">
        <v>0</v>
      </c>
      <c r="W3472">
        <v>3</v>
      </c>
      <c r="X3472">
        <v>2007</v>
      </c>
      <c r="Z3472">
        <v>1</v>
      </c>
      <c r="AA3472" t="s">
        <v>26</v>
      </c>
      <c r="AB3472">
        <v>0</v>
      </c>
      <c r="AC3472" t="s">
        <v>115</v>
      </c>
      <c r="AD3472">
        <v>3</v>
      </c>
      <c r="AE3472" t="s">
        <v>115</v>
      </c>
      <c r="AF3472">
        <v>0</v>
      </c>
      <c r="AG3472">
        <v>0</v>
      </c>
      <c r="AH3472" t="s">
        <v>116</v>
      </c>
      <c r="AI3472" s="1">
        <v>106938</v>
      </c>
      <c r="AJ3472" s="2">
        <v>0.27</v>
      </c>
      <c r="AK3472" s="1">
        <v>389188</v>
      </c>
      <c r="AL3472" t="s">
        <v>117</v>
      </c>
      <c r="AM3472" t="s">
        <v>3973</v>
      </c>
      <c r="AN3472">
        <v>10500</v>
      </c>
      <c r="AO3472">
        <v>0.24</v>
      </c>
      <c r="AR3472">
        <v>1</v>
      </c>
      <c r="AS3472" s="1">
        <v>28610</v>
      </c>
      <c r="AT3472" s="1">
        <v>5720</v>
      </c>
      <c r="AU3472" s="1">
        <v>22890</v>
      </c>
      <c r="AV3472">
        <v>80.010000000000005</v>
      </c>
      <c r="AX3472" s="1">
        <v>2869.62</v>
      </c>
      <c r="AY3472" t="s">
        <v>377</v>
      </c>
      <c r="AZ3472" t="s">
        <v>377</v>
      </c>
      <c r="BA3472" t="s">
        <v>378</v>
      </c>
      <c r="BE3472" s="3">
        <v>41866</v>
      </c>
      <c r="BF3472" s="1">
        <v>325000</v>
      </c>
      <c r="BG3472" t="s">
        <v>22402</v>
      </c>
      <c r="BH3472" s="1">
        <v>152.72999999999999</v>
      </c>
      <c r="BI3472" s="1">
        <v>282250</v>
      </c>
      <c r="BJ3472" s="3">
        <v>42058</v>
      </c>
      <c r="BK3472" t="s">
        <v>123</v>
      </c>
      <c r="BL3472" t="str">
        <f>"2015.114196"</f>
        <v>2015.114196</v>
      </c>
      <c r="BM3472" t="s">
        <v>475</v>
      </c>
      <c r="BO3472" t="s">
        <v>22403</v>
      </c>
      <c r="BS3472">
        <v>30</v>
      </c>
      <c r="BW3472" t="str">
        <f>""</f>
        <v/>
      </c>
      <c r="CH3472" t="str">
        <f>""</f>
        <v/>
      </c>
      <c r="CS3472" t="str">
        <f>""</f>
        <v/>
      </c>
    </row>
    <row r="3473" spans="1:97" x14ac:dyDescent="0.25">
      <c r="A3473" t="s">
        <v>1009</v>
      </c>
      <c r="B3473" t="s">
        <v>12316</v>
      </c>
      <c r="C3473" t="s">
        <v>1692</v>
      </c>
      <c r="D3473" t="s">
        <v>12316</v>
      </c>
      <c r="E3473" t="s">
        <v>22404</v>
      </c>
      <c r="F3473" t="s">
        <v>108</v>
      </c>
      <c r="H3473" t="s">
        <v>22405</v>
      </c>
      <c r="I3473" t="s">
        <v>203</v>
      </c>
      <c r="J3473" t="s">
        <v>111</v>
      </c>
      <c r="K3473" t="str">
        <f>"85298"</f>
        <v>85298</v>
      </c>
      <c r="L3473" t="s">
        <v>681</v>
      </c>
      <c r="M3473" t="s">
        <v>22405</v>
      </c>
      <c r="N3473" t="s">
        <v>203</v>
      </c>
      <c r="O3473" t="s">
        <v>111</v>
      </c>
      <c r="P3473" t="str">
        <f>"85298"</f>
        <v>85298</v>
      </c>
      <c r="Q3473" t="s">
        <v>113</v>
      </c>
      <c r="R3473" t="str">
        <f>"304-71-630"</f>
        <v>304-71-630</v>
      </c>
      <c r="S3473" t="s">
        <v>11409</v>
      </c>
      <c r="T3473" t="s">
        <v>287</v>
      </c>
      <c r="U3473">
        <v>2299</v>
      </c>
      <c r="V3473">
        <v>0</v>
      </c>
      <c r="W3473">
        <v>4</v>
      </c>
      <c r="X3473">
        <v>2014</v>
      </c>
      <c r="Z3473">
        <v>1</v>
      </c>
      <c r="AB3473">
        <v>0</v>
      </c>
      <c r="AC3473" t="s">
        <v>115</v>
      </c>
      <c r="AD3473">
        <v>2</v>
      </c>
      <c r="AE3473" t="s">
        <v>115</v>
      </c>
      <c r="AF3473">
        <v>0</v>
      </c>
      <c r="AG3473">
        <v>0</v>
      </c>
      <c r="AH3473" t="s">
        <v>116</v>
      </c>
      <c r="AI3473" s="1">
        <v>51958</v>
      </c>
      <c r="AJ3473" s="2">
        <v>0.13</v>
      </c>
      <c r="AK3473" s="1">
        <v>391958</v>
      </c>
      <c r="AL3473" t="s">
        <v>117</v>
      </c>
      <c r="AM3473" t="s">
        <v>191</v>
      </c>
      <c r="AN3473">
        <v>6444</v>
      </c>
      <c r="AO3473">
        <v>0.15</v>
      </c>
      <c r="AR3473">
        <v>1</v>
      </c>
      <c r="AS3473" s="1">
        <v>27530</v>
      </c>
      <c r="AT3473" s="1">
        <v>5500</v>
      </c>
      <c r="AU3473" s="1">
        <v>22030</v>
      </c>
      <c r="AV3473">
        <v>80.02</v>
      </c>
      <c r="AX3473" s="1">
        <v>2393.48</v>
      </c>
      <c r="AY3473" t="s">
        <v>289</v>
      </c>
      <c r="AZ3473" t="s">
        <v>289</v>
      </c>
      <c r="BA3473" t="s">
        <v>290</v>
      </c>
      <c r="BB3473" s="3">
        <v>42914</v>
      </c>
      <c r="BD3473" t="s">
        <v>2315</v>
      </c>
      <c r="BE3473" s="3">
        <v>42003</v>
      </c>
      <c r="BF3473" s="1">
        <v>305000</v>
      </c>
      <c r="BG3473" t="s">
        <v>195</v>
      </c>
      <c r="BH3473" s="1">
        <v>132.66999999999999</v>
      </c>
      <c r="BI3473" s="1">
        <v>340000</v>
      </c>
      <c r="BJ3473" s="3">
        <v>42864</v>
      </c>
      <c r="BK3473" t="s">
        <v>123</v>
      </c>
      <c r="BL3473" t="str">
        <f>"2017.333330"</f>
        <v>2017.333330</v>
      </c>
      <c r="BM3473" t="s">
        <v>492</v>
      </c>
      <c r="BN3473" t="s">
        <v>22406</v>
      </c>
      <c r="BO3473" t="s">
        <v>22407</v>
      </c>
      <c r="BS3473">
        <v>30</v>
      </c>
      <c r="BW3473" t="str">
        <f>""</f>
        <v/>
      </c>
      <c r="CH3473" t="str">
        <f>""</f>
        <v/>
      </c>
      <c r="CS3473" t="str">
        <f>""</f>
        <v/>
      </c>
    </row>
    <row r="3474" spans="1:97" x14ac:dyDescent="0.25">
      <c r="A3474" t="s">
        <v>464</v>
      </c>
      <c r="B3474" t="s">
        <v>22408</v>
      </c>
      <c r="C3474" t="s">
        <v>1594</v>
      </c>
      <c r="D3474" t="s">
        <v>22408</v>
      </c>
      <c r="E3474" t="s">
        <v>22409</v>
      </c>
      <c r="F3474" t="s">
        <v>108</v>
      </c>
      <c r="H3474" t="s">
        <v>22410</v>
      </c>
      <c r="I3474" t="s">
        <v>453</v>
      </c>
      <c r="J3474" t="s">
        <v>111</v>
      </c>
      <c r="K3474" t="str">
        <f>"85382"</f>
        <v>85382</v>
      </c>
      <c r="L3474" t="s">
        <v>5743</v>
      </c>
      <c r="M3474" t="s">
        <v>22410</v>
      </c>
      <c r="N3474" t="s">
        <v>453</v>
      </c>
      <c r="O3474" t="s">
        <v>111</v>
      </c>
      <c r="P3474" t="str">
        <f>"85382-3416"</f>
        <v>85382-3416</v>
      </c>
      <c r="Q3474" t="s">
        <v>113</v>
      </c>
      <c r="R3474" t="str">
        <f>"200-16-458"</f>
        <v>200-16-458</v>
      </c>
      <c r="S3474" t="s">
        <v>22411</v>
      </c>
      <c r="T3474" t="s">
        <v>22411</v>
      </c>
      <c r="U3474">
        <v>3050</v>
      </c>
      <c r="V3474">
        <v>0</v>
      </c>
      <c r="W3474">
        <v>4</v>
      </c>
      <c r="X3474">
        <v>1999</v>
      </c>
      <c r="Z3474">
        <v>1</v>
      </c>
      <c r="AA3474" t="s">
        <v>26</v>
      </c>
      <c r="AB3474">
        <v>0</v>
      </c>
      <c r="AC3474" t="s">
        <v>115</v>
      </c>
      <c r="AD3474">
        <v>2</v>
      </c>
      <c r="AE3474" t="s">
        <v>115</v>
      </c>
      <c r="AF3474">
        <v>0</v>
      </c>
      <c r="AG3474">
        <v>0</v>
      </c>
      <c r="AH3474" t="s">
        <v>116</v>
      </c>
      <c r="AI3474" s="1">
        <v>98464</v>
      </c>
      <c r="AJ3474" s="2">
        <v>0.22</v>
      </c>
      <c r="AK3474" s="1">
        <v>443964</v>
      </c>
      <c r="AL3474" t="s">
        <v>117</v>
      </c>
      <c r="AM3474" t="s">
        <v>1302</v>
      </c>
      <c r="AN3474">
        <v>10000</v>
      </c>
      <c r="AO3474">
        <v>0.23</v>
      </c>
      <c r="AP3474">
        <v>1</v>
      </c>
      <c r="AR3474">
        <v>1</v>
      </c>
      <c r="AS3474" s="1">
        <v>32530</v>
      </c>
      <c r="AT3474" s="1">
        <v>6500</v>
      </c>
      <c r="AU3474" s="1">
        <v>26030</v>
      </c>
      <c r="AV3474">
        <v>80.02</v>
      </c>
      <c r="AX3474" s="1">
        <v>3218.86</v>
      </c>
      <c r="AY3474" t="s">
        <v>6311</v>
      </c>
      <c r="AZ3474" t="s">
        <v>6311</v>
      </c>
      <c r="BA3474" t="s">
        <v>4219</v>
      </c>
      <c r="BE3474" s="3">
        <v>42144</v>
      </c>
      <c r="BF3474" s="1">
        <v>345500</v>
      </c>
      <c r="BG3474" t="s">
        <v>22412</v>
      </c>
      <c r="BH3474" s="1">
        <v>113.28</v>
      </c>
      <c r="BI3474" s="1">
        <v>345500</v>
      </c>
      <c r="BJ3474" s="3">
        <v>42144</v>
      </c>
      <c r="BK3474" t="s">
        <v>123</v>
      </c>
      <c r="BL3474" t="str">
        <f>"2015.355802"</f>
        <v>2015.355802</v>
      </c>
      <c r="BM3474" t="s">
        <v>544</v>
      </c>
      <c r="BO3474" t="s">
        <v>22413</v>
      </c>
      <c r="BS3474">
        <v>30</v>
      </c>
      <c r="BW3474" t="str">
        <f>""</f>
        <v/>
      </c>
      <c r="CH3474" t="str">
        <f>""</f>
        <v/>
      </c>
      <c r="CS3474" t="str">
        <f>""</f>
        <v/>
      </c>
    </row>
    <row r="3475" spans="1:97" x14ac:dyDescent="0.25">
      <c r="A3475" t="s">
        <v>938</v>
      </c>
      <c r="B3475" t="s">
        <v>13710</v>
      </c>
      <c r="C3475" t="s">
        <v>397</v>
      </c>
      <c r="D3475" t="s">
        <v>13710</v>
      </c>
      <c r="E3475" t="s">
        <v>22414</v>
      </c>
      <c r="F3475" t="s">
        <v>108</v>
      </c>
      <c r="H3475" t="s">
        <v>22415</v>
      </c>
      <c r="I3475" t="s">
        <v>110</v>
      </c>
      <c r="J3475" t="s">
        <v>111</v>
      </c>
      <c r="K3475" t="str">
        <f>"85224"</f>
        <v>85224</v>
      </c>
      <c r="L3475" t="s">
        <v>5228</v>
      </c>
      <c r="M3475" t="s">
        <v>22415</v>
      </c>
      <c r="N3475" t="s">
        <v>110</v>
      </c>
      <c r="O3475" t="s">
        <v>111</v>
      </c>
      <c r="P3475" t="str">
        <f>"85224-1103"</f>
        <v>85224-1103</v>
      </c>
      <c r="Q3475" t="s">
        <v>113</v>
      </c>
      <c r="R3475" t="str">
        <f>"302-86-248"</f>
        <v>302-86-248</v>
      </c>
      <c r="S3475" t="s">
        <v>22416</v>
      </c>
      <c r="U3475">
        <v>1530</v>
      </c>
      <c r="V3475">
        <v>0</v>
      </c>
      <c r="W3475">
        <v>2</v>
      </c>
      <c r="X3475">
        <v>1979</v>
      </c>
      <c r="Z3475">
        <v>1</v>
      </c>
      <c r="AB3475">
        <v>0</v>
      </c>
      <c r="AC3475" t="s">
        <v>5188</v>
      </c>
      <c r="AD3475">
        <v>2</v>
      </c>
      <c r="AE3475" t="s">
        <v>5188</v>
      </c>
      <c r="AF3475">
        <v>0</v>
      </c>
      <c r="AG3475">
        <v>0</v>
      </c>
      <c r="AH3475" t="s">
        <v>116</v>
      </c>
      <c r="AI3475" s="1">
        <v>34127</v>
      </c>
      <c r="AJ3475" s="2">
        <v>0.12</v>
      </c>
      <c r="AK3475" s="1">
        <v>277915</v>
      </c>
      <c r="AL3475" t="s">
        <v>117</v>
      </c>
      <c r="AM3475" t="s">
        <v>5077</v>
      </c>
      <c r="AN3475">
        <v>7327</v>
      </c>
      <c r="AO3475">
        <v>0.17</v>
      </c>
      <c r="AP3475">
        <v>1</v>
      </c>
      <c r="AR3475">
        <v>1</v>
      </c>
      <c r="AS3475" s="1">
        <v>18230</v>
      </c>
      <c r="AT3475" s="1">
        <v>3640</v>
      </c>
      <c r="AU3475" s="1">
        <v>14590</v>
      </c>
      <c r="AV3475">
        <v>80.03</v>
      </c>
      <c r="AX3475" s="1">
        <v>1187.1400000000001</v>
      </c>
      <c r="AY3475" t="s">
        <v>5310</v>
      </c>
      <c r="AZ3475" t="s">
        <v>5310</v>
      </c>
      <c r="BA3475" t="s">
        <v>5311</v>
      </c>
      <c r="BE3475" s="3">
        <v>42453</v>
      </c>
      <c r="BF3475" s="1">
        <v>201000</v>
      </c>
      <c r="BG3475" t="s">
        <v>5034</v>
      </c>
      <c r="BH3475" s="1">
        <v>131.37</v>
      </c>
      <c r="BI3475" s="1">
        <v>243788</v>
      </c>
      <c r="BJ3475" s="3">
        <v>42906</v>
      </c>
      <c r="BK3475" t="s">
        <v>123</v>
      </c>
      <c r="BL3475" t="str">
        <f>"2017.447740"</f>
        <v>2017.447740</v>
      </c>
      <c r="BM3475" t="s">
        <v>4885</v>
      </c>
      <c r="BO3475" t="s">
        <v>22417</v>
      </c>
      <c r="BS3475">
        <v>30</v>
      </c>
      <c r="BW3475" t="str">
        <f>""</f>
        <v/>
      </c>
      <c r="CH3475" t="str">
        <f>""</f>
        <v/>
      </c>
      <c r="CS3475" t="str">
        <f>""</f>
        <v/>
      </c>
    </row>
    <row r="3476" spans="1:97" x14ac:dyDescent="0.25">
      <c r="B3476" t="s">
        <v>22418</v>
      </c>
      <c r="C3476" t="s">
        <v>179</v>
      </c>
      <c r="D3476" t="s">
        <v>22419</v>
      </c>
      <c r="E3476" t="s">
        <v>22420</v>
      </c>
      <c r="F3476" t="s">
        <v>139</v>
      </c>
      <c r="H3476" t="s">
        <v>22421</v>
      </c>
      <c r="I3476" t="s">
        <v>225</v>
      </c>
      <c r="J3476" t="s">
        <v>111</v>
      </c>
      <c r="K3476" t="str">
        <f>"85213"</f>
        <v>85213</v>
      </c>
      <c r="L3476" t="s">
        <v>4159</v>
      </c>
      <c r="M3476" t="s">
        <v>22421</v>
      </c>
      <c r="N3476" t="s">
        <v>225</v>
      </c>
      <c r="O3476" t="s">
        <v>111</v>
      </c>
      <c r="P3476" t="str">
        <f>"85213-2010"</f>
        <v>85213-2010</v>
      </c>
      <c r="Q3476" t="s">
        <v>113</v>
      </c>
      <c r="R3476" t="str">
        <f>"141-16-106"</f>
        <v>141-16-106</v>
      </c>
      <c r="S3476" t="s">
        <v>8861</v>
      </c>
      <c r="U3476">
        <v>3027</v>
      </c>
      <c r="V3476">
        <v>0</v>
      </c>
      <c r="W3476">
        <v>4</v>
      </c>
      <c r="X3476">
        <v>2014</v>
      </c>
      <c r="Z3476">
        <v>2</v>
      </c>
      <c r="AA3476" t="s">
        <v>26</v>
      </c>
      <c r="AB3476">
        <v>0</v>
      </c>
      <c r="AC3476" t="s">
        <v>115</v>
      </c>
      <c r="AD3476">
        <v>3</v>
      </c>
      <c r="AE3476" t="s">
        <v>115</v>
      </c>
      <c r="AF3476">
        <v>0</v>
      </c>
      <c r="AG3476">
        <v>0</v>
      </c>
      <c r="AH3476" t="s">
        <v>116</v>
      </c>
      <c r="AI3476" s="1">
        <v>45665</v>
      </c>
      <c r="AJ3476" s="2">
        <v>0.09</v>
      </c>
      <c r="AK3476" s="1">
        <v>504822</v>
      </c>
      <c r="AL3476" t="s">
        <v>117</v>
      </c>
      <c r="AM3476" t="s">
        <v>1521</v>
      </c>
      <c r="AN3476">
        <v>10360</v>
      </c>
      <c r="AO3476">
        <v>0.24</v>
      </c>
      <c r="AR3476">
        <v>1</v>
      </c>
      <c r="AS3476" s="1">
        <v>36330</v>
      </c>
      <c r="AT3476" s="1">
        <v>7260</v>
      </c>
      <c r="AU3476" s="1">
        <v>29070</v>
      </c>
      <c r="AV3476">
        <v>80.02</v>
      </c>
      <c r="AX3476" s="1">
        <v>3120.36</v>
      </c>
      <c r="AY3476" t="s">
        <v>4162</v>
      </c>
      <c r="AZ3476" t="s">
        <v>4163</v>
      </c>
      <c r="BA3476" t="s">
        <v>1524</v>
      </c>
      <c r="BB3476" s="3">
        <v>43165</v>
      </c>
      <c r="BC3476" s="1">
        <v>0</v>
      </c>
      <c r="BD3476" t="s">
        <v>247</v>
      </c>
      <c r="BE3476" s="3">
        <v>41919</v>
      </c>
      <c r="BF3476" s="1">
        <v>402870</v>
      </c>
      <c r="BG3476" t="s">
        <v>275</v>
      </c>
      <c r="BH3476" s="1">
        <v>133.09</v>
      </c>
      <c r="BI3476" s="1">
        <v>416812</v>
      </c>
      <c r="BJ3476" s="3">
        <v>42111</v>
      </c>
      <c r="BK3476" t="s">
        <v>123</v>
      </c>
      <c r="BL3476" t="str">
        <f>"2015.266717"</f>
        <v>2015.266717</v>
      </c>
      <c r="BM3476" t="s">
        <v>255</v>
      </c>
      <c r="BN3476" t="s">
        <v>2398</v>
      </c>
      <c r="BO3476" t="s">
        <v>22422</v>
      </c>
      <c r="BS3476">
        <v>30</v>
      </c>
      <c r="BT3476" s="1">
        <v>42345</v>
      </c>
      <c r="BU3476" s="3">
        <v>43165</v>
      </c>
      <c r="BV3476" t="s">
        <v>134</v>
      </c>
      <c r="BW3476" t="str">
        <f>"2018.167345"</f>
        <v>2018.167345</v>
      </c>
      <c r="BX3476" t="s">
        <v>198</v>
      </c>
      <c r="BY3476" t="s">
        <v>655</v>
      </c>
      <c r="BZ3476" t="s">
        <v>22423</v>
      </c>
      <c r="CA3476" t="s">
        <v>22424</v>
      </c>
      <c r="CC3476" t="s">
        <v>139</v>
      </c>
      <c r="CH3476" t="str">
        <f>""</f>
        <v/>
      </c>
      <c r="CS3476" t="str">
        <f>""</f>
        <v/>
      </c>
    </row>
    <row r="3477" spans="1:97" x14ac:dyDescent="0.25">
      <c r="A3477" t="s">
        <v>1349</v>
      </c>
      <c r="B3477" t="s">
        <v>745</v>
      </c>
      <c r="C3477" t="s">
        <v>22425</v>
      </c>
      <c r="D3477" t="s">
        <v>745</v>
      </c>
      <c r="E3477" t="s">
        <v>22426</v>
      </c>
      <c r="F3477" t="s">
        <v>108</v>
      </c>
      <c r="H3477" t="s">
        <v>22427</v>
      </c>
      <c r="I3477" t="s">
        <v>5114</v>
      </c>
      <c r="J3477" t="s">
        <v>111</v>
      </c>
      <c r="K3477" t="str">
        <f>"85392"</f>
        <v>85392</v>
      </c>
      <c r="L3477" t="s">
        <v>6691</v>
      </c>
      <c r="M3477" t="s">
        <v>22427</v>
      </c>
      <c r="N3477" t="s">
        <v>5114</v>
      </c>
      <c r="O3477" t="s">
        <v>111</v>
      </c>
      <c r="P3477" t="str">
        <f>"85392-5524"</f>
        <v>85392-5524</v>
      </c>
      <c r="Q3477" t="s">
        <v>113</v>
      </c>
      <c r="R3477" t="str">
        <f>"501-75-714"</f>
        <v>501-75-714</v>
      </c>
      <c r="S3477" t="s">
        <v>7635</v>
      </c>
      <c r="T3477" t="s">
        <v>7635</v>
      </c>
      <c r="U3477">
        <v>3141</v>
      </c>
      <c r="V3477">
        <v>0</v>
      </c>
      <c r="W3477">
        <v>4</v>
      </c>
      <c r="X3477">
        <v>1995</v>
      </c>
      <c r="Z3477">
        <v>2</v>
      </c>
      <c r="AA3477" t="s">
        <v>26</v>
      </c>
      <c r="AB3477">
        <v>0</v>
      </c>
      <c r="AC3477" t="s">
        <v>115</v>
      </c>
      <c r="AD3477">
        <v>3</v>
      </c>
      <c r="AE3477" t="s">
        <v>115</v>
      </c>
      <c r="AF3477">
        <v>0</v>
      </c>
      <c r="AG3477">
        <v>0</v>
      </c>
      <c r="AH3477" t="s">
        <v>116</v>
      </c>
      <c r="AI3477" s="1">
        <v>58412</v>
      </c>
      <c r="AJ3477" s="2">
        <v>0.16</v>
      </c>
      <c r="AK3477" s="1">
        <v>374412</v>
      </c>
      <c r="AL3477" t="s">
        <v>117</v>
      </c>
      <c r="AM3477" t="s">
        <v>118</v>
      </c>
      <c r="AN3477">
        <v>11156</v>
      </c>
      <c r="AO3477">
        <v>0.26</v>
      </c>
      <c r="AP3477">
        <v>1</v>
      </c>
      <c r="AR3477">
        <v>1</v>
      </c>
      <c r="AS3477" s="1">
        <v>26230</v>
      </c>
      <c r="AT3477" s="1">
        <v>5240</v>
      </c>
      <c r="AU3477" s="1">
        <v>20990</v>
      </c>
      <c r="AV3477">
        <v>80.02</v>
      </c>
      <c r="AX3477" s="1">
        <v>2115.54</v>
      </c>
      <c r="AY3477" t="s">
        <v>7636</v>
      </c>
      <c r="AZ3477" t="s">
        <v>6701</v>
      </c>
      <c r="BA3477" t="s">
        <v>6702</v>
      </c>
      <c r="BE3477" s="3">
        <v>41983</v>
      </c>
      <c r="BF3477" s="1">
        <v>295000</v>
      </c>
      <c r="BG3477" t="s">
        <v>22428</v>
      </c>
      <c r="BH3477" s="1">
        <v>93.92</v>
      </c>
      <c r="BI3477" s="1">
        <v>316000</v>
      </c>
      <c r="BJ3477" s="3">
        <v>42977</v>
      </c>
      <c r="BK3477" t="s">
        <v>123</v>
      </c>
      <c r="BL3477" t="str">
        <f>"2017.639414"</f>
        <v>2017.639414</v>
      </c>
      <c r="BM3477" t="s">
        <v>361</v>
      </c>
      <c r="BO3477" t="s">
        <v>22429</v>
      </c>
      <c r="BS3477">
        <v>30</v>
      </c>
      <c r="BW3477" t="str">
        <f>""</f>
        <v/>
      </c>
      <c r="CH3477" t="str">
        <f>""</f>
        <v/>
      </c>
      <c r="CS3477" t="str">
        <f>""</f>
        <v/>
      </c>
    </row>
    <row r="3478" spans="1:97" x14ac:dyDescent="0.25">
      <c r="A3478" t="s">
        <v>259</v>
      </c>
      <c r="B3478" t="s">
        <v>8295</v>
      </c>
      <c r="C3478" t="s">
        <v>3212</v>
      </c>
      <c r="D3478" t="s">
        <v>8295</v>
      </c>
      <c r="E3478" t="s">
        <v>22430</v>
      </c>
      <c r="F3478" t="s">
        <v>108</v>
      </c>
      <c r="H3478" t="s">
        <v>22431</v>
      </c>
      <c r="I3478" t="s">
        <v>225</v>
      </c>
      <c r="J3478" t="s">
        <v>111</v>
      </c>
      <c r="K3478" t="str">
        <f>"85203"</f>
        <v>85203</v>
      </c>
      <c r="L3478" t="s">
        <v>8543</v>
      </c>
      <c r="M3478" t="s">
        <v>22431</v>
      </c>
      <c r="N3478" t="s">
        <v>225</v>
      </c>
      <c r="O3478" t="s">
        <v>111</v>
      </c>
      <c r="P3478" t="str">
        <f>"85203-3654"</f>
        <v>85203-3654</v>
      </c>
      <c r="Q3478" t="s">
        <v>113</v>
      </c>
      <c r="R3478" t="str">
        <f>"136-26-888"</f>
        <v>136-26-888</v>
      </c>
      <c r="S3478" t="s">
        <v>20107</v>
      </c>
      <c r="T3478" t="s">
        <v>20108</v>
      </c>
      <c r="U3478">
        <v>2283</v>
      </c>
      <c r="V3478">
        <v>0</v>
      </c>
      <c r="W3478">
        <v>2</v>
      </c>
      <c r="X3478">
        <v>1986</v>
      </c>
      <c r="Z3478">
        <v>1</v>
      </c>
      <c r="AA3478" t="s">
        <v>26</v>
      </c>
      <c r="AB3478">
        <v>0</v>
      </c>
      <c r="AC3478" t="s">
        <v>115</v>
      </c>
      <c r="AD3478">
        <v>0</v>
      </c>
      <c r="AE3478" t="s">
        <v>115</v>
      </c>
      <c r="AF3478">
        <v>0</v>
      </c>
      <c r="AG3478">
        <v>0</v>
      </c>
      <c r="AH3478" t="s">
        <v>116</v>
      </c>
      <c r="AI3478" s="1">
        <v>38907</v>
      </c>
      <c r="AJ3478" s="2">
        <v>0.11</v>
      </c>
      <c r="AK3478" s="1">
        <v>343422</v>
      </c>
      <c r="AL3478" t="s">
        <v>117</v>
      </c>
      <c r="AM3478" t="s">
        <v>917</v>
      </c>
      <c r="AN3478">
        <v>10441</v>
      </c>
      <c r="AO3478">
        <v>0.24</v>
      </c>
      <c r="AP3478">
        <v>1</v>
      </c>
      <c r="AR3478">
        <v>1</v>
      </c>
      <c r="AS3478" s="1">
        <v>25810</v>
      </c>
      <c r="AT3478" s="1">
        <v>5160</v>
      </c>
      <c r="AU3478" s="1">
        <v>20650</v>
      </c>
      <c r="AV3478">
        <v>80.010000000000005</v>
      </c>
      <c r="AX3478" s="1">
        <v>1817.74</v>
      </c>
      <c r="AY3478" t="s">
        <v>12830</v>
      </c>
      <c r="AZ3478" t="s">
        <v>5190</v>
      </c>
      <c r="BA3478" t="s">
        <v>5191</v>
      </c>
      <c r="BB3478" s="3">
        <v>42688</v>
      </c>
      <c r="BD3478" t="s">
        <v>240</v>
      </c>
      <c r="BE3478" s="3">
        <v>42185</v>
      </c>
      <c r="BF3478" s="1">
        <v>299000</v>
      </c>
      <c r="BG3478" t="s">
        <v>22432</v>
      </c>
      <c r="BH3478" s="1">
        <v>130.97</v>
      </c>
      <c r="BI3478" s="1">
        <v>304515</v>
      </c>
      <c r="BJ3478" s="3">
        <v>42688</v>
      </c>
      <c r="BK3478" t="s">
        <v>123</v>
      </c>
      <c r="BL3478" t="str">
        <f>"2016.837205"</f>
        <v>2016.837205</v>
      </c>
      <c r="BM3478" t="s">
        <v>2094</v>
      </c>
      <c r="BO3478" t="s">
        <v>22433</v>
      </c>
      <c r="BS3478">
        <v>30</v>
      </c>
      <c r="BW3478" t="str">
        <f>""</f>
        <v/>
      </c>
      <c r="CH3478" t="str">
        <f>""</f>
        <v/>
      </c>
      <c r="CS3478" t="str">
        <f>""</f>
        <v/>
      </c>
    </row>
    <row r="3479" spans="1:97" x14ac:dyDescent="0.25">
      <c r="A3479" t="s">
        <v>1009</v>
      </c>
      <c r="B3479" t="s">
        <v>14256</v>
      </c>
      <c r="C3479" t="s">
        <v>2281</v>
      </c>
      <c r="D3479" t="s">
        <v>14256</v>
      </c>
      <c r="E3479" t="s">
        <v>22434</v>
      </c>
      <c r="F3479" t="s">
        <v>108</v>
      </c>
      <c r="H3479" t="s">
        <v>22435</v>
      </c>
      <c r="I3479" t="s">
        <v>390</v>
      </c>
      <c r="J3479" t="s">
        <v>111</v>
      </c>
      <c r="K3479" t="str">
        <f>"85086"</f>
        <v>85086</v>
      </c>
      <c r="L3479" t="s">
        <v>4698</v>
      </c>
      <c r="M3479" t="s">
        <v>22435</v>
      </c>
      <c r="N3479" t="s">
        <v>390</v>
      </c>
      <c r="O3479" t="s">
        <v>111</v>
      </c>
      <c r="P3479" t="str">
        <f>"85086-2145"</f>
        <v>85086-2145</v>
      </c>
      <c r="Q3479" t="s">
        <v>113</v>
      </c>
      <c r="R3479" t="str">
        <f>"203-27-035"</f>
        <v>203-27-035</v>
      </c>
      <c r="S3479" t="s">
        <v>22436</v>
      </c>
      <c r="U3479">
        <v>2230</v>
      </c>
      <c r="V3479">
        <v>0</v>
      </c>
      <c r="W3479">
        <v>3</v>
      </c>
      <c r="X3479">
        <v>2003</v>
      </c>
      <c r="Z3479">
        <v>1</v>
      </c>
      <c r="AB3479">
        <v>0</v>
      </c>
      <c r="AC3479" t="s">
        <v>115</v>
      </c>
      <c r="AD3479">
        <v>2</v>
      </c>
      <c r="AE3479" t="s">
        <v>115</v>
      </c>
      <c r="AF3479">
        <v>0</v>
      </c>
      <c r="AG3479">
        <v>0</v>
      </c>
      <c r="AH3479" t="s">
        <v>116</v>
      </c>
      <c r="AI3479" s="1">
        <v>70859</v>
      </c>
      <c r="AJ3479" s="2">
        <v>0.2</v>
      </c>
      <c r="AK3479" s="1">
        <v>346192</v>
      </c>
      <c r="AL3479" t="s">
        <v>117</v>
      </c>
      <c r="AM3479" t="s">
        <v>191</v>
      </c>
      <c r="AN3479">
        <v>6569</v>
      </c>
      <c r="AO3479">
        <v>0.15</v>
      </c>
      <c r="AP3479">
        <v>1</v>
      </c>
      <c r="AR3479">
        <v>1</v>
      </c>
      <c r="AS3479" s="1">
        <v>24450</v>
      </c>
      <c r="AT3479" s="1">
        <v>4890</v>
      </c>
      <c r="AU3479" s="1">
        <v>19560</v>
      </c>
      <c r="AV3479">
        <v>80</v>
      </c>
      <c r="AX3479" s="1">
        <v>2256.1999999999998</v>
      </c>
      <c r="AY3479" t="s">
        <v>8639</v>
      </c>
      <c r="AZ3479" t="s">
        <v>8639</v>
      </c>
      <c r="BA3479" t="s">
        <v>378</v>
      </c>
      <c r="BE3479" s="3">
        <v>42199</v>
      </c>
      <c r="BF3479" s="1">
        <v>272000</v>
      </c>
      <c r="BG3479" t="s">
        <v>22437</v>
      </c>
      <c r="BH3479" s="1">
        <v>121.97</v>
      </c>
      <c r="BI3479" s="1">
        <v>275333</v>
      </c>
      <c r="BJ3479" s="3">
        <v>42611</v>
      </c>
      <c r="BK3479" t="s">
        <v>123</v>
      </c>
      <c r="BL3479" t="str">
        <f>"2016.622560"</f>
        <v>2016.622560</v>
      </c>
      <c r="BM3479" t="s">
        <v>8916</v>
      </c>
      <c r="BO3479" t="s">
        <v>22438</v>
      </c>
      <c r="BS3479">
        <v>30</v>
      </c>
      <c r="BW3479" t="str">
        <f>""</f>
        <v/>
      </c>
      <c r="CH3479" t="str">
        <f>""</f>
        <v/>
      </c>
      <c r="CS3479" t="str">
        <f>""</f>
        <v/>
      </c>
    </row>
    <row r="3480" spans="1:97" x14ac:dyDescent="0.25">
      <c r="A3480" t="s">
        <v>1465</v>
      </c>
      <c r="B3480" t="s">
        <v>212</v>
      </c>
      <c r="C3480" t="s">
        <v>5505</v>
      </c>
      <c r="D3480" t="s">
        <v>212</v>
      </c>
      <c r="E3480" t="s">
        <v>22439</v>
      </c>
      <c r="F3480" t="s">
        <v>108</v>
      </c>
      <c r="H3480" t="s">
        <v>22440</v>
      </c>
      <c r="I3480" t="s">
        <v>390</v>
      </c>
      <c r="J3480" t="s">
        <v>111</v>
      </c>
      <c r="K3480" t="str">
        <f>"85042"</f>
        <v>85042</v>
      </c>
      <c r="L3480" t="s">
        <v>6460</v>
      </c>
      <c r="M3480" t="s">
        <v>22440</v>
      </c>
      <c r="N3480" t="s">
        <v>390</v>
      </c>
      <c r="O3480" t="s">
        <v>111</v>
      </c>
      <c r="P3480" t="str">
        <f>"85042-8373"</f>
        <v>85042-8373</v>
      </c>
      <c r="Q3480" t="s">
        <v>113</v>
      </c>
      <c r="R3480" t="str">
        <f>"300-65-108"</f>
        <v>300-65-108</v>
      </c>
      <c r="S3480" t="s">
        <v>22441</v>
      </c>
      <c r="T3480" t="s">
        <v>22441</v>
      </c>
      <c r="U3480">
        <v>2987</v>
      </c>
      <c r="V3480">
        <v>0</v>
      </c>
      <c r="W3480">
        <v>4</v>
      </c>
      <c r="X3480">
        <v>2007</v>
      </c>
      <c r="Z3480">
        <v>1</v>
      </c>
      <c r="AB3480">
        <v>0</v>
      </c>
      <c r="AC3480" t="s">
        <v>115</v>
      </c>
      <c r="AD3480">
        <v>2</v>
      </c>
      <c r="AE3480" t="s">
        <v>115</v>
      </c>
      <c r="AF3480">
        <v>0</v>
      </c>
      <c r="AG3480">
        <v>0</v>
      </c>
      <c r="AH3480" t="s">
        <v>116</v>
      </c>
      <c r="AI3480" s="1">
        <v>65203</v>
      </c>
      <c r="AJ3480" s="2">
        <v>0.15</v>
      </c>
      <c r="AK3480" s="1">
        <v>437203</v>
      </c>
      <c r="AL3480" t="s">
        <v>117</v>
      </c>
      <c r="AM3480" t="s">
        <v>22442</v>
      </c>
      <c r="AN3480">
        <v>8770</v>
      </c>
      <c r="AO3480">
        <v>0.2</v>
      </c>
      <c r="AR3480">
        <v>1</v>
      </c>
      <c r="AS3480" s="1">
        <v>31410</v>
      </c>
      <c r="AT3480" s="1">
        <v>6280</v>
      </c>
      <c r="AU3480" s="1">
        <v>25130</v>
      </c>
      <c r="AV3480">
        <v>80.010000000000005</v>
      </c>
      <c r="AX3480" s="1">
        <v>4728.6400000000003</v>
      </c>
      <c r="AY3480" t="s">
        <v>2859</v>
      </c>
      <c r="AZ3480" t="s">
        <v>2859</v>
      </c>
      <c r="BA3480" t="s">
        <v>2860</v>
      </c>
      <c r="BE3480" s="3">
        <v>42247</v>
      </c>
      <c r="BF3480" s="1">
        <v>372000</v>
      </c>
      <c r="BG3480" t="s">
        <v>22443</v>
      </c>
      <c r="BH3480" s="1">
        <v>124.54</v>
      </c>
      <c r="BI3480" s="1">
        <v>372000</v>
      </c>
      <c r="BJ3480" s="3">
        <v>42247</v>
      </c>
      <c r="BK3480" t="s">
        <v>123</v>
      </c>
      <c r="BL3480" t="str">
        <f>"2015.630836"</f>
        <v>2015.630836</v>
      </c>
      <c r="BM3480" t="s">
        <v>724</v>
      </c>
      <c r="BO3480" t="s">
        <v>22444</v>
      </c>
      <c r="BS3480">
        <v>30</v>
      </c>
      <c r="BW3480" t="str">
        <f>""</f>
        <v/>
      </c>
      <c r="CH3480" t="str">
        <f>""</f>
        <v/>
      </c>
      <c r="CS3480" t="str">
        <f>""</f>
        <v/>
      </c>
    </row>
    <row r="3481" spans="1:97" x14ac:dyDescent="0.25">
      <c r="B3481" t="s">
        <v>22445</v>
      </c>
      <c r="E3481" t="s">
        <v>22446</v>
      </c>
      <c r="F3481" t="s">
        <v>108</v>
      </c>
      <c r="H3481" t="s">
        <v>22447</v>
      </c>
      <c r="I3481" t="s">
        <v>499</v>
      </c>
      <c r="J3481" t="s">
        <v>111</v>
      </c>
      <c r="K3481" t="str">
        <f>"85395"</f>
        <v>85395</v>
      </c>
      <c r="L3481" t="s">
        <v>3885</v>
      </c>
      <c r="M3481" t="s">
        <v>22447</v>
      </c>
      <c r="N3481" t="s">
        <v>499</v>
      </c>
      <c r="O3481" t="s">
        <v>111</v>
      </c>
      <c r="P3481" t="str">
        <f>"85395-8300"</f>
        <v>85395-8300</v>
      </c>
      <c r="Q3481" t="s">
        <v>113</v>
      </c>
      <c r="R3481" t="str">
        <f>"501-70-480"</f>
        <v>501-70-480</v>
      </c>
      <c r="S3481" t="s">
        <v>10746</v>
      </c>
      <c r="T3481" t="s">
        <v>10747</v>
      </c>
      <c r="U3481">
        <v>2360</v>
      </c>
      <c r="V3481">
        <v>0</v>
      </c>
      <c r="W3481">
        <v>3</v>
      </c>
      <c r="X3481">
        <v>2000</v>
      </c>
      <c r="Z3481">
        <v>1</v>
      </c>
      <c r="AA3481" t="s">
        <v>26</v>
      </c>
      <c r="AB3481">
        <v>0</v>
      </c>
      <c r="AC3481" t="s">
        <v>115</v>
      </c>
      <c r="AD3481">
        <v>3</v>
      </c>
      <c r="AE3481" t="s">
        <v>115</v>
      </c>
      <c r="AF3481">
        <v>0</v>
      </c>
      <c r="AG3481">
        <v>0</v>
      </c>
      <c r="AH3481" t="s">
        <v>116</v>
      </c>
      <c r="AI3481" s="1">
        <v>122845</v>
      </c>
      <c r="AJ3481" s="2">
        <v>0.36</v>
      </c>
      <c r="AK3481" s="1">
        <v>345845</v>
      </c>
      <c r="AL3481" t="s">
        <v>117</v>
      </c>
      <c r="AM3481" t="s">
        <v>118</v>
      </c>
      <c r="AN3481">
        <v>9163</v>
      </c>
      <c r="AO3481">
        <v>0.21</v>
      </c>
      <c r="AP3481">
        <v>1</v>
      </c>
      <c r="AR3481">
        <v>1</v>
      </c>
      <c r="AS3481" s="1">
        <v>25010</v>
      </c>
      <c r="AT3481" s="1">
        <v>5000</v>
      </c>
      <c r="AU3481" s="1">
        <v>20010</v>
      </c>
      <c r="AV3481">
        <v>80.010000000000005</v>
      </c>
      <c r="AX3481" s="1">
        <v>2960</v>
      </c>
      <c r="AY3481" t="s">
        <v>3020</v>
      </c>
      <c r="AZ3481" t="s">
        <v>3020</v>
      </c>
      <c r="BA3481" t="s">
        <v>3154</v>
      </c>
      <c r="BB3481" s="3">
        <v>42878</v>
      </c>
      <c r="BD3481" t="s">
        <v>480</v>
      </c>
      <c r="BE3481" s="3">
        <v>42356</v>
      </c>
      <c r="BF3481" s="1">
        <v>283000</v>
      </c>
      <c r="BG3481" t="s">
        <v>22448</v>
      </c>
      <c r="BH3481" s="1">
        <v>119.92</v>
      </c>
      <c r="BI3481" s="1">
        <v>223000</v>
      </c>
      <c r="BJ3481" s="3">
        <v>42356</v>
      </c>
      <c r="BK3481" t="s">
        <v>123</v>
      </c>
      <c r="BL3481" t="str">
        <f>"2015.892969"</f>
        <v>2015.892969</v>
      </c>
      <c r="BM3481" t="s">
        <v>709</v>
      </c>
      <c r="BN3481" t="s">
        <v>863</v>
      </c>
      <c r="BO3481" t="s">
        <v>22449</v>
      </c>
      <c r="BS3481">
        <v>30</v>
      </c>
      <c r="BW3481" t="str">
        <f>""</f>
        <v/>
      </c>
      <c r="CH3481" t="str">
        <f>""</f>
        <v/>
      </c>
      <c r="CS3481" t="str">
        <f>""</f>
        <v/>
      </c>
    </row>
    <row r="3482" spans="1:97" x14ac:dyDescent="0.25">
      <c r="B3482" t="s">
        <v>22450</v>
      </c>
      <c r="E3482" t="s">
        <v>22451</v>
      </c>
      <c r="F3482" t="s">
        <v>108</v>
      </c>
      <c r="H3482" t="s">
        <v>22452</v>
      </c>
      <c r="I3482" t="s">
        <v>203</v>
      </c>
      <c r="J3482" t="s">
        <v>111</v>
      </c>
      <c r="K3482" t="str">
        <f>"85233"</f>
        <v>85233</v>
      </c>
      <c r="L3482" t="s">
        <v>6145</v>
      </c>
      <c r="M3482" t="s">
        <v>22452</v>
      </c>
      <c r="N3482" t="s">
        <v>203</v>
      </c>
      <c r="O3482" t="s">
        <v>111</v>
      </c>
      <c r="P3482" t="str">
        <f>"85233-1928"</f>
        <v>85233-1928</v>
      </c>
      <c r="Q3482" t="s">
        <v>113</v>
      </c>
      <c r="R3482" t="str">
        <f>"302-12-117"</f>
        <v>302-12-117</v>
      </c>
      <c r="S3482" t="s">
        <v>15624</v>
      </c>
      <c r="T3482" t="s">
        <v>15624</v>
      </c>
      <c r="U3482">
        <v>1730</v>
      </c>
      <c r="V3482">
        <v>0</v>
      </c>
      <c r="W3482">
        <v>3</v>
      </c>
      <c r="X3482">
        <v>1995</v>
      </c>
      <c r="Z3482">
        <v>2</v>
      </c>
      <c r="AA3482" t="s">
        <v>26</v>
      </c>
      <c r="AB3482">
        <v>0</v>
      </c>
      <c r="AC3482" t="s">
        <v>115</v>
      </c>
      <c r="AD3482">
        <v>2</v>
      </c>
      <c r="AE3482" t="s">
        <v>115</v>
      </c>
      <c r="AF3482">
        <v>0</v>
      </c>
      <c r="AG3482">
        <v>0</v>
      </c>
      <c r="AH3482" t="s">
        <v>116</v>
      </c>
      <c r="AI3482" s="1">
        <v>70229</v>
      </c>
      <c r="AJ3482" s="2">
        <v>0.23</v>
      </c>
      <c r="AK3482" s="1">
        <v>299701</v>
      </c>
      <c r="AL3482" t="s">
        <v>117</v>
      </c>
      <c r="AM3482" t="s">
        <v>288</v>
      </c>
      <c r="AN3482">
        <v>5406</v>
      </c>
      <c r="AO3482">
        <v>0.12</v>
      </c>
      <c r="AP3482">
        <v>1</v>
      </c>
      <c r="AR3482">
        <v>1</v>
      </c>
      <c r="AS3482" s="1">
        <v>21420</v>
      </c>
      <c r="AT3482" s="1">
        <v>4280</v>
      </c>
      <c r="AU3482" s="1">
        <v>17140</v>
      </c>
      <c r="AV3482">
        <v>80.02</v>
      </c>
      <c r="AX3482" s="1">
        <v>1442</v>
      </c>
      <c r="AY3482" t="s">
        <v>8604</v>
      </c>
      <c r="AZ3482" t="s">
        <v>5478</v>
      </c>
      <c r="BA3482" t="s">
        <v>5479</v>
      </c>
      <c r="BB3482" s="3">
        <v>42559</v>
      </c>
      <c r="BD3482" t="s">
        <v>458</v>
      </c>
      <c r="BE3482" s="3">
        <v>42475</v>
      </c>
      <c r="BF3482" s="1">
        <v>245000</v>
      </c>
      <c r="BG3482" t="s">
        <v>22453</v>
      </c>
      <c r="BH3482" s="1">
        <v>141.62</v>
      </c>
      <c r="BI3482" s="1">
        <v>229472</v>
      </c>
      <c r="BJ3482" s="3">
        <v>42593</v>
      </c>
      <c r="BK3482" t="s">
        <v>123</v>
      </c>
      <c r="BL3482" t="str">
        <f>"2016.572405"</f>
        <v>2016.572405</v>
      </c>
      <c r="BM3482" t="s">
        <v>1695</v>
      </c>
      <c r="BO3482" t="s">
        <v>22454</v>
      </c>
      <c r="BS3482">
        <v>30</v>
      </c>
      <c r="BW3482" t="str">
        <f>""</f>
        <v/>
      </c>
      <c r="CH3482" t="str">
        <f>""</f>
        <v/>
      </c>
      <c r="CS3482" t="str">
        <f>""</f>
        <v/>
      </c>
    </row>
    <row r="3483" spans="1:97" x14ac:dyDescent="0.25">
      <c r="A3483" t="s">
        <v>464</v>
      </c>
      <c r="B3483" t="s">
        <v>22455</v>
      </c>
      <c r="C3483" t="s">
        <v>4396</v>
      </c>
      <c r="D3483" t="s">
        <v>22455</v>
      </c>
      <c r="E3483" t="s">
        <v>22456</v>
      </c>
      <c r="F3483" t="s">
        <v>108</v>
      </c>
      <c r="H3483" t="s">
        <v>22457</v>
      </c>
      <c r="I3483" t="s">
        <v>390</v>
      </c>
      <c r="J3483" t="s">
        <v>111</v>
      </c>
      <c r="K3483" t="str">
        <f>"85012"</f>
        <v>85012</v>
      </c>
      <c r="L3483" t="s">
        <v>9764</v>
      </c>
      <c r="M3483" t="s">
        <v>22457</v>
      </c>
      <c r="N3483" t="s">
        <v>390</v>
      </c>
      <c r="O3483" t="s">
        <v>111</v>
      </c>
      <c r="P3483" t="str">
        <f>"85012-3011"</f>
        <v>85012-3011</v>
      </c>
      <c r="Q3483" t="s">
        <v>113</v>
      </c>
      <c r="R3483" t="str">
        <f>"118-21-027"</f>
        <v>118-21-027</v>
      </c>
      <c r="S3483" t="s">
        <v>22458</v>
      </c>
      <c r="T3483" t="s">
        <v>22458</v>
      </c>
      <c r="U3483">
        <v>3164</v>
      </c>
      <c r="V3483">
        <v>0</v>
      </c>
      <c r="W3483">
        <v>3</v>
      </c>
      <c r="X3483">
        <v>1932</v>
      </c>
      <c r="Z3483">
        <v>1</v>
      </c>
      <c r="AA3483" t="s">
        <v>26</v>
      </c>
      <c r="AB3483">
        <v>0</v>
      </c>
      <c r="AC3483" t="s">
        <v>115</v>
      </c>
      <c r="AD3483">
        <v>2</v>
      </c>
      <c r="AE3483" t="s">
        <v>115</v>
      </c>
      <c r="AF3483">
        <v>0</v>
      </c>
      <c r="AG3483">
        <v>0</v>
      </c>
      <c r="AH3483" t="s">
        <v>116</v>
      </c>
      <c r="AI3483" s="1">
        <v>164775</v>
      </c>
      <c r="AJ3483" s="2">
        <v>0.24</v>
      </c>
      <c r="AK3483" s="1">
        <v>689276</v>
      </c>
      <c r="AL3483" t="s">
        <v>117</v>
      </c>
      <c r="AM3483" t="s">
        <v>191</v>
      </c>
      <c r="AN3483">
        <v>10132</v>
      </c>
      <c r="AO3483">
        <v>0.23</v>
      </c>
      <c r="AP3483">
        <v>1</v>
      </c>
      <c r="AR3483">
        <v>1</v>
      </c>
      <c r="AS3483" s="1">
        <v>51050</v>
      </c>
      <c r="AT3483" s="1">
        <v>10210</v>
      </c>
      <c r="AU3483" s="1">
        <v>40840</v>
      </c>
      <c r="AV3483">
        <v>80</v>
      </c>
      <c r="AX3483" s="1">
        <v>5119.6400000000003</v>
      </c>
      <c r="AY3483" t="s">
        <v>5689</v>
      </c>
      <c r="AZ3483" t="s">
        <v>5690</v>
      </c>
      <c r="BA3483" t="s">
        <v>5469</v>
      </c>
      <c r="BE3483" s="3">
        <v>41873</v>
      </c>
      <c r="BF3483" s="1">
        <v>550000</v>
      </c>
      <c r="BG3483" t="s">
        <v>22459</v>
      </c>
      <c r="BH3483" s="1">
        <v>173.83</v>
      </c>
      <c r="BI3483" s="1">
        <v>524501</v>
      </c>
      <c r="BJ3483" s="3">
        <v>41873</v>
      </c>
      <c r="BK3483" t="s">
        <v>123</v>
      </c>
      <c r="BL3483" t="str">
        <f>"2014.556263"</f>
        <v>2014.556263</v>
      </c>
      <c r="BM3483" t="s">
        <v>135</v>
      </c>
      <c r="BO3483" t="s">
        <v>22460</v>
      </c>
      <c r="BS3483">
        <v>30</v>
      </c>
      <c r="BW3483" t="str">
        <f>""</f>
        <v/>
      </c>
      <c r="CH3483" t="str">
        <f>""</f>
        <v/>
      </c>
      <c r="CS3483" t="str">
        <f>""</f>
        <v/>
      </c>
    </row>
    <row r="3484" spans="1:97" x14ac:dyDescent="0.25">
      <c r="A3484" t="s">
        <v>2374</v>
      </c>
      <c r="B3484" t="s">
        <v>22461</v>
      </c>
      <c r="C3484" t="s">
        <v>2852</v>
      </c>
      <c r="D3484" t="s">
        <v>22461</v>
      </c>
      <c r="E3484" t="s">
        <v>22462</v>
      </c>
      <c r="F3484" t="s">
        <v>108</v>
      </c>
      <c r="H3484" t="s">
        <v>22463</v>
      </c>
      <c r="I3484" t="s">
        <v>144</v>
      </c>
      <c r="J3484" t="s">
        <v>111</v>
      </c>
      <c r="K3484" t="str">
        <f>"85326"</f>
        <v>85326</v>
      </c>
      <c r="L3484" t="s">
        <v>8255</v>
      </c>
      <c r="M3484" t="s">
        <v>22463</v>
      </c>
      <c r="N3484" t="s">
        <v>144</v>
      </c>
      <c r="O3484" t="s">
        <v>111</v>
      </c>
      <c r="P3484" t="str">
        <f>"85326-7882"</f>
        <v>85326-7882</v>
      </c>
      <c r="Q3484" t="s">
        <v>113</v>
      </c>
      <c r="R3484" t="str">
        <f>"504-25-050"</f>
        <v>504-25-050</v>
      </c>
      <c r="S3484" t="s">
        <v>22464</v>
      </c>
      <c r="T3484" t="s">
        <v>22464</v>
      </c>
      <c r="U3484">
        <v>3308</v>
      </c>
      <c r="V3484">
        <v>0</v>
      </c>
      <c r="W3484">
        <v>4</v>
      </c>
      <c r="X3484">
        <v>2006</v>
      </c>
      <c r="Z3484">
        <v>2</v>
      </c>
      <c r="AB3484">
        <v>0</v>
      </c>
      <c r="AC3484" t="s">
        <v>115</v>
      </c>
      <c r="AD3484">
        <v>3</v>
      </c>
      <c r="AE3484" t="s">
        <v>115</v>
      </c>
      <c r="AF3484">
        <v>0</v>
      </c>
      <c r="AG3484">
        <v>0</v>
      </c>
      <c r="AH3484" t="s">
        <v>116</v>
      </c>
      <c r="AI3484" s="1">
        <v>15565</v>
      </c>
      <c r="AJ3484" s="2">
        <v>0.05</v>
      </c>
      <c r="AK3484" s="1">
        <v>293442</v>
      </c>
      <c r="AL3484" t="s">
        <v>117</v>
      </c>
      <c r="AM3484" t="s">
        <v>5023</v>
      </c>
      <c r="AN3484">
        <v>8634</v>
      </c>
      <c r="AO3484">
        <v>0.2</v>
      </c>
      <c r="AR3484">
        <v>1</v>
      </c>
      <c r="AS3484" s="1">
        <v>20320</v>
      </c>
      <c r="AT3484" s="1">
        <v>4060</v>
      </c>
      <c r="AU3484" s="1">
        <v>16260</v>
      </c>
      <c r="AV3484">
        <v>80.02</v>
      </c>
      <c r="AX3484" s="1">
        <v>1500.1</v>
      </c>
      <c r="AY3484" t="s">
        <v>8444</v>
      </c>
      <c r="AZ3484" t="s">
        <v>8444</v>
      </c>
      <c r="BA3484" t="s">
        <v>5025</v>
      </c>
      <c r="BE3484" s="3">
        <v>42019</v>
      </c>
      <c r="BF3484" s="1">
        <v>210000</v>
      </c>
      <c r="BG3484" t="s">
        <v>22465</v>
      </c>
      <c r="BH3484" s="1">
        <v>63.48</v>
      </c>
      <c r="BI3484" s="1">
        <v>277877</v>
      </c>
      <c r="BJ3484" s="3">
        <v>43357</v>
      </c>
      <c r="BK3484" t="s">
        <v>123</v>
      </c>
      <c r="BL3484" t="str">
        <f>"2018.693090"</f>
        <v>2018.693090</v>
      </c>
      <c r="BM3484" t="s">
        <v>361</v>
      </c>
      <c r="BN3484" t="s">
        <v>884</v>
      </c>
      <c r="BO3484" t="s">
        <v>22466</v>
      </c>
      <c r="BP3484" t="s">
        <v>22467</v>
      </c>
      <c r="BR3484" t="s">
        <v>139</v>
      </c>
      <c r="BW3484" t="str">
        <f>""</f>
        <v/>
      </c>
      <c r="CH3484" t="str">
        <f>""</f>
        <v/>
      </c>
      <c r="CS3484" t="str">
        <f>""</f>
        <v/>
      </c>
    </row>
    <row r="3485" spans="1:97" x14ac:dyDescent="0.25">
      <c r="A3485" t="s">
        <v>13462</v>
      </c>
      <c r="B3485" t="s">
        <v>22468</v>
      </c>
      <c r="C3485" t="s">
        <v>397</v>
      </c>
      <c r="D3485" t="s">
        <v>22468</v>
      </c>
      <c r="E3485" t="s">
        <v>22469</v>
      </c>
      <c r="F3485" t="s">
        <v>108</v>
      </c>
      <c r="H3485" t="s">
        <v>22470</v>
      </c>
      <c r="I3485" t="s">
        <v>453</v>
      </c>
      <c r="J3485" t="s">
        <v>111</v>
      </c>
      <c r="K3485" t="str">
        <f>"85383"</f>
        <v>85383</v>
      </c>
      <c r="L3485" t="s">
        <v>7235</v>
      </c>
      <c r="M3485" t="s">
        <v>22470</v>
      </c>
      <c r="N3485" t="s">
        <v>453</v>
      </c>
      <c r="O3485" t="s">
        <v>111</v>
      </c>
      <c r="P3485" t="str">
        <f>"85383-5830"</f>
        <v>85383-5830</v>
      </c>
      <c r="Q3485" t="s">
        <v>113</v>
      </c>
      <c r="R3485" t="str">
        <f>"503-66-409"</f>
        <v>503-66-409</v>
      </c>
      <c r="S3485" t="s">
        <v>9145</v>
      </c>
      <c r="U3485">
        <v>2375</v>
      </c>
      <c r="V3485">
        <v>0</v>
      </c>
      <c r="W3485">
        <v>3</v>
      </c>
      <c r="X3485">
        <v>2015</v>
      </c>
      <c r="Z3485">
        <v>2</v>
      </c>
      <c r="AB3485">
        <v>0</v>
      </c>
      <c r="AC3485" t="s">
        <v>115</v>
      </c>
      <c r="AD3485">
        <v>2</v>
      </c>
      <c r="AE3485" t="s">
        <v>115</v>
      </c>
      <c r="AF3485">
        <v>0</v>
      </c>
      <c r="AG3485">
        <v>0</v>
      </c>
      <c r="AH3485" t="s">
        <v>116</v>
      </c>
      <c r="AI3485" s="1">
        <v>95115</v>
      </c>
      <c r="AJ3485" s="2">
        <v>0.28999999999999998</v>
      </c>
      <c r="AK3485" s="1">
        <v>327927</v>
      </c>
      <c r="AL3485" t="s">
        <v>117</v>
      </c>
      <c r="AM3485" t="s">
        <v>5379</v>
      </c>
      <c r="AN3485">
        <v>5151</v>
      </c>
      <c r="AO3485">
        <v>0.12</v>
      </c>
      <c r="AR3485">
        <v>1</v>
      </c>
      <c r="AS3485" s="1">
        <v>22070</v>
      </c>
      <c r="AT3485" s="1">
        <v>4410</v>
      </c>
      <c r="AU3485" s="1">
        <v>17660</v>
      </c>
      <c r="AV3485">
        <v>80.02</v>
      </c>
      <c r="AX3485" s="1">
        <v>2119.94</v>
      </c>
      <c r="AY3485" t="s">
        <v>456</v>
      </c>
      <c r="AZ3485" t="s">
        <v>456</v>
      </c>
      <c r="BA3485" t="s">
        <v>457</v>
      </c>
      <c r="BE3485" s="3">
        <v>42248</v>
      </c>
      <c r="BF3485" s="1">
        <v>232812</v>
      </c>
      <c r="BG3485" t="s">
        <v>233</v>
      </c>
      <c r="BH3485" s="1">
        <v>98.03</v>
      </c>
      <c r="BI3485" s="1">
        <v>232812</v>
      </c>
      <c r="BJ3485" s="3">
        <v>42248</v>
      </c>
      <c r="BK3485" t="s">
        <v>123</v>
      </c>
      <c r="BL3485" t="str">
        <f>"2015.634358"</f>
        <v>2015.634358</v>
      </c>
      <c r="BM3485" t="s">
        <v>234</v>
      </c>
      <c r="BO3485" t="s">
        <v>22471</v>
      </c>
      <c r="BS3485">
        <v>30</v>
      </c>
      <c r="BW3485" t="str">
        <f>""</f>
        <v/>
      </c>
      <c r="CH3485" t="str">
        <f>""</f>
        <v/>
      </c>
      <c r="CS3485" t="str">
        <f>""</f>
        <v/>
      </c>
    </row>
    <row r="3486" spans="1:97" x14ac:dyDescent="0.25">
      <c r="A3486" t="s">
        <v>1444</v>
      </c>
      <c r="B3486" t="s">
        <v>22472</v>
      </c>
      <c r="E3486" t="s">
        <v>22473</v>
      </c>
      <c r="F3486" t="s">
        <v>108</v>
      </c>
      <c r="H3486" t="s">
        <v>22474</v>
      </c>
      <c r="I3486" t="s">
        <v>390</v>
      </c>
      <c r="J3486" t="s">
        <v>111</v>
      </c>
      <c r="K3486" t="str">
        <f>"85006"</f>
        <v>85006</v>
      </c>
      <c r="L3486" t="s">
        <v>9069</v>
      </c>
      <c r="M3486" t="s">
        <v>22474</v>
      </c>
      <c r="N3486" t="s">
        <v>390</v>
      </c>
      <c r="O3486" t="s">
        <v>111</v>
      </c>
      <c r="P3486" t="str">
        <f>"85006-3238"</f>
        <v>85006-3238</v>
      </c>
      <c r="Q3486" t="s">
        <v>113</v>
      </c>
      <c r="R3486" t="str">
        <f>"116-27-168"</f>
        <v>116-27-168</v>
      </c>
      <c r="S3486" t="s">
        <v>22475</v>
      </c>
      <c r="T3486" t="s">
        <v>22476</v>
      </c>
      <c r="U3486">
        <v>1460</v>
      </c>
      <c r="V3486">
        <v>0</v>
      </c>
      <c r="W3486">
        <v>2</v>
      </c>
      <c r="X3486">
        <v>2006</v>
      </c>
      <c r="Z3486">
        <v>1</v>
      </c>
      <c r="AB3486">
        <v>0</v>
      </c>
      <c r="AC3486" t="s">
        <v>115</v>
      </c>
      <c r="AD3486">
        <v>2</v>
      </c>
      <c r="AE3486" t="s">
        <v>115</v>
      </c>
      <c r="AF3486">
        <v>0</v>
      </c>
      <c r="AG3486">
        <v>0</v>
      </c>
      <c r="AH3486" t="s">
        <v>116</v>
      </c>
      <c r="AI3486" s="1">
        <v>88626</v>
      </c>
      <c r="AJ3486" s="2">
        <v>0.3</v>
      </c>
      <c r="AK3486" s="1">
        <v>292926</v>
      </c>
      <c r="AL3486" t="s">
        <v>117</v>
      </c>
      <c r="AM3486" t="s">
        <v>3345</v>
      </c>
      <c r="AN3486">
        <v>6875</v>
      </c>
      <c r="AO3486">
        <v>0.16</v>
      </c>
      <c r="AP3486">
        <v>1</v>
      </c>
      <c r="AR3486">
        <v>1</v>
      </c>
      <c r="AS3486" s="1">
        <v>20410</v>
      </c>
      <c r="AT3486" s="1">
        <v>4080</v>
      </c>
      <c r="AU3486" s="1">
        <v>16330</v>
      </c>
      <c r="AV3486">
        <v>80.010000000000005</v>
      </c>
      <c r="AX3486" s="1">
        <v>1120.8800000000001</v>
      </c>
      <c r="AY3486" t="s">
        <v>22477</v>
      </c>
      <c r="AZ3486" t="s">
        <v>22477</v>
      </c>
      <c r="BA3486" t="s">
        <v>8412</v>
      </c>
      <c r="BE3486" s="3">
        <v>42397</v>
      </c>
      <c r="BF3486" s="1">
        <v>200000</v>
      </c>
      <c r="BG3486" t="s">
        <v>22478</v>
      </c>
      <c r="BH3486" s="1">
        <v>136.99</v>
      </c>
      <c r="BI3486" s="1">
        <v>204300</v>
      </c>
      <c r="BJ3486" s="3">
        <v>42397</v>
      </c>
      <c r="BK3486" t="s">
        <v>123</v>
      </c>
      <c r="BL3486" t="str">
        <f>"2016.58732"</f>
        <v>2016.58732</v>
      </c>
      <c r="BM3486" t="s">
        <v>2472</v>
      </c>
      <c r="BO3486" t="s">
        <v>22479</v>
      </c>
      <c r="BS3486">
        <v>30</v>
      </c>
      <c r="BW3486" t="str">
        <f>""</f>
        <v/>
      </c>
      <c r="CH3486" t="str">
        <f>""</f>
        <v/>
      </c>
      <c r="CS3486" t="str">
        <f>""</f>
        <v/>
      </c>
    </row>
    <row r="3487" spans="1:97" x14ac:dyDescent="0.25">
      <c r="A3487" t="s">
        <v>2915</v>
      </c>
      <c r="B3487" t="s">
        <v>22480</v>
      </c>
      <c r="C3487" t="s">
        <v>1119</v>
      </c>
      <c r="D3487" t="s">
        <v>22480</v>
      </c>
      <c r="E3487" t="s">
        <v>22481</v>
      </c>
      <c r="F3487" t="s">
        <v>282</v>
      </c>
      <c r="H3487" t="s">
        <v>22482</v>
      </c>
      <c r="I3487" t="s">
        <v>203</v>
      </c>
      <c r="J3487" t="s">
        <v>111</v>
      </c>
      <c r="K3487" t="str">
        <f>"85233"</f>
        <v>85233</v>
      </c>
      <c r="L3487" t="s">
        <v>5429</v>
      </c>
      <c r="M3487" t="s">
        <v>22483</v>
      </c>
      <c r="N3487" t="s">
        <v>203</v>
      </c>
      <c r="O3487" t="s">
        <v>111</v>
      </c>
      <c r="P3487" t="str">
        <f>"85233"</f>
        <v>85233</v>
      </c>
      <c r="Q3487" t="s">
        <v>113</v>
      </c>
      <c r="R3487" t="str">
        <f>"302-98-353"</f>
        <v>302-98-353</v>
      </c>
      <c r="S3487" t="s">
        <v>22484</v>
      </c>
      <c r="T3487" t="s">
        <v>7445</v>
      </c>
      <c r="U3487">
        <v>2856</v>
      </c>
      <c r="V3487">
        <v>0</v>
      </c>
      <c r="W3487">
        <v>4</v>
      </c>
      <c r="X3487">
        <v>1991</v>
      </c>
      <c r="Z3487">
        <v>2</v>
      </c>
      <c r="AA3487" t="s">
        <v>26</v>
      </c>
      <c r="AB3487">
        <v>0</v>
      </c>
      <c r="AC3487" t="s">
        <v>115</v>
      </c>
      <c r="AD3487">
        <v>3</v>
      </c>
      <c r="AE3487" t="s">
        <v>115</v>
      </c>
      <c r="AF3487">
        <v>0</v>
      </c>
      <c r="AG3487">
        <v>0</v>
      </c>
      <c r="AH3487" t="s">
        <v>116</v>
      </c>
      <c r="AI3487" s="1">
        <v>108476</v>
      </c>
      <c r="AJ3487" s="2">
        <v>0.25</v>
      </c>
      <c r="AK3487" s="1">
        <v>431476</v>
      </c>
      <c r="AL3487" t="s">
        <v>117</v>
      </c>
      <c r="AM3487" t="s">
        <v>393</v>
      </c>
      <c r="AN3487">
        <v>8790</v>
      </c>
      <c r="AO3487">
        <v>0.2</v>
      </c>
      <c r="AP3487">
        <v>1</v>
      </c>
      <c r="AR3487">
        <v>1</v>
      </c>
      <c r="AS3487" s="1">
        <v>30030</v>
      </c>
      <c r="AT3487" s="1">
        <v>6000</v>
      </c>
      <c r="AU3487" s="1">
        <v>24030</v>
      </c>
      <c r="AV3487">
        <v>80.02</v>
      </c>
      <c r="AX3487" s="1">
        <v>2540.96</v>
      </c>
      <c r="AY3487" t="s">
        <v>6163</v>
      </c>
      <c r="AZ3487" t="s">
        <v>2906</v>
      </c>
      <c r="BA3487" t="s">
        <v>2957</v>
      </c>
      <c r="BE3487" s="3">
        <v>42047</v>
      </c>
      <c r="BF3487" s="1">
        <v>350000</v>
      </c>
      <c r="BG3487" t="s">
        <v>22485</v>
      </c>
      <c r="BH3487" s="1">
        <v>122.55</v>
      </c>
      <c r="BI3487" s="1">
        <v>323000</v>
      </c>
      <c r="BJ3487" s="3">
        <v>43172</v>
      </c>
      <c r="BK3487" t="s">
        <v>123</v>
      </c>
      <c r="BL3487" t="str">
        <f>"2018.188070"</f>
        <v>2018.188070</v>
      </c>
      <c r="BM3487" t="s">
        <v>1809</v>
      </c>
      <c r="BN3487" t="s">
        <v>1810</v>
      </c>
      <c r="BO3487" t="s">
        <v>22486</v>
      </c>
      <c r="BP3487" t="s">
        <v>22487</v>
      </c>
      <c r="BR3487" t="s">
        <v>139</v>
      </c>
      <c r="BW3487" t="str">
        <f>""</f>
        <v/>
      </c>
      <c r="CH3487" t="str">
        <f>""</f>
        <v/>
      </c>
      <c r="CS3487" t="str">
        <f>""</f>
        <v/>
      </c>
    </row>
    <row r="3488" spans="1:97" x14ac:dyDescent="0.25">
      <c r="A3488" t="s">
        <v>211</v>
      </c>
      <c r="B3488" t="s">
        <v>3526</v>
      </c>
      <c r="C3488" t="s">
        <v>1845</v>
      </c>
      <c r="D3488" t="s">
        <v>3526</v>
      </c>
      <c r="E3488" t="s">
        <v>22488</v>
      </c>
      <c r="F3488" t="s">
        <v>108</v>
      </c>
      <c r="H3488" t="s">
        <v>22489</v>
      </c>
      <c r="I3488" t="s">
        <v>453</v>
      </c>
      <c r="J3488" t="s">
        <v>111</v>
      </c>
      <c r="K3488" t="str">
        <f>"85381"</f>
        <v>85381</v>
      </c>
      <c r="L3488" t="s">
        <v>5464</v>
      </c>
      <c r="M3488" t="s">
        <v>22489</v>
      </c>
      <c r="N3488" t="s">
        <v>453</v>
      </c>
      <c r="O3488" t="s">
        <v>111</v>
      </c>
      <c r="P3488" t="str">
        <f>"85381-9515"</f>
        <v>85381-9515</v>
      </c>
      <c r="Q3488" t="s">
        <v>113</v>
      </c>
      <c r="R3488" t="str">
        <f>"200-77-361"</f>
        <v>200-77-361</v>
      </c>
      <c r="S3488" t="s">
        <v>22490</v>
      </c>
      <c r="T3488" t="s">
        <v>22491</v>
      </c>
      <c r="U3488">
        <v>1825</v>
      </c>
      <c r="V3488">
        <v>0</v>
      </c>
      <c r="W3488">
        <v>3</v>
      </c>
      <c r="X3488">
        <v>1985</v>
      </c>
      <c r="Z3488">
        <v>1</v>
      </c>
      <c r="AB3488">
        <v>0</v>
      </c>
      <c r="AC3488" t="s">
        <v>115</v>
      </c>
      <c r="AD3488">
        <v>2</v>
      </c>
      <c r="AE3488" t="s">
        <v>115</v>
      </c>
      <c r="AF3488">
        <v>0</v>
      </c>
      <c r="AG3488">
        <v>0</v>
      </c>
      <c r="AH3488" t="s">
        <v>116</v>
      </c>
      <c r="AI3488" s="1">
        <v>-141791</v>
      </c>
      <c r="AJ3488" s="2">
        <v>-0.52</v>
      </c>
      <c r="AK3488" s="1">
        <v>274209</v>
      </c>
      <c r="AL3488" t="s">
        <v>117</v>
      </c>
      <c r="AM3488" t="s">
        <v>171</v>
      </c>
      <c r="AN3488">
        <v>8244</v>
      </c>
      <c r="AO3488">
        <v>0.19</v>
      </c>
      <c r="AP3488">
        <v>1</v>
      </c>
      <c r="AR3488">
        <v>1</v>
      </c>
      <c r="AS3488" s="1">
        <v>19200</v>
      </c>
      <c r="AT3488" s="1">
        <v>3840</v>
      </c>
      <c r="AU3488" s="1">
        <v>15360</v>
      </c>
      <c r="AV3488">
        <v>80</v>
      </c>
      <c r="AX3488" s="1">
        <v>1439.9</v>
      </c>
      <c r="AY3488" t="s">
        <v>3359</v>
      </c>
      <c r="AZ3488" t="s">
        <v>3359</v>
      </c>
      <c r="BA3488" t="s">
        <v>3360</v>
      </c>
      <c r="BE3488" s="3">
        <v>42388</v>
      </c>
      <c r="BF3488" s="1">
        <v>208000</v>
      </c>
      <c r="BG3488" t="s">
        <v>22492</v>
      </c>
      <c r="BH3488" s="1">
        <v>113.91</v>
      </c>
      <c r="BI3488" s="1">
        <v>208000</v>
      </c>
      <c r="BJ3488" s="3">
        <v>42388</v>
      </c>
      <c r="BK3488" t="s">
        <v>123</v>
      </c>
      <c r="BL3488" t="str">
        <f>"2016.34637"</f>
        <v>2016.34637</v>
      </c>
      <c r="BM3488" t="s">
        <v>8868</v>
      </c>
      <c r="BO3488" t="s">
        <v>22493</v>
      </c>
      <c r="BS3488">
        <v>30</v>
      </c>
      <c r="BT3488" s="1">
        <v>208000</v>
      </c>
      <c r="BU3488" s="3">
        <v>42970</v>
      </c>
      <c r="BV3488" t="s">
        <v>123</v>
      </c>
      <c r="BW3488" t="str">
        <f>"2017.621729"</f>
        <v>2017.621729</v>
      </c>
      <c r="BX3488" t="s">
        <v>11685</v>
      </c>
      <c r="BZ3488" t="s">
        <v>22493</v>
      </c>
      <c r="CD3488">
        <v>29</v>
      </c>
      <c r="CH3488" t="str">
        <f>""</f>
        <v/>
      </c>
      <c r="CS3488" t="str">
        <f>""</f>
        <v/>
      </c>
    </row>
    <row r="3489" spans="1:97" x14ac:dyDescent="0.25">
      <c r="A3489" t="s">
        <v>404</v>
      </c>
      <c r="B3489" t="s">
        <v>22494</v>
      </c>
      <c r="C3489" t="s">
        <v>2261</v>
      </c>
      <c r="D3489" t="s">
        <v>22494</v>
      </c>
      <c r="E3489" t="s">
        <v>22495</v>
      </c>
      <c r="F3489" t="s">
        <v>108</v>
      </c>
      <c r="H3489" t="s">
        <v>22496</v>
      </c>
      <c r="I3489" t="s">
        <v>203</v>
      </c>
      <c r="J3489" t="s">
        <v>111</v>
      </c>
      <c r="K3489" t="str">
        <f>"85298"</f>
        <v>85298</v>
      </c>
      <c r="L3489" t="s">
        <v>11709</v>
      </c>
      <c r="M3489" t="s">
        <v>22496</v>
      </c>
      <c r="N3489" t="s">
        <v>203</v>
      </c>
      <c r="O3489" t="s">
        <v>111</v>
      </c>
      <c r="P3489" t="str">
        <f>"85298-5383"</f>
        <v>85298-5383</v>
      </c>
      <c r="Q3489" t="s">
        <v>113</v>
      </c>
      <c r="R3489" t="str">
        <f>"304-69-829"</f>
        <v>304-69-829</v>
      </c>
      <c r="S3489" t="s">
        <v>22497</v>
      </c>
      <c r="U3489">
        <v>2114</v>
      </c>
      <c r="V3489">
        <v>0</v>
      </c>
      <c r="W3489">
        <v>3</v>
      </c>
      <c r="X3489">
        <v>2003</v>
      </c>
      <c r="Z3489">
        <v>1</v>
      </c>
      <c r="AB3489">
        <v>0</v>
      </c>
      <c r="AC3489" t="s">
        <v>115</v>
      </c>
      <c r="AD3489">
        <v>2</v>
      </c>
      <c r="AE3489" t="s">
        <v>115</v>
      </c>
      <c r="AF3489">
        <v>0</v>
      </c>
      <c r="AG3489">
        <v>0</v>
      </c>
      <c r="AH3489" t="s">
        <v>116</v>
      </c>
      <c r="AI3489" s="1">
        <v>88147</v>
      </c>
      <c r="AJ3489" s="2">
        <v>0.21</v>
      </c>
      <c r="AK3489" s="1">
        <v>411932</v>
      </c>
      <c r="AL3489" t="s">
        <v>117</v>
      </c>
      <c r="AM3489" t="s">
        <v>191</v>
      </c>
      <c r="AN3489">
        <v>8447</v>
      </c>
      <c r="AO3489">
        <v>0.19</v>
      </c>
      <c r="AP3489">
        <v>1</v>
      </c>
      <c r="AR3489">
        <v>1</v>
      </c>
      <c r="AS3489" s="1">
        <v>28010</v>
      </c>
      <c r="AT3489" s="1">
        <v>5600</v>
      </c>
      <c r="AU3489" s="1">
        <v>22410</v>
      </c>
      <c r="AV3489">
        <v>80.010000000000005</v>
      </c>
      <c r="AX3489" s="1">
        <v>2556.98</v>
      </c>
      <c r="AY3489" t="s">
        <v>5792</v>
      </c>
      <c r="AZ3489" t="s">
        <v>5792</v>
      </c>
      <c r="BA3489" t="s">
        <v>290</v>
      </c>
      <c r="BE3489" s="3">
        <v>42207</v>
      </c>
      <c r="BF3489" s="1">
        <v>344000</v>
      </c>
      <c r="BG3489" t="s">
        <v>22498</v>
      </c>
      <c r="BH3489" s="1">
        <v>162.72</v>
      </c>
      <c r="BI3489" s="1">
        <v>323785</v>
      </c>
      <c r="BJ3489" s="3">
        <v>42207</v>
      </c>
      <c r="BK3489" t="s">
        <v>123</v>
      </c>
      <c r="BL3489" t="str">
        <f>"2015.527129"</f>
        <v>2015.527129</v>
      </c>
      <c r="BM3489" t="s">
        <v>544</v>
      </c>
      <c r="BO3489" t="s">
        <v>22499</v>
      </c>
      <c r="BS3489">
        <v>30</v>
      </c>
      <c r="BW3489" t="str">
        <f>""</f>
        <v/>
      </c>
      <c r="CH3489" t="str">
        <f>""</f>
        <v/>
      </c>
      <c r="CS3489" t="str">
        <f>""</f>
        <v/>
      </c>
    </row>
    <row r="3490" spans="1:97" x14ac:dyDescent="0.25">
      <c r="A3490" t="s">
        <v>984</v>
      </c>
      <c r="B3490" t="s">
        <v>22500</v>
      </c>
      <c r="E3490" t="s">
        <v>22501</v>
      </c>
      <c r="F3490" t="s">
        <v>108</v>
      </c>
      <c r="H3490" t="s">
        <v>22502</v>
      </c>
      <c r="I3490" t="s">
        <v>225</v>
      </c>
      <c r="J3490" t="s">
        <v>111</v>
      </c>
      <c r="K3490" t="str">
        <f>"85212"</f>
        <v>85212</v>
      </c>
      <c r="L3490" t="s">
        <v>681</v>
      </c>
      <c r="M3490" t="s">
        <v>22502</v>
      </c>
      <c r="N3490" t="s">
        <v>225</v>
      </c>
      <c r="O3490" t="s">
        <v>111</v>
      </c>
      <c r="P3490" t="str">
        <f>"85212-1895"</f>
        <v>85212-1895</v>
      </c>
      <c r="Q3490" t="s">
        <v>113</v>
      </c>
      <c r="R3490" t="str">
        <f>"309-22-035"</f>
        <v>309-22-035</v>
      </c>
      <c r="S3490" t="s">
        <v>22503</v>
      </c>
      <c r="U3490">
        <v>2734</v>
      </c>
      <c r="V3490">
        <v>0</v>
      </c>
      <c r="W3490">
        <v>4</v>
      </c>
      <c r="X3490">
        <v>2000</v>
      </c>
      <c r="Z3490">
        <v>2</v>
      </c>
      <c r="AA3490" t="s">
        <v>26</v>
      </c>
      <c r="AB3490">
        <v>0</v>
      </c>
      <c r="AC3490" t="s">
        <v>115</v>
      </c>
      <c r="AD3490">
        <v>3</v>
      </c>
      <c r="AE3490" t="s">
        <v>115</v>
      </c>
      <c r="AF3490">
        <v>0</v>
      </c>
      <c r="AG3490">
        <v>0</v>
      </c>
      <c r="AH3490" t="s">
        <v>116</v>
      </c>
      <c r="AI3490" s="1">
        <v>92028</v>
      </c>
      <c r="AJ3490" s="2">
        <v>0.24</v>
      </c>
      <c r="AK3490" s="1">
        <v>390476</v>
      </c>
      <c r="AL3490" t="s">
        <v>117</v>
      </c>
      <c r="AM3490" t="s">
        <v>393</v>
      </c>
      <c r="AN3490">
        <v>9050</v>
      </c>
      <c r="AO3490">
        <v>0.21</v>
      </c>
      <c r="AP3490">
        <v>1</v>
      </c>
      <c r="AR3490">
        <v>1</v>
      </c>
      <c r="AS3490" s="1">
        <v>27530</v>
      </c>
      <c r="AT3490" s="1">
        <v>5500</v>
      </c>
      <c r="AU3490" s="1">
        <v>22030</v>
      </c>
      <c r="AV3490">
        <v>80.02</v>
      </c>
      <c r="AX3490" s="1">
        <v>2105.16</v>
      </c>
      <c r="AY3490" t="s">
        <v>7302</v>
      </c>
      <c r="AZ3490" t="s">
        <v>777</v>
      </c>
      <c r="BA3490" t="s">
        <v>572</v>
      </c>
      <c r="BB3490" s="3">
        <v>42947</v>
      </c>
      <c r="BD3490" t="s">
        <v>157</v>
      </c>
      <c r="BE3490" s="3">
        <v>42299</v>
      </c>
      <c r="BF3490" s="1">
        <v>307000</v>
      </c>
      <c r="BG3490" t="s">
        <v>22504</v>
      </c>
      <c r="BH3490" s="1">
        <v>112.29</v>
      </c>
      <c r="BI3490" s="1">
        <v>264448</v>
      </c>
      <c r="BJ3490" s="3">
        <v>42947</v>
      </c>
      <c r="BK3490" t="s">
        <v>123</v>
      </c>
      <c r="BL3490" t="str">
        <f>"2017.560764"</f>
        <v>2017.560764</v>
      </c>
      <c r="BM3490" t="s">
        <v>5617</v>
      </c>
      <c r="BO3490" t="s">
        <v>22505</v>
      </c>
      <c r="BS3490">
        <v>30</v>
      </c>
      <c r="BT3490" s="1">
        <v>34000</v>
      </c>
      <c r="BU3490" s="3">
        <v>42947</v>
      </c>
      <c r="BW3490" t="str">
        <f>"2017.560765"</f>
        <v>2017.560765</v>
      </c>
      <c r="BX3490" t="s">
        <v>22506</v>
      </c>
      <c r="BY3490">
        <v>57106</v>
      </c>
      <c r="BZ3490" t="s">
        <v>22505</v>
      </c>
      <c r="CC3490" t="s">
        <v>1633</v>
      </c>
      <c r="CD3490">
        <v>30</v>
      </c>
      <c r="CH3490" t="str">
        <f>""</f>
        <v/>
      </c>
      <c r="CS3490" t="str">
        <f>""</f>
        <v/>
      </c>
    </row>
    <row r="3491" spans="1:97" x14ac:dyDescent="0.25">
      <c r="A3491" t="s">
        <v>1344</v>
      </c>
      <c r="B3491" t="s">
        <v>1552</v>
      </c>
      <c r="C3491" t="s">
        <v>489</v>
      </c>
      <c r="D3491" t="s">
        <v>1552</v>
      </c>
      <c r="E3491" t="s">
        <v>22507</v>
      </c>
      <c r="F3491" t="s">
        <v>282</v>
      </c>
      <c r="H3491" t="s">
        <v>22508</v>
      </c>
      <c r="I3491" t="s">
        <v>3150</v>
      </c>
      <c r="J3491" t="s">
        <v>111</v>
      </c>
      <c r="K3491" t="str">
        <f>"85340"</f>
        <v>85340</v>
      </c>
      <c r="L3491" t="s">
        <v>5074</v>
      </c>
      <c r="M3491" t="s">
        <v>22509</v>
      </c>
      <c r="N3491" t="s">
        <v>3150</v>
      </c>
      <c r="O3491" t="s">
        <v>111</v>
      </c>
      <c r="P3491" t="str">
        <f>"85340-4601"</f>
        <v>85340-4601</v>
      </c>
      <c r="Q3491" t="s">
        <v>113</v>
      </c>
      <c r="R3491" t="str">
        <f>"501-64-043"</f>
        <v>501-64-043</v>
      </c>
      <c r="S3491" t="s">
        <v>12043</v>
      </c>
      <c r="U3491">
        <v>2033</v>
      </c>
      <c r="V3491">
        <v>0</v>
      </c>
      <c r="W3491">
        <v>3</v>
      </c>
      <c r="X3491">
        <v>1969</v>
      </c>
      <c r="Z3491">
        <v>1</v>
      </c>
      <c r="AB3491">
        <v>0</v>
      </c>
      <c r="AC3491" t="s">
        <v>115</v>
      </c>
      <c r="AD3491">
        <v>2</v>
      </c>
      <c r="AE3491" t="s">
        <v>115</v>
      </c>
      <c r="AF3491">
        <v>0</v>
      </c>
      <c r="AG3491">
        <v>0</v>
      </c>
      <c r="AH3491" t="s">
        <v>116</v>
      </c>
      <c r="AI3491" s="1">
        <v>64997</v>
      </c>
      <c r="AJ3491" s="2">
        <v>0.18</v>
      </c>
      <c r="AK3491" s="1">
        <v>363747</v>
      </c>
      <c r="AL3491" t="s">
        <v>117</v>
      </c>
      <c r="AM3491" t="s">
        <v>1521</v>
      </c>
      <c r="AN3491">
        <v>13117</v>
      </c>
      <c r="AO3491">
        <v>0.3</v>
      </c>
      <c r="AP3491">
        <v>1</v>
      </c>
      <c r="AR3491">
        <v>1</v>
      </c>
      <c r="AS3491" s="1">
        <v>24960</v>
      </c>
      <c r="AT3491" s="1">
        <v>4990</v>
      </c>
      <c r="AU3491" s="1">
        <v>19970</v>
      </c>
      <c r="AV3491">
        <v>80.010000000000005</v>
      </c>
      <c r="AX3491" s="1">
        <v>1702.5</v>
      </c>
      <c r="AY3491" t="s">
        <v>11553</v>
      </c>
      <c r="AZ3491" t="s">
        <v>11553</v>
      </c>
      <c r="BA3491" t="s">
        <v>3154</v>
      </c>
      <c r="BE3491" s="3">
        <v>42209</v>
      </c>
      <c r="BF3491" s="1">
        <v>303000</v>
      </c>
      <c r="BG3491" t="s">
        <v>22510</v>
      </c>
      <c r="BH3491" s="1">
        <v>149.04</v>
      </c>
      <c r="BI3491" s="1">
        <v>298750</v>
      </c>
      <c r="BJ3491" s="3">
        <v>42552</v>
      </c>
      <c r="BK3491" t="s">
        <v>123</v>
      </c>
      <c r="BL3491" t="str">
        <f>"2016.464254"</f>
        <v>2016.464254</v>
      </c>
      <c r="BM3491" t="s">
        <v>322</v>
      </c>
      <c r="BO3491" t="s">
        <v>22511</v>
      </c>
      <c r="BS3491">
        <v>30</v>
      </c>
      <c r="BW3491" t="str">
        <f>""</f>
        <v/>
      </c>
      <c r="CH3491" t="str">
        <f>""</f>
        <v/>
      </c>
      <c r="CS3491" t="str">
        <f>""</f>
        <v/>
      </c>
    </row>
    <row r="3492" spans="1:97" x14ac:dyDescent="0.25">
      <c r="A3492" t="s">
        <v>7562</v>
      </c>
      <c r="B3492" t="s">
        <v>3333</v>
      </c>
      <c r="C3492" t="s">
        <v>2427</v>
      </c>
      <c r="D3492" t="s">
        <v>3333</v>
      </c>
      <c r="E3492" t="s">
        <v>22512</v>
      </c>
      <c r="F3492" t="s">
        <v>108</v>
      </c>
      <c r="H3492" t="s">
        <v>22513</v>
      </c>
      <c r="I3492" t="s">
        <v>203</v>
      </c>
      <c r="J3492" t="s">
        <v>111</v>
      </c>
      <c r="K3492" t="str">
        <f>"85297"</f>
        <v>85297</v>
      </c>
      <c r="L3492" t="s">
        <v>5048</v>
      </c>
      <c r="M3492" t="s">
        <v>22513</v>
      </c>
      <c r="N3492" t="s">
        <v>203</v>
      </c>
      <c r="O3492" t="s">
        <v>111</v>
      </c>
      <c r="P3492" t="str">
        <f>"85297-6003"</f>
        <v>85297-6003</v>
      </c>
      <c r="Q3492" t="s">
        <v>113</v>
      </c>
      <c r="R3492" t="str">
        <f>"304-52-596"</f>
        <v>304-52-596</v>
      </c>
      <c r="S3492" t="s">
        <v>12807</v>
      </c>
      <c r="T3492" t="s">
        <v>12807</v>
      </c>
      <c r="U3492">
        <v>3611</v>
      </c>
      <c r="V3492">
        <v>0</v>
      </c>
      <c r="W3492">
        <v>5</v>
      </c>
      <c r="X3492">
        <v>2007</v>
      </c>
      <c r="Z3492">
        <v>2</v>
      </c>
      <c r="AB3492">
        <v>0</v>
      </c>
      <c r="AC3492" t="s">
        <v>115</v>
      </c>
      <c r="AD3492">
        <v>4</v>
      </c>
      <c r="AE3492" t="s">
        <v>115</v>
      </c>
      <c r="AF3492">
        <v>0</v>
      </c>
      <c r="AG3492">
        <v>0</v>
      </c>
      <c r="AH3492" t="s">
        <v>116</v>
      </c>
      <c r="AI3492" s="1">
        <v>86063</v>
      </c>
      <c r="AJ3492" s="2">
        <v>0.18</v>
      </c>
      <c r="AK3492" s="1">
        <v>479340</v>
      </c>
      <c r="AL3492" t="s">
        <v>117</v>
      </c>
      <c r="AM3492" t="s">
        <v>191</v>
      </c>
      <c r="AN3492">
        <v>9328</v>
      </c>
      <c r="AO3492">
        <v>0.21</v>
      </c>
      <c r="AP3492">
        <v>1</v>
      </c>
      <c r="AR3492">
        <v>1</v>
      </c>
      <c r="AS3492" s="1">
        <v>34420</v>
      </c>
      <c r="AT3492" s="1">
        <v>6880</v>
      </c>
      <c r="AU3492" s="1">
        <v>27540</v>
      </c>
      <c r="AV3492">
        <v>80.010000000000005</v>
      </c>
      <c r="AX3492" s="1">
        <v>3530.6</v>
      </c>
      <c r="AY3492" t="s">
        <v>394</v>
      </c>
      <c r="AZ3492" t="s">
        <v>394</v>
      </c>
      <c r="BA3492" t="s">
        <v>290</v>
      </c>
      <c r="BE3492" s="3">
        <v>42202</v>
      </c>
      <c r="BF3492" s="1">
        <v>385000</v>
      </c>
      <c r="BG3492" t="s">
        <v>22514</v>
      </c>
      <c r="BH3492" s="1">
        <v>106.62</v>
      </c>
      <c r="BI3492" s="1">
        <v>393277</v>
      </c>
      <c r="BJ3492" s="3">
        <v>42202</v>
      </c>
      <c r="BK3492" t="s">
        <v>123</v>
      </c>
      <c r="BL3492" t="str">
        <f>"2015.517749"</f>
        <v>2015.517749</v>
      </c>
      <c r="BM3492" t="s">
        <v>135</v>
      </c>
      <c r="BO3492" t="s">
        <v>22515</v>
      </c>
      <c r="BS3492">
        <v>30</v>
      </c>
      <c r="BW3492" t="str">
        <f>""</f>
        <v/>
      </c>
      <c r="CH3492" t="str">
        <f>""</f>
        <v/>
      </c>
      <c r="CS3492" t="str">
        <f>""</f>
        <v/>
      </c>
    </row>
    <row r="3493" spans="1:97" x14ac:dyDescent="0.25">
      <c r="A3493" t="s">
        <v>695</v>
      </c>
      <c r="B3493" t="s">
        <v>2692</v>
      </c>
      <c r="E3493" t="s">
        <v>22516</v>
      </c>
      <c r="F3493" t="s">
        <v>108</v>
      </c>
      <c r="H3493" t="s">
        <v>22517</v>
      </c>
      <c r="I3493" t="s">
        <v>110</v>
      </c>
      <c r="J3493" t="s">
        <v>111</v>
      </c>
      <c r="K3493" t="str">
        <f>"85224"</f>
        <v>85224</v>
      </c>
      <c r="L3493" t="s">
        <v>6438</v>
      </c>
      <c r="M3493" t="s">
        <v>22517</v>
      </c>
      <c r="N3493" t="s">
        <v>110</v>
      </c>
      <c r="O3493" t="s">
        <v>111</v>
      </c>
      <c r="P3493" t="str">
        <f>"85224-8328"</f>
        <v>85224-8328</v>
      </c>
      <c r="Q3493" t="s">
        <v>113</v>
      </c>
      <c r="R3493" t="str">
        <f>"302-80-880"</f>
        <v>302-80-880</v>
      </c>
      <c r="S3493" t="s">
        <v>22518</v>
      </c>
      <c r="T3493" t="s">
        <v>22519</v>
      </c>
      <c r="U3493">
        <v>1289</v>
      </c>
      <c r="V3493">
        <v>0</v>
      </c>
      <c r="W3493">
        <v>2</v>
      </c>
      <c r="X3493">
        <v>1984</v>
      </c>
      <c r="Z3493">
        <v>1</v>
      </c>
      <c r="AA3493" t="s">
        <v>26</v>
      </c>
      <c r="AB3493">
        <v>0</v>
      </c>
      <c r="AC3493" t="s">
        <v>115</v>
      </c>
      <c r="AD3493">
        <v>2</v>
      </c>
      <c r="AE3493" t="s">
        <v>115</v>
      </c>
      <c r="AF3493">
        <v>0</v>
      </c>
      <c r="AG3493">
        <v>0</v>
      </c>
      <c r="AH3493" t="s">
        <v>116</v>
      </c>
      <c r="AI3493" s="1">
        <v>49927</v>
      </c>
      <c r="AJ3493" s="2">
        <v>0.18</v>
      </c>
      <c r="AK3493" s="1">
        <v>279662</v>
      </c>
      <c r="AL3493" t="s">
        <v>117</v>
      </c>
      <c r="AM3493" t="s">
        <v>118</v>
      </c>
      <c r="AN3493">
        <v>10058</v>
      </c>
      <c r="AO3493">
        <v>0.23</v>
      </c>
      <c r="AP3493">
        <v>1</v>
      </c>
      <c r="AR3493">
        <v>1</v>
      </c>
      <c r="AS3493" s="1">
        <v>19260</v>
      </c>
      <c r="AT3493" s="1">
        <v>3850</v>
      </c>
      <c r="AU3493" s="1">
        <v>15410</v>
      </c>
      <c r="AV3493">
        <v>80.010000000000005</v>
      </c>
      <c r="AX3493" s="1">
        <v>1178.74</v>
      </c>
      <c r="AY3493" t="s">
        <v>7749</v>
      </c>
      <c r="AZ3493" t="s">
        <v>5078</v>
      </c>
      <c r="BA3493" t="s">
        <v>2957</v>
      </c>
      <c r="BE3493" s="3">
        <v>42506</v>
      </c>
      <c r="BF3493" s="1">
        <v>224900</v>
      </c>
      <c r="BG3493" t="s">
        <v>22520</v>
      </c>
      <c r="BH3493" s="1">
        <v>174.48</v>
      </c>
      <c r="BI3493" s="1">
        <v>229735</v>
      </c>
      <c r="BJ3493" s="3">
        <v>42506</v>
      </c>
      <c r="BK3493" t="s">
        <v>123</v>
      </c>
      <c r="BL3493" t="str">
        <f>"2016.334629"</f>
        <v>2016.334629</v>
      </c>
      <c r="BM3493" t="s">
        <v>724</v>
      </c>
      <c r="BO3493" t="s">
        <v>22521</v>
      </c>
      <c r="BS3493">
        <v>30</v>
      </c>
      <c r="BW3493" t="str">
        <f>""</f>
        <v/>
      </c>
      <c r="CH3493" t="str">
        <f>""</f>
        <v/>
      </c>
      <c r="CS3493" t="str">
        <f>""</f>
        <v/>
      </c>
    </row>
    <row r="3494" spans="1:97" x14ac:dyDescent="0.25">
      <c r="A3494" t="s">
        <v>894</v>
      </c>
      <c r="B3494" t="s">
        <v>15001</v>
      </c>
      <c r="C3494" t="s">
        <v>9201</v>
      </c>
      <c r="D3494" t="s">
        <v>15001</v>
      </c>
      <c r="E3494" t="s">
        <v>22522</v>
      </c>
      <c r="F3494" t="s">
        <v>108</v>
      </c>
      <c r="H3494" t="s">
        <v>22523</v>
      </c>
      <c r="I3494" t="s">
        <v>632</v>
      </c>
      <c r="J3494" t="s">
        <v>111</v>
      </c>
      <c r="K3494" t="str">
        <f>"85387"</f>
        <v>85387</v>
      </c>
      <c r="L3494" t="s">
        <v>6529</v>
      </c>
      <c r="M3494" t="s">
        <v>22523</v>
      </c>
      <c r="N3494" t="s">
        <v>632</v>
      </c>
      <c r="O3494" t="s">
        <v>111</v>
      </c>
      <c r="P3494" t="str">
        <f>"85387-1028"</f>
        <v>85387-1028</v>
      </c>
      <c r="Q3494" t="s">
        <v>113</v>
      </c>
      <c r="R3494" t="str">
        <f>"510-04-834"</f>
        <v>510-04-834</v>
      </c>
      <c r="S3494" t="s">
        <v>8907</v>
      </c>
      <c r="T3494" t="s">
        <v>5498</v>
      </c>
      <c r="U3494">
        <v>2032</v>
      </c>
      <c r="V3494">
        <v>0</v>
      </c>
      <c r="W3494">
        <v>3</v>
      </c>
      <c r="X3494">
        <v>2015</v>
      </c>
      <c r="Z3494">
        <v>1</v>
      </c>
      <c r="AA3494" t="s">
        <v>26</v>
      </c>
      <c r="AB3494">
        <v>0</v>
      </c>
      <c r="AC3494" t="s">
        <v>115</v>
      </c>
      <c r="AD3494">
        <v>2</v>
      </c>
      <c r="AE3494" t="s">
        <v>115</v>
      </c>
      <c r="AF3494">
        <v>0</v>
      </c>
      <c r="AG3494">
        <v>0</v>
      </c>
      <c r="AH3494" t="s">
        <v>116</v>
      </c>
      <c r="AI3494" s="1">
        <v>80592</v>
      </c>
      <c r="AJ3494" s="2">
        <v>0.26</v>
      </c>
      <c r="AK3494" s="1">
        <v>310056</v>
      </c>
      <c r="AL3494" t="s">
        <v>117</v>
      </c>
      <c r="AM3494" t="s">
        <v>118</v>
      </c>
      <c r="AN3494">
        <v>8318</v>
      </c>
      <c r="AO3494">
        <v>0.19</v>
      </c>
      <c r="AR3494">
        <v>1</v>
      </c>
      <c r="AS3494" s="1">
        <v>22880</v>
      </c>
      <c r="AT3494" s="1">
        <v>4570</v>
      </c>
      <c r="AU3494" s="1">
        <v>18310</v>
      </c>
      <c r="AV3494">
        <v>80.03</v>
      </c>
      <c r="AX3494" s="1">
        <v>1165</v>
      </c>
      <c r="AY3494" t="s">
        <v>5499</v>
      </c>
      <c r="AZ3494" t="s">
        <v>5499</v>
      </c>
      <c r="BE3494" s="3">
        <v>42174</v>
      </c>
      <c r="BF3494" s="1">
        <v>222134</v>
      </c>
      <c r="BG3494" t="s">
        <v>6320</v>
      </c>
      <c r="BH3494" s="1">
        <v>109.32</v>
      </c>
      <c r="BI3494" s="1">
        <v>229464</v>
      </c>
      <c r="BJ3494" s="3">
        <v>42174</v>
      </c>
      <c r="BK3494" t="s">
        <v>123</v>
      </c>
      <c r="BL3494" t="str">
        <f>"2015.439940"</f>
        <v>2015.439940</v>
      </c>
      <c r="BM3494" t="s">
        <v>573</v>
      </c>
      <c r="BO3494" t="s">
        <v>22524</v>
      </c>
      <c r="BS3494">
        <v>30</v>
      </c>
      <c r="BW3494" t="str">
        <f>""</f>
        <v/>
      </c>
      <c r="CH3494" t="str">
        <f>""</f>
        <v/>
      </c>
      <c r="CS3494" t="str">
        <f>""</f>
        <v/>
      </c>
    </row>
    <row r="3495" spans="1:97" x14ac:dyDescent="0.25">
      <c r="A3495" t="s">
        <v>1009</v>
      </c>
      <c r="B3495" t="s">
        <v>2543</v>
      </c>
      <c r="C3495" t="s">
        <v>179</v>
      </c>
      <c r="D3495" t="s">
        <v>22525</v>
      </c>
      <c r="E3495" t="s">
        <v>22526</v>
      </c>
      <c r="F3495" t="s">
        <v>108</v>
      </c>
      <c r="H3495" t="s">
        <v>22527</v>
      </c>
      <c r="I3495" t="s">
        <v>188</v>
      </c>
      <c r="J3495" t="s">
        <v>111</v>
      </c>
      <c r="K3495" t="str">
        <f>"85142"</f>
        <v>85142</v>
      </c>
      <c r="L3495" t="s">
        <v>5775</v>
      </c>
      <c r="M3495" t="s">
        <v>22527</v>
      </c>
      <c r="N3495" t="s">
        <v>188</v>
      </c>
      <c r="O3495" t="s">
        <v>111</v>
      </c>
      <c r="P3495" t="str">
        <f>"85142-6855"</f>
        <v>85142-6855</v>
      </c>
      <c r="Q3495" t="s">
        <v>113</v>
      </c>
      <c r="R3495" t="str">
        <f>"314-05-131"</f>
        <v>314-05-131</v>
      </c>
      <c r="S3495" t="s">
        <v>22528</v>
      </c>
      <c r="U3495">
        <v>4355</v>
      </c>
      <c r="V3495">
        <v>0</v>
      </c>
      <c r="W3495">
        <v>5</v>
      </c>
      <c r="X3495">
        <v>2005</v>
      </c>
      <c r="Z3495">
        <v>2</v>
      </c>
      <c r="AA3495" t="s">
        <v>26</v>
      </c>
      <c r="AB3495">
        <v>0</v>
      </c>
      <c r="AC3495" t="s">
        <v>115</v>
      </c>
      <c r="AD3495">
        <v>3</v>
      </c>
      <c r="AE3495" t="s">
        <v>115</v>
      </c>
      <c r="AF3495">
        <v>0</v>
      </c>
      <c r="AG3495">
        <v>0</v>
      </c>
      <c r="AH3495" t="s">
        <v>116</v>
      </c>
      <c r="AI3495" s="1">
        <v>112837</v>
      </c>
      <c r="AJ3495" s="2">
        <v>0.22</v>
      </c>
      <c r="AK3495" s="1">
        <v>511351</v>
      </c>
      <c r="AL3495" t="s">
        <v>117</v>
      </c>
      <c r="AM3495" t="s">
        <v>5791</v>
      </c>
      <c r="AN3495">
        <v>12326</v>
      </c>
      <c r="AO3495">
        <v>0.28000000000000003</v>
      </c>
      <c r="AR3495">
        <v>1</v>
      </c>
      <c r="AS3495" s="1">
        <v>37500</v>
      </c>
      <c r="AT3495" s="1">
        <v>7500</v>
      </c>
      <c r="AU3495" s="1">
        <v>30000</v>
      </c>
      <c r="AV3495">
        <v>80</v>
      </c>
      <c r="AX3495" s="1">
        <v>3576.04</v>
      </c>
      <c r="AY3495" t="s">
        <v>5792</v>
      </c>
      <c r="AZ3495" t="s">
        <v>5792</v>
      </c>
      <c r="BA3495" t="s">
        <v>290</v>
      </c>
      <c r="BB3495" s="3">
        <v>42655</v>
      </c>
      <c r="BD3495" t="s">
        <v>240</v>
      </c>
      <c r="BE3495" s="3">
        <v>41949</v>
      </c>
      <c r="BF3495" s="1">
        <v>395000</v>
      </c>
      <c r="BG3495" t="s">
        <v>22529</v>
      </c>
      <c r="BH3495" s="1">
        <v>90.7</v>
      </c>
      <c r="BI3495" s="1">
        <v>398514</v>
      </c>
      <c r="BJ3495" s="3">
        <v>42636</v>
      </c>
      <c r="BK3495" t="s">
        <v>123</v>
      </c>
      <c r="BL3495" t="str">
        <f>"2016.693452"</f>
        <v>2016.693452</v>
      </c>
      <c r="BM3495" t="s">
        <v>724</v>
      </c>
      <c r="BO3495" t="s">
        <v>22530</v>
      </c>
      <c r="BS3495">
        <v>30</v>
      </c>
      <c r="BW3495" t="str">
        <f>""</f>
        <v/>
      </c>
      <c r="CH3495" t="str">
        <f>""</f>
        <v/>
      </c>
      <c r="CS3495" t="str">
        <f>""</f>
        <v/>
      </c>
    </row>
    <row r="3496" spans="1:97" x14ac:dyDescent="0.25">
      <c r="A3496" t="s">
        <v>370</v>
      </c>
      <c r="B3496" t="s">
        <v>22531</v>
      </c>
      <c r="E3496" t="s">
        <v>22532</v>
      </c>
      <c r="F3496" t="s">
        <v>108</v>
      </c>
      <c r="H3496" t="s">
        <v>22533</v>
      </c>
      <c r="I3496" t="s">
        <v>499</v>
      </c>
      <c r="J3496" t="s">
        <v>111</v>
      </c>
      <c r="K3496" t="str">
        <f>"85338"</f>
        <v>85338</v>
      </c>
      <c r="L3496" t="s">
        <v>6316</v>
      </c>
      <c r="M3496" t="s">
        <v>22533</v>
      </c>
      <c r="N3496" t="s">
        <v>499</v>
      </c>
      <c r="O3496" t="s">
        <v>111</v>
      </c>
      <c r="P3496" t="str">
        <f>"85338-2584"</f>
        <v>85338-2584</v>
      </c>
      <c r="Q3496" t="s">
        <v>113</v>
      </c>
      <c r="R3496" t="str">
        <f>"502-46-468"</f>
        <v>502-46-468</v>
      </c>
      <c r="S3496" t="s">
        <v>6317</v>
      </c>
      <c r="T3496" t="s">
        <v>6318</v>
      </c>
      <c r="U3496">
        <v>2431</v>
      </c>
      <c r="V3496">
        <v>0</v>
      </c>
      <c r="W3496">
        <v>3</v>
      </c>
      <c r="X3496">
        <v>2016</v>
      </c>
      <c r="Z3496">
        <v>2</v>
      </c>
      <c r="AB3496">
        <v>0</v>
      </c>
      <c r="AC3496" t="s">
        <v>115</v>
      </c>
      <c r="AD3496">
        <v>2</v>
      </c>
      <c r="AE3496" t="s">
        <v>115</v>
      </c>
      <c r="AF3496">
        <v>0</v>
      </c>
      <c r="AG3496">
        <v>0</v>
      </c>
      <c r="AH3496" t="s">
        <v>116</v>
      </c>
      <c r="AI3496" s="1">
        <v>36355</v>
      </c>
      <c r="AJ3496" s="2">
        <v>0.13</v>
      </c>
      <c r="AK3496" s="1">
        <v>290655</v>
      </c>
      <c r="AL3496" t="s">
        <v>117</v>
      </c>
      <c r="AM3496" t="s">
        <v>118</v>
      </c>
      <c r="AN3496">
        <v>6050</v>
      </c>
      <c r="AO3496">
        <v>0.14000000000000001</v>
      </c>
      <c r="AR3496">
        <v>1</v>
      </c>
      <c r="AS3496" s="1">
        <v>20960</v>
      </c>
      <c r="AT3496" s="1">
        <v>4190</v>
      </c>
      <c r="AU3496" s="1">
        <v>16770</v>
      </c>
      <c r="AV3496">
        <v>80.010000000000005</v>
      </c>
      <c r="AX3496" s="1">
        <v>1703.74</v>
      </c>
      <c r="AY3496" t="s">
        <v>6319</v>
      </c>
      <c r="AZ3496" t="s">
        <v>6319</v>
      </c>
      <c r="BA3496" t="s">
        <v>218</v>
      </c>
      <c r="BB3496" s="3">
        <v>43046</v>
      </c>
      <c r="BD3496" t="s">
        <v>157</v>
      </c>
      <c r="BE3496" s="3">
        <v>42487</v>
      </c>
      <c r="BF3496" s="1">
        <v>249990</v>
      </c>
      <c r="BG3496" t="s">
        <v>6320</v>
      </c>
      <c r="BH3496" s="1">
        <v>102.83</v>
      </c>
      <c r="BI3496" s="1">
        <v>254300</v>
      </c>
      <c r="BJ3496" s="3">
        <v>43046</v>
      </c>
      <c r="BK3496" t="s">
        <v>123</v>
      </c>
      <c r="BL3496" t="str">
        <f>"2017.828204"</f>
        <v>2017.828204</v>
      </c>
      <c r="BM3496" t="s">
        <v>3664</v>
      </c>
      <c r="BO3496" t="s">
        <v>22534</v>
      </c>
      <c r="BS3496">
        <v>29</v>
      </c>
      <c r="BW3496" t="str">
        <f>""</f>
        <v/>
      </c>
      <c r="CH3496" t="str">
        <f>""</f>
        <v/>
      </c>
      <c r="CS3496" t="str">
        <f>""</f>
        <v/>
      </c>
    </row>
    <row r="3497" spans="1:97" x14ac:dyDescent="0.25">
      <c r="A3497" t="s">
        <v>3333</v>
      </c>
      <c r="B3497" t="s">
        <v>3548</v>
      </c>
      <c r="C3497" t="s">
        <v>703</v>
      </c>
      <c r="D3497" t="s">
        <v>3548</v>
      </c>
      <c r="E3497" t="s">
        <v>22535</v>
      </c>
      <c r="F3497" t="s">
        <v>108</v>
      </c>
      <c r="H3497" t="s">
        <v>22536</v>
      </c>
      <c r="I3497" t="s">
        <v>188</v>
      </c>
      <c r="J3497" t="s">
        <v>111</v>
      </c>
      <c r="K3497" t="str">
        <f>"85142"</f>
        <v>85142</v>
      </c>
      <c r="L3497" t="s">
        <v>688</v>
      </c>
      <c r="M3497" t="s">
        <v>22536</v>
      </c>
      <c r="N3497" t="s">
        <v>188</v>
      </c>
      <c r="O3497" t="s">
        <v>111</v>
      </c>
      <c r="P3497" t="str">
        <f>"85142-7495"</f>
        <v>85142-7495</v>
      </c>
      <c r="Q3497" t="s">
        <v>113</v>
      </c>
      <c r="R3497" t="str">
        <f>"314-05-892"</f>
        <v>314-05-892</v>
      </c>
      <c r="S3497" t="s">
        <v>13083</v>
      </c>
      <c r="T3497" t="s">
        <v>691</v>
      </c>
      <c r="U3497">
        <v>2372</v>
      </c>
      <c r="V3497">
        <v>0</v>
      </c>
      <c r="W3497">
        <v>3</v>
      </c>
      <c r="X3497">
        <v>2014</v>
      </c>
      <c r="Z3497">
        <v>1</v>
      </c>
      <c r="AB3497">
        <v>0</v>
      </c>
      <c r="AC3497" t="s">
        <v>115</v>
      </c>
      <c r="AD3497">
        <v>2</v>
      </c>
      <c r="AE3497" t="s">
        <v>115</v>
      </c>
      <c r="AF3497">
        <v>0</v>
      </c>
      <c r="AG3497">
        <v>0</v>
      </c>
      <c r="AH3497" t="s">
        <v>116</v>
      </c>
      <c r="AI3497" s="1">
        <v>138389</v>
      </c>
      <c r="AJ3497" s="2">
        <v>0.37</v>
      </c>
      <c r="AK3497" s="1">
        <v>378727</v>
      </c>
      <c r="AL3497" t="s">
        <v>117</v>
      </c>
      <c r="AM3497" t="s">
        <v>393</v>
      </c>
      <c r="AN3497">
        <v>7800</v>
      </c>
      <c r="AO3497">
        <v>0.18</v>
      </c>
      <c r="AR3497">
        <v>1</v>
      </c>
      <c r="AS3497" s="1">
        <v>26030</v>
      </c>
      <c r="AT3497" s="1">
        <v>5200</v>
      </c>
      <c r="AU3497" s="1">
        <v>20830</v>
      </c>
      <c r="AV3497">
        <v>80.02</v>
      </c>
      <c r="AX3497" s="1">
        <v>2567.7600000000002</v>
      </c>
      <c r="AY3497" t="s">
        <v>192</v>
      </c>
      <c r="AZ3497" t="s">
        <v>193</v>
      </c>
      <c r="BA3497" t="s">
        <v>194</v>
      </c>
      <c r="BB3497" s="3">
        <v>42571</v>
      </c>
      <c r="BD3497" t="s">
        <v>458</v>
      </c>
      <c r="BE3497" s="3">
        <v>41835</v>
      </c>
      <c r="BF3497" s="1">
        <v>306787</v>
      </c>
      <c r="BG3497" t="s">
        <v>275</v>
      </c>
      <c r="BH3497" s="1">
        <v>129.34</v>
      </c>
      <c r="BI3497" s="1">
        <v>240338</v>
      </c>
      <c r="BJ3497" s="3">
        <v>42571</v>
      </c>
      <c r="BK3497" t="s">
        <v>123</v>
      </c>
      <c r="BL3497" t="str">
        <f>"2016.510938"</f>
        <v>2016.510938</v>
      </c>
      <c r="BM3497" t="s">
        <v>1695</v>
      </c>
      <c r="BO3497" t="s">
        <v>22537</v>
      </c>
      <c r="BS3497">
        <v>30</v>
      </c>
      <c r="BW3497" t="str">
        <f>""</f>
        <v/>
      </c>
      <c r="CH3497" t="str">
        <f>""</f>
        <v/>
      </c>
      <c r="CS3497" t="str">
        <f>""</f>
        <v/>
      </c>
    </row>
    <row r="3498" spans="1:97" x14ac:dyDescent="0.25">
      <c r="A3498" t="s">
        <v>220</v>
      </c>
      <c r="B3498" t="s">
        <v>22538</v>
      </c>
      <c r="C3498" t="s">
        <v>6821</v>
      </c>
      <c r="D3498" t="s">
        <v>22539</v>
      </c>
      <c r="E3498" t="s">
        <v>22540</v>
      </c>
      <c r="F3498" t="s">
        <v>108</v>
      </c>
      <c r="H3498" t="s">
        <v>22541</v>
      </c>
      <c r="I3498" t="s">
        <v>225</v>
      </c>
      <c r="J3498" t="s">
        <v>111</v>
      </c>
      <c r="K3498" t="str">
        <f>"85202"</f>
        <v>85202</v>
      </c>
      <c r="L3498" t="s">
        <v>22542</v>
      </c>
      <c r="M3498" t="s">
        <v>22541</v>
      </c>
      <c r="N3498" t="s">
        <v>225</v>
      </c>
      <c r="O3498" t="s">
        <v>111</v>
      </c>
      <c r="P3498" t="str">
        <f>"85202-6467"</f>
        <v>85202-6467</v>
      </c>
      <c r="Q3498" t="s">
        <v>113</v>
      </c>
      <c r="R3498" t="str">
        <f>"305-09-816"</f>
        <v>305-09-816</v>
      </c>
      <c r="S3498" t="s">
        <v>22543</v>
      </c>
      <c r="T3498" t="s">
        <v>22544</v>
      </c>
      <c r="U3498">
        <v>2380</v>
      </c>
      <c r="V3498">
        <v>0</v>
      </c>
      <c r="W3498">
        <v>4</v>
      </c>
      <c r="X3498">
        <v>1982</v>
      </c>
      <c r="Z3498">
        <v>2</v>
      </c>
      <c r="AA3498" t="s">
        <v>26</v>
      </c>
      <c r="AB3498">
        <v>0</v>
      </c>
      <c r="AC3498" t="s">
        <v>115</v>
      </c>
      <c r="AD3498">
        <v>2</v>
      </c>
      <c r="AE3498" t="s">
        <v>115</v>
      </c>
      <c r="AF3498">
        <v>0</v>
      </c>
      <c r="AG3498">
        <v>0</v>
      </c>
      <c r="AH3498" t="s">
        <v>116</v>
      </c>
      <c r="AI3498" s="1">
        <v>76736</v>
      </c>
      <c r="AJ3498" s="2">
        <v>0.21</v>
      </c>
      <c r="AK3498" s="1">
        <v>360713</v>
      </c>
      <c r="AL3498" t="s">
        <v>117</v>
      </c>
      <c r="AM3498" t="s">
        <v>191</v>
      </c>
      <c r="AN3498">
        <v>7963</v>
      </c>
      <c r="AO3498">
        <v>0.18</v>
      </c>
      <c r="AP3498">
        <v>1</v>
      </c>
      <c r="AR3498">
        <v>1</v>
      </c>
      <c r="AS3498" s="1">
        <v>25710</v>
      </c>
      <c r="AT3498" s="1">
        <v>5140</v>
      </c>
      <c r="AU3498" s="1">
        <v>20570</v>
      </c>
      <c r="AV3498">
        <v>80.010000000000005</v>
      </c>
      <c r="AX3498" s="1">
        <v>1930.86</v>
      </c>
      <c r="AY3498" t="s">
        <v>7431</v>
      </c>
      <c r="AZ3498" t="s">
        <v>7295</v>
      </c>
      <c r="BA3498" t="s">
        <v>5311</v>
      </c>
      <c r="BE3498" s="3">
        <v>41831</v>
      </c>
      <c r="BF3498" s="1">
        <v>278000</v>
      </c>
      <c r="BG3498" t="s">
        <v>22545</v>
      </c>
      <c r="BH3498" s="1">
        <v>116.81</v>
      </c>
      <c r="BI3498" s="1">
        <v>283977</v>
      </c>
      <c r="BJ3498" s="3">
        <v>41831</v>
      </c>
      <c r="BK3498" t="s">
        <v>123</v>
      </c>
      <c r="BL3498" t="str">
        <f>"2014.454556"</f>
        <v>2014.454556</v>
      </c>
      <c r="BM3498" t="s">
        <v>594</v>
      </c>
      <c r="BO3498" t="s">
        <v>22546</v>
      </c>
      <c r="BP3498" t="s">
        <v>22547</v>
      </c>
      <c r="BS3498">
        <v>30</v>
      </c>
      <c r="BW3498" t="str">
        <f>""</f>
        <v/>
      </c>
      <c r="CH3498" t="str">
        <f>""</f>
        <v/>
      </c>
      <c r="CS3498" t="str">
        <f>""</f>
        <v/>
      </c>
    </row>
    <row r="3499" spans="1:97" x14ac:dyDescent="0.25">
      <c r="A3499" t="s">
        <v>589</v>
      </c>
      <c r="B3499" t="s">
        <v>22548</v>
      </c>
      <c r="E3499" t="s">
        <v>22549</v>
      </c>
      <c r="F3499" t="s">
        <v>108</v>
      </c>
      <c r="H3499" t="s">
        <v>22550</v>
      </c>
      <c r="I3499" t="s">
        <v>390</v>
      </c>
      <c r="J3499" t="s">
        <v>111</v>
      </c>
      <c r="K3499" t="str">
        <f>"85024"</f>
        <v>85024</v>
      </c>
      <c r="L3499" t="s">
        <v>5185</v>
      </c>
      <c r="M3499" t="s">
        <v>22550</v>
      </c>
      <c r="N3499" t="s">
        <v>390</v>
      </c>
      <c r="O3499" t="s">
        <v>111</v>
      </c>
      <c r="P3499" t="str">
        <f>"85024-4331"</f>
        <v>85024-4331</v>
      </c>
      <c r="Q3499" t="s">
        <v>113</v>
      </c>
      <c r="R3499" t="str">
        <f>"213-05-353"</f>
        <v>213-05-353</v>
      </c>
      <c r="S3499" t="s">
        <v>22551</v>
      </c>
      <c r="T3499" t="s">
        <v>6207</v>
      </c>
      <c r="U3499">
        <v>2414</v>
      </c>
      <c r="V3499">
        <v>0</v>
      </c>
      <c r="W3499">
        <v>4</v>
      </c>
      <c r="X3499">
        <v>1996</v>
      </c>
      <c r="Z3499">
        <v>2</v>
      </c>
      <c r="AB3499">
        <v>0</v>
      </c>
      <c r="AC3499" t="s">
        <v>115</v>
      </c>
      <c r="AD3499">
        <v>3</v>
      </c>
      <c r="AE3499" t="s">
        <v>115</v>
      </c>
      <c r="AF3499">
        <v>0</v>
      </c>
      <c r="AG3499">
        <v>0</v>
      </c>
      <c r="AH3499" t="s">
        <v>116</v>
      </c>
      <c r="AI3499" s="1">
        <v>83842</v>
      </c>
      <c r="AJ3499" s="2">
        <v>0.2</v>
      </c>
      <c r="AK3499" s="1">
        <v>428842</v>
      </c>
      <c r="AL3499" t="s">
        <v>117</v>
      </c>
      <c r="AM3499" t="s">
        <v>191</v>
      </c>
      <c r="AN3499">
        <v>9616</v>
      </c>
      <c r="AO3499">
        <v>0.22</v>
      </c>
      <c r="AP3499">
        <v>1</v>
      </c>
      <c r="AR3499">
        <v>1</v>
      </c>
      <c r="AS3499" s="1">
        <v>31910</v>
      </c>
      <c r="AT3499" s="1">
        <v>6380</v>
      </c>
      <c r="AU3499" s="1">
        <v>25530</v>
      </c>
      <c r="AV3499">
        <v>80.010000000000005</v>
      </c>
      <c r="AX3499" s="1">
        <v>2904.9</v>
      </c>
      <c r="AY3499" t="s">
        <v>570</v>
      </c>
      <c r="AZ3499" t="s">
        <v>761</v>
      </c>
      <c r="BA3499" t="s">
        <v>762</v>
      </c>
      <c r="BE3499" s="3">
        <v>42012</v>
      </c>
      <c r="BF3499" s="1">
        <v>345000</v>
      </c>
      <c r="BG3499" t="s">
        <v>22552</v>
      </c>
      <c r="BH3499" s="1">
        <v>142.91999999999999</v>
      </c>
      <c r="BI3499" s="1">
        <v>345000</v>
      </c>
      <c r="BJ3499" s="3">
        <v>42012</v>
      </c>
      <c r="BK3499" t="s">
        <v>123</v>
      </c>
      <c r="BL3499" t="str">
        <f>"2015.13024"</f>
        <v>2015.13024</v>
      </c>
      <c r="BM3499" t="s">
        <v>936</v>
      </c>
      <c r="BO3499" t="s">
        <v>22553</v>
      </c>
      <c r="BS3499">
        <v>30</v>
      </c>
      <c r="BW3499" t="str">
        <f>""</f>
        <v/>
      </c>
      <c r="CH3499" t="str">
        <f>""</f>
        <v/>
      </c>
      <c r="CS3499" t="str">
        <f>""</f>
        <v/>
      </c>
    </row>
    <row r="3500" spans="1:97" x14ac:dyDescent="0.25">
      <c r="A3500" t="s">
        <v>6979</v>
      </c>
      <c r="B3500" t="s">
        <v>15679</v>
      </c>
      <c r="C3500" t="s">
        <v>365</v>
      </c>
      <c r="D3500" t="s">
        <v>15679</v>
      </c>
      <c r="E3500" t="s">
        <v>22554</v>
      </c>
      <c r="F3500" t="s">
        <v>108</v>
      </c>
      <c r="H3500" t="s">
        <v>22555</v>
      </c>
      <c r="I3500" t="s">
        <v>203</v>
      </c>
      <c r="J3500" t="s">
        <v>111</v>
      </c>
      <c r="K3500" t="str">
        <f>"85295"</f>
        <v>85295</v>
      </c>
      <c r="L3500" t="s">
        <v>5496</v>
      </c>
      <c r="M3500" t="s">
        <v>22555</v>
      </c>
      <c r="N3500" t="s">
        <v>203</v>
      </c>
      <c r="O3500" t="s">
        <v>111</v>
      </c>
      <c r="P3500" t="str">
        <f>"85295-8921"</f>
        <v>85295-8921</v>
      </c>
      <c r="Q3500" t="s">
        <v>113</v>
      </c>
      <c r="R3500" t="str">
        <f>"313-13-615"</f>
        <v>313-13-615</v>
      </c>
      <c r="S3500" t="s">
        <v>10498</v>
      </c>
      <c r="U3500">
        <v>3059</v>
      </c>
      <c r="V3500">
        <v>0</v>
      </c>
      <c r="W3500">
        <v>4</v>
      </c>
      <c r="X3500">
        <v>2014</v>
      </c>
      <c r="Z3500">
        <v>2</v>
      </c>
      <c r="AB3500">
        <v>0</v>
      </c>
      <c r="AC3500" t="s">
        <v>115</v>
      </c>
      <c r="AD3500">
        <v>3</v>
      </c>
      <c r="AE3500" t="s">
        <v>115</v>
      </c>
      <c r="AF3500">
        <v>0</v>
      </c>
      <c r="AG3500">
        <v>0</v>
      </c>
      <c r="AH3500" t="s">
        <v>116</v>
      </c>
      <c r="AI3500" s="1">
        <v>45604</v>
      </c>
      <c r="AJ3500" s="2">
        <v>0.11</v>
      </c>
      <c r="AK3500" s="1">
        <v>406298</v>
      </c>
      <c r="AL3500" t="s">
        <v>117</v>
      </c>
      <c r="AM3500" t="s">
        <v>288</v>
      </c>
      <c r="AN3500">
        <v>5150</v>
      </c>
      <c r="AO3500">
        <v>0.12</v>
      </c>
      <c r="AR3500">
        <v>1</v>
      </c>
      <c r="AS3500" s="1">
        <v>29230</v>
      </c>
      <c r="AT3500" s="1">
        <v>5840</v>
      </c>
      <c r="AU3500" s="1">
        <v>23390</v>
      </c>
      <c r="AV3500">
        <v>80.02</v>
      </c>
      <c r="AX3500" s="1">
        <v>2576.34</v>
      </c>
      <c r="AY3500" t="s">
        <v>5094</v>
      </c>
      <c r="AZ3500" t="s">
        <v>5094</v>
      </c>
      <c r="BA3500" t="s">
        <v>473</v>
      </c>
      <c r="BE3500" s="3">
        <v>41985</v>
      </c>
      <c r="BF3500" s="1">
        <v>336661</v>
      </c>
      <c r="BG3500" t="s">
        <v>209</v>
      </c>
      <c r="BH3500" s="1">
        <v>110.06</v>
      </c>
      <c r="BI3500" s="1">
        <v>360694</v>
      </c>
      <c r="BJ3500" s="3">
        <v>43052</v>
      </c>
      <c r="BK3500" t="s">
        <v>123</v>
      </c>
      <c r="BL3500" t="str">
        <f>"2017.840060"</f>
        <v>2017.840060</v>
      </c>
      <c r="BM3500" t="s">
        <v>807</v>
      </c>
      <c r="BO3500" t="s">
        <v>22556</v>
      </c>
      <c r="BQ3500" t="str">
        <f>"2.2500%"</f>
        <v>2.2500%</v>
      </c>
      <c r="BR3500" t="s">
        <v>1480</v>
      </c>
      <c r="BS3500">
        <v>30</v>
      </c>
      <c r="BW3500" t="str">
        <f>""</f>
        <v/>
      </c>
      <c r="CH3500" t="str">
        <f>""</f>
        <v/>
      </c>
      <c r="CS3500" t="str">
        <f>""</f>
        <v/>
      </c>
    </row>
    <row r="3501" spans="1:97" x14ac:dyDescent="0.25">
      <c r="A3501" t="s">
        <v>177</v>
      </c>
      <c r="B3501" t="s">
        <v>141</v>
      </c>
      <c r="C3501" t="s">
        <v>2762</v>
      </c>
      <c r="D3501" t="s">
        <v>141</v>
      </c>
      <c r="E3501" t="s">
        <v>22557</v>
      </c>
      <c r="F3501" t="s">
        <v>108</v>
      </c>
      <c r="H3501" t="s">
        <v>22558</v>
      </c>
      <c r="I3501" t="s">
        <v>188</v>
      </c>
      <c r="J3501" t="s">
        <v>111</v>
      </c>
      <c r="K3501" t="str">
        <f>"85142"</f>
        <v>85142</v>
      </c>
      <c r="L3501" t="s">
        <v>5239</v>
      </c>
      <c r="M3501" t="s">
        <v>22558</v>
      </c>
      <c r="N3501" t="s">
        <v>188</v>
      </c>
      <c r="O3501" t="s">
        <v>111</v>
      </c>
      <c r="P3501" t="str">
        <f>"85142-3291"</f>
        <v>85142-3291</v>
      </c>
      <c r="Q3501" t="s">
        <v>113</v>
      </c>
      <c r="R3501" t="str">
        <f>"304-66-589"</f>
        <v>304-66-589</v>
      </c>
      <c r="S3501" t="s">
        <v>15502</v>
      </c>
      <c r="T3501" t="s">
        <v>15503</v>
      </c>
      <c r="U3501">
        <v>3527</v>
      </c>
      <c r="V3501">
        <v>0</v>
      </c>
      <c r="W3501">
        <v>5</v>
      </c>
      <c r="X3501">
        <v>2010</v>
      </c>
      <c r="Z3501">
        <v>2</v>
      </c>
      <c r="AB3501">
        <v>0</v>
      </c>
      <c r="AC3501" t="s">
        <v>115</v>
      </c>
      <c r="AD3501">
        <v>4</v>
      </c>
      <c r="AE3501" t="s">
        <v>115</v>
      </c>
      <c r="AF3501">
        <v>0</v>
      </c>
      <c r="AG3501">
        <v>0</v>
      </c>
      <c r="AH3501" t="s">
        <v>116</v>
      </c>
      <c r="AI3501" s="1">
        <v>55503</v>
      </c>
      <c r="AJ3501" s="2">
        <v>0.17</v>
      </c>
      <c r="AK3501" s="1">
        <v>336070</v>
      </c>
      <c r="AL3501" t="s">
        <v>117</v>
      </c>
      <c r="AM3501" t="s">
        <v>393</v>
      </c>
      <c r="AN3501">
        <v>7152</v>
      </c>
      <c r="AO3501">
        <v>0.16</v>
      </c>
      <c r="AR3501">
        <v>1</v>
      </c>
      <c r="AS3501" s="1">
        <v>26770</v>
      </c>
      <c r="AT3501" s="1">
        <v>5350</v>
      </c>
      <c r="AU3501" s="1">
        <v>21420</v>
      </c>
      <c r="AV3501">
        <v>80.010000000000005</v>
      </c>
      <c r="AX3501" s="1">
        <v>2800.3</v>
      </c>
      <c r="AY3501" t="s">
        <v>560</v>
      </c>
      <c r="AZ3501" t="s">
        <v>561</v>
      </c>
      <c r="BA3501" t="s">
        <v>194</v>
      </c>
      <c r="BE3501" s="3">
        <v>41747</v>
      </c>
      <c r="BF3501" s="1">
        <v>285777</v>
      </c>
      <c r="BG3501" t="s">
        <v>22559</v>
      </c>
      <c r="BH3501" s="1">
        <v>81.03</v>
      </c>
      <c r="BI3501" s="1">
        <v>280567</v>
      </c>
      <c r="BJ3501" s="3">
        <v>42594</v>
      </c>
      <c r="BK3501" t="s">
        <v>123</v>
      </c>
      <c r="BL3501" t="str">
        <f>"2016.575953"</f>
        <v>2016.575953</v>
      </c>
      <c r="BM3501" t="s">
        <v>2378</v>
      </c>
      <c r="BO3501" t="s">
        <v>22560</v>
      </c>
      <c r="BS3501">
        <v>30</v>
      </c>
      <c r="BW3501" t="str">
        <f>""</f>
        <v/>
      </c>
      <c r="CH3501" t="str">
        <f>""</f>
        <v/>
      </c>
      <c r="CS3501" t="str">
        <f>""</f>
        <v/>
      </c>
    </row>
    <row r="3502" spans="1:97" x14ac:dyDescent="0.25">
      <c r="A3502" t="s">
        <v>894</v>
      </c>
      <c r="B3502" t="s">
        <v>18313</v>
      </c>
      <c r="E3502" t="s">
        <v>22561</v>
      </c>
      <c r="F3502" t="s">
        <v>108</v>
      </c>
      <c r="H3502" t="s">
        <v>22562</v>
      </c>
      <c r="I3502" t="s">
        <v>453</v>
      </c>
      <c r="J3502" t="s">
        <v>111</v>
      </c>
      <c r="K3502" t="str">
        <f>"85383"</f>
        <v>85383</v>
      </c>
      <c r="L3502" t="s">
        <v>7607</v>
      </c>
      <c r="M3502" t="s">
        <v>22562</v>
      </c>
      <c r="N3502" t="s">
        <v>453</v>
      </c>
      <c r="O3502" t="s">
        <v>111</v>
      </c>
      <c r="P3502" t="str">
        <f>"85383-6000"</f>
        <v>85383-6000</v>
      </c>
      <c r="Q3502" t="s">
        <v>113</v>
      </c>
      <c r="R3502" t="str">
        <f>"201-34-797"</f>
        <v>201-34-797</v>
      </c>
      <c r="S3502" t="s">
        <v>22563</v>
      </c>
      <c r="T3502" t="s">
        <v>22564</v>
      </c>
      <c r="U3502">
        <v>3722</v>
      </c>
      <c r="V3502">
        <v>0</v>
      </c>
      <c r="W3502">
        <v>4</v>
      </c>
      <c r="X3502">
        <v>2001</v>
      </c>
      <c r="Z3502">
        <v>2</v>
      </c>
      <c r="AA3502" t="s">
        <v>26</v>
      </c>
      <c r="AB3502">
        <v>0</v>
      </c>
      <c r="AC3502" t="s">
        <v>115</v>
      </c>
      <c r="AD3502">
        <v>3</v>
      </c>
      <c r="AE3502" t="s">
        <v>115</v>
      </c>
      <c r="AF3502">
        <v>0</v>
      </c>
      <c r="AG3502">
        <v>0</v>
      </c>
      <c r="AH3502" t="s">
        <v>116</v>
      </c>
      <c r="AI3502" s="1">
        <v>41754</v>
      </c>
      <c r="AJ3502" s="2">
        <v>0.09</v>
      </c>
      <c r="AK3502" s="1">
        <v>456483</v>
      </c>
      <c r="AL3502" t="s">
        <v>117</v>
      </c>
      <c r="AM3502" t="s">
        <v>171</v>
      </c>
      <c r="AN3502">
        <v>8505</v>
      </c>
      <c r="AO3502">
        <v>0.2</v>
      </c>
      <c r="AP3502">
        <v>1</v>
      </c>
      <c r="AR3502">
        <v>1</v>
      </c>
      <c r="AS3502" s="1">
        <v>33100</v>
      </c>
      <c r="AT3502" s="1">
        <v>6620</v>
      </c>
      <c r="AU3502" s="1">
        <v>26480</v>
      </c>
      <c r="AV3502">
        <v>80</v>
      </c>
      <c r="AX3502" s="1">
        <v>2907.46</v>
      </c>
      <c r="AY3502" t="s">
        <v>1385</v>
      </c>
      <c r="AZ3502" t="s">
        <v>1385</v>
      </c>
      <c r="BA3502" t="s">
        <v>2223</v>
      </c>
      <c r="BE3502" s="3">
        <v>42283</v>
      </c>
      <c r="BF3502" s="1">
        <v>406000</v>
      </c>
      <c r="BG3502" t="s">
        <v>5034</v>
      </c>
      <c r="BH3502" s="1">
        <v>109.08</v>
      </c>
      <c r="BI3502" s="1">
        <v>414729</v>
      </c>
      <c r="BJ3502" s="3">
        <v>42283</v>
      </c>
      <c r="BK3502" t="s">
        <v>123</v>
      </c>
      <c r="BL3502" t="str">
        <f>"2015.720885"</f>
        <v>2015.720885</v>
      </c>
      <c r="BM3502" t="s">
        <v>820</v>
      </c>
      <c r="BO3502" t="s">
        <v>22565</v>
      </c>
      <c r="BS3502">
        <v>30</v>
      </c>
      <c r="BW3502" t="str">
        <f>""</f>
        <v/>
      </c>
      <c r="CH3502" t="str">
        <f>""</f>
        <v/>
      </c>
      <c r="CS3502" t="str">
        <f>""</f>
        <v/>
      </c>
    </row>
    <row r="3503" spans="1:97" x14ac:dyDescent="0.25">
      <c r="A3503" t="s">
        <v>6547</v>
      </c>
      <c r="B3503" t="s">
        <v>603</v>
      </c>
      <c r="C3503" t="s">
        <v>220</v>
      </c>
      <c r="D3503" t="s">
        <v>6799</v>
      </c>
      <c r="E3503" t="s">
        <v>22566</v>
      </c>
      <c r="F3503" t="s">
        <v>108</v>
      </c>
      <c r="H3503" t="s">
        <v>22567</v>
      </c>
      <c r="I3503" t="s">
        <v>632</v>
      </c>
      <c r="J3503" t="s">
        <v>111</v>
      </c>
      <c r="K3503" t="str">
        <f>"85379"</f>
        <v>85379</v>
      </c>
      <c r="L3503" t="s">
        <v>7243</v>
      </c>
      <c r="M3503" t="s">
        <v>22567</v>
      </c>
      <c r="N3503" t="s">
        <v>632</v>
      </c>
      <c r="O3503" t="s">
        <v>111</v>
      </c>
      <c r="P3503" t="str">
        <f>"85379-8545"</f>
        <v>85379-8545</v>
      </c>
      <c r="Q3503" t="s">
        <v>113</v>
      </c>
      <c r="R3503" t="str">
        <f>"501-17-858"</f>
        <v>501-17-858</v>
      </c>
      <c r="S3503" t="s">
        <v>22568</v>
      </c>
      <c r="U3503">
        <v>4313</v>
      </c>
      <c r="V3503">
        <v>0</v>
      </c>
      <c r="W3503">
        <v>6</v>
      </c>
      <c r="X3503">
        <v>2006</v>
      </c>
      <c r="Z3503">
        <v>2</v>
      </c>
      <c r="AA3503" t="s">
        <v>26</v>
      </c>
      <c r="AB3503">
        <v>0</v>
      </c>
      <c r="AC3503" t="s">
        <v>115</v>
      </c>
      <c r="AD3503">
        <v>2</v>
      </c>
      <c r="AE3503" t="s">
        <v>115</v>
      </c>
      <c r="AF3503">
        <v>0</v>
      </c>
      <c r="AG3503">
        <v>0</v>
      </c>
      <c r="AH3503" t="s">
        <v>116</v>
      </c>
      <c r="AI3503" s="1">
        <v>80442</v>
      </c>
      <c r="AJ3503" s="2">
        <v>0.2</v>
      </c>
      <c r="AK3503" s="1">
        <v>398462</v>
      </c>
      <c r="AL3503" t="s">
        <v>117</v>
      </c>
      <c r="AM3503" t="s">
        <v>118</v>
      </c>
      <c r="AN3503">
        <v>8850</v>
      </c>
      <c r="AO3503">
        <v>0.2</v>
      </c>
      <c r="AR3503">
        <v>1</v>
      </c>
      <c r="AS3503" s="1">
        <v>30110</v>
      </c>
      <c r="AT3503" s="1">
        <v>6020</v>
      </c>
      <c r="AU3503" s="1">
        <v>24090</v>
      </c>
      <c r="AV3503">
        <v>80.010000000000005</v>
      </c>
      <c r="AX3503" s="1">
        <v>2314.38</v>
      </c>
      <c r="AY3503" t="s">
        <v>5818</v>
      </c>
      <c r="AZ3503" t="s">
        <v>5818</v>
      </c>
      <c r="BA3503" t="s">
        <v>321</v>
      </c>
      <c r="BE3503" s="3">
        <v>42060</v>
      </c>
      <c r="BF3503" s="1">
        <v>290000</v>
      </c>
      <c r="BG3503" t="s">
        <v>22569</v>
      </c>
      <c r="BH3503" s="1">
        <v>67.239999999999995</v>
      </c>
      <c r="BI3503" s="1">
        <v>286020</v>
      </c>
      <c r="BJ3503" s="3">
        <v>42823</v>
      </c>
      <c r="BK3503" t="s">
        <v>123</v>
      </c>
      <c r="BL3503" t="str">
        <f>"2017.218256"</f>
        <v>2017.218256</v>
      </c>
      <c r="BM3503" t="s">
        <v>724</v>
      </c>
      <c r="BO3503" t="s">
        <v>22570</v>
      </c>
      <c r="BP3503" t="s">
        <v>22571</v>
      </c>
      <c r="BS3503">
        <v>30</v>
      </c>
      <c r="BT3503" s="1">
        <v>32000</v>
      </c>
      <c r="BU3503" s="3">
        <v>42873</v>
      </c>
      <c r="BV3503" t="s">
        <v>134</v>
      </c>
      <c r="BW3503" t="str">
        <f>"2017.360731"</f>
        <v>2017.360731</v>
      </c>
      <c r="BX3503" t="s">
        <v>1227</v>
      </c>
      <c r="BZ3503" t="s">
        <v>22572</v>
      </c>
      <c r="CH3503" t="str">
        <f>""</f>
        <v/>
      </c>
      <c r="CS3503" t="str">
        <f>""</f>
        <v/>
      </c>
    </row>
    <row r="3504" spans="1:97" x14ac:dyDescent="0.25">
      <c r="A3504" t="s">
        <v>1009</v>
      </c>
      <c r="B3504" t="s">
        <v>22573</v>
      </c>
      <c r="E3504" t="s">
        <v>22574</v>
      </c>
      <c r="F3504" t="s">
        <v>108</v>
      </c>
      <c r="H3504" t="s">
        <v>22575</v>
      </c>
      <c r="I3504" t="s">
        <v>203</v>
      </c>
      <c r="J3504" t="s">
        <v>111</v>
      </c>
      <c r="K3504" t="str">
        <f>"85297"</f>
        <v>85297</v>
      </c>
      <c r="L3504" t="s">
        <v>5048</v>
      </c>
      <c r="M3504" t="s">
        <v>22575</v>
      </c>
      <c r="N3504" t="s">
        <v>203</v>
      </c>
      <c r="O3504" t="s">
        <v>111</v>
      </c>
      <c r="P3504" t="str">
        <f>"85297-7766"</f>
        <v>85297-7766</v>
      </c>
      <c r="Q3504" t="s">
        <v>113</v>
      </c>
      <c r="R3504" t="str">
        <f>"304-51-632"</f>
        <v>304-51-632</v>
      </c>
      <c r="S3504" t="s">
        <v>22576</v>
      </c>
      <c r="U3504">
        <v>2834</v>
      </c>
      <c r="V3504">
        <v>0</v>
      </c>
      <c r="W3504">
        <v>3</v>
      </c>
      <c r="X3504">
        <v>2001</v>
      </c>
      <c r="Z3504">
        <v>2</v>
      </c>
      <c r="AA3504" t="s">
        <v>26</v>
      </c>
      <c r="AB3504">
        <v>0</v>
      </c>
      <c r="AC3504" t="s">
        <v>115</v>
      </c>
      <c r="AD3504">
        <v>3</v>
      </c>
      <c r="AE3504" t="s">
        <v>115</v>
      </c>
      <c r="AF3504">
        <v>0</v>
      </c>
      <c r="AG3504">
        <v>0</v>
      </c>
      <c r="AH3504" t="s">
        <v>116</v>
      </c>
      <c r="AI3504" s="1">
        <v>113915</v>
      </c>
      <c r="AJ3504" s="2">
        <v>0.28999999999999998</v>
      </c>
      <c r="AK3504" s="1">
        <v>391215</v>
      </c>
      <c r="AL3504" t="s">
        <v>117</v>
      </c>
      <c r="AM3504" t="s">
        <v>393</v>
      </c>
      <c r="AN3504">
        <v>7370</v>
      </c>
      <c r="AO3504">
        <v>0.17</v>
      </c>
      <c r="AP3504">
        <v>1</v>
      </c>
      <c r="AR3504">
        <v>1</v>
      </c>
      <c r="AS3504" s="1">
        <v>26230</v>
      </c>
      <c r="AT3504" s="1">
        <v>5240</v>
      </c>
      <c r="AU3504" s="1">
        <v>20990</v>
      </c>
      <c r="AV3504">
        <v>80.02</v>
      </c>
      <c r="AX3504" s="1">
        <v>2270.86</v>
      </c>
      <c r="AY3504" t="s">
        <v>394</v>
      </c>
      <c r="AZ3504" t="s">
        <v>394</v>
      </c>
      <c r="BA3504" t="s">
        <v>290</v>
      </c>
      <c r="BE3504" s="3">
        <v>42251</v>
      </c>
      <c r="BF3504" s="1">
        <v>289900</v>
      </c>
      <c r="BG3504" t="s">
        <v>22577</v>
      </c>
      <c r="BH3504" s="1">
        <v>102.29</v>
      </c>
      <c r="BI3504" s="1">
        <v>277300</v>
      </c>
      <c r="BJ3504" s="3">
        <v>42710</v>
      </c>
      <c r="BK3504" t="s">
        <v>123</v>
      </c>
      <c r="BL3504" t="str">
        <f>"2016.898819"</f>
        <v>2016.898819</v>
      </c>
      <c r="BM3504" t="s">
        <v>724</v>
      </c>
      <c r="BO3504" t="s">
        <v>22578</v>
      </c>
      <c r="BS3504">
        <v>30</v>
      </c>
      <c r="BW3504" t="str">
        <f>""</f>
        <v/>
      </c>
      <c r="CH3504" t="str">
        <f>""</f>
        <v/>
      </c>
      <c r="CS3504" t="str">
        <f>""</f>
        <v/>
      </c>
    </row>
    <row r="3505" spans="1:97" x14ac:dyDescent="0.25">
      <c r="A3505" t="s">
        <v>2761</v>
      </c>
      <c r="B3505" t="s">
        <v>22579</v>
      </c>
      <c r="C3505" t="s">
        <v>370</v>
      </c>
      <c r="D3505" t="s">
        <v>22579</v>
      </c>
      <c r="E3505" t="s">
        <v>22580</v>
      </c>
      <c r="F3505" t="s">
        <v>108</v>
      </c>
      <c r="H3505" t="s">
        <v>22581</v>
      </c>
      <c r="I3505" t="s">
        <v>225</v>
      </c>
      <c r="J3505" t="s">
        <v>111</v>
      </c>
      <c r="K3505" t="str">
        <f>"85215"</f>
        <v>85215</v>
      </c>
      <c r="L3505" t="s">
        <v>5021</v>
      </c>
      <c r="M3505" t="s">
        <v>22581</v>
      </c>
      <c r="N3505" t="s">
        <v>225</v>
      </c>
      <c r="O3505" t="s">
        <v>111</v>
      </c>
      <c r="P3505" t="str">
        <f>"85215-1611"</f>
        <v>85215-1611</v>
      </c>
      <c r="Q3505" t="s">
        <v>113</v>
      </c>
      <c r="R3505" t="str">
        <f>"141-67-053"</f>
        <v>141-67-053</v>
      </c>
      <c r="S3505" t="s">
        <v>22582</v>
      </c>
      <c r="T3505" t="s">
        <v>22583</v>
      </c>
      <c r="U3505">
        <v>1710</v>
      </c>
      <c r="V3505">
        <v>0</v>
      </c>
      <c r="W3505">
        <v>3</v>
      </c>
      <c r="X3505">
        <v>1989</v>
      </c>
      <c r="Z3505">
        <v>1</v>
      </c>
      <c r="AA3505" t="s">
        <v>26</v>
      </c>
      <c r="AB3505">
        <v>0</v>
      </c>
      <c r="AC3505" t="s">
        <v>115</v>
      </c>
      <c r="AD3505">
        <v>2</v>
      </c>
      <c r="AE3505" t="s">
        <v>115</v>
      </c>
      <c r="AF3505">
        <v>0</v>
      </c>
      <c r="AG3505">
        <v>0</v>
      </c>
      <c r="AH3505" t="s">
        <v>116</v>
      </c>
      <c r="AI3505" s="1">
        <v>74875</v>
      </c>
      <c r="AJ3505" s="2">
        <v>0.24</v>
      </c>
      <c r="AK3505" s="1">
        <v>311050</v>
      </c>
      <c r="AL3505" t="s">
        <v>117</v>
      </c>
      <c r="AM3505" t="s">
        <v>191</v>
      </c>
      <c r="AN3505">
        <v>9028</v>
      </c>
      <c r="AO3505">
        <v>0.21</v>
      </c>
      <c r="AP3505">
        <v>1</v>
      </c>
      <c r="AR3505">
        <v>1</v>
      </c>
      <c r="AS3505" s="1">
        <v>22280</v>
      </c>
      <c r="AT3505" s="1">
        <v>4450</v>
      </c>
      <c r="AU3505" s="1">
        <v>17830</v>
      </c>
      <c r="AV3505">
        <v>80.03</v>
      </c>
      <c r="AX3505" s="1">
        <v>1707.46</v>
      </c>
      <c r="AY3505" t="s">
        <v>6662</v>
      </c>
      <c r="AZ3505" t="s">
        <v>5275</v>
      </c>
      <c r="BA3505" t="s">
        <v>3119</v>
      </c>
      <c r="BB3505" s="3">
        <v>42601</v>
      </c>
      <c r="BD3505" t="s">
        <v>240</v>
      </c>
      <c r="BE3505" s="3">
        <v>42290</v>
      </c>
      <c r="BF3505" s="1">
        <v>228000</v>
      </c>
      <c r="BG3505" t="s">
        <v>22584</v>
      </c>
      <c r="BH3505" s="1">
        <v>133.33000000000001</v>
      </c>
      <c r="BI3505" s="1">
        <v>236175</v>
      </c>
      <c r="BJ3505" s="3">
        <v>42601</v>
      </c>
      <c r="BK3505" t="s">
        <v>123</v>
      </c>
      <c r="BL3505" t="str">
        <f>"2016.594718"</f>
        <v>2016.594718</v>
      </c>
      <c r="BM3505" t="s">
        <v>2368</v>
      </c>
      <c r="BO3505" t="s">
        <v>22585</v>
      </c>
      <c r="BS3505">
        <v>30</v>
      </c>
      <c r="BW3505" t="str">
        <f>""</f>
        <v/>
      </c>
      <c r="CH3505" t="str">
        <f>""</f>
        <v/>
      </c>
      <c r="CS3505" t="str">
        <f>""</f>
        <v/>
      </c>
    </row>
    <row r="3506" spans="1:97" x14ac:dyDescent="0.25">
      <c r="A3506" t="s">
        <v>10986</v>
      </c>
      <c r="B3506" t="s">
        <v>1428</v>
      </c>
      <c r="C3506" t="s">
        <v>327</v>
      </c>
      <c r="D3506" t="s">
        <v>1428</v>
      </c>
      <c r="E3506" t="s">
        <v>22586</v>
      </c>
      <c r="F3506" t="s">
        <v>108</v>
      </c>
      <c r="H3506" t="s">
        <v>22587</v>
      </c>
      <c r="I3506" t="s">
        <v>203</v>
      </c>
      <c r="J3506" t="s">
        <v>111</v>
      </c>
      <c r="K3506" t="str">
        <f>"85295"</f>
        <v>85295</v>
      </c>
      <c r="L3506" t="s">
        <v>5260</v>
      </c>
      <c r="M3506" t="s">
        <v>22587</v>
      </c>
      <c r="N3506" t="s">
        <v>203</v>
      </c>
      <c r="O3506" t="s">
        <v>111</v>
      </c>
      <c r="P3506" t="str">
        <f>"85295-1423"</f>
        <v>85295-1423</v>
      </c>
      <c r="Q3506" t="s">
        <v>113</v>
      </c>
      <c r="R3506" t="str">
        <f>"304-47-307"</f>
        <v>304-47-307</v>
      </c>
      <c r="S3506" t="s">
        <v>22588</v>
      </c>
      <c r="T3506" t="s">
        <v>22588</v>
      </c>
      <c r="U3506">
        <v>4106</v>
      </c>
      <c r="V3506">
        <v>0</v>
      </c>
      <c r="W3506">
        <v>5</v>
      </c>
      <c r="X3506">
        <v>2002</v>
      </c>
      <c r="Z3506">
        <v>2</v>
      </c>
      <c r="AA3506" t="s">
        <v>26</v>
      </c>
      <c r="AB3506">
        <v>0</v>
      </c>
      <c r="AC3506" t="s">
        <v>115</v>
      </c>
      <c r="AD3506">
        <v>3</v>
      </c>
      <c r="AE3506" t="s">
        <v>115</v>
      </c>
      <c r="AF3506">
        <v>0</v>
      </c>
      <c r="AG3506">
        <v>0</v>
      </c>
      <c r="AH3506" t="s">
        <v>116</v>
      </c>
      <c r="AI3506" s="1">
        <v>153538</v>
      </c>
      <c r="AJ3506" s="2">
        <v>0.26</v>
      </c>
      <c r="AK3506" s="1">
        <v>596713</v>
      </c>
      <c r="AL3506" t="s">
        <v>117</v>
      </c>
      <c r="AM3506" t="s">
        <v>1302</v>
      </c>
      <c r="AN3506">
        <v>20383</v>
      </c>
      <c r="AO3506">
        <v>0.47</v>
      </c>
      <c r="AP3506">
        <v>1</v>
      </c>
      <c r="AR3506">
        <v>1</v>
      </c>
      <c r="AS3506" s="1">
        <v>44720</v>
      </c>
      <c r="AT3506" s="1">
        <v>8940</v>
      </c>
      <c r="AU3506" s="1">
        <v>35780</v>
      </c>
      <c r="AV3506">
        <v>80.010000000000005</v>
      </c>
      <c r="AX3506" s="1">
        <v>4052.12</v>
      </c>
      <c r="AY3506" t="s">
        <v>5087</v>
      </c>
      <c r="AZ3506" t="s">
        <v>5087</v>
      </c>
      <c r="BA3506" t="s">
        <v>473</v>
      </c>
      <c r="BE3506" s="3">
        <v>42548</v>
      </c>
      <c r="BF3506" s="1">
        <v>451900</v>
      </c>
      <c r="BG3506" t="s">
        <v>22589</v>
      </c>
      <c r="BH3506" s="1">
        <v>110.06</v>
      </c>
      <c r="BI3506" s="1">
        <v>443175</v>
      </c>
      <c r="BJ3506" s="3">
        <v>42548</v>
      </c>
      <c r="BK3506" t="s">
        <v>123</v>
      </c>
      <c r="BL3506" t="str">
        <f>"2016.449595"</f>
        <v>2016.449595</v>
      </c>
      <c r="BM3506" t="s">
        <v>2489</v>
      </c>
      <c r="BO3506" t="s">
        <v>22590</v>
      </c>
      <c r="BS3506">
        <v>30</v>
      </c>
      <c r="BW3506" t="str">
        <f>""</f>
        <v/>
      </c>
      <c r="CH3506" t="str">
        <f>""</f>
        <v/>
      </c>
      <c r="CS3506" t="str">
        <f>""</f>
        <v/>
      </c>
    </row>
    <row r="3507" spans="1:97" x14ac:dyDescent="0.25">
      <c r="A3507" t="s">
        <v>815</v>
      </c>
      <c r="B3507" t="s">
        <v>22591</v>
      </c>
      <c r="C3507" t="s">
        <v>1674</v>
      </c>
      <c r="D3507" t="s">
        <v>22591</v>
      </c>
      <c r="E3507" t="s">
        <v>22592</v>
      </c>
      <c r="F3507" t="s">
        <v>108</v>
      </c>
      <c r="H3507" t="s">
        <v>22593</v>
      </c>
      <c r="I3507" t="s">
        <v>453</v>
      </c>
      <c r="J3507" t="s">
        <v>111</v>
      </c>
      <c r="K3507" t="str">
        <f>"85382"</f>
        <v>85382</v>
      </c>
      <c r="L3507" t="s">
        <v>5325</v>
      </c>
      <c r="M3507" t="s">
        <v>22593</v>
      </c>
      <c r="N3507" t="s">
        <v>453</v>
      </c>
      <c r="O3507" t="s">
        <v>111</v>
      </c>
      <c r="P3507" t="str">
        <f>"85382-1023"</f>
        <v>85382-1023</v>
      </c>
      <c r="Q3507" t="s">
        <v>113</v>
      </c>
      <c r="R3507" t="str">
        <f>"233-04-514"</f>
        <v>233-04-514</v>
      </c>
      <c r="S3507" t="s">
        <v>22594</v>
      </c>
      <c r="T3507" t="s">
        <v>22594</v>
      </c>
      <c r="U3507">
        <v>2428</v>
      </c>
      <c r="V3507">
        <v>0</v>
      </c>
      <c r="W3507">
        <v>4</v>
      </c>
      <c r="X3507">
        <v>2004</v>
      </c>
      <c r="Z3507">
        <v>2</v>
      </c>
      <c r="AB3507">
        <v>0</v>
      </c>
      <c r="AC3507" t="s">
        <v>115</v>
      </c>
      <c r="AD3507">
        <v>2</v>
      </c>
      <c r="AE3507" t="s">
        <v>115</v>
      </c>
      <c r="AF3507">
        <v>0</v>
      </c>
      <c r="AG3507">
        <v>0</v>
      </c>
      <c r="AH3507" t="s">
        <v>116</v>
      </c>
      <c r="AI3507" s="1">
        <v>75296</v>
      </c>
      <c r="AJ3507" s="2">
        <v>0.24</v>
      </c>
      <c r="AK3507" s="1">
        <v>310241</v>
      </c>
      <c r="AL3507" t="s">
        <v>117</v>
      </c>
      <c r="AM3507" t="s">
        <v>118</v>
      </c>
      <c r="AN3507">
        <v>4725</v>
      </c>
      <c r="AO3507">
        <v>0.11</v>
      </c>
      <c r="AP3507">
        <v>1</v>
      </c>
      <c r="AR3507">
        <v>1</v>
      </c>
      <c r="AS3507" s="1">
        <v>21280</v>
      </c>
      <c r="AT3507" s="1">
        <v>4250</v>
      </c>
      <c r="AU3507" s="1">
        <v>17030</v>
      </c>
      <c r="AV3507">
        <v>80.03</v>
      </c>
      <c r="AX3507" s="1">
        <v>1754.54</v>
      </c>
      <c r="AY3507" t="s">
        <v>7828</v>
      </c>
      <c r="AZ3507" t="s">
        <v>7828</v>
      </c>
      <c r="BA3507" t="s">
        <v>4219</v>
      </c>
      <c r="BE3507" s="3">
        <v>42243</v>
      </c>
      <c r="BF3507" s="1">
        <v>230000</v>
      </c>
      <c r="BG3507" t="s">
        <v>22595</v>
      </c>
      <c r="BH3507" s="1">
        <v>94.73</v>
      </c>
      <c r="BI3507" s="1">
        <v>234945</v>
      </c>
      <c r="BJ3507" s="3">
        <v>42243</v>
      </c>
      <c r="BK3507" t="s">
        <v>123</v>
      </c>
      <c r="BL3507" t="str">
        <f>"2015.623082"</f>
        <v>2015.623082</v>
      </c>
      <c r="BM3507" t="s">
        <v>7311</v>
      </c>
      <c r="BO3507" t="s">
        <v>22596</v>
      </c>
      <c r="BS3507">
        <v>30</v>
      </c>
      <c r="BW3507" t="str">
        <f>""</f>
        <v/>
      </c>
      <c r="CH3507" t="str">
        <f>""</f>
        <v/>
      </c>
      <c r="CS3507" t="str">
        <f>""</f>
        <v/>
      </c>
    </row>
    <row r="3508" spans="1:97" x14ac:dyDescent="0.25">
      <c r="A3508" t="s">
        <v>962</v>
      </c>
      <c r="B3508" t="s">
        <v>1423</v>
      </c>
      <c r="C3508" t="s">
        <v>908</v>
      </c>
      <c r="D3508" t="s">
        <v>1423</v>
      </c>
      <c r="E3508" t="s">
        <v>22597</v>
      </c>
      <c r="F3508" t="s">
        <v>108</v>
      </c>
      <c r="H3508" t="s">
        <v>22598</v>
      </c>
      <c r="I3508" t="s">
        <v>188</v>
      </c>
      <c r="J3508" t="s">
        <v>111</v>
      </c>
      <c r="K3508" t="str">
        <f>"85142"</f>
        <v>85142</v>
      </c>
      <c r="L3508" t="s">
        <v>5239</v>
      </c>
      <c r="M3508" t="s">
        <v>22598</v>
      </c>
      <c r="N3508" t="s">
        <v>188</v>
      </c>
      <c r="O3508" t="s">
        <v>111</v>
      </c>
      <c r="P3508" t="str">
        <f>"85142-3288"</f>
        <v>85142-3288</v>
      </c>
      <c r="R3508" t="str">
        <f>"304-66-566"</f>
        <v>304-66-566</v>
      </c>
      <c r="S3508" t="s">
        <v>15502</v>
      </c>
      <c r="T3508" t="s">
        <v>15503</v>
      </c>
      <c r="U3508">
        <v>3390</v>
      </c>
      <c r="V3508">
        <v>0</v>
      </c>
      <c r="W3508">
        <v>5</v>
      </c>
      <c r="X3508">
        <v>2007</v>
      </c>
      <c r="Z3508">
        <v>2</v>
      </c>
      <c r="AA3508" t="s">
        <v>26</v>
      </c>
      <c r="AB3508">
        <v>0</v>
      </c>
      <c r="AC3508" t="s">
        <v>115</v>
      </c>
      <c r="AD3508">
        <v>4</v>
      </c>
      <c r="AE3508" t="s">
        <v>115</v>
      </c>
      <c r="AF3508">
        <v>0</v>
      </c>
      <c r="AG3508">
        <v>0</v>
      </c>
      <c r="AH3508" t="s">
        <v>116</v>
      </c>
      <c r="AI3508" s="1">
        <v>69584</v>
      </c>
      <c r="AJ3508" s="2">
        <v>0.19</v>
      </c>
      <c r="AK3508" s="1">
        <v>367084</v>
      </c>
      <c r="AL3508" t="s">
        <v>117</v>
      </c>
      <c r="AM3508" t="s">
        <v>393</v>
      </c>
      <c r="AN3508">
        <v>7151</v>
      </c>
      <c r="AO3508">
        <v>0.16</v>
      </c>
      <c r="AR3508">
        <v>1</v>
      </c>
      <c r="AS3508" s="1">
        <v>27720</v>
      </c>
      <c r="AT3508" s="1">
        <v>5540</v>
      </c>
      <c r="AU3508" s="1">
        <v>22180</v>
      </c>
      <c r="AV3508">
        <v>80.010000000000005</v>
      </c>
      <c r="AX3508" s="1">
        <v>3355.4</v>
      </c>
      <c r="AY3508" t="s">
        <v>560</v>
      </c>
      <c r="AZ3508" t="s">
        <v>561</v>
      </c>
      <c r="BA3508" t="s">
        <v>194</v>
      </c>
      <c r="BE3508" s="3">
        <v>42153</v>
      </c>
      <c r="BF3508" s="1">
        <v>297500</v>
      </c>
      <c r="BG3508" t="s">
        <v>22599</v>
      </c>
      <c r="BH3508" s="1">
        <v>87.76</v>
      </c>
      <c r="BI3508" s="1">
        <v>297500</v>
      </c>
      <c r="BJ3508" s="3">
        <v>42153</v>
      </c>
      <c r="BK3508" t="s">
        <v>123</v>
      </c>
      <c r="BL3508" t="str">
        <f>"2015.386142"</f>
        <v>2015.386142</v>
      </c>
      <c r="BM3508" t="s">
        <v>2683</v>
      </c>
      <c r="BN3508" t="s">
        <v>5052</v>
      </c>
      <c r="BO3508" t="s">
        <v>22600</v>
      </c>
      <c r="BS3508">
        <v>30</v>
      </c>
      <c r="BW3508" t="str">
        <f>""</f>
        <v/>
      </c>
      <c r="CH3508" t="str">
        <f>""</f>
        <v/>
      </c>
      <c r="CS3508" t="str">
        <f>""</f>
        <v/>
      </c>
    </row>
    <row r="3509" spans="1:97" x14ac:dyDescent="0.25">
      <c r="A3509" t="s">
        <v>996</v>
      </c>
      <c r="B3509" t="s">
        <v>22036</v>
      </c>
      <c r="C3509" t="s">
        <v>2793</v>
      </c>
      <c r="D3509" t="s">
        <v>22036</v>
      </c>
      <c r="E3509" t="s">
        <v>22601</v>
      </c>
      <c r="F3509" t="s">
        <v>108</v>
      </c>
      <c r="H3509" t="s">
        <v>22602</v>
      </c>
      <c r="I3509" t="s">
        <v>1936</v>
      </c>
      <c r="J3509" t="s">
        <v>111</v>
      </c>
      <c r="K3509" t="str">
        <f>"85254"</f>
        <v>85254</v>
      </c>
      <c r="L3509" t="s">
        <v>2903</v>
      </c>
      <c r="M3509" t="s">
        <v>22602</v>
      </c>
      <c r="N3509" t="s">
        <v>1936</v>
      </c>
      <c r="O3509" t="s">
        <v>111</v>
      </c>
      <c r="P3509" t="str">
        <f>"85254-4344"</f>
        <v>85254-4344</v>
      </c>
      <c r="Q3509" t="s">
        <v>113</v>
      </c>
      <c r="R3509" t="str">
        <f>"167-07-296"</f>
        <v>167-07-296</v>
      </c>
      <c r="S3509" t="s">
        <v>22603</v>
      </c>
      <c r="T3509" t="s">
        <v>22603</v>
      </c>
      <c r="U3509">
        <v>2397</v>
      </c>
      <c r="V3509">
        <v>0</v>
      </c>
      <c r="W3509">
        <v>3</v>
      </c>
      <c r="X3509">
        <v>1977</v>
      </c>
      <c r="Z3509">
        <v>1</v>
      </c>
      <c r="AA3509" t="s">
        <v>26</v>
      </c>
      <c r="AB3509">
        <v>0</v>
      </c>
      <c r="AC3509" t="s">
        <v>115</v>
      </c>
      <c r="AD3509">
        <v>2</v>
      </c>
      <c r="AE3509" t="s">
        <v>115</v>
      </c>
      <c r="AF3509">
        <v>0</v>
      </c>
      <c r="AG3509">
        <v>0</v>
      </c>
      <c r="AH3509" t="s">
        <v>116</v>
      </c>
      <c r="AI3509" s="1">
        <v>110177</v>
      </c>
      <c r="AJ3509" s="2">
        <v>0.21</v>
      </c>
      <c r="AK3509" s="1">
        <v>534277</v>
      </c>
      <c r="AL3509" t="s">
        <v>117</v>
      </c>
      <c r="AM3509" t="s">
        <v>6114</v>
      </c>
      <c r="AN3509">
        <v>14052</v>
      </c>
      <c r="AO3509">
        <v>0.32</v>
      </c>
      <c r="AP3509">
        <v>1</v>
      </c>
      <c r="AR3509">
        <v>1</v>
      </c>
      <c r="AS3509" s="1">
        <v>36720</v>
      </c>
      <c r="AT3509" s="1">
        <v>7340</v>
      </c>
      <c r="AU3509" s="1">
        <v>29380</v>
      </c>
      <c r="AV3509">
        <v>80.010000000000005</v>
      </c>
      <c r="AX3509" s="1">
        <v>3477.7</v>
      </c>
      <c r="AY3509" t="s">
        <v>9010</v>
      </c>
      <c r="AZ3509" t="s">
        <v>7739</v>
      </c>
      <c r="BA3509" t="s">
        <v>6302</v>
      </c>
      <c r="BE3509" s="3">
        <v>42209</v>
      </c>
      <c r="BF3509" s="1">
        <v>435000</v>
      </c>
      <c r="BG3509" t="s">
        <v>22604</v>
      </c>
      <c r="BH3509" s="1">
        <v>181.48</v>
      </c>
      <c r="BI3509" s="1">
        <v>424100</v>
      </c>
      <c r="BJ3509" s="3">
        <v>43032</v>
      </c>
      <c r="BK3509" t="s">
        <v>123</v>
      </c>
      <c r="BL3509" t="str">
        <f>"2017.786408"</f>
        <v>2017.786408</v>
      </c>
      <c r="BM3509" t="s">
        <v>22605</v>
      </c>
      <c r="BO3509" t="s">
        <v>22606</v>
      </c>
      <c r="BS3509">
        <v>30</v>
      </c>
      <c r="BW3509" t="str">
        <f>""</f>
        <v/>
      </c>
      <c r="CH3509" t="str">
        <f>""</f>
        <v/>
      </c>
      <c r="CS3509" t="str">
        <f>""</f>
        <v/>
      </c>
    </row>
    <row r="3510" spans="1:97" x14ac:dyDescent="0.25">
      <c r="A3510" t="s">
        <v>22607</v>
      </c>
      <c r="B3510" t="s">
        <v>364</v>
      </c>
      <c r="C3510" t="s">
        <v>7732</v>
      </c>
      <c r="D3510" t="s">
        <v>364</v>
      </c>
      <c r="E3510" t="s">
        <v>22608</v>
      </c>
      <c r="F3510" t="s">
        <v>108</v>
      </c>
      <c r="H3510" t="s">
        <v>22609</v>
      </c>
      <c r="I3510" t="s">
        <v>225</v>
      </c>
      <c r="J3510" t="s">
        <v>111</v>
      </c>
      <c r="K3510" t="str">
        <f>"85213"</f>
        <v>85213</v>
      </c>
      <c r="L3510" t="s">
        <v>5687</v>
      </c>
      <c r="M3510" t="s">
        <v>22609</v>
      </c>
      <c r="N3510" t="s">
        <v>225</v>
      </c>
      <c r="O3510" t="s">
        <v>111</v>
      </c>
      <c r="P3510" t="str">
        <f>"85213-6036"</f>
        <v>85213-6036</v>
      </c>
      <c r="Q3510" t="s">
        <v>113</v>
      </c>
      <c r="R3510" t="str">
        <f>"140-07-500"</f>
        <v>140-07-500</v>
      </c>
      <c r="S3510" t="s">
        <v>22610</v>
      </c>
      <c r="T3510" t="s">
        <v>22611</v>
      </c>
      <c r="U3510">
        <v>1833</v>
      </c>
      <c r="V3510">
        <v>0</v>
      </c>
      <c r="W3510">
        <v>2</v>
      </c>
      <c r="X3510">
        <v>1987</v>
      </c>
      <c r="Z3510">
        <v>1</v>
      </c>
      <c r="AB3510">
        <v>0</v>
      </c>
      <c r="AC3510" t="s">
        <v>115</v>
      </c>
      <c r="AD3510">
        <v>2</v>
      </c>
      <c r="AE3510" t="s">
        <v>115</v>
      </c>
      <c r="AF3510">
        <v>0</v>
      </c>
      <c r="AG3510">
        <v>0</v>
      </c>
      <c r="AH3510" t="s">
        <v>116</v>
      </c>
      <c r="AI3510" s="1">
        <v>95721</v>
      </c>
      <c r="AJ3510" s="2">
        <v>0.32</v>
      </c>
      <c r="AK3510" s="1">
        <v>302281</v>
      </c>
      <c r="AL3510" t="s">
        <v>117</v>
      </c>
      <c r="AM3510" t="s">
        <v>917</v>
      </c>
      <c r="AN3510">
        <v>8769</v>
      </c>
      <c r="AO3510">
        <v>0.2</v>
      </c>
      <c r="AP3510">
        <v>1</v>
      </c>
      <c r="AR3510">
        <v>1</v>
      </c>
      <c r="AS3510" s="1">
        <v>21270</v>
      </c>
      <c r="AT3510" s="1">
        <v>4250</v>
      </c>
      <c r="AU3510" s="1">
        <v>17020</v>
      </c>
      <c r="AV3510">
        <v>80.02</v>
      </c>
      <c r="AX3510" s="1">
        <v>1749.5</v>
      </c>
      <c r="AY3510" t="s">
        <v>9091</v>
      </c>
      <c r="AZ3510" t="s">
        <v>1523</v>
      </c>
      <c r="BA3510" t="s">
        <v>1524</v>
      </c>
      <c r="BE3510" s="3">
        <v>42247</v>
      </c>
      <c r="BF3510" s="1">
        <v>237500</v>
      </c>
      <c r="BG3510" t="s">
        <v>22612</v>
      </c>
      <c r="BH3510" s="1">
        <v>129.57</v>
      </c>
      <c r="BI3510" s="1">
        <v>206560</v>
      </c>
      <c r="BJ3510" s="3">
        <v>42612</v>
      </c>
      <c r="BK3510" t="s">
        <v>123</v>
      </c>
      <c r="BL3510" t="str">
        <f>"2016.625689"</f>
        <v>2016.625689</v>
      </c>
      <c r="BM3510" t="s">
        <v>1695</v>
      </c>
      <c r="BO3510" t="s">
        <v>22613</v>
      </c>
      <c r="BS3510">
        <v>30</v>
      </c>
      <c r="BW3510" t="str">
        <f>""</f>
        <v/>
      </c>
      <c r="CH3510" t="str">
        <f>""</f>
        <v/>
      </c>
      <c r="CS3510" t="str">
        <f>""</f>
        <v/>
      </c>
    </row>
    <row r="3511" spans="1:97" x14ac:dyDescent="0.25">
      <c r="A3511" t="s">
        <v>1444</v>
      </c>
      <c r="B3511" t="s">
        <v>464</v>
      </c>
      <c r="E3511" t="s">
        <v>21028</v>
      </c>
      <c r="F3511" t="s">
        <v>108</v>
      </c>
      <c r="H3511" t="s">
        <v>22614</v>
      </c>
      <c r="I3511" t="s">
        <v>203</v>
      </c>
      <c r="J3511" t="s">
        <v>111</v>
      </c>
      <c r="K3511" t="str">
        <f>"85297"</f>
        <v>85297</v>
      </c>
      <c r="L3511" t="s">
        <v>7904</v>
      </c>
      <c r="M3511" t="s">
        <v>22614</v>
      </c>
      <c r="N3511" t="s">
        <v>203</v>
      </c>
      <c r="O3511" t="s">
        <v>111</v>
      </c>
      <c r="P3511" t="str">
        <f>"85297-9736"</f>
        <v>85297-9736</v>
      </c>
      <c r="Q3511" t="s">
        <v>113</v>
      </c>
      <c r="R3511" t="str">
        <f>"313-06-001"</f>
        <v>313-06-001</v>
      </c>
      <c r="S3511" t="s">
        <v>16731</v>
      </c>
      <c r="T3511" t="s">
        <v>16732</v>
      </c>
      <c r="U3511">
        <v>2735</v>
      </c>
      <c r="V3511">
        <v>0</v>
      </c>
      <c r="W3511">
        <v>5</v>
      </c>
      <c r="X3511">
        <v>2004</v>
      </c>
      <c r="Z3511">
        <v>2</v>
      </c>
      <c r="AA3511" t="s">
        <v>26</v>
      </c>
      <c r="AB3511">
        <v>0</v>
      </c>
      <c r="AC3511" t="s">
        <v>115</v>
      </c>
      <c r="AD3511">
        <v>2</v>
      </c>
      <c r="AE3511" t="s">
        <v>115</v>
      </c>
      <c r="AF3511">
        <v>0</v>
      </c>
      <c r="AG3511">
        <v>0</v>
      </c>
      <c r="AH3511" t="s">
        <v>116</v>
      </c>
      <c r="AI3511" s="1">
        <v>84709</v>
      </c>
      <c r="AJ3511" s="2">
        <v>0.21</v>
      </c>
      <c r="AK3511" s="1">
        <v>399709</v>
      </c>
      <c r="AL3511" t="s">
        <v>117</v>
      </c>
      <c r="AM3511" t="s">
        <v>191</v>
      </c>
      <c r="AN3511">
        <v>6910</v>
      </c>
      <c r="AO3511">
        <v>0.16</v>
      </c>
      <c r="AP3511">
        <v>1</v>
      </c>
      <c r="AR3511">
        <v>1</v>
      </c>
      <c r="AS3511" s="1">
        <v>27760</v>
      </c>
      <c r="AT3511" s="1">
        <v>5550</v>
      </c>
      <c r="AU3511" s="1">
        <v>22210</v>
      </c>
      <c r="AV3511">
        <v>80.010000000000005</v>
      </c>
      <c r="AX3511" s="1">
        <v>2307.88</v>
      </c>
      <c r="AY3511" t="s">
        <v>289</v>
      </c>
      <c r="AZ3511" t="s">
        <v>289</v>
      </c>
      <c r="BA3511" t="s">
        <v>290</v>
      </c>
      <c r="BE3511" s="3">
        <v>42230</v>
      </c>
      <c r="BF3511" s="1">
        <v>315000</v>
      </c>
      <c r="BG3511" t="s">
        <v>22615</v>
      </c>
      <c r="BH3511" s="1">
        <v>115.17</v>
      </c>
      <c r="BI3511" s="1">
        <v>315000</v>
      </c>
      <c r="BJ3511" s="3">
        <v>42230</v>
      </c>
      <c r="BK3511" t="s">
        <v>123</v>
      </c>
      <c r="BL3511" t="str">
        <f>"2015.589458"</f>
        <v>2015.589458</v>
      </c>
      <c r="BM3511" t="s">
        <v>135</v>
      </c>
      <c r="BO3511" t="s">
        <v>22616</v>
      </c>
      <c r="BS3511">
        <v>30</v>
      </c>
      <c r="BW3511" t="str">
        <f>""</f>
        <v/>
      </c>
      <c r="CH3511" t="str">
        <f>""</f>
        <v/>
      </c>
      <c r="CS3511" t="str">
        <f>""</f>
        <v/>
      </c>
    </row>
    <row r="3512" spans="1:97" x14ac:dyDescent="0.25">
      <c r="A3512" t="s">
        <v>265</v>
      </c>
      <c r="B3512" t="s">
        <v>9430</v>
      </c>
      <c r="C3512" t="s">
        <v>1507</v>
      </c>
      <c r="D3512" t="s">
        <v>9430</v>
      </c>
      <c r="E3512" t="s">
        <v>22617</v>
      </c>
      <c r="F3512" t="s">
        <v>108</v>
      </c>
      <c r="H3512" t="s">
        <v>22618</v>
      </c>
      <c r="I3512" t="s">
        <v>225</v>
      </c>
      <c r="J3512" t="s">
        <v>111</v>
      </c>
      <c r="K3512" t="str">
        <f>"85212"</f>
        <v>85212</v>
      </c>
      <c r="L3512" t="s">
        <v>6595</v>
      </c>
      <c r="M3512" t="s">
        <v>22618</v>
      </c>
      <c r="N3512" t="s">
        <v>225</v>
      </c>
      <c r="O3512" t="s">
        <v>111</v>
      </c>
      <c r="P3512" t="str">
        <f>"85212-7017"</f>
        <v>85212-7017</v>
      </c>
      <c r="Q3512" t="s">
        <v>113</v>
      </c>
      <c r="R3512" t="str">
        <f>"312-14-765"</f>
        <v>312-14-765</v>
      </c>
      <c r="S3512" t="s">
        <v>8852</v>
      </c>
      <c r="T3512" t="s">
        <v>8853</v>
      </c>
      <c r="U3512">
        <v>3387</v>
      </c>
      <c r="V3512">
        <v>0</v>
      </c>
      <c r="W3512">
        <v>4</v>
      </c>
      <c r="X3512">
        <v>2005</v>
      </c>
      <c r="Z3512">
        <v>2</v>
      </c>
      <c r="AB3512">
        <v>0</v>
      </c>
      <c r="AC3512" t="s">
        <v>115</v>
      </c>
      <c r="AD3512">
        <v>3</v>
      </c>
      <c r="AE3512" t="s">
        <v>115</v>
      </c>
      <c r="AF3512">
        <v>0</v>
      </c>
      <c r="AG3512">
        <v>0</v>
      </c>
      <c r="AH3512" t="s">
        <v>116</v>
      </c>
      <c r="AI3512" s="1">
        <v>64586</v>
      </c>
      <c r="AJ3512" s="2">
        <v>0.17</v>
      </c>
      <c r="AK3512" s="1">
        <v>379586</v>
      </c>
      <c r="AL3512" t="s">
        <v>117</v>
      </c>
      <c r="AM3512" t="s">
        <v>393</v>
      </c>
      <c r="AN3512">
        <v>8750</v>
      </c>
      <c r="AO3512">
        <v>0.2</v>
      </c>
      <c r="AP3512">
        <v>1</v>
      </c>
      <c r="AR3512">
        <v>1</v>
      </c>
      <c r="AS3512" s="1">
        <v>26200</v>
      </c>
      <c r="AT3512" s="1">
        <v>5240</v>
      </c>
      <c r="AU3512" s="1">
        <v>20960</v>
      </c>
      <c r="AV3512">
        <v>80</v>
      </c>
      <c r="AX3512" s="1">
        <v>2354.2800000000002</v>
      </c>
      <c r="AY3512" t="s">
        <v>560</v>
      </c>
      <c r="AZ3512" t="s">
        <v>561</v>
      </c>
      <c r="BA3512" t="s">
        <v>194</v>
      </c>
      <c r="BE3512" s="3">
        <v>42538</v>
      </c>
      <c r="BF3512" s="1">
        <v>315000</v>
      </c>
      <c r="BG3512" t="s">
        <v>22619</v>
      </c>
      <c r="BH3512" s="1">
        <v>93</v>
      </c>
      <c r="BI3512" s="1">
        <v>315000</v>
      </c>
      <c r="BJ3512" s="3">
        <v>42538</v>
      </c>
      <c r="BK3512" t="s">
        <v>123</v>
      </c>
      <c r="BL3512" t="str">
        <f>"2016.425451"</f>
        <v>2016.425451</v>
      </c>
      <c r="BM3512" t="s">
        <v>1185</v>
      </c>
      <c r="BO3512" t="s">
        <v>22620</v>
      </c>
      <c r="BS3512">
        <v>30</v>
      </c>
      <c r="BW3512" t="str">
        <f>""</f>
        <v/>
      </c>
      <c r="CH3512" t="str">
        <f>""</f>
        <v/>
      </c>
      <c r="CS3512" t="str">
        <f>""</f>
        <v/>
      </c>
    </row>
    <row r="3513" spans="1:97" x14ac:dyDescent="0.25">
      <c r="A3513" t="s">
        <v>5755</v>
      </c>
      <c r="B3513" t="s">
        <v>22621</v>
      </c>
      <c r="C3513" t="s">
        <v>970</v>
      </c>
      <c r="D3513" t="s">
        <v>22621</v>
      </c>
      <c r="E3513" t="s">
        <v>22622</v>
      </c>
      <c r="F3513" t="s">
        <v>108</v>
      </c>
      <c r="H3513" t="s">
        <v>22623</v>
      </c>
      <c r="I3513" t="s">
        <v>1936</v>
      </c>
      <c r="J3513" t="s">
        <v>111</v>
      </c>
      <c r="K3513" t="str">
        <f>"85259"</f>
        <v>85259</v>
      </c>
      <c r="L3513" t="s">
        <v>6416</v>
      </c>
      <c r="M3513" t="s">
        <v>22623</v>
      </c>
      <c r="N3513" t="s">
        <v>1936</v>
      </c>
      <c r="O3513" t="s">
        <v>111</v>
      </c>
      <c r="P3513" t="str">
        <f>"85259-6126"</f>
        <v>85259-6126</v>
      </c>
      <c r="Q3513" t="s">
        <v>113</v>
      </c>
      <c r="R3513" t="str">
        <f>"217-32-169"</f>
        <v>217-32-169</v>
      </c>
      <c r="S3513" t="s">
        <v>22624</v>
      </c>
      <c r="T3513" t="s">
        <v>22624</v>
      </c>
      <c r="U3513">
        <v>2418</v>
      </c>
      <c r="V3513">
        <v>0</v>
      </c>
      <c r="W3513">
        <v>3</v>
      </c>
      <c r="X3513">
        <v>1976</v>
      </c>
      <c r="Z3513">
        <v>1</v>
      </c>
      <c r="AA3513" t="s">
        <v>26</v>
      </c>
      <c r="AB3513">
        <v>0</v>
      </c>
      <c r="AC3513" t="s">
        <v>115</v>
      </c>
      <c r="AD3513">
        <v>2</v>
      </c>
      <c r="AE3513" t="s">
        <v>115</v>
      </c>
      <c r="AF3513">
        <v>0</v>
      </c>
      <c r="AG3513">
        <v>0</v>
      </c>
      <c r="AH3513" t="s">
        <v>116</v>
      </c>
      <c r="AI3513" s="1">
        <v>83983</v>
      </c>
      <c r="AJ3513" s="2">
        <v>0.13</v>
      </c>
      <c r="AK3513" s="1">
        <v>635128</v>
      </c>
      <c r="AL3513" t="s">
        <v>117</v>
      </c>
      <c r="AM3513" t="s">
        <v>376</v>
      </c>
      <c r="AN3513">
        <v>43674</v>
      </c>
      <c r="AO3513">
        <v>1</v>
      </c>
      <c r="AP3513">
        <v>1</v>
      </c>
      <c r="AR3513">
        <v>1</v>
      </c>
      <c r="AS3513" s="1">
        <v>47060</v>
      </c>
      <c r="AT3513" s="1">
        <v>9410</v>
      </c>
      <c r="AU3513" s="1">
        <v>37650</v>
      </c>
      <c r="AV3513">
        <v>80</v>
      </c>
      <c r="AX3513" s="1">
        <v>3108.86</v>
      </c>
      <c r="AY3513" t="s">
        <v>5761</v>
      </c>
      <c r="AZ3513" t="s">
        <v>5762</v>
      </c>
      <c r="BA3513" t="s">
        <v>5763</v>
      </c>
      <c r="BE3513" s="3">
        <v>42391</v>
      </c>
      <c r="BF3513" s="1">
        <v>585000</v>
      </c>
      <c r="BG3513" t="s">
        <v>22625</v>
      </c>
      <c r="BH3513" s="1">
        <v>241.94</v>
      </c>
      <c r="BI3513" s="1">
        <v>551145</v>
      </c>
      <c r="BJ3513" s="3">
        <v>42391</v>
      </c>
      <c r="BK3513" t="s">
        <v>123</v>
      </c>
      <c r="BL3513" t="str">
        <f>"2016.45227"</f>
        <v>2016.45227</v>
      </c>
      <c r="BM3513" t="s">
        <v>1154</v>
      </c>
      <c r="BO3513" t="s">
        <v>22626</v>
      </c>
      <c r="BS3513">
        <v>30</v>
      </c>
      <c r="BW3513" t="str">
        <f>""</f>
        <v/>
      </c>
      <c r="CH3513" t="str">
        <f>""</f>
        <v/>
      </c>
      <c r="CS3513" t="str">
        <f>""</f>
        <v/>
      </c>
    </row>
    <row r="3514" spans="1:97" x14ac:dyDescent="0.25">
      <c r="A3514" t="s">
        <v>3333</v>
      </c>
      <c r="B3514" t="s">
        <v>488</v>
      </c>
      <c r="C3514" t="s">
        <v>22627</v>
      </c>
      <c r="D3514" t="s">
        <v>488</v>
      </c>
      <c r="E3514" t="s">
        <v>22628</v>
      </c>
      <c r="F3514" t="s">
        <v>108</v>
      </c>
      <c r="H3514" t="s">
        <v>22629</v>
      </c>
      <c r="I3514" t="s">
        <v>1936</v>
      </c>
      <c r="J3514" t="s">
        <v>111</v>
      </c>
      <c r="K3514" t="str">
        <f>"85254"</f>
        <v>85254</v>
      </c>
      <c r="L3514" t="s">
        <v>5248</v>
      </c>
      <c r="M3514" t="s">
        <v>22629</v>
      </c>
      <c r="N3514" t="s">
        <v>1936</v>
      </c>
      <c r="O3514" t="s">
        <v>111</v>
      </c>
      <c r="P3514" t="str">
        <f>"85254-3063"</f>
        <v>85254-3063</v>
      </c>
      <c r="Q3514" t="s">
        <v>113</v>
      </c>
      <c r="R3514" t="str">
        <f>"215-78-066"</f>
        <v>215-78-066</v>
      </c>
      <c r="S3514" t="s">
        <v>22630</v>
      </c>
      <c r="T3514" t="s">
        <v>22631</v>
      </c>
      <c r="U3514">
        <v>1812</v>
      </c>
      <c r="V3514">
        <v>0</v>
      </c>
      <c r="W3514">
        <v>3</v>
      </c>
      <c r="X3514">
        <v>1989</v>
      </c>
      <c r="Z3514">
        <v>1</v>
      </c>
      <c r="AB3514">
        <v>0</v>
      </c>
      <c r="AC3514" t="s">
        <v>115</v>
      </c>
      <c r="AD3514">
        <v>2</v>
      </c>
      <c r="AE3514" t="s">
        <v>115</v>
      </c>
      <c r="AF3514">
        <v>0</v>
      </c>
      <c r="AG3514">
        <v>0</v>
      </c>
      <c r="AH3514" t="s">
        <v>116</v>
      </c>
      <c r="AI3514" s="1">
        <v>64199</v>
      </c>
      <c r="AJ3514" s="2">
        <v>0.15</v>
      </c>
      <c r="AK3514" s="1">
        <v>435046</v>
      </c>
      <c r="AL3514" t="s">
        <v>117</v>
      </c>
      <c r="AM3514" t="s">
        <v>1302</v>
      </c>
      <c r="AN3514">
        <v>7113</v>
      </c>
      <c r="AO3514">
        <v>0.16</v>
      </c>
      <c r="AP3514">
        <v>1</v>
      </c>
      <c r="AR3514">
        <v>1</v>
      </c>
      <c r="AS3514" s="1">
        <v>30870</v>
      </c>
      <c r="AT3514" s="1">
        <v>6170</v>
      </c>
      <c r="AU3514" s="1">
        <v>24700</v>
      </c>
      <c r="AV3514">
        <v>80.010000000000005</v>
      </c>
      <c r="AX3514" s="1">
        <v>2806.34</v>
      </c>
      <c r="AY3514" t="s">
        <v>7738</v>
      </c>
      <c r="AZ3514" t="s">
        <v>7739</v>
      </c>
      <c r="BA3514" t="s">
        <v>6302</v>
      </c>
      <c r="BE3514" s="3">
        <v>42516</v>
      </c>
      <c r="BF3514" s="1">
        <v>359000</v>
      </c>
      <c r="BG3514" t="s">
        <v>22632</v>
      </c>
      <c r="BH3514" s="1">
        <v>198.12</v>
      </c>
      <c r="BI3514" s="1">
        <v>370847</v>
      </c>
      <c r="BJ3514" s="3">
        <v>42516</v>
      </c>
      <c r="BK3514" t="s">
        <v>123</v>
      </c>
      <c r="BL3514" t="str">
        <f>"2016.364171"</f>
        <v>2016.364171</v>
      </c>
      <c r="BM3514" t="s">
        <v>1227</v>
      </c>
      <c r="BO3514" t="s">
        <v>22633</v>
      </c>
      <c r="BS3514">
        <v>30</v>
      </c>
      <c r="BW3514" t="str">
        <f>""</f>
        <v/>
      </c>
      <c r="CH3514" t="str">
        <f>""</f>
        <v/>
      </c>
      <c r="CS3514" t="str">
        <f>""</f>
        <v/>
      </c>
    </row>
    <row r="3515" spans="1:97" x14ac:dyDescent="0.25">
      <c r="A3515" t="s">
        <v>22634</v>
      </c>
      <c r="B3515" t="s">
        <v>5236</v>
      </c>
      <c r="C3515" t="s">
        <v>14069</v>
      </c>
      <c r="D3515" t="s">
        <v>5236</v>
      </c>
      <c r="E3515" t="s">
        <v>22635</v>
      </c>
      <c r="F3515" t="s">
        <v>108</v>
      </c>
      <c r="H3515" t="s">
        <v>22636</v>
      </c>
      <c r="I3515" t="s">
        <v>2874</v>
      </c>
      <c r="J3515" t="s">
        <v>111</v>
      </c>
      <c r="K3515" t="str">
        <f>"85302"</f>
        <v>85302</v>
      </c>
      <c r="L3515" t="s">
        <v>1312</v>
      </c>
      <c r="M3515" t="s">
        <v>22636</v>
      </c>
      <c r="N3515" t="s">
        <v>2874</v>
      </c>
      <c r="O3515" t="s">
        <v>111</v>
      </c>
      <c r="P3515" t="str">
        <f>"85302-6211"</f>
        <v>85302-6211</v>
      </c>
      <c r="Q3515" t="s">
        <v>113</v>
      </c>
      <c r="R3515" t="str">
        <f>"148-13-154"</f>
        <v>148-13-154</v>
      </c>
      <c r="S3515" t="s">
        <v>22637</v>
      </c>
      <c r="T3515" t="s">
        <v>22638</v>
      </c>
      <c r="U3515">
        <v>2239</v>
      </c>
      <c r="V3515">
        <v>0</v>
      </c>
      <c r="W3515">
        <v>3</v>
      </c>
      <c r="X3515">
        <v>1978</v>
      </c>
      <c r="Z3515">
        <v>1</v>
      </c>
      <c r="AA3515" t="s">
        <v>26</v>
      </c>
      <c r="AB3515">
        <v>0</v>
      </c>
      <c r="AC3515" t="s">
        <v>115</v>
      </c>
      <c r="AD3515">
        <v>2</v>
      </c>
      <c r="AE3515" t="s">
        <v>115</v>
      </c>
      <c r="AF3515">
        <v>0</v>
      </c>
      <c r="AG3515">
        <v>0</v>
      </c>
      <c r="AH3515" t="s">
        <v>116</v>
      </c>
      <c r="AI3515" s="1">
        <v>57430</v>
      </c>
      <c r="AJ3515" s="2">
        <v>0.2</v>
      </c>
      <c r="AK3515" s="1">
        <v>281138</v>
      </c>
      <c r="AL3515" t="s">
        <v>117</v>
      </c>
      <c r="AM3515" t="s">
        <v>191</v>
      </c>
      <c r="AN3515">
        <v>8512</v>
      </c>
      <c r="AO3515">
        <v>0.2</v>
      </c>
      <c r="AP3515">
        <v>1</v>
      </c>
      <c r="AR3515">
        <v>1</v>
      </c>
      <c r="AS3515" s="1">
        <v>19650</v>
      </c>
      <c r="AT3515" s="1">
        <v>3930</v>
      </c>
      <c r="AU3515" s="1">
        <v>15720</v>
      </c>
      <c r="AV3515">
        <v>80</v>
      </c>
      <c r="AX3515" s="1">
        <v>1836.42</v>
      </c>
      <c r="AY3515" t="s">
        <v>6006</v>
      </c>
      <c r="AZ3515" t="s">
        <v>6006</v>
      </c>
      <c r="BA3515" t="s">
        <v>6007</v>
      </c>
      <c r="BE3515" s="3">
        <v>41978</v>
      </c>
      <c r="BF3515" s="1">
        <v>219000</v>
      </c>
      <c r="BG3515" t="s">
        <v>22639</v>
      </c>
      <c r="BH3515" s="1">
        <v>97.77</v>
      </c>
      <c r="BI3515" s="1">
        <v>223708</v>
      </c>
      <c r="BJ3515" s="3">
        <v>41978</v>
      </c>
      <c r="BK3515" t="s">
        <v>123</v>
      </c>
      <c r="BL3515" t="str">
        <f>"2014.802082"</f>
        <v>2014.802082</v>
      </c>
      <c r="BM3515" t="s">
        <v>175</v>
      </c>
      <c r="BO3515" t="s">
        <v>22640</v>
      </c>
      <c r="BS3515">
        <v>30</v>
      </c>
      <c r="BW3515" t="str">
        <f>""</f>
        <v/>
      </c>
      <c r="CH3515" t="str">
        <f>""</f>
        <v/>
      </c>
      <c r="CS3515" t="str">
        <f>""</f>
        <v/>
      </c>
    </row>
    <row r="3516" spans="1:97" x14ac:dyDescent="0.25">
      <c r="A3516" t="s">
        <v>2611</v>
      </c>
      <c r="B3516" t="s">
        <v>1900</v>
      </c>
      <c r="C3516" t="s">
        <v>2281</v>
      </c>
      <c r="D3516" t="s">
        <v>1900</v>
      </c>
      <c r="E3516" t="s">
        <v>22641</v>
      </c>
      <c r="F3516" t="s">
        <v>108</v>
      </c>
      <c r="H3516" t="s">
        <v>22642</v>
      </c>
      <c r="I3516" t="s">
        <v>5863</v>
      </c>
      <c r="J3516" t="s">
        <v>111</v>
      </c>
      <c r="K3516" t="str">
        <f>"85375"</f>
        <v>85375</v>
      </c>
      <c r="L3516" t="s">
        <v>6438</v>
      </c>
      <c r="M3516" t="s">
        <v>22642</v>
      </c>
      <c r="N3516" t="s">
        <v>5863</v>
      </c>
      <c r="O3516" t="s">
        <v>111</v>
      </c>
      <c r="P3516" t="str">
        <f>"85375-2097"</f>
        <v>85375-2097</v>
      </c>
      <c r="Q3516" t="s">
        <v>113</v>
      </c>
      <c r="R3516" t="str">
        <f>"232-26-790"</f>
        <v>232-26-790</v>
      </c>
      <c r="S3516" t="s">
        <v>6439</v>
      </c>
      <c r="U3516">
        <v>2164</v>
      </c>
      <c r="V3516">
        <v>0</v>
      </c>
      <c r="W3516">
        <v>4</v>
      </c>
      <c r="X3516">
        <v>1995</v>
      </c>
      <c r="Z3516">
        <v>1</v>
      </c>
      <c r="AB3516">
        <v>0</v>
      </c>
      <c r="AC3516" t="s">
        <v>115</v>
      </c>
      <c r="AD3516">
        <v>2</v>
      </c>
      <c r="AE3516" t="s">
        <v>115</v>
      </c>
      <c r="AF3516">
        <v>0</v>
      </c>
      <c r="AG3516">
        <v>0</v>
      </c>
      <c r="AH3516" t="s">
        <v>116</v>
      </c>
      <c r="AI3516" s="1">
        <v>95807</v>
      </c>
      <c r="AJ3516" s="2">
        <v>0.28000000000000003</v>
      </c>
      <c r="AK3516" s="1">
        <v>340644</v>
      </c>
      <c r="AL3516" t="s">
        <v>117</v>
      </c>
      <c r="AM3516" t="s">
        <v>191</v>
      </c>
      <c r="AN3516">
        <v>8800</v>
      </c>
      <c r="AO3516">
        <v>0.2</v>
      </c>
      <c r="AP3516">
        <v>1</v>
      </c>
      <c r="AR3516">
        <v>1</v>
      </c>
      <c r="AS3516" s="1">
        <v>22600</v>
      </c>
      <c r="AT3516" s="1">
        <v>4520</v>
      </c>
      <c r="AU3516" s="1">
        <v>18080</v>
      </c>
      <c r="AV3516">
        <v>80</v>
      </c>
      <c r="AX3516" s="1">
        <v>2743.34</v>
      </c>
      <c r="AY3516" t="s">
        <v>5108</v>
      </c>
      <c r="AZ3516" t="s">
        <v>5108</v>
      </c>
      <c r="BA3516" t="s">
        <v>5109</v>
      </c>
      <c r="BE3516" s="3">
        <v>41904</v>
      </c>
      <c r="BF3516" s="1">
        <v>244600</v>
      </c>
      <c r="BG3516" t="s">
        <v>22643</v>
      </c>
      <c r="BH3516" s="1">
        <v>113.03</v>
      </c>
      <c r="BI3516" s="1">
        <v>244837</v>
      </c>
      <c r="BJ3516" s="3">
        <v>42307</v>
      </c>
      <c r="BK3516" t="s">
        <v>123</v>
      </c>
      <c r="BL3516" t="str">
        <f>"2015.783269"</f>
        <v>2015.783269</v>
      </c>
      <c r="BM3516" t="s">
        <v>131</v>
      </c>
      <c r="BO3516" t="s">
        <v>22644</v>
      </c>
      <c r="BS3516">
        <v>30</v>
      </c>
      <c r="BW3516" t="str">
        <f>""</f>
        <v/>
      </c>
      <c r="CH3516" t="str">
        <f>""</f>
        <v/>
      </c>
      <c r="CS3516" t="str">
        <f>""</f>
        <v/>
      </c>
    </row>
    <row r="3517" spans="1:97" x14ac:dyDescent="0.25">
      <c r="A3517" t="s">
        <v>305</v>
      </c>
      <c r="B3517" t="s">
        <v>2692</v>
      </c>
      <c r="E3517" t="s">
        <v>22645</v>
      </c>
      <c r="F3517" t="s">
        <v>108</v>
      </c>
      <c r="H3517" t="s">
        <v>22646</v>
      </c>
      <c r="I3517" t="s">
        <v>453</v>
      </c>
      <c r="J3517" t="s">
        <v>111</v>
      </c>
      <c r="K3517" t="str">
        <f>"85381"</f>
        <v>85381</v>
      </c>
      <c r="L3517" t="s">
        <v>5464</v>
      </c>
      <c r="M3517" t="s">
        <v>22646</v>
      </c>
      <c r="N3517" t="s">
        <v>453</v>
      </c>
      <c r="O3517" t="s">
        <v>111</v>
      </c>
      <c r="P3517" t="str">
        <f>"85381-5085"</f>
        <v>85381-5085</v>
      </c>
      <c r="Q3517" t="s">
        <v>113</v>
      </c>
      <c r="R3517" t="str">
        <f>"200-77-740"</f>
        <v>200-77-740</v>
      </c>
      <c r="S3517" t="s">
        <v>22647</v>
      </c>
      <c r="T3517" t="s">
        <v>6871</v>
      </c>
      <c r="U3517">
        <v>2060</v>
      </c>
      <c r="V3517">
        <v>0</v>
      </c>
      <c r="W3517">
        <v>2</v>
      </c>
      <c r="X3517">
        <v>1986</v>
      </c>
      <c r="Z3517">
        <v>1</v>
      </c>
      <c r="AA3517" t="s">
        <v>26</v>
      </c>
      <c r="AB3517">
        <v>0</v>
      </c>
      <c r="AC3517" t="s">
        <v>115</v>
      </c>
      <c r="AD3517">
        <v>2</v>
      </c>
      <c r="AE3517" t="s">
        <v>115</v>
      </c>
      <c r="AF3517">
        <v>0</v>
      </c>
      <c r="AG3517">
        <v>0</v>
      </c>
      <c r="AH3517" t="s">
        <v>116</v>
      </c>
      <c r="AI3517" s="1">
        <v>41378</v>
      </c>
      <c r="AJ3517" s="2">
        <v>0.14000000000000001</v>
      </c>
      <c r="AK3517" s="1">
        <v>293143</v>
      </c>
      <c r="AL3517" t="s">
        <v>117</v>
      </c>
      <c r="AM3517" t="s">
        <v>171</v>
      </c>
      <c r="AN3517">
        <v>8285</v>
      </c>
      <c r="AO3517">
        <v>0.19</v>
      </c>
      <c r="AP3517">
        <v>1</v>
      </c>
      <c r="AR3517">
        <v>1</v>
      </c>
      <c r="AS3517" s="1">
        <v>20730</v>
      </c>
      <c r="AT3517" s="1">
        <v>4140</v>
      </c>
      <c r="AU3517" s="1">
        <v>16590</v>
      </c>
      <c r="AV3517">
        <v>80.03</v>
      </c>
      <c r="AX3517" s="1">
        <v>1516.7</v>
      </c>
      <c r="AY3517" t="s">
        <v>3359</v>
      </c>
      <c r="AZ3517" t="s">
        <v>3359</v>
      </c>
      <c r="BA3517" t="s">
        <v>3360</v>
      </c>
      <c r="BE3517" s="3">
        <v>41927</v>
      </c>
      <c r="BF3517" s="1">
        <v>205000</v>
      </c>
      <c r="BG3517" t="s">
        <v>5716</v>
      </c>
      <c r="BH3517" s="1">
        <v>97.11</v>
      </c>
      <c r="BI3517" s="1">
        <v>211765</v>
      </c>
      <c r="BJ3517" s="3">
        <v>41927</v>
      </c>
      <c r="BK3517" t="s">
        <v>123</v>
      </c>
      <c r="BL3517" t="str">
        <f>"2014.682121"</f>
        <v>2014.682121</v>
      </c>
      <c r="BM3517" t="s">
        <v>724</v>
      </c>
      <c r="BN3517" t="s">
        <v>5737</v>
      </c>
      <c r="BO3517" t="s">
        <v>22648</v>
      </c>
      <c r="BP3517" t="s">
        <v>22649</v>
      </c>
      <c r="BS3517">
        <v>30</v>
      </c>
      <c r="BT3517" s="1">
        <v>40000</v>
      </c>
      <c r="BU3517" s="3">
        <v>43502</v>
      </c>
      <c r="BV3517" t="s">
        <v>134</v>
      </c>
      <c r="BW3517" t="str">
        <f>"2019.83156"</f>
        <v>2019.83156</v>
      </c>
      <c r="BX3517" t="s">
        <v>13553</v>
      </c>
      <c r="BY3517" t="s">
        <v>13554</v>
      </c>
      <c r="BZ3517" t="s">
        <v>22650</v>
      </c>
      <c r="CC3517" t="s">
        <v>139</v>
      </c>
      <c r="CH3517" t="str">
        <f>""</f>
        <v/>
      </c>
      <c r="CS3517" t="str">
        <f>""</f>
        <v/>
      </c>
    </row>
    <row r="3518" spans="1:97" x14ac:dyDescent="0.25">
      <c r="A3518" t="s">
        <v>1850</v>
      </c>
      <c r="B3518" t="s">
        <v>22651</v>
      </c>
      <c r="C3518" t="s">
        <v>4026</v>
      </c>
      <c r="D3518" t="s">
        <v>22651</v>
      </c>
      <c r="E3518" t="s">
        <v>22652</v>
      </c>
      <c r="F3518" t="s">
        <v>108</v>
      </c>
      <c r="H3518" t="s">
        <v>22653</v>
      </c>
      <c r="I3518" t="s">
        <v>632</v>
      </c>
      <c r="J3518" t="s">
        <v>111</v>
      </c>
      <c r="K3518" t="str">
        <f>"85379"</f>
        <v>85379</v>
      </c>
      <c r="L3518" t="s">
        <v>454</v>
      </c>
      <c r="M3518" t="s">
        <v>22653</v>
      </c>
      <c r="N3518" t="s">
        <v>632</v>
      </c>
      <c r="O3518" t="s">
        <v>111</v>
      </c>
      <c r="P3518" t="str">
        <f>"85379-1014"</f>
        <v>85379-1014</v>
      </c>
      <c r="Q3518" t="s">
        <v>113</v>
      </c>
      <c r="R3518" t="str">
        <f>"501-46-506"</f>
        <v>501-46-506</v>
      </c>
      <c r="S3518" t="s">
        <v>5319</v>
      </c>
      <c r="U3518">
        <v>2155</v>
      </c>
      <c r="V3518">
        <v>0</v>
      </c>
      <c r="W3518">
        <v>3</v>
      </c>
      <c r="X3518">
        <v>2015</v>
      </c>
      <c r="Z3518">
        <v>1</v>
      </c>
      <c r="AA3518" t="s">
        <v>26</v>
      </c>
      <c r="AB3518">
        <v>0</v>
      </c>
      <c r="AC3518" t="s">
        <v>115</v>
      </c>
      <c r="AD3518">
        <v>2</v>
      </c>
      <c r="AE3518" t="s">
        <v>115</v>
      </c>
      <c r="AF3518">
        <v>0</v>
      </c>
      <c r="AG3518">
        <v>0</v>
      </c>
      <c r="AH3518" t="s">
        <v>116</v>
      </c>
      <c r="AI3518" s="1">
        <v>72616</v>
      </c>
      <c r="AJ3518" s="2">
        <v>0.23</v>
      </c>
      <c r="AK3518" s="1">
        <v>320840</v>
      </c>
      <c r="AL3518" t="s">
        <v>117</v>
      </c>
      <c r="AM3518" t="s">
        <v>118</v>
      </c>
      <c r="AN3518">
        <v>6670</v>
      </c>
      <c r="AO3518">
        <v>0.15</v>
      </c>
      <c r="AR3518">
        <v>1</v>
      </c>
      <c r="AS3518" s="1">
        <v>22610</v>
      </c>
      <c r="AT3518" s="1">
        <v>4520</v>
      </c>
      <c r="AU3518" s="1">
        <v>18090</v>
      </c>
      <c r="AV3518">
        <v>80.010000000000005</v>
      </c>
      <c r="AX3518" s="1">
        <v>1751.44</v>
      </c>
      <c r="AY3518" t="s">
        <v>5060</v>
      </c>
      <c r="AZ3518" t="s">
        <v>5060</v>
      </c>
      <c r="BA3518" t="s">
        <v>5061</v>
      </c>
      <c r="BE3518" s="3">
        <v>42454</v>
      </c>
      <c r="BF3518" s="1">
        <v>258401</v>
      </c>
      <c r="BG3518" t="s">
        <v>158</v>
      </c>
      <c r="BH3518" s="1">
        <v>119.91</v>
      </c>
      <c r="BI3518" s="1">
        <v>248224</v>
      </c>
      <c r="BJ3518" s="3">
        <v>42629</v>
      </c>
      <c r="BK3518" t="s">
        <v>123</v>
      </c>
      <c r="BL3518" t="str">
        <f>"2016.672947"</f>
        <v>2016.672947</v>
      </c>
      <c r="BM3518" t="s">
        <v>724</v>
      </c>
      <c r="BO3518" t="s">
        <v>22654</v>
      </c>
      <c r="BS3518">
        <v>30</v>
      </c>
      <c r="BW3518" t="str">
        <f>""</f>
        <v/>
      </c>
      <c r="CH3518" t="str">
        <f>""</f>
        <v/>
      </c>
      <c r="CS3518" t="str">
        <f>""</f>
        <v/>
      </c>
    </row>
    <row r="3519" spans="1:97" x14ac:dyDescent="0.25">
      <c r="B3519" t="s">
        <v>22655</v>
      </c>
      <c r="E3519" t="s">
        <v>22656</v>
      </c>
      <c r="F3519" t="s">
        <v>108</v>
      </c>
      <c r="H3519" t="s">
        <v>22657</v>
      </c>
      <c r="I3519" t="s">
        <v>499</v>
      </c>
      <c r="J3519" t="s">
        <v>111</v>
      </c>
      <c r="K3519" t="str">
        <f>"85338"</f>
        <v>85338</v>
      </c>
      <c r="L3519" t="s">
        <v>6481</v>
      </c>
      <c r="M3519" t="s">
        <v>22657</v>
      </c>
      <c r="N3519" t="s">
        <v>499</v>
      </c>
      <c r="O3519" t="s">
        <v>111</v>
      </c>
      <c r="P3519" t="str">
        <f>"85338-4534"</f>
        <v>85338-4534</v>
      </c>
      <c r="Q3519" t="s">
        <v>113</v>
      </c>
      <c r="R3519" t="str">
        <f>"500-96-587"</f>
        <v>500-96-587</v>
      </c>
      <c r="S3519" t="s">
        <v>11223</v>
      </c>
      <c r="U3519">
        <v>1900</v>
      </c>
      <c r="V3519">
        <v>0</v>
      </c>
      <c r="W3519">
        <v>4</v>
      </c>
      <c r="X3519">
        <v>2016</v>
      </c>
      <c r="Z3519">
        <v>1</v>
      </c>
      <c r="AB3519">
        <v>0</v>
      </c>
      <c r="AC3519" t="s">
        <v>115</v>
      </c>
      <c r="AD3519">
        <v>3</v>
      </c>
      <c r="AE3519" t="s">
        <v>115</v>
      </c>
      <c r="AF3519">
        <v>0</v>
      </c>
      <c r="AG3519">
        <v>0</v>
      </c>
      <c r="AH3519" t="s">
        <v>116</v>
      </c>
      <c r="AI3519" s="1">
        <v>47235</v>
      </c>
      <c r="AJ3519" s="2">
        <v>0.17</v>
      </c>
      <c r="AK3519" s="1">
        <v>275735</v>
      </c>
      <c r="AL3519" t="s">
        <v>117</v>
      </c>
      <c r="AM3519" t="s">
        <v>118</v>
      </c>
      <c r="AN3519">
        <v>6325</v>
      </c>
      <c r="AO3519">
        <v>0.14000000000000001</v>
      </c>
      <c r="AR3519">
        <v>1</v>
      </c>
      <c r="AS3519" s="1">
        <v>18880</v>
      </c>
      <c r="AT3519" s="1">
        <v>3770</v>
      </c>
      <c r="AU3519" s="1">
        <v>15110</v>
      </c>
      <c r="AV3519">
        <v>80.03</v>
      </c>
      <c r="AX3519" s="1">
        <v>1597.42</v>
      </c>
      <c r="AY3519" t="s">
        <v>6319</v>
      </c>
      <c r="AZ3519" t="s">
        <v>6319</v>
      </c>
      <c r="BA3519" t="s">
        <v>218</v>
      </c>
      <c r="BB3519" s="3">
        <v>42821</v>
      </c>
      <c r="BD3519" t="s">
        <v>480</v>
      </c>
      <c r="BE3519" s="3">
        <v>42524</v>
      </c>
      <c r="BF3519" s="1">
        <v>230496</v>
      </c>
      <c r="BG3519" t="s">
        <v>158</v>
      </c>
      <c r="BH3519" s="1">
        <v>121.31</v>
      </c>
      <c r="BI3519" s="1">
        <v>228500</v>
      </c>
      <c r="BJ3519" s="3">
        <v>42524</v>
      </c>
      <c r="BK3519" t="s">
        <v>123</v>
      </c>
      <c r="BL3519" t="str">
        <f>"2016.387062"</f>
        <v>2016.387062</v>
      </c>
      <c r="BM3519" t="s">
        <v>594</v>
      </c>
      <c r="BN3519" t="s">
        <v>595</v>
      </c>
      <c r="BO3519" t="s">
        <v>22658</v>
      </c>
      <c r="BS3519">
        <v>30</v>
      </c>
      <c r="BW3519" t="str">
        <f>""</f>
        <v/>
      </c>
      <c r="CH3519" t="str">
        <f>""</f>
        <v/>
      </c>
      <c r="CS3519" t="str">
        <f>""</f>
        <v/>
      </c>
    </row>
    <row r="3520" spans="1:97" x14ac:dyDescent="0.25">
      <c r="A3520" t="s">
        <v>894</v>
      </c>
      <c r="B3520" t="s">
        <v>745</v>
      </c>
      <c r="C3520" t="s">
        <v>1995</v>
      </c>
      <c r="D3520" t="s">
        <v>745</v>
      </c>
      <c r="E3520" t="s">
        <v>22659</v>
      </c>
      <c r="F3520" t="s">
        <v>108</v>
      </c>
      <c r="H3520" t="s">
        <v>22660</v>
      </c>
      <c r="I3520" t="s">
        <v>1936</v>
      </c>
      <c r="J3520" t="s">
        <v>111</v>
      </c>
      <c r="K3520" t="str">
        <f>"85254"</f>
        <v>85254</v>
      </c>
      <c r="L3520" t="s">
        <v>6983</v>
      </c>
      <c r="M3520" t="s">
        <v>22660</v>
      </c>
      <c r="N3520" t="s">
        <v>1936</v>
      </c>
      <c r="O3520" t="s">
        <v>111</v>
      </c>
      <c r="P3520" t="str">
        <f>"85254-4111"</f>
        <v>85254-4111</v>
      </c>
      <c r="Q3520" t="s">
        <v>113</v>
      </c>
      <c r="R3520" t="str">
        <f>"167-22-133"</f>
        <v>167-22-133</v>
      </c>
      <c r="S3520" t="s">
        <v>22661</v>
      </c>
      <c r="U3520">
        <v>2459</v>
      </c>
      <c r="V3520">
        <v>0</v>
      </c>
      <c r="W3520">
        <v>2</v>
      </c>
      <c r="X3520">
        <v>1976</v>
      </c>
      <c r="Z3520">
        <v>1</v>
      </c>
      <c r="AA3520" t="s">
        <v>26</v>
      </c>
      <c r="AB3520">
        <v>0</v>
      </c>
      <c r="AC3520" t="s">
        <v>115</v>
      </c>
      <c r="AD3520">
        <v>2</v>
      </c>
      <c r="AE3520" t="s">
        <v>115</v>
      </c>
      <c r="AF3520">
        <v>0</v>
      </c>
      <c r="AG3520">
        <v>0</v>
      </c>
      <c r="AH3520" t="s">
        <v>116</v>
      </c>
      <c r="AI3520" s="1">
        <v>82141</v>
      </c>
      <c r="AJ3520" s="2">
        <v>0.16</v>
      </c>
      <c r="AK3520" s="1">
        <v>519543</v>
      </c>
      <c r="AL3520" t="s">
        <v>117</v>
      </c>
      <c r="AM3520" t="s">
        <v>1302</v>
      </c>
      <c r="AN3520">
        <v>10002</v>
      </c>
      <c r="AO3520">
        <v>0.23</v>
      </c>
      <c r="AP3520">
        <v>1</v>
      </c>
      <c r="AR3520">
        <v>1</v>
      </c>
      <c r="AS3520" s="1">
        <v>37950</v>
      </c>
      <c r="AT3520" s="1">
        <v>7590</v>
      </c>
      <c r="AU3520" s="1">
        <v>30360</v>
      </c>
      <c r="AV3520">
        <v>80</v>
      </c>
      <c r="AX3520" s="1">
        <v>3079.22</v>
      </c>
      <c r="AY3520" t="s">
        <v>9010</v>
      </c>
      <c r="AZ3520" t="s">
        <v>7739</v>
      </c>
      <c r="BA3520" t="s">
        <v>6302</v>
      </c>
      <c r="BE3520" s="3">
        <v>41766</v>
      </c>
      <c r="BF3520" s="1">
        <v>360000</v>
      </c>
      <c r="BG3520" t="s">
        <v>22662</v>
      </c>
      <c r="BH3520" s="1">
        <v>146.4</v>
      </c>
      <c r="BI3520" s="1">
        <v>382402</v>
      </c>
      <c r="BJ3520" s="3">
        <v>42075</v>
      </c>
      <c r="BK3520" t="s">
        <v>123</v>
      </c>
      <c r="BL3520" t="str">
        <f>"2015.167450"</f>
        <v>2015.167450</v>
      </c>
      <c r="BM3520" t="s">
        <v>2224</v>
      </c>
      <c r="BN3520" t="s">
        <v>22663</v>
      </c>
      <c r="BO3520" t="s">
        <v>22664</v>
      </c>
      <c r="BS3520">
        <v>30</v>
      </c>
      <c r="BT3520" s="1">
        <v>55000</v>
      </c>
      <c r="BU3520" s="3">
        <v>43286</v>
      </c>
      <c r="BW3520" t="str">
        <f>"2018.511087"</f>
        <v>2018.511087</v>
      </c>
      <c r="BX3520" t="s">
        <v>5065</v>
      </c>
      <c r="BY3520" t="s">
        <v>5066</v>
      </c>
      <c r="BZ3520" t="s">
        <v>22665</v>
      </c>
      <c r="CA3520" t="s">
        <v>22666</v>
      </c>
      <c r="CC3520" t="s">
        <v>346</v>
      </c>
      <c r="CH3520" t="str">
        <f>""</f>
        <v/>
      </c>
      <c r="CS3520" t="str">
        <f>""</f>
        <v/>
      </c>
    </row>
    <row r="3521" spans="1:97" x14ac:dyDescent="0.25">
      <c r="A3521" t="s">
        <v>1009</v>
      </c>
      <c r="B3521" t="s">
        <v>22667</v>
      </c>
      <c r="E3521" t="s">
        <v>22668</v>
      </c>
      <c r="F3521" t="s">
        <v>108</v>
      </c>
      <c r="H3521" t="s">
        <v>22669</v>
      </c>
      <c r="I3521" t="s">
        <v>110</v>
      </c>
      <c r="J3521" t="s">
        <v>111</v>
      </c>
      <c r="K3521" t="str">
        <f>"85224"</f>
        <v>85224</v>
      </c>
      <c r="L3521" t="s">
        <v>6333</v>
      </c>
      <c r="M3521" t="s">
        <v>22669</v>
      </c>
      <c r="N3521" t="s">
        <v>110</v>
      </c>
      <c r="O3521" t="s">
        <v>111</v>
      </c>
      <c r="P3521" t="str">
        <f>"85224-2354"</f>
        <v>85224-2354</v>
      </c>
      <c r="Q3521" t="s">
        <v>113</v>
      </c>
      <c r="R3521" t="str">
        <f>"302-25-594"</f>
        <v>302-25-594</v>
      </c>
      <c r="S3521" t="s">
        <v>22670</v>
      </c>
      <c r="T3521" t="s">
        <v>22671</v>
      </c>
      <c r="U3521">
        <v>1991</v>
      </c>
      <c r="V3521">
        <v>0</v>
      </c>
      <c r="W3521">
        <v>2</v>
      </c>
      <c r="X3521">
        <v>1979</v>
      </c>
      <c r="Z3521">
        <v>1</v>
      </c>
      <c r="AB3521">
        <v>0</v>
      </c>
      <c r="AC3521" t="s">
        <v>115</v>
      </c>
      <c r="AD3521">
        <v>2</v>
      </c>
      <c r="AE3521" t="s">
        <v>115</v>
      </c>
      <c r="AF3521">
        <v>0</v>
      </c>
      <c r="AG3521">
        <v>0</v>
      </c>
      <c r="AH3521" t="s">
        <v>116</v>
      </c>
      <c r="AI3521" s="1">
        <v>-131553</v>
      </c>
      <c r="AJ3521" s="2">
        <v>-0.43</v>
      </c>
      <c r="AK3521" s="1">
        <v>308925</v>
      </c>
      <c r="AL3521" t="s">
        <v>117</v>
      </c>
      <c r="AM3521" t="s">
        <v>5077</v>
      </c>
      <c r="AN3521">
        <v>8122</v>
      </c>
      <c r="AO3521">
        <v>0.19</v>
      </c>
      <c r="AP3521">
        <v>1</v>
      </c>
      <c r="AR3521">
        <v>1</v>
      </c>
      <c r="AS3521" s="1">
        <v>21520</v>
      </c>
      <c r="AT3521" s="1">
        <v>4300</v>
      </c>
      <c r="AU3521" s="1">
        <v>17220</v>
      </c>
      <c r="AV3521">
        <v>80.02</v>
      </c>
      <c r="AX3521" s="1">
        <v>1521.74</v>
      </c>
      <c r="AY3521" t="s">
        <v>6879</v>
      </c>
      <c r="AZ3521" t="s">
        <v>6879</v>
      </c>
      <c r="BA3521" t="s">
        <v>5311</v>
      </c>
      <c r="BB3521" s="3">
        <v>42376</v>
      </c>
      <c r="BD3521" t="s">
        <v>842</v>
      </c>
      <c r="BE3521" s="3">
        <v>42328</v>
      </c>
      <c r="BF3521" s="1">
        <v>195000</v>
      </c>
      <c r="BG3521" t="s">
        <v>22672</v>
      </c>
      <c r="BH3521" s="1">
        <v>97.94</v>
      </c>
      <c r="BI3521" s="1">
        <v>201435</v>
      </c>
      <c r="BJ3521" s="3">
        <v>42328</v>
      </c>
      <c r="BK3521" t="s">
        <v>123</v>
      </c>
      <c r="BL3521" t="str">
        <f>"2015.831508"</f>
        <v>2015.831508</v>
      </c>
      <c r="BM3521" t="s">
        <v>594</v>
      </c>
      <c r="BN3521" t="s">
        <v>595</v>
      </c>
      <c r="BO3521" t="s">
        <v>22673</v>
      </c>
      <c r="BS3521">
        <v>30</v>
      </c>
      <c r="BT3521" s="1">
        <v>37608</v>
      </c>
      <c r="BU3521" s="3">
        <v>42367</v>
      </c>
      <c r="BV3521" t="s">
        <v>22674</v>
      </c>
      <c r="BW3521" t="str">
        <f>"2015.913711"</f>
        <v>2015.913711</v>
      </c>
      <c r="BX3521" t="s">
        <v>22675</v>
      </c>
      <c r="BY3521" t="s">
        <v>22676</v>
      </c>
      <c r="BZ3521" t="s">
        <v>22677</v>
      </c>
      <c r="CD3521">
        <v>10</v>
      </c>
      <c r="CE3521" s="1">
        <v>201435</v>
      </c>
      <c r="CF3521" s="3">
        <v>42376</v>
      </c>
      <c r="CG3521" t="s">
        <v>123</v>
      </c>
      <c r="CH3521" t="str">
        <f>"2016.9540"</f>
        <v>2016.9540</v>
      </c>
      <c r="CI3521" t="s">
        <v>594</v>
      </c>
      <c r="CJ3521" t="s">
        <v>595</v>
      </c>
      <c r="CK3521" t="s">
        <v>22678</v>
      </c>
      <c r="CO3521">
        <v>30</v>
      </c>
      <c r="CS3521" t="str">
        <f>""</f>
        <v/>
      </c>
    </row>
    <row r="3522" spans="1:97" x14ac:dyDescent="0.25">
      <c r="A3522" t="s">
        <v>1388</v>
      </c>
      <c r="B3522" t="s">
        <v>22679</v>
      </c>
      <c r="C3522" t="s">
        <v>1119</v>
      </c>
      <c r="D3522" t="s">
        <v>22679</v>
      </c>
      <c r="E3522" t="s">
        <v>22680</v>
      </c>
      <c r="F3522" t="s">
        <v>108</v>
      </c>
      <c r="H3522" t="s">
        <v>22681</v>
      </c>
      <c r="I3522" t="s">
        <v>188</v>
      </c>
      <c r="J3522" t="s">
        <v>111</v>
      </c>
      <c r="K3522" t="str">
        <f>"85142"</f>
        <v>85142</v>
      </c>
      <c r="L3522" t="s">
        <v>1789</v>
      </c>
      <c r="M3522" t="s">
        <v>22681</v>
      </c>
      <c r="N3522" t="s">
        <v>188</v>
      </c>
      <c r="O3522" t="s">
        <v>111</v>
      </c>
      <c r="P3522" t="str">
        <f>"85142-4014"</f>
        <v>85142-4014</v>
      </c>
      <c r="Q3522" t="s">
        <v>113</v>
      </c>
      <c r="R3522" t="str">
        <f>"304-90-385-D"</f>
        <v>304-90-385-D</v>
      </c>
      <c r="U3522">
        <v>3222</v>
      </c>
      <c r="V3522">
        <v>0</v>
      </c>
      <c r="W3522">
        <v>4</v>
      </c>
      <c r="X3522">
        <v>2006</v>
      </c>
      <c r="Z3522">
        <v>1</v>
      </c>
      <c r="AB3522">
        <v>0</v>
      </c>
      <c r="AC3522" t="s">
        <v>115</v>
      </c>
      <c r="AD3522">
        <v>2</v>
      </c>
      <c r="AE3522" t="s">
        <v>115</v>
      </c>
      <c r="AF3522">
        <v>0</v>
      </c>
      <c r="AG3522">
        <v>0</v>
      </c>
      <c r="AH3522" t="s">
        <v>116</v>
      </c>
      <c r="AI3522" s="1">
        <v>197122</v>
      </c>
      <c r="AJ3522" s="2">
        <v>0.31</v>
      </c>
      <c r="AK3522" s="1">
        <v>635630</v>
      </c>
      <c r="AL3522" t="s">
        <v>117</v>
      </c>
      <c r="AM3522" t="s">
        <v>376</v>
      </c>
      <c r="AN3522">
        <v>62814</v>
      </c>
      <c r="AO3522">
        <v>1.44</v>
      </c>
      <c r="AR3522">
        <v>1</v>
      </c>
      <c r="AS3522" s="1">
        <v>49700</v>
      </c>
      <c r="AT3522" s="1">
        <v>9940</v>
      </c>
      <c r="AU3522" s="1">
        <v>39760</v>
      </c>
      <c r="AV3522">
        <v>80</v>
      </c>
      <c r="AX3522" s="1">
        <v>3919.24</v>
      </c>
      <c r="AY3522" t="s">
        <v>1074</v>
      </c>
      <c r="AZ3522" t="s">
        <v>193</v>
      </c>
      <c r="BA3522" t="s">
        <v>194</v>
      </c>
      <c r="BE3522" s="3">
        <v>42208</v>
      </c>
      <c r="BF3522" s="1">
        <v>430000</v>
      </c>
      <c r="BG3522" t="s">
        <v>14525</v>
      </c>
      <c r="BH3522" s="1">
        <v>133.46</v>
      </c>
      <c r="BI3522" s="1">
        <v>438508</v>
      </c>
      <c r="BJ3522" s="3">
        <v>42208</v>
      </c>
      <c r="BK3522" t="s">
        <v>123</v>
      </c>
      <c r="BL3522" t="str">
        <f>"2015.529411"</f>
        <v>2015.529411</v>
      </c>
      <c r="BM3522" t="s">
        <v>2489</v>
      </c>
      <c r="BO3522" t="s">
        <v>22682</v>
      </c>
      <c r="BS3522">
        <v>30</v>
      </c>
      <c r="BW3522" t="str">
        <f>""</f>
        <v/>
      </c>
      <c r="CH3522" t="str">
        <f>""</f>
        <v/>
      </c>
      <c r="CS3522" t="str">
        <f>""</f>
        <v/>
      </c>
    </row>
    <row r="3523" spans="1:97" x14ac:dyDescent="0.25">
      <c r="A3523" t="s">
        <v>4854</v>
      </c>
      <c r="B3523" t="s">
        <v>488</v>
      </c>
      <c r="E3523" t="s">
        <v>22683</v>
      </c>
      <c r="F3523" t="s">
        <v>108</v>
      </c>
      <c r="H3523" t="s">
        <v>22684</v>
      </c>
      <c r="I3523" t="s">
        <v>144</v>
      </c>
      <c r="J3523" t="s">
        <v>111</v>
      </c>
      <c r="K3523" t="str">
        <f>"85396"</f>
        <v>85396</v>
      </c>
      <c r="L3523" t="s">
        <v>1789</v>
      </c>
      <c r="M3523" t="s">
        <v>22684</v>
      </c>
      <c r="N3523" t="s">
        <v>144</v>
      </c>
      <c r="O3523" t="s">
        <v>111</v>
      </c>
      <c r="P3523" t="str">
        <f>"85396-7630"</f>
        <v>85396-7630</v>
      </c>
      <c r="Q3523" t="s">
        <v>113</v>
      </c>
      <c r="R3523" t="str">
        <f>"502-78-685"</f>
        <v>502-78-685</v>
      </c>
      <c r="S3523" t="s">
        <v>22685</v>
      </c>
      <c r="U3523">
        <v>2474</v>
      </c>
      <c r="V3523">
        <v>0</v>
      </c>
      <c r="W3523">
        <v>4</v>
      </c>
      <c r="X3523">
        <v>2004</v>
      </c>
      <c r="Z3523">
        <v>2</v>
      </c>
      <c r="AB3523">
        <v>0</v>
      </c>
      <c r="AC3523" t="s">
        <v>115</v>
      </c>
      <c r="AD3523">
        <v>2</v>
      </c>
      <c r="AE3523" t="s">
        <v>115</v>
      </c>
      <c r="AF3523">
        <v>0</v>
      </c>
      <c r="AG3523">
        <v>0</v>
      </c>
      <c r="AH3523" t="s">
        <v>116</v>
      </c>
      <c r="AI3523" s="1">
        <v>46901</v>
      </c>
      <c r="AJ3523" s="2">
        <v>0.15</v>
      </c>
      <c r="AK3523" s="1">
        <v>321901</v>
      </c>
      <c r="AL3523" t="s">
        <v>117</v>
      </c>
      <c r="AM3523" t="s">
        <v>118</v>
      </c>
      <c r="AN3523">
        <v>7423</v>
      </c>
      <c r="AO3523">
        <v>0.17</v>
      </c>
      <c r="AP3523">
        <v>1</v>
      </c>
      <c r="AR3523">
        <v>1</v>
      </c>
      <c r="AS3523" s="1">
        <v>25330</v>
      </c>
      <c r="AT3523" s="1">
        <v>5060</v>
      </c>
      <c r="AU3523" s="1">
        <v>20270</v>
      </c>
      <c r="AV3523">
        <v>80.02</v>
      </c>
      <c r="AX3523" s="1">
        <v>3143.88</v>
      </c>
      <c r="AY3523" t="s">
        <v>543</v>
      </c>
      <c r="AZ3523" t="s">
        <v>504</v>
      </c>
      <c r="BA3523" t="s">
        <v>218</v>
      </c>
      <c r="BE3523" s="3">
        <v>41922</v>
      </c>
      <c r="BF3523" s="1">
        <v>275000</v>
      </c>
      <c r="BG3523" t="s">
        <v>22686</v>
      </c>
      <c r="BH3523" s="1">
        <v>111.16</v>
      </c>
      <c r="BI3523" s="1">
        <v>275000</v>
      </c>
      <c r="BJ3523" s="3">
        <v>41922</v>
      </c>
      <c r="BK3523" t="s">
        <v>123</v>
      </c>
      <c r="BL3523" t="str">
        <f>"2014.674187"</f>
        <v>2014.674187</v>
      </c>
      <c r="BM3523" t="s">
        <v>475</v>
      </c>
      <c r="BO3523" t="s">
        <v>22687</v>
      </c>
      <c r="BS3523">
        <v>30</v>
      </c>
      <c r="BW3523" t="str">
        <f>""</f>
        <v/>
      </c>
      <c r="CH3523" t="str">
        <f>""</f>
        <v/>
      </c>
      <c r="CS3523" t="str">
        <f>""</f>
        <v/>
      </c>
    </row>
    <row r="3524" spans="1:97" x14ac:dyDescent="0.25">
      <c r="B3524" t="s">
        <v>22688</v>
      </c>
      <c r="E3524" t="s">
        <v>22689</v>
      </c>
      <c r="F3524" t="s">
        <v>108</v>
      </c>
      <c r="H3524" t="s">
        <v>22690</v>
      </c>
      <c r="I3524" t="s">
        <v>390</v>
      </c>
      <c r="J3524" t="s">
        <v>111</v>
      </c>
      <c r="K3524" t="str">
        <f>"85086"</f>
        <v>85086</v>
      </c>
      <c r="L3524" t="s">
        <v>6035</v>
      </c>
      <c r="M3524" t="s">
        <v>22690</v>
      </c>
      <c r="N3524" t="s">
        <v>390</v>
      </c>
      <c r="O3524" t="s">
        <v>111</v>
      </c>
      <c r="P3524" t="str">
        <f>"85086-9303"</f>
        <v>85086-9303</v>
      </c>
      <c r="Q3524" t="s">
        <v>113</v>
      </c>
      <c r="R3524" t="str">
        <f>"211-68-153"</f>
        <v>211-68-153</v>
      </c>
      <c r="U3524">
        <v>2747</v>
      </c>
      <c r="V3524">
        <v>0</v>
      </c>
      <c r="W3524">
        <v>4</v>
      </c>
      <c r="X3524">
        <v>2005</v>
      </c>
      <c r="Z3524">
        <v>1</v>
      </c>
      <c r="AB3524">
        <v>0</v>
      </c>
      <c r="AC3524" t="s">
        <v>115</v>
      </c>
      <c r="AD3524">
        <v>3</v>
      </c>
      <c r="AE3524" t="s">
        <v>115</v>
      </c>
      <c r="AF3524">
        <v>0</v>
      </c>
      <c r="AG3524">
        <v>0</v>
      </c>
      <c r="AH3524" t="s">
        <v>116</v>
      </c>
      <c r="AI3524" s="1">
        <v>-339040</v>
      </c>
      <c r="AJ3524" s="2">
        <v>-3.9</v>
      </c>
      <c r="AK3524" s="1">
        <v>86925</v>
      </c>
      <c r="AL3524" t="s">
        <v>117</v>
      </c>
      <c r="AM3524" t="s">
        <v>376</v>
      </c>
      <c r="AN3524">
        <v>51427</v>
      </c>
      <c r="AO3524">
        <v>1.18</v>
      </c>
      <c r="AR3524">
        <v>1</v>
      </c>
      <c r="AS3524" s="1">
        <v>39230</v>
      </c>
      <c r="AT3524" s="1">
        <v>7840</v>
      </c>
      <c r="AU3524" s="1">
        <v>31390</v>
      </c>
      <c r="AV3524">
        <v>80.02</v>
      </c>
      <c r="AX3524" s="1">
        <v>4009.62</v>
      </c>
      <c r="AY3524" t="s">
        <v>1587</v>
      </c>
      <c r="AZ3524" t="s">
        <v>1587</v>
      </c>
      <c r="BA3524" t="s">
        <v>378</v>
      </c>
      <c r="BB3524" s="3">
        <v>42047</v>
      </c>
      <c r="BD3524" t="s">
        <v>240</v>
      </c>
      <c r="BE3524" s="3">
        <v>41892</v>
      </c>
      <c r="BF3524" s="1">
        <v>417000</v>
      </c>
      <c r="BG3524" t="s">
        <v>22691</v>
      </c>
      <c r="BH3524" s="1">
        <v>151.80000000000001</v>
      </c>
      <c r="BI3524" s="1">
        <v>425965</v>
      </c>
      <c r="BJ3524" s="3">
        <v>41892</v>
      </c>
      <c r="BK3524" t="s">
        <v>123</v>
      </c>
      <c r="BL3524" t="str">
        <f>"2014.598584"</f>
        <v>2014.598584</v>
      </c>
      <c r="BM3524" t="s">
        <v>1033</v>
      </c>
      <c r="BO3524" t="s">
        <v>22692</v>
      </c>
      <c r="BS3524">
        <v>30</v>
      </c>
      <c r="BW3524" t="str">
        <f>""</f>
        <v/>
      </c>
      <c r="CH3524" t="str">
        <f>""</f>
        <v/>
      </c>
      <c r="CS3524" t="str">
        <f>""</f>
        <v/>
      </c>
    </row>
    <row r="3525" spans="1:97" x14ac:dyDescent="0.25">
      <c r="A3525" t="s">
        <v>177</v>
      </c>
      <c r="B3525" t="s">
        <v>1552</v>
      </c>
      <c r="C3525" t="s">
        <v>1047</v>
      </c>
      <c r="D3525" t="s">
        <v>1552</v>
      </c>
      <c r="E3525" t="s">
        <v>22693</v>
      </c>
      <c r="F3525" t="s">
        <v>108</v>
      </c>
      <c r="H3525" t="s">
        <v>22694</v>
      </c>
      <c r="I3525" t="s">
        <v>390</v>
      </c>
      <c r="J3525" t="s">
        <v>111</v>
      </c>
      <c r="K3525" t="str">
        <f>"85044"</f>
        <v>85044</v>
      </c>
      <c r="L3525" t="s">
        <v>8034</v>
      </c>
      <c r="M3525" t="s">
        <v>22694</v>
      </c>
      <c r="N3525" t="s">
        <v>390</v>
      </c>
      <c r="O3525" t="s">
        <v>111</v>
      </c>
      <c r="P3525" t="str">
        <f>"85044-1916"</f>
        <v>85044-1916</v>
      </c>
      <c r="Q3525" t="s">
        <v>113</v>
      </c>
      <c r="R3525" t="str">
        <f>"306-22-052"</f>
        <v>306-22-052</v>
      </c>
      <c r="S3525" t="s">
        <v>22108</v>
      </c>
      <c r="T3525" t="s">
        <v>22109</v>
      </c>
      <c r="U3525">
        <v>1716</v>
      </c>
      <c r="V3525">
        <v>0</v>
      </c>
      <c r="W3525">
        <v>2</v>
      </c>
      <c r="X3525">
        <v>1978</v>
      </c>
      <c r="Z3525">
        <v>1</v>
      </c>
      <c r="AB3525">
        <v>0</v>
      </c>
      <c r="AC3525" t="s">
        <v>115</v>
      </c>
      <c r="AD3525">
        <v>2</v>
      </c>
      <c r="AE3525" t="s">
        <v>115</v>
      </c>
      <c r="AF3525">
        <v>0</v>
      </c>
      <c r="AG3525">
        <v>0</v>
      </c>
      <c r="AH3525" t="s">
        <v>116</v>
      </c>
      <c r="AI3525" s="1">
        <v>59143</v>
      </c>
      <c r="AJ3525" s="2">
        <v>0.21</v>
      </c>
      <c r="AK3525" s="1">
        <v>282143</v>
      </c>
      <c r="AL3525" t="s">
        <v>117</v>
      </c>
      <c r="AM3525" t="s">
        <v>191</v>
      </c>
      <c r="AN3525">
        <v>7131</v>
      </c>
      <c r="AO3525">
        <v>0.16</v>
      </c>
      <c r="AP3525">
        <v>1</v>
      </c>
      <c r="AR3525">
        <v>1</v>
      </c>
      <c r="AS3525" s="1">
        <v>19060</v>
      </c>
      <c r="AT3525" s="1">
        <v>3810</v>
      </c>
      <c r="AU3525" s="1">
        <v>15250</v>
      </c>
      <c r="AV3525">
        <v>80.010000000000005</v>
      </c>
      <c r="AX3525" s="1">
        <v>1576.12</v>
      </c>
      <c r="AY3525" t="s">
        <v>11872</v>
      </c>
      <c r="AZ3525" t="s">
        <v>7255</v>
      </c>
      <c r="BA3525" t="s">
        <v>5328</v>
      </c>
      <c r="BE3525" s="3">
        <v>42292</v>
      </c>
      <c r="BF3525" s="1">
        <v>223000</v>
      </c>
      <c r="BG3525" t="s">
        <v>22695</v>
      </c>
      <c r="BH3525" s="1">
        <v>129.94999999999999</v>
      </c>
      <c r="BI3525" s="1">
        <v>223000</v>
      </c>
      <c r="BJ3525" s="3">
        <v>42292</v>
      </c>
      <c r="BK3525" t="s">
        <v>123</v>
      </c>
      <c r="BL3525" t="str">
        <f>"2015.743684"</f>
        <v>2015.743684</v>
      </c>
      <c r="BM3525" t="s">
        <v>724</v>
      </c>
      <c r="BO3525" t="s">
        <v>22696</v>
      </c>
      <c r="BS3525">
        <v>30</v>
      </c>
      <c r="BW3525" t="str">
        <f>""</f>
        <v/>
      </c>
      <c r="CH3525" t="str">
        <f>""</f>
        <v/>
      </c>
      <c r="CS3525" t="str">
        <f>""</f>
        <v/>
      </c>
    </row>
    <row r="3526" spans="1:97" x14ac:dyDescent="0.25">
      <c r="A3526" t="s">
        <v>364</v>
      </c>
      <c r="B3526" t="s">
        <v>22697</v>
      </c>
      <c r="C3526" t="s">
        <v>852</v>
      </c>
      <c r="D3526" t="s">
        <v>22697</v>
      </c>
      <c r="E3526" t="s">
        <v>22698</v>
      </c>
      <c r="F3526" t="s">
        <v>139</v>
      </c>
      <c r="H3526" t="s">
        <v>22699</v>
      </c>
      <c r="I3526" t="s">
        <v>1936</v>
      </c>
      <c r="J3526" t="s">
        <v>111</v>
      </c>
      <c r="K3526" t="str">
        <f>"85262"</f>
        <v>85262</v>
      </c>
      <c r="L3526" t="s">
        <v>22700</v>
      </c>
      <c r="M3526" t="s">
        <v>22701</v>
      </c>
      <c r="N3526" t="s">
        <v>1936</v>
      </c>
      <c r="O3526" t="s">
        <v>111</v>
      </c>
      <c r="P3526" t="str">
        <f>"85262-4135"</f>
        <v>85262-4135</v>
      </c>
      <c r="Q3526" t="s">
        <v>113</v>
      </c>
      <c r="R3526" t="str">
        <f>"219-62-322"</f>
        <v>219-62-322</v>
      </c>
      <c r="S3526" t="s">
        <v>22702</v>
      </c>
      <c r="T3526" t="s">
        <v>22703</v>
      </c>
      <c r="U3526">
        <v>4388</v>
      </c>
      <c r="V3526">
        <v>0</v>
      </c>
      <c r="W3526">
        <v>6</v>
      </c>
      <c r="X3526">
        <v>2014</v>
      </c>
      <c r="Z3526">
        <v>1</v>
      </c>
      <c r="AA3526" t="s">
        <v>26</v>
      </c>
      <c r="AB3526">
        <v>0</v>
      </c>
      <c r="AC3526" t="s">
        <v>115</v>
      </c>
      <c r="AD3526">
        <v>4</v>
      </c>
      <c r="AE3526" t="s">
        <v>115</v>
      </c>
      <c r="AF3526">
        <v>0</v>
      </c>
      <c r="AG3526">
        <v>0</v>
      </c>
      <c r="AH3526" t="s">
        <v>116</v>
      </c>
      <c r="AI3526" s="1">
        <v>319593</v>
      </c>
      <c r="AJ3526" s="2">
        <v>0.28999999999999998</v>
      </c>
      <c r="AK3526" s="1">
        <v>1093901</v>
      </c>
      <c r="AL3526" t="s">
        <v>117</v>
      </c>
      <c r="AM3526" t="s">
        <v>376</v>
      </c>
      <c r="AN3526">
        <v>36321</v>
      </c>
      <c r="AO3526">
        <v>0.83</v>
      </c>
      <c r="AR3526">
        <v>1</v>
      </c>
      <c r="AS3526" s="1">
        <v>77420</v>
      </c>
      <c r="AT3526" s="1">
        <v>15480</v>
      </c>
      <c r="AU3526" s="1">
        <v>61940</v>
      </c>
      <c r="AV3526">
        <v>80.010000000000005</v>
      </c>
      <c r="AX3526" s="1">
        <v>3767.72</v>
      </c>
      <c r="AY3526" t="s">
        <v>7359</v>
      </c>
      <c r="AZ3526" t="s">
        <v>1402</v>
      </c>
      <c r="BA3526" t="s">
        <v>1403</v>
      </c>
      <c r="BE3526" s="3">
        <v>41775</v>
      </c>
      <c r="BF3526" s="1">
        <v>729995</v>
      </c>
      <c r="BG3526" t="s">
        <v>275</v>
      </c>
      <c r="BH3526" s="1">
        <v>166.36</v>
      </c>
      <c r="BI3526" s="1">
        <v>624308</v>
      </c>
      <c r="BJ3526" s="3">
        <v>43053</v>
      </c>
      <c r="BK3526" t="s">
        <v>123</v>
      </c>
      <c r="BL3526" t="str">
        <f>"2017.842711"</f>
        <v>2017.842711</v>
      </c>
      <c r="BM3526" t="s">
        <v>1463</v>
      </c>
      <c r="BN3526">
        <v>92806</v>
      </c>
      <c r="BO3526" t="s">
        <v>22704</v>
      </c>
      <c r="BS3526">
        <v>27</v>
      </c>
      <c r="BT3526" s="1">
        <v>150000</v>
      </c>
      <c r="BU3526" s="3">
        <v>43340</v>
      </c>
      <c r="BW3526" t="str">
        <f>"2018.648175"</f>
        <v>2018.648175</v>
      </c>
      <c r="BX3526" t="s">
        <v>1639</v>
      </c>
      <c r="BY3526" t="s">
        <v>1640</v>
      </c>
      <c r="BZ3526" t="s">
        <v>22705</v>
      </c>
      <c r="CA3526" t="s">
        <v>22706</v>
      </c>
      <c r="CC3526" t="s">
        <v>346</v>
      </c>
      <c r="CH3526" t="str">
        <f>""</f>
        <v/>
      </c>
      <c r="CS3526" t="str">
        <f>""</f>
        <v/>
      </c>
    </row>
    <row r="3527" spans="1:97" x14ac:dyDescent="0.25">
      <c r="A3527" t="s">
        <v>325</v>
      </c>
      <c r="B3527" t="s">
        <v>2255</v>
      </c>
      <c r="C3527" t="s">
        <v>727</v>
      </c>
      <c r="D3527" t="s">
        <v>2255</v>
      </c>
      <c r="E3527" t="s">
        <v>22707</v>
      </c>
      <c r="F3527" t="s">
        <v>108</v>
      </c>
      <c r="H3527" t="s">
        <v>22708</v>
      </c>
      <c r="I3527" t="s">
        <v>390</v>
      </c>
      <c r="J3527" t="s">
        <v>111</v>
      </c>
      <c r="K3527" t="str">
        <f>"85020"</f>
        <v>85020</v>
      </c>
      <c r="L3527" t="s">
        <v>2857</v>
      </c>
      <c r="M3527" t="s">
        <v>22708</v>
      </c>
      <c r="N3527" t="s">
        <v>390</v>
      </c>
      <c r="O3527" t="s">
        <v>111</v>
      </c>
      <c r="P3527" t="str">
        <f>"85020-2348"</f>
        <v>85020-2348</v>
      </c>
      <c r="Q3527" t="s">
        <v>113</v>
      </c>
      <c r="R3527" t="str">
        <f>"165-07-011"</f>
        <v>165-07-011</v>
      </c>
      <c r="S3527" t="s">
        <v>22709</v>
      </c>
      <c r="T3527" t="s">
        <v>22710</v>
      </c>
      <c r="U3527">
        <v>2364</v>
      </c>
      <c r="V3527">
        <v>0</v>
      </c>
      <c r="W3527">
        <v>4</v>
      </c>
      <c r="X3527">
        <v>1990</v>
      </c>
      <c r="Z3527">
        <v>1</v>
      </c>
      <c r="AB3527">
        <v>0</v>
      </c>
      <c r="AC3527" t="s">
        <v>115</v>
      </c>
      <c r="AD3527">
        <v>3</v>
      </c>
      <c r="AE3527" t="s">
        <v>115</v>
      </c>
      <c r="AF3527">
        <v>0</v>
      </c>
      <c r="AG3527">
        <v>0</v>
      </c>
      <c r="AH3527" t="s">
        <v>116</v>
      </c>
      <c r="AI3527" s="1">
        <v>94268</v>
      </c>
      <c r="AJ3527" s="2">
        <v>0.17</v>
      </c>
      <c r="AK3527" s="1">
        <v>554768</v>
      </c>
      <c r="AL3527" t="s">
        <v>117</v>
      </c>
      <c r="AM3527" t="s">
        <v>1302</v>
      </c>
      <c r="AN3527">
        <v>16026</v>
      </c>
      <c r="AO3527">
        <v>0.37</v>
      </c>
      <c r="AP3527">
        <v>1</v>
      </c>
      <c r="AR3527">
        <v>1</v>
      </c>
      <c r="AS3527" s="1">
        <v>44270</v>
      </c>
      <c r="AT3527" s="1">
        <v>8850</v>
      </c>
      <c r="AU3527" s="1">
        <v>35420</v>
      </c>
      <c r="AV3527">
        <v>80.010000000000005</v>
      </c>
      <c r="AX3527" s="1">
        <v>3321.28</v>
      </c>
      <c r="AY3527" t="s">
        <v>9580</v>
      </c>
      <c r="AZ3527" t="s">
        <v>5489</v>
      </c>
      <c r="BA3527" t="s">
        <v>5232</v>
      </c>
      <c r="BE3527" s="3">
        <v>42418</v>
      </c>
      <c r="BF3527" s="1">
        <v>475000</v>
      </c>
      <c r="BG3527" t="s">
        <v>22711</v>
      </c>
      <c r="BH3527" s="1">
        <v>200.93</v>
      </c>
      <c r="BI3527" s="1">
        <v>460500</v>
      </c>
      <c r="BJ3527" s="3">
        <v>42418</v>
      </c>
      <c r="BK3527" t="s">
        <v>123</v>
      </c>
      <c r="BL3527" t="str">
        <f>"2016.103864"</f>
        <v>2016.103864</v>
      </c>
      <c r="BM3527" t="s">
        <v>724</v>
      </c>
      <c r="BO3527" t="s">
        <v>22712</v>
      </c>
      <c r="BS3527">
        <v>30</v>
      </c>
      <c r="BW3527" t="str">
        <f>""</f>
        <v/>
      </c>
      <c r="CH3527" t="str">
        <f>""</f>
        <v/>
      </c>
      <c r="CS3527" t="str">
        <f>""</f>
        <v/>
      </c>
    </row>
    <row r="3528" spans="1:97" x14ac:dyDescent="0.25">
      <c r="A3528" t="s">
        <v>305</v>
      </c>
      <c r="B3528" t="s">
        <v>22713</v>
      </c>
      <c r="C3528" t="s">
        <v>888</v>
      </c>
      <c r="D3528" t="s">
        <v>22714</v>
      </c>
      <c r="E3528" t="s">
        <v>22715</v>
      </c>
      <c r="F3528" t="s">
        <v>108</v>
      </c>
      <c r="H3528" t="s">
        <v>22716</v>
      </c>
      <c r="I3528" t="s">
        <v>499</v>
      </c>
      <c r="J3528" t="s">
        <v>111</v>
      </c>
      <c r="K3528" t="str">
        <f>"85338"</f>
        <v>85338</v>
      </c>
      <c r="L3528" t="s">
        <v>5990</v>
      </c>
      <c r="M3528" t="s">
        <v>22716</v>
      </c>
      <c r="N3528" t="s">
        <v>499</v>
      </c>
      <c r="O3528" t="s">
        <v>111</v>
      </c>
      <c r="P3528" t="str">
        <f>"85338-2460"</f>
        <v>85338-2460</v>
      </c>
      <c r="Q3528" t="s">
        <v>113</v>
      </c>
      <c r="R3528" t="str">
        <f>"500-06-121"</f>
        <v>500-06-121</v>
      </c>
      <c r="S3528" t="s">
        <v>7185</v>
      </c>
      <c r="T3528" t="s">
        <v>10549</v>
      </c>
      <c r="U3528">
        <v>3044</v>
      </c>
      <c r="V3528">
        <v>0</v>
      </c>
      <c r="W3528">
        <v>4</v>
      </c>
      <c r="X3528">
        <v>2006</v>
      </c>
      <c r="Z3528">
        <v>1</v>
      </c>
      <c r="AB3528">
        <v>0</v>
      </c>
      <c r="AC3528" t="s">
        <v>115</v>
      </c>
      <c r="AD3528">
        <v>3</v>
      </c>
      <c r="AE3528" t="s">
        <v>115</v>
      </c>
      <c r="AF3528">
        <v>0</v>
      </c>
      <c r="AG3528">
        <v>0</v>
      </c>
      <c r="AH3528" t="s">
        <v>116</v>
      </c>
      <c r="AI3528" s="1">
        <v>251992</v>
      </c>
      <c r="AJ3528" s="2">
        <v>0.49</v>
      </c>
      <c r="AK3528" s="1">
        <v>514592</v>
      </c>
      <c r="AL3528" t="s">
        <v>117</v>
      </c>
      <c r="AM3528" t="s">
        <v>3111</v>
      </c>
      <c r="AN3528">
        <v>45823</v>
      </c>
      <c r="AO3528">
        <v>1.05</v>
      </c>
      <c r="AP3528">
        <v>1</v>
      </c>
      <c r="AR3528">
        <v>1</v>
      </c>
      <c r="AS3528" s="1">
        <v>39360</v>
      </c>
      <c r="AT3528" s="1">
        <v>7870</v>
      </c>
      <c r="AU3528" s="1">
        <v>31490</v>
      </c>
      <c r="AV3528">
        <v>80.010000000000005</v>
      </c>
      <c r="AX3528" s="1">
        <v>4015.18</v>
      </c>
      <c r="AY3528" t="s">
        <v>6319</v>
      </c>
      <c r="AZ3528" t="s">
        <v>6319</v>
      </c>
      <c r="BA3528" t="s">
        <v>7186</v>
      </c>
      <c r="BE3528" s="3">
        <v>42279</v>
      </c>
      <c r="BF3528" s="1">
        <v>415500</v>
      </c>
      <c r="BG3528" t="s">
        <v>22717</v>
      </c>
      <c r="BH3528" s="1">
        <v>136.5</v>
      </c>
      <c r="BI3528" s="1">
        <v>262600</v>
      </c>
      <c r="BJ3528" s="3">
        <v>42607</v>
      </c>
      <c r="BK3528" t="s">
        <v>123</v>
      </c>
      <c r="BL3528" t="str">
        <f>"2016.613173"</f>
        <v>2016.613173</v>
      </c>
      <c r="BM3528" t="s">
        <v>255</v>
      </c>
      <c r="BO3528" t="s">
        <v>22718</v>
      </c>
      <c r="BP3528" t="s">
        <v>22719</v>
      </c>
      <c r="BS3528">
        <v>30</v>
      </c>
      <c r="BW3528" t="str">
        <f>""</f>
        <v/>
      </c>
      <c r="CH3528" t="str">
        <f>""</f>
        <v/>
      </c>
      <c r="CS3528" t="str">
        <f>""</f>
        <v/>
      </c>
    </row>
    <row r="3529" spans="1:97" x14ac:dyDescent="0.25">
      <c r="A3529" t="s">
        <v>524</v>
      </c>
      <c r="B3529" t="s">
        <v>22720</v>
      </c>
      <c r="C3529" t="s">
        <v>8500</v>
      </c>
      <c r="D3529" t="s">
        <v>22720</v>
      </c>
      <c r="E3529" t="s">
        <v>22721</v>
      </c>
      <c r="F3529" t="s">
        <v>108</v>
      </c>
      <c r="H3529" t="s">
        <v>22722</v>
      </c>
      <c r="I3529" t="s">
        <v>225</v>
      </c>
      <c r="J3529" t="s">
        <v>111</v>
      </c>
      <c r="K3529" t="str">
        <f>"85205"</f>
        <v>85205</v>
      </c>
      <c r="L3529" t="s">
        <v>1518</v>
      </c>
      <c r="M3529" t="s">
        <v>22722</v>
      </c>
      <c r="N3529" t="s">
        <v>225</v>
      </c>
      <c r="O3529" t="s">
        <v>111</v>
      </c>
      <c r="P3529" t="str">
        <f>"85205-5007"</f>
        <v>85205-5007</v>
      </c>
      <c r="Q3529" t="s">
        <v>113</v>
      </c>
      <c r="R3529" t="str">
        <f>"140-03-182"</f>
        <v>140-03-182</v>
      </c>
      <c r="S3529" t="s">
        <v>13165</v>
      </c>
      <c r="T3529" t="s">
        <v>13165</v>
      </c>
      <c r="U3529">
        <v>3740</v>
      </c>
      <c r="V3529">
        <v>0</v>
      </c>
      <c r="W3529">
        <v>5</v>
      </c>
      <c r="X3529">
        <v>1998</v>
      </c>
      <c r="Z3529">
        <v>1</v>
      </c>
      <c r="AA3529" t="s">
        <v>26</v>
      </c>
      <c r="AB3529">
        <v>0</v>
      </c>
      <c r="AC3529" t="s">
        <v>115</v>
      </c>
      <c r="AD3529">
        <v>3</v>
      </c>
      <c r="AE3529" t="s">
        <v>115</v>
      </c>
      <c r="AF3529">
        <v>0</v>
      </c>
      <c r="AG3529">
        <v>0</v>
      </c>
      <c r="AH3529" t="s">
        <v>116</v>
      </c>
      <c r="AI3529" s="1">
        <v>231981</v>
      </c>
      <c r="AJ3529" s="2">
        <v>0.38</v>
      </c>
      <c r="AK3529" s="1">
        <v>610981</v>
      </c>
      <c r="AL3529" t="s">
        <v>117</v>
      </c>
      <c r="AM3529" t="s">
        <v>1521</v>
      </c>
      <c r="AN3529">
        <v>22745</v>
      </c>
      <c r="AO3529">
        <v>0.52</v>
      </c>
      <c r="AP3529">
        <v>1</v>
      </c>
      <c r="AR3529">
        <v>1</v>
      </c>
      <c r="AS3529" s="1">
        <v>46630</v>
      </c>
      <c r="AT3529" s="1">
        <v>9320</v>
      </c>
      <c r="AU3529" s="1">
        <v>37310</v>
      </c>
      <c r="AV3529">
        <v>80.010000000000005</v>
      </c>
      <c r="AX3529" s="1">
        <v>5616.12</v>
      </c>
      <c r="AY3529" t="s">
        <v>6044</v>
      </c>
      <c r="AZ3529" t="s">
        <v>4163</v>
      </c>
      <c r="BA3529" t="s">
        <v>1524</v>
      </c>
      <c r="BE3529" s="3">
        <v>41976</v>
      </c>
      <c r="BF3529" s="1">
        <v>494000</v>
      </c>
      <c r="BG3529" t="s">
        <v>22723</v>
      </c>
      <c r="BH3529" s="1">
        <v>132.09</v>
      </c>
      <c r="BI3529" s="1">
        <v>379000</v>
      </c>
      <c r="BJ3529" s="3">
        <v>42779</v>
      </c>
      <c r="BK3529" t="s">
        <v>123</v>
      </c>
      <c r="BL3529" t="str">
        <f>"2017.104659"</f>
        <v>2017.104659</v>
      </c>
      <c r="BM3529" t="s">
        <v>1837</v>
      </c>
      <c r="BO3529" t="s">
        <v>22724</v>
      </c>
      <c r="BS3529">
        <v>30</v>
      </c>
      <c r="BW3529" t="str">
        <f>""</f>
        <v/>
      </c>
      <c r="CH3529" t="str">
        <f>""</f>
        <v/>
      </c>
      <c r="CS3529" t="str">
        <f>""</f>
        <v/>
      </c>
    </row>
    <row r="3530" spans="1:97" x14ac:dyDescent="0.25">
      <c r="B3530" t="s">
        <v>22725</v>
      </c>
      <c r="C3530" t="s">
        <v>22726</v>
      </c>
      <c r="D3530" t="s">
        <v>22727</v>
      </c>
      <c r="E3530" t="s">
        <v>22727</v>
      </c>
      <c r="F3530" t="s">
        <v>139</v>
      </c>
      <c r="H3530" t="s">
        <v>22728</v>
      </c>
      <c r="I3530" t="s">
        <v>225</v>
      </c>
      <c r="J3530" t="s">
        <v>111</v>
      </c>
      <c r="K3530" t="str">
        <f>"85207"</f>
        <v>85207</v>
      </c>
      <c r="L3530" t="s">
        <v>8151</v>
      </c>
      <c r="M3530" t="s">
        <v>22728</v>
      </c>
      <c r="N3530" t="s">
        <v>225</v>
      </c>
      <c r="O3530" t="s">
        <v>111</v>
      </c>
      <c r="P3530" t="str">
        <f>"85207-1758"</f>
        <v>85207-1758</v>
      </c>
      <c r="Q3530" t="s">
        <v>113</v>
      </c>
      <c r="R3530" t="str">
        <f>"219-32-033"</f>
        <v>219-32-033</v>
      </c>
      <c r="S3530" t="s">
        <v>22729</v>
      </c>
      <c r="T3530" t="s">
        <v>22729</v>
      </c>
      <c r="U3530">
        <v>3920</v>
      </c>
      <c r="V3530">
        <v>0</v>
      </c>
      <c r="W3530">
        <v>4</v>
      </c>
      <c r="X3530">
        <v>2013</v>
      </c>
      <c r="Z3530">
        <v>1</v>
      </c>
      <c r="AB3530">
        <v>0</v>
      </c>
      <c r="AC3530" t="s">
        <v>115</v>
      </c>
      <c r="AD3530">
        <v>3</v>
      </c>
      <c r="AE3530" t="s">
        <v>115</v>
      </c>
      <c r="AF3530">
        <v>0</v>
      </c>
      <c r="AG3530">
        <v>0</v>
      </c>
      <c r="AH3530" t="s">
        <v>116</v>
      </c>
      <c r="AI3530" s="1">
        <v>189119</v>
      </c>
      <c r="AJ3530" s="2">
        <v>0.25</v>
      </c>
      <c r="AK3530" s="1">
        <v>743879</v>
      </c>
      <c r="AL3530" t="s">
        <v>117</v>
      </c>
      <c r="AM3530" t="s">
        <v>376</v>
      </c>
      <c r="AN3530">
        <v>44589</v>
      </c>
      <c r="AO3530">
        <v>1.02</v>
      </c>
      <c r="AR3530">
        <v>1</v>
      </c>
      <c r="AS3530" s="1">
        <v>54180</v>
      </c>
      <c r="AT3530" s="1">
        <v>10830</v>
      </c>
      <c r="AU3530" s="1">
        <v>43350</v>
      </c>
      <c r="AV3530">
        <v>80.010000000000005</v>
      </c>
      <c r="AX3530" s="1">
        <v>4241.22</v>
      </c>
      <c r="AY3530" t="s">
        <v>6572</v>
      </c>
      <c r="AZ3530" t="s">
        <v>3761</v>
      </c>
      <c r="BA3530" t="s">
        <v>232</v>
      </c>
      <c r="BB3530" s="3">
        <v>43125</v>
      </c>
      <c r="BC3530" s="1">
        <v>0</v>
      </c>
      <c r="BD3530" t="s">
        <v>247</v>
      </c>
      <c r="BE3530" s="3">
        <v>41715</v>
      </c>
      <c r="BF3530" s="1">
        <v>600000</v>
      </c>
      <c r="BG3530" t="s">
        <v>22730</v>
      </c>
      <c r="BH3530" s="1">
        <v>153.06</v>
      </c>
      <c r="BI3530" s="1">
        <v>554760</v>
      </c>
      <c r="BJ3530" s="3">
        <v>43125</v>
      </c>
      <c r="BK3530" t="s">
        <v>123</v>
      </c>
      <c r="BL3530" t="str">
        <f>"2018.60624"</f>
        <v>2018.60624</v>
      </c>
      <c r="BM3530" t="s">
        <v>22731</v>
      </c>
      <c r="BN3530" t="s">
        <v>22732</v>
      </c>
      <c r="BO3530" t="s">
        <v>22733</v>
      </c>
      <c r="BP3530" t="s">
        <v>22734</v>
      </c>
      <c r="BR3530" t="s">
        <v>139</v>
      </c>
      <c r="BW3530" t="str">
        <f>""</f>
        <v/>
      </c>
      <c r="CH3530" t="str">
        <f>""</f>
        <v/>
      </c>
      <c r="CS3530" t="str">
        <f>""</f>
        <v/>
      </c>
    </row>
    <row r="3531" spans="1:97" x14ac:dyDescent="0.25">
      <c r="A3531" t="s">
        <v>22735</v>
      </c>
      <c r="B3531" t="s">
        <v>348</v>
      </c>
      <c r="C3531" t="s">
        <v>1845</v>
      </c>
      <c r="D3531" t="s">
        <v>348</v>
      </c>
      <c r="E3531" t="s">
        <v>22736</v>
      </c>
      <c r="F3531" t="s">
        <v>108</v>
      </c>
      <c r="H3531" t="s">
        <v>22737</v>
      </c>
      <c r="I3531" t="s">
        <v>6646</v>
      </c>
      <c r="J3531" t="s">
        <v>111</v>
      </c>
      <c r="K3531" t="str">
        <f>"85086"</f>
        <v>85086</v>
      </c>
      <c r="L3531" t="s">
        <v>2015</v>
      </c>
      <c r="M3531" t="s">
        <v>22737</v>
      </c>
      <c r="N3531" t="s">
        <v>6646</v>
      </c>
      <c r="O3531" t="s">
        <v>111</v>
      </c>
      <c r="P3531" t="str">
        <f>"85086-1511"</f>
        <v>85086-1511</v>
      </c>
      <c r="Q3531" t="s">
        <v>113</v>
      </c>
      <c r="R3531" t="str">
        <f>"203-02-002"</f>
        <v>203-02-002</v>
      </c>
      <c r="S3531" t="s">
        <v>22738</v>
      </c>
      <c r="U3531">
        <v>2548</v>
      </c>
      <c r="V3531">
        <v>0</v>
      </c>
      <c r="W3531">
        <v>3</v>
      </c>
      <c r="X3531">
        <v>1999</v>
      </c>
      <c r="Z3531">
        <v>1</v>
      </c>
      <c r="AA3531" t="s">
        <v>26</v>
      </c>
      <c r="AB3531">
        <v>0</v>
      </c>
      <c r="AC3531" t="s">
        <v>115</v>
      </c>
      <c r="AD3531">
        <v>3</v>
      </c>
      <c r="AE3531" t="s">
        <v>115</v>
      </c>
      <c r="AF3531">
        <v>0</v>
      </c>
      <c r="AG3531">
        <v>0</v>
      </c>
      <c r="AH3531" t="s">
        <v>116</v>
      </c>
      <c r="AI3531" s="1">
        <v>39818</v>
      </c>
      <c r="AJ3531" s="2">
        <v>0.09</v>
      </c>
      <c r="AK3531" s="1">
        <v>444418</v>
      </c>
      <c r="AL3531" t="s">
        <v>117</v>
      </c>
      <c r="AM3531" t="s">
        <v>393</v>
      </c>
      <c r="AN3531">
        <v>10810</v>
      </c>
      <c r="AO3531">
        <v>0.25</v>
      </c>
      <c r="AP3531">
        <v>1</v>
      </c>
      <c r="AR3531">
        <v>1</v>
      </c>
      <c r="AS3531" s="1">
        <v>32760</v>
      </c>
      <c r="AT3531" s="1">
        <v>6550</v>
      </c>
      <c r="AU3531" s="1">
        <v>26210</v>
      </c>
      <c r="AV3531">
        <v>80.010000000000005</v>
      </c>
      <c r="AX3531" s="1">
        <v>3665.76</v>
      </c>
      <c r="AY3531" t="s">
        <v>6648</v>
      </c>
      <c r="AZ3531" t="s">
        <v>6648</v>
      </c>
      <c r="BA3531" t="s">
        <v>378</v>
      </c>
      <c r="BE3531" s="3">
        <v>41947</v>
      </c>
      <c r="BF3531" s="1">
        <v>395000</v>
      </c>
      <c r="BG3531" t="s">
        <v>22739</v>
      </c>
      <c r="BH3531" s="1">
        <v>155.02000000000001</v>
      </c>
      <c r="BI3531" s="1">
        <v>404600</v>
      </c>
      <c r="BJ3531" s="3">
        <v>42489</v>
      </c>
      <c r="BK3531" t="s">
        <v>123</v>
      </c>
      <c r="BL3531" t="str">
        <f>"2016.293837"</f>
        <v>2016.293837</v>
      </c>
      <c r="BM3531" t="s">
        <v>255</v>
      </c>
      <c r="BO3531" t="s">
        <v>22740</v>
      </c>
      <c r="BS3531">
        <v>30</v>
      </c>
      <c r="BW3531" t="str">
        <f>""</f>
        <v/>
      </c>
      <c r="CH3531" t="str">
        <f>""</f>
        <v/>
      </c>
      <c r="CS3531" t="str">
        <f>""</f>
        <v/>
      </c>
    </row>
    <row r="3532" spans="1:97" x14ac:dyDescent="0.25">
      <c r="A3532" t="s">
        <v>22741</v>
      </c>
      <c r="B3532" t="s">
        <v>22742</v>
      </c>
      <c r="C3532" t="s">
        <v>22743</v>
      </c>
      <c r="D3532" t="s">
        <v>22742</v>
      </c>
      <c r="E3532" t="s">
        <v>22744</v>
      </c>
      <c r="F3532" t="s">
        <v>108</v>
      </c>
      <c r="H3532" t="s">
        <v>22745</v>
      </c>
      <c r="I3532" t="s">
        <v>1936</v>
      </c>
      <c r="J3532" t="s">
        <v>111</v>
      </c>
      <c r="K3532" t="str">
        <f>"85266"</f>
        <v>85266</v>
      </c>
      <c r="L3532" t="s">
        <v>22746</v>
      </c>
      <c r="M3532" t="s">
        <v>22745</v>
      </c>
      <c r="N3532" t="s">
        <v>1936</v>
      </c>
      <c r="O3532" t="s">
        <v>111</v>
      </c>
      <c r="P3532" t="str">
        <f>"85266-1296"</f>
        <v>85266-1296</v>
      </c>
      <c r="Q3532" t="s">
        <v>113</v>
      </c>
      <c r="R3532" t="str">
        <f>"216-48-701"</f>
        <v>216-48-701</v>
      </c>
      <c r="S3532" t="s">
        <v>22747</v>
      </c>
      <c r="T3532" t="s">
        <v>22748</v>
      </c>
      <c r="U3532">
        <v>2060</v>
      </c>
      <c r="V3532">
        <v>0</v>
      </c>
      <c r="W3532">
        <v>3</v>
      </c>
      <c r="X3532">
        <v>1999</v>
      </c>
      <c r="Z3532">
        <v>1</v>
      </c>
      <c r="AB3532">
        <v>0</v>
      </c>
      <c r="AC3532" t="s">
        <v>115</v>
      </c>
      <c r="AD3532">
        <v>2</v>
      </c>
      <c r="AE3532" t="s">
        <v>115</v>
      </c>
      <c r="AF3532">
        <v>0</v>
      </c>
      <c r="AG3532">
        <v>0</v>
      </c>
      <c r="AH3532" t="s">
        <v>116</v>
      </c>
      <c r="AI3532" s="1">
        <v>215491</v>
      </c>
      <c r="AJ3532" s="2">
        <v>0.39</v>
      </c>
      <c r="AK3532" s="1">
        <v>549616</v>
      </c>
      <c r="AL3532" t="s">
        <v>117</v>
      </c>
      <c r="AM3532" t="s">
        <v>6533</v>
      </c>
      <c r="AN3532">
        <v>6623</v>
      </c>
      <c r="AO3532">
        <v>0.15</v>
      </c>
      <c r="AP3532">
        <v>1</v>
      </c>
      <c r="AR3532">
        <v>1</v>
      </c>
      <c r="AS3532" s="1">
        <v>36360</v>
      </c>
      <c r="AT3532" s="1">
        <v>7270</v>
      </c>
      <c r="AU3532" s="1">
        <v>29090</v>
      </c>
      <c r="AV3532">
        <v>80.010000000000005</v>
      </c>
      <c r="AX3532" s="1">
        <v>2231.92</v>
      </c>
      <c r="AY3532" t="s">
        <v>7359</v>
      </c>
      <c r="AZ3532" t="s">
        <v>1402</v>
      </c>
      <c r="BA3532" t="s">
        <v>1403</v>
      </c>
      <c r="BE3532" s="3">
        <v>42515</v>
      </c>
      <c r="BF3532" s="1">
        <v>530000</v>
      </c>
      <c r="BG3532" t="s">
        <v>22749</v>
      </c>
      <c r="BH3532" s="1">
        <v>257.27999999999997</v>
      </c>
      <c r="BI3532" s="1">
        <v>334125</v>
      </c>
      <c r="BJ3532" s="3">
        <v>42515</v>
      </c>
      <c r="BK3532" t="s">
        <v>123</v>
      </c>
      <c r="BL3532" t="str">
        <f>"2016.360129"</f>
        <v>2016.360129</v>
      </c>
      <c r="BM3532" t="s">
        <v>9615</v>
      </c>
      <c r="BO3532" t="s">
        <v>22750</v>
      </c>
      <c r="BS3532">
        <v>30</v>
      </c>
      <c r="BW3532" t="str">
        <f>""</f>
        <v/>
      </c>
      <c r="CH3532" t="str">
        <f>""</f>
        <v/>
      </c>
      <c r="CS3532" t="str">
        <f>""</f>
        <v/>
      </c>
    </row>
    <row r="3533" spans="1:97" x14ac:dyDescent="0.25">
      <c r="A3533" t="s">
        <v>177</v>
      </c>
      <c r="B3533" t="s">
        <v>22751</v>
      </c>
      <c r="E3533" t="s">
        <v>22752</v>
      </c>
      <c r="F3533" t="s">
        <v>108</v>
      </c>
      <c r="H3533" t="s">
        <v>22753</v>
      </c>
      <c r="I3533" t="s">
        <v>1936</v>
      </c>
      <c r="J3533" t="s">
        <v>111</v>
      </c>
      <c r="K3533" t="str">
        <f>"85251"</f>
        <v>85251</v>
      </c>
      <c r="L3533" t="s">
        <v>6631</v>
      </c>
      <c r="M3533" t="s">
        <v>22753</v>
      </c>
      <c r="N3533" t="s">
        <v>1936</v>
      </c>
      <c r="O3533" t="s">
        <v>111</v>
      </c>
      <c r="P3533" t="str">
        <f>"85251-5736"</f>
        <v>85251-5736</v>
      </c>
      <c r="Q3533" t="s">
        <v>113</v>
      </c>
      <c r="R3533" t="str">
        <f>"130-28-103"</f>
        <v>130-28-103</v>
      </c>
      <c r="S3533" t="s">
        <v>22754</v>
      </c>
      <c r="T3533" t="s">
        <v>22754</v>
      </c>
      <c r="U3533">
        <v>1881</v>
      </c>
      <c r="V3533">
        <v>0</v>
      </c>
      <c r="W3533">
        <v>3</v>
      </c>
      <c r="X3533">
        <v>1955</v>
      </c>
      <c r="Z3533">
        <v>1</v>
      </c>
      <c r="AA3533" t="s">
        <v>15127</v>
      </c>
      <c r="AB3533">
        <v>0</v>
      </c>
      <c r="AC3533" t="s">
        <v>5188</v>
      </c>
      <c r="AD3533">
        <v>1</v>
      </c>
      <c r="AE3533" t="s">
        <v>5188</v>
      </c>
      <c r="AF3533">
        <v>0</v>
      </c>
      <c r="AG3533">
        <v>0</v>
      </c>
      <c r="AH3533" t="s">
        <v>116</v>
      </c>
      <c r="AI3533" s="1">
        <v>141003</v>
      </c>
      <c r="AJ3533" s="2">
        <v>0.34</v>
      </c>
      <c r="AK3533" s="1">
        <v>418835</v>
      </c>
      <c r="AL3533" t="s">
        <v>117</v>
      </c>
      <c r="AM3533" t="s">
        <v>393</v>
      </c>
      <c r="AN3533">
        <v>6929</v>
      </c>
      <c r="AO3533">
        <v>0.16</v>
      </c>
      <c r="AP3533">
        <v>1</v>
      </c>
      <c r="AR3533">
        <v>1</v>
      </c>
      <c r="AS3533" s="1">
        <v>30010</v>
      </c>
      <c r="AT3533" s="1">
        <v>6000</v>
      </c>
      <c r="AU3533" s="1">
        <v>24010</v>
      </c>
      <c r="AV3533">
        <v>80.010000000000005</v>
      </c>
      <c r="AX3533" s="1">
        <v>1596.84</v>
      </c>
      <c r="AY3533" t="s">
        <v>11099</v>
      </c>
      <c r="AZ3533" t="s">
        <v>6975</v>
      </c>
      <c r="BA3533" t="s">
        <v>6976</v>
      </c>
      <c r="BE3533" s="3">
        <v>41779</v>
      </c>
      <c r="BF3533" s="1">
        <v>275000</v>
      </c>
      <c r="BG3533" t="s">
        <v>22755</v>
      </c>
      <c r="BH3533" s="1">
        <v>146.19999999999999</v>
      </c>
      <c r="BI3533" s="1">
        <v>277832</v>
      </c>
      <c r="BJ3533" s="3">
        <v>42585</v>
      </c>
      <c r="BK3533" t="s">
        <v>123</v>
      </c>
      <c r="BL3533" t="str">
        <f>"2016.550382"</f>
        <v>2016.550382</v>
      </c>
      <c r="BM3533" t="s">
        <v>750</v>
      </c>
      <c r="BO3533" t="s">
        <v>22756</v>
      </c>
      <c r="BS3533">
        <v>30</v>
      </c>
      <c r="BW3533" t="str">
        <f>""</f>
        <v/>
      </c>
      <c r="CH3533" t="str">
        <f>""</f>
        <v/>
      </c>
      <c r="CS3533" t="str">
        <f>""</f>
        <v/>
      </c>
    </row>
    <row r="3534" spans="1:97" x14ac:dyDescent="0.25">
      <c r="B3534" t="s">
        <v>22757</v>
      </c>
      <c r="E3534" t="s">
        <v>22757</v>
      </c>
      <c r="F3534" t="s">
        <v>108</v>
      </c>
      <c r="H3534" t="s">
        <v>22758</v>
      </c>
      <c r="I3534" t="s">
        <v>390</v>
      </c>
      <c r="J3534" t="s">
        <v>111</v>
      </c>
      <c r="K3534" t="str">
        <f>"85015"</f>
        <v>85015</v>
      </c>
      <c r="L3534" t="s">
        <v>7695</v>
      </c>
      <c r="M3534" t="s">
        <v>22758</v>
      </c>
      <c r="N3534" t="s">
        <v>390</v>
      </c>
      <c r="O3534" t="s">
        <v>111</v>
      </c>
      <c r="P3534" t="str">
        <f>"85015-5804"</f>
        <v>85015-5804</v>
      </c>
      <c r="Q3534" t="s">
        <v>113</v>
      </c>
      <c r="R3534" t="str">
        <f>"110-26-026"</f>
        <v>110-26-026</v>
      </c>
      <c r="S3534" t="s">
        <v>22759</v>
      </c>
      <c r="T3534" t="s">
        <v>22760</v>
      </c>
      <c r="U3534">
        <v>1462</v>
      </c>
      <c r="V3534">
        <v>0</v>
      </c>
      <c r="W3534">
        <v>2</v>
      </c>
      <c r="X3534">
        <v>1950</v>
      </c>
      <c r="Z3534">
        <v>1</v>
      </c>
      <c r="AB3534">
        <v>0</v>
      </c>
      <c r="AC3534" t="s">
        <v>5188</v>
      </c>
      <c r="AD3534">
        <v>1</v>
      </c>
      <c r="AE3534" t="s">
        <v>5188</v>
      </c>
      <c r="AF3534">
        <v>0</v>
      </c>
      <c r="AG3534">
        <v>0</v>
      </c>
      <c r="AH3534" t="s">
        <v>116</v>
      </c>
      <c r="AI3534" s="1">
        <v>103868</v>
      </c>
      <c r="AJ3534" s="2">
        <v>0.32</v>
      </c>
      <c r="AK3534" s="1">
        <v>329469</v>
      </c>
      <c r="AL3534" t="s">
        <v>117</v>
      </c>
      <c r="AM3534" t="s">
        <v>191</v>
      </c>
      <c r="AN3534">
        <v>7802</v>
      </c>
      <c r="AO3534">
        <v>0.18</v>
      </c>
      <c r="AP3534">
        <v>1</v>
      </c>
      <c r="AR3534">
        <v>1</v>
      </c>
      <c r="AS3534" s="1">
        <v>22150</v>
      </c>
      <c r="AT3534" s="1">
        <v>4430</v>
      </c>
      <c r="AU3534" s="1">
        <v>17720</v>
      </c>
      <c r="AV3534">
        <v>80</v>
      </c>
      <c r="AX3534" s="1">
        <v>1305.0999999999999</v>
      </c>
      <c r="AY3534" t="s">
        <v>5468</v>
      </c>
      <c r="AZ3534" t="s">
        <v>5468</v>
      </c>
      <c r="BA3534" t="s">
        <v>5469</v>
      </c>
      <c r="BE3534" s="3">
        <v>41771</v>
      </c>
      <c r="BF3534" s="1">
        <v>212000</v>
      </c>
      <c r="BG3534" t="s">
        <v>22761</v>
      </c>
      <c r="BH3534" s="1">
        <v>145.01</v>
      </c>
      <c r="BI3534" s="1">
        <v>225601</v>
      </c>
      <c r="BJ3534" s="3">
        <v>42516</v>
      </c>
      <c r="BK3534" t="s">
        <v>123</v>
      </c>
      <c r="BL3534" t="str">
        <f>"2016.363452"</f>
        <v>2016.363452</v>
      </c>
      <c r="BM3534" t="s">
        <v>4919</v>
      </c>
      <c r="BO3534" t="s">
        <v>22762</v>
      </c>
      <c r="BS3534">
        <v>30</v>
      </c>
      <c r="BW3534" t="str">
        <f>""</f>
        <v/>
      </c>
      <c r="CH3534" t="str">
        <f>""</f>
        <v/>
      </c>
      <c r="CS3534" t="str">
        <f>""</f>
        <v/>
      </c>
    </row>
    <row r="3535" spans="1:97" x14ac:dyDescent="0.25">
      <c r="A3535" t="s">
        <v>22763</v>
      </c>
      <c r="B3535" t="s">
        <v>1607</v>
      </c>
      <c r="C3535" t="s">
        <v>22764</v>
      </c>
      <c r="D3535" t="s">
        <v>1607</v>
      </c>
      <c r="E3535" t="s">
        <v>22765</v>
      </c>
      <c r="F3535" t="s">
        <v>108</v>
      </c>
      <c r="H3535" t="s">
        <v>22766</v>
      </c>
      <c r="I3535" t="s">
        <v>225</v>
      </c>
      <c r="J3535" t="s">
        <v>111</v>
      </c>
      <c r="K3535" t="str">
        <f>"85205"</f>
        <v>85205</v>
      </c>
      <c r="L3535" t="s">
        <v>6964</v>
      </c>
      <c r="M3535" t="s">
        <v>22766</v>
      </c>
      <c r="N3535" t="s">
        <v>225</v>
      </c>
      <c r="O3535" t="s">
        <v>111</v>
      </c>
      <c r="P3535" t="str">
        <f>"85205-5348"</f>
        <v>85205-5348</v>
      </c>
      <c r="Q3535" t="s">
        <v>113</v>
      </c>
      <c r="R3535" t="str">
        <f>"140-01-403"</f>
        <v>140-01-403</v>
      </c>
      <c r="S3535" t="s">
        <v>22767</v>
      </c>
      <c r="T3535" t="s">
        <v>22768</v>
      </c>
      <c r="U3535">
        <v>1428</v>
      </c>
      <c r="V3535">
        <v>0</v>
      </c>
      <c r="W3535">
        <v>3</v>
      </c>
      <c r="X3535">
        <v>1985</v>
      </c>
      <c r="Z3535">
        <v>1</v>
      </c>
      <c r="AA3535" t="s">
        <v>26</v>
      </c>
      <c r="AB3535">
        <v>0</v>
      </c>
      <c r="AC3535" t="s">
        <v>115</v>
      </c>
      <c r="AD3535">
        <v>2</v>
      </c>
      <c r="AE3535" t="s">
        <v>115</v>
      </c>
      <c r="AF3535">
        <v>0</v>
      </c>
      <c r="AG3535">
        <v>0</v>
      </c>
      <c r="AH3535" t="s">
        <v>116</v>
      </c>
      <c r="AI3535" s="1">
        <v>65726</v>
      </c>
      <c r="AJ3535" s="2">
        <v>0.24</v>
      </c>
      <c r="AK3535" s="1">
        <v>270026</v>
      </c>
      <c r="AL3535" t="s">
        <v>117</v>
      </c>
      <c r="AM3535" t="s">
        <v>393</v>
      </c>
      <c r="AN3535">
        <v>8008</v>
      </c>
      <c r="AO3535">
        <v>0.18</v>
      </c>
      <c r="AP3535">
        <v>1</v>
      </c>
      <c r="AR3535">
        <v>1</v>
      </c>
      <c r="AS3535" s="1">
        <v>18620</v>
      </c>
      <c r="AT3535" s="1">
        <v>3720</v>
      </c>
      <c r="AU3535" s="1">
        <v>14900</v>
      </c>
      <c r="AV3535">
        <v>80.02</v>
      </c>
      <c r="AX3535" s="1">
        <v>1324.5</v>
      </c>
      <c r="AY3535" t="s">
        <v>7054</v>
      </c>
      <c r="AZ3535" t="s">
        <v>5275</v>
      </c>
      <c r="BA3535" t="s">
        <v>3119</v>
      </c>
      <c r="BE3535" s="3">
        <v>41789</v>
      </c>
      <c r="BF3535" s="1">
        <v>200000</v>
      </c>
      <c r="BG3535" t="s">
        <v>22769</v>
      </c>
      <c r="BH3535" s="1">
        <v>140.06</v>
      </c>
      <c r="BI3535" s="1">
        <v>204300</v>
      </c>
      <c r="BJ3535" s="3">
        <v>41789</v>
      </c>
      <c r="BK3535" t="s">
        <v>123</v>
      </c>
      <c r="BL3535" t="str">
        <f>"2014.356409"</f>
        <v>2014.356409</v>
      </c>
      <c r="BM3535" t="s">
        <v>135</v>
      </c>
      <c r="BO3535" t="s">
        <v>22770</v>
      </c>
      <c r="BS3535">
        <v>30</v>
      </c>
      <c r="BW3535" t="str">
        <f>""</f>
        <v/>
      </c>
      <c r="CH3535" t="str">
        <f>""</f>
        <v/>
      </c>
      <c r="CS3535" t="str">
        <f>""</f>
        <v/>
      </c>
    </row>
    <row r="3536" spans="1:97" x14ac:dyDescent="0.25">
      <c r="A3536" t="s">
        <v>2167</v>
      </c>
      <c r="B3536" t="s">
        <v>327</v>
      </c>
      <c r="C3536" t="s">
        <v>10874</v>
      </c>
      <c r="D3536" t="s">
        <v>327</v>
      </c>
      <c r="E3536" t="s">
        <v>22771</v>
      </c>
      <c r="F3536" t="s">
        <v>108</v>
      </c>
      <c r="H3536" t="s">
        <v>22772</v>
      </c>
      <c r="I3536" t="s">
        <v>390</v>
      </c>
      <c r="J3536" t="s">
        <v>111</v>
      </c>
      <c r="K3536" t="str">
        <f>"85004"</f>
        <v>85004</v>
      </c>
      <c r="L3536" t="s">
        <v>7695</v>
      </c>
      <c r="M3536" t="s">
        <v>22772</v>
      </c>
      <c r="N3536" t="s">
        <v>390</v>
      </c>
      <c r="O3536" t="s">
        <v>111</v>
      </c>
      <c r="P3536" t="str">
        <f>"85004-1318"</f>
        <v>85004-1318</v>
      </c>
      <c r="Q3536" t="s">
        <v>113</v>
      </c>
      <c r="R3536" t="str">
        <f>"118-47-070"</f>
        <v>118-47-070</v>
      </c>
      <c r="S3536" t="s">
        <v>22773</v>
      </c>
      <c r="U3536">
        <v>833</v>
      </c>
      <c r="V3536">
        <v>0</v>
      </c>
      <c r="W3536">
        <v>1</v>
      </c>
      <c r="X3536">
        <v>1935</v>
      </c>
      <c r="Z3536">
        <v>1</v>
      </c>
      <c r="AB3536">
        <v>0</v>
      </c>
      <c r="AC3536" t="s">
        <v>115</v>
      </c>
      <c r="AD3536">
        <v>2</v>
      </c>
      <c r="AE3536" t="s">
        <v>115</v>
      </c>
      <c r="AF3536">
        <v>0</v>
      </c>
      <c r="AG3536">
        <v>0</v>
      </c>
      <c r="AH3536" t="s">
        <v>116</v>
      </c>
      <c r="AI3536" s="1">
        <v>63502</v>
      </c>
      <c r="AJ3536" s="2">
        <v>0.17</v>
      </c>
      <c r="AK3536" s="1">
        <v>372859</v>
      </c>
      <c r="AL3536" t="s">
        <v>117</v>
      </c>
      <c r="AM3536" t="s">
        <v>191</v>
      </c>
      <c r="AN3536">
        <v>7122</v>
      </c>
      <c r="AO3536">
        <v>0.16</v>
      </c>
      <c r="AP3536">
        <v>1</v>
      </c>
      <c r="AR3536">
        <v>1</v>
      </c>
      <c r="AS3536" s="1">
        <v>13255</v>
      </c>
      <c r="AT3536" s="1">
        <v>2650</v>
      </c>
      <c r="AU3536" s="1">
        <v>10605</v>
      </c>
      <c r="AV3536">
        <v>80.010000000000005</v>
      </c>
      <c r="AX3536" s="1">
        <v>1289.76</v>
      </c>
      <c r="AY3536" t="s">
        <v>22774</v>
      </c>
      <c r="AZ3536" t="s">
        <v>22774</v>
      </c>
      <c r="BA3536" t="s">
        <v>5469</v>
      </c>
      <c r="BE3536" s="3">
        <v>42453</v>
      </c>
      <c r="BF3536" s="1">
        <v>305000</v>
      </c>
      <c r="BG3536" t="s">
        <v>22775</v>
      </c>
      <c r="BH3536" s="1">
        <v>366.15</v>
      </c>
      <c r="BI3536" s="1">
        <v>309357</v>
      </c>
      <c r="BJ3536" s="3">
        <v>42453</v>
      </c>
      <c r="BK3536" t="s">
        <v>123</v>
      </c>
      <c r="BL3536" t="str">
        <f>"2016.191534"</f>
        <v>2016.191534</v>
      </c>
      <c r="BM3536" t="s">
        <v>135</v>
      </c>
      <c r="BO3536" t="s">
        <v>22776</v>
      </c>
      <c r="BS3536">
        <v>30</v>
      </c>
      <c r="BW3536" t="str">
        <f>""</f>
        <v/>
      </c>
      <c r="CH3536" t="str">
        <f>""</f>
        <v/>
      </c>
      <c r="CS3536" t="str">
        <f>""</f>
        <v/>
      </c>
    </row>
    <row r="3537" spans="1:97" x14ac:dyDescent="0.25">
      <c r="A3537" t="s">
        <v>494</v>
      </c>
      <c r="B3537" t="s">
        <v>22777</v>
      </c>
      <c r="C3537" t="s">
        <v>4386</v>
      </c>
      <c r="D3537" t="s">
        <v>22778</v>
      </c>
      <c r="E3537" t="s">
        <v>22779</v>
      </c>
      <c r="F3537" t="s">
        <v>108</v>
      </c>
      <c r="H3537" t="s">
        <v>22780</v>
      </c>
      <c r="I3537" t="s">
        <v>2874</v>
      </c>
      <c r="J3537" t="s">
        <v>111</v>
      </c>
      <c r="K3537" t="str">
        <f>"85304"</f>
        <v>85304</v>
      </c>
      <c r="L3537" t="s">
        <v>6438</v>
      </c>
      <c r="M3537" t="s">
        <v>22780</v>
      </c>
      <c r="N3537" t="s">
        <v>2874</v>
      </c>
      <c r="O3537" t="s">
        <v>111</v>
      </c>
      <c r="P3537" t="str">
        <f>"85304-1143"</f>
        <v>85304-1143</v>
      </c>
      <c r="Q3537" t="s">
        <v>113</v>
      </c>
      <c r="R3537" t="str">
        <f>"200-76-535"</f>
        <v>200-76-535</v>
      </c>
      <c r="S3537" t="s">
        <v>22781</v>
      </c>
      <c r="T3537" t="s">
        <v>22782</v>
      </c>
      <c r="U3537">
        <v>2111</v>
      </c>
      <c r="V3537">
        <v>0</v>
      </c>
      <c r="W3537">
        <v>2</v>
      </c>
      <c r="X3537">
        <v>1983</v>
      </c>
      <c r="Z3537">
        <v>1</v>
      </c>
      <c r="AA3537" t="s">
        <v>26</v>
      </c>
      <c r="AB3537">
        <v>0</v>
      </c>
      <c r="AC3537" t="s">
        <v>115</v>
      </c>
      <c r="AD3537">
        <v>2</v>
      </c>
      <c r="AE3537" t="s">
        <v>115</v>
      </c>
      <c r="AF3537">
        <v>0</v>
      </c>
      <c r="AG3537">
        <v>0</v>
      </c>
      <c r="AH3537" t="s">
        <v>116</v>
      </c>
      <c r="AI3537" s="1">
        <v>-27938</v>
      </c>
      <c r="AJ3537" s="2">
        <v>-0.09</v>
      </c>
      <c r="AK3537" s="1">
        <v>296879</v>
      </c>
      <c r="AL3537" t="s">
        <v>117</v>
      </c>
      <c r="AM3537" t="s">
        <v>191</v>
      </c>
      <c r="AN3537">
        <v>10145</v>
      </c>
      <c r="AO3537">
        <v>0.23</v>
      </c>
      <c r="AP3537">
        <v>1</v>
      </c>
      <c r="AR3537">
        <v>1</v>
      </c>
      <c r="AS3537" s="1">
        <v>22200</v>
      </c>
      <c r="AT3537" s="1">
        <v>4440</v>
      </c>
      <c r="AU3537" s="1">
        <v>17760</v>
      </c>
      <c r="AV3537">
        <v>80</v>
      </c>
      <c r="AX3537" s="1">
        <v>1586.32</v>
      </c>
      <c r="AY3537" t="s">
        <v>16967</v>
      </c>
      <c r="AZ3537" t="s">
        <v>16967</v>
      </c>
      <c r="BA3537" t="s">
        <v>8681</v>
      </c>
      <c r="BB3537" s="3">
        <v>41984</v>
      </c>
      <c r="BD3537" t="s">
        <v>240</v>
      </c>
      <c r="BE3537" s="3">
        <v>41661</v>
      </c>
      <c r="BF3537" s="1">
        <v>244000</v>
      </c>
      <c r="BG3537" t="s">
        <v>22783</v>
      </c>
      <c r="BH3537" s="1">
        <v>115.59</v>
      </c>
      <c r="BI3537" s="1">
        <v>247817</v>
      </c>
      <c r="BJ3537" s="3">
        <v>41984</v>
      </c>
      <c r="BK3537" t="s">
        <v>123</v>
      </c>
      <c r="BL3537" t="str">
        <f>"2014.815281"</f>
        <v>2014.815281</v>
      </c>
      <c r="BM3537" t="s">
        <v>9691</v>
      </c>
      <c r="BN3537" t="s">
        <v>22784</v>
      </c>
      <c r="BO3537" t="s">
        <v>22785</v>
      </c>
      <c r="BP3537" t="s">
        <v>22786</v>
      </c>
      <c r="BS3537">
        <v>30</v>
      </c>
      <c r="BT3537" s="1">
        <v>77000</v>
      </c>
      <c r="BU3537" s="3">
        <v>43327</v>
      </c>
      <c r="BV3537" t="s">
        <v>134</v>
      </c>
      <c r="BW3537" t="str">
        <f>"2018.617740"</f>
        <v>2018.617740</v>
      </c>
      <c r="BX3537" t="s">
        <v>8006</v>
      </c>
      <c r="BY3537" t="s">
        <v>8007</v>
      </c>
      <c r="BZ3537" t="s">
        <v>22787</v>
      </c>
      <c r="CA3537" t="s">
        <v>22788</v>
      </c>
      <c r="CC3537" t="s">
        <v>139</v>
      </c>
      <c r="CH3537" t="str">
        <f>""</f>
        <v/>
      </c>
      <c r="CS3537" t="str">
        <f>""</f>
        <v/>
      </c>
    </row>
    <row r="3538" spans="1:97" x14ac:dyDescent="0.25">
      <c r="B3538" t="s">
        <v>22789</v>
      </c>
      <c r="E3538" t="s">
        <v>22790</v>
      </c>
      <c r="F3538" t="s">
        <v>108</v>
      </c>
      <c r="H3538" t="s">
        <v>22791</v>
      </c>
      <c r="I3538" t="s">
        <v>225</v>
      </c>
      <c r="J3538" t="s">
        <v>111</v>
      </c>
      <c r="K3538" t="str">
        <f>"85212"</f>
        <v>85212</v>
      </c>
      <c r="L3538" t="s">
        <v>3520</v>
      </c>
      <c r="M3538" t="s">
        <v>22791</v>
      </c>
      <c r="N3538" t="s">
        <v>225</v>
      </c>
      <c r="O3538" t="s">
        <v>111</v>
      </c>
      <c r="P3538" t="str">
        <f>"85212-1777"</f>
        <v>85212-1777</v>
      </c>
      <c r="Q3538" t="s">
        <v>113</v>
      </c>
      <c r="R3538" t="str">
        <f>"304-03-428"</f>
        <v>304-03-428</v>
      </c>
      <c r="S3538" t="s">
        <v>22792</v>
      </c>
      <c r="T3538" t="s">
        <v>22793</v>
      </c>
      <c r="U3538">
        <v>2516</v>
      </c>
      <c r="V3538">
        <v>0</v>
      </c>
      <c r="W3538">
        <v>3</v>
      </c>
      <c r="X3538">
        <v>2002</v>
      </c>
      <c r="Z3538">
        <v>1</v>
      </c>
      <c r="AA3538" t="s">
        <v>26</v>
      </c>
      <c r="AB3538">
        <v>0</v>
      </c>
      <c r="AC3538" t="s">
        <v>115</v>
      </c>
      <c r="AD3538">
        <v>2</v>
      </c>
      <c r="AE3538" t="s">
        <v>115</v>
      </c>
      <c r="AF3538">
        <v>0</v>
      </c>
      <c r="AG3538">
        <v>0</v>
      </c>
      <c r="AH3538" t="s">
        <v>116</v>
      </c>
      <c r="AI3538" s="1">
        <v>49929</v>
      </c>
      <c r="AJ3538" s="2">
        <v>0.14000000000000001</v>
      </c>
      <c r="AK3538" s="1">
        <v>368093</v>
      </c>
      <c r="AL3538" t="s">
        <v>117</v>
      </c>
      <c r="AM3538" t="s">
        <v>191</v>
      </c>
      <c r="AN3538">
        <v>8752</v>
      </c>
      <c r="AO3538">
        <v>0.2</v>
      </c>
      <c r="AP3538">
        <v>1</v>
      </c>
      <c r="AR3538">
        <v>1</v>
      </c>
      <c r="AS3538" s="1">
        <v>26080</v>
      </c>
      <c r="AT3538" s="1">
        <v>5210</v>
      </c>
      <c r="AU3538" s="1">
        <v>20870</v>
      </c>
      <c r="AV3538">
        <v>80.02</v>
      </c>
      <c r="AX3538" s="1">
        <v>1739.56</v>
      </c>
      <c r="AY3538" t="s">
        <v>570</v>
      </c>
      <c r="AZ3538" t="s">
        <v>777</v>
      </c>
      <c r="BA3538" t="s">
        <v>572</v>
      </c>
      <c r="BB3538" s="3">
        <v>42118</v>
      </c>
      <c r="BD3538" t="s">
        <v>240</v>
      </c>
      <c r="BE3538" s="3">
        <v>41914</v>
      </c>
      <c r="BF3538" s="1">
        <v>273900</v>
      </c>
      <c r="BG3538" t="s">
        <v>22794</v>
      </c>
      <c r="BH3538" s="1">
        <v>108.86</v>
      </c>
      <c r="BI3538" s="1">
        <v>318164</v>
      </c>
      <c r="BJ3538" s="3">
        <v>43132</v>
      </c>
      <c r="BK3538" t="s">
        <v>123</v>
      </c>
      <c r="BL3538" t="str">
        <f>"2018.81388"</f>
        <v>2018.81388</v>
      </c>
      <c r="BM3538" t="s">
        <v>13433</v>
      </c>
      <c r="BN3538" t="s">
        <v>1136</v>
      </c>
      <c r="BO3538" t="s">
        <v>22795</v>
      </c>
      <c r="BR3538" t="s">
        <v>139</v>
      </c>
      <c r="BW3538" t="str">
        <f>""</f>
        <v/>
      </c>
      <c r="CH3538" t="str">
        <f>""</f>
        <v/>
      </c>
      <c r="CS3538" t="str">
        <f>""</f>
        <v/>
      </c>
    </row>
    <row r="3539" spans="1:97" x14ac:dyDescent="0.25">
      <c r="A3539" t="s">
        <v>1109</v>
      </c>
      <c r="B3539" t="s">
        <v>22796</v>
      </c>
      <c r="E3539" t="s">
        <v>22797</v>
      </c>
      <c r="F3539" t="s">
        <v>108</v>
      </c>
      <c r="H3539" t="s">
        <v>22798</v>
      </c>
      <c r="I3539" t="s">
        <v>499</v>
      </c>
      <c r="J3539" t="s">
        <v>111</v>
      </c>
      <c r="K3539" t="str">
        <f>"85338"</f>
        <v>85338</v>
      </c>
      <c r="L3539" t="s">
        <v>7339</v>
      </c>
      <c r="M3539" t="s">
        <v>22798</v>
      </c>
      <c r="N3539" t="s">
        <v>499</v>
      </c>
      <c r="O3539" t="s">
        <v>111</v>
      </c>
      <c r="P3539" t="str">
        <f>"85338-5358"</f>
        <v>85338-5358</v>
      </c>
      <c r="Q3539" t="s">
        <v>113</v>
      </c>
      <c r="R3539" t="str">
        <f>"400-81-439"</f>
        <v>400-81-439</v>
      </c>
      <c r="S3539" t="s">
        <v>22799</v>
      </c>
      <c r="U3539">
        <v>2109</v>
      </c>
      <c r="V3539">
        <v>0</v>
      </c>
      <c r="W3539">
        <v>3</v>
      </c>
      <c r="X3539">
        <v>2003</v>
      </c>
      <c r="Z3539">
        <v>1</v>
      </c>
      <c r="AA3539" t="s">
        <v>26</v>
      </c>
      <c r="AB3539">
        <v>0</v>
      </c>
      <c r="AC3539" t="s">
        <v>115</v>
      </c>
      <c r="AD3539">
        <v>2</v>
      </c>
      <c r="AE3539" t="s">
        <v>115</v>
      </c>
      <c r="AF3539">
        <v>0</v>
      </c>
      <c r="AG3539">
        <v>0</v>
      </c>
      <c r="AH3539" t="s">
        <v>116</v>
      </c>
      <c r="AI3539" s="1">
        <v>94698</v>
      </c>
      <c r="AJ3539" s="2">
        <v>0.28000000000000003</v>
      </c>
      <c r="AK3539" s="1">
        <v>334139</v>
      </c>
      <c r="AL3539" t="s">
        <v>117</v>
      </c>
      <c r="AM3539" t="s">
        <v>118</v>
      </c>
      <c r="AN3539">
        <v>7560</v>
      </c>
      <c r="AO3539">
        <v>0.17</v>
      </c>
      <c r="AP3539">
        <v>1</v>
      </c>
      <c r="AR3539">
        <v>1</v>
      </c>
      <c r="AS3539" s="1">
        <v>23360</v>
      </c>
      <c r="AT3539" s="1">
        <v>4670</v>
      </c>
      <c r="AU3539" s="1">
        <v>18690</v>
      </c>
      <c r="AV3539">
        <v>80.010000000000005</v>
      </c>
      <c r="AX3539" s="1">
        <v>2975.18</v>
      </c>
      <c r="AY3539" t="s">
        <v>1246</v>
      </c>
      <c r="AZ3539" t="s">
        <v>1246</v>
      </c>
      <c r="BA3539" t="s">
        <v>1247</v>
      </c>
      <c r="BE3539" s="3">
        <v>41782</v>
      </c>
      <c r="BF3539" s="1">
        <v>235000</v>
      </c>
      <c r="BG3539" t="s">
        <v>22800</v>
      </c>
      <c r="BH3539" s="1">
        <v>111.43</v>
      </c>
      <c r="BI3539" s="1">
        <v>239441</v>
      </c>
      <c r="BJ3539" s="3">
        <v>42447</v>
      </c>
      <c r="BK3539" t="s">
        <v>123</v>
      </c>
      <c r="BL3539" t="str">
        <f>"2016.177914"</f>
        <v>2016.177914</v>
      </c>
      <c r="BM3539" t="s">
        <v>1287</v>
      </c>
      <c r="BO3539" t="s">
        <v>22801</v>
      </c>
      <c r="BS3539">
        <v>30</v>
      </c>
      <c r="BW3539" t="str">
        <f>""</f>
        <v/>
      </c>
      <c r="CH3539" t="str">
        <f>""</f>
        <v/>
      </c>
      <c r="CS3539" t="str">
        <f>""</f>
        <v/>
      </c>
    </row>
    <row r="3540" spans="1:97" x14ac:dyDescent="0.25">
      <c r="A3540" t="s">
        <v>370</v>
      </c>
      <c r="B3540" t="s">
        <v>22802</v>
      </c>
      <c r="E3540" t="s">
        <v>22803</v>
      </c>
      <c r="F3540" t="s">
        <v>108</v>
      </c>
      <c r="H3540" t="s">
        <v>22804</v>
      </c>
      <c r="I3540" t="s">
        <v>144</v>
      </c>
      <c r="J3540" t="s">
        <v>111</v>
      </c>
      <c r="K3540" t="str">
        <f>"85326"</f>
        <v>85326</v>
      </c>
      <c r="L3540" t="s">
        <v>3037</v>
      </c>
      <c r="M3540" t="s">
        <v>22804</v>
      </c>
      <c r="N3540" t="s">
        <v>144</v>
      </c>
      <c r="O3540" t="s">
        <v>111</v>
      </c>
      <c r="P3540" t="str">
        <f>"85326-4698"</f>
        <v>85326-4698</v>
      </c>
      <c r="Q3540" t="s">
        <v>113</v>
      </c>
      <c r="R3540" t="str">
        <f>"400-58-038-Q"</f>
        <v>400-58-038-Q</v>
      </c>
      <c r="U3540">
        <v>2511</v>
      </c>
      <c r="V3540">
        <v>0</v>
      </c>
      <c r="W3540">
        <v>3</v>
      </c>
      <c r="X3540">
        <v>2011</v>
      </c>
      <c r="Z3540">
        <v>1</v>
      </c>
      <c r="AB3540">
        <v>0</v>
      </c>
      <c r="AC3540" t="s">
        <v>115</v>
      </c>
      <c r="AD3540">
        <v>3</v>
      </c>
      <c r="AE3540" t="s">
        <v>115</v>
      </c>
      <c r="AF3540">
        <v>0</v>
      </c>
      <c r="AG3540">
        <v>0</v>
      </c>
      <c r="AH3540" t="s">
        <v>116</v>
      </c>
      <c r="AI3540" s="1">
        <v>74653</v>
      </c>
      <c r="AJ3540" s="2">
        <v>0.21</v>
      </c>
      <c r="AK3540" s="1">
        <v>352958</v>
      </c>
      <c r="AL3540" t="s">
        <v>117</v>
      </c>
      <c r="AM3540" t="s">
        <v>376</v>
      </c>
      <c r="AN3540">
        <v>45706</v>
      </c>
      <c r="AO3540">
        <v>1.05</v>
      </c>
      <c r="AR3540">
        <v>1</v>
      </c>
      <c r="AS3540" s="1">
        <v>25020</v>
      </c>
      <c r="AT3540" s="1">
        <v>5000</v>
      </c>
      <c r="AU3540" s="1">
        <v>20020</v>
      </c>
      <c r="AV3540">
        <v>80.02</v>
      </c>
      <c r="AX3540" s="1">
        <v>2355.6799999999998</v>
      </c>
      <c r="AY3540" t="s">
        <v>3038</v>
      </c>
      <c r="AZ3540" t="s">
        <v>3038</v>
      </c>
      <c r="BA3540" t="s">
        <v>1247</v>
      </c>
      <c r="BE3540" s="3">
        <v>42032</v>
      </c>
      <c r="BF3540" s="1">
        <v>289000</v>
      </c>
      <c r="BG3540" t="s">
        <v>22805</v>
      </c>
      <c r="BH3540" s="1">
        <v>115.09</v>
      </c>
      <c r="BI3540" s="1">
        <v>278305</v>
      </c>
      <c r="BJ3540" s="3">
        <v>42032</v>
      </c>
      <c r="BK3540" t="s">
        <v>123</v>
      </c>
      <c r="BL3540" t="str">
        <f>"2015.56747"</f>
        <v>2015.56747</v>
      </c>
      <c r="BM3540" t="s">
        <v>1185</v>
      </c>
      <c r="BO3540" t="s">
        <v>22806</v>
      </c>
      <c r="BS3540">
        <v>30</v>
      </c>
      <c r="BW3540" t="str">
        <f>""</f>
        <v/>
      </c>
      <c r="CH3540" t="str">
        <f>""</f>
        <v/>
      </c>
      <c r="CS3540" t="str">
        <f>""</f>
        <v/>
      </c>
    </row>
    <row r="3541" spans="1:97" x14ac:dyDescent="0.25">
      <c r="A3541" t="s">
        <v>3089</v>
      </c>
      <c r="B3541" t="s">
        <v>22807</v>
      </c>
      <c r="C3541" t="s">
        <v>22808</v>
      </c>
      <c r="D3541" t="s">
        <v>22809</v>
      </c>
      <c r="E3541" t="s">
        <v>22810</v>
      </c>
      <c r="F3541" t="s">
        <v>108</v>
      </c>
      <c r="H3541" t="s">
        <v>22811</v>
      </c>
      <c r="I3541" t="s">
        <v>144</v>
      </c>
      <c r="J3541" t="s">
        <v>111</v>
      </c>
      <c r="K3541" t="str">
        <f>"85396"</f>
        <v>85396</v>
      </c>
      <c r="L3541" t="s">
        <v>541</v>
      </c>
      <c r="M3541" t="s">
        <v>22811</v>
      </c>
      <c r="N3541" t="s">
        <v>144</v>
      </c>
      <c r="O3541" t="s">
        <v>111</v>
      </c>
      <c r="P3541" t="str">
        <f>"85396-7550"</f>
        <v>85396-7550</v>
      </c>
      <c r="Q3541" t="s">
        <v>113</v>
      </c>
      <c r="R3541" t="str">
        <f>"502-79-633"</f>
        <v>502-79-633</v>
      </c>
      <c r="S3541" t="s">
        <v>22812</v>
      </c>
      <c r="U3541">
        <v>1742</v>
      </c>
      <c r="V3541">
        <v>0</v>
      </c>
      <c r="W3541">
        <v>3</v>
      </c>
      <c r="X3541">
        <v>2009</v>
      </c>
      <c r="Z3541">
        <v>1</v>
      </c>
      <c r="AA3541" t="s">
        <v>26</v>
      </c>
      <c r="AB3541">
        <v>0</v>
      </c>
      <c r="AC3541" t="s">
        <v>115</v>
      </c>
      <c r="AD3541">
        <v>2</v>
      </c>
      <c r="AE3541" t="s">
        <v>115</v>
      </c>
      <c r="AF3541">
        <v>0</v>
      </c>
      <c r="AG3541">
        <v>0</v>
      </c>
      <c r="AH3541" t="s">
        <v>116</v>
      </c>
      <c r="AI3541" s="1">
        <v>68136</v>
      </c>
      <c r="AJ3541" s="2">
        <v>0.2</v>
      </c>
      <c r="AK3541" s="1">
        <v>333726</v>
      </c>
      <c r="AL3541" t="s">
        <v>117</v>
      </c>
      <c r="AM3541" t="s">
        <v>118</v>
      </c>
      <c r="AN3541">
        <v>5580</v>
      </c>
      <c r="AO3541">
        <v>0.13</v>
      </c>
      <c r="AR3541">
        <v>1</v>
      </c>
      <c r="AS3541" s="1">
        <v>23220</v>
      </c>
      <c r="AT3541" s="1">
        <v>4640</v>
      </c>
      <c r="AU3541" s="1">
        <v>18580</v>
      </c>
      <c r="AV3541">
        <v>80.02</v>
      </c>
      <c r="AX3541" s="1">
        <v>2797.22</v>
      </c>
      <c r="AY3541" t="s">
        <v>543</v>
      </c>
      <c r="AZ3541" t="s">
        <v>504</v>
      </c>
      <c r="BA3541" t="s">
        <v>218</v>
      </c>
      <c r="BE3541" s="3">
        <v>42013</v>
      </c>
      <c r="BF3541" s="1">
        <v>260000</v>
      </c>
      <c r="BG3541" t="s">
        <v>22813</v>
      </c>
      <c r="BH3541" s="1">
        <v>149.25</v>
      </c>
      <c r="BI3541" s="1">
        <v>265590</v>
      </c>
      <c r="BJ3541" s="3">
        <v>42013</v>
      </c>
      <c r="BK3541" t="s">
        <v>123</v>
      </c>
      <c r="BL3541" t="str">
        <f>"2015.14874"</f>
        <v>2015.14874</v>
      </c>
      <c r="BM3541" t="s">
        <v>1185</v>
      </c>
      <c r="BO3541" t="s">
        <v>22814</v>
      </c>
      <c r="BP3541" t="s">
        <v>22815</v>
      </c>
      <c r="BS3541">
        <v>30</v>
      </c>
      <c r="BW3541" t="str">
        <f>""</f>
        <v/>
      </c>
      <c r="CH3541" t="str">
        <f>""</f>
        <v/>
      </c>
      <c r="CS3541" t="str">
        <f>""</f>
        <v/>
      </c>
    </row>
    <row r="3542" spans="1:97" x14ac:dyDescent="0.25">
      <c r="A3542" t="s">
        <v>243</v>
      </c>
      <c r="B3542" t="s">
        <v>22816</v>
      </c>
      <c r="C3542" t="s">
        <v>22817</v>
      </c>
      <c r="D3542" t="s">
        <v>22816</v>
      </c>
      <c r="E3542" t="s">
        <v>22818</v>
      </c>
      <c r="F3542" t="s">
        <v>108</v>
      </c>
      <c r="H3542" t="s">
        <v>22819</v>
      </c>
      <c r="I3542" t="s">
        <v>390</v>
      </c>
      <c r="J3542" t="s">
        <v>111</v>
      </c>
      <c r="K3542" t="str">
        <f>"85022"</f>
        <v>85022</v>
      </c>
      <c r="L3542" t="s">
        <v>5074</v>
      </c>
      <c r="M3542" t="s">
        <v>22819</v>
      </c>
      <c r="N3542" t="s">
        <v>390</v>
      </c>
      <c r="O3542" t="s">
        <v>111</v>
      </c>
      <c r="P3542" t="str">
        <f>"85022-5224"</f>
        <v>85022-5224</v>
      </c>
      <c r="Q3542" t="s">
        <v>113</v>
      </c>
      <c r="R3542" t="str">
        <f>"159-02-587"</f>
        <v>159-02-587</v>
      </c>
      <c r="S3542" t="s">
        <v>22820</v>
      </c>
      <c r="T3542" t="s">
        <v>22821</v>
      </c>
      <c r="U3542">
        <v>2374</v>
      </c>
      <c r="V3542">
        <v>0</v>
      </c>
      <c r="W3542">
        <v>3</v>
      </c>
      <c r="X3542">
        <v>1981</v>
      </c>
      <c r="Z3542">
        <v>1</v>
      </c>
      <c r="AA3542" t="s">
        <v>26</v>
      </c>
      <c r="AB3542">
        <v>0</v>
      </c>
      <c r="AC3542" t="s">
        <v>115</v>
      </c>
      <c r="AD3542">
        <v>3</v>
      </c>
      <c r="AE3542" t="s">
        <v>115</v>
      </c>
      <c r="AF3542">
        <v>0</v>
      </c>
      <c r="AG3542">
        <v>0</v>
      </c>
      <c r="AH3542" t="s">
        <v>116</v>
      </c>
      <c r="AI3542" s="1">
        <v>87907</v>
      </c>
      <c r="AJ3542" s="2">
        <v>0.19</v>
      </c>
      <c r="AK3542" s="1">
        <v>461355</v>
      </c>
      <c r="AL3542" t="s">
        <v>117</v>
      </c>
      <c r="AM3542" t="s">
        <v>1302</v>
      </c>
      <c r="AN3542">
        <v>15599</v>
      </c>
      <c r="AO3542">
        <v>0.36</v>
      </c>
      <c r="AP3542">
        <v>1</v>
      </c>
      <c r="AR3542">
        <v>1</v>
      </c>
      <c r="AS3542" s="1">
        <v>34680</v>
      </c>
      <c r="AT3542" s="1">
        <v>6930</v>
      </c>
      <c r="AU3542" s="1">
        <v>27750</v>
      </c>
      <c r="AV3542">
        <v>80.02</v>
      </c>
      <c r="AX3542" s="1">
        <v>3898.8</v>
      </c>
      <c r="AY3542" t="s">
        <v>9170</v>
      </c>
      <c r="AZ3542" t="s">
        <v>8648</v>
      </c>
      <c r="BA3542" t="s">
        <v>8649</v>
      </c>
      <c r="BE3542" s="3">
        <v>42429</v>
      </c>
      <c r="BF3542" s="1">
        <v>366000</v>
      </c>
      <c r="BG3542" t="s">
        <v>22822</v>
      </c>
      <c r="BH3542" s="1">
        <v>154.16999999999999</v>
      </c>
      <c r="BI3542" s="1">
        <v>373448</v>
      </c>
      <c r="BJ3542" s="3">
        <v>42429</v>
      </c>
      <c r="BK3542" t="s">
        <v>123</v>
      </c>
      <c r="BL3542" t="str">
        <f>"2016.126118"</f>
        <v>2016.126118</v>
      </c>
      <c r="BM3542" t="s">
        <v>5867</v>
      </c>
      <c r="BO3542" t="s">
        <v>22823</v>
      </c>
      <c r="BS3542">
        <v>30</v>
      </c>
      <c r="BW3542" t="str">
        <f>""</f>
        <v/>
      </c>
      <c r="CH3542" t="str">
        <f>""</f>
        <v/>
      </c>
      <c r="CS3542" t="str">
        <f>""</f>
        <v/>
      </c>
    </row>
    <row r="3543" spans="1:97" x14ac:dyDescent="0.25">
      <c r="A3543" t="s">
        <v>832</v>
      </c>
      <c r="B3543" t="s">
        <v>1667</v>
      </c>
      <c r="C3543" t="s">
        <v>4574</v>
      </c>
      <c r="D3543" t="s">
        <v>1667</v>
      </c>
      <c r="E3543" t="s">
        <v>22824</v>
      </c>
      <c r="F3543" t="s">
        <v>108</v>
      </c>
      <c r="H3543" t="s">
        <v>22825</v>
      </c>
      <c r="I3543" t="s">
        <v>203</v>
      </c>
      <c r="J3543" t="s">
        <v>111</v>
      </c>
      <c r="K3543" t="str">
        <f>"85233"</f>
        <v>85233</v>
      </c>
      <c r="L3543" t="s">
        <v>4316</v>
      </c>
      <c r="M3543" t="s">
        <v>22825</v>
      </c>
      <c r="N3543" t="s">
        <v>203</v>
      </c>
      <c r="O3543" t="s">
        <v>111</v>
      </c>
      <c r="P3543" t="str">
        <f>"85233-5205"</f>
        <v>85233-5205</v>
      </c>
      <c r="Q3543" t="s">
        <v>113</v>
      </c>
      <c r="R3543" t="str">
        <f>"310-09-433"</f>
        <v>310-09-433</v>
      </c>
      <c r="S3543" t="s">
        <v>22826</v>
      </c>
      <c r="T3543" t="s">
        <v>22827</v>
      </c>
      <c r="U3543">
        <v>1702</v>
      </c>
      <c r="V3543">
        <v>0</v>
      </c>
      <c r="W3543">
        <v>3</v>
      </c>
      <c r="X3543">
        <v>1998</v>
      </c>
      <c r="Z3543">
        <v>1</v>
      </c>
      <c r="AA3543" t="s">
        <v>26</v>
      </c>
      <c r="AB3543">
        <v>0</v>
      </c>
      <c r="AC3543" t="s">
        <v>115</v>
      </c>
      <c r="AD3543">
        <v>2</v>
      </c>
      <c r="AE3543" t="s">
        <v>115</v>
      </c>
      <c r="AF3543">
        <v>0</v>
      </c>
      <c r="AG3543">
        <v>0</v>
      </c>
      <c r="AH3543" t="s">
        <v>116</v>
      </c>
      <c r="AI3543" s="1">
        <v>51927</v>
      </c>
      <c r="AJ3543" s="2">
        <v>0.17</v>
      </c>
      <c r="AK3543" s="1">
        <v>314071</v>
      </c>
      <c r="AL3543" t="s">
        <v>117</v>
      </c>
      <c r="AM3543" t="s">
        <v>191</v>
      </c>
      <c r="AN3543">
        <v>8904</v>
      </c>
      <c r="AO3543">
        <v>0.2</v>
      </c>
      <c r="AP3543">
        <v>1</v>
      </c>
      <c r="AR3543">
        <v>1</v>
      </c>
      <c r="AS3543" s="1">
        <v>23280</v>
      </c>
      <c r="AT3543" s="1">
        <v>4650</v>
      </c>
      <c r="AU3543" s="1">
        <v>18630</v>
      </c>
      <c r="AV3543">
        <v>80.03</v>
      </c>
      <c r="AX3543" s="1">
        <v>1604.82</v>
      </c>
      <c r="AY3543" t="s">
        <v>9989</v>
      </c>
      <c r="AZ3543" t="s">
        <v>5478</v>
      </c>
      <c r="BA3543" t="s">
        <v>5479</v>
      </c>
      <c r="BE3543" s="3">
        <v>42542</v>
      </c>
      <c r="BF3543" s="1">
        <v>256000</v>
      </c>
      <c r="BG3543" t="s">
        <v>22828</v>
      </c>
      <c r="BH3543" s="1">
        <v>150.41</v>
      </c>
      <c r="BI3543" s="1">
        <v>262144</v>
      </c>
      <c r="BJ3543" s="3">
        <v>42542</v>
      </c>
      <c r="BK3543" t="s">
        <v>123</v>
      </c>
      <c r="BL3543" t="str">
        <f>"2016.431841"</f>
        <v>2016.431841</v>
      </c>
      <c r="BM3543" t="s">
        <v>1154</v>
      </c>
      <c r="BO3543" t="s">
        <v>22829</v>
      </c>
      <c r="BS3543">
        <v>30</v>
      </c>
      <c r="BW3543" t="str">
        <f>""</f>
        <v/>
      </c>
      <c r="CH3543" t="str">
        <f>""</f>
        <v/>
      </c>
      <c r="CS3543" t="str">
        <f>""</f>
        <v/>
      </c>
    </row>
    <row r="3544" spans="1:97" x14ac:dyDescent="0.25">
      <c r="A3544" t="s">
        <v>695</v>
      </c>
      <c r="B3544" t="s">
        <v>22830</v>
      </c>
      <c r="C3544" t="s">
        <v>852</v>
      </c>
      <c r="D3544" t="s">
        <v>22830</v>
      </c>
      <c r="E3544" t="s">
        <v>22831</v>
      </c>
      <c r="F3544" t="s">
        <v>108</v>
      </c>
      <c r="H3544" t="s">
        <v>22832</v>
      </c>
      <c r="I3544" t="s">
        <v>1788</v>
      </c>
      <c r="J3544" t="s">
        <v>111</v>
      </c>
      <c r="K3544" t="str">
        <f>"85355"</f>
        <v>85355</v>
      </c>
      <c r="L3544" t="s">
        <v>168</v>
      </c>
      <c r="M3544" t="s">
        <v>22832</v>
      </c>
      <c r="N3544" t="s">
        <v>1788</v>
      </c>
      <c r="O3544" t="s">
        <v>111</v>
      </c>
      <c r="P3544" t="str">
        <f>"85355-4465"</f>
        <v>85355-4465</v>
      </c>
      <c r="Q3544" t="s">
        <v>113</v>
      </c>
      <c r="R3544" t="str">
        <f>"502-90-521"</f>
        <v>502-90-521</v>
      </c>
      <c r="S3544" t="s">
        <v>8290</v>
      </c>
      <c r="T3544" t="s">
        <v>8290</v>
      </c>
      <c r="U3544">
        <v>2507</v>
      </c>
      <c r="V3544">
        <v>0</v>
      </c>
      <c r="W3544">
        <v>4</v>
      </c>
      <c r="X3544">
        <v>2014</v>
      </c>
      <c r="Z3544">
        <v>1</v>
      </c>
      <c r="AB3544">
        <v>0</v>
      </c>
      <c r="AC3544" t="s">
        <v>115</v>
      </c>
      <c r="AD3544">
        <v>3</v>
      </c>
      <c r="AE3544" t="s">
        <v>115</v>
      </c>
      <c r="AF3544">
        <v>0</v>
      </c>
      <c r="AG3544">
        <v>0</v>
      </c>
      <c r="AH3544" t="s">
        <v>116</v>
      </c>
      <c r="AI3544" s="1">
        <v>52882</v>
      </c>
      <c r="AJ3544" s="2">
        <v>0.16</v>
      </c>
      <c r="AK3544" s="1">
        <v>338214</v>
      </c>
      <c r="AL3544" t="s">
        <v>117</v>
      </c>
      <c r="AM3544" t="s">
        <v>171</v>
      </c>
      <c r="AN3544">
        <v>8750</v>
      </c>
      <c r="AO3544">
        <v>0.2</v>
      </c>
      <c r="AR3544">
        <v>1</v>
      </c>
      <c r="AS3544" s="1">
        <v>25050</v>
      </c>
      <c r="AT3544" s="1">
        <v>5010</v>
      </c>
      <c r="AU3544" s="1">
        <v>20040</v>
      </c>
      <c r="AV3544">
        <v>80</v>
      </c>
      <c r="AX3544" s="1">
        <v>1783.78</v>
      </c>
      <c r="AY3544" t="s">
        <v>5972</v>
      </c>
      <c r="AZ3544" t="s">
        <v>5972</v>
      </c>
      <c r="BA3544" t="s">
        <v>5061</v>
      </c>
      <c r="BE3544" s="3">
        <v>41904</v>
      </c>
      <c r="BF3544" s="1">
        <v>276217</v>
      </c>
      <c r="BG3544" t="s">
        <v>158</v>
      </c>
      <c r="BH3544" s="1">
        <v>110.18</v>
      </c>
      <c r="BI3544" s="1">
        <v>285332</v>
      </c>
      <c r="BJ3544" s="3">
        <v>41904</v>
      </c>
      <c r="BK3544" t="s">
        <v>123</v>
      </c>
      <c r="BL3544" t="str">
        <f>"2014.624579"</f>
        <v>2014.624579</v>
      </c>
      <c r="BM3544" t="s">
        <v>241</v>
      </c>
      <c r="BO3544" t="s">
        <v>22833</v>
      </c>
      <c r="BS3544">
        <v>30</v>
      </c>
      <c r="BW3544" t="str">
        <f>""</f>
        <v/>
      </c>
      <c r="CH3544" t="str">
        <f>""</f>
        <v/>
      </c>
      <c r="CS3544" t="str">
        <f>""</f>
        <v/>
      </c>
    </row>
    <row r="3545" spans="1:97" x14ac:dyDescent="0.25">
      <c r="B3545" t="s">
        <v>22834</v>
      </c>
      <c r="E3545" t="s">
        <v>603</v>
      </c>
      <c r="F3545" t="s">
        <v>108</v>
      </c>
      <c r="H3545" t="s">
        <v>22835</v>
      </c>
      <c r="I3545" t="s">
        <v>3150</v>
      </c>
      <c r="J3545" t="s">
        <v>111</v>
      </c>
      <c r="K3545" t="str">
        <f>"85340"</f>
        <v>85340</v>
      </c>
      <c r="L3545" t="s">
        <v>2765</v>
      </c>
      <c r="M3545" t="s">
        <v>22835</v>
      </c>
      <c r="N3545" t="s">
        <v>3150</v>
      </c>
      <c r="O3545" t="s">
        <v>111</v>
      </c>
      <c r="P3545" t="str">
        <f>"85340-6254"</f>
        <v>85340-6254</v>
      </c>
      <c r="Q3545" t="s">
        <v>113</v>
      </c>
      <c r="R3545" t="str">
        <f>"502-27-568"</f>
        <v>502-27-568</v>
      </c>
      <c r="S3545" t="s">
        <v>7560</v>
      </c>
      <c r="T3545" t="s">
        <v>7560</v>
      </c>
      <c r="U3545">
        <v>2175</v>
      </c>
      <c r="V3545">
        <v>0</v>
      </c>
      <c r="W3545">
        <v>3</v>
      </c>
      <c r="X3545">
        <v>2013</v>
      </c>
      <c r="Z3545">
        <v>1</v>
      </c>
      <c r="AB3545">
        <v>0</v>
      </c>
      <c r="AC3545" t="s">
        <v>115</v>
      </c>
      <c r="AD3545">
        <v>3</v>
      </c>
      <c r="AE3545" t="s">
        <v>115</v>
      </c>
      <c r="AF3545">
        <v>0</v>
      </c>
      <c r="AG3545">
        <v>0</v>
      </c>
      <c r="AH3545" t="s">
        <v>116</v>
      </c>
      <c r="AI3545" s="1">
        <v>63008</v>
      </c>
      <c r="AJ3545" s="2">
        <v>0.18</v>
      </c>
      <c r="AK3545" s="1">
        <v>358446</v>
      </c>
      <c r="AL3545" t="s">
        <v>117</v>
      </c>
      <c r="AM3545" t="s">
        <v>1302</v>
      </c>
      <c r="AN3545">
        <v>11051</v>
      </c>
      <c r="AO3545">
        <v>0.25</v>
      </c>
      <c r="AR3545">
        <v>1</v>
      </c>
      <c r="AS3545" s="1">
        <v>23870</v>
      </c>
      <c r="AT3545" s="1">
        <v>4770</v>
      </c>
      <c r="AU3545" s="1">
        <v>19100</v>
      </c>
      <c r="AV3545">
        <v>80.02</v>
      </c>
      <c r="AX3545" s="1">
        <v>2768.24</v>
      </c>
      <c r="AY3545" t="s">
        <v>503</v>
      </c>
      <c r="AZ3545" t="s">
        <v>504</v>
      </c>
      <c r="BA3545" t="s">
        <v>218</v>
      </c>
      <c r="BE3545" s="3">
        <v>42475</v>
      </c>
      <c r="BF3545" s="1">
        <v>286000</v>
      </c>
      <c r="BG3545" t="s">
        <v>22836</v>
      </c>
      <c r="BH3545" s="1">
        <v>131.49</v>
      </c>
      <c r="BI3545" s="1">
        <v>295438</v>
      </c>
      <c r="BJ3545" s="3">
        <v>42475</v>
      </c>
      <c r="BK3545" t="s">
        <v>123</v>
      </c>
      <c r="BL3545" t="str">
        <f>"2016.249880"</f>
        <v>2016.249880</v>
      </c>
      <c r="BM3545" t="s">
        <v>22837</v>
      </c>
      <c r="BO3545" t="s">
        <v>22834</v>
      </c>
      <c r="BS3545">
        <v>30</v>
      </c>
      <c r="BW3545" t="str">
        <f>""</f>
        <v/>
      </c>
      <c r="CH3545" t="str">
        <f>""</f>
        <v/>
      </c>
      <c r="CS3545" t="str">
        <f>""</f>
        <v/>
      </c>
    </row>
    <row r="3546" spans="1:97" x14ac:dyDescent="0.25">
      <c r="A3546" t="s">
        <v>1850</v>
      </c>
      <c r="B3546" t="s">
        <v>22838</v>
      </c>
      <c r="C3546" t="s">
        <v>13507</v>
      </c>
      <c r="D3546" t="s">
        <v>22838</v>
      </c>
      <c r="E3546" t="s">
        <v>22839</v>
      </c>
      <c r="F3546" t="s">
        <v>108</v>
      </c>
      <c r="H3546" t="s">
        <v>22840</v>
      </c>
      <c r="I3546" t="s">
        <v>3150</v>
      </c>
      <c r="J3546" t="s">
        <v>111</v>
      </c>
      <c r="K3546" t="str">
        <f>"85340"</f>
        <v>85340</v>
      </c>
      <c r="L3546" t="s">
        <v>11097</v>
      </c>
      <c r="M3546" t="s">
        <v>22840</v>
      </c>
      <c r="N3546" t="s">
        <v>3150</v>
      </c>
      <c r="O3546" t="s">
        <v>111</v>
      </c>
      <c r="P3546" t="str">
        <f>"85340-5903"</f>
        <v>85340-5903</v>
      </c>
      <c r="Q3546" t="s">
        <v>113</v>
      </c>
      <c r="R3546" t="str">
        <f>"508-02-303"</f>
        <v>508-02-303</v>
      </c>
      <c r="S3546" t="s">
        <v>9163</v>
      </c>
      <c r="T3546" t="s">
        <v>9163</v>
      </c>
      <c r="U3546">
        <v>2488</v>
      </c>
      <c r="V3546">
        <v>0</v>
      </c>
      <c r="W3546">
        <v>3</v>
      </c>
      <c r="X3546">
        <v>2005</v>
      </c>
      <c r="Z3546">
        <v>1</v>
      </c>
      <c r="AB3546">
        <v>0</v>
      </c>
      <c r="AC3546" t="s">
        <v>115</v>
      </c>
      <c r="AD3546">
        <v>2</v>
      </c>
      <c r="AE3546" t="s">
        <v>115</v>
      </c>
      <c r="AF3546">
        <v>0</v>
      </c>
      <c r="AG3546">
        <v>0</v>
      </c>
      <c r="AH3546" t="s">
        <v>116</v>
      </c>
      <c r="AI3546" s="1">
        <v>94908</v>
      </c>
      <c r="AJ3546" s="2">
        <v>0.3</v>
      </c>
      <c r="AK3546" s="1">
        <v>313008</v>
      </c>
      <c r="AL3546" t="s">
        <v>117</v>
      </c>
      <c r="AM3546" t="s">
        <v>118</v>
      </c>
      <c r="AN3546">
        <v>8050</v>
      </c>
      <c r="AO3546">
        <v>0.18</v>
      </c>
      <c r="AR3546">
        <v>1</v>
      </c>
      <c r="AS3546" s="1">
        <v>22800</v>
      </c>
      <c r="AT3546" s="1">
        <v>4560</v>
      </c>
      <c r="AU3546" s="1">
        <v>18240</v>
      </c>
      <c r="AV3546">
        <v>80</v>
      </c>
      <c r="AX3546" s="1">
        <v>1997.1</v>
      </c>
      <c r="AY3546" t="s">
        <v>7636</v>
      </c>
      <c r="AZ3546" t="s">
        <v>6701</v>
      </c>
      <c r="BA3546" t="s">
        <v>3154</v>
      </c>
      <c r="BE3546" s="3">
        <v>41701</v>
      </c>
      <c r="BF3546" s="1">
        <v>218000</v>
      </c>
      <c r="BG3546" t="s">
        <v>22841</v>
      </c>
      <c r="BH3546" s="1">
        <v>87.62</v>
      </c>
      <c r="BI3546" s="1">
        <v>218100</v>
      </c>
      <c r="BJ3546" s="3">
        <v>42324</v>
      </c>
      <c r="BK3546" t="s">
        <v>123</v>
      </c>
      <c r="BL3546" t="str">
        <f>"2015.819244"</f>
        <v>2015.819244</v>
      </c>
      <c r="BM3546" t="s">
        <v>124</v>
      </c>
      <c r="BO3546" t="s">
        <v>22842</v>
      </c>
      <c r="BS3546">
        <v>30</v>
      </c>
      <c r="BW3546" t="str">
        <f>""</f>
        <v/>
      </c>
      <c r="CH3546" t="str">
        <f>""</f>
        <v/>
      </c>
      <c r="CS3546" t="str">
        <f>""</f>
        <v/>
      </c>
    </row>
    <row r="3547" spans="1:97" x14ac:dyDescent="0.25">
      <c r="A3547" t="s">
        <v>11648</v>
      </c>
      <c r="B3547" t="s">
        <v>6814</v>
      </c>
      <c r="E3547" t="s">
        <v>22843</v>
      </c>
      <c r="F3547" t="s">
        <v>108</v>
      </c>
      <c r="H3547" t="s">
        <v>22844</v>
      </c>
      <c r="I3547" t="s">
        <v>2874</v>
      </c>
      <c r="J3547" t="s">
        <v>111</v>
      </c>
      <c r="K3547" t="str">
        <f>"85308"</f>
        <v>85308</v>
      </c>
      <c r="L3547" t="s">
        <v>316</v>
      </c>
      <c r="M3547" t="s">
        <v>22844</v>
      </c>
      <c r="N3547" t="s">
        <v>2874</v>
      </c>
      <c r="O3547" t="s">
        <v>111</v>
      </c>
      <c r="P3547" t="str">
        <f>"85308-5732"</f>
        <v>85308-5732</v>
      </c>
      <c r="Q3547" t="s">
        <v>113</v>
      </c>
      <c r="R3547" t="str">
        <f>"200-29-767"</f>
        <v>200-29-767</v>
      </c>
      <c r="S3547" t="s">
        <v>22845</v>
      </c>
      <c r="U3547">
        <v>2057</v>
      </c>
      <c r="V3547">
        <v>0</v>
      </c>
      <c r="W3547">
        <v>4</v>
      </c>
      <c r="X3547">
        <v>1988</v>
      </c>
      <c r="Z3547">
        <v>2</v>
      </c>
      <c r="AA3547" t="s">
        <v>26</v>
      </c>
      <c r="AB3547">
        <v>0</v>
      </c>
      <c r="AC3547" t="s">
        <v>115</v>
      </c>
      <c r="AD3547">
        <v>2</v>
      </c>
      <c r="AE3547" t="s">
        <v>115</v>
      </c>
      <c r="AF3547">
        <v>0</v>
      </c>
      <c r="AG3547">
        <v>0</v>
      </c>
      <c r="AH3547" t="s">
        <v>116</v>
      </c>
      <c r="AI3547" s="1">
        <v>48263</v>
      </c>
      <c r="AJ3547" s="2">
        <v>0.14000000000000001</v>
      </c>
      <c r="AK3547" s="1">
        <v>342564</v>
      </c>
      <c r="AL3547" t="s">
        <v>117</v>
      </c>
      <c r="AM3547" t="s">
        <v>191</v>
      </c>
      <c r="AN3547">
        <v>5500</v>
      </c>
      <c r="AO3547">
        <v>0.13</v>
      </c>
      <c r="AP3547">
        <v>1</v>
      </c>
      <c r="AR3547">
        <v>1</v>
      </c>
      <c r="AS3547" s="1">
        <v>24420</v>
      </c>
      <c r="AT3547" s="1">
        <v>4880</v>
      </c>
      <c r="AU3547" s="1">
        <v>19540</v>
      </c>
      <c r="AV3547">
        <v>80.02</v>
      </c>
      <c r="AX3547" s="1">
        <v>2366.2800000000002</v>
      </c>
      <c r="AY3547" t="s">
        <v>6740</v>
      </c>
      <c r="AZ3547" t="s">
        <v>6740</v>
      </c>
      <c r="BA3547" t="s">
        <v>2223</v>
      </c>
      <c r="BE3547" s="3">
        <v>42284</v>
      </c>
      <c r="BF3547" s="1">
        <v>284900</v>
      </c>
      <c r="BG3547" t="s">
        <v>22846</v>
      </c>
      <c r="BH3547" s="1">
        <v>138.5</v>
      </c>
      <c r="BI3547" s="1">
        <v>294301</v>
      </c>
      <c r="BJ3547" s="3">
        <v>42284</v>
      </c>
      <c r="BK3547" t="s">
        <v>123</v>
      </c>
      <c r="BL3547" t="str">
        <f>"2015.721581"</f>
        <v>2015.721581</v>
      </c>
      <c r="BM3547" t="s">
        <v>135</v>
      </c>
      <c r="BO3547" t="s">
        <v>22847</v>
      </c>
      <c r="BS3547">
        <v>30</v>
      </c>
      <c r="BW3547" t="str">
        <f>""</f>
        <v/>
      </c>
      <c r="CH3547" t="str">
        <f>""</f>
        <v/>
      </c>
      <c r="CS3547" t="str">
        <f>""</f>
        <v/>
      </c>
    </row>
    <row r="3548" spans="1:97" x14ac:dyDescent="0.25">
      <c r="A3548" t="s">
        <v>15211</v>
      </c>
      <c r="B3548" t="s">
        <v>22848</v>
      </c>
      <c r="C3548" t="s">
        <v>1047</v>
      </c>
      <c r="D3548" t="s">
        <v>22848</v>
      </c>
      <c r="E3548" t="s">
        <v>22849</v>
      </c>
      <c r="F3548" t="s">
        <v>108</v>
      </c>
      <c r="H3548" t="s">
        <v>22850</v>
      </c>
      <c r="I3548" t="s">
        <v>203</v>
      </c>
      <c r="J3548" t="s">
        <v>111</v>
      </c>
      <c r="K3548" t="str">
        <f>"85298"</f>
        <v>85298</v>
      </c>
      <c r="L3548" t="s">
        <v>21230</v>
      </c>
      <c r="M3548" t="s">
        <v>22850</v>
      </c>
      <c r="N3548" t="s">
        <v>203</v>
      </c>
      <c r="O3548" t="s">
        <v>111</v>
      </c>
      <c r="P3548" t="str">
        <f>"85298-8796"</f>
        <v>85298-8796</v>
      </c>
      <c r="Q3548" t="s">
        <v>113</v>
      </c>
      <c r="R3548" t="str">
        <f>"313-07-831"</f>
        <v>313-07-831</v>
      </c>
      <c r="S3548" t="s">
        <v>21231</v>
      </c>
      <c r="U3548">
        <v>2968</v>
      </c>
      <c r="V3548">
        <v>0</v>
      </c>
      <c r="W3548">
        <v>4</v>
      </c>
      <c r="X3548">
        <v>2012</v>
      </c>
      <c r="Z3548">
        <v>1</v>
      </c>
      <c r="AB3548">
        <v>0</v>
      </c>
      <c r="AC3548" t="s">
        <v>115</v>
      </c>
      <c r="AD3548">
        <v>3</v>
      </c>
      <c r="AE3548" t="s">
        <v>115</v>
      </c>
      <c r="AF3548">
        <v>0</v>
      </c>
      <c r="AG3548">
        <v>0</v>
      </c>
      <c r="AH3548" t="s">
        <v>116</v>
      </c>
      <c r="AI3548" s="1">
        <v>74875</v>
      </c>
      <c r="AJ3548" s="2">
        <v>0.17</v>
      </c>
      <c r="AK3548" s="1">
        <v>436425</v>
      </c>
      <c r="AL3548" t="s">
        <v>117</v>
      </c>
      <c r="AM3548" t="s">
        <v>171</v>
      </c>
      <c r="AN3548">
        <v>10123</v>
      </c>
      <c r="AO3548">
        <v>0.23</v>
      </c>
      <c r="AR3548">
        <v>1</v>
      </c>
      <c r="AS3548" s="1">
        <v>33570</v>
      </c>
      <c r="AT3548" s="1">
        <v>6710</v>
      </c>
      <c r="AU3548" s="1">
        <v>26860</v>
      </c>
      <c r="AV3548">
        <v>80.010000000000005</v>
      </c>
      <c r="AX3548" s="1">
        <v>2878.12</v>
      </c>
      <c r="AY3548" t="s">
        <v>272</v>
      </c>
      <c r="AZ3548" t="s">
        <v>273</v>
      </c>
      <c r="BA3548" t="s">
        <v>274</v>
      </c>
      <c r="BE3548" s="3">
        <v>42173</v>
      </c>
      <c r="BF3548" s="1">
        <v>350000</v>
      </c>
      <c r="BG3548" t="s">
        <v>22851</v>
      </c>
      <c r="BH3548" s="1">
        <v>117.92</v>
      </c>
      <c r="BI3548" s="1">
        <v>361550</v>
      </c>
      <c r="BJ3548" s="3">
        <v>42173</v>
      </c>
      <c r="BK3548" t="s">
        <v>123</v>
      </c>
      <c r="BL3548" t="str">
        <f>"2015.435935"</f>
        <v>2015.435935</v>
      </c>
      <c r="BM3548" t="s">
        <v>124</v>
      </c>
      <c r="BO3548" t="s">
        <v>22852</v>
      </c>
      <c r="BS3548">
        <v>30</v>
      </c>
      <c r="BW3548" t="str">
        <f>""</f>
        <v/>
      </c>
      <c r="CH3548" t="str">
        <f>""</f>
        <v/>
      </c>
      <c r="CS3548" t="str">
        <f>""</f>
        <v/>
      </c>
    </row>
    <row r="3549" spans="1:97" x14ac:dyDescent="0.25">
      <c r="A3549" t="s">
        <v>10880</v>
      </c>
      <c r="B3549" t="s">
        <v>22853</v>
      </c>
      <c r="C3549" t="s">
        <v>364</v>
      </c>
      <c r="D3549" t="s">
        <v>22853</v>
      </c>
      <c r="E3549" t="s">
        <v>22854</v>
      </c>
      <c r="F3549" t="s">
        <v>108</v>
      </c>
      <c r="H3549" t="s">
        <v>22855</v>
      </c>
      <c r="I3549" t="s">
        <v>110</v>
      </c>
      <c r="J3549" t="s">
        <v>111</v>
      </c>
      <c r="K3549" t="str">
        <f>"85249"</f>
        <v>85249</v>
      </c>
      <c r="L3549" t="s">
        <v>12877</v>
      </c>
      <c r="M3549" t="s">
        <v>22855</v>
      </c>
      <c r="N3549" t="s">
        <v>110</v>
      </c>
      <c r="O3549" t="s">
        <v>111</v>
      </c>
      <c r="P3549" t="str">
        <f>"85249-8974"</f>
        <v>85249-8974</v>
      </c>
      <c r="Q3549" t="s">
        <v>113</v>
      </c>
      <c r="R3549" t="str">
        <f>"304-83-874"</f>
        <v>304-83-874</v>
      </c>
      <c r="S3549" t="s">
        <v>22856</v>
      </c>
      <c r="U3549">
        <v>1680</v>
      </c>
      <c r="V3549">
        <v>0</v>
      </c>
      <c r="W3549">
        <v>3</v>
      </c>
      <c r="X3549">
        <v>2003</v>
      </c>
      <c r="Z3549">
        <v>1</v>
      </c>
      <c r="AB3549">
        <v>0</v>
      </c>
      <c r="AC3549" t="s">
        <v>115</v>
      </c>
      <c r="AD3549">
        <v>2</v>
      </c>
      <c r="AE3549" t="s">
        <v>115</v>
      </c>
      <c r="AF3549">
        <v>0</v>
      </c>
      <c r="AG3549">
        <v>0</v>
      </c>
      <c r="AH3549" t="s">
        <v>116</v>
      </c>
      <c r="AI3549" s="1">
        <v>26682</v>
      </c>
      <c r="AJ3549" s="2">
        <v>0.08</v>
      </c>
      <c r="AK3549" s="1">
        <v>324682</v>
      </c>
      <c r="AL3549" t="s">
        <v>117</v>
      </c>
      <c r="AM3549" t="s">
        <v>118</v>
      </c>
      <c r="AN3549">
        <v>7174</v>
      </c>
      <c r="AO3549">
        <v>0.16</v>
      </c>
      <c r="AP3549">
        <v>1</v>
      </c>
      <c r="AR3549">
        <v>1</v>
      </c>
      <c r="AS3549" s="1">
        <v>22660</v>
      </c>
      <c r="AT3549" s="1">
        <v>4530</v>
      </c>
      <c r="AU3549" s="1">
        <v>18130</v>
      </c>
      <c r="AV3549">
        <v>80.010000000000005</v>
      </c>
      <c r="AX3549" s="1">
        <v>2630.16</v>
      </c>
      <c r="AY3549" t="s">
        <v>6269</v>
      </c>
      <c r="AZ3549" t="s">
        <v>273</v>
      </c>
      <c r="BA3549" t="s">
        <v>274</v>
      </c>
      <c r="BE3549" s="3">
        <v>41956</v>
      </c>
      <c r="BF3549" s="1">
        <v>240000</v>
      </c>
      <c r="BG3549" t="s">
        <v>22857</v>
      </c>
      <c r="BH3549" s="1">
        <v>142.86000000000001</v>
      </c>
      <c r="BI3549" s="1">
        <v>278000</v>
      </c>
      <c r="BJ3549" s="3">
        <v>42641</v>
      </c>
      <c r="BK3549" t="s">
        <v>123</v>
      </c>
      <c r="BL3549" t="str">
        <f>"2016.706104"</f>
        <v>2016.706104</v>
      </c>
      <c r="BM3549" t="s">
        <v>820</v>
      </c>
      <c r="BN3549" t="s">
        <v>2188</v>
      </c>
      <c r="BO3549" t="s">
        <v>22858</v>
      </c>
      <c r="BS3549">
        <v>30</v>
      </c>
      <c r="BT3549" s="1">
        <v>20000</v>
      </c>
      <c r="BU3549" s="3">
        <v>43308</v>
      </c>
      <c r="BV3549" t="s">
        <v>134</v>
      </c>
      <c r="BW3549" t="str">
        <f>"2018.568562"</f>
        <v>2018.568562</v>
      </c>
      <c r="BX3549" t="s">
        <v>10005</v>
      </c>
      <c r="BY3549" t="s">
        <v>10006</v>
      </c>
      <c r="BZ3549" t="s">
        <v>22859</v>
      </c>
      <c r="CA3549" t="s">
        <v>22860</v>
      </c>
      <c r="CC3549" t="s">
        <v>139</v>
      </c>
      <c r="CH3549" t="str">
        <f>""</f>
        <v/>
      </c>
      <c r="CS3549" t="str">
        <f>""</f>
        <v/>
      </c>
    </row>
    <row r="3550" spans="1:97" x14ac:dyDescent="0.25">
      <c r="A3550" t="s">
        <v>3707</v>
      </c>
      <c r="B3550" t="s">
        <v>22861</v>
      </c>
      <c r="C3550" t="s">
        <v>305</v>
      </c>
      <c r="D3550" t="s">
        <v>22861</v>
      </c>
      <c r="E3550" t="s">
        <v>22862</v>
      </c>
      <c r="F3550" t="s">
        <v>139</v>
      </c>
      <c r="H3550" t="s">
        <v>22863</v>
      </c>
      <c r="I3550" t="s">
        <v>390</v>
      </c>
      <c r="J3550" t="s">
        <v>111</v>
      </c>
      <c r="K3550" t="str">
        <f>"85022"</f>
        <v>85022</v>
      </c>
      <c r="L3550" t="s">
        <v>5539</v>
      </c>
      <c r="M3550" t="s">
        <v>22864</v>
      </c>
      <c r="N3550" t="s">
        <v>390</v>
      </c>
      <c r="O3550" t="s">
        <v>111</v>
      </c>
      <c r="P3550" t="str">
        <f>"85022-4544"</f>
        <v>85022-4544</v>
      </c>
      <c r="Q3550" t="s">
        <v>113</v>
      </c>
      <c r="R3550" t="str">
        <f>"214-50-142"</f>
        <v>214-50-142</v>
      </c>
      <c r="S3550" t="s">
        <v>22865</v>
      </c>
      <c r="T3550" t="s">
        <v>1397</v>
      </c>
      <c r="U3550">
        <v>1900</v>
      </c>
      <c r="V3550">
        <v>0</v>
      </c>
      <c r="W3550">
        <v>2</v>
      </c>
      <c r="X3550">
        <v>1987</v>
      </c>
      <c r="Z3550">
        <v>1</v>
      </c>
      <c r="AA3550" t="s">
        <v>26</v>
      </c>
      <c r="AB3550">
        <v>0</v>
      </c>
      <c r="AC3550" t="s">
        <v>115</v>
      </c>
      <c r="AD3550">
        <v>2</v>
      </c>
      <c r="AE3550" t="s">
        <v>115</v>
      </c>
      <c r="AF3550">
        <v>0</v>
      </c>
      <c r="AG3550">
        <v>0</v>
      </c>
      <c r="AH3550" t="s">
        <v>116</v>
      </c>
      <c r="AI3550" s="1">
        <v>42413</v>
      </c>
      <c r="AJ3550" s="2">
        <v>0.12</v>
      </c>
      <c r="AK3550" s="1">
        <v>344863</v>
      </c>
      <c r="AL3550" t="s">
        <v>117</v>
      </c>
      <c r="AM3550" t="s">
        <v>191</v>
      </c>
      <c r="AN3550">
        <v>7619</v>
      </c>
      <c r="AO3550">
        <v>0.18</v>
      </c>
      <c r="AP3550">
        <v>1</v>
      </c>
      <c r="AR3550">
        <v>1</v>
      </c>
      <c r="AS3550" s="1">
        <v>24160</v>
      </c>
      <c r="AT3550" s="1">
        <v>4830</v>
      </c>
      <c r="AU3550" s="1">
        <v>19330</v>
      </c>
      <c r="AV3550">
        <v>80.010000000000005</v>
      </c>
      <c r="AX3550" s="1">
        <v>2010.32</v>
      </c>
      <c r="AY3550" t="s">
        <v>5802</v>
      </c>
      <c r="AZ3550" t="s">
        <v>5489</v>
      </c>
      <c r="BA3550" t="s">
        <v>5232</v>
      </c>
      <c r="BB3550" s="3">
        <v>42697</v>
      </c>
      <c r="BD3550" t="s">
        <v>240</v>
      </c>
      <c r="BE3550" s="3">
        <v>42305</v>
      </c>
      <c r="BF3550" s="1">
        <v>275000</v>
      </c>
      <c r="BG3550" t="s">
        <v>22866</v>
      </c>
      <c r="BH3550" s="1">
        <v>157.13999999999999</v>
      </c>
      <c r="BI3550" s="1">
        <v>302450</v>
      </c>
      <c r="BJ3550" s="3">
        <v>43535</v>
      </c>
      <c r="BK3550" t="s">
        <v>123</v>
      </c>
      <c r="BL3550" t="str">
        <f>"2019.165866"</f>
        <v>2019.165866</v>
      </c>
      <c r="BM3550" t="s">
        <v>1370</v>
      </c>
      <c r="BN3550" t="s">
        <v>4077</v>
      </c>
      <c r="BO3550" t="s">
        <v>22867</v>
      </c>
      <c r="BP3550" t="s">
        <v>22868</v>
      </c>
      <c r="BR3550" t="s">
        <v>139</v>
      </c>
      <c r="BW3550" t="str">
        <f>""</f>
        <v/>
      </c>
      <c r="CH3550" t="str">
        <f>""</f>
        <v/>
      </c>
      <c r="CS3550" t="str">
        <f>""</f>
        <v/>
      </c>
    </row>
    <row r="3551" spans="1:97" x14ac:dyDescent="0.25">
      <c r="A3551" t="s">
        <v>4402</v>
      </c>
      <c r="B3551" t="s">
        <v>22869</v>
      </c>
      <c r="C3551" t="s">
        <v>2817</v>
      </c>
      <c r="D3551" t="s">
        <v>22869</v>
      </c>
      <c r="E3551" t="s">
        <v>22870</v>
      </c>
      <c r="F3551" t="s">
        <v>108</v>
      </c>
      <c r="H3551" t="s">
        <v>22871</v>
      </c>
      <c r="I3551" t="s">
        <v>110</v>
      </c>
      <c r="J3551" t="s">
        <v>111</v>
      </c>
      <c r="K3551" t="str">
        <f>"85224"</f>
        <v>85224</v>
      </c>
      <c r="L3551" t="s">
        <v>5074</v>
      </c>
      <c r="M3551" t="s">
        <v>22871</v>
      </c>
      <c r="N3551" t="s">
        <v>110</v>
      </c>
      <c r="O3551" t="s">
        <v>111</v>
      </c>
      <c r="P3551" t="str">
        <f>"85224-9002"</f>
        <v>85224-9002</v>
      </c>
      <c r="Q3551" t="s">
        <v>113</v>
      </c>
      <c r="R3551" t="str">
        <f>"302-97-605"</f>
        <v>302-97-605</v>
      </c>
      <c r="S3551" t="s">
        <v>22872</v>
      </c>
      <c r="T3551" t="s">
        <v>22872</v>
      </c>
      <c r="U3551">
        <v>2034</v>
      </c>
      <c r="V3551">
        <v>0</v>
      </c>
      <c r="W3551">
        <v>3</v>
      </c>
      <c r="X3551">
        <v>1995</v>
      </c>
      <c r="Z3551">
        <v>1</v>
      </c>
      <c r="AA3551" t="s">
        <v>26</v>
      </c>
      <c r="AB3551">
        <v>0</v>
      </c>
      <c r="AC3551" t="s">
        <v>115</v>
      </c>
      <c r="AD3551">
        <v>3</v>
      </c>
      <c r="AE3551" t="s">
        <v>115</v>
      </c>
      <c r="AF3551">
        <v>0</v>
      </c>
      <c r="AG3551">
        <v>0</v>
      </c>
      <c r="AH3551" t="s">
        <v>116</v>
      </c>
      <c r="AI3551" s="1">
        <v>105939</v>
      </c>
      <c r="AJ3551" s="2">
        <v>0.26</v>
      </c>
      <c r="AK3551" s="1">
        <v>400289</v>
      </c>
      <c r="AL3551" t="s">
        <v>117</v>
      </c>
      <c r="AM3551" t="s">
        <v>118</v>
      </c>
      <c r="AN3551">
        <v>8255</v>
      </c>
      <c r="AO3551">
        <v>0.19</v>
      </c>
      <c r="AP3551">
        <v>1</v>
      </c>
      <c r="AR3551">
        <v>1</v>
      </c>
      <c r="AS3551" s="1">
        <v>28370</v>
      </c>
      <c r="AT3551" s="1">
        <v>5670</v>
      </c>
      <c r="AU3551" s="1">
        <v>22700</v>
      </c>
      <c r="AV3551">
        <v>80.010000000000005</v>
      </c>
      <c r="AX3551" s="1">
        <v>1991.46</v>
      </c>
      <c r="AY3551" t="s">
        <v>5722</v>
      </c>
      <c r="AZ3551" t="s">
        <v>5078</v>
      </c>
      <c r="BA3551" t="s">
        <v>2957</v>
      </c>
      <c r="BE3551" s="3">
        <v>42143</v>
      </c>
      <c r="BF3551" s="1">
        <v>315000</v>
      </c>
      <c r="BG3551" t="s">
        <v>22873</v>
      </c>
      <c r="BH3551" s="1">
        <v>154.87</v>
      </c>
      <c r="BI3551" s="1">
        <v>294350</v>
      </c>
      <c r="BJ3551" s="3">
        <v>42143</v>
      </c>
      <c r="BK3551" t="s">
        <v>123</v>
      </c>
      <c r="BL3551" t="str">
        <f>"2015.351829"</f>
        <v>2015.351829</v>
      </c>
      <c r="BM3551" t="s">
        <v>594</v>
      </c>
      <c r="BO3551" t="s">
        <v>22874</v>
      </c>
      <c r="BS3551">
        <v>30</v>
      </c>
      <c r="BW3551" t="str">
        <f>""</f>
        <v/>
      </c>
      <c r="CH3551" t="str">
        <f>""</f>
        <v/>
      </c>
      <c r="CS3551" t="str">
        <f>""</f>
        <v/>
      </c>
    </row>
    <row r="3552" spans="1:97" x14ac:dyDescent="0.25">
      <c r="A3552" t="s">
        <v>22875</v>
      </c>
      <c r="B3552" t="s">
        <v>2271</v>
      </c>
      <c r="C3552" t="s">
        <v>365</v>
      </c>
      <c r="D3552" t="s">
        <v>2271</v>
      </c>
      <c r="E3552" t="s">
        <v>22876</v>
      </c>
      <c r="F3552" t="s">
        <v>108</v>
      </c>
      <c r="H3552" t="s">
        <v>22877</v>
      </c>
      <c r="I3552" t="s">
        <v>225</v>
      </c>
      <c r="J3552" t="s">
        <v>111</v>
      </c>
      <c r="K3552" t="str">
        <f>"85207"</f>
        <v>85207</v>
      </c>
      <c r="L3552" t="s">
        <v>21230</v>
      </c>
      <c r="M3552" t="s">
        <v>22877</v>
      </c>
      <c r="N3552" t="s">
        <v>225</v>
      </c>
      <c r="O3552" t="s">
        <v>111</v>
      </c>
      <c r="P3552" t="str">
        <f>"85207-2564"</f>
        <v>85207-2564</v>
      </c>
      <c r="Q3552" t="s">
        <v>113</v>
      </c>
      <c r="R3552" t="str">
        <f>"219-49-374"</f>
        <v>219-49-374</v>
      </c>
      <c r="S3552" t="s">
        <v>22878</v>
      </c>
      <c r="T3552" t="s">
        <v>22879</v>
      </c>
      <c r="U3552">
        <v>3313</v>
      </c>
      <c r="V3552">
        <v>0</v>
      </c>
      <c r="W3552">
        <v>4</v>
      </c>
      <c r="X3552">
        <v>2000</v>
      </c>
      <c r="Z3552">
        <v>1</v>
      </c>
      <c r="AA3552" t="s">
        <v>26</v>
      </c>
      <c r="AB3552">
        <v>0</v>
      </c>
      <c r="AC3552" t="s">
        <v>115</v>
      </c>
      <c r="AD3552">
        <v>3</v>
      </c>
      <c r="AE3552" t="s">
        <v>115</v>
      </c>
      <c r="AF3552">
        <v>0</v>
      </c>
      <c r="AG3552">
        <v>0</v>
      </c>
      <c r="AH3552" t="s">
        <v>116</v>
      </c>
      <c r="AI3552" s="1">
        <v>147882</v>
      </c>
      <c r="AJ3552" s="2">
        <v>0.24</v>
      </c>
      <c r="AK3552" s="1">
        <v>627132</v>
      </c>
      <c r="AL3552" t="s">
        <v>117</v>
      </c>
      <c r="AM3552" t="s">
        <v>1521</v>
      </c>
      <c r="AN3552">
        <v>18214</v>
      </c>
      <c r="AO3552">
        <v>0.42</v>
      </c>
      <c r="AP3552">
        <v>1</v>
      </c>
      <c r="AR3552">
        <v>1</v>
      </c>
      <c r="AS3552" s="1">
        <v>45570</v>
      </c>
      <c r="AT3552" s="1">
        <v>9110</v>
      </c>
      <c r="AU3552" s="1">
        <v>36460</v>
      </c>
      <c r="AV3552">
        <v>80.010000000000005</v>
      </c>
      <c r="AX3552" s="1">
        <v>4924.08</v>
      </c>
      <c r="AY3552" t="s">
        <v>3118</v>
      </c>
      <c r="AZ3552" t="s">
        <v>3761</v>
      </c>
      <c r="BA3552" t="s">
        <v>232</v>
      </c>
      <c r="BE3552" s="3">
        <v>41894</v>
      </c>
      <c r="BF3552" s="1">
        <v>500000</v>
      </c>
      <c r="BG3552" t="s">
        <v>22880</v>
      </c>
      <c r="BH3552" s="1">
        <v>150.91999999999999</v>
      </c>
      <c r="BI3552" s="1">
        <v>479250</v>
      </c>
      <c r="BJ3552" s="3">
        <v>41894</v>
      </c>
      <c r="BK3552" t="s">
        <v>123</v>
      </c>
      <c r="BL3552" t="str">
        <f>"2014.605646"</f>
        <v>2014.605646</v>
      </c>
      <c r="BM3552" t="s">
        <v>22881</v>
      </c>
      <c r="BO3552" t="s">
        <v>22882</v>
      </c>
      <c r="BS3552">
        <v>30</v>
      </c>
      <c r="BW3552" t="str">
        <f>""</f>
        <v/>
      </c>
      <c r="CH3552" t="str">
        <f>""</f>
        <v/>
      </c>
      <c r="CS3552" t="str">
        <f>""</f>
        <v/>
      </c>
    </row>
    <row r="3553" spans="1:97" x14ac:dyDescent="0.25">
      <c r="B3553" t="s">
        <v>22883</v>
      </c>
      <c r="E3553" t="s">
        <v>22884</v>
      </c>
      <c r="F3553" t="s">
        <v>139</v>
      </c>
      <c r="H3553" t="s">
        <v>22885</v>
      </c>
      <c r="I3553" t="s">
        <v>225</v>
      </c>
      <c r="J3553" t="s">
        <v>111</v>
      </c>
      <c r="K3553" t="str">
        <f>"85203"</f>
        <v>85203</v>
      </c>
      <c r="L3553" t="s">
        <v>8543</v>
      </c>
      <c r="M3553" t="s">
        <v>22885</v>
      </c>
      <c r="N3553" t="s">
        <v>225</v>
      </c>
      <c r="O3553" t="s">
        <v>111</v>
      </c>
      <c r="P3553" t="str">
        <f>"85203-2515"</f>
        <v>85203-2515</v>
      </c>
      <c r="Q3553" t="s">
        <v>113</v>
      </c>
      <c r="R3553" t="str">
        <f>"136-24-006-V"</f>
        <v>136-24-006-V</v>
      </c>
      <c r="T3553" t="s">
        <v>22886</v>
      </c>
      <c r="U3553">
        <v>3599</v>
      </c>
      <c r="V3553">
        <v>0</v>
      </c>
      <c r="W3553">
        <v>3</v>
      </c>
      <c r="X3553">
        <v>1971</v>
      </c>
      <c r="Z3553">
        <v>1</v>
      </c>
      <c r="AA3553" t="s">
        <v>26</v>
      </c>
      <c r="AB3553">
        <v>0</v>
      </c>
      <c r="AC3553" t="s">
        <v>115</v>
      </c>
      <c r="AD3553">
        <v>2</v>
      </c>
      <c r="AE3553" t="s">
        <v>115</v>
      </c>
      <c r="AF3553">
        <v>0</v>
      </c>
      <c r="AG3553">
        <v>0</v>
      </c>
      <c r="AH3553" t="s">
        <v>116</v>
      </c>
      <c r="AI3553" s="1">
        <v>69265</v>
      </c>
      <c r="AJ3553" s="2">
        <v>0.13</v>
      </c>
      <c r="AK3553" s="1">
        <v>521617</v>
      </c>
      <c r="AL3553" t="s">
        <v>117</v>
      </c>
      <c r="AM3553" t="s">
        <v>376</v>
      </c>
      <c r="AN3553">
        <v>45923</v>
      </c>
      <c r="AO3553">
        <v>1.05</v>
      </c>
      <c r="AP3553">
        <v>1</v>
      </c>
      <c r="AR3553">
        <v>1</v>
      </c>
      <c r="AS3553" s="1">
        <v>38400</v>
      </c>
      <c r="AT3553" s="1">
        <v>7680</v>
      </c>
      <c r="AU3553" s="1">
        <v>30720</v>
      </c>
      <c r="AV3553">
        <v>80</v>
      </c>
      <c r="AX3553" s="1">
        <v>2773.76</v>
      </c>
      <c r="AY3553" t="s">
        <v>22887</v>
      </c>
      <c r="AZ3553" t="s">
        <v>5190</v>
      </c>
      <c r="BA3553" t="s">
        <v>5191</v>
      </c>
      <c r="BB3553" s="3">
        <v>43145</v>
      </c>
      <c r="BC3553" s="1">
        <v>0</v>
      </c>
      <c r="BD3553" t="s">
        <v>247</v>
      </c>
      <c r="BE3553" s="3">
        <v>41775</v>
      </c>
      <c r="BF3553" s="1">
        <v>450000</v>
      </c>
      <c r="BG3553" t="s">
        <v>22888</v>
      </c>
      <c r="BH3553" s="1">
        <v>125.03</v>
      </c>
      <c r="BI3553" s="1">
        <v>452352</v>
      </c>
      <c r="BJ3553" s="3">
        <v>41775</v>
      </c>
      <c r="BK3553" t="s">
        <v>123</v>
      </c>
      <c r="BL3553" t="str">
        <f>"2014.319229"</f>
        <v>2014.319229</v>
      </c>
      <c r="BM3553" t="s">
        <v>135</v>
      </c>
      <c r="BN3553" t="s">
        <v>136</v>
      </c>
      <c r="BO3553" t="s">
        <v>22889</v>
      </c>
      <c r="BS3553">
        <v>30</v>
      </c>
      <c r="BW3553" t="str">
        <f>""</f>
        <v/>
      </c>
      <c r="CH3553" t="str">
        <f>""</f>
        <v/>
      </c>
      <c r="CS3553" t="str">
        <f>""</f>
        <v/>
      </c>
    </row>
    <row r="3554" spans="1:97" x14ac:dyDescent="0.25">
      <c r="A3554" t="s">
        <v>22890</v>
      </c>
      <c r="B3554" t="s">
        <v>22891</v>
      </c>
      <c r="E3554" t="s">
        <v>22892</v>
      </c>
      <c r="F3554" t="s">
        <v>108</v>
      </c>
      <c r="H3554" t="s">
        <v>22893</v>
      </c>
      <c r="I3554" t="s">
        <v>225</v>
      </c>
      <c r="J3554" t="s">
        <v>111</v>
      </c>
      <c r="K3554" t="str">
        <f>"85201"</f>
        <v>85201</v>
      </c>
      <c r="L3554" t="s">
        <v>9597</v>
      </c>
      <c r="M3554" t="s">
        <v>22893</v>
      </c>
      <c r="N3554" t="s">
        <v>225</v>
      </c>
      <c r="O3554" t="s">
        <v>111</v>
      </c>
      <c r="P3554" t="str">
        <f>"85201-2722"</f>
        <v>85201-2722</v>
      </c>
      <c r="Q3554" t="s">
        <v>113</v>
      </c>
      <c r="R3554" t="str">
        <f>"136-21-147"</f>
        <v>136-21-147</v>
      </c>
      <c r="S3554" t="s">
        <v>19379</v>
      </c>
      <c r="T3554" t="s">
        <v>19380</v>
      </c>
      <c r="U3554">
        <v>3342</v>
      </c>
      <c r="V3554">
        <v>0</v>
      </c>
      <c r="W3554">
        <v>4</v>
      </c>
      <c r="X3554">
        <v>1980</v>
      </c>
      <c r="Z3554">
        <v>1</v>
      </c>
      <c r="AA3554" t="s">
        <v>26</v>
      </c>
      <c r="AB3554">
        <v>0</v>
      </c>
      <c r="AC3554" t="s">
        <v>115</v>
      </c>
      <c r="AD3554">
        <v>5</v>
      </c>
      <c r="AE3554" t="s">
        <v>115</v>
      </c>
      <c r="AF3554">
        <v>0</v>
      </c>
      <c r="AG3554">
        <v>0</v>
      </c>
      <c r="AH3554" t="s">
        <v>116</v>
      </c>
      <c r="AI3554" s="1">
        <v>50528</v>
      </c>
      <c r="AJ3554" s="2">
        <v>0.11</v>
      </c>
      <c r="AK3554" s="1">
        <v>464255</v>
      </c>
      <c r="AL3554" t="s">
        <v>117</v>
      </c>
      <c r="AM3554" t="s">
        <v>1521</v>
      </c>
      <c r="AN3554">
        <v>23077</v>
      </c>
      <c r="AO3554">
        <v>0.53</v>
      </c>
      <c r="AP3554">
        <v>1</v>
      </c>
      <c r="AR3554">
        <v>1</v>
      </c>
      <c r="AS3554" s="1">
        <v>34950</v>
      </c>
      <c r="AT3554" s="1">
        <v>6990</v>
      </c>
      <c r="AU3554" s="1">
        <v>27960</v>
      </c>
      <c r="AV3554">
        <v>80</v>
      </c>
      <c r="AX3554" s="1">
        <v>2744.74</v>
      </c>
      <c r="AY3554" t="s">
        <v>12830</v>
      </c>
      <c r="AZ3554" t="s">
        <v>5190</v>
      </c>
      <c r="BA3554" t="s">
        <v>5191</v>
      </c>
      <c r="BE3554" s="3">
        <v>41985</v>
      </c>
      <c r="BF3554" s="1">
        <v>378000</v>
      </c>
      <c r="BG3554" t="s">
        <v>22894</v>
      </c>
      <c r="BH3554" s="1">
        <v>113.11</v>
      </c>
      <c r="BI3554" s="1">
        <v>386127</v>
      </c>
      <c r="BJ3554" s="3">
        <v>41985</v>
      </c>
      <c r="BK3554" t="s">
        <v>123</v>
      </c>
      <c r="BL3554" t="str">
        <f>"2014.819803"</f>
        <v>2014.819803</v>
      </c>
      <c r="BM3554" t="s">
        <v>2716</v>
      </c>
      <c r="BN3554" t="s">
        <v>13505</v>
      </c>
      <c r="BO3554" t="s">
        <v>22895</v>
      </c>
      <c r="BS3554">
        <v>30</v>
      </c>
      <c r="BT3554" s="1">
        <v>27600</v>
      </c>
      <c r="BU3554" s="3">
        <v>42734</v>
      </c>
      <c r="BV3554" t="s">
        <v>22674</v>
      </c>
      <c r="BW3554" t="str">
        <f>"2016.966594"</f>
        <v>2016.966594</v>
      </c>
      <c r="BX3554" t="s">
        <v>22896</v>
      </c>
      <c r="BY3554" t="s">
        <v>22897</v>
      </c>
      <c r="BZ3554" t="s">
        <v>22895</v>
      </c>
      <c r="CH3554" t="str">
        <f>""</f>
        <v/>
      </c>
      <c r="CS3554" t="str">
        <f>""</f>
        <v/>
      </c>
    </row>
    <row r="3555" spans="1:97" x14ac:dyDescent="0.25">
      <c r="A3555" t="s">
        <v>370</v>
      </c>
      <c r="B3555" t="s">
        <v>22898</v>
      </c>
      <c r="C3555" t="s">
        <v>727</v>
      </c>
      <c r="D3555" t="s">
        <v>22898</v>
      </c>
      <c r="E3555" t="s">
        <v>22899</v>
      </c>
      <c r="F3555" t="s">
        <v>108</v>
      </c>
      <c r="H3555" t="s">
        <v>22900</v>
      </c>
      <c r="I3555" t="s">
        <v>390</v>
      </c>
      <c r="J3555" t="s">
        <v>111</v>
      </c>
      <c r="K3555" t="str">
        <f>"85022"</f>
        <v>85022</v>
      </c>
      <c r="L3555" t="s">
        <v>5074</v>
      </c>
      <c r="M3555" t="s">
        <v>22900</v>
      </c>
      <c r="N3555" t="s">
        <v>390</v>
      </c>
      <c r="O3555" t="s">
        <v>111</v>
      </c>
      <c r="P3555" t="str">
        <f>"85022-4730"</f>
        <v>85022-4730</v>
      </c>
      <c r="Q3555" t="s">
        <v>113</v>
      </c>
      <c r="R3555" t="str">
        <f>"159-02-158"</f>
        <v>159-02-158</v>
      </c>
      <c r="S3555" t="s">
        <v>22901</v>
      </c>
      <c r="T3555" t="s">
        <v>22902</v>
      </c>
      <c r="U3555">
        <v>1947</v>
      </c>
      <c r="V3555">
        <v>0</v>
      </c>
      <c r="W3555">
        <v>2</v>
      </c>
      <c r="X3555">
        <v>1972</v>
      </c>
      <c r="Z3555">
        <v>1</v>
      </c>
      <c r="AA3555" t="s">
        <v>26</v>
      </c>
      <c r="AB3555">
        <v>0</v>
      </c>
      <c r="AC3555" t="s">
        <v>115</v>
      </c>
      <c r="AD3555">
        <v>2</v>
      </c>
      <c r="AE3555" t="s">
        <v>115</v>
      </c>
      <c r="AF3555">
        <v>0</v>
      </c>
      <c r="AG3555">
        <v>0</v>
      </c>
      <c r="AH3555" t="s">
        <v>116</v>
      </c>
      <c r="AI3555" s="1">
        <v>85807</v>
      </c>
      <c r="AJ3555" s="2">
        <v>0.22</v>
      </c>
      <c r="AK3555" s="1">
        <v>385617</v>
      </c>
      <c r="AL3555" t="s">
        <v>117</v>
      </c>
      <c r="AM3555" t="s">
        <v>1302</v>
      </c>
      <c r="AN3555">
        <v>10087</v>
      </c>
      <c r="AO3555">
        <v>0.23</v>
      </c>
      <c r="AP3555">
        <v>1</v>
      </c>
      <c r="AR3555">
        <v>1</v>
      </c>
      <c r="AS3555" s="1">
        <v>27150</v>
      </c>
      <c r="AT3555" s="1">
        <v>5430</v>
      </c>
      <c r="AU3555" s="1">
        <v>21720</v>
      </c>
      <c r="AV3555">
        <v>80</v>
      </c>
      <c r="AX3555" s="1">
        <v>2676.64</v>
      </c>
      <c r="AY3555" t="s">
        <v>9170</v>
      </c>
      <c r="AZ3555" t="s">
        <v>8648</v>
      </c>
      <c r="BA3555" t="s">
        <v>8649</v>
      </c>
      <c r="BE3555" s="3">
        <v>41901</v>
      </c>
      <c r="BF3555" s="1">
        <v>293500</v>
      </c>
      <c r="BG3555" t="s">
        <v>22903</v>
      </c>
      <c r="BH3555" s="1">
        <v>150.74</v>
      </c>
      <c r="BI3555" s="1">
        <v>299810</v>
      </c>
      <c r="BJ3555" s="3">
        <v>41901</v>
      </c>
      <c r="BK3555" t="s">
        <v>123</v>
      </c>
      <c r="BL3555" t="str">
        <f>"2014.623536"</f>
        <v>2014.623536</v>
      </c>
      <c r="BM3555" t="s">
        <v>6784</v>
      </c>
      <c r="BO3555" t="s">
        <v>22904</v>
      </c>
      <c r="BS3555">
        <v>30</v>
      </c>
      <c r="BW3555" t="str">
        <f>""</f>
        <v/>
      </c>
      <c r="CH3555" t="str">
        <f>""</f>
        <v/>
      </c>
      <c r="CS3555" t="str">
        <f>""</f>
        <v/>
      </c>
    </row>
    <row r="3556" spans="1:97" x14ac:dyDescent="0.25">
      <c r="A3556" t="s">
        <v>2729</v>
      </c>
      <c r="B3556" t="s">
        <v>2408</v>
      </c>
      <c r="C3556" t="s">
        <v>15077</v>
      </c>
      <c r="D3556" t="s">
        <v>2408</v>
      </c>
      <c r="E3556" t="s">
        <v>22905</v>
      </c>
      <c r="F3556" t="s">
        <v>108</v>
      </c>
      <c r="H3556" t="s">
        <v>22906</v>
      </c>
      <c r="I3556" t="s">
        <v>225</v>
      </c>
      <c r="J3556" t="s">
        <v>111</v>
      </c>
      <c r="K3556" t="str">
        <f>"85202"</f>
        <v>85202</v>
      </c>
      <c r="L3556" t="s">
        <v>22542</v>
      </c>
      <c r="M3556" t="s">
        <v>22906</v>
      </c>
      <c r="N3556" t="s">
        <v>225</v>
      </c>
      <c r="O3556" t="s">
        <v>111</v>
      </c>
      <c r="P3556" t="str">
        <f>"85202-6479"</f>
        <v>85202-6479</v>
      </c>
      <c r="Q3556" t="s">
        <v>113</v>
      </c>
      <c r="R3556" t="str">
        <f>"305-09-650"</f>
        <v>305-09-650</v>
      </c>
      <c r="S3556" t="s">
        <v>22907</v>
      </c>
      <c r="U3556">
        <v>2915</v>
      </c>
      <c r="V3556">
        <v>0</v>
      </c>
      <c r="W3556">
        <v>5</v>
      </c>
      <c r="X3556">
        <v>1980</v>
      </c>
      <c r="Z3556">
        <v>2</v>
      </c>
      <c r="AA3556" t="s">
        <v>26</v>
      </c>
      <c r="AB3556">
        <v>0</v>
      </c>
      <c r="AC3556" t="s">
        <v>115</v>
      </c>
      <c r="AD3556">
        <v>2</v>
      </c>
      <c r="AE3556" t="s">
        <v>115</v>
      </c>
      <c r="AF3556">
        <v>0</v>
      </c>
      <c r="AG3556">
        <v>0</v>
      </c>
      <c r="AH3556" t="s">
        <v>116</v>
      </c>
      <c r="AI3556" s="1">
        <v>113944</v>
      </c>
      <c r="AJ3556" s="2">
        <v>0.24</v>
      </c>
      <c r="AK3556" s="1">
        <v>468250</v>
      </c>
      <c r="AL3556" t="s">
        <v>117</v>
      </c>
      <c r="AM3556" t="s">
        <v>191</v>
      </c>
      <c r="AN3556">
        <v>9962</v>
      </c>
      <c r="AO3556">
        <v>0.23</v>
      </c>
      <c r="AP3556">
        <v>1</v>
      </c>
      <c r="AR3556">
        <v>1</v>
      </c>
      <c r="AS3556" s="1">
        <v>31180</v>
      </c>
      <c r="AT3556" s="1">
        <v>6230</v>
      </c>
      <c r="AU3556" s="1">
        <v>24950</v>
      </c>
      <c r="AV3556">
        <v>80.02</v>
      </c>
      <c r="AX3556" s="1">
        <v>2366.12</v>
      </c>
      <c r="AY3556" t="s">
        <v>7431</v>
      </c>
      <c r="AZ3556" t="s">
        <v>7295</v>
      </c>
      <c r="BA3556" t="s">
        <v>5311</v>
      </c>
      <c r="BE3556" s="3">
        <v>41927</v>
      </c>
      <c r="BF3556" s="1">
        <v>355000</v>
      </c>
      <c r="BG3556" t="s">
        <v>22908</v>
      </c>
      <c r="BH3556" s="1">
        <v>121.78</v>
      </c>
      <c r="BI3556" s="1">
        <v>354306</v>
      </c>
      <c r="BJ3556" s="3">
        <v>42675</v>
      </c>
      <c r="BK3556" t="s">
        <v>123</v>
      </c>
      <c r="BL3556" t="str">
        <f>"2016.803266"</f>
        <v>2016.803266</v>
      </c>
      <c r="BM3556" t="s">
        <v>699</v>
      </c>
      <c r="BO3556" t="s">
        <v>22909</v>
      </c>
      <c r="BS3556">
        <v>30</v>
      </c>
      <c r="BW3556" t="str">
        <f>""</f>
        <v/>
      </c>
      <c r="CH3556" t="str">
        <f>""</f>
        <v/>
      </c>
      <c r="CS3556" t="str">
        <f>""</f>
        <v/>
      </c>
    </row>
    <row r="3557" spans="1:97" x14ac:dyDescent="0.25">
      <c r="A3557" t="s">
        <v>6821</v>
      </c>
      <c r="B3557" t="s">
        <v>11167</v>
      </c>
      <c r="E3557" t="s">
        <v>22910</v>
      </c>
      <c r="F3557" t="s">
        <v>108</v>
      </c>
      <c r="H3557" t="s">
        <v>22911</v>
      </c>
      <c r="I3557" t="s">
        <v>5387</v>
      </c>
      <c r="J3557" t="s">
        <v>111</v>
      </c>
      <c r="K3557" t="str">
        <f>"85283"</f>
        <v>85283</v>
      </c>
      <c r="L3557" t="s">
        <v>9006</v>
      </c>
      <c r="M3557" t="s">
        <v>22911</v>
      </c>
      <c r="N3557" t="s">
        <v>5387</v>
      </c>
      <c r="O3557" t="s">
        <v>111</v>
      </c>
      <c r="P3557" t="str">
        <f>"85283-3317"</f>
        <v>85283-3317</v>
      </c>
      <c r="Q3557" t="s">
        <v>113</v>
      </c>
      <c r="R3557" t="str">
        <f>"301-97-778"</f>
        <v>301-97-778</v>
      </c>
      <c r="S3557" t="s">
        <v>22912</v>
      </c>
      <c r="T3557" t="s">
        <v>12531</v>
      </c>
      <c r="U3557">
        <v>2132</v>
      </c>
      <c r="V3557">
        <v>0</v>
      </c>
      <c r="W3557">
        <v>3</v>
      </c>
      <c r="X3557">
        <v>1979</v>
      </c>
      <c r="Z3557">
        <v>1</v>
      </c>
      <c r="AA3557" t="s">
        <v>26</v>
      </c>
      <c r="AB3557">
        <v>0</v>
      </c>
      <c r="AC3557" t="s">
        <v>115</v>
      </c>
      <c r="AD3557">
        <v>2</v>
      </c>
      <c r="AE3557" t="s">
        <v>115</v>
      </c>
      <c r="AF3557">
        <v>0</v>
      </c>
      <c r="AG3557">
        <v>0</v>
      </c>
      <c r="AH3557" t="s">
        <v>116</v>
      </c>
      <c r="AI3557" s="1">
        <v>84494</v>
      </c>
      <c r="AJ3557" s="2">
        <v>0.23</v>
      </c>
      <c r="AK3557" s="1">
        <v>374351</v>
      </c>
      <c r="AL3557" t="s">
        <v>117</v>
      </c>
      <c r="AM3557" t="s">
        <v>393</v>
      </c>
      <c r="AN3557">
        <v>8407</v>
      </c>
      <c r="AO3557">
        <v>0.19</v>
      </c>
      <c r="AP3557">
        <v>1</v>
      </c>
      <c r="AR3557">
        <v>1</v>
      </c>
      <c r="AS3557" s="1">
        <v>26320</v>
      </c>
      <c r="AT3557" s="1">
        <v>5260</v>
      </c>
      <c r="AU3557" s="1">
        <v>21060</v>
      </c>
      <c r="AV3557">
        <v>80.02</v>
      </c>
      <c r="AX3557" s="1">
        <v>2658.98</v>
      </c>
      <c r="AY3557" t="s">
        <v>9740</v>
      </c>
      <c r="AZ3557" t="s">
        <v>6726</v>
      </c>
      <c r="BA3557" t="s">
        <v>5392</v>
      </c>
      <c r="BE3557" s="3">
        <v>42184</v>
      </c>
      <c r="BF3557" s="1">
        <v>285000</v>
      </c>
      <c r="BG3557" t="s">
        <v>22913</v>
      </c>
      <c r="BH3557" s="1">
        <v>133.68</v>
      </c>
      <c r="BI3557" s="1">
        <v>289857</v>
      </c>
      <c r="BJ3557" s="3">
        <v>42667</v>
      </c>
      <c r="BK3557" t="s">
        <v>123</v>
      </c>
      <c r="BL3557" t="str">
        <f>"2016.779312"</f>
        <v>2016.779312</v>
      </c>
      <c r="BM3557" t="s">
        <v>11282</v>
      </c>
      <c r="BO3557" t="s">
        <v>22914</v>
      </c>
      <c r="BS3557">
        <v>30</v>
      </c>
      <c r="BW3557" t="str">
        <f>""</f>
        <v/>
      </c>
      <c r="CH3557" t="str">
        <f>""</f>
        <v/>
      </c>
      <c r="CS3557" t="str">
        <f>""</f>
        <v/>
      </c>
    </row>
    <row r="3558" spans="1:97" x14ac:dyDescent="0.25">
      <c r="A3558" t="s">
        <v>22915</v>
      </c>
      <c r="B3558" t="s">
        <v>348</v>
      </c>
      <c r="C3558" t="s">
        <v>10325</v>
      </c>
      <c r="D3558" t="s">
        <v>348</v>
      </c>
      <c r="E3558" t="s">
        <v>22916</v>
      </c>
      <c r="F3558" t="s">
        <v>108</v>
      </c>
      <c r="H3558" t="s">
        <v>22917</v>
      </c>
      <c r="I3558" t="s">
        <v>499</v>
      </c>
      <c r="J3558" t="s">
        <v>111</v>
      </c>
      <c r="K3558" t="str">
        <f>"85338"</f>
        <v>85338</v>
      </c>
      <c r="L3558" t="s">
        <v>6316</v>
      </c>
      <c r="M3558" t="s">
        <v>22917</v>
      </c>
      <c r="N3558" t="s">
        <v>499</v>
      </c>
      <c r="O3558" t="s">
        <v>111</v>
      </c>
      <c r="P3558" t="str">
        <f>"85338-4051"</f>
        <v>85338-4051</v>
      </c>
      <c r="Q3558" t="s">
        <v>113</v>
      </c>
      <c r="R3558" t="str">
        <f>"502-39-793"</f>
        <v>502-39-793</v>
      </c>
      <c r="S3558" t="s">
        <v>18921</v>
      </c>
      <c r="T3558" t="s">
        <v>6318</v>
      </c>
      <c r="U3558">
        <v>1682</v>
      </c>
      <c r="V3558">
        <v>0</v>
      </c>
      <c r="W3558">
        <v>3</v>
      </c>
      <c r="X3558">
        <v>2016</v>
      </c>
      <c r="Z3558">
        <v>1</v>
      </c>
      <c r="AA3558" t="s">
        <v>26</v>
      </c>
      <c r="AB3558">
        <v>0</v>
      </c>
      <c r="AC3558" t="s">
        <v>115</v>
      </c>
      <c r="AD3558">
        <v>2</v>
      </c>
      <c r="AE3558" t="s">
        <v>115</v>
      </c>
      <c r="AF3558">
        <v>0</v>
      </c>
      <c r="AG3558">
        <v>0</v>
      </c>
      <c r="AH3558" t="s">
        <v>116</v>
      </c>
      <c r="AI3558" s="1">
        <v>33939</v>
      </c>
      <c r="AJ3558" s="2">
        <v>0.13</v>
      </c>
      <c r="AK3558" s="1">
        <v>266989</v>
      </c>
      <c r="AL3558" t="s">
        <v>117</v>
      </c>
      <c r="AM3558" t="s">
        <v>118</v>
      </c>
      <c r="AN3558">
        <v>6000</v>
      </c>
      <c r="AO3558">
        <v>0.14000000000000001</v>
      </c>
      <c r="AR3558">
        <v>1</v>
      </c>
      <c r="AS3558" s="1">
        <v>19450</v>
      </c>
      <c r="AT3558" s="1">
        <v>3890</v>
      </c>
      <c r="AU3558" s="1">
        <v>15560</v>
      </c>
      <c r="AV3558">
        <v>80</v>
      </c>
      <c r="AX3558" s="1">
        <v>1544.34</v>
      </c>
      <c r="AY3558" t="s">
        <v>6319</v>
      </c>
      <c r="AZ3558" t="s">
        <v>6319</v>
      </c>
      <c r="BA3558" t="s">
        <v>218</v>
      </c>
      <c r="BE3558" s="3">
        <v>42460</v>
      </c>
      <c r="BF3558" s="1">
        <v>207050</v>
      </c>
      <c r="BG3558" t="s">
        <v>6320</v>
      </c>
      <c r="BH3558" s="1">
        <v>123.1</v>
      </c>
      <c r="BI3558" s="1">
        <v>207050</v>
      </c>
      <c r="BJ3558" s="3">
        <v>42460</v>
      </c>
      <c r="BK3558" t="s">
        <v>123</v>
      </c>
      <c r="BL3558" t="str">
        <f>"2016.210653"</f>
        <v>2016.210653</v>
      </c>
      <c r="BM3558" t="s">
        <v>573</v>
      </c>
      <c r="BO3558" t="s">
        <v>22918</v>
      </c>
      <c r="BS3558">
        <v>30</v>
      </c>
      <c r="BT3558" s="1">
        <v>26000</v>
      </c>
      <c r="BU3558" s="3">
        <v>42534</v>
      </c>
      <c r="BV3558" t="s">
        <v>134</v>
      </c>
      <c r="BW3558" t="str">
        <f>"2016.410440"</f>
        <v>2016.410440</v>
      </c>
      <c r="BX3558" t="s">
        <v>369</v>
      </c>
      <c r="BZ3558" t="s">
        <v>22918</v>
      </c>
      <c r="CD3558">
        <v>15</v>
      </c>
      <c r="CH3558" t="str">
        <f>""</f>
        <v/>
      </c>
      <c r="CS3558" t="str">
        <f>""</f>
        <v/>
      </c>
    </row>
    <row r="3559" spans="1:97" x14ac:dyDescent="0.25">
      <c r="A3559" t="s">
        <v>639</v>
      </c>
      <c r="B3559" t="s">
        <v>5908</v>
      </c>
      <c r="C3559" t="s">
        <v>22919</v>
      </c>
      <c r="D3559" t="s">
        <v>5908</v>
      </c>
      <c r="E3559" t="s">
        <v>22920</v>
      </c>
      <c r="F3559" t="s">
        <v>108</v>
      </c>
      <c r="H3559" t="s">
        <v>22921</v>
      </c>
      <c r="I3559" t="s">
        <v>5114</v>
      </c>
      <c r="J3559" t="s">
        <v>111</v>
      </c>
      <c r="K3559" t="str">
        <f>"85392"</f>
        <v>85392</v>
      </c>
      <c r="L3559" t="s">
        <v>625</v>
      </c>
      <c r="M3559" t="s">
        <v>22921</v>
      </c>
      <c r="N3559" t="s">
        <v>5114</v>
      </c>
      <c r="O3559" t="s">
        <v>111</v>
      </c>
      <c r="P3559" t="str">
        <f>"85392-3556"</f>
        <v>85392-3556</v>
      </c>
      <c r="Q3559" t="s">
        <v>113</v>
      </c>
      <c r="R3559" t="str">
        <f>"508-02-507"</f>
        <v>508-02-507</v>
      </c>
      <c r="S3559" t="s">
        <v>13093</v>
      </c>
      <c r="T3559" t="s">
        <v>13093</v>
      </c>
      <c r="U3559">
        <v>2219</v>
      </c>
      <c r="V3559">
        <v>0</v>
      </c>
      <c r="W3559">
        <v>3</v>
      </c>
      <c r="X3559">
        <v>2005</v>
      </c>
      <c r="Z3559">
        <v>1</v>
      </c>
      <c r="AB3559">
        <v>0</v>
      </c>
      <c r="AC3559" t="s">
        <v>115</v>
      </c>
      <c r="AD3559">
        <v>3</v>
      </c>
      <c r="AE3559" t="s">
        <v>115</v>
      </c>
      <c r="AF3559">
        <v>0</v>
      </c>
      <c r="AG3559">
        <v>0</v>
      </c>
      <c r="AH3559" t="s">
        <v>116</v>
      </c>
      <c r="AI3559" s="1">
        <v>58157</v>
      </c>
      <c r="AJ3559" s="2">
        <v>0.18</v>
      </c>
      <c r="AK3559" s="1">
        <v>323215</v>
      </c>
      <c r="AL3559" t="s">
        <v>117</v>
      </c>
      <c r="AM3559" t="s">
        <v>118</v>
      </c>
      <c r="AN3559">
        <v>7500</v>
      </c>
      <c r="AO3559">
        <v>0.17</v>
      </c>
      <c r="AR3559">
        <v>1</v>
      </c>
      <c r="AS3559" s="1">
        <v>22420</v>
      </c>
      <c r="AT3559" s="1">
        <v>4480</v>
      </c>
      <c r="AU3559" s="1">
        <v>17940</v>
      </c>
      <c r="AV3559">
        <v>80.02</v>
      </c>
      <c r="AX3559" s="1">
        <v>2133.62</v>
      </c>
      <c r="AY3559" t="s">
        <v>11553</v>
      </c>
      <c r="AZ3559" t="s">
        <v>11553</v>
      </c>
      <c r="BA3559" t="s">
        <v>3154</v>
      </c>
      <c r="BE3559" s="3">
        <v>42268</v>
      </c>
      <c r="BF3559" s="1">
        <v>262500</v>
      </c>
      <c r="BG3559" t="s">
        <v>22922</v>
      </c>
      <c r="BH3559" s="1">
        <v>118.3</v>
      </c>
      <c r="BI3559" s="1">
        <v>265058</v>
      </c>
      <c r="BJ3559" s="3">
        <v>42268</v>
      </c>
      <c r="BK3559" t="s">
        <v>123</v>
      </c>
      <c r="BL3559" t="str">
        <f>"2015.678804"</f>
        <v>2015.678804</v>
      </c>
      <c r="BM3559" t="s">
        <v>724</v>
      </c>
      <c r="BO3559" t="s">
        <v>22923</v>
      </c>
      <c r="BS3559">
        <v>30</v>
      </c>
      <c r="BW3559" t="str">
        <f>""</f>
        <v/>
      </c>
      <c r="CH3559" t="str">
        <f>""</f>
        <v/>
      </c>
      <c r="CS3559" t="str">
        <f>""</f>
        <v/>
      </c>
    </row>
    <row r="3560" spans="1:97" x14ac:dyDescent="0.25">
      <c r="A3560" t="s">
        <v>6060</v>
      </c>
      <c r="B3560" t="s">
        <v>6227</v>
      </c>
      <c r="C3560" t="s">
        <v>22924</v>
      </c>
      <c r="D3560" t="s">
        <v>6227</v>
      </c>
      <c r="E3560" t="s">
        <v>22925</v>
      </c>
      <c r="F3560" t="s">
        <v>108</v>
      </c>
      <c r="H3560" t="s">
        <v>22926</v>
      </c>
      <c r="I3560" t="s">
        <v>632</v>
      </c>
      <c r="J3560" t="s">
        <v>111</v>
      </c>
      <c r="K3560" t="str">
        <f>"85388"</f>
        <v>85388</v>
      </c>
      <c r="L3560" t="s">
        <v>7607</v>
      </c>
      <c r="M3560" t="s">
        <v>22926</v>
      </c>
      <c r="N3560" t="s">
        <v>632</v>
      </c>
      <c r="O3560" t="s">
        <v>111</v>
      </c>
      <c r="P3560" t="str">
        <f>"85388-1695"</f>
        <v>85388-1695</v>
      </c>
      <c r="Q3560" t="s">
        <v>113</v>
      </c>
      <c r="R3560" t="str">
        <f>"502-89-314"</f>
        <v>502-89-314</v>
      </c>
      <c r="S3560" t="s">
        <v>7646</v>
      </c>
      <c r="U3560">
        <v>3081</v>
      </c>
      <c r="V3560">
        <v>0</v>
      </c>
      <c r="W3560">
        <v>4</v>
      </c>
      <c r="X3560">
        <v>2014</v>
      </c>
      <c r="Z3560">
        <v>1</v>
      </c>
      <c r="AA3560" t="s">
        <v>26</v>
      </c>
      <c r="AB3560">
        <v>0</v>
      </c>
      <c r="AC3560" t="s">
        <v>115</v>
      </c>
      <c r="AD3560">
        <v>3</v>
      </c>
      <c r="AE3560" t="s">
        <v>115</v>
      </c>
      <c r="AF3560">
        <v>0</v>
      </c>
      <c r="AG3560">
        <v>0</v>
      </c>
      <c r="AH3560" t="s">
        <v>116</v>
      </c>
      <c r="AI3560" s="1">
        <v>55511</v>
      </c>
      <c r="AJ3560" s="2">
        <v>0.14000000000000001</v>
      </c>
      <c r="AK3560" s="1">
        <v>395536</v>
      </c>
      <c r="AL3560" t="s">
        <v>117</v>
      </c>
      <c r="AM3560" t="s">
        <v>118</v>
      </c>
      <c r="AN3560">
        <v>10400</v>
      </c>
      <c r="AO3560">
        <v>0.24</v>
      </c>
      <c r="AR3560">
        <v>1</v>
      </c>
      <c r="AS3560" s="1">
        <v>30720</v>
      </c>
      <c r="AT3560" s="1">
        <v>6140</v>
      </c>
      <c r="AU3560" s="1">
        <v>24580</v>
      </c>
      <c r="AV3560">
        <v>80.010000000000005</v>
      </c>
      <c r="AX3560" s="1">
        <v>2506.88</v>
      </c>
      <c r="AY3560" t="s">
        <v>5168</v>
      </c>
      <c r="AZ3560" t="s">
        <v>5168</v>
      </c>
      <c r="BA3560" t="s">
        <v>5109</v>
      </c>
      <c r="BE3560" s="3">
        <v>41942</v>
      </c>
      <c r="BF3560" s="1">
        <v>319161</v>
      </c>
      <c r="BG3560" t="s">
        <v>275</v>
      </c>
      <c r="BH3560" s="1">
        <v>103.59</v>
      </c>
      <c r="BI3560" s="1">
        <v>340025</v>
      </c>
      <c r="BJ3560" s="3">
        <v>43042</v>
      </c>
      <c r="BK3560" t="s">
        <v>123</v>
      </c>
      <c r="BL3560" t="str">
        <f>"2017.820563"</f>
        <v>2017.820563</v>
      </c>
      <c r="BM3560" t="s">
        <v>10425</v>
      </c>
      <c r="BO3560" t="s">
        <v>22927</v>
      </c>
      <c r="BP3560" t="s">
        <v>22928</v>
      </c>
      <c r="BS3560">
        <v>30</v>
      </c>
      <c r="BW3560" t="str">
        <f>""</f>
        <v/>
      </c>
      <c r="CH3560" t="str">
        <f>""</f>
        <v/>
      </c>
      <c r="CS3560" t="str">
        <f>""</f>
        <v/>
      </c>
    </row>
    <row r="3561" spans="1:97" x14ac:dyDescent="0.25">
      <c r="A3561" t="s">
        <v>894</v>
      </c>
      <c r="B3561" t="s">
        <v>22929</v>
      </c>
      <c r="C3561" t="s">
        <v>3862</v>
      </c>
      <c r="D3561" t="s">
        <v>22930</v>
      </c>
      <c r="E3561" t="s">
        <v>22931</v>
      </c>
      <c r="F3561" t="s">
        <v>108</v>
      </c>
      <c r="H3561" t="s">
        <v>22932</v>
      </c>
      <c r="I3561" t="s">
        <v>390</v>
      </c>
      <c r="J3561" t="s">
        <v>111</v>
      </c>
      <c r="K3561" t="str">
        <f>"85086"</f>
        <v>85086</v>
      </c>
      <c r="L3561" t="s">
        <v>1586</v>
      </c>
      <c r="M3561" t="s">
        <v>22932</v>
      </c>
      <c r="N3561" t="s">
        <v>390</v>
      </c>
      <c r="O3561" t="s">
        <v>111</v>
      </c>
      <c r="P3561" t="str">
        <f>"85086-9602"</f>
        <v>85086-9602</v>
      </c>
      <c r="Q3561" t="s">
        <v>113</v>
      </c>
      <c r="R3561" t="str">
        <f>"211-51-008-H"</f>
        <v>211-51-008-H</v>
      </c>
      <c r="U3561">
        <v>1633</v>
      </c>
      <c r="V3561">
        <v>0</v>
      </c>
      <c r="W3561">
        <v>4</v>
      </c>
      <c r="X3561">
        <v>2002</v>
      </c>
      <c r="Z3561">
        <v>1</v>
      </c>
      <c r="AB3561">
        <v>0</v>
      </c>
      <c r="AC3561" t="s">
        <v>115</v>
      </c>
      <c r="AD3561">
        <v>3</v>
      </c>
      <c r="AE3561" t="s">
        <v>115</v>
      </c>
      <c r="AF3561">
        <v>0</v>
      </c>
      <c r="AG3561">
        <v>0</v>
      </c>
      <c r="AH3561" t="s">
        <v>116</v>
      </c>
      <c r="AI3561" s="1">
        <v>78305</v>
      </c>
      <c r="AJ3561" s="2">
        <v>0.21</v>
      </c>
      <c r="AK3561" s="1">
        <v>371677</v>
      </c>
      <c r="AL3561" t="s">
        <v>117</v>
      </c>
      <c r="AM3561" t="s">
        <v>376</v>
      </c>
      <c r="AN3561">
        <v>43855</v>
      </c>
      <c r="AO3561">
        <v>1.01</v>
      </c>
      <c r="AP3561">
        <v>1</v>
      </c>
      <c r="AR3561">
        <v>1</v>
      </c>
      <c r="AS3561" s="1">
        <v>29860</v>
      </c>
      <c r="AT3561" s="1">
        <v>5970</v>
      </c>
      <c r="AU3561" s="1">
        <v>23890</v>
      </c>
      <c r="AV3561">
        <v>80.010000000000005</v>
      </c>
      <c r="AX3561" s="1">
        <v>3166.96</v>
      </c>
      <c r="AY3561" t="s">
        <v>1587</v>
      </c>
      <c r="AZ3561" t="s">
        <v>1587</v>
      </c>
      <c r="BA3561" t="s">
        <v>378</v>
      </c>
      <c r="BE3561" s="3">
        <v>41816</v>
      </c>
      <c r="BF3561" s="1">
        <v>284000</v>
      </c>
      <c r="BG3561" t="s">
        <v>22933</v>
      </c>
      <c r="BH3561" s="1">
        <v>173.91</v>
      </c>
      <c r="BI3561" s="1">
        <v>293372</v>
      </c>
      <c r="BJ3561" s="3">
        <v>41816</v>
      </c>
      <c r="BK3561" t="s">
        <v>123</v>
      </c>
      <c r="BL3561" t="str">
        <f>"2014.420735"</f>
        <v>2014.420735</v>
      </c>
      <c r="BM3561" t="s">
        <v>8916</v>
      </c>
      <c r="BO3561" t="s">
        <v>22934</v>
      </c>
      <c r="BP3561" t="s">
        <v>22935</v>
      </c>
      <c r="BS3561">
        <v>30</v>
      </c>
      <c r="BW3561" t="str">
        <f>""</f>
        <v/>
      </c>
      <c r="CH3561" t="str">
        <f>""</f>
        <v/>
      </c>
      <c r="CS3561" t="str">
        <f>""</f>
        <v/>
      </c>
    </row>
    <row r="3562" spans="1:97" x14ac:dyDescent="0.25">
      <c r="A3562" t="s">
        <v>589</v>
      </c>
      <c r="B3562" t="s">
        <v>5755</v>
      </c>
      <c r="E3562" t="s">
        <v>22936</v>
      </c>
      <c r="F3562" t="s">
        <v>108</v>
      </c>
      <c r="H3562" t="s">
        <v>22937</v>
      </c>
      <c r="I3562" t="s">
        <v>5636</v>
      </c>
      <c r="J3562" t="s">
        <v>111</v>
      </c>
      <c r="K3562" t="str">
        <f>"85268"</f>
        <v>85268</v>
      </c>
      <c r="L3562" t="s">
        <v>3645</v>
      </c>
      <c r="M3562" t="s">
        <v>22937</v>
      </c>
      <c r="N3562" t="s">
        <v>5636</v>
      </c>
      <c r="O3562" t="s">
        <v>111</v>
      </c>
      <c r="P3562" t="str">
        <f>"85268-5903"</f>
        <v>85268-5903</v>
      </c>
      <c r="Q3562" t="s">
        <v>113</v>
      </c>
      <c r="R3562" t="str">
        <f>"217-30-737"</f>
        <v>217-30-737</v>
      </c>
      <c r="S3562" t="s">
        <v>22938</v>
      </c>
      <c r="T3562" t="s">
        <v>22939</v>
      </c>
      <c r="U3562">
        <v>1627</v>
      </c>
      <c r="V3562">
        <v>0</v>
      </c>
      <c r="W3562">
        <v>3</v>
      </c>
      <c r="X3562">
        <v>1999</v>
      </c>
      <c r="Z3562">
        <v>1</v>
      </c>
      <c r="AA3562" t="s">
        <v>26</v>
      </c>
      <c r="AB3562">
        <v>0</v>
      </c>
      <c r="AC3562" t="s">
        <v>115</v>
      </c>
      <c r="AD3562">
        <v>2</v>
      </c>
      <c r="AE3562" t="s">
        <v>115</v>
      </c>
      <c r="AF3562">
        <v>0</v>
      </c>
      <c r="AG3562">
        <v>0</v>
      </c>
      <c r="AH3562" t="s">
        <v>116</v>
      </c>
      <c r="AI3562" s="1">
        <v>62974</v>
      </c>
      <c r="AJ3562" s="2">
        <v>0.15</v>
      </c>
      <c r="AK3562" s="1">
        <v>422151</v>
      </c>
      <c r="AL3562" t="s">
        <v>117</v>
      </c>
      <c r="AM3562" t="s">
        <v>191</v>
      </c>
      <c r="AN3562">
        <v>6460</v>
      </c>
      <c r="AO3562">
        <v>0.15</v>
      </c>
      <c r="AP3562">
        <v>1</v>
      </c>
      <c r="AR3562">
        <v>1</v>
      </c>
      <c r="AS3562" s="1">
        <v>30020</v>
      </c>
      <c r="AT3562" s="1">
        <v>6000</v>
      </c>
      <c r="AU3562" s="1">
        <v>24020</v>
      </c>
      <c r="AV3562">
        <v>80.010000000000005</v>
      </c>
      <c r="AX3562" s="1">
        <v>2414.9</v>
      </c>
      <c r="AY3562" t="s">
        <v>5639</v>
      </c>
      <c r="AZ3562" t="s">
        <v>5640</v>
      </c>
      <c r="BA3562" t="s">
        <v>5641</v>
      </c>
      <c r="BE3562" s="3">
        <v>42220</v>
      </c>
      <c r="BF3562" s="1">
        <v>355500</v>
      </c>
      <c r="BG3562" t="s">
        <v>22940</v>
      </c>
      <c r="BH3562" s="1">
        <v>218.5</v>
      </c>
      <c r="BI3562" s="1">
        <v>359177</v>
      </c>
      <c r="BJ3562" s="3">
        <v>43082</v>
      </c>
      <c r="BK3562" t="s">
        <v>123</v>
      </c>
      <c r="BL3562" t="str">
        <f>"2017.920098"</f>
        <v>2017.920098</v>
      </c>
      <c r="BM3562" t="s">
        <v>22941</v>
      </c>
      <c r="BO3562" t="s">
        <v>22936</v>
      </c>
      <c r="BP3562" t="s">
        <v>22942</v>
      </c>
      <c r="BS3562">
        <v>31</v>
      </c>
      <c r="BW3562" t="str">
        <f>""</f>
        <v/>
      </c>
      <c r="CH3562" t="str">
        <f>""</f>
        <v/>
      </c>
      <c r="CS3562" t="str">
        <f>""</f>
        <v/>
      </c>
    </row>
    <row r="3563" spans="1:97" x14ac:dyDescent="0.25">
      <c r="A3563" t="s">
        <v>2123</v>
      </c>
      <c r="B3563" t="s">
        <v>22943</v>
      </c>
      <c r="C3563" t="s">
        <v>3478</v>
      </c>
      <c r="D3563" t="s">
        <v>22943</v>
      </c>
      <c r="E3563" t="s">
        <v>22944</v>
      </c>
      <c r="F3563" t="s">
        <v>108</v>
      </c>
      <c r="H3563" t="s">
        <v>22945</v>
      </c>
      <c r="I3563" t="s">
        <v>390</v>
      </c>
      <c r="J3563" t="s">
        <v>111</v>
      </c>
      <c r="K3563" t="str">
        <f>"85048"</f>
        <v>85048</v>
      </c>
      <c r="L3563" t="s">
        <v>926</v>
      </c>
      <c r="M3563" t="s">
        <v>22945</v>
      </c>
      <c r="N3563" t="s">
        <v>390</v>
      </c>
      <c r="O3563" t="s">
        <v>111</v>
      </c>
      <c r="P3563" t="str">
        <f>"85048-8500"</f>
        <v>85048-8500</v>
      </c>
      <c r="Q3563" t="s">
        <v>113</v>
      </c>
      <c r="R3563" t="str">
        <f>"301-70-196"</f>
        <v>301-70-196</v>
      </c>
      <c r="S3563" t="s">
        <v>22946</v>
      </c>
      <c r="T3563" t="s">
        <v>22946</v>
      </c>
      <c r="U3563">
        <v>2164</v>
      </c>
      <c r="V3563">
        <v>0</v>
      </c>
      <c r="W3563">
        <v>4</v>
      </c>
      <c r="X3563">
        <v>1996</v>
      </c>
      <c r="Z3563">
        <v>2</v>
      </c>
      <c r="AB3563">
        <v>0</v>
      </c>
      <c r="AC3563" t="s">
        <v>115</v>
      </c>
      <c r="AD3563">
        <v>2</v>
      </c>
      <c r="AE3563" t="s">
        <v>115</v>
      </c>
      <c r="AF3563">
        <v>0</v>
      </c>
      <c r="AG3563">
        <v>0</v>
      </c>
      <c r="AH3563" t="s">
        <v>116</v>
      </c>
      <c r="AI3563" s="1">
        <v>78072</v>
      </c>
      <c r="AJ3563" s="2">
        <v>0.24</v>
      </c>
      <c r="AK3563" s="1">
        <v>323072</v>
      </c>
      <c r="AL3563" t="s">
        <v>117</v>
      </c>
      <c r="AM3563" t="s">
        <v>171</v>
      </c>
      <c r="AN3563">
        <v>5354</v>
      </c>
      <c r="AO3563">
        <v>0.12</v>
      </c>
      <c r="AP3563">
        <v>1</v>
      </c>
      <c r="AR3563">
        <v>1</v>
      </c>
      <c r="AS3563" s="1">
        <v>24470</v>
      </c>
      <c r="AT3563" s="1">
        <v>4890</v>
      </c>
      <c r="AU3563" s="1">
        <v>19580</v>
      </c>
      <c r="AV3563">
        <v>80.02</v>
      </c>
      <c r="AX3563" s="1">
        <v>2321.1999999999998</v>
      </c>
      <c r="AY3563" t="s">
        <v>928</v>
      </c>
      <c r="AZ3563" t="s">
        <v>929</v>
      </c>
      <c r="BA3563" t="s">
        <v>930</v>
      </c>
      <c r="BE3563" s="3">
        <v>42157</v>
      </c>
      <c r="BF3563" s="1">
        <v>287000</v>
      </c>
      <c r="BG3563" t="s">
        <v>22947</v>
      </c>
      <c r="BH3563" s="1">
        <v>132.62</v>
      </c>
      <c r="BI3563" s="1">
        <v>245000</v>
      </c>
      <c r="BJ3563" s="3">
        <v>42157</v>
      </c>
      <c r="BK3563" t="s">
        <v>123</v>
      </c>
      <c r="BL3563" t="str">
        <f>"2015.391432"</f>
        <v>2015.391432</v>
      </c>
      <c r="BM3563" t="s">
        <v>11704</v>
      </c>
      <c r="BO3563" t="s">
        <v>22948</v>
      </c>
      <c r="BS3563">
        <v>30</v>
      </c>
      <c r="BW3563" t="str">
        <f>""</f>
        <v/>
      </c>
      <c r="CH3563" t="str">
        <f>""</f>
        <v/>
      </c>
      <c r="CS3563" t="str">
        <f>""</f>
        <v/>
      </c>
    </row>
    <row r="3564" spans="1:97" x14ac:dyDescent="0.25">
      <c r="A3564" t="s">
        <v>2173</v>
      </c>
      <c r="B3564" t="s">
        <v>22949</v>
      </c>
      <c r="E3564" t="s">
        <v>22950</v>
      </c>
      <c r="F3564" t="s">
        <v>108</v>
      </c>
      <c r="H3564" t="s">
        <v>22951</v>
      </c>
      <c r="I3564" t="s">
        <v>1936</v>
      </c>
      <c r="J3564" t="s">
        <v>111</v>
      </c>
      <c r="K3564" t="str">
        <f>"85251"</f>
        <v>85251</v>
      </c>
      <c r="L3564" t="s">
        <v>5185</v>
      </c>
      <c r="M3564" t="s">
        <v>22951</v>
      </c>
      <c r="N3564" t="s">
        <v>1936</v>
      </c>
      <c r="O3564" t="s">
        <v>111</v>
      </c>
      <c r="P3564" t="str">
        <f>"85251-5035"</f>
        <v>85251-5035</v>
      </c>
      <c r="Q3564" t="s">
        <v>113</v>
      </c>
      <c r="R3564" t="str">
        <f>"130-41-065"</f>
        <v>130-41-065</v>
      </c>
      <c r="S3564" t="s">
        <v>7029</v>
      </c>
      <c r="T3564" t="s">
        <v>7030</v>
      </c>
      <c r="U3564">
        <v>1544</v>
      </c>
      <c r="V3564">
        <v>0</v>
      </c>
      <c r="W3564">
        <v>2</v>
      </c>
      <c r="X3564">
        <v>1971</v>
      </c>
      <c r="Z3564">
        <v>1</v>
      </c>
      <c r="AB3564">
        <v>0</v>
      </c>
      <c r="AC3564" t="s">
        <v>115</v>
      </c>
      <c r="AD3564">
        <v>2</v>
      </c>
      <c r="AE3564" t="s">
        <v>115</v>
      </c>
      <c r="AF3564">
        <v>0</v>
      </c>
      <c r="AG3564">
        <v>0</v>
      </c>
      <c r="AH3564" t="s">
        <v>116</v>
      </c>
      <c r="AI3564" s="1">
        <v>81660</v>
      </c>
      <c r="AJ3564" s="2">
        <v>0.2</v>
      </c>
      <c r="AK3564" s="1">
        <v>406660</v>
      </c>
      <c r="AL3564" t="s">
        <v>117</v>
      </c>
      <c r="AM3564" t="s">
        <v>393</v>
      </c>
      <c r="AN3564">
        <v>7581</v>
      </c>
      <c r="AO3564">
        <v>0.17</v>
      </c>
      <c r="AP3564">
        <v>1</v>
      </c>
      <c r="AR3564">
        <v>1</v>
      </c>
      <c r="AS3564" s="1">
        <v>26360</v>
      </c>
      <c r="AT3564" s="1">
        <v>5270</v>
      </c>
      <c r="AU3564" s="1">
        <v>21090</v>
      </c>
      <c r="AV3564">
        <v>80.010000000000005</v>
      </c>
      <c r="AX3564" s="1">
        <v>1526.04</v>
      </c>
      <c r="AY3564" t="s">
        <v>7031</v>
      </c>
      <c r="AZ3564" t="s">
        <v>5420</v>
      </c>
      <c r="BA3564" t="s">
        <v>5421</v>
      </c>
      <c r="BE3564" s="3">
        <v>42213</v>
      </c>
      <c r="BF3564" s="1">
        <v>325000</v>
      </c>
      <c r="BG3564" t="s">
        <v>22952</v>
      </c>
      <c r="BH3564" s="1">
        <v>210.49</v>
      </c>
      <c r="BI3564" s="1">
        <v>325000</v>
      </c>
      <c r="BJ3564" s="3">
        <v>42396</v>
      </c>
      <c r="BK3564" t="s">
        <v>123</v>
      </c>
      <c r="BL3564" t="str">
        <f>"2016.54473"</f>
        <v>2016.54473</v>
      </c>
      <c r="BM3564" t="s">
        <v>248</v>
      </c>
      <c r="BO3564" t="s">
        <v>22953</v>
      </c>
      <c r="BS3564">
        <v>30</v>
      </c>
      <c r="BW3564" t="str">
        <f>""</f>
        <v/>
      </c>
      <c r="CH3564" t="str">
        <f>""</f>
        <v/>
      </c>
      <c r="CS3564" t="str">
        <f>""</f>
        <v/>
      </c>
    </row>
    <row r="3565" spans="1:97" x14ac:dyDescent="0.25">
      <c r="A3565" t="s">
        <v>1774</v>
      </c>
      <c r="B3565" t="s">
        <v>22954</v>
      </c>
      <c r="C3565" t="s">
        <v>259</v>
      </c>
      <c r="D3565" t="s">
        <v>22954</v>
      </c>
      <c r="E3565" t="s">
        <v>22955</v>
      </c>
      <c r="F3565" t="s">
        <v>108</v>
      </c>
      <c r="H3565" t="s">
        <v>22956</v>
      </c>
      <c r="I3565" t="s">
        <v>499</v>
      </c>
      <c r="J3565" t="s">
        <v>111</v>
      </c>
      <c r="K3565" t="str">
        <f>"85338"</f>
        <v>85338</v>
      </c>
      <c r="L3565" t="s">
        <v>2765</v>
      </c>
      <c r="M3565" t="s">
        <v>22956</v>
      </c>
      <c r="N3565" t="s">
        <v>499</v>
      </c>
      <c r="O3565" t="s">
        <v>111</v>
      </c>
      <c r="P3565" t="str">
        <f>"85338-7578"</f>
        <v>85338-7578</v>
      </c>
      <c r="Q3565" t="s">
        <v>113</v>
      </c>
      <c r="R3565" t="str">
        <f>"502-44-507"</f>
        <v>502-44-507</v>
      </c>
      <c r="S3565" t="s">
        <v>13773</v>
      </c>
      <c r="T3565" t="s">
        <v>5102</v>
      </c>
      <c r="U3565">
        <v>3039</v>
      </c>
      <c r="V3565">
        <v>0</v>
      </c>
      <c r="W3565">
        <v>4</v>
      </c>
      <c r="X3565">
        <v>2013</v>
      </c>
      <c r="Z3565">
        <v>2</v>
      </c>
      <c r="AB3565">
        <v>0</v>
      </c>
      <c r="AC3565" t="s">
        <v>115</v>
      </c>
      <c r="AD3565">
        <v>3</v>
      </c>
      <c r="AE3565" t="s">
        <v>115</v>
      </c>
      <c r="AF3565">
        <v>0</v>
      </c>
      <c r="AG3565">
        <v>0</v>
      </c>
      <c r="AH3565" t="s">
        <v>116</v>
      </c>
      <c r="AI3565" s="1">
        <v>65343</v>
      </c>
      <c r="AJ3565" s="2">
        <v>0.2</v>
      </c>
      <c r="AK3565" s="1">
        <v>324526</v>
      </c>
      <c r="AL3565" t="s">
        <v>117</v>
      </c>
      <c r="AM3565" t="s">
        <v>118</v>
      </c>
      <c r="AN3565">
        <v>6664</v>
      </c>
      <c r="AO3565">
        <v>0.15</v>
      </c>
      <c r="AR3565">
        <v>1</v>
      </c>
      <c r="AS3565" s="1">
        <v>23770</v>
      </c>
      <c r="AT3565" s="1">
        <v>4750</v>
      </c>
      <c r="AU3565" s="1">
        <v>19020</v>
      </c>
      <c r="AV3565">
        <v>80.02</v>
      </c>
      <c r="AX3565" s="1">
        <v>1891.86</v>
      </c>
      <c r="AY3565" t="s">
        <v>2767</v>
      </c>
      <c r="AZ3565" t="s">
        <v>2767</v>
      </c>
      <c r="BA3565" t="s">
        <v>1247</v>
      </c>
      <c r="BE3565" s="3">
        <v>42034</v>
      </c>
      <c r="BF3565" s="1">
        <v>238000</v>
      </c>
      <c r="BG3565" t="s">
        <v>275</v>
      </c>
      <c r="BH3565" s="1">
        <v>78.319999999999993</v>
      </c>
      <c r="BI3565" s="1">
        <v>243712</v>
      </c>
      <c r="BJ3565" s="3">
        <v>42034</v>
      </c>
      <c r="BK3565" t="s">
        <v>123</v>
      </c>
      <c r="BL3565" t="str">
        <f>"2015.62347"</f>
        <v>2015.62347</v>
      </c>
      <c r="BM3565" t="s">
        <v>651</v>
      </c>
      <c r="BN3565" t="s">
        <v>652</v>
      </c>
      <c r="BO3565" t="s">
        <v>22957</v>
      </c>
      <c r="BS3565">
        <v>30</v>
      </c>
      <c r="BT3565" s="1">
        <v>15471</v>
      </c>
      <c r="BU3565" s="3">
        <v>43237</v>
      </c>
      <c r="BW3565" t="str">
        <f>"2018.377215"</f>
        <v>2018.377215</v>
      </c>
      <c r="BX3565" t="s">
        <v>1639</v>
      </c>
      <c r="BY3565" t="s">
        <v>1640</v>
      </c>
      <c r="BZ3565" t="s">
        <v>22958</v>
      </c>
      <c r="CA3565" t="s">
        <v>22959</v>
      </c>
      <c r="CC3565" t="s">
        <v>346</v>
      </c>
      <c r="CH3565" t="str">
        <f>""</f>
        <v/>
      </c>
      <c r="CS3565" t="str">
        <f>""</f>
        <v/>
      </c>
    </row>
    <row r="3566" spans="1:97" x14ac:dyDescent="0.25">
      <c r="A3566" t="s">
        <v>996</v>
      </c>
      <c r="B3566" t="s">
        <v>22960</v>
      </c>
      <c r="C3566" t="s">
        <v>4515</v>
      </c>
      <c r="D3566" t="s">
        <v>1898</v>
      </c>
      <c r="E3566" t="s">
        <v>22961</v>
      </c>
      <c r="F3566" t="s">
        <v>108</v>
      </c>
      <c r="H3566" t="s">
        <v>22962</v>
      </c>
      <c r="I3566" t="s">
        <v>110</v>
      </c>
      <c r="J3566" t="s">
        <v>111</v>
      </c>
      <c r="K3566" t="str">
        <f>"85249"</f>
        <v>85249</v>
      </c>
      <c r="L3566" t="s">
        <v>3696</v>
      </c>
      <c r="M3566" t="s">
        <v>22962</v>
      </c>
      <c r="N3566" t="s">
        <v>110</v>
      </c>
      <c r="O3566" t="s">
        <v>111</v>
      </c>
      <c r="P3566" t="str">
        <f>"85249-4921"</f>
        <v>85249-4921</v>
      </c>
      <c r="Q3566" t="s">
        <v>113</v>
      </c>
      <c r="R3566" t="str">
        <f>"303-56-915"</f>
        <v>303-56-915</v>
      </c>
      <c r="S3566" t="s">
        <v>16343</v>
      </c>
      <c r="U3566">
        <v>2171</v>
      </c>
      <c r="V3566">
        <v>0</v>
      </c>
      <c r="W3566">
        <v>3</v>
      </c>
      <c r="X3566">
        <v>2001</v>
      </c>
      <c r="Z3566">
        <v>1</v>
      </c>
      <c r="AA3566" t="s">
        <v>26</v>
      </c>
      <c r="AB3566">
        <v>0</v>
      </c>
      <c r="AC3566" t="s">
        <v>115</v>
      </c>
      <c r="AD3566">
        <v>2</v>
      </c>
      <c r="AE3566" t="s">
        <v>115</v>
      </c>
      <c r="AF3566">
        <v>0</v>
      </c>
      <c r="AG3566">
        <v>0</v>
      </c>
      <c r="AH3566" t="s">
        <v>116</v>
      </c>
      <c r="AI3566" s="1">
        <v>48665</v>
      </c>
      <c r="AJ3566" s="2">
        <v>0.14000000000000001</v>
      </c>
      <c r="AK3566" s="1">
        <v>358305</v>
      </c>
      <c r="AL3566" t="s">
        <v>117</v>
      </c>
      <c r="AM3566" t="s">
        <v>118</v>
      </c>
      <c r="AN3566">
        <v>7015</v>
      </c>
      <c r="AO3566">
        <v>0.16</v>
      </c>
      <c r="AP3566">
        <v>1</v>
      </c>
      <c r="AR3566">
        <v>1</v>
      </c>
      <c r="AS3566" s="1">
        <v>25120</v>
      </c>
      <c r="AT3566" s="1">
        <v>5020</v>
      </c>
      <c r="AU3566" s="1">
        <v>20100</v>
      </c>
      <c r="AV3566">
        <v>80.02</v>
      </c>
      <c r="AX3566" s="1">
        <v>1921.16</v>
      </c>
      <c r="AY3566" t="s">
        <v>5050</v>
      </c>
      <c r="AZ3566" t="s">
        <v>120</v>
      </c>
      <c r="BA3566" t="s">
        <v>274</v>
      </c>
      <c r="BB3566" s="3">
        <v>42797</v>
      </c>
      <c r="BD3566" t="s">
        <v>458</v>
      </c>
      <c r="BE3566" s="3">
        <v>42468</v>
      </c>
      <c r="BF3566" s="1">
        <v>292000</v>
      </c>
      <c r="BG3566" t="s">
        <v>22963</v>
      </c>
      <c r="BH3566" s="1">
        <v>134.5</v>
      </c>
      <c r="BI3566" s="1">
        <v>309640</v>
      </c>
      <c r="BJ3566" s="3">
        <v>42782</v>
      </c>
      <c r="BK3566" t="s">
        <v>123</v>
      </c>
      <c r="BL3566" t="str">
        <f>"2017.116636"</f>
        <v>2017.116636</v>
      </c>
      <c r="BM3566" t="s">
        <v>673</v>
      </c>
      <c r="BO3566" t="s">
        <v>22964</v>
      </c>
      <c r="BQ3566" t="str">
        <f>"2.5000%"</f>
        <v>2.5000%</v>
      </c>
      <c r="BR3566" t="s">
        <v>1480</v>
      </c>
      <c r="BS3566">
        <v>30</v>
      </c>
      <c r="BW3566" t="str">
        <f>""</f>
        <v/>
      </c>
      <c r="CH3566" t="str">
        <f>""</f>
        <v/>
      </c>
      <c r="CS3566" t="str">
        <f>""</f>
        <v/>
      </c>
    </row>
    <row r="3567" spans="1:97" x14ac:dyDescent="0.25">
      <c r="A3567" t="s">
        <v>8500</v>
      </c>
      <c r="B3567" t="s">
        <v>1485</v>
      </c>
      <c r="E3567" t="s">
        <v>22965</v>
      </c>
      <c r="F3567" t="s">
        <v>108</v>
      </c>
      <c r="H3567" t="s">
        <v>22966</v>
      </c>
      <c r="I3567" t="s">
        <v>390</v>
      </c>
      <c r="J3567" t="s">
        <v>111</v>
      </c>
      <c r="K3567" t="str">
        <f>"85031"</f>
        <v>85031</v>
      </c>
      <c r="L3567" t="s">
        <v>2963</v>
      </c>
      <c r="M3567" t="s">
        <v>22966</v>
      </c>
      <c r="N3567" t="s">
        <v>390</v>
      </c>
      <c r="O3567" t="s">
        <v>111</v>
      </c>
      <c r="P3567" t="str">
        <f>"85031-1632"</f>
        <v>85031-1632</v>
      </c>
      <c r="Q3567" t="s">
        <v>113</v>
      </c>
      <c r="R3567" t="str">
        <f>"144-49-198"</f>
        <v>144-49-198</v>
      </c>
      <c r="S3567" t="s">
        <v>22967</v>
      </c>
      <c r="U3567">
        <v>1692</v>
      </c>
      <c r="V3567">
        <v>0</v>
      </c>
      <c r="W3567">
        <v>2</v>
      </c>
      <c r="X3567">
        <v>1959</v>
      </c>
      <c r="Z3567">
        <v>1</v>
      </c>
      <c r="AA3567" t="s">
        <v>26</v>
      </c>
      <c r="AB3567">
        <v>0</v>
      </c>
      <c r="AC3567" t="s">
        <v>115</v>
      </c>
      <c r="AD3567">
        <v>1</v>
      </c>
      <c r="AE3567" t="s">
        <v>115</v>
      </c>
      <c r="AF3567">
        <v>0</v>
      </c>
      <c r="AG3567">
        <v>0</v>
      </c>
      <c r="AH3567" t="s">
        <v>116</v>
      </c>
      <c r="AI3567" s="1">
        <v>-4664</v>
      </c>
      <c r="AJ3567" s="2">
        <v>-0.02</v>
      </c>
      <c r="AK3567" s="1">
        <v>207336</v>
      </c>
      <c r="AL3567" t="s">
        <v>117</v>
      </c>
      <c r="AM3567" t="s">
        <v>191</v>
      </c>
      <c r="AN3567">
        <v>7318</v>
      </c>
      <c r="AO3567">
        <v>0.17</v>
      </c>
      <c r="AP3567">
        <v>1</v>
      </c>
      <c r="AR3567">
        <v>1</v>
      </c>
      <c r="AS3567" s="1">
        <v>13570</v>
      </c>
      <c r="AT3567" s="1">
        <v>2710</v>
      </c>
      <c r="AU3567" s="1">
        <v>10860</v>
      </c>
      <c r="AV3567">
        <v>80.03</v>
      </c>
      <c r="AX3567" s="1">
        <v>1000.54</v>
      </c>
      <c r="AY3567" t="s">
        <v>22968</v>
      </c>
      <c r="AZ3567" t="s">
        <v>22969</v>
      </c>
      <c r="BA3567" t="s">
        <v>22970</v>
      </c>
      <c r="BB3567" s="3">
        <v>43236</v>
      </c>
      <c r="BC3567" s="1">
        <v>0</v>
      </c>
      <c r="BD3567" t="s">
        <v>247</v>
      </c>
      <c r="BE3567" s="3">
        <v>42551</v>
      </c>
      <c r="BF3567" s="1">
        <v>130000</v>
      </c>
      <c r="BG3567" t="s">
        <v>22971</v>
      </c>
      <c r="BH3567" s="1">
        <v>76.83</v>
      </c>
      <c r="BI3567" s="1">
        <v>212000</v>
      </c>
      <c r="BJ3567" s="3">
        <v>43634</v>
      </c>
      <c r="BK3567" t="s">
        <v>123</v>
      </c>
      <c r="BL3567" t="str">
        <f>"2019.453104"</f>
        <v>2019.453104</v>
      </c>
      <c r="BM3567" t="s">
        <v>361</v>
      </c>
      <c r="BN3567" t="s">
        <v>884</v>
      </c>
      <c r="BO3567" t="s">
        <v>22965</v>
      </c>
      <c r="BR3567" t="s">
        <v>139</v>
      </c>
      <c r="BT3567" s="1">
        <v>212000</v>
      </c>
      <c r="BU3567" s="3">
        <v>43634</v>
      </c>
      <c r="BV3567" t="s">
        <v>123</v>
      </c>
      <c r="BW3567" t="str">
        <f>"2019.453104"</f>
        <v>2019.453104</v>
      </c>
      <c r="BX3567" t="s">
        <v>361</v>
      </c>
      <c r="BY3567" t="s">
        <v>884</v>
      </c>
      <c r="BZ3567" t="s">
        <v>22965</v>
      </c>
      <c r="CC3567" t="s">
        <v>139</v>
      </c>
      <c r="CH3567" t="str">
        <f>""</f>
        <v/>
      </c>
      <c r="CS3567" t="str">
        <f>""</f>
        <v/>
      </c>
    </row>
    <row r="3568" spans="1:97" x14ac:dyDescent="0.25">
      <c r="A3568" t="s">
        <v>894</v>
      </c>
      <c r="B3568" t="s">
        <v>1415</v>
      </c>
      <c r="C3568" t="s">
        <v>365</v>
      </c>
      <c r="D3568" t="s">
        <v>1415</v>
      </c>
      <c r="E3568" t="s">
        <v>22972</v>
      </c>
      <c r="F3568" t="s">
        <v>108</v>
      </c>
      <c r="H3568" t="s">
        <v>22973</v>
      </c>
      <c r="I3568" t="s">
        <v>110</v>
      </c>
      <c r="J3568" t="s">
        <v>111</v>
      </c>
      <c r="K3568" t="str">
        <f>"85225"</f>
        <v>85225</v>
      </c>
      <c r="L3568" t="s">
        <v>5416</v>
      </c>
      <c r="M3568" t="s">
        <v>22973</v>
      </c>
      <c r="N3568" t="s">
        <v>110</v>
      </c>
      <c r="O3568" t="s">
        <v>111</v>
      </c>
      <c r="P3568" t="str">
        <f>"85225-3808"</f>
        <v>85225-3808</v>
      </c>
      <c r="Q3568" t="s">
        <v>113</v>
      </c>
      <c r="R3568" t="str">
        <f>"302-66-059"</f>
        <v>302-66-059</v>
      </c>
      <c r="S3568" t="s">
        <v>22974</v>
      </c>
      <c r="T3568" t="s">
        <v>22974</v>
      </c>
      <c r="U3568">
        <v>2696</v>
      </c>
      <c r="V3568">
        <v>0</v>
      </c>
      <c r="W3568">
        <v>3</v>
      </c>
      <c r="X3568">
        <v>1951</v>
      </c>
      <c r="Z3568">
        <v>1</v>
      </c>
      <c r="AA3568" t="s">
        <v>26</v>
      </c>
      <c r="AB3568">
        <v>0</v>
      </c>
      <c r="AC3568" t="s">
        <v>5188</v>
      </c>
      <c r="AD3568">
        <v>1</v>
      </c>
      <c r="AE3568" t="s">
        <v>5188</v>
      </c>
      <c r="AF3568">
        <v>0</v>
      </c>
      <c r="AG3568">
        <v>0</v>
      </c>
      <c r="AH3568" t="s">
        <v>116</v>
      </c>
      <c r="AI3568" s="1">
        <v>21507</v>
      </c>
      <c r="AJ3568" s="2">
        <v>7.0000000000000007E-2</v>
      </c>
      <c r="AK3568" s="1">
        <v>321077</v>
      </c>
      <c r="AL3568" t="s">
        <v>117</v>
      </c>
      <c r="AM3568" t="s">
        <v>5379</v>
      </c>
      <c r="AN3568">
        <v>9666</v>
      </c>
      <c r="AO3568">
        <v>0.22</v>
      </c>
      <c r="AP3568">
        <v>1</v>
      </c>
      <c r="AR3568">
        <v>1</v>
      </c>
      <c r="AS3568" s="1">
        <v>20650</v>
      </c>
      <c r="AT3568" s="1">
        <v>4130</v>
      </c>
      <c r="AU3568" s="1">
        <v>16520</v>
      </c>
      <c r="AV3568">
        <v>80</v>
      </c>
      <c r="AX3568" s="1">
        <v>1476.1</v>
      </c>
      <c r="AY3568" t="s">
        <v>9839</v>
      </c>
      <c r="AZ3568" t="s">
        <v>2906</v>
      </c>
      <c r="BA3568" t="s">
        <v>2957</v>
      </c>
      <c r="BE3568" s="3">
        <v>42227</v>
      </c>
      <c r="BF3568" s="1">
        <v>245000</v>
      </c>
      <c r="BG3568" t="s">
        <v>22975</v>
      </c>
      <c r="BH3568" s="1">
        <v>90.88</v>
      </c>
      <c r="BI3568" s="1">
        <v>299570</v>
      </c>
      <c r="BJ3568" s="3">
        <v>43544</v>
      </c>
      <c r="BK3568" t="s">
        <v>123</v>
      </c>
      <c r="BL3568" t="str">
        <f>"2019.191140"</f>
        <v>2019.191140</v>
      </c>
      <c r="BM3568" t="s">
        <v>361</v>
      </c>
      <c r="BN3568" t="s">
        <v>884</v>
      </c>
      <c r="BO3568" t="s">
        <v>22976</v>
      </c>
      <c r="BP3568" t="s">
        <v>22977</v>
      </c>
      <c r="BR3568" t="s">
        <v>139</v>
      </c>
      <c r="BW3568" t="str">
        <f>""</f>
        <v/>
      </c>
      <c r="CH3568" t="str">
        <f>""</f>
        <v/>
      </c>
      <c r="CS3568" t="str">
        <f>""</f>
        <v/>
      </c>
    </row>
    <row r="3569" spans="1:97" x14ac:dyDescent="0.25">
      <c r="A3569" t="s">
        <v>11264</v>
      </c>
      <c r="B3569" t="s">
        <v>22305</v>
      </c>
      <c r="C3569" t="s">
        <v>1959</v>
      </c>
      <c r="D3569" t="s">
        <v>22305</v>
      </c>
      <c r="E3569" t="s">
        <v>22978</v>
      </c>
      <c r="F3569" t="s">
        <v>108</v>
      </c>
      <c r="H3569" t="s">
        <v>22979</v>
      </c>
      <c r="I3569" t="s">
        <v>499</v>
      </c>
      <c r="J3569" t="s">
        <v>111</v>
      </c>
      <c r="K3569" t="str">
        <f>"85338"</f>
        <v>85338</v>
      </c>
      <c r="L3569" t="s">
        <v>3758</v>
      </c>
      <c r="M3569" t="s">
        <v>22979</v>
      </c>
      <c r="N3569" t="s">
        <v>499</v>
      </c>
      <c r="O3569" t="s">
        <v>111</v>
      </c>
      <c r="P3569" t="str">
        <f>"85338-5119"</f>
        <v>85338-5119</v>
      </c>
      <c r="Q3569" t="s">
        <v>113</v>
      </c>
      <c r="R3569" t="str">
        <f>"400-79-331"</f>
        <v>400-79-331</v>
      </c>
      <c r="S3569" t="s">
        <v>17217</v>
      </c>
      <c r="T3569" t="s">
        <v>9895</v>
      </c>
      <c r="U3569">
        <v>1869</v>
      </c>
      <c r="V3569">
        <v>0</v>
      </c>
      <c r="W3569">
        <v>3</v>
      </c>
      <c r="X3569">
        <v>2002</v>
      </c>
      <c r="Z3569">
        <v>1</v>
      </c>
      <c r="AB3569">
        <v>0</v>
      </c>
      <c r="AC3569" t="s">
        <v>115</v>
      </c>
      <c r="AD3569">
        <v>2</v>
      </c>
      <c r="AE3569" t="s">
        <v>115</v>
      </c>
      <c r="AF3569">
        <v>0</v>
      </c>
      <c r="AG3569">
        <v>0</v>
      </c>
      <c r="AH3569" t="s">
        <v>116</v>
      </c>
      <c r="AI3569" s="1">
        <v>54209</v>
      </c>
      <c r="AJ3569" s="2">
        <v>0.2</v>
      </c>
      <c r="AK3569" s="1">
        <v>274999</v>
      </c>
      <c r="AL3569" t="s">
        <v>117</v>
      </c>
      <c r="AM3569" t="s">
        <v>118</v>
      </c>
      <c r="AN3569">
        <v>5500</v>
      </c>
      <c r="AO3569">
        <v>0.13</v>
      </c>
      <c r="AP3569">
        <v>1</v>
      </c>
      <c r="AR3569">
        <v>1</v>
      </c>
      <c r="AS3569" s="1">
        <v>18680</v>
      </c>
      <c r="AT3569" s="1">
        <v>3730</v>
      </c>
      <c r="AU3569" s="1">
        <v>14950</v>
      </c>
      <c r="AV3569">
        <v>80.03</v>
      </c>
      <c r="AX3569" s="1">
        <v>1660.64</v>
      </c>
      <c r="AY3569" t="s">
        <v>4236</v>
      </c>
      <c r="AZ3569" t="s">
        <v>4236</v>
      </c>
      <c r="BA3569" t="s">
        <v>1247</v>
      </c>
      <c r="BE3569" s="3">
        <v>42061</v>
      </c>
      <c r="BF3569" s="1">
        <v>202000</v>
      </c>
      <c r="BG3569" t="s">
        <v>22980</v>
      </c>
      <c r="BH3569" s="1">
        <v>108.08</v>
      </c>
      <c r="BI3569" s="1">
        <v>220790</v>
      </c>
      <c r="BJ3569" s="3">
        <v>42703</v>
      </c>
      <c r="BK3569" t="s">
        <v>123</v>
      </c>
      <c r="BL3569" t="str">
        <f>"2016.875968"</f>
        <v>2016.875968</v>
      </c>
      <c r="BM3569" t="s">
        <v>361</v>
      </c>
      <c r="BO3569" t="s">
        <v>22981</v>
      </c>
      <c r="BS3569">
        <v>30</v>
      </c>
      <c r="BW3569" t="str">
        <f>""</f>
        <v/>
      </c>
      <c r="CH3569" t="str">
        <f>""</f>
        <v/>
      </c>
      <c r="CS3569" t="str">
        <f>""</f>
        <v/>
      </c>
    </row>
    <row r="3570" spans="1:97" x14ac:dyDescent="0.25">
      <c r="A3570" t="s">
        <v>1124</v>
      </c>
      <c r="B3570" t="s">
        <v>22982</v>
      </c>
      <c r="C3570" t="s">
        <v>22983</v>
      </c>
      <c r="D3570" t="s">
        <v>22982</v>
      </c>
      <c r="E3570" t="s">
        <v>22984</v>
      </c>
      <c r="F3570" t="s">
        <v>108</v>
      </c>
      <c r="H3570" t="s">
        <v>22985</v>
      </c>
      <c r="I3570" t="s">
        <v>144</v>
      </c>
      <c r="J3570" t="s">
        <v>111</v>
      </c>
      <c r="K3570" t="str">
        <f>"85326"</f>
        <v>85326</v>
      </c>
      <c r="L3570" t="s">
        <v>7243</v>
      </c>
      <c r="M3570" t="s">
        <v>22985</v>
      </c>
      <c r="N3570" t="s">
        <v>144</v>
      </c>
      <c r="O3570" t="s">
        <v>111</v>
      </c>
      <c r="P3570" t="str">
        <f>"85326-8617"</f>
        <v>85326-8617</v>
      </c>
      <c r="Q3570" t="s">
        <v>113</v>
      </c>
      <c r="R3570" t="str">
        <f>"504-63-415"</f>
        <v>504-63-415</v>
      </c>
      <c r="S3570" t="s">
        <v>22986</v>
      </c>
      <c r="U3570">
        <v>3784</v>
      </c>
      <c r="V3570">
        <v>0</v>
      </c>
      <c r="W3570">
        <v>4</v>
      </c>
      <c r="X3570">
        <v>2006</v>
      </c>
      <c r="Z3570">
        <v>2</v>
      </c>
      <c r="AA3570" t="s">
        <v>26</v>
      </c>
      <c r="AB3570">
        <v>0</v>
      </c>
      <c r="AC3570" t="s">
        <v>115</v>
      </c>
      <c r="AD3570">
        <v>3</v>
      </c>
      <c r="AE3570" t="s">
        <v>115</v>
      </c>
      <c r="AF3570">
        <v>0</v>
      </c>
      <c r="AG3570">
        <v>0</v>
      </c>
      <c r="AH3570" t="s">
        <v>116</v>
      </c>
      <c r="AI3570" s="1">
        <v>42359</v>
      </c>
      <c r="AJ3570" s="2">
        <v>0.13</v>
      </c>
      <c r="AK3570" s="1">
        <v>331599</v>
      </c>
      <c r="AL3570" t="s">
        <v>117</v>
      </c>
      <c r="AM3570" t="s">
        <v>118</v>
      </c>
      <c r="AN3570">
        <v>8477</v>
      </c>
      <c r="AO3570">
        <v>0.2</v>
      </c>
      <c r="AR3570">
        <v>1</v>
      </c>
      <c r="AS3570" s="1">
        <v>23370</v>
      </c>
      <c r="AT3570" s="1">
        <v>4670</v>
      </c>
      <c r="AU3570" s="1">
        <v>18700</v>
      </c>
      <c r="AV3570">
        <v>80.02</v>
      </c>
      <c r="AX3570" s="1">
        <v>2473.08</v>
      </c>
      <c r="AY3570" t="s">
        <v>5024</v>
      </c>
      <c r="AZ3570" t="s">
        <v>5024</v>
      </c>
      <c r="BA3570" t="s">
        <v>5025</v>
      </c>
      <c r="BE3570" s="3">
        <v>41684</v>
      </c>
      <c r="BF3570" s="1">
        <v>235000</v>
      </c>
      <c r="BG3570" t="s">
        <v>22987</v>
      </c>
      <c r="BH3570" s="1">
        <v>62.1</v>
      </c>
      <c r="BI3570" s="1">
        <v>289240</v>
      </c>
      <c r="BJ3570" s="3">
        <v>43360</v>
      </c>
      <c r="BK3570" t="s">
        <v>123</v>
      </c>
      <c r="BL3570" t="str">
        <f>"2018.696563"</f>
        <v>2018.696563</v>
      </c>
      <c r="BM3570" t="s">
        <v>1915</v>
      </c>
      <c r="BN3570" t="s">
        <v>1916</v>
      </c>
      <c r="BO3570" t="s">
        <v>22988</v>
      </c>
      <c r="BP3570" t="s">
        <v>22989</v>
      </c>
      <c r="BR3570" t="s">
        <v>139</v>
      </c>
      <c r="BW3570" t="str">
        <f>""</f>
        <v/>
      </c>
      <c r="CH3570" t="str">
        <f>""</f>
        <v/>
      </c>
      <c r="CS3570" t="str">
        <f>""</f>
        <v/>
      </c>
    </row>
    <row r="3571" spans="1:97" x14ac:dyDescent="0.25">
      <c r="A3571" t="s">
        <v>11133</v>
      </c>
      <c r="B3571" t="s">
        <v>1607</v>
      </c>
      <c r="C3571" t="s">
        <v>1289</v>
      </c>
      <c r="D3571" t="s">
        <v>22990</v>
      </c>
      <c r="E3571" t="s">
        <v>22991</v>
      </c>
      <c r="F3571" t="s">
        <v>282</v>
      </c>
      <c r="H3571" t="s">
        <v>22992</v>
      </c>
      <c r="I3571" t="s">
        <v>225</v>
      </c>
      <c r="J3571" t="s">
        <v>111</v>
      </c>
      <c r="K3571" t="str">
        <f>"85215"</f>
        <v>85215</v>
      </c>
      <c r="L3571" t="s">
        <v>316</v>
      </c>
      <c r="M3571" t="s">
        <v>22993</v>
      </c>
      <c r="N3571" t="s">
        <v>225</v>
      </c>
      <c r="O3571" t="s">
        <v>111</v>
      </c>
      <c r="P3571" t="str">
        <f>"85215-9709"</f>
        <v>85215-9709</v>
      </c>
      <c r="Q3571" t="s">
        <v>113</v>
      </c>
      <c r="R3571" t="str">
        <f>"141-43-635"</f>
        <v>141-43-635</v>
      </c>
      <c r="S3571" t="s">
        <v>22994</v>
      </c>
      <c r="T3571" t="s">
        <v>22995</v>
      </c>
      <c r="U3571">
        <v>1473</v>
      </c>
      <c r="V3571">
        <v>0</v>
      </c>
      <c r="W3571">
        <v>3</v>
      </c>
      <c r="X3571">
        <v>2007</v>
      </c>
      <c r="Z3571">
        <v>1</v>
      </c>
      <c r="AB3571">
        <v>0</v>
      </c>
      <c r="AC3571" t="s">
        <v>115</v>
      </c>
      <c r="AD3571">
        <v>2</v>
      </c>
      <c r="AE3571" t="s">
        <v>115</v>
      </c>
      <c r="AF3571">
        <v>0</v>
      </c>
      <c r="AG3571">
        <v>0</v>
      </c>
      <c r="AH3571" t="s">
        <v>116</v>
      </c>
      <c r="AI3571" s="1">
        <v>40213</v>
      </c>
      <c r="AJ3571" s="2">
        <v>0.14000000000000001</v>
      </c>
      <c r="AK3571" s="1">
        <v>285034</v>
      </c>
      <c r="AL3571" t="s">
        <v>117</v>
      </c>
      <c r="AM3571" t="s">
        <v>393</v>
      </c>
      <c r="AN3571">
        <v>5346</v>
      </c>
      <c r="AO3571">
        <v>0.12</v>
      </c>
      <c r="AP3571">
        <v>1</v>
      </c>
      <c r="AR3571">
        <v>1</v>
      </c>
      <c r="AS3571" s="1">
        <v>19960</v>
      </c>
      <c r="AT3571" s="1">
        <v>3990</v>
      </c>
      <c r="AU3571" s="1">
        <v>15970</v>
      </c>
      <c r="AV3571">
        <v>80.010000000000005</v>
      </c>
      <c r="AX3571" s="1">
        <v>2384.2600000000002</v>
      </c>
      <c r="AY3571" t="s">
        <v>6044</v>
      </c>
      <c r="AZ3571" t="s">
        <v>5275</v>
      </c>
      <c r="BA3571" t="s">
        <v>3119</v>
      </c>
      <c r="BB3571" s="3">
        <v>42080</v>
      </c>
      <c r="BD3571" t="s">
        <v>458</v>
      </c>
      <c r="BE3571" s="3">
        <v>42062</v>
      </c>
      <c r="BF3571" s="1">
        <v>248000</v>
      </c>
      <c r="BG3571" t="s">
        <v>22996</v>
      </c>
      <c r="BH3571" s="1">
        <v>168.36</v>
      </c>
      <c r="BI3571" s="1">
        <v>244821</v>
      </c>
      <c r="BJ3571" s="3">
        <v>42062</v>
      </c>
      <c r="BK3571" t="s">
        <v>123</v>
      </c>
      <c r="BL3571" t="str">
        <f>"2015.133819"</f>
        <v>2015.133819</v>
      </c>
      <c r="BM3571" t="s">
        <v>19744</v>
      </c>
      <c r="BO3571" t="s">
        <v>22997</v>
      </c>
      <c r="BS3571">
        <v>30</v>
      </c>
      <c r="BW3571" t="str">
        <f>""</f>
        <v/>
      </c>
      <c r="CH3571" t="str">
        <f>""</f>
        <v/>
      </c>
      <c r="CS3571" t="str">
        <f>""</f>
        <v/>
      </c>
    </row>
    <row r="3572" spans="1:97" x14ac:dyDescent="0.25">
      <c r="A3572" t="s">
        <v>4554</v>
      </c>
      <c r="B3572" t="s">
        <v>10477</v>
      </c>
      <c r="C3572" t="s">
        <v>2731</v>
      </c>
      <c r="D3572" t="s">
        <v>10477</v>
      </c>
      <c r="E3572" t="s">
        <v>22998</v>
      </c>
      <c r="F3572" t="s">
        <v>108</v>
      </c>
      <c r="H3572" t="s">
        <v>22999</v>
      </c>
      <c r="I3572" t="s">
        <v>110</v>
      </c>
      <c r="J3572" t="s">
        <v>111</v>
      </c>
      <c r="K3572" t="str">
        <f>"85224"</f>
        <v>85224</v>
      </c>
      <c r="L3572" t="s">
        <v>5308</v>
      </c>
      <c r="M3572" t="s">
        <v>22999</v>
      </c>
      <c r="N3572" t="s">
        <v>110</v>
      </c>
      <c r="O3572" t="s">
        <v>111</v>
      </c>
      <c r="P3572" t="str">
        <f>"85224-1039"</f>
        <v>85224-1039</v>
      </c>
      <c r="Q3572" t="s">
        <v>113</v>
      </c>
      <c r="R3572" t="str">
        <f>"302-87-033"</f>
        <v>302-87-033</v>
      </c>
      <c r="S3572" t="s">
        <v>21803</v>
      </c>
      <c r="U3572">
        <v>1556</v>
      </c>
      <c r="V3572">
        <v>0</v>
      </c>
      <c r="W3572">
        <v>2</v>
      </c>
      <c r="X3572">
        <v>1979</v>
      </c>
      <c r="Z3572">
        <v>1</v>
      </c>
      <c r="AA3572" t="s">
        <v>26</v>
      </c>
      <c r="AB3572">
        <v>0</v>
      </c>
      <c r="AC3572" t="s">
        <v>115</v>
      </c>
      <c r="AD3572">
        <v>2</v>
      </c>
      <c r="AE3572" t="s">
        <v>115</v>
      </c>
      <c r="AF3572">
        <v>0</v>
      </c>
      <c r="AG3572">
        <v>0</v>
      </c>
      <c r="AH3572" t="s">
        <v>116</v>
      </c>
      <c r="AI3572" s="1">
        <v>53487</v>
      </c>
      <c r="AJ3572" s="2">
        <v>0.15</v>
      </c>
      <c r="AK3572" s="1">
        <v>350487</v>
      </c>
      <c r="AL3572" t="s">
        <v>117</v>
      </c>
      <c r="AM3572" t="s">
        <v>5077</v>
      </c>
      <c r="AN3572">
        <v>15436</v>
      </c>
      <c r="AO3572">
        <v>0.35</v>
      </c>
      <c r="AP3572">
        <v>1</v>
      </c>
      <c r="AR3572">
        <v>1</v>
      </c>
      <c r="AS3572" s="1">
        <v>25760</v>
      </c>
      <c r="AT3572" s="1">
        <v>5150</v>
      </c>
      <c r="AU3572" s="1">
        <v>20610</v>
      </c>
      <c r="AV3572">
        <v>80.010000000000005</v>
      </c>
      <c r="AX3572" s="1">
        <v>1793.02</v>
      </c>
      <c r="AY3572" t="s">
        <v>5310</v>
      </c>
      <c r="AZ3572" t="s">
        <v>5310</v>
      </c>
      <c r="BA3572" t="s">
        <v>5311</v>
      </c>
      <c r="BE3572" s="3">
        <v>42195</v>
      </c>
      <c r="BF3572" s="1">
        <v>255900</v>
      </c>
      <c r="BG3572" t="s">
        <v>23000</v>
      </c>
      <c r="BH3572" s="1">
        <v>164.46</v>
      </c>
      <c r="BI3572" s="1">
        <v>297000</v>
      </c>
      <c r="BJ3572" s="3">
        <v>42913</v>
      </c>
      <c r="BK3572" t="s">
        <v>123</v>
      </c>
      <c r="BL3572" t="str">
        <f>"2017.469203"</f>
        <v>2017.469203</v>
      </c>
      <c r="BM3572" t="s">
        <v>2084</v>
      </c>
      <c r="BO3572" t="s">
        <v>23001</v>
      </c>
      <c r="BS3572">
        <v>30</v>
      </c>
      <c r="BW3572" t="str">
        <f>""</f>
        <v/>
      </c>
      <c r="CH3572" t="str">
        <f>""</f>
        <v/>
      </c>
      <c r="CS3572" t="str">
        <f>""</f>
        <v/>
      </c>
    </row>
    <row r="3573" spans="1:97" x14ac:dyDescent="0.25">
      <c r="A3573" t="s">
        <v>938</v>
      </c>
      <c r="B3573" t="s">
        <v>23002</v>
      </c>
      <c r="C3573" t="s">
        <v>1047</v>
      </c>
      <c r="D3573" t="s">
        <v>23002</v>
      </c>
      <c r="E3573" t="s">
        <v>23003</v>
      </c>
      <c r="F3573" t="s">
        <v>108</v>
      </c>
      <c r="H3573" t="s">
        <v>23004</v>
      </c>
      <c r="I3573" t="s">
        <v>110</v>
      </c>
      <c r="J3573" t="s">
        <v>111</v>
      </c>
      <c r="K3573" t="str">
        <f>"85286"</f>
        <v>85286</v>
      </c>
      <c r="L3573" t="s">
        <v>1796</v>
      </c>
      <c r="M3573" t="s">
        <v>23004</v>
      </c>
      <c r="N3573" t="s">
        <v>110</v>
      </c>
      <c r="O3573" t="s">
        <v>111</v>
      </c>
      <c r="P3573" t="str">
        <f>"85286-7921"</f>
        <v>85286-7921</v>
      </c>
      <c r="Q3573" t="s">
        <v>113</v>
      </c>
      <c r="R3573" t="str">
        <f>"303-36-216"</f>
        <v>303-36-216</v>
      </c>
      <c r="S3573" t="s">
        <v>23005</v>
      </c>
      <c r="U3573">
        <v>2337</v>
      </c>
      <c r="V3573">
        <v>0</v>
      </c>
      <c r="W3573">
        <v>4</v>
      </c>
      <c r="X3573">
        <v>1996</v>
      </c>
      <c r="Z3573">
        <v>2</v>
      </c>
      <c r="AA3573" t="s">
        <v>26</v>
      </c>
      <c r="AB3573">
        <v>0</v>
      </c>
      <c r="AC3573" t="s">
        <v>115</v>
      </c>
      <c r="AD3573">
        <v>2</v>
      </c>
      <c r="AE3573" t="s">
        <v>115</v>
      </c>
      <c r="AF3573">
        <v>0</v>
      </c>
      <c r="AG3573">
        <v>0</v>
      </c>
      <c r="AH3573" t="s">
        <v>116</v>
      </c>
      <c r="AI3573" s="1">
        <v>101338</v>
      </c>
      <c r="AJ3573" s="2">
        <v>0.25</v>
      </c>
      <c r="AK3573" s="1">
        <v>398904</v>
      </c>
      <c r="AL3573" t="s">
        <v>117</v>
      </c>
      <c r="AM3573" t="s">
        <v>118</v>
      </c>
      <c r="AN3573">
        <v>9409</v>
      </c>
      <c r="AO3573">
        <v>0.22</v>
      </c>
      <c r="AP3573">
        <v>1</v>
      </c>
      <c r="AR3573">
        <v>1</v>
      </c>
      <c r="AS3573" s="1">
        <v>29570</v>
      </c>
      <c r="AT3573" s="1">
        <v>5910</v>
      </c>
      <c r="AU3573" s="1">
        <v>23660</v>
      </c>
      <c r="AV3573">
        <v>80.010000000000005</v>
      </c>
      <c r="AX3573" s="1">
        <v>2485.7600000000002</v>
      </c>
      <c r="AY3573" t="s">
        <v>10718</v>
      </c>
      <c r="AZ3573" t="s">
        <v>1882</v>
      </c>
      <c r="BA3573" t="s">
        <v>121</v>
      </c>
      <c r="BE3573" s="3">
        <v>41817</v>
      </c>
      <c r="BF3573" s="1">
        <v>306100</v>
      </c>
      <c r="BG3573" t="s">
        <v>23006</v>
      </c>
      <c r="BH3573" s="1">
        <v>130.97999999999999</v>
      </c>
      <c r="BI3573" s="1">
        <v>297566</v>
      </c>
      <c r="BJ3573" s="3">
        <v>42956</v>
      </c>
      <c r="BK3573" t="s">
        <v>123</v>
      </c>
      <c r="BL3573" t="str">
        <f>"2017.584875"</f>
        <v>2017.584875</v>
      </c>
      <c r="BM3573" t="s">
        <v>3638</v>
      </c>
      <c r="BO3573" t="s">
        <v>23007</v>
      </c>
      <c r="BS3573">
        <v>30</v>
      </c>
      <c r="BW3573" t="str">
        <f>""</f>
        <v/>
      </c>
      <c r="CH3573" t="str">
        <f>""</f>
        <v/>
      </c>
      <c r="CS3573" t="str">
        <f>""</f>
        <v/>
      </c>
    </row>
    <row r="3574" spans="1:97" x14ac:dyDescent="0.25">
      <c r="A3574" t="s">
        <v>370</v>
      </c>
      <c r="B3574" t="s">
        <v>17030</v>
      </c>
      <c r="C3574" t="s">
        <v>220</v>
      </c>
      <c r="D3574" t="s">
        <v>23008</v>
      </c>
      <c r="E3574" t="s">
        <v>23009</v>
      </c>
      <c r="F3574" t="s">
        <v>108</v>
      </c>
      <c r="H3574" t="s">
        <v>23010</v>
      </c>
      <c r="I3574" t="s">
        <v>203</v>
      </c>
      <c r="J3574" t="s">
        <v>111</v>
      </c>
      <c r="K3574" t="str">
        <f>"85296"</f>
        <v>85296</v>
      </c>
      <c r="L3574" t="s">
        <v>7834</v>
      </c>
      <c r="M3574" t="s">
        <v>23010</v>
      </c>
      <c r="N3574" t="s">
        <v>203</v>
      </c>
      <c r="O3574" t="s">
        <v>111</v>
      </c>
      <c r="P3574" t="str">
        <f>"85296-4316"</f>
        <v>85296-4316</v>
      </c>
      <c r="Q3574" t="s">
        <v>113</v>
      </c>
      <c r="R3574" t="str">
        <f>"309-17-042"</f>
        <v>309-17-042</v>
      </c>
      <c r="S3574" t="s">
        <v>23011</v>
      </c>
      <c r="T3574" t="s">
        <v>12193</v>
      </c>
      <c r="U3574">
        <v>2182</v>
      </c>
      <c r="V3574">
        <v>0</v>
      </c>
      <c r="W3574">
        <v>3</v>
      </c>
      <c r="X3574">
        <v>1998</v>
      </c>
      <c r="Z3574">
        <v>2</v>
      </c>
      <c r="AA3574" t="s">
        <v>26</v>
      </c>
      <c r="AB3574">
        <v>0</v>
      </c>
      <c r="AC3574" t="s">
        <v>115</v>
      </c>
      <c r="AD3574">
        <v>3</v>
      </c>
      <c r="AE3574" t="s">
        <v>115</v>
      </c>
      <c r="AF3574">
        <v>0</v>
      </c>
      <c r="AG3574">
        <v>0</v>
      </c>
      <c r="AH3574" t="s">
        <v>116</v>
      </c>
      <c r="AI3574" s="1">
        <v>87571</v>
      </c>
      <c r="AJ3574" s="2">
        <v>0.23</v>
      </c>
      <c r="AK3574" s="1">
        <v>376811</v>
      </c>
      <c r="AL3574" t="s">
        <v>117</v>
      </c>
      <c r="AM3574" t="s">
        <v>393</v>
      </c>
      <c r="AN3574">
        <v>13469</v>
      </c>
      <c r="AO3574">
        <v>0.31</v>
      </c>
      <c r="AP3574">
        <v>1</v>
      </c>
      <c r="AR3574">
        <v>1</v>
      </c>
      <c r="AS3574" s="1">
        <v>28110</v>
      </c>
      <c r="AT3574" s="1">
        <v>5620</v>
      </c>
      <c r="AU3574" s="1">
        <v>22490</v>
      </c>
      <c r="AV3574">
        <v>80.010000000000005</v>
      </c>
      <c r="AX3574" s="1">
        <v>1955.38</v>
      </c>
      <c r="AY3574" t="s">
        <v>7837</v>
      </c>
      <c r="AZ3574" t="s">
        <v>207</v>
      </c>
      <c r="BA3574" t="s">
        <v>208</v>
      </c>
      <c r="BB3574" s="3">
        <v>41789</v>
      </c>
      <c r="BD3574" t="s">
        <v>240</v>
      </c>
      <c r="BE3574" s="3">
        <v>41789</v>
      </c>
      <c r="BF3574" s="1">
        <v>280000</v>
      </c>
      <c r="BG3574" t="s">
        <v>23012</v>
      </c>
      <c r="BH3574" s="1">
        <v>128.32</v>
      </c>
      <c r="BI3574" s="1">
        <v>289240</v>
      </c>
      <c r="BJ3574" s="3">
        <v>41789</v>
      </c>
      <c r="BK3574" t="s">
        <v>123</v>
      </c>
      <c r="BL3574" t="str">
        <f>"2014.351559"</f>
        <v>2014.351559</v>
      </c>
      <c r="BM3574" t="s">
        <v>5867</v>
      </c>
      <c r="BO3574" t="s">
        <v>23013</v>
      </c>
      <c r="BS3574">
        <v>30</v>
      </c>
      <c r="BW3574" t="str">
        <f>""</f>
        <v/>
      </c>
      <c r="CH3574" t="str">
        <f>""</f>
        <v/>
      </c>
      <c r="CS3574" t="str">
        <f>""</f>
        <v/>
      </c>
    </row>
    <row r="3575" spans="1:97" x14ac:dyDescent="0.25">
      <c r="A3575" t="s">
        <v>1979</v>
      </c>
      <c r="B3575" t="s">
        <v>23014</v>
      </c>
      <c r="C3575" t="s">
        <v>348</v>
      </c>
      <c r="D3575" t="s">
        <v>23014</v>
      </c>
      <c r="E3575" t="s">
        <v>23015</v>
      </c>
      <c r="F3575" t="s">
        <v>108</v>
      </c>
      <c r="H3575" t="s">
        <v>23016</v>
      </c>
      <c r="I3575" t="s">
        <v>225</v>
      </c>
      <c r="J3575" t="s">
        <v>111</v>
      </c>
      <c r="K3575" t="str">
        <f>"85208"</f>
        <v>85208</v>
      </c>
      <c r="L3575" t="s">
        <v>2875</v>
      </c>
      <c r="M3575" t="s">
        <v>23016</v>
      </c>
      <c r="N3575" t="s">
        <v>225</v>
      </c>
      <c r="O3575" t="s">
        <v>111</v>
      </c>
      <c r="P3575" t="str">
        <f>"85208-2006"</f>
        <v>85208-2006</v>
      </c>
      <c r="Q3575" t="s">
        <v>113</v>
      </c>
      <c r="R3575" t="str">
        <f>"218-55-604"</f>
        <v>218-55-604</v>
      </c>
      <c r="S3575" t="s">
        <v>23017</v>
      </c>
      <c r="U3575">
        <v>1554</v>
      </c>
      <c r="V3575">
        <v>0</v>
      </c>
      <c r="W3575">
        <v>2</v>
      </c>
      <c r="X3575">
        <v>1983</v>
      </c>
      <c r="Z3575">
        <v>1</v>
      </c>
      <c r="AA3575" t="s">
        <v>26</v>
      </c>
      <c r="AB3575">
        <v>0</v>
      </c>
      <c r="AC3575" t="s">
        <v>115</v>
      </c>
      <c r="AD3575">
        <v>2</v>
      </c>
      <c r="AE3575" t="s">
        <v>115</v>
      </c>
      <c r="AF3575">
        <v>0</v>
      </c>
      <c r="AG3575">
        <v>0</v>
      </c>
      <c r="AH3575" t="s">
        <v>116</v>
      </c>
      <c r="AI3575" s="1">
        <v>56206</v>
      </c>
      <c r="AJ3575" s="2">
        <v>0.21</v>
      </c>
      <c r="AK3575" s="1">
        <v>268261</v>
      </c>
      <c r="AL3575" t="s">
        <v>117</v>
      </c>
      <c r="AM3575" t="s">
        <v>191</v>
      </c>
      <c r="AN3575">
        <v>8054</v>
      </c>
      <c r="AO3575">
        <v>0.18</v>
      </c>
      <c r="AP3575">
        <v>1</v>
      </c>
      <c r="AR3575">
        <v>1</v>
      </c>
      <c r="AS3575" s="1">
        <v>18730</v>
      </c>
      <c r="AT3575" s="1">
        <v>3740</v>
      </c>
      <c r="AU3575" s="1">
        <v>14990</v>
      </c>
      <c r="AV3575">
        <v>80.03</v>
      </c>
      <c r="AX3575" s="1">
        <v>1558.62</v>
      </c>
      <c r="AY3575" t="s">
        <v>12506</v>
      </c>
      <c r="AZ3575" t="s">
        <v>231</v>
      </c>
      <c r="BA3575" t="s">
        <v>232</v>
      </c>
      <c r="BE3575" s="3">
        <v>42200</v>
      </c>
      <c r="BF3575" s="1">
        <v>200000</v>
      </c>
      <c r="BG3575" t="s">
        <v>23018</v>
      </c>
      <c r="BH3575" s="1">
        <v>128.69999999999999</v>
      </c>
      <c r="BI3575" s="1">
        <v>212055</v>
      </c>
      <c r="BJ3575" s="3">
        <v>43041</v>
      </c>
      <c r="BK3575" t="s">
        <v>123</v>
      </c>
      <c r="BL3575" t="str">
        <f>"2017.815609"</f>
        <v>2017.815609</v>
      </c>
      <c r="BM3575" t="s">
        <v>3664</v>
      </c>
      <c r="BO3575" t="s">
        <v>23019</v>
      </c>
      <c r="BS3575">
        <v>29</v>
      </c>
      <c r="BW3575" t="str">
        <f>""</f>
        <v/>
      </c>
      <c r="CH3575" t="str">
        <f>""</f>
        <v/>
      </c>
      <c r="CS3575" t="str">
        <f>""</f>
        <v/>
      </c>
    </row>
    <row r="3576" spans="1:97" x14ac:dyDescent="0.25">
      <c r="A3576" t="s">
        <v>370</v>
      </c>
      <c r="B3576" t="s">
        <v>23020</v>
      </c>
      <c r="C3576" t="s">
        <v>3862</v>
      </c>
      <c r="D3576" t="s">
        <v>23020</v>
      </c>
      <c r="E3576" t="s">
        <v>23021</v>
      </c>
      <c r="F3576" t="s">
        <v>108</v>
      </c>
      <c r="H3576" t="s">
        <v>23022</v>
      </c>
      <c r="I3576" t="s">
        <v>499</v>
      </c>
      <c r="J3576" t="s">
        <v>111</v>
      </c>
      <c r="K3576" t="str">
        <f>"85395"</f>
        <v>85395</v>
      </c>
      <c r="L3576" t="s">
        <v>7243</v>
      </c>
      <c r="M3576" t="s">
        <v>23022</v>
      </c>
      <c r="N3576" t="s">
        <v>499</v>
      </c>
      <c r="O3576" t="s">
        <v>111</v>
      </c>
      <c r="P3576" t="str">
        <f>"85395-8237"</f>
        <v>85395-8237</v>
      </c>
      <c r="Q3576" t="s">
        <v>113</v>
      </c>
      <c r="R3576" t="str">
        <f>"508-01-618"</f>
        <v>508-01-618</v>
      </c>
      <c r="S3576" t="s">
        <v>15264</v>
      </c>
      <c r="T3576" t="s">
        <v>15265</v>
      </c>
      <c r="U3576">
        <v>3105</v>
      </c>
      <c r="V3576">
        <v>0</v>
      </c>
      <c r="W3576">
        <v>5</v>
      </c>
      <c r="X3576">
        <v>2000</v>
      </c>
      <c r="Z3576">
        <v>1</v>
      </c>
      <c r="AA3576" t="s">
        <v>26</v>
      </c>
      <c r="AB3576">
        <v>0</v>
      </c>
      <c r="AC3576" t="s">
        <v>115</v>
      </c>
      <c r="AD3576">
        <v>2</v>
      </c>
      <c r="AE3576" t="s">
        <v>115</v>
      </c>
      <c r="AF3576">
        <v>0</v>
      </c>
      <c r="AG3576">
        <v>0</v>
      </c>
      <c r="AH3576" t="s">
        <v>116</v>
      </c>
      <c r="AI3576" s="1">
        <v>103844</v>
      </c>
      <c r="AJ3576" s="2">
        <v>0.25</v>
      </c>
      <c r="AK3576" s="1">
        <v>414580</v>
      </c>
      <c r="AL3576" t="s">
        <v>117</v>
      </c>
      <c r="AM3576" t="s">
        <v>118</v>
      </c>
      <c r="AN3576">
        <v>10625</v>
      </c>
      <c r="AO3576">
        <v>0.24</v>
      </c>
      <c r="AP3576">
        <v>1</v>
      </c>
      <c r="AR3576">
        <v>1</v>
      </c>
      <c r="AS3576" s="1">
        <v>30410</v>
      </c>
      <c r="AT3576" s="1">
        <v>6080</v>
      </c>
      <c r="AU3576" s="1">
        <v>24330</v>
      </c>
      <c r="AV3576">
        <v>80.010000000000005</v>
      </c>
      <c r="AX3576" s="1">
        <v>3704.88</v>
      </c>
      <c r="AY3576" t="s">
        <v>3020</v>
      </c>
      <c r="AZ3576" t="s">
        <v>3020</v>
      </c>
      <c r="BA3576" t="s">
        <v>3154</v>
      </c>
      <c r="BE3576" s="3">
        <v>42230</v>
      </c>
      <c r="BF3576" s="1">
        <v>341000</v>
      </c>
      <c r="BG3576" t="s">
        <v>23023</v>
      </c>
      <c r="BH3576" s="1">
        <v>109.82</v>
      </c>
      <c r="BI3576" s="1">
        <v>310736</v>
      </c>
      <c r="BJ3576" s="3">
        <v>42230</v>
      </c>
      <c r="BK3576" t="s">
        <v>123</v>
      </c>
      <c r="BL3576" t="str">
        <f>"2015.592263"</f>
        <v>2015.592263</v>
      </c>
      <c r="BM3576" t="s">
        <v>544</v>
      </c>
      <c r="BO3576" t="s">
        <v>23024</v>
      </c>
      <c r="BS3576">
        <v>30</v>
      </c>
      <c r="BW3576" t="str">
        <f>""</f>
        <v/>
      </c>
      <c r="CH3576" t="str">
        <f>""</f>
        <v/>
      </c>
      <c r="CS3576" t="str">
        <f>""</f>
        <v/>
      </c>
    </row>
    <row r="3577" spans="1:97" x14ac:dyDescent="0.25">
      <c r="A3577" t="s">
        <v>23025</v>
      </c>
      <c r="B3577" t="s">
        <v>4882</v>
      </c>
      <c r="C3577" t="s">
        <v>986</v>
      </c>
      <c r="D3577" t="s">
        <v>4882</v>
      </c>
      <c r="E3577" t="s">
        <v>23026</v>
      </c>
      <c r="F3577" t="s">
        <v>108</v>
      </c>
      <c r="H3577" t="s">
        <v>23027</v>
      </c>
      <c r="I3577" t="s">
        <v>167</v>
      </c>
      <c r="J3577" t="s">
        <v>111</v>
      </c>
      <c r="K3577" t="str">
        <f>"85339"</f>
        <v>85339</v>
      </c>
      <c r="L3577" t="s">
        <v>5367</v>
      </c>
      <c r="M3577" t="s">
        <v>23027</v>
      </c>
      <c r="N3577" t="s">
        <v>167</v>
      </c>
      <c r="O3577" t="s">
        <v>111</v>
      </c>
      <c r="P3577" t="str">
        <f>"85339-2632"</f>
        <v>85339-2632</v>
      </c>
      <c r="Q3577" t="s">
        <v>113</v>
      </c>
      <c r="R3577" t="str">
        <f>"104-84-206"</f>
        <v>104-84-206</v>
      </c>
      <c r="S3577" t="s">
        <v>20962</v>
      </c>
      <c r="T3577" t="s">
        <v>20963</v>
      </c>
      <c r="U3577">
        <v>3432</v>
      </c>
      <c r="V3577">
        <v>0</v>
      </c>
      <c r="W3577">
        <v>4</v>
      </c>
      <c r="X3577">
        <v>2006</v>
      </c>
      <c r="Z3577">
        <v>2</v>
      </c>
      <c r="AA3577" t="s">
        <v>26</v>
      </c>
      <c r="AB3577">
        <v>0</v>
      </c>
      <c r="AC3577" t="s">
        <v>115</v>
      </c>
      <c r="AD3577">
        <v>3</v>
      </c>
      <c r="AE3577" t="s">
        <v>115</v>
      </c>
      <c r="AF3577">
        <v>0</v>
      </c>
      <c r="AG3577">
        <v>0</v>
      </c>
      <c r="AH3577" t="s">
        <v>116</v>
      </c>
      <c r="AI3577" s="1">
        <v>68888</v>
      </c>
      <c r="AJ3577" s="2">
        <v>0.21</v>
      </c>
      <c r="AK3577" s="1">
        <v>326306</v>
      </c>
      <c r="AL3577" t="s">
        <v>117</v>
      </c>
      <c r="AM3577" t="s">
        <v>171</v>
      </c>
      <c r="AN3577">
        <v>9410</v>
      </c>
      <c r="AO3577">
        <v>0.22</v>
      </c>
      <c r="AR3577">
        <v>1</v>
      </c>
      <c r="AS3577" s="1">
        <v>23220</v>
      </c>
      <c r="AT3577" s="1">
        <v>4640</v>
      </c>
      <c r="AU3577" s="1">
        <v>18580</v>
      </c>
      <c r="AV3577">
        <v>80.02</v>
      </c>
      <c r="AX3577" s="1">
        <v>2779.44</v>
      </c>
      <c r="AY3577" t="s">
        <v>172</v>
      </c>
      <c r="AZ3577" t="s">
        <v>172</v>
      </c>
      <c r="BA3577" t="s">
        <v>173</v>
      </c>
      <c r="BB3577" s="3">
        <v>43250</v>
      </c>
      <c r="BC3577" s="1">
        <v>0</v>
      </c>
      <c r="BD3577" t="s">
        <v>247</v>
      </c>
      <c r="BE3577" s="3">
        <v>42230</v>
      </c>
      <c r="BF3577" s="1">
        <v>252000</v>
      </c>
      <c r="BG3577" t="s">
        <v>23028</v>
      </c>
      <c r="BH3577" s="1">
        <v>73.430000000000007</v>
      </c>
      <c r="BI3577" s="1">
        <v>257418</v>
      </c>
      <c r="BJ3577" s="3">
        <v>42230</v>
      </c>
      <c r="BK3577" t="s">
        <v>123</v>
      </c>
      <c r="BL3577" t="str">
        <f>"2015.592238"</f>
        <v>2015.592238</v>
      </c>
      <c r="BM3577" t="s">
        <v>594</v>
      </c>
      <c r="BN3577" t="s">
        <v>595</v>
      </c>
      <c r="BO3577" t="s">
        <v>23029</v>
      </c>
      <c r="BS3577">
        <v>30</v>
      </c>
      <c r="BW3577" t="str">
        <f>""</f>
        <v/>
      </c>
      <c r="CH3577" t="str">
        <f>""</f>
        <v/>
      </c>
      <c r="CS3577" t="str">
        <f>""</f>
        <v/>
      </c>
    </row>
    <row r="3578" spans="1:97" x14ac:dyDescent="0.25">
      <c r="A3578" t="s">
        <v>1755</v>
      </c>
      <c r="B3578" t="s">
        <v>23030</v>
      </c>
      <c r="E3578" t="s">
        <v>23031</v>
      </c>
      <c r="F3578" t="s">
        <v>108</v>
      </c>
      <c r="H3578" t="s">
        <v>23032</v>
      </c>
      <c r="I3578" t="s">
        <v>225</v>
      </c>
      <c r="J3578" t="s">
        <v>111</v>
      </c>
      <c r="K3578" t="str">
        <f>"85203"</f>
        <v>85203</v>
      </c>
      <c r="L3578" t="s">
        <v>5185</v>
      </c>
      <c r="M3578" t="s">
        <v>23032</v>
      </c>
      <c r="N3578" t="s">
        <v>225</v>
      </c>
      <c r="O3578" t="s">
        <v>111</v>
      </c>
      <c r="P3578" t="str">
        <f>"85203-4731"</f>
        <v>85203-4731</v>
      </c>
      <c r="Q3578" t="s">
        <v>113</v>
      </c>
      <c r="R3578" t="str">
        <f>"137-32-301"</f>
        <v>137-32-301</v>
      </c>
      <c r="S3578" t="s">
        <v>23033</v>
      </c>
      <c r="T3578" t="s">
        <v>23033</v>
      </c>
      <c r="U3578">
        <v>1948</v>
      </c>
      <c r="V3578">
        <v>0</v>
      </c>
      <c r="W3578">
        <v>3</v>
      </c>
      <c r="X3578">
        <v>1968</v>
      </c>
      <c r="Z3578">
        <v>1</v>
      </c>
      <c r="AB3578">
        <v>0</v>
      </c>
      <c r="AC3578" t="s">
        <v>5188</v>
      </c>
      <c r="AD3578">
        <v>2</v>
      </c>
      <c r="AE3578" t="s">
        <v>5188</v>
      </c>
      <c r="AF3578">
        <v>0</v>
      </c>
      <c r="AG3578">
        <v>0</v>
      </c>
      <c r="AH3578" t="s">
        <v>116</v>
      </c>
      <c r="AI3578" s="1">
        <v>56005</v>
      </c>
      <c r="AJ3578" s="2">
        <v>0.21</v>
      </c>
      <c r="AK3578" s="1">
        <v>273005</v>
      </c>
      <c r="AL3578" t="s">
        <v>117</v>
      </c>
      <c r="AM3578" t="s">
        <v>191</v>
      </c>
      <c r="AN3578">
        <v>6204</v>
      </c>
      <c r="AO3578">
        <v>0.14000000000000001</v>
      </c>
      <c r="AP3578">
        <v>1</v>
      </c>
      <c r="AR3578">
        <v>1</v>
      </c>
      <c r="AS3578" s="1">
        <v>17910</v>
      </c>
      <c r="AT3578" s="1">
        <v>3580</v>
      </c>
      <c r="AU3578" s="1">
        <v>14330</v>
      </c>
      <c r="AV3578">
        <v>80.010000000000005</v>
      </c>
      <c r="AX3578" s="1">
        <v>1118.48</v>
      </c>
      <c r="AY3578" t="s">
        <v>5189</v>
      </c>
      <c r="AZ3578" t="s">
        <v>5190</v>
      </c>
      <c r="BA3578" t="s">
        <v>5191</v>
      </c>
      <c r="BE3578" s="3">
        <v>42460</v>
      </c>
      <c r="BF3578" s="1">
        <v>217000</v>
      </c>
      <c r="BG3578" t="s">
        <v>23034</v>
      </c>
      <c r="BH3578" s="1">
        <v>111.4</v>
      </c>
      <c r="BI3578" s="1">
        <v>217000</v>
      </c>
      <c r="BJ3578" s="3">
        <v>42460</v>
      </c>
      <c r="BK3578" t="s">
        <v>123</v>
      </c>
      <c r="BL3578" t="str">
        <f>"2016.212736"</f>
        <v>2016.212736</v>
      </c>
      <c r="BM3578" t="s">
        <v>594</v>
      </c>
      <c r="BO3578" t="s">
        <v>23035</v>
      </c>
      <c r="BS3578">
        <v>30</v>
      </c>
      <c r="BW3578" t="str">
        <f>""</f>
        <v/>
      </c>
      <c r="CH3578" t="str">
        <f>""</f>
        <v/>
      </c>
      <c r="CS3578" t="str">
        <f>""</f>
        <v/>
      </c>
    </row>
    <row r="3579" spans="1:97" x14ac:dyDescent="0.25">
      <c r="A3579" t="s">
        <v>23036</v>
      </c>
      <c r="B3579" t="s">
        <v>23037</v>
      </c>
      <c r="E3579" t="s">
        <v>23038</v>
      </c>
      <c r="F3579" t="s">
        <v>108</v>
      </c>
      <c r="H3579" t="s">
        <v>23039</v>
      </c>
      <c r="I3579" t="s">
        <v>188</v>
      </c>
      <c r="J3579" t="s">
        <v>111</v>
      </c>
      <c r="K3579" t="str">
        <f>"85142"</f>
        <v>85142</v>
      </c>
      <c r="L3579" t="s">
        <v>7339</v>
      </c>
      <c r="M3579" t="s">
        <v>23039</v>
      </c>
      <c r="N3579" t="s">
        <v>188</v>
      </c>
      <c r="O3579" t="s">
        <v>111</v>
      </c>
      <c r="P3579" t="str">
        <f>"85142-9335"</f>
        <v>85142-9335</v>
      </c>
      <c r="Q3579" t="s">
        <v>113</v>
      </c>
      <c r="R3579" t="str">
        <f>"304-65-164"</f>
        <v>304-65-164</v>
      </c>
      <c r="S3579" t="s">
        <v>23040</v>
      </c>
      <c r="T3579" t="s">
        <v>23041</v>
      </c>
      <c r="U3579">
        <v>1633</v>
      </c>
      <c r="V3579">
        <v>0</v>
      </c>
      <c r="W3579">
        <v>3</v>
      </c>
      <c r="X3579">
        <v>1986</v>
      </c>
      <c r="Z3579">
        <v>1</v>
      </c>
      <c r="AA3579" t="s">
        <v>26</v>
      </c>
      <c r="AB3579">
        <v>0</v>
      </c>
      <c r="AC3579" t="s">
        <v>115</v>
      </c>
      <c r="AD3579">
        <v>2</v>
      </c>
      <c r="AE3579" t="s">
        <v>115</v>
      </c>
      <c r="AF3579">
        <v>0</v>
      </c>
      <c r="AG3579">
        <v>0</v>
      </c>
      <c r="AH3579" t="s">
        <v>116</v>
      </c>
      <c r="AI3579" s="1">
        <v>60417</v>
      </c>
      <c r="AJ3579" s="2">
        <v>0.22</v>
      </c>
      <c r="AK3579" s="1">
        <v>274932</v>
      </c>
      <c r="AL3579" t="s">
        <v>117</v>
      </c>
      <c r="AM3579" t="s">
        <v>191</v>
      </c>
      <c r="AN3579">
        <v>8028</v>
      </c>
      <c r="AO3579">
        <v>0.18</v>
      </c>
      <c r="AP3579">
        <v>1</v>
      </c>
      <c r="AR3579">
        <v>1</v>
      </c>
      <c r="AS3579" s="1">
        <v>17710</v>
      </c>
      <c r="AT3579" s="1">
        <v>3540</v>
      </c>
      <c r="AU3579" s="1">
        <v>14170</v>
      </c>
      <c r="AV3579">
        <v>80.010000000000005</v>
      </c>
      <c r="AX3579" s="1">
        <v>1325.2</v>
      </c>
      <c r="AY3579" t="s">
        <v>5895</v>
      </c>
      <c r="AZ3579" t="s">
        <v>561</v>
      </c>
      <c r="BA3579" t="s">
        <v>194</v>
      </c>
      <c r="BE3579" s="3">
        <v>42039</v>
      </c>
      <c r="BF3579" s="1">
        <v>210000</v>
      </c>
      <c r="BG3579" t="s">
        <v>23042</v>
      </c>
      <c r="BH3579" s="1">
        <v>128.6</v>
      </c>
      <c r="BI3579" s="1">
        <v>214515</v>
      </c>
      <c r="BJ3579" s="3">
        <v>42039</v>
      </c>
      <c r="BK3579" t="s">
        <v>123</v>
      </c>
      <c r="BL3579" t="str">
        <f>"2015.73626"</f>
        <v>2015.73626</v>
      </c>
      <c r="BM3579" t="s">
        <v>1033</v>
      </c>
      <c r="BO3579" t="s">
        <v>23043</v>
      </c>
      <c r="BS3579">
        <v>30</v>
      </c>
      <c r="BW3579" t="str">
        <f>""</f>
        <v/>
      </c>
      <c r="CH3579" t="str">
        <f>""</f>
        <v/>
      </c>
      <c r="CS3579" t="str">
        <f>""</f>
        <v/>
      </c>
    </row>
    <row r="3580" spans="1:97" x14ac:dyDescent="0.25">
      <c r="A3580" t="s">
        <v>1289</v>
      </c>
      <c r="B3580" t="s">
        <v>3265</v>
      </c>
      <c r="E3580" t="s">
        <v>23044</v>
      </c>
      <c r="F3580" t="s">
        <v>108</v>
      </c>
      <c r="H3580" t="s">
        <v>23045</v>
      </c>
      <c r="I3580" t="s">
        <v>453</v>
      </c>
      <c r="J3580" t="s">
        <v>111</v>
      </c>
      <c r="K3580" t="str">
        <f>"85345"</f>
        <v>85345</v>
      </c>
      <c r="L3580" t="s">
        <v>4003</v>
      </c>
      <c r="M3580" t="s">
        <v>23045</v>
      </c>
      <c r="N3580" t="s">
        <v>453</v>
      </c>
      <c r="O3580" t="s">
        <v>111</v>
      </c>
      <c r="P3580" t="str">
        <f>"85345-5632"</f>
        <v>85345-5632</v>
      </c>
      <c r="Q3580" t="s">
        <v>113</v>
      </c>
      <c r="R3580" t="str">
        <f>"142-52-354"</f>
        <v>142-52-354</v>
      </c>
      <c r="S3580" t="s">
        <v>4005</v>
      </c>
      <c r="T3580" t="s">
        <v>4005</v>
      </c>
      <c r="U3580">
        <v>1849</v>
      </c>
      <c r="V3580">
        <v>0</v>
      </c>
      <c r="W3580">
        <v>2</v>
      </c>
      <c r="X3580">
        <v>2016</v>
      </c>
      <c r="Z3580">
        <v>1</v>
      </c>
      <c r="AB3580">
        <v>0</v>
      </c>
      <c r="AC3580" t="s">
        <v>115</v>
      </c>
      <c r="AD3580">
        <v>2</v>
      </c>
      <c r="AE3580" t="s">
        <v>115</v>
      </c>
      <c r="AF3580">
        <v>0</v>
      </c>
      <c r="AG3580">
        <v>0</v>
      </c>
      <c r="AH3580" t="s">
        <v>116</v>
      </c>
      <c r="AI3580" s="1">
        <v>77248</v>
      </c>
      <c r="AJ3580" s="2">
        <v>0.28000000000000003</v>
      </c>
      <c r="AK3580" s="1">
        <v>277723</v>
      </c>
      <c r="AL3580" t="s">
        <v>117</v>
      </c>
      <c r="AM3580" t="s">
        <v>118</v>
      </c>
      <c r="AN3580">
        <v>5015</v>
      </c>
      <c r="AO3580">
        <v>0.12</v>
      </c>
      <c r="AR3580">
        <v>1</v>
      </c>
      <c r="AS3580" s="1">
        <v>18860</v>
      </c>
      <c r="AT3580" s="1">
        <v>3770</v>
      </c>
      <c r="AU3580" s="1">
        <v>15090</v>
      </c>
      <c r="AV3580">
        <v>80.010000000000005</v>
      </c>
      <c r="AX3580" s="1">
        <v>1486.26</v>
      </c>
      <c r="AY3580" t="s">
        <v>4006</v>
      </c>
      <c r="AZ3580" t="s">
        <v>4006</v>
      </c>
      <c r="BA3580" t="s">
        <v>4007</v>
      </c>
      <c r="BE3580" s="3">
        <v>42530</v>
      </c>
      <c r="BF3580" s="1">
        <v>246072</v>
      </c>
      <c r="BG3580" t="s">
        <v>4008</v>
      </c>
      <c r="BH3580" s="1">
        <v>133.08000000000001</v>
      </c>
      <c r="BI3580" s="1">
        <v>200475</v>
      </c>
      <c r="BJ3580" s="3">
        <v>42530</v>
      </c>
      <c r="BK3580" t="s">
        <v>123</v>
      </c>
      <c r="BL3580" t="str">
        <f>"2016.400772"</f>
        <v>2016.400772</v>
      </c>
      <c r="BM3580" t="s">
        <v>594</v>
      </c>
      <c r="BO3580" t="s">
        <v>23046</v>
      </c>
      <c r="BS3580">
        <v>30</v>
      </c>
      <c r="BW3580" t="str">
        <f>""</f>
        <v/>
      </c>
      <c r="CH3580" t="str">
        <f>""</f>
        <v/>
      </c>
      <c r="CS3580" t="str">
        <f>""</f>
        <v/>
      </c>
    </row>
    <row r="3581" spans="1:97" x14ac:dyDescent="0.25">
      <c r="A3581" t="s">
        <v>6000</v>
      </c>
      <c r="B3581" t="s">
        <v>7534</v>
      </c>
      <c r="C3581" t="s">
        <v>5375</v>
      </c>
      <c r="D3581" t="s">
        <v>7534</v>
      </c>
      <c r="E3581" t="s">
        <v>23047</v>
      </c>
      <c r="F3581" t="s">
        <v>108</v>
      </c>
      <c r="H3581" t="s">
        <v>23048</v>
      </c>
      <c r="I3581" t="s">
        <v>390</v>
      </c>
      <c r="J3581" t="s">
        <v>111</v>
      </c>
      <c r="K3581" t="str">
        <f>"85041"</f>
        <v>85041</v>
      </c>
      <c r="L3581" t="s">
        <v>6891</v>
      </c>
      <c r="M3581" t="s">
        <v>23048</v>
      </c>
      <c r="N3581" t="s">
        <v>390</v>
      </c>
      <c r="O3581" t="s">
        <v>111</v>
      </c>
      <c r="P3581" t="str">
        <f>"85041-6202"</f>
        <v>85041-6202</v>
      </c>
      <c r="Q3581" t="s">
        <v>113</v>
      </c>
      <c r="R3581" t="str">
        <f>"105-88-870"</f>
        <v>105-88-870</v>
      </c>
      <c r="S3581" t="s">
        <v>16123</v>
      </c>
      <c r="T3581" t="s">
        <v>15660</v>
      </c>
      <c r="U3581">
        <v>3465</v>
      </c>
      <c r="V3581">
        <v>0</v>
      </c>
      <c r="W3581">
        <v>5</v>
      </c>
      <c r="X3581">
        <v>2014</v>
      </c>
      <c r="Z3581">
        <v>2</v>
      </c>
      <c r="AB3581">
        <v>0</v>
      </c>
      <c r="AC3581" t="s">
        <v>115</v>
      </c>
      <c r="AD3581">
        <v>3</v>
      </c>
      <c r="AE3581" t="s">
        <v>115</v>
      </c>
      <c r="AF3581">
        <v>0</v>
      </c>
      <c r="AG3581">
        <v>0</v>
      </c>
      <c r="AH3581" t="s">
        <v>116</v>
      </c>
      <c r="AI3581" s="1">
        <v>72367</v>
      </c>
      <c r="AJ3581" s="2">
        <v>0.19</v>
      </c>
      <c r="AK3581" s="1">
        <v>383136</v>
      </c>
      <c r="AL3581" t="s">
        <v>117</v>
      </c>
      <c r="AM3581" t="s">
        <v>760</v>
      </c>
      <c r="AN3581">
        <v>7231</v>
      </c>
      <c r="AO3581">
        <v>0.17</v>
      </c>
      <c r="AR3581">
        <v>1</v>
      </c>
      <c r="AS3581" s="1">
        <v>27170</v>
      </c>
      <c r="AT3581" s="1">
        <v>5430</v>
      </c>
      <c r="AU3581" s="1">
        <v>21740</v>
      </c>
      <c r="AV3581">
        <v>80.010000000000005</v>
      </c>
      <c r="AX3581" s="1">
        <v>3629.2</v>
      </c>
      <c r="AY3581" t="s">
        <v>5220</v>
      </c>
      <c r="AZ3581" t="s">
        <v>5220</v>
      </c>
      <c r="BA3581" t="s">
        <v>1661</v>
      </c>
      <c r="BE3581" s="3">
        <v>42361</v>
      </c>
      <c r="BF3581" s="1">
        <v>309990</v>
      </c>
      <c r="BG3581" t="s">
        <v>158</v>
      </c>
      <c r="BH3581" s="1">
        <v>93.57</v>
      </c>
      <c r="BI3581" s="1">
        <v>310769</v>
      </c>
      <c r="BJ3581" s="3">
        <v>42570</v>
      </c>
      <c r="BK3581" t="s">
        <v>123</v>
      </c>
      <c r="BL3581" t="str">
        <f>"2016.505941"</f>
        <v>2016.505941</v>
      </c>
      <c r="BM3581" t="s">
        <v>322</v>
      </c>
      <c r="BO3581" t="s">
        <v>23049</v>
      </c>
      <c r="BS3581">
        <v>30</v>
      </c>
      <c r="BW3581" t="str">
        <f>""</f>
        <v/>
      </c>
      <c r="CH3581" t="str">
        <f>""</f>
        <v/>
      </c>
      <c r="CS3581" t="str">
        <f>""</f>
        <v/>
      </c>
    </row>
    <row r="3582" spans="1:97" x14ac:dyDescent="0.25">
      <c r="A3582" t="s">
        <v>494</v>
      </c>
      <c r="B3582" t="s">
        <v>4320</v>
      </c>
      <c r="C3582" t="s">
        <v>2261</v>
      </c>
      <c r="D3582" t="s">
        <v>4320</v>
      </c>
      <c r="E3582" t="s">
        <v>23050</v>
      </c>
      <c r="F3582" t="s">
        <v>108</v>
      </c>
      <c r="H3582" t="s">
        <v>23051</v>
      </c>
      <c r="I3582" t="s">
        <v>144</v>
      </c>
      <c r="J3582" t="s">
        <v>111</v>
      </c>
      <c r="K3582" t="str">
        <f>"85326"</f>
        <v>85326</v>
      </c>
      <c r="L3582" t="s">
        <v>7607</v>
      </c>
      <c r="M3582" t="s">
        <v>23051</v>
      </c>
      <c r="N3582" t="s">
        <v>144</v>
      </c>
      <c r="O3582" t="s">
        <v>111</v>
      </c>
      <c r="P3582" t="str">
        <f>"85326-8535"</f>
        <v>85326-8535</v>
      </c>
      <c r="Q3582" t="s">
        <v>113</v>
      </c>
      <c r="R3582" t="str">
        <f>"504-21-895"</f>
        <v>504-21-895</v>
      </c>
      <c r="S3582" t="s">
        <v>23052</v>
      </c>
      <c r="U3582">
        <v>4090</v>
      </c>
      <c r="V3582">
        <v>0</v>
      </c>
      <c r="W3582">
        <v>4</v>
      </c>
      <c r="X3582">
        <v>2006</v>
      </c>
      <c r="Z3582">
        <v>2</v>
      </c>
      <c r="AB3582">
        <v>0</v>
      </c>
      <c r="AC3582" t="s">
        <v>115</v>
      </c>
      <c r="AD3582">
        <v>2</v>
      </c>
      <c r="AE3582" t="s">
        <v>115</v>
      </c>
      <c r="AF3582">
        <v>0</v>
      </c>
      <c r="AG3582">
        <v>0</v>
      </c>
      <c r="AH3582" t="s">
        <v>116</v>
      </c>
      <c r="AI3582" s="1">
        <v>66367</v>
      </c>
      <c r="AJ3582" s="2">
        <v>0.21</v>
      </c>
      <c r="AK3582" s="1">
        <v>321518</v>
      </c>
      <c r="AL3582" t="s">
        <v>117</v>
      </c>
      <c r="AM3582" t="s">
        <v>118</v>
      </c>
      <c r="AN3582">
        <v>12847</v>
      </c>
      <c r="AO3582">
        <v>0.3</v>
      </c>
      <c r="AR3582">
        <v>1</v>
      </c>
      <c r="AS3582" s="1">
        <v>22680</v>
      </c>
      <c r="AT3582" s="1">
        <v>4530</v>
      </c>
      <c r="AU3582" s="1">
        <v>18150</v>
      </c>
      <c r="AV3582">
        <v>80.03</v>
      </c>
      <c r="AX3582" s="1">
        <v>2136.92</v>
      </c>
      <c r="AY3582" t="s">
        <v>8444</v>
      </c>
      <c r="AZ3582" t="s">
        <v>8444</v>
      </c>
      <c r="BA3582" t="s">
        <v>5025</v>
      </c>
      <c r="BE3582" s="3">
        <v>42352</v>
      </c>
      <c r="BF3582" s="1">
        <v>247000</v>
      </c>
      <c r="BG3582" t="s">
        <v>5034</v>
      </c>
      <c r="BH3582" s="1">
        <v>60.39</v>
      </c>
      <c r="BI3582" s="1">
        <v>255151</v>
      </c>
      <c r="BJ3582" s="3">
        <v>42352</v>
      </c>
      <c r="BK3582" t="s">
        <v>123</v>
      </c>
      <c r="BL3582" t="str">
        <f>"2015.882035"</f>
        <v>2015.882035</v>
      </c>
      <c r="BM3582" t="s">
        <v>2716</v>
      </c>
      <c r="BO3582" t="s">
        <v>23053</v>
      </c>
      <c r="BS3582">
        <v>30</v>
      </c>
      <c r="BW3582" t="str">
        <f>""</f>
        <v/>
      </c>
      <c r="CH3582" t="str">
        <f>""</f>
        <v/>
      </c>
      <c r="CS3582" t="str">
        <f>""</f>
        <v/>
      </c>
    </row>
    <row r="3583" spans="1:97" x14ac:dyDescent="0.25">
      <c r="A3583" t="s">
        <v>894</v>
      </c>
      <c r="B3583" t="s">
        <v>23054</v>
      </c>
      <c r="C3583" t="s">
        <v>1361</v>
      </c>
      <c r="D3583" t="s">
        <v>23054</v>
      </c>
      <c r="E3583" t="s">
        <v>23055</v>
      </c>
      <c r="F3583" t="s">
        <v>108</v>
      </c>
      <c r="H3583" t="s">
        <v>23056</v>
      </c>
      <c r="I3583" t="s">
        <v>5636</v>
      </c>
      <c r="J3583" t="s">
        <v>111</v>
      </c>
      <c r="K3583" t="str">
        <f>"85268"</f>
        <v>85268</v>
      </c>
      <c r="L3583" t="s">
        <v>500</v>
      </c>
      <c r="M3583" t="s">
        <v>23056</v>
      </c>
      <c r="N3583" t="s">
        <v>5636</v>
      </c>
      <c r="O3583" t="s">
        <v>111</v>
      </c>
      <c r="P3583" t="str">
        <f>"85268-2403"</f>
        <v>85268-2403</v>
      </c>
      <c r="Q3583" t="s">
        <v>113</v>
      </c>
      <c r="R3583" t="str">
        <f>"176-04-362"</f>
        <v>176-04-362</v>
      </c>
      <c r="S3583" t="s">
        <v>23057</v>
      </c>
      <c r="U3583">
        <v>1851</v>
      </c>
      <c r="V3583">
        <v>0</v>
      </c>
      <c r="W3583">
        <v>3</v>
      </c>
      <c r="X3583">
        <v>1988</v>
      </c>
      <c r="Z3583">
        <v>1</v>
      </c>
      <c r="AB3583">
        <v>0</v>
      </c>
      <c r="AC3583" t="s">
        <v>115</v>
      </c>
      <c r="AD3583">
        <v>2</v>
      </c>
      <c r="AE3583" t="s">
        <v>115</v>
      </c>
      <c r="AF3583">
        <v>0</v>
      </c>
      <c r="AG3583">
        <v>0</v>
      </c>
      <c r="AH3583" t="s">
        <v>116</v>
      </c>
      <c r="AI3583" s="1">
        <v>49011</v>
      </c>
      <c r="AJ3583" s="2">
        <v>0.14000000000000001</v>
      </c>
      <c r="AK3583" s="1">
        <v>355294</v>
      </c>
      <c r="AL3583" t="s">
        <v>117</v>
      </c>
      <c r="AM3583" t="s">
        <v>5379</v>
      </c>
      <c r="AN3583">
        <v>10463</v>
      </c>
      <c r="AO3583">
        <v>0.24</v>
      </c>
      <c r="AP3583">
        <v>1</v>
      </c>
      <c r="AR3583">
        <v>1</v>
      </c>
      <c r="AS3583" s="1">
        <v>25660</v>
      </c>
      <c r="AT3583" s="1">
        <v>5130</v>
      </c>
      <c r="AU3583" s="1">
        <v>20530</v>
      </c>
      <c r="AV3583">
        <v>80.010000000000005</v>
      </c>
      <c r="AX3583" s="1">
        <v>1557.42</v>
      </c>
      <c r="AY3583" t="s">
        <v>6485</v>
      </c>
      <c r="AZ3583" t="s">
        <v>5640</v>
      </c>
      <c r="BA3583" t="s">
        <v>5641</v>
      </c>
      <c r="BB3583" s="3">
        <v>41967</v>
      </c>
      <c r="BD3583" t="s">
        <v>458</v>
      </c>
      <c r="BE3583" s="3">
        <v>41740</v>
      </c>
      <c r="BF3583" s="1">
        <v>299000</v>
      </c>
      <c r="BG3583" t="s">
        <v>23058</v>
      </c>
      <c r="BH3583" s="1">
        <v>161.53</v>
      </c>
      <c r="BI3583" s="1">
        <v>306283</v>
      </c>
      <c r="BJ3583" s="3">
        <v>42752</v>
      </c>
      <c r="BK3583" t="s">
        <v>123</v>
      </c>
      <c r="BL3583" t="str">
        <f>"2017.32703"</f>
        <v>2017.32703</v>
      </c>
      <c r="BM3583" t="s">
        <v>843</v>
      </c>
      <c r="BO3583" t="s">
        <v>23059</v>
      </c>
      <c r="BS3583">
        <v>30</v>
      </c>
      <c r="BW3583" t="str">
        <f>""</f>
        <v/>
      </c>
      <c r="CH3583" t="str">
        <f>""</f>
        <v/>
      </c>
      <c r="CS3583" t="str">
        <f>""</f>
        <v/>
      </c>
    </row>
    <row r="3584" spans="1:97" x14ac:dyDescent="0.25">
      <c r="A3584" t="s">
        <v>3089</v>
      </c>
      <c r="B3584" t="s">
        <v>4060</v>
      </c>
      <c r="E3584" t="s">
        <v>23060</v>
      </c>
      <c r="F3584" t="s">
        <v>108</v>
      </c>
      <c r="H3584" t="s">
        <v>23061</v>
      </c>
      <c r="I3584" t="s">
        <v>225</v>
      </c>
      <c r="J3584" t="s">
        <v>111</v>
      </c>
      <c r="K3584" t="str">
        <f>"85204"</f>
        <v>85204</v>
      </c>
      <c r="L3584" t="s">
        <v>6682</v>
      </c>
      <c r="M3584" t="s">
        <v>23061</v>
      </c>
      <c r="N3584" t="s">
        <v>225</v>
      </c>
      <c r="O3584" t="s">
        <v>111</v>
      </c>
      <c r="P3584" t="str">
        <f>"85204-1325"</f>
        <v>85204-1325</v>
      </c>
      <c r="Q3584" t="s">
        <v>113</v>
      </c>
      <c r="R3584" t="str">
        <f>"138-12-118"</f>
        <v>138-12-118</v>
      </c>
      <c r="S3584" t="s">
        <v>23062</v>
      </c>
      <c r="U3584">
        <v>1566</v>
      </c>
      <c r="V3584">
        <v>0</v>
      </c>
      <c r="W3584">
        <v>2</v>
      </c>
      <c r="X3584">
        <v>1960</v>
      </c>
      <c r="Z3584">
        <v>1</v>
      </c>
      <c r="AB3584">
        <v>0</v>
      </c>
      <c r="AC3584" t="s">
        <v>115</v>
      </c>
      <c r="AD3584">
        <v>2</v>
      </c>
      <c r="AE3584" t="s">
        <v>115</v>
      </c>
      <c r="AF3584">
        <v>0</v>
      </c>
      <c r="AG3584">
        <v>0</v>
      </c>
      <c r="AH3584" t="s">
        <v>116</v>
      </c>
      <c r="AI3584" s="1">
        <v>18477</v>
      </c>
      <c r="AJ3584" s="2">
        <v>7.0000000000000007E-2</v>
      </c>
      <c r="AK3584" s="1">
        <v>261787</v>
      </c>
      <c r="AL3584" t="s">
        <v>117</v>
      </c>
      <c r="AM3584" t="s">
        <v>191</v>
      </c>
      <c r="AN3584">
        <v>7902</v>
      </c>
      <c r="AO3584">
        <v>0.18</v>
      </c>
      <c r="AP3584">
        <v>1</v>
      </c>
      <c r="AR3584">
        <v>1</v>
      </c>
      <c r="AS3584" s="1">
        <v>16820</v>
      </c>
      <c r="AT3584" s="1">
        <v>3360</v>
      </c>
      <c r="AU3584" s="1">
        <v>13460</v>
      </c>
      <c r="AV3584">
        <v>80.02</v>
      </c>
      <c r="AX3584" s="1">
        <v>834.18</v>
      </c>
      <c r="AY3584" t="s">
        <v>23063</v>
      </c>
      <c r="AZ3584" t="s">
        <v>1523</v>
      </c>
      <c r="BA3584" t="s">
        <v>5159</v>
      </c>
      <c r="BE3584" s="3">
        <v>42426</v>
      </c>
      <c r="BF3584" s="1">
        <v>215000</v>
      </c>
      <c r="BG3584" t="s">
        <v>23064</v>
      </c>
      <c r="BH3584" s="1">
        <v>137.29</v>
      </c>
      <c r="BI3584" s="1">
        <v>243310</v>
      </c>
      <c r="BJ3584" s="3">
        <v>43031</v>
      </c>
      <c r="BK3584" t="s">
        <v>123</v>
      </c>
      <c r="BL3584" t="str">
        <f>"2017.782056"</f>
        <v>2017.782056</v>
      </c>
      <c r="BM3584" t="s">
        <v>807</v>
      </c>
      <c r="BO3584" t="s">
        <v>23065</v>
      </c>
      <c r="BS3584">
        <v>30</v>
      </c>
      <c r="BW3584" t="str">
        <f>""</f>
        <v/>
      </c>
      <c r="CH3584" t="str">
        <f>""</f>
        <v/>
      </c>
      <c r="CS3584" t="str">
        <f>""</f>
        <v/>
      </c>
    </row>
    <row r="3585" spans="1:97" x14ac:dyDescent="0.25">
      <c r="A3585" t="s">
        <v>23066</v>
      </c>
      <c r="B3585" t="s">
        <v>3979</v>
      </c>
      <c r="C3585" t="s">
        <v>152</v>
      </c>
      <c r="D3585" t="s">
        <v>3979</v>
      </c>
      <c r="E3585" t="s">
        <v>23067</v>
      </c>
      <c r="F3585" t="s">
        <v>108</v>
      </c>
      <c r="H3585" t="s">
        <v>23068</v>
      </c>
      <c r="I3585" t="s">
        <v>3150</v>
      </c>
      <c r="J3585" t="s">
        <v>111</v>
      </c>
      <c r="K3585" t="str">
        <f>"85340"</f>
        <v>85340</v>
      </c>
      <c r="L3585" t="s">
        <v>5176</v>
      </c>
      <c r="M3585" t="s">
        <v>23068</v>
      </c>
      <c r="N3585" t="s">
        <v>3150</v>
      </c>
      <c r="O3585" t="s">
        <v>111</v>
      </c>
      <c r="P3585" t="str">
        <f>"85340-2709"</f>
        <v>85340-2709</v>
      </c>
      <c r="Q3585" t="s">
        <v>113</v>
      </c>
      <c r="R3585" t="str">
        <f>"508-15-153"</f>
        <v>508-15-153</v>
      </c>
      <c r="S3585" t="s">
        <v>5177</v>
      </c>
      <c r="T3585" t="s">
        <v>5178</v>
      </c>
      <c r="U3585">
        <v>3091</v>
      </c>
      <c r="V3585">
        <v>0</v>
      </c>
      <c r="W3585">
        <v>5</v>
      </c>
      <c r="X3585">
        <v>2014</v>
      </c>
      <c r="Z3585">
        <v>1</v>
      </c>
      <c r="AA3585" t="s">
        <v>26</v>
      </c>
      <c r="AB3585">
        <v>0</v>
      </c>
      <c r="AC3585" t="s">
        <v>115</v>
      </c>
      <c r="AD3585">
        <v>3</v>
      </c>
      <c r="AE3585" t="s">
        <v>115</v>
      </c>
      <c r="AF3585">
        <v>0</v>
      </c>
      <c r="AG3585">
        <v>0</v>
      </c>
      <c r="AH3585" t="s">
        <v>116</v>
      </c>
      <c r="AI3585" s="1">
        <v>75710</v>
      </c>
      <c r="AJ3585" s="2">
        <v>0.15</v>
      </c>
      <c r="AK3585" s="1">
        <v>489032</v>
      </c>
      <c r="AL3585" t="s">
        <v>117</v>
      </c>
      <c r="AM3585" t="s">
        <v>191</v>
      </c>
      <c r="AN3585">
        <v>10125</v>
      </c>
      <c r="AO3585">
        <v>0.23</v>
      </c>
      <c r="AR3585">
        <v>1</v>
      </c>
      <c r="AS3585" s="1">
        <v>36200</v>
      </c>
      <c r="AT3585" s="1">
        <v>7240</v>
      </c>
      <c r="AU3585" s="1">
        <v>28960</v>
      </c>
      <c r="AV3585">
        <v>80</v>
      </c>
      <c r="AX3585" s="1">
        <v>3317.24</v>
      </c>
      <c r="AY3585" t="s">
        <v>3020</v>
      </c>
      <c r="AZ3585" t="s">
        <v>3020</v>
      </c>
      <c r="BA3585" t="s">
        <v>3154</v>
      </c>
      <c r="BE3585" s="3">
        <v>41726</v>
      </c>
      <c r="BF3585" s="1">
        <v>388000</v>
      </c>
      <c r="BG3585" t="s">
        <v>292</v>
      </c>
      <c r="BH3585" s="1">
        <v>125.53</v>
      </c>
      <c r="BI3585" s="1">
        <v>413322</v>
      </c>
      <c r="BJ3585" s="3">
        <v>42508</v>
      </c>
      <c r="BK3585" t="s">
        <v>123</v>
      </c>
      <c r="BL3585" t="str">
        <f>"2016.338813"</f>
        <v>2016.338813</v>
      </c>
      <c r="BM3585" t="s">
        <v>709</v>
      </c>
      <c r="BO3585" t="s">
        <v>23069</v>
      </c>
      <c r="BS3585">
        <v>30</v>
      </c>
      <c r="BW3585" t="str">
        <f>""</f>
        <v/>
      </c>
      <c r="CH3585" t="str">
        <f>""</f>
        <v/>
      </c>
      <c r="CS3585" t="str">
        <f>""</f>
        <v/>
      </c>
    </row>
    <row r="3586" spans="1:97" x14ac:dyDescent="0.25">
      <c r="A3586" t="s">
        <v>23070</v>
      </c>
      <c r="B3586" t="s">
        <v>3265</v>
      </c>
      <c r="E3586" t="s">
        <v>23071</v>
      </c>
      <c r="F3586" t="s">
        <v>108</v>
      </c>
      <c r="H3586" t="s">
        <v>23072</v>
      </c>
      <c r="I3586" t="s">
        <v>632</v>
      </c>
      <c r="J3586" t="s">
        <v>111</v>
      </c>
      <c r="K3586" t="str">
        <f>"85388"</f>
        <v>85388</v>
      </c>
      <c r="L3586" t="s">
        <v>4467</v>
      </c>
      <c r="M3586" t="s">
        <v>23072</v>
      </c>
      <c r="N3586" t="s">
        <v>632</v>
      </c>
      <c r="O3586" t="s">
        <v>111</v>
      </c>
      <c r="P3586" t="str">
        <f>"85388-2336"</f>
        <v>85388-2336</v>
      </c>
      <c r="Q3586" t="s">
        <v>113</v>
      </c>
      <c r="R3586" t="str">
        <f>"502-09-212"</f>
        <v>502-09-212</v>
      </c>
      <c r="S3586" t="s">
        <v>21639</v>
      </c>
      <c r="T3586" t="s">
        <v>21640</v>
      </c>
      <c r="U3586">
        <v>1758</v>
      </c>
      <c r="V3586">
        <v>0</v>
      </c>
      <c r="W3586">
        <v>3</v>
      </c>
      <c r="X3586">
        <v>2013</v>
      </c>
      <c r="Z3586">
        <v>1</v>
      </c>
      <c r="AB3586">
        <v>0</v>
      </c>
      <c r="AC3586" t="s">
        <v>115</v>
      </c>
      <c r="AD3586">
        <v>2</v>
      </c>
      <c r="AE3586" t="s">
        <v>115</v>
      </c>
      <c r="AF3586">
        <v>0</v>
      </c>
      <c r="AG3586">
        <v>0</v>
      </c>
      <c r="AH3586" t="s">
        <v>116</v>
      </c>
      <c r="AI3586" s="1">
        <v>10137</v>
      </c>
      <c r="AJ3586" s="2">
        <v>0.04</v>
      </c>
      <c r="AK3586" s="1">
        <v>267137</v>
      </c>
      <c r="AL3586" t="s">
        <v>117</v>
      </c>
      <c r="AM3586" t="s">
        <v>118</v>
      </c>
      <c r="AN3586">
        <v>7137</v>
      </c>
      <c r="AO3586">
        <v>0.16</v>
      </c>
      <c r="AR3586">
        <v>1</v>
      </c>
      <c r="AS3586" s="1">
        <v>18630</v>
      </c>
      <c r="AT3586" s="1">
        <v>3720</v>
      </c>
      <c r="AU3586" s="1">
        <v>14910</v>
      </c>
      <c r="AV3586">
        <v>80.03</v>
      </c>
      <c r="AX3586" s="1">
        <v>1504.6</v>
      </c>
      <c r="AY3586" t="s">
        <v>5168</v>
      </c>
      <c r="AZ3586" t="s">
        <v>5168</v>
      </c>
      <c r="BA3586" t="s">
        <v>5109</v>
      </c>
      <c r="BE3586" s="3">
        <v>41725</v>
      </c>
      <c r="BF3586" s="1">
        <v>199900</v>
      </c>
      <c r="BG3586" t="s">
        <v>2289</v>
      </c>
      <c r="BH3586" s="1">
        <v>113.71</v>
      </c>
      <c r="BI3586" s="1">
        <v>257000</v>
      </c>
      <c r="BJ3586" s="3">
        <v>43494</v>
      </c>
      <c r="BK3586" t="s">
        <v>123</v>
      </c>
      <c r="BL3586" t="str">
        <f>"2019.60793"</f>
        <v>2019.60793</v>
      </c>
      <c r="BM3586" t="s">
        <v>903</v>
      </c>
      <c r="BN3586" t="s">
        <v>904</v>
      </c>
      <c r="BO3586" t="s">
        <v>23073</v>
      </c>
      <c r="BR3586" t="s">
        <v>139</v>
      </c>
      <c r="BW3586" t="str">
        <f>""</f>
        <v/>
      </c>
      <c r="CH3586" t="str">
        <f>""</f>
        <v/>
      </c>
      <c r="CS3586" t="str">
        <f>""</f>
        <v/>
      </c>
    </row>
    <row r="3587" spans="1:97" x14ac:dyDescent="0.25">
      <c r="A3587" t="s">
        <v>701</v>
      </c>
      <c r="B3587" t="s">
        <v>23074</v>
      </c>
      <c r="E3587" t="s">
        <v>23075</v>
      </c>
      <c r="F3587" t="s">
        <v>108</v>
      </c>
      <c r="H3587" t="s">
        <v>23076</v>
      </c>
      <c r="I3587" t="s">
        <v>3150</v>
      </c>
      <c r="J3587" t="s">
        <v>111</v>
      </c>
      <c r="K3587" t="str">
        <f>"85340"</f>
        <v>85340</v>
      </c>
      <c r="L3587" t="s">
        <v>11097</v>
      </c>
      <c r="M3587" t="s">
        <v>23076</v>
      </c>
      <c r="N3587" t="s">
        <v>3150</v>
      </c>
      <c r="O3587" t="s">
        <v>111</v>
      </c>
      <c r="P3587" t="str">
        <f>"85340-4900"</f>
        <v>85340-4900</v>
      </c>
      <c r="Q3587" t="s">
        <v>113</v>
      </c>
      <c r="R3587" t="str">
        <f>"501-71-049-C"</f>
        <v>501-71-049-C</v>
      </c>
      <c r="S3587" t="s">
        <v>23077</v>
      </c>
      <c r="U3587">
        <v>2728</v>
      </c>
      <c r="V3587">
        <v>0</v>
      </c>
      <c r="W3587">
        <v>4</v>
      </c>
      <c r="X3587">
        <v>2009</v>
      </c>
      <c r="Z3587">
        <v>1</v>
      </c>
      <c r="AB3587">
        <v>0</v>
      </c>
      <c r="AC3587" t="s">
        <v>115</v>
      </c>
      <c r="AD3587">
        <v>3</v>
      </c>
      <c r="AE3587" t="s">
        <v>115</v>
      </c>
      <c r="AF3587">
        <v>0</v>
      </c>
      <c r="AG3587">
        <v>0</v>
      </c>
      <c r="AH3587" t="s">
        <v>116</v>
      </c>
      <c r="AI3587" s="1">
        <v>62032</v>
      </c>
      <c r="AJ3587" s="2">
        <v>0.14000000000000001</v>
      </c>
      <c r="AK3587" s="1">
        <v>435673</v>
      </c>
      <c r="AL3587" t="s">
        <v>117</v>
      </c>
      <c r="AM3587" t="s">
        <v>171</v>
      </c>
      <c r="AN3587">
        <v>10917</v>
      </c>
      <c r="AO3587">
        <v>0.25</v>
      </c>
      <c r="AR3587">
        <v>1</v>
      </c>
      <c r="AS3587" s="1">
        <v>34060</v>
      </c>
      <c r="AT3587" s="1">
        <v>6810</v>
      </c>
      <c r="AU3587" s="1">
        <v>27250</v>
      </c>
      <c r="AV3587">
        <v>80.010000000000005</v>
      </c>
      <c r="AX3587" s="1">
        <v>2915.24</v>
      </c>
      <c r="AY3587" t="s">
        <v>11553</v>
      </c>
      <c r="AZ3587" t="s">
        <v>11553</v>
      </c>
      <c r="BA3587" t="s">
        <v>3154</v>
      </c>
      <c r="BE3587" s="3">
        <v>42069</v>
      </c>
      <c r="BF3587" s="1">
        <v>365750</v>
      </c>
      <c r="BG3587" t="s">
        <v>23078</v>
      </c>
      <c r="BH3587" s="1">
        <v>134.07</v>
      </c>
      <c r="BI3587" s="1">
        <v>373641</v>
      </c>
      <c r="BJ3587" s="3">
        <v>42558</v>
      </c>
      <c r="BK3587" t="s">
        <v>123</v>
      </c>
      <c r="BL3587" t="str">
        <f>"2016.478482"</f>
        <v>2016.478482</v>
      </c>
      <c r="BM3587" t="s">
        <v>5534</v>
      </c>
      <c r="BO3587" t="s">
        <v>23079</v>
      </c>
      <c r="BS3587">
        <v>30</v>
      </c>
      <c r="BW3587" t="str">
        <f>""</f>
        <v/>
      </c>
      <c r="CH3587" t="str">
        <f>""</f>
        <v/>
      </c>
      <c r="CS3587" t="str">
        <f>""</f>
        <v/>
      </c>
    </row>
    <row r="3588" spans="1:97" x14ac:dyDescent="0.25">
      <c r="A3588" t="s">
        <v>4169</v>
      </c>
      <c r="B3588" t="s">
        <v>1296</v>
      </c>
      <c r="E3588" t="s">
        <v>23080</v>
      </c>
      <c r="F3588" t="s">
        <v>108</v>
      </c>
      <c r="H3588" t="s">
        <v>23081</v>
      </c>
      <c r="I3588" t="s">
        <v>225</v>
      </c>
      <c r="J3588" t="s">
        <v>111</v>
      </c>
      <c r="K3588" t="str">
        <f>"85210"</f>
        <v>85210</v>
      </c>
      <c r="L3588" t="s">
        <v>6964</v>
      </c>
      <c r="M3588" t="s">
        <v>23081</v>
      </c>
      <c r="N3588" t="s">
        <v>225</v>
      </c>
      <c r="O3588" t="s">
        <v>111</v>
      </c>
      <c r="P3588" t="str">
        <f>"85210-5918"</f>
        <v>85210-5918</v>
      </c>
      <c r="Q3588" t="s">
        <v>113</v>
      </c>
      <c r="R3588" t="str">
        <f>"134-25-133"</f>
        <v>134-25-133</v>
      </c>
      <c r="S3588" t="s">
        <v>21326</v>
      </c>
      <c r="T3588" t="s">
        <v>21326</v>
      </c>
      <c r="U3588">
        <v>1531</v>
      </c>
      <c r="V3588">
        <v>0</v>
      </c>
      <c r="W3588">
        <v>2</v>
      </c>
      <c r="X3588">
        <v>1976</v>
      </c>
      <c r="Z3588">
        <v>1</v>
      </c>
      <c r="AB3588">
        <v>0</v>
      </c>
      <c r="AC3588" t="s">
        <v>115</v>
      </c>
      <c r="AD3588">
        <v>2</v>
      </c>
      <c r="AE3588" t="s">
        <v>115</v>
      </c>
      <c r="AF3588">
        <v>0</v>
      </c>
      <c r="AG3588">
        <v>0</v>
      </c>
      <c r="AH3588" t="s">
        <v>116</v>
      </c>
      <c r="AI3588" s="1">
        <v>70242</v>
      </c>
      <c r="AJ3588" s="2">
        <v>0.25</v>
      </c>
      <c r="AK3588" s="1">
        <v>282210</v>
      </c>
      <c r="AL3588" t="s">
        <v>117</v>
      </c>
      <c r="AM3588" t="s">
        <v>191</v>
      </c>
      <c r="AN3588">
        <v>9483</v>
      </c>
      <c r="AO3588">
        <v>0.22</v>
      </c>
      <c r="AP3588">
        <v>1</v>
      </c>
      <c r="AR3588">
        <v>1</v>
      </c>
      <c r="AS3588" s="1">
        <v>19430</v>
      </c>
      <c r="AT3588" s="1">
        <v>3880</v>
      </c>
      <c r="AU3588" s="1">
        <v>15550</v>
      </c>
      <c r="AV3588">
        <v>80.03</v>
      </c>
      <c r="AX3588" s="1">
        <v>1315.8</v>
      </c>
      <c r="AY3588" t="s">
        <v>8076</v>
      </c>
      <c r="AZ3588" t="s">
        <v>7295</v>
      </c>
      <c r="BA3588" t="s">
        <v>5311</v>
      </c>
      <c r="BE3588" s="3">
        <v>42521</v>
      </c>
      <c r="BF3588" s="1">
        <v>207000</v>
      </c>
      <c r="BG3588" t="s">
        <v>23082</v>
      </c>
      <c r="BH3588" s="1">
        <v>135.21</v>
      </c>
      <c r="BI3588" s="1">
        <v>211968</v>
      </c>
      <c r="BJ3588" s="3">
        <v>42521</v>
      </c>
      <c r="BK3588" t="s">
        <v>123</v>
      </c>
      <c r="BL3588" t="str">
        <f>"2016.372580"</f>
        <v>2016.372580</v>
      </c>
      <c r="BM3588" t="s">
        <v>196</v>
      </c>
      <c r="BO3588" t="s">
        <v>23083</v>
      </c>
      <c r="BS3588">
        <v>30</v>
      </c>
      <c r="BW3588" t="str">
        <f>""</f>
        <v/>
      </c>
      <c r="CH3588" t="str">
        <f>""</f>
        <v/>
      </c>
      <c r="CS3588" t="str">
        <f>""</f>
        <v/>
      </c>
    </row>
    <row r="3589" spans="1:97" x14ac:dyDescent="0.25">
      <c r="A3589" t="s">
        <v>2729</v>
      </c>
      <c r="B3589" t="s">
        <v>9392</v>
      </c>
      <c r="C3589" t="s">
        <v>5847</v>
      </c>
      <c r="D3589" t="s">
        <v>9392</v>
      </c>
      <c r="E3589" t="s">
        <v>23084</v>
      </c>
      <c r="F3589" t="s">
        <v>108</v>
      </c>
      <c r="H3589" t="s">
        <v>23085</v>
      </c>
      <c r="I3589" t="s">
        <v>632</v>
      </c>
      <c r="J3589" t="s">
        <v>111</v>
      </c>
      <c r="K3589" t="str">
        <f>"85374"</f>
        <v>85374</v>
      </c>
      <c r="L3589" t="s">
        <v>5990</v>
      </c>
      <c r="M3589" t="s">
        <v>23085</v>
      </c>
      <c r="N3589" t="s">
        <v>632</v>
      </c>
      <c r="O3589" t="s">
        <v>111</v>
      </c>
      <c r="P3589" t="str">
        <f>"85374-5848"</f>
        <v>85374-5848</v>
      </c>
      <c r="Q3589" t="s">
        <v>113</v>
      </c>
      <c r="R3589" t="str">
        <f>"501-93-107"</f>
        <v>501-93-107</v>
      </c>
      <c r="S3589" t="s">
        <v>23086</v>
      </c>
      <c r="U3589">
        <v>2111</v>
      </c>
      <c r="V3589">
        <v>0</v>
      </c>
      <c r="W3589">
        <v>4</v>
      </c>
      <c r="X3589">
        <v>2001</v>
      </c>
      <c r="Z3589">
        <v>2</v>
      </c>
      <c r="AB3589">
        <v>0</v>
      </c>
      <c r="AC3589" t="s">
        <v>115</v>
      </c>
      <c r="AD3589">
        <v>2</v>
      </c>
      <c r="AE3589" t="s">
        <v>115</v>
      </c>
      <c r="AF3589">
        <v>0</v>
      </c>
      <c r="AG3589">
        <v>0</v>
      </c>
      <c r="AH3589" t="s">
        <v>116</v>
      </c>
      <c r="AI3589" s="1">
        <v>44561</v>
      </c>
      <c r="AJ3589" s="2">
        <v>0.17</v>
      </c>
      <c r="AK3589" s="1">
        <v>265253</v>
      </c>
      <c r="AL3589" t="s">
        <v>117</v>
      </c>
      <c r="AM3589" t="s">
        <v>118</v>
      </c>
      <c r="AN3589">
        <v>7045</v>
      </c>
      <c r="AO3589">
        <v>0.16</v>
      </c>
      <c r="AP3589">
        <v>1</v>
      </c>
      <c r="AR3589">
        <v>1</v>
      </c>
      <c r="AS3589" s="1">
        <v>18170</v>
      </c>
      <c r="AT3589" s="1">
        <v>3630</v>
      </c>
      <c r="AU3589" s="1">
        <v>14540</v>
      </c>
      <c r="AV3589">
        <v>80.02</v>
      </c>
      <c r="AX3589" s="1">
        <v>1243.68</v>
      </c>
      <c r="AY3589" t="s">
        <v>5983</v>
      </c>
      <c r="AZ3589" t="s">
        <v>5983</v>
      </c>
      <c r="BA3589" t="s">
        <v>5109</v>
      </c>
      <c r="BE3589" s="3">
        <v>41719</v>
      </c>
      <c r="BF3589" s="1">
        <v>180000</v>
      </c>
      <c r="BG3589" t="s">
        <v>23087</v>
      </c>
      <c r="BH3589" s="1">
        <v>85.27</v>
      </c>
      <c r="BI3589" s="1">
        <v>220692</v>
      </c>
      <c r="BJ3589" s="3">
        <v>42997</v>
      </c>
      <c r="BK3589" t="s">
        <v>123</v>
      </c>
      <c r="BL3589" t="str">
        <f>"2017.689228"</f>
        <v>2017.689228</v>
      </c>
      <c r="BM3589" t="s">
        <v>1249</v>
      </c>
      <c r="BO3589" t="s">
        <v>23088</v>
      </c>
      <c r="BS3589">
        <v>30</v>
      </c>
      <c r="BW3589" t="str">
        <f>""</f>
        <v/>
      </c>
      <c r="CH3589" t="str">
        <f>""</f>
        <v/>
      </c>
      <c r="CS3589" t="str">
        <f>""</f>
        <v/>
      </c>
    </row>
    <row r="3590" spans="1:97" x14ac:dyDescent="0.25">
      <c r="A3590" t="s">
        <v>2729</v>
      </c>
      <c r="B3590" t="s">
        <v>23089</v>
      </c>
      <c r="E3590" t="s">
        <v>23090</v>
      </c>
      <c r="F3590" t="s">
        <v>108</v>
      </c>
      <c r="H3590" t="s">
        <v>23091</v>
      </c>
      <c r="I3590" t="s">
        <v>390</v>
      </c>
      <c r="J3590" t="s">
        <v>111</v>
      </c>
      <c r="K3590" t="str">
        <f>"85020"</f>
        <v>85020</v>
      </c>
      <c r="L3590" t="s">
        <v>11097</v>
      </c>
      <c r="M3590" t="s">
        <v>23091</v>
      </c>
      <c r="N3590" t="s">
        <v>390</v>
      </c>
      <c r="O3590" t="s">
        <v>111</v>
      </c>
      <c r="P3590" t="str">
        <f>"85020-1712"</f>
        <v>85020-1712</v>
      </c>
      <c r="Q3590" t="s">
        <v>113</v>
      </c>
      <c r="R3590" t="str">
        <f>"159-39-104"</f>
        <v>159-39-104</v>
      </c>
      <c r="S3590" t="s">
        <v>23092</v>
      </c>
      <c r="T3590" t="s">
        <v>23092</v>
      </c>
      <c r="U3590">
        <v>1605</v>
      </c>
      <c r="V3590">
        <v>0</v>
      </c>
      <c r="W3590">
        <v>2</v>
      </c>
      <c r="X3590">
        <v>1963</v>
      </c>
      <c r="Z3590">
        <v>1</v>
      </c>
      <c r="AB3590">
        <v>0</v>
      </c>
      <c r="AC3590" t="s">
        <v>5188</v>
      </c>
      <c r="AD3590">
        <v>1</v>
      </c>
      <c r="AE3590" t="s">
        <v>5188</v>
      </c>
      <c r="AF3590">
        <v>0</v>
      </c>
      <c r="AG3590">
        <v>0</v>
      </c>
      <c r="AH3590" t="s">
        <v>5467</v>
      </c>
      <c r="AI3590" s="1">
        <v>-6713</v>
      </c>
      <c r="AJ3590" s="2">
        <v>-0.03</v>
      </c>
      <c r="AK3590" s="1">
        <v>228390</v>
      </c>
      <c r="AL3590" t="s">
        <v>117</v>
      </c>
      <c r="AM3590" t="s">
        <v>191</v>
      </c>
      <c r="AN3590">
        <v>6754</v>
      </c>
      <c r="AO3590">
        <v>0.16</v>
      </c>
      <c r="AP3590">
        <v>1</v>
      </c>
      <c r="AR3590">
        <v>1</v>
      </c>
      <c r="AS3590" s="1">
        <v>15060</v>
      </c>
      <c r="AT3590" s="1">
        <v>3010</v>
      </c>
      <c r="AU3590" s="1">
        <v>12050</v>
      </c>
      <c r="AV3590">
        <v>80.010000000000005</v>
      </c>
      <c r="AX3590" s="1">
        <v>1421.46</v>
      </c>
      <c r="AY3590" t="s">
        <v>23093</v>
      </c>
      <c r="AZ3590" t="s">
        <v>23094</v>
      </c>
      <c r="BA3590" t="s">
        <v>6149</v>
      </c>
      <c r="BE3590" s="3">
        <v>42524</v>
      </c>
      <c r="BF3590" s="1">
        <v>172500</v>
      </c>
      <c r="BG3590" t="s">
        <v>23095</v>
      </c>
      <c r="BH3590" s="1">
        <v>104.48</v>
      </c>
      <c r="BI3590" s="1">
        <v>235103</v>
      </c>
      <c r="BJ3590" s="3">
        <v>43605</v>
      </c>
      <c r="BK3590" t="s">
        <v>123</v>
      </c>
      <c r="BL3590" t="str">
        <f>"2019.366942"</f>
        <v>2019.366942</v>
      </c>
      <c r="BM3590" t="s">
        <v>6896</v>
      </c>
      <c r="BN3590" t="s">
        <v>1371</v>
      </c>
      <c r="BO3590" t="s">
        <v>23090</v>
      </c>
      <c r="BR3590" t="s">
        <v>139</v>
      </c>
      <c r="BW3590" t="str">
        <f>""</f>
        <v/>
      </c>
      <c r="CH3590" t="str">
        <f>""</f>
        <v/>
      </c>
      <c r="CS3590" t="str">
        <f>""</f>
        <v/>
      </c>
    </row>
    <row r="3591" spans="1:97" x14ac:dyDescent="0.25">
      <c r="A3591" t="s">
        <v>23096</v>
      </c>
      <c r="B3591" t="s">
        <v>23097</v>
      </c>
      <c r="C3591" t="s">
        <v>2184</v>
      </c>
      <c r="D3591" t="s">
        <v>23097</v>
      </c>
      <c r="E3591" t="s">
        <v>23098</v>
      </c>
      <c r="F3591" t="s">
        <v>108</v>
      </c>
      <c r="H3591" t="s">
        <v>23099</v>
      </c>
      <c r="I3591" t="s">
        <v>2874</v>
      </c>
      <c r="J3591" t="s">
        <v>111</v>
      </c>
      <c r="K3591" t="str">
        <f>"85308"</f>
        <v>85308</v>
      </c>
      <c r="L3591" t="s">
        <v>541</v>
      </c>
      <c r="M3591" t="s">
        <v>23099</v>
      </c>
      <c r="N3591" t="s">
        <v>2874</v>
      </c>
      <c r="O3591" t="s">
        <v>111</v>
      </c>
      <c r="P3591" t="str">
        <f>"85308-9527"</f>
        <v>85308-9527</v>
      </c>
      <c r="Q3591" t="s">
        <v>113</v>
      </c>
      <c r="R3591" t="str">
        <f>"200-21-930"</f>
        <v>200-21-930</v>
      </c>
      <c r="S3591" t="s">
        <v>13267</v>
      </c>
      <c r="T3591" t="s">
        <v>13267</v>
      </c>
      <c r="U3591">
        <v>1702</v>
      </c>
      <c r="V3591">
        <v>0</v>
      </c>
      <c r="W3591">
        <v>3</v>
      </c>
      <c r="X3591">
        <v>1997</v>
      </c>
      <c r="Z3591">
        <v>1</v>
      </c>
      <c r="AB3591">
        <v>0</v>
      </c>
      <c r="AC3591" t="s">
        <v>115</v>
      </c>
      <c r="AD3591">
        <v>2</v>
      </c>
      <c r="AE3591" t="s">
        <v>115</v>
      </c>
      <c r="AF3591">
        <v>0</v>
      </c>
      <c r="AG3591">
        <v>0</v>
      </c>
      <c r="AH3591" t="s">
        <v>116</v>
      </c>
      <c r="AI3591" s="1">
        <v>56389</v>
      </c>
      <c r="AJ3591" s="2">
        <v>0.18</v>
      </c>
      <c r="AK3591" s="1">
        <v>308057</v>
      </c>
      <c r="AL3591" t="s">
        <v>117</v>
      </c>
      <c r="AM3591" t="s">
        <v>191</v>
      </c>
      <c r="AN3591">
        <v>5700</v>
      </c>
      <c r="AO3591">
        <v>0.13</v>
      </c>
      <c r="AP3591">
        <v>1</v>
      </c>
      <c r="AR3591">
        <v>1</v>
      </c>
      <c r="AS3591" s="1">
        <v>21160</v>
      </c>
      <c r="AT3591" s="1">
        <v>4230</v>
      </c>
      <c r="AU3591" s="1">
        <v>16930</v>
      </c>
      <c r="AV3591">
        <v>80.010000000000005</v>
      </c>
      <c r="AX3591" s="1">
        <v>1832.5</v>
      </c>
      <c r="AY3591" t="s">
        <v>8358</v>
      </c>
      <c r="AZ3591" t="s">
        <v>8358</v>
      </c>
      <c r="BA3591" t="s">
        <v>2223</v>
      </c>
      <c r="BE3591" s="3">
        <v>42314</v>
      </c>
      <c r="BF3591" s="1">
        <v>245000</v>
      </c>
      <c r="BG3591" t="s">
        <v>23100</v>
      </c>
      <c r="BH3591" s="1">
        <v>143.94999999999999</v>
      </c>
      <c r="BI3591" s="1">
        <v>251668</v>
      </c>
      <c r="BJ3591" s="3">
        <v>43165</v>
      </c>
      <c r="BK3591" t="s">
        <v>123</v>
      </c>
      <c r="BL3591" t="str">
        <f>"2018.168046"</f>
        <v>2018.168046</v>
      </c>
      <c r="BM3591" t="s">
        <v>1809</v>
      </c>
      <c r="BN3591" t="s">
        <v>1810</v>
      </c>
      <c r="BO3591" t="s">
        <v>23101</v>
      </c>
      <c r="BP3591" t="s">
        <v>23102</v>
      </c>
      <c r="BR3591" t="s">
        <v>139</v>
      </c>
      <c r="BW3591" t="str">
        <f>""</f>
        <v/>
      </c>
      <c r="CH3591" t="str">
        <f>""</f>
        <v/>
      </c>
      <c r="CS3591" t="str">
        <f>""</f>
        <v/>
      </c>
    </row>
    <row r="3592" spans="1:97" x14ac:dyDescent="0.25">
      <c r="A3592" t="s">
        <v>23103</v>
      </c>
      <c r="B3592" t="s">
        <v>23104</v>
      </c>
      <c r="C3592" t="s">
        <v>349</v>
      </c>
      <c r="D3592" t="s">
        <v>23105</v>
      </c>
      <c r="E3592" t="s">
        <v>23106</v>
      </c>
      <c r="F3592" t="s">
        <v>108</v>
      </c>
      <c r="H3592" t="s">
        <v>23107</v>
      </c>
      <c r="I3592" t="s">
        <v>390</v>
      </c>
      <c r="J3592" t="s">
        <v>111</v>
      </c>
      <c r="K3592" t="str">
        <f>"85041"</f>
        <v>85041</v>
      </c>
      <c r="L3592" t="s">
        <v>375</v>
      </c>
      <c r="M3592" t="s">
        <v>23107</v>
      </c>
      <c r="N3592" t="s">
        <v>390</v>
      </c>
      <c r="O3592" t="s">
        <v>111</v>
      </c>
      <c r="P3592" t="str">
        <f>"85041-7638"</f>
        <v>85041-7638</v>
      </c>
      <c r="Q3592" t="s">
        <v>113</v>
      </c>
      <c r="R3592" t="str">
        <f>"300-17-448"</f>
        <v>300-17-448</v>
      </c>
      <c r="S3592" t="s">
        <v>7013</v>
      </c>
      <c r="T3592" t="s">
        <v>7014</v>
      </c>
      <c r="U3592">
        <v>3305</v>
      </c>
      <c r="V3592">
        <v>0</v>
      </c>
      <c r="W3592">
        <v>5</v>
      </c>
      <c r="X3592">
        <v>2014</v>
      </c>
      <c r="Z3592">
        <v>2</v>
      </c>
      <c r="AB3592">
        <v>0</v>
      </c>
      <c r="AC3592" t="s">
        <v>115</v>
      </c>
      <c r="AD3592">
        <v>3</v>
      </c>
      <c r="AE3592" t="s">
        <v>115</v>
      </c>
      <c r="AF3592">
        <v>0</v>
      </c>
      <c r="AG3592">
        <v>0</v>
      </c>
      <c r="AH3592" t="s">
        <v>116</v>
      </c>
      <c r="AI3592" s="1">
        <v>48714</v>
      </c>
      <c r="AJ3592" s="2">
        <v>0.14000000000000001</v>
      </c>
      <c r="AK3592" s="1">
        <v>348914</v>
      </c>
      <c r="AL3592" t="s">
        <v>117</v>
      </c>
      <c r="AM3592" t="s">
        <v>760</v>
      </c>
      <c r="AN3592">
        <v>6626</v>
      </c>
      <c r="AO3592">
        <v>0.15</v>
      </c>
      <c r="AR3592">
        <v>1</v>
      </c>
      <c r="AS3592" s="1">
        <v>25220</v>
      </c>
      <c r="AT3592" s="1">
        <v>5040</v>
      </c>
      <c r="AU3592" s="1">
        <v>20180</v>
      </c>
      <c r="AV3592">
        <v>80.02</v>
      </c>
      <c r="AX3592" s="1">
        <v>3515.64</v>
      </c>
      <c r="AY3592" t="s">
        <v>7015</v>
      </c>
      <c r="AZ3592" t="s">
        <v>7015</v>
      </c>
      <c r="BA3592" t="s">
        <v>1661</v>
      </c>
      <c r="BB3592" s="3">
        <v>42510</v>
      </c>
      <c r="BD3592" t="s">
        <v>240</v>
      </c>
      <c r="BE3592" s="3">
        <v>42094</v>
      </c>
      <c r="BF3592" s="1">
        <v>300000</v>
      </c>
      <c r="BG3592" t="s">
        <v>149</v>
      </c>
      <c r="BH3592" s="1">
        <v>90.77</v>
      </c>
      <c r="BI3592" s="1">
        <v>300200</v>
      </c>
      <c r="BJ3592" s="3">
        <v>42683</v>
      </c>
      <c r="BK3592" t="s">
        <v>123</v>
      </c>
      <c r="BL3592" t="str">
        <f>"2016.828026"</f>
        <v>2016.828026</v>
      </c>
      <c r="BM3592" t="s">
        <v>1122</v>
      </c>
      <c r="BO3592" t="s">
        <v>23108</v>
      </c>
      <c r="BP3592" t="s">
        <v>23109</v>
      </c>
      <c r="BS3592">
        <v>30</v>
      </c>
      <c r="BW3592" t="str">
        <f>""</f>
        <v/>
      </c>
      <c r="CH3592" t="str">
        <f>""</f>
        <v/>
      </c>
      <c r="CS3592" t="str">
        <f>""</f>
        <v/>
      </c>
    </row>
    <row r="3593" spans="1:97" x14ac:dyDescent="0.25">
      <c r="A3593" t="s">
        <v>2123</v>
      </c>
      <c r="B3593" t="s">
        <v>23110</v>
      </c>
      <c r="C3593" t="s">
        <v>23111</v>
      </c>
      <c r="D3593" t="s">
        <v>23110</v>
      </c>
      <c r="E3593" t="s">
        <v>23112</v>
      </c>
      <c r="F3593" t="s">
        <v>108</v>
      </c>
      <c r="H3593" t="s">
        <v>23113</v>
      </c>
      <c r="I3593" t="s">
        <v>499</v>
      </c>
      <c r="J3593" t="s">
        <v>111</v>
      </c>
      <c r="K3593" t="str">
        <f>"85338"</f>
        <v>85338</v>
      </c>
      <c r="L3593" t="s">
        <v>2197</v>
      </c>
      <c r="M3593" t="s">
        <v>23113</v>
      </c>
      <c r="N3593" t="s">
        <v>499</v>
      </c>
      <c r="O3593" t="s">
        <v>111</v>
      </c>
      <c r="P3593" t="str">
        <f>"85338-3487"</f>
        <v>85338-3487</v>
      </c>
      <c r="Q3593" t="s">
        <v>113</v>
      </c>
      <c r="R3593" t="str">
        <f>"500-07-308"</f>
        <v>500-07-308</v>
      </c>
      <c r="S3593" t="s">
        <v>23114</v>
      </c>
      <c r="U3593">
        <v>2719</v>
      </c>
      <c r="V3593">
        <v>0</v>
      </c>
      <c r="W3593">
        <v>4</v>
      </c>
      <c r="X3593">
        <v>2006</v>
      </c>
      <c r="Z3593">
        <v>2</v>
      </c>
      <c r="AB3593">
        <v>0</v>
      </c>
      <c r="AC3593" t="s">
        <v>115</v>
      </c>
      <c r="AD3593">
        <v>2</v>
      </c>
      <c r="AE3593" t="s">
        <v>115</v>
      </c>
      <c r="AF3593">
        <v>0</v>
      </c>
      <c r="AG3593">
        <v>0</v>
      </c>
      <c r="AH3593" t="s">
        <v>116</v>
      </c>
      <c r="AI3593" s="1">
        <v>77908</v>
      </c>
      <c r="AJ3593" s="2">
        <v>0.27</v>
      </c>
      <c r="AK3593" s="1">
        <v>289049</v>
      </c>
      <c r="AL3593" t="s">
        <v>117</v>
      </c>
      <c r="AM3593" t="s">
        <v>118</v>
      </c>
      <c r="AN3593">
        <v>5626</v>
      </c>
      <c r="AO3593">
        <v>0.13</v>
      </c>
      <c r="AR3593">
        <v>1</v>
      </c>
      <c r="AS3593" s="1">
        <v>19570</v>
      </c>
      <c r="AT3593" s="1">
        <v>3910</v>
      </c>
      <c r="AU3593" s="1">
        <v>15660</v>
      </c>
      <c r="AV3593">
        <v>80.02</v>
      </c>
      <c r="AX3593" s="1">
        <v>1888.36</v>
      </c>
      <c r="AY3593" t="s">
        <v>11177</v>
      </c>
      <c r="AZ3593" t="s">
        <v>11177</v>
      </c>
      <c r="BA3593" t="s">
        <v>7186</v>
      </c>
      <c r="BE3593" s="3">
        <v>42333</v>
      </c>
      <c r="BF3593" s="1">
        <v>207000</v>
      </c>
      <c r="BG3593" t="s">
        <v>23115</v>
      </c>
      <c r="BH3593" s="1">
        <v>76.13</v>
      </c>
      <c r="BI3593" s="1">
        <v>211141</v>
      </c>
      <c r="BJ3593" s="3">
        <v>42522</v>
      </c>
      <c r="BK3593" t="s">
        <v>123</v>
      </c>
      <c r="BL3593" t="str">
        <f>"2016.377173"</f>
        <v>2016.377173</v>
      </c>
      <c r="BM3593" t="s">
        <v>1185</v>
      </c>
      <c r="BO3593" t="s">
        <v>23116</v>
      </c>
      <c r="BS3593">
        <v>30</v>
      </c>
      <c r="BW3593" t="str">
        <f>""</f>
        <v/>
      </c>
      <c r="CH3593" t="str">
        <f>""</f>
        <v/>
      </c>
      <c r="CS3593" t="str">
        <f>""</f>
        <v/>
      </c>
    </row>
    <row r="3594" spans="1:97" x14ac:dyDescent="0.25">
      <c r="A3594" t="s">
        <v>370</v>
      </c>
      <c r="B3594" t="s">
        <v>23117</v>
      </c>
      <c r="E3594" t="s">
        <v>23118</v>
      </c>
      <c r="F3594" t="s">
        <v>108</v>
      </c>
      <c r="H3594" t="s">
        <v>23119</v>
      </c>
      <c r="I3594" t="s">
        <v>6646</v>
      </c>
      <c r="J3594" t="s">
        <v>111</v>
      </c>
      <c r="K3594" t="str">
        <f>"85086"</f>
        <v>85086</v>
      </c>
      <c r="L3594" t="s">
        <v>3645</v>
      </c>
      <c r="M3594" t="s">
        <v>23119</v>
      </c>
      <c r="N3594" t="s">
        <v>6646</v>
      </c>
      <c r="O3594" t="s">
        <v>111</v>
      </c>
      <c r="P3594" t="str">
        <f>"85086-3675"</f>
        <v>85086-3675</v>
      </c>
      <c r="Q3594" t="s">
        <v>113</v>
      </c>
      <c r="R3594" t="str">
        <f>"211-93-122"</f>
        <v>211-93-122</v>
      </c>
      <c r="S3594" t="s">
        <v>23120</v>
      </c>
      <c r="U3594">
        <v>2168</v>
      </c>
      <c r="V3594">
        <v>0</v>
      </c>
      <c r="W3594">
        <v>3</v>
      </c>
      <c r="X3594">
        <v>2004</v>
      </c>
      <c r="Z3594">
        <v>2</v>
      </c>
      <c r="AB3594">
        <v>0</v>
      </c>
      <c r="AC3594" t="s">
        <v>115</v>
      </c>
      <c r="AD3594">
        <v>2</v>
      </c>
      <c r="AE3594" t="s">
        <v>115</v>
      </c>
      <c r="AF3594">
        <v>0</v>
      </c>
      <c r="AG3594">
        <v>0</v>
      </c>
      <c r="AH3594" t="s">
        <v>116</v>
      </c>
      <c r="AI3594" s="1">
        <v>42310</v>
      </c>
      <c r="AJ3594" s="2">
        <v>0.14000000000000001</v>
      </c>
      <c r="AK3594" s="1">
        <v>300560</v>
      </c>
      <c r="AL3594" t="s">
        <v>117</v>
      </c>
      <c r="AM3594" t="s">
        <v>191</v>
      </c>
      <c r="AN3594">
        <v>5573</v>
      </c>
      <c r="AO3594">
        <v>0.13</v>
      </c>
      <c r="AP3594">
        <v>1</v>
      </c>
      <c r="AR3594">
        <v>1</v>
      </c>
      <c r="AS3594" s="1">
        <v>20900</v>
      </c>
      <c r="AT3594" s="1">
        <v>4180</v>
      </c>
      <c r="AU3594" s="1">
        <v>16720</v>
      </c>
      <c r="AV3594">
        <v>80</v>
      </c>
      <c r="AX3594" s="1">
        <v>2260.8000000000002</v>
      </c>
      <c r="AY3594" t="s">
        <v>6515</v>
      </c>
      <c r="AZ3594" t="s">
        <v>6515</v>
      </c>
      <c r="BA3594" t="s">
        <v>378</v>
      </c>
      <c r="BE3594" s="3">
        <v>42027</v>
      </c>
      <c r="BF3594" s="1">
        <v>210000</v>
      </c>
      <c r="BG3594" t="s">
        <v>23121</v>
      </c>
      <c r="BH3594" s="1">
        <v>96.86</v>
      </c>
      <c r="BI3594" s="1">
        <v>258250</v>
      </c>
      <c r="BJ3594" s="3">
        <v>42839</v>
      </c>
      <c r="BK3594" t="s">
        <v>123</v>
      </c>
      <c r="BL3594" t="str">
        <f>"2017.267560"</f>
        <v>2017.267560</v>
      </c>
      <c r="BM3594" t="s">
        <v>361</v>
      </c>
      <c r="BO3594" t="s">
        <v>23122</v>
      </c>
      <c r="BS3594">
        <v>30</v>
      </c>
      <c r="BW3594" t="str">
        <f>""</f>
        <v/>
      </c>
      <c r="CH3594" t="str">
        <f>""</f>
        <v/>
      </c>
      <c r="CS3594" t="str">
        <f>""</f>
        <v/>
      </c>
    </row>
    <row r="3595" spans="1:97" x14ac:dyDescent="0.25">
      <c r="A3595" t="s">
        <v>2123</v>
      </c>
      <c r="B3595" t="s">
        <v>23123</v>
      </c>
      <c r="C3595" t="s">
        <v>23124</v>
      </c>
      <c r="D3595" t="s">
        <v>23123</v>
      </c>
      <c r="E3595" t="s">
        <v>23125</v>
      </c>
      <c r="F3595" t="s">
        <v>108</v>
      </c>
      <c r="H3595" t="s">
        <v>23126</v>
      </c>
      <c r="I3595" t="s">
        <v>203</v>
      </c>
      <c r="J3595" t="s">
        <v>111</v>
      </c>
      <c r="K3595" t="str">
        <f>"85295"</f>
        <v>85295</v>
      </c>
      <c r="L3595" t="s">
        <v>10083</v>
      </c>
      <c r="M3595" t="s">
        <v>23126</v>
      </c>
      <c r="N3595" t="s">
        <v>203</v>
      </c>
      <c r="O3595" t="s">
        <v>111</v>
      </c>
      <c r="P3595" t="str">
        <f>"85295-6051"</f>
        <v>85295-6051</v>
      </c>
      <c r="Q3595" t="s">
        <v>113</v>
      </c>
      <c r="R3595" t="str">
        <f>"304-46-452"</f>
        <v>304-46-452</v>
      </c>
      <c r="S3595" t="s">
        <v>12136</v>
      </c>
      <c r="T3595" t="s">
        <v>12137</v>
      </c>
      <c r="U3595">
        <v>1564</v>
      </c>
      <c r="V3595">
        <v>0</v>
      </c>
      <c r="W3595">
        <v>4</v>
      </c>
      <c r="X3595">
        <v>2006</v>
      </c>
      <c r="Z3595">
        <v>2</v>
      </c>
      <c r="AB3595">
        <v>0</v>
      </c>
      <c r="AC3595" t="s">
        <v>115</v>
      </c>
      <c r="AD3595">
        <v>2</v>
      </c>
      <c r="AE3595" t="s">
        <v>115</v>
      </c>
      <c r="AF3595">
        <v>0</v>
      </c>
      <c r="AG3595">
        <v>0</v>
      </c>
      <c r="AH3595" t="s">
        <v>116</v>
      </c>
      <c r="AI3595" s="1">
        <v>52953</v>
      </c>
      <c r="AJ3595" s="2">
        <v>0.21</v>
      </c>
      <c r="AK3595" s="1">
        <v>257453</v>
      </c>
      <c r="AL3595" t="s">
        <v>117</v>
      </c>
      <c r="AM3595" t="s">
        <v>288</v>
      </c>
      <c r="AN3595">
        <v>2560</v>
      </c>
      <c r="AO3595">
        <v>0.59</v>
      </c>
      <c r="AR3595">
        <v>1</v>
      </c>
      <c r="AS3595" s="1">
        <v>16800</v>
      </c>
      <c r="AT3595" s="1">
        <v>3360</v>
      </c>
      <c r="AU3595" s="1">
        <v>13440</v>
      </c>
      <c r="AV3595">
        <v>80</v>
      </c>
      <c r="AX3595" s="1">
        <v>1166.42</v>
      </c>
      <c r="AY3595" t="s">
        <v>1818</v>
      </c>
      <c r="AZ3595" t="s">
        <v>207</v>
      </c>
      <c r="BA3595" t="s">
        <v>208</v>
      </c>
      <c r="BB3595" s="3">
        <v>43025</v>
      </c>
      <c r="BD3595" t="s">
        <v>157</v>
      </c>
      <c r="BE3595" s="3">
        <v>41753</v>
      </c>
      <c r="BF3595" s="1">
        <v>176500</v>
      </c>
      <c r="BG3595" t="s">
        <v>23127</v>
      </c>
      <c r="BH3595" s="1">
        <v>112.85</v>
      </c>
      <c r="BI3595" s="1">
        <v>204500</v>
      </c>
      <c r="BJ3595" s="3">
        <v>43025</v>
      </c>
      <c r="BK3595" t="s">
        <v>123</v>
      </c>
      <c r="BL3595" t="str">
        <f>"2017.768087"</f>
        <v>2017.768087</v>
      </c>
      <c r="BM3595" t="s">
        <v>3710</v>
      </c>
      <c r="BO3595" t="s">
        <v>23128</v>
      </c>
      <c r="BS3595">
        <v>30</v>
      </c>
      <c r="BW3595" t="str">
        <f>""</f>
        <v/>
      </c>
      <c r="CH3595" t="str">
        <f>""</f>
        <v/>
      </c>
      <c r="CS3595" t="str">
        <f>""</f>
        <v/>
      </c>
    </row>
    <row r="3596" spans="1:97" x14ac:dyDescent="0.25">
      <c r="A3596" t="s">
        <v>639</v>
      </c>
      <c r="B3596" t="s">
        <v>6443</v>
      </c>
      <c r="C3596" t="s">
        <v>489</v>
      </c>
      <c r="D3596" t="s">
        <v>6443</v>
      </c>
      <c r="E3596" t="s">
        <v>23129</v>
      </c>
      <c r="F3596" t="s">
        <v>108</v>
      </c>
      <c r="H3596" t="s">
        <v>23130</v>
      </c>
      <c r="I3596" t="s">
        <v>374</v>
      </c>
      <c r="J3596" t="s">
        <v>111</v>
      </c>
      <c r="K3596" t="str">
        <f>"85087"</f>
        <v>85087</v>
      </c>
      <c r="L3596" t="s">
        <v>7109</v>
      </c>
      <c r="M3596" t="s">
        <v>23130</v>
      </c>
      <c r="N3596" t="s">
        <v>374</v>
      </c>
      <c r="O3596" t="s">
        <v>111</v>
      </c>
      <c r="P3596" t="str">
        <f>"85087-5981"</f>
        <v>85087-5981</v>
      </c>
      <c r="Q3596" t="s">
        <v>113</v>
      </c>
      <c r="R3596" t="str">
        <f>"202-30-182"</f>
        <v>202-30-182</v>
      </c>
      <c r="S3596" t="s">
        <v>7317</v>
      </c>
      <c r="T3596" t="s">
        <v>7096</v>
      </c>
      <c r="U3596">
        <v>1790</v>
      </c>
      <c r="V3596">
        <v>0</v>
      </c>
      <c r="W3596">
        <v>3</v>
      </c>
      <c r="X3596">
        <v>2005</v>
      </c>
      <c r="Z3596">
        <v>1</v>
      </c>
      <c r="AB3596">
        <v>0</v>
      </c>
      <c r="AC3596" t="s">
        <v>115</v>
      </c>
      <c r="AD3596">
        <v>2</v>
      </c>
      <c r="AE3596" t="s">
        <v>115</v>
      </c>
      <c r="AF3596">
        <v>0</v>
      </c>
      <c r="AG3596">
        <v>0</v>
      </c>
      <c r="AH3596" t="s">
        <v>116</v>
      </c>
      <c r="AI3596" s="1">
        <v>95087</v>
      </c>
      <c r="AJ3596" s="2">
        <v>0.32</v>
      </c>
      <c r="AK3596" s="1">
        <v>299621</v>
      </c>
      <c r="AL3596" t="s">
        <v>117</v>
      </c>
      <c r="AM3596" t="s">
        <v>191</v>
      </c>
      <c r="AN3596">
        <v>5737</v>
      </c>
      <c r="AO3596">
        <v>0.13</v>
      </c>
      <c r="AP3596">
        <v>1</v>
      </c>
      <c r="AR3596">
        <v>1</v>
      </c>
      <c r="AS3596" s="1">
        <v>20400</v>
      </c>
      <c r="AT3596" s="1">
        <v>4080</v>
      </c>
      <c r="AU3596" s="1">
        <v>16320</v>
      </c>
      <c r="AV3596">
        <v>80</v>
      </c>
      <c r="AX3596" s="1">
        <v>1806.76</v>
      </c>
      <c r="AY3596" t="s">
        <v>5380</v>
      </c>
      <c r="AZ3596" t="s">
        <v>5380</v>
      </c>
      <c r="BA3596" t="s">
        <v>378</v>
      </c>
      <c r="BE3596" s="3">
        <v>42097</v>
      </c>
      <c r="BF3596" s="1">
        <v>198000</v>
      </c>
      <c r="BG3596" t="s">
        <v>5716</v>
      </c>
      <c r="BH3596" s="1">
        <v>110.61</v>
      </c>
      <c r="BI3596" s="1">
        <v>204534</v>
      </c>
      <c r="BJ3596" s="3">
        <v>42097</v>
      </c>
      <c r="BK3596" t="s">
        <v>123</v>
      </c>
      <c r="BL3596" t="str">
        <f>"2015.229751"</f>
        <v>2015.229751</v>
      </c>
      <c r="BM3596" t="s">
        <v>150</v>
      </c>
      <c r="BO3596" t="s">
        <v>23131</v>
      </c>
      <c r="BS3596">
        <v>30</v>
      </c>
      <c r="BW3596" t="str">
        <f>""</f>
        <v/>
      </c>
      <c r="CH3596" t="str">
        <f>""</f>
        <v/>
      </c>
      <c r="CS3596" t="str">
        <f>""</f>
        <v/>
      </c>
    </row>
    <row r="3597" spans="1:97" x14ac:dyDescent="0.25">
      <c r="B3597" t="s">
        <v>23132</v>
      </c>
      <c r="C3597" t="s">
        <v>484</v>
      </c>
      <c r="E3597" t="s">
        <v>23132</v>
      </c>
      <c r="F3597" t="s">
        <v>108</v>
      </c>
      <c r="H3597" t="s">
        <v>23133</v>
      </c>
      <c r="I3597" t="s">
        <v>1788</v>
      </c>
      <c r="J3597" t="s">
        <v>111</v>
      </c>
      <c r="K3597" t="str">
        <f>"85355"</f>
        <v>85355</v>
      </c>
      <c r="L3597" t="s">
        <v>168</v>
      </c>
      <c r="M3597" t="s">
        <v>23133</v>
      </c>
      <c r="N3597" t="s">
        <v>1788</v>
      </c>
      <c r="O3597" t="s">
        <v>111</v>
      </c>
      <c r="P3597" t="str">
        <f>"85355-4431"</f>
        <v>85355-4431</v>
      </c>
      <c r="Q3597" t="s">
        <v>113</v>
      </c>
      <c r="R3597" t="str">
        <f>"502-90-343"</f>
        <v>502-90-343</v>
      </c>
      <c r="S3597" t="s">
        <v>8290</v>
      </c>
      <c r="U3597">
        <v>2895</v>
      </c>
      <c r="V3597">
        <v>0</v>
      </c>
      <c r="W3597">
        <v>4</v>
      </c>
      <c r="X3597">
        <v>2006</v>
      </c>
      <c r="Z3597">
        <v>2</v>
      </c>
      <c r="AB3597">
        <v>0</v>
      </c>
      <c r="AC3597" t="s">
        <v>115</v>
      </c>
      <c r="AD3597">
        <v>2</v>
      </c>
      <c r="AE3597" t="s">
        <v>115</v>
      </c>
      <c r="AF3597">
        <v>0</v>
      </c>
      <c r="AG3597">
        <v>0</v>
      </c>
      <c r="AH3597" t="s">
        <v>116</v>
      </c>
      <c r="AI3597" s="1">
        <v>77224</v>
      </c>
      <c r="AJ3597" s="2">
        <v>0.26</v>
      </c>
      <c r="AK3597" s="1">
        <v>293121</v>
      </c>
      <c r="AL3597" t="s">
        <v>117</v>
      </c>
      <c r="AM3597" t="s">
        <v>191</v>
      </c>
      <c r="AN3597">
        <v>6539</v>
      </c>
      <c r="AO3597">
        <v>0.15</v>
      </c>
      <c r="AR3597">
        <v>1</v>
      </c>
      <c r="AS3597" s="1">
        <v>20680</v>
      </c>
      <c r="AT3597" s="1">
        <v>4130</v>
      </c>
      <c r="AU3597" s="1">
        <v>16550</v>
      </c>
      <c r="AV3597">
        <v>80.03</v>
      </c>
      <c r="AX3597" s="1">
        <v>1593.1</v>
      </c>
      <c r="AY3597" t="s">
        <v>5972</v>
      </c>
      <c r="AZ3597" t="s">
        <v>5972</v>
      </c>
      <c r="BA3597" t="s">
        <v>5061</v>
      </c>
      <c r="BB3597" s="3">
        <v>43774</v>
      </c>
      <c r="BC3597" s="1">
        <v>0</v>
      </c>
      <c r="BD3597" t="s">
        <v>247</v>
      </c>
      <c r="BE3597" s="3">
        <v>42160</v>
      </c>
      <c r="BF3597" s="1">
        <v>209000</v>
      </c>
      <c r="BG3597" t="s">
        <v>23134</v>
      </c>
      <c r="BH3597" s="1">
        <v>72.19</v>
      </c>
      <c r="BI3597" s="1">
        <v>215897</v>
      </c>
      <c r="BJ3597" s="3">
        <v>42160</v>
      </c>
      <c r="BK3597" t="s">
        <v>123</v>
      </c>
      <c r="BL3597" t="str">
        <f>"2015.404292"</f>
        <v>2015.404292</v>
      </c>
      <c r="BM3597" t="s">
        <v>1998</v>
      </c>
      <c r="BN3597" t="s">
        <v>3763</v>
      </c>
      <c r="BO3597" t="s">
        <v>23135</v>
      </c>
      <c r="BS3597">
        <v>30</v>
      </c>
      <c r="BW3597" t="str">
        <f>""</f>
        <v/>
      </c>
      <c r="CH3597" t="str">
        <f>""</f>
        <v/>
      </c>
      <c r="CS3597" t="str">
        <f>""</f>
        <v/>
      </c>
    </row>
    <row r="3598" spans="1:97" x14ac:dyDescent="0.25">
      <c r="A3598" t="s">
        <v>1850</v>
      </c>
      <c r="B3598" t="s">
        <v>1552</v>
      </c>
      <c r="C3598" t="s">
        <v>1821</v>
      </c>
      <c r="D3598" t="s">
        <v>1552</v>
      </c>
      <c r="E3598" t="s">
        <v>23136</v>
      </c>
      <c r="F3598" t="s">
        <v>108</v>
      </c>
      <c r="H3598" t="s">
        <v>23137</v>
      </c>
      <c r="I3598" t="s">
        <v>110</v>
      </c>
      <c r="J3598" t="s">
        <v>111</v>
      </c>
      <c r="K3598" t="str">
        <f>"85224"</f>
        <v>85224</v>
      </c>
      <c r="L3598" t="s">
        <v>6438</v>
      </c>
      <c r="M3598" t="s">
        <v>23137</v>
      </c>
      <c r="N3598" t="s">
        <v>110</v>
      </c>
      <c r="O3598" t="s">
        <v>111</v>
      </c>
      <c r="P3598" t="str">
        <f>"85224-8371"</f>
        <v>85224-8371</v>
      </c>
      <c r="Q3598" t="s">
        <v>113</v>
      </c>
      <c r="R3598" t="str">
        <f>"302-93-125"</f>
        <v>302-93-125</v>
      </c>
      <c r="S3598" t="s">
        <v>20002</v>
      </c>
      <c r="T3598" t="s">
        <v>20003</v>
      </c>
      <c r="U3598">
        <v>2018</v>
      </c>
      <c r="V3598">
        <v>0</v>
      </c>
      <c r="W3598">
        <v>3</v>
      </c>
      <c r="X3598">
        <v>1985</v>
      </c>
      <c r="Z3598">
        <v>1</v>
      </c>
      <c r="AA3598" t="s">
        <v>26</v>
      </c>
      <c r="AB3598">
        <v>0</v>
      </c>
      <c r="AC3598" t="s">
        <v>115</v>
      </c>
      <c r="AD3598">
        <v>2</v>
      </c>
      <c r="AE3598" t="s">
        <v>115</v>
      </c>
      <c r="AF3598">
        <v>0</v>
      </c>
      <c r="AG3598">
        <v>0</v>
      </c>
      <c r="AH3598" t="s">
        <v>116</v>
      </c>
      <c r="AI3598" s="1">
        <v>77826</v>
      </c>
      <c r="AJ3598" s="2">
        <v>0.22</v>
      </c>
      <c r="AK3598" s="1">
        <v>353017</v>
      </c>
      <c r="AL3598" t="s">
        <v>117</v>
      </c>
      <c r="AM3598" t="s">
        <v>5077</v>
      </c>
      <c r="AN3598">
        <v>8468</v>
      </c>
      <c r="AO3598">
        <v>0.19</v>
      </c>
      <c r="AP3598">
        <v>1</v>
      </c>
      <c r="AR3598">
        <v>1</v>
      </c>
      <c r="AS3598" s="1">
        <v>24510</v>
      </c>
      <c r="AT3598" s="1">
        <v>4900</v>
      </c>
      <c r="AU3598" s="1">
        <v>19610</v>
      </c>
      <c r="AV3598">
        <v>80.010000000000005</v>
      </c>
      <c r="AX3598" s="1">
        <v>1652.9</v>
      </c>
      <c r="AY3598" t="s">
        <v>7749</v>
      </c>
      <c r="AZ3598" t="s">
        <v>5078</v>
      </c>
      <c r="BA3598" t="s">
        <v>2957</v>
      </c>
      <c r="BE3598" s="3">
        <v>41823</v>
      </c>
      <c r="BF3598" s="1">
        <v>271000</v>
      </c>
      <c r="BG3598" t="s">
        <v>23138</v>
      </c>
      <c r="BH3598" s="1">
        <v>134.29</v>
      </c>
      <c r="BI3598" s="1">
        <v>275191</v>
      </c>
      <c r="BJ3598" s="3">
        <v>42620</v>
      </c>
      <c r="BK3598" t="s">
        <v>123</v>
      </c>
      <c r="BL3598" t="str">
        <f>"2016.645320"</f>
        <v>2016.645320</v>
      </c>
      <c r="BM3598" t="s">
        <v>492</v>
      </c>
      <c r="BO3598" t="s">
        <v>23139</v>
      </c>
      <c r="BS3598">
        <v>25</v>
      </c>
      <c r="BW3598" t="str">
        <f>""</f>
        <v/>
      </c>
      <c r="CH3598" t="str">
        <f>""</f>
        <v/>
      </c>
      <c r="CS3598" t="str">
        <f>""</f>
        <v/>
      </c>
    </row>
    <row r="3599" spans="1:97" x14ac:dyDescent="0.25">
      <c r="A3599" t="s">
        <v>1160</v>
      </c>
      <c r="B3599" t="s">
        <v>23140</v>
      </c>
      <c r="E3599" t="s">
        <v>23141</v>
      </c>
      <c r="F3599" t="s">
        <v>108</v>
      </c>
      <c r="H3599" t="s">
        <v>23142</v>
      </c>
      <c r="I3599" t="s">
        <v>632</v>
      </c>
      <c r="J3599" t="s">
        <v>111</v>
      </c>
      <c r="K3599" t="str">
        <f>"85388"</f>
        <v>85388</v>
      </c>
      <c r="L3599" t="s">
        <v>1796</v>
      </c>
      <c r="M3599" t="s">
        <v>23142</v>
      </c>
      <c r="N3599" t="s">
        <v>632</v>
      </c>
      <c r="O3599" t="s">
        <v>111</v>
      </c>
      <c r="P3599" t="str">
        <f>"85388-1547"</f>
        <v>85388-1547</v>
      </c>
      <c r="Q3599" t="s">
        <v>113</v>
      </c>
      <c r="R3599" t="str">
        <f>"501-12-295"</f>
        <v>501-12-295</v>
      </c>
      <c r="S3599" t="s">
        <v>14862</v>
      </c>
      <c r="T3599" t="s">
        <v>5431</v>
      </c>
      <c r="U3599">
        <v>2432</v>
      </c>
      <c r="V3599">
        <v>0</v>
      </c>
      <c r="W3599">
        <v>4</v>
      </c>
      <c r="X3599">
        <v>2003</v>
      </c>
      <c r="Z3599">
        <v>1</v>
      </c>
      <c r="AA3599" t="s">
        <v>26</v>
      </c>
      <c r="AB3599">
        <v>0</v>
      </c>
      <c r="AC3599" t="s">
        <v>115</v>
      </c>
      <c r="AD3599">
        <v>3</v>
      </c>
      <c r="AE3599" t="s">
        <v>115</v>
      </c>
      <c r="AF3599">
        <v>0</v>
      </c>
      <c r="AG3599">
        <v>0</v>
      </c>
      <c r="AH3599" t="s">
        <v>116</v>
      </c>
      <c r="AI3599" s="1">
        <v>91404</v>
      </c>
      <c r="AJ3599" s="2">
        <v>0.28999999999999998</v>
      </c>
      <c r="AK3599" s="1">
        <v>309904</v>
      </c>
      <c r="AL3599" t="s">
        <v>117</v>
      </c>
      <c r="AM3599" t="s">
        <v>118</v>
      </c>
      <c r="AN3599">
        <v>7475</v>
      </c>
      <c r="AO3599">
        <v>0.17</v>
      </c>
      <c r="AP3599">
        <v>1</v>
      </c>
      <c r="AR3599">
        <v>1</v>
      </c>
      <c r="AS3599" s="1">
        <v>22700</v>
      </c>
      <c r="AT3599" s="1">
        <v>4540</v>
      </c>
      <c r="AU3599" s="1">
        <v>18160</v>
      </c>
      <c r="AV3599">
        <v>80</v>
      </c>
      <c r="AX3599" s="1">
        <v>1642.7</v>
      </c>
      <c r="AY3599" t="s">
        <v>5517</v>
      </c>
      <c r="AZ3599" t="s">
        <v>5517</v>
      </c>
      <c r="BA3599" t="s">
        <v>5109</v>
      </c>
      <c r="BE3599" s="3">
        <v>42356</v>
      </c>
      <c r="BF3599" s="1">
        <v>239000</v>
      </c>
      <c r="BG3599" t="s">
        <v>23143</v>
      </c>
      <c r="BH3599" s="1">
        <v>98.27</v>
      </c>
      <c r="BI3599" s="1">
        <v>218500</v>
      </c>
      <c r="BJ3599" s="3">
        <v>42913</v>
      </c>
      <c r="BK3599" t="s">
        <v>123</v>
      </c>
      <c r="BL3599" t="str">
        <f>"2017.469618"</f>
        <v>2017.469618</v>
      </c>
      <c r="BM3599" t="s">
        <v>3664</v>
      </c>
      <c r="BO3599" t="s">
        <v>23144</v>
      </c>
      <c r="BS3599">
        <v>27</v>
      </c>
      <c r="BW3599" t="str">
        <f>""</f>
        <v/>
      </c>
      <c r="CH3599" t="str">
        <f>""</f>
        <v/>
      </c>
      <c r="CS3599" t="str">
        <f>""</f>
        <v/>
      </c>
    </row>
    <row r="3600" spans="1:97" x14ac:dyDescent="0.25">
      <c r="A3600" t="s">
        <v>23145</v>
      </c>
      <c r="B3600" t="s">
        <v>18160</v>
      </c>
      <c r="C3600" t="s">
        <v>23146</v>
      </c>
      <c r="D3600" t="s">
        <v>1667</v>
      </c>
      <c r="E3600" t="s">
        <v>23147</v>
      </c>
      <c r="F3600" t="s">
        <v>108</v>
      </c>
      <c r="H3600" t="s">
        <v>23148</v>
      </c>
      <c r="I3600" t="s">
        <v>5114</v>
      </c>
      <c r="J3600" t="s">
        <v>111</v>
      </c>
      <c r="K3600" t="str">
        <f>"85392"</f>
        <v>85392</v>
      </c>
      <c r="L3600" t="s">
        <v>2547</v>
      </c>
      <c r="M3600" t="s">
        <v>23148</v>
      </c>
      <c r="N3600" t="s">
        <v>5114</v>
      </c>
      <c r="O3600" t="s">
        <v>111</v>
      </c>
      <c r="P3600" t="str">
        <f>"85392-4203"</f>
        <v>85392-4203</v>
      </c>
      <c r="Q3600" t="s">
        <v>113</v>
      </c>
      <c r="R3600" t="str">
        <f>"102-28-213"</f>
        <v>102-28-213</v>
      </c>
      <c r="S3600" t="s">
        <v>23149</v>
      </c>
      <c r="T3600" t="s">
        <v>11509</v>
      </c>
      <c r="U3600">
        <v>2778</v>
      </c>
      <c r="V3600">
        <v>0</v>
      </c>
      <c r="W3600">
        <v>4</v>
      </c>
      <c r="X3600">
        <v>1991</v>
      </c>
      <c r="Z3600">
        <v>2</v>
      </c>
      <c r="AA3600" t="s">
        <v>26</v>
      </c>
      <c r="AB3600">
        <v>0</v>
      </c>
      <c r="AC3600" t="s">
        <v>115</v>
      </c>
      <c r="AD3600">
        <v>3</v>
      </c>
      <c r="AE3600" t="s">
        <v>115</v>
      </c>
      <c r="AF3600">
        <v>0</v>
      </c>
      <c r="AG3600">
        <v>0</v>
      </c>
      <c r="AH3600" t="s">
        <v>116</v>
      </c>
      <c r="AI3600" s="1">
        <v>63447</v>
      </c>
      <c r="AJ3600" s="2">
        <v>0.2</v>
      </c>
      <c r="AK3600" s="1">
        <v>323347</v>
      </c>
      <c r="AL3600" t="s">
        <v>117</v>
      </c>
      <c r="AM3600" t="s">
        <v>118</v>
      </c>
      <c r="AN3600">
        <v>7597</v>
      </c>
      <c r="AO3600">
        <v>0.17</v>
      </c>
      <c r="AP3600">
        <v>1</v>
      </c>
      <c r="AR3600">
        <v>1</v>
      </c>
      <c r="AS3600" s="1">
        <v>23470</v>
      </c>
      <c r="AT3600" s="1">
        <v>4690</v>
      </c>
      <c r="AU3600" s="1">
        <v>18780</v>
      </c>
      <c r="AV3600">
        <v>80.02</v>
      </c>
      <c r="AX3600" s="1">
        <v>2405.88</v>
      </c>
      <c r="AY3600" t="s">
        <v>8084</v>
      </c>
      <c r="AZ3600" t="s">
        <v>8084</v>
      </c>
      <c r="BA3600" t="s">
        <v>5118</v>
      </c>
      <c r="BE3600" s="3">
        <v>42506</v>
      </c>
      <c r="BF3600" s="1">
        <v>259900</v>
      </c>
      <c r="BG3600" t="s">
        <v>23150</v>
      </c>
      <c r="BH3600" s="1">
        <v>93.56</v>
      </c>
      <c r="BI3600" s="1">
        <v>259900</v>
      </c>
      <c r="BJ3600" s="3">
        <v>42506</v>
      </c>
      <c r="BK3600" t="s">
        <v>123</v>
      </c>
      <c r="BL3600" t="str">
        <f>"2016.333962"</f>
        <v>2016.333962</v>
      </c>
      <c r="BM3600" t="s">
        <v>724</v>
      </c>
      <c r="BO3600" t="s">
        <v>23151</v>
      </c>
      <c r="BP3600" t="s">
        <v>23152</v>
      </c>
      <c r="BS3600">
        <v>30</v>
      </c>
      <c r="BW3600" t="str">
        <f>""</f>
        <v/>
      </c>
      <c r="CH3600" t="str">
        <f>""</f>
        <v/>
      </c>
      <c r="CS3600" t="str">
        <f>""</f>
        <v/>
      </c>
    </row>
    <row r="3601" spans="1:97" x14ac:dyDescent="0.25">
      <c r="A3601" t="s">
        <v>23153</v>
      </c>
      <c r="B3601" t="s">
        <v>17727</v>
      </c>
      <c r="E3601" t="s">
        <v>23154</v>
      </c>
      <c r="F3601" t="s">
        <v>108</v>
      </c>
      <c r="H3601" t="s">
        <v>23155</v>
      </c>
      <c r="I3601" t="s">
        <v>390</v>
      </c>
      <c r="J3601" t="s">
        <v>111</v>
      </c>
      <c r="K3601" t="str">
        <f>"85022"</f>
        <v>85022</v>
      </c>
      <c r="L3601" t="s">
        <v>6145</v>
      </c>
      <c r="M3601" t="s">
        <v>23155</v>
      </c>
      <c r="N3601" t="s">
        <v>390</v>
      </c>
      <c r="O3601" t="s">
        <v>111</v>
      </c>
      <c r="P3601" t="str">
        <f>"85022-3709"</f>
        <v>85022-3709</v>
      </c>
      <c r="Q3601" t="s">
        <v>113</v>
      </c>
      <c r="R3601" t="str">
        <f>"214-42-039"</f>
        <v>214-42-039</v>
      </c>
      <c r="S3601" t="s">
        <v>23156</v>
      </c>
      <c r="T3601" t="s">
        <v>23156</v>
      </c>
      <c r="U3601">
        <v>2004</v>
      </c>
      <c r="V3601">
        <v>0</v>
      </c>
      <c r="W3601">
        <v>2</v>
      </c>
      <c r="X3601">
        <v>1977</v>
      </c>
      <c r="Z3601">
        <v>1</v>
      </c>
      <c r="AA3601" t="s">
        <v>26</v>
      </c>
      <c r="AB3601">
        <v>0</v>
      </c>
      <c r="AC3601" t="s">
        <v>115</v>
      </c>
      <c r="AD3601">
        <v>2</v>
      </c>
      <c r="AE3601" t="s">
        <v>115</v>
      </c>
      <c r="AF3601">
        <v>0</v>
      </c>
      <c r="AG3601">
        <v>0</v>
      </c>
      <c r="AH3601" t="s">
        <v>116</v>
      </c>
      <c r="AI3601" s="1">
        <v>74708</v>
      </c>
      <c r="AJ3601" s="2">
        <v>0.21</v>
      </c>
      <c r="AK3601" s="1">
        <v>361882</v>
      </c>
      <c r="AL3601" t="s">
        <v>117</v>
      </c>
      <c r="AM3601" t="s">
        <v>1302</v>
      </c>
      <c r="AN3601">
        <v>10262</v>
      </c>
      <c r="AO3601">
        <v>0.24</v>
      </c>
      <c r="AP3601">
        <v>1</v>
      </c>
      <c r="AR3601">
        <v>1</v>
      </c>
      <c r="AS3601" s="1">
        <v>24780</v>
      </c>
      <c r="AT3601" s="1">
        <v>4950</v>
      </c>
      <c r="AU3601" s="1">
        <v>19830</v>
      </c>
      <c r="AV3601">
        <v>80.02</v>
      </c>
      <c r="AX3601" s="1">
        <v>2193.06</v>
      </c>
      <c r="AY3601" t="s">
        <v>5802</v>
      </c>
      <c r="AZ3601" t="s">
        <v>5489</v>
      </c>
      <c r="BA3601" t="s">
        <v>5232</v>
      </c>
      <c r="BE3601" s="3">
        <v>42212</v>
      </c>
      <c r="BF3601" s="1">
        <v>278000</v>
      </c>
      <c r="BG3601" t="s">
        <v>23157</v>
      </c>
      <c r="BH3601" s="1">
        <v>138.72</v>
      </c>
      <c r="BI3601" s="1">
        <v>287174</v>
      </c>
      <c r="BJ3601" s="3">
        <v>42212</v>
      </c>
      <c r="BK3601" t="s">
        <v>123</v>
      </c>
      <c r="BL3601" t="str">
        <f>"2015.539549"</f>
        <v>2015.539549</v>
      </c>
      <c r="BM3601" t="s">
        <v>5867</v>
      </c>
      <c r="BO3601" t="s">
        <v>23158</v>
      </c>
      <c r="BS3601">
        <v>30</v>
      </c>
      <c r="BW3601" t="str">
        <f>""</f>
        <v/>
      </c>
      <c r="CH3601" t="str">
        <f>""</f>
        <v/>
      </c>
      <c r="CS3601" t="str">
        <f>""</f>
        <v/>
      </c>
    </row>
    <row r="3602" spans="1:97" x14ac:dyDescent="0.25">
      <c r="A3602" t="s">
        <v>23159</v>
      </c>
      <c r="B3602" t="s">
        <v>23160</v>
      </c>
      <c r="C3602" t="s">
        <v>23161</v>
      </c>
      <c r="D3602" t="s">
        <v>23160</v>
      </c>
      <c r="E3602" t="s">
        <v>23162</v>
      </c>
      <c r="F3602" t="s">
        <v>108</v>
      </c>
      <c r="H3602" t="s">
        <v>23163</v>
      </c>
      <c r="I3602" t="s">
        <v>632</v>
      </c>
      <c r="J3602" t="s">
        <v>111</v>
      </c>
      <c r="K3602" t="str">
        <f>"85388"</f>
        <v>85388</v>
      </c>
      <c r="L3602" t="s">
        <v>5165</v>
      </c>
      <c r="M3602" t="s">
        <v>23163</v>
      </c>
      <c r="N3602" t="s">
        <v>632</v>
      </c>
      <c r="O3602" t="s">
        <v>111</v>
      </c>
      <c r="P3602" t="str">
        <f>"85388-5054"</f>
        <v>85388-5054</v>
      </c>
      <c r="Q3602" t="s">
        <v>113</v>
      </c>
      <c r="R3602" t="str">
        <f>"502-05-323"</f>
        <v>502-05-323</v>
      </c>
      <c r="S3602" t="s">
        <v>5166</v>
      </c>
      <c r="T3602" t="s">
        <v>5167</v>
      </c>
      <c r="U3602">
        <v>2261</v>
      </c>
      <c r="V3602">
        <v>0</v>
      </c>
      <c r="W3602">
        <v>3</v>
      </c>
      <c r="X3602">
        <v>2007</v>
      </c>
      <c r="Z3602">
        <v>1</v>
      </c>
      <c r="AB3602">
        <v>0</v>
      </c>
      <c r="AC3602" t="s">
        <v>115</v>
      </c>
      <c r="AD3602">
        <v>2</v>
      </c>
      <c r="AE3602" t="s">
        <v>115</v>
      </c>
      <c r="AF3602">
        <v>0</v>
      </c>
      <c r="AG3602">
        <v>0</v>
      </c>
      <c r="AH3602" t="s">
        <v>116</v>
      </c>
      <c r="AI3602" s="1">
        <v>-163120</v>
      </c>
      <c r="AJ3602" s="2">
        <v>-0.56999999999999995</v>
      </c>
      <c r="AK3602" s="1">
        <v>286880</v>
      </c>
      <c r="AL3602" t="s">
        <v>117</v>
      </c>
      <c r="AM3602" t="s">
        <v>118</v>
      </c>
      <c r="AN3602">
        <v>7367</v>
      </c>
      <c r="AO3602">
        <v>0.17</v>
      </c>
      <c r="AR3602">
        <v>1</v>
      </c>
      <c r="AS3602" s="1">
        <v>20050</v>
      </c>
      <c r="AT3602" s="1">
        <v>4010</v>
      </c>
      <c r="AU3602" s="1">
        <v>16040</v>
      </c>
      <c r="AV3602">
        <v>80</v>
      </c>
      <c r="AX3602" s="1">
        <v>1636.9</v>
      </c>
      <c r="AY3602" t="s">
        <v>5168</v>
      </c>
      <c r="AZ3602" t="s">
        <v>5168</v>
      </c>
      <c r="BA3602" t="s">
        <v>5061</v>
      </c>
      <c r="BB3602" s="3">
        <v>42390</v>
      </c>
      <c r="BC3602" s="1">
        <v>225000</v>
      </c>
      <c r="BD3602" t="s">
        <v>842</v>
      </c>
      <c r="BE3602" s="3">
        <v>42381</v>
      </c>
      <c r="BF3602" s="1">
        <v>225000</v>
      </c>
      <c r="BG3602" t="s">
        <v>23164</v>
      </c>
      <c r="BH3602" s="1">
        <v>99.51</v>
      </c>
      <c r="BI3602" s="1">
        <v>225000</v>
      </c>
      <c r="BJ3602" s="3">
        <v>42381</v>
      </c>
      <c r="BK3602" t="s">
        <v>123</v>
      </c>
      <c r="BL3602" t="str">
        <f>"2016.21542"</f>
        <v>2016.21542</v>
      </c>
      <c r="BM3602" t="s">
        <v>2051</v>
      </c>
      <c r="BO3602" t="s">
        <v>23165</v>
      </c>
      <c r="BS3602">
        <v>30</v>
      </c>
      <c r="BT3602" s="1">
        <v>225000</v>
      </c>
      <c r="BU3602" s="3">
        <v>42390</v>
      </c>
      <c r="BV3602" t="s">
        <v>123</v>
      </c>
      <c r="BW3602" t="str">
        <f>"2016.40644"</f>
        <v>2016.40644</v>
      </c>
      <c r="BX3602" t="s">
        <v>2051</v>
      </c>
      <c r="BZ3602" t="s">
        <v>23166</v>
      </c>
      <c r="CD3602">
        <v>30</v>
      </c>
      <c r="CH3602" t="str">
        <f>""</f>
        <v/>
      </c>
      <c r="CS3602" t="str">
        <f>""</f>
        <v/>
      </c>
    </row>
    <row r="3603" spans="1:97" x14ac:dyDescent="0.25">
      <c r="A3603" t="s">
        <v>16922</v>
      </c>
      <c r="B3603" t="s">
        <v>23167</v>
      </c>
      <c r="C3603" t="s">
        <v>4588</v>
      </c>
      <c r="D3603" t="s">
        <v>23167</v>
      </c>
      <c r="E3603" t="s">
        <v>23168</v>
      </c>
      <c r="F3603" t="s">
        <v>108</v>
      </c>
      <c r="H3603" t="s">
        <v>23169</v>
      </c>
      <c r="I3603" t="s">
        <v>390</v>
      </c>
      <c r="J3603" t="s">
        <v>111</v>
      </c>
      <c r="K3603" t="str">
        <f>"85085"</f>
        <v>85085</v>
      </c>
      <c r="L3603" t="s">
        <v>3318</v>
      </c>
      <c r="M3603" t="s">
        <v>23169</v>
      </c>
      <c r="N3603" t="s">
        <v>390</v>
      </c>
      <c r="O3603" t="s">
        <v>111</v>
      </c>
      <c r="P3603" t="str">
        <f>"85085-5726"</f>
        <v>85085-5726</v>
      </c>
      <c r="Q3603" t="s">
        <v>113</v>
      </c>
      <c r="R3603" t="str">
        <f>"204-24-128"</f>
        <v>204-24-128</v>
      </c>
      <c r="S3603" t="s">
        <v>23170</v>
      </c>
      <c r="U3603">
        <v>2134</v>
      </c>
      <c r="V3603">
        <v>0</v>
      </c>
      <c r="W3603">
        <v>3</v>
      </c>
      <c r="X3603">
        <v>2004</v>
      </c>
      <c r="Z3603">
        <v>1</v>
      </c>
      <c r="AA3603" t="s">
        <v>26</v>
      </c>
      <c r="AB3603">
        <v>0</v>
      </c>
      <c r="AC3603" t="s">
        <v>115</v>
      </c>
      <c r="AD3603">
        <v>2</v>
      </c>
      <c r="AE3603" t="s">
        <v>115</v>
      </c>
      <c r="AF3603">
        <v>0</v>
      </c>
      <c r="AG3603">
        <v>0</v>
      </c>
      <c r="AH3603" t="s">
        <v>116</v>
      </c>
      <c r="AI3603" s="1">
        <v>56692</v>
      </c>
      <c r="AJ3603" s="2">
        <v>0.16</v>
      </c>
      <c r="AK3603" s="1">
        <v>361692</v>
      </c>
      <c r="AL3603" t="s">
        <v>117</v>
      </c>
      <c r="AM3603" t="s">
        <v>191</v>
      </c>
      <c r="AN3603">
        <v>6905</v>
      </c>
      <c r="AO3603">
        <v>0.16</v>
      </c>
      <c r="AR3603">
        <v>1</v>
      </c>
      <c r="AS3603" s="1">
        <v>26930</v>
      </c>
      <c r="AT3603" s="1">
        <v>5380</v>
      </c>
      <c r="AU3603" s="1">
        <v>21550</v>
      </c>
      <c r="AV3603">
        <v>80.02</v>
      </c>
      <c r="AX3603" s="1">
        <v>2349.08</v>
      </c>
      <c r="AY3603" t="s">
        <v>2651</v>
      </c>
      <c r="AZ3603" t="s">
        <v>2651</v>
      </c>
      <c r="BA3603" t="s">
        <v>1462</v>
      </c>
      <c r="BE3603" s="3">
        <v>42438</v>
      </c>
      <c r="BF3603" s="1">
        <v>305000</v>
      </c>
      <c r="BG3603" t="s">
        <v>23171</v>
      </c>
      <c r="BH3603" s="1">
        <v>142.91999999999999</v>
      </c>
      <c r="BI3603" s="1">
        <v>305000</v>
      </c>
      <c r="BJ3603" s="3">
        <v>42438</v>
      </c>
      <c r="BK3603" t="s">
        <v>123</v>
      </c>
      <c r="BL3603" t="str">
        <f>"2016.152831"</f>
        <v>2016.152831</v>
      </c>
      <c r="BM3603" t="s">
        <v>724</v>
      </c>
      <c r="BO3603" t="s">
        <v>23172</v>
      </c>
      <c r="BS3603">
        <v>30</v>
      </c>
      <c r="BW3603" t="str">
        <f>""</f>
        <v/>
      </c>
      <c r="CH3603" t="str">
        <f>""</f>
        <v/>
      </c>
      <c r="CS3603" t="str">
        <f>""</f>
        <v/>
      </c>
    </row>
    <row r="3604" spans="1:97" x14ac:dyDescent="0.25">
      <c r="A3604" t="s">
        <v>801</v>
      </c>
      <c r="B3604" t="s">
        <v>23173</v>
      </c>
      <c r="C3604" t="s">
        <v>15679</v>
      </c>
      <c r="D3604" t="s">
        <v>23173</v>
      </c>
      <c r="E3604" t="s">
        <v>23174</v>
      </c>
      <c r="F3604" t="s">
        <v>108</v>
      </c>
      <c r="H3604" t="s">
        <v>23175</v>
      </c>
      <c r="I3604" t="s">
        <v>2874</v>
      </c>
      <c r="J3604" t="s">
        <v>111</v>
      </c>
      <c r="K3604" t="str">
        <f>"85305"</f>
        <v>85305</v>
      </c>
      <c r="L3604" t="s">
        <v>10238</v>
      </c>
      <c r="M3604" t="s">
        <v>23175</v>
      </c>
      <c r="N3604" t="s">
        <v>2874</v>
      </c>
      <c r="O3604" t="s">
        <v>111</v>
      </c>
      <c r="P3604" t="str">
        <f>"85305-1608"</f>
        <v>85305-1608</v>
      </c>
      <c r="Q3604" t="s">
        <v>113</v>
      </c>
      <c r="R3604" t="str">
        <f>"142-29-050"</f>
        <v>142-29-050</v>
      </c>
      <c r="S3604" t="s">
        <v>23176</v>
      </c>
      <c r="T3604" t="s">
        <v>23176</v>
      </c>
      <c r="U3604">
        <v>2260</v>
      </c>
      <c r="V3604">
        <v>0</v>
      </c>
      <c r="W3604">
        <v>4</v>
      </c>
      <c r="X3604">
        <v>2012</v>
      </c>
      <c r="Z3604">
        <v>2</v>
      </c>
      <c r="AB3604">
        <v>0</v>
      </c>
      <c r="AC3604" t="s">
        <v>115</v>
      </c>
      <c r="AD3604">
        <v>2</v>
      </c>
      <c r="AE3604" t="s">
        <v>115</v>
      </c>
      <c r="AF3604">
        <v>0</v>
      </c>
      <c r="AG3604">
        <v>0</v>
      </c>
      <c r="AH3604" t="s">
        <v>116</v>
      </c>
      <c r="AI3604" s="1">
        <v>55823</v>
      </c>
      <c r="AJ3604" s="2">
        <v>0.19</v>
      </c>
      <c r="AK3604" s="1">
        <v>299961</v>
      </c>
      <c r="AL3604" t="s">
        <v>117</v>
      </c>
      <c r="AM3604" t="s">
        <v>288</v>
      </c>
      <c r="AN3604">
        <v>4092</v>
      </c>
      <c r="AO3604">
        <v>0.94</v>
      </c>
      <c r="AR3604">
        <v>1</v>
      </c>
      <c r="AS3604" s="1">
        <v>20970</v>
      </c>
      <c r="AT3604" s="1">
        <v>4190</v>
      </c>
      <c r="AU3604" s="1">
        <v>16780</v>
      </c>
      <c r="AV3604">
        <v>80.02</v>
      </c>
      <c r="AX3604" s="1">
        <v>2293.6999999999998</v>
      </c>
      <c r="AY3604" t="s">
        <v>6944</v>
      </c>
      <c r="AZ3604" t="s">
        <v>6944</v>
      </c>
      <c r="BA3604" t="s">
        <v>6945</v>
      </c>
      <c r="BE3604" s="3">
        <v>42405</v>
      </c>
      <c r="BF3604" s="1">
        <v>244000</v>
      </c>
      <c r="BG3604" t="s">
        <v>5034</v>
      </c>
      <c r="BH3604" s="1">
        <v>107.96</v>
      </c>
      <c r="BI3604" s="1">
        <v>244138</v>
      </c>
      <c r="BJ3604" s="3">
        <v>42405</v>
      </c>
      <c r="BK3604" t="s">
        <v>123</v>
      </c>
      <c r="BL3604" t="str">
        <f>"2016.78611"</f>
        <v>2016.78611</v>
      </c>
      <c r="BM3604" t="s">
        <v>724</v>
      </c>
      <c r="BO3604" t="s">
        <v>23177</v>
      </c>
      <c r="BS3604">
        <v>30</v>
      </c>
      <c r="BW3604" t="str">
        <f>""</f>
        <v/>
      </c>
      <c r="CH3604" t="str">
        <f>""</f>
        <v/>
      </c>
      <c r="CS3604" t="str">
        <f>""</f>
        <v/>
      </c>
    </row>
    <row r="3605" spans="1:97" x14ac:dyDescent="0.25">
      <c r="A3605" t="s">
        <v>1465</v>
      </c>
      <c r="B3605" t="s">
        <v>23178</v>
      </c>
      <c r="E3605" t="s">
        <v>23179</v>
      </c>
      <c r="F3605" t="s">
        <v>108</v>
      </c>
      <c r="H3605" t="s">
        <v>23180</v>
      </c>
      <c r="I3605" t="s">
        <v>225</v>
      </c>
      <c r="J3605" t="s">
        <v>111</v>
      </c>
      <c r="K3605" t="str">
        <f>"85212"</f>
        <v>85212</v>
      </c>
      <c r="L3605" t="s">
        <v>681</v>
      </c>
      <c r="M3605" t="s">
        <v>23180</v>
      </c>
      <c r="N3605" t="s">
        <v>225</v>
      </c>
      <c r="O3605" t="s">
        <v>111</v>
      </c>
      <c r="P3605" t="str">
        <f>"85212-1836"</f>
        <v>85212-1836</v>
      </c>
      <c r="Q3605" t="s">
        <v>113</v>
      </c>
      <c r="R3605" t="str">
        <f>"309-19-739"</f>
        <v>309-19-739</v>
      </c>
      <c r="S3605" t="s">
        <v>23181</v>
      </c>
      <c r="U3605">
        <v>1880</v>
      </c>
      <c r="V3605">
        <v>0</v>
      </c>
      <c r="W3605">
        <v>2</v>
      </c>
      <c r="X3605">
        <v>2000</v>
      </c>
      <c r="Z3605">
        <v>2</v>
      </c>
      <c r="AB3605">
        <v>0</v>
      </c>
      <c r="AC3605" t="s">
        <v>115</v>
      </c>
      <c r="AD3605">
        <v>2</v>
      </c>
      <c r="AE3605" t="s">
        <v>115</v>
      </c>
      <c r="AF3605">
        <v>0</v>
      </c>
      <c r="AG3605">
        <v>0</v>
      </c>
      <c r="AH3605" t="s">
        <v>116</v>
      </c>
      <c r="AI3605" s="1">
        <v>68883</v>
      </c>
      <c r="AJ3605" s="2">
        <v>0.25</v>
      </c>
      <c r="AK3605" s="1">
        <v>275883</v>
      </c>
      <c r="AL3605" t="s">
        <v>117</v>
      </c>
      <c r="AM3605" t="s">
        <v>191</v>
      </c>
      <c r="AN3605">
        <v>5500</v>
      </c>
      <c r="AO3605">
        <v>0.13</v>
      </c>
      <c r="AP3605">
        <v>1</v>
      </c>
      <c r="AR3605">
        <v>1</v>
      </c>
      <c r="AS3605" s="1">
        <v>18450</v>
      </c>
      <c r="AT3605" s="1">
        <v>3690</v>
      </c>
      <c r="AU3605" s="1">
        <v>14760</v>
      </c>
      <c r="AV3605">
        <v>80</v>
      </c>
      <c r="AX3605" s="1">
        <v>1266</v>
      </c>
      <c r="AY3605" t="s">
        <v>7302</v>
      </c>
      <c r="AZ3605" t="s">
        <v>777</v>
      </c>
      <c r="BA3605" t="s">
        <v>572</v>
      </c>
      <c r="BE3605" s="3">
        <v>42207</v>
      </c>
      <c r="BF3605" s="1">
        <v>207000</v>
      </c>
      <c r="BG3605" t="s">
        <v>23182</v>
      </c>
      <c r="BH3605" s="1">
        <v>110.11</v>
      </c>
      <c r="BI3605" s="1">
        <v>207000</v>
      </c>
      <c r="BJ3605" s="3">
        <v>42207</v>
      </c>
      <c r="BK3605" t="s">
        <v>123</v>
      </c>
      <c r="BL3605" t="str">
        <f>"2015.527117"</f>
        <v>2015.527117</v>
      </c>
      <c r="BM3605" t="s">
        <v>544</v>
      </c>
      <c r="BO3605" t="s">
        <v>23183</v>
      </c>
      <c r="BS3605">
        <v>30</v>
      </c>
      <c r="BW3605" t="str">
        <f>""</f>
        <v/>
      </c>
      <c r="CH3605" t="str">
        <f>""</f>
        <v/>
      </c>
      <c r="CS3605" t="str">
        <f>""</f>
        <v/>
      </c>
    </row>
    <row r="3606" spans="1:97" x14ac:dyDescent="0.25">
      <c r="A3606" t="s">
        <v>23184</v>
      </c>
      <c r="B3606" t="s">
        <v>3248</v>
      </c>
      <c r="E3606" t="s">
        <v>23185</v>
      </c>
      <c r="F3606" t="s">
        <v>282</v>
      </c>
      <c r="H3606" t="s">
        <v>23186</v>
      </c>
      <c r="I3606" t="s">
        <v>144</v>
      </c>
      <c r="J3606" t="s">
        <v>111</v>
      </c>
      <c r="K3606" t="str">
        <f>"85326"</f>
        <v>85326</v>
      </c>
      <c r="L3606" t="s">
        <v>8146</v>
      </c>
      <c r="M3606" t="s">
        <v>23187</v>
      </c>
      <c r="N3606" t="s">
        <v>144</v>
      </c>
      <c r="O3606" t="s">
        <v>111</v>
      </c>
      <c r="P3606" t="str">
        <f>"85326-8188"</f>
        <v>85326-8188</v>
      </c>
      <c r="Q3606" t="s">
        <v>113</v>
      </c>
      <c r="R3606" t="str">
        <f>"502-35-306"</f>
        <v>502-35-306</v>
      </c>
      <c r="S3606" t="s">
        <v>23188</v>
      </c>
      <c r="U3606">
        <v>2361</v>
      </c>
      <c r="V3606">
        <v>0</v>
      </c>
      <c r="W3606">
        <v>3</v>
      </c>
      <c r="X3606">
        <v>2015</v>
      </c>
      <c r="Z3606">
        <v>2</v>
      </c>
      <c r="AB3606">
        <v>0</v>
      </c>
      <c r="AC3606" t="s">
        <v>115</v>
      </c>
      <c r="AD3606">
        <v>2</v>
      </c>
      <c r="AE3606" t="s">
        <v>115</v>
      </c>
      <c r="AF3606">
        <v>0</v>
      </c>
      <c r="AG3606">
        <v>0</v>
      </c>
      <c r="AH3606" t="s">
        <v>116</v>
      </c>
      <c r="AI3606" s="1">
        <v>19677</v>
      </c>
      <c r="AJ3606" s="2">
        <v>0.08</v>
      </c>
      <c r="AK3606" s="1">
        <v>259849</v>
      </c>
      <c r="AL3606" t="s">
        <v>117</v>
      </c>
      <c r="AM3606" t="s">
        <v>118</v>
      </c>
      <c r="AN3606">
        <v>4400</v>
      </c>
      <c r="AO3606">
        <v>0.1</v>
      </c>
      <c r="AR3606">
        <v>1</v>
      </c>
      <c r="AS3606" s="1">
        <v>18020</v>
      </c>
      <c r="AT3606" s="1">
        <v>3600</v>
      </c>
      <c r="AU3606" s="1">
        <v>14420</v>
      </c>
      <c r="AV3606">
        <v>80.02</v>
      </c>
      <c r="AX3606" s="1">
        <v>1502.52</v>
      </c>
      <c r="AY3606" t="s">
        <v>2767</v>
      </c>
      <c r="AZ3606" t="s">
        <v>2767</v>
      </c>
      <c r="BA3606" t="s">
        <v>5025</v>
      </c>
      <c r="BE3606" s="3">
        <v>42247</v>
      </c>
      <c r="BF3606" s="1">
        <v>193000</v>
      </c>
      <c r="BG3606" t="s">
        <v>195</v>
      </c>
      <c r="BH3606" s="1">
        <v>81.75</v>
      </c>
      <c r="BI3606" s="1">
        <v>240172</v>
      </c>
      <c r="BJ3606" s="3">
        <v>43572</v>
      </c>
      <c r="BK3606" t="s">
        <v>123</v>
      </c>
      <c r="BL3606" t="str">
        <f>"2019.270196"</f>
        <v>2019.270196</v>
      </c>
      <c r="BM3606" t="s">
        <v>13866</v>
      </c>
      <c r="BN3606" t="s">
        <v>13867</v>
      </c>
      <c r="BO3606" t="s">
        <v>23185</v>
      </c>
      <c r="BR3606" t="s">
        <v>139</v>
      </c>
      <c r="BW3606" t="str">
        <f>""</f>
        <v/>
      </c>
      <c r="CH3606" t="str">
        <f>""</f>
        <v/>
      </c>
      <c r="CS3606" t="str">
        <f>""</f>
        <v/>
      </c>
    </row>
    <row r="3607" spans="1:97" x14ac:dyDescent="0.25">
      <c r="A3607" t="s">
        <v>1444</v>
      </c>
      <c r="B3607" t="s">
        <v>23189</v>
      </c>
      <c r="C3607" t="s">
        <v>23190</v>
      </c>
      <c r="D3607" t="s">
        <v>23189</v>
      </c>
      <c r="E3607" t="s">
        <v>23191</v>
      </c>
      <c r="F3607" t="s">
        <v>108</v>
      </c>
      <c r="H3607" t="s">
        <v>23192</v>
      </c>
      <c r="I3607" t="s">
        <v>390</v>
      </c>
      <c r="J3607" t="s">
        <v>111</v>
      </c>
      <c r="K3607" t="str">
        <f>"85027"</f>
        <v>85027</v>
      </c>
      <c r="L3607" t="s">
        <v>6923</v>
      </c>
      <c r="M3607" t="s">
        <v>23192</v>
      </c>
      <c r="N3607" t="s">
        <v>390</v>
      </c>
      <c r="O3607" t="s">
        <v>111</v>
      </c>
      <c r="P3607" t="str">
        <f>"85027-2251"</f>
        <v>85027-2251</v>
      </c>
      <c r="Q3607" t="s">
        <v>113</v>
      </c>
      <c r="R3607" t="str">
        <f>"206-06-652"</f>
        <v>206-06-652</v>
      </c>
      <c r="S3607" t="s">
        <v>23193</v>
      </c>
      <c r="T3607" t="s">
        <v>6925</v>
      </c>
      <c r="U3607">
        <v>1443</v>
      </c>
      <c r="V3607">
        <v>0</v>
      </c>
      <c r="W3607">
        <v>2</v>
      </c>
      <c r="X3607">
        <v>1996</v>
      </c>
      <c r="Z3607">
        <v>1</v>
      </c>
      <c r="AA3607" t="s">
        <v>26</v>
      </c>
      <c r="AB3607">
        <v>0</v>
      </c>
      <c r="AC3607" t="s">
        <v>115</v>
      </c>
      <c r="AD3607">
        <v>2</v>
      </c>
      <c r="AE3607" t="s">
        <v>115</v>
      </c>
      <c r="AF3607">
        <v>0</v>
      </c>
      <c r="AG3607">
        <v>0</v>
      </c>
      <c r="AH3607" t="s">
        <v>116</v>
      </c>
      <c r="AI3607" s="1">
        <v>64568</v>
      </c>
      <c r="AJ3607" s="2">
        <v>0.23</v>
      </c>
      <c r="AK3607" s="1">
        <v>281067</v>
      </c>
      <c r="AL3607" t="s">
        <v>117</v>
      </c>
      <c r="AM3607" t="s">
        <v>171</v>
      </c>
      <c r="AN3607">
        <v>7934</v>
      </c>
      <c r="AO3607">
        <v>0.18</v>
      </c>
      <c r="AP3607">
        <v>1</v>
      </c>
      <c r="AR3607">
        <v>1</v>
      </c>
      <c r="AS3607" s="1">
        <v>19310</v>
      </c>
      <c r="AT3607" s="1">
        <v>3860</v>
      </c>
      <c r="AU3607" s="1">
        <v>15450</v>
      </c>
      <c r="AV3607">
        <v>80.010000000000005</v>
      </c>
      <c r="AX3607" s="1">
        <v>1378.64</v>
      </c>
      <c r="AY3607" t="s">
        <v>6926</v>
      </c>
      <c r="AZ3607" t="s">
        <v>2357</v>
      </c>
      <c r="BA3607" t="s">
        <v>1462</v>
      </c>
      <c r="BE3607" s="3">
        <v>42307</v>
      </c>
      <c r="BF3607" s="1">
        <v>216499</v>
      </c>
      <c r="BG3607" t="s">
        <v>23194</v>
      </c>
      <c r="BH3607" s="1">
        <v>150.03</v>
      </c>
      <c r="BI3607" s="1">
        <v>216499</v>
      </c>
      <c r="BJ3607" s="3">
        <v>42307</v>
      </c>
      <c r="BK3607" t="s">
        <v>123</v>
      </c>
      <c r="BL3607" t="str">
        <f>"2015.781791"</f>
        <v>2015.781791</v>
      </c>
      <c r="BM3607" t="s">
        <v>135</v>
      </c>
      <c r="BO3607" t="s">
        <v>23195</v>
      </c>
      <c r="BS3607">
        <v>30</v>
      </c>
      <c r="BW3607" t="str">
        <f>""</f>
        <v/>
      </c>
      <c r="CH3607" t="str">
        <f>""</f>
        <v/>
      </c>
      <c r="CS3607" t="str">
        <f>""</f>
        <v/>
      </c>
    </row>
    <row r="3608" spans="1:97" x14ac:dyDescent="0.25">
      <c r="A3608" t="s">
        <v>3377</v>
      </c>
      <c r="B3608" t="s">
        <v>23196</v>
      </c>
      <c r="C3608" t="s">
        <v>2509</v>
      </c>
      <c r="D3608" t="s">
        <v>23196</v>
      </c>
      <c r="E3608" t="s">
        <v>23197</v>
      </c>
      <c r="F3608" t="s">
        <v>108</v>
      </c>
      <c r="H3608" t="s">
        <v>23198</v>
      </c>
      <c r="I3608" t="s">
        <v>1788</v>
      </c>
      <c r="J3608" t="s">
        <v>111</v>
      </c>
      <c r="K3608" t="str">
        <f>"85355"</f>
        <v>85355</v>
      </c>
      <c r="L3608" t="s">
        <v>2197</v>
      </c>
      <c r="M3608" t="s">
        <v>23198</v>
      </c>
      <c r="N3608" t="s">
        <v>1788</v>
      </c>
      <c r="O3608" t="s">
        <v>111</v>
      </c>
      <c r="P3608" t="str">
        <f>"85355-9381"</f>
        <v>85355-9381</v>
      </c>
      <c r="Q3608" t="s">
        <v>113</v>
      </c>
      <c r="R3608" t="str">
        <f>"502-14-058"</f>
        <v>502-14-058</v>
      </c>
      <c r="S3608" t="s">
        <v>16593</v>
      </c>
      <c r="U3608">
        <v>1772</v>
      </c>
      <c r="V3608">
        <v>0</v>
      </c>
      <c r="W3608">
        <v>3</v>
      </c>
      <c r="X3608">
        <v>1988</v>
      </c>
      <c r="Z3608">
        <v>1</v>
      </c>
      <c r="AA3608" t="s">
        <v>26</v>
      </c>
      <c r="AB3608">
        <v>0</v>
      </c>
      <c r="AC3608" t="s">
        <v>115</v>
      </c>
      <c r="AD3608">
        <v>4</v>
      </c>
      <c r="AE3608" t="s">
        <v>115</v>
      </c>
      <c r="AF3608">
        <v>0</v>
      </c>
      <c r="AG3608">
        <v>0</v>
      </c>
      <c r="AH3608" t="s">
        <v>116</v>
      </c>
      <c r="AI3608" s="1">
        <v>33031</v>
      </c>
      <c r="AJ3608" s="2">
        <v>7.0000000000000007E-2</v>
      </c>
      <c r="AK3608" s="1">
        <v>463031</v>
      </c>
      <c r="AL3608" t="s">
        <v>117</v>
      </c>
      <c r="AM3608" t="s">
        <v>376</v>
      </c>
      <c r="AN3608">
        <v>87120</v>
      </c>
      <c r="AO3608">
        <v>2</v>
      </c>
      <c r="AP3608">
        <v>1</v>
      </c>
      <c r="AR3608">
        <v>1</v>
      </c>
      <c r="AS3608" s="1">
        <v>31560</v>
      </c>
      <c r="AT3608" s="1">
        <v>6310</v>
      </c>
      <c r="AU3608" s="1">
        <v>25250</v>
      </c>
      <c r="AV3608">
        <v>80.010000000000005</v>
      </c>
      <c r="AX3608" s="1">
        <v>2239.64</v>
      </c>
      <c r="AY3608" t="s">
        <v>503</v>
      </c>
      <c r="AZ3608" t="s">
        <v>504</v>
      </c>
      <c r="BA3608" t="s">
        <v>218</v>
      </c>
      <c r="BE3608" s="3">
        <v>41985</v>
      </c>
      <c r="BF3608" s="1">
        <v>383000</v>
      </c>
      <c r="BG3608" t="s">
        <v>23199</v>
      </c>
      <c r="BH3608" s="1">
        <v>216.14</v>
      </c>
      <c r="BI3608" s="1">
        <v>430000</v>
      </c>
      <c r="BJ3608" s="3">
        <v>42832</v>
      </c>
      <c r="BK3608" t="s">
        <v>123</v>
      </c>
      <c r="BL3608" t="str">
        <f>"2017.246644"</f>
        <v>2017.246644</v>
      </c>
      <c r="BM3608" t="s">
        <v>544</v>
      </c>
      <c r="BN3608" t="s">
        <v>545</v>
      </c>
      <c r="BO3608" t="s">
        <v>23200</v>
      </c>
      <c r="BS3608">
        <v>30</v>
      </c>
      <c r="BW3608" t="str">
        <f>""</f>
        <v/>
      </c>
      <c r="CH3608" t="str">
        <f>""</f>
        <v/>
      </c>
      <c r="CS3608" t="str">
        <f>""</f>
        <v/>
      </c>
    </row>
    <row r="3609" spans="1:97" x14ac:dyDescent="0.25">
      <c r="A3609" t="s">
        <v>1009</v>
      </c>
      <c r="B3609" t="s">
        <v>19673</v>
      </c>
      <c r="C3609" t="s">
        <v>1692</v>
      </c>
      <c r="D3609" t="s">
        <v>19673</v>
      </c>
      <c r="E3609" t="s">
        <v>23201</v>
      </c>
      <c r="F3609" t="s">
        <v>108</v>
      </c>
      <c r="H3609" t="s">
        <v>23202</v>
      </c>
      <c r="I3609" t="s">
        <v>203</v>
      </c>
      <c r="J3609" t="s">
        <v>111</v>
      </c>
      <c r="K3609" t="str">
        <f>"85296"</f>
        <v>85296</v>
      </c>
      <c r="L3609" t="s">
        <v>625</v>
      </c>
      <c r="M3609" t="s">
        <v>23202</v>
      </c>
      <c r="N3609" t="s">
        <v>203</v>
      </c>
      <c r="O3609" t="s">
        <v>111</v>
      </c>
      <c r="P3609" t="str">
        <f>"85296-3527"</f>
        <v>85296-3527</v>
      </c>
      <c r="Q3609" t="s">
        <v>113</v>
      </c>
      <c r="R3609" t="str">
        <f>"309-14-444"</f>
        <v>309-14-444</v>
      </c>
      <c r="S3609" t="s">
        <v>23203</v>
      </c>
      <c r="T3609" t="s">
        <v>8533</v>
      </c>
      <c r="U3609">
        <v>1680</v>
      </c>
      <c r="V3609">
        <v>0</v>
      </c>
      <c r="W3609">
        <v>3</v>
      </c>
      <c r="X3609">
        <v>1998</v>
      </c>
      <c r="Z3609">
        <v>1</v>
      </c>
      <c r="AB3609">
        <v>0</v>
      </c>
      <c r="AC3609" t="s">
        <v>115</v>
      </c>
      <c r="AD3609">
        <v>2</v>
      </c>
      <c r="AE3609" t="s">
        <v>115</v>
      </c>
      <c r="AF3609">
        <v>0</v>
      </c>
      <c r="AG3609">
        <v>0</v>
      </c>
      <c r="AH3609" t="s">
        <v>116</v>
      </c>
      <c r="AI3609" s="1">
        <v>50498</v>
      </c>
      <c r="AJ3609" s="2">
        <v>0.16</v>
      </c>
      <c r="AK3609" s="1">
        <v>311197</v>
      </c>
      <c r="AL3609" t="s">
        <v>117</v>
      </c>
      <c r="AM3609" t="s">
        <v>191</v>
      </c>
      <c r="AN3609">
        <v>5336</v>
      </c>
      <c r="AO3609">
        <v>0.12</v>
      </c>
      <c r="AP3609">
        <v>1</v>
      </c>
      <c r="AR3609">
        <v>1</v>
      </c>
      <c r="AS3609" s="1">
        <v>19860</v>
      </c>
      <c r="AT3609" s="1">
        <v>3970</v>
      </c>
      <c r="AU3609" s="1">
        <v>15890</v>
      </c>
      <c r="AV3609">
        <v>80.010000000000005</v>
      </c>
      <c r="AX3609" s="1">
        <v>1299.58</v>
      </c>
      <c r="AY3609" t="s">
        <v>7046</v>
      </c>
      <c r="AZ3609" t="s">
        <v>207</v>
      </c>
      <c r="BA3609" t="s">
        <v>208</v>
      </c>
      <c r="BE3609" s="3">
        <v>42202</v>
      </c>
      <c r="BF3609" s="1">
        <v>254900</v>
      </c>
      <c r="BG3609" t="s">
        <v>23204</v>
      </c>
      <c r="BH3609" s="1">
        <v>151.72999999999999</v>
      </c>
      <c r="BI3609" s="1">
        <v>260699</v>
      </c>
      <c r="BJ3609" s="3">
        <v>42447</v>
      </c>
      <c r="BK3609" t="s">
        <v>123</v>
      </c>
      <c r="BL3609" t="str">
        <f>"2016.177499"</f>
        <v>2016.177499</v>
      </c>
      <c r="BM3609" t="s">
        <v>402</v>
      </c>
      <c r="BO3609" t="s">
        <v>23205</v>
      </c>
      <c r="BS3609">
        <v>30</v>
      </c>
      <c r="BW3609" t="str">
        <f>""</f>
        <v/>
      </c>
      <c r="CH3609" t="str">
        <f>""</f>
        <v/>
      </c>
      <c r="CS3609" t="str">
        <f>""</f>
        <v/>
      </c>
    </row>
    <row r="3610" spans="1:97" x14ac:dyDescent="0.25">
      <c r="A3610" t="s">
        <v>464</v>
      </c>
      <c r="B3610" t="s">
        <v>23206</v>
      </c>
      <c r="E3610" t="s">
        <v>23207</v>
      </c>
      <c r="F3610" t="s">
        <v>108</v>
      </c>
      <c r="H3610" t="s">
        <v>23208</v>
      </c>
      <c r="I3610" t="s">
        <v>225</v>
      </c>
      <c r="J3610" t="s">
        <v>111</v>
      </c>
      <c r="K3610" t="str">
        <f>"85210"</f>
        <v>85210</v>
      </c>
      <c r="L3610" t="s">
        <v>10238</v>
      </c>
      <c r="M3610" t="s">
        <v>23208</v>
      </c>
      <c r="N3610" t="s">
        <v>225</v>
      </c>
      <c r="O3610" t="s">
        <v>111</v>
      </c>
      <c r="P3610" t="str">
        <f>"85210-8249"</f>
        <v>85210-8249</v>
      </c>
      <c r="Q3610" t="s">
        <v>113</v>
      </c>
      <c r="R3610" t="str">
        <f>"302-77-115"</f>
        <v>302-77-115</v>
      </c>
      <c r="S3610" t="s">
        <v>23209</v>
      </c>
      <c r="U3610">
        <v>1649</v>
      </c>
      <c r="V3610">
        <v>0</v>
      </c>
      <c r="W3610">
        <v>3</v>
      </c>
      <c r="X3610">
        <v>1979</v>
      </c>
      <c r="Z3610">
        <v>1</v>
      </c>
      <c r="AA3610" t="s">
        <v>26</v>
      </c>
      <c r="AB3610">
        <v>0</v>
      </c>
      <c r="AC3610" t="s">
        <v>115</v>
      </c>
      <c r="AD3610">
        <v>2</v>
      </c>
      <c r="AE3610" t="s">
        <v>115</v>
      </c>
      <c r="AF3610">
        <v>0</v>
      </c>
      <c r="AG3610">
        <v>0</v>
      </c>
      <c r="AH3610" t="s">
        <v>116</v>
      </c>
      <c r="AI3610" s="1">
        <v>50063</v>
      </c>
      <c r="AJ3610" s="2">
        <v>0.17</v>
      </c>
      <c r="AK3610" s="1">
        <v>297613</v>
      </c>
      <c r="AL3610" t="s">
        <v>117</v>
      </c>
      <c r="AM3610" t="s">
        <v>191</v>
      </c>
      <c r="AN3610">
        <v>7357</v>
      </c>
      <c r="AO3610">
        <v>0.17</v>
      </c>
      <c r="AP3610">
        <v>1</v>
      </c>
      <c r="AR3610">
        <v>1</v>
      </c>
      <c r="AS3610" s="1">
        <v>20280</v>
      </c>
      <c r="AT3610" s="1">
        <v>4050</v>
      </c>
      <c r="AU3610" s="1">
        <v>16230</v>
      </c>
      <c r="AV3610">
        <v>80.03</v>
      </c>
      <c r="AX3610" s="1">
        <v>1479.72</v>
      </c>
      <c r="AY3610" t="s">
        <v>8619</v>
      </c>
      <c r="AZ3610" t="s">
        <v>7295</v>
      </c>
      <c r="BA3610" t="s">
        <v>5311</v>
      </c>
      <c r="BE3610" s="3">
        <v>42152</v>
      </c>
      <c r="BF3610" s="1">
        <v>211000</v>
      </c>
      <c r="BG3610" t="s">
        <v>23210</v>
      </c>
      <c r="BH3610" s="1">
        <v>127.96</v>
      </c>
      <c r="BI3610" s="1">
        <v>247550</v>
      </c>
      <c r="BJ3610" s="3">
        <v>43587</v>
      </c>
      <c r="BK3610" t="s">
        <v>123</v>
      </c>
      <c r="BL3610" t="str">
        <f>"2019.319220"</f>
        <v>2019.319220</v>
      </c>
      <c r="BM3610" t="s">
        <v>460</v>
      </c>
      <c r="BN3610" t="s">
        <v>461</v>
      </c>
      <c r="BO3610" t="s">
        <v>23207</v>
      </c>
      <c r="BR3610" t="s">
        <v>139</v>
      </c>
      <c r="BW3610" t="str">
        <f>""</f>
        <v/>
      </c>
      <c r="CH3610" t="str">
        <f>""</f>
        <v/>
      </c>
      <c r="CS3610" t="str">
        <f>""</f>
        <v/>
      </c>
    </row>
    <row r="3611" spans="1:97" x14ac:dyDescent="0.25">
      <c r="A3611" t="s">
        <v>13366</v>
      </c>
      <c r="B3611" t="s">
        <v>8415</v>
      </c>
      <c r="E3611" t="s">
        <v>23211</v>
      </c>
      <c r="F3611" t="s">
        <v>108</v>
      </c>
      <c r="H3611" t="s">
        <v>23212</v>
      </c>
      <c r="I3611" t="s">
        <v>2874</v>
      </c>
      <c r="J3611" t="s">
        <v>111</v>
      </c>
      <c r="K3611" t="str">
        <f>"85308"</f>
        <v>85308</v>
      </c>
      <c r="L3611" t="s">
        <v>3151</v>
      </c>
      <c r="M3611" t="s">
        <v>23212</v>
      </c>
      <c r="N3611" t="s">
        <v>2874</v>
      </c>
      <c r="O3611" t="s">
        <v>111</v>
      </c>
      <c r="P3611" t="str">
        <f>"85308-7413"</f>
        <v>85308-7413</v>
      </c>
      <c r="Q3611" t="s">
        <v>113</v>
      </c>
      <c r="R3611" t="str">
        <f>"206-15-107"</f>
        <v>206-15-107</v>
      </c>
      <c r="S3611" t="s">
        <v>9829</v>
      </c>
      <c r="T3611" t="s">
        <v>9830</v>
      </c>
      <c r="U3611">
        <v>1999</v>
      </c>
      <c r="V3611">
        <v>0</v>
      </c>
      <c r="W3611">
        <v>3</v>
      </c>
      <c r="X3611">
        <v>1999</v>
      </c>
      <c r="Z3611">
        <v>1</v>
      </c>
      <c r="AA3611" t="s">
        <v>26</v>
      </c>
      <c r="AB3611">
        <v>0</v>
      </c>
      <c r="AC3611" t="s">
        <v>115</v>
      </c>
      <c r="AD3611">
        <v>3</v>
      </c>
      <c r="AE3611" t="s">
        <v>115</v>
      </c>
      <c r="AF3611">
        <v>0</v>
      </c>
      <c r="AG3611">
        <v>0</v>
      </c>
      <c r="AH3611" t="s">
        <v>116</v>
      </c>
      <c r="AI3611" s="1">
        <v>46827</v>
      </c>
      <c r="AJ3611" s="2">
        <v>0.14000000000000001</v>
      </c>
      <c r="AK3611" s="1">
        <v>342657</v>
      </c>
      <c r="AL3611" t="s">
        <v>117</v>
      </c>
      <c r="AM3611" t="s">
        <v>171</v>
      </c>
      <c r="AN3611">
        <v>7200</v>
      </c>
      <c r="AO3611">
        <v>0.16</v>
      </c>
      <c r="AP3611">
        <v>1</v>
      </c>
      <c r="AR3611">
        <v>1</v>
      </c>
      <c r="AS3611" s="1">
        <v>24280</v>
      </c>
      <c r="AT3611" s="1">
        <v>4850</v>
      </c>
      <c r="AU3611" s="1">
        <v>19430</v>
      </c>
      <c r="AV3611">
        <v>80.02</v>
      </c>
      <c r="AX3611" s="1">
        <v>2090.16</v>
      </c>
      <c r="AY3611" t="s">
        <v>9121</v>
      </c>
      <c r="AZ3611" t="s">
        <v>2357</v>
      </c>
      <c r="BA3611" t="s">
        <v>1462</v>
      </c>
      <c r="BE3611" s="3">
        <v>42024</v>
      </c>
      <c r="BF3611" s="1">
        <v>281750</v>
      </c>
      <c r="BG3611" t="s">
        <v>23213</v>
      </c>
      <c r="BH3611" s="1">
        <v>140.94999999999999</v>
      </c>
      <c r="BI3611" s="1">
        <v>295830</v>
      </c>
      <c r="BJ3611" s="3">
        <v>42459</v>
      </c>
      <c r="BK3611" t="s">
        <v>123</v>
      </c>
      <c r="BL3611" t="str">
        <f>"2016.205510"</f>
        <v>2016.205510</v>
      </c>
      <c r="BM3611" t="s">
        <v>248</v>
      </c>
      <c r="BO3611" t="s">
        <v>23214</v>
      </c>
      <c r="BS3611">
        <v>30</v>
      </c>
      <c r="BW3611" t="str">
        <f>""</f>
        <v/>
      </c>
      <c r="CH3611" t="str">
        <f>""</f>
        <v/>
      </c>
      <c r="CS3611" t="str">
        <f>""</f>
        <v/>
      </c>
    </row>
    <row r="3612" spans="1:97" x14ac:dyDescent="0.25">
      <c r="A3612" t="s">
        <v>14002</v>
      </c>
      <c r="B3612" t="s">
        <v>23215</v>
      </c>
      <c r="C3612" t="s">
        <v>3416</v>
      </c>
      <c r="D3612" t="s">
        <v>23215</v>
      </c>
      <c r="E3612" t="s">
        <v>23216</v>
      </c>
      <c r="F3612" t="s">
        <v>108</v>
      </c>
      <c r="H3612" t="s">
        <v>23217</v>
      </c>
      <c r="I3612" t="s">
        <v>390</v>
      </c>
      <c r="J3612" t="s">
        <v>111</v>
      </c>
      <c r="K3612" t="str">
        <f>"85050"</f>
        <v>85050</v>
      </c>
      <c r="L3612" t="s">
        <v>8034</v>
      </c>
      <c r="M3612" t="s">
        <v>23217</v>
      </c>
      <c r="N3612" t="s">
        <v>390</v>
      </c>
      <c r="O3612" t="s">
        <v>111</v>
      </c>
      <c r="P3612" t="str">
        <f>"85050-3736"</f>
        <v>85050-3736</v>
      </c>
      <c r="Q3612" t="s">
        <v>113</v>
      </c>
      <c r="R3612" t="str">
        <f>"215-01-743"</f>
        <v>215-01-743</v>
      </c>
      <c r="S3612" t="s">
        <v>23218</v>
      </c>
      <c r="T3612" t="s">
        <v>23219</v>
      </c>
      <c r="U3612">
        <v>1963</v>
      </c>
      <c r="V3612">
        <v>0</v>
      </c>
      <c r="W3612">
        <v>4</v>
      </c>
      <c r="X3612">
        <v>1990</v>
      </c>
      <c r="Z3612">
        <v>2</v>
      </c>
      <c r="AA3612" t="s">
        <v>26</v>
      </c>
      <c r="AB3612">
        <v>0</v>
      </c>
      <c r="AC3612" t="s">
        <v>115</v>
      </c>
      <c r="AD3612">
        <v>2</v>
      </c>
      <c r="AE3612" t="s">
        <v>115</v>
      </c>
      <c r="AF3612">
        <v>0</v>
      </c>
      <c r="AG3612">
        <v>0</v>
      </c>
      <c r="AH3612" t="s">
        <v>116</v>
      </c>
      <c r="AI3612" s="1">
        <v>58708</v>
      </c>
      <c r="AJ3612" s="2">
        <v>0.16</v>
      </c>
      <c r="AK3612" s="1">
        <v>369708</v>
      </c>
      <c r="AL3612" t="s">
        <v>117</v>
      </c>
      <c r="AM3612" t="s">
        <v>1315</v>
      </c>
      <c r="AN3612">
        <v>4743</v>
      </c>
      <c r="AO3612">
        <v>0.11</v>
      </c>
      <c r="AP3612">
        <v>1</v>
      </c>
      <c r="AR3612">
        <v>1</v>
      </c>
      <c r="AS3612" s="1">
        <v>24910</v>
      </c>
      <c r="AT3612" s="1">
        <v>4980</v>
      </c>
      <c r="AU3612" s="1">
        <v>19930</v>
      </c>
      <c r="AV3612">
        <v>80.010000000000005</v>
      </c>
      <c r="AX3612" s="1">
        <v>2166.9</v>
      </c>
      <c r="AY3612" t="s">
        <v>8037</v>
      </c>
      <c r="AZ3612" t="s">
        <v>2550</v>
      </c>
      <c r="BA3612" t="s">
        <v>1318</v>
      </c>
      <c r="BE3612" s="3">
        <v>42179</v>
      </c>
      <c r="BF3612" s="1">
        <v>311000</v>
      </c>
      <c r="BG3612" t="s">
        <v>23220</v>
      </c>
      <c r="BH3612" s="1">
        <v>158.43</v>
      </c>
      <c r="BI3612" s="1">
        <v>311000</v>
      </c>
      <c r="BJ3612" s="3">
        <v>42179</v>
      </c>
      <c r="BK3612" t="s">
        <v>123</v>
      </c>
      <c r="BL3612" t="str">
        <f>"2015.451991"</f>
        <v>2015.451991</v>
      </c>
      <c r="BM3612" t="s">
        <v>131</v>
      </c>
      <c r="BO3612" t="s">
        <v>23221</v>
      </c>
      <c r="BS3612">
        <v>30</v>
      </c>
      <c r="BW3612" t="str">
        <f>""</f>
        <v/>
      </c>
      <c r="CH3612" t="str">
        <f>""</f>
        <v/>
      </c>
      <c r="CS3612" t="str">
        <f>""</f>
        <v/>
      </c>
    </row>
    <row r="3613" spans="1:97" x14ac:dyDescent="0.25">
      <c r="A3613" t="s">
        <v>23222</v>
      </c>
      <c r="B3613" t="s">
        <v>23223</v>
      </c>
      <c r="C3613" t="s">
        <v>3306</v>
      </c>
      <c r="D3613" t="s">
        <v>23223</v>
      </c>
      <c r="E3613" t="s">
        <v>23224</v>
      </c>
      <c r="F3613" t="s">
        <v>108</v>
      </c>
      <c r="H3613" t="s">
        <v>23225</v>
      </c>
      <c r="I3613" t="s">
        <v>5523</v>
      </c>
      <c r="J3613" t="s">
        <v>111</v>
      </c>
      <c r="K3613" t="str">
        <f>"85373"</f>
        <v>85373</v>
      </c>
      <c r="L3613" t="s">
        <v>5524</v>
      </c>
      <c r="M3613" t="s">
        <v>23225</v>
      </c>
      <c r="N3613" t="s">
        <v>5523</v>
      </c>
      <c r="O3613" t="s">
        <v>111</v>
      </c>
      <c r="P3613" t="str">
        <f>"85373-5635"</f>
        <v>85373-5635</v>
      </c>
      <c r="Q3613" t="s">
        <v>113</v>
      </c>
      <c r="R3613" t="str">
        <f>"503-97-142"</f>
        <v>503-97-142</v>
      </c>
      <c r="S3613" t="s">
        <v>8164</v>
      </c>
      <c r="T3613" t="s">
        <v>8165</v>
      </c>
      <c r="U3613">
        <v>3830</v>
      </c>
      <c r="V3613">
        <v>0</v>
      </c>
      <c r="W3613">
        <v>4</v>
      </c>
      <c r="X3613">
        <v>2005</v>
      </c>
      <c r="Z3613">
        <v>2</v>
      </c>
      <c r="AB3613">
        <v>0</v>
      </c>
      <c r="AC3613" t="s">
        <v>115</v>
      </c>
      <c r="AD3613">
        <v>2</v>
      </c>
      <c r="AE3613" t="s">
        <v>115</v>
      </c>
      <c r="AF3613">
        <v>0</v>
      </c>
      <c r="AG3613">
        <v>0</v>
      </c>
      <c r="AH3613" t="s">
        <v>116</v>
      </c>
      <c r="AI3613" s="1">
        <v>111642</v>
      </c>
      <c r="AJ3613" s="2">
        <v>0.32</v>
      </c>
      <c r="AK3613" s="1">
        <v>350426</v>
      </c>
      <c r="AL3613" t="s">
        <v>117</v>
      </c>
      <c r="AM3613" t="s">
        <v>191</v>
      </c>
      <c r="AN3613">
        <v>6325</v>
      </c>
      <c r="AO3613">
        <v>0.14000000000000001</v>
      </c>
      <c r="AR3613">
        <v>1</v>
      </c>
      <c r="AS3613" s="1">
        <v>24400</v>
      </c>
      <c r="AT3613" s="1">
        <v>4880</v>
      </c>
      <c r="AU3613" s="1">
        <v>19520</v>
      </c>
      <c r="AV3613">
        <v>80</v>
      </c>
      <c r="AX3613" s="1">
        <v>2594.52</v>
      </c>
      <c r="AY3613" t="s">
        <v>3228</v>
      </c>
      <c r="AZ3613" t="s">
        <v>3228</v>
      </c>
      <c r="BA3613" t="s">
        <v>457</v>
      </c>
      <c r="BE3613" s="3">
        <v>41691</v>
      </c>
      <c r="BF3613" s="1">
        <v>267990</v>
      </c>
      <c r="BG3613" t="s">
        <v>23226</v>
      </c>
      <c r="BH3613" s="1">
        <v>69.97</v>
      </c>
      <c r="BI3613" s="1">
        <v>238784</v>
      </c>
      <c r="BJ3613" s="3">
        <v>42612</v>
      </c>
      <c r="BK3613" t="s">
        <v>123</v>
      </c>
      <c r="BL3613" t="str">
        <f>"2016.624060"</f>
        <v>2016.624060</v>
      </c>
      <c r="BM3613" t="s">
        <v>1154</v>
      </c>
      <c r="BO3613" t="s">
        <v>23227</v>
      </c>
      <c r="BS3613">
        <v>30</v>
      </c>
      <c r="BW3613" t="str">
        <f>""</f>
        <v/>
      </c>
      <c r="CH3613" t="str">
        <f>""</f>
        <v/>
      </c>
      <c r="CS3613" t="str">
        <f>""</f>
        <v/>
      </c>
    </row>
    <row r="3614" spans="1:97" x14ac:dyDescent="0.25">
      <c r="A3614" t="s">
        <v>1067</v>
      </c>
      <c r="B3614" t="s">
        <v>23228</v>
      </c>
      <c r="C3614" t="s">
        <v>8491</v>
      </c>
      <c r="D3614" t="s">
        <v>23229</v>
      </c>
      <c r="E3614" t="s">
        <v>23230</v>
      </c>
      <c r="F3614" t="s">
        <v>108</v>
      </c>
      <c r="H3614" t="s">
        <v>23231</v>
      </c>
      <c r="I3614" t="s">
        <v>2874</v>
      </c>
      <c r="J3614" t="s">
        <v>111</v>
      </c>
      <c r="K3614" t="str">
        <f>"85308"</f>
        <v>85308</v>
      </c>
      <c r="L3614" t="s">
        <v>3982</v>
      </c>
      <c r="M3614" t="s">
        <v>23231</v>
      </c>
      <c r="N3614" t="s">
        <v>2874</v>
      </c>
      <c r="O3614" t="s">
        <v>111</v>
      </c>
      <c r="P3614" t="str">
        <f>"85308-3646"</f>
        <v>85308-3646</v>
      </c>
      <c r="Q3614" t="s">
        <v>113</v>
      </c>
      <c r="R3614" t="str">
        <f>"200-45-333"</f>
        <v>200-45-333</v>
      </c>
      <c r="S3614" t="s">
        <v>23232</v>
      </c>
      <c r="U3614">
        <v>2034</v>
      </c>
      <c r="V3614">
        <v>0</v>
      </c>
      <c r="W3614">
        <v>3</v>
      </c>
      <c r="X3614">
        <v>1991</v>
      </c>
      <c r="Z3614">
        <v>1</v>
      </c>
      <c r="AB3614">
        <v>0</v>
      </c>
      <c r="AC3614" t="s">
        <v>115</v>
      </c>
      <c r="AD3614">
        <v>3</v>
      </c>
      <c r="AE3614" t="s">
        <v>115</v>
      </c>
      <c r="AF3614">
        <v>0</v>
      </c>
      <c r="AG3614">
        <v>0</v>
      </c>
      <c r="AH3614" t="s">
        <v>116</v>
      </c>
      <c r="AI3614" s="1">
        <v>15823</v>
      </c>
      <c r="AJ3614" s="2">
        <v>0.05</v>
      </c>
      <c r="AK3614" s="1">
        <v>321591</v>
      </c>
      <c r="AL3614" t="s">
        <v>117</v>
      </c>
      <c r="AM3614" t="s">
        <v>191</v>
      </c>
      <c r="AN3614">
        <v>7800</v>
      </c>
      <c r="AO3614">
        <v>0.18</v>
      </c>
      <c r="AP3614">
        <v>1</v>
      </c>
      <c r="AR3614">
        <v>1</v>
      </c>
      <c r="AS3614" s="1">
        <v>21930</v>
      </c>
      <c r="AT3614" s="1">
        <v>4380</v>
      </c>
      <c r="AU3614" s="1">
        <v>17550</v>
      </c>
      <c r="AV3614">
        <v>80.03</v>
      </c>
      <c r="AX3614" s="1">
        <v>1525.46</v>
      </c>
      <c r="AY3614" t="s">
        <v>7283</v>
      </c>
      <c r="AZ3614" t="s">
        <v>7283</v>
      </c>
      <c r="BA3614" t="s">
        <v>5143</v>
      </c>
      <c r="BB3614" s="3">
        <v>42916</v>
      </c>
      <c r="BD3614" t="s">
        <v>157</v>
      </c>
      <c r="BE3614" s="3">
        <v>42206</v>
      </c>
      <c r="BF3614" s="1">
        <v>255000</v>
      </c>
      <c r="BG3614" t="s">
        <v>23233</v>
      </c>
      <c r="BH3614" s="1">
        <v>125.37</v>
      </c>
      <c r="BI3614" s="1">
        <v>305768</v>
      </c>
      <c r="BJ3614" s="3">
        <v>42916</v>
      </c>
      <c r="BK3614" t="s">
        <v>123</v>
      </c>
      <c r="BL3614" t="str">
        <f>"2017.481104"</f>
        <v>2017.481104</v>
      </c>
      <c r="BM3614" t="s">
        <v>1249</v>
      </c>
      <c r="BO3614" t="s">
        <v>23234</v>
      </c>
      <c r="BP3614" t="s">
        <v>23235</v>
      </c>
      <c r="BS3614">
        <v>30</v>
      </c>
      <c r="BW3614" t="str">
        <f>""</f>
        <v/>
      </c>
      <c r="CH3614" t="str">
        <f>""</f>
        <v/>
      </c>
      <c r="CS3614" t="str">
        <f>""</f>
        <v/>
      </c>
    </row>
    <row r="3615" spans="1:97" x14ac:dyDescent="0.25">
      <c r="A3615" t="s">
        <v>23236</v>
      </c>
      <c r="B3615" t="s">
        <v>4874</v>
      </c>
      <c r="C3615" t="s">
        <v>1906</v>
      </c>
      <c r="D3615" t="s">
        <v>4874</v>
      </c>
      <c r="E3615" t="s">
        <v>23237</v>
      </c>
      <c r="F3615" t="s">
        <v>108</v>
      </c>
      <c r="H3615" t="s">
        <v>23238</v>
      </c>
      <c r="I3615" t="s">
        <v>2874</v>
      </c>
      <c r="J3615" t="s">
        <v>111</v>
      </c>
      <c r="K3615" t="str">
        <f>"85304"</f>
        <v>85304</v>
      </c>
      <c r="L3615" t="s">
        <v>5185</v>
      </c>
      <c r="M3615" t="s">
        <v>23238</v>
      </c>
      <c r="N3615" t="s">
        <v>2874</v>
      </c>
      <c r="O3615" t="s">
        <v>111</v>
      </c>
      <c r="P3615" t="str">
        <f>"85304-1909"</f>
        <v>85304-1909</v>
      </c>
      <c r="Q3615" t="s">
        <v>113</v>
      </c>
      <c r="R3615" t="str">
        <f>"200-75-195"</f>
        <v>200-75-195</v>
      </c>
      <c r="S3615" t="s">
        <v>16938</v>
      </c>
      <c r="U3615">
        <v>1644</v>
      </c>
      <c r="V3615">
        <v>0</v>
      </c>
      <c r="W3615">
        <v>2</v>
      </c>
      <c r="X3615">
        <v>1982</v>
      </c>
      <c r="Z3615">
        <v>1</v>
      </c>
      <c r="AA3615" t="s">
        <v>26</v>
      </c>
      <c r="AB3615">
        <v>0</v>
      </c>
      <c r="AC3615" t="s">
        <v>115</v>
      </c>
      <c r="AD3615">
        <v>2</v>
      </c>
      <c r="AE3615" t="s">
        <v>115</v>
      </c>
      <c r="AF3615">
        <v>0</v>
      </c>
      <c r="AG3615">
        <v>0</v>
      </c>
      <c r="AH3615" t="s">
        <v>116</v>
      </c>
      <c r="AI3615" s="1">
        <v>33331</v>
      </c>
      <c r="AJ3615" s="2">
        <v>0.12</v>
      </c>
      <c r="AK3615" s="1">
        <v>279757</v>
      </c>
      <c r="AL3615" t="s">
        <v>117</v>
      </c>
      <c r="AM3615" t="s">
        <v>191</v>
      </c>
      <c r="AN3615">
        <v>8242</v>
      </c>
      <c r="AO3615">
        <v>0.19</v>
      </c>
      <c r="AP3615">
        <v>1</v>
      </c>
      <c r="AR3615">
        <v>1</v>
      </c>
      <c r="AS3615" s="1">
        <v>19020</v>
      </c>
      <c r="AT3615" s="1">
        <v>3800</v>
      </c>
      <c r="AU3615" s="1">
        <v>15220</v>
      </c>
      <c r="AV3615">
        <v>80.02</v>
      </c>
      <c r="AX3615" s="1">
        <v>1224.26</v>
      </c>
      <c r="AY3615" t="s">
        <v>1808</v>
      </c>
      <c r="AZ3615" t="s">
        <v>1808</v>
      </c>
      <c r="BA3615" t="s">
        <v>8681</v>
      </c>
      <c r="BE3615" s="3">
        <v>41858</v>
      </c>
      <c r="BF3615" s="1">
        <v>240000</v>
      </c>
      <c r="BG3615" t="s">
        <v>23239</v>
      </c>
      <c r="BH3615" s="1">
        <v>143.19999999999999</v>
      </c>
      <c r="BI3615" s="1">
        <v>246426</v>
      </c>
      <c r="BJ3615" s="3">
        <v>42425</v>
      </c>
      <c r="BK3615" t="s">
        <v>123</v>
      </c>
      <c r="BL3615" t="str">
        <f>"2016.120105"</f>
        <v>2016.120105</v>
      </c>
      <c r="BM3615" t="s">
        <v>255</v>
      </c>
      <c r="BO3615" t="s">
        <v>23240</v>
      </c>
      <c r="BS3615">
        <v>25</v>
      </c>
      <c r="BW3615" t="str">
        <f>""</f>
        <v/>
      </c>
      <c r="CH3615" t="str">
        <f>""</f>
        <v/>
      </c>
      <c r="CS3615" t="str">
        <f>""</f>
        <v/>
      </c>
    </row>
    <row r="3616" spans="1:97" x14ac:dyDescent="0.25">
      <c r="A3616" t="s">
        <v>1963</v>
      </c>
      <c r="B3616" t="s">
        <v>23241</v>
      </c>
      <c r="E3616" t="s">
        <v>23242</v>
      </c>
      <c r="F3616" t="s">
        <v>108</v>
      </c>
      <c r="H3616" t="s">
        <v>23243</v>
      </c>
      <c r="I3616" t="s">
        <v>110</v>
      </c>
      <c r="J3616" t="s">
        <v>111</v>
      </c>
      <c r="K3616" t="str">
        <f>"85225"</f>
        <v>85225</v>
      </c>
      <c r="L3616" t="s">
        <v>8199</v>
      </c>
      <c r="M3616" t="s">
        <v>23243</v>
      </c>
      <c r="N3616" t="s">
        <v>110</v>
      </c>
      <c r="O3616" t="s">
        <v>111</v>
      </c>
      <c r="P3616" t="str">
        <f>"85225-5216"</f>
        <v>85225-5216</v>
      </c>
      <c r="Q3616" t="s">
        <v>113</v>
      </c>
      <c r="R3616" t="str">
        <f>"302-84-420"</f>
        <v>302-84-420</v>
      </c>
      <c r="S3616" t="s">
        <v>19514</v>
      </c>
      <c r="T3616" t="s">
        <v>19515</v>
      </c>
      <c r="U3616">
        <v>1600</v>
      </c>
      <c r="V3616">
        <v>0</v>
      </c>
      <c r="W3616">
        <v>3</v>
      </c>
      <c r="X3616">
        <v>1993</v>
      </c>
      <c r="Z3616">
        <v>1</v>
      </c>
      <c r="AA3616" t="s">
        <v>26</v>
      </c>
      <c r="AB3616">
        <v>0</v>
      </c>
      <c r="AC3616" t="s">
        <v>115</v>
      </c>
      <c r="AD3616">
        <v>2</v>
      </c>
      <c r="AE3616" t="s">
        <v>115</v>
      </c>
      <c r="AF3616">
        <v>0</v>
      </c>
      <c r="AG3616">
        <v>0</v>
      </c>
      <c r="AH3616" t="s">
        <v>116</v>
      </c>
      <c r="AI3616" s="1">
        <v>55537</v>
      </c>
      <c r="AJ3616" s="2">
        <v>0.18</v>
      </c>
      <c r="AK3616" s="1">
        <v>305702</v>
      </c>
      <c r="AL3616" t="s">
        <v>117</v>
      </c>
      <c r="AM3616" t="s">
        <v>118</v>
      </c>
      <c r="AN3616">
        <v>6098</v>
      </c>
      <c r="AO3616">
        <v>0.14000000000000001</v>
      </c>
      <c r="AP3616">
        <v>1</v>
      </c>
      <c r="AR3616">
        <v>1</v>
      </c>
      <c r="AS3616" s="1">
        <v>21710</v>
      </c>
      <c r="AT3616" s="1">
        <v>4340</v>
      </c>
      <c r="AU3616" s="1">
        <v>17370</v>
      </c>
      <c r="AV3616">
        <v>80.010000000000005</v>
      </c>
      <c r="AX3616" s="1">
        <v>1550.08</v>
      </c>
      <c r="AY3616" t="s">
        <v>2956</v>
      </c>
      <c r="AZ3616" t="s">
        <v>2906</v>
      </c>
      <c r="BA3616" t="s">
        <v>2957</v>
      </c>
      <c r="BE3616" s="3">
        <v>42506</v>
      </c>
      <c r="BF3616" s="1">
        <v>244900</v>
      </c>
      <c r="BG3616" t="s">
        <v>23244</v>
      </c>
      <c r="BH3616" s="1">
        <v>153.06</v>
      </c>
      <c r="BI3616" s="1">
        <v>250165</v>
      </c>
      <c r="BJ3616" s="3">
        <v>42506</v>
      </c>
      <c r="BK3616" t="s">
        <v>123</v>
      </c>
      <c r="BL3616" t="str">
        <f>"2016.333376"</f>
        <v>2016.333376</v>
      </c>
      <c r="BM3616" t="s">
        <v>1044</v>
      </c>
      <c r="BO3616" t="s">
        <v>23245</v>
      </c>
      <c r="BS3616">
        <v>30</v>
      </c>
      <c r="BW3616" t="str">
        <f>""</f>
        <v/>
      </c>
      <c r="CH3616" t="str">
        <f>""</f>
        <v/>
      </c>
      <c r="CS3616" t="str">
        <f>""</f>
        <v/>
      </c>
    </row>
    <row r="3617" spans="1:97" x14ac:dyDescent="0.25">
      <c r="A3617" t="s">
        <v>23246</v>
      </c>
      <c r="B3617" t="s">
        <v>23247</v>
      </c>
      <c r="C3617" t="s">
        <v>1210</v>
      </c>
      <c r="D3617" t="s">
        <v>23247</v>
      </c>
      <c r="E3617" t="s">
        <v>23248</v>
      </c>
      <c r="F3617" t="s">
        <v>108</v>
      </c>
      <c r="H3617" t="s">
        <v>23249</v>
      </c>
      <c r="I3617" t="s">
        <v>5387</v>
      </c>
      <c r="J3617" t="s">
        <v>111</v>
      </c>
      <c r="K3617" t="str">
        <f>"85281"</f>
        <v>85281</v>
      </c>
      <c r="L3617" t="s">
        <v>5464</v>
      </c>
      <c r="M3617" t="s">
        <v>23249</v>
      </c>
      <c r="N3617" t="s">
        <v>5387</v>
      </c>
      <c r="O3617" t="s">
        <v>111</v>
      </c>
      <c r="P3617" t="str">
        <f>"85281-1025"</f>
        <v>85281-1025</v>
      </c>
      <c r="Q3617" t="s">
        <v>113</v>
      </c>
      <c r="R3617" t="str">
        <f>"129-15-103"</f>
        <v>129-15-103</v>
      </c>
      <c r="S3617" t="s">
        <v>23250</v>
      </c>
      <c r="T3617" t="s">
        <v>9588</v>
      </c>
      <c r="U3617">
        <v>1470</v>
      </c>
      <c r="V3617">
        <v>0</v>
      </c>
      <c r="W3617">
        <v>2</v>
      </c>
      <c r="X3617">
        <v>1959</v>
      </c>
      <c r="Z3617">
        <v>1</v>
      </c>
      <c r="AB3617">
        <v>0</v>
      </c>
      <c r="AC3617" t="s">
        <v>5188</v>
      </c>
      <c r="AD3617">
        <v>1</v>
      </c>
      <c r="AE3617" t="s">
        <v>5188</v>
      </c>
      <c r="AF3617">
        <v>0</v>
      </c>
      <c r="AG3617">
        <v>0</v>
      </c>
      <c r="AH3617" t="s">
        <v>5467</v>
      </c>
      <c r="AI3617" s="1">
        <v>67654</v>
      </c>
      <c r="AJ3617" s="2">
        <v>0.2</v>
      </c>
      <c r="AK3617" s="1">
        <v>333244</v>
      </c>
      <c r="AL3617" t="s">
        <v>117</v>
      </c>
      <c r="AM3617" t="s">
        <v>191</v>
      </c>
      <c r="AN3617">
        <v>6220</v>
      </c>
      <c r="AO3617">
        <v>0.14000000000000001</v>
      </c>
      <c r="AP3617">
        <v>1</v>
      </c>
      <c r="AR3617">
        <v>1</v>
      </c>
      <c r="AS3617" s="1">
        <v>21350</v>
      </c>
      <c r="AT3617" s="1">
        <v>4270</v>
      </c>
      <c r="AU3617" s="1">
        <v>17080</v>
      </c>
      <c r="AV3617">
        <v>80</v>
      </c>
      <c r="AX3617" s="1">
        <v>1111.9000000000001</v>
      </c>
      <c r="AY3617" t="s">
        <v>8392</v>
      </c>
      <c r="AZ3617" t="s">
        <v>5420</v>
      </c>
      <c r="BA3617" t="s">
        <v>5421</v>
      </c>
      <c r="BE3617" s="3">
        <v>42013</v>
      </c>
      <c r="BF3617" s="1">
        <v>260000</v>
      </c>
      <c r="BG3617" t="s">
        <v>23251</v>
      </c>
      <c r="BH3617" s="1">
        <v>176.87</v>
      </c>
      <c r="BI3617" s="1">
        <v>265590</v>
      </c>
      <c r="BJ3617" s="3">
        <v>42013</v>
      </c>
      <c r="BK3617" t="s">
        <v>123</v>
      </c>
      <c r="BL3617" t="str">
        <f>"2015.16072"</f>
        <v>2015.16072</v>
      </c>
      <c r="BM3617" t="s">
        <v>738</v>
      </c>
      <c r="BO3617" t="s">
        <v>23252</v>
      </c>
      <c r="BS3617">
        <v>30</v>
      </c>
      <c r="BW3617" t="str">
        <f>""</f>
        <v/>
      </c>
      <c r="CH3617" t="str">
        <f>""</f>
        <v/>
      </c>
      <c r="CS3617" t="str">
        <f>""</f>
        <v/>
      </c>
    </row>
    <row r="3618" spans="1:97" x14ac:dyDescent="0.25">
      <c r="A3618" t="s">
        <v>2123</v>
      </c>
      <c r="B3618" t="s">
        <v>23253</v>
      </c>
      <c r="C3618" t="s">
        <v>5375</v>
      </c>
      <c r="D3618" t="s">
        <v>23253</v>
      </c>
      <c r="E3618" t="s">
        <v>23254</v>
      </c>
      <c r="F3618" t="s">
        <v>108</v>
      </c>
      <c r="H3618" t="s">
        <v>23255</v>
      </c>
      <c r="I3618" t="s">
        <v>2874</v>
      </c>
      <c r="J3618" t="s">
        <v>111</v>
      </c>
      <c r="K3618" t="str">
        <f>"85310"</f>
        <v>85310</v>
      </c>
      <c r="L3618" t="s">
        <v>5325</v>
      </c>
      <c r="M3618" t="s">
        <v>23255</v>
      </c>
      <c r="N3618" t="s">
        <v>2874</v>
      </c>
      <c r="O3618" t="s">
        <v>111</v>
      </c>
      <c r="P3618" t="str">
        <f>"85310-3209"</f>
        <v>85310-3209</v>
      </c>
      <c r="Q3618" t="s">
        <v>113</v>
      </c>
      <c r="R3618" t="str">
        <f>"205-11-723"</f>
        <v>205-11-723</v>
      </c>
      <c r="S3618" t="s">
        <v>8418</v>
      </c>
      <c r="T3618" t="s">
        <v>8419</v>
      </c>
      <c r="U3618">
        <v>1952</v>
      </c>
      <c r="V3618">
        <v>0</v>
      </c>
      <c r="W3618">
        <v>4</v>
      </c>
      <c r="X3618">
        <v>1989</v>
      </c>
      <c r="Z3618">
        <v>2</v>
      </c>
      <c r="AA3618" t="s">
        <v>26</v>
      </c>
      <c r="AB3618">
        <v>0</v>
      </c>
      <c r="AC3618" t="s">
        <v>115</v>
      </c>
      <c r="AD3618">
        <v>3</v>
      </c>
      <c r="AE3618" t="s">
        <v>115</v>
      </c>
      <c r="AF3618">
        <v>0</v>
      </c>
      <c r="AG3618">
        <v>0</v>
      </c>
      <c r="AH3618" t="s">
        <v>116</v>
      </c>
      <c r="AI3618" s="1">
        <v>37461</v>
      </c>
      <c r="AJ3618" s="2">
        <v>0.12</v>
      </c>
      <c r="AK3618" s="1">
        <v>319395</v>
      </c>
      <c r="AL3618" t="s">
        <v>117</v>
      </c>
      <c r="AM3618" t="s">
        <v>171</v>
      </c>
      <c r="AN3618">
        <v>8509</v>
      </c>
      <c r="AO3618">
        <v>0.2</v>
      </c>
      <c r="AP3618">
        <v>1</v>
      </c>
      <c r="AR3618">
        <v>1</v>
      </c>
      <c r="AS3618" s="1">
        <v>21850</v>
      </c>
      <c r="AT3618" s="1">
        <v>4370</v>
      </c>
      <c r="AU3618" s="1">
        <v>17480</v>
      </c>
      <c r="AV3618">
        <v>80</v>
      </c>
      <c r="AX3618" s="1">
        <v>1817.5</v>
      </c>
      <c r="AY3618" t="s">
        <v>5701</v>
      </c>
      <c r="AZ3618" t="s">
        <v>3049</v>
      </c>
      <c r="BA3618" t="s">
        <v>1386</v>
      </c>
      <c r="BE3618" s="3">
        <v>42088</v>
      </c>
      <c r="BF3618" s="1">
        <v>280000</v>
      </c>
      <c r="BG3618" t="s">
        <v>23256</v>
      </c>
      <c r="BH3618" s="1">
        <v>143.44</v>
      </c>
      <c r="BI3618" s="1">
        <v>281934</v>
      </c>
      <c r="BJ3618" s="3">
        <v>42088</v>
      </c>
      <c r="BK3618" t="s">
        <v>123</v>
      </c>
      <c r="BL3618" t="str">
        <f>"2015.200660"</f>
        <v>2015.200660</v>
      </c>
      <c r="BM3618" t="s">
        <v>255</v>
      </c>
      <c r="BO3618" t="s">
        <v>23257</v>
      </c>
      <c r="BS3618">
        <v>30</v>
      </c>
      <c r="BW3618" t="str">
        <f>""</f>
        <v/>
      </c>
      <c r="CH3618" t="str">
        <f>""</f>
        <v/>
      </c>
      <c r="CS3618" t="str">
        <f>""</f>
        <v/>
      </c>
    </row>
    <row r="3619" spans="1:97" x14ac:dyDescent="0.25">
      <c r="A3619" t="s">
        <v>7263</v>
      </c>
      <c r="B3619" t="s">
        <v>23258</v>
      </c>
      <c r="C3619" t="s">
        <v>10962</v>
      </c>
      <c r="D3619" t="s">
        <v>23258</v>
      </c>
      <c r="E3619" t="s">
        <v>23259</v>
      </c>
      <c r="F3619" t="s">
        <v>108</v>
      </c>
      <c r="H3619" t="s">
        <v>23260</v>
      </c>
      <c r="I3619" t="s">
        <v>110</v>
      </c>
      <c r="J3619" t="s">
        <v>111</v>
      </c>
      <c r="K3619" t="str">
        <f>"85286"</f>
        <v>85286</v>
      </c>
      <c r="L3619" t="s">
        <v>1569</v>
      </c>
      <c r="M3619" t="s">
        <v>23260</v>
      </c>
      <c r="N3619" t="s">
        <v>110</v>
      </c>
      <c r="O3619" t="s">
        <v>111</v>
      </c>
      <c r="P3619" t="str">
        <f>"85286-1526"</f>
        <v>85286-1526</v>
      </c>
      <c r="Q3619" t="s">
        <v>113</v>
      </c>
      <c r="R3619" t="str">
        <f>"303-30-208"</f>
        <v>303-30-208</v>
      </c>
      <c r="S3619" t="s">
        <v>23261</v>
      </c>
      <c r="T3619" t="s">
        <v>5649</v>
      </c>
      <c r="U3619">
        <v>1546</v>
      </c>
      <c r="V3619">
        <v>0</v>
      </c>
      <c r="W3619">
        <v>3</v>
      </c>
      <c r="X3619">
        <v>1996</v>
      </c>
      <c r="Z3619">
        <v>1</v>
      </c>
      <c r="AB3619">
        <v>0</v>
      </c>
      <c r="AC3619" t="s">
        <v>115</v>
      </c>
      <c r="AD3619">
        <v>2</v>
      </c>
      <c r="AE3619" t="s">
        <v>115</v>
      </c>
      <c r="AF3619">
        <v>0</v>
      </c>
      <c r="AG3619">
        <v>0</v>
      </c>
      <c r="AH3619" t="s">
        <v>116</v>
      </c>
      <c r="AI3619" s="1">
        <v>77799</v>
      </c>
      <c r="AJ3619" s="2">
        <v>0.26</v>
      </c>
      <c r="AK3619" s="1">
        <v>294625</v>
      </c>
      <c r="AL3619" t="s">
        <v>117</v>
      </c>
      <c r="AM3619" t="s">
        <v>118</v>
      </c>
      <c r="AN3619">
        <v>7410</v>
      </c>
      <c r="AO3619">
        <v>0.17</v>
      </c>
      <c r="AP3619">
        <v>1</v>
      </c>
      <c r="AR3619">
        <v>1</v>
      </c>
      <c r="AS3619" s="1">
        <v>20310</v>
      </c>
      <c r="AT3619" s="1">
        <v>4060</v>
      </c>
      <c r="AU3619" s="1">
        <v>16250</v>
      </c>
      <c r="AV3619">
        <v>80.010000000000005</v>
      </c>
      <c r="AX3619" s="1">
        <v>1699.56</v>
      </c>
      <c r="AY3619" t="s">
        <v>5650</v>
      </c>
      <c r="AZ3619" t="s">
        <v>120</v>
      </c>
      <c r="BA3619" t="s">
        <v>303</v>
      </c>
      <c r="BE3619" s="3">
        <v>42032</v>
      </c>
      <c r="BF3619" s="1">
        <v>209900</v>
      </c>
      <c r="BG3619" t="s">
        <v>23262</v>
      </c>
      <c r="BH3619" s="1">
        <v>135.77000000000001</v>
      </c>
      <c r="BI3619" s="1">
        <v>216826</v>
      </c>
      <c r="BJ3619" s="3">
        <v>42032</v>
      </c>
      <c r="BK3619" t="s">
        <v>123</v>
      </c>
      <c r="BL3619" t="str">
        <f>"2015.56625"</f>
        <v>2015.56625</v>
      </c>
      <c r="BM3619" t="s">
        <v>936</v>
      </c>
      <c r="BO3619" t="s">
        <v>23263</v>
      </c>
      <c r="BS3619">
        <v>30</v>
      </c>
      <c r="BW3619" t="str">
        <f>""</f>
        <v/>
      </c>
      <c r="CH3619" t="str">
        <f>""</f>
        <v/>
      </c>
      <c r="CS3619" t="str">
        <f>""</f>
        <v/>
      </c>
    </row>
    <row r="3620" spans="1:97" x14ac:dyDescent="0.25">
      <c r="A3620" t="s">
        <v>996</v>
      </c>
      <c r="B3620" t="s">
        <v>23264</v>
      </c>
      <c r="C3620" t="s">
        <v>2852</v>
      </c>
      <c r="D3620" t="s">
        <v>23264</v>
      </c>
      <c r="E3620" t="s">
        <v>23265</v>
      </c>
      <c r="F3620" t="s">
        <v>108</v>
      </c>
      <c r="H3620" t="s">
        <v>23266</v>
      </c>
      <c r="I3620" t="s">
        <v>390</v>
      </c>
      <c r="J3620" t="s">
        <v>111</v>
      </c>
      <c r="K3620" t="str">
        <f>"85024"</f>
        <v>85024</v>
      </c>
      <c r="L3620" t="s">
        <v>7695</v>
      </c>
      <c r="M3620" t="s">
        <v>23266</v>
      </c>
      <c r="N3620" t="s">
        <v>390</v>
      </c>
      <c r="O3620" t="s">
        <v>111</v>
      </c>
      <c r="P3620" t="str">
        <f>"85024-2301"</f>
        <v>85024-2301</v>
      </c>
      <c r="Q3620" t="s">
        <v>113</v>
      </c>
      <c r="R3620" t="str">
        <f>"213-25-555"</f>
        <v>213-25-555</v>
      </c>
      <c r="S3620" t="s">
        <v>23267</v>
      </c>
      <c r="T3620" t="s">
        <v>8612</v>
      </c>
      <c r="U3620">
        <v>1715</v>
      </c>
      <c r="V3620">
        <v>0</v>
      </c>
      <c r="W3620">
        <v>3</v>
      </c>
      <c r="X3620">
        <v>1984</v>
      </c>
      <c r="Z3620">
        <v>2</v>
      </c>
      <c r="AA3620" t="s">
        <v>26</v>
      </c>
      <c r="AB3620">
        <v>0</v>
      </c>
      <c r="AC3620" t="s">
        <v>115</v>
      </c>
      <c r="AD3620">
        <v>2</v>
      </c>
      <c r="AE3620" t="s">
        <v>115</v>
      </c>
      <c r="AF3620">
        <v>0</v>
      </c>
      <c r="AG3620">
        <v>0</v>
      </c>
      <c r="AH3620" t="s">
        <v>116</v>
      </c>
      <c r="AI3620" s="1">
        <v>39322</v>
      </c>
      <c r="AJ3620" s="2">
        <v>0.12</v>
      </c>
      <c r="AK3620" s="1">
        <v>319322</v>
      </c>
      <c r="AL3620" t="s">
        <v>117</v>
      </c>
      <c r="AM3620" t="s">
        <v>171</v>
      </c>
      <c r="AN3620">
        <v>13999</v>
      </c>
      <c r="AO3620">
        <v>0.32</v>
      </c>
      <c r="AP3620">
        <v>1</v>
      </c>
      <c r="AR3620">
        <v>1</v>
      </c>
      <c r="AS3620" s="1">
        <v>23250</v>
      </c>
      <c r="AT3620" s="1">
        <v>4650</v>
      </c>
      <c r="AU3620" s="1">
        <v>18600</v>
      </c>
      <c r="AV3620">
        <v>80</v>
      </c>
      <c r="AX3620" s="1">
        <v>1768.44</v>
      </c>
      <c r="AY3620" t="s">
        <v>8613</v>
      </c>
      <c r="AZ3620" t="s">
        <v>761</v>
      </c>
      <c r="BA3620" t="s">
        <v>2551</v>
      </c>
      <c r="BE3620" s="3">
        <v>41782</v>
      </c>
      <c r="BF3620" s="1">
        <v>232500</v>
      </c>
      <c r="BG3620" t="s">
        <v>23268</v>
      </c>
      <c r="BH3620" s="1">
        <v>135.57</v>
      </c>
      <c r="BI3620" s="1">
        <v>280000</v>
      </c>
      <c r="BJ3620" s="3">
        <v>43537</v>
      </c>
      <c r="BK3620" t="s">
        <v>123</v>
      </c>
      <c r="BL3620" t="str">
        <f>"2019.174263"</f>
        <v>2019.174263</v>
      </c>
      <c r="BM3620" t="s">
        <v>7228</v>
      </c>
      <c r="BN3620" t="s">
        <v>7229</v>
      </c>
      <c r="BO3620" t="s">
        <v>23269</v>
      </c>
      <c r="BP3620" t="s">
        <v>23270</v>
      </c>
      <c r="BR3620" t="s">
        <v>139</v>
      </c>
      <c r="BW3620" t="str">
        <f>""</f>
        <v/>
      </c>
      <c r="CH3620" t="str">
        <f>""</f>
        <v/>
      </c>
      <c r="CS3620" t="str">
        <f>""</f>
        <v/>
      </c>
    </row>
    <row r="3621" spans="1:97" x14ac:dyDescent="0.25">
      <c r="A3621" t="s">
        <v>984</v>
      </c>
      <c r="B3621" t="s">
        <v>23271</v>
      </c>
      <c r="C3621" t="s">
        <v>23272</v>
      </c>
      <c r="D3621" t="s">
        <v>1099</v>
      </c>
      <c r="E3621" t="s">
        <v>23273</v>
      </c>
      <c r="F3621" t="s">
        <v>108</v>
      </c>
      <c r="H3621" t="s">
        <v>23274</v>
      </c>
      <c r="I3621" t="s">
        <v>453</v>
      </c>
      <c r="J3621" t="s">
        <v>111</v>
      </c>
      <c r="K3621" t="str">
        <f>"85383"</f>
        <v>85383</v>
      </c>
      <c r="L3621" t="s">
        <v>3326</v>
      </c>
      <c r="M3621" t="s">
        <v>23274</v>
      </c>
      <c r="N3621" t="s">
        <v>453</v>
      </c>
      <c r="O3621" t="s">
        <v>111</v>
      </c>
      <c r="P3621" t="str">
        <f>"85383-2754"</f>
        <v>85383-2754</v>
      </c>
      <c r="Q3621" t="s">
        <v>113</v>
      </c>
      <c r="R3621" t="str">
        <f>"200-10-650"</f>
        <v>200-10-650</v>
      </c>
      <c r="S3621" t="s">
        <v>23275</v>
      </c>
      <c r="T3621" t="s">
        <v>17327</v>
      </c>
      <c r="U3621">
        <v>2313</v>
      </c>
      <c r="V3621">
        <v>0</v>
      </c>
      <c r="W3621">
        <v>3</v>
      </c>
      <c r="X3621">
        <v>2000</v>
      </c>
      <c r="Z3621">
        <v>1</v>
      </c>
      <c r="AA3621" t="s">
        <v>26</v>
      </c>
      <c r="AB3621">
        <v>0</v>
      </c>
      <c r="AC3621" t="s">
        <v>115</v>
      </c>
      <c r="AD3621">
        <v>2</v>
      </c>
      <c r="AE3621" t="s">
        <v>115</v>
      </c>
      <c r="AF3621">
        <v>0</v>
      </c>
      <c r="AG3621">
        <v>0</v>
      </c>
      <c r="AH3621" t="s">
        <v>116</v>
      </c>
      <c r="AI3621" s="1">
        <v>76262</v>
      </c>
      <c r="AJ3621" s="2">
        <v>0.23</v>
      </c>
      <c r="AK3621" s="1">
        <v>338347</v>
      </c>
      <c r="AL3621" t="s">
        <v>117</v>
      </c>
      <c r="AM3621" t="s">
        <v>118</v>
      </c>
      <c r="AN3621">
        <v>8050</v>
      </c>
      <c r="AO3621">
        <v>0.18</v>
      </c>
      <c r="AP3621">
        <v>1</v>
      </c>
      <c r="AR3621">
        <v>1</v>
      </c>
      <c r="AS3621" s="1">
        <v>24280</v>
      </c>
      <c r="AT3621" s="1">
        <v>4850</v>
      </c>
      <c r="AU3621" s="1">
        <v>19430</v>
      </c>
      <c r="AV3621">
        <v>80.02</v>
      </c>
      <c r="AX3621" s="1">
        <v>2243.42</v>
      </c>
      <c r="AY3621" t="s">
        <v>1808</v>
      </c>
      <c r="AZ3621" t="s">
        <v>1808</v>
      </c>
      <c r="BA3621" t="s">
        <v>457</v>
      </c>
      <c r="BE3621" s="3">
        <v>42194</v>
      </c>
      <c r="BF3621" s="1">
        <v>247000</v>
      </c>
      <c r="BG3621" t="s">
        <v>23276</v>
      </c>
      <c r="BH3621" s="1">
        <v>106.79</v>
      </c>
      <c r="BI3621" s="1">
        <v>262085</v>
      </c>
      <c r="BJ3621" s="3">
        <v>42562</v>
      </c>
      <c r="BK3621" t="s">
        <v>123</v>
      </c>
      <c r="BL3621" t="str">
        <f>"2016.483266"</f>
        <v>2016.483266</v>
      </c>
      <c r="BM3621" t="s">
        <v>1695</v>
      </c>
      <c r="BN3621" t="s">
        <v>9191</v>
      </c>
      <c r="BO3621" t="s">
        <v>23277</v>
      </c>
      <c r="BP3621" t="s">
        <v>23278</v>
      </c>
      <c r="BS3621">
        <v>30</v>
      </c>
      <c r="BW3621" t="str">
        <f>""</f>
        <v/>
      </c>
      <c r="CH3621" t="str">
        <f>""</f>
        <v/>
      </c>
      <c r="CS3621" t="str">
        <f>""</f>
        <v/>
      </c>
    </row>
    <row r="3622" spans="1:97" x14ac:dyDescent="0.25">
      <c r="A3622" t="s">
        <v>305</v>
      </c>
      <c r="B3622" t="s">
        <v>23279</v>
      </c>
      <c r="E3622" t="s">
        <v>23280</v>
      </c>
      <c r="F3622" t="s">
        <v>108</v>
      </c>
      <c r="H3622" t="s">
        <v>23281</v>
      </c>
      <c r="I3622" t="s">
        <v>1936</v>
      </c>
      <c r="J3622" t="s">
        <v>111</v>
      </c>
      <c r="K3622" t="str">
        <f>"85260"</f>
        <v>85260</v>
      </c>
      <c r="L3622" t="s">
        <v>5900</v>
      </c>
      <c r="M3622" t="s">
        <v>23281</v>
      </c>
      <c r="N3622" t="s">
        <v>1936</v>
      </c>
      <c r="O3622" t="s">
        <v>111</v>
      </c>
      <c r="P3622" t="str">
        <f>"85260-5850"</f>
        <v>85260-5850</v>
      </c>
      <c r="Q3622" t="s">
        <v>113</v>
      </c>
      <c r="R3622" t="str">
        <f>"217-25-345"</f>
        <v>217-25-345</v>
      </c>
      <c r="S3622" t="s">
        <v>23282</v>
      </c>
      <c r="T3622" t="s">
        <v>5903</v>
      </c>
      <c r="U3622">
        <v>1802</v>
      </c>
      <c r="V3622">
        <v>0</v>
      </c>
      <c r="W3622">
        <v>2</v>
      </c>
      <c r="X3622">
        <v>1980</v>
      </c>
      <c r="Z3622">
        <v>1</v>
      </c>
      <c r="AB3622">
        <v>0</v>
      </c>
      <c r="AC3622" t="s">
        <v>115</v>
      </c>
      <c r="AD3622">
        <v>2</v>
      </c>
      <c r="AE3622" t="s">
        <v>115</v>
      </c>
      <c r="AF3622">
        <v>0</v>
      </c>
      <c r="AG3622">
        <v>0</v>
      </c>
      <c r="AH3622" t="s">
        <v>116</v>
      </c>
      <c r="AI3622" s="1">
        <v>81116</v>
      </c>
      <c r="AJ3622" s="2">
        <v>0.19</v>
      </c>
      <c r="AK3622" s="1">
        <v>427171</v>
      </c>
      <c r="AL3622" t="s">
        <v>117</v>
      </c>
      <c r="AM3622" t="s">
        <v>393</v>
      </c>
      <c r="AN3622">
        <v>8344</v>
      </c>
      <c r="AO3622">
        <v>0.19</v>
      </c>
      <c r="AP3622">
        <v>1</v>
      </c>
      <c r="AR3622">
        <v>1</v>
      </c>
      <c r="AS3622" s="1">
        <v>30380</v>
      </c>
      <c r="AT3622" s="1">
        <v>6070</v>
      </c>
      <c r="AU3622" s="1">
        <v>24310</v>
      </c>
      <c r="AV3622">
        <v>80.02</v>
      </c>
      <c r="AX3622" s="1">
        <v>1781.42</v>
      </c>
      <c r="AY3622" t="s">
        <v>5904</v>
      </c>
      <c r="AZ3622" t="s">
        <v>5420</v>
      </c>
      <c r="BA3622" t="s">
        <v>5763</v>
      </c>
      <c r="BE3622" s="3">
        <v>42506</v>
      </c>
      <c r="BF3622" s="1">
        <v>335000</v>
      </c>
      <c r="BG3622" t="s">
        <v>23283</v>
      </c>
      <c r="BH3622" s="1">
        <v>185.9</v>
      </c>
      <c r="BI3622" s="1">
        <v>346055</v>
      </c>
      <c r="BJ3622" s="3">
        <v>42506</v>
      </c>
      <c r="BK3622" t="s">
        <v>123</v>
      </c>
      <c r="BL3622" t="str">
        <f>"2016.334389"</f>
        <v>2016.334389</v>
      </c>
      <c r="BM3622" t="s">
        <v>1227</v>
      </c>
      <c r="BO3622" t="s">
        <v>23284</v>
      </c>
      <c r="BS3622">
        <v>30</v>
      </c>
      <c r="BW3622" t="str">
        <f>""</f>
        <v/>
      </c>
      <c r="CH3622" t="str">
        <f>""</f>
        <v/>
      </c>
      <c r="CS3622" t="str">
        <f>""</f>
        <v/>
      </c>
    </row>
    <row r="3623" spans="1:97" x14ac:dyDescent="0.25">
      <c r="A3623" t="s">
        <v>11264</v>
      </c>
      <c r="B3623" t="s">
        <v>7497</v>
      </c>
      <c r="C3623" t="s">
        <v>1210</v>
      </c>
      <c r="D3623" t="s">
        <v>7497</v>
      </c>
      <c r="E3623" t="s">
        <v>23285</v>
      </c>
      <c r="F3623" t="s">
        <v>108</v>
      </c>
      <c r="H3623" t="s">
        <v>23286</v>
      </c>
      <c r="I3623" t="s">
        <v>390</v>
      </c>
      <c r="J3623" t="s">
        <v>111</v>
      </c>
      <c r="K3623" t="str">
        <f>"85041"</f>
        <v>85041</v>
      </c>
      <c r="L3623" t="s">
        <v>375</v>
      </c>
      <c r="M3623" t="s">
        <v>23286</v>
      </c>
      <c r="N3623" t="s">
        <v>390</v>
      </c>
      <c r="O3623" t="s">
        <v>111</v>
      </c>
      <c r="P3623" t="str">
        <f>"85041-7638"</f>
        <v>85041-7638</v>
      </c>
      <c r="Q3623" t="s">
        <v>113</v>
      </c>
      <c r="R3623" t="str">
        <f>"300-17-449"</f>
        <v>300-17-449</v>
      </c>
      <c r="S3623" t="s">
        <v>7013</v>
      </c>
      <c r="T3623" t="s">
        <v>7014</v>
      </c>
      <c r="U3623">
        <v>2522</v>
      </c>
      <c r="V3623">
        <v>0</v>
      </c>
      <c r="W3623">
        <v>3</v>
      </c>
      <c r="X3623">
        <v>2015</v>
      </c>
      <c r="Z3623">
        <v>1</v>
      </c>
      <c r="AB3623">
        <v>0</v>
      </c>
      <c r="AC3623" t="s">
        <v>115</v>
      </c>
      <c r="AD3623">
        <v>3</v>
      </c>
      <c r="AE3623" t="s">
        <v>115</v>
      </c>
      <c r="AF3623">
        <v>0</v>
      </c>
      <c r="AG3623">
        <v>0</v>
      </c>
      <c r="AH3623" t="s">
        <v>116</v>
      </c>
      <c r="AI3623" s="1">
        <v>31110</v>
      </c>
      <c r="AJ3623" s="2">
        <v>0.1</v>
      </c>
      <c r="AK3623" s="1">
        <v>309302</v>
      </c>
      <c r="AL3623" t="s">
        <v>117</v>
      </c>
      <c r="AM3623" t="s">
        <v>760</v>
      </c>
      <c r="AN3623">
        <v>6573</v>
      </c>
      <c r="AO3623">
        <v>0.15</v>
      </c>
      <c r="AR3623">
        <v>1</v>
      </c>
      <c r="AS3623" s="1">
        <v>22960</v>
      </c>
      <c r="AT3623" s="1">
        <v>4590</v>
      </c>
      <c r="AU3623" s="1">
        <v>18370</v>
      </c>
      <c r="AV3623">
        <v>80.010000000000005</v>
      </c>
      <c r="AX3623" s="1">
        <v>3180.96</v>
      </c>
      <c r="AY3623" t="s">
        <v>7015</v>
      </c>
      <c r="AZ3623" t="s">
        <v>7015</v>
      </c>
      <c r="BA3623" t="s">
        <v>1661</v>
      </c>
      <c r="BE3623" s="3">
        <v>42243</v>
      </c>
      <c r="BF3623" s="1">
        <v>271826</v>
      </c>
      <c r="BG3623" t="s">
        <v>2289</v>
      </c>
      <c r="BH3623" s="1">
        <v>107.78</v>
      </c>
      <c r="BI3623" s="1">
        <v>278192</v>
      </c>
      <c r="BJ3623" s="3">
        <v>42468</v>
      </c>
      <c r="BK3623" t="s">
        <v>123</v>
      </c>
      <c r="BL3623" t="str">
        <f>"2016.231872"</f>
        <v>2016.231872</v>
      </c>
      <c r="BM3623" t="s">
        <v>724</v>
      </c>
      <c r="BO3623" t="s">
        <v>23287</v>
      </c>
      <c r="BS3623">
        <v>30</v>
      </c>
      <c r="BW3623" t="str">
        <f>""</f>
        <v/>
      </c>
      <c r="CH3623" t="str">
        <f>""</f>
        <v/>
      </c>
      <c r="CS3623" t="str">
        <f>""</f>
        <v/>
      </c>
    </row>
    <row r="3624" spans="1:97" x14ac:dyDescent="0.25">
      <c r="A3624" t="s">
        <v>1850</v>
      </c>
      <c r="B3624" t="s">
        <v>13391</v>
      </c>
      <c r="C3624" t="s">
        <v>12861</v>
      </c>
      <c r="D3624" t="s">
        <v>13391</v>
      </c>
      <c r="E3624" t="s">
        <v>23288</v>
      </c>
      <c r="F3624" t="s">
        <v>108</v>
      </c>
      <c r="H3624" t="s">
        <v>23289</v>
      </c>
      <c r="I3624" t="s">
        <v>1788</v>
      </c>
      <c r="J3624" t="s">
        <v>111</v>
      </c>
      <c r="K3624" t="str">
        <f>"85355"</f>
        <v>85355</v>
      </c>
      <c r="L3624" t="s">
        <v>168</v>
      </c>
      <c r="M3624" t="s">
        <v>23289</v>
      </c>
      <c r="N3624" t="s">
        <v>1788</v>
      </c>
      <c r="O3624" t="s">
        <v>111</v>
      </c>
      <c r="P3624" t="str">
        <f>"85355-4365"</f>
        <v>85355-4365</v>
      </c>
      <c r="Q3624" t="s">
        <v>113</v>
      </c>
      <c r="R3624" t="str">
        <f>"502-90-109"</f>
        <v>502-90-109</v>
      </c>
      <c r="S3624" t="s">
        <v>8290</v>
      </c>
      <c r="U3624">
        <v>2687</v>
      </c>
      <c r="V3624">
        <v>0</v>
      </c>
      <c r="W3624">
        <v>4</v>
      </c>
      <c r="X3624">
        <v>2006</v>
      </c>
      <c r="Z3624">
        <v>2</v>
      </c>
      <c r="AA3624" t="s">
        <v>26</v>
      </c>
      <c r="AB3624">
        <v>0</v>
      </c>
      <c r="AC3624" t="s">
        <v>115</v>
      </c>
      <c r="AD3624">
        <v>2</v>
      </c>
      <c r="AE3624" t="s">
        <v>115</v>
      </c>
      <c r="AF3624">
        <v>0</v>
      </c>
      <c r="AG3624">
        <v>0</v>
      </c>
      <c r="AH3624" t="s">
        <v>116</v>
      </c>
      <c r="AI3624" s="1">
        <v>91158</v>
      </c>
      <c r="AJ3624" s="2">
        <v>0.3</v>
      </c>
      <c r="AK3624" s="1">
        <v>306241</v>
      </c>
      <c r="AL3624" t="s">
        <v>117</v>
      </c>
      <c r="AM3624" t="s">
        <v>191</v>
      </c>
      <c r="AN3624">
        <v>6053</v>
      </c>
      <c r="AO3624">
        <v>0.14000000000000001</v>
      </c>
      <c r="AR3624">
        <v>1</v>
      </c>
      <c r="AS3624" s="1">
        <v>21950</v>
      </c>
      <c r="AT3624" s="1">
        <v>4390</v>
      </c>
      <c r="AU3624" s="1">
        <v>17560</v>
      </c>
      <c r="AV3624">
        <v>80</v>
      </c>
      <c r="AX3624" s="1">
        <v>1615.8</v>
      </c>
      <c r="AY3624" t="s">
        <v>5972</v>
      </c>
      <c r="AZ3624" t="s">
        <v>5972</v>
      </c>
      <c r="BA3624" t="s">
        <v>5061</v>
      </c>
      <c r="BE3624" s="3">
        <v>42004</v>
      </c>
      <c r="BF3624" s="1">
        <v>209000</v>
      </c>
      <c r="BG3624" t="s">
        <v>23290</v>
      </c>
      <c r="BH3624" s="1">
        <v>77.78</v>
      </c>
      <c r="BI3624" s="1">
        <v>215083</v>
      </c>
      <c r="BJ3624" s="3">
        <v>42004</v>
      </c>
      <c r="BK3624" t="s">
        <v>123</v>
      </c>
      <c r="BL3624" t="str">
        <f>"2014.859894"</f>
        <v>2014.859894</v>
      </c>
      <c r="BM3624" t="s">
        <v>1791</v>
      </c>
      <c r="BO3624" t="s">
        <v>23291</v>
      </c>
      <c r="BS3624">
        <v>30</v>
      </c>
      <c r="BW3624" t="str">
        <f>""</f>
        <v/>
      </c>
      <c r="CH3624" t="str">
        <f>""</f>
        <v/>
      </c>
      <c r="CS3624" t="str">
        <f>""</f>
        <v/>
      </c>
    </row>
    <row r="3625" spans="1:97" x14ac:dyDescent="0.25">
      <c r="A3625" t="s">
        <v>2828</v>
      </c>
      <c r="B3625" t="s">
        <v>23292</v>
      </c>
      <c r="C3625" t="s">
        <v>23293</v>
      </c>
      <c r="D3625" t="s">
        <v>23292</v>
      </c>
      <c r="E3625" t="s">
        <v>23294</v>
      </c>
      <c r="F3625" t="s">
        <v>108</v>
      </c>
      <c r="H3625" t="s">
        <v>23295</v>
      </c>
      <c r="I3625" t="s">
        <v>499</v>
      </c>
      <c r="J3625" t="s">
        <v>111</v>
      </c>
      <c r="K3625" t="str">
        <f>"85338"</f>
        <v>85338</v>
      </c>
      <c r="L3625" t="s">
        <v>8146</v>
      </c>
      <c r="M3625" t="s">
        <v>23295</v>
      </c>
      <c r="N3625" t="s">
        <v>499</v>
      </c>
      <c r="O3625" t="s">
        <v>111</v>
      </c>
      <c r="P3625" t="str">
        <f>"85338-7511"</f>
        <v>85338-7511</v>
      </c>
      <c r="Q3625" t="s">
        <v>113</v>
      </c>
      <c r="R3625" t="str">
        <f>"502-44-196"</f>
        <v>502-44-196</v>
      </c>
      <c r="S3625" t="s">
        <v>5101</v>
      </c>
      <c r="T3625" t="s">
        <v>5102</v>
      </c>
      <c r="U3625">
        <v>2289</v>
      </c>
      <c r="V3625">
        <v>0</v>
      </c>
      <c r="W3625">
        <v>4</v>
      </c>
      <c r="X3625">
        <v>2015</v>
      </c>
      <c r="Z3625">
        <v>1</v>
      </c>
      <c r="AB3625">
        <v>0</v>
      </c>
      <c r="AC3625" t="s">
        <v>115</v>
      </c>
      <c r="AD3625">
        <v>3</v>
      </c>
      <c r="AE3625" t="s">
        <v>115</v>
      </c>
      <c r="AF3625">
        <v>0</v>
      </c>
      <c r="AG3625">
        <v>0</v>
      </c>
      <c r="AH3625" t="s">
        <v>116</v>
      </c>
      <c r="AI3625" s="1">
        <v>63347</v>
      </c>
      <c r="AJ3625" s="2">
        <v>0.19</v>
      </c>
      <c r="AK3625" s="1">
        <v>328381</v>
      </c>
      <c r="AL3625" t="s">
        <v>117</v>
      </c>
      <c r="AM3625" t="s">
        <v>118</v>
      </c>
      <c r="AN3625">
        <v>9372</v>
      </c>
      <c r="AO3625">
        <v>0.22</v>
      </c>
      <c r="AR3625">
        <v>1</v>
      </c>
      <c r="AS3625" s="1">
        <v>24610</v>
      </c>
      <c r="AT3625" s="1">
        <v>4920</v>
      </c>
      <c r="AU3625" s="1">
        <v>19690</v>
      </c>
      <c r="AV3625">
        <v>80.010000000000005</v>
      </c>
      <c r="AX3625" s="1">
        <v>1799.96</v>
      </c>
      <c r="AY3625" t="s">
        <v>2767</v>
      </c>
      <c r="AZ3625" t="s">
        <v>2767</v>
      </c>
      <c r="BA3625" t="s">
        <v>1247</v>
      </c>
      <c r="BE3625" s="3">
        <v>42153</v>
      </c>
      <c r="BF3625" s="1">
        <v>259456</v>
      </c>
      <c r="BG3625" t="s">
        <v>275</v>
      </c>
      <c r="BH3625" s="1">
        <v>113.35</v>
      </c>
      <c r="BI3625" s="1">
        <v>265034</v>
      </c>
      <c r="BJ3625" s="3">
        <v>42153</v>
      </c>
      <c r="BK3625" t="s">
        <v>123</v>
      </c>
      <c r="BL3625" t="str">
        <f>"2015.383537"</f>
        <v>2015.383537</v>
      </c>
      <c r="BM3625" t="s">
        <v>651</v>
      </c>
      <c r="BO3625" t="s">
        <v>23296</v>
      </c>
      <c r="BS3625">
        <v>30</v>
      </c>
      <c r="BW3625" t="str">
        <f>""</f>
        <v/>
      </c>
      <c r="CH3625" t="str">
        <f>""</f>
        <v/>
      </c>
      <c r="CS3625" t="str">
        <f>""</f>
        <v/>
      </c>
    </row>
    <row r="3626" spans="1:97" x14ac:dyDescent="0.25">
      <c r="A3626" t="s">
        <v>996</v>
      </c>
      <c r="B3626" t="s">
        <v>23297</v>
      </c>
      <c r="E3626" t="s">
        <v>23298</v>
      </c>
      <c r="F3626" t="s">
        <v>108</v>
      </c>
      <c r="H3626" t="s">
        <v>23299</v>
      </c>
      <c r="I3626" t="s">
        <v>110</v>
      </c>
      <c r="J3626" t="s">
        <v>111</v>
      </c>
      <c r="K3626" t="str">
        <f>"85225"</f>
        <v>85225</v>
      </c>
      <c r="L3626" t="s">
        <v>6169</v>
      </c>
      <c r="M3626" t="s">
        <v>23299</v>
      </c>
      <c r="N3626" t="s">
        <v>110</v>
      </c>
      <c r="O3626" t="s">
        <v>111</v>
      </c>
      <c r="P3626" t="str">
        <f>"85225-2201"</f>
        <v>85225-2201</v>
      </c>
      <c r="Q3626" t="s">
        <v>113</v>
      </c>
      <c r="R3626" t="str">
        <f>"303-69-572"</f>
        <v>303-69-572</v>
      </c>
      <c r="S3626" t="s">
        <v>14002</v>
      </c>
      <c r="U3626">
        <v>1503</v>
      </c>
      <c r="V3626">
        <v>0</v>
      </c>
      <c r="W3626">
        <v>3</v>
      </c>
      <c r="X3626">
        <v>1989</v>
      </c>
      <c r="Z3626">
        <v>1</v>
      </c>
      <c r="AB3626">
        <v>0</v>
      </c>
      <c r="AC3626" t="s">
        <v>115</v>
      </c>
      <c r="AD3626">
        <v>2</v>
      </c>
      <c r="AE3626" t="s">
        <v>115</v>
      </c>
      <c r="AF3626">
        <v>0</v>
      </c>
      <c r="AG3626">
        <v>0</v>
      </c>
      <c r="AH3626" t="s">
        <v>116</v>
      </c>
      <c r="AI3626" s="1">
        <v>82876</v>
      </c>
      <c r="AJ3626" s="2">
        <v>0.28999999999999998</v>
      </c>
      <c r="AK3626" s="1">
        <v>289857</v>
      </c>
      <c r="AL3626" t="s">
        <v>117</v>
      </c>
      <c r="AM3626" t="s">
        <v>118</v>
      </c>
      <c r="AN3626">
        <v>9313</v>
      </c>
      <c r="AO3626">
        <v>0.21</v>
      </c>
      <c r="AP3626">
        <v>1</v>
      </c>
      <c r="AR3626">
        <v>1</v>
      </c>
      <c r="AS3626" s="1">
        <v>19830</v>
      </c>
      <c r="AT3626" s="1">
        <v>3960</v>
      </c>
      <c r="AU3626" s="1">
        <v>15870</v>
      </c>
      <c r="AV3626">
        <v>80.03</v>
      </c>
      <c r="AX3626" s="1">
        <v>1429.56</v>
      </c>
      <c r="AY3626" t="s">
        <v>5650</v>
      </c>
      <c r="AZ3626" t="s">
        <v>2906</v>
      </c>
      <c r="BA3626" t="s">
        <v>303</v>
      </c>
      <c r="BE3626" s="3">
        <v>41873</v>
      </c>
      <c r="BF3626" s="1">
        <v>204000</v>
      </c>
      <c r="BG3626" t="s">
        <v>23300</v>
      </c>
      <c r="BH3626" s="1">
        <v>135.72999999999999</v>
      </c>
      <c r="BI3626" s="1">
        <v>206981</v>
      </c>
      <c r="BJ3626" s="3">
        <v>42247</v>
      </c>
      <c r="BK3626" t="s">
        <v>123</v>
      </c>
      <c r="BL3626" t="str">
        <f>"2015.631266"</f>
        <v>2015.631266</v>
      </c>
      <c r="BM3626" t="s">
        <v>402</v>
      </c>
      <c r="BO3626" t="s">
        <v>23301</v>
      </c>
      <c r="BS3626">
        <v>30</v>
      </c>
      <c r="BW3626" t="str">
        <f>""</f>
        <v/>
      </c>
      <c r="CH3626" t="str">
        <f>""</f>
        <v/>
      </c>
      <c r="CS3626" t="str">
        <f>""</f>
        <v/>
      </c>
    </row>
    <row r="3627" spans="1:97" x14ac:dyDescent="0.25">
      <c r="A3627" t="s">
        <v>3958</v>
      </c>
      <c r="B3627" t="s">
        <v>23302</v>
      </c>
      <c r="E3627" t="s">
        <v>23303</v>
      </c>
      <c r="F3627" t="s">
        <v>108</v>
      </c>
      <c r="H3627" t="s">
        <v>23304</v>
      </c>
      <c r="I3627" t="s">
        <v>110</v>
      </c>
      <c r="J3627" t="s">
        <v>111</v>
      </c>
      <c r="K3627" t="str">
        <f>"85225"</f>
        <v>85225</v>
      </c>
      <c r="L3627" t="s">
        <v>6682</v>
      </c>
      <c r="M3627" t="s">
        <v>23304</v>
      </c>
      <c r="N3627" t="s">
        <v>110</v>
      </c>
      <c r="O3627" t="s">
        <v>111</v>
      </c>
      <c r="P3627" t="str">
        <f>"85225-6853"</f>
        <v>85225-6853</v>
      </c>
      <c r="Q3627" t="s">
        <v>113</v>
      </c>
      <c r="R3627" t="str">
        <f>"303-21-313"</f>
        <v>303-21-313</v>
      </c>
      <c r="S3627" t="s">
        <v>23305</v>
      </c>
      <c r="T3627" t="s">
        <v>23305</v>
      </c>
      <c r="U3627">
        <v>1257</v>
      </c>
      <c r="V3627">
        <v>0</v>
      </c>
      <c r="W3627">
        <v>3</v>
      </c>
      <c r="X3627">
        <v>1996</v>
      </c>
      <c r="Z3627">
        <v>1</v>
      </c>
      <c r="AB3627">
        <v>0</v>
      </c>
      <c r="AC3627" t="s">
        <v>115</v>
      </c>
      <c r="AD3627">
        <v>2</v>
      </c>
      <c r="AE3627" t="s">
        <v>115</v>
      </c>
      <c r="AF3627">
        <v>0</v>
      </c>
      <c r="AG3627">
        <v>0</v>
      </c>
      <c r="AH3627" t="s">
        <v>116</v>
      </c>
      <c r="AI3627" s="1">
        <v>63104</v>
      </c>
      <c r="AJ3627" s="2">
        <v>0.23</v>
      </c>
      <c r="AK3627" s="1">
        <v>272043</v>
      </c>
      <c r="AL3627" t="s">
        <v>117</v>
      </c>
      <c r="AM3627" t="s">
        <v>118</v>
      </c>
      <c r="AN3627">
        <v>5249</v>
      </c>
      <c r="AO3627">
        <v>0.12</v>
      </c>
      <c r="AP3627">
        <v>1</v>
      </c>
      <c r="AR3627">
        <v>1</v>
      </c>
      <c r="AS3627" s="1">
        <v>18600</v>
      </c>
      <c r="AT3627" s="1">
        <v>3720</v>
      </c>
      <c r="AU3627" s="1">
        <v>14880</v>
      </c>
      <c r="AV3627">
        <v>80</v>
      </c>
      <c r="AX3627" s="1">
        <v>1093.68</v>
      </c>
      <c r="AY3627" t="s">
        <v>9047</v>
      </c>
      <c r="AZ3627" t="s">
        <v>1882</v>
      </c>
      <c r="BA3627" t="s">
        <v>121</v>
      </c>
      <c r="BE3627" s="3">
        <v>42174</v>
      </c>
      <c r="BF3627" s="1">
        <v>204900</v>
      </c>
      <c r="BG3627" t="s">
        <v>23306</v>
      </c>
      <c r="BH3627" s="1">
        <v>163.01</v>
      </c>
      <c r="BI3627" s="1">
        <v>208939</v>
      </c>
      <c r="BJ3627" s="3">
        <v>42513</v>
      </c>
      <c r="BK3627" t="s">
        <v>123</v>
      </c>
      <c r="BL3627" t="str">
        <f>"2016.352679"</f>
        <v>2016.352679</v>
      </c>
      <c r="BM3627" t="s">
        <v>255</v>
      </c>
      <c r="BO3627" t="s">
        <v>23307</v>
      </c>
      <c r="BS3627">
        <v>32</v>
      </c>
      <c r="BW3627" t="str">
        <f>""</f>
        <v/>
      </c>
      <c r="CH3627" t="str">
        <f>""</f>
        <v/>
      </c>
      <c r="CS3627" t="str">
        <f>""</f>
        <v/>
      </c>
    </row>
    <row r="3628" spans="1:97" x14ac:dyDescent="0.25">
      <c r="A3628" t="s">
        <v>265</v>
      </c>
      <c r="B3628" t="s">
        <v>16923</v>
      </c>
      <c r="E3628" t="s">
        <v>23308</v>
      </c>
      <c r="F3628" t="s">
        <v>108</v>
      </c>
      <c r="H3628" t="s">
        <v>23309</v>
      </c>
      <c r="I3628" t="s">
        <v>110</v>
      </c>
      <c r="J3628" t="s">
        <v>111</v>
      </c>
      <c r="K3628" t="str">
        <f>"85248"</f>
        <v>85248</v>
      </c>
      <c r="L3628" t="s">
        <v>4751</v>
      </c>
      <c r="M3628" t="s">
        <v>23309</v>
      </c>
      <c r="N3628" t="s">
        <v>110</v>
      </c>
      <c r="O3628" t="s">
        <v>111</v>
      </c>
      <c r="P3628" t="str">
        <f>"85248-6050"</f>
        <v>85248-6050</v>
      </c>
      <c r="Q3628" t="s">
        <v>113</v>
      </c>
      <c r="R3628" t="str">
        <f>"303-74-363"</f>
        <v>303-74-363</v>
      </c>
      <c r="S3628" t="s">
        <v>23310</v>
      </c>
      <c r="T3628" t="s">
        <v>23310</v>
      </c>
      <c r="U3628">
        <v>2666</v>
      </c>
      <c r="V3628">
        <v>0</v>
      </c>
      <c r="W3628">
        <v>3</v>
      </c>
      <c r="X3628">
        <v>1996</v>
      </c>
      <c r="Z3628">
        <v>1</v>
      </c>
      <c r="AB3628">
        <v>0</v>
      </c>
      <c r="AC3628" t="s">
        <v>115</v>
      </c>
      <c r="AD3628">
        <v>3</v>
      </c>
      <c r="AE3628" t="s">
        <v>115</v>
      </c>
      <c r="AF3628">
        <v>0</v>
      </c>
      <c r="AG3628">
        <v>0</v>
      </c>
      <c r="AH3628" t="s">
        <v>116</v>
      </c>
      <c r="AI3628" s="1">
        <v>134695</v>
      </c>
      <c r="AJ3628" s="2">
        <v>0.32</v>
      </c>
      <c r="AK3628" s="1">
        <v>426647</v>
      </c>
      <c r="AL3628" t="s">
        <v>117</v>
      </c>
      <c r="AM3628" t="s">
        <v>3111</v>
      </c>
      <c r="AN3628">
        <v>8690</v>
      </c>
      <c r="AO3628">
        <v>0.2</v>
      </c>
      <c r="AP3628">
        <v>1</v>
      </c>
      <c r="AR3628">
        <v>1</v>
      </c>
      <c r="AS3628" s="1">
        <v>30180</v>
      </c>
      <c r="AT3628" s="1">
        <v>6030</v>
      </c>
      <c r="AU3628" s="1">
        <v>24150</v>
      </c>
      <c r="AV3628">
        <v>80.02</v>
      </c>
      <c r="AX3628" s="1">
        <v>2653.98</v>
      </c>
      <c r="AY3628" t="s">
        <v>1881</v>
      </c>
      <c r="AZ3628" t="s">
        <v>1882</v>
      </c>
      <c r="BA3628" t="s">
        <v>121</v>
      </c>
      <c r="BE3628" s="3">
        <v>41815</v>
      </c>
      <c r="BF3628" s="1">
        <v>335000</v>
      </c>
      <c r="BG3628" t="s">
        <v>23311</v>
      </c>
      <c r="BH3628" s="1">
        <v>125.66</v>
      </c>
      <c r="BI3628" s="1">
        <v>291952</v>
      </c>
      <c r="BJ3628" s="3">
        <v>42634</v>
      </c>
      <c r="BK3628" t="s">
        <v>123</v>
      </c>
      <c r="BL3628" t="str">
        <f>"2016.686531"</f>
        <v>2016.686531</v>
      </c>
      <c r="BM3628" t="s">
        <v>425</v>
      </c>
      <c r="BO3628" t="s">
        <v>23312</v>
      </c>
      <c r="BS3628">
        <v>30</v>
      </c>
      <c r="BW3628" t="str">
        <f>""</f>
        <v/>
      </c>
      <c r="CH3628" t="str">
        <f>""</f>
        <v/>
      </c>
      <c r="CS3628" t="str">
        <f>""</f>
        <v/>
      </c>
    </row>
    <row r="3629" spans="1:97" x14ac:dyDescent="0.25">
      <c r="A3629" t="s">
        <v>2959</v>
      </c>
      <c r="B3629" t="s">
        <v>23313</v>
      </c>
      <c r="E3629" t="s">
        <v>23314</v>
      </c>
      <c r="F3629" t="s">
        <v>108</v>
      </c>
      <c r="H3629" t="s">
        <v>23315</v>
      </c>
      <c r="I3629" t="s">
        <v>390</v>
      </c>
      <c r="J3629" t="s">
        <v>111</v>
      </c>
      <c r="K3629" t="str">
        <f>"85023"</f>
        <v>85023</v>
      </c>
      <c r="L3629" t="s">
        <v>5248</v>
      </c>
      <c r="M3629" t="s">
        <v>23315</v>
      </c>
      <c r="N3629" t="s">
        <v>390</v>
      </c>
      <c r="O3629" t="s">
        <v>111</v>
      </c>
      <c r="P3629" t="str">
        <f>"85023-2252"</f>
        <v>85023-2252</v>
      </c>
      <c r="Q3629" t="s">
        <v>113</v>
      </c>
      <c r="R3629" t="str">
        <f>"208-20-006"</f>
        <v>208-20-006</v>
      </c>
      <c r="S3629" t="s">
        <v>23316</v>
      </c>
      <c r="T3629" t="s">
        <v>23316</v>
      </c>
      <c r="U3629">
        <v>1863</v>
      </c>
      <c r="V3629">
        <v>0</v>
      </c>
      <c r="W3629">
        <v>1</v>
      </c>
      <c r="X3629">
        <v>1959</v>
      </c>
      <c r="Z3629">
        <v>1</v>
      </c>
      <c r="AA3629" t="s">
        <v>26</v>
      </c>
      <c r="AB3629">
        <v>0</v>
      </c>
      <c r="AC3629" t="s">
        <v>5188</v>
      </c>
      <c r="AD3629">
        <v>2</v>
      </c>
      <c r="AE3629" t="s">
        <v>5188</v>
      </c>
      <c r="AF3629">
        <v>0</v>
      </c>
      <c r="AG3629">
        <v>0</v>
      </c>
      <c r="AH3629" t="s">
        <v>116</v>
      </c>
      <c r="AI3629" s="1">
        <v>33100</v>
      </c>
      <c r="AJ3629" s="2">
        <v>0.12</v>
      </c>
      <c r="AK3629" s="1">
        <v>273100</v>
      </c>
      <c r="AL3629" t="s">
        <v>117</v>
      </c>
      <c r="AM3629" t="s">
        <v>171</v>
      </c>
      <c r="AN3629">
        <v>13071</v>
      </c>
      <c r="AO3629">
        <v>0.3</v>
      </c>
      <c r="AP3629">
        <v>1</v>
      </c>
      <c r="AR3629">
        <v>1</v>
      </c>
      <c r="AS3629" s="1">
        <v>17980</v>
      </c>
      <c r="AT3629" s="1">
        <v>3590</v>
      </c>
      <c r="AU3629" s="1">
        <v>14390</v>
      </c>
      <c r="AV3629">
        <v>80.03</v>
      </c>
      <c r="AX3629" s="1">
        <v>1105.94</v>
      </c>
      <c r="AY3629" t="s">
        <v>9648</v>
      </c>
      <c r="AZ3629" t="s">
        <v>2357</v>
      </c>
      <c r="BA3629" t="s">
        <v>1462</v>
      </c>
      <c r="BE3629" s="3">
        <v>42410</v>
      </c>
      <c r="BF3629" s="1">
        <v>240000</v>
      </c>
      <c r="BG3629" t="s">
        <v>23317</v>
      </c>
      <c r="BH3629" s="1">
        <v>128.82</v>
      </c>
      <c r="BI3629" s="1">
        <v>240000</v>
      </c>
      <c r="BJ3629" s="3">
        <v>42410</v>
      </c>
      <c r="BK3629" t="s">
        <v>123</v>
      </c>
      <c r="BL3629" t="str">
        <f>"2016.87789"</f>
        <v>2016.87789</v>
      </c>
      <c r="BM3629" t="s">
        <v>544</v>
      </c>
      <c r="BO3629" t="s">
        <v>23318</v>
      </c>
      <c r="BS3629">
        <v>30</v>
      </c>
      <c r="BW3629" t="str">
        <f>""</f>
        <v/>
      </c>
      <c r="CH3629" t="str">
        <f>""</f>
        <v/>
      </c>
      <c r="CS3629" t="str">
        <f>""</f>
        <v/>
      </c>
    </row>
    <row r="3630" spans="1:97" x14ac:dyDescent="0.25">
      <c r="A3630" t="s">
        <v>265</v>
      </c>
      <c r="B3630" t="s">
        <v>23319</v>
      </c>
      <c r="C3630" t="s">
        <v>1289</v>
      </c>
      <c r="D3630" t="s">
        <v>23319</v>
      </c>
      <c r="E3630" t="s">
        <v>23320</v>
      </c>
      <c r="F3630" t="s">
        <v>108</v>
      </c>
      <c r="H3630" t="s">
        <v>23321</v>
      </c>
      <c r="I3630" t="s">
        <v>225</v>
      </c>
      <c r="J3630" t="s">
        <v>111</v>
      </c>
      <c r="K3630" t="str">
        <f>"85209"</f>
        <v>85209</v>
      </c>
      <c r="L3630" t="s">
        <v>4326</v>
      </c>
      <c r="M3630" t="s">
        <v>23321</v>
      </c>
      <c r="N3630" t="s">
        <v>225</v>
      </c>
      <c r="O3630" t="s">
        <v>111</v>
      </c>
      <c r="P3630" t="str">
        <f>"85209-6171"</f>
        <v>85209-6171</v>
      </c>
      <c r="Q3630" t="s">
        <v>113</v>
      </c>
      <c r="R3630" t="str">
        <f>"309-02-647"</f>
        <v>309-02-647</v>
      </c>
      <c r="S3630" t="s">
        <v>23322</v>
      </c>
      <c r="U3630">
        <v>2129</v>
      </c>
      <c r="V3630">
        <v>0</v>
      </c>
      <c r="W3630">
        <v>3</v>
      </c>
      <c r="X3630">
        <v>1994</v>
      </c>
      <c r="Z3630">
        <v>1</v>
      </c>
      <c r="AB3630">
        <v>0</v>
      </c>
      <c r="AC3630" t="s">
        <v>115</v>
      </c>
      <c r="AD3630">
        <v>2</v>
      </c>
      <c r="AE3630" t="s">
        <v>115</v>
      </c>
      <c r="AF3630">
        <v>0</v>
      </c>
      <c r="AG3630">
        <v>0</v>
      </c>
      <c r="AH3630" t="s">
        <v>116</v>
      </c>
      <c r="AI3630" s="1">
        <v>61322</v>
      </c>
      <c r="AJ3630" s="2">
        <v>0.19</v>
      </c>
      <c r="AK3630" s="1">
        <v>324737</v>
      </c>
      <c r="AL3630" t="s">
        <v>117</v>
      </c>
      <c r="AM3630" t="s">
        <v>393</v>
      </c>
      <c r="AN3630">
        <v>6264</v>
      </c>
      <c r="AO3630">
        <v>0.14000000000000001</v>
      </c>
      <c r="AP3630">
        <v>1</v>
      </c>
      <c r="AR3630">
        <v>1</v>
      </c>
      <c r="AS3630" s="1">
        <v>21450</v>
      </c>
      <c r="AT3630" s="1">
        <v>4290</v>
      </c>
      <c r="AU3630" s="1">
        <v>17160</v>
      </c>
      <c r="AV3630">
        <v>80</v>
      </c>
      <c r="AX3630" s="1">
        <v>1987.94</v>
      </c>
      <c r="AY3630" t="s">
        <v>570</v>
      </c>
      <c r="AZ3630" t="s">
        <v>777</v>
      </c>
      <c r="BA3630" t="s">
        <v>572</v>
      </c>
      <c r="BE3630" s="3">
        <v>42286</v>
      </c>
      <c r="BF3630" s="1">
        <v>255000</v>
      </c>
      <c r="BG3630" t="s">
        <v>23323</v>
      </c>
      <c r="BH3630" s="1">
        <v>119.77</v>
      </c>
      <c r="BI3630" s="1">
        <v>263415</v>
      </c>
      <c r="BJ3630" s="3">
        <v>42286</v>
      </c>
      <c r="BK3630" t="s">
        <v>123</v>
      </c>
      <c r="BL3630" t="str">
        <f>"2015.730393"</f>
        <v>2015.730393</v>
      </c>
      <c r="BM3630" t="s">
        <v>10036</v>
      </c>
      <c r="BO3630" t="s">
        <v>23324</v>
      </c>
      <c r="BS3630">
        <v>30</v>
      </c>
      <c r="BW3630" t="str">
        <f>""</f>
        <v/>
      </c>
      <c r="CH3630" t="str">
        <f>""</f>
        <v/>
      </c>
      <c r="CS3630" t="str">
        <f>""</f>
        <v/>
      </c>
    </row>
    <row r="3631" spans="1:97" x14ac:dyDescent="0.25">
      <c r="A3631" t="s">
        <v>494</v>
      </c>
      <c r="B3631" t="s">
        <v>13238</v>
      </c>
      <c r="C3631" t="s">
        <v>23325</v>
      </c>
      <c r="D3631" t="s">
        <v>13238</v>
      </c>
      <c r="E3631" t="s">
        <v>23326</v>
      </c>
      <c r="F3631" t="s">
        <v>108</v>
      </c>
      <c r="H3631" t="s">
        <v>23327</v>
      </c>
      <c r="I3631" t="s">
        <v>5863</v>
      </c>
      <c r="J3631" t="s">
        <v>111</v>
      </c>
      <c r="K3631" t="str">
        <f>"85375"</f>
        <v>85375</v>
      </c>
      <c r="L3631" t="s">
        <v>8034</v>
      </c>
      <c r="M3631" t="s">
        <v>23327</v>
      </c>
      <c r="N3631" t="s">
        <v>5863</v>
      </c>
      <c r="O3631" t="s">
        <v>111</v>
      </c>
      <c r="P3631" t="str">
        <f>"85375-7206"</f>
        <v>85375-7206</v>
      </c>
      <c r="Q3631" t="s">
        <v>113</v>
      </c>
      <c r="R3631" t="str">
        <f>"503-84-617"</f>
        <v>503-84-617</v>
      </c>
      <c r="S3631" t="s">
        <v>19530</v>
      </c>
      <c r="T3631" t="s">
        <v>19531</v>
      </c>
      <c r="U3631">
        <v>1904</v>
      </c>
      <c r="V3631">
        <v>0</v>
      </c>
      <c r="W3631">
        <v>3</v>
      </c>
      <c r="X3631">
        <v>2005</v>
      </c>
      <c r="Z3631">
        <v>1</v>
      </c>
      <c r="AB3631">
        <v>0</v>
      </c>
      <c r="AC3631" t="s">
        <v>115</v>
      </c>
      <c r="AD3631">
        <v>2</v>
      </c>
      <c r="AE3631" t="s">
        <v>115</v>
      </c>
      <c r="AF3631">
        <v>0</v>
      </c>
      <c r="AG3631">
        <v>0</v>
      </c>
      <c r="AH3631" t="s">
        <v>116</v>
      </c>
      <c r="AI3631" s="1">
        <v>150282</v>
      </c>
      <c r="AJ3631" s="2">
        <v>0.43</v>
      </c>
      <c r="AK3631" s="1">
        <v>352907</v>
      </c>
      <c r="AL3631" t="s">
        <v>117</v>
      </c>
      <c r="AM3631" t="s">
        <v>191</v>
      </c>
      <c r="AN3631">
        <v>7020</v>
      </c>
      <c r="AO3631">
        <v>0.16</v>
      </c>
      <c r="AP3631">
        <v>1</v>
      </c>
      <c r="AR3631">
        <v>1</v>
      </c>
      <c r="AS3631" s="1">
        <v>24060</v>
      </c>
      <c r="AT3631" s="1">
        <v>4810</v>
      </c>
      <c r="AU3631" s="1">
        <v>19250</v>
      </c>
      <c r="AV3631">
        <v>80.010000000000005</v>
      </c>
      <c r="AX3631" s="1">
        <v>2811.58</v>
      </c>
      <c r="AY3631" t="s">
        <v>3228</v>
      </c>
      <c r="AZ3631" t="s">
        <v>3228</v>
      </c>
      <c r="BA3631" t="s">
        <v>457</v>
      </c>
      <c r="BE3631" s="3">
        <v>41904</v>
      </c>
      <c r="BF3631" s="1">
        <v>255000</v>
      </c>
      <c r="BG3631" t="s">
        <v>23328</v>
      </c>
      <c r="BH3631" s="1">
        <v>133.93</v>
      </c>
      <c r="BI3631" s="1">
        <v>202625</v>
      </c>
      <c r="BJ3631" s="3">
        <v>42710</v>
      </c>
      <c r="BK3631" t="s">
        <v>123</v>
      </c>
      <c r="BL3631" t="str">
        <f>"2016.899285"</f>
        <v>2016.899285</v>
      </c>
      <c r="BM3631" t="s">
        <v>709</v>
      </c>
      <c r="BO3631" t="s">
        <v>23329</v>
      </c>
      <c r="BS3631">
        <v>30</v>
      </c>
      <c r="BW3631" t="str">
        <f>""</f>
        <v/>
      </c>
      <c r="CH3631" t="str">
        <f>""</f>
        <v/>
      </c>
      <c r="CS3631" t="str">
        <f>""</f>
        <v/>
      </c>
    </row>
    <row r="3632" spans="1:97" x14ac:dyDescent="0.25">
      <c r="A3632" t="s">
        <v>6821</v>
      </c>
      <c r="B3632" t="s">
        <v>7497</v>
      </c>
      <c r="C3632" t="s">
        <v>259</v>
      </c>
      <c r="D3632" t="s">
        <v>7497</v>
      </c>
      <c r="E3632" t="s">
        <v>23330</v>
      </c>
      <c r="F3632" t="s">
        <v>108</v>
      </c>
      <c r="H3632" t="s">
        <v>23331</v>
      </c>
      <c r="I3632" t="s">
        <v>632</v>
      </c>
      <c r="J3632" t="s">
        <v>111</v>
      </c>
      <c r="K3632" t="str">
        <f>"85379"</f>
        <v>85379</v>
      </c>
      <c r="L3632" t="s">
        <v>6416</v>
      </c>
      <c r="M3632" t="s">
        <v>23331</v>
      </c>
      <c r="N3632" t="s">
        <v>632</v>
      </c>
      <c r="O3632" t="s">
        <v>111</v>
      </c>
      <c r="P3632" t="str">
        <f>"85379-4241"</f>
        <v>85379-4241</v>
      </c>
      <c r="Q3632" t="s">
        <v>113</v>
      </c>
      <c r="R3632" t="str">
        <f>"509-08-566"</f>
        <v>509-08-566</v>
      </c>
      <c r="S3632" t="s">
        <v>6417</v>
      </c>
      <c r="U3632">
        <v>2198</v>
      </c>
      <c r="V3632">
        <v>0</v>
      </c>
      <c r="W3632">
        <v>3</v>
      </c>
      <c r="X3632">
        <v>2013</v>
      </c>
      <c r="Z3632">
        <v>1</v>
      </c>
      <c r="AB3632">
        <v>0</v>
      </c>
      <c r="AC3632" t="s">
        <v>115</v>
      </c>
      <c r="AD3632">
        <v>3</v>
      </c>
      <c r="AE3632" t="s">
        <v>115</v>
      </c>
      <c r="AF3632">
        <v>0</v>
      </c>
      <c r="AG3632">
        <v>0</v>
      </c>
      <c r="AH3632" t="s">
        <v>116</v>
      </c>
      <c r="AI3632" s="1">
        <v>38421</v>
      </c>
      <c r="AJ3632" s="2">
        <v>0.11</v>
      </c>
      <c r="AK3632" s="1">
        <v>338421</v>
      </c>
      <c r="AL3632" t="s">
        <v>117</v>
      </c>
      <c r="AM3632" t="s">
        <v>118</v>
      </c>
      <c r="AN3632">
        <v>8137</v>
      </c>
      <c r="AO3632">
        <v>0.19</v>
      </c>
      <c r="AR3632">
        <v>1</v>
      </c>
      <c r="AS3632" s="1">
        <v>25110</v>
      </c>
      <c r="AT3632" s="1">
        <v>5020</v>
      </c>
      <c r="AU3632" s="1">
        <v>20090</v>
      </c>
      <c r="AV3632">
        <v>80.010000000000005</v>
      </c>
      <c r="AX3632" s="1">
        <v>2775.9</v>
      </c>
      <c r="AY3632" t="s">
        <v>634</v>
      </c>
      <c r="AZ3632" t="s">
        <v>634</v>
      </c>
      <c r="BA3632" t="s">
        <v>635</v>
      </c>
      <c r="BE3632" s="3">
        <v>41969</v>
      </c>
      <c r="BF3632" s="1">
        <v>269500</v>
      </c>
      <c r="BG3632" t="s">
        <v>158</v>
      </c>
      <c r="BH3632" s="1">
        <v>122.61</v>
      </c>
      <c r="BI3632" s="1">
        <v>300000</v>
      </c>
      <c r="BJ3632" s="3">
        <v>43194</v>
      </c>
      <c r="BK3632" t="s">
        <v>123</v>
      </c>
      <c r="BL3632" t="str">
        <f>"2018.253426"</f>
        <v>2018.253426</v>
      </c>
      <c r="BM3632" t="s">
        <v>5534</v>
      </c>
      <c r="BN3632" t="s">
        <v>6390</v>
      </c>
      <c r="BO3632" t="s">
        <v>23332</v>
      </c>
      <c r="BP3632" t="s">
        <v>23333</v>
      </c>
      <c r="BR3632" t="s">
        <v>139</v>
      </c>
      <c r="BW3632" t="str">
        <f>""</f>
        <v/>
      </c>
      <c r="CH3632" t="str">
        <f>""</f>
        <v/>
      </c>
      <c r="CS3632" t="str">
        <f>""</f>
        <v/>
      </c>
    </row>
    <row r="3633" spans="1:97" x14ac:dyDescent="0.25">
      <c r="A3633" t="s">
        <v>3395</v>
      </c>
      <c r="B3633" t="s">
        <v>4378</v>
      </c>
      <c r="C3633" t="s">
        <v>1845</v>
      </c>
      <c r="D3633" t="s">
        <v>4378</v>
      </c>
      <c r="E3633" t="s">
        <v>23334</v>
      </c>
      <c r="F3633" t="s">
        <v>108</v>
      </c>
      <c r="H3633" t="s">
        <v>23335</v>
      </c>
      <c r="I3633" t="s">
        <v>225</v>
      </c>
      <c r="J3633" t="s">
        <v>111</v>
      </c>
      <c r="K3633" t="str">
        <f>"85207"</f>
        <v>85207</v>
      </c>
      <c r="L3633" t="s">
        <v>6308</v>
      </c>
      <c r="M3633" t="s">
        <v>23335</v>
      </c>
      <c r="N3633" t="s">
        <v>225</v>
      </c>
      <c r="O3633" t="s">
        <v>111</v>
      </c>
      <c r="P3633" t="str">
        <f>"85207-6622"</f>
        <v>85207-6622</v>
      </c>
      <c r="Q3633" t="s">
        <v>113</v>
      </c>
      <c r="R3633" t="str">
        <f>"218-08-260"</f>
        <v>218-08-260</v>
      </c>
      <c r="S3633" t="s">
        <v>6559</v>
      </c>
      <c r="T3633" t="s">
        <v>6559</v>
      </c>
      <c r="U3633">
        <v>1932</v>
      </c>
      <c r="V3633">
        <v>0</v>
      </c>
      <c r="W3633">
        <v>3</v>
      </c>
      <c r="X3633">
        <v>1996</v>
      </c>
      <c r="Z3633">
        <v>1</v>
      </c>
      <c r="AA3633" t="s">
        <v>26</v>
      </c>
      <c r="AB3633">
        <v>0</v>
      </c>
      <c r="AC3633" t="s">
        <v>115</v>
      </c>
      <c r="AD3633">
        <v>3</v>
      </c>
      <c r="AE3633" t="s">
        <v>115</v>
      </c>
      <c r="AF3633">
        <v>0</v>
      </c>
      <c r="AG3633">
        <v>0</v>
      </c>
      <c r="AH3633" t="s">
        <v>116</v>
      </c>
      <c r="AI3633" s="1">
        <v>32604</v>
      </c>
      <c r="AJ3633" s="2">
        <v>0.1</v>
      </c>
      <c r="AK3633" s="1">
        <v>327604</v>
      </c>
      <c r="AL3633" t="s">
        <v>117</v>
      </c>
      <c r="AM3633" t="s">
        <v>393</v>
      </c>
      <c r="AN3633">
        <v>8246</v>
      </c>
      <c r="AO3633">
        <v>0.19</v>
      </c>
      <c r="AP3633">
        <v>1</v>
      </c>
      <c r="AR3633">
        <v>1</v>
      </c>
      <c r="AS3633" s="1">
        <v>22960</v>
      </c>
      <c r="AT3633" s="1">
        <v>4590</v>
      </c>
      <c r="AU3633" s="1">
        <v>18370</v>
      </c>
      <c r="AV3633">
        <v>80.010000000000005</v>
      </c>
      <c r="AX3633" s="1">
        <v>1703.96</v>
      </c>
      <c r="AY3633" t="s">
        <v>4567</v>
      </c>
      <c r="AZ3633" t="s">
        <v>231</v>
      </c>
      <c r="BA3633" t="s">
        <v>3119</v>
      </c>
      <c r="BE3633" s="3">
        <v>42349</v>
      </c>
      <c r="BF3633" s="1">
        <v>260000</v>
      </c>
      <c r="BG3633" t="s">
        <v>23336</v>
      </c>
      <c r="BH3633" s="1">
        <v>134.58000000000001</v>
      </c>
      <c r="BI3633" s="1">
        <v>295000</v>
      </c>
      <c r="BJ3633" s="3">
        <v>43581</v>
      </c>
      <c r="BK3633" t="s">
        <v>123</v>
      </c>
      <c r="BL3633" t="str">
        <f>"2019.298331"</f>
        <v>2019.298331</v>
      </c>
      <c r="BM3633" t="s">
        <v>1185</v>
      </c>
      <c r="BN3633" t="s">
        <v>6728</v>
      </c>
      <c r="BO3633" t="s">
        <v>23337</v>
      </c>
      <c r="BP3633" t="s">
        <v>23338</v>
      </c>
      <c r="BR3633" t="s">
        <v>139</v>
      </c>
      <c r="BW3633" t="str">
        <f>""</f>
        <v/>
      </c>
      <c r="CH3633" t="str">
        <f>""</f>
        <v/>
      </c>
      <c r="CS3633" t="str">
        <f>""</f>
        <v/>
      </c>
    </row>
    <row r="3634" spans="1:97" x14ac:dyDescent="0.25">
      <c r="A3634" t="s">
        <v>2123</v>
      </c>
      <c r="B3634" t="s">
        <v>23339</v>
      </c>
      <c r="E3634" t="s">
        <v>23340</v>
      </c>
      <c r="F3634" t="s">
        <v>108</v>
      </c>
      <c r="H3634" t="s">
        <v>23341</v>
      </c>
      <c r="I3634" t="s">
        <v>203</v>
      </c>
      <c r="J3634" t="s">
        <v>111</v>
      </c>
      <c r="K3634" t="str">
        <f>"85234"</f>
        <v>85234</v>
      </c>
      <c r="L3634" t="s">
        <v>3758</v>
      </c>
      <c r="M3634" t="s">
        <v>23341</v>
      </c>
      <c r="N3634" t="s">
        <v>203</v>
      </c>
      <c r="O3634" t="s">
        <v>111</v>
      </c>
      <c r="P3634" t="str">
        <f>"85234-9003"</f>
        <v>85234-9003</v>
      </c>
      <c r="Q3634" t="s">
        <v>113</v>
      </c>
      <c r="R3634" t="str">
        <f>"309-13-066"</f>
        <v>309-13-066</v>
      </c>
      <c r="S3634" t="s">
        <v>11745</v>
      </c>
      <c r="T3634" t="s">
        <v>11745</v>
      </c>
      <c r="U3634">
        <v>1669</v>
      </c>
      <c r="V3634">
        <v>0</v>
      </c>
      <c r="W3634">
        <v>3</v>
      </c>
      <c r="X3634">
        <v>1998</v>
      </c>
      <c r="Z3634">
        <v>1</v>
      </c>
      <c r="AB3634">
        <v>0</v>
      </c>
      <c r="AC3634" t="s">
        <v>115</v>
      </c>
      <c r="AD3634">
        <v>2</v>
      </c>
      <c r="AE3634" t="s">
        <v>115</v>
      </c>
      <c r="AF3634">
        <v>0</v>
      </c>
      <c r="AG3634">
        <v>0</v>
      </c>
      <c r="AH3634" t="s">
        <v>116</v>
      </c>
      <c r="AI3634" s="1">
        <v>70334</v>
      </c>
      <c r="AJ3634" s="2">
        <v>0.22</v>
      </c>
      <c r="AK3634" s="1">
        <v>320334</v>
      </c>
      <c r="AL3634" t="s">
        <v>117</v>
      </c>
      <c r="AM3634" t="s">
        <v>191</v>
      </c>
      <c r="AN3634">
        <v>6329</v>
      </c>
      <c r="AO3634">
        <v>0.14000000000000001</v>
      </c>
      <c r="AP3634">
        <v>1</v>
      </c>
      <c r="AR3634">
        <v>1</v>
      </c>
      <c r="AS3634" s="1">
        <v>21610</v>
      </c>
      <c r="AT3634" s="1">
        <v>4320</v>
      </c>
      <c r="AU3634" s="1">
        <v>17290</v>
      </c>
      <c r="AV3634">
        <v>80.010000000000005</v>
      </c>
      <c r="AX3634" s="1">
        <v>1437.02</v>
      </c>
      <c r="AY3634" t="s">
        <v>6506</v>
      </c>
      <c r="AZ3634" t="s">
        <v>520</v>
      </c>
      <c r="BA3634" t="s">
        <v>5033</v>
      </c>
      <c r="BE3634" s="3">
        <v>42179</v>
      </c>
      <c r="BF3634" s="1">
        <v>250000</v>
      </c>
      <c r="BG3634" t="s">
        <v>23342</v>
      </c>
      <c r="BH3634" s="1">
        <v>149.79</v>
      </c>
      <c r="BI3634" s="1">
        <v>250000</v>
      </c>
      <c r="BJ3634" s="3">
        <v>42179</v>
      </c>
      <c r="BK3634" t="s">
        <v>123</v>
      </c>
      <c r="BL3634" t="str">
        <f>"2015.450898"</f>
        <v>2015.450898</v>
      </c>
      <c r="BM3634" t="s">
        <v>1791</v>
      </c>
      <c r="BO3634" t="s">
        <v>23343</v>
      </c>
      <c r="BS3634">
        <v>30</v>
      </c>
      <c r="BW3634" t="str">
        <f>""</f>
        <v/>
      </c>
      <c r="CH3634" t="str">
        <f>""</f>
        <v/>
      </c>
      <c r="CS3634" t="str">
        <f>""</f>
        <v/>
      </c>
    </row>
    <row r="3635" spans="1:97" x14ac:dyDescent="0.25">
      <c r="A3635" t="s">
        <v>4051</v>
      </c>
      <c r="B3635" t="s">
        <v>23344</v>
      </c>
      <c r="E3635" t="s">
        <v>23345</v>
      </c>
      <c r="F3635" t="s">
        <v>108</v>
      </c>
      <c r="H3635" t="s">
        <v>23346</v>
      </c>
      <c r="I3635" t="s">
        <v>632</v>
      </c>
      <c r="J3635" t="s">
        <v>111</v>
      </c>
      <c r="K3635" t="str">
        <f>"85379"</f>
        <v>85379</v>
      </c>
      <c r="L3635" t="s">
        <v>8255</v>
      </c>
      <c r="M3635" t="s">
        <v>23346</v>
      </c>
      <c r="N3635" t="s">
        <v>632</v>
      </c>
      <c r="O3635" t="s">
        <v>111</v>
      </c>
      <c r="P3635" t="str">
        <f>"85379-6243"</f>
        <v>85379-6243</v>
      </c>
      <c r="Q3635" t="s">
        <v>113</v>
      </c>
      <c r="R3635" t="str">
        <f>"501-92-507"</f>
        <v>501-92-507</v>
      </c>
      <c r="S3635" t="s">
        <v>23347</v>
      </c>
      <c r="U3635">
        <v>2889</v>
      </c>
      <c r="V3635">
        <v>0</v>
      </c>
      <c r="W3635">
        <v>3</v>
      </c>
      <c r="X3635">
        <v>2002</v>
      </c>
      <c r="Z3635">
        <v>2</v>
      </c>
      <c r="AA3635" t="s">
        <v>26</v>
      </c>
      <c r="AB3635">
        <v>0</v>
      </c>
      <c r="AC3635" t="s">
        <v>115</v>
      </c>
      <c r="AD3635">
        <v>2</v>
      </c>
      <c r="AE3635" t="s">
        <v>115</v>
      </c>
      <c r="AF3635">
        <v>0</v>
      </c>
      <c r="AG3635">
        <v>0</v>
      </c>
      <c r="AH3635" t="s">
        <v>116</v>
      </c>
      <c r="AI3635" s="1">
        <v>88502</v>
      </c>
      <c r="AJ3635" s="2">
        <v>0.26</v>
      </c>
      <c r="AK3635" s="1">
        <v>334106</v>
      </c>
      <c r="AL3635" t="s">
        <v>117</v>
      </c>
      <c r="AM3635" t="s">
        <v>5516</v>
      </c>
      <c r="AN3635">
        <v>7733</v>
      </c>
      <c r="AO3635">
        <v>0.18</v>
      </c>
      <c r="AP3635">
        <v>1</v>
      </c>
      <c r="AR3635">
        <v>1</v>
      </c>
      <c r="AS3635" s="1">
        <v>21550</v>
      </c>
      <c r="AT3635" s="1">
        <v>4310</v>
      </c>
      <c r="AU3635" s="1">
        <v>17240</v>
      </c>
      <c r="AV3635">
        <v>80</v>
      </c>
      <c r="AX3635" s="1">
        <v>1606.6</v>
      </c>
      <c r="AY3635" t="s">
        <v>6615</v>
      </c>
      <c r="AZ3635" t="s">
        <v>6615</v>
      </c>
      <c r="BA3635" t="s">
        <v>5061</v>
      </c>
      <c r="BB3635" s="3">
        <v>42627</v>
      </c>
      <c r="BD3635" t="s">
        <v>458</v>
      </c>
      <c r="BE3635" s="3">
        <v>42069</v>
      </c>
      <c r="BF3635" s="1">
        <v>245000</v>
      </c>
      <c r="BG3635" t="s">
        <v>23348</v>
      </c>
      <c r="BH3635" s="1">
        <v>84.8</v>
      </c>
      <c r="BI3635" s="1">
        <v>245604</v>
      </c>
      <c r="BJ3635" s="3">
        <v>42627</v>
      </c>
      <c r="BK3635" t="s">
        <v>123</v>
      </c>
      <c r="BL3635" t="str">
        <f>"2016.664973"</f>
        <v>2016.664973</v>
      </c>
      <c r="BM3635" t="s">
        <v>492</v>
      </c>
      <c r="BO3635" t="s">
        <v>23349</v>
      </c>
      <c r="BS3635">
        <v>30</v>
      </c>
      <c r="BW3635" t="str">
        <f>""</f>
        <v/>
      </c>
      <c r="CH3635" t="str">
        <f>""</f>
        <v/>
      </c>
      <c r="CS3635" t="str">
        <f>""</f>
        <v/>
      </c>
    </row>
    <row r="3636" spans="1:97" x14ac:dyDescent="0.25">
      <c r="A3636" t="s">
        <v>370</v>
      </c>
      <c r="B3636" t="s">
        <v>23350</v>
      </c>
      <c r="E3636" t="s">
        <v>23351</v>
      </c>
      <c r="F3636" t="s">
        <v>108</v>
      </c>
      <c r="H3636" t="s">
        <v>23352</v>
      </c>
      <c r="I3636" t="s">
        <v>144</v>
      </c>
      <c r="J3636" t="s">
        <v>111</v>
      </c>
      <c r="K3636" t="str">
        <f>"85396"</f>
        <v>85396</v>
      </c>
      <c r="L3636" t="s">
        <v>299</v>
      </c>
      <c r="M3636" t="s">
        <v>23352</v>
      </c>
      <c r="N3636" t="s">
        <v>144</v>
      </c>
      <c r="O3636" t="s">
        <v>111</v>
      </c>
      <c r="P3636" t="str">
        <f>"85396-3158"</f>
        <v>85396-3158</v>
      </c>
      <c r="Q3636" t="s">
        <v>113</v>
      </c>
      <c r="R3636" t="str">
        <f>"504-74-550"</f>
        <v>504-74-550</v>
      </c>
      <c r="S3636" t="s">
        <v>23353</v>
      </c>
      <c r="U3636">
        <v>3548</v>
      </c>
      <c r="V3636">
        <v>0</v>
      </c>
      <c r="W3636">
        <v>5</v>
      </c>
      <c r="X3636">
        <v>2006</v>
      </c>
      <c r="Z3636">
        <v>2</v>
      </c>
      <c r="AB3636">
        <v>0</v>
      </c>
      <c r="AC3636" t="s">
        <v>115</v>
      </c>
      <c r="AD3636">
        <v>3</v>
      </c>
      <c r="AE3636" t="s">
        <v>115</v>
      </c>
      <c r="AF3636">
        <v>0</v>
      </c>
      <c r="AG3636">
        <v>0</v>
      </c>
      <c r="AH3636" t="s">
        <v>116</v>
      </c>
      <c r="AI3636" s="1">
        <v>78806</v>
      </c>
      <c r="AJ3636" s="2">
        <v>0.28000000000000003</v>
      </c>
      <c r="AK3636" s="1">
        <v>280241</v>
      </c>
      <c r="AL3636" t="s">
        <v>117</v>
      </c>
      <c r="AM3636" t="s">
        <v>118</v>
      </c>
      <c r="AN3636">
        <v>6960</v>
      </c>
      <c r="AO3636">
        <v>0.16</v>
      </c>
      <c r="AR3636">
        <v>1</v>
      </c>
      <c r="AS3636" s="1">
        <v>19070</v>
      </c>
      <c r="AT3636" s="1">
        <v>3810</v>
      </c>
      <c r="AU3636" s="1">
        <v>15260</v>
      </c>
      <c r="AV3636">
        <v>80.02</v>
      </c>
      <c r="AX3636" s="1">
        <v>1458.74</v>
      </c>
      <c r="AY3636" t="s">
        <v>147</v>
      </c>
      <c r="AZ3636" t="s">
        <v>147</v>
      </c>
      <c r="BA3636" t="s">
        <v>148</v>
      </c>
      <c r="BE3636" s="3">
        <v>41915</v>
      </c>
      <c r="BF3636" s="1">
        <v>187900</v>
      </c>
      <c r="BG3636" t="s">
        <v>23354</v>
      </c>
      <c r="BH3636" s="1">
        <v>52.96</v>
      </c>
      <c r="BI3636" s="1">
        <v>201435</v>
      </c>
      <c r="BJ3636" s="3">
        <v>42621</v>
      </c>
      <c r="BK3636" t="s">
        <v>123</v>
      </c>
      <c r="BL3636" t="str">
        <f>"2016.652818"</f>
        <v>2016.652818</v>
      </c>
      <c r="BM3636" t="s">
        <v>14113</v>
      </c>
      <c r="BO3636" t="s">
        <v>23355</v>
      </c>
      <c r="BS3636">
        <v>30</v>
      </c>
      <c r="BW3636" t="str">
        <f>""</f>
        <v/>
      </c>
      <c r="CH3636" t="str">
        <f>""</f>
        <v/>
      </c>
      <c r="CS3636" t="str">
        <f>""</f>
        <v/>
      </c>
    </row>
    <row r="3637" spans="1:97" x14ac:dyDescent="0.25">
      <c r="A3637" t="s">
        <v>13462</v>
      </c>
      <c r="B3637" t="s">
        <v>23356</v>
      </c>
      <c r="C3637" t="s">
        <v>23357</v>
      </c>
      <c r="D3637" t="s">
        <v>23356</v>
      </c>
      <c r="E3637" t="s">
        <v>23358</v>
      </c>
      <c r="F3637" t="s">
        <v>108</v>
      </c>
      <c r="H3637" t="s">
        <v>23359</v>
      </c>
      <c r="I3637" t="s">
        <v>390</v>
      </c>
      <c r="J3637" t="s">
        <v>111</v>
      </c>
      <c r="K3637" t="str">
        <f>"85024"</f>
        <v>85024</v>
      </c>
      <c r="L3637" t="s">
        <v>7695</v>
      </c>
      <c r="M3637" t="s">
        <v>23359</v>
      </c>
      <c r="N3637" t="s">
        <v>390</v>
      </c>
      <c r="O3637" t="s">
        <v>111</v>
      </c>
      <c r="P3637" t="str">
        <f>"85024-2313"</f>
        <v>85024-2313</v>
      </c>
      <c r="Q3637" t="s">
        <v>113</v>
      </c>
      <c r="R3637" t="str">
        <f>"213-25-500"</f>
        <v>213-25-500</v>
      </c>
      <c r="S3637" t="s">
        <v>23267</v>
      </c>
      <c r="T3637" t="s">
        <v>8612</v>
      </c>
      <c r="U3637">
        <v>1840</v>
      </c>
      <c r="V3637">
        <v>0</v>
      </c>
      <c r="W3637">
        <v>3</v>
      </c>
      <c r="X3637">
        <v>1985</v>
      </c>
      <c r="Z3637">
        <v>1</v>
      </c>
      <c r="AB3637">
        <v>0</v>
      </c>
      <c r="AC3637" t="s">
        <v>115</v>
      </c>
      <c r="AD3637">
        <v>2</v>
      </c>
      <c r="AE3637" t="s">
        <v>115</v>
      </c>
      <c r="AF3637">
        <v>0</v>
      </c>
      <c r="AG3637">
        <v>0</v>
      </c>
      <c r="AH3637" t="s">
        <v>116</v>
      </c>
      <c r="AI3637" s="1">
        <v>65294</v>
      </c>
      <c r="AJ3637" s="2">
        <v>0.21</v>
      </c>
      <c r="AK3637" s="1">
        <v>307194</v>
      </c>
      <c r="AL3637" t="s">
        <v>117</v>
      </c>
      <c r="AM3637" t="s">
        <v>171</v>
      </c>
      <c r="AN3637">
        <v>8639</v>
      </c>
      <c r="AO3637">
        <v>0.2</v>
      </c>
      <c r="AP3637">
        <v>1</v>
      </c>
      <c r="AR3637">
        <v>1</v>
      </c>
      <c r="AS3637" s="1">
        <v>21810</v>
      </c>
      <c r="AT3637" s="1">
        <v>4360</v>
      </c>
      <c r="AU3637" s="1">
        <v>17450</v>
      </c>
      <c r="AV3637">
        <v>80.010000000000005</v>
      </c>
      <c r="AX3637" s="1">
        <v>1648.74</v>
      </c>
      <c r="AY3637" t="s">
        <v>8613</v>
      </c>
      <c r="AZ3637" t="s">
        <v>761</v>
      </c>
      <c r="BA3637" t="s">
        <v>2551</v>
      </c>
      <c r="BE3637" s="3">
        <v>42419</v>
      </c>
      <c r="BF3637" s="1">
        <v>254900</v>
      </c>
      <c r="BG3637" t="s">
        <v>23360</v>
      </c>
      <c r="BH3637" s="1">
        <v>138.53</v>
      </c>
      <c r="BI3637" s="1">
        <v>241900</v>
      </c>
      <c r="BJ3637" s="3">
        <v>42419</v>
      </c>
      <c r="BK3637" t="s">
        <v>123</v>
      </c>
      <c r="BL3637" t="str">
        <f>"2016.104186"</f>
        <v>2016.104186</v>
      </c>
      <c r="BM3637" t="s">
        <v>11327</v>
      </c>
      <c r="BO3637" t="s">
        <v>23361</v>
      </c>
      <c r="BS3637">
        <v>30</v>
      </c>
      <c r="BW3637" t="str">
        <f>""</f>
        <v/>
      </c>
      <c r="CH3637" t="str">
        <f>""</f>
        <v/>
      </c>
      <c r="CS3637" t="str">
        <f>""</f>
        <v/>
      </c>
    </row>
    <row r="3638" spans="1:97" x14ac:dyDescent="0.25">
      <c r="A3638" t="s">
        <v>464</v>
      </c>
      <c r="B3638" t="s">
        <v>23362</v>
      </c>
      <c r="E3638" t="s">
        <v>23363</v>
      </c>
      <c r="F3638" t="s">
        <v>108</v>
      </c>
      <c r="H3638" t="s">
        <v>23364</v>
      </c>
      <c r="I3638" t="s">
        <v>225</v>
      </c>
      <c r="J3638" t="s">
        <v>111</v>
      </c>
      <c r="K3638" t="str">
        <f>"85210"</f>
        <v>85210</v>
      </c>
      <c r="L3638" t="s">
        <v>4003</v>
      </c>
      <c r="M3638" t="s">
        <v>23364</v>
      </c>
      <c r="N3638" t="s">
        <v>225</v>
      </c>
      <c r="O3638" t="s">
        <v>111</v>
      </c>
      <c r="P3638" t="str">
        <f>"85210-6701"</f>
        <v>85210-6701</v>
      </c>
      <c r="Q3638" t="s">
        <v>113</v>
      </c>
      <c r="R3638" t="str">
        <f>"302-04-061"</f>
        <v>302-04-061</v>
      </c>
      <c r="S3638" t="s">
        <v>23365</v>
      </c>
      <c r="T3638" t="s">
        <v>7140</v>
      </c>
      <c r="U3638">
        <v>1281</v>
      </c>
      <c r="V3638">
        <v>0</v>
      </c>
      <c r="W3638">
        <v>3</v>
      </c>
      <c r="X3638">
        <v>1977</v>
      </c>
      <c r="Z3638">
        <v>1</v>
      </c>
      <c r="AA3638" t="s">
        <v>26</v>
      </c>
      <c r="AB3638">
        <v>0</v>
      </c>
      <c r="AC3638" t="s">
        <v>115</v>
      </c>
      <c r="AD3638">
        <v>2</v>
      </c>
      <c r="AE3638" t="s">
        <v>115</v>
      </c>
      <c r="AF3638">
        <v>0</v>
      </c>
      <c r="AG3638">
        <v>0</v>
      </c>
      <c r="AH3638" t="s">
        <v>116</v>
      </c>
      <c r="AI3638" s="1">
        <v>54457</v>
      </c>
      <c r="AJ3638" s="2">
        <v>0.21</v>
      </c>
      <c r="AK3638" s="1">
        <v>264957</v>
      </c>
      <c r="AL3638" t="s">
        <v>117</v>
      </c>
      <c r="AM3638" t="s">
        <v>191</v>
      </c>
      <c r="AN3638">
        <v>7048</v>
      </c>
      <c r="AO3638">
        <v>0.16</v>
      </c>
      <c r="AP3638">
        <v>1</v>
      </c>
      <c r="AR3638">
        <v>1</v>
      </c>
      <c r="AS3638" s="1">
        <v>18060</v>
      </c>
      <c r="AT3638" s="1">
        <v>3610</v>
      </c>
      <c r="AU3638" s="1">
        <v>14450</v>
      </c>
      <c r="AV3638">
        <v>80.010000000000005</v>
      </c>
      <c r="AX3638" s="1">
        <v>1193.94</v>
      </c>
      <c r="AY3638" t="s">
        <v>8076</v>
      </c>
      <c r="AZ3638" t="s">
        <v>7295</v>
      </c>
      <c r="BA3638" t="s">
        <v>5311</v>
      </c>
      <c r="BE3638" s="3">
        <v>42223</v>
      </c>
      <c r="BF3638" s="1">
        <v>207500</v>
      </c>
      <c r="BG3638" t="s">
        <v>23366</v>
      </c>
      <c r="BH3638" s="1">
        <v>161.97999999999999</v>
      </c>
      <c r="BI3638" s="1">
        <v>210500</v>
      </c>
      <c r="BJ3638" s="3">
        <v>42605</v>
      </c>
      <c r="BK3638" t="s">
        <v>123</v>
      </c>
      <c r="BL3638" t="str">
        <f>"2016.605839"</f>
        <v>2016.605839</v>
      </c>
      <c r="BM3638" t="s">
        <v>23367</v>
      </c>
      <c r="BO3638" t="s">
        <v>23368</v>
      </c>
      <c r="BS3638">
        <v>30</v>
      </c>
      <c r="BW3638" t="str">
        <f>""</f>
        <v/>
      </c>
      <c r="CH3638" t="str">
        <f>""</f>
        <v/>
      </c>
      <c r="CS3638" t="str">
        <f>""</f>
        <v/>
      </c>
    </row>
    <row r="3639" spans="1:97" x14ac:dyDescent="0.25">
      <c r="B3639" t="s">
        <v>23369</v>
      </c>
      <c r="E3639" t="s">
        <v>23369</v>
      </c>
      <c r="F3639" t="s">
        <v>108</v>
      </c>
      <c r="H3639" t="s">
        <v>23370</v>
      </c>
      <c r="I3639" t="s">
        <v>390</v>
      </c>
      <c r="J3639" t="s">
        <v>111</v>
      </c>
      <c r="K3639" t="str">
        <f>"85028"</f>
        <v>85028</v>
      </c>
      <c r="L3639" t="s">
        <v>5485</v>
      </c>
      <c r="M3639" t="s">
        <v>23370</v>
      </c>
      <c r="N3639" t="s">
        <v>390</v>
      </c>
      <c r="O3639" t="s">
        <v>111</v>
      </c>
      <c r="P3639" t="str">
        <f>"85028-1210"</f>
        <v>85028-1210</v>
      </c>
      <c r="Q3639" t="s">
        <v>113</v>
      </c>
      <c r="R3639" t="str">
        <f>"166-32-012"</f>
        <v>166-32-012</v>
      </c>
      <c r="S3639" t="s">
        <v>23371</v>
      </c>
      <c r="T3639" t="s">
        <v>23371</v>
      </c>
      <c r="U3639">
        <v>1770</v>
      </c>
      <c r="V3639">
        <v>0</v>
      </c>
      <c r="W3639">
        <v>2</v>
      </c>
      <c r="X3639">
        <v>1955</v>
      </c>
      <c r="Z3639">
        <v>1</v>
      </c>
      <c r="AB3639">
        <v>0</v>
      </c>
      <c r="AC3639" t="s">
        <v>115</v>
      </c>
      <c r="AD3639">
        <v>2</v>
      </c>
      <c r="AE3639" t="s">
        <v>115</v>
      </c>
      <c r="AF3639">
        <v>0</v>
      </c>
      <c r="AG3639">
        <v>0</v>
      </c>
      <c r="AH3639" t="s">
        <v>116</v>
      </c>
      <c r="AI3639" s="1">
        <v>126941</v>
      </c>
      <c r="AJ3639" s="2">
        <v>0.37</v>
      </c>
      <c r="AK3639" s="1">
        <v>340721</v>
      </c>
      <c r="AL3639" t="s">
        <v>117</v>
      </c>
      <c r="AM3639" t="s">
        <v>1302</v>
      </c>
      <c r="AN3639">
        <v>16120</v>
      </c>
      <c r="AO3639">
        <v>0.37</v>
      </c>
      <c r="AP3639">
        <v>1</v>
      </c>
      <c r="AR3639">
        <v>1</v>
      </c>
      <c r="AS3639" s="1">
        <v>23600</v>
      </c>
      <c r="AT3639" s="1">
        <v>4720</v>
      </c>
      <c r="AU3639" s="1">
        <v>18880</v>
      </c>
      <c r="AV3639">
        <v>80</v>
      </c>
      <c r="AX3639" s="1">
        <v>1813.22</v>
      </c>
      <c r="AY3639" t="s">
        <v>5488</v>
      </c>
      <c r="AZ3639" t="s">
        <v>5489</v>
      </c>
      <c r="BA3639" t="s">
        <v>5232</v>
      </c>
      <c r="BB3639" s="3">
        <v>42151</v>
      </c>
      <c r="BD3639" t="s">
        <v>240</v>
      </c>
      <c r="BE3639" s="3">
        <v>41740</v>
      </c>
      <c r="BF3639" s="1">
        <v>213000</v>
      </c>
      <c r="BG3639" t="s">
        <v>23372</v>
      </c>
      <c r="BH3639" s="1">
        <v>120.34</v>
      </c>
      <c r="BI3639" s="1">
        <v>213780</v>
      </c>
      <c r="BJ3639" s="3">
        <v>42151</v>
      </c>
      <c r="BK3639" t="s">
        <v>123</v>
      </c>
      <c r="BL3639" t="str">
        <f>"2015.374880"</f>
        <v>2015.374880</v>
      </c>
      <c r="BM3639" t="s">
        <v>9928</v>
      </c>
      <c r="BN3639" t="s">
        <v>9929</v>
      </c>
      <c r="BO3639" t="s">
        <v>23373</v>
      </c>
      <c r="BS3639">
        <v>30</v>
      </c>
      <c r="BW3639" t="str">
        <f>""</f>
        <v/>
      </c>
      <c r="CH3639" t="str">
        <f>""</f>
        <v/>
      </c>
      <c r="CS3639" t="str">
        <f>""</f>
        <v/>
      </c>
    </row>
    <row r="3640" spans="1:97" x14ac:dyDescent="0.25">
      <c r="A3640" t="s">
        <v>23374</v>
      </c>
      <c r="B3640" t="s">
        <v>364</v>
      </c>
      <c r="C3640" t="s">
        <v>1995</v>
      </c>
      <c r="D3640" t="s">
        <v>364</v>
      </c>
      <c r="E3640" t="s">
        <v>23375</v>
      </c>
      <c r="F3640" t="s">
        <v>108</v>
      </c>
      <c r="H3640" t="s">
        <v>23376</v>
      </c>
      <c r="I3640" t="s">
        <v>390</v>
      </c>
      <c r="J3640" t="s">
        <v>111</v>
      </c>
      <c r="K3640" t="str">
        <f>"85041"</f>
        <v>85041</v>
      </c>
      <c r="L3640" t="s">
        <v>5416</v>
      </c>
      <c r="M3640" t="s">
        <v>23376</v>
      </c>
      <c r="N3640" t="s">
        <v>390</v>
      </c>
      <c r="O3640" t="s">
        <v>111</v>
      </c>
      <c r="P3640" t="str">
        <f>"85041-8062"</f>
        <v>85041-8062</v>
      </c>
      <c r="Q3640" t="s">
        <v>113</v>
      </c>
      <c r="R3640" t="str">
        <f>"300-40-406"</f>
        <v>300-40-406</v>
      </c>
      <c r="S3640" t="s">
        <v>23377</v>
      </c>
      <c r="T3640" t="s">
        <v>23377</v>
      </c>
      <c r="U3640">
        <v>2735</v>
      </c>
      <c r="V3640">
        <v>0</v>
      </c>
      <c r="W3640">
        <v>4</v>
      </c>
      <c r="X3640">
        <v>2014</v>
      </c>
      <c r="Z3640">
        <v>2</v>
      </c>
      <c r="AA3640" t="s">
        <v>26</v>
      </c>
      <c r="AB3640">
        <v>0</v>
      </c>
      <c r="AC3640" t="s">
        <v>115</v>
      </c>
      <c r="AD3640">
        <v>2</v>
      </c>
      <c r="AE3640" t="s">
        <v>115</v>
      </c>
      <c r="AF3640">
        <v>0</v>
      </c>
      <c r="AG3640">
        <v>0</v>
      </c>
      <c r="AH3640" t="s">
        <v>116</v>
      </c>
      <c r="AI3640" s="1">
        <v>77652</v>
      </c>
      <c r="AJ3640" s="2">
        <v>0.22</v>
      </c>
      <c r="AK3640" s="1">
        <v>357669</v>
      </c>
      <c r="AL3640" t="s">
        <v>117</v>
      </c>
      <c r="AM3640" t="s">
        <v>191</v>
      </c>
      <c r="AN3640">
        <v>10486</v>
      </c>
      <c r="AO3640">
        <v>0.24</v>
      </c>
      <c r="AP3640">
        <v>1</v>
      </c>
      <c r="AR3640">
        <v>1</v>
      </c>
      <c r="AS3640" s="1">
        <v>26760</v>
      </c>
      <c r="AT3640" s="1">
        <v>5350</v>
      </c>
      <c r="AU3640" s="1">
        <v>21410</v>
      </c>
      <c r="AV3640">
        <v>80.010000000000005</v>
      </c>
      <c r="AX3640" s="1">
        <v>3565.4</v>
      </c>
      <c r="AY3640" t="s">
        <v>23378</v>
      </c>
      <c r="AZ3640" t="s">
        <v>23378</v>
      </c>
      <c r="BA3640" t="s">
        <v>1661</v>
      </c>
      <c r="BE3640" s="3">
        <v>41782</v>
      </c>
      <c r="BF3640" s="1">
        <v>280017</v>
      </c>
      <c r="BG3640" t="s">
        <v>23379</v>
      </c>
      <c r="BH3640" s="1">
        <v>102.38</v>
      </c>
      <c r="BI3640" s="1">
        <v>280017</v>
      </c>
      <c r="BJ3640" s="3">
        <v>41782</v>
      </c>
      <c r="BK3640" t="s">
        <v>123</v>
      </c>
      <c r="BL3640" t="str">
        <f>"2014.338856"</f>
        <v>2014.338856</v>
      </c>
      <c r="BM3640" t="s">
        <v>594</v>
      </c>
      <c r="BO3640" t="s">
        <v>23380</v>
      </c>
      <c r="BS3640">
        <v>30</v>
      </c>
      <c r="BW3640" t="str">
        <f>""</f>
        <v/>
      </c>
      <c r="CH3640" t="str">
        <f>""</f>
        <v/>
      </c>
      <c r="CS3640" t="str">
        <f>""</f>
        <v/>
      </c>
    </row>
    <row r="3641" spans="1:97" x14ac:dyDescent="0.25">
      <c r="A3641" t="s">
        <v>370</v>
      </c>
      <c r="B3641" t="s">
        <v>23381</v>
      </c>
      <c r="C3641" t="s">
        <v>23382</v>
      </c>
      <c r="D3641" t="s">
        <v>10785</v>
      </c>
      <c r="E3641" t="s">
        <v>23383</v>
      </c>
      <c r="F3641" t="s">
        <v>108</v>
      </c>
      <c r="H3641" t="s">
        <v>23384</v>
      </c>
      <c r="I3641" t="s">
        <v>110</v>
      </c>
      <c r="J3641" t="s">
        <v>111</v>
      </c>
      <c r="K3641" t="str">
        <f>"85225"</f>
        <v>85225</v>
      </c>
      <c r="L3641" t="s">
        <v>6169</v>
      </c>
      <c r="M3641" t="s">
        <v>23384</v>
      </c>
      <c r="N3641" t="s">
        <v>110</v>
      </c>
      <c r="O3641" t="s">
        <v>111</v>
      </c>
      <c r="P3641" t="str">
        <f>"85225-2276"</f>
        <v>85225-2276</v>
      </c>
      <c r="Q3641" t="s">
        <v>113</v>
      </c>
      <c r="R3641" t="str">
        <f>"303-02-296"</f>
        <v>303-02-296</v>
      </c>
      <c r="S3641" t="s">
        <v>8179</v>
      </c>
      <c r="U3641">
        <v>1729</v>
      </c>
      <c r="V3641">
        <v>0</v>
      </c>
      <c r="W3641">
        <v>3</v>
      </c>
      <c r="X3641">
        <v>1988</v>
      </c>
      <c r="Z3641">
        <v>1</v>
      </c>
      <c r="AB3641">
        <v>0</v>
      </c>
      <c r="AC3641" t="s">
        <v>115</v>
      </c>
      <c r="AD3641">
        <v>3</v>
      </c>
      <c r="AE3641" t="s">
        <v>115</v>
      </c>
      <c r="AF3641">
        <v>0</v>
      </c>
      <c r="AG3641">
        <v>0</v>
      </c>
      <c r="AH3641" t="s">
        <v>116</v>
      </c>
      <c r="AI3641" s="1">
        <v>28250</v>
      </c>
      <c r="AJ3641" s="2">
        <v>0.09</v>
      </c>
      <c r="AK3641" s="1">
        <v>314270</v>
      </c>
      <c r="AL3641" t="s">
        <v>117</v>
      </c>
      <c r="AM3641" t="s">
        <v>118</v>
      </c>
      <c r="AN3641">
        <v>10341</v>
      </c>
      <c r="AO3641">
        <v>0.24</v>
      </c>
      <c r="AP3641">
        <v>1</v>
      </c>
      <c r="AR3641">
        <v>1</v>
      </c>
      <c r="AS3641" s="1">
        <v>21950</v>
      </c>
      <c r="AT3641" s="1">
        <v>4390</v>
      </c>
      <c r="AU3641" s="1">
        <v>17560</v>
      </c>
      <c r="AV3641">
        <v>80</v>
      </c>
      <c r="AX3641" s="1">
        <v>1611.82</v>
      </c>
      <c r="AY3641" t="s">
        <v>5650</v>
      </c>
      <c r="AZ3641" t="s">
        <v>2906</v>
      </c>
      <c r="BA3641" t="s">
        <v>303</v>
      </c>
      <c r="BE3641" s="3">
        <v>42541</v>
      </c>
      <c r="BF3641" s="1">
        <v>280000</v>
      </c>
      <c r="BG3641" t="s">
        <v>23385</v>
      </c>
      <c r="BH3641" s="1">
        <v>161.94</v>
      </c>
      <c r="BI3641" s="1">
        <v>286020</v>
      </c>
      <c r="BJ3641" s="3">
        <v>42541</v>
      </c>
      <c r="BK3641" t="s">
        <v>123</v>
      </c>
      <c r="BL3641" t="str">
        <f>"2016.427038"</f>
        <v>2016.427038</v>
      </c>
      <c r="BM3641" t="s">
        <v>150</v>
      </c>
      <c r="BO3641" t="s">
        <v>23386</v>
      </c>
      <c r="BP3641" t="s">
        <v>23387</v>
      </c>
      <c r="BS3641">
        <v>30</v>
      </c>
      <c r="BW3641" t="str">
        <f>""</f>
        <v/>
      </c>
      <c r="CH3641" t="str">
        <f>""</f>
        <v/>
      </c>
      <c r="CS3641" t="str">
        <f>""</f>
        <v/>
      </c>
    </row>
    <row r="3642" spans="1:97" x14ac:dyDescent="0.25">
      <c r="A3642" t="s">
        <v>1857</v>
      </c>
      <c r="B3642" t="s">
        <v>1187</v>
      </c>
      <c r="E3642" t="s">
        <v>23388</v>
      </c>
      <c r="F3642" t="s">
        <v>108</v>
      </c>
      <c r="H3642" t="s">
        <v>23389</v>
      </c>
      <c r="I3642" t="s">
        <v>5387</v>
      </c>
      <c r="J3642" t="s">
        <v>111</v>
      </c>
      <c r="K3642" t="str">
        <f>"85283"</f>
        <v>85283</v>
      </c>
      <c r="L3642" t="s">
        <v>5209</v>
      </c>
      <c r="M3642" t="s">
        <v>23389</v>
      </c>
      <c r="N3642" t="s">
        <v>5387</v>
      </c>
      <c r="O3642" t="s">
        <v>111</v>
      </c>
      <c r="P3642" t="str">
        <f>"85283-5115"</f>
        <v>85283-5115</v>
      </c>
      <c r="R3642" t="str">
        <f>"301-92-849"</f>
        <v>301-92-849</v>
      </c>
      <c r="S3642" t="s">
        <v>5388</v>
      </c>
      <c r="T3642" t="s">
        <v>5389</v>
      </c>
      <c r="U3642">
        <v>1572</v>
      </c>
      <c r="V3642">
        <v>0</v>
      </c>
      <c r="W3642">
        <v>3</v>
      </c>
      <c r="X3642">
        <v>1984</v>
      </c>
      <c r="Z3642">
        <v>1</v>
      </c>
      <c r="AB3642">
        <v>0</v>
      </c>
      <c r="AC3642" t="s">
        <v>115</v>
      </c>
      <c r="AD3642">
        <v>2</v>
      </c>
      <c r="AE3642" t="s">
        <v>115</v>
      </c>
      <c r="AF3642">
        <v>0</v>
      </c>
      <c r="AG3642">
        <v>0</v>
      </c>
      <c r="AH3642" t="s">
        <v>116</v>
      </c>
      <c r="AI3642" s="1">
        <v>87611</v>
      </c>
      <c r="AJ3642" s="2">
        <v>0.28000000000000003</v>
      </c>
      <c r="AK3642" s="1">
        <v>318384</v>
      </c>
      <c r="AL3642" t="s">
        <v>117</v>
      </c>
      <c r="AM3642" t="s">
        <v>393</v>
      </c>
      <c r="AN3642">
        <v>7932</v>
      </c>
      <c r="AO3642">
        <v>0.18</v>
      </c>
      <c r="AP3642">
        <v>1</v>
      </c>
      <c r="AR3642">
        <v>1</v>
      </c>
      <c r="AS3642" s="1">
        <v>22220</v>
      </c>
      <c r="AT3642" s="1">
        <v>4440</v>
      </c>
      <c r="AU3642" s="1">
        <v>17780</v>
      </c>
      <c r="AV3642">
        <v>80.02</v>
      </c>
      <c r="AX3642" s="1">
        <v>1958.94</v>
      </c>
      <c r="AY3642" t="s">
        <v>5390</v>
      </c>
      <c r="AZ3642" t="s">
        <v>5391</v>
      </c>
      <c r="BA3642" t="s">
        <v>5392</v>
      </c>
      <c r="BB3642" s="3">
        <v>41810</v>
      </c>
      <c r="BC3642" s="1">
        <v>224000</v>
      </c>
      <c r="BD3642" t="s">
        <v>842</v>
      </c>
      <c r="BE3642" s="3">
        <v>41786</v>
      </c>
      <c r="BF3642" s="1">
        <v>224000</v>
      </c>
      <c r="BG3642" t="s">
        <v>23390</v>
      </c>
      <c r="BH3642" s="1">
        <v>142.49</v>
      </c>
      <c r="BI3642" s="1">
        <v>230773</v>
      </c>
      <c r="BJ3642" s="3">
        <v>42223</v>
      </c>
      <c r="BK3642" t="s">
        <v>123</v>
      </c>
      <c r="BL3642" t="str">
        <f>"2015.571976"</f>
        <v>2015.571976</v>
      </c>
      <c r="BM3642" t="s">
        <v>322</v>
      </c>
      <c r="BN3642" t="s">
        <v>11897</v>
      </c>
      <c r="BO3642" t="s">
        <v>23391</v>
      </c>
      <c r="BS3642">
        <v>30</v>
      </c>
      <c r="BW3642" t="str">
        <f>""</f>
        <v/>
      </c>
      <c r="CH3642" t="str">
        <f>""</f>
        <v/>
      </c>
      <c r="CS3642" t="str">
        <f>""</f>
        <v/>
      </c>
    </row>
    <row r="3643" spans="1:97" x14ac:dyDescent="0.25">
      <c r="B3643" t="s">
        <v>23392</v>
      </c>
      <c r="E3643" t="s">
        <v>23393</v>
      </c>
      <c r="F3643" t="s">
        <v>108</v>
      </c>
      <c r="H3643" t="s">
        <v>23394</v>
      </c>
      <c r="I3643" t="s">
        <v>5523</v>
      </c>
      <c r="J3643" t="s">
        <v>111</v>
      </c>
      <c r="K3643" t="str">
        <f>"85373"</f>
        <v>85373</v>
      </c>
      <c r="L3643" t="s">
        <v>5514</v>
      </c>
      <c r="M3643" t="s">
        <v>23394</v>
      </c>
      <c r="N3643" t="s">
        <v>5523</v>
      </c>
      <c r="O3643" t="s">
        <v>111</v>
      </c>
      <c r="P3643" t="str">
        <f>"85373-1144"</f>
        <v>85373-1144</v>
      </c>
      <c r="Q3643" t="s">
        <v>113</v>
      </c>
      <c r="R3643" t="str">
        <f>"200-96-376"</f>
        <v>200-96-376</v>
      </c>
      <c r="S3643" t="s">
        <v>21931</v>
      </c>
      <c r="U3643">
        <v>1827</v>
      </c>
      <c r="V3643">
        <v>0</v>
      </c>
      <c r="W3643">
        <v>2</v>
      </c>
      <c r="X3643">
        <v>1977</v>
      </c>
      <c r="Z3643">
        <v>1</v>
      </c>
      <c r="AB3643">
        <v>0</v>
      </c>
      <c r="AC3643" t="s">
        <v>115</v>
      </c>
      <c r="AD3643">
        <v>2</v>
      </c>
      <c r="AE3643" t="s">
        <v>115</v>
      </c>
      <c r="AF3643">
        <v>0</v>
      </c>
      <c r="AG3643">
        <v>0</v>
      </c>
      <c r="AH3643" t="s">
        <v>116</v>
      </c>
      <c r="AI3643" s="1">
        <v>8828</v>
      </c>
      <c r="AJ3643" s="2">
        <v>0.04</v>
      </c>
      <c r="AK3643" s="1">
        <v>237828</v>
      </c>
      <c r="AL3643" t="s">
        <v>117</v>
      </c>
      <c r="AM3643" t="s">
        <v>393</v>
      </c>
      <c r="AN3643">
        <v>9527</v>
      </c>
      <c r="AO3643">
        <v>0.22</v>
      </c>
      <c r="AP3643">
        <v>1</v>
      </c>
      <c r="AR3643">
        <v>1</v>
      </c>
      <c r="AS3643" s="1">
        <v>16250</v>
      </c>
      <c r="AT3643" s="1">
        <v>3250</v>
      </c>
      <c r="AU3643" s="1">
        <v>13000</v>
      </c>
      <c r="AV3643">
        <v>80</v>
      </c>
      <c r="AX3643" s="1">
        <v>1132.68</v>
      </c>
      <c r="AY3643" t="s">
        <v>4520</v>
      </c>
      <c r="AZ3643" t="s">
        <v>4520</v>
      </c>
      <c r="BA3643" t="s">
        <v>3360</v>
      </c>
      <c r="BB3643" s="3">
        <v>42692</v>
      </c>
      <c r="BD3643" t="s">
        <v>240</v>
      </c>
      <c r="BE3643" s="3">
        <v>41648</v>
      </c>
      <c r="BF3643" s="1">
        <v>133000</v>
      </c>
      <c r="BG3643" t="s">
        <v>23395</v>
      </c>
      <c r="BH3643" s="1">
        <v>72.8</v>
      </c>
      <c r="BI3643" s="1">
        <v>229000</v>
      </c>
      <c r="BJ3643" s="3">
        <v>43536</v>
      </c>
      <c r="BK3643" t="s">
        <v>123</v>
      </c>
      <c r="BL3643" t="str">
        <f>"2019.167627"</f>
        <v>2019.167627</v>
      </c>
      <c r="BM3643" t="s">
        <v>533</v>
      </c>
      <c r="BN3643" t="s">
        <v>534</v>
      </c>
      <c r="BO3643" t="s">
        <v>23392</v>
      </c>
      <c r="BR3643" t="s">
        <v>139</v>
      </c>
      <c r="BW3643" t="str">
        <f>""</f>
        <v/>
      </c>
      <c r="CH3643" t="str">
        <f>""</f>
        <v/>
      </c>
      <c r="CS3643" t="str">
        <f>""</f>
        <v/>
      </c>
    </row>
    <row r="3644" spans="1:97" x14ac:dyDescent="0.25">
      <c r="A3644" t="s">
        <v>370</v>
      </c>
      <c r="B3644" t="s">
        <v>23396</v>
      </c>
      <c r="C3644" t="s">
        <v>2582</v>
      </c>
      <c r="D3644" t="s">
        <v>23396</v>
      </c>
      <c r="E3644" t="s">
        <v>23397</v>
      </c>
      <c r="F3644" t="s">
        <v>108</v>
      </c>
      <c r="H3644" t="s">
        <v>23398</v>
      </c>
      <c r="I3644" t="s">
        <v>2874</v>
      </c>
      <c r="J3644" t="s">
        <v>111</v>
      </c>
      <c r="K3644" t="str">
        <f>"85306"</f>
        <v>85306</v>
      </c>
      <c r="L3644" t="s">
        <v>7626</v>
      </c>
      <c r="M3644" t="s">
        <v>23398</v>
      </c>
      <c r="N3644" t="s">
        <v>2874</v>
      </c>
      <c r="O3644" t="s">
        <v>111</v>
      </c>
      <c r="P3644" t="str">
        <f>"85306-2029"</f>
        <v>85306-2029</v>
      </c>
      <c r="Q3644" t="s">
        <v>113</v>
      </c>
      <c r="R3644" t="str">
        <f>"207-27-034-C"</f>
        <v>207-27-034-C</v>
      </c>
      <c r="S3644" t="s">
        <v>23399</v>
      </c>
      <c r="T3644" t="s">
        <v>23400</v>
      </c>
      <c r="U3644">
        <v>1884</v>
      </c>
      <c r="V3644">
        <v>0</v>
      </c>
      <c r="W3644">
        <v>2</v>
      </c>
      <c r="X3644">
        <v>1975</v>
      </c>
      <c r="Z3644">
        <v>1</v>
      </c>
      <c r="AB3644">
        <v>0</v>
      </c>
      <c r="AC3644" t="s">
        <v>5188</v>
      </c>
      <c r="AD3644">
        <v>2</v>
      </c>
      <c r="AE3644" t="s">
        <v>5188</v>
      </c>
      <c r="AF3644">
        <v>0</v>
      </c>
      <c r="AG3644">
        <v>0</v>
      </c>
      <c r="AH3644" t="s">
        <v>116</v>
      </c>
      <c r="AI3644" s="1">
        <v>55809</v>
      </c>
      <c r="AJ3644" s="2">
        <v>0.2</v>
      </c>
      <c r="AK3644" s="1">
        <v>274298</v>
      </c>
      <c r="AL3644" t="s">
        <v>117</v>
      </c>
      <c r="AM3644" t="s">
        <v>171</v>
      </c>
      <c r="AN3644">
        <v>9806</v>
      </c>
      <c r="AO3644">
        <v>0.22</v>
      </c>
      <c r="AP3644">
        <v>1</v>
      </c>
      <c r="AR3644">
        <v>1</v>
      </c>
      <c r="AS3644" s="1">
        <v>17480</v>
      </c>
      <c r="AT3644" s="1">
        <v>3490</v>
      </c>
      <c r="AU3644" s="1">
        <v>13990</v>
      </c>
      <c r="AV3644">
        <v>80.03</v>
      </c>
      <c r="AX3644" s="1">
        <v>1528.32</v>
      </c>
      <c r="AY3644" t="s">
        <v>2996</v>
      </c>
      <c r="AZ3644" t="s">
        <v>2997</v>
      </c>
      <c r="BA3644" t="s">
        <v>2998</v>
      </c>
      <c r="BE3644" s="3">
        <v>42194</v>
      </c>
      <c r="BF3644" s="1">
        <v>210000</v>
      </c>
      <c r="BG3644" t="s">
        <v>23401</v>
      </c>
      <c r="BH3644" s="1">
        <v>111.46</v>
      </c>
      <c r="BI3644" s="1">
        <v>218489</v>
      </c>
      <c r="BJ3644" s="3">
        <v>42612</v>
      </c>
      <c r="BK3644" t="s">
        <v>123</v>
      </c>
      <c r="BL3644" t="str">
        <f>"2016.625198"</f>
        <v>2016.625198</v>
      </c>
      <c r="BM3644" t="s">
        <v>843</v>
      </c>
      <c r="BO3644" t="s">
        <v>23402</v>
      </c>
      <c r="BS3644">
        <v>30</v>
      </c>
      <c r="BW3644" t="str">
        <f>""</f>
        <v/>
      </c>
      <c r="CH3644" t="str">
        <f>""</f>
        <v/>
      </c>
      <c r="CS3644" t="str">
        <f>""</f>
        <v/>
      </c>
    </row>
    <row r="3645" spans="1:97" x14ac:dyDescent="0.25">
      <c r="A3645" t="s">
        <v>9363</v>
      </c>
      <c r="B3645" t="s">
        <v>4300</v>
      </c>
      <c r="E3645" t="s">
        <v>23403</v>
      </c>
      <c r="F3645" t="s">
        <v>282</v>
      </c>
      <c r="H3645" t="s">
        <v>23404</v>
      </c>
      <c r="I3645" t="s">
        <v>5114</v>
      </c>
      <c r="J3645" t="s">
        <v>111</v>
      </c>
      <c r="K3645" t="str">
        <f>"85392"</f>
        <v>85392</v>
      </c>
      <c r="L3645" t="s">
        <v>8199</v>
      </c>
      <c r="M3645" t="s">
        <v>23405</v>
      </c>
      <c r="N3645" t="s">
        <v>5114</v>
      </c>
      <c r="O3645" t="s">
        <v>111</v>
      </c>
      <c r="P3645" t="str">
        <f>"85392"</f>
        <v>85392</v>
      </c>
      <c r="Q3645" t="s">
        <v>113</v>
      </c>
      <c r="R3645" t="str">
        <f>"102-28-075"</f>
        <v>102-28-075</v>
      </c>
      <c r="S3645" t="s">
        <v>23406</v>
      </c>
      <c r="T3645" t="s">
        <v>11509</v>
      </c>
      <c r="U3645">
        <v>2507</v>
      </c>
      <c r="V3645">
        <v>0</v>
      </c>
      <c r="W3645">
        <v>4</v>
      </c>
      <c r="X3645">
        <v>1991</v>
      </c>
      <c r="Z3645">
        <v>2</v>
      </c>
      <c r="AB3645">
        <v>0</v>
      </c>
      <c r="AC3645" t="s">
        <v>115</v>
      </c>
      <c r="AD3645">
        <v>3</v>
      </c>
      <c r="AE3645" t="s">
        <v>115</v>
      </c>
      <c r="AF3645">
        <v>0</v>
      </c>
      <c r="AG3645">
        <v>0</v>
      </c>
      <c r="AH3645" t="s">
        <v>116</v>
      </c>
      <c r="AI3645" s="1">
        <v>31180</v>
      </c>
      <c r="AJ3645" s="2">
        <v>0.11</v>
      </c>
      <c r="AK3645" s="1">
        <v>284871</v>
      </c>
      <c r="AL3645" t="s">
        <v>117</v>
      </c>
      <c r="AM3645" t="s">
        <v>118</v>
      </c>
      <c r="AN3645">
        <v>7340</v>
      </c>
      <c r="AO3645">
        <v>0.17</v>
      </c>
      <c r="AP3645">
        <v>1</v>
      </c>
      <c r="AR3645">
        <v>1</v>
      </c>
      <c r="AS3645" s="1">
        <v>19860</v>
      </c>
      <c r="AT3645" s="1">
        <v>3970</v>
      </c>
      <c r="AU3645" s="1">
        <v>15890</v>
      </c>
      <c r="AV3645">
        <v>80.010000000000005</v>
      </c>
      <c r="AX3645" s="1">
        <v>2069.1999999999998</v>
      </c>
      <c r="AY3645" t="s">
        <v>8084</v>
      </c>
      <c r="AZ3645" t="s">
        <v>8084</v>
      </c>
      <c r="BA3645" t="s">
        <v>5118</v>
      </c>
      <c r="BE3645" s="3">
        <v>42389</v>
      </c>
      <c r="BF3645" s="1">
        <v>227500</v>
      </c>
      <c r="BG3645" t="s">
        <v>23407</v>
      </c>
      <c r="BH3645" s="1">
        <v>90.75</v>
      </c>
      <c r="BI3645" s="1">
        <v>232391</v>
      </c>
      <c r="BJ3645" s="3">
        <v>42389</v>
      </c>
      <c r="BK3645" t="s">
        <v>123</v>
      </c>
      <c r="BL3645" t="str">
        <f>"2016.38006"</f>
        <v>2016.38006</v>
      </c>
      <c r="BM3645" t="s">
        <v>2368</v>
      </c>
      <c r="BO3645" t="s">
        <v>23408</v>
      </c>
      <c r="BS3645">
        <v>30</v>
      </c>
      <c r="BT3645" s="1">
        <v>21300</v>
      </c>
      <c r="BU3645" s="3">
        <v>43068</v>
      </c>
      <c r="BW3645" t="str">
        <f>"2017.885083"</f>
        <v>2017.885083</v>
      </c>
      <c r="BX3645" t="s">
        <v>135</v>
      </c>
      <c r="BZ3645" t="s">
        <v>23409</v>
      </c>
      <c r="CC3645" t="s">
        <v>1633</v>
      </c>
      <c r="CD3645">
        <v>40</v>
      </c>
      <c r="CH3645" t="str">
        <f>""</f>
        <v/>
      </c>
      <c r="CS3645" t="str">
        <f>""</f>
        <v/>
      </c>
    </row>
    <row r="3646" spans="1:97" x14ac:dyDescent="0.25">
      <c r="A3646" t="s">
        <v>1295</v>
      </c>
      <c r="B3646" t="s">
        <v>3786</v>
      </c>
      <c r="E3646" t="s">
        <v>23410</v>
      </c>
      <c r="F3646" t="s">
        <v>108</v>
      </c>
      <c r="H3646" t="s">
        <v>23411</v>
      </c>
      <c r="I3646" t="s">
        <v>5114</v>
      </c>
      <c r="J3646" t="s">
        <v>111</v>
      </c>
      <c r="K3646" t="str">
        <f>"85323"</f>
        <v>85323</v>
      </c>
      <c r="L3646" t="s">
        <v>2015</v>
      </c>
      <c r="M3646" t="s">
        <v>23411</v>
      </c>
      <c r="N3646" t="s">
        <v>5114</v>
      </c>
      <c r="O3646" t="s">
        <v>111</v>
      </c>
      <c r="P3646" t="str">
        <f>"85323-1136"</f>
        <v>85323-1136</v>
      </c>
      <c r="Q3646" t="s">
        <v>113</v>
      </c>
      <c r="R3646" t="str">
        <f>"101-54-462"</f>
        <v>101-54-462</v>
      </c>
      <c r="S3646" t="s">
        <v>23412</v>
      </c>
      <c r="T3646" t="s">
        <v>23412</v>
      </c>
      <c r="U3646">
        <v>2304</v>
      </c>
      <c r="V3646">
        <v>0</v>
      </c>
      <c r="W3646">
        <v>4</v>
      </c>
      <c r="X3646">
        <v>2004</v>
      </c>
      <c r="Z3646">
        <v>2</v>
      </c>
      <c r="AA3646" t="s">
        <v>26</v>
      </c>
      <c r="AB3646">
        <v>0</v>
      </c>
      <c r="AC3646" t="s">
        <v>115</v>
      </c>
      <c r="AD3646">
        <v>2</v>
      </c>
      <c r="AE3646" t="s">
        <v>115</v>
      </c>
      <c r="AF3646">
        <v>0</v>
      </c>
      <c r="AG3646">
        <v>0</v>
      </c>
      <c r="AH3646" t="s">
        <v>116</v>
      </c>
      <c r="AI3646" s="1">
        <v>62216</v>
      </c>
      <c r="AJ3646" s="2">
        <v>0.22</v>
      </c>
      <c r="AK3646" s="1">
        <v>281838</v>
      </c>
      <c r="AL3646" t="s">
        <v>117</v>
      </c>
      <c r="AM3646" t="s">
        <v>118</v>
      </c>
      <c r="AN3646">
        <v>6525</v>
      </c>
      <c r="AO3646">
        <v>0.15</v>
      </c>
      <c r="AP3646">
        <v>1</v>
      </c>
      <c r="AR3646">
        <v>1</v>
      </c>
      <c r="AS3646" s="1">
        <v>18430</v>
      </c>
      <c r="AT3646" s="1">
        <v>3680</v>
      </c>
      <c r="AU3646" s="1">
        <v>14750</v>
      </c>
      <c r="AV3646">
        <v>80.03</v>
      </c>
      <c r="AX3646" s="1">
        <v>1511.1</v>
      </c>
      <c r="AY3646" t="s">
        <v>17711</v>
      </c>
      <c r="AZ3646" t="s">
        <v>17711</v>
      </c>
      <c r="BA3646" t="s">
        <v>4254</v>
      </c>
      <c r="BE3646" s="3">
        <v>42059</v>
      </c>
      <c r="BF3646" s="1">
        <v>215000</v>
      </c>
      <c r="BG3646" t="s">
        <v>23413</v>
      </c>
      <c r="BH3646" s="1">
        <v>93.32</v>
      </c>
      <c r="BI3646" s="1">
        <v>219622</v>
      </c>
      <c r="BJ3646" s="3">
        <v>42059</v>
      </c>
      <c r="BK3646" t="s">
        <v>123</v>
      </c>
      <c r="BL3646" t="str">
        <f>"2015.117162"</f>
        <v>2015.117162</v>
      </c>
      <c r="BM3646" t="s">
        <v>936</v>
      </c>
      <c r="BO3646" t="s">
        <v>23414</v>
      </c>
      <c r="BS3646">
        <v>30</v>
      </c>
      <c r="BW3646" t="str">
        <f>""</f>
        <v/>
      </c>
      <c r="CH3646" t="str">
        <f>""</f>
        <v/>
      </c>
      <c r="CS3646" t="str">
        <f>""</f>
        <v/>
      </c>
    </row>
    <row r="3647" spans="1:97" x14ac:dyDescent="0.25">
      <c r="A3647" t="s">
        <v>1938</v>
      </c>
      <c r="B3647" t="s">
        <v>23415</v>
      </c>
      <c r="E3647" t="s">
        <v>23416</v>
      </c>
      <c r="F3647" t="s">
        <v>108</v>
      </c>
      <c r="H3647" t="s">
        <v>23417</v>
      </c>
      <c r="I3647" t="s">
        <v>2874</v>
      </c>
      <c r="J3647" t="s">
        <v>111</v>
      </c>
      <c r="K3647" t="str">
        <f>"85310"</f>
        <v>85310</v>
      </c>
      <c r="L3647" t="s">
        <v>1796</v>
      </c>
      <c r="M3647" t="s">
        <v>23417</v>
      </c>
      <c r="N3647" t="s">
        <v>2874</v>
      </c>
      <c r="O3647" t="s">
        <v>111</v>
      </c>
      <c r="P3647" t="str">
        <f>"85310-4330"</f>
        <v>85310-4330</v>
      </c>
      <c r="Q3647" t="s">
        <v>113</v>
      </c>
      <c r="R3647" t="str">
        <f>"205-15-451"</f>
        <v>205-15-451</v>
      </c>
      <c r="S3647" t="s">
        <v>23418</v>
      </c>
      <c r="T3647" t="s">
        <v>5699</v>
      </c>
      <c r="U3647">
        <v>1518</v>
      </c>
      <c r="V3647">
        <v>0</v>
      </c>
      <c r="W3647">
        <v>3</v>
      </c>
      <c r="X3647">
        <v>1998</v>
      </c>
      <c r="Z3647">
        <v>1</v>
      </c>
      <c r="AA3647" t="s">
        <v>26</v>
      </c>
      <c r="AB3647">
        <v>0</v>
      </c>
      <c r="AC3647" t="s">
        <v>115</v>
      </c>
      <c r="AD3647">
        <v>2</v>
      </c>
      <c r="AE3647" t="s">
        <v>115</v>
      </c>
      <c r="AF3647">
        <v>0</v>
      </c>
      <c r="AG3647">
        <v>0</v>
      </c>
      <c r="AH3647" t="s">
        <v>116</v>
      </c>
      <c r="AI3647" s="1">
        <v>76665</v>
      </c>
      <c r="AJ3647" s="2">
        <v>0.27</v>
      </c>
      <c r="AK3647" s="1">
        <v>279649</v>
      </c>
      <c r="AL3647" t="s">
        <v>117</v>
      </c>
      <c r="AM3647" t="str">
        <f>"R1-6"</f>
        <v>R1-6</v>
      </c>
      <c r="AN3647">
        <v>4950</v>
      </c>
      <c r="AO3647">
        <v>0.11</v>
      </c>
      <c r="AP3647">
        <v>1</v>
      </c>
      <c r="AR3647">
        <v>1</v>
      </c>
      <c r="AS3647" s="1">
        <v>19530</v>
      </c>
      <c r="AT3647" s="1">
        <v>3900</v>
      </c>
      <c r="AU3647" s="1">
        <v>15630</v>
      </c>
      <c r="AV3647">
        <v>80.03</v>
      </c>
      <c r="AX3647" s="1">
        <v>1550.88</v>
      </c>
      <c r="AY3647" t="s">
        <v>5701</v>
      </c>
      <c r="AZ3647" t="s">
        <v>3049</v>
      </c>
      <c r="BA3647" t="s">
        <v>1386</v>
      </c>
      <c r="BE3647" s="3">
        <v>41976</v>
      </c>
      <c r="BF3647" s="1">
        <v>196500</v>
      </c>
      <c r="BG3647" t="s">
        <v>23419</v>
      </c>
      <c r="BH3647" s="1">
        <v>129.44999999999999</v>
      </c>
      <c r="BI3647" s="1">
        <v>202984</v>
      </c>
      <c r="BJ3647" s="3">
        <v>41976</v>
      </c>
      <c r="BK3647" t="s">
        <v>123</v>
      </c>
      <c r="BL3647" t="str">
        <f>"2014.797501"</f>
        <v>2014.797501</v>
      </c>
      <c r="BM3647" t="s">
        <v>738</v>
      </c>
      <c r="BO3647" t="s">
        <v>23420</v>
      </c>
      <c r="BS3647">
        <v>30</v>
      </c>
      <c r="BW3647" t="str">
        <f>""</f>
        <v/>
      </c>
      <c r="CH3647" t="str">
        <f>""</f>
        <v/>
      </c>
      <c r="CS3647" t="str">
        <f>""</f>
        <v/>
      </c>
    </row>
    <row r="3648" spans="1:97" x14ac:dyDescent="0.25">
      <c r="A3648" t="s">
        <v>23421</v>
      </c>
      <c r="B3648" t="s">
        <v>1144</v>
      </c>
      <c r="C3648" t="s">
        <v>23422</v>
      </c>
      <c r="D3648" t="s">
        <v>1144</v>
      </c>
      <c r="E3648" t="s">
        <v>23423</v>
      </c>
      <c r="F3648" t="s">
        <v>108</v>
      </c>
      <c r="H3648" t="s">
        <v>23424</v>
      </c>
      <c r="I3648" t="s">
        <v>390</v>
      </c>
      <c r="J3648" t="s">
        <v>111</v>
      </c>
      <c r="K3648" t="str">
        <f>"85022"</f>
        <v>85022</v>
      </c>
      <c r="L3648" t="s">
        <v>6983</v>
      </c>
      <c r="M3648" t="s">
        <v>23424</v>
      </c>
      <c r="N3648" t="s">
        <v>390</v>
      </c>
      <c r="O3648" t="s">
        <v>111</v>
      </c>
      <c r="P3648" t="str">
        <f>"85022-1360"</f>
        <v>85022-1360</v>
      </c>
      <c r="Q3648" t="s">
        <v>113</v>
      </c>
      <c r="R3648" t="str">
        <f>"214-10-413"</f>
        <v>214-10-413</v>
      </c>
      <c r="S3648" t="s">
        <v>15150</v>
      </c>
      <c r="T3648" t="s">
        <v>15151</v>
      </c>
      <c r="U3648">
        <v>2093</v>
      </c>
      <c r="V3648">
        <v>0</v>
      </c>
      <c r="W3648">
        <v>3</v>
      </c>
      <c r="X3648">
        <v>1986</v>
      </c>
      <c r="Z3648">
        <v>2</v>
      </c>
      <c r="AA3648" t="s">
        <v>26</v>
      </c>
      <c r="AB3648">
        <v>0</v>
      </c>
      <c r="AC3648" t="s">
        <v>115</v>
      </c>
      <c r="AD3648">
        <v>2</v>
      </c>
      <c r="AE3648" t="s">
        <v>115</v>
      </c>
      <c r="AF3648">
        <v>0</v>
      </c>
      <c r="AG3648">
        <v>0</v>
      </c>
      <c r="AH3648" t="s">
        <v>116</v>
      </c>
      <c r="AI3648" s="1">
        <v>47957</v>
      </c>
      <c r="AJ3648" s="2">
        <v>0.14000000000000001</v>
      </c>
      <c r="AK3648" s="1">
        <v>342957</v>
      </c>
      <c r="AL3648" t="s">
        <v>117</v>
      </c>
      <c r="AM3648" t="s">
        <v>1315</v>
      </c>
      <c r="AN3648">
        <v>6223</v>
      </c>
      <c r="AO3648">
        <v>0.14000000000000001</v>
      </c>
      <c r="AP3648">
        <v>1</v>
      </c>
      <c r="AR3648">
        <v>1</v>
      </c>
      <c r="AS3648" s="1">
        <v>23350</v>
      </c>
      <c r="AT3648" s="1">
        <v>4670</v>
      </c>
      <c r="AU3648" s="1">
        <v>18680</v>
      </c>
      <c r="AV3648">
        <v>80</v>
      </c>
      <c r="AX3648" s="1">
        <v>1862.44</v>
      </c>
      <c r="AY3648" t="s">
        <v>2549</v>
      </c>
      <c r="AZ3648" t="s">
        <v>2550</v>
      </c>
      <c r="BA3648" t="s">
        <v>2551</v>
      </c>
      <c r="BE3648" s="3">
        <v>42103</v>
      </c>
      <c r="BF3648" s="1">
        <v>272000</v>
      </c>
      <c r="BG3648" t="s">
        <v>13518</v>
      </c>
      <c r="BH3648" s="1">
        <v>129.96</v>
      </c>
      <c r="BI3648" s="1">
        <v>295000</v>
      </c>
      <c r="BJ3648" s="3">
        <v>43039</v>
      </c>
      <c r="BK3648" t="s">
        <v>123</v>
      </c>
      <c r="BL3648" t="str">
        <f>"2017.807039"</f>
        <v>2017.807039</v>
      </c>
      <c r="BM3648" t="s">
        <v>4885</v>
      </c>
      <c r="BO3648" t="s">
        <v>23425</v>
      </c>
      <c r="BS3648">
        <v>30</v>
      </c>
      <c r="BW3648" t="str">
        <f>""</f>
        <v/>
      </c>
      <c r="CH3648" t="str">
        <f>""</f>
        <v/>
      </c>
      <c r="CS3648" t="str">
        <f>""</f>
        <v/>
      </c>
    </row>
    <row r="3649" spans="1:97" x14ac:dyDescent="0.25">
      <c r="B3649" t="s">
        <v>23426</v>
      </c>
      <c r="E3649" t="s">
        <v>23427</v>
      </c>
      <c r="F3649" t="s">
        <v>139</v>
      </c>
      <c r="H3649" t="s">
        <v>23428</v>
      </c>
      <c r="I3649" t="s">
        <v>5523</v>
      </c>
      <c r="J3649" t="s">
        <v>111</v>
      </c>
      <c r="K3649" t="str">
        <f>"85373"</f>
        <v>85373</v>
      </c>
      <c r="L3649" t="s">
        <v>5514</v>
      </c>
      <c r="M3649" t="s">
        <v>23429</v>
      </c>
      <c r="N3649" t="s">
        <v>2874</v>
      </c>
      <c r="O3649" t="s">
        <v>111</v>
      </c>
      <c r="P3649" t="str">
        <f>"85308-8710"</f>
        <v>85308-8710</v>
      </c>
      <c r="Q3649" t="s">
        <v>113</v>
      </c>
      <c r="R3649" t="str">
        <f>"200-33-324"</f>
        <v>200-33-324</v>
      </c>
      <c r="S3649" t="s">
        <v>23430</v>
      </c>
      <c r="U3649">
        <v>2227</v>
      </c>
      <c r="V3649">
        <v>0</v>
      </c>
      <c r="W3649">
        <v>2</v>
      </c>
      <c r="X3649">
        <v>1976</v>
      </c>
      <c r="Z3649">
        <v>1</v>
      </c>
      <c r="AB3649">
        <v>0</v>
      </c>
      <c r="AC3649" t="s">
        <v>115</v>
      </c>
      <c r="AD3649">
        <v>2</v>
      </c>
      <c r="AE3649" t="s">
        <v>115</v>
      </c>
      <c r="AF3649">
        <v>0</v>
      </c>
      <c r="AG3649">
        <v>0</v>
      </c>
      <c r="AH3649" t="s">
        <v>116</v>
      </c>
      <c r="AI3649" s="1">
        <v>73338</v>
      </c>
      <c r="AJ3649" s="2">
        <v>0.26</v>
      </c>
      <c r="AK3649" s="1">
        <v>279938</v>
      </c>
      <c r="AL3649" t="s">
        <v>117</v>
      </c>
      <c r="AM3649" t="s">
        <v>191</v>
      </c>
      <c r="AN3649">
        <v>10399</v>
      </c>
      <c r="AO3649">
        <v>0.24</v>
      </c>
      <c r="AP3649">
        <v>1</v>
      </c>
      <c r="AR3649">
        <v>1</v>
      </c>
      <c r="AS3649" s="1">
        <v>18660</v>
      </c>
      <c r="AT3649" s="1">
        <v>3730</v>
      </c>
      <c r="AU3649" s="1">
        <v>14930</v>
      </c>
      <c r="AV3649">
        <v>80.010000000000005</v>
      </c>
      <c r="AX3649" s="1">
        <v>1332.14</v>
      </c>
      <c r="AY3649" t="s">
        <v>4520</v>
      </c>
      <c r="AZ3649" t="s">
        <v>4520</v>
      </c>
      <c r="BA3649" t="s">
        <v>3360</v>
      </c>
      <c r="BB3649" s="3">
        <v>43164</v>
      </c>
      <c r="BC3649" s="1">
        <v>0</v>
      </c>
      <c r="BD3649" t="s">
        <v>247</v>
      </c>
      <c r="BE3649" s="3">
        <v>42150</v>
      </c>
      <c r="BF3649" s="1">
        <v>210000</v>
      </c>
      <c r="BG3649" t="s">
        <v>23431</v>
      </c>
      <c r="BH3649" s="1">
        <v>94.3</v>
      </c>
      <c r="BI3649" s="1">
        <v>206600</v>
      </c>
      <c r="BJ3649" s="3">
        <v>42150</v>
      </c>
      <c r="BK3649" t="s">
        <v>123</v>
      </c>
      <c r="BL3649" t="str">
        <f>"2015.369463"</f>
        <v>2015.369463</v>
      </c>
      <c r="BM3649" t="s">
        <v>135</v>
      </c>
      <c r="BN3649" t="s">
        <v>136</v>
      </c>
      <c r="BO3649" t="s">
        <v>23432</v>
      </c>
      <c r="BS3649">
        <v>30</v>
      </c>
      <c r="BW3649" t="str">
        <f>""</f>
        <v/>
      </c>
      <c r="CH3649" t="str">
        <f>""</f>
        <v/>
      </c>
      <c r="CS3649" t="str">
        <f>""</f>
        <v/>
      </c>
    </row>
    <row r="3650" spans="1:97" x14ac:dyDescent="0.25">
      <c r="A3650" t="s">
        <v>370</v>
      </c>
      <c r="B3650" t="s">
        <v>4527</v>
      </c>
      <c r="C3650" t="s">
        <v>5038</v>
      </c>
      <c r="D3650" t="s">
        <v>4527</v>
      </c>
      <c r="E3650" t="s">
        <v>23433</v>
      </c>
      <c r="F3650" t="s">
        <v>108</v>
      </c>
      <c r="H3650" t="s">
        <v>23434</v>
      </c>
      <c r="I3650" t="s">
        <v>453</v>
      </c>
      <c r="J3650" t="s">
        <v>111</v>
      </c>
      <c r="K3650" t="str">
        <f>"85345"</f>
        <v>85345</v>
      </c>
      <c r="L3650" t="s">
        <v>5138</v>
      </c>
      <c r="M3650" t="s">
        <v>23434</v>
      </c>
      <c r="N3650" t="s">
        <v>453</v>
      </c>
      <c r="O3650" t="s">
        <v>111</v>
      </c>
      <c r="P3650" t="str">
        <f>"85345-8459"</f>
        <v>85345-8459</v>
      </c>
      <c r="Q3650" t="s">
        <v>113</v>
      </c>
      <c r="R3650" t="str">
        <f>"143-20-526"</f>
        <v>143-20-526</v>
      </c>
      <c r="S3650" t="s">
        <v>15270</v>
      </c>
      <c r="T3650" t="s">
        <v>15271</v>
      </c>
      <c r="U3650">
        <v>1854</v>
      </c>
      <c r="V3650">
        <v>0</v>
      </c>
      <c r="W3650">
        <v>2</v>
      </c>
      <c r="X3650">
        <v>2000</v>
      </c>
      <c r="Z3650">
        <v>1</v>
      </c>
      <c r="AA3650" t="s">
        <v>26</v>
      </c>
      <c r="AB3650">
        <v>0</v>
      </c>
      <c r="AC3650" t="s">
        <v>115</v>
      </c>
      <c r="AD3650">
        <v>2</v>
      </c>
      <c r="AE3650" t="s">
        <v>115</v>
      </c>
      <c r="AF3650">
        <v>0</v>
      </c>
      <c r="AG3650">
        <v>0</v>
      </c>
      <c r="AH3650" t="s">
        <v>116</v>
      </c>
      <c r="AI3650" s="1">
        <v>8927</v>
      </c>
      <c r="AJ3650" s="2">
        <v>0.04</v>
      </c>
      <c r="AK3650" s="1">
        <v>215927</v>
      </c>
      <c r="AL3650" t="s">
        <v>117</v>
      </c>
      <c r="AM3650" t="s">
        <v>191</v>
      </c>
      <c r="AN3650">
        <v>6600</v>
      </c>
      <c r="AO3650">
        <v>0.15</v>
      </c>
      <c r="AP3650">
        <v>1</v>
      </c>
      <c r="AR3650">
        <v>1</v>
      </c>
      <c r="AS3650" s="1">
        <v>17720</v>
      </c>
      <c r="AT3650" s="1">
        <v>3540</v>
      </c>
      <c r="AU3650" s="1">
        <v>14180</v>
      </c>
      <c r="AV3650">
        <v>80.02</v>
      </c>
      <c r="AX3650" s="1">
        <v>1716.28</v>
      </c>
      <c r="AY3650" t="s">
        <v>6684</v>
      </c>
      <c r="AZ3650" t="s">
        <v>6684</v>
      </c>
      <c r="BA3650" t="s">
        <v>6007</v>
      </c>
      <c r="BE3650" s="3">
        <v>42289</v>
      </c>
      <c r="BF3650" s="1">
        <v>207000</v>
      </c>
      <c r="BG3650" t="s">
        <v>23435</v>
      </c>
      <c r="BH3650" s="1">
        <v>111.65</v>
      </c>
      <c r="BI3650" s="1">
        <v>207000</v>
      </c>
      <c r="BJ3650" s="3">
        <v>42289</v>
      </c>
      <c r="BK3650" t="s">
        <v>123</v>
      </c>
      <c r="BL3650" t="str">
        <f>"2015.732398"</f>
        <v>2015.732398</v>
      </c>
      <c r="BM3650" t="s">
        <v>124</v>
      </c>
      <c r="BO3650" t="s">
        <v>23436</v>
      </c>
      <c r="BS3650">
        <v>30</v>
      </c>
      <c r="BW3650" t="str">
        <f>""</f>
        <v/>
      </c>
      <c r="CH3650" t="str">
        <f>""</f>
        <v/>
      </c>
      <c r="CS3650" t="str">
        <f>""</f>
        <v/>
      </c>
    </row>
    <row r="3651" spans="1:97" x14ac:dyDescent="0.25">
      <c r="A3651" t="s">
        <v>1109</v>
      </c>
      <c r="B3651" t="s">
        <v>23437</v>
      </c>
      <c r="E3651" t="s">
        <v>23438</v>
      </c>
      <c r="F3651" t="s">
        <v>108</v>
      </c>
      <c r="H3651" t="s">
        <v>23439</v>
      </c>
      <c r="I3651" t="s">
        <v>390</v>
      </c>
      <c r="J3651" t="s">
        <v>111</v>
      </c>
      <c r="K3651" t="str">
        <f>"85022"</f>
        <v>85022</v>
      </c>
      <c r="L3651" t="s">
        <v>6803</v>
      </c>
      <c r="M3651" t="s">
        <v>23439</v>
      </c>
      <c r="N3651" t="s">
        <v>390</v>
      </c>
      <c r="O3651" t="s">
        <v>111</v>
      </c>
      <c r="P3651" t="str">
        <f>"85022-4317"</f>
        <v>85022-4317</v>
      </c>
      <c r="R3651" t="str">
        <f>"214-45-021"</f>
        <v>214-45-021</v>
      </c>
      <c r="S3651" t="s">
        <v>23440</v>
      </c>
      <c r="T3651" t="s">
        <v>23440</v>
      </c>
      <c r="U3651">
        <v>1455</v>
      </c>
      <c r="V3651">
        <v>0</v>
      </c>
      <c r="W3651">
        <v>2</v>
      </c>
      <c r="X3651">
        <v>1950</v>
      </c>
      <c r="Z3651">
        <v>1</v>
      </c>
      <c r="AB3651">
        <v>0</v>
      </c>
      <c r="AC3651" t="s">
        <v>5188</v>
      </c>
      <c r="AD3651">
        <v>1</v>
      </c>
      <c r="AE3651" t="s">
        <v>5188</v>
      </c>
      <c r="AF3651">
        <v>0</v>
      </c>
      <c r="AG3651">
        <v>0</v>
      </c>
      <c r="AH3651" t="s">
        <v>116</v>
      </c>
      <c r="AI3651" s="1">
        <v>61747</v>
      </c>
      <c r="AJ3651" s="2">
        <v>0.23</v>
      </c>
      <c r="AK3651" s="1">
        <v>267667</v>
      </c>
      <c r="AL3651" t="s">
        <v>117</v>
      </c>
      <c r="AM3651" t="s">
        <v>760</v>
      </c>
      <c r="AN3651">
        <v>9126</v>
      </c>
      <c r="AO3651">
        <v>0.21</v>
      </c>
      <c r="AP3651">
        <v>1</v>
      </c>
      <c r="AR3651">
        <v>1</v>
      </c>
      <c r="AS3651" s="1">
        <v>17780</v>
      </c>
      <c r="AT3651" s="1">
        <v>3550</v>
      </c>
      <c r="AU3651" s="1">
        <v>14230</v>
      </c>
      <c r="AV3651">
        <v>80.03</v>
      </c>
      <c r="AX3651" s="1">
        <v>853.24</v>
      </c>
      <c r="AY3651" t="s">
        <v>5802</v>
      </c>
      <c r="AZ3651" t="s">
        <v>5489</v>
      </c>
      <c r="BA3651" t="s">
        <v>5232</v>
      </c>
      <c r="BE3651" s="3">
        <v>42153</v>
      </c>
      <c r="BF3651" s="1">
        <v>163000</v>
      </c>
      <c r="BG3651" t="s">
        <v>23441</v>
      </c>
      <c r="BH3651" s="1">
        <v>113.75</v>
      </c>
      <c r="BI3651" s="1">
        <v>205920</v>
      </c>
      <c r="BJ3651" s="3">
        <v>43403</v>
      </c>
      <c r="BK3651" t="s">
        <v>123</v>
      </c>
      <c r="BL3651" t="str">
        <f>"2018.810688"</f>
        <v>2018.810688</v>
      </c>
      <c r="BM3651" t="s">
        <v>23442</v>
      </c>
      <c r="BN3651" t="s">
        <v>14173</v>
      </c>
      <c r="BO3651" t="s">
        <v>23438</v>
      </c>
      <c r="BR3651" t="s">
        <v>139</v>
      </c>
      <c r="BW3651" t="str">
        <f>""</f>
        <v/>
      </c>
      <c r="CH3651" t="str">
        <f>""</f>
        <v/>
      </c>
      <c r="CS3651" t="str">
        <f>""</f>
        <v/>
      </c>
    </row>
    <row r="3652" spans="1:97" x14ac:dyDescent="0.25">
      <c r="A3652" t="s">
        <v>815</v>
      </c>
      <c r="B3652" t="s">
        <v>603</v>
      </c>
      <c r="E3652" t="s">
        <v>23443</v>
      </c>
      <c r="F3652" t="s">
        <v>108</v>
      </c>
      <c r="H3652" t="s">
        <v>23444</v>
      </c>
      <c r="I3652" t="s">
        <v>11965</v>
      </c>
      <c r="J3652" t="s">
        <v>111</v>
      </c>
      <c r="K3652" t="str">
        <f>"85354"</f>
        <v>85354</v>
      </c>
      <c r="L3652" t="s">
        <v>3037</v>
      </c>
      <c r="M3652" t="s">
        <v>23444</v>
      </c>
      <c r="N3652" t="s">
        <v>11965</v>
      </c>
      <c r="O3652" t="s">
        <v>111</v>
      </c>
      <c r="P3652" t="str">
        <f>"85354-8031"</f>
        <v>85354-8031</v>
      </c>
      <c r="Q3652" t="s">
        <v>113</v>
      </c>
      <c r="R3652" t="str">
        <f>"506-39-095-D"</f>
        <v>506-39-095-D</v>
      </c>
      <c r="S3652" t="s">
        <v>23445</v>
      </c>
      <c r="T3652" t="s">
        <v>23445</v>
      </c>
      <c r="U3652">
        <v>2504</v>
      </c>
      <c r="V3652">
        <v>0</v>
      </c>
      <c r="W3652">
        <v>4</v>
      </c>
      <c r="X3652">
        <v>2008</v>
      </c>
      <c r="Z3652">
        <v>1</v>
      </c>
      <c r="AB3652">
        <v>0</v>
      </c>
      <c r="AC3652" t="s">
        <v>115</v>
      </c>
      <c r="AD3652">
        <v>4</v>
      </c>
      <c r="AE3652" t="s">
        <v>115</v>
      </c>
      <c r="AF3652">
        <v>0</v>
      </c>
      <c r="AG3652">
        <v>0</v>
      </c>
      <c r="AH3652" t="s">
        <v>116</v>
      </c>
      <c r="AI3652" s="1">
        <v>87190</v>
      </c>
      <c r="AJ3652" s="2">
        <v>0.3</v>
      </c>
      <c r="AK3652" s="1">
        <v>294690</v>
      </c>
      <c r="AL3652" t="s">
        <v>117</v>
      </c>
      <c r="AM3652" t="s">
        <v>376</v>
      </c>
      <c r="AN3652">
        <v>45657</v>
      </c>
      <c r="AO3652">
        <v>1.05</v>
      </c>
      <c r="AR3652">
        <v>1</v>
      </c>
      <c r="AS3652" s="1">
        <v>19320</v>
      </c>
      <c r="AT3652" s="1">
        <v>3860</v>
      </c>
      <c r="AU3652" s="1">
        <v>15460</v>
      </c>
      <c r="AV3652">
        <v>80.02</v>
      </c>
      <c r="AX3652" s="1">
        <v>559.76</v>
      </c>
      <c r="AY3652" t="s">
        <v>11966</v>
      </c>
      <c r="AZ3652" t="s">
        <v>11966</v>
      </c>
      <c r="BA3652" t="s">
        <v>148</v>
      </c>
      <c r="BE3652" s="3">
        <v>41985</v>
      </c>
      <c r="BF3652" s="1">
        <v>165000</v>
      </c>
      <c r="BG3652" t="s">
        <v>15371</v>
      </c>
      <c r="BH3652" s="1">
        <v>65.89</v>
      </c>
      <c r="BI3652" s="1">
        <v>207500</v>
      </c>
      <c r="BJ3652" s="3">
        <v>42338</v>
      </c>
      <c r="BK3652" t="s">
        <v>123</v>
      </c>
      <c r="BL3652" t="str">
        <f>"2015.846282"</f>
        <v>2015.846282</v>
      </c>
      <c r="BM3652" t="s">
        <v>3453</v>
      </c>
      <c r="BN3652" t="s">
        <v>3763</v>
      </c>
      <c r="BO3652" t="s">
        <v>23446</v>
      </c>
      <c r="BS3652">
        <v>30</v>
      </c>
      <c r="BT3652" s="1">
        <v>207500</v>
      </c>
      <c r="BU3652" s="3">
        <v>42338</v>
      </c>
      <c r="BV3652" t="s">
        <v>123</v>
      </c>
      <c r="BW3652" t="str">
        <f>"2015.846282"</f>
        <v>2015.846282</v>
      </c>
      <c r="BX3652" t="s">
        <v>3453</v>
      </c>
      <c r="BZ3652" t="s">
        <v>23446</v>
      </c>
      <c r="CD3652">
        <v>30</v>
      </c>
      <c r="CH3652" t="str">
        <f>""</f>
        <v/>
      </c>
      <c r="CS3652" t="str">
        <f>""</f>
        <v/>
      </c>
    </row>
    <row r="3653" spans="1:97" x14ac:dyDescent="0.25">
      <c r="A3653" t="s">
        <v>589</v>
      </c>
      <c r="B3653" t="s">
        <v>23447</v>
      </c>
      <c r="E3653" t="s">
        <v>23448</v>
      </c>
      <c r="F3653" t="s">
        <v>108</v>
      </c>
      <c r="H3653" t="s">
        <v>23449</v>
      </c>
      <c r="I3653" t="s">
        <v>390</v>
      </c>
      <c r="J3653" t="s">
        <v>111</v>
      </c>
      <c r="K3653" t="str">
        <f>"85015"</f>
        <v>85015</v>
      </c>
      <c r="L3653" t="s">
        <v>2857</v>
      </c>
      <c r="M3653" t="s">
        <v>23449</v>
      </c>
      <c r="N3653" t="s">
        <v>390</v>
      </c>
      <c r="O3653" t="s">
        <v>111</v>
      </c>
      <c r="P3653" t="str">
        <f>"85015-3847"</f>
        <v>85015-3847</v>
      </c>
      <c r="Q3653" t="s">
        <v>113</v>
      </c>
      <c r="R3653" t="str">
        <f>"155-52-088"</f>
        <v>155-52-088</v>
      </c>
      <c r="S3653" t="s">
        <v>23450</v>
      </c>
      <c r="U3653">
        <v>1477</v>
      </c>
      <c r="V3653">
        <v>0</v>
      </c>
      <c r="W3653">
        <v>2</v>
      </c>
      <c r="X3653">
        <v>1955</v>
      </c>
      <c r="Z3653">
        <v>1</v>
      </c>
      <c r="AB3653">
        <v>0</v>
      </c>
      <c r="AC3653" t="s">
        <v>5188</v>
      </c>
      <c r="AD3653">
        <v>1</v>
      </c>
      <c r="AE3653" t="s">
        <v>5188</v>
      </c>
      <c r="AF3653">
        <v>0</v>
      </c>
      <c r="AG3653">
        <v>0</v>
      </c>
      <c r="AH3653" t="s">
        <v>116</v>
      </c>
      <c r="AI3653" s="1">
        <v>78338</v>
      </c>
      <c r="AJ3653" s="2">
        <v>0.27</v>
      </c>
      <c r="AK3653" s="1">
        <v>288060</v>
      </c>
      <c r="AL3653" t="s">
        <v>117</v>
      </c>
      <c r="AM3653" t="s">
        <v>191</v>
      </c>
      <c r="AN3653">
        <v>6970</v>
      </c>
      <c r="AO3653">
        <v>0.16</v>
      </c>
      <c r="AP3653">
        <v>1</v>
      </c>
      <c r="AR3653">
        <v>1</v>
      </c>
      <c r="AS3653" s="1">
        <v>17800</v>
      </c>
      <c r="AT3653" s="1">
        <v>3560</v>
      </c>
      <c r="AU3653" s="1">
        <v>14240</v>
      </c>
      <c r="AV3653">
        <v>80</v>
      </c>
      <c r="AX3653" s="1">
        <v>1178.04</v>
      </c>
      <c r="AY3653" t="s">
        <v>5468</v>
      </c>
      <c r="AZ3653" t="s">
        <v>5468</v>
      </c>
      <c r="BA3653" t="s">
        <v>5691</v>
      </c>
      <c r="BE3653" s="3">
        <v>42061</v>
      </c>
      <c r="BF3653" s="1">
        <v>206000</v>
      </c>
      <c r="BG3653" t="s">
        <v>23451</v>
      </c>
      <c r="BH3653" s="1">
        <v>139.47</v>
      </c>
      <c r="BI3653" s="1">
        <v>209722</v>
      </c>
      <c r="BJ3653" s="3">
        <v>42593</v>
      </c>
      <c r="BK3653" t="s">
        <v>123</v>
      </c>
      <c r="BL3653" t="str">
        <f>"2016.572509"</f>
        <v>2016.572509</v>
      </c>
      <c r="BM3653" t="s">
        <v>709</v>
      </c>
      <c r="BO3653" t="s">
        <v>23452</v>
      </c>
      <c r="BS3653">
        <v>30</v>
      </c>
      <c r="BW3653" t="str">
        <f>""</f>
        <v/>
      </c>
      <c r="CH3653" t="str">
        <f>""</f>
        <v/>
      </c>
      <c r="CS3653" t="str">
        <f>""</f>
        <v/>
      </c>
    </row>
    <row r="3654" spans="1:97" x14ac:dyDescent="0.25">
      <c r="A3654" t="s">
        <v>9035</v>
      </c>
      <c r="B3654" t="s">
        <v>4242</v>
      </c>
      <c r="E3654" t="s">
        <v>23453</v>
      </c>
      <c r="F3654" t="s">
        <v>108</v>
      </c>
      <c r="H3654" t="s">
        <v>23454</v>
      </c>
      <c r="I3654" t="s">
        <v>499</v>
      </c>
      <c r="J3654" t="s">
        <v>111</v>
      </c>
      <c r="K3654" t="str">
        <f>"85338"</f>
        <v>85338</v>
      </c>
      <c r="L3654" t="s">
        <v>6481</v>
      </c>
      <c r="M3654" t="s">
        <v>23454</v>
      </c>
      <c r="N3654" t="s">
        <v>499</v>
      </c>
      <c r="O3654" t="s">
        <v>111</v>
      </c>
      <c r="P3654" t="str">
        <f>"85338-2564"</f>
        <v>85338-2564</v>
      </c>
      <c r="Q3654" t="s">
        <v>113</v>
      </c>
      <c r="R3654" t="str">
        <f>"500-93-038"</f>
        <v>500-93-038</v>
      </c>
      <c r="S3654" t="s">
        <v>23455</v>
      </c>
      <c r="T3654" t="s">
        <v>23455</v>
      </c>
      <c r="U3654">
        <v>2305</v>
      </c>
      <c r="V3654">
        <v>0</v>
      </c>
      <c r="W3654">
        <v>4</v>
      </c>
      <c r="X3654">
        <v>2009</v>
      </c>
      <c r="Z3654">
        <v>2</v>
      </c>
      <c r="AB3654">
        <v>0</v>
      </c>
      <c r="AC3654" t="s">
        <v>115</v>
      </c>
      <c r="AD3654">
        <v>2</v>
      </c>
      <c r="AE3654" t="s">
        <v>115</v>
      </c>
      <c r="AF3654">
        <v>0</v>
      </c>
      <c r="AG3654">
        <v>0</v>
      </c>
      <c r="AH3654" t="s">
        <v>116</v>
      </c>
      <c r="AI3654" s="1">
        <v>55720</v>
      </c>
      <c r="AJ3654" s="2">
        <v>0.18</v>
      </c>
      <c r="AK3654" s="1">
        <v>302720</v>
      </c>
      <c r="AL3654" t="s">
        <v>117</v>
      </c>
      <c r="AM3654" t="s">
        <v>393</v>
      </c>
      <c r="AN3654">
        <v>8050</v>
      </c>
      <c r="AO3654">
        <v>0.18</v>
      </c>
      <c r="AR3654">
        <v>1</v>
      </c>
      <c r="AS3654" s="1">
        <v>20950</v>
      </c>
      <c r="AT3654" s="1">
        <v>4190</v>
      </c>
      <c r="AU3654" s="1">
        <v>16760</v>
      </c>
      <c r="AV3654">
        <v>80</v>
      </c>
      <c r="AX3654" s="1">
        <v>2185.2800000000002</v>
      </c>
      <c r="AY3654" t="s">
        <v>6319</v>
      </c>
      <c r="AZ3654" t="s">
        <v>6319</v>
      </c>
      <c r="BA3654" t="s">
        <v>7186</v>
      </c>
      <c r="BE3654" s="3">
        <v>41688</v>
      </c>
      <c r="BF3654" s="1">
        <v>199000</v>
      </c>
      <c r="BG3654" t="s">
        <v>23456</v>
      </c>
      <c r="BH3654" s="1">
        <v>86.33</v>
      </c>
      <c r="BI3654" s="1">
        <v>247000</v>
      </c>
      <c r="BJ3654" s="3">
        <v>43641</v>
      </c>
      <c r="BK3654" t="s">
        <v>123</v>
      </c>
      <c r="BL3654" t="str">
        <f>"2019.475500"</f>
        <v>2019.475500</v>
      </c>
      <c r="BM3654" t="s">
        <v>1370</v>
      </c>
      <c r="BN3654" t="s">
        <v>1371</v>
      </c>
      <c r="BO3654" t="s">
        <v>23457</v>
      </c>
      <c r="BR3654" t="s">
        <v>139</v>
      </c>
      <c r="BW3654" t="str">
        <f>""</f>
        <v/>
      </c>
      <c r="CH3654" t="str">
        <f>""</f>
        <v/>
      </c>
      <c r="CS3654" t="str">
        <f>""</f>
        <v/>
      </c>
    </row>
    <row r="3655" spans="1:97" x14ac:dyDescent="0.25">
      <c r="A3655" t="s">
        <v>1727</v>
      </c>
      <c r="B3655" t="s">
        <v>23458</v>
      </c>
      <c r="C3655" t="s">
        <v>2762</v>
      </c>
      <c r="D3655" t="s">
        <v>23458</v>
      </c>
      <c r="E3655" t="s">
        <v>23459</v>
      </c>
      <c r="F3655" t="s">
        <v>108</v>
      </c>
      <c r="H3655" t="s">
        <v>23460</v>
      </c>
      <c r="I3655" t="s">
        <v>5114</v>
      </c>
      <c r="J3655" t="s">
        <v>111</v>
      </c>
      <c r="K3655" t="str">
        <f>"85323"</f>
        <v>85323</v>
      </c>
      <c r="L3655" t="s">
        <v>284</v>
      </c>
      <c r="M3655" t="s">
        <v>23460</v>
      </c>
      <c r="N3655" t="s">
        <v>5114</v>
      </c>
      <c r="O3655" t="s">
        <v>111</v>
      </c>
      <c r="P3655" t="str">
        <f>"85323-8051"</f>
        <v>85323-8051</v>
      </c>
      <c r="Q3655" t="s">
        <v>113</v>
      </c>
      <c r="R3655" t="str">
        <f>"500-29-630"</f>
        <v>500-29-630</v>
      </c>
      <c r="S3655" t="s">
        <v>23461</v>
      </c>
      <c r="U3655">
        <v>2494</v>
      </c>
      <c r="V3655">
        <v>0</v>
      </c>
      <c r="W3655">
        <v>4</v>
      </c>
      <c r="X3655">
        <v>2001</v>
      </c>
      <c r="Z3655">
        <v>2</v>
      </c>
      <c r="AB3655">
        <v>0</v>
      </c>
      <c r="AC3655" t="s">
        <v>115</v>
      </c>
      <c r="AD3655">
        <v>2</v>
      </c>
      <c r="AE3655" t="s">
        <v>115</v>
      </c>
      <c r="AF3655">
        <v>0</v>
      </c>
      <c r="AG3655">
        <v>0</v>
      </c>
      <c r="AH3655" t="s">
        <v>116</v>
      </c>
      <c r="AI3655" s="1">
        <v>29730</v>
      </c>
      <c r="AJ3655" s="2">
        <v>0.1</v>
      </c>
      <c r="AK3655" s="1">
        <v>289924</v>
      </c>
      <c r="AL3655" t="s">
        <v>117</v>
      </c>
      <c r="AM3655" t="s">
        <v>118</v>
      </c>
      <c r="AN3655">
        <v>7095</v>
      </c>
      <c r="AO3655">
        <v>0.16</v>
      </c>
      <c r="AP3655">
        <v>1</v>
      </c>
      <c r="AR3655">
        <v>1</v>
      </c>
      <c r="AS3655" s="1">
        <v>19720</v>
      </c>
      <c r="AT3655" s="1">
        <v>3940</v>
      </c>
      <c r="AU3655" s="1">
        <v>15780</v>
      </c>
      <c r="AV3655">
        <v>80.02</v>
      </c>
      <c r="AX3655" s="1">
        <v>1876.04</v>
      </c>
      <c r="AY3655" t="s">
        <v>9447</v>
      </c>
      <c r="AZ3655" t="s">
        <v>9447</v>
      </c>
      <c r="BA3655" t="s">
        <v>4254</v>
      </c>
      <c r="BE3655" s="3">
        <v>42534</v>
      </c>
      <c r="BF3655" s="1">
        <v>235000</v>
      </c>
      <c r="BG3655" t="s">
        <v>23462</v>
      </c>
      <c r="BH3655" s="1">
        <v>94.23</v>
      </c>
      <c r="BI3655" s="1">
        <v>260194</v>
      </c>
      <c r="BJ3655" s="3">
        <v>43231</v>
      </c>
      <c r="BK3655" t="s">
        <v>123</v>
      </c>
      <c r="BL3655" t="str">
        <f>"2018.360359"</f>
        <v>2018.360359</v>
      </c>
      <c r="BM3655" t="s">
        <v>673</v>
      </c>
      <c r="BN3655" t="s">
        <v>674</v>
      </c>
      <c r="BO3655" t="s">
        <v>23463</v>
      </c>
      <c r="BP3655" t="s">
        <v>23464</v>
      </c>
      <c r="BR3655" t="s">
        <v>139</v>
      </c>
      <c r="BW3655" t="str">
        <f>""</f>
        <v/>
      </c>
      <c r="CH3655" t="str">
        <f>""</f>
        <v/>
      </c>
      <c r="CS3655" t="str">
        <f>""</f>
        <v/>
      </c>
    </row>
    <row r="3656" spans="1:97" x14ac:dyDescent="0.25">
      <c r="A3656" t="s">
        <v>11648</v>
      </c>
      <c r="B3656" t="s">
        <v>22066</v>
      </c>
      <c r="E3656" t="s">
        <v>23465</v>
      </c>
      <c r="F3656" t="s">
        <v>108</v>
      </c>
      <c r="H3656" t="s">
        <v>23466</v>
      </c>
      <c r="I3656" t="s">
        <v>144</v>
      </c>
      <c r="J3656" t="s">
        <v>111</v>
      </c>
      <c r="K3656" t="str">
        <f>"85326"</f>
        <v>85326</v>
      </c>
      <c r="L3656" t="s">
        <v>1796</v>
      </c>
      <c r="M3656" t="s">
        <v>23466</v>
      </c>
      <c r="N3656" t="s">
        <v>144</v>
      </c>
      <c r="O3656" t="s">
        <v>111</v>
      </c>
      <c r="P3656" t="str">
        <f>"85326-4011"</f>
        <v>85326-4011</v>
      </c>
      <c r="Q3656" t="s">
        <v>113</v>
      </c>
      <c r="R3656" t="str">
        <f>"504-60-257"</f>
        <v>504-60-257</v>
      </c>
      <c r="S3656" t="s">
        <v>23467</v>
      </c>
      <c r="U3656">
        <v>2643</v>
      </c>
      <c r="V3656">
        <v>0</v>
      </c>
      <c r="W3656">
        <v>4</v>
      </c>
      <c r="X3656">
        <v>2005</v>
      </c>
      <c r="Z3656">
        <v>2</v>
      </c>
      <c r="AA3656" t="s">
        <v>26</v>
      </c>
      <c r="AB3656">
        <v>0</v>
      </c>
      <c r="AC3656" t="s">
        <v>115</v>
      </c>
      <c r="AD3656">
        <v>2</v>
      </c>
      <c r="AE3656" t="s">
        <v>115</v>
      </c>
      <c r="AF3656">
        <v>0</v>
      </c>
      <c r="AG3656">
        <v>0</v>
      </c>
      <c r="AH3656" t="s">
        <v>116</v>
      </c>
      <c r="AI3656" s="1">
        <v>55806</v>
      </c>
      <c r="AJ3656" s="2">
        <v>0.22</v>
      </c>
      <c r="AK3656" s="1">
        <v>257806</v>
      </c>
      <c r="AL3656" t="s">
        <v>117</v>
      </c>
      <c r="AM3656" t="s">
        <v>118</v>
      </c>
      <c r="AN3656">
        <v>4729</v>
      </c>
      <c r="AO3656">
        <v>0.11</v>
      </c>
      <c r="AR3656">
        <v>1</v>
      </c>
      <c r="AS3656" s="1">
        <v>17270</v>
      </c>
      <c r="AT3656" s="1">
        <v>3450</v>
      </c>
      <c r="AU3656" s="1">
        <v>13820</v>
      </c>
      <c r="AV3656">
        <v>80.02</v>
      </c>
      <c r="AX3656" s="1">
        <v>1661.44</v>
      </c>
      <c r="AY3656" t="s">
        <v>5024</v>
      </c>
      <c r="AZ3656" t="s">
        <v>5024</v>
      </c>
      <c r="BA3656" t="s">
        <v>5025</v>
      </c>
      <c r="BE3656" s="3">
        <v>42528</v>
      </c>
      <c r="BF3656" s="1">
        <v>202000</v>
      </c>
      <c r="BG3656" t="s">
        <v>23468</v>
      </c>
      <c r="BH3656" s="1">
        <v>76.430000000000007</v>
      </c>
      <c r="BI3656" s="1">
        <v>202000</v>
      </c>
      <c r="BJ3656" s="3">
        <v>42528</v>
      </c>
      <c r="BK3656" t="s">
        <v>123</v>
      </c>
      <c r="BL3656" t="str">
        <f>"2016.392899"</f>
        <v>2016.392899</v>
      </c>
      <c r="BM3656" t="s">
        <v>124</v>
      </c>
      <c r="BO3656" t="s">
        <v>23469</v>
      </c>
      <c r="BS3656">
        <v>30</v>
      </c>
      <c r="BW3656" t="str">
        <f>""</f>
        <v/>
      </c>
      <c r="CH3656" t="str">
        <f>""</f>
        <v/>
      </c>
      <c r="CS3656" t="str">
        <f>""</f>
        <v/>
      </c>
    </row>
    <row r="3657" spans="1:97" x14ac:dyDescent="0.25">
      <c r="A3657" t="s">
        <v>8858</v>
      </c>
      <c r="B3657" t="s">
        <v>23470</v>
      </c>
      <c r="E3657" t="s">
        <v>23471</v>
      </c>
      <c r="F3657" t="s">
        <v>108</v>
      </c>
      <c r="H3657" t="s">
        <v>23472</v>
      </c>
      <c r="I3657" t="s">
        <v>144</v>
      </c>
      <c r="J3657" t="s">
        <v>111</v>
      </c>
      <c r="K3657" t="str">
        <f>"85326"</f>
        <v>85326</v>
      </c>
      <c r="L3657" t="s">
        <v>5910</v>
      </c>
      <c r="M3657" t="s">
        <v>23472</v>
      </c>
      <c r="N3657" t="s">
        <v>144</v>
      </c>
      <c r="O3657" t="s">
        <v>111</v>
      </c>
      <c r="P3657" t="str">
        <f>"85326-1876"</f>
        <v>85326-1876</v>
      </c>
      <c r="Q3657" t="s">
        <v>113</v>
      </c>
      <c r="R3657" t="str">
        <f>"504-58-808"</f>
        <v>504-58-808</v>
      </c>
      <c r="S3657" t="s">
        <v>7331</v>
      </c>
      <c r="T3657" t="s">
        <v>7331</v>
      </c>
      <c r="U3657">
        <v>3140</v>
      </c>
      <c r="V3657">
        <v>0</v>
      </c>
      <c r="W3657">
        <v>4</v>
      </c>
      <c r="X3657">
        <v>2005</v>
      </c>
      <c r="Z3657">
        <v>2</v>
      </c>
      <c r="AA3657" t="s">
        <v>26</v>
      </c>
      <c r="AB3657">
        <v>0</v>
      </c>
      <c r="AC3657" t="s">
        <v>115</v>
      </c>
      <c r="AD3657">
        <v>2</v>
      </c>
      <c r="AE3657" t="s">
        <v>115</v>
      </c>
      <c r="AF3657">
        <v>0</v>
      </c>
      <c r="AG3657">
        <v>0</v>
      </c>
      <c r="AH3657" t="s">
        <v>116</v>
      </c>
      <c r="AI3657" s="1">
        <v>45197</v>
      </c>
      <c r="AJ3657" s="2">
        <v>0.15</v>
      </c>
      <c r="AK3657" s="1">
        <v>304480</v>
      </c>
      <c r="AL3657" t="s">
        <v>117</v>
      </c>
      <c r="AM3657" t="s">
        <v>5023</v>
      </c>
      <c r="AN3657">
        <v>7881</v>
      </c>
      <c r="AO3657">
        <v>0.18</v>
      </c>
      <c r="AP3657">
        <v>1</v>
      </c>
      <c r="AR3657">
        <v>1</v>
      </c>
      <c r="AS3657" s="1">
        <v>20160</v>
      </c>
      <c r="AT3657" s="1">
        <v>4030</v>
      </c>
      <c r="AU3657" s="1">
        <v>16130</v>
      </c>
      <c r="AV3657">
        <v>80.010000000000005</v>
      </c>
      <c r="AX3657" s="1">
        <v>1783.82</v>
      </c>
      <c r="AY3657" t="s">
        <v>7333</v>
      </c>
      <c r="AZ3657" t="s">
        <v>7333</v>
      </c>
      <c r="BA3657" t="s">
        <v>5025</v>
      </c>
      <c r="BE3657" s="3">
        <v>42536</v>
      </c>
      <c r="BF3657" s="1">
        <v>251000</v>
      </c>
      <c r="BG3657" t="s">
        <v>23473</v>
      </c>
      <c r="BH3657" s="1">
        <v>79.94</v>
      </c>
      <c r="BI3657" s="1">
        <v>259283</v>
      </c>
      <c r="BJ3657" s="3">
        <v>42536</v>
      </c>
      <c r="BK3657" t="s">
        <v>123</v>
      </c>
      <c r="BL3657" t="str">
        <f>"2016.418273"</f>
        <v>2016.418273</v>
      </c>
      <c r="BM3657" t="s">
        <v>544</v>
      </c>
      <c r="BO3657" t="s">
        <v>23474</v>
      </c>
      <c r="BS3657">
        <v>30</v>
      </c>
      <c r="BW3657" t="str">
        <f>""</f>
        <v/>
      </c>
      <c r="CH3657" t="str">
        <f>""</f>
        <v/>
      </c>
      <c r="CS3657" t="str">
        <f>""</f>
        <v/>
      </c>
    </row>
    <row r="3658" spans="1:97" x14ac:dyDescent="0.25">
      <c r="A3658" t="s">
        <v>938</v>
      </c>
      <c r="B3658" t="s">
        <v>4864</v>
      </c>
      <c r="E3658" t="s">
        <v>23475</v>
      </c>
      <c r="F3658" t="s">
        <v>108</v>
      </c>
      <c r="H3658" t="s">
        <v>23476</v>
      </c>
      <c r="I3658" t="s">
        <v>144</v>
      </c>
      <c r="J3658" t="s">
        <v>111</v>
      </c>
      <c r="K3658" t="str">
        <f>"85396"</f>
        <v>85396</v>
      </c>
      <c r="L3658" t="s">
        <v>5429</v>
      </c>
      <c r="M3658" t="s">
        <v>23476</v>
      </c>
      <c r="N3658" t="s">
        <v>144</v>
      </c>
      <c r="O3658" t="s">
        <v>111</v>
      </c>
      <c r="P3658" t="str">
        <f>"85396-5600"</f>
        <v>85396-5600</v>
      </c>
      <c r="Q3658" t="s">
        <v>113</v>
      </c>
      <c r="R3658" t="str">
        <f>"502-34-005-M"</f>
        <v>502-34-005-M</v>
      </c>
      <c r="S3658" t="s">
        <v>23477</v>
      </c>
      <c r="T3658" t="s">
        <v>5830</v>
      </c>
      <c r="U3658">
        <v>2233</v>
      </c>
      <c r="V3658">
        <v>0</v>
      </c>
      <c r="W3658">
        <v>3</v>
      </c>
      <c r="X3658">
        <v>2005</v>
      </c>
      <c r="Z3658">
        <v>1</v>
      </c>
      <c r="AA3658" t="s">
        <v>26</v>
      </c>
      <c r="AB3658">
        <v>0</v>
      </c>
      <c r="AC3658" t="s">
        <v>115</v>
      </c>
      <c r="AD3658">
        <v>3</v>
      </c>
      <c r="AE3658" t="s">
        <v>115</v>
      </c>
      <c r="AF3658">
        <v>0</v>
      </c>
      <c r="AG3658">
        <v>0</v>
      </c>
      <c r="AH3658" t="s">
        <v>116</v>
      </c>
      <c r="AI3658" s="1">
        <v>71882</v>
      </c>
      <c r="AJ3658" s="2">
        <v>0.18</v>
      </c>
      <c r="AK3658" s="1">
        <v>396719</v>
      </c>
      <c r="AL3658" t="s">
        <v>117</v>
      </c>
      <c r="AM3658" t="s">
        <v>376</v>
      </c>
      <c r="AN3658">
        <v>43810</v>
      </c>
      <c r="AO3658">
        <v>1.01</v>
      </c>
      <c r="AR3658">
        <v>1</v>
      </c>
      <c r="AS3658" s="1">
        <v>29050</v>
      </c>
      <c r="AT3658" s="1">
        <v>5810</v>
      </c>
      <c r="AU3658" s="1">
        <v>23240</v>
      </c>
      <c r="AV3658">
        <v>80</v>
      </c>
      <c r="AX3658" s="1">
        <v>3536.84</v>
      </c>
      <c r="AY3658" t="s">
        <v>217</v>
      </c>
      <c r="AZ3658" t="s">
        <v>217</v>
      </c>
      <c r="BA3658" t="s">
        <v>218</v>
      </c>
      <c r="BE3658" s="3">
        <v>42353</v>
      </c>
      <c r="BF3658" s="1">
        <v>318000</v>
      </c>
      <c r="BG3658" t="s">
        <v>23478</v>
      </c>
      <c r="BH3658" s="1">
        <v>142.41</v>
      </c>
      <c r="BI3658" s="1">
        <v>324837</v>
      </c>
      <c r="BJ3658" s="3">
        <v>42353</v>
      </c>
      <c r="BK3658" t="s">
        <v>123</v>
      </c>
      <c r="BL3658" t="str">
        <f>"2015.883419"</f>
        <v>2015.883419</v>
      </c>
      <c r="BM3658" t="s">
        <v>724</v>
      </c>
      <c r="BO3658" t="s">
        <v>23479</v>
      </c>
      <c r="BS3658">
        <v>30</v>
      </c>
      <c r="BW3658" t="str">
        <f>""</f>
        <v/>
      </c>
      <c r="CH3658" t="str">
        <f>""</f>
        <v/>
      </c>
      <c r="CS3658" t="str">
        <f>""</f>
        <v/>
      </c>
    </row>
    <row r="3659" spans="1:97" x14ac:dyDescent="0.25">
      <c r="A3659" t="s">
        <v>1009</v>
      </c>
      <c r="B3659" t="s">
        <v>23480</v>
      </c>
      <c r="E3659" t="s">
        <v>23481</v>
      </c>
      <c r="F3659" t="s">
        <v>108</v>
      </c>
      <c r="H3659" t="s">
        <v>23482</v>
      </c>
      <c r="I3659" t="s">
        <v>499</v>
      </c>
      <c r="J3659" t="s">
        <v>111</v>
      </c>
      <c r="K3659" t="str">
        <f>"85338"</f>
        <v>85338</v>
      </c>
      <c r="L3659" t="s">
        <v>5637</v>
      </c>
      <c r="M3659" t="s">
        <v>23482</v>
      </c>
      <c r="N3659" t="s">
        <v>499</v>
      </c>
      <c r="O3659" t="s">
        <v>111</v>
      </c>
      <c r="P3659" t="str">
        <f>"85338-3352"</f>
        <v>85338-3352</v>
      </c>
      <c r="Q3659" t="s">
        <v>113</v>
      </c>
      <c r="R3659" t="str">
        <f>"500-90-171"</f>
        <v>500-90-171</v>
      </c>
      <c r="S3659" t="s">
        <v>23483</v>
      </c>
      <c r="U3659">
        <v>1399</v>
      </c>
      <c r="V3659">
        <v>0</v>
      </c>
      <c r="W3659">
        <v>2</v>
      </c>
      <c r="X3659">
        <v>2002</v>
      </c>
      <c r="Z3659">
        <v>1</v>
      </c>
      <c r="AB3659">
        <v>0</v>
      </c>
      <c r="AC3659" t="s">
        <v>115</v>
      </c>
      <c r="AD3659">
        <v>2</v>
      </c>
      <c r="AE3659" t="s">
        <v>115</v>
      </c>
      <c r="AF3659">
        <v>0</v>
      </c>
      <c r="AG3659">
        <v>0</v>
      </c>
      <c r="AH3659" t="s">
        <v>116</v>
      </c>
      <c r="AI3659" s="1">
        <v>-38838</v>
      </c>
      <c r="AJ3659" s="2">
        <v>-0.22</v>
      </c>
      <c r="AK3659" s="1">
        <v>175162</v>
      </c>
      <c r="AL3659" t="s">
        <v>117</v>
      </c>
      <c r="AM3659" t="s">
        <v>118</v>
      </c>
      <c r="AN3659">
        <v>6208</v>
      </c>
      <c r="AO3659">
        <v>0.14000000000000001</v>
      </c>
      <c r="AP3659">
        <v>1</v>
      </c>
      <c r="AR3659">
        <v>1</v>
      </c>
      <c r="AS3659" s="1">
        <v>14460</v>
      </c>
      <c r="AT3659" s="1">
        <v>2890</v>
      </c>
      <c r="AU3659" s="1">
        <v>11570</v>
      </c>
      <c r="AV3659">
        <v>80.010000000000005</v>
      </c>
      <c r="AX3659" s="1">
        <v>1056.8399999999999</v>
      </c>
      <c r="AY3659" t="s">
        <v>11177</v>
      </c>
      <c r="AZ3659" t="s">
        <v>11177</v>
      </c>
      <c r="BA3659" t="s">
        <v>7186</v>
      </c>
      <c r="BB3659" s="3">
        <v>43118</v>
      </c>
      <c r="BC3659" s="1">
        <v>0</v>
      </c>
      <c r="BD3659" t="s">
        <v>247</v>
      </c>
      <c r="BE3659" s="3">
        <v>42503</v>
      </c>
      <c r="BF3659" s="1">
        <v>160000</v>
      </c>
      <c r="BG3659" t="s">
        <v>23484</v>
      </c>
      <c r="BH3659" s="1">
        <v>114.37</v>
      </c>
      <c r="BI3659" s="1">
        <v>214000</v>
      </c>
      <c r="BJ3659" s="3">
        <v>43532</v>
      </c>
      <c r="BK3659" t="s">
        <v>123</v>
      </c>
      <c r="BL3659" t="str">
        <f>"2019.160008"</f>
        <v>2019.160008</v>
      </c>
      <c r="BM3659" t="s">
        <v>23485</v>
      </c>
      <c r="BN3659" t="s">
        <v>23486</v>
      </c>
      <c r="BO3659" t="s">
        <v>23487</v>
      </c>
      <c r="BR3659" t="s">
        <v>139</v>
      </c>
      <c r="BW3659" t="str">
        <f>""</f>
        <v/>
      </c>
      <c r="CH3659" t="str">
        <f>""</f>
        <v/>
      </c>
      <c r="CS3659" t="str">
        <f>""</f>
        <v/>
      </c>
    </row>
    <row r="3660" spans="1:97" x14ac:dyDescent="0.25">
      <c r="A3660" t="s">
        <v>12439</v>
      </c>
      <c r="B3660" t="s">
        <v>4599</v>
      </c>
      <c r="E3660" t="s">
        <v>23488</v>
      </c>
      <c r="F3660" t="s">
        <v>108</v>
      </c>
      <c r="H3660" t="s">
        <v>23489</v>
      </c>
      <c r="I3660" t="s">
        <v>374</v>
      </c>
      <c r="J3660" t="s">
        <v>111</v>
      </c>
      <c r="K3660" t="str">
        <f>"85087"</f>
        <v>85087</v>
      </c>
      <c r="L3660" t="s">
        <v>11846</v>
      </c>
      <c r="M3660" t="s">
        <v>23489</v>
      </c>
      <c r="N3660" t="s">
        <v>374</v>
      </c>
      <c r="O3660" t="s">
        <v>111</v>
      </c>
      <c r="P3660" t="str">
        <f>"85087-7525"</f>
        <v>85087-7525</v>
      </c>
      <c r="Q3660" t="s">
        <v>113</v>
      </c>
      <c r="R3660" t="str">
        <f>"202-20-390"</f>
        <v>202-20-390</v>
      </c>
      <c r="U3660">
        <v>1444</v>
      </c>
      <c r="V3660">
        <v>0</v>
      </c>
      <c r="W3660">
        <v>2</v>
      </c>
      <c r="X3660">
        <v>1989</v>
      </c>
      <c r="Z3660">
        <v>1</v>
      </c>
      <c r="AB3660">
        <v>0</v>
      </c>
      <c r="AC3660" t="s">
        <v>7038</v>
      </c>
      <c r="AD3660">
        <v>0</v>
      </c>
      <c r="AE3660" t="s">
        <v>7038</v>
      </c>
      <c r="AF3660">
        <v>0</v>
      </c>
      <c r="AG3660">
        <v>0</v>
      </c>
      <c r="AH3660" t="s">
        <v>116</v>
      </c>
      <c r="AI3660" s="1">
        <v>55904</v>
      </c>
      <c r="AJ3660" s="2">
        <v>0.17</v>
      </c>
      <c r="AK3660" s="1">
        <v>328504</v>
      </c>
      <c r="AL3660" t="s">
        <v>117</v>
      </c>
      <c r="AM3660" t="s">
        <v>376</v>
      </c>
      <c r="AN3660">
        <v>103934</v>
      </c>
      <c r="AO3660">
        <v>2.39</v>
      </c>
      <c r="AP3660">
        <v>1</v>
      </c>
      <c r="AR3660">
        <v>1</v>
      </c>
      <c r="AS3660" s="1">
        <v>21780</v>
      </c>
      <c r="AT3660" s="1">
        <v>4350</v>
      </c>
      <c r="AU3660" s="1">
        <v>17430</v>
      </c>
      <c r="AV3660">
        <v>80.03</v>
      </c>
      <c r="AX3660" s="1">
        <v>1929.4</v>
      </c>
      <c r="AY3660" t="s">
        <v>665</v>
      </c>
      <c r="AZ3660" t="s">
        <v>665</v>
      </c>
      <c r="BA3660" t="s">
        <v>378</v>
      </c>
      <c r="BE3660" s="3">
        <v>42430</v>
      </c>
      <c r="BF3660" s="1">
        <v>263950</v>
      </c>
      <c r="BG3660" t="s">
        <v>23490</v>
      </c>
      <c r="BH3660" s="1">
        <v>182.79</v>
      </c>
      <c r="BI3660" s="1">
        <v>272600</v>
      </c>
      <c r="BJ3660" s="3">
        <v>42515</v>
      </c>
      <c r="BK3660" t="s">
        <v>123</v>
      </c>
      <c r="BL3660" t="str">
        <f>"2016.357901"</f>
        <v>2016.357901</v>
      </c>
      <c r="BM3660" t="s">
        <v>1122</v>
      </c>
      <c r="BO3660" t="s">
        <v>23491</v>
      </c>
      <c r="BS3660">
        <v>30</v>
      </c>
      <c r="BW3660" t="str">
        <f>""</f>
        <v/>
      </c>
      <c r="CH3660" t="str">
        <f>""</f>
        <v/>
      </c>
      <c r="CS3660" t="str">
        <f>""</f>
        <v/>
      </c>
    </row>
    <row r="3661" spans="1:97" x14ac:dyDescent="0.25">
      <c r="A3661" t="s">
        <v>1009</v>
      </c>
      <c r="B3661" t="s">
        <v>23492</v>
      </c>
      <c r="C3661" t="s">
        <v>23493</v>
      </c>
      <c r="D3661" t="s">
        <v>23492</v>
      </c>
      <c r="E3661" t="s">
        <v>23494</v>
      </c>
      <c r="F3661" t="s">
        <v>108</v>
      </c>
      <c r="H3661" t="s">
        <v>23495</v>
      </c>
      <c r="I3661" t="s">
        <v>374</v>
      </c>
      <c r="J3661" t="s">
        <v>111</v>
      </c>
      <c r="K3661" t="str">
        <f>"85087"</f>
        <v>85087</v>
      </c>
      <c r="L3661" t="s">
        <v>11846</v>
      </c>
      <c r="M3661" t="s">
        <v>23495</v>
      </c>
      <c r="N3661" t="s">
        <v>374</v>
      </c>
      <c r="O3661" t="s">
        <v>111</v>
      </c>
      <c r="P3661" t="str">
        <f>"85087"</f>
        <v>85087</v>
      </c>
      <c r="Q3661" t="s">
        <v>113</v>
      </c>
      <c r="R3661" t="str">
        <f>"202-20-091-E"</f>
        <v>202-20-091-E</v>
      </c>
      <c r="U3661">
        <v>2022</v>
      </c>
      <c r="V3661">
        <v>0</v>
      </c>
      <c r="W3661">
        <v>3</v>
      </c>
      <c r="X3661">
        <v>2005</v>
      </c>
      <c r="Z3661">
        <v>1</v>
      </c>
      <c r="AB3661">
        <v>0</v>
      </c>
      <c r="AC3661" t="s">
        <v>115</v>
      </c>
      <c r="AD3661">
        <v>2</v>
      </c>
      <c r="AE3661" t="s">
        <v>115</v>
      </c>
      <c r="AF3661">
        <v>0</v>
      </c>
      <c r="AG3661">
        <v>0</v>
      </c>
      <c r="AH3661" t="s">
        <v>116</v>
      </c>
      <c r="AI3661" s="1">
        <v>65988</v>
      </c>
      <c r="AJ3661" s="2">
        <v>0.17</v>
      </c>
      <c r="AK3661" s="1">
        <v>393322</v>
      </c>
      <c r="AL3661" t="s">
        <v>117</v>
      </c>
      <c r="AM3661" t="s">
        <v>376</v>
      </c>
      <c r="AN3661">
        <v>43649</v>
      </c>
      <c r="AO3661">
        <v>1</v>
      </c>
      <c r="AR3661">
        <v>1</v>
      </c>
      <c r="AS3661" s="1">
        <v>28080</v>
      </c>
      <c r="AT3661" s="1">
        <v>5610</v>
      </c>
      <c r="AU3661" s="1">
        <v>22470</v>
      </c>
      <c r="AV3661">
        <v>80.02</v>
      </c>
      <c r="AX3661" s="1">
        <v>2522.3000000000002</v>
      </c>
      <c r="AY3661" t="s">
        <v>665</v>
      </c>
      <c r="AZ3661" t="s">
        <v>665</v>
      </c>
      <c r="BA3661" t="s">
        <v>378</v>
      </c>
      <c r="BE3661" s="3">
        <v>42268</v>
      </c>
      <c r="BF3661" s="1">
        <v>314900</v>
      </c>
      <c r="BG3661" t="s">
        <v>23496</v>
      </c>
      <c r="BH3661" s="1">
        <v>155.74</v>
      </c>
      <c r="BI3661" s="1">
        <v>327334</v>
      </c>
      <c r="BJ3661" s="3">
        <v>42613</v>
      </c>
      <c r="BK3661" t="s">
        <v>123</v>
      </c>
      <c r="BL3661" t="str">
        <f>"2016.627765"</f>
        <v>2016.627765</v>
      </c>
      <c r="BM3661" t="s">
        <v>1038</v>
      </c>
      <c r="BO3661" t="s">
        <v>23497</v>
      </c>
      <c r="BS3661">
        <v>30</v>
      </c>
      <c r="BW3661" t="str">
        <f>""</f>
        <v/>
      </c>
      <c r="CH3661" t="str">
        <f>""</f>
        <v/>
      </c>
      <c r="CS3661" t="str">
        <f>""</f>
        <v/>
      </c>
    </row>
    <row r="3662" spans="1:97" x14ac:dyDescent="0.25">
      <c r="A3662" t="s">
        <v>2374</v>
      </c>
      <c r="B3662" t="s">
        <v>23498</v>
      </c>
      <c r="C3662" t="s">
        <v>691</v>
      </c>
      <c r="D3662" t="s">
        <v>23498</v>
      </c>
      <c r="E3662" t="s">
        <v>23499</v>
      </c>
      <c r="F3662" t="s">
        <v>108</v>
      </c>
      <c r="H3662" t="s">
        <v>23500</v>
      </c>
      <c r="I3662" t="s">
        <v>390</v>
      </c>
      <c r="J3662" t="s">
        <v>111</v>
      </c>
      <c r="K3662" t="str">
        <f>"85021"</f>
        <v>85021</v>
      </c>
      <c r="L3662" t="s">
        <v>6902</v>
      </c>
      <c r="M3662" t="s">
        <v>23500</v>
      </c>
      <c r="N3662" t="s">
        <v>390</v>
      </c>
      <c r="O3662" t="s">
        <v>111</v>
      </c>
      <c r="P3662" t="str">
        <f>"85021-8640"</f>
        <v>85021-8640</v>
      </c>
      <c r="Q3662" t="s">
        <v>113</v>
      </c>
      <c r="R3662" t="str">
        <f>"157-10-078"</f>
        <v>157-10-078</v>
      </c>
      <c r="S3662" t="s">
        <v>23501</v>
      </c>
      <c r="T3662" t="s">
        <v>23502</v>
      </c>
      <c r="U3662">
        <v>2127</v>
      </c>
      <c r="V3662">
        <v>0</v>
      </c>
      <c r="W3662">
        <v>2</v>
      </c>
      <c r="X3662">
        <v>1963</v>
      </c>
      <c r="Z3662">
        <v>1</v>
      </c>
      <c r="AA3662" t="s">
        <v>26</v>
      </c>
      <c r="AB3662">
        <v>0</v>
      </c>
      <c r="AC3662" t="s">
        <v>115</v>
      </c>
      <c r="AD3662">
        <v>2</v>
      </c>
      <c r="AE3662" t="s">
        <v>115</v>
      </c>
      <c r="AF3662">
        <v>0</v>
      </c>
      <c r="AG3662">
        <v>0</v>
      </c>
      <c r="AH3662" t="s">
        <v>116</v>
      </c>
      <c r="AI3662" s="1">
        <v>210073</v>
      </c>
      <c r="AJ3662" s="2">
        <v>0.45</v>
      </c>
      <c r="AK3662" s="1">
        <v>464623</v>
      </c>
      <c r="AL3662" t="s">
        <v>117</v>
      </c>
      <c r="AM3662" t="s">
        <v>1302</v>
      </c>
      <c r="AN3662">
        <v>10476</v>
      </c>
      <c r="AO3662">
        <v>0.24</v>
      </c>
      <c r="AP3662">
        <v>1</v>
      </c>
      <c r="AR3662">
        <v>1</v>
      </c>
      <c r="AS3662" s="1">
        <v>35230</v>
      </c>
      <c r="AT3662" s="1">
        <v>7040</v>
      </c>
      <c r="AU3662" s="1">
        <v>28190</v>
      </c>
      <c r="AV3662">
        <v>80.02</v>
      </c>
      <c r="AX3662" s="1">
        <v>3573.26</v>
      </c>
      <c r="AY3662" t="s">
        <v>18520</v>
      </c>
      <c r="AZ3662" t="s">
        <v>18520</v>
      </c>
      <c r="BA3662" t="s">
        <v>1304</v>
      </c>
      <c r="BE3662" s="3">
        <v>41683</v>
      </c>
      <c r="BF3662" s="1">
        <v>315425</v>
      </c>
      <c r="BG3662" t="s">
        <v>23503</v>
      </c>
      <c r="BH3662" s="1">
        <v>148.72</v>
      </c>
      <c r="BI3662" s="1">
        <v>254550</v>
      </c>
      <c r="BJ3662" s="3">
        <v>42660</v>
      </c>
      <c r="BK3662" t="s">
        <v>123</v>
      </c>
      <c r="BL3662" t="str">
        <f>"2016.758969"</f>
        <v>2016.758969</v>
      </c>
      <c r="BM3662" t="s">
        <v>361</v>
      </c>
      <c r="BO3662" t="s">
        <v>23504</v>
      </c>
      <c r="BS3662">
        <v>15</v>
      </c>
      <c r="BW3662" t="str">
        <f>""</f>
        <v/>
      </c>
      <c r="CH3662" t="str">
        <f>""</f>
        <v/>
      </c>
      <c r="CS3662" t="str">
        <f>""</f>
        <v/>
      </c>
    </row>
    <row r="3663" spans="1:97" x14ac:dyDescent="0.25">
      <c r="A3663" t="s">
        <v>3526</v>
      </c>
      <c r="B3663" t="s">
        <v>23505</v>
      </c>
      <c r="C3663" t="s">
        <v>18010</v>
      </c>
      <c r="D3663" t="s">
        <v>23505</v>
      </c>
      <c r="E3663" t="s">
        <v>23506</v>
      </c>
      <c r="F3663" t="s">
        <v>108</v>
      </c>
      <c r="H3663" t="s">
        <v>23507</v>
      </c>
      <c r="I3663" t="s">
        <v>453</v>
      </c>
      <c r="J3663" t="s">
        <v>111</v>
      </c>
      <c r="K3663" t="str">
        <f>"85383"</f>
        <v>85383</v>
      </c>
      <c r="L3663" t="s">
        <v>1383</v>
      </c>
      <c r="M3663" t="s">
        <v>23507</v>
      </c>
      <c r="N3663" t="s">
        <v>453</v>
      </c>
      <c r="O3663" t="s">
        <v>111</v>
      </c>
      <c r="P3663" t="str">
        <f>"85383-6202"</f>
        <v>85383-6202</v>
      </c>
      <c r="Q3663" t="s">
        <v>113</v>
      </c>
      <c r="R3663" t="str">
        <f>"201-20-086"</f>
        <v>201-20-086</v>
      </c>
      <c r="S3663" t="s">
        <v>15688</v>
      </c>
      <c r="T3663" t="s">
        <v>8847</v>
      </c>
      <c r="U3663">
        <v>2079</v>
      </c>
      <c r="V3663">
        <v>0</v>
      </c>
      <c r="W3663">
        <v>4</v>
      </c>
      <c r="X3663">
        <v>2015</v>
      </c>
      <c r="Z3663">
        <v>1</v>
      </c>
      <c r="AB3663">
        <v>0</v>
      </c>
      <c r="AC3663" t="s">
        <v>115</v>
      </c>
      <c r="AD3663">
        <v>3</v>
      </c>
      <c r="AE3663" t="s">
        <v>115</v>
      </c>
      <c r="AF3663">
        <v>0</v>
      </c>
      <c r="AG3663">
        <v>0</v>
      </c>
      <c r="AH3663" t="s">
        <v>116</v>
      </c>
      <c r="AI3663" s="1">
        <v>71194</v>
      </c>
      <c r="AJ3663" s="2">
        <v>0.19</v>
      </c>
      <c r="AK3663" s="1">
        <v>365599</v>
      </c>
      <c r="AL3663" t="s">
        <v>117</v>
      </c>
      <c r="AM3663" t="s">
        <v>118</v>
      </c>
      <c r="AN3663">
        <v>7078</v>
      </c>
      <c r="AO3663">
        <v>0.16</v>
      </c>
      <c r="AR3663">
        <v>1</v>
      </c>
      <c r="AS3663" s="1">
        <v>27450</v>
      </c>
      <c r="AT3663" s="1">
        <v>5490</v>
      </c>
      <c r="AU3663" s="1">
        <v>21960</v>
      </c>
      <c r="AV3663">
        <v>80</v>
      </c>
      <c r="AX3663" s="1">
        <v>2219.04</v>
      </c>
      <c r="AY3663" t="s">
        <v>1385</v>
      </c>
      <c r="AZ3663" t="s">
        <v>1385</v>
      </c>
      <c r="BA3663" t="s">
        <v>1386</v>
      </c>
      <c r="BE3663" s="3">
        <v>42230</v>
      </c>
      <c r="BF3663" s="1">
        <v>337559</v>
      </c>
      <c r="BG3663" t="s">
        <v>2199</v>
      </c>
      <c r="BH3663" s="1">
        <v>162.37</v>
      </c>
      <c r="BI3663" s="1">
        <v>294405</v>
      </c>
      <c r="BJ3663" s="3">
        <v>42674</v>
      </c>
      <c r="BK3663" t="s">
        <v>123</v>
      </c>
      <c r="BL3663" t="str">
        <f>"2016.800866"</f>
        <v>2016.800866</v>
      </c>
      <c r="BM3663" t="s">
        <v>1915</v>
      </c>
      <c r="BO3663" t="s">
        <v>23508</v>
      </c>
      <c r="BP3663" t="s">
        <v>23509</v>
      </c>
      <c r="BS3663">
        <v>30</v>
      </c>
      <c r="BW3663" t="str">
        <f>""</f>
        <v/>
      </c>
      <c r="CH3663" t="str">
        <f>""</f>
        <v/>
      </c>
      <c r="CS3663" t="str">
        <f>""</f>
        <v/>
      </c>
    </row>
    <row r="3664" spans="1:97" x14ac:dyDescent="0.25">
      <c r="A3664" t="s">
        <v>3817</v>
      </c>
      <c r="B3664" t="s">
        <v>23510</v>
      </c>
      <c r="C3664" t="s">
        <v>199</v>
      </c>
      <c r="D3664" t="s">
        <v>23510</v>
      </c>
      <c r="E3664" t="s">
        <v>23511</v>
      </c>
      <c r="F3664" t="s">
        <v>108</v>
      </c>
      <c r="H3664" t="s">
        <v>23512</v>
      </c>
      <c r="I3664" t="s">
        <v>390</v>
      </c>
      <c r="J3664" t="s">
        <v>111</v>
      </c>
      <c r="K3664" t="str">
        <f>"85044"</f>
        <v>85044</v>
      </c>
      <c r="L3664" t="s">
        <v>10491</v>
      </c>
      <c r="M3664" t="s">
        <v>23512</v>
      </c>
      <c r="N3664" t="s">
        <v>390</v>
      </c>
      <c r="O3664" t="s">
        <v>111</v>
      </c>
      <c r="P3664" t="str">
        <f>"85044-6707"</f>
        <v>85044-6707</v>
      </c>
      <c r="Q3664" t="s">
        <v>113</v>
      </c>
      <c r="R3664" t="str">
        <f>"301-83-115"</f>
        <v>301-83-115</v>
      </c>
      <c r="S3664" t="s">
        <v>11632</v>
      </c>
      <c r="U3664">
        <v>1661</v>
      </c>
      <c r="V3664">
        <v>0</v>
      </c>
      <c r="W3664">
        <v>4</v>
      </c>
      <c r="X3664">
        <v>1985</v>
      </c>
      <c r="Z3664">
        <v>2</v>
      </c>
      <c r="AB3664">
        <v>0</v>
      </c>
      <c r="AC3664" t="s">
        <v>115</v>
      </c>
      <c r="AD3664">
        <v>2</v>
      </c>
      <c r="AE3664" t="s">
        <v>115</v>
      </c>
      <c r="AF3664">
        <v>0</v>
      </c>
      <c r="AG3664">
        <v>0</v>
      </c>
      <c r="AH3664" t="s">
        <v>116</v>
      </c>
      <c r="AI3664" s="1">
        <v>75319</v>
      </c>
      <c r="AJ3664" s="2">
        <v>0.24</v>
      </c>
      <c r="AK3664" s="1">
        <v>315940</v>
      </c>
      <c r="AL3664" t="s">
        <v>117</v>
      </c>
      <c r="AM3664" t="s">
        <v>3345</v>
      </c>
      <c r="AN3664">
        <v>5433</v>
      </c>
      <c r="AO3664">
        <v>0.12</v>
      </c>
      <c r="AP3664">
        <v>1</v>
      </c>
      <c r="AR3664">
        <v>1</v>
      </c>
      <c r="AS3664" s="1">
        <v>21470</v>
      </c>
      <c r="AT3664" s="1">
        <v>4290</v>
      </c>
      <c r="AU3664" s="1">
        <v>17180</v>
      </c>
      <c r="AV3664">
        <v>80.02</v>
      </c>
      <c r="AX3664" s="1">
        <v>2048.7199999999998</v>
      </c>
      <c r="AY3664" t="s">
        <v>7418</v>
      </c>
      <c r="AZ3664" t="s">
        <v>7255</v>
      </c>
      <c r="BA3664" t="s">
        <v>5328</v>
      </c>
      <c r="BE3664" s="3">
        <v>42083</v>
      </c>
      <c r="BF3664" s="1">
        <v>240000</v>
      </c>
      <c r="BG3664" t="s">
        <v>23513</v>
      </c>
      <c r="BH3664" s="1">
        <v>144.49</v>
      </c>
      <c r="BI3664" s="1">
        <v>240621</v>
      </c>
      <c r="BJ3664" s="3">
        <v>42898</v>
      </c>
      <c r="BK3664" t="s">
        <v>123</v>
      </c>
      <c r="BL3664" t="str">
        <f>"2017.424389"</f>
        <v>2017.424389</v>
      </c>
      <c r="BM3664" t="s">
        <v>3638</v>
      </c>
      <c r="BO3664" t="s">
        <v>23514</v>
      </c>
      <c r="BS3664">
        <v>30</v>
      </c>
      <c r="BW3664" t="str">
        <f>""</f>
        <v/>
      </c>
      <c r="CH3664" t="str">
        <f>""</f>
        <v/>
      </c>
      <c r="CS3664" t="str">
        <f>""</f>
        <v/>
      </c>
    </row>
    <row r="3665" spans="1:97" x14ac:dyDescent="0.25">
      <c r="A3665" t="s">
        <v>183</v>
      </c>
      <c r="B3665" t="s">
        <v>2692</v>
      </c>
      <c r="C3665" t="s">
        <v>6345</v>
      </c>
      <c r="D3665" t="s">
        <v>2692</v>
      </c>
      <c r="E3665" t="s">
        <v>23515</v>
      </c>
      <c r="F3665" t="s">
        <v>108</v>
      </c>
      <c r="H3665" t="s">
        <v>23516</v>
      </c>
      <c r="I3665" t="s">
        <v>225</v>
      </c>
      <c r="J3665" t="s">
        <v>111</v>
      </c>
      <c r="K3665" t="str">
        <f>"85204"</f>
        <v>85204</v>
      </c>
      <c r="L3665" t="s">
        <v>8199</v>
      </c>
      <c r="M3665" t="s">
        <v>23516</v>
      </c>
      <c r="N3665" t="s">
        <v>225</v>
      </c>
      <c r="O3665" t="s">
        <v>111</v>
      </c>
      <c r="P3665" t="str">
        <f>"85204-7311"</f>
        <v>85204-7311</v>
      </c>
      <c r="Q3665" t="s">
        <v>113</v>
      </c>
      <c r="R3665" t="str">
        <f>"140-65-105"</f>
        <v>140-65-105</v>
      </c>
      <c r="S3665" t="s">
        <v>23517</v>
      </c>
      <c r="T3665" t="s">
        <v>23518</v>
      </c>
      <c r="U3665">
        <v>3842</v>
      </c>
      <c r="V3665">
        <v>0</v>
      </c>
      <c r="W3665">
        <v>5</v>
      </c>
      <c r="X3665">
        <v>1997</v>
      </c>
      <c r="Z3665">
        <v>2</v>
      </c>
      <c r="AB3665">
        <v>0</v>
      </c>
      <c r="AC3665" t="s">
        <v>115</v>
      </c>
      <c r="AD3665">
        <v>3</v>
      </c>
      <c r="AE3665" t="s">
        <v>115</v>
      </c>
      <c r="AF3665">
        <v>0</v>
      </c>
      <c r="AG3665">
        <v>0</v>
      </c>
      <c r="AH3665" t="s">
        <v>116</v>
      </c>
      <c r="AI3665" s="1">
        <v>157785</v>
      </c>
      <c r="AJ3665" s="2">
        <v>0.34</v>
      </c>
      <c r="AK3665" s="1">
        <v>462376</v>
      </c>
      <c r="AL3665" t="s">
        <v>117</v>
      </c>
      <c r="AM3665" t="s">
        <v>917</v>
      </c>
      <c r="AN3665">
        <v>9200</v>
      </c>
      <c r="AO3665">
        <v>0.21</v>
      </c>
      <c r="AP3665">
        <v>1</v>
      </c>
      <c r="AR3665">
        <v>1</v>
      </c>
      <c r="AS3665" s="1">
        <v>34220</v>
      </c>
      <c r="AT3665" s="1">
        <v>6840</v>
      </c>
      <c r="AU3665" s="1">
        <v>27380</v>
      </c>
      <c r="AV3665">
        <v>80.010000000000005</v>
      </c>
      <c r="AX3665" s="1">
        <v>2638.68</v>
      </c>
      <c r="AY3665" t="s">
        <v>8450</v>
      </c>
      <c r="AZ3665" t="s">
        <v>5478</v>
      </c>
      <c r="BA3665" t="s">
        <v>521</v>
      </c>
      <c r="BE3665" s="3">
        <v>42424</v>
      </c>
      <c r="BF3665" s="1">
        <v>382000</v>
      </c>
      <c r="BG3665" t="s">
        <v>23519</v>
      </c>
      <c r="BH3665" s="1">
        <v>99.43</v>
      </c>
      <c r="BI3665" s="1">
        <v>304591</v>
      </c>
      <c r="BJ3665" s="3">
        <v>42696</v>
      </c>
      <c r="BK3665" t="s">
        <v>123</v>
      </c>
      <c r="BL3665" t="str">
        <f>"2016.860575"</f>
        <v>2016.860575</v>
      </c>
      <c r="BM3665" t="s">
        <v>322</v>
      </c>
      <c r="BO3665" t="s">
        <v>23520</v>
      </c>
      <c r="BS3665">
        <v>30</v>
      </c>
      <c r="BW3665" t="str">
        <f>""</f>
        <v/>
      </c>
      <c r="CH3665" t="str">
        <f>""</f>
        <v/>
      </c>
      <c r="CS3665" t="str">
        <f>""</f>
        <v/>
      </c>
    </row>
    <row r="3666" spans="1:97" x14ac:dyDescent="0.25">
      <c r="A3666" t="s">
        <v>23521</v>
      </c>
      <c r="B3666" t="s">
        <v>1089</v>
      </c>
      <c r="C3666" t="s">
        <v>691</v>
      </c>
      <c r="D3666" t="s">
        <v>1089</v>
      </c>
      <c r="E3666" t="s">
        <v>23522</v>
      </c>
      <c r="F3666" t="s">
        <v>108</v>
      </c>
      <c r="H3666" t="s">
        <v>23523</v>
      </c>
      <c r="I3666" t="s">
        <v>203</v>
      </c>
      <c r="J3666" t="s">
        <v>111</v>
      </c>
      <c r="K3666" t="str">
        <f>"85298"</f>
        <v>85298</v>
      </c>
      <c r="L3666" t="s">
        <v>2211</v>
      </c>
      <c r="M3666" t="s">
        <v>23523</v>
      </c>
      <c r="N3666" t="s">
        <v>203</v>
      </c>
      <c r="O3666" t="s">
        <v>111</v>
      </c>
      <c r="P3666" t="str">
        <f>"85298-2318"</f>
        <v>85298-2318</v>
      </c>
      <c r="Q3666" t="s">
        <v>113</v>
      </c>
      <c r="R3666" t="str">
        <f>"304-81-795"</f>
        <v>304-81-795</v>
      </c>
      <c r="S3666" t="s">
        <v>7566</v>
      </c>
      <c r="T3666" t="s">
        <v>2213</v>
      </c>
      <c r="U3666">
        <v>4042</v>
      </c>
      <c r="V3666">
        <v>0</v>
      </c>
      <c r="W3666">
        <v>4</v>
      </c>
      <c r="X3666">
        <v>2012</v>
      </c>
      <c r="Z3666">
        <v>2</v>
      </c>
      <c r="AB3666">
        <v>0</v>
      </c>
      <c r="AC3666" t="s">
        <v>115</v>
      </c>
      <c r="AD3666">
        <v>2</v>
      </c>
      <c r="AE3666" t="s">
        <v>115</v>
      </c>
      <c r="AF3666">
        <v>0</v>
      </c>
      <c r="AG3666">
        <v>0</v>
      </c>
      <c r="AH3666" t="s">
        <v>116</v>
      </c>
      <c r="AI3666" s="1">
        <v>65318</v>
      </c>
      <c r="AJ3666" s="2">
        <v>0.14000000000000001</v>
      </c>
      <c r="AK3666" s="1">
        <v>461660</v>
      </c>
      <c r="AL3666" t="s">
        <v>117</v>
      </c>
      <c r="AM3666" t="s">
        <v>393</v>
      </c>
      <c r="AN3666">
        <v>8411</v>
      </c>
      <c r="AO3666">
        <v>0.19</v>
      </c>
      <c r="AR3666">
        <v>1</v>
      </c>
      <c r="AS3666" s="1">
        <v>36270</v>
      </c>
      <c r="AT3666" s="1">
        <v>7250</v>
      </c>
      <c r="AU3666" s="1">
        <v>29020</v>
      </c>
      <c r="AV3666">
        <v>80.010000000000005</v>
      </c>
      <c r="AX3666" s="1">
        <v>3264</v>
      </c>
      <c r="AY3666" t="s">
        <v>2214</v>
      </c>
      <c r="AZ3666" t="s">
        <v>1134</v>
      </c>
      <c r="BA3666" t="s">
        <v>1134</v>
      </c>
      <c r="BE3666" s="3">
        <v>42277</v>
      </c>
      <c r="BF3666" s="1">
        <v>388000</v>
      </c>
      <c r="BG3666" t="s">
        <v>23524</v>
      </c>
      <c r="BH3666" s="1">
        <v>95.99</v>
      </c>
      <c r="BI3666" s="1">
        <v>396342</v>
      </c>
      <c r="BJ3666" s="3">
        <v>42277</v>
      </c>
      <c r="BK3666" t="s">
        <v>123</v>
      </c>
      <c r="BL3666" t="str">
        <f>"2015.705495"</f>
        <v>2015.705495</v>
      </c>
      <c r="BM3666" t="s">
        <v>724</v>
      </c>
      <c r="BO3666" t="s">
        <v>23525</v>
      </c>
      <c r="BS3666">
        <v>30</v>
      </c>
      <c r="BW3666" t="str">
        <f>""</f>
        <v/>
      </c>
      <c r="CH3666" t="str">
        <f>""</f>
        <v/>
      </c>
      <c r="CS3666" t="str">
        <f>""</f>
        <v/>
      </c>
    </row>
    <row r="3667" spans="1:97" x14ac:dyDescent="0.25">
      <c r="A3667" t="s">
        <v>23526</v>
      </c>
      <c r="B3667" t="s">
        <v>6243</v>
      </c>
      <c r="C3667" t="s">
        <v>5375</v>
      </c>
      <c r="D3667" t="s">
        <v>6243</v>
      </c>
      <c r="E3667" t="s">
        <v>23527</v>
      </c>
      <c r="F3667" t="s">
        <v>108</v>
      </c>
      <c r="H3667" t="s">
        <v>23528</v>
      </c>
      <c r="I3667" t="s">
        <v>453</v>
      </c>
      <c r="J3667" t="s">
        <v>111</v>
      </c>
      <c r="K3667" t="str">
        <f>"85382"</f>
        <v>85382</v>
      </c>
      <c r="L3667" t="s">
        <v>5743</v>
      </c>
      <c r="M3667" t="s">
        <v>23528</v>
      </c>
      <c r="N3667" t="s">
        <v>453</v>
      </c>
      <c r="O3667" t="s">
        <v>111</v>
      </c>
      <c r="P3667" t="str">
        <f>"85382-3405"</f>
        <v>85382-3405</v>
      </c>
      <c r="Q3667" t="s">
        <v>113</v>
      </c>
      <c r="R3667" t="str">
        <f>"200-16-524"</f>
        <v>200-16-524</v>
      </c>
      <c r="S3667" t="s">
        <v>22411</v>
      </c>
      <c r="T3667" t="s">
        <v>22411</v>
      </c>
      <c r="U3667">
        <v>2417</v>
      </c>
      <c r="V3667">
        <v>0</v>
      </c>
      <c r="W3667">
        <v>4</v>
      </c>
      <c r="X3667">
        <v>1998</v>
      </c>
      <c r="Z3667">
        <v>2</v>
      </c>
      <c r="AA3667" t="s">
        <v>26</v>
      </c>
      <c r="AB3667">
        <v>0</v>
      </c>
      <c r="AC3667" t="s">
        <v>115</v>
      </c>
      <c r="AD3667">
        <v>3</v>
      </c>
      <c r="AE3667" t="s">
        <v>115</v>
      </c>
      <c r="AF3667">
        <v>0</v>
      </c>
      <c r="AG3667">
        <v>0</v>
      </c>
      <c r="AH3667" t="s">
        <v>116</v>
      </c>
      <c r="AI3667" s="1">
        <v>63503</v>
      </c>
      <c r="AJ3667" s="2">
        <v>0.17</v>
      </c>
      <c r="AK3667" s="1">
        <v>374647</v>
      </c>
      <c r="AL3667" t="s">
        <v>117</v>
      </c>
      <c r="AM3667" t="s">
        <v>171</v>
      </c>
      <c r="AN3667">
        <v>8623</v>
      </c>
      <c r="AO3667">
        <v>0.2</v>
      </c>
      <c r="AP3667">
        <v>1</v>
      </c>
      <c r="AR3667">
        <v>1</v>
      </c>
      <c r="AS3667" s="1">
        <v>26060</v>
      </c>
      <c r="AT3667" s="1">
        <v>5210</v>
      </c>
      <c r="AU3667" s="1">
        <v>20850</v>
      </c>
      <c r="AV3667">
        <v>80.010000000000005</v>
      </c>
      <c r="AX3667" s="1">
        <v>2507.7800000000002</v>
      </c>
      <c r="AY3667" t="s">
        <v>6311</v>
      </c>
      <c r="AZ3667" t="s">
        <v>6311</v>
      </c>
      <c r="BA3667" t="s">
        <v>4219</v>
      </c>
      <c r="BB3667" s="3">
        <v>42482</v>
      </c>
      <c r="BD3667" t="s">
        <v>240</v>
      </c>
      <c r="BE3667" s="3">
        <v>42159</v>
      </c>
      <c r="BF3667" s="1">
        <v>310000</v>
      </c>
      <c r="BG3667" t="s">
        <v>23529</v>
      </c>
      <c r="BH3667" s="1">
        <v>128.26</v>
      </c>
      <c r="BI3667" s="1">
        <v>311144</v>
      </c>
      <c r="BJ3667" s="3">
        <v>42480</v>
      </c>
      <c r="BK3667" t="s">
        <v>123</v>
      </c>
      <c r="BL3667" t="str">
        <f>"2016.263887"</f>
        <v>2016.263887</v>
      </c>
      <c r="BM3667" t="s">
        <v>10499</v>
      </c>
      <c r="BO3667" t="s">
        <v>23530</v>
      </c>
      <c r="BS3667">
        <v>30</v>
      </c>
      <c r="BW3667" t="str">
        <f>""</f>
        <v/>
      </c>
      <c r="CH3667" t="str">
        <f>""</f>
        <v/>
      </c>
      <c r="CS3667" t="str">
        <f>""</f>
        <v/>
      </c>
    </row>
    <row r="3668" spans="1:97" x14ac:dyDescent="0.25">
      <c r="A3668" t="s">
        <v>639</v>
      </c>
      <c r="B3668" t="s">
        <v>23531</v>
      </c>
      <c r="C3668" t="s">
        <v>524</v>
      </c>
      <c r="D3668" t="s">
        <v>23531</v>
      </c>
      <c r="E3668" t="s">
        <v>23532</v>
      </c>
      <c r="F3668" t="s">
        <v>108</v>
      </c>
      <c r="H3668" t="s">
        <v>23533</v>
      </c>
      <c r="I3668" t="s">
        <v>6646</v>
      </c>
      <c r="J3668" t="s">
        <v>111</v>
      </c>
      <c r="K3668" t="str">
        <f>"85086"</f>
        <v>85086</v>
      </c>
      <c r="L3668" t="s">
        <v>3161</v>
      </c>
      <c r="M3668" t="s">
        <v>23533</v>
      </c>
      <c r="N3668" t="s">
        <v>6646</v>
      </c>
      <c r="O3668" t="s">
        <v>111</v>
      </c>
      <c r="P3668" t="str">
        <f>"85086-8014"</f>
        <v>85086-8014</v>
      </c>
      <c r="Q3668" t="s">
        <v>113</v>
      </c>
      <c r="R3668" t="str">
        <f>"202-22-215"</f>
        <v>202-22-215</v>
      </c>
      <c r="S3668" t="s">
        <v>23534</v>
      </c>
      <c r="T3668" t="s">
        <v>14904</v>
      </c>
      <c r="U3668">
        <v>1810</v>
      </c>
      <c r="V3668">
        <v>0</v>
      </c>
      <c r="W3668">
        <v>3</v>
      </c>
      <c r="X3668">
        <v>2002</v>
      </c>
      <c r="Z3668">
        <v>1</v>
      </c>
      <c r="AB3668">
        <v>0</v>
      </c>
      <c r="AC3668" t="s">
        <v>115</v>
      </c>
      <c r="AD3668">
        <v>2</v>
      </c>
      <c r="AE3668" t="s">
        <v>115</v>
      </c>
      <c r="AF3668">
        <v>0</v>
      </c>
      <c r="AG3668">
        <v>0</v>
      </c>
      <c r="AH3668" t="s">
        <v>116</v>
      </c>
      <c r="AI3668" s="1">
        <v>74148</v>
      </c>
      <c r="AJ3668" s="2">
        <v>0.24</v>
      </c>
      <c r="AK3668" s="1">
        <v>311738</v>
      </c>
      <c r="AL3668" t="s">
        <v>117</v>
      </c>
      <c r="AM3668" t="s">
        <v>191</v>
      </c>
      <c r="AN3668">
        <v>6122</v>
      </c>
      <c r="AO3668">
        <v>0.14000000000000001</v>
      </c>
      <c r="AP3668">
        <v>1</v>
      </c>
      <c r="AR3668">
        <v>1</v>
      </c>
      <c r="AS3668" s="1">
        <v>22030</v>
      </c>
      <c r="AT3668" s="1">
        <v>4400</v>
      </c>
      <c r="AU3668" s="1">
        <v>17630</v>
      </c>
      <c r="AV3668">
        <v>80.03</v>
      </c>
      <c r="AX3668" s="1">
        <v>2470.7800000000002</v>
      </c>
      <c r="AY3668" t="s">
        <v>5380</v>
      </c>
      <c r="AZ3668" t="s">
        <v>5380</v>
      </c>
      <c r="BA3668" t="s">
        <v>378</v>
      </c>
      <c r="BE3668" s="3">
        <v>42075</v>
      </c>
      <c r="BF3668" s="1">
        <v>235000</v>
      </c>
      <c r="BG3668" t="s">
        <v>23535</v>
      </c>
      <c r="BH3668" s="1">
        <v>129.83000000000001</v>
      </c>
      <c r="BI3668" s="1">
        <v>237590</v>
      </c>
      <c r="BJ3668" s="3">
        <v>42075</v>
      </c>
      <c r="BK3668" t="s">
        <v>123</v>
      </c>
      <c r="BL3668" t="str">
        <f>"2015.165582"</f>
        <v>2015.165582</v>
      </c>
      <c r="BM3668" t="s">
        <v>709</v>
      </c>
      <c r="BO3668" t="s">
        <v>23536</v>
      </c>
      <c r="BS3668">
        <v>30</v>
      </c>
      <c r="BW3668" t="str">
        <f>""</f>
        <v/>
      </c>
      <c r="CH3668" t="str">
        <f>""</f>
        <v/>
      </c>
      <c r="CS3668" t="str">
        <f>""</f>
        <v/>
      </c>
    </row>
    <row r="3669" spans="1:97" x14ac:dyDescent="0.25">
      <c r="A3669" t="s">
        <v>8735</v>
      </c>
      <c r="B3669" t="s">
        <v>1673</v>
      </c>
      <c r="C3669" t="s">
        <v>16694</v>
      </c>
      <c r="D3669" t="s">
        <v>1673</v>
      </c>
      <c r="E3669" t="s">
        <v>23537</v>
      </c>
      <c r="F3669" t="s">
        <v>108</v>
      </c>
      <c r="H3669" t="s">
        <v>23538</v>
      </c>
      <c r="I3669" t="s">
        <v>390</v>
      </c>
      <c r="J3669" t="s">
        <v>111</v>
      </c>
      <c r="K3669" t="str">
        <f>"85014"</f>
        <v>85014</v>
      </c>
      <c r="L3669" t="s">
        <v>9006</v>
      </c>
      <c r="M3669" t="s">
        <v>23538</v>
      </c>
      <c r="N3669" t="s">
        <v>390</v>
      </c>
      <c r="O3669" t="s">
        <v>111</v>
      </c>
      <c r="P3669" t="str">
        <f>"85014-2314"</f>
        <v>85014-2314</v>
      </c>
      <c r="Q3669" t="s">
        <v>113</v>
      </c>
      <c r="R3669" t="str">
        <f>"162-03-040"</f>
        <v>162-03-040</v>
      </c>
      <c r="S3669" t="s">
        <v>23539</v>
      </c>
      <c r="T3669" t="s">
        <v>23539</v>
      </c>
      <c r="U3669">
        <v>2929</v>
      </c>
      <c r="V3669">
        <v>0</v>
      </c>
      <c r="W3669">
        <v>3</v>
      </c>
      <c r="X3669">
        <v>1959</v>
      </c>
      <c r="Z3669">
        <v>1</v>
      </c>
      <c r="AA3669" t="s">
        <v>26</v>
      </c>
      <c r="AB3669">
        <v>0</v>
      </c>
      <c r="AC3669" t="s">
        <v>115</v>
      </c>
      <c r="AD3669">
        <v>3</v>
      </c>
      <c r="AE3669" t="s">
        <v>115</v>
      </c>
      <c r="AF3669">
        <v>0</v>
      </c>
      <c r="AG3669">
        <v>0</v>
      </c>
      <c r="AH3669" t="s">
        <v>116</v>
      </c>
      <c r="AI3669" s="1">
        <v>191954</v>
      </c>
      <c r="AJ3669" s="2">
        <v>0.25</v>
      </c>
      <c r="AK3669" s="1">
        <v>754517</v>
      </c>
      <c r="AL3669" t="s">
        <v>117</v>
      </c>
      <c r="AM3669" t="s">
        <v>191</v>
      </c>
      <c r="AN3669">
        <v>18665</v>
      </c>
      <c r="AO3669">
        <v>0.43</v>
      </c>
      <c r="AP3669">
        <v>1</v>
      </c>
      <c r="AR3669">
        <v>1</v>
      </c>
      <c r="AS3669" s="1">
        <v>59220</v>
      </c>
      <c r="AT3669" s="1">
        <v>11840</v>
      </c>
      <c r="AU3669" s="1">
        <v>47380</v>
      </c>
      <c r="AV3669">
        <v>80.010000000000005</v>
      </c>
      <c r="AX3669" s="1">
        <v>7479.38</v>
      </c>
      <c r="AY3669" t="s">
        <v>6998</v>
      </c>
      <c r="AZ3669" t="s">
        <v>6254</v>
      </c>
      <c r="BA3669" t="s">
        <v>5469</v>
      </c>
      <c r="BE3669" s="3">
        <v>42199</v>
      </c>
      <c r="BF3669" s="1">
        <v>600000</v>
      </c>
      <c r="BG3669" t="s">
        <v>23540</v>
      </c>
      <c r="BH3669" s="1">
        <v>204.85</v>
      </c>
      <c r="BI3669" s="1">
        <v>562563</v>
      </c>
      <c r="BJ3669" s="3">
        <v>42199</v>
      </c>
      <c r="BK3669" t="s">
        <v>123</v>
      </c>
      <c r="BL3669" t="str">
        <f>"2015.506207"</f>
        <v>2015.506207</v>
      </c>
      <c r="BM3669" t="s">
        <v>2716</v>
      </c>
      <c r="BO3669" t="s">
        <v>23541</v>
      </c>
      <c r="BS3669">
        <v>30</v>
      </c>
      <c r="BW3669" t="str">
        <f>""</f>
        <v/>
      </c>
      <c r="CH3669" t="str">
        <f>""</f>
        <v/>
      </c>
      <c r="CS3669" t="str">
        <f>""</f>
        <v/>
      </c>
    </row>
    <row r="3670" spans="1:97" x14ac:dyDescent="0.25">
      <c r="A3670" t="s">
        <v>943</v>
      </c>
      <c r="B3670" t="s">
        <v>465</v>
      </c>
      <c r="C3670" t="s">
        <v>670</v>
      </c>
      <c r="D3670" t="s">
        <v>465</v>
      </c>
      <c r="E3670" t="s">
        <v>23542</v>
      </c>
      <c r="F3670" t="s">
        <v>108</v>
      </c>
      <c r="H3670" t="s">
        <v>23543</v>
      </c>
      <c r="I3670" t="s">
        <v>225</v>
      </c>
      <c r="J3670" t="s">
        <v>111</v>
      </c>
      <c r="K3670" t="str">
        <f>"85212"</f>
        <v>85212</v>
      </c>
      <c r="L3670" t="s">
        <v>6595</v>
      </c>
      <c r="M3670" t="s">
        <v>23543</v>
      </c>
      <c r="N3670" t="s">
        <v>225</v>
      </c>
      <c r="O3670" t="s">
        <v>111</v>
      </c>
      <c r="P3670" t="str">
        <f>"85212-7056"</f>
        <v>85212-7056</v>
      </c>
      <c r="Q3670" t="s">
        <v>113</v>
      </c>
      <c r="R3670" t="str">
        <f>"312-14-744"</f>
        <v>312-14-744</v>
      </c>
      <c r="S3670" t="s">
        <v>8852</v>
      </c>
      <c r="T3670" t="s">
        <v>8853</v>
      </c>
      <c r="U3670">
        <v>3937</v>
      </c>
      <c r="V3670">
        <v>0</v>
      </c>
      <c r="W3670">
        <v>5</v>
      </c>
      <c r="X3670">
        <v>2005</v>
      </c>
      <c r="Z3670">
        <v>2</v>
      </c>
      <c r="AA3670" t="s">
        <v>26</v>
      </c>
      <c r="AB3670">
        <v>0</v>
      </c>
      <c r="AC3670" t="s">
        <v>115</v>
      </c>
      <c r="AD3670">
        <v>3</v>
      </c>
      <c r="AE3670" t="s">
        <v>115</v>
      </c>
      <c r="AF3670">
        <v>0</v>
      </c>
      <c r="AG3670">
        <v>0</v>
      </c>
      <c r="AH3670" t="s">
        <v>116</v>
      </c>
      <c r="AI3670" s="1">
        <v>75133</v>
      </c>
      <c r="AJ3670" s="2">
        <v>0.16</v>
      </c>
      <c r="AK3670" s="1">
        <v>462633</v>
      </c>
      <c r="AL3670" t="s">
        <v>117</v>
      </c>
      <c r="AM3670" t="s">
        <v>393</v>
      </c>
      <c r="AN3670">
        <v>9360</v>
      </c>
      <c r="AO3670">
        <v>0.22</v>
      </c>
      <c r="AP3670">
        <v>1</v>
      </c>
      <c r="AR3670">
        <v>1</v>
      </c>
      <c r="AS3670" s="1">
        <v>31310</v>
      </c>
      <c r="AT3670" s="1">
        <v>6260</v>
      </c>
      <c r="AU3670" s="1">
        <v>25050</v>
      </c>
      <c r="AV3670">
        <v>80.010000000000005</v>
      </c>
      <c r="AX3670" s="1">
        <v>2855.56</v>
      </c>
      <c r="AY3670" t="s">
        <v>560</v>
      </c>
      <c r="AZ3670" t="s">
        <v>561</v>
      </c>
      <c r="BA3670" t="s">
        <v>194</v>
      </c>
      <c r="BE3670" s="3">
        <v>41857</v>
      </c>
      <c r="BF3670" s="1">
        <v>387500</v>
      </c>
      <c r="BG3670" t="s">
        <v>23544</v>
      </c>
      <c r="BH3670" s="1">
        <v>98.43</v>
      </c>
      <c r="BI3670" s="1">
        <v>387500</v>
      </c>
      <c r="BJ3670" s="3">
        <v>41857</v>
      </c>
      <c r="BK3670" t="s">
        <v>123</v>
      </c>
      <c r="BL3670" t="str">
        <f>"2014.518826"</f>
        <v>2014.518826</v>
      </c>
      <c r="BM3670" t="s">
        <v>594</v>
      </c>
      <c r="BO3670" t="s">
        <v>23545</v>
      </c>
      <c r="BS3670">
        <v>30</v>
      </c>
      <c r="BW3670" t="str">
        <f>""</f>
        <v/>
      </c>
      <c r="CH3670" t="str">
        <f>""</f>
        <v/>
      </c>
      <c r="CS3670" t="str">
        <f>""</f>
        <v/>
      </c>
    </row>
    <row r="3671" spans="1:97" x14ac:dyDescent="0.25">
      <c r="A3671" t="s">
        <v>589</v>
      </c>
      <c r="B3671" t="s">
        <v>23546</v>
      </c>
      <c r="C3671" t="s">
        <v>1496</v>
      </c>
      <c r="D3671" t="s">
        <v>23546</v>
      </c>
      <c r="E3671" t="s">
        <v>23547</v>
      </c>
      <c r="F3671" t="s">
        <v>108</v>
      </c>
      <c r="H3671" t="s">
        <v>23548</v>
      </c>
      <c r="I3671" t="s">
        <v>188</v>
      </c>
      <c r="J3671" t="s">
        <v>111</v>
      </c>
      <c r="K3671" t="str">
        <f>"85142"</f>
        <v>85142</v>
      </c>
      <c r="L3671" t="s">
        <v>625</v>
      </c>
      <c r="M3671" t="s">
        <v>23548</v>
      </c>
      <c r="N3671" t="s">
        <v>188</v>
      </c>
      <c r="O3671" t="s">
        <v>111</v>
      </c>
      <c r="P3671" t="str">
        <f>"85142-5984"</f>
        <v>85142-5984</v>
      </c>
      <c r="Q3671" t="s">
        <v>113</v>
      </c>
      <c r="R3671" t="str">
        <f>"304-64-756"</f>
        <v>304-64-756</v>
      </c>
      <c r="S3671" t="s">
        <v>5881</v>
      </c>
      <c r="T3671" t="s">
        <v>5882</v>
      </c>
      <c r="U3671">
        <v>3350</v>
      </c>
      <c r="V3671">
        <v>0</v>
      </c>
      <c r="W3671">
        <v>5</v>
      </c>
      <c r="X3671">
        <v>2014</v>
      </c>
      <c r="Z3671">
        <v>2</v>
      </c>
      <c r="AA3671" t="s">
        <v>26</v>
      </c>
      <c r="AB3671">
        <v>0</v>
      </c>
      <c r="AC3671" t="s">
        <v>115</v>
      </c>
      <c r="AD3671">
        <v>3</v>
      </c>
      <c r="AE3671" t="s">
        <v>115</v>
      </c>
      <c r="AF3671">
        <v>0</v>
      </c>
      <c r="AG3671">
        <v>0</v>
      </c>
      <c r="AH3671" t="s">
        <v>116</v>
      </c>
      <c r="AI3671" s="1">
        <v>117784</v>
      </c>
      <c r="AJ3671" s="2">
        <v>0.27</v>
      </c>
      <c r="AK3671" s="1">
        <v>443584</v>
      </c>
      <c r="AL3671" t="s">
        <v>117</v>
      </c>
      <c r="AM3671" t="s">
        <v>393</v>
      </c>
      <c r="AN3671">
        <v>9931</v>
      </c>
      <c r="AO3671">
        <v>0.23</v>
      </c>
      <c r="AR3671">
        <v>1</v>
      </c>
      <c r="AS3671" s="1">
        <v>31120</v>
      </c>
      <c r="AT3671" s="1">
        <v>6220</v>
      </c>
      <c r="AU3671" s="1">
        <v>24900</v>
      </c>
      <c r="AV3671">
        <v>80.010000000000005</v>
      </c>
      <c r="AX3671" s="1">
        <v>2604.66</v>
      </c>
      <c r="AY3671" t="s">
        <v>560</v>
      </c>
      <c r="AZ3671" t="s">
        <v>561</v>
      </c>
      <c r="BA3671" t="s">
        <v>194</v>
      </c>
      <c r="BE3671" s="3">
        <v>41932</v>
      </c>
      <c r="BF3671" s="1">
        <v>313113</v>
      </c>
      <c r="BG3671" t="s">
        <v>158</v>
      </c>
      <c r="BH3671" s="1">
        <v>93.47</v>
      </c>
      <c r="BI3671" s="1">
        <v>325800</v>
      </c>
      <c r="BJ3671" s="3">
        <v>42130</v>
      </c>
      <c r="BK3671" t="s">
        <v>123</v>
      </c>
      <c r="BL3671" t="str">
        <f>"2015.318147"</f>
        <v>2015.318147</v>
      </c>
      <c r="BM3671" t="s">
        <v>1707</v>
      </c>
      <c r="BO3671" t="s">
        <v>23549</v>
      </c>
      <c r="BS3671">
        <v>20</v>
      </c>
      <c r="BW3671" t="str">
        <f>""</f>
        <v/>
      </c>
      <c r="CH3671" t="str">
        <f>""</f>
        <v/>
      </c>
      <c r="CS3671" t="str">
        <f>""</f>
        <v/>
      </c>
    </row>
    <row r="3672" spans="1:97" x14ac:dyDescent="0.25">
      <c r="A3672" t="s">
        <v>1444</v>
      </c>
      <c r="B3672" t="s">
        <v>23550</v>
      </c>
      <c r="C3672" t="s">
        <v>1366</v>
      </c>
      <c r="D3672" t="s">
        <v>23550</v>
      </c>
      <c r="E3672" t="s">
        <v>23551</v>
      </c>
      <c r="F3672" t="s">
        <v>108</v>
      </c>
      <c r="H3672" t="s">
        <v>23552</v>
      </c>
      <c r="I3672" t="s">
        <v>3150</v>
      </c>
      <c r="J3672" t="s">
        <v>111</v>
      </c>
      <c r="K3672" t="str">
        <f>"85340"</f>
        <v>85340</v>
      </c>
      <c r="L3672" t="s">
        <v>11097</v>
      </c>
      <c r="M3672" t="s">
        <v>23552</v>
      </c>
      <c r="N3672" t="s">
        <v>3150</v>
      </c>
      <c r="O3672" t="s">
        <v>111</v>
      </c>
      <c r="P3672" t="str">
        <f>"85340-5905"</f>
        <v>85340-5905</v>
      </c>
      <c r="Q3672" t="s">
        <v>113</v>
      </c>
      <c r="R3672" t="str">
        <f>"508-02-287"</f>
        <v>508-02-287</v>
      </c>
      <c r="S3672" t="s">
        <v>9163</v>
      </c>
      <c r="T3672" t="s">
        <v>9163</v>
      </c>
      <c r="U3672">
        <v>3705</v>
      </c>
      <c r="V3672">
        <v>0</v>
      </c>
      <c r="W3672">
        <v>4</v>
      </c>
      <c r="X3672">
        <v>2004</v>
      </c>
      <c r="Z3672">
        <v>2</v>
      </c>
      <c r="AA3672" t="s">
        <v>26</v>
      </c>
      <c r="AB3672">
        <v>0</v>
      </c>
      <c r="AC3672" t="s">
        <v>115</v>
      </c>
      <c r="AD3672">
        <v>3</v>
      </c>
      <c r="AE3672" t="s">
        <v>115</v>
      </c>
      <c r="AF3672">
        <v>0</v>
      </c>
      <c r="AG3672">
        <v>0</v>
      </c>
      <c r="AH3672" t="s">
        <v>116</v>
      </c>
      <c r="AI3672" s="1">
        <v>16509</v>
      </c>
      <c r="AJ3672" s="2">
        <v>0.05</v>
      </c>
      <c r="AK3672" s="1">
        <v>361531</v>
      </c>
      <c r="AL3672" t="s">
        <v>117</v>
      </c>
      <c r="AM3672" t="s">
        <v>118</v>
      </c>
      <c r="AN3672">
        <v>8830</v>
      </c>
      <c r="AO3672">
        <v>0.2</v>
      </c>
      <c r="AP3672">
        <v>1</v>
      </c>
      <c r="AR3672">
        <v>1</v>
      </c>
      <c r="AS3672" s="1">
        <v>28470</v>
      </c>
      <c r="AT3672" s="1">
        <v>5690</v>
      </c>
      <c r="AU3672" s="1">
        <v>22780</v>
      </c>
      <c r="AV3672">
        <v>80.010000000000005</v>
      </c>
      <c r="AX3672" s="1">
        <v>2568.16</v>
      </c>
      <c r="AY3672" t="s">
        <v>7636</v>
      </c>
      <c r="AZ3672" t="s">
        <v>6701</v>
      </c>
      <c r="BA3672" t="s">
        <v>3154</v>
      </c>
      <c r="BE3672" s="3">
        <v>42215</v>
      </c>
      <c r="BF3672" s="1">
        <v>338000</v>
      </c>
      <c r="BG3672" t="s">
        <v>23553</v>
      </c>
      <c r="BH3672" s="1">
        <v>91.23</v>
      </c>
      <c r="BI3672" s="1">
        <v>345022</v>
      </c>
      <c r="BJ3672" s="3">
        <v>42215</v>
      </c>
      <c r="BK3672" t="s">
        <v>123</v>
      </c>
      <c r="BL3672" t="str">
        <f>"2015.551480"</f>
        <v>2015.551480</v>
      </c>
      <c r="BM3672" t="s">
        <v>4738</v>
      </c>
      <c r="BO3672" t="s">
        <v>23554</v>
      </c>
      <c r="BS3672">
        <v>30</v>
      </c>
      <c r="BW3672" t="str">
        <f>""</f>
        <v/>
      </c>
      <c r="CH3672" t="str">
        <f>""</f>
        <v/>
      </c>
      <c r="CS3672" t="str">
        <f>""</f>
        <v/>
      </c>
    </row>
    <row r="3673" spans="1:97" x14ac:dyDescent="0.25">
      <c r="A3673" t="s">
        <v>4229</v>
      </c>
      <c r="B3673" t="s">
        <v>1722</v>
      </c>
      <c r="E3673" t="s">
        <v>23555</v>
      </c>
      <c r="F3673" t="s">
        <v>108</v>
      </c>
      <c r="H3673" t="s">
        <v>23556</v>
      </c>
      <c r="I3673" t="s">
        <v>390</v>
      </c>
      <c r="J3673" t="s">
        <v>111</v>
      </c>
      <c r="K3673" t="str">
        <f>"85041"</f>
        <v>85041</v>
      </c>
      <c r="L3673" t="s">
        <v>6891</v>
      </c>
      <c r="M3673" t="s">
        <v>23556</v>
      </c>
      <c r="N3673" t="s">
        <v>390</v>
      </c>
      <c r="O3673" t="s">
        <v>111</v>
      </c>
      <c r="P3673" t="str">
        <f>"85041-5225"</f>
        <v>85041-5225</v>
      </c>
      <c r="Q3673" t="s">
        <v>113</v>
      </c>
      <c r="R3673" t="str">
        <f>"105-85-414"</f>
        <v>105-85-414</v>
      </c>
      <c r="S3673" t="s">
        <v>10590</v>
      </c>
      <c r="T3673" t="s">
        <v>10590</v>
      </c>
      <c r="U3673">
        <v>2946</v>
      </c>
      <c r="V3673">
        <v>0</v>
      </c>
      <c r="W3673">
        <v>4</v>
      </c>
      <c r="X3673">
        <v>2005</v>
      </c>
      <c r="Z3673">
        <v>2</v>
      </c>
      <c r="AA3673" t="s">
        <v>26</v>
      </c>
      <c r="AB3673">
        <v>0</v>
      </c>
      <c r="AC3673" t="s">
        <v>115</v>
      </c>
      <c r="AD3673">
        <v>3</v>
      </c>
      <c r="AE3673" t="s">
        <v>115</v>
      </c>
      <c r="AF3673">
        <v>0</v>
      </c>
      <c r="AG3673">
        <v>0</v>
      </c>
      <c r="AH3673" t="s">
        <v>116</v>
      </c>
      <c r="AI3673" s="1">
        <v>61562</v>
      </c>
      <c r="AJ3673" s="2">
        <v>0.19</v>
      </c>
      <c r="AK3673" s="1">
        <v>321562</v>
      </c>
      <c r="AL3673" t="s">
        <v>117</v>
      </c>
      <c r="AM3673" t="s">
        <v>171</v>
      </c>
      <c r="AN3673">
        <v>13207</v>
      </c>
      <c r="AO3673">
        <v>0.3</v>
      </c>
      <c r="AR3673">
        <v>1</v>
      </c>
      <c r="AS3673" s="1">
        <v>23350</v>
      </c>
      <c r="AT3673" s="1">
        <v>4670</v>
      </c>
      <c r="AU3673" s="1">
        <v>18680</v>
      </c>
      <c r="AV3673">
        <v>80</v>
      </c>
      <c r="AX3673" s="1">
        <v>2805.22</v>
      </c>
      <c r="AY3673" t="s">
        <v>5220</v>
      </c>
      <c r="AZ3673" t="s">
        <v>5220</v>
      </c>
      <c r="BA3673" t="s">
        <v>1661</v>
      </c>
      <c r="BE3673" s="3">
        <v>41828</v>
      </c>
      <c r="BF3673" s="1">
        <v>224000</v>
      </c>
      <c r="BG3673" t="s">
        <v>23557</v>
      </c>
      <c r="BH3673" s="1">
        <v>76.040000000000006</v>
      </c>
      <c r="BI3673" s="1">
        <v>260000</v>
      </c>
      <c r="BJ3673" s="3">
        <v>42835</v>
      </c>
      <c r="BK3673" t="s">
        <v>123</v>
      </c>
      <c r="BL3673" t="str">
        <f>"2017.252227"</f>
        <v>2017.252227</v>
      </c>
      <c r="BM3673" t="s">
        <v>20846</v>
      </c>
      <c r="BO3673" t="s">
        <v>23558</v>
      </c>
      <c r="BS3673">
        <v>25</v>
      </c>
      <c r="BW3673" t="str">
        <f>""</f>
        <v/>
      </c>
      <c r="CH3673" t="str">
        <f>""</f>
        <v/>
      </c>
      <c r="CS3673" t="str">
        <f>""</f>
        <v/>
      </c>
    </row>
    <row r="3674" spans="1:97" x14ac:dyDescent="0.25">
      <c r="A3674" t="s">
        <v>23559</v>
      </c>
      <c r="B3674" t="s">
        <v>23560</v>
      </c>
      <c r="C3674" t="s">
        <v>852</v>
      </c>
      <c r="D3674" t="s">
        <v>23560</v>
      </c>
      <c r="E3674" t="s">
        <v>23561</v>
      </c>
      <c r="F3674" t="s">
        <v>108</v>
      </c>
      <c r="H3674" t="s">
        <v>23562</v>
      </c>
      <c r="I3674" t="s">
        <v>499</v>
      </c>
      <c r="J3674" t="s">
        <v>111</v>
      </c>
      <c r="K3674" t="str">
        <f>"85338"</f>
        <v>85338</v>
      </c>
      <c r="L3674" t="s">
        <v>1796</v>
      </c>
      <c r="M3674" t="s">
        <v>23562</v>
      </c>
      <c r="N3674" t="s">
        <v>499</v>
      </c>
      <c r="O3674" t="s">
        <v>111</v>
      </c>
      <c r="P3674" t="str">
        <f>"85338-5376"</f>
        <v>85338-5376</v>
      </c>
      <c r="R3674" t="str">
        <f>"400-80-613"</f>
        <v>400-80-613</v>
      </c>
      <c r="S3674" t="s">
        <v>14568</v>
      </c>
      <c r="U3674">
        <v>3651</v>
      </c>
      <c r="V3674">
        <v>0</v>
      </c>
      <c r="W3674">
        <v>4</v>
      </c>
      <c r="X3674">
        <v>2006</v>
      </c>
      <c r="Z3674">
        <v>2</v>
      </c>
      <c r="AA3674" t="s">
        <v>26</v>
      </c>
      <c r="AB3674">
        <v>0</v>
      </c>
      <c r="AC3674" t="s">
        <v>115</v>
      </c>
      <c r="AD3674">
        <v>3</v>
      </c>
      <c r="AE3674" t="s">
        <v>115</v>
      </c>
      <c r="AF3674">
        <v>0</v>
      </c>
      <c r="AG3674">
        <v>0</v>
      </c>
      <c r="AH3674" t="s">
        <v>116</v>
      </c>
      <c r="AI3674" s="1">
        <v>-264886</v>
      </c>
      <c r="AJ3674" s="2">
        <v>-0.56000000000000005</v>
      </c>
      <c r="AK3674" s="1">
        <v>475114</v>
      </c>
      <c r="AL3674" t="s">
        <v>117</v>
      </c>
      <c r="AM3674" t="s">
        <v>118</v>
      </c>
      <c r="AN3674">
        <v>11245</v>
      </c>
      <c r="AO3674">
        <v>0.26</v>
      </c>
      <c r="AR3674">
        <v>1</v>
      </c>
      <c r="AS3674" s="1">
        <v>35410</v>
      </c>
      <c r="AT3674" s="1">
        <v>7080</v>
      </c>
      <c r="AU3674" s="1">
        <v>28330</v>
      </c>
      <c r="AV3674">
        <v>80.010000000000005</v>
      </c>
      <c r="AX3674" s="1">
        <v>4018.16</v>
      </c>
      <c r="AY3674" t="s">
        <v>1246</v>
      </c>
      <c r="AZ3674" t="s">
        <v>1246</v>
      </c>
      <c r="BA3674" t="s">
        <v>1247</v>
      </c>
      <c r="BE3674" s="3">
        <v>42496</v>
      </c>
      <c r="BF3674" s="1">
        <v>370000</v>
      </c>
      <c r="BG3674" t="s">
        <v>23563</v>
      </c>
      <c r="BH3674" s="1">
        <v>101.34</v>
      </c>
      <c r="BI3674" s="1">
        <v>370000</v>
      </c>
      <c r="BJ3674" s="3">
        <v>42496</v>
      </c>
      <c r="BK3674" t="s">
        <v>134</v>
      </c>
      <c r="BL3674" t="str">
        <f>"2016.312941"</f>
        <v>2016.312941</v>
      </c>
      <c r="BM3674" t="s">
        <v>135</v>
      </c>
      <c r="BN3674" t="s">
        <v>136</v>
      </c>
      <c r="BO3674" t="s">
        <v>23564</v>
      </c>
      <c r="BS3674">
        <v>30</v>
      </c>
      <c r="BT3674" s="1">
        <v>370000</v>
      </c>
      <c r="BU3674" s="3">
        <v>42775</v>
      </c>
      <c r="BV3674" t="s">
        <v>123</v>
      </c>
      <c r="BW3674" t="str">
        <f>"2017.99544"</f>
        <v>2017.99544</v>
      </c>
      <c r="BX3674" t="s">
        <v>135</v>
      </c>
      <c r="BY3674" t="s">
        <v>136</v>
      </c>
      <c r="BZ3674" t="s">
        <v>23564</v>
      </c>
      <c r="CD3674">
        <v>30</v>
      </c>
      <c r="CH3674" t="str">
        <f>""</f>
        <v/>
      </c>
      <c r="CS3674" t="str">
        <f>""</f>
        <v/>
      </c>
    </row>
    <row r="3675" spans="1:97" x14ac:dyDescent="0.25">
      <c r="A3675" t="s">
        <v>23565</v>
      </c>
      <c r="B3675" t="s">
        <v>23566</v>
      </c>
      <c r="C3675" t="s">
        <v>2276</v>
      </c>
      <c r="D3675" t="s">
        <v>23566</v>
      </c>
      <c r="E3675" t="s">
        <v>23567</v>
      </c>
      <c r="F3675" t="s">
        <v>108</v>
      </c>
      <c r="H3675" t="s">
        <v>23568</v>
      </c>
      <c r="I3675" t="s">
        <v>499</v>
      </c>
      <c r="J3675" t="s">
        <v>111</v>
      </c>
      <c r="K3675" t="str">
        <f>"85338"</f>
        <v>85338</v>
      </c>
      <c r="L3675" t="s">
        <v>7339</v>
      </c>
      <c r="M3675" t="s">
        <v>23568</v>
      </c>
      <c r="N3675" t="s">
        <v>499</v>
      </c>
      <c r="O3675" t="s">
        <v>111</v>
      </c>
      <c r="P3675" t="str">
        <f>"85338-7649"</f>
        <v>85338-7649</v>
      </c>
      <c r="Q3675" t="s">
        <v>113</v>
      </c>
      <c r="R3675" t="str">
        <f>"400-82-220"</f>
        <v>400-82-220</v>
      </c>
      <c r="S3675" t="s">
        <v>20418</v>
      </c>
      <c r="T3675" t="s">
        <v>17252</v>
      </c>
      <c r="U3675">
        <v>2073</v>
      </c>
      <c r="V3675">
        <v>0</v>
      </c>
      <c r="W3675">
        <v>3</v>
      </c>
      <c r="X3675">
        <v>2010</v>
      </c>
      <c r="Z3675">
        <v>1</v>
      </c>
      <c r="AB3675">
        <v>0</v>
      </c>
      <c r="AC3675" t="s">
        <v>115</v>
      </c>
      <c r="AD3675">
        <v>3</v>
      </c>
      <c r="AE3675" t="s">
        <v>115</v>
      </c>
      <c r="AF3675">
        <v>0</v>
      </c>
      <c r="AG3675">
        <v>0</v>
      </c>
      <c r="AH3675" t="s">
        <v>116</v>
      </c>
      <c r="AI3675" s="1">
        <v>41142</v>
      </c>
      <c r="AJ3675" s="2">
        <v>0.12</v>
      </c>
      <c r="AK3675" s="1">
        <v>337377</v>
      </c>
      <c r="AL3675" t="s">
        <v>117</v>
      </c>
      <c r="AM3675" t="s">
        <v>118</v>
      </c>
      <c r="AN3675">
        <v>9028</v>
      </c>
      <c r="AO3675">
        <v>0.21</v>
      </c>
      <c r="AR3675">
        <v>1</v>
      </c>
      <c r="AS3675" s="1">
        <v>23660</v>
      </c>
      <c r="AT3675" s="1">
        <v>4730</v>
      </c>
      <c r="AU3675" s="1">
        <v>18930</v>
      </c>
      <c r="AV3675">
        <v>80.010000000000005</v>
      </c>
      <c r="AX3675" s="1">
        <v>2672.1</v>
      </c>
      <c r="AY3675" t="s">
        <v>1246</v>
      </c>
      <c r="AZ3675" t="s">
        <v>1246</v>
      </c>
      <c r="BA3675" t="s">
        <v>1247</v>
      </c>
      <c r="BE3675" s="3">
        <v>42486</v>
      </c>
      <c r="BF3675" s="1">
        <v>290000</v>
      </c>
      <c r="BG3675" t="s">
        <v>23569</v>
      </c>
      <c r="BH3675" s="1">
        <v>139.88999999999999</v>
      </c>
      <c r="BI3675" s="1">
        <v>296235</v>
      </c>
      <c r="BJ3675" s="3">
        <v>42486</v>
      </c>
      <c r="BK3675" t="s">
        <v>123</v>
      </c>
      <c r="BL3675" t="str">
        <f>"2016.277281"</f>
        <v>2016.277281</v>
      </c>
      <c r="BM3675" t="s">
        <v>724</v>
      </c>
      <c r="BO3675" t="s">
        <v>23570</v>
      </c>
      <c r="BS3675">
        <v>30</v>
      </c>
      <c r="BW3675" t="str">
        <f>""</f>
        <v/>
      </c>
      <c r="CH3675" t="str">
        <f>""</f>
        <v/>
      </c>
      <c r="CS3675" t="str">
        <f>""</f>
        <v/>
      </c>
    </row>
    <row r="3676" spans="1:97" x14ac:dyDescent="0.25">
      <c r="A3676" t="s">
        <v>10644</v>
      </c>
      <c r="B3676" t="s">
        <v>4491</v>
      </c>
      <c r="C3676" t="s">
        <v>767</v>
      </c>
      <c r="D3676" t="s">
        <v>4491</v>
      </c>
      <c r="E3676" t="s">
        <v>23571</v>
      </c>
      <c r="F3676" t="s">
        <v>108</v>
      </c>
      <c r="H3676" t="s">
        <v>23572</v>
      </c>
      <c r="I3676" t="s">
        <v>632</v>
      </c>
      <c r="J3676" t="s">
        <v>111</v>
      </c>
      <c r="K3676" t="str">
        <f>"85379"</f>
        <v>85379</v>
      </c>
      <c r="L3676" t="s">
        <v>375</v>
      </c>
      <c r="M3676" t="s">
        <v>23572</v>
      </c>
      <c r="N3676" t="s">
        <v>632</v>
      </c>
      <c r="O3676" t="s">
        <v>111</v>
      </c>
      <c r="P3676" t="str">
        <f>"85379-8178"</f>
        <v>85379-8178</v>
      </c>
      <c r="Q3676" t="s">
        <v>113</v>
      </c>
      <c r="R3676" t="str">
        <f>"509-15-870"</f>
        <v>509-15-870</v>
      </c>
      <c r="S3676" t="s">
        <v>10480</v>
      </c>
      <c r="U3676">
        <v>2342</v>
      </c>
      <c r="V3676">
        <v>0</v>
      </c>
      <c r="W3676">
        <v>4</v>
      </c>
      <c r="X3676">
        <v>2015</v>
      </c>
      <c r="Z3676">
        <v>1</v>
      </c>
      <c r="AB3676">
        <v>0</v>
      </c>
      <c r="AC3676" t="s">
        <v>115</v>
      </c>
      <c r="AD3676">
        <v>2</v>
      </c>
      <c r="AE3676" t="s">
        <v>115</v>
      </c>
      <c r="AF3676">
        <v>0</v>
      </c>
      <c r="AG3676">
        <v>0</v>
      </c>
      <c r="AH3676" t="s">
        <v>116</v>
      </c>
      <c r="AI3676" s="1">
        <v>-50</v>
      </c>
      <c r="AJ3676" s="2">
        <v>0</v>
      </c>
      <c r="AK3676" s="1">
        <v>333725</v>
      </c>
      <c r="AL3676" t="s">
        <v>117</v>
      </c>
      <c r="AM3676" t="s">
        <v>118</v>
      </c>
      <c r="AN3676">
        <v>8558</v>
      </c>
      <c r="AO3676">
        <v>0.2</v>
      </c>
      <c r="AR3676">
        <v>1</v>
      </c>
      <c r="AS3676" s="1">
        <v>25470</v>
      </c>
      <c r="AT3676" s="1">
        <v>5090</v>
      </c>
      <c r="AU3676" s="1">
        <v>20380</v>
      </c>
      <c r="AV3676">
        <v>80.02</v>
      </c>
      <c r="AX3676" s="1">
        <v>2830.88</v>
      </c>
      <c r="AY3676" t="s">
        <v>634</v>
      </c>
      <c r="AZ3676" t="s">
        <v>634</v>
      </c>
      <c r="BA3676" t="s">
        <v>635</v>
      </c>
      <c r="BE3676" s="3">
        <v>42242</v>
      </c>
      <c r="BF3676" s="1">
        <v>315762</v>
      </c>
      <c r="BG3676" t="s">
        <v>158</v>
      </c>
      <c r="BH3676" s="1">
        <v>134.83000000000001</v>
      </c>
      <c r="BI3676" s="1">
        <v>306875</v>
      </c>
      <c r="BJ3676" s="3">
        <v>42572</v>
      </c>
      <c r="BK3676" t="s">
        <v>123</v>
      </c>
      <c r="BL3676" t="str">
        <f>"2016.515175"</f>
        <v>2016.515175</v>
      </c>
      <c r="BM3676" t="s">
        <v>1154</v>
      </c>
      <c r="BN3676" t="s">
        <v>1136</v>
      </c>
      <c r="BO3676" t="s">
        <v>23573</v>
      </c>
      <c r="BS3676">
        <v>30</v>
      </c>
      <c r="BT3676" s="1">
        <v>26900</v>
      </c>
      <c r="BU3676" s="3">
        <v>43521</v>
      </c>
      <c r="BW3676" t="str">
        <f>"2019.125448"</f>
        <v>2019.125448</v>
      </c>
      <c r="BX3676" t="s">
        <v>10036</v>
      </c>
      <c r="BY3676" t="s">
        <v>23574</v>
      </c>
      <c r="BZ3676" t="s">
        <v>23575</v>
      </c>
      <c r="CA3676" t="s">
        <v>23576</v>
      </c>
      <c r="CC3676" t="s">
        <v>346</v>
      </c>
      <c r="CH3676" t="str">
        <f>""</f>
        <v/>
      </c>
      <c r="CS3676" t="str">
        <f>""</f>
        <v/>
      </c>
    </row>
    <row r="3677" spans="1:97" x14ac:dyDescent="0.25">
      <c r="A3677" t="s">
        <v>23577</v>
      </c>
      <c r="B3677" t="s">
        <v>23578</v>
      </c>
      <c r="C3677" t="s">
        <v>7405</v>
      </c>
      <c r="D3677" t="s">
        <v>23579</v>
      </c>
      <c r="E3677" t="s">
        <v>23580</v>
      </c>
      <c r="F3677" t="s">
        <v>139</v>
      </c>
      <c r="H3677" t="s">
        <v>23581</v>
      </c>
      <c r="I3677" t="s">
        <v>3150</v>
      </c>
      <c r="J3677" t="s">
        <v>111</v>
      </c>
      <c r="K3677" t="str">
        <f>"85340"</f>
        <v>85340</v>
      </c>
      <c r="L3677" t="s">
        <v>5176</v>
      </c>
      <c r="M3677" t="s">
        <v>23581</v>
      </c>
      <c r="N3677" t="s">
        <v>3150</v>
      </c>
      <c r="O3677" t="s">
        <v>111</v>
      </c>
      <c r="P3677" t="str">
        <f>"85340-2724"</f>
        <v>85340-2724</v>
      </c>
      <c r="Q3677" t="s">
        <v>113</v>
      </c>
      <c r="R3677" t="str">
        <f>"508-15-057"</f>
        <v>508-15-057</v>
      </c>
      <c r="S3677" t="s">
        <v>5177</v>
      </c>
      <c r="T3677" t="s">
        <v>5178</v>
      </c>
      <c r="U3677">
        <v>2446</v>
      </c>
      <c r="V3677">
        <v>0</v>
      </c>
      <c r="W3677">
        <v>4</v>
      </c>
      <c r="X3677">
        <v>2015</v>
      </c>
      <c r="Z3677">
        <v>1</v>
      </c>
      <c r="AA3677" t="s">
        <v>26</v>
      </c>
      <c r="AB3677">
        <v>0</v>
      </c>
      <c r="AC3677" t="s">
        <v>115</v>
      </c>
      <c r="AD3677">
        <v>3</v>
      </c>
      <c r="AE3677" t="s">
        <v>115</v>
      </c>
      <c r="AF3677">
        <v>0</v>
      </c>
      <c r="AG3677">
        <v>0</v>
      </c>
      <c r="AH3677" t="s">
        <v>116</v>
      </c>
      <c r="AI3677" s="1">
        <v>-20827</v>
      </c>
      <c r="AJ3677" s="2">
        <v>-0.04</v>
      </c>
      <c r="AK3677" s="1">
        <v>463523</v>
      </c>
      <c r="AL3677" t="s">
        <v>117</v>
      </c>
      <c r="AM3677" t="s">
        <v>191</v>
      </c>
      <c r="AN3677">
        <v>12887</v>
      </c>
      <c r="AO3677">
        <v>0.3</v>
      </c>
      <c r="AR3677">
        <v>1</v>
      </c>
      <c r="AS3677" s="1">
        <v>34370</v>
      </c>
      <c r="AT3677" s="1">
        <v>6870</v>
      </c>
      <c r="AU3677" s="1">
        <v>27500</v>
      </c>
      <c r="AV3677">
        <v>80.010000000000005</v>
      </c>
      <c r="AX3677" s="1">
        <v>3383.7</v>
      </c>
      <c r="AY3677" t="s">
        <v>3020</v>
      </c>
      <c r="AZ3677" t="s">
        <v>3020</v>
      </c>
      <c r="BA3677" t="s">
        <v>3154</v>
      </c>
      <c r="BB3677" s="3">
        <v>43628</v>
      </c>
      <c r="BC3677" s="1">
        <v>0</v>
      </c>
      <c r="BD3677" t="s">
        <v>291</v>
      </c>
      <c r="BE3677" s="3">
        <v>42244</v>
      </c>
      <c r="BF3677" s="1">
        <v>394317</v>
      </c>
      <c r="BG3677" t="s">
        <v>2780</v>
      </c>
      <c r="BH3677" s="1">
        <v>161.21</v>
      </c>
      <c r="BI3677" s="1">
        <v>484350</v>
      </c>
      <c r="BJ3677" s="3">
        <v>43628</v>
      </c>
      <c r="BK3677" t="s">
        <v>123</v>
      </c>
      <c r="BL3677" t="str">
        <f>"2019.437849"</f>
        <v>2019.437849</v>
      </c>
      <c r="BM3677" t="s">
        <v>3562</v>
      </c>
      <c r="BN3677" t="s">
        <v>3686</v>
      </c>
      <c r="BO3677" t="s">
        <v>23582</v>
      </c>
      <c r="BP3677" t="s">
        <v>23583</v>
      </c>
      <c r="BR3677" t="s">
        <v>139</v>
      </c>
      <c r="BW3677" t="str">
        <f>""</f>
        <v/>
      </c>
      <c r="CH3677" t="str">
        <f>""</f>
        <v/>
      </c>
      <c r="CS3677" t="str">
        <f>""</f>
        <v/>
      </c>
    </row>
    <row r="3678" spans="1:97" x14ac:dyDescent="0.25">
      <c r="A3678" t="s">
        <v>23584</v>
      </c>
      <c r="B3678" t="s">
        <v>23585</v>
      </c>
      <c r="C3678" t="s">
        <v>23586</v>
      </c>
      <c r="D3678" t="s">
        <v>23585</v>
      </c>
      <c r="E3678" t="s">
        <v>23587</v>
      </c>
      <c r="F3678" t="s">
        <v>108</v>
      </c>
      <c r="H3678" t="s">
        <v>23588</v>
      </c>
      <c r="I3678" t="s">
        <v>499</v>
      </c>
      <c r="J3678" t="s">
        <v>111</v>
      </c>
      <c r="K3678" t="str">
        <f>"85338"</f>
        <v>85338</v>
      </c>
      <c r="L3678" t="s">
        <v>316</v>
      </c>
      <c r="M3678" t="s">
        <v>23588</v>
      </c>
      <c r="N3678" t="s">
        <v>499</v>
      </c>
      <c r="O3678" t="s">
        <v>111</v>
      </c>
      <c r="P3678" t="str">
        <f>"85338-7033"</f>
        <v>85338-7033</v>
      </c>
      <c r="Q3678" t="s">
        <v>113</v>
      </c>
      <c r="R3678" t="str">
        <f>"500-89-714"</f>
        <v>500-89-714</v>
      </c>
      <c r="S3678" t="s">
        <v>5041</v>
      </c>
      <c r="T3678" t="s">
        <v>5042</v>
      </c>
      <c r="U3678">
        <v>1843</v>
      </c>
      <c r="V3678">
        <v>0</v>
      </c>
      <c r="W3678">
        <v>3</v>
      </c>
      <c r="X3678">
        <v>2016</v>
      </c>
      <c r="Z3678">
        <v>1</v>
      </c>
      <c r="AB3678">
        <v>0</v>
      </c>
      <c r="AC3678" t="s">
        <v>115</v>
      </c>
      <c r="AD3678">
        <v>2</v>
      </c>
      <c r="AE3678" t="s">
        <v>115</v>
      </c>
      <c r="AF3678">
        <v>0</v>
      </c>
      <c r="AG3678">
        <v>0</v>
      </c>
      <c r="AH3678" t="s">
        <v>116</v>
      </c>
      <c r="AI3678" s="1">
        <v>44016</v>
      </c>
      <c r="AJ3678" s="2">
        <v>0.16</v>
      </c>
      <c r="AK3678" s="1">
        <v>267343</v>
      </c>
      <c r="AL3678" t="s">
        <v>117</v>
      </c>
      <c r="AM3678" t="s">
        <v>118</v>
      </c>
      <c r="AN3678">
        <v>6578</v>
      </c>
      <c r="AO3678">
        <v>0.15</v>
      </c>
      <c r="AR3678">
        <v>1</v>
      </c>
      <c r="AS3678" s="1">
        <v>18150</v>
      </c>
      <c r="AT3678" s="1">
        <v>3630</v>
      </c>
      <c r="AU3678" s="1">
        <v>14520</v>
      </c>
      <c r="AV3678">
        <v>80</v>
      </c>
      <c r="AX3678" s="1">
        <v>1498.38</v>
      </c>
      <c r="AY3678" t="s">
        <v>4311</v>
      </c>
      <c r="AZ3678" t="s">
        <v>4311</v>
      </c>
      <c r="BA3678" t="s">
        <v>218</v>
      </c>
      <c r="BE3678" s="3">
        <v>42479</v>
      </c>
      <c r="BF3678" s="1">
        <v>223327</v>
      </c>
      <c r="BG3678" t="s">
        <v>2780</v>
      </c>
      <c r="BH3678" s="1">
        <v>121.18</v>
      </c>
      <c r="BI3678" s="1">
        <v>223327</v>
      </c>
      <c r="BJ3678" s="3">
        <v>42479</v>
      </c>
      <c r="BK3678" t="s">
        <v>123</v>
      </c>
      <c r="BL3678" t="str">
        <f>"2016.259091"</f>
        <v>2016.259091</v>
      </c>
      <c r="BM3678" t="s">
        <v>175</v>
      </c>
      <c r="BO3678" t="s">
        <v>23589</v>
      </c>
      <c r="BS3678">
        <v>30</v>
      </c>
      <c r="BW3678" t="str">
        <f>""</f>
        <v/>
      </c>
      <c r="CH3678" t="str">
        <f>""</f>
        <v/>
      </c>
      <c r="CS3678" t="str">
        <f>""</f>
        <v/>
      </c>
    </row>
    <row r="3679" spans="1:97" x14ac:dyDescent="0.25">
      <c r="A3679" t="s">
        <v>21054</v>
      </c>
      <c r="B3679" t="s">
        <v>23590</v>
      </c>
      <c r="E3679" t="s">
        <v>23591</v>
      </c>
      <c r="F3679" t="s">
        <v>108</v>
      </c>
      <c r="H3679" t="s">
        <v>23592</v>
      </c>
      <c r="I3679" t="s">
        <v>203</v>
      </c>
      <c r="J3679" t="s">
        <v>111</v>
      </c>
      <c r="K3679" t="str">
        <f>"85233"</f>
        <v>85233</v>
      </c>
      <c r="L3679" t="s">
        <v>6682</v>
      </c>
      <c r="M3679" t="s">
        <v>23592</v>
      </c>
      <c r="N3679" t="s">
        <v>203</v>
      </c>
      <c r="O3679" t="s">
        <v>111</v>
      </c>
      <c r="P3679" t="str">
        <f>"85233-6413"</f>
        <v>85233-6413</v>
      </c>
      <c r="Q3679" t="s">
        <v>113</v>
      </c>
      <c r="R3679" t="str">
        <f>"302-34-058"</f>
        <v>302-34-058</v>
      </c>
      <c r="S3679" t="s">
        <v>23593</v>
      </c>
      <c r="T3679" t="s">
        <v>23593</v>
      </c>
      <c r="U3679">
        <v>1771</v>
      </c>
      <c r="V3679">
        <v>0</v>
      </c>
      <c r="W3679">
        <v>2</v>
      </c>
      <c r="X3679">
        <v>1971</v>
      </c>
      <c r="Z3679">
        <v>1</v>
      </c>
      <c r="AA3679" t="s">
        <v>26</v>
      </c>
      <c r="AB3679">
        <v>0</v>
      </c>
      <c r="AC3679" t="s">
        <v>115</v>
      </c>
      <c r="AD3679">
        <v>2</v>
      </c>
      <c r="AE3679" t="s">
        <v>115</v>
      </c>
      <c r="AF3679">
        <v>0</v>
      </c>
      <c r="AG3679">
        <v>0</v>
      </c>
      <c r="AH3679" t="s">
        <v>116</v>
      </c>
      <c r="AI3679" s="1">
        <v>-20646</v>
      </c>
      <c r="AJ3679" s="2">
        <v>-7.0000000000000007E-2</v>
      </c>
      <c r="AK3679" s="1">
        <v>285804</v>
      </c>
      <c r="AL3679" t="s">
        <v>117</v>
      </c>
      <c r="AM3679" t="s">
        <v>1302</v>
      </c>
      <c r="AN3679">
        <v>10598</v>
      </c>
      <c r="AO3679">
        <v>0.24</v>
      </c>
      <c r="AP3679">
        <v>1</v>
      </c>
      <c r="AR3679">
        <v>1</v>
      </c>
      <c r="AS3679" s="1">
        <v>24620</v>
      </c>
      <c r="AT3679" s="1">
        <v>4920</v>
      </c>
      <c r="AU3679" s="1">
        <v>19700</v>
      </c>
      <c r="AV3679">
        <v>80.02</v>
      </c>
      <c r="AX3679" s="1">
        <v>1052.6600000000001</v>
      </c>
      <c r="AY3679" t="s">
        <v>5601</v>
      </c>
      <c r="AZ3679" t="s">
        <v>5478</v>
      </c>
      <c r="BA3679" t="s">
        <v>5479</v>
      </c>
      <c r="BB3679" s="3">
        <v>42895</v>
      </c>
      <c r="BD3679" t="s">
        <v>291</v>
      </c>
      <c r="BE3679" s="3">
        <v>41710</v>
      </c>
      <c r="BF3679" s="1">
        <v>225000</v>
      </c>
      <c r="BG3679" t="s">
        <v>23594</v>
      </c>
      <c r="BH3679" s="1">
        <v>127.05</v>
      </c>
      <c r="BI3679" s="1">
        <v>306450</v>
      </c>
      <c r="BJ3679" s="3">
        <v>42895</v>
      </c>
      <c r="BK3679" t="s">
        <v>123</v>
      </c>
      <c r="BL3679" t="str">
        <f>"2017.422495"</f>
        <v>2017.422495</v>
      </c>
      <c r="BM3679" t="s">
        <v>1249</v>
      </c>
      <c r="BO3679" t="s">
        <v>23595</v>
      </c>
      <c r="BS3679">
        <v>30</v>
      </c>
      <c r="BW3679" t="str">
        <f>""</f>
        <v/>
      </c>
      <c r="CH3679" t="str">
        <f>""</f>
        <v/>
      </c>
      <c r="CS3679" t="str">
        <f>""</f>
        <v/>
      </c>
    </row>
    <row r="3680" spans="1:97" x14ac:dyDescent="0.25">
      <c r="A3680" t="s">
        <v>211</v>
      </c>
      <c r="B3680" t="s">
        <v>141</v>
      </c>
      <c r="E3680" t="s">
        <v>23596</v>
      </c>
      <c r="F3680" t="s">
        <v>108</v>
      </c>
      <c r="H3680" t="s">
        <v>23597</v>
      </c>
      <c r="I3680" t="s">
        <v>110</v>
      </c>
      <c r="J3680" t="s">
        <v>111</v>
      </c>
      <c r="K3680" t="str">
        <f>"85249"</f>
        <v>85249</v>
      </c>
      <c r="L3680" t="s">
        <v>5048</v>
      </c>
      <c r="M3680" t="s">
        <v>23597</v>
      </c>
      <c r="N3680" t="s">
        <v>110</v>
      </c>
      <c r="O3680" t="s">
        <v>111</v>
      </c>
      <c r="P3680" t="str">
        <f>"85249-4223"</f>
        <v>85249-4223</v>
      </c>
      <c r="Q3680" t="s">
        <v>113</v>
      </c>
      <c r="R3680" t="str">
        <f>"303-79-705"</f>
        <v>303-79-705</v>
      </c>
      <c r="S3680" t="s">
        <v>21660</v>
      </c>
      <c r="U3680">
        <v>1086</v>
      </c>
      <c r="V3680">
        <v>0</v>
      </c>
      <c r="W3680">
        <v>3</v>
      </c>
      <c r="X3680">
        <v>2000</v>
      </c>
      <c r="Z3680">
        <v>1</v>
      </c>
      <c r="AB3680">
        <v>0</v>
      </c>
      <c r="AC3680" t="s">
        <v>115</v>
      </c>
      <c r="AD3680">
        <v>2</v>
      </c>
      <c r="AE3680" t="s">
        <v>115</v>
      </c>
      <c r="AF3680">
        <v>0</v>
      </c>
      <c r="AG3680">
        <v>0</v>
      </c>
      <c r="AH3680" t="s">
        <v>116</v>
      </c>
      <c r="AI3680" s="1">
        <v>31573</v>
      </c>
      <c r="AJ3680" s="2">
        <v>0.13</v>
      </c>
      <c r="AK3680" s="1">
        <v>237966</v>
      </c>
      <c r="AL3680" t="s">
        <v>117</v>
      </c>
      <c r="AM3680" t="s">
        <v>118</v>
      </c>
      <c r="AN3680">
        <v>4714</v>
      </c>
      <c r="AO3680">
        <v>0.11</v>
      </c>
      <c r="AP3680">
        <v>1</v>
      </c>
      <c r="AR3680">
        <v>1</v>
      </c>
      <c r="AS3680" s="1">
        <v>15430</v>
      </c>
      <c r="AT3680" s="1">
        <v>3080</v>
      </c>
      <c r="AU3680" s="1">
        <v>12350</v>
      </c>
      <c r="AV3680">
        <v>80.040000000000006</v>
      </c>
      <c r="AX3680" s="1">
        <v>1351.22</v>
      </c>
      <c r="AY3680" t="s">
        <v>5050</v>
      </c>
      <c r="AZ3680" t="s">
        <v>120</v>
      </c>
      <c r="BA3680" t="s">
        <v>274</v>
      </c>
      <c r="BE3680" s="3">
        <v>42128</v>
      </c>
      <c r="BF3680" s="1">
        <v>107500</v>
      </c>
      <c r="BG3680" t="s">
        <v>23598</v>
      </c>
      <c r="BH3680" s="1">
        <v>98.99</v>
      </c>
      <c r="BI3680" s="1">
        <v>206393</v>
      </c>
      <c r="BJ3680" s="3">
        <v>43251</v>
      </c>
      <c r="BK3680" t="s">
        <v>123</v>
      </c>
      <c r="BL3680" t="str">
        <f>"2018.417642"</f>
        <v>2018.417642</v>
      </c>
      <c r="BM3680" t="s">
        <v>1809</v>
      </c>
      <c r="BN3680" t="s">
        <v>1810</v>
      </c>
      <c r="BO3680" t="s">
        <v>23599</v>
      </c>
      <c r="BR3680" t="s">
        <v>139</v>
      </c>
      <c r="BW3680" t="str">
        <f>""</f>
        <v/>
      </c>
      <c r="CH3680" t="str">
        <f>""</f>
        <v/>
      </c>
      <c r="CS3680" t="str">
        <f>""</f>
        <v/>
      </c>
    </row>
    <row r="3681" spans="1:97" x14ac:dyDescent="0.25">
      <c r="A3681" t="s">
        <v>2542</v>
      </c>
      <c r="B3681" t="s">
        <v>2086</v>
      </c>
      <c r="C3681" t="s">
        <v>3682</v>
      </c>
      <c r="D3681" t="s">
        <v>2086</v>
      </c>
      <c r="E3681" t="s">
        <v>23600</v>
      </c>
      <c r="F3681" t="s">
        <v>108</v>
      </c>
      <c r="H3681" t="s">
        <v>23601</v>
      </c>
      <c r="I3681" t="s">
        <v>390</v>
      </c>
      <c r="J3681" t="s">
        <v>111</v>
      </c>
      <c r="K3681" t="str">
        <f>"85044"</f>
        <v>85044</v>
      </c>
      <c r="L3681" t="s">
        <v>6438</v>
      </c>
      <c r="M3681" t="s">
        <v>23601</v>
      </c>
      <c r="N3681" t="s">
        <v>390</v>
      </c>
      <c r="O3681" t="s">
        <v>111</v>
      </c>
      <c r="P3681" t="str">
        <f>"85044-8237"</f>
        <v>85044-8237</v>
      </c>
      <c r="Q3681" t="s">
        <v>113</v>
      </c>
      <c r="R3681" t="str">
        <f>"306-01-607"</f>
        <v>306-01-607</v>
      </c>
      <c r="S3681" t="s">
        <v>23602</v>
      </c>
      <c r="T3681" t="s">
        <v>23603</v>
      </c>
      <c r="U3681">
        <v>1420</v>
      </c>
      <c r="V3681">
        <v>0</v>
      </c>
      <c r="W3681">
        <v>3</v>
      </c>
      <c r="X3681">
        <v>1988</v>
      </c>
      <c r="Z3681">
        <v>2</v>
      </c>
      <c r="AB3681">
        <v>0</v>
      </c>
      <c r="AC3681" t="s">
        <v>115</v>
      </c>
      <c r="AD3681">
        <v>2</v>
      </c>
      <c r="AE3681" t="s">
        <v>115</v>
      </c>
      <c r="AF3681">
        <v>0</v>
      </c>
      <c r="AG3681">
        <v>0</v>
      </c>
      <c r="AH3681" t="s">
        <v>116</v>
      </c>
      <c r="AI3681" s="1">
        <v>608</v>
      </c>
      <c r="AJ3681" s="2">
        <v>0</v>
      </c>
      <c r="AK3681" s="1">
        <v>255677</v>
      </c>
      <c r="AL3681" t="s">
        <v>117</v>
      </c>
      <c r="AM3681" t="s">
        <v>1315</v>
      </c>
      <c r="AN3681">
        <v>3923</v>
      </c>
      <c r="AO3681">
        <v>0.9</v>
      </c>
      <c r="AP3681">
        <v>1</v>
      </c>
      <c r="AR3681">
        <v>1</v>
      </c>
      <c r="AS3681" s="1">
        <v>19470</v>
      </c>
      <c r="AT3681" s="1">
        <v>3890</v>
      </c>
      <c r="AU3681" s="1">
        <v>15580</v>
      </c>
      <c r="AV3681">
        <v>80.02</v>
      </c>
      <c r="AX3681" s="1">
        <v>1689.04</v>
      </c>
      <c r="AY3681" t="s">
        <v>7254</v>
      </c>
      <c r="AZ3681" t="s">
        <v>7255</v>
      </c>
      <c r="BA3681" t="s">
        <v>5328</v>
      </c>
      <c r="BE3681" s="3">
        <v>42550</v>
      </c>
      <c r="BF3681" s="1">
        <v>240000</v>
      </c>
      <c r="BG3681" t="s">
        <v>23604</v>
      </c>
      <c r="BH3681" s="1">
        <v>169.01</v>
      </c>
      <c r="BI3681" s="1">
        <v>255069</v>
      </c>
      <c r="BJ3681" s="3">
        <v>42990</v>
      </c>
      <c r="BK3681" t="s">
        <v>123</v>
      </c>
      <c r="BL3681" t="str">
        <f>"2017.672530"</f>
        <v>2017.672530</v>
      </c>
      <c r="BM3681" t="s">
        <v>807</v>
      </c>
      <c r="BO3681" t="s">
        <v>23605</v>
      </c>
      <c r="BQ3681" t="str">
        <f>"2.5000%"</f>
        <v>2.5000%</v>
      </c>
      <c r="BR3681" t="s">
        <v>1480</v>
      </c>
      <c r="BS3681">
        <v>30</v>
      </c>
      <c r="BW3681" t="str">
        <f>""</f>
        <v/>
      </c>
      <c r="CH3681" t="str">
        <f>""</f>
        <v/>
      </c>
      <c r="CS3681" t="str">
        <f>""</f>
        <v/>
      </c>
    </row>
    <row r="3682" spans="1:97" x14ac:dyDescent="0.25">
      <c r="A3682" t="s">
        <v>610</v>
      </c>
      <c r="B3682" t="s">
        <v>23606</v>
      </c>
      <c r="C3682" t="s">
        <v>2693</v>
      </c>
      <c r="D3682" t="s">
        <v>16402</v>
      </c>
      <c r="E3682" t="s">
        <v>23607</v>
      </c>
      <c r="F3682" t="s">
        <v>108</v>
      </c>
      <c r="H3682" t="s">
        <v>23608</v>
      </c>
      <c r="I3682" t="s">
        <v>632</v>
      </c>
      <c r="J3682" t="s">
        <v>111</v>
      </c>
      <c r="K3682" t="str">
        <f>"85379"</f>
        <v>85379</v>
      </c>
      <c r="L3682" t="s">
        <v>5816</v>
      </c>
      <c r="M3682" t="s">
        <v>23608</v>
      </c>
      <c r="N3682" t="s">
        <v>632</v>
      </c>
      <c r="O3682" t="s">
        <v>111</v>
      </c>
      <c r="P3682" t="str">
        <f>"85379-8685"</f>
        <v>85379-8685</v>
      </c>
      <c r="Q3682" t="s">
        <v>113</v>
      </c>
      <c r="R3682" t="str">
        <f>"509-17-467"</f>
        <v>509-17-467</v>
      </c>
      <c r="S3682" t="s">
        <v>17632</v>
      </c>
      <c r="U3682">
        <v>2673</v>
      </c>
      <c r="V3682">
        <v>0</v>
      </c>
      <c r="W3682">
        <v>4</v>
      </c>
      <c r="X3682">
        <v>2005</v>
      </c>
      <c r="Z3682">
        <v>2</v>
      </c>
      <c r="AB3682">
        <v>0</v>
      </c>
      <c r="AC3682" t="s">
        <v>115</v>
      </c>
      <c r="AD3682">
        <v>2</v>
      </c>
      <c r="AE3682" t="s">
        <v>115</v>
      </c>
      <c r="AF3682">
        <v>0</v>
      </c>
      <c r="AG3682">
        <v>0</v>
      </c>
      <c r="AH3682" t="s">
        <v>116</v>
      </c>
      <c r="AI3682" s="1">
        <v>48676</v>
      </c>
      <c r="AJ3682" s="2">
        <v>0.17</v>
      </c>
      <c r="AK3682" s="1">
        <v>293836</v>
      </c>
      <c r="AL3682" t="s">
        <v>117</v>
      </c>
      <c r="AM3682" t="s">
        <v>118</v>
      </c>
      <c r="AN3682">
        <v>6360</v>
      </c>
      <c r="AO3682">
        <v>0.15</v>
      </c>
      <c r="AR3682">
        <v>1</v>
      </c>
      <c r="AS3682" s="1">
        <v>20680</v>
      </c>
      <c r="AT3682" s="1">
        <v>4130</v>
      </c>
      <c r="AU3682" s="1">
        <v>16550</v>
      </c>
      <c r="AV3682">
        <v>80.03</v>
      </c>
      <c r="AX3682" s="1">
        <v>1556.12</v>
      </c>
      <c r="AY3682" t="s">
        <v>634</v>
      </c>
      <c r="AZ3682" t="s">
        <v>634</v>
      </c>
      <c r="BA3682" t="s">
        <v>321</v>
      </c>
      <c r="BE3682" s="3">
        <v>42541</v>
      </c>
      <c r="BF3682" s="1">
        <v>240000</v>
      </c>
      <c r="BG3682" t="s">
        <v>23609</v>
      </c>
      <c r="BH3682" s="1">
        <v>89.79</v>
      </c>
      <c r="BI3682" s="1">
        <v>245160</v>
      </c>
      <c r="BJ3682" s="3">
        <v>42541</v>
      </c>
      <c r="BK3682" t="s">
        <v>123</v>
      </c>
      <c r="BL3682" t="str">
        <f>"2016.427129"</f>
        <v>2016.427129</v>
      </c>
      <c r="BM3682" t="s">
        <v>1325</v>
      </c>
      <c r="BO3682" t="s">
        <v>23610</v>
      </c>
      <c r="BS3682">
        <v>30</v>
      </c>
      <c r="BW3682" t="str">
        <f>""</f>
        <v/>
      </c>
      <c r="CH3682" t="str">
        <f>""</f>
        <v/>
      </c>
      <c r="CS3682" t="str">
        <f>""</f>
        <v/>
      </c>
    </row>
    <row r="3683" spans="1:97" x14ac:dyDescent="0.25">
      <c r="A3683" t="s">
        <v>3613</v>
      </c>
      <c r="B3683" t="s">
        <v>23611</v>
      </c>
      <c r="C3683" t="s">
        <v>489</v>
      </c>
      <c r="D3683" t="s">
        <v>23611</v>
      </c>
      <c r="E3683" t="s">
        <v>23612</v>
      </c>
      <c r="F3683" t="s">
        <v>108</v>
      </c>
      <c r="H3683" t="s">
        <v>23613</v>
      </c>
      <c r="I3683" t="s">
        <v>225</v>
      </c>
      <c r="J3683" t="s">
        <v>111</v>
      </c>
      <c r="K3683" t="str">
        <f>"85213"</f>
        <v>85213</v>
      </c>
      <c r="L3683" t="s">
        <v>7005</v>
      </c>
      <c r="M3683" t="s">
        <v>23613</v>
      </c>
      <c r="N3683" t="s">
        <v>225</v>
      </c>
      <c r="O3683" t="s">
        <v>111</v>
      </c>
      <c r="P3683" t="str">
        <f>"85213-8420"</f>
        <v>85213-8420</v>
      </c>
      <c r="Q3683" t="s">
        <v>113</v>
      </c>
      <c r="R3683" t="str">
        <f>"140-23-198"</f>
        <v>140-23-198</v>
      </c>
      <c r="S3683" t="s">
        <v>23614</v>
      </c>
      <c r="T3683" t="s">
        <v>23615</v>
      </c>
      <c r="U3683">
        <v>1512</v>
      </c>
      <c r="V3683">
        <v>0</v>
      </c>
      <c r="W3683">
        <v>2</v>
      </c>
      <c r="X3683">
        <v>1978</v>
      </c>
      <c r="Z3683">
        <v>1</v>
      </c>
      <c r="AA3683" t="s">
        <v>26</v>
      </c>
      <c r="AB3683">
        <v>0</v>
      </c>
      <c r="AC3683" t="s">
        <v>115</v>
      </c>
      <c r="AD3683">
        <v>2</v>
      </c>
      <c r="AE3683" t="s">
        <v>115</v>
      </c>
      <c r="AF3683">
        <v>0</v>
      </c>
      <c r="AG3683">
        <v>0</v>
      </c>
      <c r="AH3683" t="s">
        <v>116</v>
      </c>
      <c r="AI3683" s="1">
        <v>37252</v>
      </c>
      <c r="AJ3683" s="2">
        <v>0.15</v>
      </c>
      <c r="AK3683" s="1">
        <v>246952</v>
      </c>
      <c r="AL3683" t="s">
        <v>117</v>
      </c>
      <c r="AM3683" t="s">
        <v>191</v>
      </c>
      <c r="AN3683">
        <v>6930</v>
      </c>
      <c r="AO3683">
        <v>0.16</v>
      </c>
      <c r="AP3683">
        <v>1</v>
      </c>
      <c r="AR3683">
        <v>1</v>
      </c>
      <c r="AS3683" s="1">
        <v>16120</v>
      </c>
      <c r="AT3683" s="1">
        <v>3220</v>
      </c>
      <c r="AU3683" s="1">
        <v>12900</v>
      </c>
      <c r="AV3683">
        <v>80.02</v>
      </c>
      <c r="AX3683" s="1">
        <v>916.88</v>
      </c>
      <c r="AY3683" t="s">
        <v>9091</v>
      </c>
      <c r="AZ3683" t="s">
        <v>1523</v>
      </c>
      <c r="BA3683" t="s">
        <v>1524</v>
      </c>
      <c r="BB3683" s="3">
        <v>42550</v>
      </c>
      <c r="BD3683" t="s">
        <v>240</v>
      </c>
      <c r="BE3683" s="3">
        <v>42234</v>
      </c>
      <c r="BF3683" s="1">
        <v>175000</v>
      </c>
      <c r="BG3683" t="s">
        <v>23616</v>
      </c>
      <c r="BH3683" s="1">
        <v>115.74</v>
      </c>
      <c r="BI3683" s="1">
        <v>209700</v>
      </c>
      <c r="BJ3683" s="3">
        <v>43551</v>
      </c>
      <c r="BK3683" t="s">
        <v>123</v>
      </c>
      <c r="BL3683" t="str">
        <f>"2019.210366"</f>
        <v>2019.210366</v>
      </c>
      <c r="BM3683" t="s">
        <v>1370</v>
      </c>
      <c r="BN3683" t="s">
        <v>4077</v>
      </c>
      <c r="BO3683" t="s">
        <v>23617</v>
      </c>
      <c r="BP3683" t="s">
        <v>23618</v>
      </c>
      <c r="BR3683" t="s">
        <v>139</v>
      </c>
      <c r="BW3683" t="str">
        <f>""</f>
        <v/>
      </c>
      <c r="CH3683" t="str">
        <f>""</f>
        <v/>
      </c>
      <c r="CS3683" t="str">
        <f>""</f>
        <v/>
      </c>
    </row>
    <row r="3684" spans="1:97" x14ac:dyDescent="0.25">
      <c r="A3684" t="s">
        <v>23619</v>
      </c>
      <c r="B3684" t="s">
        <v>19436</v>
      </c>
      <c r="C3684" t="s">
        <v>496</v>
      </c>
      <c r="D3684" t="s">
        <v>19436</v>
      </c>
      <c r="E3684" t="s">
        <v>23620</v>
      </c>
      <c r="F3684" t="s">
        <v>108</v>
      </c>
      <c r="H3684" t="s">
        <v>23621</v>
      </c>
      <c r="I3684" t="s">
        <v>2874</v>
      </c>
      <c r="J3684" t="s">
        <v>111</v>
      </c>
      <c r="K3684" t="str">
        <f>"85304"</f>
        <v>85304</v>
      </c>
      <c r="L3684" t="s">
        <v>5606</v>
      </c>
      <c r="M3684" t="s">
        <v>23621</v>
      </c>
      <c r="N3684" t="s">
        <v>2874</v>
      </c>
      <c r="O3684" t="s">
        <v>111</v>
      </c>
      <c r="P3684" t="str">
        <f>"85304-2109"</f>
        <v>85304-2109</v>
      </c>
      <c r="Q3684" t="s">
        <v>113</v>
      </c>
      <c r="R3684" t="str">
        <f>"207-41-079"</f>
        <v>207-41-079</v>
      </c>
      <c r="S3684" t="s">
        <v>23622</v>
      </c>
      <c r="T3684" t="s">
        <v>16499</v>
      </c>
      <c r="U3684">
        <v>2063</v>
      </c>
      <c r="V3684">
        <v>0</v>
      </c>
      <c r="W3684">
        <v>2</v>
      </c>
      <c r="X3684">
        <v>1978</v>
      </c>
      <c r="Z3684">
        <v>1</v>
      </c>
      <c r="AA3684" t="s">
        <v>26</v>
      </c>
      <c r="AB3684">
        <v>0</v>
      </c>
      <c r="AC3684" t="s">
        <v>115</v>
      </c>
      <c r="AD3684">
        <v>2</v>
      </c>
      <c r="AE3684" t="s">
        <v>115</v>
      </c>
      <c r="AF3684">
        <v>0</v>
      </c>
      <c r="AG3684">
        <v>0</v>
      </c>
      <c r="AH3684" t="s">
        <v>116</v>
      </c>
      <c r="AI3684" s="1">
        <v>84427</v>
      </c>
      <c r="AJ3684" s="2">
        <v>0.28999999999999998</v>
      </c>
      <c r="AK3684" s="1">
        <v>290653</v>
      </c>
      <c r="AL3684" t="s">
        <v>117</v>
      </c>
      <c r="AM3684" t="s">
        <v>171</v>
      </c>
      <c r="AN3684">
        <v>8717</v>
      </c>
      <c r="AO3684">
        <v>0.2</v>
      </c>
      <c r="AP3684">
        <v>1</v>
      </c>
      <c r="AR3684">
        <v>1</v>
      </c>
      <c r="AS3684" s="1">
        <v>20260</v>
      </c>
      <c r="AT3684" s="1">
        <v>4050</v>
      </c>
      <c r="AU3684" s="1">
        <v>16210</v>
      </c>
      <c r="AV3684">
        <v>80.010000000000005</v>
      </c>
      <c r="AX3684" s="1">
        <v>1610.12</v>
      </c>
      <c r="AY3684" t="s">
        <v>23623</v>
      </c>
      <c r="AZ3684" t="s">
        <v>23623</v>
      </c>
      <c r="BA3684" t="s">
        <v>10888</v>
      </c>
      <c r="BE3684" s="3">
        <v>41656</v>
      </c>
      <c r="BF3684" s="1">
        <v>205000</v>
      </c>
      <c r="BG3684" t="s">
        <v>23624</v>
      </c>
      <c r="BH3684" s="1">
        <v>99.37</v>
      </c>
      <c r="BI3684" s="1">
        <v>206226</v>
      </c>
      <c r="BJ3684" s="3">
        <v>42942</v>
      </c>
      <c r="BK3684" t="s">
        <v>123</v>
      </c>
      <c r="BL3684" t="str">
        <f>"2017.546100"</f>
        <v>2017.546100</v>
      </c>
      <c r="BM3684" t="s">
        <v>10425</v>
      </c>
      <c r="BO3684" t="s">
        <v>23625</v>
      </c>
      <c r="BS3684">
        <v>30</v>
      </c>
      <c r="BW3684" t="str">
        <f>""</f>
        <v/>
      </c>
      <c r="CH3684" t="str">
        <f>""</f>
        <v/>
      </c>
      <c r="CS3684" t="str">
        <f>""</f>
        <v/>
      </c>
    </row>
    <row r="3685" spans="1:97" x14ac:dyDescent="0.25">
      <c r="A3685" t="s">
        <v>23626</v>
      </c>
      <c r="B3685" t="s">
        <v>104</v>
      </c>
      <c r="C3685" t="s">
        <v>355</v>
      </c>
      <c r="D3685" t="s">
        <v>104</v>
      </c>
      <c r="E3685" t="s">
        <v>23627</v>
      </c>
      <c r="F3685" t="s">
        <v>108</v>
      </c>
      <c r="H3685" t="s">
        <v>23628</v>
      </c>
      <c r="I3685" t="s">
        <v>1936</v>
      </c>
      <c r="J3685" t="s">
        <v>111</v>
      </c>
      <c r="K3685" t="str">
        <f>"85254"</f>
        <v>85254</v>
      </c>
      <c r="L3685" t="s">
        <v>5514</v>
      </c>
      <c r="M3685" t="s">
        <v>23628</v>
      </c>
      <c r="N3685" t="s">
        <v>1936</v>
      </c>
      <c r="O3685" t="s">
        <v>111</v>
      </c>
      <c r="P3685" t="str">
        <f>"85254-2934"</f>
        <v>85254-2934</v>
      </c>
      <c r="Q3685" t="s">
        <v>113</v>
      </c>
      <c r="R3685" t="str">
        <f>"215-65-056"</f>
        <v>215-65-056</v>
      </c>
      <c r="S3685" t="s">
        <v>23629</v>
      </c>
      <c r="T3685" t="s">
        <v>23629</v>
      </c>
      <c r="U3685">
        <v>1836</v>
      </c>
      <c r="V3685">
        <v>0</v>
      </c>
      <c r="W3685">
        <v>2</v>
      </c>
      <c r="X3685">
        <v>1976</v>
      </c>
      <c r="Z3685">
        <v>1</v>
      </c>
      <c r="AA3685" t="s">
        <v>26</v>
      </c>
      <c r="AB3685">
        <v>0</v>
      </c>
      <c r="AC3685" t="s">
        <v>115</v>
      </c>
      <c r="AD3685">
        <v>2</v>
      </c>
      <c r="AE3685" t="s">
        <v>115</v>
      </c>
      <c r="AF3685">
        <v>0</v>
      </c>
      <c r="AG3685">
        <v>0</v>
      </c>
      <c r="AH3685" t="s">
        <v>116</v>
      </c>
      <c r="AI3685" s="1">
        <v>100940</v>
      </c>
      <c r="AJ3685" s="2">
        <v>0.23</v>
      </c>
      <c r="AK3685" s="1">
        <v>441830</v>
      </c>
      <c r="AL3685" t="s">
        <v>117</v>
      </c>
      <c r="AM3685" t="s">
        <v>6114</v>
      </c>
      <c r="AN3685">
        <v>10498</v>
      </c>
      <c r="AO3685">
        <v>0.24</v>
      </c>
      <c r="AP3685">
        <v>1</v>
      </c>
      <c r="AR3685">
        <v>1</v>
      </c>
      <c r="AS3685" s="1">
        <v>30100</v>
      </c>
      <c r="AT3685" s="1">
        <v>6020</v>
      </c>
      <c r="AU3685" s="1">
        <v>24080</v>
      </c>
      <c r="AV3685">
        <v>80</v>
      </c>
      <c r="AX3685" s="1">
        <v>2674.54</v>
      </c>
      <c r="AY3685" t="s">
        <v>2767</v>
      </c>
      <c r="AZ3685" t="s">
        <v>1317</v>
      </c>
      <c r="BA3685" t="s">
        <v>6302</v>
      </c>
      <c r="BE3685" s="3">
        <v>41968</v>
      </c>
      <c r="BF3685" s="1">
        <v>307000</v>
      </c>
      <c r="BG3685" t="s">
        <v>23630</v>
      </c>
      <c r="BH3685" s="1">
        <v>167.21</v>
      </c>
      <c r="BI3685" s="1">
        <v>340890</v>
      </c>
      <c r="BJ3685" s="3">
        <v>42489</v>
      </c>
      <c r="BK3685" t="s">
        <v>123</v>
      </c>
      <c r="BL3685" t="str">
        <f>"2016.290752"</f>
        <v>2016.290752</v>
      </c>
      <c r="BM3685" t="s">
        <v>5867</v>
      </c>
      <c r="BO3685" t="s">
        <v>23631</v>
      </c>
      <c r="BS3685">
        <v>30</v>
      </c>
      <c r="BW3685" t="str">
        <f>""</f>
        <v/>
      </c>
      <c r="CH3685" t="str">
        <f>""</f>
        <v/>
      </c>
      <c r="CS3685" t="str">
        <f>""</f>
        <v/>
      </c>
    </row>
    <row r="3686" spans="1:97" x14ac:dyDescent="0.25">
      <c r="B3686" t="s">
        <v>23632</v>
      </c>
      <c r="C3686" t="s">
        <v>2319</v>
      </c>
      <c r="E3686" t="s">
        <v>23633</v>
      </c>
      <c r="F3686" t="s">
        <v>108</v>
      </c>
      <c r="H3686" t="s">
        <v>23634</v>
      </c>
      <c r="I3686" t="s">
        <v>225</v>
      </c>
      <c r="J3686" t="s">
        <v>111</v>
      </c>
      <c r="K3686" t="str">
        <f>"85215"</f>
        <v>85215</v>
      </c>
      <c r="L3686" t="s">
        <v>8255</v>
      </c>
      <c r="M3686" t="s">
        <v>23634</v>
      </c>
      <c r="N3686" t="s">
        <v>225</v>
      </c>
      <c r="O3686" t="s">
        <v>111</v>
      </c>
      <c r="P3686" t="str">
        <f>"85215-1546"</f>
        <v>85215-1546</v>
      </c>
      <c r="Q3686" t="s">
        <v>113</v>
      </c>
      <c r="R3686" t="str">
        <f>"141-93-116"</f>
        <v>141-93-116</v>
      </c>
      <c r="S3686" t="s">
        <v>19727</v>
      </c>
      <c r="T3686" t="s">
        <v>758</v>
      </c>
      <c r="U3686">
        <v>1806</v>
      </c>
      <c r="V3686">
        <v>0</v>
      </c>
      <c r="W3686">
        <v>3</v>
      </c>
      <c r="X3686">
        <v>1994</v>
      </c>
      <c r="Z3686">
        <v>1</v>
      </c>
      <c r="AA3686" t="s">
        <v>26</v>
      </c>
      <c r="AB3686">
        <v>0</v>
      </c>
      <c r="AC3686" t="s">
        <v>115</v>
      </c>
      <c r="AD3686">
        <v>3</v>
      </c>
      <c r="AE3686" t="s">
        <v>115</v>
      </c>
      <c r="AF3686">
        <v>0</v>
      </c>
      <c r="AG3686">
        <v>0</v>
      </c>
      <c r="AH3686" t="s">
        <v>116</v>
      </c>
      <c r="AI3686" s="1">
        <v>58563</v>
      </c>
      <c r="AJ3686" s="2">
        <v>0.17</v>
      </c>
      <c r="AK3686" s="1">
        <v>352968</v>
      </c>
      <c r="AL3686" t="s">
        <v>117</v>
      </c>
      <c r="AM3686" t="s">
        <v>393</v>
      </c>
      <c r="AN3686">
        <v>11773</v>
      </c>
      <c r="AO3686">
        <v>0.27</v>
      </c>
      <c r="AP3686">
        <v>1</v>
      </c>
      <c r="AR3686">
        <v>1</v>
      </c>
      <c r="AS3686" s="1">
        <v>24960</v>
      </c>
      <c r="AT3686" s="1">
        <v>4990</v>
      </c>
      <c r="AU3686" s="1">
        <v>19970</v>
      </c>
      <c r="AV3686">
        <v>80.010000000000005</v>
      </c>
      <c r="AX3686" s="1">
        <v>2039.72</v>
      </c>
      <c r="AY3686" t="s">
        <v>6662</v>
      </c>
      <c r="AZ3686" t="s">
        <v>5275</v>
      </c>
      <c r="BA3686" t="s">
        <v>3119</v>
      </c>
      <c r="BB3686" s="3">
        <v>43488</v>
      </c>
      <c r="BC3686" s="1">
        <v>0</v>
      </c>
      <c r="BD3686" t="s">
        <v>247</v>
      </c>
      <c r="BE3686" s="3">
        <v>42306</v>
      </c>
      <c r="BF3686" s="1">
        <v>285000</v>
      </c>
      <c r="BG3686" t="s">
        <v>23635</v>
      </c>
      <c r="BH3686" s="1">
        <v>157.81</v>
      </c>
      <c r="BI3686" s="1">
        <v>294405</v>
      </c>
      <c r="BJ3686" s="3">
        <v>42306</v>
      </c>
      <c r="BK3686" t="s">
        <v>123</v>
      </c>
      <c r="BL3686" t="str">
        <f>"2015.777785"</f>
        <v>2015.777785</v>
      </c>
      <c r="BM3686" t="s">
        <v>724</v>
      </c>
      <c r="BN3686" t="s">
        <v>5737</v>
      </c>
      <c r="BO3686" t="s">
        <v>23636</v>
      </c>
      <c r="BS3686">
        <v>30</v>
      </c>
      <c r="BW3686" t="str">
        <f>""</f>
        <v/>
      </c>
      <c r="CH3686" t="str">
        <f>""</f>
        <v/>
      </c>
      <c r="CS3686" t="str">
        <f>""</f>
        <v/>
      </c>
    </row>
    <row r="3687" spans="1:97" x14ac:dyDescent="0.25">
      <c r="B3687" t="s">
        <v>23637</v>
      </c>
      <c r="E3687" t="s">
        <v>12627</v>
      </c>
      <c r="F3687" t="s">
        <v>108</v>
      </c>
      <c r="H3687" t="s">
        <v>23638</v>
      </c>
      <c r="I3687" t="s">
        <v>390</v>
      </c>
      <c r="J3687" t="s">
        <v>111</v>
      </c>
      <c r="K3687" t="str">
        <f>"85020"</f>
        <v>85020</v>
      </c>
      <c r="L3687" t="s">
        <v>2963</v>
      </c>
      <c r="M3687" t="s">
        <v>23638</v>
      </c>
      <c r="N3687" t="s">
        <v>390</v>
      </c>
      <c r="O3687" t="s">
        <v>111</v>
      </c>
      <c r="P3687" t="str">
        <f>"85020-4016"</f>
        <v>85020-4016</v>
      </c>
      <c r="Q3687" t="s">
        <v>113</v>
      </c>
      <c r="R3687" t="str">
        <f>"160-38-035"</f>
        <v>160-38-035</v>
      </c>
      <c r="S3687" t="s">
        <v>18611</v>
      </c>
      <c r="T3687" t="s">
        <v>18612</v>
      </c>
      <c r="U3687">
        <v>2356</v>
      </c>
      <c r="V3687">
        <v>0</v>
      </c>
      <c r="W3687">
        <v>2</v>
      </c>
      <c r="X3687">
        <v>1948</v>
      </c>
      <c r="Z3687">
        <v>1</v>
      </c>
      <c r="AB3687">
        <v>0</v>
      </c>
      <c r="AC3687" t="s">
        <v>5188</v>
      </c>
      <c r="AD3687">
        <v>1</v>
      </c>
      <c r="AE3687" t="s">
        <v>5188</v>
      </c>
      <c r="AF3687">
        <v>0</v>
      </c>
      <c r="AG3687">
        <v>0</v>
      </c>
      <c r="AH3687" t="s">
        <v>116</v>
      </c>
      <c r="AI3687" s="1">
        <v>144857</v>
      </c>
      <c r="AJ3687" s="2">
        <v>0.28999999999999998</v>
      </c>
      <c r="AK3687" s="1">
        <v>497357</v>
      </c>
      <c r="AL3687" t="s">
        <v>117</v>
      </c>
      <c r="AM3687" t="s">
        <v>1302</v>
      </c>
      <c r="AN3687">
        <v>9370</v>
      </c>
      <c r="AO3687">
        <v>0.22</v>
      </c>
      <c r="AP3687">
        <v>1</v>
      </c>
      <c r="AR3687">
        <v>1</v>
      </c>
      <c r="AS3687" s="1">
        <v>33110</v>
      </c>
      <c r="AT3687" s="1">
        <v>6620</v>
      </c>
      <c r="AU3687" s="1">
        <v>26490</v>
      </c>
      <c r="AV3687">
        <v>80.010000000000005</v>
      </c>
      <c r="AX3687" s="1">
        <v>3317.24</v>
      </c>
      <c r="AY3687" t="s">
        <v>5734</v>
      </c>
      <c r="AZ3687" t="s">
        <v>5735</v>
      </c>
      <c r="BA3687" t="s">
        <v>5691</v>
      </c>
      <c r="BB3687" s="3">
        <v>43605</v>
      </c>
      <c r="BC3687" s="1">
        <v>0</v>
      </c>
      <c r="BD3687" t="s">
        <v>247</v>
      </c>
      <c r="BE3687" s="3">
        <v>42345</v>
      </c>
      <c r="BF3687" s="1">
        <v>458000</v>
      </c>
      <c r="BG3687" t="s">
        <v>23639</v>
      </c>
      <c r="BH3687" s="1">
        <v>194.4</v>
      </c>
      <c r="BI3687" s="1">
        <v>270000</v>
      </c>
      <c r="BJ3687" s="3">
        <v>42663</v>
      </c>
      <c r="BK3687" t="s">
        <v>123</v>
      </c>
      <c r="BL3687" t="str">
        <f>"2016.769448"</f>
        <v>2016.769448</v>
      </c>
      <c r="BM3687" t="s">
        <v>1033</v>
      </c>
      <c r="BN3687" t="s">
        <v>1052</v>
      </c>
      <c r="BO3687" t="s">
        <v>23640</v>
      </c>
      <c r="BS3687">
        <v>30</v>
      </c>
      <c r="BT3687" s="1">
        <v>82500</v>
      </c>
      <c r="BU3687" s="3">
        <v>42704</v>
      </c>
      <c r="BV3687" t="s">
        <v>134</v>
      </c>
      <c r="BW3687" t="str">
        <f>"2016.880932"</f>
        <v>2016.880932</v>
      </c>
      <c r="BX3687" t="s">
        <v>1033</v>
      </c>
      <c r="BY3687" t="s">
        <v>1052</v>
      </c>
      <c r="BZ3687" t="s">
        <v>23640</v>
      </c>
      <c r="CA3687" t="s">
        <v>23641</v>
      </c>
      <c r="CD3687">
        <v>35</v>
      </c>
      <c r="CH3687" t="str">
        <f>""</f>
        <v/>
      </c>
      <c r="CS3687" t="str">
        <f>""</f>
        <v/>
      </c>
    </row>
    <row r="3688" spans="1:97" x14ac:dyDescent="0.25">
      <c r="A3688" t="s">
        <v>1727</v>
      </c>
      <c r="B3688" t="s">
        <v>23642</v>
      </c>
      <c r="C3688" t="s">
        <v>222</v>
      </c>
      <c r="D3688" t="s">
        <v>10868</v>
      </c>
      <c r="E3688" t="s">
        <v>23643</v>
      </c>
      <c r="F3688" t="s">
        <v>108</v>
      </c>
      <c r="H3688" t="s">
        <v>23644</v>
      </c>
      <c r="I3688" t="s">
        <v>632</v>
      </c>
      <c r="J3688" t="s">
        <v>111</v>
      </c>
      <c r="K3688" t="str">
        <f>"85374"</f>
        <v>85374</v>
      </c>
      <c r="L3688" t="s">
        <v>5106</v>
      </c>
      <c r="M3688" t="s">
        <v>23644</v>
      </c>
      <c r="N3688" t="s">
        <v>632</v>
      </c>
      <c r="O3688" t="s">
        <v>111</v>
      </c>
      <c r="P3688" t="str">
        <f>"85374-4421"</f>
        <v>85374-4421</v>
      </c>
      <c r="Q3688" t="s">
        <v>113</v>
      </c>
      <c r="R3688" t="str">
        <f>"232-29-533"</f>
        <v>232-29-533</v>
      </c>
      <c r="S3688" t="s">
        <v>23645</v>
      </c>
      <c r="T3688" t="s">
        <v>23646</v>
      </c>
      <c r="U3688">
        <v>2146</v>
      </c>
      <c r="V3688">
        <v>0</v>
      </c>
      <c r="W3688">
        <v>4</v>
      </c>
      <c r="X3688">
        <v>1999</v>
      </c>
      <c r="Z3688">
        <v>2</v>
      </c>
      <c r="AB3688">
        <v>0</v>
      </c>
      <c r="AC3688" t="s">
        <v>115</v>
      </c>
      <c r="AD3688">
        <v>2</v>
      </c>
      <c r="AE3688" t="s">
        <v>115</v>
      </c>
      <c r="AF3688">
        <v>0</v>
      </c>
      <c r="AG3688">
        <v>0</v>
      </c>
      <c r="AH3688" t="s">
        <v>116</v>
      </c>
      <c r="AI3688" s="1">
        <v>38210</v>
      </c>
      <c r="AJ3688" s="2">
        <v>0.14000000000000001</v>
      </c>
      <c r="AK3688" s="1">
        <v>279610</v>
      </c>
      <c r="AL3688" t="s">
        <v>117</v>
      </c>
      <c r="AM3688" t="s">
        <v>118</v>
      </c>
      <c r="AN3688">
        <v>11765</v>
      </c>
      <c r="AO3688">
        <v>0.27</v>
      </c>
      <c r="AP3688">
        <v>1</v>
      </c>
      <c r="AR3688">
        <v>1</v>
      </c>
      <c r="AS3688" s="1">
        <v>18430</v>
      </c>
      <c r="AT3688" s="1">
        <v>3680</v>
      </c>
      <c r="AU3688" s="1">
        <v>14750</v>
      </c>
      <c r="AV3688">
        <v>80.03</v>
      </c>
      <c r="AX3688" s="1">
        <v>1329.6</v>
      </c>
      <c r="AY3688" t="s">
        <v>5108</v>
      </c>
      <c r="AZ3688" t="s">
        <v>5108</v>
      </c>
      <c r="BA3688" t="s">
        <v>5109</v>
      </c>
      <c r="BB3688" s="3">
        <v>42989</v>
      </c>
      <c r="BD3688" t="s">
        <v>157</v>
      </c>
      <c r="BE3688" s="3">
        <v>41701</v>
      </c>
      <c r="BF3688" s="1">
        <v>180000</v>
      </c>
      <c r="BG3688" t="s">
        <v>23647</v>
      </c>
      <c r="BH3688" s="1">
        <v>83.88</v>
      </c>
      <c r="BI3688" s="1">
        <v>209400</v>
      </c>
      <c r="BJ3688" s="3">
        <v>42927</v>
      </c>
      <c r="BK3688" t="s">
        <v>123</v>
      </c>
      <c r="BL3688" t="str">
        <f>"2017.502461"</f>
        <v>2017.502461</v>
      </c>
      <c r="BM3688" t="s">
        <v>361</v>
      </c>
      <c r="BO3688" t="s">
        <v>23648</v>
      </c>
      <c r="BS3688">
        <v>30</v>
      </c>
      <c r="BT3688" s="1">
        <v>32000</v>
      </c>
      <c r="BU3688" s="3">
        <v>43698</v>
      </c>
      <c r="BW3688" t="str">
        <f>"2019.645607"</f>
        <v>2019.645607</v>
      </c>
      <c r="BX3688" t="s">
        <v>23649</v>
      </c>
      <c r="BY3688" t="s">
        <v>23650</v>
      </c>
      <c r="BZ3688" t="s">
        <v>23651</v>
      </c>
      <c r="CA3688" t="s">
        <v>23652</v>
      </c>
      <c r="CC3688" t="s">
        <v>346</v>
      </c>
      <c r="CH3688" t="str">
        <f>""</f>
        <v/>
      </c>
      <c r="CS3688" t="str">
        <f>""</f>
        <v/>
      </c>
    </row>
    <row r="3689" spans="1:97" x14ac:dyDescent="0.25">
      <c r="A3689" t="s">
        <v>753</v>
      </c>
      <c r="B3689" t="s">
        <v>3333</v>
      </c>
      <c r="C3689" t="s">
        <v>719</v>
      </c>
      <c r="D3689" t="s">
        <v>3333</v>
      </c>
      <c r="E3689" t="s">
        <v>23653</v>
      </c>
      <c r="F3689" t="s">
        <v>108</v>
      </c>
      <c r="H3689" t="s">
        <v>23654</v>
      </c>
      <c r="I3689" t="s">
        <v>390</v>
      </c>
      <c r="J3689" t="s">
        <v>111</v>
      </c>
      <c r="K3689" t="str">
        <f>"85024"</f>
        <v>85024</v>
      </c>
      <c r="L3689" t="s">
        <v>9764</v>
      </c>
      <c r="M3689" t="s">
        <v>23654</v>
      </c>
      <c r="N3689" t="s">
        <v>390</v>
      </c>
      <c r="O3689" t="s">
        <v>111</v>
      </c>
      <c r="P3689" t="str">
        <f>"85024-1743"</f>
        <v>85024-1743</v>
      </c>
      <c r="Q3689" t="s">
        <v>113</v>
      </c>
      <c r="R3689" t="str">
        <f>"213-25-162"</f>
        <v>213-25-162</v>
      </c>
      <c r="S3689" t="s">
        <v>23655</v>
      </c>
      <c r="T3689" t="s">
        <v>23656</v>
      </c>
      <c r="U3689">
        <v>1020</v>
      </c>
      <c r="V3689">
        <v>0</v>
      </c>
      <c r="W3689">
        <v>1</v>
      </c>
      <c r="X3689">
        <v>1983</v>
      </c>
      <c r="Z3689">
        <v>1</v>
      </c>
      <c r="AA3689" t="s">
        <v>26</v>
      </c>
      <c r="AB3689">
        <v>0</v>
      </c>
      <c r="AC3689" t="s">
        <v>115</v>
      </c>
      <c r="AD3689">
        <v>2</v>
      </c>
      <c r="AE3689" t="s">
        <v>115</v>
      </c>
      <c r="AF3689">
        <v>0</v>
      </c>
      <c r="AG3689">
        <v>0</v>
      </c>
      <c r="AH3689" t="s">
        <v>116</v>
      </c>
      <c r="AI3689" s="1">
        <v>33207</v>
      </c>
      <c r="AJ3689" s="2">
        <v>0.14000000000000001</v>
      </c>
      <c r="AK3689" s="1">
        <v>238774</v>
      </c>
      <c r="AL3689" t="s">
        <v>117</v>
      </c>
      <c r="AM3689" t="s">
        <v>171</v>
      </c>
      <c r="AN3689">
        <v>7640</v>
      </c>
      <c r="AO3689">
        <v>0.18</v>
      </c>
      <c r="AP3689">
        <v>1</v>
      </c>
      <c r="AR3689">
        <v>1</v>
      </c>
      <c r="AS3689" s="1">
        <v>16360</v>
      </c>
      <c r="AT3689" s="1">
        <v>3270</v>
      </c>
      <c r="AU3689" s="1">
        <v>13090</v>
      </c>
      <c r="AV3689">
        <v>80.010000000000005</v>
      </c>
      <c r="AX3689" s="1">
        <v>939.48</v>
      </c>
      <c r="AY3689" t="s">
        <v>8613</v>
      </c>
      <c r="AZ3689" t="s">
        <v>761</v>
      </c>
      <c r="BA3689" t="s">
        <v>2551</v>
      </c>
      <c r="BE3689" s="3">
        <v>42419</v>
      </c>
      <c r="BF3689" s="1">
        <v>199000</v>
      </c>
      <c r="BG3689" t="s">
        <v>23657</v>
      </c>
      <c r="BH3689" s="1">
        <v>195.1</v>
      </c>
      <c r="BI3689" s="1">
        <v>205567</v>
      </c>
      <c r="BJ3689" s="3">
        <v>42419</v>
      </c>
      <c r="BK3689" t="s">
        <v>123</v>
      </c>
      <c r="BL3689" t="str">
        <f>"2016.105434"</f>
        <v>2016.105434</v>
      </c>
      <c r="BM3689" t="s">
        <v>2716</v>
      </c>
      <c r="BO3689" t="s">
        <v>23658</v>
      </c>
      <c r="BS3689">
        <v>30</v>
      </c>
      <c r="BW3689" t="str">
        <f>""</f>
        <v/>
      </c>
      <c r="CH3689" t="str">
        <f>""</f>
        <v/>
      </c>
      <c r="CS3689" t="str">
        <f>""</f>
        <v/>
      </c>
    </row>
    <row r="3690" spans="1:97" x14ac:dyDescent="0.25">
      <c r="A3690" t="s">
        <v>5678</v>
      </c>
      <c r="B3690" t="s">
        <v>23659</v>
      </c>
      <c r="E3690" t="s">
        <v>23660</v>
      </c>
      <c r="F3690" t="s">
        <v>108</v>
      </c>
      <c r="H3690" t="s">
        <v>23661</v>
      </c>
      <c r="I3690" t="s">
        <v>390</v>
      </c>
      <c r="J3690" t="s">
        <v>111</v>
      </c>
      <c r="K3690" t="str">
        <f>"85023"</f>
        <v>85023</v>
      </c>
      <c r="L3690" t="s">
        <v>4565</v>
      </c>
      <c r="M3690" t="s">
        <v>23661</v>
      </c>
      <c r="N3690" t="s">
        <v>390</v>
      </c>
      <c r="O3690" t="s">
        <v>111</v>
      </c>
      <c r="P3690" t="str">
        <f>"85023-5038"</f>
        <v>85023-5038</v>
      </c>
      <c r="Q3690" t="s">
        <v>113</v>
      </c>
      <c r="R3690" t="str">
        <f>"208-15-681"</f>
        <v>208-15-681</v>
      </c>
      <c r="S3690" t="s">
        <v>23662</v>
      </c>
      <c r="T3690" t="s">
        <v>23663</v>
      </c>
      <c r="U3690">
        <v>2094</v>
      </c>
      <c r="V3690">
        <v>0</v>
      </c>
      <c r="W3690">
        <v>2</v>
      </c>
      <c r="X3690">
        <v>1979</v>
      </c>
      <c r="Z3690">
        <v>1</v>
      </c>
      <c r="AA3690" t="s">
        <v>26</v>
      </c>
      <c r="AB3690">
        <v>0</v>
      </c>
      <c r="AC3690" t="s">
        <v>115</v>
      </c>
      <c r="AD3690">
        <v>2</v>
      </c>
      <c r="AE3690" t="s">
        <v>115</v>
      </c>
      <c r="AF3690">
        <v>0</v>
      </c>
      <c r="AG3690">
        <v>0</v>
      </c>
      <c r="AH3690" t="s">
        <v>116</v>
      </c>
      <c r="AI3690" s="1">
        <v>72970</v>
      </c>
      <c r="AJ3690" s="2">
        <v>0.24</v>
      </c>
      <c r="AK3690" s="1">
        <v>298383</v>
      </c>
      <c r="AL3690" t="s">
        <v>117</v>
      </c>
      <c r="AM3690" t="s">
        <v>171</v>
      </c>
      <c r="AN3690">
        <v>9857</v>
      </c>
      <c r="AO3690">
        <v>0.23</v>
      </c>
      <c r="AP3690">
        <v>1</v>
      </c>
      <c r="AR3690">
        <v>1</v>
      </c>
      <c r="AS3690" s="1">
        <v>23160</v>
      </c>
      <c r="AT3690" s="1">
        <v>4630</v>
      </c>
      <c r="AU3690" s="1">
        <v>18530</v>
      </c>
      <c r="AV3690">
        <v>80.010000000000005</v>
      </c>
      <c r="AX3690" s="1">
        <v>2137</v>
      </c>
      <c r="AY3690" t="s">
        <v>8647</v>
      </c>
      <c r="AZ3690" t="s">
        <v>8648</v>
      </c>
      <c r="BA3690" t="s">
        <v>8649</v>
      </c>
      <c r="BE3690" s="3">
        <v>42440</v>
      </c>
      <c r="BF3690" s="1">
        <v>220000</v>
      </c>
      <c r="BG3690" t="s">
        <v>23664</v>
      </c>
      <c r="BH3690" s="1">
        <v>105.06</v>
      </c>
      <c r="BI3690" s="1">
        <v>225413</v>
      </c>
      <c r="BJ3690" s="3">
        <v>42653</v>
      </c>
      <c r="BK3690" t="s">
        <v>123</v>
      </c>
      <c r="BL3690" t="str">
        <f>"2016.740635"</f>
        <v>2016.740635</v>
      </c>
      <c r="BM3690" t="s">
        <v>709</v>
      </c>
      <c r="BO3690" t="s">
        <v>23665</v>
      </c>
      <c r="BS3690">
        <v>30</v>
      </c>
      <c r="BW3690" t="str">
        <f>""</f>
        <v/>
      </c>
      <c r="CH3690" t="str">
        <f>""</f>
        <v/>
      </c>
      <c r="CS3690" t="str">
        <f>""</f>
        <v/>
      </c>
    </row>
    <row r="3691" spans="1:97" x14ac:dyDescent="0.25">
      <c r="A3691" t="s">
        <v>2729</v>
      </c>
      <c r="B3691" t="s">
        <v>23666</v>
      </c>
      <c r="C3691" t="s">
        <v>6055</v>
      </c>
      <c r="D3691" t="s">
        <v>23666</v>
      </c>
      <c r="E3691" t="s">
        <v>23667</v>
      </c>
      <c r="F3691" t="s">
        <v>108</v>
      </c>
      <c r="H3691" t="s">
        <v>23668</v>
      </c>
      <c r="I3691" t="s">
        <v>390</v>
      </c>
      <c r="J3691" t="s">
        <v>111</v>
      </c>
      <c r="K3691" t="str">
        <f>"85041"</f>
        <v>85041</v>
      </c>
      <c r="L3691" t="s">
        <v>5209</v>
      </c>
      <c r="M3691" t="s">
        <v>23668</v>
      </c>
      <c r="N3691" t="s">
        <v>390</v>
      </c>
      <c r="O3691" t="s">
        <v>111</v>
      </c>
      <c r="P3691" t="str">
        <f>"85041-6528"</f>
        <v>85041-6528</v>
      </c>
      <c r="Q3691" t="s">
        <v>113</v>
      </c>
      <c r="R3691" t="str">
        <f>"105-86-562"</f>
        <v>105-86-562</v>
      </c>
      <c r="S3691" t="s">
        <v>5210</v>
      </c>
      <c r="T3691" t="s">
        <v>5210</v>
      </c>
      <c r="U3691">
        <v>2181</v>
      </c>
      <c r="V3691">
        <v>0</v>
      </c>
      <c r="W3691">
        <v>3</v>
      </c>
      <c r="X3691">
        <v>2003</v>
      </c>
      <c r="Z3691">
        <v>1</v>
      </c>
      <c r="AA3691" t="s">
        <v>26</v>
      </c>
      <c r="AB3691">
        <v>0</v>
      </c>
      <c r="AC3691" t="s">
        <v>115</v>
      </c>
      <c r="AD3691">
        <v>2</v>
      </c>
      <c r="AE3691" t="s">
        <v>115</v>
      </c>
      <c r="AF3691">
        <v>0</v>
      </c>
      <c r="AG3691">
        <v>0</v>
      </c>
      <c r="AH3691" t="s">
        <v>116</v>
      </c>
      <c r="AI3691" s="1">
        <v>64581</v>
      </c>
      <c r="AJ3691" s="2">
        <v>0.22</v>
      </c>
      <c r="AK3691" s="1">
        <v>294940</v>
      </c>
      <c r="AL3691" t="s">
        <v>117</v>
      </c>
      <c r="AM3691" t="s">
        <v>760</v>
      </c>
      <c r="AN3691">
        <v>7801</v>
      </c>
      <c r="AO3691">
        <v>0.18</v>
      </c>
      <c r="AP3691">
        <v>1</v>
      </c>
      <c r="AR3691">
        <v>1</v>
      </c>
      <c r="AS3691" s="1">
        <v>20220</v>
      </c>
      <c r="AT3691" s="1">
        <v>4040</v>
      </c>
      <c r="AU3691" s="1">
        <v>16180</v>
      </c>
      <c r="AV3691">
        <v>80.02</v>
      </c>
      <c r="AX3691" s="1">
        <v>1974.28</v>
      </c>
      <c r="AY3691" t="s">
        <v>5211</v>
      </c>
      <c r="AZ3691" t="s">
        <v>5211</v>
      </c>
      <c r="BA3691" t="s">
        <v>1661</v>
      </c>
      <c r="BE3691" s="3">
        <v>42201</v>
      </c>
      <c r="BF3691" s="1">
        <v>223000</v>
      </c>
      <c r="BG3691" t="s">
        <v>23669</v>
      </c>
      <c r="BH3691" s="1">
        <v>102.25</v>
      </c>
      <c r="BI3691" s="1">
        <v>230359</v>
      </c>
      <c r="BJ3691" s="3">
        <v>42201</v>
      </c>
      <c r="BK3691" t="s">
        <v>123</v>
      </c>
      <c r="BL3691" t="str">
        <f>"2015.511221"</f>
        <v>2015.511221</v>
      </c>
      <c r="BM3691" t="s">
        <v>738</v>
      </c>
      <c r="BO3691" t="s">
        <v>23670</v>
      </c>
      <c r="BS3691">
        <v>30</v>
      </c>
      <c r="BW3691" t="str">
        <f>""</f>
        <v/>
      </c>
      <c r="CH3691" t="str">
        <f>""</f>
        <v/>
      </c>
      <c r="CS3691" t="str">
        <f>""</f>
        <v/>
      </c>
    </row>
    <row r="3692" spans="1:97" x14ac:dyDescent="0.25">
      <c r="A3692" t="s">
        <v>325</v>
      </c>
      <c r="B3692" t="s">
        <v>4306</v>
      </c>
      <c r="E3692" t="s">
        <v>23671</v>
      </c>
      <c r="F3692" t="s">
        <v>108</v>
      </c>
      <c r="H3692" t="s">
        <v>23672</v>
      </c>
      <c r="I3692" t="s">
        <v>167</v>
      </c>
      <c r="J3692" t="s">
        <v>111</v>
      </c>
      <c r="K3692" t="str">
        <f>"85339"</f>
        <v>85339</v>
      </c>
      <c r="L3692" t="s">
        <v>5990</v>
      </c>
      <c r="M3692" t="s">
        <v>23672</v>
      </c>
      <c r="N3692" t="s">
        <v>167</v>
      </c>
      <c r="O3692" t="s">
        <v>111</v>
      </c>
      <c r="P3692" t="str">
        <f>"85339-9693"</f>
        <v>85339-9693</v>
      </c>
      <c r="Q3692" t="s">
        <v>113</v>
      </c>
      <c r="R3692" t="str">
        <f>"104-79-145"</f>
        <v>104-79-145</v>
      </c>
      <c r="S3692" t="s">
        <v>23673</v>
      </c>
      <c r="T3692" t="s">
        <v>23673</v>
      </c>
      <c r="U3692">
        <v>2509</v>
      </c>
      <c r="V3692">
        <v>0</v>
      </c>
      <c r="W3692">
        <v>4</v>
      </c>
      <c r="X3692">
        <v>2008</v>
      </c>
      <c r="Z3692">
        <v>2</v>
      </c>
      <c r="AB3692">
        <v>0</v>
      </c>
      <c r="AC3692" t="s">
        <v>115</v>
      </c>
      <c r="AD3692">
        <v>2</v>
      </c>
      <c r="AE3692" t="s">
        <v>115</v>
      </c>
      <c r="AF3692">
        <v>0</v>
      </c>
      <c r="AG3692">
        <v>0</v>
      </c>
      <c r="AH3692" t="s">
        <v>116</v>
      </c>
      <c r="AI3692" s="1">
        <v>63879</v>
      </c>
      <c r="AJ3692" s="2">
        <v>0.24</v>
      </c>
      <c r="AK3692" s="1">
        <v>268079</v>
      </c>
      <c r="AL3692" t="s">
        <v>117</v>
      </c>
      <c r="AM3692" t="s">
        <v>171</v>
      </c>
      <c r="AN3692">
        <v>5750</v>
      </c>
      <c r="AO3692">
        <v>0.13</v>
      </c>
      <c r="AR3692">
        <v>1</v>
      </c>
      <c r="AS3692" s="1">
        <v>18320</v>
      </c>
      <c r="AT3692" s="1">
        <v>3660</v>
      </c>
      <c r="AU3692" s="1">
        <v>14660</v>
      </c>
      <c r="AV3692">
        <v>80.02</v>
      </c>
      <c r="AX3692" s="1">
        <v>2551.4</v>
      </c>
      <c r="AY3692" t="s">
        <v>5777</v>
      </c>
      <c r="AZ3692" t="s">
        <v>5777</v>
      </c>
      <c r="BA3692" t="s">
        <v>173</v>
      </c>
      <c r="BE3692" s="3">
        <v>42398</v>
      </c>
      <c r="BF3692" s="1">
        <v>200000</v>
      </c>
      <c r="BG3692" t="s">
        <v>23674</v>
      </c>
      <c r="BH3692" s="1">
        <v>79.709999999999994</v>
      </c>
      <c r="BI3692" s="1">
        <v>204200</v>
      </c>
      <c r="BJ3692" s="3">
        <v>42492</v>
      </c>
      <c r="BK3692" t="s">
        <v>123</v>
      </c>
      <c r="BL3692" t="str">
        <f>"2016.295022"</f>
        <v>2016.295022</v>
      </c>
      <c r="BM3692" t="s">
        <v>248</v>
      </c>
      <c r="BO3692" t="s">
        <v>23675</v>
      </c>
      <c r="BS3692">
        <v>30</v>
      </c>
      <c r="BW3692" t="str">
        <f>""</f>
        <v/>
      </c>
      <c r="CH3692" t="str">
        <f>""</f>
        <v/>
      </c>
      <c r="CS3692" t="str">
        <f>""</f>
        <v/>
      </c>
    </row>
    <row r="3693" spans="1:97" x14ac:dyDescent="0.25">
      <c r="A3693" t="s">
        <v>1465</v>
      </c>
      <c r="B3693" t="s">
        <v>23676</v>
      </c>
      <c r="C3693" t="s">
        <v>179</v>
      </c>
      <c r="D3693" t="s">
        <v>23676</v>
      </c>
      <c r="E3693" t="s">
        <v>23677</v>
      </c>
      <c r="F3693" t="s">
        <v>108</v>
      </c>
      <c r="H3693" t="s">
        <v>23678</v>
      </c>
      <c r="I3693" t="s">
        <v>632</v>
      </c>
      <c r="J3693" t="s">
        <v>111</v>
      </c>
      <c r="K3693" t="str">
        <f>"85379"</f>
        <v>85379</v>
      </c>
      <c r="L3693" t="s">
        <v>6316</v>
      </c>
      <c r="M3693" t="s">
        <v>23678</v>
      </c>
      <c r="N3693" t="s">
        <v>632</v>
      </c>
      <c r="O3693" t="s">
        <v>111</v>
      </c>
      <c r="P3693" t="str">
        <f>"85379-6525"</f>
        <v>85379-6525</v>
      </c>
      <c r="Q3693" t="s">
        <v>113</v>
      </c>
      <c r="R3693" t="str">
        <f>"501-94-130"</f>
        <v>501-94-130</v>
      </c>
      <c r="S3693" t="s">
        <v>19922</v>
      </c>
      <c r="U3693">
        <v>1600</v>
      </c>
      <c r="V3693">
        <v>0</v>
      </c>
      <c r="W3693">
        <v>3</v>
      </c>
      <c r="X3693">
        <v>2002</v>
      </c>
      <c r="Z3693">
        <v>1</v>
      </c>
      <c r="AB3693">
        <v>0</v>
      </c>
      <c r="AC3693" t="s">
        <v>115</v>
      </c>
      <c r="AD3693">
        <v>2</v>
      </c>
      <c r="AE3693" t="s">
        <v>115</v>
      </c>
      <c r="AF3693">
        <v>0</v>
      </c>
      <c r="AG3693">
        <v>0</v>
      </c>
      <c r="AH3693" t="s">
        <v>116</v>
      </c>
      <c r="AI3693" s="1">
        <v>15959</v>
      </c>
      <c r="AJ3693" s="2">
        <v>0.06</v>
      </c>
      <c r="AK3693" s="1">
        <v>248384</v>
      </c>
      <c r="AL3693" t="s">
        <v>117</v>
      </c>
      <c r="AM3693" t="s">
        <v>118</v>
      </c>
      <c r="AN3693">
        <v>6438</v>
      </c>
      <c r="AO3693">
        <v>0.15</v>
      </c>
      <c r="AP3693">
        <v>1</v>
      </c>
      <c r="AR3693">
        <v>1</v>
      </c>
      <c r="AS3693" s="1">
        <v>15380</v>
      </c>
      <c r="AT3693" s="1">
        <v>3070</v>
      </c>
      <c r="AU3693" s="1">
        <v>12310</v>
      </c>
      <c r="AV3693">
        <v>80.040000000000006</v>
      </c>
      <c r="AX3693" s="1">
        <v>1097.8399999999999</v>
      </c>
      <c r="AY3693" t="s">
        <v>9749</v>
      </c>
      <c r="AZ3693" t="s">
        <v>9749</v>
      </c>
      <c r="BA3693" t="s">
        <v>321</v>
      </c>
      <c r="BE3693" s="3">
        <v>42004</v>
      </c>
      <c r="BF3693" s="1">
        <v>169500</v>
      </c>
      <c r="BG3693" t="s">
        <v>23679</v>
      </c>
      <c r="BH3693" s="1">
        <v>105.94</v>
      </c>
      <c r="BI3693" s="1">
        <v>232425</v>
      </c>
      <c r="BJ3693" s="3">
        <v>43361</v>
      </c>
      <c r="BK3693" t="s">
        <v>123</v>
      </c>
      <c r="BL3693" t="str">
        <f>"2018.701992"</f>
        <v>2018.701992</v>
      </c>
      <c r="BM3693" t="s">
        <v>9928</v>
      </c>
      <c r="BN3693" t="s">
        <v>9929</v>
      </c>
      <c r="BO3693" t="s">
        <v>23680</v>
      </c>
      <c r="BP3693" t="s">
        <v>23681</v>
      </c>
      <c r="BR3693" t="s">
        <v>139</v>
      </c>
      <c r="BW3693" t="str">
        <f>""</f>
        <v/>
      </c>
      <c r="CH3693" t="str">
        <f>""</f>
        <v/>
      </c>
      <c r="CS3693" t="str">
        <f>""</f>
        <v/>
      </c>
    </row>
    <row r="3694" spans="1:97" x14ac:dyDescent="0.25">
      <c r="A3694" t="s">
        <v>3212</v>
      </c>
      <c r="B3694" t="s">
        <v>23682</v>
      </c>
      <c r="E3694" t="s">
        <v>23683</v>
      </c>
      <c r="F3694" t="s">
        <v>108</v>
      </c>
      <c r="H3694" t="s">
        <v>23684</v>
      </c>
      <c r="I3694" t="s">
        <v>203</v>
      </c>
      <c r="J3694" t="s">
        <v>111</v>
      </c>
      <c r="K3694" t="str">
        <f>"85233"</f>
        <v>85233</v>
      </c>
      <c r="L3694" t="s">
        <v>6325</v>
      </c>
      <c r="M3694" t="s">
        <v>23684</v>
      </c>
      <c r="N3694" t="s">
        <v>203</v>
      </c>
      <c r="O3694" t="s">
        <v>111</v>
      </c>
      <c r="P3694" t="str">
        <f>"85233-2644"</f>
        <v>85233-2644</v>
      </c>
      <c r="Q3694" t="s">
        <v>113</v>
      </c>
      <c r="R3694" t="str">
        <f>"310-05-486"</f>
        <v>310-05-486</v>
      </c>
      <c r="S3694" t="s">
        <v>23685</v>
      </c>
      <c r="T3694" t="s">
        <v>9439</v>
      </c>
      <c r="U3694">
        <v>2180</v>
      </c>
      <c r="V3694">
        <v>0</v>
      </c>
      <c r="W3694">
        <v>4</v>
      </c>
      <c r="X3694">
        <v>1996</v>
      </c>
      <c r="Z3694">
        <v>2</v>
      </c>
      <c r="AA3694" t="s">
        <v>26</v>
      </c>
      <c r="AB3694">
        <v>0</v>
      </c>
      <c r="AC3694" t="s">
        <v>115</v>
      </c>
      <c r="AD3694">
        <v>2</v>
      </c>
      <c r="AE3694" t="s">
        <v>115</v>
      </c>
      <c r="AF3694">
        <v>0</v>
      </c>
      <c r="AG3694">
        <v>0</v>
      </c>
      <c r="AH3694" t="s">
        <v>116</v>
      </c>
      <c r="AI3694" s="1">
        <v>92847</v>
      </c>
      <c r="AJ3694" s="2">
        <v>0.26</v>
      </c>
      <c r="AK3694" s="1">
        <v>363842</v>
      </c>
      <c r="AL3694" t="s">
        <v>117</v>
      </c>
      <c r="AM3694" t="s">
        <v>288</v>
      </c>
      <c r="AN3694">
        <v>8442</v>
      </c>
      <c r="AO3694">
        <v>0.19</v>
      </c>
      <c r="AP3694">
        <v>1</v>
      </c>
      <c r="AR3694">
        <v>1</v>
      </c>
      <c r="AS3694" s="1">
        <v>26570</v>
      </c>
      <c r="AT3694" s="1">
        <v>5310</v>
      </c>
      <c r="AU3694" s="1">
        <v>21260</v>
      </c>
      <c r="AV3694">
        <v>80.02</v>
      </c>
      <c r="AX3694" s="1">
        <v>1885.98</v>
      </c>
      <c r="AY3694" t="s">
        <v>8604</v>
      </c>
      <c r="AZ3694" t="s">
        <v>5478</v>
      </c>
      <c r="BA3694" t="s">
        <v>5479</v>
      </c>
      <c r="BE3694" s="3">
        <v>42093</v>
      </c>
      <c r="BF3694" s="1">
        <v>267000</v>
      </c>
      <c r="BG3694" t="s">
        <v>23686</v>
      </c>
      <c r="BH3694" s="1">
        <v>122.48</v>
      </c>
      <c r="BI3694" s="1">
        <v>270995</v>
      </c>
      <c r="BJ3694" s="3">
        <v>42093</v>
      </c>
      <c r="BK3694" t="s">
        <v>123</v>
      </c>
      <c r="BL3694" t="str">
        <f>"2015.213182"</f>
        <v>2015.213182</v>
      </c>
      <c r="BM3694" t="s">
        <v>1185</v>
      </c>
      <c r="BO3694" t="s">
        <v>23687</v>
      </c>
      <c r="BS3694">
        <v>30</v>
      </c>
      <c r="BW3694" t="str">
        <f>""</f>
        <v/>
      </c>
      <c r="CH3694" t="str">
        <f>""</f>
        <v/>
      </c>
      <c r="CS3694" t="str">
        <f>""</f>
        <v/>
      </c>
    </row>
    <row r="3695" spans="1:97" x14ac:dyDescent="0.25">
      <c r="A3695" t="s">
        <v>1176</v>
      </c>
      <c r="B3695" t="s">
        <v>23688</v>
      </c>
      <c r="C3695" t="s">
        <v>13507</v>
      </c>
      <c r="D3695" t="s">
        <v>23688</v>
      </c>
      <c r="E3695" t="s">
        <v>23689</v>
      </c>
      <c r="F3695" t="s">
        <v>108</v>
      </c>
      <c r="H3695" t="s">
        <v>23690</v>
      </c>
      <c r="I3695" t="s">
        <v>225</v>
      </c>
      <c r="J3695" t="s">
        <v>111</v>
      </c>
      <c r="K3695" t="str">
        <f>"85205"</f>
        <v>85205</v>
      </c>
      <c r="L3695" t="s">
        <v>226</v>
      </c>
      <c r="M3695" t="s">
        <v>23690</v>
      </c>
      <c r="N3695" t="s">
        <v>225</v>
      </c>
      <c r="O3695" t="s">
        <v>111</v>
      </c>
      <c r="P3695" t="str">
        <f>"85205-5815"</f>
        <v>85205-5815</v>
      </c>
      <c r="Q3695" t="s">
        <v>113</v>
      </c>
      <c r="R3695" t="str">
        <f>"141-78-568"</f>
        <v>141-78-568</v>
      </c>
      <c r="S3695" t="s">
        <v>23691</v>
      </c>
      <c r="T3695" t="s">
        <v>23692</v>
      </c>
      <c r="U3695">
        <v>1694</v>
      </c>
      <c r="V3695">
        <v>0</v>
      </c>
      <c r="W3695">
        <v>3</v>
      </c>
      <c r="X3695">
        <v>1987</v>
      </c>
      <c r="Z3695">
        <v>1</v>
      </c>
      <c r="AA3695" t="s">
        <v>26</v>
      </c>
      <c r="AB3695">
        <v>0</v>
      </c>
      <c r="AC3695" t="s">
        <v>115</v>
      </c>
      <c r="AD3695">
        <v>2</v>
      </c>
      <c r="AE3695" t="s">
        <v>115</v>
      </c>
      <c r="AF3695">
        <v>0</v>
      </c>
      <c r="AG3695">
        <v>0</v>
      </c>
      <c r="AH3695" t="s">
        <v>116</v>
      </c>
      <c r="AI3695" s="1">
        <v>62749</v>
      </c>
      <c r="AJ3695" s="2">
        <v>0.19</v>
      </c>
      <c r="AK3695" s="1">
        <v>323065</v>
      </c>
      <c r="AL3695" t="s">
        <v>117</v>
      </c>
      <c r="AM3695" t="s">
        <v>393</v>
      </c>
      <c r="AN3695">
        <v>14958</v>
      </c>
      <c r="AO3695">
        <v>0.34</v>
      </c>
      <c r="AP3695">
        <v>1</v>
      </c>
      <c r="AR3695">
        <v>1</v>
      </c>
      <c r="AS3695" s="1">
        <v>22480</v>
      </c>
      <c r="AT3695" s="1">
        <v>4490</v>
      </c>
      <c r="AU3695" s="1">
        <v>17990</v>
      </c>
      <c r="AV3695">
        <v>80.03</v>
      </c>
      <c r="AX3695" s="1">
        <v>1697.38</v>
      </c>
      <c r="AY3695" t="s">
        <v>5274</v>
      </c>
      <c r="AZ3695" t="s">
        <v>5275</v>
      </c>
      <c r="BA3695" t="s">
        <v>3119</v>
      </c>
      <c r="BE3695" s="3">
        <v>41764</v>
      </c>
      <c r="BF3695" s="1">
        <v>227500</v>
      </c>
      <c r="BG3695" t="s">
        <v>23693</v>
      </c>
      <c r="BH3695" s="1">
        <v>134.30000000000001</v>
      </c>
      <c r="BI3695" s="1">
        <v>260316</v>
      </c>
      <c r="BJ3695" s="3">
        <v>43371</v>
      </c>
      <c r="BK3695" t="s">
        <v>123</v>
      </c>
      <c r="BL3695" t="str">
        <f>"2018.731937"</f>
        <v>2018.731937</v>
      </c>
      <c r="BM3695" t="s">
        <v>1809</v>
      </c>
      <c r="BN3695" t="s">
        <v>1810</v>
      </c>
      <c r="BO3695" t="s">
        <v>23694</v>
      </c>
      <c r="BP3695" t="s">
        <v>23695</v>
      </c>
      <c r="BR3695" t="s">
        <v>139</v>
      </c>
      <c r="BT3695" s="1">
        <v>260316</v>
      </c>
      <c r="BU3695" s="3">
        <v>43371</v>
      </c>
      <c r="BV3695" t="s">
        <v>123</v>
      </c>
      <c r="BW3695" t="str">
        <f>"2018.731937"</f>
        <v>2018.731937</v>
      </c>
      <c r="BX3695" t="s">
        <v>1809</v>
      </c>
      <c r="BY3695" t="s">
        <v>1810</v>
      </c>
      <c r="BZ3695" t="s">
        <v>23694</v>
      </c>
      <c r="CA3695" t="s">
        <v>23695</v>
      </c>
      <c r="CC3695" t="s">
        <v>139</v>
      </c>
      <c r="CH3695" t="str">
        <f>""</f>
        <v/>
      </c>
      <c r="CS3695" t="str">
        <f>""</f>
        <v/>
      </c>
    </row>
    <row r="3696" spans="1:97" x14ac:dyDescent="0.25">
      <c r="A3696" t="s">
        <v>494</v>
      </c>
      <c r="B3696" t="s">
        <v>1208</v>
      </c>
      <c r="C3696" t="s">
        <v>154</v>
      </c>
      <c r="D3696" t="s">
        <v>1208</v>
      </c>
      <c r="E3696" t="s">
        <v>23696</v>
      </c>
      <c r="F3696" t="s">
        <v>108</v>
      </c>
      <c r="H3696" t="s">
        <v>23697</v>
      </c>
      <c r="I3696" t="s">
        <v>110</v>
      </c>
      <c r="J3696" t="s">
        <v>111</v>
      </c>
      <c r="K3696" t="str">
        <f>"85225"</f>
        <v>85225</v>
      </c>
      <c r="L3696" t="s">
        <v>6682</v>
      </c>
      <c r="M3696" t="s">
        <v>23697</v>
      </c>
      <c r="N3696" t="s">
        <v>110</v>
      </c>
      <c r="O3696" t="s">
        <v>111</v>
      </c>
      <c r="P3696" t="str">
        <f>"85225-6203"</f>
        <v>85225-6203</v>
      </c>
      <c r="Q3696" t="s">
        <v>113</v>
      </c>
      <c r="R3696" t="str">
        <f>"303-21-054"</f>
        <v>303-21-054</v>
      </c>
      <c r="S3696" t="s">
        <v>9045</v>
      </c>
      <c r="T3696" t="s">
        <v>9046</v>
      </c>
      <c r="U3696">
        <v>2036</v>
      </c>
      <c r="V3696">
        <v>0</v>
      </c>
      <c r="W3696">
        <v>3</v>
      </c>
      <c r="X3696">
        <v>1993</v>
      </c>
      <c r="Z3696">
        <v>1</v>
      </c>
      <c r="AB3696">
        <v>0</v>
      </c>
      <c r="AC3696" t="s">
        <v>115</v>
      </c>
      <c r="AD3696">
        <v>2</v>
      </c>
      <c r="AE3696" t="s">
        <v>115</v>
      </c>
      <c r="AF3696">
        <v>0</v>
      </c>
      <c r="AG3696">
        <v>0</v>
      </c>
      <c r="AH3696" t="s">
        <v>116</v>
      </c>
      <c r="AI3696" s="1">
        <v>26243</v>
      </c>
      <c r="AJ3696" s="2">
        <v>7.0000000000000007E-2</v>
      </c>
      <c r="AK3696" s="1">
        <v>361240</v>
      </c>
      <c r="AL3696" t="s">
        <v>117</v>
      </c>
      <c r="AM3696" t="s">
        <v>118</v>
      </c>
      <c r="AN3696">
        <v>11683</v>
      </c>
      <c r="AO3696">
        <v>0.27</v>
      </c>
      <c r="AP3696">
        <v>1</v>
      </c>
      <c r="AR3696">
        <v>1</v>
      </c>
      <c r="AS3696" s="1">
        <v>25460</v>
      </c>
      <c r="AT3696" s="1">
        <v>5090</v>
      </c>
      <c r="AU3696" s="1">
        <v>20370</v>
      </c>
      <c r="AV3696">
        <v>80.010000000000005</v>
      </c>
      <c r="AX3696" s="1">
        <v>1833.82</v>
      </c>
      <c r="AY3696" t="s">
        <v>9047</v>
      </c>
      <c r="AZ3696" t="s">
        <v>1882</v>
      </c>
      <c r="BA3696" t="s">
        <v>121</v>
      </c>
      <c r="BE3696" s="3">
        <v>41911</v>
      </c>
      <c r="BF3696" s="1">
        <v>282500</v>
      </c>
      <c r="BG3696" t="s">
        <v>23698</v>
      </c>
      <c r="BH3696" s="1">
        <v>138.75</v>
      </c>
      <c r="BI3696" s="1">
        <v>334997</v>
      </c>
      <c r="BJ3696" s="3">
        <v>43584</v>
      </c>
      <c r="BK3696" t="s">
        <v>123</v>
      </c>
      <c r="BL3696" t="str">
        <f>"2019.300504"</f>
        <v>2019.300504</v>
      </c>
      <c r="BM3696" t="s">
        <v>460</v>
      </c>
      <c r="BN3696" t="s">
        <v>461</v>
      </c>
      <c r="BO3696" t="s">
        <v>23699</v>
      </c>
      <c r="BP3696" t="s">
        <v>23700</v>
      </c>
      <c r="BR3696" t="s">
        <v>139</v>
      </c>
      <c r="BW3696" t="str">
        <f>""</f>
        <v/>
      </c>
      <c r="CH3696" t="str">
        <f>""</f>
        <v/>
      </c>
      <c r="CS3696" t="str">
        <f>""</f>
        <v/>
      </c>
    </row>
    <row r="3697" spans="1:97" x14ac:dyDescent="0.25">
      <c r="A3697" t="s">
        <v>404</v>
      </c>
      <c r="B3697" t="s">
        <v>20242</v>
      </c>
      <c r="C3697" t="s">
        <v>2104</v>
      </c>
      <c r="D3697" t="s">
        <v>4864</v>
      </c>
      <c r="E3697" t="s">
        <v>23701</v>
      </c>
      <c r="F3697" t="s">
        <v>108</v>
      </c>
      <c r="H3697" t="s">
        <v>23702</v>
      </c>
      <c r="I3697" t="s">
        <v>453</v>
      </c>
      <c r="J3697" t="s">
        <v>111</v>
      </c>
      <c r="K3697" t="str">
        <f>"85382"</f>
        <v>85382</v>
      </c>
      <c r="L3697" t="s">
        <v>316</v>
      </c>
      <c r="M3697" t="s">
        <v>23702</v>
      </c>
      <c r="N3697" t="s">
        <v>453</v>
      </c>
      <c r="O3697" t="s">
        <v>111</v>
      </c>
      <c r="P3697" t="str">
        <f>"85382-4623"</f>
        <v>85382-4623</v>
      </c>
      <c r="Q3697" t="s">
        <v>113</v>
      </c>
      <c r="R3697" t="str">
        <f>"233-01-339"</f>
        <v>233-01-339</v>
      </c>
      <c r="S3697" t="s">
        <v>23703</v>
      </c>
      <c r="T3697" t="s">
        <v>23704</v>
      </c>
      <c r="U3697">
        <v>1858</v>
      </c>
      <c r="V3697">
        <v>0</v>
      </c>
      <c r="W3697">
        <v>3</v>
      </c>
      <c r="X3697">
        <v>1991</v>
      </c>
      <c r="Z3697">
        <v>1</v>
      </c>
      <c r="AB3697">
        <v>0</v>
      </c>
      <c r="AC3697" t="s">
        <v>115</v>
      </c>
      <c r="AD3697">
        <v>3</v>
      </c>
      <c r="AE3697" t="s">
        <v>115</v>
      </c>
      <c r="AF3697">
        <v>0</v>
      </c>
      <c r="AG3697">
        <v>0</v>
      </c>
      <c r="AH3697" t="s">
        <v>116</v>
      </c>
      <c r="AI3697" s="1">
        <v>86120</v>
      </c>
      <c r="AJ3697" s="2">
        <v>0.26</v>
      </c>
      <c r="AK3697" s="1">
        <v>336020</v>
      </c>
      <c r="AL3697" t="s">
        <v>117</v>
      </c>
      <c r="AM3697" t="s">
        <v>3345</v>
      </c>
      <c r="AN3697">
        <v>8719</v>
      </c>
      <c r="AO3697">
        <v>0.2</v>
      </c>
      <c r="AP3697">
        <v>1</v>
      </c>
      <c r="AR3697">
        <v>1</v>
      </c>
      <c r="AS3697" s="1">
        <v>23670</v>
      </c>
      <c r="AT3697" s="1">
        <v>4730</v>
      </c>
      <c r="AU3697" s="1">
        <v>18940</v>
      </c>
      <c r="AV3697">
        <v>80.02</v>
      </c>
      <c r="AX3697" s="1">
        <v>2266.3000000000002</v>
      </c>
      <c r="AY3697" t="s">
        <v>7828</v>
      </c>
      <c r="AZ3697" t="s">
        <v>7828</v>
      </c>
      <c r="BA3697" t="s">
        <v>4219</v>
      </c>
      <c r="BE3697" s="3">
        <v>42090</v>
      </c>
      <c r="BF3697" s="1">
        <v>249900</v>
      </c>
      <c r="BG3697" t="s">
        <v>23705</v>
      </c>
      <c r="BH3697" s="1">
        <v>134.5</v>
      </c>
      <c r="BI3697" s="1">
        <v>249900</v>
      </c>
      <c r="BJ3697" s="3">
        <v>42090</v>
      </c>
      <c r="BK3697" t="s">
        <v>123</v>
      </c>
      <c r="BL3697" t="str">
        <f>"2015.205731"</f>
        <v>2015.205731</v>
      </c>
      <c r="BM3697" t="s">
        <v>544</v>
      </c>
      <c r="BO3697" t="s">
        <v>23706</v>
      </c>
      <c r="BP3697" t="s">
        <v>23707</v>
      </c>
      <c r="BS3697">
        <v>30</v>
      </c>
      <c r="BW3697" t="str">
        <f>""</f>
        <v/>
      </c>
      <c r="CH3697" t="str">
        <f>""</f>
        <v/>
      </c>
      <c r="CS3697" t="str">
        <f>""</f>
        <v/>
      </c>
    </row>
    <row r="3698" spans="1:97" x14ac:dyDescent="0.25">
      <c r="A3698" t="s">
        <v>711</v>
      </c>
      <c r="B3698" t="s">
        <v>23708</v>
      </c>
      <c r="C3698" t="s">
        <v>9992</v>
      </c>
      <c r="D3698" t="s">
        <v>23708</v>
      </c>
      <c r="E3698" t="s">
        <v>23709</v>
      </c>
      <c r="F3698" t="s">
        <v>108</v>
      </c>
      <c r="H3698" t="s">
        <v>23710</v>
      </c>
      <c r="I3698" t="s">
        <v>2874</v>
      </c>
      <c r="J3698" t="s">
        <v>111</v>
      </c>
      <c r="K3698" t="str">
        <f>"85308"</f>
        <v>85308</v>
      </c>
      <c r="L3698" t="s">
        <v>316</v>
      </c>
      <c r="M3698" t="s">
        <v>23710</v>
      </c>
      <c r="N3698" t="s">
        <v>2874</v>
      </c>
      <c r="O3698" t="s">
        <v>111</v>
      </c>
      <c r="P3698" t="str">
        <f>"85308-5520"</f>
        <v>85308-5520</v>
      </c>
      <c r="Q3698" t="s">
        <v>113</v>
      </c>
      <c r="R3698" t="str">
        <f>"200-34-360"</f>
        <v>200-34-360</v>
      </c>
      <c r="S3698" t="s">
        <v>7491</v>
      </c>
      <c r="T3698" t="s">
        <v>7492</v>
      </c>
      <c r="U3698">
        <v>2573</v>
      </c>
      <c r="V3698">
        <v>0</v>
      </c>
      <c r="W3698">
        <v>4</v>
      </c>
      <c r="X3698">
        <v>1985</v>
      </c>
      <c r="Z3698">
        <v>2</v>
      </c>
      <c r="AA3698" t="s">
        <v>26</v>
      </c>
      <c r="AB3698">
        <v>0</v>
      </c>
      <c r="AC3698" t="s">
        <v>115</v>
      </c>
      <c r="AD3698">
        <v>3</v>
      </c>
      <c r="AE3698" t="s">
        <v>115</v>
      </c>
      <c r="AF3698">
        <v>0</v>
      </c>
      <c r="AG3698">
        <v>0</v>
      </c>
      <c r="AH3698" t="s">
        <v>116</v>
      </c>
      <c r="AI3698" s="1">
        <v>64739</v>
      </c>
      <c r="AJ3698" s="2">
        <v>0.17</v>
      </c>
      <c r="AK3698" s="1">
        <v>381301</v>
      </c>
      <c r="AL3698" t="s">
        <v>117</v>
      </c>
      <c r="AM3698" t="s">
        <v>191</v>
      </c>
      <c r="AN3698">
        <v>12062</v>
      </c>
      <c r="AO3698">
        <v>0.28000000000000003</v>
      </c>
      <c r="AP3698">
        <v>1</v>
      </c>
      <c r="AR3698">
        <v>1</v>
      </c>
      <c r="AS3698" s="1">
        <v>27470</v>
      </c>
      <c r="AT3698" s="1">
        <v>5490</v>
      </c>
      <c r="AU3698" s="1">
        <v>21980</v>
      </c>
      <c r="AV3698">
        <v>80.010000000000005</v>
      </c>
      <c r="AX3698" s="1">
        <v>2661.54</v>
      </c>
      <c r="AY3698" t="s">
        <v>6740</v>
      </c>
      <c r="AZ3698" t="s">
        <v>6740</v>
      </c>
      <c r="BA3698" t="s">
        <v>2223</v>
      </c>
      <c r="BE3698" s="3">
        <v>41953</v>
      </c>
      <c r="BF3698" s="1">
        <v>309900</v>
      </c>
      <c r="BG3698" t="s">
        <v>23711</v>
      </c>
      <c r="BH3698" s="1">
        <v>120.44</v>
      </c>
      <c r="BI3698" s="1">
        <v>316562</v>
      </c>
      <c r="BJ3698" s="3">
        <v>41953</v>
      </c>
      <c r="BK3698" t="s">
        <v>123</v>
      </c>
      <c r="BL3698" t="str">
        <f>"2014.745251"</f>
        <v>2014.745251</v>
      </c>
      <c r="BM3698" t="s">
        <v>1791</v>
      </c>
      <c r="BO3698" t="s">
        <v>23712</v>
      </c>
      <c r="BS3698">
        <v>30</v>
      </c>
      <c r="BW3698" t="str">
        <f>""</f>
        <v/>
      </c>
      <c r="CH3698" t="str">
        <f>""</f>
        <v/>
      </c>
      <c r="CS3698" t="str">
        <f>""</f>
        <v/>
      </c>
    </row>
    <row r="3699" spans="1:97" x14ac:dyDescent="0.25">
      <c r="A3699" t="s">
        <v>9704</v>
      </c>
      <c r="B3699" t="s">
        <v>23713</v>
      </c>
      <c r="E3699" t="s">
        <v>23714</v>
      </c>
      <c r="F3699" t="s">
        <v>108</v>
      </c>
      <c r="H3699" t="s">
        <v>23715</v>
      </c>
      <c r="I3699" t="s">
        <v>390</v>
      </c>
      <c r="J3699" t="s">
        <v>111</v>
      </c>
      <c r="K3699" t="str">
        <f>"85085"</f>
        <v>85085</v>
      </c>
      <c r="L3699" t="s">
        <v>558</v>
      </c>
      <c r="M3699" t="s">
        <v>23715</v>
      </c>
      <c r="N3699" t="s">
        <v>390</v>
      </c>
      <c r="O3699" t="s">
        <v>111</v>
      </c>
      <c r="P3699" t="str">
        <f>"85085-8050"</f>
        <v>85085-8050</v>
      </c>
      <c r="Q3699" t="s">
        <v>113</v>
      </c>
      <c r="R3699" t="str">
        <f>"204-25-093"</f>
        <v>204-25-093</v>
      </c>
      <c r="S3699" t="s">
        <v>23716</v>
      </c>
      <c r="U3699">
        <v>2476</v>
      </c>
      <c r="V3699">
        <v>0</v>
      </c>
      <c r="W3699">
        <v>4</v>
      </c>
      <c r="X3699">
        <v>2006</v>
      </c>
      <c r="Z3699">
        <v>1</v>
      </c>
      <c r="AA3699" t="s">
        <v>26</v>
      </c>
      <c r="AB3699">
        <v>0</v>
      </c>
      <c r="AC3699" t="s">
        <v>115</v>
      </c>
      <c r="AD3699">
        <v>4</v>
      </c>
      <c r="AE3699" t="s">
        <v>115</v>
      </c>
      <c r="AF3699">
        <v>0</v>
      </c>
      <c r="AG3699">
        <v>0</v>
      </c>
      <c r="AH3699" t="s">
        <v>116</v>
      </c>
      <c r="AI3699" s="1">
        <v>76889</v>
      </c>
      <c r="AJ3699" s="2">
        <v>0.16</v>
      </c>
      <c r="AK3699" s="1">
        <v>477189</v>
      </c>
      <c r="AL3699" t="s">
        <v>117</v>
      </c>
      <c r="AM3699" t="s">
        <v>1302</v>
      </c>
      <c r="AN3699">
        <v>11621</v>
      </c>
      <c r="AO3699">
        <v>0.27</v>
      </c>
      <c r="AR3699">
        <v>1</v>
      </c>
      <c r="AS3699" s="1">
        <v>34870</v>
      </c>
      <c r="AT3699" s="1">
        <v>6970</v>
      </c>
      <c r="AU3699" s="1">
        <v>27900</v>
      </c>
      <c r="AV3699">
        <v>80.010000000000005</v>
      </c>
      <c r="AX3699" s="1">
        <v>3476.46</v>
      </c>
      <c r="AY3699" t="s">
        <v>2651</v>
      </c>
      <c r="AZ3699" t="s">
        <v>2651</v>
      </c>
      <c r="BA3699" t="s">
        <v>1462</v>
      </c>
      <c r="BE3699" s="3">
        <v>42272</v>
      </c>
      <c r="BF3699" s="1">
        <v>400500</v>
      </c>
      <c r="BG3699" t="s">
        <v>23717</v>
      </c>
      <c r="BH3699" s="1">
        <v>161.75</v>
      </c>
      <c r="BI3699" s="1">
        <v>400300</v>
      </c>
      <c r="BJ3699" s="3">
        <v>42821</v>
      </c>
      <c r="BK3699" t="s">
        <v>123</v>
      </c>
      <c r="BL3699" t="str">
        <f>"2017.210679"</f>
        <v>2017.210679</v>
      </c>
      <c r="BM3699" t="s">
        <v>322</v>
      </c>
      <c r="BO3699" t="s">
        <v>23718</v>
      </c>
      <c r="BS3699">
        <v>30</v>
      </c>
      <c r="BW3699" t="str">
        <f>""</f>
        <v/>
      </c>
      <c r="CH3699" t="str">
        <f>""</f>
        <v/>
      </c>
      <c r="CS3699" t="str">
        <f>""</f>
        <v/>
      </c>
    </row>
    <row r="3700" spans="1:97" x14ac:dyDescent="0.25">
      <c r="A3700" t="s">
        <v>4141</v>
      </c>
      <c r="B3700" t="s">
        <v>23719</v>
      </c>
      <c r="E3700" t="s">
        <v>23720</v>
      </c>
      <c r="F3700" t="s">
        <v>108</v>
      </c>
      <c r="H3700" t="s">
        <v>23721</v>
      </c>
      <c r="I3700" t="s">
        <v>225</v>
      </c>
      <c r="J3700" t="s">
        <v>111</v>
      </c>
      <c r="K3700" t="str">
        <f>"85213"</f>
        <v>85213</v>
      </c>
      <c r="L3700" t="s">
        <v>7607</v>
      </c>
      <c r="M3700" t="s">
        <v>23721</v>
      </c>
      <c r="N3700" t="s">
        <v>225</v>
      </c>
      <c r="O3700" t="s">
        <v>111</v>
      </c>
      <c r="P3700" t="str">
        <f>"85213-2254"</f>
        <v>85213-2254</v>
      </c>
      <c r="Q3700" t="s">
        <v>113</v>
      </c>
      <c r="R3700" t="str">
        <f>"141-07-136"</f>
        <v>141-07-136</v>
      </c>
      <c r="S3700" t="s">
        <v>23722</v>
      </c>
      <c r="T3700" t="s">
        <v>23722</v>
      </c>
      <c r="U3700">
        <v>2307</v>
      </c>
      <c r="V3700">
        <v>0</v>
      </c>
      <c r="W3700">
        <v>4</v>
      </c>
      <c r="X3700">
        <v>1989</v>
      </c>
      <c r="Z3700">
        <v>2</v>
      </c>
      <c r="AA3700" t="s">
        <v>26</v>
      </c>
      <c r="AB3700">
        <v>0</v>
      </c>
      <c r="AC3700" t="s">
        <v>115</v>
      </c>
      <c r="AD3700">
        <v>2</v>
      </c>
      <c r="AE3700" t="s">
        <v>115</v>
      </c>
      <c r="AF3700">
        <v>0</v>
      </c>
      <c r="AG3700">
        <v>0</v>
      </c>
      <c r="AH3700" t="s">
        <v>116</v>
      </c>
      <c r="AI3700" s="1">
        <v>35148</v>
      </c>
      <c r="AJ3700" s="2">
        <v>0.09</v>
      </c>
      <c r="AK3700" s="1">
        <v>391016</v>
      </c>
      <c r="AL3700" t="s">
        <v>117</v>
      </c>
      <c r="AM3700" t="s">
        <v>917</v>
      </c>
      <c r="AN3700">
        <v>9567</v>
      </c>
      <c r="AO3700">
        <v>0.22</v>
      </c>
      <c r="AP3700">
        <v>1</v>
      </c>
      <c r="AR3700">
        <v>1</v>
      </c>
      <c r="AS3700" s="1">
        <v>27920</v>
      </c>
      <c r="AT3700" s="1">
        <v>5580</v>
      </c>
      <c r="AU3700" s="1">
        <v>22340</v>
      </c>
      <c r="AV3700">
        <v>80.010000000000005</v>
      </c>
      <c r="AX3700" s="1">
        <v>2178</v>
      </c>
      <c r="AY3700" t="s">
        <v>11944</v>
      </c>
      <c r="AZ3700" t="s">
        <v>4163</v>
      </c>
      <c r="BA3700" t="s">
        <v>1524</v>
      </c>
      <c r="BB3700" s="3">
        <v>43159</v>
      </c>
      <c r="BC3700" s="1">
        <v>0</v>
      </c>
      <c r="BD3700" t="s">
        <v>247</v>
      </c>
      <c r="BE3700" s="3">
        <v>42067</v>
      </c>
      <c r="BF3700" s="1">
        <v>315000</v>
      </c>
      <c r="BG3700" t="s">
        <v>23723</v>
      </c>
      <c r="BH3700" s="1">
        <v>136.54</v>
      </c>
      <c r="BI3700" s="1">
        <v>355868</v>
      </c>
      <c r="BJ3700" s="3">
        <v>43159</v>
      </c>
      <c r="BK3700" t="s">
        <v>123</v>
      </c>
      <c r="BL3700" t="str">
        <f>"2018.150814"</f>
        <v>2018.150814</v>
      </c>
      <c r="BM3700" t="s">
        <v>23724</v>
      </c>
      <c r="BN3700" t="s">
        <v>1136</v>
      </c>
      <c r="BO3700" t="s">
        <v>23720</v>
      </c>
      <c r="BR3700" t="s">
        <v>139</v>
      </c>
      <c r="BW3700" t="str">
        <f>""</f>
        <v/>
      </c>
      <c r="CH3700" t="str">
        <f>""</f>
        <v/>
      </c>
      <c r="CS3700" t="str">
        <f>""</f>
        <v/>
      </c>
    </row>
    <row r="3701" spans="1:97" x14ac:dyDescent="0.25">
      <c r="A3701" t="s">
        <v>6753</v>
      </c>
      <c r="B3701" t="s">
        <v>10732</v>
      </c>
      <c r="C3701" t="s">
        <v>23725</v>
      </c>
      <c r="D3701" t="s">
        <v>10732</v>
      </c>
      <c r="E3701" t="s">
        <v>23726</v>
      </c>
      <c r="F3701" t="s">
        <v>108</v>
      </c>
      <c r="H3701" t="s">
        <v>23727</v>
      </c>
      <c r="I3701" t="s">
        <v>2874</v>
      </c>
      <c r="J3701" t="s">
        <v>111</v>
      </c>
      <c r="K3701" t="str">
        <f>"85305"</f>
        <v>85305</v>
      </c>
      <c r="L3701" t="s">
        <v>10474</v>
      </c>
      <c r="M3701" t="s">
        <v>23727</v>
      </c>
      <c r="N3701" t="s">
        <v>2874</v>
      </c>
      <c r="O3701" t="s">
        <v>111</v>
      </c>
      <c r="P3701" t="str">
        <f>"85305-6965"</f>
        <v>85305-6965</v>
      </c>
      <c r="Q3701" t="s">
        <v>113</v>
      </c>
      <c r="R3701" t="str">
        <f>"142-28-582"</f>
        <v>142-28-582</v>
      </c>
      <c r="S3701" t="s">
        <v>23728</v>
      </c>
      <c r="T3701" t="s">
        <v>23729</v>
      </c>
      <c r="U3701">
        <v>2219</v>
      </c>
      <c r="V3701">
        <v>0</v>
      </c>
      <c r="W3701">
        <v>3</v>
      </c>
      <c r="X3701">
        <v>2005</v>
      </c>
      <c r="Z3701">
        <v>1</v>
      </c>
      <c r="AB3701">
        <v>0</v>
      </c>
      <c r="AC3701" t="s">
        <v>115</v>
      </c>
      <c r="AD3701">
        <v>3</v>
      </c>
      <c r="AE3701" t="s">
        <v>115</v>
      </c>
      <c r="AF3701">
        <v>0</v>
      </c>
      <c r="AG3701">
        <v>0</v>
      </c>
      <c r="AH3701" t="s">
        <v>116</v>
      </c>
      <c r="AI3701" s="1">
        <v>76564</v>
      </c>
      <c r="AJ3701" s="2">
        <v>0.24</v>
      </c>
      <c r="AK3701" s="1">
        <v>316464</v>
      </c>
      <c r="AL3701" t="s">
        <v>117</v>
      </c>
      <c r="AM3701" t="s">
        <v>393</v>
      </c>
      <c r="AN3701">
        <v>7073</v>
      </c>
      <c r="AO3701">
        <v>0.16</v>
      </c>
      <c r="AR3701">
        <v>1</v>
      </c>
      <c r="AS3701" s="1">
        <v>24280</v>
      </c>
      <c r="AT3701" s="1">
        <v>4850</v>
      </c>
      <c r="AU3701" s="1">
        <v>19430</v>
      </c>
      <c r="AV3701">
        <v>80.02</v>
      </c>
      <c r="AX3701" s="1">
        <v>1750.62</v>
      </c>
      <c r="AY3701" t="s">
        <v>6944</v>
      </c>
      <c r="AZ3701" t="s">
        <v>6944</v>
      </c>
      <c r="BA3701" t="s">
        <v>6945</v>
      </c>
      <c r="BE3701" s="3">
        <v>42418</v>
      </c>
      <c r="BF3701" s="1">
        <v>239900</v>
      </c>
      <c r="BG3701" t="s">
        <v>23730</v>
      </c>
      <c r="BH3701" s="1">
        <v>108.11</v>
      </c>
      <c r="BI3701" s="1">
        <v>239900</v>
      </c>
      <c r="BJ3701" s="3">
        <v>42418</v>
      </c>
      <c r="BK3701" t="s">
        <v>123</v>
      </c>
      <c r="BL3701" t="str">
        <f>"2016.103201"</f>
        <v>2016.103201</v>
      </c>
      <c r="BM3701" t="s">
        <v>724</v>
      </c>
      <c r="BO3701" t="s">
        <v>23731</v>
      </c>
      <c r="BS3701">
        <v>30</v>
      </c>
      <c r="BW3701" t="str">
        <f>""</f>
        <v/>
      </c>
      <c r="CH3701" t="str">
        <f>""</f>
        <v/>
      </c>
      <c r="CS3701" t="str">
        <f>""</f>
        <v/>
      </c>
    </row>
    <row r="3702" spans="1:97" x14ac:dyDescent="0.25">
      <c r="A3702" t="s">
        <v>1109</v>
      </c>
      <c r="B3702" t="s">
        <v>23732</v>
      </c>
      <c r="E3702" t="s">
        <v>23733</v>
      </c>
      <c r="F3702" t="s">
        <v>108</v>
      </c>
      <c r="H3702" t="s">
        <v>23734</v>
      </c>
      <c r="I3702" t="s">
        <v>3150</v>
      </c>
      <c r="J3702" t="s">
        <v>111</v>
      </c>
      <c r="K3702" t="str">
        <f>"85340"</f>
        <v>85340</v>
      </c>
      <c r="L3702" t="s">
        <v>734</v>
      </c>
      <c r="M3702" t="s">
        <v>23734</v>
      </c>
      <c r="N3702" t="s">
        <v>3150</v>
      </c>
      <c r="O3702" t="s">
        <v>111</v>
      </c>
      <c r="P3702" t="str">
        <f>"85340-5753"</f>
        <v>85340-5753</v>
      </c>
      <c r="Q3702" t="s">
        <v>113</v>
      </c>
      <c r="R3702" t="str">
        <f>"502-28-291"</f>
        <v>502-28-291</v>
      </c>
      <c r="S3702" t="s">
        <v>5998</v>
      </c>
      <c r="T3702" t="s">
        <v>5998</v>
      </c>
      <c r="U3702">
        <v>2985</v>
      </c>
      <c r="V3702">
        <v>0</v>
      </c>
      <c r="W3702">
        <v>4</v>
      </c>
      <c r="X3702">
        <v>2013</v>
      </c>
      <c r="Z3702">
        <v>1</v>
      </c>
      <c r="AA3702" t="s">
        <v>26</v>
      </c>
      <c r="AB3702">
        <v>0</v>
      </c>
      <c r="AC3702" t="s">
        <v>115</v>
      </c>
      <c r="AD3702">
        <v>4</v>
      </c>
      <c r="AE3702" t="s">
        <v>115</v>
      </c>
      <c r="AF3702">
        <v>0</v>
      </c>
      <c r="AG3702">
        <v>0</v>
      </c>
      <c r="AH3702" t="s">
        <v>116</v>
      </c>
      <c r="AI3702" s="1">
        <v>137099</v>
      </c>
      <c r="AJ3702" s="2">
        <v>0.33</v>
      </c>
      <c r="AK3702" s="1">
        <v>415380</v>
      </c>
      <c r="AL3702" t="s">
        <v>117</v>
      </c>
      <c r="AM3702" t="s">
        <v>1302</v>
      </c>
      <c r="AN3702">
        <v>11010</v>
      </c>
      <c r="AO3702">
        <v>0.25</v>
      </c>
      <c r="AR3702">
        <v>1</v>
      </c>
      <c r="AS3702" s="1">
        <v>30150</v>
      </c>
      <c r="AT3702" s="1">
        <v>5960</v>
      </c>
      <c r="AU3702" s="1">
        <v>24190</v>
      </c>
      <c r="AV3702">
        <v>80.23</v>
      </c>
      <c r="AX3702" s="1">
        <v>2968.78</v>
      </c>
      <c r="AY3702" t="s">
        <v>543</v>
      </c>
      <c r="AZ3702" t="s">
        <v>504</v>
      </c>
      <c r="BA3702" t="s">
        <v>218</v>
      </c>
      <c r="BE3702" s="3">
        <v>41759</v>
      </c>
      <c r="BF3702" s="1">
        <v>278281</v>
      </c>
      <c r="BG3702" t="s">
        <v>292</v>
      </c>
      <c r="BH3702" s="1">
        <v>93.23</v>
      </c>
      <c r="BI3702" s="1">
        <v>278281</v>
      </c>
      <c r="BJ3702" s="3">
        <v>41759</v>
      </c>
      <c r="BK3702" t="s">
        <v>123</v>
      </c>
      <c r="BL3702" t="str">
        <f>"2014.281240"</f>
        <v>2014.281240</v>
      </c>
      <c r="BM3702" t="s">
        <v>2716</v>
      </c>
      <c r="BO3702" t="s">
        <v>23735</v>
      </c>
      <c r="BS3702">
        <v>30</v>
      </c>
      <c r="BW3702" t="str">
        <f>""</f>
        <v/>
      </c>
      <c r="CH3702" t="str">
        <f>""</f>
        <v/>
      </c>
      <c r="CS3702" t="str">
        <f>""</f>
        <v/>
      </c>
    </row>
    <row r="3703" spans="1:97" x14ac:dyDescent="0.25">
      <c r="A3703" t="s">
        <v>15211</v>
      </c>
      <c r="B3703" t="s">
        <v>23736</v>
      </c>
      <c r="C3703" t="s">
        <v>2394</v>
      </c>
      <c r="D3703" t="s">
        <v>23736</v>
      </c>
      <c r="E3703" t="s">
        <v>23737</v>
      </c>
      <c r="F3703" t="s">
        <v>108</v>
      </c>
      <c r="H3703" t="s">
        <v>23738</v>
      </c>
      <c r="I3703" t="s">
        <v>390</v>
      </c>
      <c r="J3703" t="s">
        <v>111</v>
      </c>
      <c r="K3703" t="str">
        <f>"85083"</f>
        <v>85083</v>
      </c>
      <c r="L3703" t="s">
        <v>5743</v>
      </c>
      <c r="M3703" t="s">
        <v>23738</v>
      </c>
      <c r="N3703" t="s">
        <v>390</v>
      </c>
      <c r="O3703" t="s">
        <v>111</v>
      </c>
      <c r="P3703" t="str">
        <f>"85083-1858"</f>
        <v>85083-1858</v>
      </c>
      <c r="Q3703" t="s">
        <v>113</v>
      </c>
      <c r="R3703" t="str">
        <f>"201-38-773"</f>
        <v>201-38-773</v>
      </c>
      <c r="S3703" t="s">
        <v>7771</v>
      </c>
      <c r="U3703">
        <v>1816</v>
      </c>
      <c r="V3703">
        <v>0</v>
      </c>
      <c r="W3703">
        <v>3</v>
      </c>
      <c r="X3703">
        <v>2006</v>
      </c>
      <c r="Z3703">
        <v>1</v>
      </c>
      <c r="AB3703">
        <v>0</v>
      </c>
      <c r="AC3703" t="s">
        <v>115</v>
      </c>
      <c r="AD3703">
        <v>2</v>
      </c>
      <c r="AE3703" t="s">
        <v>115</v>
      </c>
      <c r="AF3703">
        <v>0</v>
      </c>
      <c r="AG3703">
        <v>0</v>
      </c>
      <c r="AH3703" t="s">
        <v>116</v>
      </c>
      <c r="AI3703" s="1">
        <v>65423</v>
      </c>
      <c r="AJ3703" s="2">
        <v>0.19</v>
      </c>
      <c r="AK3703" s="1">
        <v>340173</v>
      </c>
      <c r="AL3703" t="s">
        <v>117</v>
      </c>
      <c r="AM3703" t="s">
        <v>191</v>
      </c>
      <c r="AN3703">
        <v>7162</v>
      </c>
      <c r="AO3703">
        <v>0.16</v>
      </c>
      <c r="AR3703">
        <v>1</v>
      </c>
      <c r="AS3703" s="1">
        <v>23730</v>
      </c>
      <c r="AT3703" s="1">
        <v>4740</v>
      </c>
      <c r="AU3703" s="1">
        <v>18990</v>
      </c>
      <c r="AV3703">
        <v>80.03</v>
      </c>
      <c r="AX3703" s="1">
        <v>2155.62</v>
      </c>
      <c r="AY3703" t="s">
        <v>5125</v>
      </c>
      <c r="AZ3703" t="s">
        <v>3049</v>
      </c>
      <c r="BA3703" t="s">
        <v>1386</v>
      </c>
      <c r="BE3703" s="3">
        <v>41849</v>
      </c>
      <c r="BF3703" s="1">
        <v>269000</v>
      </c>
      <c r="BG3703" t="s">
        <v>23739</v>
      </c>
      <c r="BH3703" s="1">
        <v>148.13</v>
      </c>
      <c r="BI3703" s="1">
        <v>274750</v>
      </c>
      <c r="BJ3703" s="3">
        <v>41849</v>
      </c>
      <c r="BK3703" t="s">
        <v>123</v>
      </c>
      <c r="BL3703" t="str">
        <f>"2014.495192"</f>
        <v>2014.495192</v>
      </c>
      <c r="BM3703" t="s">
        <v>124</v>
      </c>
      <c r="BO3703" t="s">
        <v>23740</v>
      </c>
      <c r="BS3703">
        <v>30</v>
      </c>
      <c r="BW3703" t="str">
        <f>""</f>
        <v/>
      </c>
      <c r="CH3703" t="str">
        <f>""</f>
        <v/>
      </c>
      <c r="CS3703" t="str">
        <f>""</f>
        <v/>
      </c>
    </row>
    <row r="3704" spans="1:97" x14ac:dyDescent="0.25">
      <c r="A3704" t="s">
        <v>1187</v>
      </c>
      <c r="B3704" t="s">
        <v>5225</v>
      </c>
      <c r="C3704" t="s">
        <v>1057</v>
      </c>
      <c r="D3704" t="s">
        <v>5225</v>
      </c>
      <c r="E3704" t="s">
        <v>23741</v>
      </c>
      <c r="F3704" t="s">
        <v>108</v>
      </c>
      <c r="H3704" t="s">
        <v>23742</v>
      </c>
      <c r="I3704" t="s">
        <v>632</v>
      </c>
      <c r="J3704" t="s">
        <v>111</v>
      </c>
      <c r="K3704" t="str">
        <f>"85379"</f>
        <v>85379</v>
      </c>
      <c r="L3704" t="s">
        <v>7243</v>
      </c>
      <c r="M3704" t="s">
        <v>23742</v>
      </c>
      <c r="N3704" t="s">
        <v>632</v>
      </c>
      <c r="O3704" t="s">
        <v>111</v>
      </c>
      <c r="P3704" t="str">
        <f>"85379-8600"</f>
        <v>85379-8600</v>
      </c>
      <c r="Q3704" t="s">
        <v>113</v>
      </c>
      <c r="R3704" t="str">
        <f>"509-17-526"</f>
        <v>509-17-526</v>
      </c>
      <c r="S3704" t="s">
        <v>10371</v>
      </c>
      <c r="U3704">
        <v>3675</v>
      </c>
      <c r="V3704">
        <v>0</v>
      </c>
      <c r="W3704">
        <v>4</v>
      </c>
      <c r="X3704">
        <v>2005</v>
      </c>
      <c r="Z3704">
        <v>2</v>
      </c>
      <c r="AA3704" t="s">
        <v>26</v>
      </c>
      <c r="AB3704">
        <v>0</v>
      </c>
      <c r="AC3704" t="s">
        <v>115</v>
      </c>
      <c r="AD3704">
        <v>3</v>
      </c>
      <c r="AE3704" t="s">
        <v>115</v>
      </c>
      <c r="AF3704">
        <v>0</v>
      </c>
      <c r="AG3704">
        <v>0</v>
      </c>
      <c r="AH3704" t="s">
        <v>116</v>
      </c>
      <c r="AI3704" s="1">
        <v>72690</v>
      </c>
      <c r="AJ3704" s="2">
        <v>0.2</v>
      </c>
      <c r="AK3704" s="1">
        <v>371690</v>
      </c>
      <c r="AL3704" t="s">
        <v>117</v>
      </c>
      <c r="AM3704" t="s">
        <v>118</v>
      </c>
      <c r="AN3704">
        <v>11844</v>
      </c>
      <c r="AO3704">
        <v>0.27</v>
      </c>
      <c r="AR3704">
        <v>1</v>
      </c>
      <c r="AS3704" s="1">
        <v>28260</v>
      </c>
      <c r="AT3704" s="1">
        <v>5650</v>
      </c>
      <c r="AU3704" s="1">
        <v>22610</v>
      </c>
      <c r="AV3704">
        <v>80.010000000000005</v>
      </c>
      <c r="AX3704" s="1">
        <v>2119.62</v>
      </c>
      <c r="AY3704" t="s">
        <v>5818</v>
      </c>
      <c r="AZ3704" t="s">
        <v>5818</v>
      </c>
      <c r="BA3704" t="s">
        <v>321</v>
      </c>
      <c r="BE3704" s="3">
        <v>42524</v>
      </c>
      <c r="BF3704" s="1">
        <v>299000</v>
      </c>
      <c r="BG3704" t="s">
        <v>23743</v>
      </c>
      <c r="BH3704" s="1">
        <v>81.36</v>
      </c>
      <c r="BI3704" s="1">
        <v>299000</v>
      </c>
      <c r="BJ3704" s="3">
        <v>42524</v>
      </c>
      <c r="BK3704" t="s">
        <v>123</v>
      </c>
      <c r="BL3704" t="str">
        <f>"2016.387055"</f>
        <v>2016.387055</v>
      </c>
      <c r="BM3704" t="s">
        <v>3611</v>
      </c>
      <c r="BO3704" t="s">
        <v>23744</v>
      </c>
      <c r="BS3704">
        <v>30</v>
      </c>
      <c r="BW3704" t="str">
        <f>""</f>
        <v/>
      </c>
      <c r="CH3704" t="str">
        <f>""</f>
        <v/>
      </c>
      <c r="CS3704" t="str">
        <f>""</f>
        <v/>
      </c>
    </row>
    <row r="3705" spans="1:97" x14ac:dyDescent="0.25">
      <c r="A3705" t="s">
        <v>2915</v>
      </c>
      <c r="B3705" t="s">
        <v>3265</v>
      </c>
      <c r="E3705" t="s">
        <v>23745</v>
      </c>
      <c r="F3705" t="s">
        <v>108</v>
      </c>
      <c r="H3705" t="s">
        <v>23746</v>
      </c>
      <c r="I3705" t="s">
        <v>453</v>
      </c>
      <c r="J3705" t="s">
        <v>111</v>
      </c>
      <c r="K3705" t="str">
        <f>"85383"</f>
        <v>85383</v>
      </c>
      <c r="L3705" t="s">
        <v>5893</v>
      </c>
      <c r="M3705" t="s">
        <v>23746</v>
      </c>
      <c r="N3705" t="s">
        <v>453</v>
      </c>
      <c r="O3705" t="s">
        <v>111</v>
      </c>
      <c r="P3705" t="str">
        <f>"85383-3400"</f>
        <v>85383-3400</v>
      </c>
      <c r="R3705" t="str">
        <f>"503-89-374"</f>
        <v>503-89-374</v>
      </c>
      <c r="S3705" t="s">
        <v>15768</v>
      </c>
      <c r="T3705" t="s">
        <v>15769</v>
      </c>
      <c r="U3705">
        <v>2162</v>
      </c>
      <c r="V3705">
        <v>0</v>
      </c>
      <c r="W3705">
        <v>3</v>
      </c>
      <c r="X3705">
        <v>2004</v>
      </c>
      <c r="Z3705">
        <v>1</v>
      </c>
      <c r="AA3705" t="s">
        <v>26</v>
      </c>
      <c r="AB3705">
        <v>0</v>
      </c>
      <c r="AC3705" t="s">
        <v>115</v>
      </c>
      <c r="AD3705">
        <v>3</v>
      </c>
      <c r="AE3705" t="s">
        <v>115</v>
      </c>
      <c r="AF3705">
        <v>0</v>
      </c>
      <c r="AG3705">
        <v>0</v>
      </c>
      <c r="AH3705" t="s">
        <v>116</v>
      </c>
      <c r="AI3705" s="1">
        <v>75289</v>
      </c>
      <c r="AJ3705" s="2">
        <v>0.22</v>
      </c>
      <c r="AK3705" s="1">
        <v>345440</v>
      </c>
      <c r="AL3705" t="s">
        <v>117</v>
      </c>
      <c r="AM3705" t="s">
        <v>118</v>
      </c>
      <c r="AN3705">
        <v>7419</v>
      </c>
      <c r="AO3705">
        <v>0.17</v>
      </c>
      <c r="AR3705">
        <v>1</v>
      </c>
      <c r="AS3705" s="1">
        <v>24470</v>
      </c>
      <c r="AT3705" s="1">
        <v>4890</v>
      </c>
      <c r="AU3705" s="1">
        <v>19580</v>
      </c>
      <c r="AV3705">
        <v>80.02</v>
      </c>
      <c r="AX3705" s="1">
        <v>2374.96</v>
      </c>
      <c r="AY3705" t="s">
        <v>627</v>
      </c>
      <c r="AZ3705" t="s">
        <v>627</v>
      </c>
      <c r="BA3705" t="s">
        <v>457</v>
      </c>
      <c r="BE3705" s="3">
        <v>41894</v>
      </c>
      <c r="BF3705" s="1">
        <v>235000</v>
      </c>
      <c r="BG3705" t="s">
        <v>23747</v>
      </c>
      <c r="BH3705" s="1">
        <v>108.7</v>
      </c>
      <c r="BI3705" s="1">
        <v>241751</v>
      </c>
      <c r="BJ3705" s="3">
        <v>42109</v>
      </c>
      <c r="BK3705" t="s">
        <v>123</v>
      </c>
      <c r="BL3705" t="str">
        <f>"2015.255949"</f>
        <v>2015.255949</v>
      </c>
      <c r="BM3705" t="s">
        <v>6761</v>
      </c>
      <c r="BN3705" t="s">
        <v>23748</v>
      </c>
      <c r="BO3705" t="s">
        <v>23749</v>
      </c>
      <c r="BS3705">
        <v>30</v>
      </c>
      <c r="BT3705" s="1">
        <v>28400</v>
      </c>
      <c r="BU3705" s="3">
        <v>43707</v>
      </c>
      <c r="BV3705" t="s">
        <v>134</v>
      </c>
      <c r="BW3705" t="str">
        <f>"2019.676231"</f>
        <v>2019.676231</v>
      </c>
      <c r="BX3705" t="s">
        <v>3538</v>
      </c>
      <c r="BY3705" t="s">
        <v>3539</v>
      </c>
      <c r="BZ3705" t="s">
        <v>23750</v>
      </c>
      <c r="CC3705" t="s">
        <v>139</v>
      </c>
      <c r="CH3705" t="str">
        <f>""</f>
        <v/>
      </c>
      <c r="CS3705" t="str">
        <f>""</f>
        <v/>
      </c>
    </row>
    <row r="3706" spans="1:97" x14ac:dyDescent="0.25">
      <c r="B3706" t="s">
        <v>23751</v>
      </c>
      <c r="E3706" t="s">
        <v>23752</v>
      </c>
      <c r="F3706" t="s">
        <v>108</v>
      </c>
      <c r="H3706" t="s">
        <v>23753</v>
      </c>
      <c r="I3706" t="s">
        <v>1397</v>
      </c>
      <c r="J3706" t="s">
        <v>111</v>
      </c>
      <c r="K3706" t="str">
        <f>"85331"</f>
        <v>85331</v>
      </c>
      <c r="L3706" t="s">
        <v>5009</v>
      </c>
      <c r="M3706" t="s">
        <v>23753</v>
      </c>
      <c r="N3706" t="s">
        <v>1397</v>
      </c>
      <c r="O3706" t="s">
        <v>111</v>
      </c>
      <c r="P3706" t="str">
        <f>"85331-3602"</f>
        <v>85331-3602</v>
      </c>
      <c r="Q3706" t="s">
        <v>113</v>
      </c>
      <c r="R3706" t="str">
        <f>"212-18-158"</f>
        <v>212-18-158</v>
      </c>
      <c r="S3706" t="s">
        <v>23754</v>
      </c>
      <c r="T3706" t="s">
        <v>23754</v>
      </c>
      <c r="U3706">
        <v>2544</v>
      </c>
      <c r="V3706">
        <v>0</v>
      </c>
      <c r="W3706">
        <v>3</v>
      </c>
      <c r="X3706">
        <v>2000</v>
      </c>
      <c r="Z3706">
        <v>1</v>
      </c>
      <c r="AA3706" t="s">
        <v>26</v>
      </c>
      <c r="AB3706">
        <v>0</v>
      </c>
      <c r="AC3706" t="s">
        <v>115</v>
      </c>
      <c r="AD3706">
        <v>2</v>
      </c>
      <c r="AE3706" t="s">
        <v>115</v>
      </c>
      <c r="AF3706">
        <v>0</v>
      </c>
      <c r="AG3706">
        <v>0</v>
      </c>
      <c r="AH3706" t="s">
        <v>116</v>
      </c>
      <c r="AI3706" s="1">
        <v>116788</v>
      </c>
      <c r="AJ3706" s="2">
        <v>0.23</v>
      </c>
      <c r="AK3706" s="1">
        <v>516978</v>
      </c>
      <c r="AL3706" t="s">
        <v>117</v>
      </c>
      <c r="AM3706" t="s">
        <v>616</v>
      </c>
      <c r="AN3706">
        <v>8050</v>
      </c>
      <c r="AO3706">
        <v>0.18</v>
      </c>
      <c r="AP3706">
        <v>1</v>
      </c>
      <c r="AR3706">
        <v>1</v>
      </c>
      <c r="AS3706" s="1">
        <v>36480</v>
      </c>
      <c r="AT3706" s="1">
        <v>7290</v>
      </c>
      <c r="AU3706" s="1">
        <v>29190</v>
      </c>
      <c r="AV3706">
        <v>80.02</v>
      </c>
      <c r="AX3706" s="1">
        <v>2394.36</v>
      </c>
      <c r="AY3706" t="s">
        <v>6361</v>
      </c>
      <c r="AZ3706" t="s">
        <v>1402</v>
      </c>
      <c r="BA3706" t="s">
        <v>1403</v>
      </c>
      <c r="BB3706" s="3">
        <v>43273</v>
      </c>
      <c r="BC3706" s="1">
        <v>0</v>
      </c>
      <c r="BD3706" t="s">
        <v>247</v>
      </c>
      <c r="BE3706" s="3">
        <v>41893</v>
      </c>
      <c r="BF3706" s="1">
        <v>465000</v>
      </c>
      <c r="BG3706" t="s">
        <v>23755</v>
      </c>
      <c r="BH3706" s="1">
        <v>182.78</v>
      </c>
      <c r="BI3706" s="1">
        <v>400190</v>
      </c>
      <c r="BJ3706" s="3">
        <v>41893</v>
      </c>
      <c r="BK3706" t="s">
        <v>123</v>
      </c>
      <c r="BL3706" t="str">
        <f>"2014.600529"</f>
        <v>2014.600529</v>
      </c>
      <c r="BM3706" t="s">
        <v>5253</v>
      </c>
      <c r="BN3706" t="s">
        <v>14934</v>
      </c>
      <c r="BO3706" t="s">
        <v>23756</v>
      </c>
      <c r="BS3706">
        <v>30</v>
      </c>
      <c r="BW3706" t="str">
        <f>""</f>
        <v/>
      </c>
      <c r="CH3706" t="str">
        <f>""</f>
        <v/>
      </c>
      <c r="CS3706" t="str">
        <f>""</f>
        <v/>
      </c>
    </row>
    <row r="3707" spans="1:97" x14ac:dyDescent="0.25">
      <c r="A3707" t="s">
        <v>23757</v>
      </c>
      <c r="B3707" t="s">
        <v>23758</v>
      </c>
      <c r="C3707" t="s">
        <v>1021</v>
      </c>
      <c r="D3707" t="s">
        <v>23758</v>
      </c>
      <c r="E3707" t="s">
        <v>23759</v>
      </c>
      <c r="F3707" t="s">
        <v>108</v>
      </c>
      <c r="H3707" t="s">
        <v>23760</v>
      </c>
      <c r="I3707" t="s">
        <v>390</v>
      </c>
      <c r="J3707" t="s">
        <v>111</v>
      </c>
      <c r="K3707" t="str">
        <f>"85083"</f>
        <v>85083</v>
      </c>
      <c r="L3707" t="s">
        <v>7147</v>
      </c>
      <c r="M3707" t="s">
        <v>23760</v>
      </c>
      <c r="N3707" t="s">
        <v>390</v>
      </c>
      <c r="O3707" t="s">
        <v>111</v>
      </c>
      <c r="P3707" t="str">
        <f>"85083-2237"</f>
        <v>85083-2237</v>
      </c>
      <c r="Q3707" t="s">
        <v>113</v>
      </c>
      <c r="R3707" t="str">
        <f>"205-07-199"</f>
        <v>205-07-199</v>
      </c>
      <c r="S3707" t="s">
        <v>23761</v>
      </c>
      <c r="T3707" t="s">
        <v>23761</v>
      </c>
      <c r="U3707">
        <v>3309</v>
      </c>
      <c r="V3707">
        <v>0</v>
      </c>
      <c r="W3707">
        <v>4</v>
      </c>
      <c r="X3707">
        <v>1994</v>
      </c>
      <c r="Z3707">
        <v>2</v>
      </c>
      <c r="AB3707">
        <v>0</v>
      </c>
      <c r="AC3707" t="s">
        <v>115</v>
      </c>
      <c r="AD3707">
        <v>3</v>
      </c>
      <c r="AE3707" t="s">
        <v>115</v>
      </c>
      <c r="AF3707">
        <v>0</v>
      </c>
      <c r="AG3707">
        <v>0</v>
      </c>
      <c r="AH3707" t="s">
        <v>116</v>
      </c>
      <c r="AI3707" s="1">
        <v>81148</v>
      </c>
      <c r="AJ3707" s="2">
        <v>0.21</v>
      </c>
      <c r="AK3707" s="1">
        <v>390085</v>
      </c>
      <c r="AL3707" t="s">
        <v>117</v>
      </c>
      <c r="AM3707" t="s">
        <v>1302</v>
      </c>
      <c r="AN3707">
        <v>10210</v>
      </c>
      <c r="AO3707">
        <v>0.23</v>
      </c>
      <c r="AP3707">
        <v>1</v>
      </c>
      <c r="AR3707">
        <v>1</v>
      </c>
      <c r="AS3707" s="1">
        <v>28460</v>
      </c>
      <c r="AT3707" s="1">
        <v>5690</v>
      </c>
      <c r="AU3707" s="1">
        <v>22770</v>
      </c>
      <c r="AV3707">
        <v>80.010000000000005</v>
      </c>
      <c r="AX3707" s="1">
        <v>2556.38</v>
      </c>
      <c r="AY3707" t="s">
        <v>3522</v>
      </c>
      <c r="AZ3707" t="s">
        <v>3522</v>
      </c>
      <c r="BA3707" t="s">
        <v>1386</v>
      </c>
      <c r="BB3707" s="3">
        <v>42206</v>
      </c>
      <c r="BC3707" s="1">
        <v>317250</v>
      </c>
      <c r="BD3707" t="s">
        <v>842</v>
      </c>
      <c r="BE3707" s="3">
        <v>42167</v>
      </c>
      <c r="BF3707" s="1">
        <v>317250</v>
      </c>
      <c r="BG3707" t="s">
        <v>23762</v>
      </c>
      <c r="BH3707" s="1">
        <v>95.87</v>
      </c>
      <c r="BI3707" s="1">
        <v>308937</v>
      </c>
      <c r="BJ3707" s="3">
        <v>42676</v>
      </c>
      <c r="BK3707" t="s">
        <v>123</v>
      </c>
      <c r="BL3707" t="str">
        <f>"2016.808764"</f>
        <v>2016.808764</v>
      </c>
      <c r="BM3707" t="s">
        <v>1493</v>
      </c>
      <c r="BO3707" t="s">
        <v>23763</v>
      </c>
      <c r="BS3707">
        <v>30</v>
      </c>
      <c r="BW3707" t="str">
        <f>""</f>
        <v/>
      </c>
      <c r="CH3707" t="str">
        <f>""</f>
        <v/>
      </c>
      <c r="CS3707" t="str">
        <f>""</f>
        <v/>
      </c>
    </row>
    <row r="3708" spans="1:97" x14ac:dyDescent="0.25">
      <c r="A3708" t="s">
        <v>23764</v>
      </c>
      <c r="B3708" t="s">
        <v>23765</v>
      </c>
      <c r="C3708" t="s">
        <v>11032</v>
      </c>
      <c r="D3708" t="s">
        <v>23765</v>
      </c>
      <c r="E3708" t="s">
        <v>23766</v>
      </c>
      <c r="F3708" t="s">
        <v>108</v>
      </c>
      <c r="H3708" t="s">
        <v>23767</v>
      </c>
      <c r="I3708" t="s">
        <v>203</v>
      </c>
      <c r="J3708" t="s">
        <v>111</v>
      </c>
      <c r="K3708" t="str">
        <f>"85296"</f>
        <v>85296</v>
      </c>
      <c r="L3708" t="s">
        <v>7834</v>
      </c>
      <c r="M3708" t="s">
        <v>23767</v>
      </c>
      <c r="N3708" t="s">
        <v>203</v>
      </c>
      <c r="O3708" t="s">
        <v>111</v>
      </c>
      <c r="P3708" t="str">
        <f>"85296-3744"</f>
        <v>85296-3744</v>
      </c>
      <c r="Q3708" t="s">
        <v>113</v>
      </c>
      <c r="R3708" t="str">
        <f>"304-25-807"</f>
        <v>304-25-807</v>
      </c>
      <c r="S3708" t="s">
        <v>23768</v>
      </c>
      <c r="T3708" t="s">
        <v>12193</v>
      </c>
      <c r="U3708">
        <v>2772</v>
      </c>
      <c r="V3708">
        <v>0</v>
      </c>
      <c r="W3708">
        <v>4</v>
      </c>
      <c r="X3708">
        <v>1998</v>
      </c>
      <c r="Z3708">
        <v>2</v>
      </c>
      <c r="AA3708" t="s">
        <v>26</v>
      </c>
      <c r="AB3708">
        <v>0</v>
      </c>
      <c r="AC3708" t="s">
        <v>115</v>
      </c>
      <c r="AD3708">
        <v>2</v>
      </c>
      <c r="AE3708" t="s">
        <v>115</v>
      </c>
      <c r="AF3708">
        <v>0</v>
      </c>
      <c r="AG3708">
        <v>0</v>
      </c>
      <c r="AH3708" t="s">
        <v>116</v>
      </c>
      <c r="AI3708" s="1">
        <v>88689</v>
      </c>
      <c r="AJ3708" s="2">
        <v>0.21</v>
      </c>
      <c r="AK3708" s="1">
        <v>429939</v>
      </c>
      <c r="AL3708" t="s">
        <v>117</v>
      </c>
      <c r="AM3708" t="s">
        <v>393</v>
      </c>
      <c r="AN3708">
        <v>11191</v>
      </c>
      <c r="AO3708">
        <v>0.26</v>
      </c>
      <c r="AP3708">
        <v>1</v>
      </c>
      <c r="AR3708">
        <v>1</v>
      </c>
      <c r="AS3708" s="1">
        <v>31550</v>
      </c>
      <c r="AT3708" s="1">
        <v>6310</v>
      </c>
      <c r="AU3708" s="1">
        <v>25240</v>
      </c>
      <c r="AV3708">
        <v>80</v>
      </c>
      <c r="AX3708" s="1">
        <v>2254.12</v>
      </c>
      <c r="AY3708" t="s">
        <v>7837</v>
      </c>
      <c r="AZ3708" t="s">
        <v>207</v>
      </c>
      <c r="BA3708" t="s">
        <v>208</v>
      </c>
      <c r="BE3708" s="3">
        <v>41871</v>
      </c>
      <c r="BF3708" s="1">
        <v>340000</v>
      </c>
      <c r="BG3708" t="s">
        <v>23769</v>
      </c>
      <c r="BH3708" s="1">
        <v>122.66</v>
      </c>
      <c r="BI3708" s="1">
        <v>341250</v>
      </c>
      <c r="BJ3708" s="3">
        <v>42152</v>
      </c>
      <c r="BK3708" t="s">
        <v>123</v>
      </c>
      <c r="BL3708" t="str">
        <f>"2015.375183"</f>
        <v>2015.375183</v>
      </c>
      <c r="BM3708" t="s">
        <v>322</v>
      </c>
      <c r="BO3708" t="s">
        <v>23770</v>
      </c>
      <c r="BS3708">
        <v>30</v>
      </c>
      <c r="BW3708" t="str">
        <f>""</f>
        <v/>
      </c>
      <c r="CH3708" t="str">
        <f>""</f>
        <v/>
      </c>
      <c r="CS3708" t="str">
        <f>""</f>
        <v/>
      </c>
    </row>
    <row r="3709" spans="1:97" x14ac:dyDescent="0.25">
      <c r="A3709" t="s">
        <v>17886</v>
      </c>
      <c r="B3709" t="s">
        <v>23771</v>
      </c>
      <c r="C3709" t="s">
        <v>23772</v>
      </c>
      <c r="D3709" t="s">
        <v>23771</v>
      </c>
      <c r="E3709" t="s">
        <v>23773</v>
      </c>
      <c r="F3709" t="s">
        <v>108</v>
      </c>
      <c r="H3709" t="s">
        <v>23774</v>
      </c>
      <c r="I3709" t="s">
        <v>1397</v>
      </c>
      <c r="J3709" t="s">
        <v>111</v>
      </c>
      <c r="K3709" t="str">
        <f>"85331"</f>
        <v>85331</v>
      </c>
      <c r="L3709" t="s">
        <v>14190</v>
      </c>
      <c r="M3709" t="s">
        <v>23774</v>
      </c>
      <c r="N3709" t="s">
        <v>1397</v>
      </c>
      <c r="O3709" t="s">
        <v>111</v>
      </c>
      <c r="P3709" t="str">
        <f>"85331-1574"</f>
        <v>85331-1574</v>
      </c>
      <c r="Q3709" t="s">
        <v>113</v>
      </c>
      <c r="R3709" t="str">
        <f>"211-48-494"</f>
        <v>211-48-494</v>
      </c>
      <c r="S3709" t="s">
        <v>5959</v>
      </c>
      <c r="U3709">
        <v>3313</v>
      </c>
      <c r="V3709">
        <v>0</v>
      </c>
      <c r="W3709">
        <v>6</v>
      </c>
      <c r="X3709">
        <v>2013</v>
      </c>
      <c r="Z3709">
        <v>2</v>
      </c>
      <c r="AA3709" t="s">
        <v>26</v>
      </c>
      <c r="AB3709">
        <v>0</v>
      </c>
      <c r="AC3709" t="s">
        <v>115</v>
      </c>
      <c r="AD3709">
        <v>3</v>
      </c>
      <c r="AE3709" t="s">
        <v>115</v>
      </c>
      <c r="AF3709">
        <v>0</v>
      </c>
      <c r="AG3709">
        <v>0</v>
      </c>
      <c r="AH3709" t="s">
        <v>116</v>
      </c>
      <c r="AI3709" s="1">
        <v>118713</v>
      </c>
      <c r="AJ3709" s="2">
        <v>0.19</v>
      </c>
      <c r="AK3709" s="1">
        <v>628513</v>
      </c>
      <c r="AL3709" t="s">
        <v>117</v>
      </c>
      <c r="AM3709" t="s">
        <v>3973</v>
      </c>
      <c r="AN3709">
        <v>8343</v>
      </c>
      <c r="AO3709">
        <v>0.19</v>
      </c>
      <c r="AR3709">
        <v>1</v>
      </c>
      <c r="AS3709" s="1">
        <v>52000</v>
      </c>
      <c r="AT3709" s="1">
        <v>10400</v>
      </c>
      <c r="AU3709" s="1">
        <v>41600</v>
      </c>
      <c r="AV3709">
        <v>80</v>
      </c>
      <c r="AX3709" s="1">
        <v>2939.56</v>
      </c>
      <c r="AY3709" t="s">
        <v>1401</v>
      </c>
      <c r="AZ3709" t="s">
        <v>1402</v>
      </c>
      <c r="BA3709" t="s">
        <v>1403</v>
      </c>
      <c r="BE3709" s="3">
        <v>41710</v>
      </c>
      <c r="BF3709" s="1">
        <v>493094</v>
      </c>
      <c r="BG3709" t="s">
        <v>446</v>
      </c>
      <c r="BH3709" s="1">
        <v>148.84</v>
      </c>
      <c r="BI3709" s="1">
        <v>459800</v>
      </c>
      <c r="BJ3709" s="3">
        <v>42657</v>
      </c>
      <c r="BK3709" t="s">
        <v>123</v>
      </c>
      <c r="BL3709" t="str">
        <f>"2016.753537"</f>
        <v>2016.753537</v>
      </c>
      <c r="BM3709" t="s">
        <v>724</v>
      </c>
      <c r="BO3709" t="s">
        <v>23775</v>
      </c>
      <c r="BS3709">
        <v>30</v>
      </c>
      <c r="BT3709" s="1">
        <v>50000</v>
      </c>
      <c r="BU3709" s="3">
        <v>41766</v>
      </c>
      <c r="BV3709" t="s">
        <v>134</v>
      </c>
      <c r="BW3709" t="str">
        <f>"2014.297381"</f>
        <v>2014.297381</v>
      </c>
      <c r="BX3709" t="s">
        <v>198</v>
      </c>
      <c r="BZ3709" t="s">
        <v>23775</v>
      </c>
      <c r="CD3709">
        <v>15</v>
      </c>
      <c r="CH3709" t="str">
        <f>""</f>
        <v/>
      </c>
      <c r="CS3709" t="str">
        <f>""</f>
        <v/>
      </c>
    </row>
    <row r="3710" spans="1:97" x14ac:dyDescent="0.25">
      <c r="B3710" t="s">
        <v>23776</v>
      </c>
      <c r="E3710" t="s">
        <v>23776</v>
      </c>
      <c r="F3710" t="s">
        <v>108</v>
      </c>
      <c r="H3710" t="s">
        <v>23777</v>
      </c>
      <c r="I3710" t="s">
        <v>203</v>
      </c>
      <c r="J3710" t="s">
        <v>111</v>
      </c>
      <c r="K3710" t="str">
        <f>"85298"</f>
        <v>85298</v>
      </c>
      <c r="L3710" t="s">
        <v>2211</v>
      </c>
      <c r="M3710" t="s">
        <v>23777</v>
      </c>
      <c r="N3710" t="s">
        <v>203</v>
      </c>
      <c r="O3710" t="s">
        <v>111</v>
      </c>
      <c r="P3710" t="str">
        <f>"85298-2300"</f>
        <v>85298-2300</v>
      </c>
      <c r="Q3710" t="s">
        <v>113</v>
      </c>
      <c r="R3710" t="str">
        <f>"304-81-687"</f>
        <v>304-81-687</v>
      </c>
      <c r="S3710" t="s">
        <v>7566</v>
      </c>
      <c r="T3710" t="s">
        <v>2213</v>
      </c>
      <c r="U3710">
        <v>2890</v>
      </c>
      <c r="V3710">
        <v>0</v>
      </c>
      <c r="W3710">
        <v>4</v>
      </c>
      <c r="X3710">
        <v>2013</v>
      </c>
      <c r="Z3710">
        <v>1</v>
      </c>
      <c r="AB3710">
        <v>0</v>
      </c>
      <c r="AC3710" t="s">
        <v>115</v>
      </c>
      <c r="AD3710">
        <v>2</v>
      </c>
      <c r="AE3710" t="s">
        <v>115</v>
      </c>
      <c r="AF3710">
        <v>0</v>
      </c>
      <c r="AG3710">
        <v>0</v>
      </c>
      <c r="AH3710" t="s">
        <v>116</v>
      </c>
      <c r="AI3710" s="1">
        <v>32755</v>
      </c>
      <c r="AJ3710" s="2">
        <v>7.0000000000000007E-2</v>
      </c>
      <c r="AK3710" s="1">
        <v>460192</v>
      </c>
      <c r="AL3710" t="s">
        <v>117</v>
      </c>
      <c r="AM3710" t="s">
        <v>393</v>
      </c>
      <c r="AN3710">
        <v>8400</v>
      </c>
      <c r="AO3710">
        <v>0.19</v>
      </c>
      <c r="AR3710">
        <v>1</v>
      </c>
      <c r="AS3710" s="1">
        <v>33150</v>
      </c>
      <c r="AT3710" s="1">
        <v>6630</v>
      </c>
      <c r="AU3710" s="1">
        <v>26520</v>
      </c>
      <c r="AV3710">
        <v>80</v>
      </c>
      <c r="AX3710" s="1">
        <v>2745.46</v>
      </c>
      <c r="AY3710" t="s">
        <v>2214</v>
      </c>
      <c r="AZ3710" t="s">
        <v>1134</v>
      </c>
      <c r="BA3710" t="s">
        <v>1134</v>
      </c>
      <c r="BB3710" s="3">
        <v>42412</v>
      </c>
      <c r="BD3710" t="s">
        <v>458</v>
      </c>
      <c r="BE3710" s="3">
        <v>41690</v>
      </c>
      <c r="BF3710" s="1">
        <v>437310</v>
      </c>
      <c r="BG3710" t="s">
        <v>474</v>
      </c>
      <c r="BH3710" s="1">
        <v>151.32</v>
      </c>
      <c r="BI3710" s="1">
        <v>427437</v>
      </c>
      <c r="BJ3710" s="3">
        <v>42144</v>
      </c>
      <c r="BK3710" t="s">
        <v>123</v>
      </c>
      <c r="BL3710" t="str">
        <f>"2015.354087"</f>
        <v>2015.354087</v>
      </c>
      <c r="BM3710" t="s">
        <v>402</v>
      </c>
      <c r="BO3710" t="s">
        <v>23778</v>
      </c>
      <c r="BS3710">
        <v>30</v>
      </c>
      <c r="BW3710" t="str">
        <f>""</f>
        <v/>
      </c>
      <c r="CH3710" t="str">
        <f>""</f>
        <v/>
      </c>
      <c r="CS3710" t="str">
        <f>""</f>
        <v/>
      </c>
    </row>
    <row r="3711" spans="1:97" x14ac:dyDescent="0.25">
      <c r="A3711" t="s">
        <v>23779</v>
      </c>
      <c r="B3711" t="s">
        <v>23780</v>
      </c>
      <c r="C3711" t="s">
        <v>713</v>
      </c>
      <c r="D3711" t="s">
        <v>23780</v>
      </c>
      <c r="E3711" t="s">
        <v>23781</v>
      </c>
      <c r="F3711" t="s">
        <v>108</v>
      </c>
      <c r="H3711" t="s">
        <v>23782</v>
      </c>
      <c r="I3711" t="s">
        <v>203</v>
      </c>
      <c r="J3711" t="s">
        <v>111</v>
      </c>
      <c r="K3711" t="str">
        <f>"85295"</f>
        <v>85295</v>
      </c>
      <c r="L3711" t="s">
        <v>4534</v>
      </c>
      <c r="M3711" t="s">
        <v>23782</v>
      </c>
      <c r="N3711" t="s">
        <v>203</v>
      </c>
      <c r="O3711" t="s">
        <v>111</v>
      </c>
      <c r="P3711" t="str">
        <f>"85295-1472"</f>
        <v>85295-1472</v>
      </c>
      <c r="Q3711" t="s">
        <v>113</v>
      </c>
      <c r="R3711" t="str">
        <f>"304-44-548"</f>
        <v>304-44-548</v>
      </c>
      <c r="S3711" t="s">
        <v>8955</v>
      </c>
      <c r="T3711" t="s">
        <v>8956</v>
      </c>
      <c r="U3711">
        <v>2539</v>
      </c>
      <c r="V3711">
        <v>0</v>
      </c>
      <c r="W3711">
        <v>3</v>
      </c>
      <c r="X3711">
        <v>2002</v>
      </c>
      <c r="Z3711">
        <v>1</v>
      </c>
      <c r="AA3711" t="s">
        <v>26</v>
      </c>
      <c r="AB3711">
        <v>0</v>
      </c>
      <c r="AC3711" t="s">
        <v>115</v>
      </c>
      <c r="AD3711">
        <v>3</v>
      </c>
      <c r="AE3711" t="s">
        <v>115</v>
      </c>
      <c r="AF3711">
        <v>0</v>
      </c>
      <c r="AG3711">
        <v>0</v>
      </c>
      <c r="AH3711" t="s">
        <v>116</v>
      </c>
      <c r="AI3711" s="1">
        <v>85520</v>
      </c>
      <c r="AJ3711" s="2">
        <v>0.19</v>
      </c>
      <c r="AK3711" s="1">
        <v>443232</v>
      </c>
      <c r="AL3711" t="s">
        <v>117</v>
      </c>
      <c r="AM3711" t="s">
        <v>1302</v>
      </c>
      <c r="AN3711">
        <v>10200</v>
      </c>
      <c r="AO3711">
        <v>0.23</v>
      </c>
      <c r="AP3711">
        <v>1</v>
      </c>
      <c r="AR3711">
        <v>1</v>
      </c>
      <c r="AS3711" s="1">
        <v>31250</v>
      </c>
      <c r="AT3711" s="1">
        <v>6250</v>
      </c>
      <c r="AU3711" s="1">
        <v>25000</v>
      </c>
      <c r="AV3711">
        <v>80</v>
      </c>
      <c r="AX3711" s="1">
        <v>2378.7399999999998</v>
      </c>
      <c r="AY3711" t="s">
        <v>206</v>
      </c>
      <c r="AZ3711" t="s">
        <v>207</v>
      </c>
      <c r="BA3711" t="s">
        <v>208</v>
      </c>
      <c r="BB3711" s="3">
        <v>41731</v>
      </c>
      <c r="BD3711" t="s">
        <v>240</v>
      </c>
      <c r="BE3711" s="3">
        <v>41661</v>
      </c>
      <c r="BF3711" s="1">
        <v>350000</v>
      </c>
      <c r="BG3711" t="s">
        <v>23783</v>
      </c>
      <c r="BH3711" s="1">
        <v>137.85</v>
      </c>
      <c r="BI3711" s="1">
        <v>357712</v>
      </c>
      <c r="BJ3711" s="3">
        <v>41942</v>
      </c>
      <c r="BK3711" t="s">
        <v>123</v>
      </c>
      <c r="BL3711" t="str">
        <f>"2014.718558"</f>
        <v>2014.718558</v>
      </c>
      <c r="BM3711" t="s">
        <v>402</v>
      </c>
      <c r="BO3711" t="s">
        <v>23784</v>
      </c>
      <c r="BS3711">
        <v>30</v>
      </c>
      <c r="BW3711" t="str">
        <f>""</f>
        <v/>
      </c>
      <c r="CH3711" t="str">
        <f>""</f>
        <v/>
      </c>
      <c r="CS3711" t="str">
        <f>""</f>
        <v/>
      </c>
    </row>
    <row r="3712" spans="1:97" x14ac:dyDescent="0.25">
      <c r="A3712" t="s">
        <v>23785</v>
      </c>
      <c r="B3712" t="s">
        <v>7643</v>
      </c>
      <c r="C3712" t="s">
        <v>3282</v>
      </c>
      <c r="D3712" t="s">
        <v>7643</v>
      </c>
      <c r="E3712" t="s">
        <v>23786</v>
      </c>
      <c r="F3712" t="s">
        <v>108</v>
      </c>
      <c r="H3712" t="s">
        <v>23787</v>
      </c>
      <c r="I3712" t="s">
        <v>390</v>
      </c>
      <c r="J3712" t="s">
        <v>111</v>
      </c>
      <c r="K3712" t="str">
        <f>"85045"</f>
        <v>85045</v>
      </c>
      <c r="L3712" t="s">
        <v>8199</v>
      </c>
      <c r="M3712" t="s">
        <v>23787</v>
      </c>
      <c r="N3712" t="s">
        <v>390</v>
      </c>
      <c r="O3712" t="s">
        <v>111</v>
      </c>
      <c r="P3712" t="str">
        <f>"85045-1927"</f>
        <v>85045-1927</v>
      </c>
      <c r="Q3712" t="s">
        <v>113</v>
      </c>
      <c r="R3712" t="str">
        <f>"300-36-607"</f>
        <v>300-36-607</v>
      </c>
      <c r="S3712" t="s">
        <v>23788</v>
      </c>
      <c r="T3712" t="s">
        <v>12613</v>
      </c>
      <c r="U3712">
        <v>1683</v>
      </c>
      <c r="V3712">
        <v>0</v>
      </c>
      <c r="W3712">
        <v>3</v>
      </c>
      <c r="X3712">
        <v>1993</v>
      </c>
      <c r="Z3712">
        <v>1</v>
      </c>
      <c r="AA3712" t="s">
        <v>26</v>
      </c>
      <c r="AB3712">
        <v>0</v>
      </c>
      <c r="AC3712" t="s">
        <v>115</v>
      </c>
      <c r="AD3712">
        <v>2</v>
      </c>
      <c r="AE3712" t="s">
        <v>115</v>
      </c>
      <c r="AF3712">
        <v>0</v>
      </c>
      <c r="AG3712">
        <v>0</v>
      </c>
      <c r="AH3712" t="s">
        <v>116</v>
      </c>
      <c r="AI3712" s="1">
        <v>58888</v>
      </c>
      <c r="AJ3712" s="2">
        <v>0.17</v>
      </c>
      <c r="AK3712" s="1">
        <v>345029</v>
      </c>
      <c r="AL3712" t="s">
        <v>117</v>
      </c>
      <c r="AM3712" t="s">
        <v>191</v>
      </c>
      <c r="AN3712">
        <v>7161</v>
      </c>
      <c r="AO3712">
        <v>0.16</v>
      </c>
      <c r="AP3712">
        <v>1</v>
      </c>
      <c r="AR3712">
        <v>1</v>
      </c>
      <c r="AS3712" s="1">
        <v>25020</v>
      </c>
      <c r="AT3712" s="1">
        <v>5000</v>
      </c>
      <c r="AU3712" s="1">
        <v>20020</v>
      </c>
      <c r="AV3712">
        <v>80.02</v>
      </c>
      <c r="AX3712" s="1">
        <v>2554.54</v>
      </c>
      <c r="AY3712" t="s">
        <v>6202</v>
      </c>
      <c r="AZ3712" t="s">
        <v>2967</v>
      </c>
      <c r="BA3712" t="s">
        <v>930</v>
      </c>
      <c r="BE3712" s="3">
        <v>41850</v>
      </c>
      <c r="BF3712" s="1">
        <v>277000</v>
      </c>
      <c r="BG3712" t="s">
        <v>23789</v>
      </c>
      <c r="BH3712" s="1">
        <v>164.59</v>
      </c>
      <c r="BI3712" s="1">
        <v>286141</v>
      </c>
      <c r="BJ3712" s="3">
        <v>41850</v>
      </c>
      <c r="BK3712" t="s">
        <v>123</v>
      </c>
      <c r="BL3712" t="str">
        <f>"2014.499072"</f>
        <v>2014.499072</v>
      </c>
      <c r="BM3712" t="s">
        <v>5867</v>
      </c>
      <c r="BO3712" t="s">
        <v>23790</v>
      </c>
      <c r="BS3712">
        <v>30</v>
      </c>
      <c r="BW3712" t="str">
        <f>""</f>
        <v/>
      </c>
      <c r="CH3712" t="str">
        <f>""</f>
        <v/>
      </c>
      <c r="CS3712" t="str">
        <f>""</f>
        <v/>
      </c>
    </row>
    <row r="3713" spans="1:97" x14ac:dyDescent="0.25">
      <c r="A3713" t="s">
        <v>7405</v>
      </c>
      <c r="B3713" t="s">
        <v>23791</v>
      </c>
      <c r="C3713" t="s">
        <v>23792</v>
      </c>
      <c r="D3713" t="s">
        <v>23791</v>
      </c>
      <c r="E3713" t="s">
        <v>23793</v>
      </c>
      <c r="F3713" t="s">
        <v>108</v>
      </c>
      <c r="H3713" t="s">
        <v>23794</v>
      </c>
      <c r="I3713" t="s">
        <v>390</v>
      </c>
      <c r="J3713" t="s">
        <v>111</v>
      </c>
      <c r="K3713" t="str">
        <f>"85048"</f>
        <v>85048</v>
      </c>
      <c r="L3713" t="s">
        <v>9069</v>
      </c>
      <c r="M3713" t="s">
        <v>23794</v>
      </c>
      <c r="N3713" t="s">
        <v>390</v>
      </c>
      <c r="O3713" t="s">
        <v>111</v>
      </c>
      <c r="P3713" t="str">
        <f>"85048-7878"</f>
        <v>85048-7878</v>
      </c>
      <c r="Q3713" t="s">
        <v>113</v>
      </c>
      <c r="R3713" t="str">
        <f>"306-02-679-A"</f>
        <v>306-02-679-A</v>
      </c>
      <c r="S3713" t="s">
        <v>18237</v>
      </c>
      <c r="U3713">
        <v>2298</v>
      </c>
      <c r="V3713">
        <v>0</v>
      </c>
      <c r="W3713">
        <v>4</v>
      </c>
      <c r="X3713">
        <v>1988</v>
      </c>
      <c r="Z3713">
        <v>2</v>
      </c>
      <c r="AA3713" t="s">
        <v>26</v>
      </c>
      <c r="AB3713">
        <v>0</v>
      </c>
      <c r="AC3713" t="s">
        <v>115</v>
      </c>
      <c r="AD3713">
        <v>3</v>
      </c>
      <c r="AE3713" t="s">
        <v>115</v>
      </c>
      <c r="AF3713">
        <v>0</v>
      </c>
      <c r="AG3713">
        <v>0</v>
      </c>
      <c r="AH3713" t="s">
        <v>116</v>
      </c>
      <c r="AI3713" s="1">
        <v>69902</v>
      </c>
      <c r="AJ3713" s="2">
        <v>0.17</v>
      </c>
      <c r="AK3713" s="1">
        <v>411401</v>
      </c>
      <c r="AL3713" t="s">
        <v>117</v>
      </c>
      <c r="AM3713" t="s">
        <v>1315</v>
      </c>
      <c r="AN3713">
        <v>6891</v>
      </c>
      <c r="AO3713">
        <v>0.16</v>
      </c>
      <c r="AP3713">
        <v>1</v>
      </c>
      <c r="AR3713">
        <v>1</v>
      </c>
      <c r="AS3713" s="1">
        <v>29470</v>
      </c>
      <c r="AT3713" s="1">
        <v>5890</v>
      </c>
      <c r="AU3713" s="1">
        <v>23580</v>
      </c>
      <c r="AV3713">
        <v>80.010000000000005</v>
      </c>
      <c r="AX3713" s="1">
        <v>2819.48</v>
      </c>
      <c r="AY3713" t="s">
        <v>928</v>
      </c>
      <c r="AZ3713" t="s">
        <v>929</v>
      </c>
      <c r="BA3713" t="s">
        <v>930</v>
      </c>
      <c r="BB3713" s="3">
        <v>42433</v>
      </c>
      <c r="BD3713" t="s">
        <v>240</v>
      </c>
      <c r="BE3713" s="3">
        <v>42433</v>
      </c>
      <c r="BF3713" s="1">
        <v>330000</v>
      </c>
      <c r="BG3713" t="s">
        <v>23795</v>
      </c>
      <c r="BH3713" s="1">
        <v>143.6</v>
      </c>
      <c r="BI3713" s="1">
        <v>341499</v>
      </c>
      <c r="BJ3713" s="3">
        <v>42717</v>
      </c>
      <c r="BK3713" t="s">
        <v>123</v>
      </c>
      <c r="BL3713" t="str">
        <f>"2016.915708"</f>
        <v>2016.915708</v>
      </c>
      <c r="BM3713" t="s">
        <v>1848</v>
      </c>
      <c r="BO3713" t="s">
        <v>23796</v>
      </c>
      <c r="BS3713">
        <v>30</v>
      </c>
      <c r="BW3713" t="str">
        <f>""</f>
        <v/>
      </c>
      <c r="CH3713" t="str">
        <f>""</f>
        <v/>
      </c>
      <c r="CS3713" t="str">
        <f>""</f>
        <v/>
      </c>
    </row>
    <row r="3714" spans="1:97" x14ac:dyDescent="0.25">
      <c r="A3714" t="s">
        <v>243</v>
      </c>
      <c r="B3714" t="s">
        <v>311</v>
      </c>
      <c r="C3714" t="s">
        <v>23797</v>
      </c>
      <c r="D3714" t="s">
        <v>311</v>
      </c>
      <c r="E3714" t="s">
        <v>23798</v>
      </c>
      <c r="F3714" t="s">
        <v>108</v>
      </c>
      <c r="H3714" t="s">
        <v>23799</v>
      </c>
      <c r="I3714" t="s">
        <v>453</v>
      </c>
      <c r="J3714" t="s">
        <v>111</v>
      </c>
      <c r="K3714" t="str">
        <f>"85383"</f>
        <v>85383</v>
      </c>
      <c r="L3714" t="s">
        <v>6416</v>
      </c>
      <c r="M3714" t="s">
        <v>23799</v>
      </c>
      <c r="N3714" t="s">
        <v>453</v>
      </c>
      <c r="O3714" t="s">
        <v>111</v>
      </c>
      <c r="P3714" t="str">
        <f>"85383-7220"</f>
        <v>85383-7220</v>
      </c>
      <c r="Q3714" t="s">
        <v>113</v>
      </c>
      <c r="R3714" t="str">
        <f>"201-09-480"</f>
        <v>201-09-480</v>
      </c>
      <c r="S3714" t="s">
        <v>23800</v>
      </c>
      <c r="T3714" t="s">
        <v>2222</v>
      </c>
      <c r="U3714">
        <v>4457</v>
      </c>
      <c r="V3714">
        <v>0</v>
      </c>
      <c r="W3714">
        <v>6</v>
      </c>
      <c r="X3714">
        <v>1999</v>
      </c>
      <c r="Z3714">
        <v>2</v>
      </c>
      <c r="AA3714" t="s">
        <v>26</v>
      </c>
      <c r="AB3714">
        <v>0</v>
      </c>
      <c r="AC3714" t="s">
        <v>115</v>
      </c>
      <c r="AD3714">
        <v>3</v>
      </c>
      <c r="AE3714" t="s">
        <v>115</v>
      </c>
      <c r="AF3714">
        <v>0</v>
      </c>
      <c r="AG3714">
        <v>0</v>
      </c>
      <c r="AH3714" t="s">
        <v>116</v>
      </c>
      <c r="AI3714" s="1">
        <v>960</v>
      </c>
      <c r="AJ3714" s="2">
        <v>0</v>
      </c>
      <c r="AK3714" s="1">
        <v>404960</v>
      </c>
      <c r="AL3714" t="s">
        <v>117</v>
      </c>
      <c r="AM3714" t="s">
        <v>1302</v>
      </c>
      <c r="AN3714">
        <v>10250</v>
      </c>
      <c r="AO3714">
        <v>0.24</v>
      </c>
      <c r="AP3714">
        <v>1</v>
      </c>
      <c r="AR3714">
        <v>1</v>
      </c>
      <c r="AS3714" s="1">
        <v>37120</v>
      </c>
      <c r="AT3714" s="1">
        <v>7420</v>
      </c>
      <c r="AU3714" s="1">
        <v>29700</v>
      </c>
      <c r="AV3714">
        <v>80.010000000000005</v>
      </c>
      <c r="AX3714" s="1">
        <v>3894.42</v>
      </c>
      <c r="AY3714" t="s">
        <v>1385</v>
      </c>
      <c r="AZ3714" t="s">
        <v>1385</v>
      </c>
      <c r="BA3714" t="s">
        <v>2223</v>
      </c>
      <c r="BE3714" s="3">
        <v>41912</v>
      </c>
      <c r="BF3714" s="1">
        <v>404000</v>
      </c>
      <c r="BG3714" t="s">
        <v>23801</v>
      </c>
      <c r="BH3714" s="1">
        <v>90.64</v>
      </c>
      <c r="BI3714" s="1">
        <v>404000</v>
      </c>
      <c r="BJ3714" s="3">
        <v>41912</v>
      </c>
      <c r="BK3714" t="s">
        <v>123</v>
      </c>
      <c r="BL3714" t="str">
        <f>"2014.648947"</f>
        <v>2014.648947</v>
      </c>
      <c r="BM3714" t="s">
        <v>2716</v>
      </c>
      <c r="BO3714" t="s">
        <v>23802</v>
      </c>
      <c r="BS3714">
        <v>30</v>
      </c>
      <c r="BW3714" t="str">
        <f>""</f>
        <v/>
      </c>
      <c r="CH3714" t="str">
        <f>""</f>
        <v/>
      </c>
      <c r="CS3714" t="str">
        <f>""</f>
        <v/>
      </c>
    </row>
    <row r="3715" spans="1:97" x14ac:dyDescent="0.25">
      <c r="A3715" t="s">
        <v>370</v>
      </c>
      <c r="B3715" t="s">
        <v>3333</v>
      </c>
      <c r="C3715" t="s">
        <v>1340</v>
      </c>
      <c r="D3715" t="s">
        <v>23803</v>
      </c>
      <c r="E3715" t="s">
        <v>23804</v>
      </c>
      <c r="F3715" t="s">
        <v>108</v>
      </c>
      <c r="H3715" t="s">
        <v>23805</v>
      </c>
      <c r="I3715" t="s">
        <v>390</v>
      </c>
      <c r="J3715" t="s">
        <v>111</v>
      </c>
      <c r="K3715" t="str">
        <f>"85032"</f>
        <v>85032</v>
      </c>
      <c r="L3715" t="s">
        <v>6112</v>
      </c>
      <c r="M3715" t="s">
        <v>23805</v>
      </c>
      <c r="N3715" t="s">
        <v>390</v>
      </c>
      <c r="O3715" t="s">
        <v>111</v>
      </c>
      <c r="P3715" t="str">
        <f>"85032-3247"</f>
        <v>85032-3247</v>
      </c>
      <c r="Q3715" t="s">
        <v>113</v>
      </c>
      <c r="R3715" t="str">
        <f>"214-33-135"</f>
        <v>214-33-135</v>
      </c>
      <c r="S3715" t="s">
        <v>23806</v>
      </c>
      <c r="T3715" t="s">
        <v>23807</v>
      </c>
      <c r="U3715">
        <v>2076</v>
      </c>
      <c r="V3715">
        <v>0</v>
      </c>
      <c r="W3715">
        <v>3</v>
      </c>
      <c r="X3715">
        <v>1998</v>
      </c>
      <c r="Z3715">
        <v>1</v>
      </c>
      <c r="AB3715">
        <v>0</v>
      </c>
      <c r="AC3715" t="s">
        <v>115</v>
      </c>
      <c r="AD3715">
        <v>2</v>
      </c>
      <c r="AE3715" t="s">
        <v>115</v>
      </c>
      <c r="AF3715">
        <v>0</v>
      </c>
      <c r="AG3715">
        <v>0</v>
      </c>
      <c r="AH3715" t="s">
        <v>116</v>
      </c>
      <c r="AI3715" s="1">
        <v>19148</v>
      </c>
      <c r="AJ3715" s="2">
        <v>0.06</v>
      </c>
      <c r="AK3715" s="1">
        <v>310275</v>
      </c>
      <c r="AL3715" t="s">
        <v>117</v>
      </c>
      <c r="AM3715" t="s">
        <v>191</v>
      </c>
      <c r="AN3715">
        <v>6390</v>
      </c>
      <c r="AO3715">
        <v>0.15</v>
      </c>
      <c r="AP3715">
        <v>1</v>
      </c>
      <c r="AR3715">
        <v>1</v>
      </c>
      <c r="AS3715" s="1">
        <v>28260</v>
      </c>
      <c r="AT3715" s="1">
        <v>5650</v>
      </c>
      <c r="AU3715" s="1">
        <v>22610</v>
      </c>
      <c r="AV3715">
        <v>80.010000000000005</v>
      </c>
      <c r="AX3715" s="1">
        <v>2172.44</v>
      </c>
      <c r="AY3715" t="s">
        <v>8400</v>
      </c>
      <c r="AZ3715" t="s">
        <v>5231</v>
      </c>
      <c r="BA3715" t="s">
        <v>1318</v>
      </c>
      <c r="BE3715" s="3">
        <v>42282</v>
      </c>
      <c r="BF3715" s="1">
        <v>293000</v>
      </c>
      <c r="BG3715" t="s">
        <v>23808</v>
      </c>
      <c r="BH3715" s="1">
        <v>141.13999999999999</v>
      </c>
      <c r="BI3715" s="1">
        <v>291127</v>
      </c>
      <c r="BJ3715" s="3">
        <v>42282</v>
      </c>
      <c r="BK3715" t="s">
        <v>123</v>
      </c>
      <c r="BL3715" t="str">
        <f>"2015.716206"</f>
        <v>2015.716206</v>
      </c>
      <c r="BM3715" t="s">
        <v>12498</v>
      </c>
      <c r="BO3715" t="s">
        <v>23809</v>
      </c>
      <c r="BP3715" t="s">
        <v>23810</v>
      </c>
      <c r="BS3715">
        <v>30</v>
      </c>
      <c r="BW3715" t="str">
        <f>""</f>
        <v/>
      </c>
      <c r="CH3715" t="str">
        <f>""</f>
        <v/>
      </c>
      <c r="CS3715" t="str">
        <f>""</f>
        <v/>
      </c>
    </row>
    <row r="3716" spans="1:97" x14ac:dyDescent="0.25">
      <c r="A3716" t="s">
        <v>620</v>
      </c>
      <c r="B3716" t="s">
        <v>23811</v>
      </c>
      <c r="C3716" t="s">
        <v>524</v>
      </c>
      <c r="D3716" t="s">
        <v>23811</v>
      </c>
      <c r="E3716" t="s">
        <v>23812</v>
      </c>
      <c r="F3716" t="s">
        <v>108</v>
      </c>
      <c r="H3716" t="s">
        <v>23813</v>
      </c>
      <c r="I3716" t="s">
        <v>225</v>
      </c>
      <c r="J3716" t="s">
        <v>111</v>
      </c>
      <c r="K3716" t="str">
        <f>"85212"</f>
        <v>85212</v>
      </c>
      <c r="L3716" t="s">
        <v>6595</v>
      </c>
      <c r="M3716" t="s">
        <v>23813</v>
      </c>
      <c r="N3716" t="s">
        <v>225</v>
      </c>
      <c r="O3716" t="s">
        <v>111</v>
      </c>
      <c r="P3716" t="str">
        <f>"85212-7042"</f>
        <v>85212-7042</v>
      </c>
      <c r="Q3716" t="s">
        <v>113</v>
      </c>
      <c r="R3716" t="str">
        <f>"312-14-403"</f>
        <v>312-14-403</v>
      </c>
      <c r="S3716" t="s">
        <v>23814</v>
      </c>
      <c r="T3716" t="s">
        <v>8853</v>
      </c>
      <c r="U3716">
        <v>3239</v>
      </c>
      <c r="V3716">
        <v>0</v>
      </c>
      <c r="W3716">
        <v>4</v>
      </c>
      <c r="X3716">
        <v>2007</v>
      </c>
      <c r="Z3716">
        <v>2</v>
      </c>
      <c r="AA3716" t="s">
        <v>26</v>
      </c>
      <c r="AB3716">
        <v>0</v>
      </c>
      <c r="AC3716" t="s">
        <v>115</v>
      </c>
      <c r="AD3716">
        <v>3</v>
      </c>
      <c r="AE3716" t="s">
        <v>115</v>
      </c>
      <c r="AF3716">
        <v>0</v>
      </c>
      <c r="AG3716">
        <v>0</v>
      </c>
      <c r="AH3716" t="s">
        <v>116</v>
      </c>
      <c r="AI3716" s="1">
        <v>92461</v>
      </c>
      <c r="AJ3716" s="2">
        <v>0.23</v>
      </c>
      <c r="AK3716" s="1">
        <v>407526</v>
      </c>
      <c r="AL3716" t="s">
        <v>117</v>
      </c>
      <c r="AM3716" t="s">
        <v>917</v>
      </c>
      <c r="AN3716">
        <v>10800</v>
      </c>
      <c r="AO3716">
        <v>0.25</v>
      </c>
      <c r="AR3716">
        <v>1</v>
      </c>
      <c r="AS3716" s="1">
        <v>28360</v>
      </c>
      <c r="AT3716" s="1">
        <v>5670</v>
      </c>
      <c r="AU3716" s="1">
        <v>22690</v>
      </c>
      <c r="AV3716">
        <v>80.010000000000005</v>
      </c>
      <c r="AX3716" s="1">
        <v>2615.48</v>
      </c>
      <c r="AY3716" t="s">
        <v>560</v>
      </c>
      <c r="AZ3716" t="s">
        <v>561</v>
      </c>
      <c r="BA3716" t="s">
        <v>194</v>
      </c>
      <c r="BE3716" s="3">
        <v>42122</v>
      </c>
      <c r="BF3716" s="1">
        <v>305000</v>
      </c>
      <c r="BG3716" t="s">
        <v>23815</v>
      </c>
      <c r="BH3716" s="1">
        <v>94.16</v>
      </c>
      <c r="BI3716" s="1">
        <v>315065</v>
      </c>
      <c r="BJ3716" s="3">
        <v>42122</v>
      </c>
      <c r="BK3716" t="s">
        <v>123</v>
      </c>
      <c r="BL3716" t="str">
        <f>"2015.294569"</f>
        <v>2015.294569</v>
      </c>
      <c r="BM3716" t="s">
        <v>2980</v>
      </c>
      <c r="BO3716" t="s">
        <v>23816</v>
      </c>
      <c r="BS3716">
        <v>30</v>
      </c>
      <c r="BW3716" t="str">
        <f>""</f>
        <v/>
      </c>
      <c r="CH3716" t="str">
        <f>""</f>
        <v/>
      </c>
      <c r="CS3716" t="str">
        <f>""</f>
        <v/>
      </c>
    </row>
    <row r="3717" spans="1:97" x14ac:dyDescent="0.25">
      <c r="A3717" t="s">
        <v>370</v>
      </c>
      <c r="B3717" t="s">
        <v>23817</v>
      </c>
      <c r="E3717" t="s">
        <v>23818</v>
      </c>
      <c r="F3717" t="s">
        <v>108</v>
      </c>
      <c r="H3717" t="s">
        <v>23819</v>
      </c>
      <c r="I3717" t="s">
        <v>390</v>
      </c>
      <c r="J3717" t="s">
        <v>111</v>
      </c>
      <c r="K3717" t="str">
        <f>"85050"</f>
        <v>85050</v>
      </c>
      <c r="L3717" t="s">
        <v>6964</v>
      </c>
      <c r="M3717" t="s">
        <v>23819</v>
      </c>
      <c r="N3717" t="s">
        <v>390</v>
      </c>
      <c r="O3717" t="s">
        <v>111</v>
      </c>
      <c r="P3717" t="str">
        <f>"85050-3958"</f>
        <v>85050-3958</v>
      </c>
      <c r="Q3717" t="s">
        <v>113</v>
      </c>
      <c r="R3717" t="str">
        <f>"213-14-354-A"</f>
        <v>213-14-354-A</v>
      </c>
      <c r="S3717" t="s">
        <v>23820</v>
      </c>
      <c r="T3717" t="s">
        <v>18983</v>
      </c>
      <c r="U3717">
        <v>1624</v>
      </c>
      <c r="V3717">
        <v>0</v>
      </c>
      <c r="W3717">
        <v>3</v>
      </c>
      <c r="X3717">
        <v>1990</v>
      </c>
      <c r="Z3717">
        <v>1</v>
      </c>
      <c r="AB3717">
        <v>0</v>
      </c>
      <c r="AC3717" t="s">
        <v>115</v>
      </c>
      <c r="AD3717">
        <v>2</v>
      </c>
      <c r="AE3717" t="s">
        <v>115</v>
      </c>
      <c r="AF3717">
        <v>0</v>
      </c>
      <c r="AG3717">
        <v>0</v>
      </c>
      <c r="AH3717" t="s">
        <v>116</v>
      </c>
      <c r="AI3717" s="1">
        <v>544</v>
      </c>
      <c r="AJ3717" s="2">
        <v>0</v>
      </c>
      <c r="AK3717" s="1">
        <v>330544</v>
      </c>
      <c r="AL3717" t="s">
        <v>117</v>
      </c>
      <c r="AM3717" t="s">
        <v>191</v>
      </c>
      <c r="AN3717">
        <v>5901</v>
      </c>
      <c r="AO3717">
        <v>0.14000000000000001</v>
      </c>
      <c r="AP3717">
        <v>1</v>
      </c>
      <c r="AR3717">
        <v>1</v>
      </c>
      <c r="AS3717" s="1">
        <v>22550</v>
      </c>
      <c r="AT3717" s="1">
        <v>4510</v>
      </c>
      <c r="AU3717" s="1">
        <v>18040</v>
      </c>
      <c r="AV3717">
        <v>80</v>
      </c>
      <c r="AX3717" s="1">
        <v>1496.52</v>
      </c>
      <c r="AY3717" t="s">
        <v>8037</v>
      </c>
      <c r="AZ3717" t="s">
        <v>2550</v>
      </c>
      <c r="BA3717" t="s">
        <v>1318</v>
      </c>
      <c r="BE3717" s="3">
        <v>42206</v>
      </c>
      <c r="BF3717" s="1">
        <v>276000</v>
      </c>
      <c r="BG3717" t="s">
        <v>23821</v>
      </c>
      <c r="BH3717" s="1">
        <v>169.95</v>
      </c>
      <c r="BI3717" s="1">
        <v>330000</v>
      </c>
      <c r="BJ3717" s="3">
        <v>43642</v>
      </c>
      <c r="BK3717" t="s">
        <v>123</v>
      </c>
      <c r="BL3717" t="str">
        <f>"2019.481314"</f>
        <v>2019.481314</v>
      </c>
      <c r="BM3717" t="s">
        <v>23822</v>
      </c>
      <c r="BN3717" t="s">
        <v>1136</v>
      </c>
      <c r="BO3717" t="s">
        <v>23823</v>
      </c>
      <c r="BR3717" t="s">
        <v>139</v>
      </c>
      <c r="BT3717" s="1">
        <v>330000</v>
      </c>
      <c r="BU3717" s="3">
        <v>43642</v>
      </c>
      <c r="BV3717" t="s">
        <v>123</v>
      </c>
      <c r="BW3717" t="str">
        <f>"2019.481314"</f>
        <v>2019.481314</v>
      </c>
      <c r="BX3717" t="s">
        <v>23822</v>
      </c>
      <c r="BY3717" t="s">
        <v>1136</v>
      </c>
      <c r="BZ3717" t="s">
        <v>23823</v>
      </c>
      <c r="CC3717" t="s">
        <v>139</v>
      </c>
      <c r="CH3717" t="str">
        <f>""</f>
        <v/>
      </c>
      <c r="CS3717" t="str">
        <f>""</f>
        <v/>
      </c>
    </row>
    <row r="3718" spans="1:97" x14ac:dyDescent="0.25">
      <c r="A3718" t="s">
        <v>23824</v>
      </c>
      <c r="B3718" t="s">
        <v>23825</v>
      </c>
      <c r="C3718" t="s">
        <v>179</v>
      </c>
      <c r="D3718" t="s">
        <v>23825</v>
      </c>
      <c r="E3718" t="s">
        <v>23826</v>
      </c>
      <c r="F3718" t="s">
        <v>108</v>
      </c>
      <c r="H3718" t="s">
        <v>23827</v>
      </c>
      <c r="I3718" t="s">
        <v>110</v>
      </c>
      <c r="J3718" t="s">
        <v>111</v>
      </c>
      <c r="K3718" t="str">
        <f>"85249"</f>
        <v>85249</v>
      </c>
      <c r="L3718" t="s">
        <v>567</v>
      </c>
      <c r="M3718" t="s">
        <v>23827</v>
      </c>
      <c r="N3718" t="s">
        <v>110</v>
      </c>
      <c r="O3718" t="s">
        <v>111</v>
      </c>
      <c r="P3718" t="str">
        <f>"85249-7320"</f>
        <v>85249-7320</v>
      </c>
      <c r="Q3718" t="s">
        <v>113</v>
      </c>
      <c r="R3718" t="str">
        <f>"313-09-111"</f>
        <v>313-09-111</v>
      </c>
      <c r="S3718" t="s">
        <v>14317</v>
      </c>
      <c r="U3718">
        <v>2916</v>
      </c>
      <c r="V3718">
        <v>0</v>
      </c>
      <c r="W3718">
        <v>4</v>
      </c>
      <c r="X3718">
        <v>2004</v>
      </c>
      <c r="Z3718">
        <v>2</v>
      </c>
      <c r="AB3718">
        <v>0</v>
      </c>
      <c r="AC3718" t="s">
        <v>115</v>
      </c>
      <c r="AD3718">
        <v>3</v>
      </c>
      <c r="AE3718" t="s">
        <v>115</v>
      </c>
      <c r="AF3718">
        <v>0</v>
      </c>
      <c r="AG3718">
        <v>0</v>
      </c>
      <c r="AH3718" t="s">
        <v>116</v>
      </c>
      <c r="AI3718" s="1">
        <v>-264795</v>
      </c>
      <c r="AJ3718" s="2">
        <v>-0.67</v>
      </c>
      <c r="AK3718" s="1">
        <v>394259</v>
      </c>
      <c r="AL3718" t="s">
        <v>117</v>
      </c>
      <c r="AM3718" t="s">
        <v>118</v>
      </c>
      <c r="AN3718">
        <v>8369</v>
      </c>
      <c r="AO3718">
        <v>0.19</v>
      </c>
      <c r="AP3718">
        <v>1</v>
      </c>
      <c r="AR3718">
        <v>1</v>
      </c>
      <c r="AS3718" s="1">
        <v>26530</v>
      </c>
      <c r="AT3718" s="1">
        <v>5300</v>
      </c>
      <c r="AU3718" s="1">
        <v>21230</v>
      </c>
      <c r="AV3718">
        <v>80.02</v>
      </c>
      <c r="AX3718" s="1">
        <v>2248.04</v>
      </c>
      <c r="AY3718" t="s">
        <v>6269</v>
      </c>
      <c r="AZ3718" t="s">
        <v>273</v>
      </c>
      <c r="BA3718" t="s">
        <v>274</v>
      </c>
      <c r="BB3718" s="3">
        <v>42929</v>
      </c>
      <c r="BD3718" t="s">
        <v>157</v>
      </c>
      <c r="BE3718" s="3">
        <v>41738</v>
      </c>
      <c r="BF3718" s="1">
        <v>319000</v>
      </c>
      <c r="BG3718" t="s">
        <v>8049</v>
      </c>
      <c r="BH3718" s="1">
        <v>109.4</v>
      </c>
      <c r="BI3718" s="1">
        <v>329527</v>
      </c>
      <c r="BJ3718" s="3">
        <v>41738</v>
      </c>
      <c r="BK3718" t="s">
        <v>123</v>
      </c>
      <c r="BL3718" t="str">
        <f>"2014.229263"</f>
        <v>2014.229263</v>
      </c>
      <c r="BM3718" t="s">
        <v>150</v>
      </c>
      <c r="BO3718" t="s">
        <v>23828</v>
      </c>
      <c r="BS3718">
        <v>30</v>
      </c>
      <c r="BT3718" s="1">
        <v>329527</v>
      </c>
      <c r="BU3718" s="3">
        <v>42577</v>
      </c>
      <c r="BV3718" t="s">
        <v>123</v>
      </c>
      <c r="BW3718" t="str">
        <f>"2016.527747"</f>
        <v>2016.527747</v>
      </c>
      <c r="BX3718" t="s">
        <v>150</v>
      </c>
      <c r="BZ3718" t="s">
        <v>23829</v>
      </c>
      <c r="CD3718">
        <v>28</v>
      </c>
      <c r="CH3718" t="str">
        <f>""</f>
        <v/>
      </c>
      <c r="CS3718" t="str">
        <f>""</f>
        <v/>
      </c>
    </row>
    <row r="3719" spans="1:97" x14ac:dyDescent="0.25">
      <c r="A3719" t="s">
        <v>2915</v>
      </c>
      <c r="B3719" t="s">
        <v>10633</v>
      </c>
      <c r="C3719" t="s">
        <v>2761</v>
      </c>
      <c r="D3719" t="s">
        <v>10633</v>
      </c>
      <c r="E3719" t="s">
        <v>23830</v>
      </c>
      <c r="F3719" t="s">
        <v>108</v>
      </c>
      <c r="H3719" t="s">
        <v>23831</v>
      </c>
      <c r="I3719" t="s">
        <v>203</v>
      </c>
      <c r="J3719" t="s">
        <v>111</v>
      </c>
      <c r="K3719" t="str">
        <f>"85297"</f>
        <v>85297</v>
      </c>
      <c r="L3719" t="s">
        <v>7725</v>
      </c>
      <c r="M3719" t="s">
        <v>23831</v>
      </c>
      <c r="N3719" t="s">
        <v>203</v>
      </c>
      <c r="O3719" t="s">
        <v>111</v>
      </c>
      <c r="P3719" t="str">
        <f>"85297-5241"</f>
        <v>85297-5241</v>
      </c>
      <c r="Q3719" t="s">
        <v>113</v>
      </c>
      <c r="R3719" t="str">
        <f>"313-03-957"</f>
        <v>313-03-957</v>
      </c>
      <c r="S3719" t="s">
        <v>23832</v>
      </c>
      <c r="T3719" t="s">
        <v>23833</v>
      </c>
      <c r="U3719">
        <v>2217</v>
      </c>
      <c r="V3719">
        <v>0</v>
      </c>
      <c r="W3719">
        <v>4</v>
      </c>
      <c r="X3719">
        <v>2004</v>
      </c>
      <c r="Z3719">
        <v>2</v>
      </c>
      <c r="AB3719">
        <v>0</v>
      </c>
      <c r="AC3719" t="s">
        <v>115</v>
      </c>
      <c r="AD3719">
        <v>2</v>
      </c>
      <c r="AE3719" t="s">
        <v>115</v>
      </c>
      <c r="AF3719">
        <v>0</v>
      </c>
      <c r="AG3719">
        <v>0</v>
      </c>
      <c r="AH3719" t="s">
        <v>116</v>
      </c>
      <c r="AI3719" s="1">
        <v>109163</v>
      </c>
      <c r="AJ3719" s="2">
        <v>0.34</v>
      </c>
      <c r="AK3719" s="1">
        <v>323730</v>
      </c>
      <c r="AL3719" t="s">
        <v>117</v>
      </c>
      <c r="AM3719" t="s">
        <v>288</v>
      </c>
      <c r="AN3719">
        <v>4261</v>
      </c>
      <c r="AO3719">
        <v>0.98</v>
      </c>
      <c r="AP3719">
        <v>1</v>
      </c>
      <c r="AR3719">
        <v>1</v>
      </c>
      <c r="AS3719" s="1">
        <v>21920</v>
      </c>
      <c r="AT3719" s="1">
        <v>4380</v>
      </c>
      <c r="AU3719" s="1">
        <v>17540</v>
      </c>
      <c r="AV3719">
        <v>80.02</v>
      </c>
      <c r="AX3719" s="1">
        <v>1721.46</v>
      </c>
      <c r="AY3719" t="s">
        <v>8338</v>
      </c>
      <c r="AZ3719" t="s">
        <v>8338</v>
      </c>
      <c r="BA3719" t="s">
        <v>290</v>
      </c>
      <c r="BE3719" s="3">
        <v>41899</v>
      </c>
      <c r="BF3719" s="1">
        <v>223250</v>
      </c>
      <c r="BG3719" t="s">
        <v>23834</v>
      </c>
      <c r="BH3719" s="1">
        <v>100.7</v>
      </c>
      <c r="BI3719" s="1">
        <v>214567</v>
      </c>
      <c r="BJ3719" s="3">
        <v>42550</v>
      </c>
      <c r="BK3719" t="s">
        <v>123</v>
      </c>
      <c r="BL3719" t="str">
        <f>"2016.453727"</f>
        <v>2016.453727</v>
      </c>
      <c r="BM3719" t="s">
        <v>903</v>
      </c>
      <c r="BO3719" t="s">
        <v>23835</v>
      </c>
      <c r="BS3719">
        <v>30</v>
      </c>
      <c r="BW3719" t="str">
        <f>""</f>
        <v/>
      </c>
      <c r="CH3719" t="str">
        <f>""</f>
        <v/>
      </c>
      <c r="CS3719" t="str">
        <f>""</f>
        <v/>
      </c>
    </row>
    <row r="3720" spans="1:97" x14ac:dyDescent="0.25">
      <c r="A3720" t="s">
        <v>23836</v>
      </c>
      <c r="B3720" t="s">
        <v>23837</v>
      </c>
      <c r="C3720" t="s">
        <v>1906</v>
      </c>
      <c r="D3720" t="s">
        <v>23837</v>
      </c>
      <c r="E3720" t="s">
        <v>23838</v>
      </c>
      <c r="F3720" t="s">
        <v>108</v>
      </c>
      <c r="H3720" t="s">
        <v>23839</v>
      </c>
      <c r="I3720" t="s">
        <v>453</v>
      </c>
      <c r="J3720" t="s">
        <v>111</v>
      </c>
      <c r="K3720" t="str">
        <f>"85382"</f>
        <v>85382</v>
      </c>
      <c r="L3720" t="s">
        <v>6788</v>
      </c>
      <c r="M3720" t="s">
        <v>23839</v>
      </c>
      <c r="N3720" t="s">
        <v>453</v>
      </c>
      <c r="O3720" t="s">
        <v>111</v>
      </c>
      <c r="P3720" t="str">
        <f>"85382"</f>
        <v>85382</v>
      </c>
      <c r="Q3720" t="s">
        <v>113</v>
      </c>
      <c r="R3720" t="str">
        <f>"200-38-681"</f>
        <v>200-38-681</v>
      </c>
      <c r="S3720" t="s">
        <v>23840</v>
      </c>
      <c r="T3720" t="s">
        <v>23841</v>
      </c>
      <c r="U3720">
        <v>2260</v>
      </c>
      <c r="V3720">
        <v>0</v>
      </c>
      <c r="W3720">
        <v>3</v>
      </c>
      <c r="X3720">
        <v>1988</v>
      </c>
      <c r="Z3720">
        <v>1</v>
      </c>
      <c r="AB3720">
        <v>0</v>
      </c>
      <c r="AC3720" t="s">
        <v>115</v>
      </c>
      <c r="AD3720">
        <v>2</v>
      </c>
      <c r="AE3720" t="s">
        <v>115</v>
      </c>
      <c r="AF3720">
        <v>0</v>
      </c>
      <c r="AG3720">
        <v>0</v>
      </c>
      <c r="AH3720" t="s">
        <v>116</v>
      </c>
      <c r="AI3720" s="1">
        <v>91311</v>
      </c>
      <c r="AJ3720" s="2">
        <v>0.27</v>
      </c>
      <c r="AK3720" s="1">
        <v>341311</v>
      </c>
      <c r="AL3720" t="s">
        <v>117</v>
      </c>
      <c r="AM3720" t="s">
        <v>393</v>
      </c>
      <c r="AN3720">
        <v>8349</v>
      </c>
      <c r="AO3720">
        <v>0.19</v>
      </c>
      <c r="AP3720">
        <v>1</v>
      </c>
      <c r="AR3720">
        <v>1</v>
      </c>
      <c r="AS3720" s="1">
        <v>24120</v>
      </c>
      <c r="AT3720" s="1">
        <v>4820</v>
      </c>
      <c r="AU3720" s="1">
        <v>19300</v>
      </c>
      <c r="AV3720">
        <v>80.02</v>
      </c>
      <c r="AX3720" s="1">
        <v>2121.2600000000002</v>
      </c>
      <c r="AY3720" t="s">
        <v>7828</v>
      </c>
      <c r="AZ3720" t="s">
        <v>7828</v>
      </c>
      <c r="BA3720" t="s">
        <v>4219</v>
      </c>
      <c r="BE3720" s="3">
        <v>42460</v>
      </c>
      <c r="BF3720" s="1">
        <v>260000</v>
      </c>
      <c r="BG3720" t="s">
        <v>23842</v>
      </c>
      <c r="BH3720" s="1">
        <v>115.04</v>
      </c>
      <c r="BI3720" s="1">
        <v>250000</v>
      </c>
      <c r="BJ3720" s="3">
        <v>42460</v>
      </c>
      <c r="BK3720" t="s">
        <v>123</v>
      </c>
      <c r="BL3720" t="str">
        <f>"2016.211089"</f>
        <v>2016.211089</v>
      </c>
      <c r="BM3720" t="s">
        <v>2683</v>
      </c>
      <c r="BO3720" t="s">
        <v>23843</v>
      </c>
      <c r="BS3720">
        <v>30</v>
      </c>
      <c r="BW3720" t="str">
        <f>""</f>
        <v/>
      </c>
      <c r="CH3720" t="str">
        <f>""</f>
        <v/>
      </c>
      <c r="CS3720" t="str">
        <f>""</f>
        <v/>
      </c>
    </row>
    <row r="3721" spans="1:97" x14ac:dyDescent="0.25">
      <c r="A3721" t="s">
        <v>589</v>
      </c>
      <c r="B3721" t="s">
        <v>23844</v>
      </c>
      <c r="E3721" t="s">
        <v>23845</v>
      </c>
      <c r="F3721" t="s">
        <v>108</v>
      </c>
      <c r="H3721" t="s">
        <v>23846</v>
      </c>
      <c r="I3721" t="s">
        <v>225</v>
      </c>
      <c r="J3721" t="s">
        <v>111</v>
      </c>
      <c r="K3721" t="str">
        <f>"85215"</f>
        <v>85215</v>
      </c>
      <c r="L3721" t="s">
        <v>8747</v>
      </c>
      <c r="M3721" t="s">
        <v>23846</v>
      </c>
      <c r="N3721" t="s">
        <v>225</v>
      </c>
      <c r="O3721" t="s">
        <v>111</v>
      </c>
      <c r="P3721" t="str">
        <f>"85215-1042"</f>
        <v>85215-1042</v>
      </c>
      <c r="Q3721" t="s">
        <v>113</v>
      </c>
      <c r="R3721" t="str">
        <f>"141-93-506"</f>
        <v>141-93-506</v>
      </c>
      <c r="S3721" t="s">
        <v>23847</v>
      </c>
      <c r="T3721" t="s">
        <v>23847</v>
      </c>
      <c r="U3721">
        <v>2171</v>
      </c>
      <c r="V3721">
        <v>0</v>
      </c>
      <c r="W3721">
        <v>3</v>
      </c>
      <c r="X3721">
        <v>1996</v>
      </c>
      <c r="Z3721">
        <v>1</v>
      </c>
      <c r="AA3721" t="s">
        <v>26</v>
      </c>
      <c r="AB3721">
        <v>0</v>
      </c>
      <c r="AC3721" t="s">
        <v>115</v>
      </c>
      <c r="AD3721">
        <v>3</v>
      </c>
      <c r="AE3721" t="s">
        <v>115</v>
      </c>
      <c r="AF3721">
        <v>0</v>
      </c>
      <c r="AG3721">
        <v>0</v>
      </c>
      <c r="AH3721" t="s">
        <v>116</v>
      </c>
      <c r="AI3721" s="1">
        <v>74057</v>
      </c>
      <c r="AJ3721" s="2">
        <v>0.2</v>
      </c>
      <c r="AK3721" s="1">
        <v>373957</v>
      </c>
      <c r="AL3721" t="s">
        <v>117</v>
      </c>
      <c r="AM3721" t="s">
        <v>191</v>
      </c>
      <c r="AN3721">
        <v>9150</v>
      </c>
      <c r="AO3721">
        <v>0.21</v>
      </c>
      <c r="AP3721">
        <v>1</v>
      </c>
      <c r="AR3721">
        <v>1</v>
      </c>
      <c r="AS3721" s="1">
        <v>26870</v>
      </c>
      <c r="AT3721" s="1">
        <v>5370</v>
      </c>
      <c r="AU3721" s="1">
        <v>21500</v>
      </c>
      <c r="AV3721">
        <v>80.010000000000005</v>
      </c>
      <c r="AX3721" s="1">
        <v>2170.2199999999998</v>
      </c>
      <c r="AY3721" t="s">
        <v>6662</v>
      </c>
      <c r="AZ3721" t="s">
        <v>5275</v>
      </c>
      <c r="BA3721" t="s">
        <v>3119</v>
      </c>
      <c r="BE3721" s="3">
        <v>42187</v>
      </c>
      <c r="BF3721" s="1">
        <v>299900</v>
      </c>
      <c r="BG3721" t="s">
        <v>23848</v>
      </c>
      <c r="BH3721" s="1">
        <v>138.13999999999999</v>
      </c>
      <c r="BI3721" s="1">
        <v>299900</v>
      </c>
      <c r="BJ3721" s="3">
        <v>42187</v>
      </c>
      <c r="BK3721" t="s">
        <v>123</v>
      </c>
      <c r="BL3721" t="str">
        <f>"2015.477282"</f>
        <v>2015.477282</v>
      </c>
      <c r="BM3721" t="s">
        <v>2368</v>
      </c>
      <c r="BO3721" t="s">
        <v>23849</v>
      </c>
      <c r="BS3721">
        <v>30</v>
      </c>
      <c r="BW3721" t="str">
        <f>""</f>
        <v/>
      </c>
      <c r="CH3721" t="str">
        <f>""</f>
        <v/>
      </c>
      <c r="CS3721" t="str">
        <f>""</f>
        <v/>
      </c>
    </row>
    <row r="3722" spans="1:97" x14ac:dyDescent="0.25">
      <c r="A3722" t="s">
        <v>3580</v>
      </c>
      <c r="B3722" t="s">
        <v>6914</v>
      </c>
      <c r="C3722" t="s">
        <v>1241</v>
      </c>
      <c r="D3722" t="s">
        <v>6914</v>
      </c>
      <c r="E3722" t="s">
        <v>23850</v>
      </c>
      <c r="F3722" t="s">
        <v>282</v>
      </c>
      <c r="H3722" t="s">
        <v>23851</v>
      </c>
      <c r="I3722" t="s">
        <v>225</v>
      </c>
      <c r="J3722" t="s">
        <v>111</v>
      </c>
      <c r="K3722" t="str">
        <f>"85207"</f>
        <v>85207</v>
      </c>
      <c r="L3722" t="s">
        <v>5816</v>
      </c>
      <c r="M3722" t="s">
        <v>23852</v>
      </c>
      <c r="N3722" t="s">
        <v>23853</v>
      </c>
      <c r="O3722" t="s">
        <v>15953</v>
      </c>
      <c r="P3722" t="str">
        <f>"98383-9257"</f>
        <v>98383-9257</v>
      </c>
      <c r="Q3722" t="s">
        <v>113</v>
      </c>
      <c r="R3722" t="str">
        <f>"219-19-762"</f>
        <v>219-19-762</v>
      </c>
      <c r="S3722" t="s">
        <v>23854</v>
      </c>
      <c r="T3722" t="s">
        <v>23854</v>
      </c>
      <c r="U3722">
        <v>1911</v>
      </c>
      <c r="V3722">
        <v>0</v>
      </c>
      <c r="W3722">
        <v>5</v>
      </c>
      <c r="X3722">
        <v>2006</v>
      </c>
      <c r="Z3722">
        <v>1</v>
      </c>
      <c r="AB3722">
        <v>0</v>
      </c>
      <c r="AC3722" t="s">
        <v>115</v>
      </c>
      <c r="AD3722">
        <v>2</v>
      </c>
      <c r="AE3722" t="s">
        <v>115</v>
      </c>
      <c r="AF3722">
        <v>0</v>
      </c>
      <c r="AG3722">
        <v>0</v>
      </c>
      <c r="AH3722" t="s">
        <v>116</v>
      </c>
      <c r="AI3722" s="1">
        <v>51873</v>
      </c>
      <c r="AJ3722" s="2">
        <v>0.14000000000000001</v>
      </c>
      <c r="AK3722" s="1">
        <v>381873</v>
      </c>
      <c r="AL3722" t="s">
        <v>117</v>
      </c>
      <c r="AM3722" t="s">
        <v>393</v>
      </c>
      <c r="AN3722">
        <v>5885</v>
      </c>
      <c r="AO3722">
        <v>0.14000000000000001</v>
      </c>
      <c r="AR3722">
        <v>1</v>
      </c>
      <c r="AS3722" s="1">
        <v>26680</v>
      </c>
      <c r="AT3722" s="1">
        <v>5330</v>
      </c>
      <c r="AU3722" s="1">
        <v>21350</v>
      </c>
      <c r="AV3722">
        <v>80.02</v>
      </c>
      <c r="AX3722" s="1">
        <v>2857.54</v>
      </c>
      <c r="AY3722" t="s">
        <v>9337</v>
      </c>
      <c r="AZ3722" t="s">
        <v>231</v>
      </c>
      <c r="BA3722" t="s">
        <v>3119</v>
      </c>
      <c r="BE3722" s="3">
        <v>42460</v>
      </c>
      <c r="BF3722" s="1">
        <v>330000</v>
      </c>
      <c r="BG3722" t="s">
        <v>23855</v>
      </c>
      <c r="BH3722" s="1">
        <v>172.68</v>
      </c>
      <c r="BI3722" s="1">
        <v>330000</v>
      </c>
      <c r="BJ3722" s="3">
        <v>42460</v>
      </c>
      <c r="BK3722" t="s">
        <v>123</v>
      </c>
      <c r="BL3722" t="str">
        <f>"2016.212123"</f>
        <v>2016.212123</v>
      </c>
      <c r="BM3722" t="s">
        <v>135</v>
      </c>
      <c r="BO3722" t="s">
        <v>23856</v>
      </c>
      <c r="BS3722">
        <v>30</v>
      </c>
      <c r="BW3722" t="str">
        <f>""</f>
        <v/>
      </c>
      <c r="CH3722" t="str">
        <f>""</f>
        <v/>
      </c>
      <c r="CS3722" t="str">
        <f>""</f>
        <v/>
      </c>
    </row>
    <row r="3723" spans="1:97" x14ac:dyDescent="0.25">
      <c r="A3723" t="s">
        <v>370</v>
      </c>
      <c r="B3723" t="s">
        <v>23857</v>
      </c>
      <c r="C3723" t="s">
        <v>1366</v>
      </c>
      <c r="D3723" t="s">
        <v>23857</v>
      </c>
      <c r="E3723" t="s">
        <v>23858</v>
      </c>
      <c r="F3723" t="s">
        <v>108</v>
      </c>
      <c r="H3723" t="s">
        <v>23859</v>
      </c>
      <c r="I3723" t="s">
        <v>390</v>
      </c>
      <c r="J3723" t="s">
        <v>111</v>
      </c>
      <c r="K3723" t="str">
        <f>"85041"</f>
        <v>85041</v>
      </c>
      <c r="L3723" t="s">
        <v>5416</v>
      </c>
      <c r="M3723" t="s">
        <v>23859</v>
      </c>
      <c r="N3723" t="s">
        <v>390</v>
      </c>
      <c r="O3723" t="s">
        <v>111</v>
      </c>
      <c r="P3723" t="str">
        <f>"85041-8356"</f>
        <v>85041-8356</v>
      </c>
      <c r="Q3723" t="s">
        <v>113</v>
      </c>
      <c r="R3723" t="str">
        <f>"300-51-112"</f>
        <v>300-51-112</v>
      </c>
      <c r="S3723" t="s">
        <v>23860</v>
      </c>
      <c r="T3723" t="s">
        <v>23861</v>
      </c>
      <c r="U3723">
        <v>2567</v>
      </c>
      <c r="V3723">
        <v>0</v>
      </c>
      <c r="W3723">
        <v>4</v>
      </c>
      <c r="X3723">
        <v>2006</v>
      </c>
      <c r="Z3723">
        <v>1</v>
      </c>
      <c r="AA3723" t="s">
        <v>26</v>
      </c>
      <c r="AB3723">
        <v>0</v>
      </c>
      <c r="AC3723" t="s">
        <v>115</v>
      </c>
      <c r="AD3723">
        <v>2</v>
      </c>
      <c r="AE3723" t="s">
        <v>115</v>
      </c>
      <c r="AF3723">
        <v>0</v>
      </c>
      <c r="AG3723">
        <v>0</v>
      </c>
      <c r="AH3723" t="s">
        <v>116</v>
      </c>
      <c r="AI3723" s="1">
        <v>66847</v>
      </c>
      <c r="AJ3723" s="2">
        <v>0.2</v>
      </c>
      <c r="AK3723" s="1">
        <v>337493</v>
      </c>
      <c r="AL3723" t="s">
        <v>117</v>
      </c>
      <c r="AM3723" t="s">
        <v>1302</v>
      </c>
      <c r="AN3723">
        <v>7592</v>
      </c>
      <c r="AO3723">
        <v>0.17</v>
      </c>
      <c r="AR3723">
        <v>1</v>
      </c>
      <c r="AS3723" s="1">
        <v>23120</v>
      </c>
      <c r="AT3723" s="1">
        <v>4620</v>
      </c>
      <c r="AU3723" s="1">
        <v>18500</v>
      </c>
      <c r="AV3723">
        <v>80.02</v>
      </c>
      <c r="AX3723" s="1">
        <v>2793.64</v>
      </c>
      <c r="AY3723" t="s">
        <v>23378</v>
      </c>
      <c r="AZ3723" t="s">
        <v>23378</v>
      </c>
      <c r="BA3723" t="s">
        <v>1661</v>
      </c>
      <c r="BE3723" s="3">
        <v>42307</v>
      </c>
      <c r="BF3723" s="1">
        <v>262000</v>
      </c>
      <c r="BG3723" t="s">
        <v>23862</v>
      </c>
      <c r="BH3723" s="1">
        <v>102.06</v>
      </c>
      <c r="BI3723" s="1">
        <v>270646</v>
      </c>
      <c r="BJ3723" s="3">
        <v>42307</v>
      </c>
      <c r="BK3723" t="s">
        <v>123</v>
      </c>
      <c r="BL3723" t="str">
        <f>"2015.783440"</f>
        <v>2015.783440</v>
      </c>
      <c r="BM3723" t="s">
        <v>5253</v>
      </c>
      <c r="BO3723" t="s">
        <v>23863</v>
      </c>
      <c r="BS3723">
        <v>30</v>
      </c>
      <c r="BW3723" t="str">
        <f>""</f>
        <v/>
      </c>
      <c r="CH3723" t="str">
        <f>""</f>
        <v/>
      </c>
      <c r="CS3723" t="str">
        <f>""</f>
        <v/>
      </c>
    </row>
    <row r="3724" spans="1:97" x14ac:dyDescent="0.25">
      <c r="A3724" t="s">
        <v>2045</v>
      </c>
      <c r="B3724" t="s">
        <v>311</v>
      </c>
      <c r="C3724" t="s">
        <v>537</v>
      </c>
      <c r="D3724" t="s">
        <v>311</v>
      </c>
      <c r="E3724" t="s">
        <v>23864</v>
      </c>
      <c r="F3724" t="s">
        <v>108</v>
      </c>
      <c r="H3724" t="s">
        <v>23865</v>
      </c>
      <c r="I3724" t="s">
        <v>225</v>
      </c>
      <c r="J3724" t="s">
        <v>111</v>
      </c>
      <c r="K3724" t="str">
        <f>"85209"</f>
        <v>85209</v>
      </c>
      <c r="L3724" t="s">
        <v>5456</v>
      </c>
      <c r="M3724" t="s">
        <v>23865</v>
      </c>
      <c r="N3724" t="s">
        <v>225</v>
      </c>
      <c r="O3724" t="s">
        <v>111</v>
      </c>
      <c r="P3724" t="str">
        <f>"85209-1580"</f>
        <v>85209-1580</v>
      </c>
      <c r="Q3724" t="s">
        <v>113</v>
      </c>
      <c r="R3724" t="str">
        <f>"312-13-077"</f>
        <v>312-13-077</v>
      </c>
      <c r="S3724" t="s">
        <v>23866</v>
      </c>
      <c r="U3724">
        <v>1919</v>
      </c>
      <c r="V3724">
        <v>0</v>
      </c>
      <c r="W3724">
        <v>3</v>
      </c>
      <c r="X3724">
        <v>2004</v>
      </c>
      <c r="Z3724">
        <v>1</v>
      </c>
      <c r="AA3724" t="s">
        <v>26</v>
      </c>
      <c r="AB3724">
        <v>0</v>
      </c>
      <c r="AC3724" t="s">
        <v>115</v>
      </c>
      <c r="AD3724">
        <v>2</v>
      </c>
      <c r="AE3724" t="s">
        <v>115</v>
      </c>
      <c r="AF3724">
        <v>0</v>
      </c>
      <c r="AG3724">
        <v>0</v>
      </c>
      <c r="AH3724" t="s">
        <v>116</v>
      </c>
      <c r="AI3724" s="1">
        <v>85407</v>
      </c>
      <c r="AJ3724" s="2">
        <v>0.25</v>
      </c>
      <c r="AK3724" s="1">
        <v>335953</v>
      </c>
      <c r="AL3724" t="s">
        <v>117</v>
      </c>
      <c r="AM3724" t="s">
        <v>393</v>
      </c>
      <c r="AN3724">
        <v>7674</v>
      </c>
      <c r="AO3724">
        <v>0.18</v>
      </c>
      <c r="AP3724">
        <v>1</v>
      </c>
      <c r="AR3724">
        <v>1</v>
      </c>
      <c r="AS3724" s="1">
        <v>23080</v>
      </c>
      <c r="AT3724" s="1">
        <v>4610</v>
      </c>
      <c r="AU3724" s="1">
        <v>18470</v>
      </c>
      <c r="AV3724">
        <v>80.03</v>
      </c>
      <c r="AX3724" s="1">
        <v>1660.24</v>
      </c>
      <c r="AY3724" t="s">
        <v>4370</v>
      </c>
      <c r="AZ3724" t="s">
        <v>777</v>
      </c>
      <c r="BA3724" t="s">
        <v>572</v>
      </c>
      <c r="BE3724" s="3">
        <v>42226</v>
      </c>
      <c r="BF3724" s="1">
        <v>243000</v>
      </c>
      <c r="BG3724" t="s">
        <v>23867</v>
      </c>
      <c r="BH3724" s="1">
        <v>126.63</v>
      </c>
      <c r="BI3724" s="1">
        <v>250546</v>
      </c>
      <c r="BJ3724" s="3">
        <v>42538</v>
      </c>
      <c r="BK3724" t="s">
        <v>123</v>
      </c>
      <c r="BL3724" t="str">
        <f>"2016.423352"</f>
        <v>2016.423352</v>
      </c>
      <c r="BM3724" t="s">
        <v>255</v>
      </c>
      <c r="BO3724" t="s">
        <v>23868</v>
      </c>
      <c r="BS3724">
        <v>30</v>
      </c>
      <c r="BW3724" t="str">
        <f>""</f>
        <v/>
      </c>
      <c r="CH3724" t="str">
        <f>""</f>
        <v/>
      </c>
      <c r="CS3724" t="str">
        <f>""</f>
        <v/>
      </c>
    </row>
    <row r="3725" spans="1:97" x14ac:dyDescent="0.25">
      <c r="A3725" t="s">
        <v>305</v>
      </c>
      <c r="B3725" t="s">
        <v>23869</v>
      </c>
      <c r="C3725" t="s">
        <v>2008</v>
      </c>
      <c r="D3725" t="s">
        <v>23869</v>
      </c>
      <c r="E3725" t="s">
        <v>23870</v>
      </c>
      <c r="F3725" t="s">
        <v>108</v>
      </c>
      <c r="H3725" t="s">
        <v>23871</v>
      </c>
      <c r="I3725" t="s">
        <v>390</v>
      </c>
      <c r="J3725" t="s">
        <v>111</v>
      </c>
      <c r="K3725" t="str">
        <f>"85028"</f>
        <v>85028</v>
      </c>
      <c r="L3725" t="s">
        <v>3982</v>
      </c>
      <c r="M3725" t="s">
        <v>23871</v>
      </c>
      <c r="N3725" t="s">
        <v>390</v>
      </c>
      <c r="O3725" t="s">
        <v>111</v>
      </c>
      <c r="P3725" t="str">
        <f>"85028-3617"</f>
        <v>85028-3617</v>
      </c>
      <c r="Q3725" t="s">
        <v>113</v>
      </c>
      <c r="R3725" t="str">
        <f>"165-06-060"</f>
        <v>165-06-060</v>
      </c>
      <c r="S3725" t="s">
        <v>23872</v>
      </c>
      <c r="T3725" t="s">
        <v>23873</v>
      </c>
      <c r="U3725">
        <v>2134</v>
      </c>
      <c r="V3725">
        <v>0</v>
      </c>
      <c r="W3725">
        <v>2</v>
      </c>
      <c r="X3725">
        <v>1978</v>
      </c>
      <c r="Z3725">
        <v>1</v>
      </c>
      <c r="AA3725" t="s">
        <v>26</v>
      </c>
      <c r="AB3725">
        <v>0</v>
      </c>
      <c r="AC3725" t="s">
        <v>115</v>
      </c>
      <c r="AD3725">
        <v>2</v>
      </c>
      <c r="AE3725" t="s">
        <v>115</v>
      </c>
      <c r="AF3725">
        <v>0</v>
      </c>
      <c r="AG3725">
        <v>0</v>
      </c>
      <c r="AH3725" t="s">
        <v>116</v>
      </c>
      <c r="AI3725" s="1">
        <v>63496</v>
      </c>
      <c r="AJ3725" s="2">
        <v>0.13</v>
      </c>
      <c r="AK3725" s="1">
        <v>500455</v>
      </c>
      <c r="AL3725" t="s">
        <v>117</v>
      </c>
      <c r="AM3725" t="s">
        <v>1302</v>
      </c>
      <c r="AN3725">
        <v>12093</v>
      </c>
      <c r="AO3725">
        <v>0.28000000000000003</v>
      </c>
      <c r="AP3725">
        <v>1</v>
      </c>
      <c r="AR3725">
        <v>1</v>
      </c>
      <c r="AS3725" s="1">
        <v>34910</v>
      </c>
      <c r="AT3725" s="1">
        <v>6980</v>
      </c>
      <c r="AU3725" s="1">
        <v>27930</v>
      </c>
      <c r="AV3725">
        <v>80.010000000000005</v>
      </c>
      <c r="AX3725" s="1">
        <v>3120.2</v>
      </c>
      <c r="AY3725" t="s">
        <v>9580</v>
      </c>
      <c r="AZ3725" t="s">
        <v>5489</v>
      </c>
      <c r="BA3725" t="s">
        <v>5232</v>
      </c>
      <c r="BB3725" s="3">
        <v>42173</v>
      </c>
      <c r="BD3725" t="s">
        <v>842</v>
      </c>
      <c r="BE3725" s="3">
        <v>42171</v>
      </c>
      <c r="BF3725" s="1">
        <v>425000</v>
      </c>
      <c r="BG3725" t="s">
        <v>23874</v>
      </c>
      <c r="BH3725" s="1">
        <v>199.16</v>
      </c>
      <c r="BI3725" s="1">
        <v>436959</v>
      </c>
      <c r="BJ3725" s="3">
        <v>42171</v>
      </c>
      <c r="BK3725" t="s">
        <v>123</v>
      </c>
      <c r="BL3725" t="str">
        <f>"2015.429089"</f>
        <v>2015.429089</v>
      </c>
      <c r="BM3725" t="s">
        <v>5534</v>
      </c>
      <c r="BO3725" t="s">
        <v>23875</v>
      </c>
      <c r="BS3725">
        <v>30</v>
      </c>
      <c r="BW3725" t="str">
        <f>""</f>
        <v/>
      </c>
      <c r="CH3725" t="str">
        <f>""</f>
        <v/>
      </c>
      <c r="CS3725" t="str">
        <f>""</f>
        <v/>
      </c>
    </row>
    <row r="3726" spans="1:97" x14ac:dyDescent="0.25">
      <c r="A3726" t="s">
        <v>4270</v>
      </c>
      <c r="B3726" t="s">
        <v>23876</v>
      </c>
      <c r="C3726" t="s">
        <v>1011</v>
      </c>
      <c r="D3726" t="s">
        <v>23876</v>
      </c>
      <c r="E3726" t="s">
        <v>23877</v>
      </c>
      <c r="F3726" t="s">
        <v>108</v>
      </c>
      <c r="H3726" t="s">
        <v>23878</v>
      </c>
      <c r="I3726" t="s">
        <v>390</v>
      </c>
      <c r="J3726" t="s">
        <v>111</v>
      </c>
      <c r="K3726" t="str">
        <f>"85021"</f>
        <v>85021</v>
      </c>
      <c r="L3726" t="s">
        <v>6145</v>
      </c>
      <c r="M3726" t="s">
        <v>23878</v>
      </c>
      <c r="N3726" t="s">
        <v>390</v>
      </c>
      <c r="O3726" t="s">
        <v>111</v>
      </c>
      <c r="P3726" t="str">
        <f>"85021-5523"</f>
        <v>85021-5523</v>
      </c>
      <c r="Q3726" t="s">
        <v>113</v>
      </c>
      <c r="R3726" t="str">
        <f>"160-57-061"</f>
        <v>160-57-061</v>
      </c>
      <c r="S3726" t="s">
        <v>23879</v>
      </c>
      <c r="T3726" t="s">
        <v>23880</v>
      </c>
      <c r="U3726">
        <v>1900</v>
      </c>
      <c r="V3726">
        <v>0</v>
      </c>
      <c r="W3726">
        <v>2</v>
      </c>
      <c r="X3726">
        <v>1959</v>
      </c>
      <c r="Z3726">
        <v>1</v>
      </c>
      <c r="AA3726" t="s">
        <v>26</v>
      </c>
      <c r="AB3726">
        <v>0</v>
      </c>
      <c r="AC3726" t="s">
        <v>115</v>
      </c>
      <c r="AD3726">
        <v>2</v>
      </c>
      <c r="AE3726" t="s">
        <v>115</v>
      </c>
      <c r="AF3726">
        <v>0</v>
      </c>
      <c r="AG3726">
        <v>0</v>
      </c>
      <c r="AH3726" t="s">
        <v>116</v>
      </c>
      <c r="AI3726" s="1">
        <v>118605</v>
      </c>
      <c r="AJ3726" s="2">
        <v>0.26</v>
      </c>
      <c r="AK3726" s="1">
        <v>463530</v>
      </c>
      <c r="AL3726" t="s">
        <v>117</v>
      </c>
      <c r="AM3726" t="s">
        <v>1302</v>
      </c>
      <c r="AN3726">
        <v>13468</v>
      </c>
      <c r="AO3726">
        <v>0.31</v>
      </c>
      <c r="AP3726">
        <v>1</v>
      </c>
      <c r="AR3726">
        <v>1</v>
      </c>
      <c r="AS3726" s="1">
        <v>32050</v>
      </c>
      <c r="AT3726" s="1">
        <v>6410</v>
      </c>
      <c r="AU3726" s="1">
        <v>25640</v>
      </c>
      <c r="AV3726">
        <v>80</v>
      </c>
      <c r="AX3726" s="1">
        <v>2946.2</v>
      </c>
      <c r="AY3726" t="s">
        <v>6147</v>
      </c>
      <c r="AZ3726" t="s">
        <v>6148</v>
      </c>
      <c r="BA3726" t="s">
        <v>6149</v>
      </c>
      <c r="BE3726" s="3">
        <v>41891</v>
      </c>
      <c r="BF3726" s="1">
        <v>375000</v>
      </c>
      <c r="BG3726" t="s">
        <v>23881</v>
      </c>
      <c r="BH3726" s="1">
        <v>197.37</v>
      </c>
      <c r="BI3726" s="1">
        <v>344925</v>
      </c>
      <c r="BJ3726" s="3">
        <v>42710</v>
      </c>
      <c r="BK3726" t="s">
        <v>123</v>
      </c>
      <c r="BL3726" t="str">
        <f>"2016.899676"</f>
        <v>2016.899676</v>
      </c>
      <c r="BM3726" t="s">
        <v>5534</v>
      </c>
      <c r="BO3726" t="s">
        <v>23882</v>
      </c>
      <c r="BS3726">
        <v>30</v>
      </c>
      <c r="BW3726" t="str">
        <f>""</f>
        <v/>
      </c>
      <c r="CH3726" t="str">
        <f>""</f>
        <v/>
      </c>
      <c r="CS3726" t="str">
        <f>""</f>
        <v/>
      </c>
    </row>
    <row r="3727" spans="1:97" x14ac:dyDescent="0.25">
      <c r="A3727" t="s">
        <v>370</v>
      </c>
      <c r="B3727" t="s">
        <v>3768</v>
      </c>
      <c r="E3727" t="s">
        <v>23883</v>
      </c>
      <c r="F3727" t="s">
        <v>282</v>
      </c>
      <c r="H3727" t="s">
        <v>23884</v>
      </c>
      <c r="I3727" t="s">
        <v>390</v>
      </c>
      <c r="J3727" t="s">
        <v>111</v>
      </c>
      <c r="K3727" t="str">
        <f>"85028"</f>
        <v>85028</v>
      </c>
      <c r="L3727" t="s">
        <v>2903</v>
      </c>
      <c r="M3727" t="s">
        <v>23885</v>
      </c>
      <c r="N3727" t="s">
        <v>5387</v>
      </c>
      <c r="O3727" t="s">
        <v>111</v>
      </c>
      <c r="P3727" t="str">
        <f>"85282-3686"</f>
        <v>85282-3686</v>
      </c>
      <c r="Q3727" t="s">
        <v>113</v>
      </c>
      <c r="R3727" t="str">
        <f>"165-25-084"</f>
        <v>165-25-084</v>
      </c>
      <c r="S3727" t="s">
        <v>23886</v>
      </c>
      <c r="T3727" t="s">
        <v>23886</v>
      </c>
      <c r="U3727">
        <v>1836</v>
      </c>
      <c r="V3727">
        <v>0</v>
      </c>
      <c r="W3727">
        <v>2</v>
      </c>
      <c r="X3727">
        <v>1970</v>
      </c>
      <c r="Z3727">
        <v>1</v>
      </c>
      <c r="AB3727">
        <v>0</v>
      </c>
      <c r="AC3727" t="s">
        <v>115</v>
      </c>
      <c r="AD3727">
        <v>2</v>
      </c>
      <c r="AE3727" t="s">
        <v>115</v>
      </c>
      <c r="AF3727">
        <v>0</v>
      </c>
      <c r="AG3727">
        <v>0</v>
      </c>
      <c r="AH3727" t="s">
        <v>116</v>
      </c>
      <c r="AI3727" s="1">
        <v>71483</v>
      </c>
      <c r="AJ3727" s="2">
        <v>0.17</v>
      </c>
      <c r="AK3727" s="1">
        <v>427868</v>
      </c>
      <c r="AL3727" t="s">
        <v>117</v>
      </c>
      <c r="AM3727" t="s">
        <v>1302</v>
      </c>
      <c r="AN3727">
        <v>12162</v>
      </c>
      <c r="AO3727">
        <v>0.28000000000000003</v>
      </c>
      <c r="AP3727">
        <v>1</v>
      </c>
      <c r="AR3727">
        <v>1</v>
      </c>
      <c r="AS3727" s="1">
        <v>28810</v>
      </c>
      <c r="AT3727" s="1">
        <v>5760</v>
      </c>
      <c r="AU3727" s="1">
        <v>23050</v>
      </c>
      <c r="AV3727">
        <v>80.010000000000005</v>
      </c>
      <c r="AX3727" s="1">
        <v>2487.92</v>
      </c>
      <c r="AY3727" t="s">
        <v>9580</v>
      </c>
      <c r="AZ3727" t="s">
        <v>5489</v>
      </c>
      <c r="BA3727" t="s">
        <v>5232</v>
      </c>
      <c r="BE3727" s="3">
        <v>42160</v>
      </c>
      <c r="BF3727" s="1">
        <v>345000</v>
      </c>
      <c r="BG3727" t="s">
        <v>23887</v>
      </c>
      <c r="BH3727" s="1">
        <v>187.91</v>
      </c>
      <c r="BI3727" s="1">
        <v>356385</v>
      </c>
      <c r="BJ3727" s="3">
        <v>42160</v>
      </c>
      <c r="BK3727" t="s">
        <v>123</v>
      </c>
      <c r="BL3727" t="str">
        <f>"2015.403856"</f>
        <v>2015.403856</v>
      </c>
      <c r="BM3727" t="s">
        <v>724</v>
      </c>
      <c r="BO3727" t="s">
        <v>23888</v>
      </c>
      <c r="BS3727">
        <v>30</v>
      </c>
      <c r="BW3727" t="str">
        <f>""</f>
        <v/>
      </c>
      <c r="CH3727" t="str">
        <f>""</f>
        <v/>
      </c>
      <c r="CS3727" t="str">
        <f>""</f>
        <v/>
      </c>
    </row>
    <row r="3728" spans="1:97" x14ac:dyDescent="0.25">
      <c r="A3728" t="s">
        <v>23889</v>
      </c>
      <c r="B3728" t="s">
        <v>2854</v>
      </c>
      <c r="C3728" t="s">
        <v>23890</v>
      </c>
      <c r="D3728" t="s">
        <v>2854</v>
      </c>
      <c r="E3728" t="s">
        <v>23891</v>
      </c>
      <c r="F3728" t="s">
        <v>108</v>
      </c>
      <c r="H3728" t="s">
        <v>23892</v>
      </c>
      <c r="I3728" t="s">
        <v>110</v>
      </c>
      <c r="J3728" t="s">
        <v>111</v>
      </c>
      <c r="K3728" t="str">
        <f>"85249"</f>
        <v>85249</v>
      </c>
      <c r="L3728" t="s">
        <v>417</v>
      </c>
      <c r="M3728" t="s">
        <v>23892</v>
      </c>
      <c r="N3728" t="s">
        <v>110</v>
      </c>
      <c r="O3728" t="s">
        <v>111</v>
      </c>
      <c r="P3728" t="str">
        <f>"85249-5859"</f>
        <v>85249-5859</v>
      </c>
      <c r="Q3728" t="s">
        <v>113</v>
      </c>
      <c r="R3728" t="str">
        <f>"304-82-417"</f>
        <v>304-82-417</v>
      </c>
      <c r="S3728" t="s">
        <v>7599</v>
      </c>
      <c r="T3728" t="s">
        <v>7599</v>
      </c>
      <c r="U3728">
        <v>4634</v>
      </c>
      <c r="V3728">
        <v>0</v>
      </c>
      <c r="W3728">
        <v>5</v>
      </c>
      <c r="X3728">
        <v>2004</v>
      </c>
      <c r="Z3728">
        <v>2</v>
      </c>
      <c r="AA3728" t="s">
        <v>26</v>
      </c>
      <c r="AB3728">
        <v>0</v>
      </c>
      <c r="AC3728" t="s">
        <v>115</v>
      </c>
      <c r="AD3728">
        <v>3</v>
      </c>
      <c r="AE3728" t="s">
        <v>115</v>
      </c>
      <c r="AF3728">
        <v>0</v>
      </c>
      <c r="AG3728">
        <v>0</v>
      </c>
      <c r="AH3728" t="s">
        <v>116</v>
      </c>
      <c r="AI3728" s="1">
        <v>118245</v>
      </c>
      <c r="AJ3728" s="2">
        <v>0.22</v>
      </c>
      <c r="AK3728" s="1">
        <v>528795</v>
      </c>
      <c r="AL3728" t="s">
        <v>117</v>
      </c>
      <c r="AM3728" t="s">
        <v>118</v>
      </c>
      <c r="AN3728">
        <v>10633</v>
      </c>
      <c r="AO3728">
        <v>0.24</v>
      </c>
      <c r="AP3728">
        <v>1</v>
      </c>
      <c r="AR3728">
        <v>1</v>
      </c>
      <c r="AS3728" s="1">
        <v>38630</v>
      </c>
      <c r="AT3728" s="1">
        <v>7720</v>
      </c>
      <c r="AU3728" s="1">
        <v>30910</v>
      </c>
      <c r="AV3728">
        <v>80.02</v>
      </c>
      <c r="AX3728" s="1">
        <v>3598.2</v>
      </c>
      <c r="AY3728" t="s">
        <v>3699</v>
      </c>
      <c r="AZ3728" t="s">
        <v>273</v>
      </c>
      <c r="BA3728" t="s">
        <v>274</v>
      </c>
      <c r="BE3728" s="3">
        <v>41817</v>
      </c>
      <c r="BF3728" s="1">
        <v>418000</v>
      </c>
      <c r="BG3728" t="s">
        <v>23893</v>
      </c>
      <c r="BH3728" s="1">
        <v>90.2</v>
      </c>
      <c r="BI3728" s="1">
        <v>410550</v>
      </c>
      <c r="BJ3728" s="3">
        <v>42620</v>
      </c>
      <c r="BK3728" t="s">
        <v>123</v>
      </c>
      <c r="BL3728" t="str">
        <f>"2016.647912"</f>
        <v>2016.647912</v>
      </c>
      <c r="BM3728" t="s">
        <v>124</v>
      </c>
      <c r="BO3728" t="s">
        <v>23894</v>
      </c>
      <c r="BS3728">
        <v>30</v>
      </c>
      <c r="BW3728" t="str">
        <f>""</f>
        <v/>
      </c>
      <c r="CH3728" t="str">
        <f>""</f>
        <v/>
      </c>
      <c r="CS3728" t="str">
        <f>""</f>
        <v/>
      </c>
    </row>
    <row r="3729" spans="1:97" x14ac:dyDescent="0.25">
      <c r="A3729" t="s">
        <v>3613</v>
      </c>
      <c r="B3729" t="s">
        <v>23895</v>
      </c>
      <c r="C3729" t="s">
        <v>23896</v>
      </c>
      <c r="D3729" t="s">
        <v>23895</v>
      </c>
      <c r="E3729" t="s">
        <v>23897</v>
      </c>
      <c r="F3729" t="s">
        <v>108</v>
      </c>
      <c r="H3729" t="s">
        <v>23898</v>
      </c>
      <c r="I3729" t="s">
        <v>632</v>
      </c>
      <c r="J3729" t="s">
        <v>111</v>
      </c>
      <c r="K3729" t="str">
        <f>"85388"</f>
        <v>85388</v>
      </c>
      <c r="L3729" t="s">
        <v>4159</v>
      </c>
      <c r="M3729" t="s">
        <v>23898</v>
      </c>
      <c r="N3729" t="s">
        <v>632</v>
      </c>
      <c r="O3729" t="s">
        <v>111</v>
      </c>
      <c r="P3729" t="str">
        <f>"85388-1762"</f>
        <v>85388-1762</v>
      </c>
      <c r="Q3729" t="s">
        <v>113</v>
      </c>
      <c r="R3729" t="str">
        <f>"502-84-583"</f>
        <v>502-84-583</v>
      </c>
      <c r="S3729" t="s">
        <v>16882</v>
      </c>
      <c r="T3729" t="s">
        <v>16883</v>
      </c>
      <c r="U3729">
        <v>3077</v>
      </c>
      <c r="V3729">
        <v>0</v>
      </c>
      <c r="W3729">
        <v>4</v>
      </c>
      <c r="X3729">
        <v>2005</v>
      </c>
      <c r="Z3729">
        <v>2</v>
      </c>
      <c r="AB3729">
        <v>0</v>
      </c>
      <c r="AC3729" t="s">
        <v>115</v>
      </c>
      <c r="AD3729">
        <v>3</v>
      </c>
      <c r="AE3729" t="s">
        <v>115</v>
      </c>
      <c r="AF3729">
        <v>0</v>
      </c>
      <c r="AG3729">
        <v>0</v>
      </c>
      <c r="AH3729" t="s">
        <v>116</v>
      </c>
      <c r="AI3729" s="1">
        <v>59173</v>
      </c>
      <c r="AJ3729" s="2">
        <v>0.18</v>
      </c>
      <c r="AK3729" s="1">
        <v>323488</v>
      </c>
      <c r="AL3729" t="s">
        <v>117</v>
      </c>
      <c r="AM3729" t="s">
        <v>118</v>
      </c>
      <c r="AN3729">
        <v>6900</v>
      </c>
      <c r="AO3729">
        <v>0.16</v>
      </c>
      <c r="AR3729">
        <v>1</v>
      </c>
      <c r="AS3729" s="1">
        <v>22250</v>
      </c>
      <c r="AT3729" s="1">
        <v>4450</v>
      </c>
      <c r="AU3729" s="1">
        <v>17800</v>
      </c>
      <c r="AV3729">
        <v>80</v>
      </c>
      <c r="AX3729" s="1">
        <v>1965.2</v>
      </c>
      <c r="AY3729" t="s">
        <v>5168</v>
      </c>
      <c r="AZ3729" t="s">
        <v>5168</v>
      </c>
      <c r="BA3729" t="s">
        <v>5109</v>
      </c>
      <c r="BE3729" s="3">
        <v>42388</v>
      </c>
      <c r="BF3729" s="1">
        <v>258000</v>
      </c>
      <c r="BG3729" t="s">
        <v>23899</v>
      </c>
      <c r="BH3729" s="1">
        <v>83.85</v>
      </c>
      <c r="BI3729" s="1">
        <v>264315</v>
      </c>
      <c r="BJ3729" s="3">
        <v>42604</v>
      </c>
      <c r="BK3729" t="s">
        <v>123</v>
      </c>
      <c r="BL3729" t="str">
        <f>"2016.600818"</f>
        <v>2016.600818</v>
      </c>
      <c r="BM3729" t="s">
        <v>425</v>
      </c>
      <c r="BO3729" t="s">
        <v>23900</v>
      </c>
      <c r="BS3729">
        <v>30</v>
      </c>
      <c r="BW3729" t="str">
        <f>""</f>
        <v/>
      </c>
      <c r="CH3729" t="str">
        <f>""</f>
        <v/>
      </c>
      <c r="CS3729" t="str">
        <f>""</f>
        <v/>
      </c>
    </row>
    <row r="3730" spans="1:97" x14ac:dyDescent="0.25">
      <c r="A3730" t="s">
        <v>2698</v>
      </c>
      <c r="B3730" t="s">
        <v>23901</v>
      </c>
      <c r="C3730" t="s">
        <v>1335</v>
      </c>
      <c r="D3730" t="s">
        <v>23901</v>
      </c>
      <c r="E3730" t="s">
        <v>23902</v>
      </c>
      <c r="F3730" t="s">
        <v>282</v>
      </c>
      <c r="H3730" t="s">
        <v>23903</v>
      </c>
      <c r="I3730" t="s">
        <v>632</v>
      </c>
      <c r="J3730" t="s">
        <v>111</v>
      </c>
      <c r="K3730" t="str">
        <f>"85388"</f>
        <v>85388</v>
      </c>
      <c r="L3730" t="s">
        <v>7607</v>
      </c>
      <c r="M3730" t="s">
        <v>23904</v>
      </c>
      <c r="N3730" t="s">
        <v>632</v>
      </c>
      <c r="O3730" t="s">
        <v>111</v>
      </c>
      <c r="P3730" t="str">
        <f>"85388"</f>
        <v>85388</v>
      </c>
      <c r="Q3730" t="s">
        <v>113</v>
      </c>
      <c r="R3730" t="str">
        <f>"502-02-217"</f>
        <v>502-02-217</v>
      </c>
      <c r="S3730" t="s">
        <v>13127</v>
      </c>
      <c r="T3730" t="s">
        <v>13128</v>
      </c>
      <c r="U3730">
        <v>2800</v>
      </c>
      <c r="V3730">
        <v>0</v>
      </c>
      <c r="W3730">
        <v>4</v>
      </c>
      <c r="X3730">
        <v>2014</v>
      </c>
      <c r="Z3730">
        <v>2</v>
      </c>
      <c r="AB3730">
        <v>0</v>
      </c>
      <c r="AC3730" t="s">
        <v>115</v>
      </c>
      <c r="AD3730">
        <v>2</v>
      </c>
      <c r="AE3730" t="s">
        <v>115</v>
      </c>
      <c r="AF3730">
        <v>0</v>
      </c>
      <c r="AG3730">
        <v>0</v>
      </c>
      <c r="AH3730" t="s">
        <v>116</v>
      </c>
      <c r="AI3730" s="1">
        <v>84850</v>
      </c>
      <c r="AJ3730" s="2">
        <v>0.27</v>
      </c>
      <c r="AK3730" s="1">
        <v>317665</v>
      </c>
      <c r="AL3730" t="s">
        <v>117</v>
      </c>
      <c r="AM3730" t="s">
        <v>118</v>
      </c>
      <c r="AN3730">
        <v>6004</v>
      </c>
      <c r="AO3730">
        <v>0.14000000000000001</v>
      </c>
      <c r="AR3730">
        <v>1</v>
      </c>
      <c r="AS3730" s="1">
        <v>22830</v>
      </c>
      <c r="AT3730" s="1">
        <v>4560</v>
      </c>
      <c r="AU3730" s="1">
        <v>18270</v>
      </c>
      <c r="AV3730">
        <v>80.03</v>
      </c>
      <c r="AX3730" s="1">
        <v>1923.88</v>
      </c>
      <c r="AY3730" t="s">
        <v>5168</v>
      </c>
      <c r="AZ3730" t="s">
        <v>5168</v>
      </c>
      <c r="BA3730" t="s">
        <v>5109</v>
      </c>
      <c r="BE3730" s="3">
        <v>41757</v>
      </c>
      <c r="BF3730" s="1">
        <v>234278</v>
      </c>
      <c r="BG3730" t="s">
        <v>13129</v>
      </c>
      <c r="BH3730" s="1">
        <v>83.67</v>
      </c>
      <c r="BI3730" s="1">
        <v>232815</v>
      </c>
      <c r="BJ3730" s="3">
        <v>42641</v>
      </c>
      <c r="BK3730" t="s">
        <v>123</v>
      </c>
      <c r="BL3730" t="str">
        <f>"2016.704731"</f>
        <v>2016.704731</v>
      </c>
      <c r="BM3730" t="s">
        <v>402</v>
      </c>
      <c r="BO3730" t="s">
        <v>23905</v>
      </c>
      <c r="BS3730">
        <v>30</v>
      </c>
      <c r="BW3730" t="str">
        <f>""</f>
        <v/>
      </c>
      <c r="CH3730" t="str">
        <f>""</f>
        <v/>
      </c>
      <c r="CS3730" t="str">
        <f>""</f>
        <v/>
      </c>
    </row>
    <row r="3731" spans="1:97" x14ac:dyDescent="0.25">
      <c r="A3731" t="s">
        <v>996</v>
      </c>
      <c r="B3731" t="s">
        <v>23906</v>
      </c>
      <c r="C3731" t="s">
        <v>23907</v>
      </c>
      <c r="D3731" t="s">
        <v>23906</v>
      </c>
      <c r="E3731" t="s">
        <v>23908</v>
      </c>
      <c r="F3731" t="s">
        <v>108</v>
      </c>
      <c r="H3731" t="s">
        <v>23909</v>
      </c>
      <c r="I3731" t="s">
        <v>225</v>
      </c>
      <c r="J3731" t="s">
        <v>111</v>
      </c>
      <c r="K3731" t="str">
        <f>"85213"</f>
        <v>85213</v>
      </c>
      <c r="L3731" t="s">
        <v>11941</v>
      </c>
      <c r="M3731" t="s">
        <v>23909</v>
      </c>
      <c r="N3731" t="s">
        <v>225</v>
      </c>
      <c r="O3731" t="s">
        <v>111</v>
      </c>
      <c r="P3731" t="str">
        <f>"85213-1619"</f>
        <v>85213-1619</v>
      </c>
      <c r="Q3731" t="s">
        <v>113</v>
      </c>
      <c r="R3731" t="str">
        <f>"141-15-665"</f>
        <v>141-15-665</v>
      </c>
      <c r="S3731" t="s">
        <v>14225</v>
      </c>
      <c r="U3731">
        <v>1935</v>
      </c>
      <c r="V3731">
        <v>0</v>
      </c>
      <c r="W3731">
        <v>3</v>
      </c>
      <c r="X3731">
        <v>1991</v>
      </c>
      <c r="Z3731">
        <v>1</v>
      </c>
      <c r="AA3731" t="s">
        <v>26</v>
      </c>
      <c r="AB3731">
        <v>0</v>
      </c>
      <c r="AC3731" t="s">
        <v>115</v>
      </c>
      <c r="AD3731">
        <v>2</v>
      </c>
      <c r="AE3731" t="s">
        <v>115</v>
      </c>
      <c r="AF3731">
        <v>0</v>
      </c>
      <c r="AG3731">
        <v>0</v>
      </c>
      <c r="AH3731" t="s">
        <v>116</v>
      </c>
      <c r="AI3731" s="1">
        <v>79877</v>
      </c>
      <c r="AJ3731" s="2">
        <v>0.24</v>
      </c>
      <c r="AK3731" s="1">
        <v>338127</v>
      </c>
      <c r="AL3731" t="s">
        <v>117</v>
      </c>
      <c r="AM3731" t="s">
        <v>917</v>
      </c>
      <c r="AN3731">
        <v>9260</v>
      </c>
      <c r="AO3731">
        <v>0.21</v>
      </c>
      <c r="AP3731">
        <v>1</v>
      </c>
      <c r="AR3731">
        <v>1</v>
      </c>
      <c r="AS3731" s="1">
        <v>23480</v>
      </c>
      <c r="AT3731" s="1">
        <v>4690</v>
      </c>
      <c r="AU3731" s="1">
        <v>18790</v>
      </c>
      <c r="AV3731">
        <v>80.03</v>
      </c>
      <c r="AX3731" s="1">
        <v>1977.6</v>
      </c>
      <c r="AY3731" t="s">
        <v>4162</v>
      </c>
      <c r="AZ3731" t="s">
        <v>4163</v>
      </c>
      <c r="BA3731" t="s">
        <v>1524</v>
      </c>
      <c r="BE3731" s="3">
        <v>41669</v>
      </c>
      <c r="BF3731" s="1">
        <v>240000</v>
      </c>
      <c r="BG3731" t="s">
        <v>23910</v>
      </c>
      <c r="BH3731" s="1">
        <v>124.03</v>
      </c>
      <c r="BI3731" s="1">
        <v>258250</v>
      </c>
      <c r="BJ3731" s="3">
        <v>43216</v>
      </c>
      <c r="BK3731" t="s">
        <v>123</v>
      </c>
      <c r="BL3731" t="str">
        <f>"2018.316684"</f>
        <v>2018.316684</v>
      </c>
      <c r="BM3731" t="s">
        <v>1051</v>
      </c>
      <c r="BN3731" t="s">
        <v>9602</v>
      </c>
      <c r="BO3731" t="s">
        <v>23911</v>
      </c>
      <c r="BP3731" t="s">
        <v>23912</v>
      </c>
      <c r="BR3731" t="s">
        <v>139</v>
      </c>
      <c r="BW3731" t="str">
        <f>""</f>
        <v/>
      </c>
      <c r="CH3731" t="str">
        <f>""</f>
        <v/>
      </c>
      <c r="CS3731" t="str">
        <f>""</f>
        <v/>
      </c>
    </row>
    <row r="3732" spans="1:97" x14ac:dyDescent="0.25">
      <c r="A3732" t="s">
        <v>179</v>
      </c>
      <c r="B3732" t="s">
        <v>23913</v>
      </c>
      <c r="C3732" t="s">
        <v>1938</v>
      </c>
      <c r="D3732" t="s">
        <v>23913</v>
      </c>
      <c r="E3732" t="s">
        <v>23914</v>
      </c>
      <c r="F3732" t="s">
        <v>108</v>
      </c>
      <c r="H3732" t="s">
        <v>23915</v>
      </c>
      <c r="I3732" t="s">
        <v>2874</v>
      </c>
      <c r="J3732" t="s">
        <v>111</v>
      </c>
      <c r="K3732" t="str">
        <f>"85308"</f>
        <v>85308</v>
      </c>
      <c r="L3732" t="s">
        <v>7607</v>
      </c>
      <c r="M3732" t="s">
        <v>23915</v>
      </c>
      <c r="N3732" t="s">
        <v>2874</v>
      </c>
      <c r="O3732" t="s">
        <v>111</v>
      </c>
      <c r="P3732" t="str">
        <f>"85308-9518"</f>
        <v>85308-9518</v>
      </c>
      <c r="Q3732" t="s">
        <v>113</v>
      </c>
      <c r="R3732" t="str">
        <f>"200-21-039"</f>
        <v>200-21-039</v>
      </c>
      <c r="S3732" t="s">
        <v>23916</v>
      </c>
      <c r="T3732" t="s">
        <v>23916</v>
      </c>
      <c r="U3732">
        <v>3354</v>
      </c>
      <c r="V3732">
        <v>0</v>
      </c>
      <c r="W3732">
        <v>5</v>
      </c>
      <c r="X3732">
        <v>1996</v>
      </c>
      <c r="Z3732">
        <v>2</v>
      </c>
      <c r="AA3732" t="s">
        <v>26</v>
      </c>
      <c r="AB3732">
        <v>0</v>
      </c>
      <c r="AC3732" t="s">
        <v>115</v>
      </c>
      <c r="AD3732">
        <v>3</v>
      </c>
      <c r="AE3732" t="s">
        <v>115</v>
      </c>
      <c r="AF3732">
        <v>0</v>
      </c>
      <c r="AG3732">
        <v>0</v>
      </c>
      <c r="AH3732" t="s">
        <v>116</v>
      </c>
      <c r="AI3732" s="1">
        <v>81491</v>
      </c>
      <c r="AJ3732" s="2">
        <v>0.17</v>
      </c>
      <c r="AK3732" s="1">
        <v>476811</v>
      </c>
      <c r="AL3732" t="s">
        <v>117</v>
      </c>
      <c r="AM3732" t="s">
        <v>191</v>
      </c>
      <c r="AN3732">
        <v>12500</v>
      </c>
      <c r="AO3732">
        <v>0.28999999999999998</v>
      </c>
      <c r="AP3732">
        <v>1</v>
      </c>
      <c r="AR3732">
        <v>1</v>
      </c>
      <c r="AS3732" s="1">
        <v>35830</v>
      </c>
      <c r="AT3732" s="1">
        <v>7160</v>
      </c>
      <c r="AU3732" s="1">
        <v>28670</v>
      </c>
      <c r="AV3732">
        <v>80.02</v>
      </c>
      <c r="AX3732" s="1">
        <v>3654.76</v>
      </c>
      <c r="AY3732" t="s">
        <v>8358</v>
      </c>
      <c r="AZ3732" t="s">
        <v>8358</v>
      </c>
      <c r="BA3732" t="s">
        <v>2223</v>
      </c>
      <c r="BE3732" s="3">
        <v>42250</v>
      </c>
      <c r="BF3732" s="1">
        <v>387000</v>
      </c>
      <c r="BG3732" t="s">
        <v>23917</v>
      </c>
      <c r="BH3732" s="1">
        <v>115.38</v>
      </c>
      <c r="BI3732" s="1">
        <v>395320</v>
      </c>
      <c r="BJ3732" s="3">
        <v>42250</v>
      </c>
      <c r="BK3732" t="s">
        <v>123</v>
      </c>
      <c r="BL3732" t="str">
        <f>"2015.640988"</f>
        <v>2015.640988</v>
      </c>
      <c r="BM3732" t="s">
        <v>5253</v>
      </c>
      <c r="BO3732" t="s">
        <v>23918</v>
      </c>
      <c r="BS3732">
        <v>30</v>
      </c>
      <c r="BW3732" t="str">
        <f>""</f>
        <v/>
      </c>
      <c r="CH3732" t="str">
        <f>""</f>
        <v/>
      </c>
      <c r="CS3732" t="str">
        <f>""</f>
        <v/>
      </c>
    </row>
    <row r="3733" spans="1:97" x14ac:dyDescent="0.25">
      <c r="A3733" t="s">
        <v>13763</v>
      </c>
      <c r="B3733" t="s">
        <v>3265</v>
      </c>
      <c r="C3733" t="s">
        <v>1821</v>
      </c>
      <c r="D3733" t="s">
        <v>3265</v>
      </c>
      <c r="E3733" t="s">
        <v>23919</v>
      </c>
      <c r="F3733" t="s">
        <v>108</v>
      </c>
      <c r="H3733" t="s">
        <v>23920</v>
      </c>
      <c r="I3733" t="s">
        <v>632</v>
      </c>
      <c r="J3733" t="s">
        <v>111</v>
      </c>
      <c r="K3733" t="str">
        <f>"85387"</f>
        <v>85387</v>
      </c>
      <c r="L3733" t="s">
        <v>6529</v>
      </c>
      <c r="M3733" t="s">
        <v>23920</v>
      </c>
      <c r="N3733" t="s">
        <v>632</v>
      </c>
      <c r="O3733" t="s">
        <v>111</v>
      </c>
      <c r="P3733" t="str">
        <f>"85387-1131"</f>
        <v>85387-1131</v>
      </c>
      <c r="Q3733" t="s">
        <v>113</v>
      </c>
      <c r="R3733" t="str">
        <f>"510-04-772"</f>
        <v>510-04-772</v>
      </c>
      <c r="S3733" t="s">
        <v>8907</v>
      </c>
      <c r="T3733" t="s">
        <v>5498</v>
      </c>
      <c r="U3733">
        <v>2446</v>
      </c>
      <c r="V3733">
        <v>0</v>
      </c>
      <c r="W3733">
        <v>3</v>
      </c>
      <c r="X3733">
        <v>2016</v>
      </c>
      <c r="Z3733">
        <v>2</v>
      </c>
      <c r="AB3733">
        <v>0</v>
      </c>
      <c r="AC3733" t="s">
        <v>115</v>
      </c>
      <c r="AD3733">
        <v>3</v>
      </c>
      <c r="AE3733" t="s">
        <v>115</v>
      </c>
      <c r="AF3733">
        <v>0</v>
      </c>
      <c r="AG3733">
        <v>0</v>
      </c>
      <c r="AH3733" t="s">
        <v>116</v>
      </c>
      <c r="AI3733" s="1">
        <v>77737</v>
      </c>
      <c r="AJ3733" s="2">
        <v>0.24</v>
      </c>
      <c r="AK3733" s="1">
        <v>321714</v>
      </c>
      <c r="AL3733" t="s">
        <v>117</v>
      </c>
      <c r="AM3733" t="s">
        <v>118</v>
      </c>
      <c r="AN3733">
        <v>9511</v>
      </c>
      <c r="AO3733">
        <v>0.22</v>
      </c>
      <c r="AR3733">
        <v>1</v>
      </c>
      <c r="AS3733" s="1">
        <v>23310</v>
      </c>
      <c r="AT3733" s="1">
        <v>4660</v>
      </c>
      <c r="AU3733" s="1">
        <v>18650</v>
      </c>
      <c r="AV3733">
        <v>80.010000000000005</v>
      </c>
      <c r="AX3733" s="1">
        <v>1331.42</v>
      </c>
      <c r="AY3733" t="s">
        <v>5499</v>
      </c>
      <c r="AZ3733" t="s">
        <v>5499</v>
      </c>
      <c r="BE3733" s="3">
        <v>42542</v>
      </c>
      <c r="BF3733" s="1">
        <v>293977</v>
      </c>
      <c r="BG3733" t="s">
        <v>6320</v>
      </c>
      <c r="BH3733" s="1">
        <v>120.19</v>
      </c>
      <c r="BI3733" s="1">
        <v>243977</v>
      </c>
      <c r="BJ3733" s="3">
        <v>42542</v>
      </c>
      <c r="BK3733" t="s">
        <v>123</v>
      </c>
      <c r="BL3733" t="str">
        <f>"2016.430989"</f>
        <v>2016.430989</v>
      </c>
      <c r="BM3733" t="s">
        <v>573</v>
      </c>
      <c r="BO3733" t="s">
        <v>23921</v>
      </c>
      <c r="BS3733">
        <v>30</v>
      </c>
      <c r="BW3733" t="str">
        <f>""</f>
        <v/>
      </c>
      <c r="CH3733" t="str">
        <f>""</f>
        <v/>
      </c>
      <c r="CS3733" t="str">
        <f>""</f>
        <v/>
      </c>
    </row>
    <row r="3734" spans="1:97" x14ac:dyDescent="0.25">
      <c r="A3734" t="s">
        <v>996</v>
      </c>
      <c r="B3734" t="s">
        <v>1082</v>
      </c>
      <c r="E3734" t="s">
        <v>23922</v>
      </c>
      <c r="F3734" t="s">
        <v>108</v>
      </c>
      <c r="H3734" t="s">
        <v>23923</v>
      </c>
      <c r="I3734" t="s">
        <v>1936</v>
      </c>
      <c r="J3734" t="s">
        <v>111</v>
      </c>
      <c r="K3734" t="str">
        <f>"85260"</f>
        <v>85260</v>
      </c>
      <c r="L3734" t="s">
        <v>6891</v>
      </c>
      <c r="M3734" t="s">
        <v>23923</v>
      </c>
      <c r="N3734" t="s">
        <v>1936</v>
      </c>
      <c r="O3734" t="s">
        <v>111</v>
      </c>
      <c r="P3734" t="str">
        <f>"85260-9029"</f>
        <v>85260-9029</v>
      </c>
      <c r="Q3734" t="s">
        <v>113</v>
      </c>
      <c r="R3734" t="str">
        <f>"217-50-033"</f>
        <v>217-50-033</v>
      </c>
      <c r="S3734" t="s">
        <v>23924</v>
      </c>
      <c r="T3734" t="s">
        <v>21070</v>
      </c>
      <c r="U3734">
        <v>1647</v>
      </c>
      <c r="V3734">
        <v>0</v>
      </c>
      <c r="W3734">
        <v>3</v>
      </c>
      <c r="X3734">
        <v>1989</v>
      </c>
      <c r="Z3734">
        <v>2</v>
      </c>
      <c r="AA3734" t="s">
        <v>26</v>
      </c>
      <c r="AB3734">
        <v>0</v>
      </c>
      <c r="AC3734" t="s">
        <v>115</v>
      </c>
      <c r="AD3734">
        <v>2</v>
      </c>
      <c r="AE3734" t="s">
        <v>115</v>
      </c>
      <c r="AF3734">
        <v>0</v>
      </c>
      <c r="AG3734">
        <v>0</v>
      </c>
      <c r="AH3734" t="s">
        <v>116</v>
      </c>
      <c r="AI3734" s="1">
        <v>33731</v>
      </c>
      <c r="AJ3734" s="2">
        <v>0.08</v>
      </c>
      <c r="AK3734" s="1">
        <v>413731</v>
      </c>
      <c r="AL3734" t="s">
        <v>117</v>
      </c>
      <c r="AM3734" t="s">
        <v>6533</v>
      </c>
      <c r="AN3734">
        <v>5499</v>
      </c>
      <c r="AO3734">
        <v>0.13</v>
      </c>
      <c r="AP3734">
        <v>1</v>
      </c>
      <c r="AR3734">
        <v>1</v>
      </c>
      <c r="AS3734" s="1">
        <v>28870</v>
      </c>
      <c r="AT3734" s="1">
        <v>5770</v>
      </c>
      <c r="AU3734" s="1">
        <v>23100</v>
      </c>
      <c r="AV3734">
        <v>80.010000000000005</v>
      </c>
      <c r="AX3734" s="1">
        <v>2356.66</v>
      </c>
      <c r="AY3734" t="s">
        <v>5904</v>
      </c>
      <c r="AZ3734" t="s">
        <v>5420</v>
      </c>
      <c r="BA3734" t="s">
        <v>5763</v>
      </c>
      <c r="BE3734" s="3">
        <v>42069</v>
      </c>
      <c r="BF3734" s="1">
        <v>325000</v>
      </c>
      <c r="BG3734" t="s">
        <v>23925</v>
      </c>
      <c r="BH3734" s="1">
        <v>197.33</v>
      </c>
      <c r="BI3734" s="1">
        <v>380000</v>
      </c>
      <c r="BJ3734" s="3">
        <v>43488</v>
      </c>
      <c r="BK3734" t="s">
        <v>123</v>
      </c>
      <c r="BL3734" t="str">
        <f>"2019.46304"</f>
        <v>2019.46304</v>
      </c>
      <c r="BM3734" t="s">
        <v>8671</v>
      </c>
      <c r="BN3734" t="s">
        <v>8672</v>
      </c>
      <c r="BO3734" t="s">
        <v>23926</v>
      </c>
      <c r="BR3734" t="s">
        <v>139</v>
      </c>
      <c r="BW3734" t="str">
        <f>""</f>
        <v/>
      </c>
      <c r="CH3734" t="str">
        <f>""</f>
        <v/>
      </c>
      <c r="CS3734" t="str">
        <f>""</f>
        <v/>
      </c>
    </row>
    <row r="3735" spans="1:97" x14ac:dyDescent="0.25">
      <c r="A3735" t="s">
        <v>996</v>
      </c>
      <c r="B3735" t="s">
        <v>23927</v>
      </c>
      <c r="E3735" t="s">
        <v>23928</v>
      </c>
      <c r="F3735" t="s">
        <v>108</v>
      </c>
      <c r="H3735" t="s">
        <v>23929</v>
      </c>
      <c r="I3735" t="s">
        <v>6646</v>
      </c>
      <c r="J3735" t="s">
        <v>111</v>
      </c>
      <c r="K3735" t="str">
        <f>"85086"</f>
        <v>85086</v>
      </c>
      <c r="L3735" t="s">
        <v>2015</v>
      </c>
      <c r="M3735" t="s">
        <v>23929</v>
      </c>
      <c r="N3735" t="s">
        <v>6646</v>
      </c>
      <c r="O3735" t="s">
        <v>111</v>
      </c>
      <c r="P3735" t="str">
        <f>"85086-6004"</f>
        <v>85086-6004</v>
      </c>
      <c r="Q3735" t="s">
        <v>113</v>
      </c>
      <c r="R3735" t="str">
        <f>"203-05-639"</f>
        <v>203-05-639</v>
      </c>
      <c r="S3735" t="s">
        <v>18109</v>
      </c>
      <c r="U3735">
        <v>1622</v>
      </c>
      <c r="V3735">
        <v>0</v>
      </c>
      <c r="W3735">
        <v>3</v>
      </c>
      <c r="X3735">
        <v>2000</v>
      </c>
      <c r="Z3735">
        <v>1</v>
      </c>
      <c r="AA3735" t="s">
        <v>26</v>
      </c>
      <c r="AB3735">
        <v>0</v>
      </c>
      <c r="AC3735" t="s">
        <v>115</v>
      </c>
      <c r="AD3735">
        <v>3</v>
      </c>
      <c r="AE3735" t="s">
        <v>115</v>
      </c>
      <c r="AF3735">
        <v>0</v>
      </c>
      <c r="AG3735">
        <v>0</v>
      </c>
      <c r="AH3735" t="s">
        <v>116</v>
      </c>
      <c r="AI3735" s="1">
        <v>60098</v>
      </c>
      <c r="AJ3735" s="2">
        <v>0.19</v>
      </c>
      <c r="AK3735" s="1">
        <v>314238</v>
      </c>
      <c r="AL3735" t="s">
        <v>117</v>
      </c>
      <c r="AM3735" t="s">
        <v>393</v>
      </c>
      <c r="AN3735">
        <v>8050</v>
      </c>
      <c r="AO3735">
        <v>0.18</v>
      </c>
      <c r="AP3735">
        <v>1</v>
      </c>
      <c r="AR3735">
        <v>1</v>
      </c>
      <c r="AS3735" s="1">
        <v>22760</v>
      </c>
      <c r="AT3735" s="1">
        <v>4550</v>
      </c>
      <c r="AU3735" s="1">
        <v>18210</v>
      </c>
      <c r="AV3735">
        <v>80.010000000000005</v>
      </c>
      <c r="AX3735" s="1">
        <v>2479.6799999999998</v>
      </c>
      <c r="AY3735" t="s">
        <v>6648</v>
      </c>
      <c r="AZ3735" t="s">
        <v>6648</v>
      </c>
      <c r="BA3735" t="s">
        <v>378</v>
      </c>
      <c r="BE3735" s="3">
        <v>42237</v>
      </c>
      <c r="BF3735" s="1">
        <v>245000</v>
      </c>
      <c r="BG3735" t="s">
        <v>23930</v>
      </c>
      <c r="BH3735" s="1">
        <v>151.05000000000001</v>
      </c>
      <c r="BI3735" s="1">
        <v>254140</v>
      </c>
      <c r="BJ3735" s="3">
        <v>42510</v>
      </c>
      <c r="BK3735" t="s">
        <v>123</v>
      </c>
      <c r="BL3735" t="str">
        <f>"2016.346982"</f>
        <v>2016.346982</v>
      </c>
      <c r="BM3735" t="s">
        <v>724</v>
      </c>
      <c r="BO3735" t="s">
        <v>23931</v>
      </c>
      <c r="BS3735">
        <v>30</v>
      </c>
      <c r="BW3735" t="str">
        <f>""</f>
        <v/>
      </c>
      <c r="CH3735" t="str">
        <f>""</f>
        <v/>
      </c>
      <c r="CS3735" t="str">
        <f>""</f>
        <v/>
      </c>
    </row>
    <row r="3736" spans="1:97" x14ac:dyDescent="0.25">
      <c r="A3736" t="s">
        <v>23932</v>
      </c>
      <c r="B3736" t="s">
        <v>23933</v>
      </c>
      <c r="C3736" t="s">
        <v>328</v>
      </c>
      <c r="D3736" t="s">
        <v>23933</v>
      </c>
      <c r="E3736" t="s">
        <v>23934</v>
      </c>
      <c r="F3736" t="s">
        <v>108</v>
      </c>
      <c r="H3736" t="s">
        <v>23935</v>
      </c>
      <c r="I3736" t="s">
        <v>203</v>
      </c>
      <c r="J3736" t="s">
        <v>111</v>
      </c>
      <c r="K3736" t="str">
        <f>"85295"</f>
        <v>85295</v>
      </c>
      <c r="L3736" t="s">
        <v>3520</v>
      </c>
      <c r="M3736" t="s">
        <v>23935</v>
      </c>
      <c r="N3736" t="s">
        <v>203</v>
      </c>
      <c r="O3736" t="s">
        <v>111</v>
      </c>
      <c r="P3736" t="str">
        <f>"85295-7214"</f>
        <v>85295-7214</v>
      </c>
      <c r="Q3736" t="s">
        <v>113</v>
      </c>
      <c r="R3736" t="str">
        <f>"313-10-526"</f>
        <v>313-10-526</v>
      </c>
      <c r="S3736" t="s">
        <v>8961</v>
      </c>
      <c r="T3736" t="s">
        <v>8962</v>
      </c>
      <c r="U3736">
        <v>2933</v>
      </c>
      <c r="V3736">
        <v>0</v>
      </c>
      <c r="W3736">
        <v>4</v>
      </c>
      <c r="X3736">
        <v>2006</v>
      </c>
      <c r="Z3736">
        <v>2</v>
      </c>
      <c r="AA3736" t="s">
        <v>26</v>
      </c>
      <c r="AB3736">
        <v>0</v>
      </c>
      <c r="AC3736" t="s">
        <v>115</v>
      </c>
      <c r="AD3736">
        <v>3</v>
      </c>
      <c r="AE3736" t="s">
        <v>115</v>
      </c>
      <c r="AF3736">
        <v>0</v>
      </c>
      <c r="AG3736">
        <v>0</v>
      </c>
      <c r="AH3736" t="s">
        <v>116</v>
      </c>
      <c r="AI3736" s="1">
        <v>39880</v>
      </c>
      <c r="AJ3736" s="2">
        <v>0.09</v>
      </c>
      <c r="AK3736" s="1">
        <v>436880</v>
      </c>
      <c r="AL3736" t="s">
        <v>117</v>
      </c>
      <c r="AM3736" t="s">
        <v>191</v>
      </c>
      <c r="AN3736">
        <v>11305</v>
      </c>
      <c r="AO3736">
        <v>0.26</v>
      </c>
      <c r="AR3736">
        <v>1</v>
      </c>
      <c r="AS3736" s="1">
        <v>30770</v>
      </c>
      <c r="AT3736" s="1">
        <v>6150</v>
      </c>
      <c r="AU3736" s="1">
        <v>24620</v>
      </c>
      <c r="AV3736">
        <v>80.010000000000005</v>
      </c>
      <c r="AX3736" s="1">
        <v>2563.7399999999998</v>
      </c>
      <c r="AY3736" t="s">
        <v>5087</v>
      </c>
      <c r="AZ3736" t="s">
        <v>5087</v>
      </c>
      <c r="BA3736" t="s">
        <v>473</v>
      </c>
      <c r="BE3736" s="3">
        <v>42118</v>
      </c>
      <c r="BF3736" s="1">
        <v>350000</v>
      </c>
      <c r="BG3736" t="s">
        <v>23936</v>
      </c>
      <c r="BH3736" s="1">
        <v>119.33</v>
      </c>
      <c r="BI3736" s="1">
        <v>397000</v>
      </c>
      <c r="BJ3736" s="3">
        <v>43342</v>
      </c>
      <c r="BK3736" t="s">
        <v>123</v>
      </c>
      <c r="BL3736" t="str">
        <f>"2018.655709"</f>
        <v>2018.655709</v>
      </c>
      <c r="BM3736" t="s">
        <v>3040</v>
      </c>
      <c r="BN3736" t="s">
        <v>3041</v>
      </c>
      <c r="BO3736" t="s">
        <v>23937</v>
      </c>
      <c r="BP3736" t="s">
        <v>23938</v>
      </c>
      <c r="BR3736" t="s">
        <v>139</v>
      </c>
      <c r="BW3736" t="str">
        <f>""</f>
        <v/>
      </c>
      <c r="CH3736" t="str">
        <f>""</f>
        <v/>
      </c>
      <c r="CS3736" t="str">
        <f>""</f>
        <v/>
      </c>
    </row>
    <row r="3737" spans="1:97" x14ac:dyDescent="0.25">
      <c r="A3737" t="s">
        <v>23939</v>
      </c>
      <c r="B3737" t="s">
        <v>23940</v>
      </c>
      <c r="E3737" t="s">
        <v>23941</v>
      </c>
      <c r="F3737" t="s">
        <v>108</v>
      </c>
      <c r="H3737" t="s">
        <v>23942</v>
      </c>
      <c r="I3737" t="s">
        <v>110</v>
      </c>
      <c r="J3737" t="s">
        <v>111</v>
      </c>
      <c r="K3737" t="str">
        <f>"85226"</f>
        <v>85226</v>
      </c>
      <c r="L3737" t="s">
        <v>5416</v>
      </c>
      <c r="M3737" t="s">
        <v>23942</v>
      </c>
      <c r="N3737" t="s">
        <v>110</v>
      </c>
      <c r="O3737" t="s">
        <v>111</v>
      </c>
      <c r="P3737" t="str">
        <f>"85226-2998"</f>
        <v>85226-2998</v>
      </c>
      <c r="Q3737" t="s">
        <v>113</v>
      </c>
      <c r="R3737" t="str">
        <f>"308-10-627"</f>
        <v>308-10-627</v>
      </c>
      <c r="S3737" t="s">
        <v>23943</v>
      </c>
      <c r="T3737" t="s">
        <v>23943</v>
      </c>
      <c r="U3737">
        <v>2429</v>
      </c>
      <c r="V3737">
        <v>0</v>
      </c>
      <c r="W3737">
        <v>3</v>
      </c>
      <c r="X3737">
        <v>1995</v>
      </c>
      <c r="Z3737">
        <v>1</v>
      </c>
      <c r="AB3737">
        <v>0</v>
      </c>
      <c r="AC3737" t="s">
        <v>115</v>
      </c>
      <c r="AD3737">
        <v>3</v>
      </c>
      <c r="AE3737" t="s">
        <v>115</v>
      </c>
      <c r="AF3737">
        <v>0</v>
      </c>
      <c r="AG3737">
        <v>0</v>
      </c>
      <c r="AH3737" t="s">
        <v>116</v>
      </c>
      <c r="AI3737" s="1">
        <v>198819</v>
      </c>
      <c r="AJ3737" s="2">
        <v>0.49</v>
      </c>
      <c r="AK3737" s="1">
        <v>409919</v>
      </c>
      <c r="AL3737" t="s">
        <v>117</v>
      </c>
      <c r="AM3737" t="s">
        <v>118</v>
      </c>
      <c r="AN3737">
        <v>7466</v>
      </c>
      <c r="AO3737">
        <v>0.17</v>
      </c>
      <c r="AP3737">
        <v>1</v>
      </c>
      <c r="AR3737">
        <v>1</v>
      </c>
      <c r="AS3737" s="1">
        <v>30410</v>
      </c>
      <c r="AT3737" s="1">
        <v>6080</v>
      </c>
      <c r="AU3737" s="1">
        <v>24330</v>
      </c>
      <c r="AV3737">
        <v>80.010000000000005</v>
      </c>
      <c r="AX3737" s="1">
        <v>2453.7800000000002</v>
      </c>
      <c r="AY3737" t="s">
        <v>15704</v>
      </c>
      <c r="AZ3737" t="s">
        <v>5922</v>
      </c>
      <c r="BA3737" t="s">
        <v>5202</v>
      </c>
      <c r="BE3737" s="3">
        <v>41905</v>
      </c>
      <c r="BF3737" s="1">
        <v>315500</v>
      </c>
      <c r="BG3737" t="s">
        <v>8963</v>
      </c>
      <c r="BH3737" s="1">
        <v>129.88999999999999</v>
      </c>
      <c r="BI3737" s="1">
        <v>211100</v>
      </c>
      <c r="BJ3737" s="3">
        <v>42486</v>
      </c>
      <c r="BK3737" t="s">
        <v>123</v>
      </c>
      <c r="BL3737" t="str">
        <f>"2016.278001"</f>
        <v>2016.278001</v>
      </c>
      <c r="BM3737" t="s">
        <v>124</v>
      </c>
      <c r="BO3737" t="s">
        <v>23944</v>
      </c>
      <c r="BS3737">
        <v>30</v>
      </c>
      <c r="BW3737" t="str">
        <f>""</f>
        <v/>
      </c>
      <c r="CH3737" t="str">
        <f>""</f>
        <v/>
      </c>
      <c r="CS3737" t="str">
        <f>""</f>
        <v/>
      </c>
    </row>
    <row r="3738" spans="1:97" x14ac:dyDescent="0.25">
      <c r="A3738" t="s">
        <v>1344</v>
      </c>
      <c r="B3738" t="s">
        <v>1125</v>
      </c>
      <c r="E3738" t="s">
        <v>23945</v>
      </c>
      <c r="F3738" t="s">
        <v>108</v>
      </c>
      <c r="H3738" t="s">
        <v>23946</v>
      </c>
      <c r="I3738" t="s">
        <v>5387</v>
      </c>
      <c r="J3738" t="s">
        <v>111</v>
      </c>
      <c r="K3738" t="str">
        <f>"85283"</f>
        <v>85283</v>
      </c>
      <c r="L3738" t="s">
        <v>7847</v>
      </c>
      <c r="M3738" t="s">
        <v>23946</v>
      </c>
      <c r="N3738" t="s">
        <v>5387</v>
      </c>
      <c r="O3738" t="s">
        <v>111</v>
      </c>
      <c r="P3738" t="str">
        <f>"85283-1938"</f>
        <v>85283-1938</v>
      </c>
      <c r="Q3738" t="s">
        <v>113</v>
      </c>
      <c r="R3738" t="str">
        <f>"301-02-702"</f>
        <v>301-02-702</v>
      </c>
      <c r="S3738" t="s">
        <v>23947</v>
      </c>
      <c r="U3738">
        <v>2268</v>
      </c>
      <c r="V3738">
        <v>0</v>
      </c>
      <c r="W3738">
        <v>4</v>
      </c>
      <c r="X3738">
        <v>1975</v>
      </c>
      <c r="Z3738">
        <v>2</v>
      </c>
      <c r="AA3738" t="s">
        <v>26</v>
      </c>
      <c r="AB3738">
        <v>0</v>
      </c>
      <c r="AC3738" t="s">
        <v>115</v>
      </c>
      <c r="AD3738">
        <v>3</v>
      </c>
      <c r="AE3738" t="s">
        <v>115</v>
      </c>
      <c r="AF3738">
        <v>0</v>
      </c>
      <c r="AG3738">
        <v>0</v>
      </c>
      <c r="AH3738" t="s">
        <v>116</v>
      </c>
      <c r="AI3738" s="1">
        <v>68063</v>
      </c>
      <c r="AJ3738" s="2">
        <v>0.17</v>
      </c>
      <c r="AK3738" s="1">
        <v>403331</v>
      </c>
      <c r="AL3738" t="s">
        <v>117</v>
      </c>
      <c r="AM3738" t="s">
        <v>191</v>
      </c>
      <c r="AN3738">
        <v>6363</v>
      </c>
      <c r="AO3738">
        <v>0.15</v>
      </c>
      <c r="AP3738">
        <v>1</v>
      </c>
      <c r="AR3738">
        <v>1</v>
      </c>
      <c r="AS3738" s="1">
        <v>28800</v>
      </c>
      <c r="AT3738" s="1">
        <v>5760</v>
      </c>
      <c r="AU3738" s="1">
        <v>23040</v>
      </c>
      <c r="AV3738">
        <v>80</v>
      </c>
      <c r="AX3738" s="1">
        <v>2878.34</v>
      </c>
      <c r="AY3738" t="s">
        <v>6725</v>
      </c>
      <c r="AZ3738" t="s">
        <v>6726</v>
      </c>
      <c r="BA3738" t="s">
        <v>5392</v>
      </c>
      <c r="BE3738" s="3">
        <v>42192</v>
      </c>
      <c r="BF3738" s="1">
        <v>328000</v>
      </c>
      <c r="BG3738" t="s">
        <v>23948</v>
      </c>
      <c r="BH3738" s="1">
        <v>144.62</v>
      </c>
      <c r="BI3738" s="1">
        <v>335268</v>
      </c>
      <c r="BJ3738" s="3">
        <v>42538</v>
      </c>
      <c r="BK3738" t="s">
        <v>123</v>
      </c>
      <c r="BL3738" t="str">
        <f>"2016.424231"</f>
        <v>2016.424231</v>
      </c>
      <c r="BM3738" t="s">
        <v>255</v>
      </c>
      <c r="BO3738" t="s">
        <v>23949</v>
      </c>
      <c r="BS3738">
        <v>30</v>
      </c>
      <c r="BW3738" t="str">
        <f>""</f>
        <v/>
      </c>
      <c r="CH3738" t="str">
        <f>""</f>
        <v/>
      </c>
      <c r="CS3738" t="str">
        <f>""</f>
        <v/>
      </c>
    </row>
    <row r="3739" spans="1:97" x14ac:dyDescent="0.25">
      <c r="A3739" t="s">
        <v>23950</v>
      </c>
      <c r="B3739" t="s">
        <v>4874</v>
      </c>
      <c r="C3739" t="s">
        <v>1821</v>
      </c>
      <c r="D3739" t="s">
        <v>4874</v>
      </c>
      <c r="E3739" t="s">
        <v>23951</v>
      </c>
      <c r="F3739" t="s">
        <v>108</v>
      </c>
      <c r="H3739" t="s">
        <v>23952</v>
      </c>
      <c r="I3739" t="s">
        <v>453</v>
      </c>
      <c r="J3739" t="s">
        <v>111</v>
      </c>
      <c r="K3739" t="str">
        <f>"85383"</f>
        <v>85383</v>
      </c>
      <c r="L3739" t="s">
        <v>5637</v>
      </c>
      <c r="M3739" t="s">
        <v>23952</v>
      </c>
      <c r="N3739" t="s">
        <v>453</v>
      </c>
      <c r="O3739" t="s">
        <v>111</v>
      </c>
      <c r="P3739" t="str">
        <f>"85383-1139"</f>
        <v>85383-1139</v>
      </c>
      <c r="Q3739" t="s">
        <v>113</v>
      </c>
      <c r="R3739" t="str">
        <f>"201-16-218"</f>
        <v>201-16-218</v>
      </c>
      <c r="S3739" t="s">
        <v>23953</v>
      </c>
      <c r="T3739" t="s">
        <v>23953</v>
      </c>
      <c r="U3739">
        <v>2056</v>
      </c>
      <c r="V3739">
        <v>0</v>
      </c>
      <c r="W3739">
        <v>3</v>
      </c>
      <c r="X3739">
        <v>1997</v>
      </c>
      <c r="Z3739">
        <v>1</v>
      </c>
      <c r="AA3739" t="s">
        <v>26</v>
      </c>
      <c r="AB3739">
        <v>0</v>
      </c>
      <c r="AC3739" t="s">
        <v>115</v>
      </c>
      <c r="AD3739">
        <v>6</v>
      </c>
      <c r="AE3739" t="s">
        <v>115</v>
      </c>
      <c r="AF3739">
        <v>0</v>
      </c>
      <c r="AG3739">
        <v>0</v>
      </c>
      <c r="AH3739" t="s">
        <v>116</v>
      </c>
      <c r="AI3739" s="1">
        <v>185679</v>
      </c>
      <c r="AJ3739" s="2">
        <v>0.37</v>
      </c>
      <c r="AK3739" s="1">
        <v>501279</v>
      </c>
      <c r="AL3739" t="s">
        <v>117</v>
      </c>
      <c r="AM3739" t="s">
        <v>616</v>
      </c>
      <c r="AN3739">
        <v>18125</v>
      </c>
      <c r="AO3739">
        <v>0.42</v>
      </c>
      <c r="AP3739">
        <v>1</v>
      </c>
      <c r="AR3739">
        <v>1</v>
      </c>
      <c r="AS3739" s="1">
        <v>37350</v>
      </c>
      <c r="AT3739" s="1">
        <v>7470</v>
      </c>
      <c r="AU3739" s="1">
        <v>29880</v>
      </c>
      <c r="AV3739">
        <v>80</v>
      </c>
      <c r="AX3739" s="1">
        <v>3974.08</v>
      </c>
      <c r="AY3739" t="s">
        <v>1808</v>
      </c>
      <c r="AZ3739" t="s">
        <v>1808</v>
      </c>
      <c r="BA3739" t="s">
        <v>457</v>
      </c>
      <c r="BE3739" s="3">
        <v>42004</v>
      </c>
      <c r="BF3739" s="1">
        <v>410000</v>
      </c>
      <c r="BG3739" t="s">
        <v>23954</v>
      </c>
      <c r="BH3739" s="1">
        <v>199.42</v>
      </c>
      <c r="BI3739" s="1">
        <v>315600</v>
      </c>
      <c r="BJ3739" s="3">
        <v>42004</v>
      </c>
      <c r="BK3739" t="s">
        <v>123</v>
      </c>
      <c r="BL3739" t="str">
        <f>"2014.861987"</f>
        <v>2014.861987</v>
      </c>
      <c r="BM3739" t="s">
        <v>124</v>
      </c>
      <c r="BO3739" t="s">
        <v>23955</v>
      </c>
      <c r="BS3739">
        <v>30</v>
      </c>
      <c r="BW3739" t="str">
        <f>""</f>
        <v/>
      </c>
      <c r="CH3739" t="str">
        <f>""</f>
        <v/>
      </c>
      <c r="CS3739" t="str">
        <f>""</f>
        <v/>
      </c>
    </row>
    <row r="3740" spans="1:97" x14ac:dyDescent="0.25">
      <c r="A3740" t="s">
        <v>177</v>
      </c>
      <c r="B3740" t="s">
        <v>2692</v>
      </c>
      <c r="C3740" t="s">
        <v>15599</v>
      </c>
      <c r="D3740" t="s">
        <v>2692</v>
      </c>
      <c r="E3740" t="s">
        <v>23956</v>
      </c>
      <c r="F3740" t="s">
        <v>108</v>
      </c>
      <c r="H3740" t="s">
        <v>23957</v>
      </c>
      <c r="I3740" t="s">
        <v>453</v>
      </c>
      <c r="J3740" t="s">
        <v>111</v>
      </c>
      <c r="K3740" t="str">
        <f>"85382"</f>
        <v>85382</v>
      </c>
      <c r="L3740" t="s">
        <v>1789</v>
      </c>
      <c r="M3740" t="s">
        <v>23957</v>
      </c>
      <c r="N3740" t="s">
        <v>453</v>
      </c>
      <c r="O3740" t="s">
        <v>111</v>
      </c>
      <c r="P3740" t="str">
        <f>"85382"</f>
        <v>85382</v>
      </c>
      <c r="Q3740" t="s">
        <v>113</v>
      </c>
      <c r="R3740" t="str">
        <f>"200-09-101"</f>
        <v>200-09-101</v>
      </c>
      <c r="S3740" t="s">
        <v>19464</v>
      </c>
      <c r="T3740" t="s">
        <v>19465</v>
      </c>
      <c r="U3740">
        <v>2972</v>
      </c>
      <c r="V3740">
        <v>0</v>
      </c>
      <c r="W3740">
        <v>4</v>
      </c>
      <c r="X3740">
        <v>2003</v>
      </c>
      <c r="Z3740">
        <v>2</v>
      </c>
      <c r="AA3740" t="s">
        <v>26</v>
      </c>
      <c r="AB3740">
        <v>0</v>
      </c>
      <c r="AC3740" t="s">
        <v>115</v>
      </c>
      <c r="AD3740">
        <v>3</v>
      </c>
      <c r="AE3740" t="s">
        <v>115</v>
      </c>
      <c r="AF3740">
        <v>0</v>
      </c>
      <c r="AG3740">
        <v>0</v>
      </c>
      <c r="AH3740" t="s">
        <v>116</v>
      </c>
      <c r="AI3740" s="1">
        <v>80828</v>
      </c>
      <c r="AJ3740" s="2">
        <v>0.21</v>
      </c>
      <c r="AK3740" s="1">
        <v>384554</v>
      </c>
      <c r="AL3740" t="s">
        <v>117</v>
      </c>
      <c r="AM3740" t="s">
        <v>191</v>
      </c>
      <c r="AN3740">
        <v>6820</v>
      </c>
      <c r="AO3740">
        <v>0.16</v>
      </c>
      <c r="AP3740">
        <v>1</v>
      </c>
      <c r="AR3740">
        <v>1</v>
      </c>
      <c r="AS3740" s="1">
        <v>28360</v>
      </c>
      <c r="AT3740" s="1">
        <v>5670</v>
      </c>
      <c r="AU3740" s="1">
        <v>22690</v>
      </c>
      <c r="AV3740">
        <v>80.010000000000005</v>
      </c>
      <c r="AX3740" s="1">
        <v>2466.2199999999998</v>
      </c>
      <c r="AY3740" t="s">
        <v>4520</v>
      </c>
      <c r="AZ3740" t="s">
        <v>4520</v>
      </c>
      <c r="BA3740" t="s">
        <v>4219</v>
      </c>
      <c r="BE3740" s="3">
        <v>41957</v>
      </c>
      <c r="BF3740" s="1">
        <v>299900</v>
      </c>
      <c r="BG3740" t="s">
        <v>10959</v>
      </c>
      <c r="BH3740" s="1">
        <v>100.91</v>
      </c>
      <c r="BI3740" s="1">
        <v>303726</v>
      </c>
      <c r="BJ3740" s="3">
        <v>42671</v>
      </c>
      <c r="BK3740" t="s">
        <v>123</v>
      </c>
      <c r="BL3740" t="str">
        <f>"2016.791964"</f>
        <v>2016.791964</v>
      </c>
      <c r="BM3740" t="s">
        <v>402</v>
      </c>
      <c r="BO3740" t="s">
        <v>23958</v>
      </c>
      <c r="BS3740">
        <v>30</v>
      </c>
      <c r="BW3740" t="str">
        <f>""</f>
        <v/>
      </c>
      <c r="CH3740" t="str">
        <f>""</f>
        <v/>
      </c>
      <c r="CS3740" t="str">
        <f>""</f>
        <v/>
      </c>
    </row>
    <row r="3741" spans="1:97" x14ac:dyDescent="0.25">
      <c r="A3741" t="s">
        <v>1187</v>
      </c>
      <c r="B3741" t="s">
        <v>23959</v>
      </c>
      <c r="C3741" t="s">
        <v>9234</v>
      </c>
      <c r="D3741" t="s">
        <v>23959</v>
      </c>
      <c r="E3741" t="s">
        <v>23960</v>
      </c>
      <c r="F3741" t="s">
        <v>108</v>
      </c>
      <c r="H3741" t="s">
        <v>23961</v>
      </c>
      <c r="I3741" t="s">
        <v>453</v>
      </c>
      <c r="J3741" t="s">
        <v>111</v>
      </c>
      <c r="K3741" t="str">
        <f>"85382"</f>
        <v>85382</v>
      </c>
      <c r="L3741" t="s">
        <v>5021</v>
      </c>
      <c r="M3741" t="s">
        <v>23961</v>
      </c>
      <c r="N3741" t="s">
        <v>453</v>
      </c>
      <c r="O3741" t="s">
        <v>111</v>
      </c>
      <c r="P3741" t="str">
        <f>"85382-6452"</f>
        <v>85382-6452</v>
      </c>
      <c r="Q3741" t="s">
        <v>113</v>
      </c>
      <c r="R3741" t="str">
        <f>"200-17-589"</f>
        <v>200-17-589</v>
      </c>
      <c r="S3741" t="s">
        <v>20481</v>
      </c>
      <c r="T3741" t="s">
        <v>6310</v>
      </c>
      <c r="U3741">
        <v>2077</v>
      </c>
      <c r="V3741">
        <v>0</v>
      </c>
      <c r="W3741">
        <v>3</v>
      </c>
      <c r="X3741">
        <v>2001</v>
      </c>
      <c r="Z3741">
        <v>1</v>
      </c>
      <c r="AB3741">
        <v>0</v>
      </c>
      <c r="AC3741" t="s">
        <v>115</v>
      </c>
      <c r="AD3741">
        <v>2</v>
      </c>
      <c r="AE3741" t="s">
        <v>115</v>
      </c>
      <c r="AF3741">
        <v>0</v>
      </c>
      <c r="AG3741">
        <v>0</v>
      </c>
      <c r="AH3741" t="s">
        <v>116</v>
      </c>
      <c r="AI3741" s="1">
        <v>110942</v>
      </c>
      <c r="AJ3741" s="2">
        <v>0.34</v>
      </c>
      <c r="AK3741" s="1">
        <v>323263</v>
      </c>
      <c r="AL3741" t="s">
        <v>117</v>
      </c>
      <c r="AM3741" t="s">
        <v>118</v>
      </c>
      <c r="AN3741">
        <v>6050</v>
      </c>
      <c r="AO3741">
        <v>0.14000000000000001</v>
      </c>
      <c r="AP3741">
        <v>1</v>
      </c>
      <c r="AR3741">
        <v>1</v>
      </c>
      <c r="AS3741" s="1">
        <v>22500</v>
      </c>
      <c r="AT3741" s="1">
        <v>4500</v>
      </c>
      <c r="AU3741" s="1">
        <v>18000</v>
      </c>
      <c r="AV3741">
        <v>80</v>
      </c>
      <c r="AX3741" s="1">
        <v>2245.6</v>
      </c>
      <c r="AY3741" t="s">
        <v>6311</v>
      </c>
      <c r="AZ3741" t="s">
        <v>6311</v>
      </c>
      <c r="BA3741" t="s">
        <v>4219</v>
      </c>
      <c r="BE3741" s="3">
        <v>41787</v>
      </c>
      <c r="BF3741" s="1">
        <v>233000</v>
      </c>
      <c r="BG3741" t="s">
        <v>23962</v>
      </c>
      <c r="BH3741" s="1">
        <v>112.18</v>
      </c>
      <c r="BI3741" s="1">
        <v>212321</v>
      </c>
      <c r="BJ3741" s="3">
        <v>41787</v>
      </c>
      <c r="BK3741" t="s">
        <v>123</v>
      </c>
      <c r="BL3741" t="str">
        <f>"2014.343381"</f>
        <v>2014.343381</v>
      </c>
      <c r="BM3741" t="s">
        <v>2716</v>
      </c>
      <c r="BO3741" t="s">
        <v>23963</v>
      </c>
      <c r="BS3741">
        <v>30</v>
      </c>
      <c r="BW3741" t="str">
        <f>""</f>
        <v/>
      </c>
      <c r="CH3741" t="str">
        <f>""</f>
        <v/>
      </c>
      <c r="CS3741" t="str">
        <f>""</f>
        <v/>
      </c>
    </row>
    <row r="3742" spans="1:97" x14ac:dyDescent="0.25">
      <c r="A3742" t="s">
        <v>2915</v>
      </c>
      <c r="B3742" t="s">
        <v>18098</v>
      </c>
      <c r="C3742" t="s">
        <v>513</v>
      </c>
      <c r="D3742" t="s">
        <v>18098</v>
      </c>
      <c r="E3742" t="s">
        <v>23964</v>
      </c>
      <c r="F3742" t="s">
        <v>108</v>
      </c>
      <c r="H3742" t="s">
        <v>23965</v>
      </c>
      <c r="I3742" t="s">
        <v>390</v>
      </c>
      <c r="J3742" t="s">
        <v>111</v>
      </c>
      <c r="K3742" t="str">
        <f>"85023"</f>
        <v>85023</v>
      </c>
      <c r="L3742" t="s">
        <v>4003</v>
      </c>
      <c r="M3742" t="s">
        <v>23965</v>
      </c>
      <c r="N3742" t="s">
        <v>390</v>
      </c>
      <c r="O3742" t="s">
        <v>111</v>
      </c>
      <c r="P3742" t="str">
        <f>"85023-5285"</f>
        <v>85023-5285</v>
      </c>
      <c r="Q3742" t="s">
        <v>113</v>
      </c>
      <c r="R3742" t="str">
        <f>"208-28-028"</f>
        <v>208-28-028</v>
      </c>
      <c r="S3742" t="s">
        <v>23966</v>
      </c>
      <c r="T3742" t="s">
        <v>23966</v>
      </c>
      <c r="U3742">
        <v>2125</v>
      </c>
      <c r="V3742">
        <v>0</v>
      </c>
      <c r="W3742">
        <v>3</v>
      </c>
      <c r="X3742">
        <v>1965</v>
      </c>
      <c r="Z3742">
        <v>1</v>
      </c>
      <c r="AB3742">
        <v>0</v>
      </c>
      <c r="AC3742" t="s">
        <v>115</v>
      </c>
      <c r="AD3742">
        <v>2</v>
      </c>
      <c r="AE3742" t="s">
        <v>115</v>
      </c>
      <c r="AF3742">
        <v>0</v>
      </c>
      <c r="AG3742">
        <v>0</v>
      </c>
      <c r="AH3742" t="s">
        <v>116</v>
      </c>
      <c r="AI3742" s="1">
        <v>62725</v>
      </c>
      <c r="AJ3742" s="2">
        <v>0.17</v>
      </c>
      <c r="AK3742" s="1">
        <v>378975</v>
      </c>
      <c r="AL3742" t="s">
        <v>117</v>
      </c>
      <c r="AM3742" t="s">
        <v>1302</v>
      </c>
      <c r="AN3742">
        <v>11414</v>
      </c>
      <c r="AO3742">
        <v>0.26</v>
      </c>
      <c r="AP3742">
        <v>1</v>
      </c>
      <c r="AR3742">
        <v>1</v>
      </c>
      <c r="AS3742" s="1">
        <v>26250</v>
      </c>
      <c r="AT3742" s="1">
        <v>5250</v>
      </c>
      <c r="AU3742" s="1">
        <v>21000</v>
      </c>
      <c r="AV3742">
        <v>80</v>
      </c>
      <c r="AX3742" s="1">
        <v>2772.3</v>
      </c>
      <c r="AY3742" t="s">
        <v>9170</v>
      </c>
      <c r="AZ3742" t="s">
        <v>8648</v>
      </c>
      <c r="BA3742" t="s">
        <v>8649</v>
      </c>
      <c r="BE3742" s="3">
        <v>41806</v>
      </c>
      <c r="BF3742" s="1">
        <v>280000</v>
      </c>
      <c r="BG3742" t="s">
        <v>23967</v>
      </c>
      <c r="BH3742" s="1">
        <v>131.76</v>
      </c>
      <c r="BI3742" s="1">
        <v>316250</v>
      </c>
      <c r="BJ3742" s="3">
        <v>42578</v>
      </c>
      <c r="BK3742" t="s">
        <v>123</v>
      </c>
      <c r="BL3742" t="str">
        <f>"2016.530761"</f>
        <v>2016.530761</v>
      </c>
      <c r="BM3742" t="s">
        <v>2378</v>
      </c>
      <c r="BO3742" t="s">
        <v>23968</v>
      </c>
      <c r="BS3742">
        <v>30</v>
      </c>
      <c r="BW3742" t="str">
        <f>""</f>
        <v/>
      </c>
      <c r="CH3742" t="str">
        <f>""</f>
        <v/>
      </c>
      <c r="CS3742" t="str">
        <f>""</f>
        <v/>
      </c>
    </row>
    <row r="3743" spans="1:97" x14ac:dyDescent="0.25">
      <c r="B3743" t="s">
        <v>23969</v>
      </c>
      <c r="E3743" t="s">
        <v>23970</v>
      </c>
      <c r="F3743" t="s">
        <v>108</v>
      </c>
      <c r="H3743" t="s">
        <v>23971</v>
      </c>
      <c r="I3743" t="s">
        <v>1936</v>
      </c>
      <c r="J3743" t="s">
        <v>111</v>
      </c>
      <c r="K3743" t="str">
        <f>"85258"</f>
        <v>85258</v>
      </c>
      <c r="L3743" t="s">
        <v>5464</v>
      </c>
      <c r="M3743" t="s">
        <v>23971</v>
      </c>
      <c r="N3743" t="s">
        <v>1936</v>
      </c>
      <c r="O3743" t="s">
        <v>111</v>
      </c>
      <c r="P3743" t="str">
        <f>"85258-2235"</f>
        <v>85258-2235</v>
      </c>
      <c r="Q3743" t="s">
        <v>113</v>
      </c>
      <c r="R3743" t="str">
        <f>"174-02-166"</f>
        <v>174-02-166</v>
      </c>
      <c r="S3743" t="s">
        <v>23972</v>
      </c>
      <c r="T3743" t="s">
        <v>23973</v>
      </c>
      <c r="U3743">
        <v>3303</v>
      </c>
      <c r="V3743">
        <v>0</v>
      </c>
      <c r="W3743">
        <v>4</v>
      </c>
      <c r="X3743">
        <v>1979</v>
      </c>
      <c r="Z3743">
        <v>1</v>
      </c>
      <c r="AA3743" t="s">
        <v>26</v>
      </c>
      <c r="AB3743">
        <v>0</v>
      </c>
      <c r="AC3743" t="s">
        <v>115</v>
      </c>
      <c r="AD3743">
        <v>2</v>
      </c>
      <c r="AE3743" t="s">
        <v>115</v>
      </c>
      <c r="AF3743">
        <v>0</v>
      </c>
      <c r="AG3743">
        <v>0</v>
      </c>
      <c r="AH3743" t="s">
        <v>116</v>
      </c>
      <c r="AI3743" s="1">
        <v>144244</v>
      </c>
      <c r="AJ3743" s="2">
        <v>0.15</v>
      </c>
      <c r="AK3743" s="1">
        <v>953737</v>
      </c>
      <c r="AL3743" t="s">
        <v>117</v>
      </c>
      <c r="AM3743" t="s">
        <v>1302</v>
      </c>
      <c r="AN3743">
        <v>13107</v>
      </c>
      <c r="AO3743">
        <v>0.3</v>
      </c>
      <c r="AP3743">
        <v>1</v>
      </c>
      <c r="AR3743">
        <v>1</v>
      </c>
      <c r="AS3743" s="1">
        <v>72930</v>
      </c>
      <c r="AT3743" s="1">
        <v>14580</v>
      </c>
      <c r="AU3743" s="1">
        <v>58350</v>
      </c>
      <c r="AV3743">
        <v>80.010000000000005</v>
      </c>
      <c r="AX3743" s="1">
        <v>3739.58</v>
      </c>
      <c r="AY3743" t="s">
        <v>14284</v>
      </c>
      <c r="AZ3743" t="s">
        <v>8949</v>
      </c>
      <c r="BA3743" t="s">
        <v>7868</v>
      </c>
      <c r="BB3743" s="3">
        <v>43312</v>
      </c>
      <c r="BC3743" s="1">
        <v>0</v>
      </c>
      <c r="BD3743" t="s">
        <v>247</v>
      </c>
      <c r="BE3743" s="3">
        <v>42551</v>
      </c>
      <c r="BF3743" s="1">
        <v>927000</v>
      </c>
      <c r="BG3743" t="s">
        <v>23974</v>
      </c>
      <c r="BH3743" s="1">
        <v>319.32</v>
      </c>
      <c r="BI3743" s="1">
        <v>809493</v>
      </c>
      <c r="BJ3743" s="3">
        <v>42551</v>
      </c>
      <c r="BK3743" t="s">
        <v>123</v>
      </c>
      <c r="BL3743" t="str">
        <f>"2016.459718"</f>
        <v>2016.459718</v>
      </c>
      <c r="BM3743" t="s">
        <v>820</v>
      </c>
      <c r="BN3743" t="s">
        <v>2188</v>
      </c>
      <c r="BO3743" t="s">
        <v>23975</v>
      </c>
      <c r="BS3743">
        <v>30</v>
      </c>
      <c r="BW3743" t="str">
        <f>""</f>
        <v/>
      </c>
      <c r="CH3743" t="str">
        <f>""</f>
        <v/>
      </c>
      <c r="CS3743" t="str">
        <f>""</f>
        <v/>
      </c>
    </row>
    <row r="3744" spans="1:97" x14ac:dyDescent="0.25">
      <c r="A3744" t="s">
        <v>1187</v>
      </c>
      <c r="B3744" t="s">
        <v>23976</v>
      </c>
      <c r="C3744" t="s">
        <v>1950</v>
      </c>
      <c r="D3744" t="s">
        <v>23976</v>
      </c>
      <c r="E3744" t="s">
        <v>23977</v>
      </c>
      <c r="F3744" t="s">
        <v>108</v>
      </c>
      <c r="H3744" t="s">
        <v>23978</v>
      </c>
      <c r="I3744" t="s">
        <v>1397</v>
      </c>
      <c r="J3744" t="s">
        <v>111</v>
      </c>
      <c r="K3744" t="str">
        <f>"85331"</f>
        <v>85331</v>
      </c>
      <c r="L3744" t="s">
        <v>10622</v>
      </c>
      <c r="M3744" t="s">
        <v>23978</v>
      </c>
      <c r="N3744" t="s">
        <v>1397</v>
      </c>
      <c r="O3744" t="s">
        <v>111</v>
      </c>
      <c r="P3744" t="str">
        <f>"85331-4524"</f>
        <v>85331-4524</v>
      </c>
      <c r="Q3744" t="s">
        <v>113</v>
      </c>
      <c r="R3744" t="str">
        <f>"211-37-391"</f>
        <v>211-37-391</v>
      </c>
      <c r="S3744" t="s">
        <v>10623</v>
      </c>
      <c r="T3744" t="s">
        <v>10623</v>
      </c>
      <c r="U3744">
        <v>3376</v>
      </c>
      <c r="V3744">
        <v>0</v>
      </c>
      <c r="W3744">
        <v>4</v>
      </c>
      <c r="X3744">
        <v>1999</v>
      </c>
      <c r="Z3744">
        <v>2</v>
      </c>
      <c r="AA3744" t="s">
        <v>26</v>
      </c>
      <c r="AB3744">
        <v>0</v>
      </c>
      <c r="AC3744" t="s">
        <v>115</v>
      </c>
      <c r="AD3744">
        <v>3</v>
      </c>
      <c r="AE3744" t="s">
        <v>115</v>
      </c>
      <c r="AF3744">
        <v>0</v>
      </c>
      <c r="AG3744">
        <v>0</v>
      </c>
      <c r="AH3744" t="s">
        <v>116</v>
      </c>
      <c r="AI3744" s="1">
        <v>131254</v>
      </c>
      <c r="AJ3744" s="2">
        <v>0.22</v>
      </c>
      <c r="AK3744" s="1">
        <v>603754</v>
      </c>
      <c r="AL3744" t="s">
        <v>117</v>
      </c>
      <c r="AM3744" t="s">
        <v>616</v>
      </c>
      <c r="AN3744">
        <v>10800</v>
      </c>
      <c r="AO3744">
        <v>0.25</v>
      </c>
      <c r="AP3744">
        <v>1</v>
      </c>
      <c r="AR3744">
        <v>1</v>
      </c>
      <c r="AS3744" s="1">
        <v>43180</v>
      </c>
      <c r="AT3744" s="1">
        <v>8630</v>
      </c>
      <c r="AU3744" s="1">
        <v>34550</v>
      </c>
      <c r="AV3744">
        <v>80.010000000000005</v>
      </c>
      <c r="AX3744" s="1">
        <v>3041.88</v>
      </c>
      <c r="AY3744" t="s">
        <v>7359</v>
      </c>
      <c r="AZ3744" t="s">
        <v>1402</v>
      </c>
      <c r="BA3744" t="s">
        <v>1403</v>
      </c>
      <c r="BE3744" s="3">
        <v>42268</v>
      </c>
      <c r="BF3744" s="1">
        <v>467000</v>
      </c>
      <c r="BG3744" t="s">
        <v>23979</v>
      </c>
      <c r="BH3744" s="1">
        <v>138.33000000000001</v>
      </c>
      <c r="BI3744" s="1">
        <v>472500</v>
      </c>
      <c r="BJ3744" s="3">
        <v>43208</v>
      </c>
      <c r="BK3744" t="s">
        <v>123</v>
      </c>
      <c r="BL3744" t="str">
        <f>"2018.289941"</f>
        <v>2018.289941</v>
      </c>
      <c r="BM3744" t="s">
        <v>5842</v>
      </c>
      <c r="BN3744" t="s">
        <v>5737</v>
      </c>
      <c r="BO3744" t="s">
        <v>23980</v>
      </c>
      <c r="BP3744" t="s">
        <v>23981</v>
      </c>
      <c r="BR3744" t="s">
        <v>139</v>
      </c>
      <c r="BW3744" t="str">
        <f>""</f>
        <v/>
      </c>
      <c r="CH3744" t="str">
        <f>""</f>
        <v/>
      </c>
      <c r="CS3744" t="str">
        <f>""</f>
        <v/>
      </c>
    </row>
    <row r="3745" spans="1:97" x14ac:dyDescent="0.25">
      <c r="A3745" t="s">
        <v>3718</v>
      </c>
      <c r="B3745" t="s">
        <v>6643</v>
      </c>
      <c r="C3745" t="s">
        <v>154</v>
      </c>
      <c r="D3745" t="s">
        <v>6643</v>
      </c>
      <c r="E3745" t="s">
        <v>23982</v>
      </c>
      <c r="F3745" t="s">
        <v>108</v>
      </c>
      <c r="H3745" t="s">
        <v>23983</v>
      </c>
      <c r="I3745" t="s">
        <v>2874</v>
      </c>
      <c r="J3745" t="s">
        <v>111</v>
      </c>
      <c r="K3745" t="str">
        <f>"85308"</f>
        <v>85308</v>
      </c>
      <c r="L3745" t="s">
        <v>5709</v>
      </c>
      <c r="M3745" t="s">
        <v>23983</v>
      </c>
      <c r="N3745" t="s">
        <v>2874</v>
      </c>
      <c r="O3745" t="s">
        <v>111</v>
      </c>
      <c r="P3745" t="str">
        <f>"85308-1334"</f>
        <v>85308-1334</v>
      </c>
      <c r="Q3745" t="s">
        <v>113</v>
      </c>
      <c r="R3745" t="str">
        <f>"200-49-769"</f>
        <v>200-49-769</v>
      </c>
      <c r="S3745" t="s">
        <v>14382</v>
      </c>
      <c r="T3745" t="s">
        <v>14383</v>
      </c>
      <c r="U3745">
        <v>2640</v>
      </c>
      <c r="V3745">
        <v>0</v>
      </c>
      <c r="W3745">
        <v>4</v>
      </c>
      <c r="X3745">
        <v>1995</v>
      </c>
      <c r="Z3745">
        <v>2</v>
      </c>
      <c r="AA3745" t="s">
        <v>26</v>
      </c>
      <c r="AB3745">
        <v>0</v>
      </c>
      <c r="AC3745" t="s">
        <v>115</v>
      </c>
      <c r="AD3745">
        <v>3</v>
      </c>
      <c r="AE3745" t="s">
        <v>115</v>
      </c>
      <c r="AF3745">
        <v>0</v>
      </c>
      <c r="AG3745">
        <v>0</v>
      </c>
      <c r="AH3745" t="s">
        <v>116</v>
      </c>
      <c r="AI3745" s="1">
        <v>87249</v>
      </c>
      <c r="AJ3745" s="2">
        <v>0.24</v>
      </c>
      <c r="AK3745" s="1">
        <v>364249</v>
      </c>
      <c r="AL3745" t="s">
        <v>117</v>
      </c>
      <c r="AM3745" t="s">
        <v>393</v>
      </c>
      <c r="AN3745">
        <v>7507</v>
      </c>
      <c r="AO3745">
        <v>0.17</v>
      </c>
      <c r="AP3745">
        <v>1</v>
      </c>
      <c r="AR3745">
        <v>1</v>
      </c>
      <c r="AS3745" s="1">
        <v>26500</v>
      </c>
      <c r="AT3745" s="1">
        <v>5300</v>
      </c>
      <c r="AU3745" s="1">
        <v>21200</v>
      </c>
      <c r="AV3745">
        <v>80</v>
      </c>
      <c r="AX3745" s="1">
        <v>2046.84</v>
      </c>
      <c r="AY3745" t="s">
        <v>7007</v>
      </c>
      <c r="AZ3745" t="s">
        <v>5142</v>
      </c>
      <c r="BA3745" t="s">
        <v>5143</v>
      </c>
      <c r="BE3745" s="3">
        <v>42531</v>
      </c>
      <c r="BF3745" s="1">
        <v>277000</v>
      </c>
      <c r="BG3745" t="s">
        <v>23984</v>
      </c>
      <c r="BH3745" s="1">
        <v>104.92</v>
      </c>
      <c r="BI3745" s="1">
        <v>277000</v>
      </c>
      <c r="BJ3745" s="3">
        <v>42531</v>
      </c>
      <c r="BK3745" t="s">
        <v>123</v>
      </c>
      <c r="BL3745" t="str">
        <f>"2016.404023"</f>
        <v>2016.404023</v>
      </c>
      <c r="BM3745" t="s">
        <v>724</v>
      </c>
      <c r="BO3745" t="s">
        <v>23985</v>
      </c>
      <c r="BS3745">
        <v>30</v>
      </c>
      <c r="BW3745" t="str">
        <f>""</f>
        <v/>
      </c>
      <c r="CH3745" t="str">
        <f>""</f>
        <v/>
      </c>
      <c r="CS3745" t="str">
        <f>""</f>
        <v/>
      </c>
    </row>
    <row r="3746" spans="1:97" x14ac:dyDescent="0.25">
      <c r="B3746" t="s">
        <v>23986</v>
      </c>
      <c r="E3746" t="s">
        <v>23987</v>
      </c>
      <c r="F3746" t="s">
        <v>108</v>
      </c>
      <c r="H3746" t="s">
        <v>23988</v>
      </c>
      <c r="I3746" t="s">
        <v>453</v>
      </c>
      <c r="J3746" t="s">
        <v>111</v>
      </c>
      <c r="K3746" t="str">
        <f>"85382"</f>
        <v>85382</v>
      </c>
      <c r="L3746" t="s">
        <v>6788</v>
      </c>
      <c r="M3746" t="s">
        <v>23988</v>
      </c>
      <c r="N3746" t="s">
        <v>453</v>
      </c>
      <c r="O3746" t="s">
        <v>111</v>
      </c>
      <c r="P3746" t="str">
        <f>"85382-4193"</f>
        <v>85382-4193</v>
      </c>
      <c r="Q3746" t="s">
        <v>113</v>
      </c>
      <c r="R3746" t="str">
        <f>"200-38-508"</f>
        <v>200-38-508</v>
      </c>
      <c r="S3746" t="s">
        <v>23989</v>
      </c>
      <c r="T3746" t="s">
        <v>23990</v>
      </c>
      <c r="U3746">
        <v>2231</v>
      </c>
      <c r="V3746">
        <v>0</v>
      </c>
      <c r="W3746">
        <v>4</v>
      </c>
      <c r="X3746">
        <v>1988</v>
      </c>
      <c r="Z3746">
        <v>1</v>
      </c>
      <c r="AA3746" t="s">
        <v>26</v>
      </c>
      <c r="AB3746">
        <v>0</v>
      </c>
      <c r="AC3746" t="s">
        <v>115</v>
      </c>
      <c r="AD3746">
        <v>2</v>
      </c>
      <c r="AE3746" t="s">
        <v>115</v>
      </c>
      <c r="AF3746">
        <v>0</v>
      </c>
      <c r="AG3746">
        <v>0</v>
      </c>
      <c r="AH3746" t="s">
        <v>116</v>
      </c>
      <c r="AI3746" s="1">
        <v>140598</v>
      </c>
      <c r="AJ3746" s="2">
        <v>0.38</v>
      </c>
      <c r="AK3746" s="1">
        <v>365248</v>
      </c>
      <c r="AL3746" t="s">
        <v>117</v>
      </c>
      <c r="AM3746" t="s">
        <v>3345</v>
      </c>
      <c r="AN3746">
        <v>9897</v>
      </c>
      <c r="AO3746">
        <v>0.23</v>
      </c>
      <c r="AP3746">
        <v>1</v>
      </c>
      <c r="AR3746">
        <v>1</v>
      </c>
      <c r="AS3746" s="1">
        <v>26570</v>
      </c>
      <c r="AT3746" s="1">
        <v>5310</v>
      </c>
      <c r="AU3746" s="1">
        <v>21260</v>
      </c>
      <c r="AV3746">
        <v>80.02</v>
      </c>
      <c r="AX3746" s="1">
        <v>2498.6</v>
      </c>
      <c r="AY3746" t="s">
        <v>7828</v>
      </c>
      <c r="AZ3746" t="s">
        <v>7828</v>
      </c>
      <c r="BA3746" t="s">
        <v>4219</v>
      </c>
      <c r="BB3746" s="3">
        <v>43397</v>
      </c>
      <c r="BC3746" s="1">
        <v>0</v>
      </c>
      <c r="BD3746" t="s">
        <v>247</v>
      </c>
      <c r="BE3746" s="3">
        <v>41729</v>
      </c>
      <c r="BF3746" s="1">
        <v>280000</v>
      </c>
      <c r="BG3746" t="s">
        <v>23991</v>
      </c>
      <c r="BH3746" s="1">
        <v>125.5</v>
      </c>
      <c r="BI3746" s="1">
        <v>224650</v>
      </c>
      <c r="BJ3746" s="3">
        <v>42515</v>
      </c>
      <c r="BK3746" t="s">
        <v>123</v>
      </c>
      <c r="BL3746" t="str">
        <f>"2016.358056"</f>
        <v>2016.358056</v>
      </c>
      <c r="BM3746" t="s">
        <v>2378</v>
      </c>
      <c r="BN3746" t="s">
        <v>15424</v>
      </c>
      <c r="BO3746" t="s">
        <v>23992</v>
      </c>
      <c r="BS3746">
        <v>30</v>
      </c>
      <c r="BW3746" t="str">
        <f>""</f>
        <v/>
      </c>
      <c r="CH3746" t="str">
        <f>""</f>
        <v/>
      </c>
      <c r="CS3746" t="str">
        <f>""</f>
        <v/>
      </c>
    </row>
    <row r="3747" spans="1:97" x14ac:dyDescent="0.25">
      <c r="A3747" t="s">
        <v>23993</v>
      </c>
      <c r="B3747" t="s">
        <v>23994</v>
      </c>
      <c r="E3747" t="s">
        <v>23995</v>
      </c>
      <c r="F3747" t="s">
        <v>139</v>
      </c>
      <c r="H3747" t="s">
        <v>23996</v>
      </c>
      <c r="I3747" t="s">
        <v>1936</v>
      </c>
      <c r="J3747" t="s">
        <v>111</v>
      </c>
      <c r="K3747" t="str">
        <f>"85260"</f>
        <v>85260</v>
      </c>
      <c r="L3747" t="s">
        <v>15732</v>
      </c>
      <c r="M3747" t="s">
        <v>23996</v>
      </c>
      <c r="N3747" t="s">
        <v>1936</v>
      </c>
      <c r="O3747" t="s">
        <v>111</v>
      </c>
      <c r="P3747" t="str">
        <f>"85260-6344"</f>
        <v>85260-6344</v>
      </c>
      <c r="Q3747" t="s">
        <v>113</v>
      </c>
      <c r="R3747" t="str">
        <f>"217-26-359"</f>
        <v>217-26-359</v>
      </c>
      <c r="S3747" t="s">
        <v>23997</v>
      </c>
      <c r="T3747" t="s">
        <v>23998</v>
      </c>
      <c r="U3747">
        <v>3164</v>
      </c>
      <c r="V3747">
        <v>0</v>
      </c>
      <c r="W3747">
        <v>5</v>
      </c>
      <c r="X3747">
        <v>1984</v>
      </c>
      <c r="Z3747">
        <v>2</v>
      </c>
      <c r="AA3747" t="s">
        <v>26</v>
      </c>
      <c r="AB3747">
        <v>0</v>
      </c>
      <c r="AC3747" t="s">
        <v>115</v>
      </c>
      <c r="AD3747">
        <v>3</v>
      </c>
      <c r="AE3747" t="s">
        <v>115</v>
      </c>
      <c r="AF3747">
        <v>0</v>
      </c>
      <c r="AG3747">
        <v>0</v>
      </c>
      <c r="AH3747" t="s">
        <v>116</v>
      </c>
      <c r="AI3747" s="1">
        <v>193320</v>
      </c>
      <c r="AJ3747" s="2">
        <v>0.3</v>
      </c>
      <c r="AK3747" s="1">
        <v>649520</v>
      </c>
      <c r="AL3747" t="s">
        <v>117</v>
      </c>
      <c r="AM3747" t="s">
        <v>616</v>
      </c>
      <c r="AN3747">
        <v>9654</v>
      </c>
      <c r="AO3747">
        <v>0.22</v>
      </c>
      <c r="AP3747">
        <v>1</v>
      </c>
      <c r="AR3747">
        <v>1</v>
      </c>
      <c r="AS3747" s="1">
        <v>43560</v>
      </c>
      <c r="AT3747" s="1">
        <v>8710</v>
      </c>
      <c r="AU3747" s="1">
        <v>34850</v>
      </c>
      <c r="AV3747">
        <v>80</v>
      </c>
      <c r="AX3747" s="1">
        <v>2837.46</v>
      </c>
      <c r="AY3747" t="s">
        <v>5761</v>
      </c>
      <c r="AZ3747" t="s">
        <v>5762</v>
      </c>
      <c r="BA3747" t="s">
        <v>5763</v>
      </c>
      <c r="BB3747" s="3">
        <v>43175</v>
      </c>
      <c r="BC3747" s="1">
        <v>0</v>
      </c>
      <c r="BD3747" t="s">
        <v>247</v>
      </c>
      <c r="BE3747" s="3">
        <v>42101</v>
      </c>
      <c r="BF3747" s="1">
        <v>475000</v>
      </c>
      <c r="BG3747" t="s">
        <v>23999</v>
      </c>
      <c r="BH3747" s="1">
        <v>150.13</v>
      </c>
      <c r="BI3747" s="1">
        <v>456200</v>
      </c>
      <c r="BJ3747" s="3">
        <v>42501</v>
      </c>
      <c r="BK3747" t="s">
        <v>123</v>
      </c>
      <c r="BL3747" t="str">
        <f>"2016.323235"</f>
        <v>2016.323235</v>
      </c>
      <c r="BM3747" t="s">
        <v>2378</v>
      </c>
      <c r="BN3747" t="s">
        <v>15424</v>
      </c>
      <c r="BO3747" t="s">
        <v>24000</v>
      </c>
      <c r="BS3747">
        <v>30</v>
      </c>
      <c r="BW3747" t="str">
        <f>""</f>
        <v/>
      </c>
      <c r="CH3747" t="str">
        <f>""</f>
        <v/>
      </c>
      <c r="CS3747" t="str">
        <f>""</f>
        <v/>
      </c>
    </row>
    <row r="3748" spans="1:97" x14ac:dyDescent="0.25">
      <c r="A3748" t="s">
        <v>1009</v>
      </c>
      <c r="B3748" t="s">
        <v>1099</v>
      </c>
      <c r="E3748" t="s">
        <v>24001</v>
      </c>
      <c r="F3748" t="s">
        <v>108</v>
      </c>
      <c r="H3748" t="s">
        <v>24002</v>
      </c>
      <c r="I3748" t="s">
        <v>390</v>
      </c>
      <c r="J3748" t="s">
        <v>111</v>
      </c>
      <c r="K3748" t="str">
        <f>"85053"</f>
        <v>85053</v>
      </c>
      <c r="L3748" t="s">
        <v>2857</v>
      </c>
      <c r="M3748" t="s">
        <v>24002</v>
      </c>
      <c r="N3748" t="s">
        <v>390</v>
      </c>
      <c r="O3748" t="s">
        <v>111</v>
      </c>
      <c r="P3748" t="str">
        <f>"85053-2778"</f>
        <v>85053-2778</v>
      </c>
      <c r="Q3748" t="s">
        <v>113</v>
      </c>
      <c r="R3748" t="str">
        <f>"207-17-401"</f>
        <v>207-17-401</v>
      </c>
      <c r="S3748" t="s">
        <v>24003</v>
      </c>
      <c r="T3748" t="s">
        <v>24003</v>
      </c>
      <c r="U3748">
        <v>3608</v>
      </c>
      <c r="V3748">
        <v>0</v>
      </c>
      <c r="W3748">
        <v>4</v>
      </c>
      <c r="X3748">
        <v>2004</v>
      </c>
      <c r="Z3748">
        <v>2</v>
      </c>
      <c r="AB3748">
        <v>0</v>
      </c>
      <c r="AC3748" t="s">
        <v>115</v>
      </c>
      <c r="AD3748">
        <v>3</v>
      </c>
      <c r="AE3748" t="s">
        <v>115</v>
      </c>
      <c r="AF3748">
        <v>0</v>
      </c>
      <c r="AG3748">
        <v>0</v>
      </c>
      <c r="AH3748" t="s">
        <v>116</v>
      </c>
      <c r="AI3748" s="1">
        <v>87363</v>
      </c>
      <c r="AJ3748" s="2">
        <v>0.2</v>
      </c>
      <c r="AK3748" s="1">
        <v>441823</v>
      </c>
      <c r="AL3748" t="s">
        <v>117</v>
      </c>
      <c r="AM3748" t="s">
        <v>171</v>
      </c>
      <c r="AN3748">
        <v>8469</v>
      </c>
      <c r="AO3748">
        <v>0.19</v>
      </c>
      <c r="AR3748">
        <v>1</v>
      </c>
      <c r="AS3748" s="1">
        <v>31650</v>
      </c>
      <c r="AT3748" s="1">
        <v>6330</v>
      </c>
      <c r="AU3748" s="1">
        <v>25320</v>
      </c>
      <c r="AV3748">
        <v>80</v>
      </c>
      <c r="AX3748" s="1">
        <v>3494.74</v>
      </c>
      <c r="AY3748" t="s">
        <v>2996</v>
      </c>
      <c r="AZ3748" t="s">
        <v>2997</v>
      </c>
      <c r="BA3748" t="s">
        <v>2998</v>
      </c>
      <c r="BE3748" s="3">
        <v>42062</v>
      </c>
      <c r="BF3748" s="1">
        <v>347000</v>
      </c>
      <c r="BG3748" t="s">
        <v>24004</v>
      </c>
      <c r="BH3748" s="1">
        <v>96.18</v>
      </c>
      <c r="BI3748" s="1">
        <v>354460</v>
      </c>
      <c r="BJ3748" s="3">
        <v>42062</v>
      </c>
      <c r="BK3748" t="s">
        <v>123</v>
      </c>
      <c r="BL3748" t="str">
        <f>"2015.132473"</f>
        <v>2015.132473</v>
      </c>
      <c r="BM3748" t="s">
        <v>3453</v>
      </c>
      <c r="BO3748" t="s">
        <v>24005</v>
      </c>
      <c r="BS3748">
        <v>30</v>
      </c>
      <c r="BW3748" t="str">
        <f>""</f>
        <v/>
      </c>
      <c r="CH3748" t="str">
        <f>""</f>
        <v/>
      </c>
      <c r="CS3748" t="str">
        <f>""</f>
        <v/>
      </c>
    </row>
    <row r="3749" spans="1:97" x14ac:dyDescent="0.25">
      <c r="B3749" t="s">
        <v>24006</v>
      </c>
      <c r="E3749" t="s">
        <v>24007</v>
      </c>
      <c r="F3749" t="s">
        <v>108</v>
      </c>
      <c r="H3749" t="s">
        <v>24008</v>
      </c>
      <c r="I3749" t="s">
        <v>390</v>
      </c>
      <c r="J3749" t="s">
        <v>111</v>
      </c>
      <c r="K3749" t="str">
        <f>"85044"</f>
        <v>85044</v>
      </c>
      <c r="L3749" t="s">
        <v>2903</v>
      </c>
      <c r="M3749" t="s">
        <v>24008</v>
      </c>
      <c r="N3749" t="s">
        <v>390</v>
      </c>
      <c r="O3749" t="s">
        <v>111</v>
      </c>
      <c r="P3749" t="str">
        <f>"85044-6860"</f>
        <v>85044-6860</v>
      </c>
      <c r="Q3749" t="s">
        <v>113</v>
      </c>
      <c r="R3749" t="str">
        <f>"301-83-661"</f>
        <v>301-83-661</v>
      </c>
      <c r="S3749" t="s">
        <v>24009</v>
      </c>
      <c r="T3749" t="s">
        <v>24010</v>
      </c>
      <c r="U3749">
        <v>1817</v>
      </c>
      <c r="V3749">
        <v>0</v>
      </c>
      <c r="W3749">
        <v>3</v>
      </c>
      <c r="X3749">
        <v>1992</v>
      </c>
      <c r="Z3749">
        <v>1</v>
      </c>
      <c r="AB3749">
        <v>0</v>
      </c>
      <c r="AC3749" t="s">
        <v>115</v>
      </c>
      <c r="AD3749">
        <v>2</v>
      </c>
      <c r="AE3749" t="s">
        <v>115</v>
      </c>
      <c r="AF3749">
        <v>0</v>
      </c>
      <c r="AG3749">
        <v>0</v>
      </c>
      <c r="AH3749" t="s">
        <v>116</v>
      </c>
      <c r="AI3749" s="1">
        <v>114104</v>
      </c>
      <c r="AJ3749" s="2">
        <v>0.33</v>
      </c>
      <c r="AK3749" s="1">
        <v>351029</v>
      </c>
      <c r="AL3749" t="s">
        <v>117</v>
      </c>
      <c r="AM3749" t="s">
        <v>191</v>
      </c>
      <c r="AN3749">
        <v>7288</v>
      </c>
      <c r="AO3749">
        <v>0.17</v>
      </c>
      <c r="AP3749">
        <v>1</v>
      </c>
      <c r="AR3749">
        <v>1</v>
      </c>
      <c r="AS3749" s="1">
        <v>24510</v>
      </c>
      <c r="AT3749" s="1">
        <v>4900</v>
      </c>
      <c r="AU3749" s="1">
        <v>19610</v>
      </c>
      <c r="AV3749">
        <v>80.010000000000005</v>
      </c>
      <c r="AX3749" s="1">
        <v>2352.84</v>
      </c>
      <c r="AY3749" t="s">
        <v>7418</v>
      </c>
      <c r="AZ3749" t="s">
        <v>7255</v>
      </c>
      <c r="BA3749" t="s">
        <v>5328</v>
      </c>
      <c r="BB3749" s="3">
        <v>41828</v>
      </c>
      <c r="BD3749" t="s">
        <v>458</v>
      </c>
      <c r="BE3749" s="3">
        <v>41801</v>
      </c>
      <c r="BF3749" s="1">
        <v>260000</v>
      </c>
      <c r="BG3749" t="s">
        <v>24011</v>
      </c>
      <c r="BH3749" s="1">
        <v>143.09</v>
      </c>
      <c r="BI3749" s="1">
        <v>236925</v>
      </c>
      <c r="BJ3749" s="3">
        <v>41801</v>
      </c>
      <c r="BK3749" t="s">
        <v>123</v>
      </c>
      <c r="BL3749" t="str">
        <f>"2014.380959"</f>
        <v>2014.380959</v>
      </c>
      <c r="BM3749" t="s">
        <v>131</v>
      </c>
      <c r="BO3749" t="s">
        <v>24012</v>
      </c>
      <c r="BS3749">
        <v>15</v>
      </c>
      <c r="BW3749" t="str">
        <f>""</f>
        <v/>
      </c>
      <c r="CH3749" t="str">
        <f>""</f>
        <v/>
      </c>
      <c r="CS3749" t="str">
        <f>""</f>
        <v/>
      </c>
    </row>
    <row r="3750" spans="1:97" x14ac:dyDescent="0.25">
      <c r="A3750" t="s">
        <v>1898</v>
      </c>
      <c r="B3750" t="s">
        <v>24013</v>
      </c>
      <c r="C3750" t="s">
        <v>18320</v>
      </c>
      <c r="D3750" t="s">
        <v>24013</v>
      </c>
      <c r="E3750" t="s">
        <v>24014</v>
      </c>
      <c r="F3750" t="s">
        <v>108</v>
      </c>
      <c r="H3750" t="s">
        <v>24015</v>
      </c>
      <c r="I3750" t="s">
        <v>632</v>
      </c>
      <c r="J3750" t="s">
        <v>111</v>
      </c>
      <c r="K3750" t="str">
        <f>"85387"</f>
        <v>85387</v>
      </c>
      <c r="L3750" t="s">
        <v>5496</v>
      </c>
      <c r="M3750" t="s">
        <v>24015</v>
      </c>
      <c r="N3750" t="s">
        <v>632</v>
      </c>
      <c r="O3750" t="s">
        <v>111</v>
      </c>
      <c r="P3750" t="str">
        <f>"85387-6807"</f>
        <v>85387-6807</v>
      </c>
      <c r="Q3750" t="s">
        <v>113</v>
      </c>
      <c r="R3750" t="str">
        <f>"503-73-423"</f>
        <v>503-73-423</v>
      </c>
      <c r="S3750" t="s">
        <v>16926</v>
      </c>
      <c r="T3750" t="s">
        <v>5498</v>
      </c>
      <c r="U3750">
        <v>3419</v>
      </c>
      <c r="V3750">
        <v>0</v>
      </c>
      <c r="W3750">
        <v>4</v>
      </c>
      <c r="X3750">
        <v>2006</v>
      </c>
      <c r="Z3750">
        <v>2</v>
      </c>
      <c r="AA3750" t="s">
        <v>26</v>
      </c>
      <c r="AB3750">
        <v>0</v>
      </c>
      <c r="AC3750" t="s">
        <v>115</v>
      </c>
      <c r="AD3750">
        <v>3</v>
      </c>
      <c r="AE3750" t="s">
        <v>115</v>
      </c>
      <c r="AF3750">
        <v>0</v>
      </c>
      <c r="AG3750">
        <v>0</v>
      </c>
      <c r="AH3750" t="s">
        <v>116</v>
      </c>
      <c r="AI3750" s="1">
        <v>58722</v>
      </c>
      <c r="AJ3750" s="2">
        <v>0.17</v>
      </c>
      <c r="AK3750" s="1">
        <v>343127</v>
      </c>
      <c r="AL3750" t="s">
        <v>117</v>
      </c>
      <c r="AM3750" t="s">
        <v>118</v>
      </c>
      <c r="AN3750">
        <v>6600</v>
      </c>
      <c r="AO3750">
        <v>0.15</v>
      </c>
      <c r="AR3750">
        <v>1</v>
      </c>
      <c r="AS3750" s="1">
        <v>23410</v>
      </c>
      <c r="AT3750" s="1">
        <v>4680</v>
      </c>
      <c r="AU3750" s="1">
        <v>18730</v>
      </c>
      <c r="AV3750">
        <v>80.010000000000005</v>
      </c>
      <c r="AX3750" s="1">
        <v>1856.78</v>
      </c>
      <c r="AY3750" t="s">
        <v>5108</v>
      </c>
      <c r="AZ3750" t="s">
        <v>5108</v>
      </c>
      <c r="BA3750" t="s">
        <v>5109</v>
      </c>
      <c r="BB3750" s="3">
        <v>42951</v>
      </c>
      <c r="BD3750" t="s">
        <v>157</v>
      </c>
      <c r="BE3750" s="3">
        <v>42489</v>
      </c>
      <c r="BF3750" s="1">
        <v>290000</v>
      </c>
      <c r="BG3750" t="s">
        <v>24016</v>
      </c>
      <c r="BH3750" s="1">
        <v>84.82</v>
      </c>
      <c r="BI3750" s="1">
        <v>284405</v>
      </c>
      <c r="BJ3750" s="3">
        <v>42923</v>
      </c>
      <c r="BK3750" t="s">
        <v>123</v>
      </c>
      <c r="BL3750" t="str">
        <f>"2017.495532"</f>
        <v>2017.495532</v>
      </c>
      <c r="BM3750" t="s">
        <v>13874</v>
      </c>
      <c r="BO3750" t="s">
        <v>24017</v>
      </c>
      <c r="BS3750">
        <v>30</v>
      </c>
      <c r="BW3750" t="str">
        <f>""</f>
        <v/>
      </c>
      <c r="CH3750" t="str">
        <f>""</f>
        <v/>
      </c>
      <c r="CS3750" t="str">
        <f>""</f>
        <v/>
      </c>
    </row>
    <row r="3751" spans="1:97" x14ac:dyDescent="0.25">
      <c r="A3751" t="s">
        <v>852</v>
      </c>
      <c r="B3751" t="s">
        <v>24018</v>
      </c>
      <c r="E3751" t="s">
        <v>24019</v>
      </c>
      <c r="F3751" t="s">
        <v>108</v>
      </c>
      <c r="H3751" t="s">
        <v>24020</v>
      </c>
      <c r="I3751" t="s">
        <v>110</v>
      </c>
      <c r="J3751" t="s">
        <v>111</v>
      </c>
      <c r="K3751" t="str">
        <f>"85249"</f>
        <v>85249</v>
      </c>
      <c r="L3751" t="s">
        <v>3696</v>
      </c>
      <c r="M3751" t="s">
        <v>24020</v>
      </c>
      <c r="N3751" t="s">
        <v>110</v>
      </c>
      <c r="O3751" t="s">
        <v>111</v>
      </c>
      <c r="P3751" t="str">
        <f>"85249-5021"</f>
        <v>85249-5021</v>
      </c>
      <c r="Q3751" t="s">
        <v>113</v>
      </c>
      <c r="R3751" t="str">
        <f>"303-89-192"</f>
        <v>303-89-192</v>
      </c>
      <c r="S3751" t="s">
        <v>18977</v>
      </c>
      <c r="U3751">
        <v>2844</v>
      </c>
      <c r="V3751">
        <v>0</v>
      </c>
      <c r="W3751">
        <v>4</v>
      </c>
      <c r="X3751">
        <v>2002</v>
      </c>
      <c r="Z3751">
        <v>1</v>
      </c>
      <c r="AA3751" t="s">
        <v>26</v>
      </c>
      <c r="AB3751">
        <v>0</v>
      </c>
      <c r="AC3751" t="s">
        <v>115</v>
      </c>
      <c r="AD3751">
        <v>3</v>
      </c>
      <c r="AE3751" t="s">
        <v>115</v>
      </c>
      <c r="AF3751">
        <v>0</v>
      </c>
      <c r="AG3751">
        <v>0</v>
      </c>
      <c r="AH3751" t="s">
        <v>116</v>
      </c>
      <c r="AI3751" s="1">
        <v>136452</v>
      </c>
      <c r="AJ3751" s="2">
        <v>0.31</v>
      </c>
      <c r="AK3751" s="1">
        <v>441452</v>
      </c>
      <c r="AL3751" t="s">
        <v>117</v>
      </c>
      <c r="AM3751" t="s">
        <v>118</v>
      </c>
      <c r="AN3751">
        <v>9783</v>
      </c>
      <c r="AO3751">
        <v>0.22</v>
      </c>
      <c r="AP3751">
        <v>1</v>
      </c>
      <c r="AR3751">
        <v>1</v>
      </c>
      <c r="AS3751" s="1">
        <v>31670</v>
      </c>
      <c r="AT3751" s="1">
        <v>6330</v>
      </c>
      <c r="AU3751" s="1">
        <v>25340</v>
      </c>
      <c r="AV3751">
        <v>80.010000000000005</v>
      </c>
      <c r="AX3751" s="1">
        <v>2709.5</v>
      </c>
      <c r="AY3751" t="s">
        <v>5050</v>
      </c>
      <c r="AZ3751" t="s">
        <v>120</v>
      </c>
      <c r="BA3751" t="s">
        <v>274</v>
      </c>
      <c r="BB3751" s="3">
        <v>43158</v>
      </c>
      <c r="BC3751" s="1">
        <v>0</v>
      </c>
      <c r="BD3751" t="s">
        <v>247</v>
      </c>
      <c r="BE3751" s="3">
        <v>42185</v>
      </c>
      <c r="BF3751" s="1">
        <v>354000</v>
      </c>
      <c r="BG3751" t="s">
        <v>24021</v>
      </c>
      <c r="BH3751" s="1">
        <v>124.47</v>
      </c>
      <c r="BI3751" s="1">
        <v>305000</v>
      </c>
      <c r="BJ3751" s="3">
        <v>42185</v>
      </c>
      <c r="BK3751" t="s">
        <v>123</v>
      </c>
      <c r="BL3751" t="str">
        <f>"2015.467350"</f>
        <v>2015.467350</v>
      </c>
      <c r="BM3751" t="s">
        <v>2683</v>
      </c>
      <c r="BN3751" t="s">
        <v>5052</v>
      </c>
      <c r="BO3751" t="s">
        <v>24022</v>
      </c>
      <c r="BS3751">
        <v>30</v>
      </c>
      <c r="BW3751" t="str">
        <f>""</f>
        <v/>
      </c>
      <c r="CH3751" t="str">
        <f>""</f>
        <v/>
      </c>
      <c r="CS3751" t="str">
        <f>""</f>
        <v/>
      </c>
    </row>
    <row r="3752" spans="1:97" x14ac:dyDescent="0.25">
      <c r="A3752" t="s">
        <v>9603</v>
      </c>
      <c r="B3752" t="s">
        <v>212</v>
      </c>
      <c r="C3752" t="s">
        <v>24023</v>
      </c>
      <c r="D3752" t="s">
        <v>212</v>
      </c>
      <c r="E3752" t="s">
        <v>24024</v>
      </c>
      <c r="F3752" t="s">
        <v>108</v>
      </c>
      <c r="H3752" t="s">
        <v>24025</v>
      </c>
      <c r="I3752" t="s">
        <v>110</v>
      </c>
      <c r="J3752" t="s">
        <v>111</v>
      </c>
      <c r="K3752" t="str">
        <f>"85224"</f>
        <v>85224</v>
      </c>
      <c r="L3752" t="s">
        <v>5464</v>
      </c>
      <c r="M3752" t="s">
        <v>24025</v>
      </c>
      <c r="N3752" t="s">
        <v>110</v>
      </c>
      <c r="O3752" t="s">
        <v>111</v>
      </c>
      <c r="P3752" t="str">
        <f>"85224-8255"</f>
        <v>85224-8255</v>
      </c>
      <c r="Q3752" t="s">
        <v>113</v>
      </c>
      <c r="R3752" t="str">
        <f>"302-74-275"</f>
        <v>302-74-275</v>
      </c>
      <c r="S3752" t="s">
        <v>24026</v>
      </c>
      <c r="T3752" t="s">
        <v>24027</v>
      </c>
      <c r="U3752">
        <v>3009</v>
      </c>
      <c r="V3752">
        <v>0</v>
      </c>
      <c r="W3752">
        <v>4</v>
      </c>
      <c r="X3752">
        <v>1990</v>
      </c>
      <c r="Z3752">
        <v>2</v>
      </c>
      <c r="AA3752" t="s">
        <v>26</v>
      </c>
      <c r="AB3752">
        <v>0</v>
      </c>
      <c r="AC3752" t="s">
        <v>115</v>
      </c>
      <c r="AD3752">
        <v>3</v>
      </c>
      <c r="AE3752" t="s">
        <v>115</v>
      </c>
      <c r="AF3752">
        <v>0</v>
      </c>
      <c r="AG3752">
        <v>0</v>
      </c>
      <c r="AH3752" t="s">
        <v>116</v>
      </c>
      <c r="AI3752" s="1">
        <v>76840</v>
      </c>
      <c r="AJ3752" s="2">
        <v>0.18</v>
      </c>
      <c r="AK3752" s="1">
        <v>437072</v>
      </c>
      <c r="AL3752" t="s">
        <v>117</v>
      </c>
      <c r="AM3752" t="s">
        <v>118</v>
      </c>
      <c r="AN3752">
        <v>8708</v>
      </c>
      <c r="AO3752">
        <v>0.2</v>
      </c>
      <c r="AP3752">
        <v>1</v>
      </c>
      <c r="AR3752">
        <v>1</v>
      </c>
      <c r="AS3752" s="1">
        <v>33650</v>
      </c>
      <c r="AT3752" s="1">
        <v>6730</v>
      </c>
      <c r="AU3752" s="1">
        <v>26920</v>
      </c>
      <c r="AV3752">
        <v>80</v>
      </c>
      <c r="AX3752" s="1">
        <v>2811.06</v>
      </c>
      <c r="AY3752" t="s">
        <v>9047</v>
      </c>
      <c r="AZ3752" t="s">
        <v>5078</v>
      </c>
      <c r="BA3752" t="s">
        <v>2957</v>
      </c>
      <c r="BE3752" s="3">
        <v>41796</v>
      </c>
      <c r="BF3752" s="1">
        <v>349900</v>
      </c>
      <c r="BG3752" t="s">
        <v>24028</v>
      </c>
      <c r="BH3752" s="1">
        <v>116.28</v>
      </c>
      <c r="BI3752" s="1">
        <v>360232</v>
      </c>
      <c r="BJ3752" s="3">
        <v>42107</v>
      </c>
      <c r="BK3752" t="s">
        <v>123</v>
      </c>
      <c r="BL3752" t="str">
        <f>"2015.248855"</f>
        <v>2015.248855</v>
      </c>
      <c r="BM3752" t="s">
        <v>6385</v>
      </c>
      <c r="BO3752" t="s">
        <v>24029</v>
      </c>
      <c r="BS3752">
        <v>30</v>
      </c>
      <c r="BW3752" t="str">
        <f>""</f>
        <v/>
      </c>
      <c r="CH3752" t="str">
        <f>""</f>
        <v/>
      </c>
      <c r="CS3752" t="str">
        <f>""</f>
        <v/>
      </c>
    </row>
    <row r="3753" spans="1:97" x14ac:dyDescent="0.25">
      <c r="A3753" t="s">
        <v>1160</v>
      </c>
      <c r="B3753" t="s">
        <v>24030</v>
      </c>
      <c r="C3753" t="s">
        <v>327</v>
      </c>
      <c r="D3753" t="s">
        <v>1704</v>
      </c>
      <c r="E3753" t="s">
        <v>24031</v>
      </c>
      <c r="F3753" t="s">
        <v>108</v>
      </c>
      <c r="H3753" t="s">
        <v>24032</v>
      </c>
      <c r="I3753" t="s">
        <v>13194</v>
      </c>
      <c r="J3753" t="s">
        <v>111</v>
      </c>
      <c r="K3753" t="str">
        <f>"85253"</f>
        <v>85253</v>
      </c>
      <c r="L3753" t="s">
        <v>8462</v>
      </c>
      <c r="M3753" t="s">
        <v>24032</v>
      </c>
      <c r="N3753" t="s">
        <v>13194</v>
      </c>
      <c r="O3753" t="s">
        <v>111</v>
      </c>
      <c r="P3753" t="str">
        <f>"85253-2041"</f>
        <v>85253-2041</v>
      </c>
      <c r="Q3753" t="s">
        <v>113</v>
      </c>
      <c r="R3753" t="str">
        <f>"168-68-023"</f>
        <v>168-68-023</v>
      </c>
      <c r="S3753" t="s">
        <v>24033</v>
      </c>
      <c r="U3753">
        <v>3035</v>
      </c>
      <c r="V3753">
        <v>0</v>
      </c>
      <c r="W3753">
        <v>3</v>
      </c>
      <c r="X3753">
        <v>1959</v>
      </c>
      <c r="Z3753">
        <v>1</v>
      </c>
      <c r="AA3753" t="s">
        <v>26</v>
      </c>
      <c r="AB3753">
        <v>0</v>
      </c>
      <c r="AC3753" t="s">
        <v>115</v>
      </c>
      <c r="AD3753">
        <v>4</v>
      </c>
      <c r="AE3753" t="s">
        <v>115</v>
      </c>
      <c r="AF3753">
        <v>0</v>
      </c>
      <c r="AG3753">
        <v>0</v>
      </c>
      <c r="AH3753" t="s">
        <v>116</v>
      </c>
      <c r="AI3753" s="1">
        <v>464576</v>
      </c>
      <c r="AJ3753" s="2">
        <v>0.41</v>
      </c>
      <c r="AK3753" s="1">
        <v>1138730</v>
      </c>
      <c r="AL3753" t="s">
        <v>117</v>
      </c>
      <c r="AM3753" t="s">
        <v>376</v>
      </c>
      <c r="AN3753">
        <v>47025</v>
      </c>
      <c r="AO3753">
        <v>1.08</v>
      </c>
      <c r="AP3753">
        <v>1</v>
      </c>
      <c r="AR3753">
        <v>1</v>
      </c>
      <c r="AS3753" s="1">
        <v>88480</v>
      </c>
      <c r="AT3753" s="1">
        <v>17690</v>
      </c>
      <c r="AU3753" s="1">
        <v>70790</v>
      </c>
      <c r="AV3753">
        <v>80.010000000000005</v>
      </c>
      <c r="AX3753" s="1">
        <v>4605.9399999999996</v>
      </c>
      <c r="AY3753" t="s">
        <v>24034</v>
      </c>
      <c r="AZ3753" t="s">
        <v>8949</v>
      </c>
      <c r="BA3753" t="s">
        <v>7868</v>
      </c>
      <c r="BE3753" s="3">
        <v>42419</v>
      </c>
      <c r="BF3753" s="1">
        <v>959000</v>
      </c>
      <c r="BG3753" t="s">
        <v>24035</v>
      </c>
      <c r="BH3753" s="1">
        <v>330.69</v>
      </c>
      <c r="BI3753" s="1">
        <v>674154</v>
      </c>
      <c r="BJ3753" s="3">
        <v>42674</v>
      </c>
      <c r="BK3753" t="s">
        <v>123</v>
      </c>
      <c r="BL3753" t="str">
        <f>"2016.802277"</f>
        <v>2016.802277</v>
      </c>
      <c r="BM3753" t="s">
        <v>1791</v>
      </c>
      <c r="BO3753" t="s">
        <v>24036</v>
      </c>
      <c r="BS3753">
        <v>30</v>
      </c>
      <c r="BW3753" t="str">
        <f>""</f>
        <v/>
      </c>
      <c r="CH3753" t="str">
        <f>""</f>
        <v/>
      </c>
      <c r="CS3753" t="str">
        <f>""</f>
        <v/>
      </c>
    </row>
    <row r="3754" spans="1:97" x14ac:dyDescent="0.25">
      <c r="A3754" t="s">
        <v>211</v>
      </c>
      <c r="B3754" t="s">
        <v>24037</v>
      </c>
      <c r="C3754" t="s">
        <v>1930</v>
      </c>
      <c r="D3754" t="s">
        <v>24038</v>
      </c>
      <c r="E3754" t="s">
        <v>24039</v>
      </c>
      <c r="F3754" t="s">
        <v>108</v>
      </c>
      <c r="H3754" t="s">
        <v>24040</v>
      </c>
      <c r="I3754" t="s">
        <v>632</v>
      </c>
      <c r="J3754" t="s">
        <v>111</v>
      </c>
      <c r="K3754" t="str">
        <f>"85387"</f>
        <v>85387</v>
      </c>
      <c r="L3754" t="s">
        <v>3758</v>
      </c>
      <c r="M3754" t="s">
        <v>24040</v>
      </c>
      <c r="N3754" t="s">
        <v>632</v>
      </c>
      <c r="O3754" t="s">
        <v>111</v>
      </c>
      <c r="P3754" t="str">
        <f>"85387-6367"</f>
        <v>85387-6367</v>
      </c>
      <c r="Q3754" t="s">
        <v>113</v>
      </c>
      <c r="R3754" t="str">
        <f>"503-52-393"</f>
        <v>503-52-393</v>
      </c>
      <c r="U3754">
        <v>2741</v>
      </c>
      <c r="V3754">
        <v>0</v>
      </c>
      <c r="W3754">
        <v>4</v>
      </c>
      <c r="X3754">
        <v>2004</v>
      </c>
      <c r="Z3754">
        <v>1</v>
      </c>
      <c r="AB3754">
        <v>0</v>
      </c>
      <c r="AC3754" t="s">
        <v>115</v>
      </c>
      <c r="AD3754">
        <v>3</v>
      </c>
      <c r="AE3754" t="s">
        <v>115</v>
      </c>
      <c r="AF3754">
        <v>0</v>
      </c>
      <c r="AG3754">
        <v>0</v>
      </c>
      <c r="AH3754" t="s">
        <v>116</v>
      </c>
      <c r="AI3754" s="1">
        <v>65449</v>
      </c>
      <c r="AJ3754" s="2">
        <v>0.15</v>
      </c>
      <c r="AK3754" s="1">
        <v>428259</v>
      </c>
      <c r="AL3754" t="s">
        <v>117</v>
      </c>
      <c r="AM3754" t="s">
        <v>376</v>
      </c>
      <c r="AN3754">
        <v>55662</v>
      </c>
      <c r="AO3754">
        <v>1.28</v>
      </c>
      <c r="AP3754">
        <v>1</v>
      </c>
      <c r="AR3754">
        <v>1</v>
      </c>
      <c r="AS3754" s="1">
        <v>31500</v>
      </c>
      <c r="AT3754" s="1">
        <v>6300</v>
      </c>
      <c r="AU3754" s="1">
        <v>25200</v>
      </c>
      <c r="AV3754">
        <v>80</v>
      </c>
      <c r="AX3754" s="1">
        <v>1757.96</v>
      </c>
      <c r="AY3754" t="s">
        <v>5499</v>
      </c>
      <c r="AZ3754" t="s">
        <v>5499</v>
      </c>
      <c r="BE3754" s="3">
        <v>41991</v>
      </c>
      <c r="BF3754" s="1">
        <v>330700</v>
      </c>
      <c r="BG3754" t="s">
        <v>24041</v>
      </c>
      <c r="BH3754" s="1">
        <v>120.65</v>
      </c>
      <c r="BI3754" s="1">
        <v>337810</v>
      </c>
      <c r="BJ3754" s="3">
        <v>41991</v>
      </c>
      <c r="BK3754" t="s">
        <v>123</v>
      </c>
      <c r="BL3754" t="str">
        <f>"2014.832366"</f>
        <v>2014.832366</v>
      </c>
      <c r="BM3754" t="s">
        <v>1227</v>
      </c>
      <c r="BN3754" t="s">
        <v>24042</v>
      </c>
      <c r="BO3754" t="s">
        <v>24043</v>
      </c>
      <c r="BP3754" t="s">
        <v>24044</v>
      </c>
      <c r="BS3754">
        <v>30</v>
      </c>
      <c r="BT3754" s="1">
        <v>25000</v>
      </c>
      <c r="BU3754" s="3">
        <v>43633</v>
      </c>
      <c r="BW3754" t="str">
        <f>"2019.449524"</f>
        <v>2019.449524</v>
      </c>
      <c r="BX3754" t="s">
        <v>24045</v>
      </c>
      <c r="BY3754" t="s">
        <v>739</v>
      </c>
      <c r="BZ3754" t="s">
        <v>24046</v>
      </c>
      <c r="CA3754" t="s">
        <v>24047</v>
      </c>
      <c r="CC3754" t="s">
        <v>346</v>
      </c>
      <c r="CH3754" t="str">
        <f>""</f>
        <v/>
      </c>
      <c r="CS3754" t="str">
        <f>""</f>
        <v/>
      </c>
    </row>
    <row r="3755" spans="1:97" x14ac:dyDescent="0.25">
      <c r="A3755" t="s">
        <v>815</v>
      </c>
      <c r="B3755" t="s">
        <v>24048</v>
      </c>
      <c r="C3755" t="s">
        <v>16736</v>
      </c>
      <c r="D3755" t="s">
        <v>24048</v>
      </c>
      <c r="E3755" t="s">
        <v>24049</v>
      </c>
      <c r="F3755" t="s">
        <v>108</v>
      </c>
      <c r="H3755" t="s">
        <v>24050</v>
      </c>
      <c r="I3755" t="s">
        <v>374</v>
      </c>
      <c r="J3755" t="s">
        <v>111</v>
      </c>
      <c r="K3755" t="str">
        <f>"85087"</f>
        <v>85087</v>
      </c>
      <c r="L3755" t="s">
        <v>11846</v>
      </c>
      <c r="M3755" t="s">
        <v>24050</v>
      </c>
      <c r="N3755" t="s">
        <v>374</v>
      </c>
      <c r="O3755" t="s">
        <v>111</v>
      </c>
      <c r="P3755" t="str">
        <f>"85087-8618"</f>
        <v>85087-8618</v>
      </c>
      <c r="Q3755" t="s">
        <v>113</v>
      </c>
      <c r="R3755" t="str">
        <f>"202-20-356-A"</f>
        <v>202-20-356-A</v>
      </c>
      <c r="U3755">
        <v>4516</v>
      </c>
      <c r="V3755">
        <v>0</v>
      </c>
      <c r="W3755">
        <v>5</v>
      </c>
      <c r="X3755">
        <v>2004</v>
      </c>
      <c r="Z3755">
        <v>2</v>
      </c>
      <c r="AA3755" t="s">
        <v>26</v>
      </c>
      <c r="AB3755">
        <v>0</v>
      </c>
      <c r="AC3755" t="s">
        <v>115</v>
      </c>
      <c r="AD3755">
        <v>4</v>
      </c>
      <c r="AE3755" t="s">
        <v>115</v>
      </c>
      <c r="AF3755">
        <v>0</v>
      </c>
      <c r="AG3755">
        <v>0</v>
      </c>
      <c r="AH3755" t="s">
        <v>116</v>
      </c>
      <c r="AI3755" s="1">
        <v>255143</v>
      </c>
      <c r="AJ3755" s="2">
        <v>0.38</v>
      </c>
      <c r="AK3755" s="1">
        <v>672090</v>
      </c>
      <c r="AL3755" t="s">
        <v>117</v>
      </c>
      <c r="AM3755" t="s">
        <v>376</v>
      </c>
      <c r="AN3755">
        <v>54450</v>
      </c>
      <c r="AO3755">
        <v>1.25</v>
      </c>
      <c r="AP3755">
        <v>1</v>
      </c>
      <c r="AR3755">
        <v>1</v>
      </c>
      <c r="AS3755" s="1">
        <v>51330</v>
      </c>
      <c r="AT3755" s="1">
        <v>10260</v>
      </c>
      <c r="AU3755" s="1">
        <v>41070</v>
      </c>
      <c r="AV3755">
        <v>80.010000000000005</v>
      </c>
      <c r="AX3755" s="1">
        <v>5166.22</v>
      </c>
      <c r="AY3755" t="s">
        <v>665</v>
      </c>
      <c r="AZ3755" t="s">
        <v>665</v>
      </c>
      <c r="BA3755" t="s">
        <v>378</v>
      </c>
      <c r="BE3755" s="3">
        <v>42041</v>
      </c>
      <c r="BF3755" s="1">
        <v>492900</v>
      </c>
      <c r="BG3755" t="s">
        <v>24051</v>
      </c>
      <c r="BH3755" s="1">
        <v>109.15</v>
      </c>
      <c r="BI3755" s="1">
        <v>416947</v>
      </c>
      <c r="BJ3755" s="3">
        <v>42041</v>
      </c>
      <c r="BK3755" t="s">
        <v>123</v>
      </c>
      <c r="BL3755" t="str">
        <f>"2015.79113"</f>
        <v>2015.79113</v>
      </c>
      <c r="BM3755" t="s">
        <v>1038</v>
      </c>
      <c r="BO3755" t="s">
        <v>24052</v>
      </c>
      <c r="BS3755">
        <v>30</v>
      </c>
      <c r="BW3755" t="str">
        <f>""</f>
        <v/>
      </c>
      <c r="CH3755" t="str">
        <f>""</f>
        <v/>
      </c>
      <c r="CS3755" t="str">
        <f>""</f>
        <v/>
      </c>
    </row>
    <row r="3756" spans="1:97" x14ac:dyDescent="0.25">
      <c r="A3756" t="s">
        <v>464</v>
      </c>
      <c r="B3756" t="s">
        <v>24053</v>
      </c>
      <c r="E3756" t="s">
        <v>24054</v>
      </c>
      <c r="F3756" t="s">
        <v>108</v>
      </c>
      <c r="H3756" t="s">
        <v>24055</v>
      </c>
      <c r="I3756" t="s">
        <v>1397</v>
      </c>
      <c r="J3756" t="s">
        <v>111</v>
      </c>
      <c r="K3756" t="str">
        <f>"85331"</f>
        <v>85331</v>
      </c>
      <c r="L3756" t="s">
        <v>3037</v>
      </c>
      <c r="M3756" t="s">
        <v>24055</v>
      </c>
      <c r="N3756" t="s">
        <v>1397</v>
      </c>
      <c r="O3756" t="s">
        <v>111</v>
      </c>
      <c r="P3756" t="str">
        <f>"85331-3432"</f>
        <v>85331-3432</v>
      </c>
      <c r="Q3756" t="s">
        <v>113</v>
      </c>
      <c r="R3756" t="str">
        <f>"211-44-023-A"</f>
        <v>211-44-023-A</v>
      </c>
      <c r="U3756">
        <v>2113</v>
      </c>
      <c r="V3756">
        <v>0</v>
      </c>
      <c r="W3756">
        <v>2</v>
      </c>
      <c r="X3756">
        <v>1989</v>
      </c>
      <c r="Z3756">
        <v>1</v>
      </c>
      <c r="AB3756">
        <v>0</v>
      </c>
      <c r="AC3756" t="s">
        <v>115</v>
      </c>
      <c r="AD3756">
        <v>2</v>
      </c>
      <c r="AE3756" t="s">
        <v>115</v>
      </c>
      <c r="AF3756">
        <v>0</v>
      </c>
      <c r="AG3756">
        <v>0</v>
      </c>
      <c r="AH3756" t="s">
        <v>116</v>
      </c>
      <c r="AI3756" s="1">
        <v>32171</v>
      </c>
      <c r="AJ3756" s="2">
        <v>0.06</v>
      </c>
      <c r="AK3756" s="1">
        <v>520866</v>
      </c>
      <c r="AL3756" t="s">
        <v>117</v>
      </c>
      <c r="AM3756" t="s">
        <v>376</v>
      </c>
      <c r="AN3756">
        <v>59416</v>
      </c>
      <c r="AO3756">
        <v>1.36</v>
      </c>
      <c r="AP3756">
        <v>1</v>
      </c>
      <c r="AR3756">
        <v>1</v>
      </c>
      <c r="AS3756" s="1">
        <v>36680</v>
      </c>
      <c r="AT3756" s="1">
        <v>7330</v>
      </c>
      <c r="AU3756" s="1">
        <v>29350</v>
      </c>
      <c r="AV3756">
        <v>80.02</v>
      </c>
      <c r="AX3756" s="1">
        <v>1766.9</v>
      </c>
      <c r="AY3756" t="s">
        <v>5017</v>
      </c>
      <c r="AZ3756" t="s">
        <v>1402</v>
      </c>
      <c r="BA3756" t="s">
        <v>1403</v>
      </c>
      <c r="BE3756" s="3">
        <v>41841</v>
      </c>
      <c r="BF3756" s="1">
        <v>370000</v>
      </c>
      <c r="BG3756" t="s">
        <v>24056</v>
      </c>
      <c r="BH3756" s="1">
        <v>175.11</v>
      </c>
      <c r="BI3756" s="1">
        <v>428695</v>
      </c>
      <c r="BJ3756" s="3">
        <v>42689</v>
      </c>
      <c r="BK3756" t="s">
        <v>123</v>
      </c>
      <c r="BL3756" t="str">
        <f>"2016.842782"</f>
        <v>2016.842782</v>
      </c>
      <c r="BM3756" t="s">
        <v>3710</v>
      </c>
      <c r="BN3756" t="s">
        <v>18878</v>
      </c>
      <c r="BO3756" t="s">
        <v>24057</v>
      </c>
      <c r="BS3756">
        <v>30</v>
      </c>
      <c r="BT3756" s="1">
        <v>60000</v>
      </c>
      <c r="BU3756" s="3">
        <v>43439</v>
      </c>
      <c r="BV3756" t="s">
        <v>134</v>
      </c>
      <c r="BW3756" t="str">
        <f>"2018.893891"</f>
        <v>2018.893891</v>
      </c>
      <c r="BX3756" t="s">
        <v>24058</v>
      </c>
      <c r="BY3756" t="s">
        <v>2476</v>
      </c>
      <c r="BZ3756" t="s">
        <v>24059</v>
      </c>
      <c r="CC3756" t="s">
        <v>139</v>
      </c>
      <c r="CH3756" t="str">
        <f>""</f>
        <v/>
      </c>
      <c r="CS3756" t="str">
        <f>""</f>
        <v/>
      </c>
    </row>
    <row r="3757" spans="1:97" x14ac:dyDescent="0.25">
      <c r="A3757" t="s">
        <v>3526</v>
      </c>
      <c r="B3757" t="s">
        <v>24060</v>
      </c>
      <c r="C3757" t="s">
        <v>1959</v>
      </c>
      <c r="D3757" t="s">
        <v>24060</v>
      </c>
      <c r="E3757" t="s">
        <v>24061</v>
      </c>
      <c r="F3757" t="s">
        <v>108</v>
      </c>
      <c r="H3757" t="s">
        <v>24062</v>
      </c>
      <c r="I3757" t="s">
        <v>453</v>
      </c>
      <c r="J3757" t="s">
        <v>111</v>
      </c>
      <c r="K3757" t="str">
        <f>"85383"</f>
        <v>85383</v>
      </c>
      <c r="L3757" t="s">
        <v>500</v>
      </c>
      <c r="M3757" t="s">
        <v>24062</v>
      </c>
      <c r="N3757" t="s">
        <v>453</v>
      </c>
      <c r="O3757" t="s">
        <v>111</v>
      </c>
      <c r="P3757" t="str">
        <f>"85383-4630"</f>
        <v>85383-4630</v>
      </c>
      <c r="Q3757" t="s">
        <v>113</v>
      </c>
      <c r="R3757" t="str">
        <f>"201-30-096"</f>
        <v>201-30-096</v>
      </c>
      <c r="S3757" t="s">
        <v>24063</v>
      </c>
      <c r="U3757">
        <v>4070</v>
      </c>
      <c r="V3757">
        <v>0</v>
      </c>
      <c r="W3757">
        <v>5</v>
      </c>
      <c r="X3757">
        <v>2005</v>
      </c>
      <c r="Z3757">
        <v>2</v>
      </c>
      <c r="AA3757" t="s">
        <v>26</v>
      </c>
      <c r="AB3757">
        <v>0</v>
      </c>
      <c r="AC3757" t="s">
        <v>115</v>
      </c>
      <c r="AD3757">
        <v>3</v>
      </c>
      <c r="AE3757" t="s">
        <v>115</v>
      </c>
      <c r="AF3757">
        <v>0</v>
      </c>
      <c r="AG3757">
        <v>0</v>
      </c>
      <c r="AH3757" t="s">
        <v>116</v>
      </c>
      <c r="AI3757" s="1">
        <v>81020</v>
      </c>
      <c r="AJ3757" s="2">
        <v>0.14000000000000001</v>
      </c>
      <c r="AK3757" s="1">
        <v>567744</v>
      </c>
      <c r="AL3757" t="s">
        <v>117</v>
      </c>
      <c r="AM3757" t="s">
        <v>118</v>
      </c>
      <c r="AN3757">
        <v>10802</v>
      </c>
      <c r="AO3757">
        <v>0.25</v>
      </c>
      <c r="AR3757">
        <v>1</v>
      </c>
      <c r="AS3757" s="1">
        <v>45110</v>
      </c>
      <c r="AT3757" s="1">
        <v>9020</v>
      </c>
      <c r="AU3757" s="1">
        <v>36090</v>
      </c>
      <c r="AV3757">
        <v>80</v>
      </c>
      <c r="AX3757" s="1">
        <v>4194.4399999999996</v>
      </c>
      <c r="AY3757" t="s">
        <v>8323</v>
      </c>
      <c r="AZ3757" t="s">
        <v>8323</v>
      </c>
      <c r="BA3757" t="s">
        <v>1386</v>
      </c>
      <c r="BE3757" s="3">
        <v>42200</v>
      </c>
      <c r="BF3757" s="1">
        <v>491500</v>
      </c>
      <c r="BG3757" t="s">
        <v>24064</v>
      </c>
      <c r="BH3757" s="1">
        <v>120.76</v>
      </c>
      <c r="BI3757" s="1">
        <v>486724</v>
      </c>
      <c r="BJ3757" s="3">
        <v>42634</v>
      </c>
      <c r="BK3757" t="s">
        <v>123</v>
      </c>
      <c r="BL3757" t="str">
        <f>"2016.684531"</f>
        <v>2016.684531</v>
      </c>
      <c r="BM3757" t="s">
        <v>1695</v>
      </c>
      <c r="BN3757" t="s">
        <v>3082</v>
      </c>
      <c r="BO3757" t="s">
        <v>24065</v>
      </c>
      <c r="BS3757">
        <v>30</v>
      </c>
      <c r="BW3757" t="str">
        <f>""</f>
        <v/>
      </c>
      <c r="CH3757" t="str">
        <f>""</f>
        <v/>
      </c>
      <c r="CS3757" t="str">
        <f>""</f>
        <v/>
      </c>
    </row>
    <row r="3758" spans="1:97" x14ac:dyDescent="0.25">
      <c r="A3758" t="s">
        <v>1187</v>
      </c>
      <c r="B3758" t="s">
        <v>12979</v>
      </c>
      <c r="C3758" t="s">
        <v>364</v>
      </c>
      <c r="D3758" t="s">
        <v>12979</v>
      </c>
      <c r="E3758" t="s">
        <v>24066</v>
      </c>
      <c r="F3758" t="s">
        <v>108</v>
      </c>
      <c r="H3758" t="s">
        <v>24067</v>
      </c>
      <c r="I3758" t="s">
        <v>632</v>
      </c>
      <c r="J3758" t="s">
        <v>111</v>
      </c>
      <c r="K3758" t="str">
        <f>"85379"</f>
        <v>85379</v>
      </c>
      <c r="L3758" t="s">
        <v>299</v>
      </c>
      <c r="M3758" t="s">
        <v>24067</v>
      </c>
      <c r="N3758" t="s">
        <v>632</v>
      </c>
      <c r="O3758" t="s">
        <v>111</v>
      </c>
      <c r="P3758" t="str">
        <f>"85379-4327"</f>
        <v>85379-4327</v>
      </c>
      <c r="Q3758" t="s">
        <v>113</v>
      </c>
      <c r="R3758" t="str">
        <f>"501-39-791"</f>
        <v>501-39-791</v>
      </c>
      <c r="S3758" t="s">
        <v>24068</v>
      </c>
      <c r="U3758">
        <v>3359</v>
      </c>
      <c r="V3758">
        <v>0</v>
      </c>
      <c r="W3758">
        <v>4</v>
      </c>
      <c r="X3758">
        <v>2003</v>
      </c>
      <c r="Z3758">
        <v>1</v>
      </c>
      <c r="AA3758" t="s">
        <v>26</v>
      </c>
      <c r="AB3758">
        <v>0</v>
      </c>
      <c r="AC3758" t="s">
        <v>115</v>
      </c>
      <c r="AD3758">
        <v>3</v>
      </c>
      <c r="AE3758" t="s">
        <v>115</v>
      </c>
      <c r="AF3758">
        <v>0</v>
      </c>
      <c r="AG3758">
        <v>0</v>
      </c>
      <c r="AH3758" t="s">
        <v>116</v>
      </c>
      <c r="AI3758" s="1">
        <v>87914</v>
      </c>
      <c r="AJ3758" s="2">
        <v>0.17</v>
      </c>
      <c r="AK3758" s="1">
        <v>522445</v>
      </c>
      <c r="AL3758" t="s">
        <v>117</v>
      </c>
      <c r="AM3758" t="s">
        <v>376</v>
      </c>
      <c r="AN3758">
        <v>43016</v>
      </c>
      <c r="AO3758">
        <v>0.99</v>
      </c>
      <c r="AP3758">
        <v>1</v>
      </c>
      <c r="AR3758">
        <v>1</v>
      </c>
      <c r="AS3758" s="1">
        <v>40370</v>
      </c>
      <c r="AT3758" s="1">
        <v>8070</v>
      </c>
      <c r="AU3758" s="1">
        <v>32300</v>
      </c>
      <c r="AV3758">
        <v>80.010000000000005</v>
      </c>
      <c r="AX3758" s="1">
        <v>2982.62</v>
      </c>
      <c r="AY3758" t="s">
        <v>7965</v>
      </c>
      <c r="AZ3758" t="s">
        <v>7965</v>
      </c>
      <c r="BA3758" t="s">
        <v>635</v>
      </c>
      <c r="BE3758" s="3">
        <v>41960</v>
      </c>
      <c r="BF3758" s="1">
        <v>420000</v>
      </c>
      <c r="BG3758" t="s">
        <v>24069</v>
      </c>
      <c r="BH3758" s="1">
        <v>125.04</v>
      </c>
      <c r="BI3758" s="1">
        <v>434531</v>
      </c>
      <c r="BJ3758" s="3">
        <v>42510</v>
      </c>
      <c r="BK3758" t="s">
        <v>123</v>
      </c>
      <c r="BL3758" t="str">
        <f>"2016.346963"</f>
        <v>2016.346963</v>
      </c>
      <c r="BM3758" t="s">
        <v>6742</v>
      </c>
      <c r="BO3758" t="s">
        <v>24070</v>
      </c>
      <c r="BS3758">
        <v>30</v>
      </c>
      <c r="BW3758" t="str">
        <f>""</f>
        <v/>
      </c>
      <c r="CH3758" t="str">
        <f>""</f>
        <v/>
      </c>
      <c r="CS3758" t="str">
        <f>""</f>
        <v/>
      </c>
    </row>
    <row r="3759" spans="1:97" x14ac:dyDescent="0.25">
      <c r="A3759" t="s">
        <v>464</v>
      </c>
      <c r="B3759" t="s">
        <v>24071</v>
      </c>
      <c r="E3759" t="s">
        <v>24072</v>
      </c>
      <c r="F3759" t="s">
        <v>108</v>
      </c>
      <c r="H3759" t="s">
        <v>24073</v>
      </c>
      <c r="I3759" t="s">
        <v>1936</v>
      </c>
      <c r="J3759" t="s">
        <v>111</v>
      </c>
      <c r="K3759" t="str">
        <f>"85266"</f>
        <v>85266</v>
      </c>
      <c r="L3759" t="s">
        <v>7351</v>
      </c>
      <c r="M3759" t="s">
        <v>24073</v>
      </c>
      <c r="N3759" t="s">
        <v>1936</v>
      </c>
      <c r="O3759" t="s">
        <v>111</v>
      </c>
      <c r="P3759" t="str">
        <f>"85266-8533"</f>
        <v>85266-8533</v>
      </c>
      <c r="Q3759" t="s">
        <v>113</v>
      </c>
      <c r="R3759" t="str">
        <f>"216-68-214"</f>
        <v>216-68-214</v>
      </c>
      <c r="S3759" t="s">
        <v>24074</v>
      </c>
      <c r="T3759" t="s">
        <v>24074</v>
      </c>
      <c r="U3759">
        <v>2866</v>
      </c>
      <c r="V3759">
        <v>0</v>
      </c>
      <c r="W3759">
        <v>3</v>
      </c>
      <c r="X3759">
        <v>1999</v>
      </c>
      <c r="Z3759">
        <v>1</v>
      </c>
      <c r="AA3759" t="s">
        <v>26</v>
      </c>
      <c r="AB3759">
        <v>0</v>
      </c>
      <c r="AC3759" t="s">
        <v>115</v>
      </c>
      <c r="AD3759">
        <v>3</v>
      </c>
      <c r="AE3759" t="s">
        <v>115</v>
      </c>
      <c r="AF3759">
        <v>0</v>
      </c>
      <c r="AG3759">
        <v>0</v>
      </c>
      <c r="AH3759" t="s">
        <v>116</v>
      </c>
      <c r="AI3759" s="1">
        <v>132876</v>
      </c>
      <c r="AJ3759" s="2">
        <v>0.21</v>
      </c>
      <c r="AK3759" s="1">
        <v>647222</v>
      </c>
      <c r="AL3759" t="s">
        <v>117</v>
      </c>
      <c r="AM3759" t="s">
        <v>3973</v>
      </c>
      <c r="AN3759">
        <v>15974</v>
      </c>
      <c r="AO3759">
        <v>0.37</v>
      </c>
      <c r="AP3759">
        <v>1</v>
      </c>
      <c r="AR3759">
        <v>1</v>
      </c>
      <c r="AS3759" s="1">
        <v>44650</v>
      </c>
      <c r="AT3759" s="1">
        <v>8930</v>
      </c>
      <c r="AU3759" s="1">
        <v>35720</v>
      </c>
      <c r="AV3759">
        <v>80</v>
      </c>
      <c r="AX3759" s="1">
        <v>2628.4</v>
      </c>
      <c r="AY3759" t="s">
        <v>5017</v>
      </c>
      <c r="AZ3759" t="s">
        <v>1402</v>
      </c>
      <c r="BA3759" t="s">
        <v>1403</v>
      </c>
      <c r="BE3759" s="3">
        <v>42248</v>
      </c>
      <c r="BF3759" s="1">
        <v>535000</v>
      </c>
      <c r="BG3759" t="s">
        <v>24075</v>
      </c>
      <c r="BH3759" s="1">
        <v>186.67</v>
      </c>
      <c r="BI3759" s="1">
        <v>514346</v>
      </c>
      <c r="BJ3759" s="3">
        <v>42248</v>
      </c>
      <c r="BK3759" t="s">
        <v>123</v>
      </c>
      <c r="BL3759" t="str">
        <f>"2015.636278"</f>
        <v>2015.636278</v>
      </c>
      <c r="BM3759" t="s">
        <v>3453</v>
      </c>
      <c r="BO3759" t="s">
        <v>24076</v>
      </c>
      <c r="BS3759">
        <v>30</v>
      </c>
      <c r="BW3759" t="str">
        <f>""</f>
        <v/>
      </c>
      <c r="CH3759" t="str">
        <f>""</f>
        <v/>
      </c>
      <c r="CS3759" t="str">
        <f>""</f>
        <v/>
      </c>
    </row>
    <row r="3760" spans="1:97" x14ac:dyDescent="0.25">
      <c r="B3760" t="s">
        <v>24077</v>
      </c>
      <c r="C3760" t="s">
        <v>1845</v>
      </c>
      <c r="D3760" t="s">
        <v>2812</v>
      </c>
      <c r="E3760" t="s">
        <v>2812</v>
      </c>
      <c r="F3760" t="s">
        <v>108</v>
      </c>
      <c r="H3760" t="s">
        <v>24078</v>
      </c>
      <c r="I3760" t="s">
        <v>1936</v>
      </c>
      <c r="J3760" t="s">
        <v>111</v>
      </c>
      <c r="K3760" t="str">
        <f>"85266"</f>
        <v>85266</v>
      </c>
      <c r="L3760" t="s">
        <v>2820</v>
      </c>
      <c r="M3760" t="s">
        <v>24078</v>
      </c>
      <c r="N3760" t="s">
        <v>1936</v>
      </c>
      <c r="O3760" t="s">
        <v>111</v>
      </c>
      <c r="P3760" t="str">
        <f>"85266-7305"</f>
        <v>85266-7305</v>
      </c>
      <c r="Q3760" t="s">
        <v>113</v>
      </c>
      <c r="R3760" t="str">
        <f>"216-50-444"</f>
        <v>216-50-444</v>
      </c>
      <c r="S3760" t="s">
        <v>24079</v>
      </c>
      <c r="T3760" t="s">
        <v>21592</v>
      </c>
      <c r="U3760">
        <v>1975</v>
      </c>
      <c r="V3760">
        <v>0</v>
      </c>
      <c r="W3760">
        <v>3</v>
      </c>
      <c r="X3760">
        <v>1995</v>
      </c>
      <c r="Z3760">
        <v>1</v>
      </c>
      <c r="AA3760" t="s">
        <v>26</v>
      </c>
      <c r="AB3760">
        <v>0</v>
      </c>
      <c r="AC3760" t="s">
        <v>115</v>
      </c>
      <c r="AD3760">
        <v>2</v>
      </c>
      <c r="AE3760" t="s">
        <v>115</v>
      </c>
      <c r="AF3760">
        <v>0</v>
      </c>
      <c r="AG3760">
        <v>0</v>
      </c>
      <c r="AH3760" t="s">
        <v>116</v>
      </c>
      <c r="AI3760" s="1">
        <v>350375</v>
      </c>
      <c r="AJ3760" s="2">
        <v>0.64</v>
      </c>
      <c r="AK3760" s="1">
        <v>550375</v>
      </c>
      <c r="AL3760" t="s">
        <v>117</v>
      </c>
      <c r="AM3760" t="s">
        <v>1302</v>
      </c>
      <c r="AN3760">
        <v>9007</v>
      </c>
      <c r="AO3760">
        <v>0.21</v>
      </c>
      <c r="AP3760">
        <v>1</v>
      </c>
      <c r="AR3760">
        <v>1</v>
      </c>
      <c r="AS3760" s="1">
        <v>44530</v>
      </c>
      <c r="AT3760" s="1">
        <v>8900</v>
      </c>
      <c r="AU3760" s="1">
        <v>35630</v>
      </c>
      <c r="AV3760">
        <v>80.010000000000005</v>
      </c>
      <c r="AX3760" s="1">
        <v>2509.2399999999998</v>
      </c>
      <c r="AY3760" t="s">
        <v>7359</v>
      </c>
      <c r="AZ3760" t="s">
        <v>1402</v>
      </c>
      <c r="BA3760" t="s">
        <v>1403</v>
      </c>
      <c r="BB3760" s="3">
        <v>43271</v>
      </c>
      <c r="BC3760" s="1">
        <v>0</v>
      </c>
      <c r="BD3760" t="s">
        <v>247</v>
      </c>
      <c r="BE3760" s="3">
        <v>42543</v>
      </c>
      <c r="BF3760" s="1">
        <v>425000</v>
      </c>
      <c r="BG3760" t="s">
        <v>24080</v>
      </c>
      <c r="BH3760" s="1">
        <v>215.19</v>
      </c>
      <c r="BI3760" s="1">
        <v>200000</v>
      </c>
      <c r="BJ3760" s="3">
        <v>42543</v>
      </c>
      <c r="BK3760" t="s">
        <v>123</v>
      </c>
      <c r="BL3760" t="str">
        <f>"2016.436156"</f>
        <v>2016.436156</v>
      </c>
      <c r="BM3760" t="s">
        <v>7531</v>
      </c>
      <c r="BN3760" t="s">
        <v>461</v>
      </c>
      <c r="BO3760" t="s">
        <v>24081</v>
      </c>
      <c r="BS3760">
        <v>30</v>
      </c>
      <c r="BW3760" t="str">
        <f>""</f>
        <v/>
      </c>
      <c r="CH3760" t="str">
        <f>""</f>
        <v/>
      </c>
      <c r="CS3760" t="str">
        <f>""</f>
        <v/>
      </c>
    </row>
    <row r="3761" spans="1:97" x14ac:dyDescent="0.25">
      <c r="A3761" t="s">
        <v>938</v>
      </c>
      <c r="B3761" t="s">
        <v>435</v>
      </c>
      <c r="E3761" t="s">
        <v>24082</v>
      </c>
      <c r="F3761" t="s">
        <v>108</v>
      </c>
      <c r="H3761" t="s">
        <v>24083</v>
      </c>
      <c r="I3761" t="s">
        <v>390</v>
      </c>
      <c r="J3761" t="s">
        <v>111</v>
      </c>
      <c r="K3761" t="str">
        <f>"85023"</f>
        <v>85023</v>
      </c>
      <c r="L3761" t="s">
        <v>2547</v>
      </c>
      <c r="M3761" t="s">
        <v>24083</v>
      </c>
      <c r="N3761" t="s">
        <v>390</v>
      </c>
      <c r="O3761" t="s">
        <v>111</v>
      </c>
      <c r="P3761" t="str">
        <f>"85023-6205"</f>
        <v>85023-6205</v>
      </c>
      <c r="Q3761" t="s">
        <v>113</v>
      </c>
      <c r="R3761" t="str">
        <f>"208-27-080"</f>
        <v>208-27-080</v>
      </c>
      <c r="S3761" t="s">
        <v>13279</v>
      </c>
      <c r="U3761">
        <v>2579</v>
      </c>
      <c r="V3761">
        <v>0</v>
      </c>
      <c r="W3761">
        <v>4</v>
      </c>
      <c r="X3761">
        <v>1968</v>
      </c>
      <c r="Z3761">
        <v>1</v>
      </c>
      <c r="AA3761" t="s">
        <v>26</v>
      </c>
      <c r="AB3761">
        <v>0</v>
      </c>
      <c r="AC3761" t="s">
        <v>115</v>
      </c>
      <c r="AD3761">
        <v>2</v>
      </c>
      <c r="AE3761" t="s">
        <v>115</v>
      </c>
      <c r="AF3761">
        <v>0</v>
      </c>
      <c r="AG3761">
        <v>0</v>
      </c>
      <c r="AH3761" t="s">
        <v>116</v>
      </c>
      <c r="AI3761" s="1">
        <v>227619</v>
      </c>
      <c r="AJ3761" s="2">
        <v>0.43</v>
      </c>
      <c r="AK3761" s="1">
        <v>527619</v>
      </c>
      <c r="AL3761" t="s">
        <v>117</v>
      </c>
      <c r="AM3761" t="s">
        <v>1302</v>
      </c>
      <c r="AN3761">
        <v>17206</v>
      </c>
      <c r="AO3761">
        <v>0.4</v>
      </c>
      <c r="AP3761">
        <v>1</v>
      </c>
      <c r="AR3761">
        <v>1</v>
      </c>
      <c r="AS3761" s="1">
        <v>38460</v>
      </c>
      <c r="AT3761" s="1">
        <v>7690</v>
      </c>
      <c r="AU3761" s="1">
        <v>30770</v>
      </c>
      <c r="AV3761">
        <v>80.010000000000005</v>
      </c>
      <c r="AX3761" s="1">
        <v>4708.68</v>
      </c>
      <c r="AY3761" t="s">
        <v>9170</v>
      </c>
      <c r="AZ3761" t="s">
        <v>8648</v>
      </c>
      <c r="BA3761" t="s">
        <v>8649</v>
      </c>
      <c r="BE3761" s="3">
        <v>42181</v>
      </c>
      <c r="BF3761" s="1">
        <v>300000</v>
      </c>
      <c r="BG3761" t="s">
        <v>24084</v>
      </c>
      <c r="BH3761" s="1">
        <v>110.13</v>
      </c>
      <c r="BI3761" s="1">
        <v>300000</v>
      </c>
      <c r="BJ3761" s="3">
        <v>42181</v>
      </c>
      <c r="BK3761" t="s">
        <v>123</v>
      </c>
      <c r="BL3761" t="str">
        <f>"2015.460138"</f>
        <v>2015.460138</v>
      </c>
      <c r="BM3761" t="s">
        <v>724</v>
      </c>
      <c r="BO3761" t="s">
        <v>24085</v>
      </c>
      <c r="BS3761">
        <v>30</v>
      </c>
      <c r="BW3761" t="str">
        <f>""</f>
        <v/>
      </c>
      <c r="CH3761" t="str">
        <f>""</f>
        <v/>
      </c>
      <c r="CS3761" t="str">
        <f>""</f>
        <v/>
      </c>
    </row>
    <row r="3762" spans="1:97" x14ac:dyDescent="0.25">
      <c r="B3762" t="s">
        <v>9159</v>
      </c>
      <c r="E3762" t="s">
        <v>1445</v>
      </c>
      <c r="F3762" t="s">
        <v>108</v>
      </c>
      <c r="H3762" t="s">
        <v>24086</v>
      </c>
      <c r="I3762" t="s">
        <v>24087</v>
      </c>
      <c r="J3762" t="s">
        <v>111</v>
      </c>
      <c r="K3762" t="str">
        <f>"85342"</f>
        <v>85342</v>
      </c>
      <c r="L3762" t="s">
        <v>3037</v>
      </c>
      <c r="M3762" t="s">
        <v>24086</v>
      </c>
      <c r="N3762" t="s">
        <v>24087</v>
      </c>
      <c r="O3762" t="s">
        <v>111</v>
      </c>
      <c r="P3762" t="str">
        <f>"85342-9023"</f>
        <v>85342-9023</v>
      </c>
      <c r="Q3762" t="s">
        <v>113</v>
      </c>
      <c r="R3762" t="str">
        <f>"503-86-001-J"</f>
        <v>503-86-001-J</v>
      </c>
      <c r="U3762">
        <v>3517</v>
      </c>
      <c r="V3762">
        <v>0</v>
      </c>
      <c r="W3762">
        <v>4</v>
      </c>
      <c r="X3762">
        <v>1995</v>
      </c>
      <c r="Z3762">
        <v>2</v>
      </c>
      <c r="AA3762" t="s">
        <v>26</v>
      </c>
      <c r="AB3762">
        <v>0</v>
      </c>
      <c r="AC3762" t="s">
        <v>115</v>
      </c>
      <c r="AD3762">
        <v>2</v>
      </c>
      <c r="AE3762" t="s">
        <v>115</v>
      </c>
      <c r="AF3762">
        <v>0</v>
      </c>
      <c r="AG3762">
        <v>0</v>
      </c>
      <c r="AH3762" t="s">
        <v>116</v>
      </c>
      <c r="AI3762" s="1">
        <v>450482</v>
      </c>
      <c r="AJ3762" s="2">
        <v>0.52</v>
      </c>
      <c r="AK3762" s="1">
        <v>867482</v>
      </c>
      <c r="AL3762" t="s">
        <v>117</v>
      </c>
      <c r="AM3762" t="s">
        <v>376</v>
      </c>
      <c r="AN3762">
        <v>218279</v>
      </c>
      <c r="AO3762">
        <v>5.01</v>
      </c>
      <c r="AP3762">
        <v>1</v>
      </c>
      <c r="AR3762">
        <v>1</v>
      </c>
      <c r="AS3762" s="1">
        <v>76550</v>
      </c>
      <c r="AT3762" s="1">
        <v>15310</v>
      </c>
      <c r="AU3762" s="1">
        <v>61240</v>
      </c>
      <c r="AV3762">
        <v>80</v>
      </c>
      <c r="AX3762" s="1">
        <v>3186.34</v>
      </c>
      <c r="AY3762" t="s">
        <v>24088</v>
      </c>
      <c r="AZ3762" t="s">
        <v>24088</v>
      </c>
      <c r="BE3762" s="3">
        <v>41802</v>
      </c>
      <c r="BF3762" s="1">
        <v>597000</v>
      </c>
      <c r="BG3762" t="s">
        <v>24089</v>
      </c>
      <c r="BH3762" s="1">
        <v>169.75</v>
      </c>
      <c r="BI3762" s="1">
        <v>417000</v>
      </c>
      <c r="BJ3762" s="3">
        <v>42669</v>
      </c>
      <c r="BK3762" t="s">
        <v>123</v>
      </c>
      <c r="BL3762" t="str">
        <f>"2016.785980"</f>
        <v>2016.785980</v>
      </c>
      <c r="BM3762" t="s">
        <v>724</v>
      </c>
      <c r="BO3762" t="s">
        <v>9159</v>
      </c>
      <c r="BS3762">
        <v>15</v>
      </c>
      <c r="BW3762" t="str">
        <f>""</f>
        <v/>
      </c>
      <c r="CH3762" t="str">
        <f>""</f>
        <v/>
      </c>
      <c r="CS3762" t="str">
        <f>""</f>
        <v/>
      </c>
    </row>
    <row r="3763" spans="1:97" x14ac:dyDescent="0.25">
      <c r="A3763" t="s">
        <v>1067</v>
      </c>
      <c r="B3763" t="s">
        <v>6130</v>
      </c>
      <c r="C3763" t="s">
        <v>2530</v>
      </c>
      <c r="D3763" t="s">
        <v>6130</v>
      </c>
      <c r="E3763" t="s">
        <v>24090</v>
      </c>
      <c r="F3763" t="s">
        <v>108</v>
      </c>
      <c r="H3763" t="s">
        <v>24091</v>
      </c>
      <c r="I3763" t="s">
        <v>144</v>
      </c>
      <c r="J3763" t="s">
        <v>111</v>
      </c>
      <c r="K3763" t="str">
        <f>"85326"</f>
        <v>85326</v>
      </c>
      <c r="L3763" t="s">
        <v>2547</v>
      </c>
      <c r="M3763" t="s">
        <v>24091</v>
      </c>
      <c r="N3763" t="s">
        <v>144</v>
      </c>
      <c r="O3763" t="s">
        <v>111</v>
      </c>
      <c r="P3763" t="str">
        <f>"85326-2175"</f>
        <v>85326-2175</v>
      </c>
      <c r="R3763" t="str">
        <f>"504-57-391"</f>
        <v>504-57-391</v>
      </c>
      <c r="S3763" t="s">
        <v>24092</v>
      </c>
      <c r="T3763" t="s">
        <v>24093</v>
      </c>
      <c r="U3763">
        <v>2302</v>
      </c>
      <c r="V3763">
        <v>0</v>
      </c>
      <c r="W3763">
        <v>3</v>
      </c>
      <c r="X3763">
        <v>2005</v>
      </c>
      <c r="Z3763">
        <v>2</v>
      </c>
      <c r="AA3763" t="s">
        <v>26</v>
      </c>
      <c r="AB3763">
        <v>0</v>
      </c>
      <c r="AC3763" t="s">
        <v>115</v>
      </c>
      <c r="AD3763">
        <v>2</v>
      </c>
      <c r="AE3763" t="s">
        <v>115</v>
      </c>
      <c r="AF3763">
        <v>0</v>
      </c>
      <c r="AG3763">
        <v>0</v>
      </c>
      <c r="AH3763" t="s">
        <v>116</v>
      </c>
      <c r="AI3763" s="1">
        <v>29987</v>
      </c>
      <c r="AJ3763" s="2">
        <v>0.12</v>
      </c>
      <c r="AK3763" s="1">
        <v>242785</v>
      </c>
      <c r="AL3763" t="s">
        <v>117</v>
      </c>
      <c r="AM3763" t="s">
        <v>5023</v>
      </c>
      <c r="AN3763">
        <v>7083</v>
      </c>
      <c r="AO3763">
        <v>0.16</v>
      </c>
      <c r="AR3763">
        <v>1</v>
      </c>
      <c r="AS3763" s="1">
        <v>17230</v>
      </c>
      <c r="AT3763" s="1">
        <v>3440</v>
      </c>
      <c r="AU3763" s="1">
        <v>13790</v>
      </c>
      <c r="AV3763">
        <v>80.03</v>
      </c>
      <c r="AX3763" s="1">
        <v>1554.96</v>
      </c>
      <c r="AY3763" t="s">
        <v>15328</v>
      </c>
      <c r="AZ3763" t="s">
        <v>15328</v>
      </c>
      <c r="BA3763" t="s">
        <v>9622</v>
      </c>
      <c r="BE3763" s="3">
        <v>42152</v>
      </c>
      <c r="BF3763" s="1">
        <v>165000</v>
      </c>
      <c r="BG3763" t="s">
        <v>24094</v>
      </c>
      <c r="BH3763" s="1">
        <v>71.680000000000007</v>
      </c>
      <c r="BI3763" s="1">
        <v>212798</v>
      </c>
      <c r="BJ3763" s="3">
        <v>43496</v>
      </c>
      <c r="BK3763" t="s">
        <v>123</v>
      </c>
      <c r="BL3763" t="str">
        <f>"2019.67803"</f>
        <v>2019.67803</v>
      </c>
      <c r="BM3763" t="s">
        <v>460</v>
      </c>
      <c r="BN3763" t="s">
        <v>461</v>
      </c>
      <c r="BO3763" t="s">
        <v>24095</v>
      </c>
      <c r="BP3763" t="s">
        <v>24096</v>
      </c>
      <c r="BR3763" t="s">
        <v>139</v>
      </c>
      <c r="BW3763" t="str">
        <f>""</f>
        <v/>
      </c>
      <c r="CH3763" t="str">
        <f>""</f>
        <v/>
      </c>
      <c r="CS3763" t="str">
        <f>""</f>
        <v/>
      </c>
    </row>
    <row r="3764" spans="1:97" x14ac:dyDescent="0.25">
      <c r="A3764" t="s">
        <v>2374</v>
      </c>
      <c r="B3764" t="s">
        <v>371</v>
      </c>
      <c r="E3764" t="s">
        <v>24097</v>
      </c>
      <c r="F3764" t="s">
        <v>108</v>
      </c>
      <c r="H3764" t="s">
        <v>24098</v>
      </c>
      <c r="I3764" t="s">
        <v>632</v>
      </c>
      <c r="J3764" t="s">
        <v>111</v>
      </c>
      <c r="K3764" t="str">
        <f>"85379"</f>
        <v>85379</v>
      </c>
      <c r="L3764" t="s">
        <v>1244</v>
      </c>
      <c r="M3764" t="s">
        <v>24098</v>
      </c>
      <c r="N3764" t="s">
        <v>632</v>
      </c>
      <c r="O3764" t="s">
        <v>111</v>
      </c>
      <c r="P3764" t="str">
        <f>"85379-7036"</f>
        <v>85379-7036</v>
      </c>
      <c r="Q3764" t="s">
        <v>113</v>
      </c>
      <c r="R3764" t="str">
        <f>"501-95-732"</f>
        <v>501-95-732</v>
      </c>
      <c r="S3764" t="s">
        <v>13701</v>
      </c>
      <c r="U3764">
        <v>1585</v>
      </c>
      <c r="V3764">
        <v>0</v>
      </c>
      <c r="W3764">
        <v>3</v>
      </c>
      <c r="X3764">
        <v>2002</v>
      </c>
      <c r="Z3764">
        <v>1</v>
      </c>
      <c r="AB3764">
        <v>0</v>
      </c>
      <c r="AC3764" t="s">
        <v>115</v>
      </c>
      <c r="AD3764">
        <v>2</v>
      </c>
      <c r="AE3764" t="s">
        <v>115</v>
      </c>
      <c r="AF3764">
        <v>0</v>
      </c>
      <c r="AG3764">
        <v>0</v>
      </c>
      <c r="AH3764" t="s">
        <v>116</v>
      </c>
      <c r="AI3764" s="1">
        <v>119</v>
      </c>
      <c r="AJ3764" s="2">
        <v>0</v>
      </c>
      <c r="AK3764" s="1">
        <v>242874</v>
      </c>
      <c r="AL3764" t="s">
        <v>117</v>
      </c>
      <c r="AM3764" t="s">
        <v>118</v>
      </c>
      <c r="AN3764">
        <v>7122</v>
      </c>
      <c r="AO3764">
        <v>0.16</v>
      </c>
      <c r="AP3764">
        <v>1</v>
      </c>
      <c r="AR3764">
        <v>1</v>
      </c>
      <c r="AS3764" s="1">
        <v>16620</v>
      </c>
      <c r="AT3764" s="1">
        <v>3320</v>
      </c>
      <c r="AU3764" s="1">
        <v>13300</v>
      </c>
      <c r="AV3764">
        <v>80.02</v>
      </c>
      <c r="AX3764" s="1">
        <v>1134</v>
      </c>
      <c r="AY3764" t="s">
        <v>6615</v>
      </c>
      <c r="AZ3764" t="s">
        <v>6615</v>
      </c>
      <c r="BA3764" t="s">
        <v>321</v>
      </c>
      <c r="BE3764" s="3">
        <v>42531</v>
      </c>
      <c r="BF3764" s="1">
        <v>183000</v>
      </c>
      <c r="BG3764" t="s">
        <v>24099</v>
      </c>
      <c r="BH3764" s="1">
        <v>115.46</v>
      </c>
      <c r="BI3764" s="1">
        <v>242755</v>
      </c>
      <c r="BJ3764" s="3">
        <v>43189</v>
      </c>
      <c r="BK3764" t="s">
        <v>123</v>
      </c>
      <c r="BL3764" t="str">
        <f>"2018.238564"</f>
        <v>2018.238564</v>
      </c>
      <c r="BM3764" t="s">
        <v>492</v>
      </c>
      <c r="BN3764" t="s">
        <v>4706</v>
      </c>
      <c r="BO3764" t="s">
        <v>24097</v>
      </c>
      <c r="BR3764" t="s">
        <v>139</v>
      </c>
      <c r="BW3764" t="str">
        <f>""</f>
        <v/>
      </c>
      <c r="CH3764" t="str">
        <f>""</f>
        <v/>
      </c>
      <c r="CS3764" t="str">
        <f>""</f>
        <v/>
      </c>
    </row>
    <row r="3765" spans="1:97" x14ac:dyDescent="0.25">
      <c r="A3765" t="s">
        <v>24100</v>
      </c>
      <c r="B3765" t="s">
        <v>24101</v>
      </c>
      <c r="C3765" t="s">
        <v>24102</v>
      </c>
      <c r="D3765" t="s">
        <v>24101</v>
      </c>
      <c r="E3765" t="s">
        <v>24103</v>
      </c>
      <c r="F3765" t="s">
        <v>108</v>
      </c>
      <c r="H3765" t="s">
        <v>24104</v>
      </c>
      <c r="I3765" t="s">
        <v>315</v>
      </c>
      <c r="J3765" t="s">
        <v>111</v>
      </c>
      <c r="K3765" t="str">
        <f>"85335"</f>
        <v>85335</v>
      </c>
      <c r="L3765" t="s">
        <v>5367</v>
      </c>
      <c r="M3765" t="s">
        <v>24104</v>
      </c>
      <c r="N3765" t="s">
        <v>315</v>
      </c>
      <c r="O3765" t="s">
        <v>111</v>
      </c>
      <c r="P3765" t="str">
        <f>"85335-3424"</f>
        <v>85335-3424</v>
      </c>
      <c r="Q3765" t="s">
        <v>113</v>
      </c>
      <c r="R3765" t="str">
        <f>"509-13-803"</f>
        <v>509-13-803</v>
      </c>
      <c r="S3765" t="s">
        <v>24105</v>
      </c>
      <c r="T3765" t="s">
        <v>24106</v>
      </c>
      <c r="U3765">
        <v>3291</v>
      </c>
      <c r="V3765">
        <v>0</v>
      </c>
      <c r="W3765">
        <v>4</v>
      </c>
      <c r="X3765">
        <v>2004</v>
      </c>
      <c r="Z3765">
        <v>2</v>
      </c>
      <c r="AB3765">
        <v>0</v>
      </c>
      <c r="AC3765" t="s">
        <v>115</v>
      </c>
      <c r="AD3765">
        <v>2</v>
      </c>
      <c r="AE3765" t="s">
        <v>115</v>
      </c>
      <c r="AF3765">
        <v>0</v>
      </c>
      <c r="AG3765">
        <v>0</v>
      </c>
      <c r="AH3765" t="s">
        <v>116</v>
      </c>
      <c r="AI3765" s="1">
        <v>79386</v>
      </c>
      <c r="AJ3765" s="2">
        <v>0.27</v>
      </c>
      <c r="AK3765" s="1">
        <v>288793</v>
      </c>
      <c r="AL3765" t="s">
        <v>117</v>
      </c>
      <c r="AM3765" t="s">
        <v>319</v>
      </c>
      <c r="AN3765">
        <v>6169</v>
      </c>
      <c r="AO3765">
        <v>0.14000000000000001</v>
      </c>
      <c r="AP3765">
        <v>1</v>
      </c>
      <c r="AR3765">
        <v>1</v>
      </c>
      <c r="AS3765" s="1">
        <v>19870</v>
      </c>
      <c r="AT3765" s="1">
        <v>3970</v>
      </c>
      <c r="AU3765" s="1">
        <v>15900</v>
      </c>
      <c r="AV3765">
        <v>80.02</v>
      </c>
      <c r="AX3765" s="1">
        <v>1543.66</v>
      </c>
      <c r="AY3765" t="s">
        <v>24107</v>
      </c>
      <c r="AZ3765" t="s">
        <v>24107</v>
      </c>
      <c r="BA3765" t="s">
        <v>321</v>
      </c>
      <c r="BE3765" s="3">
        <v>42285</v>
      </c>
      <c r="BF3765" s="1">
        <v>205000</v>
      </c>
      <c r="BG3765" t="s">
        <v>24108</v>
      </c>
      <c r="BH3765" s="1">
        <v>62.29</v>
      </c>
      <c r="BI3765" s="1">
        <v>209407</v>
      </c>
      <c r="BJ3765" s="3">
        <v>42285</v>
      </c>
      <c r="BK3765" t="s">
        <v>123</v>
      </c>
      <c r="BL3765" t="str">
        <f>"2015.726981"</f>
        <v>2015.726981</v>
      </c>
      <c r="BM3765" t="s">
        <v>2748</v>
      </c>
      <c r="BO3765" t="s">
        <v>24109</v>
      </c>
      <c r="BS3765">
        <v>30</v>
      </c>
      <c r="BW3765" t="str">
        <f>""</f>
        <v/>
      </c>
      <c r="CH3765" t="str">
        <f>""</f>
        <v/>
      </c>
      <c r="CS3765" t="str">
        <f>""</f>
        <v/>
      </c>
    </row>
    <row r="3766" spans="1:97" x14ac:dyDescent="0.25">
      <c r="A3766" t="s">
        <v>24110</v>
      </c>
      <c r="B3766" t="s">
        <v>24111</v>
      </c>
      <c r="C3766" t="s">
        <v>9803</v>
      </c>
      <c r="D3766" t="s">
        <v>24112</v>
      </c>
      <c r="E3766" t="s">
        <v>24113</v>
      </c>
      <c r="F3766" t="s">
        <v>108</v>
      </c>
      <c r="H3766" t="s">
        <v>24114</v>
      </c>
      <c r="I3766" t="s">
        <v>5387</v>
      </c>
      <c r="J3766" t="s">
        <v>111</v>
      </c>
      <c r="K3766" t="str">
        <f>"85282"</f>
        <v>85282</v>
      </c>
      <c r="L3766" t="s">
        <v>8462</v>
      </c>
      <c r="M3766" t="s">
        <v>24114</v>
      </c>
      <c r="N3766" t="s">
        <v>5387</v>
      </c>
      <c r="O3766" t="s">
        <v>111</v>
      </c>
      <c r="P3766" t="str">
        <f>"85282-2241"</f>
        <v>85282-2241</v>
      </c>
      <c r="Q3766" t="s">
        <v>113</v>
      </c>
      <c r="R3766" t="str">
        <f>"133-24-079"</f>
        <v>133-24-079</v>
      </c>
      <c r="S3766" t="s">
        <v>24115</v>
      </c>
      <c r="T3766" t="s">
        <v>24116</v>
      </c>
      <c r="U3766">
        <v>2090</v>
      </c>
      <c r="V3766">
        <v>0</v>
      </c>
      <c r="W3766">
        <v>2</v>
      </c>
      <c r="X3766">
        <v>1959</v>
      </c>
      <c r="Z3766">
        <v>1</v>
      </c>
      <c r="AA3766" t="s">
        <v>26</v>
      </c>
      <c r="AB3766">
        <v>0</v>
      </c>
      <c r="AC3766" t="s">
        <v>5188</v>
      </c>
      <c r="AD3766">
        <v>1</v>
      </c>
      <c r="AE3766" t="s">
        <v>5188</v>
      </c>
      <c r="AF3766">
        <v>0</v>
      </c>
      <c r="AG3766">
        <v>0</v>
      </c>
      <c r="AH3766" t="s">
        <v>116</v>
      </c>
      <c r="AI3766" s="1">
        <v>100511</v>
      </c>
      <c r="AJ3766" s="2">
        <v>0.25</v>
      </c>
      <c r="AK3766" s="1">
        <v>404311</v>
      </c>
      <c r="AL3766" t="s">
        <v>117</v>
      </c>
      <c r="AM3766" t="s">
        <v>191</v>
      </c>
      <c r="AN3766">
        <v>10119</v>
      </c>
      <c r="AO3766">
        <v>0.23</v>
      </c>
      <c r="AP3766">
        <v>1</v>
      </c>
      <c r="AR3766">
        <v>1</v>
      </c>
      <c r="AS3766" s="1">
        <v>30330</v>
      </c>
      <c r="AT3766" s="1">
        <v>6060</v>
      </c>
      <c r="AU3766" s="1">
        <v>24270</v>
      </c>
      <c r="AV3766">
        <v>80.02</v>
      </c>
      <c r="AX3766" s="1">
        <v>2481.52</v>
      </c>
      <c r="AY3766" t="s">
        <v>14375</v>
      </c>
      <c r="AZ3766" t="s">
        <v>11073</v>
      </c>
      <c r="BA3766" t="s">
        <v>9519</v>
      </c>
      <c r="BE3766" s="3">
        <v>42355</v>
      </c>
      <c r="BF3766" s="1">
        <v>303000</v>
      </c>
      <c r="BG3766" t="s">
        <v>24117</v>
      </c>
      <c r="BH3766" s="1">
        <v>144.97999999999999</v>
      </c>
      <c r="BI3766" s="1">
        <v>303800</v>
      </c>
      <c r="BJ3766" s="3">
        <v>42674</v>
      </c>
      <c r="BK3766" t="s">
        <v>123</v>
      </c>
      <c r="BL3766" t="str">
        <f>"2016.797024"</f>
        <v>2016.797024</v>
      </c>
      <c r="BM3766" t="s">
        <v>1493</v>
      </c>
      <c r="BO3766" t="s">
        <v>24118</v>
      </c>
      <c r="BS3766">
        <v>30</v>
      </c>
      <c r="BW3766" t="str">
        <f>""</f>
        <v/>
      </c>
      <c r="CH3766" t="str">
        <f>""</f>
        <v/>
      </c>
      <c r="CS3766" t="str">
        <f>""</f>
        <v/>
      </c>
    </row>
    <row r="3767" spans="1:97" x14ac:dyDescent="0.25">
      <c r="A3767" t="s">
        <v>1938</v>
      </c>
      <c r="B3767" t="s">
        <v>24119</v>
      </c>
      <c r="C3767" t="s">
        <v>370</v>
      </c>
      <c r="D3767" t="s">
        <v>24120</v>
      </c>
      <c r="E3767" t="s">
        <v>24121</v>
      </c>
      <c r="F3767" t="s">
        <v>108</v>
      </c>
      <c r="H3767" t="s">
        <v>24122</v>
      </c>
      <c r="I3767" t="s">
        <v>5523</v>
      </c>
      <c r="J3767" t="s">
        <v>111</v>
      </c>
      <c r="K3767" t="str">
        <f>"85351"</f>
        <v>85351</v>
      </c>
      <c r="L3767" t="s">
        <v>2903</v>
      </c>
      <c r="M3767" t="s">
        <v>24122</v>
      </c>
      <c r="N3767" t="s">
        <v>5523</v>
      </c>
      <c r="O3767" t="s">
        <v>111</v>
      </c>
      <c r="P3767" t="str">
        <f>"85351-3238"</f>
        <v>85351-3238</v>
      </c>
      <c r="Q3767" t="s">
        <v>113</v>
      </c>
      <c r="R3767" t="str">
        <f>"230-09-295"</f>
        <v>230-09-295</v>
      </c>
      <c r="S3767" t="s">
        <v>24123</v>
      </c>
      <c r="U3767">
        <v>2048</v>
      </c>
      <c r="V3767">
        <v>0</v>
      </c>
      <c r="W3767">
        <v>2</v>
      </c>
      <c r="X3767">
        <v>1979</v>
      </c>
      <c r="Z3767">
        <v>1</v>
      </c>
      <c r="AB3767">
        <v>0</v>
      </c>
      <c r="AC3767" t="s">
        <v>115</v>
      </c>
      <c r="AD3767">
        <v>3</v>
      </c>
      <c r="AE3767" t="s">
        <v>115</v>
      </c>
      <c r="AF3767">
        <v>0</v>
      </c>
      <c r="AG3767">
        <v>0</v>
      </c>
      <c r="AH3767" t="s">
        <v>116</v>
      </c>
      <c r="AI3767" s="1">
        <v>20698</v>
      </c>
      <c r="AJ3767" s="2">
        <v>0.08</v>
      </c>
      <c r="AK3767" s="1">
        <v>260436</v>
      </c>
      <c r="AL3767" t="s">
        <v>117</v>
      </c>
      <c r="AM3767" t="s">
        <v>191</v>
      </c>
      <c r="AN3767">
        <v>8904</v>
      </c>
      <c r="AO3767">
        <v>0.2</v>
      </c>
      <c r="AP3767">
        <v>1</v>
      </c>
      <c r="AR3767">
        <v>1</v>
      </c>
      <c r="AS3767" s="1">
        <v>17460</v>
      </c>
      <c r="AT3767" s="1">
        <v>3490</v>
      </c>
      <c r="AU3767" s="1">
        <v>13970</v>
      </c>
      <c r="AV3767">
        <v>80.010000000000005</v>
      </c>
      <c r="AX3767" s="1">
        <v>1207.3599999999999</v>
      </c>
      <c r="AY3767" t="s">
        <v>4006</v>
      </c>
      <c r="AZ3767" t="s">
        <v>4006</v>
      </c>
      <c r="BA3767" t="s">
        <v>3360</v>
      </c>
      <c r="BE3767" s="3">
        <v>42402</v>
      </c>
      <c r="BF3767" s="1">
        <v>180000</v>
      </c>
      <c r="BG3767" t="s">
        <v>24124</v>
      </c>
      <c r="BH3767" s="1">
        <v>87.89</v>
      </c>
      <c r="BI3767" s="1">
        <v>239738</v>
      </c>
      <c r="BJ3767" s="3">
        <v>43570</v>
      </c>
      <c r="BK3767" t="s">
        <v>123</v>
      </c>
      <c r="BL3767" t="str">
        <f>"2019.260768"</f>
        <v>2019.260768</v>
      </c>
      <c r="BM3767" t="s">
        <v>361</v>
      </c>
      <c r="BN3767" t="s">
        <v>884</v>
      </c>
      <c r="BO3767" t="s">
        <v>24125</v>
      </c>
      <c r="BP3767" t="s">
        <v>24126</v>
      </c>
      <c r="BR3767" t="s">
        <v>139</v>
      </c>
      <c r="BW3767" t="str">
        <f>""</f>
        <v/>
      </c>
      <c r="CH3767" t="str">
        <f>""</f>
        <v/>
      </c>
      <c r="CS3767" t="str">
        <f>""</f>
        <v/>
      </c>
    </row>
    <row r="3768" spans="1:97" x14ac:dyDescent="0.25">
      <c r="A3768" t="s">
        <v>325</v>
      </c>
      <c r="B3768" t="s">
        <v>24127</v>
      </c>
      <c r="C3768" t="s">
        <v>4713</v>
      </c>
      <c r="D3768" t="s">
        <v>24127</v>
      </c>
      <c r="E3768" t="s">
        <v>24128</v>
      </c>
      <c r="F3768" t="s">
        <v>108</v>
      </c>
      <c r="H3768" t="s">
        <v>24129</v>
      </c>
      <c r="I3768" t="s">
        <v>632</v>
      </c>
      <c r="J3768" t="s">
        <v>111</v>
      </c>
      <c r="K3768" t="str">
        <f>"85378"</f>
        <v>85378</v>
      </c>
      <c r="L3768" t="s">
        <v>9737</v>
      </c>
      <c r="M3768" t="s">
        <v>24129</v>
      </c>
      <c r="N3768" t="s">
        <v>632</v>
      </c>
      <c r="O3768" t="s">
        <v>111</v>
      </c>
      <c r="P3768" t="str">
        <f>"85378-6944"</f>
        <v>85378-6944</v>
      </c>
      <c r="Q3768" t="s">
        <v>113</v>
      </c>
      <c r="R3768" t="str">
        <f>"200-36-134"</f>
        <v>200-36-134</v>
      </c>
      <c r="S3768" t="s">
        <v>24130</v>
      </c>
      <c r="T3768" t="s">
        <v>24131</v>
      </c>
      <c r="U3768">
        <v>2178</v>
      </c>
      <c r="V3768">
        <v>0</v>
      </c>
      <c r="W3768">
        <v>3</v>
      </c>
      <c r="X3768">
        <v>2003</v>
      </c>
      <c r="Z3768">
        <v>2</v>
      </c>
      <c r="AB3768">
        <v>0</v>
      </c>
      <c r="AC3768" t="s">
        <v>115</v>
      </c>
      <c r="AD3768">
        <v>2</v>
      </c>
      <c r="AE3768" t="s">
        <v>115</v>
      </c>
      <c r="AF3768">
        <v>0</v>
      </c>
      <c r="AG3768">
        <v>0</v>
      </c>
      <c r="AH3768" t="s">
        <v>116</v>
      </c>
      <c r="AI3768" s="1">
        <v>41028</v>
      </c>
      <c r="AJ3768" s="2">
        <v>0.15</v>
      </c>
      <c r="AK3768" s="1">
        <v>266132</v>
      </c>
      <c r="AL3768" t="s">
        <v>117</v>
      </c>
      <c r="AM3768" t="s">
        <v>118</v>
      </c>
      <c r="AN3768">
        <v>6308</v>
      </c>
      <c r="AO3768">
        <v>0.14000000000000001</v>
      </c>
      <c r="AP3768">
        <v>1</v>
      </c>
      <c r="AR3768">
        <v>1</v>
      </c>
      <c r="AS3768" s="1">
        <v>17030</v>
      </c>
      <c r="AT3768" s="1">
        <v>3400</v>
      </c>
      <c r="AU3768" s="1">
        <v>13630</v>
      </c>
      <c r="AV3768">
        <v>80.040000000000006</v>
      </c>
      <c r="AX3768" s="1">
        <v>1244.4000000000001</v>
      </c>
      <c r="AY3768" t="s">
        <v>4520</v>
      </c>
      <c r="AZ3768" t="s">
        <v>4520</v>
      </c>
      <c r="BA3768" t="s">
        <v>4219</v>
      </c>
      <c r="BE3768" s="3">
        <v>41913</v>
      </c>
      <c r="BF3768" s="1">
        <v>189500</v>
      </c>
      <c r="BG3768" t="s">
        <v>24132</v>
      </c>
      <c r="BH3768" s="1">
        <v>87.01</v>
      </c>
      <c r="BI3768" s="1">
        <v>225104</v>
      </c>
      <c r="BJ3768" s="3">
        <v>43005</v>
      </c>
      <c r="BK3768" t="s">
        <v>123</v>
      </c>
      <c r="BL3768" t="str">
        <f>"2017.712761"</f>
        <v>2017.712761</v>
      </c>
      <c r="BM3768" t="s">
        <v>361</v>
      </c>
      <c r="BO3768" t="s">
        <v>24133</v>
      </c>
      <c r="BS3768">
        <v>30</v>
      </c>
      <c r="BW3768" t="str">
        <f>""</f>
        <v/>
      </c>
      <c r="CH3768" t="str">
        <f>""</f>
        <v/>
      </c>
      <c r="CS3768" t="str">
        <f>""</f>
        <v/>
      </c>
    </row>
    <row r="3769" spans="1:97" x14ac:dyDescent="0.25">
      <c r="A3769" t="s">
        <v>24134</v>
      </c>
      <c r="B3769" t="s">
        <v>24135</v>
      </c>
      <c r="C3769" t="s">
        <v>24136</v>
      </c>
      <c r="D3769" t="s">
        <v>24135</v>
      </c>
      <c r="E3769" t="s">
        <v>24137</v>
      </c>
      <c r="F3769" t="s">
        <v>108</v>
      </c>
      <c r="H3769" t="s">
        <v>24138</v>
      </c>
      <c r="I3769" t="s">
        <v>2874</v>
      </c>
      <c r="J3769" t="s">
        <v>111</v>
      </c>
      <c r="K3769" t="str">
        <f>"85308"</f>
        <v>85308</v>
      </c>
      <c r="L3769" t="s">
        <v>6308</v>
      </c>
      <c r="M3769" t="s">
        <v>24138</v>
      </c>
      <c r="N3769" t="s">
        <v>2874</v>
      </c>
      <c r="O3769" t="s">
        <v>111</v>
      </c>
      <c r="P3769" t="str">
        <f>"85308-8338"</f>
        <v>85308-8338</v>
      </c>
      <c r="Q3769" t="s">
        <v>113</v>
      </c>
      <c r="R3769" t="str">
        <f>"233-02-038"</f>
        <v>233-02-038</v>
      </c>
      <c r="S3769" t="s">
        <v>24139</v>
      </c>
      <c r="T3769" t="s">
        <v>24140</v>
      </c>
      <c r="U3769">
        <v>1244</v>
      </c>
      <c r="V3769">
        <v>0</v>
      </c>
      <c r="W3769">
        <v>3</v>
      </c>
      <c r="X3769">
        <v>1991</v>
      </c>
      <c r="Z3769">
        <v>1</v>
      </c>
      <c r="AA3769" t="s">
        <v>26</v>
      </c>
      <c r="AB3769">
        <v>0</v>
      </c>
      <c r="AC3769" t="s">
        <v>115</v>
      </c>
      <c r="AD3769">
        <v>2</v>
      </c>
      <c r="AE3769" t="s">
        <v>115</v>
      </c>
      <c r="AF3769">
        <v>0</v>
      </c>
      <c r="AG3769">
        <v>0</v>
      </c>
      <c r="AH3769" t="s">
        <v>116</v>
      </c>
      <c r="AI3769" s="1">
        <v>37316</v>
      </c>
      <c r="AJ3769" s="2">
        <v>0.14000000000000001</v>
      </c>
      <c r="AK3769" s="1">
        <v>259411</v>
      </c>
      <c r="AL3769" t="s">
        <v>117</v>
      </c>
      <c r="AM3769" t="s">
        <v>191</v>
      </c>
      <c r="AN3769">
        <v>8900</v>
      </c>
      <c r="AO3769">
        <v>0.2</v>
      </c>
      <c r="AP3769">
        <v>1</v>
      </c>
      <c r="AR3769">
        <v>1</v>
      </c>
      <c r="AS3769" s="1">
        <v>18950</v>
      </c>
      <c r="AT3769" s="1">
        <v>3790</v>
      </c>
      <c r="AU3769" s="1">
        <v>15160</v>
      </c>
      <c r="AV3769">
        <v>80</v>
      </c>
      <c r="AX3769" s="1">
        <v>1474.98</v>
      </c>
      <c r="AY3769" t="s">
        <v>8400</v>
      </c>
      <c r="AZ3769" t="s">
        <v>8400</v>
      </c>
      <c r="BA3769" t="s">
        <v>2223</v>
      </c>
      <c r="BB3769" s="3">
        <v>42725</v>
      </c>
      <c r="BD3769" t="s">
        <v>240</v>
      </c>
      <c r="BE3769" s="3">
        <v>42108</v>
      </c>
      <c r="BF3769" s="1">
        <v>164000</v>
      </c>
      <c r="BG3769" t="s">
        <v>24141</v>
      </c>
      <c r="BH3769" s="1">
        <v>131.83000000000001</v>
      </c>
      <c r="BI3769" s="1">
        <v>222095</v>
      </c>
      <c r="BJ3769" s="3">
        <v>42725</v>
      </c>
      <c r="BK3769" t="s">
        <v>123</v>
      </c>
      <c r="BL3769" t="str">
        <f>"2016.939370"</f>
        <v>2016.939370</v>
      </c>
      <c r="BM3769" t="s">
        <v>9615</v>
      </c>
      <c r="BO3769" t="s">
        <v>24142</v>
      </c>
      <c r="BS3769">
        <v>30</v>
      </c>
      <c r="BW3769" t="str">
        <f>""</f>
        <v/>
      </c>
      <c r="CH3769" t="str">
        <f>""</f>
        <v/>
      </c>
      <c r="CS3769" t="str">
        <f>""</f>
        <v/>
      </c>
    </row>
    <row r="3770" spans="1:97" x14ac:dyDescent="0.25">
      <c r="A3770" t="s">
        <v>1308</v>
      </c>
      <c r="B3770" t="s">
        <v>12368</v>
      </c>
      <c r="C3770" t="s">
        <v>11252</v>
      </c>
      <c r="D3770" t="s">
        <v>12368</v>
      </c>
      <c r="E3770" t="s">
        <v>24143</v>
      </c>
      <c r="F3770" t="s">
        <v>108</v>
      </c>
      <c r="H3770" t="s">
        <v>24144</v>
      </c>
      <c r="I3770" t="s">
        <v>225</v>
      </c>
      <c r="J3770" t="s">
        <v>111</v>
      </c>
      <c r="K3770" t="str">
        <f>"85202"</f>
        <v>85202</v>
      </c>
      <c r="L3770" t="s">
        <v>12529</v>
      </c>
      <c r="M3770" t="s">
        <v>24144</v>
      </c>
      <c r="N3770" t="s">
        <v>225</v>
      </c>
      <c r="O3770" t="s">
        <v>111</v>
      </c>
      <c r="P3770" t="str">
        <f>"85202-7213"</f>
        <v>85202-7213</v>
      </c>
      <c r="Q3770" t="s">
        <v>113</v>
      </c>
      <c r="R3770" t="str">
        <f>"305-04-691"</f>
        <v>305-04-691</v>
      </c>
      <c r="S3770" t="s">
        <v>24145</v>
      </c>
      <c r="T3770" t="s">
        <v>24146</v>
      </c>
      <c r="U3770">
        <v>1646</v>
      </c>
      <c r="V3770">
        <v>0</v>
      </c>
      <c r="W3770">
        <v>2</v>
      </c>
      <c r="X3770">
        <v>1978</v>
      </c>
      <c r="Z3770">
        <v>1</v>
      </c>
      <c r="AA3770" t="s">
        <v>26</v>
      </c>
      <c r="AB3770">
        <v>0</v>
      </c>
      <c r="AC3770" t="s">
        <v>115</v>
      </c>
      <c r="AD3770">
        <v>2</v>
      </c>
      <c r="AE3770" t="s">
        <v>115</v>
      </c>
      <c r="AF3770">
        <v>0</v>
      </c>
      <c r="AG3770">
        <v>0</v>
      </c>
      <c r="AH3770" t="s">
        <v>116</v>
      </c>
      <c r="AI3770" s="1">
        <v>79475</v>
      </c>
      <c r="AJ3770" s="2">
        <v>0.19</v>
      </c>
      <c r="AK3770" s="1">
        <v>410975</v>
      </c>
      <c r="AL3770" t="s">
        <v>117</v>
      </c>
      <c r="AM3770" t="s">
        <v>191</v>
      </c>
      <c r="AN3770">
        <v>10417</v>
      </c>
      <c r="AO3770">
        <v>0.24</v>
      </c>
      <c r="AP3770">
        <v>1</v>
      </c>
      <c r="AR3770">
        <v>1</v>
      </c>
      <c r="AS3770" s="1">
        <v>35180</v>
      </c>
      <c r="AT3770" s="1">
        <v>6460</v>
      </c>
      <c r="AU3770" s="1">
        <v>28720</v>
      </c>
      <c r="AV3770">
        <v>81.64</v>
      </c>
      <c r="AX3770" s="1">
        <v>2617.44</v>
      </c>
      <c r="AY3770" t="s">
        <v>7431</v>
      </c>
      <c r="AZ3770" t="s">
        <v>7295</v>
      </c>
      <c r="BA3770" t="s">
        <v>5311</v>
      </c>
      <c r="BE3770" s="3">
        <v>42447</v>
      </c>
      <c r="BF3770" s="1">
        <v>331500</v>
      </c>
      <c r="BG3770" t="s">
        <v>24147</v>
      </c>
      <c r="BH3770" s="1">
        <v>201.4</v>
      </c>
      <c r="BI3770" s="1">
        <v>331500</v>
      </c>
      <c r="BJ3770" s="3">
        <v>42447</v>
      </c>
      <c r="BK3770" t="s">
        <v>123</v>
      </c>
      <c r="BL3770" t="str">
        <f>"2016.177428"</f>
        <v>2016.177428</v>
      </c>
      <c r="BM3770" t="s">
        <v>594</v>
      </c>
      <c r="BO3770" t="s">
        <v>24148</v>
      </c>
      <c r="BS3770">
        <v>30</v>
      </c>
      <c r="BW3770" t="str">
        <f>""</f>
        <v/>
      </c>
      <c r="CH3770" t="str">
        <f>""</f>
        <v/>
      </c>
      <c r="CS3770" t="str">
        <f>""</f>
        <v/>
      </c>
    </row>
    <row r="3771" spans="1:97" x14ac:dyDescent="0.25">
      <c r="A3771" t="s">
        <v>24149</v>
      </c>
      <c r="B3771" t="s">
        <v>24150</v>
      </c>
      <c r="C3771" t="s">
        <v>1547</v>
      </c>
      <c r="D3771" t="s">
        <v>24150</v>
      </c>
      <c r="E3771" t="s">
        <v>24151</v>
      </c>
      <c r="F3771" t="s">
        <v>282</v>
      </c>
      <c r="H3771" t="s">
        <v>24152</v>
      </c>
      <c r="I3771" t="s">
        <v>225</v>
      </c>
      <c r="J3771" t="s">
        <v>111</v>
      </c>
      <c r="K3771" t="str">
        <f>"85206"</f>
        <v>85206</v>
      </c>
      <c r="L3771" t="s">
        <v>2963</v>
      </c>
      <c r="M3771" t="s">
        <v>24153</v>
      </c>
      <c r="N3771" t="s">
        <v>24154</v>
      </c>
      <c r="O3771" t="s">
        <v>15953</v>
      </c>
      <c r="P3771" t="str">
        <f>"98360-8209"</f>
        <v>98360-8209</v>
      </c>
      <c r="Q3771" t="s">
        <v>113</v>
      </c>
      <c r="R3771" t="str">
        <f>"141-81-126"</f>
        <v>141-81-126</v>
      </c>
      <c r="S3771" t="s">
        <v>24155</v>
      </c>
      <c r="U3771">
        <v>2060</v>
      </c>
      <c r="V3771">
        <v>0</v>
      </c>
      <c r="W3771">
        <v>2</v>
      </c>
      <c r="X3771">
        <v>1978</v>
      </c>
      <c r="Z3771">
        <v>1</v>
      </c>
      <c r="AB3771">
        <v>0</v>
      </c>
      <c r="AC3771" t="s">
        <v>115</v>
      </c>
      <c r="AD3771">
        <v>2</v>
      </c>
      <c r="AE3771" t="s">
        <v>115</v>
      </c>
      <c r="AF3771">
        <v>0</v>
      </c>
      <c r="AG3771">
        <v>0</v>
      </c>
      <c r="AH3771" t="s">
        <v>116</v>
      </c>
      <c r="AI3771" s="1">
        <v>53458</v>
      </c>
      <c r="AJ3771" s="2">
        <v>0.18</v>
      </c>
      <c r="AK3771" s="1">
        <v>303458</v>
      </c>
      <c r="AL3771" t="s">
        <v>117</v>
      </c>
      <c r="AM3771" t="s">
        <v>191</v>
      </c>
      <c r="AN3771">
        <v>6822</v>
      </c>
      <c r="AO3771">
        <v>0.16</v>
      </c>
      <c r="AP3771">
        <v>1</v>
      </c>
      <c r="AR3771">
        <v>1</v>
      </c>
      <c r="AS3771" s="1">
        <v>21510</v>
      </c>
      <c r="AT3771" s="1">
        <v>4300</v>
      </c>
      <c r="AU3771" s="1">
        <v>17210</v>
      </c>
      <c r="AV3771">
        <v>80.010000000000005</v>
      </c>
      <c r="AX3771" s="1">
        <v>2117.1</v>
      </c>
      <c r="AY3771" t="s">
        <v>230</v>
      </c>
      <c r="AZ3771" t="s">
        <v>231</v>
      </c>
      <c r="BA3771" t="s">
        <v>232</v>
      </c>
      <c r="BE3771" s="3">
        <v>42430</v>
      </c>
      <c r="BF3771" s="1">
        <v>306000</v>
      </c>
      <c r="BG3771" t="s">
        <v>24156</v>
      </c>
      <c r="BH3771" s="1">
        <v>148.54</v>
      </c>
      <c r="BI3771" s="1">
        <v>250000</v>
      </c>
      <c r="BJ3771" s="3">
        <v>42430</v>
      </c>
      <c r="BK3771" t="s">
        <v>123</v>
      </c>
      <c r="BL3771" t="str">
        <f>"2016.131360"</f>
        <v>2016.131360</v>
      </c>
      <c r="BM3771" t="s">
        <v>1544</v>
      </c>
      <c r="BO3771" t="s">
        <v>24157</v>
      </c>
      <c r="BS3771">
        <v>30</v>
      </c>
      <c r="BW3771" t="str">
        <f>""</f>
        <v/>
      </c>
      <c r="CH3771" t="str">
        <f>""</f>
        <v/>
      </c>
      <c r="CS3771" t="str">
        <f>""</f>
        <v/>
      </c>
    </row>
    <row r="3772" spans="1:97" x14ac:dyDescent="0.25">
      <c r="A3772" t="s">
        <v>2537</v>
      </c>
      <c r="B3772" t="s">
        <v>24158</v>
      </c>
      <c r="C3772" t="s">
        <v>24159</v>
      </c>
      <c r="D3772" t="s">
        <v>24158</v>
      </c>
      <c r="E3772" t="s">
        <v>24160</v>
      </c>
      <c r="F3772" t="s">
        <v>108</v>
      </c>
      <c r="H3772" t="s">
        <v>24161</v>
      </c>
      <c r="I3772" t="s">
        <v>390</v>
      </c>
      <c r="J3772" t="s">
        <v>111</v>
      </c>
      <c r="K3772" t="str">
        <f>"85041"</f>
        <v>85041</v>
      </c>
      <c r="L3772" t="s">
        <v>375</v>
      </c>
      <c r="M3772" t="s">
        <v>24161</v>
      </c>
      <c r="N3772" t="s">
        <v>390</v>
      </c>
      <c r="O3772" t="s">
        <v>111</v>
      </c>
      <c r="P3772" t="str">
        <f>"85041-7612"</f>
        <v>85041-7612</v>
      </c>
      <c r="Q3772" t="s">
        <v>113</v>
      </c>
      <c r="R3772" t="str">
        <f>"300-17-263"</f>
        <v>300-17-263</v>
      </c>
      <c r="S3772" t="s">
        <v>7013</v>
      </c>
      <c r="T3772" t="s">
        <v>7014</v>
      </c>
      <c r="U3772">
        <v>1724</v>
      </c>
      <c r="V3772">
        <v>0</v>
      </c>
      <c r="W3772">
        <v>3</v>
      </c>
      <c r="X3772">
        <v>2007</v>
      </c>
      <c r="Z3772">
        <v>1</v>
      </c>
      <c r="AA3772" t="s">
        <v>26</v>
      </c>
      <c r="AB3772">
        <v>0</v>
      </c>
      <c r="AC3772" t="s">
        <v>115</v>
      </c>
      <c r="AD3772">
        <v>2</v>
      </c>
      <c r="AE3772" t="s">
        <v>115</v>
      </c>
      <c r="AF3772">
        <v>0</v>
      </c>
      <c r="AG3772">
        <v>0</v>
      </c>
      <c r="AH3772" t="s">
        <v>116</v>
      </c>
      <c r="AI3772" s="1">
        <v>62421</v>
      </c>
      <c r="AJ3772" s="2">
        <v>0.22</v>
      </c>
      <c r="AK3772" s="1">
        <v>286168</v>
      </c>
      <c r="AL3772" t="s">
        <v>117</v>
      </c>
      <c r="AM3772" t="s">
        <v>760</v>
      </c>
      <c r="AN3772">
        <v>7171</v>
      </c>
      <c r="AO3772">
        <v>0.16</v>
      </c>
      <c r="AR3772">
        <v>1</v>
      </c>
      <c r="AS3772" s="1">
        <v>19950</v>
      </c>
      <c r="AT3772" s="1">
        <v>3990</v>
      </c>
      <c r="AU3772" s="1">
        <v>15960</v>
      </c>
      <c r="AV3772">
        <v>80</v>
      </c>
      <c r="AX3772" s="1">
        <v>2552.94</v>
      </c>
      <c r="AY3772" t="s">
        <v>7015</v>
      </c>
      <c r="AZ3772" t="s">
        <v>7015</v>
      </c>
      <c r="BA3772" t="s">
        <v>1661</v>
      </c>
      <c r="BE3772" s="3">
        <v>41988</v>
      </c>
      <c r="BF3772" s="1">
        <v>199900</v>
      </c>
      <c r="BG3772" t="s">
        <v>24162</v>
      </c>
      <c r="BH3772" s="1">
        <v>115.95</v>
      </c>
      <c r="BI3772" s="1">
        <v>223747</v>
      </c>
      <c r="BJ3772" s="3">
        <v>42688</v>
      </c>
      <c r="BK3772" t="s">
        <v>123</v>
      </c>
      <c r="BL3772" t="str">
        <f>"2016.839072"</f>
        <v>2016.839072</v>
      </c>
      <c r="BM3772" t="s">
        <v>2107</v>
      </c>
      <c r="BO3772" t="s">
        <v>24163</v>
      </c>
      <c r="BS3772">
        <v>30</v>
      </c>
      <c r="BW3772" t="str">
        <f>""</f>
        <v/>
      </c>
      <c r="CH3772" t="str">
        <f>""</f>
        <v/>
      </c>
      <c r="CS3772" t="str">
        <f>""</f>
        <v/>
      </c>
    </row>
    <row r="3773" spans="1:97" x14ac:dyDescent="0.25">
      <c r="A3773" t="s">
        <v>6495</v>
      </c>
      <c r="B3773" t="s">
        <v>364</v>
      </c>
      <c r="C3773" t="s">
        <v>1451</v>
      </c>
      <c r="D3773" t="s">
        <v>364</v>
      </c>
      <c r="E3773" t="s">
        <v>24164</v>
      </c>
      <c r="F3773" t="s">
        <v>108</v>
      </c>
      <c r="H3773" t="s">
        <v>24165</v>
      </c>
      <c r="I3773" t="s">
        <v>2874</v>
      </c>
      <c r="J3773" t="s">
        <v>111</v>
      </c>
      <c r="K3773" t="str">
        <f>"85307"</f>
        <v>85307</v>
      </c>
      <c r="L3773" t="s">
        <v>6325</v>
      </c>
      <c r="M3773" t="s">
        <v>24165</v>
      </c>
      <c r="N3773" t="s">
        <v>2874</v>
      </c>
      <c r="O3773" t="s">
        <v>111</v>
      </c>
      <c r="P3773" t="str">
        <f>"85307-4192"</f>
        <v>85307-4192</v>
      </c>
      <c r="Q3773" t="s">
        <v>113</v>
      </c>
      <c r="R3773" t="str">
        <f>"102-89-391"</f>
        <v>102-89-391</v>
      </c>
      <c r="S3773" t="s">
        <v>14565</v>
      </c>
      <c r="T3773" t="s">
        <v>14565</v>
      </c>
      <c r="U3773">
        <v>2178</v>
      </c>
      <c r="V3773">
        <v>0</v>
      </c>
      <c r="W3773">
        <v>4</v>
      </c>
      <c r="X3773">
        <v>1996</v>
      </c>
      <c r="Z3773">
        <v>2</v>
      </c>
      <c r="AA3773" t="s">
        <v>26</v>
      </c>
      <c r="AB3773">
        <v>0</v>
      </c>
      <c r="AC3773" t="s">
        <v>115</v>
      </c>
      <c r="AD3773">
        <v>2</v>
      </c>
      <c r="AE3773" t="s">
        <v>115</v>
      </c>
      <c r="AF3773">
        <v>0</v>
      </c>
      <c r="AG3773">
        <v>0</v>
      </c>
      <c r="AH3773" t="s">
        <v>116</v>
      </c>
      <c r="AI3773" s="1">
        <v>70904</v>
      </c>
      <c r="AJ3773" s="2">
        <v>0.26</v>
      </c>
      <c r="AK3773" s="1">
        <v>274438</v>
      </c>
      <c r="AL3773" t="s">
        <v>117</v>
      </c>
      <c r="AM3773" t="s">
        <v>118</v>
      </c>
      <c r="AN3773">
        <v>10054</v>
      </c>
      <c r="AO3773">
        <v>0.23</v>
      </c>
      <c r="AP3773">
        <v>1</v>
      </c>
      <c r="AR3773">
        <v>1</v>
      </c>
      <c r="AS3773" s="1">
        <v>18620</v>
      </c>
      <c r="AT3773" s="1">
        <v>3720</v>
      </c>
      <c r="AU3773" s="1">
        <v>14900</v>
      </c>
      <c r="AV3773">
        <v>80.02</v>
      </c>
      <c r="AX3773" s="1">
        <v>1629.52</v>
      </c>
      <c r="AY3773" t="s">
        <v>8787</v>
      </c>
      <c r="AZ3773" t="s">
        <v>8787</v>
      </c>
      <c r="BA3773" t="s">
        <v>5118</v>
      </c>
      <c r="BE3773" s="3">
        <v>42240</v>
      </c>
      <c r="BF3773" s="1">
        <v>198995</v>
      </c>
      <c r="BG3773" t="s">
        <v>24166</v>
      </c>
      <c r="BH3773" s="1">
        <v>91.37</v>
      </c>
      <c r="BI3773" s="1">
        <v>203534</v>
      </c>
      <c r="BJ3773" s="3">
        <v>42711</v>
      </c>
      <c r="BK3773" t="s">
        <v>123</v>
      </c>
      <c r="BL3773" t="str">
        <f>"2016.901248"</f>
        <v>2016.901248</v>
      </c>
      <c r="BM3773" t="s">
        <v>14332</v>
      </c>
      <c r="BO3773" t="s">
        <v>24167</v>
      </c>
      <c r="BS3773">
        <v>30</v>
      </c>
      <c r="BW3773" t="str">
        <f>""</f>
        <v/>
      </c>
      <c r="CH3773" t="str">
        <f>""</f>
        <v/>
      </c>
      <c r="CS3773" t="str">
        <f>""</f>
        <v/>
      </c>
    </row>
    <row r="3774" spans="1:97" x14ac:dyDescent="0.25">
      <c r="A3774" t="s">
        <v>1009</v>
      </c>
      <c r="B3774" t="s">
        <v>24168</v>
      </c>
      <c r="C3774" t="s">
        <v>24169</v>
      </c>
      <c r="D3774" t="s">
        <v>24168</v>
      </c>
      <c r="E3774" t="s">
        <v>24170</v>
      </c>
      <c r="F3774" t="s">
        <v>108</v>
      </c>
      <c r="H3774" t="s">
        <v>24171</v>
      </c>
      <c r="I3774" t="s">
        <v>390</v>
      </c>
      <c r="J3774" t="s">
        <v>111</v>
      </c>
      <c r="K3774" t="str">
        <f>"85042"</f>
        <v>85042</v>
      </c>
      <c r="L3774" t="s">
        <v>6766</v>
      </c>
      <c r="M3774" t="s">
        <v>24171</v>
      </c>
      <c r="N3774" t="s">
        <v>390</v>
      </c>
      <c r="O3774" t="s">
        <v>111</v>
      </c>
      <c r="P3774" t="str">
        <f>"85042-6755"</f>
        <v>85042-6755</v>
      </c>
      <c r="Q3774" t="s">
        <v>113</v>
      </c>
      <c r="R3774" t="str">
        <f>"300-23-166"</f>
        <v>300-23-166</v>
      </c>
      <c r="S3774" t="s">
        <v>24172</v>
      </c>
      <c r="T3774" t="s">
        <v>24172</v>
      </c>
      <c r="U3774">
        <v>1948</v>
      </c>
      <c r="V3774">
        <v>0</v>
      </c>
      <c r="W3774">
        <v>4</v>
      </c>
      <c r="X3774">
        <v>2012</v>
      </c>
      <c r="Z3774">
        <v>2</v>
      </c>
      <c r="AB3774">
        <v>0</v>
      </c>
      <c r="AC3774" t="s">
        <v>115</v>
      </c>
      <c r="AD3774">
        <v>2</v>
      </c>
      <c r="AE3774" t="s">
        <v>115</v>
      </c>
      <c r="AF3774">
        <v>0</v>
      </c>
      <c r="AG3774">
        <v>0</v>
      </c>
      <c r="AH3774" t="s">
        <v>116</v>
      </c>
      <c r="AI3774" s="1">
        <v>62133</v>
      </c>
      <c r="AJ3774" s="2">
        <v>0.21</v>
      </c>
      <c r="AK3774" s="1">
        <v>302133</v>
      </c>
      <c r="AL3774" t="s">
        <v>117</v>
      </c>
      <c r="AM3774" t="s">
        <v>1302</v>
      </c>
      <c r="AN3774">
        <v>6238</v>
      </c>
      <c r="AO3774">
        <v>0.14000000000000001</v>
      </c>
      <c r="AR3774">
        <v>1</v>
      </c>
      <c r="AS3774" s="1">
        <v>19610</v>
      </c>
      <c r="AT3774" s="1">
        <v>3920</v>
      </c>
      <c r="AU3774" s="1">
        <v>15690</v>
      </c>
      <c r="AV3774">
        <v>80.010000000000005</v>
      </c>
      <c r="AX3774" s="1">
        <v>2441.16</v>
      </c>
      <c r="AY3774" t="s">
        <v>2859</v>
      </c>
      <c r="AZ3774" t="s">
        <v>2859</v>
      </c>
      <c r="BA3774" t="s">
        <v>2860</v>
      </c>
      <c r="BE3774" s="3">
        <v>42475</v>
      </c>
      <c r="BF3774" s="1">
        <v>240000</v>
      </c>
      <c r="BG3774" t="s">
        <v>24173</v>
      </c>
      <c r="BH3774" s="1">
        <v>123.2</v>
      </c>
      <c r="BI3774" s="1">
        <v>240000</v>
      </c>
      <c r="BJ3774" s="3">
        <v>42475</v>
      </c>
      <c r="BK3774" t="s">
        <v>123</v>
      </c>
      <c r="BL3774" t="str">
        <f>"2016.252519"</f>
        <v>2016.252519</v>
      </c>
      <c r="BM3774" t="s">
        <v>544</v>
      </c>
      <c r="BO3774" t="s">
        <v>24174</v>
      </c>
      <c r="BS3774">
        <v>30</v>
      </c>
      <c r="BW3774" t="str">
        <f>""</f>
        <v/>
      </c>
      <c r="CH3774" t="str">
        <f>""</f>
        <v/>
      </c>
      <c r="CS3774" t="str">
        <f>""</f>
        <v/>
      </c>
    </row>
    <row r="3775" spans="1:97" x14ac:dyDescent="0.25">
      <c r="A3775" t="s">
        <v>908</v>
      </c>
      <c r="B3775" t="s">
        <v>24175</v>
      </c>
      <c r="E3775" t="s">
        <v>24176</v>
      </c>
      <c r="F3775" t="s">
        <v>108</v>
      </c>
      <c r="H3775" t="s">
        <v>24177</v>
      </c>
      <c r="I3775" t="s">
        <v>5551</v>
      </c>
      <c r="J3775" t="s">
        <v>111</v>
      </c>
      <c r="K3775" t="str">
        <f>"85248"</f>
        <v>85248</v>
      </c>
      <c r="L3775" t="s">
        <v>7147</v>
      </c>
      <c r="M3775" t="s">
        <v>24177</v>
      </c>
      <c r="N3775" t="s">
        <v>5551</v>
      </c>
      <c r="O3775" t="s">
        <v>111</v>
      </c>
      <c r="P3775" t="str">
        <f>"85248-7945"</f>
        <v>85248-7945</v>
      </c>
      <c r="Q3775" t="s">
        <v>113</v>
      </c>
      <c r="R3775" t="str">
        <f>"303-70-694"</f>
        <v>303-70-694</v>
      </c>
      <c r="S3775" t="s">
        <v>24178</v>
      </c>
      <c r="U3775">
        <v>2028</v>
      </c>
      <c r="V3775">
        <v>0</v>
      </c>
      <c r="W3775">
        <v>3</v>
      </c>
      <c r="X3775">
        <v>1991</v>
      </c>
      <c r="Z3775">
        <v>1</v>
      </c>
      <c r="AB3775">
        <v>0</v>
      </c>
      <c r="AC3775" t="s">
        <v>115</v>
      </c>
      <c r="AD3775">
        <v>2</v>
      </c>
      <c r="AE3775" t="s">
        <v>115</v>
      </c>
      <c r="AF3775">
        <v>0</v>
      </c>
      <c r="AG3775">
        <v>0</v>
      </c>
      <c r="AH3775" t="s">
        <v>116</v>
      </c>
      <c r="AI3775" s="1">
        <v>82866</v>
      </c>
      <c r="AJ3775" s="2">
        <v>0.21</v>
      </c>
      <c r="AK3775" s="1">
        <v>403866</v>
      </c>
      <c r="AL3775" t="s">
        <v>117</v>
      </c>
      <c r="AM3775" t="str">
        <f>"R1-6"</f>
        <v>R1-6</v>
      </c>
      <c r="AN3775">
        <v>8662</v>
      </c>
      <c r="AO3775">
        <v>0.2</v>
      </c>
      <c r="AP3775">
        <v>1</v>
      </c>
      <c r="AR3775">
        <v>1</v>
      </c>
      <c r="AS3775" s="1">
        <v>29030</v>
      </c>
      <c r="AT3775" s="1">
        <v>5800</v>
      </c>
      <c r="AU3775" s="1">
        <v>23230</v>
      </c>
      <c r="AV3775">
        <v>80.02</v>
      </c>
      <c r="AX3775" s="1">
        <v>4471.42</v>
      </c>
      <c r="AY3775" t="s">
        <v>1881</v>
      </c>
      <c r="AZ3775" t="s">
        <v>1882</v>
      </c>
      <c r="BA3775" t="s">
        <v>121</v>
      </c>
      <c r="BE3775" s="3">
        <v>42124</v>
      </c>
      <c r="BF3775" s="1">
        <v>321000</v>
      </c>
      <c r="BG3775" t="s">
        <v>24179</v>
      </c>
      <c r="BH3775" s="1">
        <v>158.28</v>
      </c>
      <c r="BI3775" s="1">
        <v>321000</v>
      </c>
      <c r="BJ3775" s="3">
        <v>42124</v>
      </c>
      <c r="BK3775" t="s">
        <v>123</v>
      </c>
      <c r="BL3775" t="str">
        <f>"2015.304903"</f>
        <v>2015.304903</v>
      </c>
      <c r="BM3775" t="s">
        <v>594</v>
      </c>
      <c r="BO3775" t="s">
        <v>24180</v>
      </c>
      <c r="BS3775">
        <v>30</v>
      </c>
      <c r="BW3775" t="str">
        <f>""</f>
        <v/>
      </c>
      <c r="CH3775" t="str">
        <f>""</f>
        <v/>
      </c>
      <c r="CS3775" t="str">
        <f>""</f>
        <v/>
      </c>
    </row>
    <row r="3776" spans="1:97" x14ac:dyDescent="0.25">
      <c r="A3776" t="s">
        <v>6060</v>
      </c>
      <c r="B3776" t="s">
        <v>2894</v>
      </c>
      <c r="C3776" t="s">
        <v>365</v>
      </c>
      <c r="D3776" t="s">
        <v>2894</v>
      </c>
      <c r="E3776" t="s">
        <v>24181</v>
      </c>
      <c r="F3776" t="s">
        <v>108</v>
      </c>
      <c r="H3776" t="s">
        <v>24182</v>
      </c>
      <c r="I3776" t="s">
        <v>5114</v>
      </c>
      <c r="J3776" t="s">
        <v>111</v>
      </c>
      <c r="K3776" t="str">
        <f>"85323"</f>
        <v>85323</v>
      </c>
      <c r="L3776" t="s">
        <v>284</v>
      </c>
      <c r="M3776" t="s">
        <v>24182</v>
      </c>
      <c r="N3776" t="s">
        <v>5114</v>
      </c>
      <c r="O3776" t="s">
        <v>111</v>
      </c>
      <c r="P3776" t="str">
        <f>"85323-8329"</f>
        <v>85323-8329</v>
      </c>
      <c r="Q3776" t="s">
        <v>113</v>
      </c>
      <c r="R3776" t="str">
        <f>"500-92-045"</f>
        <v>500-92-045</v>
      </c>
      <c r="S3776" t="s">
        <v>24183</v>
      </c>
      <c r="U3776">
        <v>1524</v>
      </c>
      <c r="V3776">
        <v>0</v>
      </c>
      <c r="W3776">
        <v>3</v>
      </c>
      <c r="X3776">
        <v>2002</v>
      </c>
      <c r="Z3776">
        <v>1</v>
      </c>
      <c r="AB3776">
        <v>0</v>
      </c>
      <c r="AC3776" t="s">
        <v>115</v>
      </c>
      <c r="AD3776">
        <v>2</v>
      </c>
      <c r="AE3776" t="s">
        <v>115</v>
      </c>
      <c r="AF3776">
        <v>0</v>
      </c>
      <c r="AG3776">
        <v>0</v>
      </c>
      <c r="AH3776" t="s">
        <v>116</v>
      </c>
      <c r="AI3776" s="1">
        <v>32850</v>
      </c>
      <c r="AJ3776" s="2">
        <v>0.14000000000000001</v>
      </c>
      <c r="AK3776" s="1">
        <v>232961</v>
      </c>
      <c r="AL3776" t="s">
        <v>117</v>
      </c>
      <c r="AM3776" t="s">
        <v>118</v>
      </c>
      <c r="AN3776">
        <v>5280</v>
      </c>
      <c r="AO3776">
        <v>0.12</v>
      </c>
      <c r="AP3776">
        <v>1</v>
      </c>
      <c r="AR3776">
        <v>1</v>
      </c>
      <c r="AS3776" s="1">
        <v>15430</v>
      </c>
      <c r="AT3776" s="1">
        <v>3080</v>
      </c>
      <c r="AU3776" s="1">
        <v>12350</v>
      </c>
      <c r="AV3776">
        <v>80.040000000000006</v>
      </c>
      <c r="AX3776" s="1">
        <v>1398.32</v>
      </c>
      <c r="AY3776" t="s">
        <v>9447</v>
      </c>
      <c r="AZ3776" t="s">
        <v>9447</v>
      </c>
      <c r="BA3776" t="s">
        <v>4254</v>
      </c>
      <c r="BE3776" s="3">
        <v>42508</v>
      </c>
      <c r="BF3776" s="1">
        <v>195900</v>
      </c>
      <c r="BG3776" t="s">
        <v>24184</v>
      </c>
      <c r="BH3776" s="1">
        <v>128.54</v>
      </c>
      <c r="BI3776" s="1">
        <v>200111</v>
      </c>
      <c r="BJ3776" s="3">
        <v>42508</v>
      </c>
      <c r="BK3776" t="s">
        <v>123</v>
      </c>
      <c r="BL3776" t="str">
        <f>"2016.342748"</f>
        <v>2016.342748</v>
      </c>
      <c r="BM3776" t="s">
        <v>594</v>
      </c>
      <c r="BO3776" t="s">
        <v>24185</v>
      </c>
      <c r="BS3776">
        <v>30</v>
      </c>
      <c r="BW3776" t="str">
        <f>""</f>
        <v/>
      </c>
      <c r="CH3776" t="str">
        <f>""</f>
        <v/>
      </c>
      <c r="CS3776" t="str">
        <f>""</f>
        <v/>
      </c>
    </row>
    <row r="3777" spans="1:97" x14ac:dyDescent="0.25">
      <c r="A3777" t="s">
        <v>815</v>
      </c>
      <c r="B3777" t="s">
        <v>24186</v>
      </c>
      <c r="C3777" t="s">
        <v>5740</v>
      </c>
      <c r="D3777" t="s">
        <v>24186</v>
      </c>
      <c r="E3777" t="s">
        <v>24187</v>
      </c>
      <c r="F3777" t="s">
        <v>108</v>
      </c>
      <c r="H3777" t="s">
        <v>24188</v>
      </c>
      <c r="I3777" t="s">
        <v>453</v>
      </c>
      <c r="J3777" t="s">
        <v>111</v>
      </c>
      <c r="K3777" t="str">
        <f>"85383"</f>
        <v>85383</v>
      </c>
      <c r="L3777" t="s">
        <v>516</v>
      </c>
      <c r="M3777" t="s">
        <v>24188</v>
      </c>
      <c r="N3777" t="s">
        <v>453</v>
      </c>
      <c r="O3777" t="s">
        <v>111</v>
      </c>
      <c r="P3777" t="str">
        <f>"85383-9674"</f>
        <v>85383-9674</v>
      </c>
      <c r="Q3777" t="s">
        <v>113</v>
      </c>
      <c r="R3777" t="str">
        <f>"201-17-227"</f>
        <v>201-17-227</v>
      </c>
      <c r="S3777" t="s">
        <v>10871</v>
      </c>
      <c r="T3777" t="s">
        <v>4519</v>
      </c>
      <c r="U3777">
        <v>2745</v>
      </c>
      <c r="V3777">
        <v>0</v>
      </c>
      <c r="W3777">
        <v>5</v>
      </c>
      <c r="X3777">
        <v>2013</v>
      </c>
      <c r="Z3777">
        <v>2</v>
      </c>
      <c r="AB3777">
        <v>0</v>
      </c>
      <c r="AC3777" t="s">
        <v>115</v>
      </c>
      <c r="AD3777">
        <v>3</v>
      </c>
      <c r="AE3777" t="s">
        <v>115</v>
      </c>
      <c r="AF3777">
        <v>0</v>
      </c>
      <c r="AG3777">
        <v>0</v>
      </c>
      <c r="AH3777" t="s">
        <v>116</v>
      </c>
      <c r="AI3777" s="1">
        <v>97890</v>
      </c>
      <c r="AJ3777" s="2">
        <v>0.23</v>
      </c>
      <c r="AK3777" s="1">
        <v>434890</v>
      </c>
      <c r="AL3777" t="s">
        <v>117</v>
      </c>
      <c r="AM3777" t="s">
        <v>118</v>
      </c>
      <c r="AN3777">
        <v>9000</v>
      </c>
      <c r="AO3777">
        <v>0.21</v>
      </c>
      <c r="AR3777">
        <v>1</v>
      </c>
      <c r="AS3777" s="1">
        <v>30310</v>
      </c>
      <c r="AT3777" s="1">
        <v>6060</v>
      </c>
      <c r="AU3777" s="1">
        <v>24250</v>
      </c>
      <c r="AV3777">
        <v>80.010000000000005</v>
      </c>
      <c r="AX3777" s="1">
        <v>3026.86</v>
      </c>
      <c r="AY3777" t="s">
        <v>4520</v>
      </c>
      <c r="AZ3777" t="s">
        <v>4520</v>
      </c>
      <c r="BA3777" t="s">
        <v>4219</v>
      </c>
      <c r="BE3777" s="3">
        <v>41852</v>
      </c>
      <c r="BF3777" s="1">
        <v>376000</v>
      </c>
      <c r="BG3777" t="s">
        <v>24189</v>
      </c>
      <c r="BH3777" s="1">
        <v>136.97999999999999</v>
      </c>
      <c r="BI3777" s="1">
        <v>337000</v>
      </c>
      <c r="BJ3777" s="3">
        <v>43039</v>
      </c>
      <c r="BK3777" t="s">
        <v>123</v>
      </c>
      <c r="BL3777" t="str">
        <f>"2017.806280"</f>
        <v>2017.806280</v>
      </c>
      <c r="BM3777" t="s">
        <v>22136</v>
      </c>
      <c r="BO3777" t="s">
        <v>24190</v>
      </c>
      <c r="BS3777">
        <v>27</v>
      </c>
      <c r="BW3777" t="str">
        <f>""</f>
        <v/>
      </c>
      <c r="CH3777" t="str">
        <f>""</f>
        <v/>
      </c>
      <c r="CS3777" t="str">
        <f>""</f>
        <v/>
      </c>
    </row>
    <row r="3778" spans="1:97" x14ac:dyDescent="0.25">
      <c r="A3778" t="s">
        <v>996</v>
      </c>
      <c r="B3778" t="s">
        <v>24191</v>
      </c>
      <c r="E3778" t="s">
        <v>24192</v>
      </c>
      <c r="F3778" t="s">
        <v>108</v>
      </c>
      <c r="H3778" t="s">
        <v>24193</v>
      </c>
      <c r="I3778" t="s">
        <v>5523</v>
      </c>
      <c r="J3778" t="s">
        <v>111</v>
      </c>
      <c r="K3778" t="str">
        <f>"85373"</f>
        <v>85373</v>
      </c>
      <c r="L3778" t="s">
        <v>734</v>
      </c>
      <c r="M3778" t="s">
        <v>24193</v>
      </c>
      <c r="N3778" t="s">
        <v>5523</v>
      </c>
      <c r="O3778" t="s">
        <v>111</v>
      </c>
      <c r="P3778" t="str">
        <f>"85373-8725"</f>
        <v>85373-8725</v>
      </c>
      <c r="Q3778" t="s">
        <v>113</v>
      </c>
      <c r="R3778" t="str">
        <f>"200-12-582"</f>
        <v>200-12-582</v>
      </c>
      <c r="S3778" t="s">
        <v>24194</v>
      </c>
      <c r="T3778" t="s">
        <v>24195</v>
      </c>
      <c r="U3778">
        <v>2568</v>
      </c>
      <c r="V3778">
        <v>0</v>
      </c>
      <c r="W3778">
        <v>4</v>
      </c>
      <c r="X3778">
        <v>1996</v>
      </c>
      <c r="Z3778">
        <v>2</v>
      </c>
      <c r="AA3778" t="s">
        <v>26</v>
      </c>
      <c r="AB3778">
        <v>0</v>
      </c>
      <c r="AC3778" t="s">
        <v>115</v>
      </c>
      <c r="AD3778">
        <v>2</v>
      </c>
      <c r="AE3778" t="s">
        <v>115</v>
      </c>
      <c r="AF3778">
        <v>0</v>
      </c>
      <c r="AG3778">
        <v>0</v>
      </c>
      <c r="AH3778" t="s">
        <v>116</v>
      </c>
      <c r="AI3778" s="1">
        <v>61020</v>
      </c>
      <c r="AJ3778" s="2">
        <v>0.18</v>
      </c>
      <c r="AK3778" s="1">
        <v>347200</v>
      </c>
      <c r="AL3778" t="s">
        <v>117</v>
      </c>
      <c r="AM3778" t="s">
        <v>191</v>
      </c>
      <c r="AN3778">
        <v>10820</v>
      </c>
      <c r="AO3778">
        <v>0.25</v>
      </c>
      <c r="AP3778">
        <v>1</v>
      </c>
      <c r="AR3778">
        <v>1</v>
      </c>
      <c r="AS3778" s="1">
        <v>24860</v>
      </c>
      <c r="AT3778" s="1">
        <v>4970</v>
      </c>
      <c r="AU3778" s="1">
        <v>19890</v>
      </c>
      <c r="AV3778">
        <v>80.010000000000005</v>
      </c>
      <c r="AX3778" s="1">
        <v>2008.04</v>
      </c>
      <c r="AY3778" t="s">
        <v>4520</v>
      </c>
      <c r="AZ3778" t="s">
        <v>4520</v>
      </c>
      <c r="BA3778" t="s">
        <v>4219</v>
      </c>
      <c r="BE3778" s="3">
        <v>42474</v>
      </c>
      <c r="BF3778" s="1">
        <v>276000</v>
      </c>
      <c r="BG3778" t="s">
        <v>24196</v>
      </c>
      <c r="BH3778" s="1">
        <v>107.48</v>
      </c>
      <c r="BI3778" s="1">
        <v>286180</v>
      </c>
      <c r="BJ3778" s="3">
        <v>42592</v>
      </c>
      <c r="BK3778" t="s">
        <v>123</v>
      </c>
      <c r="BL3778" t="str">
        <f>"2016.571108"</f>
        <v>2016.571108</v>
      </c>
      <c r="BM3778" t="s">
        <v>255</v>
      </c>
      <c r="BO3778" t="s">
        <v>24197</v>
      </c>
      <c r="BS3778">
        <v>30</v>
      </c>
      <c r="BW3778" t="str">
        <f>""</f>
        <v/>
      </c>
      <c r="CH3778" t="str">
        <f>""</f>
        <v/>
      </c>
      <c r="CS3778" t="str">
        <f>""</f>
        <v/>
      </c>
    </row>
    <row r="3779" spans="1:97" x14ac:dyDescent="0.25">
      <c r="A3779" t="s">
        <v>3315</v>
      </c>
      <c r="B3779" t="s">
        <v>1552</v>
      </c>
      <c r="C3779" t="s">
        <v>19280</v>
      </c>
      <c r="D3779" t="s">
        <v>1552</v>
      </c>
      <c r="E3779" t="s">
        <v>24198</v>
      </c>
      <c r="F3779" t="s">
        <v>108</v>
      </c>
      <c r="H3779" t="s">
        <v>24199</v>
      </c>
      <c r="I3779" t="s">
        <v>5114</v>
      </c>
      <c r="J3779" t="s">
        <v>111</v>
      </c>
      <c r="K3779" t="str">
        <f>"85392"</f>
        <v>85392</v>
      </c>
      <c r="L3779" t="s">
        <v>6691</v>
      </c>
      <c r="M3779" t="s">
        <v>24199</v>
      </c>
      <c r="N3779" t="s">
        <v>5114</v>
      </c>
      <c r="O3779" t="s">
        <v>111</v>
      </c>
      <c r="P3779" t="str">
        <f>"85392-6509"</f>
        <v>85392-6509</v>
      </c>
      <c r="Q3779" t="s">
        <v>113</v>
      </c>
      <c r="R3779" t="str">
        <f>"501-88-005"</f>
        <v>501-88-005</v>
      </c>
      <c r="S3779" t="s">
        <v>19971</v>
      </c>
      <c r="T3779" t="s">
        <v>19971</v>
      </c>
      <c r="U3779">
        <v>2335</v>
      </c>
      <c r="V3779">
        <v>0</v>
      </c>
      <c r="W3779">
        <v>3</v>
      </c>
      <c r="X3779">
        <v>1996</v>
      </c>
      <c r="Z3779">
        <v>1</v>
      </c>
      <c r="AA3779" t="s">
        <v>26</v>
      </c>
      <c r="AB3779">
        <v>0</v>
      </c>
      <c r="AC3779" t="s">
        <v>115</v>
      </c>
      <c r="AD3779">
        <v>3</v>
      </c>
      <c r="AE3779" t="s">
        <v>115</v>
      </c>
      <c r="AF3779">
        <v>0</v>
      </c>
      <c r="AG3779">
        <v>0</v>
      </c>
      <c r="AH3779" t="s">
        <v>116</v>
      </c>
      <c r="AI3779" s="1">
        <v>62771</v>
      </c>
      <c r="AJ3779" s="2">
        <v>0.18</v>
      </c>
      <c r="AK3779" s="1">
        <v>347771</v>
      </c>
      <c r="AL3779" t="s">
        <v>117</v>
      </c>
      <c r="AM3779" t="s">
        <v>118</v>
      </c>
      <c r="AN3779">
        <v>13396</v>
      </c>
      <c r="AO3779">
        <v>0.31</v>
      </c>
      <c r="AP3779">
        <v>1</v>
      </c>
      <c r="AR3779">
        <v>1</v>
      </c>
      <c r="AS3779" s="1">
        <v>24260</v>
      </c>
      <c r="AT3779" s="1">
        <v>4850</v>
      </c>
      <c r="AU3779" s="1">
        <v>19410</v>
      </c>
      <c r="AV3779">
        <v>80.010000000000005</v>
      </c>
      <c r="AX3779" s="1">
        <v>1952.9</v>
      </c>
      <c r="AY3779" t="s">
        <v>7636</v>
      </c>
      <c r="AZ3779" t="s">
        <v>6701</v>
      </c>
      <c r="BA3779" t="s">
        <v>6702</v>
      </c>
      <c r="BE3779" s="3">
        <v>42510</v>
      </c>
      <c r="BF3779" s="1">
        <v>285000</v>
      </c>
      <c r="BG3779" t="s">
        <v>24200</v>
      </c>
      <c r="BH3779" s="1">
        <v>122.06</v>
      </c>
      <c r="BI3779" s="1">
        <v>285000</v>
      </c>
      <c r="BJ3779" s="3">
        <v>42510</v>
      </c>
      <c r="BK3779" t="s">
        <v>123</v>
      </c>
      <c r="BL3779" t="str">
        <f>"2016.348328"</f>
        <v>2016.348328</v>
      </c>
      <c r="BM3779" t="s">
        <v>955</v>
      </c>
      <c r="BO3779" t="s">
        <v>24201</v>
      </c>
      <c r="BS3779">
        <v>30</v>
      </c>
      <c r="BW3779" t="str">
        <f>""</f>
        <v/>
      </c>
      <c r="CH3779" t="str">
        <f>""</f>
        <v/>
      </c>
      <c r="CS3779" t="str">
        <f>""</f>
        <v/>
      </c>
    </row>
    <row r="3780" spans="1:97" x14ac:dyDescent="0.25">
      <c r="A3780" t="s">
        <v>7969</v>
      </c>
      <c r="B3780" t="s">
        <v>24202</v>
      </c>
      <c r="C3780" t="s">
        <v>1340</v>
      </c>
      <c r="D3780" t="s">
        <v>24202</v>
      </c>
      <c r="E3780" t="s">
        <v>24203</v>
      </c>
      <c r="F3780" t="s">
        <v>108</v>
      </c>
      <c r="H3780" t="s">
        <v>24204</v>
      </c>
      <c r="I3780" t="s">
        <v>110</v>
      </c>
      <c r="J3780" t="s">
        <v>111</v>
      </c>
      <c r="K3780" t="str">
        <f>"85248"</f>
        <v>85248</v>
      </c>
      <c r="L3780" t="s">
        <v>4751</v>
      </c>
      <c r="M3780" t="s">
        <v>24204</v>
      </c>
      <c r="N3780" t="s">
        <v>110</v>
      </c>
      <c r="O3780" t="s">
        <v>111</v>
      </c>
      <c r="P3780" t="str">
        <f>"85248-6393"</f>
        <v>85248-6393</v>
      </c>
      <c r="Q3780" t="s">
        <v>113</v>
      </c>
      <c r="R3780" t="str">
        <f>"303-74-554"</f>
        <v>303-74-554</v>
      </c>
      <c r="S3780" t="s">
        <v>20954</v>
      </c>
      <c r="T3780" t="s">
        <v>20954</v>
      </c>
      <c r="U3780">
        <v>2678</v>
      </c>
      <c r="V3780">
        <v>0</v>
      </c>
      <c r="W3780">
        <v>4</v>
      </c>
      <c r="X3780">
        <v>2001</v>
      </c>
      <c r="Z3780">
        <v>2</v>
      </c>
      <c r="AA3780" t="s">
        <v>26</v>
      </c>
      <c r="AB3780">
        <v>0</v>
      </c>
      <c r="AC3780" t="s">
        <v>115</v>
      </c>
      <c r="AD3780">
        <v>3</v>
      </c>
      <c r="AE3780" t="s">
        <v>115</v>
      </c>
      <c r="AF3780">
        <v>0</v>
      </c>
      <c r="AG3780">
        <v>0</v>
      </c>
      <c r="AH3780" t="s">
        <v>116</v>
      </c>
      <c r="AI3780" s="1">
        <v>77611</v>
      </c>
      <c r="AJ3780" s="2">
        <v>0.18</v>
      </c>
      <c r="AK3780" s="1">
        <v>430028</v>
      </c>
      <c r="AL3780" t="s">
        <v>117</v>
      </c>
      <c r="AM3780" t="s">
        <v>118</v>
      </c>
      <c r="AN3780">
        <v>7372</v>
      </c>
      <c r="AO3780">
        <v>0.17</v>
      </c>
      <c r="AP3780">
        <v>1</v>
      </c>
      <c r="AR3780">
        <v>1</v>
      </c>
      <c r="AS3780" s="1">
        <v>30880</v>
      </c>
      <c r="AT3780" s="1">
        <v>6170</v>
      </c>
      <c r="AU3780" s="1">
        <v>24710</v>
      </c>
      <c r="AV3780">
        <v>80.02</v>
      </c>
      <c r="AX3780" s="1">
        <v>2606.62</v>
      </c>
      <c r="AY3780" t="s">
        <v>1881</v>
      </c>
      <c r="AZ3780" t="s">
        <v>1882</v>
      </c>
      <c r="BA3780" t="s">
        <v>121</v>
      </c>
      <c r="BE3780" s="3">
        <v>42264</v>
      </c>
      <c r="BF3780" s="1">
        <v>345000</v>
      </c>
      <c r="BG3780" t="s">
        <v>24205</v>
      </c>
      <c r="BH3780" s="1">
        <v>128.83000000000001</v>
      </c>
      <c r="BI3780" s="1">
        <v>352417</v>
      </c>
      <c r="BJ3780" s="3">
        <v>42264</v>
      </c>
      <c r="BK3780" t="s">
        <v>123</v>
      </c>
      <c r="BL3780" t="str">
        <f>"2015.672132"</f>
        <v>2015.672132</v>
      </c>
      <c r="BM3780" t="s">
        <v>475</v>
      </c>
      <c r="BO3780" t="s">
        <v>24206</v>
      </c>
      <c r="BS3780">
        <v>30</v>
      </c>
      <c r="BW3780" t="str">
        <f>""</f>
        <v/>
      </c>
      <c r="CH3780" t="str">
        <f>""</f>
        <v/>
      </c>
      <c r="CS3780" t="str">
        <f>""</f>
        <v/>
      </c>
    </row>
    <row r="3781" spans="1:97" x14ac:dyDescent="0.25">
      <c r="A3781" t="s">
        <v>7562</v>
      </c>
      <c r="B3781" t="s">
        <v>24207</v>
      </c>
      <c r="C3781" t="s">
        <v>489</v>
      </c>
      <c r="D3781" t="s">
        <v>24207</v>
      </c>
      <c r="E3781" t="s">
        <v>24208</v>
      </c>
      <c r="F3781" t="s">
        <v>108</v>
      </c>
      <c r="H3781" t="s">
        <v>24209</v>
      </c>
      <c r="I3781" t="s">
        <v>453</v>
      </c>
      <c r="J3781" t="s">
        <v>111</v>
      </c>
      <c r="K3781" t="str">
        <f>"85382"</f>
        <v>85382</v>
      </c>
      <c r="L3781" t="s">
        <v>6308</v>
      </c>
      <c r="M3781" t="s">
        <v>24209</v>
      </c>
      <c r="N3781" t="s">
        <v>453</v>
      </c>
      <c r="O3781" t="s">
        <v>111</v>
      </c>
      <c r="P3781" t="str">
        <f>"85382-8368"</f>
        <v>85382-8368</v>
      </c>
      <c r="Q3781" t="s">
        <v>113</v>
      </c>
      <c r="R3781" t="str">
        <f>"231-24-282"</f>
        <v>231-24-282</v>
      </c>
      <c r="S3781" t="s">
        <v>24210</v>
      </c>
      <c r="T3781" t="s">
        <v>6310</v>
      </c>
      <c r="U3781">
        <v>2126</v>
      </c>
      <c r="V3781">
        <v>0</v>
      </c>
      <c r="W3781">
        <v>4</v>
      </c>
      <c r="X3781">
        <v>2000</v>
      </c>
      <c r="Z3781">
        <v>2</v>
      </c>
      <c r="AB3781">
        <v>0</v>
      </c>
      <c r="AC3781" t="s">
        <v>115</v>
      </c>
      <c r="AD3781">
        <v>2</v>
      </c>
      <c r="AE3781" t="s">
        <v>115</v>
      </c>
      <c r="AF3781">
        <v>0</v>
      </c>
      <c r="AG3781">
        <v>0</v>
      </c>
      <c r="AH3781" t="s">
        <v>116</v>
      </c>
      <c r="AI3781" s="1">
        <v>12660</v>
      </c>
      <c r="AJ3781" s="2">
        <v>0.04</v>
      </c>
      <c r="AK3781" s="1">
        <v>311346</v>
      </c>
      <c r="AL3781" t="s">
        <v>117</v>
      </c>
      <c r="AM3781" t="s">
        <v>118</v>
      </c>
      <c r="AN3781">
        <v>5223</v>
      </c>
      <c r="AO3781">
        <v>0.12</v>
      </c>
      <c r="AP3781">
        <v>1</v>
      </c>
      <c r="AR3781">
        <v>1</v>
      </c>
      <c r="AS3781" s="1">
        <v>21060</v>
      </c>
      <c r="AT3781" s="1">
        <v>4210</v>
      </c>
      <c r="AU3781" s="1">
        <v>16850</v>
      </c>
      <c r="AV3781">
        <v>80.010000000000005</v>
      </c>
      <c r="AX3781" s="1">
        <v>1772.78</v>
      </c>
      <c r="AY3781" t="s">
        <v>6311</v>
      </c>
      <c r="AZ3781" t="s">
        <v>6311</v>
      </c>
      <c r="BA3781" t="s">
        <v>4219</v>
      </c>
      <c r="BE3781" s="3">
        <v>41796</v>
      </c>
      <c r="BF3781" s="1">
        <v>230000</v>
      </c>
      <c r="BG3781" t="s">
        <v>24211</v>
      </c>
      <c r="BH3781" s="1">
        <v>108.18</v>
      </c>
      <c r="BI3781" s="1">
        <v>298686</v>
      </c>
      <c r="BJ3781" s="3">
        <v>43605</v>
      </c>
      <c r="BK3781" t="s">
        <v>123</v>
      </c>
      <c r="BL3781" t="str">
        <f>"2019.369082"</f>
        <v>2019.369082</v>
      </c>
      <c r="BM3781" t="s">
        <v>673</v>
      </c>
      <c r="BN3781" t="s">
        <v>24212</v>
      </c>
      <c r="BO3781" t="s">
        <v>24213</v>
      </c>
      <c r="BP3781" t="s">
        <v>24214</v>
      </c>
      <c r="BR3781" t="s">
        <v>139</v>
      </c>
      <c r="BW3781" t="str">
        <f>""</f>
        <v/>
      </c>
      <c r="CH3781" t="str">
        <f>""</f>
        <v/>
      </c>
      <c r="CS3781" t="str">
        <f>""</f>
        <v/>
      </c>
    </row>
    <row r="3782" spans="1:97" x14ac:dyDescent="0.25">
      <c r="A3782" t="s">
        <v>589</v>
      </c>
      <c r="B3782" t="s">
        <v>6265</v>
      </c>
      <c r="E3782" t="s">
        <v>24215</v>
      </c>
      <c r="F3782" t="s">
        <v>108</v>
      </c>
      <c r="H3782" t="s">
        <v>24216</v>
      </c>
      <c r="I3782" t="s">
        <v>390</v>
      </c>
      <c r="J3782" t="s">
        <v>111</v>
      </c>
      <c r="K3782" t="str">
        <f>"85044"</f>
        <v>85044</v>
      </c>
      <c r="L3782" t="s">
        <v>2875</v>
      </c>
      <c r="M3782" t="s">
        <v>24216</v>
      </c>
      <c r="N3782" t="s">
        <v>390</v>
      </c>
      <c r="O3782" t="s">
        <v>111</v>
      </c>
      <c r="P3782" t="str">
        <f>"85044-1214"</f>
        <v>85044-1214</v>
      </c>
      <c r="Q3782" t="s">
        <v>113</v>
      </c>
      <c r="R3782" t="str">
        <f>"301-41-242"</f>
        <v>301-41-242</v>
      </c>
      <c r="S3782" t="s">
        <v>24217</v>
      </c>
      <c r="T3782" t="s">
        <v>21946</v>
      </c>
      <c r="U3782">
        <v>1570</v>
      </c>
      <c r="V3782">
        <v>0</v>
      </c>
      <c r="W3782">
        <v>2</v>
      </c>
      <c r="X3782">
        <v>1982</v>
      </c>
      <c r="Z3782">
        <v>1</v>
      </c>
      <c r="AB3782">
        <v>0</v>
      </c>
      <c r="AC3782" t="s">
        <v>115</v>
      </c>
      <c r="AD3782">
        <v>2</v>
      </c>
      <c r="AE3782" t="s">
        <v>115</v>
      </c>
      <c r="AF3782">
        <v>0</v>
      </c>
      <c r="AG3782">
        <v>0</v>
      </c>
      <c r="AH3782" t="s">
        <v>116</v>
      </c>
      <c r="AI3782" s="1">
        <v>91147</v>
      </c>
      <c r="AJ3782" s="2">
        <v>0.28999999999999998</v>
      </c>
      <c r="AK3782" s="1">
        <v>309237</v>
      </c>
      <c r="AL3782" t="s">
        <v>117</v>
      </c>
      <c r="AM3782" t="s">
        <v>191</v>
      </c>
      <c r="AN3782">
        <v>11530</v>
      </c>
      <c r="AO3782">
        <v>0.26</v>
      </c>
      <c r="AP3782">
        <v>1</v>
      </c>
      <c r="AR3782">
        <v>1</v>
      </c>
      <c r="AS3782" s="1">
        <v>21730</v>
      </c>
      <c r="AT3782" s="1">
        <v>4340</v>
      </c>
      <c r="AU3782" s="1">
        <v>17390</v>
      </c>
      <c r="AV3782">
        <v>80.03</v>
      </c>
      <c r="AX3782" s="1">
        <v>1973.9</v>
      </c>
      <c r="AY3782" t="s">
        <v>11872</v>
      </c>
      <c r="AZ3782" t="s">
        <v>7255</v>
      </c>
      <c r="BA3782" t="s">
        <v>5328</v>
      </c>
      <c r="BE3782" s="3">
        <v>42180</v>
      </c>
      <c r="BF3782" s="1">
        <v>213500</v>
      </c>
      <c r="BG3782" t="s">
        <v>24218</v>
      </c>
      <c r="BH3782" s="1">
        <v>135.99</v>
      </c>
      <c r="BI3782" s="1">
        <v>218090</v>
      </c>
      <c r="BJ3782" s="3">
        <v>42180</v>
      </c>
      <c r="BK3782" t="s">
        <v>123</v>
      </c>
      <c r="BL3782" t="str">
        <f>"2015.454280"</f>
        <v>2015.454280</v>
      </c>
      <c r="BM3782" t="s">
        <v>135</v>
      </c>
      <c r="BO3782" t="s">
        <v>24219</v>
      </c>
      <c r="BS3782">
        <v>30</v>
      </c>
      <c r="BW3782" t="str">
        <f>""</f>
        <v/>
      </c>
      <c r="CH3782" t="str">
        <f>""</f>
        <v/>
      </c>
      <c r="CS3782" t="str">
        <f>""</f>
        <v/>
      </c>
    </row>
    <row r="3783" spans="1:97" x14ac:dyDescent="0.25">
      <c r="A3783" t="s">
        <v>464</v>
      </c>
      <c r="B3783" t="s">
        <v>24220</v>
      </c>
      <c r="C3783" t="s">
        <v>24221</v>
      </c>
      <c r="D3783" t="s">
        <v>24220</v>
      </c>
      <c r="E3783" t="s">
        <v>24222</v>
      </c>
      <c r="F3783" t="s">
        <v>108</v>
      </c>
      <c r="H3783" t="s">
        <v>24223</v>
      </c>
      <c r="I3783" t="s">
        <v>5114</v>
      </c>
      <c r="J3783" t="s">
        <v>111</v>
      </c>
      <c r="K3783" t="str">
        <f>"85392"</f>
        <v>85392</v>
      </c>
      <c r="L3783" t="s">
        <v>2547</v>
      </c>
      <c r="M3783" t="s">
        <v>24223</v>
      </c>
      <c r="N3783" t="s">
        <v>5114</v>
      </c>
      <c r="O3783" t="s">
        <v>111</v>
      </c>
      <c r="P3783" t="str">
        <f>"85392-5874"</f>
        <v>85392-5874</v>
      </c>
      <c r="Q3783" t="s">
        <v>113</v>
      </c>
      <c r="R3783" t="str">
        <f>"102-29-748"</f>
        <v>102-29-748</v>
      </c>
      <c r="S3783" t="s">
        <v>5115</v>
      </c>
      <c r="T3783" t="s">
        <v>5116</v>
      </c>
      <c r="U3783">
        <v>1957</v>
      </c>
      <c r="V3783">
        <v>0</v>
      </c>
      <c r="W3783">
        <v>3</v>
      </c>
      <c r="X3783">
        <v>2001</v>
      </c>
      <c r="Z3783">
        <v>1</v>
      </c>
      <c r="AB3783">
        <v>0</v>
      </c>
      <c r="AC3783" t="s">
        <v>115</v>
      </c>
      <c r="AD3783">
        <v>2</v>
      </c>
      <c r="AE3783" t="s">
        <v>115</v>
      </c>
      <c r="AF3783">
        <v>0</v>
      </c>
      <c r="AG3783">
        <v>0</v>
      </c>
      <c r="AH3783" t="s">
        <v>116</v>
      </c>
      <c r="AI3783" s="1">
        <v>62717</v>
      </c>
      <c r="AJ3783" s="2">
        <v>0.22</v>
      </c>
      <c r="AK3783" s="1">
        <v>284812</v>
      </c>
      <c r="AL3783" t="s">
        <v>117</v>
      </c>
      <c r="AM3783" t="s">
        <v>118</v>
      </c>
      <c r="AN3783">
        <v>7241</v>
      </c>
      <c r="AO3783">
        <v>0.17</v>
      </c>
      <c r="AP3783">
        <v>1</v>
      </c>
      <c r="AR3783">
        <v>1</v>
      </c>
      <c r="AS3783" s="1">
        <v>19510</v>
      </c>
      <c r="AT3783" s="1">
        <v>3900</v>
      </c>
      <c r="AU3783" s="1">
        <v>15610</v>
      </c>
      <c r="AV3783">
        <v>80.010000000000005</v>
      </c>
      <c r="AX3783" s="1">
        <v>2030.58</v>
      </c>
      <c r="AY3783" t="s">
        <v>5117</v>
      </c>
      <c r="AZ3783" t="s">
        <v>5117</v>
      </c>
      <c r="BA3783" t="s">
        <v>5118</v>
      </c>
      <c r="BE3783" s="3">
        <v>41908</v>
      </c>
      <c r="BF3783" s="1">
        <v>215000</v>
      </c>
      <c r="BG3783" t="s">
        <v>24224</v>
      </c>
      <c r="BH3783" s="1">
        <v>109.86</v>
      </c>
      <c r="BI3783" s="1">
        <v>222095</v>
      </c>
      <c r="BJ3783" s="3">
        <v>41908</v>
      </c>
      <c r="BK3783" t="s">
        <v>123</v>
      </c>
      <c r="BL3783" t="str">
        <f>"2014.640062"</f>
        <v>2014.640062</v>
      </c>
      <c r="BM3783" t="s">
        <v>1185</v>
      </c>
      <c r="BO3783" t="s">
        <v>24225</v>
      </c>
      <c r="BS3783">
        <v>30</v>
      </c>
      <c r="BW3783" t="str">
        <f>""</f>
        <v/>
      </c>
      <c r="CH3783" t="str">
        <f>""</f>
        <v/>
      </c>
      <c r="CS3783" t="str">
        <f>""</f>
        <v/>
      </c>
    </row>
    <row r="3784" spans="1:97" x14ac:dyDescent="0.25">
      <c r="A3784" t="s">
        <v>865</v>
      </c>
      <c r="B3784" t="s">
        <v>24226</v>
      </c>
      <c r="E3784" t="s">
        <v>24227</v>
      </c>
      <c r="F3784" t="s">
        <v>139</v>
      </c>
      <c r="H3784" t="s">
        <v>24228</v>
      </c>
      <c r="I3784" t="s">
        <v>225</v>
      </c>
      <c r="J3784" t="s">
        <v>111</v>
      </c>
      <c r="K3784" t="str">
        <f>"85203"</f>
        <v>85203</v>
      </c>
      <c r="L3784" t="s">
        <v>4003</v>
      </c>
      <c r="M3784" t="s">
        <v>24229</v>
      </c>
      <c r="N3784" t="s">
        <v>225</v>
      </c>
      <c r="O3784" t="s">
        <v>111</v>
      </c>
      <c r="P3784" t="str">
        <f>"85274-1435"</f>
        <v>85274-1435</v>
      </c>
      <c r="Q3784" t="s">
        <v>113</v>
      </c>
      <c r="R3784" t="str">
        <f>"137-03-110"</f>
        <v>137-03-110</v>
      </c>
      <c r="S3784" t="s">
        <v>24230</v>
      </c>
      <c r="U3784">
        <v>1870</v>
      </c>
      <c r="V3784">
        <v>0</v>
      </c>
      <c r="W3784">
        <v>2</v>
      </c>
      <c r="X3784">
        <v>1973</v>
      </c>
      <c r="Z3784">
        <v>1</v>
      </c>
      <c r="AA3784" t="s">
        <v>26</v>
      </c>
      <c r="AB3784">
        <v>0</v>
      </c>
      <c r="AC3784" t="s">
        <v>5188</v>
      </c>
      <c r="AD3784">
        <v>2</v>
      </c>
      <c r="AE3784" t="s">
        <v>5188</v>
      </c>
      <c r="AF3784">
        <v>0</v>
      </c>
      <c r="AG3784">
        <v>0</v>
      </c>
      <c r="AH3784" t="s">
        <v>116</v>
      </c>
      <c r="AI3784" s="1">
        <v>24048</v>
      </c>
      <c r="AJ3784" s="2">
        <v>0.08</v>
      </c>
      <c r="AK3784" s="1">
        <v>312255</v>
      </c>
      <c r="AL3784" t="s">
        <v>117</v>
      </c>
      <c r="AM3784" t="s">
        <v>917</v>
      </c>
      <c r="AN3784">
        <v>9975</v>
      </c>
      <c r="AO3784">
        <v>0.23</v>
      </c>
      <c r="AP3784">
        <v>1</v>
      </c>
      <c r="AR3784">
        <v>1</v>
      </c>
      <c r="AS3784" s="1">
        <v>19730</v>
      </c>
      <c r="AT3784" s="1">
        <v>3940</v>
      </c>
      <c r="AU3784" s="1">
        <v>15790</v>
      </c>
      <c r="AV3784">
        <v>80.03</v>
      </c>
      <c r="AX3784" s="1">
        <v>1492.46</v>
      </c>
      <c r="AY3784" t="s">
        <v>7578</v>
      </c>
      <c r="AZ3784" t="s">
        <v>1523</v>
      </c>
      <c r="BA3784" t="s">
        <v>1524</v>
      </c>
      <c r="BE3784" s="3">
        <v>41955</v>
      </c>
      <c r="BF3784" s="1">
        <v>235000</v>
      </c>
      <c r="BG3784" t="s">
        <v>24231</v>
      </c>
      <c r="BH3784" s="1">
        <v>125.67</v>
      </c>
      <c r="BI3784" s="1">
        <v>288207</v>
      </c>
      <c r="BJ3784" s="3">
        <v>43355</v>
      </c>
      <c r="BK3784" t="s">
        <v>123</v>
      </c>
      <c r="BL3784" t="str">
        <f>"2018.686151"</f>
        <v>2018.686151</v>
      </c>
      <c r="BM3784" t="s">
        <v>21948</v>
      </c>
      <c r="BN3784" t="s">
        <v>21949</v>
      </c>
      <c r="BO3784" t="s">
        <v>24232</v>
      </c>
      <c r="BR3784" t="s">
        <v>139</v>
      </c>
      <c r="BW3784" t="str">
        <f>""</f>
        <v/>
      </c>
      <c r="CH3784" t="str">
        <f>""</f>
        <v/>
      </c>
      <c r="CS3784" t="str">
        <f>""</f>
        <v/>
      </c>
    </row>
    <row r="3785" spans="1:97" x14ac:dyDescent="0.25">
      <c r="A3785" t="s">
        <v>305</v>
      </c>
      <c r="B3785" t="s">
        <v>24233</v>
      </c>
      <c r="C3785" t="s">
        <v>524</v>
      </c>
      <c r="D3785" t="s">
        <v>24233</v>
      </c>
      <c r="E3785" t="s">
        <v>24234</v>
      </c>
      <c r="F3785" t="s">
        <v>108</v>
      </c>
      <c r="H3785" t="s">
        <v>24235</v>
      </c>
      <c r="I3785" t="s">
        <v>110</v>
      </c>
      <c r="J3785" t="s">
        <v>111</v>
      </c>
      <c r="K3785" t="str">
        <f>"85226"</f>
        <v>85226</v>
      </c>
      <c r="L3785" t="s">
        <v>7834</v>
      </c>
      <c r="M3785" t="s">
        <v>24235</v>
      </c>
      <c r="N3785" t="s">
        <v>110</v>
      </c>
      <c r="O3785" t="s">
        <v>111</v>
      </c>
      <c r="P3785" t="str">
        <f>"85226-4927"</f>
        <v>85226-4927</v>
      </c>
      <c r="Q3785" t="s">
        <v>113</v>
      </c>
      <c r="R3785" t="str">
        <f>"301-65-447"</f>
        <v>301-65-447</v>
      </c>
      <c r="S3785" t="s">
        <v>24236</v>
      </c>
      <c r="U3785">
        <v>1722</v>
      </c>
      <c r="V3785">
        <v>0</v>
      </c>
      <c r="W3785">
        <v>3</v>
      </c>
      <c r="X3785">
        <v>1986</v>
      </c>
      <c r="Z3785">
        <v>1</v>
      </c>
      <c r="AA3785" t="s">
        <v>26</v>
      </c>
      <c r="AB3785">
        <v>0</v>
      </c>
      <c r="AC3785" t="s">
        <v>115</v>
      </c>
      <c r="AD3785">
        <v>3</v>
      </c>
      <c r="AE3785" t="s">
        <v>115</v>
      </c>
      <c r="AF3785">
        <v>0</v>
      </c>
      <c r="AG3785">
        <v>0</v>
      </c>
      <c r="AH3785" t="s">
        <v>116</v>
      </c>
      <c r="AI3785" s="1">
        <v>98248</v>
      </c>
      <c r="AJ3785" s="2">
        <v>0.28999999999999998</v>
      </c>
      <c r="AK3785" s="1">
        <v>335236</v>
      </c>
      <c r="AL3785" t="s">
        <v>117</v>
      </c>
      <c r="AM3785" t="s">
        <v>118</v>
      </c>
      <c r="AN3785">
        <v>10097</v>
      </c>
      <c r="AO3785">
        <v>0.23</v>
      </c>
      <c r="AP3785">
        <v>1</v>
      </c>
      <c r="AR3785">
        <v>1</v>
      </c>
      <c r="AS3785" s="1">
        <v>23150</v>
      </c>
      <c r="AT3785" s="1">
        <v>4630</v>
      </c>
      <c r="AU3785" s="1">
        <v>18520</v>
      </c>
      <c r="AV3785">
        <v>80</v>
      </c>
      <c r="AX3785" s="1">
        <v>1826</v>
      </c>
      <c r="AY3785" t="s">
        <v>8225</v>
      </c>
      <c r="AZ3785" t="s">
        <v>5922</v>
      </c>
      <c r="BA3785" t="s">
        <v>5202</v>
      </c>
      <c r="BE3785" s="3">
        <v>42521</v>
      </c>
      <c r="BF3785" s="1">
        <v>237000</v>
      </c>
      <c r="BG3785" t="s">
        <v>24237</v>
      </c>
      <c r="BH3785" s="1">
        <v>137.63</v>
      </c>
      <c r="BI3785" s="1">
        <v>236988</v>
      </c>
      <c r="BJ3785" s="3">
        <v>42521</v>
      </c>
      <c r="BK3785" t="s">
        <v>123</v>
      </c>
      <c r="BL3785" t="str">
        <f>"2016.373888"</f>
        <v>2016.373888</v>
      </c>
      <c r="BM3785" t="s">
        <v>10728</v>
      </c>
      <c r="BO3785" t="s">
        <v>24238</v>
      </c>
      <c r="BS3785">
        <v>30</v>
      </c>
      <c r="BW3785" t="str">
        <f>""</f>
        <v/>
      </c>
      <c r="CH3785" t="str">
        <f>""</f>
        <v/>
      </c>
      <c r="CS3785" t="str">
        <f>""</f>
        <v/>
      </c>
    </row>
    <row r="3786" spans="1:97" x14ac:dyDescent="0.25">
      <c r="A3786" t="s">
        <v>1979</v>
      </c>
      <c r="B3786" t="s">
        <v>24239</v>
      </c>
      <c r="C3786" t="s">
        <v>2184</v>
      </c>
      <c r="D3786" t="s">
        <v>24239</v>
      </c>
      <c r="E3786" t="s">
        <v>24240</v>
      </c>
      <c r="F3786" t="s">
        <v>108</v>
      </c>
      <c r="H3786" t="s">
        <v>24241</v>
      </c>
      <c r="I3786" t="s">
        <v>632</v>
      </c>
      <c r="J3786" t="s">
        <v>111</v>
      </c>
      <c r="K3786" t="str">
        <f>"85379"</f>
        <v>85379</v>
      </c>
      <c r="L3786" t="s">
        <v>454</v>
      </c>
      <c r="M3786" t="s">
        <v>24241</v>
      </c>
      <c r="N3786" t="s">
        <v>632</v>
      </c>
      <c r="O3786" t="s">
        <v>111</v>
      </c>
      <c r="P3786" t="str">
        <f>"85379-1015"</f>
        <v>85379-1015</v>
      </c>
      <c r="Q3786" t="s">
        <v>113</v>
      </c>
      <c r="R3786" t="str">
        <f>"501-46-520"</f>
        <v>501-46-520</v>
      </c>
      <c r="S3786" t="s">
        <v>5319</v>
      </c>
      <c r="U3786">
        <v>2020</v>
      </c>
      <c r="V3786">
        <v>0</v>
      </c>
      <c r="W3786">
        <v>4</v>
      </c>
      <c r="X3786">
        <v>2015</v>
      </c>
      <c r="Z3786">
        <v>1</v>
      </c>
      <c r="AB3786">
        <v>0</v>
      </c>
      <c r="AC3786" t="s">
        <v>115</v>
      </c>
      <c r="AD3786">
        <v>2</v>
      </c>
      <c r="AE3786" t="s">
        <v>115</v>
      </c>
      <c r="AF3786">
        <v>0</v>
      </c>
      <c r="AG3786">
        <v>0</v>
      </c>
      <c r="AH3786" t="s">
        <v>116</v>
      </c>
      <c r="AI3786" s="1">
        <v>41488</v>
      </c>
      <c r="AJ3786" s="2">
        <v>0.14000000000000001</v>
      </c>
      <c r="AK3786" s="1">
        <v>302067</v>
      </c>
      <c r="AL3786" t="s">
        <v>117</v>
      </c>
      <c r="AM3786" t="s">
        <v>118</v>
      </c>
      <c r="AN3786">
        <v>7197</v>
      </c>
      <c r="AO3786">
        <v>0.16</v>
      </c>
      <c r="AR3786">
        <v>1</v>
      </c>
      <c r="AS3786" s="1">
        <v>21510</v>
      </c>
      <c r="AT3786" s="1">
        <v>4300</v>
      </c>
      <c r="AU3786" s="1">
        <v>17210</v>
      </c>
      <c r="AV3786">
        <v>80.010000000000005</v>
      </c>
      <c r="AX3786" s="1">
        <v>1796.84</v>
      </c>
      <c r="AY3786" t="s">
        <v>5060</v>
      </c>
      <c r="AZ3786" t="s">
        <v>5060</v>
      </c>
      <c r="BA3786" t="s">
        <v>5061</v>
      </c>
      <c r="BE3786" s="3">
        <v>42338</v>
      </c>
      <c r="BF3786" s="1">
        <v>252255</v>
      </c>
      <c r="BG3786" t="s">
        <v>158</v>
      </c>
      <c r="BH3786" s="1">
        <v>124.88</v>
      </c>
      <c r="BI3786" s="1">
        <v>260579</v>
      </c>
      <c r="BJ3786" s="3">
        <v>42338</v>
      </c>
      <c r="BK3786" t="s">
        <v>123</v>
      </c>
      <c r="BL3786" t="str">
        <f>"2015.847980"</f>
        <v>2015.847980</v>
      </c>
      <c r="BM3786" t="s">
        <v>820</v>
      </c>
      <c r="BO3786" t="s">
        <v>24242</v>
      </c>
      <c r="BS3786">
        <v>30</v>
      </c>
      <c r="BW3786" t="str">
        <f>""</f>
        <v/>
      </c>
      <c r="CH3786" t="str">
        <f>""</f>
        <v/>
      </c>
      <c r="CS3786" t="str">
        <f>""</f>
        <v/>
      </c>
    </row>
    <row r="3787" spans="1:97" x14ac:dyDescent="0.25">
      <c r="A3787" t="s">
        <v>370</v>
      </c>
      <c r="B3787" t="s">
        <v>24243</v>
      </c>
      <c r="C3787" t="s">
        <v>15361</v>
      </c>
      <c r="D3787" t="s">
        <v>24243</v>
      </c>
      <c r="E3787" t="s">
        <v>24244</v>
      </c>
      <c r="F3787" t="s">
        <v>282</v>
      </c>
      <c r="H3787" t="s">
        <v>24245</v>
      </c>
      <c r="I3787" t="s">
        <v>225</v>
      </c>
      <c r="J3787" t="s">
        <v>111</v>
      </c>
      <c r="K3787" t="str">
        <f>"85206"</f>
        <v>85206</v>
      </c>
      <c r="L3787" t="s">
        <v>2963</v>
      </c>
      <c r="M3787" t="s">
        <v>24246</v>
      </c>
      <c r="N3787" t="s">
        <v>225</v>
      </c>
      <c r="O3787" t="s">
        <v>111</v>
      </c>
      <c r="P3787" t="str">
        <f>"85206-3155"</f>
        <v>85206-3155</v>
      </c>
      <c r="Q3787" t="s">
        <v>113</v>
      </c>
      <c r="R3787" t="str">
        <f>"141-83-546"</f>
        <v>141-83-546</v>
      </c>
      <c r="S3787" t="s">
        <v>24247</v>
      </c>
      <c r="U3787">
        <v>1995</v>
      </c>
      <c r="V3787">
        <v>0</v>
      </c>
      <c r="W3787">
        <v>3</v>
      </c>
      <c r="X3787">
        <v>1987</v>
      </c>
      <c r="Z3787">
        <v>1</v>
      </c>
      <c r="AB3787">
        <v>0</v>
      </c>
      <c r="AC3787" t="s">
        <v>115</v>
      </c>
      <c r="AD3787">
        <v>2</v>
      </c>
      <c r="AE3787" t="s">
        <v>115</v>
      </c>
      <c r="AF3787">
        <v>0</v>
      </c>
      <c r="AG3787">
        <v>0</v>
      </c>
      <c r="AH3787" t="s">
        <v>116</v>
      </c>
      <c r="AI3787" s="1">
        <v>92227</v>
      </c>
      <c r="AJ3787" s="2">
        <v>0.3</v>
      </c>
      <c r="AK3787" s="1">
        <v>310227</v>
      </c>
      <c r="AL3787" t="s">
        <v>117</v>
      </c>
      <c r="AM3787" t="s">
        <v>191</v>
      </c>
      <c r="AN3787">
        <v>9112</v>
      </c>
      <c r="AO3787">
        <v>0.21</v>
      </c>
      <c r="AP3787">
        <v>1</v>
      </c>
      <c r="AR3787">
        <v>1</v>
      </c>
      <c r="AS3787" s="1">
        <v>20170</v>
      </c>
      <c r="AT3787" s="1">
        <v>4030</v>
      </c>
      <c r="AU3787" s="1">
        <v>16140</v>
      </c>
      <c r="AV3787">
        <v>80.02</v>
      </c>
      <c r="AX3787" s="1">
        <v>2208.4</v>
      </c>
      <c r="AY3787" t="s">
        <v>230</v>
      </c>
      <c r="AZ3787" t="s">
        <v>231</v>
      </c>
      <c r="BA3787" t="s">
        <v>232</v>
      </c>
      <c r="BE3787" s="3">
        <v>41726</v>
      </c>
      <c r="BF3787" s="1">
        <v>275000</v>
      </c>
      <c r="BG3787" t="s">
        <v>24248</v>
      </c>
      <c r="BH3787" s="1">
        <v>137.84</v>
      </c>
      <c r="BI3787" s="1">
        <v>218000</v>
      </c>
      <c r="BJ3787" s="3">
        <v>41726</v>
      </c>
      <c r="BK3787" t="s">
        <v>123</v>
      </c>
      <c r="BL3787" t="str">
        <f>"2014.197151"</f>
        <v>2014.197151</v>
      </c>
      <c r="BM3787" t="s">
        <v>724</v>
      </c>
      <c r="BO3787" t="s">
        <v>24249</v>
      </c>
      <c r="BS3787">
        <v>15</v>
      </c>
      <c r="BW3787" t="str">
        <f>""</f>
        <v/>
      </c>
      <c r="CH3787" t="str">
        <f>""</f>
        <v/>
      </c>
      <c r="CS3787" t="str">
        <f>""</f>
        <v/>
      </c>
    </row>
    <row r="3788" spans="1:97" x14ac:dyDescent="0.25">
      <c r="A3788" t="s">
        <v>894</v>
      </c>
      <c r="B3788" t="s">
        <v>24250</v>
      </c>
      <c r="C3788" t="s">
        <v>5375</v>
      </c>
      <c r="D3788" t="s">
        <v>24250</v>
      </c>
      <c r="E3788" t="s">
        <v>24251</v>
      </c>
      <c r="F3788" t="s">
        <v>108</v>
      </c>
      <c r="H3788" t="s">
        <v>24252</v>
      </c>
      <c r="I3788" t="s">
        <v>390</v>
      </c>
      <c r="J3788" t="s">
        <v>111</v>
      </c>
      <c r="K3788" t="str">
        <f>"85048"</f>
        <v>85048</v>
      </c>
      <c r="L3788" t="s">
        <v>5209</v>
      </c>
      <c r="M3788" t="s">
        <v>24252</v>
      </c>
      <c r="N3788" t="s">
        <v>390</v>
      </c>
      <c r="O3788" t="s">
        <v>111</v>
      </c>
      <c r="P3788" t="str">
        <f>"85048-7485"</f>
        <v>85048-7485</v>
      </c>
      <c r="Q3788" t="s">
        <v>113</v>
      </c>
      <c r="R3788" t="str">
        <f>"301-69-281"</f>
        <v>301-69-281</v>
      </c>
      <c r="S3788" t="s">
        <v>10128</v>
      </c>
      <c r="T3788" t="s">
        <v>10129</v>
      </c>
      <c r="U3788">
        <v>2303</v>
      </c>
      <c r="V3788">
        <v>0</v>
      </c>
      <c r="W3788">
        <v>3</v>
      </c>
      <c r="X3788">
        <v>1989</v>
      </c>
      <c r="Z3788">
        <v>2</v>
      </c>
      <c r="AA3788" t="s">
        <v>26</v>
      </c>
      <c r="AB3788">
        <v>0</v>
      </c>
      <c r="AC3788" t="s">
        <v>115</v>
      </c>
      <c r="AD3788">
        <v>2</v>
      </c>
      <c r="AE3788" t="s">
        <v>115</v>
      </c>
      <c r="AF3788">
        <v>0</v>
      </c>
      <c r="AG3788">
        <v>0</v>
      </c>
      <c r="AH3788" t="s">
        <v>116</v>
      </c>
      <c r="AI3788" s="1">
        <v>80958</v>
      </c>
      <c r="AJ3788" s="2">
        <v>0.23</v>
      </c>
      <c r="AK3788" s="1">
        <v>354878</v>
      </c>
      <c r="AL3788" t="s">
        <v>117</v>
      </c>
      <c r="AM3788" t="s">
        <v>191</v>
      </c>
      <c r="AN3788">
        <v>7192</v>
      </c>
      <c r="AO3788">
        <v>0.16</v>
      </c>
      <c r="AP3788">
        <v>1</v>
      </c>
      <c r="AR3788">
        <v>1</v>
      </c>
      <c r="AS3788" s="1">
        <v>25230</v>
      </c>
      <c r="AT3788" s="1">
        <v>5040</v>
      </c>
      <c r="AU3788" s="1">
        <v>20190</v>
      </c>
      <c r="AV3788">
        <v>80.02</v>
      </c>
      <c r="AX3788" s="1">
        <v>2238.38</v>
      </c>
      <c r="AY3788" t="s">
        <v>6633</v>
      </c>
      <c r="AZ3788" t="s">
        <v>929</v>
      </c>
      <c r="BA3788" t="s">
        <v>930</v>
      </c>
      <c r="BE3788" s="3">
        <v>41866</v>
      </c>
      <c r="BF3788" s="1">
        <v>267500</v>
      </c>
      <c r="BG3788" t="s">
        <v>24253</v>
      </c>
      <c r="BH3788" s="1">
        <v>116.15</v>
      </c>
      <c r="BI3788" s="1">
        <v>273920</v>
      </c>
      <c r="BJ3788" s="3">
        <v>41866</v>
      </c>
      <c r="BK3788" t="s">
        <v>123</v>
      </c>
      <c r="BL3788" t="str">
        <f>"2014.539449"</f>
        <v>2014.539449</v>
      </c>
      <c r="BM3788" t="s">
        <v>15763</v>
      </c>
      <c r="BO3788" t="s">
        <v>24254</v>
      </c>
      <c r="BS3788">
        <v>30</v>
      </c>
      <c r="BW3788" t="str">
        <f>""</f>
        <v/>
      </c>
      <c r="CH3788" t="str">
        <f>""</f>
        <v/>
      </c>
      <c r="CS3788" t="str">
        <f>""</f>
        <v/>
      </c>
    </row>
    <row r="3789" spans="1:97" x14ac:dyDescent="0.25">
      <c r="A3789" t="s">
        <v>815</v>
      </c>
      <c r="B3789" t="s">
        <v>24255</v>
      </c>
      <c r="C3789" t="s">
        <v>20843</v>
      </c>
      <c r="D3789" t="s">
        <v>24255</v>
      </c>
      <c r="E3789" t="s">
        <v>24256</v>
      </c>
      <c r="F3789" t="s">
        <v>108</v>
      </c>
      <c r="H3789" t="s">
        <v>24257</v>
      </c>
      <c r="I3789" t="s">
        <v>453</v>
      </c>
      <c r="J3789" t="s">
        <v>111</v>
      </c>
      <c r="K3789" t="str">
        <f>"85345"</f>
        <v>85345</v>
      </c>
      <c r="L3789" t="s">
        <v>6145</v>
      </c>
      <c r="M3789" t="s">
        <v>24257</v>
      </c>
      <c r="N3789" t="s">
        <v>453</v>
      </c>
      <c r="O3789" t="s">
        <v>111</v>
      </c>
      <c r="P3789" t="str">
        <f>"85345-1006"</f>
        <v>85345-1006</v>
      </c>
      <c r="Q3789" t="s">
        <v>113</v>
      </c>
      <c r="R3789" t="str">
        <f>"142-11-239-A"</f>
        <v>142-11-239-A</v>
      </c>
      <c r="S3789" t="s">
        <v>13591</v>
      </c>
      <c r="T3789" t="s">
        <v>13592</v>
      </c>
      <c r="U3789">
        <v>2107</v>
      </c>
      <c r="V3789">
        <v>0</v>
      </c>
      <c r="W3789">
        <v>3</v>
      </c>
      <c r="X3789">
        <v>1993</v>
      </c>
      <c r="Z3789">
        <v>1</v>
      </c>
      <c r="AA3789" t="s">
        <v>26</v>
      </c>
      <c r="AB3789">
        <v>0</v>
      </c>
      <c r="AC3789" t="s">
        <v>115</v>
      </c>
      <c r="AD3789">
        <v>3</v>
      </c>
      <c r="AE3789" t="s">
        <v>115</v>
      </c>
      <c r="AF3789">
        <v>0</v>
      </c>
      <c r="AG3789">
        <v>0</v>
      </c>
      <c r="AH3789" t="s">
        <v>116</v>
      </c>
      <c r="AI3789" s="1">
        <v>72709</v>
      </c>
      <c r="AJ3789" s="2">
        <v>0.24</v>
      </c>
      <c r="AK3789" s="1">
        <v>303623</v>
      </c>
      <c r="AL3789" t="s">
        <v>117</v>
      </c>
      <c r="AM3789" t="s">
        <v>171</v>
      </c>
      <c r="AN3789">
        <v>9464</v>
      </c>
      <c r="AO3789">
        <v>0.22</v>
      </c>
      <c r="AP3789">
        <v>1</v>
      </c>
      <c r="AR3789">
        <v>1</v>
      </c>
      <c r="AS3789" s="1">
        <v>21300</v>
      </c>
      <c r="AT3789" s="1">
        <v>4260</v>
      </c>
      <c r="AU3789" s="1">
        <v>17040</v>
      </c>
      <c r="AV3789">
        <v>80</v>
      </c>
      <c r="AX3789" s="1">
        <v>1664.4</v>
      </c>
      <c r="AY3789" t="s">
        <v>7077</v>
      </c>
      <c r="AZ3789" t="s">
        <v>7077</v>
      </c>
      <c r="BA3789" t="s">
        <v>4007</v>
      </c>
      <c r="BE3789" s="3">
        <v>41656</v>
      </c>
      <c r="BF3789" s="1">
        <v>206500</v>
      </c>
      <c r="BG3789" t="s">
        <v>24258</v>
      </c>
      <c r="BH3789" s="1">
        <v>98.01</v>
      </c>
      <c r="BI3789" s="1">
        <v>213314</v>
      </c>
      <c r="BJ3789" s="3">
        <v>41656</v>
      </c>
      <c r="BK3789" t="s">
        <v>123</v>
      </c>
      <c r="BL3789" t="str">
        <f>"2014.37367"</f>
        <v>2014.37367</v>
      </c>
      <c r="BM3789" t="s">
        <v>11327</v>
      </c>
      <c r="BN3789" t="s">
        <v>18423</v>
      </c>
      <c r="BO3789" t="s">
        <v>24259</v>
      </c>
      <c r="BS3789">
        <v>30</v>
      </c>
      <c r="BT3789" s="1">
        <v>17600</v>
      </c>
      <c r="BU3789" s="3">
        <v>43108</v>
      </c>
      <c r="BW3789" t="str">
        <f>"2018.15020"</f>
        <v>2018.15020</v>
      </c>
      <c r="BX3789" t="s">
        <v>8006</v>
      </c>
      <c r="BY3789" t="s">
        <v>8007</v>
      </c>
      <c r="BZ3789" t="s">
        <v>24260</v>
      </c>
      <c r="CA3789" t="s">
        <v>24261</v>
      </c>
      <c r="CC3789" t="s">
        <v>346</v>
      </c>
      <c r="CH3789" t="str">
        <f>""</f>
        <v/>
      </c>
      <c r="CS3789" t="str">
        <f>""</f>
        <v/>
      </c>
    </row>
    <row r="3790" spans="1:97" x14ac:dyDescent="0.25">
      <c r="A3790" t="s">
        <v>2557</v>
      </c>
      <c r="B3790" t="s">
        <v>24262</v>
      </c>
      <c r="E3790" t="s">
        <v>24263</v>
      </c>
      <c r="F3790" t="s">
        <v>108</v>
      </c>
      <c r="H3790" t="s">
        <v>24264</v>
      </c>
      <c r="I3790" t="s">
        <v>225</v>
      </c>
      <c r="J3790" t="s">
        <v>111</v>
      </c>
      <c r="K3790" t="str">
        <f>"85205"</f>
        <v>85205</v>
      </c>
      <c r="L3790" t="s">
        <v>24265</v>
      </c>
      <c r="M3790" t="s">
        <v>24264</v>
      </c>
      <c r="N3790" t="s">
        <v>225</v>
      </c>
      <c r="O3790" t="s">
        <v>111</v>
      </c>
      <c r="P3790" t="str">
        <f>"85205-4142"</f>
        <v>85205-4142</v>
      </c>
      <c r="Q3790" t="s">
        <v>113</v>
      </c>
      <c r="R3790" t="str">
        <f>"141-34-230"</f>
        <v>141-34-230</v>
      </c>
      <c r="S3790" t="s">
        <v>24266</v>
      </c>
      <c r="T3790" t="s">
        <v>24267</v>
      </c>
      <c r="U3790">
        <v>1891</v>
      </c>
      <c r="V3790">
        <v>0</v>
      </c>
      <c r="W3790">
        <v>4</v>
      </c>
      <c r="X3790">
        <v>1987</v>
      </c>
      <c r="Z3790">
        <v>2</v>
      </c>
      <c r="AA3790" t="s">
        <v>26</v>
      </c>
      <c r="AB3790">
        <v>0</v>
      </c>
      <c r="AC3790" t="s">
        <v>115</v>
      </c>
      <c r="AD3790">
        <v>3</v>
      </c>
      <c r="AE3790" t="s">
        <v>115</v>
      </c>
      <c r="AF3790">
        <v>0</v>
      </c>
      <c r="AG3790">
        <v>0</v>
      </c>
      <c r="AH3790" t="s">
        <v>116</v>
      </c>
      <c r="AI3790" s="1">
        <v>58702</v>
      </c>
      <c r="AJ3790" s="2">
        <v>0.19</v>
      </c>
      <c r="AK3790" s="1">
        <v>312702</v>
      </c>
      <c r="AL3790" t="s">
        <v>117</v>
      </c>
      <c r="AM3790" t="s">
        <v>393</v>
      </c>
      <c r="AN3790">
        <v>7096</v>
      </c>
      <c r="AO3790">
        <v>0.16</v>
      </c>
      <c r="AP3790">
        <v>1</v>
      </c>
      <c r="AR3790">
        <v>1</v>
      </c>
      <c r="AS3790" s="1">
        <v>21370</v>
      </c>
      <c r="AT3790" s="1">
        <v>4270</v>
      </c>
      <c r="AU3790" s="1">
        <v>17100</v>
      </c>
      <c r="AV3790">
        <v>80.02</v>
      </c>
      <c r="AX3790" s="1">
        <v>1574.06</v>
      </c>
      <c r="AY3790" t="s">
        <v>6044</v>
      </c>
      <c r="AZ3790" t="s">
        <v>5275</v>
      </c>
      <c r="BA3790" t="s">
        <v>3119</v>
      </c>
      <c r="BE3790" s="3">
        <v>42046</v>
      </c>
      <c r="BF3790" s="1">
        <v>229900</v>
      </c>
      <c r="BG3790" t="s">
        <v>24268</v>
      </c>
      <c r="BH3790" s="1">
        <v>121.58</v>
      </c>
      <c r="BI3790" s="1">
        <v>254000</v>
      </c>
      <c r="BJ3790" s="3">
        <v>42660</v>
      </c>
      <c r="BK3790" t="s">
        <v>123</v>
      </c>
      <c r="BL3790" t="str">
        <f>"2016.757588"</f>
        <v>2016.757588</v>
      </c>
      <c r="BM3790" t="s">
        <v>9100</v>
      </c>
      <c r="BO3790" t="s">
        <v>24269</v>
      </c>
      <c r="BS3790">
        <v>30</v>
      </c>
      <c r="BW3790" t="str">
        <f>""</f>
        <v/>
      </c>
      <c r="CH3790" t="str">
        <f>""</f>
        <v/>
      </c>
      <c r="CS3790" t="str">
        <f>""</f>
        <v/>
      </c>
    </row>
    <row r="3791" spans="1:97" x14ac:dyDescent="0.25">
      <c r="A3791" t="s">
        <v>4179</v>
      </c>
      <c r="B3791" t="s">
        <v>24270</v>
      </c>
      <c r="C3791" t="s">
        <v>24271</v>
      </c>
      <c r="D3791" t="s">
        <v>24270</v>
      </c>
      <c r="E3791" t="s">
        <v>24272</v>
      </c>
      <c r="F3791" t="s">
        <v>108</v>
      </c>
      <c r="H3791" t="s">
        <v>24273</v>
      </c>
      <c r="I3791" t="s">
        <v>390</v>
      </c>
      <c r="J3791" t="s">
        <v>111</v>
      </c>
      <c r="K3791" t="str">
        <f>"85018"</f>
        <v>85018</v>
      </c>
      <c r="L3791" t="s">
        <v>7626</v>
      </c>
      <c r="M3791" t="s">
        <v>24273</v>
      </c>
      <c r="N3791" t="s">
        <v>390</v>
      </c>
      <c r="O3791" t="s">
        <v>111</v>
      </c>
      <c r="P3791" t="str">
        <f>"85018-5707"</f>
        <v>85018-5707</v>
      </c>
      <c r="Q3791" t="s">
        <v>113</v>
      </c>
      <c r="R3791" t="str">
        <f>"127-33-008"</f>
        <v>127-33-008</v>
      </c>
      <c r="S3791" t="s">
        <v>24274</v>
      </c>
      <c r="T3791" t="s">
        <v>24274</v>
      </c>
      <c r="U3791">
        <v>2044</v>
      </c>
      <c r="V3791">
        <v>0</v>
      </c>
      <c r="W3791">
        <v>2</v>
      </c>
      <c r="X3791">
        <v>1956</v>
      </c>
      <c r="Z3791">
        <v>1</v>
      </c>
      <c r="AB3791">
        <v>0</v>
      </c>
      <c r="AC3791" t="s">
        <v>115</v>
      </c>
      <c r="AD3791">
        <v>1</v>
      </c>
      <c r="AE3791" t="s">
        <v>115</v>
      </c>
      <c r="AF3791">
        <v>0</v>
      </c>
      <c r="AG3791">
        <v>0</v>
      </c>
      <c r="AH3791" t="s">
        <v>116</v>
      </c>
      <c r="AI3791" s="1">
        <v>102319</v>
      </c>
      <c r="AJ3791" s="2">
        <v>0.2</v>
      </c>
      <c r="AK3791" s="1">
        <v>512819</v>
      </c>
      <c r="AL3791" t="s">
        <v>117</v>
      </c>
      <c r="AM3791" t="s">
        <v>1302</v>
      </c>
      <c r="AN3791">
        <v>16518</v>
      </c>
      <c r="AO3791">
        <v>0.38</v>
      </c>
      <c r="AP3791">
        <v>1</v>
      </c>
      <c r="AR3791">
        <v>1</v>
      </c>
      <c r="AS3791" s="1">
        <v>34030</v>
      </c>
      <c r="AT3791" s="1">
        <v>6800</v>
      </c>
      <c r="AU3791" s="1">
        <v>27230</v>
      </c>
      <c r="AV3791">
        <v>80.02</v>
      </c>
      <c r="AX3791" s="1">
        <v>4622.72</v>
      </c>
      <c r="AY3791" t="s">
        <v>24275</v>
      </c>
      <c r="AZ3791" t="s">
        <v>24275</v>
      </c>
      <c r="BA3791" t="s">
        <v>6255</v>
      </c>
      <c r="BE3791" s="3">
        <v>42181</v>
      </c>
      <c r="BF3791" s="1">
        <v>465000</v>
      </c>
      <c r="BG3791" t="s">
        <v>24276</v>
      </c>
      <c r="BH3791" s="1">
        <v>227.5</v>
      </c>
      <c r="BI3791" s="1">
        <v>410500</v>
      </c>
      <c r="BJ3791" s="3">
        <v>42639</v>
      </c>
      <c r="BK3791" t="s">
        <v>123</v>
      </c>
      <c r="BL3791" t="str">
        <f>"2016.697752"</f>
        <v>2016.697752</v>
      </c>
      <c r="BM3791" t="s">
        <v>124</v>
      </c>
      <c r="BO3791" t="s">
        <v>24277</v>
      </c>
      <c r="BS3791">
        <v>30</v>
      </c>
      <c r="BW3791" t="str">
        <f>""</f>
        <v/>
      </c>
      <c r="CH3791" t="str">
        <f>""</f>
        <v/>
      </c>
      <c r="CS3791" t="str">
        <f>""</f>
        <v/>
      </c>
    </row>
    <row r="3792" spans="1:97" x14ac:dyDescent="0.25">
      <c r="A3792" t="s">
        <v>13079</v>
      </c>
      <c r="B3792" t="s">
        <v>24278</v>
      </c>
      <c r="E3792" t="s">
        <v>24279</v>
      </c>
      <c r="F3792" t="s">
        <v>108</v>
      </c>
      <c r="H3792" t="s">
        <v>24280</v>
      </c>
      <c r="I3792" t="s">
        <v>2874</v>
      </c>
      <c r="J3792" t="s">
        <v>111</v>
      </c>
      <c r="K3792" t="str">
        <f>"85303"</f>
        <v>85303</v>
      </c>
      <c r="L3792" t="s">
        <v>6691</v>
      </c>
      <c r="M3792" t="s">
        <v>24280</v>
      </c>
      <c r="N3792" t="s">
        <v>2874</v>
      </c>
      <c r="O3792" t="s">
        <v>111</v>
      </c>
      <c r="P3792" t="str">
        <f>"85303-3410"</f>
        <v>85303-3410</v>
      </c>
      <c r="Q3792" t="s">
        <v>113</v>
      </c>
      <c r="R3792" t="str">
        <f>"102-06-260"</f>
        <v>102-06-260</v>
      </c>
      <c r="S3792" t="s">
        <v>24281</v>
      </c>
      <c r="T3792" t="s">
        <v>6693</v>
      </c>
      <c r="U3792">
        <v>1816</v>
      </c>
      <c r="V3792">
        <v>0</v>
      </c>
      <c r="W3792">
        <v>3</v>
      </c>
      <c r="X3792">
        <v>1993</v>
      </c>
      <c r="Z3792">
        <v>1</v>
      </c>
      <c r="AA3792" t="s">
        <v>26</v>
      </c>
      <c r="AB3792">
        <v>0</v>
      </c>
      <c r="AC3792" t="s">
        <v>115</v>
      </c>
      <c r="AD3792">
        <v>2</v>
      </c>
      <c r="AE3792" t="s">
        <v>115</v>
      </c>
      <c r="AF3792">
        <v>0</v>
      </c>
      <c r="AG3792">
        <v>0</v>
      </c>
      <c r="AH3792" t="s">
        <v>116</v>
      </c>
      <c r="AI3792" s="1">
        <v>57300</v>
      </c>
      <c r="AJ3792" s="2">
        <v>0.21</v>
      </c>
      <c r="AK3792" s="1">
        <v>267847</v>
      </c>
      <c r="AL3792" t="s">
        <v>117</v>
      </c>
      <c r="AM3792" t="s">
        <v>191</v>
      </c>
      <c r="AN3792">
        <v>7610</v>
      </c>
      <c r="AO3792">
        <v>0.18</v>
      </c>
      <c r="AP3792">
        <v>1</v>
      </c>
      <c r="AR3792">
        <v>1</v>
      </c>
      <c r="AS3792" s="1">
        <v>17560</v>
      </c>
      <c r="AT3792" s="1">
        <v>3510</v>
      </c>
      <c r="AU3792" s="1">
        <v>14050</v>
      </c>
      <c r="AV3792">
        <v>80.010000000000005</v>
      </c>
      <c r="AX3792" s="1">
        <v>1544.02</v>
      </c>
      <c r="AY3792" t="s">
        <v>2877</v>
      </c>
      <c r="AZ3792" t="s">
        <v>2877</v>
      </c>
      <c r="BA3792" t="s">
        <v>2878</v>
      </c>
      <c r="BE3792" s="3">
        <v>41759</v>
      </c>
      <c r="BF3792" s="1">
        <v>207500</v>
      </c>
      <c r="BG3792" t="s">
        <v>24282</v>
      </c>
      <c r="BH3792" s="1">
        <v>114.26</v>
      </c>
      <c r="BI3792" s="1">
        <v>210547</v>
      </c>
      <c r="BJ3792" s="3">
        <v>42654</v>
      </c>
      <c r="BK3792" t="s">
        <v>123</v>
      </c>
      <c r="BL3792" t="str">
        <f>"2016.744470"</f>
        <v>2016.744470</v>
      </c>
      <c r="BM3792" t="s">
        <v>1998</v>
      </c>
      <c r="BO3792" t="s">
        <v>24283</v>
      </c>
      <c r="BS3792">
        <v>30</v>
      </c>
      <c r="BW3792" t="str">
        <f>""</f>
        <v/>
      </c>
      <c r="CH3792" t="str">
        <f>""</f>
        <v/>
      </c>
      <c r="CS3792" t="str">
        <f>""</f>
        <v/>
      </c>
    </row>
    <row r="3793" spans="1:97" x14ac:dyDescent="0.25">
      <c r="A3793" t="s">
        <v>24284</v>
      </c>
      <c r="B3793" t="s">
        <v>24285</v>
      </c>
      <c r="C3793" t="s">
        <v>24286</v>
      </c>
      <c r="D3793" t="s">
        <v>24287</v>
      </c>
      <c r="E3793" t="s">
        <v>24288</v>
      </c>
      <c r="F3793" t="s">
        <v>108</v>
      </c>
      <c r="H3793" t="s">
        <v>24289</v>
      </c>
      <c r="I3793" t="s">
        <v>4251</v>
      </c>
      <c r="J3793" t="s">
        <v>111</v>
      </c>
      <c r="K3793" t="str">
        <f>"85353"</f>
        <v>85353</v>
      </c>
      <c r="L3793" t="s">
        <v>1789</v>
      </c>
      <c r="M3793" t="s">
        <v>24289</v>
      </c>
      <c r="N3793" t="s">
        <v>4251</v>
      </c>
      <c r="O3793" t="s">
        <v>111</v>
      </c>
      <c r="P3793" t="str">
        <f>"85353-8318"</f>
        <v>85353-8318</v>
      </c>
      <c r="Q3793" t="s">
        <v>113</v>
      </c>
      <c r="R3793" t="str">
        <f>"101-25-537"</f>
        <v>101-25-537</v>
      </c>
      <c r="S3793" t="s">
        <v>24290</v>
      </c>
      <c r="T3793" t="s">
        <v>24291</v>
      </c>
      <c r="U3793">
        <v>2874</v>
      </c>
      <c r="V3793">
        <v>0</v>
      </c>
      <c r="W3793">
        <v>4</v>
      </c>
      <c r="X3793">
        <v>2005</v>
      </c>
      <c r="Z3793">
        <v>2</v>
      </c>
      <c r="AB3793">
        <v>0</v>
      </c>
      <c r="AC3793" t="s">
        <v>115</v>
      </c>
      <c r="AD3793">
        <v>2</v>
      </c>
      <c r="AE3793" t="s">
        <v>115</v>
      </c>
      <c r="AF3793">
        <v>0</v>
      </c>
      <c r="AG3793">
        <v>0</v>
      </c>
      <c r="AH3793" t="s">
        <v>116</v>
      </c>
      <c r="AI3793" s="1">
        <v>61018</v>
      </c>
      <c r="AJ3793" s="2">
        <v>0.22</v>
      </c>
      <c r="AK3793" s="1">
        <v>275363</v>
      </c>
      <c r="AL3793" t="s">
        <v>117</v>
      </c>
      <c r="AM3793" t="s">
        <v>191</v>
      </c>
      <c r="AN3793">
        <v>7757</v>
      </c>
      <c r="AO3793">
        <v>0.18</v>
      </c>
      <c r="AR3793">
        <v>1</v>
      </c>
      <c r="AS3793" s="1">
        <v>19220</v>
      </c>
      <c r="AT3793" s="1">
        <v>3840</v>
      </c>
      <c r="AU3793" s="1">
        <v>15380</v>
      </c>
      <c r="AV3793">
        <v>80.02</v>
      </c>
      <c r="AX3793" s="1">
        <v>1814.34</v>
      </c>
      <c r="AY3793" t="s">
        <v>5150</v>
      </c>
      <c r="AZ3793" t="s">
        <v>5150</v>
      </c>
      <c r="BA3793" t="s">
        <v>4254</v>
      </c>
      <c r="BE3793" s="3">
        <v>42194</v>
      </c>
      <c r="BF3793" s="1">
        <v>198000</v>
      </c>
      <c r="BG3793" t="s">
        <v>24292</v>
      </c>
      <c r="BH3793" s="1">
        <v>68.89</v>
      </c>
      <c r="BI3793" s="1">
        <v>214345</v>
      </c>
      <c r="BJ3793" s="3">
        <v>42627</v>
      </c>
      <c r="BK3793" t="s">
        <v>123</v>
      </c>
      <c r="BL3793" t="str">
        <f>"2016.667660"</f>
        <v>2016.667660</v>
      </c>
      <c r="BM3793" t="s">
        <v>9996</v>
      </c>
      <c r="BO3793" t="s">
        <v>24293</v>
      </c>
      <c r="BP3793" t="s">
        <v>24294</v>
      </c>
      <c r="BS3793">
        <v>30</v>
      </c>
      <c r="BW3793" t="str">
        <f>""</f>
        <v/>
      </c>
      <c r="CH3793" t="str">
        <f>""</f>
        <v/>
      </c>
      <c r="CS3793" t="str">
        <f>""</f>
        <v/>
      </c>
    </row>
    <row r="3794" spans="1:97" x14ac:dyDescent="0.25">
      <c r="A3794" t="s">
        <v>370</v>
      </c>
      <c r="B3794" t="s">
        <v>10644</v>
      </c>
      <c r="C3794" t="s">
        <v>1959</v>
      </c>
      <c r="D3794" t="s">
        <v>10644</v>
      </c>
      <c r="E3794" t="s">
        <v>24295</v>
      </c>
      <c r="F3794" t="s">
        <v>108</v>
      </c>
      <c r="H3794" t="s">
        <v>24296</v>
      </c>
      <c r="I3794" t="s">
        <v>203</v>
      </c>
      <c r="J3794" t="s">
        <v>111</v>
      </c>
      <c r="K3794" t="str">
        <f>"85295"</f>
        <v>85295</v>
      </c>
      <c r="L3794" t="s">
        <v>417</v>
      </c>
      <c r="M3794" t="s">
        <v>24296</v>
      </c>
      <c r="N3794" t="s">
        <v>203</v>
      </c>
      <c r="O3794" t="s">
        <v>111</v>
      </c>
      <c r="P3794" t="str">
        <f>"85295-9051"</f>
        <v>85295-9051</v>
      </c>
      <c r="Q3794" t="s">
        <v>113</v>
      </c>
      <c r="R3794" t="str">
        <f>"304-40-816"</f>
        <v>304-40-816</v>
      </c>
      <c r="S3794" t="s">
        <v>19758</v>
      </c>
      <c r="T3794" t="s">
        <v>19759</v>
      </c>
      <c r="U3794">
        <v>1867</v>
      </c>
      <c r="V3794">
        <v>0</v>
      </c>
      <c r="W3794">
        <v>3</v>
      </c>
      <c r="X3794">
        <v>2000</v>
      </c>
      <c r="Z3794">
        <v>2</v>
      </c>
      <c r="AB3794">
        <v>0</v>
      </c>
      <c r="AC3794" t="s">
        <v>115</v>
      </c>
      <c r="AD3794">
        <v>2</v>
      </c>
      <c r="AE3794" t="s">
        <v>115</v>
      </c>
      <c r="AF3794">
        <v>0</v>
      </c>
      <c r="AG3794">
        <v>0</v>
      </c>
      <c r="AH3794" t="s">
        <v>116</v>
      </c>
      <c r="AI3794" s="1">
        <v>72726</v>
      </c>
      <c r="AJ3794" s="2">
        <v>0.24</v>
      </c>
      <c r="AK3794" s="1">
        <v>297536</v>
      </c>
      <c r="AL3794" t="s">
        <v>117</v>
      </c>
      <c r="AM3794" t="s">
        <v>393</v>
      </c>
      <c r="AN3794">
        <v>8972</v>
      </c>
      <c r="AO3794">
        <v>0.21</v>
      </c>
      <c r="AP3794">
        <v>1</v>
      </c>
      <c r="AR3794">
        <v>1</v>
      </c>
      <c r="AS3794" s="1">
        <v>20230</v>
      </c>
      <c r="AT3794" s="1">
        <v>4040</v>
      </c>
      <c r="AU3794" s="1">
        <v>16190</v>
      </c>
      <c r="AV3794">
        <v>80.03</v>
      </c>
      <c r="AX3794" s="1">
        <v>1637.44</v>
      </c>
      <c r="AY3794" t="s">
        <v>5087</v>
      </c>
      <c r="AZ3794" t="s">
        <v>5087</v>
      </c>
      <c r="BA3794" t="s">
        <v>473</v>
      </c>
      <c r="BE3794" s="3">
        <v>41772</v>
      </c>
      <c r="BF3794" s="1">
        <v>215000</v>
      </c>
      <c r="BG3794" t="s">
        <v>24297</v>
      </c>
      <c r="BH3794" s="1">
        <v>115.16</v>
      </c>
      <c r="BI3794" s="1">
        <v>224810</v>
      </c>
      <c r="BJ3794" s="3">
        <v>42121</v>
      </c>
      <c r="BK3794" t="s">
        <v>123</v>
      </c>
      <c r="BL3794" t="str">
        <f>"2015.289695"</f>
        <v>2015.289695</v>
      </c>
      <c r="BM3794" t="s">
        <v>2378</v>
      </c>
      <c r="BO3794" t="s">
        <v>24298</v>
      </c>
      <c r="BS3794">
        <v>30</v>
      </c>
      <c r="BW3794" t="str">
        <f>""</f>
        <v/>
      </c>
      <c r="CH3794" t="str">
        <f>""</f>
        <v/>
      </c>
      <c r="CS3794" t="str">
        <f>""</f>
        <v/>
      </c>
    </row>
    <row r="3795" spans="1:97" x14ac:dyDescent="0.25">
      <c r="A3795" t="s">
        <v>548</v>
      </c>
      <c r="B3795" t="s">
        <v>603</v>
      </c>
      <c r="C3795" t="s">
        <v>970</v>
      </c>
      <c r="D3795" t="s">
        <v>603</v>
      </c>
      <c r="E3795" t="s">
        <v>24299</v>
      </c>
      <c r="F3795" t="s">
        <v>108</v>
      </c>
      <c r="H3795" t="s">
        <v>24300</v>
      </c>
      <c r="I3795" t="s">
        <v>144</v>
      </c>
      <c r="J3795" t="s">
        <v>111</v>
      </c>
      <c r="K3795" t="str">
        <f>"85396"</f>
        <v>85396</v>
      </c>
      <c r="L3795" t="s">
        <v>6667</v>
      </c>
      <c r="M3795" t="s">
        <v>24300</v>
      </c>
      <c r="N3795" t="s">
        <v>144</v>
      </c>
      <c r="O3795" t="s">
        <v>111</v>
      </c>
      <c r="P3795" t="str">
        <f>"85396-1590"</f>
        <v>85396-1590</v>
      </c>
      <c r="Q3795" t="s">
        <v>113</v>
      </c>
      <c r="R3795" t="str">
        <f>"502-80-819"</f>
        <v>502-80-819</v>
      </c>
      <c r="S3795" t="s">
        <v>24301</v>
      </c>
      <c r="U3795">
        <v>2327</v>
      </c>
      <c r="V3795">
        <v>0</v>
      </c>
      <c r="W3795">
        <v>3</v>
      </c>
      <c r="X3795">
        <v>2011</v>
      </c>
      <c r="Z3795">
        <v>2</v>
      </c>
      <c r="AB3795">
        <v>0</v>
      </c>
      <c r="AC3795" t="s">
        <v>115</v>
      </c>
      <c r="AD3795">
        <v>2</v>
      </c>
      <c r="AE3795" t="s">
        <v>115</v>
      </c>
      <c r="AF3795">
        <v>0</v>
      </c>
      <c r="AG3795">
        <v>0</v>
      </c>
      <c r="AH3795" t="s">
        <v>116</v>
      </c>
      <c r="AI3795" s="1">
        <v>5331</v>
      </c>
      <c r="AJ3795" s="2">
        <v>0.02</v>
      </c>
      <c r="AK3795" s="1">
        <v>286307</v>
      </c>
      <c r="AL3795" t="s">
        <v>117</v>
      </c>
      <c r="AM3795" t="s">
        <v>118</v>
      </c>
      <c r="AN3795">
        <v>4192</v>
      </c>
      <c r="AO3795">
        <v>0.96</v>
      </c>
      <c r="AR3795">
        <v>1</v>
      </c>
      <c r="AS3795" s="1">
        <v>19260</v>
      </c>
      <c r="AT3795" s="1">
        <v>3850</v>
      </c>
      <c r="AU3795" s="1">
        <v>15410</v>
      </c>
      <c r="AV3795">
        <v>80.010000000000005</v>
      </c>
      <c r="AX3795" s="1">
        <v>2641.7</v>
      </c>
      <c r="AY3795" t="s">
        <v>217</v>
      </c>
      <c r="AZ3795" t="s">
        <v>217</v>
      </c>
      <c r="BA3795" t="s">
        <v>218</v>
      </c>
      <c r="BE3795" s="3">
        <v>42466</v>
      </c>
      <c r="BF3795" s="1">
        <v>235000</v>
      </c>
      <c r="BG3795" t="s">
        <v>24302</v>
      </c>
      <c r="BH3795" s="1">
        <v>100.99</v>
      </c>
      <c r="BI3795" s="1">
        <v>280976</v>
      </c>
      <c r="BJ3795" s="3">
        <v>43552</v>
      </c>
      <c r="BK3795" t="s">
        <v>123</v>
      </c>
      <c r="BL3795" t="str">
        <f>"2019.214787"</f>
        <v>2019.214787</v>
      </c>
      <c r="BM3795" t="s">
        <v>11502</v>
      </c>
      <c r="BN3795" t="s">
        <v>12624</v>
      </c>
      <c r="BO3795" t="s">
        <v>24303</v>
      </c>
      <c r="BP3795" t="s">
        <v>24304</v>
      </c>
      <c r="BR3795" t="s">
        <v>139</v>
      </c>
      <c r="BW3795" t="str">
        <f>""</f>
        <v/>
      </c>
      <c r="CH3795" t="str">
        <f>""</f>
        <v/>
      </c>
      <c r="CS3795" t="str">
        <f>""</f>
        <v/>
      </c>
    </row>
    <row r="3796" spans="1:97" x14ac:dyDescent="0.25">
      <c r="A3796" t="s">
        <v>370</v>
      </c>
      <c r="B3796" t="s">
        <v>24305</v>
      </c>
      <c r="C3796" t="s">
        <v>154</v>
      </c>
      <c r="D3796" t="s">
        <v>24305</v>
      </c>
      <c r="E3796" t="s">
        <v>24306</v>
      </c>
      <c r="F3796" t="s">
        <v>108</v>
      </c>
      <c r="H3796" t="s">
        <v>24307</v>
      </c>
      <c r="I3796" t="s">
        <v>453</v>
      </c>
      <c r="J3796" t="s">
        <v>111</v>
      </c>
      <c r="K3796" t="str">
        <f>"85382"</f>
        <v>85382</v>
      </c>
      <c r="L3796" t="s">
        <v>6595</v>
      </c>
      <c r="M3796" t="s">
        <v>24307</v>
      </c>
      <c r="N3796" t="s">
        <v>453</v>
      </c>
      <c r="O3796" t="s">
        <v>111</v>
      </c>
      <c r="P3796" t="str">
        <f>"85382-8388"</f>
        <v>85382-8388</v>
      </c>
      <c r="Q3796" t="s">
        <v>113</v>
      </c>
      <c r="R3796" t="str">
        <f>"200-09-782"</f>
        <v>200-09-782</v>
      </c>
      <c r="S3796" t="s">
        <v>24308</v>
      </c>
      <c r="U3796">
        <v>2261</v>
      </c>
      <c r="V3796">
        <v>0</v>
      </c>
      <c r="W3796">
        <v>3</v>
      </c>
      <c r="X3796">
        <v>2011</v>
      </c>
      <c r="Z3796">
        <v>1</v>
      </c>
      <c r="AB3796">
        <v>0</v>
      </c>
      <c r="AC3796" t="s">
        <v>115</v>
      </c>
      <c r="AD3796">
        <v>2</v>
      </c>
      <c r="AE3796" t="s">
        <v>115</v>
      </c>
      <c r="AF3796">
        <v>0</v>
      </c>
      <c r="AG3796">
        <v>0</v>
      </c>
      <c r="AH3796" t="s">
        <v>116</v>
      </c>
      <c r="AI3796" s="1">
        <v>83051</v>
      </c>
      <c r="AJ3796" s="2">
        <v>0.23</v>
      </c>
      <c r="AK3796" s="1">
        <v>355280</v>
      </c>
      <c r="AL3796" t="s">
        <v>117</v>
      </c>
      <c r="AM3796" t="s">
        <v>118</v>
      </c>
      <c r="AN3796">
        <v>6325</v>
      </c>
      <c r="AO3796">
        <v>0.14000000000000001</v>
      </c>
      <c r="AR3796">
        <v>1</v>
      </c>
      <c r="AS3796" s="1">
        <v>24610</v>
      </c>
      <c r="AT3796" s="1">
        <v>4920</v>
      </c>
      <c r="AU3796" s="1">
        <v>19690</v>
      </c>
      <c r="AV3796">
        <v>80.010000000000005</v>
      </c>
      <c r="AX3796" s="1">
        <v>2628.7</v>
      </c>
      <c r="AY3796" t="s">
        <v>1808</v>
      </c>
      <c r="AZ3796" t="s">
        <v>1808</v>
      </c>
      <c r="BA3796" t="s">
        <v>457</v>
      </c>
      <c r="BE3796" s="3">
        <v>41667</v>
      </c>
      <c r="BF3796" s="1">
        <v>266500</v>
      </c>
      <c r="BG3796" t="s">
        <v>24309</v>
      </c>
      <c r="BH3796" s="1">
        <v>117.87</v>
      </c>
      <c r="BI3796" s="1">
        <v>272229</v>
      </c>
      <c r="BJ3796" s="3">
        <v>41667</v>
      </c>
      <c r="BK3796" t="s">
        <v>123</v>
      </c>
      <c r="BL3796" t="str">
        <f>"2014.58846"</f>
        <v>2014.58846</v>
      </c>
      <c r="BM3796" t="s">
        <v>544</v>
      </c>
      <c r="BO3796" t="s">
        <v>24310</v>
      </c>
      <c r="BS3796">
        <v>30</v>
      </c>
      <c r="BW3796" t="str">
        <f>""</f>
        <v/>
      </c>
      <c r="CH3796" t="str">
        <f>""</f>
        <v/>
      </c>
      <c r="CS3796" t="str">
        <f>""</f>
        <v/>
      </c>
    </row>
    <row r="3797" spans="1:97" x14ac:dyDescent="0.25">
      <c r="A3797" t="s">
        <v>3860</v>
      </c>
      <c r="B3797" t="s">
        <v>1552</v>
      </c>
      <c r="E3797" t="s">
        <v>24311</v>
      </c>
      <c r="F3797" t="s">
        <v>108</v>
      </c>
      <c r="H3797" t="s">
        <v>24312</v>
      </c>
      <c r="I3797" t="s">
        <v>5387</v>
      </c>
      <c r="J3797" t="s">
        <v>111</v>
      </c>
      <c r="K3797" t="str">
        <f>"85283"</f>
        <v>85283</v>
      </c>
      <c r="L3797" t="s">
        <v>12359</v>
      </c>
      <c r="M3797" t="s">
        <v>24312</v>
      </c>
      <c r="N3797" t="s">
        <v>5387</v>
      </c>
      <c r="O3797" t="s">
        <v>111</v>
      </c>
      <c r="P3797" t="str">
        <f>"85283-3591"</f>
        <v>85283-3591</v>
      </c>
      <c r="Q3797" t="s">
        <v>113</v>
      </c>
      <c r="R3797" t="str">
        <f>"301-45-207"</f>
        <v>301-45-207</v>
      </c>
      <c r="S3797" t="s">
        <v>24313</v>
      </c>
      <c r="T3797" t="s">
        <v>24314</v>
      </c>
      <c r="U3797">
        <v>1674</v>
      </c>
      <c r="V3797">
        <v>0</v>
      </c>
      <c r="W3797">
        <v>2</v>
      </c>
      <c r="X3797">
        <v>1984</v>
      </c>
      <c r="Z3797">
        <v>1</v>
      </c>
      <c r="AA3797" t="s">
        <v>26</v>
      </c>
      <c r="AB3797">
        <v>0</v>
      </c>
      <c r="AC3797" t="s">
        <v>115</v>
      </c>
      <c r="AD3797">
        <v>2</v>
      </c>
      <c r="AE3797" t="s">
        <v>115</v>
      </c>
      <c r="AF3797">
        <v>0</v>
      </c>
      <c r="AG3797">
        <v>0</v>
      </c>
      <c r="AH3797" t="s">
        <v>116</v>
      </c>
      <c r="AI3797" s="1">
        <v>63269</v>
      </c>
      <c r="AJ3797" s="2">
        <v>0.22</v>
      </c>
      <c r="AK3797" s="1">
        <v>290069</v>
      </c>
      <c r="AL3797" t="s">
        <v>117</v>
      </c>
      <c r="AM3797" t="s">
        <v>191</v>
      </c>
      <c r="AN3797">
        <v>7684</v>
      </c>
      <c r="AO3797">
        <v>0.18</v>
      </c>
      <c r="AP3797">
        <v>1</v>
      </c>
      <c r="AR3797">
        <v>1</v>
      </c>
      <c r="AS3797" s="1">
        <v>21010</v>
      </c>
      <c r="AT3797" s="1">
        <v>4200</v>
      </c>
      <c r="AU3797" s="1">
        <v>16810</v>
      </c>
      <c r="AV3797">
        <v>80.010000000000005</v>
      </c>
      <c r="AX3797" s="1">
        <v>1574.46</v>
      </c>
      <c r="AY3797" t="s">
        <v>12496</v>
      </c>
      <c r="AZ3797" t="s">
        <v>5391</v>
      </c>
      <c r="BA3797" t="s">
        <v>5392</v>
      </c>
      <c r="BE3797" s="3">
        <v>42444</v>
      </c>
      <c r="BF3797" s="1">
        <v>230000</v>
      </c>
      <c r="BG3797" t="s">
        <v>24315</v>
      </c>
      <c r="BH3797" s="1">
        <v>137.4</v>
      </c>
      <c r="BI3797" s="1">
        <v>226800</v>
      </c>
      <c r="BJ3797" s="3">
        <v>42753</v>
      </c>
      <c r="BK3797" t="s">
        <v>123</v>
      </c>
      <c r="BL3797" t="str">
        <f>"2017.38020"</f>
        <v>2017.38020</v>
      </c>
      <c r="BM3797" t="s">
        <v>425</v>
      </c>
      <c r="BO3797" t="s">
        <v>24316</v>
      </c>
      <c r="BS3797">
        <v>30</v>
      </c>
      <c r="BW3797" t="str">
        <f>""</f>
        <v/>
      </c>
      <c r="CH3797" t="str">
        <f>""</f>
        <v/>
      </c>
      <c r="CS3797" t="str">
        <f>""</f>
        <v/>
      </c>
    </row>
    <row r="3798" spans="1:97" x14ac:dyDescent="0.25">
      <c r="A3798" t="s">
        <v>489</v>
      </c>
      <c r="B3798" t="s">
        <v>24317</v>
      </c>
      <c r="E3798" t="s">
        <v>24318</v>
      </c>
      <c r="F3798" t="s">
        <v>108</v>
      </c>
      <c r="H3798" t="s">
        <v>24319</v>
      </c>
      <c r="I3798" t="s">
        <v>390</v>
      </c>
      <c r="J3798" t="s">
        <v>111</v>
      </c>
      <c r="K3798" t="str">
        <f>"85016"</f>
        <v>85016</v>
      </c>
      <c r="L3798" t="s">
        <v>7626</v>
      </c>
      <c r="M3798" t="s">
        <v>24319</v>
      </c>
      <c r="N3798" t="s">
        <v>390</v>
      </c>
      <c r="O3798" t="s">
        <v>111</v>
      </c>
      <c r="P3798" t="str">
        <f>"85016-5314"</f>
        <v>85016-5314</v>
      </c>
      <c r="Q3798" t="s">
        <v>113</v>
      </c>
      <c r="R3798" t="str">
        <f>"163-27-031-A"</f>
        <v>163-27-031-A</v>
      </c>
      <c r="S3798" t="s">
        <v>21776</v>
      </c>
      <c r="T3798" t="s">
        <v>21776</v>
      </c>
      <c r="U3798">
        <v>1131</v>
      </c>
      <c r="V3798">
        <v>0</v>
      </c>
      <c r="W3798">
        <v>1</v>
      </c>
      <c r="X3798">
        <v>1928</v>
      </c>
      <c r="Z3798">
        <v>1</v>
      </c>
      <c r="AB3798">
        <v>0</v>
      </c>
      <c r="AC3798" t="s">
        <v>5188</v>
      </c>
      <c r="AD3798">
        <v>1</v>
      </c>
      <c r="AE3798" t="s">
        <v>5188</v>
      </c>
      <c r="AF3798">
        <v>0</v>
      </c>
      <c r="AG3798">
        <v>0</v>
      </c>
      <c r="AH3798" t="s">
        <v>5467</v>
      </c>
      <c r="AI3798" s="1">
        <v>52244</v>
      </c>
      <c r="AJ3798" s="2">
        <v>0.18</v>
      </c>
      <c r="AK3798" s="1">
        <v>288186</v>
      </c>
      <c r="AL3798" t="s">
        <v>117</v>
      </c>
      <c r="AM3798" t="s">
        <v>191</v>
      </c>
      <c r="AN3798">
        <v>9080</v>
      </c>
      <c r="AO3798">
        <v>0.21</v>
      </c>
      <c r="AP3798">
        <v>1</v>
      </c>
      <c r="AR3798">
        <v>1</v>
      </c>
      <c r="AS3798" s="1">
        <v>18360</v>
      </c>
      <c r="AT3798" s="1">
        <v>3670</v>
      </c>
      <c r="AU3798" s="1">
        <v>14690</v>
      </c>
      <c r="AV3798">
        <v>80.010000000000005</v>
      </c>
      <c r="AX3798" s="1">
        <v>1452.8</v>
      </c>
      <c r="AY3798" t="s">
        <v>8630</v>
      </c>
      <c r="AZ3798" t="s">
        <v>8631</v>
      </c>
      <c r="BA3798" t="s">
        <v>5469</v>
      </c>
      <c r="BB3798" s="3">
        <v>43157</v>
      </c>
      <c r="BC3798" s="1">
        <v>0</v>
      </c>
      <c r="BD3798" t="s">
        <v>247</v>
      </c>
      <c r="BE3798" s="3">
        <v>42429</v>
      </c>
      <c r="BF3798" s="1">
        <v>220000</v>
      </c>
      <c r="BG3798" t="s">
        <v>24320</v>
      </c>
      <c r="BH3798" s="1">
        <v>194.52</v>
      </c>
      <c r="BI3798" s="1">
        <v>235942</v>
      </c>
      <c r="BJ3798" s="3">
        <v>43157</v>
      </c>
      <c r="BK3798" t="s">
        <v>123</v>
      </c>
      <c r="BL3798" t="str">
        <f>"2018.143677"</f>
        <v>2018.143677</v>
      </c>
      <c r="BM3798" t="s">
        <v>23822</v>
      </c>
      <c r="BN3798" t="s">
        <v>1136</v>
      </c>
      <c r="BO3798" t="s">
        <v>24318</v>
      </c>
      <c r="BR3798" t="s">
        <v>139</v>
      </c>
      <c r="BW3798" t="str">
        <f>""</f>
        <v/>
      </c>
      <c r="CH3798" t="str">
        <f>""</f>
        <v/>
      </c>
      <c r="CS3798" t="str">
        <f>""</f>
        <v/>
      </c>
    </row>
    <row r="3799" spans="1:97" x14ac:dyDescent="0.25">
      <c r="A3799" t="s">
        <v>24321</v>
      </c>
      <c r="B3799" t="s">
        <v>18286</v>
      </c>
      <c r="C3799" t="s">
        <v>2544</v>
      </c>
      <c r="D3799" t="s">
        <v>18286</v>
      </c>
      <c r="E3799" t="s">
        <v>24322</v>
      </c>
      <c r="F3799" t="s">
        <v>108</v>
      </c>
      <c r="H3799" t="s">
        <v>24323</v>
      </c>
      <c r="I3799" t="s">
        <v>499</v>
      </c>
      <c r="J3799" t="s">
        <v>111</v>
      </c>
      <c r="K3799" t="str">
        <f>"85338"</f>
        <v>85338</v>
      </c>
      <c r="L3799" t="s">
        <v>6431</v>
      </c>
      <c r="M3799" t="s">
        <v>24323</v>
      </c>
      <c r="N3799" t="s">
        <v>499</v>
      </c>
      <c r="O3799" t="s">
        <v>111</v>
      </c>
      <c r="P3799" t="str">
        <f>"85338-7418"</f>
        <v>85338-7418</v>
      </c>
      <c r="Q3799" t="s">
        <v>113</v>
      </c>
      <c r="R3799" t="str">
        <f>"500-97-287"</f>
        <v>500-97-287</v>
      </c>
      <c r="S3799" t="s">
        <v>6708</v>
      </c>
      <c r="U3799">
        <v>2239</v>
      </c>
      <c r="V3799">
        <v>0</v>
      </c>
      <c r="W3799">
        <v>4</v>
      </c>
      <c r="X3799">
        <v>2007</v>
      </c>
      <c r="Z3799">
        <v>1</v>
      </c>
      <c r="AA3799" t="s">
        <v>26</v>
      </c>
      <c r="AB3799">
        <v>0</v>
      </c>
      <c r="AC3799" t="s">
        <v>115</v>
      </c>
      <c r="AD3799">
        <v>3</v>
      </c>
      <c r="AE3799" t="s">
        <v>115</v>
      </c>
      <c r="AF3799">
        <v>0</v>
      </c>
      <c r="AG3799">
        <v>0</v>
      </c>
      <c r="AH3799" t="s">
        <v>116</v>
      </c>
      <c r="AI3799" s="1">
        <v>64670</v>
      </c>
      <c r="AJ3799" s="2">
        <v>0.2</v>
      </c>
      <c r="AK3799" s="1">
        <v>321293</v>
      </c>
      <c r="AL3799" t="s">
        <v>117</v>
      </c>
      <c r="AM3799" t="s">
        <v>118</v>
      </c>
      <c r="AN3799">
        <v>7107</v>
      </c>
      <c r="AO3799">
        <v>0.16</v>
      </c>
      <c r="AR3799">
        <v>1</v>
      </c>
      <c r="AS3799" s="1">
        <v>21860</v>
      </c>
      <c r="AT3799" s="1">
        <v>4370</v>
      </c>
      <c r="AU3799" s="1">
        <v>17490</v>
      </c>
      <c r="AV3799">
        <v>80.010000000000005</v>
      </c>
      <c r="AX3799" s="1">
        <v>2258.46</v>
      </c>
      <c r="AY3799" t="s">
        <v>6319</v>
      </c>
      <c r="AZ3799" t="s">
        <v>6319</v>
      </c>
      <c r="BA3799" t="s">
        <v>218</v>
      </c>
      <c r="BB3799" s="3">
        <v>42424</v>
      </c>
      <c r="BD3799" t="s">
        <v>240</v>
      </c>
      <c r="BE3799" s="3">
        <v>42215</v>
      </c>
      <c r="BF3799" s="1">
        <v>249000</v>
      </c>
      <c r="BG3799" t="s">
        <v>24324</v>
      </c>
      <c r="BH3799" s="1">
        <v>111.21</v>
      </c>
      <c r="BI3799" s="1">
        <v>256623</v>
      </c>
      <c r="BJ3799" s="3">
        <v>42424</v>
      </c>
      <c r="BK3799" t="s">
        <v>123</v>
      </c>
      <c r="BL3799" t="str">
        <f>"2016.116641"</f>
        <v>2016.116641</v>
      </c>
      <c r="BM3799" t="s">
        <v>255</v>
      </c>
      <c r="BO3799" t="s">
        <v>24325</v>
      </c>
      <c r="BS3799">
        <v>30</v>
      </c>
      <c r="BW3799" t="str">
        <f>""</f>
        <v/>
      </c>
      <c r="CH3799" t="str">
        <f>""</f>
        <v/>
      </c>
      <c r="CS3799" t="str">
        <f>""</f>
        <v/>
      </c>
    </row>
    <row r="3800" spans="1:97" x14ac:dyDescent="0.25">
      <c r="A3800" t="s">
        <v>11264</v>
      </c>
      <c r="B3800" t="s">
        <v>24326</v>
      </c>
      <c r="C3800" t="s">
        <v>2852</v>
      </c>
      <c r="D3800" t="s">
        <v>24326</v>
      </c>
      <c r="E3800" t="s">
        <v>24327</v>
      </c>
      <c r="F3800" t="s">
        <v>108</v>
      </c>
      <c r="H3800" t="s">
        <v>24328</v>
      </c>
      <c r="I3800" t="s">
        <v>225</v>
      </c>
      <c r="J3800" t="s">
        <v>111</v>
      </c>
      <c r="K3800" t="str">
        <f>"85210"</f>
        <v>85210</v>
      </c>
      <c r="L3800" t="s">
        <v>6964</v>
      </c>
      <c r="M3800" t="s">
        <v>24328</v>
      </c>
      <c r="N3800" t="s">
        <v>225</v>
      </c>
      <c r="O3800" t="s">
        <v>111</v>
      </c>
      <c r="P3800" t="str">
        <f>"85210-5925"</f>
        <v>85210-5925</v>
      </c>
      <c r="Q3800" t="s">
        <v>113</v>
      </c>
      <c r="R3800" t="str">
        <f>"134-25-066"</f>
        <v>134-25-066</v>
      </c>
      <c r="S3800" t="s">
        <v>21326</v>
      </c>
      <c r="T3800" t="s">
        <v>21326</v>
      </c>
      <c r="U3800">
        <v>2234</v>
      </c>
      <c r="V3800">
        <v>0</v>
      </c>
      <c r="W3800">
        <v>3</v>
      </c>
      <c r="X3800">
        <v>1976</v>
      </c>
      <c r="Z3800">
        <v>1</v>
      </c>
      <c r="AA3800" t="s">
        <v>26</v>
      </c>
      <c r="AB3800">
        <v>0</v>
      </c>
      <c r="AC3800" t="s">
        <v>115</v>
      </c>
      <c r="AD3800">
        <v>2</v>
      </c>
      <c r="AE3800" t="s">
        <v>115</v>
      </c>
      <c r="AF3800">
        <v>0</v>
      </c>
      <c r="AG3800">
        <v>0</v>
      </c>
      <c r="AH3800" t="s">
        <v>116</v>
      </c>
      <c r="AI3800" s="1">
        <v>104690</v>
      </c>
      <c r="AJ3800" s="2">
        <v>0.3</v>
      </c>
      <c r="AK3800" s="1">
        <v>343721</v>
      </c>
      <c r="AL3800" t="s">
        <v>117</v>
      </c>
      <c r="AM3800" t="s">
        <v>191</v>
      </c>
      <c r="AN3800">
        <v>10350</v>
      </c>
      <c r="AO3800">
        <v>0.24</v>
      </c>
      <c r="AP3800">
        <v>1</v>
      </c>
      <c r="AR3800">
        <v>1</v>
      </c>
      <c r="AS3800" s="1">
        <v>25160</v>
      </c>
      <c r="AT3800" s="1">
        <v>5030</v>
      </c>
      <c r="AU3800" s="1">
        <v>20130</v>
      </c>
      <c r="AV3800">
        <v>80.010000000000005</v>
      </c>
      <c r="AX3800" s="1">
        <v>1765.52</v>
      </c>
      <c r="AY3800" t="s">
        <v>8076</v>
      </c>
      <c r="AZ3800" t="s">
        <v>7295</v>
      </c>
      <c r="BA3800" t="s">
        <v>5311</v>
      </c>
      <c r="BE3800" s="3">
        <v>42177</v>
      </c>
      <c r="BF3800" s="1">
        <v>234000</v>
      </c>
      <c r="BG3800" t="s">
        <v>24329</v>
      </c>
      <c r="BH3800" s="1">
        <v>104.74</v>
      </c>
      <c r="BI3800" s="1">
        <v>239031</v>
      </c>
      <c r="BJ3800" s="3">
        <v>42177</v>
      </c>
      <c r="BK3800" t="s">
        <v>123</v>
      </c>
      <c r="BL3800" t="str">
        <f>"2015.444312"</f>
        <v>2015.444312</v>
      </c>
      <c r="BM3800" t="s">
        <v>724</v>
      </c>
      <c r="BO3800" t="s">
        <v>24330</v>
      </c>
      <c r="BS3800">
        <v>30</v>
      </c>
      <c r="BW3800" t="str">
        <f>""</f>
        <v/>
      </c>
      <c r="CH3800" t="str">
        <f>""</f>
        <v/>
      </c>
      <c r="CS3800" t="str">
        <f>""</f>
        <v/>
      </c>
    </row>
    <row r="3801" spans="1:97" x14ac:dyDescent="0.25">
      <c r="B3801" t="s">
        <v>24331</v>
      </c>
      <c r="E3801" t="s">
        <v>24332</v>
      </c>
      <c r="F3801" t="s">
        <v>108</v>
      </c>
      <c r="H3801" t="s">
        <v>24333</v>
      </c>
      <c r="I3801" t="s">
        <v>632</v>
      </c>
      <c r="J3801" t="s">
        <v>111</v>
      </c>
      <c r="K3801" t="str">
        <f>"85379"</f>
        <v>85379</v>
      </c>
      <c r="L3801" t="s">
        <v>558</v>
      </c>
      <c r="M3801" t="s">
        <v>24333</v>
      </c>
      <c r="N3801" t="s">
        <v>632</v>
      </c>
      <c r="O3801" t="s">
        <v>111</v>
      </c>
      <c r="P3801" t="str">
        <f>"85379-5238"</f>
        <v>85379-5238</v>
      </c>
      <c r="Q3801" t="s">
        <v>113</v>
      </c>
      <c r="R3801" t="str">
        <f>"509-14-286"</f>
        <v>509-14-286</v>
      </c>
      <c r="S3801" t="s">
        <v>5614</v>
      </c>
      <c r="U3801">
        <v>2036</v>
      </c>
      <c r="V3801">
        <v>0</v>
      </c>
      <c r="W3801">
        <v>3</v>
      </c>
      <c r="X3801">
        <v>2004</v>
      </c>
      <c r="Z3801">
        <v>1</v>
      </c>
      <c r="AA3801" t="s">
        <v>26</v>
      </c>
      <c r="AB3801">
        <v>0</v>
      </c>
      <c r="AC3801" t="s">
        <v>115</v>
      </c>
      <c r="AD3801">
        <v>3</v>
      </c>
      <c r="AE3801" t="s">
        <v>115</v>
      </c>
      <c r="AF3801">
        <v>0</v>
      </c>
      <c r="AG3801">
        <v>0</v>
      </c>
      <c r="AH3801" t="s">
        <v>116</v>
      </c>
      <c r="AI3801" s="1">
        <v>84415</v>
      </c>
      <c r="AJ3801" s="2">
        <v>0.27</v>
      </c>
      <c r="AK3801" s="1">
        <v>311675</v>
      </c>
      <c r="AL3801" t="s">
        <v>117</v>
      </c>
      <c r="AM3801" t="s">
        <v>118</v>
      </c>
      <c r="AN3801">
        <v>7245</v>
      </c>
      <c r="AO3801">
        <v>0.17</v>
      </c>
      <c r="AP3801">
        <v>1</v>
      </c>
      <c r="AR3801">
        <v>1</v>
      </c>
      <c r="AS3801" s="1">
        <v>21480</v>
      </c>
      <c r="AT3801" s="1">
        <v>4290</v>
      </c>
      <c r="AU3801" s="1">
        <v>17190</v>
      </c>
      <c r="AV3801">
        <v>80.03</v>
      </c>
      <c r="AX3801" s="1">
        <v>1601.84</v>
      </c>
      <c r="AY3801" t="s">
        <v>5615</v>
      </c>
      <c r="AZ3801" t="s">
        <v>5615</v>
      </c>
      <c r="BA3801" t="s">
        <v>635</v>
      </c>
      <c r="BB3801" s="3">
        <v>43763</v>
      </c>
      <c r="BC3801" s="1">
        <v>0</v>
      </c>
      <c r="BD3801" t="s">
        <v>247</v>
      </c>
      <c r="BE3801" s="3">
        <v>41743</v>
      </c>
      <c r="BF3801" s="1">
        <v>220000</v>
      </c>
      <c r="BG3801" t="s">
        <v>24334</v>
      </c>
      <c r="BH3801" s="1">
        <v>108.06</v>
      </c>
      <c r="BI3801" s="1">
        <v>227260</v>
      </c>
      <c r="BJ3801" s="3">
        <v>41743</v>
      </c>
      <c r="BK3801" t="s">
        <v>123</v>
      </c>
      <c r="BL3801" t="str">
        <f>"2014.239157"</f>
        <v>2014.239157</v>
      </c>
      <c r="BM3801" t="s">
        <v>7311</v>
      </c>
      <c r="BN3801" t="s">
        <v>24335</v>
      </c>
      <c r="BO3801" t="s">
        <v>24336</v>
      </c>
      <c r="BS3801">
        <v>30</v>
      </c>
      <c r="BW3801" t="str">
        <f>""</f>
        <v/>
      </c>
      <c r="CH3801" t="str">
        <f>""</f>
        <v/>
      </c>
      <c r="CS3801" t="str">
        <f>""</f>
        <v/>
      </c>
    </row>
    <row r="3802" spans="1:97" x14ac:dyDescent="0.25">
      <c r="B3802" t="s">
        <v>24337</v>
      </c>
      <c r="E3802" t="s">
        <v>24338</v>
      </c>
      <c r="F3802" t="s">
        <v>139</v>
      </c>
      <c r="H3802" t="s">
        <v>24339</v>
      </c>
      <c r="I3802" t="s">
        <v>225</v>
      </c>
      <c r="J3802" t="s">
        <v>111</v>
      </c>
      <c r="K3802" t="str">
        <f>"85212"</f>
        <v>85212</v>
      </c>
      <c r="L3802" t="s">
        <v>5239</v>
      </c>
      <c r="M3802" t="s">
        <v>24339</v>
      </c>
      <c r="N3802" t="s">
        <v>225</v>
      </c>
      <c r="O3802" t="s">
        <v>111</v>
      </c>
      <c r="P3802" t="str">
        <f>"85212-4147"</f>
        <v>85212-4147</v>
      </c>
      <c r="Q3802" t="s">
        <v>113</v>
      </c>
      <c r="R3802" t="str">
        <f>"304-33-620"</f>
        <v>304-33-620</v>
      </c>
      <c r="S3802" t="s">
        <v>8661</v>
      </c>
      <c r="T3802" t="s">
        <v>8661</v>
      </c>
      <c r="U3802">
        <v>1840</v>
      </c>
      <c r="V3802">
        <v>0</v>
      </c>
      <c r="W3802">
        <v>3</v>
      </c>
      <c r="X3802">
        <v>2002</v>
      </c>
      <c r="Z3802">
        <v>1</v>
      </c>
      <c r="AB3802">
        <v>0</v>
      </c>
      <c r="AC3802" t="s">
        <v>115</v>
      </c>
      <c r="AD3802">
        <v>2</v>
      </c>
      <c r="AE3802" t="s">
        <v>115</v>
      </c>
      <c r="AF3802">
        <v>0</v>
      </c>
      <c r="AG3802">
        <v>0</v>
      </c>
      <c r="AH3802" t="s">
        <v>116</v>
      </c>
      <c r="AI3802" s="1">
        <v>70115</v>
      </c>
      <c r="AJ3802" s="2">
        <v>0.22</v>
      </c>
      <c r="AK3802" s="1">
        <v>312870</v>
      </c>
      <c r="AL3802" t="s">
        <v>117</v>
      </c>
      <c r="AM3802" t="s">
        <v>393</v>
      </c>
      <c r="AN3802">
        <v>9750</v>
      </c>
      <c r="AO3802">
        <v>0.22</v>
      </c>
      <c r="AP3802">
        <v>1</v>
      </c>
      <c r="AR3802">
        <v>1</v>
      </c>
      <c r="AS3802" s="1">
        <v>22560</v>
      </c>
      <c r="AT3802" s="1">
        <v>4510</v>
      </c>
      <c r="AU3802" s="1">
        <v>18050</v>
      </c>
      <c r="AV3802">
        <v>80.010000000000005</v>
      </c>
      <c r="AX3802" s="1">
        <v>1491.06</v>
      </c>
      <c r="AY3802" t="s">
        <v>776</v>
      </c>
      <c r="AZ3802" t="s">
        <v>777</v>
      </c>
      <c r="BA3802" t="s">
        <v>572</v>
      </c>
      <c r="BB3802" s="3">
        <v>43238</v>
      </c>
      <c r="BC3802" s="1">
        <v>0</v>
      </c>
      <c r="BD3802" t="s">
        <v>247</v>
      </c>
      <c r="BE3802" s="3">
        <v>42185</v>
      </c>
      <c r="BF3802" s="1">
        <v>210000</v>
      </c>
      <c r="BG3802" t="s">
        <v>24340</v>
      </c>
      <c r="BH3802" s="1">
        <v>114.13</v>
      </c>
      <c r="BI3802" s="1">
        <v>242755</v>
      </c>
      <c r="BJ3802" s="3">
        <v>42669</v>
      </c>
      <c r="BK3802" t="s">
        <v>123</v>
      </c>
      <c r="BL3802" t="str">
        <f>"2016.787046"</f>
        <v>2016.787046</v>
      </c>
      <c r="BM3802" t="s">
        <v>7523</v>
      </c>
      <c r="BN3802" t="s">
        <v>18423</v>
      </c>
      <c r="BO3802" t="s">
        <v>24341</v>
      </c>
      <c r="BS3802">
        <v>30</v>
      </c>
      <c r="BW3802" t="str">
        <f>""</f>
        <v/>
      </c>
      <c r="CH3802" t="str">
        <f>""</f>
        <v/>
      </c>
      <c r="CS3802" t="str">
        <f>""</f>
        <v/>
      </c>
    </row>
    <row r="3803" spans="1:97" x14ac:dyDescent="0.25">
      <c r="A3803" t="s">
        <v>1619</v>
      </c>
      <c r="B3803" t="s">
        <v>24342</v>
      </c>
      <c r="C3803" t="s">
        <v>220</v>
      </c>
      <c r="D3803" t="s">
        <v>24342</v>
      </c>
      <c r="E3803" t="s">
        <v>24343</v>
      </c>
      <c r="F3803" t="s">
        <v>108</v>
      </c>
      <c r="H3803" t="s">
        <v>24344</v>
      </c>
      <c r="I3803" t="s">
        <v>1936</v>
      </c>
      <c r="J3803" t="s">
        <v>111</v>
      </c>
      <c r="K3803" t="str">
        <f>"85254"</f>
        <v>85254</v>
      </c>
      <c r="L3803" t="s">
        <v>2354</v>
      </c>
      <c r="M3803" t="s">
        <v>24344</v>
      </c>
      <c r="N3803" t="s">
        <v>1936</v>
      </c>
      <c r="O3803" t="s">
        <v>111</v>
      </c>
      <c r="P3803" t="str">
        <f>"85254-4166"</f>
        <v>85254-4166</v>
      </c>
      <c r="Q3803" t="s">
        <v>113</v>
      </c>
      <c r="R3803" t="str">
        <f>"167-42-012"</f>
        <v>167-42-012</v>
      </c>
      <c r="S3803" t="s">
        <v>24345</v>
      </c>
      <c r="T3803" t="s">
        <v>24345</v>
      </c>
      <c r="U3803">
        <v>1554</v>
      </c>
      <c r="V3803">
        <v>0</v>
      </c>
      <c r="W3803">
        <v>2</v>
      </c>
      <c r="X3803">
        <v>1975</v>
      </c>
      <c r="Z3803">
        <v>1</v>
      </c>
      <c r="AA3803" t="s">
        <v>26</v>
      </c>
      <c r="AB3803">
        <v>0</v>
      </c>
      <c r="AC3803" t="s">
        <v>115</v>
      </c>
      <c r="AD3803">
        <v>2</v>
      </c>
      <c r="AE3803" t="s">
        <v>115</v>
      </c>
      <c r="AF3803">
        <v>0</v>
      </c>
      <c r="AG3803">
        <v>0</v>
      </c>
      <c r="AH3803" t="s">
        <v>116</v>
      </c>
      <c r="AI3803" s="1">
        <v>58160</v>
      </c>
      <c r="AJ3803" s="2">
        <v>0.15</v>
      </c>
      <c r="AK3803" s="1">
        <v>376160</v>
      </c>
      <c r="AL3803" t="s">
        <v>117</v>
      </c>
      <c r="AM3803" t="s">
        <v>3973</v>
      </c>
      <c r="AN3803">
        <v>8649</v>
      </c>
      <c r="AO3803">
        <v>0.2</v>
      </c>
      <c r="AP3803">
        <v>1</v>
      </c>
      <c r="AR3803">
        <v>1</v>
      </c>
      <c r="AS3803" s="1">
        <v>25920</v>
      </c>
      <c r="AT3803" s="1">
        <v>5180</v>
      </c>
      <c r="AU3803" s="1">
        <v>20740</v>
      </c>
      <c r="AV3803">
        <v>80.02</v>
      </c>
      <c r="AX3803" s="1">
        <v>1559.8</v>
      </c>
      <c r="AY3803" t="s">
        <v>8948</v>
      </c>
      <c r="AZ3803" t="s">
        <v>8949</v>
      </c>
      <c r="BA3803" t="s">
        <v>7868</v>
      </c>
      <c r="BE3803" s="3">
        <v>42291</v>
      </c>
      <c r="BF3803" s="1">
        <v>300000</v>
      </c>
      <c r="BG3803" t="s">
        <v>24346</v>
      </c>
      <c r="BH3803" s="1">
        <v>193.05</v>
      </c>
      <c r="BI3803" s="1">
        <v>318000</v>
      </c>
      <c r="BJ3803" s="3">
        <v>42657</v>
      </c>
      <c r="BK3803" t="s">
        <v>123</v>
      </c>
      <c r="BL3803" t="str">
        <f>"2016.754022"</f>
        <v>2016.754022</v>
      </c>
      <c r="BM3803" t="s">
        <v>131</v>
      </c>
      <c r="BO3803" t="s">
        <v>24347</v>
      </c>
      <c r="BS3803">
        <v>30</v>
      </c>
      <c r="BW3803" t="str">
        <f>""</f>
        <v/>
      </c>
      <c r="CH3803" t="str">
        <f>""</f>
        <v/>
      </c>
      <c r="CS3803" t="str">
        <f>""</f>
        <v/>
      </c>
    </row>
    <row r="3804" spans="1:97" x14ac:dyDescent="0.25">
      <c r="A3804" t="s">
        <v>1850</v>
      </c>
      <c r="B3804" t="s">
        <v>1720</v>
      </c>
      <c r="E3804" t="s">
        <v>24348</v>
      </c>
      <c r="F3804" t="s">
        <v>108</v>
      </c>
      <c r="H3804" t="s">
        <v>24349</v>
      </c>
      <c r="I3804" t="s">
        <v>390</v>
      </c>
      <c r="J3804" t="s">
        <v>111</v>
      </c>
      <c r="K3804" t="str">
        <f>"85032"</f>
        <v>85032</v>
      </c>
      <c r="L3804" t="s">
        <v>14621</v>
      </c>
      <c r="M3804" t="s">
        <v>24349</v>
      </c>
      <c r="N3804" t="s">
        <v>390</v>
      </c>
      <c r="O3804" t="s">
        <v>111</v>
      </c>
      <c r="P3804" t="str">
        <f>"85032-4015"</f>
        <v>85032-4015</v>
      </c>
      <c r="Q3804" t="s">
        <v>113</v>
      </c>
      <c r="R3804" t="str">
        <f>"214-34-253"</f>
        <v>214-34-253</v>
      </c>
      <c r="S3804" t="s">
        <v>24350</v>
      </c>
      <c r="T3804" t="s">
        <v>24351</v>
      </c>
      <c r="U3804">
        <v>1608</v>
      </c>
      <c r="V3804">
        <v>0</v>
      </c>
      <c r="W3804">
        <v>3</v>
      </c>
      <c r="X3804">
        <v>1985</v>
      </c>
      <c r="Z3804">
        <v>1</v>
      </c>
      <c r="AA3804" t="s">
        <v>26</v>
      </c>
      <c r="AB3804">
        <v>0</v>
      </c>
      <c r="AC3804" t="s">
        <v>115</v>
      </c>
      <c r="AD3804">
        <v>2</v>
      </c>
      <c r="AE3804" t="s">
        <v>115</v>
      </c>
      <c r="AF3804">
        <v>0</v>
      </c>
      <c r="AG3804">
        <v>0</v>
      </c>
      <c r="AH3804" t="s">
        <v>116</v>
      </c>
      <c r="AI3804" s="1">
        <v>63034</v>
      </c>
      <c r="AJ3804" s="2">
        <v>0.19</v>
      </c>
      <c r="AK3804" s="1">
        <v>328624</v>
      </c>
      <c r="AL3804" t="s">
        <v>117</v>
      </c>
      <c r="AM3804" t="s">
        <v>171</v>
      </c>
      <c r="AN3804">
        <v>6006</v>
      </c>
      <c r="AO3804">
        <v>0.14000000000000001</v>
      </c>
      <c r="AP3804">
        <v>1</v>
      </c>
      <c r="AR3804">
        <v>1</v>
      </c>
      <c r="AS3804" s="1">
        <v>23050</v>
      </c>
      <c r="AT3804" s="1">
        <v>4610</v>
      </c>
      <c r="AU3804" s="1">
        <v>18440</v>
      </c>
      <c r="AV3804">
        <v>80</v>
      </c>
      <c r="AX3804" s="1">
        <v>1780.52</v>
      </c>
      <c r="AY3804" t="s">
        <v>8400</v>
      </c>
      <c r="AZ3804" t="s">
        <v>5231</v>
      </c>
      <c r="BA3804" t="s">
        <v>1318</v>
      </c>
      <c r="BE3804" s="3">
        <v>42026</v>
      </c>
      <c r="BF3804" s="1">
        <v>260000</v>
      </c>
      <c r="BG3804" t="s">
        <v>24352</v>
      </c>
      <c r="BH3804" s="1">
        <v>161.69</v>
      </c>
      <c r="BI3804" s="1">
        <v>265590</v>
      </c>
      <c r="BJ3804" s="3">
        <v>42026</v>
      </c>
      <c r="BK3804" t="s">
        <v>123</v>
      </c>
      <c r="BL3804" t="str">
        <f>"2015.43007"</f>
        <v>2015.43007</v>
      </c>
      <c r="BM3804" t="s">
        <v>2290</v>
      </c>
      <c r="BO3804" t="s">
        <v>24353</v>
      </c>
      <c r="BS3804">
        <v>30</v>
      </c>
      <c r="BW3804" t="str">
        <f>""</f>
        <v/>
      </c>
      <c r="CH3804" t="str">
        <f>""</f>
        <v/>
      </c>
      <c r="CS3804" t="str">
        <f>""</f>
        <v/>
      </c>
    </row>
    <row r="3805" spans="1:97" x14ac:dyDescent="0.25">
      <c r="A3805" t="s">
        <v>4863</v>
      </c>
      <c r="B3805" t="s">
        <v>1820</v>
      </c>
      <c r="C3805" t="s">
        <v>2761</v>
      </c>
      <c r="D3805" t="s">
        <v>1820</v>
      </c>
      <c r="E3805" t="s">
        <v>24354</v>
      </c>
      <c r="F3805" t="s">
        <v>108</v>
      </c>
      <c r="H3805" t="s">
        <v>24355</v>
      </c>
      <c r="I3805" t="s">
        <v>2874</v>
      </c>
      <c r="J3805" t="s">
        <v>111</v>
      </c>
      <c r="K3805" t="str">
        <f>"85310"</f>
        <v>85310</v>
      </c>
      <c r="L3805" t="s">
        <v>1796</v>
      </c>
      <c r="M3805" t="s">
        <v>24355</v>
      </c>
      <c r="N3805" t="s">
        <v>2874</v>
      </c>
      <c r="O3805" t="s">
        <v>111</v>
      </c>
      <c r="P3805" t="str">
        <f>"85310-3365"</f>
        <v>85310-3365</v>
      </c>
      <c r="Q3805" t="s">
        <v>113</v>
      </c>
      <c r="R3805" t="str">
        <f>"205-14-861"</f>
        <v>205-14-861</v>
      </c>
      <c r="S3805" t="s">
        <v>5698</v>
      </c>
      <c r="T3805" t="s">
        <v>5699</v>
      </c>
      <c r="U3805">
        <v>1635</v>
      </c>
      <c r="V3805">
        <v>0</v>
      </c>
      <c r="W3805">
        <v>2</v>
      </c>
      <c r="X3805">
        <v>1996</v>
      </c>
      <c r="Z3805">
        <v>1</v>
      </c>
      <c r="AB3805">
        <v>0</v>
      </c>
      <c r="AC3805" t="s">
        <v>115</v>
      </c>
      <c r="AD3805">
        <v>2</v>
      </c>
      <c r="AE3805" t="s">
        <v>115</v>
      </c>
      <c r="AF3805">
        <v>0</v>
      </c>
      <c r="AG3805">
        <v>0</v>
      </c>
      <c r="AH3805" t="s">
        <v>116</v>
      </c>
      <c r="AI3805" s="1">
        <v>50674</v>
      </c>
      <c r="AJ3805" s="2">
        <v>0.18</v>
      </c>
      <c r="AK3805" s="1">
        <v>286379</v>
      </c>
      <c r="AL3805" t="s">
        <v>117</v>
      </c>
      <c r="AM3805" t="s">
        <v>191</v>
      </c>
      <c r="AN3805">
        <v>7214</v>
      </c>
      <c r="AO3805">
        <v>0.17</v>
      </c>
      <c r="AP3805">
        <v>1</v>
      </c>
      <c r="AR3805">
        <v>1</v>
      </c>
      <c r="AS3805" s="1">
        <v>19160</v>
      </c>
      <c r="AT3805" s="1">
        <v>3830</v>
      </c>
      <c r="AU3805" s="1">
        <v>15330</v>
      </c>
      <c r="AV3805">
        <v>80.010000000000005</v>
      </c>
      <c r="AX3805" s="1">
        <v>1518.82</v>
      </c>
      <c r="AY3805" t="s">
        <v>5701</v>
      </c>
      <c r="AZ3805" t="s">
        <v>3049</v>
      </c>
      <c r="BA3805" t="s">
        <v>1386</v>
      </c>
      <c r="BB3805" s="3">
        <v>42971</v>
      </c>
      <c r="BD3805" t="s">
        <v>157</v>
      </c>
      <c r="BE3805" s="3">
        <v>42552</v>
      </c>
      <c r="BF3805" s="1">
        <v>240000</v>
      </c>
      <c r="BG3805" t="s">
        <v>24356</v>
      </c>
      <c r="BH3805" s="1">
        <v>146.79</v>
      </c>
      <c r="BI3805" s="1">
        <v>235705</v>
      </c>
      <c r="BJ3805" s="3">
        <v>42971</v>
      </c>
      <c r="BK3805" t="s">
        <v>123</v>
      </c>
      <c r="BL3805" t="str">
        <f>"2017.625833"</f>
        <v>2017.625833</v>
      </c>
      <c r="BM3805" t="s">
        <v>1992</v>
      </c>
      <c r="BO3805" t="s">
        <v>24357</v>
      </c>
      <c r="BS3805">
        <v>30</v>
      </c>
      <c r="BW3805" t="str">
        <f>""</f>
        <v/>
      </c>
      <c r="CH3805" t="str">
        <f>""</f>
        <v/>
      </c>
      <c r="CS3805" t="str">
        <f>""</f>
        <v/>
      </c>
    </row>
    <row r="3806" spans="1:97" x14ac:dyDescent="0.25">
      <c r="A3806" t="s">
        <v>24358</v>
      </c>
      <c r="B3806" t="s">
        <v>24359</v>
      </c>
      <c r="C3806" t="s">
        <v>1995</v>
      </c>
      <c r="D3806" t="s">
        <v>24359</v>
      </c>
      <c r="E3806" t="s">
        <v>24360</v>
      </c>
      <c r="F3806" t="s">
        <v>108</v>
      </c>
      <c r="H3806" t="s">
        <v>24361</v>
      </c>
      <c r="I3806" t="s">
        <v>2874</v>
      </c>
      <c r="J3806" t="s">
        <v>111</v>
      </c>
      <c r="K3806" t="str">
        <f>"85304"</f>
        <v>85304</v>
      </c>
      <c r="L3806" t="s">
        <v>6003</v>
      </c>
      <c r="M3806" t="s">
        <v>24361</v>
      </c>
      <c r="N3806" t="s">
        <v>2874</v>
      </c>
      <c r="O3806" t="s">
        <v>111</v>
      </c>
      <c r="P3806" t="str">
        <f>"85304-4237"</f>
        <v>85304-4237</v>
      </c>
      <c r="Q3806" t="s">
        <v>113</v>
      </c>
      <c r="R3806" t="str">
        <f>"148-26-514"</f>
        <v>148-26-514</v>
      </c>
      <c r="S3806" t="s">
        <v>24362</v>
      </c>
      <c r="T3806" t="s">
        <v>24363</v>
      </c>
      <c r="U3806">
        <v>2466</v>
      </c>
      <c r="V3806">
        <v>0</v>
      </c>
      <c r="W3806">
        <v>3</v>
      </c>
      <c r="X3806">
        <v>1984</v>
      </c>
      <c r="Z3806">
        <v>1</v>
      </c>
      <c r="AB3806">
        <v>0</v>
      </c>
      <c r="AC3806" t="s">
        <v>115</v>
      </c>
      <c r="AD3806">
        <v>2</v>
      </c>
      <c r="AE3806" t="s">
        <v>115</v>
      </c>
      <c r="AF3806">
        <v>0</v>
      </c>
      <c r="AG3806">
        <v>0</v>
      </c>
      <c r="AH3806" t="s">
        <v>116</v>
      </c>
      <c r="AI3806" s="1">
        <v>87964</v>
      </c>
      <c r="AJ3806" s="2">
        <v>0.28999999999999998</v>
      </c>
      <c r="AK3806" s="1">
        <v>302479</v>
      </c>
      <c r="AL3806" t="s">
        <v>117</v>
      </c>
      <c r="AM3806" t="s">
        <v>191</v>
      </c>
      <c r="AN3806">
        <v>8255</v>
      </c>
      <c r="AO3806">
        <v>0.19</v>
      </c>
      <c r="AP3806">
        <v>1</v>
      </c>
      <c r="AR3806">
        <v>1</v>
      </c>
      <c r="AS3806" s="1">
        <v>20320</v>
      </c>
      <c r="AT3806" s="1">
        <v>4060</v>
      </c>
      <c r="AU3806" s="1">
        <v>16260</v>
      </c>
      <c r="AV3806">
        <v>80.02</v>
      </c>
      <c r="AX3806" s="1">
        <v>1377.44</v>
      </c>
      <c r="AY3806" t="s">
        <v>10931</v>
      </c>
      <c r="AZ3806" t="s">
        <v>10931</v>
      </c>
      <c r="BA3806" t="s">
        <v>8681</v>
      </c>
      <c r="BE3806" s="3">
        <v>41977</v>
      </c>
      <c r="BF3806" s="1">
        <v>210000</v>
      </c>
      <c r="BG3806" t="s">
        <v>14864</v>
      </c>
      <c r="BH3806" s="1">
        <v>85.16</v>
      </c>
      <c r="BI3806" s="1">
        <v>214515</v>
      </c>
      <c r="BJ3806" s="3">
        <v>41977</v>
      </c>
      <c r="BK3806" t="s">
        <v>123</v>
      </c>
      <c r="BL3806" t="str">
        <f>"2014.798154"</f>
        <v>2014.798154</v>
      </c>
      <c r="BM3806" t="s">
        <v>724</v>
      </c>
      <c r="BO3806" t="s">
        <v>24364</v>
      </c>
      <c r="BS3806">
        <v>30</v>
      </c>
      <c r="BW3806" t="str">
        <f>""</f>
        <v/>
      </c>
      <c r="CH3806" t="str">
        <f>""</f>
        <v/>
      </c>
      <c r="CS3806" t="str">
        <f>""</f>
        <v/>
      </c>
    </row>
    <row r="3807" spans="1:97" x14ac:dyDescent="0.25">
      <c r="A3807" t="s">
        <v>996</v>
      </c>
      <c r="B3807" t="s">
        <v>24365</v>
      </c>
      <c r="C3807" t="s">
        <v>4364</v>
      </c>
      <c r="D3807" t="s">
        <v>24365</v>
      </c>
      <c r="E3807" t="s">
        <v>24366</v>
      </c>
      <c r="F3807" t="s">
        <v>108</v>
      </c>
      <c r="H3807" t="s">
        <v>24367</v>
      </c>
      <c r="I3807" t="s">
        <v>632</v>
      </c>
      <c r="J3807" t="s">
        <v>111</v>
      </c>
      <c r="K3807" t="str">
        <f>"85388"</f>
        <v>85388</v>
      </c>
      <c r="L3807" t="s">
        <v>5727</v>
      </c>
      <c r="M3807" t="s">
        <v>24367</v>
      </c>
      <c r="N3807" t="s">
        <v>632</v>
      </c>
      <c r="O3807" t="s">
        <v>111</v>
      </c>
      <c r="P3807" t="str">
        <f>"85388-5657"</f>
        <v>85388-5657</v>
      </c>
      <c r="Q3807" t="s">
        <v>113</v>
      </c>
      <c r="R3807" t="str">
        <f>"502-06-266"</f>
        <v>502-06-266</v>
      </c>
      <c r="S3807" t="s">
        <v>5728</v>
      </c>
      <c r="T3807" t="s">
        <v>5167</v>
      </c>
      <c r="U3807">
        <v>1898</v>
      </c>
      <c r="V3807">
        <v>0</v>
      </c>
      <c r="W3807">
        <v>3</v>
      </c>
      <c r="X3807">
        <v>2009</v>
      </c>
      <c r="Z3807">
        <v>1</v>
      </c>
      <c r="AB3807">
        <v>0</v>
      </c>
      <c r="AC3807" t="s">
        <v>115</v>
      </c>
      <c r="AD3807">
        <v>2</v>
      </c>
      <c r="AE3807" t="s">
        <v>115</v>
      </c>
      <c r="AF3807">
        <v>0</v>
      </c>
      <c r="AG3807">
        <v>0</v>
      </c>
      <c r="AH3807" t="s">
        <v>116</v>
      </c>
      <c r="AI3807" s="1">
        <v>142</v>
      </c>
      <c r="AJ3807" s="2">
        <v>0</v>
      </c>
      <c r="AK3807" s="1">
        <v>258142</v>
      </c>
      <c r="AL3807" t="s">
        <v>117</v>
      </c>
      <c r="AM3807" t="s">
        <v>118</v>
      </c>
      <c r="AN3807">
        <v>6843</v>
      </c>
      <c r="AO3807">
        <v>0.16</v>
      </c>
      <c r="AR3807">
        <v>1</v>
      </c>
      <c r="AS3807" s="1">
        <v>18460</v>
      </c>
      <c r="AT3807" s="1">
        <v>3690</v>
      </c>
      <c r="AU3807" s="1">
        <v>14770</v>
      </c>
      <c r="AV3807">
        <v>80.010000000000005</v>
      </c>
      <c r="AX3807" s="1">
        <v>1529.68</v>
      </c>
      <c r="AY3807" t="s">
        <v>5168</v>
      </c>
      <c r="AZ3807" t="s">
        <v>5168</v>
      </c>
      <c r="BA3807" t="s">
        <v>5061</v>
      </c>
      <c r="BE3807" s="3">
        <v>42243</v>
      </c>
      <c r="BF3807" s="1">
        <v>219000</v>
      </c>
      <c r="BG3807" t="s">
        <v>24368</v>
      </c>
      <c r="BH3807" s="1">
        <v>115.38</v>
      </c>
      <c r="BI3807" s="1">
        <v>258000</v>
      </c>
      <c r="BJ3807" s="3">
        <v>43598</v>
      </c>
      <c r="BK3807" t="s">
        <v>123</v>
      </c>
      <c r="BL3807" t="str">
        <f>"2019.344557"</f>
        <v>2019.344557</v>
      </c>
      <c r="BM3807" t="s">
        <v>23442</v>
      </c>
      <c r="BN3807" t="s">
        <v>14173</v>
      </c>
      <c r="BO3807" t="s">
        <v>24369</v>
      </c>
      <c r="BP3807" t="s">
        <v>24370</v>
      </c>
      <c r="BR3807" t="s">
        <v>139</v>
      </c>
      <c r="BW3807" t="str">
        <f>""</f>
        <v/>
      </c>
      <c r="CH3807" t="str">
        <f>""</f>
        <v/>
      </c>
      <c r="CS3807" t="str">
        <f>""</f>
        <v/>
      </c>
    </row>
    <row r="3808" spans="1:97" x14ac:dyDescent="0.25">
      <c r="A3808" t="s">
        <v>3377</v>
      </c>
      <c r="B3808" t="s">
        <v>7441</v>
      </c>
      <c r="C3808" t="s">
        <v>3464</v>
      </c>
      <c r="D3808" t="s">
        <v>7441</v>
      </c>
      <c r="E3808" t="s">
        <v>24371</v>
      </c>
      <c r="F3808" t="s">
        <v>108</v>
      </c>
      <c r="H3808" t="s">
        <v>24372</v>
      </c>
      <c r="I3808" t="s">
        <v>632</v>
      </c>
      <c r="J3808" t="s">
        <v>111</v>
      </c>
      <c r="K3808" t="str">
        <f>"85374"</f>
        <v>85374</v>
      </c>
      <c r="L3808" t="s">
        <v>5514</v>
      </c>
      <c r="M3808" t="s">
        <v>24372</v>
      </c>
      <c r="N3808" t="s">
        <v>632</v>
      </c>
      <c r="O3808" t="s">
        <v>111</v>
      </c>
      <c r="P3808" t="str">
        <f>"85374"</f>
        <v>85374</v>
      </c>
      <c r="Q3808" t="s">
        <v>113</v>
      </c>
      <c r="R3808" t="str">
        <f>"232-44-833"</f>
        <v>232-44-833</v>
      </c>
      <c r="S3808" t="s">
        <v>24373</v>
      </c>
      <c r="U3808">
        <v>3010</v>
      </c>
      <c r="V3808">
        <v>0</v>
      </c>
      <c r="W3808">
        <v>4</v>
      </c>
      <c r="X3808">
        <v>2004</v>
      </c>
      <c r="Z3808">
        <v>2</v>
      </c>
      <c r="AA3808" t="s">
        <v>26</v>
      </c>
      <c r="AB3808">
        <v>0</v>
      </c>
      <c r="AC3808" t="s">
        <v>115</v>
      </c>
      <c r="AD3808">
        <v>2</v>
      </c>
      <c r="AE3808" t="s">
        <v>115</v>
      </c>
      <c r="AF3808">
        <v>0</v>
      </c>
      <c r="AG3808">
        <v>0</v>
      </c>
      <c r="AH3808" t="s">
        <v>116</v>
      </c>
      <c r="AI3808" s="1">
        <v>42634</v>
      </c>
      <c r="AJ3808" s="2">
        <v>0.13</v>
      </c>
      <c r="AK3808" s="1">
        <v>326734</v>
      </c>
      <c r="AL3808" t="s">
        <v>117</v>
      </c>
      <c r="AM3808" t="s">
        <v>5516</v>
      </c>
      <c r="AN3808">
        <v>6682</v>
      </c>
      <c r="AO3808">
        <v>0.15</v>
      </c>
      <c r="AP3808">
        <v>1</v>
      </c>
      <c r="AR3808">
        <v>1</v>
      </c>
      <c r="AS3808" s="1">
        <v>23480</v>
      </c>
      <c r="AT3808" s="1">
        <v>4690</v>
      </c>
      <c r="AU3808" s="1">
        <v>18790</v>
      </c>
      <c r="AV3808">
        <v>80.03</v>
      </c>
      <c r="AX3808" s="1">
        <v>1717.4</v>
      </c>
      <c r="AY3808" t="s">
        <v>5517</v>
      </c>
      <c r="AZ3808" t="s">
        <v>5517</v>
      </c>
      <c r="BA3808" t="s">
        <v>5109</v>
      </c>
      <c r="BE3808" s="3">
        <v>41829</v>
      </c>
      <c r="BF3808" s="1">
        <v>227000</v>
      </c>
      <c r="BG3808" t="s">
        <v>24374</v>
      </c>
      <c r="BH3808" s="1">
        <v>75.42</v>
      </c>
      <c r="BI3808" s="1">
        <v>251000</v>
      </c>
      <c r="BJ3808" s="3">
        <v>42648</v>
      </c>
      <c r="BK3808" t="s">
        <v>123</v>
      </c>
      <c r="BL3808" t="str">
        <f>"2016.728091"</f>
        <v>2016.728091</v>
      </c>
      <c r="BM3808" t="s">
        <v>124</v>
      </c>
      <c r="BN3808" t="s">
        <v>1575</v>
      </c>
      <c r="BO3808" t="s">
        <v>24375</v>
      </c>
      <c r="BS3808">
        <v>30</v>
      </c>
      <c r="BT3808" s="1">
        <v>33100</v>
      </c>
      <c r="BU3808" s="3">
        <v>43102</v>
      </c>
      <c r="BW3808" t="str">
        <f>"2018.1744"</f>
        <v>2018.1744</v>
      </c>
      <c r="BX3808" t="s">
        <v>135</v>
      </c>
      <c r="BY3808" t="s">
        <v>136</v>
      </c>
      <c r="BZ3808" t="s">
        <v>24376</v>
      </c>
      <c r="CA3808" t="s">
        <v>24377</v>
      </c>
      <c r="CC3808" t="s">
        <v>346</v>
      </c>
      <c r="CH3808" t="str">
        <f>""</f>
        <v/>
      </c>
      <c r="CS3808" t="str">
        <f>""</f>
        <v/>
      </c>
    </row>
    <row r="3809" spans="1:97" x14ac:dyDescent="0.25">
      <c r="A3809" t="s">
        <v>2542</v>
      </c>
      <c r="B3809" t="s">
        <v>9020</v>
      </c>
      <c r="C3809" t="s">
        <v>13625</v>
      </c>
      <c r="D3809" t="s">
        <v>9020</v>
      </c>
      <c r="E3809" t="s">
        <v>24378</v>
      </c>
      <c r="F3809" t="s">
        <v>108</v>
      </c>
      <c r="H3809" t="s">
        <v>24379</v>
      </c>
      <c r="I3809" t="s">
        <v>632</v>
      </c>
      <c r="J3809" t="s">
        <v>111</v>
      </c>
      <c r="K3809" t="str">
        <f>"85374"</f>
        <v>85374</v>
      </c>
      <c r="L3809" t="s">
        <v>7116</v>
      </c>
      <c r="M3809" t="s">
        <v>24379</v>
      </c>
      <c r="N3809" t="s">
        <v>632</v>
      </c>
      <c r="O3809" t="s">
        <v>111</v>
      </c>
      <c r="P3809" t="str">
        <f>"85374-8594"</f>
        <v>85374-8594</v>
      </c>
      <c r="Q3809" t="s">
        <v>113</v>
      </c>
      <c r="R3809" t="str">
        <f>"232-40-707"</f>
        <v>232-40-707</v>
      </c>
      <c r="S3809" t="s">
        <v>24380</v>
      </c>
      <c r="T3809" t="s">
        <v>24380</v>
      </c>
      <c r="U3809">
        <v>1645</v>
      </c>
      <c r="V3809">
        <v>0</v>
      </c>
      <c r="W3809">
        <v>3</v>
      </c>
      <c r="X3809">
        <v>2000</v>
      </c>
      <c r="Z3809">
        <v>1</v>
      </c>
      <c r="AB3809">
        <v>0</v>
      </c>
      <c r="AC3809" t="s">
        <v>115</v>
      </c>
      <c r="AD3809">
        <v>2</v>
      </c>
      <c r="AE3809" t="s">
        <v>115</v>
      </c>
      <c r="AF3809">
        <v>0</v>
      </c>
      <c r="AG3809">
        <v>0</v>
      </c>
      <c r="AH3809" t="s">
        <v>116</v>
      </c>
      <c r="AI3809" s="1">
        <v>45890</v>
      </c>
      <c r="AJ3809" s="2">
        <v>0.15</v>
      </c>
      <c r="AK3809" s="1">
        <v>299119</v>
      </c>
      <c r="AL3809" t="s">
        <v>117</v>
      </c>
      <c r="AM3809" t="s">
        <v>118</v>
      </c>
      <c r="AN3809">
        <v>8861</v>
      </c>
      <c r="AO3809">
        <v>0.2</v>
      </c>
      <c r="AP3809">
        <v>1</v>
      </c>
      <c r="AR3809">
        <v>1</v>
      </c>
      <c r="AS3809" s="1">
        <v>19880</v>
      </c>
      <c r="AT3809" s="1">
        <v>3970</v>
      </c>
      <c r="AU3809" s="1">
        <v>15910</v>
      </c>
      <c r="AV3809">
        <v>80.03</v>
      </c>
      <c r="AX3809" s="1">
        <v>2047.98</v>
      </c>
      <c r="AY3809" t="s">
        <v>5108</v>
      </c>
      <c r="AZ3809" t="s">
        <v>5108</v>
      </c>
      <c r="BA3809" t="s">
        <v>5109</v>
      </c>
      <c r="BE3809" s="3">
        <v>42410</v>
      </c>
      <c r="BF3809" s="1">
        <v>248000</v>
      </c>
      <c r="BG3809" t="s">
        <v>24381</v>
      </c>
      <c r="BH3809" s="1">
        <v>150.76</v>
      </c>
      <c r="BI3809" s="1">
        <v>253229</v>
      </c>
      <c r="BJ3809" s="3">
        <v>42410</v>
      </c>
      <c r="BK3809" t="s">
        <v>123</v>
      </c>
      <c r="BL3809" t="str">
        <f>"2016.87572"</f>
        <v>2016.87572</v>
      </c>
      <c r="BM3809" t="s">
        <v>724</v>
      </c>
      <c r="BO3809" t="s">
        <v>24382</v>
      </c>
      <c r="BS3809">
        <v>30</v>
      </c>
      <c r="BW3809" t="str">
        <f>""</f>
        <v/>
      </c>
      <c r="CH3809" t="str">
        <f>""</f>
        <v/>
      </c>
      <c r="CS3809" t="str">
        <f>""</f>
        <v/>
      </c>
    </row>
    <row r="3810" spans="1:97" x14ac:dyDescent="0.25">
      <c r="A3810" t="s">
        <v>177</v>
      </c>
      <c r="B3810" t="s">
        <v>24383</v>
      </c>
      <c r="C3810" t="s">
        <v>4888</v>
      </c>
      <c r="D3810" t="s">
        <v>24384</v>
      </c>
      <c r="E3810" t="s">
        <v>24385</v>
      </c>
      <c r="F3810" t="s">
        <v>108</v>
      </c>
      <c r="H3810" t="s">
        <v>24386</v>
      </c>
      <c r="I3810" t="s">
        <v>203</v>
      </c>
      <c r="J3810" t="s">
        <v>111</v>
      </c>
      <c r="K3810" t="str">
        <f>"85234"</f>
        <v>85234</v>
      </c>
      <c r="L3810" t="s">
        <v>5918</v>
      </c>
      <c r="M3810" t="s">
        <v>24386</v>
      </c>
      <c r="N3810" t="s">
        <v>203</v>
      </c>
      <c r="O3810" t="s">
        <v>111</v>
      </c>
      <c r="P3810" t="str">
        <f>"85234-4518"</f>
        <v>85234-4518</v>
      </c>
      <c r="Q3810" t="s">
        <v>113</v>
      </c>
      <c r="R3810" t="str">
        <f>"304-12-173"</f>
        <v>304-12-173</v>
      </c>
      <c r="S3810" t="s">
        <v>24387</v>
      </c>
      <c r="U3810">
        <v>1845</v>
      </c>
      <c r="V3810">
        <v>0</v>
      </c>
      <c r="W3810">
        <v>2</v>
      </c>
      <c r="X3810">
        <v>1979</v>
      </c>
      <c r="Z3810">
        <v>1</v>
      </c>
      <c r="AB3810">
        <v>0</v>
      </c>
      <c r="AC3810" t="s">
        <v>115</v>
      </c>
      <c r="AD3810">
        <v>2</v>
      </c>
      <c r="AE3810" t="s">
        <v>115</v>
      </c>
      <c r="AF3810">
        <v>0</v>
      </c>
      <c r="AG3810">
        <v>0</v>
      </c>
      <c r="AH3810" t="s">
        <v>116</v>
      </c>
      <c r="AI3810" s="1">
        <v>103613</v>
      </c>
      <c r="AJ3810" s="2">
        <v>0.31</v>
      </c>
      <c r="AK3810" s="1">
        <v>329933</v>
      </c>
      <c r="AL3810" t="s">
        <v>117</v>
      </c>
      <c r="AM3810" t="s">
        <v>393</v>
      </c>
      <c r="AN3810">
        <v>9143</v>
      </c>
      <c r="AO3810">
        <v>0.21</v>
      </c>
      <c r="AP3810">
        <v>1</v>
      </c>
      <c r="AR3810">
        <v>1</v>
      </c>
      <c r="AS3810" s="1">
        <v>22070</v>
      </c>
      <c r="AT3810" s="1">
        <v>4410</v>
      </c>
      <c r="AU3810" s="1">
        <v>17660</v>
      </c>
      <c r="AV3810">
        <v>80.02</v>
      </c>
      <c r="AX3810" s="1">
        <v>1134.08</v>
      </c>
      <c r="AY3810" t="s">
        <v>9115</v>
      </c>
      <c r="AZ3810" t="s">
        <v>5478</v>
      </c>
      <c r="BA3810" t="s">
        <v>5033</v>
      </c>
      <c r="BB3810" s="3">
        <v>42871</v>
      </c>
      <c r="BD3810" t="s">
        <v>458</v>
      </c>
      <c r="BE3810" s="3">
        <v>42240</v>
      </c>
      <c r="BF3810" s="1">
        <v>230000</v>
      </c>
      <c r="BG3810" t="s">
        <v>24388</v>
      </c>
      <c r="BH3810" s="1">
        <v>124.66</v>
      </c>
      <c r="BI3810" s="1">
        <v>226320</v>
      </c>
      <c r="BJ3810" s="3">
        <v>42429</v>
      </c>
      <c r="BK3810" t="s">
        <v>123</v>
      </c>
      <c r="BL3810" t="str">
        <f>"2016.126430"</f>
        <v>2016.126430</v>
      </c>
      <c r="BM3810" t="s">
        <v>361</v>
      </c>
      <c r="BN3810" t="s">
        <v>884</v>
      </c>
      <c r="BO3810" t="s">
        <v>24389</v>
      </c>
      <c r="BS3810">
        <v>30</v>
      </c>
      <c r="BW3810" t="str">
        <f>""</f>
        <v/>
      </c>
      <c r="CH3810" t="str">
        <f>""</f>
        <v/>
      </c>
      <c r="CS3810" t="str">
        <f>""</f>
        <v/>
      </c>
    </row>
    <row r="3811" spans="1:97" x14ac:dyDescent="0.25">
      <c r="A3811" t="s">
        <v>5044</v>
      </c>
      <c r="B3811" t="s">
        <v>24390</v>
      </c>
      <c r="C3811" t="s">
        <v>7856</v>
      </c>
      <c r="D3811" t="s">
        <v>24390</v>
      </c>
      <c r="E3811" t="s">
        <v>24391</v>
      </c>
      <c r="F3811" t="s">
        <v>108</v>
      </c>
      <c r="H3811" t="s">
        <v>24392</v>
      </c>
      <c r="I3811" t="s">
        <v>499</v>
      </c>
      <c r="J3811" t="s">
        <v>111</v>
      </c>
      <c r="K3811" t="str">
        <f>"85395"</f>
        <v>85395</v>
      </c>
      <c r="L3811" t="s">
        <v>541</v>
      </c>
      <c r="M3811" t="s">
        <v>24392</v>
      </c>
      <c r="N3811" t="s">
        <v>499</v>
      </c>
      <c r="O3811" t="s">
        <v>111</v>
      </c>
      <c r="P3811" t="str">
        <f>"85395-7113"</f>
        <v>85395-7113</v>
      </c>
      <c r="Q3811" t="s">
        <v>113</v>
      </c>
      <c r="R3811" t="str">
        <f>"508-14-592"</f>
        <v>508-14-592</v>
      </c>
      <c r="S3811" t="s">
        <v>7193</v>
      </c>
      <c r="T3811" t="s">
        <v>3018</v>
      </c>
      <c r="U3811">
        <v>2708</v>
      </c>
      <c r="V3811">
        <v>0</v>
      </c>
      <c r="W3811">
        <v>4</v>
      </c>
      <c r="X3811">
        <v>2012</v>
      </c>
      <c r="Z3811">
        <v>2</v>
      </c>
      <c r="AB3811">
        <v>0</v>
      </c>
      <c r="AC3811" t="s">
        <v>115</v>
      </c>
      <c r="AD3811">
        <v>3</v>
      </c>
      <c r="AE3811" t="s">
        <v>115</v>
      </c>
      <c r="AF3811">
        <v>0</v>
      </c>
      <c r="AG3811">
        <v>0</v>
      </c>
      <c r="AH3811" t="s">
        <v>116</v>
      </c>
      <c r="AI3811" s="1">
        <v>84769</v>
      </c>
      <c r="AJ3811" s="2">
        <v>0.22</v>
      </c>
      <c r="AK3811" s="1">
        <v>383044</v>
      </c>
      <c r="AL3811" t="s">
        <v>117</v>
      </c>
      <c r="AM3811" t="s">
        <v>118</v>
      </c>
      <c r="AN3811">
        <v>10763</v>
      </c>
      <c r="AO3811">
        <v>0.25</v>
      </c>
      <c r="AR3811">
        <v>1</v>
      </c>
      <c r="AS3811" s="1">
        <v>27870</v>
      </c>
      <c r="AT3811" s="1">
        <v>5570</v>
      </c>
      <c r="AU3811" s="1">
        <v>22300</v>
      </c>
      <c r="AV3811">
        <v>80.010000000000005</v>
      </c>
      <c r="AX3811" s="1">
        <v>3334.58</v>
      </c>
      <c r="AY3811" t="s">
        <v>3019</v>
      </c>
      <c r="AZ3811" t="s">
        <v>3020</v>
      </c>
      <c r="BA3811" t="s">
        <v>218</v>
      </c>
      <c r="BE3811" s="3">
        <v>41975</v>
      </c>
      <c r="BF3811" s="1">
        <v>262500</v>
      </c>
      <c r="BG3811" t="s">
        <v>24393</v>
      </c>
      <c r="BH3811" s="1">
        <v>96.94</v>
      </c>
      <c r="BI3811" s="1">
        <v>268308</v>
      </c>
      <c r="BJ3811" s="3">
        <v>42703</v>
      </c>
      <c r="BK3811" t="s">
        <v>123</v>
      </c>
      <c r="BL3811" t="str">
        <f>"2016.874081"</f>
        <v>2016.874081</v>
      </c>
      <c r="BM3811" t="s">
        <v>322</v>
      </c>
      <c r="BN3811" t="s">
        <v>534</v>
      </c>
      <c r="BO3811" t="s">
        <v>24394</v>
      </c>
      <c r="BS3811">
        <v>30</v>
      </c>
      <c r="BT3811" s="1">
        <v>29967</v>
      </c>
      <c r="BU3811" s="3">
        <v>43340</v>
      </c>
      <c r="BV3811" t="s">
        <v>134</v>
      </c>
      <c r="BW3811" t="str">
        <f>"2018.648431"</f>
        <v>2018.648431</v>
      </c>
      <c r="BX3811" t="s">
        <v>5002</v>
      </c>
      <c r="BY3811" t="s">
        <v>5003</v>
      </c>
      <c r="BZ3811" t="s">
        <v>24395</v>
      </c>
      <c r="CA3811" t="s">
        <v>24396</v>
      </c>
      <c r="CC3811" t="s">
        <v>139</v>
      </c>
      <c r="CH3811" t="str">
        <f>""</f>
        <v/>
      </c>
      <c r="CS3811" t="str">
        <f>""</f>
        <v/>
      </c>
    </row>
    <row r="3812" spans="1:97" x14ac:dyDescent="0.25">
      <c r="A3812" t="s">
        <v>7344</v>
      </c>
      <c r="B3812" t="s">
        <v>23196</v>
      </c>
      <c r="C3812" t="s">
        <v>1850</v>
      </c>
      <c r="D3812" t="s">
        <v>24397</v>
      </c>
      <c r="E3812" t="s">
        <v>24398</v>
      </c>
      <c r="F3812" t="s">
        <v>108</v>
      </c>
      <c r="H3812" t="s">
        <v>24399</v>
      </c>
      <c r="I3812" t="s">
        <v>390</v>
      </c>
      <c r="J3812" t="s">
        <v>111</v>
      </c>
      <c r="K3812" t="str">
        <f>"85028"</f>
        <v>85028</v>
      </c>
      <c r="L3812" t="s">
        <v>2875</v>
      </c>
      <c r="M3812" t="s">
        <v>24399</v>
      </c>
      <c r="N3812" t="s">
        <v>390</v>
      </c>
      <c r="O3812" t="s">
        <v>111</v>
      </c>
      <c r="P3812" t="str">
        <f>"85028-4315"</f>
        <v>85028-4315</v>
      </c>
      <c r="Q3812" t="s">
        <v>113</v>
      </c>
      <c r="R3812" t="str">
        <f>"165-29-011"</f>
        <v>165-29-011</v>
      </c>
      <c r="S3812" t="s">
        <v>24400</v>
      </c>
      <c r="T3812" t="s">
        <v>24401</v>
      </c>
      <c r="U3812">
        <v>2028</v>
      </c>
      <c r="V3812">
        <v>0</v>
      </c>
      <c r="W3812">
        <v>2</v>
      </c>
      <c r="X3812">
        <v>1963</v>
      </c>
      <c r="Z3812">
        <v>1</v>
      </c>
      <c r="AA3812" t="s">
        <v>26</v>
      </c>
      <c r="AB3812">
        <v>0</v>
      </c>
      <c r="AC3812" t="s">
        <v>115</v>
      </c>
      <c r="AD3812">
        <v>2</v>
      </c>
      <c r="AE3812" t="s">
        <v>115</v>
      </c>
      <c r="AF3812">
        <v>0</v>
      </c>
      <c r="AG3812">
        <v>0</v>
      </c>
      <c r="AH3812" t="s">
        <v>116</v>
      </c>
      <c r="AI3812" s="1">
        <v>39235</v>
      </c>
      <c r="AJ3812" s="2">
        <v>0.1</v>
      </c>
      <c r="AK3812" s="1">
        <v>397635</v>
      </c>
      <c r="AL3812" t="s">
        <v>117</v>
      </c>
      <c r="AM3812" t="s">
        <v>1302</v>
      </c>
      <c r="AN3812">
        <v>13012</v>
      </c>
      <c r="AO3812">
        <v>0.3</v>
      </c>
      <c r="AP3812">
        <v>1</v>
      </c>
      <c r="AR3812">
        <v>1</v>
      </c>
      <c r="AS3812" s="1">
        <v>31000</v>
      </c>
      <c r="AT3812" s="1">
        <v>6200</v>
      </c>
      <c r="AU3812" s="1">
        <v>24800</v>
      </c>
      <c r="AV3812">
        <v>80</v>
      </c>
      <c r="AX3812" s="1">
        <v>2656.42</v>
      </c>
      <c r="AY3812" t="s">
        <v>9580</v>
      </c>
      <c r="AZ3812" t="s">
        <v>5489</v>
      </c>
      <c r="BA3812" t="s">
        <v>5232</v>
      </c>
      <c r="BE3812" s="3">
        <v>42272</v>
      </c>
      <c r="BF3812" s="1">
        <v>350000</v>
      </c>
      <c r="BG3812" t="s">
        <v>24402</v>
      </c>
      <c r="BH3812" s="1">
        <v>172.58</v>
      </c>
      <c r="BI3812" s="1">
        <v>358400</v>
      </c>
      <c r="BJ3812" s="3">
        <v>42272</v>
      </c>
      <c r="BK3812" t="s">
        <v>123</v>
      </c>
      <c r="BL3812" t="str">
        <f>"2015.691562"</f>
        <v>2015.691562</v>
      </c>
      <c r="BM3812" t="s">
        <v>475</v>
      </c>
      <c r="BO3812" t="s">
        <v>24403</v>
      </c>
      <c r="BP3812" t="s">
        <v>24403</v>
      </c>
      <c r="BS3812">
        <v>30</v>
      </c>
      <c r="BW3812" t="str">
        <f>""</f>
        <v/>
      </c>
      <c r="CH3812" t="str">
        <f>""</f>
        <v/>
      </c>
      <c r="CS3812" t="str">
        <f>""</f>
        <v/>
      </c>
    </row>
    <row r="3813" spans="1:97" x14ac:dyDescent="0.25">
      <c r="A3813" t="s">
        <v>1906</v>
      </c>
      <c r="B3813" t="s">
        <v>24404</v>
      </c>
      <c r="E3813" t="s">
        <v>24405</v>
      </c>
      <c r="F3813" t="s">
        <v>108</v>
      </c>
      <c r="H3813" t="s">
        <v>24406</v>
      </c>
      <c r="I3813" t="s">
        <v>390</v>
      </c>
      <c r="J3813" t="s">
        <v>111</v>
      </c>
      <c r="K3813" t="str">
        <f>"85013"</f>
        <v>85013</v>
      </c>
      <c r="L3813" t="s">
        <v>5308</v>
      </c>
      <c r="M3813" t="s">
        <v>24406</v>
      </c>
      <c r="N3813" t="s">
        <v>390</v>
      </c>
      <c r="O3813" t="s">
        <v>111</v>
      </c>
      <c r="P3813" t="str">
        <f>"85013-2036"</f>
        <v>85013-2036</v>
      </c>
      <c r="Q3813" t="s">
        <v>113</v>
      </c>
      <c r="R3813" t="str">
        <f>"162-27-041"</f>
        <v>162-27-041</v>
      </c>
      <c r="S3813" t="s">
        <v>11256</v>
      </c>
      <c r="T3813" t="s">
        <v>11256</v>
      </c>
      <c r="U3813">
        <v>1210</v>
      </c>
      <c r="V3813">
        <v>0</v>
      </c>
      <c r="W3813">
        <v>1</v>
      </c>
      <c r="X3813">
        <v>1949</v>
      </c>
      <c r="Z3813">
        <v>1</v>
      </c>
      <c r="AB3813">
        <v>0</v>
      </c>
      <c r="AC3813" t="s">
        <v>115</v>
      </c>
      <c r="AD3813">
        <v>1</v>
      </c>
      <c r="AE3813" t="s">
        <v>115</v>
      </c>
      <c r="AF3813">
        <v>0</v>
      </c>
      <c r="AG3813">
        <v>0</v>
      </c>
      <c r="AH3813" t="s">
        <v>116</v>
      </c>
      <c r="AI3813" s="1">
        <v>87571</v>
      </c>
      <c r="AJ3813" s="2">
        <v>0.28000000000000003</v>
      </c>
      <c r="AK3813" s="1">
        <v>310571</v>
      </c>
      <c r="AL3813" t="s">
        <v>117</v>
      </c>
      <c r="AM3813" t="s">
        <v>1302</v>
      </c>
      <c r="AN3813">
        <v>8080</v>
      </c>
      <c r="AO3813">
        <v>0.18</v>
      </c>
      <c r="AP3813">
        <v>1</v>
      </c>
      <c r="AR3813">
        <v>1</v>
      </c>
      <c r="AS3813" s="1">
        <v>11360</v>
      </c>
      <c r="AT3813" s="1">
        <v>2270</v>
      </c>
      <c r="AU3813" s="1">
        <v>9090</v>
      </c>
      <c r="AV3813">
        <v>80.02</v>
      </c>
      <c r="AX3813" s="1">
        <v>1213.42</v>
      </c>
      <c r="AY3813" t="s">
        <v>5734</v>
      </c>
      <c r="AZ3813" t="s">
        <v>5735</v>
      </c>
      <c r="BA3813" t="s">
        <v>5691</v>
      </c>
      <c r="BE3813" s="3">
        <v>42243</v>
      </c>
      <c r="BF3813" s="1">
        <v>238000</v>
      </c>
      <c r="BG3813" t="s">
        <v>24407</v>
      </c>
      <c r="BH3813" s="1">
        <v>196.69</v>
      </c>
      <c r="BI3813" s="1">
        <v>223000</v>
      </c>
      <c r="BJ3813" s="3">
        <v>42243</v>
      </c>
      <c r="BK3813" t="s">
        <v>123</v>
      </c>
      <c r="BL3813" t="str">
        <f>"2015.621527"</f>
        <v>2015.621527</v>
      </c>
      <c r="BM3813" t="s">
        <v>4738</v>
      </c>
      <c r="BO3813" t="s">
        <v>24408</v>
      </c>
      <c r="BS3813">
        <v>30</v>
      </c>
      <c r="BW3813" t="str">
        <f>""</f>
        <v/>
      </c>
      <c r="CH3813" t="str">
        <f>""</f>
        <v/>
      </c>
      <c r="CS3813" t="str">
        <f>""</f>
        <v/>
      </c>
    </row>
    <row r="3814" spans="1:97" x14ac:dyDescent="0.25">
      <c r="A3814" t="s">
        <v>1083</v>
      </c>
      <c r="B3814" t="s">
        <v>6876</v>
      </c>
      <c r="C3814" t="s">
        <v>3902</v>
      </c>
      <c r="D3814" t="s">
        <v>6876</v>
      </c>
      <c r="E3814" t="s">
        <v>24409</v>
      </c>
      <c r="F3814" t="s">
        <v>108</v>
      </c>
      <c r="H3814" t="s">
        <v>24410</v>
      </c>
      <c r="I3814" t="s">
        <v>203</v>
      </c>
      <c r="J3814" t="s">
        <v>111</v>
      </c>
      <c r="K3814" t="str">
        <f>"85295"</f>
        <v>85295</v>
      </c>
      <c r="L3814" t="s">
        <v>10083</v>
      </c>
      <c r="M3814" t="s">
        <v>24410</v>
      </c>
      <c r="N3814" t="s">
        <v>203</v>
      </c>
      <c r="O3814" t="s">
        <v>111</v>
      </c>
      <c r="P3814" t="str">
        <f>"85295-6077"</f>
        <v>85295-6077</v>
      </c>
      <c r="Q3814" t="s">
        <v>113</v>
      </c>
      <c r="R3814" t="str">
        <f>"304-46-379"</f>
        <v>304-46-379</v>
      </c>
      <c r="S3814" t="s">
        <v>12136</v>
      </c>
      <c r="T3814" t="s">
        <v>12137</v>
      </c>
      <c r="U3814">
        <v>2102</v>
      </c>
      <c r="V3814">
        <v>0</v>
      </c>
      <c r="W3814">
        <v>5</v>
      </c>
      <c r="X3814">
        <v>2006</v>
      </c>
      <c r="Z3814">
        <v>2</v>
      </c>
      <c r="AB3814">
        <v>0</v>
      </c>
      <c r="AC3814" t="s">
        <v>115</v>
      </c>
      <c r="AD3814">
        <v>2</v>
      </c>
      <c r="AE3814" t="s">
        <v>115</v>
      </c>
      <c r="AF3814">
        <v>0</v>
      </c>
      <c r="AG3814">
        <v>0</v>
      </c>
      <c r="AH3814" t="s">
        <v>116</v>
      </c>
      <c r="AI3814" s="1">
        <v>99264</v>
      </c>
      <c r="AJ3814" s="2">
        <v>0.33</v>
      </c>
      <c r="AK3814" s="1">
        <v>303492</v>
      </c>
      <c r="AL3814" t="s">
        <v>117</v>
      </c>
      <c r="AM3814" t="s">
        <v>288</v>
      </c>
      <c r="AN3814">
        <v>2960</v>
      </c>
      <c r="AO3814">
        <v>0.68</v>
      </c>
      <c r="AR3814">
        <v>1</v>
      </c>
      <c r="AS3814" s="1">
        <v>20150</v>
      </c>
      <c r="AT3814" s="1">
        <v>4030</v>
      </c>
      <c r="AU3814" s="1">
        <v>16120</v>
      </c>
      <c r="AV3814">
        <v>80</v>
      </c>
      <c r="AX3814" s="1">
        <v>1414.98</v>
      </c>
      <c r="AY3814" t="s">
        <v>1818</v>
      </c>
      <c r="AZ3814" t="s">
        <v>207</v>
      </c>
      <c r="BA3814" t="s">
        <v>208</v>
      </c>
      <c r="BE3814" s="3">
        <v>41880</v>
      </c>
      <c r="BF3814" s="1">
        <v>211800</v>
      </c>
      <c r="BG3814" t="s">
        <v>24411</v>
      </c>
      <c r="BH3814" s="1">
        <v>100.76</v>
      </c>
      <c r="BI3814" s="1">
        <v>204228</v>
      </c>
      <c r="BJ3814" s="3">
        <v>41880</v>
      </c>
      <c r="BK3814" t="s">
        <v>123</v>
      </c>
      <c r="BL3814" t="str">
        <f>"2014.577135"</f>
        <v>2014.577135</v>
      </c>
      <c r="BM3814" t="s">
        <v>10507</v>
      </c>
      <c r="BO3814" t="s">
        <v>24412</v>
      </c>
      <c r="BS3814">
        <v>30</v>
      </c>
      <c r="BW3814" t="str">
        <f>""</f>
        <v/>
      </c>
      <c r="CH3814" t="str">
        <f>""</f>
        <v/>
      </c>
      <c r="CS3814" t="str">
        <f>""</f>
        <v/>
      </c>
    </row>
    <row r="3815" spans="1:97" x14ac:dyDescent="0.25">
      <c r="A3815" t="s">
        <v>2123</v>
      </c>
      <c r="B3815" t="s">
        <v>6807</v>
      </c>
      <c r="C3815" t="s">
        <v>2395</v>
      </c>
      <c r="D3815" t="s">
        <v>6807</v>
      </c>
      <c r="E3815" t="s">
        <v>24413</v>
      </c>
      <c r="F3815" t="s">
        <v>108</v>
      </c>
      <c r="H3815" t="s">
        <v>24414</v>
      </c>
      <c r="I3815" t="s">
        <v>453</v>
      </c>
      <c r="J3815" t="s">
        <v>111</v>
      </c>
      <c r="K3815" t="str">
        <f>"85382"</f>
        <v>85382</v>
      </c>
      <c r="L3815" t="s">
        <v>6481</v>
      </c>
      <c r="M3815" t="s">
        <v>24414</v>
      </c>
      <c r="N3815" t="s">
        <v>453</v>
      </c>
      <c r="O3815" t="s">
        <v>111</v>
      </c>
      <c r="P3815" t="str">
        <f>"85382-4480"</f>
        <v>85382-4480</v>
      </c>
      <c r="Q3815" t="s">
        <v>113</v>
      </c>
      <c r="R3815" t="str">
        <f>"200-18-268"</f>
        <v>200-18-268</v>
      </c>
      <c r="S3815" t="s">
        <v>11500</v>
      </c>
      <c r="U3815">
        <v>1195</v>
      </c>
      <c r="V3815">
        <v>0</v>
      </c>
      <c r="W3815">
        <v>2</v>
      </c>
      <c r="X3815">
        <v>1998</v>
      </c>
      <c r="Z3815">
        <v>1</v>
      </c>
      <c r="AB3815">
        <v>0</v>
      </c>
      <c r="AC3815" t="s">
        <v>115</v>
      </c>
      <c r="AD3815">
        <v>2</v>
      </c>
      <c r="AE3815" t="s">
        <v>115</v>
      </c>
      <c r="AF3815">
        <v>0</v>
      </c>
      <c r="AG3815">
        <v>0</v>
      </c>
      <c r="AH3815" t="s">
        <v>116</v>
      </c>
      <c r="AI3815" s="1">
        <v>29716</v>
      </c>
      <c r="AJ3815" s="2">
        <v>0.12</v>
      </c>
      <c r="AK3815" s="1">
        <v>245763</v>
      </c>
      <c r="AL3815" t="s">
        <v>117</v>
      </c>
      <c r="AM3815" t="s">
        <v>118</v>
      </c>
      <c r="AN3815">
        <v>5800</v>
      </c>
      <c r="AO3815">
        <v>0.13</v>
      </c>
      <c r="AP3815">
        <v>1</v>
      </c>
      <c r="AR3815">
        <v>1</v>
      </c>
      <c r="AS3815" s="1">
        <v>15980</v>
      </c>
      <c r="AT3815" s="1">
        <v>3190</v>
      </c>
      <c r="AU3815" s="1">
        <v>12790</v>
      </c>
      <c r="AV3815">
        <v>80.040000000000006</v>
      </c>
      <c r="AX3815" s="1">
        <v>1287.06</v>
      </c>
      <c r="AY3815" t="s">
        <v>4218</v>
      </c>
      <c r="AZ3815" t="s">
        <v>4218</v>
      </c>
      <c r="BA3815" t="s">
        <v>4219</v>
      </c>
      <c r="BE3815" s="3">
        <v>42437</v>
      </c>
      <c r="BF3815" s="1">
        <v>211500</v>
      </c>
      <c r="BG3815" t="s">
        <v>24415</v>
      </c>
      <c r="BH3815" s="1">
        <v>176.99</v>
      </c>
      <c r="BI3815" s="1">
        <v>216047</v>
      </c>
      <c r="BJ3815" s="3">
        <v>42437</v>
      </c>
      <c r="BK3815" t="s">
        <v>123</v>
      </c>
      <c r="BL3815" t="str">
        <f>"2016.149864"</f>
        <v>2016.149864</v>
      </c>
      <c r="BM3815" t="s">
        <v>2683</v>
      </c>
      <c r="BO3815" t="s">
        <v>24416</v>
      </c>
      <c r="BS3815">
        <v>30</v>
      </c>
      <c r="BW3815" t="str">
        <f>""</f>
        <v/>
      </c>
      <c r="CH3815" t="str">
        <f>""</f>
        <v/>
      </c>
      <c r="CS3815" t="str">
        <f>""</f>
        <v/>
      </c>
    </row>
    <row r="3816" spans="1:97" x14ac:dyDescent="0.25">
      <c r="A3816" t="s">
        <v>815</v>
      </c>
      <c r="B3816" t="s">
        <v>24417</v>
      </c>
      <c r="E3816" t="s">
        <v>24418</v>
      </c>
      <c r="F3816" t="s">
        <v>108</v>
      </c>
      <c r="H3816" t="s">
        <v>24419</v>
      </c>
      <c r="I3816" t="s">
        <v>632</v>
      </c>
      <c r="J3816" t="s">
        <v>111</v>
      </c>
      <c r="K3816" t="str">
        <f>"85388"</f>
        <v>85388</v>
      </c>
      <c r="L3816" t="s">
        <v>7607</v>
      </c>
      <c r="M3816" t="s">
        <v>24419</v>
      </c>
      <c r="N3816" t="s">
        <v>632</v>
      </c>
      <c r="O3816" t="s">
        <v>111</v>
      </c>
      <c r="P3816" t="str">
        <f>"85388-1601"</f>
        <v>85388-1601</v>
      </c>
      <c r="Q3816" t="s">
        <v>113</v>
      </c>
      <c r="R3816" t="str">
        <f>"502-02-452"</f>
        <v>502-02-452</v>
      </c>
      <c r="S3816" t="s">
        <v>10965</v>
      </c>
      <c r="T3816" t="s">
        <v>10966</v>
      </c>
      <c r="U3816">
        <v>2285</v>
      </c>
      <c r="V3816">
        <v>0</v>
      </c>
      <c r="W3816">
        <v>4</v>
      </c>
      <c r="X3816">
        <v>2005</v>
      </c>
      <c r="Z3816">
        <v>2</v>
      </c>
      <c r="AB3816">
        <v>0</v>
      </c>
      <c r="AC3816" t="s">
        <v>115</v>
      </c>
      <c r="AD3816">
        <v>2</v>
      </c>
      <c r="AE3816" t="s">
        <v>115</v>
      </c>
      <c r="AF3816">
        <v>0</v>
      </c>
      <c r="AG3816">
        <v>0</v>
      </c>
      <c r="AH3816" t="s">
        <v>116</v>
      </c>
      <c r="AI3816" s="1">
        <v>63442</v>
      </c>
      <c r="AJ3816" s="2">
        <v>0.24</v>
      </c>
      <c r="AK3816" s="1">
        <v>266116</v>
      </c>
      <c r="AL3816" t="s">
        <v>117</v>
      </c>
      <c r="AM3816" t="s">
        <v>118</v>
      </c>
      <c r="AN3816">
        <v>5175</v>
      </c>
      <c r="AO3816">
        <v>0.12</v>
      </c>
      <c r="AR3816">
        <v>1</v>
      </c>
      <c r="AS3816" s="1">
        <v>18110</v>
      </c>
      <c r="AT3816" s="1">
        <v>3620</v>
      </c>
      <c r="AU3816" s="1">
        <v>14490</v>
      </c>
      <c r="AV3816">
        <v>80.010000000000005</v>
      </c>
      <c r="AX3816" s="1">
        <v>1481.4</v>
      </c>
      <c r="AY3816" t="s">
        <v>5168</v>
      </c>
      <c r="AZ3816" t="s">
        <v>5168</v>
      </c>
      <c r="BA3816" t="s">
        <v>5109</v>
      </c>
      <c r="BB3816" s="3">
        <v>42783</v>
      </c>
      <c r="BD3816" t="s">
        <v>458</v>
      </c>
      <c r="BE3816" s="3">
        <v>42269</v>
      </c>
      <c r="BF3816" s="1">
        <v>199900</v>
      </c>
      <c r="BG3816" t="s">
        <v>24420</v>
      </c>
      <c r="BH3816" s="1">
        <v>87.48</v>
      </c>
      <c r="BI3816" s="1">
        <v>202674</v>
      </c>
      <c r="BJ3816" s="3">
        <v>42781</v>
      </c>
      <c r="BK3816" t="s">
        <v>123</v>
      </c>
      <c r="BL3816" t="str">
        <f>"2017.111218"</f>
        <v>2017.111218</v>
      </c>
      <c r="BM3816" t="s">
        <v>724</v>
      </c>
      <c r="BO3816" t="s">
        <v>24421</v>
      </c>
      <c r="BP3816" t="s">
        <v>24422</v>
      </c>
      <c r="BS3816">
        <v>30</v>
      </c>
      <c r="BW3816" t="str">
        <f>""</f>
        <v/>
      </c>
      <c r="CH3816" t="str">
        <f>""</f>
        <v/>
      </c>
      <c r="CS3816" t="str">
        <f>""</f>
        <v/>
      </c>
    </row>
    <row r="3817" spans="1:97" x14ac:dyDescent="0.25">
      <c r="A3817" t="s">
        <v>2294</v>
      </c>
      <c r="B3817" t="s">
        <v>24423</v>
      </c>
      <c r="C3817" t="s">
        <v>2930</v>
      </c>
      <c r="D3817" t="s">
        <v>24423</v>
      </c>
      <c r="E3817" t="s">
        <v>24424</v>
      </c>
      <c r="F3817" t="s">
        <v>108</v>
      </c>
      <c r="H3817" t="s">
        <v>24425</v>
      </c>
      <c r="I3817" t="s">
        <v>499</v>
      </c>
      <c r="J3817" t="s">
        <v>111</v>
      </c>
      <c r="K3817" t="str">
        <f>"85395"</f>
        <v>85395</v>
      </c>
      <c r="L3817" t="s">
        <v>7243</v>
      </c>
      <c r="M3817" t="s">
        <v>24425</v>
      </c>
      <c r="N3817" t="s">
        <v>499</v>
      </c>
      <c r="O3817" t="s">
        <v>111</v>
      </c>
      <c r="P3817" t="str">
        <f>"85395-8222"</f>
        <v>85395-8222</v>
      </c>
      <c r="Q3817" t="s">
        <v>113</v>
      </c>
      <c r="R3817" t="str">
        <f>"508-01-603"</f>
        <v>508-01-603</v>
      </c>
      <c r="S3817" t="s">
        <v>15264</v>
      </c>
      <c r="T3817" t="s">
        <v>15265</v>
      </c>
      <c r="U3817">
        <v>2680</v>
      </c>
      <c r="V3817">
        <v>0</v>
      </c>
      <c r="W3817">
        <v>4</v>
      </c>
      <c r="X3817">
        <v>2001</v>
      </c>
      <c r="Z3817">
        <v>1</v>
      </c>
      <c r="AA3817" t="s">
        <v>26</v>
      </c>
      <c r="AB3817">
        <v>0</v>
      </c>
      <c r="AC3817" t="s">
        <v>115</v>
      </c>
      <c r="AD3817">
        <v>3</v>
      </c>
      <c r="AE3817" t="s">
        <v>115</v>
      </c>
      <c r="AF3817">
        <v>0</v>
      </c>
      <c r="AG3817">
        <v>0</v>
      </c>
      <c r="AH3817" t="s">
        <v>116</v>
      </c>
      <c r="AI3817" s="1">
        <v>46379</v>
      </c>
      <c r="AJ3817" s="2">
        <v>0.12</v>
      </c>
      <c r="AK3817" s="1">
        <v>376379</v>
      </c>
      <c r="AL3817" t="s">
        <v>117</v>
      </c>
      <c r="AM3817" t="s">
        <v>118</v>
      </c>
      <c r="AN3817">
        <v>10000</v>
      </c>
      <c r="AO3817">
        <v>0.23</v>
      </c>
      <c r="AP3817">
        <v>1</v>
      </c>
      <c r="AR3817">
        <v>1</v>
      </c>
      <c r="AS3817" s="1">
        <v>26700</v>
      </c>
      <c r="AT3817" s="1">
        <v>5340</v>
      </c>
      <c r="AU3817" s="1">
        <v>21360</v>
      </c>
      <c r="AV3817">
        <v>80</v>
      </c>
      <c r="AX3817" s="1">
        <v>3574.48</v>
      </c>
      <c r="AY3817" t="s">
        <v>3020</v>
      </c>
      <c r="AZ3817" t="s">
        <v>3020</v>
      </c>
      <c r="BA3817" t="s">
        <v>3154</v>
      </c>
      <c r="BE3817" s="3">
        <v>41865</v>
      </c>
      <c r="BF3817" s="1">
        <v>299000</v>
      </c>
      <c r="BG3817" t="s">
        <v>24426</v>
      </c>
      <c r="BH3817" s="1">
        <v>111.57</v>
      </c>
      <c r="BI3817" s="1">
        <v>330000</v>
      </c>
      <c r="BJ3817" s="3">
        <v>43004</v>
      </c>
      <c r="BK3817" t="s">
        <v>123</v>
      </c>
      <c r="BL3817" t="str">
        <f>"2017.708672"</f>
        <v>2017.708672</v>
      </c>
      <c r="BM3817" t="s">
        <v>1249</v>
      </c>
      <c r="BO3817" t="s">
        <v>24427</v>
      </c>
      <c r="BS3817">
        <v>30</v>
      </c>
      <c r="BW3817" t="str">
        <f>""</f>
        <v/>
      </c>
      <c r="CH3817" t="str">
        <f>""</f>
        <v/>
      </c>
      <c r="CS3817" t="str">
        <f>""</f>
        <v/>
      </c>
    </row>
    <row r="3818" spans="1:97" x14ac:dyDescent="0.25">
      <c r="A3818" t="s">
        <v>5314</v>
      </c>
      <c r="B3818" t="s">
        <v>24428</v>
      </c>
      <c r="C3818" t="s">
        <v>1335</v>
      </c>
      <c r="D3818" t="s">
        <v>24429</v>
      </c>
      <c r="E3818" t="s">
        <v>24430</v>
      </c>
      <c r="F3818" t="s">
        <v>108</v>
      </c>
      <c r="H3818" t="s">
        <v>24431</v>
      </c>
      <c r="I3818" t="s">
        <v>2874</v>
      </c>
      <c r="J3818" t="s">
        <v>111</v>
      </c>
      <c r="K3818" t="str">
        <f>"85306"</f>
        <v>85306</v>
      </c>
      <c r="L3818" t="s">
        <v>7626</v>
      </c>
      <c r="M3818" t="s">
        <v>24431</v>
      </c>
      <c r="N3818" t="s">
        <v>2874</v>
      </c>
      <c r="O3818" t="s">
        <v>111</v>
      </c>
      <c r="P3818" t="str">
        <f>"85306-2003"</f>
        <v>85306-2003</v>
      </c>
      <c r="Q3818" t="s">
        <v>113</v>
      </c>
      <c r="R3818" t="str">
        <f>"207-27-300"</f>
        <v>207-27-300</v>
      </c>
      <c r="S3818" t="s">
        <v>24432</v>
      </c>
      <c r="T3818" t="s">
        <v>23400</v>
      </c>
      <c r="U3818">
        <v>2000</v>
      </c>
      <c r="V3818">
        <v>0</v>
      </c>
      <c r="W3818">
        <v>2</v>
      </c>
      <c r="X3818">
        <v>1979</v>
      </c>
      <c r="Z3818">
        <v>1</v>
      </c>
      <c r="AB3818">
        <v>0</v>
      </c>
      <c r="AC3818" t="s">
        <v>115</v>
      </c>
      <c r="AD3818">
        <v>2</v>
      </c>
      <c r="AE3818" t="s">
        <v>115</v>
      </c>
      <c r="AF3818">
        <v>0</v>
      </c>
      <c r="AG3818">
        <v>0</v>
      </c>
      <c r="AH3818" t="s">
        <v>116</v>
      </c>
      <c r="AI3818" s="1">
        <v>59963</v>
      </c>
      <c r="AJ3818" s="2">
        <v>0.21</v>
      </c>
      <c r="AK3818" s="1">
        <v>282363</v>
      </c>
      <c r="AL3818" t="s">
        <v>117</v>
      </c>
      <c r="AM3818" t="s">
        <v>171</v>
      </c>
      <c r="AN3818">
        <v>9497</v>
      </c>
      <c r="AO3818">
        <v>0.22</v>
      </c>
      <c r="AP3818">
        <v>1</v>
      </c>
      <c r="AR3818">
        <v>1</v>
      </c>
      <c r="AS3818" s="1">
        <v>19160</v>
      </c>
      <c r="AT3818" s="1">
        <v>3830</v>
      </c>
      <c r="AU3818" s="1">
        <v>15330</v>
      </c>
      <c r="AV3818">
        <v>80.010000000000005</v>
      </c>
      <c r="AX3818" s="1">
        <v>1722.3</v>
      </c>
      <c r="AY3818" t="s">
        <v>2996</v>
      </c>
      <c r="AZ3818" t="s">
        <v>2997</v>
      </c>
      <c r="BA3818" t="s">
        <v>2998</v>
      </c>
      <c r="BE3818" s="3">
        <v>42139</v>
      </c>
      <c r="BF3818" s="1">
        <v>210000</v>
      </c>
      <c r="BG3818" t="s">
        <v>20807</v>
      </c>
      <c r="BH3818" s="1">
        <v>105</v>
      </c>
      <c r="BI3818" s="1">
        <v>222400</v>
      </c>
      <c r="BJ3818" s="3">
        <v>43012</v>
      </c>
      <c r="BK3818" t="s">
        <v>123</v>
      </c>
      <c r="BL3818" t="str">
        <f>"2017.733638"</f>
        <v>2017.733638</v>
      </c>
      <c r="BM3818" t="s">
        <v>807</v>
      </c>
      <c r="BO3818" t="s">
        <v>24433</v>
      </c>
      <c r="BP3818" t="s">
        <v>24434</v>
      </c>
      <c r="BS3818">
        <v>30</v>
      </c>
      <c r="BW3818" t="str">
        <f>""</f>
        <v/>
      </c>
      <c r="CH3818" t="str">
        <f>""</f>
        <v/>
      </c>
      <c r="CS3818" t="str">
        <f>""</f>
        <v/>
      </c>
    </row>
    <row r="3819" spans="1:97" x14ac:dyDescent="0.25">
      <c r="A3819" t="s">
        <v>1160</v>
      </c>
      <c r="B3819" t="s">
        <v>23196</v>
      </c>
      <c r="C3819" t="s">
        <v>19490</v>
      </c>
      <c r="D3819" t="s">
        <v>23196</v>
      </c>
      <c r="E3819" t="s">
        <v>24435</v>
      </c>
      <c r="F3819" t="s">
        <v>108</v>
      </c>
      <c r="H3819" t="s">
        <v>24436</v>
      </c>
      <c r="I3819" t="s">
        <v>390</v>
      </c>
      <c r="J3819" t="s">
        <v>111</v>
      </c>
      <c r="K3819" t="str">
        <f>"85050"</f>
        <v>85050</v>
      </c>
      <c r="L3819" t="s">
        <v>5209</v>
      </c>
      <c r="M3819" t="s">
        <v>24436</v>
      </c>
      <c r="N3819" t="s">
        <v>390</v>
      </c>
      <c r="O3819" t="s">
        <v>111</v>
      </c>
      <c r="P3819" t="str">
        <f>"85050-7934"</f>
        <v>85050-7934</v>
      </c>
      <c r="Q3819" t="s">
        <v>113</v>
      </c>
      <c r="R3819" t="str">
        <f>"213-30-445"</f>
        <v>213-30-445</v>
      </c>
      <c r="S3819" t="s">
        <v>21881</v>
      </c>
      <c r="T3819" t="s">
        <v>21881</v>
      </c>
      <c r="U3819">
        <v>1410</v>
      </c>
      <c r="V3819">
        <v>0</v>
      </c>
      <c r="W3819">
        <v>3</v>
      </c>
      <c r="X3819">
        <v>1998</v>
      </c>
      <c r="Z3819">
        <v>1</v>
      </c>
      <c r="AB3819">
        <v>0</v>
      </c>
      <c r="AC3819" t="s">
        <v>115</v>
      </c>
      <c r="AD3819">
        <v>2</v>
      </c>
      <c r="AE3819" t="s">
        <v>115</v>
      </c>
      <c r="AF3819">
        <v>0</v>
      </c>
      <c r="AG3819">
        <v>0</v>
      </c>
      <c r="AH3819" t="s">
        <v>116</v>
      </c>
      <c r="AI3819" s="1">
        <v>58135</v>
      </c>
      <c r="AJ3819" s="2">
        <v>0.2</v>
      </c>
      <c r="AK3819" s="1">
        <v>295135</v>
      </c>
      <c r="AL3819" t="s">
        <v>117</v>
      </c>
      <c r="AM3819" t="s">
        <v>191</v>
      </c>
      <c r="AN3819">
        <v>6950</v>
      </c>
      <c r="AO3819">
        <v>0.16</v>
      </c>
      <c r="AP3819">
        <v>1</v>
      </c>
      <c r="AR3819">
        <v>1</v>
      </c>
      <c r="AS3819" s="1">
        <v>22280</v>
      </c>
      <c r="AT3819" s="1">
        <v>4450</v>
      </c>
      <c r="AU3819" s="1">
        <v>17830</v>
      </c>
      <c r="AV3819">
        <v>80.03</v>
      </c>
      <c r="AX3819" s="1">
        <v>1828.96</v>
      </c>
      <c r="AY3819" t="s">
        <v>8037</v>
      </c>
      <c r="AZ3819" t="s">
        <v>2550</v>
      </c>
      <c r="BA3819" t="s">
        <v>1318</v>
      </c>
      <c r="BE3819" s="3">
        <v>42367</v>
      </c>
      <c r="BF3819" s="1">
        <v>237000</v>
      </c>
      <c r="BG3819" t="s">
        <v>24437</v>
      </c>
      <c r="BH3819" s="1">
        <v>168.09</v>
      </c>
      <c r="BI3819" s="1">
        <v>237000</v>
      </c>
      <c r="BJ3819" s="3">
        <v>42367</v>
      </c>
      <c r="BK3819" t="s">
        <v>123</v>
      </c>
      <c r="BL3819" t="str">
        <f>"2015.913107"</f>
        <v>2015.913107</v>
      </c>
      <c r="BM3819" t="s">
        <v>1287</v>
      </c>
      <c r="BO3819" t="s">
        <v>24438</v>
      </c>
      <c r="BS3819">
        <v>30</v>
      </c>
      <c r="BW3819" t="str">
        <f>""</f>
        <v/>
      </c>
      <c r="CH3819" t="str">
        <f>""</f>
        <v/>
      </c>
      <c r="CS3819" t="str">
        <f>""</f>
        <v/>
      </c>
    </row>
    <row r="3820" spans="1:97" x14ac:dyDescent="0.25">
      <c r="A3820" t="s">
        <v>996</v>
      </c>
      <c r="B3820" t="s">
        <v>7569</v>
      </c>
      <c r="C3820" t="s">
        <v>154</v>
      </c>
      <c r="D3820" t="s">
        <v>7569</v>
      </c>
      <c r="E3820" t="s">
        <v>24439</v>
      </c>
      <c r="F3820" t="s">
        <v>108</v>
      </c>
      <c r="H3820" t="s">
        <v>24440</v>
      </c>
      <c r="I3820" t="s">
        <v>632</v>
      </c>
      <c r="J3820" t="s">
        <v>111</v>
      </c>
      <c r="K3820" t="str">
        <f>"85379"</f>
        <v>85379</v>
      </c>
      <c r="L3820" t="s">
        <v>1244</v>
      </c>
      <c r="M3820" t="s">
        <v>24440</v>
      </c>
      <c r="N3820" t="s">
        <v>632</v>
      </c>
      <c r="O3820" t="s">
        <v>111</v>
      </c>
      <c r="P3820" t="str">
        <f>"85379-7012"</f>
        <v>85379-7012</v>
      </c>
      <c r="Q3820" t="s">
        <v>113</v>
      </c>
      <c r="R3820" t="str">
        <f>"501-95-170"</f>
        <v>501-95-170</v>
      </c>
      <c r="S3820" t="s">
        <v>18447</v>
      </c>
      <c r="U3820">
        <v>2491</v>
      </c>
      <c r="V3820">
        <v>0</v>
      </c>
      <c r="W3820">
        <v>4</v>
      </c>
      <c r="X3820">
        <v>2002</v>
      </c>
      <c r="Z3820">
        <v>2</v>
      </c>
      <c r="AA3820" t="s">
        <v>26</v>
      </c>
      <c r="AB3820">
        <v>0</v>
      </c>
      <c r="AC3820" t="s">
        <v>115</v>
      </c>
      <c r="AD3820">
        <v>2</v>
      </c>
      <c r="AE3820" t="s">
        <v>115</v>
      </c>
      <c r="AF3820">
        <v>0</v>
      </c>
      <c r="AG3820">
        <v>0</v>
      </c>
      <c r="AH3820" t="s">
        <v>116</v>
      </c>
      <c r="AI3820" s="1">
        <v>55562</v>
      </c>
      <c r="AJ3820" s="2">
        <v>0.18</v>
      </c>
      <c r="AK3820" s="1">
        <v>316044</v>
      </c>
      <c r="AL3820" t="s">
        <v>117</v>
      </c>
      <c r="AM3820" t="s">
        <v>118</v>
      </c>
      <c r="AN3820">
        <v>6061</v>
      </c>
      <c r="AO3820">
        <v>0.14000000000000001</v>
      </c>
      <c r="AP3820">
        <v>1</v>
      </c>
      <c r="AR3820">
        <v>1</v>
      </c>
      <c r="AS3820" s="1">
        <v>22800</v>
      </c>
      <c r="AT3820" s="1">
        <v>4560</v>
      </c>
      <c r="AU3820" s="1">
        <v>18240</v>
      </c>
      <c r="AV3820">
        <v>80</v>
      </c>
      <c r="AX3820" s="1">
        <v>1586.1</v>
      </c>
      <c r="AY3820" t="s">
        <v>6615</v>
      </c>
      <c r="AZ3820" t="s">
        <v>6615</v>
      </c>
      <c r="BA3820" t="s">
        <v>321</v>
      </c>
      <c r="BE3820" s="3">
        <v>42494</v>
      </c>
      <c r="BF3820" s="1">
        <v>255000</v>
      </c>
      <c r="BG3820" t="s">
        <v>24441</v>
      </c>
      <c r="BH3820" s="1">
        <v>102.37</v>
      </c>
      <c r="BI3820" s="1">
        <v>260482</v>
      </c>
      <c r="BJ3820" s="3">
        <v>42494</v>
      </c>
      <c r="BK3820" t="s">
        <v>123</v>
      </c>
      <c r="BL3820" t="str">
        <f>"2016.303117"</f>
        <v>2016.303117</v>
      </c>
      <c r="BM3820" t="s">
        <v>1325</v>
      </c>
      <c r="BO3820" t="s">
        <v>24442</v>
      </c>
      <c r="BS3820">
        <v>30</v>
      </c>
      <c r="BW3820" t="str">
        <f>""</f>
        <v/>
      </c>
      <c r="CH3820" t="str">
        <f>""</f>
        <v/>
      </c>
      <c r="CS3820" t="str">
        <f>""</f>
        <v/>
      </c>
    </row>
    <row r="3821" spans="1:97" x14ac:dyDescent="0.25">
      <c r="A3821" t="s">
        <v>610</v>
      </c>
      <c r="B3821" t="s">
        <v>24443</v>
      </c>
      <c r="C3821" t="s">
        <v>2319</v>
      </c>
      <c r="D3821" t="s">
        <v>24443</v>
      </c>
      <c r="E3821" t="s">
        <v>24444</v>
      </c>
      <c r="F3821" t="s">
        <v>108</v>
      </c>
      <c r="H3821" t="s">
        <v>24445</v>
      </c>
      <c r="I3821" t="s">
        <v>203</v>
      </c>
      <c r="J3821" t="s">
        <v>111</v>
      </c>
      <c r="K3821" t="str">
        <f>"85297"</f>
        <v>85297</v>
      </c>
      <c r="L3821" t="s">
        <v>8335</v>
      </c>
      <c r="M3821" t="s">
        <v>24445</v>
      </c>
      <c r="N3821" t="s">
        <v>203</v>
      </c>
      <c r="O3821" t="s">
        <v>111</v>
      </c>
      <c r="P3821" t="str">
        <f>"85297-7494"</f>
        <v>85297-7494</v>
      </c>
      <c r="Q3821" t="s">
        <v>113</v>
      </c>
      <c r="R3821" t="str">
        <f>"313-17-531"</f>
        <v>313-17-531</v>
      </c>
      <c r="S3821" t="s">
        <v>12166</v>
      </c>
      <c r="T3821" t="s">
        <v>8579</v>
      </c>
      <c r="U3821">
        <v>2105</v>
      </c>
      <c r="V3821">
        <v>0</v>
      </c>
      <c r="W3821">
        <v>3</v>
      </c>
      <c r="X3821">
        <v>2012</v>
      </c>
      <c r="Z3821">
        <v>2</v>
      </c>
      <c r="AB3821">
        <v>0</v>
      </c>
      <c r="AC3821" t="s">
        <v>115</v>
      </c>
      <c r="AD3821">
        <v>2</v>
      </c>
      <c r="AE3821" t="s">
        <v>115</v>
      </c>
      <c r="AF3821">
        <v>0</v>
      </c>
      <c r="AG3821">
        <v>0</v>
      </c>
      <c r="AH3821" t="s">
        <v>116</v>
      </c>
      <c r="AI3821" s="1">
        <v>90049</v>
      </c>
      <c r="AJ3821" s="2">
        <v>0.3</v>
      </c>
      <c r="AK3821" s="1">
        <v>305049</v>
      </c>
      <c r="AL3821" t="s">
        <v>117</v>
      </c>
      <c r="AM3821" t="s">
        <v>288</v>
      </c>
      <c r="AN3821">
        <v>2660</v>
      </c>
      <c r="AO3821">
        <v>0.61</v>
      </c>
      <c r="AR3821">
        <v>1</v>
      </c>
      <c r="AS3821" s="1">
        <v>20880</v>
      </c>
      <c r="AT3821" s="1">
        <v>4170</v>
      </c>
      <c r="AU3821" s="1">
        <v>16710</v>
      </c>
      <c r="AV3821">
        <v>80.03</v>
      </c>
      <c r="AX3821" s="1">
        <v>1942.1</v>
      </c>
      <c r="AY3821" t="s">
        <v>8338</v>
      </c>
      <c r="AZ3821" t="s">
        <v>8338</v>
      </c>
      <c r="BA3821" t="s">
        <v>290</v>
      </c>
      <c r="BE3821" s="3">
        <v>42341</v>
      </c>
      <c r="BF3821" s="1">
        <v>235000</v>
      </c>
      <c r="BG3821" t="s">
        <v>24446</v>
      </c>
      <c r="BH3821" s="1">
        <v>111.64</v>
      </c>
      <c r="BI3821" s="1">
        <v>215000</v>
      </c>
      <c r="BJ3821" s="3">
        <v>42937</v>
      </c>
      <c r="BK3821" t="s">
        <v>123</v>
      </c>
      <c r="BL3821" t="str">
        <f>"2017.531670"</f>
        <v>2017.531670</v>
      </c>
      <c r="BM3821" t="s">
        <v>24447</v>
      </c>
      <c r="BO3821" t="s">
        <v>24448</v>
      </c>
      <c r="BS3821">
        <v>30</v>
      </c>
      <c r="BW3821" t="str">
        <f>""</f>
        <v/>
      </c>
      <c r="CH3821" t="str">
        <f>""</f>
        <v/>
      </c>
      <c r="CS3821" t="str">
        <f>""</f>
        <v/>
      </c>
    </row>
    <row r="3822" spans="1:97" x14ac:dyDescent="0.25">
      <c r="A3822" t="s">
        <v>6281</v>
      </c>
      <c r="B3822" t="s">
        <v>24449</v>
      </c>
      <c r="E3822" t="s">
        <v>24450</v>
      </c>
      <c r="F3822" t="s">
        <v>108</v>
      </c>
      <c r="H3822" t="s">
        <v>24451</v>
      </c>
      <c r="I3822" t="s">
        <v>390</v>
      </c>
      <c r="J3822" t="s">
        <v>111</v>
      </c>
      <c r="K3822" t="str">
        <f>"85085"</f>
        <v>85085</v>
      </c>
      <c r="L3822" t="s">
        <v>269</v>
      </c>
      <c r="M3822" t="s">
        <v>24451</v>
      </c>
      <c r="N3822" t="s">
        <v>390</v>
      </c>
      <c r="O3822" t="s">
        <v>111</v>
      </c>
      <c r="P3822" t="str">
        <f>"85085-5081"</f>
        <v>85085-5081</v>
      </c>
      <c r="Q3822" t="s">
        <v>113</v>
      </c>
      <c r="R3822" t="str">
        <f>"204-01-363"</f>
        <v>204-01-363</v>
      </c>
      <c r="S3822" t="s">
        <v>6714</v>
      </c>
      <c r="T3822" t="s">
        <v>6715</v>
      </c>
      <c r="U3822">
        <v>1358</v>
      </c>
      <c r="V3822">
        <v>0</v>
      </c>
      <c r="W3822">
        <v>3</v>
      </c>
      <c r="X3822">
        <v>2004</v>
      </c>
      <c r="Z3822">
        <v>1</v>
      </c>
      <c r="AA3822" t="s">
        <v>26</v>
      </c>
      <c r="AB3822">
        <v>0</v>
      </c>
      <c r="AC3822" t="s">
        <v>115</v>
      </c>
      <c r="AD3822">
        <v>0</v>
      </c>
      <c r="AE3822" t="s">
        <v>115</v>
      </c>
      <c r="AF3822">
        <v>0</v>
      </c>
      <c r="AG3822">
        <v>0</v>
      </c>
      <c r="AH3822" t="s">
        <v>116</v>
      </c>
      <c r="AI3822" s="1">
        <v>61485</v>
      </c>
      <c r="AJ3822" s="2">
        <v>0.22</v>
      </c>
      <c r="AK3822" s="1">
        <v>273957</v>
      </c>
      <c r="AL3822" t="s">
        <v>117</v>
      </c>
      <c r="AM3822" t="s">
        <v>171</v>
      </c>
      <c r="AN3822">
        <v>4950</v>
      </c>
      <c r="AO3822">
        <v>0.11</v>
      </c>
      <c r="AR3822">
        <v>1</v>
      </c>
      <c r="AS3822" s="1">
        <v>19580</v>
      </c>
      <c r="AT3822" s="1">
        <v>3910</v>
      </c>
      <c r="AU3822" s="1">
        <v>15670</v>
      </c>
      <c r="AV3822">
        <v>80.03</v>
      </c>
      <c r="AX3822" s="1">
        <v>1812.9</v>
      </c>
      <c r="AY3822" t="s">
        <v>1587</v>
      </c>
      <c r="AZ3822" t="s">
        <v>1587</v>
      </c>
      <c r="BA3822" t="s">
        <v>1462</v>
      </c>
      <c r="BE3822" s="3">
        <v>42159</v>
      </c>
      <c r="BF3822" s="1">
        <v>208000</v>
      </c>
      <c r="BG3822" t="s">
        <v>24452</v>
      </c>
      <c r="BH3822" s="1">
        <v>153.16999999999999</v>
      </c>
      <c r="BI3822" s="1">
        <v>212472</v>
      </c>
      <c r="BJ3822" s="3">
        <v>42159</v>
      </c>
      <c r="BK3822" t="s">
        <v>123</v>
      </c>
      <c r="BL3822" t="str">
        <f>"2015.399223"</f>
        <v>2015.399223</v>
      </c>
      <c r="BM3822" t="s">
        <v>402</v>
      </c>
      <c r="BO3822" t="s">
        <v>24453</v>
      </c>
      <c r="BS3822">
        <v>30</v>
      </c>
      <c r="BW3822" t="str">
        <f>""</f>
        <v/>
      </c>
      <c r="CH3822" t="str">
        <f>""</f>
        <v/>
      </c>
      <c r="CS3822" t="str">
        <f>""</f>
        <v/>
      </c>
    </row>
    <row r="3823" spans="1:97" x14ac:dyDescent="0.25">
      <c r="B3823" t="s">
        <v>24454</v>
      </c>
      <c r="E3823" t="s">
        <v>24454</v>
      </c>
      <c r="F3823" t="s">
        <v>108</v>
      </c>
      <c r="H3823" t="s">
        <v>24455</v>
      </c>
      <c r="I3823" t="s">
        <v>390</v>
      </c>
      <c r="J3823" t="s">
        <v>111</v>
      </c>
      <c r="K3823" t="str">
        <f>"85086"</f>
        <v>85086</v>
      </c>
      <c r="L3823" t="s">
        <v>1383</v>
      </c>
      <c r="M3823" t="s">
        <v>24455</v>
      </c>
      <c r="N3823" t="s">
        <v>390</v>
      </c>
      <c r="O3823" t="s">
        <v>111</v>
      </c>
      <c r="P3823" t="str">
        <f>"85086-3220"</f>
        <v>85086-3220</v>
      </c>
      <c r="Q3823" t="s">
        <v>113</v>
      </c>
      <c r="R3823" t="str">
        <f>"203-27-275"</f>
        <v>203-27-275</v>
      </c>
      <c r="S3823" t="s">
        <v>8638</v>
      </c>
      <c r="U3823">
        <v>2024</v>
      </c>
      <c r="V3823">
        <v>0</v>
      </c>
      <c r="W3823">
        <v>3</v>
      </c>
      <c r="X3823">
        <v>2004</v>
      </c>
      <c r="Z3823">
        <v>2</v>
      </c>
      <c r="AB3823">
        <v>0</v>
      </c>
      <c r="AC3823" t="s">
        <v>115</v>
      </c>
      <c r="AD3823">
        <v>2</v>
      </c>
      <c r="AE3823" t="s">
        <v>115</v>
      </c>
      <c r="AF3823">
        <v>0</v>
      </c>
      <c r="AG3823">
        <v>0</v>
      </c>
      <c r="AH3823" t="s">
        <v>116</v>
      </c>
      <c r="AI3823" s="1">
        <v>49070</v>
      </c>
      <c r="AJ3823" s="2">
        <v>0.17</v>
      </c>
      <c r="AK3823" s="1">
        <v>287778</v>
      </c>
      <c r="AL3823" t="s">
        <v>117</v>
      </c>
      <c r="AM3823" t="s">
        <v>1315</v>
      </c>
      <c r="AN3823">
        <v>4003</v>
      </c>
      <c r="AO3823">
        <v>0.92</v>
      </c>
      <c r="AR3823">
        <v>1</v>
      </c>
      <c r="AS3823" s="1">
        <v>20210</v>
      </c>
      <c r="AT3823" s="1">
        <v>4040</v>
      </c>
      <c r="AU3823" s="1">
        <v>16170</v>
      </c>
      <c r="AV3823">
        <v>80.010000000000005</v>
      </c>
      <c r="AX3823" s="1">
        <v>1882.92</v>
      </c>
      <c r="AY3823" t="s">
        <v>8639</v>
      </c>
      <c r="AZ3823" t="s">
        <v>8639</v>
      </c>
      <c r="BA3823" t="s">
        <v>378</v>
      </c>
      <c r="BE3823" s="3">
        <v>42115</v>
      </c>
      <c r="BF3823" s="1">
        <v>219000</v>
      </c>
      <c r="BG3823" t="s">
        <v>24456</v>
      </c>
      <c r="BH3823" s="1">
        <v>108.2</v>
      </c>
      <c r="BI3823" s="1">
        <v>223708</v>
      </c>
      <c r="BJ3823" s="3">
        <v>42115</v>
      </c>
      <c r="BK3823" t="s">
        <v>123</v>
      </c>
      <c r="BL3823" t="str">
        <f>"2015.274514"</f>
        <v>2015.274514</v>
      </c>
      <c r="BM3823" t="s">
        <v>255</v>
      </c>
      <c r="BN3823" t="s">
        <v>2398</v>
      </c>
      <c r="BO3823" t="s">
        <v>24454</v>
      </c>
      <c r="BS3823">
        <v>30</v>
      </c>
      <c r="BT3823" s="1">
        <v>15000</v>
      </c>
      <c r="BU3823" s="3">
        <v>43276</v>
      </c>
      <c r="BW3823" t="str">
        <f>"2018.481809"</f>
        <v>2018.481809</v>
      </c>
      <c r="BX3823" t="s">
        <v>20097</v>
      </c>
      <c r="BY3823" t="s">
        <v>20098</v>
      </c>
      <c r="BZ3823" t="s">
        <v>24457</v>
      </c>
      <c r="CA3823" t="s">
        <v>24458</v>
      </c>
      <c r="CC3823" t="s">
        <v>346</v>
      </c>
      <c r="CH3823" t="str">
        <f>""</f>
        <v/>
      </c>
      <c r="CS3823" t="str">
        <f>""</f>
        <v/>
      </c>
    </row>
    <row r="3824" spans="1:97" x14ac:dyDescent="0.25">
      <c r="A3824" t="s">
        <v>15905</v>
      </c>
      <c r="B3824" t="s">
        <v>15164</v>
      </c>
      <c r="C3824" t="s">
        <v>24459</v>
      </c>
      <c r="D3824" t="s">
        <v>15164</v>
      </c>
      <c r="E3824" t="s">
        <v>24460</v>
      </c>
      <c r="F3824" t="s">
        <v>108</v>
      </c>
      <c r="H3824" t="s">
        <v>24461</v>
      </c>
      <c r="I3824" t="s">
        <v>453</v>
      </c>
      <c r="J3824" t="s">
        <v>111</v>
      </c>
      <c r="K3824" t="str">
        <f>"85383"</f>
        <v>85383</v>
      </c>
      <c r="L3824" t="s">
        <v>7235</v>
      </c>
      <c r="M3824" t="s">
        <v>24461</v>
      </c>
      <c r="N3824" t="s">
        <v>453</v>
      </c>
      <c r="O3824" t="s">
        <v>111</v>
      </c>
      <c r="P3824" t="str">
        <f>"85383-3530"</f>
        <v>85383-3530</v>
      </c>
      <c r="Q3824" t="s">
        <v>113</v>
      </c>
      <c r="R3824" t="str">
        <f>"503-55-401"</f>
        <v>503-55-401</v>
      </c>
      <c r="S3824" t="s">
        <v>7236</v>
      </c>
      <c r="T3824" t="s">
        <v>7237</v>
      </c>
      <c r="U3824">
        <v>1657</v>
      </c>
      <c r="V3824">
        <v>0</v>
      </c>
      <c r="W3824">
        <v>3</v>
      </c>
      <c r="X3824">
        <v>2014</v>
      </c>
      <c r="Z3824">
        <v>1</v>
      </c>
      <c r="AB3824">
        <v>0</v>
      </c>
      <c r="AC3824" t="s">
        <v>115</v>
      </c>
      <c r="AD3824">
        <v>2</v>
      </c>
      <c r="AE3824" t="s">
        <v>115</v>
      </c>
      <c r="AF3824">
        <v>0</v>
      </c>
      <c r="AG3824">
        <v>0</v>
      </c>
      <c r="AH3824" t="s">
        <v>116</v>
      </c>
      <c r="AI3824" s="1">
        <v>56514</v>
      </c>
      <c r="AJ3824" s="2">
        <v>0.18</v>
      </c>
      <c r="AK3824" s="1">
        <v>316230</v>
      </c>
      <c r="AL3824" t="s">
        <v>117</v>
      </c>
      <c r="AM3824" t="s">
        <v>229</v>
      </c>
      <c r="AN3824">
        <v>8033</v>
      </c>
      <c r="AO3824">
        <v>0.18</v>
      </c>
      <c r="AR3824">
        <v>1</v>
      </c>
      <c r="AS3824" s="1">
        <v>21630</v>
      </c>
      <c r="AT3824" s="1">
        <v>4320</v>
      </c>
      <c r="AU3824" s="1">
        <v>17310</v>
      </c>
      <c r="AV3824">
        <v>80.03</v>
      </c>
      <c r="AX3824" s="1">
        <v>1968.38</v>
      </c>
      <c r="AY3824" t="s">
        <v>456</v>
      </c>
      <c r="AZ3824" t="s">
        <v>456</v>
      </c>
      <c r="BA3824" t="s">
        <v>457</v>
      </c>
      <c r="BE3824" s="3">
        <v>42132</v>
      </c>
      <c r="BF3824" s="1">
        <v>231425</v>
      </c>
      <c r="BG3824" t="s">
        <v>7238</v>
      </c>
      <c r="BH3824" s="1">
        <v>139.66999999999999</v>
      </c>
      <c r="BI3824" s="1">
        <v>259716</v>
      </c>
      <c r="BJ3824" s="3">
        <v>43628</v>
      </c>
      <c r="BK3824" t="s">
        <v>123</v>
      </c>
      <c r="BL3824" t="str">
        <f>"2019.439959"</f>
        <v>2019.439959</v>
      </c>
      <c r="BM3824" t="s">
        <v>24462</v>
      </c>
      <c r="BN3824" t="s">
        <v>1922</v>
      </c>
      <c r="BO3824" t="s">
        <v>24463</v>
      </c>
      <c r="BP3824" t="s">
        <v>24464</v>
      </c>
      <c r="BR3824" t="s">
        <v>139</v>
      </c>
      <c r="BW3824" t="str">
        <f>""</f>
        <v/>
      </c>
      <c r="CH3824" t="str">
        <f>""</f>
        <v/>
      </c>
      <c r="CS3824" t="str">
        <f>""</f>
        <v/>
      </c>
    </row>
    <row r="3825" spans="1:97" x14ac:dyDescent="0.25">
      <c r="A3825" t="s">
        <v>370</v>
      </c>
      <c r="B3825" t="s">
        <v>24465</v>
      </c>
      <c r="E3825" t="s">
        <v>24466</v>
      </c>
      <c r="F3825" t="s">
        <v>108</v>
      </c>
      <c r="H3825" t="s">
        <v>24467</v>
      </c>
      <c r="I3825" t="s">
        <v>453</v>
      </c>
      <c r="J3825" t="s">
        <v>111</v>
      </c>
      <c r="K3825" t="str">
        <f>"85345"</f>
        <v>85345</v>
      </c>
      <c r="L3825" t="s">
        <v>9764</v>
      </c>
      <c r="M3825" t="s">
        <v>24467</v>
      </c>
      <c r="N3825" t="s">
        <v>453</v>
      </c>
      <c r="O3825" t="s">
        <v>111</v>
      </c>
      <c r="P3825" t="str">
        <f>"85345-4169"</f>
        <v>85345-4169</v>
      </c>
      <c r="Q3825" t="s">
        <v>113</v>
      </c>
      <c r="R3825" t="str">
        <f>"142-44-132"</f>
        <v>142-44-132</v>
      </c>
      <c r="S3825" t="s">
        <v>24468</v>
      </c>
      <c r="T3825" t="s">
        <v>24468</v>
      </c>
      <c r="U3825">
        <v>1962</v>
      </c>
      <c r="V3825">
        <v>0</v>
      </c>
      <c r="W3825">
        <v>3</v>
      </c>
      <c r="X3825">
        <v>2000</v>
      </c>
      <c r="Z3825">
        <v>1</v>
      </c>
      <c r="AB3825">
        <v>0</v>
      </c>
      <c r="AC3825" t="s">
        <v>115</v>
      </c>
      <c r="AD3825">
        <v>3</v>
      </c>
      <c r="AE3825" t="s">
        <v>115</v>
      </c>
      <c r="AF3825">
        <v>0</v>
      </c>
      <c r="AG3825">
        <v>0</v>
      </c>
      <c r="AH3825" t="s">
        <v>116</v>
      </c>
      <c r="AI3825" s="1">
        <v>44680</v>
      </c>
      <c r="AJ3825" s="2">
        <v>0.15</v>
      </c>
      <c r="AK3825" s="1">
        <v>297765</v>
      </c>
      <c r="AL3825" t="s">
        <v>117</v>
      </c>
      <c r="AM3825" t="s">
        <v>171</v>
      </c>
      <c r="AN3825">
        <v>8400</v>
      </c>
      <c r="AO3825">
        <v>0.19</v>
      </c>
      <c r="AP3825">
        <v>1</v>
      </c>
      <c r="AR3825">
        <v>1</v>
      </c>
      <c r="AS3825" s="1">
        <v>20170</v>
      </c>
      <c r="AT3825" s="1">
        <v>4030</v>
      </c>
      <c r="AU3825" s="1">
        <v>16140</v>
      </c>
      <c r="AV3825">
        <v>80.02</v>
      </c>
      <c r="AX3825" s="1">
        <v>1550.92</v>
      </c>
      <c r="AY3825" t="s">
        <v>4006</v>
      </c>
      <c r="AZ3825" t="s">
        <v>4006</v>
      </c>
      <c r="BA3825" t="s">
        <v>4007</v>
      </c>
      <c r="BE3825" s="3">
        <v>42489</v>
      </c>
      <c r="BF3825" s="1">
        <v>245000</v>
      </c>
      <c r="BG3825" t="s">
        <v>24469</v>
      </c>
      <c r="BH3825" s="1">
        <v>124.87</v>
      </c>
      <c r="BI3825" s="1">
        <v>253085</v>
      </c>
      <c r="BJ3825" s="3">
        <v>42489</v>
      </c>
      <c r="BK3825" t="s">
        <v>123</v>
      </c>
      <c r="BL3825" t="str">
        <f>"2016.290445"</f>
        <v>2016.290445</v>
      </c>
      <c r="BM3825" t="s">
        <v>475</v>
      </c>
      <c r="BO3825" t="s">
        <v>24470</v>
      </c>
      <c r="BS3825">
        <v>30</v>
      </c>
      <c r="BW3825" t="str">
        <f>""</f>
        <v/>
      </c>
      <c r="CH3825" t="str">
        <f>""</f>
        <v/>
      </c>
      <c r="CS3825" t="str">
        <f>""</f>
        <v/>
      </c>
    </row>
    <row r="3826" spans="1:97" x14ac:dyDescent="0.25">
      <c r="A3826" t="s">
        <v>639</v>
      </c>
      <c r="B3826" t="s">
        <v>24471</v>
      </c>
      <c r="C3826" t="s">
        <v>24472</v>
      </c>
      <c r="D3826" t="s">
        <v>24471</v>
      </c>
      <c r="E3826" t="s">
        <v>24473</v>
      </c>
      <c r="F3826" t="s">
        <v>108</v>
      </c>
      <c r="H3826" t="s">
        <v>24474</v>
      </c>
      <c r="I3826" t="s">
        <v>390</v>
      </c>
      <c r="J3826" t="s">
        <v>111</v>
      </c>
      <c r="K3826" t="str">
        <f>"85013"</f>
        <v>85013</v>
      </c>
      <c r="L3826" t="s">
        <v>8199</v>
      </c>
      <c r="M3826" t="s">
        <v>24474</v>
      </c>
      <c r="N3826" t="s">
        <v>390</v>
      </c>
      <c r="O3826" t="s">
        <v>111</v>
      </c>
      <c r="P3826" t="str">
        <f>"85013-2801"</f>
        <v>85013-2801</v>
      </c>
      <c r="Q3826" t="s">
        <v>113</v>
      </c>
      <c r="R3826" t="str">
        <f>"155-38-080"</f>
        <v>155-38-080</v>
      </c>
      <c r="S3826" t="s">
        <v>5465</v>
      </c>
      <c r="T3826" t="s">
        <v>5466</v>
      </c>
      <c r="U3826">
        <v>1365</v>
      </c>
      <c r="V3826">
        <v>0</v>
      </c>
      <c r="W3826">
        <v>1</v>
      </c>
      <c r="X3826">
        <v>1947</v>
      </c>
      <c r="Z3826">
        <v>1</v>
      </c>
      <c r="AB3826">
        <v>0</v>
      </c>
      <c r="AC3826" t="s">
        <v>5188</v>
      </c>
      <c r="AD3826">
        <v>1</v>
      </c>
      <c r="AE3826" t="s">
        <v>5188</v>
      </c>
      <c r="AF3826">
        <v>0</v>
      </c>
      <c r="AG3826">
        <v>0</v>
      </c>
      <c r="AH3826" t="s">
        <v>5467</v>
      </c>
      <c r="AI3826" s="1">
        <v>53047</v>
      </c>
      <c r="AJ3826" s="2">
        <v>0.17</v>
      </c>
      <c r="AK3826" s="1">
        <v>320680</v>
      </c>
      <c r="AL3826" t="s">
        <v>117</v>
      </c>
      <c r="AM3826" t="s">
        <v>191</v>
      </c>
      <c r="AN3826">
        <v>7601</v>
      </c>
      <c r="AO3826">
        <v>0.17</v>
      </c>
      <c r="AP3826">
        <v>1</v>
      </c>
      <c r="AR3826">
        <v>1</v>
      </c>
      <c r="AS3826" s="1">
        <v>21780</v>
      </c>
      <c r="AT3826" s="1">
        <v>4350</v>
      </c>
      <c r="AU3826" s="1">
        <v>17430</v>
      </c>
      <c r="AV3826">
        <v>80.03</v>
      </c>
      <c r="AX3826" s="1">
        <v>1289.58</v>
      </c>
      <c r="AY3826" t="s">
        <v>5468</v>
      </c>
      <c r="AZ3826" t="s">
        <v>5468</v>
      </c>
      <c r="BA3826" t="s">
        <v>5469</v>
      </c>
      <c r="BE3826" s="3">
        <v>42094</v>
      </c>
      <c r="BF3826" s="1">
        <v>262000</v>
      </c>
      <c r="BG3826" t="s">
        <v>24475</v>
      </c>
      <c r="BH3826" s="1">
        <v>191.94</v>
      </c>
      <c r="BI3826" s="1">
        <v>267633</v>
      </c>
      <c r="BJ3826" s="3">
        <v>42094</v>
      </c>
      <c r="BK3826" t="s">
        <v>123</v>
      </c>
      <c r="BL3826" t="str">
        <f>"2015.216025"</f>
        <v>2015.216025</v>
      </c>
      <c r="BM3826" t="s">
        <v>1156</v>
      </c>
      <c r="BO3826" t="s">
        <v>24476</v>
      </c>
      <c r="BS3826">
        <v>30</v>
      </c>
      <c r="BW3826" t="str">
        <f>""</f>
        <v/>
      </c>
      <c r="CH3826" t="str">
        <f>""</f>
        <v/>
      </c>
      <c r="CS3826" t="str">
        <f>""</f>
        <v/>
      </c>
    </row>
    <row r="3827" spans="1:97" x14ac:dyDescent="0.25">
      <c r="A3827" t="s">
        <v>257</v>
      </c>
      <c r="B3827" t="s">
        <v>2018</v>
      </c>
      <c r="E3827" t="s">
        <v>24477</v>
      </c>
      <c r="F3827" t="s">
        <v>108</v>
      </c>
      <c r="H3827" t="s">
        <v>24478</v>
      </c>
      <c r="I3827" t="s">
        <v>499</v>
      </c>
      <c r="J3827" t="s">
        <v>111</v>
      </c>
      <c r="K3827" t="str">
        <f>"85395"</f>
        <v>85395</v>
      </c>
      <c r="L3827" t="s">
        <v>541</v>
      </c>
      <c r="M3827" t="s">
        <v>24478</v>
      </c>
      <c r="N3827" t="s">
        <v>499</v>
      </c>
      <c r="O3827" t="s">
        <v>111</v>
      </c>
      <c r="P3827" t="str">
        <f>"85395-7176"</f>
        <v>85395-7176</v>
      </c>
      <c r="Q3827" t="s">
        <v>113</v>
      </c>
      <c r="R3827" t="str">
        <f>"508-14-843"</f>
        <v>508-14-843</v>
      </c>
      <c r="S3827" t="s">
        <v>7193</v>
      </c>
      <c r="T3827" t="s">
        <v>3018</v>
      </c>
      <c r="U3827">
        <v>2830</v>
      </c>
      <c r="V3827">
        <v>0</v>
      </c>
      <c r="W3827">
        <v>4</v>
      </c>
      <c r="X3827">
        <v>2016</v>
      </c>
      <c r="Z3827">
        <v>1</v>
      </c>
      <c r="AA3827" t="s">
        <v>26</v>
      </c>
      <c r="AB3827">
        <v>0</v>
      </c>
      <c r="AC3827" t="s">
        <v>115</v>
      </c>
      <c r="AD3827">
        <v>2</v>
      </c>
      <c r="AE3827" t="s">
        <v>115</v>
      </c>
      <c r="AF3827">
        <v>0</v>
      </c>
      <c r="AG3827">
        <v>0</v>
      </c>
      <c r="AH3827" t="s">
        <v>116</v>
      </c>
      <c r="AI3827" s="1">
        <v>63003</v>
      </c>
      <c r="AJ3827" s="2">
        <v>0.15</v>
      </c>
      <c r="AK3827" s="1">
        <v>427003</v>
      </c>
      <c r="AL3827" t="s">
        <v>117</v>
      </c>
      <c r="AM3827" t="s">
        <v>118</v>
      </c>
      <c r="AN3827">
        <v>8615</v>
      </c>
      <c r="AO3827">
        <v>0.2</v>
      </c>
      <c r="AR3827">
        <v>1</v>
      </c>
      <c r="AS3827" s="1">
        <v>31210</v>
      </c>
      <c r="AT3827" s="1">
        <v>6240</v>
      </c>
      <c r="AU3827" s="1">
        <v>24970</v>
      </c>
      <c r="AV3827">
        <v>80.010000000000005</v>
      </c>
      <c r="AX3827" s="1">
        <v>2944.74</v>
      </c>
      <c r="AY3827" t="s">
        <v>3019</v>
      </c>
      <c r="AZ3827" t="s">
        <v>3020</v>
      </c>
      <c r="BA3827" t="s">
        <v>218</v>
      </c>
      <c r="BE3827" s="3">
        <v>42487</v>
      </c>
      <c r="BF3827" s="1">
        <v>360142</v>
      </c>
      <c r="BG3827" t="s">
        <v>3021</v>
      </c>
      <c r="BH3827" s="1">
        <v>127.26</v>
      </c>
      <c r="BI3827" s="1">
        <v>364000</v>
      </c>
      <c r="BJ3827" s="3">
        <v>42597</v>
      </c>
      <c r="BK3827" t="s">
        <v>123</v>
      </c>
      <c r="BL3827" t="str">
        <f>"2016.582990"</f>
        <v>2016.582990</v>
      </c>
      <c r="BM3827" t="s">
        <v>1122</v>
      </c>
      <c r="BO3827" t="s">
        <v>24479</v>
      </c>
      <c r="BS3827">
        <v>30</v>
      </c>
      <c r="BW3827" t="str">
        <f>""</f>
        <v/>
      </c>
      <c r="CH3827" t="str">
        <f>""</f>
        <v/>
      </c>
      <c r="CS3827" t="str">
        <f>""</f>
        <v/>
      </c>
    </row>
    <row r="3828" spans="1:97" x14ac:dyDescent="0.25">
      <c r="A3828" t="s">
        <v>1774</v>
      </c>
      <c r="B3828" t="s">
        <v>24480</v>
      </c>
      <c r="E3828" t="s">
        <v>24481</v>
      </c>
      <c r="F3828" t="s">
        <v>108</v>
      </c>
      <c r="H3828" t="s">
        <v>24482</v>
      </c>
      <c r="I3828" t="s">
        <v>5387</v>
      </c>
      <c r="J3828" t="s">
        <v>111</v>
      </c>
      <c r="K3828" t="str">
        <f>"85283"</f>
        <v>85283</v>
      </c>
      <c r="L3828" t="s">
        <v>9737</v>
      </c>
      <c r="M3828" t="s">
        <v>24482</v>
      </c>
      <c r="N3828" t="s">
        <v>5387</v>
      </c>
      <c r="O3828" t="s">
        <v>111</v>
      </c>
      <c r="P3828" t="str">
        <f>"85283-2462"</f>
        <v>85283-2462</v>
      </c>
      <c r="Q3828" t="s">
        <v>113</v>
      </c>
      <c r="R3828" t="str">
        <f>"305-01-044"</f>
        <v>305-01-044</v>
      </c>
      <c r="S3828" t="s">
        <v>10740</v>
      </c>
      <c r="T3828" t="s">
        <v>9739</v>
      </c>
      <c r="U3828">
        <v>1652</v>
      </c>
      <c r="V3828">
        <v>0</v>
      </c>
      <c r="W3828">
        <v>2</v>
      </c>
      <c r="X3828">
        <v>1974</v>
      </c>
      <c r="Z3828">
        <v>1</v>
      </c>
      <c r="AB3828">
        <v>0</v>
      </c>
      <c r="AC3828" t="s">
        <v>115</v>
      </c>
      <c r="AD3828">
        <v>2</v>
      </c>
      <c r="AE3828" t="s">
        <v>115</v>
      </c>
      <c r="AF3828">
        <v>0</v>
      </c>
      <c r="AG3828">
        <v>0</v>
      </c>
      <c r="AH3828" t="s">
        <v>116</v>
      </c>
      <c r="AI3828" s="1">
        <v>61028</v>
      </c>
      <c r="AJ3828" s="2">
        <v>0.19</v>
      </c>
      <c r="AK3828" s="1">
        <v>324575</v>
      </c>
      <c r="AL3828" t="s">
        <v>117</v>
      </c>
      <c r="AM3828" t="s">
        <v>191</v>
      </c>
      <c r="AN3828">
        <v>7889</v>
      </c>
      <c r="AO3828">
        <v>0.18</v>
      </c>
      <c r="AP3828">
        <v>1</v>
      </c>
      <c r="AR3828">
        <v>1</v>
      </c>
      <c r="AS3828" s="1">
        <v>21600</v>
      </c>
      <c r="AT3828" s="1">
        <v>4320</v>
      </c>
      <c r="AU3828" s="1">
        <v>17280</v>
      </c>
      <c r="AV3828">
        <v>80</v>
      </c>
      <c r="AX3828" s="1">
        <v>1929.2</v>
      </c>
      <c r="AY3828" t="s">
        <v>9740</v>
      </c>
      <c r="AZ3828" t="s">
        <v>6726</v>
      </c>
      <c r="BA3828" t="s">
        <v>5392</v>
      </c>
      <c r="BE3828" s="3">
        <v>42307</v>
      </c>
      <c r="BF3828" s="1">
        <v>258000</v>
      </c>
      <c r="BG3828" t="s">
        <v>24483</v>
      </c>
      <c r="BH3828" s="1">
        <v>156.16999999999999</v>
      </c>
      <c r="BI3828" s="1">
        <v>263547</v>
      </c>
      <c r="BJ3828" s="3">
        <v>42307</v>
      </c>
      <c r="BK3828" t="s">
        <v>123</v>
      </c>
      <c r="BL3828" t="str">
        <f>"2015.781294"</f>
        <v>2015.781294</v>
      </c>
      <c r="BM3828" t="s">
        <v>135</v>
      </c>
      <c r="BO3828" t="s">
        <v>24484</v>
      </c>
      <c r="BS3828">
        <v>30</v>
      </c>
      <c r="BW3828" t="str">
        <f>""</f>
        <v/>
      </c>
      <c r="CH3828" t="str">
        <f>""</f>
        <v/>
      </c>
      <c r="CS3828" t="str">
        <f>""</f>
        <v/>
      </c>
    </row>
    <row r="3829" spans="1:97" x14ac:dyDescent="0.25">
      <c r="B3829" t="s">
        <v>24485</v>
      </c>
      <c r="E3829" t="s">
        <v>24486</v>
      </c>
      <c r="F3829" t="s">
        <v>108</v>
      </c>
      <c r="H3829" t="s">
        <v>24487</v>
      </c>
      <c r="I3829" t="s">
        <v>453</v>
      </c>
      <c r="J3829" t="s">
        <v>111</v>
      </c>
      <c r="K3829" t="str">
        <f>"85381"</f>
        <v>85381</v>
      </c>
      <c r="L3829" t="s">
        <v>6333</v>
      </c>
      <c r="M3829" t="s">
        <v>24487</v>
      </c>
      <c r="N3829" t="s">
        <v>453</v>
      </c>
      <c r="O3829" t="s">
        <v>111</v>
      </c>
      <c r="P3829" t="str">
        <f>"85381-8519"</f>
        <v>85381-8519</v>
      </c>
      <c r="Q3829" t="s">
        <v>113</v>
      </c>
      <c r="R3829" t="str">
        <f>"200-62-206"</f>
        <v>200-62-206</v>
      </c>
      <c r="S3829" t="s">
        <v>24488</v>
      </c>
      <c r="T3829" t="s">
        <v>24489</v>
      </c>
      <c r="U3829">
        <v>2738</v>
      </c>
      <c r="V3829">
        <v>0</v>
      </c>
      <c r="W3829">
        <v>4</v>
      </c>
      <c r="X3829">
        <v>1992</v>
      </c>
      <c r="Z3829">
        <v>2</v>
      </c>
      <c r="AB3829">
        <v>0</v>
      </c>
      <c r="AC3829" t="s">
        <v>115</v>
      </c>
      <c r="AD3829">
        <v>2</v>
      </c>
      <c r="AE3829" t="s">
        <v>115</v>
      </c>
      <c r="AF3829">
        <v>0</v>
      </c>
      <c r="AG3829">
        <v>0</v>
      </c>
      <c r="AH3829" t="s">
        <v>116</v>
      </c>
      <c r="AI3829" s="1">
        <v>42577</v>
      </c>
      <c r="AJ3829" s="2">
        <v>0.12</v>
      </c>
      <c r="AK3829" s="1">
        <v>352477</v>
      </c>
      <c r="AL3829" t="s">
        <v>117</v>
      </c>
      <c r="AM3829" t="s">
        <v>171</v>
      </c>
      <c r="AN3829">
        <v>8029</v>
      </c>
      <c r="AO3829">
        <v>0.18</v>
      </c>
      <c r="AP3829">
        <v>1</v>
      </c>
      <c r="AR3829">
        <v>1</v>
      </c>
      <c r="AS3829" s="1">
        <v>23380</v>
      </c>
      <c r="AT3829" s="1">
        <v>4670</v>
      </c>
      <c r="AU3829" s="1">
        <v>18710</v>
      </c>
      <c r="AV3829">
        <v>80.03</v>
      </c>
      <c r="AX3829" s="1">
        <v>1974.54</v>
      </c>
      <c r="AY3829" t="s">
        <v>1799</v>
      </c>
      <c r="AZ3829" t="s">
        <v>1799</v>
      </c>
      <c r="BA3829" t="s">
        <v>1800</v>
      </c>
      <c r="BB3829" s="3">
        <v>42396</v>
      </c>
      <c r="BD3829" t="s">
        <v>240</v>
      </c>
      <c r="BE3829" s="3">
        <v>42332</v>
      </c>
      <c r="BF3829" s="1">
        <v>300000</v>
      </c>
      <c r="BG3829" t="s">
        <v>24490</v>
      </c>
      <c r="BH3829" s="1">
        <v>109.57</v>
      </c>
      <c r="BI3829" s="1">
        <v>309900</v>
      </c>
      <c r="BJ3829" s="3">
        <v>42332</v>
      </c>
      <c r="BK3829" t="s">
        <v>123</v>
      </c>
      <c r="BL3829" t="str">
        <f>"2015.840352"</f>
        <v>2015.840352</v>
      </c>
      <c r="BM3829" t="s">
        <v>131</v>
      </c>
      <c r="BO3829" t="s">
        <v>24491</v>
      </c>
      <c r="BP3829" t="s">
        <v>24492</v>
      </c>
      <c r="BS3829">
        <v>30</v>
      </c>
      <c r="BW3829" t="str">
        <f>""</f>
        <v/>
      </c>
      <c r="CH3829" t="str">
        <f>""</f>
        <v/>
      </c>
      <c r="CS3829" t="str">
        <f>""</f>
        <v/>
      </c>
    </row>
    <row r="3830" spans="1:97" x14ac:dyDescent="0.25">
      <c r="A3830" t="s">
        <v>2537</v>
      </c>
      <c r="B3830" t="s">
        <v>24493</v>
      </c>
      <c r="C3830" t="s">
        <v>17221</v>
      </c>
      <c r="D3830" t="s">
        <v>24493</v>
      </c>
      <c r="E3830" t="s">
        <v>24494</v>
      </c>
      <c r="F3830" t="s">
        <v>108</v>
      </c>
      <c r="H3830" t="s">
        <v>24495</v>
      </c>
      <c r="I3830" t="s">
        <v>188</v>
      </c>
      <c r="J3830" t="s">
        <v>111</v>
      </c>
      <c r="K3830" t="str">
        <f>"85142"</f>
        <v>85142</v>
      </c>
      <c r="L3830" t="s">
        <v>8146</v>
      </c>
      <c r="M3830" t="s">
        <v>24495</v>
      </c>
      <c r="N3830" t="s">
        <v>188</v>
      </c>
      <c r="O3830" t="s">
        <v>111</v>
      </c>
      <c r="P3830" t="str">
        <f>"85142-6942"</f>
        <v>85142-6942</v>
      </c>
      <c r="Q3830" t="s">
        <v>113</v>
      </c>
      <c r="R3830" t="str">
        <f>"304-65-561"</f>
        <v>304-65-561</v>
      </c>
      <c r="S3830" t="s">
        <v>24496</v>
      </c>
      <c r="U3830">
        <v>1678</v>
      </c>
      <c r="V3830">
        <v>0</v>
      </c>
      <c r="W3830">
        <v>2</v>
      </c>
      <c r="X3830">
        <v>2002</v>
      </c>
      <c r="Z3830">
        <v>1</v>
      </c>
      <c r="AB3830">
        <v>0</v>
      </c>
      <c r="AC3830" t="s">
        <v>115</v>
      </c>
      <c r="AD3830">
        <v>2</v>
      </c>
      <c r="AE3830" t="s">
        <v>115</v>
      </c>
      <c r="AF3830">
        <v>0</v>
      </c>
      <c r="AG3830">
        <v>0</v>
      </c>
      <c r="AH3830" t="s">
        <v>116</v>
      </c>
      <c r="AI3830" s="1">
        <v>29139</v>
      </c>
      <c r="AJ3830" s="2">
        <v>0.11</v>
      </c>
      <c r="AK3830" s="1">
        <v>258465</v>
      </c>
      <c r="AL3830" t="s">
        <v>117</v>
      </c>
      <c r="AM3830" t="s">
        <v>191</v>
      </c>
      <c r="AN3830">
        <v>5507</v>
      </c>
      <c r="AO3830">
        <v>0.13</v>
      </c>
      <c r="AP3830">
        <v>1</v>
      </c>
      <c r="AR3830">
        <v>1</v>
      </c>
      <c r="AS3830" s="1">
        <v>17230</v>
      </c>
      <c r="AT3830" s="1">
        <v>3440</v>
      </c>
      <c r="AU3830" s="1">
        <v>13790</v>
      </c>
      <c r="AV3830">
        <v>80.03</v>
      </c>
      <c r="AX3830" s="1">
        <v>1404.04</v>
      </c>
      <c r="AY3830" t="s">
        <v>5895</v>
      </c>
      <c r="AZ3830" t="s">
        <v>561</v>
      </c>
      <c r="BA3830" t="s">
        <v>194</v>
      </c>
      <c r="BE3830" s="3">
        <v>42300</v>
      </c>
      <c r="BF3830" s="1">
        <v>190000</v>
      </c>
      <c r="BG3830" t="s">
        <v>24497</v>
      </c>
      <c r="BH3830" s="1">
        <v>113.23</v>
      </c>
      <c r="BI3830" s="1">
        <v>229326</v>
      </c>
      <c r="BJ3830" s="3">
        <v>43007</v>
      </c>
      <c r="BK3830" t="s">
        <v>123</v>
      </c>
      <c r="BL3830" t="str">
        <f>"2017.723998"</f>
        <v>2017.723998</v>
      </c>
      <c r="BM3830" t="s">
        <v>24498</v>
      </c>
      <c r="BO3830" t="s">
        <v>24499</v>
      </c>
      <c r="BS3830">
        <v>30</v>
      </c>
      <c r="BW3830" t="str">
        <f>""</f>
        <v/>
      </c>
      <c r="CH3830" t="str">
        <f>""</f>
        <v/>
      </c>
      <c r="CS3830" t="str">
        <f>""</f>
        <v/>
      </c>
    </row>
    <row r="3831" spans="1:97" x14ac:dyDescent="0.25">
      <c r="A3831" t="s">
        <v>2428</v>
      </c>
      <c r="B3831" t="s">
        <v>24500</v>
      </c>
      <c r="C3831" t="s">
        <v>1451</v>
      </c>
      <c r="D3831" t="s">
        <v>24500</v>
      </c>
      <c r="E3831" t="s">
        <v>24501</v>
      </c>
      <c r="F3831" t="s">
        <v>108</v>
      </c>
      <c r="H3831" t="s">
        <v>24502</v>
      </c>
      <c r="I3831" t="s">
        <v>203</v>
      </c>
      <c r="J3831" t="s">
        <v>111</v>
      </c>
      <c r="K3831" t="str">
        <f>"85233"</f>
        <v>85233</v>
      </c>
      <c r="L3831" t="s">
        <v>6145</v>
      </c>
      <c r="M3831" t="s">
        <v>24502</v>
      </c>
      <c r="N3831" t="s">
        <v>203</v>
      </c>
      <c r="O3831" t="s">
        <v>111</v>
      </c>
      <c r="P3831" t="str">
        <f>"85233-1909"</f>
        <v>85233-1909</v>
      </c>
      <c r="Q3831" t="s">
        <v>113</v>
      </c>
      <c r="R3831" t="str">
        <f>"302-12-211"</f>
        <v>302-12-211</v>
      </c>
      <c r="S3831" t="s">
        <v>15624</v>
      </c>
      <c r="T3831" t="s">
        <v>15624</v>
      </c>
      <c r="U3831">
        <v>1527</v>
      </c>
      <c r="V3831">
        <v>0</v>
      </c>
      <c r="W3831">
        <v>3</v>
      </c>
      <c r="X3831">
        <v>1994</v>
      </c>
      <c r="Z3831">
        <v>2</v>
      </c>
      <c r="AA3831" t="s">
        <v>26</v>
      </c>
      <c r="AB3831">
        <v>0</v>
      </c>
      <c r="AC3831" t="s">
        <v>115</v>
      </c>
      <c r="AD3831">
        <v>2</v>
      </c>
      <c r="AE3831" t="s">
        <v>115</v>
      </c>
      <c r="AF3831">
        <v>0</v>
      </c>
      <c r="AG3831">
        <v>0</v>
      </c>
      <c r="AH3831" t="s">
        <v>116</v>
      </c>
      <c r="AI3831" s="1">
        <v>68042</v>
      </c>
      <c r="AJ3831" s="2">
        <v>0.23</v>
      </c>
      <c r="AK3831" s="1">
        <v>292030</v>
      </c>
      <c r="AL3831" t="s">
        <v>117</v>
      </c>
      <c r="AM3831" t="s">
        <v>288</v>
      </c>
      <c r="AN3831">
        <v>5558</v>
      </c>
      <c r="AO3831">
        <v>0.13</v>
      </c>
      <c r="AP3831">
        <v>1</v>
      </c>
      <c r="AR3831">
        <v>1</v>
      </c>
      <c r="AS3831" s="1">
        <v>20010</v>
      </c>
      <c r="AT3831" s="1">
        <v>4000</v>
      </c>
      <c r="AU3831" s="1">
        <v>16010</v>
      </c>
      <c r="AV3831">
        <v>80.010000000000005</v>
      </c>
      <c r="AX3831" s="1">
        <v>1324.58</v>
      </c>
      <c r="AY3831" t="s">
        <v>8604</v>
      </c>
      <c r="AZ3831" t="s">
        <v>5478</v>
      </c>
      <c r="BA3831" t="s">
        <v>5479</v>
      </c>
      <c r="BE3831" s="3">
        <v>42200</v>
      </c>
      <c r="BF3831" s="1">
        <v>225000</v>
      </c>
      <c r="BG3831" t="s">
        <v>24503</v>
      </c>
      <c r="BH3831" s="1">
        <v>147.35</v>
      </c>
      <c r="BI3831" s="1">
        <v>223988</v>
      </c>
      <c r="BJ3831" s="3">
        <v>42627</v>
      </c>
      <c r="BK3831" t="s">
        <v>123</v>
      </c>
      <c r="BL3831" t="str">
        <f>"2016.666509"</f>
        <v>2016.666509</v>
      </c>
      <c r="BM3831" t="s">
        <v>175</v>
      </c>
      <c r="BO3831" t="s">
        <v>24504</v>
      </c>
      <c r="BS3831">
        <v>30</v>
      </c>
      <c r="BW3831" t="str">
        <f>""</f>
        <v/>
      </c>
      <c r="CH3831" t="str">
        <f>""</f>
        <v/>
      </c>
      <c r="CS3831" t="str">
        <f>""</f>
        <v/>
      </c>
    </row>
    <row r="3832" spans="1:97" x14ac:dyDescent="0.25">
      <c r="A3832" t="s">
        <v>24505</v>
      </c>
      <c r="B3832" t="s">
        <v>3265</v>
      </c>
      <c r="C3832" t="s">
        <v>24506</v>
      </c>
      <c r="D3832" t="s">
        <v>3265</v>
      </c>
      <c r="E3832" t="s">
        <v>24507</v>
      </c>
      <c r="F3832" t="s">
        <v>108</v>
      </c>
      <c r="H3832" t="s">
        <v>24508</v>
      </c>
      <c r="I3832" t="s">
        <v>167</v>
      </c>
      <c r="J3832" t="s">
        <v>111</v>
      </c>
      <c r="K3832" t="str">
        <f>"85339"</f>
        <v>85339</v>
      </c>
      <c r="L3832" t="s">
        <v>5239</v>
      </c>
      <c r="M3832" t="s">
        <v>24508</v>
      </c>
      <c r="N3832" t="s">
        <v>167</v>
      </c>
      <c r="O3832" t="s">
        <v>111</v>
      </c>
      <c r="P3832" t="str">
        <f>"85339-3118"</f>
        <v>85339-3118</v>
      </c>
      <c r="R3832" t="str">
        <f>"300-03-790"</f>
        <v>300-03-790</v>
      </c>
      <c r="S3832" t="s">
        <v>15120</v>
      </c>
      <c r="T3832" t="s">
        <v>15121</v>
      </c>
      <c r="U3832">
        <v>1800</v>
      </c>
      <c r="V3832">
        <v>0</v>
      </c>
      <c r="W3832">
        <v>3</v>
      </c>
      <c r="X3832">
        <v>2014</v>
      </c>
      <c r="Z3832">
        <v>1</v>
      </c>
      <c r="AB3832">
        <v>0</v>
      </c>
      <c r="AC3832" t="s">
        <v>115</v>
      </c>
      <c r="AD3832">
        <v>2</v>
      </c>
      <c r="AE3832" t="s">
        <v>115</v>
      </c>
      <c r="AF3832">
        <v>0</v>
      </c>
      <c r="AG3832">
        <v>0</v>
      </c>
      <c r="AH3832" t="s">
        <v>116</v>
      </c>
      <c r="AI3832" s="1">
        <v>57563</v>
      </c>
      <c r="AJ3832" s="2">
        <v>0.22</v>
      </c>
      <c r="AK3832" s="1">
        <v>264864</v>
      </c>
      <c r="AL3832" t="s">
        <v>117</v>
      </c>
      <c r="AM3832" t="s">
        <v>760</v>
      </c>
      <c r="AN3832">
        <v>5394</v>
      </c>
      <c r="AO3832">
        <v>0.12</v>
      </c>
      <c r="AR3832">
        <v>1</v>
      </c>
      <c r="AS3832" s="1">
        <v>18070</v>
      </c>
      <c r="AT3832" s="1">
        <v>3610</v>
      </c>
      <c r="AU3832" s="1">
        <v>14460</v>
      </c>
      <c r="AV3832">
        <v>80.02</v>
      </c>
      <c r="AX3832" s="1">
        <v>1960.68</v>
      </c>
      <c r="AY3832" t="s">
        <v>5532</v>
      </c>
      <c r="AZ3832" t="s">
        <v>5532</v>
      </c>
      <c r="BA3832" t="s">
        <v>173</v>
      </c>
      <c r="BE3832" s="3">
        <v>41851</v>
      </c>
      <c r="BF3832" s="1">
        <v>207301</v>
      </c>
      <c r="BG3832" t="s">
        <v>174</v>
      </c>
      <c r="BH3832" s="1">
        <v>115.17</v>
      </c>
      <c r="BI3832" s="1">
        <v>207301</v>
      </c>
      <c r="BJ3832" s="3">
        <v>41851</v>
      </c>
      <c r="BK3832" t="s">
        <v>123</v>
      </c>
      <c r="BL3832" t="str">
        <f>"2014.501959"</f>
        <v>2014.501959</v>
      </c>
      <c r="BM3832" t="s">
        <v>175</v>
      </c>
      <c r="BN3832" t="s">
        <v>132</v>
      </c>
      <c r="BO3832" t="s">
        <v>24509</v>
      </c>
      <c r="BS3832">
        <v>30</v>
      </c>
      <c r="BW3832" t="str">
        <f>""</f>
        <v/>
      </c>
      <c r="CH3832" t="str">
        <f>""</f>
        <v/>
      </c>
      <c r="CS3832" t="str">
        <f>""</f>
        <v/>
      </c>
    </row>
    <row r="3833" spans="1:97" x14ac:dyDescent="0.25">
      <c r="A3833" t="s">
        <v>10986</v>
      </c>
      <c r="B3833" t="s">
        <v>24510</v>
      </c>
      <c r="C3833" t="s">
        <v>1119</v>
      </c>
      <c r="D3833" t="s">
        <v>24510</v>
      </c>
      <c r="E3833" t="s">
        <v>24511</v>
      </c>
      <c r="F3833" t="s">
        <v>108</v>
      </c>
      <c r="H3833" t="s">
        <v>24512</v>
      </c>
      <c r="I3833" t="s">
        <v>453</v>
      </c>
      <c r="J3833" t="s">
        <v>111</v>
      </c>
      <c r="K3833" t="str">
        <f>"85382"</f>
        <v>85382</v>
      </c>
      <c r="L3833" t="s">
        <v>6481</v>
      </c>
      <c r="M3833" t="s">
        <v>24512</v>
      </c>
      <c r="N3833" t="s">
        <v>453</v>
      </c>
      <c r="O3833" t="s">
        <v>111</v>
      </c>
      <c r="P3833" t="str">
        <f>"85382-4454"</f>
        <v>85382-4454</v>
      </c>
      <c r="Q3833" t="s">
        <v>113</v>
      </c>
      <c r="R3833" t="str">
        <f>"200-18-293"</f>
        <v>200-18-293</v>
      </c>
      <c r="S3833" t="s">
        <v>11500</v>
      </c>
      <c r="U3833">
        <v>1195</v>
      </c>
      <c r="V3833">
        <v>0</v>
      </c>
      <c r="W3833">
        <v>2</v>
      </c>
      <c r="X3833">
        <v>1998</v>
      </c>
      <c r="Z3833">
        <v>1</v>
      </c>
      <c r="AB3833">
        <v>0</v>
      </c>
      <c r="AC3833" t="s">
        <v>115</v>
      </c>
      <c r="AD3833">
        <v>2</v>
      </c>
      <c r="AE3833" t="s">
        <v>115</v>
      </c>
      <c r="AF3833">
        <v>0</v>
      </c>
      <c r="AG3833">
        <v>0</v>
      </c>
      <c r="AH3833" t="s">
        <v>116</v>
      </c>
      <c r="AI3833" s="1">
        <v>40838</v>
      </c>
      <c r="AJ3833" s="2">
        <v>0.17</v>
      </c>
      <c r="AK3833" s="1">
        <v>244627</v>
      </c>
      <c r="AL3833" t="s">
        <v>117</v>
      </c>
      <c r="AM3833" t="s">
        <v>118</v>
      </c>
      <c r="AN3833">
        <v>5280</v>
      </c>
      <c r="AO3833">
        <v>0.12</v>
      </c>
      <c r="AP3833">
        <v>1</v>
      </c>
      <c r="AR3833">
        <v>1</v>
      </c>
      <c r="AS3833" s="1">
        <v>15920</v>
      </c>
      <c r="AT3833" s="1">
        <v>3180</v>
      </c>
      <c r="AU3833" s="1">
        <v>12740</v>
      </c>
      <c r="AV3833">
        <v>80.03</v>
      </c>
      <c r="AX3833" s="1">
        <v>1281.04</v>
      </c>
      <c r="AY3833" t="s">
        <v>4218</v>
      </c>
      <c r="AZ3833" t="s">
        <v>4218</v>
      </c>
      <c r="BA3833" t="s">
        <v>4219</v>
      </c>
      <c r="BE3833" s="3">
        <v>42258</v>
      </c>
      <c r="BF3833" s="1">
        <v>199500</v>
      </c>
      <c r="BG3833" t="s">
        <v>24513</v>
      </c>
      <c r="BH3833" s="1">
        <v>166.95</v>
      </c>
      <c r="BI3833" s="1">
        <v>203789</v>
      </c>
      <c r="BJ3833" s="3">
        <v>42258</v>
      </c>
      <c r="BK3833" t="s">
        <v>123</v>
      </c>
      <c r="BL3833" t="str">
        <f>"2015.657020"</f>
        <v>2015.657020</v>
      </c>
      <c r="BM3833" t="s">
        <v>2368</v>
      </c>
      <c r="BO3833" t="s">
        <v>24514</v>
      </c>
      <c r="BS3833">
        <v>30</v>
      </c>
      <c r="BW3833" t="str">
        <f>""</f>
        <v/>
      </c>
      <c r="CH3833" t="str">
        <f>""</f>
        <v/>
      </c>
      <c r="CS3833" t="str">
        <f>""</f>
        <v/>
      </c>
    </row>
    <row r="3834" spans="1:97" x14ac:dyDescent="0.25">
      <c r="A3834" t="s">
        <v>24515</v>
      </c>
      <c r="B3834" t="s">
        <v>4306</v>
      </c>
      <c r="E3834" t="s">
        <v>24516</v>
      </c>
      <c r="F3834" t="s">
        <v>108</v>
      </c>
      <c r="H3834" t="s">
        <v>24517</v>
      </c>
      <c r="I3834" t="s">
        <v>203</v>
      </c>
      <c r="J3834" t="s">
        <v>111</v>
      </c>
      <c r="K3834" t="str">
        <f>"85234"</f>
        <v>85234</v>
      </c>
      <c r="L3834" t="s">
        <v>3758</v>
      </c>
      <c r="M3834" t="s">
        <v>24517</v>
      </c>
      <c r="N3834" t="s">
        <v>203</v>
      </c>
      <c r="O3834" t="s">
        <v>111</v>
      </c>
      <c r="P3834" t="str">
        <f>"85234-5910"</f>
        <v>85234-5910</v>
      </c>
      <c r="Q3834" t="s">
        <v>113</v>
      </c>
      <c r="R3834" t="str">
        <f>"304-13-247"</f>
        <v>304-13-247</v>
      </c>
      <c r="S3834" t="s">
        <v>15222</v>
      </c>
      <c r="T3834" t="s">
        <v>15223</v>
      </c>
      <c r="U3834">
        <v>1909</v>
      </c>
      <c r="V3834">
        <v>0</v>
      </c>
      <c r="W3834">
        <v>3</v>
      </c>
      <c r="X3834">
        <v>1985</v>
      </c>
      <c r="Z3834">
        <v>1</v>
      </c>
      <c r="AB3834">
        <v>0</v>
      </c>
      <c r="AC3834" t="s">
        <v>115</v>
      </c>
      <c r="AD3834">
        <v>2</v>
      </c>
      <c r="AE3834" t="s">
        <v>115</v>
      </c>
      <c r="AF3834">
        <v>0</v>
      </c>
      <c r="AG3834">
        <v>0</v>
      </c>
      <c r="AH3834" t="s">
        <v>116</v>
      </c>
      <c r="AI3834" s="1">
        <v>105001</v>
      </c>
      <c r="AJ3834" s="2">
        <v>0.32</v>
      </c>
      <c r="AK3834" s="1">
        <v>330195</v>
      </c>
      <c r="AL3834" t="s">
        <v>117</v>
      </c>
      <c r="AM3834" t="s">
        <v>393</v>
      </c>
      <c r="AN3834">
        <v>8041</v>
      </c>
      <c r="AO3834">
        <v>0.18</v>
      </c>
      <c r="AP3834">
        <v>1</v>
      </c>
      <c r="AR3834">
        <v>1</v>
      </c>
      <c r="AS3834" s="1">
        <v>22960</v>
      </c>
      <c r="AT3834" s="1">
        <v>4590</v>
      </c>
      <c r="AU3834" s="1">
        <v>18370</v>
      </c>
      <c r="AV3834">
        <v>80.010000000000005</v>
      </c>
      <c r="AX3834" s="1">
        <v>1532.38</v>
      </c>
      <c r="AY3834" t="s">
        <v>6506</v>
      </c>
      <c r="AZ3834" t="s">
        <v>520</v>
      </c>
      <c r="BA3834" t="s">
        <v>5033</v>
      </c>
      <c r="BE3834" s="3">
        <v>41908</v>
      </c>
      <c r="BF3834" s="1">
        <v>218000</v>
      </c>
      <c r="BG3834" t="s">
        <v>24518</v>
      </c>
      <c r="BH3834" s="1">
        <v>114.2</v>
      </c>
      <c r="BI3834" s="1">
        <v>225194</v>
      </c>
      <c r="BJ3834" s="3">
        <v>41908</v>
      </c>
      <c r="BK3834" t="s">
        <v>123</v>
      </c>
      <c r="BL3834" t="str">
        <f>"2014.639008"</f>
        <v>2014.639008</v>
      </c>
      <c r="BM3834" t="s">
        <v>175</v>
      </c>
      <c r="BO3834" t="s">
        <v>24519</v>
      </c>
      <c r="BS3834">
        <v>30</v>
      </c>
      <c r="BW3834" t="str">
        <f>""</f>
        <v/>
      </c>
      <c r="CH3834" t="str">
        <f>""</f>
        <v/>
      </c>
      <c r="CS3834" t="str">
        <f>""</f>
        <v/>
      </c>
    </row>
    <row r="3835" spans="1:97" x14ac:dyDescent="0.25">
      <c r="A3835" t="s">
        <v>24520</v>
      </c>
      <c r="B3835" t="s">
        <v>1089</v>
      </c>
      <c r="C3835" t="s">
        <v>24521</v>
      </c>
      <c r="D3835" t="s">
        <v>1089</v>
      </c>
      <c r="E3835" t="s">
        <v>24522</v>
      </c>
      <c r="F3835" t="s">
        <v>108</v>
      </c>
      <c r="H3835" t="s">
        <v>24523</v>
      </c>
      <c r="I3835" t="s">
        <v>390</v>
      </c>
      <c r="J3835" t="s">
        <v>111</v>
      </c>
      <c r="K3835" t="str">
        <f>"85041"</f>
        <v>85041</v>
      </c>
      <c r="L3835" t="s">
        <v>5218</v>
      </c>
      <c r="M3835" t="s">
        <v>24523</v>
      </c>
      <c r="N3835" t="s">
        <v>390</v>
      </c>
      <c r="O3835" t="s">
        <v>111</v>
      </c>
      <c r="P3835" t="str">
        <f>"85041-6346"</f>
        <v>85041-6346</v>
      </c>
      <c r="R3835" t="str">
        <f>"105-91-010"</f>
        <v>105-91-010</v>
      </c>
      <c r="S3835" t="s">
        <v>15659</v>
      </c>
      <c r="T3835" t="s">
        <v>15660</v>
      </c>
      <c r="U3835">
        <v>2507</v>
      </c>
      <c r="V3835">
        <v>0</v>
      </c>
      <c r="W3835">
        <v>4</v>
      </c>
      <c r="X3835">
        <v>2016</v>
      </c>
      <c r="Z3835">
        <v>1</v>
      </c>
      <c r="AB3835">
        <v>0</v>
      </c>
      <c r="AC3835" t="s">
        <v>115</v>
      </c>
      <c r="AD3835">
        <v>2</v>
      </c>
      <c r="AE3835" t="s">
        <v>115</v>
      </c>
      <c r="AF3835">
        <v>0</v>
      </c>
      <c r="AG3835">
        <v>0</v>
      </c>
      <c r="AH3835" t="s">
        <v>116</v>
      </c>
      <c r="AI3835" s="1">
        <v>30915</v>
      </c>
      <c r="AJ3835" s="2">
        <v>0.1</v>
      </c>
      <c r="AK3835" s="1">
        <v>319115</v>
      </c>
      <c r="AL3835" t="s">
        <v>117</v>
      </c>
      <c r="AM3835" t="s">
        <v>760</v>
      </c>
      <c r="AN3835">
        <v>10240</v>
      </c>
      <c r="AO3835">
        <v>0.24</v>
      </c>
      <c r="AR3835">
        <v>1</v>
      </c>
      <c r="AS3835" s="1">
        <v>23300</v>
      </c>
      <c r="AT3835" s="1">
        <v>4660</v>
      </c>
      <c r="AU3835" s="1">
        <v>18640</v>
      </c>
      <c r="AV3835">
        <v>80</v>
      </c>
      <c r="AX3835" s="1">
        <v>2508.58</v>
      </c>
      <c r="AY3835" t="s">
        <v>5220</v>
      </c>
      <c r="AZ3835" t="s">
        <v>5220</v>
      </c>
      <c r="BA3835" t="s">
        <v>1661</v>
      </c>
      <c r="BE3835" s="3">
        <v>42538</v>
      </c>
      <c r="BF3835" s="1">
        <v>280000</v>
      </c>
      <c r="BG3835" t="s">
        <v>158</v>
      </c>
      <c r="BH3835" s="1">
        <v>111.69</v>
      </c>
      <c r="BI3835" s="1">
        <v>288200</v>
      </c>
      <c r="BJ3835" s="3">
        <v>42690</v>
      </c>
      <c r="BK3835" t="s">
        <v>123</v>
      </c>
      <c r="BL3835" t="str">
        <f>"2016.845963"</f>
        <v>2016.845963</v>
      </c>
      <c r="BM3835" t="s">
        <v>1122</v>
      </c>
      <c r="BN3835" t="s">
        <v>1624</v>
      </c>
      <c r="BO3835" t="s">
        <v>24524</v>
      </c>
      <c r="BS3835">
        <v>30</v>
      </c>
      <c r="BW3835" t="str">
        <f>""</f>
        <v/>
      </c>
      <c r="CH3835" t="str">
        <f>""</f>
        <v/>
      </c>
      <c r="CS3835" t="str">
        <f>""</f>
        <v/>
      </c>
    </row>
    <row r="3836" spans="1:97" x14ac:dyDescent="0.25">
      <c r="A3836" t="s">
        <v>701</v>
      </c>
      <c r="B3836" t="s">
        <v>1697</v>
      </c>
      <c r="C3836" t="s">
        <v>24525</v>
      </c>
      <c r="D3836" t="s">
        <v>1697</v>
      </c>
      <c r="E3836" t="s">
        <v>24526</v>
      </c>
      <c r="F3836" t="s">
        <v>108</v>
      </c>
      <c r="H3836" t="s">
        <v>24527</v>
      </c>
      <c r="I3836" t="s">
        <v>390</v>
      </c>
      <c r="J3836" t="s">
        <v>111</v>
      </c>
      <c r="K3836" t="str">
        <f>"85027"</f>
        <v>85027</v>
      </c>
      <c r="L3836" t="s">
        <v>6996</v>
      </c>
      <c r="M3836" t="s">
        <v>24527</v>
      </c>
      <c r="N3836" t="s">
        <v>390</v>
      </c>
      <c r="O3836" t="s">
        <v>111</v>
      </c>
      <c r="P3836" t="str">
        <f>"85027-3689"</f>
        <v>85027-3689</v>
      </c>
      <c r="Q3836" t="s">
        <v>113</v>
      </c>
      <c r="R3836" t="str">
        <f>"209-09-634"</f>
        <v>209-09-634</v>
      </c>
      <c r="S3836" t="s">
        <v>24528</v>
      </c>
      <c r="T3836" t="s">
        <v>24528</v>
      </c>
      <c r="U3836">
        <v>1712</v>
      </c>
      <c r="V3836">
        <v>0</v>
      </c>
      <c r="W3836">
        <v>2</v>
      </c>
      <c r="X3836">
        <v>1984</v>
      </c>
      <c r="Z3836">
        <v>1</v>
      </c>
      <c r="AB3836">
        <v>0</v>
      </c>
      <c r="AC3836" t="s">
        <v>115</v>
      </c>
      <c r="AD3836">
        <v>2</v>
      </c>
      <c r="AE3836" t="s">
        <v>115</v>
      </c>
      <c r="AF3836">
        <v>0</v>
      </c>
      <c r="AG3836">
        <v>0</v>
      </c>
      <c r="AH3836" t="s">
        <v>116</v>
      </c>
      <c r="AI3836" s="1">
        <v>54221</v>
      </c>
      <c r="AJ3836" s="2">
        <v>0.21</v>
      </c>
      <c r="AK3836" s="1">
        <v>261804</v>
      </c>
      <c r="AL3836" t="s">
        <v>117</v>
      </c>
      <c r="AM3836" t="s">
        <v>191</v>
      </c>
      <c r="AN3836">
        <v>7694</v>
      </c>
      <c r="AO3836">
        <v>0.18</v>
      </c>
      <c r="AP3836">
        <v>1</v>
      </c>
      <c r="AR3836">
        <v>1</v>
      </c>
      <c r="AS3836" s="1">
        <v>17360</v>
      </c>
      <c r="AT3836" s="1">
        <v>3470</v>
      </c>
      <c r="AU3836" s="1">
        <v>13890</v>
      </c>
      <c r="AV3836">
        <v>80.010000000000005</v>
      </c>
      <c r="AX3836" s="1">
        <v>1195.8800000000001</v>
      </c>
      <c r="AY3836" t="s">
        <v>10684</v>
      </c>
      <c r="AZ3836" t="s">
        <v>2357</v>
      </c>
      <c r="BA3836" t="s">
        <v>1462</v>
      </c>
      <c r="BE3836" s="3">
        <v>41912</v>
      </c>
      <c r="BF3836" s="1">
        <v>170000</v>
      </c>
      <c r="BG3836" t="s">
        <v>24529</v>
      </c>
      <c r="BH3836" s="1">
        <v>99.3</v>
      </c>
      <c r="BI3836" s="1">
        <v>207583</v>
      </c>
      <c r="BJ3836" s="3">
        <v>42969</v>
      </c>
      <c r="BK3836" t="s">
        <v>123</v>
      </c>
      <c r="BL3836" t="str">
        <f>"2017.620168"</f>
        <v>2017.620168</v>
      </c>
      <c r="BM3836" t="s">
        <v>5617</v>
      </c>
      <c r="BO3836" t="s">
        <v>24530</v>
      </c>
      <c r="BS3836">
        <v>30</v>
      </c>
      <c r="BW3836" t="str">
        <f>""</f>
        <v/>
      </c>
      <c r="CH3836" t="str">
        <f>""</f>
        <v/>
      </c>
      <c r="CS3836" t="str">
        <f>""</f>
        <v/>
      </c>
    </row>
    <row r="3837" spans="1:97" x14ac:dyDescent="0.25">
      <c r="A3837" t="s">
        <v>938</v>
      </c>
      <c r="B3837" t="s">
        <v>24531</v>
      </c>
      <c r="C3837" t="s">
        <v>1361</v>
      </c>
      <c r="D3837" t="s">
        <v>24531</v>
      </c>
      <c r="E3837" t="s">
        <v>24532</v>
      </c>
      <c r="F3837" t="s">
        <v>108</v>
      </c>
      <c r="H3837" t="s">
        <v>24533</v>
      </c>
      <c r="I3837" t="s">
        <v>1788</v>
      </c>
      <c r="J3837" t="s">
        <v>111</v>
      </c>
      <c r="K3837" t="str">
        <f>"85355"</f>
        <v>85355</v>
      </c>
      <c r="L3837" t="s">
        <v>168</v>
      </c>
      <c r="M3837" t="s">
        <v>24533</v>
      </c>
      <c r="N3837" t="s">
        <v>1788</v>
      </c>
      <c r="O3837" t="s">
        <v>111</v>
      </c>
      <c r="P3837" t="str">
        <f>"85355-4465"</f>
        <v>85355-4465</v>
      </c>
      <c r="Q3837" t="s">
        <v>113</v>
      </c>
      <c r="R3837" t="str">
        <f>"502-90-518"</f>
        <v>502-90-518</v>
      </c>
      <c r="S3837" t="s">
        <v>8290</v>
      </c>
      <c r="T3837" t="s">
        <v>8290</v>
      </c>
      <c r="U3837">
        <v>2507</v>
      </c>
      <c r="V3837">
        <v>0</v>
      </c>
      <c r="W3837">
        <v>4</v>
      </c>
      <c r="X3837">
        <v>2014</v>
      </c>
      <c r="Z3837">
        <v>1</v>
      </c>
      <c r="AB3837">
        <v>0</v>
      </c>
      <c r="AC3837" t="s">
        <v>115</v>
      </c>
      <c r="AD3837">
        <v>2</v>
      </c>
      <c r="AE3837" t="s">
        <v>115</v>
      </c>
      <c r="AF3837">
        <v>0</v>
      </c>
      <c r="AG3837">
        <v>0</v>
      </c>
      <c r="AH3837" t="s">
        <v>116</v>
      </c>
      <c r="AI3837" s="1">
        <v>60432</v>
      </c>
      <c r="AJ3837" s="2">
        <v>0.18</v>
      </c>
      <c r="AK3837" s="1">
        <v>329432</v>
      </c>
      <c r="AL3837" t="s">
        <v>117</v>
      </c>
      <c r="AM3837" t="s">
        <v>171</v>
      </c>
      <c r="AN3837">
        <v>8750</v>
      </c>
      <c r="AO3837">
        <v>0.2</v>
      </c>
      <c r="AR3837">
        <v>1</v>
      </c>
      <c r="AS3837" s="1">
        <v>23980</v>
      </c>
      <c r="AT3837" s="1">
        <v>4790</v>
      </c>
      <c r="AU3837" s="1">
        <v>19190</v>
      </c>
      <c r="AV3837">
        <v>80.03</v>
      </c>
      <c r="AX3837" s="1">
        <v>1659.34</v>
      </c>
      <c r="AY3837" t="s">
        <v>5972</v>
      </c>
      <c r="AZ3837" t="s">
        <v>5972</v>
      </c>
      <c r="BA3837" t="s">
        <v>5061</v>
      </c>
      <c r="BE3837" s="3">
        <v>41975</v>
      </c>
      <c r="BF3837" s="1">
        <v>264005</v>
      </c>
      <c r="BG3837" t="s">
        <v>158</v>
      </c>
      <c r="BH3837" s="1">
        <v>105.31</v>
      </c>
      <c r="BI3837" s="1">
        <v>269000</v>
      </c>
      <c r="BJ3837" s="3">
        <v>42143</v>
      </c>
      <c r="BK3837" t="s">
        <v>123</v>
      </c>
      <c r="BL3837" t="str">
        <f>"2015.352218"</f>
        <v>2015.352218</v>
      </c>
      <c r="BM3837" t="s">
        <v>1122</v>
      </c>
      <c r="BO3837" t="s">
        <v>24534</v>
      </c>
      <c r="BS3837">
        <v>30</v>
      </c>
      <c r="BW3837" t="str">
        <f>""</f>
        <v/>
      </c>
      <c r="CH3837" t="str">
        <f>""</f>
        <v/>
      </c>
      <c r="CS3837" t="str">
        <f>""</f>
        <v/>
      </c>
    </row>
    <row r="3838" spans="1:97" x14ac:dyDescent="0.25">
      <c r="A3838" t="s">
        <v>996</v>
      </c>
      <c r="B3838" t="s">
        <v>24535</v>
      </c>
      <c r="C3838" t="s">
        <v>2575</v>
      </c>
      <c r="D3838" t="s">
        <v>24535</v>
      </c>
      <c r="E3838" t="s">
        <v>24536</v>
      </c>
      <c r="F3838" t="s">
        <v>108</v>
      </c>
      <c r="H3838" t="s">
        <v>24537</v>
      </c>
      <c r="I3838" t="s">
        <v>453</v>
      </c>
      <c r="J3838" t="s">
        <v>111</v>
      </c>
      <c r="K3838" t="str">
        <f>"85383"</f>
        <v>85383</v>
      </c>
      <c r="L3838" t="s">
        <v>7235</v>
      </c>
      <c r="M3838" t="s">
        <v>24537</v>
      </c>
      <c r="N3838" t="s">
        <v>453</v>
      </c>
      <c r="O3838" t="s">
        <v>111</v>
      </c>
      <c r="P3838" t="str">
        <f>"85383-5885"</f>
        <v>85383-5885</v>
      </c>
      <c r="Q3838" t="s">
        <v>113</v>
      </c>
      <c r="R3838" t="str">
        <f>"503-55-364"</f>
        <v>503-55-364</v>
      </c>
      <c r="S3838" t="s">
        <v>7236</v>
      </c>
      <c r="T3838" t="s">
        <v>7237</v>
      </c>
      <c r="U3838">
        <v>3144</v>
      </c>
      <c r="V3838">
        <v>0</v>
      </c>
      <c r="W3838">
        <v>4</v>
      </c>
      <c r="X3838">
        <v>2015</v>
      </c>
      <c r="Z3838">
        <v>2</v>
      </c>
      <c r="AB3838">
        <v>0</v>
      </c>
      <c r="AC3838" t="s">
        <v>115</v>
      </c>
      <c r="AD3838">
        <v>2</v>
      </c>
      <c r="AE3838" t="s">
        <v>115</v>
      </c>
      <c r="AF3838">
        <v>0</v>
      </c>
      <c r="AG3838">
        <v>0</v>
      </c>
      <c r="AH3838" t="s">
        <v>116</v>
      </c>
      <c r="AI3838" s="1">
        <v>95771</v>
      </c>
      <c r="AJ3838" s="2">
        <v>0.24</v>
      </c>
      <c r="AK3838" s="1">
        <v>395305</v>
      </c>
      <c r="AL3838" t="s">
        <v>117</v>
      </c>
      <c r="AM3838" t="s">
        <v>229</v>
      </c>
      <c r="AN3838">
        <v>5534</v>
      </c>
      <c r="AO3838">
        <v>0.13</v>
      </c>
      <c r="AR3838">
        <v>1</v>
      </c>
      <c r="AS3838" s="1">
        <v>27050</v>
      </c>
      <c r="AT3838" s="1">
        <v>5410</v>
      </c>
      <c r="AU3838" s="1">
        <v>21640</v>
      </c>
      <c r="AV3838">
        <v>80</v>
      </c>
      <c r="AX3838" s="1">
        <v>2677.34</v>
      </c>
      <c r="AY3838" t="s">
        <v>456</v>
      </c>
      <c r="AZ3838" t="s">
        <v>456</v>
      </c>
      <c r="BA3838" t="s">
        <v>457</v>
      </c>
      <c r="BE3838" s="3">
        <v>42354</v>
      </c>
      <c r="BF3838" s="1">
        <v>299534</v>
      </c>
      <c r="BG3838" t="s">
        <v>7238</v>
      </c>
      <c r="BH3838" s="1">
        <v>95.27</v>
      </c>
      <c r="BI3838" s="1">
        <v>299534</v>
      </c>
      <c r="BJ3838" s="3">
        <v>42354</v>
      </c>
      <c r="BK3838" t="s">
        <v>123</v>
      </c>
      <c r="BL3838" t="str">
        <f>"2015.887761"</f>
        <v>2015.887761</v>
      </c>
      <c r="BM3838" t="s">
        <v>175</v>
      </c>
      <c r="BO3838" t="s">
        <v>24538</v>
      </c>
      <c r="BS3838">
        <v>30</v>
      </c>
      <c r="BW3838" t="str">
        <f>""</f>
        <v/>
      </c>
      <c r="CH3838" t="str">
        <f>""</f>
        <v/>
      </c>
      <c r="CS3838" t="str">
        <f>""</f>
        <v/>
      </c>
    </row>
    <row r="3839" spans="1:97" x14ac:dyDescent="0.25">
      <c r="A3839" t="s">
        <v>701</v>
      </c>
      <c r="B3839" t="s">
        <v>3315</v>
      </c>
      <c r="E3839" t="s">
        <v>24539</v>
      </c>
      <c r="F3839" t="s">
        <v>108</v>
      </c>
      <c r="H3839" t="s">
        <v>24540</v>
      </c>
      <c r="I3839" t="s">
        <v>390</v>
      </c>
      <c r="J3839" t="s">
        <v>111</v>
      </c>
      <c r="K3839" t="str">
        <f>"85013"</f>
        <v>85013</v>
      </c>
      <c r="L3839" t="s">
        <v>1300</v>
      </c>
      <c r="M3839" t="s">
        <v>24540</v>
      </c>
      <c r="N3839" t="s">
        <v>390</v>
      </c>
      <c r="O3839" t="s">
        <v>111</v>
      </c>
      <c r="P3839" t="str">
        <f>"85013-1413"</f>
        <v>85013-1413</v>
      </c>
      <c r="Q3839" t="s">
        <v>113</v>
      </c>
      <c r="R3839" t="str">
        <f>"156-29-035"</f>
        <v>156-29-035</v>
      </c>
      <c r="S3839" t="s">
        <v>24541</v>
      </c>
      <c r="T3839" t="s">
        <v>24542</v>
      </c>
      <c r="U3839">
        <v>1804</v>
      </c>
      <c r="V3839">
        <v>0</v>
      </c>
      <c r="W3839">
        <v>2</v>
      </c>
      <c r="X3839">
        <v>1958</v>
      </c>
      <c r="Z3839">
        <v>1</v>
      </c>
      <c r="AB3839">
        <v>0</v>
      </c>
      <c r="AC3839" t="s">
        <v>5188</v>
      </c>
      <c r="AD3839">
        <v>1</v>
      </c>
      <c r="AE3839" t="s">
        <v>5188</v>
      </c>
      <c r="AF3839">
        <v>0</v>
      </c>
      <c r="AG3839">
        <v>0</v>
      </c>
      <c r="AH3839" t="s">
        <v>116</v>
      </c>
      <c r="AI3839" s="1">
        <v>160696</v>
      </c>
      <c r="AJ3839" s="2">
        <v>0.44</v>
      </c>
      <c r="AK3839" s="1">
        <v>368196</v>
      </c>
      <c r="AL3839" t="s">
        <v>117</v>
      </c>
      <c r="AM3839" t="s">
        <v>1302</v>
      </c>
      <c r="AN3839">
        <v>8808</v>
      </c>
      <c r="AO3839">
        <v>0.2</v>
      </c>
      <c r="AP3839">
        <v>1</v>
      </c>
      <c r="AR3839">
        <v>1</v>
      </c>
      <c r="AS3839" s="1">
        <v>26010</v>
      </c>
      <c r="AT3839" s="1">
        <v>5200</v>
      </c>
      <c r="AU3839" s="1">
        <v>20810</v>
      </c>
      <c r="AV3839">
        <v>80.010000000000005</v>
      </c>
      <c r="AX3839" s="1">
        <v>2474.8200000000002</v>
      </c>
      <c r="AY3839" t="s">
        <v>1303</v>
      </c>
      <c r="AZ3839" t="s">
        <v>1303</v>
      </c>
      <c r="BA3839" t="s">
        <v>1304</v>
      </c>
      <c r="BE3839" s="3">
        <v>42153</v>
      </c>
      <c r="BF3839" s="1">
        <v>232500</v>
      </c>
      <c r="BG3839" t="s">
        <v>24543</v>
      </c>
      <c r="BH3839" s="1">
        <v>128.88</v>
      </c>
      <c r="BI3839" s="1">
        <v>207500</v>
      </c>
      <c r="BJ3839" s="3">
        <v>42153</v>
      </c>
      <c r="BK3839" t="s">
        <v>123</v>
      </c>
      <c r="BL3839" t="str">
        <f>"2015.385999"</f>
        <v>2015.385999</v>
      </c>
      <c r="BM3839" t="s">
        <v>124</v>
      </c>
      <c r="BO3839" t="s">
        <v>24544</v>
      </c>
      <c r="BS3839">
        <v>30</v>
      </c>
      <c r="BW3839" t="str">
        <f>""</f>
        <v/>
      </c>
      <c r="CH3839" t="str">
        <f>""</f>
        <v/>
      </c>
      <c r="CS3839" t="str">
        <f>""</f>
        <v/>
      </c>
    </row>
    <row r="3840" spans="1:97" x14ac:dyDescent="0.25">
      <c r="A3840" t="s">
        <v>370</v>
      </c>
      <c r="B3840" t="s">
        <v>20554</v>
      </c>
      <c r="C3840" t="s">
        <v>24545</v>
      </c>
      <c r="D3840" t="s">
        <v>20554</v>
      </c>
      <c r="E3840" t="s">
        <v>24546</v>
      </c>
      <c r="F3840" t="s">
        <v>108</v>
      </c>
      <c r="H3840" t="s">
        <v>24547</v>
      </c>
      <c r="I3840" t="s">
        <v>144</v>
      </c>
      <c r="J3840" t="s">
        <v>111</v>
      </c>
      <c r="K3840" t="str">
        <f>"85326"</f>
        <v>85326</v>
      </c>
      <c r="L3840" t="s">
        <v>5291</v>
      </c>
      <c r="M3840" t="s">
        <v>24547</v>
      </c>
      <c r="N3840" t="s">
        <v>144</v>
      </c>
      <c r="O3840" t="s">
        <v>111</v>
      </c>
      <c r="P3840" t="str">
        <f>"85326-3347"</f>
        <v>85326-3347</v>
      </c>
      <c r="Q3840" t="s">
        <v>113</v>
      </c>
      <c r="R3840" t="str">
        <f>"504-24-195"</f>
        <v>504-24-195</v>
      </c>
      <c r="S3840" t="s">
        <v>15209</v>
      </c>
      <c r="T3840" t="s">
        <v>15209</v>
      </c>
      <c r="U3840">
        <v>3505</v>
      </c>
      <c r="V3840">
        <v>0</v>
      </c>
      <c r="W3840">
        <v>4</v>
      </c>
      <c r="X3840">
        <v>2007</v>
      </c>
      <c r="Z3840">
        <v>2</v>
      </c>
      <c r="AB3840">
        <v>0</v>
      </c>
      <c r="AC3840" t="s">
        <v>115</v>
      </c>
      <c r="AD3840">
        <v>3</v>
      </c>
      <c r="AE3840" t="s">
        <v>115</v>
      </c>
      <c r="AF3840">
        <v>0</v>
      </c>
      <c r="AG3840">
        <v>0</v>
      </c>
      <c r="AH3840" t="s">
        <v>116</v>
      </c>
      <c r="AI3840" s="1">
        <v>56835</v>
      </c>
      <c r="AJ3840" s="2">
        <v>0.2</v>
      </c>
      <c r="AK3840" s="1">
        <v>290335</v>
      </c>
      <c r="AL3840" t="s">
        <v>117</v>
      </c>
      <c r="AM3840" t="s">
        <v>5023</v>
      </c>
      <c r="AN3840">
        <v>6944</v>
      </c>
      <c r="AO3840">
        <v>0.16</v>
      </c>
      <c r="AR3840">
        <v>1</v>
      </c>
      <c r="AS3840" s="1">
        <v>19970</v>
      </c>
      <c r="AT3840" s="1">
        <v>3990</v>
      </c>
      <c r="AU3840" s="1">
        <v>15980</v>
      </c>
      <c r="AV3840">
        <v>80.02</v>
      </c>
      <c r="AX3840" s="1">
        <v>1705.38</v>
      </c>
      <c r="AY3840" t="s">
        <v>9621</v>
      </c>
      <c r="AZ3840" t="s">
        <v>9621</v>
      </c>
      <c r="BA3840" t="s">
        <v>5025</v>
      </c>
      <c r="BE3840" s="3">
        <v>42398</v>
      </c>
      <c r="BF3840" s="1">
        <v>230000</v>
      </c>
      <c r="BG3840" t="s">
        <v>24548</v>
      </c>
      <c r="BH3840" s="1">
        <v>65.62</v>
      </c>
      <c r="BI3840" s="1">
        <v>233500</v>
      </c>
      <c r="BJ3840" s="3">
        <v>42732</v>
      </c>
      <c r="BK3840" t="s">
        <v>123</v>
      </c>
      <c r="BL3840" t="str">
        <f>"2016.955605"</f>
        <v>2016.955605</v>
      </c>
      <c r="BM3840" t="s">
        <v>24549</v>
      </c>
      <c r="BO3840" t="s">
        <v>24550</v>
      </c>
      <c r="BS3840">
        <v>30</v>
      </c>
      <c r="BW3840" t="str">
        <f>""</f>
        <v/>
      </c>
      <c r="CH3840" t="str">
        <f>""</f>
        <v/>
      </c>
      <c r="CS3840" t="str">
        <f>""</f>
        <v/>
      </c>
    </row>
    <row r="3841" spans="1:97" x14ac:dyDescent="0.25">
      <c r="A3841" t="s">
        <v>1344</v>
      </c>
      <c r="B3841" t="s">
        <v>3443</v>
      </c>
      <c r="E3841" t="s">
        <v>24551</v>
      </c>
      <c r="F3841" t="s">
        <v>108</v>
      </c>
      <c r="H3841" t="s">
        <v>24552</v>
      </c>
      <c r="I3841" t="s">
        <v>203</v>
      </c>
      <c r="J3841" t="s">
        <v>111</v>
      </c>
      <c r="K3841" t="str">
        <f>"85234"</f>
        <v>85234</v>
      </c>
      <c r="L3841" t="s">
        <v>8199</v>
      </c>
      <c r="M3841" t="s">
        <v>24552</v>
      </c>
      <c r="N3841" t="s">
        <v>203</v>
      </c>
      <c r="O3841" t="s">
        <v>111</v>
      </c>
      <c r="P3841" t="str">
        <f>"85234-3666"</f>
        <v>85234-3666</v>
      </c>
      <c r="Q3841" t="s">
        <v>113</v>
      </c>
      <c r="R3841" t="str">
        <f>"309-03-535"</f>
        <v>309-03-535</v>
      </c>
      <c r="S3841" t="s">
        <v>10630</v>
      </c>
      <c r="U3841">
        <v>1846</v>
      </c>
      <c r="V3841">
        <v>0</v>
      </c>
      <c r="W3841">
        <v>3</v>
      </c>
      <c r="X3841">
        <v>1992</v>
      </c>
      <c r="Z3841">
        <v>1</v>
      </c>
      <c r="AB3841">
        <v>0</v>
      </c>
      <c r="AC3841" t="s">
        <v>115</v>
      </c>
      <c r="AD3841">
        <v>2</v>
      </c>
      <c r="AE3841" t="s">
        <v>115</v>
      </c>
      <c r="AF3841">
        <v>0</v>
      </c>
      <c r="AG3841">
        <v>0</v>
      </c>
      <c r="AH3841" t="s">
        <v>116</v>
      </c>
      <c r="AI3841" s="1">
        <v>89434</v>
      </c>
      <c r="AJ3841" s="2">
        <v>0.28999999999999998</v>
      </c>
      <c r="AK3841" s="1">
        <v>311670</v>
      </c>
      <c r="AL3841" t="s">
        <v>117</v>
      </c>
      <c r="AM3841" t="s">
        <v>393</v>
      </c>
      <c r="AN3841">
        <v>6007</v>
      </c>
      <c r="AO3841">
        <v>0.14000000000000001</v>
      </c>
      <c r="AP3841">
        <v>1</v>
      </c>
      <c r="AR3841">
        <v>1</v>
      </c>
      <c r="AS3841" s="1">
        <v>20860</v>
      </c>
      <c r="AT3841" s="1">
        <v>4170</v>
      </c>
      <c r="AU3841" s="1">
        <v>16690</v>
      </c>
      <c r="AV3841">
        <v>80.010000000000005</v>
      </c>
      <c r="AX3841" s="1">
        <v>1875.02</v>
      </c>
      <c r="AY3841" t="s">
        <v>272</v>
      </c>
      <c r="AZ3841" t="s">
        <v>5478</v>
      </c>
      <c r="BA3841" t="s">
        <v>5033</v>
      </c>
      <c r="BE3841" s="3">
        <v>41733</v>
      </c>
      <c r="BF3841" s="1">
        <v>224000</v>
      </c>
      <c r="BG3841" t="s">
        <v>24553</v>
      </c>
      <c r="BH3841" s="1">
        <v>121.34</v>
      </c>
      <c r="BI3841" s="1">
        <v>222236</v>
      </c>
      <c r="BJ3841" s="3">
        <v>42367</v>
      </c>
      <c r="BK3841" t="s">
        <v>123</v>
      </c>
      <c r="BL3841" t="str">
        <f>"2015.915602"</f>
        <v>2015.915602</v>
      </c>
      <c r="BM3841" t="s">
        <v>1185</v>
      </c>
      <c r="BO3841" t="s">
        <v>24554</v>
      </c>
      <c r="BS3841">
        <v>30</v>
      </c>
      <c r="BW3841" t="str">
        <f>""</f>
        <v/>
      </c>
      <c r="CH3841" t="str">
        <f>""</f>
        <v/>
      </c>
      <c r="CS3841" t="str">
        <f>""</f>
        <v/>
      </c>
    </row>
    <row r="3842" spans="1:97" x14ac:dyDescent="0.25">
      <c r="A3842" t="s">
        <v>177</v>
      </c>
      <c r="B3842" t="s">
        <v>11434</v>
      </c>
      <c r="E3842" t="s">
        <v>24555</v>
      </c>
      <c r="F3842" t="s">
        <v>108</v>
      </c>
      <c r="H3842" t="s">
        <v>24556</v>
      </c>
      <c r="I3842" t="s">
        <v>203</v>
      </c>
      <c r="J3842" t="s">
        <v>111</v>
      </c>
      <c r="K3842" t="str">
        <f>"85297"</f>
        <v>85297</v>
      </c>
      <c r="L3842" t="s">
        <v>7339</v>
      </c>
      <c r="M3842" t="s">
        <v>24556</v>
      </c>
      <c r="N3842" t="s">
        <v>203</v>
      </c>
      <c r="O3842" t="s">
        <v>111</v>
      </c>
      <c r="P3842" t="str">
        <f>"85297-3569"</f>
        <v>85297-3569</v>
      </c>
      <c r="Q3842" t="s">
        <v>113</v>
      </c>
      <c r="R3842" t="str">
        <f>"304-59-259"</f>
        <v>304-59-259</v>
      </c>
      <c r="S3842" t="s">
        <v>24557</v>
      </c>
      <c r="T3842" t="s">
        <v>14324</v>
      </c>
      <c r="U3842">
        <v>1674</v>
      </c>
      <c r="V3842">
        <v>0</v>
      </c>
      <c r="W3842">
        <v>3</v>
      </c>
      <c r="X3842">
        <v>2010</v>
      </c>
      <c r="Z3842">
        <v>1</v>
      </c>
      <c r="AB3842">
        <v>0</v>
      </c>
      <c r="AC3842" t="s">
        <v>115</v>
      </c>
      <c r="AD3842">
        <v>2</v>
      </c>
      <c r="AE3842" t="s">
        <v>115</v>
      </c>
      <c r="AF3842">
        <v>0</v>
      </c>
      <c r="AG3842">
        <v>0</v>
      </c>
      <c r="AH3842" t="s">
        <v>116</v>
      </c>
      <c r="AI3842" s="1">
        <v>83170</v>
      </c>
      <c r="AJ3842" s="2">
        <v>0.26</v>
      </c>
      <c r="AK3842" s="1">
        <v>315145</v>
      </c>
      <c r="AL3842" t="s">
        <v>117</v>
      </c>
      <c r="AM3842" t="s">
        <v>191</v>
      </c>
      <c r="AN3842">
        <v>5600</v>
      </c>
      <c r="AO3842">
        <v>0.13</v>
      </c>
      <c r="AR3842">
        <v>1</v>
      </c>
      <c r="AS3842" s="1">
        <v>21410</v>
      </c>
      <c r="AT3842" s="1">
        <v>4280</v>
      </c>
      <c r="AU3842" s="1">
        <v>17130</v>
      </c>
      <c r="AV3842">
        <v>80.010000000000005</v>
      </c>
      <c r="AX3842" s="1">
        <v>1937.72</v>
      </c>
      <c r="AY3842" t="s">
        <v>8338</v>
      </c>
      <c r="AZ3842" t="s">
        <v>8338</v>
      </c>
      <c r="BA3842" t="s">
        <v>290</v>
      </c>
      <c r="BE3842" s="3">
        <v>42109</v>
      </c>
      <c r="BF3842" s="1">
        <v>242500</v>
      </c>
      <c r="BG3842" t="s">
        <v>24558</v>
      </c>
      <c r="BH3842" s="1">
        <v>144.86000000000001</v>
      </c>
      <c r="BI3842" s="1">
        <v>231975</v>
      </c>
      <c r="BJ3842" s="3">
        <v>42276</v>
      </c>
      <c r="BK3842" t="s">
        <v>123</v>
      </c>
      <c r="BL3842" t="str">
        <f>"2015.698507"</f>
        <v>2015.698507</v>
      </c>
      <c r="BM3842" t="s">
        <v>135</v>
      </c>
      <c r="BO3842" t="s">
        <v>24559</v>
      </c>
      <c r="BS3842">
        <v>30</v>
      </c>
      <c r="BW3842" t="str">
        <f>""</f>
        <v/>
      </c>
      <c r="CH3842" t="str">
        <f>""</f>
        <v/>
      </c>
      <c r="CS3842" t="str">
        <f>""</f>
        <v/>
      </c>
    </row>
    <row r="3843" spans="1:97" x14ac:dyDescent="0.25">
      <c r="A3843" t="s">
        <v>1047</v>
      </c>
      <c r="B3843" t="s">
        <v>2537</v>
      </c>
      <c r="E3843" t="s">
        <v>24560</v>
      </c>
      <c r="F3843" t="s">
        <v>108</v>
      </c>
      <c r="H3843" t="s">
        <v>24561</v>
      </c>
      <c r="I3843" t="s">
        <v>453</v>
      </c>
      <c r="J3843" t="s">
        <v>111</v>
      </c>
      <c r="K3843" t="str">
        <f>"85381"</f>
        <v>85381</v>
      </c>
      <c r="L3843" t="s">
        <v>5464</v>
      </c>
      <c r="M3843" t="s">
        <v>24561</v>
      </c>
      <c r="N3843" t="s">
        <v>453</v>
      </c>
      <c r="O3843" t="s">
        <v>111</v>
      </c>
      <c r="P3843" t="str">
        <f>"85381-5390"</f>
        <v>85381-5390</v>
      </c>
      <c r="Q3843" t="s">
        <v>113</v>
      </c>
      <c r="R3843" t="str">
        <f>"200-77-800"</f>
        <v>200-77-800</v>
      </c>
      <c r="S3843" t="s">
        <v>22647</v>
      </c>
      <c r="T3843" t="s">
        <v>6871</v>
      </c>
      <c r="U3843">
        <v>2236</v>
      </c>
      <c r="V3843">
        <v>0</v>
      </c>
      <c r="W3843">
        <v>2</v>
      </c>
      <c r="X3843">
        <v>1986</v>
      </c>
      <c r="Z3843">
        <v>1</v>
      </c>
      <c r="AA3843" t="s">
        <v>26</v>
      </c>
      <c r="AB3843">
        <v>0</v>
      </c>
      <c r="AC3843" t="s">
        <v>115</v>
      </c>
      <c r="AD3843">
        <v>2</v>
      </c>
      <c r="AE3843" t="s">
        <v>115</v>
      </c>
      <c r="AF3843">
        <v>0</v>
      </c>
      <c r="AG3843">
        <v>0</v>
      </c>
      <c r="AH3843" t="s">
        <v>116</v>
      </c>
      <c r="AI3843" s="1">
        <v>88747</v>
      </c>
      <c r="AJ3843" s="2">
        <v>0.28000000000000003</v>
      </c>
      <c r="AK3843" s="1">
        <v>319912</v>
      </c>
      <c r="AL3843" t="s">
        <v>117</v>
      </c>
      <c r="AM3843" t="s">
        <v>171</v>
      </c>
      <c r="AN3843">
        <v>8590</v>
      </c>
      <c r="AO3843">
        <v>0.2</v>
      </c>
      <c r="AP3843">
        <v>1</v>
      </c>
      <c r="AR3843">
        <v>1</v>
      </c>
      <c r="AS3843" s="1">
        <v>22200</v>
      </c>
      <c r="AT3843" s="1">
        <v>4440</v>
      </c>
      <c r="AU3843" s="1">
        <v>17760</v>
      </c>
      <c r="AV3843">
        <v>80</v>
      </c>
      <c r="AX3843" s="1">
        <v>1583.18</v>
      </c>
      <c r="AY3843" t="s">
        <v>3359</v>
      </c>
      <c r="AZ3843" t="s">
        <v>3359</v>
      </c>
      <c r="BA3843" t="s">
        <v>3360</v>
      </c>
      <c r="BE3843" s="3">
        <v>42094</v>
      </c>
      <c r="BF3843" s="1">
        <v>226000</v>
      </c>
      <c r="BG3843" t="s">
        <v>24562</v>
      </c>
      <c r="BH3843" s="1">
        <v>101.71</v>
      </c>
      <c r="BI3843" s="1">
        <v>231165</v>
      </c>
      <c r="BJ3843" s="3">
        <v>42094</v>
      </c>
      <c r="BK3843" t="s">
        <v>123</v>
      </c>
      <c r="BL3843" t="str">
        <f>"2015.214710"</f>
        <v>2015.214710</v>
      </c>
      <c r="BM3843" t="s">
        <v>175</v>
      </c>
      <c r="BO3843" t="s">
        <v>24563</v>
      </c>
      <c r="BS3843">
        <v>30</v>
      </c>
      <c r="BW3843" t="str">
        <f>""</f>
        <v/>
      </c>
      <c r="CH3843" t="str">
        <f>""</f>
        <v/>
      </c>
      <c r="CS3843" t="str">
        <f>""</f>
        <v/>
      </c>
    </row>
    <row r="3844" spans="1:97" x14ac:dyDescent="0.25">
      <c r="A3844" t="s">
        <v>3212</v>
      </c>
      <c r="B3844" t="s">
        <v>24564</v>
      </c>
      <c r="E3844" t="s">
        <v>24565</v>
      </c>
      <c r="F3844" t="s">
        <v>282</v>
      </c>
      <c r="H3844" t="s">
        <v>24566</v>
      </c>
      <c r="I3844" t="s">
        <v>1936</v>
      </c>
      <c r="J3844" t="s">
        <v>111</v>
      </c>
      <c r="K3844" t="str">
        <f>"85259"</f>
        <v>85259</v>
      </c>
      <c r="L3844" t="s">
        <v>7339</v>
      </c>
      <c r="M3844" t="s">
        <v>24567</v>
      </c>
      <c r="N3844" t="s">
        <v>390</v>
      </c>
      <c r="O3844" t="s">
        <v>111</v>
      </c>
      <c r="P3844" t="str">
        <f>"85050-3336"</f>
        <v>85050-3336</v>
      </c>
      <c r="Q3844" t="s">
        <v>113</v>
      </c>
      <c r="R3844" t="str">
        <f>"217-27-590"</f>
        <v>217-27-590</v>
      </c>
      <c r="S3844" t="s">
        <v>19248</v>
      </c>
      <c r="T3844" t="s">
        <v>19249</v>
      </c>
      <c r="U3844">
        <v>1971</v>
      </c>
      <c r="V3844">
        <v>0</v>
      </c>
      <c r="W3844">
        <v>3</v>
      </c>
      <c r="X3844">
        <v>1983</v>
      </c>
      <c r="Z3844">
        <v>1</v>
      </c>
      <c r="AA3844" t="s">
        <v>26</v>
      </c>
      <c r="AB3844">
        <v>0</v>
      </c>
      <c r="AC3844" t="s">
        <v>115</v>
      </c>
      <c r="AD3844">
        <v>2</v>
      </c>
      <c r="AE3844" t="s">
        <v>115</v>
      </c>
      <c r="AF3844">
        <v>0</v>
      </c>
      <c r="AG3844">
        <v>0</v>
      </c>
      <c r="AH3844" t="s">
        <v>116</v>
      </c>
      <c r="AI3844" s="1">
        <v>117544</v>
      </c>
      <c r="AJ3844" s="2">
        <v>0.27</v>
      </c>
      <c r="AK3844" s="1">
        <v>442939</v>
      </c>
      <c r="AL3844" t="s">
        <v>117</v>
      </c>
      <c r="AM3844" t="s">
        <v>393</v>
      </c>
      <c r="AN3844">
        <v>8250</v>
      </c>
      <c r="AO3844">
        <v>0.19</v>
      </c>
      <c r="AP3844">
        <v>1</v>
      </c>
      <c r="AR3844">
        <v>1</v>
      </c>
      <c r="AS3844" s="1">
        <v>33530</v>
      </c>
      <c r="AT3844" s="1">
        <v>6700</v>
      </c>
      <c r="AU3844" s="1">
        <v>26830</v>
      </c>
      <c r="AV3844">
        <v>80.02</v>
      </c>
      <c r="AX3844" s="1">
        <v>2274.08</v>
      </c>
      <c r="AY3844" t="s">
        <v>6534</v>
      </c>
      <c r="AZ3844" t="s">
        <v>5762</v>
      </c>
      <c r="BA3844" t="s">
        <v>5763</v>
      </c>
      <c r="BE3844" s="3">
        <v>42277</v>
      </c>
      <c r="BF3844" s="1">
        <v>360000</v>
      </c>
      <c r="BG3844" t="s">
        <v>24568</v>
      </c>
      <c r="BH3844" s="1">
        <v>182.65</v>
      </c>
      <c r="BI3844" s="1">
        <v>325395</v>
      </c>
      <c r="BJ3844" s="3">
        <v>42479</v>
      </c>
      <c r="BK3844" t="s">
        <v>123</v>
      </c>
      <c r="BL3844" t="str">
        <f>"2016.258484"</f>
        <v>2016.258484</v>
      </c>
      <c r="BM3844" t="s">
        <v>709</v>
      </c>
      <c r="BO3844" t="s">
        <v>24569</v>
      </c>
      <c r="BS3844">
        <v>30</v>
      </c>
      <c r="BW3844" t="str">
        <f>""</f>
        <v/>
      </c>
      <c r="CH3844" t="str">
        <f>""</f>
        <v/>
      </c>
      <c r="CS3844" t="str">
        <f>""</f>
        <v/>
      </c>
    </row>
    <row r="3845" spans="1:97" x14ac:dyDescent="0.25">
      <c r="A3845" t="s">
        <v>3395</v>
      </c>
      <c r="B3845" t="s">
        <v>24570</v>
      </c>
      <c r="C3845" t="s">
        <v>12301</v>
      </c>
      <c r="D3845" t="s">
        <v>24570</v>
      </c>
      <c r="E3845" t="s">
        <v>24571</v>
      </c>
      <c r="F3845" t="s">
        <v>108</v>
      </c>
      <c r="H3845" t="s">
        <v>24572</v>
      </c>
      <c r="I3845" t="s">
        <v>390</v>
      </c>
      <c r="J3845" t="s">
        <v>111</v>
      </c>
      <c r="K3845" t="str">
        <f>"85050"</f>
        <v>85050</v>
      </c>
      <c r="L3845" t="s">
        <v>5209</v>
      </c>
      <c r="M3845" t="s">
        <v>24572</v>
      </c>
      <c r="N3845" t="s">
        <v>390</v>
      </c>
      <c r="O3845" t="s">
        <v>111</v>
      </c>
      <c r="P3845" t="str">
        <f>"85050-7929"</f>
        <v>85050-7929</v>
      </c>
      <c r="Q3845" t="s">
        <v>113</v>
      </c>
      <c r="R3845" t="str">
        <f>"213-30-365"</f>
        <v>213-30-365</v>
      </c>
      <c r="S3845" t="s">
        <v>21881</v>
      </c>
      <c r="T3845" t="s">
        <v>21881</v>
      </c>
      <c r="U3845">
        <v>1410</v>
      </c>
      <c r="V3845">
        <v>0</v>
      </c>
      <c r="W3845">
        <v>3</v>
      </c>
      <c r="X3845">
        <v>1999</v>
      </c>
      <c r="Z3845">
        <v>1</v>
      </c>
      <c r="AB3845">
        <v>0</v>
      </c>
      <c r="AC3845" t="s">
        <v>115</v>
      </c>
      <c r="AD3845">
        <v>2</v>
      </c>
      <c r="AE3845" t="s">
        <v>115</v>
      </c>
      <c r="AF3845">
        <v>0</v>
      </c>
      <c r="AG3845">
        <v>0</v>
      </c>
      <c r="AH3845" t="s">
        <v>116</v>
      </c>
      <c r="AI3845" s="1">
        <v>52298</v>
      </c>
      <c r="AJ3845" s="2">
        <v>0.16</v>
      </c>
      <c r="AK3845" s="1">
        <v>322995</v>
      </c>
      <c r="AL3845" t="s">
        <v>117</v>
      </c>
      <c r="AM3845" t="s">
        <v>191</v>
      </c>
      <c r="AN3845">
        <v>7552</v>
      </c>
      <c r="AO3845">
        <v>0.17</v>
      </c>
      <c r="AP3845">
        <v>1</v>
      </c>
      <c r="AR3845">
        <v>1</v>
      </c>
      <c r="AS3845" s="1">
        <v>22660</v>
      </c>
      <c r="AT3845" s="1">
        <v>4530</v>
      </c>
      <c r="AU3845" s="1">
        <v>18130</v>
      </c>
      <c r="AV3845">
        <v>80.010000000000005</v>
      </c>
      <c r="AX3845" s="1">
        <v>1848.72</v>
      </c>
      <c r="AY3845" t="s">
        <v>8037</v>
      </c>
      <c r="AZ3845" t="s">
        <v>2550</v>
      </c>
      <c r="BA3845" t="s">
        <v>1318</v>
      </c>
      <c r="BE3845" s="3">
        <v>42482</v>
      </c>
      <c r="BF3845" s="1">
        <v>265000</v>
      </c>
      <c r="BG3845" t="s">
        <v>24573</v>
      </c>
      <c r="BH3845" s="1">
        <v>187.94</v>
      </c>
      <c r="BI3845" s="1">
        <v>270697</v>
      </c>
      <c r="BJ3845" s="3">
        <v>42482</v>
      </c>
      <c r="BK3845" t="s">
        <v>123</v>
      </c>
      <c r="BL3845" t="str">
        <f>"2016.270289"</f>
        <v>2016.270289</v>
      </c>
      <c r="BM3845" t="s">
        <v>1287</v>
      </c>
      <c r="BO3845" t="s">
        <v>24574</v>
      </c>
      <c r="BS3845">
        <v>30</v>
      </c>
      <c r="BW3845" t="str">
        <f>""</f>
        <v/>
      </c>
      <c r="CH3845" t="str">
        <f>""</f>
        <v/>
      </c>
      <c r="CS3845" t="str">
        <f>""</f>
        <v/>
      </c>
    </row>
    <row r="3846" spans="1:97" x14ac:dyDescent="0.25">
      <c r="A3846" t="s">
        <v>2485</v>
      </c>
      <c r="B3846" t="s">
        <v>24575</v>
      </c>
      <c r="C3846" t="s">
        <v>24576</v>
      </c>
      <c r="D3846" t="s">
        <v>24575</v>
      </c>
      <c r="E3846" t="s">
        <v>24577</v>
      </c>
      <c r="F3846" t="s">
        <v>108</v>
      </c>
      <c r="H3846" t="s">
        <v>24578</v>
      </c>
      <c r="I3846" t="s">
        <v>390</v>
      </c>
      <c r="J3846" t="s">
        <v>111</v>
      </c>
      <c r="K3846" t="str">
        <f>"85050"</f>
        <v>85050</v>
      </c>
      <c r="L3846" t="s">
        <v>9871</v>
      </c>
      <c r="M3846" t="s">
        <v>24578</v>
      </c>
      <c r="N3846" t="s">
        <v>390</v>
      </c>
      <c r="O3846" t="s">
        <v>111</v>
      </c>
      <c r="P3846" t="str">
        <f>"85050-4734"</f>
        <v>85050-4734</v>
      </c>
      <c r="Q3846" t="s">
        <v>113</v>
      </c>
      <c r="R3846" t="str">
        <f>"213-11-042"</f>
        <v>213-11-042</v>
      </c>
      <c r="S3846" t="s">
        <v>24579</v>
      </c>
      <c r="T3846" t="s">
        <v>24580</v>
      </c>
      <c r="U3846">
        <v>1798</v>
      </c>
      <c r="V3846">
        <v>0</v>
      </c>
      <c r="W3846">
        <v>3</v>
      </c>
      <c r="X3846">
        <v>1993</v>
      </c>
      <c r="Z3846">
        <v>1</v>
      </c>
      <c r="AA3846" t="s">
        <v>26</v>
      </c>
      <c r="AB3846">
        <v>0</v>
      </c>
      <c r="AC3846" t="s">
        <v>115</v>
      </c>
      <c r="AD3846">
        <v>2</v>
      </c>
      <c r="AE3846" t="s">
        <v>115</v>
      </c>
      <c r="AF3846">
        <v>0</v>
      </c>
      <c r="AG3846">
        <v>0</v>
      </c>
      <c r="AH3846" t="s">
        <v>116</v>
      </c>
      <c r="AI3846" s="1">
        <v>68948</v>
      </c>
      <c r="AJ3846" s="2">
        <v>0.2</v>
      </c>
      <c r="AK3846" s="1">
        <v>339098</v>
      </c>
      <c r="AL3846" t="s">
        <v>117</v>
      </c>
      <c r="AM3846" t="s">
        <v>1315</v>
      </c>
      <c r="AN3846">
        <v>6476</v>
      </c>
      <c r="AO3846">
        <v>0.15</v>
      </c>
      <c r="AP3846">
        <v>1</v>
      </c>
      <c r="AR3846">
        <v>1</v>
      </c>
      <c r="AS3846" s="1">
        <v>25360</v>
      </c>
      <c r="AT3846" s="1">
        <v>5070</v>
      </c>
      <c r="AU3846" s="1">
        <v>20290</v>
      </c>
      <c r="AV3846">
        <v>80.010000000000005</v>
      </c>
      <c r="AX3846" s="1">
        <v>2126.04</v>
      </c>
      <c r="AY3846" t="s">
        <v>5710</v>
      </c>
      <c r="AZ3846" t="s">
        <v>761</v>
      </c>
      <c r="BA3846" t="s">
        <v>762</v>
      </c>
      <c r="BE3846" s="3">
        <v>42109</v>
      </c>
      <c r="BF3846" s="1">
        <v>265000</v>
      </c>
      <c r="BG3846" t="s">
        <v>24581</v>
      </c>
      <c r="BH3846" s="1">
        <v>147.38999999999999</v>
      </c>
      <c r="BI3846" s="1">
        <v>270150</v>
      </c>
      <c r="BJ3846" s="3">
        <v>43039</v>
      </c>
      <c r="BK3846" t="s">
        <v>123</v>
      </c>
      <c r="BL3846" t="str">
        <f>"2017.808790"</f>
        <v>2017.808790</v>
      </c>
      <c r="BM3846" t="s">
        <v>24582</v>
      </c>
      <c r="BN3846">
        <v>8054</v>
      </c>
      <c r="BO3846" t="s">
        <v>24583</v>
      </c>
      <c r="BS3846">
        <v>30</v>
      </c>
      <c r="BW3846" t="str">
        <f>""</f>
        <v/>
      </c>
      <c r="CH3846" t="str">
        <f>""</f>
        <v/>
      </c>
      <c r="CS3846" t="str">
        <f>""</f>
        <v/>
      </c>
    </row>
    <row r="3847" spans="1:97" x14ac:dyDescent="0.25">
      <c r="A3847" t="s">
        <v>938</v>
      </c>
      <c r="B3847" t="s">
        <v>24584</v>
      </c>
      <c r="E3847" t="s">
        <v>24585</v>
      </c>
      <c r="F3847" t="s">
        <v>108</v>
      </c>
      <c r="H3847" t="s">
        <v>24586</v>
      </c>
      <c r="I3847" t="s">
        <v>225</v>
      </c>
      <c r="J3847" t="s">
        <v>111</v>
      </c>
      <c r="K3847" t="str">
        <f>"85209"</f>
        <v>85209</v>
      </c>
      <c r="L3847" t="s">
        <v>7834</v>
      </c>
      <c r="M3847" t="s">
        <v>24586</v>
      </c>
      <c r="N3847" t="s">
        <v>225</v>
      </c>
      <c r="O3847" t="s">
        <v>111</v>
      </c>
      <c r="P3847" t="str">
        <f>"85209-4951"</f>
        <v>85209-4951</v>
      </c>
      <c r="Q3847" t="s">
        <v>113</v>
      </c>
      <c r="R3847" t="str">
        <f>"309-07-711"</f>
        <v>309-07-711</v>
      </c>
      <c r="S3847" t="s">
        <v>6550</v>
      </c>
      <c r="T3847" t="s">
        <v>6551</v>
      </c>
      <c r="U3847">
        <v>2259</v>
      </c>
      <c r="V3847">
        <v>0</v>
      </c>
      <c r="W3847">
        <v>4</v>
      </c>
      <c r="X3847">
        <v>1995</v>
      </c>
      <c r="Z3847">
        <v>2</v>
      </c>
      <c r="AA3847" t="s">
        <v>26</v>
      </c>
      <c r="AB3847">
        <v>0</v>
      </c>
      <c r="AC3847" t="s">
        <v>115</v>
      </c>
      <c r="AD3847">
        <v>2</v>
      </c>
      <c r="AE3847" t="s">
        <v>115</v>
      </c>
      <c r="AF3847">
        <v>0</v>
      </c>
      <c r="AG3847">
        <v>0</v>
      </c>
      <c r="AH3847" t="s">
        <v>116</v>
      </c>
      <c r="AI3847" s="1">
        <v>77642</v>
      </c>
      <c r="AJ3847" s="2">
        <v>0.23</v>
      </c>
      <c r="AK3847" s="1">
        <v>341035</v>
      </c>
      <c r="AL3847" t="s">
        <v>117</v>
      </c>
      <c r="AM3847" t="s">
        <v>191</v>
      </c>
      <c r="AN3847">
        <v>5968</v>
      </c>
      <c r="AO3847">
        <v>0.14000000000000001</v>
      </c>
      <c r="AP3847">
        <v>1</v>
      </c>
      <c r="AR3847">
        <v>1</v>
      </c>
      <c r="AS3847" s="1">
        <v>23070</v>
      </c>
      <c r="AT3847" s="1">
        <v>4610</v>
      </c>
      <c r="AU3847" s="1">
        <v>18460</v>
      </c>
      <c r="AV3847">
        <v>80.02</v>
      </c>
      <c r="AX3847" s="1">
        <v>1647.24</v>
      </c>
      <c r="AY3847" t="s">
        <v>6552</v>
      </c>
      <c r="AZ3847" t="s">
        <v>571</v>
      </c>
      <c r="BA3847" t="s">
        <v>572</v>
      </c>
      <c r="BE3847" s="3">
        <v>42094</v>
      </c>
      <c r="BF3847" s="1">
        <v>257850</v>
      </c>
      <c r="BG3847" t="s">
        <v>24587</v>
      </c>
      <c r="BH3847" s="1">
        <v>114.14</v>
      </c>
      <c r="BI3847" s="1">
        <v>263393</v>
      </c>
      <c r="BJ3847" s="3">
        <v>42094</v>
      </c>
      <c r="BK3847" t="s">
        <v>123</v>
      </c>
      <c r="BL3847" t="str">
        <f>"2015.216522"</f>
        <v>2015.216522</v>
      </c>
      <c r="BM3847" t="s">
        <v>724</v>
      </c>
      <c r="BO3847" t="s">
        <v>24588</v>
      </c>
      <c r="BS3847">
        <v>30</v>
      </c>
      <c r="BW3847" t="str">
        <f>""</f>
        <v/>
      </c>
      <c r="CH3847" t="str">
        <f>""</f>
        <v/>
      </c>
      <c r="CS3847" t="str">
        <f>""</f>
        <v/>
      </c>
    </row>
    <row r="3848" spans="1:97" x14ac:dyDescent="0.25">
      <c r="A3848" t="s">
        <v>412</v>
      </c>
      <c r="B3848" t="s">
        <v>24589</v>
      </c>
      <c r="C3848" t="s">
        <v>349</v>
      </c>
      <c r="D3848" t="s">
        <v>24589</v>
      </c>
      <c r="E3848" t="s">
        <v>24590</v>
      </c>
      <c r="F3848" t="s">
        <v>108</v>
      </c>
      <c r="H3848" t="s">
        <v>24591</v>
      </c>
      <c r="I3848" t="s">
        <v>390</v>
      </c>
      <c r="J3848" t="s">
        <v>111</v>
      </c>
      <c r="K3848" t="str">
        <f>"85032"</f>
        <v>85032</v>
      </c>
      <c r="L3848" t="s">
        <v>6169</v>
      </c>
      <c r="M3848" t="s">
        <v>24591</v>
      </c>
      <c r="N3848" t="s">
        <v>390</v>
      </c>
      <c r="O3848" t="s">
        <v>111</v>
      </c>
      <c r="P3848" t="str">
        <f>"85032-6627"</f>
        <v>85032-6627</v>
      </c>
      <c r="Q3848" t="s">
        <v>113</v>
      </c>
      <c r="R3848" t="str">
        <f>"166-01-633"</f>
        <v>166-01-633</v>
      </c>
      <c r="S3848" t="s">
        <v>17401</v>
      </c>
      <c r="T3848" t="s">
        <v>17402</v>
      </c>
      <c r="U3848">
        <v>1480</v>
      </c>
      <c r="V3848">
        <v>0</v>
      </c>
      <c r="W3848">
        <v>2</v>
      </c>
      <c r="X3848">
        <v>1973</v>
      </c>
      <c r="Z3848">
        <v>1</v>
      </c>
      <c r="AB3848">
        <v>0</v>
      </c>
      <c r="AC3848" t="s">
        <v>115</v>
      </c>
      <c r="AD3848">
        <v>2</v>
      </c>
      <c r="AE3848" t="s">
        <v>115</v>
      </c>
      <c r="AF3848">
        <v>0</v>
      </c>
      <c r="AG3848">
        <v>0</v>
      </c>
      <c r="AH3848" t="s">
        <v>116</v>
      </c>
      <c r="AI3848" s="1">
        <v>75257</v>
      </c>
      <c r="AJ3848" s="2">
        <v>0.27</v>
      </c>
      <c r="AK3848" s="1">
        <v>275257</v>
      </c>
      <c r="AL3848" t="s">
        <v>117</v>
      </c>
      <c r="AM3848" t="s">
        <v>191</v>
      </c>
      <c r="AN3848">
        <v>6721</v>
      </c>
      <c r="AO3848">
        <v>0.15</v>
      </c>
      <c r="AP3848">
        <v>1</v>
      </c>
      <c r="AR3848">
        <v>1</v>
      </c>
      <c r="AS3848" s="1">
        <v>18050</v>
      </c>
      <c r="AT3848" s="1">
        <v>3610</v>
      </c>
      <c r="AU3848" s="1">
        <v>14440</v>
      </c>
      <c r="AV3848">
        <v>80</v>
      </c>
      <c r="AX3848" s="1">
        <v>1371.2</v>
      </c>
      <c r="AY3848" t="s">
        <v>5230</v>
      </c>
      <c r="AZ3848" t="s">
        <v>5231</v>
      </c>
      <c r="BA3848" t="s">
        <v>5232</v>
      </c>
      <c r="BB3848" s="3">
        <v>42128</v>
      </c>
      <c r="BD3848" t="s">
        <v>240</v>
      </c>
      <c r="BE3848" s="3">
        <v>41711</v>
      </c>
      <c r="BF3848" s="1">
        <v>189000</v>
      </c>
      <c r="BG3848" t="s">
        <v>24592</v>
      </c>
      <c r="BH3848" s="1">
        <v>152.41999999999999</v>
      </c>
      <c r="BI3848" s="1">
        <v>200000</v>
      </c>
      <c r="BJ3848" s="3">
        <v>43588</v>
      </c>
      <c r="BK3848" t="s">
        <v>123</v>
      </c>
      <c r="BL3848" t="str">
        <f>"2019.321130"</f>
        <v>2019.321130</v>
      </c>
      <c r="BM3848" t="s">
        <v>20709</v>
      </c>
      <c r="BN3848" t="s">
        <v>9929</v>
      </c>
      <c r="BO3848" t="s">
        <v>24593</v>
      </c>
      <c r="BP3848" t="s">
        <v>24594</v>
      </c>
      <c r="BR3848" t="s">
        <v>139</v>
      </c>
      <c r="BW3848" t="str">
        <f>""</f>
        <v/>
      </c>
      <c r="CH3848" t="str">
        <f>""</f>
        <v/>
      </c>
      <c r="CS3848" t="str">
        <f>""</f>
        <v/>
      </c>
    </row>
    <row r="3849" spans="1:97" x14ac:dyDescent="0.25">
      <c r="A3849" t="s">
        <v>1009</v>
      </c>
      <c r="B3849" t="s">
        <v>24595</v>
      </c>
      <c r="E3849" t="s">
        <v>24596</v>
      </c>
      <c r="F3849" t="s">
        <v>108</v>
      </c>
      <c r="H3849" t="s">
        <v>24597</v>
      </c>
      <c r="I3849" t="s">
        <v>390</v>
      </c>
      <c r="J3849" t="s">
        <v>111</v>
      </c>
      <c r="K3849" t="str">
        <f>"85051"</f>
        <v>85051</v>
      </c>
      <c r="L3849" t="s">
        <v>8543</v>
      </c>
      <c r="M3849" t="s">
        <v>24597</v>
      </c>
      <c r="N3849" t="s">
        <v>390</v>
      </c>
      <c r="O3849" t="s">
        <v>111</v>
      </c>
      <c r="P3849" t="str">
        <f>"85051-3374"</f>
        <v>85051-3374</v>
      </c>
      <c r="Q3849" t="s">
        <v>113</v>
      </c>
      <c r="R3849" t="str">
        <f>"149-39-287"</f>
        <v>149-39-287</v>
      </c>
      <c r="S3849" t="s">
        <v>24598</v>
      </c>
      <c r="T3849" t="s">
        <v>24599</v>
      </c>
      <c r="U3849">
        <v>1756</v>
      </c>
      <c r="V3849">
        <v>0</v>
      </c>
      <c r="W3849">
        <v>2</v>
      </c>
      <c r="X3849">
        <v>1969</v>
      </c>
      <c r="Z3849">
        <v>1</v>
      </c>
      <c r="AB3849">
        <v>0</v>
      </c>
      <c r="AC3849" t="s">
        <v>5188</v>
      </c>
      <c r="AD3849">
        <v>2</v>
      </c>
      <c r="AE3849" t="s">
        <v>5188</v>
      </c>
      <c r="AF3849">
        <v>0</v>
      </c>
      <c r="AG3849">
        <v>0</v>
      </c>
      <c r="AH3849" t="s">
        <v>116</v>
      </c>
      <c r="AI3849" s="1">
        <v>21794</v>
      </c>
      <c r="AJ3849" s="2">
        <v>0.09</v>
      </c>
      <c r="AK3849" s="1">
        <v>231771</v>
      </c>
      <c r="AL3849" t="s">
        <v>117</v>
      </c>
      <c r="AM3849" t="s">
        <v>191</v>
      </c>
      <c r="AN3849">
        <v>8507</v>
      </c>
      <c r="AO3849">
        <v>0.2</v>
      </c>
      <c r="AP3849">
        <v>1</v>
      </c>
      <c r="AR3849">
        <v>1</v>
      </c>
      <c r="AS3849" s="1">
        <v>14520</v>
      </c>
      <c r="AT3849" s="1">
        <v>2900</v>
      </c>
      <c r="AU3849" s="1">
        <v>11620</v>
      </c>
      <c r="AV3849">
        <v>80.03</v>
      </c>
      <c r="AX3849" s="1">
        <v>1019.78</v>
      </c>
      <c r="AY3849" t="s">
        <v>22187</v>
      </c>
      <c r="AZ3849" t="s">
        <v>6986</v>
      </c>
      <c r="BA3849" t="s">
        <v>21687</v>
      </c>
      <c r="BE3849" s="3">
        <v>42093</v>
      </c>
      <c r="BF3849" s="1">
        <v>150500</v>
      </c>
      <c r="BG3849" t="s">
        <v>24600</v>
      </c>
      <c r="BH3849" s="1">
        <v>85.71</v>
      </c>
      <c r="BI3849" s="1">
        <v>209977</v>
      </c>
      <c r="BJ3849" s="3">
        <v>43553</v>
      </c>
      <c r="BK3849" t="s">
        <v>123</v>
      </c>
      <c r="BL3849" t="str">
        <f>"2019.222432"</f>
        <v>2019.222432</v>
      </c>
      <c r="BM3849" t="s">
        <v>13966</v>
      </c>
      <c r="BN3849" t="s">
        <v>13967</v>
      </c>
      <c r="BO3849" t="s">
        <v>24596</v>
      </c>
      <c r="BR3849" t="s">
        <v>139</v>
      </c>
      <c r="BW3849" t="str">
        <f>""</f>
        <v/>
      </c>
      <c r="CH3849" t="str">
        <f>""</f>
        <v/>
      </c>
      <c r="CS3849" t="str">
        <f>""</f>
        <v/>
      </c>
    </row>
    <row r="3850" spans="1:97" x14ac:dyDescent="0.25">
      <c r="A3850" t="s">
        <v>701</v>
      </c>
      <c r="B3850" t="s">
        <v>24601</v>
      </c>
      <c r="C3850" t="s">
        <v>2002</v>
      </c>
      <c r="D3850" t="s">
        <v>24601</v>
      </c>
      <c r="E3850" t="s">
        <v>24602</v>
      </c>
      <c r="F3850" t="s">
        <v>108</v>
      </c>
      <c r="H3850" t="s">
        <v>24603</v>
      </c>
      <c r="I3850" t="s">
        <v>2874</v>
      </c>
      <c r="J3850" t="s">
        <v>111</v>
      </c>
      <c r="K3850" t="str">
        <f>"85306"</f>
        <v>85306</v>
      </c>
      <c r="L3850" t="s">
        <v>11566</v>
      </c>
      <c r="M3850" t="s">
        <v>24603</v>
      </c>
      <c r="N3850" t="s">
        <v>2874</v>
      </c>
      <c r="O3850" t="s">
        <v>111</v>
      </c>
      <c r="P3850" t="str">
        <f>"85306-3903"</f>
        <v>85306-3903</v>
      </c>
      <c r="Q3850" t="s">
        <v>113</v>
      </c>
      <c r="R3850" t="str">
        <f>"200-74-195"</f>
        <v>200-74-195</v>
      </c>
      <c r="S3850" t="s">
        <v>24604</v>
      </c>
      <c r="U3850">
        <v>1841</v>
      </c>
      <c r="V3850">
        <v>0</v>
      </c>
      <c r="W3850">
        <v>2</v>
      </c>
      <c r="X3850">
        <v>1972</v>
      </c>
      <c r="Z3850">
        <v>1</v>
      </c>
      <c r="AB3850">
        <v>0</v>
      </c>
      <c r="AC3850" t="s">
        <v>115</v>
      </c>
      <c r="AD3850">
        <v>2</v>
      </c>
      <c r="AE3850" t="s">
        <v>115</v>
      </c>
      <c r="AF3850">
        <v>0</v>
      </c>
      <c r="AG3850">
        <v>0</v>
      </c>
      <c r="AH3850" t="s">
        <v>116</v>
      </c>
      <c r="AI3850" s="1">
        <v>68091</v>
      </c>
      <c r="AJ3850" s="2">
        <v>0.25</v>
      </c>
      <c r="AK3850" s="1">
        <v>273814</v>
      </c>
      <c r="AL3850" t="s">
        <v>117</v>
      </c>
      <c r="AM3850" t="s">
        <v>191</v>
      </c>
      <c r="AN3850">
        <v>7000</v>
      </c>
      <c r="AO3850">
        <v>0.16</v>
      </c>
      <c r="AP3850">
        <v>1</v>
      </c>
      <c r="AR3850">
        <v>1</v>
      </c>
      <c r="AS3850" s="1">
        <v>16820</v>
      </c>
      <c r="AT3850" s="1">
        <v>3360</v>
      </c>
      <c r="AU3850" s="1">
        <v>13460</v>
      </c>
      <c r="AV3850">
        <v>80.02</v>
      </c>
      <c r="AX3850" s="1">
        <v>1051.92</v>
      </c>
      <c r="AY3850" t="s">
        <v>13986</v>
      </c>
      <c r="AZ3850" t="s">
        <v>13986</v>
      </c>
      <c r="BA3850" t="s">
        <v>3360</v>
      </c>
      <c r="BE3850" s="3">
        <v>42243</v>
      </c>
      <c r="BF3850" s="1">
        <v>207000</v>
      </c>
      <c r="BG3850" t="s">
        <v>20807</v>
      </c>
      <c r="BH3850" s="1">
        <v>112.44</v>
      </c>
      <c r="BI3850" s="1">
        <v>205723</v>
      </c>
      <c r="BJ3850" s="3">
        <v>42718</v>
      </c>
      <c r="BK3850" t="s">
        <v>123</v>
      </c>
      <c r="BL3850" t="str">
        <f>"2016.918172"</f>
        <v>2016.918172</v>
      </c>
      <c r="BM3850" t="s">
        <v>361</v>
      </c>
      <c r="BO3850" t="s">
        <v>24605</v>
      </c>
      <c r="BS3850">
        <v>30</v>
      </c>
      <c r="BW3850" t="str">
        <f>""</f>
        <v/>
      </c>
      <c r="CH3850" t="str">
        <f>""</f>
        <v/>
      </c>
      <c r="CS3850" t="str">
        <f>""</f>
        <v/>
      </c>
    </row>
    <row r="3851" spans="1:97" x14ac:dyDescent="0.25">
      <c r="A3851" t="s">
        <v>24606</v>
      </c>
      <c r="B3851" t="s">
        <v>24607</v>
      </c>
      <c r="C3851" t="s">
        <v>14841</v>
      </c>
      <c r="D3851" t="s">
        <v>24607</v>
      </c>
      <c r="E3851" t="s">
        <v>24608</v>
      </c>
      <c r="F3851" t="s">
        <v>108</v>
      </c>
      <c r="H3851" t="s">
        <v>24609</v>
      </c>
      <c r="I3851" t="s">
        <v>632</v>
      </c>
      <c r="J3851" t="s">
        <v>111</v>
      </c>
      <c r="K3851" t="str">
        <f>"85379"</f>
        <v>85379</v>
      </c>
      <c r="L3851" t="s">
        <v>8255</v>
      </c>
      <c r="M3851" t="s">
        <v>24609</v>
      </c>
      <c r="N3851" t="s">
        <v>632</v>
      </c>
      <c r="O3851" t="s">
        <v>111</v>
      </c>
      <c r="P3851" t="str">
        <f>"85379-5042"</f>
        <v>85379-5042</v>
      </c>
      <c r="Q3851" t="s">
        <v>113</v>
      </c>
      <c r="R3851" t="str">
        <f>"509-11-545"</f>
        <v>509-11-545</v>
      </c>
      <c r="S3851" t="s">
        <v>24610</v>
      </c>
      <c r="U3851">
        <v>1866</v>
      </c>
      <c r="V3851">
        <v>0</v>
      </c>
      <c r="W3851">
        <v>3</v>
      </c>
      <c r="X3851">
        <v>2003</v>
      </c>
      <c r="Z3851">
        <v>2</v>
      </c>
      <c r="AB3851">
        <v>0</v>
      </c>
      <c r="AC3851" t="s">
        <v>115</v>
      </c>
      <c r="AD3851">
        <v>2</v>
      </c>
      <c r="AE3851" t="s">
        <v>115</v>
      </c>
      <c r="AF3851">
        <v>0</v>
      </c>
      <c r="AG3851">
        <v>0</v>
      </c>
      <c r="AH3851" t="s">
        <v>116</v>
      </c>
      <c r="AI3851" s="1">
        <v>52019</v>
      </c>
      <c r="AJ3851" s="2">
        <v>0.2</v>
      </c>
      <c r="AK3851" s="1">
        <v>256306</v>
      </c>
      <c r="AL3851" t="s">
        <v>117</v>
      </c>
      <c r="AM3851" t="s">
        <v>118</v>
      </c>
      <c r="AN3851">
        <v>9774</v>
      </c>
      <c r="AO3851">
        <v>0.22</v>
      </c>
      <c r="AP3851">
        <v>1</v>
      </c>
      <c r="AR3851">
        <v>1</v>
      </c>
      <c r="AS3851" s="1">
        <v>17450</v>
      </c>
      <c r="AT3851" s="1">
        <v>3490</v>
      </c>
      <c r="AU3851" s="1">
        <v>13960</v>
      </c>
      <c r="AV3851">
        <v>80</v>
      </c>
      <c r="AX3851" s="1">
        <v>1222.46</v>
      </c>
      <c r="AY3851" t="s">
        <v>6615</v>
      </c>
      <c r="AZ3851" t="s">
        <v>6615</v>
      </c>
      <c r="BA3851" t="s">
        <v>5061</v>
      </c>
      <c r="BE3851" s="3">
        <v>42450</v>
      </c>
      <c r="BF3851" s="1">
        <v>199988</v>
      </c>
      <c r="BG3851" t="s">
        <v>24611</v>
      </c>
      <c r="BH3851" s="1">
        <v>107.17</v>
      </c>
      <c r="BI3851" s="1">
        <v>204287</v>
      </c>
      <c r="BJ3851" s="3">
        <v>42450</v>
      </c>
      <c r="BK3851" t="s">
        <v>123</v>
      </c>
      <c r="BL3851" t="str">
        <f>"2016.181973"</f>
        <v>2016.181973</v>
      </c>
      <c r="BM3851" t="s">
        <v>1998</v>
      </c>
      <c r="BO3851" t="s">
        <v>24612</v>
      </c>
      <c r="BS3851">
        <v>30</v>
      </c>
      <c r="BW3851" t="str">
        <f>""</f>
        <v/>
      </c>
      <c r="CH3851" t="str">
        <f>""</f>
        <v/>
      </c>
      <c r="CS3851" t="str">
        <f>""</f>
        <v/>
      </c>
    </row>
    <row r="3852" spans="1:97" x14ac:dyDescent="0.25">
      <c r="A3852" t="s">
        <v>5847</v>
      </c>
      <c r="B3852" t="s">
        <v>24613</v>
      </c>
      <c r="E3852" t="s">
        <v>24614</v>
      </c>
      <c r="F3852" t="s">
        <v>108</v>
      </c>
      <c r="H3852" t="s">
        <v>24615</v>
      </c>
      <c r="I3852" t="s">
        <v>203</v>
      </c>
      <c r="J3852" t="s">
        <v>111</v>
      </c>
      <c r="K3852" t="str">
        <f>"85296"</f>
        <v>85296</v>
      </c>
      <c r="L3852" t="s">
        <v>9293</v>
      </c>
      <c r="M3852" t="s">
        <v>24615</v>
      </c>
      <c r="N3852" t="s">
        <v>203</v>
      </c>
      <c r="O3852" t="s">
        <v>111</v>
      </c>
      <c r="P3852" t="str">
        <f>"85296-2751"</f>
        <v>85296-2751</v>
      </c>
      <c r="Q3852" t="s">
        <v>113</v>
      </c>
      <c r="R3852" t="str">
        <f>"309-11-487"</f>
        <v>309-11-487</v>
      </c>
      <c r="S3852" t="s">
        <v>24616</v>
      </c>
      <c r="T3852" t="s">
        <v>14454</v>
      </c>
      <c r="U3852">
        <v>1345</v>
      </c>
      <c r="V3852">
        <v>0</v>
      </c>
      <c r="W3852">
        <v>3</v>
      </c>
      <c r="X3852">
        <v>1997</v>
      </c>
      <c r="Z3852">
        <v>1</v>
      </c>
      <c r="AA3852" t="s">
        <v>26</v>
      </c>
      <c r="AB3852">
        <v>0</v>
      </c>
      <c r="AC3852" t="s">
        <v>115</v>
      </c>
      <c r="AD3852">
        <v>2</v>
      </c>
      <c r="AE3852" t="s">
        <v>115</v>
      </c>
      <c r="AF3852">
        <v>0</v>
      </c>
      <c r="AG3852">
        <v>0</v>
      </c>
      <c r="AH3852" t="s">
        <v>116</v>
      </c>
      <c r="AI3852" s="1">
        <v>82056</v>
      </c>
      <c r="AJ3852" s="2">
        <v>0.28000000000000003</v>
      </c>
      <c r="AK3852" s="1">
        <v>292456</v>
      </c>
      <c r="AL3852" t="s">
        <v>117</v>
      </c>
      <c r="AM3852" t="s">
        <v>393</v>
      </c>
      <c r="AN3852">
        <v>7610</v>
      </c>
      <c r="AO3852">
        <v>0.18</v>
      </c>
      <c r="AP3852">
        <v>1</v>
      </c>
      <c r="AR3852">
        <v>1</v>
      </c>
      <c r="AS3852" s="1">
        <v>20180</v>
      </c>
      <c r="AT3852" s="1">
        <v>4030</v>
      </c>
      <c r="AU3852" s="1">
        <v>16150</v>
      </c>
      <c r="AV3852">
        <v>80.03</v>
      </c>
      <c r="AX3852" s="1">
        <v>1336.02</v>
      </c>
      <c r="AY3852" t="s">
        <v>5032</v>
      </c>
      <c r="AZ3852" t="s">
        <v>520</v>
      </c>
      <c r="BA3852" t="s">
        <v>5033</v>
      </c>
      <c r="BE3852" s="3">
        <v>41835</v>
      </c>
      <c r="BF3852" s="1">
        <v>206000</v>
      </c>
      <c r="BG3852" t="s">
        <v>24617</v>
      </c>
      <c r="BH3852" s="1">
        <v>153.16</v>
      </c>
      <c r="BI3852" s="1">
        <v>210400</v>
      </c>
      <c r="BJ3852" s="3">
        <v>41988</v>
      </c>
      <c r="BK3852" t="s">
        <v>123</v>
      </c>
      <c r="BL3852" t="str">
        <f>"2014.820992"</f>
        <v>2014.820992</v>
      </c>
      <c r="BM3852" t="s">
        <v>255</v>
      </c>
      <c r="BO3852" t="s">
        <v>24618</v>
      </c>
      <c r="BS3852">
        <v>30</v>
      </c>
      <c r="BW3852" t="str">
        <f>""</f>
        <v/>
      </c>
      <c r="CH3852" t="str">
        <f>""</f>
        <v/>
      </c>
      <c r="CS3852" t="str">
        <f>""</f>
        <v/>
      </c>
    </row>
    <row r="3853" spans="1:97" x14ac:dyDescent="0.25">
      <c r="A3853" t="s">
        <v>24619</v>
      </c>
      <c r="B3853" t="s">
        <v>6779</v>
      </c>
      <c r="C3853" t="s">
        <v>24620</v>
      </c>
      <c r="D3853" t="s">
        <v>24621</v>
      </c>
      <c r="E3853" t="s">
        <v>24622</v>
      </c>
      <c r="F3853" t="s">
        <v>108</v>
      </c>
      <c r="H3853" t="s">
        <v>24623</v>
      </c>
      <c r="I3853" t="s">
        <v>499</v>
      </c>
      <c r="J3853" t="s">
        <v>111</v>
      </c>
      <c r="K3853" t="str">
        <f>"85338"</f>
        <v>85338</v>
      </c>
      <c r="L3853" t="s">
        <v>6431</v>
      </c>
      <c r="M3853" t="s">
        <v>24623</v>
      </c>
      <c r="N3853" t="s">
        <v>499</v>
      </c>
      <c r="O3853" t="s">
        <v>111</v>
      </c>
      <c r="P3853" t="str">
        <f>"85338-7406"</f>
        <v>85338-7406</v>
      </c>
      <c r="Q3853" t="s">
        <v>113</v>
      </c>
      <c r="R3853" t="str">
        <f>"500-97-304"</f>
        <v>500-97-304</v>
      </c>
      <c r="S3853" t="s">
        <v>6708</v>
      </c>
      <c r="U3853">
        <v>1936</v>
      </c>
      <c r="V3853">
        <v>0</v>
      </c>
      <c r="W3853">
        <v>3</v>
      </c>
      <c r="X3853">
        <v>2007</v>
      </c>
      <c r="Z3853">
        <v>1</v>
      </c>
      <c r="AA3853" t="s">
        <v>26</v>
      </c>
      <c r="AB3853">
        <v>0</v>
      </c>
      <c r="AC3853" t="s">
        <v>115</v>
      </c>
      <c r="AD3853">
        <v>2</v>
      </c>
      <c r="AE3853" t="s">
        <v>115</v>
      </c>
      <c r="AF3853">
        <v>0</v>
      </c>
      <c r="AG3853">
        <v>0</v>
      </c>
      <c r="AH3853" t="s">
        <v>116</v>
      </c>
      <c r="AI3853" s="1">
        <v>29702</v>
      </c>
      <c r="AJ3853" s="2">
        <v>0.11</v>
      </c>
      <c r="AK3853" s="1">
        <v>276726</v>
      </c>
      <c r="AL3853" t="s">
        <v>117</v>
      </c>
      <c r="AM3853" t="s">
        <v>118</v>
      </c>
      <c r="AN3853">
        <v>6960</v>
      </c>
      <c r="AO3853">
        <v>0.16</v>
      </c>
      <c r="AR3853">
        <v>1</v>
      </c>
      <c r="AS3853" s="1">
        <v>19530</v>
      </c>
      <c r="AT3853" s="1">
        <v>3900</v>
      </c>
      <c r="AU3853" s="1">
        <v>15630</v>
      </c>
      <c r="AV3853">
        <v>80.03</v>
      </c>
      <c r="AX3853" s="1">
        <v>1919.82</v>
      </c>
      <c r="AY3853" t="s">
        <v>6319</v>
      </c>
      <c r="AZ3853" t="s">
        <v>6319</v>
      </c>
      <c r="BA3853" t="s">
        <v>218</v>
      </c>
      <c r="BB3853" s="3">
        <v>42230</v>
      </c>
      <c r="BD3853" t="s">
        <v>240</v>
      </c>
      <c r="BE3853" s="3">
        <v>42160</v>
      </c>
      <c r="BF3853" s="1">
        <v>214000</v>
      </c>
      <c r="BG3853" t="s">
        <v>24624</v>
      </c>
      <c r="BH3853" s="1">
        <v>110.54</v>
      </c>
      <c r="BI3853" s="1">
        <v>222024</v>
      </c>
      <c r="BJ3853" s="3">
        <v>42622</v>
      </c>
      <c r="BK3853" t="s">
        <v>123</v>
      </c>
      <c r="BL3853" t="str">
        <f>"2016.654585"</f>
        <v>2016.654585</v>
      </c>
      <c r="BM3853" t="s">
        <v>2378</v>
      </c>
      <c r="BN3853" t="s">
        <v>15424</v>
      </c>
      <c r="BO3853" t="s">
        <v>24625</v>
      </c>
      <c r="BP3853" t="s">
        <v>24626</v>
      </c>
      <c r="BS3853">
        <v>30</v>
      </c>
      <c r="BT3853" s="1">
        <v>25000</v>
      </c>
      <c r="BU3853" s="3">
        <v>43606</v>
      </c>
      <c r="BW3853" t="str">
        <f>"2019.373048"</f>
        <v>2019.373048</v>
      </c>
      <c r="BX3853" t="s">
        <v>135</v>
      </c>
      <c r="BY3853" t="s">
        <v>136</v>
      </c>
      <c r="BZ3853" t="s">
        <v>24627</v>
      </c>
      <c r="CA3853" t="s">
        <v>24628</v>
      </c>
      <c r="CC3853" t="s">
        <v>346</v>
      </c>
      <c r="CH3853" t="str">
        <f>""</f>
        <v/>
      </c>
      <c r="CS3853" t="str">
        <f>""</f>
        <v/>
      </c>
    </row>
    <row r="3854" spans="1:97" x14ac:dyDescent="0.25">
      <c r="A3854" t="s">
        <v>10495</v>
      </c>
      <c r="B3854" t="s">
        <v>348</v>
      </c>
      <c r="C3854" t="s">
        <v>179</v>
      </c>
      <c r="D3854" t="s">
        <v>348</v>
      </c>
      <c r="E3854" t="s">
        <v>24629</v>
      </c>
      <c r="F3854" t="s">
        <v>108</v>
      </c>
      <c r="H3854" t="s">
        <v>24630</v>
      </c>
      <c r="I3854" t="s">
        <v>110</v>
      </c>
      <c r="J3854" t="s">
        <v>111</v>
      </c>
      <c r="K3854" t="str">
        <f>"85225"</f>
        <v>85225</v>
      </c>
      <c r="L3854" t="s">
        <v>2903</v>
      </c>
      <c r="M3854" t="s">
        <v>24630</v>
      </c>
      <c r="N3854" t="s">
        <v>110</v>
      </c>
      <c r="O3854" t="s">
        <v>111</v>
      </c>
      <c r="P3854" t="str">
        <f>"85225-4011"</f>
        <v>85225-4011</v>
      </c>
      <c r="Q3854" t="s">
        <v>113</v>
      </c>
      <c r="R3854" t="str">
        <f>"310-11-273"</f>
        <v>310-11-273</v>
      </c>
      <c r="S3854" t="s">
        <v>24631</v>
      </c>
      <c r="T3854" t="s">
        <v>10230</v>
      </c>
      <c r="U3854">
        <v>1892</v>
      </c>
      <c r="V3854">
        <v>0</v>
      </c>
      <c r="W3854">
        <v>4</v>
      </c>
      <c r="X3854">
        <v>1998</v>
      </c>
      <c r="Z3854">
        <v>1</v>
      </c>
      <c r="AB3854">
        <v>0</v>
      </c>
      <c r="AC3854" t="s">
        <v>115</v>
      </c>
      <c r="AD3854">
        <v>2</v>
      </c>
      <c r="AE3854" t="s">
        <v>115</v>
      </c>
      <c r="AF3854">
        <v>0</v>
      </c>
      <c r="AG3854">
        <v>0</v>
      </c>
      <c r="AH3854" t="s">
        <v>116</v>
      </c>
      <c r="AI3854" s="1">
        <v>82477</v>
      </c>
      <c r="AJ3854" s="2">
        <v>0.25</v>
      </c>
      <c r="AK3854" s="1">
        <v>333073</v>
      </c>
      <c r="AL3854" t="s">
        <v>117</v>
      </c>
      <c r="AM3854" t="s">
        <v>118</v>
      </c>
      <c r="AN3854">
        <v>5506</v>
      </c>
      <c r="AO3854">
        <v>0.13</v>
      </c>
      <c r="AP3854">
        <v>1</v>
      </c>
      <c r="AR3854">
        <v>1</v>
      </c>
      <c r="AS3854" s="1">
        <v>22660</v>
      </c>
      <c r="AT3854" s="1">
        <v>4530</v>
      </c>
      <c r="AU3854" s="1">
        <v>18130</v>
      </c>
      <c r="AV3854">
        <v>80.010000000000005</v>
      </c>
      <c r="AX3854" s="1">
        <v>1668.02</v>
      </c>
      <c r="AY3854" t="s">
        <v>2905</v>
      </c>
      <c r="AZ3854" t="s">
        <v>2906</v>
      </c>
      <c r="BA3854" t="s">
        <v>303</v>
      </c>
      <c r="BE3854" s="3">
        <v>42095</v>
      </c>
      <c r="BF3854" s="1">
        <v>245000</v>
      </c>
      <c r="BG3854" t="s">
        <v>24632</v>
      </c>
      <c r="BH3854" s="1">
        <v>129.49</v>
      </c>
      <c r="BI3854" s="1">
        <v>250596</v>
      </c>
      <c r="BJ3854" s="3">
        <v>42583</v>
      </c>
      <c r="BK3854" t="s">
        <v>123</v>
      </c>
      <c r="BL3854" t="str">
        <f>"2016.543373"</f>
        <v>2016.543373</v>
      </c>
      <c r="BM3854" t="s">
        <v>903</v>
      </c>
      <c r="BO3854" t="s">
        <v>24633</v>
      </c>
      <c r="BS3854">
        <v>30</v>
      </c>
      <c r="BW3854" t="str">
        <f>""</f>
        <v/>
      </c>
      <c r="CH3854" t="str">
        <f>""</f>
        <v/>
      </c>
      <c r="CS3854" t="str">
        <f>""</f>
        <v/>
      </c>
    </row>
    <row r="3855" spans="1:97" x14ac:dyDescent="0.25">
      <c r="A3855" t="s">
        <v>24634</v>
      </c>
      <c r="B3855" t="s">
        <v>2848</v>
      </c>
      <c r="C3855" t="s">
        <v>6510</v>
      </c>
      <c r="D3855" t="s">
        <v>2848</v>
      </c>
      <c r="E3855" t="s">
        <v>24635</v>
      </c>
      <c r="F3855" t="s">
        <v>108</v>
      </c>
      <c r="H3855" t="s">
        <v>24636</v>
      </c>
      <c r="I3855" t="s">
        <v>632</v>
      </c>
      <c r="J3855" t="s">
        <v>111</v>
      </c>
      <c r="K3855" t="str">
        <f>"85379"</f>
        <v>85379</v>
      </c>
      <c r="L3855" t="s">
        <v>454</v>
      </c>
      <c r="M3855" t="s">
        <v>24636</v>
      </c>
      <c r="N3855" t="s">
        <v>632</v>
      </c>
      <c r="O3855" t="s">
        <v>111</v>
      </c>
      <c r="P3855" t="str">
        <f>"85379-1016"</f>
        <v>85379-1016</v>
      </c>
      <c r="Q3855" t="s">
        <v>113</v>
      </c>
      <c r="R3855" t="str">
        <f>"501-46-497"</f>
        <v>501-46-497</v>
      </c>
      <c r="S3855" t="s">
        <v>5319</v>
      </c>
      <c r="U3855">
        <v>2900</v>
      </c>
      <c r="V3855">
        <v>0</v>
      </c>
      <c r="W3855">
        <v>5</v>
      </c>
      <c r="X3855">
        <v>2014</v>
      </c>
      <c r="Z3855">
        <v>2</v>
      </c>
      <c r="AA3855" t="s">
        <v>26</v>
      </c>
      <c r="AB3855">
        <v>0</v>
      </c>
      <c r="AC3855" t="s">
        <v>115</v>
      </c>
      <c r="AD3855">
        <v>3</v>
      </c>
      <c r="AE3855" t="s">
        <v>115</v>
      </c>
      <c r="AF3855">
        <v>0</v>
      </c>
      <c r="AG3855">
        <v>0</v>
      </c>
      <c r="AH3855" t="s">
        <v>116</v>
      </c>
      <c r="AI3855" s="1">
        <v>66836</v>
      </c>
      <c r="AJ3855" s="2">
        <v>0.18</v>
      </c>
      <c r="AK3855" s="1">
        <v>373256</v>
      </c>
      <c r="AL3855" t="s">
        <v>117</v>
      </c>
      <c r="AM3855" t="s">
        <v>118</v>
      </c>
      <c r="AN3855">
        <v>6670</v>
      </c>
      <c r="AO3855">
        <v>0.15</v>
      </c>
      <c r="AR3855">
        <v>1</v>
      </c>
      <c r="AS3855" s="1">
        <v>27120</v>
      </c>
      <c r="AT3855" s="1">
        <v>5420</v>
      </c>
      <c r="AU3855" s="1">
        <v>21700</v>
      </c>
      <c r="AV3855">
        <v>80.010000000000005</v>
      </c>
      <c r="AX3855" s="1">
        <v>2218.62</v>
      </c>
      <c r="AY3855" t="s">
        <v>5060</v>
      </c>
      <c r="AZ3855" t="s">
        <v>5060</v>
      </c>
      <c r="BA3855" t="s">
        <v>5061</v>
      </c>
      <c r="BB3855" s="3">
        <v>42479</v>
      </c>
      <c r="BD3855" t="s">
        <v>458</v>
      </c>
      <c r="BE3855" s="3">
        <v>42075</v>
      </c>
      <c r="BF3855" s="1">
        <v>304465</v>
      </c>
      <c r="BG3855" t="s">
        <v>158</v>
      </c>
      <c r="BH3855" s="1">
        <v>104.99</v>
      </c>
      <c r="BI3855" s="1">
        <v>306420</v>
      </c>
      <c r="BJ3855" s="3">
        <v>42655</v>
      </c>
      <c r="BK3855" t="s">
        <v>123</v>
      </c>
      <c r="BL3855" t="str">
        <f>"2016.747434"</f>
        <v>2016.747434</v>
      </c>
      <c r="BM3855" t="s">
        <v>1695</v>
      </c>
      <c r="BO3855" t="s">
        <v>24637</v>
      </c>
      <c r="BS3855">
        <v>30</v>
      </c>
      <c r="BW3855" t="str">
        <f>""</f>
        <v/>
      </c>
      <c r="CH3855" t="str">
        <f>""</f>
        <v/>
      </c>
      <c r="CS3855" t="str">
        <f>""</f>
        <v/>
      </c>
    </row>
    <row r="3856" spans="1:97" x14ac:dyDescent="0.25">
      <c r="A3856" t="s">
        <v>325</v>
      </c>
      <c r="B3856" t="s">
        <v>24638</v>
      </c>
      <c r="C3856" t="s">
        <v>484</v>
      </c>
      <c r="D3856" t="s">
        <v>24639</v>
      </c>
      <c r="E3856" t="s">
        <v>24640</v>
      </c>
      <c r="F3856" t="s">
        <v>108</v>
      </c>
      <c r="H3856" t="s">
        <v>24641</v>
      </c>
      <c r="I3856" t="s">
        <v>390</v>
      </c>
      <c r="J3856" t="s">
        <v>111</v>
      </c>
      <c r="K3856" t="str">
        <f>"85027"</f>
        <v>85027</v>
      </c>
      <c r="L3856" t="s">
        <v>5900</v>
      </c>
      <c r="M3856" t="s">
        <v>24641</v>
      </c>
      <c r="N3856" t="s">
        <v>390</v>
      </c>
      <c r="O3856" t="s">
        <v>111</v>
      </c>
      <c r="P3856" t="str">
        <f>"85027-4461"</f>
        <v>85027-4461</v>
      </c>
      <c r="Q3856" t="s">
        <v>113</v>
      </c>
      <c r="R3856" t="str">
        <f>"209-24-776"</f>
        <v>209-24-776</v>
      </c>
      <c r="S3856" t="s">
        <v>12569</v>
      </c>
      <c r="T3856" t="s">
        <v>12570</v>
      </c>
      <c r="U3856">
        <v>1707</v>
      </c>
      <c r="V3856">
        <v>0</v>
      </c>
      <c r="W3856">
        <v>3</v>
      </c>
      <c r="X3856">
        <v>1993</v>
      </c>
      <c r="Z3856">
        <v>1</v>
      </c>
      <c r="AB3856">
        <v>0</v>
      </c>
      <c r="AC3856" t="s">
        <v>115</v>
      </c>
      <c r="AD3856">
        <v>2</v>
      </c>
      <c r="AE3856" t="s">
        <v>115</v>
      </c>
      <c r="AF3856">
        <v>0</v>
      </c>
      <c r="AG3856">
        <v>0</v>
      </c>
      <c r="AH3856" t="s">
        <v>116</v>
      </c>
      <c r="AI3856" s="1">
        <v>57093</v>
      </c>
      <c r="AJ3856" s="2">
        <v>0.2</v>
      </c>
      <c r="AK3856" s="1">
        <v>292093</v>
      </c>
      <c r="AL3856" t="s">
        <v>117</v>
      </c>
      <c r="AM3856" t="s">
        <v>191</v>
      </c>
      <c r="AN3856">
        <v>6990</v>
      </c>
      <c r="AO3856">
        <v>0.16</v>
      </c>
      <c r="AP3856">
        <v>1</v>
      </c>
      <c r="AR3856">
        <v>1</v>
      </c>
      <c r="AS3856" s="1">
        <v>20360</v>
      </c>
      <c r="AT3856" s="1">
        <v>4070</v>
      </c>
      <c r="AU3856" s="1">
        <v>16290</v>
      </c>
      <c r="AV3856">
        <v>80.010000000000005</v>
      </c>
      <c r="AX3856" s="1">
        <v>1664.12</v>
      </c>
      <c r="AY3856" t="s">
        <v>12571</v>
      </c>
      <c r="AZ3856" t="s">
        <v>2550</v>
      </c>
      <c r="BA3856" t="s">
        <v>2551</v>
      </c>
      <c r="BB3856" s="3">
        <v>42305</v>
      </c>
      <c r="BD3856" t="s">
        <v>480</v>
      </c>
      <c r="BE3856" s="3">
        <v>42305</v>
      </c>
      <c r="BF3856" s="1">
        <v>235000</v>
      </c>
      <c r="BG3856" t="s">
        <v>24642</v>
      </c>
      <c r="BH3856" s="1">
        <v>137.66999999999999</v>
      </c>
      <c r="BI3856" s="1">
        <v>235000</v>
      </c>
      <c r="BJ3856" s="3">
        <v>42305</v>
      </c>
      <c r="BK3856" t="s">
        <v>123</v>
      </c>
      <c r="BL3856" t="str">
        <f>"2015.775952"</f>
        <v>2015.775952</v>
      </c>
      <c r="BM3856" t="s">
        <v>10728</v>
      </c>
      <c r="BO3856" t="s">
        <v>24643</v>
      </c>
      <c r="BS3856">
        <v>30</v>
      </c>
      <c r="BW3856" t="str">
        <f>""</f>
        <v/>
      </c>
      <c r="CH3856" t="str">
        <f>""</f>
        <v/>
      </c>
      <c r="CS3856" t="str">
        <f>""</f>
        <v/>
      </c>
    </row>
    <row r="3857" spans="1:97" x14ac:dyDescent="0.25">
      <c r="A3857" t="s">
        <v>938</v>
      </c>
      <c r="B3857" t="s">
        <v>3730</v>
      </c>
      <c r="C3857" t="s">
        <v>220</v>
      </c>
      <c r="D3857" t="s">
        <v>3730</v>
      </c>
      <c r="E3857" t="s">
        <v>24644</v>
      </c>
      <c r="F3857" t="s">
        <v>108</v>
      </c>
      <c r="H3857" t="s">
        <v>24645</v>
      </c>
      <c r="I3857" t="s">
        <v>5387</v>
      </c>
      <c r="J3857" t="s">
        <v>111</v>
      </c>
      <c r="K3857" t="str">
        <f>"85282"</f>
        <v>85282</v>
      </c>
      <c r="L3857" t="s">
        <v>6923</v>
      </c>
      <c r="M3857" t="s">
        <v>24645</v>
      </c>
      <c r="N3857" t="s">
        <v>5387</v>
      </c>
      <c r="O3857" t="s">
        <v>111</v>
      </c>
      <c r="P3857" t="str">
        <f>"85282-7402"</f>
        <v>85282-7402</v>
      </c>
      <c r="Q3857" t="s">
        <v>113</v>
      </c>
      <c r="R3857" t="str">
        <f>"133-36-657"</f>
        <v>133-36-657</v>
      </c>
      <c r="S3857" t="s">
        <v>24646</v>
      </c>
      <c r="T3857" t="s">
        <v>10857</v>
      </c>
      <c r="U3857">
        <v>1868</v>
      </c>
      <c r="V3857">
        <v>0</v>
      </c>
      <c r="W3857">
        <v>2</v>
      </c>
      <c r="X3857">
        <v>1971</v>
      </c>
      <c r="Z3857">
        <v>1</v>
      </c>
      <c r="AA3857" t="s">
        <v>26</v>
      </c>
      <c r="AB3857">
        <v>0</v>
      </c>
      <c r="AC3857" t="s">
        <v>115</v>
      </c>
      <c r="AD3857">
        <v>2</v>
      </c>
      <c r="AE3857" t="s">
        <v>115</v>
      </c>
      <c r="AF3857">
        <v>0</v>
      </c>
      <c r="AG3857">
        <v>0</v>
      </c>
      <c r="AH3857" t="s">
        <v>116</v>
      </c>
      <c r="AI3857" s="1">
        <v>56029</v>
      </c>
      <c r="AJ3857" s="2">
        <v>0.16</v>
      </c>
      <c r="AK3857" s="1">
        <v>340429</v>
      </c>
      <c r="AL3857" t="s">
        <v>117</v>
      </c>
      <c r="AM3857" t="s">
        <v>191</v>
      </c>
      <c r="AN3857">
        <v>8686</v>
      </c>
      <c r="AO3857">
        <v>0.2</v>
      </c>
      <c r="AP3857">
        <v>1</v>
      </c>
      <c r="AR3857">
        <v>1</v>
      </c>
      <c r="AS3857" s="1">
        <v>23930</v>
      </c>
      <c r="AT3857" s="1">
        <v>4780</v>
      </c>
      <c r="AU3857" s="1">
        <v>19150</v>
      </c>
      <c r="AV3857">
        <v>80.03</v>
      </c>
      <c r="AX3857" s="1">
        <v>1906.14</v>
      </c>
      <c r="AY3857" t="s">
        <v>9740</v>
      </c>
      <c r="AZ3857" t="s">
        <v>6726</v>
      </c>
      <c r="BA3857" t="s">
        <v>10858</v>
      </c>
      <c r="BE3857" s="3">
        <v>42299</v>
      </c>
      <c r="BF3857" s="1">
        <v>252550</v>
      </c>
      <c r="BG3857" t="s">
        <v>24647</v>
      </c>
      <c r="BH3857" s="1">
        <v>135.19999999999999</v>
      </c>
      <c r="BI3857" s="1">
        <v>284400</v>
      </c>
      <c r="BJ3857" s="3">
        <v>43543</v>
      </c>
      <c r="BK3857" t="s">
        <v>123</v>
      </c>
      <c r="BL3857" t="str">
        <f>"2019.188255"</f>
        <v>2019.188255</v>
      </c>
      <c r="BM3857" t="s">
        <v>3562</v>
      </c>
      <c r="BN3857" t="s">
        <v>3686</v>
      </c>
      <c r="BO3857" t="s">
        <v>24648</v>
      </c>
      <c r="BP3857" t="s">
        <v>24649</v>
      </c>
      <c r="BR3857" t="s">
        <v>139</v>
      </c>
      <c r="BW3857" t="str">
        <f>""</f>
        <v/>
      </c>
      <c r="CH3857" t="str">
        <f>""</f>
        <v/>
      </c>
      <c r="CS3857" t="str">
        <f>""</f>
        <v/>
      </c>
    </row>
    <row r="3858" spans="1:97" x14ac:dyDescent="0.25">
      <c r="A3858" t="s">
        <v>8799</v>
      </c>
      <c r="B3858" t="s">
        <v>24650</v>
      </c>
      <c r="C3858" t="s">
        <v>1547</v>
      </c>
      <c r="D3858" t="s">
        <v>24651</v>
      </c>
      <c r="E3858" t="s">
        <v>24652</v>
      </c>
      <c r="F3858" t="s">
        <v>108</v>
      </c>
      <c r="H3858" t="s">
        <v>24653</v>
      </c>
      <c r="I3858" t="s">
        <v>5387</v>
      </c>
      <c r="J3858" t="s">
        <v>111</v>
      </c>
      <c r="K3858" t="str">
        <f>"85281"</f>
        <v>85281</v>
      </c>
      <c r="L3858" t="s">
        <v>2963</v>
      </c>
      <c r="M3858" t="s">
        <v>24653</v>
      </c>
      <c r="N3858" t="s">
        <v>5387</v>
      </c>
      <c r="O3858" t="s">
        <v>111</v>
      </c>
      <c r="P3858" t="str">
        <f>"85281-4359"</f>
        <v>85281-4359</v>
      </c>
      <c r="Q3858" t="s">
        <v>113</v>
      </c>
      <c r="R3858" t="str">
        <f>"132-61-059"</f>
        <v>132-61-059</v>
      </c>
      <c r="S3858" t="s">
        <v>24654</v>
      </c>
      <c r="T3858" t="s">
        <v>24654</v>
      </c>
      <c r="U3858">
        <v>1208</v>
      </c>
      <c r="V3858">
        <v>0</v>
      </c>
      <c r="W3858">
        <v>1</v>
      </c>
      <c r="X3858">
        <v>1955</v>
      </c>
      <c r="Z3858">
        <v>1</v>
      </c>
      <c r="AB3858">
        <v>0</v>
      </c>
      <c r="AC3858" t="s">
        <v>7038</v>
      </c>
      <c r="AD3858">
        <v>0</v>
      </c>
      <c r="AE3858" t="s">
        <v>7038</v>
      </c>
      <c r="AF3858">
        <v>0</v>
      </c>
      <c r="AG3858">
        <v>0</v>
      </c>
      <c r="AH3858" t="s">
        <v>5467</v>
      </c>
      <c r="AI3858" s="1">
        <v>38967</v>
      </c>
      <c r="AJ3858" s="2">
        <v>0.16</v>
      </c>
      <c r="AK3858" s="1">
        <v>248887</v>
      </c>
      <c r="AL3858" t="s">
        <v>117</v>
      </c>
      <c r="AM3858" t="s">
        <v>191</v>
      </c>
      <c r="AN3858">
        <v>7196</v>
      </c>
      <c r="AO3858">
        <v>0.16</v>
      </c>
      <c r="AP3858">
        <v>1</v>
      </c>
      <c r="AR3858">
        <v>1</v>
      </c>
      <c r="AS3858" s="1">
        <v>15380</v>
      </c>
      <c r="AT3858" s="1">
        <v>3070</v>
      </c>
      <c r="AU3858" s="1">
        <v>12310</v>
      </c>
      <c r="AV3858">
        <v>80.040000000000006</v>
      </c>
      <c r="AX3858" s="1">
        <v>1470.76</v>
      </c>
      <c r="AY3858" t="s">
        <v>24655</v>
      </c>
      <c r="AZ3858" t="s">
        <v>24655</v>
      </c>
      <c r="BA3858" t="s">
        <v>10858</v>
      </c>
      <c r="BE3858" s="3">
        <v>42513</v>
      </c>
      <c r="BF3858" s="1">
        <v>205000</v>
      </c>
      <c r="BG3858" t="s">
        <v>24656</v>
      </c>
      <c r="BH3858" s="1">
        <v>169.7</v>
      </c>
      <c r="BI3858" s="1">
        <v>209920</v>
      </c>
      <c r="BJ3858" s="3">
        <v>42513</v>
      </c>
      <c r="BK3858" t="s">
        <v>123</v>
      </c>
      <c r="BL3858" t="str">
        <f>"2016.352964"</f>
        <v>2016.352964</v>
      </c>
      <c r="BM3858" t="s">
        <v>1287</v>
      </c>
      <c r="BO3858" t="s">
        <v>24657</v>
      </c>
      <c r="BP3858" t="s">
        <v>24658</v>
      </c>
      <c r="BS3858">
        <v>30</v>
      </c>
      <c r="BW3858" t="str">
        <f>""</f>
        <v/>
      </c>
      <c r="CH3858" t="str">
        <f>""</f>
        <v/>
      </c>
      <c r="CS3858" t="str">
        <f>""</f>
        <v/>
      </c>
    </row>
    <row r="3859" spans="1:97" x14ac:dyDescent="0.25">
      <c r="A3859" t="s">
        <v>17288</v>
      </c>
      <c r="B3859" t="s">
        <v>24659</v>
      </c>
      <c r="C3859" t="s">
        <v>8505</v>
      </c>
      <c r="D3859" t="s">
        <v>24659</v>
      </c>
      <c r="E3859" t="s">
        <v>24660</v>
      </c>
      <c r="F3859" t="s">
        <v>108</v>
      </c>
      <c r="H3859" t="s">
        <v>24661</v>
      </c>
      <c r="I3859" t="s">
        <v>144</v>
      </c>
      <c r="J3859" t="s">
        <v>111</v>
      </c>
      <c r="K3859" t="str">
        <f>"85326"</f>
        <v>85326</v>
      </c>
      <c r="L3859" t="s">
        <v>500</v>
      </c>
      <c r="M3859" t="s">
        <v>24661</v>
      </c>
      <c r="N3859" t="s">
        <v>144</v>
      </c>
      <c r="O3859" t="s">
        <v>111</v>
      </c>
      <c r="P3859" t="str">
        <f>"85326-6509"</f>
        <v>85326-6509</v>
      </c>
      <c r="Q3859" t="s">
        <v>113</v>
      </c>
      <c r="R3859" t="str">
        <f>"504-61-216"</f>
        <v>504-61-216</v>
      </c>
      <c r="S3859" t="s">
        <v>9407</v>
      </c>
      <c r="T3859" t="s">
        <v>9408</v>
      </c>
      <c r="U3859">
        <v>2967</v>
      </c>
      <c r="V3859">
        <v>0</v>
      </c>
      <c r="W3859">
        <v>4</v>
      </c>
      <c r="X3859">
        <v>2014</v>
      </c>
      <c r="Z3859">
        <v>2</v>
      </c>
      <c r="AB3859">
        <v>0</v>
      </c>
      <c r="AC3859" t="s">
        <v>115</v>
      </c>
      <c r="AD3859">
        <v>3</v>
      </c>
      <c r="AE3859" t="s">
        <v>115</v>
      </c>
      <c r="AF3859">
        <v>0</v>
      </c>
      <c r="AG3859">
        <v>0</v>
      </c>
      <c r="AH3859" t="s">
        <v>116</v>
      </c>
      <c r="AI3859" s="1">
        <v>103983</v>
      </c>
      <c r="AJ3859" s="2">
        <v>0.32</v>
      </c>
      <c r="AK3859" s="1">
        <v>327873</v>
      </c>
      <c r="AL3859" t="s">
        <v>117</v>
      </c>
      <c r="AM3859" t="s">
        <v>118</v>
      </c>
      <c r="AN3859">
        <v>9755</v>
      </c>
      <c r="AO3859">
        <v>0.22</v>
      </c>
      <c r="AR3859">
        <v>1</v>
      </c>
      <c r="AS3859" s="1">
        <v>23520</v>
      </c>
      <c r="AT3859" s="1">
        <v>4700</v>
      </c>
      <c r="AU3859" s="1">
        <v>18820</v>
      </c>
      <c r="AV3859">
        <v>80.02</v>
      </c>
      <c r="AX3859" s="1">
        <v>2033.44</v>
      </c>
      <c r="AY3859" t="s">
        <v>8444</v>
      </c>
      <c r="AZ3859" t="s">
        <v>8444</v>
      </c>
      <c r="BA3859" t="s">
        <v>1247</v>
      </c>
      <c r="BE3859" s="3">
        <v>41880</v>
      </c>
      <c r="BF3859" s="1">
        <v>247777</v>
      </c>
      <c r="BG3859" t="s">
        <v>1404</v>
      </c>
      <c r="BH3859" s="1">
        <v>83.51</v>
      </c>
      <c r="BI3859" s="1">
        <v>223890</v>
      </c>
      <c r="BJ3859" s="3">
        <v>41880</v>
      </c>
      <c r="BK3859" t="s">
        <v>123</v>
      </c>
      <c r="BL3859" t="str">
        <f>"2014.578103"</f>
        <v>2014.578103</v>
      </c>
      <c r="BM3859" t="s">
        <v>3294</v>
      </c>
      <c r="BO3859" t="s">
        <v>24662</v>
      </c>
      <c r="BS3859">
        <v>30</v>
      </c>
      <c r="BW3859" t="str">
        <f>""</f>
        <v/>
      </c>
      <c r="CH3859" t="str">
        <f>""</f>
        <v/>
      </c>
      <c r="CS3859" t="str">
        <f>""</f>
        <v/>
      </c>
    </row>
    <row r="3860" spans="1:97" x14ac:dyDescent="0.25">
      <c r="A3860" t="s">
        <v>15105</v>
      </c>
      <c r="B3860" t="s">
        <v>11434</v>
      </c>
      <c r="C3860" t="s">
        <v>817</v>
      </c>
      <c r="D3860" t="s">
        <v>11434</v>
      </c>
      <c r="E3860" t="s">
        <v>24663</v>
      </c>
      <c r="F3860" t="s">
        <v>108</v>
      </c>
      <c r="H3860" t="s">
        <v>24664</v>
      </c>
      <c r="I3860" t="s">
        <v>3150</v>
      </c>
      <c r="J3860" t="s">
        <v>111</v>
      </c>
      <c r="K3860" t="str">
        <f>"85340"</f>
        <v>85340</v>
      </c>
      <c r="L3860" t="s">
        <v>734</v>
      </c>
      <c r="M3860" t="s">
        <v>24664</v>
      </c>
      <c r="N3860" t="s">
        <v>3150</v>
      </c>
      <c r="O3860" t="s">
        <v>111</v>
      </c>
      <c r="P3860" t="str">
        <f>"85340-6623"</f>
        <v>85340-6623</v>
      </c>
      <c r="Q3860" t="s">
        <v>113</v>
      </c>
      <c r="R3860" t="str">
        <f>"502-28-079"</f>
        <v>502-28-079</v>
      </c>
      <c r="S3860" t="s">
        <v>24665</v>
      </c>
      <c r="T3860" t="s">
        <v>24666</v>
      </c>
      <c r="U3860">
        <v>1907</v>
      </c>
      <c r="V3860">
        <v>0</v>
      </c>
      <c r="W3860">
        <v>3</v>
      </c>
      <c r="X3860">
        <v>2001</v>
      </c>
      <c r="Z3860">
        <v>1</v>
      </c>
      <c r="AA3860" t="s">
        <v>26</v>
      </c>
      <c r="AB3860">
        <v>0</v>
      </c>
      <c r="AC3860" t="s">
        <v>115</v>
      </c>
      <c r="AD3860">
        <v>3</v>
      </c>
      <c r="AE3860" t="s">
        <v>115</v>
      </c>
      <c r="AF3860">
        <v>0</v>
      </c>
      <c r="AG3860">
        <v>0</v>
      </c>
      <c r="AH3860" t="s">
        <v>116</v>
      </c>
      <c r="AI3860" s="1">
        <v>89676</v>
      </c>
      <c r="AJ3860" s="2">
        <v>0.24</v>
      </c>
      <c r="AK3860" s="1">
        <v>379676</v>
      </c>
      <c r="AL3860" t="s">
        <v>117</v>
      </c>
      <c r="AM3860" t="s">
        <v>376</v>
      </c>
      <c r="AN3860">
        <v>43560</v>
      </c>
      <c r="AO3860">
        <v>1</v>
      </c>
      <c r="AP3860">
        <v>1</v>
      </c>
      <c r="AR3860">
        <v>1</v>
      </c>
      <c r="AS3860" s="1">
        <v>27960</v>
      </c>
      <c r="AT3860" s="1">
        <v>5590</v>
      </c>
      <c r="AU3860" s="1">
        <v>22370</v>
      </c>
      <c r="AV3860">
        <v>80.010000000000005</v>
      </c>
      <c r="AX3860" s="1">
        <v>3199.82</v>
      </c>
      <c r="AY3860" t="s">
        <v>543</v>
      </c>
      <c r="AZ3860" t="s">
        <v>504</v>
      </c>
      <c r="BA3860" t="s">
        <v>218</v>
      </c>
      <c r="BB3860" s="3">
        <v>42158</v>
      </c>
      <c r="BD3860" t="s">
        <v>240</v>
      </c>
      <c r="BE3860" s="3">
        <v>42158</v>
      </c>
      <c r="BF3860" s="1">
        <v>290000</v>
      </c>
      <c r="BG3860" t="s">
        <v>24667</v>
      </c>
      <c r="BH3860" s="1">
        <v>152.07</v>
      </c>
      <c r="BI3860" s="1">
        <v>290000</v>
      </c>
      <c r="BJ3860" s="3">
        <v>42158</v>
      </c>
      <c r="BK3860" t="s">
        <v>123</v>
      </c>
      <c r="BL3860" t="str">
        <f>"2015.396398"</f>
        <v>2015.396398</v>
      </c>
      <c r="BM3860" t="s">
        <v>2716</v>
      </c>
      <c r="BO3860" t="s">
        <v>24668</v>
      </c>
      <c r="BS3860">
        <v>30</v>
      </c>
      <c r="BW3860" t="str">
        <f>""</f>
        <v/>
      </c>
      <c r="CH3860" t="str">
        <f>""</f>
        <v/>
      </c>
      <c r="CS3860" t="str">
        <f>""</f>
        <v/>
      </c>
    </row>
    <row r="3861" spans="1:97" x14ac:dyDescent="0.25">
      <c r="A3861" t="s">
        <v>3089</v>
      </c>
      <c r="B3861" t="s">
        <v>24669</v>
      </c>
      <c r="C3861" t="s">
        <v>24670</v>
      </c>
      <c r="D3861" t="s">
        <v>24669</v>
      </c>
      <c r="E3861" t="s">
        <v>24671</v>
      </c>
      <c r="F3861" t="s">
        <v>108</v>
      </c>
      <c r="H3861" t="s">
        <v>24672</v>
      </c>
      <c r="I3861" t="s">
        <v>144</v>
      </c>
      <c r="J3861" t="s">
        <v>111</v>
      </c>
      <c r="K3861" t="str">
        <f>"85396"</f>
        <v>85396</v>
      </c>
      <c r="L3861" t="s">
        <v>3758</v>
      </c>
      <c r="M3861" t="s">
        <v>24672</v>
      </c>
      <c r="N3861" t="s">
        <v>144</v>
      </c>
      <c r="O3861" t="s">
        <v>111</v>
      </c>
      <c r="P3861" t="str">
        <f>"85396-7000"</f>
        <v>85396-7000</v>
      </c>
      <c r="Q3861" t="s">
        <v>113</v>
      </c>
      <c r="R3861" t="str">
        <f>"504-15-360"</f>
        <v>504-15-360</v>
      </c>
      <c r="S3861" t="s">
        <v>24673</v>
      </c>
      <c r="T3861" t="s">
        <v>17615</v>
      </c>
      <c r="U3861">
        <v>1512</v>
      </c>
      <c r="V3861">
        <v>0</v>
      </c>
      <c r="W3861">
        <v>2</v>
      </c>
      <c r="X3861">
        <v>2003</v>
      </c>
      <c r="Z3861">
        <v>1</v>
      </c>
      <c r="AB3861">
        <v>0</v>
      </c>
      <c r="AC3861" t="s">
        <v>115</v>
      </c>
      <c r="AD3861">
        <v>2</v>
      </c>
      <c r="AE3861" t="s">
        <v>115</v>
      </c>
      <c r="AF3861">
        <v>0</v>
      </c>
      <c r="AG3861">
        <v>0</v>
      </c>
      <c r="AH3861" t="s">
        <v>116</v>
      </c>
      <c r="AI3861" s="1">
        <v>4172</v>
      </c>
      <c r="AJ3861" s="2">
        <v>0.02</v>
      </c>
      <c r="AK3861" s="1">
        <v>229172</v>
      </c>
      <c r="AL3861" t="s">
        <v>117</v>
      </c>
      <c r="AM3861" t="s">
        <v>376</v>
      </c>
      <c r="AN3861">
        <v>49585</v>
      </c>
      <c r="AO3861">
        <v>1.1399999999999999</v>
      </c>
      <c r="AP3861">
        <v>1</v>
      </c>
      <c r="AR3861">
        <v>1</v>
      </c>
      <c r="AS3861" s="1">
        <v>15520</v>
      </c>
      <c r="AT3861" s="1">
        <v>3100</v>
      </c>
      <c r="AU3861" s="1">
        <v>12420</v>
      </c>
      <c r="AV3861">
        <v>80.03</v>
      </c>
      <c r="AX3861" s="1">
        <v>1224.24</v>
      </c>
      <c r="AY3861" t="s">
        <v>24674</v>
      </c>
      <c r="AZ3861" t="s">
        <v>24674</v>
      </c>
      <c r="BA3861" t="s">
        <v>9622</v>
      </c>
      <c r="BE3861" s="3">
        <v>42159</v>
      </c>
      <c r="BF3861" s="1">
        <v>147500</v>
      </c>
      <c r="BG3861" t="s">
        <v>24675</v>
      </c>
      <c r="BH3861" s="1">
        <v>97.55</v>
      </c>
      <c r="BI3861" s="1">
        <v>225000</v>
      </c>
      <c r="BJ3861" s="3">
        <v>43311</v>
      </c>
      <c r="BK3861" t="s">
        <v>123</v>
      </c>
      <c r="BL3861" t="str">
        <f>"2018.575074"</f>
        <v>2018.575074</v>
      </c>
      <c r="BM3861" t="s">
        <v>5348</v>
      </c>
      <c r="BN3861" t="s">
        <v>24676</v>
      </c>
      <c r="BO3861" t="s">
        <v>24677</v>
      </c>
      <c r="BP3861" t="s">
        <v>24678</v>
      </c>
      <c r="BR3861" t="s">
        <v>139</v>
      </c>
      <c r="BW3861" t="str">
        <f>""</f>
        <v/>
      </c>
      <c r="CH3861" t="str">
        <f>""</f>
        <v/>
      </c>
      <c r="CS3861" t="str">
        <f>""</f>
        <v/>
      </c>
    </row>
    <row r="3862" spans="1:97" x14ac:dyDescent="0.25">
      <c r="A3862" t="s">
        <v>6771</v>
      </c>
      <c r="B3862" t="s">
        <v>24679</v>
      </c>
      <c r="C3862" t="s">
        <v>9992</v>
      </c>
      <c r="D3862" t="s">
        <v>24679</v>
      </c>
      <c r="E3862" t="s">
        <v>24680</v>
      </c>
      <c r="F3862" t="s">
        <v>108</v>
      </c>
      <c r="H3862" t="s">
        <v>24681</v>
      </c>
      <c r="I3862" t="s">
        <v>5114</v>
      </c>
      <c r="J3862" t="s">
        <v>111</v>
      </c>
      <c r="K3862" t="str">
        <f>"85323"</f>
        <v>85323</v>
      </c>
      <c r="L3862" t="s">
        <v>5456</v>
      </c>
      <c r="M3862" t="s">
        <v>24681</v>
      </c>
      <c r="N3862" t="s">
        <v>5114</v>
      </c>
      <c r="O3862" t="s">
        <v>111</v>
      </c>
      <c r="P3862" t="str">
        <f>"85323-6240"</f>
        <v>85323-6240</v>
      </c>
      <c r="Q3862" t="s">
        <v>113</v>
      </c>
      <c r="R3862" t="str">
        <f>"500-30-133"</f>
        <v>500-30-133</v>
      </c>
      <c r="S3862" t="s">
        <v>24682</v>
      </c>
      <c r="T3862" t="s">
        <v>24682</v>
      </c>
      <c r="U3862">
        <v>1514</v>
      </c>
      <c r="V3862">
        <v>0</v>
      </c>
      <c r="W3862">
        <v>3</v>
      </c>
      <c r="X3862">
        <v>2004</v>
      </c>
      <c r="Z3862">
        <v>1</v>
      </c>
      <c r="AB3862">
        <v>0</v>
      </c>
      <c r="AC3862" t="s">
        <v>115</v>
      </c>
      <c r="AD3862">
        <v>2</v>
      </c>
      <c r="AE3862" t="s">
        <v>115</v>
      </c>
      <c r="AF3862">
        <v>0</v>
      </c>
      <c r="AG3862">
        <v>0</v>
      </c>
      <c r="AH3862" t="s">
        <v>116</v>
      </c>
      <c r="AI3862" s="1">
        <v>21076</v>
      </c>
      <c r="AJ3862" s="2">
        <v>0.09</v>
      </c>
      <c r="AK3862" s="1">
        <v>224387</v>
      </c>
      <c r="AL3862" t="s">
        <v>117</v>
      </c>
      <c r="AM3862" t="s">
        <v>118</v>
      </c>
      <c r="AN3862">
        <v>5280</v>
      </c>
      <c r="AO3862">
        <v>0.12</v>
      </c>
      <c r="AP3862">
        <v>1</v>
      </c>
      <c r="AR3862">
        <v>1</v>
      </c>
      <c r="AS3862" s="1">
        <v>14330</v>
      </c>
      <c r="AT3862" s="1">
        <v>2860</v>
      </c>
      <c r="AU3862" s="1">
        <v>11470</v>
      </c>
      <c r="AV3862">
        <v>80.040000000000006</v>
      </c>
      <c r="AX3862" s="1">
        <v>1285.5999999999999</v>
      </c>
      <c r="AY3862" t="s">
        <v>5458</v>
      </c>
      <c r="AZ3862" t="s">
        <v>5458</v>
      </c>
      <c r="BA3862" t="s">
        <v>4254</v>
      </c>
      <c r="BE3862" s="3">
        <v>42352</v>
      </c>
      <c r="BF3862" s="1">
        <v>170000</v>
      </c>
      <c r="BG3862" t="s">
        <v>17494</v>
      </c>
      <c r="BH3862" s="1">
        <v>112.29</v>
      </c>
      <c r="BI3862" s="1">
        <v>203311</v>
      </c>
      <c r="BJ3862" s="3">
        <v>43556</v>
      </c>
      <c r="BK3862" t="s">
        <v>123</v>
      </c>
      <c r="BL3862" t="str">
        <f>"2019.226748"</f>
        <v>2019.226748</v>
      </c>
      <c r="BM3862" t="s">
        <v>673</v>
      </c>
      <c r="BN3862" t="s">
        <v>674</v>
      </c>
      <c r="BO3862" t="s">
        <v>24683</v>
      </c>
      <c r="BP3862" t="s">
        <v>24684</v>
      </c>
      <c r="BR3862" t="s">
        <v>139</v>
      </c>
      <c r="BW3862" t="str">
        <f>""</f>
        <v/>
      </c>
      <c r="CH3862" t="str">
        <f>""</f>
        <v/>
      </c>
      <c r="CS3862" t="str">
        <f>""</f>
        <v/>
      </c>
    </row>
    <row r="3863" spans="1:97" x14ac:dyDescent="0.25">
      <c r="A3863" t="s">
        <v>3768</v>
      </c>
      <c r="B3863" t="s">
        <v>212</v>
      </c>
      <c r="C3863" t="s">
        <v>5560</v>
      </c>
      <c r="D3863" t="s">
        <v>212</v>
      </c>
      <c r="E3863" t="s">
        <v>24685</v>
      </c>
      <c r="F3863" t="s">
        <v>108</v>
      </c>
      <c r="H3863" t="s">
        <v>24686</v>
      </c>
      <c r="I3863" t="s">
        <v>1788</v>
      </c>
      <c r="J3863" t="s">
        <v>111</v>
      </c>
      <c r="K3863" t="str">
        <f>"85355"</f>
        <v>85355</v>
      </c>
      <c r="L3863" t="s">
        <v>1789</v>
      </c>
      <c r="M3863" t="s">
        <v>24686</v>
      </c>
      <c r="N3863" t="s">
        <v>1788</v>
      </c>
      <c r="O3863" t="s">
        <v>111</v>
      </c>
      <c r="P3863" t="str">
        <f>"85355-9832"</f>
        <v>85355-9832</v>
      </c>
      <c r="Q3863" t="s">
        <v>113</v>
      </c>
      <c r="R3863" t="str">
        <f>"502-16-062"</f>
        <v>502-16-062</v>
      </c>
      <c r="S3863" t="s">
        <v>16593</v>
      </c>
      <c r="U3863">
        <v>2925</v>
      </c>
      <c r="V3863">
        <v>0</v>
      </c>
      <c r="W3863">
        <v>4</v>
      </c>
      <c r="X3863">
        <v>1995</v>
      </c>
      <c r="Z3863">
        <v>2</v>
      </c>
      <c r="AA3863" t="s">
        <v>26</v>
      </c>
      <c r="AB3863">
        <v>0</v>
      </c>
      <c r="AC3863" t="s">
        <v>115</v>
      </c>
      <c r="AD3863">
        <v>3</v>
      </c>
      <c r="AE3863" t="s">
        <v>115</v>
      </c>
      <c r="AF3863">
        <v>0</v>
      </c>
      <c r="AG3863">
        <v>0</v>
      </c>
      <c r="AH3863" t="s">
        <v>116</v>
      </c>
      <c r="AI3863" s="1">
        <v>123458</v>
      </c>
      <c r="AJ3863" s="2">
        <v>0.22</v>
      </c>
      <c r="AK3863" s="1">
        <v>567648</v>
      </c>
      <c r="AL3863" t="s">
        <v>117</v>
      </c>
      <c r="AM3863" t="s">
        <v>376</v>
      </c>
      <c r="AN3863">
        <v>122844</v>
      </c>
      <c r="AO3863">
        <v>2.82</v>
      </c>
      <c r="AP3863">
        <v>1</v>
      </c>
      <c r="AR3863">
        <v>1</v>
      </c>
      <c r="AS3863" s="1">
        <v>42210</v>
      </c>
      <c r="AT3863" s="1">
        <v>8440</v>
      </c>
      <c r="AU3863" s="1">
        <v>33770</v>
      </c>
      <c r="AV3863">
        <v>80</v>
      </c>
      <c r="AX3863" s="1">
        <v>3281.7</v>
      </c>
      <c r="AY3863" t="s">
        <v>503</v>
      </c>
      <c r="AZ3863" t="s">
        <v>504</v>
      </c>
      <c r="BA3863" t="s">
        <v>218</v>
      </c>
      <c r="BE3863" s="3">
        <v>42152</v>
      </c>
      <c r="BF3863" s="1">
        <v>420000</v>
      </c>
      <c r="BG3863" t="s">
        <v>24687</v>
      </c>
      <c r="BH3863" s="1">
        <v>143.59</v>
      </c>
      <c r="BI3863" s="1">
        <v>444190</v>
      </c>
      <c r="BJ3863" s="3">
        <v>43161</v>
      </c>
      <c r="BK3863" t="s">
        <v>123</v>
      </c>
      <c r="BL3863" t="str">
        <f>"2018.161301"</f>
        <v>2018.161301</v>
      </c>
      <c r="BM3863" t="s">
        <v>5011</v>
      </c>
      <c r="BN3863" t="s">
        <v>24688</v>
      </c>
      <c r="BO3863" t="s">
        <v>24689</v>
      </c>
      <c r="BP3863" t="s">
        <v>24690</v>
      </c>
      <c r="BR3863" t="s">
        <v>139</v>
      </c>
      <c r="BW3863" t="str">
        <f>""</f>
        <v/>
      </c>
      <c r="CH3863" t="str">
        <f>""</f>
        <v/>
      </c>
      <c r="CS3863" t="str">
        <f>""</f>
        <v/>
      </c>
    </row>
    <row r="3864" spans="1:97" x14ac:dyDescent="0.25">
      <c r="A3864" t="s">
        <v>1664</v>
      </c>
      <c r="B3864" t="s">
        <v>24691</v>
      </c>
      <c r="C3864" t="s">
        <v>10627</v>
      </c>
      <c r="D3864" t="s">
        <v>24691</v>
      </c>
      <c r="E3864" t="s">
        <v>24692</v>
      </c>
      <c r="F3864" t="s">
        <v>108</v>
      </c>
      <c r="H3864" t="s">
        <v>24693</v>
      </c>
      <c r="I3864" t="s">
        <v>144</v>
      </c>
      <c r="J3864" t="s">
        <v>111</v>
      </c>
      <c r="K3864" t="str">
        <f>"85326"</f>
        <v>85326</v>
      </c>
      <c r="L3864" t="s">
        <v>6316</v>
      </c>
      <c r="M3864" t="s">
        <v>24693</v>
      </c>
      <c r="N3864" t="s">
        <v>144</v>
      </c>
      <c r="O3864" t="s">
        <v>111</v>
      </c>
      <c r="P3864" t="str">
        <f>"85326-8787"</f>
        <v>85326-8787</v>
      </c>
      <c r="Q3864" t="s">
        <v>113</v>
      </c>
      <c r="R3864" t="str">
        <f>"504-58-393"</f>
        <v>504-58-393</v>
      </c>
      <c r="S3864" t="s">
        <v>24694</v>
      </c>
      <c r="U3864">
        <v>2267</v>
      </c>
      <c r="V3864">
        <v>0</v>
      </c>
      <c r="W3864">
        <v>3</v>
      </c>
      <c r="X3864">
        <v>2005</v>
      </c>
      <c r="Z3864">
        <v>2</v>
      </c>
      <c r="AB3864">
        <v>0</v>
      </c>
      <c r="AC3864" t="s">
        <v>115</v>
      </c>
      <c r="AD3864">
        <v>2</v>
      </c>
      <c r="AE3864" t="s">
        <v>115</v>
      </c>
      <c r="AF3864">
        <v>0</v>
      </c>
      <c r="AG3864">
        <v>0</v>
      </c>
      <c r="AH3864" t="s">
        <v>116</v>
      </c>
      <c r="AI3864" s="1">
        <v>23421</v>
      </c>
      <c r="AJ3864" s="2">
        <v>0.1</v>
      </c>
      <c r="AK3864" s="1">
        <v>242336</v>
      </c>
      <c r="AL3864" t="s">
        <v>117</v>
      </c>
      <c r="AM3864" t="s">
        <v>118</v>
      </c>
      <c r="AN3864">
        <v>9604</v>
      </c>
      <c r="AO3864">
        <v>0.22</v>
      </c>
      <c r="AR3864">
        <v>1</v>
      </c>
      <c r="AS3864" s="1">
        <v>16510</v>
      </c>
      <c r="AT3864" s="1">
        <v>3300</v>
      </c>
      <c r="AU3864" s="1">
        <v>13210</v>
      </c>
      <c r="AV3864">
        <v>80.010000000000005</v>
      </c>
      <c r="AX3864" s="1">
        <v>1659.12</v>
      </c>
      <c r="AY3864" t="s">
        <v>7333</v>
      </c>
      <c r="AZ3864" t="s">
        <v>7333</v>
      </c>
      <c r="BA3864" t="s">
        <v>5025</v>
      </c>
      <c r="BB3864" s="3">
        <v>42746</v>
      </c>
      <c r="BD3864" t="s">
        <v>458</v>
      </c>
      <c r="BE3864" s="3">
        <v>41967</v>
      </c>
      <c r="BF3864" s="1">
        <v>149200</v>
      </c>
      <c r="BG3864" t="s">
        <v>24695</v>
      </c>
      <c r="BH3864" s="1">
        <v>65.81</v>
      </c>
      <c r="BI3864" s="1">
        <v>218915</v>
      </c>
      <c r="BJ3864" s="3">
        <v>43403</v>
      </c>
      <c r="BK3864" t="s">
        <v>123</v>
      </c>
      <c r="BL3864" t="str">
        <f>"2018.809598"</f>
        <v>2018.809598</v>
      </c>
      <c r="BM3864" t="s">
        <v>492</v>
      </c>
      <c r="BN3864" t="s">
        <v>4706</v>
      </c>
      <c r="BO3864" t="s">
        <v>24696</v>
      </c>
      <c r="BP3864" t="s">
        <v>24697</v>
      </c>
      <c r="BR3864" t="s">
        <v>139</v>
      </c>
      <c r="BW3864" t="str">
        <f>""</f>
        <v/>
      </c>
      <c r="CH3864" t="str">
        <f>""</f>
        <v/>
      </c>
      <c r="CS3864" t="str">
        <f>""</f>
        <v/>
      </c>
    </row>
    <row r="3865" spans="1:97" x14ac:dyDescent="0.25">
      <c r="A3865" t="s">
        <v>18794</v>
      </c>
      <c r="B3865" t="s">
        <v>18137</v>
      </c>
      <c r="E3865" t="s">
        <v>24698</v>
      </c>
      <c r="F3865" t="s">
        <v>108</v>
      </c>
      <c r="H3865" t="s">
        <v>24699</v>
      </c>
      <c r="I3865" t="s">
        <v>374</v>
      </c>
      <c r="J3865" t="s">
        <v>111</v>
      </c>
      <c r="K3865" t="str">
        <f>"85087"</f>
        <v>85087</v>
      </c>
      <c r="L3865" t="s">
        <v>11846</v>
      </c>
      <c r="M3865" t="s">
        <v>24699</v>
      </c>
      <c r="N3865" t="s">
        <v>374</v>
      </c>
      <c r="O3865" t="s">
        <v>111</v>
      </c>
      <c r="P3865" t="str">
        <f>"85087-7523"</f>
        <v>85087-7523</v>
      </c>
      <c r="Q3865" t="s">
        <v>113</v>
      </c>
      <c r="R3865" t="str">
        <f>"202-20-006-H"</f>
        <v>202-20-006-H</v>
      </c>
      <c r="U3865">
        <v>2500</v>
      </c>
      <c r="V3865">
        <v>0</v>
      </c>
      <c r="W3865">
        <v>3</v>
      </c>
      <c r="X3865">
        <v>1992</v>
      </c>
      <c r="Z3865">
        <v>1</v>
      </c>
      <c r="AB3865">
        <v>0</v>
      </c>
      <c r="AC3865" t="s">
        <v>115</v>
      </c>
      <c r="AD3865">
        <v>6</v>
      </c>
      <c r="AE3865" t="s">
        <v>115</v>
      </c>
      <c r="AF3865">
        <v>0</v>
      </c>
      <c r="AG3865">
        <v>0</v>
      </c>
      <c r="AH3865" t="s">
        <v>116</v>
      </c>
      <c r="AI3865" s="1">
        <v>208879</v>
      </c>
      <c r="AJ3865" s="2">
        <v>0.45</v>
      </c>
      <c r="AK3865" s="1">
        <v>459119</v>
      </c>
      <c r="AL3865" t="s">
        <v>117</v>
      </c>
      <c r="AM3865" t="s">
        <v>376</v>
      </c>
      <c r="AN3865">
        <v>49484</v>
      </c>
      <c r="AO3865">
        <v>1.1399999999999999</v>
      </c>
      <c r="AP3865">
        <v>1</v>
      </c>
      <c r="AR3865">
        <v>1</v>
      </c>
      <c r="AS3865" s="1">
        <v>32550</v>
      </c>
      <c r="AT3865" s="1">
        <v>6510</v>
      </c>
      <c r="AU3865" s="1">
        <v>26040</v>
      </c>
      <c r="AV3865">
        <v>80</v>
      </c>
      <c r="AX3865" s="1">
        <v>2365.84</v>
      </c>
      <c r="AY3865" t="s">
        <v>665</v>
      </c>
      <c r="AZ3865" t="s">
        <v>665</v>
      </c>
      <c r="BA3865" t="s">
        <v>378</v>
      </c>
      <c r="BE3865" s="3">
        <v>41908</v>
      </c>
      <c r="BF3865" s="1">
        <v>250000</v>
      </c>
      <c r="BG3865" t="s">
        <v>24700</v>
      </c>
      <c r="BH3865" s="1">
        <v>100</v>
      </c>
      <c r="BI3865" s="1">
        <v>250240</v>
      </c>
      <c r="BJ3865" s="3">
        <v>42422</v>
      </c>
      <c r="BK3865" t="s">
        <v>123</v>
      </c>
      <c r="BL3865" t="str">
        <f>"2016.107708"</f>
        <v>2016.107708</v>
      </c>
      <c r="BM3865" t="s">
        <v>322</v>
      </c>
      <c r="BO3865" t="s">
        <v>24701</v>
      </c>
      <c r="BS3865">
        <v>30</v>
      </c>
      <c r="BW3865" t="str">
        <f>""</f>
        <v/>
      </c>
      <c r="CH3865" t="str">
        <f>""</f>
        <v/>
      </c>
      <c r="CS3865" t="str">
        <f>""</f>
        <v/>
      </c>
    </row>
    <row r="3866" spans="1:97" x14ac:dyDescent="0.25">
      <c r="A3866" t="s">
        <v>24702</v>
      </c>
      <c r="B3866" t="s">
        <v>4531</v>
      </c>
      <c r="C3866" t="s">
        <v>2395</v>
      </c>
      <c r="D3866" t="s">
        <v>4531</v>
      </c>
      <c r="E3866" t="s">
        <v>24703</v>
      </c>
      <c r="F3866" t="s">
        <v>108</v>
      </c>
      <c r="H3866" t="s">
        <v>24704</v>
      </c>
      <c r="I3866" t="s">
        <v>6844</v>
      </c>
      <c r="J3866" t="s">
        <v>111</v>
      </c>
      <c r="K3866" t="str">
        <f>"85361"</f>
        <v>85361</v>
      </c>
      <c r="L3866" t="s">
        <v>3758</v>
      </c>
      <c r="M3866" t="s">
        <v>24704</v>
      </c>
      <c r="N3866" t="s">
        <v>6844</v>
      </c>
      <c r="O3866" t="s">
        <v>111</v>
      </c>
      <c r="P3866" t="str">
        <f>"85361-5363"</f>
        <v>85361-5363</v>
      </c>
      <c r="Q3866" t="s">
        <v>113</v>
      </c>
      <c r="R3866" t="str">
        <f>"503-47-008-K"</f>
        <v>503-47-008-K</v>
      </c>
      <c r="U3866">
        <v>1842</v>
      </c>
      <c r="V3866">
        <v>0</v>
      </c>
      <c r="W3866">
        <v>3</v>
      </c>
      <c r="X3866">
        <v>2005</v>
      </c>
      <c r="Z3866">
        <v>1</v>
      </c>
      <c r="AB3866">
        <v>0</v>
      </c>
      <c r="AC3866" t="s">
        <v>115</v>
      </c>
      <c r="AD3866">
        <v>2</v>
      </c>
      <c r="AE3866" t="s">
        <v>115</v>
      </c>
      <c r="AF3866">
        <v>0</v>
      </c>
      <c r="AG3866">
        <v>0</v>
      </c>
      <c r="AH3866" t="s">
        <v>116</v>
      </c>
      <c r="AI3866" s="1">
        <v>54104</v>
      </c>
      <c r="AJ3866" s="2">
        <v>0.18</v>
      </c>
      <c r="AK3866" s="1">
        <v>296244</v>
      </c>
      <c r="AL3866" t="s">
        <v>117</v>
      </c>
      <c r="AM3866" t="s">
        <v>376</v>
      </c>
      <c r="AN3866">
        <v>43605</v>
      </c>
      <c r="AO3866">
        <v>1</v>
      </c>
      <c r="AR3866">
        <v>1</v>
      </c>
      <c r="AS3866" s="1">
        <v>19880</v>
      </c>
      <c r="AT3866" s="1">
        <v>3970</v>
      </c>
      <c r="AU3866" s="1">
        <v>15910</v>
      </c>
      <c r="AV3866">
        <v>80.03</v>
      </c>
      <c r="AX3866" s="1">
        <v>1248.8800000000001</v>
      </c>
      <c r="AY3866" t="s">
        <v>6847</v>
      </c>
      <c r="AZ3866" t="s">
        <v>6847</v>
      </c>
      <c r="BE3866" s="3">
        <v>42534</v>
      </c>
      <c r="BF3866" s="1">
        <v>236500</v>
      </c>
      <c r="BG3866" t="s">
        <v>24705</v>
      </c>
      <c r="BH3866" s="1">
        <v>128.38999999999999</v>
      </c>
      <c r="BI3866" s="1">
        <v>242140</v>
      </c>
      <c r="BJ3866" s="3">
        <v>42534</v>
      </c>
      <c r="BK3866" t="s">
        <v>123</v>
      </c>
      <c r="BL3866" t="str">
        <f>"2016.409784"</f>
        <v>2016.409784</v>
      </c>
      <c r="BM3866" t="s">
        <v>724</v>
      </c>
      <c r="BO3866" t="s">
        <v>24706</v>
      </c>
      <c r="BS3866">
        <v>30</v>
      </c>
      <c r="BW3866" t="str">
        <f>""</f>
        <v/>
      </c>
      <c r="CH3866" t="str">
        <f>""</f>
        <v/>
      </c>
      <c r="CS3866" t="str">
        <f>""</f>
        <v/>
      </c>
    </row>
    <row r="3867" spans="1:97" x14ac:dyDescent="0.25">
      <c r="A3867" t="s">
        <v>2915</v>
      </c>
      <c r="B3867" t="s">
        <v>483</v>
      </c>
      <c r="C3867" t="s">
        <v>7901</v>
      </c>
      <c r="D3867" t="s">
        <v>483</v>
      </c>
      <c r="E3867" t="s">
        <v>24707</v>
      </c>
      <c r="F3867" t="s">
        <v>108</v>
      </c>
      <c r="H3867" t="s">
        <v>24708</v>
      </c>
      <c r="I3867" t="s">
        <v>225</v>
      </c>
      <c r="J3867" t="s">
        <v>111</v>
      </c>
      <c r="K3867" t="str">
        <f>"85213"</f>
        <v>85213</v>
      </c>
      <c r="L3867" t="s">
        <v>1300</v>
      </c>
      <c r="M3867" t="s">
        <v>24708</v>
      </c>
      <c r="N3867" t="s">
        <v>225</v>
      </c>
      <c r="O3867" t="s">
        <v>111</v>
      </c>
      <c r="P3867" t="str">
        <f>"85213-4013"</f>
        <v>85213-4013</v>
      </c>
      <c r="Q3867" t="s">
        <v>113</v>
      </c>
      <c r="R3867" t="str">
        <f>"141-11-043"</f>
        <v>141-11-043</v>
      </c>
      <c r="S3867" t="s">
        <v>24709</v>
      </c>
      <c r="T3867" t="s">
        <v>24709</v>
      </c>
      <c r="U3867">
        <v>2581</v>
      </c>
      <c r="V3867">
        <v>0</v>
      </c>
      <c r="W3867">
        <v>3</v>
      </c>
      <c r="X3867">
        <v>1971</v>
      </c>
      <c r="Z3867">
        <v>1</v>
      </c>
      <c r="AA3867" t="s">
        <v>26</v>
      </c>
      <c r="AB3867">
        <v>0</v>
      </c>
      <c r="AC3867" t="s">
        <v>115</v>
      </c>
      <c r="AD3867">
        <v>2</v>
      </c>
      <c r="AE3867" t="s">
        <v>115</v>
      </c>
      <c r="AF3867">
        <v>0</v>
      </c>
      <c r="AG3867">
        <v>0</v>
      </c>
      <c r="AH3867" t="s">
        <v>116</v>
      </c>
      <c r="AI3867" s="1">
        <v>32993</v>
      </c>
      <c r="AJ3867" s="2">
        <v>0.08</v>
      </c>
      <c r="AK3867" s="1">
        <v>431731</v>
      </c>
      <c r="AL3867" t="s">
        <v>117</v>
      </c>
      <c r="AM3867" t="s">
        <v>917</v>
      </c>
      <c r="AN3867">
        <v>28400</v>
      </c>
      <c r="AO3867">
        <v>0.65</v>
      </c>
      <c r="AP3867">
        <v>1</v>
      </c>
      <c r="AR3867">
        <v>1</v>
      </c>
      <c r="AS3867" s="1">
        <v>31270</v>
      </c>
      <c r="AT3867" s="1">
        <v>6250</v>
      </c>
      <c r="AU3867" s="1">
        <v>25020</v>
      </c>
      <c r="AV3867">
        <v>80.010000000000005</v>
      </c>
      <c r="AX3867" s="1">
        <v>2579.3200000000002</v>
      </c>
      <c r="AY3867" t="s">
        <v>7102</v>
      </c>
      <c r="AZ3867" t="s">
        <v>1523</v>
      </c>
      <c r="BA3867" t="s">
        <v>1524</v>
      </c>
      <c r="BE3867" s="3">
        <v>42465</v>
      </c>
      <c r="BF3867" s="1">
        <v>338000</v>
      </c>
      <c r="BG3867" t="s">
        <v>24710</v>
      </c>
      <c r="BH3867" s="1">
        <v>130.96</v>
      </c>
      <c r="BI3867" s="1">
        <v>398738</v>
      </c>
      <c r="BJ3867" s="3">
        <v>43321</v>
      </c>
      <c r="BK3867" t="s">
        <v>123</v>
      </c>
      <c r="BL3867" t="str">
        <f>"2018.605463"</f>
        <v>2018.605463</v>
      </c>
      <c r="BM3867" t="s">
        <v>903</v>
      </c>
      <c r="BN3867" t="s">
        <v>904</v>
      </c>
      <c r="BO3867" t="s">
        <v>24711</v>
      </c>
      <c r="BP3867" t="s">
        <v>24712</v>
      </c>
      <c r="BR3867" t="s">
        <v>139</v>
      </c>
      <c r="BW3867" t="str">
        <f>""</f>
        <v/>
      </c>
      <c r="CH3867" t="str">
        <f>""</f>
        <v/>
      </c>
      <c r="CS3867" t="str">
        <f>""</f>
        <v/>
      </c>
    </row>
    <row r="3868" spans="1:97" x14ac:dyDescent="0.25">
      <c r="A3868" t="s">
        <v>2019</v>
      </c>
      <c r="B3868" t="s">
        <v>24713</v>
      </c>
      <c r="E3868" t="s">
        <v>24714</v>
      </c>
      <c r="F3868" t="s">
        <v>108</v>
      </c>
      <c r="H3868" t="s">
        <v>24715</v>
      </c>
      <c r="I3868" t="s">
        <v>453</v>
      </c>
      <c r="J3868" t="s">
        <v>111</v>
      </c>
      <c r="K3868" t="str">
        <f>"85383"</f>
        <v>85383</v>
      </c>
      <c r="L3868" t="s">
        <v>4467</v>
      </c>
      <c r="M3868" t="s">
        <v>24715</v>
      </c>
      <c r="N3868" t="s">
        <v>453</v>
      </c>
      <c r="O3868" t="s">
        <v>111</v>
      </c>
      <c r="P3868" t="str">
        <f>"85383-2456"</f>
        <v>85383-2456</v>
      </c>
      <c r="Q3868" t="s">
        <v>113</v>
      </c>
      <c r="R3868" t="str">
        <f>"503-89-113"</f>
        <v>503-89-113</v>
      </c>
      <c r="S3868" t="s">
        <v>24716</v>
      </c>
      <c r="T3868" t="s">
        <v>24717</v>
      </c>
      <c r="U3868">
        <v>2178</v>
      </c>
      <c r="V3868">
        <v>0</v>
      </c>
      <c r="W3868">
        <v>4</v>
      </c>
      <c r="X3868">
        <v>2010</v>
      </c>
      <c r="Z3868">
        <v>2</v>
      </c>
      <c r="AB3868">
        <v>0</v>
      </c>
      <c r="AC3868" t="s">
        <v>115</v>
      </c>
      <c r="AD3868">
        <v>2</v>
      </c>
      <c r="AE3868" t="s">
        <v>115</v>
      </c>
      <c r="AF3868">
        <v>0</v>
      </c>
      <c r="AG3868">
        <v>0</v>
      </c>
      <c r="AH3868" t="s">
        <v>116</v>
      </c>
      <c r="AI3868" s="1">
        <v>-12957</v>
      </c>
      <c r="AJ3868" s="2">
        <v>-0.04</v>
      </c>
      <c r="AK3868" s="1">
        <v>340867</v>
      </c>
      <c r="AL3868" t="s">
        <v>117</v>
      </c>
      <c r="AM3868" t="s">
        <v>118</v>
      </c>
      <c r="AN3868">
        <v>5520</v>
      </c>
      <c r="AO3868">
        <v>0.13</v>
      </c>
      <c r="AR3868">
        <v>1</v>
      </c>
      <c r="AS3868" s="1">
        <v>22280</v>
      </c>
      <c r="AT3868" s="1">
        <v>4450</v>
      </c>
      <c r="AU3868" s="1">
        <v>17830</v>
      </c>
      <c r="AV3868">
        <v>80.03</v>
      </c>
      <c r="AX3868" s="1">
        <v>2223.42</v>
      </c>
      <c r="AY3868" t="s">
        <v>627</v>
      </c>
      <c r="AZ3868" t="s">
        <v>627</v>
      </c>
      <c r="BA3868" t="s">
        <v>457</v>
      </c>
      <c r="BB3868" s="3">
        <v>43341</v>
      </c>
      <c r="BC3868" s="1">
        <v>324999</v>
      </c>
      <c r="BD3868" t="s">
        <v>291</v>
      </c>
      <c r="BE3868" s="3">
        <v>42185</v>
      </c>
      <c r="BF3868" s="1">
        <v>254000</v>
      </c>
      <c r="BG3868" t="s">
        <v>24718</v>
      </c>
      <c r="BH3868" s="1">
        <v>116.62</v>
      </c>
      <c r="BI3868" s="1">
        <v>321999</v>
      </c>
      <c r="BJ3868" s="3">
        <v>43341</v>
      </c>
      <c r="BK3868" t="s">
        <v>123</v>
      </c>
      <c r="BL3868" t="str">
        <f>"2018.652425"</f>
        <v>2018.652425</v>
      </c>
      <c r="BM3868" t="s">
        <v>6896</v>
      </c>
      <c r="BN3868" t="s">
        <v>6128</v>
      </c>
      <c r="BO3868" t="s">
        <v>24719</v>
      </c>
      <c r="BR3868" t="s">
        <v>139</v>
      </c>
      <c r="BT3868" s="1">
        <v>31825</v>
      </c>
      <c r="BU3868" s="3">
        <v>43388</v>
      </c>
      <c r="BV3868" t="s">
        <v>134</v>
      </c>
      <c r="BW3868" t="str">
        <f>"2018.771312"</f>
        <v>2018.771312</v>
      </c>
      <c r="BX3868" t="s">
        <v>5002</v>
      </c>
      <c r="BY3868" t="s">
        <v>5003</v>
      </c>
      <c r="BZ3868" t="s">
        <v>24719</v>
      </c>
      <c r="CC3868" t="s">
        <v>139</v>
      </c>
      <c r="CH3868" t="str">
        <f>""</f>
        <v/>
      </c>
      <c r="CS3868" t="str">
        <f>""</f>
        <v/>
      </c>
    </row>
    <row r="3869" spans="1:97" x14ac:dyDescent="0.25">
      <c r="A3869" t="s">
        <v>548</v>
      </c>
      <c r="B3869" t="s">
        <v>24720</v>
      </c>
      <c r="C3869" t="s">
        <v>1930</v>
      </c>
      <c r="D3869" t="s">
        <v>24720</v>
      </c>
      <c r="E3869" t="s">
        <v>24721</v>
      </c>
      <c r="F3869" t="s">
        <v>108</v>
      </c>
      <c r="H3869" t="s">
        <v>24722</v>
      </c>
      <c r="I3869" t="s">
        <v>225</v>
      </c>
      <c r="J3869" t="s">
        <v>111</v>
      </c>
      <c r="K3869" t="str">
        <f>"85207"</f>
        <v>85207</v>
      </c>
      <c r="L3869" t="s">
        <v>3116</v>
      </c>
      <c r="M3869" t="s">
        <v>24722</v>
      </c>
      <c r="N3869" t="s">
        <v>225</v>
      </c>
      <c r="O3869" t="s">
        <v>111</v>
      </c>
      <c r="P3869" t="str">
        <f>"85207-3171"</f>
        <v>85207-3171</v>
      </c>
      <c r="R3869" t="str">
        <f>"219-31-392"</f>
        <v>219-31-392</v>
      </c>
      <c r="S3869" t="s">
        <v>24723</v>
      </c>
      <c r="T3869" t="s">
        <v>24724</v>
      </c>
      <c r="U3869">
        <v>2568</v>
      </c>
      <c r="V3869">
        <v>0</v>
      </c>
      <c r="W3869">
        <v>5</v>
      </c>
      <c r="X3869">
        <v>2012</v>
      </c>
      <c r="Z3869">
        <v>1</v>
      </c>
      <c r="AA3869" t="s">
        <v>26</v>
      </c>
      <c r="AB3869">
        <v>0</v>
      </c>
      <c r="AC3869" t="s">
        <v>115</v>
      </c>
      <c r="AD3869">
        <v>3</v>
      </c>
      <c r="AE3869" t="s">
        <v>115</v>
      </c>
      <c r="AF3869">
        <v>0</v>
      </c>
      <c r="AG3869">
        <v>0</v>
      </c>
      <c r="AH3869" t="s">
        <v>116</v>
      </c>
      <c r="AI3869" s="1">
        <v>86295</v>
      </c>
      <c r="AJ3869" s="2">
        <v>0.14000000000000001</v>
      </c>
      <c r="AK3869" s="1">
        <v>596080</v>
      </c>
      <c r="AL3869" t="s">
        <v>117</v>
      </c>
      <c r="AM3869" t="s">
        <v>1521</v>
      </c>
      <c r="AN3869">
        <v>9050</v>
      </c>
      <c r="AO3869">
        <v>0.21</v>
      </c>
      <c r="AR3869">
        <v>1</v>
      </c>
      <c r="AS3869" s="1">
        <v>46820</v>
      </c>
      <c r="AT3869" s="1">
        <v>9360</v>
      </c>
      <c r="AU3869" s="1">
        <v>37460</v>
      </c>
      <c r="AV3869">
        <v>80.010000000000005</v>
      </c>
      <c r="AX3869" s="1">
        <v>2160.5</v>
      </c>
      <c r="AY3869" t="s">
        <v>3118</v>
      </c>
      <c r="AZ3869" t="s">
        <v>231</v>
      </c>
      <c r="BA3869" t="s">
        <v>3119</v>
      </c>
      <c r="BE3869" s="3">
        <v>42524</v>
      </c>
      <c r="BF3869" s="1">
        <v>519000</v>
      </c>
      <c r="BG3869" t="s">
        <v>24725</v>
      </c>
      <c r="BH3869" s="1">
        <v>202.1</v>
      </c>
      <c r="BI3869" s="1">
        <v>509785</v>
      </c>
      <c r="BJ3869" s="3">
        <v>42524</v>
      </c>
      <c r="BK3869" t="s">
        <v>123</v>
      </c>
      <c r="BL3869" t="str">
        <f>"2016.386889"</f>
        <v>2016.386889</v>
      </c>
      <c r="BM3869" t="s">
        <v>724</v>
      </c>
      <c r="BN3869" t="s">
        <v>5423</v>
      </c>
      <c r="BO3869" t="s">
        <v>24726</v>
      </c>
      <c r="BS3869">
        <v>30</v>
      </c>
      <c r="BW3869" t="str">
        <f>""</f>
        <v/>
      </c>
      <c r="CH3869" t="str">
        <f>""</f>
        <v/>
      </c>
      <c r="CS3869" t="str">
        <f>""</f>
        <v/>
      </c>
    </row>
    <row r="3870" spans="1:97" x14ac:dyDescent="0.25">
      <c r="A3870" t="s">
        <v>695</v>
      </c>
      <c r="B3870" t="s">
        <v>24727</v>
      </c>
      <c r="C3870" t="s">
        <v>2099</v>
      </c>
      <c r="D3870" t="s">
        <v>24727</v>
      </c>
      <c r="E3870" t="s">
        <v>24728</v>
      </c>
      <c r="F3870" t="s">
        <v>108</v>
      </c>
      <c r="H3870" t="s">
        <v>24729</v>
      </c>
      <c r="I3870" t="s">
        <v>453</v>
      </c>
      <c r="J3870" t="s">
        <v>111</v>
      </c>
      <c r="K3870" t="str">
        <f>"85382"</f>
        <v>85382</v>
      </c>
      <c r="L3870" t="s">
        <v>5021</v>
      </c>
      <c r="M3870" t="s">
        <v>24729</v>
      </c>
      <c r="N3870" t="s">
        <v>453</v>
      </c>
      <c r="O3870" t="s">
        <v>111</v>
      </c>
      <c r="P3870" t="str">
        <f>"85382-6459"</f>
        <v>85382-6459</v>
      </c>
      <c r="Q3870" t="s">
        <v>113</v>
      </c>
      <c r="R3870" t="str">
        <f>"200-17-443"</f>
        <v>200-17-443</v>
      </c>
      <c r="S3870" t="s">
        <v>20481</v>
      </c>
      <c r="T3870" t="s">
        <v>6310</v>
      </c>
      <c r="U3870">
        <v>2764</v>
      </c>
      <c r="V3870">
        <v>0</v>
      </c>
      <c r="W3870">
        <v>4</v>
      </c>
      <c r="X3870">
        <v>2001</v>
      </c>
      <c r="Z3870">
        <v>2</v>
      </c>
      <c r="AB3870">
        <v>0</v>
      </c>
      <c r="AC3870" t="s">
        <v>115</v>
      </c>
      <c r="AD3870">
        <v>3</v>
      </c>
      <c r="AE3870" t="s">
        <v>115</v>
      </c>
      <c r="AF3870">
        <v>0</v>
      </c>
      <c r="AG3870">
        <v>0</v>
      </c>
      <c r="AH3870" t="s">
        <v>116</v>
      </c>
      <c r="AI3870" s="1">
        <v>83062</v>
      </c>
      <c r="AJ3870" s="2">
        <v>0.23</v>
      </c>
      <c r="AK3870" s="1">
        <v>363062</v>
      </c>
      <c r="AL3870" t="s">
        <v>117</v>
      </c>
      <c r="AM3870" t="s">
        <v>118</v>
      </c>
      <c r="AN3870">
        <v>6050</v>
      </c>
      <c r="AO3870">
        <v>0.14000000000000001</v>
      </c>
      <c r="AP3870">
        <v>1</v>
      </c>
      <c r="AR3870">
        <v>1</v>
      </c>
      <c r="AS3870" s="1">
        <v>25370</v>
      </c>
      <c r="AT3870" s="1">
        <v>5070</v>
      </c>
      <c r="AU3870" s="1">
        <v>20300</v>
      </c>
      <c r="AV3870">
        <v>80.02</v>
      </c>
      <c r="AX3870" s="1">
        <v>2569.42</v>
      </c>
      <c r="AY3870" t="s">
        <v>6311</v>
      </c>
      <c r="AZ3870" t="s">
        <v>6311</v>
      </c>
      <c r="BA3870" t="s">
        <v>4219</v>
      </c>
      <c r="BE3870" s="3">
        <v>41810</v>
      </c>
      <c r="BF3870" s="1">
        <v>280000</v>
      </c>
      <c r="BG3870" t="s">
        <v>24730</v>
      </c>
      <c r="BH3870" s="1">
        <v>101.3</v>
      </c>
      <c r="BI3870" s="1">
        <v>280000</v>
      </c>
      <c r="BJ3870" s="3">
        <v>41810</v>
      </c>
      <c r="BK3870" t="s">
        <v>123</v>
      </c>
      <c r="BL3870" t="str">
        <f>"2014.405435"</f>
        <v>2014.405435</v>
      </c>
      <c r="BM3870" t="s">
        <v>135</v>
      </c>
      <c r="BO3870" t="s">
        <v>24731</v>
      </c>
      <c r="BS3870">
        <v>30</v>
      </c>
      <c r="BW3870" t="str">
        <f>""</f>
        <v/>
      </c>
      <c r="CH3870" t="str">
        <f>""</f>
        <v/>
      </c>
      <c r="CS3870" t="str">
        <f>""</f>
        <v/>
      </c>
    </row>
    <row r="3871" spans="1:97" x14ac:dyDescent="0.25">
      <c r="A3871" t="s">
        <v>1938</v>
      </c>
      <c r="B3871" t="s">
        <v>10218</v>
      </c>
      <c r="C3871" t="s">
        <v>3831</v>
      </c>
      <c r="D3871" t="s">
        <v>10218</v>
      </c>
      <c r="E3871" t="s">
        <v>24732</v>
      </c>
      <c r="F3871" t="s">
        <v>108</v>
      </c>
      <c r="H3871" t="s">
        <v>24733</v>
      </c>
      <c r="I3871" t="s">
        <v>390</v>
      </c>
      <c r="J3871" t="s">
        <v>111</v>
      </c>
      <c r="K3871" t="str">
        <f>"85041"</f>
        <v>85041</v>
      </c>
      <c r="L3871" t="s">
        <v>6891</v>
      </c>
      <c r="M3871" t="s">
        <v>24733</v>
      </c>
      <c r="N3871" t="s">
        <v>390</v>
      </c>
      <c r="O3871" t="s">
        <v>111</v>
      </c>
      <c r="P3871" t="str">
        <f>"85041-5239"</f>
        <v>85041-5239</v>
      </c>
      <c r="Q3871" t="s">
        <v>113</v>
      </c>
      <c r="R3871" t="str">
        <f>"105-85-365"</f>
        <v>105-85-365</v>
      </c>
      <c r="S3871" t="s">
        <v>10590</v>
      </c>
      <c r="T3871" t="s">
        <v>10590</v>
      </c>
      <c r="U3871">
        <v>3771</v>
      </c>
      <c r="V3871">
        <v>0</v>
      </c>
      <c r="W3871">
        <v>4</v>
      </c>
      <c r="X3871">
        <v>2005</v>
      </c>
      <c r="Z3871">
        <v>2</v>
      </c>
      <c r="AA3871" t="s">
        <v>26</v>
      </c>
      <c r="AB3871">
        <v>0</v>
      </c>
      <c r="AC3871" t="s">
        <v>115</v>
      </c>
      <c r="AD3871">
        <v>3</v>
      </c>
      <c r="AE3871" t="s">
        <v>115</v>
      </c>
      <c r="AF3871">
        <v>0</v>
      </c>
      <c r="AG3871">
        <v>0</v>
      </c>
      <c r="AH3871" t="s">
        <v>116</v>
      </c>
      <c r="AI3871" s="1">
        <v>52783</v>
      </c>
      <c r="AJ3871" s="2">
        <v>0.15</v>
      </c>
      <c r="AK3871" s="1">
        <v>348780</v>
      </c>
      <c r="AL3871" t="s">
        <v>117</v>
      </c>
      <c r="AM3871" t="s">
        <v>171</v>
      </c>
      <c r="AN3871">
        <v>9745</v>
      </c>
      <c r="AO3871">
        <v>0.22</v>
      </c>
      <c r="AR3871">
        <v>1</v>
      </c>
      <c r="AS3871" s="1">
        <v>24310</v>
      </c>
      <c r="AT3871" s="1">
        <v>4860</v>
      </c>
      <c r="AU3871" s="1">
        <v>19450</v>
      </c>
      <c r="AV3871">
        <v>80.010000000000005</v>
      </c>
      <c r="AX3871" s="1">
        <v>2969.58</v>
      </c>
      <c r="AY3871" t="s">
        <v>5220</v>
      </c>
      <c r="AZ3871" t="s">
        <v>5220</v>
      </c>
      <c r="BA3871" t="s">
        <v>1661</v>
      </c>
      <c r="BB3871" s="3">
        <v>42426</v>
      </c>
      <c r="BD3871" t="s">
        <v>240</v>
      </c>
      <c r="BE3871" s="3">
        <v>41745</v>
      </c>
      <c r="BF3871" s="1">
        <v>201000</v>
      </c>
      <c r="BG3871" t="s">
        <v>24734</v>
      </c>
      <c r="BH3871" s="1">
        <v>53.3</v>
      </c>
      <c r="BI3871" s="1">
        <v>295997</v>
      </c>
      <c r="BJ3871" s="3">
        <v>43609</v>
      </c>
      <c r="BK3871" t="s">
        <v>123</v>
      </c>
      <c r="BL3871" t="str">
        <f>"2019.384203"</f>
        <v>2019.384203</v>
      </c>
      <c r="BM3871" t="s">
        <v>6896</v>
      </c>
      <c r="BN3871" t="s">
        <v>1371</v>
      </c>
      <c r="BO3871" t="s">
        <v>24735</v>
      </c>
      <c r="BP3871" t="s">
        <v>24736</v>
      </c>
      <c r="BR3871" t="s">
        <v>139</v>
      </c>
      <c r="BT3871" s="1">
        <v>295997</v>
      </c>
      <c r="BU3871" s="3">
        <v>43609</v>
      </c>
      <c r="BV3871" t="s">
        <v>123</v>
      </c>
      <c r="BW3871" t="str">
        <f>"2019.384203"</f>
        <v>2019.384203</v>
      </c>
      <c r="BX3871" t="s">
        <v>6896</v>
      </c>
      <c r="BY3871" t="s">
        <v>1371</v>
      </c>
      <c r="BZ3871" t="s">
        <v>24735</v>
      </c>
      <c r="CA3871" t="s">
        <v>24736</v>
      </c>
      <c r="CC3871" t="s">
        <v>139</v>
      </c>
      <c r="CH3871" t="str">
        <f>""</f>
        <v/>
      </c>
      <c r="CS3871" t="str">
        <f>""</f>
        <v/>
      </c>
    </row>
    <row r="3872" spans="1:97" x14ac:dyDescent="0.25">
      <c r="A3872" t="s">
        <v>3260</v>
      </c>
      <c r="B3872" t="s">
        <v>14068</v>
      </c>
      <c r="C3872" t="s">
        <v>24737</v>
      </c>
      <c r="D3872" t="s">
        <v>14068</v>
      </c>
      <c r="E3872" t="s">
        <v>24738</v>
      </c>
      <c r="F3872" t="s">
        <v>108</v>
      </c>
      <c r="H3872" t="s">
        <v>24739</v>
      </c>
      <c r="I3872" t="s">
        <v>453</v>
      </c>
      <c r="J3872" t="s">
        <v>111</v>
      </c>
      <c r="K3872" t="str">
        <f>"85381"</f>
        <v>85381</v>
      </c>
      <c r="L3872" t="s">
        <v>5464</v>
      </c>
      <c r="M3872" t="s">
        <v>24739</v>
      </c>
      <c r="N3872" t="s">
        <v>453</v>
      </c>
      <c r="O3872" t="s">
        <v>111</v>
      </c>
      <c r="P3872" t="str">
        <f>"85381-9522"</f>
        <v>85381-9522</v>
      </c>
      <c r="Q3872" t="s">
        <v>113</v>
      </c>
      <c r="R3872" t="str">
        <f>"200-77-855"</f>
        <v>200-77-855</v>
      </c>
      <c r="S3872" t="s">
        <v>21274</v>
      </c>
      <c r="T3872" t="s">
        <v>21275</v>
      </c>
      <c r="U3872">
        <v>3316</v>
      </c>
      <c r="V3872">
        <v>0</v>
      </c>
      <c r="W3872">
        <v>4</v>
      </c>
      <c r="X3872">
        <v>1987</v>
      </c>
      <c r="Z3872">
        <v>2</v>
      </c>
      <c r="AA3872" t="s">
        <v>26</v>
      </c>
      <c r="AB3872">
        <v>0</v>
      </c>
      <c r="AC3872" t="s">
        <v>115</v>
      </c>
      <c r="AD3872">
        <v>2</v>
      </c>
      <c r="AE3872" t="s">
        <v>115</v>
      </c>
      <c r="AF3872">
        <v>0</v>
      </c>
      <c r="AG3872">
        <v>0</v>
      </c>
      <c r="AH3872" t="s">
        <v>116</v>
      </c>
      <c r="AI3872" s="1">
        <v>57073</v>
      </c>
      <c r="AJ3872" s="2">
        <v>0.14000000000000001</v>
      </c>
      <c r="AK3872" s="1">
        <v>393741</v>
      </c>
      <c r="AL3872" t="s">
        <v>117</v>
      </c>
      <c r="AM3872" t="s">
        <v>171</v>
      </c>
      <c r="AN3872">
        <v>9901</v>
      </c>
      <c r="AO3872">
        <v>0.23</v>
      </c>
      <c r="AP3872">
        <v>1</v>
      </c>
      <c r="AR3872">
        <v>1</v>
      </c>
      <c r="AS3872" s="1">
        <v>28350</v>
      </c>
      <c r="AT3872" s="1">
        <v>5670</v>
      </c>
      <c r="AU3872" s="1">
        <v>22680</v>
      </c>
      <c r="AV3872">
        <v>80</v>
      </c>
      <c r="AX3872" s="1">
        <v>2329.02</v>
      </c>
      <c r="AY3872" t="s">
        <v>3359</v>
      </c>
      <c r="AZ3872" t="s">
        <v>3359</v>
      </c>
      <c r="BA3872" t="s">
        <v>3360</v>
      </c>
      <c r="BE3872" s="3">
        <v>42494</v>
      </c>
      <c r="BF3872" s="1">
        <v>329900</v>
      </c>
      <c r="BG3872" t="s">
        <v>24740</v>
      </c>
      <c r="BH3872" s="1">
        <v>99.49</v>
      </c>
      <c r="BI3872" s="1">
        <v>336668</v>
      </c>
      <c r="BJ3872" s="3">
        <v>42681</v>
      </c>
      <c r="BK3872" t="s">
        <v>123</v>
      </c>
      <c r="BL3872" t="str">
        <f>"2016.818765"</f>
        <v>2016.818765</v>
      </c>
      <c r="BM3872" t="s">
        <v>402</v>
      </c>
      <c r="BO3872" t="s">
        <v>24741</v>
      </c>
      <c r="BS3872">
        <v>30</v>
      </c>
      <c r="BW3872" t="str">
        <f>""</f>
        <v/>
      </c>
      <c r="CH3872" t="str">
        <f>""</f>
        <v/>
      </c>
      <c r="CS3872" t="str">
        <f>""</f>
        <v/>
      </c>
    </row>
    <row r="3873" spans="1:97" x14ac:dyDescent="0.25">
      <c r="A3873" t="s">
        <v>8500</v>
      </c>
      <c r="B3873" t="s">
        <v>24742</v>
      </c>
      <c r="C3873" t="s">
        <v>4574</v>
      </c>
      <c r="D3873" t="s">
        <v>14586</v>
      </c>
      <c r="E3873" t="s">
        <v>24743</v>
      </c>
      <c r="F3873" t="s">
        <v>108</v>
      </c>
      <c r="H3873" t="s">
        <v>24744</v>
      </c>
      <c r="I3873" t="s">
        <v>632</v>
      </c>
      <c r="J3873" t="s">
        <v>111</v>
      </c>
      <c r="K3873" t="str">
        <f>"85379"</f>
        <v>85379</v>
      </c>
      <c r="L3873" t="s">
        <v>7109</v>
      </c>
      <c r="M3873" t="s">
        <v>24745</v>
      </c>
      <c r="N3873" t="s">
        <v>632</v>
      </c>
      <c r="O3873" t="s">
        <v>111</v>
      </c>
      <c r="P3873" t="str">
        <f>"85379"</f>
        <v>85379</v>
      </c>
      <c r="Q3873" t="s">
        <v>113</v>
      </c>
      <c r="R3873" t="str">
        <f>"509-15-596"</f>
        <v>509-15-596</v>
      </c>
      <c r="S3873" t="s">
        <v>7110</v>
      </c>
      <c r="U3873">
        <v>4091</v>
      </c>
      <c r="V3873">
        <v>0</v>
      </c>
      <c r="W3873">
        <v>5</v>
      </c>
      <c r="X3873">
        <v>2004</v>
      </c>
      <c r="Z3873">
        <v>2</v>
      </c>
      <c r="AA3873" t="s">
        <v>26</v>
      </c>
      <c r="AB3873">
        <v>0</v>
      </c>
      <c r="AC3873" t="s">
        <v>115</v>
      </c>
      <c r="AD3873">
        <v>3</v>
      </c>
      <c r="AE3873" t="s">
        <v>115</v>
      </c>
      <c r="AF3873">
        <v>0</v>
      </c>
      <c r="AG3873">
        <v>0</v>
      </c>
      <c r="AH3873" t="s">
        <v>116</v>
      </c>
      <c r="AI3873" s="1">
        <v>77891</v>
      </c>
      <c r="AJ3873" s="2">
        <v>0.19</v>
      </c>
      <c r="AK3873" s="1">
        <v>412204</v>
      </c>
      <c r="AL3873" t="s">
        <v>117</v>
      </c>
      <c r="AM3873" t="s">
        <v>118</v>
      </c>
      <c r="AN3873">
        <v>9750</v>
      </c>
      <c r="AO3873">
        <v>0.22</v>
      </c>
      <c r="AR3873">
        <v>1</v>
      </c>
      <c r="AS3873" s="1">
        <v>30020</v>
      </c>
      <c r="AT3873" s="1">
        <v>6000</v>
      </c>
      <c r="AU3873" s="1">
        <v>24020</v>
      </c>
      <c r="AV3873">
        <v>80.010000000000005</v>
      </c>
      <c r="AX3873" s="1">
        <v>2588.2199999999998</v>
      </c>
      <c r="AY3873" t="s">
        <v>5615</v>
      </c>
      <c r="AZ3873" t="s">
        <v>5615</v>
      </c>
      <c r="BA3873" t="s">
        <v>635</v>
      </c>
      <c r="BB3873" s="3">
        <v>43559</v>
      </c>
      <c r="BC3873" s="1">
        <v>0</v>
      </c>
      <c r="BD3873" t="s">
        <v>247</v>
      </c>
      <c r="BE3873" s="3">
        <v>42247</v>
      </c>
      <c r="BF3873" s="1">
        <v>332000</v>
      </c>
      <c r="BG3873" t="s">
        <v>24746</v>
      </c>
      <c r="BH3873" s="1">
        <v>81.150000000000006</v>
      </c>
      <c r="BI3873" s="1">
        <v>334313</v>
      </c>
      <c r="BJ3873" s="3">
        <v>43559</v>
      </c>
      <c r="BK3873" t="s">
        <v>123</v>
      </c>
      <c r="BL3873" t="str">
        <f>"2019.234669"</f>
        <v>2019.234669</v>
      </c>
      <c r="BM3873" t="s">
        <v>20709</v>
      </c>
      <c r="BN3873" t="s">
        <v>9929</v>
      </c>
      <c r="BO3873" t="s">
        <v>24747</v>
      </c>
      <c r="BP3873" t="s">
        <v>24748</v>
      </c>
      <c r="BR3873" t="s">
        <v>139</v>
      </c>
      <c r="BW3873" t="str">
        <f>""</f>
        <v/>
      </c>
      <c r="CH3873" t="str">
        <f>""</f>
        <v/>
      </c>
      <c r="CS3873" t="str">
        <f>""</f>
        <v/>
      </c>
    </row>
    <row r="3874" spans="1:97" x14ac:dyDescent="0.25">
      <c r="A3874" t="s">
        <v>2123</v>
      </c>
      <c r="B3874" t="s">
        <v>10633</v>
      </c>
      <c r="E3874" t="s">
        <v>24749</v>
      </c>
      <c r="F3874" t="s">
        <v>108</v>
      </c>
      <c r="H3874" t="s">
        <v>24750</v>
      </c>
      <c r="I3874" t="s">
        <v>144</v>
      </c>
      <c r="J3874" t="s">
        <v>111</v>
      </c>
      <c r="K3874" t="str">
        <f>"85326"</f>
        <v>85326</v>
      </c>
      <c r="L3874" t="s">
        <v>8255</v>
      </c>
      <c r="M3874" t="s">
        <v>24750</v>
      </c>
      <c r="N3874" t="s">
        <v>144</v>
      </c>
      <c r="O3874" t="s">
        <v>111</v>
      </c>
      <c r="P3874" t="str">
        <f>"85326-7898"</f>
        <v>85326-7898</v>
      </c>
      <c r="Q3874" t="s">
        <v>113</v>
      </c>
      <c r="R3874" t="str">
        <f>"504-25-109"</f>
        <v>504-25-109</v>
      </c>
      <c r="S3874" t="s">
        <v>22464</v>
      </c>
      <c r="T3874" t="s">
        <v>22464</v>
      </c>
      <c r="U3874">
        <v>2020</v>
      </c>
      <c r="V3874">
        <v>0</v>
      </c>
      <c r="W3874">
        <v>4</v>
      </c>
      <c r="X3874">
        <v>2006</v>
      </c>
      <c r="Z3874">
        <v>1</v>
      </c>
      <c r="AB3874">
        <v>0</v>
      </c>
      <c r="AC3874" t="s">
        <v>115</v>
      </c>
      <c r="AD3874">
        <v>2</v>
      </c>
      <c r="AE3874" t="s">
        <v>115</v>
      </c>
      <c r="AF3874">
        <v>0</v>
      </c>
      <c r="AG3874">
        <v>0</v>
      </c>
      <c r="AH3874" t="s">
        <v>116</v>
      </c>
      <c r="AI3874" s="1">
        <v>-10092</v>
      </c>
      <c r="AJ3874" s="2">
        <v>-0.05</v>
      </c>
      <c r="AK3874" s="1">
        <v>197272</v>
      </c>
      <c r="AL3874" t="s">
        <v>117</v>
      </c>
      <c r="AM3874" t="s">
        <v>5023</v>
      </c>
      <c r="AN3874">
        <v>7064</v>
      </c>
      <c r="AO3874">
        <v>0.16</v>
      </c>
      <c r="AR3874">
        <v>1</v>
      </c>
      <c r="AS3874" s="1">
        <v>17310</v>
      </c>
      <c r="AT3874" s="1">
        <v>3460</v>
      </c>
      <c r="AU3874" s="1">
        <v>13850</v>
      </c>
      <c r="AV3874">
        <v>80.010000000000005</v>
      </c>
      <c r="AX3874" s="1">
        <v>1132.58</v>
      </c>
      <c r="AY3874" t="s">
        <v>8444</v>
      </c>
      <c r="AZ3874" t="s">
        <v>8444</v>
      </c>
      <c r="BA3874" t="s">
        <v>5025</v>
      </c>
      <c r="BE3874" s="3">
        <v>42293</v>
      </c>
      <c r="BF3874" s="1">
        <v>203000</v>
      </c>
      <c r="BG3874" t="s">
        <v>24751</v>
      </c>
      <c r="BH3874" s="1">
        <v>100.5</v>
      </c>
      <c r="BI3874" s="1">
        <v>207364</v>
      </c>
      <c r="BJ3874" s="3">
        <v>42293</v>
      </c>
      <c r="BK3874" t="s">
        <v>123</v>
      </c>
      <c r="BL3874" t="str">
        <f>"2015.746332"</f>
        <v>2015.746332</v>
      </c>
      <c r="BM3874" t="s">
        <v>1185</v>
      </c>
      <c r="BO3874" t="s">
        <v>24752</v>
      </c>
      <c r="BS3874">
        <v>30</v>
      </c>
      <c r="BW3874" t="str">
        <f>""</f>
        <v/>
      </c>
      <c r="CH3874" t="str">
        <f>""</f>
        <v/>
      </c>
      <c r="CS3874" t="str">
        <f>""</f>
        <v/>
      </c>
    </row>
    <row r="3875" spans="1:97" x14ac:dyDescent="0.25">
      <c r="A3875" t="s">
        <v>177</v>
      </c>
      <c r="B3875" t="s">
        <v>488</v>
      </c>
      <c r="C3875" t="s">
        <v>1930</v>
      </c>
      <c r="D3875" t="s">
        <v>488</v>
      </c>
      <c r="E3875" t="s">
        <v>24753</v>
      </c>
      <c r="F3875" t="s">
        <v>108</v>
      </c>
      <c r="H3875" t="s">
        <v>24754</v>
      </c>
      <c r="I3875" t="s">
        <v>110</v>
      </c>
      <c r="J3875" t="s">
        <v>111</v>
      </c>
      <c r="K3875" t="str">
        <f>"85249"</f>
        <v>85249</v>
      </c>
      <c r="L3875" t="s">
        <v>3225</v>
      </c>
      <c r="M3875" t="s">
        <v>24754</v>
      </c>
      <c r="N3875" t="s">
        <v>110</v>
      </c>
      <c r="O3875" t="s">
        <v>111</v>
      </c>
      <c r="P3875" t="str">
        <f>"85249-7031"</f>
        <v>85249-7031</v>
      </c>
      <c r="Q3875" t="s">
        <v>113</v>
      </c>
      <c r="R3875" t="str">
        <f>"304-84-747"</f>
        <v>304-84-747</v>
      </c>
      <c r="S3875" t="s">
        <v>7409</v>
      </c>
      <c r="U3875">
        <v>2081</v>
      </c>
      <c r="V3875">
        <v>0</v>
      </c>
      <c r="W3875">
        <v>3</v>
      </c>
      <c r="X3875">
        <v>2002</v>
      </c>
      <c r="Z3875">
        <v>1</v>
      </c>
      <c r="AA3875" t="s">
        <v>26</v>
      </c>
      <c r="AB3875">
        <v>0</v>
      </c>
      <c r="AC3875" t="s">
        <v>115</v>
      </c>
      <c r="AD3875">
        <v>3</v>
      </c>
      <c r="AE3875" t="s">
        <v>115</v>
      </c>
      <c r="AF3875">
        <v>0</v>
      </c>
      <c r="AG3875">
        <v>0</v>
      </c>
      <c r="AH3875" t="s">
        <v>116</v>
      </c>
      <c r="AI3875" s="1">
        <v>58129</v>
      </c>
      <c r="AJ3875" s="2">
        <v>0.16</v>
      </c>
      <c r="AK3875" s="1">
        <v>361211</v>
      </c>
      <c r="AL3875" t="s">
        <v>117</v>
      </c>
      <c r="AM3875" t="s">
        <v>118</v>
      </c>
      <c r="AN3875">
        <v>9659</v>
      </c>
      <c r="AO3875">
        <v>0.22</v>
      </c>
      <c r="AP3875">
        <v>1</v>
      </c>
      <c r="AR3875">
        <v>1</v>
      </c>
      <c r="AS3875" s="1">
        <v>26410</v>
      </c>
      <c r="AT3875" s="1">
        <v>5280</v>
      </c>
      <c r="AU3875" s="1">
        <v>21130</v>
      </c>
      <c r="AV3875">
        <v>80.010000000000005</v>
      </c>
      <c r="AX3875" s="1">
        <v>2133.6999999999998</v>
      </c>
      <c r="AY3875" t="s">
        <v>6269</v>
      </c>
      <c r="AZ3875" t="s">
        <v>273</v>
      </c>
      <c r="BA3875" t="s">
        <v>274</v>
      </c>
      <c r="BE3875" s="3">
        <v>42425</v>
      </c>
      <c r="BF3875" s="1">
        <v>293000</v>
      </c>
      <c r="BG3875" t="s">
        <v>24755</v>
      </c>
      <c r="BH3875" s="1">
        <v>140.80000000000001</v>
      </c>
      <c r="BI3875" s="1">
        <v>303082</v>
      </c>
      <c r="BJ3875" s="3">
        <v>42682</v>
      </c>
      <c r="BK3875" t="s">
        <v>123</v>
      </c>
      <c r="BL3875" t="str">
        <f>"2016.823248"</f>
        <v>2016.823248</v>
      </c>
      <c r="BM3875" t="s">
        <v>402</v>
      </c>
      <c r="BO3875" t="s">
        <v>24756</v>
      </c>
      <c r="BS3875">
        <v>30</v>
      </c>
      <c r="BW3875" t="str">
        <f>""</f>
        <v/>
      </c>
      <c r="CH3875" t="str">
        <f>""</f>
        <v/>
      </c>
      <c r="CS3875" t="str">
        <f>""</f>
        <v/>
      </c>
    </row>
    <row r="3876" spans="1:97" x14ac:dyDescent="0.25">
      <c r="A3876" t="s">
        <v>1009</v>
      </c>
      <c r="B3876" t="s">
        <v>24757</v>
      </c>
      <c r="C3876" t="s">
        <v>2184</v>
      </c>
      <c r="D3876" t="s">
        <v>24757</v>
      </c>
      <c r="E3876" t="s">
        <v>24758</v>
      </c>
      <c r="F3876" t="s">
        <v>108</v>
      </c>
      <c r="H3876" t="s">
        <v>24759</v>
      </c>
      <c r="I3876" t="s">
        <v>2874</v>
      </c>
      <c r="J3876" t="s">
        <v>111</v>
      </c>
      <c r="K3876" t="str">
        <f>"85310"</f>
        <v>85310</v>
      </c>
      <c r="L3876" t="s">
        <v>5990</v>
      </c>
      <c r="M3876" t="s">
        <v>24759</v>
      </c>
      <c r="N3876" t="s">
        <v>2874</v>
      </c>
      <c r="O3876" t="s">
        <v>111</v>
      </c>
      <c r="P3876" t="str">
        <f>"85310-4250"</f>
        <v>85310-4250</v>
      </c>
      <c r="Q3876" t="s">
        <v>113</v>
      </c>
      <c r="R3876" t="str">
        <f>"200-05-133"</f>
        <v>200-05-133</v>
      </c>
      <c r="S3876" t="s">
        <v>24760</v>
      </c>
      <c r="T3876" t="s">
        <v>24761</v>
      </c>
      <c r="U3876">
        <v>1821</v>
      </c>
      <c r="V3876">
        <v>0</v>
      </c>
      <c r="W3876">
        <v>3</v>
      </c>
      <c r="X3876">
        <v>1993</v>
      </c>
      <c r="Z3876">
        <v>1</v>
      </c>
      <c r="AA3876" t="s">
        <v>26</v>
      </c>
      <c r="AB3876">
        <v>0</v>
      </c>
      <c r="AC3876" t="s">
        <v>115</v>
      </c>
      <c r="AD3876">
        <v>3</v>
      </c>
      <c r="AE3876" t="s">
        <v>115</v>
      </c>
      <c r="AF3876">
        <v>0</v>
      </c>
      <c r="AG3876">
        <v>0</v>
      </c>
      <c r="AH3876" t="s">
        <v>116</v>
      </c>
      <c r="AI3876" s="1">
        <v>26956</v>
      </c>
      <c r="AJ3876" s="2">
        <v>7.0000000000000007E-2</v>
      </c>
      <c r="AK3876" s="1">
        <v>410626</v>
      </c>
      <c r="AL3876" t="s">
        <v>117</v>
      </c>
      <c r="AM3876" t="s">
        <v>393</v>
      </c>
      <c r="AN3876">
        <v>8500</v>
      </c>
      <c r="AO3876">
        <v>0.2</v>
      </c>
      <c r="AP3876">
        <v>1</v>
      </c>
      <c r="AR3876">
        <v>1</v>
      </c>
      <c r="AS3876" s="1">
        <v>30120</v>
      </c>
      <c r="AT3876" s="1">
        <v>6020</v>
      </c>
      <c r="AU3876" s="1">
        <v>24100</v>
      </c>
      <c r="AV3876">
        <v>80.010000000000005</v>
      </c>
      <c r="AX3876" s="1">
        <v>3148.94</v>
      </c>
      <c r="AY3876" t="s">
        <v>7455</v>
      </c>
      <c r="AZ3876" t="s">
        <v>3049</v>
      </c>
      <c r="BA3876" t="s">
        <v>2223</v>
      </c>
      <c r="BE3876" s="3">
        <v>42219</v>
      </c>
      <c r="BF3876" s="1">
        <v>377000</v>
      </c>
      <c r="BG3876" t="s">
        <v>24762</v>
      </c>
      <c r="BH3876" s="1">
        <v>207.03</v>
      </c>
      <c r="BI3876" s="1">
        <v>383670</v>
      </c>
      <c r="BJ3876" s="3">
        <v>42517</v>
      </c>
      <c r="BK3876" t="s">
        <v>123</v>
      </c>
      <c r="BL3876" t="str">
        <f>"2016.367551"</f>
        <v>2016.367551</v>
      </c>
      <c r="BM3876" t="s">
        <v>936</v>
      </c>
      <c r="BO3876" t="s">
        <v>24763</v>
      </c>
      <c r="BS3876">
        <v>30</v>
      </c>
      <c r="BW3876" t="str">
        <f>""</f>
        <v/>
      </c>
      <c r="CH3876" t="str">
        <f>""</f>
        <v/>
      </c>
      <c r="CS3876" t="str">
        <f>""</f>
        <v/>
      </c>
    </row>
    <row r="3877" spans="1:97" x14ac:dyDescent="0.25">
      <c r="A3877" t="s">
        <v>140</v>
      </c>
      <c r="B3877" t="s">
        <v>24764</v>
      </c>
      <c r="E3877" t="s">
        <v>24765</v>
      </c>
      <c r="F3877" t="s">
        <v>108</v>
      </c>
      <c r="H3877" t="s">
        <v>24766</v>
      </c>
      <c r="I3877" t="s">
        <v>203</v>
      </c>
      <c r="J3877" t="s">
        <v>111</v>
      </c>
      <c r="K3877" t="str">
        <f>"85298"</f>
        <v>85298</v>
      </c>
      <c r="L3877" t="s">
        <v>7243</v>
      </c>
      <c r="M3877" t="s">
        <v>24766</v>
      </c>
      <c r="N3877" t="s">
        <v>203</v>
      </c>
      <c r="O3877" t="s">
        <v>111</v>
      </c>
      <c r="P3877" t="str">
        <f>"85298-4052"</f>
        <v>85298-4052</v>
      </c>
      <c r="Q3877" t="s">
        <v>113</v>
      </c>
      <c r="R3877" t="str">
        <f>"313-04-116"</f>
        <v>313-04-116</v>
      </c>
      <c r="S3877" t="s">
        <v>24767</v>
      </c>
      <c r="T3877" t="s">
        <v>24768</v>
      </c>
      <c r="U3877">
        <v>1693</v>
      </c>
      <c r="V3877">
        <v>0</v>
      </c>
      <c r="W3877">
        <v>3</v>
      </c>
      <c r="X3877">
        <v>2004</v>
      </c>
      <c r="Z3877">
        <v>1</v>
      </c>
      <c r="AA3877" t="s">
        <v>26</v>
      </c>
      <c r="AB3877">
        <v>0</v>
      </c>
      <c r="AC3877" t="s">
        <v>115</v>
      </c>
      <c r="AD3877">
        <v>2</v>
      </c>
      <c r="AE3877" t="s">
        <v>115</v>
      </c>
      <c r="AF3877">
        <v>0</v>
      </c>
      <c r="AG3877">
        <v>0</v>
      </c>
      <c r="AH3877" t="s">
        <v>116</v>
      </c>
      <c r="AI3877" s="1">
        <v>-7093</v>
      </c>
      <c r="AJ3877" s="2">
        <v>-0.02</v>
      </c>
      <c r="AK3877" s="1">
        <v>322607</v>
      </c>
      <c r="AL3877" t="s">
        <v>117</v>
      </c>
      <c r="AM3877" t="s">
        <v>1174</v>
      </c>
      <c r="AN3877">
        <v>7284</v>
      </c>
      <c r="AO3877">
        <v>0.17</v>
      </c>
      <c r="AP3877">
        <v>1</v>
      </c>
      <c r="AR3877">
        <v>1</v>
      </c>
      <c r="AS3877" s="1">
        <v>25830</v>
      </c>
      <c r="AT3877" s="1">
        <v>5160</v>
      </c>
      <c r="AU3877" s="1">
        <v>20670</v>
      </c>
      <c r="AV3877">
        <v>80.02</v>
      </c>
      <c r="AX3877" s="1">
        <v>2211.84</v>
      </c>
      <c r="AY3877" t="s">
        <v>5875</v>
      </c>
      <c r="AZ3877" t="s">
        <v>1134</v>
      </c>
      <c r="BA3877" t="s">
        <v>1134</v>
      </c>
      <c r="BE3877" s="3">
        <v>42206</v>
      </c>
      <c r="BF3877" s="1">
        <v>329900</v>
      </c>
      <c r="BG3877" t="s">
        <v>24769</v>
      </c>
      <c r="BH3877" s="1">
        <v>194.86</v>
      </c>
      <c r="BI3877" s="1">
        <v>329700</v>
      </c>
      <c r="BJ3877" s="3">
        <v>43126</v>
      </c>
      <c r="BK3877" t="s">
        <v>123</v>
      </c>
      <c r="BL3877" t="str">
        <f>"2018.64054"</f>
        <v>2018.64054</v>
      </c>
      <c r="BM3877" t="s">
        <v>22110</v>
      </c>
      <c r="BN3877" t="s">
        <v>2398</v>
      </c>
      <c r="BO3877" t="s">
        <v>24765</v>
      </c>
      <c r="BR3877" t="s">
        <v>139</v>
      </c>
      <c r="BW3877" t="str">
        <f>""</f>
        <v/>
      </c>
      <c r="CH3877" t="str">
        <f>""</f>
        <v/>
      </c>
      <c r="CS3877" t="str">
        <f>""</f>
        <v/>
      </c>
    </row>
    <row r="3878" spans="1:97" x14ac:dyDescent="0.25">
      <c r="A3878" t="s">
        <v>1344</v>
      </c>
      <c r="B3878" t="s">
        <v>4099</v>
      </c>
      <c r="C3878" t="s">
        <v>2582</v>
      </c>
      <c r="D3878" t="s">
        <v>4099</v>
      </c>
      <c r="E3878" t="s">
        <v>24770</v>
      </c>
      <c r="F3878" t="s">
        <v>108</v>
      </c>
      <c r="H3878" t="s">
        <v>24771</v>
      </c>
      <c r="I3878" t="s">
        <v>390</v>
      </c>
      <c r="J3878" t="s">
        <v>111</v>
      </c>
      <c r="K3878" t="str">
        <f>"85048"</f>
        <v>85048</v>
      </c>
      <c r="L3878" t="s">
        <v>5228</v>
      </c>
      <c r="M3878" t="s">
        <v>24771</v>
      </c>
      <c r="N3878" t="s">
        <v>390</v>
      </c>
      <c r="O3878" t="s">
        <v>111</v>
      </c>
      <c r="P3878" t="str">
        <f>"85048-9451"</f>
        <v>85048-9451</v>
      </c>
      <c r="Q3878" t="s">
        <v>113</v>
      </c>
      <c r="R3878" t="str">
        <f>"301-78-629-A"</f>
        <v>301-78-629-A</v>
      </c>
      <c r="S3878" t="s">
        <v>12630</v>
      </c>
      <c r="T3878" t="s">
        <v>12631</v>
      </c>
      <c r="U3878">
        <v>2516</v>
      </c>
      <c r="V3878">
        <v>0</v>
      </c>
      <c r="W3878">
        <v>4</v>
      </c>
      <c r="X3878">
        <v>1994</v>
      </c>
      <c r="Z3878">
        <v>1</v>
      </c>
      <c r="AA3878" t="s">
        <v>26</v>
      </c>
      <c r="AB3878">
        <v>0</v>
      </c>
      <c r="AC3878" t="s">
        <v>115</v>
      </c>
      <c r="AD3878">
        <v>3</v>
      </c>
      <c r="AE3878" t="s">
        <v>115</v>
      </c>
      <c r="AF3878">
        <v>0</v>
      </c>
      <c r="AG3878">
        <v>0</v>
      </c>
      <c r="AH3878" t="s">
        <v>116</v>
      </c>
      <c r="AI3878" s="1">
        <v>35237</v>
      </c>
      <c r="AJ3878" s="2">
        <v>7.0000000000000007E-2</v>
      </c>
      <c r="AK3878" s="1">
        <v>512487</v>
      </c>
      <c r="AL3878" t="s">
        <v>117</v>
      </c>
      <c r="AM3878" t="s">
        <v>1315</v>
      </c>
      <c r="AN3878">
        <v>14288</v>
      </c>
      <c r="AO3878">
        <v>0.33</v>
      </c>
      <c r="AP3878">
        <v>1</v>
      </c>
      <c r="AR3878">
        <v>1</v>
      </c>
      <c r="AS3878" s="1">
        <v>39060</v>
      </c>
      <c r="AT3878" s="1">
        <v>7810</v>
      </c>
      <c r="AU3878" s="1">
        <v>31250</v>
      </c>
      <c r="AV3878">
        <v>80.010000000000005</v>
      </c>
      <c r="AX3878" s="1">
        <v>4286.9399999999996</v>
      </c>
      <c r="AY3878" t="s">
        <v>928</v>
      </c>
      <c r="AZ3878" t="s">
        <v>929</v>
      </c>
      <c r="BA3878" t="s">
        <v>930</v>
      </c>
      <c r="BE3878" s="3">
        <v>41830</v>
      </c>
      <c r="BF3878" s="1">
        <v>419900</v>
      </c>
      <c r="BG3878" t="s">
        <v>24772</v>
      </c>
      <c r="BH3878" s="1">
        <v>166.89</v>
      </c>
      <c r="BI3878" s="1">
        <v>477250</v>
      </c>
      <c r="BJ3878" s="3">
        <v>42823</v>
      </c>
      <c r="BK3878" t="s">
        <v>123</v>
      </c>
      <c r="BL3878" t="str">
        <f>"2017.219334"</f>
        <v>2017.219334</v>
      </c>
      <c r="BM3878" t="s">
        <v>2489</v>
      </c>
      <c r="BO3878" t="s">
        <v>24773</v>
      </c>
      <c r="BS3878">
        <v>30</v>
      </c>
      <c r="BW3878" t="str">
        <f>""</f>
        <v/>
      </c>
      <c r="CH3878" t="str">
        <f>""</f>
        <v/>
      </c>
      <c r="CS3878" t="str">
        <f>""</f>
        <v/>
      </c>
    </row>
    <row r="3879" spans="1:97" x14ac:dyDescent="0.25">
      <c r="A3879" t="s">
        <v>464</v>
      </c>
      <c r="B3879" t="s">
        <v>24774</v>
      </c>
      <c r="C3879" t="s">
        <v>2281</v>
      </c>
      <c r="D3879" t="s">
        <v>24774</v>
      </c>
      <c r="E3879" t="s">
        <v>24775</v>
      </c>
      <c r="F3879" t="s">
        <v>108</v>
      </c>
      <c r="H3879" t="s">
        <v>24776</v>
      </c>
      <c r="I3879" t="s">
        <v>203</v>
      </c>
      <c r="J3879" t="s">
        <v>111</v>
      </c>
      <c r="K3879" t="str">
        <f>"85233"</f>
        <v>85233</v>
      </c>
      <c r="L3879" t="s">
        <v>8146</v>
      </c>
      <c r="M3879" t="s">
        <v>24776</v>
      </c>
      <c r="N3879" t="s">
        <v>203</v>
      </c>
      <c r="O3879" t="s">
        <v>111</v>
      </c>
      <c r="P3879" t="str">
        <f>"85233-3506"</f>
        <v>85233-3506</v>
      </c>
      <c r="Q3879" t="s">
        <v>113</v>
      </c>
      <c r="R3879" t="str">
        <f>"302-22-159"</f>
        <v>302-22-159</v>
      </c>
      <c r="S3879" t="s">
        <v>24777</v>
      </c>
      <c r="U3879">
        <v>1571</v>
      </c>
      <c r="V3879">
        <v>0</v>
      </c>
      <c r="W3879">
        <v>3</v>
      </c>
      <c r="X3879">
        <v>1995</v>
      </c>
      <c r="Z3879">
        <v>1</v>
      </c>
      <c r="AB3879">
        <v>0</v>
      </c>
      <c r="AC3879" t="s">
        <v>115</v>
      </c>
      <c r="AD3879">
        <v>2</v>
      </c>
      <c r="AE3879" t="s">
        <v>115</v>
      </c>
      <c r="AF3879">
        <v>0</v>
      </c>
      <c r="AG3879">
        <v>0</v>
      </c>
      <c r="AH3879" t="s">
        <v>116</v>
      </c>
      <c r="AI3879" s="1">
        <v>44068</v>
      </c>
      <c r="AJ3879" s="2">
        <v>0.14000000000000001</v>
      </c>
      <c r="AK3879" s="1">
        <v>309032</v>
      </c>
      <c r="AL3879" t="s">
        <v>117</v>
      </c>
      <c r="AM3879" t="s">
        <v>288</v>
      </c>
      <c r="AN3879">
        <v>5354</v>
      </c>
      <c r="AO3879">
        <v>0.12</v>
      </c>
      <c r="AP3879">
        <v>1</v>
      </c>
      <c r="AR3879">
        <v>1</v>
      </c>
      <c r="AS3879" s="1">
        <v>20230</v>
      </c>
      <c r="AT3879" s="1">
        <v>4040</v>
      </c>
      <c r="AU3879" s="1">
        <v>16190</v>
      </c>
      <c r="AV3879">
        <v>80.03</v>
      </c>
      <c r="AX3879" s="1">
        <v>1563.06</v>
      </c>
      <c r="AY3879" t="s">
        <v>9989</v>
      </c>
      <c r="AZ3879" t="s">
        <v>5478</v>
      </c>
      <c r="BA3879" t="s">
        <v>5479</v>
      </c>
      <c r="BE3879" s="3">
        <v>42195</v>
      </c>
      <c r="BF3879" s="1">
        <v>256500</v>
      </c>
      <c r="BG3879" t="s">
        <v>24778</v>
      </c>
      <c r="BH3879" s="1">
        <v>163.27000000000001</v>
      </c>
      <c r="BI3879" s="1">
        <v>264964</v>
      </c>
      <c r="BJ3879" s="3">
        <v>42195</v>
      </c>
      <c r="BK3879" t="s">
        <v>123</v>
      </c>
      <c r="BL3879" t="str">
        <f>"2015.497854"</f>
        <v>2015.497854</v>
      </c>
      <c r="BM3879" t="s">
        <v>1287</v>
      </c>
      <c r="BO3879" t="s">
        <v>24779</v>
      </c>
      <c r="BS3879">
        <v>30</v>
      </c>
      <c r="BW3879" t="str">
        <f>""</f>
        <v/>
      </c>
      <c r="CH3879" t="str">
        <f>""</f>
        <v/>
      </c>
      <c r="CS3879" t="str">
        <f>""</f>
        <v/>
      </c>
    </row>
    <row r="3880" spans="1:97" x14ac:dyDescent="0.25">
      <c r="A3880" t="s">
        <v>24780</v>
      </c>
      <c r="B3880" t="s">
        <v>482</v>
      </c>
      <c r="C3880" t="s">
        <v>24781</v>
      </c>
      <c r="D3880" t="s">
        <v>482</v>
      </c>
      <c r="E3880" t="s">
        <v>24782</v>
      </c>
      <c r="F3880" t="s">
        <v>108</v>
      </c>
      <c r="H3880" t="s">
        <v>24783</v>
      </c>
      <c r="I3880" t="s">
        <v>225</v>
      </c>
      <c r="J3880" t="s">
        <v>111</v>
      </c>
      <c r="K3880" t="str">
        <f>"85212"</f>
        <v>85212</v>
      </c>
      <c r="L3880" t="s">
        <v>6595</v>
      </c>
      <c r="M3880" t="s">
        <v>24783</v>
      </c>
      <c r="N3880" t="s">
        <v>225</v>
      </c>
      <c r="O3880" t="s">
        <v>111</v>
      </c>
      <c r="P3880" t="str">
        <f>"85212-3211"</f>
        <v>85212-3211</v>
      </c>
      <c r="Q3880" t="s">
        <v>113</v>
      </c>
      <c r="R3880" t="str">
        <f>"304-89-258"</f>
        <v>304-89-258</v>
      </c>
      <c r="S3880" t="s">
        <v>8842</v>
      </c>
      <c r="T3880" t="s">
        <v>8842</v>
      </c>
      <c r="U3880">
        <v>2013</v>
      </c>
      <c r="V3880">
        <v>0</v>
      </c>
      <c r="W3880">
        <v>3</v>
      </c>
      <c r="X3880">
        <v>2016</v>
      </c>
      <c r="Z3880">
        <v>1</v>
      </c>
      <c r="AB3880">
        <v>0</v>
      </c>
      <c r="AC3880" t="s">
        <v>115</v>
      </c>
      <c r="AD3880">
        <v>2</v>
      </c>
      <c r="AE3880" t="s">
        <v>115</v>
      </c>
      <c r="AF3880">
        <v>0</v>
      </c>
      <c r="AG3880">
        <v>0</v>
      </c>
      <c r="AH3880" t="s">
        <v>116</v>
      </c>
      <c r="AI3880" s="1">
        <v>69114</v>
      </c>
      <c r="AJ3880" s="2">
        <v>0.2</v>
      </c>
      <c r="AK3880" s="1">
        <v>347614</v>
      </c>
      <c r="AL3880" t="s">
        <v>117</v>
      </c>
      <c r="AM3880" t="s">
        <v>191</v>
      </c>
      <c r="AN3880">
        <v>6600</v>
      </c>
      <c r="AO3880">
        <v>0.15</v>
      </c>
      <c r="AR3880">
        <v>1</v>
      </c>
      <c r="AS3880" s="1">
        <v>23950</v>
      </c>
      <c r="AT3880" s="1">
        <v>4790</v>
      </c>
      <c r="AU3880" s="1">
        <v>19160</v>
      </c>
      <c r="AV3880">
        <v>80</v>
      </c>
      <c r="AX3880" s="1">
        <v>1808.48</v>
      </c>
      <c r="AY3880" t="s">
        <v>560</v>
      </c>
      <c r="AZ3880" t="s">
        <v>561</v>
      </c>
      <c r="BA3880" t="s">
        <v>194</v>
      </c>
      <c r="BB3880" s="3">
        <v>42650</v>
      </c>
      <c r="BD3880" t="s">
        <v>3523</v>
      </c>
      <c r="BE3880" s="3">
        <v>42543</v>
      </c>
      <c r="BF3880" s="1">
        <v>284228</v>
      </c>
      <c r="BG3880" t="s">
        <v>8843</v>
      </c>
      <c r="BH3880" s="1">
        <v>141.19999999999999</v>
      </c>
      <c r="BI3880" s="1">
        <v>278500</v>
      </c>
      <c r="BJ3880" s="3">
        <v>43033</v>
      </c>
      <c r="BK3880" t="s">
        <v>123</v>
      </c>
      <c r="BL3880" t="str">
        <f>"2017.790229"</f>
        <v>2017.790229</v>
      </c>
      <c r="BM3880" t="s">
        <v>14513</v>
      </c>
      <c r="BO3880" t="s">
        <v>24784</v>
      </c>
      <c r="BP3880" t="s">
        <v>24785</v>
      </c>
      <c r="BS3880">
        <v>30</v>
      </c>
      <c r="BW3880" t="str">
        <f>""</f>
        <v/>
      </c>
      <c r="CH3880" t="str">
        <f>""</f>
        <v/>
      </c>
      <c r="CS3880" t="str">
        <f>""</f>
        <v/>
      </c>
    </row>
    <row r="3881" spans="1:97" x14ac:dyDescent="0.25">
      <c r="A3881" t="s">
        <v>370</v>
      </c>
      <c r="B3881" t="s">
        <v>6396</v>
      </c>
      <c r="C3881" t="s">
        <v>2019</v>
      </c>
      <c r="D3881" t="s">
        <v>6396</v>
      </c>
      <c r="E3881" t="s">
        <v>24786</v>
      </c>
      <c r="F3881" t="s">
        <v>108</v>
      </c>
      <c r="H3881" t="s">
        <v>24787</v>
      </c>
      <c r="I3881" t="s">
        <v>390</v>
      </c>
      <c r="J3881" t="s">
        <v>111</v>
      </c>
      <c r="K3881" t="str">
        <f>"85022"</f>
        <v>85022</v>
      </c>
      <c r="L3881" t="s">
        <v>6145</v>
      </c>
      <c r="M3881" t="s">
        <v>24787</v>
      </c>
      <c r="N3881" t="s">
        <v>390</v>
      </c>
      <c r="O3881" t="s">
        <v>111</v>
      </c>
      <c r="P3881" t="str">
        <f>"85022-3505"</f>
        <v>85022-3505</v>
      </c>
      <c r="Q3881" t="s">
        <v>113</v>
      </c>
      <c r="R3881" t="str">
        <f>"214-17-143"</f>
        <v>214-17-143</v>
      </c>
      <c r="S3881" t="s">
        <v>20222</v>
      </c>
      <c r="T3881" t="s">
        <v>20223</v>
      </c>
      <c r="U3881">
        <v>2884</v>
      </c>
      <c r="V3881">
        <v>0</v>
      </c>
      <c r="W3881">
        <v>3</v>
      </c>
      <c r="X3881">
        <v>1979</v>
      </c>
      <c r="Z3881">
        <v>1</v>
      </c>
      <c r="AA3881" t="s">
        <v>26</v>
      </c>
      <c r="AB3881">
        <v>0</v>
      </c>
      <c r="AC3881" t="s">
        <v>115</v>
      </c>
      <c r="AD3881">
        <v>2</v>
      </c>
      <c r="AE3881" t="s">
        <v>115</v>
      </c>
      <c r="AF3881">
        <v>0</v>
      </c>
      <c r="AG3881">
        <v>0</v>
      </c>
      <c r="AH3881" t="s">
        <v>116</v>
      </c>
      <c r="AI3881" s="1">
        <v>108745</v>
      </c>
      <c r="AJ3881" s="2">
        <v>0.23</v>
      </c>
      <c r="AK3881" s="1">
        <v>464745</v>
      </c>
      <c r="AL3881" t="s">
        <v>117</v>
      </c>
      <c r="AM3881" t="s">
        <v>1302</v>
      </c>
      <c r="AN3881">
        <v>9924</v>
      </c>
      <c r="AO3881">
        <v>0.23</v>
      </c>
      <c r="AP3881">
        <v>1</v>
      </c>
      <c r="AR3881">
        <v>1</v>
      </c>
      <c r="AS3881" s="1">
        <v>32930</v>
      </c>
      <c r="AT3881" s="1">
        <v>6580</v>
      </c>
      <c r="AU3881" s="1">
        <v>26350</v>
      </c>
      <c r="AV3881">
        <v>80.02</v>
      </c>
      <c r="AX3881" s="1">
        <v>3288.3</v>
      </c>
      <c r="AY3881" t="s">
        <v>5802</v>
      </c>
      <c r="AZ3881" t="s">
        <v>5489</v>
      </c>
      <c r="BA3881" t="s">
        <v>5232</v>
      </c>
      <c r="BE3881" s="3">
        <v>42304</v>
      </c>
      <c r="BF3881" s="1">
        <v>356000</v>
      </c>
      <c r="BG3881" t="s">
        <v>24788</v>
      </c>
      <c r="BH3881" s="1">
        <v>123.44</v>
      </c>
      <c r="BI3881" s="1">
        <v>356000</v>
      </c>
      <c r="BJ3881" s="3">
        <v>42304</v>
      </c>
      <c r="BK3881" t="s">
        <v>123</v>
      </c>
      <c r="BL3881" t="str">
        <f>"2015.771660"</f>
        <v>2015.771660</v>
      </c>
      <c r="BM3881" t="s">
        <v>5534</v>
      </c>
      <c r="BO3881" t="s">
        <v>24789</v>
      </c>
      <c r="BS3881">
        <v>30</v>
      </c>
      <c r="BW3881" t="str">
        <f>""</f>
        <v/>
      </c>
      <c r="CH3881" t="str">
        <f>""</f>
        <v/>
      </c>
      <c r="CS3881" t="str">
        <f>""</f>
        <v/>
      </c>
    </row>
    <row r="3882" spans="1:97" x14ac:dyDescent="0.25">
      <c r="A3882" t="s">
        <v>370</v>
      </c>
      <c r="B3882" t="s">
        <v>24790</v>
      </c>
      <c r="C3882" t="s">
        <v>1906</v>
      </c>
      <c r="D3882" t="s">
        <v>24790</v>
      </c>
      <c r="E3882" t="s">
        <v>24791</v>
      </c>
      <c r="F3882" t="s">
        <v>108</v>
      </c>
      <c r="H3882" t="s">
        <v>24792</v>
      </c>
      <c r="I3882" t="s">
        <v>453</v>
      </c>
      <c r="J3882" t="s">
        <v>111</v>
      </c>
      <c r="K3882" t="str">
        <f>"85382"</f>
        <v>85382</v>
      </c>
      <c r="L3882" t="s">
        <v>5910</v>
      </c>
      <c r="M3882" t="s">
        <v>24792</v>
      </c>
      <c r="N3882" t="s">
        <v>453</v>
      </c>
      <c r="O3882" t="s">
        <v>111</v>
      </c>
      <c r="P3882" t="str">
        <f>"85382-5191"</f>
        <v>85382-5191</v>
      </c>
      <c r="Q3882" t="s">
        <v>113</v>
      </c>
      <c r="R3882" t="str">
        <f>"231-24-219"</f>
        <v>231-24-219</v>
      </c>
      <c r="S3882" t="s">
        <v>24793</v>
      </c>
      <c r="T3882" t="s">
        <v>6310</v>
      </c>
      <c r="U3882">
        <v>2100</v>
      </c>
      <c r="V3882">
        <v>0</v>
      </c>
      <c r="W3882">
        <v>3</v>
      </c>
      <c r="X3882">
        <v>1999</v>
      </c>
      <c r="Z3882">
        <v>1</v>
      </c>
      <c r="AA3882" t="s">
        <v>26</v>
      </c>
      <c r="AB3882">
        <v>0</v>
      </c>
      <c r="AC3882" t="s">
        <v>115</v>
      </c>
      <c r="AD3882">
        <v>3</v>
      </c>
      <c r="AE3882" t="s">
        <v>115</v>
      </c>
      <c r="AF3882">
        <v>0</v>
      </c>
      <c r="AG3882">
        <v>0</v>
      </c>
      <c r="AH3882" t="s">
        <v>116</v>
      </c>
      <c r="AI3882" s="1">
        <v>140738</v>
      </c>
      <c r="AJ3882" s="2">
        <v>0.4</v>
      </c>
      <c r="AK3882" s="1">
        <v>355709</v>
      </c>
      <c r="AL3882" t="s">
        <v>117</v>
      </c>
      <c r="AM3882" t="s">
        <v>118</v>
      </c>
      <c r="AN3882">
        <v>7020</v>
      </c>
      <c r="AO3882">
        <v>0.16</v>
      </c>
      <c r="AP3882">
        <v>1</v>
      </c>
      <c r="AR3882">
        <v>1</v>
      </c>
      <c r="AS3882" s="1">
        <v>26310</v>
      </c>
      <c r="AT3882" s="1">
        <v>5260</v>
      </c>
      <c r="AU3882" s="1">
        <v>21050</v>
      </c>
      <c r="AV3882">
        <v>80.010000000000005</v>
      </c>
      <c r="AX3882" s="1">
        <v>2149.66</v>
      </c>
      <c r="AY3882" t="s">
        <v>6311</v>
      </c>
      <c r="AZ3882" t="s">
        <v>6311</v>
      </c>
      <c r="BA3882" t="s">
        <v>4219</v>
      </c>
      <c r="BE3882" s="3">
        <v>41744</v>
      </c>
      <c r="BF3882" s="1">
        <v>265100</v>
      </c>
      <c r="BG3882" t="s">
        <v>24794</v>
      </c>
      <c r="BH3882" s="1">
        <v>126.24</v>
      </c>
      <c r="BI3882" s="1">
        <v>214971</v>
      </c>
      <c r="BJ3882" s="3">
        <v>41955</v>
      </c>
      <c r="BK3882" t="s">
        <v>123</v>
      </c>
      <c r="BL3882" t="str">
        <f>"2014.749179"</f>
        <v>2014.749179</v>
      </c>
      <c r="BM3882" t="s">
        <v>475</v>
      </c>
      <c r="BO3882" t="s">
        <v>24795</v>
      </c>
      <c r="BS3882">
        <v>30</v>
      </c>
      <c r="BW3882" t="str">
        <f>""</f>
        <v/>
      </c>
      <c r="CH3882" t="str">
        <f>""</f>
        <v/>
      </c>
      <c r="CS3882" t="str">
        <f>""</f>
        <v/>
      </c>
    </row>
    <row r="3883" spans="1:97" x14ac:dyDescent="0.25">
      <c r="A3883" t="s">
        <v>2123</v>
      </c>
      <c r="B3883" t="s">
        <v>24796</v>
      </c>
      <c r="C3883" t="s">
        <v>24797</v>
      </c>
      <c r="D3883" t="s">
        <v>24796</v>
      </c>
      <c r="E3883" t="s">
        <v>24798</v>
      </c>
      <c r="F3883" t="s">
        <v>108</v>
      </c>
      <c r="H3883" t="s">
        <v>24799</v>
      </c>
      <c r="I3883" t="s">
        <v>453</v>
      </c>
      <c r="J3883" t="s">
        <v>111</v>
      </c>
      <c r="K3883" t="str">
        <f>"85383"</f>
        <v>85383</v>
      </c>
      <c r="L3883" t="s">
        <v>2220</v>
      </c>
      <c r="M3883" t="s">
        <v>24799</v>
      </c>
      <c r="N3883" t="s">
        <v>453</v>
      </c>
      <c r="O3883" t="s">
        <v>111</v>
      </c>
      <c r="P3883" t="str">
        <f>"85383-1875"</f>
        <v>85383-1875</v>
      </c>
      <c r="Q3883" t="s">
        <v>113</v>
      </c>
      <c r="R3883" t="str">
        <f>"201-14-461"</f>
        <v>201-14-461</v>
      </c>
      <c r="S3883" t="s">
        <v>10328</v>
      </c>
      <c r="T3883" t="s">
        <v>10329</v>
      </c>
      <c r="U3883">
        <v>3980</v>
      </c>
      <c r="V3883">
        <v>0</v>
      </c>
      <c r="W3883">
        <v>6</v>
      </c>
      <c r="X3883">
        <v>2014</v>
      </c>
      <c r="Z3883">
        <v>1</v>
      </c>
      <c r="AB3883">
        <v>0</v>
      </c>
      <c r="AC3883" t="s">
        <v>115</v>
      </c>
      <c r="AD3883">
        <v>4</v>
      </c>
      <c r="AE3883" t="s">
        <v>115</v>
      </c>
      <c r="AF3883">
        <v>0</v>
      </c>
      <c r="AG3883">
        <v>0</v>
      </c>
      <c r="AH3883" t="s">
        <v>116</v>
      </c>
      <c r="AI3883" s="1">
        <v>59588</v>
      </c>
      <c r="AJ3883" s="2">
        <v>7.0000000000000007E-2</v>
      </c>
      <c r="AK3883" s="1">
        <v>814329</v>
      </c>
      <c r="AL3883" t="s">
        <v>117</v>
      </c>
      <c r="AM3883" t="s">
        <v>376</v>
      </c>
      <c r="AN3883">
        <v>43845</v>
      </c>
      <c r="AO3883">
        <v>1.01</v>
      </c>
      <c r="AR3883">
        <v>1</v>
      </c>
      <c r="AS3883" s="1">
        <v>70930</v>
      </c>
      <c r="AT3883" s="1">
        <v>14180</v>
      </c>
      <c r="AU3883" s="1">
        <v>56750</v>
      </c>
      <c r="AV3883">
        <v>80.010000000000005</v>
      </c>
      <c r="AX3883" s="1">
        <v>7397.3</v>
      </c>
      <c r="AY3883" t="s">
        <v>4218</v>
      </c>
      <c r="AZ3883" t="s">
        <v>4218</v>
      </c>
      <c r="BA3883" t="s">
        <v>4219</v>
      </c>
      <c r="BE3883" s="3">
        <v>41894</v>
      </c>
      <c r="BF3883" s="1">
        <v>696743</v>
      </c>
      <c r="BG3883" t="s">
        <v>292</v>
      </c>
      <c r="BH3883" s="1">
        <v>175.06</v>
      </c>
      <c r="BI3883" s="1">
        <v>618741</v>
      </c>
      <c r="BJ3883" s="3">
        <v>42723</v>
      </c>
      <c r="BK3883" t="s">
        <v>123</v>
      </c>
      <c r="BL3883" t="str">
        <f>"2016.934117"</f>
        <v>2016.934117</v>
      </c>
      <c r="BM3883" t="s">
        <v>1695</v>
      </c>
      <c r="BN3883" t="s">
        <v>3082</v>
      </c>
      <c r="BO3883" t="s">
        <v>24800</v>
      </c>
      <c r="BS3883">
        <v>30</v>
      </c>
      <c r="BT3883" s="1">
        <v>136000</v>
      </c>
      <c r="BU3883" s="3">
        <v>43312</v>
      </c>
      <c r="BW3883" t="str">
        <f>"2018.578001"</f>
        <v>2018.578001</v>
      </c>
      <c r="BX3883" t="s">
        <v>342</v>
      </c>
      <c r="BY3883" t="s">
        <v>343</v>
      </c>
      <c r="BZ3883" t="s">
        <v>24801</v>
      </c>
      <c r="CA3883" t="s">
        <v>24802</v>
      </c>
      <c r="CC3883" t="s">
        <v>346</v>
      </c>
      <c r="CH3883" t="str">
        <f>""</f>
        <v/>
      </c>
      <c r="CS3883" t="str">
        <f>""</f>
        <v/>
      </c>
    </row>
    <row r="3884" spans="1:97" x14ac:dyDescent="0.25">
      <c r="A3884" t="s">
        <v>894</v>
      </c>
      <c r="B3884" t="s">
        <v>24803</v>
      </c>
      <c r="C3884" t="s">
        <v>713</v>
      </c>
      <c r="D3884" t="s">
        <v>24804</v>
      </c>
      <c r="E3884" t="s">
        <v>24805</v>
      </c>
      <c r="F3884" t="s">
        <v>108</v>
      </c>
      <c r="H3884" t="s">
        <v>24806</v>
      </c>
      <c r="I3884" t="s">
        <v>225</v>
      </c>
      <c r="J3884" t="s">
        <v>111</v>
      </c>
      <c r="K3884" t="str">
        <f>"85205"</f>
        <v>85205</v>
      </c>
      <c r="L3884" t="s">
        <v>6169</v>
      </c>
      <c r="M3884" t="s">
        <v>24806</v>
      </c>
      <c r="N3884" t="s">
        <v>225</v>
      </c>
      <c r="O3884" t="s">
        <v>111</v>
      </c>
      <c r="P3884" t="str">
        <f>"85205-3545"</f>
        <v>85205-3545</v>
      </c>
      <c r="Q3884" t="s">
        <v>113</v>
      </c>
      <c r="R3884" t="str">
        <f>"141-45-224"</f>
        <v>141-45-224</v>
      </c>
      <c r="S3884" t="s">
        <v>24807</v>
      </c>
      <c r="T3884" t="s">
        <v>24808</v>
      </c>
      <c r="U3884">
        <v>1941</v>
      </c>
      <c r="V3884">
        <v>0</v>
      </c>
      <c r="W3884">
        <v>3</v>
      </c>
      <c r="X3884">
        <v>1993</v>
      </c>
      <c r="Z3884">
        <v>1</v>
      </c>
      <c r="AA3884" t="s">
        <v>26</v>
      </c>
      <c r="AB3884">
        <v>0</v>
      </c>
      <c r="AC3884" t="s">
        <v>115</v>
      </c>
      <c r="AD3884">
        <v>2</v>
      </c>
      <c r="AE3884" t="s">
        <v>115</v>
      </c>
      <c r="AF3884">
        <v>0</v>
      </c>
      <c r="AG3884">
        <v>0</v>
      </c>
      <c r="AH3884" t="s">
        <v>116</v>
      </c>
      <c r="AI3884" s="1">
        <v>78349</v>
      </c>
      <c r="AJ3884" s="2">
        <v>0.23</v>
      </c>
      <c r="AK3884" s="1">
        <v>334349</v>
      </c>
      <c r="AL3884" t="s">
        <v>117</v>
      </c>
      <c r="AM3884" t="s">
        <v>393</v>
      </c>
      <c r="AN3884">
        <v>8955</v>
      </c>
      <c r="AO3884">
        <v>0.21</v>
      </c>
      <c r="AP3884">
        <v>1</v>
      </c>
      <c r="AR3884">
        <v>1</v>
      </c>
      <c r="AS3884" s="1">
        <v>23650</v>
      </c>
      <c r="AT3884" s="1">
        <v>4730</v>
      </c>
      <c r="AU3884" s="1">
        <v>18920</v>
      </c>
      <c r="AV3884">
        <v>80</v>
      </c>
      <c r="AX3884" s="1">
        <v>1994.76</v>
      </c>
      <c r="AY3884" t="s">
        <v>5274</v>
      </c>
      <c r="AZ3884" t="s">
        <v>5275</v>
      </c>
      <c r="BA3884" t="s">
        <v>3119</v>
      </c>
      <c r="BE3884" s="3">
        <v>42243</v>
      </c>
      <c r="BF3884" s="1">
        <v>256000</v>
      </c>
      <c r="BG3884" t="s">
        <v>24809</v>
      </c>
      <c r="BH3884" s="1">
        <v>131.88999999999999</v>
      </c>
      <c r="BI3884" s="1">
        <v>256000</v>
      </c>
      <c r="BJ3884" s="3">
        <v>42243</v>
      </c>
      <c r="BK3884" t="s">
        <v>123</v>
      </c>
      <c r="BL3884" t="str">
        <f>"2015.621695"</f>
        <v>2015.621695</v>
      </c>
      <c r="BM3884" t="s">
        <v>2683</v>
      </c>
      <c r="BO3884" t="s">
        <v>24810</v>
      </c>
      <c r="BP3884" t="s">
        <v>24811</v>
      </c>
      <c r="BS3884">
        <v>30</v>
      </c>
      <c r="BW3884" t="str">
        <f>""</f>
        <v/>
      </c>
      <c r="CH3884" t="str">
        <f>""</f>
        <v/>
      </c>
      <c r="CS3884" t="str">
        <f>""</f>
        <v/>
      </c>
    </row>
    <row r="3885" spans="1:97" x14ac:dyDescent="0.25">
      <c r="A3885" t="s">
        <v>265</v>
      </c>
      <c r="B3885" t="s">
        <v>2894</v>
      </c>
      <c r="C3885" t="s">
        <v>5560</v>
      </c>
      <c r="D3885" t="s">
        <v>2894</v>
      </c>
      <c r="E3885" t="s">
        <v>24812</v>
      </c>
      <c r="F3885" t="s">
        <v>108</v>
      </c>
      <c r="H3885" t="s">
        <v>24813</v>
      </c>
      <c r="I3885" t="s">
        <v>499</v>
      </c>
      <c r="J3885" t="s">
        <v>111</v>
      </c>
      <c r="K3885" t="str">
        <f>"85395"</f>
        <v>85395</v>
      </c>
      <c r="L3885" t="s">
        <v>541</v>
      </c>
      <c r="M3885" t="s">
        <v>24813</v>
      </c>
      <c r="N3885" t="s">
        <v>499</v>
      </c>
      <c r="O3885" t="s">
        <v>111</v>
      </c>
      <c r="P3885" t="str">
        <f>"85395-7540"</f>
        <v>85395-7540</v>
      </c>
      <c r="Q3885" t="s">
        <v>113</v>
      </c>
      <c r="R3885" t="str">
        <f>"508-11-388"</f>
        <v>508-11-388</v>
      </c>
      <c r="S3885" t="s">
        <v>5752</v>
      </c>
      <c r="T3885" t="s">
        <v>5753</v>
      </c>
      <c r="U3885">
        <v>2990</v>
      </c>
      <c r="V3885">
        <v>0</v>
      </c>
      <c r="W3885">
        <v>4</v>
      </c>
      <c r="X3885">
        <v>2014</v>
      </c>
      <c r="Z3885">
        <v>1</v>
      </c>
      <c r="AA3885" t="s">
        <v>26</v>
      </c>
      <c r="AB3885">
        <v>0</v>
      </c>
      <c r="AC3885" t="s">
        <v>115</v>
      </c>
      <c r="AD3885">
        <v>3</v>
      </c>
      <c r="AE3885" t="s">
        <v>115</v>
      </c>
      <c r="AF3885">
        <v>0</v>
      </c>
      <c r="AG3885">
        <v>0</v>
      </c>
      <c r="AH3885" t="s">
        <v>116</v>
      </c>
      <c r="AI3885" s="1">
        <v>106058</v>
      </c>
      <c r="AJ3885" s="2">
        <v>0.22</v>
      </c>
      <c r="AK3885" s="1">
        <v>485808</v>
      </c>
      <c r="AL3885" t="s">
        <v>117</v>
      </c>
      <c r="AM3885" t="s">
        <v>118</v>
      </c>
      <c r="AN3885">
        <v>9322</v>
      </c>
      <c r="AO3885">
        <v>0.21</v>
      </c>
      <c r="AR3885">
        <v>1</v>
      </c>
      <c r="AS3885" s="1">
        <v>35900</v>
      </c>
      <c r="AT3885" s="1">
        <v>7180</v>
      </c>
      <c r="AU3885" s="1">
        <v>28720</v>
      </c>
      <c r="AV3885">
        <v>80</v>
      </c>
      <c r="AX3885" s="1">
        <v>3534</v>
      </c>
      <c r="AY3885" t="s">
        <v>3019</v>
      </c>
      <c r="AZ3885" t="s">
        <v>3020</v>
      </c>
      <c r="BA3885" t="s">
        <v>218</v>
      </c>
      <c r="BE3885" s="3">
        <v>41729</v>
      </c>
      <c r="BF3885" s="1">
        <v>367623</v>
      </c>
      <c r="BG3885" t="s">
        <v>562</v>
      </c>
      <c r="BH3885" s="1">
        <v>122.95</v>
      </c>
      <c r="BI3885" s="1">
        <v>379750</v>
      </c>
      <c r="BJ3885" s="3">
        <v>41729</v>
      </c>
      <c r="BK3885" t="s">
        <v>123</v>
      </c>
      <c r="BL3885" t="str">
        <f>"2014.203229"</f>
        <v>2014.203229</v>
      </c>
      <c r="BM3885" t="s">
        <v>124</v>
      </c>
      <c r="BO3885" t="s">
        <v>24814</v>
      </c>
      <c r="BS3885">
        <v>30</v>
      </c>
      <c r="BW3885" t="str">
        <f>""</f>
        <v/>
      </c>
      <c r="CH3885" t="str">
        <f>""</f>
        <v/>
      </c>
      <c r="CS3885" t="str">
        <f>""</f>
        <v/>
      </c>
    </row>
    <row r="3886" spans="1:97" x14ac:dyDescent="0.25">
      <c r="A3886" t="s">
        <v>1444</v>
      </c>
      <c r="B3886" t="s">
        <v>19147</v>
      </c>
      <c r="C3886" t="s">
        <v>2976</v>
      </c>
      <c r="D3886" t="s">
        <v>24815</v>
      </c>
      <c r="E3886" t="s">
        <v>24816</v>
      </c>
      <c r="F3886" t="s">
        <v>108</v>
      </c>
      <c r="H3886" t="s">
        <v>24817</v>
      </c>
      <c r="I3886" t="s">
        <v>144</v>
      </c>
      <c r="J3886" t="s">
        <v>111</v>
      </c>
      <c r="K3886" t="str">
        <f>"85396"</f>
        <v>85396</v>
      </c>
      <c r="L3886" t="s">
        <v>1244</v>
      </c>
      <c r="M3886" t="s">
        <v>24817</v>
      </c>
      <c r="N3886" t="s">
        <v>144</v>
      </c>
      <c r="O3886" t="s">
        <v>111</v>
      </c>
      <c r="P3886" t="str">
        <f>"85396-8365"</f>
        <v>85396-8365</v>
      </c>
      <c r="Q3886" t="s">
        <v>113</v>
      </c>
      <c r="R3886" t="str">
        <f>"502-81-353"</f>
        <v>502-81-353</v>
      </c>
      <c r="S3886" t="s">
        <v>24818</v>
      </c>
      <c r="U3886">
        <v>1926</v>
      </c>
      <c r="V3886">
        <v>0</v>
      </c>
      <c r="W3886">
        <v>4</v>
      </c>
      <c r="X3886">
        <v>2007</v>
      </c>
      <c r="Z3886">
        <v>2</v>
      </c>
      <c r="AB3886">
        <v>0</v>
      </c>
      <c r="AC3886" t="s">
        <v>115</v>
      </c>
      <c r="AD3886">
        <v>2</v>
      </c>
      <c r="AE3886" t="s">
        <v>115</v>
      </c>
      <c r="AF3886">
        <v>0</v>
      </c>
      <c r="AG3886">
        <v>0</v>
      </c>
      <c r="AH3886" t="s">
        <v>116</v>
      </c>
      <c r="AI3886" s="1">
        <v>74070</v>
      </c>
      <c r="AJ3886" s="2">
        <v>0.24</v>
      </c>
      <c r="AK3886" s="1">
        <v>310627</v>
      </c>
      <c r="AL3886" t="s">
        <v>117</v>
      </c>
      <c r="AM3886" t="s">
        <v>118</v>
      </c>
      <c r="AN3886">
        <v>6753</v>
      </c>
      <c r="AO3886">
        <v>0.16</v>
      </c>
      <c r="AR3886">
        <v>1</v>
      </c>
      <c r="AS3886" s="1">
        <v>22220</v>
      </c>
      <c r="AT3886" s="1">
        <v>4440</v>
      </c>
      <c r="AU3886" s="1">
        <v>17780</v>
      </c>
      <c r="AV3886">
        <v>80.02</v>
      </c>
      <c r="AX3886" s="1">
        <v>2589.1799999999998</v>
      </c>
      <c r="AY3886" t="s">
        <v>217</v>
      </c>
      <c r="AZ3886" t="s">
        <v>217</v>
      </c>
      <c r="BA3886" t="s">
        <v>218</v>
      </c>
      <c r="BB3886" s="3">
        <v>42185</v>
      </c>
      <c r="BD3886" t="s">
        <v>480</v>
      </c>
      <c r="BE3886" s="3">
        <v>42111</v>
      </c>
      <c r="BF3886" s="1">
        <v>229000</v>
      </c>
      <c r="BG3886" t="s">
        <v>24819</v>
      </c>
      <c r="BH3886" s="1">
        <v>118.9</v>
      </c>
      <c r="BI3886" s="1">
        <v>236557</v>
      </c>
      <c r="BJ3886" s="3">
        <v>42111</v>
      </c>
      <c r="BK3886" t="s">
        <v>123</v>
      </c>
      <c r="BL3886" t="str">
        <f>"2015.266462"</f>
        <v>2015.266462</v>
      </c>
      <c r="BM3886" t="s">
        <v>24820</v>
      </c>
      <c r="BO3886" t="s">
        <v>24821</v>
      </c>
      <c r="BS3886">
        <v>30</v>
      </c>
      <c r="BW3886" t="str">
        <f>""</f>
        <v/>
      </c>
      <c r="CH3886" t="str">
        <f>""</f>
        <v/>
      </c>
      <c r="CS3886" t="str">
        <f>""</f>
        <v/>
      </c>
    </row>
    <row r="3887" spans="1:97" x14ac:dyDescent="0.25">
      <c r="A3887" t="s">
        <v>589</v>
      </c>
      <c r="B3887" t="s">
        <v>2522</v>
      </c>
      <c r="C3887" t="s">
        <v>1692</v>
      </c>
      <c r="D3887" t="s">
        <v>2522</v>
      </c>
      <c r="E3887" t="s">
        <v>24822</v>
      </c>
      <c r="F3887" t="s">
        <v>108</v>
      </c>
      <c r="H3887" t="s">
        <v>24823</v>
      </c>
      <c r="I3887" t="s">
        <v>225</v>
      </c>
      <c r="J3887" t="s">
        <v>111</v>
      </c>
      <c r="K3887" t="str">
        <f>"85213"</f>
        <v>85213</v>
      </c>
      <c r="L3887" t="s">
        <v>7607</v>
      </c>
      <c r="M3887" t="s">
        <v>24823</v>
      </c>
      <c r="N3887" t="s">
        <v>225</v>
      </c>
      <c r="O3887" t="s">
        <v>111</v>
      </c>
      <c r="P3887" t="str">
        <f>"85213-2270"</f>
        <v>85213-2270</v>
      </c>
      <c r="Q3887" t="s">
        <v>113</v>
      </c>
      <c r="R3887" t="str">
        <f>"141-07-122"</f>
        <v>141-07-122</v>
      </c>
      <c r="S3887" t="s">
        <v>23722</v>
      </c>
      <c r="T3887" t="s">
        <v>23722</v>
      </c>
      <c r="U3887">
        <v>2374</v>
      </c>
      <c r="V3887">
        <v>0</v>
      </c>
      <c r="W3887">
        <v>4</v>
      </c>
      <c r="X3887">
        <v>1987</v>
      </c>
      <c r="Z3887">
        <v>1</v>
      </c>
      <c r="AA3887" t="s">
        <v>26</v>
      </c>
      <c r="AB3887">
        <v>0</v>
      </c>
      <c r="AC3887" t="s">
        <v>115</v>
      </c>
      <c r="AD3887">
        <v>2</v>
      </c>
      <c r="AE3887" t="s">
        <v>115</v>
      </c>
      <c r="AF3887">
        <v>0</v>
      </c>
      <c r="AG3887">
        <v>0</v>
      </c>
      <c r="AH3887" t="s">
        <v>116</v>
      </c>
      <c r="AI3887" s="1">
        <v>83390</v>
      </c>
      <c r="AJ3887" s="2">
        <v>0.21</v>
      </c>
      <c r="AK3887" s="1">
        <v>400055</v>
      </c>
      <c r="AL3887" t="s">
        <v>117</v>
      </c>
      <c r="AM3887" t="s">
        <v>917</v>
      </c>
      <c r="AN3887">
        <v>10074</v>
      </c>
      <c r="AO3887">
        <v>0.23</v>
      </c>
      <c r="AP3887">
        <v>1</v>
      </c>
      <c r="AR3887">
        <v>1</v>
      </c>
      <c r="AS3887" s="1">
        <v>29070</v>
      </c>
      <c r="AT3887" s="1">
        <v>5810</v>
      </c>
      <c r="AU3887" s="1">
        <v>23260</v>
      </c>
      <c r="AV3887">
        <v>80.010000000000005</v>
      </c>
      <c r="AX3887" s="1">
        <v>2909.6</v>
      </c>
      <c r="AY3887" t="s">
        <v>11944</v>
      </c>
      <c r="AZ3887" t="s">
        <v>4163</v>
      </c>
      <c r="BA3887" t="s">
        <v>1524</v>
      </c>
      <c r="BE3887" s="3">
        <v>41851</v>
      </c>
      <c r="BF3887" s="1">
        <v>310000</v>
      </c>
      <c r="BG3887" t="s">
        <v>24824</v>
      </c>
      <c r="BH3887" s="1">
        <v>130.58000000000001</v>
      </c>
      <c r="BI3887" s="1">
        <v>316665</v>
      </c>
      <c r="BJ3887" s="3">
        <v>41851</v>
      </c>
      <c r="BK3887" t="s">
        <v>123</v>
      </c>
      <c r="BL3887" t="str">
        <f>"2014.503740"</f>
        <v>2014.503740</v>
      </c>
      <c r="BM3887" t="s">
        <v>1201</v>
      </c>
      <c r="BO3887" t="s">
        <v>24825</v>
      </c>
      <c r="BS3887">
        <v>30</v>
      </c>
      <c r="BW3887" t="str">
        <f>""</f>
        <v/>
      </c>
      <c r="CH3887" t="str">
        <f>""</f>
        <v/>
      </c>
      <c r="CS3887" t="str">
        <f>""</f>
        <v/>
      </c>
    </row>
    <row r="3888" spans="1:97" x14ac:dyDescent="0.25">
      <c r="A3888" t="s">
        <v>3065</v>
      </c>
      <c r="B3888" t="s">
        <v>24826</v>
      </c>
      <c r="C3888" t="s">
        <v>15679</v>
      </c>
      <c r="D3888" t="s">
        <v>24826</v>
      </c>
      <c r="E3888" t="s">
        <v>24827</v>
      </c>
      <c r="F3888" t="s">
        <v>108</v>
      </c>
      <c r="H3888" t="s">
        <v>24828</v>
      </c>
      <c r="I3888" t="s">
        <v>110</v>
      </c>
      <c r="J3888" t="s">
        <v>111</v>
      </c>
      <c r="K3888" t="str">
        <f>"85226"</f>
        <v>85226</v>
      </c>
      <c r="L3888" t="s">
        <v>6691</v>
      </c>
      <c r="M3888" t="s">
        <v>24828</v>
      </c>
      <c r="N3888" t="s">
        <v>110</v>
      </c>
      <c r="O3888" t="s">
        <v>111</v>
      </c>
      <c r="P3888" t="str">
        <f>"85226-1972"</f>
        <v>85226-1972</v>
      </c>
      <c r="Q3888" t="s">
        <v>113</v>
      </c>
      <c r="R3888" t="str">
        <f>"308-03-700"</f>
        <v>308-03-700</v>
      </c>
      <c r="S3888" t="s">
        <v>20229</v>
      </c>
      <c r="T3888" t="s">
        <v>20230</v>
      </c>
      <c r="U3888">
        <v>3076</v>
      </c>
      <c r="V3888">
        <v>0</v>
      </c>
      <c r="W3888">
        <v>4</v>
      </c>
      <c r="X3888">
        <v>1994</v>
      </c>
      <c r="Z3888">
        <v>2</v>
      </c>
      <c r="AA3888" t="s">
        <v>26</v>
      </c>
      <c r="AB3888">
        <v>0</v>
      </c>
      <c r="AC3888" t="s">
        <v>115</v>
      </c>
      <c r="AD3888">
        <v>3</v>
      </c>
      <c r="AE3888" t="s">
        <v>115</v>
      </c>
      <c r="AF3888">
        <v>0</v>
      </c>
      <c r="AG3888">
        <v>0</v>
      </c>
      <c r="AH3888" t="s">
        <v>116</v>
      </c>
      <c r="AI3888" s="1">
        <v>143371</v>
      </c>
      <c r="AJ3888" s="2">
        <v>0.28999999999999998</v>
      </c>
      <c r="AK3888" s="1">
        <v>489426</v>
      </c>
      <c r="AL3888" t="s">
        <v>117</v>
      </c>
      <c r="AM3888" t="s">
        <v>118</v>
      </c>
      <c r="AN3888">
        <v>8555</v>
      </c>
      <c r="AO3888">
        <v>0.2</v>
      </c>
      <c r="AP3888">
        <v>1</v>
      </c>
      <c r="AR3888">
        <v>1</v>
      </c>
      <c r="AS3888" s="1">
        <v>35760</v>
      </c>
      <c r="AT3888" s="1">
        <v>7150</v>
      </c>
      <c r="AU3888" s="1">
        <v>28610</v>
      </c>
      <c r="AV3888">
        <v>80.010000000000005</v>
      </c>
      <c r="AX3888" s="1">
        <v>2935.52</v>
      </c>
      <c r="AY3888" t="s">
        <v>14847</v>
      </c>
      <c r="AZ3888" t="s">
        <v>5201</v>
      </c>
      <c r="BA3888" t="s">
        <v>5202</v>
      </c>
      <c r="BB3888" s="3">
        <v>43637</v>
      </c>
      <c r="BC3888" s="1">
        <v>0</v>
      </c>
      <c r="BD3888" t="s">
        <v>247</v>
      </c>
      <c r="BE3888" s="3">
        <v>41815</v>
      </c>
      <c r="BF3888" s="1">
        <v>390000</v>
      </c>
      <c r="BG3888" t="s">
        <v>24829</v>
      </c>
      <c r="BH3888" s="1">
        <v>126.79</v>
      </c>
      <c r="BI3888" s="1">
        <v>346055</v>
      </c>
      <c r="BJ3888" s="3">
        <v>43637</v>
      </c>
      <c r="BK3888" t="s">
        <v>123</v>
      </c>
      <c r="BL3888" t="str">
        <f>"2019.465900"</f>
        <v>2019.465900</v>
      </c>
      <c r="BM3888" t="s">
        <v>8291</v>
      </c>
      <c r="BN3888" t="s">
        <v>8292</v>
      </c>
      <c r="BO3888" t="s">
        <v>24830</v>
      </c>
      <c r="BP3888" t="s">
        <v>24831</v>
      </c>
      <c r="BR3888" t="s">
        <v>139</v>
      </c>
      <c r="BW3888" t="str">
        <f>""</f>
        <v/>
      </c>
      <c r="CH3888" t="str">
        <f>""</f>
        <v/>
      </c>
      <c r="CS3888" t="str">
        <f>""</f>
        <v/>
      </c>
    </row>
    <row r="3889" spans="1:97" x14ac:dyDescent="0.25">
      <c r="A3889" t="s">
        <v>2729</v>
      </c>
      <c r="B3889" t="s">
        <v>24832</v>
      </c>
      <c r="C3889" t="s">
        <v>933</v>
      </c>
      <c r="D3889" t="s">
        <v>24832</v>
      </c>
      <c r="E3889" t="s">
        <v>24833</v>
      </c>
      <c r="F3889" t="s">
        <v>108</v>
      </c>
      <c r="H3889" t="s">
        <v>24834</v>
      </c>
      <c r="I3889" t="s">
        <v>110</v>
      </c>
      <c r="J3889" t="s">
        <v>111</v>
      </c>
      <c r="K3889" t="str">
        <f>"85249"</f>
        <v>85249</v>
      </c>
      <c r="L3889" t="s">
        <v>3696</v>
      </c>
      <c r="M3889" t="s">
        <v>24834</v>
      </c>
      <c r="N3889" t="s">
        <v>110</v>
      </c>
      <c r="O3889" t="s">
        <v>111</v>
      </c>
      <c r="P3889" t="str">
        <f>"85249-3862"</f>
        <v>85249-3862</v>
      </c>
      <c r="R3889" t="str">
        <f>"304-83-162"</f>
        <v>304-83-162</v>
      </c>
      <c r="S3889" t="s">
        <v>20394</v>
      </c>
      <c r="T3889" t="s">
        <v>18164</v>
      </c>
      <c r="U3889">
        <v>2054</v>
      </c>
      <c r="V3889">
        <v>0</v>
      </c>
      <c r="W3889">
        <v>3</v>
      </c>
      <c r="X3889">
        <v>2001</v>
      </c>
      <c r="Z3889">
        <v>1</v>
      </c>
      <c r="AB3889">
        <v>0</v>
      </c>
      <c r="AC3889" t="s">
        <v>115</v>
      </c>
      <c r="AD3889">
        <v>3</v>
      </c>
      <c r="AE3889" t="s">
        <v>115</v>
      </c>
      <c r="AF3889">
        <v>0</v>
      </c>
      <c r="AG3889">
        <v>0</v>
      </c>
      <c r="AH3889" t="s">
        <v>116</v>
      </c>
      <c r="AI3889" s="1">
        <v>16020</v>
      </c>
      <c r="AJ3889" s="2">
        <v>0.06</v>
      </c>
      <c r="AK3889" s="1">
        <v>289320</v>
      </c>
      <c r="AL3889" t="s">
        <v>117</v>
      </c>
      <c r="AM3889" t="s">
        <v>118</v>
      </c>
      <c r="AN3889">
        <v>8144</v>
      </c>
      <c r="AO3889">
        <v>0.19</v>
      </c>
      <c r="AP3889">
        <v>1</v>
      </c>
      <c r="AR3889">
        <v>1</v>
      </c>
      <c r="AS3889" s="1">
        <v>24070</v>
      </c>
      <c r="AT3889" s="1">
        <v>4810</v>
      </c>
      <c r="AU3889" s="1">
        <v>19260</v>
      </c>
      <c r="AV3889">
        <v>80.02</v>
      </c>
      <c r="AX3889" s="1">
        <v>2004.08</v>
      </c>
      <c r="AY3889" t="s">
        <v>6269</v>
      </c>
      <c r="AZ3889" t="s">
        <v>273</v>
      </c>
      <c r="BA3889" t="s">
        <v>274</v>
      </c>
      <c r="BE3889" s="3">
        <v>42291</v>
      </c>
      <c r="BF3889" s="1">
        <v>289900</v>
      </c>
      <c r="BG3889" t="s">
        <v>24835</v>
      </c>
      <c r="BH3889" s="1">
        <v>141.13999999999999</v>
      </c>
      <c r="BI3889" s="1">
        <v>273300</v>
      </c>
      <c r="BJ3889" s="3">
        <v>42291</v>
      </c>
      <c r="BK3889" t="s">
        <v>123</v>
      </c>
      <c r="BL3889" t="str">
        <f>"2015.739315"</f>
        <v>2015.739315</v>
      </c>
      <c r="BM3889" t="s">
        <v>724</v>
      </c>
      <c r="BN3889" t="s">
        <v>5423</v>
      </c>
      <c r="BO3889" t="s">
        <v>24836</v>
      </c>
      <c r="BS3889">
        <v>30</v>
      </c>
      <c r="BW3889" t="str">
        <f>""</f>
        <v/>
      </c>
      <c r="CH3889" t="str">
        <f>""</f>
        <v/>
      </c>
      <c r="CS3889" t="str">
        <f>""</f>
        <v/>
      </c>
    </row>
    <row r="3890" spans="1:97" x14ac:dyDescent="0.25">
      <c r="A3890" t="s">
        <v>765</v>
      </c>
      <c r="B3890" t="s">
        <v>5890</v>
      </c>
      <c r="C3890" t="s">
        <v>24837</v>
      </c>
      <c r="D3890" t="s">
        <v>5890</v>
      </c>
      <c r="E3890" t="s">
        <v>24838</v>
      </c>
      <c r="F3890" t="s">
        <v>108</v>
      </c>
      <c r="H3890" t="s">
        <v>24839</v>
      </c>
      <c r="I3890" t="s">
        <v>188</v>
      </c>
      <c r="J3890" t="s">
        <v>111</v>
      </c>
      <c r="K3890" t="str">
        <f>"85142"</f>
        <v>85142</v>
      </c>
      <c r="L3890" t="s">
        <v>11339</v>
      </c>
      <c r="M3890" t="s">
        <v>24839</v>
      </c>
      <c r="N3890" t="s">
        <v>188</v>
      </c>
      <c r="O3890" t="s">
        <v>111</v>
      </c>
      <c r="P3890" t="str">
        <f>"85142-5568"</f>
        <v>85142-5568</v>
      </c>
      <c r="Q3890" t="s">
        <v>113</v>
      </c>
      <c r="R3890" t="str">
        <f>"304-62-657"</f>
        <v>304-62-657</v>
      </c>
      <c r="S3890" t="s">
        <v>15775</v>
      </c>
      <c r="T3890" t="s">
        <v>15775</v>
      </c>
      <c r="U3890">
        <v>2912</v>
      </c>
      <c r="V3890">
        <v>0</v>
      </c>
      <c r="W3890">
        <v>4</v>
      </c>
      <c r="X3890">
        <v>2016</v>
      </c>
      <c r="Z3890">
        <v>1</v>
      </c>
      <c r="AB3890">
        <v>0</v>
      </c>
      <c r="AC3890" t="s">
        <v>115</v>
      </c>
      <c r="AD3890">
        <v>2</v>
      </c>
      <c r="AE3890" t="s">
        <v>115</v>
      </c>
      <c r="AF3890">
        <v>0</v>
      </c>
      <c r="AG3890">
        <v>0</v>
      </c>
      <c r="AH3890" t="s">
        <v>116</v>
      </c>
      <c r="AI3890" s="1">
        <v>96672</v>
      </c>
      <c r="AJ3890" s="2">
        <v>0.23</v>
      </c>
      <c r="AK3890" s="1">
        <v>425904</v>
      </c>
      <c r="AL3890" t="s">
        <v>117</v>
      </c>
      <c r="AM3890" t="s">
        <v>171</v>
      </c>
      <c r="AN3890">
        <v>9575</v>
      </c>
      <c r="AO3890">
        <v>0.22</v>
      </c>
      <c r="AR3890">
        <v>1</v>
      </c>
      <c r="AS3890" s="1">
        <v>31270</v>
      </c>
      <c r="AT3890" s="1">
        <v>6250</v>
      </c>
      <c r="AU3890" s="1">
        <v>25020</v>
      </c>
      <c r="AV3890">
        <v>80.010000000000005</v>
      </c>
      <c r="AX3890" s="1">
        <v>3072.74</v>
      </c>
      <c r="AY3890" t="s">
        <v>560</v>
      </c>
      <c r="AZ3890" t="s">
        <v>561</v>
      </c>
      <c r="BA3890" t="s">
        <v>194</v>
      </c>
      <c r="BE3890" s="3">
        <v>42426</v>
      </c>
      <c r="BF3890" s="1">
        <v>318715</v>
      </c>
      <c r="BG3890" t="s">
        <v>15776</v>
      </c>
      <c r="BH3890" s="1">
        <v>109.45</v>
      </c>
      <c r="BI3890" s="1">
        <v>329232</v>
      </c>
      <c r="BJ3890" s="3">
        <v>42426</v>
      </c>
      <c r="BK3890" t="s">
        <v>123</v>
      </c>
      <c r="BL3890" t="str">
        <f>"2016.122157"</f>
        <v>2016.122157</v>
      </c>
      <c r="BM3890" t="s">
        <v>11704</v>
      </c>
      <c r="BO3890" t="s">
        <v>24840</v>
      </c>
      <c r="BS3890">
        <v>30</v>
      </c>
      <c r="BW3890" t="str">
        <f>""</f>
        <v/>
      </c>
      <c r="CH3890" t="str">
        <f>""</f>
        <v/>
      </c>
      <c r="CS3890" t="str">
        <f>""</f>
        <v/>
      </c>
    </row>
    <row r="3891" spans="1:97" x14ac:dyDescent="0.25">
      <c r="B3891" t="s">
        <v>24841</v>
      </c>
      <c r="E3891" t="s">
        <v>24841</v>
      </c>
      <c r="F3891" t="s">
        <v>108</v>
      </c>
      <c r="H3891" t="s">
        <v>24842</v>
      </c>
      <c r="I3891" t="s">
        <v>1936</v>
      </c>
      <c r="J3891" t="s">
        <v>111</v>
      </c>
      <c r="K3891" t="str">
        <f>"85250"</f>
        <v>85250</v>
      </c>
      <c r="L3891" t="s">
        <v>7746</v>
      </c>
      <c r="M3891" t="s">
        <v>24842</v>
      </c>
      <c r="N3891" t="s">
        <v>1936</v>
      </c>
      <c r="O3891" t="s">
        <v>111</v>
      </c>
      <c r="P3891" t="str">
        <f>"85250-5649"</f>
        <v>85250-5649</v>
      </c>
      <c r="Q3891" t="s">
        <v>113</v>
      </c>
      <c r="R3891" t="str">
        <f>"174-11-006"</f>
        <v>174-11-006</v>
      </c>
      <c r="S3891" t="s">
        <v>24843</v>
      </c>
      <c r="T3891" t="s">
        <v>24844</v>
      </c>
      <c r="U3891">
        <v>2616</v>
      </c>
      <c r="V3891">
        <v>0</v>
      </c>
      <c r="W3891">
        <v>4</v>
      </c>
      <c r="X3891">
        <v>1984</v>
      </c>
      <c r="Z3891">
        <v>2</v>
      </c>
      <c r="AA3891" t="s">
        <v>26</v>
      </c>
      <c r="AB3891">
        <v>0</v>
      </c>
      <c r="AC3891" t="s">
        <v>115</v>
      </c>
      <c r="AD3891">
        <v>3</v>
      </c>
      <c r="AE3891" t="s">
        <v>115</v>
      </c>
      <c r="AF3891">
        <v>0</v>
      </c>
      <c r="AG3891">
        <v>0</v>
      </c>
      <c r="AH3891" t="s">
        <v>116</v>
      </c>
      <c r="AI3891" s="1">
        <v>277401</v>
      </c>
      <c r="AJ3891" s="2">
        <v>0.49</v>
      </c>
      <c r="AK3891" s="1">
        <v>564653</v>
      </c>
      <c r="AL3891" t="s">
        <v>117</v>
      </c>
      <c r="AM3891" t="s">
        <v>393</v>
      </c>
      <c r="AN3891">
        <v>8986</v>
      </c>
      <c r="AO3891">
        <v>0.21</v>
      </c>
      <c r="AP3891">
        <v>1</v>
      </c>
      <c r="AR3891">
        <v>1</v>
      </c>
      <c r="AS3891" s="1">
        <v>41480</v>
      </c>
      <c r="AT3891" s="1">
        <v>8290</v>
      </c>
      <c r="AU3891" s="1">
        <v>33190</v>
      </c>
      <c r="AV3891">
        <v>80.010000000000005</v>
      </c>
      <c r="AX3891" s="1">
        <v>2367.1</v>
      </c>
      <c r="AY3891" t="s">
        <v>6974</v>
      </c>
      <c r="AZ3891" t="s">
        <v>6975</v>
      </c>
      <c r="BA3891" t="s">
        <v>6976</v>
      </c>
      <c r="BB3891" s="3">
        <v>42153</v>
      </c>
      <c r="BD3891" t="s">
        <v>240</v>
      </c>
      <c r="BE3891" s="3">
        <v>41907</v>
      </c>
      <c r="BF3891" s="1">
        <v>280000</v>
      </c>
      <c r="BG3891" t="s">
        <v>24845</v>
      </c>
      <c r="BH3891" s="1">
        <v>107.03</v>
      </c>
      <c r="BI3891" s="1">
        <v>287252</v>
      </c>
      <c r="BJ3891" s="3">
        <v>41907</v>
      </c>
      <c r="BK3891" t="s">
        <v>123</v>
      </c>
      <c r="BL3891" t="str">
        <f>"2014.635789"</f>
        <v>2014.635789</v>
      </c>
      <c r="BM3891" t="s">
        <v>1185</v>
      </c>
      <c r="BO3891" t="s">
        <v>24846</v>
      </c>
      <c r="BS3891">
        <v>30</v>
      </c>
      <c r="BW3891" t="str">
        <f>""</f>
        <v/>
      </c>
      <c r="CH3891" t="str">
        <f>""</f>
        <v/>
      </c>
      <c r="CS3891" t="str">
        <f>""</f>
        <v/>
      </c>
    </row>
    <row r="3892" spans="1:97" x14ac:dyDescent="0.25">
      <c r="A3892" t="s">
        <v>2045</v>
      </c>
      <c r="B3892" t="s">
        <v>6495</v>
      </c>
      <c r="C3892" t="s">
        <v>1821</v>
      </c>
      <c r="D3892" t="s">
        <v>6495</v>
      </c>
      <c r="E3892" t="s">
        <v>24847</v>
      </c>
      <c r="F3892" t="s">
        <v>108</v>
      </c>
      <c r="H3892" t="s">
        <v>24848</v>
      </c>
      <c r="I3892" t="s">
        <v>188</v>
      </c>
      <c r="J3892" t="s">
        <v>111</v>
      </c>
      <c r="K3892" t="str">
        <f>"85142"</f>
        <v>85142</v>
      </c>
      <c r="L3892" t="s">
        <v>8146</v>
      </c>
      <c r="M3892" t="s">
        <v>24848</v>
      </c>
      <c r="N3892" t="s">
        <v>188</v>
      </c>
      <c r="O3892" t="s">
        <v>111</v>
      </c>
      <c r="P3892" t="str">
        <f>"85142-4868"</f>
        <v>85142-4868</v>
      </c>
      <c r="Q3892" t="s">
        <v>113</v>
      </c>
      <c r="R3892" t="str">
        <f>"304-67-744"</f>
        <v>304-67-744</v>
      </c>
      <c r="S3892" t="s">
        <v>3270</v>
      </c>
      <c r="T3892" t="s">
        <v>3270</v>
      </c>
      <c r="U3892">
        <v>2517</v>
      </c>
      <c r="V3892">
        <v>0</v>
      </c>
      <c r="W3892">
        <v>4</v>
      </c>
      <c r="X3892">
        <v>2006</v>
      </c>
      <c r="Z3892">
        <v>2</v>
      </c>
      <c r="AB3892">
        <v>0</v>
      </c>
      <c r="AC3892" t="s">
        <v>115</v>
      </c>
      <c r="AD3892">
        <v>2</v>
      </c>
      <c r="AE3892" t="s">
        <v>115</v>
      </c>
      <c r="AF3892">
        <v>0</v>
      </c>
      <c r="AG3892">
        <v>0</v>
      </c>
      <c r="AH3892" t="s">
        <v>116</v>
      </c>
      <c r="AI3892" s="1">
        <v>71971</v>
      </c>
      <c r="AJ3892" s="2">
        <v>0.24</v>
      </c>
      <c r="AK3892" s="1">
        <v>298196</v>
      </c>
      <c r="AL3892" t="s">
        <v>117</v>
      </c>
      <c r="AM3892" t="s">
        <v>5379</v>
      </c>
      <c r="AN3892">
        <v>4192</v>
      </c>
      <c r="AO3892">
        <v>0.96</v>
      </c>
      <c r="AR3892">
        <v>1</v>
      </c>
      <c r="AS3892" s="1">
        <v>19600</v>
      </c>
      <c r="AT3892" s="1">
        <v>3920</v>
      </c>
      <c r="AU3892" s="1">
        <v>15680</v>
      </c>
      <c r="AV3892">
        <v>80</v>
      </c>
      <c r="AX3892" s="1">
        <v>2128.2600000000002</v>
      </c>
      <c r="AY3892" t="s">
        <v>5895</v>
      </c>
      <c r="AZ3892" t="s">
        <v>561</v>
      </c>
      <c r="BA3892" t="s">
        <v>194</v>
      </c>
      <c r="BE3892" s="3">
        <v>42475</v>
      </c>
      <c r="BF3892" s="1">
        <v>220000</v>
      </c>
      <c r="BG3892" t="s">
        <v>24849</v>
      </c>
      <c r="BH3892" s="1">
        <v>87.41</v>
      </c>
      <c r="BI3892" s="1">
        <v>226225</v>
      </c>
      <c r="BJ3892" s="3">
        <v>42874</v>
      </c>
      <c r="BK3892" t="s">
        <v>123</v>
      </c>
      <c r="BL3892" t="str">
        <f>"2017.363008"</f>
        <v>2017.363008</v>
      </c>
      <c r="BM3892" t="s">
        <v>425</v>
      </c>
      <c r="BO3892" t="s">
        <v>24850</v>
      </c>
      <c r="BS3892">
        <v>30</v>
      </c>
      <c r="BW3892" t="str">
        <f>""</f>
        <v/>
      </c>
      <c r="CH3892" t="str">
        <f>""</f>
        <v/>
      </c>
      <c r="CS3892" t="str">
        <f>""</f>
        <v/>
      </c>
    </row>
    <row r="3893" spans="1:97" x14ac:dyDescent="0.25">
      <c r="B3893" t="s">
        <v>24851</v>
      </c>
      <c r="C3893" t="s">
        <v>24852</v>
      </c>
      <c r="E3893" t="s">
        <v>18578</v>
      </c>
      <c r="F3893" t="s">
        <v>108</v>
      </c>
      <c r="H3893" t="s">
        <v>24853</v>
      </c>
      <c r="I3893" t="s">
        <v>167</v>
      </c>
      <c r="J3893" t="s">
        <v>111</v>
      </c>
      <c r="K3893" t="str">
        <f>"85339"</f>
        <v>85339</v>
      </c>
      <c r="L3893" t="s">
        <v>734</v>
      </c>
      <c r="M3893" t="s">
        <v>24853</v>
      </c>
      <c r="N3893" t="s">
        <v>167</v>
      </c>
      <c r="O3893" t="s">
        <v>111</v>
      </c>
      <c r="P3893" t="str">
        <f>"85339-1891"</f>
        <v>85339-1891</v>
      </c>
      <c r="Q3893" t="s">
        <v>113</v>
      </c>
      <c r="R3893" t="str">
        <f>"300-14-185"</f>
        <v>300-14-185</v>
      </c>
      <c r="S3893" t="s">
        <v>24854</v>
      </c>
      <c r="T3893" t="s">
        <v>24854</v>
      </c>
      <c r="U3893">
        <v>2606</v>
      </c>
      <c r="V3893">
        <v>0</v>
      </c>
      <c r="W3893">
        <v>4</v>
      </c>
      <c r="X3893">
        <v>2003</v>
      </c>
      <c r="Z3893">
        <v>1</v>
      </c>
      <c r="AA3893" t="s">
        <v>26</v>
      </c>
      <c r="AB3893">
        <v>0</v>
      </c>
      <c r="AC3893" t="s">
        <v>115</v>
      </c>
      <c r="AD3893">
        <v>3</v>
      </c>
      <c r="AE3893" t="s">
        <v>115</v>
      </c>
      <c r="AF3893">
        <v>0</v>
      </c>
      <c r="AG3893">
        <v>0</v>
      </c>
      <c r="AH3893" t="s">
        <v>116</v>
      </c>
      <c r="AI3893" s="1">
        <v>78567</v>
      </c>
      <c r="AJ3893" s="2">
        <v>0.23</v>
      </c>
      <c r="AK3893" s="1">
        <v>339049</v>
      </c>
      <c r="AL3893" t="s">
        <v>117</v>
      </c>
      <c r="AM3893" t="s">
        <v>1302</v>
      </c>
      <c r="AN3893">
        <v>9789</v>
      </c>
      <c r="AO3893">
        <v>0.22</v>
      </c>
      <c r="AP3893">
        <v>1</v>
      </c>
      <c r="AR3893">
        <v>1</v>
      </c>
      <c r="AS3893" s="1">
        <v>23830</v>
      </c>
      <c r="AT3893" s="1">
        <v>4760</v>
      </c>
      <c r="AU3893" s="1">
        <v>19070</v>
      </c>
      <c r="AV3893">
        <v>80.03</v>
      </c>
      <c r="AX3893" s="1">
        <v>2548.36</v>
      </c>
      <c r="AY3893" t="s">
        <v>5220</v>
      </c>
      <c r="AZ3893" t="s">
        <v>5220</v>
      </c>
      <c r="BA3893" t="s">
        <v>1661</v>
      </c>
      <c r="BB3893" s="3">
        <v>43451</v>
      </c>
      <c r="BC3893" s="1">
        <v>0</v>
      </c>
      <c r="BD3893" t="s">
        <v>247</v>
      </c>
      <c r="BE3893" s="3">
        <v>41816</v>
      </c>
      <c r="BF3893" s="1">
        <v>255000</v>
      </c>
      <c r="BG3893" t="s">
        <v>24855</v>
      </c>
      <c r="BH3893" s="1">
        <v>97.85</v>
      </c>
      <c r="BI3893" s="1">
        <v>260482</v>
      </c>
      <c r="BJ3893" s="3">
        <v>41816</v>
      </c>
      <c r="BK3893" t="s">
        <v>123</v>
      </c>
      <c r="BL3893" t="str">
        <f>"2014.420798"</f>
        <v>2014.420798</v>
      </c>
      <c r="BM3893" t="s">
        <v>135</v>
      </c>
      <c r="BN3893" t="s">
        <v>136</v>
      </c>
      <c r="BO3893" t="s">
        <v>24856</v>
      </c>
      <c r="BS3893">
        <v>30</v>
      </c>
      <c r="BW3893" t="str">
        <f>""</f>
        <v/>
      </c>
      <c r="CH3893" t="str">
        <f>""</f>
        <v/>
      </c>
      <c r="CS3893" t="str">
        <f>""</f>
        <v/>
      </c>
    </row>
    <row r="3894" spans="1:97" x14ac:dyDescent="0.25">
      <c r="B3894" t="s">
        <v>24857</v>
      </c>
      <c r="E3894" t="s">
        <v>24858</v>
      </c>
      <c r="F3894" t="s">
        <v>282</v>
      </c>
      <c r="H3894" t="s">
        <v>24859</v>
      </c>
      <c r="I3894" t="s">
        <v>144</v>
      </c>
      <c r="J3894" t="s">
        <v>111</v>
      </c>
      <c r="K3894" t="str">
        <f>"85396"</f>
        <v>85396</v>
      </c>
      <c r="L3894" t="s">
        <v>541</v>
      </c>
      <c r="M3894" t="s">
        <v>24860</v>
      </c>
      <c r="N3894" t="s">
        <v>24861</v>
      </c>
      <c r="O3894" t="s">
        <v>17983</v>
      </c>
      <c r="P3894" t="str">
        <f>"43130-9115"</f>
        <v>43130-9115</v>
      </c>
      <c r="Q3894" t="s">
        <v>113</v>
      </c>
      <c r="R3894" t="str">
        <f>"502-79-617"</f>
        <v>502-79-617</v>
      </c>
      <c r="S3894" t="s">
        <v>22812</v>
      </c>
      <c r="U3894">
        <v>1742</v>
      </c>
      <c r="V3894">
        <v>0</v>
      </c>
      <c r="W3894">
        <v>3</v>
      </c>
      <c r="X3894">
        <v>2007</v>
      </c>
      <c r="Z3894">
        <v>1</v>
      </c>
      <c r="AA3894" t="s">
        <v>26</v>
      </c>
      <c r="AB3894">
        <v>0</v>
      </c>
      <c r="AC3894" t="s">
        <v>115</v>
      </c>
      <c r="AD3894">
        <v>2</v>
      </c>
      <c r="AE3894" t="s">
        <v>115</v>
      </c>
      <c r="AF3894">
        <v>0</v>
      </c>
      <c r="AG3894">
        <v>0</v>
      </c>
      <c r="AH3894" t="s">
        <v>116</v>
      </c>
      <c r="AI3894" s="1">
        <v>63686</v>
      </c>
      <c r="AJ3894" s="2">
        <v>0.19</v>
      </c>
      <c r="AK3894" s="1">
        <v>340686</v>
      </c>
      <c r="AL3894" t="s">
        <v>117</v>
      </c>
      <c r="AM3894" t="s">
        <v>118</v>
      </c>
      <c r="AN3894">
        <v>7117</v>
      </c>
      <c r="AO3894">
        <v>0.16</v>
      </c>
      <c r="AR3894">
        <v>1</v>
      </c>
      <c r="AS3894" s="1">
        <v>23870</v>
      </c>
      <c r="AT3894" s="1">
        <v>4770</v>
      </c>
      <c r="AU3894" s="1">
        <v>19100</v>
      </c>
      <c r="AV3894">
        <v>80.02</v>
      </c>
      <c r="AX3894" s="1">
        <v>3193.26</v>
      </c>
      <c r="AY3894" t="s">
        <v>543</v>
      </c>
      <c r="AZ3894" t="s">
        <v>504</v>
      </c>
      <c r="BA3894" t="s">
        <v>218</v>
      </c>
      <c r="BB3894" s="3">
        <v>42499</v>
      </c>
      <c r="BD3894" t="s">
        <v>240</v>
      </c>
      <c r="BE3894" s="3">
        <v>42174</v>
      </c>
      <c r="BF3894" s="1">
        <v>277000</v>
      </c>
      <c r="BG3894" t="s">
        <v>24862</v>
      </c>
      <c r="BH3894" s="1">
        <v>159.01</v>
      </c>
      <c r="BI3894" s="1">
        <v>277000</v>
      </c>
      <c r="BJ3894" s="3">
        <v>42174</v>
      </c>
      <c r="BK3894" t="s">
        <v>123</v>
      </c>
      <c r="BL3894" t="str">
        <f>"2015.440700"</f>
        <v>2015.440700</v>
      </c>
      <c r="BM3894" t="s">
        <v>3453</v>
      </c>
      <c r="BO3894" t="s">
        <v>24863</v>
      </c>
      <c r="BS3894">
        <v>30</v>
      </c>
      <c r="BW3894" t="str">
        <f>""</f>
        <v/>
      </c>
      <c r="CH3894" t="str">
        <f>""</f>
        <v/>
      </c>
      <c r="CS3894" t="str">
        <f>""</f>
        <v/>
      </c>
    </row>
    <row r="3895" spans="1:97" x14ac:dyDescent="0.25">
      <c r="A3895" t="s">
        <v>753</v>
      </c>
      <c r="B3895" t="s">
        <v>24864</v>
      </c>
      <c r="C3895" t="s">
        <v>2099</v>
      </c>
      <c r="D3895" t="s">
        <v>24864</v>
      </c>
      <c r="E3895" t="s">
        <v>24865</v>
      </c>
      <c r="F3895" t="s">
        <v>108</v>
      </c>
      <c r="H3895" t="s">
        <v>24866</v>
      </c>
      <c r="I3895" t="s">
        <v>3150</v>
      </c>
      <c r="J3895" t="s">
        <v>111</v>
      </c>
      <c r="K3895" t="str">
        <f>"85340"</f>
        <v>85340</v>
      </c>
      <c r="L3895" t="s">
        <v>2765</v>
      </c>
      <c r="M3895" t="s">
        <v>24866</v>
      </c>
      <c r="N3895" t="s">
        <v>3150</v>
      </c>
      <c r="O3895" t="s">
        <v>111</v>
      </c>
      <c r="P3895" t="str">
        <f>"85340-6245"</f>
        <v>85340-6245</v>
      </c>
      <c r="Q3895" t="s">
        <v>113</v>
      </c>
      <c r="R3895" t="str">
        <f>"502-27-621"</f>
        <v>502-27-621</v>
      </c>
      <c r="S3895" t="s">
        <v>7560</v>
      </c>
      <c r="T3895" t="s">
        <v>7560</v>
      </c>
      <c r="U3895">
        <v>4336</v>
      </c>
      <c r="V3895">
        <v>0</v>
      </c>
      <c r="W3895">
        <v>6</v>
      </c>
      <c r="X3895">
        <v>2013</v>
      </c>
      <c r="Z3895">
        <v>2</v>
      </c>
      <c r="AB3895">
        <v>0</v>
      </c>
      <c r="AC3895" t="s">
        <v>115</v>
      </c>
      <c r="AD3895">
        <v>2</v>
      </c>
      <c r="AE3895" t="s">
        <v>115</v>
      </c>
      <c r="AF3895">
        <v>0</v>
      </c>
      <c r="AG3895">
        <v>0</v>
      </c>
      <c r="AH3895" t="s">
        <v>116</v>
      </c>
      <c r="AI3895" s="1">
        <v>115492</v>
      </c>
      <c r="AJ3895" s="2">
        <v>0.23</v>
      </c>
      <c r="AK3895" s="1">
        <v>512542</v>
      </c>
      <c r="AL3895" t="s">
        <v>117</v>
      </c>
      <c r="AM3895" t="s">
        <v>1302</v>
      </c>
      <c r="AN3895">
        <v>11310</v>
      </c>
      <c r="AO3895">
        <v>0.26</v>
      </c>
      <c r="AR3895">
        <v>1</v>
      </c>
      <c r="AS3895" s="1">
        <v>34550</v>
      </c>
      <c r="AT3895" s="1">
        <v>6910</v>
      </c>
      <c r="AU3895" s="1">
        <v>27640</v>
      </c>
      <c r="AV3895">
        <v>80</v>
      </c>
      <c r="AX3895" s="1">
        <v>3821.94</v>
      </c>
      <c r="AY3895" t="s">
        <v>503</v>
      </c>
      <c r="AZ3895" t="s">
        <v>504</v>
      </c>
      <c r="BA3895" t="s">
        <v>218</v>
      </c>
      <c r="BE3895" s="3">
        <v>42548</v>
      </c>
      <c r="BF3895" s="1">
        <v>385000</v>
      </c>
      <c r="BG3895" t="s">
        <v>17256</v>
      </c>
      <c r="BH3895" s="1">
        <v>89.12</v>
      </c>
      <c r="BI3895" s="1">
        <v>397050</v>
      </c>
      <c r="BJ3895" s="3">
        <v>42548</v>
      </c>
      <c r="BK3895" t="s">
        <v>123</v>
      </c>
      <c r="BL3895" t="str">
        <f>"2016.447590"</f>
        <v>2016.447590</v>
      </c>
      <c r="BM3895" t="s">
        <v>24867</v>
      </c>
      <c r="BO3895" t="s">
        <v>24868</v>
      </c>
      <c r="BS3895">
        <v>30</v>
      </c>
      <c r="BW3895" t="str">
        <f>""</f>
        <v/>
      </c>
      <c r="CH3895" t="str">
        <f>""</f>
        <v/>
      </c>
      <c r="CS3895" t="str">
        <f>""</f>
        <v/>
      </c>
    </row>
    <row r="3896" spans="1:97" x14ac:dyDescent="0.25">
      <c r="A3896" t="s">
        <v>370</v>
      </c>
      <c r="B3896" t="s">
        <v>24869</v>
      </c>
      <c r="C3896" t="s">
        <v>3831</v>
      </c>
      <c r="D3896" t="s">
        <v>24869</v>
      </c>
      <c r="E3896" t="s">
        <v>24870</v>
      </c>
      <c r="F3896" t="s">
        <v>108</v>
      </c>
      <c r="H3896" t="s">
        <v>24871</v>
      </c>
      <c r="I3896" t="s">
        <v>203</v>
      </c>
      <c r="J3896" t="s">
        <v>111</v>
      </c>
      <c r="K3896" t="str">
        <f>"85233"</f>
        <v>85233</v>
      </c>
      <c r="L3896" t="s">
        <v>6595</v>
      </c>
      <c r="M3896" t="s">
        <v>24871</v>
      </c>
      <c r="N3896" t="s">
        <v>203</v>
      </c>
      <c r="O3896" t="s">
        <v>111</v>
      </c>
      <c r="P3896" t="str">
        <f>"85233-6747"</f>
        <v>85233-6747</v>
      </c>
      <c r="Q3896" t="s">
        <v>113</v>
      </c>
      <c r="R3896" t="str">
        <f>"302-96-341"</f>
        <v>302-96-341</v>
      </c>
      <c r="S3896" t="s">
        <v>24872</v>
      </c>
      <c r="T3896" t="s">
        <v>24873</v>
      </c>
      <c r="U3896">
        <v>2787</v>
      </c>
      <c r="V3896">
        <v>0</v>
      </c>
      <c r="W3896">
        <v>4</v>
      </c>
      <c r="X3896">
        <v>1986</v>
      </c>
      <c r="Z3896">
        <v>2</v>
      </c>
      <c r="AA3896" t="s">
        <v>26</v>
      </c>
      <c r="AB3896">
        <v>0</v>
      </c>
      <c r="AC3896" t="s">
        <v>115</v>
      </c>
      <c r="AD3896">
        <v>3</v>
      </c>
      <c r="AE3896" t="s">
        <v>115</v>
      </c>
      <c r="AF3896">
        <v>0</v>
      </c>
      <c r="AG3896">
        <v>0</v>
      </c>
      <c r="AH3896" t="s">
        <v>116</v>
      </c>
      <c r="AI3896" s="1">
        <v>102720</v>
      </c>
      <c r="AJ3896" s="2">
        <v>0.25</v>
      </c>
      <c r="AK3896" s="1">
        <v>412489</v>
      </c>
      <c r="AL3896" t="s">
        <v>117</v>
      </c>
      <c r="AM3896" t="s">
        <v>393</v>
      </c>
      <c r="AN3896">
        <v>8681</v>
      </c>
      <c r="AO3896">
        <v>0.2</v>
      </c>
      <c r="AP3896">
        <v>1</v>
      </c>
      <c r="AR3896">
        <v>1</v>
      </c>
      <c r="AS3896" s="1">
        <v>30310</v>
      </c>
      <c r="AT3896" s="1">
        <v>6060</v>
      </c>
      <c r="AU3896" s="1">
        <v>24250</v>
      </c>
      <c r="AV3896">
        <v>80.010000000000005</v>
      </c>
      <c r="AX3896" s="1">
        <v>2306.88</v>
      </c>
      <c r="AY3896" t="s">
        <v>5477</v>
      </c>
      <c r="AZ3896" t="s">
        <v>5478</v>
      </c>
      <c r="BA3896" t="s">
        <v>5479</v>
      </c>
      <c r="BE3896" s="3">
        <v>42082</v>
      </c>
      <c r="BF3896" s="1">
        <v>303250</v>
      </c>
      <c r="BG3896" t="s">
        <v>24874</v>
      </c>
      <c r="BH3896" s="1">
        <v>108.81</v>
      </c>
      <c r="BI3896" s="1">
        <v>309769</v>
      </c>
      <c r="BJ3896" s="3">
        <v>42082</v>
      </c>
      <c r="BK3896" t="s">
        <v>123</v>
      </c>
      <c r="BL3896" t="str">
        <f>"2015.186035"</f>
        <v>2015.186035</v>
      </c>
      <c r="BM3896" t="s">
        <v>843</v>
      </c>
      <c r="BO3896" t="s">
        <v>24875</v>
      </c>
      <c r="BS3896">
        <v>30</v>
      </c>
      <c r="BW3896" t="str">
        <f>""</f>
        <v/>
      </c>
      <c r="CH3896" t="str">
        <f>""</f>
        <v/>
      </c>
      <c r="CS3896" t="str">
        <f>""</f>
        <v/>
      </c>
    </row>
    <row r="3897" spans="1:97" x14ac:dyDescent="0.25">
      <c r="A3897" t="s">
        <v>24876</v>
      </c>
      <c r="B3897" t="s">
        <v>2104</v>
      </c>
      <c r="C3897" t="s">
        <v>2427</v>
      </c>
      <c r="D3897" t="s">
        <v>2104</v>
      </c>
      <c r="E3897" t="s">
        <v>24877</v>
      </c>
      <c r="F3897" t="s">
        <v>108</v>
      </c>
      <c r="H3897" t="s">
        <v>24878</v>
      </c>
      <c r="I3897" t="s">
        <v>390</v>
      </c>
      <c r="J3897" t="s">
        <v>111</v>
      </c>
      <c r="K3897" t="str">
        <f>"85032"</f>
        <v>85032</v>
      </c>
      <c r="L3897" t="s">
        <v>5464</v>
      </c>
      <c r="M3897" t="s">
        <v>24878</v>
      </c>
      <c r="N3897" t="s">
        <v>390</v>
      </c>
      <c r="O3897" t="s">
        <v>111</v>
      </c>
      <c r="P3897" t="str">
        <f>"85032-5513"</f>
        <v>85032-5513</v>
      </c>
      <c r="Q3897" t="s">
        <v>113</v>
      </c>
      <c r="R3897" t="str">
        <f>"215-69-145"</f>
        <v>215-69-145</v>
      </c>
      <c r="S3897" t="s">
        <v>24879</v>
      </c>
      <c r="T3897" t="s">
        <v>11692</v>
      </c>
      <c r="U3897">
        <v>2214</v>
      </c>
      <c r="V3897">
        <v>0</v>
      </c>
      <c r="W3897">
        <v>3</v>
      </c>
      <c r="X3897">
        <v>1979</v>
      </c>
      <c r="Z3897">
        <v>1</v>
      </c>
      <c r="AA3897" t="s">
        <v>26</v>
      </c>
      <c r="AB3897">
        <v>0</v>
      </c>
      <c r="AC3897" t="s">
        <v>115</v>
      </c>
      <c r="AD3897">
        <v>2</v>
      </c>
      <c r="AE3897" t="s">
        <v>115</v>
      </c>
      <c r="AF3897">
        <v>0</v>
      </c>
      <c r="AG3897">
        <v>0</v>
      </c>
      <c r="AH3897" t="s">
        <v>116</v>
      </c>
      <c r="AI3897" s="1">
        <v>114430</v>
      </c>
      <c r="AJ3897" s="2">
        <v>0.25</v>
      </c>
      <c r="AK3897" s="1">
        <v>464252</v>
      </c>
      <c r="AL3897" t="s">
        <v>117</v>
      </c>
      <c r="AM3897" t="s">
        <v>1302</v>
      </c>
      <c r="AN3897">
        <v>12555</v>
      </c>
      <c r="AO3897">
        <v>0.28999999999999998</v>
      </c>
      <c r="AP3897">
        <v>1</v>
      </c>
      <c r="AR3897">
        <v>1</v>
      </c>
      <c r="AS3897" s="1">
        <v>31630</v>
      </c>
      <c r="AT3897" s="1">
        <v>6320</v>
      </c>
      <c r="AU3897" s="1">
        <v>25310</v>
      </c>
      <c r="AV3897">
        <v>80.02</v>
      </c>
      <c r="AX3897" s="1">
        <v>2942.42</v>
      </c>
      <c r="AY3897" t="s">
        <v>5230</v>
      </c>
      <c r="AZ3897" t="s">
        <v>1317</v>
      </c>
      <c r="BA3897" t="s">
        <v>1318</v>
      </c>
      <c r="BE3897" s="3">
        <v>41810</v>
      </c>
      <c r="BF3897" s="1">
        <v>348500</v>
      </c>
      <c r="BG3897" t="s">
        <v>24880</v>
      </c>
      <c r="BH3897" s="1">
        <v>157.41</v>
      </c>
      <c r="BI3897" s="1">
        <v>349822</v>
      </c>
      <c r="BJ3897" s="3">
        <v>42702</v>
      </c>
      <c r="BK3897" t="s">
        <v>123</v>
      </c>
      <c r="BL3897" t="str">
        <f>"2016.869726"</f>
        <v>2016.869726</v>
      </c>
      <c r="BM3897" t="s">
        <v>402</v>
      </c>
      <c r="BO3897" t="s">
        <v>24881</v>
      </c>
      <c r="BS3897">
        <v>30</v>
      </c>
      <c r="BW3897" t="str">
        <f>""</f>
        <v/>
      </c>
      <c r="CH3897" t="str">
        <f>""</f>
        <v/>
      </c>
      <c r="CS3897" t="str">
        <f>""</f>
        <v/>
      </c>
    </row>
    <row r="3898" spans="1:97" x14ac:dyDescent="0.25">
      <c r="A3898" t="s">
        <v>996</v>
      </c>
      <c r="B3898" t="s">
        <v>24882</v>
      </c>
      <c r="E3898" t="s">
        <v>24883</v>
      </c>
      <c r="F3898" t="s">
        <v>108</v>
      </c>
      <c r="H3898" t="s">
        <v>24884</v>
      </c>
      <c r="I3898" t="s">
        <v>390</v>
      </c>
      <c r="J3898" t="s">
        <v>111</v>
      </c>
      <c r="K3898" t="str">
        <f>"85042"</f>
        <v>85042</v>
      </c>
      <c r="L3898" t="s">
        <v>11136</v>
      </c>
      <c r="M3898" t="s">
        <v>24884</v>
      </c>
      <c r="N3898" t="s">
        <v>390</v>
      </c>
      <c r="O3898" t="s">
        <v>111</v>
      </c>
      <c r="P3898" t="str">
        <f>"85042-6854"</f>
        <v>85042-6854</v>
      </c>
      <c r="Q3898" t="s">
        <v>113</v>
      </c>
      <c r="R3898" t="str">
        <f>"301-33-178"</f>
        <v>301-33-178</v>
      </c>
      <c r="S3898" t="s">
        <v>24885</v>
      </c>
      <c r="T3898" t="s">
        <v>24885</v>
      </c>
      <c r="U3898">
        <v>2259</v>
      </c>
      <c r="V3898">
        <v>0</v>
      </c>
      <c r="W3898">
        <v>3</v>
      </c>
      <c r="X3898">
        <v>2004</v>
      </c>
      <c r="Z3898">
        <v>1</v>
      </c>
      <c r="AA3898" t="s">
        <v>26</v>
      </c>
      <c r="AB3898">
        <v>0</v>
      </c>
      <c r="AC3898" t="s">
        <v>115</v>
      </c>
      <c r="AD3898">
        <v>3</v>
      </c>
      <c r="AE3898" t="s">
        <v>115</v>
      </c>
      <c r="AF3898">
        <v>0</v>
      </c>
      <c r="AG3898">
        <v>0</v>
      </c>
      <c r="AH3898" t="s">
        <v>116</v>
      </c>
      <c r="AI3898" s="1">
        <v>79324</v>
      </c>
      <c r="AJ3898" s="2">
        <v>0.21</v>
      </c>
      <c r="AK3898" s="1">
        <v>372938</v>
      </c>
      <c r="AL3898" t="s">
        <v>117</v>
      </c>
      <c r="AM3898" t="s">
        <v>1302</v>
      </c>
      <c r="AN3898">
        <v>9323</v>
      </c>
      <c r="AO3898">
        <v>0.21</v>
      </c>
      <c r="AP3898">
        <v>1</v>
      </c>
      <c r="AR3898">
        <v>1</v>
      </c>
      <c r="AS3898" s="1">
        <v>27030</v>
      </c>
      <c r="AT3898" s="1">
        <v>5400</v>
      </c>
      <c r="AU3898" s="1">
        <v>21630</v>
      </c>
      <c r="AV3898">
        <v>80.02</v>
      </c>
      <c r="AX3898" s="1">
        <v>4223.04</v>
      </c>
      <c r="AY3898" t="s">
        <v>6115</v>
      </c>
      <c r="AZ3898" t="s">
        <v>6115</v>
      </c>
      <c r="BA3898" t="s">
        <v>2860</v>
      </c>
      <c r="BE3898" s="3">
        <v>42226</v>
      </c>
      <c r="BF3898" s="1">
        <v>304500</v>
      </c>
      <c r="BG3898" t="s">
        <v>24886</v>
      </c>
      <c r="BH3898" s="1">
        <v>134.79</v>
      </c>
      <c r="BI3898" s="1">
        <v>293614</v>
      </c>
      <c r="BJ3898" s="3">
        <v>42226</v>
      </c>
      <c r="BK3898" t="s">
        <v>123</v>
      </c>
      <c r="BL3898" t="str">
        <f>"2015.579231"</f>
        <v>2015.579231</v>
      </c>
      <c r="BM3898" t="s">
        <v>2748</v>
      </c>
      <c r="BO3898" t="s">
        <v>24887</v>
      </c>
      <c r="BS3898">
        <v>30</v>
      </c>
      <c r="BW3898" t="str">
        <f>""</f>
        <v/>
      </c>
      <c r="CH3898" t="str">
        <f>""</f>
        <v/>
      </c>
      <c r="CS3898" t="str">
        <f>""</f>
        <v/>
      </c>
    </row>
    <row r="3899" spans="1:97" x14ac:dyDescent="0.25">
      <c r="A3899" t="s">
        <v>24888</v>
      </c>
      <c r="B3899" t="s">
        <v>1820</v>
      </c>
      <c r="C3899" t="s">
        <v>970</v>
      </c>
      <c r="D3899" t="s">
        <v>1820</v>
      </c>
      <c r="E3899" t="s">
        <v>24889</v>
      </c>
      <c r="F3899" t="s">
        <v>108</v>
      </c>
      <c r="H3899" t="s">
        <v>24890</v>
      </c>
      <c r="I3899" t="s">
        <v>3150</v>
      </c>
      <c r="J3899" t="s">
        <v>111</v>
      </c>
      <c r="K3899" t="str">
        <f>"85340"</f>
        <v>85340</v>
      </c>
      <c r="L3899" t="s">
        <v>5524</v>
      </c>
      <c r="M3899" t="s">
        <v>24890</v>
      </c>
      <c r="N3899" t="s">
        <v>3150</v>
      </c>
      <c r="O3899" t="s">
        <v>111</v>
      </c>
      <c r="P3899" t="str">
        <f>"85340-4070"</f>
        <v>85340-4070</v>
      </c>
      <c r="Q3899" t="s">
        <v>113</v>
      </c>
      <c r="R3899" t="str">
        <f>"501-62-512"</f>
        <v>501-62-512</v>
      </c>
      <c r="S3899" t="s">
        <v>24891</v>
      </c>
      <c r="T3899" t="s">
        <v>24891</v>
      </c>
      <c r="U3899">
        <v>4457</v>
      </c>
      <c r="V3899">
        <v>0</v>
      </c>
      <c r="W3899">
        <v>5</v>
      </c>
      <c r="X3899">
        <v>2001</v>
      </c>
      <c r="Z3899">
        <v>2</v>
      </c>
      <c r="AA3899" t="s">
        <v>26</v>
      </c>
      <c r="AB3899">
        <v>0</v>
      </c>
      <c r="AC3899" t="s">
        <v>115</v>
      </c>
      <c r="AD3899">
        <v>4</v>
      </c>
      <c r="AE3899" t="s">
        <v>115</v>
      </c>
      <c r="AF3899">
        <v>0</v>
      </c>
      <c r="AG3899">
        <v>0</v>
      </c>
      <c r="AH3899" t="s">
        <v>116</v>
      </c>
      <c r="AI3899" s="1">
        <v>92862</v>
      </c>
      <c r="AJ3899" s="2">
        <v>0.18</v>
      </c>
      <c r="AK3899" s="1">
        <v>502862</v>
      </c>
      <c r="AL3899" t="s">
        <v>117</v>
      </c>
      <c r="AM3899" t="s">
        <v>1302</v>
      </c>
      <c r="AN3899">
        <v>14314</v>
      </c>
      <c r="AO3899">
        <v>0.33</v>
      </c>
      <c r="AP3899">
        <v>1</v>
      </c>
      <c r="AR3899">
        <v>1</v>
      </c>
      <c r="AS3899" s="1">
        <v>37220</v>
      </c>
      <c r="AT3899" s="1">
        <v>7440</v>
      </c>
      <c r="AU3899" s="1">
        <v>29780</v>
      </c>
      <c r="AV3899">
        <v>80.010000000000005</v>
      </c>
      <c r="AX3899" s="1">
        <v>3248.16</v>
      </c>
      <c r="AY3899" t="s">
        <v>6580</v>
      </c>
      <c r="AZ3899" t="s">
        <v>3153</v>
      </c>
      <c r="BA3899" t="s">
        <v>3154</v>
      </c>
      <c r="BE3899" s="3">
        <v>42438</v>
      </c>
      <c r="BF3899" s="1">
        <v>410000</v>
      </c>
      <c r="BG3899" t="s">
        <v>24892</v>
      </c>
      <c r="BH3899" s="1">
        <v>91.99</v>
      </c>
      <c r="BI3899" s="1">
        <v>410000</v>
      </c>
      <c r="BJ3899" s="3">
        <v>42438</v>
      </c>
      <c r="BK3899" t="s">
        <v>123</v>
      </c>
      <c r="BL3899" t="str">
        <f>"2016.152461"</f>
        <v>2016.152461</v>
      </c>
      <c r="BM3899" t="s">
        <v>1185</v>
      </c>
      <c r="BO3899" t="s">
        <v>24893</v>
      </c>
      <c r="BS3899">
        <v>30</v>
      </c>
      <c r="BW3899" t="str">
        <f>""</f>
        <v/>
      </c>
      <c r="CH3899" t="str">
        <f>""</f>
        <v/>
      </c>
      <c r="CS3899" t="str">
        <f>""</f>
        <v/>
      </c>
    </row>
    <row r="3900" spans="1:97" x14ac:dyDescent="0.25">
      <c r="A3900" t="s">
        <v>106</v>
      </c>
      <c r="B3900" t="s">
        <v>24894</v>
      </c>
      <c r="C3900" t="s">
        <v>484</v>
      </c>
      <c r="D3900" t="s">
        <v>24894</v>
      </c>
      <c r="E3900" t="s">
        <v>24895</v>
      </c>
      <c r="F3900" t="s">
        <v>108</v>
      </c>
      <c r="H3900" t="s">
        <v>24896</v>
      </c>
      <c r="I3900" t="s">
        <v>390</v>
      </c>
      <c r="J3900" t="s">
        <v>111</v>
      </c>
      <c r="K3900" t="str">
        <f>"85029"</f>
        <v>85029</v>
      </c>
      <c r="L3900" t="s">
        <v>9069</v>
      </c>
      <c r="M3900" t="s">
        <v>24896</v>
      </c>
      <c r="N3900" t="s">
        <v>390</v>
      </c>
      <c r="O3900" t="s">
        <v>111</v>
      </c>
      <c r="P3900" t="str">
        <f>"85029-1807"</f>
        <v>85029-1807</v>
      </c>
      <c r="Q3900" t="s">
        <v>113</v>
      </c>
      <c r="R3900" t="str">
        <f>"159-03-039"</f>
        <v>159-03-039</v>
      </c>
      <c r="S3900" t="s">
        <v>24897</v>
      </c>
      <c r="T3900" t="s">
        <v>24897</v>
      </c>
      <c r="U3900">
        <v>2277</v>
      </c>
      <c r="V3900">
        <v>0</v>
      </c>
      <c r="W3900">
        <v>2</v>
      </c>
      <c r="X3900">
        <v>1969</v>
      </c>
      <c r="Z3900">
        <v>1</v>
      </c>
      <c r="AA3900" t="s">
        <v>26</v>
      </c>
      <c r="AB3900">
        <v>0</v>
      </c>
      <c r="AC3900" t="s">
        <v>115</v>
      </c>
      <c r="AD3900">
        <v>2</v>
      </c>
      <c r="AE3900" t="s">
        <v>115</v>
      </c>
      <c r="AF3900">
        <v>0</v>
      </c>
      <c r="AG3900">
        <v>0</v>
      </c>
      <c r="AH3900" t="s">
        <v>116</v>
      </c>
      <c r="AI3900" s="1">
        <v>49129</v>
      </c>
      <c r="AJ3900" s="2">
        <v>0.11</v>
      </c>
      <c r="AK3900" s="1">
        <v>434129</v>
      </c>
      <c r="AL3900" t="s">
        <v>117</v>
      </c>
      <c r="AM3900" t="s">
        <v>1302</v>
      </c>
      <c r="AN3900">
        <v>13646</v>
      </c>
      <c r="AO3900">
        <v>0.31</v>
      </c>
      <c r="AP3900">
        <v>1</v>
      </c>
      <c r="AR3900">
        <v>1</v>
      </c>
      <c r="AS3900" s="1">
        <v>29950</v>
      </c>
      <c r="AT3900" s="1">
        <v>5990</v>
      </c>
      <c r="AU3900" s="1">
        <v>23960</v>
      </c>
      <c r="AV3900">
        <v>80</v>
      </c>
      <c r="AX3900" s="1">
        <v>2757.14</v>
      </c>
      <c r="AY3900" t="s">
        <v>9170</v>
      </c>
      <c r="AZ3900" t="s">
        <v>8648</v>
      </c>
      <c r="BA3900" t="s">
        <v>8649</v>
      </c>
      <c r="BE3900" s="3">
        <v>42345</v>
      </c>
      <c r="BF3900" s="1">
        <v>385000</v>
      </c>
      <c r="BG3900" t="s">
        <v>24898</v>
      </c>
      <c r="BH3900" s="1">
        <v>187.17</v>
      </c>
      <c r="BI3900" s="1">
        <v>385000</v>
      </c>
      <c r="BJ3900" s="3">
        <v>42345</v>
      </c>
      <c r="BK3900" t="s">
        <v>123</v>
      </c>
      <c r="BL3900" t="str">
        <f>"2015.865811"</f>
        <v>2015.865811</v>
      </c>
      <c r="BM3900" t="s">
        <v>544</v>
      </c>
      <c r="BO3900" t="s">
        <v>24899</v>
      </c>
      <c r="BS3900">
        <v>30</v>
      </c>
      <c r="BW3900" t="str">
        <f>""</f>
        <v/>
      </c>
      <c r="CH3900" t="str">
        <f>""</f>
        <v/>
      </c>
      <c r="CS3900" t="str">
        <f>""</f>
        <v/>
      </c>
    </row>
    <row r="3901" spans="1:97" x14ac:dyDescent="0.25">
      <c r="A3901" t="s">
        <v>815</v>
      </c>
      <c r="B3901" t="s">
        <v>24900</v>
      </c>
      <c r="E3901" t="s">
        <v>24901</v>
      </c>
      <c r="F3901" t="s">
        <v>108</v>
      </c>
      <c r="H3901" t="s">
        <v>24902</v>
      </c>
      <c r="I3901" t="s">
        <v>2874</v>
      </c>
      <c r="J3901" t="s">
        <v>111</v>
      </c>
      <c r="K3901" t="str">
        <f>"85310"</f>
        <v>85310</v>
      </c>
      <c r="L3901" t="s">
        <v>3885</v>
      </c>
      <c r="M3901" t="s">
        <v>24902</v>
      </c>
      <c r="N3901" t="s">
        <v>2874</v>
      </c>
      <c r="O3901" t="s">
        <v>111</v>
      </c>
      <c r="P3901" t="str">
        <f>"85310-3503"</f>
        <v>85310-3503</v>
      </c>
      <c r="Q3901" t="s">
        <v>113</v>
      </c>
      <c r="R3901" t="str">
        <f>"201-11-527"</f>
        <v>201-11-527</v>
      </c>
      <c r="S3901" t="s">
        <v>24903</v>
      </c>
      <c r="T3901" t="s">
        <v>24904</v>
      </c>
      <c r="U3901">
        <v>2019</v>
      </c>
      <c r="V3901">
        <v>0</v>
      </c>
      <c r="W3901">
        <v>3</v>
      </c>
      <c r="X3901">
        <v>1994</v>
      </c>
      <c r="Z3901">
        <v>1</v>
      </c>
      <c r="AA3901" t="s">
        <v>26</v>
      </c>
      <c r="AB3901">
        <v>0</v>
      </c>
      <c r="AC3901" t="s">
        <v>115</v>
      </c>
      <c r="AD3901">
        <v>2</v>
      </c>
      <c r="AE3901" t="s">
        <v>115</v>
      </c>
      <c r="AF3901">
        <v>0</v>
      </c>
      <c r="AG3901">
        <v>0</v>
      </c>
      <c r="AH3901" t="s">
        <v>116</v>
      </c>
      <c r="AI3901" s="1">
        <v>64662</v>
      </c>
      <c r="AJ3901" s="2">
        <v>0.19</v>
      </c>
      <c r="AK3901" s="1">
        <v>347838</v>
      </c>
      <c r="AL3901" t="s">
        <v>117</v>
      </c>
      <c r="AM3901" t="s">
        <v>191</v>
      </c>
      <c r="AN3901">
        <v>6647</v>
      </c>
      <c r="AO3901">
        <v>0.15</v>
      </c>
      <c r="AP3901">
        <v>1</v>
      </c>
      <c r="AR3901">
        <v>1</v>
      </c>
      <c r="AS3901" s="1">
        <v>24250</v>
      </c>
      <c r="AT3901" s="1">
        <v>4850</v>
      </c>
      <c r="AU3901" s="1">
        <v>19400</v>
      </c>
      <c r="AV3901">
        <v>80</v>
      </c>
      <c r="AX3901" s="1">
        <v>2264.34</v>
      </c>
      <c r="AY3901" t="s">
        <v>5125</v>
      </c>
      <c r="AZ3901" t="s">
        <v>3049</v>
      </c>
      <c r="BA3901" t="s">
        <v>1386</v>
      </c>
      <c r="BE3901" s="3">
        <v>42240</v>
      </c>
      <c r="BF3901" s="1">
        <v>285000</v>
      </c>
      <c r="BG3901" t="s">
        <v>24905</v>
      </c>
      <c r="BH3901" s="1">
        <v>141.16</v>
      </c>
      <c r="BI3901" s="1">
        <v>283176</v>
      </c>
      <c r="BJ3901" s="3">
        <v>42600</v>
      </c>
      <c r="BK3901" t="s">
        <v>123</v>
      </c>
      <c r="BL3901" t="str">
        <f>"2016.591834"</f>
        <v>2016.591834</v>
      </c>
      <c r="BM3901" t="s">
        <v>1185</v>
      </c>
      <c r="BO3901" t="s">
        <v>24906</v>
      </c>
      <c r="BS3901">
        <v>30</v>
      </c>
      <c r="BW3901" t="str">
        <f>""</f>
        <v/>
      </c>
      <c r="CH3901" t="str">
        <f>""</f>
        <v/>
      </c>
      <c r="CS3901" t="str">
        <f>""</f>
        <v/>
      </c>
    </row>
    <row r="3902" spans="1:97" x14ac:dyDescent="0.25">
      <c r="B3902" t="s">
        <v>24907</v>
      </c>
      <c r="C3902" t="s">
        <v>179</v>
      </c>
      <c r="E3902" t="s">
        <v>6448</v>
      </c>
      <c r="F3902" t="s">
        <v>108</v>
      </c>
      <c r="H3902" t="s">
        <v>24908</v>
      </c>
      <c r="I3902" t="s">
        <v>188</v>
      </c>
      <c r="J3902" t="s">
        <v>111</v>
      </c>
      <c r="K3902" t="str">
        <f>"85142"</f>
        <v>85142</v>
      </c>
      <c r="L3902" t="s">
        <v>3645</v>
      </c>
      <c r="M3902" t="s">
        <v>24908</v>
      </c>
      <c r="N3902" t="s">
        <v>188</v>
      </c>
      <c r="O3902" t="s">
        <v>111</v>
      </c>
      <c r="P3902" t="str">
        <f>"85142-5940"</f>
        <v>85142-5940</v>
      </c>
      <c r="Q3902" t="s">
        <v>113</v>
      </c>
      <c r="R3902" t="str">
        <f>"314-08-521"</f>
        <v>314-08-521</v>
      </c>
      <c r="S3902" t="s">
        <v>9258</v>
      </c>
      <c r="T3902" t="s">
        <v>4811</v>
      </c>
      <c r="U3902">
        <v>2302</v>
      </c>
      <c r="V3902">
        <v>0</v>
      </c>
      <c r="W3902">
        <v>4</v>
      </c>
      <c r="X3902">
        <v>2014</v>
      </c>
      <c r="Z3902">
        <v>1</v>
      </c>
      <c r="AB3902">
        <v>0</v>
      </c>
      <c r="AC3902" t="s">
        <v>115</v>
      </c>
      <c r="AD3902">
        <v>3</v>
      </c>
      <c r="AE3902" t="s">
        <v>115</v>
      </c>
      <c r="AF3902">
        <v>0</v>
      </c>
      <c r="AG3902">
        <v>0</v>
      </c>
      <c r="AH3902" t="s">
        <v>116</v>
      </c>
      <c r="AI3902" s="1">
        <v>13144</v>
      </c>
      <c r="AJ3902" s="2">
        <v>0.03</v>
      </c>
      <c r="AK3902" s="1">
        <v>387090</v>
      </c>
      <c r="AL3902" t="s">
        <v>117</v>
      </c>
      <c r="AM3902" t="s">
        <v>393</v>
      </c>
      <c r="AN3902">
        <v>11205</v>
      </c>
      <c r="AO3902">
        <v>0.26</v>
      </c>
      <c r="AR3902">
        <v>1</v>
      </c>
      <c r="AS3902" s="1">
        <v>28450</v>
      </c>
      <c r="AT3902" s="1">
        <v>5690</v>
      </c>
      <c r="AU3902" s="1">
        <v>22760</v>
      </c>
      <c r="AV3902">
        <v>80</v>
      </c>
      <c r="AX3902" s="1">
        <v>2924.9</v>
      </c>
      <c r="AY3902" t="s">
        <v>560</v>
      </c>
      <c r="AZ3902" t="s">
        <v>561</v>
      </c>
      <c r="BA3902" t="s">
        <v>194</v>
      </c>
      <c r="BB3902" s="3">
        <v>43560</v>
      </c>
      <c r="BC3902" s="1">
        <v>0</v>
      </c>
      <c r="BD3902" t="s">
        <v>247</v>
      </c>
      <c r="BE3902" s="3">
        <v>41843</v>
      </c>
      <c r="BF3902" s="1">
        <v>314158</v>
      </c>
      <c r="BG3902" t="s">
        <v>749</v>
      </c>
      <c r="BH3902" s="1">
        <v>136.47</v>
      </c>
      <c r="BI3902" s="1">
        <v>373946</v>
      </c>
      <c r="BJ3902" s="3">
        <v>43311</v>
      </c>
      <c r="BK3902" t="s">
        <v>123</v>
      </c>
      <c r="BL3902" t="str">
        <f>"2018.572536"</f>
        <v>2018.572536</v>
      </c>
      <c r="BM3902" t="s">
        <v>361</v>
      </c>
      <c r="BN3902" t="s">
        <v>884</v>
      </c>
      <c r="BO3902" t="s">
        <v>24909</v>
      </c>
      <c r="BP3902" t="s">
        <v>24910</v>
      </c>
      <c r="BR3902" t="s">
        <v>139</v>
      </c>
      <c r="BW3902" t="str">
        <f>""</f>
        <v/>
      </c>
      <c r="CH3902" t="str">
        <f>""</f>
        <v/>
      </c>
      <c r="CS3902" t="str">
        <f>""</f>
        <v/>
      </c>
    </row>
    <row r="3903" spans="1:97" x14ac:dyDescent="0.25">
      <c r="A3903" t="s">
        <v>639</v>
      </c>
      <c r="B3903" t="s">
        <v>24911</v>
      </c>
      <c r="C3903" t="s">
        <v>24912</v>
      </c>
      <c r="D3903" t="s">
        <v>24913</v>
      </c>
      <c r="E3903" t="s">
        <v>24914</v>
      </c>
      <c r="F3903" t="s">
        <v>108</v>
      </c>
      <c r="H3903" t="s">
        <v>24915</v>
      </c>
      <c r="I3903" t="s">
        <v>390</v>
      </c>
      <c r="J3903" t="s">
        <v>111</v>
      </c>
      <c r="K3903" t="str">
        <f>"85044"</f>
        <v>85044</v>
      </c>
      <c r="L3903" t="s">
        <v>10491</v>
      </c>
      <c r="M3903" t="s">
        <v>24915</v>
      </c>
      <c r="N3903" t="s">
        <v>390</v>
      </c>
      <c r="O3903" t="s">
        <v>111</v>
      </c>
      <c r="P3903" t="str">
        <f>"85044"</f>
        <v>85044</v>
      </c>
      <c r="Q3903" t="s">
        <v>113</v>
      </c>
      <c r="R3903" t="str">
        <f>"306-01-902"</f>
        <v>306-01-902</v>
      </c>
      <c r="S3903" t="s">
        <v>24916</v>
      </c>
      <c r="T3903" t="s">
        <v>24916</v>
      </c>
      <c r="U3903">
        <v>2099</v>
      </c>
      <c r="V3903">
        <v>0</v>
      </c>
      <c r="W3903">
        <v>3</v>
      </c>
      <c r="X3903">
        <v>1997</v>
      </c>
      <c r="Z3903">
        <v>1</v>
      </c>
      <c r="AA3903" t="s">
        <v>26</v>
      </c>
      <c r="AB3903">
        <v>0</v>
      </c>
      <c r="AC3903" t="s">
        <v>115</v>
      </c>
      <c r="AD3903">
        <v>3</v>
      </c>
      <c r="AE3903" t="s">
        <v>115</v>
      </c>
      <c r="AF3903">
        <v>0</v>
      </c>
      <c r="AG3903">
        <v>0</v>
      </c>
      <c r="AH3903" t="s">
        <v>116</v>
      </c>
      <c r="AI3903" s="1">
        <v>110941</v>
      </c>
      <c r="AJ3903" s="2">
        <v>0.28000000000000003</v>
      </c>
      <c r="AK3903" s="1">
        <v>398741</v>
      </c>
      <c r="AL3903" t="s">
        <v>117</v>
      </c>
      <c r="AM3903" t="s">
        <v>3345</v>
      </c>
      <c r="AN3903">
        <v>6917</v>
      </c>
      <c r="AO3903">
        <v>0.16</v>
      </c>
      <c r="AP3903">
        <v>1</v>
      </c>
      <c r="AR3903">
        <v>1</v>
      </c>
      <c r="AS3903" s="1">
        <v>29580</v>
      </c>
      <c r="AT3903" s="1">
        <v>5910</v>
      </c>
      <c r="AU3903" s="1">
        <v>23670</v>
      </c>
      <c r="AV3903">
        <v>80.02</v>
      </c>
      <c r="AX3903" s="1">
        <v>2989.62</v>
      </c>
      <c r="AY3903" t="s">
        <v>7254</v>
      </c>
      <c r="AZ3903" t="s">
        <v>7255</v>
      </c>
      <c r="BA3903" t="s">
        <v>5328</v>
      </c>
      <c r="BE3903" s="3">
        <v>41795</v>
      </c>
      <c r="BF3903" s="1">
        <v>325000</v>
      </c>
      <c r="BG3903" t="s">
        <v>24917</v>
      </c>
      <c r="BH3903" s="1">
        <v>154.84</v>
      </c>
      <c r="BI3903" s="1">
        <v>287800</v>
      </c>
      <c r="BJ3903" s="3">
        <v>42732</v>
      </c>
      <c r="BK3903" t="s">
        <v>123</v>
      </c>
      <c r="BL3903" t="str">
        <f>"2016.955820"</f>
        <v>2016.955820</v>
      </c>
      <c r="BM3903" t="s">
        <v>255</v>
      </c>
      <c r="BO3903" t="s">
        <v>24918</v>
      </c>
      <c r="BP3903" t="s">
        <v>24919</v>
      </c>
      <c r="BS3903">
        <v>30</v>
      </c>
      <c r="BW3903" t="str">
        <f>""</f>
        <v/>
      </c>
      <c r="CH3903" t="str">
        <f>""</f>
        <v/>
      </c>
      <c r="CS3903" t="str">
        <f>""</f>
        <v/>
      </c>
    </row>
    <row r="3904" spans="1:97" x14ac:dyDescent="0.25">
      <c r="A3904" t="s">
        <v>24920</v>
      </c>
      <c r="B3904" t="s">
        <v>327</v>
      </c>
      <c r="C3904" t="s">
        <v>2261</v>
      </c>
      <c r="D3904" t="s">
        <v>327</v>
      </c>
      <c r="E3904" t="s">
        <v>24921</v>
      </c>
      <c r="F3904" t="s">
        <v>108</v>
      </c>
      <c r="H3904" t="s">
        <v>24922</v>
      </c>
      <c r="I3904" t="s">
        <v>632</v>
      </c>
      <c r="J3904" t="s">
        <v>111</v>
      </c>
      <c r="K3904" t="str">
        <f>"85388"</f>
        <v>85388</v>
      </c>
      <c r="L3904" t="s">
        <v>4159</v>
      </c>
      <c r="M3904" t="s">
        <v>24922</v>
      </c>
      <c r="N3904" t="s">
        <v>632</v>
      </c>
      <c r="O3904" t="s">
        <v>111</v>
      </c>
      <c r="P3904" t="str">
        <f>"85388-3109"</f>
        <v>85388-3109</v>
      </c>
      <c r="Q3904" t="s">
        <v>113</v>
      </c>
      <c r="R3904" t="str">
        <f>"502-84-745"</f>
        <v>502-84-745</v>
      </c>
      <c r="S3904" t="s">
        <v>9278</v>
      </c>
      <c r="T3904" t="s">
        <v>9279</v>
      </c>
      <c r="U3904">
        <v>3220</v>
      </c>
      <c r="V3904">
        <v>0</v>
      </c>
      <c r="W3904">
        <v>4</v>
      </c>
      <c r="X3904">
        <v>2006</v>
      </c>
      <c r="Z3904">
        <v>2</v>
      </c>
      <c r="AA3904" t="s">
        <v>26</v>
      </c>
      <c r="AB3904">
        <v>0</v>
      </c>
      <c r="AC3904" t="s">
        <v>115</v>
      </c>
      <c r="AD3904">
        <v>2</v>
      </c>
      <c r="AE3904" t="s">
        <v>115</v>
      </c>
      <c r="AF3904">
        <v>0</v>
      </c>
      <c r="AG3904">
        <v>0</v>
      </c>
      <c r="AH3904" t="s">
        <v>116</v>
      </c>
      <c r="AI3904" s="1">
        <v>22603</v>
      </c>
      <c r="AJ3904" s="2">
        <v>7.0000000000000007E-2</v>
      </c>
      <c r="AK3904" s="1">
        <v>342603</v>
      </c>
      <c r="AL3904" t="s">
        <v>117</v>
      </c>
      <c r="AM3904" t="s">
        <v>118</v>
      </c>
      <c r="AN3904">
        <v>8775</v>
      </c>
      <c r="AO3904">
        <v>0.2</v>
      </c>
      <c r="AR3904">
        <v>1</v>
      </c>
      <c r="AS3904" s="1">
        <v>24760</v>
      </c>
      <c r="AT3904" s="1">
        <v>4950</v>
      </c>
      <c r="AU3904" s="1">
        <v>19810</v>
      </c>
      <c r="AV3904">
        <v>80.010000000000005</v>
      </c>
      <c r="AX3904" s="1">
        <v>2052.46</v>
      </c>
      <c r="AY3904" t="s">
        <v>5168</v>
      </c>
      <c r="AZ3904" t="s">
        <v>5168</v>
      </c>
      <c r="BA3904" t="s">
        <v>5109</v>
      </c>
      <c r="BE3904" s="3">
        <v>41953</v>
      </c>
      <c r="BF3904" s="1">
        <v>226000</v>
      </c>
      <c r="BG3904" t="s">
        <v>12224</v>
      </c>
      <c r="BH3904" s="1">
        <v>70.19</v>
      </c>
      <c r="BI3904" s="1">
        <v>320000</v>
      </c>
      <c r="BJ3904" s="3">
        <v>43634</v>
      </c>
      <c r="BK3904" t="s">
        <v>123</v>
      </c>
      <c r="BL3904" t="str">
        <f>"2019.453372"</f>
        <v>2019.453372</v>
      </c>
      <c r="BM3904" t="s">
        <v>1809</v>
      </c>
      <c r="BN3904" t="s">
        <v>1810</v>
      </c>
      <c r="BO3904" t="s">
        <v>24923</v>
      </c>
      <c r="BP3904" t="s">
        <v>24924</v>
      </c>
      <c r="BR3904" t="s">
        <v>139</v>
      </c>
      <c r="BW3904" t="str">
        <f>""</f>
        <v/>
      </c>
      <c r="CH3904" t="str">
        <f>""</f>
        <v/>
      </c>
      <c r="CS3904" t="str">
        <f>""</f>
        <v/>
      </c>
    </row>
    <row r="3905" spans="1:97" x14ac:dyDescent="0.25">
      <c r="A3905" t="s">
        <v>894</v>
      </c>
      <c r="B3905" t="s">
        <v>8331</v>
      </c>
      <c r="C3905" t="s">
        <v>4515</v>
      </c>
      <c r="D3905" t="s">
        <v>8331</v>
      </c>
      <c r="E3905" t="s">
        <v>24925</v>
      </c>
      <c r="F3905" t="s">
        <v>108</v>
      </c>
      <c r="H3905" t="s">
        <v>24926</v>
      </c>
      <c r="I3905" t="s">
        <v>632</v>
      </c>
      <c r="J3905" t="s">
        <v>111</v>
      </c>
      <c r="K3905" t="str">
        <f>"85374"</f>
        <v>85374</v>
      </c>
      <c r="L3905" t="s">
        <v>10491</v>
      </c>
      <c r="M3905" t="s">
        <v>24926</v>
      </c>
      <c r="N3905" t="s">
        <v>632</v>
      </c>
      <c r="O3905" t="s">
        <v>111</v>
      </c>
      <c r="P3905" t="str">
        <f>"85374-6459"</f>
        <v>85374-6459</v>
      </c>
      <c r="Q3905" t="s">
        <v>113</v>
      </c>
      <c r="R3905" t="str">
        <f>"232-38-363"</f>
        <v>232-38-363</v>
      </c>
      <c r="S3905" t="s">
        <v>10492</v>
      </c>
      <c r="T3905" t="s">
        <v>10492</v>
      </c>
      <c r="U3905">
        <v>1712</v>
      </c>
      <c r="V3905">
        <v>0</v>
      </c>
      <c r="W3905">
        <v>3</v>
      </c>
      <c r="X3905">
        <v>1999</v>
      </c>
      <c r="Z3905">
        <v>1</v>
      </c>
      <c r="AB3905">
        <v>0</v>
      </c>
      <c r="AC3905" t="s">
        <v>115</v>
      </c>
      <c r="AD3905">
        <v>2</v>
      </c>
      <c r="AE3905" t="s">
        <v>115</v>
      </c>
      <c r="AF3905">
        <v>0</v>
      </c>
      <c r="AG3905">
        <v>0</v>
      </c>
      <c r="AH3905" t="s">
        <v>116</v>
      </c>
      <c r="AI3905" s="1">
        <v>58761</v>
      </c>
      <c r="AJ3905" s="2">
        <v>0.22</v>
      </c>
      <c r="AK3905" s="1">
        <v>265361</v>
      </c>
      <c r="AL3905" t="s">
        <v>117</v>
      </c>
      <c r="AM3905" t="s">
        <v>118</v>
      </c>
      <c r="AN3905">
        <v>8400</v>
      </c>
      <c r="AO3905">
        <v>0.19</v>
      </c>
      <c r="AP3905">
        <v>1</v>
      </c>
      <c r="AR3905">
        <v>1</v>
      </c>
      <c r="AS3905" s="1">
        <v>21850</v>
      </c>
      <c r="AT3905" s="1">
        <v>4370</v>
      </c>
      <c r="AU3905" s="1">
        <v>17480</v>
      </c>
      <c r="AV3905">
        <v>80</v>
      </c>
      <c r="AX3905" s="1">
        <v>2258.96</v>
      </c>
      <c r="AY3905" t="s">
        <v>5108</v>
      </c>
      <c r="AZ3905" t="s">
        <v>5108</v>
      </c>
      <c r="BA3905" t="s">
        <v>5109</v>
      </c>
      <c r="BE3905" s="3">
        <v>42200</v>
      </c>
      <c r="BF3905" s="1">
        <v>199700</v>
      </c>
      <c r="BG3905" t="s">
        <v>24927</v>
      </c>
      <c r="BH3905" s="1">
        <v>116.65</v>
      </c>
      <c r="BI3905" s="1">
        <v>206600</v>
      </c>
      <c r="BJ3905" s="3">
        <v>42977</v>
      </c>
      <c r="BK3905" t="s">
        <v>123</v>
      </c>
      <c r="BL3905" t="str">
        <f>"2017.641409"</f>
        <v>2017.641409</v>
      </c>
      <c r="BM3905" t="s">
        <v>2084</v>
      </c>
      <c r="BO3905" t="s">
        <v>24928</v>
      </c>
      <c r="BS3905">
        <v>30</v>
      </c>
      <c r="BW3905" t="str">
        <f>""</f>
        <v/>
      </c>
      <c r="CH3905" t="str">
        <f>""</f>
        <v/>
      </c>
      <c r="CS3905" t="str">
        <f>""</f>
        <v/>
      </c>
    </row>
    <row r="3906" spans="1:97" x14ac:dyDescent="0.25">
      <c r="A3906" t="s">
        <v>14800</v>
      </c>
      <c r="B3906" t="s">
        <v>24929</v>
      </c>
      <c r="C3906" t="s">
        <v>1850</v>
      </c>
      <c r="D3906" t="s">
        <v>24929</v>
      </c>
      <c r="E3906" t="s">
        <v>24930</v>
      </c>
      <c r="F3906" t="s">
        <v>108</v>
      </c>
      <c r="H3906" t="s">
        <v>24931</v>
      </c>
      <c r="I3906" t="s">
        <v>1936</v>
      </c>
      <c r="J3906" t="s">
        <v>111</v>
      </c>
      <c r="K3906" t="str">
        <f>"85260"</f>
        <v>85260</v>
      </c>
      <c r="L3906" t="s">
        <v>6438</v>
      </c>
      <c r="M3906" t="s">
        <v>24931</v>
      </c>
      <c r="N3906" t="s">
        <v>1936</v>
      </c>
      <c r="O3906" t="s">
        <v>111</v>
      </c>
      <c r="P3906" t="str">
        <f>"85260-7619"</f>
        <v>85260-7619</v>
      </c>
      <c r="Q3906" t="s">
        <v>113</v>
      </c>
      <c r="R3906" t="str">
        <f>"217-41-268"</f>
        <v>217-41-268</v>
      </c>
      <c r="S3906" t="s">
        <v>24932</v>
      </c>
      <c r="T3906" t="s">
        <v>24932</v>
      </c>
      <c r="U3906">
        <v>2432</v>
      </c>
      <c r="V3906">
        <v>0</v>
      </c>
      <c r="W3906">
        <v>4</v>
      </c>
      <c r="X3906">
        <v>1992</v>
      </c>
      <c r="Z3906">
        <v>1</v>
      </c>
      <c r="AA3906" t="s">
        <v>26</v>
      </c>
      <c r="AB3906">
        <v>0</v>
      </c>
      <c r="AC3906" t="s">
        <v>115</v>
      </c>
      <c r="AD3906">
        <v>3</v>
      </c>
      <c r="AE3906" t="s">
        <v>115</v>
      </c>
      <c r="AF3906">
        <v>0</v>
      </c>
      <c r="AG3906">
        <v>0</v>
      </c>
      <c r="AH3906" t="s">
        <v>116</v>
      </c>
      <c r="AI3906" s="1">
        <v>79245</v>
      </c>
      <c r="AJ3906" s="2">
        <v>0.14000000000000001</v>
      </c>
      <c r="AK3906" s="1">
        <v>566562</v>
      </c>
      <c r="AL3906" t="s">
        <v>117</v>
      </c>
      <c r="AM3906" t="s">
        <v>393</v>
      </c>
      <c r="AN3906">
        <v>7800</v>
      </c>
      <c r="AO3906">
        <v>0.18</v>
      </c>
      <c r="AP3906">
        <v>1</v>
      </c>
      <c r="AR3906">
        <v>1</v>
      </c>
      <c r="AS3906" s="1">
        <v>41310</v>
      </c>
      <c r="AT3906" s="1">
        <v>8260</v>
      </c>
      <c r="AU3906" s="1">
        <v>33050</v>
      </c>
      <c r="AV3906">
        <v>80</v>
      </c>
      <c r="AX3906" s="1">
        <v>2858.18</v>
      </c>
      <c r="AY3906" t="s">
        <v>5904</v>
      </c>
      <c r="AZ3906" t="s">
        <v>5420</v>
      </c>
      <c r="BA3906" t="s">
        <v>5763</v>
      </c>
      <c r="BE3906" s="3">
        <v>42485</v>
      </c>
      <c r="BF3906" s="1">
        <v>490000</v>
      </c>
      <c r="BG3906" t="s">
        <v>24933</v>
      </c>
      <c r="BH3906" s="1">
        <v>201.48</v>
      </c>
      <c r="BI3906" s="1">
        <v>487317</v>
      </c>
      <c r="BJ3906" s="3">
        <v>42485</v>
      </c>
      <c r="BK3906" t="s">
        <v>123</v>
      </c>
      <c r="BL3906" t="str">
        <f>"2016.274906"</f>
        <v>2016.274906</v>
      </c>
      <c r="BM3906" t="s">
        <v>544</v>
      </c>
      <c r="BO3906" t="s">
        <v>24934</v>
      </c>
      <c r="BS3906">
        <v>30</v>
      </c>
      <c r="BW3906" t="str">
        <f>""</f>
        <v/>
      </c>
      <c r="CH3906" t="str">
        <f>""</f>
        <v/>
      </c>
      <c r="CS3906" t="str">
        <f>""</f>
        <v/>
      </c>
    </row>
    <row r="3907" spans="1:97" x14ac:dyDescent="0.25">
      <c r="A3907" t="s">
        <v>2374</v>
      </c>
      <c r="B3907" t="s">
        <v>24935</v>
      </c>
      <c r="E3907" t="s">
        <v>24936</v>
      </c>
      <c r="F3907" t="s">
        <v>108</v>
      </c>
      <c r="H3907" t="s">
        <v>24937</v>
      </c>
      <c r="I3907" t="s">
        <v>110</v>
      </c>
      <c r="J3907" t="s">
        <v>111</v>
      </c>
      <c r="K3907" t="str">
        <f>"85249"</f>
        <v>85249</v>
      </c>
      <c r="L3907" t="s">
        <v>3645</v>
      </c>
      <c r="M3907" t="s">
        <v>24937</v>
      </c>
      <c r="N3907" t="s">
        <v>110</v>
      </c>
      <c r="O3907" t="s">
        <v>111</v>
      </c>
      <c r="P3907" t="str">
        <f>"85249-3557"</f>
        <v>85249-3557</v>
      </c>
      <c r="Q3907" t="s">
        <v>113</v>
      </c>
      <c r="R3907" t="str">
        <f>"303-55-423"</f>
        <v>303-55-423</v>
      </c>
      <c r="S3907" t="s">
        <v>20175</v>
      </c>
      <c r="T3907" t="s">
        <v>20175</v>
      </c>
      <c r="U3907">
        <v>3517</v>
      </c>
      <c r="V3907">
        <v>0</v>
      </c>
      <c r="W3907">
        <v>3</v>
      </c>
      <c r="X3907">
        <v>2002</v>
      </c>
      <c r="Z3907">
        <v>2</v>
      </c>
      <c r="AB3907">
        <v>0</v>
      </c>
      <c r="AC3907" t="s">
        <v>115</v>
      </c>
      <c r="AD3907">
        <v>3</v>
      </c>
      <c r="AE3907" t="s">
        <v>115</v>
      </c>
      <c r="AF3907">
        <v>0</v>
      </c>
      <c r="AG3907">
        <v>0</v>
      </c>
      <c r="AH3907" t="s">
        <v>116</v>
      </c>
      <c r="AI3907" s="1">
        <v>109812</v>
      </c>
      <c r="AJ3907" s="2">
        <v>0.25</v>
      </c>
      <c r="AK3907" s="1">
        <v>441799</v>
      </c>
      <c r="AL3907" t="s">
        <v>117</v>
      </c>
      <c r="AM3907" t="s">
        <v>118</v>
      </c>
      <c r="AN3907">
        <v>7150</v>
      </c>
      <c r="AO3907">
        <v>0.16</v>
      </c>
      <c r="AP3907">
        <v>1</v>
      </c>
      <c r="AR3907">
        <v>1</v>
      </c>
      <c r="AS3907" s="1">
        <v>29200</v>
      </c>
      <c r="AT3907" s="1">
        <v>5840</v>
      </c>
      <c r="AU3907" s="1">
        <v>23360</v>
      </c>
      <c r="AV3907">
        <v>80</v>
      </c>
      <c r="AX3907" s="1">
        <v>2551.66</v>
      </c>
      <c r="AY3907" t="s">
        <v>5050</v>
      </c>
      <c r="AZ3907" t="s">
        <v>120</v>
      </c>
      <c r="BA3907" t="s">
        <v>274</v>
      </c>
      <c r="BE3907" s="3">
        <v>42479</v>
      </c>
      <c r="BF3907" s="1">
        <v>325000</v>
      </c>
      <c r="BG3907" t="s">
        <v>24938</v>
      </c>
      <c r="BH3907" s="1">
        <v>92.41</v>
      </c>
      <c r="BI3907" s="1">
        <v>331987</v>
      </c>
      <c r="BJ3907" s="3">
        <v>42479</v>
      </c>
      <c r="BK3907" t="s">
        <v>123</v>
      </c>
      <c r="BL3907" t="str">
        <f>"2016.260614"</f>
        <v>2016.260614</v>
      </c>
      <c r="BM3907" t="s">
        <v>709</v>
      </c>
      <c r="BO3907" t="s">
        <v>24939</v>
      </c>
      <c r="BS3907">
        <v>30</v>
      </c>
      <c r="BW3907" t="str">
        <f>""</f>
        <v/>
      </c>
      <c r="CH3907" t="str">
        <f>""</f>
        <v/>
      </c>
      <c r="CS3907" t="str">
        <f>""</f>
        <v/>
      </c>
    </row>
    <row r="3908" spans="1:97" x14ac:dyDescent="0.25">
      <c r="A3908" t="s">
        <v>1361</v>
      </c>
      <c r="B3908" t="s">
        <v>24940</v>
      </c>
      <c r="E3908" t="s">
        <v>24941</v>
      </c>
      <c r="F3908" t="s">
        <v>282</v>
      </c>
      <c r="H3908" t="s">
        <v>24942</v>
      </c>
      <c r="I3908" t="s">
        <v>110</v>
      </c>
      <c r="J3908" t="s">
        <v>111</v>
      </c>
      <c r="K3908" t="str">
        <f>"85249"</f>
        <v>85249</v>
      </c>
      <c r="L3908" t="s">
        <v>681</v>
      </c>
      <c r="M3908" t="s">
        <v>24943</v>
      </c>
      <c r="N3908" t="s">
        <v>110</v>
      </c>
      <c r="O3908" t="s">
        <v>111</v>
      </c>
      <c r="P3908" t="str">
        <f>"85224-4277"</f>
        <v>85224-4277</v>
      </c>
      <c r="Q3908" t="s">
        <v>113</v>
      </c>
      <c r="R3908" t="str">
        <f>"303-47-268"</f>
        <v>303-47-268</v>
      </c>
      <c r="S3908" t="s">
        <v>12011</v>
      </c>
      <c r="T3908" t="s">
        <v>12011</v>
      </c>
      <c r="U3908">
        <v>3851</v>
      </c>
      <c r="V3908">
        <v>0</v>
      </c>
      <c r="W3908">
        <v>5</v>
      </c>
      <c r="X3908">
        <v>2007</v>
      </c>
      <c r="Z3908">
        <v>2</v>
      </c>
      <c r="AB3908">
        <v>0</v>
      </c>
      <c r="AC3908" t="s">
        <v>115</v>
      </c>
      <c r="AD3908">
        <v>3</v>
      </c>
      <c r="AE3908" t="s">
        <v>115</v>
      </c>
      <c r="AF3908">
        <v>0</v>
      </c>
      <c r="AG3908">
        <v>0</v>
      </c>
      <c r="AH3908" t="s">
        <v>116</v>
      </c>
      <c r="AI3908" s="1">
        <v>152218</v>
      </c>
      <c r="AJ3908" s="2">
        <v>0.27</v>
      </c>
      <c r="AK3908" s="1">
        <v>569218</v>
      </c>
      <c r="AL3908" t="s">
        <v>117</v>
      </c>
      <c r="AM3908" t="s">
        <v>118</v>
      </c>
      <c r="AN3908">
        <v>9344</v>
      </c>
      <c r="AO3908">
        <v>0.22</v>
      </c>
      <c r="AP3908">
        <v>1</v>
      </c>
      <c r="AR3908">
        <v>1</v>
      </c>
      <c r="AS3908" s="1">
        <v>39870</v>
      </c>
      <c r="AT3908" s="1">
        <v>7970</v>
      </c>
      <c r="AU3908" s="1">
        <v>31900</v>
      </c>
      <c r="AV3908">
        <v>80.010000000000005</v>
      </c>
      <c r="AX3908" s="1">
        <v>4033.5</v>
      </c>
      <c r="AY3908" t="s">
        <v>6854</v>
      </c>
      <c r="AZ3908" t="s">
        <v>120</v>
      </c>
      <c r="BA3908" t="s">
        <v>274</v>
      </c>
      <c r="BE3908" s="3">
        <v>41927</v>
      </c>
      <c r="BF3908" s="1">
        <v>450000</v>
      </c>
      <c r="BG3908" t="s">
        <v>24944</v>
      </c>
      <c r="BH3908" s="1">
        <v>116.85</v>
      </c>
      <c r="BI3908" s="1">
        <v>417000</v>
      </c>
      <c r="BJ3908" s="3">
        <v>41927</v>
      </c>
      <c r="BK3908" t="s">
        <v>123</v>
      </c>
      <c r="BL3908" t="str">
        <f>"2014.684383"</f>
        <v>2014.684383</v>
      </c>
      <c r="BM3908" t="s">
        <v>724</v>
      </c>
      <c r="BO3908" t="s">
        <v>24945</v>
      </c>
      <c r="BS3908">
        <v>30</v>
      </c>
      <c r="BW3908" t="str">
        <f>""</f>
        <v/>
      </c>
      <c r="CH3908" t="str">
        <f>""</f>
        <v/>
      </c>
      <c r="CS3908" t="str">
        <f>""</f>
        <v/>
      </c>
    </row>
    <row r="3909" spans="1:97" x14ac:dyDescent="0.25">
      <c r="A3909" t="s">
        <v>177</v>
      </c>
      <c r="B3909" t="s">
        <v>1673</v>
      </c>
      <c r="E3909" t="s">
        <v>24946</v>
      </c>
      <c r="F3909" t="s">
        <v>108</v>
      </c>
      <c r="H3909" t="s">
        <v>24947</v>
      </c>
      <c r="I3909" t="s">
        <v>110</v>
      </c>
      <c r="J3909" t="s">
        <v>111</v>
      </c>
      <c r="K3909" t="str">
        <f>"85249"</f>
        <v>85249</v>
      </c>
      <c r="L3909" t="s">
        <v>567</v>
      </c>
      <c r="M3909" t="s">
        <v>24947</v>
      </c>
      <c r="N3909" t="s">
        <v>110</v>
      </c>
      <c r="O3909" t="s">
        <v>111</v>
      </c>
      <c r="P3909" t="str">
        <f>"85249-7205"</f>
        <v>85249-7205</v>
      </c>
      <c r="Q3909" t="s">
        <v>113</v>
      </c>
      <c r="R3909" t="str">
        <f>"313-09-840"</f>
        <v>313-09-840</v>
      </c>
      <c r="S3909" t="s">
        <v>24948</v>
      </c>
      <c r="U3909">
        <v>3803</v>
      </c>
      <c r="V3909">
        <v>0</v>
      </c>
      <c r="W3909">
        <v>4</v>
      </c>
      <c r="X3909">
        <v>2005</v>
      </c>
      <c r="Z3909">
        <v>2</v>
      </c>
      <c r="AA3909" t="s">
        <v>26</v>
      </c>
      <c r="AB3909">
        <v>0</v>
      </c>
      <c r="AC3909" t="s">
        <v>115</v>
      </c>
      <c r="AD3909">
        <v>3</v>
      </c>
      <c r="AE3909" t="s">
        <v>115</v>
      </c>
      <c r="AF3909">
        <v>0</v>
      </c>
      <c r="AG3909">
        <v>0</v>
      </c>
      <c r="AH3909" t="s">
        <v>116</v>
      </c>
      <c r="AI3909" s="1">
        <v>75288</v>
      </c>
      <c r="AJ3909" s="2">
        <v>0.17</v>
      </c>
      <c r="AK3909" s="1">
        <v>445058</v>
      </c>
      <c r="AL3909" t="s">
        <v>117</v>
      </c>
      <c r="AM3909" t="s">
        <v>118</v>
      </c>
      <c r="AN3909">
        <v>11507</v>
      </c>
      <c r="AO3909">
        <v>0.26</v>
      </c>
      <c r="AR3909">
        <v>1</v>
      </c>
      <c r="AS3909" s="1">
        <v>31960</v>
      </c>
      <c r="AT3909" s="1">
        <v>6390</v>
      </c>
      <c r="AU3909" s="1">
        <v>25570</v>
      </c>
      <c r="AV3909">
        <v>80.010000000000005</v>
      </c>
      <c r="AX3909" s="1">
        <v>2638.96</v>
      </c>
      <c r="AY3909" t="s">
        <v>6269</v>
      </c>
      <c r="AZ3909" t="s">
        <v>273</v>
      </c>
      <c r="BA3909" t="s">
        <v>274</v>
      </c>
      <c r="BE3909" s="3">
        <v>41893</v>
      </c>
      <c r="BF3909" s="1">
        <v>357000</v>
      </c>
      <c r="BG3909" t="s">
        <v>24949</v>
      </c>
      <c r="BH3909" s="1">
        <v>93.87</v>
      </c>
      <c r="BI3909" s="1">
        <v>369770</v>
      </c>
      <c r="BJ3909" s="3">
        <v>42073</v>
      </c>
      <c r="BK3909" t="s">
        <v>123</v>
      </c>
      <c r="BL3909" t="str">
        <f>"2015.160517"</f>
        <v>2015.160517</v>
      </c>
      <c r="BM3909" t="s">
        <v>255</v>
      </c>
      <c r="BO3909" t="s">
        <v>24950</v>
      </c>
      <c r="BS3909">
        <v>30</v>
      </c>
      <c r="BW3909" t="str">
        <f>""</f>
        <v/>
      </c>
      <c r="CH3909" t="str">
        <f>""</f>
        <v/>
      </c>
      <c r="CS3909" t="str">
        <f>""</f>
        <v/>
      </c>
    </row>
    <row r="3910" spans="1:97" x14ac:dyDescent="0.25">
      <c r="A3910" t="s">
        <v>2729</v>
      </c>
      <c r="B3910" t="s">
        <v>24951</v>
      </c>
      <c r="E3910" t="s">
        <v>24952</v>
      </c>
      <c r="F3910" t="s">
        <v>108</v>
      </c>
      <c r="H3910" t="s">
        <v>24953</v>
      </c>
      <c r="I3910" t="s">
        <v>1936</v>
      </c>
      <c r="J3910" t="s">
        <v>111</v>
      </c>
      <c r="K3910" t="str">
        <f>"85254"</f>
        <v>85254</v>
      </c>
      <c r="L3910" t="s">
        <v>5408</v>
      </c>
      <c r="M3910" t="s">
        <v>24953</v>
      </c>
      <c r="N3910" t="s">
        <v>1936</v>
      </c>
      <c r="O3910" t="s">
        <v>111</v>
      </c>
      <c r="P3910" t="str">
        <f>"85254-3979"</f>
        <v>85254-3979</v>
      </c>
      <c r="Q3910" t="s">
        <v>113</v>
      </c>
      <c r="R3910" t="str">
        <f>"175-06-071"</f>
        <v>175-06-071</v>
      </c>
      <c r="S3910" t="s">
        <v>24954</v>
      </c>
      <c r="T3910" t="s">
        <v>24955</v>
      </c>
      <c r="U3910">
        <v>1994</v>
      </c>
      <c r="V3910">
        <v>0</v>
      </c>
      <c r="W3910">
        <v>3</v>
      </c>
      <c r="X3910">
        <v>1976</v>
      </c>
      <c r="Z3910">
        <v>1</v>
      </c>
      <c r="AA3910" t="s">
        <v>26</v>
      </c>
      <c r="AB3910">
        <v>0</v>
      </c>
      <c r="AC3910" t="s">
        <v>115</v>
      </c>
      <c r="AD3910">
        <v>2</v>
      </c>
      <c r="AE3910" t="s">
        <v>115</v>
      </c>
      <c r="AF3910">
        <v>0</v>
      </c>
      <c r="AG3910">
        <v>0</v>
      </c>
      <c r="AH3910" t="s">
        <v>116</v>
      </c>
      <c r="AI3910" s="1">
        <v>131901</v>
      </c>
      <c r="AJ3910" s="2">
        <v>0.27</v>
      </c>
      <c r="AK3910" s="1">
        <v>485187</v>
      </c>
      <c r="AL3910" t="s">
        <v>117</v>
      </c>
      <c r="AM3910" t="s">
        <v>9009</v>
      </c>
      <c r="AN3910">
        <v>10062</v>
      </c>
      <c r="AO3910">
        <v>0.23</v>
      </c>
      <c r="AP3910">
        <v>1</v>
      </c>
      <c r="AR3910">
        <v>1</v>
      </c>
      <c r="AS3910" s="1">
        <v>30850</v>
      </c>
      <c r="AT3910" s="1">
        <v>6170</v>
      </c>
      <c r="AU3910" s="1">
        <v>24680</v>
      </c>
      <c r="AV3910">
        <v>80</v>
      </c>
      <c r="AX3910" s="1">
        <v>2556.34</v>
      </c>
      <c r="AY3910" t="s">
        <v>19772</v>
      </c>
      <c r="AZ3910" t="s">
        <v>7739</v>
      </c>
      <c r="BA3910" t="s">
        <v>6302</v>
      </c>
      <c r="BE3910" s="3">
        <v>41736</v>
      </c>
      <c r="BF3910" s="1">
        <v>316000</v>
      </c>
      <c r="BG3910" t="s">
        <v>24956</v>
      </c>
      <c r="BH3910" s="1">
        <v>158.47999999999999</v>
      </c>
      <c r="BI3910" s="1">
        <v>353286</v>
      </c>
      <c r="BJ3910" s="3">
        <v>42549</v>
      </c>
      <c r="BK3910" t="s">
        <v>123</v>
      </c>
      <c r="BL3910" t="str">
        <f>"2016.452299"</f>
        <v>2016.452299</v>
      </c>
      <c r="BM3910" t="s">
        <v>709</v>
      </c>
      <c r="BO3910" t="s">
        <v>24957</v>
      </c>
      <c r="BS3910">
        <v>30</v>
      </c>
      <c r="BW3910" t="str">
        <f>""</f>
        <v/>
      </c>
      <c r="CH3910" t="str">
        <f>""</f>
        <v/>
      </c>
      <c r="CS3910" t="str">
        <f>""</f>
        <v/>
      </c>
    </row>
    <row r="3911" spans="1:97" x14ac:dyDescent="0.25">
      <c r="A3911" t="s">
        <v>2750</v>
      </c>
      <c r="B3911" t="s">
        <v>24958</v>
      </c>
      <c r="C3911" t="s">
        <v>11986</v>
      </c>
      <c r="D3911" t="s">
        <v>24958</v>
      </c>
      <c r="E3911" t="s">
        <v>24959</v>
      </c>
      <c r="F3911" t="s">
        <v>282</v>
      </c>
      <c r="H3911" t="s">
        <v>24960</v>
      </c>
      <c r="I3911" t="s">
        <v>1936</v>
      </c>
      <c r="J3911" t="s">
        <v>111</v>
      </c>
      <c r="K3911" t="str">
        <f>"85254"</f>
        <v>85254</v>
      </c>
      <c r="L3911" t="s">
        <v>10238</v>
      </c>
      <c r="M3911" t="s">
        <v>24961</v>
      </c>
      <c r="N3911" t="s">
        <v>1936</v>
      </c>
      <c r="O3911" t="s">
        <v>111</v>
      </c>
      <c r="P3911" t="str">
        <f>"85254-1041"</f>
        <v>85254-1041</v>
      </c>
      <c r="Q3911" t="s">
        <v>113</v>
      </c>
      <c r="R3911" t="str">
        <f>"215-32-393"</f>
        <v>215-32-393</v>
      </c>
      <c r="S3911" t="s">
        <v>24962</v>
      </c>
      <c r="T3911" t="s">
        <v>24963</v>
      </c>
      <c r="U3911">
        <v>3560</v>
      </c>
      <c r="V3911">
        <v>0</v>
      </c>
      <c r="W3911">
        <v>5</v>
      </c>
      <c r="X3911">
        <v>1989</v>
      </c>
      <c r="Z3911">
        <v>2</v>
      </c>
      <c r="AA3911" t="s">
        <v>26</v>
      </c>
      <c r="AB3911">
        <v>0</v>
      </c>
      <c r="AC3911" t="s">
        <v>115</v>
      </c>
      <c r="AD3911">
        <v>3</v>
      </c>
      <c r="AE3911" t="s">
        <v>115</v>
      </c>
      <c r="AF3911">
        <v>0</v>
      </c>
      <c r="AG3911">
        <v>0</v>
      </c>
      <c r="AH3911" t="s">
        <v>116</v>
      </c>
      <c r="AI3911" s="1">
        <v>134797</v>
      </c>
      <c r="AJ3911" s="2">
        <v>0.21</v>
      </c>
      <c r="AK3911" s="1">
        <v>644834</v>
      </c>
      <c r="AL3911" t="s">
        <v>117</v>
      </c>
      <c r="AM3911" t="s">
        <v>1302</v>
      </c>
      <c r="AN3911">
        <v>9639</v>
      </c>
      <c r="AO3911">
        <v>0.22</v>
      </c>
      <c r="AP3911">
        <v>1</v>
      </c>
      <c r="AR3911">
        <v>1</v>
      </c>
      <c r="AS3911" s="1">
        <v>48060</v>
      </c>
      <c r="AT3911" s="1">
        <v>9610</v>
      </c>
      <c r="AU3911" s="1">
        <v>38450</v>
      </c>
      <c r="AV3911">
        <v>80</v>
      </c>
      <c r="AX3911" s="1">
        <v>4007.96</v>
      </c>
      <c r="AY3911" t="s">
        <v>1316</v>
      </c>
      <c r="AZ3911" t="s">
        <v>1317</v>
      </c>
      <c r="BA3911" t="s">
        <v>6302</v>
      </c>
      <c r="BB3911" s="3">
        <v>43683</v>
      </c>
      <c r="BC3911" s="1">
        <v>0</v>
      </c>
      <c r="BD3911" t="s">
        <v>247</v>
      </c>
      <c r="BE3911" s="3">
        <v>42426</v>
      </c>
      <c r="BF3911" s="1">
        <v>531000</v>
      </c>
      <c r="BG3911" t="s">
        <v>24964</v>
      </c>
      <c r="BH3911" s="1">
        <v>149.16</v>
      </c>
      <c r="BI3911" s="1">
        <v>510037</v>
      </c>
      <c r="BJ3911" s="3">
        <v>42426</v>
      </c>
      <c r="BK3911" t="s">
        <v>123</v>
      </c>
      <c r="BL3911" t="str">
        <f>"2016.124555"</f>
        <v>2016.124555</v>
      </c>
      <c r="BM3911" t="s">
        <v>544</v>
      </c>
      <c r="BN3911" t="s">
        <v>545</v>
      </c>
      <c r="BO3911" t="s">
        <v>24965</v>
      </c>
      <c r="BS3911">
        <v>30</v>
      </c>
      <c r="BW3911" t="str">
        <f>""</f>
        <v/>
      </c>
      <c r="CH3911" t="str">
        <f>""</f>
        <v/>
      </c>
      <c r="CS3911" t="str">
        <f>""</f>
        <v/>
      </c>
    </row>
    <row r="3912" spans="1:97" x14ac:dyDescent="0.25">
      <c r="A3912" t="s">
        <v>22890</v>
      </c>
      <c r="B3912" t="s">
        <v>2053</v>
      </c>
      <c r="C3912" t="s">
        <v>1959</v>
      </c>
      <c r="D3912" t="s">
        <v>2053</v>
      </c>
      <c r="E3912" t="s">
        <v>24966</v>
      </c>
      <c r="F3912" t="s">
        <v>108</v>
      </c>
      <c r="H3912" t="s">
        <v>24967</v>
      </c>
      <c r="I3912" t="s">
        <v>110</v>
      </c>
      <c r="J3912" t="s">
        <v>111</v>
      </c>
      <c r="K3912" t="str">
        <f>"85249"</f>
        <v>85249</v>
      </c>
      <c r="L3912" t="s">
        <v>417</v>
      </c>
      <c r="M3912" t="s">
        <v>24967</v>
      </c>
      <c r="N3912" t="s">
        <v>110</v>
      </c>
      <c r="O3912" t="s">
        <v>111</v>
      </c>
      <c r="P3912" t="str">
        <f>"85249-5581"</f>
        <v>85249-5581</v>
      </c>
      <c r="Q3912" t="s">
        <v>113</v>
      </c>
      <c r="R3912" t="str">
        <f>"304-82-871"</f>
        <v>304-82-871</v>
      </c>
      <c r="S3912" t="s">
        <v>24968</v>
      </c>
      <c r="T3912" t="s">
        <v>24969</v>
      </c>
      <c r="U3912">
        <v>2803</v>
      </c>
      <c r="V3912">
        <v>0</v>
      </c>
      <c r="W3912">
        <v>4</v>
      </c>
      <c r="X3912">
        <v>2010</v>
      </c>
      <c r="Z3912">
        <v>1</v>
      </c>
      <c r="AA3912" t="s">
        <v>26</v>
      </c>
      <c r="AB3912">
        <v>0</v>
      </c>
      <c r="AC3912" t="s">
        <v>115</v>
      </c>
      <c r="AD3912">
        <v>3</v>
      </c>
      <c r="AE3912" t="s">
        <v>115</v>
      </c>
      <c r="AF3912">
        <v>0</v>
      </c>
      <c r="AG3912">
        <v>0</v>
      </c>
      <c r="AH3912" t="s">
        <v>116</v>
      </c>
      <c r="AI3912" s="1">
        <v>79971</v>
      </c>
      <c r="AJ3912" s="2">
        <v>0.13</v>
      </c>
      <c r="AK3912" s="1">
        <v>597971</v>
      </c>
      <c r="AL3912" t="s">
        <v>117</v>
      </c>
      <c r="AM3912" t="s">
        <v>118</v>
      </c>
      <c r="AN3912">
        <v>11756</v>
      </c>
      <c r="AO3912">
        <v>0.27</v>
      </c>
      <c r="AR3912">
        <v>1</v>
      </c>
      <c r="AS3912" s="1">
        <v>44670</v>
      </c>
      <c r="AT3912" s="1">
        <v>8930</v>
      </c>
      <c r="AU3912" s="1">
        <v>35740</v>
      </c>
      <c r="AV3912">
        <v>80.010000000000005</v>
      </c>
      <c r="AX3912" s="1">
        <v>4490.18</v>
      </c>
      <c r="AY3912" t="s">
        <v>3699</v>
      </c>
      <c r="AZ3912" t="s">
        <v>273</v>
      </c>
      <c r="BA3912" t="s">
        <v>274</v>
      </c>
      <c r="BE3912" s="3">
        <v>42142</v>
      </c>
      <c r="BF3912" s="1">
        <v>485000</v>
      </c>
      <c r="BG3912" t="s">
        <v>24970</v>
      </c>
      <c r="BH3912" s="1">
        <v>173.03</v>
      </c>
      <c r="BI3912" s="1">
        <v>480000</v>
      </c>
      <c r="BJ3912" s="3">
        <v>42431</v>
      </c>
      <c r="BK3912" t="s">
        <v>123</v>
      </c>
      <c r="BL3912" t="str">
        <f>"2016.134608"</f>
        <v>2016.134608</v>
      </c>
      <c r="BM3912" t="s">
        <v>1201</v>
      </c>
      <c r="BN3912" t="s">
        <v>24971</v>
      </c>
      <c r="BO3912" t="s">
        <v>24972</v>
      </c>
      <c r="BS3912">
        <v>30</v>
      </c>
      <c r="BT3912" s="1">
        <v>38000</v>
      </c>
      <c r="BU3912" s="3">
        <v>43649</v>
      </c>
      <c r="BW3912" t="str">
        <f>"2019.505522"</f>
        <v>2019.505522</v>
      </c>
      <c r="BX3912" t="s">
        <v>2299</v>
      </c>
      <c r="BY3912" t="s">
        <v>2300</v>
      </c>
      <c r="BZ3912" t="s">
        <v>24973</v>
      </c>
      <c r="CA3912" t="s">
        <v>24974</v>
      </c>
      <c r="CC3912" t="s">
        <v>346</v>
      </c>
      <c r="CH3912" t="str">
        <f>""</f>
        <v/>
      </c>
      <c r="CS3912" t="str">
        <f>""</f>
        <v/>
      </c>
    </row>
    <row r="3913" spans="1:97" x14ac:dyDescent="0.25">
      <c r="A3913" t="s">
        <v>3333</v>
      </c>
      <c r="B3913" t="s">
        <v>24975</v>
      </c>
      <c r="C3913" t="s">
        <v>2428</v>
      </c>
      <c r="D3913" t="s">
        <v>24975</v>
      </c>
      <c r="E3913" t="s">
        <v>24976</v>
      </c>
      <c r="F3913" t="s">
        <v>108</v>
      </c>
      <c r="H3913" t="s">
        <v>24977</v>
      </c>
      <c r="I3913" t="s">
        <v>1936</v>
      </c>
      <c r="J3913" t="s">
        <v>111</v>
      </c>
      <c r="K3913" t="str">
        <f>"85260"</f>
        <v>85260</v>
      </c>
      <c r="L3913" t="s">
        <v>10474</v>
      </c>
      <c r="M3913" t="s">
        <v>24977</v>
      </c>
      <c r="N3913" t="s">
        <v>1936</v>
      </c>
      <c r="O3913" t="s">
        <v>111</v>
      </c>
      <c r="P3913" t="str">
        <f>"85260-7639"</f>
        <v>85260-7639</v>
      </c>
      <c r="Q3913" t="s">
        <v>113</v>
      </c>
      <c r="R3913" t="str">
        <f>"217-41-398"</f>
        <v>217-41-398</v>
      </c>
      <c r="S3913" t="s">
        <v>24932</v>
      </c>
      <c r="T3913" t="s">
        <v>24932</v>
      </c>
      <c r="U3913">
        <v>3009</v>
      </c>
      <c r="V3913">
        <v>0</v>
      </c>
      <c r="W3913">
        <v>4</v>
      </c>
      <c r="X3913">
        <v>1992</v>
      </c>
      <c r="Z3913">
        <v>2</v>
      </c>
      <c r="AA3913" t="s">
        <v>26</v>
      </c>
      <c r="AB3913">
        <v>0</v>
      </c>
      <c r="AC3913" t="s">
        <v>115</v>
      </c>
      <c r="AD3913">
        <v>3</v>
      </c>
      <c r="AE3913" t="s">
        <v>115</v>
      </c>
      <c r="AF3913">
        <v>0</v>
      </c>
      <c r="AG3913">
        <v>0</v>
      </c>
      <c r="AH3913" t="s">
        <v>116</v>
      </c>
      <c r="AI3913" s="1">
        <v>50526</v>
      </c>
      <c r="AJ3913" s="2">
        <v>0.08</v>
      </c>
      <c r="AK3913" s="1">
        <v>623856</v>
      </c>
      <c r="AL3913" t="s">
        <v>117</v>
      </c>
      <c r="AM3913" t="s">
        <v>393</v>
      </c>
      <c r="AN3913">
        <v>7938</v>
      </c>
      <c r="AO3913">
        <v>0.18</v>
      </c>
      <c r="AP3913">
        <v>1</v>
      </c>
      <c r="AR3913">
        <v>1</v>
      </c>
      <c r="AS3913" s="1">
        <v>44420</v>
      </c>
      <c r="AT3913" s="1">
        <v>8880</v>
      </c>
      <c r="AU3913" s="1">
        <v>35540</v>
      </c>
      <c r="AV3913">
        <v>80.010000000000005</v>
      </c>
      <c r="AX3913" s="1">
        <v>3128.18</v>
      </c>
      <c r="AY3913" t="s">
        <v>5904</v>
      </c>
      <c r="AZ3913" t="s">
        <v>5420</v>
      </c>
      <c r="BA3913" t="s">
        <v>5763</v>
      </c>
      <c r="BE3913" s="3">
        <v>42473</v>
      </c>
      <c r="BF3913" s="1">
        <v>544588</v>
      </c>
      <c r="BG3913" t="s">
        <v>24978</v>
      </c>
      <c r="BH3913" s="1">
        <v>180.99</v>
      </c>
      <c r="BI3913" s="1">
        <v>512691</v>
      </c>
      <c r="BJ3913" s="3">
        <v>42473</v>
      </c>
      <c r="BK3913" t="s">
        <v>123</v>
      </c>
      <c r="BL3913" t="str">
        <f>"2016.243861"</f>
        <v>2016.243861</v>
      </c>
      <c r="BM3913" t="s">
        <v>2472</v>
      </c>
      <c r="BN3913" t="s">
        <v>2473</v>
      </c>
      <c r="BO3913" t="s">
        <v>24979</v>
      </c>
      <c r="BP3913" t="s">
        <v>24980</v>
      </c>
      <c r="BS3913">
        <v>30</v>
      </c>
      <c r="BT3913" s="1">
        <v>14350</v>
      </c>
      <c r="BU3913" s="3">
        <v>43027</v>
      </c>
      <c r="BW3913" t="str">
        <f>"2017.776792"</f>
        <v>2017.776792</v>
      </c>
      <c r="BX3913" t="s">
        <v>1632</v>
      </c>
      <c r="BY3913">
        <v>73162</v>
      </c>
      <c r="BZ3913" t="s">
        <v>24979</v>
      </c>
      <c r="CA3913" t="s">
        <v>24981</v>
      </c>
      <c r="CC3913" t="s">
        <v>1633</v>
      </c>
      <c r="CD3913">
        <v>7</v>
      </c>
      <c r="CE3913" s="1">
        <v>46289</v>
      </c>
      <c r="CF3913" s="3">
        <v>43444</v>
      </c>
      <c r="CG3913" t="s">
        <v>134</v>
      </c>
      <c r="CH3913" t="str">
        <f>"2018.902964"</f>
        <v>2018.902964</v>
      </c>
      <c r="CI3913" t="s">
        <v>1639</v>
      </c>
      <c r="CJ3913" t="s">
        <v>1640</v>
      </c>
      <c r="CK3913" t="s">
        <v>24982</v>
      </c>
      <c r="CL3913" t="s">
        <v>24983</v>
      </c>
      <c r="CN3913" t="s">
        <v>139</v>
      </c>
      <c r="CS3913" t="str">
        <f>""</f>
        <v/>
      </c>
    </row>
    <row r="3914" spans="1:97" x14ac:dyDescent="0.25">
      <c r="A3914" t="s">
        <v>1047</v>
      </c>
      <c r="B3914" t="s">
        <v>23510</v>
      </c>
      <c r="C3914" t="s">
        <v>24984</v>
      </c>
      <c r="D3914" t="s">
        <v>23510</v>
      </c>
      <c r="E3914" t="s">
        <v>24985</v>
      </c>
      <c r="F3914" t="s">
        <v>108</v>
      </c>
      <c r="H3914" t="s">
        <v>24986</v>
      </c>
      <c r="I3914" t="s">
        <v>453</v>
      </c>
      <c r="J3914" t="s">
        <v>111</v>
      </c>
      <c r="K3914" t="str">
        <f>"85383"</f>
        <v>85383</v>
      </c>
      <c r="L3914" t="s">
        <v>7243</v>
      </c>
      <c r="M3914" t="s">
        <v>24986</v>
      </c>
      <c r="N3914" t="s">
        <v>453</v>
      </c>
      <c r="O3914" t="s">
        <v>111</v>
      </c>
      <c r="P3914" t="str">
        <f>"85383-3879"</f>
        <v>85383-3879</v>
      </c>
      <c r="Q3914" t="s">
        <v>113</v>
      </c>
      <c r="R3914" t="str">
        <f>"201-06-367"</f>
        <v>201-06-367</v>
      </c>
      <c r="S3914" t="s">
        <v>24987</v>
      </c>
      <c r="U3914">
        <v>3912</v>
      </c>
      <c r="V3914">
        <v>0</v>
      </c>
      <c r="W3914">
        <v>6</v>
      </c>
      <c r="X3914">
        <v>2003</v>
      </c>
      <c r="Z3914">
        <v>2</v>
      </c>
      <c r="AA3914" t="s">
        <v>26</v>
      </c>
      <c r="AB3914">
        <v>0</v>
      </c>
      <c r="AC3914" t="s">
        <v>115</v>
      </c>
      <c r="AD3914">
        <v>3</v>
      </c>
      <c r="AE3914" t="s">
        <v>115</v>
      </c>
      <c r="AF3914">
        <v>0</v>
      </c>
      <c r="AG3914">
        <v>0</v>
      </c>
      <c r="AH3914" t="s">
        <v>116</v>
      </c>
      <c r="AI3914" s="1">
        <v>93692</v>
      </c>
      <c r="AJ3914" s="2">
        <v>0.2</v>
      </c>
      <c r="AK3914" s="1">
        <v>471552</v>
      </c>
      <c r="AL3914" t="s">
        <v>117</v>
      </c>
      <c r="AM3914" t="s">
        <v>118</v>
      </c>
      <c r="AN3914">
        <v>8050</v>
      </c>
      <c r="AO3914">
        <v>0.18</v>
      </c>
      <c r="AP3914">
        <v>1</v>
      </c>
      <c r="AR3914">
        <v>1</v>
      </c>
      <c r="AS3914" s="1">
        <v>36230</v>
      </c>
      <c r="AT3914" s="1">
        <v>7240</v>
      </c>
      <c r="AU3914" s="1">
        <v>28990</v>
      </c>
      <c r="AV3914">
        <v>80.02</v>
      </c>
      <c r="AX3914" s="1">
        <v>3393.16</v>
      </c>
      <c r="AY3914" t="s">
        <v>8323</v>
      </c>
      <c r="AZ3914" t="s">
        <v>8323</v>
      </c>
      <c r="BA3914" t="s">
        <v>1386</v>
      </c>
      <c r="BE3914" s="3">
        <v>41773</v>
      </c>
      <c r="BF3914" s="1">
        <v>390000</v>
      </c>
      <c r="BG3914" t="s">
        <v>24988</v>
      </c>
      <c r="BH3914" s="1">
        <v>99.69</v>
      </c>
      <c r="BI3914" s="1">
        <v>377860</v>
      </c>
      <c r="BJ3914" s="3">
        <v>42640</v>
      </c>
      <c r="BK3914" t="s">
        <v>123</v>
      </c>
      <c r="BL3914" t="str">
        <f>"2016.702311"</f>
        <v>2016.702311</v>
      </c>
      <c r="BM3914" t="s">
        <v>724</v>
      </c>
      <c r="BO3914" t="s">
        <v>24989</v>
      </c>
      <c r="BS3914">
        <v>30</v>
      </c>
      <c r="BW3914" t="str">
        <f>""</f>
        <v/>
      </c>
      <c r="CH3914" t="str">
        <f>""</f>
        <v/>
      </c>
      <c r="CS3914" t="str">
        <f>""</f>
        <v/>
      </c>
    </row>
    <row r="3915" spans="1:97" x14ac:dyDescent="0.25">
      <c r="A3915" t="s">
        <v>4583</v>
      </c>
      <c r="B3915" t="s">
        <v>12603</v>
      </c>
      <c r="E3915" t="s">
        <v>24990</v>
      </c>
      <c r="F3915" t="s">
        <v>108</v>
      </c>
      <c r="H3915" t="s">
        <v>24991</v>
      </c>
      <c r="I3915" t="s">
        <v>390</v>
      </c>
      <c r="J3915" t="s">
        <v>111</v>
      </c>
      <c r="K3915" t="str">
        <f>"85032"</f>
        <v>85032</v>
      </c>
      <c r="L3915" t="s">
        <v>5416</v>
      </c>
      <c r="M3915" t="s">
        <v>24991</v>
      </c>
      <c r="N3915" t="s">
        <v>390</v>
      </c>
      <c r="O3915" t="s">
        <v>111</v>
      </c>
      <c r="P3915" t="str">
        <f>"85032-5667"</f>
        <v>85032-5667</v>
      </c>
      <c r="Q3915" t="s">
        <v>113</v>
      </c>
      <c r="R3915" t="str">
        <f>"214-55-357"</f>
        <v>214-55-357</v>
      </c>
      <c r="S3915" t="s">
        <v>24992</v>
      </c>
      <c r="T3915" t="s">
        <v>18309</v>
      </c>
      <c r="U3915">
        <v>2253</v>
      </c>
      <c r="V3915">
        <v>0</v>
      </c>
      <c r="W3915">
        <v>3</v>
      </c>
      <c r="X3915">
        <v>1991</v>
      </c>
      <c r="Z3915">
        <v>1</v>
      </c>
      <c r="AB3915">
        <v>0</v>
      </c>
      <c r="AC3915" t="s">
        <v>115</v>
      </c>
      <c r="AD3915">
        <v>3</v>
      </c>
      <c r="AE3915" t="s">
        <v>115</v>
      </c>
      <c r="AF3915">
        <v>0</v>
      </c>
      <c r="AG3915">
        <v>0</v>
      </c>
      <c r="AH3915" t="s">
        <v>116</v>
      </c>
      <c r="AI3915" s="1">
        <v>52412</v>
      </c>
      <c r="AJ3915" s="2">
        <v>0.13</v>
      </c>
      <c r="AK3915" s="1">
        <v>404412</v>
      </c>
      <c r="AL3915" t="s">
        <v>117</v>
      </c>
      <c r="AM3915" t="s">
        <v>171</v>
      </c>
      <c r="AN3915">
        <v>6923</v>
      </c>
      <c r="AO3915">
        <v>0.16</v>
      </c>
      <c r="AP3915">
        <v>1</v>
      </c>
      <c r="AR3915">
        <v>1</v>
      </c>
      <c r="AS3915" s="1">
        <v>29770</v>
      </c>
      <c r="AT3915" s="1">
        <v>5950</v>
      </c>
      <c r="AU3915" s="1">
        <v>23820</v>
      </c>
      <c r="AV3915">
        <v>80.010000000000005</v>
      </c>
      <c r="AX3915" s="1">
        <v>2576.98</v>
      </c>
      <c r="AY3915" t="s">
        <v>6904</v>
      </c>
      <c r="AZ3915" t="s">
        <v>5489</v>
      </c>
      <c r="BA3915" t="s">
        <v>5232</v>
      </c>
      <c r="BE3915" s="3">
        <v>42094</v>
      </c>
      <c r="BF3915" s="1">
        <v>333500</v>
      </c>
      <c r="BG3915" t="s">
        <v>24993</v>
      </c>
      <c r="BH3915" s="1">
        <v>148.02000000000001</v>
      </c>
      <c r="BI3915" s="1">
        <v>352000</v>
      </c>
      <c r="BJ3915" s="3">
        <v>43607</v>
      </c>
      <c r="BK3915" t="s">
        <v>123</v>
      </c>
      <c r="BL3915" t="str">
        <f>"2019.374628"</f>
        <v>2019.374628</v>
      </c>
      <c r="BM3915" t="s">
        <v>20709</v>
      </c>
      <c r="BN3915" t="s">
        <v>9929</v>
      </c>
      <c r="BO3915" t="s">
        <v>24994</v>
      </c>
      <c r="BR3915" t="s">
        <v>139</v>
      </c>
      <c r="BW3915" t="str">
        <f>""</f>
        <v/>
      </c>
      <c r="CH3915" t="str">
        <f>""</f>
        <v/>
      </c>
      <c r="CS3915" t="str">
        <f>""</f>
        <v/>
      </c>
    </row>
    <row r="3916" spans="1:97" x14ac:dyDescent="0.25">
      <c r="A3916" t="s">
        <v>8735</v>
      </c>
      <c r="B3916" t="s">
        <v>24995</v>
      </c>
      <c r="C3916" t="s">
        <v>970</v>
      </c>
      <c r="D3916" t="s">
        <v>24995</v>
      </c>
      <c r="E3916" t="s">
        <v>24996</v>
      </c>
      <c r="F3916" t="s">
        <v>108</v>
      </c>
      <c r="H3916" t="s">
        <v>24997</v>
      </c>
      <c r="I3916" t="s">
        <v>225</v>
      </c>
      <c r="J3916" t="s">
        <v>111</v>
      </c>
      <c r="K3916" t="str">
        <f>"85203"</f>
        <v>85203</v>
      </c>
      <c r="L3916" t="s">
        <v>5709</v>
      </c>
      <c r="M3916" t="s">
        <v>24997</v>
      </c>
      <c r="N3916" t="s">
        <v>225</v>
      </c>
      <c r="O3916" t="s">
        <v>111</v>
      </c>
      <c r="P3916" t="str">
        <f>"85203-3910"</f>
        <v>85203-3910</v>
      </c>
      <c r="Q3916" t="s">
        <v>113</v>
      </c>
      <c r="R3916" t="str">
        <f>"136-27-711"</f>
        <v>136-27-711</v>
      </c>
      <c r="S3916" t="s">
        <v>6399</v>
      </c>
      <c r="T3916" t="s">
        <v>6400</v>
      </c>
      <c r="U3916">
        <v>3298</v>
      </c>
      <c r="V3916">
        <v>0</v>
      </c>
      <c r="W3916">
        <v>2</v>
      </c>
      <c r="X3916">
        <v>1977</v>
      </c>
      <c r="Z3916">
        <v>1</v>
      </c>
      <c r="AA3916" t="s">
        <v>26</v>
      </c>
      <c r="AB3916">
        <v>0</v>
      </c>
      <c r="AC3916" t="s">
        <v>115</v>
      </c>
      <c r="AD3916">
        <v>4</v>
      </c>
      <c r="AE3916" t="s">
        <v>115</v>
      </c>
      <c r="AF3916">
        <v>0</v>
      </c>
      <c r="AG3916">
        <v>0</v>
      </c>
      <c r="AH3916" t="s">
        <v>116</v>
      </c>
      <c r="AI3916" s="1">
        <v>78780</v>
      </c>
      <c r="AJ3916" s="2">
        <v>0.17</v>
      </c>
      <c r="AK3916" s="1">
        <v>470780</v>
      </c>
      <c r="AL3916" t="s">
        <v>117</v>
      </c>
      <c r="AM3916" t="s">
        <v>917</v>
      </c>
      <c r="AN3916">
        <v>15934</v>
      </c>
      <c r="AO3916">
        <v>0.37</v>
      </c>
      <c r="AP3916">
        <v>1</v>
      </c>
      <c r="AR3916">
        <v>1</v>
      </c>
      <c r="AS3916" s="1">
        <v>31480</v>
      </c>
      <c r="AT3916" s="1">
        <v>6290</v>
      </c>
      <c r="AU3916" s="1">
        <v>25190</v>
      </c>
      <c r="AV3916">
        <v>80.02</v>
      </c>
      <c r="AX3916" s="1">
        <v>2546.04</v>
      </c>
      <c r="AY3916" t="s">
        <v>6401</v>
      </c>
      <c r="AZ3916" t="s">
        <v>4163</v>
      </c>
      <c r="BA3916" t="s">
        <v>1524</v>
      </c>
      <c r="BE3916" s="3">
        <v>42181</v>
      </c>
      <c r="BF3916" s="1">
        <v>392000</v>
      </c>
      <c r="BG3916" t="s">
        <v>24998</v>
      </c>
      <c r="BH3916" s="1">
        <v>118.86</v>
      </c>
      <c r="BI3916" s="1">
        <v>392000</v>
      </c>
      <c r="BJ3916" s="3">
        <v>42181</v>
      </c>
      <c r="BK3916" t="s">
        <v>123</v>
      </c>
      <c r="BL3916" t="str">
        <f>"2015.457594"</f>
        <v>2015.457594</v>
      </c>
      <c r="BM3916" t="s">
        <v>544</v>
      </c>
      <c r="BO3916" t="s">
        <v>24999</v>
      </c>
      <c r="BS3916">
        <v>30</v>
      </c>
      <c r="BW3916" t="str">
        <f>""</f>
        <v/>
      </c>
      <c r="CH3916" t="str">
        <f>""</f>
        <v/>
      </c>
      <c r="CS3916" t="str">
        <f>""</f>
        <v/>
      </c>
    </row>
    <row r="3917" spans="1:97" x14ac:dyDescent="0.25">
      <c r="B3917" t="s">
        <v>25000</v>
      </c>
      <c r="E3917" t="s">
        <v>25001</v>
      </c>
      <c r="F3917" t="s">
        <v>108</v>
      </c>
      <c r="H3917" t="s">
        <v>25002</v>
      </c>
      <c r="I3917" t="s">
        <v>25003</v>
      </c>
      <c r="J3917" t="s">
        <v>111</v>
      </c>
      <c r="K3917" t="str">
        <f>"85263"</f>
        <v>85263</v>
      </c>
      <c r="L3917" t="s">
        <v>5893</v>
      </c>
      <c r="M3917" t="s">
        <v>25002</v>
      </c>
      <c r="N3917" t="s">
        <v>25003</v>
      </c>
      <c r="O3917" t="s">
        <v>111</v>
      </c>
      <c r="P3917" t="str">
        <f>"85263-7040"</f>
        <v>85263-7040</v>
      </c>
      <c r="Q3917" t="s">
        <v>113</v>
      </c>
      <c r="R3917" t="str">
        <f>"219-43-470"</f>
        <v>219-43-470</v>
      </c>
      <c r="S3917" t="s">
        <v>25004</v>
      </c>
      <c r="U3917">
        <v>1476</v>
      </c>
      <c r="V3917">
        <v>0</v>
      </c>
      <c r="W3917">
        <v>3</v>
      </c>
      <c r="X3917">
        <v>1980</v>
      </c>
      <c r="Z3917">
        <v>1</v>
      </c>
      <c r="AB3917">
        <v>0</v>
      </c>
      <c r="AC3917" t="s">
        <v>115</v>
      </c>
      <c r="AD3917">
        <v>3</v>
      </c>
      <c r="AE3917" t="s">
        <v>115</v>
      </c>
      <c r="AF3917">
        <v>0</v>
      </c>
      <c r="AG3917">
        <v>0</v>
      </c>
      <c r="AH3917" t="s">
        <v>116</v>
      </c>
      <c r="AI3917" s="1">
        <v>63743</v>
      </c>
      <c r="AJ3917" s="2">
        <v>0.17</v>
      </c>
      <c r="AK3917" s="1">
        <v>368150</v>
      </c>
      <c r="AL3917" t="s">
        <v>117</v>
      </c>
      <c r="AM3917" t="s">
        <v>171</v>
      </c>
      <c r="AN3917">
        <v>14343</v>
      </c>
      <c r="AO3917">
        <v>0.33</v>
      </c>
      <c r="AP3917">
        <v>1</v>
      </c>
      <c r="AR3917">
        <v>1</v>
      </c>
      <c r="AS3917" s="1">
        <v>23470</v>
      </c>
      <c r="AT3917" s="1">
        <v>4690</v>
      </c>
      <c r="AU3917" s="1">
        <v>18780</v>
      </c>
      <c r="AV3917">
        <v>80.02</v>
      </c>
      <c r="AX3917" s="1">
        <v>1913.88</v>
      </c>
      <c r="AY3917" t="s">
        <v>6485</v>
      </c>
      <c r="AZ3917" t="s">
        <v>5640</v>
      </c>
      <c r="BA3917" t="s">
        <v>5641</v>
      </c>
      <c r="BB3917" s="3">
        <v>41934</v>
      </c>
      <c r="BD3917" t="s">
        <v>240</v>
      </c>
      <c r="BE3917" s="3">
        <v>41912</v>
      </c>
      <c r="BF3917" s="1">
        <v>340000</v>
      </c>
      <c r="BG3917" t="s">
        <v>25005</v>
      </c>
      <c r="BH3917" s="1">
        <v>230.35</v>
      </c>
      <c r="BI3917" s="1">
        <v>304407</v>
      </c>
      <c r="BJ3917" s="3">
        <v>41912</v>
      </c>
      <c r="BK3917" t="s">
        <v>123</v>
      </c>
      <c r="BL3917" t="str">
        <f>"2014.649837"</f>
        <v>2014.649837</v>
      </c>
      <c r="BM3917" t="s">
        <v>25006</v>
      </c>
      <c r="BO3917" t="s">
        <v>25007</v>
      </c>
      <c r="BS3917">
        <v>30</v>
      </c>
      <c r="BW3917" t="str">
        <f>""</f>
        <v/>
      </c>
      <c r="CH3917" t="str">
        <f>""</f>
        <v/>
      </c>
      <c r="CS3917" t="str">
        <f>""</f>
        <v/>
      </c>
    </row>
    <row r="3918" spans="1:97" x14ac:dyDescent="0.25">
      <c r="A3918" t="s">
        <v>996</v>
      </c>
      <c r="B3918" t="s">
        <v>25008</v>
      </c>
      <c r="C3918" t="s">
        <v>25009</v>
      </c>
      <c r="D3918" t="s">
        <v>25010</v>
      </c>
      <c r="E3918" t="s">
        <v>25011</v>
      </c>
      <c r="F3918" t="s">
        <v>108</v>
      </c>
      <c r="H3918" t="s">
        <v>25012</v>
      </c>
      <c r="I3918" t="s">
        <v>110</v>
      </c>
      <c r="J3918" t="s">
        <v>111</v>
      </c>
      <c r="K3918" t="str">
        <f>"85249"</f>
        <v>85249</v>
      </c>
      <c r="L3918" t="s">
        <v>3225</v>
      </c>
      <c r="M3918" t="s">
        <v>25012</v>
      </c>
      <c r="N3918" t="s">
        <v>110</v>
      </c>
      <c r="O3918" t="s">
        <v>111</v>
      </c>
      <c r="P3918" t="str">
        <f>"85249-7118"</f>
        <v>85249-7118</v>
      </c>
      <c r="Q3918" t="s">
        <v>113</v>
      </c>
      <c r="R3918" t="str">
        <f>"304-84-396"</f>
        <v>304-84-396</v>
      </c>
      <c r="S3918" t="s">
        <v>9127</v>
      </c>
      <c r="U3918">
        <v>2309</v>
      </c>
      <c r="V3918">
        <v>0</v>
      </c>
      <c r="W3918">
        <v>3</v>
      </c>
      <c r="X3918">
        <v>2002</v>
      </c>
      <c r="Z3918">
        <v>1</v>
      </c>
      <c r="AA3918" t="s">
        <v>26</v>
      </c>
      <c r="AB3918">
        <v>0</v>
      </c>
      <c r="AC3918" t="s">
        <v>115</v>
      </c>
      <c r="AD3918">
        <v>2</v>
      </c>
      <c r="AE3918" t="s">
        <v>115</v>
      </c>
      <c r="AF3918">
        <v>0</v>
      </c>
      <c r="AG3918">
        <v>0</v>
      </c>
      <c r="AH3918" t="s">
        <v>116</v>
      </c>
      <c r="AI3918" s="1">
        <v>56948</v>
      </c>
      <c r="AJ3918" s="2">
        <v>0.16</v>
      </c>
      <c r="AK3918" s="1">
        <v>363398</v>
      </c>
      <c r="AL3918" t="s">
        <v>117</v>
      </c>
      <c r="AM3918" t="s">
        <v>118</v>
      </c>
      <c r="AN3918">
        <v>7763</v>
      </c>
      <c r="AO3918">
        <v>0.18</v>
      </c>
      <c r="AP3918">
        <v>1</v>
      </c>
      <c r="AR3918">
        <v>1</v>
      </c>
      <c r="AS3918" s="1">
        <v>25500</v>
      </c>
      <c r="AT3918" s="1">
        <v>5100</v>
      </c>
      <c r="AU3918" s="1">
        <v>20400</v>
      </c>
      <c r="AV3918">
        <v>80</v>
      </c>
      <c r="AX3918" s="1">
        <v>2058.6999999999998</v>
      </c>
      <c r="AY3918" t="s">
        <v>6269</v>
      </c>
      <c r="AZ3918" t="s">
        <v>273</v>
      </c>
      <c r="BA3918" t="s">
        <v>274</v>
      </c>
      <c r="BE3918" s="3">
        <v>42312</v>
      </c>
      <c r="BF3918" s="1">
        <v>300000</v>
      </c>
      <c r="BG3918" t="s">
        <v>25013</v>
      </c>
      <c r="BH3918" s="1">
        <v>129.93</v>
      </c>
      <c r="BI3918" s="1">
        <v>306450</v>
      </c>
      <c r="BJ3918" s="3">
        <v>42312</v>
      </c>
      <c r="BK3918" t="s">
        <v>123</v>
      </c>
      <c r="BL3918" t="str">
        <f>"2015.794752"</f>
        <v>2015.794752</v>
      </c>
      <c r="BM3918" t="s">
        <v>820</v>
      </c>
      <c r="BO3918" t="s">
        <v>25014</v>
      </c>
      <c r="BP3918" t="s">
        <v>25015</v>
      </c>
      <c r="BS3918">
        <v>30</v>
      </c>
      <c r="BW3918" t="str">
        <f>""</f>
        <v/>
      </c>
      <c r="CH3918" t="str">
        <f>""</f>
        <v/>
      </c>
      <c r="CS3918" t="str">
        <f>""</f>
        <v/>
      </c>
    </row>
    <row r="3919" spans="1:97" x14ac:dyDescent="0.25">
      <c r="A3919" t="s">
        <v>2915</v>
      </c>
      <c r="B3919" t="s">
        <v>10074</v>
      </c>
      <c r="C3919" t="s">
        <v>25016</v>
      </c>
      <c r="D3919" t="s">
        <v>10074</v>
      </c>
      <c r="E3919" t="s">
        <v>25017</v>
      </c>
      <c r="F3919" t="s">
        <v>108</v>
      </c>
      <c r="H3919" t="s">
        <v>25018</v>
      </c>
      <c r="I3919" t="s">
        <v>1936</v>
      </c>
      <c r="J3919" t="s">
        <v>111</v>
      </c>
      <c r="K3919" t="str">
        <f>"85255"</f>
        <v>85255</v>
      </c>
      <c r="L3919" t="s">
        <v>5325</v>
      </c>
      <c r="M3919" t="s">
        <v>25018</v>
      </c>
      <c r="N3919" t="s">
        <v>1936</v>
      </c>
      <c r="O3919" t="s">
        <v>111</v>
      </c>
      <c r="P3919" t="str">
        <f>"85255-5341"</f>
        <v>85255-5341</v>
      </c>
      <c r="Q3919" t="s">
        <v>113</v>
      </c>
      <c r="R3919" t="str">
        <f>"217-12-443"</f>
        <v>217-12-443</v>
      </c>
      <c r="S3919" t="s">
        <v>25019</v>
      </c>
      <c r="T3919" t="s">
        <v>7866</v>
      </c>
      <c r="U3919">
        <v>1297</v>
      </c>
      <c r="V3919">
        <v>0</v>
      </c>
      <c r="W3919">
        <v>3</v>
      </c>
      <c r="X3919">
        <v>1992</v>
      </c>
      <c r="Z3919">
        <v>1</v>
      </c>
      <c r="AB3919">
        <v>0</v>
      </c>
      <c r="AC3919" t="s">
        <v>115</v>
      </c>
      <c r="AD3919">
        <v>2</v>
      </c>
      <c r="AE3919" t="s">
        <v>115</v>
      </c>
      <c r="AF3919">
        <v>0</v>
      </c>
      <c r="AG3919">
        <v>0</v>
      </c>
      <c r="AH3919" t="s">
        <v>116</v>
      </c>
      <c r="AI3919" s="1">
        <v>90078</v>
      </c>
      <c r="AJ3919" s="2">
        <v>0.24</v>
      </c>
      <c r="AK3919" s="1">
        <v>379318</v>
      </c>
      <c r="AL3919" t="s">
        <v>117</v>
      </c>
      <c r="AM3919" t="s">
        <v>393</v>
      </c>
      <c r="AN3919">
        <v>4544</v>
      </c>
      <c r="AO3919">
        <v>0.1</v>
      </c>
      <c r="AP3919">
        <v>1</v>
      </c>
      <c r="AR3919">
        <v>1</v>
      </c>
      <c r="AS3919" s="1">
        <v>25960</v>
      </c>
      <c r="AT3919" s="1">
        <v>5190</v>
      </c>
      <c r="AU3919" s="1">
        <v>20770</v>
      </c>
      <c r="AV3919">
        <v>80.010000000000005</v>
      </c>
      <c r="AX3919" s="1">
        <v>1719.1</v>
      </c>
      <c r="AY3919" t="s">
        <v>7867</v>
      </c>
      <c r="AZ3919" t="s">
        <v>7867</v>
      </c>
      <c r="BA3919" t="s">
        <v>7868</v>
      </c>
      <c r="BE3919" s="3">
        <v>42058</v>
      </c>
      <c r="BF3919" s="1">
        <v>280000</v>
      </c>
      <c r="BG3919" t="s">
        <v>25020</v>
      </c>
      <c r="BH3919" s="1">
        <v>215.88</v>
      </c>
      <c r="BI3919" s="1">
        <v>289240</v>
      </c>
      <c r="BJ3919" s="3">
        <v>42058</v>
      </c>
      <c r="BK3919" t="s">
        <v>123</v>
      </c>
      <c r="BL3919" t="str">
        <f>"2015.114884"</f>
        <v>2015.114884</v>
      </c>
      <c r="BM3919" t="s">
        <v>20097</v>
      </c>
      <c r="BO3919" t="s">
        <v>25021</v>
      </c>
      <c r="BS3919">
        <v>30</v>
      </c>
      <c r="BW3919" t="str">
        <f>""</f>
        <v/>
      </c>
      <c r="CH3919" t="str">
        <f>""</f>
        <v/>
      </c>
      <c r="CS3919" t="str">
        <f>""</f>
        <v/>
      </c>
    </row>
    <row r="3920" spans="1:97" x14ac:dyDescent="0.25">
      <c r="A3920" t="s">
        <v>25022</v>
      </c>
      <c r="B3920" t="s">
        <v>7927</v>
      </c>
      <c r="E3920" t="s">
        <v>25023</v>
      </c>
      <c r="F3920" t="s">
        <v>108</v>
      </c>
      <c r="H3920" t="s">
        <v>25024</v>
      </c>
      <c r="I3920" t="s">
        <v>188</v>
      </c>
      <c r="J3920" t="s">
        <v>111</v>
      </c>
      <c r="K3920" t="str">
        <f>"85142"</f>
        <v>85142</v>
      </c>
      <c r="L3920" t="s">
        <v>11339</v>
      </c>
      <c r="M3920" t="s">
        <v>25024</v>
      </c>
      <c r="N3920" t="s">
        <v>188</v>
      </c>
      <c r="O3920" t="s">
        <v>111</v>
      </c>
      <c r="P3920" t="str">
        <f>"85142-5479"</f>
        <v>85142-5479</v>
      </c>
      <c r="Q3920" t="s">
        <v>113</v>
      </c>
      <c r="R3920" t="str">
        <f>"304-62-560"</f>
        <v>304-62-560</v>
      </c>
      <c r="S3920" t="s">
        <v>15775</v>
      </c>
      <c r="T3920" t="s">
        <v>15775</v>
      </c>
      <c r="U3920">
        <v>3909</v>
      </c>
      <c r="V3920">
        <v>0</v>
      </c>
      <c r="W3920">
        <v>6</v>
      </c>
      <c r="X3920">
        <v>2014</v>
      </c>
      <c r="Z3920">
        <v>2</v>
      </c>
      <c r="AB3920">
        <v>0</v>
      </c>
      <c r="AC3920" t="s">
        <v>115</v>
      </c>
      <c r="AD3920">
        <v>4</v>
      </c>
      <c r="AE3920" t="s">
        <v>115</v>
      </c>
      <c r="AF3920">
        <v>0</v>
      </c>
      <c r="AG3920">
        <v>0</v>
      </c>
      <c r="AH3920" t="s">
        <v>116</v>
      </c>
      <c r="AI3920" s="1">
        <v>96791</v>
      </c>
      <c r="AJ3920" s="2">
        <v>0.2</v>
      </c>
      <c r="AK3920" s="1">
        <v>493690</v>
      </c>
      <c r="AL3920" t="s">
        <v>117</v>
      </c>
      <c r="AM3920" t="s">
        <v>171</v>
      </c>
      <c r="AN3920">
        <v>11400</v>
      </c>
      <c r="AO3920">
        <v>0.26</v>
      </c>
      <c r="AR3920">
        <v>1</v>
      </c>
      <c r="AS3920" s="1">
        <v>34830</v>
      </c>
      <c r="AT3920" s="1">
        <v>6960</v>
      </c>
      <c r="AU3920" s="1">
        <v>27870</v>
      </c>
      <c r="AV3920">
        <v>80.02</v>
      </c>
      <c r="AX3920" s="1">
        <v>3638.86</v>
      </c>
      <c r="AY3920" t="s">
        <v>560</v>
      </c>
      <c r="AZ3920" t="s">
        <v>561</v>
      </c>
      <c r="BA3920" t="s">
        <v>194</v>
      </c>
      <c r="BE3920" s="3">
        <v>41809</v>
      </c>
      <c r="BF3920" s="1">
        <v>417789</v>
      </c>
      <c r="BG3920" t="s">
        <v>15776</v>
      </c>
      <c r="BH3920" s="1">
        <v>106.88</v>
      </c>
      <c r="BI3920" s="1">
        <v>396899</v>
      </c>
      <c r="BJ3920" s="3">
        <v>41809</v>
      </c>
      <c r="BK3920" t="s">
        <v>123</v>
      </c>
      <c r="BL3920" t="str">
        <f>"2014.404281"</f>
        <v>2014.404281</v>
      </c>
      <c r="BM3920" t="s">
        <v>903</v>
      </c>
      <c r="BO3920" t="s">
        <v>25025</v>
      </c>
      <c r="BS3920">
        <v>30</v>
      </c>
      <c r="BW3920" t="str">
        <f>""</f>
        <v/>
      </c>
      <c r="CH3920" t="str">
        <f>""</f>
        <v/>
      </c>
      <c r="CS3920" t="str">
        <f>""</f>
        <v/>
      </c>
    </row>
    <row r="3921" spans="1:97" x14ac:dyDescent="0.25">
      <c r="A3921" t="s">
        <v>25026</v>
      </c>
      <c r="B3921" t="s">
        <v>25027</v>
      </c>
      <c r="E3921" t="s">
        <v>25028</v>
      </c>
      <c r="F3921" t="s">
        <v>108</v>
      </c>
      <c r="H3921" t="s">
        <v>25029</v>
      </c>
      <c r="I3921" t="s">
        <v>225</v>
      </c>
      <c r="J3921" t="s">
        <v>111</v>
      </c>
      <c r="K3921" t="str">
        <f>"85203"</f>
        <v>85203</v>
      </c>
      <c r="L3921" t="s">
        <v>8034</v>
      </c>
      <c r="M3921" t="s">
        <v>25029</v>
      </c>
      <c r="N3921" t="s">
        <v>225</v>
      </c>
      <c r="O3921" t="s">
        <v>111</v>
      </c>
      <c r="P3921" t="str">
        <f>"85203-3822"</f>
        <v>85203-3822</v>
      </c>
      <c r="Q3921" t="s">
        <v>113</v>
      </c>
      <c r="R3921" t="str">
        <f>"136-27-916"</f>
        <v>136-27-916</v>
      </c>
      <c r="S3921" t="s">
        <v>25030</v>
      </c>
      <c r="T3921" t="s">
        <v>15725</v>
      </c>
      <c r="U3921">
        <v>2032</v>
      </c>
      <c r="V3921">
        <v>0</v>
      </c>
      <c r="W3921">
        <v>3</v>
      </c>
      <c r="X3921">
        <v>1979</v>
      </c>
      <c r="Z3921">
        <v>2</v>
      </c>
      <c r="AB3921">
        <v>0</v>
      </c>
      <c r="AC3921" t="s">
        <v>115</v>
      </c>
      <c r="AD3921">
        <v>1</v>
      </c>
      <c r="AE3921" t="s">
        <v>115</v>
      </c>
      <c r="AF3921">
        <v>0</v>
      </c>
      <c r="AG3921">
        <v>0</v>
      </c>
      <c r="AH3921" t="s">
        <v>116</v>
      </c>
      <c r="AI3921" s="1">
        <v>88253</v>
      </c>
      <c r="AJ3921" s="2">
        <v>0.28000000000000003</v>
      </c>
      <c r="AK3921" s="1">
        <v>319646</v>
      </c>
      <c r="AL3921" t="s">
        <v>117</v>
      </c>
      <c r="AM3921" t="s">
        <v>191</v>
      </c>
      <c r="AN3921">
        <v>7819</v>
      </c>
      <c r="AO3921">
        <v>0.18</v>
      </c>
      <c r="AP3921">
        <v>1</v>
      </c>
      <c r="AR3921">
        <v>1</v>
      </c>
      <c r="AS3921" s="1">
        <v>20910</v>
      </c>
      <c r="AT3921" s="1">
        <v>4180</v>
      </c>
      <c r="AU3921" s="1">
        <v>16730</v>
      </c>
      <c r="AV3921">
        <v>80.010000000000005</v>
      </c>
      <c r="AX3921" s="1">
        <v>1497.08</v>
      </c>
      <c r="AY3921" t="s">
        <v>6401</v>
      </c>
      <c r="AZ3921" t="s">
        <v>4163</v>
      </c>
      <c r="BA3921" t="s">
        <v>1524</v>
      </c>
      <c r="BE3921" s="3">
        <v>42227</v>
      </c>
      <c r="BF3921" s="1">
        <v>255540</v>
      </c>
      <c r="BG3921" t="s">
        <v>25031</v>
      </c>
      <c r="BH3921" s="1">
        <v>125.76</v>
      </c>
      <c r="BI3921" s="1">
        <v>231393</v>
      </c>
      <c r="BJ3921" s="3">
        <v>42601</v>
      </c>
      <c r="BK3921" t="s">
        <v>123</v>
      </c>
      <c r="BL3921" t="str">
        <f>"2016.597569"</f>
        <v>2016.597569</v>
      </c>
      <c r="BM3921" t="s">
        <v>255</v>
      </c>
      <c r="BO3921" t="s">
        <v>25032</v>
      </c>
      <c r="BS3921">
        <v>30</v>
      </c>
      <c r="BW3921" t="str">
        <f>""</f>
        <v/>
      </c>
      <c r="CH3921" t="str">
        <f>""</f>
        <v/>
      </c>
      <c r="CS3921" t="str">
        <f>""</f>
        <v/>
      </c>
    </row>
    <row r="3922" spans="1:97" x14ac:dyDescent="0.25">
      <c r="A3922" t="s">
        <v>25033</v>
      </c>
      <c r="B3922" t="s">
        <v>25034</v>
      </c>
      <c r="C3922" t="s">
        <v>7594</v>
      </c>
      <c r="D3922" t="s">
        <v>25034</v>
      </c>
      <c r="E3922" t="s">
        <v>25035</v>
      </c>
      <c r="F3922" t="s">
        <v>108</v>
      </c>
      <c r="H3922" t="s">
        <v>25036</v>
      </c>
      <c r="I3922" t="s">
        <v>632</v>
      </c>
      <c r="J3922" t="s">
        <v>111</v>
      </c>
      <c r="K3922" t="str">
        <f>"85388"</f>
        <v>85388</v>
      </c>
      <c r="L3922" t="s">
        <v>4159</v>
      </c>
      <c r="M3922" t="s">
        <v>25036</v>
      </c>
      <c r="N3922" t="s">
        <v>632</v>
      </c>
      <c r="O3922" t="s">
        <v>111</v>
      </c>
      <c r="P3922" t="str">
        <f>"85388-1714"</f>
        <v>85388-1714</v>
      </c>
      <c r="Q3922" t="s">
        <v>113</v>
      </c>
      <c r="R3922" t="str">
        <f>"502-84-689"</f>
        <v>502-84-689</v>
      </c>
      <c r="S3922" t="s">
        <v>9278</v>
      </c>
      <c r="T3922" t="s">
        <v>9279</v>
      </c>
      <c r="U3922">
        <v>2420</v>
      </c>
      <c r="V3922">
        <v>0</v>
      </c>
      <c r="W3922">
        <v>4</v>
      </c>
      <c r="X3922">
        <v>2005</v>
      </c>
      <c r="Z3922">
        <v>1</v>
      </c>
      <c r="AB3922">
        <v>0</v>
      </c>
      <c r="AC3922" t="s">
        <v>115</v>
      </c>
      <c r="AD3922">
        <v>3</v>
      </c>
      <c r="AE3922" t="s">
        <v>115</v>
      </c>
      <c r="AF3922">
        <v>0</v>
      </c>
      <c r="AG3922">
        <v>0</v>
      </c>
      <c r="AH3922" t="s">
        <v>116</v>
      </c>
      <c r="AI3922" s="1">
        <v>86616</v>
      </c>
      <c r="AJ3922" s="2">
        <v>0.28000000000000003</v>
      </c>
      <c r="AK3922" s="1">
        <v>308729</v>
      </c>
      <c r="AL3922" t="s">
        <v>117</v>
      </c>
      <c r="AM3922" t="s">
        <v>118</v>
      </c>
      <c r="AN3922">
        <v>9447</v>
      </c>
      <c r="AO3922">
        <v>0.22</v>
      </c>
      <c r="AR3922">
        <v>1</v>
      </c>
      <c r="AS3922" s="1">
        <v>22480</v>
      </c>
      <c r="AT3922" s="1">
        <v>4490</v>
      </c>
      <c r="AU3922" s="1">
        <v>17990</v>
      </c>
      <c r="AV3922">
        <v>80.03</v>
      </c>
      <c r="AX3922" s="1">
        <v>1893.96</v>
      </c>
      <c r="AY3922" t="s">
        <v>5168</v>
      </c>
      <c r="AZ3922" t="s">
        <v>5168</v>
      </c>
      <c r="BA3922" t="s">
        <v>5109</v>
      </c>
      <c r="BB3922" s="3">
        <v>43195</v>
      </c>
      <c r="BC3922" s="1">
        <v>0</v>
      </c>
      <c r="BD3922" t="s">
        <v>247</v>
      </c>
      <c r="BE3922" s="3">
        <v>41912</v>
      </c>
      <c r="BF3922" s="1">
        <v>230000</v>
      </c>
      <c r="BG3922" t="s">
        <v>25037</v>
      </c>
      <c r="BH3922" s="1">
        <v>95.04</v>
      </c>
      <c r="BI3922" s="1">
        <v>222113</v>
      </c>
      <c r="BJ3922" s="3">
        <v>43195</v>
      </c>
      <c r="BK3922" t="s">
        <v>123</v>
      </c>
      <c r="BL3922" t="str">
        <f>"2018.254095"</f>
        <v>2018.254095</v>
      </c>
      <c r="BM3922" t="s">
        <v>25038</v>
      </c>
      <c r="BN3922" t="s">
        <v>461</v>
      </c>
      <c r="BO3922" t="s">
        <v>25039</v>
      </c>
      <c r="BP3922" t="s">
        <v>25040</v>
      </c>
      <c r="BR3922" t="s">
        <v>139</v>
      </c>
      <c r="BW3922" t="str">
        <f>""</f>
        <v/>
      </c>
      <c r="CH3922" t="str">
        <f>""</f>
        <v/>
      </c>
      <c r="CS3922" t="str">
        <f>""</f>
        <v/>
      </c>
    </row>
    <row r="3923" spans="1:97" x14ac:dyDescent="0.25">
      <c r="A3923" t="s">
        <v>177</v>
      </c>
      <c r="B3923" t="s">
        <v>25041</v>
      </c>
      <c r="C3923" t="s">
        <v>3091</v>
      </c>
      <c r="D3923" t="s">
        <v>25041</v>
      </c>
      <c r="E3923" t="s">
        <v>25042</v>
      </c>
      <c r="F3923" t="s">
        <v>108</v>
      </c>
      <c r="H3923" t="s">
        <v>25043</v>
      </c>
      <c r="I3923" t="s">
        <v>203</v>
      </c>
      <c r="J3923" t="s">
        <v>111</v>
      </c>
      <c r="K3923" t="str">
        <f>"85298"</f>
        <v>85298</v>
      </c>
      <c r="L3923" t="s">
        <v>5131</v>
      </c>
      <c r="M3923" t="s">
        <v>25043</v>
      </c>
      <c r="N3923" t="s">
        <v>203</v>
      </c>
      <c r="O3923" t="s">
        <v>111</v>
      </c>
      <c r="P3923" t="str">
        <f>"85298-8710"</f>
        <v>85298-8710</v>
      </c>
      <c r="Q3923" t="s">
        <v>113</v>
      </c>
      <c r="R3923" t="str">
        <f>"304-77-094"</f>
        <v>304-77-094</v>
      </c>
      <c r="S3923" t="s">
        <v>14495</v>
      </c>
      <c r="U3923">
        <v>3162</v>
      </c>
      <c r="V3923">
        <v>0</v>
      </c>
      <c r="W3923">
        <v>4</v>
      </c>
      <c r="X3923">
        <v>2005</v>
      </c>
      <c r="Z3923">
        <v>1</v>
      </c>
      <c r="AB3923">
        <v>0</v>
      </c>
      <c r="AC3923" t="s">
        <v>115</v>
      </c>
      <c r="AD3923">
        <v>2</v>
      </c>
      <c r="AE3923" t="s">
        <v>115</v>
      </c>
      <c r="AF3923">
        <v>0</v>
      </c>
      <c r="AG3923">
        <v>0</v>
      </c>
      <c r="AH3923" t="s">
        <v>116</v>
      </c>
      <c r="AI3923" s="1">
        <v>-61</v>
      </c>
      <c r="AJ3923" s="2">
        <v>0</v>
      </c>
      <c r="AK3923" s="1">
        <v>424039</v>
      </c>
      <c r="AL3923" t="s">
        <v>117</v>
      </c>
      <c r="AM3923" t="s">
        <v>1302</v>
      </c>
      <c r="AN3923">
        <v>20640</v>
      </c>
      <c r="AO3923">
        <v>0.47</v>
      </c>
      <c r="AR3923">
        <v>1</v>
      </c>
      <c r="AS3923" s="1">
        <v>35080</v>
      </c>
      <c r="AT3923" s="1">
        <v>7010</v>
      </c>
      <c r="AU3923" s="1">
        <v>28070</v>
      </c>
      <c r="AV3923">
        <v>80.02</v>
      </c>
      <c r="AX3923" s="1">
        <v>2925.9</v>
      </c>
      <c r="AY3923" t="s">
        <v>2214</v>
      </c>
      <c r="AZ3923" t="s">
        <v>1134</v>
      </c>
      <c r="BA3923" t="s">
        <v>1134</v>
      </c>
      <c r="BB3923" s="3">
        <v>42731</v>
      </c>
      <c r="BD3923" t="s">
        <v>240</v>
      </c>
      <c r="BE3923" s="3">
        <v>42345</v>
      </c>
      <c r="BF3923" s="1">
        <v>396000</v>
      </c>
      <c r="BG3923" t="s">
        <v>25044</v>
      </c>
      <c r="BH3923" s="1">
        <v>125.24</v>
      </c>
      <c r="BI3923" s="1">
        <v>424100</v>
      </c>
      <c r="BJ3923" s="3">
        <v>42912</v>
      </c>
      <c r="BK3923" t="s">
        <v>123</v>
      </c>
      <c r="BL3923" t="str">
        <f>"2017.463461"</f>
        <v>2017.463461</v>
      </c>
      <c r="BM3923" t="s">
        <v>1277</v>
      </c>
      <c r="BO3923" t="s">
        <v>25045</v>
      </c>
      <c r="BS3923">
        <v>30</v>
      </c>
      <c r="BW3923" t="str">
        <f>""</f>
        <v/>
      </c>
      <c r="CH3923" t="str">
        <f>""</f>
        <v/>
      </c>
      <c r="CS3923" t="str">
        <f>""</f>
        <v/>
      </c>
    </row>
    <row r="3924" spans="1:97" x14ac:dyDescent="0.25">
      <c r="B3924" t="s">
        <v>25046</v>
      </c>
      <c r="C3924" t="s">
        <v>986</v>
      </c>
      <c r="E3924" t="s">
        <v>25047</v>
      </c>
      <c r="F3924" t="s">
        <v>108</v>
      </c>
      <c r="H3924" t="s">
        <v>25048</v>
      </c>
      <c r="I3924" t="s">
        <v>1936</v>
      </c>
      <c r="J3924" t="s">
        <v>111</v>
      </c>
      <c r="K3924" t="str">
        <f>"85255"</f>
        <v>85255</v>
      </c>
      <c r="L3924" t="s">
        <v>8747</v>
      </c>
      <c r="M3924" t="s">
        <v>25048</v>
      </c>
      <c r="N3924" t="s">
        <v>1936</v>
      </c>
      <c r="O3924" t="s">
        <v>111</v>
      </c>
      <c r="P3924" t="str">
        <f>"85255-8516"</f>
        <v>85255-8516</v>
      </c>
      <c r="Q3924" t="s">
        <v>113</v>
      </c>
      <c r="R3924" t="str">
        <f>"217-61-258"</f>
        <v>217-61-258</v>
      </c>
      <c r="S3924" t="s">
        <v>25049</v>
      </c>
      <c r="U3924">
        <v>2132</v>
      </c>
      <c r="V3924">
        <v>0</v>
      </c>
      <c r="W3924">
        <v>4</v>
      </c>
      <c r="X3924">
        <v>1997</v>
      </c>
      <c r="Z3924">
        <v>2</v>
      </c>
      <c r="AB3924">
        <v>0</v>
      </c>
      <c r="AC3924" t="s">
        <v>115</v>
      </c>
      <c r="AD3924">
        <v>2</v>
      </c>
      <c r="AE3924" t="s">
        <v>115</v>
      </c>
      <c r="AF3924">
        <v>0</v>
      </c>
      <c r="AG3924">
        <v>0</v>
      </c>
      <c r="AH3924" t="s">
        <v>116</v>
      </c>
      <c r="AI3924" s="1">
        <v>104029</v>
      </c>
      <c r="AJ3924" s="2">
        <v>0.2</v>
      </c>
      <c r="AK3924" s="1">
        <v>521029</v>
      </c>
      <c r="AL3924" t="s">
        <v>117</v>
      </c>
      <c r="AM3924" t="s">
        <v>6533</v>
      </c>
      <c r="AN3924">
        <v>7273</v>
      </c>
      <c r="AO3924">
        <v>0.17</v>
      </c>
      <c r="AP3924">
        <v>1</v>
      </c>
      <c r="AR3924">
        <v>1</v>
      </c>
      <c r="AS3924" s="1">
        <v>37970</v>
      </c>
      <c r="AT3924" s="1">
        <v>7590</v>
      </c>
      <c r="AU3924" s="1">
        <v>30380</v>
      </c>
      <c r="AV3924">
        <v>80.010000000000005</v>
      </c>
      <c r="AX3924" s="1">
        <v>2825.6</v>
      </c>
      <c r="AY3924" t="s">
        <v>11360</v>
      </c>
      <c r="AZ3924" t="s">
        <v>5420</v>
      </c>
      <c r="BA3924" t="s">
        <v>5763</v>
      </c>
      <c r="BB3924" s="3">
        <v>43725</v>
      </c>
      <c r="BC3924" s="1">
        <v>0</v>
      </c>
      <c r="BD3924" t="s">
        <v>247</v>
      </c>
      <c r="BE3924" s="3">
        <v>42160</v>
      </c>
      <c r="BF3924" s="1">
        <v>445000</v>
      </c>
      <c r="BG3924" t="s">
        <v>25050</v>
      </c>
      <c r="BH3924" s="1">
        <v>208.72</v>
      </c>
      <c r="BI3924" s="1">
        <v>417000</v>
      </c>
      <c r="BJ3924" s="3">
        <v>42573</v>
      </c>
      <c r="BK3924" t="s">
        <v>123</v>
      </c>
      <c r="BL3924" t="str">
        <f>"2016.518910"</f>
        <v>2016.518910</v>
      </c>
      <c r="BM3924" t="s">
        <v>955</v>
      </c>
      <c r="BN3924" t="s">
        <v>1136</v>
      </c>
      <c r="BO3924" t="s">
        <v>25051</v>
      </c>
      <c r="BS3924">
        <v>30</v>
      </c>
      <c r="BW3924" t="str">
        <f>""</f>
        <v/>
      </c>
      <c r="CH3924" t="str">
        <f>""</f>
        <v/>
      </c>
      <c r="CS3924" t="str">
        <f>""</f>
        <v/>
      </c>
    </row>
    <row r="3925" spans="1:97" x14ac:dyDescent="0.25">
      <c r="A3925" t="s">
        <v>1514</v>
      </c>
      <c r="B3925" t="s">
        <v>25052</v>
      </c>
      <c r="C3925" t="s">
        <v>25053</v>
      </c>
      <c r="D3925" t="s">
        <v>25052</v>
      </c>
      <c r="E3925" t="s">
        <v>25054</v>
      </c>
      <c r="F3925" t="s">
        <v>108</v>
      </c>
      <c r="H3925" t="s">
        <v>25055</v>
      </c>
      <c r="I3925" t="s">
        <v>390</v>
      </c>
      <c r="J3925" t="s">
        <v>111</v>
      </c>
      <c r="K3925" t="str">
        <f>"85083"</f>
        <v>85083</v>
      </c>
      <c r="L3925" t="s">
        <v>2820</v>
      </c>
      <c r="M3925" t="s">
        <v>25055</v>
      </c>
      <c r="N3925" t="s">
        <v>390</v>
      </c>
      <c r="O3925" t="s">
        <v>111</v>
      </c>
      <c r="P3925" t="str">
        <f>"85083-6559"</f>
        <v>85083-6559</v>
      </c>
      <c r="Q3925" t="s">
        <v>113</v>
      </c>
      <c r="R3925" t="str">
        <f>"201-07-409"</f>
        <v>201-07-409</v>
      </c>
      <c r="S3925" t="s">
        <v>25056</v>
      </c>
      <c r="T3925" t="s">
        <v>21721</v>
      </c>
      <c r="U3925">
        <v>2578</v>
      </c>
      <c r="V3925">
        <v>0</v>
      </c>
      <c r="W3925">
        <v>3</v>
      </c>
      <c r="X3925">
        <v>2002</v>
      </c>
      <c r="Z3925">
        <v>1</v>
      </c>
      <c r="AB3925">
        <v>0</v>
      </c>
      <c r="AC3925" t="s">
        <v>115</v>
      </c>
      <c r="AD3925">
        <v>2</v>
      </c>
      <c r="AE3925" t="s">
        <v>115</v>
      </c>
      <c r="AF3925">
        <v>0</v>
      </c>
      <c r="AG3925">
        <v>0</v>
      </c>
      <c r="AH3925" t="s">
        <v>116</v>
      </c>
      <c r="AI3925" s="1">
        <v>86536</v>
      </c>
      <c r="AJ3925" s="2">
        <v>0.23</v>
      </c>
      <c r="AK3925" s="1">
        <v>384217</v>
      </c>
      <c r="AL3925" t="s">
        <v>117</v>
      </c>
      <c r="AM3925" t="s">
        <v>1302</v>
      </c>
      <c r="AN3925">
        <v>8413</v>
      </c>
      <c r="AO3925">
        <v>0.19</v>
      </c>
      <c r="AP3925">
        <v>1</v>
      </c>
      <c r="AR3925">
        <v>1</v>
      </c>
      <c r="AS3925" s="1">
        <v>28610</v>
      </c>
      <c r="AT3925" s="1">
        <v>5720</v>
      </c>
      <c r="AU3925" s="1">
        <v>22890</v>
      </c>
      <c r="AV3925">
        <v>80.010000000000005</v>
      </c>
      <c r="AX3925" s="1">
        <v>2589.88</v>
      </c>
      <c r="AY3925" t="s">
        <v>3522</v>
      </c>
      <c r="AZ3925" t="s">
        <v>3522</v>
      </c>
      <c r="BA3925" t="s">
        <v>1386</v>
      </c>
      <c r="BE3925" s="3">
        <v>42103</v>
      </c>
      <c r="BF3925" s="1">
        <v>291000</v>
      </c>
      <c r="BG3925" t="s">
        <v>25057</v>
      </c>
      <c r="BH3925" s="1">
        <v>112.88</v>
      </c>
      <c r="BI3925" s="1">
        <v>297681</v>
      </c>
      <c r="BJ3925" s="3">
        <v>42578</v>
      </c>
      <c r="BK3925" t="s">
        <v>123</v>
      </c>
      <c r="BL3925" t="str">
        <f>"2016.530028"</f>
        <v>2016.530028</v>
      </c>
      <c r="BM3925" t="s">
        <v>2716</v>
      </c>
      <c r="BO3925" t="s">
        <v>25058</v>
      </c>
      <c r="BS3925">
        <v>30</v>
      </c>
      <c r="BW3925" t="str">
        <f>""</f>
        <v/>
      </c>
      <c r="CH3925" t="str">
        <f>""</f>
        <v/>
      </c>
      <c r="CS3925" t="str">
        <f>""</f>
        <v/>
      </c>
    </row>
    <row r="3926" spans="1:97" x14ac:dyDescent="0.25">
      <c r="A3926" t="s">
        <v>2729</v>
      </c>
      <c r="B3926" t="s">
        <v>18160</v>
      </c>
      <c r="C3926" t="s">
        <v>259</v>
      </c>
      <c r="D3926" t="s">
        <v>18160</v>
      </c>
      <c r="E3926" t="s">
        <v>25059</v>
      </c>
      <c r="F3926" t="s">
        <v>108</v>
      </c>
      <c r="H3926" t="s">
        <v>25060</v>
      </c>
      <c r="I3926" t="s">
        <v>225</v>
      </c>
      <c r="J3926" t="s">
        <v>111</v>
      </c>
      <c r="K3926" t="str">
        <f>"85212"</f>
        <v>85212</v>
      </c>
      <c r="L3926" t="s">
        <v>6595</v>
      </c>
      <c r="M3926" t="s">
        <v>25060</v>
      </c>
      <c r="N3926" t="s">
        <v>225</v>
      </c>
      <c r="O3926" t="s">
        <v>111</v>
      </c>
      <c r="P3926" t="str">
        <f>"85212-3218"</f>
        <v>85212-3218</v>
      </c>
      <c r="Q3926" t="s">
        <v>113</v>
      </c>
      <c r="R3926" t="str">
        <f>"304-89-358"</f>
        <v>304-89-358</v>
      </c>
      <c r="S3926" t="s">
        <v>8842</v>
      </c>
      <c r="T3926" t="s">
        <v>8842</v>
      </c>
      <c r="U3926">
        <v>1569</v>
      </c>
      <c r="V3926">
        <v>0</v>
      </c>
      <c r="W3926">
        <v>3</v>
      </c>
      <c r="X3926">
        <v>2010</v>
      </c>
      <c r="Z3926">
        <v>1</v>
      </c>
      <c r="AB3926">
        <v>0</v>
      </c>
      <c r="AC3926" t="s">
        <v>115</v>
      </c>
      <c r="AD3926">
        <v>2</v>
      </c>
      <c r="AE3926" t="s">
        <v>115</v>
      </c>
      <c r="AF3926">
        <v>0</v>
      </c>
      <c r="AG3926">
        <v>0</v>
      </c>
      <c r="AH3926" t="s">
        <v>116</v>
      </c>
      <c r="AI3926" s="1">
        <v>70058</v>
      </c>
      <c r="AJ3926" s="2">
        <v>0.24</v>
      </c>
      <c r="AK3926" s="1">
        <v>294788</v>
      </c>
      <c r="AL3926" t="s">
        <v>117</v>
      </c>
      <c r="AM3926" t="s">
        <v>191</v>
      </c>
      <c r="AN3926">
        <v>6900</v>
      </c>
      <c r="AO3926">
        <v>0.16</v>
      </c>
      <c r="AR3926">
        <v>1</v>
      </c>
      <c r="AS3926" s="1">
        <v>20710</v>
      </c>
      <c r="AT3926" s="1">
        <v>4140</v>
      </c>
      <c r="AU3926" s="1">
        <v>16570</v>
      </c>
      <c r="AV3926">
        <v>80.010000000000005</v>
      </c>
      <c r="AX3926" s="1">
        <v>2185.92</v>
      </c>
      <c r="AY3926" t="s">
        <v>560</v>
      </c>
      <c r="AZ3926" t="s">
        <v>561</v>
      </c>
      <c r="BA3926" t="s">
        <v>194</v>
      </c>
      <c r="BE3926" s="3">
        <v>42375</v>
      </c>
      <c r="BF3926" s="1">
        <v>220000</v>
      </c>
      <c r="BG3926" t="s">
        <v>25061</v>
      </c>
      <c r="BH3926" s="1">
        <v>140.22</v>
      </c>
      <c r="BI3926" s="1">
        <v>224730</v>
      </c>
      <c r="BJ3926" s="3">
        <v>42375</v>
      </c>
      <c r="BK3926" t="s">
        <v>123</v>
      </c>
      <c r="BL3926" t="str">
        <f>"2016.6877"</f>
        <v>2016.6877</v>
      </c>
      <c r="BM3926" t="s">
        <v>135</v>
      </c>
      <c r="BO3926" t="s">
        <v>25062</v>
      </c>
      <c r="BS3926">
        <v>30</v>
      </c>
      <c r="BW3926" t="str">
        <f>""</f>
        <v/>
      </c>
      <c r="CH3926" t="str">
        <f>""</f>
        <v/>
      </c>
      <c r="CS3926" t="str">
        <f>""</f>
        <v/>
      </c>
    </row>
    <row r="3927" spans="1:97" x14ac:dyDescent="0.25">
      <c r="A3927" t="s">
        <v>325</v>
      </c>
      <c r="B3927" t="s">
        <v>25063</v>
      </c>
      <c r="C3927" t="s">
        <v>2930</v>
      </c>
      <c r="D3927" t="s">
        <v>25063</v>
      </c>
      <c r="E3927" t="s">
        <v>25064</v>
      </c>
      <c r="F3927" t="s">
        <v>108</v>
      </c>
      <c r="H3927" t="s">
        <v>25065</v>
      </c>
      <c r="I3927" t="s">
        <v>225</v>
      </c>
      <c r="J3927" t="s">
        <v>111</v>
      </c>
      <c r="K3927" t="str">
        <f>"85207"</f>
        <v>85207</v>
      </c>
      <c r="L3927" t="s">
        <v>8151</v>
      </c>
      <c r="M3927" t="s">
        <v>25065</v>
      </c>
      <c r="N3927" t="s">
        <v>225</v>
      </c>
      <c r="O3927" t="s">
        <v>111</v>
      </c>
      <c r="P3927" t="str">
        <f>"85207-2277"</f>
        <v>85207-2277</v>
      </c>
      <c r="Q3927" t="s">
        <v>113</v>
      </c>
      <c r="R3927" t="str">
        <f>"220-08-090"</f>
        <v>220-08-090</v>
      </c>
      <c r="S3927" t="s">
        <v>25066</v>
      </c>
      <c r="T3927" t="s">
        <v>25066</v>
      </c>
      <c r="U3927">
        <v>2288</v>
      </c>
      <c r="V3927">
        <v>0</v>
      </c>
      <c r="W3927">
        <v>3</v>
      </c>
      <c r="X3927">
        <v>2005</v>
      </c>
      <c r="Z3927">
        <v>1</v>
      </c>
      <c r="AA3927" t="s">
        <v>26</v>
      </c>
      <c r="AB3927">
        <v>0</v>
      </c>
      <c r="AC3927" t="s">
        <v>115</v>
      </c>
      <c r="AD3927">
        <v>3</v>
      </c>
      <c r="AE3927" t="s">
        <v>115</v>
      </c>
      <c r="AF3927">
        <v>0</v>
      </c>
      <c r="AG3927">
        <v>0</v>
      </c>
      <c r="AH3927" t="s">
        <v>116</v>
      </c>
      <c r="AI3927" s="1">
        <v>36406</v>
      </c>
      <c r="AJ3927" s="2">
        <v>0.09</v>
      </c>
      <c r="AK3927" s="1">
        <v>403938</v>
      </c>
      <c r="AL3927" t="s">
        <v>117</v>
      </c>
      <c r="AM3927" t="s">
        <v>1521</v>
      </c>
      <c r="AN3927">
        <v>11875</v>
      </c>
      <c r="AO3927">
        <v>0.27</v>
      </c>
      <c r="AR3927">
        <v>1</v>
      </c>
      <c r="AS3927" s="1">
        <v>29150</v>
      </c>
      <c r="AT3927" s="1">
        <v>5830</v>
      </c>
      <c r="AU3927" s="1">
        <v>23320</v>
      </c>
      <c r="AV3927">
        <v>80</v>
      </c>
      <c r="AX3927" s="1">
        <v>2277.4</v>
      </c>
      <c r="AY3927" t="s">
        <v>6572</v>
      </c>
      <c r="AZ3927" t="s">
        <v>3761</v>
      </c>
      <c r="BA3927" t="s">
        <v>232</v>
      </c>
      <c r="BB3927" s="3">
        <v>42828</v>
      </c>
      <c r="BD3927" t="s">
        <v>458</v>
      </c>
      <c r="BE3927" s="3">
        <v>42130</v>
      </c>
      <c r="BF3927" s="1">
        <v>325000</v>
      </c>
      <c r="BG3927" t="s">
        <v>25067</v>
      </c>
      <c r="BH3927" s="1">
        <v>142.05000000000001</v>
      </c>
      <c r="BI3927" s="1">
        <v>367532</v>
      </c>
      <c r="BJ3927" s="3">
        <v>43066</v>
      </c>
      <c r="BK3927" t="s">
        <v>123</v>
      </c>
      <c r="BL3927" t="str">
        <f>"2017.872302"</f>
        <v>2017.872302</v>
      </c>
      <c r="BM3927" t="s">
        <v>7842</v>
      </c>
      <c r="BO3927" t="s">
        <v>25068</v>
      </c>
      <c r="BS3927">
        <v>30</v>
      </c>
      <c r="BW3927" t="str">
        <f>""</f>
        <v/>
      </c>
      <c r="CH3927" t="str">
        <f>""</f>
        <v/>
      </c>
      <c r="CS3927" t="str">
        <f>""</f>
        <v/>
      </c>
    </row>
    <row r="3928" spans="1:97" x14ac:dyDescent="0.25">
      <c r="B3928" t="s">
        <v>25069</v>
      </c>
      <c r="E3928" t="s">
        <v>25070</v>
      </c>
      <c r="F3928" t="s">
        <v>108</v>
      </c>
      <c r="H3928" t="s">
        <v>25071</v>
      </c>
      <c r="I3928" t="s">
        <v>2874</v>
      </c>
      <c r="J3928" t="s">
        <v>111</v>
      </c>
      <c r="K3928" t="str">
        <f>"85308"</f>
        <v>85308</v>
      </c>
      <c r="L3928" t="s">
        <v>299</v>
      </c>
      <c r="M3928" t="s">
        <v>25071</v>
      </c>
      <c r="N3928" t="s">
        <v>2874</v>
      </c>
      <c r="O3928" t="s">
        <v>111</v>
      </c>
      <c r="P3928" t="str">
        <f>"85308-9578"</f>
        <v>85308-9578</v>
      </c>
      <c r="Q3928" t="s">
        <v>113</v>
      </c>
      <c r="R3928" t="str">
        <f>"231-23-177"</f>
        <v>231-23-177</v>
      </c>
      <c r="S3928" t="s">
        <v>25072</v>
      </c>
      <c r="T3928" t="s">
        <v>25073</v>
      </c>
      <c r="U3928">
        <v>2394</v>
      </c>
      <c r="V3928">
        <v>0</v>
      </c>
      <c r="W3928">
        <v>3</v>
      </c>
      <c r="X3928">
        <v>1998</v>
      </c>
      <c r="Z3928">
        <v>1</v>
      </c>
      <c r="AB3928">
        <v>0</v>
      </c>
      <c r="AC3928" t="s">
        <v>115</v>
      </c>
      <c r="AD3928">
        <v>2</v>
      </c>
      <c r="AE3928" t="s">
        <v>115</v>
      </c>
      <c r="AF3928">
        <v>0</v>
      </c>
      <c r="AG3928">
        <v>0</v>
      </c>
      <c r="AH3928" t="s">
        <v>116</v>
      </c>
      <c r="AI3928" s="1">
        <v>86170</v>
      </c>
      <c r="AJ3928" s="2">
        <v>0.21</v>
      </c>
      <c r="AK3928" s="1">
        <v>414664</v>
      </c>
      <c r="AL3928" t="s">
        <v>117</v>
      </c>
      <c r="AM3928" t="s">
        <v>191</v>
      </c>
      <c r="AN3928">
        <v>8523</v>
      </c>
      <c r="AO3928">
        <v>0.2</v>
      </c>
      <c r="AP3928">
        <v>1</v>
      </c>
      <c r="AR3928">
        <v>1</v>
      </c>
      <c r="AS3928" s="1">
        <v>28480</v>
      </c>
      <c r="AT3928" s="1">
        <v>5690</v>
      </c>
      <c r="AU3928" s="1">
        <v>22790</v>
      </c>
      <c r="AV3928">
        <v>80.02</v>
      </c>
      <c r="AX3928" s="1">
        <v>2771.06</v>
      </c>
      <c r="AY3928" t="s">
        <v>8358</v>
      </c>
      <c r="AZ3928" t="s">
        <v>8358</v>
      </c>
      <c r="BA3928" t="s">
        <v>2223</v>
      </c>
      <c r="BB3928" s="3">
        <v>42562</v>
      </c>
      <c r="BD3928" t="s">
        <v>240</v>
      </c>
      <c r="BE3928" s="3">
        <v>41759</v>
      </c>
      <c r="BF3928" s="1">
        <v>318000</v>
      </c>
      <c r="BG3928" t="s">
        <v>25074</v>
      </c>
      <c r="BH3928" s="1">
        <v>132.83000000000001</v>
      </c>
      <c r="BI3928" s="1">
        <v>328494</v>
      </c>
      <c r="BJ3928" s="3">
        <v>41759</v>
      </c>
      <c r="BK3928" t="s">
        <v>123</v>
      </c>
      <c r="BL3928" t="str">
        <f>"2014.281878"</f>
        <v>2014.281878</v>
      </c>
      <c r="BM3928" t="s">
        <v>25075</v>
      </c>
      <c r="BO3928" t="s">
        <v>25076</v>
      </c>
      <c r="BS3928">
        <v>30</v>
      </c>
      <c r="BW3928" t="str">
        <f>""</f>
        <v/>
      </c>
      <c r="CH3928" t="str">
        <f>""</f>
        <v/>
      </c>
      <c r="CS3928" t="str">
        <f>""</f>
        <v/>
      </c>
    </row>
    <row r="3929" spans="1:97" x14ac:dyDescent="0.25">
      <c r="A3929" t="s">
        <v>5771</v>
      </c>
      <c r="B3929" t="s">
        <v>25077</v>
      </c>
      <c r="C3929" t="s">
        <v>6221</v>
      </c>
      <c r="D3929" t="s">
        <v>25078</v>
      </c>
      <c r="E3929" t="s">
        <v>25079</v>
      </c>
      <c r="F3929" t="s">
        <v>108</v>
      </c>
      <c r="H3929" t="s">
        <v>25080</v>
      </c>
      <c r="I3929" t="s">
        <v>110</v>
      </c>
      <c r="J3929" t="s">
        <v>111</v>
      </c>
      <c r="K3929" t="str">
        <f>"85226"</f>
        <v>85226</v>
      </c>
      <c r="L3929" t="s">
        <v>5138</v>
      </c>
      <c r="M3929" t="s">
        <v>25080</v>
      </c>
      <c r="N3929" t="s">
        <v>110</v>
      </c>
      <c r="O3929" t="s">
        <v>111</v>
      </c>
      <c r="P3929" t="str">
        <f>"85226-2157"</f>
        <v>85226-2157</v>
      </c>
      <c r="Q3929" t="s">
        <v>113</v>
      </c>
      <c r="R3929" t="str">
        <f>"308-10-569"</f>
        <v>308-10-569</v>
      </c>
      <c r="S3929" t="s">
        <v>25081</v>
      </c>
      <c r="T3929" t="s">
        <v>15703</v>
      </c>
      <c r="U3929">
        <v>3026</v>
      </c>
      <c r="V3929">
        <v>0</v>
      </c>
      <c r="W3929">
        <v>5</v>
      </c>
      <c r="X3929">
        <v>1994</v>
      </c>
      <c r="Z3929">
        <v>2</v>
      </c>
      <c r="AA3929" t="s">
        <v>26</v>
      </c>
      <c r="AB3929">
        <v>0</v>
      </c>
      <c r="AC3929" t="s">
        <v>115</v>
      </c>
      <c r="AD3929">
        <v>3</v>
      </c>
      <c r="AE3929" t="s">
        <v>115</v>
      </c>
      <c r="AF3929">
        <v>0</v>
      </c>
      <c r="AG3929">
        <v>0</v>
      </c>
      <c r="AH3929" t="s">
        <v>116</v>
      </c>
      <c r="AI3929" s="1">
        <v>109459</v>
      </c>
      <c r="AJ3929" s="2">
        <v>0.21</v>
      </c>
      <c r="AK3929" s="1">
        <v>516459</v>
      </c>
      <c r="AL3929" t="s">
        <v>117</v>
      </c>
      <c r="AM3929" t="s">
        <v>118</v>
      </c>
      <c r="AN3929">
        <v>8133</v>
      </c>
      <c r="AO3929">
        <v>0.19</v>
      </c>
      <c r="AP3929">
        <v>1</v>
      </c>
      <c r="AR3929">
        <v>1</v>
      </c>
      <c r="AS3929" s="1">
        <v>39320</v>
      </c>
      <c r="AT3929" s="1">
        <v>7860</v>
      </c>
      <c r="AU3929" s="1">
        <v>31460</v>
      </c>
      <c r="AV3929">
        <v>80.010000000000005</v>
      </c>
      <c r="AX3929" s="1">
        <v>3358.92</v>
      </c>
      <c r="AY3929" t="s">
        <v>15704</v>
      </c>
      <c r="AZ3929" t="s">
        <v>5922</v>
      </c>
      <c r="BA3929" t="s">
        <v>5202</v>
      </c>
      <c r="BE3929" s="3">
        <v>42152</v>
      </c>
      <c r="BF3929" s="1">
        <v>435000</v>
      </c>
      <c r="BG3929" t="s">
        <v>25082</v>
      </c>
      <c r="BH3929" s="1">
        <v>143.75</v>
      </c>
      <c r="BI3929" s="1">
        <v>407000</v>
      </c>
      <c r="BJ3929" s="3">
        <v>42152</v>
      </c>
      <c r="BK3929" t="s">
        <v>123</v>
      </c>
      <c r="BL3929" t="str">
        <f>"2015.376789"</f>
        <v>2015.376789</v>
      </c>
      <c r="BM3929" t="s">
        <v>724</v>
      </c>
      <c r="BO3929" t="s">
        <v>25083</v>
      </c>
      <c r="BP3929" t="s">
        <v>25084</v>
      </c>
      <c r="BS3929">
        <v>30</v>
      </c>
      <c r="BW3929" t="str">
        <f>""</f>
        <v/>
      </c>
      <c r="CH3929" t="str">
        <f>""</f>
        <v/>
      </c>
      <c r="CS3929" t="str">
        <f>""</f>
        <v/>
      </c>
    </row>
    <row r="3930" spans="1:97" x14ac:dyDescent="0.25">
      <c r="A3930" t="s">
        <v>325</v>
      </c>
      <c r="B3930" t="s">
        <v>22144</v>
      </c>
      <c r="E3930" t="s">
        <v>25085</v>
      </c>
      <c r="F3930" t="s">
        <v>108</v>
      </c>
      <c r="H3930" t="s">
        <v>25086</v>
      </c>
      <c r="I3930" t="s">
        <v>390</v>
      </c>
      <c r="J3930" t="s">
        <v>111</v>
      </c>
      <c r="K3930" t="str">
        <f>"85048"</f>
        <v>85048</v>
      </c>
      <c r="L3930" t="s">
        <v>6003</v>
      </c>
      <c r="M3930" t="s">
        <v>25086</v>
      </c>
      <c r="N3930" t="s">
        <v>390</v>
      </c>
      <c r="O3930" t="s">
        <v>111</v>
      </c>
      <c r="P3930" t="str">
        <f>"85048-7208"</f>
        <v>85048-7208</v>
      </c>
      <c r="Q3930" t="s">
        <v>113</v>
      </c>
      <c r="R3930" t="str">
        <f>"301-79-519"</f>
        <v>301-79-519</v>
      </c>
      <c r="S3930" t="s">
        <v>25087</v>
      </c>
      <c r="T3930" t="s">
        <v>25088</v>
      </c>
      <c r="U3930">
        <v>1534</v>
      </c>
      <c r="V3930">
        <v>0</v>
      </c>
      <c r="W3930">
        <v>3</v>
      </c>
      <c r="X3930">
        <v>1991</v>
      </c>
      <c r="Z3930">
        <v>1</v>
      </c>
      <c r="AB3930">
        <v>0</v>
      </c>
      <c r="AC3930" t="s">
        <v>115</v>
      </c>
      <c r="AD3930">
        <v>2</v>
      </c>
      <c r="AE3930" t="s">
        <v>115</v>
      </c>
      <c r="AF3930">
        <v>0</v>
      </c>
      <c r="AG3930">
        <v>0</v>
      </c>
      <c r="AH3930" t="s">
        <v>116</v>
      </c>
      <c r="AI3930" s="1">
        <v>46627</v>
      </c>
      <c r="AJ3930" s="2">
        <v>0.15</v>
      </c>
      <c r="AK3930" s="1">
        <v>311706</v>
      </c>
      <c r="AL3930" t="s">
        <v>117</v>
      </c>
      <c r="AM3930" t="s">
        <v>191</v>
      </c>
      <c r="AN3930">
        <v>4748</v>
      </c>
      <c r="AO3930">
        <v>0.11</v>
      </c>
      <c r="AP3930">
        <v>1</v>
      </c>
      <c r="AR3930">
        <v>1</v>
      </c>
      <c r="AS3930" s="1">
        <v>21380</v>
      </c>
      <c r="AT3930" s="1">
        <v>4270</v>
      </c>
      <c r="AU3930" s="1">
        <v>17110</v>
      </c>
      <c r="AV3930">
        <v>80.03</v>
      </c>
      <c r="AX3930" s="1">
        <v>1923.82</v>
      </c>
      <c r="AY3930" t="s">
        <v>928</v>
      </c>
      <c r="AZ3930" t="s">
        <v>929</v>
      </c>
      <c r="BA3930" t="s">
        <v>930</v>
      </c>
      <c r="BE3930" s="3">
        <v>42550</v>
      </c>
      <c r="BF3930" s="1">
        <v>259500</v>
      </c>
      <c r="BG3930" t="s">
        <v>25089</v>
      </c>
      <c r="BH3930" s="1">
        <v>169.17</v>
      </c>
      <c r="BI3930" s="1">
        <v>265079</v>
      </c>
      <c r="BJ3930" s="3">
        <v>42550</v>
      </c>
      <c r="BK3930" t="s">
        <v>123</v>
      </c>
      <c r="BL3930" t="str">
        <f>"2016.457108"</f>
        <v>2016.457108</v>
      </c>
      <c r="BM3930" t="s">
        <v>3810</v>
      </c>
      <c r="BO3930" t="s">
        <v>25090</v>
      </c>
      <c r="BS3930">
        <v>30</v>
      </c>
      <c r="BW3930" t="str">
        <f>""</f>
        <v/>
      </c>
      <c r="CH3930" t="str">
        <f>""</f>
        <v/>
      </c>
      <c r="CS3930" t="str">
        <f>""</f>
        <v/>
      </c>
    </row>
    <row r="3931" spans="1:97" x14ac:dyDescent="0.25">
      <c r="A3931" t="s">
        <v>265</v>
      </c>
      <c r="B3931" t="s">
        <v>1552</v>
      </c>
      <c r="C3931" t="s">
        <v>3844</v>
      </c>
      <c r="D3931" t="s">
        <v>1552</v>
      </c>
      <c r="E3931" t="s">
        <v>25091</v>
      </c>
      <c r="F3931" t="s">
        <v>108</v>
      </c>
      <c r="H3931" t="s">
        <v>25092</v>
      </c>
      <c r="I3931" t="s">
        <v>110</v>
      </c>
      <c r="J3931" t="s">
        <v>111</v>
      </c>
      <c r="K3931" t="str">
        <f>"85225"</f>
        <v>85225</v>
      </c>
      <c r="L3931" t="s">
        <v>6316</v>
      </c>
      <c r="M3931" t="s">
        <v>25092</v>
      </c>
      <c r="N3931" t="s">
        <v>110</v>
      </c>
      <c r="O3931" t="s">
        <v>111</v>
      </c>
      <c r="P3931" t="str">
        <f>"85225-2431"</f>
        <v>85225-2431</v>
      </c>
      <c r="R3931" t="str">
        <f>"303-01-934"</f>
        <v>303-01-934</v>
      </c>
      <c r="S3931" t="s">
        <v>25093</v>
      </c>
      <c r="T3931" t="s">
        <v>25094</v>
      </c>
      <c r="U3931">
        <v>2762</v>
      </c>
      <c r="V3931">
        <v>0</v>
      </c>
      <c r="W3931">
        <v>4</v>
      </c>
      <c r="X3931">
        <v>2014</v>
      </c>
      <c r="Z3931">
        <v>1</v>
      </c>
      <c r="AA3931" t="s">
        <v>26</v>
      </c>
      <c r="AB3931">
        <v>0</v>
      </c>
      <c r="AC3931" t="s">
        <v>115</v>
      </c>
      <c r="AD3931">
        <v>2</v>
      </c>
      <c r="AE3931" t="s">
        <v>115</v>
      </c>
      <c r="AF3931">
        <v>0</v>
      </c>
      <c r="AG3931">
        <v>0</v>
      </c>
      <c r="AH3931" t="s">
        <v>116</v>
      </c>
      <c r="AI3931" s="1">
        <v>103656</v>
      </c>
      <c r="AJ3931" s="2">
        <v>0.22</v>
      </c>
      <c r="AK3931" s="1">
        <v>480701</v>
      </c>
      <c r="AL3931" t="s">
        <v>117</v>
      </c>
      <c r="AM3931" t="s">
        <v>118</v>
      </c>
      <c r="AN3931">
        <v>9398</v>
      </c>
      <c r="AO3931">
        <v>0.22</v>
      </c>
      <c r="AR3931">
        <v>1</v>
      </c>
      <c r="AS3931" s="1">
        <v>36620</v>
      </c>
      <c r="AT3931" s="1">
        <v>7320</v>
      </c>
      <c r="AU3931" s="1">
        <v>29300</v>
      </c>
      <c r="AV3931">
        <v>80.010000000000005</v>
      </c>
      <c r="AX3931" s="1">
        <v>2975.18</v>
      </c>
      <c r="AY3931" t="s">
        <v>3185</v>
      </c>
      <c r="AZ3931" t="s">
        <v>2906</v>
      </c>
      <c r="BA3931" t="s">
        <v>303</v>
      </c>
      <c r="BE3931" s="3">
        <v>41891</v>
      </c>
      <c r="BF3931" s="1">
        <v>365000</v>
      </c>
      <c r="BG3931" t="s">
        <v>25095</v>
      </c>
      <c r="BH3931" s="1">
        <v>132.15</v>
      </c>
      <c r="BI3931" s="1">
        <v>377045</v>
      </c>
      <c r="BJ3931" s="3">
        <v>41891</v>
      </c>
      <c r="BK3931" t="s">
        <v>123</v>
      </c>
      <c r="BL3931" t="str">
        <f>"2014.595830"</f>
        <v>2014.595830</v>
      </c>
      <c r="BM3931" t="s">
        <v>594</v>
      </c>
      <c r="BN3931" t="s">
        <v>595</v>
      </c>
      <c r="BO3931" t="s">
        <v>25096</v>
      </c>
      <c r="BS3931">
        <v>30</v>
      </c>
      <c r="BW3931" t="str">
        <f>""</f>
        <v/>
      </c>
      <c r="CH3931" t="str">
        <f>""</f>
        <v/>
      </c>
      <c r="CS3931" t="str">
        <f>""</f>
        <v/>
      </c>
    </row>
    <row r="3932" spans="1:97" x14ac:dyDescent="0.25">
      <c r="B3932" t="s">
        <v>25097</v>
      </c>
      <c r="E3932" t="s">
        <v>25098</v>
      </c>
      <c r="F3932" t="s">
        <v>108</v>
      </c>
      <c r="H3932" t="s">
        <v>25099</v>
      </c>
      <c r="I3932" t="s">
        <v>203</v>
      </c>
      <c r="J3932" t="s">
        <v>111</v>
      </c>
      <c r="K3932" t="str">
        <f>"85233"</f>
        <v>85233</v>
      </c>
      <c r="L3932" t="s">
        <v>337</v>
      </c>
      <c r="M3932" t="s">
        <v>25099</v>
      </c>
      <c r="N3932" t="s">
        <v>203</v>
      </c>
      <c r="O3932" t="s">
        <v>111</v>
      </c>
      <c r="P3932" t="str">
        <f>"85233-7629"</f>
        <v>85233-7629</v>
      </c>
      <c r="Q3932" t="s">
        <v>113</v>
      </c>
      <c r="R3932" t="str">
        <f>"302-82-252"</f>
        <v>302-82-252</v>
      </c>
      <c r="S3932" t="s">
        <v>25100</v>
      </c>
      <c r="T3932" t="s">
        <v>25101</v>
      </c>
      <c r="U3932">
        <v>2104</v>
      </c>
      <c r="V3932">
        <v>0</v>
      </c>
      <c r="W3932">
        <v>3</v>
      </c>
      <c r="X3932">
        <v>1994</v>
      </c>
      <c r="Z3932">
        <v>1</v>
      </c>
      <c r="AA3932" t="s">
        <v>26</v>
      </c>
      <c r="AB3932">
        <v>0</v>
      </c>
      <c r="AC3932" t="s">
        <v>115</v>
      </c>
      <c r="AD3932">
        <v>3</v>
      </c>
      <c r="AE3932" t="s">
        <v>115</v>
      </c>
      <c r="AF3932">
        <v>0</v>
      </c>
      <c r="AG3932">
        <v>0</v>
      </c>
      <c r="AH3932" t="s">
        <v>116</v>
      </c>
      <c r="AI3932" s="1">
        <v>92271</v>
      </c>
      <c r="AJ3932" s="2">
        <v>0.25</v>
      </c>
      <c r="AK3932" s="1">
        <v>362885</v>
      </c>
      <c r="AL3932" t="s">
        <v>117</v>
      </c>
      <c r="AM3932" t="s">
        <v>393</v>
      </c>
      <c r="AN3932">
        <v>7710</v>
      </c>
      <c r="AO3932">
        <v>0.18</v>
      </c>
      <c r="AP3932">
        <v>1</v>
      </c>
      <c r="AR3932">
        <v>1</v>
      </c>
      <c r="AS3932" s="1">
        <v>25360</v>
      </c>
      <c r="AT3932" s="1">
        <v>5070</v>
      </c>
      <c r="AU3932" s="1">
        <v>20290</v>
      </c>
      <c r="AV3932">
        <v>80.010000000000005</v>
      </c>
      <c r="AX3932" s="1">
        <v>2020.42</v>
      </c>
      <c r="AY3932" t="s">
        <v>7046</v>
      </c>
      <c r="AZ3932" t="s">
        <v>207</v>
      </c>
      <c r="BA3932" t="s">
        <v>5479</v>
      </c>
      <c r="BB3932" s="3">
        <v>42650</v>
      </c>
      <c r="BD3932" t="s">
        <v>240</v>
      </c>
      <c r="BE3932" s="3">
        <v>41677</v>
      </c>
      <c r="BF3932" s="1">
        <v>281000</v>
      </c>
      <c r="BG3932" t="s">
        <v>25102</v>
      </c>
      <c r="BH3932" s="1">
        <v>133.56</v>
      </c>
      <c r="BI3932" s="1">
        <v>270614</v>
      </c>
      <c r="BJ3932" s="3">
        <v>42636</v>
      </c>
      <c r="BK3932" t="s">
        <v>123</v>
      </c>
      <c r="BL3932" t="str">
        <f>"2016.696419"</f>
        <v>2016.696419</v>
      </c>
      <c r="BM3932" t="s">
        <v>135</v>
      </c>
      <c r="BO3932" t="s">
        <v>25103</v>
      </c>
      <c r="BS3932">
        <v>30</v>
      </c>
      <c r="BW3932" t="str">
        <f>""</f>
        <v/>
      </c>
      <c r="CH3932" t="str">
        <f>""</f>
        <v/>
      </c>
      <c r="CS3932" t="str">
        <f>""</f>
        <v/>
      </c>
    </row>
    <row r="3933" spans="1:97" x14ac:dyDescent="0.25">
      <c r="A3933" t="s">
        <v>2433</v>
      </c>
      <c r="B3933" t="s">
        <v>3671</v>
      </c>
      <c r="C3933" t="s">
        <v>1821</v>
      </c>
      <c r="D3933" t="s">
        <v>3671</v>
      </c>
      <c r="E3933" t="s">
        <v>25104</v>
      </c>
      <c r="F3933" t="s">
        <v>108</v>
      </c>
      <c r="H3933" t="s">
        <v>25105</v>
      </c>
      <c r="I3933" t="s">
        <v>203</v>
      </c>
      <c r="J3933" t="s">
        <v>111</v>
      </c>
      <c r="K3933" t="str">
        <f>"85233"</f>
        <v>85233</v>
      </c>
      <c r="L3933" t="s">
        <v>926</v>
      </c>
      <c r="M3933" t="s">
        <v>25105</v>
      </c>
      <c r="N3933" t="s">
        <v>203</v>
      </c>
      <c r="O3933" t="s">
        <v>111</v>
      </c>
      <c r="P3933" t="str">
        <f>"85233-2918"</f>
        <v>85233-2918</v>
      </c>
      <c r="Q3933" t="s">
        <v>113</v>
      </c>
      <c r="R3933" t="str">
        <f>"302-09-375"</f>
        <v>302-09-375</v>
      </c>
      <c r="S3933" t="s">
        <v>25106</v>
      </c>
      <c r="U3933">
        <v>3273</v>
      </c>
      <c r="V3933">
        <v>0</v>
      </c>
      <c r="W3933">
        <v>4</v>
      </c>
      <c r="X3933">
        <v>1995</v>
      </c>
      <c r="Z3933">
        <v>2</v>
      </c>
      <c r="AA3933" t="s">
        <v>26</v>
      </c>
      <c r="AB3933">
        <v>0</v>
      </c>
      <c r="AC3933" t="s">
        <v>115</v>
      </c>
      <c r="AD3933">
        <v>3</v>
      </c>
      <c r="AE3933" t="s">
        <v>115</v>
      </c>
      <c r="AF3933">
        <v>0</v>
      </c>
      <c r="AG3933">
        <v>0</v>
      </c>
      <c r="AH3933" t="s">
        <v>116</v>
      </c>
      <c r="AI3933" s="1">
        <v>78120</v>
      </c>
      <c r="AJ3933" s="2">
        <v>0.17</v>
      </c>
      <c r="AK3933" s="1">
        <v>473120</v>
      </c>
      <c r="AL3933" t="s">
        <v>117</v>
      </c>
      <c r="AM3933" t="s">
        <v>393</v>
      </c>
      <c r="AN3933">
        <v>8729</v>
      </c>
      <c r="AO3933">
        <v>0.2</v>
      </c>
      <c r="AP3933">
        <v>1</v>
      </c>
      <c r="AR3933">
        <v>1</v>
      </c>
      <c r="AS3933" s="1">
        <v>32320</v>
      </c>
      <c r="AT3933" s="1">
        <v>6460</v>
      </c>
      <c r="AU3933" s="1">
        <v>25860</v>
      </c>
      <c r="AV3933">
        <v>80.010000000000005</v>
      </c>
      <c r="AX3933" s="1">
        <v>2624.18</v>
      </c>
      <c r="AY3933" t="s">
        <v>9989</v>
      </c>
      <c r="AZ3933" t="s">
        <v>5478</v>
      </c>
      <c r="BA3933" t="s">
        <v>5479</v>
      </c>
      <c r="BE3933" s="3">
        <v>42517</v>
      </c>
      <c r="BF3933" s="1">
        <v>395000</v>
      </c>
      <c r="BG3933" t="s">
        <v>25107</v>
      </c>
      <c r="BH3933" s="1">
        <v>120.68</v>
      </c>
      <c r="BI3933" s="1">
        <v>395000</v>
      </c>
      <c r="BJ3933" s="3">
        <v>42517</v>
      </c>
      <c r="BK3933" t="s">
        <v>123</v>
      </c>
      <c r="BL3933" t="str">
        <f>"2016.366016"</f>
        <v>2016.366016</v>
      </c>
      <c r="BM3933" t="s">
        <v>1185</v>
      </c>
      <c r="BO3933" t="s">
        <v>25108</v>
      </c>
      <c r="BS3933">
        <v>30</v>
      </c>
      <c r="BW3933" t="str">
        <f>""</f>
        <v/>
      </c>
      <c r="CH3933" t="str">
        <f>""</f>
        <v/>
      </c>
      <c r="CS3933" t="str">
        <f>""</f>
        <v/>
      </c>
    </row>
    <row r="3934" spans="1:97" x14ac:dyDescent="0.25">
      <c r="A3934" t="s">
        <v>1850</v>
      </c>
      <c r="B3934" t="s">
        <v>25109</v>
      </c>
      <c r="E3934" t="s">
        <v>25110</v>
      </c>
      <c r="F3934" t="s">
        <v>108</v>
      </c>
      <c r="H3934" t="s">
        <v>25111</v>
      </c>
      <c r="I3934" t="s">
        <v>110</v>
      </c>
      <c r="J3934" t="s">
        <v>111</v>
      </c>
      <c r="K3934" t="str">
        <f>"85225"</f>
        <v>85225</v>
      </c>
      <c r="L3934" t="s">
        <v>6964</v>
      </c>
      <c r="M3934" t="s">
        <v>25111</v>
      </c>
      <c r="N3934" t="s">
        <v>110</v>
      </c>
      <c r="O3934" t="s">
        <v>111</v>
      </c>
      <c r="P3934" t="str">
        <f>"85225-7179"</f>
        <v>85225-7179</v>
      </c>
      <c r="Q3934" t="s">
        <v>113</v>
      </c>
      <c r="R3934" t="str">
        <f>"302-90-043"</f>
        <v>302-90-043</v>
      </c>
      <c r="S3934" t="s">
        <v>25112</v>
      </c>
      <c r="U3934">
        <v>2186</v>
      </c>
      <c r="V3934">
        <v>0</v>
      </c>
      <c r="W3934">
        <v>3</v>
      </c>
      <c r="X3934">
        <v>1983</v>
      </c>
      <c r="Z3934">
        <v>1</v>
      </c>
      <c r="AA3934" t="s">
        <v>26</v>
      </c>
      <c r="AB3934">
        <v>0</v>
      </c>
      <c r="AC3934" t="s">
        <v>115</v>
      </c>
      <c r="AD3934">
        <v>2</v>
      </c>
      <c r="AE3934" t="s">
        <v>115</v>
      </c>
      <c r="AF3934">
        <v>0</v>
      </c>
      <c r="AG3934">
        <v>0</v>
      </c>
      <c r="AH3934" t="s">
        <v>116</v>
      </c>
      <c r="AI3934" s="1">
        <v>62807</v>
      </c>
      <c r="AJ3934" s="2">
        <v>0.17</v>
      </c>
      <c r="AK3934" s="1">
        <v>362377</v>
      </c>
      <c r="AL3934" t="s">
        <v>117</v>
      </c>
      <c r="AM3934" t="s">
        <v>5077</v>
      </c>
      <c r="AN3934">
        <v>9074</v>
      </c>
      <c r="AO3934">
        <v>0.21</v>
      </c>
      <c r="AP3934">
        <v>1</v>
      </c>
      <c r="AR3934">
        <v>1</v>
      </c>
      <c r="AS3934" s="1">
        <v>25680</v>
      </c>
      <c r="AT3934" s="1">
        <v>5130</v>
      </c>
      <c r="AU3934" s="1">
        <v>20550</v>
      </c>
      <c r="AV3934">
        <v>80.02</v>
      </c>
      <c r="AX3934" s="1">
        <v>1919.84</v>
      </c>
      <c r="AY3934" t="s">
        <v>7201</v>
      </c>
      <c r="AZ3934" t="s">
        <v>7201</v>
      </c>
      <c r="BA3934" t="s">
        <v>5311</v>
      </c>
      <c r="BE3934" s="3">
        <v>42516</v>
      </c>
      <c r="BF3934" s="1">
        <v>290000</v>
      </c>
      <c r="BG3934" t="s">
        <v>25113</v>
      </c>
      <c r="BH3934" s="1">
        <v>132.66</v>
      </c>
      <c r="BI3934" s="1">
        <v>299570</v>
      </c>
      <c r="BJ3934" s="3">
        <v>42516</v>
      </c>
      <c r="BK3934" t="s">
        <v>123</v>
      </c>
      <c r="BL3934" t="str">
        <f>"2016.362943"</f>
        <v>2016.362943</v>
      </c>
      <c r="BM3934" t="s">
        <v>5867</v>
      </c>
      <c r="BO3934" t="s">
        <v>25114</v>
      </c>
      <c r="BS3934">
        <v>30</v>
      </c>
      <c r="BW3934" t="str">
        <f>""</f>
        <v/>
      </c>
      <c r="CH3934" t="str">
        <f>""</f>
        <v/>
      </c>
      <c r="CS3934" t="str">
        <f>""</f>
        <v/>
      </c>
    </row>
    <row r="3935" spans="1:97" x14ac:dyDescent="0.25">
      <c r="A3935" t="s">
        <v>464</v>
      </c>
      <c r="B3935" t="s">
        <v>25115</v>
      </c>
      <c r="C3935" t="s">
        <v>5740</v>
      </c>
      <c r="D3935" t="s">
        <v>25115</v>
      </c>
      <c r="E3935" t="s">
        <v>25116</v>
      </c>
      <c r="F3935" t="s">
        <v>108</v>
      </c>
      <c r="H3935" t="s">
        <v>25117</v>
      </c>
      <c r="I3935" t="s">
        <v>203</v>
      </c>
      <c r="J3935" t="s">
        <v>111</v>
      </c>
      <c r="K3935" t="str">
        <f>"85234"</f>
        <v>85234</v>
      </c>
      <c r="L3935" t="s">
        <v>189</v>
      </c>
      <c r="M3935" t="s">
        <v>25117</v>
      </c>
      <c r="N3935" t="s">
        <v>203</v>
      </c>
      <c r="O3935" t="s">
        <v>111</v>
      </c>
      <c r="P3935" t="str">
        <f>"85234-3254"</f>
        <v>85234-3254</v>
      </c>
      <c r="Q3935" t="s">
        <v>113</v>
      </c>
      <c r="R3935" t="str">
        <f>"304-15-450"</f>
        <v>304-15-450</v>
      </c>
      <c r="S3935" t="s">
        <v>5564</v>
      </c>
      <c r="T3935" t="s">
        <v>5564</v>
      </c>
      <c r="U3935">
        <v>2136</v>
      </c>
      <c r="V3935">
        <v>0</v>
      </c>
      <c r="W3935">
        <v>3</v>
      </c>
      <c r="X3935">
        <v>1998</v>
      </c>
      <c r="Z3935">
        <v>1</v>
      </c>
      <c r="AA3935" t="s">
        <v>26</v>
      </c>
      <c r="AB3935">
        <v>0</v>
      </c>
      <c r="AC3935" t="s">
        <v>115</v>
      </c>
      <c r="AD3935">
        <v>3</v>
      </c>
      <c r="AE3935" t="s">
        <v>115</v>
      </c>
      <c r="AF3935">
        <v>0</v>
      </c>
      <c r="AG3935">
        <v>0</v>
      </c>
      <c r="AH3935" t="s">
        <v>116</v>
      </c>
      <c r="AI3935" s="1">
        <v>62576</v>
      </c>
      <c r="AJ3935" s="2">
        <v>0.17</v>
      </c>
      <c r="AK3935" s="1">
        <v>361113</v>
      </c>
      <c r="AL3935" t="s">
        <v>117</v>
      </c>
      <c r="AM3935" t="s">
        <v>393</v>
      </c>
      <c r="AN3935">
        <v>6599</v>
      </c>
      <c r="AO3935">
        <v>0.15</v>
      </c>
      <c r="AP3935">
        <v>1</v>
      </c>
      <c r="AR3935">
        <v>1</v>
      </c>
      <c r="AS3935" s="1">
        <v>26620</v>
      </c>
      <c r="AT3935" s="1">
        <v>5320</v>
      </c>
      <c r="AU3935" s="1">
        <v>21300</v>
      </c>
      <c r="AV3935">
        <v>80.02</v>
      </c>
      <c r="AX3935" s="1">
        <v>1984.58</v>
      </c>
      <c r="AY3935" t="s">
        <v>5565</v>
      </c>
      <c r="AZ3935" t="s">
        <v>571</v>
      </c>
      <c r="BA3935" t="s">
        <v>521</v>
      </c>
      <c r="BE3935" s="3">
        <v>42220</v>
      </c>
      <c r="BF3935" s="1">
        <v>290000</v>
      </c>
      <c r="BG3935" t="s">
        <v>25118</v>
      </c>
      <c r="BH3935" s="1">
        <v>135.77000000000001</v>
      </c>
      <c r="BI3935" s="1">
        <v>298537</v>
      </c>
      <c r="BJ3935" s="3">
        <v>42220</v>
      </c>
      <c r="BK3935" t="s">
        <v>123</v>
      </c>
      <c r="BL3935" t="str">
        <f>"2015.563906"</f>
        <v>2015.563906</v>
      </c>
      <c r="BM3935" t="s">
        <v>2980</v>
      </c>
      <c r="BO3935" t="s">
        <v>25119</v>
      </c>
      <c r="BS3935">
        <v>30</v>
      </c>
      <c r="BW3935" t="str">
        <f>""</f>
        <v/>
      </c>
      <c r="CH3935" t="str">
        <f>""</f>
        <v/>
      </c>
      <c r="CS3935" t="str">
        <f>""</f>
        <v/>
      </c>
    </row>
    <row r="3936" spans="1:97" x14ac:dyDescent="0.25">
      <c r="A3936" t="s">
        <v>996</v>
      </c>
      <c r="B3936" t="s">
        <v>25120</v>
      </c>
      <c r="C3936" t="s">
        <v>2852</v>
      </c>
      <c r="D3936" t="s">
        <v>25120</v>
      </c>
      <c r="E3936" t="s">
        <v>25121</v>
      </c>
      <c r="F3936" t="s">
        <v>108</v>
      </c>
      <c r="H3936" t="s">
        <v>25122</v>
      </c>
      <c r="I3936" t="s">
        <v>144</v>
      </c>
      <c r="J3936" t="s">
        <v>111</v>
      </c>
      <c r="K3936" t="str">
        <f>"85326"</f>
        <v>85326</v>
      </c>
      <c r="L3936" t="s">
        <v>8146</v>
      </c>
      <c r="M3936" t="s">
        <v>25122</v>
      </c>
      <c r="N3936" t="s">
        <v>144</v>
      </c>
      <c r="O3936" t="s">
        <v>111</v>
      </c>
      <c r="P3936" t="str">
        <f>"85326-8181"</f>
        <v>85326-8181</v>
      </c>
      <c r="Q3936" t="s">
        <v>113</v>
      </c>
      <c r="R3936" t="str">
        <f>"502-35-637"</f>
        <v>502-35-637</v>
      </c>
      <c r="S3936" t="s">
        <v>9331</v>
      </c>
      <c r="U3936">
        <v>2369</v>
      </c>
      <c r="V3936">
        <v>0</v>
      </c>
      <c r="W3936">
        <v>5</v>
      </c>
      <c r="X3936">
        <v>2014</v>
      </c>
      <c r="Z3936">
        <v>1</v>
      </c>
      <c r="AB3936">
        <v>0</v>
      </c>
      <c r="AC3936" t="s">
        <v>115</v>
      </c>
      <c r="AD3936">
        <v>3</v>
      </c>
      <c r="AE3936" t="s">
        <v>115</v>
      </c>
      <c r="AF3936">
        <v>0</v>
      </c>
      <c r="AG3936">
        <v>0</v>
      </c>
      <c r="AH3936" t="s">
        <v>116</v>
      </c>
      <c r="AI3936" s="1">
        <v>76059</v>
      </c>
      <c r="AJ3936" s="2">
        <v>0.24</v>
      </c>
      <c r="AK3936" s="1">
        <v>321913</v>
      </c>
      <c r="AL3936" t="s">
        <v>117</v>
      </c>
      <c r="AM3936" t="s">
        <v>118</v>
      </c>
      <c r="AN3936">
        <v>7094</v>
      </c>
      <c r="AO3936">
        <v>0.16</v>
      </c>
      <c r="AR3936">
        <v>1</v>
      </c>
      <c r="AS3936" s="1">
        <v>22650</v>
      </c>
      <c r="AT3936" s="1">
        <v>4530</v>
      </c>
      <c r="AU3936" s="1">
        <v>18120</v>
      </c>
      <c r="AV3936">
        <v>80</v>
      </c>
      <c r="AX3936" s="1">
        <v>1911.94</v>
      </c>
      <c r="AY3936" t="s">
        <v>2767</v>
      </c>
      <c r="AZ3936" t="s">
        <v>2767</v>
      </c>
      <c r="BA3936" t="s">
        <v>5025</v>
      </c>
      <c r="BE3936" s="3">
        <v>42111</v>
      </c>
      <c r="BF3936" s="1">
        <v>217648</v>
      </c>
      <c r="BG3936" t="s">
        <v>749</v>
      </c>
      <c r="BH3936" s="1">
        <v>91.87</v>
      </c>
      <c r="BI3936" s="1">
        <v>245854</v>
      </c>
      <c r="BJ3936" s="3">
        <v>42782</v>
      </c>
      <c r="BK3936" t="s">
        <v>123</v>
      </c>
      <c r="BL3936" t="str">
        <f>"2017.114815"</f>
        <v>2017.114815</v>
      </c>
      <c r="BM3936" t="s">
        <v>361</v>
      </c>
      <c r="BO3936" t="s">
        <v>25123</v>
      </c>
      <c r="BS3936">
        <v>30</v>
      </c>
      <c r="BW3936" t="str">
        <f>""</f>
        <v/>
      </c>
      <c r="CH3936" t="str">
        <f>""</f>
        <v/>
      </c>
      <c r="CS3936" t="str">
        <f>""</f>
        <v/>
      </c>
    </row>
    <row r="3937" spans="1:97" x14ac:dyDescent="0.25">
      <c r="B3937" t="s">
        <v>25124</v>
      </c>
      <c r="E3937" t="s">
        <v>25125</v>
      </c>
      <c r="F3937" t="s">
        <v>108</v>
      </c>
      <c r="H3937" t="s">
        <v>25126</v>
      </c>
      <c r="I3937" t="s">
        <v>632</v>
      </c>
      <c r="J3937" t="s">
        <v>111</v>
      </c>
      <c r="K3937" t="str">
        <f>"85379"</f>
        <v>85379</v>
      </c>
      <c r="L3937" t="s">
        <v>7243</v>
      </c>
      <c r="M3937" t="s">
        <v>25126</v>
      </c>
      <c r="N3937" t="s">
        <v>632</v>
      </c>
      <c r="O3937" t="s">
        <v>111</v>
      </c>
      <c r="P3937" t="str">
        <f>"85379-8655"</f>
        <v>85379-8655</v>
      </c>
      <c r="Q3937" t="s">
        <v>113</v>
      </c>
      <c r="R3937" t="str">
        <f>"509-17-654"</f>
        <v>509-17-654</v>
      </c>
      <c r="S3937" t="s">
        <v>10371</v>
      </c>
      <c r="U3937">
        <v>3675</v>
      </c>
      <c r="V3937">
        <v>0</v>
      </c>
      <c r="W3937">
        <v>5</v>
      </c>
      <c r="X3937">
        <v>2005</v>
      </c>
      <c r="Z3937">
        <v>2</v>
      </c>
      <c r="AB3937">
        <v>0</v>
      </c>
      <c r="AC3937" t="s">
        <v>115</v>
      </c>
      <c r="AD3937">
        <v>3</v>
      </c>
      <c r="AE3937" t="s">
        <v>115</v>
      </c>
      <c r="AF3937">
        <v>0</v>
      </c>
      <c r="AG3937">
        <v>0</v>
      </c>
      <c r="AH3937" t="s">
        <v>116</v>
      </c>
      <c r="AI3937" s="1">
        <v>67539</v>
      </c>
      <c r="AJ3937" s="2">
        <v>0.19</v>
      </c>
      <c r="AK3937" s="1">
        <v>357539</v>
      </c>
      <c r="AL3937" t="s">
        <v>117</v>
      </c>
      <c r="AM3937" t="s">
        <v>118</v>
      </c>
      <c r="AN3937">
        <v>9533</v>
      </c>
      <c r="AO3937">
        <v>0.22</v>
      </c>
      <c r="AR3937">
        <v>1</v>
      </c>
      <c r="AS3937" s="1">
        <v>26100</v>
      </c>
      <c r="AT3937" s="1">
        <v>5220</v>
      </c>
      <c r="AU3937" s="1">
        <v>20880</v>
      </c>
      <c r="AV3937">
        <v>80</v>
      </c>
      <c r="AX3937" s="1">
        <v>1900.62</v>
      </c>
      <c r="AY3937" t="s">
        <v>5818</v>
      </c>
      <c r="AZ3937" t="s">
        <v>5818</v>
      </c>
      <c r="BA3937" t="s">
        <v>321</v>
      </c>
      <c r="BB3937" s="3">
        <v>42324</v>
      </c>
      <c r="BD3937" t="s">
        <v>480</v>
      </c>
      <c r="BE3937" s="3">
        <v>42250</v>
      </c>
      <c r="BF3937" s="1">
        <v>290000</v>
      </c>
      <c r="BG3937" t="s">
        <v>25127</v>
      </c>
      <c r="BH3937" s="1">
        <v>78.91</v>
      </c>
      <c r="BI3937" s="1">
        <v>290000</v>
      </c>
      <c r="BJ3937" s="3">
        <v>42250</v>
      </c>
      <c r="BK3937" t="s">
        <v>123</v>
      </c>
      <c r="BL3937" t="str">
        <f>"2015.640401"</f>
        <v>2015.640401</v>
      </c>
      <c r="BM3937" t="s">
        <v>2716</v>
      </c>
      <c r="BO3937" t="s">
        <v>25128</v>
      </c>
      <c r="BS3937">
        <v>30</v>
      </c>
      <c r="BW3937" t="str">
        <f>""</f>
        <v/>
      </c>
      <c r="CH3937" t="str">
        <f>""</f>
        <v/>
      </c>
      <c r="CS3937" t="str">
        <f>""</f>
        <v/>
      </c>
    </row>
    <row r="3938" spans="1:97" x14ac:dyDescent="0.25">
      <c r="A3938" t="s">
        <v>1647</v>
      </c>
      <c r="B3938" t="s">
        <v>1422</v>
      </c>
      <c r="C3938" t="s">
        <v>970</v>
      </c>
      <c r="D3938" t="s">
        <v>1422</v>
      </c>
      <c r="E3938" t="s">
        <v>25129</v>
      </c>
      <c r="F3938" t="s">
        <v>108</v>
      </c>
      <c r="H3938" t="s">
        <v>25130</v>
      </c>
      <c r="I3938" t="s">
        <v>110</v>
      </c>
      <c r="J3938" t="s">
        <v>111</v>
      </c>
      <c r="K3938" t="str">
        <f>"85225"</f>
        <v>85225</v>
      </c>
      <c r="L3938" t="s">
        <v>1244</v>
      </c>
      <c r="M3938" t="s">
        <v>25130</v>
      </c>
      <c r="N3938" t="s">
        <v>110</v>
      </c>
      <c r="O3938" t="s">
        <v>111</v>
      </c>
      <c r="P3938" t="str">
        <f>"85225-2809"</f>
        <v>85225-2809</v>
      </c>
      <c r="Q3938" t="s">
        <v>113</v>
      </c>
      <c r="R3938" t="str">
        <f>"303-71-314"</f>
        <v>303-71-314</v>
      </c>
      <c r="S3938" t="s">
        <v>3184</v>
      </c>
      <c r="T3938" t="s">
        <v>3184</v>
      </c>
      <c r="U3938">
        <v>2288</v>
      </c>
      <c r="V3938">
        <v>0</v>
      </c>
      <c r="W3938">
        <v>3</v>
      </c>
      <c r="X3938">
        <v>1999</v>
      </c>
      <c r="Z3938">
        <v>1</v>
      </c>
      <c r="AB3938">
        <v>0</v>
      </c>
      <c r="AC3938" t="s">
        <v>115</v>
      </c>
      <c r="AD3938">
        <v>2</v>
      </c>
      <c r="AE3938" t="s">
        <v>115</v>
      </c>
      <c r="AF3938">
        <v>0</v>
      </c>
      <c r="AG3938">
        <v>0</v>
      </c>
      <c r="AH3938" t="s">
        <v>116</v>
      </c>
      <c r="AI3938" s="1">
        <v>66070</v>
      </c>
      <c r="AJ3938" s="2">
        <v>0.18</v>
      </c>
      <c r="AK3938" s="1">
        <v>370805</v>
      </c>
      <c r="AL3938" t="s">
        <v>117</v>
      </c>
      <c r="AM3938" t="s">
        <v>5077</v>
      </c>
      <c r="AN3938">
        <v>8550</v>
      </c>
      <c r="AO3938">
        <v>0.2</v>
      </c>
      <c r="AP3938">
        <v>1</v>
      </c>
      <c r="AR3938">
        <v>1</v>
      </c>
      <c r="AS3938" s="1">
        <v>26250</v>
      </c>
      <c r="AT3938" s="1">
        <v>5250</v>
      </c>
      <c r="AU3938" s="1">
        <v>21000</v>
      </c>
      <c r="AV3938">
        <v>80</v>
      </c>
      <c r="AX3938" s="1">
        <v>2039.4</v>
      </c>
      <c r="AY3938" t="s">
        <v>3185</v>
      </c>
      <c r="AZ3938" t="s">
        <v>2906</v>
      </c>
      <c r="BA3938" t="s">
        <v>303</v>
      </c>
      <c r="BE3938" s="3">
        <v>42207</v>
      </c>
      <c r="BF3938" s="1">
        <v>295000</v>
      </c>
      <c r="BG3938" t="s">
        <v>25131</v>
      </c>
      <c r="BH3938" s="1">
        <v>128.93</v>
      </c>
      <c r="BI3938" s="1">
        <v>304735</v>
      </c>
      <c r="BJ3938" s="3">
        <v>42207</v>
      </c>
      <c r="BK3938" t="s">
        <v>123</v>
      </c>
      <c r="BL3938" t="str">
        <f>"2015.526913"</f>
        <v>2015.526913</v>
      </c>
      <c r="BM3938" t="s">
        <v>9546</v>
      </c>
      <c r="BO3938" t="s">
        <v>25132</v>
      </c>
      <c r="BS3938">
        <v>30</v>
      </c>
      <c r="BW3938" t="str">
        <f>""</f>
        <v/>
      </c>
      <c r="CH3938" t="str">
        <f>""</f>
        <v/>
      </c>
      <c r="CS3938" t="str">
        <f>""</f>
        <v/>
      </c>
    </row>
    <row r="3939" spans="1:97" x14ac:dyDescent="0.25">
      <c r="A3939" t="s">
        <v>1514</v>
      </c>
      <c r="B3939" t="s">
        <v>25133</v>
      </c>
      <c r="E3939" t="s">
        <v>25134</v>
      </c>
      <c r="F3939" t="s">
        <v>108</v>
      </c>
      <c r="H3939" t="s">
        <v>25135</v>
      </c>
      <c r="I3939" t="s">
        <v>390</v>
      </c>
      <c r="J3939" t="s">
        <v>111</v>
      </c>
      <c r="K3939" t="str">
        <f>"85022"</f>
        <v>85022</v>
      </c>
      <c r="L3939" t="s">
        <v>5709</v>
      </c>
      <c r="M3939" t="s">
        <v>25135</v>
      </c>
      <c r="N3939" t="s">
        <v>390</v>
      </c>
      <c r="O3939" t="s">
        <v>111</v>
      </c>
      <c r="P3939" t="str">
        <f>"85022-3016"</f>
        <v>85022-3016</v>
      </c>
      <c r="R3939" t="str">
        <f>"208-12-510"</f>
        <v>208-12-510</v>
      </c>
      <c r="S3939" t="s">
        <v>25136</v>
      </c>
      <c r="T3939" t="s">
        <v>10616</v>
      </c>
      <c r="U3939">
        <v>2636</v>
      </c>
      <c r="V3939">
        <v>0</v>
      </c>
      <c r="W3939">
        <v>4</v>
      </c>
      <c r="X3939">
        <v>1980</v>
      </c>
      <c r="Z3939">
        <v>1</v>
      </c>
      <c r="AA3939" t="s">
        <v>26</v>
      </c>
      <c r="AB3939">
        <v>0</v>
      </c>
      <c r="AC3939" t="s">
        <v>115</v>
      </c>
      <c r="AD3939">
        <v>2</v>
      </c>
      <c r="AE3939" t="s">
        <v>115</v>
      </c>
      <c r="AF3939">
        <v>0</v>
      </c>
      <c r="AG3939">
        <v>0</v>
      </c>
      <c r="AH3939" t="s">
        <v>116</v>
      </c>
      <c r="AI3939" s="1">
        <v>51633</v>
      </c>
      <c r="AJ3939" s="2">
        <v>0.11</v>
      </c>
      <c r="AK3939" s="1">
        <v>465238</v>
      </c>
      <c r="AL3939" t="s">
        <v>117</v>
      </c>
      <c r="AM3939" t="s">
        <v>191</v>
      </c>
      <c r="AN3939">
        <v>11891</v>
      </c>
      <c r="AO3939">
        <v>0.27</v>
      </c>
      <c r="AP3939">
        <v>1</v>
      </c>
      <c r="AR3939">
        <v>1</v>
      </c>
      <c r="AS3939" s="1">
        <v>34170</v>
      </c>
      <c r="AT3939" s="1">
        <v>6830</v>
      </c>
      <c r="AU3939" s="1">
        <v>27340</v>
      </c>
      <c r="AV3939">
        <v>80.010000000000005</v>
      </c>
      <c r="AX3939" s="1">
        <v>3747.66</v>
      </c>
      <c r="AY3939" t="s">
        <v>9170</v>
      </c>
      <c r="AZ3939" t="s">
        <v>8648</v>
      </c>
      <c r="BA3939" t="s">
        <v>8649</v>
      </c>
      <c r="BB3939" s="3">
        <v>43745</v>
      </c>
      <c r="BC3939" s="1">
        <v>0</v>
      </c>
      <c r="BD3939" t="s">
        <v>247</v>
      </c>
      <c r="BE3939" s="3">
        <v>41774</v>
      </c>
      <c r="BF3939" s="1">
        <v>401600</v>
      </c>
      <c r="BG3939" t="s">
        <v>25137</v>
      </c>
      <c r="BH3939" s="1">
        <v>152.35</v>
      </c>
      <c r="BI3939" s="1">
        <v>413605</v>
      </c>
      <c r="BJ3939" s="3">
        <v>42184</v>
      </c>
      <c r="BK3939" t="s">
        <v>123</v>
      </c>
      <c r="BL3939" t="str">
        <f>"2015.464852"</f>
        <v>2015.464852</v>
      </c>
      <c r="BM3939" t="s">
        <v>5253</v>
      </c>
      <c r="BN3939" t="s">
        <v>14934</v>
      </c>
      <c r="BO3939" t="s">
        <v>25138</v>
      </c>
      <c r="BS3939">
        <v>30</v>
      </c>
      <c r="BW3939" t="str">
        <f>""</f>
        <v/>
      </c>
      <c r="CH3939" t="str">
        <f>""</f>
        <v/>
      </c>
      <c r="CS3939" t="str">
        <f>""</f>
        <v/>
      </c>
    </row>
    <row r="3940" spans="1:97" x14ac:dyDescent="0.25">
      <c r="A3940" t="s">
        <v>325</v>
      </c>
      <c r="B3940" t="s">
        <v>25139</v>
      </c>
      <c r="C3940" t="s">
        <v>25140</v>
      </c>
      <c r="D3940" t="s">
        <v>25139</v>
      </c>
      <c r="E3940" t="s">
        <v>25141</v>
      </c>
      <c r="F3940" t="s">
        <v>108</v>
      </c>
      <c r="H3940" t="s">
        <v>25142</v>
      </c>
      <c r="I3940" t="s">
        <v>225</v>
      </c>
      <c r="J3940" t="s">
        <v>111</v>
      </c>
      <c r="K3940" t="str">
        <f>"85209"</f>
        <v>85209</v>
      </c>
      <c r="L3940" t="s">
        <v>6316</v>
      </c>
      <c r="M3940" t="s">
        <v>25142</v>
      </c>
      <c r="N3940" t="s">
        <v>225</v>
      </c>
      <c r="O3940" t="s">
        <v>111</v>
      </c>
      <c r="P3940" t="str">
        <f>"85209-2241"</f>
        <v>85209-2241</v>
      </c>
      <c r="Q3940" t="s">
        <v>113</v>
      </c>
      <c r="R3940" t="str">
        <f>"312-01-598"</f>
        <v>312-01-598</v>
      </c>
      <c r="S3940" t="s">
        <v>25143</v>
      </c>
      <c r="U3940">
        <v>2610</v>
      </c>
      <c r="V3940">
        <v>0</v>
      </c>
      <c r="W3940">
        <v>3</v>
      </c>
      <c r="X3940">
        <v>2001</v>
      </c>
      <c r="Z3940">
        <v>2</v>
      </c>
      <c r="AA3940" t="s">
        <v>26</v>
      </c>
      <c r="AB3940">
        <v>0</v>
      </c>
      <c r="AC3940" t="s">
        <v>115</v>
      </c>
      <c r="AD3940">
        <v>2</v>
      </c>
      <c r="AE3940" t="s">
        <v>115</v>
      </c>
      <c r="AF3940">
        <v>0</v>
      </c>
      <c r="AG3940">
        <v>0</v>
      </c>
      <c r="AH3940" t="s">
        <v>116</v>
      </c>
      <c r="AI3940" s="1">
        <v>88854</v>
      </c>
      <c r="AJ3940" s="2">
        <v>0.24</v>
      </c>
      <c r="AK3940" s="1">
        <v>364703</v>
      </c>
      <c r="AL3940" t="s">
        <v>117</v>
      </c>
      <c r="AM3940" t="s">
        <v>191</v>
      </c>
      <c r="AN3940">
        <v>7462</v>
      </c>
      <c r="AO3940">
        <v>0.17</v>
      </c>
      <c r="AP3940">
        <v>1</v>
      </c>
      <c r="AR3940">
        <v>1</v>
      </c>
      <c r="AS3940" s="1">
        <v>25850</v>
      </c>
      <c r="AT3940" s="1">
        <v>5170</v>
      </c>
      <c r="AU3940" s="1">
        <v>20680</v>
      </c>
      <c r="AV3940">
        <v>80</v>
      </c>
      <c r="AX3940" s="1">
        <v>1998.46</v>
      </c>
      <c r="AY3940" t="s">
        <v>4370</v>
      </c>
      <c r="AZ3940" t="s">
        <v>777</v>
      </c>
      <c r="BA3940" t="s">
        <v>572</v>
      </c>
      <c r="BE3940" s="3">
        <v>42423</v>
      </c>
      <c r="BF3940" s="1">
        <v>267000</v>
      </c>
      <c r="BG3940" t="s">
        <v>25144</v>
      </c>
      <c r="BH3940" s="1">
        <v>102.3</v>
      </c>
      <c r="BI3940" s="1">
        <v>275849</v>
      </c>
      <c r="BJ3940" s="3">
        <v>42613</v>
      </c>
      <c r="BK3940" t="s">
        <v>123</v>
      </c>
      <c r="BL3940" t="str">
        <f>"2016.628291"</f>
        <v>2016.628291</v>
      </c>
      <c r="BM3940" t="s">
        <v>492</v>
      </c>
      <c r="BO3940" t="s">
        <v>25145</v>
      </c>
      <c r="BS3940">
        <v>30</v>
      </c>
      <c r="BW3940" t="str">
        <f>""</f>
        <v/>
      </c>
      <c r="CH3940" t="str">
        <f>""</f>
        <v/>
      </c>
      <c r="CS3940" t="str">
        <f>""</f>
        <v/>
      </c>
    </row>
    <row r="3941" spans="1:97" x14ac:dyDescent="0.25">
      <c r="A3941" t="s">
        <v>886</v>
      </c>
      <c r="B3941" t="s">
        <v>3730</v>
      </c>
      <c r="C3941" t="s">
        <v>25146</v>
      </c>
      <c r="D3941" t="s">
        <v>3730</v>
      </c>
      <c r="E3941" t="s">
        <v>25147</v>
      </c>
      <c r="F3941" t="s">
        <v>108</v>
      </c>
      <c r="H3941" t="s">
        <v>25148</v>
      </c>
      <c r="I3941" t="s">
        <v>110</v>
      </c>
      <c r="J3941" t="s">
        <v>111</v>
      </c>
      <c r="K3941" t="str">
        <f>"85226"</f>
        <v>85226</v>
      </c>
      <c r="L3941" t="s">
        <v>5918</v>
      </c>
      <c r="M3941" t="s">
        <v>25148</v>
      </c>
      <c r="N3941" t="s">
        <v>110</v>
      </c>
      <c r="O3941" t="s">
        <v>111</v>
      </c>
      <c r="P3941" t="str">
        <f>"85226-1377"</f>
        <v>85226-1377</v>
      </c>
      <c r="Q3941" t="s">
        <v>113</v>
      </c>
      <c r="R3941" t="str">
        <f>"308-06-837"</f>
        <v>308-06-837</v>
      </c>
      <c r="S3941" t="s">
        <v>5919</v>
      </c>
      <c r="T3941" t="s">
        <v>5920</v>
      </c>
      <c r="U3941">
        <v>2278</v>
      </c>
      <c r="V3941">
        <v>0</v>
      </c>
      <c r="W3941">
        <v>3</v>
      </c>
      <c r="X3941">
        <v>1992</v>
      </c>
      <c r="Z3941">
        <v>1</v>
      </c>
      <c r="AA3941" t="s">
        <v>26</v>
      </c>
      <c r="AB3941">
        <v>0</v>
      </c>
      <c r="AC3941" t="s">
        <v>115</v>
      </c>
      <c r="AD3941">
        <v>3</v>
      </c>
      <c r="AE3941" t="s">
        <v>115</v>
      </c>
      <c r="AF3941">
        <v>0</v>
      </c>
      <c r="AG3941">
        <v>0</v>
      </c>
      <c r="AH3941" t="s">
        <v>116</v>
      </c>
      <c r="AI3941" s="1">
        <v>71526</v>
      </c>
      <c r="AJ3941" s="2">
        <v>0.16</v>
      </c>
      <c r="AK3941" s="1">
        <v>454588</v>
      </c>
      <c r="AL3941" t="s">
        <v>117</v>
      </c>
      <c r="AM3941" t="s">
        <v>118</v>
      </c>
      <c r="AN3941">
        <v>9152</v>
      </c>
      <c r="AO3941">
        <v>0.21</v>
      </c>
      <c r="AP3941">
        <v>1</v>
      </c>
      <c r="AR3941">
        <v>1</v>
      </c>
      <c r="AS3941" s="1">
        <v>34050</v>
      </c>
      <c r="AT3941" s="1">
        <v>6810</v>
      </c>
      <c r="AU3941" s="1">
        <v>27240</v>
      </c>
      <c r="AV3941">
        <v>80</v>
      </c>
      <c r="AX3941" s="1">
        <v>2897.34</v>
      </c>
      <c r="AY3941" t="s">
        <v>5921</v>
      </c>
      <c r="AZ3941" t="s">
        <v>5922</v>
      </c>
      <c r="BA3941" t="s">
        <v>5202</v>
      </c>
      <c r="BE3941" s="3">
        <v>41976</v>
      </c>
      <c r="BF3941" s="1">
        <v>375000</v>
      </c>
      <c r="BG3941" t="s">
        <v>25149</v>
      </c>
      <c r="BH3941" s="1">
        <v>164.62</v>
      </c>
      <c r="BI3941" s="1">
        <v>383062</v>
      </c>
      <c r="BJ3941" s="3">
        <v>41976</v>
      </c>
      <c r="BK3941" t="s">
        <v>123</v>
      </c>
      <c r="BL3941" t="str">
        <f>"2014.796838"</f>
        <v>2014.796838</v>
      </c>
      <c r="BM3941" t="s">
        <v>150</v>
      </c>
      <c r="BO3941" t="s">
        <v>25150</v>
      </c>
      <c r="BS3941">
        <v>30</v>
      </c>
      <c r="BW3941" t="str">
        <f>""</f>
        <v/>
      </c>
      <c r="CH3941" t="str">
        <f>""</f>
        <v/>
      </c>
      <c r="CS3941" t="str">
        <f>""</f>
        <v/>
      </c>
    </row>
    <row r="3942" spans="1:97" x14ac:dyDescent="0.25">
      <c r="B3942" t="s">
        <v>25151</v>
      </c>
      <c r="E3942" t="s">
        <v>25152</v>
      </c>
      <c r="F3942" t="s">
        <v>108</v>
      </c>
      <c r="H3942" t="s">
        <v>25153</v>
      </c>
      <c r="I3942" t="s">
        <v>203</v>
      </c>
      <c r="J3942" t="s">
        <v>111</v>
      </c>
      <c r="K3942" t="str">
        <f>"85295"</f>
        <v>85295</v>
      </c>
      <c r="L3942" t="s">
        <v>6316</v>
      </c>
      <c r="M3942" t="s">
        <v>25153</v>
      </c>
      <c r="N3942" t="s">
        <v>203</v>
      </c>
      <c r="O3942" t="s">
        <v>111</v>
      </c>
      <c r="P3942" t="str">
        <f>"85295-5446"</f>
        <v>85295-5446</v>
      </c>
      <c r="Q3942" t="s">
        <v>113</v>
      </c>
      <c r="R3942" t="str">
        <f>"309-20-068"</f>
        <v>309-20-068</v>
      </c>
      <c r="S3942" t="s">
        <v>9211</v>
      </c>
      <c r="U3942">
        <v>2925</v>
      </c>
      <c r="V3942">
        <v>0</v>
      </c>
      <c r="W3942">
        <v>4</v>
      </c>
      <c r="X3942">
        <v>1999</v>
      </c>
      <c r="Z3942">
        <v>1</v>
      </c>
      <c r="AA3942" t="s">
        <v>26</v>
      </c>
      <c r="AB3942">
        <v>0</v>
      </c>
      <c r="AC3942" t="s">
        <v>115</v>
      </c>
      <c r="AD3942">
        <v>4</v>
      </c>
      <c r="AE3942" t="s">
        <v>115</v>
      </c>
      <c r="AF3942">
        <v>0</v>
      </c>
      <c r="AG3942">
        <v>0</v>
      </c>
      <c r="AH3942" t="s">
        <v>116</v>
      </c>
      <c r="AI3942" s="1">
        <v>181234</v>
      </c>
      <c r="AJ3942" s="2">
        <v>0.37</v>
      </c>
      <c r="AK3942" s="1">
        <v>494794</v>
      </c>
      <c r="AL3942" t="s">
        <v>117</v>
      </c>
      <c r="AM3942" t="s">
        <v>1302</v>
      </c>
      <c r="AN3942">
        <v>11529</v>
      </c>
      <c r="AO3942">
        <v>0.26</v>
      </c>
      <c r="AP3942">
        <v>1</v>
      </c>
      <c r="AR3942">
        <v>1</v>
      </c>
      <c r="AS3942" s="1">
        <v>36020</v>
      </c>
      <c r="AT3942" s="1">
        <v>7200</v>
      </c>
      <c r="AU3942" s="1">
        <v>28820</v>
      </c>
      <c r="AV3942">
        <v>80.010000000000005</v>
      </c>
      <c r="AX3942" s="1">
        <v>2680.6</v>
      </c>
      <c r="AY3942" t="s">
        <v>9212</v>
      </c>
      <c r="AZ3942" t="s">
        <v>207</v>
      </c>
      <c r="BA3942" t="s">
        <v>208</v>
      </c>
      <c r="BB3942" s="3">
        <v>42870</v>
      </c>
      <c r="BD3942" t="s">
        <v>458</v>
      </c>
      <c r="BE3942" s="3">
        <v>42509</v>
      </c>
      <c r="BF3942" s="1">
        <v>429000</v>
      </c>
      <c r="BG3942" t="s">
        <v>25154</v>
      </c>
      <c r="BH3942" s="1">
        <v>146.66999999999999</v>
      </c>
      <c r="BI3942" s="1">
        <v>313560</v>
      </c>
      <c r="BJ3942" s="3">
        <v>42870</v>
      </c>
      <c r="BK3942" t="s">
        <v>123</v>
      </c>
      <c r="BL3942" t="str">
        <f>"2017.351002"</f>
        <v>2017.351002</v>
      </c>
      <c r="BM3942" t="s">
        <v>1154</v>
      </c>
      <c r="BO3942" t="s">
        <v>25155</v>
      </c>
      <c r="BS3942">
        <v>15</v>
      </c>
      <c r="BW3942" t="str">
        <f>""</f>
        <v/>
      </c>
      <c r="CH3942" t="str">
        <f>""</f>
        <v/>
      </c>
      <c r="CS3942" t="str">
        <f>""</f>
        <v/>
      </c>
    </row>
    <row r="3943" spans="1:97" x14ac:dyDescent="0.25">
      <c r="A3943" t="s">
        <v>25156</v>
      </c>
      <c r="B3943" t="s">
        <v>3219</v>
      </c>
      <c r="C3943" t="s">
        <v>1181</v>
      </c>
      <c r="D3943" t="s">
        <v>3219</v>
      </c>
      <c r="E3943" t="s">
        <v>25157</v>
      </c>
      <c r="F3943" t="s">
        <v>108</v>
      </c>
      <c r="H3943" t="s">
        <v>25158</v>
      </c>
      <c r="I3943" t="s">
        <v>1936</v>
      </c>
      <c r="J3943" t="s">
        <v>111</v>
      </c>
      <c r="K3943" t="str">
        <f>"85254"</f>
        <v>85254</v>
      </c>
      <c r="L3943" t="s">
        <v>6325</v>
      </c>
      <c r="M3943" t="s">
        <v>25158</v>
      </c>
      <c r="N3943" t="s">
        <v>1936</v>
      </c>
      <c r="O3943" t="s">
        <v>111</v>
      </c>
      <c r="P3943" t="str">
        <f>"85254-9226"</f>
        <v>85254-9226</v>
      </c>
      <c r="Q3943" t="s">
        <v>113</v>
      </c>
      <c r="R3943" t="str">
        <f>"215-36-679"</f>
        <v>215-36-679</v>
      </c>
      <c r="S3943" t="s">
        <v>25159</v>
      </c>
      <c r="T3943" t="s">
        <v>25160</v>
      </c>
      <c r="U3943">
        <v>2584</v>
      </c>
      <c r="V3943">
        <v>0</v>
      </c>
      <c r="W3943">
        <v>4</v>
      </c>
      <c r="X3943">
        <v>1991</v>
      </c>
      <c r="Z3943">
        <v>2</v>
      </c>
      <c r="AA3943" t="s">
        <v>26</v>
      </c>
      <c r="AB3943">
        <v>0</v>
      </c>
      <c r="AC3943" t="s">
        <v>115</v>
      </c>
      <c r="AD3943">
        <v>2</v>
      </c>
      <c r="AE3943" t="s">
        <v>115</v>
      </c>
      <c r="AF3943">
        <v>0</v>
      </c>
      <c r="AG3943">
        <v>0</v>
      </c>
      <c r="AH3943" t="s">
        <v>116</v>
      </c>
      <c r="AI3943" s="1">
        <v>107012</v>
      </c>
      <c r="AJ3943" s="2">
        <v>0.21</v>
      </c>
      <c r="AK3943" s="1">
        <v>514439</v>
      </c>
      <c r="AL3943" t="s">
        <v>117</v>
      </c>
      <c r="AM3943" t="s">
        <v>191</v>
      </c>
      <c r="AN3943">
        <v>6698</v>
      </c>
      <c r="AO3943">
        <v>0.15</v>
      </c>
      <c r="AP3943">
        <v>1</v>
      </c>
      <c r="AR3943">
        <v>1</v>
      </c>
      <c r="AS3943" s="1">
        <v>37030</v>
      </c>
      <c r="AT3943" s="1">
        <v>7400</v>
      </c>
      <c r="AU3943" s="1">
        <v>29630</v>
      </c>
      <c r="AV3943">
        <v>80.02</v>
      </c>
      <c r="AX3943" s="1">
        <v>3338.24</v>
      </c>
      <c r="AY3943" t="s">
        <v>15787</v>
      </c>
      <c r="AZ3943" t="s">
        <v>7739</v>
      </c>
      <c r="BA3943" t="s">
        <v>6302</v>
      </c>
      <c r="BE3943" s="3">
        <v>41836</v>
      </c>
      <c r="BF3943" s="1">
        <v>395000</v>
      </c>
      <c r="BG3943" t="s">
        <v>25161</v>
      </c>
      <c r="BH3943" s="1">
        <v>152.86000000000001</v>
      </c>
      <c r="BI3943" s="1">
        <v>407427</v>
      </c>
      <c r="BJ3943" s="3">
        <v>42536</v>
      </c>
      <c r="BK3943" t="s">
        <v>123</v>
      </c>
      <c r="BL3943" t="str">
        <f>"2016.415838"</f>
        <v>2016.415838</v>
      </c>
      <c r="BM3943" t="s">
        <v>673</v>
      </c>
      <c r="BO3943" t="s">
        <v>25162</v>
      </c>
      <c r="BS3943">
        <v>30</v>
      </c>
      <c r="BW3943" t="str">
        <f>""</f>
        <v/>
      </c>
      <c r="CH3943" t="str">
        <f>""</f>
        <v/>
      </c>
      <c r="CS3943" t="str">
        <f>""</f>
        <v/>
      </c>
    </row>
    <row r="3944" spans="1:97" x14ac:dyDescent="0.25">
      <c r="A3944" t="s">
        <v>25163</v>
      </c>
      <c r="B3944" t="s">
        <v>25164</v>
      </c>
      <c r="C3944" t="s">
        <v>4801</v>
      </c>
      <c r="D3944" t="s">
        <v>25164</v>
      </c>
      <c r="E3944" t="s">
        <v>25165</v>
      </c>
      <c r="F3944" t="s">
        <v>108</v>
      </c>
      <c r="H3944" t="s">
        <v>25166</v>
      </c>
      <c r="I3944" t="s">
        <v>203</v>
      </c>
      <c r="J3944" t="s">
        <v>111</v>
      </c>
      <c r="K3944" t="str">
        <f>"85233"</f>
        <v>85233</v>
      </c>
      <c r="L3944" t="s">
        <v>5709</v>
      </c>
      <c r="M3944" t="s">
        <v>25166</v>
      </c>
      <c r="N3944" t="s">
        <v>203</v>
      </c>
      <c r="O3944" t="s">
        <v>111</v>
      </c>
      <c r="P3944" t="str">
        <f>"85233-5800"</f>
        <v>85233-5800</v>
      </c>
      <c r="Q3944" t="s">
        <v>113</v>
      </c>
      <c r="R3944" t="str">
        <f>"302-32-618"</f>
        <v>302-32-618</v>
      </c>
      <c r="S3944" t="s">
        <v>13048</v>
      </c>
      <c r="T3944" t="s">
        <v>13049</v>
      </c>
      <c r="U3944">
        <v>2348</v>
      </c>
      <c r="V3944">
        <v>0</v>
      </c>
      <c r="W3944">
        <v>4</v>
      </c>
      <c r="X3944">
        <v>1993</v>
      </c>
      <c r="Z3944">
        <v>2</v>
      </c>
      <c r="AA3944" t="s">
        <v>26</v>
      </c>
      <c r="AB3944">
        <v>0</v>
      </c>
      <c r="AC3944" t="s">
        <v>115</v>
      </c>
      <c r="AD3944">
        <v>3</v>
      </c>
      <c r="AE3944" t="s">
        <v>115</v>
      </c>
      <c r="AF3944">
        <v>0</v>
      </c>
      <c r="AG3944">
        <v>0</v>
      </c>
      <c r="AH3944" t="s">
        <v>116</v>
      </c>
      <c r="AI3944" s="1">
        <v>84252</v>
      </c>
      <c r="AJ3944" s="2">
        <v>0.23</v>
      </c>
      <c r="AK3944" s="1">
        <v>370252</v>
      </c>
      <c r="AL3944" t="s">
        <v>117</v>
      </c>
      <c r="AM3944" t="s">
        <v>393</v>
      </c>
      <c r="AN3944">
        <v>7022</v>
      </c>
      <c r="AO3944">
        <v>0.16</v>
      </c>
      <c r="AP3944">
        <v>1</v>
      </c>
      <c r="AR3944">
        <v>1</v>
      </c>
      <c r="AS3944" s="1">
        <v>26080</v>
      </c>
      <c r="AT3944" s="1">
        <v>5210</v>
      </c>
      <c r="AU3944" s="1">
        <v>20870</v>
      </c>
      <c r="AV3944">
        <v>80.02</v>
      </c>
      <c r="AX3944" s="1">
        <v>2228.7399999999998</v>
      </c>
      <c r="AY3944" t="s">
        <v>5601</v>
      </c>
      <c r="AZ3944" t="s">
        <v>5478</v>
      </c>
      <c r="BA3944" t="s">
        <v>5479</v>
      </c>
      <c r="BE3944" s="3">
        <v>41754</v>
      </c>
      <c r="BF3944" s="1">
        <v>285000</v>
      </c>
      <c r="BG3944" t="s">
        <v>25167</v>
      </c>
      <c r="BH3944" s="1">
        <v>121.38</v>
      </c>
      <c r="BI3944" s="1">
        <v>286000</v>
      </c>
      <c r="BJ3944" s="3">
        <v>42443</v>
      </c>
      <c r="BK3944" t="s">
        <v>123</v>
      </c>
      <c r="BL3944" t="str">
        <f>"2016.160973"</f>
        <v>2016.160973</v>
      </c>
      <c r="BM3944" t="s">
        <v>673</v>
      </c>
      <c r="BO3944" t="s">
        <v>25168</v>
      </c>
      <c r="BS3944">
        <v>30</v>
      </c>
      <c r="BW3944" t="str">
        <f>""</f>
        <v/>
      </c>
      <c r="CH3944" t="str">
        <f>""</f>
        <v/>
      </c>
      <c r="CS3944" t="str">
        <f>""</f>
        <v/>
      </c>
    </row>
    <row r="3945" spans="1:97" x14ac:dyDescent="0.25">
      <c r="A3945" t="s">
        <v>25169</v>
      </c>
      <c r="B3945" t="s">
        <v>21664</v>
      </c>
      <c r="E3945" t="s">
        <v>25170</v>
      </c>
      <c r="F3945" t="s">
        <v>108</v>
      </c>
      <c r="H3945" t="s">
        <v>25171</v>
      </c>
      <c r="I3945" t="s">
        <v>188</v>
      </c>
      <c r="J3945" t="s">
        <v>111</v>
      </c>
      <c r="K3945" t="str">
        <f>"85142"</f>
        <v>85142</v>
      </c>
      <c r="L3945" t="s">
        <v>3645</v>
      </c>
      <c r="M3945" t="s">
        <v>25171</v>
      </c>
      <c r="N3945" t="s">
        <v>188</v>
      </c>
      <c r="O3945" t="s">
        <v>111</v>
      </c>
      <c r="P3945" t="str">
        <f>"85142-7430"</f>
        <v>85142-7430</v>
      </c>
      <c r="Q3945" t="s">
        <v>113</v>
      </c>
      <c r="R3945" t="str">
        <f>"314-08-628"</f>
        <v>314-08-628</v>
      </c>
      <c r="S3945" t="s">
        <v>9258</v>
      </c>
      <c r="T3945" t="s">
        <v>4400</v>
      </c>
      <c r="U3945">
        <v>3416</v>
      </c>
      <c r="V3945">
        <v>0</v>
      </c>
      <c r="W3945">
        <v>6</v>
      </c>
      <c r="X3945">
        <v>2014</v>
      </c>
      <c r="Z3945">
        <v>1</v>
      </c>
      <c r="AA3945" t="s">
        <v>26</v>
      </c>
      <c r="AB3945">
        <v>0</v>
      </c>
      <c r="AC3945" t="s">
        <v>115</v>
      </c>
      <c r="AD3945">
        <v>3</v>
      </c>
      <c r="AE3945" t="s">
        <v>115</v>
      </c>
      <c r="AF3945">
        <v>0</v>
      </c>
      <c r="AG3945">
        <v>0</v>
      </c>
      <c r="AH3945" t="s">
        <v>116</v>
      </c>
      <c r="AI3945" s="1">
        <v>72495</v>
      </c>
      <c r="AJ3945" s="2">
        <v>0.14000000000000001</v>
      </c>
      <c r="AK3945" s="1">
        <v>503430</v>
      </c>
      <c r="AL3945" t="s">
        <v>117</v>
      </c>
      <c r="AM3945" t="s">
        <v>917</v>
      </c>
      <c r="AN3945">
        <v>11200</v>
      </c>
      <c r="AO3945">
        <v>0.26</v>
      </c>
      <c r="AR3945">
        <v>1</v>
      </c>
      <c r="AS3945" s="1">
        <v>37110</v>
      </c>
      <c r="AT3945" s="1">
        <v>7420</v>
      </c>
      <c r="AU3945" s="1">
        <v>29690</v>
      </c>
      <c r="AV3945">
        <v>80.010000000000005</v>
      </c>
      <c r="AX3945" s="1">
        <v>3695.5</v>
      </c>
      <c r="AY3945" t="s">
        <v>560</v>
      </c>
      <c r="AZ3945" t="s">
        <v>561</v>
      </c>
      <c r="BA3945" t="s">
        <v>194</v>
      </c>
      <c r="BE3945" s="3">
        <v>41879</v>
      </c>
      <c r="BF3945" s="1">
        <v>389213</v>
      </c>
      <c r="BG3945" t="s">
        <v>749</v>
      </c>
      <c r="BH3945" s="1">
        <v>113.94</v>
      </c>
      <c r="BI3945" s="1">
        <v>388935</v>
      </c>
      <c r="BJ3945" s="3">
        <v>42635</v>
      </c>
      <c r="BK3945" t="s">
        <v>123</v>
      </c>
      <c r="BL3945" t="str">
        <f>"2016.688667"</f>
        <v>2016.688667</v>
      </c>
      <c r="BM3945" t="s">
        <v>425</v>
      </c>
      <c r="BO3945" t="s">
        <v>25172</v>
      </c>
      <c r="BS3945">
        <v>30</v>
      </c>
      <c r="BT3945" s="1">
        <v>42000</v>
      </c>
      <c r="BU3945" s="3">
        <v>41941</v>
      </c>
      <c r="BV3945" t="s">
        <v>134</v>
      </c>
      <c r="BW3945" t="str">
        <f>"2014.717805"</f>
        <v>2014.717805</v>
      </c>
      <c r="BX3945" t="s">
        <v>369</v>
      </c>
      <c r="BZ3945" t="s">
        <v>25172</v>
      </c>
      <c r="CD3945">
        <v>15</v>
      </c>
      <c r="CH3945" t="str">
        <f>""</f>
        <v/>
      </c>
      <c r="CS3945" t="str">
        <f>""</f>
        <v/>
      </c>
    </row>
    <row r="3946" spans="1:97" x14ac:dyDescent="0.25">
      <c r="A3946" t="s">
        <v>294</v>
      </c>
      <c r="B3946" t="s">
        <v>1485</v>
      </c>
      <c r="C3946" t="s">
        <v>986</v>
      </c>
      <c r="D3946" t="s">
        <v>6495</v>
      </c>
      <c r="E3946" t="s">
        <v>25173</v>
      </c>
      <c r="F3946" t="s">
        <v>108</v>
      </c>
      <c r="H3946" t="s">
        <v>25174</v>
      </c>
      <c r="I3946" t="s">
        <v>2874</v>
      </c>
      <c r="J3946" t="s">
        <v>111</v>
      </c>
      <c r="K3946" t="str">
        <f>"85304"</f>
        <v>85304</v>
      </c>
      <c r="L3946" t="s">
        <v>11566</v>
      </c>
      <c r="M3946" t="s">
        <v>25174</v>
      </c>
      <c r="N3946" t="s">
        <v>2874</v>
      </c>
      <c r="O3946" t="s">
        <v>111</v>
      </c>
      <c r="P3946" t="str">
        <f>"85304-1829"</f>
        <v>85304-1829</v>
      </c>
      <c r="Q3946" t="s">
        <v>113</v>
      </c>
      <c r="R3946" t="str">
        <f>"200-39-466"</f>
        <v>200-39-466</v>
      </c>
      <c r="S3946" t="s">
        <v>18898</v>
      </c>
      <c r="T3946" t="s">
        <v>14126</v>
      </c>
      <c r="U3946">
        <v>3055</v>
      </c>
      <c r="V3946">
        <v>0</v>
      </c>
      <c r="W3946">
        <v>4</v>
      </c>
      <c r="X3946">
        <v>1996</v>
      </c>
      <c r="Z3946">
        <v>2</v>
      </c>
      <c r="AA3946" t="s">
        <v>26</v>
      </c>
      <c r="AB3946">
        <v>0</v>
      </c>
      <c r="AC3946" t="s">
        <v>115</v>
      </c>
      <c r="AD3946">
        <v>3</v>
      </c>
      <c r="AE3946" t="s">
        <v>115</v>
      </c>
      <c r="AF3946">
        <v>0</v>
      </c>
      <c r="AG3946">
        <v>0</v>
      </c>
      <c r="AH3946" t="s">
        <v>116</v>
      </c>
      <c r="AI3946" s="1">
        <v>75659</v>
      </c>
      <c r="AJ3946" s="2">
        <v>0.19</v>
      </c>
      <c r="AK3946" s="1">
        <v>395659</v>
      </c>
      <c r="AL3946" t="s">
        <v>117</v>
      </c>
      <c r="AM3946" t="s">
        <v>118</v>
      </c>
      <c r="AN3946">
        <v>8446</v>
      </c>
      <c r="AO3946">
        <v>0.19</v>
      </c>
      <c r="AP3946">
        <v>1</v>
      </c>
      <c r="AR3946">
        <v>1</v>
      </c>
      <c r="AS3946" s="1">
        <v>30200</v>
      </c>
      <c r="AT3946" s="1">
        <v>6040</v>
      </c>
      <c r="AU3946" s="1">
        <v>24160</v>
      </c>
      <c r="AV3946">
        <v>80</v>
      </c>
      <c r="AX3946" s="1">
        <v>2430.9</v>
      </c>
      <c r="AY3946" t="s">
        <v>1808</v>
      </c>
      <c r="AZ3946" t="s">
        <v>1808</v>
      </c>
      <c r="BA3946" t="s">
        <v>8681</v>
      </c>
      <c r="BE3946" s="3">
        <v>41789</v>
      </c>
      <c r="BF3946" s="1">
        <v>320000</v>
      </c>
      <c r="BG3946" t="s">
        <v>25175</v>
      </c>
      <c r="BH3946" s="1">
        <v>104.71</v>
      </c>
      <c r="BI3946" s="1">
        <v>320000</v>
      </c>
      <c r="BJ3946" s="3">
        <v>41789</v>
      </c>
      <c r="BK3946" t="s">
        <v>123</v>
      </c>
      <c r="BL3946" t="str">
        <f>"2014.353049"</f>
        <v>2014.353049</v>
      </c>
      <c r="BM3946" t="s">
        <v>544</v>
      </c>
      <c r="BO3946" t="s">
        <v>25176</v>
      </c>
      <c r="BP3946" t="s">
        <v>25177</v>
      </c>
      <c r="BS3946">
        <v>30</v>
      </c>
      <c r="BW3946" t="str">
        <f>""</f>
        <v/>
      </c>
      <c r="CH3946" t="str">
        <f>""</f>
        <v/>
      </c>
      <c r="CS3946" t="str">
        <f>""</f>
        <v/>
      </c>
    </row>
    <row r="3947" spans="1:97" x14ac:dyDescent="0.25">
      <c r="A3947" t="s">
        <v>25178</v>
      </c>
      <c r="B3947" t="s">
        <v>25179</v>
      </c>
      <c r="C3947" t="s">
        <v>25180</v>
      </c>
      <c r="D3947" t="s">
        <v>25179</v>
      </c>
      <c r="E3947" t="s">
        <v>25181</v>
      </c>
      <c r="F3947" t="s">
        <v>108</v>
      </c>
      <c r="H3947" t="s">
        <v>25182</v>
      </c>
      <c r="I3947" t="s">
        <v>225</v>
      </c>
      <c r="J3947" t="s">
        <v>111</v>
      </c>
      <c r="K3947" t="str">
        <f>"85204"</f>
        <v>85204</v>
      </c>
      <c r="L3947" t="s">
        <v>6964</v>
      </c>
      <c r="M3947" t="s">
        <v>25182</v>
      </c>
      <c r="N3947" t="s">
        <v>225</v>
      </c>
      <c r="O3947" t="s">
        <v>111</v>
      </c>
      <c r="P3947" t="str">
        <f>"85204-6020"</f>
        <v>85204-6020</v>
      </c>
      <c r="Q3947" t="s">
        <v>113</v>
      </c>
      <c r="R3947" t="str">
        <f>"139-08-026"</f>
        <v>139-08-026</v>
      </c>
      <c r="S3947" t="s">
        <v>25183</v>
      </c>
      <c r="U3947">
        <v>2425</v>
      </c>
      <c r="V3947">
        <v>0</v>
      </c>
      <c r="W3947">
        <v>4</v>
      </c>
      <c r="X3947">
        <v>1979</v>
      </c>
      <c r="Z3947">
        <v>2</v>
      </c>
      <c r="AA3947" t="s">
        <v>26</v>
      </c>
      <c r="AB3947">
        <v>0</v>
      </c>
      <c r="AC3947" t="s">
        <v>115</v>
      </c>
      <c r="AD3947">
        <v>2</v>
      </c>
      <c r="AE3947" t="s">
        <v>115</v>
      </c>
      <c r="AF3947">
        <v>0</v>
      </c>
      <c r="AG3947">
        <v>0</v>
      </c>
      <c r="AH3947" t="s">
        <v>116</v>
      </c>
      <c r="AI3947" s="1">
        <v>72524</v>
      </c>
      <c r="AJ3947" s="2">
        <v>0.19</v>
      </c>
      <c r="AK3947" s="1">
        <v>372094</v>
      </c>
      <c r="AL3947" t="s">
        <v>117</v>
      </c>
      <c r="AM3947" t="s">
        <v>917</v>
      </c>
      <c r="AN3947">
        <v>14217</v>
      </c>
      <c r="AO3947">
        <v>0.33</v>
      </c>
      <c r="AP3947">
        <v>1</v>
      </c>
      <c r="AR3947">
        <v>1</v>
      </c>
      <c r="AS3947" s="1">
        <v>25020</v>
      </c>
      <c r="AT3947" s="1">
        <v>5000</v>
      </c>
      <c r="AU3947" s="1">
        <v>20020</v>
      </c>
      <c r="AV3947">
        <v>80.02</v>
      </c>
      <c r="AX3947" s="1">
        <v>1871.58</v>
      </c>
      <c r="AY3947" t="s">
        <v>14330</v>
      </c>
      <c r="AZ3947" t="s">
        <v>5158</v>
      </c>
      <c r="BA3947" t="s">
        <v>5159</v>
      </c>
      <c r="BE3947" s="3">
        <v>42457</v>
      </c>
      <c r="BF3947" s="1">
        <v>318000</v>
      </c>
      <c r="BG3947" t="s">
        <v>25184</v>
      </c>
      <c r="BH3947" s="1">
        <v>176.27</v>
      </c>
      <c r="BI3947" s="1">
        <v>299570</v>
      </c>
      <c r="BJ3947" s="3">
        <v>42457</v>
      </c>
      <c r="BK3947" t="s">
        <v>123</v>
      </c>
      <c r="BL3947" t="str">
        <f>"2016.197210"</f>
        <v>2016.197210</v>
      </c>
      <c r="BM3947" t="s">
        <v>2683</v>
      </c>
      <c r="BO3947" t="s">
        <v>25185</v>
      </c>
      <c r="BS3947">
        <v>30</v>
      </c>
      <c r="BW3947" t="str">
        <f>""</f>
        <v/>
      </c>
      <c r="CH3947" t="str">
        <f>""</f>
        <v/>
      </c>
      <c r="CS3947" t="str">
        <f>""</f>
        <v/>
      </c>
    </row>
    <row r="3948" spans="1:97" x14ac:dyDescent="0.25">
      <c r="A3948" t="s">
        <v>10186</v>
      </c>
      <c r="B3948" t="s">
        <v>22100</v>
      </c>
      <c r="C3948" t="s">
        <v>727</v>
      </c>
      <c r="D3948" t="s">
        <v>22100</v>
      </c>
      <c r="E3948" t="s">
        <v>25186</v>
      </c>
      <c r="F3948" t="s">
        <v>108</v>
      </c>
      <c r="H3948" t="s">
        <v>25187</v>
      </c>
      <c r="I3948" t="s">
        <v>632</v>
      </c>
      <c r="J3948" t="s">
        <v>111</v>
      </c>
      <c r="K3948" t="str">
        <f>"85387"</f>
        <v>85387</v>
      </c>
      <c r="L3948" t="s">
        <v>6529</v>
      </c>
      <c r="M3948" t="s">
        <v>25187</v>
      </c>
      <c r="N3948" t="s">
        <v>632</v>
      </c>
      <c r="O3948" t="s">
        <v>111</v>
      </c>
      <c r="P3948" t="str">
        <f>"85387-1013"</f>
        <v>85387-1013</v>
      </c>
      <c r="Q3948" t="s">
        <v>113</v>
      </c>
      <c r="R3948" t="str">
        <f>"510-04-857"</f>
        <v>510-04-857</v>
      </c>
      <c r="S3948" t="s">
        <v>8907</v>
      </c>
      <c r="T3948" t="s">
        <v>5498</v>
      </c>
      <c r="U3948">
        <v>2885</v>
      </c>
      <c r="V3948">
        <v>0</v>
      </c>
      <c r="W3948">
        <v>4</v>
      </c>
      <c r="X3948">
        <v>2015</v>
      </c>
      <c r="Z3948">
        <v>2</v>
      </c>
      <c r="AB3948">
        <v>0</v>
      </c>
      <c r="AC3948" t="s">
        <v>115</v>
      </c>
      <c r="AD3948">
        <v>2</v>
      </c>
      <c r="AE3948" t="s">
        <v>115</v>
      </c>
      <c r="AF3948">
        <v>0</v>
      </c>
      <c r="AG3948">
        <v>0</v>
      </c>
      <c r="AH3948" t="s">
        <v>116</v>
      </c>
      <c r="AI3948" s="1">
        <v>69405</v>
      </c>
      <c r="AJ3948" s="2">
        <v>0.2</v>
      </c>
      <c r="AK3948" s="1">
        <v>347347</v>
      </c>
      <c r="AL3948" t="s">
        <v>117</v>
      </c>
      <c r="AM3948" t="s">
        <v>118</v>
      </c>
      <c r="AN3948">
        <v>7696</v>
      </c>
      <c r="AO3948">
        <v>0.18</v>
      </c>
      <c r="AR3948">
        <v>1</v>
      </c>
      <c r="AS3948" s="1">
        <v>25500</v>
      </c>
      <c r="AT3948" s="1">
        <v>5100</v>
      </c>
      <c r="AU3948" s="1">
        <v>20400</v>
      </c>
      <c r="AV3948">
        <v>80</v>
      </c>
      <c r="AX3948" s="1">
        <v>1434.04</v>
      </c>
      <c r="AY3948" t="s">
        <v>5499</v>
      </c>
      <c r="AZ3948" t="s">
        <v>5499</v>
      </c>
      <c r="BE3948" s="3">
        <v>42297</v>
      </c>
      <c r="BF3948" s="1">
        <v>271726</v>
      </c>
      <c r="BG3948" t="s">
        <v>6320</v>
      </c>
      <c r="BH3948" s="1">
        <v>94.19</v>
      </c>
      <c r="BI3948" s="1">
        <v>277942</v>
      </c>
      <c r="BJ3948" s="3">
        <v>42534</v>
      </c>
      <c r="BK3948" t="s">
        <v>123</v>
      </c>
      <c r="BL3948" t="str">
        <f>"2016.408138"</f>
        <v>2016.408138</v>
      </c>
      <c r="BM3948" t="s">
        <v>255</v>
      </c>
      <c r="BO3948" t="s">
        <v>25188</v>
      </c>
      <c r="BS3948">
        <v>30</v>
      </c>
      <c r="BW3948" t="str">
        <f>""</f>
        <v/>
      </c>
      <c r="CH3948" t="str">
        <f>""</f>
        <v/>
      </c>
      <c r="CS3948" t="str">
        <f>""</f>
        <v/>
      </c>
    </row>
    <row r="3949" spans="1:97" x14ac:dyDescent="0.25">
      <c r="A3949" t="s">
        <v>25189</v>
      </c>
      <c r="B3949" t="s">
        <v>5098</v>
      </c>
      <c r="C3949" t="s">
        <v>6547</v>
      </c>
      <c r="D3949" t="s">
        <v>5098</v>
      </c>
      <c r="E3949" t="s">
        <v>25190</v>
      </c>
      <c r="F3949" t="s">
        <v>108</v>
      </c>
      <c r="H3949" t="s">
        <v>25191</v>
      </c>
      <c r="I3949" t="s">
        <v>499</v>
      </c>
      <c r="J3949" t="s">
        <v>111</v>
      </c>
      <c r="K3949" t="str">
        <f>"85338"</f>
        <v>85338</v>
      </c>
      <c r="L3949" t="s">
        <v>6316</v>
      </c>
      <c r="M3949" t="s">
        <v>25191</v>
      </c>
      <c r="N3949" t="s">
        <v>499</v>
      </c>
      <c r="O3949" t="s">
        <v>111</v>
      </c>
      <c r="P3949" t="str">
        <f>"85338-5625"</f>
        <v>85338-5625</v>
      </c>
      <c r="Q3949" t="s">
        <v>113</v>
      </c>
      <c r="R3949" t="str">
        <f>"502-43-084-A"</f>
        <v>502-43-084-A</v>
      </c>
      <c r="S3949" t="s">
        <v>18638</v>
      </c>
      <c r="T3949" t="s">
        <v>18639</v>
      </c>
      <c r="U3949">
        <v>4940</v>
      </c>
      <c r="V3949">
        <v>0</v>
      </c>
      <c r="W3949">
        <v>7</v>
      </c>
      <c r="X3949">
        <v>2005</v>
      </c>
      <c r="Z3949">
        <v>1</v>
      </c>
      <c r="AB3949">
        <v>0</v>
      </c>
      <c r="AC3949" t="s">
        <v>115</v>
      </c>
      <c r="AD3949">
        <v>7</v>
      </c>
      <c r="AE3949" t="s">
        <v>115</v>
      </c>
      <c r="AF3949">
        <v>0</v>
      </c>
      <c r="AG3949">
        <v>0</v>
      </c>
      <c r="AH3949" t="s">
        <v>116</v>
      </c>
      <c r="AI3949" s="1">
        <v>305309</v>
      </c>
      <c r="AJ3949" s="2">
        <v>0.46</v>
      </c>
      <c r="AK3949" s="1">
        <v>665309</v>
      </c>
      <c r="AL3949" t="s">
        <v>117</v>
      </c>
      <c r="AM3949" t="s">
        <v>376</v>
      </c>
      <c r="AN3949">
        <v>58998</v>
      </c>
      <c r="AO3949">
        <v>1.35</v>
      </c>
      <c r="AP3949">
        <v>1</v>
      </c>
      <c r="AR3949">
        <v>1</v>
      </c>
      <c r="AS3949" s="1">
        <v>56210</v>
      </c>
      <c r="AT3949" s="1">
        <v>11240</v>
      </c>
      <c r="AU3949" s="1">
        <v>44970</v>
      </c>
      <c r="AV3949">
        <v>80</v>
      </c>
      <c r="AX3949" s="1">
        <v>4476.62</v>
      </c>
      <c r="AY3949" t="s">
        <v>6790</v>
      </c>
      <c r="AZ3949" t="s">
        <v>6790</v>
      </c>
      <c r="BA3949" t="s">
        <v>218</v>
      </c>
      <c r="BE3949" s="3">
        <v>42461</v>
      </c>
      <c r="BF3949" s="1">
        <v>515000</v>
      </c>
      <c r="BG3949" t="s">
        <v>25192</v>
      </c>
      <c r="BH3949" s="1">
        <v>104.25</v>
      </c>
      <c r="BI3949" s="1">
        <v>360000</v>
      </c>
      <c r="BJ3949" s="3">
        <v>42886</v>
      </c>
      <c r="BK3949" t="s">
        <v>123</v>
      </c>
      <c r="BL3949" t="str">
        <f>"2017.394941"</f>
        <v>2017.394941</v>
      </c>
      <c r="BM3949" t="s">
        <v>25193</v>
      </c>
      <c r="BO3949" t="s">
        <v>25194</v>
      </c>
      <c r="BS3949">
        <v>30</v>
      </c>
      <c r="BW3949" t="str">
        <f>""</f>
        <v/>
      </c>
      <c r="CH3949" t="str">
        <f>""</f>
        <v/>
      </c>
      <c r="CS3949" t="str">
        <f>""</f>
        <v/>
      </c>
    </row>
    <row r="3950" spans="1:97" x14ac:dyDescent="0.25">
      <c r="A3950" t="s">
        <v>305</v>
      </c>
      <c r="B3950" t="s">
        <v>8379</v>
      </c>
      <c r="E3950" t="s">
        <v>25195</v>
      </c>
      <c r="F3950" t="s">
        <v>139</v>
      </c>
      <c r="H3950" t="s">
        <v>25196</v>
      </c>
      <c r="I3950" t="s">
        <v>4058</v>
      </c>
      <c r="J3950" t="s">
        <v>111</v>
      </c>
      <c r="K3950" t="str">
        <f>"85390"</f>
        <v>85390</v>
      </c>
      <c r="L3950" t="s">
        <v>3885</v>
      </c>
      <c r="M3950" t="s">
        <v>25197</v>
      </c>
      <c r="N3950" t="s">
        <v>4058</v>
      </c>
      <c r="O3950" t="s">
        <v>111</v>
      </c>
      <c r="P3950" t="str">
        <f>"85358-1163"</f>
        <v>85358-1163</v>
      </c>
      <c r="Q3950" t="s">
        <v>113</v>
      </c>
      <c r="R3950" t="str">
        <f>"505-38-028-V"</f>
        <v>505-38-028-V</v>
      </c>
      <c r="S3950" t="s">
        <v>25198</v>
      </c>
      <c r="U3950">
        <v>2692</v>
      </c>
      <c r="V3950">
        <v>0</v>
      </c>
      <c r="W3950">
        <v>4</v>
      </c>
      <c r="X3950">
        <v>1987</v>
      </c>
      <c r="Z3950">
        <v>2</v>
      </c>
      <c r="AB3950">
        <v>0</v>
      </c>
      <c r="AC3950" t="s">
        <v>115</v>
      </c>
      <c r="AD3950">
        <v>3</v>
      </c>
      <c r="AE3950" t="s">
        <v>115</v>
      </c>
      <c r="AF3950">
        <v>0</v>
      </c>
      <c r="AG3950">
        <v>0</v>
      </c>
      <c r="AH3950" t="s">
        <v>116</v>
      </c>
      <c r="AI3950" s="1">
        <v>228059</v>
      </c>
      <c r="AJ3950" s="2">
        <v>0.45</v>
      </c>
      <c r="AK3950" s="1">
        <v>504189</v>
      </c>
      <c r="AL3950" t="s">
        <v>117</v>
      </c>
      <c r="AM3950" t="s">
        <v>3973</v>
      </c>
      <c r="AN3950">
        <v>172385</v>
      </c>
      <c r="AO3950">
        <v>3.96</v>
      </c>
      <c r="AP3950">
        <v>1</v>
      </c>
      <c r="AR3950">
        <v>1</v>
      </c>
      <c r="AS3950" s="1">
        <v>35020</v>
      </c>
      <c r="AT3950" s="1">
        <v>7000</v>
      </c>
      <c r="AU3950" s="1">
        <v>28020</v>
      </c>
      <c r="AV3950">
        <v>80.010000000000005</v>
      </c>
      <c r="AX3950" s="1">
        <v>2378.2399999999998</v>
      </c>
      <c r="AY3950" t="s">
        <v>4061</v>
      </c>
      <c r="AZ3950" t="s">
        <v>4062</v>
      </c>
      <c r="BA3950" t="s">
        <v>445</v>
      </c>
      <c r="BE3950" s="3">
        <v>41849</v>
      </c>
      <c r="BF3950" s="1">
        <v>269430</v>
      </c>
      <c r="BG3950" t="s">
        <v>15371</v>
      </c>
      <c r="BH3950" s="1">
        <v>100.09</v>
      </c>
      <c r="BI3950" s="1">
        <v>276130</v>
      </c>
      <c r="BJ3950" s="3">
        <v>41849</v>
      </c>
      <c r="BK3950" t="s">
        <v>123</v>
      </c>
      <c r="BL3950" t="str">
        <f>"2014.494806"</f>
        <v>2014.494806</v>
      </c>
      <c r="BM3950" t="s">
        <v>9499</v>
      </c>
      <c r="BO3950" t="s">
        <v>25199</v>
      </c>
      <c r="BS3950">
        <v>30</v>
      </c>
      <c r="BW3950" t="str">
        <f>""</f>
        <v/>
      </c>
      <c r="CH3950" t="str">
        <f>""</f>
        <v/>
      </c>
      <c r="CS3950" t="str">
        <f>""</f>
        <v/>
      </c>
    </row>
    <row r="3951" spans="1:97" x14ac:dyDescent="0.25">
      <c r="A3951" t="s">
        <v>370</v>
      </c>
      <c r="B3951" t="s">
        <v>25200</v>
      </c>
      <c r="C3951" t="s">
        <v>713</v>
      </c>
      <c r="D3951" t="s">
        <v>25200</v>
      </c>
      <c r="E3951" t="s">
        <v>25201</v>
      </c>
      <c r="F3951" t="s">
        <v>108</v>
      </c>
      <c r="H3951" t="s">
        <v>25202</v>
      </c>
      <c r="I3951" t="s">
        <v>390</v>
      </c>
      <c r="J3951" t="s">
        <v>111</v>
      </c>
      <c r="K3951" t="str">
        <f>"85086"</f>
        <v>85086</v>
      </c>
      <c r="L3951" t="s">
        <v>6035</v>
      </c>
      <c r="M3951" t="s">
        <v>25202</v>
      </c>
      <c r="N3951" t="s">
        <v>390</v>
      </c>
      <c r="O3951" t="s">
        <v>111</v>
      </c>
      <c r="P3951" t="str">
        <f>"85086-9389"</f>
        <v>85086-9389</v>
      </c>
      <c r="Q3951" t="s">
        <v>113</v>
      </c>
      <c r="R3951" t="str">
        <f>"211-68-013-D"</f>
        <v>211-68-013-D</v>
      </c>
      <c r="S3951" t="s">
        <v>6498</v>
      </c>
      <c r="T3951" t="s">
        <v>6498</v>
      </c>
      <c r="U3951">
        <v>3084</v>
      </c>
      <c r="V3951">
        <v>0</v>
      </c>
      <c r="W3951">
        <v>4</v>
      </c>
      <c r="X3951">
        <v>2005</v>
      </c>
      <c r="Z3951">
        <v>1</v>
      </c>
      <c r="AA3951" t="s">
        <v>26</v>
      </c>
      <c r="AB3951">
        <v>0</v>
      </c>
      <c r="AC3951" t="s">
        <v>115</v>
      </c>
      <c r="AD3951">
        <v>2</v>
      </c>
      <c r="AE3951" t="s">
        <v>115</v>
      </c>
      <c r="AF3951">
        <v>0</v>
      </c>
      <c r="AG3951">
        <v>0</v>
      </c>
      <c r="AH3951" t="s">
        <v>116</v>
      </c>
      <c r="AI3951" s="1">
        <v>108861</v>
      </c>
      <c r="AJ3951" s="2">
        <v>0.2</v>
      </c>
      <c r="AK3951" s="1">
        <v>553861</v>
      </c>
      <c r="AL3951" t="s">
        <v>117</v>
      </c>
      <c r="AM3951" t="s">
        <v>376</v>
      </c>
      <c r="AN3951">
        <v>52359</v>
      </c>
      <c r="AO3951">
        <v>1.2</v>
      </c>
      <c r="AR3951">
        <v>1</v>
      </c>
      <c r="AS3951" s="1">
        <v>42300</v>
      </c>
      <c r="AT3951" s="1">
        <v>8460</v>
      </c>
      <c r="AU3951" s="1">
        <v>33840</v>
      </c>
      <c r="AV3951">
        <v>80</v>
      </c>
      <c r="AX3951" s="1">
        <v>4342.9799999999996</v>
      </c>
      <c r="AY3951" t="s">
        <v>1587</v>
      </c>
      <c r="AZ3951" t="s">
        <v>1587</v>
      </c>
      <c r="BA3951" t="s">
        <v>378</v>
      </c>
      <c r="BE3951" s="3">
        <v>42538</v>
      </c>
      <c r="BF3951" s="1">
        <v>445000</v>
      </c>
      <c r="BG3951" t="s">
        <v>25203</v>
      </c>
      <c r="BH3951" s="1">
        <v>144.29</v>
      </c>
      <c r="BI3951" s="1">
        <v>380000</v>
      </c>
      <c r="BJ3951" s="3">
        <v>42538</v>
      </c>
      <c r="BK3951" t="s">
        <v>123</v>
      </c>
      <c r="BL3951" t="str">
        <f>"2016.422416"</f>
        <v>2016.422416</v>
      </c>
      <c r="BM3951" t="s">
        <v>3004</v>
      </c>
      <c r="BN3951" t="s">
        <v>10610</v>
      </c>
      <c r="BO3951" t="s">
        <v>25204</v>
      </c>
      <c r="BS3951">
        <v>30</v>
      </c>
      <c r="BT3951" s="1">
        <v>65000</v>
      </c>
      <c r="BU3951" s="3">
        <v>43412</v>
      </c>
      <c r="BV3951" t="s">
        <v>134</v>
      </c>
      <c r="BW3951" t="str">
        <f>"2018.832183"</f>
        <v>2018.832183</v>
      </c>
      <c r="BX3951" t="s">
        <v>25205</v>
      </c>
      <c r="BY3951" t="s">
        <v>25206</v>
      </c>
      <c r="BZ3951" t="s">
        <v>25207</v>
      </c>
      <c r="CA3951" t="s">
        <v>25208</v>
      </c>
      <c r="CC3951" t="s">
        <v>139</v>
      </c>
      <c r="CH3951" t="str">
        <f>""</f>
        <v/>
      </c>
      <c r="CS3951" t="str">
        <f>""</f>
        <v/>
      </c>
    </row>
    <row r="3952" spans="1:97" x14ac:dyDescent="0.25">
      <c r="A3952" t="s">
        <v>9910</v>
      </c>
      <c r="B3952" t="s">
        <v>3581</v>
      </c>
      <c r="C3952" t="s">
        <v>25209</v>
      </c>
      <c r="D3952" t="s">
        <v>3581</v>
      </c>
      <c r="E3952" t="s">
        <v>25210</v>
      </c>
      <c r="F3952" t="s">
        <v>108</v>
      </c>
      <c r="H3952" t="s">
        <v>25211</v>
      </c>
      <c r="I3952" t="s">
        <v>374</v>
      </c>
      <c r="J3952" t="s">
        <v>111</v>
      </c>
      <c r="K3952" t="str">
        <f>"85087"</f>
        <v>85087</v>
      </c>
      <c r="L3952" t="s">
        <v>774</v>
      </c>
      <c r="M3952" t="s">
        <v>25211</v>
      </c>
      <c r="N3952" t="s">
        <v>374</v>
      </c>
      <c r="O3952" t="s">
        <v>111</v>
      </c>
      <c r="P3952" t="str">
        <f>"85087-9684"</f>
        <v>85087-9684</v>
      </c>
      <c r="Q3952" t="s">
        <v>113</v>
      </c>
      <c r="R3952" t="str">
        <f>"202-06-075-C"</f>
        <v>202-06-075-C</v>
      </c>
      <c r="U3952">
        <v>3609</v>
      </c>
      <c r="V3952">
        <v>0</v>
      </c>
      <c r="W3952">
        <v>4</v>
      </c>
      <c r="X3952">
        <v>2006</v>
      </c>
      <c r="Z3952">
        <v>1</v>
      </c>
      <c r="AB3952">
        <v>0</v>
      </c>
      <c r="AC3952" t="s">
        <v>115</v>
      </c>
      <c r="AD3952">
        <v>3</v>
      </c>
      <c r="AE3952" t="s">
        <v>115</v>
      </c>
      <c r="AF3952">
        <v>0</v>
      </c>
      <c r="AG3952">
        <v>0</v>
      </c>
      <c r="AH3952" t="s">
        <v>116</v>
      </c>
      <c r="AI3952" s="1">
        <v>105119</v>
      </c>
      <c r="AJ3952" s="2">
        <v>0.22</v>
      </c>
      <c r="AK3952" s="1">
        <v>480119</v>
      </c>
      <c r="AL3952" t="s">
        <v>117</v>
      </c>
      <c r="AM3952" t="s">
        <v>376</v>
      </c>
      <c r="AN3952">
        <v>52141</v>
      </c>
      <c r="AO3952">
        <v>1.2</v>
      </c>
      <c r="AR3952">
        <v>1</v>
      </c>
      <c r="AS3952" s="1">
        <v>35800</v>
      </c>
      <c r="AT3952" s="1">
        <v>7160</v>
      </c>
      <c r="AU3952" s="1">
        <v>28640</v>
      </c>
      <c r="AV3952">
        <v>80</v>
      </c>
      <c r="AX3952" s="1">
        <v>3038.94</v>
      </c>
      <c r="AY3952" t="s">
        <v>377</v>
      </c>
      <c r="AZ3952" t="s">
        <v>377</v>
      </c>
      <c r="BA3952" t="s">
        <v>378</v>
      </c>
      <c r="BE3952" s="3">
        <v>42454</v>
      </c>
      <c r="BF3952" s="1">
        <v>375000</v>
      </c>
      <c r="BG3952" t="s">
        <v>11218</v>
      </c>
      <c r="BH3952" s="1">
        <v>103.91</v>
      </c>
      <c r="BI3952" s="1">
        <v>375000</v>
      </c>
      <c r="BJ3952" s="3">
        <v>42454</v>
      </c>
      <c r="BK3952" t="s">
        <v>123</v>
      </c>
      <c r="BL3952" t="str">
        <f>"2016.195669"</f>
        <v>2016.195669</v>
      </c>
      <c r="BM3952" t="s">
        <v>3453</v>
      </c>
      <c r="BO3952" t="s">
        <v>25212</v>
      </c>
      <c r="BS3952">
        <v>30</v>
      </c>
      <c r="BW3952" t="str">
        <f>""</f>
        <v/>
      </c>
      <c r="CH3952" t="str">
        <f>""</f>
        <v/>
      </c>
      <c r="CS3952" t="str">
        <f>""</f>
        <v/>
      </c>
    </row>
    <row r="3953" spans="1:97" x14ac:dyDescent="0.25">
      <c r="B3953" t="s">
        <v>25213</v>
      </c>
      <c r="E3953" t="s">
        <v>25214</v>
      </c>
      <c r="F3953" t="s">
        <v>108</v>
      </c>
      <c r="H3953" t="s">
        <v>25215</v>
      </c>
      <c r="I3953" t="s">
        <v>632</v>
      </c>
      <c r="J3953" t="s">
        <v>111</v>
      </c>
      <c r="K3953" t="str">
        <f>"85379"</f>
        <v>85379</v>
      </c>
      <c r="L3953" t="s">
        <v>299</v>
      </c>
      <c r="M3953" t="s">
        <v>25215</v>
      </c>
      <c r="N3953" t="s">
        <v>632</v>
      </c>
      <c r="O3953" t="s">
        <v>111</v>
      </c>
      <c r="P3953" t="str">
        <f>"85379-4331"</f>
        <v>85379-4331</v>
      </c>
      <c r="Q3953" t="s">
        <v>113</v>
      </c>
      <c r="R3953" t="str">
        <f>"501-39-884"</f>
        <v>501-39-884</v>
      </c>
      <c r="S3953" t="s">
        <v>24068</v>
      </c>
      <c r="U3953">
        <v>4255</v>
      </c>
      <c r="V3953">
        <v>0</v>
      </c>
      <c r="W3953">
        <v>4</v>
      </c>
      <c r="X3953">
        <v>2004</v>
      </c>
      <c r="Z3953">
        <v>1</v>
      </c>
      <c r="AB3953">
        <v>0</v>
      </c>
      <c r="AC3953" t="s">
        <v>115</v>
      </c>
      <c r="AD3953">
        <v>6</v>
      </c>
      <c r="AE3953" t="s">
        <v>115</v>
      </c>
      <c r="AF3953">
        <v>0</v>
      </c>
      <c r="AG3953">
        <v>0</v>
      </c>
      <c r="AH3953" t="s">
        <v>116</v>
      </c>
      <c r="AI3953" s="1">
        <v>136947</v>
      </c>
      <c r="AJ3953" s="2">
        <v>0.23</v>
      </c>
      <c r="AK3953" s="1">
        <v>603003</v>
      </c>
      <c r="AL3953" t="s">
        <v>117</v>
      </c>
      <c r="AM3953" t="s">
        <v>376</v>
      </c>
      <c r="AN3953">
        <v>43043</v>
      </c>
      <c r="AO3953">
        <v>0.99</v>
      </c>
      <c r="AP3953">
        <v>1</v>
      </c>
      <c r="AR3953">
        <v>1</v>
      </c>
      <c r="AS3953" s="1">
        <v>47820</v>
      </c>
      <c r="AT3953" s="1">
        <v>9560</v>
      </c>
      <c r="AU3953" s="1">
        <v>38260</v>
      </c>
      <c r="AV3953">
        <v>80.010000000000005</v>
      </c>
      <c r="AX3953" s="1">
        <v>3700.58</v>
      </c>
      <c r="AY3953" t="s">
        <v>7965</v>
      </c>
      <c r="AZ3953" t="s">
        <v>7965</v>
      </c>
      <c r="BA3953" t="s">
        <v>635</v>
      </c>
      <c r="BB3953" s="3">
        <v>42755</v>
      </c>
      <c r="BD3953" t="s">
        <v>240</v>
      </c>
      <c r="BE3953" s="3">
        <v>41702</v>
      </c>
      <c r="BF3953" s="1">
        <v>480000</v>
      </c>
      <c r="BG3953" t="s">
        <v>25216</v>
      </c>
      <c r="BH3953" s="1">
        <v>112.81</v>
      </c>
      <c r="BI3953" s="1">
        <v>466056</v>
      </c>
      <c r="BJ3953" s="3">
        <v>42695</v>
      </c>
      <c r="BK3953" t="s">
        <v>123</v>
      </c>
      <c r="BL3953" t="str">
        <f>"2016.856130"</f>
        <v>2016.856130</v>
      </c>
      <c r="BM3953" t="s">
        <v>1695</v>
      </c>
      <c r="BO3953" t="s">
        <v>25217</v>
      </c>
      <c r="BS3953">
        <v>30</v>
      </c>
      <c r="BW3953" t="str">
        <f>""</f>
        <v/>
      </c>
      <c r="CH3953" t="str">
        <f>""</f>
        <v/>
      </c>
      <c r="CS3953" t="str">
        <f>""</f>
        <v/>
      </c>
    </row>
    <row r="3954" spans="1:97" x14ac:dyDescent="0.25">
      <c r="A3954" t="s">
        <v>325</v>
      </c>
      <c r="B3954" t="s">
        <v>1444</v>
      </c>
      <c r="C3954" t="s">
        <v>2435</v>
      </c>
      <c r="D3954" t="s">
        <v>1444</v>
      </c>
      <c r="E3954" t="s">
        <v>25218</v>
      </c>
      <c r="F3954" t="s">
        <v>108</v>
      </c>
      <c r="H3954" t="s">
        <v>25219</v>
      </c>
      <c r="I3954" t="s">
        <v>203</v>
      </c>
      <c r="J3954" t="s">
        <v>111</v>
      </c>
      <c r="K3954" t="str">
        <f>"85234"</f>
        <v>85234</v>
      </c>
      <c r="L3954" t="s">
        <v>189</v>
      </c>
      <c r="M3954" t="s">
        <v>25219</v>
      </c>
      <c r="N3954" t="s">
        <v>203</v>
      </c>
      <c r="O3954" t="s">
        <v>111</v>
      </c>
      <c r="P3954" t="str">
        <f>"85234-3111"</f>
        <v>85234-3111</v>
      </c>
      <c r="Q3954" t="s">
        <v>113</v>
      </c>
      <c r="R3954" t="str">
        <f>"304-15-205"</f>
        <v>304-15-205</v>
      </c>
      <c r="S3954" t="s">
        <v>25220</v>
      </c>
      <c r="T3954" t="s">
        <v>6201</v>
      </c>
      <c r="U3954">
        <v>2801</v>
      </c>
      <c r="V3954">
        <v>0</v>
      </c>
      <c r="W3954">
        <v>4</v>
      </c>
      <c r="X3954">
        <v>1996</v>
      </c>
      <c r="Z3954">
        <v>1</v>
      </c>
      <c r="AB3954">
        <v>0</v>
      </c>
      <c r="AC3954" t="s">
        <v>115</v>
      </c>
      <c r="AD3954">
        <v>3</v>
      </c>
      <c r="AE3954" t="s">
        <v>115</v>
      </c>
      <c r="AF3954">
        <v>0</v>
      </c>
      <c r="AG3954">
        <v>0</v>
      </c>
      <c r="AH3954" t="s">
        <v>116</v>
      </c>
      <c r="AI3954" s="1">
        <v>72535</v>
      </c>
      <c r="AJ3954" s="2">
        <v>0.13</v>
      </c>
      <c r="AK3954" s="1">
        <v>554692</v>
      </c>
      <c r="AL3954" t="s">
        <v>117</v>
      </c>
      <c r="AM3954" t="s">
        <v>1521</v>
      </c>
      <c r="AN3954">
        <v>20011</v>
      </c>
      <c r="AO3954">
        <v>0.46</v>
      </c>
      <c r="AP3954">
        <v>1</v>
      </c>
      <c r="AR3954">
        <v>1</v>
      </c>
      <c r="AS3954" s="1">
        <v>41470</v>
      </c>
      <c r="AT3954" s="1">
        <v>8290</v>
      </c>
      <c r="AU3954" s="1">
        <v>33180</v>
      </c>
      <c r="AV3954">
        <v>80.010000000000005</v>
      </c>
      <c r="AX3954" s="1">
        <v>3220.82</v>
      </c>
      <c r="AY3954" t="s">
        <v>5565</v>
      </c>
      <c r="AZ3954" t="s">
        <v>571</v>
      </c>
      <c r="BA3954" t="s">
        <v>521</v>
      </c>
      <c r="BE3954" s="3">
        <v>42178</v>
      </c>
      <c r="BF3954" s="1">
        <v>497500</v>
      </c>
      <c r="BG3954" t="s">
        <v>25221</v>
      </c>
      <c r="BH3954" s="1">
        <v>177.62</v>
      </c>
      <c r="BI3954" s="1">
        <v>482157</v>
      </c>
      <c r="BJ3954" s="3">
        <v>42640</v>
      </c>
      <c r="BK3954" t="s">
        <v>123</v>
      </c>
      <c r="BL3954" t="str">
        <f>"2016.704504"</f>
        <v>2016.704504</v>
      </c>
      <c r="BM3954" t="s">
        <v>402</v>
      </c>
      <c r="BO3954" t="s">
        <v>25222</v>
      </c>
      <c r="BS3954">
        <v>30</v>
      </c>
      <c r="BW3954" t="str">
        <f>""</f>
        <v/>
      </c>
      <c r="CH3954" t="str">
        <f>""</f>
        <v/>
      </c>
      <c r="CS3954" t="str">
        <f>""</f>
        <v/>
      </c>
    </row>
    <row r="3955" spans="1:97" x14ac:dyDescent="0.25">
      <c r="A3955" t="s">
        <v>494</v>
      </c>
      <c r="B3955" t="s">
        <v>25223</v>
      </c>
      <c r="E3955" t="s">
        <v>25224</v>
      </c>
      <c r="F3955" t="s">
        <v>108</v>
      </c>
      <c r="H3955" t="s">
        <v>25225</v>
      </c>
      <c r="I3955" t="s">
        <v>1936</v>
      </c>
      <c r="J3955" t="s">
        <v>111</v>
      </c>
      <c r="K3955" t="str">
        <f>"85266"</f>
        <v>85266</v>
      </c>
      <c r="L3955" t="s">
        <v>2820</v>
      </c>
      <c r="M3955" t="s">
        <v>25225</v>
      </c>
      <c r="N3955" t="s">
        <v>1936</v>
      </c>
      <c r="O3955" t="s">
        <v>111</v>
      </c>
      <c r="P3955" t="str">
        <f>"85266-4274"</f>
        <v>85266-4274</v>
      </c>
      <c r="Q3955" t="s">
        <v>113</v>
      </c>
      <c r="R3955" t="str">
        <f>"216-90-069"</f>
        <v>216-90-069</v>
      </c>
      <c r="S3955" t="s">
        <v>25226</v>
      </c>
      <c r="T3955" t="s">
        <v>22748</v>
      </c>
      <c r="U3955">
        <v>2001</v>
      </c>
      <c r="V3955">
        <v>0</v>
      </c>
      <c r="W3955">
        <v>3</v>
      </c>
      <c r="X3955">
        <v>2000</v>
      </c>
      <c r="Z3955">
        <v>1</v>
      </c>
      <c r="AB3955">
        <v>0</v>
      </c>
      <c r="AC3955" t="s">
        <v>115</v>
      </c>
      <c r="AD3955">
        <v>2</v>
      </c>
      <c r="AE3955" t="s">
        <v>115</v>
      </c>
      <c r="AF3955">
        <v>0</v>
      </c>
      <c r="AG3955">
        <v>0</v>
      </c>
      <c r="AH3955" t="s">
        <v>116</v>
      </c>
      <c r="AI3955" s="1">
        <v>122896</v>
      </c>
      <c r="AJ3955" s="2">
        <v>0.24</v>
      </c>
      <c r="AK3955" s="1">
        <v>520601</v>
      </c>
      <c r="AL3955" t="s">
        <v>117</v>
      </c>
      <c r="AM3955" t="s">
        <v>6533</v>
      </c>
      <c r="AN3955">
        <v>7082</v>
      </c>
      <c r="AO3955">
        <v>0.16</v>
      </c>
      <c r="AP3955">
        <v>1</v>
      </c>
      <c r="AR3955">
        <v>1</v>
      </c>
      <c r="AS3955" s="1">
        <v>38430</v>
      </c>
      <c r="AT3955" s="1">
        <v>7680</v>
      </c>
      <c r="AU3955" s="1">
        <v>30750</v>
      </c>
      <c r="AV3955">
        <v>80.02</v>
      </c>
      <c r="AX3955" s="1">
        <v>2344.92</v>
      </c>
      <c r="AY3955" t="s">
        <v>7359</v>
      </c>
      <c r="AZ3955" t="s">
        <v>1402</v>
      </c>
      <c r="BA3955" t="s">
        <v>1403</v>
      </c>
      <c r="BE3955" s="3">
        <v>41879</v>
      </c>
      <c r="BF3955" s="1">
        <v>385000</v>
      </c>
      <c r="BG3955" t="s">
        <v>25227</v>
      </c>
      <c r="BH3955" s="1">
        <v>192.4</v>
      </c>
      <c r="BI3955" s="1">
        <v>397705</v>
      </c>
      <c r="BJ3955" s="3">
        <v>41879</v>
      </c>
      <c r="BK3955" t="s">
        <v>123</v>
      </c>
      <c r="BL3955" t="str">
        <f>"2014.570700"</f>
        <v>2014.570700</v>
      </c>
      <c r="BM3955" t="s">
        <v>2290</v>
      </c>
      <c r="BO3955" t="s">
        <v>25228</v>
      </c>
      <c r="BS3955">
        <v>30</v>
      </c>
      <c r="BW3955" t="str">
        <f>""</f>
        <v/>
      </c>
      <c r="CH3955" t="str">
        <f>""</f>
        <v/>
      </c>
      <c r="CS3955" t="str">
        <f>""</f>
        <v/>
      </c>
    </row>
    <row r="3956" spans="1:97" x14ac:dyDescent="0.25">
      <c r="B3956" t="s">
        <v>3421</v>
      </c>
      <c r="E3956" t="s">
        <v>659</v>
      </c>
      <c r="F3956" t="s">
        <v>108</v>
      </c>
      <c r="H3956" t="s">
        <v>25229</v>
      </c>
      <c r="I3956" t="s">
        <v>6646</v>
      </c>
      <c r="J3956" t="s">
        <v>111</v>
      </c>
      <c r="K3956" t="str">
        <f>"85086"</f>
        <v>85086</v>
      </c>
      <c r="L3956" t="s">
        <v>3225</v>
      </c>
      <c r="M3956" t="s">
        <v>25229</v>
      </c>
      <c r="N3956" t="s">
        <v>6646</v>
      </c>
      <c r="O3956" t="s">
        <v>111</v>
      </c>
      <c r="P3956" t="str">
        <f>"85086-4901"</f>
        <v>85086-4901</v>
      </c>
      <c r="Q3956" t="s">
        <v>113</v>
      </c>
      <c r="R3956" t="str">
        <f>"203-06-135"</f>
        <v>203-06-135</v>
      </c>
      <c r="S3956" t="s">
        <v>25230</v>
      </c>
      <c r="U3956">
        <v>2939</v>
      </c>
      <c r="V3956">
        <v>0</v>
      </c>
      <c r="W3956">
        <v>4</v>
      </c>
      <c r="X3956">
        <v>2002</v>
      </c>
      <c r="Z3956">
        <v>1</v>
      </c>
      <c r="AA3956" t="s">
        <v>26</v>
      </c>
      <c r="AB3956">
        <v>0</v>
      </c>
      <c r="AC3956" t="s">
        <v>115</v>
      </c>
      <c r="AD3956">
        <v>3</v>
      </c>
      <c r="AE3956" t="s">
        <v>115</v>
      </c>
      <c r="AF3956">
        <v>0</v>
      </c>
      <c r="AG3956">
        <v>0</v>
      </c>
      <c r="AH3956" t="s">
        <v>116</v>
      </c>
      <c r="AI3956" s="1">
        <v>3087</v>
      </c>
      <c r="AJ3956" s="2">
        <v>0.01</v>
      </c>
      <c r="AK3956" s="1">
        <v>454508</v>
      </c>
      <c r="AL3956" t="s">
        <v>117</v>
      </c>
      <c r="AM3956" t="s">
        <v>1302</v>
      </c>
      <c r="AN3956">
        <v>9600</v>
      </c>
      <c r="AO3956">
        <v>0.22</v>
      </c>
      <c r="AP3956">
        <v>1</v>
      </c>
      <c r="AR3956">
        <v>1</v>
      </c>
      <c r="AS3956" s="1">
        <v>34750</v>
      </c>
      <c r="AT3956" s="1">
        <v>6950</v>
      </c>
      <c r="AU3956" s="1">
        <v>27800</v>
      </c>
      <c r="AV3956">
        <v>80</v>
      </c>
      <c r="AX3956" s="1">
        <v>4114.38</v>
      </c>
      <c r="AY3956" t="s">
        <v>665</v>
      </c>
      <c r="AZ3956" t="s">
        <v>665</v>
      </c>
      <c r="BA3956" t="s">
        <v>378</v>
      </c>
      <c r="BB3956" s="3">
        <v>43160</v>
      </c>
      <c r="BC3956" s="1">
        <v>0</v>
      </c>
      <c r="BD3956" t="s">
        <v>247</v>
      </c>
      <c r="BE3956" s="3">
        <v>41779</v>
      </c>
      <c r="BF3956" s="1">
        <v>355000</v>
      </c>
      <c r="BG3956" t="s">
        <v>25231</v>
      </c>
      <c r="BH3956" s="1">
        <v>120.79</v>
      </c>
      <c r="BI3956" s="1">
        <v>451421</v>
      </c>
      <c r="BJ3956" s="3">
        <v>43537</v>
      </c>
      <c r="BK3956" t="s">
        <v>123</v>
      </c>
      <c r="BL3956" t="str">
        <f>"2019.171903"</f>
        <v>2019.171903</v>
      </c>
      <c r="BM3956" t="s">
        <v>533</v>
      </c>
      <c r="BN3956" t="s">
        <v>534</v>
      </c>
      <c r="BO3956" t="s">
        <v>3421</v>
      </c>
      <c r="BR3956" t="s">
        <v>139</v>
      </c>
      <c r="BW3956" t="str">
        <f>""</f>
        <v/>
      </c>
      <c r="CH3956" t="str">
        <f>""</f>
        <v/>
      </c>
      <c r="CS3956" t="str">
        <f>""</f>
        <v/>
      </c>
    </row>
    <row r="3957" spans="1:97" x14ac:dyDescent="0.25">
      <c r="A3957" t="s">
        <v>25232</v>
      </c>
      <c r="B3957" t="s">
        <v>25233</v>
      </c>
      <c r="C3957" t="s">
        <v>25234</v>
      </c>
      <c r="D3957" t="s">
        <v>25233</v>
      </c>
      <c r="E3957" t="s">
        <v>25235</v>
      </c>
      <c r="F3957" t="s">
        <v>108</v>
      </c>
      <c r="H3957" t="s">
        <v>25236</v>
      </c>
      <c r="I3957" t="s">
        <v>225</v>
      </c>
      <c r="J3957" t="s">
        <v>111</v>
      </c>
      <c r="K3957" t="str">
        <f>"85205"</f>
        <v>85205</v>
      </c>
      <c r="L3957" t="s">
        <v>1518</v>
      </c>
      <c r="M3957" t="s">
        <v>25236</v>
      </c>
      <c r="N3957" t="s">
        <v>225</v>
      </c>
      <c r="O3957" t="s">
        <v>111</v>
      </c>
      <c r="P3957" t="str">
        <f>"85205-5104"</f>
        <v>85205-5104</v>
      </c>
      <c r="Q3957" t="s">
        <v>113</v>
      </c>
      <c r="R3957" t="str">
        <f>"140-03-283"</f>
        <v>140-03-283</v>
      </c>
      <c r="S3957" t="s">
        <v>25237</v>
      </c>
      <c r="T3957" t="s">
        <v>25237</v>
      </c>
      <c r="U3957">
        <v>3390</v>
      </c>
      <c r="V3957">
        <v>0</v>
      </c>
      <c r="W3957">
        <v>4</v>
      </c>
      <c r="X3957">
        <v>2001</v>
      </c>
      <c r="Z3957">
        <v>1</v>
      </c>
      <c r="AA3957" t="s">
        <v>26</v>
      </c>
      <c r="AB3957">
        <v>0</v>
      </c>
      <c r="AC3957" t="s">
        <v>115</v>
      </c>
      <c r="AD3957">
        <v>3</v>
      </c>
      <c r="AE3957" t="s">
        <v>115</v>
      </c>
      <c r="AF3957">
        <v>0</v>
      </c>
      <c r="AG3957">
        <v>0</v>
      </c>
      <c r="AH3957" t="s">
        <v>116</v>
      </c>
      <c r="AI3957" s="1">
        <v>23517</v>
      </c>
      <c r="AJ3957" s="2">
        <v>0.04</v>
      </c>
      <c r="AK3957" s="1">
        <v>575692</v>
      </c>
      <c r="AL3957" t="s">
        <v>117</v>
      </c>
      <c r="AM3957" t="s">
        <v>1521</v>
      </c>
      <c r="AN3957">
        <v>20059</v>
      </c>
      <c r="AO3957">
        <v>0.46</v>
      </c>
      <c r="AP3957">
        <v>1</v>
      </c>
      <c r="AR3957">
        <v>1</v>
      </c>
      <c r="AS3957" s="1">
        <v>42730</v>
      </c>
      <c r="AT3957" s="1">
        <v>8540</v>
      </c>
      <c r="AU3957" s="1">
        <v>34190</v>
      </c>
      <c r="AV3957">
        <v>80.010000000000005</v>
      </c>
      <c r="AX3957" s="1">
        <v>4511.3</v>
      </c>
      <c r="AY3957" t="s">
        <v>6044</v>
      </c>
      <c r="AZ3957" t="s">
        <v>4163</v>
      </c>
      <c r="BA3957" t="s">
        <v>1524</v>
      </c>
      <c r="BE3957" s="3">
        <v>42299</v>
      </c>
      <c r="BF3957" s="1">
        <v>475000</v>
      </c>
      <c r="BG3957" t="s">
        <v>25238</v>
      </c>
      <c r="BH3957" s="1">
        <v>140.12</v>
      </c>
      <c r="BI3957" s="1">
        <v>457875</v>
      </c>
      <c r="BJ3957" s="3">
        <v>42299</v>
      </c>
      <c r="BK3957" t="s">
        <v>123</v>
      </c>
      <c r="BL3957" t="str">
        <f>"2015.761110"</f>
        <v>2015.761110</v>
      </c>
      <c r="BM3957" t="s">
        <v>724</v>
      </c>
      <c r="BN3957" t="s">
        <v>5423</v>
      </c>
      <c r="BO3957" t="s">
        <v>25239</v>
      </c>
      <c r="BS3957">
        <v>30</v>
      </c>
      <c r="BT3957" s="1">
        <v>94300</v>
      </c>
      <c r="BU3957" s="3">
        <v>43593</v>
      </c>
      <c r="BV3957" t="s">
        <v>134</v>
      </c>
      <c r="BW3957" t="str">
        <f>"2019.331750"</f>
        <v>2019.331750</v>
      </c>
      <c r="BX3957" t="s">
        <v>135</v>
      </c>
      <c r="BY3957" t="s">
        <v>136</v>
      </c>
      <c r="BZ3957" t="s">
        <v>25240</v>
      </c>
      <c r="CA3957" t="s">
        <v>25241</v>
      </c>
      <c r="CC3957" t="s">
        <v>139</v>
      </c>
      <c r="CH3957" t="str">
        <f>""</f>
        <v/>
      </c>
      <c r="CS3957" t="str">
        <f>""</f>
        <v/>
      </c>
    </row>
    <row r="3958" spans="1:97" x14ac:dyDescent="0.25">
      <c r="B3958" t="s">
        <v>25242</v>
      </c>
      <c r="E3958" t="s">
        <v>603</v>
      </c>
      <c r="F3958" t="s">
        <v>108</v>
      </c>
      <c r="H3958" t="s">
        <v>25243</v>
      </c>
      <c r="I3958" t="s">
        <v>1936</v>
      </c>
      <c r="J3958" t="s">
        <v>111</v>
      </c>
      <c r="K3958" t="str">
        <f>"85266"</f>
        <v>85266</v>
      </c>
      <c r="L3958" t="s">
        <v>2211</v>
      </c>
      <c r="M3958" t="s">
        <v>25243</v>
      </c>
      <c r="N3958" t="s">
        <v>1936</v>
      </c>
      <c r="O3958" t="s">
        <v>111</v>
      </c>
      <c r="P3958" t="str">
        <f>"85266-1912"</f>
        <v>85266-1912</v>
      </c>
      <c r="Q3958" t="s">
        <v>113</v>
      </c>
      <c r="R3958" t="str">
        <f>"216-47-318"</f>
        <v>216-47-318</v>
      </c>
      <c r="S3958" t="s">
        <v>25244</v>
      </c>
      <c r="T3958" t="s">
        <v>25244</v>
      </c>
      <c r="U3958">
        <v>4073</v>
      </c>
      <c r="V3958">
        <v>0</v>
      </c>
      <c r="W3958">
        <v>5</v>
      </c>
      <c r="X3958">
        <v>2015</v>
      </c>
      <c r="Z3958">
        <v>1</v>
      </c>
      <c r="AB3958">
        <v>0</v>
      </c>
      <c r="AC3958" t="s">
        <v>115</v>
      </c>
      <c r="AD3958">
        <v>3</v>
      </c>
      <c r="AE3958" t="s">
        <v>115</v>
      </c>
      <c r="AF3958">
        <v>0</v>
      </c>
      <c r="AG3958">
        <v>0</v>
      </c>
      <c r="AH3958" t="s">
        <v>116</v>
      </c>
      <c r="AI3958" s="1">
        <v>218067</v>
      </c>
      <c r="AJ3958" s="2">
        <v>0.2</v>
      </c>
      <c r="AK3958" s="1">
        <v>1068096</v>
      </c>
      <c r="AL3958" t="s">
        <v>117</v>
      </c>
      <c r="AM3958" t="s">
        <v>376</v>
      </c>
      <c r="AN3958">
        <v>46932</v>
      </c>
      <c r="AO3958">
        <v>1.08</v>
      </c>
      <c r="AR3958">
        <v>1</v>
      </c>
      <c r="AS3958" s="1">
        <v>84900</v>
      </c>
      <c r="AT3958" s="1">
        <v>16980</v>
      </c>
      <c r="AU3958" s="1">
        <v>67920</v>
      </c>
      <c r="AV3958">
        <v>80</v>
      </c>
      <c r="AX3958" s="1">
        <v>3516.4</v>
      </c>
      <c r="AY3958" t="s">
        <v>7359</v>
      </c>
      <c r="AZ3958" t="s">
        <v>1402</v>
      </c>
      <c r="BA3958" t="s">
        <v>1403</v>
      </c>
      <c r="BB3958" s="3">
        <v>42649</v>
      </c>
      <c r="BD3958" t="s">
        <v>240</v>
      </c>
      <c r="BE3958" s="3">
        <v>42184</v>
      </c>
      <c r="BF3958" s="1">
        <v>977372</v>
      </c>
      <c r="BG3958" t="s">
        <v>25245</v>
      </c>
      <c r="BH3958" s="1">
        <v>239.96</v>
      </c>
      <c r="BI3958" s="1">
        <v>850029</v>
      </c>
      <c r="BJ3958" s="3">
        <v>42522</v>
      </c>
      <c r="BK3958" t="s">
        <v>123</v>
      </c>
      <c r="BL3958" t="str">
        <f>"2016.377347"</f>
        <v>2016.377347</v>
      </c>
      <c r="BM3958" t="s">
        <v>673</v>
      </c>
      <c r="BO3958" t="s">
        <v>25246</v>
      </c>
      <c r="BP3958" t="s">
        <v>25247</v>
      </c>
      <c r="BS3958">
        <v>30</v>
      </c>
      <c r="BW3958" t="str">
        <f>""</f>
        <v/>
      </c>
      <c r="CH3958" t="str">
        <f>""</f>
        <v/>
      </c>
      <c r="CS3958" t="str">
        <f>""</f>
        <v/>
      </c>
    </row>
    <row r="3959" spans="1:97" x14ac:dyDescent="0.25">
      <c r="A3959" t="s">
        <v>7562</v>
      </c>
      <c r="B3959" t="s">
        <v>25248</v>
      </c>
      <c r="E3959" t="s">
        <v>25249</v>
      </c>
      <c r="F3959" t="s">
        <v>108</v>
      </c>
      <c r="H3959" t="s">
        <v>25250</v>
      </c>
      <c r="I3959" t="s">
        <v>390</v>
      </c>
      <c r="J3959" t="s">
        <v>111</v>
      </c>
      <c r="K3959" t="str">
        <f>"85086"</f>
        <v>85086</v>
      </c>
      <c r="L3959" t="s">
        <v>3116</v>
      </c>
      <c r="M3959" t="s">
        <v>25250</v>
      </c>
      <c r="N3959" t="s">
        <v>390</v>
      </c>
      <c r="O3959" t="s">
        <v>111</v>
      </c>
      <c r="P3959" t="str">
        <f>"85086-1857"</f>
        <v>85086-1857</v>
      </c>
      <c r="Q3959" t="s">
        <v>113</v>
      </c>
      <c r="R3959" t="str">
        <f>"203-06-519"</f>
        <v>203-06-519</v>
      </c>
      <c r="S3959" t="s">
        <v>14105</v>
      </c>
      <c r="U3959">
        <v>3084</v>
      </c>
      <c r="V3959">
        <v>0</v>
      </c>
      <c r="W3959">
        <v>4</v>
      </c>
      <c r="X3959">
        <v>2003</v>
      </c>
      <c r="Z3959">
        <v>1</v>
      </c>
      <c r="AA3959" t="s">
        <v>26</v>
      </c>
      <c r="AB3959">
        <v>0</v>
      </c>
      <c r="AC3959" t="s">
        <v>115</v>
      </c>
      <c r="AD3959">
        <v>3</v>
      </c>
      <c r="AE3959" t="s">
        <v>115</v>
      </c>
      <c r="AF3959">
        <v>0</v>
      </c>
      <c r="AG3959">
        <v>0</v>
      </c>
      <c r="AH3959" t="s">
        <v>116</v>
      </c>
      <c r="AI3959" s="1">
        <v>54314</v>
      </c>
      <c r="AJ3959" s="2">
        <v>0.11</v>
      </c>
      <c r="AK3959" s="1">
        <v>499822</v>
      </c>
      <c r="AL3959" t="s">
        <v>117</v>
      </c>
      <c r="AM3959" t="s">
        <v>191</v>
      </c>
      <c r="AN3959">
        <v>15284</v>
      </c>
      <c r="AO3959">
        <v>0.35</v>
      </c>
      <c r="AP3959">
        <v>1</v>
      </c>
      <c r="AR3959">
        <v>1</v>
      </c>
      <c r="AS3959" s="1">
        <v>37850</v>
      </c>
      <c r="AT3959" s="1">
        <v>7570</v>
      </c>
      <c r="AU3959" s="1">
        <v>30280</v>
      </c>
      <c r="AV3959">
        <v>80</v>
      </c>
      <c r="AX3959" s="1">
        <v>4564.78</v>
      </c>
      <c r="AY3959" t="s">
        <v>6515</v>
      </c>
      <c r="AZ3959" t="s">
        <v>6515</v>
      </c>
      <c r="BA3959" t="s">
        <v>378</v>
      </c>
      <c r="BB3959" s="3">
        <v>42788</v>
      </c>
      <c r="BD3959" t="s">
        <v>458</v>
      </c>
      <c r="BE3959" s="3">
        <v>41698</v>
      </c>
      <c r="BF3959" s="1">
        <v>392000</v>
      </c>
      <c r="BG3959" t="s">
        <v>25251</v>
      </c>
      <c r="BH3959" s="1">
        <v>127.11</v>
      </c>
      <c r="BI3959" s="1">
        <v>401408</v>
      </c>
      <c r="BJ3959" s="3">
        <v>41698</v>
      </c>
      <c r="BK3959" t="s">
        <v>123</v>
      </c>
      <c r="BL3959" t="str">
        <f>"2014.133295"</f>
        <v>2014.133295</v>
      </c>
      <c r="BM3959" t="s">
        <v>6329</v>
      </c>
      <c r="BN3959" t="s">
        <v>8007</v>
      </c>
      <c r="BO3959" t="s">
        <v>25252</v>
      </c>
      <c r="BS3959">
        <v>30</v>
      </c>
      <c r="BT3959" s="1">
        <v>44100</v>
      </c>
      <c r="BU3959" s="3">
        <v>43767</v>
      </c>
      <c r="BV3959" t="s">
        <v>134</v>
      </c>
      <c r="BW3959" t="str">
        <f>"2019.863571"</f>
        <v>2019.863571</v>
      </c>
      <c r="BX3959" t="s">
        <v>13553</v>
      </c>
      <c r="BY3959" t="s">
        <v>13554</v>
      </c>
      <c r="BZ3959" t="s">
        <v>25253</v>
      </c>
      <c r="CC3959" t="s">
        <v>139</v>
      </c>
      <c r="CH3959" t="str">
        <f>""</f>
        <v/>
      </c>
      <c r="CS3959" t="str">
        <f>""</f>
        <v/>
      </c>
    </row>
    <row r="3960" spans="1:97" x14ac:dyDescent="0.25">
      <c r="A3960" t="s">
        <v>1067</v>
      </c>
      <c r="B3960" t="s">
        <v>996</v>
      </c>
      <c r="C3960" t="s">
        <v>2008</v>
      </c>
      <c r="D3960" t="s">
        <v>996</v>
      </c>
      <c r="E3960" t="s">
        <v>25254</v>
      </c>
      <c r="F3960" t="s">
        <v>282</v>
      </c>
      <c r="H3960" t="s">
        <v>25255</v>
      </c>
      <c r="I3960" t="s">
        <v>390</v>
      </c>
      <c r="J3960" t="s">
        <v>111</v>
      </c>
      <c r="K3960" t="str">
        <f>"85048"</f>
        <v>85048</v>
      </c>
      <c r="L3960" t="s">
        <v>8034</v>
      </c>
      <c r="M3960" t="s">
        <v>25256</v>
      </c>
      <c r="N3960" t="s">
        <v>390</v>
      </c>
      <c r="O3960" t="s">
        <v>111</v>
      </c>
      <c r="P3960" t="str">
        <f>"85004-2672"</f>
        <v>85004-2672</v>
      </c>
      <c r="Q3960" t="s">
        <v>113</v>
      </c>
      <c r="R3960" t="str">
        <f>"301-75-283"</f>
        <v>301-75-283</v>
      </c>
      <c r="S3960" t="s">
        <v>25257</v>
      </c>
      <c r="U3960">
        <v>2557</v>
      </c>
      <c r="V3960">
        <v>0</v>
      </c>
      <c r="W3960">
        <v>3</v>
      </c>
      <c r="X3960">
        <v>1989</v>
      </c>
      <c r="Z3960">
        <v>1</v>
      </c>
      <c r="AA3960" t="s">
        <v>26</v>
      </c>
      <c r="AB3960">
        <v>0</v>
      </c>
      <c r="AC3960" t="s">
        <v>115</v>
      </c>
      <c r="AD3960">
        <v>3</v>
      </c>
      <c r="AE3960" t="s">
        <v>115</v>
      </c>
      <c r="AF3960">
        <v>0</v>
      </c>
      <c r="AG3960">
        <v>0</v>
      </c>
      <c r="AH3960" t="s">
        <v>116</v>
      </c>
      <c r="AI3960" s="1">
        <v>5485</v>
      </c>
      <c r="AJ3960" s="2">
        <v>0.01</v>
      </c>
      <c r="AK3960" s="1">
        <v>469560</v>
      </c>
      <c r="AL3960" t="s">
        <v>117</v>
      </c>
      <c r="AM3960" t="s">
        <v>171</v>
      </c>
      <c r="AN3960">
        <v>10398</v>
      </c>
      <c r="AO3960">
        <v>0.24</v>
      </c>
      <c r="AP3960">
        <v>1</v>
      </c>
      <c r="AR3960">
        <v>1</v>
      </c>
      <c r="AS3960" s="1">
        <v>41000</v>
      </c>
      <c r="AT3960" s="1">
        <v>8200</v>
      </c>
      <c r="AU3960" s="1">
        <v>32800</v>
      </c>
      <c r="AV3960">
        <v>80</v>
      </c>
      <c r="AX3960" s="1">
        <v>4328.7</v>
      </c>
      <c r="AY3960" t="s">
        <v>6202</v>
      </c>
      <c r="AZ3960" t="s">
        <v>2967</v>
      </c>
      <c r="BA3960" t="s">
        <v>930</v>
      </c>
      <c r="BE3960" s="3">
        <v>41722</v>
      </c>
      <c r="BF3960" s="1">
        <v>460000</v>
      </c>
      <c r="BG3960" t="s">
        <v>25258</v>
      </c>
      <c r="BH3960" s="1">
        <v>179.9</v>
      </c>
      <c r="BI3960" s="1">
        <v>464075</v>
      </c>
      <c r="BJ3960" s="3">
        <v>41722</v>
      </c>
      <c r="BK3960" t="s">
        <v>123</v>
      </c>
      <c r="BL3960" t="str">
        <f>"2014.186281"</f>
        <v>2014.186281</v>
      </c>
      <c r="BM3960" t="s">
        <v>724</v>
      </c>
      <c r="BO3960" t="s">
        <v>25259</v>
      </c>
      <c r="BS3960">
        <v>30</v>
      </c>
      <c r="BW3960" t="str">
        <f>""</f>
        <v/>
      </c>
      <c r="CH3960" t="str">
        <f>""</f>
        <v/>
      </c>
      <c r="CS3960" t="str">
        <f>""</f>
        <v/>
      </c>
    </row>
    <row r="3961" spans="1:97" x14ac:dyDescent="0.25">
      <c r="A3961" t="s">
        <v>370</v>
      </c>
      <c r="B3961" t="s">
        <v>5256</v>
      </c>
      <c r="C3961" t="s">
        <v>1119</v>
      </c>
      <c r="D3961" t="s">
        <v>5256</v>
      </c>
      <c r="E3961" t="s">
        <v>25260</v>
      </c>
      <c r="F3961" t="s">
        <v>108</v>
      </c>
      <c r="H3961" t="s">
        <v>25261</v>
      </c>
      <c r="I3961" t="s">
        <v>225</v>
      </c>
      <c r="J3961" t="s">
        <v>111</v>
      </c>
      <c r="K3961" t="str">
        <f>"85215"</f>
        <v>85215</v>
      </c>
      <c r="L3961" t="s">
        <v>8255</v>
      </c>
      <c r="M3961" t="s">
        <v>25261</v>
      </c>
      <c r="N3961" t="s">
        <v>225</v>
      </c>
      <c r="O3961" t="s">
        <v>111</v>
      </c>
      <c r="P3961" t="str">
        <f>"85215"</f>
        <v>85215</v>
      </c>
      <c r="Q3961" t="s">
        <v>113</v>
      </c>
      <c r="R3961" t="str">
        <f>"141-69-261"</f>
        <v>141-69-261</v>
      </c>
      <c r="S3961" t="s">
        <v>25262</v>
      </c>
      <c r="T3961" t="s">
        <v>758</v>
      </c>
      <c r="U3961">
        <v>1244</v>
      </c>
      <c r="V3961">
        <v>0</v>
      </c>
      <c r="W3961">
        <v>3</v>
      </c>
      <c r="X3961">
        <v>1992</v>
      </c>
      <c r="Z3961">
        <v>1</v>
      </c>
      <c r="AA3961" t="s">
        <v>26</v>
      </c>
      <c r="AB3961">
        <v>0</v>
      </c>
      <c r="AC3961" t="s">
        <v>115</v>
      </c>
      <c r="AD3961">
        <v>2</v>
      </c>
      <c r="AE3961" t="s">
        <v>115</v>
      </c>
      <c r="AF3961">
        <v>0</v>
      </c>
      <c r="AG3961">
        <v>0</v>
      </c>
      <c r="AH3961" t="s">
        <v>116</v>
      </c>
      <c r="AI3961" s="1">
        <v>43829</v>
      </c>
      <c r="AJ3961" s="2">
        <v>0.16</v>
      </c>
      <c r="AK3961" s="1">
        <v>276172</v>
      </c>
      <c r="AL3961" t="s">
        <v>117</v>
      </c>
      <c r="AM3961" t="s">
        <v>917</v>
      </c>
      <c r="AN3961">
        <v>8847</v>
      </c>
      <c r="AO3961">
        <v>0.2</v>
      </c>
      <c r="AP3961">
        <v>1</v>
      </c>
      <c r="AR3961">
        <v>1</v>
      </c>
      <c r="AS3961" s="1">
        <v>19560</v>
      </c>
      <c r="AT3961" s="1">
        <v>3910</v>
      </c>
      <c r="AU3961" s="1">
        <v>15650</v>
      </c>
      <c r="AV3961">
        <v>80.010000000000005</v>
      </c>
      <c r="AX3961" s="1">
        <v>1497.08</v>
      </c>
      <c r="AY3961" t="s">
        <v>6662</v>
      </c>
      <c r="AZ3961" t="s">
        <v>5275</v>
      </c>
      <c r="BA3961" t="s">
        <v>3119</v>
      </c>
      <c r="BE3961" s="3">
        <v>42521</v>
      </c>
      <c r="BF3961" s="1">
        <v>226000</v>
      </c>
      <c r="BG3961" t="s">
        <v>25263</v>
      </c>
      <c r="BH3961" s="1">
        <v>181.67</v>
      </c>
      <c r="BI3961" s="1">
        <v>232343</v>
      </c>
      <c r="BJ3961" s="3">
        <v>42521</v>
      </c>
      <c r="BK3961" t="s">
        <v>123</v>
      </c>
      <c r="BL3961" t="str">
        <f>"2016.374366"</f>
        <v>2016.374366</v>
      </c>
      <c r="BM3961" t="s">
        <v>1185</v>
      </c>
      <c r="BO3961" t="s">
        <v>25264</v>
      </c>
      <c r="BS3961">
        <v>30</v>
      </c>
      <c r="BW3961" t="str">
        <f>""</f>
        <v/>
      </c>
      <c r="CH3961" t="str">
        <f>""</f>
        <v/>
      </c>
      <c r="CS3961" t="str">
        <f>""</f>
        <v/>
      </c>
    </row>
    <row r="3962" spans="1:97" x14ac:dyDescent="0.25">
      <c r="A3962" t="s">
        <v>6265</v>
      </c>
      <c r="B3962" t="s">
        <v>25265</v>
      </c>
      <c r="C3962" t="s">
        <v>2640</v>
      </c>
      <c r="D3962" t="s">
        <v>25265</v>
      </c>
      <c r="E3962" t="s">
        <v>25266</v>
      </c>
      <c r="F3962" t="s">
        <v>108</v>
      </c>
      <c r="H3962" t="s">
        <v>25267</v>
      </c>
      <c r="I3962" t="s">
        <v>203</v>
      </c>
      <c r="J3962" t="s">
        <v>111</v>
      </c>
      <c r="K3962" t="str">
        <f>"85234"</f>
        <v>85234</v>
      </c>
      <c r="L3962" t="s">
        <v>2220</v>
      </c>
      <c r="M3962" t="s">
        <v>25267</v>
      </c>
      <c r="N3962" t="s">
        <v>203</v>
      </c>
      <c r="O3962" t="s">
        <v>111</v>
      </c>
      <c r="P3962" t="str">
        <f>"85234-1519"</f>
        <v>85234-1519</v>
      </c>
      <c r="Q3962" t="s">
        <v>113</v>
      </c>
      <c r="R3962" t="str">
        <f>"304-08-356"</f>
        <v>304-08-356</v>
      </c>
      <c r="S3962" t="s">
        <v>19082</v>
      </c>
      <c r="T3962" t="s">
        <v>19083</v>
      </c>
      <c r="U3962">
        <v>1521</v>
      </c>
      <c r="V3962">
        <v>0</v>
      </c>
      <c r="W3962">
        <v>3</v>
      </c>
      <c r="X3962">
        <v>1996</v>
      </c>
      <c r="Z3962">
        <v>2</v>
      </c>
      <c r="AA3962" t="s">
        <v>26</v>
      </c>
      <c r="AB3962">
        <v>0</v>
      </c>
      <c r="AC3962" t="s">
        <v>115</v>
      </c>
      <c r="AD3962">
        <v>2</v>
      </c>
      <c r="AE3962" t="s">
        <v>115</v>
      </c>
      <c r="AF3962">
        <v>0</v>
      </c>
      <c r="AG3962">
        <v>0</v>
      </c>
      <c r="AH3962" t="s">
        <v>116</v>
      </c>
      <c r="AI3962" s="1">
        <v>60264</v>
      </c>
      <c r="AJ3962" s="2">
        <v>0.2</v>
      </c>
      <c r="AK3962" s="1">
        <v>299192</v>
      </c>
      <c r="AL3962" t="s">
        <v>117</v>
      </c>
      <c r="AM3962" t="s">
        <v>191</v>
      </c>
      <c r="AN3962">
        <v>6120</v>
      </c>
      <c r="AO3962">
        <v>0.14000000000000001</v>
      </c>
      <c r="AP3962">
        <v>1</v>
      </c>
      <c r="AR3962">
        <v>1</v>
      </c>
      <c r="AS3962" s="1">
        <v>20300</v>
      </c>
      <c r="AT3962" s="1">
        <v>4060</v>
      </c>
      <c r="AU3962" s="1">
        <v>16240</v>
      </c>
      <c r="AV3962">
        <v>80</v>
      </c>
      <c r="AX3962" s="1">
        <v>1419.16</v>
      </c>
      <c r="AY3962" t="s">
        <v>8450</v>
      </c>
      <c r="AZ3962" t="s">
        <v>571</v>
      </c>
      <c r="BA3962" t="s">
        <v>521</v>
      </c>
      <c r="BE3962" s="3">
        <v>42444</v>
      </c>
      <c r="BF3962" s="1">
        <v>233900</v>
      </c>
      <c r="BG3962" t="s">
        <v>25268</v>
      </c>
      <c r="BH3962" s="1">
        <v>153.78</v>
      </c>
      <c r="BI3962" s="1">
        <v>238928</v>
      </c>
      <c r="BJ3962" s="3">
        <v>42444</v>
      </c>
      <c r="BK3962" t="s">
        <v>123</v>
      </c>
      <c r="BL3962" t="str">
        <f>"2016.166615"</f>
        <v>2016.166615</v>
      </c>
      <c r="BM3962" t="s">
        <v>594</v>
      </c>
      <c r="BO3962" t="s">
        <v>25269</v>
      </c>
      <c r="BS3962">
        <v>30</v>
      </c>
      <c r="BW3962" t="str">
        <f>""</f>
        <v/>
      </c>
      <c r="CH3962" t="str">
        <f>""</f>
        <v/>
      </c>
      <c r="CS3962" t="str">
        <f>""</f>
        <v/>
      </c>
    </row>
    <row r="3963" spans="1:97" x14ac:dyDescent="0.25">
      <c r="A3963" t="s">
        <v>25270</v>
      </c>
      <c r="B3963" t="s">
        <v>25271</v>
      </c>
      <c r="E3963" t="s">
        <v>25272</v>
      </c>
      <c r="F3963" t="s">
        <v>108</v>
      </c>
      <c r="H3963" t="s">
        <v>25273</v>
      </c>
      <c r="I3963" t="s">
        <v>25274</v>
      </c>
      <c r="J3963" t="s">
        <v>111</v>
      </c>
      <c r="K3963" t="str">
        <f>"85363"</f>
        <v>85363</v>
      </c>
      <c r="L3963" t="s">
        <v>9168</v>
      </c>
      <c r="M3963" t="s">
        <v>25273</v>
      </c>
      <c r="N3963" t="s">
        <v>25274</v>
      </c>
      <c r="O3963" t="s">
        <v>111</v>
      </c>
      <c r="P3963" t="str">
        <f>"85363-1734"</f>
        <v>85363-1734</v>
      </c>
      <c r="Q3963" t="s">
        <v>113</v>
      </c>
      <c r="R3963" t="str">
        <f>"501-45-853"</f>
        <v>501-45-853</v>
      </c>
      <c r="S3963" t="s">
        <v>25275</v>
      </c>
      <c r="T3963" t="s">
        <v>25276</v>
      </c>
      <c r="U3963">
        <v>2230</v>
      </c>
      <c r="V3963">
        <v>0</v>
      </c>
      <c r="W3963">
        <v>3</v>
      </c>
      <c r="X3963">
        <v>2004</v>
      </c>
      <c r="Z3963">
        <v>2</v>
      </c>
      <c r="AA3963" t="s">
        <v>26</v>
      </c>
      <c r="AB3963">
        <v>0</v>
      </c>
      <c r="AC3963" t="s">
        <v>115</v>
      </c>
      <c r="AD3963">
        <v>2</v>
      </c>
      <c r="AE3963" t="s">
        <v>115</v>
      </c>
      <c r="AF3963">
        <v>0</v>
      </c>
      <c r="AG3963">
        <v>0</v>
      </c>
      <c r="AH3963" t="s">
        <v>116</v>
      </c>
      <c r="AI3963" s="1">
        <v>57148</v>
      </c>
      <c r="AJ3963" s="2">
        <v>0.22</v>
      </c>
      <c r="AK3963" s="1">
        <v>265208</v>
      </c>
      <c r="AL3963" t="s">
        <v>117</v>
      </c>
      <c r="AM3963" t="s">
        <v>118</v>
      </c>
      <c r="AN3963">
        <v>4950</v>
      </c>
      <c r="AO3963">
        <v>0.11</v>
      </c>
      <c r="AP3963">
        <v>1</v>
      </c>
      <c r="AR3963">
        <v>1</v>
      </c>
      <c r="AS3963" s="1">
        <v>18080</v>
      </c>
      <c r="AT3963" s="1">
        <v>3610</v>
      </c>
      <c r="AU3963" s="1">
        <v>14470</v>
      </c>
      <c r="AV3963">
        <v>80.03</v>
      </c>
      <c r="AX3963" s="1">
        <v>1723.16</v>
      </c>
      <c r="AY3963" t="s">
        <v>7965</v>
      </c>
      <c r="AZ3963" t="s">
        <v>7965</v>
      </c>
      <c r="BA3963" t="s">
        <v>635</v>
      </c>
      <c r="BE3963" s="3">
        <v>41880</v>
      </c>
      <c r="BF3963" s="1">
        <v>167900</v>
      </c>
      <c r="BG3963" t="s">
        <v>25277</v>
      </c>
      <c r="BH3963" s="1">
        <v>75.290000000000006</v>
      </c>
      <c r="BI3963" s="1">
        <v>208060</v>
      </c>
      <c r="BJ3963" s="3">
        <v>43539</v>
      </c>
      <c r="BK3963" t="s">
        <v>123</v>
      </c>
      <c r="BL3963" t="str">
        <f>"2019.179375"</f>
        <v>2019.179375</v>
      </c>
      <c r="BM3963" t="s">
        <v>2774</v>
      </c>
      <c r="BN3963" t="s">
        <v>2775</v>
      </c>
      <c r="BO3963" t="s">
        <v>25278</v>
      </c>
      <c r="BP3963" t="s">
        <v>25279</v>
      </c>
      <c r="BR3963" t="s">
        <v>139</v>
      </c>
      <c r="BT3963" s="1">
        <v>31000</v>
      </c>
      <c r="BU3963" s="3">
        <v>43417</v>
      </c>
      <c r="BV3963" t="s">
        <v>134</v>
      </c>
      <c r="BW3963" t="str">
        <f>"2018.840364"</f>
        <v>2018.840364</v>
      </c>
      <c r="BX3963" t="s">
        <v>25280</v>
      </c>
      <c r="BY3963" t="s">
        <v>25281</v>
      </c>
      <c r="BZ3963" t="s">
        <v>25282</v>
      </c>
      <c r="CC3963" t="s">
        <v>139</v>
      </c>
      <c r="CE3963" s="1">
        <v>208060</v>
      </c>
      <c r="CF3963" s="3">
        <v>43539</v>
      </c>
      <c r="CG3963" t="s">
        <v>123</v>
      </c>
      <c r="CH3963" t="str">
        <f>"2019.179375"</f>
        <v>2019.179375</v>
      </c>
      <c r="CI3963" t="s">
        <v>2774</v>
      </c>
      <c r="CJ3963" t="s">
        <v>2775</v>
      </c>
      <c r="CK3963" t="s">
        <v>25278</v>
      </c>
      <c r="CL3963" t="s">
        <v>25279</v>
      </c>
      <c r="CN3963" t="s">
        <v>139</v>
      </c>
      <c r="CS3963" t="str">
        <f>""</f>
        <v/>
      </c>
    </row>
    <row r="3964" spans="1:97" x14ac:dyDescent="0.25">
      <c r="A3964" t="s">
        <v>1354</v>
      </c>
      <c r="B3964" t="s">
        <v>25283</v>
      </c>
      <c r="C3964" t="s">
        <v>986</v>
      </c>
      <c r="D3964" t="s">
        <v>25283</v>
      </c>
      <c r="E3964" t="s">
        <v>25284</v>
      </c>
      <c r="F3964" t="s">
        <v>108</v>
      </c>
      <c r="H3964" t="s">
        <v>25285</v>
      </c>
      <c r="I3964" t="s">
        <v>632</v>
      </c>
      <c r="J3964" t="s">
        <v>111</v>
      </c>
      <c r="K3964" t="str">
        <f>"85374"</f>
        <v>85374</v>
      </c>
      <c r="L3964" t="s">
        <v>5514</v>
      </c>
      <c r="M3964" t="s">
        <v>25285</v>
      </c>
      <c r="N3964" t="s">
        <v>632</v>
      </c>
      <c r="O3964" t="s">
        <v>111</v>
      </c>
      <c r="P3964" t="str">
        <f>"85374-6894"</f>
        <v>85374-6894</v>
      </c>
      <c r="Q3964" t="s">
        <v>113</v>
      </c>
      <c r="R3964" t="str">
        <f>"232-39-628"</f>
        <v>232-39-628</v>
      </c>
      <c r="S3964" t="s">
        <v>5515</v>
      </c>
      <c r="U3964">
        <v>2433</v>
      </c>
      <c r="V3964">
        <v>0</v>
      </c>
      <c r="W3964">
        <v>4</v>
      </c>
      <c r="X3964">
        <v>2003</v>
      </c>
      <c r="Z3964">
        <v>2</v>
      </c>
      <c r="AA3964" t="s">
        <v>26</v>
      </c>
      <c r="AB3964">
        <v>0</v>
      </c>
      <c r="AC3964" t="s">
        <v>115</v>
      </c>
      <c r="AD3964">
        <v>3</v>
      </c>
      <c r="AE3964" t="s">
        <v>115</v>
      </c>
      <c r="AF3964">
        <v>0</v>
      </c>
      <c r="AG3964">
        <v>0</v>
      </c>
      <c r="AH3964" t="s">
        <v>116</v>
      </c>
      <c r="AI3964" s="1">
        <v>72946</v>
      </c>
      <c r="AJ3964" s="2">
        <v>0.23</v>
      </c>
      <c r="AK3964" s="1">
        <v>312093</v>
      </c>
      <c r="AL3964" t="s">
        <v>117</v>
      </c>
      <c r="AM3964" t="s">
        <v>5516</v>
      </c>
      <c r="AN3964">
        <v>7433</v>
      </c>
      <c r="AO3964">
        <v>0.17</v>
      </c>
      <c r="AP3964">
        <v>1</v>
      </c>
      <c r="AR3964">
        <v>1</v>
      </c>
      <c r="AS3964" s="1">
        <v>22220</v>
      </c>
      <c r="AT3964" s="1">
        <v>4440</v>
      </c>
      <c r="AU3964" s="1">
        <v>17780</v>
      </c>
      <c r="AV3964">
        <v>80.02</v>
      </c>
      <c r="AX3964" s="1">
        <v>1629.02</v>
      </c>
      <c r="AY3964" t="s">
        <v>5517</v>
      </c>
      <c r="AZ3964" t="s">
        <v>5517</v>
      </c>
      <c r="BA3964" t="s">
        <v>5109</v>
      </c>
      <c r="BE3964" s="3">
        <v>42163</v>
      </c>
      <c r="BF3964" s="1">
        <v>234500</v>
      </c>
      <c r="BG3964" t="s">
        <v>25286</v>
      </c>
      <c r="BH3964" s="1">
        <v>96.38</v>
      </c>
      <c r="BI3964" s="1">
        <v>239147</v>
      </c>
      <c r="BJ3964" s="3">
        <v>42464</v>
      </c>
      <c r="BK3964" t="s">
        <v>123</v>
      </c>
      <c r="BL3964" t="str">
        <f>"2016.218217"</f>
        <v>2016.218217</v>
      </c>
      <c r="BM3964" t="s">
        <v>843</v>
      </c>
      <c r="BO3964" t="s">
        <v>25287</v>
      </c>
      <c r="BS3964">
        <v>30</v>
      </c>
      <c r="BW3964" t="str">
        <f>""</f>
        <v/>
      </c>
      <c r="CH3964" t="str">
        <f>""</f>
        <v/>
      </c>
      <c r="CS3964" t="str">
        <f>""</f>
        <v/>
      </c>
    </row>
    <row r="3965" spans="1:97" x14ac:dyDescent="0.25">
      <c r="A3965" t="s">
        <v>3258</v>
      </c>
      <c r="B3965" t="s">
        <v>2730</v>
      </c>
      <c r="C3965" t="s">
        <v>489</v>
      </c>
      <c r="D3965" t="s">
        <v>2730</v>
      </c>
      <c r="E3965" t="s">
        <v>25288</v>
      </c>
      <c r="F3965" t="s">
        <v>108</v>
      </c>
      <c r="H3965" t="s">
        <v>25289</v>
      </c>
      <c r="I3965" t="s">
        <v>1936</v>
      </c>
      <c r="J3965" t="s">
        <v>111</v>
      </c>
      <c r="K3965" t="str">
        <f>"85250"</f>
        <v>85250</v>
      </c>
      <c r="L3965" t="s">
        <v>926</v>
      </c>
      <c r="M3965" t="s">
        <v>25289</v>
      </c>
      <c r="N3965" t="s">
        <v>1936</v>
      </c>
      <c r="O3965" t="s">
        <v>111</v>
      </c>
      <c r="P3965" t="str">
        <f>"85250-6798"</f>
        <v>85250-6798</v>
      </c>
      <c r="Q3965" t="s">
        <v>113</v>
      </c>
      <c r="R3965" t="str">
        <f>"173-02-112"</f>
        <v>173-02-112</v>
      </c>
      <c r="S3965" t="s">
        <v>25290</v>
      </c>
      <c r="U3965">
        <v>1980</v>
      </c>
      <c r="V3965">
        <v>0</v>
      </c>
      <c r="W3965">
        <v>3</v>
      </c>
      <c r="X3965">
        <v>1970</v>
      </c>
      <c r="Z3965">
        <v>1</v>
      </c>
      <c r="AB3965">
        <v>0</v>
      </c>
      <c r="AC3965" t="s">
        <v>115</v>
      </c>
      <c r="AD3965">
        <v>2</v>
      </c>
      <c r="AE3965" t="s">
        <v>115</v>
      </c>
      <c r="AF3965">
        <v>0</v>
      </c>
      <c r="AG3965">
        <v>0</v>
      </c>
      <c r="AH3965" t="s">
        <v>116</v>
      </c>
      <c r="AI3965" s="1">
        <v>111879</v>
      </c>
      <c r="AJ3965" s="2">
        <v>0.26</v>
      </c>
      <c r="AK3965" s="1">
        <v>432109</v>
      </c>
      <c r="AL3965" t="s">
        <v>117</v>
      </c>
      <c r="AM3965" t="s">
        <v>393</v>
      </c>
      <c r="AN3965">
        <v>7466</v>
      </c>
      <c r="AO3965">
        <v>0.17</v>
      </c>
      <c r="AP3965">
        <v>1</v>
      </c>
      <c r="AR3965">
        <v>1</v>
      </c>
      <c r="AS3965" s="1">
        <v>31050</v>
      </c>
      <c r="AT3965" s="1">
        <v>6210</v>
      </c>
      <c r="AU3965" s="1">
        <v>24840</v>
      </c>
      <c r="AV3965">
        <v>80</v>
      </c>
      <c r="AX3965" s="1">
        <v>1715.02</v>
      </c>
      <c r="AY3965" t="s">
        <v>6974</v>
      </c>
      <c r="AZ3965" t="s">
        <v>6975</v>
      </c>
      <c r="BA3965" t="s">
        <v>6976</v>
      </c>
      <c r="BE3965" s="3">
        <v>42466</v>
      </c>
      <c r="BF3965" s="1">
        <v>310000</v>
      </c>
      <c r="BG3965" t="s">
        <v>25291</v>
      </c>
      <c r="BH3965" s="1">
        <v>156.57</v>
      </c>
      <c r="BI3965" s="1">
        <v>320230</v>
      </c>
      <c r="BJ3965" s="3">
        <v>42466</v>
      </c>
      <c r="BK3965" t="s">
        <v>123</v>
      </c>
      <c r="BL3965" t="str">
        <f>"2016.228111"</f>
        <v>2016.228111</v>
      </c>
      <c r="BM3965" t="s">
        <v>475</v>
      </c>
      <c r="BO3965" t="s">
        <v>25292</v>
      </c>
      <c r="BS3965">
        <v>30</v>
      </c>
      <c r="BW3965" t="str">
        <f>""</f>
        <v/>
      </c>
      <c r="CH3965" t="str">
        <f>""</f>
        <v/>
      </c>
      <c r="CS3965" t="str">
        <f>""</f>
        <v/>
      </c>
    </row>
    <row r="3966" spans="1:97" x14ac:dyDescent="0.25">
      <c r="A3966" t="s">
        <v>25293</v>
      </c>
      <c r="B3966" t="s">
        <v>25294</v>
      </c>
      <c r="E3966" t="s">
        <v>25295</v>
      </c>
      <c r="F3966" t="s">
        <v>108</v>
      </c>
      <c r="H3966" t="s">
        <v>25296</v>
      </c>
      <c r="I3966" t="s">
        <v>4251</v>
      </c>
      <c r="J3966" t="s">
        <v>111</v>
      </c>
      <c r="K3966" t="str">
        <f>"85353"</f>
        <v>85353</v>
      </c>
      <c r="L3966" t="s">
        <v>11097</v>
      </c>
      <c r="M3966" t="s">
        <v>25296</v>
      </c>
      <c r="N3966" t="s">
        <v>4251</v>
      </c>
      <c r="O3966" t="s">
        <v>111</v>
      </c>
      <c r="P3966" t="str">
        <f>"85353-1350"</f>
        <v>85353-1350</v>
      </c>
      <c r="Q3966" t="s">
        <v>113</v>
      </c>
      <c r="R3966" t="str">
        <f>"101-11-202"</f>
        <v>101-11-202</v>
      </c>
      <c r="S3966" t="s">
        <v>25297</v>
      </c>
      <c r="T3966" t="s">
        <v>25297</v>
      </c>
      <c r="U3966">
        <v>1960</v>
      </c>
      <c r="V3966">
        <v>0</v>
      </c>
      <c r="W3966">
        <v>3</v>
      </c>
      <c r="X3966">
        <v>2013</v>
      </c>
      <c r="Z3966">
        <v>2</v>
      </c>
      <c r="AB3966">
        <v>0</v>
      </c>
      <c r="AC3966" t="s">
        <v>115</v>
      </c>
      <c r="AD3966">
        <v>2</v>
      </c>
      <c r="AE3966" t="s">
        <v>115</v>
      </c>
      <c r="AF3966">
        <v>0</v>
      </c>
      <c r="AG3966">
        <v>0</v>
      </c>
      <c r="AH3966" t="s">
        <v>116</v>
      </c>
      <c r="AI3966" s="1">
        <v>38192</v>
      </c>
      <c r="AJ3966" s="2">
        <v>0.16</v>
      </c>
      <c r="AK3966" s="1">
        <v>240660</v>
      </c>
      <c r="AL3966" t="s">
        <v>117</v>
      </c>
      <c r="AM3966" t="s">
        <v>229</v>
      </c>
      <c r="AN3966">
        <v>3799</v>
      </c>
      <c r="AO3966">
        <v>0.87</v>
      </c>
      <c r="AR3966">
        <v>1</v>
      </c>
      <c r="AS3966" s="1">
        <v>15630</v>
      </c>
      <c r="AT3966" s="1">
        <v>3120</v>
      </c>
      <c r="AU3966" s="1">
        <v>12510</v>
      </c>
      <c r="AV3966">
        <v>80.040000000000006</v>
      </c>
      <c r="AX3966" s="1">
        <v>1283.3599999999999</v>
      </c>
      <c r="AY3966" t="s">
        <v>25298</v>
      </c>
      <c r="AZ3966" t="s">
        <v>25298</v>
      </c>
      <c r="BA3966" t="s">
        <v>11280</v>
      </c>
      <c r="BE3966" s="3">
        <v>41716</v>
      </c>
      <c r="BF3966" s="1">
        <v>165085</v>
      </c>
      <c r="BG3966" t="s">
        <v>1404</v>
      </c>
      <c r="BH3966" s="1">
        <v>84.23</v>
      </c>
      <c r="BI3966" s="1">
        <v>202468</v>
      </c>
      <c r="BJ3966" s="3">
        <v>43067</v>
      </c>
      <c r="BK3966" t="s">
        <v>123</v>
      </c>
      <c r="BL3966" t="str">
        <f>"2017.878757"</f>
        <v>2017.878757</v>
      </c>
      <c r="BM3966" t="s">
        <v>4094</v>
      </c>
      <c r="BO3966" t="s">
        <v>25299</v>
      </c>
      <c r="BS3966">
        <v>30</v>
      </c>
      <c r="BW3966" t="str">
        <f>""</f>
        <v/>
      </c>
      <c r="CH3966" t="str">
        <f>""</f>
        <v/>
      </c>
      <c r="CS3966" t="str">
        <f>""</f>
        <v/>
      </c>
    </row>
    <row r="3967" spans="1:97" x14ac:dyDescent="0.25">
      <c r="A3967" t="s">
        <v>745</v>
      </c>
      <c r="B3967" t="s">
        <v>20760</v>
      </c>
      <c r="C3967" t="s">
        <v>1126</v>
      </c>
      <c r="D3967" t="s">
        <v>20760</v>
      </c>
      <c r="E3967" t="s">
        <v>25300</v>
      </c>
      <c r="F3967" t="s">
        <v>108</v>
      </c>
      <c r="H3967" t="s">
        <v>25301</v>
      </c>
      <c r="I3967" t="s">
        <v>499</v>
      </c>
      <c r="J3967" t="s">
        <v>111</v>
      </c>
      <c r="K3967" t="str">
        <f>"85395"</f>
        <v>85395</v>
      </c>
      <c r="L3967" t="s">
        <v>7243</v>
      </c>
      <c r="M3967" t="s">
        <v>25301</v>
      </c>
      <c r="N3967" t="s">
        <v>499</v>
      </c>
      <c r="O3967" t="s">
        <v>111</v>
      </c>
      <c r="P3967" t="str">
        <f>"85395-8237"</f>
        <v>85395-8237</v>
      </c>
      <c r="Q3967" t="s">
        <v>113</v>
      </c>
      <c r="R3967" t="str">
        <f>"508-01-619"</f>
        <v>508-01-619</v>
      </c>
      <c r="S3967" t="s">
        <v>15264</v>
      </c>
      <c r="T3967" t="s">
        <v>15265</v>
      </c>
      <c r="U3967">
        <v>2813</v>
      </c>
      <c r="V3967">
        <v>0</v>
      </c>
      <c r="W3967">
        <v>4</v>
      </c>
      <c r="X3967">
        <v>2001</v>
      </c>
      <c r="Z3967">
        <v>1</v>
      </c>
      <c r="AA3967" t="s">
        <v>26</v>
      </c>
      <c r="AB3967">
        <v>0</v>
      </c>
      <c r="AC3967" t="s">
        <v>115</v>
      </c>
      <c r="AD3967">
        <v>2</v>
      </c>
      <c r="AE3967" t="s">
        <v>115</v>
      </c>
      <c r="AF3967">
        <v>0</v>
      </c>
      <c r="AG3967">
        <v>0</v>
      </c>
      <c r="AH3967" t="s">
        <v>116</v>
      </c>
      <c r="AI3967" s="1">
        <v>179322</v>
      </c>
      <c r="AJ3967" s="2">
        <v>0.46</v>
      </c>
      <c r="AK3967" s="1">
        <v>393669</v>
      </c>
      <c r="AL3967" t="s">
        <v>117</v>
      </c>
      <c r="AM3967" t="s">
        <v>118</v>
      </c>
      <c r="AN3967">
        <v>10863</v>
      </c>
      <c r="AO3967">
        <v>0.25</v>
      </c>
      <c r="AP3967">
        <v>1</v>
      </c>
      <c r="AR3967">
        <v>1</v>
      </c>
      <c r="AS3967" s="1">
        <v>29070</v>
      </c>
      <c r="AT3967" s="1">
        <v>5810</v>
      </c>
      <c r="AU3967" s="1">
        <v>23260</v>
      </c>
      <c r="AV3967">
        <v>80.010000000000005</v>
      </c>
      <c r="AX3967" s="1">
        <v>3470.18</v>
      </c>
      <c r="AY3967" t="s">
        <v>3020</v>
      </c>
      <c r="AZ3967" t="s">
        <v>3020</v>
      </c>
      <c r="BA3967" t="s">
        <v>3154</v>
      </c>
      <c r="BE3967" s="3">
        <v>42368</v>
      </c>
      <c r="BF3967" s="1">
        <v>327500</v>
      </c>
      <c r="BG3967" t="s">
        <v>25302</v>
      </c>
      <c r="BH3967" s="1">
        <v>116.42</v>
      </c>
      <c r="BI3967" s="1">
        <v>214347</v>
      </c>
      <c r="BJ3967" s="3">
        <v>42368</v>
      </c>
      <c r="BK3967" t="s">
        <v>123</v>
      </c>
      <c r="BL3967" t="str">
        <f>"2015.917301"</f>
        <v>2015.917301</v>
      </c>
      <c r="BM3967" t="s">
        <v>1038</v>
      </c>
      <c r="BO3967" t="s">
        <v>25303</v>
      </c>
      <c r="BS3967">
        <v>30</v>
      </c>
      <c r="BW3967" t="str">
        <f>""</f>
        <v/>
      </c>
      <c r="CH3967" t="str">
        <f>""</f>
        <v/>
      </c>
      <c r="CS3967" t="str">
        <f>""</f>
        <v/>
      </c>
    </row>
    <row r="3968" spans="1:97" x14ac:dyDescent="0.25">
      <c r="A3968" t="s">
        <v>257</v>
      </c>
      <c r="B3968" t="s">
        <v>25304</v>
      </c>
      <c r="C3968" t="s">
        <v>3282</v>
      </c>
      <c r="D3968" t="s">
        <v>25304</v>
      </c>
      <c r="E3968" t="s">
        <v>25305</v>
      </c>
      <c r="F3968" t="s">
        <v>108</v>
      </c>
      <c r="H3968" t="s">
        <v>25306</v>
      </c>
      <c r="I3968" t="s">
        <v>225</v>
      </c>
      <c r="J3968" t="s">
        <v>111</v>
      </c>
      <c r="K3968" t="str">
        <f>"85209"</f>
        <v>85209</v>
      </c>
      <c r="L3968" t="s">
        <v>3885</v>
      </c>
      <c r="M3968" t="s">
        <v>25306</v>
      </c>
      <c r="N3968" t="s">
        <v>225</v>
      </c>
      <c r="O3968" t="s">
        <v>111</v>
      </c>
      <c r="P3968" t="str">
        <f>"85209-5358"</f>
        <v>85209-5358</v>
      </c>
      <c r="Q3968" t="s">
        <v>113</v>
      </c>
      <c r="R3968" t="str">
        <f>"312-03-814"</f>
        <v>312-03-814</v>
      </c>
      <c r="S3968" t="s">
        <v>25307</v>
      </c>
      <c r="T3968" t="s">
        <v>18723</v>
      </c>
      <c r="U3968">
        <v>1915</v>
      </c>
      <c r="V3968">
        <v>0</v>
      </c>
      <c r="W3968">
        <v>3</v>
      </c>
      <c r="X3968">
        <v>2001</v>
      </c>
      <c r="Z3968">
        <v>2</v>
      </c>
      <c r="AA3968" t="s">
        <v>26</v>
      </c>
      <c r="AB3968">
        <v>0</v>
      </c>
      <c r="AC3968" t="s">
        <v>115</v>
      </c>
      <c r="AD3968">
        <v>2</v>
      </c>
      <c r="AE3968" t="s">
        <v>115</v>
      </c>
      <c r="AF3968">
        <v>0</v>
      </c>
      <c r="AG3968">
        <v>0</v>
      </c>
      <c r="AH3968" t="s">
        <v>116</v>
      </c>
      <c r="AI3968" s="1">
        <v>72127</v>
      </c>
      <c r="AJ3968" s="2">
        <v>0.25</v>
      </c>
      <c r="AK3968" s="1">
        <v>289204</v>
      </c>
      <c r="AL3968" t="s">
        <v>117</v>
      </c>
      <c r="AM3968" t="s">
        <v>229</v>
      </c>
      <c r="AN3968">
        <v>5643</v>
      </c>
      <c r="AO3968">
        <v>0.13</v>
      </c>
      <c r="AP3968">
        <v>1</v>
      </c>
      <c r="AR3968">
        <v>1</v>
      </c>
      <c r="AS3968" s="1">
        <v>19550</v>
      </c>
      <c r="AT3968" s="1">
        <v>3910</v>
      </c>
      <c r="AU3968" s="1">
        <v>15640</v>
      </c>
      <c r="AV3968">
        <v>80</v>
      </c>
      <c r="AX3968" s="1">
        <v>1289.44</v>
      </c>
      <c r="AY3968" t="s">
        <v>570</v>
      </c>
      <c r="AZ3968" t="s">
        <v>777</v>
      </c>
      <c r="BA3968" t="s">
        <v>572</v>
      </c>
      <c r="BE3968" s="3">
        <v>42172</v>
      </c>
      <c r="BF3968" s="1">
        <v>209000</v>
      </c>
      <c r="BG3968" t="s">
        <v>25308</v>
      </c>
      <c r="BH3968" s="1">
        <v>109.14</v>
      </c>
      <c r="BI3968" s="1">
        <v>217077</v>
      </c>
      <c r="BJ3968" s="3">
        <v>42625</v>
      </c>
      <c r="BK3968" t="s">
        <v>123</v>
      </c>
      <c r="BL3968" t="str">
        <f>"2016.657070"</f>
        <v>2016.657070</v>
      </c>
      <c r="BM3968" t="s">
        <v>322</v>
      </c>
      <c r="BO3968" t="s">
        <v>25309</v>
      </c>
      <c r="BS3968">
        <v>30</v>
      </c>
      <c r="BW3968" t="str">
        <f>""</f>
        <v/>
      </c>
      <c r="CH3968" t="str">
        <f>""</f>
        <v/>
      </c>
      <c r="CS3968" t="str">
        <f>""</f>
        <v/>
      </c>
    </row>
    <row r="3969" spans="1:97" x14ac:dyDescent="0.25">
      <c r="A3969" t="s">
        <v>894</v>
      </c>
      <c r="B3969" t="s">
        <v>25310</v>
      </c>
      <c r="E3969" t="s">
        <v>25311</v>
      </c>
      <c r="F3969" t="s">
        <v>108</v>
      </c>
      <c r="H3969" t="s">
        <v>25312</v>
      </c>
      <c r="I3969" t="s">
        <v>5551</v>
      </c>
      <c r="J3969" t="s">
        <v>111</v>
      </c>
      <c r="K3969" t="str">
        <f>"85248"</f>
        <v>85248</v>
      </c>
      <c r="L3969" t="s">
        <v>2765</v>
      </c>
      <c r="M3969" t="s">
        <v>25312</v>
      </c>
      <c r="N3969" t="s">
        <v>5551</v>
      </c>
      <c r="O3969" t="s">
        <v>111</v>
      </c>
      <c r="P3969" t="str">
        <f>"85248-6618"</f>
        <v>85248-6618</v>
      </c>
      <c r="Q3969" t="s">
        <v>113</v>
      </c>
      <c r="R3969" t="str">
        <f>"303-60-049"</f>
        <v>303-60-049</v>
      </c>
      <c r="S3969" t="s">
        <v>25313</v>
      </c>
      <c r="U3969">
        <v>1323</v>
      </c>
      <c r="V3969">
        <v>0</v>
      </c>
      <c r="W3969">
        <v>3</v>
      </c>
      <c r="X3969">
        <v>1994</v>
      </c>
      <c r="Z3969">
        <v>1</v>
      </c>
      <c r="AB3969">
        <v>0</v>
      </c>
      <c r="AC3969" t="s">
        <v>115</v>
      </c>
      <c r="AD3969">
        <v>2</v>
      </c>
      <c r="AE3969" t="s">
        <v>115</v>
      </c>
      <c r="AF3969">
        <v>0</v>
      </c>
      <c r="AG3969">
        <v>0</v>
      </c>
      <c r="AH3969" t="s">
        <v>116</v>
      </c>
      <c r="AI3969" s="1">
        <v>57184</v>
      </c>
      <c r="AJ3969" s="2">
        <v>0.21</v>
      </c>
      <c r="AK3969" s="1">
        <v>271699</v>
      </c>
      <c r="AL3969" t="s">
        <v>117</v>
      </c>
      <c r="AM3969" t="s">
        <v>191</v>
      </c>
      <c r="AN3969">
        <v>13447</v>
      </c>
      <c r="AO3969">
        <v>0.31</v>
      </c>
      <c r="AP3969">
        <v>1</v>
      </c>
      <c r="AR3969">
        <v>1</v>
      </c>
      <c r="AS3969" s="1">
        <v>17580</v>
      </c>
      <c r="AT3969" s="1">
        <v>3510</v>
      </c>
      <c r="AU3969" s="1">
        <v>14070</v>
      </c>
      <c r="AV3969">
        <v>80.03</v>
      </c>
      <c r="AX3969" s="1">
        <v>1874.26</v>
      </c>
      <c r="AY3969" t="s">
        <v>1881</v>
      </c>
      <c r="AZ3969" t="s">
        <v>1882</v>
      </c>
      <c r="BA3969" t="s">
        <v>121</v>
      </c>
      <c r="BE3969" s="3">
        <v>42257</v>
      </c>
      <c r="BF3969" s="1">
        <v>210000</v>
      </c>
      <c r="BG3969" t="s">
        <v>25314</v>
      </c>
      <c r="BH3969" s="1">
        <v>158.72999999999999</v>
      </c>
      <c r="BI3969" s="1">
        <v>214515</v>
      </c>
      <c r="BJ3969" s="3">
        <v>42257</v>
      </c>
      <c r="BK3969" t="s">
        <v>123</v>
      </c>
      <c r="BL3969" t="str">
        <f>"2015.653648"</f>
        <v>2015.653648</v>
      </c>
      <c r="BM3969" t="s">
        <v>1791</v>
      </c>
      <c r="BO3969" t="s">
        <v>25315</v>
      </c>
      <c r="BS3969">
        <v>30</v>
      </c>
      <c r="BW3969" t="str">
        <f>""</f>
        <v/>
      </c>
      <c r="CH3969" t="str">
        <f>""</f>
        <v/>
      </c>
      <c r="CS3969" t="str">
        <f>""</f>
        <v/>
      </c>
    </row>
    <row r="3970" spans="1:97" x14ac:dyDescent="0.25">
      <c r="A3970" t="s">
        <v>7969</v>
      </c>
      <c r="B3970" t="s">
        <v>10125</v>
      </c>
      <c r="C3970" t="s">
        <v>1289</v>
      </c>
      <c r="D3970" t="s">
        <v>10125</v>
      </c>
      <c r="E3970" t="s">
        <v>25316</v>
      </c>
      <c r="F3970" t="s">
        <v>108</v>
      </c>
      <c r="H3970" t="s">
        <v>25317</v>
      </c>
      <c r="I3970" t="s">
        <v>203</v>
      </c>
      <c r="J3970" t="s">
        <v>111</v>
      </c>
      <c r="K3970" t="str">
        <f>"85233"</f>
        <v>85233</v>
      </c>
      <c r="L3970" t="s">
        <v>4159</v>
      </c>
      <c r="M3970" t="s">
        <v>25317</v>
      </c>
      <c r="N3970" t="s">
        <v>203</v>
      </c>
      <c r="O3970" t="s">
        <v>111</v>
      </c>
      <c r="P3970" t="str">
        <f>"85233-7332"</f>
        <v>85233-7332</v>
      </c>
      <c r="Q3970" t="s">
        <v>113</v>
      </c>
      <c r="R3970" t="str">
        <f>"302-35-154"</f>
        <v>302-35-154</v>
      </c>
      <c r="S3970" t="s">
        <v>5599</v>
      </c>
      <c r="T3970" t="s">
        <v>5600</v>
      </c>
      <c r="U3970">
        <v>1691</v>
      </c>
      <c r="V3970">
        <v>0</v>
      </c>
      <c r="W3970">
        <v>3</v>
      </c>
      <c r="X3970">
        <v>1994</v>
      </c>
      <c r="Z3970">
        <v>1</v>
      </c>
      <c r="AB3970">
        <v>0</v>
      </c>
      <c r="AC3970" t="s">
        <v>115</v>
      </c>
      <c r="AD3970">
        <v>2</v>
      </c>
      <c r="AE3970" t="s">
        <v>115</v>
      </c>
      <c r="AF3970">
        <v>0</v>
      </c>
      <c r="AG3970">
        <v>0</v>
      </c>
      <c r="AH3970" t="s">
        <v>116</v>
      </c>
      <c r="AI3970" s="1">
        <v>62946</v>
      </c>
      <c r="AJ3970" s="2">
        <v>0.2</v>
      </c>
      <c r="AK3970" s="1">
        <v>318746</v>
      </c>
      <c r="AL3970" t="s">
        <v>117</v>
      </c>
      <c r="AM3970" t="s">
        <v>191</v>
      </c>
      <c r="AN3970">
        <v>4643</v>
      </c>
      <c r="AO3970">
        <v>0.11</v>
      </c>
      <c r="AP3970">
        <v>1</v>
      </c>
      <c r="AR3970">
        <v>1</v>
      </c>
      <c r="AS3970" s="1">
        <v>21860</v>
      </c>
      <c r="AT3970" s="1">
        <v>4370</v>
      </c>
      <c r="AU3970" s="1">
        <v>17490</v>
      </c>
      <c r="AV3970">
        <v>80.010000000000005</v>
      </c>
      <c r="AX3970" s="1">
        <v>1667.4</v>
      </c>
      <c r="AY3970" t="s">
        <v>5601</v>
      </c>
      <c r="AZ3970" t="s">
        <v>5478</v>
      </c>
      <c r="BA3970" t="s">
        <v>5479</v>
      </c>
      <c r="BE3970" s="3">
        <v>42521</v>
      </c>
      <c r="BF3970" s="1">
        <v>249000</v>
      </c>
      <c r="BG3970" t="s">
        <v>25318</v>
      </c>
      <c r="BH3970" s="1">
        <v>147.25</v>
      </c>
      <c r="BI3970" s="1">
        <v>255800</v>
      </c>
      <c r="BJ3970" s="3">
        <v>42850</v>
      </c>
      <c r="BK3970" t="s">
        <v>123</v>
      </c>
      <c r="BL3970" t="str">
        <f>"2017.294238"</f>
        <v>2017.294238</v>
      </c>
      <c r="BM3970" t="s">
        <v>255</v>
      </c>
      <c r="BO3970" t="s">
        <v>25319</v>
      </c>
      <c r="BS3970">
        <v>30</v>
      </c>
      <c r="BW3970" t="str">
        <f>""</f>
        <v/>
      </c>
      <c r="CH3970" t="str">
        <f>""</f>
        <v/>
      </c>
      <c r="CS3970" t="str">
        <f>""</f>
        <v/>
      </c>
    </row>
    <row r="3971" spans="1:97" x14ac:dyDescent="0.25">
      <c r="A3971" t="s">
        <v>6060</v>
      </c>
      <c r="B3971" t="s">
        <v>25320</v>
      </c>
      <c r="C3971" t="s">
        <v>25321</v>
      </c>
      <c r="D3971" t="s">
        <v>25320</v>
      </c>
      <c r="E3971" t="s">
        <v>25322</v>
      </c>
      <c r="F3971" t="s">
        <v>108</v>
      </c>
      <c r="H3971" t="s">
        <v>25323</v>
      </c>
      <c r="I3971" t="s">
        <v>632</v>
      </c>
      <c r="J3971" t="s">
        <v>111</v>
      </c>
      <c r="K3971" t="str">
        <f>"85374"</f>
        <v>85374</v>
      </c>
      <c r="L3971" t="s">
        <v>1658</v>
      </c>
      <c r="M3971" t="s">
        <v>25323</v>
      </c>
      <c r="N3971" t="s">
        <v>632</v>
      </c>
      <c r="O3971" t="s">
        <v>111</v>
      </c>
      <c r="P3971" t="str">
        <f>"85374-4267"</f>
        <v>85374-4267</v>
      </c>
      <c r="Q3971" t="s">
        <v>113</v>
      </c>
      <c r="R3971" t="str">
        <f>"507-06-276"</f>
        <v>507-06-276</v>
      </c>
      <c r="S3971" t="s">
        <v>25324</v>
      </c>
      <c r="T3971" t="s">
        <v>25325</v>
      </c>
      <c r="U3971">
        <v>1646</v>
      </c>
      <c r="V3971">
        <v>0</v>
      </c>
      <c r="W3971">
        <v>2</v>
      </c>
      <c r="X3971">
        <v>1998</v>
      </c>
      <c r="Z3971">
        <v>1</v>
      </c>
      <c r="AA3971" t="s">
        <v>26</v>
      </c>
      <c r="AB3971">
        <v>0</v>
      </c>
      <c r="AC3971" t="s">
        <v>115</v>
      </c>
      <c r="AD3971">
        <v>2</v>
      </c>
      <c r="AE3971" t="s">
        <v>115</v>
      </c>
      <c r="AF3971">
        <v>0</v>
      </c>
      <c r="AG3971">
        <v>0</v>
      </c>
      <c r="AH3971" t="s">
        <v>116</v>
      </c>
      <c r="AI3971" s="1">
        <v>45056</v>
      </c>
      <c r="AJ3971" s="2">
        <v>0.18</v>
      </c>
      <c r="AK3971" s="1">
        <v>255056</v>
      </c>
      <c r="AL3971" t="s">
        <v>117</v>
      </c>
      <c r="AM3971" t="s">
        <v>5516</v>
      </c>
      <c r="AN3971">
        <v>8665</v>
      </c>
      <c r="AO3971">
        <v>0.2</v>
      </c>
      <c r="AP3971">
        <v>1</v>
      </c>
      <c r="AR3971">
        <v>1</v>
      </c>
      <c r="AS3971" s="1">
        <v>17560</v>
      </c>
      <c r="AT3971" s="1">
        <v>3510</v>
      </c>
      <c r="AU3971" s="1">
        <v>14050</v>
      </c>
      <c r="AV3971">
        <v>80.010000000000005</v>
      </c>
      <c r="AX3971" s="1">
        <v>1216.82</v>
      </c>
      <c r="AY3971" t="s">
        <v>5108</v>
      </c>
      <c r="AZ3971" t="s">
        <v>5108</v>
      </c>
      <c r="BA3971" t="s">
        <v>5109</v>
      </c>
      <c r="BE3971" s="3">
        <v>41969</v>
      </c>
      <c r="BF3971" s="1">
        <v>159900</v>
      </c>
      <c r="BG3971" t="s">
        <v>25326</v>
      </c>
      <c r="BH3971" s="1">
        <v>97.14</v>
      </c>
      <c r="BI3971" s="1">
        <v>210000</v>
      </c>
      <c r="BJ3971" s="3">
        <v>42996</v>
      </c>
      <c r="BK3971" t="s">
        <v>123</v>
      </c>
      <c r="BL3971" t="str">
        <f>"2017.685396"</f>
        <v>2017.685396</v>
      </c>
      <c r="BM3971" t="s">
        <v>25327</v>
      </c>
      <c r="BO3971" t="s">
        <v>25328</v>
      </c>
      <c r="BS3971">
        <v>30</v>
      </c>
      <c r="BW3971" t="str">
        <f>""</f>
        <v/>
      </c>
      <c r="CH3971" t="str">
        <f>""</f>
        <v/>
      </c>
      <c r="CS3971" t="str">
        <f>""</f>
        <v/>
      </c>
    </row>
    <row r="3972" spans="1:97" x14ac:dyDescent="0.25">
      <c r="A3972" t="s">
        <v>610</v>
      </c>
      <c r="B3972" t="s">
        <v>25329</v>
      </c>
      <c r="E3972" t="s">
        <v>25330</v>
      </c>
      <c r="F3972" t="s">
        <v>108</v>
      </c>
      <c r="H3972" t="s">
        <v>25331</v>
      </c>
      <c r="I3972" t="s">
        <v>499</v>
      </c>
      <c r="J3972" t="s">
        <v>111</v>
      </c>
      <c r="K3972" t="str">
        <f>"85338"</f>
        <v>85338</v>
      </c>
      <c r="L3972" t="s">
        <v>6481</v>
      </c>
      <c r="M3972" t="s">
        <v>25331</v>
      </c>
      <c r="N3972" t="s">
        <v>499</v>
      </c>
      <c r="O3972" t="s">
        <v>111</v>
      </c>
      <c r="P3972" t="str">
        <f>"85338-4548"</f>
        <v>85338-4548</v>
      </c>
      <c r="Q3972" t="s">
        <v>113</v>
      </c>
      <c r="R3972" t="str">
        <f>"500-96-568"</f>
        <v>500-96-568</v>
      </c>
      <c r="S3972" t="s">
        <v>11223</v>
      </c>
      <c r="U3972">
        <v>1900</v>
      </c>
      <c r="V3972">
        <v>0</v>
      </c>
      <c r="W3972">
        <v>4</v>
      </c>
      <c r="X3972">
        <v>2016</v>
      </c>
      <c r="Z3972">
        <v>1</v>
      </c>
      <c r="AB3972">
        <v>0</v>
      </c>
      <c r="AC3972" t="s">
        <v>115</v>
      </c>
      <c r="AD3972">
        <v>3</v>
      </c>
      <c r="AE3972" t="s">
        <v>115</v>
      </c>
      <c r="AF3972">
        <v>0</v>
      </c>
      <c r="AG3972">
        <v>0</v>
      </c>
      <c r="AH3972" t="s">
        <v>116</v>
      </c>
      <c r="AI3972" s="1">
        <v>9974</v>
      </c>
      <c r="AJ3972" s="2">
        <v>0.04</v>
      </c>
      <c r="AK3972" s="1">
        <v>284752</v>
      </c>
      <c r="AL3972" t="s">
        <v>117</v>
      </c>
      <c r="AM3972" t="s">
        <v>118</v>
      </c>
      <c r="AN3972">
        <v>9173</v>
      </c>
      <c r="AO3972">
        <v>0.21</v>
      </c>
      <c r="AR3972">
        <v>1</v>
      </c>
      <c r="AS3972" s="1">
        <v>19830</v>
      </c>
      <c r="AT3972" s="1">
        <v>3960</v>
      </c>
      <c r="AU3972" s="1">
        <v>15870</v>
      </c>
      <c r="AV3972">
        <v>80.03</v>
      </c>
      <c r="AX3972" s="1">
        <v>1683.94</v>
      </c>
      <c r="AY3972" t="s">
        <v>6319</v>
      </c>
      <c r="AZ3972" t="s">
        <v>6319</v>
      </c>
      <c r="BA3972" t="s">
        <v>218</v>
      </c>
      <c r="BE3972" s="3">
        <v>42548</v>
      </c>
      <c r="BF3972" s="1">
        <v>244248</v>
      </c>
      <c r="BG3972" t="s">
        <v>158</v>
      </c>
      <c r="BH3972" s="1">
        <v>128.55000000000001</v>
      </c>
      <c r="BI3972" s="1">
        <v>274778</v>
      </c>
      <c r="BJ3972" s="3">
        <v>43047</v>
      </c>
      <c r="BK3972" t="s">
        <v>123</v>
      </c>
      <c r="BL3972" t="str">
        <f>"2017.830739"</f>
        <v>2017.830739</v>
      </c>
      <c r="BM3972" t="s">
        <v>361</v>
      </c>
      <c r="BO3972" t="s">
        <v>25332</v>
      </c>
      <c r="BS3972">
        <v>30</v>
      </c>
      <c r="BW3972" t="str">
        <f>""</f>
        <v/>
      </c>
      <c r="CH3972" t="str">
        <f>""</f>
        <v/>
      </c>
      <c r="CS3972" t="str">
        <f>""</f>
        <v/>
      </c>
    </row>
    <row r="3973" spans="1:97" x14ac:dyDescent="0.25">
      <c r="A3973" t="s">
        <v>15111</v>
      </c>
      <c r="B3973" t="s">
        <v>2255</v>
      </c>
      <c r="C3973" t="s">
        <v>7405</v>
      </c>
      <c r="D3973" t="s">
        <v>25333</v>
      </c>
      <c r="E3973" t="s">
        <v>25334</v>
      </c>
      <c r="F3973" t="s">
        <v>108</v>
      </c>
      <c r="H3973" t="s">
        <v>25335</v>
      </c>
      <c r="I3973" t="s">
        <v>203</v>
      </c>
      <c r="J3973" t="s">
        <v>111</v>
      </c>
      <c r="K3973" t="str">
        <f>"85296"</f>
        <v>85296</v>
      </c>
      <c r="L3973" t="s">
        <v>145</v>
      </c>
      <c r="M3973" t="s">
        <v>25335</v>
      </c>
      <c r="N3973" t="s">
        <v>203</v>
      </c>
      <c r="O3973" t="s">
        <v>111</v>
      </c>
      <c r="P3973" t="str">
        <f>"85296-3421"</f>
        <v>85296-3421</v>
      </c>
      <c r="Q3973" t="s">
        <v>113</v>
      </c>
      <c r="R3973" t="str">
        <f>"304-24-062"</f>
        <v>304-24-062</v>
      </c>
      <c r="S3973" t="s">
        <v>25336</v>
      </c>
      <c r="T3973" t="s">
        <v>14973</v>
      </c>
      <c r="U3973">
        <v>1549</v>
      </c>
      <c r="V3973">
        <v>0</v>
      </c>
      <c r="W3973">
        <v>3</v>
      </c>
      <c r="X3973">
        <v>1997</v>
      </c>
      <c r="Z3973">
        <v>1</v>
      </c>
      <c r="AB3973">
        <v>0</v>
      </c>
      <c r="AC3973" t="s">
        <v>115</v>
      </c>
      <c r="AD3973">
        <v>2</v>
      </c>
      <c r="AE3973" t="s">
        <v>115</v>
      </c>
      <c r="AF3973">
        <v>0</v>
      </c>
      <c r="AG3973">
        <v>0</v>
      </c>
      <c r="AH3973" t="s">
        <v>116</v>
      </c>
      <c r="AI3973" s="1">
        <v>57724</v>
      </c>
      <c r="AJ3973" s="2">
        <v>0.2</v>
      </c>
      <c r="AK3973" s="1">
        <v>295103</v>
      </c>
      <c r="AL3973" t="s">
        <v>117</v>
      </c>
      <c r="AM3973" t="s">
        <v>191</v>
      </c>
      <c r="AN3973">
        <v>5693</v>
      </c>
      <c r="AO3973">
        <v>0.13</v>
      </c>
      <c r="AP3973">
        <v>1</v>
      </c>
      <c r="AR3973">
        <v>1</v>
      </c>
      <c r="AS3973" s="1">
        <v>20060</v>
      </c>
      <c r="AT3973" s="1">
        <v>4010</v>
      </c>
      <c r="AU3973" s="1">
        <v>16050</v>
      </c>
      <c r="AV3973">
        <v>80.010000000000005</v>
      </c>
      <c r="AX3973" s="1">
        <v>1333.98</v>
      </c>
      <c r="AY3973" t="s">
        <v>7046</v>
      </c>
      <c r="AZ3973" t="s">
        <v>207</v>
      </c>
      <c r="BA3973" t="s">
        <v>208</v>
      </c>
      <c r="BB3973" s="3">
        <v>42125</v>
      </c>
      <c r="BD3973" t="s">
        <v>240</v>
      </c>
      <c r="BE3973" s="3">
        <v>41787</v>
      </c>
      <c r="BF3973" s="1">
        <v>233000</v>
      </c>
      <c r="BG3973" t="s">
        <v>25337</v>
      </c>
      <c r="BH3973" s="1">
        <v>150.41999999999999</v>
      </c>
      <c r="BI3973" s="1">
        <v>237379</v>
      </c>
      <c r="BJ3973" s="3">
        <v>41787</v>
      </c>
      <c r="BK3973" t="s">
        <v>123</v>
      </c>
      <c r="BL3973" t="str">
        <f>"2014.343350"</f>
        <v>2014.343350</v>
      </c>
      <c r="BM3973" t="s">
        <v>135</v>
      </c>
      <c r="BO3973" t="s">
        <v>25338</v>
      </c>
      <c r="BS3973">
        <v>30</v>
      </c>
      <c r="BW3973" t="str">
        <f>""</f>
        <v/>
      </c>
      <c r="CH3973" t="str">
        <f>""</f>
        <v/>
      </c>
      <c r="CS3973" t="str">
        <f>""</f>
        <v/>
      </c>
    </row>
    <row r="3974" spans="1:97" x14ac:dyDescent="0.25">
      <c r="A3974" t="s">
        <v>370</v>
      </c>
      <c r="B3974" t="s">
        <v>2692</v>
      </c>
      <c r="E3974" t="s">
        <v>25339</v>
      </c>
      <c r="F3974" t="s">
        <v>108</v>
      </c>
      <c r="H3974" t="s">
        <v>25340</v>
      </c>
      <c r="I3974" t="s">
        <v>5523</v>
      </c>
      <c r="J3974" t="s">
        <v>111</v>
      </c>
      <c r="K3974" t="str">
        <f>"85351"</f>
        <v>85351</v>
      </c>
      <c r="L3974" t="s">
        <v>5228</v>
      </c>
      <c r="M3974" t="s">
        <v>25340</v>
      </c>
      <c r="N3974" t="s">
        <v>5523</v>
      </c>
      <c r="O3974" t="s">
        <v>111</v>
      </c>
      <c r="P3974" t="str">
        <f>"85351-1510"</f>
        <v>85351-1510</v>
      </c>
      <c r="Q3974" t="s">
        <v>113</v>
      </c>
      <c r="R3974" t="str">
        <f>"200-90-646"</f>
        <v>200-90-646</v>
      </c>
      <c r="S3974" t="s">
        <v>25341</v>
      </c>
      <c r="U3974">
        <v>1489</v>
      </c>
      <c r="V3974">
        <v>0</v>
      </c>
      <c r="W3974">
        <v>2</v>
      </c>
      <c r="X3974">
        <v>1969</v>
      </c>
      <c r="Z3974">
        <v>1</v>
      </c>
      <c r="AB3974">
        <v>0</v>
      </c>
      <c r="AC3974" t="s">
        <v>5188</v>
      </c>
      <c r="AD3974">
        <v>2</v>
      </c>
      <c r="AE3974" t="s">
        <v>5188</v>
      </c>
      <c r="AF3974">
        <v>0</v>
      </c>
      <c r="AG3974">
        <v>0</v>
      </c>
      <c r="AH3974" t="s">
        <v>116</v>
      </c>
      <c r="AI3974" s="1">
        <v>26444</v>
      </c>
      <c r="AJ3974" s="2">
        <v>0.1</v>
      </c>
      <c r="AK3974" s="1">
        <v>258869</v>
      </c>
      <c r="AL3974" t="s">
        <v>117</v>
      </c>
      <c r="AM3974" t="s">
        <v>191</v>
      </c>
      <c r="AN3974">
        <v>9727</v>
      </c>
      <c r="AO3974">
        <v>0.22</v>
      </c>
      <c r="AP3974">
        <v>1</v>
      </c>
      <c r="AR3974">
        <v>1</v>
      </c>
      <c r="AS3974" s="1">
        <v>16730</v>
      </c>
      <c r="AT3974" s="1">
        <v>3340</v>
      </c>
      <c r="AU3974" s="1">
        <v>13390</v>
      </c>
      <c r="AV3974">
        <v>80.040000000000006</v>
      </c>
      <c r="AX3974" s="1">
        <v>1297.5999999999999</v>
      </c>
      <c r="AY3974" t="s">
        <v>5573</v>
      </c>
      <c r="AZ3974" t="s">
        <v>5573</v>
      </c>
      <c r="BA3974" t="s">
        <v>3360</v>
      </c>
      <c r="BE3974" s="3">
        <v>42384</v>
      </c>
      <c r="BF3974" s="1">
        <v>225000</v>
      </c>
      <c r="BG3974" t="s">
        <v>25342</v>
      </c>
      <c r="BH3974" s="1">
        <v>151.11000000000001</v>
      </c>
      <c r="BI3974" s="1">
        <v>232425</v>
      </c>
      <c r="BJ3974" s="3">
        <v>42384</v>
      </c>
      <c r="BK3974" t="s">
        <v>123</v>
      </c>
      <c r="BL3974" t="str">
        <f>"2016.31402"</f>
        <v>2016.31402</v>
      </c>
      <c r="BM3974" t="s">
        <v>196</v>
      </c>
      <c r="BO3974" t="s">
        <v>25343</v>
      </c>
      <c r="BS3974">
        <v>30</v>
      </c>
      <c r="BW3974" t="str">
        <f>""</f>
        <v/>
      </c>
      <c r="CH3974" t="str">
        <f>""</f>
        <v/>
      </c>
      <c r="CS3974" t="str">
        <f>""</f>
        <v/>
      </c>
    </row>
    <row r="3975" spans="1:97" x14ac:dyDescent="0.25">
      <c r="A3975" t="s">
        <v>25344</v>
      </c>
      <c r="B3975" t="s">
        <v>348</v>
      </c>
      <c r="C3975" t="s">
        <v>25345</v>
      </c>
      <c r="D3975" t="s">
        <v>348</v>
      </c>
      <c r="E3975" t="s">
        <v>25346</v>
      </c>
      <c r="F3975" t="s">
        <v>108</v>
      </c>
      <c r="H3975" t="s">
        <v>25347</v>
      </c>
      <c r="I3975" t="s">
        <v>632</v>
      </c>
      <c r="J3975" t="s">
        <v>111</v>
      </c>
      <c r="K3975" t="str">
        <f>"85374"</f>
        <v>85374</v>
      </c>
      <c r="L3975" t="s">
        <v>6601</v>
      </c>
      <c r="M3975" t="s">
        <v>25347</v>
      </c>
      <c r="N3975" t="s">
        <v>632</v>
      </c>
      <c r="O3975" t="s">
        <v>111</v>
      </c>
      <c r="P3975" t="str">
        <f>"85374-3029"</f>
        <v>85374-3029</v>
      </c>
      <c r="Q3975" t="s">
        <v>113</v>
      </c>
      <c r="R3975" t="str">
        <f>"507-07-232"</f>
        <v>507-07-232</v>
      </c>
      <c r="S3975" t="s">
        <v>25348</v>
      </c>
      <c r="U3975">
        <v>2003</v>
      </c>
      <c r="V3975">
        <v>0</v>
      </c>
      <c r="W3975">
        <v>4</v>
      </c>
      <c r="X3975">
        <v>2000</v>
      </c>
      <c r="Z3975">
        <v>1</v>
      </c>
      <c r="AB3975">
        <v>0</v>
      </c>
      <c r="AC3975" t="s">
        <v>115</v>
      </c>
      <c r="AD3975">
        <v>2</v>
      </c>
      <c r="AE3975" t="s">
        <v>115</v>
      </c>
      <c r="AF3975">
        <v>0</v>
      </c>
      <c r="AG3975">
        <v>0</v>
      </c>
      <c r="AH3975" t="s">
        <v>116</v>
      </c>
      <c r="AI3975" s="1">
        <v>84153</v>
      </c>
      <c r="AJ3975" s="2">
        <v>0.23</v>
      </c>
      <c r="AK3975" s="1">
        <v>362136</v>
      </c>
      <c r="AL3975" t="s">
        <v>117</v>
      </c>
      <c r="AM3975" t="s">
        <v>118</v>
      </c>
      <c r="AN3975">
        <v>7752</v>
      </c>
      <c r="AO3975">
        <v>0.18</v>
      </c>
      <c r="AP3975">
        <v>1</v>
      </c>
      <c r="AR3975">
        <v>1</v>
      </c>
      <c r="AS3975" s="1">
        <v>26410</v>
      </c>
      <c r="AT3975" s="1">
        <v>5280</v>
      </c>
      <c r="AU3975" s="1">
        <v>21130</v>
      </c>
      <c r="AV3975">
        <v>80.010000000000005</v>
      </c>
      <c r="AX3975" s="1">
        <v>2642.78</v>
      </c>
      <c r="AY3975" t="s">
        <v>5168</v>
      </c>
      <c r="AZ3975" t="s">
        <v>5168</v>
      </c>
      <c r="BA3975" t="s">
        <v>5109</v>
      </c>
      <c r="BE3975" s="3">
        <v>41759</v>
      </c>
      <c r="BF3975" s="1">
        <v>277000</v>
      </c>
      <c r="BG3975" t="s">
        <v>25349</v>
      </c>
      <c r="BH3975" s="1">
        <v>138.29</v>
      </c>
      <c r="BI3975" s="1">
        <v>277983</v>
      </c>
      <c r="BJ3975" s="3">
        <v>42579</v>
      </c>
      <c r="BK3975" t="s">
        <v>123</v>
      </c>
      <c r="BL3975" t="str">
        <f>"2016.532031"</f>
        <v>2016.532031</v>
      </c>
      <c r="BM3975" t="s">
        <v>4076</v>
      </c>
      <c r="BO3975" t="s">
        <v>25350</v>
      </c>
      <c r="BS3975">
        <v>30</v>
      </c>
      <c r="BW3975" t="str">
        <f>""</f>
        <v/>
      </c>
      <c r="CH3975" t="str">
        <f>""</f>
        <v/>
      </c>
      <c r="CS3975" t="str">
        <f>""</f>
        <v/>
      </c>
    </row>
    <row r="3976" spans="1:97" x14ac:dyDescent="0.25">
      <c r="A3976" t="s">
        <v>1876</v>
      </c>
      <c r="B3976" t="s">
        <v>25351</v>
      </c>
      <c r="E3976" t="s">
        <v>25352</v>
      </c>
      <c r="F3976" t="s">
        <v>108</v>
      </c>
      <c r="H3976" t="s">
        <v>25353</v>
      </c>
      <c r="I3976" t="s">
        <v>390</v>
      </c>
      <c r="J3976" t="s">
        <v>111</v>
      </c>
      <c r="K3976" t="str">
        <f>"85043"</f>
        <v>85043</v>
      </c>
      <c r="L3976" t="s">
        <v>417</v>
      </c>
      <c r="M3976" t="s">
        <v>25353</v>
      </c>
      <c r="N3976" t="s">
        <v>390</v>
      </c>
      <c r="O3976" t="s">
        <v>111</v>
      </c>
      <c r="P3976" t="str">
        <f>"85043-1425"</f>
        <v>85043-1425</v>
      </c>
      <c r="Q3976" t="s">
        <v>113</v>
      </c>
      <c r="R3976" t="str">
        <f>"104-53-120"</f>
        <v>104-53-120</v>
      </c>
      <c r="S3976" t="s">
        <v>25354</v>
      </c>
      <c r="T3976" t="s">
        <v>25354</v>
      </c>
      <c r="U3976">
        <v>2170</v>
      </c>
      <c r="V3976">
        <v>0</v>
      </c>
      <c r="W3976">
        <v>3</v>
      </c>
      <c r="X3976">
        <v>2004</v>
      </c>
      <c r="Z3976">
        <v>1</v>
      </c>
      <c r="AA3976" t="s">
        <v>26</v>
      </c>
      <c r="AB3976">
        <v>0</v>
      </c>
      <c r="AC3976" t="s">
        <v>115</v>
      </c>
      <c r="AD3976">
        <v>4</v>
      </c>
      <c r="AE3976" t="s">
        <v>115</v>
      </c>
      <c r="AF3976">
        <v>0</v>
      </c>
      <c r="AG3976">
        <v>0</v>
      </c>
      <c r="AH3976" t="s">
        <v>116</v>
      </c>
      <c r="AI3976" s="1">
        <v>53997</v>
      </c>
      <c r="AJ3976" s="2">
        <v>0.19</v>
      </c>
      <c r="AK3976" s="1">
        <v>278697</v>
      </c>
      <c r="AL3976" t="s">
        <v>117</v>
      </c>
      <c r="AM3976" t="s">
        <v>1302</v>
      </c>
      <c r="AN3976">
        <v>11450</v>
      </c>
      <c r="AO3976">
        <v>0.26</v>
      </c>
      <c r="AP3976">
        <v>1</v>
      </c>
      <c r="AR3976">
        <v>1</v>
      </c>
      <c r="AS3976" s="1">
        <v>20200</v>
      </c>
      <c r="AT3976" s="1">
        <v>4040</v>
      </c>
      <c r="AU3976" s="1">
        <v>16160</v>
      </c>
      <c r="AV3976">
        <v>80</v>
      </c>
      <c r="AX3976" s="1">
        <v>1716.86</v>
      </c>
      <c r="AY3976" t="s">
        <v>5369</v>
      </c>
      <c r="AZ3976" t="s">
        <v>11769</v>
      </c>
      <c r="BA3976" t="s">
        <v>5371</v>
      </c>
      <c r="BE3976" s="3">
        <v>42548</v>
      </c>
      <c r="BF3976" s="1">
        <v>225000</v>
      </c>
      <c r="BG3976" t="s">
        <v>25355</v>
      </c>
      <c r="BH3976" s="1">
        <v>103.69</v>
      </c>
      <c r="BI3976" s="1">
        <v>224700</v>
      </c>
      <c r="BJ3976" s="3">
        <v>42947</v>
      </c>
      <c r="BK3976" t="s">
        <v>123</v>
      </c>
      <c r="BL3976" t="str">
        <f>"2017.561132"</f>
        <v>2017.561132</v>
      </c>
      <c r="BM3976" t="s">
        <v>12045</v>
      </c>
      <c r="BN3976">
        <v>78726</v>
      </c>
      <c r="BO3976" t="s">
        <v>25356</v>
      </c>
      <c r="BS3976">
        <v>30</v>
      </c>
      <c r="BW3976" t="str">
        <f>""</f>
        <v/>
      </c>
      <c r="CH3976" t="str">
        <f>""</f>
        <v/>
      </c>
      <c r="CS3976" t="str">
        <f>""</f>
        <v/>
      </c>
    </row>
    <row r="3977" spans="1:97" x14ac:dyDescent="0.25">
      <c r="A3977" t="s">
        <v>305</v>
      </c>
      <c r="B3977" t="s">
        <v>25357</v>
      </c>
      <c r="C3977" t="s">
        <v>4386</v>
      </c>
      <c r="D3977" t="s">
        <v>24815</v>
      </c>
      <c r="E3977" t="s">
        <v>25358</v>
      </c>
      <c r="F3977" t="s">
        <v>108</v>
      </c>
      <c r="H3977" t="s">
        <v>25359</v>
      </c>
      <c r="I3977" t="s">
        <v>1936</v>
      </c>
      <c r="J3977" t="s">
        <v>111</v>
      </c>
      <c r="K3977" t="str">
        <f>"85257"</f>
        <v>85257</v>
      </c>
      <c r="L3977" t="s">
        <v>6003</v>
      </c>
      <c r="M3977" t="s">
        <v>25359</v>
      </c>
      <c r="N3977" t="s">
        <v>1936</v>
      </c>
      <c r="O3977" t="s">
        <v>111</v>
      </c>
      <c r="P3977" t="str">
        <f>"85257-2242"</f>
        <v>85257-2242</v>
      </c>
      <c r="Q3977" t="s">
        <v>113</v>
      </c>
      <c r="R3977" t="str">
        <f>"131-10-138"</f>
        <v>131-10-138</v>
      </c>
      <c r="S3977" t="s">
        <v>25360</v>
      </c>
      <c r="T3977" t="s">
        <v>25361</v>
      </c>
      <c r="U3977">
        <v>1530</v>
      </c>
      <c r="V3977">
        <v>0</v>
      </c>
      <c r="W3977">
        <v>2</v>
      </c>
      <c r="X3977">
        <v>1961</v>
      </c>
      <c r="Z3977">
        <v>1</v>
      </c>
      <c r="AB3977">
        <v>0</v>
      </c>
      <c r="AC3977" t="s">
        <v>115</v>
      </c>
      <c r="AD3977">
        <v>1</v>
      </c>
      <c r="AE3977" t="s">
        <v>115</v>
      </c>
      <c r="AF3977">
        <v>0</v>
      </c>
      <c r="AG3977">
        <v>0</v>
      </c>
      <c r="AH3977" t="s">
        <v>116</v>
      </c>
      <c r="AI3977" s="1">
        <v>117433</v>
      </c>
      <c r="AJ3977" s="2">
        <v>0.32</v>
      </c>
      <c r="AK3977" s="1">
        <v>363881</v>
      </c>
      <c r="AL3977" t="s">
        <v>117</v>
      </c>
      <c r="AM3977" t="s">
        <v>393</v>
      </c>
      <c r="AN3977">
        <v>6167</v>
      </c>
      <c r="AO3977">
        <v>0.14000000000000001</v>
      </c>
      <c r="AP3977">
        <v>1</v>
      </c>
      <c r="AR3977">
        <v>1</v>
      </c>
      <c r="AS3977" s="1">
        <v>23920</v>
      </c>
      <c r="AT3977" s="1">
        <v>4780</v>
      </c>
      <c r="AU3977" s="1">
        <v>19140</v>
      </c>
      <c r="AV3977">
        <v>80.02</v>
      </c>
      <c r="AX3977" s="1">
        <v>1162.6199999999999</v>
      </c>
      <c r="AY3977" t="s">
        <v>7031</v>
      </c>
      <c r="AZ3977" t="s">
        <v>5420</v>
      </c>
      <c r="BA3977" t="s">
        <v>5421</v>
      </c>
      <c r="BB3977" s="3">
        <v>42559</v>
      </c>
      <c r="BD3977" t="s">
        <v>458</v>
      </c>
      <c r="BE3977" s="3">
        <v>42542</v>
      </c>
      <c r="BF3977" s="1">
        <v>206000</v>
      </c>
      <c r="BG3977" t="s">
        <v>25362</v>
      </c>
      <c r="BH3977" s="1">
        <v>134.63999999999999</v>
      </c>
      <c r="BI3977" s="1">
        <v>211448</v>
      </c>
      <c r="BJ3977" s="3">
        <v>42542</v>
      </c>
      <c r="BK3977" t="s">
        <v>123</v>
      </c>
      <c r="BL3977" t="str">
        <f>"2016.432263"</f>
        <v>2016.432263</v>
      </c>
      <c r="BM3977" t="s">
        <v>724</v>
      </c>
      <c r="BO3977" t="s">
        <v>25363</v>
      </c>
      <c r="BS3977">
        <v>30</v>
      </c>
      <c r="BT3977" s="1">
        <v>35000</v>
      </c>
      <c r="BU3977" s="3">
        <v>42963</v>
      </c>
      <c r="BW3977" t="str">
        <f>"2017.603812"</f>
        <v>2017.603812</v>
      </c>
      <c r="BX3977" t="s">
        <v>11685</v>
      </c>
      <c r="BZ3977" t="s">
        <v>25364</v>
      </c>
      <c r="CA3977" t="s">
        <v>25365</v>
      </c>
      <c r="CD3977">
        <v>10</v>
      </c>
      <c r="CH3977" t="str">
        <f>""</f>
        <v/>
      </c>
      <c r="CS3977" t="str">
        <f>""</f>
        <v/>
      </c>
    </row>
    <row r="3978" spans="1:97" x14ac:dyDescent="0.25">
      <c r="B3978" t="s">
        <v>25366</v>
      </c>
      <c r="E3978" t="s">
        <v>25367</v>
      </c>
      <c r="F3978" t="s">
        <v>108</v>
      </c>
      <c r="H3978" t="s">
        <v>25368</v>
      </c>
      <c r="I3978" t="s">
        <v>5523</v>
      </c>
      <c r="J3978" t="s">
        <v>111</v>
      </c>
      <c r="K3978" t="str">
        <f>"85373"</f>
        <v>85373</v>
      </c>
      <c r="L3978" t="s">
        <v>9178</v>
      </c>
      <c r="M3978" t="s">
        <v>25368</v>
      </c>
      <c r="N3978" t="s">
        <v>5523</v>
      </c>
      <c r="O3978" t="s">
        <v>111</v>
      </c>
      <c r="P3978" t="str">
        <f>"85373-1503"</f>
        <v>85373-1503</v>
      </c>
      <c r="Q3978" t="s">
        <v>113</v>
      </c>
      <c r="R3978" t="str">
        <f>"230-05-904"</f>
        <v>230-05-904</v>
      </c>
      <c r="S3978" t="s">
        <v>25369</v>
      </c>
      <c r="U3978">
        <v>2016</v>
      </c>
      <c r="V3978">
        <v>0</v>
      </c>
      <c r="W3978">
        <v>2</v>
      </c>
      <c r="X3978">
        <v>1976</v>
      </c>
      <c r="Z3978">
        <v>1</v>
      </c>
      <c r="AB3978">
        <v>0</v>
      </c>
      <c r="AC3978" t="s">
        <v>115</v>
      </c>
      <c r="AD3978">
        <v>2</v>
      </c>
      <c r="AE3978" t="s">
        <v>115</v>
      </c>
      <c r="AF3978">
        <v>0</v>
      </c>
      <c r="AG3978">
        <v>0</v>
      </c>
      <c r="AH3978" t="s">
        <v>116</v>
      </c>
      <c r="AI3978" s="1">
        <v>38033</v>
      </c>
      <c r="AJ3978" s="2">
        <v>0.15</v>
      </c>
      <c r="AK3978" s="1">
        <v>258010</v>
      </c>
      <c r="AL3978" t="s">
        <v>117</v>
      </c>
      <c r="AM3978" t="s">
        <v>191</v>
      </c>
      <c r="AN3978">
        <v>15884</v>
      </c>
      <c r="AO3978">
        <v>0.36</v>
      </c>
      <c r="AP3978">
        <v>1</v>
      </c>
      <c r="AR3978">
        <v>1</v>
      </c>
      <c r="AS3978" s="1">
        <v>17450</v>
      </c>
      <c r="AT3978" s="1">
        <v>3490</v>
      </c>
      <c r="AU3978" s="1">
        <v>13960</v>
      </c>
      <c r="AV3978">
        <v>80</v>
      </c>
      <c r="AX3978" s="1">
        <v>1207.8599999999999</v>
      </c>
      <c r="AY3978" t="s">
        <v>4520</v>
      </c>
      <c r="AZ3978" t="s">
        <v>4520</v>
      </c>
      <c r="BA3978" t="s">
        <v>3360</v>
      </c>
      <c r="BB3978" s="3">
        <v>43524</v>
      </c>
      <c r="BC3978" s="1">
        <v>0</v>
      </c>
      <c r="BD3978" t="s">
        <v>247</v>
      </c>
      <c r="BE3978" s="3">
        <v>41904</v>
      </c>
      <c r="BF3978" s="1">
        <v>148900</v>
      </c>
      <c r="BG3978" t="s">
        <v>25370</v>
      </c>
      <c r="BH3978" s="1">
        <v>73.86</v>
      </c>
      <c r="BI3978" s="1">
        <v>219977</v>
      </c>
      <c r="BJ3978" s="3">
        <v>43524</v>
      </c>
      <c r="BK3978" t="s">
        <v>123</v>
      </c>
      <c r="BL3978" t="str">
        <f>"2019.141664"</f>
        <v>2019.141664</v>
      </c>
      <c r="BM3978" t="s">
        <v>25371</v>
      </c>
      <c r="BN3978" t="s">
        <v>25372</v>
      </c>
      <c r="BO3978" t="s">
        <v>25373</v>
      </c>
      <c r="BR3978" t="s">
        <v>139</v>
      </c>
      <c r="BW3978" t="str">
        <f>""</f>
        <v/>
      </c>
      <c r="CH3978" t="str">
        <f>""</f>
        <v/>
      </c>
      <c r="CS3978" t="str">
        <f>""</f>
        <v/>
      </c>
    </row>
    <row r="3979" spans="1:97" x14ac:dyDescent="0.25">
      <c r="A3979" t="s">
        <v>25374</v>
      </c>
      <c r="B3979" t="s">
        <v>163</v>
      </c>
      <c r="C3979" t="s">
        <v>2394</v>
      </c>
      <c r="D3979" t="s">
        <v>163</v>
      </c>
      <c r="E3979" t="s">
        <v>25375</v>
      </c>
      <c r="F3979" t="s">
        <v>108</v>
      </c>
      <c r="H3979" t="s">
        <v>25376</v>
      </c>
      <c r="I3979" t="s">
        <v>632</v>
      </c>
      <c r="J3979" t="s">
        <v>111</v>
      </c>
      <c r="K3979" t="str">
        <f>"85388"</f>
        <v>85388</v>
      </c>
      <c r="L3979" t="s">
        <v>5165</v>
      </c>
      <c r="M3979" t="s">
        <v>25376</v>
      </c>
      <c r="N3979" t="s">
        <v>632</v>
      </c>
      <c r="O3979" t="s">
        <v>111</v>
      </c>
      <c r="P3979" t="str">
        <f>"85388-5071"</f>
        <v>85388-5071</v>
      </c>
      <c r="Q3979" t="s">
        <v>113</v>
      </c>
      <c r="R3979" t="str">
        <f>"502-05-253"</f>
        <v>502-05-253</v>
      </c>
      <c r="S3979" t="s">
        <v>5166</v>
      </c>
      <c r="T3979" t="s">
        <v>5167</v>
      </c>
      <c r="U3979">
        <v>3241</v>
      </c>
      <c r="V3979">
        <v>0</v>
      </c>
      <c r="W3979">
        <v>4</v>
      </c>
      <c r="X3979">
        <v>2012</v>
      </c>
      <c r="Z3979">
        <v>2</v>
      </c>
      <c r="AA3979" t="s">
        <v>26</v>
      </c>
      <c r="AB3979">
        <v>0</v>
      </c>
      <c r="AC3979" t="s">
        <v>115</v>
      </c>
      <c r="AD3979">
        <v>3</v>
      </c>
      <c r="AE3979" t="s">
        <v>115</v>
      </c>
      <c r="AF3979">
        <v>0</v>
      </c>
      <c r="AG3979">
        <v>0</v>
      </c>
      <c r="AH3979" t="s">
        <v>116</v>
      </c>
      <c r="AI3979" s="1">
        <v>67791</v>
      </c>
      <c r="AJ3979" s="2">
        <v>0.18</v>
      </c>
      <c r="AK3979" s="1">
        <v>367791</v>
      </c>
      <c r="AL3979" t="s">
        <v>117</v>
      </c>
      <c r="AM3979" t="s">
        <v>118</v>
      </c>
      <c r="AN3979">
        <v>6601</v>
      </c>
      <c r="AO3979">
        <v>0.15</v>
      </c>
      <c r="AR3979">
        <v>1</v>
      </c>
      <c r="AS3979" s="1">
        <v>26100</v>
      </c>
      <c r="AT3979" s="1">
        <v>5220</v>
      </c>
      <c r="AU3979" s="1">
        <v>20880</v>
      </c>
      <c r="AV3979">
        <v>80</v>
      </c>
      <c r="AX3979" s="1">
        <v>2035.96</v>
      </c>
      <c r="AY3979" t="s">
        <v>5168</v>
      </c>
      <c r="AZ3979" t="s">
        <v>5168</v>
      </c>
      <c r="BA3979" t="s">
        <v>5061</v>
      </c>
      <c r="BE3979" s="3">
        <v>42468</v>
      </c>
      <c r="BF3979" s="1">
        <v>304900</v>
      </c>
      <c r="BG3979" t="s">
        <v>25377</v>
      </c>
      <c r="BH3979" s="1">
        <v>94.08</v>
      </c>
      <c r="BI3979" s="1">
        <v>300000</v>
      </c>
      <c r="BJ3979" s="3">
        <v>42695</v>
      </c>
      <c r="BK3979" t="s">
        <v>123</v>
      </c>
      <c r="BL3979" t="str">
        <f>"2016.858989"</f>
        <v>2016.858989</v>
      </c>
      <c r="BM3979" t="s">
        <v>6742</v>
      </c>
      <c r="BO3979" t="s">
        <v>25378</v>
      </c>
      <c r="BS3979">
        <v>30</v>
      </c>
      <c r="BW3979" t="str">
        <f>""</f>
        <v/>
      </c>
      <c r="CH3979" t="str">
        <f>""</f>
        <v/>
      </c>
      <c r="CS3979" t="str">
        <f>""</f>
        <v/>
      </c>
    </row>
    <row r="3980" spans="1:97" x14ac:dyDescent="0.25">
      <c r="A3980" t="s">
        <v>464</v>
      </c>
      <c r="B3980" t="s">
        <v>25379</v>
      </c>
      <c r="E3980" t="s">
        <v>25380</v>
      </c>
      <c r="F3980" t="s">
        <v>108</v>
      </c>
      <c r="H3980" t="s">
        <v>25381</v>
      </c>
      <c r="I3980" t="s">
        <v>225</v>
      </c>
      <c r="J3980" t="s">
        <v>111</v>
      </c>
      <c r="K3980" t="str">
        <f>"85213"</f>
        <v>85213</v>
      </c>
      <c r="L3980" t="s">
        <v>926</v>
      </c>
      <c r="M3980" t="s">
        <v>25381</v>
      </c>
      <c r="N3980" t="s">
        <v>225</v>
      </c>
      <c r="O3980" t="s">
        <v>111</v>
      </c>
      <c r="P3980" t="str">
        <f>"85213-6898"</f>
        <v>85213-6898</v>
      </c>
      <c r="Q3980" t="s">
        <v>113</v>
      </c>
      <c r="R3980" t="str">
        <f>"140-10-004-K"</f>
        <v>140-10-004-K</v>
      </c>
      <c r="S3980" t="s">
        <v>25382</v>
      </c>
      <c r="T3980" t="s">
        <v>25383</v>
      </c>
      <c r="U3980">
        <v>2793</v>
      </c>
      <c r="V3980">
        <v>0</v>
      </c>
      <c r="W3980">
        <v>0</v>
      </c>
      <c r="X3980">
        <v>1993</v>
      </c>
      <c r="Y3980">
        <v>1993</v>
      </c>
      <c r="Z3980">
        <v>1</v>
      </c>
      <c r="AB3980">
        <v>0</v>
      </c>
      <c r="AD3980">
        <v>0</v>
      </c>
      <c r="AF3980">
        <v>0</v>
      </c>
      <c r="AG3980">
        <v>0</v>
      </c>
      <c r="AI3980" s="1">
        <v>164898</v>
      </c>
      <c r="AJ3980" s="2">
        <v>0.36</v>
      </c>
      <c r="AK3980" s="1">
        <v>462202</v>
      </c>
      <c r="AL3980" t="s">
        <v>117</v>
      </c>
      <c r="AM3980" t="s">
        <v>917</v>
      </c>
      <c r="AN3980">
        <v>12515</v>
      </c>
      <c r="AO3980">
        <v>0.28999999999999998</v>
      </c>
      <c r="AR3980">
        <v>1</v>
      </c>
      <c r="AS3980" s="1">
        <v>35730</v>
      </c>
      <c r="AT3980" s="1">
        <v>3690</v>
      </c>
      <c r="AU3980" s="1">
        <v>32040</v>
      </c>
      <c r="AV3980">
        <v>89.67</v>
      </c>
      <c r="AX3980" s="1">
        <v>3488.34</v>
      </c>
      <c r="AY3980" t="s">
        <v>9091</v>
      </c>
      <c r="AZ3980" t="s">
        <v>1523</v>
      </c>
      <c r="BA3980" t="s">
        <v>1524</v>
      </c>
      <c r="BE3980" s="3">
        <v>42401</v>
      </c>
      <c r="BF3980" s="1">
        <v>299900</v>
      </c>
      <c r="BG3980" t="s">
        <v>25384</v>
      </c>
      <c r="BI3980" s="1">
        <v>297304</v>
      </c>
      <c r="BJ3980" s="3">
        <v>42912</v>
      </c>
      <c r="BK3980" t="s">
        <v>123</v>
      </c>
      <c r="BL3980" t="str">
        <f>"2017.466074"</f>
        <v>2017.466074</v>
      </c>
      <c r="BM3980" t="s">
        <v>340</v>
      </c>
      <c r="BO3980" t="s">
        <v>25385</v>
      </c>
      <c r="BS3980">
        <v>29</v>
      </c>
      <c r="BW3980" t="str">
        <f>""</f>
        <v/>
      </c>
      <c r="CH3980" t="str">
        <f>""</f>
        <v/>
      </c>
      <c r="CS3980" t="str">
        <f>""</f>
        <v/>
      </c>
    </row>
    <row r="3981" spans="1:97" x14ac:dyDescent="0.25">
      <c r="A3981" t="s">
        <v>25386</v>
      </c>
      <c r="B3981" t="s">
        <v>364</v>
      </c>
      <c r="C3981" t="s">
        <v>7732</v>
      </c>
      <c r="D3981" t="s">
        <v>364</v>
      </c>
      <c r="E3981" t="s">
        <v>25387</v>
      </c>
      <c r="F3981" t="s">
        <v>108</v>
      </c>
      <c r="H3981" t="s">
        <v>25388</v>
      </c>
      <c r="I3981" t="s">
        <v>144</v>
      </c>
      <c r="J3981" t="s">
        <v>111</v>
      </c>
      <c r="K3981" t="str">
        <f>"85396"</f>
        <v>85396</v>
      </c>
      <c r="L3981" t="s">
        <v>215</v>
      </c>
      <c r="M3981" t="s">
        <v>25388</v>
      </c>
      <c r="N3981" t="s">
        <v>144</v>
      </c>
      <c r="O3981" t="s">
        <v>111</v>
      </c>
      <c r="P3981" t="str">
        <f>"85396-1615"</f>
        <v>85396-1615</v>
      </c>
      <c r="Q3981" t="s">
        <v>113</v>
      </c>
      <c r="R3981" t="str">
        <f>"502-81-670"</f>
        <v>502-81-670</v>
      </c>
      <c r="S3981" t="s">
        <v>18317</v>
      </c>
      <c r="U3981">
        <v>2235</v>
      </c>
      <c r="V3981">
        <v>0</v>
      </c>
      <c r="W3981">
        <v>3</v>
      </c>
      <c r="X3981">
        <v>2012</v>
      </c>
      <c r="Z3981">
        <v>1</v>
      </c>
      <c r="AA3981" t="s">
        <v>26</v>
      </c>
      <c r="AB3981">
        <v>0</v>
      </c>
      <c r="AC3981" t="s">
        <v>115</v>
      </c>
      <c r="AD3981">
        <v>3</v>
      </c>
      <c r="AE3981" t="s">
        <v>115</v>
      </c>
      <c r="AF3981">
        <v>0</v>
      </c>
      <c r="AG3981">
        <v>0</v>
      </c>
      <c r="AH3981" t="s">
        <v>116</v>
      </c>
      <c r="AI3981" s="1">
        <v>3843</v>
      </c>
      <c r="AJ3981" s="2">
        <v>0.01</v>
      </c>
      <c r="AK3981" s="1">
        <v>354030</v>
      </c>
      <c r="AL3981" t="s">
        <v>117</v>
      </c>
      <c r="AM3981" t="s">
        <v>118</v>
      </c>
      <c r="AN3981">
        <v>10194</v>
      </c>
      <c r="AO3981">
        <v>0.23</v>
      </c>
      <c r="AR3981">
        <v>1</v>
      </c>
      <c r="AS3981" s="1">
        <v>26080</v>
      </c>
      <c r="AT3981" s="1">
        <v>5210</v>
      </c>
      <c r="AU3981" s="1">
        <v>20870</v>
      </c>
      <c r="AV3981">
        <v>80.02</v>
      </c>
      <c r="AX3981" s="1">
        <v>3810.76</v>
      </c>
      <c r="AY3981" t="s">
        <v>217</v>
      </c>
      <c r="AZ3981" t="s">
        <v>217</v>
      </c>
      <c r="BA3981" t="s">
        <v>218</v>
      </c>
      <c r="BE3981" s="3">
        <v>42167</v>
      </c>
      <c r="BF3981" s="1">
        <v>339000</v>
      </c>
      <c r="BG3981" t="s">
        <v>25389</v>
      </c>
      <c r="BH3981" s="1">
        <v>151.68</v>
      </c>
      <c r="BI3981" s="1">
        <v>350187</v>
      </c>
      <c r="BJ3981" s="3">
        <v>42167</v>
      </c>
      <c r="BK3981" t="s">
        <v>123</v>
      </c>
      <c r="BL3981" t="str">
        <f>"2015.419413"</f>
        <v>2015.419413</v>
      </c>
      <c r="BM3981" t="s">
        <v>594</v>
      </c>
      <c r="BO3981" t="s">
        <v>25390</v>
      </c>
      <c r="BS3981">
        <v>30</v>
      </c>
      <c r="BW3981" t="str">
        <f>""</f>
        <v/>
      </c>
      <c r="CH3981" t="str">
        <f>""</f>
        <v/>
      </c>
      <c r="CS3981" t="str">
        <f>""</f>
        <v/>
      </c>
    </row>
    <row r="3982" spans="1:97" x14ac:dyDescent="0.25">
      <c r="A3982" t="s">
        <v>325</v>
      </c>
      <c r="B3982" t="s">
        <v>15419</v>
      </c>
      <c r="C3982" t="s">
        <v>1620</v>
      </c>
      <c r="D3982" t="s">
        <v>15419</v>
      </c>
      <c r="E3982" t="s">
        <v>25391</v>
      </c>
      <c r="F3982" t="s">
        <v>108</v>
      </c>
      <c r="H3982" t="s">
        <v>25392</v>
      </c>
      <c r="I3982" t="s">
        <v>1936</v>
      </c>
      <c r="J3982" t="s">
        <v>111</v>
      </c>
      <c r="K3982" t="str">
        <f>"85257"</f>
        <v>85257</v>
      </c>
      <c r="L3982" t="s">
        <v>5185</v>
      </c>
      <c r="M3982" t="s">
        <v>25392</v>
      </c>
      <c r="N3982" t="s">
        <v>1936</v>
      </c>
      <c r="O3982" t="s">
        <v>111</v>
      </c>
      <c r="P3982" t="str">
        <f>"85257-2234"</f>
        <v>85257-2234</v>
      </c>
      <c r="Q3982" t="s">
        <v>113</v>
      </c>
      <c r="R3982" t="str">
        <f>"131-21-024"</f>
        <v>131-21-024</v>
      </c>
      <c r="S3982" t="s">
        <v>25393</v>
      </c>
      <c r="T3982" t="s">
        <v>17681</v>
      </c>
      <c r="U3982">
        <v>1503</v>
      </c>
      <c r="V3982">
        <v>0</v>
      </c>
      <c r="W3982">
        <v>2</v>
      </c>
      <c r="X3982">
        <v>1957</v>
      </c>
      <c r="Z3982">
        <v>1</v>
      </c>
      <c r="AA3982" t="s">
        <v>26</v>
      </c>
      <c r="AB3982">
        <v>0</v>
      </c>
      <c r="AC3982" t="s">
        <v>5188</v>
      </c>
      <c r="AD3982">
        <v>1</v>
      </c>
      <c r="AE3982" t="s">
        <v>5188</v>
      </c>
      <c r="AF3982">
        <v>0</v>
      </c>
      <c r="AG3982">
        <v>0</v>
      </c>
      <c r="AH3982" t="s">
        <v>116</v>
      </c>
      <c r="AI3982" s="1">
        <v>30161</v>
      </c>
      <c r="AJ3982" s="2">
        <v>0.08</v>
      </c>
      <c r="AK3982" s="1">
        <v>365886</v>
      </c>
      <c r="AL3982" t="s">
        <v>117</v>
      </c>
      <c r="AM3982" t="s">
        <v>393</v>
      </c>
      <c r="AN3982">
        <v>7309</v>
      </c>
      <c r="AO3982">
        <v>0.17</v>
      </c>
      <c r="AP3982">
        <v>1</v>
      </c>
      <c r="AR3982">
        <v>1</v>
      </c>
      <c r="AS3982" s="1">
        <v>24820</v>
      </c>
      <c r="AT3982" s="1">
        <v>4960</v>
      </c>
      <c r="AU3982" s="1">
        <v>19860</v>
      </c>
      <c r="AV3982">
        <v>80.02</v>
      </c>
      <c r="AX3982" s="1">
        <v>1272</v>
      </c>
      <c r="AY3982" t="s">
        <v>7031</v>
      </c>
      <c r="AZ3982" t="s">
        <v>5420</v>
      </c>
      <c r="BA3982" t="s">
        <v>5421</v>
      </c>
      <c r="BB3982" s="3">
        <v>43039</v>
      </c>
      <c r="BD3982" t="s">
        <v>157</v>
      </c>
      <c r="BE3982" s="3">
        <v>42152</v>
      </c>
      <c r="BF3982" s="1">
        <v>271900</v>
      </c>
      <c r="BG3982" t="s">
        <v>25394</v>
      </c>
      <c r="BH3982" s="1">
        <v>180.9</v>
      </c>
      <c r="BI3982" s="1">
        <v>335725</v>
      </c>
      <c r="BJ3982" s="3">
        <v>43039</v>
      </c>
      <c r="BK3982" t="s">
        <v>123</v>
      </c>
      <c r="BL3982" t="str">
        <f>"2017.810424"</f>
        <v>2017.810424</v>
      </c>
      <c r="BM3982" t="s">
        <v>1463</v>
      </c>
      <c r="BO3982" t="s">
        <v>25395</v>
      </c>
      <c r="BS3982">
        <v>30</v>
      </c>
      <c r="BW3982" t="str">
        <f>""</f>
        <v/>
      </c>
      <c r="CH3982" t="str">
        <f>""</f>
        <v/>
      </c>
      <c r="CS3982" t="str">
        <f>""</f>
        <v/>
      </c>
    </row>
    <row r="3983" spans="1:97" x14ac:dyDescent="0.25">
      <c r="A3983" t="s">
        <v>370</v>
      </c>
      <c r="B3983" t="s">
        <v>1099</v>
      </c>
      <c r="C3983" t="s">
        <v>8396</v>
      </c>
      <c r="D3983" t="s">
        <v>1099</v>
      </c>
      <c r="E3983" t="s">
        <v>25396</v>
      </c>
      <c r="F3983" t="s">
        <v>108</v>
      </c>
      <c r="H3983" t="s">
        <v>25397</v>
      </c>
      <c r="I3983" t="s">
        <v>632</v>
      </c>
      <c r="J3983" t="s">
        <v>111</v>
      </c>
      <c r="K3983" t="str">
        <f>"85379"</f>
        <v>85379</v>
      </c>
      <c r="L3983" t="s">
        <v>5021</v>
      </c>
      <c r="M3983" t="s">
        <v>25397</v>
      </c>
      <c r="N3983" t="s">
        <v>632</v>
      </c>
      <c r="O3983" t="s">
        <v>111</v>
      </c>
      <c r="P3983" t="str">
        <f>"85379-5244"</f>
        <v>85379-5244</v>
      </c>
      <c r="Q3983" t="s">
        <v>113</v>
      </c>
      <c r="R3983" t="str">
        <f>"501-96-013"</f>
        <v>501-96-013</v>
      </c>
      <c r="S3983" t="s">
        <v>18876</v>
      </c>
      <c r="U3983">
        <v>2379</v>
      </c>
      <c r="V3983">
        <v>0</v>
      </c>
      <c r="W3983">
        <v>3</v>
      </c>
      <c r="X3983">
        <v>2004</v>
      </c>
      <c r="Z3983">
        <v>2</v>
      </c>
      <c r="AB3983">
        <v>0</v>
      </c>
      <c r="AC3983" t="s">
        <v>115</v>
      </c>
      <c r="AD3983">
        <v>2</v>
      </c>
      <c r="AE3983" t="s">
        <v>115</v>
      </c>
      <c r="AF3983">
        <v>0</v>
      </c>
      <c r="AG3983">
        <v>0</v>
      </c>
      <c r="AH3983" t="s">
        <v>116</v>
      </c>
      <c r="AI3983" s="1">
        <v>47835</v>
      </c>
      <c r="AJ3983" s="2">
        <v>0.17</v>
      </c>
      <c r="AK3983" s="1">
        <v>285835</v>
      </c>
      <c r="AL3983" t="s">
        <v>117</v>
      </c>
      <c r="AM3983" t="s">
        <v>118</v>
      </c>
      <c r="AN3983">
        <v>8560</v>
      </c>
      <c r="AO3983">
        <v>0.2</v>
      </c>
      <c r="AP3983">
        <v>1</v>
      </c>
      <c r="AR3983">
        <v>1</v>
      </c>
      <c r="AS3983" s="1">
        <v>17960</v>
      </c>
      <c r="AT3983" s="1">
        <v>3590</v>
      </c>
      <c r="AU3983" s="1">
        <v>14370</v>
      </c>
      <c r="AV3983">
        <v>80.010000000000005</v>
      </c>
      <c r="AX3983" s="1">
        <v>1345.04</v>
      </c>
      <c r="AY3983" t="s">
        <v>5615</v>
      </c>
      <c r="AZ3983" t="s">
        <v>5615</v>
      </c>
      <c r="BA3983" t="s">
        <v>635</v>
      </c>
      <c r="BE3983" s="3">
        <v>42440</v>
      </c>
      <c r="BF3983" s="1">
        <v>238000</v>
      </c>
      <c r="BG3983" t="s">
        <v>25398</v>
      </c>
      <c r="BH3983" s="1">
        <v>100.04</v>
      </c>
      <c r="BI3983" s="1">
        <v>238000</v>
      </c>
      <c r="BJ3983" s="3">
        <v>42440</v>
      </c>
      <c r="BK3983" t="s">
        <v>123</v>
      </c>
      <c r="BL3983" t="str">
        <f>"2016.158039"</f>
        <v>2016.158039</v>
      </c>
      <c r="BM3983" t="s">
        <v>724</v>
      </c>
      <c r="BO3983" t="s">
        <v>25399</v>
      </c>
      <c r="BS3983">
        <v>30</v>
      </c>
      <c r="BW3983" t="str">
        <f>""</f>
        <v/>
      </c>
      <c r="CH3983" t="str">
        <f>""</f>
        <v/>
      </c>
      <c r="CS3983" t="str">
        <f>""</f>
        <v/>
      </c>
    </row>
    <row r="3984" spans="1:97" x14ac:dyDescent="0.25">
      <c r="A3984" t="s">
        <v>1755</v>
      </c>
      <c r="B3984" t="s">
        <v>25400</v>
      </c>
      <c r="C3984" t="s">
        <v>25401</v>
      </c>
      <c r="D3984" t="s">
        <v>25400</v>
      </c>
      <c r="E3984" t="s">
        <v>25402</v>
      </c>
      <c r="F3984" t="s">
        <v>108</v>
      </c>
      <c r="H3984" t="s">
        <v>25403</v>
      </c>
      <c r="I3984" t="s">
        <v>110</v>
      </c>
      <c r="J3984" t="s">
        <v>111</v>
      </c>
      <c r="K3984" t="str">
        <f>"85225"</f>
        <v>85225</v>
      </c>
      <c r="L3984" t="s">
        <v>5687</v>
      </c>
      <c r="M3984" t="s">
        <v>25403</v>
      </c>
      <c r="N3984" t="s">
        <v>110</v>
      </c>
      <c r="O3984" t="s">
        <v>111</v>
      </c>
      <c r="P3984" t="str">
        <f>"85225-6479"</f>
        <v>85225-6479</v>
      </c>
      <c r="Q3984" t="s">
        <v>113</v>
      </c>
      <c r="R3984" t="str">
        <f>"303-14-339"</f>
        <v>303-14-339</v>
      </c>
      <c r="S3984" t="s">
        <v>25404</v>
      </c>
      <c r="T3984" t="s">
        <v>25404</v>
      </c>
      <c r="U3984">
        <v>1488</v>
      </c>
      <c r="V3984">
        <v>0</v>
      </c>
      <c r="W3984">
        <v>3</v>
      </c>
      <c r="X3984">
        <v>1996</v>
      </c>
      <c r="Z3984">
        <v>1</v>
      </c>
      <c r="AB3984">
        <v>0</v>
      </c>
      <c r="AC3984" t="s">
        <v>115</v>
      </c>
      <c r="AD3984">
        <v>2</v>
      </c>
      <c r="AE3984" t="s">
        <v>115</v>
      </c>
      <c r="AF3984">
        <v>0</v>
      </c>
      <c r="AG3984">
        <v>0</v>
      </c>
      <c r="AH3984" t="s">
        <v>116</v>
      </c>
      <c r="AI3984" s="1">
        <v>82521</v>
      </c>
      <c r="AJ3984" s="2">
        <v>0.28999999999999998</v>
      </c>
      <c r="AK3984" s="1">
        <v>287021</v>
      </c>
      <c r="AL3984" t="s">
        <v>117</v>
      </c>
      <c r="AM3984" t="s">
        <v>118</v>
      </c>
      <c r="AN3984">
        <v>8115</v>
      </c>
      <c r="AO3984">
        <v>0.19</v>
      </c>
      <c r="AP3984">
        <v>1</v>
      </c>
      <c r="AR3984">
        <v>1</v>
      </c>
      <c r="AS3984" s="1">
        <v>19510</v>
      </c>
      <c r="AT3984" s="1">
        <v>3900</v>
      </c>
      <c r="AU3984" s="1">
        <v>15610</v>
      </c>
      <c r="AV3984">
        <v>80.010000000000005</v>
      </c>
      <c r="AX3984" s="1">
        <v>1255.46</v>
      </c>
      <c r="AY3984" t="s">
        <v>25405</v>
      </c>
      <c r="AZ3984" t="s">
        <v>2906</v>
      </c>
      <c r="BA3984" t="s">
        <v>121</v>
      </c>
      <c r="BE3984" s="3">
        <v>42338</v>
      </c>
      <c r="BF3984" s="1">
        <v>198000</v>
      </c>
      <c r="BG3984" t="s">
        <v>25406</v>
      </c>
      <c r="BH3984" s="1">
        <v>133.06</v>
      </c>
      <c r="BI3984" s="1">
        <v>204500</v>
      </c>
      <c r="BJ3984" s="3">
        <v>42338</v>
      </c>
      <c r="BK3984" t="s">
        <v>123</v>
      </c>
      <c r="BL3984" t="str">
        <f>"2015.850353"</f>
        <v>2015.850353</v>
      </c>
      <c r="BM3984" t="s">
        <v>369</v>
      </c>
      <c r="BO3984" t="s">
        <v>25407</v>
      </c>
      <c r="BS3984">
        <v>30</v>
      </c>
      <c r="BW3984" t="str">
        <f>""</f>
        <v/>
      </c>
      <c r="CH3984" t="str">
        <f>""</f>
        <v/>
      </c>
      <c r="CS3984" t="str">
        <f>""</f>
        <v/>
      </c>
    </row>
    <row r="3985" spans="1:97" x14ac:dyDescent="0.25">
      <c r="A3985" t="s">
        <v>1366</v>
      </c>
      <c r="B3985" t="s">
        <v>13238</v>
      </c>
      <c r="E3985" t="s">
        <v>25408</v>
      </c>
      <c r="F3985" t="s">
        <v>108</v>
      </c>
      <c r="H3985" t="s">
        <v>25409</v>
      </c>
      <c r="I3985" t="s">
        <v>225</v>
      </c>
      <c r="J3985" t="s">
        <v>111</v>
      </c>
      <c r="K3985" t="str">
        <f>"85213"</f>
        <v>85213</v>
      </c>
      <c r="L3985" t="s">
        <v>12761</v>
      </c>
      <c r="M3985" t="s">
        <v>25409</v>
      </c>
      <c r="N3985" t="s">
        <v>225</v>
      </c>
      <c r="O3985" t="s">
        <v>111</v>
      </c>
      <c r="P3985" t="str">
        <f>"85213-1985"</f>
        <v>85213-1985</v>
      </c>
      <c r="Q3985" t="s">
        <v>113</v>
      </c>
      <c r="R3985" t="str">
        <f>"141-18-265"</f>
        <v>141-18-265</v>
      </c>
      <c r="S3985" t="s">
        <v>5667</v>
      </c>
      <c r="U3985">
        <v>1695</v>
      </c>
      <c r="V3985">
        <v>0</v>
      </c>
      <c r="W3985">
        <v>3</v>
      </c>
      <c r="X3985">
        <v>2013</v>
      </c>
      <c r="Z3985">
        <v>1</v>
      </c>
      <c r="AB3985">
        <v>0</v>
      </c>
      <c r="AC3985" t="s">
        <v>115</v>
      </c>
      <c r="AD3985">
        <v>2</v>
      </c>
      <c r="AE3985" t="s">
        <v>115</v>
      </c>
      <c r="AF3985">
        <v>0</v>
      </c>
      <c r="AG3985">
        <v>0</v>
      </c>
      <c r="AH3985" t="s">
        <v>116</v>
      </c>
      <c r="AI3985" s="1">
        <v>48962</v>
      </c>
      <c r="AJ3985" s="2">
        <v>0.15</v>
      </c>
      <c r="AK3985" s="1">
        <v>334122</v>
      </c>
      <c r="AL3985" t="s">
        <v>117</v>
      </c>
      <c r="AM3985" t="s">
        <v>917</v>
      </c>
      <c r="AN3985">
        <v>4750</v>
      </c>
      <c r="AO3985">
        <v>0.11</v>
      </c>
      <c r="AR3985">
        <v>1</v>
      </c>
      <c r="AS3985" s="1">
        <v>22170</v>
      </c>
      <c r="AT3985" s="1">
        <v>4430</v>
      </c>
      <c r="AU3985" s="1">
        <v>17740</v>
      </c>
      <c r="AV3985">
        <v>80.02</v>
      </c>
      <c r="AX3985" s="1">
        <v>2024.1</v>
      </c>
      <c r="AY3985" t="s">
        <v>4162</v>
      </c>
      <c r="AZ3985" t="s">
        <v>4163</v>
      </c>
      <c r="BA3985" t="s">
        <v>1524</v>
      </c>
      <c r="BE3985" s="3">
        <v>41704</v>
      </c>
      <c r="BF3985" s="1">
        <v>240254</v>
      </c>
      <c r="BG3985" t="s">
        <v>2842</v>
      </c>
      <c r="BH3985" s="1">
        <v>141.74</v>
      </c>
      <c r="BI3985" s="1">
        <v>245160</v>
      </c>
      <c r="BJ3985" s="3">
        <v>41704</v>
      </c>
      <c r="BK3985" t="s">
        <v>123</v>
      </c>
      <c r="BL3985" t="str">
        <f>"2014.143788"</f>
        <v>2014.143788</v>
      </c>
      <c r="BM3985" t="s">
        <v>135</v>
      </c>
      <c r="BN3985" t="s">
        <v>136</v>
      </c>
      <c r="BO3985" t="s">
        <v>25410</v>
      </c>
      <c r="BS3985">
        <v>30</v>
      </c>
      <c r="BT3985" s="1">
        <v>40000</v>
      </c>
      <c r="BU3985" s="3">
        <v>43461</v>
      </c>
      <c r="BW3985" t="str">
        <f>"2018.944172"</f>
        <v>2018.944172</v>
      </c>
      <c r="BX3985" t="s">
        <v>135</v>
      </c>
      <c r="BY3985" t="s">
        <v>136</v>
      </c>
      <c r="BZ3985" t="s">
        <v>25411</v>
      </c>
      <c r="CC3985" t="s">
        <v>346</v>
      </c>
      <c r="CH3985" t="str">
        <f>""</f>
        <v/>
      </c>
      <c r="CS3985" t="str">
        <f>""</f>
        <v/>
      </c>
    </row>
    <row r="3986" spans="1:97" x14ac:dyDescent="0.25">
      <c r="A3986" t="s">
        <v>1444</v>
      </c>
      <c r="B3986" t="s">
        <v>25412</v>
      </c>
      <c r="E3986" t="s">
        <v>25413</v>
      </c>
      <c r="F3986" t="s">
        <v>108</v>
      </c>
      <c r="H3986" t="s">
        <v>25414</v>
      </c>
      <c r="I3986" t="s">
        <v>390</v>
      </c>
      <c r="J3986" t="s">
        <v>111</v>
      </c>
      <c r="K3986" t="str">
        <f>"85018"</f>
        <v>85018</v>
      </c>
      <c r="L3986" t="s">
        <v>7746</v>
      </c>
      <c r="M3986" t="s">
        <v>25414</v>
      </c>
      <c r="N3986" t="s">
        <v>390</v>
      </c>
      <c r="O3986" t="s">
        <v>111</v>
      </c>
      <c r="P3986" t="str">
        <f>"85018-4707"</f>
        <v>85018-4707</v>
      </c>
      <c r="Q3986" t="s">
        <v>113</v>
      </c>
      <c r="R3986" t="str">
        <f>"170-30-149"</f>
        <v>170-30-149</v>
      </c>
      <c r="S3986" t="s">
        <v>25415</v>
      </c>
      <c r="T3986" t="s">
        <v>25416</v>
      </c>
      <c r="U3986">
        <v>1478</v>
      </c>
      <c r="V3986">
        <v>0</v>
      </c>
      <c r="W3986">
        <v>2</v>
      </c>
      <c r="X3986">
        <v>1953</v>
      </c>
      <c r="Z3986">
        <v>1</v>
      </c>
      <c r="AB3986">
        <v>0</v>
      </c>
      <c r="AC3986" t="s">
        <v>115</v>
      </c>
      <c r="AD3986">
        <v>2</v>
      </c>
      <c r="AE3986" t="s">
        <v>115</v>
      </c>
      <c r="AF3986">
        <v>0</v>
      </c>
      <c r="AG3986">
        <v>0</v>
      </c>
      <c r="AH3986" t="s">
        <v>116</v>
      </c>
      <c r="AI3986" s="1">
        <v>40953</v>
      </c>
      <c r="AJ3986" s="2">
        <v>0.09</v>
      </c>
      <c r="AK3986" s="1">
        <v>440691</v>
      </c>
      <c r="AL3986" t="s">
        <v>117</v>
      </c>
      <c r="AM3986" t="s">
        <v>191</v>
      </c>
      <c r="AN3986">
        <v>6046</v>
      </c>
      <c r="AO3986">
        <v>0.14000000000000001</v>
      </c>
      <c r="AP3986">
        <v>1</v>
      </c>
      <c r="AR3986">
        <v>1</v>
      </c>
      <c r="AS3986" s="1">
        <v>31260</v>
      </c>
      <c r="AT3986" s="1">
        <v>6250</v>
      </c>
      <c r="AU3986" s="1">
        <v>25010</v>
      </c>
      <c r="AV3986">
        <v>80.010000000000005</v>
      </c>
      <c r="AX3986" s="1">
        <v>3415.3</v>
      </c>
      <c r="AY3986" t="s">
        <v>14363</v>
      </c>
      <c r="AZ3986" t="s">
        <v>14363</v>
      </c>
      <c r="BA3986" t="s">
        <v>6255</v>
      </c>
      <c r="BE3986" s="3">
        <v>42388</v>
      </c>
      <c r="BF3986" s="1">
        <v>390000</v>
      </c>
      <c r="BG3986" t="s">
        <v>25417</v>
      </c>
      <c r="BH3986" s="1">
        <v>263.87</v>
      </c>
      <c r="BI3986" s="1">
        <v>399738</v>
      </c>
      <c r="BJ3986" s="3">
        <v>42551</v>
      </c>
      <c r="BK3986" t="s">
        <v>123</v>
      </c>
      <c r="BL3986" t="str">
        <f>"2016.463680"</f>
        <v>2016.463680</v>
      </c>
      <c r="BM3986" t="s">
        <v>955</v>
      </c>
      <c r="BO3986" t="s">
        <v>25418</v>
      </c>
      <c r="BS3986">
        <v>30</v>
      </c>
      <c r="BW3986" t="str">
        <f>""</f>
        <v/>
      </c>
      <c r="CH3986" t="str">
        <f>""</f>
        <v/>
      </c>
      <c r="CS3986" t="str">
        <f>""</f>
        <v/>
      </c>
    </row>
    <row r="3987" spans="1:97" x14ac:dyDescent="0.25">
      <c r="A3987" t="s">
        <v>1109</v>
      </c>
      <c r="B3987" t="s">
        <v>25419</v>
      </c>
      <c r="C3987" t="s">
        <v>25420</v>
      </c>
      <c r="D3987" t="s">
        <v>25419</v>
      </c>
      <c r="E3987" t="s">
        <v>25421</v>
      </c>
      <c r="F3987" t="s">
        <v>108</v>
      </c>
      <c r="H3987" t="s">
        <v>25422</v>
      </c>
      <c r="I3987" t="s">
        <v>1936</v>
      </c>
      <c r="J3987" t="s">
        <v>111</v>
      </c>
      <c r="K3987" t="str">
        <f>"85251"</f>
        <v>85251</v>
      </c>
      <c r="L3987" t="s">
        <v>5687</v>
      </c>
      <c r="M3987" t="s">
        <v>25422</v>
      </c>
      <c r="N3987" t="s">
        <v>1936</v>
      </c>
      <c r="O3987" t="s">
        <v>111</v>
      </c>
      <c r="P3987" t="str">
        <f>"85251-2723"</f>
        <v>85251-2723</v>
      </c>
      <c r="Q3987" t="s">
        <v>113</v>
      </c>
      <c r="R3987" t="str">
        <f>"173-58-060"</f>
        <v>173-58-060</v>
      </c>
      <c r="S3987" t="s">
        <v>25423</v>
      </c>
      <c r="T3987" t="s">
        <v>25424</v>
      </c>
      <c r="U3987">
        <v>1416</v>
      </c>
      <c r="V3987">
        <v>0</v>
      </c>
      <c r="W3987">
        <v>2</v>
      </c>
      <c r="X3987">
        <v>1959</v>
      </c>
      <c r="Z3987">
        <v>1</v>
      </c>
      <c r="AA3987" t="s">
        <v>26</v>
      </c>
      <c r="AB3987">
        <v>0</v>
      </c>
      <c r="AC3987" t="s">
        <v>5188</v>
      </c>
      <c r="AD3987">
        <v>1</v>
      </c>
      <c r="AE3987" t="s">
        <v>5188</v>
      </c>
      <c r="AF3987">
        <v>0</v>
      </c>
      <c r="AG3987">
        <v>0</v>
      </c>
      <c r="AH3987" t="s">
        <v>116</v>
      </c>
      <c r="AI3987" s="1">
        <v>77833</v>
      </c>
      <c r="AJ3987" s="2">
        <v>0.2</v>
      </c>
      <c r="AK3987" s="1">
        <v>387733</v>
      </c>
      <c r="AL3987" t="s">
        <v>117</v>
      </c>
      <c r="AM3987" t="s">
        <v>393</v>
      </c>
      <c r="AN3987">
        <v>6693</v>
      </c>
      <c r="AO3987">
        <v>0.15</v>
      </c>
      <c r="AP3987">
        <v>1</v>
      </c>
      <c r="AR3987">
        <v>1</v>
      </c>
      <c r="AS3987" s="1">
        <v>25950</v>
      </c>
      <c r="AT3987" s="1">
        <v>5190</v>
      </c>
      <c r="AU3987" s="1">
        <v>20760</v>
      </c>
      <c r="AV3987">
        <v>80</v>
      </c>
      <c r="AX3987" s="1">
        <v>1339.5</v>
      </c>
      <c r="AY3987" t="s">
        <v>11099</v>
      </c>
      <c r="AZ3987" t="s">
        <v>6975</v>
      </c>
      <c r="BA3987" t="s">
        <v>6976</v>
      </c>
      <c r="BE3987" s="3">
        <v>42244</v>
      </c>
      <c r="BF3987" s="1">
        <v>300000</v>
      </c>
      <c r="BG3987" t="s">
        <v>17736</v>
      </c>
      <c r="BH3987" s="1">
        <v>211.86</v>
      </c>
      <c r="BI3987" s="1">
        <v>309900</v>
      </c>
      <c r="BJ3987" s="3">
        <v>42244</v>
      </c>
      <c r="BK3987" t="s">
        <v>123</v>
      </c>
      <c r="BL3987" t="str">
        <f>"2015.628069"</f>
        <v>2015.628069</v>
      </c>
      <c r="BM3987" t="s">
        <v>1038</v>
      </c>
      <c r="BO3987" t="s">
        <v>25425</v>
      </c>
      <c r="BS3987">
        <v>30</v>
      </c>
      <c r="BW3987" t="str">
        <f>""</f>
        <v/>
      </c>
      <c r="CH3987" t="str">
        <f>""</f>
        <v/>
      </c>
      <c r="CS3987" t="str">
        <f>""</f>
        <v/>
      </c>
    </row>
    <row r="3988" spans="1:97" x14ac:dyDescent="0.25">
      <c r="A3988" t="s">
        <v>5224</v>
      </c>
      <c r="B3988" t="s">
        <v>25426</v>
      </c>
      <c r="C3988" t="s">
        <v>1119</v>
      </c>
      <c r="D3988" t="s">
        <v>25426</v>
      </c>
      <c r="E3988" t="s">
        <v>25427</v>
      </c>
      <c r="F3988" t="s">
        <v>108</v>
      </c>
      <c r="H3988" t="s">
        <v>25428</v>
      </c>
      <c r="I3988" t="s">
        <v>203</v>
      </c>
      <c r="J3988" t="s">
        <v>111</v>
      </c>
      <c r="K3988" t="str">
        <f>"85295"</f>
        <v>85295</v>
      </c>
      <c r="L3988" t="s">
        <v>6529</v>
      </c>
      <c r="M3988" t="s">
        <v>25428</v>
      </c>
      <c r="N3988" t="s">
        <v>203</v>
      </c>
      <c r="O3988" t="s">
        <v>111</v>
      </c>
      <c r="P3988" t="str">
        <f>"85295-5634"</f>
        <v>85295-5634</v>
      </c>
      <c r="Q3988" t="s">
        <v>113</v>
      </c>
      <c r="R3988" t="str">
        <f>"304-41-589"</f>
        <v>304-41-589</v>
      </c>
      <c r="S3988" t="s">
        <v>25429</v>
      </c>
      <c r="U3988">
        <v>2308</v>
      </c>
      <c r="V3988">
        <v>0</v>
      </c>
      <c r="W3988">
        <v>3</v>
      </c>
      <c r="X3988">
        <v>1998</v>
      </c>
      <c r="Z3988">
        <v>1</v>
      </c>
      <c r="AA3988" t="s">
        <v>26</v>
      </c>
      <c r="AB3988">
        <v>0</v>
      </c>
      <c r="AC3988" t="s">
        <v>115</v>
      </c>
      <c r="AD3988">
        <v>2</v>
      </c>
      <c r="AE3988" t="s">
        <v>115</v>
      </c>
      <c r="AF3988">
        <v>0</v>
      </c>
      <c r="AG3988">
        <v>0</v>
      </c>
      <c r="AH3988" t="s">
        <v>116</v>
      </c>
      <c r="AI3988" s="1">
        <v>78519</v>
      </c>
      <c r="AJ3988" s="2">
        <v>0.2</v>
      </c>
      <c r="AK3988" s="1">
        <v>386706</v>
      </c>
      <c r="AL3988" t="s">
        <v>117</v>
      </c>
      <c r="AM3988" t="s">
        <v>393</v>
      </c>
      <c r="AN3988">
        <v>9897</v>
      </c>
      <c r="AO3988">
        <v>0.23</v>
      </c>
      <c r="AP3988">
        <v>1</v>
      </c>
      <c r="AR3988">
        <v>1</v>
      </c>
      <c r="AS3988" s="1">
        <v>28100</v>
      </c>
      <c r="AT3988" s="1">
        <v>5620</v>
      </c>
      <c r="AU3988" s="1">
        <v>22480</v>
      </c>
      <c r="AV3988">
        <v>80</v>
      </c>
      <c r="AX3988" s="1">
        <v>2026.94</v>
      </c>
      <c r="AY3988" t="s">
        <v>9212</v>
      </c>
      <c r="AZ3988" t="s">
        <v>207</v>
      </c>
      <c r="BA3988" t="s">
        <v>208</v>
      </c>
      <c r="BE3988" s="3">
        <v>42496</v>
      </c>
      <c r="BF3988" s="1">
        <v>305000</v>
      </c>
      <c r="BG3988" t="s">
        <v>25430</v>
      </c>
      <c r="BH3988" s="1">
        <v>132.15</v>
      </c>
      <c r="BI3988" s="1">
        <v>258187</v>
      </c>
      <c r="BJ3988" s="3">
        <v>42496</v>
      </c>
      <c r="BK3988" t="s">
        <v>123</v>
      </c>
      <c r="BL3988" t="str">
        <f>"2016.312593"</f>
        <v>2016.312593</v>
      </c>
      <c r="BM3988" t="s">
        <v>2716</v>
      </c>
      <c r="BO3988" t="s">
        <v>25431</v>
      </c>
      <c r="BS3988">
        <v>30</v>
      </c>
      <c r="BT3988" s="1">
        <v>50000</v>
      </c>
      <c r="BU3988" s="3">
        <v>42570</v>
      </c>
      <c r="BV3988" t="s">
        <v>22674</v>
      </c>
      <c r="BW3988" t="str">
        <f>"2016.506012"</f>
        <v>2016.506012</v>
      </c>
      <c r="BX3988" t="s">
        <v>25432</v>
      </c>
      <c r="BZ3988" t="s">
        <v>25431</v>
      </c>
      <c r="CH3988" t="str">
        <f>""</f>
        <v/>
      </c>
      <c r="CS3988" t="str">
        <f>""</f>
        <v/>
      </c>
    </row>
    <row r="3989" spans="1:97" x14ac:dyDescent="0.25">
      <c r="A3989" t="s">
        <v>7105</v>
      </c>
      <c r="B3989" t="s">
        <v>565</v>
      </c>
      <c r="C3989" t="s">
        <v>7105</v>
      </c>
      <c r="E3989" t="s">
        <v>25433</v>
      </c>
      <c r="F3989" t="s">
        <v>108</v>
      </c>
      <c r="H3989" t="s">
        <v>25434</v>
      </c>
      <c r="I3989" t="s">
        <v>110</v>
      </c>
      <c r="J3989" t="s">
        <v>111</v>
      </c>
      <c r="K3989" t="str">
        <f>"85249"</f>
        <v>85249</v>
      </c>
      <c r="L3989" t="s">
        <v>681</v>
      </c>
      <c r="M3989" t="s">
        <v>25434</v>
      </c>
      <c r="N3989" t="s">
        <v>110</v>
      </c>
      <c r="O3989" t="s">
        <v>111</v>
      </c>
      <c r="P3989" t="str">
        <f>"85249-1819"</f>
        <v>85249-1819</v>
      </c>
      <c r="Q3989" t="s">
        <v>113</v>
      </c>
      <c r="R3989" t="str">
        <f>"303-45-866"</f>
        <v>303-45-866</v>
      </c>
      <c r="S3989" t="s">
        <v>6853</v>
      </c>
      <c r="T3989" t="s">
        <v>6853</v>
      </c>
      <c r="U3989">
        <v>1999</v>
      </c>
      <c r="V3989">
        <v>0</v>
      </c>
      <c r="W3989">
        <v>3</v>
      </c>
      <c r="X3989">
        <v>2001</v>
      </c>
      <c r="Z3989">
        <v>1</v>
      </c>
      <c r="AA3989" t="s">
        <v>26</v>
      </c>
      <c r="AB3989">
        <v>0</v>
      </c>
      <c r="AC3989" t="s">
        <v>115</v>
      </c>
      <c r="AD3989">
        <v>3</v>
      </c>
      <c r="AE3989" t="s">
        <v>115</v>
      </c>
      <c r="AF3989">
        <v>0</v>
      </c>
      <c r="AG3989">
        <v>0</v>
      </c>
      <c r="AH3989" t="s">
        <v>116</v>
      </c>
      <c r="AI3989" s="1">
        <v>91515</v>
      </c>
      <c r="AJ3989" s="2">
        <v>0.23</v>
      </c>
      <c r="AK3989" s="1">
        <v>396532</v>
      </c>
      <c r="AL3989" t="s">
        <v>117</v>
      </c>
      <c r="AM3989" t="s">
        <v>1302</v>
      </c>
      <c r="AN3989">
        <v>14747</v>
      </c>
      <c r="AO3989">
        <v>0.34</v>
      </c>
      <c r="AP3989">
        <v>1</v>
      </c>
      <c r="AR3989">
        <v>1</v>
      </c>
      <c r="AS3989" s="1">
        <v>28650</v>
      </c>
      <c r="AT3989" s="1">
        <v>5730</v>
      </c>
      <c r="AU3989" s="1">
        <v>22920</v>
      </c>
      <c r="AV3989">
        <v>80</v>
      </c>
      <c r="AX3989" s="1">
        <v>2327</v>
      </c>
      <c r="AY3989" t="s">
        <v>6854</v>
      </c>
      <c r="AZ3989" t="s">
        <v>120</v>
      </c>
      <c r="BA3989" t="s">
        <v>274</v>
      </c>
      <c r="BB3989" s="3">
        <v>42086</v>
      </c>
      <c r="BD3989" t="s">
        <v>1830</v>
      </c>
      <c r="BE3989" s="3">
        <v>42086</v>
      </c>
      <c r="BF3989" s="1">
        <v>307500</v>
      </c>
      <c r="BG3989" t="s">
        <v>25435</v>
      </c>
      <c r="BH3989" s="1">
        <v>153.83000000000001</v>
      </c>
      <c r="BI3989" s="1">
        <v>305017</v>
      </c>
      <c r="BJ3989" s="3">
        <v>42655</v>
      </c>
      <c r="BK3989" t="s">
        <v>123</v>
      </c>
      <c r="BL3989" t="str">
        <f>"2016.748560"</f>
        <v>2016.748560</v>
      </c>
      <c r="BM3989" t="s">
        <v>1185</v>
      </c>
      <c r="BO3989" t="s">
        <v>25436</v>
      </c>
      <c r="BS3989">
        <v>30</v>
      </c>
      <c r="BW3989" t="str">
        <f>""</f>
        <v/>
      </c>
      <c r="CH3989" t="str">
        <f>""</f>
        <v/>
      </c>
      <c r="CS3989" t="str">
        <f>""</f>
        <v/>
      </c>
    </row>
    <row r="3990" spans="1:97" x14ac:dyDescent="0.25">
      <c r="A3990" t="s">
        <v>25437</v>
      </c>
      <c r="B3990" t="s">
        <v>3862</v>
      </c>
      <c r="C3990" t="s">
        <v>986</v>
      </c>
      <c r="D3990" t="s">
        <v>3862</v>
      </c>
      <c r="E3990" t="s">
        <v>25438</v>
      </c>
      <c r="F3990" t="s">
        <v>108</v>
      </c>
      <c r="H3990" t="s">
        <v>25439</v>
      </c>
      <c r="I3990" t="s">
        <v>499</v>
      </c>
      <c r="J3990" t="s">
        <v>111</v>
      </c>
      <c r="K3990" t="str">
        <f>"85395"</f>
        <v>85395</v>
      </c>
      <c r="L3990" t="s">
        <v>4003</v>
      </c>
      <c r="M3990" t="s">
        <v>25439</v>
      </c>
      <c r="N3990" t="s">
        <v>499</v>
      </c>
      <c r="O3990" t="s">
        <v>111</v>
      </c>
      <c r="P3990" t="str">
        <f>"85395-2420"</f>
        <v>85395-2420</v>
      </c>
      <c r="Q3990" t="s">
        <v>113</v>
      </c>
      <c r="R3990" t="str">
        <f>"501-98-211"</f>
        <v>501-98-211</v>
      </c>
      <c r="S3990" t="s">
        <v>14681</v>
      </c>
      <c r="T3990" t="s">
        <v>14682</v>
      </c>
      <c r="U3990">
        <v>2539</v>
      </c>
      <c r="V3990">
        <v>0</v>
      </c>
      <c r="W3990">
        <v>4</v>
      </c>
      <c r="X3990">
        <v>2001</v>
      </c>
      <c r="Z3990">
        <v>2</v>
      </c>
      <c r="AB3990">
        <v>0</v>
      </c>
      <c r="AC3990" t="s">
        <v>115</v>
      </c>
      <c r="AD3990">
        <v>3</v>
      </c>
      <c r="AE3990" t="s">
        <v>115</v>
      </c>
      <c r="AF3990">
        <v>0</v>
      </c>
      <c r="AG3990">
        <v>0</v>
      </c>
      <c r="AH3990" t="s">
        <v>116</v>
      </c>
      <c r="AI3990" s="1">
        <v>81654</v>
      </c>
      <c r="AJ3990" s="2">
        <v>0.24</v>
      </c>
      <c r="AK3990" s="1">
        <v>336854</v>
      </c>
      <c r="AL3990" t="s">
        <v>117</v>
      </c>
      <c r="AM3990" t="s">
        <v>118</v>
      </c>
      <c r="AN3990">
        <v>7260</v>
      </c>
      <c r="AO3990">
        <v>0.17</v>
      </c>
      <c r="AP3990">
        <v>1</v>
      </c>
      <c r="AR3990">
        <v>1</v>
      </c>
      <c r="AS3990" s="1">
        <v>23170</v>
      </c>
      <c r="AT3990" s="1">
        <v>4630</v>
      </c>
      <c r="AU3990" s="1">
        <v>18540</v>
      </c>
      <c r="AV3990">
        <v>80.02</v>
      </c>
      <c r="AX3990" s="1">
        <v>2532.08</v>
      </c>
      <c r="AY3990" t="s">
        <v>6796</v>
      </c>
      <c r="AZ3990" t="s">
        <v>6796</v>
      </c>
      <c r="BA3990" t="s">
        <v>3154</v>
      </c>
      <c r="BE3990" s="3">
        <v>41715</v>
      </c>
      <c r="BF3990" s="1">
        <v>250500</v>
      </c>
      <c r="BG3990" t="s">
        <v>25440</v>
      </c>
      <c r="BH3990" s="1">
        <v>98.66</v>
      </c>
      <c r="BI3990" s="1">
        <v>255200</v>
      </c>
      <c r="BJ3990" s="3">
        <v>42115</v>
      </c>
      <c r="BK3990" t="s">
        <v>123</v>
      </c>
      <c r="BL3990" t="str">
        <f>"2015.272340"</f>
        <v>2015.272340</v>
      </c>
      <c r="BM3990" t="s">
        <v>124</v>
      </c>
      <c r="BO3990" t="s">
        <v>25441</v>
      </c>
      <c r="BS3990">
        <v>30</v>
      </c>
      <c r="BW3990" t="str">
        <f>""</f>
        <v/>
      </c>
      <c r="CH3990" t="str">
        <f>""</f>
        <v/>
      </c>
      <c r="CS3990" t="str">
        <f>""</f>
        <v/>
      </c>
    </row>
    <row r="3991" spans="1:97" x14ac:dyDescent="0.25">
      <c r="A3991" t="s">
        <v>7594</v>
      </c>
      <c r="B3991" t="s">
        <v>25442</v>
      </c>
      <c r="C3991" t="s">
        <v>1826</v>
      </c>
      <c r="D3991" t="s">
        <v>25442</v>
      </c>
      <c r="E3991" t="s">
        <v>25443</v>
      </c>
      <c r="F3991" t="s">
        <v>108</v>
      </c>
      <c r="H3991" t="s">
        <v>25444</v>
      </c>
      <c r="I3991" t="s">
        <v>390</v>
      </c>
      <c r="J3991" t="s">
        <v>111</v>
      </c>
      <c r="K3991" t="str">
        <f>"85048"</f>
        <v>85048</v>
      </c>
      <c r="L3991" t="s">
        <v>6631</v>
      </c>
      <c r="M3991" t="s">
        <v>25444</v>
      </c>
      <c r="N3991" t="s">
        <v>390</v>
      </c>
      <c r="O3991" t="s">
        <v>111</v>
      </c>
      <c r="P3991" t="str">
        <f>"85048"</f>
        <v>85048</v>
      </c>
      <c r="Q3991" t="s">
        <v>113</v>
      </c>
      <c r="R3991" t="str">
        <f>"301-69-400"</f>
        <v>301-69-400</v>
      </c>
      <c r="S3991" t="s">
        <v>10128</v>
      </c>
      <c r="T3991" t="s">
        <v>10129</v>
      </c>
      <c r="U3991">
        <v>1572</v>
      </c>
      <c r="V3991">
        <v>0</v>
      </c>
      <c r="W3991">
        <v>2</v>
      </c>
      <c r="X3991">
        <v>1989</v>
      </c>
      <c r="Z3991">
        <v>1</v>
      </c>
      <c r="AB3991">
        <v>0</v>
      </c>
      <c r="AC3991" t="s">
        <v>115</v>
      </c>
      <c r="AD3991">
        <v>2</v>
      </c>
      <c r="AE3991" t="s">
        <v>115</v>
      </c>
      <c r="AF3991">
        <v>0</v>
      </c>
      <c r="AG3991">
        <v>0</v>
      </c>
      <c r="AH3991" t="s">
        <v>116</v>
      </c>
      <c r="AI3991" s="1">
        <v>69607</v>
      </c>
      <c r="AJ3991" s="2">
        <v>0.24</v>
      </c>
      <c r="AK3991" s="1">
        <v>292607</v>
      </c>
      <c r="AL3991" t="s">
        <v>117</v>
      </c>
      <c r="AM3991" t="s">
        <v>191</v>
      </c>
      <c r="AN3991">
        <v>5885</v>
      </c>
      <c r="AO3991">
        <v>0.14000000000000001</v>
      </c>
      <c r="AP3991">
        <v>1</v>
      </c>
      <c r="AR3991">
        <v>1</v>
      </c>
      <c r="AS3991" s="1">
        <v>19280</v>
      </c>
      <c r="AT3991" s="1">
        <v>3850</v>
      </c>
      <c r="AU3991" s="1">
        <v>15430</v>
      </c>
      <c r="AV3991">
        <v>80.03</v>
      </c>
      <c r="AX3991" s="1">
        <v>1630.24</v>
      </c>
      <c r="AY3991" t="s">
        <v>6633</v>
      </c>
      <c r="AZ3991" t="s">
        <v>929</v>
      </c>
      <c r="BA3991" t="s">
        <v>930</v>
      </c>
      <c r="BB3991" s="3">
        <v>42580</v>
      </c>
      <c r="BD3991" t="s">
        <v>240</v>
      </c>
      <c r="BE3991" s="3">
        <v>42194</v>
      </c>
      <c r="BF3991" s="1">
        <v>230450</v>
      </c>
      <c r="BG3991" t="s">
        <v>25445</v>
      </c>
      <c r="BH3991" s="1">
        <v>146.6</v>
      </c>
      <c r="BI3991" s="1">
        <v>223000</v>
      </c>
      <c r="BJ3991" s="3">
        <v>42580</v>
      </c>
      <c r="BK3991" t="s">
        <v>123</v>
      </c>
      <c r="BL3991" t="str">
        <f>"2016.537213"</f>
        <v>2016.537213</v>
      </c>
      <c r="BM3991" t="s">
        <v>124</v>
      </c>
      <c r="BO3991" t="s">
        <v>25446</v>
      </c>
      <c r="BS3991">
        <v>30</v>
      </c>
      <c r="BW3991" t="str">
        <f>""</f>
        <v/>
      </c>
      <c r="CH3991" t="str">
        <f>""</f>
        <v/>
      </c>
      <c r="CS3991" t="str">
        <f>""</f>
        <v/>
      </c>
    </row>
    <row r="3992" spans="1:97" x14ac:dyDescent="0.25">
      <c r="A3992" t="s">
        <v>243</v>
      </c>
      <c r="B3992" t="s">
        <v>576</v>
      </c>
      <c r="C3992" t="s">
        <v>25447</v>
      </c>
      <c r="D3992" t="s">
        <v>576</v>
      </c>
      <c r="E3992" t="s">
        <v>25448</v>
      </c>
      <c r="F3992" t="s">
        <v>108</v>
      </c>
      <c r="H3992" t="s">
        <v>25449</v>
      </c>
      <c r="I3992" t="s">
        <v>3150</v>
      </c>
      <c r="J3992" t="s">
        <v>111</v>
      </c>
      <c r="K3992" t="str">
        <f>"85340"</f>
        <v>85340</v>
      </c>
      <c r="L3992" t="s">
        <v>1789</v>
      </c>
      <c r="M3992" t="s">
        <v>25449</v>
      </c>
      <c r="N3992" t="s">
        <v>3150</v>
      </c>
      <c r="O3992" t="s">
        <v>111</v>
      </c>
      <c r="P3992" t="str">
        <f>"85340-7316"</f>
        <v>85340-7316</v>
      </c>
      <c r="Q3992" t="s">
        <v>113</v>
      </c>
      <c r="R3992" t="str">
        <f>"508-06-394"</f>
        <v>508-06-394</v>
      </c>
      <c r="S3992" t="s">
        <v>6579</v>
      </c>
      <c r="U3992">
        <v>3961</v>
      </c>
      <c r="V3992">
        <v>0</v>
      </c>
      <c r="W3992">
        <v>4</v>
      </c>
      <c r="X3992">
        <v>2002</v>
      </c>
      <c r="Z3992">
        <v>2</v>
      </c>
      <c r="AA3992" t="s">
        <v>26</v>
      </c>
      <c r="AB3992">
        <v>0</v>
      </c>
      <c r="AC3992" t="s">
        <v>115</v>
      </c>
      <c r="AD3992">
        <v>3</v>
      </c>
      <c r="AE3992" t="s">
        <v>115</v>
      </c>
      <c r="AF3992">
        <v>0</v>
      </c>
      <c r="AG3992">
        <v>0</v>
      </c>
      <c r="AH3992" t="s">
        <v>116</v>
      </c>
      <c r="AI3992" s="1">
        <v>-66272</v>
      </c>
      <c r="AJ3992" s="2">
        <v>-0.16</v>
      </c>
      <c r="AK3992" s="1">
        <v>404062</v>
      </c>
      <c r="AL3992" t="s">
        <v>117</v>
      </c>
      <c r="AM3992" t="s">
        <v>1302</v>
      </c>
      <c r="AN3992">
        <v>8395</v>
      </c>
      <c r="AO3992">
        <v>0.19</v>
      </c>
      <c r="AP3992">
        <v>1</v>
      </c>
      <c r="AR3992">
        <v>1</v>
      </c>
      <c r="AS3992" s="1">
        <v>27930</v>
      </c>
      <c r="AT3992" s="1">
        <v>5580</v>
      </c>
      <c r="AU3992" s="1">
        <v>22350</v>
      </c>
      <c r="AV3992">
        <v>80.02</v>
      </c>
      <c r="AX3992" s="1">
        <v>2743.7</v>
      </c>
      <c r="AY3992" t="s">
        <v>6580</v>
      </c>
      <c r="AZ3992" t="s">
        <v>3153</v>
      </c>
      <c r="BA3992" t="s">
        <v>3154</v>
      </c>
      <c r="BE3992" s="3">
        <v>42020</v>
      </c>
      <c r="BF3992" s="1">
        <v>325000</v>
      </c>
      <c r="BG3992" t="s">
        <v>17736</v>
      </c>
      <c r="BH3992" s="1">
        <v>82.05</v>
      </c>
      <c r="BI3992" s="1">
        <v>320334</v>
      </c>
      <c r="BJ3992" s="3">
        <v>42656</v>
      </c>
      <c r="BK3992" t="s">
        <v>123</v>
      </c>
      <c r="BL3992" t="str">
        <f>"2016.751634"</f>
        <v>2016.751634</v>
      </c>
      <c r="BM3992" t="s">
        <v>724</v>
      </c>
      <c r="BN3992" t="s">
        <v>5423</v>
      </c>
      <c r="BO3992" t="s">
        <v>25450</v>
      </c>
      <c r="BS3992">
        <v>15</v>
      </c>
      <c r="BT3992" s="1">
        <v>150000</v>
      </c>
      <c r="BU3992" s="3">
        <v>43244</v>
      </c>
      <c r="BV3992" t="s">
        <v>134</v>
      </c>
      <c r="BW3992" t="str">
        <f>"2018.397306"</f>
        <v>2018.397306</v>
      </c>
      <c r="BX3992" t="s">
        <v>25451</v>
      </c>
      <c r="BY3992" t="s">
        <v>25452</v>
      </c>
      <c r="BZ3992" t="s">
        <v>25453</v>
      </c>
      <c r="CC3992" t="s">
        <v>139</v>
      </c>
      <c r="CH3992" t="str">
        <f>""</f>
        <v/>
      </c>
      <c r="CS3992" t="str">
        <f>""</f>
        <v/>
      </c>
    </row>
    <row r="3993" spans="1:97" x14ac:dyDescent="0.25">
      <c r="A3993" t="s">
        <v>1366</v>
      </c>
      <c r="B3993" t="s">
        <v>25454</v>
      </c>
      <c r="E3993" t="s">
        <v>25455</v>
      </c>
      <c r="F3993" t="s">
        <v>108</v>
      </c>
      <c r="H3993" t="s">
        <v>25456</v>
      </c>
      <c r="I3993" t="s">
        <v>390</v>
      </c>
      <c r="J3993" t="s">
        <v>111</v>
      </c>
      <c r="K3993" t="str">
        <f>"85027"</f>
        <v>85027</v>
      </c>
      <c r="L3993" t="s">
        <v>6923</v>
      </c>
      <c r="M3993" t="s">
        <v>25456</v>
      </c>
      <c r="N3993" t="s">
        <v>390</v>
      </c>
      <c r="O3993" t="s">
        <v>111</v>
      </c>
      <c r="P3993" t="str">
        <f>"85027-2374"</f>
        <v>85027-2374</v>
      </c>
      <c r="Q3993" t="s">
        <v>113</v>
      </c>
      <c r="R3993" t="str">
        <f>"206-41-388"</f>
        <v>206-41-388</v>
      </c>
      <c r="S3993" t="s">
        <v>25457</v>
      </c>
      <c r="T3993" t="s">
        <v>6925</v>
      </c>
      <c r="U3993">
        <v>1101</v>
      </c>
      <c r="V3993">
        <v>0</v>
      </c>
      <c r="W3993">
        <v>2</v>
      </c>
      <c r="X3993">
        <v>1998</v>
      </c>
      <c r="Z3993">
        <v>1</v>
      </c>
      <c r="AA3993" t="s">
        <v>26</v>
      </c>
      <c r="AB3993">
        <v>0</v>
      </c>
      <c r="AC3993" t="s">
        <v>115</v>
      </c>
      <c r="AD3993">
        <v>2</v>
      </c>
      <c r="AE3993" t="s">
        <v>115</v>
      </c>
      <c r="AF3993">
        <v>0</v>
      </c>
      <c r="AG3993">
        <v>0</v>
      </c>
      <c r="AH3993" t="s">
        <v>116</v>
      </c>
      <c r="AI3993" s="1">
        <v>44444</v>
      </c>
      <c r="AJ3993" s="2">
        <v>0.18</v>
      </c>
      <c r="AK3993" s="1">
        <v>244444</v>
      </c>
      <c r="AL3993" t="s">
        <v>117</v>
      </c>
      <c r="AM3993" t="s">
        <v>1315</v>
      </c>
      <c r="AN3993">
        <v>4362</v>
      </c>
      <c r="AO3993">
        <v>0.1</v>
      </c>
      <c r="AP3993">
        <v>1</v>
      </c>
      <c r="AR3993">
        <v>1</v>
      </c>
      <c r="AS3993" s="1">
        <v>16270</v>
      </c>
      <c r="AT3993" s="1">
        <v>3250</v>
      </c>
      <c r="AU3993" s="1">
        <v>13020</v>
      </c>
      <c r="AV3993">
        <v>80.02</v>
      </c>
      <c r="AX3993" s="1">
        <v>1121.28</v>
      </c>
      <c r="AY3993" t="s">
        <v>6926</v>
      </c>
      <c r="AZ3993" t="s">
        <v>2357</v>
      </c>
      <c r="BA3993" t="s">
        <v>1462</v>
      </c>
      <c r="BE3993" s="3">
        <v>42492</v>
      </c>
      <c r="BF3993" s="1">
        <v>200000</v>
      </c>
      <c r="BG3993" t="s">
        <v>25458</v>
      </c>
      <c r="BH3993" s="1">
        <v>181.65</v>
      </c>
      <c r="BI3993" s="1">
        <v>200000</v>
      </c>
      <c r="BJ3993" s="3">
        <v>42492</v>
      </c>
      <c r="BK3993" t="s">
        <v>123</v>
      </c>
      <c r="BL3993" t="str">
        <f>"2016.298201"</f>
        <v>2016.298201</v>
      </c>
      <c r="BM3993" t="s">
        <v>1287</v>
      </c>
      <c r="BO3993" t="s">
        <v>25459</v>
      </c>
      <c r="BS3993">
        <v>30</v>
      </c>
      <c r="BW3993" t="str">
        <f>""</f>
        <v/>
      </c>
      <c r="CH3993" t="str">
        <f>""</f>
        <v/>
      </c>
      <c r="CS3993" t="str">
        <f>""</f>
        <v/>
      </c>
    </row>
    <row r="3994" spans="1:97" x14ac:dyDescent="0.25">
      <c r="A3994" t="s">
        <v>10986</v>
      </c>
      <c r="B3994" t="s">
        <v>25460</v>
      </c>
      <c r="C3994" t="s">
        <v>945</v>
      </c>
      <c r="D3994" t="s">
        <v>25460</v>
      </c>
      <c r="E3994" t="s">
        <v>25461</v>
      </c>
      <c r="F3994" t="s">
        <v>108</v>
      </c>
      <c r="H3994" t="s">
        <v>25462</v>
      </c>
      <c r="I3994" t="s">
        <v>390</v>
      </c>
      <c r="J3994" t="s">
        <v>111</v>
      </c>
      <c r="K3994" t="str">
        <f>"85053"</f>
        <v>85053</v>
      </c>
      <c r="L3994" t="s">
        <v>6631</v>
      </c>
      <c r="M3994" t="s">
        <v>25462</v>
      </c>
      <c r="N3994" t="s">
        <v>390</v>
      </c>
      <c r="O3994" t="s">
        <v>111</v>
      </c>
      <c r="P3994" t="str">
        <f>"85053-5348"</f>
        <v>85053-5348</v>
      </c>
      <c r="Q3994" t="s">
        <v>113</v>
      </c>
      <c r="R3994" t="str">
        <f>"207-12-224"</f>
        <v>207-12-224</v>
      </c>
      <c r="S3994" t="s">
        <v>16499</v>
      </c>
      <c r="T3994" t="s">
        <v>16500</v>
      </c>
      <c r="U3994">
        <v>1893</v>
      </c>
      <c r="V3994">
        <v>0</v>
      </c>
      <c r="W3994">
        <v>2</v>
      </c>
      <c r="X3994">
        <v>1973</v>
      </c>
      <c r="Z3994">
        <v>1</v>
      </c>
      <c r="AA3994" t="s">
        <v>26</v>
      </c>
      <c r="AB3994">
        <v>0</v>
      </c>
      <c r="AC3994" t="s">
        <v>115</v>
      </c>
      <c r="AD3994">
        <v>2</v>
      </c>
      <c r="AE3994" t="s">
        <v>115</v>
      </c>
      <c r="AF3994">
        <v>0</v>
      </c>
      <c r="AG3994">
        <v>0</v>
      </c>
      <c r="AH3994" t="s">
        <v>116</v>
      </c>
      <c r="AI3994" s="1">
        <v>13422</v>
      </c>
      <c r="AJ3994" s="2">
        <v>0.05</v>
      </c>
      <c r="AK3994" s="1">
        <v>271672</v>
      </c>
      <c r="AL3994" t="s">
        <v>117</v>
      </c>
      <c r="AM3994" t="s">
        <v>171</v>
      </c>
      <c r="AN3994">
        <v>13157</v>
      </c>
      <c r="AO3994">
        <v>0.3</v>
      </c>
      <c r="AP3994">
        <v>1</v>
      </c>
      <c r="AR3994">
        <v>1</v>
      </c>
      <c r="AS3994" s="1">
        <v>19410</v>
      </c>
      <c r="AT3994" s="1">
        <v>3880</v>
      </c>
      <c r="AU3994" s="1">
        <v>15530</v>
      </c>
      <c r="AV3994">
        <v>80.010000000000005</v>
      </c>
      <c r="AX3994" s="1">
        <v>1415.92</v>
      </c>
      <c r="AY3994" t="s">
        <v>8546</v>
      </c>
      <c r="AZ3994" t="s">
        <v>2997</v>
      </c>
      <c r="BA3994" t="s">
        <v>2998</v>
      </c>
      <c r="BE3994" s="3">
        <v>42395</v>
      </c>
      <c r="BF3994" s="1">
        <v>195000</v>
      </c>
      <c r="BG3994" t="s">
        <v>25463</v>
      </c>
      <c r="BH3994" s="1">
        <v>103.01</v>
      </c>
      <c r="BI3994" s="1">
        <v>258250</v>
      </c>
      <c r="BJ3994" s="3">
        <v>43328</v>
      </c>
      <c r="BK3994" t="s">
        <v>123</v>
      </c>
      <c r="BL3994" t="str">
        <f>"2018.621376"</f>
        <v>2018.621376</v>
      </c>
      <c r="BM3994" t="s">
        <v>2378</v>
      </c>
      <c r="BN3994" t="s">
        <v>15424</v>
      </c>
      <c r="BO3994" t="s">
        <v>25464</v>
      </c>
      <c r="BP3994" t="s">
        <v>25465</v>
      </c>
      <c r="BR3994" t="s">
        <v>139</v>
      </c>
      <c r="BW3994" t="str">
        <f>""</f>
        <v/>
      </c>
      <c r="CH3994" t="str">
        <f>""</f>
        <v/>
      </c>
      <c r="CS3994" t="str">
        <f>""</f>
        <v/>
      </c>
    </row>
    <row r="3995" spans="1:97" x14ac:dyDescent="0.25">
      <c r="A3995" t="s">
        <v>325</v>
      </c>
      <c r="B3995" t="s">
        <v>3404</v>
      </c>
      <c r="C3995" t="s">
        <v>25466</v>
      </c>
      <c r="D3995" t="s">
        <v>3404</v>
      </c>
      <c r="E3995" t="s">
        <v>25467</v>
      </c>
      <c r="F3995" t="s">
        <v>108</v>
      </c>
      <c r="H3995" t="s">
        <v>25468</v>
      </c>
      <c r="I3995" t="s">
        <v>1936</v>
      </c>
      <c r="J3995" t="s">
        <v>111</v>
      </c>
      <c r="K3995" t="str">
        <f>"85250"</f>
        <v>85250</v>
      </c>
      <c r="L3995" t="s">
        <v>926</v>
      </c>
      <c r="M3995" t="s">
        <v>25468</v>
      </c>
      <c r="N3995" t="s">
        <v>1936</v>
      </c>
      <c r="O3995" t="s">
        <v>111</v>
      </c>
      <c r="P3995" t="str">
        <f>"85250-7329"</f>
        <v>85250-7329</v>
      </c>
      <c r="Q3995" t="s">
        <v>113</v>
      </c>
      <c r="R3995" t="str">
        <f>"173-73-030"</f>
        <v>173-73-030</v>
      </c>
      <c r="S3995" t="s">
        <v>25469</v>
      </c>
      <c r="T3995" t="s">
        <v>25469</v>
      </c>
      <c r="U3995">
        <v>1906</v>
      </c>
      <c r="V3995">
        <v>0</v>
      </c>
      <c r="W3995">
        <v>2</v>
      </c>
      <c r="X3995">
        <v>1966</v>
      </c>
      <c r="Z3995">
        <v>1</v>
      </c>
      <c r="AA3995" t="s">
        <v>26</v>
      </c>
      <c r="AB3995">
        <v>0</v>
      </c>
      <c r="AC3995" t="s">
        <v>115</v>
      </c>
      <c r="AD3995">
        <v>2</v>
      </c>
      <c r="AE3995" t="s">
        <v>115</v>
      </c>
      <c r="AF3995">
        <v>0</v>
      </c>
      <c r="AG3995">
        <v>0</v>
      </c>
      <c r="AH3995" t="s">
        <v>116</v>
      </c>
      <c r="AI3995" s="1">
        <v>91148</v>
      </c>
      <c r="AJ3995" s="2">
        <v>0.21</v>
      </c>
      <c r="AK3995" s="1">
        <v>443148</v>
      </c>
      <c r="AL3995" t="s">
        <v>117</v>
      </c>
      <c r="AM3995" t="s">
        <v>393</v>
      </c>
      <c r="AN3995">
        <v>7200</v>
      </c>
      <c r="AO3995">
        <v>0.16</v>
      </c>
      <c r="AP3995">
        <v>1</v>
      </c>
      <c r="AR3995">
        <v>1</v>
      </c>
      <c r="AS3995" s="1">
        <v>31280</v>
      </c>
      <c r="AT3995" s="1">
        <v>6250</v>
      </c>
      <c r="AU3995" s="1">
        <v>25030</v>
      </c>
      <c r="AV3995">
        <v>80.02</v>
      </c>
      <c r="AX3995" s="1">
        <v>1706.52</v>
      </c>
      <c r="AY3995" t="s">
        <v>11099</v>
      </c>
      <c r="AZ3995" t="s">
        <v>6975</v>
      </c>
      <c r="BA3995" t="s">
        <v>6976</v>
      </c>
      <c r="BB3995" s="3">
        <v>42629</v>
      </c>
      <c r="BC3995" s="1">
        <v>328250</v>
      </c>
      <c r="BD3995" t="s">
        <v>842</v>
      </c>
      <c r="BE3995" s="3">
        <v>41850</v>
      </c>
      <c r="BF3995" s="1">
        <v>328250</v>
      </c>
      <c r="BG3995" t="s">
        <v>25470</v>
      </c>
      <c r="BH3995" s="1">
        <v>172.22</v>
      </c>
      <c r="BI3995" s="1">
        <v>352000</v>
      </c>
      <c r="BJ3995" s="3">
        <v>42717</v>
      </c>
      <c r="BK3995" t="s">
        <v>123</v>
      </c>
      <c r="BL3995" t="str">
        <f>"2016.916282"</f>
        <v>2016.916282</v>
      </c>
      <c r="BM3995" t="s">
        <v>5567</v>
      </c>
      <c r="BN3995" t="s">
        <v>7320</v>
      </c>
      <c r="BO3995" t="s">
        <v>25471</v>
      </c>
      <c r="BS3995">
        <v>30</v>
      </c>
      <c r="BT3995" s="1">
        <v>352000</v>
      </c>
      <c r="BU3995" s="3">
        <v>42717</v>
      </c>
      <c r="BV3995" t="s">
        <v>123</v>
      </c>
      <c r="BW3995" t="str">
        <f>"2016.916282"</f>
        <v>2016.916282</v>
      </c>
      <c r="BX3995" t="s">
        <v>5567</v>
      </c>
      <c r="BZ3995" t="s">
        <v>25471</v>
      </c>
      <c r="CD3995">
        <v>30</v>
      </c>
      <c r="CH3995" t="str">
        <f>""</f>
        <v/>
      </c>
      <c r="CS3995" t="str">
        <f>""</f>
        <v/>
      </c>
    </row>
    <row r="3996" spans="1:97" x14ac:dyDescent="0.25">
      <c r="A3996" t="s">
        <v>265</v>
      </c>
      <c r="B3996" t="s">
        <v>371</v>
      </c>
      <c r="C3996" t="s">
        <v>25472</v>
      </c>
      <c r="D3996" t="s">
        <v>371</v>
      </c>
      <c r="E3996" t="s">
        <v>25473</v>
      </c>
      <c r="F3996" t="s">
        <v>108</v>
      </c>
      <c r="H3996" t="s">
        <v>25474</v>
      </c>
      <c r="I3996" t="s">
        <v>225</v>
      </c>
      <c r="J3996" t="s">
        <v>111</v>
      </c>
      <c r="K3996" t="str">
        <f>"85203"</f>
        <v>85203</v>
      </c>
      <c r="L3996" t="s">
        <v>6325</v>
      </c>
      <c r="M3996" t="s">
        <v>25474</v>
      </c>
      <c r="N3996" t="s">
        <v>225</v>
      </c>
      <c r="O3996" t="s">
        <v>111</v>
      </c>
      <c r="P3996" t="str">
        <f>"85203-2685"</f>
        <v>85203-2685</v>
      </c>
      <c r="Q3996" t="s">
        <v>113</v>
      </c>
      <c r="R3996" t="str">
        <f>"136-25-277"</f>
        <v>136-25-277</v>
      </c>
      <c r="S3996" t="s">
        <v>25475</v>
      </c>
      <c r="T3996" t="s">
        <v>25476</v>
      </c>
      <c r="U3996">
        <v>1633</v>
      </c>
      <c r="V3996">
        <v>0</v>
      </c>
      <c r="W3996">
        <v>3</v>
      </c>
      <c r="X3996">
        <v>1986</v>
      </c>
      <c r="Z3996">
        <v>1</v>
      </c>
      <c r="AA3996" t="s">
        <v>26</v>
      </c>
      <c r="AB3996">
        <v>0</v>
      </c>
      <c r="AC3996" t="s">
        <v>115</v>
      </c>
      <c r="AD3996">
        <v>2</v>
      </c>
      <c r="AE3996" t="s">
        <v>115</v>
      </c>
      <c r="AF3996">
        <v>0</v>
      </c>
      <c r="AG3996">
        <v>0</v>
      </c>
      <c r="AH3996" t="s">
        <v>116</v>
      </c>
      <c r="AI3996" s="1">
        <v>49423</v>
      </c>
      <c r="AJ3996" s="2">
        <v>0.18</v>
      </c>
      <c r="AK3996" s="1">
        <v>281848</v>
      </c>
      <c r="AL3996" t="s">
        <v>117</v>
      </c>
      <c r="AM3996" t="s">
        <v>393</v>
      </c>
      <c r="AN3996">
        <v>7836</v>
      </c>
      <c r="AO3996">
        <v>0.18</v>
      </c>
      <c r="AP3996">
        <v>1</v>
      </c>
      <c r="AR3996">
        <v>1</v>
      </c>
      <c r="AS3996" s="1">
        <v>19480</v>
      </c>
      <c r="AT3996" s="1">
        <v>3890</v>
      </c>
      <c r="AU3996" s="1">
        <v>15590</v>
      </c>
      <c r="AV3996">
        <v>80.03</v>
      </c>
      <c r="AX3996" s="1">
        <v>1408.64</v>
      </c>
      <c r="AY3996" t="s">
        <v>6401</v>
      </c>
      <c r="AZ3996" t="s">
        <v>4163</v>
      </c>
      <c r="BA3996" t="s">
        <v>5191</v>
      </c>
      <c r="BE3996" s="3">
        <v>42473</v>
      </c>
      <c r="BF3996" s="1">
        <v>225000</v>
      </c>
      <c r="BG3996" t="s">
        <v>25477</v>
      </c>
      <c r="BH3996" s="1">
        <v>137.78</v>
      </c>
      <c r="BI3996" s="1">
        <v>232425</v>
      </c>
      <c r="BJ3996" s="3">
        <v>42473</v>
      </c>
      <c r="BK3996" t="s">
        <v>123</v>
      </c>
      <c r="BL3996" t="str">
        <f>"2016.245246"</f>
        <v>2016.245246</v>
      </c>
      <c r="BM3996" t="s">
        <v>724</v>
      </c>
      <c r="BO3996" t="s">
        <v>25478</v>
      </c>
      <c r="BS3996">
        <v>30</v>
      </c>
      <c r="BW3996" t="str">
        <f>""</f>
        <v/>
      </c>
      <c r="CH3996" t="str">
        <f>""</f>
        <v/>
      </c>
      <c r="CS3996" t="str">
        <f>""</f>
        <v/>
      </c>
    </row>
    <row r="3997" spans="1:97" x14ac:dyDescent="0.25">
      <c r="A3997" t="s">
        <v>370</v>
      </c>
      <c r="B3997" t="s">
        <v>9174</v>
      </c>
      <c r="C3997" t="s">
        <v>13161</v>
      </c>
      <c r="D3997" t="s">
        <v>25479</v>
      </c>
      <c r="E3997" t="s">
        <v>25480</v>
      </c>
      <c r="F3997" t="s">
        <v>108</v>
      </c>
      <c r="H3997" t="s">
        <v>25481</v>
      </c>
      <c r="I3997" t="s">
        <v>390</v>
      </c>
      <c r="J3997" t="s">
        <v>111</v>
      </c>
      <c r="K3997" t="str">
        <f>"85024"</f>
        <v>85024</v>
      </c>
      <c r="L3997" t="s">
        <v>9597</v>
      </c>
      <c r="M3997" t="s">
        <v>25481</v>
      </c>
      <c r="N3997" t="s">
        <v>390</v>
      </c>
      <c r="O3997" t="s">
        <v>111</v>
      </c>
      <c r="P3997" t="str">
        <f>"85024-2218"</f>
        <v>85024-2218</v>
      </c>
      <c r="Q3997" t="s">
        <v>113</v>
      </c>
      <c r="R3997" t="str">
        <f>"209-12-341"</f>
        <v>209-12-341</v>
      </c>
      <c r="S3997" t="s">
        <v>25482</v>
      </c>
      <c r="T3997" t="s">
        <v>25483</v>
      </c>
      <c r="U3997">
        <v>1597</v>
      </c>
      <c r="V3997">
        <v>0</v>
      </c>
      <c r="W3997">
        <v>2</v>
      </c>
      <c r="X3997">
        <v>1981</v>
      </c>
      <c r="Z3997">
        <v>1</v>
      </c>
      <c r="AA3997" t="s">
        <v>26</v>
      </c>
      <c r="AB3997">
        <v>0</v>
      </c>
      <c r="AC3997" t="s">
        <v>115</v>
      </c>
      <c r="AD3997">
        <v>2</v>
      </c>
      <c r="AE3997" t="s">
        <v>115</v>
      </c>
      <c r="AF3997">
        <v>0</v>
      </c>
      <c r="AG3997">
        <v>0</v>
      </c>
      <c r="AH3997" t="s">
        <v>116</v>
      </c>
      <c r="AI3997" s="1">
        <v>63421</v>
      </c>
      <c r="AJ3997" s="2">
        <v>0.22</v>
      </c>
      <c r="AK3997" s="1">
        <v>294177</v>
      </c>
      <c r="AL3997" t="s">
        <v>117</v>
      </c>
      <c r="AM3997" t="s">
        <v>171</v>
      </c>
      <c r="AN3997">
        <v>8174</v>
      </c>
      <c r="AO3997">
        <v>0.19</v>
      </c>
      <c r="AP3997">
        <v>1</v>
      </c>
      <c r="AR3997">
        <v>1</v>
      </c>
      <c r="AS3997" s="1">
        <v>20500</v>
      </c>
      <c r="AT3997" s="1">
        <v>4100</v>
      </c>
      <c r="AU3997" s="1">
        <v>16400</v>
      </c>
      <c r="AV3997">
        <v>80</v>
      </c>
      <c r="AX3997" s="1">
        <v>1462.32</v>
      </c>
      <c r="AY3997" t="s">
        <v>8613</v>
      </c>
      <c r="AZ3997" t="s">
        <v>761</v>
      </c>
      <c r="BA3997" t="s">
        <v>2551</v>
      </c>
      <c r="BE3997" s="3">
        <v>41773</v>
      </c>
      <c r="BF3997" s="1">
        <v>225900</v>
      </c>
      <c r="BG3997" t="s">
        <v>25484</v>
      </c>
      <c r="BH3997" s="1">
        <v>141.44999999999999</v>
      </c>
      <c r="BI3997" s="1">
        <v>230756</v>
      </c>
      <c r="BJ3997" s="3">
        <v>41773</v>
      </c>
      <c r="BK3997" t="s">
        <v>123</v>
      </c>
      <c r="BL3997" t="str">
        <f>"2014.314206"</f>
        <v>2014.314206</v>
      </c>
      <c r="BM3997" t="s">
        <v>544</v>
      </c>
      <c r="BO3997" t="s">
        <v>25485</v>
      </c>
      <c r="BP3997" t="s">
        <v>25486</v>
      </c>
      <c r="BS3997">
        <v>30</v>
      </c>
      <c r="BW3997" t="str">
        <f>""</f>
        <v/>
      </c>
      <c r="CH3997" t="str">
        <f>""</f>
        <v/>
      </c>
      <c r="CS3997" t="str">
        <f>""</f>
        <v/>
      </c>
    </row>
    <row r="3998" spans="1:97" x14ac:dyDescent="0.25">
      <c r="A3998" t="s">
        <v>25487</v>
      </c>
      <c r="B3998" t="s">
        <v>2294</v>
      </c>
      <c r="C3998" t="s">
        <v>2485</v>
      </c>
      <c r="D3998" t="s">
        <v>2294</v>
      </c>
      <c r="E3998" t="s">
        <v>25488</v>
      </c>
      <c r="F3998" t="s">
        <v>108</v>
      </c>
      <c r="H3998" t="s">
        <v>25489</v>
      </c>
      <c r="I3998" t="s">
        <v>632</v>
      </c>
      <c r="J3998" t="s">
        <v>111</v>
      </c>
      <c r="K3998" t="str">
        <f>"85379"</f>
        <v>85379</v>
      </c>
      <c r="L3998" t="s">
        <v>454</v>
      </c>
      <c r="M3998" t="s">
        <v>25489</v>
      </c>
      <c r="N3998" t="s">
        <v>632</v>
      </c>
      <c r="O3998" t="s">
        <v>111</v>
      </c>
      <c r="P3998" t="str">
        <f>"85379-1055"</f>
        <v>85379-1055</v>
      </c>
      <c r="Q3998" t="s">
        <v>113</v>
      </c>
      <c r="R3998" t="str">
        <f>"501-46-700"</f>
        <v>501-46-700</v>
      </c>
      <c r="S3998" t="s">
        <v>5319</v>
      </c>
      <c r="U3998">
        <v>3642</v>
      </c>
      <c r="V3998">
        <v>0</v>
      </c>
      <c r="W3998">
        <v>5</v>
      </c>
      <c r="X3998">
        <v>2015</v>
      </c>
      <c r="Z3998">
        <v>2</v>
      </c>
      <c r="AB3998">
        <v>0</v>
      </c>
      <c r="AC3998" t="s">
        <v>115</v>
      </c>
      <c r="AD3998">
        <v>3</v>
      </c>
      <c r="AE3998" t="s">
        <v>115</v>
      </c>
      <c r="AF3998">
        <v>0</v>
      </c>
      <c r="AG3998">
        <v>0</v>
      </c>
      <c r="AH3998" t="s">
        <v>116</v>
      </c>
      <c r="AI3998" s="1">
        <v>68223</v>
      </c>
      <c r="AJ3998" s="2">
        <v>0.18</v>
      </c>
      <c r="AK3998" s="1">
        <v>375271</v>
      </c>
      <c r="AL3998" t="s">
        <v>117</v>
      </c>
      <c r="AM3998" t="s">
        <v>118</v>
      </c>
      <c r="AN3998">
        <v>7244</v>
      </c>
      <c r="AO3998">
        <v>0.17</v>
      </c>
      <c r="AR3998">
        <v>1</v>
      </c>
      <c r="AS3998" s="1">
        <v>27480</v>
      </c>
      <c r="AT3998" s="1">
        <v>5490</v>
      </c>
      <c r="AU3998" s="1">
        <v>21990</v>
      </c>
      <c r="AV3998">
        <v>80.02</v>
      </c>
      <c r="AX3998" s="1">
        <v>2243.9</v>
      </c>
      <c r="AY3998" t="s">
        <v>5060</v>
      </c>
      <c r="AZ3998" t="s">
        <v>5060</v>
      </c>
      <c r="BA3998" t="s">
        <v>5061</v>
      </c>
      <c r="BE3998" s="3">
        <v>42186</v>
      </c>
      <c r="BF3998" s="1">
        <v>307048</v>
      </c>
      <c r="BG3998" t="s">
        <v>459</v>
      </c>
      <c r="BH3998" s="1">
        <v>84.31</v>
      </c>
      <c r="BI3998" s="1">
        <v>307048</v>
      </c>
      <c r="BJ3998" s="3">
        <v>42186</v>
      </c>
      <c r="BK3998" t="s">
        <v>123</v>
      </c>
      <c r="BL3998" t="str">
        <f>"2015.476778"</f>
        <v>2015.476778</v>
      </c>
      <c r="BM3998" t="s">
        <v>1866</v>
      </c>
      <c r="BO3998" t="s">
        <v>25490</v>
      </c>
      <c r="BS3998">
        <v>30</v>
      </c>
      <c r="BW3998" t="str">
        <f>""</f>
        <v/>
      </c>
      <c r="CH3998" t="str">
        <f>""</f>
        <v/>
      </c>
      <c r="CS3998" t="str">
        <f>""</f>
        <v/>
      </c>
    </row>
    <row r="3999" spans="1:97" x14ac:dyDescent="0.25">
      <c r="A3999" t="s">
        <v>25491</v>
      </c>
      <c r="B3999" t="s">
        <v>25492</v>
      </c>
      <c r="E3999" t="s">
        <v>25493</v>
      </c>
      <c r="F3999" t="s">
        <v>108</v>
      </c>
      <c r="H3999" t="s">
        <v>25494</v>
      </c>
      <c r="I3999" t="s">
        <v>390</v>
      </c>
      <c r="J3999" t="s">
        <v>111</v>
      </c>
      <c r="K3999" t="str">
        <f>"85085"</f>
        <v>85085</v>
      </c>
      <c r="L3999" t="s">
        <v>5893</v>
      </c>
      <c r="M3999" t="s">
        <v>25494</v>
      </c>
      <c r="N3999" t="s">
        <v>390</v>
      </c>
      <c r="O3999" t="s">
        <v>111</v>
      </c>
      <c r="P3999" t="str">
        <f>"85085-7031"</f>
        <v>85085-7031</v>
      </c>
      <c r="Q3999" t="s">
        <v>113</v>
      </c>
      <c r="R3999" t="str">
        <f>"204-12-106"</f>
        <v>204-12-106</v>
      </c>
      <c r="S3999" t="s">
        <v>25495</v>
      </c>
      <c r="U3999">
        <v>1882</v>
      </c>
      <c r="V3999">
        <v>0</v>
      </c>
      <c r="W3999">
        <v>3</v>
      </c>
      <c r="X3999">
        <v>2005</v>
      </c>
      <c r="Z3999">
        <v>2</v>
      </c>
      <c r="AB3999">
        <v>0</v>
      </c>
      <c r="AC3999" t="s">
        <v>115</v>
      </c>
      <c r="AD3999">
        <v>2</v>
      </c>
      <c r="AE3999" t="s">
        <v>115</v>
      </c>
      <c r="AF3999">
        <v>0</v>
      </c>
      <c r="AG3999">
        <v>0</v>
      </c>
      <c r="AH3999" t="s">
        <v>116</v>
      </c>
      <c r="AI3999" s="1">
        <v>49930</v>
      </c>
      <c r="AJ3999" s="2">
        <v>0.18</v>
      </c>
      <c r="AK3999" s="1">
        <v>273058</v>
      </c>
      <c r="AL3999" t="s">
        <v>117</v>
      </c>
      <c r="AM3999" t="s">
        <v>1315</v>
      </c>
      <c r="AN3999">
        <v>2889</v>
      </c>
      <c r="AO3999">
        <v>0.66</v>
      </c>
      <c r="AR3999">
        <v>1</v>
      </c>
      <c r="AS3999" s="1">
        <v>19070</v>
      </c>
      <c r="AT3999" s="1">
        <v>3810</v>
      </c>
      <c r="AU3999" s="1">
        <v>15260</v>
      </c>
      <c r="AV3999">
        <v>80.02</v>
      </c>
      <c r="AX3999" s="1">
        <v>2069.1999999999998</v>
      </c>
      <c r="AY3999" t="s">
        <v>2651</v>
      </c>
      <c r="AZ3999" t="s">
        <v>2651</v>
      </c>
      <c r="BA3999" t="s">
        <v>1462</v>
      </c>
      <c r="BE3999" s="3">
        <v>42352</v>
      </c>
      <c r="BF3999" s="1">
        <v>216000</v>
      </c>
      <c r="BG3999" t="s">
        <v>25496</v>
      </c>
      <c r="BH3999" s="1">
        <v>114.77</v>
      </c>
      <c r="BI3999" s="1">
        <v>223128</v>
      </c>
      <c r="BJ3999" s="3">
        <v>42352</v>
      </c>
      <c r="BK3999" t="s">
        <v>123</v>
      </c>
      <c r="BL3999" t="str">
        <f>"2015.882077"</f>
        <v>2015.882077</v>
      </c>
      <c r="BM3999" t="s">
        <v>1185</v>
      </c>
      <c r="BO3999" t="s">
        <v>25497</v>
      </c>
      <c r="BS3999">
        <v>30</v>
      </c>
      <c r="BW3999" t="str">
        <f>""</f>
        <v/>
      </c>
      <c r="CH3999" t="str">
        <f>""</f>
        <v/>
      </c>
      <c r="CS3999" t="str">
        <f>""</f>
        <v/>
      </c>
    </row>
    <row r="4000" spans="1:97" x14ac:dyDescent="0.25">
      <c r="A4000" t="s">
        <v>370</v>
      </c>
      <c r="B4000" t="s">
        <v>25498</v>
      </c>
      <c r="C4000" t="s">
        <v>691</v>
      </c>
      <c r="D4000" t="s">
        <v>25498</v>
      </c>
      <c r="E4000" t="s">
        <v>25499</v>
      </c>
      <c r="F4000" t="s">
        <v>108</v>
      </c>
      <c r="H4000" t="s">
        <v>25500</v>
      </c>
      <c r="I4000" t="s">
        <v>632</v>
      </c>
      <c r="J4000" t="s">
        <v>111</v>
      </c>
      <c r="K4000" t="str">
        <f>"85379"</f>
        <v>85379</v>
      </c>
      <c r="L4000" t="s">
        <v>558</v>
      </c>
      <c r="M4000" t="s">
        <v>25500</v>
      </c>
      <c r="N4000" t="s">
        <v>632</v>
      </c>
      <c r="O4000" t="s">
        <v>111</v>
      </c>
      <c r="P4000" t="str">
        <f>"85379-5226"</f>
        <v>85379-5226</v>
      </c>
      <c r="Q4000" t="s">
        <v>113</v>
      </c>
      <c r="R4000" t="str">
        <f>"509-14-351"</f>
        <v>509-14-351</v>
      </c>
      <c r="S4000" t="s">
        <v>5614</v>
      </c>
      <c r="U4000">
        <v>2453</v>
      </c>
      <c r="V4000">
        <v>0</v>
      </c>
      <c r="W4000">
        <v>3</v>
      </c>
      <c r="X4000">
        <v>2004</v>
      </c>
      <c r="Z4000">
        <v>1</v>
      </c>
      <c r="AA4000" t="s">
        <v>26</v>
      </c>
      <c r="AB4000">
        <v>0</v>
      </c>
      <c r="AC4000" t="s">
        <v>115</v>
      </c>
      <c r="AD4000">
        <v>2</v>
      </c>
      <c r="AE4000" t="s">
        <v>115</v>
      </c>
      <c r="AF4000">
        <v>0</v>
      </c>
      <c r="AG4000">
        <v>0</v>
      </c>
      <c r="AH4000" t="s">
        <v>116</v>
      </c>
      <c r="AI4000" s="1">
        <v>58696</v>
      </c>
      <c r="AJ4000" s="2">
        <v>0.18</v>
      </c>
      <c r="AK4000" s="1">
        <v>321709</v>
      </c>
      <c r="AL4000" t="s">
        <v>117</v>
      </c>
      <c r="AM4000" t="s">
        <v>118</v>
      </c>
      <c r="AN4000">
        <v>7245</v>
      </c>
      <c r="AO4000">
        <v>0.17</v>
      </c>
      <c r="AR4000">
        <v>1</v>
      </c>
      <c r="AS4000" s="1">
        <v>21830</v>
      </c>
      <c r="AT4000" s="1">
        <v>4360</v>
      </c>
      <c r="AU4000" s="1">
        <v>17470</v>
      </c>
      <c r="AV4000">
        <v>80.03</v>
      </c>
      <c r="AX4000" s="1">
        <v>1678.42</v>
      </c>
      <c r="AY4000" t="s">
        <v>5615</v>
      </c>
      <c r="AZ4000" t="s">
        <v>5615</v>
      </c>
      <c r="BA4000" t="s">
        <v>635</v>
      </c>
      <c r="BE4000" s="3">
        <v>42292</v>
      </c>
      <c r="BF4000" s="1">
        <v>250000</v>
      </c>
      <c r="BG4000" t="s">
        <v>25501</v>
      </c>
      <c r="BH4000" s="1">
        <v>101.92</v>
      </c>
      <c r="BI4000" s="1">
        <v>263013</v>
      </c>
      <c r="BJ4000" s="3">
        <v>42459</v>
      </c>
      <c r="BK4000" t="s">
        <v>123</v>
      </c>
      <c r="BL4000" t="str">
        <f>"2016.206129"</f>
        <v>2016.206129</v>
      </c>
      <c r="BM4000" t="s">
        <v>402</v>
      </c>
      <c r="BO4000" t="s">
        <v>25502</v>
      </c>
      <c r="BS4000">
        <v>30</v>
      </c>
      <c r="BW4000" t="str">
        <f>""</f>
        <v/>
      </c>
      <c r="CH4000" t="str">
        <f>""</f>
        <v/>
      </c>
      <c r="CS4000" t="str">
        <f>""</f>
        <v/>
      </c>
    </row>
    <row r="4001" spans="1:97" x14ac:dyDescent="0.25">
      <c r="A4001" t="s">
        <v>1755</v>
      </c>
      <c r="B4001" t="s">
        <v>25503</v>
      </c>
      <c r="C4001" t="s">
        <v>852</v>
      </c>
      <c r="D4001" t="s">
        <v>1577</v>
      </c>
      <c r="E4001" t="s">
        <v>25504</v>
      </c>
      <c r="F4001" t="s">
        <v>108</v>
      </c>
      <c r="H4001" t="s">
        <v>25505</v>
      </c>
      <c r="I4001" t="s">
        <v>110</v>
      </c>
      <c r="J4001" t="s">
        <v>111</v>
      </c>
      <c r="K4001" t="str">
        <f>"85224"</f>
        <v>85224</v>
      </c>
      <c r="L4001" t="s">
        <v>5209</v>
      </c>
      <c r="M4001" t="s">
        <v>25505</v>
      </c>
      <c r="N4001" t="s">
        <v>110</v>
      </c>
      <c r="O4001" t="s">
        <v>111</v>
      </c>
      <c r="P4001" t="str">
        <f>"85224-2712"</f>
        <v>85224-2712</v>
      </c>
      <c r="Q4001" t="s">
        <v>113</v>
      </c>
      <c r="R4001" t="str">
        <f>"302-25-372"</f>
        <v>302-25-372</v>
      </c>
      <c r="S4001" t="s">
        <v>25506</v>
      </c>
      <c r="T4001" t="s">
        <v>12212</v>
      </c>
      <c r="U4001">
        <v>1422</v>
      </c>
      <c r="V4001">
        <v>0</v>
      </c>
      <c r="W4001">
        <v>2</v>
      </c>
      <c r="X4001">
        <v>1979</v>
      </c>
      <c r="Z4001">
        <v>1</v>
      </c>
      <c r="AA4001" t="s">
        <v>26</v>
      </c>
      <c r="AB4001">
        <v>0</v>
      </c>
      <c r="AC4001" t="s">
        <v>115</v>
      </c>
      <c r="AD4001">
        <v>4</v>
      </c>
      <c r="AE4001" t="s">
        <v>115</v>
      </c>
      <c r="AF4001">
        <v>0</v>
      </c>
      <c r="AG4001">
        <v>0</v>
      </c>
      <c r="AH4001" t="s">
        <v>116</v>
      </c>
      <c r="AI4001" s="1">
        <v>-44502</v>
      </c>
      <c r="AJ4001" s="2">
        <v>-0.19</v>
      </c>
      <c r="AK4001" s="1">
        <v>232342</v>
      </c>
      <c r="AL4001" t="s">
        <v>117</v>
      </c>
      <c r="AM4001" t="s">
        <v>5077</v>
      </c>
      <c r="AN4001">
        <v>12432</v>
      </c>
      <c r="AO4001">
        <v>0.28000000000000003</v>
      </c>
      <c r="AP4001">
        <v>1</v>
      </c>
      <c r="AR4001">
        <v>1</v>
      </c>
      <c r="AS4001" s="1">
        <v>21100</v>
      </c>
      <c r="AT4001" s="1">
        <v>4220</v>
      </c>
      <c r="AU4001" s="1">
        <v>16880</v>
      </c>
      <c r="AV4001">
        <v>80</v>
      </c>
      <c r="AX4001" s="1">
        <v>1410.64</v>
      </c>
      <c r="AY4001" t="s">
        <v>6879</v>
      </c>
      <c r="AZ4001" t="s">
        <v>6879</v>
      </c>
      <c r="BA4001" t="s">
        <v>5311</v>
      </c>
      <c r="BE4001" s="3">
        <v>42248</v>
      </c>
      <c r="BF4001" s="1">
        <v>240000</v>
      </c>
      <c r="BG4001" t="s">
        <v>25507</v>
      </c>
      <c r="BH4001" s="1">
        <v>168.78</v>
      </c>
      <c r="BI4001" s="1">
        <v>276844</v>
      </c>
      <c r="BJ4001" s="3">
        <v>43332</v>
      </c>
      <c r="BK4001" t="s">
        <v>123</v>
      </c>
      <c r="BL4001" t="str">
        <f>"2018.627337"</f>
        <v>2018.627337</v>
      </c>
      <c r="BM4001" t="s">
        <v>361</v>
      </c>
      <c r="BN4001" t="s">
        <v>884</v>
      </c>
      <c r="BO4001" t="s">
        <v>25508</v>
      </c>
      <c r="BP4001" t="s">
        <v>25509</v>
      </c>
      <c r="BR4001" t="s">
        <v>139</v>
      </c>
      <c r="BW4001" t="str">
        <f>""</f>
        <v/>
      </c>
      <c r="CH4001" t="str">
        <f>""</f>
        <v/>
      </c>
      <c r="CS4001" t="str">
        <f>""</f>
        <v/>
      </c>
    </row>
    <row r="4002" spans="1:97" x14ac:dyDescent="0.25">
      <c r="A4002" t="s">
        <v>701</v>
      </c>
      <c r="B4002" t="s">
        <v>25510</v>
      </c>
      <c r="E4002" t="s">
        <v>25511</v>
      </c>
      <c r="F4002" t="s">
        <v>108</v>
      </c>
      <c r="H4002" t="s">
        <v>25512</v>
      </c>
      <c r="I4002" t="s">
        <v>203</v>
      </c>
      <c r="J4002" t="s">
        <v>111</v>
      </c>
      <c r="K4002" t="str">
        <f>"85233"</f>
        <v>85233</v>
      </c>
      <c r="L4002" t="s">
        <v>3225</v>
      </c>
      <c r="M4002" t="s">
        <v>25512</v>
      </c>
      <c r="N4002" t="s">
        <v>203</v>
      </c>
      <c r="O4002" t="s">
        <v>111</v>
      </c>
      <c r="P4002" t="str">
        <f>"85233-6136"</f>
        <v>85233-6136</v>
      </c>
      <c r="Q4002" t="s">
        <v>113</v>
      </c>
      <c r="R4002" t="str">
        <f>"302-96-636-A"</f>
        <v>302-96-636-A</v>
      </c>
      <c r="S4002" t="s">
        <v>15236</v>
      </c>
      <c r="T4002" t="s">
        <v>15237</v>
      </c>
      <c r="U4002">
        <v>2255</v>
      </c>
      <c r="V4002">
        <v>0</v>
      </c>
      <c r="W4002">
        <v>4</v>
      </c>
      <c r="X4002">
        <v>1986</v>
      </c>
      <c r="Z4002">
        <v>2</v>
      </c>
      <c r="AB4002">
        <v>0</v>
      </c>
      <c r="AC4002" t="s">
        <v>115</v>
      </c>
      <c r="AD4002">
        <v>2</v>
      </c>
      <c r="AE4002" t="s">
        <v>115</v>
      </c>
      <c r="AF4002">
        <v>0</v>
      </c>
      <c r="AG4002">
        <v>0</v>
      </c>
      <c r="AH4002" t="s">
        <v>116</v>
      </c>
      <c r="AI4002" s="1">
        <v>75162</v>
      </c>
      <c r="AJ4002" s="2">
        <v>0.24</v>
      </c>
      <c r="AK4002" s="1">
        <v>318359</v>
      </c>
      <c r="AL4002" t="s">
        <v>117</v>
      </c>
      <c r="AM4002" t="s">
        <v>191</v>
      </c>
      <c r="AN4002">
        <v>5833</v>
      </c>
      <c r="AO4002">
        <v>0.13</v>
      </c>
      <c r="AP4002">
        <v>1</v>
      </c>
      <c r="AR4002">
        <v>1</v>
      </c>
      <c r="AS4002" s="1">
        <v>22300</v>
      </c>
      <c r="AT4002" s="1">
        <v>4460</v>
      </c>
      <c r="AU4002" s="1">
        <v>17840</v>
      </c>
      <c r="AV4002">
        <v>80</v>
      </c>
      <c r="AX4002" s="1">
        <v>1592.8</v>
      </c>
      <c r="AY4002" t="s">
        <v>5477</v>
      </c>
      <c r="AZ4002" t="s">
        <v>5478</v>
      </c>
      <c r="BA4002" t="s">
        <v>5479</v>
      </c>
      <c r="BE4002" s="3">
        <v>42143</v>
      </c>
      <c r="BF4002" s="1">
        <v>239000</v>
      </c>
      <c r="BG4002" t="s">
        <v>25513</v>
      </c>
      <c r="BH4002" s="1">
        <v>105.99</v>
      </c>
      <c r="BI4002" s="1">
        <v>243197</v>
      </c>
      <c r="BJ4002" s="3">
        <v>42398</v>
      </c>
      <c r="BK4002" t="s">
        <v>123</v>
      </c>
      <c r="BL4002" t="str">
        <f>"2016.59766"</f>
        <v>2016.59766</v>
      </c>
      <c r="BM4002" t="s">
        <v>361</v>
      </c>
      <c r="BO4002" t="s">
        <v>25514</v>
      </c>
      <c r="BS4002">
        <v>30</v>
      </c>
      <c r="BW4002" t="str">
        <f>""</f>
        <v/>
      </c>
      <c r="CH4002" t="str">
        <f>""</f>
        <v/>
      </c>
      <c r="CS4002" t="str">
        <f>""</f>
        <v/>
      </c>
    </row>
    <row r="4003" spans="1:97" x14ac:dyDescent="0.25">
      <c r="A4003" t="s">
        <v>2915</v>
      </c>
      <c r="B4003" t="s">
        <v>1421</v>
      </c>
      <c r="C4003" t="s">
        <v>2719</v>
      </c>
      <c r="D4003" t="s">
        <v>1421</v>
      </c>
      <c r="E4003" t="s">
        <v>25515</v>
      </c>
      <c r="F4003" t="s">
        <v>108</v>
      </c>
      <c r="H4003" t="s">
        <v>25516</v>
      </c>
      <c r="I4003" t="s">
        <v>632</v>
      </c>
      <c r="J4003" t="s">
        <v>111</v>
      </c>
      <c r="K4003" t="str">
        <f>"85388"</f>
        <v>85388</v>
      </c>
      <c r="L4003" t="s">
        <v>1796</v>
      </c>
      <c r="M4003" t="s">
        <v>25516</v>
      </c>
      <c r="N4003" t="s">
        <v>632</v>
      </c>
      <c r="O4003" t="s">
        <v>111</v>
      </c>
      <c r="P4003" t="str">
        <f>"85388-1364"</f>
        <v>85388-1364</v>
      </c>
      <c r="Q4003" t="s">
        <v>113</v>
      </c>
      <c r="R4003" t="str">
        <f>"501-12-283"</f>
        <v>501-12-283</v>
      </c>
      <c r="S4003" t="s">
        <v>14862</v>
      </c>
      <c r="T4003" t="s">
        <v>5431</v>
      </c>
      <c r="U4003">
        <v>3484</v>
      </c>
      <c r="V4003">
        <v>0</v>
      </c>
      <c r="W4003">
        <v>4</v>
      </c>
      <c r="X4003">
        <v>2004</v>
      </c>
      <c r="Z4003">
        <v>2</v>
      </c>
      <c r="AB4003">
        <v>0</v>
      </c>
      <c r="AC4003" t="s">
        <v>115</v>
      </c>
      <c r="AD4003">
        <v>3</v>
      </c>
      <c r="AE4003" t="s">
        <v>115</v>
      </c>
      <c r="AF4003">
        <v>0</v>
      </c>
      <c r="AG4003">
        <v>0</v>
      </c>
      <c r="AH4003" t="s">
        <v>116</v>
      </c>
      <c r="AI4003" s="1">
        <v>75314</v>
      </c>
      <c r="AJ4003" s="2">
        <v>0.22</v>
      </c>
      <c r="AK4003" s="1">
        <v>340904</v>
      </c>
      <c r="AL4003" t="s">
        <v>117</v>
      </c>
      <c r="AM4003" t="s">
        <v>118</v>
      </c>
      <c r="AN4003">
        <v>7475</v>
      </c>
      <c r="AO4003">
        <v>0.17</v>
      </c>
      <c r="AP4003">
        <v>1</v>
      </c>
      <c r="AR4003">
        <v>1</v>
      </c>
      <c r="AS4003" s="1">
        <v>22970</v>
      </c>
      <c r="AT4003" s="1">
        <v>4590</v>
      </c>
      <c r="AU4003" s="1">
        <v>18380</v>
      </c>
      <c r="AV4003">
        <v>80.02</v>
      </c>
      <c r="AX4003" s="1">
        <v>1885.44</v>
      </c>
      <c r="AY4003" t="s">
        <v>5517</v>
      </c>
      <c r="AZ4003" t="s">
        <v>5517</v>
      </c>
      <c r="BA4003" t="s">
        <v>5109</v>
      </c>
      <c r="BB4003" s="3">
        <v>42160</v>
      </c>
      <c r="BD4003" t="s">
        <v>240</v>
      </c>
      <c r="BE4003" s="3">
        <v>42125</v>
      </c>
      <c r="BF4003" s="1">
        <v>274900</v>
      </c>
      <c r="BG4003" t="s">
        <v>25517</v>
      </c>
      <c r="BH4003" s="1">
        <v>78.900000000000006</v>
      </c>
      <c r="BI4003" s="1">
        <v>265590</v>
      </c>
      <c r="BJ4003" s="3">
        <v>42125</v>
      </c>
      <c r="BK4003" t="s">
        <v>123</v>
      </c>
      <c r="BL4003" t="str">
        <f>"2015.309528"</f>
        <v>2015.309528</v>
      </c>
      <c r="BM4003" t="s">
        <v>1287</v>
      </c>
      <c r="BO4003" t="s">
        <v>25518</v>
      </c>
      <c r="BS4003">
        <v>30</v>
      </c>
      <c r="BW4003" t="str">
        <f>""</f>
        <v/>
      </c>
      <c r="CH4003" t="str">
        <f>""</f>
        <v/>
      </c>
      <c r="CS4003" t="str">
        <f>""</f>
        <v/>
      </c>
    </row>
    <row r="4004" spans="1:97" x14ac:dyDescent="0.25">
      <c r="A4004" t="s">
        <v>610</v>
      </c>
      <c r="B4004" t="s">
        <v>25519</v>
      </c>
      <c r="C4004" t="s">
        <v>25520</v>
      </c>
      <c r="D4004" t="s">
        <v>25521</v>
      </c>
      <c r="E4004" t="s">
        <v>25522</v>
      </c>
      <c r="F4004" t="s">
        <v>108</v>
      </c>
      <c r="H4004" t="s">
        <v>25523</v>
      </c>
      <c r="I4004" t="s">
        <v>390</v>
      </c>
      <c r="J4004" t="s">
        <v>111</v>
      </c>
      <c r="K4004" t="str">
        <f>"85006"</f>
        <v>85006</v>
      </c>
      <c r="L4004" t="s">
        <v>5138</v>
      </c>
      <c r="M4004" t="s">
        <v>25523</v>
      </c>
      <c r="N4004" t="s">
        <v>390</v>
      </c>
      <c r="O4004" t="s">
        <v>111</v>
      </c>
      <c r="P4004" t="str">
        <f>"85006-2257"</f>
        <v>85006-2257</v>
      </c>
      <c r="R4004" t="str">
        <f>"117-23-002"</f>
        <v>117-23-002</v>
      </c>
      <c r="S4004" t="s">
        <v>25524</v>
      </c>
      <c r="U4004">
        <v>2551</v>
      </c>
      <c r="V4004">
        <v>0</v>
      </c>
      <c r="W4004">
        <v>2</v>
      </c>
      <c r="X4004">
        <v>1950</v>
      </c>
      <c r="Z4004">
        <v>1</v>
      </c>
      <c r="AB4004">
        <v>0</v>
      </c>
      <c r="AC4004" t="s">
        <v>115</v>
      </c>
      <c r="AD4004">
        <v>1</v>
      </c>
      <c r="AE4004" t="s">
        <v>115</v>
      </c>
      <c r="AF4004">
        <v>0</v>
      </c>
      <c r="AG4004">
        <v>0</v>
      </c>
      <c r="AH4004" t="s">
        <v>116</v>
      </c>
      <c r="AI4004" s="1">
        <v>116287</v>
      </c>
      <c r="AJ4004" s="2">
        <v>0.22</v>
      </c>
      <c r="AK4004" s="1">
        <v>533287</v>
      </c>
      <c r="AL4004" t="s">
        <v>117</v>
      </c>
      <c r="AM4004" t="s">
        <v>191</v>
      </c>
      <c r="AN4004">
        <v>10071</v>
      </c>
      <c r="AO4004">
        <v>0.23</v>
      </c>
      <c r="AP4004">
        <v>1</v>
      </c>
      <c r="AR4004">
        <v>1</v>
      </c>
      <c r="AS4004" s="1">
        <v>36270</v>
      </c>
      <c r="AT4004" s="1">
        <v>7250</v>
      </c>
      <c r="AU4004" s="1">
        <v>29020</v>
      </c>
      <c r="AV4004">
        <v>80.010000000000005</v>
      </c>
      <c r="AX4004" s="1">
        <v>2860.72</v>
      </c>
      <c r="AY4004" t="s">
        <v>8411</v>
      </c>
      <c r="AZ4004" t="s">
        <v>8411</v>
      </c>
      <c r="BA4004" t="s">
        <v>8412</v>
      </c>
      <c r="BE4004" s="3">
        <v>42388</v>
      </c>
      <c r="BF4004" s="1">
        <v>446500</v>
      </c>
      <c r="BG4004" t="s">
        <v>25525</v>
      </c>
      <c r="BH4004" s="1">
        <v>175.03</v>
      </c>
      <c r="BI4004" s="1">
        <v>417000</v>
      </c>
      <c r="BJ4004" s="3">
        <v>42388</v>
      </c>
      <c r="BK4004" t="s">
        <v>123</v>
      </c>
      <c r="BL4004" t="str">
        <f>"2016.35184"</f>
        <v>2016.35184</v>
      </c>
      <c r="BM4004" t="s">
        <v>25526</v>
      </c>
      <c r="BN4004" t="s">
        <v>13967</v>
      </c>
      <c r="BO4004" t="s">
        <v>25527</v>
      </c>
      <c r="BP4004" t="s">
        <v>25528</v>
      </c>
      <c r="BS4004">
        <v>30</v>
      </c>
      <c r="BW4004" t="str">
        <f>""</f>
        <v/>
      </c>
      <c r="CH4004" t="str">
        <f>""</f>
        <v/>
      </c>
      <c r="CS4004" t="str">
        <f>""</f>
        <v/>
      </c>
    </row>
    <row r="4005" spans="1:97" x14ac:dyDescent="0.25">
      <c r="A4005" t="s">
        <v>1995</v>
      </c>
      <c r="B4005" t="s">
        <v>25529</v>
      </c>
      <c r="E4005" t="s">
        <v>25530</v>
      </c>
      <c r="F4005" t="s">
        <v>108</v>
      </c>
      <c r="H4005" t="s">
        <v>25531</v>
      </c>
      <c r="I4005" t="s">
        <v>225</v>
      </c>
      <c r="J4005" t="s">
        <v>111</v>
      </c>
      <c r="K4005" t="str">
        <f>"85202"</f>
        <v>85202</v>
      </c>
      <c r="L4005" t="s">
        <v>2963</v>
      </c>
      <c r="M4005" t="s">
        <v>25531</v>
      </c>
      <c r="N4005" t="s">
        <v>225</v>
      </c>
      <c r="O4005" t="s">
        <v>111</v>
      </c>
      <c r="P4005" t="str">
        <f>"85202-7866"</f>
        <v>85202-7866</v>
      </c>
      <c r="Q4005" t="s">
        <v>113</v>
      </c>
      <c r="R4005" t="str">
        <f>"302-05-551"</f>
        <v>302-05-551</v>
      </c>
      <c r="S4005" t="s">
        <v>25532</v>
      </c>
      <c r="U4005">
        <v>1696</v>
      </c>
      <c r="V4005">
        <v>0</v>
      </c>
      <c r="W4005">
        <v>2</v>
      </c>
      <c r="X4005">
        <v>1976</v>
      </c>
      <c r="Z4005">
        <v>1</v>
      </c>
      <c r="AB4005">
        <v>0</v>
      </c>
      <c r="AC4005" t="s">
        <v>115</v>
      </c>
      <c r="AD4005">
        <v>2</v>
      </c>
      <c r="AE4005" t="s">
        <v>115</v>
      </c>
      <c r="AF4005">
        <v>0</v>
      </c>
      <c r="AG4005">
        <v>0</v>
      </c>
      <c r="AH4005" t="s">
        <v>116</v>
      </c>
      <c r="AI4005" s="1">
        <v>84280</v>
      </c>
      <c r="AJ4005" s="2">
        <v>0.27</v>
      </c>
      <c r="AK4005" s="1">
        <v>314117</v>
      </c>
      <c r="AL4005" t="s">
        <v>117</v>
      </c>
      <c r="AM4005" t="s">
        <v>191</v>
      </c>
      <c r="AN4005">
        <v>13935</v>
      </c>
      <c r="AO4005">
        <v>0.32</v>
      </c>
      <c r="AP4005">
        <v>1</v>
      </c>
      <c r="AR4005">
        <v>1</v>
      </c>
      <c r="AS4005" s="1">
        <v>21800</v>
      </c>
      <c r="AT4005" s="1">
        <v>4360</v>
      </c>
      <c r="AU4005" s="1">
        <v>17440</v>
      </c>
      <c r="AV4005">
        <v>80</v>
      </c>
      <c r="AX4005" s="1">
        <v>1401.38</v>
      </c>
      <c r="AY4005" t="s">
        <v>7431</v>
      </c>
      <c r="AZ4005" t="s">
        <v>7295</v>
      </c>
      <c r="BA4005" t="s">
        <v>5311</v>
      </c>
      <c r="BE4005" s="3">
        <v>42401</v>
      </c>
      <c r="BF4005" s="1">
        <v>225000</v>
      </c>
      <c r="BG4005" t="s">
        <v>25533</v>
      </c>
      <c r="BH4005" s="1">
        <v>132.66999999999999</v>
      </c>
      <c r="BI4005" s="1">
        <v>229837</v>
      </c>
      <c r="BJ4005" s="3">
        <v>42401</v>
      </c>
      <c r="BK4005" t="s">
        <v>123</v>
      </c>
      <c r="BL4005" t="str">
        <f>"2016.65463"</f>
        <v>2016.65463</v>
      </c>
      <c r="BM4005" t="s">
        <v>724</v>
      </c>
      <c r="BO4005" t="s">
        <v>25534</v>
      </c>
      <c r="BS4005">
        <v>30</v>
      </c>
      <c r="BW4005" t="str">
        <f>""</f>
        <v/>
      </c>
      <c r="CH4005" t="str">
        <f>""</f>
        <v/>
      </c>
      <c r="CS4005" t="str">
        <f>""</f>
        <v/>
      </c>
    </row>
    <row r="4006" spans="1:97" x14ac:dyDescent="0.25">
      <c r="A4006" t="s">
        <v>370</v>
      </c>
      <c r="B4006" t="s">
        <v>25535</v>
      </c>
      <c r="C4006" t="s">
        <v>15804</v>
      </c>
      <c r="D4006" t="s">
        <v>25535</v>
      </c>
      <c r="E4006" t="s">
        <v>25536</v>
      </c>
      <c r="F4006" t="s">
        <v>108</v>
      </c>
      <c r="H4006" t="s">
        <v>25537</v>
      </c>
      <c r="I4006" t="s">
        <v>225</v>
      </c>
      <c r="J4006" t="s">
        <v>111</v>
      </c>
      <c r="K4006" t="str">
        <f>"85209"</f>
        <v>85209</v>
      </c>
      <c r="L4006" t="s">
        <v>5260</v>
      </c>
      <c r="M4006" t="s">
        <v>25537</v>
      </c>
      <c r="N4006" t="s">
        <v>225</v>
      </c>
      <c r="O4006" t="s">
        <v>111</v>
      </c>
      <c r="P4006" t="str">
        <f>"85209-4008"</f>
        <v>85209-4008</v>
      </c>
      <c r="Q4006" t="s">
        <v>113</v>
      </c>
      <c r="R4006" t="str">
        <f>"218-56-498"</f>
        <v>218-56-498</v>
      </c>
      <c r="S4006" t="s">
        <v>21901</v>
      </c>
      <c r="T4006" t="s">
        <v>21902</v>
      </c>
      <c r="U4006">
        <v>2096</v>
      </c>
      <c r="V4006">
        <v>0</v>
      </c>
      <c r="W4006">
        <v>4</v>
      </c>
      <c r="X4006">
        <v>1993</v>
      </c>
      <c r="Z4006">
        <v>2</v>
      </c>
      <c r="AA4006" t="s">
        <v>26</v>
      </c>
      <c r="AB4006">
        <v>0</v>
      </c>
      <c r="AC4006" t="s">
        <v>115</v>
      </c>
      <c r="AD4006">
        <v>2</v>
      </c>
      <c r="AE4006" t="s">
        <v>115</v>
      </c>
      <c r="AF4006">
        <v>0</v>
      </c>
      <c r="AG4006">
        <v>0</v>
      </c>
      <c r="AH4006" t="s">
        <v>116</v>
      </c>
      <c r="AI4006" s="1">
        <v>69873</v>
      </c>
      <c r="AJ4006" s="2">
        <v>0.21</v>
      </c>
      <c r="AK4006" s="1">
        <v>325840</v>
      </c>
      <c r="AL4006" t="s">
        <v>117</v>
      </c>
      <c r="AM4006" t="s">
        <v>191</v>
      </c>
      <c r="AN4006">
        <v>13229</v>
      </c>
      <c r="AO4006">
        <v>0.3</v>
      </c>
      <c r="AP4006">
        <v>1</v>
      </c>
      <c r="AR4006">
        <v>1</v>
      </c>
      <c r="AS4006" s="1">
        <v>23650</v>
      </c>
      <c r="AT4006" s="1">
        <v>4730</v>
      </c>
      <c r="AU4006" s="1">
        <v>18920</v>
      </c>
      <c r="AV4006">
        <v>80</v>
      </c>
      <c r="AX4006" s="1">
        <v>1805.68</v>
      </c>
      <c r="AY4006" t="s">
        <v>5157</v>
      </c>
      <c r="AZ4006" t="s">
        <v>231</v>
      </c>
      <c r="BA4006" t="s">
        <v>232</v>
      </c>
      <c r="BE4006" s="3">
        <v>42257</v>
      </c>
      <c r="BF4006" s="1">
        <v>250580</v>
      </c>
      <c r="BG4006" t="s">
        <v>25538</v>
      </c>
      <c r="BH4006" s="1">
        <v>119.55</v>
      </c>
      <c r="BI4006" s="1">
        <v>255967</v>
      </c>
      <c r="BJ4006" s="3">
        <v>42257</v>
      </c>
      <c r="BK4006" t="s">
        <v>123</v>
      </c>
      <c r="BL4006" t="str">
        <f>"2015.654825"</f>
        <v>2015.654825</v>
      </c>
      <c r="BM4006" t="s">
        <v>544</v>
      </c>
      <c r="BO4006" t="s">
        <v>25539</v>
      </c>
      <c r="BS4006">
        <v>30</v>
      </c>
      <c r="BW4006" t="str">
        <f>""</f>
        <v/>
      </c>
      <c r="CH4006" t="str">
        <f>""</f>
        <v/>
      </c>
      <c r="CS4006" t="str">
        <f>""</f>
        <v/>
      </c>
    </row>
    <row r="4007" spans="1:97" x14ac:dyDescent="0.25">
      <c r="A4007" t="s">
        <v>6753</v>
      </c>
      <c r="B4007" t="s">
        <v>3147</v>
      </c>
      <c r="E4007" t="s">
        <v>25540</v>
      </c>
      <c r="F4007" t="s">
        <v>139</v>
      </c>
      <c r="H4007" t="s">
        <v>25541</v>
      </c>
      <c r="I4007" t="s">
        <v>6844</v>
      </c>
      <c r="J4007" t="s">
        <v>111</v>
      </c>
      <c r="K4007" t="str">
        <f>"85361"</f>
        <v>85361</v>
      </c>
      <c r="L4007" t="s">
        <v>1789</v>
      </c>
      <c r="M4007" t="s">
        <v>25542</v>
      </c>
      <c r="N4007" t="s">
        <v>6844</v>
      </c>
      <c r="O4007" t="s">
        <v>111</v>
      </c>
      <c r="P4007" t="str">
        <f>"85361-8512"</f>
        <v>85361-8512</v>
      </c>
      <c r="Q4007" t="s">
        <v>113</v>
      </c>
      <c r="R4007" t="str">
        <f>"503-32-125"</f>
        <v>503-32-125</v>
      </c>
      <c r="S4007" t="s">
        <v>22040</v>
      </c>
      <c r="T4007" t="s">
        <v>6846</v>
      </c>
      <c r="U4007">
        <v>2140</v>
      </c>
      <c r="V4007">
        <v>0</v>
      </c>
      <c r="W4007">
        <v>3</v>
      </c>
      <c r="X4007">
        <v>2002</v>
      </c>
      <c r="Z4007">
        <v>1</v>
      </c>
      <c r="AA4007" t="s">
        <v>26</v>
      </c>
      <c r="AB4007">
        <v>0</v>
      </c>
      <c r="AC4007" t="s">
        <v>115</v>
      </c>
      <c r="AD4007">
        <v>3</v>
      </c>
      <c r="AE4007" t="s">
        <v>115</v>
      </c>
      <c r="AF4007">
        <v>0</v>
      </c>
      <c r="AG4007">
        <v>0</v>
      </c>
      <c r="AH4007" t="s">
        <v>116</v>
      </c>
      <c r="AI4007" s="1">
        <v>62150</v>
      </c>
      <c r="AJ4007" s="2">
        <v>0.17</v>
      </c>
      <c r="AK4007" s="1">
        <v>371946</v>
      </c>
      <c r="AL4007" t="s">
        <v>117</v>
      </c>
      <c r="AM4007" t="s">
        <v>376</v>
      </c>
      <c r="AN4007">
        <v>43657</v>
      </c>
      <c r="AO4007">
        <v>1</v>
      </c>
      <c r="AP4007">
        <v>1</v>
      </c>
      <c r="AR4007">
        <v>1</v>
      </c>
      <c r="AS4007" s="1">
        <v>26800</v>
      </c>
      <c r="AT4007" s="1">
        <v>5360</v>
      </c>
      <c r="AU4007" s="1">
        <v>21440</v>
      </c>
      <c r="AV4007">
        <v>80</v>
      </c>
      <c r="AX4007" s="1">
        <v>1798.4</v>
      </c>
      <c r="AY4007" t="s">
        <v>6847</v>
      </c>
      <c r="AZ4007" t="s">
        <v>6847</v>
      </c>
      <c r="BE4007" s="3">
        <v>42514</v>
      </c>
      <c r="BF4007" s="1">
        <v>299900</v>
      </c>
      <c r="BG4007" t="s">
        <v>25543</v>
      </c>
      <c r="BH4007" s="1">
        <v>140.13999999999999</v>
      </c>
      <c r="BI4007" s="1">
        <v>309796</v>
      </c>
      <c r="BJ4007" s="3">
        <v>42514</v>
      </c>
      <c r="BK4007" t="s">
        <v>123</v>
      </c>
      <c r="BL4007" t="str">
        <f>"2016.356095"</f>
        <v>2016.356095</v>
      </c>
      <c r="BM4007" t="s">
        <v>709</v>
      </c>
      <c r="BO4007" t="s">
        <v>25544</v>
      </c>
      <c r="BS4007">
        <v>30</v>
      </c>
      <c r="BW4007" t="str">
        <f>""</f>
        <v/>
      </c>
      <c r="CH4007" t="str">
        <f>""</f>
        <v/>
      </c>
      <c r="CS4007" t="str">
        <f>""</f>
        <v/>
      </c>
    </row>
    <row r="4008" spans="1:97" x14ac:dyDescent="0.25">
      <c r="A4008" t="s">
        <v>701</v>
      </c>
      <c r="B4008" t="s">
        <v>1820</v>
      </c>
      <c r="C4008" t="s">
        <v>25545</v>
      </c>
      <c r="D4008" t="s">
        <v>1820</v>
      </c>
      <c r="E4008" t="s">
        <v>25546</v>
      </c>
      <c r="F4008" t="s">
        <v>108</v>
      </c>
      <c r="H4008" t="s">
        <v>25547</v>
      </c>
      <c r="I4008" t="s">
        <v>144</v>
      </c>
      <c r="J4008" t="s">
        <v>111</v>
      </c>
      <c r="K4008" t="str">
        <f>"85396"</f>
        <v>85396</v>
      </c>
      <c r="L4008" t="s">
        <v>9496</v>
      </c>
      <c r="M4008" t="s">
        <v>25547</v>
      </c>
      <c r="N4008" t="s">
        <v>144</v>
      </c>
      <c r="O4008" t="s">
        <v>111</v>
      </c>
      <c r="P4008" t="str">
        <f>"85396-9212"</f>
        <v>85396-9212</v>
      </c>
      <c r="R4008" t="str">
        <f>"503-96-065"</f>
        <v>503-96-065</v>
      </c>
      <c r="S4008" t="s">
        <v>25548</v>
      </c>
      <c r="U4008">
        <v>1612</v>
      </c>
      <c r="V4008">
        <v>0</v>
      </c>
      <c r="W4008">
        <v>3</v>
      </c>
      <c r="X4008">
        <v>2007</v>
      </c>
      <c r="Z4008">
        <v>1</v>
      </c>
      <c r="AB4008">
        <v>0</v>
      </c>
      <c r="AC4008" t="s">
        <v>115</v>
      </c>
      <c r="AD4008">
        <v>3</v>
      </c>
      <c r="AE4008" t="s">
        <v>115</v>
      </c>
      <c r="AF4008">
        <v>0</v>
      </c>
      <c r="AG4008">
        <v>0</v>
      </c>
      <c r="AH4008" t="s">
        <v>116</v>
      </c>
      <c r="AI4008" s="1">
        <v>73736</v>
      </c>
      <c r="AJ4008" s="2">
        <v>0.26</v>
      </c>
      <c r="AK4008" s="1">
        <v>283313</v>
      </c>
      <c r="AL4008" t="s">
        <v>117</v>
      </c>
      <c r="AM4008" t="s">
        <v>118</v>
      </c>
      <c r="AN4008">
        <v>6600</v>
      </c>
      <c r="AO4008">
        <v>0.15</v>
      </c>
      <c r="AR4008">
        <v>1</v>
      </c>
      <c r="AS4008" s="1">
        <v>18680</v>
      </c>
      <c r="AT4008" s="1">
        <v>3730</v>
      </c>
      <c r="AU4008" s="1">
        <v>14950</v>
      </c>
      <c r="AV4008">
        <v>80.03</v>
      </c>
      <c r="AX4008" s="1">
        <v>2299.1</v>
      </c>
      <c r="AY4008" t="s">
        <v>444</v>
      </c>
      <c r="AZ4008" t="s">
        <v>444</v>
      </c>
      <c r="BA4008" t="s">
        <v>445</v>
      </c>
      <c r="BE4008" s="3">
        <v>42135</v>
      </c>
      <c r="BF4008" s="1">
        <v>229990</v>
      </c>
      <c r="BG4008" t="s">
        <v>25549</v>
      </c>
      <c r="BH4008" s="1">
        <v>142.66999999999999</v>
      </c>
      <c r="BI4008" s="1">
        <v>209577</v>
      </c>
      <c r="BJ4008" s="3">
        <v>42135</v>
      </c>
      <c r="BK4008" t="s">
        <v>123</v>
      </c>
      <c r="BL4008" t="str">
        <f>"2015.329850"</f>
        <v>2015.329850</v>
      </c>
      <c r="BM4008" t="s">
        <v>594</v>
      </c>
      <c r="BN4008" t="s">
        <v>595</v>
      </c>
      <c r="BO4008" t="s">
        <v>25550</v>
      </c>
      <c r="BS4008">
        <v>30</v>
      </c>
      <c r="BW4008" t="str">
        <f>""</f>
        <v/>
      </c>
      <c r="CH4008" t="str">
        <f>""</f>
        <v/>
      </c>
      <c r="CS4008" t="str">
        <f>""</f>
        <v/>
      </c>
    </row>
    <row r="4009" spans="1:97" x14ac:dyDescent="0.25">
      <c r="A4009" t="s">
        <v>1444</v>
      </c>
      <c r="B4009" t="s">
        <v>25551</v>
      </c>
      <c r="E4009" t="s">
        <v>25552</v>
      </c>
      <c r="F4009" t="s">
        <v>108</v>
      </c>
      <c r="H4009" t="s">
        <v>25553</v>
      </c>
      <c r="I4009" t="s">
        <v>390</v>
      </c>
      <c r="J4009" t="s">
        <v>111</v>
      </c>
      <c r="K4009" t="str">
        <f>"85086"</f>
        <v>85086</v>
      </c>
      <c r="L4009" t="s">
        <v>4698</v>
      </c>
      <c r="M4009" t="s">
        <v>25553</v>
      </c>
      <c r="N4009" t="s">
        <v>390</v>
      </c>
      <c r="O4009" t="s">
        <v>111</v>
      </c>
      <c r="P4009" t="str">
        <f>"85086-2173"</f>
        <v>85086-2173</v>
      </c>
      <c r="Q4009" t="s">
        <v>113</v>
      </c>
      <c r="R4009" t="str">
        <f>"203-27-639"</f>
        <v>203-27-639</v>
      </c>
      <c r="S4009" t="s">
        <v>25554</v>
      </c>
      <c r="T4009" t="s">
        <v>25555</v>
      </c>
      <c r="U4009">
        <v>1958</v>
      </c>
      <c r="V4009">
        <v>0</v>
      </c>
      <c r="W4009">
        <v>4</v>
      </c>
      <c r="X4009">
        <v>2005</v>
      </c>
      <c r="Z4009">
        <v>2</v>
      </c>
      <c r="AB4009">
        <v>0</v>
      </c>
      <c r="AC4009" t="s">
        <v>115</v>
      </c>
      <c r="AD4009">
        <v>2</v>
      </c>
      <c r="AE4009" t="s">
        <v>115</v>
      </c>
      <c r="AF4009">
        <v>0</v>
      </c>
      <c r="AG4009">
        <v>0</v>
      </c>
      <c r="AH4009" t="s">
        <v>116</v>
      </c>
      <c r="AI4009" s="1">
        <v>53751</v>
      </c>
      <c r="AJ4009" s="2">
        <v>0.18</v>
      </c>
      <c r="AK4009" s="1">
        <v>304188</v>
      </c>
      <c r="AL4009" t="s">
        <v>117</v>
      </c>
      <c r="AM4009" t="s">
        <v>1315</v>
      </c>
      <c r="AN4009">
        <v>4131</v>
      </c>
      <c r="AO4009">
        <v>0.95</v>
      </c>
      <c r="AR4009">
        <v>1</v>
      </c>
      <c r="AS4009" s="1">
        <v>20620</v>
      </c>
      <c r="AT4009" s="1">
        <v>4120</v>
      </c>
      <c r="AU4009" s="1">
        <v>16500</v>
      </c>
      <c r="AV4009">
        <v>80.02</v>
      </c>
      <c r="AX4009" s="1">
        <v>1924.18</v>
      </c>
      <c r="AY4009" t="s">
        <v>8639</v>
      </c>
      <c r="AZ4009" t="s">
        <v>8639</v>
      </c>
      <c r="BA4009" t="s">
        <v>378</v>
      </c>
      <c r="BE4009" s="3">
        <v>42475</v>
      </c>
      <c r="BF4009" s="1">
        <v>249900</v>
      </c>
      <c r="BG4009" t="s">
        <v>25556</v>
      </c>
      <c r="BH4009" s="1">
        <v>127.63</v>
      </c>
      <c r="BI4009" s="1">
        <v>250437</v>
      </c>
      <c r="BJ4009" s="3">
        <v>42640</v>
      </c>
      <c r="BK4009" t="s">
        <v>123</v>
      </c>
      <c r="BL4009" t="str">
        <f>"2016.701540"</f>
        <v>2016.701540</v>
      </c>
      <c r="BM4009" t="s">
        <v>402</v>
      </c>
      <c r="BO4009" t="s">
        <v>25557</v>
      </c>
      <c r="BS4009">
        <v>30</v>
      </c>
      <c r="BW4009" t="str">
        <f>""</f>
        <v/>
      </c>
      <c r="CH4009" t="str">
        <f>""</f>
        <v/>
      </c>
      <c r="CS4009" t="str">
        <f>""</f>
        <v/>
      </c>
    </row>
    <row r="4010" spans="1:97" x14ac:dyDescent="0.25">
      <c r="A4010" t="s">
        <v>25558</v>
      </c>
      <c r="B4010" t="s">
        <v>2255</v>
      </c>
      <c r="C4010" t="s">
        <v>703</v>
      </c>
      <c r="D4010" t="s">
        <v>2255</v>
      </c>
      <c r="E4010" t="s">
        <v>25559</v>
      </c>
      <c r="F4010" t="s">
        <v>108</v>
      </c>
      <c r="H4010" t="s">
        <v>25560</v>
      </c>
      <c r="I4010" t="s">
        <v>390</v>
      </c>
      <c r="J4010" t="s">
        <v>111</v>
      </c>
      <c r="K4010" t="str">
        <f>"85042"</f>
        <v>85042</v>
      </c>
      <c r="L4010" t="s">
        <v>6766</v>
      </c>
      <c r="M4010" t="s">
        <v>25560</v>
      </c>
      <c r="N4010" t="s">
        <v>390</v>
      </c>
      <c r="O4010" t="s">
        <v>111</v>
      </c>
      <c r="P4010" t="str">
        <f>"85042-6706"</f>
        <v>85042-6706</v>
      </c>
      <c r="Q4010" t="s">
        <v>113</v>
      </c>
      <c r="R4010" t="str">
        <f>"300-21-044"</f>
        <v>300-21-044</v>
      </c>
      <c r="S4010" t="s">
        <v>25561</v>
      </c>
      <c r="T4010" t="s">
        <v>25561</v>
      </c>
      <c r="U4010">
        <v>1537</v>
      </c>
      <c r="V4010">
        <v>0</v>
      </c>
      <c r="W4010">
        <v>3</v>
      </c>
      <c r="X4010">
        <v>2001</v>
      </c>
      <c r="Z4010">
        <v>1</v>
      </c>
      <c r="AB4010">
        <v>0</v>
      </c>
      <c r="AC4010" t="s">
        <v>115</v>
      </c>
      <c r="AD4010">
        <v>2</v>
      </c>
      <c r="AE4010" t="s">
        <v>115</v>
      </c>
      <c r="AF4010">
        <v>0</v>
      </c>
      <c r="AG4010">
        <v>0</v>
      </c>
      <c r="AH4010" t="s">
        <v>116</v>
      </c>
      <c r="AI4010" s="1">
        <v>72977</v>
      </c>
      <c r="AJ4010" s="2">
        <v>0.25</v>
      </c>
      <c r="AK4010" s="1">
        <v>292977</v>
      </c>
      <c r="AL4010" t="s">
        <v>117</v>
      </c>
      <c r="AM4010" t="s">
        <v>1302</v>
      </c>
      <c r="AN4010">
        <v>9638</v>
      </c>
      <c r="AO4010">
        <v>0.22</v>
      </c>
      <c r="AP4010">
        <v>1</v>
      </c>
      <c r="AR4010">
        <v>1</v>
      </c>
      <c r="AS4010" s="1">
        <v>21830</v>
      </c>
      <c r="AT4010" s="1">
        <v>4360</v>
      </c>
      <c r="AU4010" s="1">
        <v>17470</v>
      </c>
      <c r="AV4010">
        <v>80.03</v>
      </c>
      <c r="AX4010" s="1">
        <v>2482.44</v>
      </c>
      <c r="AY4010" t="s">
        <v>2859</v>
      </c>
      <c r="AZ4010" t="s">
        <v>2859</v>
      </c>
      <c r="BA4010" t="s">
        <v>2860</v>
      </c>
      <c r="BE4010" s="3">
        <v>42398</v>
      </c>
      <c r="BF4010" s="1">
        <v>220000</v>
      </c>
      <c r="BG4010" t="s">
        <v>25562</v>
      </c>
      <c r="BH4010" s="1">
        <v>143.13999999999999</v>
      </c>
      <c r="BI4010" s="1">
        <v>220000</v>
      </c>
      <c r="BJ4010" s="3">
        <v>42398</v>
      </c>
      <c r="BK4010" t="s">
        <v>123</v>
      </c>
      <c r="BL4010" t="str">
        <f>"2016.64346"</f>
        <v>2016.64346</v>
      </c>
      <c r="BM4010" t="s">
        <v>594</v>
      </c>
      <c r="BO4010" t="s">
        <v>25563</v>
      </c>
      <c r="BS4010">
        <v>30</v>
      </c>
      <c r="BW4010" t="str">
        <f>""</f>
        <v/>
      </c>
      <c r="CH4010" t="str">
        <f>""</f>
        <v/>
      </c>
      <c r="CS4010" t="str">
        <f>""</f>
        <v/>
      </c>
    </row>
    <row r="4011" spans="1:97" x14ac:dyDescent="0.25">
      <c r="A4011" t="s">
        <v>1344</v>
      </c>
      <c r="B4011" t="s">
        <v>25564</v>
      </c>
      <c r="E4011" t="s">
        <v>25565</v>
      </c>
      <c r="F4011" t="s">
        <v>108</v>
      </c>
      <c r="H4011" t="s">
        <v>25566</v>
      </c>
      <c r="I4011" t="s">
        <v>225</v>
      </c>
      <c r="J4011" t="s">
        <v>111</v>
      </c>
      <c r="K4011" t="str">
        <f>"85207"</f>
        <v>85207</v>
      </c>
      <c r="L4011" t="s">
        <v>6308</v>
      </c>
      <c r="M4011" t="s">
        <v>25566</v>
      </c>
      <c r="N4011" t="s">
        <v>225</v>
      </c>
      <c r="O4011" t="s">
        <v>111</v>
      </c>
      <c r="P4011" t="str">
        <f>"85207-6655"</f>
        <v>85207-6655</v>
      </c>
      <c r="Q4011" t="s">
        <v>113</v>
      </c>
      <c r="R4011" t="str">
        <f>"218-08-726"</f>
        <v>218-08-726</v>
      </c>
      <c r="S4011" t="s">
        <v>25567</v>
      </c>
      <c r="T4011" t="s">
        <v>25567</v>
      </c>
      <c r="U4011">
        <v>1428</v>
      </c>
      <c r="V4011">
        <v>0</v>
      </c>
      <c r="W4011">
        <v>3</v>
      </c>
      <c r="X4011">
        <v>1997</v>
      </c>
      <c r="Z4011">
        <v>1</v>
      </c>
      <c r="AB4011">
        <v>0</v>
      </c>
      <c r="AC4011" t="s">
        <v>115</v>
      </c>
      <c r="AD4011">
        <v>2</v>
      </c>
      <c r="AE4011" t="s">
        <v>115</v>
      </c>
      <c r="AF4011">
        <v>0</v>
      </c>
      <c r="AG4011">
        <v>0</v>
      </c>
      <c r="AH4011" t="s">
        <v>116</v>
      </c>
      <c r="AI4011" s="1">
        <v>62957</v>
      </c>
      <c r="AJ4011" s="2">
        <v>0.24</v>
      </c>
      <c r="AK4011" s="1">
        <v>266746</v>
      </c>
      <c r="AL4011" t="s">
        <v>117</v>
      </c>
      <c r="AM4011" t="s">
        <v>393</v>
      </c>
      <c r="AN4011">
        <v>7902</v>
      </c>
      <c r="AO4011">
        <v>0.18</v>
      </c>
      <c r="AP4011">
        <v>1</v>
      </c>
      <c r="AR4011">
        <v>1</v>
      </c>
      <c r="AS4011" s="1">
        <v>18280</v>
      </c>
      <c r="AT4011" s="1">
        <v>3650</v>
      </c>
      <c r="AU4011" s="1">
        <v>14630</v>
      </c>
      <c r="AV4011">
        <v>80.03</v>
      </c>
      <c r="AX4011" s="1">
        <v>1297.22</v>
      </c>
      <c r="AY4011" t="s">
        <v>4567</v>
      </c>
      <c r="AZ4011" t="s">
        <v>231</v>
      </c>
      <c r="BA4011" t="s">
        <v>3119</v>
      </c>
      <c r="BE4011" s="3">
        <v>42261</v>
      </c>
      <c r="BF4011" s="1">
        <v>199500</v>
      </c>
      <c r="BG4011" t="s">
        <v>25568</v>
      </c>
      <c r="BH4011" s="1">
        <v>139.71</v>
      </c>
      <c r="BI4011" s="1">
        <v>203789</v>
      </c>
      <c r="BJ4011" s="3">
        <v>42261</v>
      </c>
      <c r="BK4011" t="s">
        <v>123</v>
      </c>
      <c r="BL4011" t="str">
        <f>"2015.661067"</f>
        <v>2015.661067</v>
      </c>
      <c r="BM4011" t="s">
        <v>1044</v>
      </c>
      <c r="BO4011" t="s">
        <v>25569</v>
      </c>
      <c r="BS4011">
        <v>30</v>
      </c>
      <c r="BW4011" t="str">
        <f>""</f>
        <v/>
      </c>
      <c r="CH4011" t="str">
        <f>""</f>
        <v/>
      </c>
      <c r="CS4011" t="str">
        <f>""</f>
        <v/>
      </c>
    </row>
    <row r="4012" spans="1:97" x14ac:dyDescent="0.25">
      <c r="A4012" t="s">
        <v>2433</v>
      </c>
      <c r="B4012" t="s">
        <v>25570</v>
      </c>
      <c r="C4012" t="s">
        <v>9243</v>
      </c>
      <c r="D4012" t="s">
        <v>25571</v>
      </c>
      <c r="E4012" t="s">
        <v>25572</v>
      </c>
      <c r="F4012" t="s">
        <v>108</v>
      </c>
      <c r="H4012" t="s">
        <v>25573</v>
      </c>
      <c r="I4012" t="s">
        <v>225</v>
      </c>
      <c r="J4012" t="s">
        <v>111</v>
      </c>
      <c r="K4012" t="str">
        <f>"85215"</f>
        <v>85215</v>
      </c>
      <c r="L4012" t="s">
        <v>500</v>
      </c>
      <c r="M4012" t="s">
        <v>25573</v>
      </c>
      <c r="N4012" t="s">
        <v>225</v>
      </c>
      <c r="O4012" t="s">
        <v>111</v>
      </c>
      <c r="P4012" t="str">
        <f>"85215-1639"</f>
        <v>85215-1639</v>
      </c>
      <c r="Q4012" t="s">
        <v>113</v>
      </c>
      <c r="R4012" t="str">
        <f>"141-67-140"</f>
        <v>141-67-140</v>
      </c>
      <c r="S4012" t="s">
        <v>22582</v>
      </c>
      <c r="T4012" t="s">
        <v>22583</v>
      </c>
      <c r="U4012">
        <v>1288</v>
      </c>
      <c r="V4012">
        <v>0</v>
      </c>
      <c r="W4012">
        <v>2</v>
      </c>
      <c r="X4012">
        <v>1994</v>
      </c>
      <c r="Z4012">
        <v>1</v>
      </c>
      <c r="AA4012" t="s">
        <v>26</v>
      </c>
      <c r="AB4012">
        <v>0</v>
      </c>
      <c r="AC4012" t="s">
        <v>115</v>
      </c>
      <c r="AD4012">
        <v>2</v>
      </c>
      <c r="AE4012" t="s">
        <v>115</v>
      </c>
      <c r="AF4012">
        <v>0</v>
      </c>
      <c r="AG4012">
        <v>0</v>
      </c>
      <c r="AH4012" t="s">
        <v>116</v>
      </c>
      <c r="AI4012" s="1">
        <v>24368</v>
      </c>
      <c r="AJ4012" s="2">
        <v>0.09</v>
      </c>
      <c r="AK4012" s="1">
        <v>274368</v>
      </c>
      <c r="AL4012" t="s">
        <v>117</v>
      </c>
      <c r="AM4012" t="s">
        <v>191</v>
      </c>
      <c r="AN4012">
        <v>4392</v>
      </c>
      <c r="AO4012">
        <v>0.1</v>
      </c>
      <c r="AP4012">
        <v>1</v>
      </c>
      <c r="AR4012">
        <v>1</v>
      </c>
      <c r="AS4012" s="1">
        <v>17650</v>
      </c>
      <c r="AT4012" s="1">
        <v>3530</v>
      </c>
      <c r="AU4012" s="1">
        <v>14120</v>
      </c>
      <c r="AV4012">
        <v>80</v>
      </c>
      <c r="AX4012" s="1">
        <v>1288.26</v>
      </c>
      <c r="AY4012" t="s">
        <v>6662</v>
      </c>
      <c r="AZ4012" t="s">
        <v>5275</v>
      </c>
      <c r="BA4012" t="s">
        <v>3119</v>
      </c>
      <c r="BB4012" s="3">
        <v>42557</v>
      </c>
      <c r="BD4012" t="s">
        <v>240</v>
      </c>
      <c r="BE4012" s="3">
        <v>42514</v>
      </c>
      <c r="BF4012" s="1">
        <v>250000</v>
      </c>
      <c r="BG4012" t="s">
        <v>25574</v>
      </c>
      <c r="BH4012" s="1">
        <v>194.1</v>
      </c>
      <c r="BI4012" s="1">
        <v>250000</v>
      </c>
      <c r="BJ4012" s="3">
        <v>42514</v>
      </c>
      <c r="BK4012" t="s">
        <v>123</v>
      </c>
      <c r="BL4012" t="str">
        <f>"2016.355954"</f>
        <v>2016.355954</v>
      </c>
      <c r="BM4012" t="s">
        <v>2489</v>
      </c>
      <c r="BO4012" t="s">
        <v>25575</v>
      </c>
      <c r="BS4012">
        <v>30</v>
      </c>
      <c r="BW4012" t="str">
        <f>""</f>
        <v/>
      </c>
      <c r="CH4012" t="str">
        <f>""</f>
        <v/>
      </c>
      <c r="CS4012" t="str">
        <f>""</f>
        <v/>
      </c>
    </row>
    <row r="4013" spans="1:97" x14ac:dyDescent="0.25">
      <c r="A4013" t="s">
        <v>1444</v>
      </c>
      <c r="B4013" t="s">
        <v>25576</v>
      </c>
      <c r="C4013" t="s">
        <v>489</v>
      </c>
      <c r="D4013" t="s">
        <v>25576</v>
      </c>
      <c r="E4013" t="s">
        <v>25577</v>
      </c>
      <c r="F4013" t="s">
        <v>108</v>
      </c>
      <c r="H4013" t="s">
        <v>25578</v>
      </c>
      <c r="I4013" t="s">
        <v>203</v>
      </c>
      <c r="J4013" t="s">
        <v>111</v>
      </c>
      <c r="K4013" t="str">
        <f>"85233"</f>
        <v>85233</v>
      </c>
      <c r="L4013" t="s">
        <v>1070</v>
      </c>
      <c r="M4013" t="s">
        <v>25578</v>
      </c>
      <c r="N4013" t="s">
        <v>203</v>
      </c>
      <c r="O4013" t="s">
        <v>111</v>
      </c>
      <c r="P4013" t="str">
        <f>"85233-8903"</f>
        <v>85233-8903</v>
      </c>
      <c r="Q4013" t="s">
        <v>113</v>
      </c>
      <c r="R4013" t="str">
        <f>"302-83-382"</f>
        <v>302-83-382</v>
      </c>
      <c r="S4013" t="s">
        <v>15305</v>
      </c>
      <c r="T4013" t="s">
        <v>15306</v>
      </c>
      <c r="U4013">
        <v>1702</v>
      </c>
      <c r="V4013">
        <v>0</v>
      </c>
      <c r="W4013">
        <v>3</v>
      </c>
      <c r="X4013">
        <v>1995</v>
      </c>
      <c r="Z4013">
        <v>1</v>
      </c>
      <c r="AA4013" t="s">
        <v>26</v>
      </c>
      <c r="AB4013">
        <v>0</v>
      </c>
      <c r="AC4013" t="s">
        <v>115</v>
      </c>
      <c r="AD4013">
        <v>2</v>
      </c>
      <c r="AE4013" t="s">
        <v>115</v>
      </c>
      <c r="AF4013">
        <v>0</v>
      </c>
      <c r="AG4013">
        <v>0</v>
      </c>
      <c r="AH4013" t="s">
        <v>116</v>
      </c>
      <c r="AI4013" s="1">
        <v>47582</v>
      </c>
      <c r="AJ4013" s="2">
        <v>0.15</v>
      </c>
      <c r="AK4013" s="1">
        <v>316162</v>
      </c>
      <c r="AL4013" t="s">
        <v>117</v>
      </c>
      <c r="AM4013" t="s">
        <v>393</v>
      </c>
      <c r="AN4013">
        <v>7479</v>
      </c>
      <c r="AO4013">
        <v>0.17</v>
      </c>
      <c r="AP4013">
        <v>1</v>
      </c>
      <c r="AR4013">
        <v>1</v>
      </c>
      <c r="AS4013" s="1">
        <v>22600</v>
      </c>
      <c r="AT4013" s="1">
        <v>4520</v>
      </c>
      <c r="AU4013" s="1">
        <v>18080</v>
      </c>
      <c r="AV4013">
        <v>80</v>
      </c>
      <c r="AX4013" s="1">
        <v>1600.52</v>
      </c>
      <c r="AY4013" t="s">
        <v>2905</v>
      </c>
      <c r="AZ4013" t="s">
        <v>2906</v>
      </c>
      <c r="BA4013" t="s">
        <v>303</v>
      </c>
      <c r="BE4013" s="3">
        <v>42118</v>
      </c>
      <c r="BF4013" s="1">
        <v>239000</v>
      </c>
      <c r="BG4013" t="s">
        <v>25579</v>
      </c>
      <c r="BH4013" s="1">
        <v>140.41999999999999</v>
      </c>
      <c r="BI4013" s="1">
        <v>268580</v>
      </c>
      <c r="BJ4013" s="3">
        <v>43066</v>
      </c>
      <c r="BK4013" t="s">
        <v>123</v>
      </c>
      <c r="BL4013" t="str">
        <f>"2017.872761"</f>
        <v>2017.872761</v>
      </c>
      <c r="BM4013" t="s">
        <v>14513</v>
      </c>
      <c r="BO4013" t="s">
        <v>25580</v>
      </c>
      <c r="BS4013">
        <v>30</v>
      </c>
      <c r="BW4013" t="str">
        <f>""</f>
        <v/>
      </c>
      <c r="CH4013" t="str">
        <f>""</f>
        <v/>
      </c>
      <c r="CS4013" t="str">
        <f>""</f>
        <v/>
      </c>
    </row>
    <row r="4014" spans="1:97" x14ac:dyDescent="0.25">
      <c r="A4014" t="s">
        <v>23890</v>
      </c>
      <c r="B4014" t="s">
        <v>23531</v>
      </c>
      <c r="E4014" t="s">
        <v>25581</v>
      </c>
      <c r="F4014" t="s">
        <v>108</v>
      </c>
      <c r="H4014" t="s">
        <v>25582</v>
      </c>
      <c r="I4014" t="s">
        <v>1788</v>
      </c>
      <c r="J4014" t="s">
        <v>111</v>
      </c>
      <c r="K4014" t="str">
        <f>"85355"</f>
        <v>85355</v>
      </c>
      <c r="L4014" t="s">
        <v>5239</v>
      </c>
      <c r="M4014" t="s">
        <v>25582</v>
      </c>
      <c r="N4014" t="s">
        <v>1788</v>
      </c>
      <c r="O4014" t="s">
        <v>111</v>
      </c>
      <c r="P4014" t="str">
        <f>"85355-4235"</f>
        <v>85355-4235</v>
      </c>
      <c r="Q4014" t="s">
        <v>113</v>
      </c>
      <c r="R4014" t="str">
        <f>"502-91-261"</f>
        <v>502-91-261</v>
      </c>
      <c r="S4014" t="s">
        <v>8290</v>
      </c>
      <c r="T4014" t="s">
        <v>8290</v>
      </c>
      <c r="U4014">
        <v>2306</v>
      </c>
      <c r="V4014">
        <v>0</v>
      </c>
      <c r="W4014">
        <v>3</v>
      </c>
      <c r="X4014">
        <v>2010</v>
      </c>
      <c r="Z4014">
        <v>1</v>
      </c>
      <c r="AB4014">
        <v>0</v>
      </c>
      <c r="AC4014" t="s">
        <v>115</v>
      </c>
      <c r="AD4014">
        <v>3</v>
      </c>
      <c r="AE4014" t="s">
        <v>115</v>
      </c>
      <c r="AF4014">
        <v>0</v>
      </c>
      <c r="AG4014">
        <v>0</v>
      </c>
      <c r="AH4014" t="s">
        <v>116</v>
      </c>
      <c r="AI4014" s="1">
        <v>81011</v>
      </c>
      <c r="AJ4014" s="2">
        <v>0.26</v>
      </c>
      <c r="AK4014" s="1">
        <v>306379</v>
      </c>
      <c r="AL4014" t="s">
        <v>117</v>
      </c>
      <c r="AM4014" t="s">
        <v>191</v>
      </c>
      <c r="AN4014">
        <v>6670</v>
      </c>
      <c r="AO4014">
        <v>0.15</v>
      </c>
      <c r="AR4014">
        <v>1</v>
      </c>
      <c r="AS4014" s="1">
        <v>22130</v>
      </c>
      <c r="AT4014" s="1">
        <v>4420</v>
      </c>
      <c r="AU4014" s="1">
        <v>17710</v>
      </c>
      <c r="AV4014">
        <v>80.03</v>
      </c>
      <c r="AX4014" s="1">
        <v>1464.66</v>
      </c>
      <c r="AY4014" t="s">
        <v>5972</v>
      </c>
      <c r="AZ4014" t="s">
        <v>5972</v>
      </c>
      <c r="BA4014" t="s">
        <v>5061</v>
      </c>
      <c r="BB4014" s="3">
        <v>42755</v>
      </c>
      <c r="BD4014" t="s">
        <v>4274</v>
      </c>
      <c r="BE4014" s="3">
        <v>41815</v>
      </c>
      <c r="BF4014" s="1">
        <v>225000</v>
      </c>
      <c r="BG4014" t="s">
        <v>25583</v>
      </c>
      <c r="BH4014" s="1">
        <v>97.57</v>
      </c>
      <c r="BI4014" s="1">
        <v>225368</v>
      </c>
      <c r="BJ4014" s="3">
        <v>42052</v>
      </c>
      <c r="BK4014" t="s">
        <v>123</v>
      </c>
      <c r="BL4014" t="str">
        <f>"2015.97897"</f>
        <v>2015.97897</v>
      </c>
      <c r="BM4014" t="s">
        <v>1287</v>
      </c>
      <c r="BN4014" t="s">
        <v>15612</v>
      </c>
      <c r="BO4014" t="s">
        <v>25584</v>
      </c>
      <c r="BS4014">
        <v>30</v>
      </c>
      <c r="BW4014" t="str">
        <f>""</f>
        <v/>
      </c>
      <c r="CH4014" t="str">
        <f>""</f>
        <v/>
      </c>
      <c r="CS4014" t="str">
        <f>""</f>
        <v/>
      </c>
    </row>
    <row r="4015" spans="1:97" x14ac:dyDescent="0.25">
      <c r="A4015" t="s">
        <v>589</v>
      </c>
      <c r="B4015" t="s">
        <v>20104</v>
      </c>
      <c r="C4015" t="s">
        <v>25585</v>
      </c>
      <c r="D4015" t="s">
        <v>20104</v>
      </c>
      <c r="E4015" t="s">
        <v>25586</v>
      </c>
      <c r="F4015" t="s">
        <v>108</v>
      </c>
      <c r="H4015" t="s">
        <v>25587</v>
      </c>
      <c r="I4015" t="s">
        <v>225</v>
      </c>
      <c r="J4015" t="s">
        <v>111</v>
      </c>
      <c r="K4015" t="str">
        <f>"85212"</f>
        <v>85212</v>
      </c>
      <c r="L4015" t="s">
        <v>4035</v>
      </c>
      <c r="M4015" t="s">
        <v>25587</v>
      </c>
      <c r="N4015" t="s">
        <v>225</v>
      </c>
      <c r="O4015" t="s">
        <v>111</v>
      </c>
      <c r="P4015" t="str">
        <f>"85212-2061"</f>
        <v>85212-2061</v>
      </c>
      <c r="Q4015" t="s">
        <v>113</v>
      </c>
      <c r="R4015" t="str">
        <f>"304-02-735"</f>
        <v>304-02-735</v>
      </c>
      <c r="S4015" t="s">
        <v>10801</v>
      </c>
      <c r="T4015" t="s">
        <v>7301</v>
      </c>
      <c r="U4015">
        <v>2478</v>
      </c>
      <c r="V4015">
        <v>0</v>
      </c>
      <c r="W4015">
        <v>3</v>
      </c>
      <c r="X4015">
        <v>2001</v>
      </c>
      <c r="Z4015">
        <v>1</v>
      </c>
      <c r="AB4015">
        <v>0</v>
      </c>
      <c r="AC4015" t="s">
        <v>115</v>
      </c>
      <c r="AD4015">
        <v>3</v>
      </c>
      <c r="AE4015" t="s">
        <v>115</v>
      </c>
      <c r="AF4015">
        <v>0</v>
      </c>
      <c r="AG4015">
        <v>0</v>
      </c>
      <c r="AH4015" t="s">
        <v>116</v>
      </c>
      <c r="AI4015" s="1">
        <v>93570</v>
      </c>
      <c r="AJ4015" s="2">
        <v>0.25</v>
      </c>
      <c r="AK4015" s="1">
        <v>377645</v>
      </c>
      <c r="AL4015" t="s">
        <v>117</v>
      </c>
      <c r="AM4015" t="s">
        <v>393</v>
      </c>
      <c r="AN4015">
        <v>11540</v>
      </c>
      <c r="AO4015">
        <v>0.26</v>
      </c>
      <c r="AP4015">
        <v>1</v>
      </c>
      <c r="AR4015">
        <v>1</v>
      </c>
      <c r="AS4015" s="1">
        <v>26810</v>
      </c>
      <c r="AT4015" s="1">
        <v>5360</v>
      </c>
      <c r="AU4015" s="1">
        <v>21450</v>
      </c>
      <c r="AV4015">
        <v>80.010000000000005</v>
      </c>
      <c r="AX4015" s="1">
        <v>1900.92</v>
      </c>
      <c r="AY4015" t="s">
        <v>7302</v>
      </c>
      <c r="AZ4015" t="s">
        <v>777</v>
      </c>
      <c r="BA4015" t="s">
        <v>572</v>
      </c>
      <c r="BE4015" s="3">
        <v>41731</v>
      </c>
      <c r="BF4015" s="1">
        <v>275000</v>
      </c>
      <c r="BG4015" t="s">
        <v>25588</v>
      </c>
      <c r="BH4015" s="1">
        <v>110.98</v>
      </c>
      <c r="BI4015" s="1">
        <v>284075</v>
      </c>
      <c r="BJ4015" s="3">
        <v>41731</v>
      </c>
      <c r="BK4015" t="s">
        <v>123</v>
      </c>
      <c r="BL4015" t="str">
        <f>"2014.211277"</f>
        <v>2014.211277</v>
      </c>
      <c r="BM4015" t="s">
        <v>25589</v>
      </c>
      <c r="BO4015" t="s">
        <v>25590</v>
      </c>
      <c r="BS4015">
        <v>30</v>
      </c>
      <c r="BW4015" t="str">
        <f>""</f>
        <v/>
      </c>
      <c r="CH4015" t="str">
        <f>""</f>
        <v/>
      </c>
      <c r="CS4015" t="str">
        <f>""</f>
        <v/>
      </c>
    </row>
    <row r="4016" spans="1:97" x14ac:dyDescent="0.25">
      <c r="B4016" t="s">
        <v>25591</v>
      </c>
      <c r="C4016" t="s">
        <v>1547</v>
      </c>
      <c r="E4016" t="s">
        <v>11046</v>
      </c>
      <c r="F4016" t="s">
        <v>108</v>
      </c>
      <c r="H4016" t="s">
        <v>25592</v>
      </c>
      <c r="I4016" t="s">
        <v>225</v>
      </c>
      <c r="J4016" t="s">
        <v>111</v>
      </c>
      <c r="K4016" t="str">
        <f>"85215"</f>
        <v>85215</v>
      </c>
      <c r="L4016" t="s">
        <v>8255</v>
      </c>
      <c r="M4016" t="s">
        <v>25592</v>
      </c>
      <c r="N4016" t="s">
        <v>225</v>
      </c>
      <c r="O4016" t="s">
        <v>111</v>
      </c>
      <c r="P4016" t="str">
        <f>"85215-1580"</f>
        <v>85215-1580</v>
      </c>
      <c r="Q4016" t="s">
        <v>113</v>
      </c>
      <c r="R4016" t="str">
        <f>"141-93-176"</f>
        <v>141-93-176</v>
      </c>
      <c r="S4016" t="s">
        <v>19727</v>
      </c>
      <c r="T4016" t="s">
        <v>758</v>
      </c>
      <c r="U4016">
        <v>1851</v>
      </c>
      <c r="V4016">
        <v>0</v>
      </c>
      <c r="W4016">
        <v>3</v>
      </c>
      <c r="X4016">
        <v>1994</v>
      </c>
      <c r="Z4016">
        <v>1</v>
      </c>
      <c r="AB4016">
        <v>0</v>
      </c>
      <c r="AC4016" t="s">
        <v>115</v>
      </c>
      <c r="AD4016">
        <v>2</v>
      </c>
      <c r="AE4016" t="s">
        <v>115</v>
      </c>
      <c r="AF4016">
        <v>0</v>
      </c>
      <c r="AG4016">
        <v>0</v>
      </c>
      <c r="AH4016" t="s">
        <v>116</v>
      </c>
      <c r="AI4016" s="1">
        <v>70444</v>
      </c>
      <c r="AJ4016" s="2">
        <v>0.21</v>
      </c>
      <c r="AK4016" s="1">
        <v>328694</v>
      </c>
      <c r="AL4016" t="s">
        <v>117</v>
      </c>
      <c r="AM4016" t="s">
        <v>393</v>
      </c>
      <c r="AN4016">
        <v>7576</v>
      </c>
      <c r="AO4016">
        <v>0.17</v>
      </c>
      <c r="AP4016">
        <v>1</v>
      </c>
      <c r="AR4016">
        <v>1</v>
      </c>
      <c r="AS4016" s="1">
        <v>22070</v>
      </c>
      <c r="AT4016" s="1">
        <v>4410</v>
      </c>
      <c r="AU4016" s="1">
        <v>17660</v>
      </c>
      <c r="AV4016">
        <v>80.02</v>
      </c>
      <c r="AX4016" s="1">
        <v>1755.32</v>
      </c>
      <c r="AY4016" t="s">
        <v>6662</v>
      </c>
      <c r="AZ4016" t="s">
        <v>5275</v>
      </c>
      <c r="BA4016" t="s">
        <v>3119</v>
      </c>
      <c r="BB4016" s="3">
        <v>43488</v>
      </c>
      <c r="BC4016" s="1">
        <v>0</v>
      </c>
      <c r="BD4016" t="s">
        <v>247</v>
      </c>
      <c r="BE4016" s="3">
        <v>41808</v>
      </c>
      <c r="BF4016" s="1">
        <v>250000</v>
      </c>
      <c r="BG4016" t="s">
        <v>25593</v>
      </c>
      <c r="BH4016" s="1">
        <v>135.06</v>
      </c>
      <c r="BI4016" s="1">
        <v>258250</v>
      </c>
      <c r="BJ4016" s="3">
        <v>41808</v>
      </c>
      <c r="BK4016" t="s">
        <v>123</v>
      </c>
      <c r="BL4016" t="str">
        <f>"2014.399873"</f>
        <v>2014.399873</v>
      </c>
      <c r="BM4016" t="s">
        <v>4014</v>
      </c>
      <c r="BN4016" t="s">
        <v>2081</v>
      </c>
      <c r="BO4016" t="s">
        <v>25594</v>
      </c>
      <c r="BS4016">
        <v>30</v>
      </c>
      <c r="BW4016" t="str">
        <f>""</f>
        <v/>
      </c>
      <c r="CH4016" t="str">
        <f>""</f>
        <v/>
      </c>
      <c r="CS4016" t="str">
        <f>""</f>
        <v/>
      </c>
    </row>
    <row r="4017" spans="1:97" x14ac:dyDescent="0.25">
      <c r="A4017" t="s">
        <v>1359</v>
      </c>
      <c r="B4017" t="s">
        <v>1144</v>
      </c>
      <c r="E4017" t="s">
        <v>25595</v>
      </c>
      <c r="F4017" t="s">
        <v>282</v>
      </c>
      <c r="H4017" t="s">
        <v>25596</v>
      </c>
      <c r="I4017" t="s">
        <v>203</v>
      </c>
      <c r="J4017" t="s">
        <v>111</v>
      </c>
      <c r="K4017" t="str">
        <f>"85297"</f>
        <v>85297</v>
      </c>
      <c r="L4017" t="s">
        <v>7725</v>
      </c>
      <c r="M4017" t="s">
        <v>25597</v>
      </c>
      <c r="N4017" t="s">
        <v>25598</v>
      </c>
      <c r="O4017" t="s">
        <v>111</v>
      </c>
      <c r="P4017" t="str">
        <f>"85730-2931"</f>
        <v>85730-2931</v>
      </c>
      <c r="Q4017" t="s">
        <v>113</v>
      </c>
      <c r="R4017" t="str">
        <f>"313-02-015"</f>
        <v>313-02-015</v>
      </c>
      <c r="S4017" t="s">
        <v>8020</v>
      </c>
      <c r="T4017" t="s">
        <v>8021</v>
      </c>
      <c r="U4017">
        <v>2029</v>
      </c>
      <c r="V4017">
        <v>0</v>
      </c>
      <c r="W4017">
        <v>3</v>
      </c>
      <c r="X4017">
        <v>2003</v>
      </c>
      <c r="Z4017">
        <v>1</v>
      </c>
      <c r="AB4017">
        <v>0</v>
      </c>
      <c r="AC4017" t="s">
        <v>115</v>
      </c>
      <c r="AD4017">
        <v>2</v>
      </c>
      <c r="AE4017" t="s">
        <v>115</v>
      </c>
      <c r="AF4017">
        <v>0</v>
      </c>
      <c r="AG4017">
        <v>0</v>
      </c>
      <c r="AH4017" t="s">
        <v>116</v>
      </c>
      <c r="AI4017" s="1">
        <v>89577</v>
      </c>
      <c r="AJ4017" s="2">
        <v>0.26</v>
      </c>
      <c r="AK4017" s="1">
        <v>344952</v>
      </c>
      <c r="AL4017" t="s">
        <v>117</v>
      </c>
      <c r="AM4017" t="s">
        <v>191</v>
      </c>
      <c r="AN4017">
        <v>8130</v>
      </c>
      <c r="AO4017">
        <v>0.19</v>
      </c>
      <c r="AP4017">
        <v>1</v>
      </c>
      <c r="AR4017">
        <v>1</v>
      </c>
      <c r="AS4017" s="1">
        <v>23610</v>
      </c>
      <c r="AT4017" s="1">
        <v>4720</v>
      </c>
      <c r="AU4017" s="1">
        <v>18890</v>
      </c>
      <c r="AV4017">
        <v>80.010000000000005</v>
      </c>
      <c r="AX4017" s="1">
        <v>2239.04</v>
      </c>
      <c r="AY4017" t="s">
        <v>289</v>
      </c>
      <c r="AZ4017" t="s">
        <v>289</v>
      </c>
      <c r="BA4017" t="s">
        <v>290</v>
      </c>
      <c r="BE4017" s="3">
        <v>41995</v>
      </c>
      <c r="BF4017" s="1">
        <v>250000</v>
      </c>
      <c r="BG4017" t="s">
        <v>25599</v>
      </c>
      <c r="BH4017" s="1">
        <v>123.21</v>
      </c>
      <c r="BI4017" s="1">
        <v>255375</v>
      </c>
      <c r="BJ4017" s="3">
        <v>41995</v>
      </c>
      <c r="BK4017" t="s">
        <v>123</v>
      </c>
      <c r="BL4017" t="str">
        <f>"2014.842692"</f>
        <v>2014.842692</v>
      </c>
      <c r="BM4017" t="s">
        <v>175</v>
      </c>
      <c r="BO4017" t="s">
        <v>25600</v>
      </c>
      <c r="BS4017">
        <v>30</v>
      </c>
      <c r="BW4017" t="str">
        <f>""</f>
        <v/>
      </c>
      <c r="CH4017" t="str">
        <f>""</f>
        <v/>
      </c>
      <c r="CS4017" t="str">
        <f>""</f>
        <v/>
      </c>
    </row>
    <row r="4018" spans="1:97" x14ac:dyDescent="0.25">
      <c r="A4018" t="s">
        <v>434</v>
      </c>
      <c r="B4018" t="s">
        <v>25601</v>
      </c>
      <c r="C4018" t="s">
        <v>25602</v>
      </c>
      <c r="D4018" t="s">
        <v>25601</v>
      </c>
      <c r="E4018" t="s">
        <v>25603</v>
      </c>
      <c r="F4018" t="s">
        <v>108</v>
      </c>
      <c r="H4018" t="s">
        <v>25604</v>
      </c>
      <c r="I4018" t="s">
        <v>632</v>
      </c>
      <c r="J4018" t="s">
        <v>111</v>
      </c>
      <c r="K4018" t="str">
        <f>"85387"</f>
        <v>85387</v>
      </c>
      <c r="L4018" t="s">
        <v>681</v>
      </c>
      <c r="M4018" t="s">
        <v>25604</v>
      </c>
      <c r="N4018" t="s">
        <v>632</v>
      </c>
      <c r="O4018" t="s">
        <v>111</v>
      </c>
      <c r="P4018" t="str">
        <f>"85387-2839"</f>
        <v>85387-2839</v>
      </c>
      <c r="Q4018" t="s">
        <v>113</v>
      </c>
      <c r="R4018" t="str">
        <f>"232-45-499"</f>
        <v>232-45-499</v>
      </c>
      <c r="S4018" t="s">
        <v>25605</v>
      </c>
      <c r="T4018" t="s">
        <v>25605</v>
      </c>
      <c r="U4018">
        <v>1834</v>
      </c>
      <c r="V4018">
        <v>0</v>
      </c>
      <c r="W4018">
        <v>2</v>
      </c>
      <c r="X4018">
        <v>2004</v>
      </c>
      <c r="Z4018">
        <v>1</v>
      </c>
      <c r="AB4018">
        <v>0</v>
      </c>
      <c r="AC4018" t="s">
        <v>115</v>
      </c>
      <c r="AD4018">
        <v>2</v>
      </c>
      <c r="AE4018" t="s">
        <v>115</v>
      </c>
      <c r="AF4018">
        <v>0</v>
      </c>
      <c r="AG4018">
        <v>0</v>
      </c>
      <c r="AH4018" t="s">
        <v>116</v>
      </c>
      <c r="AI4018" s="1">
        <v>34396</v>
      </c>
      <c r="AJ4018" s="2">
        <v>0.11</v>
      </c>
      <c r="AK4018" s="1">
        <v>324396</v>
      </c>
      <c r="AL4018" t="s">
        <v>117</v>
      </c>
      <c r="AM4018" t="s">
        <v>118</v>
      </c>
      <c r="AN4018">
        <v>6736</v>
      </c>
      <c r="AO4018">
        <v>0.16</v>
      </c>
      <c r="AP4018">
        <v>1</v>
      </c>
      <c r="AR4018">
        <v>1</v>
      </c>
      <c r="AS4018" s="1">
        <v>21320</v>
      </c>
      <c r="AT4018" s="1">
        <v>4260</v>
      </c>
      <c r="AU4018" s="1">
        <v>17060</v>
      </c>
      <c r="AV4018">
        <v>80.02</v>
      </c>
      <c r="AX4018" s="1">
        <v>2170.8200000000002</v>
      </c>
      <c r="AY4018" t="s">
        <v>5108</v>
      </c>
      <c r="AZ4018" t="s">
        <v>5108</v>
      </c>
      <c r="BA4018" t="s">
        <v>5109</v>
      </c>
      <c r="BE4018" s="3">
        <v>42327</v>
      </c>
      <c r="BF4018" s="1">
        <v>263000</v>
      </c>
      <c r="BG4018" t="s">
        <v>25606</v>
      </c>
      <c r="BH4018" s="1">
        <v>143.4</v>
      </c>
      <c r="BI4018" s="1">
        <v>290000</v>
      </c>
      <c r="BJ4018" s="3">
        <v>42909</v>
      </c>
      <c r="BK4018" t="s">
        <v>123</v>
      </c>
      <c r="BL4018" t="str">
        <f>"2017.458635"</f>
        <v>2017.458635</v>
      </c>
      <c r="BM4018" t="s">
        <v>1249</v>
      </c>
      <c r="BO4018" t="s">
        <v>25607</v>
      </c>
      <c r="BS4018">
        <v>30</v>
      </c>
      <c r="BW4018" t="str">
        <f>""</f>
        <v/>
      </c>
      <c r="CH4018" t="str">
        <f>""</f>
        <v/>
      </c>
      <c r="CS4018" t="str">
        <f>""</f>
        <v/>
      </c>
    </row>
    <row r="4019" spans="1:97" x14ac:dyDescent="0.25">
      <c r="A4019" t="s">
        <v>25608</v>
      </c>
      <c r="B4019" t="s">
        <v>364</v>
      </c>
      <c r="C4019" t="s">
        <v>5375</v>
      </c>
      <c r="D4019" t="s">
        <v>364</v>
      </c>
      <c r="E4019" t="s">
        <v>25609</v>
      </c>
      <c r="F4019" t="s">
        <v>108</v>
      </c>
      <c r="H4019" t="s">
        <v>25610</v>
      </c>
      <c r="I4019" t="s">
        <v>499</v>
      </c>
      <c r="J4019" t="s">
        <v>111</v>
      </c>
      <c r="K4019" t="str">
        <f>"85395"</f>
        <v>85395</v>
      </c>
      <c r="L4019" t="s">
        <v>3885</v>
      </c>
      <c r="M4019" t="s">
        <v>25610</v>
      </c>
      <c r="N4019" t="s">
        <v>499</v>
      </c>
      <c r="O4019" t="s">
        <v>111</v>
      </c>
      <c r="P4019" t="str">
        <f>"85395-8302"</f>
        <v>85395-8302</v>
      </c>
      <c r="Q4019" t="s">
        <v>113</v>
      </c>
      <c r="R4019" t="str">
        <f>"501-70-477"</f>
        <v>501-70-477</v>
      </c>
      <c r="S4019" t="s">
        <v>10746</v>
      </c>
      <c r="T4019" t="s">
        <v>10747</v>
      </c>
      <c r="U4019">
        <v>1578</v>
      </c>
      <c r="V4019">
        <v>0</v>
      </c>
      <c r="W4019">
        <v>3</v>
      </c>
      <c r="X4019">
        <v>2002</v>
      </c>
      <c r="Z4019">
        <v>1</v>
      </c>
      <c r="AB4019">
        <v>0</v>
      </c>
      <c r="AC4019" t="s">
        <v>115</v>
      </c>
      <c r="AD4019">
        <v>3</v>
      </c>
      <c r="AE4019" t="s">
        <v>115</v>
      </c>
      <c r="AF4019">
        <v>0</v>
      </c>
      <c r="AG4019">
        <v>0</v>
      </c>
      <c r="AH4019" t="s">
        <v>116</v>
      </c>
      <c r="AI4019" s="1">
        <v>26529</v>
      </c>
      <c r="AJ4019" s="2">
        <v>0.1</v>
      </c>
      <c r="AK4019" s="1">
        <v>264119</v>
      </c>
      <c r="AL4019" t="s">
        <v>117</v>
      </c>
      <c r="AM4019" t="s">
        <v>118</v>
      </c>
      <c r="AN4019">
        <v>8357</v>
      </c>
      <c r="AO4019">
        <v>0.19</v>
      </c>
      <c r="AP4019">
        <v>1</v>
      </c>
      <c r="AR4019">
        <v>1</v>
      </c>
      <c r="AS4019" s="1">
        <v>18180</v>
      </c>
      <c r="AT4019" s="1">
        <v>3630</v>
      </c>
      <c r="AU4019" s="1">
        <v>14550</v>
      </c>
      <c r="AV4019">
        <v>80.03</v>
      </c>
      <c r="AX4019" s="1">
        <v>2272.48</v>
      </c>
      <c r="AY4019" t="s">
        <v>3020</v>
      </c>
      <c r="AZ4019" t="s">
        <v>3020</v>
      </c>
      <c r="BA4019" t="s">
        <v>3154</v>
      </c>
      <c r="BE4019" s="3">
        <v>41842</v>
      </c>
      <c r="BF4019" s="1">
        <v>190000</v>
      </c>
      <c r="BG4019" t="s">
        <v>25611</v>
      </c>
      <c r="BH4019" s="1">
        <v>120.41</v>
      </c>
      <c r="BI4019" s="1">
        <v>237590</v>
      </c>
      <c r="BJ4019" s="3">
        <v>43026</v>
      </c>
      <c r="BK4019" t="s">
        <v>123</v>
      </c>
      <c r="BL4019" t="str">
        <f>"2017.770230"</f>
        <v>2017.770230</v>
      </c>
      <c r="BM4019" t="s">
        <v>361</v>
      </c>
      <c r="BO4019" t="s">
        <v>25612</v>
      </c>
      <c r="BS4019">
        <v>30</v>
      </c>
      <c r="BW4019" t="str">
        <f>""</f>
        <v/>
      </c>
      <c r="CH4019" t="str">
        <f>""</f>
        <v/>
      </c>
      <c r="CS4019" t="str">
        <f>""</f>
        <v/>
      </c>
    </row>
    <row r="4020" spans="1:97" x14ac:dyDescent="0.25">
      <c r="A4020" t="s">
        <v>265</v>
      </c>
      <c r="B4020" t="s">
        <v>25613</v>
      </c>
      <c r="E4020" t="s">
        <v>25614</v>
      </c>
      <c r="F4020" t="s">
        <v>108</v>
      </c>
      <c r="H4020" t="s">
        <v>25615</v>
      </c>
      <c r="I4020" t="s">
        <v>225</v>
      </c>
      <c r="J4020" t="s">
        <v>111</v>
      </c>
      <c r="K4020" t="str">
        <f>"85207"</f>
        <v>85207</v>
      </c>
      <c r="L4020" t="s">
        <v>8151</v>
      </c>
      <c r="M4020" t="s">
        <v>25615</v>
      </c>
      <c r="N4020" t="s">
        <v>225</v>
      </c>
      <c r="O4020" t="s">
        <v>111</v>
      </c>
      <c r="P4020" t="str">
        <f>"85207-1719"</f>
        <v>85207-1719</v>
      </c>
      <c r="Q4020" t="s">
        <v>113</v>
      </c>
      <c r="R4020" t="str">
        <f>"220-11-561"</f>
        <v>220-11-561</v>
      </c>
      <c r="S4020" t="s">
        <v>25616</v>
      </c>
      <c r="T4020" t="s">
        <v>25617</v>
      </c>
      <c r="U4020">
        <v>1866</v>
      </c>
      <c r="V4020">
        <v>0</v>
      </c>
      <c r="W4020">
        <v>2</v>
      </c>
      <c r="X4020">
        <v>1999</v>
      </c>
      <c r="Z4020">
        <v>1</v>
      </c>
      <c r="AB4020">
        <v>0</v>
      </c>
      <c r="AC4020" t="s">
        <v>115</v>
      </c>
      <c r="AD4020">
        <v>2</v>
      </c>
      <c r="AE4020" t="s">
        <v>115</v>
      </c>
      <c r="AF4020">
        <v>0</v>
      </c>
      <c r="AG4020">
        <v>0</v>
      </c>
      <c r="AH4020" t="s">
        <v>116</v>
      </c>
      <c r="AI4020" s="1">
        <v>56298</v>
      </c>
      <c r="AJ4020" s="2">
        <v>0.21</v>
      </c>
      <c r="AK4020" s="1">
        <v>266298</v>
      </c>
      <c r="AL4020" t="s">
        <v>117</v>
      </c>
      <c r="AM4020" t="s">
        <v>191</v>
      </c>
      <c r="AN4020">
        <v>5375</v>
      </c>
      <c r="AO4020">
        <v>0.12</v>
      </c>
      <c r="AP4020">
        <v>1</v>
      </c>
      <c r="AR4020">
        <v>1</v>
      </c>
      <c r="AS4020" s="1">
        <v>17910</v>
      </c>
      <c r="AT4020" s="1">
        <v>3580</v>
      </c>
      <c r="AU4020" s="1">
        <v>14330</v>
      </c>
      <c r="AV4020">
        <v>80.010000000000005</v>
      </c>
      <c r="AX4020" s="1">
        <v>1254.56</v>
      </c>
      <c r="AY4020" t="s">
        <v>6572</v>
      </c>
      <c r="AZ4020" t="s">
        <v>3761</v>
      </c>
      <c r="BA4020" t="s">
        <v>232</v>
      </c>
      <c r="BE4020" s="3">
        <v>42345</v>
      </c>
      <c r="BF4020" s="1">
        <v>210000</v>
      </c>
      <c r="BG4020" t="s">
        <v>25618</v>
      </c>
      <c r="BH4020" s="1">
        <v>112.54</v>
      </c>
      <c r="BI4020" s="1">
        <v>210000</v>
      </c>
      <c r="BJ4020" s="3">
        <v>42345</v>
      </c>
      <c r="BK4020" t="s">
        <v>123</v>
      </c>
      <c r="BL4020" t="str">
        <f>"2015.865716"</f>
        <v>2015.865716</v>
      </c>
      <c r="BM4020" t="s">
        <v>25619</v>
      </c>
      <c r="BO4020" t="s">
        <v>25620</v>
      </c>
      <c r="BS4020">
        <v>30</v>
      </c>
      <c r="BW4020" t="str">
        <f>""</f>
        <v/>
      </c>
      <c r="CH4020" t="str">
        <f>""</f>
        <v/>
      </c>
      <c r="CS4020" t="str">
        <f>""</f>
        <v/>
      </c>
    </row>
    <row r="4021" spans="1:97" x14ac:dyDescent="0.25">
      <c r="A4021" t="s">
        <v>140</v>
      </c>
      <c r="B4021" t="s">
        <v>1722</v>
      </c>
      <c r="C4021" t="s">
        <v>259</v>
      </c>
      <c r="D4021" t="s">
        <v>1722</v>
      </c>
      <c r="E4021" t="s">
        <v>25621</v>
      </c>
      <c r="F4021" t="s">
        <v>108</v>
      </c>
      <c r="H4021" t="s">
        <v>25622</v>
      </c>
      <c r="I4021" t="s">
        <v>167</v>
      </c>
      <c r="J4021" t="s">
        <v>111</v>
      </c>
      <c r="K4021" t="str">
        <f>"85339"</f>
        <v>85339</v>
      </c>
      <c r="L4021" t="s">
        <v>5637</v>
      </c>
      <c r="M4021" t="s">
        <v>25622</v>
      </c>
      <c r="N4021" t="s">
        <v>167</v>
      </c>
      <c r="O4021" t="s">
        <v>111</v>
      </c>
      <c r="P4021" t="str">
        <f>"85339-5235"</f>
        <v>85339-5235</v>
      </c>
      <c r="Q4021" t="s">
        <v>113</v>
      </c>
      <c r="R4021" t="str">
        <f>"300-15-767"</f>
        <v>300-15-767</v>
      </c>
      <c r="S4021" t="s">
        <v>14428</v>
      </c>
      <c r="T4021" t="s">
        <v>14429</v>
      </c>
      <c r="U4021">
        <v>1907</v>
      </c>
      <c r="V4021">
        <v>0</v>
      </c>
      <c r="W4021">
        <v>4</v>
      </c>
      <c r="X4021">
        <v>2009</v>
      </c>
      <c r="Z4021">
        <v>2</v>
      </c>
      <c r="AB4021">
        <v>0</v>
      </c>
      <c r="AC4021" t="s">
        <v>115</v>
      </c>
      <c r="AD4021">
        <v>2</v>
      </c>
      <c r="AE4021" t="s">
        <v>115</v>
      </c>
      <c r="AF4021">
        <v>0</v>
      </c>
      <c r="AG4021">
        <v>0</v>
      </c>
      <c r="AH4021" t="s">
        <v>116</v>
      </c>
      <c r="AI4021" s="1">
        <v>27069</v>
      </c>
      <c r="AJ4021" s="2">
        <v>0.11</v>
      </c>
      <c r="AK4021" s="1">
        <v>241887</v>
      </c>
      <c r="AL4021" t="s">
        <v>117</v>
      </c>
      <c r="AM4021" t="s">
        <v>171</v>
      </c>
      <c r="AN4021">
        <v>4828</v>
      </c>
      <c r="AO4021">
        <v>0.11</v>
      </c>
      <c r="AR4021">
        <v>1</v>
      </c>
      <c r="AS4021" s="1">
        <v>16100</v>
      </c>
      <c r="AT4021" s="1">
        <v>3220</v>
      </c>
      <c r="AU4021" s="1">
        <v>12880</v>
      </c>
      <c r="AV4021">
        <v>80</v>
      </c>
      <c r="AX4021" s="1">
        <v>1988.4</v>
      </c>
      <c r="AY4021" t="s">
        <v>805</v>
      </c>
      <c r="AZ4021" t="s">
        <v>806</v>
      </c>
      <c r="BA4021" t="s">
        <v>173</v>
      </c>
      <c r="BB4021" s="3">
        <v>42620</v>
      </c>
      <c r="BD4021" t="s">
        <v>240</v>
      </c>
      <c r="BE4021" s="3">
        <v>42199</v>
      </c>
      <c r="BF4021" s="1">
        <v>175000</v>
      </c>
      <c r="BG4021" t="s">
        <v>5252</v>
      </c>
      <c r="BH4021" s="1">
        <v>91.77</v>
      </c>
      <c r="BI4021" s="1">
        <v>214818</v>
      </c>
      <c r="BJ4021" s="3">
        <v>43550</v>
      </c>
      <c r="BK4021" t="s">
        <v>123</v>
      </c>
      <c r="BL4021" t="str">
        <f>"2019.205949"</f>
        <v>2019.205949</v>
      </c>
      <c r="BM4021" t="s">
        <v>25623</v>
      </c>
      <c r="BN4021" t="s">
        <v>25624</v>
      </c>
      <c r="BO4021" t="s">
        <v>25625</v>
      </c>
      <c r="BP4021" t="s">
        <v>25626</v>
      </c>
      <c r="BR4021" t="s">
        <v>139</v>
      </c>
      <c r="BW4021" t="str">
        <f>""</f>
        <v/>
      </c>
      <c r="CH4021" t="str">
        <f>""</f>
        <v/>
      </c>
      <c r="CS4021" t="str">
        <f>""</f>
        <v/>
      </c>
    </row>
    <row r="4022" spans="1:97" x14ac:dyDescent="0.25">
      <c r="A4022" t="s">
        <v>25627</v>
      </c>
      <c r="B4022" t="s">
        <v>25628</v>
      </c>
      <c r="C4022" t="s">
        <v>2374</v>
      </c>
      <c r="D4022" t="s">
        <v>25628</v>
      </c>
      <c r="E4022" t="s">
        <v>25629</v>
      </c>
      <c r="F4022" t="s">
        <v>108</v>
      </c>
      <c r="H4022" t="s">
        <v>25630</v>
      </c>
      <c r="I4022" t="s">
        <v>110</v>
      </c>
      <c r="J4022" t="s">
        <v>111</v>
      </c>
      <c r="K4022" t="str">
        <f>"85226"</f>
        <v>85226</v>
      </c>
      <c r="L4022" t="s">
        <v>7834</v>
      </c>
      <c r="M4022" t="s">
        <v>25630</v>
      </c>
      <c r="N4022" t="s">
        <v>110</v>
      </c>
      <c r="O4022" t="s">
        <v>111</v>
      </c>
      <c r="P4022" t="str">
        <f>"85226-4967"</f>
        <v>85226-4967</v>
      </c>
      <c r="Q4022" t="s">
        <v>113</v>
      </c>
      <c r="R4022" t="str">
        <f>"301-65-542"</f>
        <v>301-65-542</v>
      </c>
      <c r="S4022" t="s">
        <v>13964</v>
      </c>
      <c r="U4022">
        <v>1264</v>
      </c>
      <c r="V4022">
        <v>0</v>
      </c>
      <c r="W4022">
        <v>2</v>
      </c>
      <c r="X4022">
        <v>1986</v>
      </c>
      <c r="Z4022">
        <v>2</v>
      </c>
      <c r="AA4022" t="s">
        <v>26</v>
      </c>
      <c r="AB4022">
        <v>0</v>
      </c>
      <c r="AC4022" t="s">
        <v>115</v>
      </c>
      <c r="AD4022">
        <v>2</v>
      </c>
      <c r="AE4022" t="s">
        <v>115</v>
      </c>
      <c r="AF4022">
        <v>0</v>
      </c>
      <c r="AG4022">
        <v>0</v>
      </c>
      <c r="AH4022" t="s">
        <v>116</v>
      </c>
      <c r="AI4022" s="1">
        <v>51970</v>
      </c>
      <c r="AJ4022" s="2">
        <v>0.19</v>
      </c>
      <c r="AK4022" s="1">
        <v>276597</v>
      </c>
      <c r="AL4022" t="s">
        <v>117</v>
      </c>
      <c r="AM4022" t="s">
        <v>118</v>
      </c>
      <c r="AN4022">
        <v>4870</v>
      </c>
      <c r="AO4022">
        <v>0.11</v>
      </c>
      <c r="AP4022">
        <v>1</v>
      </c>
      <c r="AR4022">
        <v>1</v>
      </c>
      <c r="AS4022" s="1">
        <v>18310</v>
      </c>
      <c r="AT4022" s="1">
        <v>3660</v>
      </c>
      <c r="AU4022" s="1">
        <v>14650</v>
      </c>
      <c r="AV4022">
        <v>80.010000000000005</v>
      </c>
      <c r="AX4022" s="1">
        <v>1316.32</v>
      </c>
      <c r="AY4022" t="s">
        <v>8225</v>
      </c>
      <c r="AZ4022" t="s">
        <v>5922</v>
      </c>
      <c r="BA4022" t="s">
        <v>5202</v>
      </c>
      <c r="BE4022" s="3">
        <v>42124</v>
      </c>
      <c r="BF4022" s="1">
        <v>219900</v>
      </c>
      <c r="BG4022" t="s">
        <v>24778</v>
      </c>
      <c r="BH4022" s="1">
        <v>173.97</v>
      </c>
      <c r="BI4022" s="1">
        <v>224627</v>
      </c>
      <c r="BJ4022" s="3">
        <v>42124</v>
      </c>
      <c r="BK4022" t="s">
        <v>123</v>
      </c>
      <c r="BL4022" t="str">
        <f>"2015.304833"</f>
        <v>2015.304833</v>
      </c>
      <c r="BM4022" t="s">
        <v>11327</v>
      </c>
      <c r="BO4022" t="s">
        <v>25631</v>
      </c>
      <c r="BS4022">
        <v>30</v>
      </c>
      <c r="BW4022" t="str">
        <f>""</f>
        <v/>
      </c>
      <c r="CH4022" t="str">
        <f>""</f>
        <v/>
      </c>
      <c r="CS4022" t="str">
        <f>""</f>
        <v/>
      </c>
    </row>
    <row r="4023" spans="1:97" x14ac:dyDescent="0.25">
      <c r="A4023" t="s">
        <v>6000</v>
      </c>
      <c r="B4023" t="s">
        <v>25632</v>
      </c>
      <c r="C4023" t="s">
        <v>25633</v>
      </c>
      <c r="D4023" t="s">
        <v>25632</v>
      </c>
      <c r="E4023" t="s">
        <v>25634</v>
      </c>
      <c r="F4023" t="s">
        <v>282</v>
      </c>
      <c r="H4023" t="s">
        <v>25635</v>
      </c>
      <c r="I4023" t="s">
        <v>144</v>
      </c>
      <c r="J4023" t="s">
        <v>111</v>
      </c>
      <c r="K4023" t="str">
        <f>"85396"</f>
        <v>85396</v>
      </c>
      <c r="L4023" t="s">
        <v>1244</v>
      </c>
      <c r="M4023" t="s">
        <v>25636</v>
      </c>
      <c r="N4023" t="s">
        <v>25637</v>
      </c>
      <c r="O4023" t="s">
        <v>111</v>
      </c>
      <c r="P4023" t="str">
        <f>"85138-6663"</f>
        <v>85138-6663</v>
      </c>
      <c r="Q4023" t="s">
        <v>113</v>
      </c>
      <c r="R4023" t="str">
        <f>"502-81-480"</f>
        <v>502-81-480</v>
      </c>
      <c r="S4023" t="s">
        <v>12465</v>
      </c>
      <c r="U4023">
        <v>2170</v>
      </c>
      <c r="V4023">
        <v>0</v>
      </c>
      <c r="W4023">
        <v>3</v>
      </c>
      <c r="X4023">
        <v>2011</v>
      </c>
      <c r="Z4023">
        <v>1</v>
      </c>
      <c r="AB4023">
        <v>0</v>
      </c>
      <c r="AC4023" t="s">
        <v>115</v>
      </c>
      <c r="AD4023">
        <v>3</v>
      </c>
      <c r="AE4023" t="s">
        <v>115</v>
      </c>
      <c r="AF4023">
        <v>0</v>
      </c>
      <c r="AG4023">
        <v>0</v>
      </c>
      <c r="AH4023" t="s">
        <v>116</v>
      </c>
      <c r="AI4023" s="1">
        <v>18773</v>
      </c>
      <c r="AJ4023" s="2">
        <v>0.06</v>
      </c>
      <c r="AK4023" s="1">
        <v>323373</v>
      </c>
      <c r="AL4023" t="s">
        <v>117</v>
      </c>
      <c r="AM4023" t="s">
        <v>118</v>
      </c>
      <c r="AN4023">
        <v>7501</v>
      </c>
      <c r="AO4023">
        <v>0.17</v>
      </c>
      <c r="AR4023">
        <v>1</v>
      </c>
      <c r="AS4023" s="1">
        <v>22500</v>
      </c>
      <c r="AT4023" s="1">
        <v>4500</v>
      </c>
      <c r="AU4023" s="1">
        <v>18000</v>
      </c>
      <c r="AV4023">
        <v>80</v>
      </c>
      <c r="AX4023" s="1">
        <v>3402.16</v>
      </c>
      <c r="AY4023" t="s">
        <v>217</v>
      </c>
      <c r="AZ4023" t="s">
        <v>217</v>
      </c>
      <c r="BA4023" t="s">
        <v>218</v>
      </c>
      <c r="BE4023" s="3">
        <v>42459</v>
      </c>
      <c r="BF4023" s="1">
        <v>295000</v>
      </c>
      <c r="BG4023" t="s">
        <v>25638</v>
      </c>
      <c r="BH4023" s="1">
        <v>135.94</v>
      </c>
      <c r="BI4023" s="1">
        <v>304600</v>
      </c>
      <c r="BJ4023" s="3">
        <v>42758</v>
      </c>
      <c r="BK4023" t="s">
        <v>123</v>
      </c>
      <c r="BL4023" t="str">
        <f>"2017.49101"</f>
        <v>2017.49101</v>
      </c>
      <c r="BM4023" t="s">
        <v>673</v>
      </c>
      <c r="BO4023" t="s">
        <v>25639</v>
      </c>
      <c r="BQ4023" t="str">
        <f>"2.8750%"</f>
        <v>2.8750%</v>
      </c>
      <c r="BR4023" t="s">
        <v>1480</v>
      </c>
      <c r="BS4023">
        <v>30</v>
      </c>
      <c r="BW4023" t="str">
        <f>""</f>
        <v/>
      </c>
      <c r="CH4023" t="str">
        <f>""</f>
        <v/>
      </c>
      <c r="CS4023" t="str">
        <f>""</f>
        <v/>
      </c>
    </row>
    <row r="4024" spans="1:97" x14ac:dyDescent="0.25">
      <c r="A4024" t="s">
        <v>3901</v>
      </c>
      <c r="B4024" t="s">
        <v>25640</v>
      </c>
      <c r="C4024" t="s">
        <v>364</v>
      </c>
      <c r="D4024" t="s">
        <v>25640</v>
      </c>
      <c r="E4024" t="s">
        <v>25641</v>
      </c>
      <c r="F4024" t="s">
        <v>108</v>
      </c>
      <c r="H4024" t="s">
        <v>25642</v>
      </c>
      <c r="I4024" t="s">
        <v>225</v>
      </c>
      <c r="J4024" t="s">
        <v>111</v>
      </c>
      <c r="K4024" t="str">
        <f>"85204"</f>
        <v>85204</v>
      </c>
      <c r="L4024" t="s">
        <v>1300</v>
      </c>
      <c r="M4024" t="s">
        <v>25642</v>
      </c>
      <c r="N4024" t="s">
        <v>225</v>
      </c>
      <c r="O4024" t="s">
        <v>111</v>
      </c>
      <c r="P4024" t="str">
        <f>"85204-4516"</f>
        <v>85204-4516</v>
      </c>
      <c r="Q4024" t="s">
        <v>113</v>
      </c>
      <c r="R4024" t="str">
        <f>"140-43-439"</f>
        <v>140-43-439</v>
      </c>
      <c r="S4024" t="s">
        <v>25643</v>
      </c>
      <c r="U4024">
        <v>1740</v>
      </c>
      <c r="V4024">
        <v>0</v>
      </c>
      <c r="W4024">
        <v>3</v>
      </c>
      <c r="X4024">
        <v>1983</v>
      </c>
      <c r="Z4024">
        <v>1</v>
      </c>
      <c r="AA4024" t="s">
        <v>26</v>
      </c>
      <c r="AB4024">
        <v>0</v>
      </c>
      <c r="AC4024" t="s">
        <v>115</v>
      </c>
      <c r="AD4024">
        <v>2</v>
      </c>
      <c r="AE4024" t="s">
        <v>115</v>
      </c>
      <c r="AF4024">
        <v>0</v>
      </c>
      <c r="AG4024">
        <v>0</v>
      </c>
      <c r="AH4024" t="s">
        <v>116</v>
      </c>
      <c r="AI4024" s="1">
        <v>21325</v>
      </c>
      <c r="AJ4024" s="2">
        <v>0.08</v>
      </c>
      <c r="AK4024" s="1">
        <v>277825</v>
      </c>
      <c r="AL4024" t="s">
        <v>117</v>
      </c>
      <c r="AM4024" t="s">
        <v>393</v>
      </c>
      <c r="AN4024">
        <v>8084</v>
      </c>
      <c r="AO4024">
        <v>0.19</v>
      </c>
      <c r="AP4024">
        <v>1</v>
      </c>
      <c r="AR4024">
        <v>1</v>
      </c>
      <c r="AS4024" s="1">
        <v>20200</v>
      </c>
      <c r="AT4024" s="1">
        <v>4040</v>
      </c>
      <c r="AU4024" s="1">
        <v>16160</v>
      </c>
      <c r="AV4024">
        <v>80</v>
      </c>
      <c r="AX4024" s="1">
        <v>1331.74</v>
      </c>
      <c r="AY4024" t="s">
        <v>8934</v>
      </c>
      <c r="AZ4024" t="s">
        <v>5158</v>
      </c>
      <c r="BA4024" t="s">
        <v>5159</v>
      </c>
      <c r="BE4024" s="3">
        <v>42027</v>
      </c>
      <c r="BF4024" s="1">
        <v>215000</v>
      </c>
      <c r="BG4024" t="s">
        <v>25644</v>
      </c>
      <c r="BH4024" s="1">
        <v>123.56</v>
      </c>
      <c r="BI4024" s="1">
        <v>256500</v>
      </c>
      <c r="BJ4024" s="3">
        <v>43263</v>
      </c>
      <c r="BK4024" t="s">
        <v>123</v>
      </c>
      <c r="BL4024" t="str">
        <f>"2018.447874"</f>
        <v>2018.447874</v>
      </c>
      <c r="BM4024" t="s">
        <v>5501</v>
      </c>
      <c r="BN4024" t="s">
        <v>5502</v>
      </c>
      <c r="BO4024" t="s">
        <v>25645</v>
      </c>
      <c r="BP4024" t="s">
        <v>25646</v>
      </c>
      <c r="BR4024" t="s">
        <v>139</v>
      </c>
      <c r="BW4024" t="str">
        <f>""</f>
        <v/>
      </c>
      <c r="CH4024" t="str">
        <f>""</f>
        <v/>
      </c>
      <c r="CS4024" t="str">
        <f>""</f>
        <v/>
      </c>
    </row>
    <row r="4025" spans="1:97" x14ac:dyDescent="0.25">
      <c r="A4025" t="s">
        <v>305</v>
      </c>
      <c r="B4025" t="s">
        <v>25647</v>
      </c>
      <c r="C4025" t="s">
        <v>2762</v>
      </c>
      <c r="D4025" t="s">
        <v>25647</v>
      </c>
      <c r="E4025" t="s">
        <v>25648</v>
      </c>
      <c r="F4025" t="s">
        <v>108</v>
      </c>
      <c r="H4025" t="s">
        <v>25649</v>
      </c>
      <c r="I4025" t="s">
        <v>390</v>
      </c>
      <c r="J4025" t="s">
        <v>111</v>
      </c>
      <c r="K4025" t="str">
        <f>"85006"</f>
        <v>85006</v>
      </c>
      <c r="L4025" t="s">
        <v>6691</v>
      </c>
      <c r="M4025" t="s">
        <v>25649</v>
      </c>
      <c r="N4025" t="s">
        <v>390</v>
      </c>
      <c r="O4025" t="s">
        <v>111</v>
      </c>
      <c r="P4025" t="str">
        <f>"85006-1017"</f>
        <v>85006-1017</v>
      </c>
      <c r="Q4025" t="s">
        <v>113</v>
      </c>
      <c r="R4025" t="str">
        <f>"117-28-033"</f>
        <v>117-28-033</v>
      </c>
      <c r="S4025" t="s">
        <v>25650</v>
      </c>
      <c r="T4025" t="s">
        <v>25651</v>
      </c>
      <c r="U4025">
        <v>1757</v>
      </c>
      <c r="V4025">
        <v>0</v>
      </c>
      <c r="W4025">
        <v>4</v>
      </c>
      <c r="X4025">
        <v>1943</v>
      </c>
      <c r="Z4025">
        <v>1</v>
      </c>
      <c r="AB4025">
        <v>0</v>
      </c>
      <c r="AC4025" t="s">
        <v>5188</v>
      </c>
      <c r="AD4025">
        <v>1</v>
      </c>
      <c r="AE4025" t="s">
        <v>5188</v>
      </c>
      <c r="AF4025">
        <v>0</v>
      </c>
      <c r="AG4025">
        <v>0</v>
      </c>
      <c r="AH4025" t="s">
        <v>5467</v>
      </c>
      <c r="AI4025" s="1">
        <v>16859</v>
      </c>
      <c r="AJ4025" s="2">
        <v>0.04</v>
      </c>
      <c r="AK4025" s="1">
        <v>460445</v>
      </c>
      <c r="AL4025" t="s">
        <v>117</v>
      </c>
      <c r="AM4025" t="s">
        <v>191</v>
      </c>
      <c r="AN4025">
        <v>6913</v>
      </c>
      <c r="AO4025">
        <v>0.16</v>
      </c>
      <c r="AP4025">
        <v>1</v>
      </c>
      <c r="AR4025">
        <v>1</v>
      </c>
      <c r="AS4025" s="1">
        <v>15525</v>
      </c>
      <c r="AT4025" s="1">
        <v>3105</v>
      </c>
      <c r="AU4025" s="1">
        <v>12420</v>
      </c>
      <c r="AV4025">
        <v>80</v>
      </c>
      <c r="AX4025" s="1">
        <v>1659.66</v>
      </c>
      <c r="AY4025" t="s">
        <v>22774</v>
      </c>
      <c r="AZ4025" t="s">
        <v>22774</v>
      </c>
      <c r="BA4025" t="s">
        <v>8412</v>
      </c>
      <c r="BE4025" s="3">
        <v>42502</v>
      </c>
      <c r="BF4025" s="1">
        <v>440000</v>
      </c>
      <c r="BG4025" t="s">
        <v>25652</v>
      </c>
      <c r="BH4025" s="1">
        <v>438.25</v>
      </c>
      <c r="BI4025" s="1">
        <v>443586</v>
      </c>
      <c r="BJ4025" s="3">
        <v>42502</v>
      </c>
      <c r="BK4025" t="s">
        <v>123</v>
      </c>
      <c r="BL4025" t="str">
        <f>"2016.325540"</f>
        <v>2016.325540</v>
      </c>
      <c r="BM4025" t="s">
        <v>1544</v>
      </c>
      <c r="BO4025" t="s">
        <v>25653</v>
      </c>
      <c r="BS4025">
        <v>30</v>
      </c>
      <c r="BW4025" t="str">
        <f>""</f>
        <v/>
      </c>
      <c r="CH4025" t="str">
        <f>""</f>
        <v/>
      </c>
      <c r="CS4025" t="str">
        <f>""</f>
        <v/>
      </c>
    </row>
    <row r="4026" spans="1:97" x14ac:dyDescent="0.25">
      <c r="A4026" t="s">
        <v>25654</v>
      </c>
      <c r="B4026" t="s">
        <v>1655</v>
      </c>
      <c r="E4026" t="s">
        <v>25655</v>
      </c>
      <c r="F4026" t="s">
        <v>108</v>
      </c>
      <c r="H4026" t="s">
        <v>25656</v>
      </c>
      <c r="I4026" t="s">
        <v>110</v>
      </c>
      <c r="J4026" t="s">
        <v>111</v>
      </c>
      <c r="K4026" t="str">
        <f>"85224"</f>
        <v>85224</v>
      </c>
      <c r="L4026" t="s">
        <v>5416</v>
      </c>
      <c r="M4026" t="s">
        <v>25656</v>
      </c>
      <c r="N4026" t="s">
        <v>110</v>
      </c>
      <c r="O4026" t="s">
        <v>111</v>
      </c>
      <c r="P4026" t="str">
        <f>"85224-5252"</f>
        <v>85224-5252</v>
      </c>
      <c r="Q4026" t="s">
        <v>113</v>
      </c>
      <c r="R4026" t="str">
        <f>"303-23-568"</f>
        <v>303-23-568</v>
      </c>
      <c r="S4026" t="s">
        <v>25657</v>
      </c>
      <c r="T4026" t="s">
        <v>9959</v>
      </c>
      <c r="U4026">
        <v>1675</v>
      </c>
      <c r="V4026">
        <v>0</v>
      </c>
      <c r="W4026">
        <v>3</v>
      </c>
      <c r="X4026">
        <v>1992</v>
      </c>
      <c r="Z4026">
        <v>1</v>
      </c>
      <c r="AB4026">
        <v>0</v>
      </c>
      <c r="AC4026" t="s">
        <v>115</v>
      </c>
      <c r="AD4026">
        <v>2</v>
      </c>
      <c r="AE4026" t="s">
        <v>115</v>
      </c>
      <c r="AF4026">
        <v>0</v>
      </c>
      <c r="AG4026">
        <v>0</v>
      </c>
      <c r="AH4026" t="s">
        <v>116</v>
      </c>
      <c r="AI4026" s="1">
        <v>72803</v>
      </c>
      <c r="AJ4026" s="2">
        <v>0.24</v>
      </c>
      <c r="AK4026" s="1">
        <v>302538</v>
      </c>
      <c r="AL4026" t="s">
        <v>117</v>
      </c>
      <c r="AM4026" t="s">
        <v>118</v>
      </c>
      <c r="AN4026">
        <v>5171</v>
      </c>
      <c r="AO4026">
        <v>0.12</v>
      </c>
      <c r="AP4026">
        <v>1</v>
      </c>
      <c r="AR4026">
        <v>1</v>
      </c>
      <c r="AS4026" s="1">
        <v>20860</v>
      </c>
      <c r="AT4026" s="1">
        <v>4170</v>
      </c>
      <c r="AU4026" s="1">
        <v>16690</v>
      </c>
      <c r="AV4026">
        <v>80.010000000000005</v>
      </c>
      <c r="AX4026" s="1">
        <v>1638.46</v>
      </c>
      <c r="AY4026" t="s">
        <v>6015</v>
      </c>
      <c r="AZ4026" t="s">
        <v>5078</v>
      </c>
      <c r="BA4026" t="s">
        <v>121</v>
      </c>
      <c r="BE4026" s="3">
        <v>42104</v>
      </c>
      <c r="BF4026" s="1">
        <v>224900</v>
      </c>
      <c r="BG4026" t="s">
        <v>25658</v>
      </c>
      <c r="BH4026" s="1">
        <v>134.27000000000001</v>
      </c>
      <c r="BI4026" s="1">
        <v>229735</v>
      </c>
      <c r="BJ4026" s="3">
        <v>42104</v>
      </c>
      <c r="BK4026" t="s">
        <v>123</v>
      </c>
      <c r="BL4026" t="str">
        <f>"2015.247104"</f>
        <v>2015.247104</v>
      </c>
      <c r="BM4026" t="s">
        <v>150</v>
      </c>
      <c r="BO4026" t="s">
        <v>25659</v>
      </c>
      <c r="BS4026">
        <v>30</v>
      </c>
      <c r="BW4026" t="str">
        <f>""</f>
        <v/>
      </c>
      <c r="CH4026" t="str">
        <f>""</f>
        <v/>
      </c>
      <c r="CS4026" t="str">
        <f>""</f>
        <v/>
      </c>
    </row>
    <row r="4027" spans="1:97" x14ac:dyDescent="0.25">
      <c r="A4027" t="s">
        <v>305</v>
      </c>
      <c r="B4027" t="s">
        <v>6380</v>
      </c>
      <c r="C4027" t="s">
        <v>1335</v>
      </c>
      <c r="D4027" t="s">
        <v>6380</v>
      </c>
      <c r="E4027" t="s">
        <v>25660</v>
      </c>
      <c r="F4027" t="s">
        <v>108</v>
      </c>
      <c r="H4027" t="s">
        <v>25661</v>
      </c>
      <c r="I4027" t="s">
        <v>632</v>
      </c>
      <c r="J4027" t="s">
        <v>111</v>
      </c>
      <c r="K4027" t="str">
        <f>"85379"</f>
        <v>85379</v>
      </c>
      <c r="L4027" t="s">
        <v>5058</v>
      </c>
      <c r="M4027" t="s">
        <v>25661</v>
      </c>
      <c r="N4027" t="s">
        <v>632</v>
      </c>
      <c r="O4027" t="s">
        <v>111</v>
      </c>
      <c r="P4027" t="str">
        <f>"85379-1178"</f>
        <v>85379-1178</v>
      </c>
      <c r="Q4027" t="s">
        <v>113</v>
      </c>
      <c r="R4027" t="str">
        <f>"501-79-445"</f>
        <v>501-79-445</v>
      </c>
      <c r="S4027" t="s">
        <v>5059</v>
      </c>
      <c r="U4027">
        <v>2085</v>
      </c>
      <c r="V4027">
        <v>0</v>
      </c>
      <c r="W4027">
        <v>3</v>
      </c>
      <c r="X4027">
        <v>2015</v>
      </c>
      <c r="Z4027">
        <v>1</v>
      </c>
      <c r="AB4027">
        <v>0</v>
      </c>
      <c r="AC4027" t="s">
        <v>115</v>
      </c>
      <c r="AD4027">
        <v>2</v>
      </c>
      <c r="AE4027" t="s">
        <v>115</v>
      </c>
      <c r="AF4027">
        <v>0</v>
      </c>
      <c r="AG4027">
        <v>0</v>
      </c>
      <c r="AH4027" t="s">
        <v>116</v>
      </c>
      <c r="AI4027" s="1">
        <v>-3683</v>
      </c>
      <c r="AJ4027" s="2">
        <v>-0.01</v>
      </c>
      <c r="AK4027" s="1">
        <v>302942</v>
      </c>
      <c r="AL4027" t="s">
        <v>117</v>
      </c>
      <c r="AM4027" t="s">
        <v>118</v>
      </c>
      <c r="AN4027">
        <v>6670</v>
      </c>
      <c r="AO4027">
        <v>0.15</v>
      </c>
      <c r="AR4027">
        <v>1</v>
      </c>
      <c r="AS4027" s="1">
        <v>22260</v>
      </c>
      <c r="AT4027" s="1">
        <v>4450</v>
      </c>
      <c r="AU4027" s="1">
        <v>17810</v>
      </c>
      <c r="AV4027">
        <v>80.010000000000005</v>
      </c>
      <c r="AX4027" s="1">
        <v>1774.48</v>
      </c>
      <c r="AY4027" t="s">
        <v>5060</v>
      </c>
      <c r="AZ4027" t="s">
        <v>5060</v>
      </c>
      <c r="BA4027" t="s">
        <v>5061</v>
      </c>
      <c r="BE4027" s="3">
        <v>42118</v>
      </c>
      <c r="BF4027" s="1">
        <v>247705</v>
      </c>
      <c r="BG4027" t="s">
        <v>292</v>
      </c>
      <c r="BH4027" s="1">
        <v>118.8</v>
      </c>
      <c r="BI4027" s="1">
        <v>306625</v>
      </c>
      <c r="BJ4027" s="3">
        <v>43585</v>
      </c>
      <c r="BK4027" t="s">
        <v>123</v>
      </c>
      <c r="BL4027" t="str">
        <f>"2019.308124"</f>
        <v>2019.308124</v>
      </c>
      <c r="BM4027" t="s">
        <v>159</v>
      </c>
      <c r="BN4027" t="s">
        <v>160</v>
      </c>
      <c r="BO4027" t="s">
        <v>25662</v>
      </c>
      <c r="BP4027" t="s">
        <v>25663</v>
      </c>
      <c r="BR4027" t="s">
        <v>139</v>
      </c>
      <c r="BW4027" t="str">
        <f>""</f>
        <v/>
      </c>
      <c r="CH4027" t="str">
        <f>""</f>
        <v/>
      </c>
      <c r="CS4027" t="str">
        <f>""</f>
        <v/>
      </c>
    </row>
    <row r="4028" spans="1:97" x14ac:dyDescent="0.25">
      <c r="A4028" t="s">
        <v>962</v>
      </c>
      <c r="B4028" t="s">
        <v>14266</v>
      </c>
      <c r="C4028" t="s">
        <v>464</v>
      </c>
      <c r="D4028" t="s">
        <v>25664</v>
      </c>
      <c r="E4028" t="s">
        <v>25665</v>
      </c>
      <c r="F4028" t="s">
        <v>108</v>
      </c>
      <c r="H4028" t="s">
        <v>25666</v>
      </c>
      <c r="I4028" t="s">
        <v>390</v>
      </c>
      <c r="J4028" t="s">
        <v>111</v>
      </c>
      <c r="K4028" t="str">
        <f>"85042"</f>
        <v>85042</v>
      </c>
      <c r="L4028" t="s">
        <v>6766</v>
      </c>
      <c r="M4028" t="s">
        <v>25666</v>
      </c>
      <c r="N4028" t="s">
        <v>390</v>
      </c>
      <c r="O4028" t="s">
        <v>111</v>
      </c>
      <c r="P4028" t="str">
        <f>"85042-6825"</f>
        <v>85042-6825</v>
      </c>
      <c r="Q4028" t="s">
        <v>113</v>
      </c>
      <c r="R4028" t="str">
        <f>"301-33-100"</f>
        <v>301-33-100</v>
      </c>
      <c r="S4028" t="s">
        <v>25667</v>
      </c>
      <c r="T4028" t="s">
        <v>25667</v>
      </c>
      <c r="U4028">
        <v>1920</v>
      </c>
      <c r="V4028">
        <v>0</v>
      </c>
      <c r="W4028">
        <v>3</v>
      </c>
      <c r="X4028">
        <v>1999</v>
      </c>
      <c r="Z4028">
        <v>1</v>
      </c>
      <c r="AA4028" t="s">
        <v>26</v>
      </c>
      <c r="AB4028">
        <v>0</v>
      </c>
      <c r="AC4028" t="s">
        <v>115</v>
      </c>
      <c r="AD4028">
        <v>2</v>
      </c>
      <c r="AE4028" t="s">
        <v>115</v>
      </c>
      <c r="AF4028">
        <v>0</v>
      </c>
      <c r="AG4028">
        <v>0</v>
      </c>
      <c r="AH4028" t="s">
        <v>116</v>
      </c>
      <c r="AI4028" s="1">
        <v>75502</v>
      </c>
      <c r="AJ4028" s="2">
        <v>0.26</v>
      </c>
      <c r="AK4028" s="1">
        <v>293081</v>
      </c>
      <c r="AL4028" t="s">
        <v>117</v>
      </c>
      <c r="AM4028" t="s">
        <v>171</v>
      </c>
      <c r="AN4028">
        <v>6450</v>
      </c>
      <c r="AO4028">
        <v>0.15</v>
      </c>
      <c r="AP4028">
        <v>1</v>
      </c>
      <c r="AR4028">
        <v>1</v>
      </c>
      <c r="AS4028" s="1">
        <v>20710</v>
      </c>
      <c r="AT4028" s="1">
        <v>4140</v>
      </c>
      <c r="AU4028" s="1">
        <v>16570</v>
      </c>
      <c r="AV4028">
        <v>80.010000000000005</v>
      </c>
      <c r="AX4028" s="1">
        <v>2114.7600000000002</v>
      </c>
      <c r="AY4028" t="s">
        <v>6115</v>
      </c>
      <c r="AZ4028" t="s">
        <v>6115</v>
      </c>
      <c r="BA4028" t="s">
        <v>2860</v>
      </c>
      <c r="BB4028" s="3">
        <v>41872</v>
      </c>
      <c r="BD4028" t="s">
        <v>240</v>
      </c>
      <c r="BE4028" s="3">
        <v>41712</v>
      </c>
      <c r="BF4028" s="1">
        <v>213000</v>
      </c>
      <c r="BG4028" t="s">
        <v>25668</v>
      </c>
      <c r="BH4028" s="1">
        <v>110.94</v>
      </c>
      <c r="BI4028" s="1">
        <v>217579</v>
      </c>
      <c r="BJ4028" s="3">
        <v>41712</v>
      </c>
      <c r="BK4028" t="s">
        <v>123</v>
      </c>
      <c r="BL4028" t="str">
        <f>"2014.163831"</f>
        <v>2014.163831</v>
      </c>
      <c r="BM4028" t="s">
        <v>475</v>
      </c>
      <c r="BO4028" t="s">
        <v>25669</v>
      </c>
      <c r="BS4028">
        <v>30</v>
      </c>
      <c r="BW4028" t="str">
        <f>""</f>
        <v/>
      </c>
      <c r="CH4028" t="str">
        <f>""</f>
        <v/>
      </c>
      <c r="CS4028" t="str">
        <f>""</f>
        <v/>
      </c>
    </row>
    <row r="4029" spans="1:97" x14ac:dyDescent="0.25">
      <c r="A4029" t="s">
        <v>25670</v>
      </c>
      <c r="B4029" t="s">
        <v>6495</v>
      </c>
      <c r="E4029" t="s">
        <v>25671</v>
      </c>
      <c r="F4029" t="s">
        <v>108</v>
      </c>
      <c r="H4029" t="s">
        <v>25672</v>
      </c>
      <c r="I4029" t="s">
        <v>225</v>
      </c>
      <c r="J4029" t="s">
        <v>111</v>
      </c>
      <c r="K4029" t="str">
        <f>"85203"</f>
        <v>85203</v>
      </c>
      <c r="L4029" t="s">
        <v>6325</v>
      </c>
      <c r="M4029" t="s">
        <v>25672</v>
      </c>
      <c r="N4029" t="s">
        <v>225</v>
      </c>
      <c r="O4029" t="s">
        <v>111</v>
      </c>
      <c r="P4029" t="str">
        <f>"85203-2642"</f>
        <v>85203-2642</v>
      </c>
      <c r="Q4029" t="s">
        <v>113</v>
      </c>
      <c r="R4029" t="str">
        <f>"136-25-123"</f>
        <v>136-25-123</v>
      </c>
      <c r="S4029" t="s">
        <v>25475</v>
      </c>
      <c r="T4029" t="s">
        <v>25476</v>
      </c>
      <c r="U4029">
        <v>1966</v>
      </c>
      <c r="V4029">
        <v>0</v>
      </c>
      <c r="W4029">
        <v>3</v>
      </c>
      <c r="X4029">
        <v>1985</v>
      </c>
      <c r="Z4029">
        <v>1</v>
      </c>
      <c r="AB4029">
        <v>0</v>
      </c>
      <c r="AC4029" t="s">
        <v>115</v>
      </c>
      <c r="AD4029">
        <v>2</v>
      </c>
      <c r="AE4029" t="s">
        <v>115</v>
      </c>
      <c r="AF4029">
        <v>0</v>
      </c>
      <c r="AG4029">
        <v>0</v>
      </c>
      <c r="AH4029" t="s">
        <v>116</v>
      </c>
      <c r="AI4029" s="1">
        <v>56372</v>
      </c>
      <c r="AJ4029" s="2">
        <v>0.19</v>
      </c>
      <c r="AK4029" s="1">
        <v>304137</v>
      </c>
      <c r="AL4029" t="s">
        <v>117</v>
      </c>
      <c r="AM4029" t="s">
        <v>393</v>
      </c>
      <c r="AN4029">
        <v>7924</v>
      </c>
      <c r="AO4029">
        <v>0.18</v>
      </c>
      <c r="AP4029">
        <v>1</v>
      </c>
      <c r="AR4029">
        <v>1</v>
      </c>
      <c r="AS4029" s="1">
        <v>20220</v>
      </c>
      <c r="AT4029" s="1">
        <v>4040</v>
      </c>
      <c r="AU4029" s="1">
        <v>16180</v>
      </c>
      <c r="AV4029">
        <v>80.02</v>
      </c>
      <c r="AX4029" s="1">
        <v>1497.08</v>
      </c>
      <c r="AY4029" t="s">
        <v>6401</v>
      </c>
      <c r="AZ4029" t="s">
        <v>4163</v>
      </c>
      <c r="BA4029" t="s">
        <v>5191</v>
      </c>
      <c r="BE4029" s="3">
        <v>42061</v>
      </c>
      <c r="BF4029" s="1">
        <v>250000</v>
      </c>
      <c r="BG4029" t="s">
        <v>25673</v>
      </c>
      <c r="BH4029" s="1">
        <v>127.16</v>
      </c>
      <c r="BI4029" s="1">
        <v>247765</v>
      </c>
      <c r="BJ4029" s="3">
        <v>42572</v>
      </c>
      <c r="BK4029" t="s">
        <v>123</v>
      </c>
      <c r="BL4029" t="str">
        <f>"2016.513420"</f>
        <v>2016.513420</v>
      </c>
      <c r="BM4029" t="s">
        <v>402</v>
      </c>
      <c r="BO4029" t="s">
        <v>25674</v>
      </c>
      <c r="BS4029">
        <v>30</v>
      </c>
      <c r="BW4029" t="str">
        <f>""</f>
        <v/>
      </c>
      <c r="CH4029" t="str">
        <f>""</f>
        <v/>
      </c>
      <c r="CS4029" t="str">
        <f>""</f>
        <v/>
      </c>
    </row>
    <row r="4030" spans="1:97" x14ac:dyDescent="0.25">
      <c r="A4030" t="s">
        <v>589</v>
      </c>
      <c r="B4030" t="s">
        <v>1082</v>
      </c>
      <c r="C4030" t="s">
        <v>4900</v>
      </c>
      <c r="D4030" t="s">
        <v>25675</v>
      </c>
      <c r="E4030" t="s">
        <v>25676</v>
      </c>
      <c r="F4030" t="s">
        <v>108</v>
      </c>
      <c r="H4030" t="s">
        <v>25677</v>
      </c>
      <c r="I4030" t="s">
        <v>225</v>
      </c>
      <c r="J4030" t="s">
        <v>111</v>
      </c>
      <c r="K4030" t="str">
        <f>"85209"</f>
        <v>85209</v>
      </c>
      <c r="L4030" t="s">
        <v>2820</v>
      </c>
      <c r="M4030" t="s">
        <v>25677</v>
      </c>
      <c r="N4030" t="s">
        <v>225</v>
      </c>
      <c r="O4030" t="s">
        <v>111</v>
      </c>
      <c r="P4030" t="str">
        <f>"85209-6267"</f>
        <v>85209-6267</v>
      </c>
      <c r="R4030" t="str">
        <f>"309-09-067"</f>
        <v>309-09-067</v>
      </c>
      <c r="S4030" t="s">
        <v>25678</v>
      </c>
      <c r="T4030" t="s">
        <v>6551</v>
      </c>
      <c r="U4030">
        <v>1544</v>
      </c>
      <c r="V4030">
        <v>0</v>
      </c>
      <c r="W4030">
        <v>3</v>
      </c>
      <c r="X4030">
        <v>1996</v>
      </c>
      <c r="Z4030">
        <v>2</v>
      </c>
      <c r="AA4030" t="s">
        <v>26</v>
      </c>
      <c r="AB4030">
        <v>0</v>
      </c>
      <c r="AC4030" t="s">
        <v>115</v>
      </c>
      <c r="AD4030">
        <v>2</v>
      </c>
      <c r="AE4030" t="s">
        <v>115</v>
      </c>
      <c r="AF4030">
        <v>0</v>
      </c>
      <c r="AG4030">
        <v>0</v>
      </c>
      <c r="AH4030" t="s">
        <v>116</v>
      </c>
      <c r="AI4030" s="1">
        <v>60489</v>
      </c>
      <c r="AJ4030" s="2">
        <v>0.22</v>
      </c>
      <c r="AK4030" s="1">
        <v>277419</v>
      </c>
      <c r="AL4030" t="s">
        <v>117</v>
      </c>
      <c r="AM4030" t="s">
        <v>191</v>
      </c>
      <c r="AN4030">
        <v>6530</v>
      </c>
      <c r="AO4030">
        <v>0.15</v>
      </c>
      <c r="AP4030">
        <v>1</v>
      </c>
      <c r="AR4030">
        <v>1</v>
      </c>
      <c r="AS4030" s="1">
        <v>19470</v>
      </c>
      <c r="AT4030" s="1">
        <v>3890</v>
      </c>
      <c r="AU4030" s="1">
        <v>15580</v>
      </c>
      <c r="AV4030">
        <v>80.02</v>
      </c>
      <c r="AX4030" s="1">
        <v>1327.12</v>
      </c>
      <c r="AY4030" t="s">
        <v>6552</v>
      </c>
      <c r="AZ4030" t="s">
        <v>571</v>
      </c>
      <c r="BA4030" t="s">
        <v>572</v>
      </c>
      <c r="BE4030" s="3">
        <v>42538</v>
      </c>
      <c r="BF4030" s="1">
        <v>210000</v>
      </c>
      <c r="BG4030" t="s">
        <v>25679</v>
      </c>
      <c r="BH4030" s="1">
        <v>136.01</v>
      </c>
      <c r="BI4030" s="1">
        <v>216930</v>
      </c>
      <c r="BJ4030" s="3">
        <v>42538</v>
      </c>
      <c r="BK4030" t="s">
        <v>123</v>
      </c>
      <c r="BL4030" t="str">
        <f>"2016.423765"</f>
        <v>2016.423765</v>
      </c>
      <c r="BM4030" t="s">
        <v>25680</v>
      </c>
      <c r="BN4030" t="s">
        <v>25681</v>
      </c>
      <c r="BO4030" t="s">
        <v>25682</v>
      </c>
      <c r="BP4030" t="s">
        <v>25683</v>
      </c>
      <c r="BS4030">
        <v>30</v>
      </c>
      <c r="BW4030" t="str">
        <f>""</f>
        <v/>
      </c>
      <c r="CH4030" t="str">
        <f>""</f>
        <v/>
      </c>
      <c r="CS4030" t="str">
        <f>""</f>
        <v/>
      </c>
    </row>
    <row r="4031" spans="1:97" x14ac:dyDescent="0.25">
      <c r="A4031" t="s">
        <v>7405</v>
      </c>
      <c r="B4031" t="s">
        <v>603</v>
      </c>
      <c r="C4031" t="s">
        <v>1950</v>
      </c>
      <c r="D4031" t="s">
        <v>603</v>
      </c>
      <c r="E4031" t="s">
        <v>25684</v>
      </c>
      <c r="F4031" t="s">
        <v>108</v>
      </c>
      <c r="H4031" t="s">
        <v>25685</v>
      </c>
      <c r="I4031" t="s">
        <v>203</v>
      </c>
      <c r="J4031" t="s">
        <v>111</v>
      </c>
      <c r="K4031" t="str">
        <f>"85296"</f>
        <v>85296</v>
      </c>
      <c r="L4031" t="s">
        <v>4467</v>
      </c>
      <c r="M4031" t="s">
        <v>25685</v>
      </c>
      <c r="N4031" t="s">
        <v>203</v>
      </c>
      <c r="O4031" t="s">
        <v>111</v>
      </c>
      <c r="P4031" t="str">
        <f>"85296-8969"</f>
        <v>85296-8969</v>
      </c>
      <c r="Q4031" t="s">
        <v>113</v>
      </c>
      <c r="R4031" t="str">
        <f>"309-15-015"</f>
        <v>309-15-015</v>
      </c>
      <c r="S4031" t="s">
        <v>12690</v>
      </c>
      <c r="T4031" t="s">
        <v>12690</v>
      </c>
      <c r="U4031">
        <v>1340</v>
      </c>
      <c r="V4031">
        <v>0</v>
      </c>
      <c r="W4031">
        <v>3</v>
      </c>
      <c r="X4031">
        <v>1998</v>
      </c>
      <c r="Z4031">
        <v>1</v>
      </c>
      <c r="AA4031" t="s">
        <v>26</v>
      </c>
      <c r="AB4031">
        <v>0</v>
      </c>
      <c r="AC4031" t="s">
        <v>115</v>
      </c>
      <c r="AD4031">
        <v>2</v>
      </c>
      <c r="AE4031" t="s">
        <v>115</v>
      </c>
      <c r="AF4031">
        <v>0</v>
      </c>
      <c r="AG4031">
        <v>0</v>
      </c>
      <c r="AH4031" t="s">
        <v>116</v>
      </c>
      <c r="AI4031" s="1">
        <v>50837</v>
      </c>
      <c r="AJ4031" s="2">
        <v>0.18</v>
      </c>
      <c r="AK4031" s="1">
        <v>278120</v>
      </c>
      <c r="AL4031" t="s">
        <v>117</v>
      </c>
      <c r="AM4031" t="s">
        <v>191</v>
      </c>
      <c r="AN4031">
        <v>5502</v>
      </c>
      <c r="AO4031">
        <v>0.13</v>
      </c>
      <c r="AP4031">
        <v>1</v>
      </c>
      <c r="AR4031">
        <v>1</v>
      </c>
      <c r="AS4031" s="1">
        <v>18080</v>
      </c>
      <c r="AT4031" s="1">
        <v>3610</v>
      </c>
      <c r="AU4031" s="1">
        <v>14470</v>
      </c>
      <c r="AV4031">
        <v>80.03</v>
      </c>
      <c r="AX4031" s="1">
        <v>1294.3</v>
      </c>
      <c r="AY4031" t="s">
        <v>5094</v>
      </c>
      <c r="AZ4031" t="s">
        <v>5094</v>
      </c>
      <c r="BA4031" t="s">
        <v>473</v>
      </c>
      <c r="BE4031" s="3">
        <v>42412</v>
      </c>
      <c r="BF4031" s="1">
        <v>222500</v>
      </c>
      <c r="BG4031" t="s">
        <v>25686</v>
      </c>
      <c r="BH4031" s="1">
        <v>166.04</v>
      </c>
      <c r="BI4031" s="1">
        <v>227283</v>
      </c>
      <c r="BJ4031" s="3">
        <v>42412</v>
      </c>
      <c r="BK4031" t="s">
        <v>123</v>
      </c>
      <c r="BL4031" t="str">
        <f>"2016.93520"</f>
        <v>2016.93520</v>
      </c>
      <c r="BM4031" t="s">
        <v>2716</v>
      </c>
      <c r="BO4031" t="s">
        <v>25687</v>
      </c>
      <c r="BS4031">
        <v>30</v>
      </c>
      <c r="BW4031" t="str">
        <f>""</f>
        <v/>
      </c>
      <c r="CH4031" t="str">
        <f>""</f>
        <v/>
      </c>
      <c r="CS4031" t="str">
        <f>""</f>
        <v/>
      </c>
    </row>
    <row r="4032" spans="1:97" x14ac:dyDescent="0.25">
      <c r="A4032" t="s">
        <v>2012</v>
      </c>
      <c r="B4032" t="s">
        <v>348</v>
      </c>
      <c r="C4032" t="s">
        <v>6510</v>
      </c>
      <c r="D4032" t="s">
        <v>348</v>
      </c>
      <c r="E4032" t="s">
        <v>25688</v>
      </c>
      <c r="F4032" t="s">
        <v>108</v>
      </c>
      <c r="H4032" t="s">
        <v>25689</v>
      </c>
      <c r="I4032" t="s">
        <v>110</v>
      </c>
      <c r="J4032" t="s">
        <v>111</v>
      </c>
      <c r="K4032" t="str">
        <f>"85226"</f>
        <v>85226</v>
      </c>
      <c r="L4032" t="s">
        <v>6145</v>
      </c>
      <c r="M4032" t="s">
        <v>25689</v>
      </c>
      <c r="N4032" t="s">
        <v>110</v>
      </c>
      <c r="O4032" t="s">
        <v>111</v>
      </c>
      <c r="P4032" t="str">
        <f>"85226-7209"</f>
        <v>85226-7209</v>
      </c>
      <c r="Q4032" t="s">
        <v>113</v>
      </c>
      <c r="R4032" t="str">
        <f>"301-62-738"</f>
        <v>301-62-738</v>
      </c>
      <c r="S4032" t="s">
        <v>21508</v>
      </c>
      <c r="U4032">
        <v>1844</v>
      </c>
      <c r="V4032">
        <v>0</v>
      </c>
      <c r="W4032">
        <v>3</v>
      </c>
      <c r="X4032">
        <v>1985</v>
      </c>
      <c r="Z4032">
        <v>1</v>
      </c>
      <c r="AB4032">
        <v>0</v>
      </c>
      <c r="AC4032" t="s">
        <v>115</v>
      </c>
      <c r="AD4032">
        <v>2</v>
      </c>
      <c r="AE4032" t="s">
        <v>115</v>
      </c>
      <c r="AF4032">
        <v>0</v>
      </c>
      <c r="AG4032">
        <v>0</v>
      </c>
      <c r="AH4032" t="s">
        <v>116</v>
      </c>
      <c r="AI4032" s="1">
        <v>92707</v>
      </c>
      <c r="AJ4032" s="2">
        <v>0.25</v>
      </c>
      <c r="AK4032" s="1">
        <v>365707</v>
      </c>
      <c r="AL4032" t="s">
        <v>117</v>
      </c>
      <c r="AM4032" t="s">
        <v>5077</v>
      </c>
      <c r="AN4032">
        <v>9975</v>
      </c>
      <c r="AO4032">
        <v>0.23</v>
      </c>
      <c r="AP4032">
        <v>1</v>
      </c>
      <c r="AR4032">
        <v>1</v>
      </c>
      <c r="AS4032" s="1">
        <v>26420</v>
      </c>
      <c r="AT4032" s="1">
        <v>5280</v>
      </c>
      <c r="AU4032" s="1">
        <v>21140</v>
      </c>
      <c r="AV4032">
        <v>80.02</v>
      </c>
      <c r="AX4032" s="1">
        <v>1920.58</v>
      </c>
      <c r="AY4032" t="s">
        <v>5921</v>
      </c>
      <c r="AZ4032" t="s">
        <v>5922</v>
      </c>
      <c r="BA4032" t="s">
        <v>5202</v>
      </c>
      <c r="BE4032" s="3">
        <v>41645</v>
      </c>
      <c r="BF4032" s="1">
        <v>275000</v>
      </c>
      <c r="BG4032" t="s">
        <v>25690</v>
      </c>
      <c r="BH4032" s="1">
        <v>149.13</v>
      </c>
      <c r="BI4032" s="1">
        <v>273000</v>
      </c>
      <c r="BJ4032" s="3">
        <v>41645</v>
      </c>
      <c r="BK4032" t="s">
        <v>123</v>
      </c>
      <c r="BL4032" t="str">
        <f>"2014.8403"</f>
        <v>2014.8403</v>
      </c>
      <c r="BM4032" t="s">
        <v>2290</v>
      </c>
      <c r="BO4032" t="s">
        <v>25691</v>
      </c>
      <c r="BS4032">
        <v>30</v>
      </c>
      <c r="BW4032" t="str">
        <f>""</f>
        <v/>
      </c>
      <c r="CH4032" t="str">
        <f>""</f>
        <v/>
      </c>
      <c r="CS4032" t="str">
        <f>""</f>
        <v/>
      </c>
    </row>
    <row r="4033" spans="1:97" x14ac:dyDescent="0.25">
      <c r="A4033" t="s">
        <v>177</v>
      </c>
      <c r="B4033" t="s">
        <v>25692</v>
      </c>
      <c r="E4033" t="s">
        <v>25693</v>
      </c>
      <c r="F4033" t="s">
        <v>108</v>
      </c>
      <c r="H4033" t="s">
        <v>25694</v>
      </c>
      <c r="I4033" t="s">
        <v>1788</v>
      </c>
      <c r="J4033" t="s">
        <v>111</v>
      </c>
      <c r="K4033" t="str">
        <f>"85355"</f>
        <v>85355</v>
      </c>
      <c r="L4033" t="s">
        <v>168</v>
      </c>
      <c r="M4033" t="s">
        <v>25694</v>
      </c>
      <c r="N4033" t="s">
        <v>1788</v>
      </c>
      <c r="O4033" t="s">
        <v>111</v>
      </c>
      <c r="P4033" t="str">
        <f>"85355-4468"</f>
        <v>85355-4468</v>
      </c>
      <c r="Q4033" t="s">
        <v>113</v>
      </c>
      <c r="R4033" t="str">
        <f>"502-90-118"</f>
        <v>502-90-118</v>
      </c>
      <c r="S4033" t="s">
        <v>8290</v>
      </c>
      <c r="U4033">
        <v>2379</v>
      </c>
      <c r="V4033">
        <v>0</v>
      </c>
      <c r="W4033">
        <v>4</v>
      </c>
      <c r="X4033">
        <v>2006</v>
      </c>
      <c r="Z4033">
        <v>2</v>
      </c>
      <c r="AB4033">
        <v>0</v>
      </c>
      <c r="AC4033" t="s">
        <v>115</v>
      </c>
      <c r="AD4033">
        <v>2</v>
      </c>
      <c r="AE4033" t="s">
        <v>115</v>
      </c>
      <c r="AF4033">
        <v>0</v>
      </c>
      <c r="AG4033">
        <v>0</v>
      </c>
      <c r="AH4033" t="s">
        <v>116</v>
      </c>
      <c r="AI4033" s="1">
        <v>61028</v>
      </c>
      <c r="AJ4033" s="2">
        <v>0.23</v>
      </c>
      <c r="AK4033" s="1">
        <v>263780</v>
      </c>
      <c r="AL4033" t="s">
        <v>117</v>
      </c>
      <c r="AM4033" t="s">
        <v>191</v>
      </c>
      <c r="AN4033">
        <v>5520</v>
      </c>
      <c r="AO4033">
        <v>0.13</v>
      </c>
      <c r="AR4033">
        <v>1</v>
      </c>
      <c r="AS4033" s="1">
        <v>18380</v>
      </c>
      <c r="AT4033" s="1">
        <v>3670</v>
      </c>
      <c r="AU4033" s="1">
        <v>14710</v>
      </c>
      <c r="AV4033">
        <v>80.03</v>
      </c>
      <c r="AX4033" s="1">
        <v>1366.42</v>
      </c>
      <c r="AY4033" t="s">
        <v>5972</v>
      </c>
      <c r="AZ4033" t="s">
        <v>5972</v>
      </c>
      <c r="BA4033" t="s">
        <v>5061</v>
      </c>
      <c r="BE4033" s="3">
        <v>42384</v>
      </c>
      <c r="BF4033" s="1">
        <v>175500</v>
      </c>
      <c r="BG4033" t="s">
        <v>25695</v>
      </c>
      <c r="BH4033" s="1">
        <v>73.77</v>
      </c>
      <c r="BI4033" s="1">
        <v>202752</v>
      </c>
      <c r="BJ4033" s="3">
        <v>43265</v>
      </c>
      <c r="BK4033" t="s">
        <v>123</v>
      </c>
      <c r="BL4033" t="str">
        <f>"2018.453262"</f>
        <v>2018.453262</v>
      </c>
      <c r="BM4033" t="s">
        <v>5842</v>
      </c>
      <c r="BN4033" t="s">
        <v>5843</v>
      </c>
      <c r="BO4033" t="s">
        <v>25696</v>
      </c>
      <c r="BP4033" t="s">
        <v>25697</v>
      </c>
      <c r="BR4033" t="s">
        <v>139</v>
      </c>
      <c r="BW4033" t="str">
        <f>""</f>
        <v/>
      </c>
      <c r="CH4033" t="str">
        <f>""</f>
        <v/>
      </c>
      <c r="CS4033" t="str">
        <f>""</f>
        <v/>
      </c>
    </row>
    <row r="4034" spans="1:97" x14ac:dyDescent="0.25">
      <c r="A4034" t="s">
        <v>753</v>
      </c>
      <c r="B4034" t="s">
        <v>25698</v>
      </c>
      <c r="C4034" t="s">
        <v>5560</v>
      </c>
      <c r="D4034" t="s">
        <v>25698</v>
      </c>
      <c r="E4034" t="s">
        <v>25699</v>
      </c>
      <c r="F4034" t="s">
        <v>108</v>
      </c>
      <c r="H4034" t="s">
        <v>25700</v>
      </c>
      <c r="I4034" t="s">
        <v>632</v>
      </c>
      <c r="J4034" t="s">
        <v>111</v>
      </c>
      <c r="K4034" t="str">
        <f>"85379"</f>
        <v>85379</v>
      </c>
      <c r="L4034" t="s">
        <v>6416</v>
      </c>
      <c r="M4034" t="s">
        <v>25700</v>
      </c>
      <c r="N4034" t="s">
        <v>632</v>
      </c>
      <c r="O4034" t="s">
        <v>111</v>
      </c>
      <c r="P4034" t="str">
        <f>"85379-5636"</f>
        <v>85379-5636</v>
      </c>
      <c r="Q4034" t="s">
        <v>113</v>
      </c>
      <c r="R4034" t="str">
        <f>"501-97-567"</f>
        <v>501-97-567</v>
      </c>
      <c r="S4034" t="s">
        <v>25701</v>
      </c>
      <c r="T4034" t="s">
        <v>25702</v>
      </c>
      <c r="U4034">
        <v>2287</v>
      </c>
      <c r="V4034">
        <v>0</v>
      </c>
      <c r="W4034">
        <v>4</v>
      </c>
      <c r="X4034">
        <v>2004</v>
      </c>
      <c r="Z4034">
        <v>2</v>
      </c>
      <c r="AB4034">
        <v>0</v>
      </c>
      <c r="AC4034" t="s">
        <v>115</v>
      </c>
      <c r="AD4034">
        <v>3</v>
      </c>
      <c r="AE4034" t="s">
        <v>115</v>
      </c>
      <c r="AF4034">
        <v>0</v>
      </c>
      <c r="AG4034">
        <v>0</v>
      </c>
      <c r="AH4034" t="s">
        <v>116</v>
      </c>
      <c r="AI4034" s="1">
        <v>54567</v>
      </c>
      <c r="AJ4034" s="2">
        <v>0.19</v>
      </c>
      <c r="AK4034" s="1">
        <v>281165</v>
      </c>
      <c r="AL4034" t="s">
        <v>117</v>
      </c>
      <c r="AM4034" t="s">
        <v>5516</v>
      </c>
      <c r="AN4034">
        <v>6050</v>
      </c>
      <c r="AO4034">
        <v>0.14000000000000001</v>
      </c>
      <c r="AR4034">
        <v>1</v>
      </c>
      <c r="AS4034" s="1">
        <v>19030</v>
      </c>
      <c r="AT4034" s="1">
        <v>3800</v>
      </c>
      <c r="AU4034" s="1">
        <v>15230</v>
      </c>
      <c r="AV4034">
        <v>80.03</v>
      </c>
      <c r="AX4034" s="1">
        <v>1449.38</v>
      </c>
      <c r="AY4034" t="s">
        <v>6615</v>
      </c>
      <c r="AZ4034" t="s">
        <v>6615</v>
      </c>
      <c r="BA4034" t="s">
        <v>5061</v>
      </c>
      <c r="BE4034" s="3">
        <v>42536</v>
      </c>
      <c r="BF4034" s="1">
        <v>235000</v>
      </c>
      <c r="BG4034" t="s">
        <v>25703</v>
      </c>
      <c r="BH4034" s="1">
        <v>102.75</v>
      </c>
      <c r="BI4034" s="1">
        <v>226598</v>
      </c>
      <c r="BJ4034" s="3">
        <v>42536</v>
      </c>
      <c r="BK4034" t="s">
        <v>123</v>
      </c>
      <c r="BL4034" t="str">
        <f>"2016.415205"</f>
        <v>2016.415205</v>
      </c>
      <c r="BM4034" t="s">
        <v>738</v>
      </c>
      <c r="BO4034" t="s">
        <v>25704</v>
      </c>
      <c r="BS4034">
        <v>30</v>
      </c>
      <c r="BW4034" t="str">
        <f>""</f>
        <v/>
      </c>
      <c r="CH4034" t="str">
        <f>""</f>
        <v/>
      </c>
      <c r="CS4034" t="str">
        <f>""</f>
        <v/>
      </c>
    </row>
    <row r="4035" spans="1:97" x14ac:dyDescent="0.25">
      <c r="A4035" t="s">
        <v>852</v>
      </c>
      <c r="B4035" t="s">
        <v>670</v>
      </c>
      <c r="E4035" t="s">
        <v>25705</v>
      </c>
      <c r="F4035" t="s">
        <v>108</v>
      </c>
      <c r="H4035" t="s">
        <v>25706</v>
      </c>
      <c r="I4035" t="s">
        <v>453</v>
      </c>
      <c r="J4035" t="s">
        <v>111</v>
      </c>
      <c r="K4035" t="str">
        <f>"85381"</f>
        <v>85381</v>
      </c>
      <c r="L4035" t="s">
        <v>9597</v>
      </c>
      <c r="M4035" t="s">
        <v>25706</v>
      </c>
      <c r="N4035" t="s">
        <v>453</v>
      </c>
      <c r="O4035" t="s">
        <v>111</v>
      </c>
      <c r="P4035" t="str">
        <f>"85381-4927"</f>
        <v>85381-4927</v>
      </c>
      <c r="Q4035" t="s">
        <v>113</v>
      </c>
      <c r="R4035" t="str">
        <f>"200-80-963"</f>
        <v>200-80-963</v>
      </c>
      <c r="S4035" t="s">
        <v>25707</v>
      </c>
      <c r="T4035" t="s">
        <v>9724</v>
      </c>
      <c r="U4035">
        <v>2387</v>
      </c>
      <c r="V4035">
        <v>0</v>
      </c>
      <c r="W4035">
        <v>4</v>
      </c>
      <c r="X4035">
        <v>2013</v>
      </c>
      <c r="Z4035">
        <v>2</v>
      </c>
      <c r="AB4035">
        <v>0</v>
      </c>
      <c r="AC4035" t="s">
        <v>115</v>
      </c>
      <c r="AD4035">
        <v>2</v>
      </c>
      <c r="AE4035" t="s">
        <v>115</v>
      </c>
      <c r="AF4035">
        <v>0</v>
      </c>
      <c r="AG4035">
        <v>0</v>
      </c>
      <c r="AH4035" t="s">
        <v>116</v>
      </c>
      <c r="AI4035" s="1">
        <v>68551</v>
      </c>
      <c r="AJ4035" s="2">
        <v>0.2</v>
      </c>
      <c r="AK4035" s="1">
        <v>343225</v>
      </c>
      <c r="AL4035" t="s">
        <v>117</v>
      </c>
      <c r="AM4035" t="s">
        <v>118</v>
      </c>
      <c r="AN4035">
        <v>4567</v>
      </c>
      <c r="AO4035">
        <v>0.1</v>
      </c>
      <c r="AR4035">
        <v>1</v>
      </c>
      <c r="AS4035" s="1">
        <v>25370</v>
      </c>
      <c r="AT4035" s="1">
        <v>5070</v>
      </c>
      <c r="AU4035" s="1">
        <v>20300</v>
      </c>
      <c r="AV4035">
        <v>80.02</v>
      </c>
      <c r="AX4035" s="1">
        <v>1986.24</v>
      </c>
      <c r="AY4035" t="s">
        <v>5629</v>
      </c>
      <c r="AZ4035" t="s">
        <v>5629</v>
      </c>
      <c r="BA4035" t="s">
        <v>4007</v>
      </c>
      <c r="BE4035" s="3">
        <v>42296</v>
      </c>
      <c r="BF4035" s="1">
        <v>265900</v>
      </c>
      <c r="BG4035" t="s">
        <v>25708</v>
      </c>
      <c r="BH4035" s="1">
        <v>111.4</v>
      </c>
      <c r="BI4035" s="1">
        <v>274674</v>
      </c>
      <c r="BJ4035" s="3">
        <v>42296</v>
      </c>
      <c r="BK4035" t="s">
        <v>123</v>
      </c>
      <c r="BL4035" t="str">
        <f>"2015.749013"</f>
        <v>2015.749013</v>
      </c>
      <c r="BM4035" t="s">
        <v>1185</v>
      </c>
      <c r="BO4035" t="s">
        <v>25709</v>
      </c>
      <c r="BS4035">
        <v>30</v>
      </c>
      <c r="BW4035" t="str">
        <f>""</f>
        <v/>
      </c>
      <c r="CH4035" t="str">
        <f>""</f>
        <v/>
      </c>
      <c r="CS4035" t="str">
        <f>""</f>
        <v/>
      </c>
    </row>
    <row r="4036" spans="1:97" x14ac:dyDescent="0.25">
      <c r="A4036" t="s">
        <v>325</v>
      </c>
      <c r="B4036" t="s">
        <v>25710</v>
      </c>
      <c r="E4036" t="s">
        <v>25711</v>
      </c>
      <c r="F4036" t="s">
        <v>108</v>
      </c>
      <c r="H4036" t="s">
        <v>25712</v>
      </c>
      <c r="I4036" t="s">
        <v>225</v>
      </c>
      <c r="J4036" t="s">
        <v>111</v>
      </c>
      <c r="K4036" t="str">
        <f>"85209"</f>
        <v>85209</v>
      </c>
      <c r="L4036" t="s">
        <v>9060</v>
      </c>
      <c r="M4036" t="s">
        <v>25712</v>
      </c>
      <c r="N4036" t="s">
        <v>225</v>
      </c>
      <c r="O4036" t="s">
        <v>111</v>
      </c>
      <c r="P4036" t="str">
        <f>"85209-6628"</f>
        <v>85209-6628</v>
      </c>
      <c r="Q4036" t="s">
        <v>113</v>
      </c>
      <c r="R4036" t="str">
        <f>"309-07-909"</f>
        <v>309-07-909</v>
      </c>
      <c r="S4036" t="s">
        <v>14921</v>
      </c>
      <c r="T4036" t="s">
        <v>6551</v>
      </c>
      <c r="U4036">
        <v>1642</v>
      </c>
      <c r="V4036">
        <v>0</v>
      </c>
      <c r="W4036">
        <v>3</v>
      </c>
      <c r="X4036">
        <v>1995</v>
      </c>
      <c r="Z4036">
        <v>1</v>
      </c>
      <c r="AA4036" t="s">
        <v>26</v>
      </c>
      <c r="AB4036">
        <v>0</v>
      </c>
      <c r="AC4036" t="s">
        <v>115</v>
      </c>
      <c r="AD4036">
        <v>2</v>
      </c>
      <c r="AE4036" t="s">
        <v>115</v>
      </c>
      <c r="AF4036">
        <v>0</v>
      </c>
      <c r="AG4036">
        <v>0</v>
      </c>
      <c r="AH4036" t="s">
        <v>116</v>
      </c>
      <c r="AI4036" s="1">
        <v>57915</v>
      </c>
      <c r="AJ4036" s="2">
        <v>0.19</v>
      </c>
      <c r="AK4036" s="1">
        <v>298604</v>
      </c>
      <c r="AL4036" t="s">
        <v>117</v>
      </c>
      <c r="AM4036" t="s">
        <v>191</v>
      </c>
      <c r="AN4036">
        <v>6303</v>
      </c>
      <c r="AO4036">
        <v>0.14000000000000001</v>
      </c>
      <c r="AP4036">
        <v>1</v>
      </c>
      <c r="AR4036">
        <v>1</v>
      </c>
      <c r="AS4036" s="1">
        <v>20460</v>
      </c>
      <c r="AT4036" s="1">
        <v>4090</v>
      </c>
      <c r="AU4036" s="1">
        <v>16370</v>
      </c>
      <c r="AV4036">
        <v>80.010000000000005</v>
      </c>
      <c r="AX4036" s="1">
        <v>1401.26</v>
      </c>
      <c r="AY4036" t="s">
        <v>6552</v>
      </c>
      <c r="AZ4036" t="s">
        <v>571</v>
      </c>
      <c r="BA4036" t="s">
        <v>572</v>
      </c>
      <c r="BE4036" s="3">
        <v>41982</v>
      </c>
      <c r="BF4036" s="1">
        <v>233000</v>
      </c>
      <c r="BG4036" t="s">
        <v>25713</v>
      </c>
      <c r="BH4036" s="1">
        <v>141.9</v>
      </c>
      <c r="BI4036" s="1">
        <v>240689</v>
      </c>
      <c r="BJ4036" s="3">
        <v>41982</v>
      </c>
      <c r="BK4036" t="s">
        <v>123</v>
      </c>
      <c r="BL4036" t="str">
        <f>"2014.810025"</f>
        <v>2014.810025</v>
      </c>
      <c r="BM4036" t="s">
        <v>544</v>
      </c>
      <c r="BO4036" t="s">
        <v>25714</v>
      </c>
      <c r="BS4036">
        <v>30</v>
      </c>
      <c r="BW4036" t="str">
        <f>""</f>
        <v/>
      </c>
      <c r="CH4036" t="str">
        <f>""</f>
        <v/>
      </c>
      <c r="CS4036" t="str">
        <f>""</f>
        <v/>
      </c>
    </row>
    <row r="4037" spans="1:97" x14ac:dyDescent="0.25">
      <c r="B4037" t="s">
        <v>25715</v>
      </c>
      <c r="E4037" t="s">
        <v>25715</v>
      </c>
      <c r="F4037" t="s">
        <v>139</v>
      </c>
      <c r="H4037" t="s">
        <v>25716</v>
      </c>
      <c r="I4037" t="s">
        <v>4058</v>
      </c>
      <c r="J4037" t="s">
        <v>111</v>
      </c>
      <c r="K4037" t="str">
        <f>"85390"</f>
        <v>85390</v>
      </c>
      <c r="L4037" t="s">
        <v>3885</v>
      </c>
      <c r="M4037" t="s">
        <v>25717</v>
      </c>
      <c r="N4037" t="s">
        <v>4058</v>
      </c>
      <c r="O4037" t="s">
        <v>111</v>
      </c>
      <c r="P4037" t="str">
        <f>"85358-1752"</f>
        <v>85358-1752</v>
      </c>
      <c r="Q4037" t="s">
        <v>113</v>
      </c>
      <c r="R4037" t="str">
        <f>"505-38-042-B"</f>
        <v>505-38-042-B</v>
      </c>
      <c r="S4037" t="s">
        <v>25198</v>
      </c>
      <c r="U4037">
        <v>2098</v>
      </c>
      <c r="V4037">
        <v>0</v>
      </c>
      <c r="W4037">
        <v>3</v>
      </c>
      <c r="X4037">
        <v>1989</v>
      </c>
      <c r="Z4037">
        <v>1</v>
      </c>
      <c r="AA4037" t="s">
        <v>26</v>
      </c>
      <c r="AB4037">
        <v>0</v>
      </c>
      <c r="AC4037" t="s">
        <v>115</v>
      </c>
      <c r="AD4037">
        <v>2</v>
      </c>
      <c r="AE4037" t="s">
        <v>115</v>
      </c>
      <c r="AF4037">
        <v>0</v>
      </c>
      <c r="AG4037">
        <v>0</v>
      </c>
      <c r="AH4037" t="s">
        <v>116</v>
      </c>
      <c r="AI4037" s="1">
        <v>187514</v>
      </c>
      <c r="AJ4037" s="2">
        <v>0.43</v>
      </c>
      <c r="AK4037" s="1">
        <v>437514</v>
      </c>
      <c r="AL4037" t="s">
        <v>117</v>
      </c>
      <c r="AM4037" t="s">
        <v>3973</v>
      </c>
      <c r="AN4037">
        <v>201421</v>
      </c>
      <c r="AO4037">
        <v>4.62</v>
      </c>
      <c r="AP4037">
        <v>1</v>
      </c>
      <c r="AR4037">
        <v>1</v>
      </c>
      <c r="AS4037" s="1">
        <v>34530</v>
      </c>
      <c r="AT4037" s="1">
        <v>6900</v>
      </c>
      <c r="AU4037" s="1">
        <v>27630</v>
      </c>
      <c r="AV4037">
        <v>80.02</v>
      </c>
      <c r="AX4037" s="1">
        <v>2225.56</v>
      </c>
      <c r="AY4037" t="s">
        <v>4061</v>
      </c>
      <c r="AZ4037" t="s">
        <v>4062</v>
      </c>
      <c r="BA4037" t="s">
        <v>445</v>
      </c>
      <c r="BB4037" s="3">
        <v>42290</v>
      </c>
      <c r="BD4037" t="s">
        <v>240</v>
      </c>
      <c r="BE4037" s="3">
        <v>42290</v>
      </c>
      <c r="BF4037" s="1">
        <v>250000</v>
      </c>
      <c r="BG4037" t="s">
        <v>25718</v>
      </c>
      <c r="BH4037" s="1">
        <v>119.16</v>
      </c>
      <c r="BI4037" s="1">
        <v>250000</v>
      </c>
      <c r="BJ4037" s="3">
        <v>42290</v>
      </c>
      <c r="BK4037" t="s">
        <v>123</v>
      </c>
      <c r="BL4037" t="str">
        <f>"2015.735497"</f>
        <v>2015.735497</v>
      </c>
      <c r="BM4037" t="s">
        <v>1033</v>
      </c>
      <c r="BO4037" t="s">
        <v>25719</v>
      </c>
      <c r="BP4037" t="s">
        <v>25720</v>
      </c>
      <c r="BS4037">
        <v>30</v>
      </c>
      <c r="BW4037" t="str">
        <f>""</f>
        <v/>
      </c>
      <c r="CH4037" t="str">
        <f>""</f>
        <v/>
      </c>
      <c r="CS4037" t="str">
        <f>""</f>
        <v/>
      </c>
    </row>
    <row r="4038" spans="1:97" x14ac:dyDescent="0.25">
      <c r="A4038" t="s">
        <v>25721</v>
      </c>
      <c r="B4038" t="s">
        <v>25722</v>
      </c>
      <c r="E4038" t="s">
        <v>25723</v>
      </c>
      <c r="F4038" t="s">
        <v>108</v>
      </c>
      <c r="H4038" t="s">
        <v>25724</v>
      </c>
      <c r="I4038" t="s">
        <v>167</v>
      </c>
      <c r="J4038" t="s">
        <v>111</v>
      </c>
      <c r="K4038" t="str">
        <f>"85339"</f>
        <v>85339</v>
      </c>
      <c r="L4038" t="s">
        <v>5239</v>
      </c>
      <c r="M4038" t="s">
        <v>25724</v>
      </c>
      <c r="N4038" t="s">
        <v>167</v>
      </c>
      <c r="O4038" t="s">
        <v>111</v>
      </c>
      <c r="P4038" t="str">
        <f>"85339-3100"</f>
        <v>85339-3100</v>
      </c>
      <c r="Q4038" t="s">
        <v>113</v>
      </c>
      <c r="R4038" t="str">
        <f>"300-03-817"</f>
        <v>300-03-817</v>
      </c>
      <c r="S4038" t="s">
        <v>15120</v>
      </c>
      <c r="T4038" t="s">
        <v>15121</v>
      </c>
      <c r="U4038">
        <v>1640</v>
      </c>
      <c r="V4038">
        <v>0</v>
      </c>
      <c r="W4038">
        <v>3</v>
      </c>
      <c r="X4038">
        <v>2015</v>
      </c>
      <c r="Z4038">
        <v>1</v>
      </c>
      <c r="AB4038">
        <v>0</v>
      </c>
      <c r="AC4038" t="s">
        <v>115</v>
      </c>
      <c r="AD4038">
        <v>2</v>
      </c>
      <c r="AE4038" t="s">
        <v>115</v>
      </c>
      <c r="AF4038">
        <v>0</v>
      </c>
      <c r="AG4038">
        <v>0</v>
      </c>
      <c r="AH4038" t="s">
        <v>116</v>
      </c>
      <c r="AI4038" s="1">
        <v>44211</v>
      </c>
      <c r="AJ4038" s="2">
        <v>0.18</v>
      </c>
      <c r="AK4038" s="1">
        <v>245704</v>
      </c>
      <c r="AL4038" t="s">
        <v>117</v>
      </c>
      <c r="AM4038" t="s">
        <v>760</v>
      </c>
      <c r="AN4038">
        <v>5040</v>
      </c>
      <c r="AO4038">
        <v>0.12</v>
      </c>
      <c r="AR4038">
        <v>1</v>
      </c>
      <c r="AS4038" s="1">
        <v>17010</v>
      </c>
      <c r="AT4038" s="1">
        <v>3400</v>
      </c>
      <c r="AU4038" s="1">
        <v>13610</v>
      </c>
      <c r="AV4038">
        <v>80.010000000000005</v>
      </c>
      <c r="AX4038" s="1">
        <v>2096.2399999999998</v>
      </c>
      <c r="AY4038" t="s">
        <v>5532</v>
      </c>
      <c r="AZ4038" t="s">
        <v>5532</v>
      </c>
      <c r="BA4038" t="s">
        <v>173</v>
      </c>
      <c r="BB4038" s="3">
        <v>42579</v>
      </c>
      <c r="BD4038" t="s">
        <v>842</v>
      </c>
      <c r="BE4038" s="3">
        <v>42517</v>
      </c>
      <c r="BF4038" s="1">
        <v>197253</v>
      </c>
      <c r="BG4038" t="s">
        <v>174</v>
      </c>
      <c r="BH4038" s="1">
        <v>120.28</v>
      </c>
      <c r="BI4038" s="1">
        <v>201493</v>
      </c>
      <c r="BJ4038" s="3">
        <v>42517</v>
      </c>
      <c r="BK4038" t="s">
        <v>123</v>
      </c>
      <c r="BL4038" t="str">
        <f>"2016.368339"</f>
        <v>2016.368339</v>
      </c>
      <c r="BM4038" t="s">
        <v>724</v>
      </c>
      <c r="BO4038" t="s">
        <v>25725</v>
      </c>
      <c r="BS4038">
        <v>30</v>
      </c>
      <c r="BW4038" t="str">
        <f>""</f>
        <v/>
      </c>
      <c r="CH4038" t="str">
        <f>""</f>
        <v/>
      </c>
      <c r="CS4038" t="str">
        <f>""</f>
        <v/>
      </c>
    </row>
    <row r="4039" spans="1:97" x14ac:dyDescent="0.25">
      <c r="A4039" t="s">
        <v>257</v>
      </c>
      <c r="B4039" t="s">
        <v>25726</v>
      </c>
      <c r="C4039" t="s">
        <v>25727</v>
      </c>
      <c r="D4039" t="s">
        <v>25726</v>
      </c>
      <c r="E4039" t="s">
        <v>25728</v>
      </c>
      <c r="F4039" t="s">
        <v>108</v>
      </c>
      <c r="H4039" t="s">
        <v>25729</v>
      </c>
      <c r="I4039" t="s">
        <v>225</v>
      </c>
      <c r="J4039" t="s">
        <v>111</v>
      </c>
      <c r="K4039" t="str">
        <f>"85213"</f>
        <v>85213</v>
      </c>
      <c r="L4039" t="s">
        <v>4159</v>
      </c>
      <c r="M4039" t="s">
        <v>25729</v>
      </c>
      <c r="N4039" t="s">
        <v>225</v>
      </c>
      <c r="O4039" t="s">
        <v>111</v>
      </c>
      <c r="P4039" t="str">
        <f>"85213-1971"</f>
        <v>85213-1971</v>
      </c>
      <c r="Q4039" t="s">
        <v>113</v>
      </c>
      <c r="R4039" t="str">
        <f>"141-18-169"</f>
        <v>141-18-169</v>
      </c>
      <c r="S4039" t="s">
        <v>5667</v>
      </c>
      <c r="T4039" t="s">
        <v>5668</v>
      </c>
      <c r="U4039">
        <v>2776</v>
      </c>
      <c r="V4039">
        <v>0</v>
      </c>
      <c r="W4039">
        <v>4</v>
      </c>
      <c r="X4039">
        <v>2012</v>
      </c>
      <c r="Z4039">
        <v>2</v>
      </c>
      <c r="AB4039">
        <v>0</v>
      </c>
      <c r="AC4039" t="s">
        <v>115</v>
      </c>
      <c r="AD4039">
        <v>3</v>
      </c>
      <c r="AE4039" t="s">
        <v>115</v>
      </c>
      <c r="AF4039">
        <v>0</v>
      </c>
      <c r="AG4039">
        <v>0</v>
      </c>
      <c r="AH4039" t="s">
        <v>116</v>
      </c>
      <c r="AI4039" s="1">
        <v>7958</v>
      </c>
      <c r="AJ4039" s="2">
        <v>0.02</v>
      </c>
      <c r="AK4039" s="1">
        <v>407958</v>
      </c>
      <c r="AL4039" t="s">
        <v>117</v>
      </c>
      <c r="AM4039" t="s">
        <v>917</v>
      </c>
      <c r="AN4039">
        <v>5940</v>
      </c>
      <c r="AO4039">
        <v>0.14000000000000001</v>
      </c>
      <c r="AR4039">
        <v>1</v>
      </c>
      <c r="AS4039" s="1">
        <v>28250</v>
      </c>
      <c r="AT4039" s="1">
        <v>5650</v>
      </c>
      <c r="AU4039" s="1">
        <v>22600</v>
      </c>
      <c r="AV4039">
        <v>80</v>
      </c>
      <c r="AX4039" s="1">
        <v>2700.84</v>
      </c>
      <c r="AY4039" t="s">
        <v>4162</v>
      </c>
      <c r="AZ4039" t="s">
        <v>4163</v>
      </c>
      <c r="BA4039" t="s">
        <v>1524</v>
      </c>
      <c r="BE4039" s="3">
        <v>41977</v>
      </c>
      <c r="BF4039" s="1">
        <v>314932</v>
      </c>
      <c r="BG4039" t="s">
        <v>2842</v>
      </c>
      <c r="BH4039" s="1">
        <v>113.45</v>
      </c>
      <c r="BI4039" s="1">
        <v>400000</v>
      </c>
      <c r="BJ4039" s="3">
        <v>43517</v>
      </c>
      <c r="BK4039" t="s">
        <v>123</v>
      </c>
      <c r="BL4039" t="str">
        <f>"2019.119205"</f>
        <v>2019.119205</v>
      </c>
      <c r="BM4039" t="s">
        <v>15330</v>
      </c>
      <c r="BN4039" t="s">
        <v>15331</v>
      </c>
      <c r="BO4039" t="s">
        <v>25730</v>
      </c>
      <c r="BP4039" t="s">
        <v>25731</v>
      </c>
      <c r="BR4039" t="s">
        <v>139</v>
      </c>
      <c r="BW4039" t="str">
        <f>""</f>
        <v/>
      </c>
      <c r="CH4039" t="str">
        <f>""</f>
        <v/>
      </c>
      <c r="CS4039" t="str">
        <f>""</f>
        <v/>
      </c>
    </row>
    <row r="4040" spans="1:97" x14ac:dyDescent="0.25">
      <c r="A4040" t="s">
        <v>25732</v>
      </c>
      <c r="B4040" t="s">
        <v>25733</v>
      </c>
      <c r="C4040" t="s">
        <v>220</v>
      </c>
      <c r="D4040" t="s">
        <v>25733</v>
      </c>
      <c r="E4040" t="s">
        <v>25734</v>
      </c>
      <c r="F4040" t="s">
        <v>108</v>
      </c>
      <c r="H4040" t="s">
        <v>25735</v>
      </c>
      <c r="I4040" t="s">
        <v>632</v>
      </c>
      <c r="J4040" t="s">
        <v>111</v>
      </c>
      <c r="K4040" t="str">
        <f>"85379"</f>
        <v>85379</v>
      </c>
      <c r="L4040" t="s">
        <v>375</v>
      </c>
      <c r="M4040" t="s">
        <v>25735</v>
      </c>
      <c r="N4040" t="s">
        <v>632</v>
      </c>
      <c r="O4040" t="s">
        <v>111</v>
      </c>
      <c r="P4040" t="str">
        <f>"85379-8158"</f>
        <v>85379-8158</v>
      </c>
      <c r="Q4040" t="s">
        <v>113</v>
      </c>
      <c r="R4040" t="str">
        <f>"509-18-228"</f>
        <v>509-18-228</v>
      </c>
      <c r="S4040" t="s">
        <v>11191</v>
      </c>
      <c r="U4040">
        <v>2803</v>
      </c>
      <c r="V4040">
        <v>0</v>
      </c>
      <c r="W4040">
        <v>4</v>
      </c>
      <c r="X4040">
        <v>2006</v>
      </c>
      <c r="Z4040">
        <v>2</v>
      </c>
      <c r="AA4040" t="s">
        <v>26</v>
      </c>
      <c r="AB4040">
        <v>0</v>
      </c>
      <c r="AC4040" t="s">
        <v>115</v>
      </c>
      <c r="AD4040">
        <v>2</v>
      </c>
      <c r="AE4040" t="s">
        <v>115</v>
      </c>
      <c r="AF4040">
        <v>0</v>
      </c>
      <c r="AG4040">
        <v>0</v>
      </c>
      <c r="AH4040" t="s">
        <v>116</v>
      </c>
      <c r="AI4040" s="1">
        <v>-2325</v>
      </c>
      <c r="AJ4040" s="2">
        <v>-0.01</v>
      </c>
      <c r="AK4040" s="1">
        <v>369340</v>
      </c>
      <c r="AL4040" t="s">
        <v>117</v>
      </c>
      <c r="AM4040" t="s">
        <v>118</v>
      </c>
      <c r="AN4040">
        <v>10200</v>
      </c>
      <c r="AO4040">
        <v>0.23</v>
      </c>
      <c r="AP4040">
        <v>1</v>
      </c>
      <c r="AR4040">
        <v>1</v>
      </c>
      <c r="AS4040" s="1">
        <v>27300</v>
      </c>
      <c r="AT4040" s="1">
        <v>5460</v>
      </c>
      <c r="AU4040" s="1">
        <v>21840</v>
      </c>
      <c r="AV4040">
        <v>80</v>
      </c>
      <c r="AX4040" s="1">
        <v>2727.02</v>
      </c>
      <c r="AY4040" t="s">
        <v>634</v>
      </c>
      <c r="AZ4040" t="s">
        <v>634</v>
      </c>
      <c r="BA4040" t="s">
        <v>635</v>
      </c>
      <c r="BE4040" s="3">
        <v>42397</v>
      </c>
      <c r="BF4040" s="1">
        <v>310000</v>
      </c>
      <c r="BG4040" t="s">
        <v>25736</v>
      </c>
      <c r="BH4040" s="1">
        <v>110.6</v>
      </c>
      <c r="BI4040" s="1">
        <v>316665</v>
      </c>
      <c r="BJ4040" s="3">
        <v>42397</v>
      </c>
      <c r="BK4040" t="s">
        <v>123</v>
      </c>
      <c r="BL4040" t="str">
        <f>"2016.57444"</f>
        <v>2016.57444</v>
      </c>
      <c r="BM4040" t="s">
        <v>1154</v>
      </c>
      <c r="BO4040" t="s">
        <v>25737</v>
      </c>
      <c r="BS4040">
        <v>30</v>
      </c>
      <c r="BT4040" s="1">
        <v>55000</v>
      </c>
      <c r="BU4040" s="3">
        <v>42837</v>
      </c>
      <c r="BV4040" t="s">
        <v>134</v>
      </c>
      <c r="BW4040" t="str">
        <f>"2017.259393"</f>
        <v>2017.259393</v>
      </c>
      <c r="BX4040" t="s">
        <v>583</v>
      </c>
      <c r="BZ4040" t="s">
        <v>25738</v>
      </c>
      <c r="CD4040">
        <v>10</v>
      </c>
      <c r="CH4040" t="str">
        <f>""</f>
        <v/>
      </c>
      <c r="CS4040" t="str">
        <f>""</f>
        <v/>
      </c>
    </row>
    <row r="4041" spans="1:97" x14ac:dyDescent="0.25">
      <c r="A4041" t="s">
        <v>589</v>
      </c>
      <c r="B4041" t="s">
        <v>25739</v>
      </c>
      <c r="C4041" t="s">
        <v>25740</v>
      </c>
      <c r="D4041" t="s">
        <v>25739</v>
      </c>
      <c r="E4041" t="s">
        <v>25741</v>
      </c>
      <c r="F4041" t="s">
        <v>108</v>
      </c>
      <c r="H4041" t="s">
        <v>25742</v>
      </c>
      <c r="I4041" t="s">
        <v>499</v>
      </c>
      <c r="J4041" t="s">
        <v>111</v>
      </c>
      <c r="K4041" t="str">
        <f>"85338"</f>
        <v>85338</v>
      </c>
      <c r="L4041" t="s">
        <v>1796</v>
      </c>
      <c r="M4041" t="s">
        <v>25742</v>
      </c>
      <c r="N4041" t="s">
        <v>499</v>
      </c>
      <c r="O4041" t="s">
        <v>111</v>
      </c>
      <c r="P4041" t="str">
        <f>"85338-5073"</f>
        <v>85338-5073</v>
      </c>
      <c r="Q4041" t="s">
        <v>113</v>
      </c>
      <c r="R4041" t="str">
        <f>"400-80-189"</f>
        <v>400-80-189</v>
      </c>
      <c r="S4041" t="s">
        <v>25743</v>
      </c>
      <c r="U4041">
        <v>2562</v>
      </c>
      <c r="V4041">
        <v>0</v>
      </c>
      <c r="W4041">
        <v>4</v>
      </c>
      <c r="X4041">
        <v>2006</v>
      </c>
      <c r="Z4041">
        <v>1</v>
      </c>
      <c r="AA4041" t="s">
        <v>26</v>
      </c>
      <c r="AB4041">
        <v>0</v>
      </c>
      <c r="AC4041" t="s">
        <v>115</v>
      </c>
      <c r="AD4041">
        <v>4</v>
      </c>
      <c r="AE4041" t="s">
        <v>115</v>
      </c>
      <c r="AF4041">
        <v>0</v>
      </c>
      <c r="AG4041">
        <v>0</v>
      </c>
      <c r="AH4041" t="s">
        <v>116</v>
      </c>
      <c r="AI4041" s="1">
        <v>106053</v>
      </c>
      <c r="AJ4041" s="2">
        <v>0.23</v>
      </c>
      <c r="AK4041" s="1">
        <v>461681</v>
      </c>
      <c r="AL4041" t="s">
        <v>117</v>
      </c>
      <c r="AM4041" t="s">
        <v>118</v>
      </c>
      <c r="AN4041">
        <v>12333</v>
      </c>
      <c r="AO4041">
        <v>0.28000000000000003</v>
      </c>
      <c r="AR4041">
        <v>1</v>
      </c>
      <c r="AS4041" s="1">
        <v>33900</v>
      </c>
      <c r="AT4041" s="1">
        <v>6780</v>
      </c>
      <c r="AU4041" s="1">
        <v>27120</v>
      </c>
      <c r="AV4041">
        <v>80</v>
      </c>
      <c r="AX4041" s="1">
        <v>3808.62</v>
      </c>
      <c r="AY4041" t="s">
        <v>1246</v>
      </c>
      <c r="AZ4041" t="s">
        <v>1246</v>
      </c>
      <c r="BA4041" t="s">
        <v>1247</v>
      </c>
      <c r="BE4041" s="3">
        <v>41719</v>
      </c>
      <c r="BF4041" s="1">
        <v>353000</v>
      </c>
      <c r="BG4041" t="s">
        <v>25744</v>
      </c>
      <c r="BH4041" s="1">
        <v>137.78</v>
      </c>
      <c r="BI4041" s="1">
        <v>355628</v>
      </c>
      <c r="BJ4041" s="3">
        <v>42101</v>
      </c>
      <c r="BK4041" t="s">
        <v>123</v>
      </c>
      <c r="BL4041" t="str">
        <f>"2015.235479"</f>
        <v>2015.235479</v>
      </c>
      <c r="BM4041" t="s">
        <v>135</v>
      </c>
      <c r="BO4041" t="s">
        <v>25745</v>
      </c>
      <c r="BS4041">
        <v>30</v>
      </c>
      <c r="BW4041" t="str">
        <f>""</f>
        <v/>
      </c>
      <c r="CH4041" t="str">
        <f>""</f>
        <v/>
      </c>
      <c r="CS4041" t="str">
        <f>""</f>
        <v/>
      </c>
    </row>
    <row r="4042" spans="1:97" x14ac:dyDescent="0.25">
      <c r="A4042" t="s">
        <v>177</v>
      </c>
      <c r="B4042" t="s">
        <v>4020</v>
      </c>
      <c r="C4042" t="s">
        <v>3844</v>
      </c>
      <c r="D4042" t="s">
        <v>4020</v>
      </c>
      <c r="E4042" t="s">
        <v>25746</v>
      </c>
      <c r="F4042" t="s">
        <v>108</v>
      </c>
      <c r="H4042" t="s">
        <v>25747</v>
      </c>
      <c r="I4042" t="s">
        <v>5551</v>
      </c>
      <c r="J4042" t="s">
        <v>111</v>
      </c>
      <c r="K4042" t="str">
        <f>"85248"</f>
        <v>85248</v>
      </c>
      <c r="L4042" t="s">
        <v>3885</v>
      </c>
      <c r="M4042" t="s">
        <v>25747</v>
      </c>
      <c r="N4042" t="s">
        <v>5551</v>
      </c>
      <c r="O4042" t="s">
        <v>111</v>
      </c>
      <c r="P4042" t="str">
        <f>"85248-7231"</f>
        <v>85248-7231</v>
      </c>
      <c r="Q4042" t="s">
        <v>113</v>
      </c>
      <c r="R4042" t="str">
        <f>"303-66-739"</f>
        <v>303-66-739</v>
      </c>
      <c r="S4042" t="s">
        <v>13760</v>
      </c>
      <c r="U4042">
        <v>1823</v>
      </c>
      <c r="V4042">
        <v>0</v>
      </c>
      <c r="W4042">
        <v>3</v>
      </c>
      <c r="X4042">
        <v>1986</v>
      </c>
      <c r="Z4042">
        <v>1</v>
      </c>
      <c r="AB4042">
        <v>0</v>
      </c>
      <c r="AC4042" t="s">
        <v>115</v>
      </c>
      <c r="AD4042">
        <v>2</v>
      </c>
      <c r="AE4042" t="s">
        <v>115</v>
      </c>
      <c r="AF4042">
        <v>0</v>
      </c>
      <c r="AG4042">
        <v>0</v>
      </c>
      <c r="AH4042" t="s">
        <v>116</v>
      </c>
      <c r="AI4042" s="1">
        <v>63997</v>
      </c>
      <c r="AJ4042" s="2">
        <v>0.22</v>
      </c>
      <c r="AK4042" s="1">
        <v>293834</v>
      </c>
      <c r="AL4042" t="s">
        <v>117</v>
      </c>
      <c r="AM4042" t="s">
        <v>191</v>
      </c>
      <c r="AN4042">
        <v>7166</v>
      </c>
      <c r="AO4042">
        <v>0.16</v>
      </c>
      <c r="AP4042">
        <v>1</v>
      </c>
      <c r="AR4042">
        <v>1</v>
      </c>
      <c r="AS4042" s="1">
        <v>19270</v>
      </c>
      <c r="AT4042" s="1">
        <v>3850</v>
      </c>
      <c r="AU4042" s="1">
        <v>15420</v>
      </c>
      <c r="AV4042">
        <v>80.02</v>
      </c>
      <c r="AX4042" s="1">
        <v>2070.7399999999998</v>
      </c>
      <c r="AY4042" t="s">
        <v>1881</v>
      </c>
      <c r="AZ4042" t="s">
        <v>1882</v>
      </c>
      <c r="BA4042" t="s">
        <v>121</v>
      </c>
      <c r="BE4042" s="3">
        <v>42536</v>
      </c>
      <c r="BF4042" s="1">
        <v>225000</v>
      </c>
      <c r="BG4042" t="s">
        <v>25748</v>
      </c>
      <c r="BH4042" s="1">
        <v>123.42</v>
      </c>
      <c r="BI4042" s="1">
        <v>229837</v>
      </c>
      <c r="BJ4042" s="3">
        <v>42536</v>
      </c>
      <c r="BK4042" t="s">
        <v>123</v>
      </c>
      <c r="BL4042" t="str">
        <f>"2016.415678"</f>
        <v>2016.415678</v>
      </c>
      <c r="BM4042" t="s">
        <v>724</v>
      </c>
      <c r="BO4042" t="s">
        <v>25749</v>
      </c>
      <c r="BS4042">
        <v>30</v>
      </c>
      <c r="BW4042" t="str">
        <f>""</f>
        <v/>
      </c>
      <c r="CH4042" t="str">
        <f>""</f>
        <v/>
      </c>
      <c r="CS4042" t="str">
        <f>""</f>
        <v/>
      </c>
    </row>
    <row r="4043" spans="1:97" x14ac:dyDescent="0.25">
      <c r="A4043" t="s">
        <v>2402</v>
      </c>
      <c r="B4043" t="s">
        <v>5796</v>
      </c>
      <c r="E4043" t="s">
        <v>25750</v>
      </c>
      <c r="F4043" t="s">
        <v>108</v>
      </c>
      <c r="H4043" t="s">
        <v>25751</v>
      </c>
      <c r="I4043" t="s">
        <v>390</v>
      </c>
      <c r="J4043" t="s">
        <v>111</v>
      </c>
      <c r="K4043" t="str">
        <f>"85032"</f>
        <v>85032</v>
      </c>
      <c r="L4043" t="s">
        <v>6333</v>
      </c>
      <c r="M4043" t="s">
        <v>25751</v>
      </c>
      <c r="N4043" t="s">
        <v>390</v>
      </c>
      <c r="O4043" t="s">
        <v>111</v>
      </c>
      <c r="P4043" t="str">
        <f>"85032-7360"</f>
        <v>85032-7360</v>
      </c>
      <c r="Q4043" t="s">
        <v>113</v>
      </c>
      <c r="R4043" t="str">
        <f>"166-56-107"</f>
        <v>166-56-107</v>
      </c>
      <c r="S4043" t="s">
        <v>25752</v>
      </c>
      <c r="T4043" t="s">
        <v>25752</v>
      </c>
      <c r="U4043">
        <v>1815</v>
      </c>
      <c r="V4043">
        <v>0</v>
      </c>
      <c r="W4043">
        <v>2</v>
      </c>
      <c r="X4043">
        <v>1976</v>
      </c>
      <c r="Z4043">
        <v>1</v>
      </c>
      <c r="AA4043" t="s">
        <v>26</v>
      </c>
      <c r="AB4043">
        <v>0</v>
      </c>
      <c r="AC4043" t="s">
        <v>5188</v>
      </c>
      <c r="AD4043">
        <v>2</v>
      </c>
      <c r="AE4043" t="s">
        <v>5188</v>
      </c>
      <c r="AF4043">
        <v>0</v>
      </c>
      <c r="AG4043">
        <v>0</v>
      </c>
      <c r="AH4043" t="s">
        <v>116</v>
      </c>
      <c r="AI4043" s="1">
        <v>105892</v>
      </c>
      <c r="AJ4043" s="2">
        <v>0.3</v>
      </c>
      <c r="AK4043" s="1">
        <v>352231</v>
      </c>
      <c r="AL4043" t="s">
        <v>117</v>
      </c>
      <c r="AM4043" t="s">
        <v>171</v>
      </c>
      <c r="AN4043">
        <v>11889</v>
      </c>
      <c r="AO4043">
        <v>0.27</v>
      </c>
      <c r="AP4043">
        <v>1</v>
      </c>
      <c r="AR4043">
        <v>1</v>
      </c>
      <c r="AS4043" s="1">
        <v>24330</v>
      </c>
      <c r="AT4043" s="1">
        <v>4860</v>
      </c>
      <c r="AU4043" s="1">
        <v>19470</v>
      </c>
      <c r="AV4043">
        <v>80.02</v>
      </c>
      <c r="AX4043" s="1">
        <v>1774.46</v>
      </c>
      <c r="AY4043" t="s">
        <v>5488</v>
      </c>
      <c r="AZ4043" t="s">
        <v>5489</v>
      </c>
      <c r="BA4043" t="s">
        <v>5232</v>
      </c>
      <c r="BE4043" s="3">
        <v>42459</v>
      </c>
      <c r="BF4043" s="1">
        <v>296000</v>
      </c>
      <c r="BG4043" t="s">
        <v>25753</v>
      </c>
      <c r="BH4043" s="1">
        <v>163.09</v>
      </c>
      <c r="BI4043" s="1">
        <v>246339</v>
      </c>
      <c r="BJ4043" s="3">
        <v>42885</v>
      </c>
      <c r="BK4043" t="s">
        <v>123</v>
      </c>
      <c r="BL4043" t="str">
        <f>"2017.387335"</f>
        <v>2017.387335</v>
      </c>
      <c r="BM4043" t="s">
        <v>14332</v>
      </c>
      <c r="BO4043" t="s">
        <v>25754</v>
      </c>
      <c r="BS4043">
        <v>30</v>
      </c>
      <c r="BW4043" t="str">
        <f>""</f>
        <v/>
      </c>
      <c r="CH4043" t="str">
        <f>""</f>
        <v/>
      </c>
      <c r="CS4043" t="str">
        <f>""</f>
        <v/>
      </c>
    </row>
    <row r="4044" spans="1:97" x14ac:dyDescent="0.25">
      <c r="A4044" t="s">
        <v>140</v>
      </c>
      <c r="B4044" t="s">
        <v>25755</v>
      </c>
      <c r="C4044" t="s">
        <v>349</v>
      </c>
      <c r="D4044" t="s">
        <v>25755</v>
      </c>
      <c r="E4044" t="s">
        <v>25756</v>
      </c>
      <c r="F4044" t="s">
        <v>108</v>
      </c>
      <c r="H4044" t="s">
        <v>25757</v>
      </c>
      <c r="I4044" t="s">
        <v>225</v>
      </c>
      <c r="J4044" t="s">
        <v>111</v>
      </c>
      <c r="K4044" t="str">
        <f>"85204"</f>
        <v>85204</v>
      </c>
      <c r="L4044" t="s">
        <v>6169</v>
      </c>
      <c r="M4044" t="s">
        <v>25757</v>
      </c>
      <c r="N4044" t="s">
        <v>225</v>
      </c>
      <c r="O4044" t="s">
        <v>111</v>
      </c>
      <c r="P4044" t="str">
        <f>"85204-7030"</f>
        <v>85204-7030</v>
      </c>
      <c r="Q4044" t="s">
        <v>113</v>
      </c>
      <c r="R4044" t="str">
        <f>"140-63-187"</f>
        <v>140-63-187</v>
      </c>
      <c r="S4044" t="s">
        <v>25758</v>
      </c>
      <c r="U4044">
        <v>1188</v>
      </c>
      <c r="V4044">
        <v>0</v>
      </c>
      <c r="W4044">
        <v>2</v>
      </c>
      <c r="X4044">
        <v>1979</v>
      </c>
      <c r="Z4044">
        <v>1</v>
      </c>
      <c r="AA4044" t="s">
        <v>26</v>
      </c>
      <c r="AB4044">
        <v>0</v>
      </c>
      <c r="AC4044" t="s">
        <v>115</v>
      </c>
      <c r="AD4044">
        <v>1</v>
      </c>
      <c r="AE4044" t="s">
        <v>115</v>
      </c>
      <c r="AF4044">
        <v>0</v>
      </c>
      <c r="AG4044">
        <v>0</v>
      </c>
      <c r="AH4044" t="s">
        <v>116</v>
      </c>
      <c r="AI4044" s="1">
        <v>30632</v>
      </c>
      <c r="AJ4044" s="2">
        <v>0.13</v>
      </c>
      <c r="AK4044" s="1">
        <v>242396</v>
      </c>
      <c r="AL4044" t="s">
        <v>117</v>
      </c>
      <c r="AM4044" t="s">
        <v>191</v>
      </c>
      <c r="AN4044">
        <v>7340</v>
      </c>
      <c r="AO4044">
        <v>0.17</v>
      </c>
      <c r="AP4044">
        <v>1</v>
      </c>
      <c r="AR4044">
        <v>1</v>
      </c>
      <c r="AS4044" s="1">
        <v>15120</v>
      </c>
      <c r="AT4044" s="1">
        <v>3020</v>
      </c>
      <c r="AU4044" s="1">
        <v>12100</v>
      </c>
      <c r="AV4044">
        <v>80.03</v>
      </c>
      <c r="AX4044" s="1">
        <v>734.02</v>
      </c>
      <c r="AY4044" t="s">
        <v>25759</v>
      </c>
      <c r="AZ4044" t="s">
        <v>5478</v>
      </c>
      <c r="BA4044" t="s">
        <v>5033</v>
      </c>
      <c r="BE4044" s="3">
        <v>41752</v>
      </c>
      <c r="BF4044" s="1">
        <v>174900</v>
      </c>
      <c r="BG4044" t="s">
        <v>25760</v>
      </c>
      <c r="BH4044" s="1">
        <v>147.22</v>
      </c>
      <c r="BI4044" s="1">
        <v>211764</v>
      </c>
      <c r="BJ4044" s="3">
        <v>43027</v>
      </c>
      <c r="BK4044" t="s">
        <v>123</v>
      </c>
      <c r="BL4044" t="str">
        <f>"2017.776087"</f>
        <v>2017.776087</v>
      </c>
      <c r="BM4044" t="s">
        <v>724</v>
      </c>
      <c r="BO4044" t="s">
        <v>25761</v>
      </c>
      <c r="BS4044">
        <v>30</v>
      </c>
      <c r="BW4044" t="str">
        <f>""</f>
        <v/>
      </c>
      <c r="CH4044" t="str">
        <f>""</f>
        <v/>
      </c>
      <c r="CS4044" t="str">
        <f>""</f>
        <v/>
      </c>
    </row>
    <row r="4045" spans="1:97" x14ac:dyDescent="0.25">
      <c r="A4045" t="s">
        <v>16655</v>
      </c>
      <c r="B4045" t="s">
        <v>4098</v>
      </c>
      <c r="E4045" t="s">
        <v>25762</v>
      </c>
      <c r="F4045" t="s">
        <v>108</v>
      </c>
      <c r="H4045" t="s">
        <v>25763</v>
      </c>
      <c r="I4045" t="s">
        <v>1788</v>
      </c>
      <c r="J4045" t="s">
        <v>111</v>
      </c>
      <c r="K4045" t="str">
        <f>"85355"</f>
        <v>85355</v>
      </c>
      <c r="L4045" t="s">
        <v>2197</v>
      </c>
      <c r="M4045" t="s">
        <v>25763</v>
      </c>
      <c r="N4045" t="s">
        <v>1788</v>
      </c>
      <c r="O4045" t="s">
        <v>111</v>
      </c>
      <c r="P4045" t="str">
        <f>"85355-4154"</f>
        <v>85355-4154</v>
      </c>
      <c r="Q4045" t="s">
        <v>113</v>
      </c>
      <c r="R4045" t="str">
        <f>"502-91-717"</f>
        <v>502-91-717</v>
      </c>
      <c r="S4045" t="s">
        <v>8290</v>
      </c>
      <c r="U4045">
        <v>3380</v>
      </c>
      <c r="V4045">
        <v>0</v>
      </c>
      <c r="W4045">
        <v>4</v>
      </c>
      <c r="X4045">
        <v>2008</v>
      </c>
      <c r="Z4045">
        <v>2</v>
      </c>
      <c r="AB4045">
        <v>0</v>
      </c>
      <c r="AC4045" t="s">
        <v>115</v>
      </c>
      <c r="AD4045">
        <v>3</v>
      </c>
      <c r="AE4045" t="s">
        <v>115</v>
      </c>
      <c r="AF4045">
        <v>0</v>
      </c>
      <c r="AG4045">
        <v>0</v>
      </c>
      <c r="AH4045" t="s">
        <v>116</v>
      </c>
      <c r="AI4045" s="1">
        <v>35974</v>
      </c>
      <c r="AJ4045" s="2">
        <v>0.1</v>
      </c>
      <c r="AK4045" s="1">
        <v>353051</v>
      </c>
      <c r="AL4045" t="s">
        <v>117</v>
      </c>
      <c r="AM4045" t="s">
        <v>191</v>
      </c>
      <c r="AN4045">
        <v>7540</v>
      </c>
      <c r="AO4045">
        <v>0.17</v>
      </c>
      <c r="AR4045">
        <v>1</v>
      </c>
      <c r="AS4045" s="1">
        <v>23480</v>
      </c>
      <c r="AT4045" s="1">
        <v>4690</v>
      </c>
      <c r="AU4045" s="1">
        <v>18790</v>
      </c>
      <c r="AV4045">
        <v>80.03</v>
      </c>
      <c r="AX4045" s="1">
        <v>1771.04</v>
      </c>
      <c r="AY4045" t="s">
        <v>5972</v>
      </c>
      <c r="AZ4045" t="s">
        <v>5972</v>
      </c>
      <c r="BA4045" t="s">
        <v>5061</v>
      </c>
      <c r="BE4045" s="3">
        <v>42020</v>
      </c>
      <c r="BF4045" s="1">
        <v>255000</v>
      </c>
      <c r="BG4045" t="s">
        <v>25764</v>
      </c>
      <c r="BH4045" s="1">
        <v>75.44</v>
      </c>
      <c r="BI4045" s="1">
        <v>317077</v>
      </c>
      <c r="BJ4045" s="3">
        <v>43238</v>
      </c>
      <c r="BK4045" t="s">
        <v>123</v>
      </c>
      <c r="BL4045" t="str">
        <f>"2018.381311"</f>
        <v>2018.381311</v>
      </c>
      <c r="BM4045" t="s">
        <v>25765</v>
      </c>
      <c r="BN4045" t="s">
        <v>25766</v>
      </c>
      <c r="BO4045" t="s">
        <v>25762</v>
      </c>
      <c r="BR4045" t="s">
        <v>139</v>
      </c>
      <c r="BT4045" s="1">
        <v>317077</v>
      </c>
      <c r="BU4045" s="3">
        <v>43238</v>
      </c>
      <c r="BV4045" t="s">
        <v>123</v>
      </c>
      <c r="BW4045" t="str">
        <f>"2018.381311"</f>
        <v>2018.381311</v>
      </c>
      <c r="BX4045" t="s">
        <v>25765</v>
      </c>
      <c r="BY4045" t="s">
        <v>25766</v>
      </c>
      <c r="BZ4045" t="s">
        <v>25762</v>
      </c>
      <c r="CC4045" t="s">
        <v>139</v>
      </c>
      <c r="CH4045" t="str">
        <f>""</f>
        <v/>
      </c>
      <c r="CS4045" t="str">
        <f>""</f>
        <v/>
      </c>
    </row>
    <row r="4046" spans="1:97" x14ac:dyDescent="0.25">
      <c r="A4046" t="s">
        <v>152</v>
      </c>
      <c r="B4046" t="s">
        <v>25767</v>
      </c>
      <c r="E4046" t="s">
        <v>25768</v>
      </c>
      <c r="F4046" t="s">
        <v>108</v>
      </c>
      <c r="H4046" t="s">
        <v>25769</v>
      </c>
      <c r="I4046" t="s">
        <v>453</v>
      </c>
      <c r="J4046" t="s">
        <v>111</v>
      </c>
      <c r="K4046" t="str">
        <f>"85382"</f>
        <v>85382</v>
      </c>
      <c r="L4046" t="s">
        <v>7147</v>
      </c>
      <c r="M4046" t="s">
        <v>25769</v>
      </c>
      <c r="N4046" t="s">
        <v>453</v>
      </c>
      <c r="O4046" t="s">
        <v>111</v>
      </c>
      <c r="P4046" t="str">
        <f>"85382-3107"</f>
        <v>85382-3107</v>
      </c>
      <c r="Q4046" t="s">
        <v>113</v>
      </c>
      <c r="R4046" t="str">
        <f>"200-43-397"</f>
        <v>200-43-397</v>
      </c>
      <c r="S4046" t="s">
        <v>8285</v>
      </c>
      <c r="T4046" t="s">
        <v>8285</v>
      </c>
      <c r="U4046">
        <v>2151</v>
      </c>
      <c r="V4046">
        <v>0</v>
      </c>
      <c r="W4046">
        <v>4</v>
      </c>
      <c r="X4046">
        <v>2007</v>
      </c>
      <c r="Z4046">
        <v>2</v>
      </c>
      <c r="AB4046">
        <v>0</v>
      </c>
      <c r="AC4046" t="s">
        <v>115</v>
      </c>
      <c r="AD4046">
        <v>2</v>
      </c>
      <c r="AE4046" t="s">
        <v>115</v>
      </c>
      <c r="AF4046">
        <v>0</v>
      </c>
      <c r="AG4046">
        <v>0</v>
      </c>
      <c r="AH4046" t="s">
        <v>116</v>
      </c>
      <c r="AI4046" s="1">
        <v>98462</v>
      </c>
      <c r="AJ4046" s="2">
        <v>0.33</v>
      </c>
      <c r="AK4046" s="1">
        <v>298462</v>
      </c>
      <c r="AL4046" t="s">
        <v>117</v>
      </c>
      <c r="AM4046" t="s">
        <v>118</v>
      </c>
      <c r="AN4046">
        <v>2871</v>
      </c>
      <c r="AO4046">
        <v>0.66</v>
      </c>
      <c r="AR4046">
        <v>1</v>
      </c>
      <c r="AS4046" s="1">
        <v>20820</v>
      </c>
      <c r="AT4046" s="1">
        <v>4160</v>
      </c>
      <c r="AU4046" s="1">
        <v>16660</v>
      </c>
      <c r="AV4046">
        <v>80.02</v>
      </c>
      <c r="AX4046" s="1">
        <v>2265.14</v>
      </c>
      <c r="AY4046" t="s">
        <v>7828</v>
      </c>
      <c r="AZ4046" t="s">
        <v>7828</v>
      </c>
      <c r="BA4046" t="s">
        <v>4219</v>
      </c>
      <c r="BB4046" s="3">
        <v>43438</v>
      </c>
      <c r="BC4046" s="1">
        <v>0</v>
      </c>
      <c r="BD4046" t="s">
        <v>291</v>
      </c>
      <c r="BE4046" s="3">
        <v>42083</v>
      </c>
      <c r="BF4046" s="1">
        <v>200000</v>
      </c>
      <c r="BG4046" t="s">
        <v>25770</v>
      </c>
      <c r="BH4046" s="1">
        <v>92.98</v>
      </c>
      <c r="BI4046" s="1">
        <v>200000</v>
      </c>
      <c r="BJ4046" s="3">
        <v>42083</v>
      </c>
      <c r="BK4046" t="s">
        <v>123</v>
      </c>
      <c r="BL4046" t="str">
        <f>"2015.189615"</f>
        <v>2015.189615</v>
      </c>
      <c r="BM4046" t="s">
        <v>3810</v>
      </c>
      <c r="BN4046" t="s">
        <v>25771</v>
      </c>
      <c r="BO4046" t="s">
        <v>25772</v>
      </c>
      <c r="BS4046">
        <v>30</v>
      </c>
      <c r="BW4046" t="str">
        <f>""</f>
        <v/>
      </c>
      <c r="CH4046" t="str">
        <f>""</f>
        <v/>
      </c>
      <c r="CS4046" t="str">
        <f>""</f>
        <v/>
      </c>
    </row>
    <row r="4047" spans="1:97" x14ac:dyDescent="0.25">
      <c r="A4047" t="s">
        <v>106</v>
      </c>
      <c r="B4047" t="s">
        <v>4845</v>
      </c>
      <c r="E4047" t="s">
        <v>25773</v>
      </c>
      <c r="F4047" t="s">
        <v>282</v>
      </c>
      <c r="H4047" t="s">
        <v>25774</v>
      </c>
      <c r="I4047" t="s">
        <v>5387</v>
      </c>
      <c r="J4047" t="s">
        <v>111</v>
      </c>
      <c r="K4047" t="str">
        <f>"85282"</f>
        <v>85282</v>
      </c>
      <c r="L4047" t="s">
        <v>14926</v>
      </c>
      <c r="M4047" t="s">
        <v>25775</v>
      </c>
      <c r="N4047" t="s">
        <v>5387</v>
      </c>
      <c r="O4047" t="s">
        <v>111</v>
      </c>
      <c r="P4047" t="str">
        <f>"85282-5351"</f>
        <v>85282-5351</v>
      </c>
      <c r="Q4047" t="s">
        <v>113</v>
      </c>
      <c r="R4047" t="str">
        <f>"133-54-552"</f>
        <v>133-54-552</v>
      </c>
      <c r="S4047" t="s">
        <v>18442</v>
      </c>
      <c r="U4047">
        <v>2374</v>
      </c>
      <c r="V4047">
        <v>0</v>
      </c>
      <c r="W4047">
        <v>4</v>
      </c>
      <c r="X4047">
        <v>1966</v>
      </c>
      <c r="Z4047">
        <v>2</v>
      </c>
      <c r="AA4047" t="s">
        <v>26</v>
      </c>
      <c r="AB4047">
        <v>0</v>
      </c>
      <c r="AC4047" t="s">
        <v>115</v>
      </c>
      <c r="AD4047">
        <v>2</v>
      </c>
      <c r="AE4047" t="s">
        <v>115</v>
      </c>
      <c r="AF4047">
        <v>0</v>
      </c>
      <c r="AG4047">
        <v>0</v>
      </c>
      <c r="AH4047" t="s">
        <v>116</v>
      </c>
      <c r="AI4047" s="1">
        <v>121598</v>
      </c>
      <c r="AJ4047" s="2">
        <v>0.31</v>
      </c>
      <c r="AK4047" s="1">
        <v>387079</v>
      </c>
      <c r="AL4047" t="s">
        <v>117</v>
      </c>
      <c r="AM4047" t="s">
        <v>191</v>
      </c>
      <c r="AN4047">
        <v>8577</v>
      </c>
      <c r="AO4047">
        <v>0.2</v>
      </c>
      <c r="AP4047">
        <v>1</v>
      </c>
      <c r="AR4047">
        <v>1</v>
      </c>
      <c r="AS4047" s="1">
        <v>27750</v>
      </c>
      <c r="AT4047" s="1">
        <v>5550</v>
      </c>
      <c r="AU4047" s="1">
        <v>22200</v>
      </c>
      <c r="AV4047">
        <v>80</v>
      </c>
      <c r="AX4047" s="1">
        <v>2624.6</v>
      </c>
      <c r="AY4047" t="s">
        <v>11072</v>
      </c>
      <c r="AZ4047" t="s">
        <v>11073</v>
      </c>
      <c r="BA4047" t="s">
        <v>10858</v>
      </c>
      <c r="BE4047" s="3">
        <v>41845</v>
      </c>
      <c r="BF4047" s="1">
        <v>257000</v>
      </c>
      <c r="BG4047" t="s">
        <v>25776</v>
      </c>
      <c r="BH4047" s="1">
        <v>108.26</v>
      </c>
      <c r="BI4047" s="1">
        <v>265481</v>
      </c>
      <c r="BJ4047" s="3">
        <v>41845</v>
      </c>
      <c r="BK4047" t="s">
        <v>123</v>
      </c>
      <c r="BL4047" t="str">
        <f>"2014.488273"</f>
        <v>2014.488273</v>
      </c>
      <c r="BM4047" t="s">
        <v>1033</v>
      </c>
      <c r="BO4047" t="s">
        <v>25777</v>
      </c>
      <c r="BS4047">
        <v>30</v>
      </c>
      <c r="BW4047" t="str">
        <f>""</f>
        <v/>
      </c>
      <c r="CH4047" t="str">
        <f>""</f>
        <v/>
      </c>
      <c r="CS4047" t="str">
        <f>""</f>
        <v/>
      </c>
    </row>
    <row r="4048" spans="1:97" x14ac:dyDescent="0.25">
      <c r="A4048" t="s">
        <v>16655</v>
      </c>
      <c r="B4048" t="s">
        <v>25778</v>
      </c>
      <c r="C4048" t="s">
        <v>1594</v>
      </c>
      <c r="D4048" t="s">
        <v>25778</v>
      </c>
      <c r="E4048" t="s">
        <v>25779</v>
      </c>
      <c r="F4048" t="s">
        <v>108</v>
      </c>
      <c r="H4048" t="s">
        <v>25780</v>
      </c>
      <c r="I4048" t="s">
        <v>499</v>
      </c>
      <c r="J4048" t="s">
        <v>111</v>
      </c>
      <c r="K4048" t="str">
        <f>"85338"</f>
        <v>85338</v>
      </c>
      <c r="L4048" t="s">
        <v>11175</v>
      </c>
      <c r="M4048" t="s">
        <v>25780</v>
      </c>
      <c r="N4048" t="s">
        <v>499</v>
      </c>
      <c r="O4048" t="s">
        <v>111</v>
      </c>
      <c r="P4048" t="str">
        <f>"85338-7900"</f>
        <v>85338-7900</v>
      </c>
      <c r="Q4048" t="s">
        <v>113</v>
      </c>
      <c r="R4048" t="str">
        <f>"500-07-481"</f>
        <v>500-07-481</v>
      </c>
      <c r="S4048" t="s">
        <v>11176</v>
      </c>
      <c r="T4048" t="s">
        <v>16101</v>
      </c>
      <c r="U4048">
        <v>2139</v>
      </c>
      <c r="V4048">
        <v>0</v>
      </c>
      <c r="W4048">
        <v>3</v>
      </c>
      <c r="X4048">
        <v>2012</v>
      </c>
      <c r="Z4048">
        <v>1</v>
      </c>
      <c r="AB4048">
        <v>0</v>
      </c>
      <c r="AC4048" t="s">
        <v>115</v>
      </c>
      <c r="AD4048">
        <v>2</v>
      </c>
      <c r="AE4048" t="s">
        <v>115</v>
      </c>
      <c r="AF4048">
        <v>0</v>
      </c>
      <c r="AG4048">
        <v>0</v>
      </c>
      <c r="AH4048" t="s">
        <v>116</v>
      </c>
      <c r="AI4048" s="1">
        <v>63636</v>
      </c>
      <c r="AJ4048" s="2">
        <v>0.22</v>
      </c>
      <c r="AK4048" s="1">
        <v>288636</v>
      </c>
      <c r="AL4048" t="s">
        <v>117</v>
      </c>
      <c r="AM4048" t="s">
        <v>118</v>
      </c>
      <c r="AN4048">
        <v>10367</v>
      </c>
      <c r="AO4048">
        <v>0.24</v>
      </c>
      <c r="AR4048">
        <v>1</v>
      </c>
      <c r="AS4048" s="1">
        <v>20470</v>
      </c>
      <c r="AT4048" s="1">
        <v>4090</v>
      </c>
      <c r="AU4048" s="1">
        <v>16380</v>
      </c>
      <c r="AV4048">
        <v>80.02</v>
      </c>
      <c r="AX4048" s="1">
        <v>1939.48</v>
      </c>
      <c r="AY4048" t="s">
        <v>11177</v>
      </c>
      <c r="AZ4048" t="s">
        <v>11177</v>
      </c>
      <c r="BA4048" t="s">
        <v>7186</v>
      </c>
      <c r="BB4048" s="3">
        <v>42866</v>
      </c>
      <c r="BD4048" t="s">
        <v>240</v>
      </c>
      <c r="BE4048" s="3">
        <v>42032</v>
      </c>
      <c r="BF4048" s="1">
        <v>207000</v>
      </c>
      <c r="BG4048" t="s">
        <v>25781</v>
      </c>
      <c r="BH4048" s="1">
        <v>96.77</v>
      </c>
      <c r="BI4048" s="1">
        <v>225000</v>
      </c>
      <c r="BJ4048" s="3">
        <v>42866</v>
      </c>
      <c r="BK4048" t="s">
        <v>123</v>
      </c>
      <c r="BL4048" t="str">
        <f>"2017.343282"</f>
        <v>2017.343282</v>
      </c>
      <c r="BM4048" t="s">
        <v>1791</v>
      </c>
      <c r="BO4048" t="s">
        <v>25782</v>
      </c>
      <c r="BS4048">
        <v>30</v>
      </c>
      <c r="BW4048" t="str">
        <f>""</f>
        <v/>
      </c>
      <c r="CH4048" t="str">
        <f>""</f>
        <v/>
      </c>
      <c r="CS4048" t="str">
        <f>""</f>
        <v/>
      </c>
    </row>
    <row r="4049" spans="1:97" x14ac:dyDescent="0.25">
      <c r="A4049" t="s">
        <v>140</v>
      </c>
      <c r="B4049" t="s">
        <v>25783</v>
      </c>
      <c r="C4049" t="s">
        <v>10874</v>
      </c>
      <c r="D4049" t="s">
        <v>25783</v>
      </c>
      <c r="E4049" t="s">
        <v>25784</v>
      </c>
      <c r="F4049" t="s">
        <v>108</v>
      </c>
      <c r="H4049" t="s">
        <v>25785</v>
      </c>
      <c r="I4049" t="s">
        <v>5387</v>
      </c>
      <c r="J4049" t="s">
        <v>111</v>
      </c>
      <c r="K4049" t="str">
        <f>"85281"</f>
        <v>85281</v>
      </c>
      <c r="L4049" t="s">
        <v>5074</v>
      </c>
      <c r="M4049" t="s">
        <v>25785</v>
      </c>
      <c r="N4049" t="s">
        <v>5387</v>
      </c>
      <c r="O4049" t="s">
        <v>111</v>
      </c>
      <c r="P4049" t="str">
        <f>"85281-6625"</f>
        <v>85281-6625</v>
      </c>
      <c r="Q4049" t="s">
        <v>113</v>
      </c>
      <c r="R4049" t="str">
        <f>"133-16-054"</f>
        <v>133-16-054</v>
      </c>
      <c r="S4049" t="s">
        <v>25786</v>
      </c>
      <c r="T4049" t="s">
        <v>25786</v>
      </c>
      <c r="U4049">
        <v>1923</v>
      </c>
      <c r="V4049">
        <v>0</v>
      </c>
      <c r="W4049">
        <v>2</v>
      </c>
      <c r="X4049">
        <v>1951</v>
      </c>
      <c r="Z4049">
        <v>1</v>
      </c>
      <c r="AB4049">
        <v>0</v>
      </c>
      <c r="AC4049" t="s">
        <v>115</v>
      </c>
      <c r="AD4049">
        <v>3</v>
      </c>
      <c r="AE4049" t="s">
        <v>115</v>
      </c>
      <c r="AF4049">
        <v>0</v>
      </c>
      <c r="AG4049">
        <v>0</v>
      </c>
      <c r="AH4049" t="s">
        <v>116</v>
      </c>
      <c r="AI4049" s="1">
        <v>67124</v>
      </c>
      <c r="AJ4049" s="2">
        <v>0.14000000000000001</v>
      </c>
      <c r="AK4049" s="1">
        <v>475724</v>
      </c>
      <c r="AL4049" t="s">
        <v>117</v>
      </c>
      <c r="AM4049" t="s">
        <v>191</v>
      </c>
      <c r="AN4049">
        <v>16184</v>
      </c>
      <c r="AO4049">
        <v>0.37</v>
      </c>
      <c r="AP4049">
        <v>1</v>
      </c>
      <c r="AR4049">
        <v>1</v>
      </c>
      <c r="AS4049" s="1">
        <v>33270</v>
      </c>
      <c r="AT4049" s="1">
        <v>6650</v>
      </c>
      <c r="AU4049" s="1">
        <v>26620</v>
      </c>
      <c r="AV4049">
        <v>80.010000000000005</v>
      </c>
      <c r="AX4049" s="1">
        <v>3464.18</v>
      </c>
      <c r="AY4049" t="s">
        <v>14375</v>
      </c>
      <c r="AZ4049" t="s">
        <v>11073</v>
      </c>
      <c r="BA4049" t="s">
        <v>9519</v>
      </c>
      <c r="BB4049" s="3">
        <v>42929</v>
      </c>
      <c r="BD4049" t="s">
        <v>157</v>
      </c>
      <c r="BE4049" s="3">
        <v>42516</v>
      </c>
      <c r="BF4049" s="1">
        <v>400000</v>
      </c>
      <c r="BG4049" t="s">
        <v>25787</v>
      </c>
      <c r="BH4049" s="1">
        <v>208.01</v>
      </c>
      <c r="BI4049" s="1">
        <v>408600</v>
      </c>
      <c r="BJ4049" s="3">
        <v>42516</v>
      </c>
      <c r="BK4049" t="s">
        <v>123</v>
      </c>
      <c r="BL4049" t="str">
        <f>"2016.363622"</f>
        <v>2016.363622</v>
      </c>
      <c r="BM4049" t="s">
        <v>5832</v>
      </c>
      <c r="BN4049" t="s">
        <v>2188</v>
      </c>
      <c r="BO4049" t="s">
        <v>25788</v>
      </c>
      <c r="BS4049">
        <v>30</v>
      </c>
      <c r="BW4049" t="str">
        <f>""</f>
        <v/>
      </c>
      <c r="CH4049" t="str">
        <f>""</f>
        <v/>
      </c>
      <c r="CS4049" t="str">
        <f>""</f>
        <v/>
      </c>
    </row>
    <row r="4050" spans="1:97" x14ac:dyDescent="0.25">
      <c r="A4050" t="s">
        <v>711</v>
      </c>
      <c r="B4050" t="s">
        <v>20855</v>
      </c>
      <c r="C4050" t="s">
        <v>496</v>
      </c>
      <c r="D4050" t="s">
        <v>20855</v>
      </c>
      <c r="E4050" t="s">
        <v>25789</v>
      </c>
      <c r="F4050" t="s">
        <v>108</v>
      </c>
      <c r="H4050" t="s">
        <v>25790</v>
      </c>
      <c r="I4050" t="s">
        <v>390</v>
      </c>
      <c r="J4050" t="s">
        <v>111</v>
      </c>
      <c r="K4050" t="str">
        <f>"85048"</f>
        <v>85048</v>
      </c>
      <c r="L4050" t="s">
        <v>8543</v>
      </c>
      <c r="M4050" t="s">
        <v>25790</v>
      </c>
      <c r="N4050" t="s">
        <v>390</v>
      </c>
      <c r="O4050" t="s">
        <v>111</v>
      </c>
      <c r="P4050" t="str">
        <f>"85048"</f>
        <v>85048</v>
      </c>
      <c r="Q4050" t="s">
        <v>113</v>
      </c>
      <c r="R4050" t="str">
        <f>"307-03-516"</f>
        <v>307-03-516</v>
      </c>
      <c r="S4050" t="s">
        <v>17471</v>
      </c>
      <c r="T4050" t="s">
        <v>17471</v>
      </c>
      <c r="U4050">
        <v>1805</v>
      </c>
      <c r="V4050">
        <v>0</v>
      </c>
      <c r="W4050">
        <v>3</v>
      </c>
      <c r="X4050">
        <v>1996</v>
      </c>
      <c r="Z4050">
        <v>1</v>
      </c>
      <c r="AA4050" t="s">
        <v>26</v>
      </c>
      <c r="AB4050">
        <v>0</v>
      </c>
      <c r="AC4050" t="s">
        <v>115</v>
      </c>
      <c r="AD4050">
        <v>2</v>
      </c>
      <c r="AE4050" t="s">
        <v>115</v>
      </c>
      <c r="AF4050">
        <v>0</v>
      </c>
      <c r="AG4050">
        <v>0</v>
      </c>
      <c r="AH4050" t="s">
        <v>116</v>
      </c>
      <c r="AI4050" s="1">
        <v>46958</v>
      </c>
      <c r="AJ4050" s="2">
        <v>0.14000000000000001</v>
      </c>
      <c r="AK4050" s="1">
        <v>346096</v>
      </c>
      <c r="AL4050" t="s">
        <v>117</v>
      </c>
      <c r="AM4050" t="s">
        <v>1315</v>
      </c>
      <c r="AN4050">
        <v>5500</v>
      </c>
      <c r="AO4050">
        <v>0.13</v>
      </c>
      <c r="AP4050">
        <v>1</v>
      </c>
      <c r="AR4050">
        <v>1</v>
      </c>
      <c r="AS4050" s="1">
        <v>24360</v>
      </c>
      <c r="AT4050" s="1">
        <v>4870</v>
      </c>
      <c r="AU4050" s="1">
        <v>19490</v>
      </c>
      <c r="AV4050">
        <v>80.010000000000005</v>
      </c>
      <c r="AX4050" s="1">
        <v>2274.6</v>
      </c>
      <c r="AY4050" t="s">
        <v>6633</v>
      </c>
      <c r="AZ4050" t="s">
        <v>929</v>
      </c>
      <c r="BA4050" t="s">
        <v>930</v>
      </c>
      <c r="BE4050" s="3">
        <v>42396</v>
      </c>
      <c r="BF4050" s="1">
        <v>289000</v>
      </c>
      <c r="BG4050" t="s">
        <v>25791</v>
      </c>
      <c r="BH4050" s="1">
        <v>160.11000000000001</v>
      </c>
      <c r="BI4050" s="1">
        <v>299138</v>
      </c>
      <c r="BJ4050" s="3">
        <v>42996</v>
      </c>
      <c r="BK4050" t="s">
        <v>123</v>
      </c>
      <c r="BL4050" t="str">
        <f>"2017.687607"</f>
        <v>2017.687607</v>
      </c>
      <c r="BM4050" t="s">
        <v>13874</v>
      </c>
      <c r="BO4050" t="s">
        <v>25792</v>
      </c>
      <c r="BP4050" t="s">
        <v>25793</v>
      </c>
      <c r="BS4050">
        <v>30</v>
      </c>
      <c r="BW4050" t="str">
        <f>""</f>
        <v/>
      </c>
      <c r="CH4050" t="str">
        <f>""</f>
        <v/>
      </c>
      <c r="CS4050" t="str">
        <f>""</f>
        <v/>
      </c>
    </row>
    <row r="4051" spans="1:97" x14ac:dyDescent="0.25">
      <c r="A4051" t="s">
        <v>5560</v>
      </c>
      <c r="B4051" t="s">
        <v>2537</v>
      </c>
      <c r="C4051" t="s">
        <v>2380</v>
      </c>
      <c r="D4051" t="s">
        <v>2537</v>
      </c>
      <c r="E4051" t="s">
        <v>25794</v>
      </c>
      <c r="F4051" t="s">
        <v>108</v>
      </c>
      <c r="H4051" t="s">
        <v>25795</v>
      </c>
      <c r="I4051" t="s">
        <v>453</v>
      </c>
      <c r="J4051" t="s">
        <v>111</v>
      </c>
      <c r="K4051" t="str">
        <f>"85345"</f>
        <v>85345</v>
      </c>
      <c r="L4051" t="s">
        <v>6691</v>
      </c>
      <c r="M4051" t="s">
        <v>25795</v>
      </c>
      <c r="N4051" t="s">
        <v>453</v>
      </c>
      <c r="O4051" t="s">
        <v>111</v>
      </c>
      <c r="P4051" t="str">
        <f>"85345-7947"</f>
        <v>85345-7947</v>
      </c>
      <c r="Q4051" t="s">
        <v>113</v>
      </c>
      <c r="R4051" t="str">
        <f>"142-34-235"</f>
        <v>142-34-235</v>
      </c>
      <c r="S4051" t="s">
        <v>7169</v>
      </c>
      <c r="T4051" t="s">
        <v>7170</v>
      </c>
      <c r="U4051">
        <v>1440</v>
      </c>
      <c r="V4051">
        <v>0</v>
      </c>
      <c r="W4051">
        <v>2</v>
      </c>
      <c r="X4051">
        <v>1984</v>
      </c>
      <c r="Z4051">
        <v>1</v>
      </c>
      <c r="AB4051">
        <v>0</v>
      </c>
      <c r="AC4051" t="s">
        <v>115</v>
      </c>
      <c r="AD4051">
        <v>2</v>
      </c>
      <c r="AE4051" t="s">
        <v>115</v>
      </c>
      <c r="AF4051">
        <v>0</v>
      </c>
      <c r="AG4051">
        <v>0</v>
      </c>
      <c r="AH4051" t="s">
        <v>116</v>
      </c>
      <c r="AI4051" s="1">
        <v>3955</v>
      </c>
      <c r="AJ4051" s="2">
        <v>0.02</v>
      </c>
      <c r="AK4051" s="1">
        <v>228955</v>
      </c>
      <c r="AL4051" t="s">
        <v>117</v>
      </c>
      <c r="AM4051" t="s">
        <v>171</v>
      </c>
      <c r="AN4051">
        <v>9034</v>
      </c>
      <c r="AO4051">
        <v>0.21</v>
      </c>
      <c r="AP4051">
        <v>1</v>
      </c>
      <c r="AR4051">
        <v>1</v>
      </c>
      <c r="AS4051" s="1">
        <v>15120</v>
      </c>
      <c r="AT4051" s="1">
        <v>3020</v>
      </c>
      <c r="AU4051" s="1">
        <v>12100</v>
      </c>
      <c r="AV4051">
        <v>80.03</v>
      </c>
      <c r="AX4051" s="1">
        <v>872.8</v>
      </c>
      <c r="AY4051" t="s">
        <v>6944</v>
      </c>
      <c r="AZ4051" t="s">
        <v>6944</v>
      </c>
      <c r="BA4051" t="s">
        <v>6945</v>
      </c>
      <c r="BE4051" s="3">
        <v>41820</v>
      </c>
      <c r="BF4051" s="1">
        <v>154000</v>
      </c>
      <c r="BG4051" t="s">
        <v>11842</v>
      </c>
      <c r="BH4051" s="1">
        <v>106.94</v>
      </c>
      <c r="BI4051" s="1">
        <v>225000</v>
      </c>
      <c r="BJ4051" s="3">
        <v>43377</v>
      </c>
      <c r="BK4051" t="s">
        <v>123</v>
      </c>
      <c r="BL4051" t="str">
        <f>"2018.746022"</f>
        <v>2018.746022</v>
      </c>
      <c r="BM4051" t="s">
        <v>1809</v>
      </c>
      <c r="BN4051" t="s">
        <v>1810</v>
      </c>
      <c r="BO4051" t="s">
        <v>25796</v>
      </c>
      <c r="BP4051" t="s">
        <v>25797</v>
      </c>
      <c r="BR4051" t="s">
        <v>139</v>
      </c>
      <c r="BW4051" t="str">
        <f>""</f>
        <v/>
      </c>
      <c r="CH4051" t="str">
        <f>""</f>
        <v/>
      </c>
      <c r="CS4051" t="str">
        <f>""</f>
        <v/>
      </c>
    </row>
    <row r="4052" spans="1:97" x14ac:dyDescent="0.25">
      <c r="A4052" t="s">
        <v>1850</v>
      </c>
      <c r="B4052" t="s">
        <v>25798</v>
      </c>
      <c r="C4052" t="s">
        <v>3875</v>
      </c>
      <c r="D4052" t="s">
        <v>25798</v>
      </c>
      <c r="E4052" t="s">
        <v>25799</v>
      </c>
      <c r="F4052" t="s">
        <v>108</v>
      </c>
      <c r="H4052" t="s">
        <v>25800</v>
      </c>
      <c r="I4052" t="s">
        <v>499</v>
      </c>
      <c r="J4052" t="s">
        <v>111</v>
      </c>
      <c r="K4052" t="str">
        <f>"85338"</f>
        <v>85338</v>
      </c>
      <c r="L4052" t="s">
        <v>5775</v>
      </c>
      <c r="M4052" t="s">
        <v>25800</v>
      </c>
      <c r="N4052" t="s">
        <v>499</v>
      </c>
      <c r="O4052" t="s">
        <v>111</v>
      </c>
      <c r="P4052" t="str">
        <f>"85338-3246"</f>
        <v>85338-3246</v>
      </c>
      <c r="Q4052" t="s">
        <v>113</v>
      </c>
      <c r="R4052" t="str">
        <f>"500-10-529"</f>
        <v>500-10-529</v>
      </c>
      <c r="S4052" t="s">
        <v>9551</v>
      </c>
      <c r="T4052" t="s">
        <v>9551</v>
      </c>
      <c r="U4052">
        <v>2309</v>
      </c>
      <c r="V4052">
        <v>0</v>
      </c>
      <c r="W4052">
        <v>3</v>
      </c>
      <c r="X4052">
        <v>2014</v>
      </c>
      <c r="Z4052">
        <v>1</v>
      </c>
      <c r="AB4052">
        <v>0</v>
      </c>
      <c r="AC4052" t="s">
        <v>115</v>
      </c>
      <c r="AD4052">
        <v>2</v>
      </c>
      <c r="AE4052" t="s">
        <v>115</v>
      </c>
      <c r="AF4052">
        <v>0</v>
      </c>
      <c r="AG4052">
        <v>0</v>
      </c>
      <c r="AH4052" t="s">
        <v>116</v>
      </c>
      <c r="AI4052" s="1">
        <v>54753</v>
      </c>
      <c r="AJ4052" s="2">
        <v>0.17</v>
      </c>
      <c r="AK4052" s="1">
        <v>327195</v>
      </c>
      <c r="AL4052" t="s">
        <v>117</v>
      </c>
      <c r="AM4052" t="s">
        <v>118</v>
      </c>
      <c r="AN4052">
        <v>7200</v>
      </c>
      <c r="AO4052">
        <v>0.16</v>
      </c>
      <c r="AR4052">
        <v>1</v>
      </c>
      <c r="AS4052" s="1">
        <v>23080</v>
      </c>
      <c r="AT4052" s="1">
        <v>4610</v>
      </c>
      <c r="AU4052" s="1">
        <v>18470</v>
      </c>
      <c r="AV4052">
        <v>80.03</v>
      </c>
      <c r="AX4052" s="1">
        <v>2015.3</v>
      </c>
      <c r="AY4052" t="s">
        <v>4311</v>
      </c>
      <c r="AZ4052" t="s">
        <v>4311</v>
      </c>
      <c r="BA4052" t="s">
        <v>7186</v>
      </c>
      <c r="BE4052" s="3">
        <v>42003</v>
      </c>
      <c r="BF4052" s="1">
        <v>272442</v>
      </c>
      <c r="BG4052" t="s">
        <v>158</v>
      </c>
      <c r="BH4052" s="1">
        <v>117.99</v>
      </c>
      <c r="BI4052" s="1">
        <v>272442</v>
      </c>
      <c r="BJ4052" s="3">
        <v>42003</v>
      </c>
      <c r="BK4052" t="s">
        <v>123</v>
      </c>
      <c r="BL4052" t="str">
        <f>"2014.855835"</f>
        <v>2014.855835</v>
      </c>
      <c r="BM4052" t="s">
        <v>241</v>
      </c>
      <c r="BO4052" t="s">
        <v>25801</v>
      </c>
      <c r="BS4052">
        <v>30</v>
      </c>
      <c r="BW4052" t="str">
        <f>""</f>
        <v/>
      </c>
      <c r="CH4052" t="str">
        <f>""</f>
        <v/>
      </c>
      <c r="CS4052" t="str">
        <f>""</f>
        <v/>
      </c>
    </row>
    <row r="4053" spans="1:97" x14ac:dyDescent="0.25">
      <c r="A4053" t="s">
        <v>3282</v>
      </c>
      <c r="B4053" t="s">
        <v>25802</v>
      </c>
      <c r="E4053" t="s">
        <v>25803</v>
      </c>
      <c r="F4053" t="s">
        <v>108</v>
      </c>
      <c r="H4053" t="s">
        <v>25804</v>
      </c>
      <c r="I4053" t="s">
        <v>110</v>
      </c>
      <c r="J4053" t="s">
        <v>111</v>
      </c>
      <c r="K4053" t="str">
        <f>"85226"</f>
        <v>85226</v>
      </c>
      <c r="L4053" t="s">
        <v>5084</v>
      </c>
      <c r="M4053" t="s">
        <v>25804</v>
      </c>
      <c r="N4053" t="s">
        <v>110</v>
      </c>
      <c r="O4053" t="s">
        <v>111</v>
      </c>
      <c r="P4053" t="str">
        <f>"85226-7526"</f>
        <v>85226-7526</v>
      </c>
      <c r="Q4053" t="s">
        <v>113</v>
      </c>
      <c r="R4053" t="str">
        <f>"308-04-761"</f>
        <v>308-04-761</v>
      </c>
      <c r="S4053" t="s">
        <v>8186</v>
      </c>
      <c r="T4053" t="s">
        <v>8187</v>
      </c>
      <c r="U4053">
        <v>1377</v>
      </c>
      <c r="V4053">
        <v>0</v>
      </c>
      <c r="W4053">
        <v>3</v>
      </c>
      <c r="X4053">
        <v>1992</v>
      </c>
      <c r="Z4053">
        <v>1</v>
      </c>
      <c r="AA4053" t="s">
        <v>26</v>
      </c>
      <c r="AB4053">
        <v>0</v>
      </c>
      <c r="AC4053" t="s">
        <v>115</v>
      </c>
      <c r="AD4053">
        <v>2</v>
      </c>
      <c r="AE4053" t="s">
        <v>115</v>
      </c>
      <c r="AF4053">
        <v>0</v>
      </c>
      <c r="AG4053">
        <v>0</v>
      </c>
      <c r="AH4053" t="s">
        <v>116</v>
      </c>
      <c r="AI4053" s="1">
        <v>73321</v>
      </c>
      <c r="AJ4053" s="2">
        <v>0.24</v>
      </c>
      <c r="AK4053" s="1">
        <v>304246</v>
      </c>
      <c r="AL4053" t="s">
        <v>117</v>
      </c>
      <c r="AM4053" t="s">
        <v>118</v>
      </c>
      <c r="AN4053">
        <v>5615</v>
      </c>
      <c r="AO4053">
        <v>0.13</v>
      </c>
      <c r="AP4053">
        <v>1</v>
      </c>
      <c r="AR4053">
        <v>1</v>
      </c>
      <c r="AS4053" s="1">
        <v>20750</v>
      </c>
      <c r="AT4053" s="1">
        <v>4150</v>
      </c>
      <c r="AU4053" s="1">
        <v>16600</v>
      </c>
      <c r="AV4053">
        <v>80</v>
      </c>
      <c r="AX4053" s="1">
        <v>1806.58</v>
      </c>
      <c r="AY4053" t="s">
        <v>5200</v>
      </c>
      <c r="AZ4053" t="s">
        <v>5201</v>
      </c>
      <c r="BA4053" t="s">
        <v>5328</v>
      </c>
      <c r="BE4053" s="3">
        <v>41789</v>
      </c>
      <c r="BF4053" s="1">
        <v>225000</v>
      </c>
      <c r="BG4053" t="s">
        <v>25805</v>
      </c>
      <c r="BH4053" s="1">
        <v>163.4</v>
      </c>
      <c r="BI4053" s="1">
        <v>230925</v>
      </c>
      <c r="BJ4053" s="3">
        <v>41789</v>
      </c>
      <c r="BK4053" t="s">
        <v>123</v>
      </c>
      <c r="BL4053" t="str">
        <f>"2014.351870"</f>
        <v>2014.351870</v>
      </c>
      <c r="BM4053" t="s">
        <v>724</v>
      </c>
      <c r="BO4053" t="s">
        <v>25806</v>
      </c>
      <c r="BS4053">
        <v>30</v>
      </c>
      <c r="BW4053" t="str">
        <f>""</f>
        <v/>
      </c>
      <c r="CH4053" t="str">
        <f>""</f>
        <v/>
      </c>
      <c r="CS4053" t="str">
        <f>""</f>
        <v/>
      </c>
    </row>
    <row r="4054" spans="1:97" x14ac:dyDescent="0.25">
      <c r="A4054" t="s">
        <v>305</v>
      </c>
      <c r="B4054" t="s">
        <v>25807</v>
      </c>
      <c r="C4054" t="s">
        <v>1289</v>
      </c>
      <c r="D4054" t="s">
        <v>25807</v>
      </c>
      <c r="E4054" t="s">
        <v>25808</v>
      </c>
      <c r="F4054" t="s">
        <v>108</v>
      </c>
      <c r="H4054" t="s">
        <v>25809</v>
      </c>
      <c r="I4054" t="s">
        <v>225</v>
      </c>
      <c r="J4054" t="s">
        <v>111</v>
      </c>
      <c r="K4054" t="str">
        <f>"85206"</f>
        <v>85206</v>
      </c>
      <c r="L4054" t="s">
        <v>9764</v>
      </c>
      <c r="M4054" t="s">
        <v>25809</v>
      </c>
      <c r="N4054" t="s">
        <v>225</v>
      </c>
      <c r="O4054" t="s">
        <v>111</v>
      </c>
      <c r="P4054" t="str">
        <f>"85206-2754"</f>
        <v>85206-2754</v>
      </c>
      <c r="Q4054" t="s">
        <v>113</v>
      </c>
      <c r="R4054" t="str">
        <f>"140-53-278"</f>
        <v>140-53-278</v>
      </c>
      <c r="S4054" t="s">
        <v>25810</v>
      </c>
      <c r="U4054">
        <v>1486</v>
      </c>
      <c r="V4054">
        <v>0</v>
      </c>
      <c r="W4054">
        <v>2</v>
      </c>
      <c r="X4054">
        <v>1978</v>
      </c>
      <c r="Z4054">
        <v>1</v>
      </c>
      <c r="AB4054">
        <v>0</v>
      </c>
      <c r="AC4054" t="s">
        <v>115</v>
      </c>
      <c r="AD4054">
        <v>2</v>
      </c>
      <c r="AE4054" t="s">
        <v>115</v>
      </c>
      <c r="AF4054">
        <v>0</v>
      </c>
      <c r="AG4054">
        <v>0</v>
      </c>
      <c r="AH4054" t="s">
        <v>116</v>
      </c>
      <c r="AI4054" s="1">
        <v>39990</v>
      </c>
      <c r="AJ4054" s="2">
        <v>0.17</v>
      </c>
      <c r="AK4054" s="1">
        <v>239990</v>
      </c>
      <c r="AL4054" t="s">
        <v>117</v>
      </c>
      <c r="AM4054" t="s">
        <v>191</v>
      </c>
      <c r="AN4054">
        <v>6293</v>
      </c>
      <c r="AO4054">
        <v>0.14000000000000001</v>
      </c>
      <c r="AP4054">
        <v>1</v>
      </c>
      <c r="AR4054">
        <v>1</v>
      </c>
      <c r="AS4054" s="1">
        <v>15810</v>
      </c>
      <c r="AT4054" s="1">
        <v>3160</v>
      </c>
      <c r="AU4054" s="1">
        <v>12650</v>
      </c>
      <c r="AV4054">
        <v>80.010000000000005</v>
      </c>
      <c r="AX4054" s="1">
        <v>1418.06</v>
      </c>
      <c r="AY4054" t="s">
        <v>6934</v>
      </c>
      <c r="AZ4054" t="s">
        <v>5158</v>
      </c>
      <c r="BA4054" t="s">
        <v>5159</v>
      </c>
      <c r="BE4054" s="3">
        <v>41724</v>
      </c>
      <c r="BF4054" s="1">
        <v>169500</v>
      </c>
      <c r="BG4054" t="s">
        <v>25811</v>
      </c>
      <c r="BH4054" s="1">
        <v>114.06</v>
      </c>
      <c r="BI4054" s="1">
        <v>200000</v>
      </c>
      <c r="BJ4054" s="3">
        <v>43173</v>
      </c>
      <c r="BK4054" t="s">
        <v>123</v>
      </c>
      <c r="BL4054" t="str">
        <f>"2018.191019"</f>
        <v>2018.191019</v>
      </c>
      <c r="BM4054" t="s">
        <v>492</v>
      </c>
      <c r="BN4054" t="s">
        <v>4706</v>
      </c>
      <c r="BO4054" t="s">
        <v>25812</v>
      </c>
      <c r="BP4054" t="s">
        <v>25813</v>
      </c>
      <c r="BR4054" t="s">
        <v>139</v>
      </c>
      <c r="BW4054" t="str">
        <f>""</f>
        <v/>
      </c>
      <c r="CH4054" t="str">
        <f>""</f>
        <v/>
      </c>
      <c r="CS4054" t="str">
        <f>""</f>
        <v/>
      </c>
    </row>
    <row r="4055" spans="1:97" x14ac:dyDescent="0.25">
      <c r="A4055" t="s">
        <v>933</v>
      </c>
      <c r="B4055" t="s">
        <v>15442</v>
      </c>
      <c r="C4055" t="s">
        <v>428</v>
      </c>
      <c r="D4055" t="s">
        <v>15442</v>
      </c>
      <c r="E4055" t="s">
        <v>25814</v>
      </c>
      <c r="F4055" t="s">
        <v>108</v>
      </c>
      <c r="H4055" t="s">
        <v>25815</v>
      </c>
      <c r="I4055" t="s">
        <v>632</v>
      </c>
      <c r="J4055" t="s">
        <v>111</v>
      </c>
      <c r="K4055" t="str">
        <f>"85387"</f>
        <v>85387</v>
      </c>
      <c r="L4055" t="s">
        <v>5291</v>
      </c>
      <c r="M4055" t="s">
        <v>25815</v>
      </c>
      <c r="N4055" t="s">
        <v>632</v>
      </c>
      <c r="O4055" t="s">
        <v>111</v>
      </c>
      <c r="P4055" t="str">
        <f>"85387-9666"</f>
        <v>85387-9666</v>
      </c>
      <c r="Q4055" t="s">
        <v>113</v>
      </c>
      <c r="R4055" t="str">
        <f>"503-73-105"</f>
        <v>503-73-105</v>
      </c>
      <c r="U4055">
        <v>1508</v>
      </c>
      <c r="V4055">
        <v>0</v>
      </c>
      <c r="W4055">
        <v>3</v>
      </c>
      <c r="X4055">
        <v>2007</v>
      </c>
      <c r="Z4055">
        <v>1</v>
      </c>
      <c r="AB4055">
        <v>0</v>
      </c>
      <c r="AC4055" t="s">
        <v>115</v>
      </c>
      <c r="AD4055">
        <v>2</v>
      </c>
      <c r="AE4055" t="s">
        <v>115</v>
      </c>
      <c r="AF4055">
        <v>0</v>
      </c>
      <c r="AG4055">
        <v>0</v>
      </c>
      <c r="AH4055" t="s">
        <v>116</v>
      </c>
      <c r="AI4055" s="1">
        <v>28600</v>
      </c>
      <c r="AJ4055" s="2">
        <v>0.1</v>
      </c>
      <c r="AK4055" s="1">
        <v>286850</v>
      </c>
      <c r="AL4055" t="s">
        <v>117</v>
      </c>
      <c r="AM4055" t="s">
        <v>376</v>
      </c>
      <c r="AN4055">
        <v>108900</v>
      </c>
      <c r="AO4055">
        <v>2.5</v>
      </c>
      <c r="AP4055">
        <v>1</v>
      </c>
      <c r="AR4055">
        <v>1</v>
      </c>
      <c r="AS4055" s="1">
        <v>20250</v>
      </c>
      <c r="AT4055" s="1">
        <v>4050</v>
      </c>
      <c r="AU4055" s="1">
        <v>16200</v>
      </c>
      <c r="AV4055">
        <v>80</v>
      </c>
      <c r="AX4055" s="1">
        <v>1363.78</v>
      </c>
      <c r="AY4055" t="s">
        <v>5108</v>
      </c>
      <c r="AZ4055" t="s">
        <v>5108</v>
      </c>
      <c r="BA4055" t="s">
        <v>5109</v>
      </c>
      <c r="BE4055" s="3">
        <v>42356</v>
      </c>
      <c r="BF4055" s="1">
        <v>212100</v>
      </c>
      <c r="BG4055" t="s">
        <v>25816</v>
      </c>
      <c r="BH4055" s="1">
        <v>140.65</v>
      </c>
      <c r="BI4055" s="1">
        <v>258250</v>
      </c>
      <c r="BJ4055" s="3">
        <v>43070</v>
      </c>
      <c r="BK4055" t="s">
        <v>123</v>
      </c>
      <c r="BL4055" t="str">
        <f>"2017.891991"</f>
        <v>2017.891991</v>
      </c>
      <c r="BM4055" t="s">
        <v>13874</v>
      </c>
      <c r="BO4055" t="s">
        <v>25817</v>
      </c>
      <c r="BS4055">
        <v>30</v>
      </c>
      <c r="BW4055" t="str">
        <f>""</f>
        <v/>
      </c>
      <c r="CH4055" t="str">
        <f>""</f>
        <v/>
      </c>
      <c r="CS4055" t="str">
        <f>""</f>
        <v/>
      </c>
    </row>
    <row r="4056" spans="1:97" x14ac:dyDescent="0.25">
      <c r="A4056" t="s">
        <v>996</v>
      </c>
      <c r="B4056" t="s">
        <v>465</v>
      </c>
      <c r="C4056" t="s">
        <v>25818</v>
      </c>
      <c r="D4056" t="s">
        <v>465</v>
      </c>
      <c r="E4056" t="s">
        <v>25819</v>
      </c>
      <c r="F4056" t="s">
        <v>108</v>
      </c>
      <c r="H4056" t="s">
        <v>25820</v>
      </c>
      <c r="I4056" t="s">
        <v>144</v>
      </c>
      <c r="J4056" t="s">
        <v>111</v>
      </c>
      <c r="K4056" t="str">
        <f>"85326"</f>
        <v>85326</v>
      </c>
      <c r="L4056" t="s">
        <v>6481</v>
      </c>
      <c r="M4056" t="s">
        <v>25820</v>
      </c>
      <c r="N4056" t="s">
        <v>144</v>
      </c>
      <c r="O4056" t="s">
        <v>111</v>
      </c>
      <c r="P4056" t="str">
        <f>"85326-2945"</f>
        <v>85326-2945</v>
      </c>
      <c r="Q4056" t="s">
        <v>113</v>
      </c>
      <c r="R4056" t="str">
        <f>"504-60-358"</f>
        <v>504-60-358</v>
      </c>
      <c r="S4056" t="s">
        <v>25821</v>
      </c>
      <c r="U4056">
        <v>2376</v>
      </c>
      <c r="V4056">
        <v>0</v>
      </c>
      <c r="W4056">
        <v>4</v>
      </c>
      <c r="X4056">
        <v>2005</v>
      </c>
      <c r="Z4056">
        <v>1</v>
      </c>
      <c r="AA4056" t="s">
        <v>26</v>
      </c>
      <c r="AB4056">
        <v>0</v>
      </c>
      <c r="AC4056" t="s">
        <v>115</v>
      </c>
      <c r="AD4056">
        <v>3</v>
      </c>
      <c r="AE4056" t="s">
        <v>115</v>
      </c>
      <c r="AF4056">
        <v>0</v>
      </c>
      <c r="AG4056">
        <v>0</v>
      </c>
      <c r="AH4056" t="s">
        <v>116</v>
      </c>
      <c r="AI4056" s="1">
        <v>72543</v>
      </c>
      <c r="AJ4056" s="2">
        <v>0.26</v>
      </c>
      <c r="AK4056" s="1">
        <v>275543</v>
      </c>
      <c r="AL4056" t="s">
        <v>117</v>
      </c>
      <c r="AM4056" t="s">
        <v>118</v>
      </c>
      <c r="AN4056">
        <v>6900</v>
      </c>
      <c r="AO4056">
        <v>0.16</v>
      </c>
      <c r="AR4056">
        <v>1</v>
      </c>
      <c r="AS4056" s="1">
        <v>19510</v>
      </c>
      <c r="AT4056" s="1">
        <v>3900</v>
      </c>
      <c r="AU4056" s="1">
        <v>15610</v>
      </c>
      <c r="AV4056">
        <v>80.010000000000005</v>
      </c>
      <c r="AX4056" s="1">
        <v>2350.7399999999998</v>
      </c>
      <c r="AY4056" t="s">
        <v>6624</v>
      </c>
      <c r="AZ4056" t="s">
        <v>6624</v>
      </c>
      <c r="BA4056" t="s">
        <v>5025</v>
      </c>
      <c r="BE4056" s="3">
        <v>42058</v>
      </c>
      <c r="BF4056" s="1">
        <v>200000</v>
      </c>
      <c r="BG4056" t="s">
        <v>25822</v>
      </c>
      <c r="BH4056" s="1">
        <v>84.18</v>
      </c>
      <c r="BI4056" s="1">
        <v>203000</v>
      </c>
      <c r="BJ4056" s="3">
        <v>42058</v>
      </c>
      <c r="BK4056" t="s">
        <v>123</v>
      </c>
      <c r="BL4056" t="str">
        <f>"2015.115247"</f>
        <v>2015.115247</v>
      </c>
      <c r="BM4056" t="s">
        <v>135</v>
      </c>
      <c r="BO4056" t="s">
        <v>25823</v>
      </c>
      <c r="BS4056">
        <v>30</v>
      </c>
      <c r="BW4056" t="str">
        <f>""</f>
        <v/>
      </c>
      <c r="CH4056" t="str">
        <f>""</f>
        <v/>
      </c>
      <c r="CS4056" t="str">
        <f>""</f>
        <v/>
      </c>
    </row>
    <row r="4057" spans="1:97" x14ac:dyDescent="0.25">
      <c r="A4057" t="s">
        <v>894</v>
      </c>
      <c r="B4057" t="s">
        <v>25824</v>
      </c>
      <c r="E4057" t="s">
        <v>25825</v>
      </c>
      <c r="F4057" t="s">
        <v>108</v>
      </c>
      <c r="H4057" t="s">
        <v>25826</v>
      </c>
      <c r="I4057" t="s">
        <v>144</v>
      </c>
      <c r="J4057" t="s">
        <v>111</v>
      </c>
      <c r="K4057" t="str">
        <f>"85326"</f>
        <v>85326</v>
      </c>
      <c r="L4057" t="s">
        <v>2197</v>
      </c>
      <c r="M4057" t="s">
        <v>25826</v>
      </c>
      <c r="N4057" t="s">
        <v>144</v>
      </c>
      <c r="O4057" t="s">
        <v>111</v>
      </c>
      <c r="P4057" t="str">
        <f>"85326-3981"</f>
        <v>85326-3981</v>
      </c>
      <c r="Q4057" t="s">
        <v>113</v>
      </c>
      <c r="R4057" t="str">
        <f>"504-21-172"</f>
        <v>504-21-172</v>
      </c>
      <c r="S4057" t="s">
        <v>7947</v>
      </c>
      <c r="U4057">
        <v>2678</v>
      </c>
      <c r="V4057">
        <v>0</v>
      </c>
      <c r="W4057">
        <v>4</v>
      </c>
      <c r="X4057">
        <v>1989</v>
      </c>
      <c r="Z4057">
        <v>2</v>
      </c>
      <c r="AA4057" t="s">
        <v>26</v>
      </c>
      <c r="AB4057">
        <v>0</v>
      </c>
      <c r="AC4057" t="s">
        <v>115</v>
      </c>
      <c r="AD4057">
        <v>2</v>
      </c>
      <c r="AE4057" t="s">
        <v>115</v>
      </c>
      <c r="AF4057">
        <v>0</v>
      </c>
      <c r="AG4057">
        <v>0</v>
      </c>
      <c r="AH4057" t="s">
        <v>116</v>
      </c>
      <c r="AI4057" s="1">
        <v>-8960</v>
      </c>
      <c r="AJ4057" s="2">
        <v>-0.03</v>
      </c>
      <c r="AK4057" s="1">
        <v>301040</v>
      </c>
      <c r="AL4057" t="s">
        <v>117</v>
      </c>
      <c r="AM4057" t="s">
        <v>7948</v>
      </c>
      <c r="AN4057">
        <v>49628</v>
      </c>
      <c r="AO4057">
        <v>1.1399999999999999</v>
      </c>
      <c r="AP4057">
        <v>1</v>
      </c>
      <c r="AR4057">
        <v>1</v>
      </c>
      <c r="AS4057" s="1">
        <v>29880</v>
      </c>
      <c r="AT4057" s="1">
        <v>5970</v>
      </c>
      <c r="AU4057" s="1">
        <v>23910</v>
      </c>
      <c r="AV4057">
        <v>80.02</v>
      </c>
      <c r="AX4057" s="1">
        <v>1843.2</v>
      </c>
      <c r="AY4057" t="s">
        <v>2767</v>
      </c>
      <c r="AZ4057" t="s">
        <v>2767</v>
      </c>
      <c r="BA4057" t="s">
        <v>5025</v>
      </c>
      <c r="BE4057" s="3">
        <v>42292</v>
      </c>
      <c r="BF4057" s="1">
        <v>300000</v>
      </c>
      <c r="BG4057" t="s">
        <v>25827</v>
      </c>
      <c r="BH4057" s="1">
        <v>112.02</v>
      </c>
      <c r="BI4057" s="1">
        <v>310000</v>
      </c>
      <c r="BJ4057" s="3">
        <v>43006</v>
      </c>
      <c r="BK4057" t="s">
        <v>123</v>
      </c>
      <c r="BL4057" t="str">
        <f>"2017.717698"</f>
        <v>2017.717698</v>
      </c>
      <c r="BM4057" t="s">
        <v>13513</v>
      </c>
      <c r="BO4057" t="s">
        <v>25828</v>
      </c>
      <c r="BS4057">
        <v>30</v>
      </c>
      <c r="BW4057" t="str">
        <f>""</f>
        <v/>
      </c>
      <c r="CH4057" t="str">
        <f>""</f>
        <v/>
      </c>
      <c r="CS4057" t="str">
        <f>""</f>
        <v/>
      </c>
    </row>
    <row r="4058" spans="1:97" x14ac:dyDescent="0.25">
      <c r="A4058" t="s">
        <v>21877</v>
      </c>
      <c r="B4058" t="s">
        <v>13716</v>
      </c>
      <c r="C4058" t="s">
        <v>14069</v>
      </c>
      <c r="D4058" t="s">
        <v>13716</v>
      </c>
      <c r="E4058" t="s">
        <v>25829</v>
      </c>
      <c r="F4058" t="s">
        <v>108</v>
      </c>
      <c r="H4058" t="s">
        <v>25830</v>
      </c>
      <c r="I4058" t="s">
        <v>3150</v>
      </c>
      <c r="J4058" t="s">
        <v>111</v>
      </c>
      <c r="K4058" t="str">
        <f>"85340"</f>
        <v>85340</v>
      </c>
      <c r="L4058" t="s">
        <v>2765</v>
      </c>
      <c r="M4058" t="s">
        <v>25830</v>
      </c>
      <c r="N4058" t="s">
        <v>3150</v>
      </c>
      <c r="O4058" t="s">
        <v>111</v>
      </c>
      <c r="P4058" t="str">
        <f>"85340-9538"</f>
        <v>85340-9538</v>
      </c>
      <c r="Q4058" t="s">
        <v>113</v>
      </c>
      <c r="R4058" t="str">
        <f>"502-29-089"</f>
        <v>502-29-089</v>
      </c>
      <c r="S4058" t="s">
        <v>25831</v>
      </c>
      <c r="T4058" t="s">
        <v>25831</v>
      </c>
      <c r="U4058">
        <v>2660</v>
      </c>
      <c r="V4058">
        <v>0</v>
      </c>
      <c r="W4058">
        <v>5</v>
      </c>
      <c r="X4058">
        <v>2005</v>
      </c>
      <c r="Z4058">
        <v>1</v>
      </c>
      <c r="AA4058" t="s">
        <v>26</v>
      </c>
      <c r="AB4058">
        <v>0</v>
      </c>
      <c r="AC4058" t="s">
        <v>115</v>
      </c>
      <c r="AD4058">
        <v>3</v>
      </c>
      <c r="AE4058" t="s">
        <v>115</v>
      </c>
      <c r="AF4058">
        <v>0</v>
      </c>
      <c r="AG4058">
        <v>0</v>
      </c>
      <c r="AH4058" t="s">
        <v>116</v>
      </c>
      <c r="AI4058" s="1">
        <v>52090</v>
      </c>
      <c r="AJ4058" s="2">
        <v>0.11</v>
      </c>
      <c r="AK4058" s="1">
        <v>476890</v>
      </c>
      <c r="AL4058" t="s">
        <v>117</v>
      </c>
      <c r="AM4058" t="s">
        <v>376</v>
      </c>
      <c r="AN4058">
        <v>43662</v>
      </c>
      <c r="AO4058">
        <v>1</v>
      </c>
      <c r="AR4058">
        <v>1</v>
      </c>
      <c r="AS4058" s="1">
        <v>34400</v>
      </c>
      <c r="AT4058" s="1">
        <v>6880</v>
      </c>
      <c r="AU4058" s="1">
        <v>27520</v>
      </c>
      <c r="AV4058">
        <v>80</v>
      </c>
      <c r="AX4058" s="1">
        <v>4712.96</v>
      </c>
      <c r="AY4058" t="s">
        <v>503</v>
      </c>
      <c r="AZ4058" t="s">
        <v>504</v>
      </c>
      <c r="BA4058" t="s">
        <v>218</v>
      </c>
      <c r="BE4058" s="3">
        <v>42009</v>
      </c>
      <c r="BF4058" s="1">
        <v>414999</v>
      </c>
      <c r="BG4058" t="s">
        <v>25832</v>
      </c>
      <c r="BH4058" s="1">
        <v>156.01</v>
      </c>
      <c r="BI4058" s="1">
        <v>424800</v>
      </c>
      <c r="BJ4058" s="3">
        <v>42564</v>
      </c>
      <c r="BK4058" t="s">
        <v>123</v>
      </c>
      <c r="BL4058" t="str">
        <f>"2016.490877"</f>
        <v>2016.490877</v>
      </c>
      <c r="BM4058" t="s">
        <v>1287</v>
      </c>
      <c r="BO4058" t="s">
        <v>25833</v>
      </c>
      <c r="BS4058">
        <v>30</v>
      </c>
      <c r="BW4058" t="str">
        <f>""</f>
        <v/>
      </c>
      <c r="CH4058" t="str">
        <f>""</f>
        <v/>
      </c>
      <c r="CS4058" t="str">
        <f>""</f>
        <v/>
      </c>
    </row>
    <row r="4059" spans="1:97" x14ac:dyDescent="0.25">
      <c r="A4059" t="s">
        <v>1160</v>
      </c>
      <c r="B4059" t="s">
        <v>25834</v>
      </c>
      <c r="C4059" t="s">
        <v>1692</v>
      </c>
      <c r="D4059" t="s">
        <v>14256</v>
      </c>
      <c r="E4059" t="s">
        <v>25835</v>
      </c>
      <c r="F4059" t="s">
        <v>108</v>
      </c>
      <c r="H4059" t="s">
        <v>25836</v>
      </c>
      <c r="I4059" t="s">
        <v>499</v>
      </c>
      <c r="J4059" t="s">
        <v>111</v>
      </c>
      <c r="K4059" t="str">
        <f>"85338"</f>
        <v>85338</v>
      </c>
      <c r="L4059" t="s">
        <v>316</v>
      </c>
      <c r="M4059" t="s">
        <v>25836</v>
      </c>
      <c r="N4059" t="s">
        <v>499</v>
      </c>
      <c r="O4059" t="s">
        <v>111</v>
      </c>
      <c r="P4059" t="str">
        <f>"85338-6103"</f>
        <v>85338-6103</v>
      </c>
      <c r="Q4059" t="s">
        <v>113</v>
      </c>
      <c r="R4059" t="str">
        <f>"500-89-002"</f>
        <v>500-89-002</v>
      </c>
      <c r="S4059" t="s">
        <v>18533</v>
      </c>
      <c r="U4059">
        <v>2232</v>
      </c>
      <c r="V4059">
        <v>0</v>
      </c>
      <c r="W4059">
        <v>4</v>
      </c>
      <c r="X4059">
        <v>2004</v>
      </c>
      <c r="Z4059">
        <v>2</v>
      </c>
      <c r="AB4059">
        <v>0</v>
      </c>
      <c r="AC4059" t="s">
        <v>115</v>
      </c>
      <c r="AD4059">
        <v>2</v>
      </c>
      <c r="AE4059" t="s">
        <v>115</v>
      </c>
      <c r="AF4059">
        <v>0</v>
      </c>
      <c r="AG4059">
        <v>0</v>
      </c>
      <c r="AH4059" t="s">
        <v>116</v>
      </c>
      <c r="AI4059" s="1">
        <v>41097</v>
      </c>
      <c r="AJ4059" s="2">
        <v>0.16</v>
      </c>
      <c r="AK4059" s="1">
        <v>255097</v>
      </c>
      <c r="AL4059" t="s">
        <v>117</v>
      </c>
      <c r="AM4059" t="s">
        <v>118</v>
      </c>
      <c r="AN4059">
        <v>4750</v>
      </c>
      <c r="AO4059">
        <v>0.11</v>
      </c>
      <c r="AP4059">
        <v>1</v>
      </c>
      <c r="AR4059">
        <v>1</v>
      </c>
      <c r="AS4059" s="1">
        <v>17120</v>
      </c>
      <c r="AT4059" s="1">
        <v>3420</v>
      </c>
      <c r="AU4059" s="1">
        <v>13700</v>
      </c>
      <c r="AV4059">
        <v>80.02</v>
      </c>
      <c r="AX4059" s="1">
        <v>1312.78</v>
      </c>
      <c r="AY4059" t="s">
        <v>4311</v>
      </c>
      <c r="AZ4059" t="s">
        <v>4311</v>
      </c>
      <c r="BA4059" t="s">
        <v>218</v>
      </c>
      <c r="BE4059" s="3">
        <v>42313</v>
      </c>
      <c r="BF4059" s="1">
        <v>174000</v>
      </c>
      <c r="BG4059" t="s">
        <v>25837</v>
      </c>
      <c r="BH4059" s="1">
        <v>77.959999999999994</v>
      </c>
      <c r="BI4059" s="1">
        <v>214000</v>
      </c>
      <c r="BJ4059" s="3">
        <v>43187</v>
      </c>
      <c r="BK4059" t="s">
        <v>123</v>
      </c>
      <c r="BL4059" t="str">
        <f>"2018.231150"</f>
        <v>2018.231150</v>
      </c>
      <c r="BM4059" t="s">
        <v>3040</v>
      </c>
      <c r="BN4059" t="s">
        <v>3041</v>
      </c>
      <c r="BO4059" t="s">
        <v>25838</v>
      </c>
      <c r="BP4059" t="s">
        <v>25839</v>
      </c>
      <c r="BR4059" t="s">
        <v>139</v>
      </c>
      <c r="BW4059" t="str">
        <f>""</f>
        <v/>
      </c>
      <c r="CH4059" t="str">
        <f>""</f>
        <v/>
      </c>
      <c r="CS4059" t="str">
        <f>""</f>
        <v/>
      </c>
    </row>
    <row r="4060" spans="1:97" x14ac:dyDescent="0.25">
      <c r="A4060" t="s">
        <v>6060</v>
      </c>
      <c r="B4060" t="s">
        <v>832</v>
      </c>
      <c r="C4060" t="s">
        <v>259</v>
      </c>
      <c r="D4060" t="s">
        <v>25840</v>
      </c>
      <c r="E4060" t="s">
        <v>25841</v>
      </c>
      <c r="F4060" t="s">
        <v>108</v>
      </c>
      <c r="H4060" t="s">
        <v>25842</v>
      </c>
      <c r="I4060" t="s">
        <v>3150</v>
      </c>
      <c r="J4060" t="s">
        <v>111</v>
      </c>
      <c r="K4060" t="str">
        <f>"85340"</f>
        <v>85340</v>
      </c>
      <c r="L4060" t="s">
        <v>3885</v>
      </c>
      <c r="M4060" t="s">
        <v>25842</v>
      </c>
      <c r="N4060" t="s">
        <v>3150</v>
      </c>
      <c r="O4060" t="s">
        <v>111</v>
      </c>
      <c r="P4060" t="str">
        <f>"85340-9473"</f>
        <v>85340-9473</v>
      </c>
      <c r="Q4060" t="s">
        <v>113</v>
      </c>
      <c r="R4060" t="str">
        <f>"501-49-011-F"</f>
        <v>501-49-011-F</v>
      </c>
      <c r="U4060">
        <v>1646</v>
      </c>
      <c r="V4060">
        <v>0</v>
      </c>
      <c r="W4060">
        <v>2</v>
      </c>
      <c r="X4060">
        <v>1997</v>
      </c>
      <c r="Z4060">
        <v>1</v>
      </c>
      <c r="AB4060">
        <v>0</v>
      </c>
      <c r="AC4060" t="s">
        <v>115</v>
      </c>
      <c r="AD4060">
        <v>2</v>
      </c>
      <c r="AE4060" t="s">
        <v>115</v>
      </c>
      <c r="AF4060">
        <v>0</v>
      </c>
      <c r="AG4060">
        <v>0</v>
      </c>
      <c r="AH4060" t="s">
        <v>116</v>
      </c>
      <c r="AI4060" s="1">
        <v>80022</v>
      </c>
      <c r="AJ4060" s="2">
        <v>0.23</v>
      </c>
      <c r="AK4060" s="1">
        <v>355416</v>
      </c>
      <c r="AL4060" t="s">
        <v>117</v>
      </c>
      <c r="AM4060" t="s">
        <v>376</v>
      </c>
      <c r="AN4060">
        <v>87861</v>
      </c>
      <c r="AO4060">
        <v>2.02</v>
      </c>
      <c r="AP4060">
        <v>1</v>
      </c>
      <c r="AR4060">
        <v>1</v>
      </c>
      <c r="AS4060" s="1">
        <v>22520</v>
      </c>
      <c r="AT4060" s="1">
        <v>4500</v>
      </c>
      <c r="AU4060" s="1">
        <v>18020</v>
      </c>
      <c r="AV4060">
        <v>80.02</v>
      </c>
      <c r="AX4060" s="1">
        <v>1336.5</v>
      </c>
      <c r="AY4060" t="s">
        <v>503</v>
      </c>
      <c r="AZ4060" t="s">
        <v>504</v>
      </c>
      <c r="BA4060" t="s">
        <v>218</v>
      </c>
      <c r="BB4060" s="3">
        <v>42531</v>
      </c>
      <c r="BD4060" t="s">
        <v>240</v>
      </c>
      <c r="BE4060" s="3">
        <v>42114</v>
      </c>
      <c r="BF4060" s="1">
        <v>282000</v>
      </c>
      <c r="BG4060" t="s">
        <v>25843</v>
      </c>
      <c r="BH4060" s="1">
        <v>171.32</v>
      </c>
      <c r="BI4060" s="1">
        <v>275394</v>
      </c>
      <c r="BJ4060" s="3">
        <v>42531</v>
      </c>
      <c r="BK4060" t="s">
        <v>123</v>
      </c>
      <c r="BL4060" t="str">
        <f>"2016.402905"</f>
        <v>2016.402905</v>
      </c>
      <c r="BM4060" t="s">
        <v>25844</v>
      </c>
      <c r="BO4060" t="s">
        <v>25845</v>
      </c>
      <c r="BP4060" t="s">
        <v>25846</v>
      </c>
      <c r="BS4060">
        <v>30</v>
      </c>
      <c r="BW4060" t="str">
        <f>""</f>
        <v/>
      </c>
      <c r="CH4060" t="str">
        <f>""</f>
        <v/>
      </c>
      <c r="CS4060" t="str">
        <f>""</f>
        <v/>
      </c>
    </row>
    <row r="4061" spans="1:97" x14ac:dyDescent="0.25">
      <c r="A4061" t="s">
        <v>996</v>
      </c>
      <c r="B4061" t="s">
        <v>25847</v>
      </c>
      <c r="E4061" t="s">
        <v>25848</v>
      </c>
      <c r="F4061" t="s">
        <v>108</v>
      </c>
      <c r="H4061" t="s">
        <v>25849</v>
      </c>
      <c r="I4061" t="s">
        <v>144</v>
      </c>
      <c r="J4061" t="s">
        <v>111</v>
      </c>
      <c r="K4061" t="str">
        <f>"85326"</f>
        <v>85326</v>
      </c>
      <c r="L4061" t="s">
        <v>3037</v>
      </c>
      <c r="M4061" t="s">
        <v>25850</v>
      </c>
      <c r="N4061" t="s">
        <v>144</v>
      </c>
      <c r="O4061" t="s">
        <v>111</v>
      </c>
      <c r="P4061" t="str">
        <f>"85326"</f>
        <v>85326</v>
      </c>
      <c r="Q4061" t="s">
        <v>113</v>
      </c>
      <c r="R4061" t="str">
        <f>"400-80-003-A"</f>
        <v>400-80-003-A</v>
      </c>
      <c r="U4061">
        <v>2412</v>
      </c>
      <c r="V4061">
        <v>0</v>
      </c>
      <c r="W4061">
        <v>2</v>
      </c>
      <c r="X4061">
        <v>2003</v>
      </c>
      <c r="Z4061">
        <v>1</v>
      </c>
      <c r="AB4061">
        <v>0</v>
      </c>
      <c r="AC4061" t="s">
        <v>115</v>
      </c>
      <c r="AD4061">
        <v>2</v>
      </c>
      <c r="AE4061" t="s">
        <v>115</v>
      </c>
      <c r="AF4061">
        <v>0</v>
      </c>
      <c r="AG4061">
        <v>0</v>
      </c>
      <c r="AH4061" t="s">
        <v>116</v>
      </c>
      <c r="AI4061" s="1">
        <v>69173</v>
      </c>
      <c r="AJ4061" s="2">
        <v>0.22</v>
      </c>
      <c r="AK4061" s="1">
        <v>316629</v>
      </c>
      <c r="AL4061" t="s">
        <v>117</v>
      </c>
      <c r="AM4061" t="s">
        <v>376</v>
      </c>
      <c r="AN4061">
        <v>59882</v>
      </c>
      <c r="AO4061">
        <v>1.38</v>
      </c>
      <c r="AP4061">
        <v>1</v>
      </c>
      <c r="AR4061">
        <v>1</v>
      </c>
      <c r="AS4061" s="1">
        <v>22260</v>
      </c>
      <c r="AT4061" s="1">
        <v>4450</v>
      </c>
      <c r="AU4061" s="1">
        <v>17810</v>
      </c>
      <c r="AV4061">
        <v>80.010000000000005</v>
      </c>
      <c r="AX4061" s="1">
        <v>2090.7399999999998</v>
      </c>
      <c r="AY4061" t="s">
        <v>3038</v>
      </c>
      <c r="AZ4061" t="s">
        <v>3038</v>
      </c>
      <c r="BA4061" t="s">
        <v>1247</v>
      </c>
      <c r="BE4061" s="3">
        <v>42534</v>
      </c>
      <c r="BF4061" s="1">
        <v>248900</v>
      </c>
      <c r="BG4061" t="s">
        <v>25851</v>
      </c>
      <c r="BH4061" s="1">
        <v>103.19</v>
      </c>
      <c r="BI4061" s="1">
        <v>247456</v>
      </c>
      <c r="BJ4061" s="3">
        <v>43640</v>
      </c>
      <c r="BK4061" t="s">
        <v>123</v>
      </c>
      <c r="BL4061" t="str">
        <f>"2019.470496"</f>
        <v>2019.470496</v>
      </c>
      <c r="BM4061" t="s">
        <v>25852</v>
      </c>
      <c r="BN4061" t="s">
        <v>25853</v>
      </c>
      <c r="BO4061" t="s">
        <v>25848</v>
      </c>
      <c r="BR4061" t="s">
        <v>139</v>
      </c>
      <c r="BT4061" s="1">
        <v>247456</v>
      </c>
      <c r="BU4061" s="3">
        <v>43640</v>
      </c>
      <c r="BV4061" t="s">
        <v>123</v>
      </c>
      <c r="BW4061" t="str">
        <f>"2019.470496"</f>
        <v>2019.470496</v>
      </c>
      <c r="BX4061" t="s">
        <v>25852</v>
      </c>
      <c r="BY4061" t="s">
        <v>25853</v>
      </c>
      <c r="BZ4061" t="s">
        <v>25848</v>
      </c>
      <c r="CC4061" t="s">
        <v>139</v>
      </c>
      <c r="CH4061" t="str">
        <f>""</f>
        <v/>
      </c>
      <c r="CS4061" t="str">
        <f>""</f>
        <v/>
      </c>
    </row>
    <row r="4062" spans="1:97" x14ac:dyDescent="0.25">
      <c r="A4062" t="s">
        <v>25854</v>
      </c>
      <c r="B4062" t="s">
        <v>25855</v>
      </c>
      <c r="C4062" t="s">
        <v>1863</v>
      </c>
      <c r="D4062" t="s">
        <v>25855</v>
      </c>
      <c r="E4062" t="s">
        <v>25856</v>
      </c>
      <c r="F4062" t="s">
        <v>108</v>
      </c>
      <c r="H4062" t="s">
        <v>25857</v>
      </c>
      <c r="I4062" t="s">
        <v>24087</v>
      </c>
      <c r="J4062" t="s">
        <v>111</v>
      </c>
      <c r="K4062" t="str">
        <f>"85342"</f>
        <v>85342</v>
      </c>
      <c r="M4062" t="s">
        <v>25857</v>
      </c>
      <c r="N4062" t="s">
        <v>24087</v>
      </c>
      <c r="O4062" t="s">
        <v>111</v>
      </c>
      <c r="P4062" t="str">
        <f>"85342"</f>
        <v>85342</v>
      </c>
      <c r="Q4062" t="s">
        <v>113</v>
      </c>
      <c r="R4062" t="str">
        <f>"503-22-008-Z"</f>
        <v>503-22-008-Z</v>
      </c>
      <c r="U4062">
        <v>1211</v>
      </c>
      <c r="V4062">
        <v>0</v>
      </c>
      <c r="W4062">
        <v>3</v>
      </c>
      <c r="X4062">
        <v>2006</v>
      </c>
      <c r="Z4062">
        <v>1</v>
      </c>
      <c r="AB4062">
        <v>0</v>
      </c>
      <c r="AC4062" t="s">
        <v>115</v>
      </c>
      <c r="AD4062">
        <v>7</v>
      </c>
      <c r="AE4062" t="s">
        <v>115</v>
      </c>
      <c r="AF4062">
        <v>0</v>
      </c>
      <c r="AG4062">
        <v>0</v>
      </c>
      <c r="AH4062" t="s">
        <v>116</v>
      </c>
      <c r="AI4062" s="1">
        <v>160287</v>
      </c>
      <c r="AJ4062" s="2">
        <v>0.42</v>
      </c>
      <c r="AK4062" s="1">
        <v>383287</v>
      </c>
      <c r="AL4062" t="s">
        <v>117</v>
      </c>
      <c r="AM4062" t="s">
        <v>376</v>
      </c>
      <c r="AN4062">
        <v>54060</v>
      </c>
      <c r="AO4062">
        <v>1.24</v>
      </c>
      <c r="AR4062">
        <v>1</v>
      </c>
      <c r="AS4062" s="1">
        <v>31880</v>
      </c>
      <c r="AT4062" s="1">
        <v>6370</v>
      </c>
      <c r="AU4062" s="1">
        <v>25510</v>
      </c>
      <c r="AV4062">
        <v>80.02</v>
      </c>
      <c r="AX4062" s="1">
        <v>2320.1</v>
      </c>
      <c r="AY4062" t="s">
        <v>24088</v>
      </c>
      <c r="AZ4062" t="s">
        <v>24088</v>
      </c>
      <c r="BE4062" s="3">
        <v>42502</v>
      </c>
      <c r="BF4062" s="1">
        <v>186000</v>
      </c>
      <c r="BG4062" t="s">
        <v>25858</v>
      </c>
      <c r="BH4062" s="1">
        <v>153.59</v>
      </c>
      <c r="BI4062" s="1">
        <v>223000</v>
      </c>
      <c r="BJ4062" s="3">
        <v>42947</v>
      </c>
      <c r="BK4062" t="s">
        <v>123</v>
      </c>
      <c r="BL4062" t="str">
        <f>"2017.557085"</f>
        <v>2017.557085</v>
      </c>
      <c r="BM4062" t="s">
        <v>4885</v>
      </c>
      <c r="BO4062" t="s">
        <v>25859</v>
      </c>
      <c r="BS4062">
        <v>30</v>
      </c>
      <c r="BW4062" t="str">
        <f>""</f>
        <v/>
      </c>
      <c r="CH4062" t="str">
        <f>""</f>
        <v/>
      </c>
      <c r="CS4062" t="str">
        <f>""</f>
        <v/>
      </c>
    </row>
    <row r="4063" spans="1:97" x14ac:dyDescent="0.25">
      <c r="B4063" t="s">
        <v>25860</v>
      </c>
      <c r="E4063" t="s">
        <v>25861</v>
      </c>
      <c r="F4063" t="s">
        <v>108</v>
      </c>
      <c r="H4063" t="s">
        <v>25862</v>
      </c>
      <c r="I4063" t="s">
        <v>188</v>
      </c>
      <c r="J4063" t="s">
        <v>111</v>
      </c>
      <c r="K4063" t="str">
        <f>"85142"</f>
        <v>85142</v>
      </c>
      <c r="L4063" t="s">
        <v>5239</v>
      </c>
      <c r="M4063" t="s">
        <v>25862</v>
      </c>
      <c r="N4063" t="s">
        <v>188</v>
      </c>
      <c r="O4063" t="s">
        <v>111</v>
      </c>
      <c r="P4063" t="str">
        <f>"85142-3324"</f>
        <v>85142-3324</v>
      </c>
      <c r="Q4063" t="s">
        <v>113</v>
      </c>
      <c r="R4063" t="str">
        <f>"304-64-124-C"</f>
        <v>304-64-124-C</v>
      </c>
      <c r="U4063">
        <v>2532</v>
      </c>
      <c r="V4063">
        <v>0</v>
      </c>
      <c r="W4063">
        <v>3</v>
      </c>
      <c r="X4063">
        <v>2005</v>
      </c>
      <c r="Z4063">
        <v>1</v>
      </c>
      <c r="AA4063" t="s">
        <v>26</v>
      </c>
      <c r="AB4063">
        <v>0</v>
      </c>
      <c r="AC4063" t="s">
        <v>115</v>
      </c>
      <c r="AD4063">
        <v>3</v>
      </c>
      <c r="AE4063" t="s">
        <v>115</v>
      </c>
      <c r="AF4063">
        <v>0</v>
      </c>
      <c r="AG4063">
        <v>0</v>
      </c>
      <c r="AH4063" t="s">
        <v>116</v>
      </c>
      <c r="AI4063" s="1">
        <v>175794</v>
      </c>
      <c r="AJ4063" s="2">
        <v>0.31</v>
      </c>
      <c r="AK4063" s="1">
        <v>570669</v>
      </c>
      <c r="AL4063" t="s">
        <v>117</v>
      </c>
      <c r="AM4063" t="s">
        <v>376</v>
      </c>
      <c r="AN4063">
        <v>43557</v>
      </c>
      <c r="AO4063">
        <v>1</v>
      </c>
      <c r="AR4063">
        <v>1</v>
      </c>
      <c r="AS4063" s="1">
        <v>36930</v>
      </c>
      <c r="AT4063" s="1">
        <v>7380</v>
      </c>
      <c r="AU4063" s="1">
        <v>29550</v>
      </c>
      <c r="AV4063">
        <v>80.02</v>
      </c>
      <c r="AX4063" s="1">
        <v>3179.78</v>
      </c>
      <c r="AY4063" t="s">
        <v>560</v>
      </c>
      <c r="AZ4063" t="s">
        <v>561</v>
      </c>
      <c r="BA4063" t="s">
        <v>194</v>
      </c>
      <c r="BB4063" s="3">
        <v>42570</v>
      </c>
      <c r="BD4063" t="s">
        <v>240</v>
      </c>
      <c r="BE4063" s="3">
        <v>42536</v>
      </c>
      <c r="BF4063" s="1">
        <v>450000</v>
      </c>
      <c r="BG4063" t="s">
        <v>25863</v>
      </c>
      <c r="BH4063" s="1">
        <v>177.73</v>
      </c>
      <c r="BI4063" s="1">
        <v>394875</v>
      </c>
      <c r="BJ4063" s="3">
        <v>42536</v>
      </c>
      <c r="BK4063" t="s">
        <v>123</v>
      </c>
      <c r="BL4063" t="str">
        <f>"2016.418342"</f>
        <v>2016.418342</v>
      </c>
      <c r="BM4063" t="s">
        <v>475</v>
      </c>
      <c r="BO4063" t="s">
        <v>25864</v>
      </c>
      <c r="BS4063">
        <v>30</v>
      </c>
      <c r="BW4063" t="str">
        <f>""</f>
        <v/>
      </c>
      <c r="CH4063" t="str">
        <f>""</f>
        <v/>
      </c>
      <c r="CS4063" t="str">
        <f>""</f>
        <v/>
      </c>
    </row>
    <row r="4064" spans="1:97" x14ac:dyDescent="0.25">
      <c r="A4064" t="s">
        <v>996</v>
      </c>
      <c r="B4064" t="s">
        <v>3658</v>
      </c>
      <c r="C4064" t="s">
        <v>185</v>
      </c>
      <c r="D4064" t="s">
        <v>3658</v>
      </c>
      <c r="E4064" t="s">
        <v>25865</v>
      </c>
      <c r="F4064" t="s">
        <v>108</v>
      </c>
      <c r="H4064" t="s">
        <v>25866</v>
      </c>
      <c r="I4064" t="s">
        <v>1936</v>
      </c>
      <c r="J4064" t="s">
        <v>111</v>
      </c>
      <c r="K4064" t="str">
        <f>"85254"</f>
        <v>85254</v>
      </c>
      <c r="L4064" t="s">
        <v>6891</v>
      </c>
      <c r="M4064" t="s">
        <v>25866</v>
      </c>
      <c r="N4064" t="s">
        <v>1936</v>
      </c>
      <c r="O4064" t="s">
        <v>111</v>
      </c>
      <c r="P4064" t="str">
        <f>"85254-7543"</f>
        <v>85254-7543</v>
      </c>
      <c r="Q4064" t="s">
        <v>113</v>
      </c>
      <c r="R4064" t="str">
        <f>"215-11-981"</f>
        <v>215-11-981</v>
      </c>
      <c r="S4064" t="s">
        <v>25867</v>
      </c>
      <c r="T4064" t="s">
        <v>25867</v>
      </c>
      <c r="U4064">
        <v>2135</v>
      </c>
      <c r="V4064">
        <v>0</v>
      </c>
      <c r="W4064">
        <v>4</v>
      </c>
      <c r="X4064">
        <v>1998</v>
      </c>
      <c r="Z4064">
        <v>1</v>
      </c>
      <c r="AA4064" t="s">
        <v>26</v>
      </c>
      <c r="AB4064">
        <v>0</v>
      </c>
      <c r="AC4064" t="s">
        <v>115</v>
      </c>
      <c r="AD4064">
        <v>3</v>
      </c>
      <c r="AE4064" t="s">
        <v>115</v>
      </c>
      <c r="AF4064">
        <v>0</v>
      </c>
      <c r="AG4064">
        <v>0</v>
      </c>
      <c r="AH4064" t="s">
        <v>116</v>
      </c>
      <c r="AI4064" s="1">
        <v>113568</v>
      </c>
      <c r="AJ4064" s="2">
        <v>0.22</v>
      </c>
      <c r="AK4064" s="1">
        <v>507718</v>
      </c>
      <c r="AL4064" t="s">
        <v>117</v>
      </c>
      <c r="AM4064" t="s">
        <v>1302</v>
      </c>
      <c r="AN4064">
        <v>8444</v>
      </c>
      <c r="AO4064">
        <v>0.19</v>
      </c>
      <c r="AP4064">
        <v>1</v>
      </c>
      <c r="AR4064">
        <v>1</v>
      </c>
      <c r="AS4064" s="1">
        <v>37870</v>
      </c>
      <c r="AT4064" s="1">
        <v>7570</v>
      </c>
      <c r="AU4064" s="1">
        <v>30300</v>
      </c>
      <c r="AV4064">
        <v>80.010000000000005</v>
      </c>
      <c r="AX4064" s="1">
        <v>3920.52</v>
      </c>
      <c r="AY4064" t="s">
        <v>16792</v>
      </c>
      <c r="AZ4064" t="s">
        <v>1317</v>
      </c>
      <c r="BA4064" t="s">
        <v>6302</v>
      </c>
      <c r="BE4064" s="3">
        <v>41680</v>
      </c>
      <c r="BF4064" s="1">
        <v>395000</v>
      </c>
      <c r="BG4064" t="s">
        <v>25868</v>
      </c>
      <c r="BH4064" s="1">
        <v>185.01</v>
      </c>
      <c r="BI4064" s="1">
        <v>394150</v>
      </c>
      <c r="BJ4064" s="3">
        <v>42688</v>
      </c>
      <c r="BK4064" t="s">
        <v>123</v>
      </c>
      <c r="BL4064" t="str">
        <f>"2016.837744"</f>
        <v>2016.837744</v>
      </c>
      <c r="BM4064" t="s">
        <v>2378</v>
      </c>
      <c r="BO4064" t="s">
        <v>25869</v>
      </c>
      <c r="BS4064">
        <v>30</v>
      </c>
      <c r="BW4064" t="str">
        <f>""</f>
        <v/>
      </c>
      <c r="CH4064" t="str">
        <f>""</f>
        <v/>
      </c>
      <c r="CS4064" t="str">
        <f>""</f>
        <v/>
      </c>
    </row>
    <row r="4065" spans="1:97" x14ac:dyDescent="0.25">
      <c r="A4065" t="s">
        <v>548</v>
      </c>
      <c r="B4065" t="s">
        <v>963</v>
      </c>
      <c r="E4065" t="s">
        <v>25870</v>
      </c>
      <c r="F4065" t="s">
        <v>108</v>
      </c>
      <c r="H4065" t="s">
        <v>25871</v>
      </c>
      <c r="I4065" t="s">
        <v>5114</v>
      </c>
      <c r="J4065" t="s">
        <v>111</v>
      </c>
      <c r="K4065" t="str">
        <f>"85392"</f>
        <v>85392</v>
      </c>
      <c r="L4065" t="s">
        <v>625</v>
      </c>
      <c r="M4065" t="s">
        <v>25871</v>
      </c>
      <c r="N4065" t="s">
        <v>5114</v>
      </c>
      <c r="O4065" t="s">
        <v>111</v>
      </c>
      <c r="P4065" t="str">
        <f>"85392-3579"</f>
        <v>85392-3579</v>
      </c>
      <c r="Q4065" t="s">
        <v>113</v>
      </c>
      <c r="R4065" t="str">
        <f>"508-02-622"</f>
        <v>508-02-622</v>
      </c>
      <c r="S4065" t="s">
        <v>13093</v>
      </c>
      <c r="T4065" t="s">
        <v>13093</v>
      </c>
      <c r="U4065">
        <v>2219</v>
      </c>
      <c r="V4065">
        <v>0</v>
      </c>
      <c r="W4065">
        <v>3</v>
      </c>
      <c r="X4065">
        <v>2007</v>
      </c>
      <c r="Z4065">
        <v>1</v>
      </c>
      <c r="AB4065">
        <v>0</v>
      </c>
      <c r="AC4065" t="s">
        <v>115</v>
      </c>
      <c r="AD4065">
        <v>3</v>
      </c>
      <c r="AE4065" t="s">
        <v>115</v>
      </c>
      <c r="AF4065">
        <v>0</v>
      </c>
      <c r="AG4065">
        <v>0</v>
      </c>
      <c r="AH4065" t="s">
        <v>116</v>
      </c>
      <c r="AI4065" s="1">
        <v>54355</v>
      </c>
      <c r="AJ4065" s="2">
        <v>0.17</v>
      </c>
      <c r="AK4065" s="1">
        <v>324806</v>
      </c>
      <c r="AL4065" t="s">
        <v>117</v>
      </c>
      <c r="AM4065" t="s">
        <v>118</v>
      </c>
      <c r="AN4065">
        <v>7500</v>
      </c>
      <c r="AO4065">
        <v>0.17</v>
      </c>
      <c r="AR4065">
        <v>1</v>
      </c>
      <c r="AS4065" s="1">
        <v>22710</v>
      </c>
      <c r="AT4065" s="1">
        <v>4540</v>
      </c>
      <c r="AU4065" s="1">
        <v>18170</v>
      </c>
      <c r="AV4065">
        <v>80.010000000000005</v>
      </c>
      <c r="AX4065" s="1">
        <v>2158.3000000000002</v>
      </c>
      <c r="AY4065" t="s">
        <v>11553</v>
      </c>
      <c r="AZ4065" t="s">
        <v>11553</v>
      </c>
      <c r="BA4065" t="s">
        <v>3154</v>
      </c>
      <c r="BE4065" s="3">
        <v>42208</v>
      </c>
      <c r="BF4065" s="1">
        <v>260000</v>
      </c>
      <c r="BG4065" t="s">
        <v>25872</v>
      </c>
      <c r="BH4065" s="1">
        <v>117.17</v>
      </c>
      <c r="BI4065" s="1">
        <v>270451</v>
      </c>
      <c r="BJ4065" s="3">
        <v>42466</v>
      </c>
      <c r="BK4065" t="s">
        <v>123</v>
      </c>
      <c r="BL4065" t="str">
        <f>"2016.227274"</f>
        <v>2016.227274</v>
      </c>
      <c r="BM4065" t="s">
        <v>2127</v>
      </c>
      <c r="BO4065" t="s">
        <v>25873</v>
      </c>
      <c r="BS4065">
        <v>30</v>
      </c>
      <c r="BW4065" t="str">
        <f>""</f>
        <v/>
      </c>
      <c r="CH4065" t="str">
        <f>""</f>
        <v/>
      </c>
      <c r="CS4065" t="str">
        <f>""</f>
        <v/>
      </c>
    </row>
    <row r="4066" spans="1:97" x14ac:dyDescent="0.25">
      <c r="A4066" t="s">
        <v>25874</v>
      </c>
      <c r="B4066" t="s">
        <v>464</v>
      </c>
      <c r="E4066" t="s">
        <v>25875</v>
      </c>
      <c r="F4066" t="s">
        <v>108</v>
      </c>
      <c r="H4066" t="s">
        <v>25876</v>
      </c>
      <c r="I4066" t="s">
        <v>453</v>
      </c>
      <c r="J4066" t="s">
        <v>111</v>
      </c>
      <c r="K4066" t="str">
        <f>"85381"</f>
        <v>85381</v>
      </c>
      <c r="L4066" t="s">
        <v>5464</v>
      </c>
      <c r="M4066" t="s">
        <v>25876</v>
      </c>
      <c r="N4066" t="s">
        <v>453</v>
      </c>
      <c r="O4066" t="s">
        <v>111</v>
      </c>
      <c r="P4066" t="str">
        <f>"85381-6018"</f>
        <v>85381-6018</v>
      </c>
      <c r="Q4066" t="s">
        <v>113</v>
      </c>
      <c r="R4066" t="str">
        <f>"200-98-844"</f>
        <v>200-98-844</v>
      </c>
      <c r="S4066" t="s">
        <v>25877</v>
      </c>
      <c r="T4066" t="s">
        <v>25878</v>
      </c>
      <c r="U4066">
        <v>3792</v>
      </c>
      <c r="V4066">
        <v>0</v>
      </c>
      <c r="W4066">
        <v>4</v>
      </c>
      <c r="X4066">
        <v>1997</v>
      </c>
      <c r="Z4066">
        <v>2</v>
      </c>
      <c r="AA4066" t="s">
        <v>26</v>
      </c>
      <c r="AB4066">
        <v>0</v>
      </c>
      <c r="AC4066" t="s">
        <v>115</v>
      </c>
      <c r="AD4066">
        <v>3</v>
      </c>
      <c r="AE4066" t="s">
        <v>115</v>
      </c>
      <c r="AF4066">
        <v>0</v>
      </c>
      <c r="AG4066">
        <v>0</v>
      </c>
      <c r="AH4066" t="s">
        <v>116</v>
      </c>
      <c r="AI4066" s="1">
        <v>-13847</v>
      </c>
      <c r="AJ4066" s="2">
        <v>-0.04</v>
      </c>
      <c r="AK4066" s="1">
        <v>320183</v>
      </c>
      <c r="AL4066" t="s">
        <v>117</v>
      </c>
      <c r="AM4066" t="s">
        <v>171</v>
      </c>
      <c r="AN4066">
        <v>10611</v>
      </c>
      <c r="AO4066">
        <v>0.24</v>
      </c>
      <c r="AP4066">
        <v>1</v>
      </c>
      <c r="AR4066">
        <v>1</v>
      </c>
      <c r="AS4066" s="1">
        <v>32070</v>
      </c>
      <c r="AT4066" s="1">
        <v>6410</v>
      </c>
      <c r="AU4066" s="1">
        <v>25660</v>
      </c>
      <c r="AV4066">
        <v>80.010000000000005</v>
      </c>
      <c r="AX4066" s="1">
        <v>2575.38</v>
      </c>
      <c r="AY4066" t="s">
        <v>3359</v>
      </c>
      <c r="AZ4066" t="s">
        <v>3359</v>
      </c>
      <c r="BA4066" t="s">
        <v>3360</v>
      </c>
      <c r="BE4066" s="3">
        <v>42145</v>
      </c>
      <c r="BF4066" s="1">
        <v>327000</v>
      </c>
      <c r="BG4066" t="s">
        <v>25879</v>
      </c>
      <c r="BH4066" s="1">
        <v>90.93</v>
      </c>
      <c r="BI4066" s="1">
        <v>334030</v>
      </c>
      <c r="BJ4066" s="3">
        <v>42145</v>
      </c>
      <c r="BK4066" t="s">
        <v>123</v>
      </c>
      <c r="BL4066" t="str">
        <f>"2015.361384"</f>
        <v>2015.361384</v>
      </c>
      <c r="BM4066" t="s">
        <v>544</v>
      </c>
      <c r="BO4066" t="s">
        <v>25880</v>
      </c>
      <c r="BS4066">
        <v>30</v>
      </c>
      <c r="BW4066" t="str">
        <f>""</f>
        <v/>
      </c>
      <c r="CH4066" t="str">
        <f>""</f>
        <v/>
      </c>
      <c r="CS4066" t="str">
        <f>""</f>
        <v/>
      </c>
    </row>
    <row r="4067" spans="1:97" x14ac:dyDescent="0.25">
      <c r="A4067" t="s">
        <v>106</v>
      </c>
      <c r="B4067" t="s">
        <v>25881</v>
      </c>
      <c r="C4067" t="s">
        <v>25882</v>
      </c>
      <c r="D4067" t="s">
        <v>25881</v>
      </c>
      <c r="E4067" t="s">
        <v>25883</v>
      </c>
      <c r="F4067" t="s">
        <v>108</v>
      </c>
      <c r="H4067" t="s">
        <v>25884</v>
      </c>
      <c r="I4067" t="s">
        <v>632</v>
      </c>
      <c r="J4067" t="s">
        <v>111</v>
      </c>
      <c r="K4067" t="str">
        <f>"85379"</f>
        <v>85379</v>
      </c>
      <c r="L4067" t="s">
        <v>269</v>
      </c>
      <c r="M4067" t="s">
        <v>25884</v>
      </c>
      <c r="N4067" t="s">
        <v>632</v>
      </c>
      <c r="O4067" t="s">
        <v>111</v>
      </c>
      <c r="P4067" t="str">
        <f>"85379-4694"</f>
        <v>85379-4694</v>
      </c>
      <c r="Q4067" t="s">
        <v>113</v>
      </c>
      <c r="R4067" t="str">
        <f>"501-40-156"</f>
        <v>501-40-156</v>
      </c>
      <c r="S4067" t="s">
        <v>20516</v>
      </c>
      <c r="U4067">
        <v>2846</v>
      </c>
      <c r="V4067">
        <v>0</v>
      </c>
      <c r="W4067">
        <v>4</v>
      </c>
      <c r="X4067">
        <v>2005</v>
      </c>
      <c r="Z4067">
        <v>1</v>
      </c>
      <c r="AA4067" t="s">
        <v>26</v>
      </c>
      <c r="AB4067">
        <v>0</v>
      </c>
      <c r="AC4067" t="s">
        <v>115</v>
      </c>
      <c r="AD4067">
        <v>3</v>
      </c>
      <c r="AE4067" t="s">
        <v>115</v>
      </c>
      <c r="AF4067">
        <v>0</v>
      </c>
      <c r="AG4067">
        <v>0</v>
      </c>
      <c r="AH4067" t="s">
        <v>116</v>
      </c>
      <c r="AI4067" s="1">
        <v>-18412</v>
      </c>
      <c r="AJ4067" s="2">
        <v>-0.06</v>
      </c>
      <c r="AK4067" s="1">
        <v>317313</v>
      </c>
      <c r="AL4067" t="s">
        <v>117</v>
      </c>
      <c r="AM4067" t="s">
        <v>118</v>
      </c>
      <c r="AN4067">
        <v>9287</v>
      </c>
      <c r="AO4067">
        <v>0.21</v>
      </c>
      <c r="AR4067">
        <v>1</v>
      </c>
      <c r="AS4067" s="1">
        <v>27160</v>
      </c>
      <c r="AT4067" s="1">
        <v>5430</v>
      </c>
      <c r="AU4067" s="1">
        <v>21730</v>
      </c>
      <c r="AV4067">
        <v>80.010000000000005</v>
      </c>
      <c r="AX4067" s="1">
        <v>2186.7600000000002</v>
      </c>
      <c r="AY4067" t="s">
        <v>5060</v>
      </c>
      <c r="AZ4067" t="s">
        <v>5060</v>
      </c>
      <c r="BA4067" t="s">
        <v>5061</v>
      </c>
      <c r="BE4067" s="3">
        <v>42282</v>
      </c>
      <c r="BF4067" s="1">
        <v>336000</v>
      </c>
      <c r="BG4067" t="s">
        <v>25885</v>
      </c>
      <c r="BH4067" s="1">
        <v>118.06</v>
      </c>
      <c r="BI4067" s="1">
        <v>335725</v>
      </c>
      <c r="BJ4067" s="3">
        <v>42282</v>
      </c>
      <c r="BK4067" t="s">
        <v>123</v>
      </c>
      <c r="BL4067" t="str">
        <f>"2015.716637"</f>
        <v>2015.716637</v>
      </c>
      <c r="BM4067" t="s">
        <v>1185</v>
      </c>
      <c r="BO4067" t="s">
        <v>25886</v>
      </c>
      <c r="BS4067">
        <v>30</v>
      </c>
      <c r="BW4067" t="str">
        <f>""</f>
        <v/>
      </c>
      <c r="CH4067" t="str">
        <f>""</f>
        <v/>
      </c>
      <c r="CS4067" t="str">
        <f>""</f>
        <v/>
      </c>
    </row>
    <row r="4068" spans="1:97" x14ac:dyDescent="0.25">
      <c r="A4068" t="s">
        <v>370</v>
      </c>
      <c r="B4068" t="s">
        <v>25887</v>
      </c>
      <c r="C4068" t="s">
        <v>154</v>
      </c>
      <c r="D4068" t="s">
        <v>25887</v>
      </c>
      <c r="E4068" t="s">
        <v>25888</v>
      </c>
      <c r="F4068" t="s">
        <v>139</v>
      </c>
      <c r="H4068" t="s">
        <v>25889</v>
      </c>
      <c r="I4068" t="s">
        <v>2874</v>
      </c>
      <c r="J4068" t="s">
        <v>111</v>
      </c>
      <c r="K4068" t="str">
        <f>"85302"</f>
        <v>85302</v>
      </c>
      <c r="L4068" t="s">
        <v>6682</v>
      </c>
      <c r="M4068" t="s">
        <v>25890</v>
      </c>
      <c r="N4068" t="s">
        <v>2874</v>
      </c>
      <c r="O4068" t="s">
        <v>111</v>
      </c>
      <c r="P4068" t="str">
        <f>"85302-5207"</f>
        <v>85302-5207</v>
      </c>
      <c r="Q4068" t="s">
        <v>113</v>
      </c>
      <c r="R4068" t="str">
        <f>"148-10-074"</f>
        <v>148-10-074</v>
      </c>
      <c r="S4068" t="s">
        <v>17857</v>
      </c>
      <c r="U4068">
        <v>2559</v>
      </c>
      <c r="V4068">
        <v>0</v>
      </c>
      <c r="W4068">
        <v>2</v>
      </c>
      <c r="X4068">
        <v>1975</v>
      </c>
      <c r="Z4068">
        <v>1</v>
      </c>
      <c r="AB4068">
        <v>0</v>
      </c>
      <c r="AC4068" t="s">
        <v>115</v>
      </c>
      <c r="AD4068">
        <v>2</v>
      </c>
      <c r="AE4068" t="s">
        <v>115</v>
      </c>
      <c r="AF4068">
        <v>0</v>
      </c>
      <c r="AG4068">
        <v>0</v>
      </c>
      <c r="AH4068" t="s">
        <v>116</v>
      </c>
      <c r="AI4068" s="1">
        <v>67779</v>
      </c>
      <c r="AJ4068" s="2">
        <v>0.22</v>
      </c>
      <c r="AK4068" s="1">
        <v>307779</v>
      </c>
      <c r="AL4068" t="s">
        <v>117</v>
      </c>
      <c r="AM4068" t="s">
        <v>191</v>
      </c>
      <c r="AN4068">
        <v>9762</v>
      </c>
      <c r="AO4068">
        <v>0.22</v>
      </c>
      <c r="AP4068">
        <v>1</v>
      </c>
      <c r="AR4068">
        <v>1</v>
      </c>
      <c r="AS4068" s="1">
        <v>17830</v>
      </c>
      <c r="AT4068" s="1">
        <v>3560</v>
      </c>
      <c r="AU4068" s="1">
        <v>14270</v>
      </c>
      <c r="AV4068">
        <v>80.03</v>
      </c>
      <c r="AX4068" s="1">
        <v>2047.08</v>
      </c>
      <c r="AY4068" t="s">
        <v>17858</v>
      </c>
      <c r="AZ4068" t="s">
        <v>17858</v>
      </c>
      <c r="BA4068" t="s">
        <v>6987</v>
      </c>
      <c r="BE4068" s="3">
        <v>42459</v>
      </c>
      <c r="BF4068" s="1">
        <v>240000</v>
      </c>
      <c r="BG4068" t="s">
        <v>25891</v>
      </c>
      <c r="BH4068" s="1">
        <v>105.63</v>
      </c>
      <c r="BI4068" s="1">
        <v>240000</v>
      </c>
      <c r="BJ4068" s="3">
        <v>42459</v>
      </c>
      <c r="BK4068" t="s">
        <v>123</v>
      </c>
      <c r="BL4068" t="str">
        <f>"2016.207706"</f>
        <v>2016.207706</v>
      </c>
      <c r="BM4068" t="s">
        <v>724</v>
      </c>
      <c r="BO4068" t="s">
        <v>25892</v>
      </c>
      <c r="BS4068">
        <v>30</v>
      </c>
      <c r="BW4068" t="str">
        <f>""</f>
        <v/>
      </c>
      <c r="CH4068" t="str">
        <f>""</f>
        <v/>
      </c>
      <c r="CS4068" t="str">
        <f>""</f>
        <v/>
      </c>
    </row>
    <row r="4069" spans="1:97" x14ac:dyDescent="0.25">
      <c r="A4069" t="s">
        <v>177</v>
      </c>
      <c r="B4069" t="s">
        <v>25893</v>
      </c>
      <c r="E4069" t="s">
        <v>25894</v>
      </c>
      <c r="F4069" t="s">
        <v>282</v>
      </c>
      <c r="H4069" t="s">
        <v>25895</v>
      </c>
      <c r="I4069" t="s">
        <v>225</v>
      </c>
      <c r="J4069" t="s">
        <v>111</v>
      </c>
      <c r="K4069" t="str">
        <f>"85209"</f>
        <v>85209</v>
      </c>
      <c r="L4069" t="s">
        <v>3530</v>
      </c>
      <c r="M4069" t="s">
        <v>25896</v>
      </c>
      <c r="N4069" t="s">
        <v>5387</v>
      </c>
      <c r="O4069" t="s">
        <v>111</v>
      </c>
      <c r="P4069" t="str">
        <f>"85282-1931"</f>
        <v>85282-1931</v>
      </c>
      <c r="Q4069" t="s">
        <v>113</v>
      </c>
      <c r="R4069" t="str">
        <f>"312-13-019"</f>
        <v>312-13-019</v>
      </c>
      <c r="S4069" t="s">
        <v>25897</v>
      </c>
      <c r="U4069">
        <v>2281</v>
      </c>
      <c r="V4069">
        <v>0</v>
      </c>
      <c r="W4069">
        <v>3</v>
      </c>
      <c r="X4069">
        <v>2004</v>
      </c>
      <c r="Z4069">
        <v>1</v>
      </c>
      <c r="AA4069" t="s">
        <v>26</v>
      </c>
      <c r="AB4069">
        <v>0</v>
      </c>
      <c r="AC4069" t="s">
        <v>115</v>
      </c>
      <c r="AD4069">
        <v>3</v>
      </c>
      <c r="AE4069" t="s">
        <v>115</v>
      </c>
      <c r="AF4069">
        <v>0</v>
      </c>
      <c r="AG4069">
        <v>0</v>
      </c>
      <c r="AH4069" t="s">
        <v>116</v>
      </c>
      <c r="AI4069" s="1">
        <v>60069</v>
      </c>
      <c r="AJ4069" s="2">
        <v>0.16</v>
      </c>
      <c r="AK4069" s="1">
        <v>378491</v>
      </c>
      <c r="AL4069" t="s">
        <v>117</v>
      </c>
      <c r="AM4069" t="s">
        <v>393</v>
      </c>
      <c r="AN4069">
        <v>8625</v>
      </c>
      <c r="AO4069">
        <v>0.2</v>
      </c>
      <c r="AP4069">
        <v>1</v>
      </c>
      <c r="AR4069">
        <v>1</v>
      </c>
      <c r="AS4069" s="1">
        <v>26170</v>
      </c>
      <c r="AT4069" s="1">
        <v>5230</v>
      </c>
      <c r="AU4069" s="1">
        <v>20940</v>
      </c>
      <c r="AV4069">
        <v>80.02</v>
      </c>
      <c r="AX4069" s="1">
        <v>1936</v>
      </c>
      <c r="AY4069" t="s">
        <v>4370</v>
      </c>
      <c r="AZ4069" t="s">
        <v>777</v>
      </c>
      <c r="BA4069" t="s">
        <v>572</v>
      </c>
      <c r="BE4069" s="3">
        <v>42306</v>
      </c>
      <c r="BF4069" s="1">
        <v>320000</v>
      </c>
      <c r="BG4069" t="s">
        <v>25898</v>
      </c>
      <c r="BH4069" s="1">
        <v>140.29</v>
      </c>
      <c r="BI4069" s="1">
        <v>318422</v>
      </c>
      <c r="BJ4069" s="3">
        <v>42306</v>
      </c>
      <c r="BK4069" t="s">
        <v>123</v>
      </c>
      <c r="BL4069" t="str">
        <f>"2015.777715"</f>
        <v>2015.777715</v>
      </c>
      <c r="BM4069" t="s">
        <v>2094</v>
      </c>
      <c r="BO4069" t="s">
        <v>25899</v>
      </c>
      <c r="BS4069">
        <v>30</v>
      </c>
      <c r="BW4069" t="str">
        <f>""</f>
        <v/>
      </c>
      <c r="CH4069" t="str">
        <f>""</f>
        <v/>
      </c>
      <c r="CS4069" t="str">
        <f>""</f>
        <v/>
      </c>
    </row>
    <row r="4070" spans="1:97" x14ac:dyDescent="0.25">
      <c r="A4070" t="s">
        <v>13625</v>
      </c>
      <c r="B4070" t="s">
        <v>25900</v>
      </c>
      <c r="C4070" t="s">
        <v>25901</v>
      </c>
      <c r="D4070" t="s">
        <v>25900</v>
      </c>
      <c r="E4070" t="s">
        <v>25902</v>
      </c>
      <c r="F4070" t="s">
        <v>108</v>
      </c>
      <c r="H4070" t="s">
        <v>25903</v>
      </c>
      <c r="I4070" t="s">
        <v>1936</v>
      </c>
      <c r="J4070" t="s">
        <v>111</v>
      </c>
      <c r="K4070" t="str">
        <f>"85255"</f>
        <v>85255</v>
      </c>
      <c r="L4070" t="s">
        <v>774</v>
      </c>
      <c r="M4070" t="s">
        <v>25903</v>
      </c>
      <c r="N4070" t="s">
        <v>1936</v>
      </c>
      <c r="O4070" t="s">
        <v>111</v>
      </c>
      <c r="P4070" t="str">
        <f>"85255-1705"</f>
        <v>85255-1705</v>
      </c>
      <c r="Q4070" t="s">
        <v>113</v>
      </c>
      <c r="R4070" t="str">
        <f>"217-65-232"</f>
        <v>217-65-232</v>
      </c>
      <c r="S4070" t="s">
        <v>25904</v>
      </c>
      <c r="U4070">
        <v>2428</v>
      </c>
      <c r="V4070">
        <v>0</v>
      </c>
      <c r="W4070">
        <v>4</v>
      </c>
      <c r="X4070">
        <v>1999</v>
      </c>
      <c r="Z4070">
        <v>2</v>
      </c>
      <c r="AA4070" t="s">
        <v>26</v>
      </c>
      <c r="AB4070">
        <v>0</v>
      </c>
      <c r="AC4070" t="s">
        <v>115</v>
      </c>
      <c r="AD4070">
        <v>2</v>
      </c>
      <c r="AE4070" t="s">
        <v>115</v>
      </c>
      <c r="AF4070">
        <v>0</v>
      </c>
      <c r="AG4070">
        <v>0</v>
      </c>
      <c r="AH4070" t="s">
        <v>116</v>
      </c>
      <c r="AI4070" s="1">
        <v>103849</v>
      </c>
      <c r="AJ4070" s="2">
        <v>0.18</v>
      </c>
      <c r="AK4070" s="1">
        <v>562474</v>
      </c>
      <c r="AL4070" t="s">
        <v>117</v>
      </c>
      <c r="AM4070" t="s">
        <v>393</v>
      </c>
      <c r="AN4070">
        <v>6762</v>
      </c>
      <c r="AO4070">
        <v>0.16</v>
      </c>
      <c r="AP4070">
        <v>1</v>
      </c>
      <c r="AR4070">
        <v>1</v>
      </c>
      <c r="AS4070" s="1">
        <v>42320</v>
      </c>
      <c r="AT4070" s="1">
        <v>8460</v>
      </c>
      <c r="AU4070" s="1">
        <v>33860</v>
      </c>
      <c r="AV4070">
        <v>80.010000000000005</v>
      </c>
      <c r="AX4070" s="1">
        <v>3194.52</v>
      </c>
      <c r="AY4070" t="s">
        <v>11360</v>
      </c>
      <c r="AZ4070" t="s">
        <v>5420</v>
      </c>
      <c r="BA4070" t="s">
        <v>5763</v>
      </c>
      <c r="BE4070" s="3">
        <v>42458</v>
      </c>
      <c r="BF4070" s="1">
        <v>472500</v>
      </c>
      <c r="BG4070" t="s">
        <v>25905</v>
      </c>
      <c r="BH4070" s="1">
        <v>194.6</v>
      </c>
      <c r="BI4070" s="1">
        <v>458625</v>
      </c>
      <c r="BJ4070" s="3">
        <v>42458</v>
      </c>
      <c r="BK4070" t="s">
        <v>123</v>
      </c>
      <c r="BL4070" t="str">
        <f>"2016.201299"</f>
        <v>2016.201299</v>
      </c>
      <c r="BM4070" t="s">
        <v>683</v>
      </c>
      <c r="BO4070" t="s">
        <v>25906</v>
      </c>
      <c r="BS4070">
        <v>30</v>
      </c>
      <c r="BW4070" t="str">
        <f>""</f>
        <v/>
      </c>
      <c r="CH4070" t="str">
        <f>""</f>
        <v/>
      </c>
      <c r="CS4070" t="str">
        <f>""</f>
        <v/>
      </c>
    </row>
    <row r="4071" spans="1:97" x14ac:dyDescent="0.25">
      <c r="B4071" t="s">
        <v>25907</v>
      </c>
      <c r="E4071" t="s">
        <v>25908</v>
      </c>
      <c r="F4071" t="s">
        <v>108</v>
      </c>
      <c r="H4071" t="s">
        <v>25909</v>
      </c>
      <c r="I4071" t="s">
        <v>390</v>
      </c>
      <c r="J4071" t="s">
        <v>111</v>
      </c>
      <c r="K4071" t="str">
        <f>"85085"</f>
        <v>85085</v>
      </c>
      <c r="L4071" t="s">
        <v>5893</v>
      </c>
      <c r="M4071" t="s">
        <v>25909</v>
      </c>
      <c r="N4071" t="s">
        <v>390</v>
      </c>
      <c r="O4071" t="s">
        <v>111</v>
      </c>
      <c r="P4071" t="str">
        <f>"85085-5096"</f>
        <v>85085-5096</v>
      </c>
      <c r="Q4071" t="s">
        <v>113</v>
      </c>
      <c r="R4071" t="str">
        <f>"204-01-456"</f>
        <v>204-01-456</v>
      </c>
      <c r="S4071" t="s">
        <v>25910</v>
      </c>
      <c r="T4071" t="s">
        <v>6715</v>
      </c>
      <c r="U4071">
        <v>3774</v>
      </c>
      <c r="V4071">
        <v>0</v>
      </c>
      <c r="W4071">
        <v>4</v>
      </c>
      <c r="X4071">
        <v>2005</v>
      </c>
      <c r="Z4071">
        <v>2</v>
      </c>
      <c r="AB4071">
        <v>0</v>
      </c>
      <c r="AC4071" t="s">
        <v>115</v>
      </c>
      <c r="AD4071">
        <v>3</v>
      </c>
      <c r="AE4071" t="s">
        <v>115</v>
      </c>
      <c r="AF4071">
        <v>0</v>
      </c>
      <c r="AG4071">
        <v>0</v>
      </c>
      <c r="AH4071" t="s">
        <v>116</v>
      </c>
      <c r="AI4071" s="1">
        <v>69728</v>
      </c>
      <c r="AJ4071" s="2">
        <v>0.15</v>
      </c>
      <c r="AK4071" s="1">
        <v>474147</v>
      </c>
      <c r="AL4071" t="s">
        <v>117</v>
      </c>
      <c r="AM4071" t="s">
        <v>171</v>
      </c>
      <c r="AN4071">
        <v>10077</v>
      </c>
      <c r="AO4071">
        <v>0.23</v>
      </c>
      <c r="AR4071">
        <v>1</v>
      </c>
      <c r="AS4071" s="1">
        <v>33160</v>
      </c>
      <c r="AT4071" s="1">
        <v>6630</v>
      </c>
      <c r="AU4071" s="1">
        <v>26530</v>
      </c>
      <c r="AV4071">
        <v>80.010000000000005</v>
      </c>
      <c r="AX4071" s="1">
        <v>3345.44</v>
      </c>
      <c r="AY4071" t="s">
        <v>1587</v>
      </c>
      <c r="AZ4071" t="s">
        <v>1587</v>
      </c>
      <c r="BA4071" t="s">
        <v>1462</v>
      </c>
      <c r="BB4071" s="3">
        <v>42144</v>
      </c>
      <c r="BD4071" t="s">
        <v>240</v>
      </c>
      <c r="BE4071" s="3">
        <v>42144</v>
      </c>
      <c r="BF4071" s="1">
        <v>391500</v>
      </c>
      <c r="BG4071" t="s">
        <v>25911</v>
      </c>
      <c r="BH4071" s="1">
        <v>103.74</v>
      </c>
      <c r="BI4071" s="1">
        <v>404419</v>
      </c>
      <c r="BJ4071" s="3">
        <v>42144</v>
      </c>
      <c r="BK4071" t="s">
        <v>123</v>
      </c>
      <c r="BL4071" t="str">
        <f>"2015.354904"</f>
        <v>2015.354904</v>
      </c>
      <c r="BM4071" t="s">
        <v>1325</v>
      </c>
      <c r="BO4071" t="s">
        <v>25912</v>
      </c>
      <c r="BS4071">
        <v>30</v>
      </c>
      <c r="BW4071" t="str">
        <f>""</f>
        <v/>
      </c>
      <c r="CH4071" t="str">
        <f>""</f>
        <v/>
      </c>
      <c r="CS4071" t="str">
        <f>""</f>
        <v/>
      </c>
    </row>
    <row r="4072" spans="1:97" x14ac:dyDescent="0.25">
      <c r="A4072" t="s">
        <v>1176</v>
      </c>
      <c r="B4072" t="s">
        <v>25913</v>
      </c>
      <c r="E4072" t="s">
        <v>25914</v>
      </c>
      <c r="F4072" t="s">
        <v>108</v>
      </c>
      <c r="H4072" t="s">
        <v>25915</v>
      </c>
      <c r="I4072" t="s">
        <v>203</v>
      </c>
      <c r="J4072" t="s">
        <v>111</v>
      </c>
      <c r="K4072" t="str">
        <f>"85298"</f>
        <v>85298</v>
      </c>
      <c r="L4072" t="s">
        <v>3645</v>
      </c>
      <c r="M4072" t="s">
        <v>25915</v>
      </c>
      <c r="N4072" t="s">
        <v>203</v>
      </c>
      <c r="O4072" t="s">
        <v>111</v>
      </c>
      <c r="P4072" t="str">
        <f>"85298-7317"</f>
        <v>85298-7317</v>
      </c>
      <c r="Q4072" t="s">
        <v>113</v>
      </c>
      <c r="R4072" t="str">
        <f>"304-72-683"</f>
        <v>304-72-683</v>
      </c>
      <c r="S4072" t="s">
        <v>25916</v>
      </c>
      <c r="T4072" t="s">
        <v>25916</v>
      </c>
      <c r="U4072">
        <v>3059</v>
      </c>
      <c r="V4072">
        <v>0</v>
      </c>
      <c r="W4072">
        <v>4</v>
      </c>
      <c r="X4072">
        <v>2012</v>
      </c>
      <c r="Z4072">
        <v>2</v>
      </c>
      <c r="AA4072" t="s">
        <v>26</v>
      </c>
      <c r="AB4072">
        <v>0</v>
      </c>
      <c r="AC4072" t="s">
        <v>115</v>
      </c>
      <c r="AD4072">
        <v>3</v>
      </c>
      <c r="AE4072" t="s">
        <v>115</v>
      </c>
      <c r="AF4072">
        <v>0</v>
      </c>
      <c r="AG4072">
        <v>0</v>
      </c>
      <c r="AH4072" t="s">
        <v>116</v>
      </c>
      <c r="AI4072" s="1">
        <v>75233</v>
      </c>
      <c r="AJ4072" s="2">
        <v>0.17</v>
      </c>
      <c r="AK4072" s="1">
        <v>430430</v>
      </c>
      <c r="AL4072" t="s">
        <v>117</v>
      </c>
      <c r="AM4072" t="s">
        <v>191</v>
      </c>
      <c r="AN4072">
        <v>6797</v>
      </c>
      <c r="AO4072">
        <v>0.16</v>
      </c>
      <c r="AR4072">
        <v>1</v>
      </c>
      <c r="AS4072" s="1">
        <v>30230</v>
      </c>
      <c r="AT4072" s="1">
        <v>6040</v>
      </c>
      <c r="AU4072" s="1">
        <v>24190</v>
      </c>
      <c r="AV4072">
        <v>80.02</v>
      </c>
      <c r="AX4072" s="1">
        <v>2695.9</v>
      </c>
      <c r="AY4072" t="s">
        <v>737</v>
      </c>
      <c r="AZ4072" t="s">
        <v>273</v>
      </c>
      <c r="BA4072" t="s">
        <v>303</v>
      </c>
      <c r="BE4072" s="3">
        <v>42069</v>
      </c>
      <c r="BF4072" s="1">
        <v>343850</v>
      </c>
      <c r="BG4072" t="s">
        <v>25917</v>
      </c>
      <c r="BH4072" s="1">
        <v>112.41</v>
      </c>
      <c r="BI4072" s="1">
        <v>355197</v>
      </c>
      <c r="BJ4072" s="3">
        <v>42069</v>
      </c>
      <c r="BK4072" t="s">
        <v>123</v>
      </c>
      <c r="BL4072" t="str">
        <f>"2015.152744"</f>
        <v>2015.152744</v>
      </c>
      <c r="BM4072" t="s">
        <v>150</v>
      </c>
      <c r="BO4072" t="s">
        <v>25918</v>
      </c>
      <c r="BS4072">
        <v>30</v>
      </c>
      <c r="BW4072" t="str">
        <f>""</f>
        <v/>
      </c>
      <c r="CH4072" t="str">
        <f>""</f>
        <v/>
      </c>
      <c r="CS4072" t="str">
        <f>""</f>
        <v/>
      </c>
    </row>
    <row r="4073" spans="1:97" x14ac:dyDescent="0.25">
      <c r="B4073" t="s">
        <v>25919</v>
      </c>
      <c r="E4073" t="s">
        <v>25919</v>
      </c>
      <c r="F4073" t="s">
        <v>108</v>
      </c>
      <c r="H4073" t="s">
        <v>25920</v>
      </c>
      <c r="I4073" t="s">
        <v>390</v>
      </c>
      <c r="J4073" t="s">
        <v>111</v>
      </c>
      <c r="K4073" t="str">
        <f>"85083"</f>
        <v>85083</v>
      </c>
      <c r="L4073" t="s">
        <v>7147</v>
      </c>
      <c r="M4073" t="s">
        <v>25920</v>
      </c>
      <c r="N4073" t="s">
        <v>390</v>
      </c>
      <c r="O4073" t="s">
        <v>111</v>
      </c>
      <c r="P4073" t="str">
        <f>"85083-5415"</f>
        <v>85083-5415</v>
      </c>
      <c r="Q4073" t="s">
        <v>113</v>
      </c>
      <c r="R4073" t="str">
        <f>"201-38-259"</f>
        <v>201-38-259</v>
      </c>
      <c r="S4073" t="s">
        <v>17969</v>
      </c>
      <c r="U4073">
        <v>2725</v>
      </c>
      <c r="V4073">
        <v>0</v>
      </c>
      <c r="W4073">
        <v>4</v>
      </c>
      <c r="X4073">
        <v>2006</v>
      </c>
      <c r="Z4073">
        <v>1</v>
      </c>
      <c r="AA4073" t="s">
        <v>26</v>
      </c>
      <c r="AB4073">
        <v>0</v>
      </c>
      <c r="AC4073" t="s">
        <v>115</v>
      </c>
      <c r="AD4073">
        <v>3</v>
      </c>
      <c r="AE4073" t="s">
        <v>115</v>
      </c>
      <c r="AF4073">
        <v>0</v>
      </c>
      <c r="AG4073">
        <v>0</v>
      </c>
      <c r="AH4073" t="s">
        <v>116</v>
      </c>
      <c r="AI4073" s="1">
        <v>47733</v>
      </c>
      <c r="AJ4073" s="2">
        <v>0.1</v>
      </c>
      <c r="AK4073" s="1">
        <v>478494</v>
      </c>
      <c r="AL4073" t="s">
        <v>117</v>
      </c>
      <c r="AM4073" t="s">
        <v>616</v>
      </c>
      <c r="AN4073">
        <v>10702</v>
      </c>
      <c r="AO4073">
        <v>0.25</v>
      </c>
      <c r="AR4073">
        <v>1</v>
      </c>
      <c r="AS4073" s="1">
        <v>35860</v>
      </c>
      <c r="AT4073" s="1">
        <v>7170</v>
      </c>
      <c r="AU4073" s="1">
        <v>28690</v>
      </c>
      <c r="AV4073">
        <v>80.010000000000005</v>
      </c>
      <c r="AX4073" s="1">
        <v>3414.02</v>
      </c>
      <c r="AY4073" t="s">
        <v>5125</v>
      </c>
      <c r="AZ4073" t="s">
        <v>3049</v>
      </c>
      <c r="BA4073" t="s">
        <v>1386</v>
      </c>
      <c r="BE4073" s="3">
        <v>42110</v>
      </c>
      <c r="BF4073" s="1">
        <v>421000</v>
      </c>
      <c r="BG4073" t="s">
        <v>25921</v>
      </c>
      <c r="BH4073" s="1">
        <v>154.5</v>
      </c>
      <c r="BI4073" s="1">
        <v>430761</v>
      </c>
      <c r="BJ4073" s="3">
        <v>42110</v>
      </c>
      <c r="BK4073" t="s">
        <v>123</v>
      </c>
      <c r="BL4073" t="str">
        <f>"2015.262029"</f>
        <v>2015.262029</v>
      </c>
      <c r="BM4073" t="s">
        <v>150</v>
      </c>
      <c r="BO4073" t="s">
        <v>25919</v>
      </c>
      <c r="BS4073">
        <v>30</v>
      </c>
      <c r="BW4073" t="str">
        <f>""</f>
        <v/>
      </c>
      <c r="CH4073" t="str">
        <f>""</f>
        <v/>
      </c>
      <c r="CS4073" t="str">
        <f>""</f>
        <v/>
      </c>
    </row>
    <row r="4074" spans="1:97" x14ac:dyDescent="0.25">
      <c r="A4074" t="s">
        <v>1465</v>
      </c>
      <c r="B4074" t="s">
        <v>25922</v>
      </c>
      <c r="C4074" t="s">
        <v>524</v>
      </c>
      <c r="D4074" t="s">
        <v>25922</v>
      </c>
      <c r="E4074" t="s">
        <v>25923</v>
      </c>
      <c r="F4074" t="s">
        <v>108</v>
      </c>
      <c r="H4074" t="s">
        <v>25924</v>
      </c>
      <c r="I4074" t="s">
        <v>499</v>
      </c>
      <c r="J4074" t="s">
        <v>111</v>
      </c>
      <c r="K4074" t="str">
        <f>"85395"</f>
        <v>85395</v>
      </c>
      <c r="L4074" t="s">
        <v>168</v>
      </c>
      <c r="M4074" t="s">
        <v>25924</v>
      </c>
      <c r="N4074" t="s">
        <v>499</v>
      </c>
      <c r="O4074" t="s">
        <v>111</v>
      </c>
      <c r="P4074" t="str">
        <f>"85395-6442"</f>
        <v>85395-6442</v>
      </c>
      <c r="Q4074" t="s">
        <v>113</v>
      </c>
      <c r="R4074" t="str">
        <f>"501-62-857"</f>
        <v>501-62-857</v>
      </c>
      <c r="S4074" t="s">
        <v>10001</v>
      </c>
      <c r="T4074" t="s">
        <v>10002</v>
      </c>
      <c r="U4074">
        <v>2676</v>
      </c>
      <c r="V4074">
        <v>0</v>
      </c>
      <c r="W4074">
        <v>4</v>
      </c>
      <c r="X4074">
        <v>2013</v>
      </c>
      <c r="Z4074">
        <v>1</v>
      </c>
      <c r="AA4074" t="s">
        <v>26</v>
      </c>
      <c r="AB4074">
        <v>0</v>
      </c>
      <c r="AC4074" t="s">
        <v>115</v>
      </c>
      <c r="AD4074">
        <v>3</v>
      </c>
      <c r="AE4074" t="s">
        <v>115</v>
      </c>
      <c r="AF4074">
        <v>0</v>
      </c>
      <c r="AG4074">
        <v>0</v>
      </c>
      <c r="AH4074" t="s">
        <v>116</v>
      </c>
      <c r="AI4074" s="1">
        <v>66075</v>
      </c>
      <c r="AJ4074" s="2">
        <v>0.16</v>
      </c>
      <c r="AK4074" s="1">
        <v>410214</v>
      </c>
      <c r="AL4074" t="s">
        <v>117</v>
      </c>
      <c r="AM4074" t="s">
        <v>118</v>
      </c>
      <c r="AN4074">
        <v>8402</v>
      </c>
      <c r="AO4074">
        <v>0.19</v>
      </c>
      <c r="AR4074">
        <v>1</v>
      </c>
      <c r="AS4074" s="1">
        <v>30030</v>
      </c>
      <c r="AT4074" s="1">
        <v>6000</v>
      </c>
      <c r="AU4074" s="1">
        <v>24030</v>
      </c>
      <c r="AV4074">
        <v>80.02</v>
      </c>
      <c r="AX4074" s="1">
        <v>2793.02</v>
      </c>
      <c r="AY4074" t="s">
        <v>3019</v>
      </c>
      <c r="AZ4074" t="s">
        <v>504</v>
      </c>
      <c r="BA4074" t="s">
        <v>3154</v>
      </c>
      <c r="BE4074" s="3">
        <v>41922</v>
      </c>
      <c r="BF4074" s="1">
        <v>309198</v>
      </c>
      <c r="BG4074" t="s">
        <v>3021</v>
      </c>
      <c r="BH4074" s="1">
        <v>115.54</v>
      </c>
      <c r="BI4074" s="1">
        <v>344139</v>
      </c>
      <c r="BJ4074" s="3">
        <v>42627</v>
      </c>
      <c r="BK4074" t="s">
        <v>123</v>
      </c>
      <c r="BL4074" t="str">
        <f>"2016.666602"</f>
        <v>2016.666602</v>
      </c>
      <c r="BM4074" t="s">
        <v>402</v>
      </c>
      <c r="BO4074" t="s">
        <v>25925</v>
      </c>
      <c r="BS4074">
        <v>28</v>
      </c>
      <c r="BW4074" t="str">
        <f>""</f>
        <v/>
      </c>
      <c r="CH4074" t="str">
        <f>""</f>
        <v/>
      </c>
      <c r="CS4074" t="str">
        <f>""</f>
        <v/>
      </c>
    </row>
    <row r="4075" spans="1:97" x14ac:dyDescent="0.25">
      <c r="A4075" t="s">
        <v>2242</v>
      </c>
      <c r="B4075" t="s">
        <v>18137</v>
      </c>
      <c r="E4075" t="s">
        <v>25926</v>
      </c>
      <c r="F4075" t="s">
        <v>108</v>
      </c>
      <c r="H4075" t="s">
        <v>25927</v>
      </c>
      <c r="I4075" t="s">
        <v>499</v>
      </c>
      <c r="J4075" t="s">
        <v>111</v>
      </c>
      <c r="K4075" t="str">
        <f>"85395"</f>
        <v>85395</v>
      </c>
      <c r="L4075" t="s">
        <v>7005</v>
      </c>
      <c r="M4075" t="s">
        <v>25927</v>
      </c>
      <c r="N4075" t="s">
        <v>499</v>
      </c>
      <c r="O4075" t="s">
        <v>111</v>
      </c>
      <c r="P4075" t="str">
        <f>"85395-2059"</f>
        <v>85395-2059</v>
      </c>
      <c r="Q4075" t="s">
        <v>113</v>
      </c>
      <c r="R4075" t="str">
        <f>"508-14-162"</f>
        <v>508-14-162</v>
      </c>
      <c r="S4075" t="s">
        <v>14773</v>
      </c>
      <c r="T4075" t="s">
        <v>14987</v>
      </c>
      <c r="U4075">
        <v>3613</v>
      </c>
      <c r="V4075">
        <v>0</v>
      </c>
      <c r="W4075">
        <v>4</v>
      </c>
      <c r="X4075">
        <v>2006</v>
      </c>
      <c r="Z4075">
        <v>2</v>
      </c>
      <c r="AA4075" t="s">
        <v>26</v>
      </c>
      <c r="AB4075">
        <v>0</v>
      </c>
      <c r="AC4075" t="s">
        <v>115</v>
      </c>
      <c r="AD4075">
        <v>3</v>
      </c>
      <c r="AE4075" t="s">
        <v>115</v>
      </c>
      <c r="AF4075">
        <v>0</v>
      </c>
      <c r="AG4075">
        <v>0</v>
      </c>
      <c r="AH4075" t="s">
        <v>116</v>
      </c>
      <c r="AI4075" s="1">
        <v>42297</v>
      </c>
      <c r="AJ4075" s="2">
        <v>0.1</v>
      </c>
      <c r="AK4075" s="1">
        <v>427061</v>
      </c>
      <c r="AL4075" t="s">
        <v>117</v>
      </c>
      <c r="AM4075" t="s">
        <v>118</v>
      </c>
      <c r="AN4075">
        <v>8946</v>
      </c>
      <c r="AO4075">
        <v>0.2</v>
      </c>
      <c r="AR4075">
        <v>1</v>
      </c>
      <c r="AS4075" s="1">
        <v>31630</v>
      </c>
      <c r="AT4075" s="1">
        <v>6320</v>
      </c>
      <c r="AU4075" s="1">
        <v>25310</v>
      </c>
      <c r="AV4075">
        <v>80.02</v>
      </c>
      <c r="AX4075" s="1">
        <v>3229.42</v>
      </c>
      <c r="AY4075" t="s">
        <v>3020</v>
      </c>
      <c r="AZ4075" t="s">
        <v>3020</v>
      </c>
      <c r="BA4075" t="s">
        <v>7186</v>
      </c>
      <c r="BE4075" s="3">
        <v>42535</v>
      </c>
      <c r="BF4075" s="1">
        <v>359000</v>
      </c>
      <c r="BG4075" t="s">
        <v>25928</v>
      </c>
      <c r="BH4075" s="1">
        <v>99.36</v>
      </c>
      <c r="BI4075" s="1">
        <v>384764</v>
      </c>
      <c r="BJ4075" s="3">
        <v>42788</v>
      </c>
      <c r="BK4075" t="s">
        <v>123</v>
      </c>
      <c r="BL4075" t="str">
        <f>"2017.125857"</f>
        <v>2017.125857</v>
      </c>
      <c r="BM4075" t="s">
        <v>248</v>
      </c>
      <c r="BO4075" t="s">
        <v>25929</v>
      </c>
      <c r="BS4075">
        <v>30</v>
      </c>
      <c r="BW4075" t="str">
        <f>""</f>
        <v/>
      </c>
      <c r="CH4075" t="str">
        <f>""</f>
        <v/>
      </c>
      <c r="CS4075" t="str">
        <f>""</f>
        <v/>
      </c>
    </row>
    <row r="4076" spans="1:97" x14ac:dyDescent="0.25">
      <c r="A4076" t="s">
        <v>6250</v>
      </c>
      <c r="B4076" t="s">
        <v>25930</v>
      </c>
      <c r="E4076" t="s">
        <v>25931</v>
      </c>
      <c r="F4076" t="s">
        <v>108</v>
      </c>
      <c r="H4076" t="s">
        <v>25932</v>
      </c>
      <c r="I4076" t="s">
        <v>6646</v>
      </c>
      <c r="J4076" t="s">
        <v>111</v>
      </c>
      <c r="K4076" t="str">
        <f>"85086"</f>
        <v>85086</v>
      </c>
      <c r="L4076" t="s">
        <v>3225</v>
      </c>
      <c r="M4076" t="s">
        <v>25932</v>
      </c>
      <c r="N4076" t="s">
        <v>6646</v>
      </c>
      <c r="O4076" t="s">
        <v>111</v>
      </c>
      <c r="P4076" t="str">
        <f>"85086-1748"</f>
        <v>85086-1748</v>
      </c>
      <c r="Q4076" t="s">
        <v>113</v>
      </c>
      <c r="R4076" t="str">
        <f>"203-07-509"</f>
        <v>203-07-509</v>
      </c>
      <c r="S4076" t="s">
        <v>25933</v>
      </c>
      <c r="U4076">
        <v>2830</v>
      </c>
      <c r="V4076">
        <v>0</v>
      </c>
      <c r="W4076">
        <v>4</v>
      </c>
      <c r="X4076">
        <v>2001</v>
      </c>
      <c r="Z4076">
        <v>2</v>
      </c>
      <c r="AB4076">
        <v>0</v>
      </c>
      <c r="AC4076" t="s">
        <v>115</v>
      </c>
      <c r="AD4076">
        <v>2</v>
      </c>
      <c r="AE4076" t="s">
        <v>115</v>
      </c>
      <c r="AF4076">
        <v>0</v>
      </c>
      <c r="AG4076">
        <v>0</v>
      </c>
      <c r="AH4076" t="s">
        <v>116</v>
      </c>
      <c r="AI4076" s="1">
        <v>80939</v>
      </c>
      <c r="AJ4076" s="2">
        <v>0.21</v>
      </c>
      <c r="AK4076" s="1">
        <v>390239</v>
      </c>
      <c r="AL4076" t="s">
        <v>117</v>
      </c>
      <c r="AM4076" t="s">
        <v>393</v>
      </c>
      <c r="AN4076">
        <v>10407</v>
      </c>
      <c r="AO4076">
        <v>0.24</v>
      </c>
      <c r="AP4076">
        <v>1</v>
      </c>
      <c r="AR4076">
        <v>1</v>
      </c>
      <c r="AS4076" s="1">
        <v>27930</v>
      </c>
      <c r="AT4076" s="1">
        <v>5580</v>
      </c>
      <c r="AU4076" s="1">
        <v>22350</v>
      </c>
      <c r="AV4076">
        <v>80.02</v>
      </c>
      <c r="AX4076" s="1">
        <v>3127.44</v>
      </c>
      <c r="AY4076" t="s">
        <v>665</v>
      </c>
      <c r="AZ4076" t="s">
        <v>665</v>
      </c>
      <c r="BA4076" t="s">
        <v>378</v>
      </c>
      <c r="BE4076" s="3">
        <v>42425</v>
      </c>
      <c r="BF4076" s="1">
        <v>309300</v>
      </c>
      <c r="BG4076" t="s">
        <v>6855</v>
      </c>
      <c r="BH4076" s="1">
        <v>109.29</v>
      </c>
      <c r="BI4076" s="1">
        <v>309300</v>
      </c>
      <c r="BJ4076" s="3">
        <v>42425</v>
      </c>
      <c r="BK4076" t="s">
        <v>123</v>
      </c>
      <c r="BL4076" t="str">
        <f>"2016.117758"</f>
        <v>2016.117758</v>
      </c>
      <c r="BM4076" t="s">
        <v>135</v>
      </c>
      <c r="BO4076" t="s">
        <v>25934</v>
      </c>
      <c r="BS4076">
        <v>30</v>
      </c>
      <c r="BW4076" t="str">
        <f>""</f>
        <v/>
      </c>
      <c r="CH4076" t="str">
        <f>""</f>
        <v/>
      </c>
      <c r="CS4076" t="str">
        <f>""</f>
        <v/>
      </c>
    </row>
    <row r="4077" spans="1:97" x14ac:dyDescent="0.25">
      <c r="A4077" t="s">
        <v>25935</v>
      </c>
      <c r="B4077" t="s">
        <v>8415</v>
      </c>
      <c r="C4077" t="s">
        <v>25936</v>
      </c>
      <c r="D4077" t="s">
        <v>8415</v>
      </c>
      <c r="E4077" t="s">
        <v>25937</v>
      </c>
      <c r="F4077" t="s">
        <v>108</v>
      </c>
      <c r="H4077" t="s">
        <v>25938</v>
      </c>
      <c r="I4077" t="s">
        <v>110</v>
      </c>
      <c r="J4077" t="s">
        <v>111</v>
      </c>
      <c r="K4077" t="str">
        <f>"85248"</f>
        <v>85248</v>
      </c>
      <c r="L4077" t="s">
        <v>3094</v>
      </c>
      <c r="M4077" t="s">
        <v>25938</v>
      </c>
      <c r="N4077" t="s">
        <v>110</v>
      </c>
      <c r="O4077" t="s">
        <v>111</v>
      </c>
      <c r="P4077" t="str">
        <f>"85248-5194"</f>
        <v>85248-5194</v>
      </c>
      <c r="Q4077" t="s">
        <v>113</v>
      </c>
      <c r="R4077" t="str">
        <f>"303-49-213"</f>
        <v>303-49-213</v>
      </c>
      <c r="S4077" t="s">
        <v>25939</v>
      </c>
      <c r="U4077">
        <v>2687</v>
      </c>
      <c r="V4077">
        <v>0</v>
      </c>
      <c r="W4077">
        <v>4</v>
      </c>
      <c r="X4077">
        <v>2009</v>
      </c>
      <c r="Z4077">
        <v>1</v>
      </c>
      <c r="AB4077">
        <v>0</v>
      </c>
      <c r="AC4077" t="s">
        <v>115</v>
      </c>
      <c r="AD4077">
        <v>3</v>
      </c>
      <c r="AE4077" t="s">
        <v>115</v>
      </c>
      <c r="AF4077">
        <v>0</v>
      </c>
      <c r="AG4077">
        <v>0</v>
      </c>
      <c r="AH4077" t="s">
        <v>116</v>
      </c>
      <c r="AI4077" s="1">
        <v>151886</v>
      </c>
      <c r="AJ4077" s="2">
        <v>0.27</v>
      </c>
      <c r="AK4077" s="1">
        <v>568886</v>
      </c>
      <c r="AL4077" t="s">
        <v>117</v>
      </c>
      <c r="AM4077" t="s">
        <v>118</v>
      </c>
      <c r="AN4077">
        <v>9584</v>
      </c>
      <c r="AO4077">
        <v>0.22</v>
      </c>
      <c r="AR4077">
        <v>1</v>
      </c>
      <c r="AS4077" s="1">
        <v>42480</v>
      </c>
      <c r="AT4077" s="1">
        <v>8490</v>
      </c>
      <c r="AU4077" s="1">
        <v>33990</v>
      </c>
      <c r="AV4077">
        <v>80.010000000000005</v>
      </c>
      <c r="AX4077" s="1">
        <v>4045.54</v>
      </c>
      <c r="AY4077" t="s">
        <v>119</v>
      </c>
      <c r="AZ4077" t="s">
        <v>1882</v>
      </c>
      <c r="BA4077" t="s">
        <v>121</v>
      </c>
      <c r="BE4077" s="3">
        <v>42128</v>
      </c>
      <c r="BF4077" s="1">
        <v>489900</v>
      </c>
      <c r="BG4077" t="s">
        <v>25940</v>
      </c>
      <c r="BH4077" s="1">
        <v>182.32</v>
      </c>
      <c r="BI4077" s="1">
        <v>417000</v>
      </c>
      <c r="BJ4077" s="3">
        <v>42128</v>
      </c>
      <c r="BK4077" t="s">
        <v>123</v>
      </c>
      <c r="BL4077" t="str">
        <f>"2015.313053"</f>
        <v>2015.313053</v>
      </c>
      <c r="BM4077" t="s">
        <v>2980</v>
      </c>
      <c r="BO4077" t="s">
        <v>25941</v>
      </c>
      <c r="BS4077">
        <v>30</v>
      </c>
      <c r="BW4077" t="str">
        <f>""</f>
        <v/>
      </c>
      <c r="CH4077" t="str">
        <f>""</f>
        <v/>
      </c>
      <c r="CS4077" t="str">
        <f>""</f>
        <v/>
      </c>
    </row>
    <row r="4078" spans="1:97" x14ac:dyDescent="0.25">
      <c r="A4078" t="s">
        <v>1421</v>
      </c>
      <c r="B4078" t="s">
        <v>465</v>
      </c>
      <c r="C4078" t="s">
        <v>1959</v>
      </c>
      <c r="D4078" t="s">
        <v>465</v>
      </c>
      <c r="E4078" t="s">
        <v>25942</v>
      </c>
      <c r="F4078" t="s">
        <v>108</v>
      </c>
      <c r="H4078" t="s">
        <v>25943</v>
      </c>
      <c r="I4078" t="s">
        <v>225</v>
      </c>
      <c r="J4078" t="s">
        <v>111</v>
      </c>
      <c r="K4078" t="str">
        <f>"85204"</f>
        <v>85204</v>
      </c>
      <c r="L4078" t="s">
        <v>5228</v>
      </c>
      <c r="M4078" t="s">
        <v>25943</v>
      </c>
      <c r="N4078" t="s">
        <v>225</v>
      </c>
      <c r="O4078" t="s">
        <v>111</v>
      </c>
      <c r="P4078" t="str">
        <f>"85204-3002"</f>
        <v>85204-3002</v>
      </c>
      <c r="Q4078" t="s">
        <v>113</v>
      </c>
      <c r="R4078" t="str">
        <f>"140-75-151"</f>
        <v>140-75-151</v>
      </c>
      <c r="S4078" t="s">
        <v>12087</v>
      </c>
      <c r="T4078" t="s">
        <v>12087</v>
      </c>
      <c r="U4078">
        <v>2245</v>
      </c>
      <c r="V4078">
        <v>0</v>
      </c>
      <c r="W4078">
        <v>4</v>
      </c>
      <c r="X4078">
        <v>2002</v>
      </c>
      <c r="Z4078">
        <v>2</v>
      </c>
      <c r="AA4078" t="s">
        <v>26</v>
      </c>
      <c r="AB4078">
        <v>0</v>
      </c>
      <c r="AC4078" t="s">
        <v>115</v>
      </c>
      <c r="AD4078">
        <v>2</v>
      </c>
      <c r="AE4078" t="s">
        <v>115</v>
      </c>
      <c r="AF4078">
        <v>0</v>
      </c>
      <c r="AG4078">
        <v>0</v>
      </c>
      <c r="AH4078" t="s">
        <v>116</v>
      </c>
      <c r="AI4078" s="1">
        <v>90307</v>
      </c>
      <c r="AJ4078" s="2">
        <v>0.24</v>
      </c>
      <c r="AK4078" s="1">
        <v>380207</v>
      </c>
      <c r="AL4078" t="s">
        <v>117</v>
      </c>
      <c r="AM4078" t="s">
        <v>191</v>
      </c>
      <c r="AN4078">
        <v>11556</v>
      </c>
      <c r="AO4078">
        <v>0.26</v>
      </c>
      <c r="AP4078">
        <v>1</v>
      </c>
      <c r="AR4078">
        <v>1</v>
      </c>
      <c r="AS4078" s="1">
        <v>29070</v>
      </c>
      <c r="AT4078" s="1">
        <v>5810</v>
      </c>
      <c r="AU4078" s="1">
        <v>23260</v>
      </c>
      <c r="AV4078">
        <v>80.010000000000005</v>
      </c>
      <c r="AX4078" s="1">
        <v>2052.7199999999998</v>
      </c>
      <c r="AY4078" t="s">
        <v>8934</v>
      </c>
      <c r="AZ4078" t="s">
        <v>5158</v>
      </c>
      <c r="BA4078" t="s">
        <v>5159</v>
      </c>
      <c r="BE4078" s="3">
        <v>41914</v>
      </c>
      <c r="BF4078" s="1">
        <v>260000</v>
      </c>
      <c r="BG4078" t="s">
        <v>25944</v>
      </c>
      <c r="BH4078" s="1">
        <v>115.81</v>
      </c>
      <c r="BI4078" s="1">
        <v>289900</v>
      </c>
      <c r="BJ4078" s="3">
        <v>43014</v>
      </c>
      <c r="BK4078" t="s">
        <v>123</v>
      </c>
      <c r="BL4078" t="str">
        <f>"2017.741195"</f>
        <v>2017.741195</v>
      </c>
      <c r="BM4078" t="s">
        <v>5382</v>
      </c>
      <c r="BO4078" t="s">
        <v>25945</v>
      </c>
      <c r="BS4078">
        <v>30</v>
      </c>
      <c r="BW4078" t="str">
        <f>""</f>
        <v/>
      </c>
      <c r="CH4078" t="str">
        <f>""</f>
        <v/>
      </c>
      <c r="CS4078" t="str">
        <f>""</f>
        <v/>
      </c>
    </row>
    <row r="4079" spans="1:97" x14ac:dyDescent="0.25">
      <c r="A4079" t="s">
        <v>1465</v>
      </c>
      <c r="B4079" t="s">
        <v>25946</v>
      </c>
      <c r="E4079" t="s">
        <v>25947</v>
      </c>
      <c r="F4079" t="s">
        <v>108</v>
      </c>
      <c r="H4079" t="s">
        <v>25948</v>
      </c>
      <c r="I4079" t="s">
        <v>453</v>
      </c>
      <c r="J4079" t="s">
        <v>111</v>
      </c>
      <c r="K4079" t="str">
        <f>"85381"</f>
        <v>85381</v>
      </c>
      <c r="L4079" t="s">
        <v>6333</v>
      </c>
      <c r="M4079" t="s">
        <v>25948</v>
      </c>
      <c r="N4079" t="s">
        <v>453</v>
      </c>
      <c r="O4079" t="s">
        <v>111</v>
      </c>
      <c r="P4079" t="str">
        <f>"85381-3402"</f>
        <v>85381-3402</v>
      </c>
      <c r="Q4079" t="s">
        <v>113</v>
      </c>
      <c r="R4079" t="str">
        <f>"200-62-657"</f>
        <v>200-62-657</v>
      </c>
      <c r="S4079" t="s">
        <v>25949</v>
      </c>
      <c r="T4079" t="s">
        <v>15748</v>
      </c>
      <c r="U4079">
        <v>2663</v>
      </c>
      <c r="V4079">
        <v>0</v>
      </c>
      <c r="W4079">
        <v>3</v>
      </c>
      <c r="X4079">
        <v>1996</v>
      </c>
      <c r="Z4079">
        <v>1</v>
      </c>
      <c r="AB4079">
        <v>0</v>
      </c>
      <c r="AC4079" t="s">
        <v>115</v>
      </c>
      <c r="AD4079">
        <v>3</v>
      </c>
      <c r="AE4079" t="s">
        <v>115</v>
      </c>
      <c r="AF4079">
        <v>0</v>
      </c>
      <c r="AG4079">
        <v>0</v>
      </c>
      <c r="AH4079" t="s">
        <v>116</v>
      </c>
      <c r="AI4079" s="1">
        <v>59729</v>
      </c>
      <c r="AJ4079" s="2">
        <v>0.15</v>
      </c>
      <c r="AK4079" s="1">
        <v>406729</v>
      </c>
      <c r="AL4079" t="s">
        <v>117</v>
      </c>
      <c r="AM4079" t="s">
        <v>1302</v>
      </c>
      <c r="AN4079">
        <v>15150</v>
      </c>
      <c r="AO4079">
        <v>0.35</v>
      </c>
      <c r="AP4079">
        <v>1</v>
      </c>
      <c r="AR4079">
        <v>1</v>
      </c>
      <c r="AS4079" s="1">
        <v>29800</v>
      </c>
      <c r="AT4079" s="1">
        <v>5960</v>
      </c>
      <c r="AU4079" s="1">
        <v>23840</v>
      </c>
      <c r="AV4079">
        <v>80</v>
      </c>
      <c r="AX4079" s="1">
        <v>2880.98</v>
      </c>
      <c r="AY4079" t="s">
        <v>1799</v>
      </c>
      <c r="AZ4079" t="s">
        <v>1799</v>
      </c>
      <c r="BA4079" t="s">
        <v>1800</v>
      </c>
      <c r="BE4079" s="3">
        <v>42507</v>
      </c>
      <c r="BF4079" s="1">
        <v>350000</v>
      </c>
      <c r="BG4079" t="s">
        <v>25950</v>
      </c>
      <c r="BH4079" s="1">
        <v>131.43</v>
      </c>
      <c r="BI4079" s="1">
        <v>347000</v>
      </c>
      <c r="BJ4079" s="3">
        <v>42507</v>
      </c>
      <c r="BK4079" t="s">
        <v>123</v>
      </c>
      <c r="BL4079" t="str">
        <f>"2016.336508"</f>
        <v>2016.336508</v>
      </c>
      <c r="BM4079" t="s">
        <v>724</v>
      </c>
      <c r="BO4079" t="s">
        <v>25951</v>
      </c>
      <c r="BS4079">
        <v>30</v>
      </c>
      <c r="BW4079" t="str">
        <f>""</f>
        <v/>
      </c>
      <c r="CH4079" t="str">
        <f>""</f>
        <v/>
      </c>
      <c r="CS4079" t="str">
        <f>""</f>
        <v/>
      </c>
    </row>
    <row r="4080" spans="1:97" x14ac:dyDescent="0.25">
      <c r="A4080" t="s">
        <v>1526</v>
      </c>
      <c r="B4080" t="s">
        <v>18286</v>
      </c>
      <c r="C4080" t="s">
        <v>2731</v>
      </c>
      <c r="D4080" t="s">
        <v>18286</v>
      </c>
      <c r="E4080" t="s">
        <v>25952</v>
      </c>
      <c r="F4080" t="s">
        <v>108</v>
      </c>
      <c r="H4080" t="s">
        <v>25953</v>
      </c>
      <c r="I4080" t="s">
        <v>390</v>
      </c>
      <c r="J4080" t="s">
        <v>111</v>
      </c>
      <c r="K4080" t="str">
        <f>"85022"</f>
        <v>85022</v>
      </c>
      <c r="L4080" t="s">
        <v>6996</v>
      </c>
      <c r="M4080" t="s">
        <v>25953</v>
      </c>
      <c r="N4080" t="s">
        <v>390</v>
      </c>
      <c r="O4080" t="s">
        <v>111</v>
      </c>
      <c r="P4080" t="str">
        <f>"85022-4943"</f>
        <v>85022-4943</v>
      </c>
      <c r="Q4080" t="s">
        <v>113</v>
      </c>
      <c r="R4080" t="str">
        <f>"159-01-499"</f>
        <v>159-01-499</v>
      </c>
      <c r="S4080" t="s">
        <v>25954</v>
      </c>
      <c r="T4080" t="s">
        <v>25954</v>
      </c>
      <c r="U4080">
        <v>1674</v>
      </c>
      <c r="V4080">
        <v>0</v>
      </c>
      <c r="W4080">
        <v>3</v>
      </c>
      <c r="X4080">
        <v>1995</v>
      </c>
      <c r="Z4080">
        <v>1</v>
      </c>
      <c r="AA4080" t="s">
        <v>26</v>
      </c>
      <c r="AB4080">
        <v>0</v>
      </c>
      <c r="AC4080" t="s">
        <v>115</v>
      </c>
      <c r="AD4080">
        <v>2</v>
      </c>
      <c r="AE4080" t="s">
        <v>115</v>
      </c>
      <c r="AF4080">
        <v>0</v>
      </c>
      <c r="AG4080">
        <v>0</v>
      </c>
      <c r="AH4080" t="s">
        <v>116</v>
      </c>
      <c r="AI4080" s="1">
        <v>35608</v>
      </c>
      <c r="AJ4080" s="2">
        <v>0.09</v>
      </c>
      <c r="AK4080" s="1">
        <v>403224</v>
      </c>
      <c r="AL4080" t="s">
        <v>117</v>
      </c>
      <c r="AM4080" t="str">
        <f>"R1-10"</f>
        <v>R1-10</v>
      </c>
      <c r="AN4080">
        <v>5852</v>
      </c>
      <c r="AO4080">
        <v>0.13</v>
      </c>
      <c r="AP4080">
        <v>1</v>
      </c>
      <c r="AR4080">
        <v>1</v>
      </c>
      <c r="AS4080" s="1">
        <v>29900</v>
      </c>
      <c r="AT4080" s="1">
        <v>5980</v>
      </c>
      <c r="AU4080" s="1">
        <v>23920</v>
      </c>
      <c r="AV4080">
        <v>80</v>
      </c>
      <c r="AX4080" s="1">
        <v>2711</v>
      </c>
      <c r="AY4080" t="s">
        <v>5802</v>
      </c>
      <c r="AZ4080" t="s">
        <v>5489</v>
      </c>
      <c r="BA4080" t="s">
        <v>5232</v>
      </c>
      <c r="BE4080" s="3">
        <v>41991</v>
      </c>
      <c r="BF4080" s="1">
        <v>359000</v>
      </c>
      <c r="BG4080" t="s">
        <v>25955</v>
      </c>
      <c r="BH4080" s="1">
        <v>214.46</v>
      </c>
      <c r="BI4080" s="1">
        <v>367616</v>
      </c>
      <c r="BJ4080" s="3">
        <v>41991</v>
      </c>
      <c r="BK4080" t="s">
        <v>123</v>
      </c>
      <c r="BL4080" t="str">
        <f>"2014.832656"</f>
        <v>2014.832656</v>
      </c>
      <c r="BM4080" t="s">
        <v>1033</v>
      </c>
      <c r="BO4080" t="s">
        <v>25956</v>
      </c>
      <c r="BS4080">
        <v>30</v>
      </c>
      <c r="BW4080" t="str">
        <f>""</f>
        <v/>
      </c>
      <c r="CH4080" t="str">
        <f>""</f>
        <v/>
      </c>
      <c r="CS4080" t="str">
        <f>""</f>
        <v/>
      </c>
    </row>
    <row r="4081" spans="1:97" x14ac:dyDescent="0.25">
      <c r="A4081" t="s">
        <v>5947</v>
      </c>
      <c r="B4081" t="s">
        <v>11012</v>
      </c>
      <c r="E4081" t="s">
        <v>25957</v>
      </c>
      <c r="F4081" t="s">
        <v>108</v>
      </c>
      <c r="H4081" t="s">
        <v>25958</v>
      </c>
      <c r="I4081" t="s">
        <v>390</v>
      </c>
      <c r="J4081" t="s">
        <v>111</v>
      </c>
      <c r="K4081" t="str">
        <f>"85048"</f>
        <v>85048</v>
      </c>
      <c r="L4081" t="s">
        <v>5209</v>
      </c>
      <c r="M4081" t="s">
        <v>25958</v>
      </c>
      <c r="N4081" t="s">
        <v>390</v>
      </c>
      <c r="O4081" t="s">
        <v>111</v>
      </c>
      <c r="P4081" t="str">
        <f>"85048-8690"</f>
        <v>85048-8690</v>
      </c>
      <c r="Q4081" t="s">
        <v>113</v>
      </c>
      <c r="R4081" t="str">
        <f>"300-36-254"</f>
        <v>300-36-254</v>
      </c>
      <c r="S4081" t="s">
        <v>17975</v>
      </c>
      <c r="T4081" t="s">
        <v>17975</v>
      </c>
      <c r="U4081">
        <v>2613</v>
      </c>
      <c r="V4081">
        <v>0</v>
      </c>
      <c r="W4081">
        <v>4</v>
      </c>
      <c r="X4081">
        <v>1992</v>
      </c>
      <c r="Z4081">
        <v>2</v>
      </c>
      <c r="AB4081">
        <v>0</v>
      </c>
      <c r="AC4081" t="s">
        <v>115</v>
      </c>
      <c r="AD4081">
        <v>2</v>
      </c>
      <c r="AE4081" t="s">
        <v>115</v>
      </c>
      <c r="AF4081">
        <v>0</v>
      </c>
      <c r="AG4081">
        <v>0</v>
      </c>
      <c r="AH4081" t="s">
        <v>116</v>
      </c>
      <c r="AI4081" s="1">
        <v>46601</v>
      </c>
      <c r="AJ4081" s="2">
        <v>0.11</v>
      </c>
      <c r="AK4081" s="1">
        <v>426501</v>
      </c>
      <c r="AL4081" t="s">
        <v>117</v>
      </c>
      <c r="AM4081" t="s">
        <v>1315</v>
      </c>
      <c r="AN4081">
        <v>4574</v>
      </c>
      <c r="AO4081">
        <v>0.1</v>
      </c>
      <c r="AP4081">
        <v>1</v>
      </c>
      <c r="AR4081">
        <v>1</v>
      </c>
      <c r="AS4081" s="1">
        <v>29770</v>
      </c>
      <c r="AT4081" s="1">
        <v>5950</v>
      </c>
      <c r="AU4081" s="1">
        <v>23820</v>
      </c>
      <c r="AV4081">
        <v>80.010000000000005</v>
      </c>
      <c r="AX4081" s="1">
        <v>3117.56</v>
      </c>
      <c r="AY4081" t="s">
        <v>2966</v>
      </c>
      <c r="AZ4081" t="s">
        <v>2967</v>
      </c>
      <c r="BA4081" t="s">
        <v>930</v>
      </c>
      <c r="BE4081" s="3">
        <v>42507</v>
      </c>
      <c r="BF4081" s="1">
        <v>379900</v>
      </c>
      <c r="BG4081" t="s">
        <v>25959</v>
      </c>
      <c r="BH4081" s="1">
        <v>145.38999999999999</v>
      </c>
      <c r="BI4081" s="1">
        <v>379900</v>
      </c>
      <c r="BJ4081" s="3">
        <v>42507</v>
      </c>
      <c r="BK4081" t="s">
        <v>123</v>
      </c>
      <c r="BL4081" t="str">
        <f>"2016.338605"</f>
        <v>2016.338605</v>
      </c>
      <c r="BM4081" t="s">
        <v>8916</v>
      </c>
      <c r="BN4081" t="s">
        <v>8917</v>
      </c>
      <c r="BO4081" t="s">
        <v>25960</v>
      </c>
      <c r="BS4081">
        <v>30</v>
      </c>
      <c r="BW4081" t="str">
        <f>""</f>
        <v/>
      </c>
      <c r="CH4081" t="str">
        <f>""</f>
        <v/>
      </c>
      <c r="CS4081" t="str">
        <f>""</f>
        <v/>
      </c>
    </row>
    <row r="4082" spans="1:97" x14ac:dyDescent="0.25">
      <c r="A4082" t="s">
        <v>13060</v>
      </c>
      <c r="B4082" t="s">
        <v>25961</v>
      </c>
      <c r="C4082" t="s">
        <v>25962</v>
      </c>
      <c r="D4082" t="s">
        <v>25961</v>
      </c>
      <c r="E4082" t="s">
        <v>25963</v>
      </c>
      <c r="F4082" t="s">
        <v>108</v>
      </c>
      <c r="H4082" t="s">
        <v>25964</v>
      </c>
      <c r="I4082" t="s">
        <v>5114</v>
      </c>
      <c r="J4082" t="s">
        <v>111</v>
      </c>
      <c r="K4082" t="str">
        <f>"85392"</f>
        <v>85392</v>
      </c>
      <c r="L4082" t="s">
        <v>625</v>
      </c>
      <c r="M4082" t="s">
        <v>25964</v>
      </c>
      <c r="N4082" t="s">
        <v>5114</v>
      </c>
      <c r="O4082" t="s">
        <v>111</v>
      </c>
      <c r="P4082" t="str">
        <f>"85392-3549"</f>
        <v>85392-3549</v>
      </c>
      <c r="Q4082" t="s">
        <v>113</v>
      </c>
      <c r="R4082" t="str">
        <f>"508-02-677"</f>
        <v>508-02-677</v>
      </c>
      <c r="S4082" t="s">
        <v>13093</v>
      </c>
      <c r="T4082" t="s">
        <v>13093</v>
      </c>
      <c r="U4082">
        <v>3626</v>
      </c>
      <c r="V4082">
        <v>0</v>
      </c>
      <c r="W4082">
        <v>4</v>
      </c>
      <c r="X4082">
        <v>2007</v>
      </c>
      <c r="Z4082">
        <v>2</v>
      </c>
      <c r="AB4082">
        <v>0</v>
      </c>
      <c r="AC4082" t="s">
        <v>115</v>
      </c>
      <c r="AD4082">
        <v>3</v>
      </c>
      <c r="AE4082" t="s">
        <v>115</v>
      </c>
      <c r="AF4082">
        <v>0</v>
      </c>
      <c r="AG4082">
        <v>0</v>
      </c>
      <c r="AH4082" t="s">
        <v>116</v>
      </c>
      <c r="AI4082" s="1">
        <v>177066</v>
      </c>
      <c r="AJ4082" s="2">
        <v>0.42</v>
      </c>
      <c r="AK4082" s="1">
        <v>420566</v>
      </c>
      <c r="AL4082" t="s">
        <v>117</v>
      </c>
      <c r="AM4082" t="s">
        <v>118</v>
      </c>
      <c r="AN4082">
        <v>8750</v>
      </c>
      <c r="AO4082">
        <v>0.2</v>
      </c>
      <c r="AP4082">
        <v>1</v>
      </c>
      <c r="AR4082">
        <v>1</v>
      </c>
      <c r="AS4082" s="1">
        <v>29050</v>
      </c>
      <c r="AT4082" s="1">
        <v>5810</v>
      </c>
      <c r="AU4082" s="1">
        <v>23240</v>
      </c>
      <c r="AV4082">
        <v>80</v>
      </c>
      <c r="AX4082" s="1">
        <v>2902.74</v>
      </c>
      <c r="AY4082" t="s">
        <v>11553</v>
      </c>
      <c r="AZ4082" t="s">
        <v>11553</v>
      </c>
      <c r="BA4082" t="s">
        <v>3154</v>
      </c>
      <c r="BE4082" s="3">
        <v>41964</v>
      </c>
      <c r="BF4082" s="1">
        <v>345000</v>
      </c>
      <c r="BG4082" t="s">
        <v>25965</v>
      </c>
      <c r="BH4082" s="1">
        <v>95.15</v>
      </c>
      <c r="BI4082" s="1">
        <v>243500</v>
      </c>
      <c r="BJ4082" s="3">
        <v>42895</v>
      </c>
      <c r="BK4082" t="s">
        <v>123</v>
      </c>
      <c r="BL4082" t="str">
        <f>"2017.420329"</f>
        <v>2017.420329</v>
      </c>
      <c r="BM4082" t="s">
        <v>25966</v>
      </c>
      <c r="BO4082" t="s">
        <v>25967</v>
      </c>
      <c r="BS4082">
        <v>15</v>
      </c>
      <c r="BW4082" t="str">
        <f>""</f>
        <v/>
      </c>
      <c r="CH4082" t="str">
        <f>""</f>
        <v/>
      </c>
      <c r="CS4082" t="str">
        <f>""</f>
        <v/>
      </c>
    </row>
    <row r="4083" spans="1:97" x14ac:dyDescent="0.25">
      <c r="A4083" t="s">
        <v>305</v>
      </c>
      <c r="B4083" t="s">
        <v>25968</v>
      </c>
      <c r="C4083" t="s">
        <v>364</v>
      </c>
      <c r="D4083" t="s">
        <v>25968</v>
      </c>
      <c r="E4083" t="s">
        <v>25969</v>
      </c>
      <c r="F4083" t="s">
        <v>108</v>
      </c>
      <c r="H4083" t="s">
        <v>25970</v>
      </c>
      <c r="I4083" t="s">
        <v>453</v>
      </c>
      <c r="J4083" t="s">
        <v>111</v>
      </c>
      <c r="K4083" t="str">
        <f>"85383"</f>
        <v>85383</v>
      </c>
      <c r="L4083" t="s">
        <v>1383</v>
      </c>
      <c r="M4083" t="s">
        <v>25970</v>
      </c>
      <c r="N4083" t="s">
        <v>453</v>
      </c>
      <c r="O4083" t="s">
        <v>111</v>
      </c>
      <c r="P4083" t="str">
        <f>"85383-6281"</f>
        <v>85383-6281</v>
      </c>
      <c r="Q4083" t="s">
        <v>113</v>
      </c>
      <c r="R4083" t="str">
        <f>"201-20-520"</f>
        <v>201-20-520</v>
      </c>
      <c r="S4083" t="s">
        <v>8847</v>
      </c>
      <c r="T4083" t="s">
        <v>8847</v>
      </c>
      <c r="U4083">
        <v>2236</v>
      </c>
      <c r="V4083">
        <v>0</v>
      </c>
      <c r="W4083">
        <v>3</v>
      </c>
      <c r="X4083">
        <v>2013</v>
      </c>
      <c r="Z4083">
        <v>1</v>
      </c>
      <c r="AB4083">
        <v>0</v>
      </c>
      <c r="AC4083" t="s">
        <v>115</v>
      </c>
      <c r="AD4083">
        <v>3</v>
      </c>
      <c r="AE4083" t="s">
        <v>115</v>
      </c>
      <c r="AF4083">
        <v>0</v>
      </c>
      <c r="AG4083">
        <v>0</v>
      </c>
      <c r="AH4083" t="s">
        <v>116</v>
      </c>
      <c r="AI4083" s="1">
        <v>50721</v>
      </c>
      <c r="AJ4083" s="2">
        <v>0.13</v>
      </c>
      <c r="AK4083" s="1">
        <v>392923</v>
      </c>
      <c r="AL4083" t="s">
        <v>117</v>
      </c>
      <c r="AM4083" t="s">
        <v>118</v>
      </c>
      <c r="AN4083">
        <v>8250</v>
      </c>
      <c r="AO4083">
        <v>0.19</v>
      </c>
      <c r="AR4083">
        <v>1</v>
      </c>
      <c r="AS4083" s="1">
        <v>29380</v>
      </c>
      <c r="AT4083" s="1">
        <v>5870</v>
      </c>
      <c r="AU4083" s="1">
        <v>23510</v>
      </c>
      <c r="AV4083">
        <v>80.02</v>
      </c>
      <c r="AX4083" s="1">
        <v>2936.4</v>
      </c>
      <c r="AY4083" t="s">
        <v>1385</v>
      </c>
      <c r="AZ4083" t="s">
        <v>1385</v>
      </c>
      <c r="BA4083" t="s">
        <v>1386</v>
      </c>
      <c r="BE4083" s="3">
        <v>41863</v>
      </c>
      <c r="BF4083" s="1">
        <v>335000</v>
      </c>
      <c r="BG4083" t="s">
        <v>25971</v>
      </c>
      <c r="BH4083" s="1">
        <v>149.82</v>
      </c>
      <c r="BI4083" s="1">
        <v>342202</v>
      </c>
      <c r="BJ4083" s="3">
        <v>41863</v>
      </c>
      <c r="BK4083" t="s">
        <v>123</v>
      </c>
      <c r="BL4083" t="str">
        <f>"2014.530719"</f>
        <v>2014.530719</v>
      </c>
      <c r="BM4083" t="s">
        <v>1214</v>
      </c>
      <c r="BO4083" t="s">
        <v>25972</v>
      </c>
      <c r="BS4083">
        <v>30</v>
      </c>
      <c r="BW4083" t="str">
        <f>""</f>
        <v/>
      </c>
      <c r="CH4083" t="str">
        <f>""</f>
        <v/>
      </c>
      <c r="CS4083" t="str">
        <f>""</f>
        <v/>
      </c>
    </row>
    <row r="4084" spans="1:97" x14ac:dyDescent="0.25">
      <c r="A4084" t="s">
        <v>25973</v>
      </c>
      <c r="B4084" t="s">
        <v>364</v>
      </c>
      <c r="C4084" t="s">
        <v>7856</v>
      </c>
      <c r="D4084" t="s">
        <v>364</v>
      </c>
      <c r="E4084" t="s">
        <v>25974</v>
      </c>
      <c r="F4084" t="s">
        <v>108</v>
      </c>
      <c r="H4084" t="s">
        <v>25975</v>
      </c>
      <c r="I4084" t="s">
        <v>203</v>
      </c>
      <c r="J4084" t="s">
        <v>111</v>
      </c>
      <c r="K4084" t="str">
        <f>"85298"</f>
        <v>85298</v>
      </c>
      <c r="L4084" t="s">
        <v>2211</v>
      </c>
      <c r="M4084" t="s">
        <v>25975</v>
      </c>
      <c r="N4084" t="s">
        <v>203</v>
      </c>
      <c r="O4084" t="s">
        <v>111</v>
      </c>
      <c r="P4084" t="str">
        <f>"85298-2341"</f>
        <v>85298-2341</v>
      </c>
      <c r="Q4084" t="s">
        <v>113</v>
      </c>
      <c r="R4084" t="str">
        <f>"304-81-838"</f>
        <v>304-81-838</v>
      </c>
      <c r="S4084" t="s">
        <v>7566</v>
      </c>
      <c r="T4084" t="s">
        <v>2213</v>
      </c>
      <c r="U4084">
        <v>2866</v>
      </c>
      <c r="V4084">
        <v>0</v>
      </c>
      <c r="W4084">
        <v>4</v>
      </c>
      <c r="X4084">
        <v>2012</v>
      </c>
      <c r="Z4084">
        <v>1</v>
      </c>
      <c r="AA4084" t="s">
        <v>26</v>
      </c>
      <c r="AB4084">
        <v>0</v>
      </c>
      <c r="AC4084" t="s">
        <v>115</v>
      </c>
      <c r="AD4084">
        <v>3</v>
      </c>
      <c r="AE4084" t="s">
        <v>115</v>
      </c>
      <c r="AF4084">
        <v>0</v>
      </c>
      <c r="AG4084">
        <v>0</v>
      </c>
      <c r="AH4084" t="s">
        <v>116</v>
      </c>
      <c r="AI4084" s="1">
        <v>44102</v>
      </c>
      <c r="AJ4084" s="2">
        <v>0.09</v>
      </c>
      <c r="AK4084" s="1">
        <v>478526</v>
      </c>
      <c r="AL4084" t="s">
        <v>117</v>
      </c>
      <c r="AM4084" t="s">
        <v>393</v>
      </c>
      <c r="AN4084">
        <v>8462</v>
      </c>
      <c r="AO4084">
        <v>0.19</v>
      </c>
      <c r="AR4084">
        <v>1</v>
      </c>
      <c r="AS4084" s="1">
        <v>35560</v>
      </c>
      <c r="AT4084" s="1">
        <v>7110</v>
      </c>
      <c r="AU4084" s="1">
        <v>28450</v>
      </c>
      <c r="AV4084">
        <v>80.010000000000005</v>
      </c>
      <c r="AX4084" s="1">
        <v>3093.92</v>
      </c>
      <c r="AY4084" t="s">
        <v>2214</v>
      </c>
      <c r="AZ4084" t="s">
        <v>1134</v>
      </c>
      <c r="BA4084" t="s">
        <v>1134</v>
      </c>
      <c r="BE4084" s="3">
        <v>41845</v>
      </c>
      <c r="BF4084" s="1">
        <v>374825</v>
      </c>
      <c r="BG4084" t="s">
        <v>474</v>
      </c>
      <c r="BH4084" s="1">
        <v>130.78</v>
      </c>
      <c r="BI4084" s="1">
        <v>385424</v>
      </c>
      <c r="BJ4084" s="3">
        <v>41845</v>
      </c>
      <c r="BK4084" t="s">
        <v>123</v>
      </c>
      <c r="BL4084" t="str">
        <f>"2014.488045"</f>
        <v>2014.488045</v>
      </c>
      <c r="BM4084" t="s">
        <v>724</v>
      </c>
      <c r="BN4084" t="s">
        <v>5737</v>
      </c>
      <c r="BO4084" t="s">
        <v>25976</v>
      </c>
      <c r="BS4084">
        <v>30</v>
      </c>
      <c r="BT4084" s="1">
        <v>49000</v>
      </c>
      <c r="BU4084" s="3">
        <v>43151</v>
      </c>
      <c r="BV4084" t="s">
        <v>134</v>
      </c>
      <c r="BW4084" t="str">
        <f>"2018.124372"</f>
        <v>2018.124372</v>
      </c>
      <c r="BX4084" t="s">
        <v>198</v>
      </c>
      <c r="BY4084" t="s">
        <v>655</v>
      </c>
      <c r="BZ4084" t="s">
        <v>25977</v>
      </c>
      <c r="CA4084" t="s">
        <v>25978</v>
      </c>
      <c r="CC4084" t="s">
        <v>139</v>
      </c>
      <c r="CH4084" t="str">
        <f>""</f>
        <v/>
      </c>
      <c r="CS4084" t="str">
        <f>""</f>
        <v/>
      </c>
    </row>
    <row r="4085" spans="1:97" x14ac:dyDescent="0.25">
      <c r="A4085" t="s">
        <v>2045</v>
      </c>
      <c r="B4085" t="s">
        <v>25979</v>
      </c>
      <c r="C4085" t="s">
        <v>25980</v>
      </c>
      <c r="D4085" t="s">
        <v>25979</v>
      </c>
      <c r="E4085" t="s">
        <v>25981</v>
      </c>
      <c r="F4085" t="s">
        <v>108</v>
      </c>
      <c r="H4085" t="s">
        <v>25982</v>
      </c>
      <c r="I4085" t="s">
        <v>203</v>
      </c>
      <c r="J4085" t="s">
        <v>111</v>
      </c>
      <c r="K4085" t="str">
        <f>"85296"</f>
        <v>85296</v>
      </c>
      <c r="L4085" t="s">
        <v>4467</v>
      </c>
      <c r="M4085" t="s">
        <v>25982</v>
      </c>
      <c r="N4085" t="s">
        <v>203</v>
      </c>
      <c r="O4085" t="s">
        <v>111</v>
      </c>
      <c r="P4085" t="str">
        <f>"85296-7817"</f>
        <v>85296-7817</v>
      </c>
      <c r="Q4085" t="s">
        <v>113</v>
      </c>
      <c r="R4085" t="str">
        <f>"304-28-529-A"</f>
        <v>304-28-529-A</v>
      </c>
      <c r="S4085" t="s">
        <v>25983</v>
      </c>
      <c r="U4085">
        <v>3688</v>
      </c>
      <c r="V4085">
        <v>0</v>
      </c>
      <c r="W4085">
        <v>4</v>
      </c>
      <c r="X4085">
        <v>2005</v>
      </c>
      <c r="Z4085">
        <v>2</v>
      </c>
      <c r="AB4085">
        <v>0</v>
      </c>
      <c r="AC4085" t="s">
        <v>115</v>
      </c>
      <c r="AD4085">
        <v>2</v>
      </c>
      <c r="AE4085" t="s">
        <v>115</v>
      </c>
      <c r="AF4085">
        <v>0</v>
      </c>
      <c r="AG4085">
        <v>0</v>
      </c>
      <c r="AH4085" t="s">
        <v>116</v>
      </c>
      <c r="AI4085" s="1">
        <v>102978</v>
      </c>
      <c r="AJ4085" s="2">
        <v>0.19</v>
      </c>
      <c r="AK4085" s="1">
        <v>537228</v>
      </c>
      <c r="AL4085" t="s">
        <v>117</v>
      </c>
      <c r="AM4085" t="s">
        <v>393</v>
      </c>
      <c r="AN4085">
        <v>10944</v>
      </c>
      <c r="AO4085">
        <v>0.25</v>
      </c>
      <c r="AP4085">
        <v>1</v>
      </c>
      <c r="AR4085">
        <v>1</v>
      </c>
      <c r="AS4085" s="1">
        <v>39520</v>
      </c>
      <c r="AT4085" s="1">
        <v>7900</v>
      </c>
      <c r="AU4085" s="1">
        <v>31620</v>
      </c>
      <c r="AV4085">
        <v>80.010000000000005</v>
      </c>
      <c r="AX4085" s="1">
        <v>3049.46</v>
      </c>
      <c r="AY4085" t="s">
        <v>5094</v>
      </c>
      <c r="AZ4085" t="s">
        <v>5094</v>
      </c>
      <c r="BA4085" t="s">
        <v>473</v>
      </c>
      <c r="BE4085" s="3">
        <v>42354</v>
      </c>
      <c r="BF4085" s="1">
        <v>440000</v>
      </c>
      <c r="BG4085" t="s">
        <v>25984</v>
      </c>
      <c r="BH4085" s="1">
        <v>119.31</v>
      </c>
      <c r="BI4085" s="1">
        <v>434250</v>
      </c>
      <c r="BJ4085" s="3">
        <v>42354</v>
      </c>
      <c r="BK4085" t="s">
        <v>123</v>
      </c>
      <c r="BL4085" t="str">
        <f>"2015.886801"</f>
        <v>2015.886801</v>
      </c>
      <c r="BM4085" t="s">
        <v>724</v>
      </c>
      <c r="BO4085" t="s">
        <v>25985</v>
      </c>
      <c r="BS4085">
        <v>30</v>
      </c>
      <c r="BW4085" t="str">
        <f>""</f>
        <v/>
      </c>
      <c r="CH4085" t="str">
        <f>""</f>
        <v/>
      </c>
      <c r="CS4085" t="str">
        <f>""</f>
        <v/>
      </c>
    </row>
    <row r="4086" spans="1:97" x14ac:dyDescent="0.25">
      <c r="A4086" t="s">
        <v>104</v>
      </c>
      <c r="B4086" t="s">
        <v>17443</v>
      </c>
      <c r="C4086" t="s">
        <v>8500</v>
      </c>
      <c r="D4086" t="s">
        <v>17443</v>
      </c>
      <c r="E4086" t="s">
        <v>25986</v>
      </c>
      <c r="F4086" t="s">
        <v>108</v>
      </c>
      <c r="H4086" t="s">
        <v>25987</v>
      </c>
      <c r="I4086" t="s">
        <v>144</v>
      </c>
      <c r="J4086" t="s">
        <v>111</v>
      </c>
      <c r="K4086" t="str">
        <f>"85396"</f>
        <v>85396</v>
      </c>
      <c r="L4086" t="s">
        <v>6667</v>
      </c>
      <c r="M4086" t="s">
        <v>25987</v>
      </c>
      <c r="N4086" t="s">
        <v>144</v>
      </c>
      <c r="O4086" t="s">
        <v>111</v>
      </c>
      <c r="P4086" t="str">
        <f>"85396-1514"</f>
        <v>85396-1514</v>
      </c>
      <c r="Q4086" t="s">
        <v>113</v>
      </c>
      <c r="R4086" t="str">
        <f>"502-80-420"</f>
        <v>502-80-420</v>
      </c>
      <c r="S4086" t="s">
        <v>25988</v>
      </c>
      <c r="U4086">
        <v>2230</v>
      </c>
      <c r="V4086">
        <v>0</v>
      </c>
      <c r="W4086">
        <v>3</v>
      </c>
      <c r="X4086">
        <v>2010</v>
      </c>
      <c r="Z4086">
        <v>1</v>
      </c>
      <c r="AA4086" t="s">
        <v>26</v>
      </c>
      <c r="AB4086">
        <v>0</v>
      </c>
      <c r="AC4086" t="s">
        <v>115</v>
      </c>
      <c r="AD4086">
        <v>3</v>
      </c>
      <c r="AE4086" t="s">
        <v>115</v>
      </c>
      <c r="AF4086">
        <v>0</v>
      </c>
      <c r="AG4086">
        <v>0</v>
      </c>
      <c r="AH4086" t="s">
        <v>116</v>
      </c>
      <c r="AI4086" s="1">
        <v>95616</v>
      </c>
      <c r="AJ4086" s="2">
        <v>0.23</v>
      </c>
      <c r="AK4086" s="1">
        <v>423517</v>
      </c>
      <c r="AL4086" t="s">
        <v>117</v>
      </c>
      <c r="AM4086" t="s">
        <v>118</v>
      </c>
      <c r="AN4086">
        <v>13875</v>
      </c>
      <c r="AO4086">
        <v>0.32</v>
      </c>
      <c r="AR4086">
        <v>1</v>
      </c>
      <c r="AS4086" s="1">
        <v>31950</v>
      </c>
      <c r="AT4086" s="1">
        <v>6390</v>
      </c>
      <c r="AU4086" s="1">
        <v>25560</v>
      </c>
      <c r="AV4086">
        <v>80</v>
      </c>
      <c r="AX4086" s="1">
        <v>4795.68</v>
      </c>
      <c r="AY4086" t="s">
        <v>217</v>
      </c>
      <c r="AZ4086" t="s">
        <v>217</v>
      </c>
      <c r="BA4086" t="s">
        <v>218</v>
      </c>
      <c r="BE4086" s="3">
        <v>41746</v>
      </c>
      <c r="BF4086" s="1">
        <v>321000</v>
      </c>
      <c r="BG4086" t="s">
        <v>25989</v>
      </c>
      <c r="BH4086" s="1">
        <v>143.94999999999999</v>
      </c>
      <c r="BI4086" s="1">
        <v>327901</v>
      </c>
      <c r="BJ4086" s="3">
        <v>41746</v>
      </c>
      <c r="BK4086" t="s">
        <v>123</v>
      </c>
      <c r="BL4086" t="str">
        <f>"2014.248500"</f>
        <v>2014.248500</v>
      </c>
      <c r="BM4086" t="s">
        <v>724</v>
      </c>
      <c r="BO4086" t="s">
        <v>25990</v>
      </c>
      <c r="BS4086">
        <v>30</v>
      </c>
      <c r="BW4086" t="str">
        <f>""</f>
        <v/>
      </c>
      <c r="CH4086" t="str">
        <f>""</f>
        <v/>
      </c>
      <c r="CS4086" t="str">
        <f>""</f>
        <v/>
      </c>
    </row>
    <row r="4087" spans="1:97" x14ac:dyDescent="0.25">
      <c r="A4087" t="s">
        <v>305</v>
      </c>
      <c r="B4087" t="s">
        <v>25991</v>
      </c>
      <c r="E4087" t="s">
        <v>25992</v>
      </c>
      <c r="F4087" t="s">
        <v>108</v>
      </c>
      <c r="H4087" t="s">
        <v>25993</v>
      </c>
      <c r="I4087" t="s">
        <v>188</v>
      </c>
      <c r="J4087" t="s">
        <v>111</v>
      </c>
      <c r="K4087" t="str">
        <f>"85142"</f>
        <v>85142</v>
      </c>
      <c r="L4087" t="s">
        <v>189</v>
      </c>
      <c r="M4087" t="s">
        <v>25993</v>
      </c>
      <c r="N4087" t="s">
        <v>188</v>
      </c>
      <c r="O4087" t="s">
        <v>111</v>
      </c>
      <c r="P4087" t="str">
        <f>"85142-8606"</f>
        <v>85142-8606</v>
      </c>
      <c r="Q4087" t="s">
        <v>113</v>
      </c>
      <c r="R4087" t="str">
        <f>"314-02-290"</f>
        <v>314-02-290</v>
      </c>
      <c r="S4087" t="s">
        <v>18948</v>
      </c>
      <c r="U4087">
        <v>1514</v>
      </c>
      <c r="V4087">
        <v>0</v>
      </c>
      <c r="W4087">
        <v>3</v>
      </c>
      <c r="X4087">
        <v>2005</v>
      </c>
      <c r="Z4087">
        <v>1</v>
      </c>
      <c r="AA4087" t="s">
        <v>26</v>
      </c>
      <c r="AB4087">
        <v>0</v>
      </c>
      <c r="AC4087" t="s">
        <v>115</v>
      </c>
      <c r="AD4087">
        <v>2</v>
      </c>
      <c r="AE4087" t="s">
        <v>115</v>
      </c>
      <c r="AF4087">
        <v>0</v>
      </c>
      <c r="AG4087">
        <v>0</v>
      </c>
      <c r="AH4087" t="s">
        <v>116</v>
      </c>
      <c r="AI4087" s="1">
        <v>92064</v>
      </c>
      <c r="AJ4087" s="2">
        <v>0.31</v>
      </c>
      <c r="AK4087" s="1">
        <v>298664</v>
      </c>
      <c r="AL4087" t="s">
        <v>117</v>
      </c>
      <c r="AM4087" t="s">
        <v>191</v>
      </c>
      <c r="AN4087">
        <v>7253</v>
      </c>
      <c r="AO4087">
        <v>0.17</v>
      </c>
      <c r="AR4087">
        <v>1</v>
      </c>
      <c r="AS4087" s="1">
        <v>19770</v>
      </c>
      <c r="AT4087" s="1">
        <v>3950</v>
      </c>
      <c r="AU4087" s="1">
        <v>15820</v>
      </c>
      <c r="AV4087">
        <v>80.02</v>
      </c>
      <c r="AX4087" s="1">
        <v>1541.46</v>
      </c>
      <c r="AY4087" t="s">
        <v>192</v>
      </c>
      <c r="AZ4087" t="s">
        <v>193</v>
      </c>
      <c r="BA4087" t="s">
        <v>194</v>
      </c>
      <c r="BE4087" s="3">
        <v>42202</v>
      </c>
      <c r="BF4087" s="1">
        <v>225000</v>
      </c>
      <c r="BG4087" t="s">
        <v>25994</v>
      </c>
      <c r="BH4087" s="1">
        <v>148.61000000000001</v>
      </c>
      <c r="BI4087" s="1">
        <v>206600</v>
      </c>
      <c r="BJ4087" s="3">
        <v>42965</v>
      </c>
      <c r="BK4087" t="s">
        <v>123</v>
      </c>
      <c r="BL4087" t="str">
        <f>"2017.609823"</f>
        <v>2017.609823</v>
      </c>
      <c r="BM4087" t="s">
        <v>12472</v>
      </c>
      <c r="BO4087" t="s">
        <v>25995</v>
      </c>
      <c r="BS4087">
        <v>30</v>
      </c>
      <c r="BW4087" t="str">
        <f>""</f>
        <v/>
      </c>
      <c r="CH4087" t="str">
        <f>""</f>
        <v/>
      </c>
      <c r="CS4087" t="str">
        <f>""</f>
        <v/>
      </c>
    </row>
    <row r="4088" spans="1:97" x14ac:dyDescent="0.25">
      <c r="A4088" t="s">
        <v>938</v>
      </c>
      <c r="B4088" t="s">
        <v>25996</v>
      </c>
      <c r="E4088" t="s">
        <v>25997</v>
      </c>
      <c r="F4088" t="s">
        <v>108</v>
      </c>
      <c r="H4088" t="s">
        <v>25998</v>
      </c>
      <c r="I4088" t="s">
        <v>110</v>
      </c>
      <c r="J4088" t="s">
        <v>111</v>
      </c>
      <c r="K4088" t="str">
        <f>"85249"</f>
        <v>85249</v>
      </c>
      <c r="L4088" t="s">
        <v>3696</v>
      </c>
      <c r="M4088" t="s">
        <v>25998</v>
      </c>
      <c r="N4088" t="s">
        <v>110</v>
      </c>
      <c r="O4088" t="s">
        <v>111</v>
      </c>
      <c r="P4088" t="str">
        <f>"85249-3922"</f>
        <v>85249-3922</v>
      </c>
      <c r="Q4088" t="s">
        <v>113</v>
      </c>
      <c r="R4088" t="str">
        <f>"304-83-070"</f>
        <v>304-83-070</v>
      </c>
      <c r="S4088" t="s">
        <v>20394</v>
      </c>
      <c r="T4088" t="s">
        <v>18164</v>
      </c>
      <c r="U4088">
        <v>1525</v>
      </c>
      <c r="V4088">
        <v>0</v>
      </c>
      <c r="W4088">
        <v>3</v>
      </c>
      <c r="X4088">
        <v>2002</v>
      </c>
      <c r="Z4088">
        <v>1</v>
      </c>
      <c r="AA4088" t="s">
        <v>26</v>
      </c>
      <c r="AB4088">
        <v>0</v>
      </c>
      <c r="AC4088" t="s">
        <v>115</v>
      </c>
      <c r="AD4088">
        <v>2</v>
      </c>
      <c r="AE4088" t="s">
        <v>115</v>
      </c>
      <c r="AF4088">
        <v>0</v>
      </c>
      <c r="AG4088">
        <v>0</v>
      </c>
      <c r="AH4088" t="s">
        <v>116</v>
      </c>
      <c r="AI4088" s="1">
        <v>50844</v>
      </c>
      <c r="AJ4088" s="2">
        <v>0.17</v>
      </c>
      <c r="AK4088" s="1">
        <v>296004</v>
      </c>
      <c r="AL4088" t="s">
        <v>117</v>
      </c>
      <c r="AM4088" t="s">
        <v>118</v>
      </c>
      <c r="AN4088">
        <v>7527</v>
      </c>
      <c r="AO4088">
        <v>0.17</v>
      </c>
      <c r="AP4088">
        <v>1</v>
      </c>
      <c r="AR4088">
        <v>1</v>
      </c>
      <c r="AS4088" s="1">
        <v>20550</v>
      </c>
      <c r="AT4088" s="1">
        <v>4110</v>
      </c>
      <c r="AU4088" s="1">
        <v>16440</v>
      </c>
      <c r="AV4088">
        <v>80</v>
      </c>
      <c r="AX4088" s="1">
        <v>1577.36</v>
      </c>
      <c r="AY4088" t="s">
        <v>6269</v>
      </c>
      <c r="AZ4088" t="s">
        <v>273</v>
      </c>
      <c r="BA4088" t="s">
        <v>274</v>
      </c>
      <c r="BE4088" s="3">
        <v>42128</v>
      </c>
      <c r="BF4088" s="1">
        <v>240000</v>
      </c>
      <c r="BG4088" t="s">
        <v>25999</v>
      </c>
      <c r="BH4088" s="1">
        <v>157.38</v>
      </c>
      <c r="BI4088" s="1">
        <v>245160</v>
      </c>
      <c r="BJ4088" s="3">
        <v>42128</v>
      </c>
      <c r="BK4088" t="s">
        <v>123</v>
      </c>
      <c r="BL4088" t="str">
        <f>"2015.313618"</f>
        <v>2015.313618</v>
      </c>
      <c r="BM4088" t="s">
        <v>8916</v>
      </c>
      <c r="BO4088" t="s">
        <v>26000</v>
      </c>
      <c r="BS4088">
        <v>30</v>
      </c>
      <c r="BW4088" t="str">
        <f>""</f>
        <v/>
      </c>
      <c r="CH4088" t="str">
        <f>""</f>
        <v/>
      </c>
      <c r="CS4088" t="str">
        <f>""</f>
        <v/>
      </c>
    </row>
    <row r="4089" spans="1:97" x14ac:dyDescent="0.25">
      <c r="A4089" t="s">
        <v>1672</v>
      </c>
      <c r="B4089" t="s">
        <v>26001</v>
      </c>
      <c r="C4089" t="s">
        <v>484</v>
      </c>
      <c r="D4089" t="s">
        <v>26001</v>
      </c>
      <c r="E4089" t="s">
        <v>26002</v>
      </c>
      <c r="F4089" t="s">
        <v>108</v>
      </c>
      <c r="H4089" t="s">
        <v>26003</v>
      </c>
      <c r="I4089" t="s">
        <v>453</v>
      </c>
      <c r="J4089" t="s">
        <v>111</v>
      </c>
      <c r="K4089" t="str">
        <f>"85383"</f>
        <v>85383</v>
      </c>
      <c r="L4089" t="s">
        <v>7607</v>
      </c>
      <c r="M4089" t="s">
        <v>26003</v>
      </c>
      <c r="N4089" t="s">
        <v>453</v>
      </c>
      <c r="O4089" t="s">
        <v>111</v>
      </c>
      <c r="P4089" t="str">
        <f>"85383-7017"</f>
        <v>85383-7017</v>
      </c>
      <c r="Q4089" t="s">
        <v>113</v>
      </c>
      <c r="R4089" t="str">
        <f>"201-09-073"</f>
        <v>201-09-073</v>
      </c>
      <c r="S4089" t="s">
        <v>18013</v>
      </c>
      <c r="T4089" t="s">
        <v>2222</v>
      </c>
      <c r="U4089">
        <v>2384</v>
      </c>
      <c r="V4089">
        <v>0</v>
      </c>
      <c r="W4089">
        <v>3</v>
      </c>
      <c r="X4089">
        <v>1999</v>
      </c>
      <c r="Z4089">
        <v>1</v>
      </c>
      <c r="AA4089" t="s">
        <v>26</v>
      </c>
      <c r="AB4089">
        <v>0</v>
      </c>
      <c r="AC4089" t="s">
        <v>115</v>
      </c>
      <c r="AD4089">
        <v>3</v>
      </c>
      <c r="AE4089" t="s">
        <v>115</v>
      </c>
      <c r="AF4089">
        <v>0</v>
      </c>
      <c r="AG4089">
        <v>0</v>
      </c>
      <c r="AH4089" t="s">
        <v>116</v>
      </c>
      <c r="AI4089" s="1">
        <v>59367</v>
      </c>
      <c r="AJ4089" s="2">
        <v>0.16</v>
      </c>
      <c r="AK4089" s="1">
        <v>371333</v>
      </c>
      <c r="AL4089" t="s">
        <v>117</v>
      </c>
      <c r="AM4089" t="s">
        <v>191</v>
      </c>
      <c r="AN4089">
        <v>8604</v>
      </c>
      <c r="AO4089">
        <v>0.2</v>
      </c>
      <c r="AP4089">
        <v>1</v>
      </c>
      <c r="AR4089">
        <v>1</v>
      </c>
      <c r="AS4089" s="1">
        <v>28630</v>
      </c>
      <c r="AT4089" s="1">
        <v>5720</v>
      </c>
      <c r="AU4089" s="1">
        <v>22910</v>
      </c>
      <c r="AV4089">
        <v>80.02</v>
      </c>
      <c r="AX4089" s="1">
        <v>2535.7600000000002</v>
      </c>
      <c r="AY4089" t="s">
        <v>1385</v>
      </c>
      <c r="AZ4089" t="s">
        <v>1385</v>
      </c>
      <c r="BA4089" t="s">
        <v>2223</v>
      </c>
      <c r="BE4089" s="3">
        <v>42055</v>
      </c>
      <c r="BF4089" s="1">
        <v>302000</v>
      </c>
      <c r="BG4089" t="s">
        <v>26004</v>
      </c>
      <c r="BH4089" s="1">
        <v>126.68</v>
      </c>
      <c r="BI4089" s="1">
        <v>311966</v>
      </c>
      <c r="BJ4089" s="3">
        <v>42055</v>
      </c>
      <c r="BK4089" t="s">
        <v>123</v>
      </c>
      <c r="BL4089" t="str">
        <f>"2015.112709"</f>
        <v>2015.112709</v>
      </c>
      <c r="BM4089" t="s">
        <v>2094</v>
      </c>
      <c r="BO4089" t="s">
        <v>26005</v>
      </c>
      <c r="BS4089">
        <v>30</v>
      </c>
      <c r="BW4089" t="str">
        <f>""</f>
        <v/>
      </c>
      <c r="CH4089" t="str">
        <f>""</f>
        <v/>
      </c>
      <c r="CS4089" t="str">
        <f>""</f>
        <v/>
      </c>
    </row>
    <row r="4090" spans="1:97" x14ac:dyDescent="0.25">
      <c r="A4090" t="s">
        <v>2374</v>
      </c>
      <c r="B4090" t="s">
        <v>26006</v>
      </c>
      <c r="C4090" t="s">
        <v>484</v>
      </c>
      <c r="D4090" t="s">
        <v>26006</v>
      </c>
      <c r="E4090" t="s">
        <v>26007</v>
      </c>
      <c r="F4090" t="s">
        <v>108</v>
      </c>
      <c r="H4090" t="s">
        <v>26008</v>
      </c>
      <c r="I4090" t="s">
        <v>632</v>
      </c>
      <c r="J4090" t="s">
        <v>111</v>
      </c>
      <c r="K4090" t="str">
        <f>"85388"</f>
        <v>85388</v>
      </c>
      <c r="L4090" t="s">
        <v>5727</v>
      </c>
      <c r="M4090" t="s">
        <v>26008</v>
      </c>
      <c r="N4090" t="s">
        <v>632</v>
      </c>
      <c r="O4090" t="s">
        <v>111</v>
      </c>
      <c r="P4090" t="str">
        <f>"85388-5652"</f>
        <v>85388-5652</v>
      </c>
      <c r="Q4090" t="s">
        <v>113</v>
      </c>
      <c r="R4090" t="str">
        <f>"502-06-322"</f>
        <v>502-06-322</v>
      </c>
      <c r="S4090" t="s">
        <v>5728</v>
      </c>
      <c r="T4090" t="s">
        <v>5167</v>
      </c>
      <c r="U4090">
        <v>2302</v>
      </c>
      <c r="V4090">
        <v>0</v>
      </c>
      <c r="W4090">
        <v>3</v>
      </c>
      <c r="X4090">
        <v>2014</v>
      </c>
      <c r="Z4090">
        <v>1</v>
      </c>
      <c r="AA4090" t="s">
        <v>26</v>
      </c>
      <c r="AB4090">
        <v>0</v>
      </c>
      <c r="AC4090" t="s">
        <v>115</v>
      </c>
      <c r="AD4090">
        <v>4</v>
      </c>
      <c r="AE4090" t="s">
        <v>115</v>
      </c>
      <c r="AF4090">
        <v>0</v>
      </c>
      <c r="AG4090">
        <v>0</v>
      </c>
      <c r="AH4090" t="s">
        <v>116</v>
      </c>
      <c r="AI4090" s="1">
        <v>92921</v>
      </c>
      <c r="AJ4090" s="2">
        <v>0.24</v>
      </c>
      <c r="AK4090" s="1">
        <v>386171</v>
      </c>
      <c r="AL4090" t="s">
        <v>117</v>
      </c>
      <c r="AM4090" t="s">
        <v>118</v>
      </c>
      <c r="AN4090">
        <v>12035</v>
      </c>
      <c r="AO4090">
        <v>0.28000000000000003</v>
      </c>
      <c r="AR4090">
        <v>1</v>
      </c>
      <c r="AS4090" s="1">
        <v>30750</v>
      </c>
      <c r="AT4090" s="1">
        <v>6150</v>
      </c>
      <c r="AU4090" s="1">
        <v>24600</v>
      </c>
      <c r="AV4090">
        <v>80</v>
      </c>
      <c r="AX4090" s="1">
        <v>2265.4</v>
      </c>
      <c r="AY4090" t="s">
        <v>5168</v>
      </c>
      <c r="AZ4090" t="s">
        <v>5168</v>
      </c>
      <c r="BA4090" t="s">
        <v>5061</v>
      </c>
      <c r="BE4090" s="3">
        <v>42002</v>
      </c>
      <c r="BF4090" s="1">
        <v>322932</v>
      </c>
      <c r="BG4090" t="s">
        <v>3524</v>
      </c>
      <c r="BH4090" s="1">
        <v>140.28</v>
      </c>
      <c r="BI4090" s="1">
        <v>293250</v>
      </c>
      <c r="BJ4090" s="3">
        <v>42002</v>
      </c>
      <c r="BK4090" t="s">
        <v>123</v>
      </c>
      <c r="BL4090" t="str">
        <f>"2014.853235"</f>
        <v>2014.853235</v>
      </c>
      <c r="BM4090" t="s">
        <v>3453</v>
      </c>
      <c r="BO4090" t="s">
        <v>26009</v>
      </c>
      <c r="BS4090">
        <v>30</v>
      </c>
      <c r="BW4090" t="str">
        <f>""</f>
        <v/>
      </c>
      <c r="CH4090" t="str">
        <f>""</f>
        <v/>
      </c>
      <c r="CS4090" t="str">
        <f>""</f>
        <v/>
      </c>
    </row>
    <row r="4091" spans="1:97" x14ac:dyDescent="0.25">
      <c r="A4091" t="s">
        <v>1898</v>
      </c>
      <c r="B4091" t="s">
        <v>17705</v>
      </c>
      <c r="C4091" t="s">
        <v>365</v>
      </c>
      <c r="D4091" t="s">
        <v>17705</v>
      </c>
      <c r="E4091" t="s">
        <v>26010</v>
      </c>
      <c r="F4091" t="s">
        <v>108</v>
      </c>
      <c r="H4091" t="s">
        <v>26011</v>
      </c>
      <c r="I4091" t="s">
        <v>453</v>
      </c>
      <c r="J4091" t="s">
        <v>111</v>
      </c>
      <c r="K4091" t="str">
        <f>"85383"</f>
        <v>85383</v>
      </c>
      <c r="L4091" t="s">
        <v>7243</v>
      </c>
      <c r="M4091" t="s">
        <v>26011</v>
      </c>
      <c r="N4091" t="s">
        <v>453</v>
      </c>
      <c r="O4091" t="s">
        <v>111</v>
      </c>
      <c r="P4091" t="str">
        <f>"85383-6284"</f>
        <v>85383-6284</v>
      </c>
      <c r="Q4091" t="s">
        <v>113</v>
      </c>
      <c r="R4091" t="str">
        <f>"201-20-442"</f>
        <v>201-20-442</v>
      </c>
      <c r="S4091" t="s">
        <v>8847</v>
      </c>
      <c r="T4091" t="s">
        <v>8847</v>
      </c>
      <c r="U4091">
        <v>2600</v>
      </c>
      <c r="V4091">
        <v>0</v>
      </c>
      <c r="W4091">
        <v>4</v>
      </c>
      <c r="X4091">
        <v>2015</v>
      </c>
      <c r="Z4091">
        <v>1</v>
      </c>
      <c r="AB4091">
        <v>0</v>
      </c>
      <c r="AC4091" t="s">
        <v>115</v>
      </c>
      <c r="AD4091">
        <v>3</v>
      </c>
      <c r="AE4091" t="s">
        <v>115</v>
      </c>
      <c r="AF4091">
        <v>0</v>
      </c>
      <c r="AG4091">
        <v>0</v>
      </c>
      <c r="AH4091" t="s">
        <v>116</v>
      </c>
      <c r="AI4091" s="1">
        <v>75232</v>
      </c>
      <c r="AJ4091" s="2">
        <v>0.18</v>
      </c>
      <c r="AK4091" s="1">
        <v>428982</v>
      </c>
      <c r="AL4091" t="s">
        <v>117</v>
      </c>
      <c r="AM4091" t="s">
        <v>118</v>
      </c>
      <c r="AN4091">
        <v>9838</v>
      </c>
      <c r="AO4091">
        <v>0.23</v>
      </c>
      <c r="AR4091">
        <v>1</v>
      </c>
      <c r="AS4091" s="1">
        <v>33380</v>
      </c>
      <c r="AT4091" s="1">
        <v>6670</v>
      </c>
      <c r="AU4091" s="1">
        <v>26710</v>
      </c>
      <c r="AV4091">
        <v>80.02</v>
      </c>
      <c r="AX4091" s="1">
        <v>2678.54</v>
      </c>
      <c r="AY4091" t="s">
        <v>1385</v>
      </c>
      <c r="AZ4091" t="s">
        <v>1385</v>
      </c>
      <c r="BA4091" t="s">
        <v>1386</v>
      </c>
      <c r="BE4091" s="3">
        <v>42213</v>
      </c>
      <c r="BF4091" s="1">
        <v>348658</v>
      </c>
      <c r="BG4091" t="s">
        <v>2199</v>
      </c>
      <c r="BH4091" s="1">
        <v>134.1</v>
      </c>
      <c r="BI4091" s="1">
        <v>353750</v>
      </c>
      <c r="BJ4091" s="3">
        <v>42646</v>
      </c>
      <c r="BK4091" t="s">
        <v>123</v>
      </c>
      <c r="BL4091" t="str">
        <f>"2016.720778"</f>
        <v>2016.720778</v>
      </c>
      <c r="BM4091" t="s">
        <v>124</v>
      </c>
      <c r="BO4091" t="s">
        <v>26012</v>
      </c>
      <c r="BS4091">
        <v>30</v>
      </c>
      <c r="BW4091" t="str">
        <f>""</f>
        <v/>
      </c>
      <c r="CH4091" t="str">
        <f>""</f>
        <v/>
      </c>
      <c r="CS4091" t="str">
        <f>""</f>
        <v/>
      </c>
    </row>
    <row r="4092" spans="1:97" x14ac:dyDescent="0.25">
      <c r="B4092" t="s">
        <v>26013</v>
      </c>
      <c r="C4092" t="s">
        <v>26014</v>
      </c>
      <c r="E4092" t="s">
        <v>26015</v>
      </c>
      <c r="F4092" t="s">
        <v>108</v>
      </c>
      <c r="H4092" t="s">
        <v>26016</v>
      </c>
      <c r="I4092" t="s">
        <v>203</v>
      </c>
      <c r="J4092" t="s">
        <v>111</v>
      </c>
      <c r="K4092" t="str">
        <f>"85295"</f>
        <v>85295</v>
      </c>
      <c r="L4092" t="s">
        <v>5496</v>
      </c>
      <c r="M4092" t="s">
        <v>26016</v>
      </c>
      <c r="N4092" t="s">
        <v>203</v>
      </c>
      <c r="O4092" t="s">
        <v>111</v>
      </c>
      <c r="P4092" t="str">
        <f>"85295-8919"</f>
        <v>85295-8919</v>
      </c>
      <c r="Q4092" t="s">
        <v>113</v>
      </c>
      <c r="R4092" t="str">
        <f>"313-13-590"</f>
        <v>313-13-590</v>
      </c>
      <c r="S4092" t="s">
        <v>10498</v>
      </c>
      <c r="U4092">
        <v>2780</v>
      </c>
      <c r="V4092">
        <v>0</v>
      </c>
      <c r="W4092">
        <v>4</v>
      </c>
      <c r="X4092">
        <v>2014</v>
      </c>
      <c r="Z4092">
        <v>2</v>
      </c>
      <c r="AB4092">
        <v>0</v>
      </c>
      <c r="AC4092" t="s">
        <v>115</v>
      </c>
      <c r="AD4092">
        <v>2</v>
      </c>
      <c r="AE4092" t="s">
        <v>115</v>
      </c>
      <c r="AF4092">
        <v>0</v>
      </c>
      <c r="AG4092">
        <v>0</v>
      </c>
      <c r="AH4092" t="s">
        <v>116</v>
      </c>
      <c r="AI4092" s="1">
        <v>65066</v>
      </c>
      <c r="AJ4092" s="2">
        <v>0.17</v>
      </c>
      <c r="AK4092" s="1">
        <v>386666</v>
      </c>
      <c r="AL4092" t="s">
        <v>117</v>
      </c>
      <c r="AM4092" t="s">
        <v>288</v>
      </c>
      <c r="AN4092">
        <v>5150</v>
      </c>
      <c r="AO4092">
        <v>0.12</v>
      </c>
      <c r="AR4092">
        <v>1</v>
      </c>
      <c r="AS4092" s="1">
        <v>27620</v>
      </c>
      <c r="AT4092" s="1">
        <v>5520</v>
      </c>
      <c r="AU4092" s="1">
        <v>22100</v>
      </c>
      <c r="AV4092">
        <v>80.010000000000005</v>
      </c>
      <c r="AX4092" s="1">
        <v>2680.28</v>
      </c>
      <c r="AY4092" t="s">
        <v>5094</v>
      </c>
      <c r="AZ4092" t="s">
        <v>5094</v>
      </c>
      <c r="BA4092" t="s">
        <v>473</v>
      </c>
      <c r="BB4092" s="3">
        <v>43774</v>
      </c>
      <c r="BC4092" s="1">
        <v>0</v>
      </c>
      <c r="BD4092" t="s">
        <v>247</v>
      </c>
      <c r="BE4092" s="3">
        <v>41859</v>
      </c>
      <c r="BF4092" s="1">
        <v>317880</v>
      </c>
      <c r="BG4092" t="s">
        <v>209</v>
      </c>
      <c r="BH4092" s="1">
        <v>114.35</v>
      </c>
      <c r="BI4092" s="1">
        <v>321600</v>
      </c>
      <c r="BJ4092" s="3">
        <v>42507</v>
      </c>
      <c r="BK4092" t="s">
        <v>123</v>
      </c>
      <c r="BL4092" t="str">
        <f>"2016.337977"</f>
        <v>2016.337977</v>
      </c>
      <c r="BM4092" t="s">
        <v>2368</v>
      </c>
      <c r="BN4092" t="s">
        <v>6128</v>
      </c>
      <c r="BO4092" t="s">
        <v>26017</v>
      </c>
      <c r="BS4092">
        <v>30</v>
      </c>
      <c r="BW4092" t="str">
        <f>""</f>
        <v/>
      </c>
      <c r="CH4092" t="str">
        <f>""</f>
        <v/>
      </c>
      <c r="CS4092" t="str">
        <f>""</f>
        <v/>
      </c>
    </row>
    <row r="4093" spans="1:97" x14ac:dyDescent="0.25">
      <c r="A4093" t="s">
        <v>1465</v>
      </c>
      <c r="B4093" t="s">
        <v>15828</v>
      </c>
      <c r="C4093" t="s">
        <v>15009</v>
      </c>
      <c r="D4093" t="s">
        <v>15828</v>
      </c>
      <c r="E4093" t="s">
        <v>26018</v>
      </c>
      <c r="F4093" t="s">
        <v>108</v>
      </c>
      <c r="H4093" t="s">
        <v>26019</v>
      </c>
      <c r="I4093" t="s">
        <v>188</v>
      </c>
      <c r="J4093" t="s">
        <v>111</v>
      </c>
      <c r="K4093" t="str">
        <f>"85142"</f>
        <v>85142</v>
      </c>
      <c r="L4093" t="s">
        <v>5456</v>
      </c>
      <c r="M4093" t="s">
        <v>26019</v>
      </c>
      <c r="N4093" t="s">
        <v>188</v>
      </c>
      <c r="O4093" t="s">
        <v>111</v>
      </c>
      <c r="P4093" t="str">
        <f>"85142-6263"</f>
        <v>85142-6263</v>
      </c>
      <c r="Q4093" t="s">
        <v>113</v>
      </c>
      <c r="R4093" t="str">
        <f>"304-67-504"</f>
        <v>304-67-504</v>
      </c>
      <c r="S4093" t="s">
        <v>20253</v>
      </c>
      <c r="T4093" t="s">
        <v>20253</v>
      </c>
      <c r="U4093">
        <v>3929</v>
      </c>
      <c r="V4093">
        <v>0</v>
      </c>
      <c r="W4093">
        <v>5</v>
      </c>
      <c r="X4093">
        <v>2015</v>
      </c>
      <c r="Z4093">
        <v>1</v>
      </c>
      <c r="AB4093">
        <v>0</v>
      </c>
      <c r="AC4093" t="s">
        <v>115</v>
      </c>
      <c r="AD4093">
        <v>3</v>
      </c>
      <c r="AE4093" t="s">
        <v>115</v>
      </c>
      <c r="AF4093">
        <v>0</v>
      </c>
      <c r="AG4093">
        <v>0</v>
      </c>
      <c r="AH4093" t="s">
        <v>116</v>
      </c>
      <c r="AI4093" s="1">
        <v>165035</v>
      </c>
      <c r="AJ4093" s="2">
        <v>0.28000000000000003</v>
      </c>
      <c r="AK4093" s="1">
        <v>592160</v>
      </c>
      <c r="AL4093" t="s">
        <v>117</v>
      </c>
      <c r="AM4093" t="s">
        <v>5791</v>
      </c>
      <c r="AN4093">
        <v>18004</v>
      </c>
      <c r="AO4093">
        <v>0.41</v>
      </c>
      <c r="AR4093">
        <v>1</v>
      </c>
      <c r="AS4093" s="1">
        <v>41420</v>
      </c>
      <c r="AT4093" s="1">
        <v>8280</v>
      </c>
      <c r="AU4093" s="1">
        <v>33140</v>
      </c>
      <c r="AV4093">
        <v>80.010000000000005</v>
      </c>
      <c r="AX4093" s="1">
        <v>3721.84</v>
      </c>
      <c r="AY4093" t="s">
        <v>192</v>
      </c>
      <c r="AZ4093" t="s">
        <v>193</v>
      </c>
      <c r="BA4093" t="s">
        <v>194</v>
      </c>
      <c r="BE4093" s="3">
        <v>42114</v>
      </c>
      <c r="BF4093" s="1">
        <v>421845</v>
      </c>
      <c r="BG4093" t="s">
        <v>562</v>
      </c>
      <c r="BH4093" s="1">
        <v>107.37</v>
      </c>
      <c r="BI4093" s="1">
        <v>427125</v>
      </c>
      <c r="BJ4093" s="3">
        <v>42703</v>
      </c>
      <c r="BK4093" t="s">
        <v>123</v>
      </c>
      <c r="BL4093" t="str">
        <f>"2016.878642"</f>
        <v>2016.878642</v>
      </c>
      <c r="BM4093" t="s">
        <v>2107</v>
      </c>
      <c r="BO4093" t="s">
        <v>26020</v>
      </c>
      <c r="BS4093">
        <v>30</v>
      </c>
      <c r="BW4093" t="str">
        <f>""</f>
        <v/>
      </c>
      <c r="CH4093" t="str">
        <f>""</f>
        <v/>
      </c>
      <c r="CS4093" t="str">
        <f>""</f>
        <v/>
      </c>
    </row>
    <row r="4094" spans="1:97" x14ac:dyDescent="0.25">
      <c r="A4094" t="s">
        <v>1124</v>
      </c>
      <c r="B4094" t="s">
        <v>26021</v>
      </c>
      <c r="C4094" t="s">
        <v>976</v>
      </c>
      <c r="D4094" t="s">
        <v>26021</v>
      </c>
      <c r="E4094" t="s">
        <v>26022</v>
      </c>
      <c r="F4094" t="s">
        <v>108</v>
      </c>
      <c r="H4094" t="s">
        <v>26023</v>
      </c>
      <c r="I4094" t="s">
        <v>5523</v>
      </c>
      <c r="J4094" t="s">
        <v>111</v>
      </c>
      <c r="K4094" t="str">
        <f>"85351"</f>
        <v>85351</v>
      </c>
      <c r="L4094" t="s">
        <v>6891</v>
      </c>
      <c r="M4094" t="s">
        <v>26023</v>
      </c>
      <c r="N4094" t="s">
        <v>5523</v>
      </c>
      <c r="O4094" t="s">
        <v>111</v>
      </c>
      <c r="P4094" t="str">
        <f>"85351-4675"</f>
        <v>85351-4675</v>
      </c>
      <c r="Q4094" t="s">
        <v>113</v>
      </c>
      <c r="R4094" t="str">
        <f>"142-86-026"</f>
        <v>142-86-026</v>
      </c>
      <c r="S4094" t="s">
        <v>26024</v>
      </c>
      <c r="T4094" t="s">
        <v>26025</v>
      </c>
      <c r="U4094">
        <v>1577</v>
      </c>
      <c r="V4094">
        <v>0</v>
      </c>
      <c r="W4094">
        <v>2</v>
      </c>
      <c r="X4094">
        <v>1979</v>
      </c>
      <c r="Z4094">
        <v>1</v>
      </c>
      <c r="AB4094">
        <v>0</v>
      </c>
      <c r="AC4094" t="s">
        <v>115</v>
      </c>
      <c r="AD4094">
        <v>2</v>
      </c>
      <c r="AE4094" t="s">
        <v>115</v>
      </c>
      <c r="AF4094">
        <v>0</v>
      </c>
      <c r="AG4094">
        <v>0</v>
      </c>
      <c r="AH4094" t="s">
        <v>116</v>
      </c>
      <c r="AI4094" s="1">
        <v>93770</v>
      </c>
      <c r="AJ4094" s="2">
        <v>0.28999999999999998</v>
      </c>
      <c r="AK4094" s="1">
        <v>325654</v>
      </c>
      <c r="AL4094" t="s">
        <v>117</v>
      </c>
      <c r="AM4094" t="s">
        <v>376</v>
      </c>
      <c r="AN4094">
        <v>55402</v>
      </c>
      <c r="AO4094">
        <v>1.27</v>
      </c>
      <c r="AP4094">
        <v>1</v>
      </c>
      <c r="AR4094">
        <v>1</v>
      </c>
      <c r="AS4094" s="1">
        <v>22410</v>
      </c>
      <c r="AT4094" s="1">
        <v>4480</v>
      </c>
      <c r="AU4094" s="1">
        <v>17930</v>
      </c>
      <c r="AV4094">
        <v>80.010000000000005</v>
      </c>
      <c r="AX4094" s="1">
        <v>1816.98</v>
      </c>
      <c r="AY4094" t="s">
        <v>12259</v>
      </c>
      <c r="AZ4094" t="s">
        <v>12259</v>
      </c>
      <c r="BA4094" t="s">
        <v>3360</v>
      </c>
      <c r="BB4094" s="3">
        <v>42986</v>
      </c>
      <c r="BD4094" t="s">
        <v>157</v>
      </c>
      <c r="BE4094" s="3">
        <v>42012</v>
      </c>
      <c r="BF4094" s="1">
        <v>235000</v>
      </c>
      <c r="BG4094" t="s">
        <v>26026</v>
      </c>
      <c r="BH4094" s="1">
        <v>149.02000000000001</v>
      </c>
      <c r="BI4094" s="1">
        <v>231884</v>
      </c>
      <c r="BJ4094" s="3">
        <v>42429</v>
      </c>
      <c r="BK4094" t="s">
        <v>123</v>
      </c>
      <c r="BL4094" t="str">
        <f>"2016.124907"</f>
        <v>2016.124907</v>
      </c>
      <c r="BM4094" t="s">
        <v>402</v>
      </c>
      <c r="BO4094" t="s">
        <v>26027</v>
      </c>
      <c r="BS4094">
        <v>30</v>
      </c>
      <c r="BW4094" t="str">
        <f>""</f>
        <v/>
      </c>
      <c r="CH4094" t="str">
        <f>""</f>
        <v/>
      </c>
      <c r="CS4094" t="str">
        <f>""</f>
        <v/>
      </c>
    </row>
    <row r="4095" spans="1:97" x14ac:dyDescent="0.25">
      <c r="A4095" t="s">
        <v>970</v>
      </c>
      <c r="B4095" t="s">
        <v>26028</v>
      </c>
      <c r="C4095" t="s">
        <v>1295</v>
      </c>
      <c r="D4095" t="s">
        <v>26028</v>
      </c>
      <c r="E4095" t="s">
        <v>26029</v>
      </c>
      <c r="F4095" t="s">
        <v>108</v>
      </c>
      <c r="H4095" t="s">
        <v>26030</v>
      </c>
      <c r="I4095" t="s">
        <v>632</v>
      </c>
      <c r="J4095" t="s">
        <v>111</v>
      </c>
      <c r="K4095" t="str">
        <f>"85388"</f>
        <v>85388</v>
      </c>
      <c r="L4095" t="s">
        <v>7607</v>
      </c>
      <c r="M4095" t="s">
        <v>26030</v>
      </c>
      <c r="N4095" t="s">
        <v>632</v>
      </c>
      <c r="O4095" t="s">
        <v>111</v>
      </c>
      <c r="P4095" t="str">
        <f>"85388-1691"</f>
        <v>85388-1691</v>
      </c>
      <c r="Q4095" t="s">
        <v>113</v>
      </c>
      <c r="R4095" t="str">
        <f>"502-02-268"</f>
        <v>502-02-268</v>
      </c>
      <c r="S4095" t="s">
        <v>7611</v>
      </c>
      <c r="T4095" t="s">
        <v>7612</v>
      </c>
      <c r="U4095">
        <v>2958</v>
      </c>
      <c r="V4095">
        <v>0</v>
      </c>
      <c r="W4095">
        <v>4</v>
      </c>
      <c r="X4095">
        <v>2007</v>
      </c>
      <c r="Z4095">
        <v>2</v>
      </c>
      <c r="AB4095">
        <v>0</v>
      </c>
      <c r="AC4095" t="s">
        <v>115</v>
      </c>
      <c r="AD4095">
        <v>3</v>
      </c>
      <c r="AE4095" t="s">
        <v>115</v>
      </c>
      <c r="AF4095">
        <v>0</v>
      </c>
      <c r="AG4095">
        <v>0</v>
      </c>
      <c r="AH4095" t="s">
        <v>116</v>
      </c>
      <c r="AI4095" s="1">
        <v>57974</v>
      </c>
      <c r="AJ4095" s="2">
        <v>0.18</v>
      </c>
      <c r="AK4095" s="1">
        <v>323564</v>
      </c>
      <c r="AL4095" t="s">
        <v>117</v>
      </c>
      <c r="AM4095" t="s">
        <v>118</v>
      </c>
      <c r="AN4095">
        <v>6325</v>
      </c>
      <c r="AO4095">
        <v>0.14000000000000001</v>
      </c>
      <c r="AP4095">
        <v>1</v>
      </c>
      <c r="AR4095">
        <v>1</v>
      </c>
      <c r="AS4095" s="1">
        <v>23270</v>
      </c>
      <c r="AT4095" s="1">
        <v>4650</v>
      </c>
      <c r="AU4095" s="1">
        <v>18620</v>
      </c>
      <c r="AV4095">
        <v>80.02</v>
      </c>
      <c r="AX4095" s="1">
        <v>2012.88</v>
      </c>
      <c r="AY4095" t="s">
        <v>5168</v>
      </c>
      <c r="AZ4095" t="s">
        <v>5168</v>
      </c>
      <c r="BA4095" t="s">
        <v>5109</v>
      </c>
      <c r="BE4095" s="3">
        <v>42551</v>
      </c>
      <c r="BF4095" s="1">
        <v>260000</v>
      </c>
      <c r="BG4095" t="s">
        <v>26031</v>
      </c>
      <c r="BH4095" s="1">
        <v>87.9</v>
      </c>
      <c r="BI4095" s="1">
        <v>265590</v>
      </c>
      <c r="BJ4095" s="3">
        <v>42551</v>
      </c>
      <c r="BK4095" t="s">
        <v>123</v>
      </c>
      <c r="BL4095" t="str">
        <f>"2016.458917"</f>
        <v>2016.458917</v>
      </c>
      <c r="BM4095" t="s">
        <v>5867</v>
      </c>
      <c r="BO4095" t="s">
        <v>26032</v>
      </c>
      <c r="BP4095" t="s">
        <v>26032</v>
      </c>
      <c r="BS4095">
        <v>30</v>
      </c>
      <c r="BW4095" t="str">
        <f>""</f>
        <v/>
      </c>
      <c r="CH4095" t="str">
        <f>""</f>
        <v/>
      </c>
      <c r="CS4095" t="str">
        <f>""</f>
        <v/>
      </c>
    </row>
    <row r="4096" spans="1:97" x14ac:dyDescent="0.25">
      <c r="A4096" t="s">
        <v>26033</v>
      </c>
      <c r="B4096" t="s">
        <v>26034</v>
      </c>
      <c r="C4096" t="s">
        <v>26035</v>
      </c>
      <c r="D4096" t="s">
        <v>26034</v>
      </c>
      <c r="E4096" t="s">
        <v>26036</v>
      </c>
      <c r="F4096" t="s">
        <v>108</v>
      </c>
      <c r="H4096" t="s">
        <v>26037</v>
      </c>
      <c r="I4096" t="s">
        <v>632</v>
      </c>
      <c r="J4096" t="s">
        <v>111</v>
      </c>
      <c r="K4096" t="str">
        <f>"85388"</f>
        <v>85388</v>
      </c>
      <c r="L4096" t="s">
        <v>5727</v>
      </c>
      <c r="M4096" t="s">
        <v>26037</v>
      </c>
      <c r="N4096" t="s">
        <v>632</v>
      </c>
      <c r="O4096" t="s">
        <v>111</v>
      </c>
      <c r="P4096" t="str">
        <f>"85388-5643"</f>
        <v>85388-5643</v>
      </c>
      <c r="Q4096" t="s">
        <v>113</v>
      </c>
      <c r="R4096" t="str">
        <f>"502-06-349"</f>
        <v>502-06-349</v>
      </c>
      <c r="S4096" t="s">
        <v>5728</v>
      </c>
      <c r="T4096" t="s">
        <v>5167</v>
      </c>
      <c r="U4096">
        <v>3207</v>
      </c>
      <c r="V4096">
        <v>0</v>
      </c>
      <c r="W4096">
        <v>3</v>
      </c>
      <c r="X4096">
        <v>2015</v>
      </c>
      <c r="Z4096">
        <v>2</v>
      </c>
      <c r="AB4096">
        <v>0</v>
      </c>
      <c r="AC4096" t="s">
        <v>115</v>
      </c>
      <c r="AD4096">
        <v>3</v>
      </c>
      <c r="AE4096" t="s">
        <v>115</v>
      </c>
      <c r="AF4096">
        <v>0</v>
      </c>
      <c r="AG4096">
        <v>0</v>
      </c>
      <c r="AH4096" t="s">
        <v>116</v>
      </c>
      <c r="AI4096" s="1">
        <v>19282</v>
      </c>
      <c r="AJ4096" s="2">
        <v>0.05</v>
      </c>
      <c r="AK4096" s="1">
        <v>385282</v>
      </c>
      <c r="AL4096" t="s">
        <v>117</v>
      </c>
      <c r="AM4096" t="s">
        <v>118</v>
      </c>
      <c r="AN4096">
        <v>9379</v>
      </c>
      <c r="AO4096">
        <v>0.22</v>
      </c>
      <c r="AR4096">
        <v>1</v>
      </c>
      <c r="AS4096" s="1">
        <v>29170</v>
      </c>
      <c r="AT4096" s="1">
        <v>5830</v>
      </c>
      <c r="AU4096" s="1">
        <v>23340</v>
      </c>
      <c r="AV4096">
        <v>80.010000000000005</v>
      </c>
      <c r="AX4096" s="1">
        <v>2183.88</v>
      </c>
      <c r="AY4096" t="s">
        <v>5168</v>
      </c>
      <c r="AZ4096" t="s">
        <v>5168</v>
      </c>
      <c r="BA4096" t="s">
        <v>5061</v>
      </c>
      <c r="BE4096" s="3">
        <v>42321</v>
      </c>
      <c r="BF4096" s="1">
        <v>327857</v>
      </c>
      <c r="BG4096" t="s">
        <v>3524</v>
      </c>
      <c r="BH4096" s="1">
        <v>102.23</v>
      </c>
      <c r="BI4096" s="1">
        <v>366000</v>
      </c>
      <c r="BJ4096" s="3">
        <v>43621</v>
      </c>
      <c r="BK4096" t="s">
        <v>123</v>
      </c>
      <c r="BL4096" t="str">
        <f>"2019.415911"</f>
        <v>2019.415911</v>
      </c>
      <c r="BM4096" t="s">
        <v>7956</v>
      </c>
      <c r="BN4096" t="s">
        <v>5960</v>
      </c>
      <c r="BO4096" t="s">
        <v>26038</v>
      </c>
      <c r="BP4096" t="s">
        <v>26039</v>
      </c>
      <c r="BR4096" t="s">
        <v>139</v>
      </c>
      <c r="BW4096" t="str">
        <f>""</f>
        <v/>
      </c>
      <c r="CH4096" t="str">
        <f>""</f>
        <v/>
      </c>
      <c r="CS4096" t="str">
        <f>""</f>
        <v/>
      </c>
    </row>
    <row r="4097" spans="1:97" x14ac:dyDescent="0.25">
      <c r="A4097" t="s">
        <v>1160</v>
      </c>
      <c r="B4097" t="s">
        <v>14122</v>
      </c>
      <c r="C4097" t="s">
        <v>26040</v>
      </c>
      <c r="D4097" t="s">
        <v>14122</v>
      </c>
      <c r="E4097" t="s">
        <v>26041</v>
      </c>
      <c r="F4097" t="s">
        <v>108</v>
      </c>
      <c r="H4097" t="s">
        <v>26042</v>
      </c>
      <c r="I4097" t="s">
        <v>1936</v>
      </c>
      <c r="J4097" t="s">
        <v>111</v>
      </c>
      <c r="K4097" t="str">
        <f>"85254"</f>
        <v>85254</v>
      </c>
      <c r="L4097" t="s">
        <v>7116</v>
      </c>
      <c r="M4097" t="s">
        <v>26042</v>
      </c>
      <c r="N4097" t="s">
        <v>1936</v>
      </c>
      <c r="O4097" t="s">
        <v>111</v>
      </c>
      <c r="P4097" t="str">
        <f>"85254-1841"</f>
        <v>85254-1841</v>
      </c>
      <c r="Q4097" t="s">
        <v>113</v>
      </c>
      <c r="R4097" t="str">
        <f>"215-37-390"</f>
        <v>215-37-390</v>
      </c>
      <c r="S4097" t="s">
        <v>26043</v>
      </c>
      <c r="T4097" t="s">
        <v>26044</v>
      </c>
      <c r="U4097">
        <v>2250</v>
      </c>
      <c r="V4097">
        <v>0</v>
      </c>
      <c r="W4097">
        <v>4</v>
      </c>
      <c r="X4097">
        <v>1986</v>
      </c>
      <c r="Z4097">
        <v>1</v>
      </c>
      <c r="AA4097" t="s">
        <v>26</v>
      </c>
      <c r="AB4097">
        <v>0</v>
      </c>
      <c r="AC4097" t="s">
        <v>115</v>
      </c>
      <c r="AD4097">
        <v>2</v>
      </c>
      <c r="AE4097" t="s">
        <v>115</v>
      </c>
      <c r="AF4097">
        <v>0</v>
      </c>
      <c r="AG4097">
        <v>0</v>
      </c>
      <c r="AH4097" t="s">
        <v>116</v>
      </c>
      <c r="AI4097" s="1">
        <v>101329</v>
      </c>
      <c r="AJ4097" s="2">
        <v>0.19</v>
      </c>
      <c r="AK4097" s="1">
        <v>525375</v>
      </c>
      <c r="AL4097" t="s">
        <v>117</v>
      </c>
      <c r="AM4097" t="s">
        <v>1302</v>
      </c>
      <c r="AN4097">
        <v>16859</v>
      </c>
      <c r="AO4097">
        <v>0.39</v>
      </c>
      <c r="AP4097">
        <v>1</v>
      </c>
      <c r="AR4097">
        <v>1</v>
      </c>
      <c r="AS4097" s="1">
        <v>39400</v>
      </c>
      <c r="AT4097" s="1">
        <v>7880</v>
      </c>
      <c r="AU4097" s="1">
        <v>31520</v>
      </c>
      <c r="AV4097">
        <v>80</v>
      </c>
      <c r="AX4097" s="1">
        <v>3741.96</v>
      </c>
      <c r="AY4097" t="s">
        <v>15787</v>
      </c>
      <c r="AZ4097" t="s">
        <v>7739</v>
      </c>
      <c r="BA4097" t="s">
        <v>6302</v>
      </c>
      <c r="BE4097" s="3">
        <v>42208</v>
      </c>
      <c r="BF4097" s="1">
        <v>400000</v>
      </c>
      <c r="BG4097" t="s">
        <v>26045</v>
      </c>
      <c r="BH4097" s="1">
        <v>177.78</v>
      </c>
      <c r="BI4097" s="1">
        <v>424046</v>
      </c>
      <c r="BJ4097" s="3">
        <v>43028</v>
      </c>
      <c r="BK4097" t="s">
        <v>123</v>
      </c>
      <c r="BL4097" t="str">
        <f>"2017.780063"</f>
        <v>2017.780063</v>
      </c>
      <c r="BM4097" t="s">
        <v>26046</v>
      </c>
      <c r="BN4097">
        <v>85020</v>
      </c>
      <c r="BO4097" t="s">
        <v>26047</v>
      </c>
      <c r="BS4097">
        <v>30</v>
      </c>
      <c r="BW4097" t="str">
        <f>""</f>
        <v/>
      </c>
      <c r="CH4097" t="str">
        <f>""</f>
        <v/>
      </c>
      <c r="CS4097" t="str">
        <f>""</f>
        <v/>
      </c>
    </row>
    <row r="4098" spans="1:97" x14ac:dyDescent="0.25">
      <c r="A4098" t="s">
        <v>996</v>
      </c>
      <c r="B4098" t="s">
        <v>17814</v>
      </c>
      <c r="C4098" t="s">
        <v>3682</v>
      </c>
      <c r="D4098" t="s">
        <v>17814</v>
      </c>
      <c r="E4098" t="s">
        <v>26048</v>
      </c>
      <c r="F4098" t="s">
        <v>139</v>
      </c>
      <c r="H4098" t="s">
        <v>26049</v>
      </c>
      <c r="I4098" t="s">
        <v>188</v>
      </c>
      <c r="J4098" t="s">
        <v>111</v>
      </c>
      <c r="K4098" t="str">
        <f>"85142"</f>
        <v>85142</v>
      </c>
      <c r="L4098" t="s">
        <v>625</v>
      </c>
      <c r="M4098" t="s">
        <v>26050</v>
      </c>
      <c r="N4098" t="s">
        <v>110</v>
      </c>
      <c r="O4098" t="s">
        <v>111</v>
      </c>
      <c r="P4098" t="str">
        <f>"85246-8194"</f>
        <v>85246-8194</v>
      </c>
      <c r="Q4098" t="s">
        <v>113</v>
      </c>
      <c r="R4098" t="str">
        <f>"304-64-746"</f>
        <v>304-64-746</v>
      </c>
      <c r="S4098" t="s">
        <v>5881</v>
      </c>
      <c r="T4098" t="s">
        <v>5882</v>
      </c>
      <c r="U4098">
        <v>2756</v>
      </c>
      <c r="V4098">
        <v>0</v>
      </c>
      <c r="W4098">
        <v>5</v>
      </c>
      <c r="X4098">
        <v>2014</v>
      </c>
      <c r="Z4098">
        <v>1</v>
      </c>
      <c r="AB4098">
        <v>0</v>
      </c>
      <c r="AC4098" t="s">
        <v>115</v>
      </c>
      <c r="AD4098">
        <v>2</v>
      </c>
      <c r="AE4098" t="s">
        <v>115</v>
      </c>
      <c r="AF4098">
        <v>0</v>
      </c>
      <c r="AG4098">
        <v>0</v>
      </c>
      <c r="AH4098" t="s">
        <v>116</v>
      </c>
      <c r="AI4098" s="1">
        <v>153361</v>
      </c>
      <c r="AJ4098" s="2">
        <v>0.39</v>
      </c>
      <c r="AK4098" s="1">
        <v>393361</v>
      </c>
      <c r="AL4098" t="s">
        <v>117</v>
      </c>
      <c r="AM4098" t="s">
        <v>393</v>
      </c>
      <c r="AN4098">
        <v>8642</v>
      </c>
      <c r="AO4098">
        <v>0.2</v>
      </c>
      <c r="AR4098">
        <v>1</v>
      </c>
      <c r="AS4098" s="1">
        <v>27780</v>
      </c>
      <c r="AT4098" s="1">
        <v>5550</v>
      </c>
      <c r="AU4098" s="1">
        <v>22230</v>
      </c>
      <c r="AV4098">
        <v>80.02</v>
      </c>
      <c r="AX4098" s="1">
        <v>2685.38</v>
      </c>
      <c r="AY4098" t="s">
        <v>560</v>
      </c>
      <c r="AZ4098" t="s">
        <v>561</v>
      </c>
      <c r="BA4098" t="s">
        <v>194</v>
      </c>
      <c r="BE4098" s="3">
        <v>41786</v>
      </c>
      <c r="BF4098" s="1">
        <v>328222</v>
      </c>
      <c r="BG4098" t="s">
        <v>2387</v>
      </c>
      <c r="BH4098" s="1">
        <v>119.09</v>
      </c>
      <c r="BI4098" s="1">
        <v>240000</v>
      </c>
      <c r="BJ4098" s="3">
        <v>41786</v>
      </c>
      <c r="BK4098" t="s">
        <v>123</v>
      </c>
      <c r="BL4098" t="str">
        <f>"2014.340573"</f>
        <v>2014.340573</v>
      </c>
      <c r="BM4098" t="s">
        <v>475</v>
      </c>
      <c r="BO4098" t="s">
        <v>26051</v>
      </c>
      <c r="BS4098">
        <v>30</v>
      </c>
      <c r="BW4098" t="str">
        <f>""</f>
        <v/>
      </c>
      <c r="CH4098" t="str">
        <f>""</f>
        <v/>
      </c>
      <c r="CS4098" t="str">
        <f>""</f>
        <v/>
      </c>
    </row>
    <row r="4099" spans="1:97" x14ac:dyDescent="0.25">
      <c r="A4099" t="s">
        <v>2045</v>
      </c>
      <c r="B4099" t="s">
        <v>26052</v>
      </c>
      <c r="C4099" t="s">
        <v>489</v>
      </c>
      <c r="D4099" t="s">
        <v>26052</v>
      </c>
      <c r="E4099" t="s">
        <v>26053</v>
      </c>
      <c r="F4099" t="s">
        <v>108</v>
      </c>
      <c r="H4099" t="s">
        <v>26054</v>
      </c>
      <c r="I4099" t="s">
        <v>110</v>
      </c>
      <c r="J4099" t="s">
        <v>111</v>
      </c>
      <c r="K4099" t="str">
        <f>"85249"</f>
        <v>85249</v>
      </c>
      <c r="L4099" t="s">
        <v>26055</v>
      </c>
      <c r="M4099" t="s">
        <v>26054</v>
      </c>
      <c r="N4099" t="s">
        <v>110</v>
      </c>
      <c r="O4099" t="s">
        <v>111</v>
      </c>
      <c r="P4099" t="str">
        <f>"85249-5577"</f>
        <v>85249-5577</v>
      </c>
      <c r="Q4099" t="s">
        <v>113</v>
      </c>
      <c r="R4099" t="str">
        <f>"304-82-841"</f>
        <v>304-82-841</v>
      </c>
      <c r="S4099" t="s">
        <v>26056</v>
      </c>
      <c r="T4099" t="s">
        <v>24969</v>
      </c>
      <c r="U4099">
        <v>3554</v>
      </c>
      <c r="V4099">
        <v>0</v>
      </c>
      <c r="W4099">
        <v>5</v>
      </c>
      <c r="X4099">
        <v>2012</v>
      </c>
      <c r="Z4099">
        <v>1</v>
      </c>
      <c r="AA4099" t="s">
        <v>26</v>
      </c>
      <c r="AB4099">
        <v>0</v>
      </c>
      <c r="AC4099" t="s">
        <v>115</v>
      </c>
      <c r="AD4099">
        <v>3</v>
      </c>
      <c r="AE4099" t="s">
        <v>115</v>
      </c>
      <c r="AF4099">
        <v>0</v>
      </c>
      <c r="AG4099">
        <v>0</v>
      </c>
      <c r="AH4099" t="s">
        <v>116</v>
      </c>
      <c r="AI4099" s="1">
        <v>115000</v>
      </c>
      <c r="AJ4099" s="2">
        <v>0.16</v>
      </c>
      <c r="AK4099" s="1">
        <v>704900</v>
      </c>
      <c r="AL4099" t="s">
        <v>117</v>
      </c>
      <c r="AM4099" t="s">
        <v>118</v>
      </c>
      <c r="AN4099">
        <v>12899</v>
      </c>
      <c r="AO4099">
        <v>0.3</v>
      </c>
      <c r="AR4099">
        <v>1</v>
      </c>
      <c r="AS4099" s="1">
        <v>53010</v>
      </c>
      <c r="AT4099" s="1">
        <v>10600</v>
      </c>
      <c r="AU4099" s="1">
        <v>42410</v>
      </c>
      <c r="AV4099">
        <v>80</v>
      </c>
      <c r="AX4099" s="1">
        <v>5571.6</v>
      </c>
      <c r="AY4099" t="s">
        <v>3699</v>
      </c>
      <c r="AZ4099" t="s">
        <v>273</v>
      </c>
      <c r="BA4099" t="s">
        <v>274</v>
      </c>
      <c r="BE4099" s="3">
        <v>42192</v>
      </c>
      <c r="BF4099" s="1">
        <v>650000</v>
      </c>
      <c r="BG4099" t="s">
        <v>26057</v>
      </c>
      <c r="BH4099" s="1">
        <v>182.89</v>
      </c>
      <c r="BI4099" s="1">
        <v>589900</v>
      </c>
      <c r="BJ4099" s="3">
        <v>42496</v>
      </c>
      <c r="BK4099" t="s">
        <v>123</v>
      </c>
      <c r="BL4099" t="str">
        <f>"2016.309078"</f>
        <v>2016.309078</v>
      </c>
      <c r="BM4099" t="s">
        <v>2368</v>
      </c>
      <c r="BO4099" t="s">
        <v>26058</v>
      </c>
      <c r="BS4099">
        <v>30</v>
      </c>
      <c r="BW4099" t="str">
        <f>""</f>
        <v/>
      </c>
      <c r="CH4099" t="str">
        <f>""</f>
        <v/>
      </c>
      <c r="CS4099" t="str">
        <f>""</f>
        <v/>
      </c>
    </row>
    <row r="4100" spans="1:97" x14ac:dyDescent="0.25">
      <c r="A4100" t="s">
        <v>5314</v>
      </c>
      <c r="B4100" t="s">
        <v>26059</v>
      </c>
      <c r="E4100" t="s">
        <v>26060</v>
      </c>
      <c r="F4100" t="s">
        <v>108</v>
      </c>
      <c r="H4100" t="s">
        <v>26061</v>
      </c>
      <c r="I4100" t="s">
        <v>390</v>
      </c>
      <c r="J4100" t="s">
        <v>111</v>
      </c>
      <c r="K4100" t="str">
        <f>"85050"</f>
        <v>85050</v>
      </c>
      <c r="L4100" t="s">
        <v>9368</v>
      </c>
      <c r="M4100" t="s">
        <v>26061</v>
      </c>
      <c r="N4100" t="s">
        <v>390</v>
      </c>
      <c r="O4100" t="s">
        <v>111</v>
      </c>
      <c r="P4100" t="str">
        <f>"85050-4863"</f>
        <v>85050-4863</v>
      </c>
      <c r="Q4100" t="s">
        <v>113</v>
      </c>
      <c r="R4100" t="str">
        <f>"213-13-390"</f>
        <v>213-13-390</v>
      </c>
      <c r="S4100" t="s">
        <v>26062</v>
      </c>
      <c r="T4100" t="s">
        <v>26062</v>
      </c>
      <c r="U4100">
        <v>1670</v>
      </c>
      <c r="V4100">
        <v>0</v>
      </c>
      <c r="W4100">
        <v>3</v>
      </c>
      <c r="X4100">
        <v>2000</v>
      </c>
      <c r="Z4100">
        <v>1</v>
      </c>
      <c r="AA4100" t="s">
        <v>26</v>
      </c>
      <c r="AB4100">
        <v>0</v>
      </c>
      <c r="AC4100" t="s">
        <v>115</v>
      </c>
      <c r="AD4100">
        <v>2</v>
      </c>
      <c r="AE4100" t="s">
        <v>115</v>
      </c>
      <c r="AF4100">
        <v>0</v>
      </c>
      <c r="AG4100">
        <v>0</v>
      </c>
      <c r="AH4100" t="s">
        <v>116</v>
      </c>
      <c r="AI4100" s="1">
        <v>43984</v>
      </c>
      <c r="AJ4100" s="2">
        <v>0.12</v>
      </c>
      <c r="AK4100" s="1">
        <v>379709</v>
      </c>
      <c r="AL4100" t="s">
        <v>117</v>
      </c>
      <c r="AM4100" t="s">
        <v>191</v>
      </c>
      <c r="AN4100">
        <v>8054</v>
      </c>
      <c r="AO4100">
        <v>0.18</v>
      </c>
      <c r="AP4100">
        <v>1</v>
      </c>
      <c r="AR4100">
        <v>1</v>
      </c>
      <c r="AS4100" s="1">
        <v>28170</v>
      </c>
      <c r="AT4100" s="1">
        <v>5630</v>
      </c>
      <c r="AU4100" s="1">
        <v>22540</v>
      </c>
      <c r="AV4100">
        <v>80.010000000000005</v>
      </c>
      <c r="AX4100" s="1">
        <v>2613.98</v>
      </c>
      <c r="AY4100" t="s">
        <v>11778</v>
      </c>
      <c r="AZ4100" t="s">
        <v>6352</v>
      </c>
      <c r="BA4100" t="s">
        <v>762</v>
      </c>
      <c r="BE4100" s="3">
        <v>42515</v>
      </c>
      <c r="BF4100" s="1">
        <v>325000</v>
      </c>
      <c r="BG4100" t="s">
        <v>26063</v>
      </c>
      <c r="BH4100" s="1">
        <v>194.61</v>
      </c>
      <c r="BI4100" s="1">
        <v>335725</v>
      </c>
      <c r="BJ4100" s="3">
        <v>42515</v>
      </c>
      <c r="BK4100" t="s">
        <v>123</v>
      </c>
      <c r="BL4100" t="str">
        <f>"2016.361511"</f>
        <v>2016.361511</v>
      </c>
      <c r="BM4100" t="s">
        <v>9140</v>
      </c>
      <c r="BO4100" t="s">
        <v>26064</v>
      </c>
      <c r="BS4100">
        <v>30</v>
      </c>
      <c r="BW4100" t="str">
        <f>""</f>
        <v/>
      </c>
      <c r="CH4100" t="str">
        <f>""</f>
        <v/>
      </c>
      <c r="CS4100" t="str">
        <f>""</f>
        <v/>
      </c>
    </row>
    <row r="4101" spans="1:97" x14ac:dyDescent="0.25">
      <c r="A4101" t="s">
        <v>3613</v>
      </c>
      <c r="B4101" t="s">
        <v>865</v>
      </c>
      <c r="E4101" t="s">
        <v>26065</v>
      </c>
      <c r="F4101" t="s">
        <v>108</v>
      </c>
      <c r="H4101" t="s">
        <v>26066</v>
      </c>
      <c r="I4101" t="s">
        <v>632</v>
      </c>
      <c r="J4101" t="s">
        <v>111</v>
      </c>
      <c r="K4101" t="str">
        <f>"85387"</f>
        <v>85387</v>
      </c>
      <c r="L4101" t="s">
        <v>6529</v>
      </c>
      <c r="M4101" t="s">
        <v>26067</v>
      </c>
      <c r="N4101" t="s">
        <v>1936</v>
      </c>
      <c r="O4101" t="s">
        <v>111</v>
      </c>
      <c r="P4101" t="str">
        <f>"85387"</f>
        <v>85387</v>
      </c>
      <c r="Q4101" t="s">
        <v>113</v>
      </c>
      <c r="R4101" t="str">
        <f>"503-96-931"</f>
        <v>503-96-931</v>
      </c>
      <c r="S4101" t="s">
        <v>17655</v>
      </c>
      <c r="T4101" t="s">
        <v>5498</v>
      </c>
      <c r="U4101">
        <v>2697</v>
      </c>
      <c r="V4101">
        <v>0</v>
      </c>
      <c r="W4101">
        <v>3</v>
      </c>
      <c r="X4101">
        <v>2014</v>
      </c>
      <c r="Z4101">
        <v>2</v>
      </c>
      <c r="AB4101">
        <v>0</v>
      </c>
      <c r="AC4101" t="s">
        <v>115</v>
      </c>
      <c r="AD4101">
        <v>4</v>
      </c>
      <c r="AE4101" t="s">
        <v>115</v>
      </c>
      <c r="AF4101">
        <v>0</v>
      </c>
      <c r="AG4101">
        <v>0</v>
      </c>
      <c r="AH4101" t="s">
        <v>116</v>
      </c>
      <c r="AI4101" s="1">
        <v>65559</v>
      </c>
      <c r="AJ4101" s="2">
        <v>0.19</v>
      </c>
      <c r="AK4101" s="1">
        <v>342626</v>
      </c>
      <c r="AL4101" t="s">
        <v>117</v>
      </c>
      <c r="AM4101" t="s">
        <v>118</v>
      </c>
      <c r="AN4101">
        <v>10010</v>
      </c>
      <c r="AO4101">
        <v>0.23</v>
      </c>
      <c r="AR4101">
        <v>1</v>
      </c>
      <c r="AS4101" s="1">
        <v>25470</v>
      </c>
      <c r="AT4101" s="1">
        <v>5090</v>
      </c>
      <c r="AU4101" s="1">
        <v>20380</v>
      </c>
      <c r="AV4101">
        <v>80.02</v>
      </c>
      <c r="AX4101" s="1">
        <v>1282.76</v>
      </c>
      <c r="AY4101" t="s">
        <v>5499</v>
      </c>
      <c r="AZ4101" t="s">
        <v>5499</v>
      </c>
      <c r="BE4101" s="3">
        <v>41806</v>
      </c>
      <c r="BF4101" s="1">
        <v>268216</v>
      </c>
      <c r="BG4101" t="s">
        <v>446</v>
      </c>
      <c r="BH4101" s="1">
        <v>99.45</v>
      </c>
      <c r="BI4101" s="1">
        <v>277067</v>
      </c>
      <c r="BJ4101" s="3">
        <v>41806</v>
      </c>
      <c r="BK4101" t="s">
        <v>123</v>
      </c>
      <c r="BL4101" t="str">
        <f>"2014.391845"</f>
        <v>2014.391845</v>
      </c>
      <c r="BM4101" t="s">
        <v>2716</v>
      </c>
      <c r="BO4101" t="s">
        <v>26068</v>
      </c>
      <c r="BS4101">
        <v>30</v>
      </c>
      <c r="BW4101" t="str">
        <f>""</f>
        <v/>
      </c>
      <c r="CH4101" t="str">
        <f>""</f>
        <v/>
      </c>
      <c r="CS4101" t="str">
        <f>""</f>
        <v/>
      </c>
    </row>
    <row r="4102" spans="1:97" x14ac:dyDescent="0.25">
      <c r="A4102" t="s">
        <v>1850</v>
      </c>
      <c r="B4102" t="s">
        <v>26069</v>
      </c>
      <c r="E4102" t="s">
        <v>26070</v>
      </c>
      <c r="F4102" t="s">
        <v>108</v>
      </c>
      <c r="H4102" t="s">
        <v>26071</v>
      </c>
      <c r="I4102" t="s">
        <v>453</v>
      </c>
      <c r="J4102" t="s">
        <v>111</v>
      </c>
      <c r="K4102" t="str">
        <f>"85383"</f>
        <v>85383</v>
      </c>
      <c r="L4102" t="s">
        <v>4467</v>
      </c>
      <c r="M4102" t="s">
        <v>26071</v>
      </c>
      <c r="N4102" t="s">
        <v>453</v>
      </c>
      <c r="O4102" t="s">
        <v>111</v>
      </c>
      <c r="P4102" t="str">
        <f>"85383-3499"</f>
        <v>85383-3499</v>
      </c>
      <c r="Q4102" t="s">
        <v>113</v>
      </c>
      <c r="R4102" t="str">
        <f>"510-01-285"</f>
        <v>510-01-285</v>
      </c>
      <c r="S4102" t="s">
        <v>11294</v>
      </c>
      <c r="T4102" t="s">
        <v>11295</v>
      </c>
      <c r="U4102">
        <v>1851</v>
      </c>
      <c r="V4102">
        <v>0</v>
      </c>
      <c r="W4102">
        <v>3</v>
      </c>
      <c r="X4102">
        <v>2005</v>
      </c>
      <c r="Z4102">
        <v>1</v>
      </c>
      <c r="AA4102" t="s">
        <v>26</v>
      </c>
      <c r="AB4102">
        <v>0</v>
      </c>
      <c r="AC4102" t="s">
        <v>115</v>
      </c>
      <c r="AD4102">
        <v>2</v>
      </c>
      <c r="AE4102" t="s">
        <v>115</v>
      </c>
      <c r="AF4102">
        <v>0</v>
      </c>
      <c r="AG4102">
        <v>0</v>
      </c>
      <c r="AH4102" t="s">
        <v>116</v>
      </c>
      <c r="AI4102" s="1">
        <v>103329</v>
      </c>
      <c r="AJ4102" s="2">
        <v>0.34</v>
      </c>
      <c r="AK4102" s="1">
        <v>306529</v>
      </c>
      <c r="AL4102" t="s">
        <v>117</v>
      </c>
      <c r="AM4102" t="s">
        <v>118</v>
      </c>
      <c r="AN4102">
        <v>5936</v>
      </c>
      <c r="AO4102">
        <v>0.14000000000000001</v>
      </c>
      <c r="AR4102">
        <v>1</v>
      </c>
      <c r="AS4102" s="1">
        <v>19560</v>
      </c>
      <c r="AT4102" s="1">
        <v>3910</v>
      </c>
      <c r="AU4102" s="1">
        <v>15650</v>
      </c>
      <c r="AV4102">
        <v>80.010000000000005</v>
      </c>
      <c r="AX4102" s="1">
        <v>2271.12</v>
      </c>
      <c r="AY4102" t="s">
        <v>627</v>
      </c>
      <c r="AZ4102" t="s">
        <v>627</v>
      </c>
      <c r="BA4102" t="s">
        <v>457</v>
      </c>
      <c r="BE4102" s="3">
        <v>42384</v>
      </c>
      <c r="BF4102" s="1">
        <v>254000</v>
      </c>
      <c r="BG4102" t="s">
        <v>26072</v>
      </c>
      <c r="BH4102" s="1">
        <v>137.22</v>
      </c>
      <c r="BI4102" s="1">
        <v>203200</v>
      </c>
      <c r="BJ4102" s="3">
        <v>42384</v>
      </c>
      <c r="BK4102" t="s">
        <v>123</v>
      </c>
      <c r="BL4102" t="str">
        <f>"2016.29421"</f>
        <v>2016.29421</v>
      </c>
      <c r="BM4102" t="s">
        <v>475</v>
      </c>
      <c r="BO4102" t="s">
        <v>26073</v>
      </c>
      <c r="BS4102">
        <v>30</v>
      </c>
      <c r="BW4102" t="str">
        <f>""</f>
        <v/>
      </c>
      <c r="CH4102" t="str">
        <f>""</f>
        <v/>
      </c>
      <c r="CS4102" t="str">
        <f>""</f>
        <v/>
      </c>
    </row>
    <row r="4103" spans="1:97" x14ac:dyDescent="0.25">
      <c r="A4103" t="s">
        <v>305</v>
      </c>
      <c r="B4103" t="s">
        <v>26074</v>
      </c>
      <c r="C4103" t="s">
        <v>1366</v>
      </c>
      <c r="D4103" t="s">
        <v>11026</v>
      </c>
      <c r="E4103" t="s">
        <v>26075</v>
      </c>
      <c r="F4103" t="s">
        <v>108</v>
      </c>
      <c r="H4103" t="s">
        <v>26076</v>
      </c>
      <c r="I4103" t="s">
        <v>110</v>
      </c>
      <c r="J4103" t="s">
        <v>111</v>
      </c>
      <c r="K4103" t="str">
        <f>"85249"</f>
        <v>85249</v>
      </c>
      <c r="L4103" t="s">
        <v>3225</v>
      </c>
      <c r="M4103" t="s">
        <v>26076</v>
      </c>
      <c r="N4103" t="s">
        <v>110</v>
      </c>
      <c r="O4103" t="s">
        <v>111</v>
      </c>
      <c r="P4103" t="str">
        <f>"85249-7104"</f>
        <v>85249-7104</v>
      </c>
      <c r="Q4103" t="s">
        <v>113</v>
      </c>
      <c r="R4103" t="str">
        <f>"304-84-423"</f>
        <v>304-84-423</v>
      </c>
      <c r="S4103" t="s">
        <v>9127</v>
      </c>
      <c r="U4103">
        <v>2309</v>
      </c>
      <c r="V4103">
        <v>0</v>
      </c>
      <c r="W4103">
        <v>3</v>
      </c>
      <c r="X4103">
        <v>2002</v>
      </c>
      <c r="Z4103">
        <v>1</v>
      </c>
      <c r="AB4103">
        <v>0</v>
      </c>
      <c r="AC4103" t="s">
        <v>115</v>
      </c>
      <c r="AD4103">
        <v>2</v>
      </c>
      <c r="AE4103" t="s">
        <v>115</v>
      </c>
      <c r="AF4103">
        <v>0</v>
      </c>
      <c r="AG4103">
        <v>0</v>
      </c>
      <c r="AH4103" t="s">
        <v>116</v>
      </c>
      <c r="AI4103" s="1">
        <v>70990</v>
      </c>
      <c r="AJ4103" s="2">
        <v>0.2</v>
      </c>
      <c r="AK4103" s="1">
        <v>354670</v>
      </c>
      <c r="AL4103" t="s">
        <v>117</v>
      </c>
      <c r="AM4103" t="s">
        <v>118</v>
      </c>
      <c r="AN4103">
        <v>8100</v>
      </c>
      <c r="AO4103">
        <v>0.19</v>
      </c>
      <c r="AP4103">
        <v>1</v>
      </c>
      <c r="AR4103">
        <v>1</v>
      </c>
      <c r="AS4103" s="1">
        <v>24270</v>
      </c>
      <c r="AT4103" s="1">
        <v>4850</v>
      </c>
      <c r="AU4103" s="1">
        <v>19420</v>
      </c>
      <c r="AV4103">
        <v>80.02</v>
      </c>
      <c r="AX4103" s="1">
        <v>1949.3</v>
      </c>
      <c r="AY4103" t="s">
        <v>6269</v>
      </c>
      <c r="AZ4103" t="s">
        <v>273</v>
      </c>
      <c r="BA4103" t="s">
        <v>274</v>
      </c>
      <c r="BB4103" s="3">
        <v>43362</v>
      </c>
      <c r="BC4103" s="1">
        <v>0</v>
      </c>
      <c r="BD4103" t="s">
        <v>247</v>
      </c>
      <c r="BE4103" s="3">
        <v>41939</v>
      </c>
      <c r="BF4103" s="1">
        <v>275000</v>
      </c>
      <c r="BG4103" t="s">
        <v>26077</v>
      </c>
      <c r="BH4103" s="1">
        <v>119.1</v>
      </c>
      <c r="BI4103" s="1">
        <v>283680</v>
      </c>
      <c r="BJ4103" s="3">
        <v>42465</v>
      </c>
      <c r="BK4103" t="s">
        <v>123</v>
      </c>
      <c r="BL4103" t="str">
        <f>"2016.222110"</f>
        <v>2016.222110</v>
      </c>
      <c r="BM4103" t="s">
        <v>1038</v>
      </c>
      <c r="BN4103" t="s">
        <v>132</v>
      </c>
      <c r="BO4103" t="s">
        <v>26078</v>
      </c>
      <c r="BS4103">
        <v>30</v>
      </c>
      <c r="BW4103" t="str">
        <f>""</f>
        <v/>
      </c>
      <c r="CH4103" t="str">
        <f>""</f>
        <v/>
      </c>
      <c r="CS4103" t="str">
        <f>""</f>
        <v/>
      </c>
    </row>
    <row r="4104" spans="1:97" x14ac:dyDescent="0.25">
      <c r="A4104" t="s">
        <v>325</v>
      </c>
      <c r="B4104" t="s">
        <v>26079</v>
      </c>
      <c r="C4104" t="s">
        <v>26080</v>
      </c>
      <c r="D4104" t="s">
        <v>26079</v>
      </c>
      <c r="E4104" t="s">
        <v>26081</v>
      </c>
      <c r="F4104" t="s">
        <v>108</v>
      </c>
      <c r="H4104" t="s">
        <v>26082</v>
      </c>
      <c r="I4104" t="s">
        <v>203</v>
      </c>
      <c r="J4104" t="s">
        <v>111</v>
      </c>
      <c r="K4104" t="str">
        <f>"85296"</f>
        <v>85296</v>
      </c>
      <c r="L4104" t="s">
        <v>516</v>
      </c>
      <c r="M4104" t="s">
        <v>26082</v>
      </c>
      <c r="N4104" t="s">
        <v>203</v>
      </c>
      <c r="O4104" t="s">
        <v>111</v>
      </c>
      <c r="P4104" t="str">
        <f>"85296-1838"</f>
        <v>85296-1838</v>
      </c>
      <c r="Q4104" t="s">
        <v>113</v>
      </c>
      <c r="R4104" t="str">
        <f>"304-19-711"</f>
        <v>304-19-711</v>
      </c>
      <c r="S4104" t="s">
        <v>7786</v>
      </c>
      <c r="T4104" t="s">
        <v>7786</v>
      </c>
      <c r="U4104">
        <v>2197</v>
      </c>
      <c r="V4104">
        <v>0</v>
      </c>
      <c r="W4104">
        <v>4</v>
      </c>
      <c r="X4104">
        <v>2010</v>
      </c>
      <c r="Z4104">
        <v>2</v>
      </c>
      <c r="AB4104">
        <v>0</v>
      </c>
      <c r="AC4104" t="s">
        <v>115</v>
      </c>
      <c r="AD4104">
        <v>2</v>
      </c>
      <c r="AE4104" t="s">
        <v>115</v>
      </c>
      <c r="AF4104">
        <v>0</v>
      </c>
      <c r="AG4104">
        <v>0</v>
      </c>
      <c r="AH4104" t="s">
        <v>116</v>
      </c>
      <c r="AI4104" s="1">
        <v>55485</v>
      </c>
      <c r="AJ4104" s="2">
        <v>0.15</v>
      </c>
      <c r="AK4104" s="1">
        <v>361935</v>
      </c>
      <c r="AL4104" t="s">
        <v>117</v>
      </c>
      <c r="AM4104" t="s">
        <v>191</v>
      </c>
      <c r="AN4104">
        <v>3825</v>
      </c>
      <c r="AO4104">
        <v>0.88</v>
      </c>
      <c r="AR4104">
        <v>1</v>
      </c>
      <c r="AS4104" s="1">
        <v>24970</v>
      </c>
      <c r="AT4104" s="1">
        <v>4990</v>
      </c>
      <c r="AU4104" s="1">
        <v>19980</v>
      </c>
      <c r="AV4104">
        <v>80.02</v>
      </c>
      <c r="AX4104" s="1">
        <v>1894.54</v>
      </c>
      <c r="AY4104" t="s">
        <v>519</v>
      </c>
      <c r="AZ4104" t="s">
        <v>520</v>
      </c>
      <c r="BA4104" t="s">
        <v>521</v>
      </c>
      <c r="BE4104" s="3">
        <v>42481</v>
      </c>
      <c r="BF4104" s="1">
        <v>300000</v>
      </c>
      <c r="BG4104" t="s">
        <v>26083</v>
      </c>
      <c r="BH4104" s="1">
        <v>136.55000000000001</v>
      </c>
      <c r="BI4104" s="1">
        <v>306450</v>
      </c>
      <c r="BJ4104" s="3">
        <v>42481</v>
      </c>
      <c r="BK4104" t="s">
        <v>123</v>
      </c>
      <c r="BL4104" t="str">
        <f>"2016.268562"</f>
        <v>2016.268562</v>
      </c>
      <c r="BM4104" t="s">
        <v>135</v>
      </c>
      <c r="BO4104" t="s">
        <v>26084</v>
      </c>
      <c r="BS4104">
        <v>30</v>
      </c>
      <c r="BW4104" t="str">
        <f>""</f>
        <v/>
      </c>
      <c r="CH4104" t="str">
        <f>""</f>
        <v/>
      </c>
      <c r="CS4104" t="str">
        <f>""</f>
        <v/>
      </c>
    </row>
    <row r="4105" spans="1:97" x14ac:dyDescent="0.25">
      <c r="A4105" t="s">
        <v>3089</v>
      </c>
      <c r="B4105" t="s">
        <v>26085</v>
      </c>
      <c r="C4105" t="s">
        <v>26086</v>
      </c>
      <c r="D4105" t="s">
        <v>26085</v>
      </c>
      <c r="E4105" t="s">
        <v>26087</v>
      </c>
      <c r="F4105" t="s">
        <v>108</v>
      </c>
      <c r="H4105" t="s">
        <v>26088</v>
      </c>
      <c r="I4105" t="s">
        <v>110</v>
      </c>
      <c r="J4105" t="s">
        <v>111</v>
      </c>
      <c r="K4105" t="str">
        <f>"85249"</f>
        <v>85249</v>
      </c>
      <c r="L4105" t="s">
        <v>567</v>
      </c>
      <c r="M4105" t="s">
        <v>26088</v>
      </c>
      <c r="N4105" t="s">
        <v>110</v>
      </c>
      <c r="O4105" t="s">
        <v>111</v>
      </c>
      <c r="P4105" t="str">
        <f>"85249-7180"</f>
        <v>85249-7180</v>
      </c>
      <c r="Q4105" t="s">
        <v>113</v>
      </c>
      <c r="R4105" t="str">
        <f>"304-84-214"</f>
        <v>304-84-214</v>
      </c>
      <c r="S4105" t="s">
        <v>26089</v>
      </c>
      <c r="U4105">
        <v>3479</v>
      </c>
      <c r="V4105">
        <v>0</v>
      </c>
      <c r="W4105">
        <v>4</v>
      </c>
      <c r="X4105">
        <v>2003</v>
      </c>
      <c r="Z4105">
        <v>2</v>
      </c>
      <c r="AA4105" t="s">
        <v>26</v>
      </c>
      <c r="AB4105">
        <v>0</v>
      </c>
      <c r="AC4105" t="s">
        <v>115</v>
      </c>
      <c r="AD4105">
        <v>3</v>
      </c>
      <c r="AE4105" t="s">
        <v>115</v>
      </c>
      <c r="AF4105">
        <v>0</v>
      </c>
      <c r="AG4105">
        <v>0</v>
      </c>
      <c r="AH4105" t="s">
        <v>116</v>
      </c>
      <c r="AI4105" s="1">
        <v>84452</v>
      </c>
      <c r="AJ4105" s="2">
        <v>0.2</v>
      </c>
      <c r="AK4105" s="1">
        <v>428061</v>
      </c>
      <c r="AL4105" t="s">
        <v>117</v>
      </c>
      <c r="AM4105" t="s">
        <v>118</v>
      </c>
      <c r="AN4105">
        <v>9375</v>
      </c>
      <c r="AO4105">
        <v>0.22</v>
      </c>
      <c r="AP4105">
        <v>1</v>
      </c>
      <c r="AR4105">
        <v>1</v>
      </c>
      <c r="AS4105" s="1">
        <v>29580</v>
      </c>
      <c r="AT4105" s="1">
        <v>5910</v>
      </c>
      <c r="AU4105" s="1">
        <v>23670</v>
      </c>
      <c r="AV4105">
        <v>80.02</v>
      </c>
      <c r="AX4105" s="1">
        <v>2749.12</v>
      </c>
      <c r="AY4105" t="s">
        <v>6269</v>
      </c>
      <c r="AZ4105" t="s">
        <v>273</v>
      </c>
      <c r="BA4105" t="s">
        <v>274</v>
      </c>
      <c r="BE4105" s="3">
        <v>42226</v>
      </c>
      <c r="BF4105" s="1">
        <v>349900</v>
      </c>
      <c r="BG4105" t="s">
        <v>26090</v>
      </c>
      <c r="BH4105" s="1">
        <v>100.57</v>
      </c>
      <c r="BI4105" s="1">
        <v>343609</v>
      </c>
      <c r="BJ4105" s="3">
        <v>42760</v>
      </c>
      <c r="BK4105" t="s">
        <v>123</v>
      </c>
      <c r="BL4105" t="str">
        <f>"2017.56443"</f>
        <v>2017.56443</v>
      </c>
      <c r="BM4105" t="s">
        <v>1033</v>
      </c>
      <c r="BO4105" t="s">
        <v>26091</v>
      </c>
      <c r="BS4105">
        <v>30</v>
      </c>
      <c r="BW4105" t="str">
        <f>""</f>
        <v/>
      </c>
      <c r="CH4105" t="str">
        <f>""</f>
        <v/>
      </c>
      <c r="CS4105" t="str">
        <f>""</f>
        <v/>
      </c>
    </row>
    <row r="4106" spans="1:97" x14ac:dyDescent="0.25">
      <c r="A4106" t="s">
        <v>1109</v>
      </c>
      <c r="B4106" t="s">
        <v>26092</v>
      </c>
      <c r="E4106" t="s">
        <v>26093</v>
      </c>
      <c r="F4106" t="s">
        <v>108</v>
      </c>
      <c r="H4106" t="s">
        <v>26094</v>
      </c>
      <c r="I4106" t="s">
        <v>225</v>
      </c>
      <c r="J4106" t="s">
        <v>111</v>
      </c>
      <c r="K4106" t="str">
        <f>"85205"</f>
        <v>85205</v>
      </c>
      <c r="L4106" t="s">
        <v>5464</v>
      </c>
      <c r="M4106" t="s">
        <v>26094</v>
      </c>
      <c r="N4106" t="s">
        <v>225</v>
      </c>
      <c r="O4106" t="s">
        <v>111</v>
      </c>
      <c r="P4106" t="str">
        <f>"85205-6456"</f>
        <v>85205-6456</v>
      </c>
      <c r="Q4106" t="s">
        <v>113</v>
      </c>
      <c r="R4106" t="str">
        <f>"140-16-283"</f>
        <v>140-16-283</v>
      </c>
      <c r="S4106" t="s">
        <v>26095</v>
      </c>
      <c r="T4106" t="s">
        <v>6748</v>
      </c>
      <c r="U4106">
        <v>2023</v>
      </c>
      <c r="V4106">
        <v>0</v>
      </c>
      <c r="W4106">
        <v>3</v>
      </c>
      <c r="X4106">
        <v>1988</v>
      </c>
      <c r="Z4106">
        <v>2</v>
      </c>
      <c r="AA4106" t="s">
        <v>26</v>
      </c>
      <c r="AB4106">
        <v>0</v>
      </c>
      <c r="AC4106" t="s">
        <v>115</v>
      </c>
      <c r="AD4106">
        <v>2</v>
      </c>
      <c r="AE4106" t="s">
        <v>115</v>
      </c>
      <c r="AF4106">
        <v>0</v>
      </c>
      <c r="AG4106">
        <v>0</v>
      </c>
      <c r="AH4106" t="s">
        <v>116</v>
      </c>
      <c r="AI4106" s="1">
        <v>71009</v>
      </c>
      <c r="AJ4106" s="2">
        <v>0.23</v>
      </c>
      <c r="AK4106" s="1">
        <v>315559</v>
      </c>
      <c r="AL4106" t="s">
        <v>117</v>
      </c>
      <c r="AM4106" t="s">
        <v>393</v>
      </c>
      <c r="AN4106">
        <v>9359</v>
      </c>
      <c r="AO4106">
        <v>0.22</v>
      </c>
      <c r="AP4106">
        <v>1</v>
      </c>
      <c r="AR4106">
        <v>1</v>
      </c>
      <c r="AS4106" s="1">
        <v>21920</v>
      </c>
      <c r="AT4106" s="1">
        <v>4380</v>
      </c>
      <c r="AU4106" s="1">
        <v>17540</v>
      </c>
      <c r="AV4106">
        <v>80.02</v>
      </c>
      <c r="AX4106" s="1">
        <v>1595.78</v>
      </c>
      <c r="AY4106" t="s">
        <v>7054</v>
      </c>
      <c r="AZ4106" t="s">
        <v>5275</v>
      </c>
      <c r="BA4106" t="s">
        <v>3119</v>
      </c>
      <c r="BE4106" s="3">
        <v>41691</v>
      </c>
      <c r="BF4106" s="1">
        <v>216000</v>
      </c>
      <c r="BG4106" t="s">
        <v>26096</v>
      </c>
      <c r="BH4106" s="1">
        <v>106.77</v>
      </c>
      <c r="BI4106" s="1">
        <v>211550</v>
      </c>
      <c r="BJ4106" s="3">
        <v>42436</v>
      </c>
      <c r="BK4106" t="s">
        <v>123</v>
      </c>
      <c r="BL4106" t="str">
        <f>"2016.145630"</f>
        <v>2016.145630</v>
      </c>
      <c r="BM4106" t="s">
        <v>124</v>
      </c>
      <c r="BN4106" t="s">
        <v>1575</v>
      </c>
      <c r="BO4106" t="s">
        <v>26097</v>
      </c>
      <c r="BS4106">
        <v>30</v>
      </c>
      <c r="BT4106" s="1">
        <v>33000</v>
      </c>
      <c r="BU4106" s="3">
        <v>43388</v>
      </c>
      <c r="BW4106" t="str">
        <f>"2018.769240"</f>
        <v>2018.769240</v>
      </c>
      <c r="BX4106" t="s">
        <v>342</v>
      </c>
      <c r="BY4106" t="s">
        <v>343</v>
      </c>
      <c r="BZ4106" t="s">
        <v>26098</v>
      </c>
      <c r="CC4106" t="s">
        <v>346</v>
      </c>
      <c r="CH4106" t="str">
        <f>""</f>
        <v/>
      </c>
      <c r="CS4106" t="str">
        <f>""</f>
        <v/>
      </c>
    </row>
    <row r="4107" spans="1:97" x14ac:dyDescent="0.25">
      <c r="A4107" t="s">
        <v>3221</v>
      </c>
      <c r="B4107" t="s">
        <v>26099</v>
      </c>
      <c r="C4107" t="s">
        <v>6679</v>
      </c>
      <c r="D4107" t="s">
        <v>26100</v>
      </c>
      <c r="E4107" t="s">
        <v>26101</v>
      </c>
      <c r="F4107" t="s">
        <v>108</v>
      </c>
      <c r="H4107" t="s">
        <v>26102</v>
      </c>
      <c r="I4107" t="s">
        <v>203</v>
      </c>
      <c r="J4107" t="s">
        <v>111</v>
      </c>
      <c r="K4107" t="str">
        <f>"85233"</f>
        <v>85233</v>
      </c>
      <c r="L4107" t="s">
        <v>3225</v>
      </c>
      <c r="M4107" t="s">
        <v>26102</v>
      </c>
      <c r="N4107" t="s">
        <v>203</v>
      </c>
      <c r="O4107" t="s">
        <v>111</v>
      </c>
      <c r="P4107" t="str">
        <f>"85233-5131"</f>
        <v>85233-5131</v>
      </c>
      <c r="Q4107" t="s">
        <v>113</v>
      </c>
      <c r="R4107" t="str">
        <f>"302-21-587"</f>
        <v>302-21-587</v>
      </c>
      <c r="S4107" t="s">
        <v>10299</v>
      </c>
      <c r="T4107" t="s">
        <v>10299</v>
      </c>
      <c r="U4107">
        <v>2468</v>
      </c>
      <c r="V4107">
        <v>0</v>
      </c>
      <c r="W4107">
        <v>4</v>
      </c>
      <c r="X4107">
        <v>1997</v>
      </c>
      <c r="Z4107">
        <v>2</v>
      </c>
      <c r="AA4107" t="s">
        <v>26</v>
      </c>
      <c r="AB4107">
        <v>0</v>
      </c>
      <c r="AC4107" t="s">
        <v>115</v>
      </c>
      <c r="AD4107">
        <v>3</v>
      </c>
      <c r="AE4107" t="s">
        <v>115</v>
      </c>
      <c r="AF4107">
        <v>0</v>
      </c>
      <c r="AG4107">
        <v>0</v>
      </c>
      <c r="AH4107" t="s">
        <v>116</v>
      </c>
      <c r="AI4107" s="1">
        <v>107868</v>
      </c>
      <c r="AJ4107" s="2">
        <v>0.26</v>
      </c>
      <c r="AK4107" s="1">
        <v>409278</v>
      </c>
      <c r="AL4107" t="s">
        <v>117</v>
      </c>
      <c r="AM4107" t="s">
        <v>288</v>
      </c>
      <c r="AN4107">
        <v>8555</v>
      </c>
      <c r="AO4107">
        <v>0.2</v>
      </c>
      <c r="AP4107">
        <v>1</v>
      </c>
      <c r="AR4107">
        <v>1</v>
      </c>
      <c r="AS4107" s="1">
        <v>29150</v>
      </c>
      <c r="AT4107" s="1">
        <v>5830</v>
      </c>
      <c r="AU4107" s="1">
        <v>23320</v>
      </c>
      <c r="AV4107">
        <v>80</v>
      </c>
      <c r="AX4107" s="1">
        <v>2225.2399999999998</v>
      </c>
      <c r="AY4107" t="s">
        <v>9989</v>
      </c>
      <c r="AZ4107" t="s">
        <v>5478</v>
      </c>
      <c r="BA4107" t="s">
        <v>5479</v>
      </c>
      <c r="BB4107" s="3">
        <v>42272</v>
      </c>
      <c r="BD4107" t="s">
        <v>240</v>
      </c>
      <c r="BE4107" s="3">
        <v>42272</v>
      </c>
      <c r="BF4107" s="1">
        <v>334900</v>
      </c>
      <c r="BG4107" t="s">
        <v>26103</v>
      </c>
      <c r="BH4107" s="1">
        <v>135.69999999999999</v>
      </c>
      <c r="BI4107" s="1">
        <v>301410</v>
      </c>
      <c r="BJ4107" s="3">
        <v>42272</v>
      </c>
      <c r="BK4107" t="s">
        <v>123</v>
      </c>
      <c r="BL4107" t="str">
        <f>"2015.690166"</f>
        <v>2015.690166</v>
      </c>
      <c r="BM4107" t="s">
        <v>1287</v>
      </c>
      <c r="BO4107" t="s">
        <v>26104</v>
      </c>
      <c r="BS4107">
        <v>30</v>
      </c>
      <c r="BW4107" t="str">
        <f>""</f>
        <v/>
      </c>
      <c r="CH4107" t="str">
        <f>""</f>
        <v/>
      </c>
      <c r="CS4107" t="str">
        <f>""</f>
        <v/>
      </c>
    </row>
    <row r="4108" spans="1:97" x14ac:dyDescent="0.25">
      <c r="A4108" t="s">
        <v>3718</v>
      </c>
      <c r="B4108" t="s">
        <v>23771</v>
      </c>
      <c r="C4108" t="s">
        <v>17474</v>
      </c>
      <c r="D4108" t="s">
        <v>23771</v>
      </c>
      <c r="E4108" t="s">
        <v>26105</v>
      </c>
      <c r="F4108" t="s">
        <v>108</v>
      </c>
      <c r="H4108" t="s">
        <v>26106</v>
      </c>
      <c r="I4108" t="s">
        <v>167</v>
      </c>
      <c r="J4108" t="s">
        <v>111</v>
      </c>
      <c r="K4108" t="str">
        <f>"85339"</f>
        <v>85339</v>
      </c>
      <c r="L4108" t="s">
        <v>3758</v>
      </c>
      <c r="M4108" t="s">
        <v>26106</v>
      </c>
      <c r="N4108" t="s">
        <v>167</v>
      </c>
      <c r="O4108" t="s">
        <v>111</v>
      </c>
      <c r="P4108" t="str">
        <f>"85339-8227"</f>
        <v>85339-8227</v>
      </c>
      <c r="Q4108" t="s">
        <v>113</v>
      </c>
      <c r="R4108" t="str">
        <f>"300-81-014-K"</f>
        <v>300-81-014-K</v>
      </c>
      <c r="S4108" t="s">
        <v>26107</v>
      </c>
      <c r="T4108" t="s">
        <v>26107</v>
      </c>
      <c r="U4108">
        <v>3675</v>
      </c>
      <c r="V4108">
        <v>0</v>
      </c>
      <c r="W4108">
        <v>4</v>
      </c>
      <c r="X4108">
        <v>2007</v>
      </c>
      <c r="Z4108">
        <v>1</v>
      </c>
      <c r="AB4108">
        <v>0</v>
      </c>
      <c r="AC4108" t="s">
        <v>115</v>
      </c>
      <c r="AD4108">
        <v>3</v>
      </c>
      <c r="AE4108" t="s">
        <v>115</v>
      </c>
      <c r="AF4108">
        <v>0</v>
      </c>
      <c r="AG4108">
        <v>0</v>
      </c>
      <c r="AH4108" t="s">
        <v>116</v>
      </c>
      <c r="AI4108" s="1">
        <v>81523</v>
      </c>
      <c r="AJ4108" s="2">
        <v>0.15</v>
      </c>
      <c r="AK4108" s="1">
        <v>544910</v>
      </c>
      <c r="AL4108" t="s">
        <v>117</v>
      </c>
      <c r="AM4108" t="s">
        <v>376</v>
      </c>
      <c r="AN4108">
        <v>43637</v>
      </c>
      <c r="AO4108">
        <v>1</v>
      </c>
      <c r="AR4108">
        <v>1</v>
      </c>
      <c r="AS4108" s="1">
        <v>38820</v>
      </c>
      <c r="AT4108" s="1">
        <v>7760</v>
      </c>
      <c r="AU4108" s="1">
        <v>31060</v>
      </c>
      <c r="AV4108">
        <v>80.010000000000005</v>
      </c>
      <c r="AX4108" s="1">
        <v>5879.9</v>
      </c>
      <c r="AY4108" t="s">
        <v>806</v>
      </c>
      <c r="AZ4108" t="s">
        <v>806</v>
      </c>
      <c r="BA4108" t="s">
        <v>1661</v>
      </c>
      <c r="BB4108" s="3">
        <v>41906</v>
      </c>
      <c r="BD4108" t="s">
        <v>240</v>
      </c>
      <c r="BE4108" s="3">
        <v>41906</v>
      </c>
      <c r="BF4108" s="1">
        <v>430000</v>
      </c>
      <c r="BG4108" t="s">
        <v>26108</v>
      </c>
      <c r="BH4108" s="1">
        <v>117.01</v>
      </c>
      <c r="BI4108" s="1">
        <v>418387</v>
      </c>
      <c r="BJ4108" s="3">
        <v>42972</v>
      </c>
      <c r="BK4108" t="s">
        <v>123</v>
      </c>
      <c r="BL4108" t="str">
        <f>"2017.628386"</f>
        <v>2017.628386</v>
      </c>
      <c r="BM4108" t="s">
        <v>135</v>
      </c>
      <c r="BN4108">
        <v>22180</v>
      </c>
      <c r="BO4108" t="s">
        <v>26109</v>
      </c>
      <c r="BS4108">
        <v>30</v>
      </c>
      <c r="BT4108" s="1">
        <v>45000</v>
      </c>
      <c r="BU4108" s="3">
        <v>43637</v>
      </c>
      <c r="BW4108" t="str">
        <f>"2019.468277"</f>
        <v>2019.468277</v>
      </c>
      <c r="BX4108" t="s">
        <v>135</v>
      </c>
      <c r="BY4108" t="s">
        <v>136</v>
      </c>
      <c r="BZ4108" t="s">
        <v>26110</v>
      </c>
      <c r="CA4108" t="s">
        <v>26111</v>
      </c>
      <c r="CC4108" t="s">
        <v>346</v>
      </c>
      <c r="CH4108" t="str">
        <f>""</f>
        <v/>
      </c>
      <c r="CS4108" t="str">
        <f>""</f>
        <v/>
      </c>
    </row>
    <row r="4109" spans="1:97" x14ac:dyDescent="0.25">
      <c r="A4109" t="s">
        <v>9055</v>
      </c>
      <c r="B4109" t="s">
        <v>10586</v>
      </c>
      <c r="E4109" t="s">
        <v>26112</v>
      </c>
      <c r="F4109" t="s">
        <v>108</v>
      </c>
      <c r="H4109" t="s">
        <v>26113</v>
      </c>
      <c r="I4109" t="s">
        <v>499</v>
      </c>
      <c r="J4109" t="s">
        <v>111</v>
      </c>
      <c r="K4109" t="str">
        <f>"85395"</f>
        <v>85395</v>
      </c>
      <c r="L4109" t="s">
        <v>500</v>
      </c>
      <c r="M4109" t="s">
        <v>26113</v>
      </c>
      <c r="N4109" t="s">
        <v>499</v>
      </c>
      <c r="O4109" t="s">
        <v>111</v>
      </c>
      <c r="P4109" t="str">
        <f>"85395-7628"</f>
        <v>85395-7628</v>
      </c>
      <c r="Q4109" t="s">
        <v>113</v>
      </c>
      <c r="R4109" t="str">
        <f>"502-30-324"</f>
        <v>502-30-324</v>
      </c>
      <c r="S4109" t="s">
        <v>11404</v>
      </c>
      <c r="T4109" t="s">
        <v>502</v>
      </c>
      <c r="U4109">
        <v>5023</v>
      </c>
      <c r="V4109">
        <v>0</v>
      </c>
      <c r="W4109">
        <v>7</v>
      </c>
      <c r="X4109">
        <v>2014</v>
      </c>
      <c r="Z4109">
        <v>2</v>
      </c>
      <c r="AB4109">
        <v>0</v>
      </c>
      <c r="AC4109" t="s">
        <v>115</v>
      </c>
      <c r="AD4109">
        <v>3</v>
      </c>
      <c r="AE4109" t="s">
        <v>115</v>
      </c>
      <c r="AF4109">
        <v>0</v>
      </c>
      <c r="AG4109">
        <v>0</v>
      </c>
      <c r="AH4109" t="s">
        <v>116</v>
      </c>
      <c r="AI4109" s="1">
        <v>39009</v>
      </c>
      <c r="AJ4109" s="2">
        <v>0.08</v>
      </c>
      <c r="AK4109" s="1">
        <v>509449</v>
      </c>
      <c r="AL4109" t="s">
        <v>117</v>
      </c>
      <c r="AM4109" t="s">
        <v>118</v>
      </c>
      <c r="AN4109">
        <v>18583</v>
      </c>
      <c r="AO4109">
        <v>0.43</v>
      </c>
      <c r="AR4109">
        <v>1</v>
      </c>
      <c r="AS4109" s="1">
        <v>37660</v>
      </c>
      <c r="AT4109" s="1">
        <v>7530</v>
      </c>
      <c r="AU4109" s="1">
        <v>30130</v>
      </c>
      <c r="AV4109">
        <v>80.010000000000005</v>
      </c>
      <c r="AX4109" s="1">
        <v>4181.6400000000003</v>
      </c>
      <c r="AY4109" t="s">
        <v>503</v>
      </c>
      <c r="AZ4109" t="s">
        <v>504</v>
      </c>
      <c r="BA4109" t="s">
        <v>218</v>
      </c>
      <c r="BB4109" s="3">
        <v>42828</v>
      </c>
      <c r="BD4109" t="s">
        <v>458</v>
      </c>
      <c r="BE4109" s="3">
        <v>41935</v>
      </c>
      <c r="BF4109" s="1">
        <v>432974</v>
      </c>
      <c r="BG4109" t="s">
        <v>209</v>
      </c>
      <c r="BH4109" s="1">
        <v>86.2</v>
      </c>
      <c r="BI4109" s="1">
        <v>470440</v>
      </c>
      <c r="BJ4109" s="3">
        <v>43579</v>
      </c>
      <c r="BK4109" t="s">
        <v>123</v>
      </c>
      <c r="BL4109" t="str">
        <f>"2019.290360"</f>
        <v>2019.290360</v>
      </c>
      <c r="BM4109" t="s">
        <v>248</v>
      </c>
      <c r="BN4109" t="s">
        <v>249</v>
      </c>
      <c r="BO4109" t="s">
        <v>26114</v>
      </c>
      <c r="BR4109" t="s">
        <v>139</v>
      </c>
      <c r="BW4109" t="str">
        <f>""</f>
        <v/>
      </c>
      <c r="CH4109" t="str">
        <f>""</f>
        <v/>
      </c>
      <c r="CS4109" t="str">
        <f>""</f>
        <v/>
      </c>
    </row>
    <row r="4110" spans="1:97" x14ac:dyDescent="0.25">
      <c r="A4110" t="s">
        <v>1979</v>
      </c>
      <c r="B4110" t="s">
        <v>26115</v>
      </c>
      <c r="C4110" t="s">
        <v>9803</v>
      </c>
      <c r="D4110" t="s">
        <v>26115</v>
      </c>
      <c r="E4110" t="s">
        <v>26116</v>
      </c>
      <c r="F4110" t="s">
        <v>108</v>
      </c>
      <c r="H4110" t="s">
        <v>26117</v>
      </c>
      <c r="I4110" t="s">
        <v>2874</v>
      </c>
      <c r="J4110" t="s">
        <v>111</v>
      </c>
      <c r="K4110" t="str">
        <f>"85308"</f>
        <v>85308</v>
      </c>
      <c r="L4110" t="s">
        <v>4282</v>
      </c>
      <c r="M4110" t="s">
        <v>26117</v>
      </c>
      <c r="N4110" t="s">
        <v>2874</v>
      </c>
      <c r="O4110" t="s">
        <v>111</v>
      </c>
      <c r="P4110" t="str">
        <f>"85308-5211"</f>
        <v>85308-5211</v>
      </c>
      <c r="Q4110" t="s">
        <v>113</v>
      </c>
      <c r="R4110" t="str">
        <f>"200-28-826"</f>
        <v>200-28-826</v>
      </c>
      <c r="S4110" t="s">
        <v>7668</v>
      </c>
      <c r="T4110" t="s">
        <v>7669</v>
      </c>
      <c r="U4110">
        <v>2161</v>
      </c>
      <c r="V4110">
        <v>0</v>
      </c>
      <c r="W4110">
        <v>3</v>
      </c>
      <c r="X4110">
        <v>1998</v>
      </c>
      <c r="Z4110">
        <v>1</v>
      </c>
      <c r="AB4110">
        <v>0</v>
      </c>
      <c r="AC4110" t="s">
        <v>115</v>
      </c>
      <c r="AD4110">
        <v>2</v>
      </c>
      <c r="AE4110" t="s">
        <v>115</v>
      </c>
      <c r="AF4110">
        <v>0</v>
      </c>
      <c r="AG4110">
        <v>0</v>
      </c>
      <c r="AH4110" t="s">
        <v>116</v>
      </c>
      <c r="AI4110" s="1">
        <v>89527</v>
      </c>
      <c r="AJ4110" s="2">
        <v>0.25</v>
      </c>
      <c r="AK4110" s="1">
        <v>359427</v>
      </c>
      <c r="AL4110" t="s">
        <v>117</v>
      </c>
      <c r="AM4110" t="s">
        <v>393</v>
      </c>
      <c r="AN4110">
        <v>7514</v>
      </c>
      <c r="AO4110">
        <v>0.17</v>
      </c>
      <c r="AP4110">
        <v>1</v>
      </c>
      <c r="AR4110">
        <v>1</v>
      </c>
      <c r="AS4110" s="1">
        <v>25730</v>
      </c>
      <c r="AT4110" s="1">
        <v>5140</v>
      </c>
      <c r="AU4110" s="1">
        <v>20590</v>
      </c>
      <c r="AV4110">
        <v>80.02</v>
      </c>
      <c r="AX4110" s="1">
        <v>2361.9</v>
      </c>
      <c r="AY4110" t="s">
        <v>6740</v>
      </c>
      <c r="AZ4110" t="s">
        <v>6740</v>
      </c>
      <c r="BA4110" t="s">
        <v>5143</v>
      </c>
      <c r="BE4110" s="3">
        <v>42046</v>
      </c>
      <c r="BF4110" s="1">
        <v>269900</v>
      </c>
      <c r="BG4110" t="s">
        <v>26118</v>
      </c>
      <c r="BH4110" s="1">
        <v>124.9</v>
      </c>
      <c r="BI4110" s="1">
        <v>269900</v>
      </c>
      <c r="BJ4110" s="3">
        <v>42046</v>
      </c>
      <c r="BK4110" t="s">
        <v>123</v>
      </c>
      <c r="BL4110" t="str">
        <f>"2015.87451"</f>
        <v>2015.87451</v>
      </c>
      <c r="BM4110" t="s">
        <v>2290</v>
      </c>
      <c r="BO4110" t="s">
        <v>26119</v>
      </c>
      <c r="BS4110">
        <v>30</v>
      </c>
      <c r="BW4110" t="str">
        <f>""</f>
        <v/>
      </c>
      <c r="CH4110" t="str">
        <f>""</f>
        <v/>
      </c>
      <c r="CS4110" t="str">
        <f>""</f>
        <v/>
      </c>
    </row>
    <row r="4111" spans="1:97" x14ac:dyDescent="0.25">
      <c r="A4111" t="s">
        <v>1850</v>
      </c>
      <c r="B4111" t="s">
        <v>26120</v>
      </c>
      <c r="C4111" t="s">
        <v>12861</v>
      </c>
      <c r="D4111" t="s">
        <v>26120</v>
      </c>
      <c r="E4111" t="s">
        <v>26121</v>
      </c>
      <c r="F4111" t="s">
        <v>108</v>
      </c>
      <c r="H4111" t="s">
        <v>26122</v>
      </c>
      <c r="I4111" t="s">
        <v>499</v>
      </c>
      <c r="J4111" t="s">
        <v>111</v>
      </c>
      <c r="K4111" t="str">
        <f>"85395"</f>
        <v>85395</v>
      </c>
      <c r="L4111" t="s">
        <v>7005</v>
      </c>
      <c r="M4111" t="s">
        <v>26122</v>
      </c>
      <c r="N4111" t="s">
        <v>499</v>
      </c>
      <c r="O4111" t="s">
        <v>111</v>
      </c>
      <c r="P4111" t="str">
        <f>"85395-8963"</f>
        <v>85395-8963</v>
      </c>
      <c r="Q4111" t="s">
        <v>113</v>
      </c>
      <c r="R4111" t="str">
        <f>"508-14-188"</f>
        <v>508-14-188</v>
      </c>
      <c r="S4111" t="s">
        <v>14773</v>
      </c>
      <c r="T4111" t="s">
        <v>14987</v>
      </c>
      <c r="U4111">
        <v>3845</v>
      </c>
      <c r="V4111">
        <v>0</v>
      </c>
      <c r="W4111">
        <v>4</v>
      </c>
      <c r="X4111">
        <v>2005</v>
      </c>
      <c r="Z4111">
        <v>2</v>
      </c>
      <c r="AA4111" t="s">
        <v>26</v>
      </c>
      <c r="AB4111">
        <v>0</v>
      </c>
      <c r="AC4111" t="s">
        <v>115</v>
      </c>
      <c r="AD4111">
        <v>3</v>
      </c>
      <c r="AE4111" t="s">
        <v>115</v>
      </c>
      <c r="AF4111">
        <v>0</v>
      </c>
      <c r="AG4111">
        <v>0</v>
      </c>
      <c r="AH4111" t="s">
        <v>116</v>
      </c>
      <c r="AI4111" s="1">
        <v>100789</v>
      </c>
      <c r="AJ4111" s="2">
        <v>0.22</v>
      </c>
      <c r="AK4111" s="1">
        <v>467840</v>
      </c>
      <c r="AL4111" t="s">
        <v>117</v>
      </c>
      <c r="AM4111" t="s">
        <v>118</v>
      </c>
      <c r="AN4111">
        <v>11650</v>
      </c>
      <c r="AO4111">
        <v>0.27</v>
      </c>
      <c r="AR4111">
        <v>1</v>
      </c>
      <c r="AS4111" s="1">
        <v>33100</v>
      </c>
      <c r="AT4111" s="1">
        <v>6620</v>
      </c>
      <c r="AU4111" s="1">
        <v>26480</v>
      </c>
      <c r="AV4111">
        <v>80</v>
      </c>
      <c r="AX4111" s="1">
        <v>3635.28</v>
      </c>
      <c r="AY4111" t="s">
        <v>3020</v>
      </c>
      <c r="AZ4111" t="s">
        <v>3020</v>
      </c>
      <c r="BA4111" t="s">
        <v>7186</v>
      </c>
      <c r="BE4111" s="3">
        <v>41642</v>
      </c>
      <c r="BF4111" s="1">
        <v>366000</v>
      </c>
      <c r="BG4111" t="s">
        <v>26123</v>
      </c>
      <c r="BH4111" s="1">
        <v>95.19</v>
      </c>
      <c r="BI4111" s="1">
        <v>367051</v>
      </c>
      <c r="BJ4111" s="3">
        <v>42495</v>
      </c>
      <c r="BK4111" t="s">
        <v>123</v>
      </c>
      <c r="BL4111" t="str">
        <f>"2016.305761"</f>
        <v>2016.305761</v>
      </c>
      <c r="BM4111" t="s">
        <v>425</v>
      </c>
      <c r="BO4111" t="s">
        <v>26124</v>
      </c>
      <c r="BS4111">
        <v>30</v>
      </c>
      <c r="BW4111" t="str">
        <f>""</f>
        <v/>
      </c>
      <c r="CH4111" t="str">
        <f>""</f>
        <v/>
      </c>
      <c r="CS4111" t="str">
        <f>""</f>
        <v/>
      </c>
    </row>
    <row r="4112" spans="1:97" x14ac:dyDescent="0.25">
      <c r="A4112" t="s">
        <v>305</v>
      </c>
      <c r="B4112" t="s">
        <v>26125</v>
      </c>
      <c r="E4112" t="s">
        <v>26126</v>
      </c>
      <c r="F4112" t="s">
        <v>108</v>
      </c>
      <c r="H4112" t="s">
        <v>26127</v>
      </c>
      <c r="I4112" t="s">
        <v>632</v>
      </c>
      <c r="J4112" t="s">
        <v>111</v>
      </c>
      <c r="K4112" t="str">
        <f>"85387"</f>
        <v>85387</v>
      </c>
      <c r="L4112" t="s">
        <v>6529</v>
      </c>
      <c r="M4112" t="s">
        <v>26127</v>
      </c>
      <c r="N4112" t="s">
        <v>632</v>
      </c>
      <c r="O4112" t="s">
        <v>111</v>
      </c>
      <c r="P4112" t="str">
        <f>"85387-3453"</f>
        <v>85387-3453</v>
      </c>
      <c r="Q4112" t="s">
        <v>113</v>
      </c>
      <c r="R4112" t="str">
        <f>"503-96-925"</f>
        <v>503-96-925</v>
      </c>
      <c r="S4112" t="s">
        <v>17655</v>
      </c>
      <c r="T4112" t="s">
        <v>5498</v>
      </c>
      <c r="U4112">
        <v>1996</v>
      </c>
      <c r="V4112">
        <v>0</v>
      </c>
      <c r="W4112">
        <v>3</v>
      </c>
      <c r="X4112">
        <v>2014</v>
      </c>
      <c r="Z4112">
        <v>1</v>
      </c>
      <c r="AB4112">
        <v>0</v>
      </c>
      <c r="AC4112" t="s">
        <v>115</v>
      </c>
      <c r="AD4112">
        <v>2</v>
      </c>
      <c r="AE4112" t="s">
        <v>115</v>
      </c>
      <c r="AF4112">
        <v>0</v>
      </c>
      <c r="AG4112">
        <v>0</v>
      </c>
      <c r="AH4112" t="s">
        <v>116</v>
      </c>
      <c r="AI4112" s="1">
        <v>72509</v>
      </c>
      <c r="AJ4112" s="2">
        <v>0.24</v>
      </c>
      <c r="AK4112" s="1">
        <v>299753</v>
      </c>
      <c r="AL4112" t="s">
        <v>117</v>
      </c>
      <c r="AM4112" t="s">
        <v>118</v>
      </c>
      <c r="AN4112">
        <v>8625</v>
      </c>
      <c r="AO4112">
        <v>0.2</v>
      </c>
      <c r="AR4112">
        <v>1</v>
      </c>
      <c r="AS4112" s="1">
        <v>21830</v>
      </c>
      <c r="AT4112" s="1">
        <v>4360</v>
      </c>
      <c r="AU4112" s="1">
        <v>17470</v>
      </c>
      <c r="AV4112">
        <v>80.03</v>
      </c>
      <c r="AX4112" s="1">
        <v>742.44</v>
      </c>
      <c r="AY4112" t="s">
        <v>5499</v>
      </c>
      <c r="AZ4112" t="s">
        <v>5499</v>
      </c>
      <c r="BE4112" s="3">
        <v>41803</v>
      </c>
      <c r="BF4112" s="1">
        <v>227244</v>
      </c>
      <c r="BG4112" t="s">
        <v>446</v>
      </c>
      <c r="BH4112" s="1">
        <v>113.85</v>
      </c>
      <c r="BI4112" s="1">
        <v>227244</v>
      </c>
      <c r="BJ4112" s="3">
        <v>41803</v>
      </c>
      <c r="BK4112" t="s">
        <v>123</v>
      </c>
      <c r="BL4112" t="str">
        <f>"2014.386244"</f>
        <v>2014.386244</v>
      </c>
      <c r="BM4112" t="s">
        <v>573</v>
      </c>
      <c r="BO4112" t="s">
        <v>26128</v>
      </c>
      <c r="BS4112">
        <v>30</v>
      </c>
      <c r="BW4112" t="str">
        <f>""</f>
        <v/>
      </c>
      <c r="CH4112" t="str">
        <f>""</f>
        <v/>
      </c>
      <c r="CS4112" t="str">
        <f>""</f>
        <v/>
      </c>
    </row>
    <row r="4113" spans="1:97" x14ac:dyDescent="0.25">
      <c r="A4113" t="s">
        <v>3526</v>
      </c>
      <c r="B4113" t="s">
        <v>26129</v>
      </c>
      <c r="E4113" t="s">
        <v>26130</v>
      </c>
      <c r="F4113" t="s">
        <v>108</v>
      </c>
      <c r="H4113" t="s">
        <v>26131</v>
      </c>
      <c r="I4113" t="s">
        <v>225</v>
      </c>
      <c r="J4113" t="s">
        <v>111</v>
      </c>
      <c r="K4113" t="str">
        <f>"85204"</f>
        <v>85204</v>
      </c>
      <c r="L4113" t="s">
        <v>6964</v>
      </c>
      <c r="M4113" t="s">
        <v>26131</v>
      </c>
      <c r="N4113" t="s">
        <v>225</v>
      </c>
      <c r="O4113" t="s">
        <v>111</v>
      </c>
      <c r="P4113" t="str">
        <f>"85204-6051"</f>
        <v>85204-6051</v>
      </c>
      <c r="Q4113" t="s">
        <v>113</v>
      </c>
      <c r="R4113" t="str">
        <f>"139-08-095"</f>
        <v>139-08-095</v>
      </c>
      <c r="S4113" t="s">
        <v>25183</v>
      </c>
      <c r="U4113">
        <v>2937</v>
      </c>
      <c r="V4113">
        <v>0</v>
      </c>
      <c r="W4113">
        <v>4</v>
      </c>
      <c r="X4113">
        <v>1981</v>
      </c>
      <c r="Z4113">
        <v>1</v>
      </c>
      <c r="AA4113" t="s">
        <v>26</v>
      </c>
      <c r="AB4113">
        <v>0</v>
      </c>
      <c r="AC4113" t="s">
        <v>115</v>
      </c>
      <c r="AD4113">
        <v>2</v>
      </c>
      <c r="AE4113" t="s">
        <v>115</v>
      </c>
      <c r="AF4113">
        <v>0</v>
      </c>
      <c r="AG4113">
        <v>0</v>
      </c>
      <c r="AH4113" t="s">
        <v>116</v>
      </c>
      <c r="AI4113" s="1">
        <v>172106</v>
      </c>
      <c r="AJ4113" s="2">
        <v>0.42</v>
      </c>
      <c r="AK4113" s="1">
        <v>410156</v>
      </c>
      <c r="AL4113" t="s">
        <v>117</v>
      </c>
      <c r="AM4113" t="s">
        <v>917</v>
      </c>
      <c r="AN4113">
        <v>10829</v>
      </c>
      <c r="AO4113">
        <v>0.25</v>
      </c>
      <c r="AP4113">
        <v>1</v>
      </c>
      <c r="AR4113">
        <v>1</v>
      </c>
      <c r="AS4113" s="1">
        <v>28000</v>
      </c>
      <c r="AT4113" s="1">
        <v>5600</v>
      </c>
      <c r="AU4113" s="1">
        <v>22400</v>
      </c>
      <c r="AV4113">
        <v>80</v>
      </c>
      <c r="AX4113" s="1">
        <v>1733.58</v>
      </c>
      <c r="AY4113" t="s">
        <v>14330</v>
      </c>
      <c r="AZ4113" t="s">
        <v>5158</v>
      </c>
      <c r="BA4113" t="s">
        <v>5159</v>
      </c>
      <c r="BE4113" s="3">
        <v>42300</v>
      </c>
      <c r="BF4113" s="1">
        <v>275000</v>
      </c>
      <c r="BG4113" t="s">
        <v>26132</v>
      </c>
      <c r="BH4113" s="1">
        <v>93.63</v>
      </c>
      <c r="BI4113" s="1">
        <v>238050</v>
      </c>
      <c r="BJ4113" s="3">
        <v>42696</v>
      </c>
      <c r="BK4113" t="s">
        <v>123</v>
      </c>
      <c r="BL4113" t="str">
        <f>"2016.862377"</f>
        <v>2016.862377</v>
      </c>
      <c r="BM4113" t="s">
        <v>124</v>
      </c>
      <c r="BO4113" t="s">
        <v>26133</v>
      </c>
      <c r="BS4113">
        <v>30</v>
      </c>
      <c r="BW4113" t="str">
        <f>""</f>
        <v/>
      </c>
      <c r="CH4113" t="str">
        <f>""</f>
        <v/>
      </c>
      <c r="CS4113" t="str">
        <f>""</f>
        <v/>
      </c>
    </row>
    <row r="4114" spans="1:97" x14ac:dyDescent="0.25">
      <c r="B4114" t="s">
        <v>26134</v>
      </c>
      <c r="E4114" t="s">
        <v>26135</v>
      </c>
      <c r="F4114" t="s">
        <v>108</v>
      </c>
      <c r="H4114" t="s">
        <v>26136</v>
      </c>
      <c r="I4114" t="s">
        <v>203</v>
      </c>
      <c r="J4114" t="s">
        <v>111</v>
      </c>
      <c r="K4114" t="str">
        <f>"85296"</f>
        <v>85296</v>
      </c>
      <c r="L4114" t="s">
        <v>5456</v>
      </c>
      <c r="M4114" t="s">
        <v>26136</v>
      </c>
      <c r="N4114" t="s">
        <v>203</v>
      </c>
      <c r="O4114" t="s">
        <v>111</v>
      </c>
      <c r="P4114" t="str">
        <f>"85296-4274"</f>
        <v>85296-4274</v>
      </c>
      <c r="Q4114" t="s">
        <v>113</v>
      </c>
      <c r="R4114" t="str">
        <f>"309-14-650"</f>
        <v>309-14-650</v>
      </c>
      <c r="S4114" t="s">
        <v>26137</v>
      </c>
      <c r="T4114" t="s">
        <v>26137</v>
      </c>
      <c r="U4114">
        <v>2250</v>
      </c>
      <c r="V4114">
        <v>0</v>
      </c>
      <c r="W4114">
        <v>3</v>
      </c>
      <c r="X4114">
        <v>2000</v>
      </c>
      <c r="Z4114">
        <v>1</v>
      </c>
      <c r="AB4114">
        <v>0</v>
      </c>
      <c r="AC4114" t="s">
        <v>115</v>
      </c>
      <c r="AD4114">
        <v>2</v>
      </c>
      <c r="AE4114" t="s">
        <v>115</v>
      </c>
      <c r="AF4114">
        <v>0</v>
      </c>
      <c r="AG4114">
        <v>0</v>
      </c>
      <c r="AH4114" t="s">
        <v>116</v>
      </c>
      <c r="AI4114" s="1">
        <v>98155</v>
      </c>
      <c r="AJ4114" s="2">
        <v>0.26</v>
      </c>
      <c r="AK4114" s="1">
        <v>371855</v>
      </c>
      <c r="AL4114" t="s">
        <v>117</v>
      </c>
      <c r="AM4114" t="s">
        <v>393</v>
      </c>
      <c r="AN4114">
        <v>7910</v>
      </c>
      <c r="AO4114">
        <v>0.18</v>
      </c>
      <c r="AP4114">
        <v>1</v>
      </c>
      <c r="AR4114">
        <v>1</v>
      </c>
      <c r="AS4114" s="1">
        <v>26180</v>
      </c>
      <c r="AT4114" s="1">
        <v>5230</v>
      </c>
      <c r="AU4114" s="1">
        <v>20950</v>
      </c>
      <c r="AV4114">
        <v>80.02</v>
      </c>
      <c r="AX4114" s="1">
        <v>1869.1</v>
      </c>
      <c r="AY4114" t="s">
        <v>7046</v>
      </c>
      <c r="AZ4114" t="s">
        <v>207</v>
      </c>
      <c r="BA4114" t="s">
        <v>208</v>
      </c>
      <c r="BB4114" s="3">
        <v>42118</v>
      </c>
      <c r="BD4114" t="s">
        <v>480</v>
      </c>
      <c r="BE4114" s="3">
        <v>41826</v>
      </c>
      <c r="BF4114" s="1">
        <v>265000</v>
      </c>
      <c r="BG4114" t="s">
        <v>26138</v>
      </c>
      <c r="BH4114" s="1">
        <v>117.78</v>
      </c>
      <c r="BI4114" s="1">
        <v>273700</v>
      </c>
      <c r="BJ4114" s="3">
        <v>42032</v>
      </c>
      <c r="BK4114" t="s">
        <v>123</v>
      </c>
      <c r="BL4114" t="str">
        <f>"2015.56359"</f>
        <v>2015.56359</v>
      </c>
      <c r="BM4114" t="s">
        <v>5938</v>
      </c>
      <c r="BO4114" t="s">
        <v>26139</v>
      </c>
      <c r="BS4114">
        <v>30</v>
      </c>
      <c r="BW4114" t="str">
        <f>""</f>
        <v/>
      </c>
      <c r="CH4114" t="str">
        <f>""</f>
        <v/>
      </c>
      <c r="CS4114" t="str">
        <f>""</f>
        <v/>
      </c>
    </row>
    <row r="4115" spans="1:97" x14ac:dyDescent="0.25">
      <c r="A4115" t="s">
        <v>2395</v>
      </c>
      <c r="B4115" t="s">
        <v>26140</v>
      </c>
      <c r="E4115" t="s">
        <v>26141</v>
      </c>
      <c r="F4115" t="s">
        <v>108</v>
      </c>
      <c r="H4115" t="s">
        <v>26142</v>
      </c>
      <c r="I4115" t="s">
        <v>390</v>
      </c>
      <c r="J4115" t="s">
        <v>111</v>
      </c>
      <c r="K4115" t="str">
        <f>"85083"</f>
        <v>85083</v>
      </c>
      <c r="L4115" t="s">
        <v>299</v>
      </c>
      <c r="M4115" t="s">
        <v>26142</v>
      </c>
      <c r="N4115" t="s">
        <v>390</v>
      </c>
      <c r="O4115" t="s">
        <v>111</v>
      </c>
      <c r="P4115" t="str">
        <f>"85083-2457"</f>
        <v>85083-2457</v>
      </c>
      <c r="Q4115" t="s">
        <v>113</v>
      </c>
      <c r="R4115" t="str">
        <f>"201-33-504"</f>
        <v>201-33-504</v>
      </c>
      <c r="S4115" t="s">
        <v>26143</v>
      </c>
      <c r="U4115">
        <v>3740</v>
      </c>
      <c r="V4115">
        <v>0</v>
      </c>
      <c r="W4115">
        <v>5</v>
      </c>
      <c r="X4115">
        <v>2000</v>
      </c>
      <c r="Z4115">
        <v>2</v>
      </c>
      <c r="AB4115">
        <v>0</v>
      </c>
      <c r="AC4115" t="s">
        <v>115</v>
      </c>
      <c r="AD4115">
        <v>2</v>
      </c>
      <c r="AE4115" t="s">
        <v>115</v>
      </c>
      <c r="AF4115">
        <v>0</v>
      </c>
      <c r="AG4115">
        <v>0</v>
      </c>
      <c r="AH4115" t="s">
        <v>116</v>
      </c>
      <c r="AI4115" s="1">
        <v>60926</v>
      </c>
      <c r="AJ4115" s="2">
        <v>0.14000000000000001</v>
      </c>
      <c r="AK4115" s="1">
        <v>435926</v>
      </c>
      <c r="AL4115" t="s">
        <v>117</v>
      </c>
      <c r="AM4115" t="s">
        <v>191</v>
      </c>
      <c r="AN4115">
        <v>9510</v>
      </c>
      <c r="AO4115">
        <v>0.22</v>
      </c>
      <c r="AP4115">
        <v>1</v>
      </c>
      <c r="AR4115">
        <v>1</v>
      </c>
      <c r="AS4115" s="1">
        <v>33410</v>
      </c>
      <c r="AT4115" s="1">
        <v>6680</v>
      </c>
      <c r="AU4115" s="1">
        <v>26730</v>
      </c>
      <c r="AV4115">
        <v>80.010000000000005</v>
      </c>
      <c r="AX4115" s="1">
        <v>3074.26</v>
      </c>
      <c r="AY4115" t="s">
        <v>3522</v>
      </c>
      <c r="AZ4115" t="s">
        <v>3522</v>
      </c>
      <c r="BA4115" t="s">
        <v>1386</v>
      </c>
      <c r="BB4115" s="3">
        <v>43341</v>
      </c>
      <c r="BC4115" s="1">
        <v>0</v>
      </c>
      <c r="BD4115" t="s">
        <v>247</v>
      </c>
      <c r="BE4115" s="3">
        <v>42076</v>
      </c>
      <c r="BF4115" s="1">
        <v>340000</v>
      </c>
      <c r="BG4115" t="s">
        <v>26144</v>
      </c>
      <c r="BH4115" s="1">
        <v>90.91</v>
      </c>
      <c r="BI4115" s="1">
        <v>375000</v>
      </c>
      <c r="BJ4115" s="3">
        <v>43392</v>
      </c>
      <c r="BK4115" t="s">
        <v>123</v>
      </c>
      <c r="BL4115" t="str">
        <f>"2018.782609"</f>
        <v>2018.782609</v>
      </c>
      <c r="BM4115" t="s">
        <v>361</v>
      </c>
      <c r="BN4115" t="s">
        <v>884</v>
      </c>
      <c r="BO4115" t="s">
        <v>26145</v>
      </c>
      <c r="BR4115" t="s">
        <v>139</v>
      </c>
      <c r="BW4115" t="str">
        <f>""</f>
        <v/>
      </c>
      <c r="CH4115" t="str">
        <f>""</f>
        <v/>
      </c>
      <c r="CS4115" t="str">
        <f>""</f>
        <v/>
      </c>
    </row>
    <row r="4116" spans="1:97" x14ac:dyDescent="0.25">
      <c r="A4116" t="s">
        <v>140</v>
      </c>
      <c r="B4116" t="s">
        <v>26146</v>
      </c>
      <c r="E4116" t="s">
        <v>26147</v>
      </c>
      <c r="F4116" t="s">
        <v>108</v>
      </c>
      <c r="H4116" t="s">
        <v>26148</v>
      </c>
      <c r="I4116" t="s">
        <v>110</v>
      </c>
      <c r="J4116" t="s">
        <v>111</v>
      </c>
      <c r="K4116" t="str">
        <f>"85249"</f>
        <v>85249</v>
      </c>
      <c r="L4116" t="s">
        <v>4035</v>
      </c>
      <c r="M4116" t="s">
        <v>26148</v>
      </c>
      <c r="N4116" t="s">
        <v>110</v>
      </c>
      <c r="O4116" t="s">
        <v>111</v>
      </c>
      <c r="P4116" t="str">
        <f>"85249-5532"</f>
        <v>85249-5532</v>
      </c>
      <c r="Q4116" t="s">
        <v>113</v>
      </c>
      <c r="R4116" t="str">
        <f>"304-74-406"</f>
        <v>304-74-406</v>
      </c>
      <c r="S4116" t="s">
        <v>26149</v>
      </c>
      <c r="T4116" t="s">
        <v>11438</v>
      </c>
      <c r="U4116">
        <v>1722</v>
      </c>
      <c r="V4116">
        <v>0</v>
      </c>
      <c r="W4116">
        <v>3</v>
      </c>
      <c r="X4116">
        <v>2011</v>
      </c>
      <c r="Z4116">
        <v>1</v>
      </c>
      <c r="AA4116" t="s">
        <v>26</v>
      </c>
      <c r="AB4116">
        <v>0</v>
      </c>
      <c r="AC4116" t="s">
        <v>115</v>
      </c>
      <c r="AD4116">
        <v>3</v>
      </c>
      <c r="AE4116" t="s">
        <v>115</v>
      </c>
      <c r="AF4116">
        <v>0</v>
      </c>
      <c r="AG4116">
        <v>0</v>
      </c>
      <c r="AH4116" t="s">
        <v>116</v>
      </c>
      <c r="AI4116" s="1">
        <v>125933</v>
      </c>
      <c r="AJ4116" s="2">
        <v>0.32</v>
      </c>
      <c r="AK4116" s="1">
        <v>397283</v>
      </c>
      <c r="AL4116" t="s">
        <v>117</v>
      </c>
      <c r="AM4116" t="s">
        <v>118</v>
      </c>
      <c r="AN4116">
        <v>8344</v>
      </c>
      <c r="AO4116">
        <v>0.19</v>
      </c>
      <c r="AR4116">
        <v>1</v>
      </c>
      <c r="AS4116" s="1">
        <v>29130</v>
      </c>
      <c r="AT4116" s="1">
        <v>5820</v>
      </c>
      <c r="AU4116" s="1">
        <v>23310</v>
      </c>
      <c r="AV4116">
        <v>80.02</v>
      </c>
      <c r="AX4116" s="1">
        <v>2596.2199999999998</v>
      </c>
      <c r="AY4116" t="s">
        <v>419</v>
      </c>
      <c r="AZ4116" t="s">
        <v>273</v>
      </c>
      <c r="BA4116" t="s">
        <v>303</v>
      </c>
      <c r="BE4116" s="3">
        <v>42466</v>
      </c>
      <c r="BF4116" s="1">
        <v>335000</v>
      </c>
      <c r="BG4116" t="s">
        <v>26150</v>
      </c>
      <c r="BH4116" s="1">
        <v>194.54</v>
      </c>
      <c r="BI4116" s="1">
        <v>271350</v>
      </c>
      <c r="BJ4116" s="3">
        <v>42466</v>
      </c>
      <c r="BK4116" t="s">
        <v>123</v>
      </c>
      <c r="BL4116" t="str">
        <f>"2016.228194"</f>
        <v>2016.228194</v>
      </c>
      <c r="BM4116" t="s">
        <v>7531</v>
      </c>
      <c r="BO4116" t="s">
        <v>26151</v>
      </c>
      <c r="BS4116">
        <v>30</v>
      </c>
      <c r="BW4116" t="str">
        <f>""</f>
        <v/>
      </c>
      <c r="CH4116" t="str">
        <f>""</f>
        <v/>
      </c>
      <c r="CS4116" t="str">
        <f>""</f>
        <v/>
      </c>
    </row>
    <row r="4117" spans="1:97" x14ac:dyDescent="0.25">
      <c r="A4117" t="s">
        <v>370</v>
      </c>
      <c r="B4117" t="s">
        <v>26152</v>
      </c>
      <c r="C4117" t="s">
        <v>2281</v>
      </c>
      <c r="D4117" t="s">
        <v>26152</v>
      </c>
      <c r="E4117" t="s">
        <v>26153</v>
      </c>
      <c r="F4117" t="s">
        <v>108</v>
      </c>
      <c r="H4117" t="s">
        <v>26154</v>
      </c>
      <c r="I4117" t="s">
        <v>110</v>
      </c>
      <c r="J4117" t="s">
        <v>111</v>
      </c>
      <c r="K4117" t="str">
        <f>"85286"</f>
        <v>85286</v>
      </c>
      <c r="L4117" t="s">
        <v>2220</v>
      </c>
      <c r="M4117" t="s">
        <v>26154</v>
      </c>
      <c r="N4117" t="s">
        <v>110</v>
      </c>
      <c r="O4117" t="s">
        <v>111</v>
      </c>
      <c r="P4117" t="str">
        <f>"85286-4597"</f>
        <v>85286-4597</v>
      </c>
      <c r="Q4117" t="s">
        <v>113</v>
      </c>
      <c r="R4117" t="str">
        <f>"303-34-852"</f>
        <v>303-34-852</v>
      </c>
      <c r="S4117" t="s">
        <v>14035</v>
      </c>
      <c r="T4117" t="s">
        <v>14036</v>
      </c>
      <c r="U4117">
        <v>1860</v>
      </c>
      <c r="V4117">
        <v>0</v>
      </c>
      <c r="W4117">
        <v>3</v>
      </c>
      <c r="X4117">
        <v>2001</v>
      </c>
      <c r="Z4117">
        <v>1</v>
      </c>
      <c r="AA4117" t="s">
        <v>26</v>
      </c>
      <c r="AB4117">
        <v>0</v>
      </c>
      <c r="AC4117" t="s">
        <v>115</v>
      </c>
      <c r="AD4117">
        <v>2</v>
      </c>
      <c r="AE4117" t="s">
        <v>115</v>
      </c>
      <c r="AF4117">
        <v>0</v>
      </c>
      <c r="AG4117">
        <v>0</v>
      </c>
      <c r="AH4117" t="s">
        <v>116</v>
      </c>
      <c r="AI4117" s="1">
        <v>76576</v>
      </c>
      <c r="AJ4117" s="2">
        <v>0.2</v>
      </c>
      <c r="AK4117" s="1">
        <v>380798</v>
      </c>
      <c r="AL4117" t="s">
        <v>117</v>
      </c>
      <c r="AM4117" t="s">
        <v>118</v>
      </c>
      <c r="AN4117">
        <v>7020</v>
      </c>
      <c r="AO4117">
        <v>0.16</v>
      </c>
      <c r="AP4117">
        <v>1</v>
      </c>
      <c r="AR4117">
        <v>1</v>
      </c>
      <c r="AS4117" s="1">
        <v>27380</v>
      </c>
      <c r="AT4117" s="1">
        <v>5470</v>
      </c>
      <c r="AU4117" s="1">
        <v>21910</v>
      </c>
      <c r="AV4117">
        <v>80.02</v>
      </c>
      <c r="AX4117" s="1">
        <v>2551.7399999999998</v>
      </c>
      <c r="AY4117" t="s">
        <v>14037</v>
      </c>
      <c r="AZ4117" t="s">
        <v>1882</v>
      </c>
      <c r="BA4117" t="s">
        <v>121</v>
      </c>
      <c r="BE4117" s="3">
        <v>41803</v>
      </c>
      <c r="BF4117" s="1">
        <v>294900</v>
      </c>
      <c r="BG4117" t="s">
        <v>26155</v>
      </c>
      <c r="BH4117" s="1">
        <v>158.55000000000001</v>
      </c>
      <c r="BI4117" s="1">
        <v>304222</v>
      </c>
      <c r="BJ4117" s="3">
        <v>42592</v>
      </c>
      <c r="BK4117" t="s">
        <v>123</v>
      </c>
      <c r="BL4117" t="str">
        <f>"2016.570307"</f>
        <v>2016.570307</v>
      </c>
      <c r="BM4117" t="s">
        <v>11704</v>
      </c>
      <c r="BO4117" t="s">
        <v>26156</v>
      </c>
      <c r="BS4117">
        <v>30</v>
      </c>
      <c r="BW4117" t="str">
        <f>""</f>
        <v/>
      </c>
      <c r="CH4117" t="str">
        <f>""</f>
        <v/>
      </c>
      <c r="CS4117" t="str">
        <f>""</f>
        <v/>
      </c>
    </row>
    <row r="4118" spans="1:97" x14ac:dyDescent="0.25">
      <c r="A4118" t="s">
        <v>894</v>
      </c>
      <c r="B4118" t="s">
        <v>26157</v>
      </c>
      <c r="E4118" t="s">
        <v>26158</v>
      </c>
      <c r="F4118" t="s">
        <v>108</v>
      </c>
      <c r="H4118" t="s">
        <v>26159</v>
      </c>
      <c r="I4118" t="s">
        <v>390</v>
      </c>
      <c r="J4118" t="s">
        <v>111</v>
      </c>
      <c r="K4118" t="str">
        <f>"85020"</f>
        <v>85020</v>
      </c>
      <c r="L4118" t="s">
        <v>6145</v>
      </c>
      <c r="M4118" t="s">
        <v>26159</v>
      </c>
      <c r="N4118" t="s">
        <v>390</v>
      </c>
      <c r="O4118" t="s">
        <v>111</v>
      </c>
      <c r="P4118" t="str">
        <f>"85020-4722"</f>
        <v>85020-4722</v>
      </c>
      <c r="Q4118" t="s">
        <v>113</v>
      </c>
      <c r="R4118" t="str">
        <f>"164-28-043"</f>
        <v>164-28-043</v>
      </c>
      <c r="S4118" t="s">
        <v>26160</v>
      </c>
      <c r="T4118" t="s">
        <v>26160</v>
      </c>
      <c r="U4118">
        <v>3224</v>
      </c>
      <c r="V4118">
        <v>0</v>
      </c>
      <c r="W4118">
        <v>4</v>
      </c>
      <c r="X4118">
        <v>1971</v>
      </c>
      <c r="Z4118">
        <v>1</v>
      </c>
      <c r="AA4118" t="s">
        <v>26</v>
      </c>
      <c r="AB4118">
        <v>0</v>
      </c>
      <c r="AC4118" t="s">
        <v>115</v>
      </c>
      <c r="AD4118">
        <v>2</v>
      </c>
      <c r="AE4118" t="s">
        <v>115</v>
      </c>
      <c r="AF4118">
        <v>0</v>
      </c>
      <c r="AG4118">
        <v>0</v>
      </c>
      <c r="AH4118" t="s">
        <v>116</v>
      </c>
      <c r="AI4118" s="1">
        <v>132575</v>
      </c>
      <c r="AJ4118" s="2">
        <v>0.17</v>
      </c>
      <c r="AK4118" s="1">
        <v>767754</v>
      </c>
      <c r="AL4118" t="s">
        <v>117</v>
      </c>
      <c r="AM4118" t="s">
        <v>1302</v>
      </c>
      <c r="AN4118">
        <v>16672</v>
      </c>
      <c r="AO4118">
        <v>0.38</v>
      </c>
      <c r="AP4118">
        <v>1</v>
      </c>
      <c r="AR4118">
        <v>1</v>
      </c>
      <c r="AS4118" s="1">
        <v>56520</v>
      </c>
      <c r="AT4118" s="1">
        <v>11300</v>
      </c>
      <c r="AU4118" s="1">
        <v>45220</v>
      </c>
      <c r="AV4118">
        <v>80.010000000000005</v>
      </c>
      <c r="AX4118" s="1">
        <v>5690.48</v>
      </c>
      <c r="AY4118" t="s">
        <v>6253</v>
      </c>
      <c r="AZ4118" t="s">
        <v>6254</v>
      </c>
      <c r="BA4118" t="s">
        <v>6255</v>
      </c>
      <c r="BE4118" s="3">
        <v>42321</v>
      </c>
      <c r="BF4118" s="1">
        <v>699999</v>
      </c>
      <c r="BG4118" t="s">
        <v>26161</v>
      </c>
      <c r="BH4118" s="1">
        <v>237.61</v>
      </c>
      <c r="BI4118" s="1">
        <v>635179</v>
      </c>
      <c r="BJ4118" s="3">
        <v>42321</v>
      </c>
      <c r="BK4118" t="s">
        <v>123</v>
      </c>
      <c r="BL4118" t="str">
        <f>"2015.814533"</f>
        <v>2015.814533</v>
      </c>
      <c r="BM4118" t="s">
        <v>724</v>
      </c>
      <c r="BO4118" t="s">
        <v>26162</v>
      </c>
      <c r="BP4118" t="s">
        <v>26163</v>
      </c>
      <c r="BS4118">
        <v>30</v>
      </c>
      <c r="BW4118" t="str">
        <f>""</f>
        <v/>
      </c>
      <c r="CH4118" t="str">
        <f>""</f>
        <v/>
      </c>
      <c r="CS4118" t="str">
        <f>""</f>
        <v/>
      </c>
    </row>
    <row r="4119" spans="1:97" x14ac:dyDescent="0.25">
      <c r="A4119" t="s">
        <v>765</v>
      </c>
      <c r="B4119" t="s">
        <v>24018</v>
      </c>
      <c r="C4119" t="s">
        <v>26164</v>
      </c>
      <c r="D4119" t="s">
        <v>24018</v>
      </c>
      <c r="E4119" t="s">
        <v>26165</v>
      </c>
      <c r="F4119" t="s">
        <v>108</v>
      </c>
      <c r="H4119" t="s">
        <v>26166</v>
      </c>
      <c r="I4119" t="s">
        <v>203</v>
      </c>
      <c r="J4119" t="s">
        <v>111</v>
      </c>
      <c r="K4119" t="str">
        <f>"85297"</f>
        <v>85297</v>
      </c>
      <c r="L4119" t="s">
        <v>26167</v>
      </c>
      <c r="M4119" t="s">
        <v>26166</v>
      </c>
      <c r="N4119" t="s">
        <v>203</v>
      </c>
      <c r="O4119" t="s">
        <v>111</v>
      </c>
      <c r="P4119" t="str">
        <f>"85297-4903"</f>
        <v>85297-4903</v>
      </c>
      <c r="Q4119" t="s">
        <v>113</v>
      </c>
      <c r="R4119" t="str">
        <f>"313-06-469"</f>
        <v>313-06-469</v>
      </c>
      <c r="S4119" t="s">
        <v>26168</v>
      </c>
      <c r="T4119" t="s">
        <v>26169</v>
      </c>
      <c r="U4119">
        <v>4068</v>
      </c>
      <c r="V4119">
        <v>0</v>
      </c>
      <c r="W4119">
        <v>4</v>
      </c>
      <c r="X4119">
        <v>2004</v>
      </c>
      <c r="Z4119">
        <v>2</v>
      </c>
      <c r="AB4119">
        <v>0</v>
      </c>
      <c r="AC4119" t="s">
        <v>115</v>
      </c>
      <c r="AD4119">
        <v>2</v>
      </c>
      <c r="AE4119" t="s">
        <v>115</v>
      </c>
      <c r="AF4119">
        <v>0</v>
      </c>
      <c r="AG4119">
        <v>0</v>
      </c>
      <c r="AH4119" t="s">
        <v>116</v>
      </c>
      <c r="AI4119" s="1">
        <v>225014</v>
      </c>
      <c r="AJ4119" s="2">
        <v>0.49</v>
      </c>
      <c r="AK4119" s="1">
        <v>459680</v>
      </c>
      <c r="AL4119" t="s">
        <v>117</v>
      </c>
      <c r="AM4119" t="s">
        <v>191</v>
      </c>
      <c r="AN4119">
        <v>8427</v>
      </c>
      <c r="AO4119">
        <v>0.19</v>
      </c>
      <c r="AP4119">
        <v>1</v>
      </c>
      <c r="AR4119">
        <v>1</v>
      </c>
      <c r="AS4119" s="1">
        <v>33630</v>
      </c>
      <c r="AT4119" s="1">
        <v>6720</v>
      </c>
      <c r="AU4119" s="1">
        <v>26910</v>
      </c>
      <c r="AV4119">
        <v>80.02</v>
      </c>
      <c r="AX4119" s="1">
        <v>2844.98</v>
      </c>
      <c r="AY4119" t="s">
        <v>8338</v>
      </c>
      <c r="AZ4119" t="s">
        <v>8338</v>
      </c>
      <c r="BA4119" t="s">
        <v>290</v>
      </c>
      <c r="BE4119" s="3">
        <v>42209</v>
      </c>
      <c r="BF4119" s="1">
        <v>375000</v>
      </c>
      <c r="BG4119" t="s">
        <v>26170</v>
      </c>
      <c r="BH4119" s="1">
        <v>92.18</v>
      </c>
      <c r="BI4119" s="1">
        <v>234666</v>
      </c>
      <c r="BJ4119" s="3">
        <v>42495</v>
      </c>
      <c r="BK4119" t="s">
        <v>123</v>
      </c>
      <c r="BL4119" t="str">
        <f>"2016.307199"</f>
        <v>2016.307199</v>
      </c>
      <c r="BM4119" t="s">
        <v>492</v>
      </c>
      <c r="BO4119" t="s">
        <v>26171</v>
      </c>
      <c r="BS4119">
        <v>30</v>
      </c>
      <c r="BW4119" t="str">
        <f>""</f>
        <v/>
      </c>
      <c r="CH4119" t="str">
        <f>""</f>
        <v/>
      </c>
      <c r="CS4119" t="str">
        <f>""</f>
        <v/>
      </c>
    </row>
    <row r="4120" spans="1:97" x14ac:dyDescent="0.25">
      <c r="B4120" t="s">
        <v>26172</v>
      </c>
      <c r="E4120" t="s">
        <v>26173</v>
      </c>
      <c r="F4120" t="s">
        <v>108</v>
      </c>
      <c r="H4120" t="s">
        <v>26174</v>
      </c>
      <c r="I4120" t="s">
        <v>225</v>
      </c>
      <c r="J4120" t="s">
        <v>111</v>
      </c>
      <c r="K4120" t="str">
        <f>"85213"</f>
        <v>85213</v>
      </c>
      <c r="L4120" t="s">
        <v>9069</v>
      </c>
      <c r="M4120" t="s">
        <v>26174</v>
      </c>
      <c r="N4120" t="s">
        <v>225</v>
      </c>
      <c r="O4120" t="s">
        <v>111</v>
      </c>
      <c r="P4120" t="str">
        <f>"85213-2916"</f>
        <v>85213-2916</v>
      </c>
      <c r="Q4120" t="s">
        <v>113</v>
      </c>
      <c r="R4120" t="str">
        <f>"141-10-374"</f>
        <v>141-10-374</v>
      </c>
      <c r="S4120" t="s">
        <v>26175</v>
      </c>
      <c r="T4120" t="s">
        <v>13313</v>
      </c>
      <c r="U4120">
        <v>3186</v>
      </c>
      <c r="V4120">
        <v>0</v>
      </c>
      <c r="W4120">
        <v>2</v>
      </c>
      <c r="X4120">
        <v>1979</v>
      </c>
      <c r="Z4120">
        <v>1</v>
      </c>
      <c r="AA4120" t="s">
        <v>26</v>
      </c>
      <c r="AB4120">
        <v>0</v>
      </c>
      <c r="AC4120" t="s">
        <v>115</v>
      </c>
      <c r="AD4120">
        <v>2</v>
      </c>
      <c r="AE4120" t="s">
        <v>115</v>
      </c>
      <c r="AF4120">
        <v>0</v>
      </c>
      <c r="AG4120">
        <v>0</v>
      </c>
      <c r="AH4120" t="s">
        <v>116</v>
      </c>
      <c r="AI4120" s="1">
        <v>180554</v>
      </c>
      <c r="AJ4120" s="2">
        <v>0.4</v>
      </c>
      <c r="AK4120" s="1">
        <v>446580</v>
      </c>
      <c r="AL4120" t="s">
        <v>117</v>
      </c>
      <c r="AM4120" t="s">
        <v>917</v>
      </c>
      <c r="AN4120">
        <v>10372</v>
      </c>
      <c r="AO4120">
        <v>0.24</v>
      </c>
      <c r="AP4120">
        <v>1</v>
      </c>
      <c r="AR4120">
        <v>1</v>
      </c>
      <c r="AS4120" s="1">
        <v>28930</v>
      </c>
      <c r="AT4120" s="1">
        <v>5780</v>
      </c>
      <c r="AU4120" s="1">
        <v>23150</v>
      </c>
      <c r="AV4120">
        <v>80.02</v>
      </c>
      <c r="AX4120" s="1">
        <v>2043.42</v>
      </c>
      <c r="AY4120" t="s">
        <v>7102</v>
      </c>
      <c r="AZ4120" t="s">
        <v>1523</v>
      </c>
      <c r="BA4120" t="s">
        <v>1524</v>
      </c>
      <c r="BB4120" s="3">
        <v>42697</v>
      </c>
      <c r="BD4120" t="s">
        <v>240</v>
      </c>
      <c r="BE4120" s="3">
        <v>41820</v>
      </c>
      <c r="BF4120" s="1">
        <v>375000</v>
      </c>
      <c r="BG4120" t="s">
        <v>26176</v>
      </c>
      <c r="BH4120" s="1">
        <v>117.7</v>
      </c>
      <c r="BI4120" s="1">
        <v>266026</v>
      </c>
      <c r="BJ4120" s="3">
        <v>42697</v>
      </c>
      <c r="BK4120" t="s">
        <v>123</v>
      </c>
      <c r="BL4120" t="str">
        <f>"2016.866318"</f>
        <v>2016.866318</v>
      </c>
      <c r="BM4120" t="s">
        <v>1695</v>
      </c>
      <c r="BO4120" t="s">
        <v>26177</v>
      </c>
      <c r="BS4120">
        <v>30</v>
      </c>
      <c r="BW4120" t="str">
        <f>""</f>
        <v/>
      </c>
      <c r="CH4120" t="str">
        <f>""</f>
        <v/>
      </c>
      <c r="CS4120" t="str">
        <f>""</f>
        <v/>
      </c>
    </row>
    <row r="4121" spans="1:97" x14ac:dyDescent="0.25">
      <c r="A4121" t="s">
        <v>2374</v>
      </c>
      <c r="B4121" t="s">
        <v>26178</v>
      </c>
      <c r="C4121" t="s">
        <v>16182</v>
      </c>
      <c r="D4121" t="s">
        <v>26178</v>
      </c>
      <c r="E4121" t="s">
        <v>26179</v>
      </c>
      <c r="F4121" t="s">
        <v>108</v>
      </c>
      <c r="H4121" t="s">
        <v>26180</v>
      </c>
      <c r="I4121" t="s">
        <v>453</v>
      </c>
      <c r="J4121" t="s">
        <v>111</v>
      </c>
      <c r="K4121" t="str">
        <f>"85383"</f>
        <v>85383</v>
      </c>
      <c r="L4121" t="s">
        <v>7607</v>
      </c>
      <c r="M4121" t="s">
        <v>26180</v>
      </c>
      <c r="N4121" t="s">
        <v>453</v>
      </c>
      <c r="O4121" t="s">
        <v>111</v>
      </c>
      <c r="P4121" t="str">
        <f>"85383-7262"</f>
        <v>85383-7262</v>
      </c>
      <c r="Q4121" t="s">
        <v>113</v>
      </c>
      <c r="R4121" t="str">
        <f>"201-09-763"</f>
        <v>201-09-763</v>
      </c>
      <c r="S4121" t="s">
        <v>26181</v>
      </c>
      <c r="T4121" t="s">
        <v>2222</v>
      </c>
      <c r="U4121">
        <v>3000</v>
      </c>
      <c r="V4121">
        <v>0</v>
      </c>
      <c r="W4121">
        <v>4</v>
      </c>
      <c r="X4121">
        <v>2001</v>
      </c>
      <c r="Z4121">
        <v>2</v>
      </c>
      <c r="AA4121" t="s">
        <v>26</v>
      </c>
      <c r="AB4121">
        <v>0</v>
      </c>
      <c r="AC4121" t="s">
        <v>115</v>
      </c>
      <c r="AD4121">
        <v>3</v>
      </c>
      <c r="AE4121" t="s">
        <v>115</v>
      </c>
      <c r="AF4121">
        <v>0</v>
      </c>
      <c r="AG4121">
        <v>0</v>
      </c>
      <c r="AH4121" t="s">
        <v>116</v>
      </c>
      <c r="AI4121" s="1">
        <v>12459</v>
      </c>
      <c r="AJ4121" s="2">
        <v>0.03</v>
      </c>
      <c r="AK4121" s="1">
        <v>389504</v>
      </c>
      <c r="AL4121" t="s">
        <v>117</v>
      </c>
      <c r="AM4121" t="s">
        <v>191</v>
      </c>
      <c r="AN4121">
        <v>7180</v>
      </c>
      <c r="AO4121">
        <v>0.16</v>
      </c>
      <c r="AP4121">
        <v>1</v>
      </c>
      <c r="AR4121">
        <v>1</v>
      </c>
      <c r="AS4121" s="1">
        <v>29610</v>
      </c>
      <c r="AT4121" s="1">
        <v>5920</v>
      </c>
      <c r="AU4121" s="1">
        <v>23690</v>
      </c>
      <c r="AV4121">
        <v>80.010000000000005</v>
      </c>
      <c r="AX4121" s="1">
        <v>2613.58</v>
      </c>
      <c r="AY4121" t="s">
        <v>1385</v>
      </c>
      <c r="AZ4121" t="s">
        <v>1385</v>
      </c>
      <c r="BA4121" t="s">
        <v>2223</v>
      </c>
      <c r="BE4121" s="3">
        <v>42074</v>
      </c>
      <c r="BF4121" s="1">
        <v>315000</v>
      </c>
      <c r="BG4121" t="s">
        <v>26182</v>
      </c>
      <c r="BH4121" s="1">
        <v>105</v>
      </c>
      <c r="BI4121" s="1">
        <v>377045</v>
      </c>
      <c r="BJ4121" s="3">
        <v>42822</v>
      </c>
      <c r="BK4121" t="s">
        <v>123</v>
      </c>
      <c r="BL4121" t="str">
        <f>"2017.214565"</f>
        <v>2017.214565</v>
      </c>
      <c r="BM4121" t="s">
        <v>9100</v>
      </c>
      <c r="BO4121" t="s">
        <v>26183</v>
      </c>
      <c r="BS4121">
        <v>30</v>
      </c>
      <c r="BW4121" t="str">
        <f>""</f>
        <v/>
      </c>
      <c r="CH4121" t="str">
        <f>""</f>
        <v/>
      </c>
      <c r="CS4121" t="str">
        <f>""</f>
        <v/>
      </c>
    </row>
    <row r="4122" spans="1:97" x14ac:dyDescent="0.25">
      <c r="A4122" t="s">
        <v>996</v>
      </c>
      <c r="B4122" t="s">
        <v>26184</v>
      </c>
      <c r="C4122" t="s">
        <v>703</v>
      </c>
      <c r="D4122" t="s">
        <v>26185</v>
      </c>
      <c r="E4122" t="s">
        <v>26186</v>
      </c>
      <c r="F4122" t="s">
        <v>108</v>
      </c>
      <c r="H4122" t="s">
        <v>26187</v>
      </c>
      <c r="I4122" t="s">
        <v>1936</v>
      </c>
      <c r="J4122" t="s">
        <v>111</v>
      </c>
      <c r="K4122" t="str">
        <f>"85254"</f>
        <v>85254</v>
      </c>
      <c r="L4122" t="s">
        <v>9178</v>
      </c>
      <c r="M4122" t="s">
        <v>26187</v>
      </c>
      <c r="N4122" t="s">
        <v>1936</v>
      </c>
      <c r="O4122" t="s">
        <v>111</v>
      </c>
      <c r="P4122" t="str">
        <f>"85254-1728"</f>
        <v>85254-1728</v>
      </c>
      <c r="Q4122" t="s">
        <v>113</v>
      </c>
      <c r="R4122" t="str">
        <f>"215-34-085"</f>
        <v>215-34-085</v>
      </c>
      <c r="S4122" t="s">
        <v>26188</v>
      </c>
      <c r="T4122" t="s">
        <v>26189</v>
      </c>
      <c r="U4122">
        <v>1896</v>
      </c>
      <c r="V4122">
        <v>0</v>
      </c>
      <c r="W4122">
        <v>3</v>
      </c>
      <c r="X4122">
        <v>1979</v>
      </c>
      <c r="Z4122">
        <v>1</v>
      </c>
      <c r="AB4122">
        <v>0</v>
      </c>
      <c r="AC4122" t="s">
        <v>115</v>
      </c>
      <c r="AD4122">
        <v>2</v>
      </c>
      <c r="AE4122" t="s">
        <v>115</v>
      </c>
      <c r="AF4122">
        <v>0</v>
      </c>
      <c r="AG4122">
        <v>0</v>
      </c>
      <c r="AH4122" t="s">
        <v>116</v>
      </c>
      <c r="AI4122" s="1">
        <v>156992</v>
      </c>
      <c r="AJ4122" s="2">
        <v>0.36</v>
      </c>
      <c r="AK4122" s="1">
        <v>436948</v>
      </c>
      <c r="AL4122" t="s">
        <v>117</v>
      </c>
      <c r="AM4122" t="s">
        <v>1302</v>
      </c>
      <c r="AN4122">
        <v>10641</v>
      </c>
      <c r="AO4122">
        <v>0.24</v>
      </c>
      <c r="AP4122">
        <v>1</v>
      </c>
      <c r="AR4122">
        <v>1</v>
      </c>
      <c r="AS4122" s="1">
        <v>31080</v>
      </c>
      <c r="AT4122" s="1">
        <v>6210</v>
      </c>
      <c r="AU4122" s="1">
        <v>24870</v>
      </c>
      <c r="AV4122">
        <v>80.02</v>
      </c>
      <c r="AX4122" s="1">
        <v>2895.72</v>
      </c>
      <c r="AY4122" t="s">
        <v>2767</v>
      </c>
      <c r="AZ4122" t="s">
        <v>1317</v>
      </c>
      <c r="BA4122" t="s">
        <v>6302</v>
      </c>
      <c r="BE4122" s="3">
        <v>42536</v>
      </c>
      <c r="BF4122" s="1">
        <v>342500</v>
      </c>
      <c r="BG4122" t="s">
        <v>26190</v>
      </c>
      <c r="BH4122" s="1">
        <v>180.64</v>
      </c>
      <c r="BI4122" s="1">
        <v>279956</v>
      </c>
      <c r="BJ4122" s="3">
        <v>42536</v>
      </c>
      <c r="BK4122" t="s">
        <v>123</v>
      </c>
      <c r="BL4122" t="str">
        <f>"2016.416704"</f>
        <v>2016.416704</v>
      </c>
      <c r="BM4122" t="s">
        <v>2980</v>
      </c>
      <c r="BO4122" t="s">
        <v>26191</v>
      </c>
      <c r="BP4122" t="s">
        <v>26192</v>
      </c>
      <c r="BS4122">
        <v>30</v>
      </c>
      <c r="BW4122" t="str">
        <f>""</f>
        <v/>
      </c>
      <c r="CH4122" t="str">
        <f>""</f>
        <v/>
      </c>
      <c r="CS4122" t="str">
        <f>""</f>
        <v/>
      </c>
    </row>
    <row r="4123" spans="1:97" x14ac:dyDescent="0.25">
      <c r="A4123" t="s">
        <v>26193</v>
      </c>
      <c r="B4123" t="s">
        <v>26194</v>
      </c>
      <c r="C4123" t="s">
        <v>259</v>
      </c>
      <c r="D4123" t="s">
        <v>26194</v>
      </c>
      <c r="E4123" t="s">
        <v>26195</v>
      </c>
      <c r="F4123" t="s">
        <v>108</v>
      </c>
      <c r="H4123" t="s">
        <v>26196</v>
      </c>
      <c r="I4123" t="s">
        <v>1936</v>
      </c>
      <c r="J4123" t="s">
        <v>111</v>
      </c>
      <c r="K4123" t="str">
        <f>"85259"</f>
        <v>85259</v>
      </c>
      <c r="L4123" t="s">
        <v>4467</v>
      </c>
      <c r="M4123" t="s">
        <v>26196</v>
      </c>
      <c r="N4123" t="s">
        <v>1936</v>
      </c>
      <c r="O4123" t="s">
        <v>111</v>
      </c>
      <c r="P4123" t="str">
        <f>"85259-5963"</f>
        <v>85259-5963</v>
      </c>
      <c r="Q4123" t="s">
        <v>113</v>
      </c>
      <c r="R4123" t="str">
        <f>"217-33-751"</f>
        <v>217-33-751</v>
      </c>
      <c r="S4123" t="s">
        <v>8981</v>
      </c>
      <c r="T4123" t="s">
        <v>8982</v>
      </c>
      <c r="U4123">
        <v>1616</v>
      </c>
      <c r="V4123">
        <v>0</v>
      </c>
      <c r="W4123">
        <v>3</v>
      </c>
      <c r="X4123">
        <v>1994</v>
      </c>
      <c r="Z4123">
        <v>1</v>
      </c>
      <c r="AB4123">
        <v>0</v>
      </c>
      <c r="AC4123" t="s">
        <v>115</v>
      </c>
      <c r="AD4123">
        <v>2</v>
      </c>
      <c r="AE4123" t="s">
        <v>115</v>
      </c>
      <c r="AF4123">
        <v>0</v>
      </c>
      <c r="AG4123">
        <v>0</v>
      </c>
      <c r="AH4123" t="s">
        <v>116</v>
      </c>
      <c r="AI4123" s="1">
        <v>59240</v>
      </c>
      <c r="AJ4123" s="2">
        <v>0.16</v>
      </c>
      <c r="AK4123" s="1">
        <v>369240</v>
      </c>
      <c r="AL4123" t="s">
        <v>117</v>
      </c>
      <c r="AM4123" t="s">
        <v>393</v>
      </c>
      <c r="AN4123">
        <v>7834</v>
      </c>
      <c r="AO4123">
        <v>0.18</v>
      </c>
      <c r="AP4123">
        <v>1</v>
      </c>
      <c r="AR4123">
        <v>1</v>
      </c>
      <c r="AS4123" s="1">
        <v>30210</v>
      </c>
      <c r="AT4123" s="1">
        <v>6040</v>
      </c>
      <c r="AU4123" s="1">
        <v>24170</v>
      </c>
      <c r="AV4123">
        <v>80.010000000000005</v>
      </c>
      <c r="AX4123" s="1">
        <v>2183.7600000000002</v>
      </c>
      <c r="AY4123" t="s">
        <v>5761</v>
      </c>
      <c r="AZ4123" t="s">
        <v>5762</v>
      </c>
      <c r="BA4123" t="s">
        <v>5763</v>
      </c>
      <c r="BE4123" s="3">
        <v>42489</v>
      </c>
      <c r="BF4123" s="1">
        <v>310000</v>
      </c>
      <c r="BG4123" t="s">
        <v>26197</v>
      </c>
      <c r="BH4123" s="1">
        <v>191.83</v>
      </c>
      <c r="BI4123" s="1">
        <v>310000</v>
      </c>
      <c r="BJ4123" s="3">
        <v>42489</v>
      </c>
      <c r="BK4123" t="s">
        <v>123</v>
      </c>
      <c r="BL4123" t="str">
        <f>"2016.292938"</f>
        <v>2016.292938</v>
      </c>
      <c r="BM4123" t="s">
        <v>9665</v>
      </c>
      <c r="BO4123" t="s">
        <v>26198</v>
      </c>
      <c r="BS4123">
        <v>30</v>
      </c>
      <c r="BW4123" t="str">
        <f>""</f>
        <v/>
      </c>
      <c r="CH4123" t="str">
        <f>""</f>
        <v/>
      </c>
      <c r="CS4123" t="str">
        <f>""</f>
        <v/>
      </c>
    </row>
    <row r="4124" spans="1:97" x14ac:dyDescent="0.25">
      <c r="A4124" t="s">
        <v>488</v>
      </c>
      <c r="B4124" t="s">
        <v>26199</v>
      </c>
      <c r="E4124" t="s">
        <v>26200</v>
      </c>
      <c r="F4124" t="s">
        <v>108</v>
      </c>
      <c r="H4124" t="s">
        <v>26201</v>
      </c>
      <c r="I4124" t="s">
        <v>390</v>
      </c>
      <c r="J4124" t="s">
        <v>111</v>
      </c>
      <c r="K4124" t="str">
        <f>"85029"</f>
        <v>85029</v>
      </c>
      <c r="L4124" t="s">
        <v>2547</v>
      </c>
      <c r="M4124" t="s">
        <v>26201</v>
      </c>
      <c r="N4124" t="s">
        <v>390</v>
      </c>
      <c r="O4124" t="s">
        <v>111</v>
      </c>
      <c r="P4124" t="str">
        <f>"85029-4326"</f>
        <v>85029-4326</v>
      </c>
      <c r="Q4124" t="s">
        <v>113</v>
      </c>
      <c r="R4124" t="str">
        <f>"149-17-242"</f>
        <v>149-17-242</v>
      </c>
      <c r="S4124" t="s">
        <v>26202</v>
      </c>
      <c r="T4124" t="s">
        <v>20138</v>
      </c>
      <c r="U4124">
        <v>1790</v>
      </c>
      <c r="V4124">
        <v>0</v>
      </c>
      <c r="W4124">
        <v>2</v>
      </c>
      <c r="X4124">
        <v>1979</v>
      </c>
      <c r="Z4124">
        <v>1</v>
      </c>
      <c r="AB4124">
        <v>0</v>
      </c>
      <c r="AC4124" t="s">
        <v>115</v>
      </c>
      <c r="AD4124">
        <v>2</v>
      </c>
      <c r="AE4124" t="s">
        <v>115</v>
      </c>
      <c r="AF4124">
        <v>0</v>
      </c>
      <c r="AG4124">
        <v>0</v>
      </c>
      <c r="AH4124" t="s">
        <v>116</v>
      </c>
      <c r="AI4124" s="1">
        <v>46436</v>
      </c>
      <c r="AJ4124" s="2">
        <v>0.18</v>
      </c>
      <c r="AK4124" s="1">
        <v>261154</v>
      </c>
      <c r="AL4124" t="s">
        <v>117</v>
      </c>
      <c r="AM4124" t="s">
        <v>5441</v>
      </c>
      <c r="AN4124">
        <v>5464</v>
      </c>
      <c r="AO4124">
        <v>0.12</v>
      </c>
      <c r="AP4124">
        <v>1</v>
      </c>
      <c r="AR4124">
        <v>1</v>
      </c>
      <c r="AS4124" s="1">
        <v>17430</v>
      </c>
      <c r="AT4124" s="1">
        <v>3480</v>
      </c>
      <c r="AU4124" s="1">
        <v>13950</v>
      </c>
      <c r="AV4124">
        <v>80.03</v>
      </c>
      <c r="AX4124" s="1">
        <v>1734.66</v>
      </c>
      <c r="AY4124" t="s">
        <v>20139</v>
      </c>
      <c r="AZ4124" t="s">
        <v>6986</v>
      </c>
      <c r="BA4124" t="s">
        <v>10888</v>
      </c>
      <c r="BE4124" s="3">
        <v>42381</v>
      </c>
      <c r="BF4124" s="1">
        <v>209000</v>
      </c>
      <c r="BG4124" t="s">
        <v>26203</v>
      </c>
      <c r="BH4124" s="1">
        <v>135.01</v>
      </c>
      <c r="BI4124" s="1">
        <v>214718</v>
      </c>
      <c r="BJ4124" s="3">
        <v>42870</v>
      </c>
      <c r="BK4124" t="s">
        <v>123</v>
      </c>
      <c r="BL4124" t="str">
        <f>"2017.350320"</f>
        <v>2017.350320</v>
      </c>
      <c r="BM4124" t="s">
        <v>322</v>
      </c>
      <c r="BO4124" t="s">
        <v>26204</v>
      </c>
      <c r="BS4124">
        <v>30</v>
      </c>
      <c r="BW4124" t="str">
        <f>""</f>
        <v/>
      </c>
      <c r="CH4124" t="str">
        <f>""</f>
        <v/>
      </c>
      <c r="CS4124" t="str">
        <f>""</f>
        <v/>
      </c>
    </row>
    <row r="4125" spans="1:97" x14ac:dyDescent="0.25">
      <c r="A4125" t="s">
        <v>325</v>
      </c>
      <c r="B4125" t="s">
        <v>26205</v>
      </c>
      <c r="C4125" t="s">
        <v>727</v>
      </c>
      <c r="D4125" t="s">
        <v>26205</v>
      </c>
      <c r="E4125" t="s">
        <v>26206</v>
      </c>
      <c r="F4125" t="s">
        <v>108</v>
      </c>
      <c r="H4125" t="s">
        <v>26207</v>
      </c>
      <c r="I4125" t="s">
        <v>144</v>
      </c>
      <c r="J4125" t="s">
        <v>111</v>
      </c>
      <c r="K4125" t="str">
        <f>"85326"</f>
        <v>85326</v>
      </c>
      <c r="L4125" t="s">
        <v>8146</v>
      </c>
      <c r="M4125" t="s">
        <v>26207</v>
      </c>
      <c r="N4125" t="s">
        <v>144</v>
      </c>
      <c r="O4125" t="s">
        <v>111</v>
      </c>
      <c r="P4125" t="str">
        <f>"85326-8183"</f>
        <v>85326-8183</v>
      </c>
      <c r="Q4125" t="s">
        <v>113</v>
      </c>
      <c r="R4125" t="str">
        <f>"502-35-652"</f>
        <v>502-35-652</v>
      </c>
      <c r="S4125" t="s">
        <v>9331</v>
      </c>
      <c r="U4125">
        <v>3086</v>
      </c>
      <c r="V4125">
        <v>0</v>
      </c>
      <c r="W4125">
        <v>5</v>
      </c>
      <c r="X4125">
        <v>2014</v>
      </c>
      <c r="Z4125">
        <v>2</v>
      </c>
      <c r="AB4125">
        <v>0</v>
      </c>
      <c r="AC4125" t="s">
        <v>115</v>
      </c>
      <c r="AD4125">
        <v>3</v>
      </c>
      <c r="AE4125" t="s">
        <v>115</v>
      </c>
      <c r="AF4125">
        <v>0</v>
      </c>
      <c r="AG4125">
        <v>0</v>
      </c>
      <c r="AH4125" t="s">
        <v>116</v>
      </c>
      <c r="AI4125" s="1">
        <v>68337</v>
      </c>
      <c r="AJ4125" s="2">
        <v>0.19</v>
      </c>
      <c r="AK4125" s="1">
        <v>353996</v>
      </c>
      <c r="AL4125" t="s">
        <v>117</v>
      </c>
      <c r="AM4125" t="s">
        <v>118</v>
      </c>
      <c r="AN4125">
        <v>8559</v>
      </c>
      <c r="AO4125">
        <v>0.2</v>
      </c>
      <c r="AR4125">
        <v>1</v>
      </c>
      <c r="AS4125" s="1">
        <v>24630</v>
      </c>
      <c r="AT4125" s="1">
        <v>4920</v>
      </c>
      <c r="AU4125" s="1">
        <v>19710</v>
      </c>
      <c r="AV4125">
        <v>80.02</v>
      </c>
      <c r="AX4125" s="1">
        <v>2191.66</v>
      </c>
      <c r="AY4125" t="s">
        <v>2767</v>
      </c>
      <c r="AZ4125" t="s">
        <v>2767</v>
      </c>
      <c r="BA4125" t="s">
        <v>5025</v>
      </c>
      <c r="BE4125" s="3">
        <v>41992</v>
      </c>
      <c r="BF4125" s="1">
        <v>276534</v>
      </c>
      <c r="BG4125" t="s">
        <v>749</v>
      </c>
      <c r="BH4125" s="1">
        <v>89.61</v>
      </c>
      <c r="BI4125" s="1">
        <v>285659</v>
      </c>
      <c r="BJ4125" s="3">
        <v>41992</v>
      </c>
      <c r="BK4125" t="s">
        <v>123</v>
      </c>
      <c r="BL4125" t="str">
        <f>"2014.834323"</f>
        <v>2014.834323</v>
      </c>
      <c r="BM4125" t="s">
        <v>1968</v>
      </c>
      <c r="BO4125" t="s">
        <v>26208</v>
      </c>
      <c r="BS4125">
        <v>30</v>
      </c>
      <c r="BW4125" t="str">
        <f>""</f>
        <v/>
      </c>
      <c r="CH4125" t="str">
        <f>""</f>
        <v/>
      </c>
      <c r="CS4125" t="str">
        <f>""</f>
        <v/>
      </c>
    </row>
    <row r="4126" spans="1:97" x14ac:dyDescent="0.25">
      <c r="A4126" t="s">
        <v>1755</v>
      </c>
      <c r="B4126" t="s">
        <v>26209</v>
      </c>
      <c r="C4126" t="s">
        <v>4959</v>
      </c>
      <c r="D4126" t="s">
        <v>26209</v>
      </c>
      <c r="E4126" t="s">
        <v>26210</v>
      </c>
      <c r="F4126" t="s">
        <v>108</v>
      </c>
      <c r="H4126" t="s">
        <v>26211</v>
      </c>
      <c r="I4126" t="s">
        <v>632</v>
      </c>
      <c r="J4126" t="s">
        <v>111</v>
      </c>
      <c r="K4126" t="str">
        <f>"85388"</f>
        <v>85388</v>
      </c>
      <c r="L4126" t="s">
        <v>4467</v>
      </c>
      <c r="M4126" t="s">
        <v>26211</v>
      </c>
      <c r="N4126" t="s">
        <v>632</v>
      </c>
      <c r="O4126" t="s">
        <v>111</v>
      </c>
      <c r="P4126" t="str">
        <f>"85388-7509"</f>
        <v>85388-7509</v>
      </c>
      <c r="Q4126" t="s">
        <v>113</v>
      </c>
      <c r="R4126" t="str">
        <f>"502-03-649"</f>
        <v>502-03-649</v>
      </c>
      <c r="S4126" t="s">
        <v>6261</v>
      </c>
      <c r="U4126">
        <v>2757</v>
      </c>
      <c r="V4126">
        <v>0</v>
      </c>
      <c r="W4126">
        <v>4</v>
      </c>
      <c r="X4126">
        <v>2005</v>
      </c>
      <c r="Z4126">
        <v>1</v>
      </c>
      <c r="AA4126" t="s">
        <v>26</v>
      </c>
      <c r="AB4126">
        <v>0</v>
      </c>
      <c r="AC4126" t="s">
        <v>115</v>
      </c>
      <c r="AD4126">
        <v>3</v>
      </c>
      <c r="AE4126" t="s">
        <v>115</v>
      </c>
      <c r="AF4126">
        <v>0</v>
      </c>
      <c r="AG4126">
        <v>0</v>
      </c>
      <c r="AH4126" t="s">
        <v>116</v>
      </c>
      <c r="AI4126" s="1">
        <v>125276</v>
      </c>
      <c r="AJ4126" s="2">
        <v>0.37</v>
      </c>
      <c r="AK4126" s="1">
        <v>338074</v>
      </c>
      <c r="AL4126" t="s">
        <v>117</v>
      </c>
      <c r="AM4126" t="s">
        <v>118</v>
      </c>
      <c r="AN4126">
        <v>7820</v>
      </c>
      <c r="AO4126">
        <v>0.18</v>
      </c>
      <c r="AP4126">
        <v>1</v>
      </c>
      <c r="AR4126">
        <v>1</v>
      </c>
      <c r="AS4126" s="1">
        <v>25310</v>
      </c>
      <c r="AT4126" s="1">
        <v>5060</v>
      </c>
      <c r="AU4126" s="1">
        <v>20250</v>
      </c>
      <c r="AV4126">
        <v>80.010000000000005</v>
      </c>
      <c r="AX4126" s="1">
        <v>1863.82</v>
      </c>
      <c r="AY4126" t="s">
        <v>6262</v>
      </c>
      <c r="AZ4126" t="s">
        <v>6262</v>
      </c>
      <c r="BA4126" t="s">
        <v>5061</v>
      </c>
      <c r="BE4126" s="3">
        <v>41905</v>
      </c>
      <c r="BF4126" s="1">
        <v>178000</v>
      </c>
      <c r="BG4126" t="s">
        <v>26212</v>
      </c>
      <c r="BH4126" s="1">
        <v>64.56</v>
      </c>
      <c r="BI4126" s="1">
        <v>212798</v>
      </c>
      <c r="BJ4126" s="3">
        <v>42738</v>
      </c>
      <c r="BK4126" t="s">
        <v>123</v>
      </c>
      <c r="BL4126" t="str">
        <f>"2017.2019"</f>
        <v>2017.2019</v>
      </c>
      <c r="BM4126" t="s">
        <v>26213</v>
      </c>
      <c r="BO4126" t="s">
        <v>26214</v>
      </c>
      <c r="BS4126">
        <v>30</v>
      </c>
      <c r="BW4126" t="str">
        <f>""</f>
        <v/>
      </c>
      <c r="CH4126" t="str">
        <f>""</f>
        <v/>
      </c>
      <c r="CS4126" t="str">
        <f>""</f>
        <v/>
      </c>
    </row>
    <row r="4127" spans="1:97" x14ac:dyDescent="0.25">
      <c r="A4127" t="s">
        <v>305</v>
      </c>
      <c r="B4127" t="s">
        <v>26215</v>
      </c>
      <c r="E4127" t="s">
        <v>26216</v>
      </c>
      <c r="F4127" t="s">
        <v>108</v>
      </c>
      <c r="H4127" t="s">
        <v>26217</v>
      </c>
      <c r="I4127" t="s">
        <v>390</v>
      </c>
      <c r="J4127" t="s">
        <v>111</v>
      </c>
      <c r="K4127" t="str">
        <f>"85048"</f>
        <v>85048</v>
      </c>
      <c r="L4127" t="s">
        <v>6691</v>
      </c>
      <c r="M4127" t="s">
        <v>26217</v>
      </c>
      <c r="N4127" t="s">
        <v>390</v>
      </c>
      <c r="O4127" t="s">
        <v>111</v>
      </c>
      <c r="P4127" t="str">
        <f>"85048-6330"</f>
        <v>85048-6330</v>
      </c>
      <c r="Q4127" t="s">
        <v>113</v>
      </c>
      <c r="R4127" t="str">
        <f>"300-36-939"</f>
        <v>300-36-939</v>
      </c>
      <c r="S4127" t="s">
        <v>26218</v>
      </c>
      <c r="T4127" t="s">
        <v>26219</v>
      </c>
      <c r="U4127">
        <v>2227</v>
      </c>
      <c r="V4127">
        <v>0</v>
      </c>
      <c r="W4127">
        <v>3</v>
      </c>
      <c r="X4127">
        <v>1991</v>
      </c>
      <c r="Z4127">
        <v>1</v>
      </c>
      <c r="AA4127" t="s">
        <v>26</v>
      </c>
      <c r="AB4127">
        <v>0</v>
      </c>
      <c r="AC4127" t="s">
        <v>115</v>
      </c>
      <c r="AD4127">
        <v>3</v>
      </c>
      <c r="AE4127" t="s">
        <v>115</v>
      </c>
      <c r="AF4127">
        <v>0</v>
      </c>
      <c r="AG4127">
        <v>0</v>
      </c>
      <c r="AH4127" t="s">
        <v>116</v>
      </c>
      <c r="AI4127" s="1">
        <v>43115</v>
      </c>
      <c r="AJ4127" s="2">
        <v>0.1</v>
      </c>
      <c r="AK4127" s="1">
        <v>412171</v>
      </c>
      <c r="AL4127" t="s">
        <v>117</v>
      </c>
      <c r="AM4127" t="s">
        <v>1315</v>
      </c>
      <c r="AN4127">
        <v>7148</v>
      </c>
      <c r="AO4127">
        <v>0.16</v>
      </c>
      <c r="AP4127">
        <v>1</v>
      </c>
      <c r="AR4127">
        <v>1</v>
      </c>
      <c r="AS4127" s="1">
        <v>29450</v>
      </c>
      <c r="AT4127" s="1">
        <v>5890</v>
      </c>
      <c r="AU4127" s="1">
        <v>23560</v>
      </c>
      <c r="AV4127">
        <v>80</v>
      </c>
      <c r="AX4127" s="1">
        <v>3149.24</v>
      </c>
      <c r="AY4127" t="s">
        <v>6202</v>
      </c>
      <c r="AZ4127" t="s">
        <v>2967</v>
      </c>
      <c r="BA4127" t="s">
        <v>930</v>
      </c>
      <c r="BE4127" s="3">
        <v>42178</v>
      </c>
      <c r="BF4127" s="1">
        <v>405000</v>
      </c>
      <c r="BG4127" t="s">
        <v>26220</v>
      </c>
      <c r="BH4127" s="1">
        <v>181.86</v>
      </c>
      <c r="BI4127" s="1">
        <v>369056</v>
      </c>
      <c r="BJ4127" s="3">
        <v>42178</v>
      </c>
      <c r="BK4127" t="s">
        <v>123</v>
      </c>
      <c r="BL4127" t="str">
        <f>"2015.448405"</f>
        <v>2015.448405</v>
      </c>
      <c r="BM4127" t="s">
        <v>1201</v>
      </c>
      <c r="BO4127" t="s">
        <v>26221</v>
      </c>
      <c r="BS4127">
        <v>30</v>
      </c>
      <c r="BW4127" t="str">
        <f>""</f>
        <v/>
      </c>
      <c r="CH4127" t="str">
        <f>""</f>
        <v/>
      </c>
      <c r="CS4127" t="str">
        <f>""</f>
        <v/>
      </c>
    </row>
    <row r="4128" spans="1:97" x14ac:dyDescent="0.25">
      <c r="A4128" t="s">
        <v>257</v>
      </c>
      <c r="B4128" t="s">
        <v>24659</v>
      </c>
      <c r="C4128" t="s">
        <v>5560</v>
      </c>
      <c r="D4128" t="s">
        <v>24659</v>
      </c>
      <c r="E4128" t="s">
        <v>26222</v>
      </c>
      <c r="F4128" t="s">
        <v>108</v>
      </c>
      <c r="H4128" t="s">
        <v>26223</v>
      </c>
      <c r="I4128" t="s">
        <v>632</v>
      </c>
      <c r="J4128" t="s">
        <v>111</v>
      </c>
      <c r="K4128" t="str">
        <f>"85379"</f>
        <v>85379</v>
      </c>
      <c r="L4128" t="s">
        <v>1244</v>
      </c>
      <c r="M4128" t="s">
        <v>26223</v>
      </c>
      <c r="N4128" t="s">
        <v>632</v>
      </c>
      <c r="O4128" t="s">
        <v>111</v>
      </c>
      <c r="P4128" t="str">
        <f>"85379-8002"</f>
        <v>85379-8002</v>
      </c>
      <c r="Q4128" t="s">
        <v>113</v>
      </c>
      <c r="R4128" t="str">
        <f>"509-02-816"</f>
        <v>509-02-816</v>
      </c>
      <c r="S4128" t="s">
        <v>10379</v>
      </c>
      <c r="T4128" t="s">
        <v>10380</v>
      </c>
      <c r="U4128">
        <v>3115</v>
      </c>
      <c r="V4128">
        <v>0</v>
      </c>
      <c r="W4128">
        <v>4</v>
      </c>
      <c r="X4128">
        <v>2005</v>
      </c>
      <c r="Z4128">
        <v>2</v>
      </c>
      <c r="AA4128" t="s">
        <v>26</v>
      </c>
      <c r="AB4128">
        <v>0</v>
      </c>
      <c r="AC4128" t="s">
        <v>115</v>
      </c>
      <c r="AD4128">
        <v>3</v>
      </c>
      <c r="AE4128" t="s">
        <v>115</v>
      </c>
      <c r="AF4128">
        <v>0</v>
      </c>
      <c r="AG4128">
        <v>0</v>
      </c>
      <c r="AH4128" t="s">
        <v>116</v>
      </c>
      <c r="AI4128" s="1">
        <v>111338</v>
      </c>
      <c r="AJ4128" s="2">
        <v>0.3</v>
      </c>
      <c r="AK4128" s="1">
        <v>366338</v>
      </c>
      <c r="AL4128" t="s">
        <v>117</v>
      </c>
      <c r="AM4128" t="s">
        <v>118</v>
      </c>
      <c r="AN4128">
        <v>9301</v>
      </c>
      <c r="AO4128">
        <v>0.21</v>
      </c>
      <c r="AR4128">
        <v>1</v>
      </c>
      <c r="AS4128" s="1">
        <v>27130</v>
      </c>
      <c r="AT4128" s="1">
        <v>5420</v>
      </c>
      <c r="AU4128" s="1">
        <v>21710</v>
      </c>
      <c r="AV4128">
        <v>80.02</v>
      </c>
      <c r="AX4128" s="1">
        <v>2073.8000000000002</v>
      </c>
      <c r="AY4128" t="s">
        <v>6615</v>
      </c>
      <c r="AZ4128" t="s">
        <v>6615</v>
      </c>
      <c r="BA4128" t="s">
        <v>321</v>
      </c>
      <c r="BE4128" s="3">
        <v>41897</v>
      </c>
      <c r="BF4128" s="1">
        <v>255000</v>
      </c>
      <c r="BG4128" t="s">
        <v>26224</v>
      </c>
      <c r="BH4128" s="1">
        <v>81.86</v>
      </c>
      <c r="BI4128" s="1">
        <v>255000</v>
      </c>
      <c r="BJ4128" s="3">
        <v>41897</v>
      </c>
      <c r="BK4128" t="s">
        <v>123</v>
      </c>
      <c r="BL4128" t="str">
        <f>"2014.609430"</f>
        <v>2014.609430</v>
      </c>
      <c r="BM4128" t="s">
        <v>131</v>
      </c>
      <c r="BO4128" t="s">
        <v>26225</v>
      </c>
      <c r="BS4128">
        <v>30</v>
      </c>
      <c r="BW4128" t="str">
        <f>""</f>
        <v/>
      </c>
      <c r="CH4128" t="str">
        <f>""</f>
        <v/>
      </c>
      <c r="CS4128" t="str">
        <f>""</f>
        <v/>
      </c>
    </row>
    <row r="4129" spans="1:97" x14ac:dyDescent="0.25">
      <c r="A4129" t="s">
        <v>962</v>
      </c>
      <c r="B4129" t="s">
        <v>26226</v>
      </c>
      <c r="E4129" t="s">
        <v>26227</v>
      </c>
      <c r="F4129" t="s">
        <v>108</v>
      </c>
      <c r="H4129" t="s">
        <v>26228</v>
      </c>
      <c r="I4129" t="s">
        <v>453</v>
      </c>
      <c r="J4129" t="s">
        <v>111</v>
      </c>
      <c r="K4129" t="str">
        <f>"85383"</f>
        <v>85383</v>
      </c>
      <c r="L4129" t="s">
        <v>3225</v>
      </c>
      <c r="M4129" t="s">
        <v>26228</v>
      </c>
      <c r="N4129" t="s">
        <v>453</v>
      </c>
      <c r="O4129" t="s">
        <v>111</v>
      </c>
      <c r="P4129" t="str">
        <f>"85383-5815"</f>
        <v>85383-5815</v>
      </c>
      <c r="Q4129" t="s">
        <v>113</v>
      </c>
      <c r="R4129" t="str">
        <f>"503-66-524"</f>
        <v>503-66-524</v>
      </c>
      <c r="S4129" t="s">
        <v>9145</v>
      </c>
      <c r="T4129" t="s">
        <v>7704</v>
      </c>
      <c r="U4129">
        <v>2333</v>
      </c>
      <c r="V4129">
        <v>0</v>
      </c>
      <c r="W4129">
        <v>4</v>
      </c>
      <c r="X4129">
        <v>2013</v>
      </c>
      <c r="Z4129">
        <v>2</v>
      </c>
      <c r="AB4129">
        <v>0</v>
      </c>
      <c r="AC4129" t="s">
        <v>115</v>
      </c>
      <c r="AD4129">
        <v>2</v>
      </c>
      <c r="AE4129" t="s">
        <v>115</v>
      </c>
      <c r="AF4129">
        <v>0</v>
      </c>
      <c r="AG4129">
        <v>0</v>
      </c>
      <c r="AH4129" t="s">
        <v>116</v>
      </c>
      <c r="AI4129" s="1">
        <v>100201</v>
      </c>
      <c r="AJ4129" s="2">
        <v>0.33</v>
      </c>
      <c r="AK4129" s="1">
        <v>300296</v>
      </c>
      <c r="AL4129" t="s">
        <v>117</v>
      </c>
      <c r="AM4129" t="s">
        <v>191</v>
      </c>
      <c r="AN4129">
        <v>5175</v>
      </c>
      <c r="AO4129">
        <v>0.12</v>
      </c>
      <c r="AR4129">
        <v>1</v>
      </c>
      <c r="AS4129" s="1">
        <v>22370</v>
      </c>
      <c r="AT4129" s="1">
        <v>4470</v>
      </c>
      <c r="AU4129" s="1">
        <v>17900</v>
      </c>
      <c r="AV4129">
        <v>80.02</v>
      </c>
      <c r="AX4129" s="1">
        <v>1958</v>
      </c>
      <c r="AY4129" t="s">
        <v>456</v>
      </c>
      <c r="AZ4129" t="s">
        <v>456</v>
      </c>
      <c r="BA4129" t="s">
        <v>457</v>
      </c>
      <c r="BE4129" s="3">
        <v>41670</v>
      </c>
      <c r="BF4129" s="1">
        <v>210608</v>
      </c>
      <c r="BG4129" t="s">
        <v>749</v>
      </c>
      <c r="BH4129" s="1">
        <v>90.27</v>
      </c>
      <c r="BI4129" s="1">
        <v>200095</v>
      </c>
      <c r="BJ4129" s="3">
        <v>42681</v>
      </c>
      <c r="BK4129" t="s">
        <v>123</v>
      </c>
      <c r="BL4129" t="str">
        <f>"2016.819351"</f>
        <v>2016.819351</v>
      </c>
      <c r="BM4129" t="s">
        <v>425</v>
      </c>
      <c r="BO4129" t="s">
        <v>26229</v>
      </c>
      <c r="BS4129">
        <v>30</v>
      </c>
      <c r="BW4129" t="str">
        <f>""</f>
        <v/>
      </c>
      <c r="CH4129" t="str">
        <f>""</f>
        <v/>
      </c>
      <c r="CS4129" t="str">
        <f>""</f>
        <v/>
      </c>
    </row>
    <row r="4130" spans="1:97" x14ac:dyDescent="0.25">
      <c r="B4130" t="s">
        <v>26230</v>
      </c>
      <c r="E4130" t="s">
        <v>7158</v>
      </c>
      <c r="F4130" t="s">
        <v>108</v>
      </c>
      <c r="H4130" t="s">
        <v>26231</v>
      </c>
      <c r="I4130" t="s">
        <v>225</v>
      </c>
      <c r="J4130" t="s">
        <v>111</v>
      </c>
      <c r="K4130" t="str">
        <f>"85207"</f>
        <v>85207</v>
      </c>
      <c r="L4130" t="s">
        <v>375</v>
      </c>
      <c r="M4130" t="s">
        <v>26231</v>
      </c>
      <c r="N4130" t="s">
        <v>225</v>
      </c>
      <c r="O4130" t="s">
        <v>111</v>
      </c>
      <c r="P4130" t="str">
        <f>"85207-2625"</f>
        <v>85207-2625</v>
      </c>
      <c r="Q4130" t="s">
        <v>113</v>
      </c>
      <c r="R4130" t="str">
        <f>"220-01-120"</f>
        <v>220-01-120</v>
      </c>
      <c r="S4130" t="s">
        <v>26232</v>
      </c>
      <c r="T4130" t="s">
        <v>26232</v>
      </c>
      <c r="U4130">
        <v>2069</v>
      </c>
      <c r="V4130">
        <v>0</v>
      </c>
      <c r="W4130">
        <v>3</v>
      </c>
      <c r="X4130">
        <v>2001</v>
      </c>
      <c r="Z4130">
        <v>1</v>
      </c>
      <c r="AA4130" t="s">
        <v>26</v>
      </c>
      <c r="AB4130">
        <v>0</v>
      </c>
      <c r="AC4130" t="s">
        <v>115</v>
      </c>
      <c r="AD4130">
        <v>3</v>
      </c>
      <c r="AE4130" t="s">
        <v>115</v>
      </c>
      <c r="AF4130">
        <v>0</v>
      </c>
      <c r="AG4130">
        <v>0</v>
      </c>
      <c r="AH4130" t="s">
        <v>116</v>
      </c>
      <c r="AI4130" s="1">
        <v>83715</v>
      </c>
      <c r="AJ4130" s="2">
        <v>0.2</v>
      </c>
      <c r="AK4130" s="1">
        <v>426865</v>
      </c>
      <c r="AL4130" t="s">
        <v>117</v>
      </c>
      <c r="AM4130" t="s">
        <v>917</v>
      </c>
      <c r="AN4130">
        <v>10450</v>
      </c>
      <c r="AO4130">
        <v>0.24</v>
      </c>
      <c r="AP4130">
        <v>1</v>
      </c>
      <c r="AR4130">
        <v>1</v>
      </c>
      <c r="AS4130" s="1">
        <v>29160</v>
      </c>
      <c r="AT4130" s="1">
        <v>5830</v>
      </c>
      <c r="AU4130" s="1">
        <v>23330</v>
      </c>
      <c r="AV4130">
        <v>80.010000000000005</v>
      </c>
      <c r="AX4130" s="1">
        <v>2387.8200000000002</v>
      </c>
      <c r="AY4130" t="s">
        <v>3118</v>
      </c>
      <c r="AZ4130" t="s">
        <v>3761</v>
      </c>
      <c r="BA4130" t="s">
        <v>232</v>
      </c>
      <c r="BB4130" s="3">
        <v>42587</v>
      </c>
      <c r="BD4130" t="s">
        <v>480</v>
      </c>
      <c r="BE4130" s="3">
        <v>41898</v>
      </c>
      <c r="BF4130" s="1">
        <v>336000</v>
      </c>
      <c r="BG4130" t="s">
        <v>26233</v>
      </c>
      <c r="BH4130" s="1">
        <v>162.4</v>
      </c>
      <c r="BI4130" s="1">
        <v>343150</v>
      </c>
      <c r="BJ4130" s="3">
        <v>42048</v>
      </c>
      <c r="BK4130" t="s">
        <v>123</v>
      </c>
      <c r="BL4130" t="str">
        <f>"2015.94801"</f>
        <v>2015.94801</v>
      </c>
      <c r="BM4130" t="s">
        <v>5867</v>
      </c>
      <c r="BO4130" t="s">
        <v>26234</v>
      </c>
      <c r="BS4130">
        <v>15</v>
      </c>
      <c r="BW4130" t="str">
        <f>""</f>
        <v/>
      </c>
      <c r="CH4130" t="str">
        <f>""</f>
        <v/>
      </c>
      <c r="CS4130" t="str">
        <f>""</f>
        <v/>
      </c>
    </row>
    <row r="4131" spans="1:97" x14ac:dyDescent="0.25">
      <c r="A4131" t="s">
        <v>767</v>
      </c>
      <c r="B4131" t="s">
        <v>26235</v>
      </c>
      <c r="C4131" t="s">
        <v>2123</v>
      </c>
      <c r="D4131" t="s">
        <v>26235</v>
      </c>
      <c r="E4131" t="s">
        <v>26236</v>
      </c>
      <c r="F4131" t="s">
        <v>108</v>
      </c>
      <c r="H4131" t="s">
        <v>26237</v>
      </c>
      <c r="I4131" t="s">
        <v>632</v>
      </c>
      <c r="J4131" t="s">
        <v>111</v>
      </c>
      <c r="K4131" t="str">
        <f>"85379"</f>
        <v>85379</v>
      </c>
      <c r="L4131" t="s">
        <v>2820</v>
      </c>
      <c r="M4131" t="s">
        <v>26237</v>
      </c>
      <c r="N4131" t="s">
        <v>632</v>
      </c>
      <c r="O4131" t="s">
        <v>111</v>
      </c>
      <c r="P4131" t="str">
        <f>"85379-8304"</f>
        <v>85379-8304</v>
      </c>
      <c r="Q4131" t="s">
        <v>113</v>
      </c>
      <c r="R4131" t="str">
        <f>"501-15-510"</f>
        <v>501-15-510</v>
      </c>
      <c r="S4131" t="s">
        <v>20354</v>
      </c>
      <c r="U4131">
        <v>2131</v>
      </c>
      <c r="V4131">
        <v>0</v>
      </c>
      <c r="W4131">
        <v>3</v>
      </c>
      <c r="X4131">
        <v>2005</v>
      </c>
      <c r="Z4131">
        <v>1</v>
      </c>
      <c r="AA4131" t="s">
        <v>26</v>
      </c>
      <c r="AB4131">
        <v>0</v>
      </c>
      <c r="AC4131" t="s">
        <v>115</v>
      </c>
      <c r="AD4131">
        <v>2</v>
      </c>
      <c r="AE4131" t="s">
        <v>115</v>
      </c>
      <c r="AF4131">
        <v>0</v>
      </c>
      <c r="AG4131">
        <v>0</v>
      </c>
      <c r="AH4131" t="s">
        <v>116</v>
      </c>
      <c r="AI4131" s="1">
        <v>78698</v>
      </c>
      <c r="AJ4131" s="2">
        <v>0.27</v>
      </c>
      <c r="AK4131" s="1">
        <v>287698</v>
      </c>
      <c r="AL4131" t="s">
        <v>117</v>
      </c>
      <c r="AM4131" t="s">
        <v>5516</v>
      </c>
      <c r="AN4131">
        <v>6785</v>
      </c>
      <c r="AO4131">
        <v>0.16</v>
      </c>
      <c r="AP4131">
        <v>1</v>
      </c>
      <c r="AR4131">
        <v>1</v>
      </c>
      <c r="AS4131" s="1">
        <v>20480</v>
      </c>
      <c r="AT4131" s="1">
        <v>4090</v>
      </c>
      <c r="AU4131" s="1">
        <v>16390</v>
      </c>
      <c r="AV4131">
        <v>80.03</v>
      </c>
      <c r="AX4131" s="1">
        <v>1445.86</v>
      </c>
      <c r="AY4131" t="s">
        <v>5983</v>
      </c>
      <c r="AZ4131" t="s">
        <v>5983</v>
      </c>
      <c r="BA4131" t="s">
        <v>321</v>
      </c>
      <c r="BE4131" s="3">
        <v>41775</v>
      </c>
      <c r="BF4131" s="1">
        <v>209000</v>
      </c>
      <c r="BG4131" t="s">
        <v>26238</v>
      </c>
      <c r="BH4131" s="1">
        <v>98.08</v>
      </c>
      <c r="BI4131" s="1">
        <v>209000</v>
      </c>
      <c r="BJ4131" s="3">
        <v>41775</v>
      </c>
      <c r="BK4131" t="s">
        <v>123</v>
      </c>
      <c r="BL4131" t="str">
        <f>"2014.321770"</f>
        <v>2014.321770</v>
      </c>
      <c r="BM4131" t="s">
        <v>2748</v>
      </c>
      <c r="BO4131" t="s">
        <v>26239</v>
      </c>
      <c r="BS4131">
        <v>30</v>
      </c>
      <c r="BW4131" t="str">
        <f>""</f>
        <v/>
      </c>
      <c r="CH4131" t="str">
        <f>""</f>
        <v/>
      </c>
      <c r="CS4131" t="str">
        <f>""</f>
        <v/>
      </c>
    </row>
    <row r="4132" spans="1:97" x14ac:dyDescent="0.25">
      <c r="A4132" t="s">
        <v>1009</v>
      </c>
      <c r="B4132" t="s">
        <v>26240</v>
      </c>
      <c r="C4132" t="s">
        <v>104</v>
      </c>
      <c r="D4132" t="s">
        <v>26240</v>
      </c>
      <c r="E4132" t="s">
        <v>26241</v>
      </c>
      <c r="F4132" t="s">
        <v>108</v>
      </c>
      <c r="H4132" t="s">
        <v>26242</v>
      </c>
      <c r="I4132" t="s">
        <v>110</v>
      </c>
      <c r="J4132" t="s">
        <v>111</v>
      </c>
      <c r="K4132" t="str">
        <f>"85224"</f>
        <v>85224</v>
      </c>
      <c r="L4132" t="s">
        <v>9597</v>
      </c>
      <c r="M4132" t="s">
        <v>26242</v>
      </c>
      <c r="N4132" t="s">
        <v>110</v>
      </c>
      <c r="O4132" t="s">
        <v>111</v>
      </c>
      <c r="P4132" t="str">
        <f>"85224-7831"</f>
        <v>85224-7831</v>
      </c>
      <c r="Q4132" t="s">
        <v>113</v>
      </c>
      <c r="R4132" t="str">
        <f>"302-80-612"</f>
        <v>302-80-612</v>
      </c>
      <c r="S4132" t="s">
        <v>26243</v>
      </c>
      <c r="T4132" t="s">
        <v>26244</v>
      </c>
      <c r="U4132">
        <v>2009</v>
      </c>
      <c r="V4132">
        <v>0</v>
      </c>
      <c r="W4132">
        <v>3</v>
      </c>
      <c r="X4132">
        <v>1984</v>
      </c>
      <c r="Z4132">
        <v>1</v>
      </c>
      <c r="AA4132" t="s">
        <v>26</v>
      </c>
      <c r="AB4132">
        <v>0</v>
      </c>
      <c r="AC4132" t="s">
        <v>115</v>
      </c>
      <c r="AD4132">
        <v>2</v>
      </c>
      <c r="AE4132" t="s">
        <v>115</v>
      </c>
      <c r="AF4132">
        <v>0</v>
      </c>
      <c r="AG4132">
        <v>0</v>
      </c>
      <c r="AH4132" t="s">
        <v>116</v>
      </c>
      <c r="AI4132" s="1">
        <v>91359</v>
      </c>
      <c r="AJ4132" s="2">
        <v>0.26</v>
      </c>
      <c r="AK4132" s="1">
        <v>352659</v>
      </c>
      <c r="AL4132" t="s">
        <v>117</v>
      </c>
      <c r="AM4132" t="s">
        <v>118</v>
      </c>
      <c r="AN4132">
        <v>8289</v>
      </c>
      <c r="AO4132">
        <v>0.19</v>
      </c>
      <c r="AP4132">
        <v>1</v>
      </c>
      <c r="AR4132">
        <v>1</v>
      </c>
      <c r="AS4132" s="1">
        <v>25350</v>
      </c>
      <c r="AT4132" s="1">
        <v>5070</v>
      </c>
      <c r="AU4132" s="1">
        <v>20280</v>
      </c>
      <c r="AV4132">
        <v>80</v>
      </c>
      <c r="AX4132" s="1">
        <v>1859.86</v>
      </c>
      <c r="AY4132" t="s">
        <v>7749</v>
      </c>
      <c r="AZ4132" t="s">
        <v>5078</v>
      </c>
      <c r="BA4132" t="s">
        <v>2957</v>
      </c>
      <c r="BE4132" s="3">
        <v>42004</v>
      </c>
      <c r="BF4132" s="1">
        <v>258000</v>
      </c>
      <c r="BG4132" t="s">
        <v>26245</v>
      </c>
      <c r="BH4132" s="1">
        <v>128.41999999999999</v>
      </c>
      <c r="BI4132" s="1">
        <v>261300</v>
      </c>
      <c r="BJ4132" s="3">
        <v>42447</v>
      </c>
      <c r="BK4132" t="s">
        <v>123</v>
      </c>
      <c r="BL4132" t="str">
        <f>"2016.174840"</f>
        <v>2016.174840</v>
      </c>
      <c r="BM4132" t="s">
        <v>124</v>
      </c>
      <c r="BO4132" t="s">
        <v>26246</v>
      </c>
      <c r="BS4132">
        <v>30</v>
      </c>
      <c r="BW4132" t="str">
        <f>""</f>
        <v/>
      </c>
      <c r="CH4132" t="str">
        <f>""</f>
        <v/>
      </c>
      <c r="CS4132" t="str">
        <f>""</f>
        <v/>
      </c>
    </row>
    <row r="4133" spans="1:97" x14ac:dyDescent="0.25">
      <c r="A4133" t="s">
        <v>211</v>
      </c>
      <c r="B4133" t="s">
        <v>22538</v>
      </c>
      <c r="C4133" t="s">
        <v>1906</v>
      </c>
      <c r="D4133" t="s">
        <v>22538</v>
      </c>
      <c r="E4133" t="s">
        <v>26247</v>
      </c>
      <c r="F4133" t="s">
        <v>108</v>
      </c>
      <c r="H4133" t="s">
        <v>26248</v>
      </c>
      <c r="I4133" t="s">
        <v>3150</v>
      </c>
      <c r="J4133" t="s">
        <v>111</v>
      </c>
      <c r="K4133" t="str">
        <f>"85340"</f>
        <v>85340</v>
      </c>
      <c r="L4133" t="s">
        <v>5239</v>
      </c>
      <c r="M4133" t="s">
        <v>26248</v>
      </c>
      <c r="N4133" t="s">
        <v>3150</v>
      </c>
      <c r="O4133" t="s">
        <v>111</v>
      </c>
      <c r="P4133" t="str">
        <f>"85340-9333"</f>
        <v>85340-9333</v>
      </c>
      <c r="Q4133" t="s">
        <v>113</v>
      </c>
      <c r="R4133" t="str">
        <f>"501-56-342"</f>
        <v>501-56-342</v>
      </c>
      <c r="S4133" t="s">
        <v>10071</v>
      </c>
      <c r="T4133" t="s">
        <v>10072</v>
      </c>
      <c r="U4133">
        <v>3094</v>
      </c>
      <c r="V4133">
        <v>0</v>
      </c>
      <c r="W4133">
        <v>5</v>
      </c>
      <c r="X4133">
        <v>2014</v>
      </c>
      <c r="Z4133">
        <v>1</v>
      </c>
      <c r="AB4133">
        <v>0</v>
      </c>
      <c r="AC4133" t="s">
        <v>115</v>
      </c>
      <c r="AD4133">
        <v>4</v>
      </c>
      <c r="AE4133" t="s">
        <v>115</v>
      </c>
      <c r="AF4133">
        <v>0</v>
      </c>
      <c r="AG4133">
        <v>0</v>
      </c>
      <c r="AH4133" t="s">
        <v>116</v>
      </c>
      <c r="AI4133" s="1">
        <v>118621</v>
      </c>
      <c r="AJ4133" s="2">
        <v>0.22</v>
      </c>
      <c r="AK4133" s="1">
        <v>535583</v>
      </c>
      <c r="AL4133" t="s">
        <v>117</v>
      </c>
      <c r="AM4133" t="s">
        <v>376</v>
      </c>
      <c r="AN4133">
        <v>43572</v>
      </c>
      <c r="AO4133">
        <v>1</v>
      </c>
      <c r="AR4133">
        <v>1</v>
      </c>
      <c r="AS4133" s="1">
        <v>43070</v>
      </c>
      <c r="AT4133" s="1">
        <v>8610</v>
      </c>
      <c r="AU4133" s="1">
        <v>34460</v>
      </c>
      <c r="AV4133">
        <v>80.010000000000005</v>
      </c>
      <c r="AX4133" s="1">
        <v>3305.48</v>
      </c>
      <c r="AY4133" t="s">
        <v>5241</v>
      </c>
      <c r="AZ4133" t="s">
        <v>3153</v>
      </c>
      <c r="BA4133" t="s">
        <v>3154</v>
      </c>
      <c r="BE4133" s="3">
        <v>41817</v>
      </c>
      <c r="BF4133" s="1">
        <v>441634</v>
      </c>
      <c r="BG4133" t="s">
        <v>158</v>
      </c>
      <c r="BH4133" s="1">
        <v>142.74</v>
      </c>
      <c r="BI4133" s="1">
        <v>416962</v>
      </c>
      <c r="BJ4133" s="3">
        <v>41817</v>
      </c>
      <c r="BK4133" t="s">
        <v>123</v>
      </c>
      <c r="BL4133" t="str">
        <f>"2014.424957"</f>
        <v>2014.424957</v>
      </c>
      <c r="BM4133" t="s">
        <v>241</v>
      </c>
      <c r="BO4133" t="s">
        <v>26249</v>
      </c>
      <c r="BS4133">
        <v>30</v>
      </c>
      <c r="BW4133" t="str">
        <f>""</f>
        <v/>
      </c>
      <c r="CH4133" t="str">
        <f>""</f>
        <v/>
      </c>
      <c r="CS4133" t="str">
        <f>""</f>
        <v/>
      </c>
    </row>
    <row r="4134" spans="1:97" x14ac:dyDescent="0.25">
      <c r="A4134" t="s">
        <v>1514</v>
      </c>
      <c r="B4134" t="s">
        <v>8944</v>
      </c>
      <c r="E4134" t="s">
        <v>26250</v>
      </c>
      <c r="F4134" t="s">
        <v>108</v>
      </c>
      <c r="H4134" t="s">
        <v>26251</v>
      </c>
      <c r="I4134" t="s">
        <v>203</v>
      </c>
      <c r="J4134" t="s">
        <v>111</v>
      </c>
      <c r="K4134" t="str">
        <f>"85295"</f>
        <v>85295</v>
      </c>
      <c r="L4134" t="s">
        <v>3520</v>
      </c>
      <c r="M4134" t="s">
        <v>26251</v>
      </c>
      <c r="N4134" t="s">
        <v>203</v>
      </c>
      <c r="O4134" t="s">
        <v>111</v>
      </c>
      <c r="P4134" t="str">
        <f>"85295-3680"</f>
        <v>85295-3680</v>
      </c>
      <c r="Q4134" t="s">
        <v>113</v>
      </c>
      <c r="R4134" t="str">
        <f>"309-29-590"</f>
        <v>309-29-590</v>
      </c>
      <c r="S4134" t="s">
        <v>8992</v>
      </c>
      <c r="T4134" t="s">
        <v>8962</v>
      </c>
      <c r="U4134">
        <v>2290</v>
      </c>
      <c r="V4134">
        <v>0</v>
      </c>
      <c r="W4134">
        <v>3</v>
      </c>
      <c r="X4134">
        <v>2006</v>
      </c>
      <c r="Z4134">
        <v>2</v>
      </c>
      <c r="AB4134">
        <v>0</v>
      </c>
      <c r="AC4134" t="s">
        <v>115</v>
      </c>
      <c r="AD4134">
        <v>2</v>
      </c>
      <c r="AE4134" t="s">
        <v>115</v>
      </c>
      <c r="AF4134">
        <v>0</v>
      </c>
      <c r="AG4134">
        <v>0</v>
      </c>
      <c r="AH4134" t="s">
        <v>116</v>
      </c>
      <c r="AI4134" s="1">
        <v>76405</v>
      </c>
      <c r="AJ4134" s="2">
        <v>0.22</v>
      </c>
      <c r="AK4134" s="1">
        <v>350150</v>
      </c>
      <c r="AL4134" t="s">
        <v>117</v>
      </c>
      <c r="AM4134" t="s">
        <v>191</v>
      </c>
      <c r="AN4134">
        <v>5425</v>
      </c>
      <c r="AO4134">
        <v>0.12</v>
      </c>
      <c r="AR4134">
        <v>1</v>
      </c>
      <c r="AS4134" s="1">
        <v>22020</v>
      </c>
      <c r="AT4134" s="1">
        <v>4400</v>
      </c>
      <c r="AU4134" s="1">
        <v>17620</v>
      </c>
      <c r="AV4134">
        <v>80.02</v>
      </c>
      <c r="AX4134" s="1">
        <v>1815.22</v>
      </c>
      <c r="AY4134" t="s">
        <v>5087</v>
      </c>
      <c r="AZ4134" t="s">
        <v>5087</v>
      </c>
      <c r="BA4134" t="s">
        <v>473</v>
      </c>
      <c r="BE4134" s="3">
        <v>42215</v>
      </c>
      <c r="BF4134" s="1">
        <v>268000</v>
      </c>
      <c r="BG4134" t="s">
        <v>26252</v>
      </c>
      <c r="BH4134" s="1">
        <v>117.03</v>
      </c>
      <c r="BI4134" s="1">
        <v>273745</v>
      </c>
      <c r="BJ4134" s="3">
        <v>42215</v>
      </c>
      <c r="BK4134" t="s">
        <v>123</v>
      </c>
      <c r="BL4134" t="str">
        <f>"2015.552577"</f>
        <v>2015.552577</v>
      </c>
      <c r="BM4134" t="s">
        <v>3453</v>
      </c>
      <c r="BO4134" t="s">
        <v>26253</v>
      </c>
      <c r="BS4134">
        <v>30</v>
      </c>
      <c r="BW4134" t="str">
        <f>""</f>
        <v/>
      </c>
      <c r="CH4134" t="str">
        <f>""</f>
        <v/>
      </c>
      <c r="CS4134" t="str">
        <f>""</f>
        <v/>
      </c>
    </row>
    <row r="4135" spans="1:97" x14ac:dyDescent="0.25">
      <c r="B4135" t="s">
        <v>26254</v>
      </c>
      <c r="E4135" t="s">
        <v>3248</v>
      </c>
      <c r="F4135" t="s">
        <v>108</v>
      </c>
      <c r="H4135" t="s">
        <v>26255</v>
      </c>
      <c r="I4135" t="s">
        <v>6646</v>
      </c>
      <c r="J4135" t="s">
        <v>111</v>
      </c>
      <c r="K4135" t="str">
        <f>"85086"</f>
        <v>85086</v>
      </c>
      <c r="L4135" t="s">
        <v>284</v>
      </c>
      <c r="M4135" t="s">
        <v>26255</v>
      </c>
      <c r="N4135" t="s">
        <v>6646</v>
      </c>
      <c r="O4135" t="s">
        <v>111</v>
      </c>
      <c r="P4135" t="str">
        <f>"85086-1191"</f>
        <v>85086-1191</v>
      </c>
      <c r="Q4135" t="s">
        <v>113</v>
      </c>
      <c r="R4135" t="str">
        <f>"203-01-713"</f>
        <v>203-01-713</v>
      </c>
      <c r="S4135" t="s">
        <v>26256</v>
      </c>
      <c r="T4135" t="s">
        <v>6514</v>
      </c>
      <c r="U4135">
        <v>2039</v>
      </c>
      <c r="V4135">
        <v>0</v>
      </c>
      <c r="W4135">
        <v>3</v>
      </c>
      <c r="X4135">
        <v>2001</v>
      </c>
      <c r="Z4135">
        <v>1</v>
      </c>
      <c r="AA4135" t="s">
        <v>26</v>
      </c>
      <c r="AB4135">
        <v>0</v>
      </c>
      <c r="AC4135" t="s">
        <v>115</v>
      </c>
      <c r="AD4135">
        <v>2</v>
      </c>
      <c r="AE4135" t="s">
        <v>115</v>
      </c>
      <c r="AF4135">
        <v>0</v>
      </c>
      <c r="AG4135">
        <v>0</v>
      </c>
      <c r="AH4135" t="s">
        <v>116</v>
      </c>
      <c r="AI4135" s="1">
        <v>-40373</v>
      </c>
      <c r="AJ4135" s="2">
        <v>-0.11</v>
      </c>
      <c r="AK4135" s="1">
        <v>352904</v>
      </c>
      <c r="AL4135" t="s">
        <v>117</v>
      </c>
      <c r="AM4135" t="s">
        <v>5379</v>
      </c>
      <c r="AN4135">
        <v>10218</v>
      </c>
      <c r="AO4135">
        <v>0.24</v>
      </c>
      <c r="AP4135">
        <v>1</v>
      </c>
      <c r="AR4135">
        <v>1</v>
      </c>
      <c r="AS4135" s="1">
        <v>25950</v>
      </c>
      <c r="AT4135" s="1">
        <v>5190</v>
      </c>
      <c r="AU4135" s="1">
        <v>20760</v>
      </c>
      <c r="AV4135">
        <v>80</v>
      </c>
      <c r="AX4135" s="1">
        <v>2926.66</v>
      </c>
      <c r="AY4135" t="s">
        <v>6648</v>
      </c>
      <c r="AZ4135" t="s">
        <v>6648</v>
      </c>
      <c r="BA4135" t="s">
        <v>378</v>
      </c>
      <c r="BB4135" s="3">
        <v>42576</v>
      </c>
      <c r="BD4135" t="s">
        <v>458</v>
      </c>
      <c r="BE4135" s="3">
        <v>42461</v>
      </c>
      <c r="BF4135" s="1">
        <v>385000</v>
      </c>
      <c r="BG4135" t="s">
        <v>26257</v>
      </c>
      <c r="BH4135" s="1">
        <v>188.82</v>
      </c>
      <c r="BI4135" s="1">
        <v>393277</v>
      </c>
      <c r="BJ4135" s="3">
        <v>42461</v>
      </c>
      <c r="BK4135" t="s">
        <v>123</v>
      </c>
      <c r="BL4135" t="str">
        <f>"2016.215117"</f>
        <v>2016.215117</v>
      </c>
      <c r="BM4135" t="s">
        <v>9665</v>
      </c>
      <c r="BO4135" t="s">
        <v>26258</v>
      </c>
      <c r="BS4135">
        <v>30</v>
      </c>
      <c r="BW4135" t="str">
        <f>""</f>
        <v/>
      </c>
      <c r="CH4135" t="str">
        <f>""</f>
        <v/>
      </c>
      <c r="CS4135" t="str">
        <f>""</f>
        <v/>
      </c>
    </row>
    <row r="4136" spans="1:97" x14ac:dyDescent="0.25">
      <c r="A4136" t="s">
        <v>404</v>
      </c>
      <c r="B4136" t="s">
        <v>6443</v>
      </c>
      <c r="E4136" t="s">
        <v>26259</v>
      </c>
      <c r="F4136" t="s">
        <v>108</v>
      </c>
      <c r="H4136" t="s">
        <v>26260</v>
      </c>
      <c r="I4136" t="s">
        <v>2874</v>
      </c>
      <c r="J4136" t="s">
        <v>111</v>
      </c>
      <c r="K4136" t="str">
        <f>"85308"</f>
        <v>85308</v>
      </c>
      <c r="L4136" t="s">
        <v>2354</v>
      </c>
      <c r="M4136" t="s">
        <v>26260</v>
      </c>
      <c r="N4136" t="s">
        <v>2874</v>
      </c>
      <c r="O4136" t="s">
        <v>111</v>
      </c>
      <c r="P4136" t="str">
        <f>"85308-6369"</f>
        <v>85308-6369</v>
      </c>
      <c r="Q4136" t="s">
        <v>113</v>
      </c>
      <c r="R4136" t="str">
        <f>"231-16-071"</f>
        <v>231-16-071</v>
      </c>
      <c r="S4136" t="s">
        <v>26261</v>
      </c>
      <c r="T4136" t="s">
        <v>26262</v>
      </c>
      <c r="U4136">
        <v>2163</v>
      </c>
      <c r="V4136">
        <v>0</v>
      </c>
      <c r="W4136">
        <v>3</v>
      </c>
      <c r="X4136">
        <v>1994</v>
      </c>
      <c r="Z4136">
        <v>1</v>
      </c>
      <c r="AB4136">
        <v>0</v>
      </c>
      <c r="AC4136" t="s">
        <v>115</v>
      </c>
      <c r="AD4136">
        <v>2</v>
      </c>
      <c r="AE4136" t="s">
        <v>115</v>
      </c>
      <c r="AF4136">
        <v>0</v>
      </c>
      <c r="AG4136">
        <v>0</v>
      </c>
      <c r="AH4136" t="s">
        <v>116</v>
      </c>
      <c r="AI4136" s="1">
        <v>80433</v>
      </c>
      <c r="AJ4136" s="2">
        <v>0.22</v>
      </c>
      <c r="AK4136" s="1">
        <v>358133</v>
      </c>
      <c r="AL4136" t="s">
        <v>117</v>
      </c>
      <c r="AM4136" t="s">
        <v>191</v>
      </c>
      <c r="AN4136">
        <v>7000</v>
      </c>
      <c r="AO4136">
        <v>0.16</v>
      </c>
      <c r="AP4136">
        <v>1</v>
      </c>
      <c r="AR4136">
        <v>1</v>
      </c>
      <c r="AS4136" s="1">
        <v>25410</v>
      </c>
      <c r="AT4136" s="1">
        <v>5080</v>
      </c>
      <c r="AU4136" s="1">
        <v>20330</v>
      </c>
      <c r="AV4136">
        <v>80.010000000000005</v>
      </c>
      <c r="AX4136" s="1">
        <v>2502.1799999999998</v>
      </c>
      <c r="AY4136" t="s">
        <v>7455</v>
      </c>
      <c r="AZ4136" t="s">
        <v>3049</v>
      </c>
      <c r="BA4136" t="s">
        <v>2223</v>
      </c>
      <c r="BE4136" s="3">
        <v>42354</v>
      </c>
      <c r="BF4136" s="1">
        <v>279000</v>
      </c>
      <c r="BG4136" t="s">
        <v>26263</v>
      </c>
      <c r="BH4136" s="1">
        <v>128.99</v>
      </c>
      <c r="BI4136" s="1">
        <v>277700</v>
      </c>
      <c r="BJ4136" s="3">
        <v>42663</v>
      </c>
      <c r="BK4136" t="s">
        <v>123</v>
      </c>
      <c r="BL4136" t="str">
        <f>"2016.769470"</f>
        <v>2016.769470</v>
      </c>
      <c r="BM4136" t="s">
        <v>322</v>
      </c>
      <c r="BO4136" t="s">
        <v>26264</v>
      </c>
      <c r="BS4136">
        <v>30</v>
      </c>
      <c r="BW4136" t="str">
        <f>""</f>
        <v/>
      </c>
      <c r="CH4136" t="str">
        <f>""</f>
        <v/>
      </c>
      <c r="CS4136" t="str">
        <f>""</f>
        <v/>
      </c>
    </row>
    <row r="4137" spans="1:97" x14ac:dyDescent="0.25">
      <c r="B4137" t="s">
        <v>26265</v>
      </c>
      <c r="E4137" t="s">
        <v>26266</v>
      </c>
      <c r="F4137" t="s">
        <v>108</v>
      </c>
      <c r="H4137" t="s">
        <v>26267</v>
      </c>
      <c r="I4137" t="s">
        <v>203</v>
      </c>
      <c r="J4137" t="s">
        <v>111</v>
      </c>
      <c r="K4137" t="str">
        <f>"85298"</f>
        <v>85298</v>
      </c>
      <c r="L4137" t="s">
        <v>5131</v>
      </c>
      <c r="M4137" t="s">
        <v>26267</v>
      </c>
      <c r="N4137" t="s">
        <v>203</v>
      </c>
      <c r="O4137" t="s">
        <v>111</v>
      </c>
      <c r="P4137" t="str">
        <f>"85298-8737"</f>
        <v>85298-8737</v>
      </c>
      <c r="Q4137" t="s">
        <v>113</v>
      </c>
      <c r="R4137" t="str">
        <f>"304-77-197"</f>
        <v>304-77-197</v>
      </c>
      <c r="S4137" t="s">
        <v>14495</v>
      </c>
      <c r="U4137">
        <v>3433</v>
      </c>
      <c r="V4137">
        <v>0</v>
      </c>
      <c r="W4137">
        <v>4</v>
      </c>
      <c r="X4137">
        <v>2006</v>
      </c>
      <c r="Z4137">
        <v>2</v>
      </c>
      <c r="AA4137" t="s">
        <v>26</v>
      </c>
      <c r="AB4137">
        <v>0</v>
      </c>
      <c r="AC4137" t="s">
        <v>115</v>
      </c>
      <c r="AD4137">
        <v>3</v>
      </c>
      <c r="AE4137" t="s">
        <v>115</v>
      </c>
      <c r="AF4137">
        <v>0</v>
      </c>
      <c r="AG4137">
        <v>0</v>
      </c>
      <c r="AH4137" t="s">
        <v>116</v>
      </c>
      <c r="AI4137" s="1">
        <v>111387</v>
      </c>
      <c r="AJ4137" s="2">
        <v>0.24</v>
      </c>
      <c r="AK4137" s="1">
        <v>462344</v>
      </c>
      <c r="AL4137" t="s">
        <v>117</v>
      </c>
      <c r="AM4137" t="s">
        <v>393</v>
      </c>
      <c r="AN4137">
        <v>8626</v>
      </c>
      <c r="AO4137">
        <v>0.2</v>
      </c>
      <c r="AR4137">
        <v>1</v>
      </c>
      <c r="AS4137" s="1">
        <v>32650</v>
      </c>
      <c r="AT4137" s="1">
        <v>6530</v>
      </c>
      <c r="AU4137" s="1">
        <v>26120</v>
      </c>
      <c r="AV4137">
        <v>80</v>
      </c>
      <c r="AX4137" s="1">
        <v>2842.14</v>
      </c>
      <c r="AY4137" t="s">
        <v>2214</v>
      </c>
      <c r="AZ4137" t="s">
        <v>1134</v>
      </c>
      <c r="BA4137" t="s">
        <v>1134</v>
      </c>
      <c r="BB4137" s="3">
        <v>42436</v>
      </c>
      <c r="BD4137" t="s">
        <v>480</v>
      </c>
      <c r="BE4137" s="3">
        <v>42170</v>
      </c>
      <c r="BF4137" s="1">
        <v>369900</v>
      </c>
      <c r="BG4137" t="s">
        <v>26268</v>
      </c>
      <c r="BH4137" s="1">
        <v>107.75</v>
      </c>
      <c r="BI4137" s="1">
        <v>350957</v>
      </c>
      <c r="BJ4137" s="3">
        <v>42170</v>
      </c>
      <c r="BK4137" t="s">
        <v>123</v>
      </c>
      <c r="BL4137" t="str">
        <f>"2015.424510"</f>
        <v>2015.424510</v>
      </c>
      <c r="BM4137" t="s">
        <v>724</v>
      </c>
      <c r="BO4137" t="s">
        <v>26269</v>
      </c>
      <c r="BS4137">
        <v>30</v>
      </c>
      <c r="BW4137" t="str">
        <f>""</f>
        <v/>
      </c>
      <c r="CH4137" t="str">
        <f>""</f>
        <v/>
      </c>
      <c r="CS4137" t="str">
        <f>""</f>
        <v/>
      </c>
    </row>
    <row r="4138" spans="1:97" x14ac:dyDescent="0.25">
      <c r="A4138" t="s">
        <v>2374</v>
      </c>
      <c r="B4138" t="s">
        <v>2007</v>
      </c>
      <c r="C4138" t="s">
        <v>1119</v>
      </c>
      <c r="D4138" t="s">
        <v>2007</v>
      </c>
      <c r="E4138" t="s">
        <v>26270</v>
      </c>
      <c r="F4138" t="s">
        <v>108</v>
      </c>
      <c r="H4138" t="s">
        <v>26271</v>
      </c>
      <c r="I4138" t="s">
        <v>203</v>
      </c>
      <c r="J4138" t="s">
        <v>111</v>
      </c>
      <c r="K4138" t="str">
        <f>"85295"</f>
        <v>85295</v>
      </c>
      <c r="L4138" t="s">
        <v>7109</v>
      </c>
      <c r="M4138" t="s">
        <v>26271</v>
      </c>
      <c r="N4138" t="s">
        <v>203</v>
      </c>
      <c r="O4138" t="s">
        <v>111</v>
      </c>
      <c r="P4138" t="str">
        <f>"85295-1740"</f>
        <v>85295-1740</v>
      </c>
      <c r="Q4138" t="s">
        <v>113</v>
      </c>
      <c r="R4138" t="str">
        <f>"304-45-580"</f>
        <v>304-45-580</v>
      </c>
      <c r="S4138" t="s">
        <v>26272</v>
      </c>
      <c r="U4138">
        <v>2146</v>
      </c>
      <c r="V4138">
        <v>0</v>
      </c>
      <c r="W4138">
        <v>3</v>
      </c>
      <c r="X4138">
        <v>2004</v>
      </c>
      <c r="Z4138">
        <v>1</v>
      </c>
      <c r="AA4138" t="s">
        <v>26</v>
      </c>
      <c r="AB4138">
        <v>0</v>
      </c>
      <c r="AC4138" t="s">
        <v>115</v>
      </c>
      <c r="AD4138">
        <v>2</v>
      </c>
      <c r="AE4138" t="s">
        <v>115</v>
      </c>
      <c r="AF4138">
        <v>0</v>
      </c>
      <c r="AG4138">
        <v>0</v>
      </c>
      <c r="AH4138" t="s">
        <v>116</v>
      </c>
      <c r="AI4138" s="1">
        <v>81678</v>
      </c>
      <c r="AJ4138" s="2">
        <v>0.21</v>
      </c>
      <c r="AK4138" s="1">
        <v>388404</v>
      </c>
      <c r="AL4138" t="s">
        <v>117</v>
      </c>
      <c r="AM4138" t="s">
        <v>191</v>
      </c>
      <c r="AN4138">
        <v>7143</v>
      </c>
      <c r="AO4138">
        <v>0.16</v>
      </c>
      <c r="AP4138">
        <v>1</v>
      </c>
      <c r="AR4138">
        <v>1</v>
      </c>
      <c r="AS4138" s="1">
        <v>28200</v>
      </c>
      <c r="AT4138" s="1">
        <v>5640</v>
      </c>
      <c r="AU4138" s="1">
        <v>22560</v>
      </c>
      <c r="AV4138">
        <v>80</v>
      </c>
      <c r="AX4138" s="1">
        <v>2167.8000000000002</v>
      </c>
      <c r="AY4138" t="s">
        <v>1818</v>
      </c>
      <c r="AZ4138" t="s">
        <v>207</v>
      </c>
      <c r="BA4138" t="s">
        <v>208</v>
      </c>
      <c r="BE4138" s="3">
        <v>42299</v>
      </c>
      <c r="BF4138" s="1">
        <v>300000</v>
      </c>
      <c r="BG4138" t="s">
        <v>5034</v>
      </c>
      <c r="BH4138" s="1">
        <v>139.79</v>
      </c>
      <c r="BI4138" s="1">
        <v>306726</v>
      </c>
      <c r="BJ4138" s="3">
        <v>42612</v>
      </c>
      <c r="BK4138" t="s">
        <v>123</v>
      </c>
      <c r="BL4138" t="str">
        <f>"2016.622973"</f>
        <v>2016.622973</v>
      </c>
      <c r="BM4138" t="s">
        <v>2107</v>
      </c>
      <c r="BO4138" t="s">
        <v>26273</v>
      </c>
      <c r="BS4138">
        <v>30</v>
      </c>
      <c r="BW4138" t="str">
        <f>""</f>
        <v/>
      </c>
      <c r="CH4138" t="str">
        <f>""</f>
        <v/>
      </c>
      <c r="CS4138" t="str">
        <f>""</f>
        <v/>
      </c>
    </row>
    <row r="4139" spans="1:97" x14ac:dyDescent="0.25">
      <c r="A4139" t="s">
        <v>140</v>
      </c>
      <c r="B4139" t="s">
        <v>26274</v>
      </c>
      <c r="E4139" t="s">
        <v>26275</v>
      </c>
      <c r="F4139" t="s">
        <v>108</v>
      </c>
      <c r="H4139" t="s">
        <v>26276</v>
      </c>
      <c r="I4139" t="s">
        <v>453</v>
      </c>
      <c r="J4139" t="s">
        <v>111</v>
      </c>
      <c r="K4139" t="str">
        <f>"85383"</f>
        <v>85383</v>
      </c>
      <c r="L4139" t="s">
        <v>1383</v>
      </c>
      <c r="M4139" t="s">
        <v>26276</v>
      </c>
      <c r="N4139" t="s">
        <v>453</v>
      </c>
      <c r="O4139" t="s">
        <v>111</v>
      </c>
      <c r="P4139" t="str">
        <f>"85383-6239"</f>
        <v>85383-6239</v>
      </c>
      <c r="Q4139" t="s">
        <v>113</v>
      </c>
      <c r="R4139" t="str">
        <f>"201-20-167"</f>
        <v>201-20-167</v>
      </c>
      <c r="S4139" t="s">
        <v>15688</v>
      </c>
      <c r="T4139" t="s">
        <v>8847</v>
      </c>
      <c r="U4139">
        <v>1858</v>
      </c>
      <c r="V4139">
        <v>0</v>
      </c>
      <c r="W4139">
        <v>3</v>
      </c>
      <c r="X4139">
        <v>2014</v>
      </c>
      <c r="Z4139">
        <v>1</v>
      </c>
      <c r="AB4139">
        <v>0</v>
      </c>
      <c r="AC4139" t="s">
        <v>115</v>
      </c>
      <c r="AD4139">
        <v>2</v>
      </c>
      <c r="AE4139" t="s">
        <v>115</v>
      </c>
      <c r="AF4139">
        <v>0</v>
      </c>
      <c r="AG4139">
        <v>0</v>
      </c>
      <c r="AH4139" t="s">
        <v>116</v>
      </c>
      <c r="AI4139" s="1">
        <v>428</v>
      </c>
      <c r="AJ4139" s="2">
        <v>0</v>
      </c>
      <c r="AK4139" s="1">
        <v>329465</v>
      </c>
      <c r="AL4139" t="s">
        <v>117</v>
      </c>
      <c r="AM4139" t="s">
        <v>118</v>
      </c>
      <c r="AN4139">
        <v>6302</v>
      </c>
      <c r="AO4139">
        <v>0.14000000000000001</v>
      </c>
      <c r="AR4139">
        <v>1</v>
      </c>
      <c r="AS4139" s="1">
        <v>24280</v>
      </c>
      <c r="AT4139" s="1">
        <v>4850</v>
      </c>
      <c r="AU4139" s="1">
        <v>19430</v>
      </c>
      <c r="AV4139">
        <v>80.02</v>
      </c>
      <c r="AX4139" s="1">
        <v>1981.16</v>
      </c>
      <c r="AY4139" t="s">
        <v>1385</v>
      </c>
      <c r="AZ4139" t="s">
        <v>1385</v>
      </c>
      <c r="BA4139" t="s">
        <v>1386</v>
      </c>
      <c r="BE4139" s="3">
        <v>41845</v>
      </c>
      <c r="BF4139" s="1">
        <v>276359</v>
      </c>
      <c r="BG4139" t="s">
        <v>2199</v>
      </c>
      <c r="BH4139" s="1">
        <v>148.74</v>
      </c>
      <c r="BI4139" s="1">
        <v>329037</v>
      </c>
      <c r="BJ4139" s="3">
        <v>43607</v>
      </c>
      <c r="BK4139" t="s">
        <v>123</v>
      </c>
      <c r="BL4139" t="str">
        <f>"2019.376751"</f>
        <v>2019.376751</v>
      </c>
      <c r="BM4139" t="s">
        <v>159</v>
      </c>
      <c r="BN4139" t="s">
        <v>160</v>
      </c>
      <c r="BO4139" t="s">
        <v>26277</v>
      </c>
      <c r="BR4139" t="s">
        <v>139</v>
      </c>
      <c r="BW4139" t="str">
        <f>""</f>
        <v/>
      </c>
      <c r="CH4139" t="str">
        <f>""</f>
        <v/>
      </c>
      <c r="CS4139" t="str">
        <f>""</f>
        <v/>
      </c>
    </row>
    <row r="4140" spans="1:97" x14ac:dyDescent="0.25">
      <c r="A4140" t="s">
        <v>26278</v>
      </c>
      <c r="B4140" t="s">
        <v>7143</v>
      </c>
      <c r="C4140" t="s">
        <v>3395</v>
      </c>
      <c r="D4140" t="s">
        <v>7143</v>
      </c>
      <c r="E4140" t="s">
        <v>26279</v>
      </c>
      <c r="F4140" t="s">
        <v>108</v>
      </c>
      <c r="H4140" t="s">
        <v>26280</v>
      </c>
      <c r="I4140" t="s">
        <v>1397</v>
      </c>
      <c r="J4140" t="s">
        <v>111</v>
      </c>
      <c r="K4140" t="str">
        <f>"85331"</f>
        <v>85331</v>
      </c>
      <c r="L4140" t="s">
        <v>17926</v>
      </c>
      <c r="M4140" t="s">
        <v>26280</v>
      </c>
      <c r="N4140" t="s">
        <v>1397</v>
      </c>
      <c r="O4140" t="s">
        <v>111</v>
      </c>
      <c r="P4140" t="str">
        <f>"85331-3302"</f>
        <v>85331-3302</v>
      </c>
      <c r="Q4140" t="s">
        <v>113</v>
      </c>
      <c r="R4140" t="str">
        <f>"211-42-466"</f>
        <v>211-42-466</v>
      </c>
      <c r="S4140" t="s">
        <v>26281</v>
      </c>
      <c r="U4140">
        <v>3227</v>
      </c>
      <c r="V4140">
        <v>0</v>
      </c>
      <c r="W4140">
        <v>4</v>
      </c>
      <c r="X4140">
        <v>1998</v>
      </c>
      <c r="Z4140">
        <v>1</v>
      </c>
      <c r="AA4140" t="s">
        <v>26</v>
      </c>
      <c r="AB4140">
        <v>0</v>
      </c>
      <c r="AC4140" t="s">
        <v>115</v>
      </c>
      <c r="AD4140">
        <v>3</v>
      </c>
      <c r="AE4140" t="s">
        <v>115</v>
      </c>
      <c r="AF4140">
        <v>0</v>
      </c>
      <c r="AG4140">
        <v>0</v>
      </c>
      <c r="AH4140" t="s">
        <v>116</v>
      </c>
      <c r="AI4140" s="1">
        <v>102798</v>
      </c>
      <c r="AJ4140" s="2">
        <v>0.17</v>
      </c>
      <c r="AK4140" s="1">
        <v>594565</v>
      </c>
      <c r="AL4140" t="s">
        <v>117</v>
      </c>
      <c r="AM4140" t="s">
        <v>191</v>
      </c>
      <c r="AN4140">
        <v>14050</v>
      </c>
      <c r="AO4140">
        <v>0.32</v>
      </c>
      <c r="AP4140">
        <v>1</v>
      </c>
      <c r="AR4140">
        <v>1</v>
      </c>
      <c r="AS4140" s="1">
        <v>46150</v>
      </c>
      <c r="AT4140" s="1">
        <v>9230</v>
      </c>
      <c r="AU4140" s="1">
        <v>36920</v>
      </c>
      <c r="AV4140">
        <v>80</v>
      </c>
      <c r="AX4140" s="1">
        <v>2960.56</v>
      </c>
      <c r="AY4140" t="s">
        <v>6361</v>
      </c>
      <c r="AZ4140" t="s">
        <v>1402</v>
      </c>
      <c r="BA4140" t="s">
        <v>1403</v>
      </c>
      <c r="BE4140" s="3">
        <v>42551</v>
      </c>
      <c r="BF4140" s="1">
        <v>510000</v>
      </c>
      <c r="BG4140" t="s">
        <v>26282</v>
      </c>
      <c r="BH4140" s="1">
        <v>158.04</v>
      </c>
      <c r="BI4140" s="1">
        <v>491767</v>
      </c>
      <c r="BJ4140" s="3">
        <v>42551</v>
      </c>
      <c r="BK4140" t="s">
        <v>123</v>
      </c>
      <c r="BL4140" t="str">
        <f>"2016.460760"</f>
        <v>2016.460760</v>
      </c>
      <c r="BM4140" t="s">
        <v>17829</v>
      </c>
      <c r="BO4140" t="s">
        <v>26283</v>
      </c>
      <c r="BS4140">
        <v>30</v>
      </c>
      <c r="BW4140" t="str">
        <f>""</f>
        <v/>
      </c>
      <c r="CH4140" t="str">
        <f>""</f>
        <v/>
      </c>
      <c r="CS4140" t="str">
        <f>""</f>
        <v/>
      </c>
    </row>
    <row r="4141" spans="1:97" x14ac:dyDescent="0.25">
      <c r="A4141" t="s">
        <v>6619</v>
      </c>
      <c r="B4141" t="s">
        <v>26284</v>
      </c>
      <c r="C4141" t="s">
        <v>2640</v>
      </c>
      <c r="D4141" t="s">
        <v>26284</v>
      </c>
      <c r="E4141" t="s">
        <v>26285</v>
      </c>
      <c r="F4141" t="s">
        <v>108</v>
      </c>
      <c r="H4141" t="s">
        <v>26286</v>
      </c>
      <c r="I4141" t="s">
        <v>188</v>
      </c>
      <c r="J4141" t="s">
        <v>111</v>
      </c>
      <c r="K4141" t="str">
        <f>"85142"</f>
        <v>85142</v>
      </c>
      <c r="L4141" t="s">
        <v>625</v>
      </c>
      <c r="M4141" t="s">
        <v>26286</v>
      </c>
      <c r="N4141" t="s">
        <v>188</v>
      </c>
      <c r="O4141" t="s">
        <v>111</v>
      </c>
      <c r="P4141" t="str">
        <f>"85142-6352"</f>
        <v>85142-6352</v>
      </c>
      <c r="Q4141" t="s">
        <v>113</v>
      </c>
      <c r="R4141" t="str">
        <f>"304-64-565"</f>
        <v>304-64-565</v>
      </c>
      <c r="S4141" t="s">
        <v>12959</v>
      </c>
      <c r="T4141" t="s">
        <v>12959</v>
      </c>
      <c r="U4141">
        <v>3005</v>
      </c>
      <c r="V4141">
        <v>0</v>
      </c>
      <c r="W4141">
        <v>4</v>
      </c>
      <c r="X4141">
        <v>2014</v>
      </c>
      <c r="Z4141">
        <v>1</v>
      </c>
      <c r="AB4141">
        <v>0</v>
      </c>
      <c r="AC4141" t="s">
        <v>115</v>
      </c>
      <c r="AD4141">
        <v>6</v>
      </c>
      <c r="AE4141" t="s">
        <v>115</v>
      </c>
      <c r="AF4141">
        <v>0</v>
      </c>
      <c r="AG4141">
        <v>0</v>
      </c>
      <c r="AH4141" t="s">
        <v>116</v>
      </c>
      <c r="AI4141" s="1">
        <v>114897</v>
      </c>
      <c r="AJ4141" s="2">
        <v>0.22</v>
      </c>
      <c r="AK4141" s="1">
        <v>525147</v>
      </c>
      <c r="AL4141" t="s">
        <v>117</v>
      </c>
      <c r="AM4141" t="s">
        <v>1521</v>
      </c>
      <c r="AN4141">
        <v>17016</v>
      </c>
      <c r="AO4141">
        <v>0.39</v>
      </c>
      <c r="AR4141">
        <v>1</v>
      </c>
      <c r="AS4141" s="1">
        <v>40880</v>
      </c>
      <c r="AT4141" s="1">
        <v>8170</v>
      </c>
      <c r="AU4141" s="1">
        <v>32710</v>
      </c>
      <c r="AV4141">
        <v>80.010000000000005</v>
      </c>
      <c r="AX4141" s="1">
        <v>3807.68</v>
      </c>
      <c r="AY4141" t="s">
        <v>560</v>
      </c>
      <c r="AZ4141" t="s">
        <v>561</v>
      </c>
      <c r="BA4141" t="s">
        <v>194</v>
      </c>
      <c r="BE4141" s="3">
        <v>41789</v>
      </c>
      <c r="BF4141" s="1">
        <v>430068</v>
      </c>
      <c r="BG4141" t="s">
        <v>474</v>
      </c>
      <c r="BH4141" s="1">
        <v>143.12</v>
      </c>
      <c r="BI4141" s="1">
        <v>410250</v>
      </c>
      <c r="BJ4141" s="3">
        <v>42639</v>
      </c>
      <c r="BK4141" t="s">
        <v>123</v>
      </c>
      <c r="BL4141" t="str">
        <f>"2016.699355"</f>
        <v>2016.699355</v>
      </c>
      <c r="BM4141" t="s">
        <v>1544</v>
      </c>
      <c r="BO4141" t="s">
        <v>26287</v>
      </c>
      <c r="BS4141">
        <v>30</v>
      </c>
      <c r="BW4141" t="str">
        <f>""</f>
        <v/>
      </c>
      <c r="CH4141" t="str">
        <f>""</f>
        <v/>
      </c>
      <c r="CS4141" t="str">
        <f>""</f>
        <v/>
      </c>
    </row>
    <row r="4142" spans="1:97" x14ac:dyDescent="0.25">
      <c r="A4142" t="s">
        <v>26288</v>
      </c>
      <c r="B4142" t="s">
        <v>26289</v>
      </c>
      <c r="C4142" t="s">
        <v>1451</v>
      </c>
      <c r="D4142" t="s">
        <v>26289</v>
      </c>
      <c r="E4142" t="s">
        <v>26290</v>
      </c>
      <c r="F4142" t="s">
        <v>108</v>
      </c>
      <c r="H4142" t="s">
        <v>26291</v>
      </c>
      <c r="I4142" t="s">
        <v>499</v>
      </c>
      <c r="J4142" t="s">
        <v>111</v>
      </c>
      <c r="K4142" t="str">
        <f>"85395"</f>
        <v>85395</v>
      </c>
      <c r="L4142" t="s">
        <v>1312</v>
      </c>
      <c r="M4142" t="s">
        <v>26291</v>
      </c>
      <c r="N4142" t="s">
        <v>499</v>
      </c>
      <c r="O4142" t="s">
        <v>111</v>
      </c>
      <c r="P4142" t="str">
        <f>"85395-2025"</f>
        <v>85395-2025</v>
      </c>
      <c r="Q4142" t="s">
        <v>113</v>
      </c>
      <c r="R4142" t="str">
        <f>"501-76-294"</f>
        <v>501-76-294</v>
      </c>
      <c r="S4142" t="s">
        <v>20930</v>
      </c>
      <c r="T4142" t="s">
        <v>20931</v>
      </c>
      <c r="U4142">
        <v>2595</v>
      </c>
      <c r="V4142">
        <v>0</v>
      </c>
      <c r="W4142">
        <v>4</v>
      </c>
      <c r="X4142">
        <v>2004</v>
      </c>
      <c r="Z4142">
        <v>1</v>
      </c>
      <c r="AA4142" t="s">
        <v>26</v>
      </c>
      <c r="AB4142">
        <v>0</v>
      </c>
      <c r="AC4142" t="s">
        <v>115</v>
      </c>
      <c r="AD4142">
        <v>3</v>
      </c>
      <c r="AE4142" t="s">
        <v>115</v>
      </c>
      <c r="AF4142">
        <v>0</v>
      </c>
      <c r="AG4142">
        <v>0</v>
      </c>
      <c r="AH4142" t="s">
        <v>116</v>
      </c>
      <c r="AI4142" s="1">
        <v>122134</v>
      </c>
      <c r="AJ4142" s="2">
        <v>0.31</v>
      </c>
      <c r="AK4142" s="1">
        <v>388377</v>
      </c>
      <c r="AL4142" t="s">
        <v>117</v>
      </c>
      <c r="AM4142" t="s">
        <v>118</v>
      </c>
      <c r="AN4142">
        <v>11436</v>
      </c>
      <c r="AO4142">
        <v>0.26</v>
      </c>
      <c r="AP4142">
        <v>1</v>
      </c>
      <c r="AR4142">
        <v>1</v>
      </c>
      <c r="AS4142" s="1">
        <v>29200</v>
      </c>
      <c r="AT4142" s="1">
        <v>5840</v>
      </c>
      <c r="AU4142" s="1">
        <v>23360</v>
      </c>
      <c r="AV4142">
        <v>80</v>
      </c>
      <c r="AX4142" s="1">
        <v>3649.38</v>
      </c>
      <c r="AY4142" t="s">
        <v>3020</v>
      </c>
      <c r="AZ4142" t="s">
        <v>3020</v>
      </c>
      <c r="BA4142" t="s">
        <v>7186</v>
      </c>
      <c r="BB4142" s="3">
        <v>42584</v>
      </c>
      <c r="BD4142" t="s">
        <v>458</v>
      </c>
      <c r="BE4142" s="3">
        <v>41779</v>
      </c>
      <c r="BF4142" s="1">
        <v>288500</v>
      </c>
      <c r="BG4142" t="s">
        <v>26292</v>
      </c>
      <c r="BH4142" s="1">
        <v>111.18</v>
      </c>
      <c r="BI4142" s="1">
        <v>266243</v>
      </c>
      <c r="BJ4142" s="3">
        <v>42709</v>
      </c>
      <c r="BK4142" t="s">
        <v>123</v>
      </c>
      <c r="BL4142" t="str">
        <f>"2016.893150"</f>
        <v>2016.893150</v>
      </c>
      <c r="BM4142" t="s">
        <v>2383</v>
      </c>
      <c r="BO4142" t="s">
        <v>26293</v>
      </c>
      <c r="BS4142">
        <v>30</v>
      </c>
      <c r="BW4142" t="str">
        <f>""</f>
        <v/>
      </c>
      <c r="CH4142" t="str">
        <f>""</f>
        <v/>
      </c>
      <c r="CS4142" t="str">
        <f>""</f>
        <v/>
      </c>
    </row>
    <row r="4143" spans="1:97" x14ac:dyDescent="0.25">
      <c r="A4143" t="s">
        <v>11171</v>
      </c>
      <c r="B4143" t="s">
        <v>26294</v>
      </c>
      <c r="C4143" t="s">
        <v>2761</v>
      </c>
      <c r="D4143" t="s">
        <v>26294</v>
      </c>
      <c r="E4143" t="s">
        <v>26295</v>
      </c>
      <c r="F4143" t="s">
        <v>108</v>
      </c>
      <c r="H4143" t="s">
        <v>26296</v>
      </c>
      <c r="I4143" t="s">
        <v>110</v>
      </c>
      <c r="J4143" t="s">
        <v>111</v>
      </c>
      <c r="K4143" t="str">
        <f>"85286"</f>
        <v>85286</v>
      </c>
      <c r="L4143" t="s">
        <v>5260</v>
      </c>
      <c r="M4143" t="s">
        <v>26296</v>
      </c>
      <c r="N4143" t="s">
        <v>110</v>
      </c>
      <c r="O4143" t="s">
        <v>111</v>
      </c>
      <c r="P4143" t="str">
        <f>"85286-1183"</f>
        <v>85286-1183</v>
      </c>
      <c r="Q4143" t="s">
        <v>113</v>
      </c>
      <c r="R4143" t="str">
        <f>"303-29-375"</f>
        <v>303-29-375</v>
      </c>
      <c r="S4143" t="s">
        <v>11522</v>
      </c>
      <c r="T4143" t="s">
        <v>11522</v>
      </c>
      <c r="U4143">
        <v>2149</v>
      </c>
      <c r="V4143">
        <v>0</v>
      </c>
      <c r="W4143">
        <v>3</v>
      </c>
      <c r="X4143">
        <v>2002</v>
      </c>
      <c r="Z4143">
        <v>1</v>
      </c>
      <c r="AB4143">
        <v>0</v>
      </c>
      <c r="AC4143" t="s">
        <v>115</v>
      </c>
      <c r="AD4143">
        <v>3</v>
      </c>
      <c r="AE4143" t="s">
        <v>115</v>
      </c>
      <c r="AF4143">
        <v>0</v>
      </c>
      <c r="AG4143">
        <v>0</v>
      </c>
      <c r="AH4143" t="s">
        <v>116</v>
      </c>
      <c r="AI4143" s="1">
        <v>79427</v>
      </c>
      <c r="AJ4143" s="2">
        <v>0.22</v>
      </c>
      <c r="AK4143" s="1">
        <v>362052</v>
      </c>
      <c r="AL4143" t="s">
        <v>117</v>
      </c>
      <c r="AM4143" t="s">
        <v>118</v>
      </c>
      <c r="AN4143">
        <v>7800</v>
      </c>
      <c r="AO4143">
        <v>0.18</v>
      </c>
      <c r="AP4143">
        <v>1</v>
      </c>
      <c r="AR4143">
        <v>1</v>
      </c>
      <c r="AS4143" s="1">
        <v>25450</v>
      </c>
      <c r="AT4143" s="1">
        <v>5090</v>
      </c>
      <c r="AU4143" s="1">
        <v>20360</v>
      </c>
      <c r="AV4143">
        <v>80</v>
      </c>
      <c r="AX4143" s="1">
        <v>1988.72</v>
      </c>
      <c r="AY4143" t="s">
        <v>3185</v>
      </c>
      <c r="AZ4143" t="s">
        <v>120</v>
      </c>
      <c r="BA4143" t="s">
        <v>303</v>
      </c>
      <c r="BE4143" s="3">
        <v>42292</v>
      </c>
      <c r="BF4143" s="1">
        <v>297500</v>
      </c>
      <c r="BG4143" t="s">
        <v>26297</v>
      </c>
      <c r="BH4143" s="1">
        <v>138.44</v>
      </c>
      <c r="BI4143" s="1">
        <v>282625</v>
      </c>
      <c r="BJ4143" s="3">
        <v>42292</v>
      </c>
      <c r="BK4143" t="s">
        <v>123</v>
      </c>
      <c r="BL4143" t="str">
        <f>"2015.743653"</f>
        <v>2015.743653</v>
      </c>
      <c r="BM4143" t="s">
        <v>135</v>
      </c>
      <c r="BO4143" t="s">
        <v>26298</v>
      </c>
      <c r="BS4143">
        <v>30</v>
      </c>
      <c r="BW4143" t="str">
        <f>""</f>
        <v/>
      </c>
      <c r="CH4143" t="str">
        <f>""</f>
        <v/>
      </c>
      <c r="CS4143" t="str">
        <f>""</f>
        <v/>
      </c>
    </row>
    <row r="4144" spans="1:97" x14ac:dyDescent="0.25">
      <c r="A4144" t="s">
        <v>26299</v>
      </c>
      <c r="B4144" t="s">
        <v>10785</v>
      </c>
      <c r="C4144" t="s">
        <v>524</v>
      </c>
      <c r="D4144" t="s">
        <v>10785</v>
      </c>
      <c r="E4144" t="s">
        <v>26300</v>
      </c>
      <c r="F4144" t="s">
        <v>108</v>
      </c>
      <c r="H4144" t="s">
        <v>26301</v>
      </c>
      <c r="I4144" t="s">
        <v>1936</v>
      </c>
      <c r="J4144" t="s">
        <v>111</v>
      </c>
      <c r="K4144" t="str">
        <f>"85260"</f>
        <v>85260</v>
      </c>
      <c r="L4144" t="s">
        <v>6438</v>
      </c>
      <c r="M4144" t="s">
        <v>26301</v>
      </c>
      <c r="N4144" t="s">
        <v>1936</v>
      </c>
      <c r="O4144" t="s">
        <v>111</v>
      </c>
      <c r="P4144" t="str">
        <f>"85260-4529"</f>
        <v>85260-4529</v>
      </c>
      <c r="Q4144" t="s">
        <v>113</v>
      </c>
      <c r="R4144" t="str">
        <f>"217-24-132"</f>
        <v>217-24-132</v>
      </c>
      <c r="S4144" t="s">
        <v>26302</v>
      </c>
      <c r="T4144" t="s">
        <v>26303</v>
      </c>
      <c r="U4144">
        <v>2218</v>
      </c>
      <c r="V4144">
        <v>0</v>
      </c>
      <c r="W4144">
        <v>3</v>
      </c>
      <c r="X4144">
        <v>1990</v>
      </c>
      <c r="Z4144">
        <v>1</v>
      </c>
      <c r="AA4144" t="s">
        <v>26</v>
      </c>
      <c r="AB4144">
        <v>0</v>
      </c>
      <c r="AC4144" t="s">
        <v>115</v>
      </c>
      <c r="AD4144">
        <v>3</v>
      </c>
      <c r="AE4144" t="s">
        <v>115</v>
      </c>
      <c r="AF4144">
        <v>0</v>
      </c>
      <c r="AG4144">
        <v>0</v>
      </c>
      <c r="AH4144" t="s">
        <v>116</v>
      </c>
      <c r="AI4144" s="1">
        <v>224917</v>
      </c>
      <c r="AJ4144" s="2">
        <v>0.43</v>
      </c>
      <c r="AK4144" s="1">
        <v>526259</v>
      </c>
      <c r="AL4144" t="s">
        <v>117</v>
      </c>
      <c r="AM4144" t="s">
        <v>393</v>
      </c>
      <c r="AN4144">
        <v>7700</v>
      </c>
      <c r="AO4144">
        <v>0.18</v>
      </c>
      <c r="AP4144">
        <v>1</v>
      </c>
      <c r="AR4144">
        <v>1</v>
      </c>
      <c r="AS4144" s="1">
        <v>38500</v>
      </c>
      <c r="AT4144" s="1">
        <v>7700</v>
      </c>
      <c r="AU4144" s="1">
        <v>30800</v>
      </c>
      <c r="AV4144">
        <v>80</v>
      </c>
      <c r="AX4144" s="1">
        <v>2716.42</v>
      </c>
      <c r="AY4144" t="s">
        <v>5904</v>
      </c>
      <c r="AZ4144" t="s">
        <v>5420</v>
      </c>
      <c r="BA4144" t="s">
        <v>5763</v>
      </c>
      <c r="BE4144" s="3">
        <v>41684</v>
      </c>
      <c r="BF4144" s="1">
        <v>385000</v>
      </c>
      <c r="BG4144" t="s">
        <v>26304</v>
      </c>
      <c r="BH4144" s="1">
        <v>173.58</v>
      </c>
      <c r="BI4144" s="1">
        <v>301342</v>
      </c>
      <c r="BJ4144" s="3">
        <v>42452</v>
      </c>
      <c r="BK4144" t="s">
        <v>123</v>
      </c>
      <c r="BL4144" t="str">
        <f>"2016.189061"</f>
        <v>2016.189061</v>
      </c>
      <c r="BM4144" t="s">
        <v>544</v>
      </c>
      <c r="BO4144" t="s">
        <v>26305</v>
      </c>
      <c r="BS4144">
        <v>30</v>
      </c>
      <c r="BW4144" t="str">
        <f>""</f>
        <v/>
      </c>
      <c r="CH4144" t="str">
        <f>""</f>
        <v/>
      </c>
      <c r="CS4144" t="str">
        <f>""</f>
        <v/>
      </c>
    </row>
    <row r="4145" spans="1:97" x14ac:dyDescent="0.25">
      <c r="A4145" t="s">
        <v>2537</v>
      </c>
      <c r="B4145" t="s">
        <v>26306</v>
      </c>
      <c r="C4145" t="s">
        <v>1252</v>
      </c>
      <c r="D4145" t="s">
        <v>26307</v>
      </c>
      <c r="E4145" t="s">
        <v>26308</v>
      </c>
      <c r="F4145" t="s">
        <v>108</v>
      </c>
      <c r="H4145" t="s">
        <v>26309</v>
      </c>
      <c r="I4145" t="s">
        <v>3150</v>
      </c>
      <c r="J4145" t="s">
        <v>111</v>
      </c>
      <c r="K4145" t="str">
        <f>"85340"</f>
        <v>85340</v>
      </c>
      <c r="L4145" t="s">
        <v>5239</v>
      </c>
      <c r="M4145" t="s">
        <v>26309</v>
      </c>
      <c r="N4145" t="s">
        <v>3150</v>
      </c>
      <c r="O4145" t="s">
        <v>111</v>
      </c>
      <c r="P4145" t="str">
        <f>"85340-9346"</f>
        <v>85340-9346</v>
      </c>
      <c r="Q4145" t="s">
        <v>113</v>
      </c>
      <c r="R4145" t="str">
        <f>"501-56-443"</f>
        <v>501-56-443</v>
      </c>
      <c r="S4145" t="s">
        <v>7397</v>
      </c>
      <c r="T4145" t="s">
        <v>7397</v>
      </c>
      <c r="U4145">
        <v>3500</v>
      </c>
      <c r="V4145">
        <v>0</v>
      </c>
      <c r="W4145">
        <v>4</v>
      </c>
      <c r="X4145">
        <v>2015</v>
      </c>
      <c r="Z4145">
        <v>1</v>
      </c>
      <c r="AA4145" t="s">
        <v>26</v>
      </c>
      <c r="AB4145">
        <v>0</v>
      </c>
      <c r="AC4145" t="s">
        <v>115</v>
      </c>
      <c r="AD4145">
        <v>3</v>
      </c>
      <c r="AE4145" t="s">
        <v>115</v>
      </c>
      <c r="AF4145">
        <v>0</v>
      </c>
      <c r="AG4145">
        <v>0</v>
      </c>
      <c r="AH4145" t="s">
        <v>116</v>
      </c>
      <c r="AI4145" s="1">
        <v>52257</v>
      </c>
      <c r="AJ4145" s="2">
        <v>0.1</v>
      </c>
      <c r="AK4145" s="1">
        <v>546507</v>
      </c>
      <c r="AL4145" t="s">
        <v>117</v>
      </c>
      <c r="AM4145" t="s">
        <v>376</v>
      </c>
      <c r="AN4145">
        <v>32672</v>
      </c>
      <c r="AO4145">
        <v>0.75</v>
      </c>
      <c r="AR4145">
        <v>1</v>
      </c>
      <c r="AS4145" s="1">
        <v>43000</v>
      </c>
      <c r="AT4145" s="1">
        <v>8600</v>
      </c>
      <c r="AU4145" s="1">
        <v>34400</v>
      </c>
      <c r="AV4145">
        <v>80</v>
      </c>
      <c r="AX4145" s="1">
        <v>2587.8000000000002</v>
      </c>
      <c r="AY4145" t="s">
        <v>5241</v>
      </c>
      <c r="AZ4145" t="s">
        <v>3153</v>
      </c>
      <c r="BA4145" t="s">
        <v>3154</v>
      </c>
      <c r="BE4145" s="3">
        <v>41997</v>
      </c>
      <c r="BF4145" s="1">
        <v>437404</v>
      </c>
      <c r="BG4145" t="s">
        <v>158</v>
      </c>
      <c r="BH4145" s="1">
        <v>124.97</v>
      </c>
      <c r="BI4145" s="1">
        <v>494250</v>
      </c>
      <c r="BJ4145" s="3">
        <v>42597</v>
      </c>
      <c r="BK4145" t="s">
        <v>123</v>
      </c>
      <c r="BL4145" t="str">
        <f>"2016.581834"</f>
        <v>2016.581834</v>
      </c>
      <c r="BM4145" t="s">
        <v>9615</v>
      </c>
      <c r="BO4145" t="s">
        <v>26310</v>
      </c>
      <c r="BP4145" t="s">
        <v>26311</v>
      </c>
      <c r="BS4145">
        <v>30</v>
      </c>
      <c r="BW4145" t="str">
        <f>""</f>
        <v/>
      </c>
      <c r="CH4145" t="str">
        <f>""</f>
        <v/>
      </c>
      <c r="CS4145" t="str">
        <f>""</f>
        <v/>
      </c>
    </row>
    <row r="4146" spans="1:97" x14ac:dyDescent="0.25">
      <c r="A4146" t="s">
        <v>1340</v>
      </c>
      <c r="B4146" t="s">
        <v>26312</v>
      </c>
      <c r="C4146" t="s">
        <v>524</v>
      </c>
      <c r="D4146" t="s">
        <v>26312</v>
      </c>
      <c r="E4146" t="s">
        <v>26313</v>
      </c>
      <c r="F4146" t="s">
        <v>108</v>
      </c>
      <c r="H4146" t="s">
        <v>26314</v>
      </c>
      <c r="I4146" t="s">
        <v>453</v>
      </c>
      <c r="J4146" t="s">
        <v>111</v>
      </c>
      <c r="K4146" t="str">
        <f>"85383"</f>
        <v>85383</v>
      </c>
      <c r="L4146" t="s">
        <v>9060</v>
      </c>
      <c r="M4146" t="s">
        <v>26314</v>
      </c>
      <c r="N4146" t="s">
        <v>453</v>
      </c>
      <c r="O4146" t="s">
        <v>111</v>
      </c>
      <c r="P4146" t="str">
        <f>"85383-1228"</f>
        <v>85383-1228</v>
      </c>
      <c r="Q4146" t="s">
        <v>113</v>
      </c>
      <c r="R4146" t="str">
        <f>"201-06-992"</f>
        <v>201-06-992</v>
      </c>
      <c r="S4146" t="s">
        <v>26315</v>
      </c>
      <c r="T4146" t="s">
        <v>26315</v>
      </c>
      <c r="U4146">
        <v>4427</v>
      </c>
      <c r="V4146">
        <v>0</v>
      </c>
      <c r="W4146">
        <v>4</v>
      </c>
      <c r="X4146">
        <v>2005</v>
      </c>
      <c r="Z4146">
        <v>1</v>
      </c>
      <c r="AB4146">
        <v>0</v>
      </c>
      <c r="AC4146" t="s">
        <v>115</v>
      </c>
      <c r="AD4146">
        <v>4</v>
      </c>
      <c r="AE4146" t="s">
        <v>115</v>
      </c>
      <c r="AF4146">
        <v>0</v>
      </c>
      <c r="AG4146">
        <v>0</v>
      </c>
      <c r="AH4146" t="s">
        <v>116</v>
      </c>
      <c r="AI4146" s="1">
        <v>76251</v>
      </c>
      <c r="AJ4146" s="2">
        <v>0.1</v>
      </c>
      <c r="AK4146" s="1">
        <v>766130</v>
      </c>
      <c r="AL4146" t="s">
        <v>117</v>
      </c>
      <c r="AM4146" t="s">
        <v>376</v>
      </c>
      <c r="AN4146">
        <v>49234</v>
      </c>
      <c r="AO4146">
        <v>1.1299999999999999</v>
      </c>
      <c r="AP4146">
        <v>1</v>
      </c>
      <c r="AR4146">
        <v>1</v>
      </c>
      <c r="AS4146" s="1">
        <v>57960</v>
      </c>
      <c r="AT4146" s="1">
        <v>11590</v>
      </c>
      <c r="AU4146" s="1">
        <v>46370</v>
      </c>
      <c r="AV4146">
        <v>80</v>
      </c>
      <c r="AX4146" s="1">
        <v>5746.94</v>
      </c>
      <c r="AY4146" t="s">
        <v>4218</v>
      </c>
      <c r="AZ4146" t="s">
        <v>4218</v>
      </c>
      <c r="BA4146" t="s">
        <v>4219</v>
      </c>
      <c r="BB4146" s="3">
        <v>42921</v>
      </c>
      <c r="BD4146" t="s">
        <v>157</v>
      </c>
      <c r="BE4146" s="3">
        <v>41929</v>
      </c>
      <c r="BF4146" s="1">
        <v>690000</v>
      </c>
      <c r="BG4146" t="s">
        <v>26316</v>
      </c>
      <c r="BH4146" s="1">
        <v>155.83000000000001</v>
      </c>
      <c r="BI4146" s="1">
        <v>635979</v>
      </c>
      <c r="BJ4146" s="3">
        <v>42733</v>
      </c>
      <c r="BK4146" t="s">
        <v>123</v>
      </c>
      <c r="BL4146" t="str">
        <f>"2016.959528"</f>
        <v>2016.959528</v>
      </c>
      <c r="BM4146" t="s">
        <v>1695</v>
      </c>
      <c r="BN4146" t="s">
        <v>3082</v>
      </c>
      <c r="BO4146" t="s">
        <v>26317</v>
      </c>
      <c r="BS4146">
        <v>30</v>
      </c>
      <c r="BT4146" s="1">
        <v>53900</v>
      </c>
      <c r="BU4146" s="3">
        <v>42527</v>
      </c>
      <c r="BV4146" t="s">
        <v>134</v>
      </c>
      <c r="BW4146" t="str">
        <f>"2016.389430"</f>
        <v>2016.389430</v>
      </c>
      <c r="BX4146" t="s">
        <v>3843</v>
      </c>
      <c r="BY4146" t="s">
        <v>343</v>
      </c>
      <c r="BZ4146" t="s">
        <v>26317</v>
      </c>
      <c r="CD4146">
        <v>25</v>
      </c>
      <c r="CH4146" t="str">
        <f>""</f>
        <v/>
      </c>
      <c r="CS4146" t="str">
        <f>""</f>
        <v/>
      </c>
    </row>
    <row r="4147" spans="1:97" x14ac:dyDescent="0.25">
      <c r="A4147" t="s">
        <v>464</v>
      </c>
      <c r="B4147" t="s">
        <v>26318</v>
      </c>
      <c r="C4147" t="s">
        <v>852</v>
      </c>
      <c r="D4147" t="s">
        <v>26318</v>
      </c>
      <c r="E4147" t="s">
        <v>26319</v>
      </c>
      <c r="F4147" t="s">
        <v>108</v>
      </c>
      <c r="H4147" t="s">
        <v>26320</v>
      </c>
      <c r="I4147" t="s">
        <v>2874</v>
      </c>
      <c r="J4147" t="s">
        <v>111</v>
      </c>
      <c r="K4147" t="str">
        <f>"85308"</f>
        <v>85308</v>
      </c>
      <c r="L4147" t="s">
        <v>4282</v>
      </c>
      <c r="M4147" t="s">
        <v>26320</v>
      </c>
      <c r="N4147" t="s">
        <v>2874</v>
      </c>
      <c r="O4147" t="s">
        <v>111</v>
      </c>
      <c r="P4147" t="str">
        <f>"85308-5202"</f>
        <v>85308-5202</v>
      </c>
      <c r="Q4147" t="s">
        <v>113</v>
      </c>
      <c r="R4147" t="str">
        <f>"200-28-799"</f>
        <v>200-28-799</v>
      </c>
      <c r="S4147" t="s">
        <v>7668</v>
      </c>
      <c r="T4147" t="s">
        <v>7669</v>
      </c>
      <c r="U4147">
        <v>2394</v>
      </c>
      <c r="V4147">
        <v>0</v>
      </c>
      <c r="W4147">
        <v>4</v>
      </c>
      <c r="X4147">
        <v>1997</v>
      </c>
      <c r="Z4147">
        <v>2</v>
      </c>
      <c r="AA4147" t="s">
        <v>26</v>
      </c>
      <c r="AB4147">
        <v>0</v>
      </c>
      <c r="AC4147" t="s">
        <v>115</v>
      </c>
      <c r="AD4147">
        <v>2</v>
      </c>
      <c r="AE4147" t="s">
        <v>115</v>
      </c>
      <c r="AF4147">
        <v>0</v>
      </c>
      <c r="AG4147">
        <v>0</v>
      </c>
      <c r="AH4147" t="s">
        <v>116</v>
      </c>
      <c r="AI4147" s="1">
        <v>82135</v>
      </c>
      <c r="AJ4147" s="2">
        <v>0.21</v>
      </c>
      <c r="AK4147" s="1">
        <v>395134</v>
      </c>
      <c r="AL4147" t="s">
        <v>117</v>
      </c>
      <c r="AM4147" t="s">
        <v>393</v>
      </c>
      <c r="AN4147">
        <v>14785</v>
      </c>
      <c r="AO4147">
        <v>0.34</v>
      </c>
      <c r="AP4147">
        <v>1</v>
      </c>
      <c r="AR4147">
        <v>1</v>
      </c>
      <c r="AS4147" s="1">
        <v>29280</v>
      </c>
      <c r="AT4147" s="1">
        <v>5850</v>
      </c>
      <c r="AU4147" s="1">
        <v>23430</v>
      </c>
      <c r="AV4147">
        <v>80.02</v>
      </c>
      <c r="AX4147" s="1">
        <v>2743.78</v>
      </c>
      <c r="AY4147" t="s">
        <v>6740</v>
      </c>
      <c r="AZ4147" t="s">
        <v>6740</v>
      </c>
      <c r="BA4147" t="s">
        <v>5143</v>
      </c>
      <c r="BE4147" s="3">
        <v>42209</v>
      </c>
      <c r="BF4147" s="1">
        <v>303000</v>
      </c>
      <c r="BG4147" t="s">
        <v>26321</v>
      </c>
      <c r="BH4147" s="1">
        <v>126.57</v>
      </c>
      <c r="BI4147" s="1">
        <v>312999</v>
      </c>
      <c r="BJ4147" s="3">
        <v>42209</v>
      </c>
      <c r="BK4147" t="s">
        <v>123</v>
      </c>
      <c r="BL4147" t="str">
        <f>"2015.536823"</f>
        <v>2015.536823</v>
      </c>
      <c r="BM4147" t="s">
        <v>544</v>
      </c>
      <c r="BO4147" t="s">
        <v>26322</v>
      </c>
      <c r="BS4147">
        <v>30</v>
      </c>
      <c r="BW4147" t="str">
        <f>""</f>
        <v/>
      </c>
      <c r="CH4147" t="str">
        <f>""</f>
        <v/>
      </c>
      <c r="CS4147" t="str">
        <f>""</f>
        <v/>
      </c>
    </row>
    <row r="4148" spans="1:97" x14ac:dyDescent="0.25">
      <c r="A4148" t="s">
        <v>1344</v>
      </c>
      <c r="B4148" t="s">
        <v>26323</v>
      </c>
      <c r="E4148" t="s">
        <v>26324</v>
      </c>
      <c r="F4148" t="s">
        <v>108</v>
      </c>
      <c r="H4148" t="s">
        <v>26325</v>
      </c>
      <c r="I4148" t="s">
        <v>453</v>
      </c>
      <c r="J4148" t="s">
        <v>111</v>
      </c>
      <c r="K4148" t="str">
        <f>"85381"</f>
        <v>85381</v>
      </c>
      <c r="L4148" t="s">
        <v>2963</v>
      </c>
      <c r="M4148" t="s">
        <v>26325</v>
      </c>
      <c r="N4148" t="s">
        <v>453</v>
      </c>
      <c r="O4148" t="s">
        <v>111</v>
      </c>
      <c r="P4148" t="str">
        <f>"85381-8190"</f>
        <v>85381-8190</v>
      </c>
      <c r="Q4148" t="s">
        <v>113</v>
      </c>
      <c r="R4148" t="str">
        <f>"231-15-494"</f>
        <v>231-15-494</v>
      </c>
      <c r="S4148" t="s">
        <v>26326</v>
      </c>
      <c r="T4148" t="s">
        <v>26326</v>
      </c>
      <c r="U4148">
        <v>2543</v>
      </c>
      <c r="V4148">
        <v>0</v>
      </c>
      <c r="W4148">
        <v>4</v>
      </c>
      <c r="X4148">
        <v>2003</v>
      </c>
      <c r="Z4148">
        <v>1</v>
      </c>
      <c r="AA4148" t="s">
        <v>26</v>
      </c>
      <c r="AB4148">
        <v>0</v>
      </c>
      <c r="AC4148" t="s">
        <v>115</v>
      </c>
      <c r="AD4148">
        <v>3</v>
      </c>
      <c r="AE4148" t="s">
        <v>115</v>
      </c>
      <c r="AF4148">
        <v>0</v>
      </c>
      <c r="AG4148">
        <v>0</v>
      </c>
      <c r="AH4148" t="s">
        <v>116</v>
      </c>
      <c r="AI4148" s="1">
        <v>76812</v>
      </c>
      <c r="AJ4148" s="2">
        <v>0.2</v>
      </c>
      <c r="AK4148" s="1">
        <v>376812</v>
      </c>
      <c r="AL4148" t="s">
        <v>117</v>
      </c>
      <c r="AM4148" t="s">
        <v>171</v>
      </c>
      <c r="AN4148">
        <v>8400</v>
      </c>
      <c r="AO4148">
        <v>0.19</v>
      </c>
      <c r="AP4148">
        <v>1</v>
      </c>
      <c r="AR4148">
        <v>1</v>
      </c>
      <c r="AS4148" s="1">
        <v>28860</v>
      </c>
      <c r="AT4148" s="1">
        <v>5770</v>
      </c>
      <c r="AU4148" s="1">
        <v>23090</v>
      </c>
      <c r="AV4148">
        <v>80.010000000000005</v>
      </c>
      <c r="AX4148" s="1">
        <v>2614.84</v>
      </c>
      <c r="AY4148" t="s">
        <v>6872</v>
      </c>
      <c r="AZ4148" t="s">
        <v>6872</v>
      </c>
      <c r="BA4148" t="s">
        <v>1800</v>
      </c>
      <c r="BE4148" s="3">
        <v>42277</v>
      </c>
      <c r="BF4148" s="1">
        <v>300000</v>
      </c>
      <c r="BG4148" t="s">
        <v>26327</v>
      </c>
      <c r="BH4148" s="1">
        <v>117.97</v>
      </c>
      <c r="BI4148" s="1">
        <v>300000</v>
      </c>
      <c r="BJ4148" s="3">
        <v>42277</v>
      </c>
      <c r="BK4148" t="s">
        <v>123</v>
      </c>
      <c r="BL4148" t="str">
        <f>"2015.705866"</f>
        <v>2015.705866</v>
      </c>
      <c r="BM4148" t="s">
        <v>738</v>
      </c>
      <c r="BO4148" t="s">
        <v>26328</v>
      </c>
      <c r="BS4148">
        <v>30</v>
      </c>
      <c r="BW4148" t="str">
        <f>""</f>
        <v/>
      </c>
      <c r="CH4148" t="str">
        <f>""</f>
        <v/>
      </c>
      <c r="CS4148" t="str">
        <f>""</f>
        <v/>
      </c>
    </row>
    <row r="4149" spans="1:97" x14ac:dyDescent="0.25">
      <c r="A4149" t="s">
        <v>370</v>
      </c>
      <c r="B4149" t="s">
        <v>163</v>
      </c>
      <c r="E4149" t="s">
        <v>26329</v>
      </c>
      <c r="F4149" t="s">
        <v>108</v>
      </c>
      <c r="H4149" t="s">
        <v>26330</v>
      </c>
      <c r="I4149" t="s">
        <v>188</v>
      </c>
      <c r="J4149" t="s">
        <v>111</v>
      </c>
      <c r="K4149" t="str">
        <f>"85142"</f>
        <v>85142</v>
      </c>
      <c r="L4149" t="s">
        <v>3645</v>
      </c>
      <c r="M4149" t="s">
        <v>26330</v>
      </c>
      <c r="N4149" t="s">
        <v>188</v>
      </c>
      <c r="O4149" t="s">
        <v>111</v>
      </c>
      <c r="P4149" t="str">
        <f>"85142-5936"</f>
        <v>85142-5936</v>
      </c>
      <c r="Q4149" t="s">
        <v>113</v>
      </c>
      <c r="R4149" t="str">
        <f>"314-08-514"</f>
        <v>314-08-514</v>
      </c>
      <c r="S4149" t="s">
        <v>9258</v>
      </c>
      <c r="T4149" t="s">
        <v>4811</v>
      </c>
      <c r="U4149">
        <v>2707</v>
      </c>
      <c r="V4149">
        <v>0</v>
      </c>
      <c r="W4149">
        <v>4</v>
      </c>
      <c r="X4149">
        <v>2014</v>
      </c>
      <c r="Z4149">
        <v>1</v>
      </c>
      <c r="AA4149" t="s">
        <v>26</v>
      </c>
      <c r="AB4149">
        <v>0</v>
      </c>
      <c r="AC4149" t="s">
        <v>115</v>
      </c>
      <c r="AD4149">
        <v>3</v>
      </c>
      <c r="AE4149" t="s">
        <v>115</v>
      </c>
      <c r="AF4149">
        <v>0</v>
      </c>
      <c r="AG4149">
        <v>0</v>
      </c>
      <c r="AH4149" t="s">
        <v>116</v>
      </c>
      <c r="AI4149" s="1">
        <v>19590</v>
      </c>
      <c r="AJ4149" s="2">
        <v>0.05</v>
      </c>
      <c r="AK4149" s="1">
        <v>417590</v>
      </c>
      <c r="AL4149" t="s">
        <v>117</v>
      </c>
      <c r="AM4149" t="s">
        <v>393</v>
      </c>
      <c r="AN4149">
        <v>8375</v>
      </c>
      <c r="AO4149">
        <v>0.19</v>
      </c>
      <c r="AR4149">
        <v>1</v>
      </c>
      <c r="AS4149" s="1">
        <v>30730</v>
      </c>
      <c r="AT4149" s="1">
        <v>6140</v>
      </c>
      <c r="AU4149" s="1">
        <v>24590</v>
      </c>
      <c r="AV4149">
        <v>80.02</v>
      </c>
      <c r="AX4149" s="1">
        <v>2975.1</v>
      </c>
      <c r="AY4149" t="s">
        <v>560</v>
      </c>
      <c r="AZ4149" t="s">
        <v>561</v>
      </c>
      <c r="BA4149" t="s">
        <v>194</v>
      </c>
      <c r="BB4149" s="3">
        <v>43634</v>
      </c>
      <c r="BC4149" s="1">
        <v>0</v>
      </c>
      <c r="BD4149" t="s">
        <v>247</v>
      </c>
      <c r="BE4149" s="3">
        <v>41808</v>
      </c>
      <c r="BF4149" s="1">
        <v>313125</v>
      </c>
      <c r="BG4149" t="s">
        <v>749</v>
      </c>
      <c r="BH4149" s="1">
        <v>115.67</v>
      </c>
      <c r="BI4149" s="1">
        <v>398000</v>
      </c>
      <c r="BJ4149" s="3">
        <v>43634</v>
      </c>
      <c r="BK4149" t="s">
        <v>123</v>
      </c>
      <c r="BL4149" t="str">
        <f>"2019.435440"</f>
        <v>2019.435440</v>
      </c>
      <c r="BM4149" t="s">
        <v>26331</v>
      </c>
      <c r="BN4149" t="s">
        <v>26332</v>
      </c>
      <c r="BO4149" t="s">
        <v>26333</v>
      </c>
      <c r="BR4149" t="s">
        <v>139</v>
      </c>
      <c r="BT4149" s="1">
        <v>398000</v>
      </c>
      <c r="BU4149" s="3">
        <v>43634</v>
      </c>
      <c r="BV4149" t="s">
        <v>123</v>
      </c>
      <c r="BW4149" t="str">
        <f>"2019.435440"</f>
        <v>2019.435440</v>
      </c>
      <c r="BX4149" t="s">
        <v>26331</v>
      </c>
      <c r="BY4149" t="s">
        <v>26332</v>
      </c>
      <c r="BZ4149" t="s">
        <v>26333</v>
      </c>
      <c r="CC4149" t="s">
        <v>139</v>
      </c>
      <c r="CH4149" t="str">
        <f>""</f>
        <v/>
      </c>
      <c r="CS4149" t="str">
        <f>""</f>
        <v/>
      </c>
    </row>
    <row r="4150" spans="1:97" x14ac:dyDescent="0.25">
      <c r="A4150" t="s">
        <v>2743</v>
      </c>
      <c r="B4150" t="s">
        <v>7705</v>
      </c>
      <c r="C4150" t="s">
        <v>727</v>
      </c>
      <c r="D4150" t="s">
        <v>7705</v>
      </c>
      <c r="E4150" t="s">
        <v>26334</v>
      </c>
      <c r="F4150" t="s">
        <v>108</v>
      </c>
      <c r="H4150" t="s">
        <v>26335</v>
      </c>
      <c r="I4150" t="s">
        <v>203</v>
      </c>
      <c r="J4150" t="s">
        <v>111</v>
      </c>
      <c r="K4150" t="str">
        <f>"85234"</f>
        <v>85234</v>
      </c>
      <c r="L4150" t="s">
        <v>2963</v>
      </c>
      <c r="M4150" t="s">
        <v>26335</v>
      </c>
      <c r="N4150" t="s">
        <v>203</v>
      </c>
      <c r="O4150" t="s">
        <v>111</v>
      </c>
      <c r="P4150" t="str">
        <f>"85234-5422"</f>
        <v>85234-5422</v>
      </c>
      <c r="Q4150" t="s">
        <v>113</v>
      </c>
      <c r="R4150" t="str">
        <f>"304-96-643"</f>
        <v>304-96-643</v>
      </c>
      <c r="S4150" t="s">
        <v>26336</v>
      </c>
      <c r="T4150" t="s">
        <v>26337</v>
      </c>
      <c r="U4150">
        <v>3084</v>
      </c>
      <c r="V4150">
        <v>0</v>
      </c>
      <c r="W4150">
        <v>4</v>
      </c>
      <c r="X4150">
        <v>1991</v>
      </c>
      <c r="Z4150">
        <v>2</v>
      </c>
      <c r="AA4150" t="s">
        <v>26</v>
      </c>
      <c r="AB4150">
        <v>0</v>
      </c>
      <c r="AC4150" t="s">
        <v>115</v>
      </c>
      <c r="AD4150">
        <v>3</v>
      </c>
      <c r="AE4150" t="s">
        <v>115</v>
      </c>
      <c r="AF4150">
        <v>0</v>
      </c>
      <c r="AG4150">
        <v>0</v>
      </c>
      <c r="AH4150" t="s">
        <v>116</v>
      </c>
      <c r="AI4150" s="1">
        <v>74296</v>
      </c>
      <c r="AJ4150" s="2">
        <v>0.17</v>
      </c>
      <c r="AK4150" s="1">
        <v>442296</v>
      </c>
      <c r="AL4150" t="s">
        <v>117</v>
      </c>
      <c r="AM4150" t="s">
        <v>393</v>
      </c>
      <c r="AN4150">
        <v>7331</v>
      </c>
      <c r="AO4150">
        <v>0.17</v>
      </c>
      <c r="AP4150">
        <v>1</v>
      </c>
      <c r="AR4150">
        <v>1</v>
      </c>
      <c r="AS4150" s="1">
        <v>31310</v>
      </c>
      <c r="AT4150" s="1">
        <v>6260</v>
      </c>
      <c r="AU4150" s="1">
        <v>25050</v>
      </c>
      <c r="AV4150">
        <v>80.010000000000005</v>
      </c>
      <c r="AX4150" s="1">
        <v>2549.46</v>
      </c>
      <c r="AY4150" t="s">
        <v>10191</v>
      </c>
      <c r="AZ4150" t="s">
        <v>571</v>
      </c>
      <c r="BA4150" t="s">
        <v>521</v>
      </c>
      <c r="BE4150" s="3">
        <v>42460</v>
      </c>
      <c r="BF4150" s="1">
        <v>368000</v>
      </c>
      <c r="BG4150" t="s">
        <v>6855</v>
      </c>
      <c r="BH4150" s="1">
        <v>119.33</v>
      </c>
      <c r="BI4150" s="1">
        <v>368000</v>
      </c>
      <c r="BJ4150" s="3">
        <v>42460</v>
      </c>
      <c r="BK4150" t="s">
        <v>123</v>
      </c>
      <c r="BL4150" t="str">
        <f>"2016.208045"</f>
        <v>2016.208045</v>
      </c>
      <c r="BM4150" t="s">
        <v>1038</v>
      </c>
      <c r="BO4150" t="s">
        <v>26338</v>
      </c>
      <c r="BS4150">
        <v>30</v>
      </c>
      <c r="BW4150" t="str">
        <f>""</f>
        <v/>
      </c>
      <c r="CH4150" t="str">
        <f>""</f>
        <v/>
      </c>
      <c r="CS4150" t="str">
        <f>""</f>
        <v/>
      </c>
    </row>
    <row r="4151" spans="1:97" x14ac:dyDescent="0.25">
      <c r="A4151" t="s">
        <v>894</v>
      </c>
      <c r="B4151" t="s">
        <v>11167</v>
      </c>
      <c r="C4151" t="s">
        <v>26339</v>
      </c>
      <c r="D4151" t="s">
        <v>11167</v>
      </c>
      <c r="E4151" t="s">
        <v>26340</v>
      </c>
      <c r="F4151" t="s">
        <v>108</v>
      </c>
      <c r="H4151" t="s">
        <v>26341</v>
      </c>
      <c r="I4151" t="s">
        <v>453</v>
      </c>
      <c r="J4151" t="s">
        <v>111</v>
      </c>
      <c r="K4151" t="str">
        <f>"85383"</f>
        <v>85383</v>
      </c>
      <c r="L4151" t="s">
        <v>2220</v>
      </c>
      <c r="M4151" t="s">
        <v>26341</v>
      </c>
      <c r="N4151" t="s">
        <v>453</v>
      </c>
      <c r="O4151" t="s">
        <v>111</v>
      </c>
      <c r="P4151" t="str">
        <f>"85383-7304"</f>
        <v>85383-7304</v>
      </c>
      <c r="Q4151" t="s">
        <v>113</v>
      </c>
      <c r="R4151" t="str">
        <f>"201-34-350"</f>
        <v>201-34-350</v>
      </c>
      <c r="S4151" t="s">
        <v>26342</v>
      </c>
      <c r="T4151" t="s">
        <v>2222</v>
      </c>
      <c r="U4151">
        <v>3098</v>
      </c>
      <c r="V4151">
        <v>0</v>
      </c>
      <c r="W4151">
        <v>4</v>
      </c>
      <c r="X4151">
        <v>2001</v>
      </c>
      <c r="Z4151">
        <v>2</v>
      </c>
      <c r="AA4151" t="s">
        <v>26</v>
      </c>
      <c r="AB4151">
        <v>0</v>
      </c>
      <c r="AC4151" t="s">
        <v>115</v>
      </c>
      <c r="AD4151">
        <v>3</v>
      </c>
      <c r="AE4151" t="s">
        <v>115</v>
      </c>
      <c r="AF4151">
        <v>0</v>
      </c>
      <c r="AG4151">
        <v>0</v>
      </c>
      <c r="AH4151" t="s">
        <v>116</v>
      </c>
      <c r="AI4151" s="1">
        <v>80542</v>
      </c>
      <c r="AJ4151" s="2">
        <v>0.2</v>
      </c>
      <c r="AK4151" s="1">
        <v>400673</v>
      </c>
      <c r="AL4151" t="s">
        <v>117</v>
      </c>
      <c r="AM4151" t="s">
        <v>171</v>
      </c>
      <c r="AN4151">
        <v>8050</v>
      </c>
      <c r="AO4151">
        <v>0.18</v>
      </c>
      <c r="AP4151">
        <v>1</v>
      </c>
      <c r="AR4151">
        <v>1</v>
      </c>
      <c r="AS4151" s="1">
        <v>29270</v>
      </c>
      <c r="AT4151" s="1">
        <v>5850</v>
      </c>
      <c r="AU4151" s="1">
        <v>23420</v>
      </c>
      <c r="AV4151">
        <v>80.010000000000005</v>
      </c>
      <c r="AX4151" s="1">
        <v>2563.66</v>
      </c>
      <c r="AY4151" t="s">
        <v>1385</v>
      </c>
      <c r="AZ4151" t="s">
        <v>1385</v>
      </c>
      <c r="BA4151" t="s">
        <v>2223</v>
      </c>
      <c r="BE4151" s="3">
        <v>42170</v>
      </c>
      <c r="BF4151" s="1">
        <v>332000</v>
      </c>
      <c r="BG4151" t="s">
        <v>26343</v>
      </c>
      <c r="BH4151" s="1">
        <v>107.17</v>
      </c>
      <c r="BI4151" s="1">
        <v>320131</v>
      </c>
      <c r="BJ4151" s="3">
        <v>42170</v>
      </c>
      <c r="BK4151" t="s">
        <v>123</v>
      </c>
      <c r="BL4151" t="str">
        <f>"2015.425357"</f>
        <v>2015.425357</v>
      </c>
      <c r="BM4151" t="s">
        <v>10749</v>
      </c>
      <c r="BO4151" t="s">
        <v>26344</v>
      </c>
      <c r="BS4151">
        <v>30</v>
      </c>
      <c r="BW4151" t="str">
        <f>""</f>
        <v/>
      </c>
      <c r="CH4151" t="str">
        <f>""</f>
        <v/>
      </c>
      <c r="CS4151" t="str">
        <f>""</f>
        <v/>
      </c>
    </row>
    <row r="4152" spans="1:97" x14ac:dyDescent="0.25">
      <c r="A4152" t="s">
        <v>610</v>
      </c>
      <c r="B4152" t="s">
        <v>14296</v>
      </c>
      <c r="C4152" t="s">
        <v>484</v>
      </c>
      <c r="D4152" t="s">
        <v>26345</v>
      </c>
      <c r="E4152" t="s">
        <v>26346</v>
      </c>
      <c r="F4152" t="s">
        <v>108</v>
      </c>
      <c r="H4152" t="s">
        <v>26347</v>
      </c>
      <c r="I4152" t="s">
        <v>2874</v>
      </c>
      <c r="J4152" t="s">
        <v>111</v>
      </c>
      <c r="K4152" t="str">
        <f>"85308"</f>
        <v>85308</v>
      </c>
      <c r="L4152" t="s">
        <v>5218</v>
      </c>
      <c r="M4152" t="s">
        <v>26347</v>
      </c>
      <c r="N4152" t="s">
        <v>2874</v>
      </c>
      <c r="O4152" t="s">
        <v>111</v>
      </c>
      <c r="P4152" t="str">
        <f>"85308-1076"</f>
        <v>85308-1076</v>
      </c>
      <c r="Q4152" t="s">
        <v>113</v>
      </c>
      <c r="R4152" t="str">
        <f>"200-46-261"</f>
        <v>200-46-261</v>
      </c>
      <c r="S4152" t="s">
        <v>26348</v>
      </c>
      <c r="T4152" t="s">
        <v>14088</v>
      </c>
      <c r="U4152">
        <v>2955</v>
      </c>
      <c r="V4152">
        <v>0</v>
      </c>
      <c r="W4152">
        <v>3</v>
      </c>
      <c r="X4152">
        <v>1997</v>
      </c>
      <c r="Z4152">
        <v>1</v>
      </c>
      <c r="AB4152">
        <v>0</v>
      </c>
      <c r="AC4152" t="s">
        <v>115</v>
      </c>
      <c r="AD4152">
        <v>3</v>
      </c>
      <c r="AE4152" t="s">
        <v>115</v>
      </c>
      <c r="AF4152">
        <v>0</v>
      </c>
      <c r="AG4152">
        <v>0</v>
      </c>
      <c r="AH4152" t="s">
        <v>116</v>
      </c>
      <c r="AI4152" s="1">
        <v>51932</v>
      </c>
      <c r="AJ4152" s="2">
        <v>0.11</v>
      </c>
      <c r="AK4152" s="1">
        <v>468932</v>
      </c>
      <c r="AL4152" t="s">
        <v>117</v>
      </c>
      <c r="AM4152" t="s">
        <v>5791</v>
      </c>
      <c r="AN4152">
        <v>14142</v>
      </c>
      <c r="AO4152">
        <v>0.32</v>
      </c>
      <c r="AP4152">
        <v>1</v>
      </c>
      <c r="AR4152">
        <v>1</v>
      </c>
      <c r="AS4152" s="1">
        <v>33330</v>
      </c>
      <c r="AT4152" s="1">
        <v>6660</v>
      </c>
      <c r="AU4152" s="1">
        <v>26670</v>
      </c>
      <c r="AV4152">
        <v>80.02</v>
      </c>
      <c r="AX4152" s="1">
        <v>2845.96</v>
      </c>
      <c r="AY4152" t="s">
        <v>7283</v>
      </c>
      <c r="AZ4152" t="s">
        <v>7283</v>
      </c>
      <c r="BA4152" t="s">
        <v>5143</v>
      </c>
      <c r="BE4152" s="3">
        <v>42303</v>
      </c>
      <c r="BF4152" s="1">
        <v>432500</v>
      </c>
      <c r="BG4152" t="s">
        <v>26349</v>
      </c>
      <c r="BH4152" s="1">
        <v>146.36000000000001</v>
      </c>
      <c r="BI4152" s="1">
        <v>417000</v>
      </c>
      <c r="BJ4152" s="3">
        <v>42303</v>
      </c>
      <c r="BK4152" t="s">
        <v>123</v>
      </c>
      <c r="BL4152" t="str">
        <f>"2015.765987"</f>
        <v>2015.765987</v>
      </c>
      <c r="BM4152" t="s">
        <v>1760</v>
      </c>
      <c r="BO4152" t="s">
        <v>26350</v>
      </c>
      <c r="BP4152" t="s">
        <v>26351</v>
      </c>
      <c r="BS4152">
        <v>30</v>
      </c>
      <c r="BW4152" t="str">
        <f>""</f>
        <v/>
      </c>
      <c r="CH4152" t="str">
        <f>""</f>
        <v/>
      </c>
      <c r="CS4152" t="str">
        <f>""</f>
        <v/>
      </c>
    </row>
    <row r="4153" spans="1:97" x14ac:dyDescent="0.25">
      <c r="A4153" t="s">
        <v>1208</v>
      </c>
      <c r="B4153" t="s">
        <v>15170</v>
      </c>
      <c r="C4153" t="s">
        <v>852</v>
      </c>
      <c r="D4153" t="s">
        <v>15170</v>
      </c>
      <c r="E4153" t="s">
        <v>26352</v>
      </c>
      <c r="F4153" t="s">
        <v>108</v>
      </c>
      <c r="H4153" t="s">
        <v>26353</v>
      </c>
      <c r="I4153" t="s">
        <v>203</v>
      </c>
      <c r="J4153" t="s">
        <v>111</v>
      </c>
      <c r="K4153" t="str">
        <f>"85295"</f>
        <v>85295</v>
      </c>
      <c r="L4153" t="s">
        <v>3520</v>
      </c>
      <c r="M4153" t="s">
        <v>26353</v>
      </c>
      <c r="N4153" t="s">
        <v>203</v>
      </c>
      <c r="O4153" t="s">
        <v>111</v>
      </c>
      <c r="P4153" t="str">
        <f>"85295-3687"</f>
        <v>85295-3687</v>
      </c>
      <c r="Q4153" t="s">
        <v>113</v>
      </c>
      <c r="R4153" t="str">
        <f>"309-29-391"</f>
        <v>309-29-391</v>
      </c>
      <c r="S4153" t="s">
        <v>8992</v>
      </c>
      <c r="T4153" t="s">
        <v>8962</v>
      </c>
      <c r="U4153">
        <v>1843</v>
      </c>
      <c r="V4153">
        <v>0</v>
      </c>
      <c r="W4153">
        <v>2</v>
      </c>
      <c r="X4153">
        <v>2013</v>
      </c>
      <c r="Z4153">
        <v>1</v>
      </c>
      <c r="AB4153">
        <v>0</v>
      </c>
      <c r="AC4153" t="s">
        <v>115</v>
      </c>
      <c r="AD4153">
        <v>2</v>
      </c>
      <c r="AE4153" t="s">
        <v>115</v>
      </c>
      <c r="AF4153">
        <v>0</v>
      </c>
      <c r="AG4153">
        <v>0</v>
      </c>
      <c r="AH4153" t="s">
        <v>116</v>
      </c>
      <c r="AI4153" s="1">
        <v>64984</v>
      </c>
      <c r="AJ4153" s="2">
        <v>0.2</v>
      </c>
      <c r="AK4153" s="1">
        <v>330465</v>
      </c>
      <c r="AL4153" t="s">
        <v>117</v>
      </c>
      <c r="AM4153" t="s">
        <v>191</v>
      </c>
      <c r="AN4153">
        <v>5149</v>
      </c>
      <c r="AO4153">
        <v>0.12</v>
      </c>
      <c r="AR4153">
        <v>1</v>
      </c>
      <c r="AS4153" s="1">
        <v>21400</v>
      </c>
      <c r="AT4153" s="1">
        <v>4280</v>
      </c>
      <c r="AU4153" s="1">
        <v>17120</v>
      </c>
      <c r="AV4153">
        <v>80</v>
      </c>
      <c r="AX4153" s="1">
        <v>1631.42</v>
      </c>
      <c r="AY4153" t="s">
        <v>5087</v>
      </c>
      <c r="AZ4153" t="s">
        <v>5087</v>
      </c>
      <c r="BA4153" t="s">
        <v>473</v>
      </c>
      <c r="BE4153" s="3">
        <v>41789</v>
      </c>
      <c r="BF4153" s="1">
        <v>257000</v>
      </c>
      <c r="BG4153" t="s">
        <v>233</v>
      </c>
      <c r="BH4153" s="1">
        <v>139.44999999999999</v>
      </c>
      <c r="BI4153" s="1">
        <v>265481</v>
      </c>
      <c r="BJ4153" s="3">
        <v>41789</v>
      </c>
      <c r="BK4153" t="s">
        <v>123</v>
      </c>
      <c r="BL4153" t="str">
        <f>"2014.356727"</f>
        <v>2014.356727</v>
      </c>
      <c r="BM4153" t="s">
        <v>4076</v>
      </c>
      <c r="BO4153" t="s">
        <v>26354</v>
      </c>
      <c r="BS4153">
        <v>30</v>
      </c>
      <c r="BW4153" t="str">
        <f>""</f>
        <v/>
      </c>
      <c r="CH4153" t="str">
        <f>""</f>
        <v/>
      </c>
      <c r="CS4153" t="str">
        <f>""</f>
        <v/>
      </c>
    </row>
    <row r="4154" spans="1:97" x14ac:dyDescent="0.25">
      <c r="A4154" t="s">
        <v>1344</v>
      </c>
      <c r="B4154" t="s">
        <v>26355</v>
      </c>
      <c r="C4154" t="s">
        <v>26356</v>
      </c>
      <c r="D4154" t="s">
        <v>26355</v>
      </c>
      <c r="E4154" t="s">
        <v>26357</v>
      </c>
      <c r="F4154" t="s">
        <v>108</v>
      </c>
      <c r="H4154" t="s">
        <v>26358</v>
      </c>
      <c r="I4154" t="s">
        <v>144</v>
      </c>
      <c r="J4154" t="s">
        <v>111</v>
      </c>
      <c r="K4154" t="str">
        <f>"85396"</f>
        <v>85396</v>
      </c>
      <c r="L4154" t="s">
        <v>541</v>
      </c>
      <c r="M4154" t="s">
        <v>26358</v>
      </c>
      <c r="N4154" t="s">
        <v>144</v>
      </c>
      <c r="O4154" t="s">
        <v>111</v>
      </c>
      <c r="P4154" t="str">
        <f>"85396-7553"</f>
        <v>85396-7553</v>
      </c>
      <c r="Q4154" t="s">
        <v>113</v>
      </c>
      <c r="R4154" t="str">
        <f>"502-79-625"</f>
        <v>502-79-625</v>
      </c>
      <c r="S4154" t="s">
        <v>22812</v>
      </c>
      <c r="U4154">
        <v>1932</v>
      </c>
      <c r="V4154">
        <v>0</v>
      </c>
      <c r="W4154">
        <v>3</v>
      </c>
      <c r="X4154">
        <v>2009</v>
      </c>
      <c r="Z4154">
        <v>1</v>
      </c>
      <c r="AB4154">
        <v>0</v>
      </c>
      <c r="AC4154" t="s">
        <v>115</v>
      </c>
      <c r="AD4154">
        <v>2</v>
      </c>
      <c r="AE4154" t="s">
        <v>115</v>
      </c>
      <c r="AF4154">
        <v>0</v>
      </c>
      <c r="AG4154">
        <v>0</v>
      </c>
      <c r="AH4154" t="s">
        <v>116</v>
      </c>
      <c r="AI4154" s="1">
        <v>86614</v>
      </c>
      <c r="AJ4154" s="2">
        <v>0.27</v>
      </c>
      <c r="AK4154" s="1">
        <v>326614</v>
      </c>
      <c r="AL4154" t="s">
        <v>117</v>
      </c>
      <c r="AM4154" t="s">
        <v>118</v>
      </c>
      <c r="AN4154">
        <v>6651</v>
      </c>
      <c r="AO4154">
        <v>0.15</v>
      </c>
      <c r="AR4154">
        <v>1</v>
      </c>
      <c r="AS4154" s="1">
        <v>23270</v>
      </c>
      <c r="AT4154" s="1">
        <v>4650</v>
      </c>
      <c r="AU4154" s="1">
        <v>18620</v>
      </c>
      <c r="AV4154">
        <v>80.02</v>
      </c>
      <c r="AX4154" s="1">
        <v>2782.3</v>
      </c>
      <c r="AY4154" t="s">
        <v>543</v>
      </c>
      <c r="AZ4154" t="s">
        <v>504</v>
      </c>
      <c r="BA4154" t="s">
        <v>218</v>
      </c>
      <c r="BE4154" s="3">
        <v>42177</v>
      </c>
      <c r="BF4154" s="1">
        <v>240000</v>
      </c>
      <c r="BG4154" t="s">
        <v>26359</v>
      </c>
      <c r="BH4154" s="1">
        <v>124.22</v>
      </c>
      <c r="BI4154" s="1">
        <v>240000</v>
      </c>
      <c r="BJ4154" s="3">
        <v>42177</v>
      </c>
      <c r="BK4154" t="s">
        <v>123</v>
      </c>
      <c r="BL4154" t="str">
        <f>"2015.444526"</f>
        <v>2015.444526</v>
      </c>
      <c r="BM4154" t="s">
        <v>131</v>
      </c>
      <c r="BO4154" t="s">
        <v>26360</v>
      </c>
      <c r="BS4154">
        <v>30</v>
      </c>
      <c r="BW4154" t="str">
        <f>""</f>
        <v/>
      </c>
      <c r="CH4154" t="str">
        <f>""</f>
        <v/>
      </c>
      <c r="CS4154" t="str">
        <f>""</f>
        <v/>
      </c>
    </row>
    <row r="4155" spans="1:97" x14ac:dyDescent="0.25">
      <c r="A4155" t="s">
        <v>26361</v>
      </c>
      <c r="B4155" t="s">
        <v>26362</v>
      </c>
      <c r="C4155" t="s">
        <v>3282</v>
      </c>
      <c r="D4155" t="s">
        <v>26362</v>
      </c>
      <c r="E4155" t="s">
        <v>26363</v>
      </c>
      <c r="F4155" t="s">
        <v>108</v>
      </c>
      <c r="H4155" t="s">
        <v>26364</v>
      </c>
      <c r="I4155" t="s">
        <v>188</v>
      </c>
      <c r="J4155" t="s">
        <v>111</v>
      </c>
      <c r="K4155" t="str">
        <f>"85142"</f>
        <v>85142</v>
      </c>
      <c r="L4155" t="s">
        <v>5524</v>
      </c>
      <c r="M4155" t="s">
        <v>26364</v>
      </c>
      <c r="N4155" t="s">
        <v>188</v>
      </c>
      <c r="O4155" t="s">
        <v>111</v>
      </c>
      <c r="P4155" t="str">
        <f>"85142-8408"</f>
        <v>85142-8408</v>
      </c>
      <c r="Q4155" t="s">
        <v>113</v>
      </c>
      <c r="R4155" t="str">
        <f>"304-86-128"</f>
        <v>304-86-128</v>
      </c>
      <c r="U4155">
        <v>4226</v>
      </c>
      <c r="V4155">
        <v>0</v>
      </c>
      <c r="W4155">
        <v>5</v>
      </c>
      <c r="X4155">
        <v>2000</v>
      </c>
      <c r="Z4155">
        <v>1</v>
      </c>
      <c r="AB4155">
        <v>0</v>
      </c>
      <c r="AC4155" t="s">
        <v>115</v>
      </c>
      <c r="AD4155">
        <v>3</v>
      </c>
      <c r="AE4155" t="s">
        <v>115</v>
      </c>
      <c r="AF4155">
        <v>0</v>
      </c>
      <c r="AG4155">
        <v>0</v>
      </c>
      <c r="AH4155" t="s">
        <v>116</v>
      </c>
      <c r="AI4155" s="1">
        <v>149322</v>
      </c>
      <c r="AJ4155" s="2">
        <v>0.19</v>
      </c>
      <c r="AK4155" s="1">
        <v>783722</v>
      </c>
      <c r="AL4155" t="s">
        <v>117</v>
      </c>
      <c r="AM4155" t="s">
        <v>376</v>
      </c>
      <c r="AN4155">
        <v>82249</v>
      </c>
      <c r="AO4155">
        <v>1.89</v>
      </c>
      <c r="AP4155">
        <v>1</v>
      </c>
      <c r="AR4155">
        <v>1</v>
      </c>
      <c r="AS4155" s="1">
        <v>54860</v>
      </c>
      <c r="AT4155" s="1">
        <v>10970</v>
      </c>
      <c r="AU4155" s="1">
        <v>43890</v>
      </c>
      <c r="AV4155">
        <v>80</v>
      </c>
      <c r="AX4155" s="1">
        <v>5660.78</v>
      </c>
      <c r="AY4155" t="s">
        <v>272</v>
      </c>
      <c r="AZ4155" t="s">
        <v>273</v>
      </c>
      <c r="BA4155" t="s">
        <v>274</v>
      </c>
      <c r="BE4155" s="3">
        <v>42468</v>
      </c>
      <c r="BF4155" s="1">
        <v>697000</v>
      </c>
      <c r="BG4155" t="s">
        <v>26365</v>
      </c>
      <c r="BH4155" s="1">
        <v>164.93</v>
      </c>
      <c r="BI4155" s="1">
        <v>634400</v>
      </c>
      <c r="BJ4155" s="3">
        <v>42573</v>
      </c>
      <c r="BK4155" t="s">
        <v>123</v>
      </c>
      <c r="BL4155" t="str">
        <f>"2016.518455"</f>
        <v>2016.518455</v>
      </c>
      <c r="BM4155" t="s">
        <v>1122</v>
      </c>
      <c r="BO4155" t="s">
        <v>26366</v>
      </c>
      <c r="BS4155">
        <v>30</v>
      </c>
      <c r="BW4155" t="str">
        <f>""</f>
        <v/>
      </c>
      <c r="CH4155" t="str">
        <f>""</f>
        <v/>
      </c>
      <c r="CS4155" t="str">
        <f>""</f>
        <v/>
      </c>
    </row>
    <row r="4156" spans="1:97" x14ac:dyDescent="0.25">
      <c r="A4156" t="s">
        <v>1187</v>
      </c>
      <c r="B4156" t="s">
        <v>26367</v>
      </c>
      <c r="C4156" t="s">
        <v>2616</v>
      </c>
      <c r="D4156" t="s">
        <v>26367</v>
      </c>
      <c r="E4156" t="s">
        <v>26368</v>
      </c>
      <c r="F4156" t="s">
        <v>108</v>
      </c>
      <c r="H4156" t="s">
        <v>26369</v>
      </c>
      <c r="I4156" t="s">
        <v>1397</v>
      </c>
      <c r="J4156" t="s">
        <v>111</v>
      </c>
      <c r="K4156" t="str">
        <f>"85331"</f>
        <v>85331</v>
      </c>
      <c r="L4156" t="s">
        <v>7816</v>
      </c>
      <c r="M4156" t="s">
        <v>26369</v>
      </c>
      <c r="N4156" t="s">
        <v>1397</v>
      </c>
      <c r="O4156" t="s">
        <v>111</v>
      </c>
      <c r="P4156" t="str">
        <f>"85331-6000"</f>
        <v>85331-6000</v>
      </c>
      <c r="Q4156" t="s">
        <v>113</v>
      </c>
      <c r="R4156" t="str">
        <f>"211-45-177-B"</f>
        <v>211-45-177-B</v>
      </c>
      <c r="U4156">
        <v>2548</v>
      </c>
      <c r="V4156">
        <v>0</v>
      </c>
      <c r="W4156">
        <v>3</v>
      </c>
      <c r="X4156">
        <v>1987</v>
      </c>
      <c r="Z4156">
        <v>1</v>
      </c>
      <c r="AA4156" t="s">
        <v>26</v>
      </c>
      <c r="AB4156">
        <v>0</v>
      </c>
      <c r="AC4156" t="s">
        <v>115</v>
      </c>
      <c r="AD4156">
        <v>2</v>
      </c>
      <c r="AE4156" t="s">
        <v>115</v>
      </c>
      <c r="AF4156">
        <v>0</v>
      </c>
      <c r="AG4156">
        <v>0</v>
      </c>
      <c r="AH4156" t="s">
        <v>116</v>
      </c>
      <c r="AI4156" s="1">
        <v>146693</v>
      </c>
      <c r="AJ4156" s="2">
        <v>0.23</v>
      </c>
      <c r="AK4156" s="1">
        <v>632678</v>
      </c>
      <c r="AL4156" t="s">
        <v>117</v>
      </c>
      <c r="AM4156" t="s">
        <v>376</v>
      </c>
      <c r="AN4156">
        <v>49005</v>
      </c>
      <c r="AO4156">
        <v>1.1200000000000001</v>
      </c>
      <c r="AP4156">
        <v>1</v>
      </c>
      <c r="AR4156">
        <v>1</v>
      </c>
      <c r="AS4156" s="1">
        <v>41400</v>
      </c>
      <c r="AT4156" s="1">
        <v>8280</v>
      </c>
      <c r="AU4156" s="1">
        <v>33120</v>
      </c>
      <c r="AV4156">
        <v>80</v>
      </c>
      <c r="AX4156" s="1">
        <v>1959.46</v>
      </c>
      <c r="AY4156" t="s">
        <v>1401</v>
      </c>
      <c r="AZ4156" t="s">
        <v>1402</v>
      </c>
      <c r="BA4156" t="s">
        <v>1403</v>
      </c>
      <c r="BE4156" s="3">
        <v>41955</v>
      </c>
      <c r="BF4156" s="1">
        <v>539900</v>
      </c>
      <c r="BG4156" t="s">
        <v>26370</v>
      </c>
      <c r="BH4156" s="1">
        <v>211.89</v>
      </c>
      <c r="BI4156" s="1">
        <v>485985</v>
      </c>
      <c r="BJ4156" s="3">
        <v>42646</v>
      </c>
      <c r="BK4156" t="s">
        <v>123</v>
      </c>
      <c r="BL4156" t="str">
        <f>"2016.720565"</f>
        <v>2016.720565</v>
      </c>
      <c r="BM4156" t="s">
        <v>402</v>
      </c>
      <c r="BO4156" t="s">
        <v>26371</v>
      </c>
      <c r="BS4156">
        <v>30</v>
      </c>
      <c r="BW4156" t="str">
        <f>""</f>
        <v/>
      </c>
      <c r="CH4156" t="str">
        <f>""</f>
        <v/>
      </c>
      <c r="CS4156" t="str">
        <f>""</f>
        <v/>
      </c>
    </row>
    <row r="4157" spans="1:97" x14ac:dyDescent="0.25">
      <c r="A4157" t="s">
        <v>894</v>
      </c>
      <c r="B4157" t="s">
        <v>26372</v>
      </c>
      <c r="C4157" t="s">
        <v>3862</v>
      </c>
      <c r="D4157" t="s">
        <v>26372</v>
      </c>
      <c r="E4157" t="s">
        <v>26373</v>
      </c>
      <c r="F4157" t="s">
        <v>108</v>
      </c>
      <c r="H4157" t="s">
        <v>26374</v>
      </c>
      <c r="I4157" t="s">
        <v>3150</v>
      </c>
      <c r="J4157" t="s">
        <v>111</v>
      </c>
      <c r="K4157" t="str">
        <f>"85340"</f>
        <v>85340</v>
      </c>
      <c r="L4157" t="s">
        <v>3151</v>
      </c>
      <c r="M4157" t="s">
        <v>26374</v>
      </c>
      <c r="N4157" t="s">
        <v>3150</v>
      </c>
      <c r="O4157" t="s">
        <v>111</v>
      </c>
      <c r="P4157" t="str">
        <f>"85340-8551"</f>
        <v>85340-8551</v>
      </c>
      <c r="Q4157" t="s">
        <v>113</v>
      </c>
      <c r="R4157" t="str">
        <f>"502-64-135"</f>
        <v>502-64-135</v>
      </c>
      <c r="S4157" t="s">
        <v>13135</v>
      </c>
      <c r="T4157" t="s">
        <v>13136</v>
      </c>
      <c r="U4157">
        <v>2781</v>
      </c>
      <c r="V4157">
        <v>0</v>
      </c>
      <c r="W4157">
        <v>4</v>
      </c>
      <c r="X4157">
        <v>2003</v>
      </c>
      <c r="Z4157">
        <v>1</v>
      </c>
      <c r="AA4157" t="s">
        <v>26</v>
      </c>
      <c r="AB4157">
        <v>0</v>
      </c>
      <c r="AC4157" t="s">
        <v>115</v>
      </c>
      <c r="AD4157">
        <v>3</v>
      </c>
      <c r="AE4157" t="s">
        <v>115</v>
      </c>
      <c r="AF4157">
        <v>0</v>
      </c>
      <c r="AG4157">
        <v>0</v>
      </c>
      <c r="AH4157" t="s">
        <v>116</v>
      </c>
      <c r="AI4157" s="1">
        <v>88480</v>
      </c>
      <c r="AJ4157" s="2">
        <v>0.2</v>
      </c>
      <c r="AK4157" s="1">
        <v>438150</v>
      </c>
      <c r="AL4157" t="s">
        <v>117</v>
      </c>
      <c r="AM4157" t="s">
        <v>376</v>
      </c>
      <c r="AN4157">
        <v>43888</v>
      </c>
      <c r="AO4157">
        <v>1.01</v>
      </c>
      <c r="AP4157">
        <v>1</v>
      </c>
      <c r="AR4157">
        <v>1</v>
      </c>
      <c r="AS4157" s="1">
        <v>32210</v>
      </c>
      <c r="AT4157" s="1">
        <v>6440</v>
      </c>
      <c r="AU4157" s="1">
        <v>25770</v>
      </c>
      <c r="AV4157">
        <v>80.010000000000005</v>
      </c>
      <c r="AX4157" s="1">
        <v>4258.08</v>
      </c>
      <c r="AY4157" t="s">
        <v>503</v>
      </c>
      <c r="AZ4157" t="s">
        <v>503</v>
      </c>
      <c r="BA4157" t="s">
        <v>218</v>
      </c>
      <c r="BE4157" s="3">
        <v>41949</v>
      </c>
      <c r="BF4157" s="1">
        <v>338500</v>
      </c>
      <c r="BG4157" t="s">
        <v>26375</v>
      </c>
      <c r="BH4157" s="1">
        <v>121.72</v>
      </c>
      <c r="BI4157" s="1">
        <v>349670</v>
      </c>
      <c r="BJ4157" s="3">
        <v>41949</v>
      </c>
      <c r="BK4157" t="s">
        <v>123</v>
      </c>
      <c r="BL4157" t="str">
        <f>"2014.738181"</f>
        <v>2014.738181</v>
      </c>
      <c r="BM4157" t="s">
        <v>5534</v>
      </c>
      <c r="BO4157" t="s">
        <v>26376</v>
      </c>
      <c r="BS4157">
        <v>30</v>
      </c>
      <c r="BW4157" t="str">
        <f>""</f>
        <v/>
      </c>
      <c r="CH4157" t="str">
        <f>""</f>
        <v/>
      </c>
      <c r="CS4157" t="str">
        <f>""</f>
        <v/>
      </c>
    </row>
    <row r="4158" spans="1:97" x14ac:dyDescent="0.25">
      <c r="A4158" t="s">
        <v>24659</v>
      </c>
      <c r="B4158" t="s">
        <v>327</v>
      </c>
      <c r="C4158" t="s">
        <v>2793</v>
      </c>
      <c r="D4158" t="s">
        <v>327</v>
      </c>
      <c r="E4158" t="s">
        <v>26377</v>
      </c>
      <c r="F4158" t="s">
        <v>108</v>
      </c>
      <c r="H4158" t="s">
        <v>26378</v>
      </c>
      <c r="I4158" t="s">
        <v>144</v>
      </c>
      <c r="J4158" t="s">
        <v>111</v>
      </c>
      <c r="K4158" t="str">
        <f>"85396"</f>
        <v>85396</v>
      </c>
      <c r="L4158" t="s">
        <v>1789</v>
      </c>
      <c r="M4158" t="s">
        <v>26378</v>
      </c>
      <c r="N4158" t="s">
        <v>144</v>
      </c>
      <c r="O4158" t="s">
        <v>111</v>
      </c>
      <c r="P4158" t="str">
        <f>"85396-7627"</f>
        <v>85396-7627</v>
      </c>
      <c r="R4158" t="str">
        <f>"502-77-151"</f>
        <v>502-77-151</v>
      </c>
      <c r="S4158" t="s">
        <v>6474</v>
      </c>
      <c r="U4158">
        <v>4315</v>
      </c>
      <c r="V4158">
        <v>0</v>
      </c>
      <c r="W4158">
        <v>4</v>
      </c>
      <c r="X4158">
        <v>2005</v>
      </c>
      <c r="Z4158">
        <v>2</v>
      </c>
      <c r="AB4158">
        <v>0</v>
      </c>
      <c r="AC4158" t="s">
        <v>115</v>
      </c>
      <c r="AD4158">
        <v>3</v>
      </c>
      <c r="AE4158" t="s">
        <v>115</v>
      </c>
      <c r="AF4158">
        <v>0</v>
      </c>
      <c r="AG4158">
        <v>0</v>
      </c>
      <c r="AH4158" t="s">
        <v>116</v>
      </c>
      <c r="AI4158" s="1">
        <v>-272356</v>
      </c>
      <c r="AJ4158" s="2">
        <v>-0.53</v>
      </c>
      <c r="AK4158" s="1">
        <v>512800</v>
      </c>
      <c r="AL4158" t="s">
        <v>117</v>
      </c>
      <c r="AM4158" t="s">
        <v>118</v>
      </c>
      <c r="AN4158">
        <v>13113</v>
      </c>
      <c r="AO4158">
        <v>0.3</v>
      </c>
      <c r="AR4158">
        <v>1</v>
      </c>
      <c r="AS4158" s="1">
        <v>36250</v>
      </c>
      <c r="AT4158" s="1">
        <v>7250</v>
      </c>
      <c r="AU4158" s="1">
        <v>29000</v>
      </c>
      <c r="AV4158">
        <v>80</v>
      </c>
      <c r="AX4158" s="1">
        <v>4848.18</v>
      </c>
      <c r="AY4158" t="s">
        <v>543</v>
      </c>
      <c r="AZ4158" t="s">
        <v>504</v>
      </c>
      <c r="BA4158" t="s">
        <v>218</v>
      </c>
      <c r="BE4158" s="3">
        <v>42272</v>
      </c>
      <c r="BF4158" s="1">
        <v>430000</v>
      </c>
      <c r="BG4158" t="s">
        <v>26379</v>
      </c>
      <c r="BH4158" s="1">
        <v>99.65</v>
      </c>
      <c r="BI4158" s="1">
        <v>392578</v>
      </c>
      <c r="BJ4158" s="3">
        <v>42417</v>
      </c>
      <c r="BK4158" t="s">
        <v>123</v>
      </c>
      <c r="BL4158" t="str">
        <f>"2016.99677"</f>
        <v>2016.99677</v>
      </c>
      <c r="BM4158" t="s">
        <v>135</v>
      </c>
      <c r="BN4158" t="s">
        <v>136</v>
      </c>
      <c r="BO4158" t="s">
        <v>26380</v>
      </c>
      <c r="BS4158">
        <v>30</v>
      </c>
      <c r="BT4158" s="1">
        <v>392578</v>
      </c>
      <c r="BU4158" s="3">
        <v>42795</v>
      </c>
      <c r="BV4158" t="s">
        <v>123</v>
      </c>
      <c r="BW4158" t="str">
        <f>"2017.148063"</f>
        <v>2017.148063</v>
      </c>
      <c r="BX4158" t="s">
        <v>135</v>
      </c>
      <c r="BY4158" t="s">
        <v>136</v>
      </c>
      <c r="BZ4158" t="s">
        <v>26380</v>
      </c>
      <c r="CD4158">
        <v>30</v>
      </c>
      <c r="CH4158" t="str">
        <f>""</f>
        <v/>
      </c>
      <c r="CS4158" t="str">
        <f>""</f>
        <v/>
      </c>
    </row>
    <row r="4159" spans="1:97" x14ac:dyDescent="0.25">
      <c r="A4159" t="s">
        <v>370</v>
      </c>
      <c r="B4159" t="s">
        <v>3258</v>
      </c>
      <c r="E4159" t="s">
        <v>26381</v>
      </c>
      <c r="F4159" t="s">
        <v>108</v>
      </c>
      <c r="H4159" t="s">
        <v>26382</v>
      </c>
      <c r="I4159" t="s">
        <v>144</v>
      </c>
      <c r="J4159" t="s">
        <v>111</v>
      </c>
      <c r="K4159" t="str">
        <f>"85396"</f>
        <v>85396</v>
      </c>
      <c r="L4159" t="s">
        <v>1789</v>
      </c>
      <c r="M4159" t="s">
        <v>26382</v>
      </c>
      <c r="N4159" t="s">
        <v>144</v>
      </c>
      <c r="O4159" t="s">
        <v>111</v>
      </c>
      <c r="P4159" t="str">
        <f>"85396-3540"</f>
        <v>85396-3540</v>
      </c>
      <c r="Q4159" t="s">
        <v>113</v>
      </c>
      <c r="R4159" t="str">
        <f>"502-78-802"</f>
        <v>502-78-802</v>
      </c>
      <c r="S4159" t="s">
        <v>26383</v>
      </c>
      <c r="U4159">
        <v>2739</v>
      </c>
      <c r="V4159">
        <v>0</v>
      </c>
      <c r="W4159">
        <v>5</v>
      </c>
      <c r="X4159">
        <v>2005</v>
      </c>
      <c r="Z4159">
        <v>2</v>
      </c>
      <c r="AA4159" t="s">
        <v>26</v>
      </c>
      <c r="AB4159">
        <v>0</v>
      </c>
      <c r="AC4159" t="s">
        <v>115</v>
      </c>
      <c r="AD4159">
        <v>2</v>
      </c>
      <c r="AE4159" t="s">
        <v>115</v>
      </c>
      <c r="AF4159">
        <v>0</v>
      </c>
      <c r="AG4159">
        <v>0</v>
      </c>
      <c r="AH4159" t="s">
        <v>116</v>
      </c>
      <c r="AI4159" s="1">
        <v>78620</v>
      </c>
      <c r="AJ4159" s="2">
        <v>0.19</v>
      </c>
      <c r="AK4159" s="1">
        <v>404015</v>
      </c>
      <c r="AL4159" t="s">
        <v>117</v>
      </c>
      <c r="AM4159" t="s">
        <v>118</v>
      </c>
      <c r="AN4159">
        <v>9615</v>
      </c>
      <c r="AO4159">
        <v>0.22</v>
      </c>
      <c r="AP4159">
        <v>1</v>
      </c>
      <c r="AR4159">
        <v>1</v>
      </c>
      <c r="AS4159" s="1">
        <v>30450</v>
      </c>
      <c r="AT4159" s="1">
        <v>6090</v>
      </c>
      <c r="AU4159" s="1">
        <v>24360</v>
      </c>
      <c r="AV4159">
        <v>80</v>
      </c>
      <c r="AX4159" s="1">
        <v>3785.08</v>
      </c>
      <c r="AY4159" t="s">
        <v>543</v>
      </c>
      <c r="AZ4159" t="s">
        <v>504</v>
      </c>
      <c r="BA4159" t="s">
        <v>218</v>
      </c>
      <c r="BE4159" s="3">
        <v>42124</v>
      </c>
      <c r="BF4159" s="1">
        <v>315000</v>
      </c>
      <c r="BG4159" t="s">
        <v>26384</v>
      </c>
      <c r="BH4159" s="1">
        <v>115.01</v>
      </c>
      <c r="BI4159" s="1">
        <v>325395</v>
      </c>
      <c r="BJ4159" s="3">
        <v>42124</v>
      </c>
      <c r="BK4159" t="s">
        <v>123</v>
      </c>
      <c r="BL4159" t="str">
        <f>"2015.305962"</f>
        <v>2015.305962</v>
      </c>
      <c r="BM4159" t="s">
        <v>5867</v>
      </c>
      <c r="BO4159" t="s">
        <v>26385</v>
      </c>
      <c r="BS4159">
        <v>30</v>
      </c>
      <c r="BW4159" t="str">
        <f>""</f>
        <v/>
      </c>
      <c r="CH4159" t="str">
        <f>""</f>
        <v/>
      </c>
      <c r="CS4159" t="str">
        <f>""</f>
        <v/>
      </c>
    </row>
    <row r="4160" spans="1:97" x14ac:dyDescent="0.25">
      <c r="A4160" t="s">
        <v>1850</v>
      </c>
      <c r="B4160" t="s">
        <v>371</v>
      </c>
      <c r="C4160" t="s">
        <v>26386</v>
      </c>
      <c r="D4160" t="s">
        <v>576</v>
      </c>
      <c r="E4160" t="s">
        <v>26387</v>
      </c>
      <c r="F4160" t="s">
        <v>108</v>
      </c>
      <c r="H4160" t="s">
        <v>26388</v>
      </c>
      <c r="I4160" t="s">
        <v>1936</v>
      </c>
      <c r="J4160" t="s">
        <v>111</v>
      </c>
      <c r="K4160" t="str">
        <f>"85262"</f>
        <v>85262</v>
      </c>
      <c r="L4160" t="s">
        <v>5084</v>
      </c>
      <c r="M4160" t="s">
        <v>26388</v>
      </c>
      <c r="N4160" t="s">
        <v>1936</v>
      </c>
      <c r="O4160" t="s">
        <v>111</v>
      </c>
      <c r="P4160" t="str">
        <f>"85262-3260"</f>
        <v>85262-3260</v>
      </c>
      <c r="Q4160" t="s">
        <v>113</v>
      </c>
      <c r="R4160" t="str">
        <f>"219-47-190"</f>
        <v>219-47-190</v>
      </c>
      <c r="S4160" t="s">
        <v>26389</v>
      </c>
      <c r="T4160" t="s">
        <v>26390</v>
      </c>
      <c r="U4160">
        <v>7005</v>
      </c>
      <c r="V4160">
        <v>0</v>
      </c>
      <c r="W4160">
        <v>9</v>
      </c>
      <c r="X4160">
        <v>2001</v>
      </c>
      <c r="Z4160">
        <v>2</v>
      </c>
      <c r="AA4160" t="s">
        <v>26</v>
      </c>
      <c r="AB4160">
        <v>0</v>
      </c>
      <c r="AC4160" t="s">
        <v>115</v>
      </c>
      <c r="AD4160">
        <v>4</v>
      </c>
      <c r="AE4160" t="s">
        <v>115</v>
      </c>
      <c r="AF4160">
        <v>0</v>
      </c>
      <c r="AG4160">
        <v>0</v>
      </c>
      <c r="AH4160" t="s">
        <v>116</v>
      </c>
      <c r="AI4160" s="1">
        <v>585069</v>
      </c>
      <c r="AJ4160" s="2">
        <v>0.41</v>
      </c>
      <c r="AK4160" s="1">
        <v>1429469</v>
      </c>
      <c r="AL4160" t="s">
        <v>117</v>
      </c>
      <c r="AM4160" t="s">
        <v>1302</v>
      </c>
      <c r="AN4160">
        <v>35704</v>
      </c>
      <c r="AO4160">
        <v>0.82</v>
      </c>
      <c r="AP4160">
        <v>1</v>
      </c>
      <c r="AR4160">
        <v>1</v>
      </c>
      <c r="AS4160" s="1">
        <v>204920</v>
      </c>
      <c r="AT4160" s="1">
        <v>40980</v>
      </c>
      <c r="AU4160" s="1">
        <v>163940</v>
      </c>
      <c r="AV4160">
        <v>80</v>
      </c>
      <c r="AX4160" s="1">
        <v>10217.44</v>
      </c>
      <c r="AY4160" t="s">
        <v>7359</v>
      </c>
      <c r="AZ4160" t="s">
        <v>1402</v>
      </c>
      <c r="BA4160" t="s">
        <v>1403</v>
      </c>
      <c r="BB4160" s="3">
        <v>42971</v>
      </c>
      <c r="BD4160" t="s">
        <v>157</v>
      </c>
      <c r="BE4160" s="3">
        <v>42521</v>
      </c>
      <c r="BF4160" s="1">
        <v>1200000</v>
      </c>
      <c r="BG4160" t="s">
        <v>26391</v>
      </c>
      <c r="BH4160" s="1">
        <v>171.31</v>
      </c>
      <c r="BI4160" s="1">
        <v>844400</v>
      </c>
      <c r="BJ4160" s="3">
        <v>42706</v>
      </c>
      <c r="BK4160" t="s">
        <v>123</v>
      </c>
      <c r="BL4160" t="str">
        <f>"2016.889922"</f>
        <v>2016.889922</v>
      </c>
      <c r="BM4160" t="s">
        <v>4919</v>
      </c>
      <c r="BN4160" t="s">
        <v>26392</v>
      </c>
      <c r="BO4160" t="s">
        <v>26393</v>
      </c>
      <c r="BP4160" t="s">
        <v>26394</v>
      </c>
      <c r="BS4160">
        <v>30</v>
      </c>
      <c r="BW4160" t="str">
        <f>""</f>
        <v/>
      </c>
      <c r="CH4160" t="str">
        <f>""</f>
        <v/>
      </c>
      <c r="CS4160" t="str">
        <f>""</f>
        <v/>
      </c>
    </row>
    <row r="4161" spans="1:97" x14ac:dyDescent="0.25">
      <c r="A4161" t="s">
        <v>2743</v>
      </c>
      <c r="B4161" t="s">
        <v>26395</v>
      </c>
      <c r="C4161" t="s">
        <v>179</v>
      </c>
      <c r="D4161" t="s">
        <v>26395</v>
      </c>
      <c r="E4161" t="s">
        <v>26396</v>
      </c>
      <c r="F4161" t="s">
        <v>108</v>
      </c>
      <c r="H4161" t="s">
        <v>26397</v>
      </c>
      <c r="I4161" t="s">
        <v>390</v>
      </c>
      <c r="J4161" t="s">
        <v>111</v>
      </c>
      <c r="K4161" t="str">
        <f>"85020"</f>
        <v>85020</v>
      </c>
      <c r="L4161" t="s">
        <v>7695</v>
      </c>
      <c r="M4161" t="s">
        <v>26397</v>
      </c>
      <c r="N4161" t="s">
        <v>390</v>
      </c>
      <c r="O4161" t="s">
        <v>111</v>
      </c>
      <c r="P4161" t="str">
        <f>"85020-3457"</f>
        <v>85020-3457</v>
      </c>
      <c r="Q4161" t="s">
        <v>113</v>
      </c>
      <c r="R4161" t="str">
        <f>"160-07-108"</f>
        <v>160-07-108</v>
      </c>
      <c r="S4161" t="s">
        <v>26398</v>
      </c>
      <c r="T4161" t="s">
        <v>26399</v>
      </c>
      <c r="U4161">
        <v>1824</v>
      </c>
      <c r="V4161">
        <v>0</v>
      </c>
      <c r="W4161">
        <v>2</v>
      </c>
      <c r="X4161">
        <v>1954</v>
      </c>
      <c r="Z4161">
        <v>1</v>
      </c>
      <c r="AA4161" t="s">
        <v>26</v>
      </c>
      <c r="AB4161">
        <v>0</v>
      </c>
      <c r="AC4161" t="s">
        <v>115</v>
      </c>
      <c r="AD4161">
        <v>1</v>
      </c>
      <c r="AE4161" t="s">
        <v>115</v>
      </c>
      <c r="AF4161">
        <v>0</v>
      </c>
      <c r="AG4161">
        <v>0</v>
      </c>
      <c r="AH4161" t="s">
        <v>116</v>
      </c>
      <c r="AI4161" s="1">
        <v>80956</v>
      </c>
      <c r="AJ4161" s="2">
        <v>0.25</v>
      </c>
      <c r="AK4161" s="1">
        <v>326377</v>
      </c>
      <c r="AL4161" t="s">
        <v>117</v>
      </c>
      <c r="AM4161" t="s">
        <v>191</v>
      </c>
      <c r="AN4161">
        <v>6162</v>
      </c>
      <c r="AO4161">
        <v>0.14000000000000001</v>
      </c>
      <c r="AP4161">
        <v>1</v>
      </c>
      <c r="AR4161">
        <v>1</v>
      </c>
      <c r="AS4161" s="1">
        <v>21060</v>
      </c>
      <c r="AT4161" s="1">
        <v>4210</v>
      </c>
      <c r="AU4161" s="1">
        <v>16850</v>
      </c>
      <c r="AV4161">
        <v>80.010000000000005</v>
      </c>
      <c r="AX4161" s="1">
        <v>1410.32</v>
      </c>
      <c r="AY4161" t="s">
        <v>20037</v>
      </c>
      <c r="AZ4161" t="s">
        <v>6148</v>
      </c>
      <c r="BA4161" t="s">
        <v>6149</v>
      </c>
      <c r="BE4161" s="3">
        <v>41969</v>
      </c>
      <c r="BF4161" s="1">
        <v>240000</v>
      </c>
      <c r="BG4161" t="s">
        <v>26400</v>
      </c>
      <c r="BH4161" s="1">
        <v>122.2</v>
      </c>
      <c r="BI4161" s="1">
        <v>245421</v>
      </c>
      <c r="BJ4161" s="3">
        <v>42544</v>
      </c>
      <c r="BK4161" t="s">
        <v>123</v>
      </c>
      <c r="BL4161" t="str">
        <f>"2016.440200"</f>
        <v>2016.440200</v>
      </c>
      <c r="BM4161" t="s">
        <v>673</v>
      </c>
      <c r="BO4161" t="s">
        <v>26401</v>
      </c>
      <c r="BS4161">
        <v>30</v>
      </c>
      <c r="BW4161" t="str">
        <f>""</f>
        <v/>
      </c>
      <c r="CH4161" t="str">
        <f>""</f>
        <v/>
      </c>
      <c r="CS4161" t="str">
        <f>""</f>
        <v/>
      </c>
    </row>
    <row r="4162" spans="1:97" x14ac:dyDescent="0.25">
      <c r="A4162" t="s">
        <v>1176</v>
      </c>
      <c r="B4162" t="s">
        <v>4660</v>
      </c>
      <c r="C4162" t="s">
        <v>16153</v>
      </c>
      <c r="D4162" t="s">
        <v>4660</v>
      </c>
      <c r="E4162" t="s">
        <v>26402</v>
      </c>
      <c r="F4162" t="s">
        <v>108</v>
      </c>
      <c r="H4162" t="s">
        <v>26403</v>
      </c>
      <c r="I4162" t="s">
        <v>225</v>
      </c>
      <c r="J4162" t="s">
        <v>111</v>
      </c>
      <c r="K4162" t="str">
        <f>"85205"</f>
        <v>85205</v>
      </c>
      <c r="L4162" t="s">
        <v>6964</v>
      </c>
      <c r="M4162" t="s">
        <v>26403</v>
      </c>
      <c r="N4162" t="s">
        <v>225</v>
      </c>
      <c r="O4162" t="s">
        <v>111</v>
      </c>
      <c r="P4162" t="str">
        <f>"85205-4252"</f>
        <v>85205-4252</v>
      </c>
      <c r="Q4162" t="s">
        <v>113</v>
      </c>
      <c r="R4162" t="str">
        <f>"141-34-030"</f>
        <v>141-34-030</v>
      </c>
      <c r="S4162" t="s">
        <v>24266</v>
      </c>
      <c r="T4162" t="s">
        <v>24267</v>
      </c>
      <c r="U4162">
        <v>2022</v>
      </c>
      <c r="V4162">
        <v>0</v>
      </c>
      <c r="W4162">
        <v>4</v>
      </c>
      <c r="X4162">
        <v>1987</v>
      </c>
      <c r="Z4162">
        <v>1</v>
      </c>
      <c r="AA4162" t="s">
        <v>26</v>
      </c>
      <c r="AB4162">
        <v>0</v>
      </c>
      <c r="AC4162" t="s">
        <v>115</v>
      </c>
      <c r="AD4162">
        <v>2</v>
      </c>
      <c r="AE4162" t="s">
        <v>115</v>
      </c>
      <c r="AF4162">
        <v>0</v>
      </c>
      <c r="AG4162">
        <v>0</v>
      </c>
      <c r="AH4162" t="s">
        <v>116</v>
      </c>
      <c r="AI4162" s="1">
        <v>84517</v>
      </c>
      <c r="AJ4162" s="2">
        <v>0.26</v>
      </c>
      <c r="AK4162" s="1">
        <v>328830</v>
      </c>
      <c r="AL4162" t="s">
        <v>117</v>
      </c>
      <c r="AM4162" t="s">
        <v>393</v>
      </c>
      <c r="AN4162">
        <v>7890</v>
      </c>
      <c r="AO4162">
        <v>0.18</v>
      </c>
      <c r="AP4162">
        <v>1</v>
      </c>
      <c r="AR4162">
        <v>1</v>
      </c>
      <c r="AS4162" s="1">
        <v>23170</v>
      </c>
      <c r="AT4162" s="1">
        <v>4630</v>
      </c>
      <c r="AU4162" s="1">
        <v>18540</v>
      </c>
      <c r="AV4162">
        <v>80.02</v>
      </c>
      <c r="AX4162" s="1">
        <v>1737.92</v>
      </c>
      <c r="AY4162" t="s">
        <v>6044</v>
      </c>
      <c r="AZ4162" t="s">
        <v>5275</v>
      </c>
      <c r="BA4162" t="s">
        <v>3119</v>
      </c>
      <c r="BE4162" s="3">
        <v>41810</v>
      </c>
      <c r="BF4162" s="1">
        <v>227000</v>
      </c>
      <c r="BG4162" t="s">
        <v>26404</v>
      </c>
      <c r="BH4162" s="1">
        <v>112.27</v>
      </c>
      <c r="BI4162" s="1">
        <v>244313</v>
      </c>
      <c r="BJ4162" s="3">
        <v>42216</v>
      </c>
      <c r="BK4162" t="s">
        <v>123</v>
      </c>
      <c r="BL4162" t="str">
        <f>"2015.557271"</f>
        <v>2015.557271</v>
      </c>
      <c r="BM4162" t="s">
        <v>2117</v>
      </c>
      <c r="BO4162" t="s">
        <v>26405</v>
      </c>
      <c r="BQ4162" t="str">
        <f>"1.7500%"</f>
        <v>1.7500%</v>
      </c>
      <c r="BR4162" t="s">
        <v>1480</v>
      </c>
      <c r="BS4162">
        <v>30</v>
      </c>
      <c r="BW4162" t="str">
        <f>""</f>
        <v/>
      </c>
      <c r="CH4162" t="str">
        <f>""</f>
        <v/>
      </c>
      <c r="CS4162" t="str">
        <f>""</f>
        <v/>
      </c>
    </row>
    <row r="4163" spans="1:97" x14ac:dyDescent="0.25">
      <c r="A4163" t="s">
        <v>933</v>
      </c>
      <c r="B4163" t="s">
        <v>26406</v>
      </c>
      <c r="E4163" t="s">
        <v>26407</v>
      </c>
      <c r="F4163" t="s">
        <v>108</v>
      </c>
      <c r="H4163" t="s">
        <v>26408</v>
      </c>
      <c r="I4163" t="s">
        <v>390</v>
      </c>
      <c r="J4163" t="s">
        <v>111</v>
      </c>
      <c r="K4163" t="str">
        <f>"85024"</f>
        <v>85024</v>
      </c>
      <c r="L4163" t="s">
        <v>7695</v>
      </c>
      <c r="M4163" t="s">
        <v>26408</v>
      </c>
      <c r="N4163" t="s">
        <v>390</v>
      </c>
      <c r="O4163" t="s">
        <v>111</v>
      </c>
      <c r="P4163" t="str">
        <f>"85024-8237"</f>
        <v>85024-8237</v>
      </c>
      <c r="Q4163" t="s">
        <v>113</v>
      </c>
      <c r="R4163" t="str">
        <f>"213-29-069"</f>
        <v>213-29-069</v>
      </c>
      <c r="S4163" t="s">
        <v>26409</v>
      </c>
      <c r="T4163" t="s">
        <v>26410</v>
      </c>
      <c r="U4163">
        <v>1536</v>
      </c>
      <c r="V4163">
        <v>0</v>
      </c>
      <c r="W4163">
        <v>4</v>
      </c>
      <c r="X4163">
        <v>1992</v>
      </c>
      <c r="Z4163">
        <v>2</v>
      </c>
      <c r="AB4163">
        <v>0</v>
      </c>
      <c r="AC4163" t="s">
        <v>115</v>
      </c>
      <c r="AD4163">
        <v>2</v>
      </c>
      <c r="AE4163" t="s">
        <v>115</v>
      </c>
      <c r="AF4163">
        <v>0</v>
      </c>
      <c r="AG4163">
        <v>0</v>
      </c>
      <c r="AH4163" t="s">
        <v>116</v>
      </c>
      <c r="AI4163" s="1">
        <v>69133</v>
      </c>
      <c r="AJ4163" s="2">
        <v>0.26</v>
      </c>
      <c r="AK4163" s="1">
        <v>269347</v>
      </c>
      <c r="AL4163" t="s">
        <v>117</v>
      </c>
      <c r="AM4163" t="s">
        <v>191</v>
      </c>
      <c r="AN4163">
        <v>3842</v>
      </c>
      <c r="AO4163">
        <v>0.88</v>
      </c>
      <c r="AP4163">
        <v>1</v>
      </c>
      <c r="AR4163">
        <v>1</v>
      </c>
      <c r="AS4163" s="1">
        <v>19370</v>
      </c>
      <c r="AT4163" s="1">
        <v>3870</v>
      </c>
      <c r="AU4163" s="1">
        <v>15500</v>
      </c>
      <c r="AV4163">
        <v>80.02</v>
      </c>
      <c r="AX4163" s="1">
        <v>1427.26</v>
      </c>
      <c r="AY4163" t="s">
        <v>8613</v>
      </c>
      <c r="AZ4163" t="s">
        <v>761</v>
      </c>
      <c r="BA4163" t="s">
        <v>2551</v>
      </c>
      <c r="BE4163" s="3">
        <v>42230</v>
      </c>
      <c r="BF4163" s="1">
        <v>196000</v>
      </c>
      <c r="BG4163" t="s">
        <v>26411</v>
      </c>
      <c r="BH4163" s="1">
        <v>127.6</v>
      </c>
      <c r="BI4163" s="1">
        <v>200214</v>
      </c>
      <c r="BJ4163" s="3">
        <v>42230</v>
      </c>
      <c r="BK4163" t="s">
        <v>123</v>
      </c>
      <c r="BL4163" t="str">
        <f>"2015.590244"</f>
        <v>2015.590244</v>
      </c>
      <c r="BM4163" t="s">
        <v>9546</v>
      </c>
      <c r="BO4163" t="s">
        <v>26412</v>
      </c>
      <c r="BS4163">
        <v>30</v>
      </c>
      <c r="BW4163" t="str">
        <f>""</f>
        <v/>
      </c>
      <c r="CH4163" t="str">
        <f>""</f>
        <v/>
      </c>
      <c r="CS4163" t="str">
        <f>""</f>
        <v/>
      </c>
    </row>
    <row r="4164" spans="1:97" x14ac:dyDescent="0.25">
      <c r="A4164" t="s">
        <v>695</v>
      </c>
      <c r="B4164" t="s">
        <v>26413</v>
      </c>
      <c r="C4164" t="s">
        <v>727</v>
      </c>
      <c r="D4164" t="s">
        <v>26413</v>
      </c>
      <c r="E4164" t="s">
        <v>26414</v>
      </c>
      <c r="F4164" t="s">
        <v>108</v>
      </c>
      <c r="H4164" t="s">
        <v>26415</v>
      </c>
      <c r="I4164" t="s">
        <v>225</v>
      </c>
      <c r="J4164" t="s">
        <v>111</v>
      </c>
      <c r="K4164" t="str">
        <f>"85206"</f>
        <v>85206</v>
      </c>
      <c r="L4164" t="s">
        <v>3696</v>
      </c>
      <c r="M4164" t="s">
        <v>26415</v>
      </c>
      <c r="N4164" t="s">
        <v>225</v>
      </c>
      <c r="O4164" t="s">
        <v>111</v>
      </c>
      <c r="P4164" t="str">
        <f>"85206-5535"</f>
        <v>85206-5535</v>
      </c>
      <c r="Q4164" t="s">
        <v>113</v>
      </c>
      <c r="R4164" t="str">
        <f>"141-53-763"</f>
        <v>141-53-763</v>
      </c>
      <c r="S4164" t="s">
        <v>26416</v>
      </c>
      <c r="T4164" t="s">
        <v>26416</v>
      </c>
      <c r="U4164">
        <v>2038</v>
      </c>
      <c r="V4164">
        <v>0</v>
      </c>
      <c r="W4164">
        <v>4</v>
      </c>
      <c r="X4164">
        <v>2006</v>
      </c>
      <c r="Z4164">
        <v>2</v>
      </c>
      <c r="AB4164">
        <v>0</v>
      </c>
      <c r="AC4164" t="s">
        <v>115</v>
      </c>
      <c r="AD4164">
        <v>2</v>
      </c>
      <c r="AE4164" t="s">
        <v>115</v>
      </c>
      <c r="AF4164">
        <v>0</v>
      </c>
      <c r="AG4164">
        <v>0</v>
      </c>
      <c r="AH4164" t="s">
        <v>116</v>
      </c>
      <c r="AI4164" s="1">
        <v>65690</v>
      </c>
      <c r="AJ4164" s="2">
        <v>0.23</v>
      </c>
      <c r="AK4164" s="1">
        <v>281587</v>
      </c>
      <c r="AL4164" t="s">
        <v>117</v>
      </c>
      <c r="AM4164" t="s">
        <v>191</v>
      </c>
      <c r="AN4164">
        <v>2838</v>
      </c>
      <c r="AO4164">
        <v>0.65</v>
      </c>
      <c r="AR4164">
        <v>1</v>
      </c>
      <c r="AS4164" s="1">
        <v>18500</v>
      </c>
      <c r="AT4164" s="1">
        <v>3700</v>
      </c>
      <c r="AU4164" s="1">
        <v>14800</v>
      </c>
      <c r="AV4164">
        <v>80</v>
      </c>
      <c r="AX4164" s="1">
        <v>1499.6</v>
      </c>
      <c r="AY4164" t="s">
        <v>5157</v>
      </c>
      <c r="AZ4164" t="s">
        <v>5158</v>
      </c>
      <c r="BA4164" t="s">
        <v>5159</v>
      </c>
      <c r="BE4164" s="3">
        <v>42118</v>
      </c>
      <c r="BF4164" s="1">
        <v>209000</v>
      </c>
      <c r="BG4164" t="s">
        <v>26417</v>
      </c>
      <c r="BH4164" s="1">
        <v>102.55</v>
      </c>
      <c r="BI4164" s="1">
        <v>215897</v>
      </c>
      <c r="BJ4164" s="3">
        <v>42118</v>
      </c>
      <c r="BK4164" t="s">
        <v>123</v>
      </c>
      <c r="BL4164" t="str">
        <f>"2015.286112"</f>
        <v>2015.286112</v>
      </c>
      <c r="BM4164" t="s">
        <v>1227</v>
      </c>
      <c r="BO4164" t="s">
        <v>26418</v>
      </c>
      <c r="BS4164">
        <v>30</v>
      </c>
      <c r="BW4164" t="str">
        <f>""</f>
        <v/>
      </c>
      <c r="CH4164" t="str">
        <f>""</f>
        <v/>
      </c>
      <c r="CS4164" t="str">
        <f>""</f>
        <v/>
      </c>
    </row>
    <row r="4165" spans="1:97" x14ac:dyDescent="0.25">
      <c r="A4165" t="s">
        <v>610</v>
      </c>
      <c r="B4165" t="s">
        <v>26419</v>
      </c>
      <c r="E4165" t="s">
        <v>26420</v>
      </c>
      <c r="F4165" t="s">
        <v>108</v>
      </c>
      <c r="H4165" t="s">
        <v>26421</v>
      </c>
      <c r="I4165" t="s">
        <v>2874</v>
      </c>
      <c r="J4165" t="s">
        <v>111</v>
      </c>
      <c r="K4165" t="str">
        <f>"85304"</f>
        <v>85304</v>
      </c>
      <c r="L4165" t="s">
        <v>5308</v>
      </c>
      <c r="M4165" t="s">
        <v>26421</v>
      </c>
      <c r="N4165" t="s">
        <v>2874</v>
      </c>
      <c r="O4165" t="s">
        <v>111</v>
      </c>
      <c r="P4165" t="str">
        <f>"85304-2936"</f>
        <v>85304-2936</v>
      </c>
      <c r="Q4165" t="s">
        <v>113</v>
      </c>
      <c r="R4165" t="str">
        <f>"148-02-254"</f>
        <v>148-02-254</v>
      </c>
      <c r="S4165" t="s">
        <v>14914</v>
      </c>
      <c r="T4165" t="s">
        <v>10886</v>
      </c>
      <c r="U4165">
        <v>1730</v>
      </c>
      <c r="V4165">
        <v>0</v>
      </c>
      <c r="W4165">
        <v>2</v>
      </c>
      <c r="X4165">
        <v>1973</v>
      </c>
      <c r="Z4165">
        <v>1</v>
      </c>
      <c r="AA4165" t="s">
        <v>26</v>
      </c>
      <c r="AB4165">
        <v>0</v>
      </c>
      <c r="AC4165" t="s">
        <v>115</v>
      </c>
      <c r="AD4165">
        <v>2</v>
      </c>
      <c r="AE4165" t="s">
        <v>115</v>
      </c>
      <c r="AF4165">
        <v>0</v>
      </c>
      <c r="AG4165">
        <v>0</v>
      </c>
      <c r="AH4165" t="s">
        <v>116</v>
      </c>
      <c r="AI4165" s="1">
        <v>15664</v>
      </c>
      <c r="AJ4165" s="2">
        <v>0.06</v>
      </c>
      <c r="AK4165" s="1">
        <v>253804</v>
      </c>
      <c r="AL4165" t="s">
        <v>117</v>
      </c>
      <c r="AM4165" t="s">
        <v>191</v>
      </c>
      <c r="AN4165">
        <v>8490</v>
      </c>
      <c r="AO4165">
        <v>0.2</v>
      </c>
      <c r="AP4165">
        <v>1</v>
      </c>
      <c r="AR4165">
        <v>1</v>
      </c>
      <c r="AS4165" s="1">
        <v>17200</v>
      </c>
      <c r="AT4165" s="1">
        <v>3440</v>
      </c>
      <c r="AU4165" s="1">
        <v>13760</v>
      </c>
      <c r="AV4165">
        <v>80</v>
      </c>
      <c r="AX4165" s="1">
        <v>1208.48</v>
      </c>
      <c r="AY4165" t="s">
        <v>10887</v>
      </c>
      <c r="AZ4165" t="s">
        <v>6986</v>
      </c>
      <c r="BA4165" t="s">
        <v>10888</v>
      </c>
      <c r="BE4165" s="3">
        <v>42545</v>
      </c>
      <c r="BF4165" s="1">
        <v>221000</v>
      </c>
      <c r="BG4165" t="s">
        <v>25525</v>
      </c>
      <c r="BH4165" s="1">
        <v>127.75</v>
      </c>
      <c r="BI4165" s="1">
        <v>228293</v>
      </c>
      <c r="BJ4165" s="3">
        <v>42545</v>
      </c>
      <c r="BK4165" t="s">
        <v>123</v>
      </c>
      <c r="BL4165" t="str">
        <f>"2016.444432"</f>
        <v>2016.444432</v>
      </c>
      <c r="BM4165" t="s">
        <v>820</v>
      </c>
      <c r="BN4165" t="s">
        <v>2188</v>
      </c>
      <c r="BO4165" t="s">
        <v>26422</v>
      </c>
      <c r="BS4165">
        <v>30</v>
      </c>
      <c r="BT4165" s="1">
        <v>9847</v>
      </c>
      <c r="BU4165" s="3">
        <v>43467</v>
      </c>
      <c r="BW4165" t="str">
        <f>"2019.329"</f>
        <v>2019.329</v>
      </c>
      <c r="BX4165" t="s">
        <v>9881</v>
      </c>
      <c r="BY4165" t="s">
        <v>9882</v>
      </c>
      <c r="BZ4165" t="s">
        <v>26423</v>
      </c>
      <c r="CC4165" t="s">
        <v>346</v>
      </c>
      <c r="CH4165" t="str">
        <f>""</f>
        <v/>
      </c>
      <c r="CS4165" t="str">
        <f>""</f>
        <v/>
      </c>
    </row>
    <row r="4166" spans="1:97" x14ac:dyDescent="0.25">
      <c r="A4166" t="s">
        <v>26424</v>
      </c>
      <c r="B4166" t="s">
        <v>4325</v>
      </c>
      <c r="C4166" t="s">
        <v>970</v>
      </c>
      <c r="D4166" t="s">
        <v>4325</v>
      </c>
      <c r="E4166" t="s">
        <v>26425</v>
      </c>
      <c r="F4166" t="s">
        <v>108</v>
      </c>
      <c r="H4166" t="s">
        <v>26426</v>
      </c>
      <c r="I4166" t="s">
        <v>499</v>
      </c>
      <c r="J4166" t="s">
        <v>111</v>
      </c>
      <c r="K4166" t="str">
        <f>"85338"</f>
        <v>85338</v>
      </c>
      <c r="L4166" t="s">
        <v>2197</v>
      </c>
      <c r="M4166" t="s">
        <v>26426</v>
      </c>
      <c r="N4166" t="s">
        <v>499</v>
      </c>
      <c r="O4166" t="s">
        <v>111</v>
      </c>
      <c r="P4166" t="str">
        <f>"85338-3587"</f>
        <v>85338-3587</v>
      </c>
      <c r="Q4166" t="s">
        <v>113</v>
      </c>
      <c r="R4166" t="str">
        <f>"500-07-377"</f>
        <v>500-07-377</v>
      </c>
      <c r="S4166" t="s">
        <v>23114</v>
      </c>
      <c r="U4166">
        <v>1522</v>
      </c>
      <c r="V4166">
        <v>0</v>
      </c>
      <c r="W4166">
        <v>2</v>
      </c>
      <c r="X4166">
        <v>2006</v>
      </c>
      <c r="Z4166">
        <v>1</v>
      </c>
      <c r="AB4166">
        <v>0</v>
      </c>
      <c r="AC4166" t="s">
        <v>115</v>
      </c>
      <c r="AD4166">
        <v>2</v>
      </c>
      <c r="AE4166" t="s">
        <v>115</v>
      </c>
      <c r="AF4166">
        <v>0</v>
      </c>
      <c r="AG4166">
        <v>0</v>
      </c>
      <c r="AH4166" t="s">
        <v>116</v>
      </c>
      <c r="AI4166" s="1">
        <v>3370</v>
      </c>
      <c r="AJ4166" s="2">
        <v>0.02</v>
      </c>
      <c r="AK4166" s="1">
        <v>221333</v>
      </c>
      <c r="AL4166" t="s">
        <v>117</v>
      </c>
      <c r="AM4166" t="s">
        <v>118</v>
      </c>
      <c r="AN4166">
        <v>7372</v>
      </c>
      <c r="AO4166">
        <v>0.17</v>
      </c>
      <c r="AR4166">
        <v>1</v>
      </c>
      <c r="AS4166" s="1">
        <v>14970</v>
      </c>
      <c r="AT4166" s="1">
        <v>2990</v>
      </c>
      <c r="AU4166" s="1">
        <v>11980</v>
      </c>
      <c r="AV4166">
        <v>80.03</v>
      </c>
      <c r="AX4166" s="1">
        <v>1365.3</v>
      </c>
      <c r="AY4166" t="s">
        <v>11177</v>
      </c>
      <c r="AZ4166" t="s">
        <v>11177</v>
      </c>
      <c r="BA4166" t="s">
        <v>7186</v>
      </c>
      <c r="BE4166" s="3">
        <v>42338</v>
      </c>
      <c r="BF4166" s="1">
        <v>155000</v>
      </c>
      <c r="BG4166" t="s">
        <v>26427</v>
      </c>
      <c r="BH4166" s="1">
        <v>101.84</v>
      </c>
      <c r="BI4166" s="1">
        <v>217963</v>
      </c>
      <c r="BJ4166" s="3">
        <v>43557</v>
      </c>
      <c r="BK4166" t="s">
        <v>123</v>
      </c>
      <c r="BL4166" t="str">
        <f>"2019.228705"</f>
        <v>2019.228705</v>
      </c>
      <c r="BM4166" t="s">
        <v>248</v>
      </c>
      <c r="BN4166" t="s">
        <v>249</v>
      </c>
      <c r="BO4166" t="s">
        <v>26428</v>
      </c>
      <c r="BP4166" t="s">
        <v>26429</v>
      </c>
      <c r="BR4166" t="s">
        <v>139</v>
      </c>
      <c r="BW4166" t="str">
        <f>""</f>
        <v/>
      </c>
      <c r="CH4166" t="str">
        <f>""</f>
        <v/>
      </c>
      <c r="CS4166" t="str">
        <f>""</f>
        <v/>
      </c>
    </row>
    <row r="4167" spans="1:97" x14ac:dyDescent="0.25">
      <c r="A4167" t="s">
        <v>3221</v>
      </c>
      <c r="B4167" t="s">
        <v>26430</v>
      </c>
      <c r="C4167" t="s">
        <v>585</v>
      </c>
      <c r="D4167" t="s">
        <v>1366</v>
      </c>
      <c r="E4167" t="s">
        <v>26431</v>
      </c>
      <c r="F4167" t="s">
        <v>108</v>
      </c>
      <c r="H4167" t="s">
        <v>26432</v>
      </c>
      <c r="I4167" t="s">
        <v>499</v>
      </c>
      <c r="J4167" t="s">
        <v>111</v>
      </c>
      <c r="K4167" t="str">
        <f>"85338"</f>
        <v>85338</v>
      </c>
      <c r="L4167" t="s">
        <v>4751</v>
      </c>
      <c r="M4167" t="s">
        <v>26432</v>
      </c>
      <c r="N4167" t="s">
        <v>499</v>
      </c>
      <c r="O4167" t="s">
        <v>111</v>
      </c>
      <c r="P4167" t="str">
        <f>"85338-7784"</f>
        <v>85338-7784</v>
      </c>
      <c r="Q4167" t="s">
        <v>113</v>
      </c>
      <c r="R4167" t="str">
        <f>"400-58-260"</f>
        <v>400-58-260</v>
      </c>
      <c r="S4167" t="s">
        <v>4752</v>
      </c>
      <c r="T4167" t="s">
        <v>17252</v>
      </c>
      <c r="U4167">
        <v>2129</v>
      </c>
      <c r="V4167">
        <v>0</v>
      </c>
      <c r="W4167">
        <v>3</v>
      </c>
      <c r="X4167">
        <v>2014</v>
      </c>
      <c r="Z4167">
        <v>1</v>
      </c>
      <c r="AB4167">
        <v>0</v>
      </c>
      <c r="AC4167" t="s">
        <v>115</v>
      </c>
      <c r="AD4167">
        <v>3</v>
      </c>
      <c r="AE4167" t="s">
        <v>115</v>
      </c>
      <c r="AF4167">
        <v>0</v>
      </c>
      <c r="AG4167">
        <v>0</v>
      </c>
      <c r="AH4167" t="s">
        <v>116</v>
      </c>
      <c r="AI4167" s="1">
        <v>-56570</v>
      </c>
      <c r="AJ4167" s="2">
        <v>-0.16</v>
      </c>
      <c r="AK4167" s="1">
        <v>345489</v>
      </c>
      <c r="AL4167" t="s">
        <v>117</v>
      </c>
      <c r="AM4167" t="s">
        <v>118</v>
      </c>
      <c r="AN4167">
        <v>13169</v>
      </c>
      <c r="AO4167">
        <v>0.3</v>
      </c>
      <c r="AR4167">
        <v>1</v>
      </c>
      <c r="AS4167" s="1">
        <v>24870</v>
      </c>
      <c r="AT4167" s="1">
        <v>4970</v>
      </c>
      <c r="AU4167" s="1">
        <v>19900</v>
      </c>
      <c r="AV4167">
        <v>80.02</v>
      </c>
      <c r="AX4167" s="1">
        <v>3323.04</v>
      </c>
      <c r="AY4167" t="s">
        <v>1246</v>
      </c>
      <c r="AZ4167" t="s">
        <v>1246</v>
      </c>
      <c r="BA4167" t="s">
        <v>1247</v>
      </c>
      <c r="BE4167" s="3">
        <v>42003</v>
      </c>
      <c r="BF4167" s="1">
        <v>317579</v>
      </c>
      <c r="BG4167" t="s">
        <v>2780</v>
      </c>
      <c r="BH4167" s="1">
        <v>149.16999999999999</v>
      </c>
      <c r="BI4167" s="1">
        <v>328059</v>
      </c>
      <c r="BJ4167" s="3">
        <v>42003</v>
      </c>
      <c r="BK4167" t="s">
        <v>123</v>
      </c>
      <c r="BL4167" t="str">
        <f>"2014.854699"</f>
        <v>2014.854699</v>
      </c>
      <c r="BM4167" t="s">
        <v>175</v>
      </c>
      <c r="BN4167" t="s">
        <v>132</v>
      </c>
      <c r="BO4167" t="s">
        <v>26433</v>
      </c>
      <c r="BS4167">
        <v>30</v>
      </c>
      <c r="BT4167" s="1">
        <v>74000</v>
      </c>
      <c r="BU4167" s="3">
        <v>43350</v>
      </c>
      <c r="BW4167" t="str">
        <f>"2018.677914"</f>
        <v>2018.677914</v>
      </c>
      <c r="BX4167" t="s">
        <v>3538</v>
      </c>
      <c r="BY4167" t="s">
        <v>3539</v>
      </c>
      <c r="BZ4167" t="s">
        <v>26434</v>
      </c>
      <c r="CA4167" t="s">
        <v>26435</v>
      </c>
      <c r="CC4167" t="s">
        <v>346</v>
      </c>
      <c r="CH4167" t="str">
        <f>""</f>
        <v/>
      </c>
      <c r="CS4167" t="str">
        <f>""</f>
        <v/>
      </c>
    </row>
    <row r="4168" spans="1:97" x14ac:dyDescent="0.25">
      <c r="A4168" t="s">
        <v>3212</v>
      </c>
      <c r="B4168" t="s">
        <v>26436</v>
      </c>
      <c r="C4168" t="s">
        <v>489</v>
      </c>
      <c r="D4168" t="s">
        <v>26436</v>
      </c>
      <c r="E4168" t="s">
        <v>26437</v>
      </c>
      <c r="F4168" t="s">
        <v>108</v>
      </c>
      <c r="H4168" t="s">
        <v>26438</v>
      </c>
      <c r="I4168" t="s">
        <v>632</v>
      </c>
      <c r="J4168" t="s">
        <v>111</v>
      </c>
      <c r="K4168" t="str">
        <f>"85379"</f>
        <v>85379</v>
      </c>
      <c r="L4168" t="s">
        <v>454</v>
      </c>
      <c r="M4168" t="s">
        <v>26438</v>
      </c>
      <c r="N4168" t="s">
        <v>632</v>
      </c>
      <c r="O4168" t="s">
        <v>111</v>
      </c>
      <c r="P4168" t="str">
        <f>"85379-1003"</f>
        <v>85379-1003</v>
      </c>
      <c r="Q4168" t="s">
        <v>113</v>
      </c>
      <c r="R4168" t="str">
        <f>"501-46-442"</f>
        <v>501-46-442</v>
      </c>
      <c r="S4168" t="s">
        <v>5319</v>
      </c>
      <c r="U4168">
        <v>3060</v>
      </c>
      <c r="V4168">
        <v>0</v>
      </c>
      <c r="W4168">
        <v>3</v>
      </c>
      <c r="X4168">
        <v>2013</v>
      </c>
      <c r="Z4168">
        <v>2</v>
      </c>
      <c r="AB4168">
        <v>0</v>
      </c>
      <c r="AC4168" t="s">
        <v>115</v>
      </c>
      <c r="AD4168">
        <v>2</v>
      </c>
      <c r="AE4168" t="s">
        <v>115</v>
      </c>
      <c r="AF4168">
        <v>0</v>
      </c>
      <c r="AG4168">
        <v>0</v>
      </c>
      <c r="AH4168" t="s">
        <v>116</v>
      </c>
      <c r="AI4168" s="1">
        <v>59909</v>
      </c>
      <c r="AJ4168" s="2">
        <v>0.18</v>
      </c>
      <c r="AK4168" s="1">
        <v>341432</v>
      </c>
      <c r="AL4168" t="s">
        <v>117</v>
      </c>
      <c r="AM4168" t="s">
        <v>118</v>
      </c>
      <c r="AN4168">
        <v>6670</v>
      </c>
      <c r="AO4168">
        <v>0.15</v>
      </c>
      <c r="AR4168">
        <v>1</v>
      </c>
      <c r="AS4168" s="1">
        <v>22930</v>
      </c>
      <c r="AT4168" s="1">
        <v>4580</v>
      </c>
      <c r="AU4168" s="1">
        <v>18350</v>
      </c>
      <c r="AV4168">
        <v>80.03</v>
      </c>
      <c r="AX4168" s="1">
        <v>1913.88</v>
      </c>
      <c r="AY4168" t="s">
        <v>5060</v>
      </c>
      <c r="AZ4168" t="s">
        <v>5060</v>
      </c>
      <c r="BA4168" t="s">
        <v>5061</v>
      </c>
      <c r="BE4168" s="3">
        <v>41901</v>
      </c>
      <c r="BF4168" s="1">
        <v>272530</v>
      </c>
      <c r="BG4168" t="s">
        <v>1772</v>
      </c>
      <c r="BH4168" s="1">
        <v>89.06</v>
      </c>
      <c r="BI4168" s="1">
        <v>281523</v>
      </c>
      <c r="BJ4168" s="3">
        <v>41901</v>
      </c>
      <c r="BK4168" t="s">
        <v>123</v>
      </c>
      <c r="BL4168" t="str">
        <f>"2014.623392"</f>
        <v>2014.623392</v>
      </c>
      <c r="BM4168" t="s">
        <v>234</v>
      </c>
      <c r="BO4168" t="s">
        <v>26439</v>
      </c>
      <c r="BS4168">
        <v>30</v>
      </c>
      <c r="BW4168" t="str">
        <f>""</f>
        <v/>
      </c>
      <c r="CH4168" t="str">
        <f>""</f>
        <v/>
      </c>
      <c r="CS4168" t="str">
        <f>""</f>
        <v/>
      </c>
    </row>
    <row r="4169" spans="1:97" x14ac:dyDescent="0.25">
      <c r="A4169" t="s">
        <v>3926</v>
      </c>
      <c r="B4169" t="s">
        <v>26440</v>
      </c>
      <c r="C4169" t="s">
        <v>26441</v>
      </c>
      <c r="D4169" t="s">
        <v>26440</v>
      </c>
      <c r="E4169" t="s">
        <v>26442</v>
      </c>
      <c r="F4169" t="s">
        <v>108</v>
      </c>
      <c r="H4169" t="s">
        <v>26443</v>
      </c>
      <c r="I4169" t="s">
        <v>225</v>
      </c>
      <c r="J4169" t="s">
        <v>111</v>
      </c>
      <c r="K4169" t="str">
        <f>"85212"</f>
        <v>85212</v>
      </c>
      <c r="L4169" t="s">
        <v>3520</v>
      </c>
      <c r="M4169" t="s">
        <v>26443</v>
      </c>
      <c r="N4169" t="s">
        <v>225</v>
      </c>
      <c r="O4169" t="s">
        <v>111</v>
      </c>
      <c r="P4169" t="str">
        <f>"85212-1790"</f>
        <v>85212-1790</v>
      </c>
      <c r="Q4169" t="s">
        <v>113</v>
      </c>
      <c r="R4169" t="str">
        <f>"304-03-388"</f>
        <v>304-03-388</v>
      </c>
      <c r="S4169" t="s">
        <v>22792</v>
      </c>
      <c r="T4169" t="s">
        <v>22793</v>
      </c>
      <c r="U4169">
        <v>2105</v>
      </c>
      <c r="V4169">
        <v>0</v>
      </c>
      <c r="W4169">
        <v>3</v>
      </c>
      <c r="X4169">
        <v>2001</v>
      </c>
      <c r="Z4169">
        <v>1</v>
      </c>
      <c r="AA4169" t="s">
        <v>26</v>
      </c>
      <c r="AB4169">
        <v>0</v>
      </c>
      <c r="AC4169" t="s">
        <v>115</v>
      </c>
      <c r="AD4169">
        <v>2</v>
      </c>
      <c r="AE4169" t="s">
        <v>115</v>
      </c>
      <c r="AF4169">
        <v>0</v>
      </c>
      <c r="AG4169">
        <v>0</v>
      </c>
      <c r="AH4169" t="s">
        <v>116</v>
      </c>
      <c r="AI4169" s="1">
        <v>61040</v>
      </c>
      <c r="AJ4169" s="2">
        <v>0.18</v>
      </c>
      <c r="AK4169" s="1">
        <v>345115</v>
      </c>
      <c r="AL4169" t="s">
        <v>117</v>
      </c>
      <c r="AM4169" t="s">
        <v>191</v>
      </c>
      <c r="AN4169">
        <v>8060</v>
      </c>
      <c r="AO4169">
        <v>0.18</v>
      </c>
      <c r="AP4169">
        <v>1</v>
      </c>
      <c r="AR4169">
        <v>1</v>
      </c>
      <c r="AS4169" s="1">
        <v>23860</v>
      </c>
      <c r="AT4169" s="1">
        <v>4770</v>
      </c>
      <c r="AU4169" s="1">
        <v>19090</v>
      </c>
      <c r="AV4169">
        <v>80.010000000000005</v>
      </c>
      <c r="AX4169" s="1">
        <v>1666.68</v>
      </c>
      <c r="AY4169" t="s">
        <v>570</v>
      </c>
      <c r="AZ4169" t="s">
        <v>777</v>
      </c>
      <c r="BA4169" t="s">
        <v>572</v>
      </c>
      <c r="BE4169" s="3">
        <v>42341</v>
      </c>
      <c r="BF4169" s="1">
        <v>275000</v>
      </c>
      <c r="BG4169" t="s">
        <v>26444</v>
      </c>
      <c r="BH4169" s="1">
        <v>130.63999999999999</v>
      </c>
      <c r="BI4169" s="1">
        <v>284075</v>
      </c>
      <c r="BJ4169" s="3">
        <v>42341</v>
      </c>
      <c r="BK4169" t="s">
        <v>123</v>
      </c>
      <c r="BL4169" t="str">
        <f>"2015.859060"</f>
        <v>2015.859060</v>
      </c>
      <c r="BM4169" t="s">
        <v>5747</v>
      </c>
      <c r="BO4169" t="s">
        <v>26445</v>
      </c>
      <c r="BS4169">
        <v>30</v>
      </c>
      <c r="BW4169" t="str">
        <f>""</f>
        <v/>
      </c>
      <c r="CH4169" t="str">
        <f>""</f>
        <v/>
      </c>
      <c r="CS4169" t="str">
        <f>""</f>
        <v/>
      </c>
    </row>
    <row r="4170" spans="1:97" x14ac:dyDescent="0.25">
      <c r="A4170" t="s">
        <v>3613</v>
      </c>
      <c r="B4170" t="s">
        <v>26446</v>
      </c>
      <c r="E4170" t="s">
        <v>26447</v>
      </c>
      <c r="F4170" t="s">
        <v>108</v>
      </c>
      <c r="H4170" t="s">
        <v>26448</v>
      </c>
      <c r="I4170" t="s">
        <v>3150</v>
      </c>
      <c r="J4170" t="s">
        <v>111</v>
      </c>
      <c r="K4170" t="str">
        <f>"85340"</f>
        <v>85340</v>
      </c>
      <c r="L4170" t="s">
        <v>2197</v>
      </c>
      <c r="M4170" t="s">
        <v>26448</v>
      </c>
      <c r="N4170" t="s">
        <v>3150</v>
      </c>
      <c r="O4170" t="s">
        <v>111</v>
      </c>
      <c r="P4170" t="str">
        <f>"85340-7380"</f>
        <v>85340-7380</v>
      </c>
      <c r="Q4170" t="s">
        <v>113</v>
      </c>
      <c r="R4170" t="str">
        <f>"501-62-087"</f>
        <v>501-62-087</v>
      </c>
      <c r="S4170" t="s">
        <v>11950</v>
      </c>
      <c r="U4170">
        <v>2205</v>
      </c>
      <c r="V4170">
        <v>0</v>
      </c>
      <c r="W4170">
        <v>3</v>
      </c>
      <c r="X4170">
        <v>2002</v>
      </c>
      <c r="Z4170">
        <v>1</v>
      </c>
      <c r="AA4170" t="s">
        <v>26</v>
      </c>
      <c r="AB4170">
        <v>0</v>
      </c>
      <c r="AC4170" t="s">
        <v>115</v>
      </c>
      <c r="AD4170">
        <v>3</v>
      </c>
      <c r="AE4170" t="s">
        <v>115</v>
      </c>
      <c r="AF4170">
        <v>0</v>
      </c>
      <c r="AG4170">
        <v>0</v>
      </c>
      <c r="AH4170" t="s">
        <v>116</v>
      </c>
      <c r="AI4170" s="1">
        <v>55419</v>
      </c>
      <c r="AJ4170" s="2">
        <v>0.18</v>
      </c>
      <c r="AK4170" s="1">
        <v>315901</v>
      </c>
      <c r="AL4170" t="s">
        <v>117</v>
      </c>
      <c r="AM4170" t="s">
        <v>171</v>
      </c>
      <c r="AN4170">
        <v>7760</v>
      </c>
      <c r="AO4170">
        <v>0.18</v>
      </c>
      <c r="AP4170">
        <v>1</v>
      </c>
      <c r="AR4170">
        <v>1</v>
      </c>
      <c r="AS4170" s="1">
        <v>21620</v>
      </c>
      <c r="AT4170" s="1">
        <v>4320</v>
      </c>
      <c r="AU4170" s="1">
        <v>17300</v>
      </c>
      <c r="AV4170">
        <v>80.02</v>
      </c>
      <c r="AX4170" s="1">
        <v>1844.74</v>
      </c>
      <c r="AY4170" t="s">
        <v>6580</v>
      </c>
      <c r="AZ4170" t="s">
        <v>3153</v>
      </c>
      <c r="BA4170" t="s">
        <v>3154</v>
      </c>
      <c r="BE4170" s="3">
        <v>41842</v>
      </c>
      <c r="BF4170" s="1">
        <v>255000</v>
      </c>
      <c r="BG4170" t="s">
        <v>26449</v>
      </c>
      <c r="BH4170" s="1">
        <v>115.65</v>
      </c>
      <c r="BI4170" s="1">
        <v>260482</v>
      </c>
      <c r="BJ4170" s="3">
        <v>41842</v>
      </c>
      <c r="BK4170" t="s">
        <v>123</v>
      </c>
      <c r="BL4170" t="str">
        <f>"2014.479656"</f>
        <v>2014.479656</v>
      </c>
      <c r="BM4170" t="s">
        <v>475</v>
      </c>
      <c r="BO4170" t="s">
        <v>26450</v>
      </c>
      <c r="BS4170">
        <v>30</v>
      </c>
      <c r="BW4170" t="str">
        <f>""</f>
        <v/>
      </c>
      <c r="CH4170" t="str">
        <f>""</f>
        <v/>
      </c>
      <c r="CS4170" t="str">
        <f>""</f>
        <v/>
      </c>
    </row>
    <row r="4171" spans="1:97" x14ac:dyDescent="0.25">
      <c r="A4171" t="s">
        <v>13625</v>
      </c>
      <c r="B4171" t="s">
        <v>26451</v>
      </c>
      <c r="C4171" t="s">
        <v>639</v>
      </c>
      <c r="D4171" t="s">
        <v>26451</v>
      </c>
      <c r="E4171" t="s">
        <v>26452</v>
      </c>
      <c r="F4171" t="s">
        <v>108</v>
      </c>
      <c r="H4171" t="s">
        <v>26453</v>
      </c>
      <c r="I4171" t="s">
        <v>5523</v>
      </c>
      <c r="J4171" t="s">
        <v>111</v>
      </c>
      <c r="K4171" t="str">
        <f>"85373"</f>
        <v>85373</v>
      </c>
      <c r="L4171" t="s">
        <v>5524</v>
      </c>
      <c r="M4171" t="s">
        <v>26453</v>
      </c>
      <c r="N4171" t="s">
        <v>5523</v>
      </c>
      <c r="O4171" t="s">
        <v>111</v>
      </c>
      <c r="P4171" t="str">
        <f>"85373-5672"</f>
        <v>85373-5672</v>
      </c>
      <c r="Q4171" t="s">
        <v>113</v>
      </c>
      <c r="R4171" t="str">
        <f>"503-88-852"</f>
        <v>503-88-852</v>
      </c>
      <c r="S4171" t="s">
        <v>5525</v>
      </c>
      <c r="T4171" t="s">
        <v>5526</v>
      </c>
      <c r="U4171">
        <v>2230</v>
      </c>
      <c r="V4171">
        <v>0</v>
      </c>
      <c r="W4171">
        <v>4</v>
      </c>
      <c r="X4171">
        <v>2014</v>
      </c>
      <c r="Z4171">
        <v>1</v>
      </c>
      <c r="AB4171">
        <v>0</v>
      </c>
      <c r="AC4171" t="s">
        <v>115</v>
      </c>
      <c r="AD4171">
        <v>2</v>
      </c>
      <c r="AE4171" t="s">
        <v>115</v>
      </c>
      <c r="AF4171">
        <v>0</v>
      </c>
      <c r="AG4171">
        <v>0</v>
      </c>
      <c r="AH4171" t="s">
        <v>116</v>
      </c>
      <c r="AI4171" s="1">
        <v>-2204</v>
      </c>
      <c r="AJ4171" s="2">
        <v>-0.01</v>
      </c>
      <c r="AK4171" s="1">
        <v>308485</v>
      </c>
      <c r="AL4171" t="s">
        <v>117</v>
      </c>
      <c r="AM4171" t="s">
        <v>191</v>
      </c>
      <c r="AN4171">
        <v>5750</v>
      </c>
      <c r="AO4171">
        <v>0.13</v>
      </c>
      <c r="AR4171">
        <v>1</v>
      </c>
      <c r="AS4171" s="1">
        <v>22830</v>
      </c>
      <c r="AT4171" s="1">
        <v>4560</v>
      </c>
      <c r="AU4171" s="1">
        <v>18270</v>
      </c>
      <c r="AV4171">
        <v>80.03</v>
      </c>
      <c r="AX4171" s="1">
        <v>2223.56</v>
      </c>
      <c r="AY4171" t="s">
        <v>3228</v>
      </c>
      <c r="AZ4171" t="s">
        <v>3228</v>
      </c>
      <c r="BA4171" t="s">
        <v>457</v>
      </c>
      <c r="BE4171" s="3">
        <v>41820</v>
      </c>
      <c r="BF4171" s="1">
        <v>304184</v>
      </c>
      <c r="BG4171" t="s">
        <v>2199</v>
      </c>
      <c r="BH4171" s="1">
        <v>136.41</v>
      </c>
      <c r="BI4171" s="1">
        <v>310689</v>
      </c>
      <c r="BJ4171" s="3">
        <v>41820</v>
      </c>
      <c r="BK4171" t="s">
        <v>123</v>
      </c>
      <c r="BL4171" t="str">
        <f>"2014.426422"</f>
        <v>2014.426422</v>
      </c>
      <c r="BM4171" t="s">
        <v>2245</v>
      </c>
      <c r="BO4171" t="s">
        <v>26454</v>
      </c>
      <c r="BS4171">
        <v>30</v>
      </c>
      <c r="BW4171" t="str">
        <f>""</f>
        <v/>
      </c>
      <c r="CH4171" t="str">
        <f>""</f>
        <v/>
      </c>
      <c r="CS4171" t="str">
        <f>""</f>
        <v/>
      </c>
    </row>
    <row r="4172" spans="1:97" x14ac:dyDescent="0.25">
      <c r="A4172" t="s">
        <v>140</v>
      </c>
      <c r="B4172" t="s">
        <v>565</v>
      </c>
      <c r="C4172" t="s">
        <v>3862</v>
      </c>
      <c r="D4172" t="s">
        <v>565</v>
      </c>
      <c r="E4172" t="s">
        <v>26455</v>
      </c>
      <c r="F4172" t="s">
        <v>108</v>
      </c>
      <c r="H4172" t="s">
        <v>26456</v>
      </c>
      <c r="I4172" t="s">
        <v>499</v>
      </c>
      <c r="J4172" t="s">
        <v>111</v>
      </c>
      <c r="K4172" t="str">
        <f>"85338"</f>
        <v>85338</v>
      </c>
      <c r="L4172" t="s">
        <v>6788</v>
      </c>
      <c r="M4172" t="s">
        <v>26456</v>
      </c>
      <c r="N4172" t="s">
        <v>499</v>
      </c>
      <c r="O4172" t="s">
        <v>111</v>
      </c>
      <c r="P4172" t="str">
        <f>"85338-1813"</f>
        <v>85338-1813</v>
      </c>
      <c r="Q4172" t="s">
        <v>113</v>
      </c>
      <c r="R4172" t="str">
        <f>"502-46-189"</f>
        <v>502-46-189</v>
      </c>
      <c r="S4172" t="s">
        <v>6789</v>
      </c>
      <c r="T4172" t="s">
        <v>6789</v>
      </c>
      <c r="U4172">
        <v>2342</v>
      </c>
      <c r="V4172">
        <v>0</v>
      </c>
      <c r="W4172">
        <v>2</v>
      </c>
      <c r="X4172">
        <v>2014</v>
      </c>
      <c r="Z4172">
        <v>1</v>
      </c>
      <c r="AB4172">
        <v>0</v>
      </c>
      <c r="AC4172" t="s">
        <v>115</v>
      </c>
      <c r="AD4172">
        <v>2</v>
      </c>
      <c r="AE4172" t="s">
        <v>115</v>
      </c>
      <c r="AF4172">
        <v>0</v>
      </c>
      <c r="AG4172">
        <v>0</v>
      </c>
      <c r="AH4172" t="s">
        <v>116</v>
      </c>
      <c r="AI4172" s="1">
        <v>73942</v>
      </c>
      <c r="AJ4172" s="2">
        <v>0.24</v>
      </c>
      <c r="AK4172" s="1">
        <v>303942</v>
      </c>
      <c r="AL4172" t="s">
        <v>117</v>
      </c>
      <c r="AM4172" t="s">
        <v>118</v>
      </c>
      <c r="AN4172">
        <v>6374</v>
      </c>
      <c r="AO4172">
        <v>0.15</v>
      </c>
      <c r="AR4172">
        <v>1</v>
      </c>
      <c r="AS4172" s="1">
        <v>21680</v>
      </c>
      <c r="AT4172" s="1">
        <v>4330</v>
      </c>
      <c r="AU4172" s="1">
        <v>17350</v>
      </c>
      <c r="AV4172">
        <v>80.03</v>
      </c>
      <c r="AX4172" s="1">
        <v>1652.46</v>
      </c>
      <c r="AY4172" t="s">
        <v>6790</v>
      </c>
      <c r="AZ4172" t="s">
        <v>6790</v>
      </c>
      <c r="BA4172" t="s">
        <v>218</v>
      </c>
      <c r="BE4172" s="3">
        <v>41912</v>
      </c>
      <c r="BF4172" s="1">
        <v>234500</v>
      </c>
      <c r="BG4172" t="s">
        <v>233</v>
      </c>
      <c r="BH4172" s="1">
        <v>100.13</v>
      </c>
      <c r="BI4172" s="1">
        <v>230000</v>
      </c>
      <c r="BJ4172" s="3">
        <v>41912</v>
      </c>
      <c r="BK4172" t="s">
        <v>123</v>
      </c>
      <c r="BL4172" t="str">
        <f>"2014.649031"</f>
        <v>2014.649031</v>
      </c>
      <c r="BM4172" t="s">
        <v>234</v>
      </c>
      <c r="BO4172" t="s">
        <v>26457</v>
      </c>
      <c r="BS4172">
        <v>30</v>
      </c>
      <c r="BW4172" t="str">
        <f>""</f>
        <v/>
      </c>
      <c r="CH4172" t="str">
        <f>""</f>
        <v/>
      </c>
      <c r="CS4172" t="str">
        <f>""</f>
        <v/>
      </c>
    </row>
    <row r="4173" spans="1:97" x14ac:dyDescent="0.25">
      <c r="A4173" t="s">
        <v>815</v>
      </c>
      <c r="B4173" t="s">
        <v>26458</v>
      </c>
      <c r="C4173" t="s">
        <v>365</v>
      </c>
      <c r="D4173" t="s">
        <v>26458</v>
      </c>
      <c r="E4173" t="s">
        <v>26459</v>
      </c>
      <c r="F4173" t="s">
        <v>108</v>
      </c>
      <c r="H4173" t="s">
        <v>26460</v>
      </c>
      <c r="I4173" t="s">
        <v>2874</v>
      </c>
      <c r="J4173" t="s">
        <v>111</v>
      </c>
      <c r="K4173" t="str">
        <f>"85304"</f>
        <v>85304</v>
      </c>
      <c r="L4173" t="s">
        <v>5308</v>
      </c>
      <c r="M4173" t="s">
        <v>26460</v>
      </c>
      <c r="N4173" t="s">
        <v>2874</v>
      </c>
      <c r="O4173" t="s">
        <v>111</v>
      </c>
      <c r="P4173" t="str">
        <f>"85304-3033"</f>
        <v>85304-3033</v>
      </c>
      <c r="Q4173" t="s">
        <v>113</v>
      </c>
      <c r="R4173" t="str">
        <f>"148-01-352"</f>
        <v>148-01-352</v>
      </c>
      <c r="S4173" t="s">
        <v>26461</v>
      </c>
      <c r="T4173" t="s">
        <v>10886</v>
      </c>
      <c r="U4173">
        <v>1953</v>
      </c>
      <c r="V4173">
        <v>0</v>
      </c>
      <c r="W4173">
        <v>3</v>
      </c>
      <c r="X4173">
        <v>1972</v>
      </c>
      <c r="Z4173">
        <v>1</v>
      </c>
      <c r="AB4173">
        <v>0</v>
      </c>
      <c r="AC4173" t="s">
        <v>115</v>
      </c>
      <c r="AD4173">
        <v>2</v>
      </c>
      <c r="AE4173" t="s">
        <v>115</v>
      </c>
      <c r="AF4173">
        <v>0</v>
      </c>
      <c r="AG4173">
        <v>0</v>
      </c>
      <c r="AH4173" t="s">
        <v>116</v>
      </c>
      <c r="AI4173" s="1">
        <v>2011</v>
      </c>
      <c r="AJ4173" s="2">
        <v>0.01</v>
      </c>
      <c r="AK4173" s="1">
        <v>263876</v>
      </c>
      <c r="AL4173" t="s">
        <v>117</v>
      </c>
      <c r="AM4173" t="s">
        <v>191</v>
      </c>
      <c r="AN4173">
        <v>8756</v>
      </c>
      <c r="AO4173">
        <v>0.2</v>
      </c>
      <c r="AP4173">
        <v>1</v>
      </c>
      <c r="AR4173">
        <v>1</v>
      </c>
      <c r="AS4173" s="1">
        <v>17120</v>
      </c>
      <c r="AT4173" s="1">
        <v>3420</v>
      </c>
      <c r="AU4173" s="1">
        <v>13700</v>
      </c>
      <c r="AV4173">
        <v>80.02</v>
      </c>
      <c r="AX4173" s="1">
        <v>1217.8599999999999</v>
      </c>
      <c r="AY4173" t="s">
        <v>10887</v>
      </c>
      <c r="AZ4173" t="s">
        <v>6986</v>
      </c>
      <c r="BA4173" t="s">
        <v>10888</v>
      </c>
      <c r="BB4173" s="3">
        <v>43605</v>
      </c>
      <c r="BC4173" s="1">
        <v>0</v>
      </c>
      <c r="BD4173" t="s">
        <v>247</v>
      </c>
      <c r="BE4173" s="3">
        <v>41976</v>
      </c>
      <c r="BF4173" s="1">
        <v>199000</v>
      </c>
      <c r="BG4173" t="s">
        <v>26462</v>
      </c>
      <c r="BH4173" s="1">
        <v>101.89</v>
      </c>
      <c r="BI4173" s="1">
        <v>261865</v>
      </c>
      <c r="BJ4173" s="3">
        <v>43605</v>
      </c>
      <c r="BK4173" t="s">
        <v>123</v>
      </c>
      <c r="BL4173" t="str">
        <f>"2019.308140"</f>
        <v>2019.308140</v>
      </c>
      <c r="BM4173" t="s">
        <v>16040</v>
      </c>
      <c r="BN4173" t="s">
        <v>13886</v>
      </c>
      <c r="BO4173" t="s">
        <v>26463</v>
      </c>
      <c r="BP4173" t="s">
        <v>26464</v>
      </c>
      <c r="BR4173" t="s">
        <v>139</v>
      </c>
      <c r="BT4173" s="1">
        <v>261865</v>
      </c>
      <c r="BU4173" s="3">
        <v>43605</v>
      </c>
      <c r="BV4173" t="s">
        <v>123</v>
      </c>
      <c r="BW4173" t="str">
        <f>"2019.308140"</f>
        <v>2019.308140</v>
      </c>
      <c r="BX4173" t="s">
        <v>16040</v>
      </c>
      <c r="BY4173" t="s">
        <v>13886</v>
      </c>
      <c r="BZ4173" t="s">
        <v>26463</v>
      </c>
      <c r="CA4173" t="s">
        <v>26464</v>
      </c>
      <c r="CC4173" t="s">
        <v>139</v>
      </c>
      <c r="CH4173" t="str">
        <f>""</f>
        <v/>
      </c>
      <c r="CS4173" t="str">
        <f>""</f>
        <v/>
      </c>
    </row>
    <row r="4174" spans="1:97" x14ac:dyDescent="0.25">
      <c r="A4174" t="s">
        <v>3089</v>
      </c>
      <c r="B4174" t="s">
        <v>26465</v>
      </c>
      <c r="C4174" t="s">
        <v>767</v>
      </c>
      <c r="D4174" t="s">
        <v>26465</v>
      </c>
      <c r="E4174" t="s">
        <v>26466</v>
      </c>
      <c r="F4174" t="s">
        <v>108</v>
      </c>
      <c r="H4174" t="s">
        <v>26467</v>
      </c>
      <c r="I4174" t="s">
        <v>5114</v>
      </c>
      <c r="J4174" t="s">
        <v>111</v>
      </c>
      <c r="K4174" t="str">
        <f>"85323"</f>
        <v>85323</v>
      </c>
      <c r="L4174" t="s">
        <v>189</v>
      </c>
      <c r="M4174" t="s">
        <v>26467</v>
      </c>
      <c r="N4174" t="s">
        <v>5114</v>
      </c>
      <c r="O4174" t="s">
        <v>111</v>
      </c>
      <c r="P4174" t="str">
        <f>"85323-3306"</f>
        <v>85323-3306</v>
      </c>
      <c r="Q4174" t="s">
        <v>113</v>
      </c>
      <c r="R4174" t="str">
        <f>"101-01-668"</f>
        <v>101-01-668</v>
      </c>
      <c r="S4174" t="s">
        <v>9031</v>
      </c>
      <c r="T4174" t="s">
        <v>9032</v>
      </c>
      <c r="U4174">
        <v>3035</v>
      </c>
      <c r="V4174">
        <v>0</v>
      </c>
      <c r="W4174">
        <v>4</v>
      </c>
      <c r="X4174">
        <v>2006</v>
      </c>
      <c r="Z4174">
        <v>2</v>
      </c>
      <c r="AA4174" t="s">
        <v>26</v>
      </c>
      <c r="AB4174">
        <v>0</v>
      </c>
      <c r="AC4174" t="s">
        <v>115</v>
      </c>
      <c r="AD4174">
        <v>2</v>
      </c>
      <c r="AE4174" t="s">
        <v>115</v>
      </c>
      <c r="AF4174">
        <v>0</v>
      </c>
      <c r="AG4174">
        <v>0</v>
      </c>
      <c r="AH4174" t="s">
        <v>116</v>
      </c>
      <c r="AI4174" s="1">
        <v>78573</v>
      </c>
      <c r="AJ4174" s="2">
        <v>0.24</v>
      </c>
      <c r="AK4174" s="1">
        <v>326493</v>
      </c>
      <c r="AL4174" t="s">
        <v>117</v>
      </c>
      <c r="AM4174" t="s">
        <v>118</v>
      </c>
      <c r="AN4174">
        <v>7715</v>
      </c>
      <c r="AO4174">
        <v>0.18</v>
      </c>
      <c r="AR4174">
        <v>1</v>
      </c>
      <c r="AS4174" s="1">
        <v>24360</v>
      </c>
      <c r="AT4174" s="1">
        <v>4870</v>
      </c>
      <c r="AU4174" s="1">
        <v>19490</v>
      </c>
      <c r="AV4174">
        <v>80.010000000000005</v>
      </c>
      <c r="AX4174" s="1">
        <v>2423.4</v>
      </c>
      <c r="AY4174" t="s">
        <v>9033</v>
      </c>
      <c r="AZ4174" t="s">
        <v>9033</v>
      </c>
      <c r="BA4174" t="s">
        <v>4254</v>
      </c>
      <c r="BE4174" s="3">
        <v>42277</v>
      </c>
      <c r="BF4174" s="1">
        <v>240000</v>
      </c>
      <c r="BG4174" t="s">
        <v>26468</v>
      </c>
      <c r="BH4174" s="1">
        <v>79.08</v>
      </c>
      <c r="BI4174" s="1">
        <v>247920</v>
      </c>
      <c r="BJ4174" s="3">
        <v>42277</v>
      </c>
      <c r="BK4174" t="s">
        <v>123</v>
      </c>
      <c r="BL4174" t="str">
        <f>"2015.706730"</f>
        <v>2015.706730</v>
      </c>
      <c r="BM4174" t="s">
        <v>1185</v>
      </c>
      <c r="BO4174" t="s">
        <v>26469</v>
      </c>
      <c r="BS4174">
        <v>30</v>
      </c>
      <c r="BW4174" t="str">
        <f>""</f>
        <v/>
      </c>
      <c r="CH4174" t="str">
        <f>""</f>
        <v/>
      </c>
      <c r="CS4174" t="str">
        <f>""</f>
        <v/>
      </c>
    </row>
    <row r="4175" spans="1:97" x14ac:dyDescent="0.25">
      <c r="A4175" t="s">
        <v>3089</v>
      </c>
      <c r="B4175" t="s">
        <v>18137</v>
      </c>
      <c r="C4175" t="s">
        <v>16622</v>
      </c>
      <c r="D4175" t="s">
        <v>18137</v>
      </c>
      <c r="E4175" t="s">
        <v>26470</v>
      </c>
      <c r="F4175" t="s">
        <v>108</v>
      </c>
      <c r="H4175" t="s">
        <v>26471</v>
      </c>
      <c r="I4175" t="s">
        <v>390</v>
      </c>
      <c r="J4175" t="s">
        <v>111</v>
      </c>
      <c r="K4175" t="str">
        <f>"85041"</f>
        <v>85041</v>
      </c>
      <c r="L4175" t="s">
        <v>6891</v>
      </c>
      <c r="M4175" t="s">
        <v>26471</v>
      </c>
      <c r="N4175" t="s">
        <v>390</v>
      </c>
      <c r="O4175" t="s">
        <v>111</v>
      </c>
      <c r="P4175" t="str">
        <f>"85041-7408"</f>
        <v>85041-7408</v>
      </c>
      <c r="Q4175" t="s">
        <v>113</v>
      </c>
      <c r="R4175" t="str">
        <f>"105-68-473"</f>
        <v>105-68-473</v>
      </c>
      <c r="S4175" t="s">
        <v>9806</v>
      </c>
      <c r="T4175" t="s">
        <v>9806</v>
      </c>
      <c r="U4175">
        <v>2072</v>
      </c>
      <c r="V4175">
        <v>0</v>
      </c>
      <c r="W4175">
        <v>3</v>
      </c>
      <c r="X4175">
        <v>2016</v>
      </c>
      <c r="Z4175">
        <v>1</v>
      </c>
      <c r="AB4175">
        <v>0</v>
      </c>
      <c r="AC4175" t="s">
        <v>115</v>
      </c>
      <c r="AD4175">
        <v>2</v>
      </c>
      <c r="AE4175" t="s">
        <v>115</v>
      </c>
      <c r="AF4175">
        <v>0</v>
      </c>
      <c r="AG4175">
        <v>0</v>
      </c>
      <c r="AH4175" t="s">
        <v>116</v>
      </c>
      <c r="AI4175" s="1">
        <v>34147</v>
      </c>
      <c r="AJ4175" s="2">
        <v>0.12</v>
      </c>
      <c r="AK4175" s="1">
        <v>273678</v>
      </c>
      <c r="AL4175" t="s">
        <v>117</v>
      </c>
      <c r="AM4175" t="s">
        <v>171</v>
      </c>
      <c r="AN4175">
        <v>6011</v>
      </c>
      <c r="AO4175">
        <v>0.14000000000000001</v>
      </c>
      <c r="AR4175">
        <v>1</v>
      </c>
      <c r="AS4175" s="1">
        <v>19200</v>
      </c>
      <c r="AT4175" s="1">
        <v>3840</v>
      </c>
      <c r="AU4175" s="1">
        <v>15360</v>
      </c>
      <c r="AV4175">
        <v>80</v>
      </c>
      <c r="AX4175" s="1">
        <v>2337.2800000000002</v>
      </c>
      <c r="AY4175" t="s">
        <v>5220</v>
      </c>
      <c r="AZ4175" t="s">
        <v>5220</v>
      </c>
      <c r="BA4175" t="s">
        <v>1661</v>
      </c>
      <c r="BE4175" s="3">
        <v>42452</v>
      </c>
      <c r="BF4175" s="1">
        <v>218266</v>
      </c>
      <c r="BG4175" t="s">
        <v>9807</v>
      </c>
      <c r="BH4175" s="1">
        <v>105.34</v>
      </c>
      <c r="BI4175" s="1">
        <v>239531</v>
      </c>
      <c r="BJ4175" s="3">
        <v>42738</v>
      </c>
      <c r="BK4175" t="s">
        <v>123</v>
      </c>
      <c r="BL4175" t="str">
        <f>"2017.2029"</f>
        <v>2017.2029</v>
      </c>
      <c r="BM4175" t="s">
        <v>4843</v>
      </c>
      <c r="BO4175" t="s">
        <v>26472</v>
      </c>
      <c r="BQ4175" t="str">
        <f>"2.2500%"</f>
        <v>2.2500%</v>
      </c>
      <c r="BR4175" t="s">
        <v>1480</v>
      </c>
      <c r="BS4175">
        <v>30</v>
      </c>
      <c r="BW4175" t="str">
        <f>""</f>
        <v/>
      </c>
      <c r="CH4175" t="str">
        <f>""</f>
        <v/>
      </c>
      <c r="CS4175" t="str">
        <f>""</f>
        <v/>
      </c>
    </row>
    <row r="4176" spans="1:97" x14ac:dyDescent="0.25">
      <c r="A4176" t="s">
        <v>6763</v>
      </c>
      <c r="B4176" t="s">
        <v>26473</v>
      </c>
      <c r="C4176" t="s">
        <v>970</v>
      </c>
      <c r="D4176" t="s">
        <v>26473</v>
      </c>
      <c r="E4176" t="s">
        <v>26474</v>
      </c>
      <c r="F4176" t="s">
        <v>108</v>
      </c>
      <c r="H4176" t="s">
        <v>26475</v>
      </c>
      <c r="I4176" t="s">
        <v>225</v>
      </c>
      <c r="J4176" t="s">
        <v>111</v>
      </c>
      <c r="K4176" t="str">
        <f>"85207"</f>
        <v>85207</v>
      </c>
      <c r="L4176" t="s">
        <v>6308</v>
      </c>
      <c r="M4176" t="s">
        <v>26475</v>
      </c>
      <c r="N4176" t="s">
        <v>225</v>
      </c>
      <c r="O4176" t="s">
        <v>111</v>
      </c>
      <c r="P4176" t="str">
        <f>"85207-6614"</f>
        <v>85207-6614</v>
      </c>
      <c r="Q4176" t="s">
        <v>113</v>
      </c>
      <c r="R4176" t="str">
        <f>"218-08-347"</f>
        <v>218-08-347</v>
      </c>
      <c r="S4176" t="s">
        <v>6559</v>
      </c>
      <c r="T4176" t="s">
        <v>6559</v>
      </c>
      <c r="U4176">
        <v>1932</v>
      </c>
      <c r="V4176">
        <v>0</v>
      </c>
      <c r="W4176">
        <v>3</v>
      </c>
      <c r="X4176">
        <v>1995</v>
      </c>
      <c r="Z4176">
        <v>1</v>
      </c>
      <c r="AA4176" t="s">
        <v>26</v>
      </c>
      <c r="AB4176">
        <v>0</v>
      </c>
      <c r="AC4176" t="s">
        <v>115</v>
      </c>
      <c r="AD4176">
        <v>3</v>
      </c>
      <c r="AE4176" t="s">
        <v>115</v>
      </c>
      <c r="AF4176">
        <v>0</v>
      </c>
      <c r="AG4176">
        <v>0</v>
      </c>
      <c r="AH4176" t="s">
        <v>116</v>
      </c>
      <c r="AI4176" s="1">
        <v>55819</v>
      </c>
      <c r="AJ4176" s="2">
        <v>0.17</v>
      </c>
      <c r="AK4176" s="1">
        <v>326968</v>
      </c>
      <c r="AL4176" t="s">
        <v>117</v>
      </c>
      <c r="AM4176" t="s">
        <v>393</v>
      </c>
      <c r="AN4176">
        <v>7684</v>
      </c>
      <c r="AO4176">
        <v>0.18</v>
      </c>
      <c r="AP4176">
        <v>1</v>
      </c>
      <c r="AR4176">
        <v>1</v>
      </c>
      <c r="AS4176" s="1">
        <v>22460</v>
      </c>
      <c r="AT4176" s="1">
        <v>4490</v>
      </c>
      <c r="AU4176" s="1">
        <v>17970</v>
      </c>
      <c r="AV4176">
        <v>80.010000000000005</v>
      </c>
      <c r="AX4176" s="1">
        <v>1660.38</v>
      </c>
      <c r="AY4176" t="s">
        <v>4567</v>
      </c>
      <c r="AZ4176" t="s">
        <v>231</v>
      </c>
      <c r="BA4176" t="s">
        <v>3119</v>
      </c>
      <c r="BE4176" s="3">
        <v>41981</v>
      </c>
      <c r="BF4176" s="1">
        <v>262000</v>
      </c>
      <c r="BG4176" t="s">
        <v>26476</v>
      </c>
      <c r="BH4176" s="1">
        <v>135.61000000000001</v>
      </c>
      <c r="BI4176" s="1">
        <v>271149</v>
      </c>
      <c r="BJ4176" s="3">
        <v>43151</v>
      </c>
      <c r="BK4176" t="s">
        <v>123</v>
      </c>
      <c r="BL4176" t="str">
        <f>"2018.124009"</f>
        <v>2018.124009</v>
      </c>
      <c r="BM4176" t="s">
        <v>248</v>
      </c>
      <c r="BN4176" t="s">
        <v>249</v>
      </c>
      <c r="BO4176" t="s">
        <v>26477</v>
      </c>
      <c r="BP4176" t="s">
        <v>26478</v>
      </c>
      <c r="BR4176" t="s">
        <v>139</v>
      </c>
      <c r="BW4176" t="str">
        <f>""</f>
        <v/>
      </c>
      <c r="CH4176" t="str">
        <f>""</f>
        <v/>
      </c>
      <c r="CS4176" t="str">
        <f>""</f>
        <v/>
      </c>
    </row>
    <row r="4177" spans="1:97" x14ac:dyDescent="0.25">
      <c r="A4177" t="s">
        <v>7562</v>
      </c>
      <c r="B4177" t="s">
        <v>3333</v>
      </c>
      <c r="E4177" t="s">
        <v>26479</v>
      </c>
      <c r="F4177" t="s">
        <v>108</v>
      </c>
      <c r="H4177" t="s">
        <v>26480</v>
      </c>
      <c r="I4177" t="s">
        <v>203</v>
      </c>
      <c r="J4177" t="s">
        <v>111</v>
      </c>
      <c r="K4177" t="str">
        <f>"85297"</f>
        <v>85297</v>
      </c>
      <c r="L4177" t="s">
        <v>5893</v>
      </c>
      <c r="M4177" t="s">
        <v>26480</v>
      </c>
      <c r="N4177" t="s">
        <v>203</v>
      </c>
      <c r="O4177" t="s">
        <v>111</v>
      </c>
      <c r="P4177" t="str">
        <f>"85297-6655"</f>
        <v>85297-6655</v>
      </c>
      <c r="Q4177" t="s">
        <v>113</v>
      </c>
      <c r="R4177" t="str">
        <f>"313-01-905"</f>
        <v>313-01-905</v>
      </c>
      <c r="S4177" t="s">
        <v>19697</v>
      </c>
      <c r="T4177" t="s">
        <v>19698</v>
      </c>
      <c r="U4177">
        <v>2052</v>
      </c>
      <c r="V4177">
        <v>0</v>
      </c>
      <c r="W4177">
        <v>3</v>
      </c>
      <c r="X4177">
        <v>2002</v>
      </c>
      <c r="Z4177">
        <v>1</v>
      </c>
      <c r="AA4177" t="s">
        <v>26</v>
      </c>
      <c r="AB4177">
        <v>0</v>
      </c>
      <c r="AC4177" t="s">
        <v>115</v>
      </c>
      <c r="AD4177">
        <v>2</v>
      </c>
      <c r="AE4177" t="s">
        <v>115</v>
      </c>
      <c r="AF4177">
        <v>0</v>
      </c>
      <c r="AG4177">
        <v>0</v>
      </c>
      <c r="AH4177" t="s">
        <v>116</v>
      </c>
      <c r="AI4177" s="1">
        <v>73055</v>
      </c>
      <c r="AJ4177" s="2">
        <v>0.2</v>
      </c>
      <c r="AK4177" s="1">
        <v>361755</v>
      </c>
      <c r="AL4177" t="s">
        <v>117</v>
      </c>
      <c r="AM4177" t="s">
        <v>191</v>
      </c>
      <c r="AN4177">
        <v>8200</v>
      </c>
      <c r="AO4177">
        <v>0.19</v>
      </c>
      <c r="AP4177">
        <v>1</v>
      </c>
      <c r="AR4177">
        <v>1</v>
      </c>
      <c r="AS4177" s="1">
        <v>25110</v>
      </c>
      <c r="AT4177" s="1">
        <v>5020</v>
      </c>
      <c r="AU4177" s="1">
        <v>20090</v>
      </c>
      <c r="AV4177">
        <v>80.010000000000005</v>
      </c>
      <c r="AX4177" s="1">
        <v>2397.3200000000002</v>
      </c>
      <c r="AY4177" t="s">
        <v>289</v>
      </c>
      <c r="AZ4177" t="s">
        <v>289</v>
      </c>
      <c r="BA4177" t="s">
        <v>290</v>
      </c>
      <c r="BE4177" s="3">
        <v>42125</v>
      </c>
      <c r="BF4177" s="1">
        <v>289900</v>
      </c>
      <c r="BG4177" t="s">
        <v>26481</v>
      </c>
      <c r="BH4177" s="1">
        <v>141.28</v>
      </c>
      <c r="BI4177" s="1">
        <v>288700</v>
      </c>
      <c r="BJ4177" s="3">
        <v>42125</v>
      </c>
      <c r="BK4177" t="s">
        <v>123</v>
      </c>
      <c r="BL4177" t="str">
        <f>"2015.308324"</f>
        <v>2015.308324</v>
      </c>
      <c r="BM4177" t="s">
        <v>709</v>
      </c>
      <c r="BO4177" t="s">
        <v>26482</v>
      </c>
      <c r="BS4177">
        <v>30</v>
      </c>
      <c r="BW4177" t="str">
        <f>""</f>
        <v/>
      </c>
      <c r="CH4177" t="str">
        <f>""</f>
        <v/>
      </c>
      <c r="CS4177" t="str">
        <f>""</f>
        <v/>
      </c>
    </row>
    <row r="4178" spans="1:97" x14ac:dyDescent="0.25">
      <c r="A4178" t="s">
        <v>177</v>
      </c>
      <c r="B4178" t="s">
        <v>26483</v>
      </c>
      <c r="C4178" t="s">
        <v>10673</v>
      </c>
      <c r="D4178" t="s">
        <v>26483</v>
      </c>
      <c r="E4178" t="s">
        <v>26484</v>
      </c>
      <c r="F4178" t="s">
        <v>108</v>
      </c>
      <c r="H4178" t="s">
        <v>26485</v>
      </c>
      <c r="I4178" t="s">
        <v>390</v>
      </c>
      <c r="J4178" t="s">
        <v>111</v>
      </c>
      <c r="K4178" t="str">
        <f>"85053"</f>
        <v>85053</v>
      </c>
      <c r="L4178" t="s">
        <v>4282</v>
      </c>
      <c r="M4178" t="s">
        <v>26485</v>
      </c>
      <c r="N4178" t="s">
        <v>390</v>
      </c>
      <c r="O4178" t="s">
        <v>111</v>
      </c>
      <c r="P4178" t="str">
        <f>"85053-2825"</f>
        <v>85053-2825</v>
      </c>
      <c r="Q4178" t="s">
        <v>113</v>
      </c>
      <c r="R4178" t="str">
        <f>"207-16-155"</f>
        <v>207-16-155</v>
      </c>
      <c r="S4178" t="s">
        <v>26486</v>
      </c>
      <c r="T4178" t="s">
        <v>26487</v>
      </c>
      <c r="U4178">
        <v>1833</v>
      </c>
      <c r="V4178">
        <v>0</v>
      </c>
      <c r="W4178">
        <v>2</v>
      </c>
      <c r="X4178">
        <v>1983</v>
      </c>
      <c r="Z4178">
        <v>1</v>
      </c>
      <c r="AB4178">
        <v>0</v>
      </c>
      <c r="AC4178" t="s">
        <v>115</v>
      </c>
      <c r="AD4178">
        <v>2</v>
      </c>
      <c r="AE4178" t="s">
        <v>115</v>
      </c>
      <c r="AF4178">
        <v>0</v>
      </c>
      <c r="AG4178">
        <v>0</v>
      </c>
      <c r="AH4178" t="s">
        <v>116</v>
      </c>
      <c r="AI4178" s="1">
        <v>22525</v>
      </c>
      <c r="AJ4178" s="2">
        <v>0.08</v>
      </c>
      <c r="AK4178" s="1">
        <v>272511</v>
      </c>
      <c r="AL4178" t="s">
        <v>117</v>
      </c>
      <c r="AM4178" t="s">
        <v>171</v>
      </c>
      <c r="AN4178">
        <v>8424</v>
      </c>
      <c r="AO4178">
        <v>0.19</v>
      </c>
      <c r="AP4178">
        <v>1</v>
      </c>
      <c r="AR4178">
        <v>1</v>
      </c>
      <c r="AS4178" s="1">
        <v>18970</v>
      </c>
      <c r="AT4178" s="1">
        <v>3790</v>
      </c>
      <c r="AU4178" s="1">
        <v>15180</v>
      </c>
      <c r="AV4178">
        <v>80.02</v>
      </c>
      <c r="AX4178" s="1">
        <v>1678.42</v>
      </c>
      <c r="AY4178" t="s">
        <v>2996</v>
      </c>
      <c r="AZ4178" t="s">
        <v>2997</v>
      </c>
      <c r="BA4178" t="s">
        <v>2998</v>
      </c>
      <c r="BE4178" s="3">
        <v>42223</v>
      </c>
      <c r="BF4178" s="1">
        <v>194000</v>
      </c>
      <c r="BG4178" t="s">
        <v>26488</v>
      </c>
      <c r="BH4178" s="1">
        <v>105.84</v>
      </c>
      <c r="BI4178" s="1">
        <v>249986</v>
      </c>
      <c r="BJ4178" s="3">
        <v>43159</v>
      </c>
      <c r="BK4178" t="s">
        <v>123</v>
      </c>
      <c r="BL4178" t="str">
        <f>"2018.150054"</f>
        <v>2018.150054</v>
      </c>
      <c r="BM4178" t="s">
        <v>361</v>
      </c>
      <c r="BN4178" t="s">
        <v>884</v>
      </c>
      <c r="BO4178" t="s">
        <v>26489</v>
      </c>
      <c r="BP4178" t="s">
        <v>26490</v>
      </c>
      <c r="BR4178" t="s">
        <v>139</v>
      </c>
      <c r="BW4178" t="str">
        <f>""</f>
        <v/>
      </c>
      <c r="CH4178" t="str">
        <f>""</f>
        <v/>
      </c>
      <c r="CS4178" t="str">
        <f>""</f>
        <v/>
      </c>
    </row>
    <row r="4179" spans="1:97" x14ac:dyDescent="0.25">
      <c r="A4179" t="s">
        <v>26491</v>
      </c>
      <c r="B4179" t="s">
        <v>26492</v>
      </c>
      <c r="E4179" t="s">
        <v>26493</v>
      </c>
      <c r="F4179" t="s">
        <v>108</v>
      </c>
      <c r="H4179" t="s">
        <v>26494</v>
      </c>
      <c r="I4179" t="s">
        <v>453</v>
      </c>
      <c r="J4179" t="s">
        <v>111</v>
      </c>
      <c r="K4179" t="str">
        <f>"85383"</f>
        <v>85383</v>
      </c>
      <c r="L4179" t="s">
        <v>6316</v>
      </c>
      <c r="M4179" t="s">
        <v>26494</v>
      </c>
      <c r="N4179" t="s">
        <v>453</v>
      </c>
      <c r="O4179" t="s">
        <v>111</v>
      </c>
      <c r="P4179" t="str">
        <f>"85383-3111"</f>
        <v>85383-3111</v>
      </c>
      <c r="Q4179" t="s">
        <v>113</v>
      </c>
      <c r="R4179" t="str">
        <f>"231-27-183"</f>
        <v>231-27-183</v>
      </c>
      <c r="S4179" t="s">
        <v>10305</v>
      </c>
      <c r="U4179">
        <v>1685</v>
      </c>
      <c r="V4179">
        <v>0</v>
      </c>
      <c r="W4179">
        <v>3</v>
      </c>
      <c r="X4179">
        <v>2001</v>
      </c>
      <c r="Z4179">
        <v>1</v>
      </c>
      <c r="AB4179">
        <v>0</v>
      </c>
      <c r="AC4179" t="s">
        <v>115</v>
      </c>
      <c r="AD4179">
        <v>2</v>
      </c>
      <c r="AE4179" t="s">
        <v>115</v>
      </c>
      <c r="AF4179">
        <v>0</v>
      </c>
      <c r="AG4179">
        <v>0</v>
      </c>
      <c r="AH4179" t="s">
        <v>116</v>
      </c>
      <c r="AI4179" s="1">
        <v>61125</v>
      </c>
      <c r="AJ4179" s="2">
        <v>0.21</v>
      </c>
      <c r="AK4179" s="1">
        <v>297091</v>
      </c>
      <c r="AL4179" t="s">
        <v>117</v>
      </c>
      <c r="AM4179" t="s">
        <v>118</v>
      </c>
      <c r="AN4179">
        <v>6559</v>
      </c>
      <c r="AO4179">
        <v>0.15</v>
      </c>
      <c r="AP4179">
        <v>1</v>
      </c>
      <c r="AR4179">
        <v>1</v>
      </c>
      <c r="AS4179" s="1">
        <v>20370</v>
      </c>
      <c r="AT4179" s="1">
        <v>4070</v>
      </c>
      <c r="AU4179" s="1">
        <v>16300</v>
      </c>
      <c r="AV4179">
        <v>80.02</v>
      </c>
      <c r="AX4179" s="1">
        <v>1718.58</v>
      </c>
      <c r="AY4179" t="s">
        <v>4218</v>
      </c>
      <c r="AZ4179" t="s">
        <v>4218</v>
      </c>
      <c r="BA4179" t="s">
        <v>4219</v>
      </c>
      <c r="BE4179" s="3">
        <v>41705</v>
      </c>
      <c r="BF4179" s="1">
        <v>231000</v>
      </c>
      <c r="BG4179" t="s">
        <v>26495</v>
      </c>
      <c r="BH4179" s="1">
        <v>137.09</v>
      </c>
      <c r="BI4179" s="1">
        <v>235966</v>
      </c>
      <c r="BJ4179" s="3">
        <v>41705</v>
      </c>
      <c r="BK4179" t="s">
        <v>123</v>
      </c>
      <c r="BL4179" t="str">
        <f>"2014.149504"</f>
        <v>2014.149504</v>
      </c>
      <c r="BM4179" t="s">
        <v>1033</v>
      </c>
      <c r="BO4179" t="s">
        <v>26496</v>
      </c>
      <c r="BS4179">
        <v>30</v>
      </c>
      <c r="BW4179" t="str">
        <f>""</f>
        <v/>
      </c>
      <c r="CH4179" t="str">
        <f>""</f>
        <v/>
      </c>
      <c r="CS4179" t="str">
        <f>""</f>
        <v/>
      </c>
    </row>
    <row r="4180" spans="1:97" x14ac:dyDescent="0.25">
      <c r="A4180" t="s">
        <v>4229</v>
      </c>
      <c r="B4180" t="s">
        <v>26497</v>
      </c>
      <c r="E4180" t="s">
        <v>26498</v>
      </c>
      <c r="F4180" t="s">
        <v>108</v>
      </c>
      <c r="H4180" t="s">
        <v>26499</v>
      </c>
      <c r="I4180" t="s">
        <v>390</v>
      </c>
      <c r="J4180" t="s">
        <v>111</v>
      </c>
      <c r="K4180" t="str">
        <f>"85042"</f>
        <v>85042</v>
      </c>
      <c r="L4180" t="s">
        <v>5248</v>
      </c>
      <c r="M4180" t="s">
        <v>26499</v>
      </c>
      <c r="N4180" t="s">
        <v>390</v>
      </c>
      <c r="O4180" t="s">
        <v>111</v>
      </c>
      <c r="P4180" t="str">
        <f>"85042-5789"</f>
        <v>85042-5789</v>
      </c>
      <c r="Q4180" t="s">
        <v>113</v>
      </c>
      <c r="R4180" t="str">
        <f>"122-93-618"</f>
        <v>122-93-618</v>
      </c>
      <c r="S4180" t="s">
        <v>26500</v>
      </c>
      <c r="U4180">
        <v>1886</v>
      </c>
      <c r="V4180">
        <v>0</v>
      </c>
      <c r="W4180">
        <v>3</v>
      </c>
      <c r="X4180">
        <v>1999</v>
      </c>
      <c r="Z4180">
        <v>1</v>
      </c>
      <c r="AA4180" t="s">
        <v>26</v>
      </c>
      <c r="AB4180">
        <v>0</v>
      </c>
      <c r="AC4180" t="s">
        <v>115</v>
      </c>
      <c r="AD4180">
        <v>3</v>
      </c>
      <c r="AE4180" t="s">
        <v>115</v>
      </c>
      <c r="AF4180">
        <v>0</v>
      </c>
      <c r="AG4180">
        <v>0</v>
      </c>
      <c r="AH4180" t="s">
        <v>116</v>
      </c>
      <c r="AI4180" s="1">
        <v>68694</v>
      </c>
      <c r="AJ4180" s="2">
        <v>0.25</v>
      </c>
      <c r="AK4180" s="1">
        <v>280227</v>
      </c>
      <c r="AL4180" t="s">
        <v>117</v>
      </c>
      <c r="AM4180" t="s">
        <v>191</v>
      </c>
      <c r="AN4180">
        <v>9811</v>
      </c>
      <c r="AO4180">
        <v>0.22</v>
      </c>
      <c r="AP4180">
        <v>1</v>
      </c>
      <c r="AR4180">
        <v>1</v>
      </c>
      <c r="AS4180" s="1">
        <v>20280</v>
      </c>
      <c r="AT4180" s="1">
        <v>4050</v>
      </c>
      <c r="AU4180" s="1">
        <v>16230</v>
      </c>
      <c r="AV4180">
        <v>80.03</v>
      </c>
      <c r="AX4180" s="1">
        <v>1890</v>
      </c>
      <c r="AY4180" t="s">
        <v>5251</v>
      </c>
      <c r="AZ4180" t="s">
        <v>5251</v>
      </c>
      <c r="BA4180" t="s">
        <v>2860</v>
      </c>
      <c r="BE4180" s="3">
        <v>42305</v>
      </c>
      <c r="BF4180" s="1">
        <v>200000</v>
      </c>
      <c r="BG4180" t="s">
        <v>26501</v>
      </c>
      <c r="BH4180" s="1">
        <v>106.04</v>
      </c>
      <c r="BI4180" s="1">
        <v>211533</v>
      </c>
      <c r="BJ4180" s="3">
        <v>42810</v>
      </c>
      <c r="BK4180" t="s">
        <v>123</v>
      </c>
      <c r="BL4180" t="str">
        <f>"2017.186213"</f>
        <v>2017.186213</v>
      </c>
      <c r="BM4180" t="s">
        <v>843</v>
      </c>
      <c r="BO4180" t="s">
        <v>26502</v>
      </c>
      <c r="BS4180">
        <v>30</v>
      </c>
      <c r="BW4180" t="str">
        <f>""</f>
        <v/>
      </c>
      <c r="CH4180" t="str">
        <f>""</f>
        <v/>
      </c>
      <c r="CS4180" t="str">
        <f>""</f>
        <v/>
      </c>
    </row>
    <row r="4181" spans="1:97" x14ac:dyDescent="0.25">
      <c r="A4181" t="s">
        <v>695</v>
      </c>
      <c r="B4181" t="s">
        <v>3221</v>
      </c>
      <c r="E4181" t="s">
        <v>26503</v>
      </c>
      <c r="F4181" t="s">
        <v>108</v>
      </c>
      <c r="H4181" t="s">
        <v>26504</v>
      </c>
      <c r="I4181" t="s">
        <v>144</v>
      </c>
      <c r="J4181" t="s">
        <v>111</v>
      </c>
      <c r="K4181" t="str">
        <f>"85326"</f>
        <v>85326</v>
      </c>
      <c r="L4181" t="s">
        <v>8146</v>
      </c>
      <c r="M4181" t="s">
        <v>26504</v>
      </c>
      <c r="N4181" t="s">
        <v>144</v>
      </c>
      <c r="O4181" t="s">
        <v>111</v>
      </c>
      <c r="P4181" t="str">
        <f>"85326-6654"</f>
        <v>85326-6654</v>
      </c>
      <c r="Q4181" t="s">
        <v>113</v>
      </c>
      <c r="R4181" t="str">
        <f>"502-35-415"</f>
        <v>502-35-415</v>
      </c>
      <c r="S4181" t="s">
        <v>10984</v>
      </c>
      <c r="U4181">
        <v>1895</v>
      </c>
      <c r="V4181">
        <v>0</v>
      </c>
      <c r="W4181">
        <v>4</v>
      </c>
      <c r="X4181">
        <v>2014</v>
      </c>
      <c r="Z4181">
        <v>1</v>
      </c>
      <c r="AB4181">
        <v>0</v>
      </c>
      <c r="AC4181" t="s">
        <v>115</v>
      </c>
      <c r="AD4181">
        <v>2</v>
      </c>
      <c r="AE4181" t="s">
        <v>115</v>
      </c>
      <c r="AF4181">
        <v>0</v>
      </c>
      <c r="AG4181">
        <v>0</v>
      </c>
      <c r="AH4181" t="s">
        <v>116</v>
      </c>
      <c r="AI4181" s="1">
        <v>70640</v>
      </c>
      <c r="AJ4181" s="2">
        <v>0.26</v>
      </c>
      <c r="AK4181" s="1">
        <v>271070</v>
      </c>
      <c r="AL4181" t="s">
        <v>117</v>
      </c>
      <c r="AM4181" t="s">
        <v>118</v>
      </c>
      <c r="AN4181">
        <v>7645</v>
      </c>
      <c r="AO4181">
        <v>0.18</v>
      </c>
      <c r="AR4181">
        <v>1</v>
      </c>
      <c r="AS4181" s="1">
        <v>18630</v>
      </c>
      <c r="AT4181" s="1">
        <v>3720</v>
      </c>
      <c r="AU4181" s="1">
        <v>14910</v>
      </c>
      <c r="AV4181">
        <v>80.03</v>
      </c>
      <c r="AX4181" s="1">
        <v>1559.12</v>
      </c>
      <c r="AY4181" t="s">
        <v>2767</v>
      </c>
      <c r="AZ4181" t="s">
        <v>2767</v>
      </c>
      <c r="BA4181" t="s">
        <v>5025</v>
      </c>
      <c r="BE4181" s="3">
        <v>42089</v>
      </c>
      <c r="BF4181" s="1">
        <v>196212</v>
      </c>
      <c r="BG4181" t="s">
        <v>749</v>
      </c>
      <c r="BH4181" s="1">
        <v>103.54</v>
      </c>
      <c r="BI4181" s="1">
        <v>200430</v>
      </c>
      <c r="BJ4181" s="3">
        <v>42089</v>
      </c>
      <c r="BK4181" t="s">
        <v>123</v>
      </c>
      <c r="BL4181" t="str">
        <f>"2015.201624"</f>
        <v>2015.201624</v>
      </c>
      <c r="BM4181" t="s">
        <v>1968</v>
      </c>
      <c r="BO4181" t="s">
        <v>26505</v>
      </c>
      <c r="BS4181">
        <v>30</v>
      </c>
      <c r="BW4181" t="str">
        <f>""</f>
        <v/>
      </c>
      <c r="CH4181" t="str">
        <f>""</f>
        <v/>
      </c>
      <c r="CS4181" t="str">
        <f>""</f>
        <v/>
      </c>
    </row>
    <row r="4182" spans="1:97" x14ac:dyDescent="0.25">
      <c r="A4182" t="s">
        <v>589</v>
      </c>
      <c r="B4182" t="s">
        <v>26506</v>
      </c>
      <c r="C4182" t="s">
        <v>1995</v>
      </c>
      <c r="D4182" t="s">
        <v>26506</v>
      </c>
      <c r="E4182" t="s">
        <v>26507</v>
      </c>
      <c r="F4182" t="s">
        <v>108</v>
      </c>
      <c r="H4182" t="s">
        <v>26508</v>
      </c>
      <c r="I4182" t="s">
        <v>5636</v>
      </c>
      <c r="J4182" t="s">
        <v>111</v>
      </c>
      <c r="K4182" t="str">
        <f>"85268"</f>
        <v>85268</v>
      </c>
      <c r="L4182" t="s">
        <v>7243</v>
      </c>
      <c r="M4182" t="s">
        <v>26508</v>
      </c>
      <c r="N4182" t="s">
        <v>5636</v>
      </c>
      <c r="O4182" t="s">
        <v>111</v>
      </c>
      <c r="P4182" t="str">
        <f>"85268-1820"</f>
        <v>85268-1820</v>
      </c>
      <c r="Q4182" t="s">
        <v>113</v>
      </c>
      <c r="R4182" t="str">
        <f>"176-22-008"</f>
        <v>176-22-008</v>
      </c>
      <c r="S4182" t="s">
        <v>26509</v>
      </c>
      <c r="U4182">
        <v>1967</v>
      </c>
      <c r="V4182">
        <v>0</v>
      </c>
      <c r="W4182">
        <v>2</v>
      </c>
      <c r="X4182">
        <v>1980</v>
      </c>
      <c r="Z4182">
        <v>1</v>
      </c>
      <c r="AA4182" t="s">
        <v>26</v>
      </c>
      <c r="AB4182">
        <v>0</v>
      </c>
      <c r="AC4182" t="s">
        <v>115</v>
      </c>
      <c r="AD4182">
        <v>2</v>
      </c>
      <c r="AE4182" t="s">
        <v>115</v>
      </c>
      <c r="AF4182">
        <v>0</v>
      </c>
      <c r="AG4182">
        <v>0</v>
      </c>
      <c r="AH4182" t="s">
        <v>116</v>
      </c>
      <c r="AI4182" s="1">
        <v>207899</v>
      </c>
      <c r="AJ4182" s="2">
        <v>0.5</v>
      </c>
      <c r="AK4182" s="1">
        <v>417899</v>
      </c>
      <c r="AL4182" t="s">
        <v>117</v>
      </c>
      <c r="AM4182" t="s">
        <v>1302</v>
      </c>
      <c r="AN4182">
        <v>12650</v>
      </c>
      <c r="AO4182">
        <v>0.28999999999999998</v>
      </c>
      <c r="AP4182">
        <v>1</v>
      </c>
      <c r="AR4182">
        <v>1</v>
      </c>
      <c r="AS4182" s="1">
        <v>27800</v>
      </c>
      <c r="AT4182" s="1">
        <v>5560</v>
      </c>
      <c r="AU4182" s="1">
        <v>22240</v>
      </c>
      <c r="AV4182">
        <v>80</v>
      </c>
      <c r="AX4182" s="1">
        <v>1674.42</v>
      </c>
      <c r="AY4182" t="s">
        <v>5639</v>
      </c>
      <c r="AZ4182" t="s">
        <v>5640</v>
      </c>
      <c r="BA4182" t="s">
        <v>5641</v>
      </c>
      <c r="BE4182" s="3">
        <v>42205</v>
      </c>
      <c r="BF4182" s="1">
        <v>350000</v>
      </c>
      <c r="BG4182" t="s">
        <v>26510</v>
      </c>
      <c r="BH4182" s="1">
        <v>177.94</v>
      </c>
      <c r="BI4182" s="1">
        <v>210000</v>
      </c>
      <c r="BJ4182" s="3">
        <v>42205</v>
      </c>
      <c r="BK4182" t="s">
        <v>123</v>
      </c>
      <c r="BL4182" t="str">
        <f>"2015.519782"</f>
        <v>2015.519782</v>
      </c>
      <c r="BM4182" t="s">
        <v>724</v>
      </c>
      <c r="BO4182" t="s">
        <v>26511</v>
      </c>
      <c r="BS4182">
        <v>30</v>
      </c>
      <c r="BW4182" t="str">
        <f>""</f>
        <v/>
      </c>
      <c r="CH4182" t="str">
        <f>""</f>
        <v/>
      </c>
      <c r="CS4182" t="str">
        <f>""</f>
        <v/>
      </c>
    </row>
    <row r="4183" spans="1:97" x14ac:dyDescent="0.25">
      <c r="A4183" t="s">
        <v>305</v>
      </c>
      <c r="B4183" t="s">
        <v>26512</v>
      </c>
      <c r="C4183" t="s">
        <v>259</v>
      </c>
      <c r="D4183" t="s">
        <v>26512</v>
      </c>
      <c r="E4183" t="s">
        <v>26513</v>
      </c>
      <c r="F4183" t="s">
        <v>108</v>
      </c>
      <c r="H4183" t="s">
        <v>26514</v>
      </c>
      <c r="I4183" t="s">
        <v>453</v>
      </c>
      <c r="J4183" t="s">
        <v>111</v>
      </c>
      <c r="K4183" t="str">
        <f>"85383"</f>
        <v>85383</v>
      </c>
      <c r="L4183" t="s">
        <v>269</v>
      </c>
      <c r="M4183" t="s">
        <v>26514</v>
      </c>
      <c r="N4183" t="s">
        <v>453</v>
      </c>
      <c r="O4183" t="s">
        <v>111</v>
      </c>
      <c r="P4183" t="str">
        <f>"85383-3173"</f>
        <v>85383-3173</v>
      </c>
      <c r="Q4183" t="s">
        <v>113</v>
      </c>
      <c r="R4183" t="str">
        <f>"201-03-963"</f>
        <v>201-03-963</v>
      </c>
      <c r="S4183" t="s">
        <v>26515</v>
      </c>
      <c r="T4183" t="s">
        <v>6734</v>
      </c>
      <c r="U4183">
        <v>2107</v>
      </c>
      <c r="V4183">
        <v>0</v>
      </c>
      <c r="W4183">
        <v>4</v>
      </c>
      <c r="X4183">
        <v>2005</v>
      </c>
      <c r="Z4183">
        <v>2</v>
      </c>
      <c r="AB4183">
        <v>0</v>
      </c>
      <c r="AC4183" t="s">
        <v>115</v>
      </c>
      <c r="AD4183">
        <v>3</v>
      </c>
      <c r="AE4183" t="s">
        <v>115</v>
      </c>
      <c r="AF4183">
        <v>0</v>
      </c>
      <c r="AG4183">
        <v>0</v>
      </c>
      <c r="AH4183" t="s">
        <v>116</v>
      </c>
      <c r="AI4183" s="1">
        <v>84702</v>
      </c>
      <c r="AJ4183" s="2">
        <v>0.24</v>
      </c>
      <c r="AK4183" s="1">
        <v>350183</v>
      </c>
      <c r="AL4183" t="s">
        <v>117</v>
      </c>
      <c r="AM4183" t="s">
        <v>118</v>
      </c>
      <c r="AN4183">
        <v>6050</v>
      </c>
      <c r="AO4183">
        <v>0.14000000000000001</v>
      </c>
      <c r="AR4183">
        <v>1</v>
      </c>
      <c r="AS4183" s="1">
        <v>23020</v>
      </c>
      <c r="AT4183" s="1">
        <v>4600</v>
      </c>
      <c r="AU4183" s="1">
        <v>18420</v>
      </c>
      <c r="AV4183">
        <v>80.02</v>
      </c>
      <c r="AX4183" s="1">
        <v>1915.4</v>
      </c>
      <c r="AY4183" t="s">
        <v>3048</v>
      </c>
      <c r="AZ4183" t="s">
        <v>3049</v>
      </c>
      <c r="BA4183" t="s">
        <v>1386</v>
      </c>
      <c r="BE4183" s="3">
        <v>41950</v>
      </c>
      <c r="BF4183" s="1">
        <v>267000</v>
      </c>
      <c r="BG4183" t="s">
        <v>26516</v>
      </c>
      <c r="BH4183" s="1">
        <v>126.72</v>
      </c>
      <c r="BI4183" s="1">
        <v>265481</v>
      </c>
      <c r="BJ4183" s="3">
        <v>41950</v>
      </c>
      <c r="BK4183" t="s">
        <v>123</v>
      </c>
      <c r="BL4183" t="str">
        <f>"2014.741193"</f>
        <v>2014.741193</v>
      </c>
      <c r="BM4183" t="s">
        <v>1306</v>
      </c>
      <c r="BO4183" t="s">
        <v>26517</v>
      </c>
      <c r="BS4183">
        <v>30</v>
      </c>
      <c r="BW4183" t="str">
        <f>""</f>
        <v/>
      </c>
      <c r="CH4183" t="str">
        <f>""</f>
        <v/>
      </c>
      <c r="CS4183" t="str">
        <f>""</f>
        <v/>
      </c>
    </row>
    <row r="4184" spans="1:97" x14ac:dyDescent="0.25">
      <c r="A4184" t="s">
        <v>639</v>
      </c>
      <c r="B4184" t="s">
        <v>1094</v>
      </c>
      <c r="E4184" t="s">
        <v>26518</v>
      </c>
      <c r="F4184" t="s">
        <v>108</v>
      </c>
      <c r="H4184" t="s">
        <v>26519</v>
      </c>
      <c r="I4184" t="s">
        <v>203</v>
      </c>
      <c r="J4184" t="s">
        <v>111</v>
      </c>
      <c r="K4184" t="str">
        <f>"85295"</f>
        <v>85295</v>
      </c>
      <c r="L4184" t="s">
        <v>417</v>
      </c>
      <c r="M4184" t="s">
        <v>26519</v>
      </c>
      <c r="N4184" t="s">
        <v>203</v>
      </c>
      <c r="O4184" t="s">
        <v>111</v>
      </c>
      <c r="P4184" t="str">
        <f>"85295-3727"</f>
        <v>85295-3727</v>
      </c>
      <c r="Q4184" t="s">
        <v>113</v>
      </c>
      <c r="R4184" t="str">
        <f>"304-40-364"</f>
        <v>304-40-364</v>
      </c>
      <c r="S4184" t="s">
        <v>26520</v>
      </c>
      <c r="U4184">
        <v>1693</v>
      </c>
      <c r="V4184">
        <v>0</v>
      </c>
      <c r="W4184">
        <v>3</v>
      </c>
      <c r="X4184">
        <v>2000</v>
      </c>
      <c r="Z4184">
        <v>1</v>
      </c>
      <c r="AB4184">
        <v>0</v>
      </c>
      <c r="AC4184" t="s">
        <v>115</v>
      </c>
      <c r="AD4184">
        <v>2</v>
      </c>
      <c r="AE4184" t="s">
        <v>115</v>
      </c>
      <c r="AF4184">
        <v>0</v>
      </c>
      <c r="AG4184">
        <v>0</v>
      </c>
      <c r="AH4184" t="s">
        <v>116</v>
      </c>
      <c r="AI4184" s="1">
        <v>54369</v>
      </c>
      <c r="AJ4184" s="2">
        <v>0.18</v>
      </c>
      <c r="AK4184" s="1">
        <v>300550</v>
      </c>
      <c r="AL4184" t="s">
        <v>117</v>
      </c>
      <c r="AM4184" t="s">
        <v>393</v>
      </c>
      <c r="AN4184">
        <v>7700</v>
      </c>
      <c r="AO4184">
        <v>0.18</v>
      </c>
      <c r="AP4184">
        <v>1</v>
      </c>
      <c r="AR4184">
        <v>1</v>
      </c>
      <c r="AS4184" s="1">
        <v>20660</v>
      </c>
      <c r="AT4184" s="1">
        <v>4130</v>
      </c>
      <c r="AU4184" s="1">
        <v>16530</v>
      </c>
      <c r="AV4184">
        <v>80.010000000000005</v>
      </c>
      <c r="AX4184" s="1">
        <v>1604.36</v>
      </c>
      <c r="AY4184" t="s">
        <v>5087</v>
      </c>
      <c r="AZ4184" t="s">
        <v>5087</v>
      </c>
      <c r="BA4184" t="s">
        <v>473</v>
      </c>
      <c r="BE4184" s="3">
        <v>42549</v>
      </c>
      <c r="BF4184" s="1">
        <v>241000</v>
      </c>
      <c r="BG4184" t="s">
        <v>26521</v>
      </c>
      <c r="BH4184" s="1">
        <v>142.35</v>
      </c>
      <c r="BI4184" s="1">
        <v>246181</v>
      </c>
      <c r="BJ4184" s="3">
        <v>42549</v>
      </c>
      <c r="BK4184" t="s">
        <v>123</v>
      </c>
      <c r="BL4184" t="str">
        <f>"2016.452031"</f>
        <v>2016.452031</v>
      </c>
      <c r="BM4184" t="s">
        <v>2368</v>
      </c>
      <c r="BO4184" t="s">
        <v>26522</v>
      </c>
      <c r="BS4184">
        <v>30</v>
      </c>
      <c r="BW4184" t="str">
        <f>""</f>
        <v/>
      </c>
      <c r="CH4184" t="str">
        <f>""</f>
        <v/>
      </c>
      <c r="CS4184" t="str">
        <f>""</f>
        <v/>
      </c>
    </row>
    <row r="4185" spans="1:97" x14ac:dyDescent="0.25">
      <c r="A4185" t="s">
        <v>996</v>
      </c>
      <c r="B4185" t="s">
        <v>26523</v>
      </c>
      <c r="C4185" t="s">
        <v>8089</v>
      </c>
      <c r="D4185" t="s">
        <v>26523</v>
      </c>
      <c r="E4185" t="s">
        <v>26524</v>
      </c>
      <c r="F4185" t="s">
        <v>108</v>
      </c>
      <c r="H4185" t="s">
        <v>26525</v>
      </c>
      <c r="I4185" t="s">
        <v>2874</v>
      </c>
      <c r="J4185" t="s">
        <v>111</v>
      </c>
      <c r="K4185" t="str">
        <f>"85306"</f>
        <v>85306</v>
      </c>
      <c r="L4185" t="s">
        <v>4003</v>
      </c>
      <c r="M4185" t="s">
        <v>26525</v>
      </c>
      <c r="N4185" t="s">
        <v>2874</v>
      </c>
      <c r="O4185" t="s">
        <v>111</v>
      </c>
      <c r="P4185" t="str">
        <f>"85306-1611"</f>
        <v>85306-1611</v>
      </c>
      <c r="Q4185" t="s">
        <v>113</v>
      </c>
      <c r="R4185" t="str">
        <f>"200-51-592"</f>
        <v>200-51-592</v>
      </c>
      <c r="S4185" t="s">
        <v>26526</v>
      </c>
      <c r="T4185" t="s">
        <v>26527</v>
      </c>
      <c r="U4185">
        <v>1852</v>
      </c>
      <c r="V4185">
        <v>0</v>
      </c>
      <c r="W4185">
        <v>3</v>
      </c>
      <c r="X4185">
        <v>1983</v>
      </c>
      <c r="Z4185">
        <v>1</v>
      </c>
      <c r="AA4185" t="s">
        <v>26</v>
      </c>
      <c r="AB4185">
        <v>0</v>
      </c>
      <c r="AC4185" t="s">
        <v>115</v>
      </c>
      <c r="AD4185">
        <v>2</v>
      </c>
      <c r="AE4185" t="s">
        <v>115</v>
      </c>
      <c r="AF4185">
        <v>0</v>
      </c>
      <c r="AG4185">
        <v>0</v>
      </c>
      <c r="AH4185" t="s">
        <v>116</v>
      </c>
      <c r="AI4185" s="1">
        <v>72590</v>
      </c>
      <c r="AJ4185" s="2">
        <v>0.26</v>
      </c>
      <c r="AK4185" s="1">
        <v>279140</v>
      </c>
      <c r="AL4185" t="s">
        <v>117</v>
      </c>
      <c r="AM4185" t="s">
        <v>191</v>
      </c>
      <c r="AN4185">
        <v>8442</v>
      </c>
      <c r="AO4185">
        <v>0.19</v>
      </c>
      <c r="AP4185">
        <v>1</v>
      </c>
      <c r="AR4185">
        <v>1</v>
      </c>
      <c r="AS4185" s="1">
        <v>20500</v>
      </c>
      <c r="AT4185" s="1">
        <v>4100</v>
      </c>
      <c r="AU4185" s="1">
        <v>16400</v>
      </c>
      <c r="AV4185">
        <v>80</v>
      </c>
      <c r="AX4185" s="1">
        <v>1237.76</v>
      </c>
      <c r="AY4185" t="s">
        <v>16272</v>
      </c>
      <c r="AZ4185" t="s">
        <v>16272</v>
      </c>
      <c r="BA4185" t="s">
        <v>3360</v>
      </c>
      <c r="BE4185" s="3">
        <v>41992</v>
      </c>
      <c r="BF4185" s="1">
        <v>180000</v>
      </c>
      <c r="BG4185" t="s">
        <v>26528</v>
      </c>
      <c r="BH4185" s="1">
        <v>97.19</v>
      </c>
      <c r="BI4185" s="1">
        <v>206550</v>
      </c>
      <c r="BJ4185" s="3">
        <v>43560</v>
      </c>
      <c r="BK4185" t="s">
        <v>123</v>
      </c>
      <c r="BL4185" t="str">
        <f>"2019.240681"</f>
        <v>2019.240681</v>
      </c>
      <c r="BM4185" t="s">
        <v>26529</v>
      </c>
      <c r="BN4185" t="s">
        <v>3763</v>
      </c>
      <c r="BO4185" t="s">
        <v>26530</v>
      </c>
      <c r="BP4185" t="s">
        <v>26531</v>
      </c>
      <c r="BR4185" t="s">
        <v>139</v>
      </c>
      <c r="BW4185" t="str">
        <f>""</f>
        <v/>
      </c>
      <c r="CH4185" t="str">
        <f>""</f>
        <v/>
      </c>
      <c r="CS4185" t="str">
        <f>""</f>
        <v/>
      </c>
    </row>
    <row r="4186" spans="1:97" x14ac:dyDescent="0.25">
      <c r="A4186" t="s">
        <v>140</v>
      </c>
      <c r="B4186" t="s">
        <v>26532</v>
      </c>
      <c r="C4186" t="s">
        <v>2068</v>
      </c>
      <c r="D4186" t="s">
        <v>26532</v>
      </c>
      <c r="E4186" t="s">
        <v>26533</v>
      </c>
      <c r="F4186" t="s">
        <v>108</v>
      </c>
      <c r="H4186" t="s">
        <v>26534</v>
      </c>
      <c r="I4186" t="s">
        <v>453</v>
      </c>
      <c r="J4186" t="s">
        <v>111</v>
      </c>
      <c r="K4186" t="str">
        <f>"85383"</f>
        <v>85383</v>
      </c>
      <c r="L4186" t="s">
        <v>3161</v>
      </c>
      <c r="M4186" t="s">
        <v>26534</v>
      </c>
      <c r="N4186" t="s">
        <v>453</v>
      </c>
      <c r="O4186" t="s">
        <v>111</v>
      </c>
      <c r="P4186" t="str">
        <f>"85383-7198"</f>
        <v>85383-7198</v>
      </c>
      <c r="Q4186" t="s">
        <v>113</v>
      </c>
      <c r="R4186" t="str">
        <f>"510-04-519"</f>
        <v>510-04-519</v>
      </c>
      <c r="S4186" t="s">
        <v>8376</v>
      </c>
      <c r="T4186" t="s">
        <v>8377</v>
      </c>
      <c r="U4186">
        <v>1997</v>
      </c>
      <c r="V4186">
        <v>0</v>
      </c>
      <c r="W4186">
        <v>5</v>
      </c>
      <c r="X4186">
        <v>2014</v>
      </c>
      <c r="Z4186">
        <v>2</v>
      </c>
      <c r="AB4186">
        <v>0</v>
      </c>
      <c r="AC4186" t="s">
        <v>115</v>
      </c>
      <c r="AD4186">
        <v>2</v>
      </c>
      <c r="AE4186" t="s">
        <v>115</v>
      </c>
      <c r="AF4186">
        <v>0</v>
      </c>
      <c r="AG4186">
        <v>0</v>
      </c>
      <c r="AH4186" t="s">
        <v>116</v>
      </c>
      <c r="AI4186" s="1">
        <v>79560</v>
      </c>
      <c r="AJ4186" s="2">
        <v>0.26</v>
      </c>
      <c r="AK4186" s="1">
        <v>302060</v>
      </c>
      <c r="AL4186" t="s">
        <v>117</v>
      </c>
      <c r="AM4186" t="s">
        <v>118</v>
      </c>
      <c r="AN4186">
        <v>3000</v>
      </c>
      <c r="AO4186">
        <v>0.69</v>
      </c>
      <c r="AR4186">
        <v>1</v>
      </c>
      <c r="AS4186" s="1">
        <v>20770</v>
      </c>
      <c r="AT4186" s="1">
        <v>4150</v>
      </c>
      <c r="AU4186" s="1">
        <v>16620</v>
      </c>
      <c r="AV4186">
        <v>80.02</v>
      </c>
      <c r="AX4186" s="1">
        <v>1831.9</v>
      </c>
      <c r="AY4186" t="s">
        <v>627</v>
      </c>
      <c r="AZ4186" t="s">
        <v>627</v>
      </c>
      <c r="BA4186" t="s">
        <v>457</v>
      </c>
      <c r="BE4186" s="3">
        <v>42185</v>
      </c>
      <c r="BF4186" s="1">
        <v>226090</v>
      </c>
      <c r="BG4186" t="s">
        <v>617</v>
      </c>
      <c r="BH4186" s="1">
        <v>113.21</v>
      </c>
      <c r="BI4186" s="1">
        <v>222500</v>
      </c>
      <c r="BJ4186" s="3">
        <v>42965</v>
      </c>
      <c r="BK4186" t="s">
        <v>123</v>
      </c>
      <c r="BL4186" t="str">
        <f>"2017.610866"</f>
        <v>2017.610866</v>
      </c>
      <c r="BM4186" t="s">
        <v>3638</v>
      </c>
      <c r="BO4186" t="s">
        <v>26535</v>
      </c>
      <c r="BS4186">
        <v>30</v>
      </c>
      <c r="BW4186" t="str">
        <f>""</f>
        <v/>
      </c>
      <c r="CH4186" t="str">
        <f>""</f>
        <v/>
      </c>
      <c r="CS4186" t="str">
        <f>""</f>
        <v/>
      </c>
    </row>
    <row r="4187" spans="1:97" x14ac:dyDescent="0.25">
      <c r="A4187" t="s">
        <v>992</v>
      </c>
      <c r="B4187" t="s">
        <v>26536</v>
      </c>
      <c r="C4187" t="s">
        <v>1607</v>
      </c>
      <c r="D4187" t="s">
        <v>26536</v>
      </c>
      <c r="E4187" t="s">
        <v>26537</v>
      </c>
      <c r="F4187" t="s">
        <v>108</v>
      </c>
      <c r="H4187" t="s">
        <v>26538</v>
      </c>
      <c r="I4187" t="s">
        <v>188</v>
      </c>
      <c r="J4187" t="s">
        <v>111</v>
      </c>
      <c r="K4187" t="str">
        <f>"85142"</f>
        <v>85142</v>
      </c>
      <c r="L4187" t="s">
        <v>1070</v>
      </c>
      <c r="M4187" t="s">
        <v>26538</v>
      </c>
      <c r="N4187" t="s">
        <v>188</v>
      </c>
      <c r="O4187" t="s">
        <v>111</v>
      </c>
      <c r="P4187" t="str">
        <f>"85142-5050"</f>
        <v>85142-5050</v>
      </c>
      <c r="Q4187" t="s">
        <v>113</v>
      </c>
      <c r="R4187" t="str">
        <f>"314-09-367"</f>
        <v>314-09-367</v>
      </c>
      <c r="S4187" t="s">
        <v>20946</v>
      </c>
      <c r="T4187" t="s">
        <v>1073</v>
      </c>
      <c r="U4187">
        <v>2105</v>
      </c>
      <c r="V4187">
        <v>0</v>
      </c>
      <c r="W4187">
        <v>3</v>
      </c>
      <c r="X4187">
        <v>2013</v>
      </c>
      <c r="Z4187">
        <v>2</v>
      </c>
      <c r="AB4187">
        <v>0</v>
      </c>
      <c r="AC4187" t="s">
        <v>115</v>
      </c>
      <c r="AD4187">
        <v>2</v>
      </c>
      <c r="AE4187" t="s">
        <v>115</v>
      </c>
      <c r="AF4187">
        <v>0</v>
      </c>
      <c r="AG4187">
        <v>0</v>
      </c>
      <c r="AH4187" t="s">
        <v>116</v>
      </c>
      <c r="AI4187" s="1">
        <v>61182</v>
      </c>
      <c r="AJ4187" s="2">
        <v>0.2</v>
      </c>
      <c r="AK4187" s="1">
        <v>299182</v>
      </c>
      <c r="AL4187" t="s">
        <v>117</v>
      </c>
      <c r="AM4187" t="s">
        <v>5379</v>
      </c>
      <c r="AN4187">
        <v>5076</v>
      </c>
      <c r="AO4187">
        <v>0.12</v>
      </c>
      <c r="AR4187">
        <v>1</v>
      </c>
      <c r="AS4187" s="1">
        <v>20670</v>
      </c>
      <c r="AT4187" s="1">
        <v>4130</v>
      </c>
      <c r="AU4187" s="1">
        <v>16540</v>
      </c>
      <c r="AV4187">
        <v>80.02</v>
      </c>
      <c r="AX4187" s="1">
        <v>1868.78</v>
      </c>
      <c r="AY4187" t="s">
        <v>1074</v>
      </c>
      <c r="AZ4187" t="s">
        <v>193</v>
      </c>
      <c r="BA4187" t="s">
        <v>194</v>
      </c>
      <c r="BE4187" s="3">
        <v>42507</v>
      </c>
      <c r="BF4187" s="1">
        <v>238000</v>
      </c>
      <c r="BG4187" t="s">
        <v>26539</v>
      </c>
      <c r="BH4187" s="1">
        <v>113.06</v>
      </c>
      <c r="BI4187" s="1">
        <v>238000</v>
      </c>
      <c r="BJ4187" s="3">
        <v>42507</v>
      </c>
      <c r="BK4187" t="s">
        <v>123</v>
      </c>
      <c r="BL4187" t="str">
        <f>"2016.337996"</f>
        <v>2016.337996</v>
      </c>
      <c r="BM4187" t="s">
        <v>594</v>
      </c>
      <c r="BO4187" t="s">
        <v>26540</v>
      </c>
      <c r="BS4187">
        <v>30</v>
      </c>
      <c r="BW4187" t="str">
        <f>""</f>
        <v/>
      </c>
      <c r="CH4187" t="str">
        <f>""</f>
        <v/>
      </c>
      <c r="CS4187" t="str">
        <f>""</f>
        <v/>
      </c>
    </row>
    <row r="4188" spans="1:97" x14ac:dyDescent="0.25">
      <c r="A4188" t="s">
        <v>13566</v>
      </c>
      <c r="B4188" t="s">
        <v>26541</v>
      </c>
      <c r="E4188" t="s">
        <v>26542</v>
      </c>
      <c r="F4188" t="s">
        <v>108</v>
      </c>
      <c r="H4188" t="s">
        <v>26543</v>
      </c>
      <c r="I4188" t="s">
        <v>5523</v>
      </c>
      <c r="J4188" t="s">
        <v>111</v>
      </c>
      <c r="K4188" t="str">
        <f>"85373"</f>
        <v>85373</v>
      </c>
      <c r="L4188" t="s">
        <v>5524</v>
      </c>
      <c r="M4188" t="s">
        <v>26543</v>
      </c>
      <c r="N4188" t="s">
        <v>5523</v>
      </c>
      <c r="O4188" t="s">
        <v>111</v>
      </c>
      <c r="P4188" t="str">
        <f>"85373-5633"</f>
        <v>85373-5633</v>
      </c>
      <c r="Q4188" t="s">
        <v>113</v>
      </c>
      <c r="R4188" t="str">
        <f>"503-97-152"</f>
        <v>503-97-152</v>
      </c>
      <c r="S4188" t="s">
        <v>8164</v>
      </c>
      <c r="T4188" t="s">
        <v>8165</v>
      </c>
      <c r="U4188">
        <v>2471</v>
      </c>
      <c r="V4188">
        <v>0</v>
      </c>
      <c r="W4188">
        <v>4</v>
      </c>
      <c r="X4188">
        <v>2012</v>
      </c>
      <c r="Z4188">
        <v>2</v>
      </c>
      <c r="AB4188">
        <v>0</v>
      </c>
      <c r="AC4188" t="s">
        <v>115</v>
      </c>
      <c r="AD4188">
        <v>2</v>
      </c>
      <c r="AE4188" t="s">
        <v>115</v>
      </c>
      <c r="AF4188">
        <v>0</v>
      </c>
      <c r="AG4188">
        <v>0</v>
      </c>
      <c r="AH4188" t="s">
        <v>116</v>
      </c>
      <c r="AI4188" s="1">
        <v>51490</v>
      </c>
      <c r="AJ4188" s="2">
        <v>0.17</v>
      </c>
      <c r="AK4188" s="1">
        <v>311972</v>
      </c>
      <c r="AL4188" t="s">
        <v>117</v>
      </c>
      <c r="AM4188" t="s">
        <v>191</v>
      </c>
      <c r="AN4188">
        <v>6325</v>
      </c>
      <c r="AO4188">
        <v>0.14000000000000001</v>
      </c>
      <c r="AR4188">
        <v>1</v>
      </c>
      <c r="AS4188" s="1">
        <v>22620</v>
      </c>
      <c r="AT4188" s="1">
        <v>4520</v>
      </c>
      <c r="AU4188" s="1">
        <v>18100</v>
      </c>
      <c r="AV4188">
        <v>80.02</v>
      </c>
      <c r="AX4188" s="1">
        <v>2127.04</v>
      </c>
      <c r="AY4188" t="s">
        <v>3228</v>
      </c>
      <c r="AZ4188" t="s">
        <v>3228</v>
      </c>
      <c r="BA4188" t="s">
        <v>457</v>
      </c>
      <c r="BE4188" s="3">
        <v>41642</v>
      </c>
      <c r="BF4188" s="1">
        <v>265000</v>
      </c>
      <c r="BG4188" t="s">
        <v>26544</v>
      </c>
      <c r="BH4188" s="1">
        <v>107.24</v>
      </c>
      <c r="BI4188" s="1">
        <v>260482</v>
      </c>
      <c r="BJ4188" s="3">
        <v>42569</v>
      </c>
      <c r="BK4188" t="s">
        <v>123</v>
      </c>
      <c r="BL4188" t="str">
        <f>"2016.505774"</f>
        <v>2016.505774</v>
      </c>
      <c r="BM4188" t="s">
        <v>6337</v>
      </c>
      <c r="BO4188" t="s">
        <v>26545</v>
      </c>
      <c r="BS4188">
        <v>30</v>
      </c>
      <c r="BW4188" t="str">
        <f>""</f>
        <v/>
      </c>
      <c r="CH4188" t="str">
        <f>""</f>
        <v/>
      </c>
      <c r="CS4188" t="str">
        <f>""</f>
        <v/>
      </c>
    </row>
    <row r="4189" spans="1:97" x14ac:dyDescent="0.25">
      <c r="A4189" t="s">
        <v>3613</v>
      </c>
      <c r="B4189" t="s">
        <v>26546</v>
      </c>
      <c r="E4189" t="s">
        <v>26547</v>
      </c>
      <c r="F4189" t="s">
        <v>108</v>
      </c>
      <c r="H4189" t="s">
        <v>26548</v>
      </c>
      <c r="I4189" t="s">
        <v>225</v>
      </c>
      <c r="J4189" t="s">
        <v>111</v>
      </c>
      <c r="K4189" t="str">
        <f>"85210"</f>
        <v>85210</v>
      </c>
      <c r="L4189" t="s">
        <v>4003</v>
      </c>
      <c r="M4189" t="s">
        <v>26548</v>
      </c>
      <c r="N4189" t="s">
        <v>225</v>
      </c>
      <c r="O4189" t="s">
        <v>111</v>
      </c>
      <c r="P4189" t="str">
        <f>"85210-6731"</f>
        <v>85210-6731</v>
      </c>
      <c r="Q4189" t="s">
        <v>113</v>
      </c>
      <c r="R4189" t="str">
        <f>"302-04-540"</f>
        <v>302-04-540</v>
      </c>
      <c r="S4189" t="s">
        <v>17389</v>
      </c>
      <c r="T4189" t="s">
        <v>7140</v>
      </c>
      <c r="U4189">
        <v>2087</v>
      </c>
      <c r="V4189">
        <v>0</v>
      </c>
      <c r="W4189">
        <v>2</v>
      </c>
      <c r="X4189">
        <v>1979</v>
      </c>
      <c r="Z4189">
        <v>1</v>
      </c>
      <c r="AA4189" t="s">
        <v>26</v>
      </c>
      <c r="AB4189">
        <v>0</v>
      </c>
      <c r="AC4189" t="s">
        <v>115</v>
      </c>
      <c r="AD4189">
        <v>2</v>
      </c>
      <c r="AE4189" t="s">
        <v>115</v>
      </c>
      <c r="AF4189">
        <v>0</v>
      </c>
      <c r="AG4189">
        <v>0</v>
      </c>
      <c r="AH4189" t="s">
        <v>116</v>
      </c>
      <c r="AI4189" s="1">
        <v>83428</v>
      </c>
      <c r="AJ4189" s="2">
        <v>0.24</v>
      </c>
      <c r="AK4189" s="1">
        <v>341678</v>
      </c>
      <c r="AL4189" t="s">
        <v>117</v>
      </c>
      <c r="AM4189" t="s">
        <v>191</v>
      </c>
      <c r="AN4189">
        <v>13194</v>
      </c>
      <c r="AO4189">
        <v>0.3</v>
      </c>
      <c r="AP4189">
        <v>1</v>
      </c>
      <c r="AR4189">
        <v>1</v>
      </c>
      <c r="AS4189" s="1">
        <v>23650</v>
      </c>
      <c r="AT4189" s="1">
        <v>4730</v>
      </c>
      <c r="AU4189" s="1">
        <v>18920</v>
      </c>
      <c r="AV4189">
        <v>80</v>
      </c>
      <c r="AX4189" s="1">
        <v>1633.48</v>
      </c>
      <c r="AY4189" t="s">
        <v>8076</v>
      </c>
      <c r="AZ4189" t="s">
        <v>7295</v>
      </c>
      <c r="BA4189" t="s">
        <v>5311</v>
      </c>
      <c r="BE4189" s="3">
        <v>41869</v>
      </c>
      <c r="BF4189" s="1">
        <v>250000</v>
      </c>
      <c r="BG4189" t="s">
        <v>26549</v>
      </c>
      <c r="BH4189" s="1">
        <v>119.79</v>
      </c>
      <c r="BI4189" s="1">
        <v>258250</v>
      </c>
      <c r="BJ4189" s="3">
        <v>41869</v>
      </c>
      <c r="BK4189" t="s">
        <v>123</v>
      </c>
      <c r="BL4189" t="str">
        <f>"2014.542740"</f>
        <v>2014.542740</v>
      </c>
      <c r="BM4189" t="s">
        <v>544</v>
      </c>
      <c r="BO4189" t="s">
        <v>26550</v>
      </c>
      <c r="BS4189">
        <v>30</v>
      </c>
      <c r="BW4189" t="str">
        <f>""</f>
        <v/>
      </c>
      <c r="CH4189" t="str">
        <f>""</f>
        <v/>
      </c>
      <c r="CS4189" t="str">
        <f>""</f>
        <v/>
      </c>
    </row>
    <row r="4190" spans="1:97" x14ac:dyDescent="0.25">
      <c r="A4190" t="s">
        <v>1906</v>
      </c>
      <c r="B4190" t="s">
        <v>26551</v>
      </c>
      <c r="E4190" t="s">
        <v>26552</v>
      </c>
      <c r="F4190" t="s">
        <v>282</v>
      </c>
      <c r="H4190" t="s">
        <v>26553</v>
      </c>
      <c r="I4190" t="s">
        <v>632</v>
      </c>
      <c r="J4190" t="s">
        <v>111</v>
      </c>
      <c r="K4190" t="str">
        <f>"85388"</f>
        <v>85388</v>
      </c>
      <c r="L4190" t="s">
        <v>417</v>
      </c>
      <c r="M4190" t="s">
        <v>26554</v>
      </c>
      <c r="N4190" t="s">
        <v>390</v>
      </c>
      <c r="O4190" t="s">
        <v>111</v>
      </c>
      <c r="P4190" t="str">
        <f>"85037-5939"</f>
        <v>85037-5939</v>
      </c>
      <c r="Q4190" t="s">
        <v>113</v>
      </c>
      <c r="R4190" t="str">
        <f>"501-12-732"</f>
        <v>501-12-732</v>
      </c>
      <c r="S4190" t="s">
        <v>13998</v>
      </c>
      <c r="T4190" t="s">
        <v>12219</v>
      </c>
      <c r="U4190">
        <v>2220</v>
      </c>
      <c r="V4190">
        <v>0</v>
      </c>
      <c r="W4190">
        <v>4</v>
      </c>
      <c r="X4190">
        <v>2004</v>
      </c>
      <c r="Z4190">
        <v>2</v>
      </c>
      <c r="AA4190" t="s">
        <v>26</v>
      </c>
      <c r="AB4190">
        <v>0</v>
      </c>
      <c r="AC4190" t="s">
        <v>115</v>
      </c>
      <c r="AD4190">
        <v>3</v>
      </c>
      <c r="AE4190" t="s">
        <v>115</v>
      </c>
      <c r="AF4190">
        <v>0</v>
      </c>
      <c r="AG4190">
        <v>0</v>
      </c>
      <c r="AH4190" t="s">
        <v>116</v>
      </c>
      <c r="AI4190" s="1">
        <v>73734</v>
      </c>
      <c r="AJ4190" s="2">
        <v>0.25</v>
      </c>
      <c r="AK4190" s="1">
        <v>292734</v>
      </c>
      <c r="AL4190" t="s">
        <v>117</v>
      </c>
      <c r="AM4190" t="s">
        <v>118</v>
      </c>
      <c r="AN4190">
        <v>6855</v>
      </c>
      <c r="AO4190">
        <v>0.16</v>
      </c>
      <c r="AP4190">
        <v>1</v>
      </c>
      <c r="AR4190">
        <v>1</v>
      </c>
      <c r="AS4190" s="1">
        <v>20320</v>
      </c>
      <c r="AT4190" s="1">
        <v>4060</v>
      </c>
      <c r="AU4190" s="1">
        <v>16260</v>
      </c>
      <c r="AV4190">
        <v>80.02</v>
      </c>
      <c r="AX4190" s="1">
        <v>1139.18</v>
      </c>
      <c r="AY4190" t="s">
        <v>5517</v>
      </c>
      <c r="AZ4190" t="s">
        <v>5517</v>
      </c>
      <c r="BA4190" t="s">
        <v>5109</v>
      </c>
      <c r="BE4190" s="3">
        <v>42132</v>
      </c>
      <c r="BF4190" s="1">
        <v>219000</v>
      </c>
      <c r="BG4190" t="s">
        <v>26555</v>
      </c>
      <c r="BH4190" s="1">
        <v>98.65</v>
      </c>
      <c r="BI4190" s="1">
        <v>219000</v>
      </c>
      <c r="BJ4190" s="3">
        <v>42132</v>
      </c>
      <c r="BK4190" t="s">
        <v>123</v>
      </c>
      <c r="BL4190" t="str">
        <f>"2015.325745"</f>
        <v>2015.325745</v>
      </c>
      <c r="BM4190" t="s">
        <v>1325</v>
      </c>
      <c r="BO4190" t="s">
        <v>26556</v>
      </c>
      <c r="BS4190">
        <v>30</v>
      </c>
      <c r="BW4190" t="str">
        <f>""</f>
        <v/>
      </c>
      <c r="CH4190" t="str">
        <f>""</f>
        <v/>
      </c>
      <c r="CS4190" t="str">
        <f>""</f>
        <v/>
      </c>
    </row>
    <row r="4191" spans="1:97" x14ac:dyDescent="0.25">
      <c r="B4191" t="s">
        <v>26557</v>
      </c>
      <c r="E4191" t="s">
        <v>26558</v>
      </c>
      <c r="F4191" t="s">
        <v>108</v>
      </c>
      <c r="H4191" t="s">
        <v>26559</v>
      </c>
      <c r="I4191" t="s">
        <v>5636</v>
      </c>
      <c r="J4191" t="s">
        <v>111</v>
      </c>
      <c r="K4191" t="str">
        <f>"85268"</f>
        <v>85268</v>
      </c>
      <c r="L4191" t="s">
        <v>500</v>
      </c>
      <c r="M4191" t="s">
        <v>26559</v>
      </c>
      <c r="N4191" t="s">
        <v>5636</v>
      </c>
      <c r="O4191" t="s">
        <v>111</v>
      </c>
      <c r="P4191" t="str">
        <f>"85268-3239"</f>
        <v>85268-3239</v>
      </c>
      <c r="Q4191" t="s">
        <v>113</v>
      </c>
      <c r="R4191" t="str">
        <f>"176-03-064"</f>
        <v>176-03-064</v>
      </c>
      <c r="S4191" t="s">
        <v>12231</v>
      </c>
      <c r="U4191">
        <v>1522</v>
      </c>
      <c r="V4191">
        <v>0</v>
      </c>
      <c r="W4191">
        <v>3</v>
      </c>
      <c r="X4191">
        <v>1988</v>
      </c>
      <c r="Z4191">
        <v>1</v>
      </c>
      <c r="AB4191">
        <v>0</v>
      </c>
      <c r="AC4191" t="s">
        <v>115</v>
      </c>
      <c r="AD4191">
        <v>2</v>
      </c>
      <c r="AE4191" t="s">
        <v>115</v>
      </c>
      <c r="AF4191">
        <v>0</v>
      </c>
      <c r="AG4191">
        <v>0</v>
      </c>
      <c r="AH4191" t="s">
        <v>116</v>
      </c>
      <c r="AI4191" s="1">
        <v>99000</v>
      </c>
      <c r="AJ4191" s="2">
        <v>0.28000000000000003</v>
      </c>
      <c r="AK4191" s="1">
        <v>348986</v>
      </c>
      <c r="AL4191" t="s">
        <v>117</v>
      </c>
      <c r="AM4191" t="s">
        <v>171</v>
      </c>
      <c r="AN4191">
        <v>10023</v>
      </c>
      <c r="AO4191">
        <v>0.23</v>
      </c>
      <c r="AP4191">
        <v>1</v>
      </c>
      <c r="AR4191">
        <v>1</v>
      </c>
      <c r="AS4191" s="1">
        <v>22600</v>
      </c>
      <c r="AT4191" s="1">
        <v>4520</v>
      </c>
      <c r="AU4191" s="1">
        <v>18080</v>
      </c>
      <c r="AV4191">
        <v>80</v>
      </c>
      <c r="AX4191" s="1">
        <v>1337.4</v>
      </c>
      <c r="AY4191" t="s">
        <v>6485</v>
      </c>
      <c r="AZ4191" t="s">
        <v>5640</v>
      </c>
      <c r="BA4191" t="s">
        <v>5641</v>
      </c>
      <c r="BE4191" s="3">
        <v>42131</v>
      </c>
      <c r="BF4191" s="1">
        <v>242000</v>
      </c>
      <c r="BG4191" t="s">
        <v>26560</v>
      </c>
      <c r="BH4191" s="1">
        <v>159</v>
      </c>
      <c r="BI4191" s="1">
        <v>249986</v>
      </c>
      <c r="BJ4191" s="3">
        <v>42131</v>
      </c>
      <c r="BK4191" t="s">
        <v>123</v>
      </c>
      <c r="BL4191" t="str">
        <f>"2015.321821"</f>
        <v>2015.321821</v>
      </c>
      <c r="BM4191" t="s">
        <v>3929</v>
      </c>
      <c r="BO4191" t="s">
        <v>26561</v>
      </c>
      <c r="BS4191">
        <v>30</v>
      </c>
      <c r="BW4191" t="str">
        <f>""</f>
        <v/>
      </c>
      <c r="CH4191" t="str">
        <f>""</f>
        <v/>
      </c>
      <c r="CS4191" t="str">
        <f>""</f>
        <v/>
      </c>
    </row>
    <row r="4192" spans="1:97" x14ac:dyDescent="0.25">
      <c r="A4192" t="s">
        <v>701</v>
      </c>
      <c r="B4192" t="s">
        <v>26562</v>
      </c>
      <c r="E4192" t="s">
        <v>26563</v>
      </c>
      <c r="F4192" t="s">
        <v>282</v>
      </c>
      <c r="H4192" t="s">
        <v>26564</v>
      </c>
      <c r="I4192" t="s">
        <v>390</v>
      </c>
      <c r="J4192" t="s">
        <v>111</v>
      </c>
      <c r="K4192" t="str">
        <f>"85051"</f>
        <v>85051</v>
      </c>
      <c r="L4192" t="s">
        <v>4282</v>
      </c>
      <c r="M4192" t="s">
        <v>26565</v>
      </c>
      <c r="N4192" t="s">
        <v>390</v>
      </c>
      <c r="O4192" t="s">
        <v>111</v>
      </c>
      <c r="P4192" t="str">
        <f>"85051"</f>
        <v>85051</v>
      </c>
      <c r="Q4192" t="s">
        <v>113</v>
      </c>
      <c r="R4192" t="str">
        <f>"149-36-339"</f>
        <v>149-36-339</v>
      </c>
      <c r="S4192" t="s">
        <v>26566</v>
      </c>
      <c r="T4192" t="s">
        <v>21333</v>
      </c>
      <c r="U4192">
        <v>1768</v>
      </c>
      <c r="V4192">
        <v>0</v>
      </c>
      <c r="W4192">
        <v>2</v>
      </c>
      <c r="X4192">
        <v>1972</v>
      </c>
      <c r="Z4192">
        <v>1</v>
      </c>
      <c r="AA4192" t="s">
        <v>26</v>
      </c>
      <c r="AB4192">
        <v>0</v>
      </c>
      <c r="AC4192" t="s">
        <v>115</v>
      </c>
      <c r="AD4192">
        <v>2</v>
      </c>
      <c r="AE4192" t="s">
        <v>115</v>
      </c>
      <c r="AF4192">
        <v>0</v>
      </c>
      <c r="AG4192">
        <v>0</v>
      </c>
      <c r="AH4192" t="s">
        <v>116</v>
      </c>
      <c r="AI4192" s="1">
        <v>63028</v>
      </c>
      <c r="AJ4192" s="2">
        <v>0.24</v>
      </c>
      <c r="AK4192" s="1">
        <v>267225</v>
      </c>
      <c r="AL4192" t="s">
        <v>117</v>
      </c>
      <c r="AM4192" t="s">
        <v>191</v>
      </c>
      <c r="AN4192">
        <v>10572</v>
      </c>
      <c r="AO4192">
        <v>0.24</v>
      </c>
      <c r="AP4192">
        <v>1</v>
      </c>
      <c r="AR4192">
        <v>1</v>
      </c>
      <c r="AS4192" s="1">
        <v>17610</v>
      </c>
      <c r="AT4192" s="1">
        <v>3520</v>
      </c>
      <c r="AU4192" s="1">
        <v>14090</v>
      </c>
      <c r="AV4192">
        <v>80.010000000000005</v>
      </c>
      <c r="AX4192" s="1">
        <v>1236.54</v>
      </c>
      <c r="AY4192" t="s">
        <v>21334</v>
      </c>
      <c r="AZ4192" t="s">
        <v>6986</v>
      </c>
      <c r="BA4192" t="s">
        <v>21687</v>
      </c>
      <c r="BE4192" s="3">
        <v>42143</v>
      </c>
      <c r="BF4192" s="1">
        <v>199900</v>
      </c>
      <c r="BG4192" t="s">
        <v>24880</v>
      </c>
      <c r="BH4192" s="1">
        <v>113.07</v>
      </c>
      <c r="BI4192" s="1">
        <v>204197</v>
      </c>
      <c r="BJ4192" s="3">
        <v>42143</v>
      </c>
      <c r="BK4192" t="s">
        <v>123</v>
      </c>
      <c r="BL4192" t="str">
        <f>"2015.351315"</f>
        <v>2015.351315</v>
      </c>
      <c r="BM4192" t="s">
        <v>724</v>
      </c>
      <c r="BO4192" t="s">
        <v>26567</v>
      </c>
      <c r="BS4192">
        <v>30</v>
      </c>
      <c r="BW4192" t="str">
        <f>""</f>
        <v/>
      </c>
      <c r="CH4192" t="str">
        <f>""</f>
        <v/>
      </c>
      <c r="CS4192" t="str">
        <f>""</f>
        <v/>
      </c>
    </row>
    <row r="4193" spans="1:97" x14ac:dyDescent="0.25">
      <c r="A4193" t="s">
        <v>211</v>
      </c>
      <c r="B4193" t="s">
        <v>4774</v>
      </c>
      <c r="C4193" t="s">
        <v>513</v>
      </c>
      <c r="D4193" t="s">
        <v>26568</v>
      </c>
      <c r="E4193" t="s">
        <v>26569</v>
      </c>
      <c r="F4193" t="s">
        <v>108</v>
      </c>
      <c r="H4193" t="s">
        <v>26570</v>
      </c>
      <c r="I4193" t="s">
        <v>499</v>
      </c>
      <c r="J4193" t="s">
        <v>111</v>
      </c>
      <c r="K4193" t="str">
        <f>"85395"</f>
        <v>85395</v>
      </c>
      <c r="L4193" t="s">
        <v>6145</v>
      </c>
      <c r="M4193" t="s">
        <v>26570</v>
      </c>
      <c r="N4193" t="s">
        <v>499</v>
      </c>
      <c r="O4193" t="s">
        <v>111</v>
      </c>
      <c r="P4193" t="str">
        <f>"85395-3121"</f>
        <v>85395-3121</v>
      </c>
      <c r="Q4193" t="s">
        <v>113</v>
      </c>
      <c r="R4193" t="str">
        <f>"501-75-429"</f>
        <v>501-75-429</v>
      </c>
      <c r="S4193" t="s">
        <v>6794</v>
      </c>
      <c r="T4193" t="s">
        <v>6795</v>
      </c>
      <c r="U4193">
        <v>2444</v>
      </c>
      <c r="V4193">
        <v>0</v>
      </c>
      <c r="W4193">
        <v>3</v>
      </c>
      <c r="X4193">
        <v>1995</v>
      </c>
      <c r="Z4193">
        <v>1</v>
      </c>
      <c r="AB4193">
        <v>0</v>
      </c>
      <c r="AC4193" t="s">
        <v>115</v>
      </c>
      <c r="AD4193">
        <v>3</v>
      </c>
      <c r="AE4193" t="s">
        <v>115</v>
      </c>
      <c r="AF4193">
        <v>0</v>
      </c>
      <c r="AG4193">
        <v>0</v>
      </c>
      <c r="AH4193" t="s">
        <v>116</v>
      </c>
      <c r="AI4193" s="1">
        <v>23213</v>
      </c>
      <c r="AJ4193" s="2">
        <v>0.06</v>
      </c>
      <c r="AK4193" s="1">
        <v>378713</v>
      </c>
      <c r="AL4193" t="s">
        <v>117</v>
      </c>
      <c r="AM4193" t="s">
        <v>118</v>
      </c>
      <c r="AN4193">
        <v>13465</v>
      </c>
      <c r="AO4193">
        <v>0.31</v>
      </c>
      <c r="AP4193">
        <v>1</v>
      </c>
      <c r="AR4193">
        <v>1</v>
      </c>
      <c r="AS4193" s="1">
        <v>27150</v>
      </c>
      <c r="AT4193" s="1">
        <v>5430</v>
      </c>
      <c r="AU4193" s="1">
        <v>21720</v>
      </c>
      <c r="AV4193">
        <v>80</v>
      </c>
      <c r="AX4193" s="1">
        <v>2913.5</v>
      </c>
      <c r="AY4193" t="s">
        <v>6796</v>
      </c>
      <c r="AZ4193" t="s">
        <v>6796</v>
      </c>
      <c r="BA4193" t="s">
        <v>3154</v>
      </c>
      <c r="BE4193" s="3">
        <v>42537</v>
      </c>
      <c r="BF4193" s="1">
        <v>342000</v>
      </c>
      <c r="BG4193" t="s">
        <v>26571</v>
      </c>
      <c r="BH4193" s="1">
        <v>139.93</v>
      </c>
      <c r="BI4193" s="1">
        <v>355500</v>
      </c>
      <c r="BJ4193" s="3">
        <v>42601</v>
      </c>
      <c r="BK4193" t="s">
        <v>123</v>
      </c>
      <c r="BL4193" t="str">
        <f>"2016.596745"</f>
        <v>2016.596745</v>
      </c>
      <c r="BM4193" t="s">
        <v>2117</v>
      </c>
      <c r="BO4193" t="s">
        <v>26572</v>
      </c>
      <c r="BP4193" t="s">
        <v>26573</v>
      </c>
      <c r="BQ4193" t="str">
        <f>"1.7500%"</f>
        <v>1.7500%</v>
      </c>
      <c r="BR4193" t="s">
        <v>1480</v>
      </c>
      <c r="BS4193">
        <v>30</v>
      </c>
      <c r="BW4193" t="str">
        <f>""</f>
        <v/>
      </c>
      <c r="CH4193" t="str">
        <f>""</f>
        <v/>
      </c>
      <c r="CS4193" t="str">
        <f>""</f>
        <v/>
      </c>
    </row>
    <row r="4194" spans="1:97" x14ac:dyDescent="0.25">
      <c r="A4194" t="s">
        <v>251</v>
      </c>
      <c r="B4194" t="s">
        <v>26574</v>
      </c>
      <c r="E4194" t="s">
        <v>26575</v>
      </c>
      <c r="F4194" t="s">
        <v>108</v>
      </c>
      <c r="H4194" t="s">
        <v>26576</v>
      </c>
      <c r="I4194" t="s">
        <v>390</v>
      </c>
      <c r="J4194" t="s">
        <v>111</v>
      </c>
      <c r="K4194" t="str">
        <f>"85007"</f>
        <v>85007</v>
      </c>
      <c r="L4194" t="s">
        <v>5074</v>
      </c>
      <c r="M4194" t="s">
        <v>26576</v>
      </c>
      <c r="N4194" t="s">
        <v>390</v>
      </c>
      <c r="O4194" t="s">
        <v>111</v>
      </c>
      <c r="P4194" t="str">
        <f>"85007-1118"</f>
        <v>85007-1118</v>
      </c>
      <c r="Q4194" t="s">
        <v>113</v>
      </c>
      <c r="R4194" t="str">
        <f>"111-14-041"</f>
        <v>111-14-041</v>
      </c>
      <c r="S4194" t="s">
        <v>17013</v>
      </c>
      <c r="T4194" t="s">
        <v>17013</v>
      </c>
      <c r="U4194">
        <v>2782</v>
      </c>
      <c r="V4194">
        <v>0</v>
      </c>
      <c r="W4194">
        <v>3</v>
      </c>
      <c r="X4194">
        <v>1952</v>
      </c>
      <c r="Z4194">
        <v>1</v>
      </c>
      <c r="AB4194">
        <v>0</v>
      </c>
      <c r="AC4194" t="s">
        <v>5188</v>
      </c>
      <c r="AD4194">
        <v>1</v>
      </c>
      <c r="AE4194" t="s">
        <v>5188</v>
      </c>
      <c r="AF4194">
        <v>0</v>
      </c>
      <c r="AG4194">
        <v>0</v>
      </c>
      <c r="AH4194" t="s">
        <v>116</v>
      </c>
      <c r="AI4194" s="1">
        <v>169205</v>
      </c>
      <c r="AJ4194" s="2">
        <v>0.28999999999999998</v>
      </c>
      <c r="AK4194" s="1">
        <v>593305</v>
      </c>
      <c r="AL4194" t="s">
        <v>117</v>
      </c>
      <c r="AM4194" t="s">
        <v>191</v>
      </c>
      <c r="AN4194">
        <v>9291</v>
      </c>
      <c r="AO4194">
        <v>0.21</v>
      </c>
      <c r="AP4194">
        <v>1</v>
      </c>
      <c r="AR4194">
        <v>1</v>
      </c>
      <c r="AS4194" s="1">
        <v>40900</v>
      </c>
      <c r="AT4194" s="1">
        <v>8180</v>
      </c>
      <c r="AU4194" s="1">
        <v>32720</v>
      </c>
      <c r="AV4194">
        <v>80</v>
      </c>
      <c r="AX4194" s="1">
        <v>4213.2</v>
      </c>
      <c r="AY4194" t="s">
        <v>5468</v>
      </c>
      <c r="AZ4194" t="s">
        <v>5468</v>
      </c>
      <c r="BA4194" t="s">
        <v>5469</v>
      </c>
      <c r="BB4194" s="3">
        <v>42543</v>
      </c>
      <c r="BD4194" t="s">
        <v>458</v>
      </c>
      <c r="BE4194" s="3">
        <v>42293</v>
      </c>
      <c r="BF4194" s="1">
        <v>394000</v>
      </c>
      <c r="BG4194" t="s">
        <v>26577</v>
      </c>
      <c r="BH4194" s="1">
        <v>141.62</v>
      </c>
      <c r="BI4194" s="1">
        <v>424100</v>
      </c>
      <c r="BJ4194" s="3">
        <v>42968</v>
      </c>
      <c r="BK4194" t="s">
        <v>123</v>
      </c>
      <c r="BL4194" t="str">
        <f>"2017.617377"</f>
        <v>2017.617377</v>
      </c>
      <c r="BM4194" t="s">
        <v>6604</v>
      </c>
      <c r="BO4194" t="s">
        <v>26578</v>
      </c>
      <c r="BS4194">
        <v>30</v>
      </c>
      <c r="BW4194" t="str">
        <f>""</f>
        <v/>
      </c>
      <c r="CH4194" t="str">
        <f>""</f>
        <v/>
      </c>
      <c r="CS4194" t="str">
        <f>""</f>
        <v/>
      </c>
    </row>
    <row r="4195" spans="1:97" x14ac:dyDescent="0.25">
      <c r="A4195" t="s">
        <v>325</v>
      </c>
      <c r="B4195" t="s">
        <v>26579</v>
      </c>
      <c r="C4195" t="s">
        <v>179</v>
      </c>
      <c r="D4195" t="s">
        <v>26579</v>
      </c>
      <c r="E4195" t="s">
        <v>26580</v>
      </c>
      <c r="F4195" t="s">
        <v>108</v>
      </c>
      <c r="H4195" t="s">
        <v>26581</v>
      </c>
      <c r="I4195" t="s">
        <v>499</v>
      </c>
      <c r="J4195" t="s">
        <v>111</v>
      </c>
      <c r="K4195" t="str">
        <f>"85338"</f>
        <v>85338</v>
      </c>
      <c r="L4195" t="s">
        <v>6316</v>
      </c>
      <c r="M4195" t="s">
        <v>26581</v>
      </c>
      <c r="N4195" t="s">
        <v>499</v>
      </c>
      <c r="O4195" t="s">
        <v>111</v>
      </c>
      <c r="P4195" t="str">
        <f>"85338-6067"</f>
        <v>85338-6067</v>
      </c>
      <c r="Q4195" t="s">
        <v>113</v>
      </c>
      <c r="R4195" t="str">
        <f>"502-39-415"</f>
        <v>502-39-415</v>
      </c>
      <c r="S4195" t="s">
        <v>15300</v>
      </c>
      <c r="T4195" t="s">
        <v>6318</v>
      </c>
      <c r="U4195">
        <v>3211</v>
      </c>
      <c r="V4195">
        <v>0</v>
      </c>
      <c r="W4195">
        <v>4</v>
      </c>
      <c r="X4195">
        <v>2007</v>
      </c>
      <c r="Z4195">
        <v>2</v>
      </c>
      <c r="AB4195">
        <v>0</v>
      </c>
      <c r="AC4195" t="s">
        <v>115</v>
      </c>
      <c r="AD4195">
        <v>3</v>
      </c>
      <c r="AE4195" t="s">
        <v>115</v>
      </c>
      <c r="AF4195">
        <v>0</v>
      </c>
      <c r="AG4195">
        <v>0</v>
      </c>
      <c r="AH4195" t="s">
        <v>116</v>
      </c>
      <c r="AI4195" s="1">
        <v>58984</v>
      </c>
      <c r="AJ4195" s="2">
        <v>0.18</v>
      </c>
      <c r="AK4195" s="1">
        <v>331574</v>
      </c>
      <c r="AL4195" t="s">
        <v>117</v>
      </c>
      <c r="AM4195" t="s">
        <v>118</v>
      </c>
      <c r="AN4195">
        <v>9169</v>
      </c>
      <c r="AO4195">
        <v>0.21</v>
      </c>
      <c r="AR4195">
        <v>1</v>
      </c>
      <c r="AS4195" s="1">
        <v>24110</v>
      </c>
      <c r="AT4195" s="1">
        <v>4820</v>
      </c>
      <c r="AU4195" s="1">
        <v>19290</v>
      </c>
      <c r="AV4195">
        <v>80.010000000000005</v>
      </c>
      <c r="AX4195" s="1">
        <v>2303.34</v>
      </c>
      <c r="AY4195" t="s">
        <v>6319</v>
      </c>
      <c r="AZ4195" t="s">
        <v>6319</v>
      </c>
      <c r="BA4195" t="s">
        <v>218</v>
      </c>
      <c r="BE4195" s="3">
        <v>41942</v>
      </c>
      <c r="BF4195" s="1">
        <v>230000</v>
      </c>
      <c r="BG4195" t="s">
        <v>26582</v>
      </c>
      <c r="BH4195" s="1">
        <v>71.63</v>
      </c>
      <c r="BI4195" s="1">
        <v>237590</v>
      </c>
      <c r="BJ4195" s="3">
        <v>41942</v>
      </c>
      <c r="BK4195" t="s">
        <v>123</v>
      </c>
      <c r="BL4195" t="str">
        <f>"2014.720643"</f>
        <v>2014.720643</v>
      </c>
      <c r="BM4195" t="s">
        <v>3453</v>
      </c>
      <c r="BN4195" t="s">
        <v>3763</v>
      </c>
      <c r="BO4195" t="s">
        <v>26583</v>
      </c>
      <c r="BS4195">
        <v>30</v>
      </c>
      <c r="BT4195" s="1">
        <v>35000</v>
      </c>
      <c r="BU4195" s="3">
        <v>43605</v>
      </c>
      <c r="BW4195" t="str">
        <f>"2019.366211"</f>
        <v>2019.366211</v>
      </c>
      <c r="BX4195" t="s">
        <v>26584</v>
      </c>
      <c r="BY4195" t="s">
        <v>26585</v>
      </c>
      <c r="BZ4195" t="s">
        <v>26586</v>
      </c>
      <c r="CA4195" t="s">
        <v>26587</v>
      </c>
      <c r="CC4195" t="s">
        <v>346</v>
      </c>
      <c r="CH4195" t="str">
        <f>""</f>
        <v/>
      </c>
      <c r="CS4195" t="str">
        <f>""</f>
        <v/>
      </c>
    </row>
    <row r="4196" spans="1:97" x14ac:dyDescent="0.25">
      <c r="A4196" t="s">
        <v>1252</v>
      </c>
      <c r="B4196" t="s">
        <v>7823</v>
      </c>
      <c r="E4196" t="s">
        <v>26588</v>
      </c>
      <c r="F4196" t="s">
        <v>108</v>
      </c>
      <c r="H4196" t="s">
        <v>26589</v>
      </c>
      <c r="I4196" t="s">
        <v>110</v>
      </c>
      <c r="J4196" t="s">
        <v>111</v>
      </c>
      <c r="K4196" t="str">
        <f>"85225"</f>
        <v>85225</v>
      </c>
      <c r="L4196" t="s">
        <v>6169</v>
      </c>
      <c r="M4196" t="s">
        <v>26589</v>
      </c>
      <c r="N4196" t="s">
        <v>110</v>
      </c>
      <c r="O4196" t="s">
        <v>111</v>
      </c>
      <c r="P4196" t="str">
        <f>"85225-5780"</f>
        <v>85225-5780</v>
      </c>
      <c r="Q4196" t="s">
        <v>113</v>
      </c>
      <c r="R4196" t="str">
        <f>"303-69-085"</f>
        <v>303-69-085</v>
      </c>
      <c r="S4196" t="s">
        <v>13560</v>
      </c>
      <c r="T4196" t="s">
        <v>13561</v>
      </c>
      <c r="U4196">
        <v>1650</v>
      </c>
      <c r="V4196">
        <v>0</v>
      </c>
      <c r="W4196">
        <v>4</v>
      </c>
      <c r="X4196">
        <v>1991</v>
      </c>
      <c r="Z4196">
        <v>2</v>
      </c>
      <c r="AB4196">
        <v>0</v>
      </c>
      <c r="AC4196" t="s">
        <v>115</v>
      </c>
      <c r="AD4196">
        <v>2</v>
      </c>
      <c r="AE4196" t="s">
        <v>115</v>
      </c>
      <c r="AF4196">
        <v>0</v>
      </c>
      <c r="AG4196">
        <v>0</v>
      </c>
      <c r="AH4196" t="s">
        <v>116</v>
      </c>
      <c r="AI4196" s="1">
        <v>76148</v>
      </c>
      <c r="AJ4196" s="2">
        <v>0.24</v>
      </c>
      <c r="AK4196" s="1">
        <v>312420</v>
      </c>
      <c r="AL4196" t="s">
        <v>117</v>
      </c>
      <c r="AM4196" t="s">
        <v>118</v>
      </c>
      <c r="AN4196">
        <v>4613</v>
      </c>
      <c r="AO4196">
        <v>0.11</v>
      </c>
      <c r="AP4196">
        <v>1</v>
      </c>
      <c r="AR4196">
        <v>1</v>
      </c>
      <c r="AS4196" s="1">
        <v>22570</v>
      </c>
      <c r="AT4196" s="1">
        <v>4510</v>
      </c>
      <c r="AU4196" s="1">
        <v>18060</v>
      </c>
      <c r="AV4196">
        <v>80.02</v>
      </c>
      <c r="AX4196" s="1">
        <v>1768.02</v>
      </c>
      <c r="AY4196" t="s">
        <v>5650</v>
      </c>
      <c r="AZ4196" t="s">
        <v>2906</v>
      </c>
      <c r="BA4196" t="s">
        <v>303</v>
      </c>
      <c r="BE4196" s="3">
        <v>42066</v>
      </c>
      <c r="BF4196" s="1">
        <v>225300</v>
      </c>
      <c r="BG4196" t="s">
        <v>26590</v>
      </c>
      <c r="BH4196" s="1">
        <v>136.55000000000001</v>
      </c>
      <c r="BI4196" s="1">
        <v>236272</v>
      </c>
      <c r="BJ4196" s="3">
        <v>42066</v>
      </c>
      <c r="BK4196" t="s">
        <v>123</v>
      </c>
      <c r="BL4196" t="str">
        <f>"2015.142632"</f>
        <v>2015.142632</v>
      </c>
      <c r="BM4196" t="s">
        <v>1038</v>
      </c>
      <c r="BO4196" t="s">
        <v>26591</v>
      </c>
      <c r="BS4196">
        <v>30</v>
      </c>
      <c r="BW4196" t="str">
        <f>""</f>
        <v/>
      </c>
      <c r="CH4196" t="str">
        <f>""</f>
        <v/>
      </c>
      <c r="CS4196" t="str">
        <f>""</f>
        <v/>
      </c>
    </row>
    <row r="4197" spans="1:97" x14ac:dyDescent="0.25">
      <c r="A4197" t="s">
        <v>305</v>
      </c>
      <c r="B4197" t="s">
        <v>4527</v>
      </c>
      <c r="C4197" t="s">
        <v>26592</v>
      </c>
      <c r="D4197" t="s">
        <v>4527</v>
      </c>
      <c r="E4197" t="s">
        <v>26593</v>
      </c>
      <c r="F4197" t="s">
        <v>108</v>
      </c>
      <c r="H4197" t="s">
        <v>26594</v>
      </c>
      <c r="I4197" t="s">
        <v>225</v>
      </c>
      <c r="J4197" t="s">
        <v>111</v>
      </c>
      <c r="K4197" t="str">
        <f>"85212"</f>
        <v>85212</v>
      </c>
      <c r="L4197" t="s">
        <v>3140</v>
      </c>
      <c r="M4197" t="s">
        <v>26594</v>
      </c>
      <c r="N4197" t="s">
        <v>225</v>
      </c>
      <c r="O4197" t="s">
        <v>111</v>
      </c>
      <c r="P4197" t="str">
        <f>"85212-1900"</f>
        <v>85212-1900</v>
      </c>
      <c r="Q4197" t="s">
        <v>113</v>
      </c>
      <c r="R4197" t="str">
        <f>"304-01-544"</f>
        <v>304-01-544</v>
      </c>
      <c r="S4197" t="s">
        <v>26595</v>
      </c>
      <c r="T4197" t="s">
        <v>12865</v>
      </c>
      <c r="U4197">
        <v>1664</v>
      </c>
      <c r="V4197">
        <v>0</v>
      </c>
      <c r="W4197">
        <v>3</v>
      </c>
      <c r="X4197">
        <v>2001</v>
      </c>
      <c r="Z4197">
        <v>1</v>
      </c>
      <c r="AA4197" t="s">
        <v>26</v>
      </c>
      <c r="AB4197">
        <v>0</v>
      </c>
      <c r="AC4197" t="s">
        <v>115</v>
      </c>
      <c r="AD4197">
        <v>2</v>
      </c>
      <c r="AE4197" t="s">
        <v>115</v>
      </c>
      <c r="AF4197">
        <v>0</v>
      </c>
      <c r="AG4197">
        <v>0</v>
      </c>
      <c r="AH4197" t="s">
        <v>116</v>
      </c>
      <c r="AI4197" s="1">
        <v>78379</v>
      </c>
      <c r="AJ4197" s="2">
        <v>0.26</v>
      </c>
      <c r="AK4197" s="1">
        <v>295859</v>
      </c>
      <c r="AL4197" t="s">
        <v>117</v>
      </c>
      <c r="AM4197" t="s">
        <v>191</v>
      </c>
      <c r="AN4197">
        <v>7413</v>
      </c>
      <c r="AO4197">
        <v>0.17</v>
      </c>
      <c r="AP4197">
        <v>1</v>
      </c>
      <c r="AR4197">
        <v>1</v>
      </c>
      <c r="AS4197" s="1">
        <v>20200</v>
      </c>
      <c r="AT4197" s="1">
        <v>4040</v>
      </c>
      <c r="AU4197" s="1">
        <v>16160</v>
      </c>
      <c r="AV4197">
        <v>80</v>
      </c>
      <c r="AX4197" s="1">
        <v>1399.96</v>
      </c>
      <c r="AY4197" t="s">
        <v>776</v>
      </c>
      <c r="AZ4197" t="s">
        <v>777</v>
      </c>
      <c r="BA4197" t="s">
        <v>572</v>
      </c>
      <c r="BE4197" s="3">
        <v>42090</v>
      </c>
      <c r="BF4197" s="1">
        <v>211000</v>
      </c>
      <c r="BG4197" t="s">
        <v>26596</v>
      </c>
      <c r="BH4197" s="1">
        <v>126.8</v>
      </c>
      <c r="BI4197" s="1">
        <v>217480</v>
      </c>
      <c r="BJ4197" s="3">
        <v>42090</v>
      </c>
      <c r="BK4197" t="s">
        <v>123</v>
      </c>
      <c r="BL4197" t="str">
        <f>"2015.207419"</f>
        <v>2015.207419</v>
      </c>
      <c r="BM4197" t="s">
        <v>1185</v>
      </c>
      <c r="BO4197" t="s">
        <v>26597</v>
      </c>
      <c r="BS4197">
        <v>30</v>
      </c>
      <c r="BW4197" t="str">
        <f>""</f>
        <v/>
      </c>
      <c r="CH4197" t="str">
        <f>""</f>
        <v/>
      </c>
      <c r="CS4197" t="str">
        <f>""</f>
        <v/>
      </c>
    </row>
    <row r="4198" spans="1:97" x14ac:dyDescent="0.25">
      <c r="A4198" t="s">
        <v>305</v>
      </c>
      <c r="B4198" t="s">
        <v>1619</v>
      </c>
      <c r="C4198" t="s">
        <v>1366</v>
      </c>
      <c r="D4198" t="s">
        <v>1619</v>
      </c>
      <c r="E4198" t="s">
        <v>26598</v>
      </c>
      <c r="F4198" t="s">
        <v>108</v>
      </c>
      <c r="H4198" t="s">
        <v>26599</v>
      </c>
      <c r="I4198" t="s">
        <v>499</v>
      </c>
      <c r="J4198" t="s">
        <v>111</v>
      </c>
      <c r="K4198" t="str">
        <f>"85395"</f>
        <v>85395</v>
      </c>
      <c r="L4198" t="s">
        <v>5743</v>
      </c>
      <c r="M4198" t="s">
        <v>26599</v>
      </c>
      <c r="N4198" t="s">
        <v>499</v>
      </c>
      <c r="O4198" t="s">
        <v>111</v>
      </c>
      <c r="P4198" t="str">
        <f>"85395-8370"</f>
        <v>85395-8370</v>
      </c>
      <c r="Q4198" t="s">
        <v>113</v>
      </c>
      <c r="R4198" t="str">
        <f>"508-13-425"</f>
        <v>508-13-425</v>
      </c>
      <c r="S4198" t="s">
        <v>5744</v>
      </c>
      <c r="T4198" t="s">
        <v>5745</v>
      </c>
      <c r="U4198">
        <v>1682</v>
      </c>
      <c r="V4198">
        <v>0</v>
      </c>
      <c r="W4198">
        <v>3</v>
      </c>
      <c r="X4198">
        <v>2010</v>
      </c>
      <c r="Z4198">
        <v>1</v>
      </c>
      <c r="AA4198" t="s">
        <v>26</v>
      </c>
      <c r="AB4198">
        <v>0</v>
      </c>
      <c r="AC4198" t="s">
        <v>115</v>
      </c>
      <c r="AD4198">
        <v>2</v>
      </c>
      <c r="AE4198" t="s">
        <v>115</v>
      </c>
      <c r="AF4198">
        <v>0</v>
      </c>
      <c r="AG4198">
        <v>0</v>
      </c>
      <c r="AH4198" t="s">
        <v>116</v>
      </c>
      <c r="AI4198" s="1">
        <v>65399</v>
      </c>
      <c r="AJ4198" s="2">
        <v>0.22</v>
      </c>
      <c r="AK4198" s="1">
        <v>295236</v>
      </c>
      <c r="AL4198" t="s">
        <v>117</v>
      </c>
      <c r="AM4198" t="s">
        <v>118</v>
      </c>
      <c r="AN4198">
        <v>7817</v>
      </c>
      <c r="AO4198">
        <v>0.18</v>
      </c>
      <c r="AR4198">
        <v>1</v>
      </c>
      <c r="AS4198" s="1">
        <v>21200</v>
      </c>
      <c r="AT4198" s="1">
        <v>4240</v>
      </c>
      <c r="AU4198" s="1">
        <v>16960</v>
      </c>
      <c r="AV4198">
        <v>80</v>
      </c>
      <c r="AX4198" s="1">
        <v>2114.96</v>
      </c>
      <c r="AY4198" t="s">
        <v>3020</v>
      </c>
      <c r="AZ4198" t="s">
        <v>3020</v>
      </c>
      <c r="BA4198" t="s">
        <v>3154</v>
      </c>
      <c r="BE4198" s="3">
        <v>42214</v>
      </c>
      <c r="BF4198" s="1">
        <v>230000</v>
      </c>
      <c r="BG4198" t="s">
        <v>26600</v>
      </c>
      <c r="BH4198" s="1">
        <v>136.74</v>
      </c>
      <c r="BI4198" s="1">
        <v>229837</v>
      </c>
      <c r="BJ4198" s="3">
        <v>42214</v>
      </c>
      <c r="BK4198" t="s">
        <v>123</v>
      </c>
      <c r="BL4198" t="str">
        <f>"2015.549535"</f>
        <v>2015.549535</v>
      </c>
      <c r="BM4198" t="s">
        <v>2980</v>
      </c>
      <c r="BO4198" t="s">
        <v>26601</v>
      </c>
      <c r="BS4198">
        <v>30</v>
      </c>
      <c r="BW4198" t="str">
        <f>""</f>
        <v/>
      </c>
      <c r="CH4198" t="str">
        <f>""</f>
        <v/>
      </c>
      <c r="CS4198" t="str">
        <f>""</f>
        <v/>
      </c>
    </row>
    <row r="4199" spans="1:97" x14ac:dyDescent="0.25">
      <c r="A4199" t="s">
        <v>494</v>
      </c>
      <c r="B4199" t="s">
        <v>8190</v>
      </c>
      <c r="E4199" t="s">
        <v>26602</v>
      </c>
      <c r="F4199" t="s">
        <v>108</v>
      </c>
      <c r="H4199" t="s">
        <v>26603</v>
      </c>
      <c r="I4199" t="s">
        <v>390</v>
      </c>
      <c r="J4199" t="s">
        <v>111</v>
      </c>
      <c r="K4199" t="str">
        <f>"85053"</f>
        <v>85053</v>
      </c>
      <c r="L4199" t="s">
        <v>2963</v>
      </c>
      <c r="M4199" t="s">
        <v>26603</v>
      </c>
      <c r="N4199" t="s">
        <v>390</v>
      </c>
      <c r="O4199" t="s">
        <v>111</v>
      </c>
      <c r="P4199" t="str">
        <f>"85053-5608"</f>
        <v>85053-5608</v>
      </c>
      <c r="Q4199" t="s">
        <v>113</v>
      </c>
      <c r="R4199" t="str">
        <f>"207-08-320"</f>
        <v>207-08-320</v>
      </c>
      <c r="S4199" t="s">
        <v>26604</v>
      </c>
      <c r="T4199" t="s">
        <v>12539</v>
      </c>
      <c r="U4199">
        <v>2360</v>
      </c>
      <c r="V4199">
        <v>0</v>
      </c>
      <c r="W4199">
        <v>4</v>
      </c>
      <c r="X4199">
        <v>1968</v>
      </c>
      <c r="Z4199">
        <v>2</v>
      </c>
      <c r="AA4199" t="s">
        <v>15127</v>
      </c>
      <c r="AB4199">
        <v>0</v>
      </c>
      <c r="AC4199" t="s">
        <v>115</v>
      </c>
      <c r="AD4199">
        <v>2</v>
      </c>
      <c r="AE4199" t="s">
        <v>115</v>
      </c>
      <c r="AF4199">
        <v>0</v>
      </c>
      <c r="AG4199">
        <v>0</v>
      </c>
      <c r="AH4199" t="s">
        <v>116</v>
      </c>
      <c r="AI4199" s="1">
        <v>64799</v>
      </c>
      <c r="AJ4199" s="2">
        <v>0.22</v>
      </c>
      <c r="AK4199" s="1">
        <v>289799</v>
      </c>
      <c r="AL4199" t="s">
        <v>117</v>
      </c>
      <c r="AM4199" t="s">
        <v>171</v>
      </c>
      <c r="AN4199">
        <v>12531</v>
      </c>
      <c r="AO4199">
        <v>0.28999999999999998</v>
      </c>
      <c r="AP4199">
        <v>1</v>
      </c>
      <c r="AR4199">
        <v>1</v>
      </c>
      <c r="AS4199" s="1">
        <v>20160</v>
      </c>
      <c r="AT4199" s="1">
        <v>4030</v>
      </c>
      <c r="AU4199" s="1">
        <v>16130</v>
      </c>
      <c r="AV4199">
        <v>80.010000000000005</v>
      </c>
      <c r="AX4199" s="1">
        <v>1069.56</v>
      </c>
      <c r="AY4199" t="s">
        <v>18697</v>
      </c>
      <c r="AZ4199" t="s">
        <v>2997</v>
      </c>
      <c r="BA4199" t="s">
        <v>2998</v>
      </c>
      <c r="BE4199" s="3">
        <v>41870</v>
      </c>
      <c r="BF4199" s="1">
        <v>225000</v>
      </c>
      <c r="BG4199" t="s">
        <v>26605</v>
      </c>
      <c r="BH4199" s="1">
        <v>95.34</v>
      </c>
      <c r="BI4199" s="1">
        <v>225000</v>
      </c>
      <c r="BJ4199" s="3">
        <v>41870</v>
      </c>
      <c r="BK4199" t="s">
        <v>123</v>
      </c>
      <c r="BL4199" t="str">
        <f>"2014.545118"</f>
        <v>2014.545118</v>
      </c>
      <c r="BM4199" t="s">
        <v>724</v>
      </c>
      <c r="BO4199" t="s">
        <v>26606</v>
      </c>
      <c r="BS4199">
        <v>30</v>
      </c>
      <c r="BW4199" t="str">
        <f>""</f>
        <v/>
      </c>
      <c r="CH4199" t="str">
        <f>""</f>
        <v/>
      </c>
      <c r="CS4199" t="str">
        <f>""</f>
        <v/>
      </c>
    </row>
    <row r="4200" spans="1:97" x14ac:dyDescent="0.25">
      <c r="A4200" t="s">
        <v>3089</v>
      </c>
      <c r="B4200" t="s">
        <v>1089</v>
      </c>
      <c r="C4200" t="s">
        <v>524</v>
      </c>
      <c r="D4200" t="s">
        <v>1089</v>
      </c>
      <c r="E4200" t="s">
        <v>26607</v>
      </c>
      <c r="F4200" t="s">
        <v>139</v>
      </c>
      <c r="H4200" t="s">
        <v>26608</v>
      </c>
      <c r="I4200" t="s">
        <v>5523</v>
      </c>
      <c r="J4200" t="s">
        <v>111</v>
      </c>
      <c r="K4200" t="str">
        <f>"85373"</f>
        <v>85373</v>
      </c>
      <c r="L4200" t="s">
        <v>5514</v>
      </c>
      <c r="M4200" t="s">
        <v>26609</v>
      </c>
      <c r="N4200" t="s">
        <v>499</v>
      </c>
      <c r="O4200" t="s">
        <v>111</v>
      </c>
      <c r="P4200" t="str">
        <f>"85338"</f>
        <v>85338</v>
      </c>
      <c r="Q4200" t="s">
        <v>113</v>
      </c>
      <c r="R4200" t="str">
        <f>"200-96-197"</f>
        <v>200-96-197</v>
      </c>
      <c r="S4200" t="s">
        <v>21931</v>
      </c>
      <c r="U4200">
        <v>2281</v>
      </c>
      <c r="V4200">
        <v>0</v>
      </c>
      <c r="W4200">
        <v>2</v>
      </c>
      <c r="X4200">
        <v>1977</v>
      </c>
      <c r="Z4200">
        <v>1</v>
      </c>
      <c r="AB4200">
        <v>0</v>
      </c>
      <c r="AC4200" t="s">
        <v>115</v>
      </c>
      <c r="AD4200">
        <v>2</v>
      </c>
      <c r="AE4200" t="s">
        <v>115</v>
      </c>
      <c r="AF4200">
        <v>0</v>
      </c>
      <c r="AG4200">
        <v>0</v>
      </c>
      <c r="AH4200" t="s">
        <v>116</v>
      </c>
      <c r="AI4200" s="1">
        <v>64377</v>
      </c>
      <c r="AJ4200" s="2">
        <v>0.23</v>
      </c>
      <c r="AK4200" s="1">
        <v>281307</v>
      </c>
      <c r="AL4200" t="s">
        <v>117</v>
      </c>
      <c r="AM4200" t="s">
        <v>393</v>
      </c>
      <c r="AN4200">
        <v>9975</v>
      </c>
      <c r="AO4200">
        <v>0.23</v>
      </c>
      <c r="AP4200">
        <v>1</v>
      </c>
      <c r="AR4200">
        <v>1</v>
      </c>
      <c r="AS4200" s="1">
        <v>18200</v>
      </c>
      <c r="AT4200" s="1">
        <v>3640</v>
      </c>
      <c r="AU4200" s="1">
        <v>14560</v>
      </c>
      <c r="AV4200">
        <v>80</v>
      </c>
      <c r="AX4200" s="1">
        <v>1288.7</v>
      </c>
      <c r="AY4200" t="s">
        <v>4520</v>
      </c>
      <c r="AZ4200" t="s">
        <v>4520</v>
      </c>
      <c r="BA4200" t="s">
        <v>3360</v>
      </c>
      <c r="BE4200" s="3">
        <v>42206</v>
      </c>
      <c r="BF4200" s="1">
        <v>178000</v>
      </c>
      <c r="BG4200" t="s">
        <v>26610</v>
      </c>
      <c r="BH4200" s="1">
        <v>78.040000000000006</v>
      </c>
      <c r="BI4200" s="1">
        <v>216930</v>
      </c>
      <c r="BJ4200" s="3">
        <v>42879</v>
      </c>
      <c r="BK4200" t="s">
        <v>123</v>
      </c>
      <c r="BL4200" t="str">
        <f>"2017.375198"</f>
        <v>2017.375198</v>
      </c>
      <c r="BM4200" t="s">
        <v>361</v>
      </c>
      <c r="BO4200" t="s">
        <v>26611</v>
      </c>
      <c r="BS4200">
        <v>30</v>
      </c>
      <c r="BW4200" t="str">
        <f>""</f>
        <v/>
      </c>
      <c r="CH4200" t="str">
        <f>""</f>
        <v/>
      </c>
      <c r="CS4200" t="str">
        <f>""</f>
        <v/>
      </c>
    </row>
    <row r="4201" spans="1:97" x14ac:dyDescent="0.25">
      <c r="A4201" t="s">
        <v>1950</v>
      </c>
      <c r="B4201" t="s">
        <v>163</v>
      </c>
      <c r="C4201" t="s">
        <v>26612</v>
      </c>
      <c r="D4201" t="s">
        <v>26240</v>
      </c>
      <c r="E4201" t="s">
        <v>26613</v>
      </c>
      <c r="F4201" t="s">
        <v>108</v>
      </c>
      <c r="H4201" t="s">
        <v>26614</v>
      </c>
      <c r="I4201" t="s">
        <v>390</v>
      </c>
      <c r="J4201" t="s">
        <v>111</v>
      </c>
      <c r="K4201" t="str">
        <f>"85053"</f>
        <v>85053</v>
      </c>
      <c r="L4201" t="s">
        <v>5138</v>
      </c>
      <c r="M4201" t="s">
        <v>26614</v>
      </c>
      <c r="N4201" t="s">
        <v>390</v>
      </c>
      <c r="O4201" t="s">
        <v>111</v>
      </c>
      <c r="P4201" t="str">
        <f>"85053-1871"</f>
        <v>85053-1871</v>
      </c>
      <c r="Q4201" t="s">
        <v>113</v>
      </c>
      <c r="R4201" t="str">
        <f>"207-03-390"</f>
        <v>207-03-390</v>
      </c>
      <c r="S4201" t="s">
        <v>26615</v>
      </c>
      <c r="T4201" t="s">
        <v>26616</v>
      </c>
      <c r="U4201">
        <v>1807</v>
      </c>
      <c r="V4201">
        <v>0</v>
      </c>
      <c r="W4201">
        <v>2</v>
      </c>
      <c r="X4201">
        <v>1984</v>
      </c>
      <c r="Z4201">
        <v>1</v>
      </c>
      <c r="AB4201">
        <v>0</v>
      </c>
      <c r="AC4201" t="s">
        <v>115</v>
      </c>
      <c r="AD4201">
        <v>2</v>
      </c>
      <c r="AE4201" t="s">
        <v>115</v>
      </c>
      <c r="AF4201">
        <v>0</v>
      </c>
      <c r="AG4201">
        <v>0</v>
      </c>
      <c r="AH4201" t="s">
        <v>116</v>
      </c>
      <c r="AI4201" s="1">
        <v>58643</v>
      </c>
      <c r="AJ4201" s="2">
        <v>0.21</v>
      </c>
      <c r="AK4201" s="1">
        <v>274540</v>
      </c>
      <c r="AL4201" t="s">
        <v>117</v>
      </c>
      <c r="AM4201" t="s">
        <v>191</v>
      </c>
      <c r="AN4201">
        <v>7919</v>
      </c>
      <c r="AO4201">
        <v>0.18</v>
      </c>
      <c r="AP4201">
        <v>1</v>
      </c>
      <c r="AR4201">
        <v>1</v>
      </c>
      <c r="AS4201" s="1">
        <v>19080</v>
      </c>
      <c r="AT4201" s="1">
        <v>3810</v>
      </c>
      <c r="AU4201" s="1">
        <v>15270</v>
      </c>
      <c r="AV4201">
        <v>80.03</v>
      </c>
      <c r="AX4201" s="1">
        <v>1189.8399999999999</v>
      </c>
      <c r="AY4201" t="s">
        <v>5141</v>
      </c>
      <c r="AZ4201" t="s">
        <v>5142</v>
      </c>
      <c r="BA4201" t="s">
        <v>5143</v>
      </c>
      <c r="BB4201" s="3">
        <v>42508</v>
      </c>
      <c r="BD4201" t="s">
        <v>240</v>
      </c>
      <c r="BE4201" s="3">
        <v>42359</v>
      </c>
      <c r="BF4201" s="1">
        <v>209000</v>
      </c>
      <c r="BG4201" t="s">
        <v>26617</v>
      </c>
      <c r="BH4201" s="1">
        <v>115.66</v>
      </c>
      <c r="BI4201" s="1">
        <v>215897</v>
      </c>
      <c r="BJ4201" s="3">
        <v>42359</v>
      </c>
      <c r="BK4201" t="s">
        <v>123</v>
      </c>
      <c r="BL4201" t="str">
        <f>"2015.899998"</f>
        <v>2015.899998</v>
      </c>
      <c r="BM4201" t="s">
        <v>2683</v>
      </c>
      <c r="BO4201" t="s">
        <v>26618</v>
      </c>
      <c r="BS4201">
        <v>30</v>
      </c>
      <c r="BW4201" t="str">
        <f>""</f>
        <v/>
      </c>
      <c r="CH4201" t="str">
        <f>""</f>
        <v/>
      </c>
      <c r="CS4201" t="str">
        <f>""</f>
        <v/>
      </c>
    </row>
    <row r="4202" spans="1:97" x14ac:dyDescent="0.25">
      <c r="A4202" t="s">
        <v>7343</v>
      </c>
      <c r="B4202" t="s">
        <v>26619</v>
      </c>
      <c r="C4202" t="s">
        <v>1845</v>
      </c>
      <c r="D4202" t="s">
        <v>26619</v>
      </c>
      <c r="E4202" t="s">
        <v>26620</v>
      </c>
      <c r="F4202" t="s">
        <v>108</v>
      </c>
      <c r="H4202" t="s">
        <v>26621</v>
      </c>
      <c r="I4202" t="s">
        <v>499</v>
      </c>
      <c r="J4202" t="s">
        <v>111</v>
      </c>
      <c r="K4202" t="str">
        <f>"85338"</f>
        <v>85338</v>
      </c>
      <c r="L4202" t="s">
        <v>1796</v>
      </c>
      <c r="M4202" t="s">
        <v>26621</v>
      </c>
      <c r="N4202" t="s">
        <v>499</v>
      </c>
      <c r="O4202" t="s">
        <v>111</v>
      </c>
      <c r="P4202" t="str">
        <f>"85338-5042"</f>
        <v>85338-5042</v>
      </c>
      <c r="Q4202" t="s">
        <v>113</v>
      </c>
      <c r="R4202" t="str">
        <f>"400-80-226"</f>
        <v>400-80-226</v>
      </c>
      <c r="S4202" t="s">
        <v>25743</v>
      </c>
      <c r="U4202">
        <v>2809</v>
      </c>
      <c r="V4202">
        <v>0</v>
      </c>
      <c r="W4202">
        <v>4</v>
      </c>
      <c r="X4202">
        <v>2007</v>
      </c>
      <c r="Z4202">
        <v>1</v>
      </c>
      <c r="AA4202" t="s">
        <v>26</v>
      </c>
      <c r="AB4202">
        <v>0</v>
      </c>
      <c r="AC4202" t="s">
        <v>115</v>
      </c>
      <c r="AD4202">
        <v>3</v>
      </c>
      <c r="AE4202" t="s">
        <v>115</v>
      </c>
      <c r="AF4202">
        <v>0</v>
      </c>
      <c r="AG4202">
        <v>0</v>
      </c>
      <c r="AH4202" t="s">
        <v>116</v>
      </c>
      <c r="AI4202" s="1">
        <v>64405</v>
      </c>
      <c r="AJ4202" s="2">
        <v>0.14000000000000001</v>
      </c>
      <c r="AK4202" s="1">
        <v>445859</v>
      </c>
      <c r="AL4202" t="s">
        <v>117</v>
      </c>
      <c r="AM4202" t="s">
        <v>118</v>
      </c>
      <c r="AN4202">
        <v>12182</v>
      </c>
      <c r="AO4202">
        <v>0.28000000000000003</v>
      </c>
      <c r="AR4202">
        <v>1</v>
      </c>
      <c r="AS4202" s="1">
        <v>34720</v>
      </c>
      <c r="AT4202" s="1">
        <v>6940</v>
      </c>
      <c r="AU4202" s="1">
        <v>27780</v>
      </c>
      <c r="AV4202">
        <v>80.010000000000005</v>
      </c>
      <c r="AX4202" s="1">
        <v>4723.9399999999996</v>
      </c>
      <c r="AY4202" t="s">
        <v>1246</v>
      </c>
      <c r="AZ4202" t="s">
        <v>1246</v>
      </c>
      <c r="BA4202" t="s">
        <v>1247</v>
      </c>
      <c r="BB4202" s="3">
        <v>41645</v>
      </c>
      <c r="BD4202" t="s">
        <v>240</v>
      </c>
      <c r="BE4202" s="3">
        <v>41645</v>
      </c>
      <c r="BF4202" s="1">
        <v>370000</v>
      </c>
      <c r="BG4202" t="s">
        <v>26622</v>
      </c>
      <c r="BH4202" s="1">
        <v>131.72</v>
      </c>
      <c r="BI4202" s="1">
        <v>381454</v>
      </c>
      <c r="BJ4202" s="3">
        <v>42079</v>
      </c>
      <c r="BK4202" t="s">
        <v>123</v>
      </c>
      <c r="BL4202" t="str">
        <f>"2015.174278"</f>
        <v>2015.174278</v>
      </c>
      <c r="BM4202" t="s">
        <v>255</v>
      </c>
      <c r="BO4202" t="s">
        <v>26623</v>
      </c>
      <c r="BS4202">
        <v>30</v>
      </c>
      <c r="BW4202" t="str">
        <f>""</f>
        <v/>
      </c>
      <c r="CH4202" t="str">
        <f>""</f>
        <v/>
      </c>
      <c r="CS4202" t="str">
        <f>""</f>
        <v/>
      </c>
    </row>
    <row r="4203" spans="1:97" x14ac:dyDescent="0.25">
      <c r="A4203" t="s">
        <v>26624</v>
      </c>
      <c r="B4203" t="s">
        <v>26625</v>
      </c>
      <c r="C4203" t="s">
        <v>17931</v>
      </c>
      <c r="D4203" t="s">
        <v>26625</v>
      </c>
      <c r="E4203" t="s">
        <v>26626</v>
      </c>
      <c r="F4203" t="s">
        <v>108</v>
      </c>
      <c r="H4203" t="s">
        <v>26627</v>
      </c>
      <c r="I4203" t="s">
        <v>632</v>
      </c>
      <c r="J4203" t="s">
        <v>111</v>
      </c>
      <c r="K4203" t="str">
        <f>"85379"</f>
        <v>85379</v>
      </c>
      <c r="L4203" t="s">
        <v>454</v>
      </c>
      <c r="M4203" t="s">
        <v>26627</v>
      </c>
      <c r="N4203" t="s">
        <v>632</v>
      </c>
      <c r="O4203" t="s">
        <v>111</v>
      </c>
      <c r="P4203" t="str">
        <f>"85379-1022"</f>
        <v>85379-1022</v>
      </c>
      <c r="Q4203" t="s">
        <v>113</v>
      </c>
      <c r="R4203" t="str">
        <f>"501-46-540"</f>
        <v>501-46-540</v>
      </c>
      <c r="S4203" t="s">
        <v>5319</v>
      </c>
      <c r="U4203">
        <v>3294</v>
      </c>
      <c r="V4203">
        <v>0</v>
      </c>
      <c r="W4203">
        <v>5</v>
      </c>
      <c r="X4203">
        <v>2015</v>
      </c>
      <c r="Z4203">
        <v>2</v>
      </c>
      <c r="AB4203">
        <v>0</v>
      </c>
      <c r="AC4203" t="s">
        <v>115</v>
      </c>
      <c r="AD4203">
        <v>2</v>
      </c>
      <c r="AE4203" t="s">
        <v>115</v>
      </c>
      <c r="AF4203">
        <v>0</v>
      </c>
      <c r="AG4203">
        <v>0</v>
      </c>
      <c r="AH4203" t="s">
        <v>116</v>
      </c>
      <c r="AI4203" s="1">
        <v>16647</v>
      </c>
      <c r="AJ4203" s="2">
        <v>0.05</v>
      </c>
      <c r="AK4203" s="1">
        <v>351647</v>
      </c>
      <c r="AL4203" t="s">
        <v>117</v>
      </c>
      <c r="AM4203" t="s">
        <v>118</v>
      </c>
      <c r="AN4203">
        <v>6670</v>
      </c>
      <c r="AO4203">
        <v>0.15</v>
      </c>
      <c r="AR4203">
        <v>1</v>
      </c>
      <c r="AS4203" s="1">
        <v>24460</v>
      </c>
      <c r="AT4203" s="1">
        <v>4890</v>
      </c>
      <c r="AU4203" s="1">
        <v>19570</v>
      </c>
      <c r="AV4203">
        <v>80.010000000000005</v>
      </c>
      <c r="AX4203" s="1">
        <v>2131.54</v>
      </c>
      <c r="AY4203" t="s">
        <v>5060</v>
      </c>
      <c r="AZ4203" t="s">
        <v>5060</v>
      </c>
      <c r="BA4203" t="s">
        <v>5061</v>
      </c>
      <c r="BE4203" s="3">
        <v>42279</v>
      </c>
      <c r="BF4203" s="1">
        <v>297000</v>
      </c>
      <c r="BG4203" t="s">
        <v>158</v>
      </c>
      <c r="BH4203" s="1">
        <v>90.16</v>
      </c>
      <c r="BI4203" s="1">
        <v>335000</v>
      </c>
      <c r="BJ4203" s="3">
        <v>43535</v>
      </c>
      <c r="BK4203" t="s">
        <v>123</v>
      </c>
      <c r="BL4203" t="str">
        <f>"2019.167023"</f>
        <v>2019.167023</v>
      </c>
      <c r="BM4203" t="s">
        <v>159</v>
      </c>
      <c r="BN4203" t="s">
        <v>160</v>
      </c>
      <c r="BO4203" t="s">
        <v>26628</v>
      </c>
      <c r="BP4203" t="s">
        <v>26629</v>
      </c>
      <c r="BR4203" t="s">
        <v>139</v>
      </c>
      <c r="BW4203" t="str">
        <f>""</f>
        <v/>
      </c>
      <c r="CH4203" t="str">
        <f>""</f>
        <v/>
      </c>
      <c r="CS4203" t="str">
        <f>""</f>
        <v/>
      </c>
    </row>
    <row r="4204" spans="1:97" x14ac:dyDescent="0.25">
      <c r="A4204" t="s">
        <v>7743</v>
      </c>
      <c r="B4204" t="s">
        <v>4197</v>
      </c>
      <c r="E4204" t="s">
        <v>26630</v>
      </c>
      <c r="F4204" t="s">
        <v>108</v>
      </c>
      <c r="H4204" t="s">
        <v>26631</v>
      </c>
      <c r="I4204" t="s">
        <v>144</v>
      </c>
      <c r="J4204" t="s">
        <v>111</v>
      </c>
      <c r="K4204" t="str">
        <f>"85326"</f>
        <v>85326</v>
      </c>
      <c r="L4204" t="s">
        <v>7607</v>
      </c>
      <c r="M4204" t="s">
        <v>26631</v>
      </c>
      <c r="N4204" t="s">
        <v>144</v>
      </c>
      <c r="O4204" t="s">
        <v>111</v>
      </c>
      <c r="P4204" t="str">
        <f>"85326-9021"</f>
        <v>85326-9021</v>
      </c>
      <c r="Q4204" t="s">
        <v>113</v>
      </c>
      <c r="R4204" t="str">
        <f>"504-61-046"</f>
        <v>504-61-046</v>
      </c>
      <c r="S4204" t="s">
        <v>8443</v>
      </c>
      <c r="U4204">
        <v>2142</v>
      </c>
      <c r="V4204">
        <v>0</v>
      </c>
      <c r="W4204">
        <v>3</v>
      </c>
      <c r="X4204">
        <v>2014</v>
      </c>
      <c r="Z4204">
        <v>1</v>
      </c>
      <c r="AB4204">
        <v>0</v>
      </c>
      <c r="AC4204" t="s">
        <v>115</v>
      </c>
      <c r="AD4204">
        <v>3</v>
      </c>
      <c r="AE4204" t="s">
        <v>115</v>
      </c>
      <c r="AF4204">
        <v>0</v>
      </c>
      <c r="AG4204">
        <v>0</v>
      </c>
      <c r="AH4204" t="s">
        <v>116</v>
      </c>
      <c r="AI4204" s="1">
        <v>75926</v>
      </c>
      <c r="AJ4204" s="2">
        <v>0.27</v>
      </c>
      <c r="AK4204" s="1">
        <v>283063</v>
      </c>
      <c r="AL4204" t="s">
        <v>117</v>
      </c>
      <c r="AM4204" t="s">
        <v>118</v>
      </c>
      <c r="AN4204">
        <v>7410</v>
      </c>
      <c r="AO4204">
        <v>0.17</v>
      </c>
      <c r="AR4204">
        <v>1</v>
      </c>
      <c r="AS4204" s="1">
        <v>20630</v>
      </c>
      <c r="AT4204" s="1">
        <v>4120</v>
      </c>
      <c r="AU4204" s="1">
        <v>16510</v>
      </c>
      <c r="AV4204">
        <v>80.03</v>
      </c>
      <c r="AX4204" s="1">
        <v>1855.74</v>
      </c>
      <c r="AY4204" t="s">
        <v>8444</v>
      </c>
      <c r="AZ4204" t="s">
        <v>8444</v>
      </c>
      <c r="BA4204" t="s">
        <v>5025</v>
      </c>
      <c r="BE4204" s="3">
        <v>42055</v>
      </c>
      <c r="BF4204" s="1">
        <v>207137</v>
      </c>
      <c r="BG4204" t="s">
        <v>1404</v>
      </c>
      <c r="BH4204" s="1">
        <v>96.7</v>
      </c>
      <c r="BI4204" s="1">
        <v>207137</v>
      </c>
      <c r="BJ4204" s="3">
        <v>42055</v>
      </c>
      <c r="BK4204" t="s">
        <v>123</v>
      </c>
      <c r="BL4204" t="str">
        <f>"2015.110182"</f>
        <v>2015.110182</v>
      </c>
      <c r="BM4204" t="s">
        <v>3294</v>
      </c>
      <c r="BO4204" t="s">
        <v>26632</v>
      </c>
      <c r="BS4204">
        <v>30</v>
      </c>
      <c r="BW4204" t="str">
        <f>""</f>
        <v/>
      </c>
      <c r="CH4204" t="str">
        <f>""</f>
        <v/>
      </c>
      <c r="CS4204" t="str">
        <f>""</f>
        <v/>
      </c>
    </row>
    <row r="4205" spans="1:97" x14ac:dyDescent="0.25">
      <c r="A4205" t="s">
        <v>126</v>
      </c>
      <c r="B4205" t="s">
        <v>26633</v>
      </c>
      <c r="E4205" t="s">
        <v>26634</v>
      </c>
      <c r="F4205" t="s">
        <v>108</v>
      </c>
      <c r="H4205" t="s">
        <v>26635</v>
      </c>
      <c r="I4205" t="s">
        <v>5114</v>
      </c>
      <c r="J4205" t="s">
        <v>111</v>
      </c>
      <c r="K4205" t="str">
        <f>"85392"</f>
        <v>85392</v>
      </c>
      <c r="L4205" t="s">
        <v>3430</v>
      </c>
      <c r="M4205" t="s">
        <v>26635</v>
      </c>
      <c r="N4205" t="s">
        <v>5114</v>
      </c>
      <c r="O4205" t="s">
        <v>111</v>
      </c>
      <c r="P4205" t="str">
        <f>"85392-4345"</f>
        <v>85392-4345</v>
      </c>
      <c r="Q4205" t="s">
        <v>113</v>
      </c>
      <c r="R4205" t="str">
        <f>"102-86-834"</f>
        <v>102-86-834</v>
      </c>
      <c r="S4205" t="s">
        <v>11286</v>
      </c>
      <c r="T4205" t="s">
        <v>11287</v>
      </c>
      <c r="U4205">
        <v>1617</v>
      </c>
      <c r="V4205">
        <v>0</v>
      </c>
      <c r="W4205">
        <v>3</v>
      </c>
      <c r="X4205">
        <v>1996</v>
      </c>
      <c r="Z4205">
        <v>1</v>
      </c>
      <c r="AA4205" t="s">
        <v>26</v>
      </c>
      <c r="AB4205">
        <v>0</v>
      </c>
      <c r="AC4205" t="s">
        <v>115</v>
      </c>
      <c r="AD4205">
        <v>2</v>
      </c>
      <c r="AE4205" t="s">
        <v>115</v>
      </c>
      <c r="AF4205">
        <v>0</v>
      </c>
      <c r="AG4205">
        <v>0</v>
      </c>
      <c r="AH4205" t="s">
        <v>116</v>
      </c>
      <c r="AI4205" s="1">
        <v>48646</v>
      </c>
      <c r="AJ4205" s="2">
        <v>0.2</v>
      </c>
      <c r="AK4205" s="1">
        <v>248646</v>
      </c>
      <c r="AL4205" t="s">
        <v>117</v>
      </c>
      <c r="AM4205" t="s">
        <v>118</v>
      </c>
      <c r="AN4205">
        <v>5325</v>
      </c>
      <c r="AO4205">
        <v>0.12</v>
      </c>
      <c r="AP4205">
        <v>1</v>
      </c>
      <c r="AR4205">
        <v>1</v>
      </c>
      <c r="AS4205" s="1">
        <v>16880</v>
      </c>
      <c r="AT4205" s="1">
        <v>3370</v>
      </c>
      <c r="AU4205" s="1">
        <v>13510</v>
      </c>
      <c r="AV4205">
        <v>80.040000000000006</v>
      </c>
      <c r="AX4205" s="1">
        <v>1625.42</v>
      </c>
      <c r="AY4205" t="s">
        <v>8084</v>
      </c>
      <c r="AZ4205" t="s">
        <v>8084</v>
      </c>
      <c r="BA4205" t="s">
        <v>5118</v>
      </c>
      <c r="BE4205" s="3">
        <v>42333</v>
      </c>
      <c r="BF4205" s="1">
        <v>200000</v>
      </c>
      <c r="BG4205" t="s">
        <v>26636</v>
      </c>
      <c r="BH4205" s="1">
        <v>123.69</v>
      </c>
      <c r="BI4205" s="1">
        <v>200000</v>
      </c>
      <c r="BJ4205" s="3">
        <v>42333</v>
      </c>
      <c r="BK4205" t="s">
        <v>123</v>
      </c>
      <c r="BL4205" t="str">
        <f>"2015.842834"</f>
        <v>2015.842834</v>
      </c>
      <c r="BM4205" t="s">
        <v>1791</v>
      </c>
      <c r="BO4205" t="s">
        <v>26637</v>
      </c>
      <c r="BS4205">
        <v>30</v>
      </c>
      <c r="BW4205" t="str">
        <f>""</f>
        <v/>
      </c>
      <c r="CH4205" t="str">
        <f>""</f>
        <v/>
      </c>
      <c r="CS4205" t="str">
        <f>""</f>
        <v/>
      </c>
    </row>
    <row r="4206" spans="1:97" x14ac:dyDescent="0.25">
      <c r="A4206" t="s">
        <v>7105</v>
      </c>
      <c r="B4206" t="s">
        <v>26638</v>
      </c>
      <c r="C4206" t="s">
        <v>5740</v>
      </c>
      <c r="D4206" t="s">
        <v>26638</v>
      </c>
      <c r="E4206" t="s">
        <v>26639</v>
      </c>
      <c r="F4206" t="s">
        <v>108</v>
      </c>
      <c r="H4206" t="s">
        <v>26640</v>
      </c>
      <c r="I4206" t="s">
        <v>374</v>
      </c>
      <c r="J4206" t="s">
        <v>111</v>
      </c>
      <c r="K4206" t="str">
        <f>"85087"</f>
        <v>85087</v>
      </c>
      <c r="L4206" t="s">
        <v>375</v>
      </c>
      <c r="M4206" t="s">
        <v>26640</v>
      </c>
      <c r="N4206" t="s">
        <v>374</v>
      </c>
      <c r="O4206" t="s">
        <v>111</v>
      </c>
      <c r="P4206" t="str">
        <f>"85087-5940"</f>
        <v>85087-5940</v>
      </c>
      <c r="Q4206" t="s">
        <v>113</v>
      </c>
      <c r="R4206" t="str">
        <f>"202-30-197"</f>
        <v>202-30-197</v>
      </c>
      <c r="S4206" t="s">
        <v>7317</v>
      </c>
      <c r="T4206" t="s">
        <v>7096</v>
      </c>
      <c r="U4206">
        <v>2546</v>
      </c>
      <c r="V4206">
        <v>0</v>
      </c>
      <c r="W4206">
        <v>4</v>
      </c>
      <c r="X4206">
        <v>2005</v>
      </c>
      <c r="Z4206">
        <v>2</v>
      </c>
      <c r="AA4206" t="s">
        <v>26</v>
      </c>
      <c r="AB4206">
        <v>0</v>
      </c>
      <c r="AC4206" t="s">
        <v>115</v>
      </c>
      <c r="AD4206">
        <v>2</v>
      </c>
      <c r="AE4206" t="s">
        <v>115</v>
      </c>
      <c r="AF4206">
        <v>0</v>
      </c>
      <c r="AG4206">
        <v>0</v>
      </c>
      <c r="AH4206" t="s">
        <v>116</v>
      </c>
      <c r="AI4206" s="1">
        <v>62010</v>
      </c>
      <c r="AJ4206" s="2">
        <v>0.17</v>
      </c>
      <c r="AK4206" s="1">
        <v>365393</v>
      </c>
      <c r="AL4206" t="s">
        <v>117</v>
      </c>
      <c r="AM4206" t="s">
        <v>191</v>
      </c>
      <c r="AN4206">
        <v>9769</v>
      </c>
      <c r="AO4206">
        <v>0.22</v>
      </c>
      <c r="AR4206">
        <v>1</v>
      </c>
      <c r="AS4206" s="1">
        <v>26610</v>
      </c>
      <c r="AT4206" s="1">
        <v>5320</v>
      </c>
      <c r="AU4206" s="1">
        <v>21290</v>
      </c>
      <c r="AV4206">
        <v>80.010000000000005</v>
      </c>
      <c r="AX4206" s="1">
        <v>2426.9</v>
      </c>
      <c r="AY4206" t="s">
        <v>5380</v>
      </c>
      <c r="AZ4206" t="s">
        <v>5380</v>
      </c>
      <c r="BA4206" t="s">
        <v>378</v>
      </c>
      <c r="BE4206" s="3">
        <v>42256</v>
      </c>
      <c r="BF4206" s="1">
        <v>265000</v>
      </c>
      <c r="BG4206" t="s">
        <v>26641</v>
      </c>
      <c r="BH4206" s="1">
        <v>104.08</v>
      </c>
      <c r="BI4206" s="1">
        <v>303383</v>
      </c>
      <c r="BJ4206" s="3">
        <v>43200</v>
      </c>
      <c r="BK4206" t="s">
        <v>123</v>
      </c>
      <c r="BL4206" t="str">
        <f>"2018.265770"</f>
        <v>2018.265770</v>
      </c>
      <c r="BM4206" t="s">
        <v>5842</v>
      </c>
      <c r="BN4206" t="s">
        <v>5843</v>
      </c>
      <c r="BO4206" t="s">
        <v>26642</v>
      </c>
      <c r="BP4206" t="s">
        <v>26643</v>
      </c>
      <c r="BR4206" t="s">
        <v>139</v>
      </c>
      <c r="BW4206" t="str">
        <f>""</f>
        <v/>
      </c>
      <c r="CH4206" t="str">
        <f>""</f>
        <v/>
      </c>
      <c r="CS4206" t="str">
        <f>""</f>
        <v/>
      </c>
    </row>
    <row r="4207" spans="1:97" x14ac:dyDescent="0.25">
      <c r="A4207" t="s">
        <v>26644</v>
      </c>
      <c r="B4207" t="s">
        <v>9208</v>
      </c>
      <c r="C4207" t="s">
        <v>26645</v>
      </c>
      <c r="D4207" t="s">
        <v>9208</v>
      </c>
      <c r="E4207" t="s">
        <v>26646</v>
      </c>
      <c r="F4207" t="s">
        <v>108</v>
      </c>
      <c r="H4207" t="s">
        <v>26647</v>
      </c>
      <c r="I4207" t="s">
        <v>3150</v>
      </c>
      <c r="J4207" t="s">
        <v>111</v>
      </c>
      <c r="K4207" t="str">
        <f>"85340"</f>
        <v>85340</v>
      </c>
      <c r="L4207" t="s">
        <v>3885</v>
      </c>
      <c r="M4207" t="s">
        <v>26647</v>
      </c>
      <c r="N4207" t="s">
        <v>3150</v>
      </c>
      <c r="O4207" t="s">
        <v>111</v>
      </c>
      <c r="P4207" t="str">
        <f>"85340-5339"</f>
        <v>85340-5339</v>
      </c>
      <c r="Q4207" t="s">
        <v>113</v>
      </c>
      <c r="R4207" t="str">
        <f>"508-05-559"</f>
        <v>508-05-559</v>
      </c>
      <c r="S4207" t="s">
        <v>13069</v>
      </c>
      <c r="U4207">
        <v>1804</v>
      </c>
      <c r="V4207">
        <v>0</v>
      </c>
      <c r="W4207">
        <v>3</v>
      </c>
      <c r="X4207">
        <v>2002</v>
      </c>
      <c r="Z4207">
        <v>2</v>
      </c>
      <c r="AA4207" t="s">
        <v>26</v>
      </c>
      <c r="AB4207">
        <v>0</v>
      </c>
      <c r="AC4207" t="s">
        <v>115</v>
      </c>
      <c r="AD4207">
        <v>2</v>
      </c>
      <c r="AE4207" t="s">
        <v>115</v>
      </c>
      <c r="AF4207">
        <v>0</v>
      </c>
      <c r="AG4207">
        <v>0</v>
      </c>
      <c r="AH4207" t="s">
        <v>116</v>
      </c>
      <c r="AI4207" s="1">
        <v>37383</v>
      </c>
      <c r="AJ4207" s="2">
        <v>0.15</v>
      </c>
      <c r="AK4207" s="1">
        <v>254451</v>
      </c>
      <c r="AL4207" t="s">
        <v>117</v>
      </c>
      <c r="AM4207" t="s">
        <v>191</v>
      </c>
      <c r="AN4207">
        <v>4950</v>
      </c>
      <c r="AO4207">
        <v>0.11</v>
      </c>
      <c r="AP4207">
        <v>1</v>
      </c>
      <c r="AR4207">
        <v>1</v>
      </c>
      <c r="AS4207" s="1">
        <v>17450</v>
      </c>
      <c r="AT4207" s="1">
        <v>3490</v>
      </c>
      <c r="AU4207" s="1">
        <v>13960</v>
      </c>
      <c r="AV4207">
        <v>80</v>
      </c>
      <c r="AX4207" s="1">
        <v>1442.78</v>
      </c>
      <c r="AY4207" t="s">
        <v>6580</v>
      </c>
      <c r="AZ4207" t="s">
        <v>3153</v>
      </c>
      <c r="BA4207" t="s">
        <v>3154</v>
      </c>
      <c r="BE4207" s="3">
        <v>42521</v>
      </c>
      <c r="BF4207" s="1">
        <v>212500</v>
      </c>
      <c r="BG4207" t="s">
        <v>26648</v>
      </c>
      <c r="BH4207" s="1">
        <v>117.79</v>
      </c>
      <c r="BI4207" s="1">
        <v>217068</v>
      </c>
      <c r="BJ4207" s="3">
        <v>42521</v>
      </c>
      <c r="BK4207" t="s">
        <v>123</v>
      </c>
      <c r="BL4207" t="str">
        <f>"2016.375336"</f>
        <v>2016.375336</v>
      </c>
      <c r="BM4207" t="s">
        <v>150</v>
      </c>
      <c r="BO4207" t="s">
        <v>26649</v>
      </c>
      <c r="BP4207" t="s">
        <v>26650</v>
      </c>
      <c r="BS4207">
        <v>30</v>
      </c>
      <c r="BW4207" t="str">
        <f>""</f>
        <v/>
      </c>
      <c r="CH4207" t="str">
        <f>""</f>
        <v/>
      </c>
      <c r="CS4207" t="str">
        <f>""</f>
        <v/>
      </c>
    </row>
    <row r="4208" spans="1:97" x14ac:dyDescent="0.25">
      <c r="A4208" t="s">
        <v>894</v>
      </c>
      <c r="B4208" t="s">
        <v>26651</v>
      </c>
      <c r="E4208" t="s">
        <v>26652</v>
      </c>
      <c r="F4208" t="s">
        <v>108</v>
      </c>
      <c r="H4208" t="s">
        <v>26653</v>
      </c>
      <c r="I4208" t="s">
        <v>6646</v>
      </c>
      <c r="J4208" t="s">
        <v>111</v>
      </c>
      <c r="K4208" t="str">
        <f>"85086"</f>
        <v>85086</v>
      </c>
      <c r="L4208" t="s">
        <v>3645</v>
      </c>
      <c r="M4208" t="s">
        <v>26653</v>
      </c>
      <c r="N4208" t="s">
        <v>6646</v>
      </c>
      <c r="O4208" t="s">
        <v>111</v>
      </c>
      <c r="P4208" t="str">
        <f>"85086-3686"</f>
        <v>85086-3686</v>
      </c>
      <c r="Q4208" t="s">
        <v>113</v>
      </c>
      <c r="R4208" t="str">
        <f>"211-93-165"</f>
        <v>211-93-165</v>
      </c>
      <c r="S4208" t="s">
        <v>23120</v>
      </c>
      <c r="U4208">
        <v>1827</v>
      </c>
      <c r="V4208">
        <v>0</v>
      </c>
      <c r="W4208">
        <v>3</v>
      </c>
      <c r="X4208">
        <v>2004</v>
      </c>
      <c r="Z4208">
        <v>1</v>
      </c>
      <c r="AB4208">
        <v>0</v>
      </c>
      <c r="AC4208" t="s">
        <v>115</v>
      </c>
      <c r="AD4208">
        <v>2</v>
      </c>
      <c r="AE4208" t="s">
        <v>115</v>
      </c>
      <c r="AF4208">
        <v>0</v>
      </c>
      <c r="AG4208">
        <v>0</v>
      </c>
      <c r="AH4208" t="s">
        <v>116</v>
      </c>
      <c r="AI4208" s="1">
        <v>-167650</v>
      </c>
      <c r="AJ4208" s="2">
        <v>-0.56999999999999995</v>
      </c>
      <c r="AK4208" s="1">
        <v>292350</v>
      </c>
      <c r="AL4208" t="s">
        <v>117</v>
      </c>
      <c r="AM4208" t="s">
        <v>191</v>
      </c>
      <c r="AN4208">
        <v>5670</v>
      </c>
      <c r="AO4208">
        <v>0.13</v>
      </c>
      <c r="AR4208">
        <v>1</v>
      </c>
      <c r="AS4208" s="1">
        <v>20080</v>
      </c>
      <c r="AT4208" s="1">
        <v>4010</v>
      </c>
      <c r="AU4208" s="1">
        <v>16070</v>
      </c>
      <c r="AV4208">
        <v>80.03</v>
      </c>
      <c r="AX4208" s="1">
        <v>2108.3000000000002</v>
      </c>
      <c r="AY4208" t="s">
        <v>6515</v>
      </c>
      <c r="AZ4208" t="s">
        <v>6515</v>
      </c>
      <c r="BA4208" t="s">
        <v>378</v>
      </c>
      <c r="BE4208" s="3">
        <v>42219</v>
      </c>
      <c r="BF4208" s="1">
        <v>230000</v>
      </c>
      <c r="BG4208" t="s">
        <v>26654</v>
      </c>
      <c r="BH4208" s="1">
        <v>125.89</v>
      </c>
      <c r="BI4208" s="1">
        <v>230000</v>
      </c>
      <c r="BJ4208" s="3">
        <v>42219</v>
      </c>
      <c r="BK4208" t="s">
        <v>123</v>
      </c>
      <c r="BL4208" t="str">
        <f>"2015.561475"</f>
        <v>2015.561475</v>
      </c>
      <c r="BM4208" t="s">
        <v>6337</v>
      </c>
      <c r="BO4208" t="s">
        <v>26655</v>
      </c>
      <c r="BS4208">
        <v>30</v>
      </c>
      <c r="BT4208" s="1">
        <v>230000</v>
      </c>
      <c r="BU4208" s="3">
        <v>42236</v>
      </c>
      <c r="BV4208" t="s">
        <v>123</v>
      </c>
      <c r="BW4208" t="str">
        <f>"2015.604090"</f>
        <v>2015.604090</v>
      </c>
      <c r="BX4208" t="s">
        <v>6337</v>
      </c>
      <c r="BZ4208" t="s">
        <v>26655</v>
      </c>
      <c r="CD4208">
        <v>30</v>
      </c>
      <c r="CH4208" t="str">
        <f>""</f>
        <v/>
      </c>
      <c r="CS4208" t="str">
        <f>""</f>
        <v/>
      </c>
    </row>
    <row r="4209" spans="1:97" x14ac:dyDescent="0.25">
      <c r="A4209" t="s">
        <v>1344</v>
      </c>
      <c r="B4209" t="s">
        <v>11574</v>
      </c>
      <c r="C4209" t="s">
        <v>1620</v>
      </c>
      <c r="D4209" t="s">
        <v>26656</v>
      </c>
      <c r="E4209" t="s">
        <v>26657</v>
      </c>
      <c r="F4209" t="s">
        <v>108</v>
      </c>
      <c r="H4209" t="s">
        <v>26658</v>
      </c>
      <c r="I4209" t="s">
        <v>632</v>
      </c>
      <c r="J4209" t="s">
        <v>111</v>
      </c>
      <c r="K4209" t="str">
        <f>"85379"</f>
        <v>85379</v>
      </c>
      <c r="L4209" t="s">
        <v>6308</v>
      </c>
      <c r="M4209" t="s">
        <v>26658</v>
      </c>
      <c r="N4209" t="s">
        <v>632</v>
      </c>
      <c r="O4209" t="s">
        <v>111</v>
      </c>
      <c r="P4209" t="str">
        <f>"85379-8406"</f>
        <v>85379-8406</v>
      </c>
      <c r="Q4209" t="s">
        <v>113</v>
      </c>
      <c r="R4209" t="str">
        <f>"509-16-597"</f>
        <v>509-16-597</v>
      </c>
      <c r="S4209" t="s">
        <v>6864</v>
      </c>
      <c r="U4209">
        <v>2214</v>
      </c>
      <c r="V4209">
        <v>0</v>
      </c>
      <c r="W4209">
        <v>4</v>
      </c>
      <c r="X4209">
        <v>2004</v>
      </c>
      <c r="Z4209">
        <v>2</v>
      </c>
      <c r="AA4209" t="s">
        <v>26</v>
      </c>
      <c r="AB4209">
        <v>0</v>
      </c>
      <c r="AC4209" t="s">
        <v>115</v>
      </c>
      <c r="AD4209">
        <v>2</v>
      </c>
      <c r="AE4209" t="s">
        <v>115</v>
      </c>
      <c r="AF4209">
        <v>0</v>
      </c>
      <c r="AG4209">
        <v>0</v>
      </c>
      <c r="AH4209" t="s">
        <v>116</v>
      </c>
      <c r="AI4209" s="1">
        <v>67621</v>
      </c>
      <c r="AJ4209" s="2">
        <v>0.22</v>
      </c>
      <c r="AK4209" s="1">
        <v>305630</v>
      </c>
      <c r="AL4209" t="s">
        <v>117</v>
      </c>
      <c r="AM4209" t="s">
        <v>5516</v>
      </c>
      <c r="AN4209">
        <v>9587</v>
      </c>
      <c r="AO4209">
        <v>0.22</v>
      </c>
      <c r="AP4209">
        <v>1</v>
      </c>
      <c r="AR4209">
        <v>1</v>
      </c>
      <c r="AS4209" s="1">
        <v>21960</v>
      </c>
      <c r="AT4209" s="1">
        <v>4390</v>
      </c>
      <c r="AU4209" s="1">
        <v>17570</v>
      </c>
      <c r="AV4209">
        <v>80.010000000000005</v>
      </c>
      <c r="AX4209" s="1">
        <v>1520.06</v>
      </c>
      <c r="AY4209" t="s">
        <v>5983</v>
      </c>
      <c r="AZ4209" t="s">
        <v>5983</v>
      </c>
      <c r="BA4209" t="s">
        <v>321</v>
      </c>
      <c r="BE4209" s="3">
        <v>42276</v>
      </c>
      <c r="BF4209" s="1">
        <v>233000</v>
      </c>
      <c r="BG4209" t="s">
        <v>26659</v>
      </c>
      <c r="BH4209" s="1">
        <v>105.24</v>
      </c>
      <c r="BI4209" s="1">
        <v>238009</v>
      </c>
      <c r="BJ4209" s="3">
        <v>42276</v>
      </c>
      <c r="BK4209" t="s">
        <v>123</v>
      </c>
      <c r="BL4209" t="str">
        <f>"2015.701174"</f>
        <v>2015.701174</v>
      </c>
      <c r="BM4209" t="s">
        <v>2368</v>
      </c>
      <c r="BO4209" t="s">
        <v>26660</v>
      </c>
      <c r="BP4209" t="s">
        <v>26661</v>
      </c>
      <c r="BS4209">
        <v>30</v>
      </c>
      <c r="BW4209" t="str">
        <f>""</f>
        <v/>
      </c>
      <c r="CH4209" t="str">
        <f>""</f>
        <v/>
      </c>
      <c r="CS4209" t="str">
        <f>""</f>
        <v/>
      </c>
    </row>
    <row r="4210" spans="1:97" x14ac:dyDescent="0.25">
      <c r="A4210" t="s">
        <v>21674</v>
      </c>
      <c r="B4210" t="s">
        <v>26662</v>
      </c>
      <c r="C4210" t="s">
        <v>177</v>
      </c>
      <c r="D4210" t="s">
        <v>3818</v>
      </c>
      <c r="E4210" t="s">
        <v>26663</v>
      </c>
      <c r="F4210" t="s">
        <v>108</v>
      </c>
      <c r="H4210" t="s">
        <v>26664</v>
      </c>
      <c r="I4210" t="s">
        <v>4251</v>
      </c>
      <c r="J4210" t="s">
        <v>111</v>
      </c>
      <c r="K4210" t="str">
        <f>"85353"</f>
        <v>85353</v>
      </c>
      <c r="L4210" t="s">
        <v>316</v>
      </c>
      <c r="M4210" t="s">
        <v>26664</v>
      </c>
      <c r="N4210" t="s">
        <v>4251</v>
      </c>
      <c r="O4210" t="s">
        <v>111</v>
      </c>
      <c r="P4210" t="str">
        <f>"85353-4416"</f>
        <v>85353-4416</v>
      </c>
      <c r="Q4210" t="s">
        <v>113</v>
      </c>
      <c r="R4210" t="str">
        <f>"101-39-382"</f>
        <v>101-39-382</v>
      </c>
      <c r="S4210" t="s">
        <v>7206</v>
      </c>
      <c r="T4210" t="s">
        <v>7206</v>
      </c>
      <c r="U4210">
        <v>2900</v>
      </c>
      <c r="V4210">
        <v>0</v>
      </c>
      <c r="W4210">
        <v>5</v>
      </c>
      <c r="X4210">
        <v>2015</v>
      </c>
      <c r="Z4210">
        <v>2</v>
      </c>
      <c r="AB4210">
        <v>0</v>
      </c>
      <c r="AC4210" t="s">
        <v>115</v>
      </c>
      <c r="AD4210">
        <v>3</v>
      </c>
      <c r="AE4210" t="s">
        <v>115</v>
      </c>
      <c r="AF4210">
        <v>0</v>
      </c>
      <c r="AG4210">
        <v>0</v>
      </c>
      <c r="AH4210" t="s">
        <v>116</v>
      </c>
      <c r="AI4210" s="1">
        <v>13763</v>
      </c>
      <c r="AJ4210" s="2">
        <v>0.04</v>
      </c>
      <c r="AK4210" s="1">
        <v>322511</v>
      </c>
      <c r="AL4210" t="s">
        <v>117</v>
      </c>
      <c r="AM4210" t="s">
        <v>191</v>
      </c>
      <c r="AN4210">
        <v>5750</v>
      </c>
      <c r="AO4210">
        <v>0.13</v>
      </c>
      <c r="AR4210">
        <v>1</v>
      </c>
      <c r="AS4210" s="1">
        <v>23220</v>
      </c>
      <c r="AT4210" s="1">
        <v>4640</v>
      </c>
      <c r="AU4210" s="1">
        <v>18580</v>
      </c>
      <c r="AV4210">
        <v>80.02</v>
      </c>
      <c r="AX4210" s="1">
        <v>2390.6799999999998</v>
      </c>
      <c r="AY4210" t="s">
        <v>4253</v>
      </c>
      <c r="AZ4210" t="s">
        <v>4253</v>
      </c>
      <c r="BA4210" t="s">
        <v>4254</v>
      </c>
      <c r="BE4210" s="3">
        <v>42263</v>
      </c>
      <c r="BF4210" s="1">
        <v>264860</v>
      </c>
      <c r="BG4210" t="s">
        <v>158</v>
      </c>
      <c r="BH4210" s="1">
        <v>91.33</v>
      </c>
      <c r="BI4210" s="1">
        <v>262250</v>
      </c>
      <c r="BJ4210" s="3">
        <v>43024</v>
      </c>
      <c r="BK4210" t="s">
        <v>123</v>
      </c>
      <c r="BL4210" t="str">
        <f>"2017.765657"</f>
        <v>2017.765657</v>
      </c>
      <c r="BM4210" t="s">
        <v>3638</v>
      </c>
      <c r="BN4210">
        <v>91361</v>
      </c>
      <c r="BO4210" t="s">
        <v>26665</v>
      </c>
      <c r="BS4210">
        <v>30</v>
      </c>
      <c r="BT4210" s="1">
        <v>46498</v>
      </c>
      <c r="BU4210" s="3">
        <v>43685</v>
      </c>
      <c r="BV4210" t="s">
        <v>134</v>
      </c>
      <c r="BW4210" t="str">
        <f>"2019.609174"</f>
        <v>2019.609174</v>
      </c>
      <c r="BX4210" t="s">
        <v>3538</v>
      </c>
      <c r="BY4210" t="s">
        <v>3539</v>
      </c>
      <c r="BZ4210" t="s">
        <v>26666</v>
      </c>
      <c r="CA4210" t="s">
        <v>26667</v>
      </c>
      <c r="CC4210" t="s">
        <v>139</v>
      </c>
      <c r="CH4210" t="str">
        <f>""</f>
        <v/>
      </c>
      <c r="CS4210" t="str">
        <f>""</f>
        <v/>
      </c>
    </row>
    <row r="4211" spans="1:97" x14ac:dyDescent="0.25">
      <c r="A4211" t="s">
        <v>370</v>
      </c>
      <c r="B4211" t="s">
        <v>26668</v>
      </c>
      <c r="C4211" t="s">
        <v>12397</v>
      </c>
      <c r="D4211" t="s">
        <v>26668</v>
      </c>
      <c r="E4211" t="s">
        <v>26669</v>
      </c>
      <c r="F4211" t="s">
        <v>108</v>
      </c>
      <c r="H4211" t="s">
        <v>26670</v>
      </c>
      <c r="I4211" t="s">
        <v>4058</v>
      </c>
      <c r="J4211" t="s">
        <v>111</v>
      </c>
      <c r="K4211" t="str">
        <f>"85390"</f>
        <v>85390</v>
      </c>
      <c r="L4211" t="s">
        <v>3885</v>
      </c>
      <c r="M4211" t="s">
        <v>26670</v>
      </c>
      <c r="N4211" t="s">
        <v>4058</v>
      </c>
      <c r="O4211" t="s">
        <v>111</v>
      </c>
      <c r="P4211" t="str">
        <f>"85390-2396"</f>
        <v>85390-2396</v>
      </c>
      <c r="R4211" t="str">
        <f>"505-27-018"</f>
        <v>505-27-018</v>
      </c>
      <c r="S4211" t="s">
        <v>26671</v>
      </c>
      <c r="T4211" t="s">
        <v>26672</v>
      </c>
      <c r="U4211">
        <v>1944</v>
      </c>
      <c r="V4211">
        <v>0</v>
      </c>
      <c r="W4211">
        <v>3</v>
      </c>
      <c r="X4211">
        <v>2000</v>
      </c>
      <c r="Z4211">
        <v>1</v>
      </c>
      <c r="AA4211" t="s">
        <v>26</v>
      </c>
      <c r="AB4211">
        <v>0</v>
      </c>
      <c r="AC4211" t="s">
        <v>115</v>
      </c>
      <c r="AD4211">
        <v>2</v>
      </c>
      <c r="AE4211" t="s">
        <v>115</v>
      </c>
      <c r="AF4211">
        <v>0</v>
      </c>
      <c r="AG4211">
        <v>0</v>
      </c>
      <c r="AH4211" t="s">
        <v>116</v>
      </c>
      <c r="AI4211" s="1">
        <v>94901</v>
      </c>
      <c r="AJ4211" s="2">
        <v>0.28999999999999998</v>
      </c>
      <c r="AK4211" s="1">
        <v>328901</v>
      </c>
      <c r="AL4211" t="s">
        <v>117</v>
      </c>
      <c r="AM4211" t="s">
        <v>5791</v>
      </c>
      <c r="AN4211">
        <v>13144</v>
      </c>
      <c r="AO4211">
        <v>0.3</v>
      </c>
      <c r="AP4211">
        <v>1</v>
      </c>
      <c r="AR4211">
        <v>1</v>
      </c>
      <c r="AS4211" s="1">
        <v>23700</v>
      </c>
      <c r="AT4211" s="1">
        <v>4740</v>
      </c>
      <c r="AU4211" s="1">
        <v>18960</v>
      </c>
      <c r="AV4211">
        <v>80</v>
      </c>
      <c r="AX4211" s="1">
        <v>1669.72</v>
      </c>
      <c r="AY4211" t="s">
        <v>4061</v>
      </c>
      <c r="AZ4211" t="s">
        <v>4062</v>
      </c>
      <c r="BA4211" t="s">
        <v>445</v>
      </c>
      <c r="BB4211" s="3">
        <v>43006</v>
      </c>
      <c r="BD4211" t="s">
        <v>157</v>
      </c>
      <c r="BE4211" s="3">
        <v>42541</v>
      </c>
      <c r="BF4211" s="1">
        <v>257000</v>
      </c>
      <c r="BG4211" t="s">
        <v>26673</v>
      </c>
      <c r="BH4211" s="1">
        <v>132.19999999999999</v>
      </c>
      <c r="BI4211" s="1">
        <v>234000</v>
      </c>
      <c r="BJ4211" s="3">
        <v>43006</v>
      </c>
      <c r="BK4211" t="s">
        <v>123</v>
      </c>
      <c r="BL4211" t="str">
        <f>"2017.715726"</f>
        <v>2017.715726</v>
      </c>
      <c r="BM4211" t="s">
        <v>8086</v>
      </c>
      <c r="BO4211" t="s">
        <v>26674</v>
      </c>
      <c r="BS4211">
        <v>30</v>
      </c>
      <c r="BW4211" t="str">
        <f>""</f>
        <v/>
      </c>
      <c r="CH4211" t="str">
        <f>""</f>
        <v/>
      </c>
      <c r="CS4211" t="str">
        <f>""</f>
        <v/>
      </c>
    </row>
    <row r="4212" spans="1:97" x14ac:dyDescent="0.25">
      <c r="A4212" t="s">
        <v>894</v>
      </c>
      <c r="B4212" t="s">
        <v>21418</v>
      </c>
      <c r="C4212" t="s">
        <v>2762</v>
      </c>
      <c r="D4212" t="s">
        <v>21418</v>
      </c>
      <c r="E4212" t="s">
        <v>26675</v>
      </c>
      <c r="F4212" t="s">
        <v>108</v>
      </c>
      <c r="H4212" t="s">
        <v>26676</v>
      </c>
      <c r="I4212" t="s">
        <v>5523</v>
      </c>
      <c r="J4212" t="s">
        <v>111</v>
      </c>
      <c r="K4212" t="str">
        <f>"85373"</f>
        <v>85373</v>
      </c>
      <c r="L4212" t="s">
        <v>5872</v>
      </c>
      <c r="M4212" t="s">
        <v>26676</v>
      </c>
      <c r="N4212" t="s">
        <v>5523</v>
      </c>
      <c r="O4212" t="s">
        <v>111</v>
      </c>
      <c r="P4212" t="str">
        <f>"85373-5483"</f>
        <v>85373-5483</v>
      </c>
      <c r="Q4212" t="s">
        <v>113</v>
      </c>
      <c r="R4212" t="str">
        <f>"503-88-098"</f>
        <v>503-88-098</v>
      </c>
      <c r="S4212" t="s">
        <v>26677</v>
      </c>
      <c r="T4212" t="s">
        <v>6818</v>
      </c>
      <c r="U4212">
        <v>3207</v>
      </c>
      <c r="V4212">
        <v>0</v>
      </c>
      <c r="W4212">
        <v>4</v>
      </c>
      <c r="X4212">
        <v>2007</v>
      </c>
      <c r="Z4212">
        <v>2</v>
      </c>
      <c r="AB4212">
        <v>0</v>
      </c>
      <c r="AC4212" t="s">
        <v>115</v>
      </c>
      <c r="AD4212">
        <v>2</v>
      </c>
      <c r="AE4212" t="s">
        <v>115</v>
      </c>
      <c r="AF4212">
        <v>0</v>
      </c>
      <c r="AG4212">
        <v>0</v>
      </c>
      <c r="AH4212" t="s">
        <v>116</v>
      </c>
      <c r="AI4212" s="1">
        <v>75896</v>
      </c>
      <c r="AJ4212" s="2">
        <v>0.24</v>
      </c>
      <c r="AK4212" s="1">
        <v>310841</v>
      </c>
      <c r="AL4212" t="s">
        <v>117</v>
      </c>
      <c r="AM4212" t="s">
        <v>191</v>
      </c>
      <c r="AN4212">
        <v>5040</v>
      </c>
      <c r="AO4212">
        <v>0.12</v>
      </c>
      <c r="AR4212">
        <v>1</v>
      </c>
      <c r="AS4212" s="1">
        <v>22500</v>
      </c>
      <c r="AT4212" s="1">
        <v>4500</v>
      </c>
      <c r="AU4212" s="1">
        <v>18000</v>
      </c>
      <c r="AV4212">
        <v>80</v>
      </c>
      <c r="AX4212" s="1">
        <v>2146.98</v>
      </c>
      <c r="AY4212" t="s">
        <v>3228</v>
      </c>
      <c r="AZ4212" t="s">
        <v>3228</v>
      </c>
      <c r="BA4212" t="s">
        <v>457</v>
      </c>
      <c r="BE4212" s="3">
        <v>42139</v>
      </c>
      <c r="BF4212" s="1">
        <v>230000</v>
      </c>
      <c r="BG4212" t="s">
        <v>26678</v>
      </c>
      <c r="BH4212" s="1">
        <v>71.72</v>
      </c>
      <c r="BI4212" s="1">
        <v>234945</v>
      </c>
      <c r="BJ4212" s="3">
        <v>42139</v>
      </c>
      <c r="BK4212" t="s">
        <v>123</v>
      </c>
      <c r="BL4212" t="str">
        <f>"2015.344582"</f>
        <v>2015.344582</v>
      </c>
      <c r="BM4212" t="s">
        <v>1287</v>
      </c>
      <c r="BO4212" t="s">
        <v>26679</v>
      </c>
      <c r="BS4212">
        <v>30</v>
      </c>
      <c r="BW4212" t="str">
        <f>""</f>
        <v/>
      </c>
      <c r="CH4212" t="str">
        <f>""</f>
        <v/>
      </c>
      <c r="CS4212" t="str">
        <f>""</f>
        <v/>
      </c>
    </row>
    <row r="4213" spans="1:97" x14ac:dyDescent="0.25">
      <c r="A4213" t="s">
        <v>5954</v>
      </c>
      <c r="B4213" t="s">
        <v>4441</v>
      </c>
      <c r="C4213" t="s">
        <v>26680</v>
      </c>
      <c r="D4213" t="s">
        <v>4441</v>
      </c>
      <c r="E4213" t="s">
        <v>26681</v>
      </c>
      <c r="F4213" t="s">
        <v>108</v>
      </c>
      <c r="H4213" t="s">
        <v>26682</v>
      </c>
      <c r="I4213" t="s">
        <v>5523</v>
      </c>
      <c r="J4213" t="s">
        <v>111</v>
      </c>
      <c r="K4213" t="str">
        <f>"85373"</f>
        <v>85373</v>
      </c>
      <c r="L4213" t="s">
        <v>5524</v>
      </c>
      <c r="M4213" t="s">
        <v>26682</v>
      </c>
      <c r="N4213" t="s">
        <v>5523</v>
      </c>
      <c r="O4213" t="s">
        <v>111</v>
      </c>
      <c r="P4213" t="str">
        <f>"85373-5616"</f>
        <v>85373-5616</v>
      </c>
      <c r="Q4213" t="s">
        <v>113</v>
      </c>
      <c r="R4213" t="str">
        <f>"503-97-207"</f>
        <v>503-97-207</v>
      </c>
      <c r="S4213" t="s">
        <v>8164</v>
      </c>
      <c r="T4213" t="s">
        <v>8165</v>
      </c>
      <c r="U4213">
        <v>3837</v>
      </c>
      <c r="V4213">
        <v>0</v>
      </c>
      <c r="W4213">
        <v>5</v>
      </c>
      <c r="X4213">
        <v>2005</v>
      </c>
      <c r="Z4213">
        <v>2</v>
      </c>
      <c r="AA4213" t="s">
        <v>26</v>
      </c>
      <c r="AB4213">
        <v>0</v>
      </c>
      <c r="AC4213" t="s">
        <v>115</v>
      </c>
      <c r="AD4213">
        <v>3</v>
      </c>
      <c r="AE4213" t="s">
        <v>115</v>
      </c>
      <c r="AF4213">
        <v>0</v>
      </c>
      <c r="AG4213">
        <v>0</v>
      </c>
      <c r="AH4213" t="s">
        <v>116</v>
      </c>
      <c r="AI4213" s="1">
        <v>76972</v>
      </c>
      <c r="AJ4213" s="2">
        <v>0.21</v>
      </c>
      <c r="AK4213" s="1">
        <v>368099</v>
      </c>
      <c r="AL4213" t="s">
        <v>117</v>
      </c>
      <c r="AM4213" t="s">
        <v>191</v>
      </c>
      <c r="AN4213">
        <v>7475</v>
      </c>
      <c r="AO4213">
        <v>0.17</v>
      </c>
      <c r="AR4213">
        <v>1</v>
      </c>
      <c r="AS4213" s="1">
        <v>27500</v>
      </c>
      <c r="AT4213" s="1">
        <v>5500</v>
      </c>
      <c r="AU4213" s="1">
        <v>22000</v>
      </c>
      <c r="AV4213">
        <v>80</v>
      </c>
      <c r="AX4213" s="1">
        <v>2928.2</v>
      </c>
      <c r="AY4213" t="s">
        <v>3228</v>
      </c>
      <c r="AZ4213" t="s">
        <v>3228</v>
      </c>
      <c r="BA4213" t="s">
        <v>457</v>
      </c>
      <c r="BE4213" s="3">
        <v>41911</v>
      </c>
      <c r="BF4213" s="1">
        <v>285000</v>
      </c>
      <c r="BG4213" t="s">
        <v>26683</v>
      </c>
      <c r="BH4213" s="1">
        <v>74.28</v>
      </c>
      <c r="BI4213" s="1">
        <v>291127</v>
      </c>
      <c r="BJ4213" s="3">
        <v>41911</v>
      </c>
      <c r="BK4213" t="s">
        <v>123</v>
      </c>
      <c r="BL4213" t="str">
        <f>"2014.643536"</f>
        <v>2014.643536</v>
      </c>
      <c r="BM4213" t="s">
        <v>2716</v>
      </c>
      <c r="BO4213" t="s">
        <v>26684</v>
      </c>
      <c r="BP4213" t="s">
        <v>26684</v>
      </c>
      <c r="BS4213">
        <v>30</v>
      </c>
      <c r="BW4213" t="str">
        <f>""</f>
        <v/>
      </c>
      <c r="CH4213" t="str">
        <f>""</f>
        <v/>
      </c>
      <c r="CS4213" t="str">
        <f>""</f>
        <v/>
      </c>
    </row>
    <row r="4214" spans="1:97" x14ac:dyDescent="0.25">
      <c r="A4214" t="s">
        <v>996</v>
      </c>
      <c r="B4214" t="s">
        <v>26685</v>
      </c>
      <c r="C4214" t="s">
        <v>4982</v>
      </c>
      <c r="D4214" t="s">
        <v>26686</v>
      </c>
      <c r="E4214" t="s">
        <v>26687</v>
      </c>
      <c r="F4214" t="s">
        <v>108</v>
      </c>
      <c r="H4214" t="s">
        <v>26688</v>
      </c>
      <c r="I4214" t="s">
        <v>5114</v>
      </c>
      <c r="J4214" t="s">
        <v>111</v>
      </c>
      <c r="K4214" t="str">
        <f>"85392"</f>
        <v>85392</v>
      </c>
      <c r="L4214" t="s">
        <v>5228</v>
      </c>
      <c r="M4214" t="s">
        <v>26688</v>
      </c>
      <c r="N4214" t="s">
        <v>5114</v>
      </c>
      <c r="O4214" t="s">
        <v>111</v>
      </c>
      <c r="P4214" t="str">
        <f>"85392-5498"</f>
        <v>85392-5498</v>
      </c>
      <c r="Q4214" t="s">
        <v>113</v>
      </c>
      <c r="R4214" t="str">
        <f>"102-29-230"</f>
        <v>102-29-230</v>
      </c>
      <c r="S4214" t="s">
        <v>26689</v>
      </c>
      <c r="T4214" t="s">
        <v>26689</v>
      </c>
      <c r="U4214">
        <v>1925</v>
      </c>
      <c r="V4214">
        <v>0</v>
      </c>
      <c r="W4214">
        <v>3</v>
      </c>
      <c r="X4214">
        <v>2001</v>
      </c>
      <c r="Z4214">
        <v>1</v>
      </c>
      <c r="AA4214" t="s">
        <v>26</v>
      </c>
      <c r="AB4214">
        <v>0</v>
      </c>
      <c r="AC4214" t="s">
        <v>115</v>
      </c>
      <c r="AD4214">
        <v>2</v>
      </c>
      <c r="AE4214" t="s">
        <v>115</v>
      </c>
      <c r="AF4214">
        <v>0</v>
      </c>
      <c r="AG4214">
        <v>0</v>
      </c>
      <c r="AH4214" t="s">
        <v>116</v>
      </c>
      <c r="AI4214" s="1">
        <v>50638</v>
      </c>
      <c r="AJ4214" s="2">
        <v>0.18</v>
      </c>
      <c r="AK4214" s="1">
        <v>278993</v>
      </c>
      <c r="AL4214" t="s">
        <v>117</v>
      </c>
      <c r="AM4214" t="s">
        <v>118</v>
      </c>
      <c r="AN4214">
        <v>7800</v>
      </c>
      <c r="AO4214">
        <v>0.18</v>
      </c>
      <c r="AP4214">
        <v>1</v>
      </c>
      <c r="AR4214">
        <v>1</v>
      </c>
      <c r="AS4214" s="1">
        <v>19510</v>
      </c>
      <c r="AT4214" s="1">
        <v>3900</v>
      </c>
      <c r="AU4214" s="1">
        <v>15610</v>
      </c>
      <c r="AV4214">
        <v>80.010000000000005</v>
      </c>
      <c r="AX4214" s="1">
        <v>2007.02</v>
      </c>
      <c r="AY4214" t="s">
        <v>9887</v>
      </c>
      <c r="AZ4214" t="s">
        <v>9887</v>
      </c>
      <c r="BA4214" t="s">
        <v>5118</v>
      </c>
      <c r="BE4214" s="3">
        <v>41723</v>
      </c>
      <c r="BF4214" s="1">
        <v>205000</v>
      </c>
      <c r="BG4214" t="s">
        <v>26690</v>
      </c>
      <c r="BH4214" s="1">
        <v>106.49</v>
      </c>
      <c r="BI4214" s="1">
        <v>203355</v>
      </c>
      <c r="BJ4214" s="3">
        <v>42527</v>
      </c>
      <c r="BK4214" t="s">
        <v>123</v>
      </c>
      <c r="BL4214" t="str">
        <f>"2016.390148"</f>
        <v>2016.390148</v>
      </c>
      <c r="BM4214" t="s">
        <v>402</v>
      </c>
      <c r="BN4214" t="s">
        <v>461</v>
      </c>
      <c r="BO4214" t="s">
        <v>26691</v>
      </c>
      <c r="BP4214" t="s">
        <v>26692</v>
      </c>
      <c r="BS4214">
        <v>30</v>
      </c>
      <c r="BT4214" s="1">
        <v>25000</v>
      </c>
      <c r="BU4214" s="3">
        <v>43676</v>
      </c>
      <c r="BW4214" t="str">
        <f>"2019.576793"</f>
        <v>2019.576793</v>
      </c>
      <c r="BX4214" t="s">
        <v>20097</v>
      </c>
      <c r="BY4214" t="s">
        <v>20098</v>
      </c>
      <c r="BZ4214" t="s">
        <v>26693</v>
      </c>
      <c r="CA4214" t="s">
        <v>26694</v>
      </c>
      <c r="CC4214" t="s">
        <v>346</v>
      </c>
      <c r="CE4214" s="1">
        <v>25000</v>
      </c>
      <c r="CF4214" s="3">
        <v>43676</v>
      </c>
      <c r="CH4214" t="str">
        <f>"2019.576793"</f>
        <v>2019.576793</v>
      </c>
      <c r="CI4214" t="s">
        <v>20097</v>
      </c>
      <c r="CJ4214" t="s">
        <v>20098</v>
      </c>
      <c r="CK4214" t="s">
        <v>26693</v>
      </c>
      <c r="CL4214" t="s">
        <v>26694</v>
      </c>
      <c r="CN4214" t="s">
        <v>346</v>
      </c>
      <c r="CS4214" t="str">
        <f>""</f>
        <v/>
      </c>
    </row>
    <row r="4215" spans="1:97" x14ac:dyDescent="0.25">
      <c r="A4215" t="s">
        <v>21756</v>
      </c>
      <c r="B4215" t="s">
        <v>348</v>
      </c>
      <c r="C4215" t="s">
        <v>986</v>
      </c>
      <c r="D4215" t="s">
        <v>348</v>
      </c>
      <c r="E4215" t="s">
        <v>26695</v>
      </c>
      <c r="F4215" t="s">
        <v>108</v>
      </c>
      <c r="H4215" t="s">
        <v>26696</v>
      </c>
      <c r="I4215" t="s">
        <v>390</v>
      </c>
      <c r="J4215" t="s">
        <v>111</v>
      </c>
      <c r="K4215" t="str">
        <f>"85042"</f>
        <v>85042</v>
      </c>
      <c r="L4215" t="s">
        <v>6112</v>
      </c>
      <c r="M4215" t="s">
        <v>26696</v>
      </c>
      <c r="N4215" t="s">
        <v>390</v>
      </c>
      <c r="O4215" t="s">
        <v>111</v>
      </c>
      <c r="P4215" t="str">
        <f>"85042-7070"</f>
        <v>85042-7070</v>
      </c>
      <c r="Q4215" t="s">
        <v>113</v>
      </c>
      <c r="R4215" t="str">
        <f>"301-26-377"</f>
        <v>301-26-377</v>
      </c>
      <c r="S4215" t="s">
        <v>26697</v>
      </c>
      <c r="T4215" t="s">
        <v>26697</v>
      </c>
      <c r="U4215">
        <v>2098</v>
      </c>
      <c r="V4215">
        <v>0</v>
      </c>
      <c r="W4215">
        <v>4</v>
      </c>
      <c r="X4215">
        <v>1999</v>
      </c>
      <c r="Z4215">
        <v>2</v>
      </c>
      <c r="AB4215">
        <v>0</v>
      </c>
      <c r="AC4215" t="s">
        <v>115</v>
      </c>
      <c r="AD4215">
        <v>2</v>
      </c>
      <c r="AE4215" t="s">
        <v>115</v>
      </c>
      <c r="AF4215">
        <v>0</v>
      </c>
      <c r="AG4215">
        <v>0</v>
      </c>
      <c r="AH4215" t="s">
        <v>116</v>
      </c>
      <c r="AI4215" s="1">
        <v>95031</v>
      </c>
      <c r="AJ4215" s="2">
        <v>0.3</v>
      </c>
      <c r="AK4215" s="1">
        <v>314551</v>
      </c>
      <c r="AL4215" t="s">
        <v>117</v>
      </c>
      <c r="AM4215" t="s">
        <v>171</v>
      </c>
      <c r="AN4215">
        <v>7364</v>
      </c>
      <c r="AO4215">
        <v>0.17</v>
      </c>
      <c r="AP4215">
        <v>1</v>
      </c>
      <c r="AR4215">
        <v>1</v>
      </c>
      <c r="AS4215" s="1">
        <v>21700</v>
      </c>
      <c r="AT4215" s="1">
        <v>4340</v>
      </c>
      <c r="AU4215" s="1">
        <v>17360</v>
      </c>
      <c r="AV4215">
        <v>80</v>
      </c>
      <c r="AX4215" s="1">
        <v>3001.92</v>
      </c>
      <c r="AY4215" t="s">
        <v>6115</v>
      </c>
      <c r="AZ4215" t="s">
        <v>6115</v>
      </c>
      <c r="BA4215" t="s">
        <v>2860</v>
      </c>
      <c r="BE4215" s="3">
        <v>42097</v>
      </c>
      <c r="BF4215" s="1">
        <v>214900</v>
      </c>
      <c r="BG4215" t="s">
        <v>26698</v>
      </c>
      <c r="BH4215" s="1">
        <v>102.43</v>
      </c>
      <c r="BI4215" s="1">
        <v>219520</v>
      </c>
      <c r="BJ4215" s="3">
        <v>42097</v>
      </c>
      <c r="BK4215" t="s">
        <v>123</v>
      </c>
      <c r="BL4215" t="str">
        <f>"2015.228031"</f>
        <v>2015.228031</v>
      </c>
      <c r="BM4215" t="s">
        <v>6329</v>
      </c>
      <c r="BO4215" t="s">
        <v>26699</v>
      </c>
      <c r="BS4215">
        <v>30</v>
      </c>
      <c r="BW4215" t="str">
        <f>""</f>
        <v/>
      </c>
      <c r="CH4215" t="str">
        <f>""</f>
        <v/>
      </c>
      <c r="CS4215" t="str">
        <f>""</f>
        <v/>
      </c>
    </row>
    <row r="4216" spans="1:97" x14ac:dyDescent="0.25">
      <c r="A4216" t="s">
        <v>26700</v>
      </c>
      <c r="B4216" t="s">
        <v>26701</v>
      </c>
      <c r="E4216" t="s">
        <v>26702</v>
      </c>
      <c r="F4216" t="s">
        <v>108</v>
      </c>
      <c r="H4216" t="s">
        <v>26703</v>
      </c>
      <c r="I4216" t="s">
        <v>632</v>
      </c>
      <c r="J4216" t="s">
        <v>111</v>
      </c>
      <c r="K4216" t="str">
        <f>"85379"</f>
        <v>85379</v>
      </c>
      <c r="L4216" t="s">
        <v>5021</v>
      </c>
      <c r="M4216" t="s">
        <v>26703</v>
      </c>
      <c r="N4216" t="s">
        <v>632</v>
      </c>
      <c r="O4216" t="s">
        <v>111</v>
      </c>
      <c r="P4216" t="str">
        <f>"85379-5371"</f>
        <v>85379-5371</v>
      </c>
      <c r="Q4216" t="s">
        <v>113</v>
      </c>
      <c r="R4216" t="str">
        <f>"509-14-518"</f>
        <v>509-14-518</v>
      </c>
      <c r="S4216" t="s">
        <v>19713</v>
      </c>
      <c r="U4216">
        <v>2839</v>
      </c>
      <c r="V4216">
        <v>0</v>
      </c>
      <c r="W4216">
        <v>4</v>
      </c>
      <c r="X4216">
        <v>2004</v>
      </c>
      <c r="Z4216">
        <v>2</v>
      </c>
      <c r="AA4216" t="s">
        <v>26</v>
      </c>
      <c r="AB4216">
        <v>0</v>
      </c>
      <c r="AC4216" t="s">
        <v>115</v>
      </c>
      <c r="AD4216">
        <v>2</v>
      </c>
      <c r="AE4216" t="s">
        <v>115</v>
      </c>
      <c r="AF4216">
        <v>0</v>
      </c>
      <c r="AG4216">
        <v>0</v>
      </c>
      <c r="AH4216" t="s">
        <v>116</v>
      </c>
      <c r="AI4216" s="1">
        <v>71575</v>
      </c>
      <c r="AJ4216" s="2">
        <v>0.22</v>
      </c>
      <c r="AK4216" s="1">
        <v>324907</v>
      </c>
      <c r="AL4216" t="s">
        <v>117</v>
      </c>
      <c r="AM4216" t="s">
        <v>118</v>
      </c>
      <c r="AN4216">
        <v>7692</v>
      </c>
      <c r="AO4216">
        <v>0.18</v>
      </c>
      <c r="AP4216">
        <v>1</v>
      </c>
      <c r="AR4216">
        <v>1</v>
      </c>
      <c r="AS4216" s="1">
        <v>23270</v>
      </c>
      <c r="AT4216" s="1">
        <v>4650</v>
      </c>
      <c r="AU4216" s="1">
        <v>18620</v>
      </c>
      <c r="AV4216">
        <v>80.02</v>
      </c>
      <c r="AX4216" s="1">
        <v>1884.7</v>
      </c>
      <c r="AY4216" t="s">
        <v>5615</v>
      </c>
      <c r="AZ4216" t="s">
        <v>5615</v>
      </c>
      <c r="BA4216" t="s">
        <v>635</v>
      </c>
      <c r="BE4216" s="3">
        <v>42474</v>
      </c>
      <c r="BF4216" s="1">
        <v>248000</v>
      </c>
      <c r="BG4216" t="s">
        <v>26704</v>
      </c>
      <c r="BH4216" s="1">
        <v>87.35</v>
      </c>
      <c r="BI4216" s="1">
        <v>253332</v>
      </c>
      <c r="BJ4216" s="3">
        <v>42474</v>
      </c>
      <c r="BK4216" t="s">
        <v>123</v>
      </c>
      <c r="BL4216" t="str">
        <f>"2016.248432"</f>
        <v>2016.248432</v>
      </c>
      <c r="BM4216" t="s">
        <v>1185</v>
      </c>
      <c r="BO4216" t="s">
        <v>26705</v>
      </c>
      <c r="BS4216">
        <v>30</v>
      </c>
      <c r="BW4216" t="str">
        <f>""</f>
        <v/>
      </c>
      <c r="CH4216" t="str">
        <f>""</f>
        <v/>
      </c>
      <c r="CS4216" t="str">
        <f>""</f>
        <v/>
      </c>
    </row>
    <row r="4217" spans="1:97" x14ac:dyDescent="0.25">
      <c r="A4217" t="s">
        <v>5528</v>
      </c>
      <c r="B4217" t="s">
        <v>26706</v>
      </c>
      <c r="C4217" t="s">
        <v>2693</v>
      </c>
      <c r="D4217" t="s">
        <v>16923</v>
      </c>
      <c r="E4217" t="s">
        <v>26707</v>
      </c>
      <c r="F4217" t="s">
        <v>108</v>
      </c>
      <c r="H4217" t="s">
        <v>26708</v>
      </c>
      <c r="I4217" t="s">
        <v>453</v>
      </c>
      <c r="J4217" t="s">
        <v>111</v>
      </c>
      <c r="K4217" t="str">
        <f>"85382"</f>
        <v>85382</v>
      </c>
      <c r="L4217" t="s">
        <v>5910</v>
      </c>
      <c r="M4217" t="s">
        <v>26708</v>
      </c>
      <c r="N4217" t="s">
        <v>453</v>
      </c>
      <c r="O4217" t="s">
        <v>111</v>
      </c>
      <c r="P4217" t="str">
        <f>"85382-5218"</f>
        <v>85382-5218</v>
      </c>
      <c r="Q4217" t="s">
        <v>113</v>
      </c>
      <c r="R4217" t="str">
        <f>"231-24-747"</f>
        <v>231-24-747</v>
      </c>
      <c r="S4217" t="s">
        <v>9414</v>
      </c>
      <c r="T4217" t="s">
        <v>6310</v>
      </c>
      <c r="U4217">
        <v>1692</v>
      </c>
      <c r="V4217">
        <v>0</v>
      </c>
      <c r="W4217">
        <v>3</v>
      </c>
      <c r="X4217">
        <v>2001</v>
      </c>
      <c r="Z4217">
        <v>1</v>
      </c>
      <c r="AA4217" t="s">
        <v>26</v>
      </c>
      <c r="AB4217">
        <v>0</v>
      </c>
      <c r="AC4217" t="s">
        <v>115</v>
      </c>
      <c r="AD4217">
        <v>2</v>
      </c>
      <c r="AE4217" t="s">
        <v>115</v>
      </c>
      <c r="AF4217">
        <v>0</v>
      </c>
      <c r="AG4217">
        <v>0</v>
      </c>
      <c r="AH4217" t="s">
        <v>116</v>
      </c>
      <c r="AI4217" s="1">
        <v>76414</v>
      </c>
      <c r="AJ4217" s="2">
        <v>0.26</v>
      </c>
      <c r="AK4217" s="1">
        <v>290929</v>
      </c>
      <c r="AL4217" t="s">
        <v>117</v>
      </c>
      <c r="AM4217" t="s">
        <v>118</v>
      </c>
      <c r="AN4217">
        <v>6031</v>
      </c>
      <c r="AO4217">
        <v>0.14000000000000001</v>
      </c>
      <c r="AP4217">
        <v>1</v>
      </c>
      <c r="AR4217">
        <v>1</v>
      </c>
      <c r="AS4217" s="1">
        <v>21270</v>
      </c>
      <c r="AT4217" s="1">
        <v>4250</v>
      </c>
      <c r="AU4217" s="1">
        <v>17020</v>
      </c>
      <c r="AV4217">
        <v>80.02</v>
      </c>
      <c r="AX4217" s="1">
        <v>1926.74</v>
      </c>
      <c r="AY4217" t="s">
        <v>6311</v>
      </c>
      <c r="AZ4217" t="s">
        <v>6311</v>
      </c>
      <c r="BA4217" t="s">
        <v>4219</v>
      </c>
      <c r="BB4217" s="3">
        <v>43587</v>
      </c>
      <c r="BC4217" s="1">
        <v>0</v>
      </c>
      <c r="BD4217" t="s">
        <v>247</v>
      </c>
      <c r="BE4217" s="3">
        <v>42285</v>
      </c>
      <c r="BF4217" s="1">
        <v>210000</v>
      </c>
      <c r="BG4217" t="s">
        <v>26709</v>
      </c>
      <c r="BH4217" s="1">
        <v>124.11</v>
      </c>
      <c r="BI4217" s="1">
        <v>214515</v>
      </c>
      <c r="BJ4217" s="3">
        <v>42285</v>
      </c>
      <c r="BK4217" t="s">
        <v>123</v>
      </c>
      <c r="BL4217" t="str">
        <f>"2015.726818"</f>
        <v>2015.726818</v>
      </c>
      <c r="BM4217" t="s">
        <v>724</v>
      </c>
      <c r="BN4217" t="s">
        <v>5423</v>
      </c>
      <c r="BO4217" t="s">
        <v>26710</v>
      </c>
      <c r="BS4217">
        <v>30</v>
      </c>
      <c r="BW4217" t="str">
        <f>""</f>
        <v/>
      </c>
      <c r="CH4217" t="str">
        <f>""</f>
        <v/>
      </c>
      <c r="CS4217" t="str">
        <f>""</f>
        <v/>
      </c>
    </row>
    <row r="4218" spans="1:97" x14ac:dyDescent="0.25">
      <c r="A4218" t="s">
        <v>26711</v>
      </c>
      <c r="B4218" t="s">
        <v>4087</v>
      </c>
      <c r="E4218" t="s">
        <v>26712</v>
      </c>
      <c r="F4218" t="s">
        <v>108</v>
      </c>
      <c r="H4218" t="s">
        <v>26713</v>
      </c>
      <c r="I4218" t="s">
        <v>390</v>
      </c>
      <c r="J4218" t="s">
        <v>111</v>
      </c>
      <c r="K4218" t="str">
        <f>"85051"</f>
        <v>85051</v>
      </c>
      <c r="L4218" t="s">
        <v>6325</v>
      </c>
      <c r="M4218" t="s">
        <v>26713</v>
      </c>
      <c r="N4218" t="s">
        <v>390</v>
      </c>
      <c r="O4218" t="s">
        <v>111</v>
      </c>
      <c r="P4218" t="str">
        <f>"85051-1244"</f>
        <v>85051-1244</v>
      </c>
      <c r="Q4218" t="s">
        <v>113</v>
      </c>
      <c r="R4218" t="str">
        <f>"149-15-078"</f>
        <v>149-15-078</v>
      </c>
      <c r="S4218" t="s">
        <v>26714</v>
      </c>
      <c r="T4218" t="s">
        <v>26715</v>
      </c>
      <c r="U4218">
        <v>1741</v>
      </c>
      <c r="V4218">
        <v>0</v>
      </c>
      <c r="W4218">
        <v>2</v>
      </c>
      <c r="X4218">
        <v>1970</v>
      </c>
      <c r="Z4218">
        <v>1</v>
      </c>
      <c r="AA4218" t="s">
        <v>26</v>
      </c>
      <c r="AB4218">
        <v>0</v>
      </c>
      <c r="AC4218" t="s">
        <v>115</v>
      </c>
      <c r="AD4218">
        <v>2</v>
      </c>
      <c r="AE4218" t="s">
        <v>115</v>
      </c>
      <c r="AF4218">
        <v>0</v>
      </c>
      <c r="AG4218">
        <v>0</v>
      </c>
      <c r="AH4218" t="s">
        <v>116</v>
      </c>
      <c r="AI4218" s="1">
        <v>42780</v>
      </c>
      <c r="AJ4218" s="2">
        <v>0.17</v>
      </c>
      <c r="AK4218" s="1">
        <v>258677</v>
      </c>
      <c r="AL4218" t="s">
        <v>117</v>
      </c>
      <c r="AM4218" t="s">
        <v>191</v>
      </c>
      <c r="AN4218">
        <v>8864</v>
      </c>
      <c r="AO4218">
        <v>0.2</v>
      </c>
      <c r="AP4218">
        <v>1</v>
      </c>
      <c r="AR4218">
        <v>1</v>
      </c>
      <c r="AS4218" s="1">
        <v>16980</v>
      </c>
      <c r="AT4218" s="1">
        <v>3390</v>
      </c>
      <c r="AU4218" s="1">
        <v>13590</v>
      </c>
      <c r="AV4218">
        <v>80.040000000000006</v>
      </c>
      <c r="AX4218" s="1">
        <v>1148.74</v>
      </c>
      <c r="AY4218" t="s">
        <v>22187</v>
      </c>
      <c r="AZ4218" t="s">
        <v>6986</v>
      </c>
      <c r="BA4218" t="s">
        <v>21687</v>
      </c>
      <c r="BE4218" s="3">
        <v>42352</v>
      </c>
      <c r="BF4218" s="1">
        <v>187000</v>
      </c>
      <c r="BG4218" t="s">
        <v>26716</v>
      </c>
      <c r="BH4218" s="1">
        <v>107.41</v>
      </c>
      <c r="BI4218" s="1">
        <v>215897</v>
      </c>
      <c r="BJ4218" s="3">
        <v>43014</v>
      </c>
      <c r="BK4218" t="s">
        <v>123</v>
      </c>
      <c r="BL4218" t="str">
        <f>"2017.740973"</f>
        <v>2017.740973</v>
      </c>
      <c r="BM4218" t="s">
        <v>340</v>
      </c>
      <c r="BO4218" t="s">
        <v>26717</v>
      </c>
      <c r="BS4218">
        <v>30</v>
      </c>
      <c r="BW4218" t="str">
        <f>""</f>
        <v/>
      </c>
      <c r="CH4218" t="str">
        <f>""</f>
        <v/>
      </c>
      <c r="CS4218" t="str">
        <f>""</f>
        <v/>
      </c>
    </row>
    <row r="4219" spans="1:97" x14ac:dyDescent="0.25">
      <c r="A4219" t="s">
        <v>6619</v>
      </c>
      <c r="B4219" t="s">
        <v>26718</v>
      </c>
      <c r="C4219" t="s">
        <v>13397</v>
      </c>
      <c r="D4219" t="s">
        <v>26718</v>
      </c>
      <c r="E4219" t="s">
        <v>26719</v>
      </c>
      <c r="F4219" t="s">
        <v>108</v>
      </c>
      <c r="H4219" t="s">
        <v>26720</v>
      </c>
      <c r="I4219" t="s">
        <v>225</v>
      </c>
      <c r="J4219" t="s">
        <v>111</v>
      </c>
      <c r="K4219" t="str">
        <f>"85215"</f>
        <v>85215</v>
      </c>
      <c r="L4219" t="s">
        <v>500</v>
      </c>
      <c r="M4219" t="s">
        <v>26720</v>
      </c>
      <c r="N4219" t="s">
        <v>225</v>
      </c>
      <c r="O4219" t="s">
        <v>111</v>
      </c>
      <c r="P4219" t="str">
        <f>"85215-2922"</f>
        <v>85215-2922</v>
      </c>
      <c r="Q4219" t="s">
        <v>113</v>
      </c>
      <c r="R4219" t="str">
        <f>"141-71-158-B"</f>
        <v>141-71-158-B</v>
      </c>
      <c r="S4219" t="s">
        <v>6660</v>
      </c>
      <c r="T4219" t="s">
        <v>6661</v>
      </c>
      <c r="U4219">
        <v>1710</v>
      </c>
      <c r="V4219">
        <v>0</v>
      </c>
      <c r="W4219">
        <v>2</v>
      </c>
      <c r="X4219">
        <v>1957</v>
      </c>
      <c r="Z4219">
        <v>1</v>
      </c>
      <c r="AB4219">
        <v>0</v>
      </c>
      <c r="AC4219" t="s">
        <v>115</v>
      </c>
      <c r="AD4219">
        <v>3</v>
      </c>
      <c r="AE4219" t="s">
        <v>115</v>
      </c>
      <c r="AF4219">
        <v>0</v>
      </c>
      <c r="AG4219">
        <v>0</v>
      </c>
      <c r="AH4219" t="s">
        <v>116</v>
      </c>
      <c r="AI4219" s="1">
        <v>-3068</v>
      </c>
      <c r="AJ4219" s="2">
        <v>-0.01</v>
      </c>
      <c r="AK4219" s="1">
        <v>308284</v>
      </c>
      <c r="AL4219" t="s">
        <v>117</v>
      </c>
      <c r="AM4219" t="s">
        <v>917</v>
      </c>
      <c r="AN4219">
        <v>28328</v>
      </c>
      <c r="AO4219">
        <v>0.65</v>
      </c>
      <c r="AP4219">
        <v>1</v>
      </c>
      <c r="AR4219">
        <v>1</v>
      </c>
      <c r="AS4219" s="1">
        <v>21300</v>
      </c>
      <c r="AT4219" s="1">
        <v>4260</v>
      </c>
      <c r="AU4219" s="1">
        <v>17040</v>
      </c>
      <c r="AV4219">
        <v>80</v>
      </c>
      <c r="AX4219" s="1">
        <v>1402.8</v>
      </c>
      <c r="AY4219" t="s">
        <v>6662</v>
      </c>
      <c r="AZ4219" t="s">
        <v>5275</v>
      </c>
      <c r="BA4219" t="s">
        <v>3119</v>
      </c>
      <c r="BE4219" s="3">
        <v>42143</v>
      </c>
      <c r="BF4219" s="1">
        <v>235000</v>
      </c>
      <c r="BG4219" t="s">
        <v>26721</v>
      </c>
      <c r="BH4219" s="1">
        <v>137.43</v>
      </c>
      <c r="BI4219" s="1">
        <v>240052</v>
      </c>
      <c r="BJ4219" s="3">
        <v>42143</v>
      </c>
      <c r="BK4219" t="s">
        <v>123</v>
      </c>
      <c r="BL4219" t="str">
        <f>"2015.352707"</f>
        <v>2015.352707</v>
      </c>
      <c r="BM4219" t="s">
        <v>724</v>
      </c>
      <c r="BN4219" t="s">
        <v>5737</v>
      </c>
      <c r="BO4219" t="s">
        <v>26722</v>
      </c>
      <c r="BS4219">
        <v>30</v>
      </c>
      <c r="BT4219" s="1">
        <v>71300</v>
      </c>
      <c r="BU4219" s="3">
        <v>43651</v>
      </c>
      <c r="BW4219" t="str">
        <f>"2019.508921"</f>
        <v>2019.508921</v>
      </c>
      <c r="BX4219" t="s">
        <v>26723</v>
      </c>
      <c r="BY4219" t="s">
        <v>26724</v>
      </c>
      <c r="BZ4219" t="s">
        <v>26725</v>
      </c>
      <c r="CA4219" t="s">
        <v>26726</v>
      </c>
      <c r="CC4219" t="s">
        <v>346</v>
      </c>
      <c r="CH4219" t="str">
        <f>""</f>
        <v/>
      </c>
      <c r="CS4219" t="str">
        <f>""</f>
        <v/>
      </c>
    </row>
    <row r="4220" spans="1:97" x14ac:dyDescent="0.25">
      <c r="A4220" t="s">
        <v>1295</v>
      </c>
      <c r="B4220" t="s">
        <v>1872</v>
      </c>
      <c r="E4220" t="s">
        <v>26727</v>
      </c>
      <c r="F4220" t="s">
        <v>108</v>
      </c>
      <c r="H4220" t="s">
        <v>26728</v>
      </c>
      <c r="I4220" t="s">
        <v>110</v>
      </c>
      <c r="J4220" t="s">
        <v>111</v>
      </c>
      <c r="K4220" t="str">
        <f>"85224"</f>
        <v>85224</v>
      </c>
      <c r="L4220" t="s">
        <v>5209</v>
      </c>
      <c r="M4220" t="s">
        <v>26728</v>
      </c>
      <c r="N4220" t="s">
        <v>110</v>
      </c>
      <c r="O4220" t="s">
        <v>111</v>
      </c>
      <c r="P4220" t="str">
        <f>"85224-2714"</f>
        <v>85224-2714</v>
      </c>
      <c r="Q4220" t="s">
        <v>113</v>
      </c>
      <c r="R4220" t="str">
        <f>"302-81-053"</f>
        <v>302-81-053</v>
      </c>
      <c r="S4220" t="s">
        <v>10735</v>
      </c>
      <c r="T4220" t="s">
        <v>8456</v>
      </c>
      <c r="U4220">
        <v>1420</v>
      </c>
      <c r="V4220">
        <v>0</v>
      </c>
      <c r="W4220">
        <v>2</v>
      </c>
      <c r="X4220">
        <v>1980</v>
      </c>
      <c r="Z4220">
        <v>1</v>
      </c>
      <c r="AA4220" t="s">
        <v>26</v>
      </c>
      <c r="AB4220">
        <v>0</v>
      </c>
      <c r="AC4220" t="s">
        <v>115</v>
      </c>
      <c r="AD4220">
        <v>2</v>
      </c>
      <c r="AE4220" t="s">
        <v>115</v>
      </c>
      <c r="AF4220">
        <v>0</v>
      </c>
      <c r="AG4220">
        <v>0</v>
      </c>
      <c r="AH4220" t="s">
        <v>116</v>
      </c>
      <c r="AI4220" s="1">
        <v>82038</v>
      </c>
      <c r="AJ4220" s="2">
        <v>0.28000000000000003</v>
      </c>
      <c r="AK4220" s="1">
        <v>290038</v>
      </c>
      <c r="AL4220" t="s">
        <v>117</v>
      </c>
      <c r="AM4220" t="s">
        <v>5077</v>
      </c>
      <c r="AN4220">
        <v>9866</v>
      </c>
      <c r="AO4220">
        <v>0.23</v>
      </c>
      <c r="AP4220">
        <v>1</v>
      </c>
      <c r="AR4220">
        <v>1</v>
      </c>
      <c r="AS4220" s="1">
        <v>19910</v>
      </c>
      <c r="AT4220" s="1">
        <v>3980</v>
      </c>
      <c r="AU4220" s="1">
        <v>15930</v>
      </c>
      <c r="AV4220">
        <v>80.010000000000005</v>
      </c>
      <c r="AX4220" s="1">
        <v>1255.46</v>
      </c>
      <c r="AY4220" t="s">
        <v>5722</v>
      </c>
      <c r="AZ4220" t="s">
        <v>5078</v>
      </c>
      <c r="BA4220" t="s">
        <v>2957</v>
      </c>
      <c r="BE4220" s="3">
        <v>41969</v>
      </c>
      <c r="BF4220" s="1">
        <v>208000</v>
      </c>
      <c r="BG4220" t="s">
        <v>26729</v>
      </c>
      <c r="BH4220" s="1">
        <v>146.47999999999999</v>
      </c>
      <c r="BI4220" s="1">
        <v>208000</v>
      </c>
      <c r="BJ4220" s="3">
        <v>41969</v>
      </c>
      <c r="BK4220" t="s">
        <v>123</v>
      </c>
      <c r="BL4220" t="str">
        <f>"2014.785639"</f>
        <v>2014.785639</v>
      </c>
      <c r="BM4220" t="s">
        <v>724</v>
      </c>
      <c r="BO4220" t="s">
        <v>26730</v>
      </c>
      <c r="BS4220">
        <v>30</v>
      </c>
      <c r="BW4220" t="str">
        <f>""</f>
        <v/>
      </c>
      <c r="CH4220" t="str">
        <f>""</f>
        <v/>
      </c>
      <c r="CS4220" t="str">
        <f>""</f>
        <v/>
      </c>
    </row>
    <row r="4221" spans="1:97" x14ac:dyDescent="0.25">
      <c r="A4221" t="s">
        <v>1160</v>
      </c>
      <c r="B4221" t="s">
        <v>20099</v>
      </c>
      <c r="C4221" t="s">
        <v>3306</v>
      </c>
      <c r="D4221" t="s">
        <v>20099</v>
      </c>
      <c r="E4221" t="s">
        <v>26731</v>
      </c>
      <c r="F4221" t="s">
        <v>108</v>
      </c>
      <c r="H4221" t="s">
        <v>26732</v>
      </c>
      <c r="I4221" t="s">
        <v>632</v>
      </c>
      <c r="J4221" t="s">
        <v>111</v>
      </c>
      <c r="K4221" t="str">
        <f>"85388"</f>
        <v>85388</v>
      </c>
      <c r="L4221" t="s">
        <v>1796</v>
      </c>
      <c r="M4221" t="s">
        <v>26732</v>
      </c>
      <c r="N4221" t="s">
        <v>632</v>
      </c>
      <c r="O4221" t="s">
        <v>111</v>
      </c>
      <c r="P4221" t="str">
        <f>"85388"</f>
        <v>85388</v>
      </c>
      <c r="Q4221" t="s">
        <v>113</v>
      </c>
      <c r="R4221" t="str">
        <f>"502-01-446"</f>
        <v>502-01-446</v>
      </c>
      <c r="S4221" t="s">
        <v>12585</v>
      </c>
      <c r="T4221" t="s">
        <v>5431</v>
      </c>
      <c r="U4221">
        <v>2839</v>
      </c>
      <c r="V4221">
        <v>0</v>
      </c>
      <c r="W4221">
        <v>4</v>
      </c>
      <c r="X4221">
        <v>2004</v>
      </c>
      <c r="Z4221">
        <v>2</v>
      </c>
      <c r="AA4221" t="s">
        <v>26</v>
      </c>
      <c r="AB4221">
        <v>0</v>
      </c>
      <c r="AC4221" t="s">
        <v>115</v>
      </c>
      <c r="AD4221">
        <v>2</v>
      </c>
      <c r="AE4221" t="s">
        <v>115</v>
      </c>
      <c r="AF4221">
        <v>0</v>
      </c>
      <c r="AG4221">
        <v>0</v>
      </c>
      <c r="AH4221" t="s">
        <v>116</v>
      </c>
      <c r="AI4221" s="1">
        <v>62943</v>
      </c>
      <c r="AJ4221" s="2">
        <v>0.19</v>
      </c>
      <c r="AK4221" s="1">
        <v>333640</v>
      </c>
      <c r="AL4221" t="s">
        <v>117</v>
      </c>
      <c r="AM4221" t="s">
        <v>118</v>
      </c>
      <c r="AN4221">
        <v>10930</v>
      </c>
      <c r="AO4221">
        <v>0.25</v>
      </c>
      <c r="AP4221">
        <v>1</v>
      </c>
      <c r="AR4221">
        <v>1</v>
      </c>
      <c r="AS4221" s="1">
        <v>23630</v>
      </c>
      <c r="AT4221" s="1">
        <v>4720</v>
      </c>
      <c r="AU4221" s="1">
        <v>18910</v>
      </c>
      <c r="AV4221">
        <v>80.03</v>
      </c>
      <c r="AX4221" s="1">
        <v>2221.3000000000002</v>
      </c>
      <c r="AY4221" t="s">
        <v>5432</v>
      </c>
      <c r="AZ4221" t="s">
        <v>5432</v>
      </c>
      <c r="BA4221" t="s">
        <v>5109</v>
      </c>
      <c r="BE4221" s="3">
        <v>41880</v>
      </c>
      <c r="BF4221" s="1">
        <v>268000</v>
      </c>
      <c r="BG4221" t="s">
        <v>26733</v>
      </c>
      <c r="BH4221" s="1">
        <v>94.4</v>
      </c>
      <c r="BI4221" s="1">
        <v>270697</v>
      </c>
      <c r="BJ4221" s="3">
        <v>41880</v>
      </c>
      <c r="BK4221" t="s">
        <v>123</v>
      </c>
      <c r="BL4221" t="str">
        <f>"2014.575827"</f>
        <v>2014.575827</v>
      </c>
      <c r="BM4221" t="s">
        <v>724</v>
      </c>
      <c r="BO4221" t="s">
        <v>26734</v>
      </c>
      <c r="BS4221">
        <v>30</v>
      </c>
      <c r="BW4221" t="str">
        <f>""</f>
        <v/>
      </c>
      <c r="CH4221" t="str">
        <f>""</f>
        <v/>
      </c>
      <c r="CS4221" t="str">
        <f>""</f>
        <v/>
      </c>
    </row>
    <row r="4222" spans="1:97" x14ac:dyDescent="0.25">
      <c r="A4222" t="s">
        <v>257</v>
      </c>
      <c r="B4222" t="s">
        <v>5013</v>
      </c>
      <c r="E4222" t="s">
        <v>26735</v>
      </c>
      <c r="F4222" t="s">
        <v>108</v>
      </c>
      <c r="H4222" t="s">
        <v>26736</v>
      </c>
      <c r="I4222" t="s">
        <v>5636</v>
      </c>
      <c r="J4222" t="s">
        <v>111</v>
      </c>
      <c r="K4222" t="str">
        <f>"85268"</f>
        <v>85268</v>
      </c>
      <c r="L4222" t="s">
        <v>168</v>
      </c>
      <c r="M4222" t="s">
        <v>26736</v>
      </c>
      <c r="N4222" t="s">
        <v>5636</v>
      </c>
      <c r="O4222" t="s">
        <v>111</v>
      </c>
      <c r="P4222" t="str">
        <f>"85268-3013"</f>
        <v>85268-3013</v>
      </c>
      <c r="Q4222" t="s">
        <v>113</v>
      </c>
      <c r="R4222" t="str">
        <f>"176-03-182"</f>
        <v>176-03-182</v>
      </c>
      <c r="S4222" t="s">
        <v>12231</v>
      </c>
      <c r="U4222">
        <v>1408</v>
      </c>
      <c r="V4222">
        <v>0</v>
      </c>
      <c r="W4222">
        <v>2</v>
      </c>
      <c r="X4222">
        <v>1973</v>
      </c>
      <c r="Z4222">
        <v>1</v>
      </c>
      <c r="AB4222">
        <v>0</v>
      </c>
      <c r="AC4222" t="s">
        <v>115</v>
      </c>
      <c r="AD4222">
        <v>2</v>
      </c>
      <c r="AE4222" t="s">
        <v>115</v>
      </c>
      <c r="AF4222">
        <v>0</v>
      </c>
      <c r="AG4222">
        <v>0</v>
      </c>
      <c r="AH4222" t="s">
        <v>116</v>
      </c>
      <c r="AI4222" s="1">
        <v>84968</v>
      </c>
      <c r="AJ4222" s="2">
        <v>0.25</v>
      </c>
      <c r="AK4222" s="1">
        <v>339468</v>
      </c>
      <c r="AL4222" t="s">
        <v>117</v>
      </c>
      <c r="AM4222" t="s">
        <v>171</v>
      </c>
      <c r="AN4222">
        <v>9997</v>
      </c>
      <c r="AO4222">
        <v>0.23</v>
      </c>
      <c r="AP4222">
        <v>1</v>
      </c>
      <c r="AR4222">
        <v>1</v>
      </c>
      <c r="AS4222" s="1">
        <v>18570</v>
      </c>
      <c r="AT4222" s="1">
        <v>3710</v>
      </c>
      <c r="AU4222" s="1">
        <v>14860</v>
      </c>
      <c r="AV4222">
        <v>80.02</v>
      </c>
      <c r="AX4222" s="1">
        <v>1034.1600000000001</v>
      </c>
      <c r="AY4222" t="s">
        <v>6485</v>
      </c>
      <c r="AZ4222" t="s">
        <v>5640</v>
      </c>
      <c r="BA4222" t="s">
        <v>5641</v>
      </c>
      <c r="BE4222" s="3">
        <v>42034</v>
      </c>
      <c r="BF4222" s="1">
        <v>254500</v>
      </c>
      <c r="BG4222" t="s">
        <v>26737</v>
      </c>
      <c r="BH4222" s="1">
        <v>180.75</v>
      </c>
      <c r="BI4222" s="1">
        <v>254500</v>
      </c>
      <c r="BJ4222" s="3">
        <v>42034</v>
      </c>
      <c r="BK4222" t="s">
        <v>123</v>
      </c>
      <c r="BL4222" t="str">
        <f>"2015.61272"</f>
        <v>2015.61272</v>
      </c>
      <c r="BM4222" t="s">
        <v>1185</v>
      </c>
      <c r="BO4222" t="s">
        <v>26738</v>
      </c>
      <c r="BS4222">
        <v>30</v>
      </c>
      <c r="BW4222" t="str">
        <f>""</f>
        <v/>
      </c>
      <c r="CH4222" t="str">
        <f>""</f>
        <v/>
      </c>
      <c r="CS4222" t="str">
        <f>""</f>
        <v/>
      </c>
    </row>
    <row r="4223" spans="1:97" x14ac:dyDescent="0.25">
      <c r="A4223" t="s">
        <v>211</v>
      </c>
      <c r="B4223" t="s">
        <v>26739</v>
      </c>
      <c r="E4223" t="s">
        <v>26740</v>
      </c>
      <c r="F4223" t="s">
        <v>108</v>
      </c>
      <c r="H4223" t="s">
        <v>26741</v>
      </c>
      <c r="I4223" t="s">
        <v>225</v>
      </c>
      <c r="J4223" t="s">
        <v>111</v>
      </c>
      <c r="K4223" t="str">
        <f>"85209"</f>
        <v>85209</v>
      </c>
      <c r="L4223" t="s">
        <v>5260</v>
      </c>
      <c r="M4223" t="s">
        <v>26741</v>
      </c>
      <c r="N4223" t="s">
        <v>225</v>
      </c>
      <c r="O4223" t="s">
        <v>111</v>
      </c>
      <c r="P4223" t="str">
        <f>"85209-4026"</f>
        <v>85209-4026</v>
      </c>
      <c r="Q4223" t="s">
        <v>113</v>
      </c>
      <c r="R4223" t="str">
        <f>"218-56-647"</f>
        <v>218-56-647</v>
      </c>
      <c r="S4223" t="s">
        <v>26742</v>
      </c>
      <c r="T4223" t="s">
        <v>21902</v>
      </c>
      <c r="U4223">
        <v>1333</v>
      </c>
      <c r="V4223">
        <v>0</v>
      </c>
      <c r="W4223">
        <v>3</v>
      </c>
      <c r="X4223">
        <v>1995</v>
      </c>
      <c r="Z4223">
        <v>1</v>
      </c>
      <c r="AB4223">
        <v>0</v>
      </c>
      <c r="AC4223" t="s">
        <v>115</v>
      </c>
      <c r="AD4223">
        <v>2</v>
      </c>
      <c r="AE4223" t="s">
        <v>115</v>
      </c>
      <c r="AF4223">
        <v>0</v>
      </c>
      <c r="AG4223">
        <v>0</v>
      </c>
      <c r="AH4223" t="s">
        <v>116</v>
      </c>
      <c r="AI4223" s="1">
        <v>39050</v>
      </c>
      <c r="AJ4223" s="2">
        <v>0.16</v>
      </c>
      <c r="AK4223" s="1">
        <v>249450</v>
      </c>
      <c r="AL4223" t="s">
        <v>117</v>
      </c>
      <c r="AM4223" t="s">
        <v>191</v>
      </c>
      <c r="AN4223">
        <v>5310</v>
      </c>
      <c r="AO4223">
        <v>0.12</v>
      </c>
      <c r="AP4223">
        <v>1</v>
      </c>
      <c r="AR4223">
        <v>1</v>
      </c>
      <c r="AS4223" s="1">
        <v>16770</v>
      </c>
      <c r="AT4223" s="1">
        <v>3350</v>
      </c>
      <c r="AU4223" s="1">
        <v>13420</v>
      </c>
      <c r="AV4223">
        <v>80.02</v>
      </c>
      <c r="AX4223" s="1">
        <v>1436.26</v>
      </c>
      <c r="AY4223" t="s">
        <v>5157</v>
      </c>
      <c r="AZ4223" t="s">
        <v>231</v>
      </c>
      <c r="BA4223" t="s">
        <v>232</v>
      </c>
      <c r="BE4223" s="3">
        <v>42458</v>
      </c>
      <c r="BF4223" s="1">
        <v>204000</v>
      </c>
      <c r="BG4223" t="s">
        <v>26743</v>
      </c>
      <c r="BH4223" s="1">
        <v>153.04</v>
      </c>
      <c r="BI4223" s="1">
        <v>210400</v>
      </c>
      <c r="BJ4223" s="3">
        <v>42458</v>
      </c>
      <c r="BK4223" t="s">
        <v>123</v>
      </c>
      <c r="BL4223" t="str">
        <f>"2016.203524"</f>
        <v>2016.203524</v>
      </c>
      <c r="BM4223" t="s">
        <v>1185</v>
      </c>
      <c r="BO4223" t="s">
        <v>26744</v>
      </c>
      <c r="BS4223">
        <v>30</v>
      </c>
      <c r="BW4223" t="str">
        <f>""</f>
        <v/>
      </c>
      <c r="CH4223" t="str">
        <f>""</f>
        <v/>
      </c>
      <c r="CS4223" t="str">
        <f>""</f>
        <v/>
      </c>
    </row>
    <row r="4224" spans="1:97" x14ac:dyDescent="0.25">
      <c r="A4224" t="s">
        <v>992</v>
      </c>
      <c r="B4224" t="s">
        <v>26745</v>
      </c>
      <c r="C4224" t="s">
        <v>2184</v>
      </c>
      <c r="D4224" t="s">
        <v>26745</v>
      </c>
      <c r="E4224" t="s">
        <v>26746</v>
      </c>
      <c r="F4224" t="s">
        <v>108</v>
      </c>
      <c r="H4224" t="s">
        <v>26747</v>
      </c>
      <c r="I4224" t="s">
        <v>225</v>
      </c>
      <c r="J4224" t="s">
        <v>111</v>
      </c>
      <c r="K4224" t="str">
        <f>"85212"</f>
        <v>85212</v>
      </c>
      <c r="L4224" t="s">
        <v>5084</v>
      </c>
      <c r="M4224" t="s">
        <v>26747</v>
      </c>
      <c r="N4224" t="s">
        <v>225</v>
      </c>
      <c r="O4224" t="s">
        <v>111</v>
      </c>
      <c r="P4224" t="str">
        <f>"85212-1454"</f>
        <v>85212-1454</v>
      </c>
      <c r="Q4224" t="s">
        <v>113</v>
      </c>
      <c r="R4224" t="str">
        <f>"304-02-367"</f>
        <v>304-02-367</v>
      </c>
      <c r="S4224" t="s">
        <v>7300</v>
      </c>
      <c r="T4224" t="s">
        <v>7301</v>
      </c>
      <c r="U4224">
        <v>1307</v>
      </c>
      <c r="V4224">
        <v>0</v>
      </c>
      <c r="W4224">
        <v>2</v>
      </c>
      <c r="X4224">
        <v>1998</v>
      </c>
      <c r="Z4224">
        <v>1</v>
      </c>
      <c r="AB4224">
        <v>0</v>
      </c>
      <c r="AC4224" t="s">
        <v>115</v>
      </c>
      <c r="AD4224">
        <v>2</v>
      </c>
      <c r="AE4224" t="s">
        <v>115</v>
      </c>
      <c r="AF4224">
        <v>0</v>
      </c>
      <c r="AG4224">
        <v>0</v>
      </c>
      <c r="AH4224" t="s">
        <v>116</v>
      </c>
      <c r="AI4224" s="1">
        <v>40491</v>
      </c>
      <c r="AJ4224" s="2">
        <v>0.16</v>
      </c>
      <c r="AK4224" s="1">
        <v>257317</v>
      </c>
      <c r="AL4224" t="s">
        <v>117</v>
      </c>
      <c r="AM4224" t="s">
        <v>191</v>
      </c>
      <c r="AN4224">
        <v>8301</v>
      </c>
      <c r="AO4224">
        <v>0.19</v>
      </c>
      <c r="AP4224">
        <v>1</v>
      </c>
      <c r="AR4224">
        <v>1</v>
      </c>
      <c r="AS4224" s="1">
        <v>17070</v>
      </c>
      <c r="AT4224" s="1">
        <v>3410</v>
      </c>
      <c r="AU4224" s="1">
        <v>13660</v>
      </c>
      <c r="AV4224">
        <v>80.02</v>
      </c>
      <c r="AX4224" s="1">
        <v>1112.5</v>
      </c>
      <c r="AY4224" t="s">
        <v>7302</v>
      </c>
      <c r="AZ4224" t="s">
        <v>777</v>
      </c>
      <c r="BA4224" t="s">
        <v>572</v>
      </c>
      <c r="BE4224" s="3">
        <v>42446</v>
      </c>
      <c r="BF4224" s="1">
        <v>209900</v>
      </c>
      <c r="BG4224" t="s">
        <v>9690</v>
      </c>
      <c r="BH4224" s="1">
        <v>160.6</v>
      </c>
      <c r="BI4224" s="1">
        <v>216826</v>
      </c>
      <c r="BJ4224" s="3">
        <v>42446</v>
      </c>
      <c r="BK4224" t="s">
        <v>123</v>
      </c>
      <c r="BL4224" t="str">
        <f>"2016.172040"</f>
        <v>2016.172040</v>
      </c>
      <c r="BM4224" t="s">
        <v>544</v>
      </c>
      <c r="BO4224" t="s">
        <v>26748</v>
      </c>
      <c r="BS4224">
        <v>30</v>
      </c>
      <c r="BW4224" t="str">
        <f>""</f>
        <v/>
      </c>
      <c r="CH4224" t="str">
        <f>""</f>
        <v/>
      </c>
      <c r="CS4224" t="str">
        <f>""</f>
        <v/>
      </c>
    </row>
    <row r="4225" spans="1:97" x14ac:dyDescent="0.25">
      <c r="A4225" t="s">
        <v>22291</v>
      </c>
      <c r="B4225" t="s">
        <v>1450</v>
      </c>
      <c r="E4225" t="s">
        <v>26749</v>
      </c>
      <c r="F4225" t="s">
        <v>282</v>
      </c>
      <c r="H4225" t="s">
        <v>26750</v>
      </c>
      <c r="I4225" t="s">
        <v>1936</v>
      </c>
      <c r="J4225" t="s">
        <v>111</v>
      </c>
      <c r="K4225" t="str">
        <f>"85250"</f>
        <v>85250</v>
      </c>
      <c r="L4225" t="s">
        <v>11097</v>
      </c>
      <c r="M4225" t="s">
        <v>26751</v>
      </c>
      <c r="N4225" t="s">
        <v>25598</v>
      </c>
      <c r="O4225" t="s">
        <v>111</v>
      </c>
      <c r="P4225" t="str">
        <f>"85704-6548"</f>
        <v>85704-6548</v>
      </c>
      <c r="Q4225" t="s">
        <v>113</v>
      </c>
      <c r="R4225" t="str">
        <f>"173-69-167"</f>
        <v>173-69-167</v>
      </c>
      <c r="S4225" t="s">
        <v>26752</v>
      </c>
      <c r="U4225">
        <v>1520</v>
      </c>
      <c r="V4225">
        <v>0</v>
      </c>
      <c r="W4225">
        <v>2</v>
      </c>
      <c r="X4225">
        <v>1963</v>
      </c>
      <c r="Z4225">
        <v>1</v>
      </c>
      <c r="AB4225">
        <v>0</v>
      </c>
      <c r="AC4225" t="s">
        <v>115</v>
      </c>
      <c r="AD4225">
        <v>2</v>
      </c>
      <c r="AE4225" t="s">
        <v>115</v>
      </c>
      <c r="AF4225">
        <v>0</v>
      </c>
      <c r="AG4225">
        <v>0</v>
      </c>
      <c r="AH4225" t="s">
        <v>116</v>
      </c>
      <c r="AI4225" s="1">
        <v>133131</v>
      </c>
      <c r="AJ4225" s="2">
        <v>0.34</v>
      </c>
      <c r="AK4225" s="1">
        <v>393131</v>
      </c>
      <c r="AL4225" t="s">
        <v>117</v>
      </c>
      <c r="AM4225" t="s">
        <v>393</v>
      </c>
      <c r="AN4225">
        <v>7105</v>
      </c>
      <c r="AO4225">
        <v>0.16</v>
      </c>
      <c r="AP4225">
        <v>1</v>
      </c>
      <c r="AR4225">
        <v>1</v>
      </c>
      <c r="AS4225" s="1">
        <v>26410</v>
      </c>
      <c r="AT4225" s="1">
        <v>5280</v>
      </c>
      <c r="AU4225" s="1">
        <v>21130</v>
      </c>
      <c r="AV4225">
        <v>80.010000000000005</v>
      </c>
      <c r="AX4225" s="1">
        <v>1659.5</v>
      </c>
      <c r="AY4225" t="s">
        <v>11099</v>
      </c>
      <c r="AZ4225" t="s">
        <v>6975</v>
      </c>
      <c r="BA4225" t="s">
        <v>6976</v>
      </c>
      <c r="BE4225" s="3">
        <v>42419</v>
      </c>
      <c r="BF4225" s="1">
        <v>295000</v>
      </c>
      <c r="BG4225" t="s">
        <v>26753</v>
      </c>
      <c r="BH4225" s="1">
        <v>194.08</v>
      </c>
      <c r="BI4225" s="1">
        <v>260000</v>
      </c>
      <c r="BJ4225" s="3">
        <v>42419</v>
      </c>
      <c r="BK4225" t="s">
        <v>123</v>
      </c>
      <c r="BL4225" t="str">
        <f>"2016.105739"</f>
        <v>2016.105739</v>
      </c>
      <c r="BM4225" t="s">
        <v>724</v>
      </c>
      <c r="BO4225" t="s">
        <v>26754</v>
      </c>
      <c r="BS4225">
        <v>30</v>
      </c>
      <c r="BW4225" t="str">
        <f>""</f>
        <v/>
      </c>
      <c r="CH4225" t="str">
        <f>""</f>
        <v/>
      </c>
      <c r="CS4225" t="str">
        <f>""</f>
        <v/>
      </c>
    </row>
    <row r="4226" spans="1:97" x14ac:dyDescent="0.25">
      <c r="A4226" t="s">
        <v>26755</v>
      </c>
      <c r="B4226" t="s">
        <v>14832</v>
      </c>
      <c r="E4226" t="s">
        <v>26756</v>
      </c>
      <c r="F4226" t="s">
        <v>108</v>
      </c>
      <c r="H4226" t="s">
        <v>26757</v>
      </c>
      <c r="I4226" t="s">
        <v>390</v>
      </c>
      <c r="J4226" t="s">
        <v>111</v>
      </c>
      <c r="K4226" t="str">
        <f>"85032"</f>
        <v>85032</v>
      </c>
      <c r="L4226" t="s">
        <v>26758</v>
      </c>
      <c r="M4226" t="s">
        <v>26757</v>
      </c>
      <c r="N4226" t="s">
        <v>390</v>
      </c>
      <c r="O4226" t="s">
        <v>111</v>
      </c>
      <c r="P4226" t="str">
        <f>"85032-1655"</f>
        <v>85032-1655</v>
      </c>
      <c r="Q4226" t="s">
        <v>113</v>
      </c>
      <c r="R4226" t="str">
        <f>"214-06-249"</f>
        <v>214-06-249</v>
      </c>
      <c r="S4226" t="s">
        <v>26759</v>
      </c>
      <c r="T4226" t="s">
        <v>26760</v>
      </c>
      <c r="U4226">
        <v>1601</v>
      </c>
      <c r="V4226">
        <v>0</v>
      </c>
      <c r="W4226">
        <v>1</v>
      </c>
      <c r="X4226">
        <v>1982</v>
      </c>
      <c r="Z4226">
        <v>1</v>
      </c>
      <c r="AB4226">
        <v>0</v>
      </c>
      <c r="AC4226" t="s">
        <v>115</v>
      </c>
      <c r="AD4226">
        <v>2</v>
      </c>
      <c r="AE4226" t="s">
        <v>115</v>
      </c>
      <c r="AF4226">
        <v>0</v>
      </c>
      <c r="AG4226">
        <v>0</v>
      </c>
      <c r="AH4226" t="s">
        <v>116</v>
      </c>
      <c r="AI4226" s="1">
        <v>65388</v>
      </c>
      <c r="AJ4226" s="2">
        <v>0.23</v>
      </c>
      <c r="AK4226" s="1">
        <v>279388</v>
      </c>
      <c r="AL4226" t="s">
        <v>117</v>
      </c>
      <c r="AM4226" t="s">
        <v>191</v>
      </c>
      <c r="AN4226">
        <v>7706</v>
      </c>
      <c r="AO4226">
        <v>0.18</v>
      </c>
      <c r="AP4226">
        <v>1</v>
      </c>
      <c r="AR4226">
        <v>1</v>
      </c>
      <c r="AS4226" s="1">
        <v>18670</v>
      </c>
      <c r="AT4226" s="1">
        <v>3730</v>
      </c>
      <c r="AU4226" s="1">
        <v>14940</v>
      </c>
      <c r="AV4226">
        <v>80.02</v>
      </c>
      <c r="AX4226" s="1">
        <v>1224.74</v>
      </c>
      <c r="AY4226" t="s">
        <v>16266</v>
      </c>
      <c r="AZ4226" t="s">
        <v>2550</v>
      </c>
      <c r="BA4226" t="s">
        <v>2551</v>
      </c>
      <c r="BE4226" s="3">
        <v>42170</v>
      </c>
      <c r="BF4226" s="1">
        <v>214000</v>
      </c>
      <c r="BG4226" t="s">
        <v>26761</v>
      </c>
      <c r="BH4226" s="1">
        <v>133.66999999999999</v>
      </c>
      <c r="BI4226" s="1">
        <v>214000</v>
      </c>
      <c r="BJ4226" s="3">
        <v>42170</v>
      </c>
      <c r="BK4226" t="s">
        <v>123</v>
      </c>
      <c r="BL4226" t="str">
        <f>"2015.426434"</f>
        <v>2015.426434</v>
      </c>
      <c r="BM4226" t="s">
        <v>150</v>
      </c>
      <c r="BO4226" t="s">
        <v>26762</v>
      </c>
      <c r="BS4226">
        <v>30</v>
      </c>
      <c r="BW4226" t="str">
        <f>""</f>
        <v/>
      </c>
      <c r="CH4226" t="str">
        <f>""</f>
        <v/>
      </c>
      <c r="CS4226" t="str">
        <f>""</f>
        <v/>
      </c>
    </row>
    <row r="4227" spans="1:97" x14ac:dyDescent="0.25">
      <c r="A4227" t="s">
        <v>140</v>
      </c>
      <c r="B4227" t="s">
        <v>26763</v>
      </c>
      <c r="E4227" t="s">
        <v>26764</v>
      </c>
      <c r="F4227" t="s">
        <v>108</v>
      </c>
      <c r="H4227" t="s">
        <v>26765</v>
      </c>
      <c r="I4227" t="s">
        <v>632</v>
      </c>
      <c r="J4227" t="s">
        <v>111</v>
      </c>
      <c r="K4227" t="str">
        <f>"85374"</f>
        <v>85374</v>
      </c>
      <c r="L4227" t="s">
        <v>6788</v>
      </c>
      <c r="M4227" t="s">
        <v>26765</v>
      </c>
      <c r="N4227" t="s">
        <v>632</v>
      </c>
      <c r="O4227" t="s">
        <v>111</v>
      </c>
      <c r="P4227" t="str">
        <f>"85374-5433"</f>
        <v>85374-5433</v>
      </c>
      <c r="Q4227" t="s">
        <v>113</v>
      </c>
      <c r="R4227" t="str">
        <f>"501-91-291"</f>
        <v>501-91-291</v>
      </c>
      <c r="S4227" t="s">
        <v>26766</v>
      </c>
      <c r="T4227" t="s">
        <v>26767</v>
      </c>
      <c r="U4227">
        <v>1640</v>
      </c>
      <c r="V4227">
        <v>0</v>
      </c>
      <c r="W4227">
        <v>3</v>
      </c>
      <c r="X4227">
        <v>1999</v>
      </c>
      <c r="Z4227">
        <v>1</v>
      </c>
      <c r="AB4227">
        <v>0</v>
      </c>
      <c r="AC4227" t="s">
        <v>115</v>
      </c>
      <c r="AD4227">
        <v>2</v>
      </c>
      <c r="AE4227" t="s">
        <v>115</v>
      </c>
      <c r="AF4227">
        <v>0</v>
      </c>
      <c r="AG4227">
        <v>0</v>
      </c>
      <c r="AH4227" t="s">
        <v>116</v>
      </c>
      <c r="AI4227" s="1">
        <v>5295</v>
      </c>
      <c r="AJ4227" s="2">
        <v>0.02</v>
      </c>
      <c r="AK4227" s="1">
        <v>240364</v>
      </c>
      <c r="AL4227" t="s">
        <v>117</v>
      </c>
      <c r="AM4227" t="s">
        <v>118</v>
      </c>
      <c r="AN4227">
        <v>9503</v>
      </c>
      <c r="AO4227">
        <v>0.22</v>
      </c>
      <c r="AP4227">
        <v>1</v>
      </c>
      <c r="AR4227">
        <v>1</v>
      </c>
      <c r="AS4227" s="1">
        <v>16550</v>
      </c>
      <c r="AT4227" s="1">
        <v>3310</v>
      </c>
      <c r="AU4227" s="1">
        <v>13240</v>
      </c>
      <c r="AV4227">
        <v>80</v>
      </c>
      <c r="AX4227" s="1">
        <v>1169.32</v>
      </c>
      <c r="AY4227" t="s">
        <v>9749</v>
      </c>
      <c r="AZ4227" t="s">
        <v>9749</v>
      </c>
      <c r="BA4227" t="s">
        <v>321</v>
      </c>
      <c r="BE4227" s="3">
        <v>42461</v>
      </c>
      <c r="BF4227" s="1">
        <v>183000</v>
      </c>
      <c r="BG4227" t="s">
        <v>26768</v>
      </c>
      <c r="BH4227" s="1">
        <v>111.59</v>
      </c>
      <c r="BI4227" s="1">
        <v>235069</v>
      </c>
      <c r="BJ4227" s="3">
        <v>43523</v>
      </c>
      <c r="BK4227" t="s">
        <v>123</v>
      </c>
      <c r="BL4227" t="str">
        <f>"2019.134149"</f>
        <v>2019.134149</v>
      </c>
      <c r="BM4227" t="s">
        <v>673</v>
      </c>
      <c r="BN4227" t="s">
        <v>674</v>
      </c>
      <c r="BO4227" t="s">
        <v>26769</v>
      </c>
      <c r="BR4227" t="s">
        <v>139</v>
      </c>
      <c r="BW4227" t="str">
        <f>""</f>
        <v/>
      </c>
      <c r="CH4227" t="str">
        <f>""</f>
        <v/>
      </c>
      <c r="CS4227" t="str">
        <f>""</f>
        <v/>
      </c>
    </row>
    <row r="4228" spans="1:97" x14ac:dyDescent="0.25">
      <c r="A4228" t="s">
        <v>1755</v>
      </c>
      <c r="B4228" t="s">
        <v>8220</v>
      </c>
      <c r="E4228" t="s">
        <v>26770</v>
      </c>
      <c r="F4228" t="s">
        <v>108</v>
      </c>
      <c r="H4228" t="s">
        <v>26771</v>
      </c>
      <c r="I4228" t="s">
        <v>390</v>
      </c>
      <c r="J4228" t="s">
        <v>111</v>
      </c>
      <c r="K4228" t="str">
        <f>"85032"</f>
        <v>85032</v>
      </c>
      <c r="L4228" t="s">
        <v>757</v>
      </c>
      <c r="M4228" t="s">
        <v>26771</v>
      </c>
      <c r="N4228" t="s">
        <v>390</v>
      </c>
      <c r="O4228" t="s">
        <v>111</v>
      </c>
      <c r="P4228" t="str">
        <f>"85032-5418"</f>
        <v>85032-5418</v>
      </c>
      <c r="Q4228" t="s">
        <v>113</v>
      </c>
      <c r="R4228" t="str">
        <f>"215-72-146"</f>
        <v>215-72-146</v>
      </c>
      <c r="S4228" t="s">
        <v>5298</v>
      </c>
      <c r="U4228">
        <v>1280</v>
      </c>
      <c r="V4228">
        <v>0</v>
      </c>
      <c r="W4228">
        <v>2</v>
      </c>
      <c r="X4228">
        <v>1975</v>
      </c>
      <c r="Z4228">
        <v>1</v>
      </c>
      <c r="AA4228" t="s">
        <v>26</v>
      </c>
      <c r="AB4228">
        <v>0</v>
      </c>
      <c r="AC4228" t="s">
        <v>115</v>
      </c>
      <c r="AD4228">
        <v>2</v>
      </c>
      <c r="AE4228" t="s">
        <v>115</v>
      </c>
      <c r="AF4228">
        <v>0</v>
      </c>
      <c r="AG4228">
        <v>0</v>
      </c>
      <c r="AH4228" t="s">
        <v>5467</v>
      </c>
      <c r="AI4228" s="1">
        <v>44801</v>
      </c>
      <c r="AJ4228" s="2">
        <v>0.15</v>
      </c>
      <c r="AK4228" s="1">
        <v>298643</v>
      </c>
      <c r="AL4228" t="s">
        <v>117</v>
      </c>
      <c r="AM4228" t="s">
        <v>171</v>
      </c>
      <c r="AN4228">
        <v>8347</v>
      </c>
      <c r="AO4228">
        <v>0.19</v>
      </c>
      <c r="AP4228">
        <v>1</v>
      </c>
      <c r="AR4228">
        <v>1</v>
      </c>
      <c r="AS4228" s="1">
        <v>19250</v>
      </c>
      <c r="AT4228" s="1">
        <v>3850</v>
      </c>
      <c r="AU4228" s="1">
        <v>15400</v>
      </c>
      <c r="AV4228">
        <v>80</v>
      </c>
      <c r="AX4228" s="1">
        <v>1465.12</v>
      </c>
      <c r="AY4228" t="s">
        <v>5230</v>
      </c>
      <c r="AZ4228" t="s">
        <v>1317</v>
      </c>
      <c r="BA4228" t="s">
        <v>1318</v>
      </c>
      <c r="BE4228" s="3">
        <v>42115</v>
      </c>
      <c r="BF4228" s="1">
        <v>248500</v>
      </c>
      <c r="BG4228" t="s">
        <v>26772</v>
      </c>
      <c r="BH4228" s="1">
        <v>194.14</v>
      </c>
      <c r="BI4228" s="1">
        <v>253842</v>
      </c>
      <c r="BJ4228" s="3">
        <v>42115</v>
      </c>
      <c r="BK4228" t="s">
        <v>123</v>
      </c>
      <c r="BL4228" t="str">
        <f>"2015.273189"</f>
        <v>2015.273189</v>
      </c>
      <c r="BM4228" t="s">
        <v>594</v>
      </c>
      <c r="BO4228" t="s">
        <v>26773</v>
      </c>
      <c r="BS4228">
        <v>30</v>
      </c>
      <c r="BW4228" t="str">
        <f>""</f>
        <v/>
      </c>
      <c r="CH4228" t="str">
        <f>""</f>
        <v/>
      </c>
      <c r="CS4228" t="str">
        <f>""</f>
        <v/>
      </c>
    </row>
    <row r="4229" spans="1:97" x14ac:dyDescent="0.25">
      <c r="A4229" t="s">
        <v>3089</v>
      </c>
      <c r="B4229" t="s">
        <v>659</v>
      </c>
      <c r="C4229" t="s">
        <v>26774</v>
      </c>
      <c r="D4229" t="s">
        <v>659</v>
      </c>
      <c r="E4229" t="s">
        <v>26775</v>
      </c>
      <c r="F4229" t="s">
        <v>108</v>
      </c>
      <c r="H4229" t="s">
        <v>26776</v>
      </c>
      <c r="I4229" t="s">
        <v>203</v>
      </c>
      <c r="J4229" t="s">
        <v>111</v>
      </c>
      <c r="K4229" t="str">
        <f>"85295"</f>
        <v>85295</v>
      </c>
      <c r="L4229" t="s">
        <v>8472</v>
      </c>
      <c r="M4229" t="s">
        <v>26776</v>
      </c>
      <c r="N4229" t="s">
        <v>203</v>
      </c>
      <c r="O4229" t="s">
        <v>111</v>
      </c>
      <c r="P4229" t="str">
        <f>"85295-6122"</f>
        <v>85295-6122</v>
      </c>
      <c r="Q4229" t="s">
        <v>113</v>
      </c>
      <c r="R4229" t="str">
        <f>"304-43-892"</f>
        <v>304-43-892</v>
      </c>
      <c r="S4229" t="s">
        <v>8473</v>
      </c>
      <c r="T4229" t="s">
        <v>8473</v>
      </c>
      <c r="U4229">
        <v>1898</v>
      </c>
      <c r="V4229">
        <v>0</v>
      </c>
      <c r="W4229">
        <v>3</v>
      </c>
      <c r="X4229">
        <v>2006</v>
      </c>
      <c r="Z4229">
        <v>2</v>
      </c>
      <c r="AA4229" t="s">
        <v>26</v>
      </c>
      <c r="AB4229">
        <v>0</v>
      </c>
      <c r="AC4229" t="s">
        <v>115</v>
      </c>
      <c r="AD4229">
        <v>2</v>
      </c>
      <c r="AE4229" t="s">
        <v>115</v>
      </c>
      <c r="AF4229">
        <v>0</v>
      </c>
      <c r="AG4229">
        <v>0</v>
      </c>
      <c r="AH4229" t="s">
        <v>116</v>
      </c>
      <c r="AI4229" s="1">
        <v>90475</v>
      </c>
      <c r="AJ4229" s="2">
        <v>0.28000000000000003</v>
      </c>
      <c r="AK4229" s="1">
        <v>319615</v>
      </c>
      <c r="AL4229" t="s">
        <v>117</v>
      </c>
      <c r="AM4229" t="s">
        <v>288</v>
      </c>
      <c r="AN4229">
        <v>5065</v>
      </c>
      <c r="AO4229">
        <v>0.12</v>
      </c>
      <c r="AR4229">
        <v>1</v>
      </c>
      <c r="AS4229" s="1">
        <v>21920</v>
      </c>
      <c r="AT4229" s="1">
        <v>4380</v>
      </c>
      <c r="AU4229" s="1">
        <v>17540</v>
      </c>
      <c r="AV4229">
        <v>80.02</v>
      </c>
      <c r="AX4229" s="1">
        <v>1999.78</v>
      </c>
      <c r="AY4229" t="s">
        <v>472</v>
      </c>
      <c r="AZ4229" t="s">
        <v>472</v>
      </c>
      <c r="BA4229" t="s">
        <v>473</v>
      </c>
      <c r="BB4229" s="3">
        <v>43284</v>
      </c>
      <c r="BC4229" s="1">
        <v>0</v>
      </c>
      <c r="BD4229" t="s">
        <v>247</v>
      </c>
      <c r="BE4229" s="3">
        <v>42038</v>
      </c>
      <c r="BF4229" s="1">
        <v>237900</v>
      </c>
      <c r="BG4229" t="s">
        <v>26777</v>
      </c>
      <c r="BH4229" s="1">
        <v>125.34</v>
      </c>
      <c r="BI4229" s="1">
        <v>229140</v>
      </c>
      <c r="BJ4229" s="3">
        <v>43129</v>
      </c>
      <c r="BK4229" t="s">
        <v>123</v>
      </c>
      <c r="BL4229" t="str">
        <f>"2018.68221"</f>
        <v>2018.68221</v>
      </c>
      <c r="BM4229" t="s">
        <v>3491</v>
      </c>
      <c r="BN4229" t="s">
        <v>1624</v>
      </c>
      <c r="BO4229" t="s">
        <v>26778</v>
      </c>
      <c r="BR4229" t="s">
        <v>139</v>
      </c>
      <c r="BW4229" t="str">
        <f>""</f>
        <v/>
      </c>
      <c r="CH4229" t="str">
        <f>""</f>
        <v/>
      </c>
      <c r="CS4229" t="str">
        <f>""</f>
        <v/>
      </c>
    </row>
    <row r="4230" spans="1:97" x14ac:dyDescent="0.25">
      <c r="A4230" t="s">
        <v>23889</v>
      </c>
      <c r="B4230" t="s">
        <v>26779</v>
      </c>
      <c r="C4230" t="s">
        <v>1241</v>
      </c>
      <c r="D4230" t="s">
        <v>26779</v>
      </c>
      <c r="E4230" t="s">
        <v>26780</v>
      </c>
      <c r="F4230" t="s">
        <v>108</v>
      </c>
      <c r="H4230" t="s">
        <v>26781</v>
      </c>
      <c r="I4230" t="s">
        <v>632</v>
      </c>
      <c r="J4230" t="s">
        <v>111</v>
      </c>
      <c r="K4230" t="str">
        <f>"85379"</f>
        <v>85379</v>
      </c>
      <c r="L4230" t="s">
        <v>558</v>
      </c>
      <c r="M4230" t="s">
        <v>26781</v>
      </c>
      <c r="N4230" t="s">
        <v>632</v>
      </c>
      <c r="O4230" t="s">
        <v>111</v>
      </c>
      <c r="P4230" t="str">
        <f>"85379-4432"</f>
        <v>85379-4432</v>
      </c>
      <c r="Q4230" t="s">
        <v>113</v>
      </c>
      <c r="R4230" t="str">
        <f>"509-15-378"</f>
        <v>509-15-378</v>
      </c>
      <c r="S4230" t="s">
        <v>7110</v>
      </c>
      <c r="U4230">
        <v>2719</v>
      </c>
      <c r="V4230">
        <v>0</v>
      </c>
      <c r="W4230">
        <v>4</v>
      </c>
      <c r="X4230">
        <v>2006</v>
      </c>
      <c r="Z4230">
        <v>2</v>
      </c>
      <c r="AB4230">
        <v>0</v>
      </c>
      <c r="AC4230" t="s">
        <v>115</v>
      </c>
      <c r="AD4230">
        <v>3</v>
      </c>
      <c r="AE4230" t="s">
        <v>115</v>
      </c>
      <c r="AF4230">
        <v>0</v>
      </c>
      <c r="AG4230">
        <v>0</v>
      </c>
      <c r="AH4230" t="s">
        <v>116</v>
      </c>
      <c r="AI4230" s="1">
        <v>19011</v>
      </c>
      <c r="AJ4230" s="2">
        <v>0.06</v>
      </c>
      <c r="AK4230" s="1">
        <v>330977</v>
      </c>
      <c r="AL4230" t="s">
        <v>117</v>
      </c>
      <c r="AM4230" t="s">
        <v>118</v>
      </c>
      <c r="AN4230">
        <v>6600</v>
      </c>
      <c r="AO4230">
        <v>0.15</v>
      </c>
      <c r="AR4230">
        <v>1</v>
      </c>
      <c r="AS4230" s="1">
        <v>21510</v>
      </c>
      <c r="AT4230" s="1">
        <v>4300</v>
      </c>
      <c r="AU4230" s="1">
        <v>17210</v>
      </c>
      <c r="AV4230">
        <v>80.010000000000005</v>
      </c>
      <c r="AX4230" s="1">
        <v>1753.14</v>
      </c>
      <c r="AY4230" t="s">
        <v>5615</v>
      </c>
      <c r="AZ4230" t="s">
        <v>5615</v>
      </c>
      <c r="BA4230" t="s">
        <v>635</v>
      </c>
      <c r="BB4230" s="3">
        <v>43644</v>
      </c>
      <c r="BC4230" s="1">
        <v>0</v>
      </c>
      <c r="BD4230" t="s">
        <v>247</v>
      </c>
      <c r="BE4230" s="3">
        <v>41851</v>
      </c>
      <c r="BF4230" s="1">
        <v>234900</v>
      </c>
      <c r="BG4230" t="s">
        <v>26782</v>
      </c>
      <c r="BH4230" s="1">
        <v>86.39</v>
      </c>
      <c r="BI4230" s="1">
        <v>311966</v>
      </c>
      <c r="BJ4230" s="3">
        <v>43644</v>
      </c>
      <c r="BK4230" t="s">
        <v>123</v>
      </c>
      <c r="BL4230" t="str">
        <f>"2019.494835"</f>
        <v>2019.494835</v>
      </c>
      <c r="BM4230" t="s">
        <v>1038</v>
      </c>
      <c r="BN4230" t="s">
        <v>1624</v>
      </c>
      <c r="BO4230" t="s">
        <v>26783</v>
      </c>
      <c r="BP4230" t="s">
        <v>26784</v>
      </c>
      <c r="BR4230" t="s">
        <v>139</v>
      </c>
      <c r="BW4230" t="str">
        <f>""</f>
        <v/>
      </c>
      <c r="CH4230" t="str">
        <f>""</f>
        <v/>
      </c>
      <c r="CS4230" t="str">
        <f>""</f>
        <v/>
      </c>
    </row>
    <row r="4231" spans="1:97" x14ac:dyDescent="0.25">
      <c r="A4231" t="s">
        <v>6671</v>
      </c>
      <c r="B4231" t="s">
        <v>26785</v>
      </c>
      <c r="E4231" t="s">
        <v>26786</v>
      </c>
      <c r="F4231" t="s">
        <v>108</v>
      </c>
      <c r="H4231" t="s">
        <v>26787</v>
      </c>
      <c r="I4231" t="s">
        <v>453</v>
      </c>
      <c r="J4231" t="s">
        <v>111</v>
      </c>
      <c r="K4231" t="str">
        <f>"85345"</f>
        <v>85345</v>
      </c>
      <c r="L4231" t="s">
        <v>4003</v>
      </c>
      <c r="M4231" t="s">
        <v>26787</v>
      </c>
      <c r="N4231" t="s">
        <v>453</v>
      </c>
      <c r="O4231" t="s">
        <v>111</v>
      </c>
      <c r="P4231" t="str">
        <f>"85345-5514"</f>
        <v>85345-5514</v>
      </c>
      <c r="Q4231" t="s">
        <v>113</v>
      </c>
      <c r="R4231" t="str">
        <f>"142-52-315"</f>
        <v>142-52-315</v>
      </c>
      <c r="S4231" t="s">
        <v>4005</v>
      </c>
      <c r="T4231" t="s">
        <v>4005</v>
      </c>
      <c r="U4231">
        <v>1582</v>
      </c>
      <c r="V4231">
        <v>0</v>
      </c>
      <c r="W4231">
        <v>2</v>
      </c>
      <c r="X4231">
        <v>2015</v>
      </c>
      <c r="Z4231">
        <v>1</v>
      </c>
      <c r="AB4231">
        <v>0</v>
      </c>
      <c r="AC4231" t="s">
        <v>115</v>
      </c>
      <c r="AD4231">
        <v>2</v>
      </c>
      <c r="AE4231" t="s">
        <v>115</v>
      </c>
      <c r="AF4231">
        <v>0</v>
      </c>
      <c r="AG4231">
        <v>0</v>
      </c>
      <c r="AH4231" t="s">
        <v>116</v>
      </c>
      <c r="AI4231" s="1">
        <v>54102</v>
      </c>
      <c r="AJ4231" s="2">
        <v>0.21</v>
      </c>
      <c r="AK4231" s="1">
        <v>254493</v>
      </c>
      <c r="AL4231" t="s">
        <v>117</v>
      </c>
      <c r="AM4231" t="s">
        <v>118</v>
      </c>
      <c r="AN4231">
        <v>4924</v>
      </c>
      <c r="AO4231">
        <v>0.11</v>
      </c>
      <c r="AR4231">
        <v>1</v>
      </c>
      <c r="AS4231" s="1">
        <v>17270</v>
      </c>
      <c r="AT4231" s="1">
        <v>3450</v>
      </c>
      <c r="AU4231" s="1">
        <v>13820</v>
      </c>
      <c r="AV4231">
        <v>80.02</v>
      </c>
      <c r="AX4231" s="1">
        <v>1338.14</v>
      </c>
      <c r="AY4231" t="s">
        <v>4006</v>
      </c>
      <c r="AZ4231" t="s">
        <v>4006</v>
      </c>
      <c r="BA4231" t="s">
        <v>4007</v>
      </c>
      <c r="BE4231" s="3">
        <v>42521</v>
      </c>
      <c r="BF4231" s="1">
        <v>193990</v>
      </c>
      <c r="BG4231" t="s">
        <v>4008</v>
      </c>
      <c r="BH4231" s="1">
        <v>122.62</v>
      </c>
      <c r="BI4231" s="1">
        <v>200391</v>
      </c>
      <c r="BJ4231" s="3">
        <v>42674</v>
      </c>
      <c r="BK4231" t="s">
        <v>123</v>
      </c>
      <c r="BL4231" t="str">
        <f>"2016.796917"</f>
        <v>2016.796917</v>
      </c>
      <c r="BM4231" t="s">
        <v>361</v>
      </c>
      <c r="BO4231" t="s">
        <v>26788</v>
      </c>
      <c r="BS4231">
        <v>30</v>
      </c>
      <c r="BW4231" t="str">
        <f>""</f>
        <v/>
      </c>
      <c r="CH4231" t="str">
        <f>""</f>
        <v/>
      </c>
      <c r="CS4231" t="str">
        <f>""</f>
        <v/>
      </c>
    </row>
    <row r="4232" spans="1:97" x14ac:dyDescent="0.25">
      <c r="A4232" t="s">
        <v>2002</v>
      </c>
      <c r="B4232" t="s">
        <v>963</v>
      </c>
      <c r="C4232" t="s">
        <v>4174</v>
      </c>
      <c r="D4232" t="s">
        <v>963</v>
      </c>
      <c r="E4232" t="s">
        <v>26789</v>
      </c>
      <c r="F4232" t="s">
        <v>108</v>
      </c>
      <c r="H4232" t="s">
        <v>26790</v>
      </c>
      <c r="I4232" t="s">
        <v>632</v>
      </c>
      <c r="J4232" t="s">
        <v>111</v>
      </c>
      <c r="K4232" t="str">
        <f>"85379"</f>
        <v>85379</v>
      </c>
      <c r="L4232" t="s">
        <v>454</v>
      </c>
      <c r="M4232" t="s">
        <v>26790</v>
      </c>
      <c r="N4232" t="s">
        <v>632</v>
      </c>
      <c r="O4232" t="s">
        <v>111</v>
      </c>
      <c r="P4232" t="str">
        <f>"85379-1056"</f>
        <v>85379-1056</v>
      </c>
      <c r="Q4232" t="s">
        <v>113</v>
      </c>
      <c r="R4232" t="str">
        <f>"501-46-699"</f>
        <v>501-46-699</v>
      </c>
      <c r="S4232" t="s">
        <v>5319</v>
      </c>
      <c r="U4232">
        <v>3481</v>
      </c>
      <c r="V4232">
        <v>0</v>
      </c>
      <c r="W4232">
        <v>4</v>
      </c>
      <c r="X4232">
        <v>2014</v>
      </c>
      <c r="Z4232">
        <v>2</v>
      </c>
      <c r="AA4232" t="s">
        <v>26</v>
      </c>
      <c r="AB4232">
        <v>0</v>
      </c>
      <c r="AC4232" t="s">
        <v>115</v>
      </c>
      <c r="AD4232">
        <v>3</v>
      </c>
      <c r="AE4232" t="s">
        <v>115</v>
      </c>
      <c r="AF4232">
        <v>0</v>
      </c>
      <c r="AG4232">
        <v>0</v>
      </c>
      <c r="AH4232" t="s">
        <v>116</v>
      </c>
      <c r="AI4232" s="1">
        <v>76447</v>
      </c>
      <c r="AJ4232" s="2">
        <v>0.2</v>
      </c>
      <c r="AK4232" s="1">
        <v>381172</v>
      </c>
      <c r="AL4232" t="s">
        <v>117</v>
      </c>
      <c r="AM4232" t="s">
        <v>118</v>
      </c>
      <c r="AN4232">
        <v>7486</v>
      </c>
      <c r="AO4232">
        <v>0.17</v>
      </c>
      <c r="AR4232">
        <v>1</v>
      </c>
      <c r="AS4232" s="1">
        <v>28450</v>
      </c>
      <c r="AT4232" s="1">
        <v>5690</v>
      </c>
      <c r="AU4232" s="1">
        <v>22760</v>
      </c>
      <c r="AV4232">
        <v>80</v>
      </c>
      <c r="AX4232" s="1">
        <v>2142.8200000000002</v>
      </c>
      <c r="AY4232" t="s">
        <v>5060</v>
      </c>
      <c r="AZ4232" t="s">
        <v>5060</v>
      </c>
      <c r="BA4232" t="s">
        <v>5061</v>
      </c>
      <c r="BB4232" s="3">
        <v>42487</v>
      </c>
      <c r="BD4232" t="s">
        <v>240</v>
      </c>
      <c r="BE4232" s="3">
        <v>41789</v>
      </c>
      <c r="BF4232" s="1">
        <v>293462</v>
      </c>
      <c r="BG4232" t="s">
        <v>459</v>
      </c>
      <c r="BH4232" s="1">
        <v>84.3</v>
      </c>
      <c r="BI4232" s="1">
        <v>304725</v>
      </c>
      <c r="BJ4232" s="3">
        <v>42487</v>
      </c>
      <c r="BK4232" t="s">
        <v>123</v>
      </c>
      <c r="BL4232" t="str">
        <f>"2016.281583"</f>
        <v>2016.281583</v>
      </c>
      <c r="BM4232" t="s">
        <v>255</v>
      </c>
      <c r="BO4232" t="s">
        <v>26791</v>
      </c>
      <c r="BS4232">
        <v>30</v>
      </c>
      <c r="BW4232" t="str">
        <f>""</f>
        <v/>
      </c>
      <c r="CH4232" t="str">
        <f>""</f>
        <v/>
      </c>
      <c r="CS4232" t="str">
        <f>""</f>
        <v/>
      </c>
    </row>
    <row r="4233" spans="1:97" x14ac:dyDescent="0.25">
      <c r="A4233" t="s">
        <v>464</v>
      </c>
      <c r="B4233" t="s">
        <v>23020</v>
      </c>
      <c r="C4233" t="s">
        <v>4364</v>
      </c>
      <c r="D4233" t="s">
        <v>23020</v>
      </c>
      <c r="E4233" t="s">
        <v>26792</v>
      </c>
      <c r="F4233" t="s">
        <v>108</v>
      </c>
      <c r="H4233" t="s">
        <v>26793</v>
      </c>
      <c r="I4233" t="s">
        <v>632</v>
      </c>
      <c r="J4233" t="s">
        <v>111</v>
      </c>
      <c r="K4233" t="str">
        <f>"85379"</f>
        <v>85379</v>
      </c>
      <c r="L4233" t="s">
        <v>8255</v>
      </c>
      <c r="M4233" t="s">
        <v>26793</v>
      </c>
      <c r="N4233" t="s">
        <v>632</v>
      </c>
      <c r="O4233" t="s">
        <v>111</v>
      </c>
      <c r="P4233" t="str">
        <f>"85379-6230"</f>
        <v>85379-6230</v>
      </c>
      <c r="Q4233" t="s">
        <v>113</v>
      </c>
      <c r="R4233" t="str">
        <f>"501-92-084"</f>
        <v>501-92-084</v>
      </c>
      <c r="S4233" t="s">
        <v>8256</v>
      </c>
      <c r="U4233">
        <v>2385</v>
      </c>
      <c r="V4233">
        <v>0</v>
      </c>
      <c r="W4233">
        <v>4</v>
      </c>
      <c r="X4233">
        <v>2001</v>
      </c>
      <c r="Z4233">
        <v>2</v>
      </c>
      <c r="AB4233">
        <v>0</v>
      </c>
      <c r="AC4233" t="s">
        <v>115</v>
      </c>
      <c r="AD4233">
        <v>2</v>
      </c>
      <c r="AE4233" t="s">
        <v>115</v>
      </c>
      <c r="AF4233">
        <v>0</v>
      </c>
      <c r="AG4233">
        <v>0</v>
      </c>
      <c r="AH4233" t="s">
        <v>116</v>
      </c>
      <c r="AI4233" s="1">
        <v>47355</v>
      </c>
      <c r="AJ4233" s="2">
        <v>0.18</v>
      </c>
      <c r="AK4233" s="1">
        <v>261870</v>
      </c>
      <c r="AL4233" t="s">
        <v>117</v>
      </c>
      <c r="AM4233" t="s">
        <v>5516</v>
      </c>
      <c r="AN4233">
        <v>6600</v>
      </c>
      <c r="AO4233">
        <v>0.15</v>
      </c>
      <c r="AP4233">
        <v>1</v>
      </c>
      <c r="AR4233">
        <v>1</v>
      </c>
      <c r="AS4233" s="1">
        <v>17810</v>
      </c>
      <c r="AT4233" s="1">
        <v>3560</v>
      </c>
      <c r="AU4233" s="1">
        <v>14250</v>
      </c>
      <c r="AV4233">
        <v>80.010000000000005</v>
      </c>
      <c r="AX4233" s="1">
        <v>1298.1199999999999</v>
      </c>
      <c r="AY4233" t="s">
        <v>6615</v>
      </c>
      <c r="AZ4233" t="s">
        <v>6615</v>
      </c>
      <c r="BA4233" t="s">
        <v>5061</v>
      </c>
      <c r="BE4233" s="3">
        <v>42530</v>
      </c>
      <c r="BF4233" s="1">
        <v>210000</v>
      </c>
      <c r="BG4233" t="s">
        <v>26794</v>
      </c>
      <c r="BH4233" s="1">
        <v>88.05</v>
      </c>
      <c r="BI4233" s="1">
        <v>214515</v>
      </c>
      <c r="BJ4233" s="3">
        <v>42530</v>
      </c>
      <c r="BK4233" t="s">
        <v>123</v>
      </c>
      <c r="BL4233" t="str">
        <f>"2016.400630"</f>
        <v>2016.400630</v>
      </c>
      <c r="BM4233" t="s">
        <v>1791</v>
      </c>
      <c r="BO4233" t="s">
        <v>26795</v>
      </c>
      <c r="BS4233">
        <v>30</v>
      </c>
      <c r="BW4233" t="str">
        <f>""</f>
        <v/>
      </c>
      <c r="CH4233" t="str">
        <f>""</f>
        <v/>
      </c>
      <c r="CS4233" t="str">
        <f>""</f>
        <v/>
      </c>
    </row>
    <row r="4234" spans="1:97" x14ac:dyDescent="0.25">
      <c r="A4234" t="s">
        <v>1444</v>
      </c>
      <c r="B4234" t="s">
        <v>26796</v>
      </c>
      <c r="E4234" t="s">
        <v>26797</v>
      </c>
      <c r="F4234" t="s">
        <v>108</v>
      </c>
      <c r="H4234" t="s">
        <v>26798</v>
      </c>
      <c r="I4234" t="s">
        <v>203</v>
      </c>
      <c r="J4234" t="s">
        <v>111</v>
      </c>
      <c r="K4234" t="str">
        <f>"85234"</f>
        <v>85234</v>
      </c>
      <c r="L4234" t="s">
        <v>8199</v>
      </c>
      <c r="M4234" t="s">
        <v>26798</v>
      </c>
      <c r="N4234" t="s">
        <v>203</v>
      </c>
      <c r="O4234" t="s">
        <v>111</v>
      </c>
      <c r="P4234" t="str">
        <f>"85234-3552"</f>
        <v>85234-3552</v>
      </c>
      <c r="Q4234" t="s">
        <v>113</v>
      </c>
      <c r="R4234" t="str">
        <f>"304-96-397"</f>
        <v>304-96-397</v>
      </c>
      <c r="S4234" t="s">
        <v>21003</v>
      </c>
      <c r="T4234" t="s">
        <v>21004</v>
      </c>
      <c r="U4234">
        <v>1680</v>
      </c>
      <c r="V4234">
        <v>0</v>
      </c>
      <c r="W4234">
        <v>3</v>
      </c>
      <c r="X4234">
        <v>1988</v>
      </c>
      <c r="Z4234">
        <v>1</v>
      </c>
      <c r="AA4234" t="s">
        <v>26</v>
      </c>
      <c r="AB4234">
        <v>0</v>
      </c>
      <c r="AC4234" t="s">
        <v>115</v>
      </c>
      <c r="AD4234">
        <v>2</v>
      </c>
      <c r="AE4234" t="s">
        <v>115</v>
      </c>
      <c r="AF4234">
        <v>0</v>
      </c>
      <c r="AG4234">
        <v>0</v>
      </c>
      <c r="AH4234" t="s">
        <v>116</v>
      </c>
      <c r="AI4234" s="1">
        <v>16761</v>
      </c>
      <c r="AJ4234" s="2">
        <v>0.05</v>
      </c>
      <c r="AK4234" s="1">
        <v>319186</v>
      </c>
      <c r="AL4234" t="s">
        <v>117</v>
      </c>
      <c r="AM4234" t="s">
        <v>393</v>
      </c>
      <c r="AN4234">
        <v>6887</v>
      </c>
      <c r="AO4234">
        <v>0.16</v>
      </c>
      <c r="AP4234">
        <v>1</v>
      </c>
      <c r="AR4234">
        <v>1</v>
      </c>
      <c r="AS4234" s="1">
        <v>21220</v>
      </c>
      <c r="AT4234" s="1">
        <v>4240</v>
      </c>
      <c r="AU4234" s="1">
        <v>16980</v>
      </c>
      <c r="AV4234">
        <v>80.02</v>
      </c>
      <c r="AX4234" s="1">
        <v>1729.42</v>
      </c>
      <c r="AY4234" t="s">
        <v>272</v>
      </c>
      <c r="AZ4234" t="s">
        <v>5478</v>
      </c>
      <c r="BA4234" t="s">
        <v>5033</v>
      </c>
      <c r="BE4234" s="3">
        <v>42235</v>
      </c>
      <c r="BF4234" s="1">
        <v>257000</v>
      </c>
      <c r="BG4234" t="s">
        <v>26799</v>
      </c>
      <c r="BH4234" s="1">
        <v>152.97999999999999</v>
      </c>
      <c r="BI4234" s="1">
        <v>262525</v>
      </c>
      <c r="BJ4234" s="3">
        <v>42235</v>
      </c>
      <c r="BK4234" t="s">
        <v>123</v>
      </c>
      <c r="BL4234" t="str">
        <f>"2015.601757"</f>
        <v>2015.601757</v>
      </c>
      <c r="BM4234" t="s">
        <v>12498</v>
      </c>
      <c r="BN4234" t="s">
        <v>1136</v>
      </c>
      <c r="BO4234" t="s">
        <v>26800</v>
      </c>
      <c r="BS4234">
        <v>30</v>
      </c>
      <c r="BT4234" s="1">
        <v>39900</v>
      </c>
      <c r="BU4234" s="3">
        <v>43619</v>
      </c>
      <c r="BW4234" t="str">
        <f>"2019.407299"</f>
        <v>2019.407299</v>
      </c>
      <c r="BX4234" t="s">
        <v>1639</v>
      </c>
      <c r="BY4234" t="s">
        <v>1640</v>
      </c>
      <c r="BZ4234" t="s">
        <v>26801</v>
      </c>
      <c r="CC4234" t="s">
        <v>346</v>
      </c>
      <c r="CH4234" t="str">
        <f>""</f>
        <v/>
      </c>
      <c r="CS4234" t="str">
        <f>""</f>
        <v/>
      </c>
    </row>
    <row r="4235" spans="1:97" x14ac:dyDescent="0.25">
      <c r="A4235" t="s">
        <v>26802</v>
      </c>
      <c r="B4235" t="s">
        <v>26803</v>
      </c>
      <c r="C4235" t="s">
        <v>26804</v>
      </c>
      <c r="D4235" t="s">
        <v>26803</v>
      </c>
      <c r="E4235" t="s">
        <v>26805</v>
      </c>
      <c r="F4235" t="s">
        <v>108</v>
      </c>
      <c r="H4235" t="s">
        <v>26806</v>
      </c>
      <c r="I4235" t="s">
        <v>390</v>
      </c>
      <c r="J4235" t="s">
        <v>111</v>
      </c>
      <c r="K4235" t="str">
        <f>"85085"</f>
        <v>85085</v>
      </c>
      <c r="L4235" t="s">
        <v>5893</v>
      </c>
      <c r="M4235" t="s">
        <v>26806</v>
      </c>
      <c r="N4235" t="s">
        <v>390</v>
      </c>
      <c r="O4235" t="s">
        <v>111</v>
      </c>
      <c r="P4235" t="str">
        <f>"85085-7031"</f>
        <v>85085-7031</v>
      </c>
      <c r="Q4235" t="s">
        <v>113</v>
      </c>
      <c r="R4235" t="str">
        <f>"204-12-108"</f>
        <v>204-12-108</v>
      </c>
      <c r="S4235" t="s">
        <v>25495</v>
      </c>
      <c r="U4235">
        <v>2274</v>
      </c>
      <c r="V4235">
        <v>0</v>
      </c>
      <c r="W4235">
        <v>3</v>
      </c>
      <c r="X4235">
        <v>2005</v>
      </c>
      <c r="Z4235">
        <v>2</v>
      </c>
      <c r="AB4235">
        <v>0</v>
      </c>
      <c r="AC4235" t="s">
        <v>115</v>
      </c>
      <c r="AD4235">
        <v>2</v>
      </c>
      <c r="AE4235" t="s">
        <v>115</v>
      </c>
      <c r="AF4235">
        <v>0</v>
      </c>
      <c r="AG4235">
        <v>0</v>
      </c>
      <c r="AH4235" t="s">
        <v>116</v>
      </c>
      <c r="AI4235" s="1">
        <v>51386</v>
      </c>
      <c r="AJ4235" s="2">
        <v>0.17</v>
      </c>
      <c r="AK4235" s="1">
        <v>304364</v>
      </c>
      <c r="AL4235" t="s">
        <v>117</v>
      </c>
      <c r="AM4235" t="s">
        <v>1315</v>
      </c>
      <c r="AN4235">
        <v>4361</v>
      </c>
      <c r="AO4235">
        <v>0.1</v>
      </c>
      <c r="AR4235">
        <v>1</v>
      </c>
      <c r="AS4235" s="1">
        <v>21630</v>
      </c>
      <c r="AT4235" s="1">
        <v>4320</v>
      </c>
      <c r="AU4235" s="1">
        <v>17310</v>
      </c>
      <c r="AV4235">
        <v>80.03</v>
      </c>
      <c r="AX4235" s="1">
        <v>2021.58</v>
      </c>
      <c r="AY4235" t="s">
        <v>2651</v>
      </c>
      <c r="AZ4235" t="s">
        <v>2651</v>
      </c>
      <c r="BA4235" t="s">
        <v>1462</v>
      </c>
      <c r="BE4235" s="3">
        <v>42457</v>
      </c>
      <c r="BF4235" s="1">
        <v>245000</v>
      </c>
      <c r="BG4235" t="s">
        <v>26807</v>
      </c>
      <c r="BH4235" s="1">
        <v>107.74</v>
      </c>
      <c r="BI4235" s="1">
        <v>252978</v>
      </c>
      <c r="BJ4235" s="3">
        <v>42734</v>
      </c>
      <c r="BK4235" t="s">
        <v>123</v>
      </c>
      <c r="BL4235" t="str">
        <f>"2016.965639"</f>
        <v>2016.965639</v>
      </c>
      <c r="BM4235" t="s">
        <v>2378</v>
      </c>
      <c r="BO4235" t="s">
        <v>26808</v>
      </c>
      <c r="BP4235" t="s">
        <v>26809</v>
      </c>
      <c r="BS4235">
        <v>30</v>
      </c>
      <c r="BW4235" t="str">
        <f>""</f>
        <v/>
      </c>
      <c r="CH4235" t="str">
        <f>""</f>
        <v/>
      </c>
      <c r="CS4235" t="str">
        <f>""</f>
        <v/>
      </c>
    </row>
    <row r="4236" spans="1:97" x14ac:dyDescent="0.25">
      <c r="A4236" t="s">
        <v>5771</v>
      </c>
      <c r="B4236" t="s">
        <v>26810</v>
      </c>
      <c r="C4236" t="s">
        <v>1692</v>
      </c>
      <c r="D4236" t="s">
        <v>26810</v>
      </c>
      <c r="E4236" t="s">
        <v>26811</v>
      </c>
      <c r="F4236" t="s">
        <v>108</v>
      </c>
      <c r="H4236" t="s">
        <v>26812</v>
      </c>
      <c r="I4236" t="s">
        <v>5114</v>
      </c>
      <c r="J4236" t="s">
        <v>111</v>
      </c>
      <c r="K4236" t="str">
        <f>"85323"</f>
        <v>85323</v>
      </c>
      <c r="L4236" t="s">
        <v>5456</v>
      </c>
      <c r="M4236" t="s">
        <v>26812</v>
      </c>
      <c r="N4236" t="s">
        <v>5114</v>
      </c>
      <c r="O4236" t="s">
        <v>111</v>
      </c>
      <c r="P4236" t="str">
        <f>"85323-7705"</f>
        <v>85323-7705</v>
      </c>
      <c r="Q4236" t="s">
        <v>113</v>
      </c>
      <c r="R4236" t="str">
        <f>"500-32-775"</f>
        <v>500-32-775</v>
      </c>
      <c r="S4236" t="s">
        <v>5457</v>
      </c>
      <c r="U4236">
        <v>3114</v>
      </c>
      <c r="V4236">
        <v>0</v>
      </c>
      <c r="W4236">
        <v>5</v>
      </c>
      <c r="X4236">
        <v>2015</v>
      </c>
      <c r="Z4236">
        <v>2</v>
      </c>
      <c r="AA4236" t="s">
        <v>26</v>
      </c>
      <c r="AB4236">
        <v>0</v>
      </c>
      <c r="AC4236" t="s">
        <v>115</v>
      </c>
      <c r="AD4236">
        <v>2</v>
      </c>
      <c r="AE4236" t="s">
        <v>115</v>
      </c>
      <c r="AF4236">
        <v>0</v>
      </c>
      <c r="AG4236">
        <v>0</v>
      </c>
      <c r="AH4236" t="s">
        <v>116</v>
      </c>
      <c r="AI4236" s="1">
        <v>13339</v>
      </c>
      <c r="AJ4236" s="2">
        <v>0.04</v>
      </c>
      <c r="AK4236" s="1">
        <v>334162</v>
      </c>
      <c r="AL4236" t="s">
        <v>117</v>
      </c>
      <c r="AM4236" t="s">
        <v>118</v>
      </c>
      <c r="AN4236">
        <v>6900</v>
      </c>
      <c r="AO4236">
        <v>0.16</v>
      </c>
      <c r="AR4236">
        <v>1</v>
      </c>
      <c r="AS4236" s="1">
        <v>24250</v>
      </c>
      <c r="AT4236" s="1">
        <v>4850</v>
      </c>
      <c r="AU4236" s="1">
        <v>19400</v>
      </c>
      <c r="AV4236">
        <v>80</v>
      </c>
      <c r="AX4236" s="1">
        <v>2492.62</v>
      </c>
      <c r="AY4236" t="s">
        <v>5458</v>
      </c>
      <c r="AZ4236" t="s">
        <v>5458</v>
      </c>
      <c r="BA4236" t="s">
        <v>4254</v>
      </c>
      <c r="BE4236" s="3">
        <v>42299</v>
      </c>
      <c r="BF4236" s="1">
        <v>278217</v>
      </c>
      <c r="BG4236" t="s">
        <v>158</v>
      </c>
      <c r="BH4236" s="1">
        <v>89.34</v>
      </c>
      <c r="BI4236" s="1">
        <v>287398</v>
      </c>
      <c r="BJ4236" s="3">
        <v>42299</v>
      </c>
      <c r="BK4236" t="s">
        <v>123</v>
      </c>
      <c r="BL4236" t="str">
        <f>"2015.760952"</f>
        <v>2015.760952</v>
      </c>
      <c r="BM4236" t="s">
        <v>241</v>
      </c>
      <c r="BO4236" t="s">
        <v>26813</v>
      </c>
      <c r="BS4236">
        <v>30</v>
      </c>
      <c r="BT4236" s="1">
        <v>33425</v>
      </c>
      <c r="BU4236" s="3">
        <v>42866</v>
      </c>
      <c r="BV4236" t="s">
        <v>134</v>
      </c>
      <c r="BW4236" t="str">
        <f>"2017.340352"</f>
        <v>2017.340352</v>
      </c>
      <c r="BX4236" t="s">
        <v>198</v>
      </c>
      <c r="BZ4236" t="s">
        <v>26814</v>
      </c>
      <c r="CD4236">
        <v>15</v>
      </c>
      <c r="CH4236" t="str">
        <f>""</f>
        <v/>
      </c>
      <c r="CS4236" t="str">
        <f>""</f>
        <v/>
      </c>
    </row>
    <row r="4237" spans="1:97" x14ac:dyDescent="0.25">
      <c r="A4237" t="s">
        <v>3613</v>
      </c>
      <c r="B4237" t="s">
        <v>348</v>
      </c>
      <c r="C4237" t="s">
        <v>3137</v>
      </c>
      <c r="D4237" t="s">
        <v>348</v>
      </c>
      <c r="E4237" t="s">
        <v>26815</v>
      </c>
      <c r="F4237" t="s">
        <v>108</v>
      </c>
      <c r="H4237" t="s">
        <v>26816</v>
      </c>
      <c r="I4237" t="s">
        <v>6844</v>
      </c>
      <c r="J4237" t="s">
        <v>111</v>
      </c>
      <c r="K4237" t="str">
        <f>"85361"</f>
        <v>85361</v>
      </c>
      <c r="L4237" t="s">
        <v>3758</v>
      </c>
      <c r="M4237" t="s">
        <v>26816</v>
      </c>
      <c r="N4237" t="s">
        <v>6844</v>
      </c>
      <c r="O4237" t="s">
        <v>111</v>
      </c>
      <c r="P4237" t="str">
        <f>"85361-5026"</f>
        <v>85361-5026</v>
      </c>
      <c r="Q4237" t="s">
        <v>113</v>
      </c>
      <c r="R4237" t="str">
        <f>"503-48-681"</f>
        <v>503-48-681</v>
      </c>
      <c r="U4237">
        <v>2074</v>
      </c>
      <c r="V4237">
        <v>0</v>
      </c>
      <c r="W4237">
        <v>4</v>
      </c>
      <c r="X4237">
        <v>2010</v>
      </c>
      <c r="Z4237">
        <v>1</v>
      </c>
      <c r="AB4237">
        <v>0</v>
      </c>
      <c r="AC4237" t="s">
        <v>115</v>
      </c>
      <c r="AD4237">
        <v>3</v>
      </c>
      <c r="AE4237" t="s">
        <v>115</v>
      </c>
      <c r="AF4237">
        <v>0</v>
      </c>
      <c r="AG4237">
        <v>0</v>
      </c>
      <c r="AH4237" t="s">
        <v>116</v>
      </c>
      <c r="AI4237" s="1">
        <v>100450</v>
      </c>
      <c r="AJ4237" s="2">
        <v>0.28999999999999998</v>
      </c>
      <c r="AK4237" s="1">
        <v>342450</v>
      </c>
      <c r="AL4237" t="s">
        <v>117</v>
      </c>
      <c r="AM4237" t="s">
        <v>376</v>
      </c>
      <c r="AN4237">
        <v>45441</v>
      </c>
      <c r="AO4237">
        <v>1.04</v>
      </c>
      <c r="AR4237">
        <v>1</v>
      </c>
      <c r="AS4237" s="1">
        <v>23570</v>
      </c>
      <c r="AT4237" s="1">
        <v>4710</v>
      </c>
      <c r="AU4237" s="1">
        <v>18860</v>
      </c>
      <c r="AV4237">
        <v>80.02</v>
      </c>
      <c r="AX4237" s="1">
        <v>1584.98</v>
      </c>
      <c r="AY4237" t="s">
        <v>5499</v>
      </c>
      <c r="AZ4237" t="s">
        <v>5499</v>
      </c>
      <c r="BE4237" s="3">
        <v>41963</v>
      </c>
      <c r="BF4237" s="1">
        <v>242000</v>
      </c>
      <c r="BG4237" t="s">
        <v>26817</v>
      </c>
      <c r="BH4237" s="1">
        <v>116.68</v>
      </c>
      <c r="BI4237" s="1">
        <v>242000</v>
      </c>
      <c r="BJ4237" s="3">
        <v>41963</v>
      </c>
      <c r="BK4237" t="s">
        <v>123</v>
      </c>
      <c r="BL4237" t="str">
        <f>"2014.769268"</f>
        <v>2014.769268</v>
      </c>
      <c r="BM4237" t="s">
        <v>175</v>
      </c>
      <c r="BO4237" t="s">
        <v>26818</v>
      </c>
      <c r="BS4237">
        <v>30</v>
      </c>
      <c r="BW4237" t="str">
        <f>""</f>
        <v/>
      </c>
      <c r="CH4237" t="str">
        <f>""</f>
        <v/>
      </c>
      <c r="CS4237" t="str">
        <f>""</f>
        <v/>
      </c>
    </row>
    <row r="4238" spans="1:97" x14ac:dyDescent="0.25">
      <c r="A4238" t="s">
        <v>370</v>
      </c>
      <c r="B4238" t="s">
        <v>5236</v>
      </c>
      <c r="C4238" t="s">
        <v>10627</v>
      </c>
      <c r="D4238" t="s">
        <v>5236</v>
      </c>
      <c r="E4238" t="s">
        <v>26819</v>
      </c>
      <c r="F4238" t="s">
        <v>108</v>
      </c>
      <c r="H4238" t="s">
        <v>26820</v>
      </c>
      <c r="I4238" t="s">
        <v>225</v>
      </c>
      <c r="J4238" t="s">
        <v>111</v>
      </c>
      <c r="K4238" t="str">
        <f>"85204"</f>
        <v>85204</v>
      </c>
      <c r="L4238" t="s">
        <v>6631</v>
      </c>
      <c r="M4238" t="s">
        <v>26820</v>
      </c>
      <c r="N4238" t="s">
        <v>225</v>
      </c>
      <c r="O4238" t="s">
        <v>111</v>
      </c>
      <c r="P4238" t="str">
        <f>"85204-4712"</f>
        <v>85204-4712</v>
      </c>
      <c r="Q4238" t="s">
        <v>113</v>
      </c>
      <c r="R4238" t="str">
        <f>"140-45-128"</f>
        <v>140-45-128</v>
      </c>
      <c r="S4238" t="s">
        <v>26821</v>
      </c>
      <c r="U4238">
        <v>1581</v>
      </c>
      <c r="V4238">
        <v>0</v>
      </c>
      <c r="W4238">
        <v>2</v>
      </c>
      <c r="X4238">
        <v>1983</v>
      </c>
      <c r="Z4238">
        <v>1</v>
      </c>
      <c r="AA4238" t="s">
        <v>26</v>
      </c>
      <c r="AB4238">
        <v>0</v>
      </c>
      <c r="AC4238" t="s">
        <v>115</v>
      </c>
      <c r="AD4238">
        <v>2</v>
      </c>
      <c r="AE4238" t="s">
        <v>115</v>
      </c>
      <c r="AF4238">
        <v>0</v>
      </c>
      <c r="AG4238">
        <v>0</v>
      </c>
      <c r="AH4238" t="s">
        <v>116</v>
      </c>
      <c r="AI4238" s="1">
        <v>70073</v>
      </c>
      <c r="AJ4238" s="2">
        <v>0.24</v>
      </c>
      <c r="AK4238" s="1">
        <v>289786</v>
      </c>
      <c r="AL4238" t="s">
        <v>117</v>
      </c>
      <c r="AM4238" t="s">
        <v>393</v>
      </c>
      <c r="AN4238">
        <v>8235</v>
      </c>
      <c r="AO4238">
        <v>0.19</v>
      </c>
      <c r="AP4238">
        <v>1</v>
      </c>
      <c r="AR4238">
        <v>1</v>
      </c>
      <c r="AS4238" s="1">
        <v>19160</v>
      </c>
      <c r="AT4238" s="1">
        <v>3830</v>
      </c>
      <c r="AU4238" s="1">
        <v>15330</v>
      </c>
      <c r="AV4238">
        <v>80.010000000000005</v>
      </c>
      <c r="AX4238" s="1">
        <v>1247.6400000000001</v>
      </c>
      <c r="AY4238" t="s">
        <v>26822</v>
      </c>
      <c r="AZ4238" t="s">
        <v>5158</v>
      </c>
      <c r="BA4238" t="s">
        <v>5159</v>
      </c>
      <c r="BE4238" s="3">
        <v>42181</v>
      </c>
      <c r="BF4238" s="1">
        <v>215500</v>
      </c>
      <c r="BG4238" t="s">
        <v>19274</v>
      </c>
      <c r="BH4238" s="1">
        <v>136.31</v>
      </c>
      <c r="BI4238" s="1">
        <v>219713</v>
      </c>
      <c r="BJ4238" s="3">
        <v>42580</v>
      </c>
      <c r="BK4238" t="s">
        <v>123</v>
      </c>
      <c r="BL4238" t="str">
        <f>"2016.537779"</f>
        <v>2016.537779</v>
      </c>
      <c r="BM4238" t="s">
        <v>594</v>
      </c>
      <c r="BO4238" t="s">
        <v>26823</v>
      </c>
      <c r="BS4238">
        <v>30</v>
      </c>
      <c r="BW4238" t="str">
        <f>""</f>
        <v/>
      </c>
      <c r="CH4238" t="str">
        <f>""</f>
        <v/>
      </c>
      <c r="CS4238" t="str">
        <f>""</f>
        <v/>
      </c>
    </row>
    <row r="4239" spans="1:97" x14ac:dyDescent="0.25">
      <c r="A4239" t="s">
        <v>3104</v>
      </c>
      <c r="B4239" t="s">
        <v>26824</v>
      </c>
      <c r="C4239" t="s">
        <v>1416</v>
      </c>
      <c r="D4239" t="s">
        <v>26824</v>
      </c>
      <c r="E4239" t="s">
        <v>26825</v>
      </c>
      <c r="F4239" t="s">
        <v>108</v>
      </c>
      <c r="H4239" t="s">
        <v>26826</v>
      </c>
      <c r="I4239" t="s">
        <v>1788</v>
      </c>
      <c r="J4239" t="s">
        <v>111</v>
      </c>
      <c r="K4239" t="str">
        <f>"85355"</f>
        <v>85355</v>
      </c>
      <c r="L4239" t="s">
        <v>734</v>
      </c>
      <c r="M4239" t="s">
        <v>26826</v>
      </c>
      <c r="N4239" t="s">
        <v>1788</v>
      </c>
      <c r="O4239" t="s">
        <v>111</v>
      </c>
      <c r="P4239" t="str">
        <f>"85355-9824"</f>
        <v>85355-9824</v>
      </c>
      <c r="Q4239" t="s">
        <v>113</v>
      </c>
      <c r="R4239" t="str">
        <f>"502-18-099"</f>
        <v>502-18-099</v>
      </c>
      <c r="S4239" t="s">
        <v>9913</v>
      </c>
      <c r="U4239">
        <v>2038</v>
      </c>
      <c r="V4239">
        <v>0</v>
      </c>
      <c r="W4239">
        <v>3</v>
      </c>
      <c r="X4239">
        <v>2000</v>
      </c>
      <c r="Z4239">
        <v>1</v>
      </c>
      <c r="AB4239">
        <v>0</v>
      </c>
      <c r="AC4239" t="s">
        <v>115</v>
      </c>
      <c r="AD4239">
        <v>2</v>
      </c>
      <c r="AE4239" t="s">
        <v>115</v>
      </c>
      <c r="AF4239">
        <v>0</v>
      </c>
      <c r="AG4239">
        <v>0</v>
      </c>
      <c r="AH4239" t="s">
        <v>116</v>
      </c>
      <c r="AI4239" s="1">
        <v>139677</v>
      </c>
      <c r="AJ4239" s="2">
        <v>0.31</v>
      </c>
      <c r="AK4239" s="1">
        <v>457177</v>
      </c>
      <c r="AL4239" t="s">
        <v>117</v>
      </c>
      <c r="AM4239" t="s">
        <v>376</v>
      </c>
      <c r="AN4239">
        <v>79833</v>
      </c>
      <c r="AO4239">
        <v>1.83</v>
      </c>
      <c r="AP4239">
        <v>1</v>
      </c>
      <c r="AR4239">
        <v>1</v>
      </c>
      <c r="AS4239" s="1">
        <v>30920</v>
      </c>
      <c r="AT4239" s="1">
        <v>6180</v>
      </c>
      <c r="AU4239" s="1">
        <v>24740</v>
      </c>
      <c r="AV4239">
        <v>80.010000000000005</v>
      </c>
      <c r="AX4239" s="1">
        <v>2304.7800000000002</v>
      </c>
      <c r="AY4239" t="s">
        <v>503</v>
      </c>
      <c r="AZ4239" t="s">
        <v>504</v>
      </c>
      <c r="BA4239" t="s">
        <v>218</v>
      </c>
      <c r="BE4239" s="3">
        <v>42082</v>
      </c>
      <c r="BF4239" s="1">
        <v>367500</v>
      </c>
      <c r="BG4239" t="s">
        <v>26827</v>
      </c>
      <c r="BH4239" s="1">
        <v>180.32</v>
      </c>
      <c r="BI4239" s="1">
        <v>317500</v>
      </c>
      <c r="BJ4239" s="3">
        <v>42082</v>
      </c>
      <c r="BK4239" t="s">
        <v>123</v>
      </c>
      <c r="BL4239" t="str">
        <f>"2015.186054"</f>
        <v>2015.186054</v>
      </c>
      <c r="BM4239" t="s">
        <v>26828</v>
      </c>
      <c r="BO4239" t="s">
        <v>26829</v>
      </c>
      <c r="BS4239">
        <v>30</v>
      </c>
      <c r="BW4239" t="str">
        <f>""</f>
        <v/>
      </c>
      <c r="CH4239" t="str">
        <f>""</f>
        <v/>
      </c>
      <c r="CS4239" t="str">
        <f>""</f>
        <v/>
      </c>
    </row>
    <row r="4240" spans="1:97" x14ac:dyDescent="0.25">
      <c r="A4240" t="s">
        <v>211</v>
      </c>
      <c r="B4240" t="s">
        <v>11649</v>
      </c>
      <c r="E4240" t="s">
        <v>26830</v>
      </c>
      <c r="F4240" t="s">
        <v>108</v>
      </c>
      <c r="H4240" t="s">
        <v>26831</v>
      </c>
      <c r="I4240" t="s">
        <v>632</v>
      </c>
      <c r="J4240" t="s">
        <v>111</v>
      </c>
      <c r="K4240" t="str">
        <f>"85388"</f>
        <v>85388</v>
      </c>
      <c r="L4240" t="s">
        <v>4159</v>
      </c>
      <c r="M4240" t="s">
        <v>26831</v>
      </c>
      <c r="N4240" t="s">
        <v>632</v>
      </c>
      <c r="O4240" t="s">
        <v>111</v>
      </c>
      <c r="P4240" t="str">
        <f>"85388-1788"</f>
        <v>85388-1788</v>
      </c>
      <c r="Q4240" t="s">
        <v>113</v>
      </c>
      <c r="R4240" t="str">
        <f>"502-84-628"</f>
        <v>502-84-628</v>
      </c>
      <c r="S4240" t="s">
        <v>16882</v>
      </c>
      <c r="T4240" t="s">
        <v>16883</v>
      </c>
      <c r="U4240">
        <v>3435</v>
      </c>
      <c r="V4240">
        <v>0</v>
      </c>
      <c r="W4240">
        <v>4</v>
      </c>
      <c r="X4240">
        <v>2005</v>
      </c>
      <c r="Z4240">
        <v>2</v>
      </c>
      <c r="AB4240">
        <v>0</v>
      </c>
      <c r="AC4240" t="s">
        <v>115</v>
      </c>
      <c r="AD4240">
        <v>3</v>
      </c>
      <c r="AE4240" t="s">
        <v>115</v>
      </c>
      <c r="AF4240">
        <v>0</v>
      </c>
      <c r="AG4240">
        <v>0</v>
      </c>
      <c r="AH4240" t="s">
        <v>116</v>
      </c>
      <c r="AI4240" s="1">
        <v>69773</v>
      </c>
      <c r="AJ4240" s="2">
        <v>0.2</v>
      </c>
      <c r="AK4240" s="1">
        <v>354773</v>
      </c>
      <c r="AL4240" t="s">
        <v>117</v>
      </c>
      <c r="AM4240" t="s">
        <v>118</v>
      </c>
      <c r="AN4240">
        <v>7408</v>
      </c>
      <c r="AO4240">
        <v>0.17</v>
      </c>
      <c r="AR4240">
        <v>1</v>
      </c>
      <c r="AS4240" s="1">
        <v>23420</v>
      </c>
      <c r="AT4240" s="1">
        <v>4680</v>
      </c>
      <c r="AU4240" s="1">
        <v>18740</v>
      </c>
      <c r="AV4240">
        <v>80.02</v>
      </c>
      <c r="AX4240" s="1">
        <v>2093.2199999999998</v>
      </c>
      <c r="AY4240" t="s">
        <v>5168</v>
      </c>
      <c r="AZ4240" t="s">
        <v>5168</v>
      </c>
      <c r="BA4240" t="s">
        <v>5109</v>
      </c>
      <c r="BE4240" s="3">
        <v>41708</v>
      </c>
      <c r="BF4240" s="1">
        <v>249900</v>
      </c>
      <c r="BG4240" t="s">
        <v>26832</v>
      </c>
      <c r="BH4240" s="1">
        <v>72.75</v>
      </c>
      <c r="BI4240" s="1">
        <v>285000</v>
      </c>
      <c r="BJ4240" s="3">
        <v>43609</v>
      </c>
      <c r="BK4240" t="s">
        <v>123</v>
      </c>
      <c r="BL4240" t="str">
        <f>"2019.381959"</f>
        <v>2019.381959</v>
      </c>
      <c r="BM4240" t="s">
        <v>1809</v>
      </c>
      <c r="BN4240" t="s">
        <v>1810</v>
      </c>
      <c r="BO4240" t="s">
        <v>26833</v>
      </c>
      <c r="BP4240" t="s">
        <v>26834</v>
      </c>
      <c r="BR4240" t="s">
        <v>139</v>
      </c>
      <c r="BW4240" t="str">
        <f>""</f>
        <v/>
      </c>
      <c r="CH4240" t="str">
        <f>""</f>
        <v/>
      </c>
      <c r="CS4240" t="str">
        <f>""</f>
        <v/>
      </c>
    </row>
    <row r="4241" spans="1:97" x14ac:dyDescent="0.25">
      <c r="A4241" t="s">
        <v>8735</v>
      </c>
      <c r="B4241" t="s">
        <v>10586</v>
      </c>
      <c r="E4241" t="s">
        <v>26835</v>
      </c>
      <c r="F4241" t="s">
        <v>108</v>
      </c>
      <c r="H4241" t="s">
        <v>26836</v>
      </c>
      <c r="I4241" t="s">
        <v>453</v>
      </c>
      <c r="J4241" t="s">
        <v>111</v>
      </c>
      <c r="K4241" t="str">
        <f>"85383"</f>
        <v>85383</v>
      </c>
      <c r="L4241" t="s">
        <v>7235</v>
      </c>
      <c r="M4241" t="s">
        <v>26836</v>
      </c>
      <c r="N4241" t="s">
        <v>453</v>
      </c>
      <c r="O4241" t="s">
        <v>111</v>
      </c>
      <c r="P4241" t="str">
        <f>"85383-5840"</f>
        <v>85383-5840</v>
      </c>
      <c r="Q4241" t="s">
        <v>113</v>
      </c>
      <c r="R4241" t="str">
        <f>"503-66-375"</f>
        <v>503-66-375</v>
      </c>
      <c r="S4241" t="s">
        <v>9145</v>
      </c>
      <c r="U4241">
        <v>2537</v>
      </c>
      <c r="V4241">
        <v>0</v>
      </c>
      <c r="W4241">
        <v>3</v>
      </c>
      <c r="X4241">
        <v>2015</v>
      </c>
      <c r="Z4241">
        <v>2</v>
      </c>
      <c r="AB4241">
        <v>0</v>
      </c>
      <c r="AC4241" t="s">
        <v>115</v>
      </c>
      <c r="AD4241">
        <v>2</v>
      </c>
      <c r="AE4241" t="s">
        <v>115</v>
      </c>
      <c r="AF4241">
        <v>0</v>
      </c>
      <c r="AG4241">
        <v>0</v>
      </c>
      <c r="AH4241" t="s">
        <v>116</v>
      </c>
      <c r="AI4241" s="1">
        <v>42088</v>
      </c>
      <c r="AJ4241" s="2">
        <v>0.16</v>
      </c>
      <c r="AK4241" s="1">
        <v>267530</v>
      </c>
      <c r="AL4241" t="s">
        <v>117</v>
      </c>
      <c r="AM4241" t="s">
        <v>5379</v>
      </c>
      <c r="AN4241">
        <v>4750</v>
      </c>
      <c r="AO4241">
        <v>0.11</v>
      </c>
      <c r="AR4241">
        <v>1</v>
      </c>
      <c r="AS4241" s="1">
        <v>22670</v>
      </c>
      <c r="AT4241" s="1">
        <v>4530</v>
      </c>
      <c r="AU4241" s="1">
        <v>18140</v>
      </c>
      <c r="AV4241">
        <v>80.02</v>
      </c>
      <c r="AX4241" s="1">
        <v>2382.8200000000002</v>
      </c>
      <c r="AY4241" t="s">
        <v>456</v>
      </c>
      <c r="AZ4241" t="s">
        <v>456</v>
      </c>
      <c r="BA4241" t="s">
        <v>457</v>
      </c>
      <c r="BE4241" s="3">
        <v>42328</v>
      </c>
      <c r="BF4241" s="1">
        <v>221160</v>
      </c>
      <c r="BG4241" t="s">
        <v>233</v>
      </c>
      <c r="BH4241" s="1">
        <v>87.17</v>
      </c>
      <c r="BI4241" s="1">
        <v>225442</v>
      </c>
      <c r="BJ4241" s="3">
        <v>42710</v>
      </c>
      <c r="BK4241" t="s">
        <v>123</v>
      </c>
      <c r="BL4241" t="str">
        <f>"2016.898885"</f>
        <v>2016.898885</v>
      </c>
      <c r="BM4241" t="s">
        <v>724</v>
      </c>
      <c r="BO4241" t="s">
        <v>26837</v>
      </c>
      <c r="BS4241">
        <v>30</v>
      </c>
      <c r="BW4241" t="str">
        <f>""</f>
        <v/>
      </c>
      <c r="CH4241" t="str">
        <f>""</f>
        <v/>
      </c>
      <c r="CS4241" t="str">
        <f>""</f>
        <v/>
      </c>
    </row>
    <row r="4242" spans="1:97" x14ac:dyDescent="0.25">
      <c r="A4242" t="s">
        <v>2915</v>
      </c>
      <c r="B4242" t="s">
        <v>3333</v>
      </c>
      <c r="C4242" t="s">
        <v>2002</v>
      </c>
      <c r="D4242" t="s">
        <v>26838</v>
      </c>
      <c r="E4242" t="s">
        <v>26839</v>
      </c>
      <c r="F4242" t="s">
        <v>108</v>
      </c>
      <c r="H4242" t="s">
        <v>26840</v>
      </c>
      <c r="I4242" t="s">
        <v>203</v>
      </c>
      <c r="J4242" t="s">
        <v>111</v>
      </c>
      <c r="K4242" t="str">
        <f>"85298"</f>
        <v>85298</v>
      </c>
      <c r="L4242" t="s">
        <v>11709</v>
      </c>
      <c r="M4242" t="s">
        <v>26840</v>
      </c>
      <c r="N4242" t="s">
        <v>203</v>
      </c>
      <c r="O4242" t="s">
        <v>111</v>
      </c>
      <c r="P4242" t="str">
        <f>"85298-8012"</f>
        <v>85298-8012</v>
      </c>
      <c r="Q4242" t="s">
        <v>113</v>
      </c>
      <c r="R4242" t="str">
        <f>"313-01-056"</f>
        <v>313-01-056</v>
      </c>
      <c r="S4242" t="s">
        <v>26841</v>
      </c>
      <c r="T4242" t="s">
        <v>11711</v>
      </c>
      <c r="U4242">
        <v>2156</v>
      </c>
      <c r="V4242">
        <v>0</v>
      </c>
      <c r="W4242">
        <v>3</v>
      </c>
      <c r="X4242">
        <v>2007</v>
      </c>
      <c r="Z4242">
        <v>1</v>
      </c>
      <c r="AA4242" t="s">
        <v>26</v>
      </c>
      <c r="AB4242">
        <v>0</v>
      </c>
      <c r="AC4242" t="s">
        <v>115</v>
      </c>
      <c r="AD4242">
        <v>3</v>
      </c>
      <c r="AE4242" t="s">
        <v>115</v>
      </c>
      <c r="AF4242">
        <v>0</v>
      </c>
      <c r="AG4242">
        <v>0</v>
      </c>
      <c r="AH4242" t="s">
        <v>116</v>
      </c>
      <c r="AI4242" s="1">
        <v>114688</v>
      </c>
      <c r="AJ4242" s="2">
        <v>0.25</v>
      </c>
      <c r="AK4242" s="1">
        <v>456204</v>
      </c>
      <c r="AL4242" t="s">
        <v>117</v>
      </c>
      <c r="AM4242" t="s">
        <v>191</v>
      </c>
      <c r="AN4242">
        <v>8740</v>
      </c>
      <c r="AO4242">
        <v>0.2</v>
      </c>
      <c r="AR4242">
        <v>1</v>
      </c>
      <c r="AS4242" s="1">
        <v>31260</v>
      </c>
      <c r="AT4242" s="1">
        <v>6250</v>
      </c>
      <c r="AU4242" s="1">
        <v>25010</v>
      </c>
      <c r="AV4242">
        <v>80.010000000000005</v>
      </c>
      <c r="AX4242" s="1">
        <v>2641.52</v>
      </c>
      <c r="AY4242" t="s">
        <v>5792</v>
      </c>
      <c r="AZ4242" t="s">
        <v>5792</v>
      </c>
      <c r="BA4242" t="s">
        <v>290</v>
      </c>
      <c r="BE4242" s="3">
        <v>42247</v>
      </c>
      <c r="BF4242" s="1">
        <v>427500</v>
      </c>
      <c r="BG4242" t="s">
        <v>26842</v>
      </c>
      <c r="BH4242" s="1">
        <v>198.28</v>
      </c>
      <c r="BI4242" s="1">
        <v>341516</v>
      </c>
      <c r="BJ4242" s="3">
        <v>42247</v>
      </c>
      <c r="BK4242" t="s">
        <v>123</v>
      </c>
      <c r="BL4242" t="str">
        <f>"2015.632800"</f>
        <v>2015.632800</v>
      </c>
      <c r="BM4242" t="s">
        <v>5534</v>
      </c>
      <c r="BO4242" t="s">
        <v>26843</v>
      </c>
      <c r="BP4242" t="s">
        <v>26844</v>
      </c>
      <c r="BS4242">
        <v>30</v>
      </c>
      <c r="BW4242" t="str">
        <f>""</f>
        <v/>
      </c>
      <c r="CH4242" t="str">
        <f>""</f>
        <v/>
      </c>
      <c r="CS4242" t="str">
        <f>""</f>
        <v/>
      </c>
    </row>
    <row r="4243" spans="1:97" x14ac:dyDescent="0.25">
      <c r="A4243" t="s">
        <v>996</v>
      </c>
      <c r="B4243" t="s">
        <v>1187</v>
      </c>
      <c r="C4243" t="s">
        <v>11764</v>
      </c>
      <c r="D4243" t="s">
        <v>1577</v>
      </c>
      <c r="E4243" t="s">
        <v>26845</v>
      </c>
      <c r="F4243" t="s">
        <v>108</v>
      </c>
      <c r="H4243" t="s">
        <v>26846</v>
      </c>
      <c r="I4243" t="s">
        <v>632</v>
      </c>
      <c r="J4243" t="s">
        <v>111</v>
      </c>
      <c r="K4243" t="str">
        <f>"85388"</f>
        <v>85388</v>
      </c>
      <c r="L4243" t="s">
        <v>4159</v>
      </c>
      <c r="M4243" t="s">
        <v>26846</v>
      </c>
      <c r="N4243" t="s">
        <v>632</v>
      </c>
      <c r="O4243" t="s">
        <v>111</v>
      </c>
      <c r="P4243" t="str">
        <f>"85388-1716"</f>
        <v>85388-1716</v>
      </c>
      <c r="Q4243" t="s">
        <v>113</v>
      </c>
      <c r="R4243" t="str">
        <f>"502-84-704"</f>
        <v>502-84-704</v>
      </c>
      <c r="S4243" t="s">
        <v>9278</v>
      </c>
      <c r="T4243" t="s">
        <v>9279</v>
      </c>
      <c r="U4243">
        <v>2437</v>
      </c>
      <c r="V4243">
        <v>0</v>
      </c>
      <c r="W4243">
        <v>4</v>
      </c>
      <c r="X4243">
        <v>2012</v>
      </c>
      <c r="Z4243">
        <v>2</v>
      </c>
      <c r="AB4243">
        <v>0</v>
      </c>
      <c r="AC4243" t="s">
        <v>115</v>
      </c>
      <c r="AD4243">
        <v>2</v>
      </c>
      <c r="AE4243" t="s">
        <v>115</v>
      </c>
      <c r="AF4243">
        <v>0</v>
      </c>
      <c r="AG4243">
        <v>0</v>
      </c>
      <c r="AH4243" t="s">
        <v>116</v>
      </c>
      <c r="AI4243" s="1">
        <v>78382</v>
      </c>
      <c r="AJ4243" s="2">
        <v>0.26</v>
      </c>
      <c r="AK4243" s="1">
        <v>303454</v>
      </c>
      <c r="AL4243" t="s">
        <v>117</v>
      </c>
      <c r="AM4243" t="s">
        <v>118</v>
      </c>
      <c r="AN4243">
        <v>9189</v>
      </c>
      <c r="AO4243">
        <v>0.21</v>
      </c>
      <c r="AR4243">
        <v>1</v>
      </c>
      <c r="AS4243" s="1">
        <v>22170</v>
      </c>
      <c r="AT4243" s="1">
        <v>4430</v>
      </c>
      <c r="AU4243" s="1">
        <v>17740</v>
      </c>
      <c r="AV4243">
        <v>80.02</v>
      </c>
      <c r="AX4243" s="1">
        <v>1784.42</v>
      </c>
      <c r="AY4243" t="s">
        <v>5168</v>
      </c>
      <c r="AZ4243" t="s">
        <v>5168</v>
      </c>
      <c r="BA4243" t="s">
        <v>5109</v>
      </c>
      <c r="BB4243" s="3">
        <v>42146</v>
      </c>
      <c r="BD4243" t="s">
        <v>240</v>
      </c>
      <c r="BE4243" s="3">
        <v>42146</v>
      </c>
      <c r="BF4243" s="1">
        <v>219900</v>
      </c>
      <c r="BG4243" t="s">
        <v>26847</v>
      </c>
      <c r="BH4243" s="1">
        <v>90.23</v>
      </c>
      <c r="BI4243" s="1">
        <v>225072</v>
      </c>
      <c r="BJ4243" s="3">
        <v>42625</v>
      </c>
      <c r="BK4243" t="s">
        <v>123</v>
      </c>
      <c r="BL4243" t="str">
        <f>"2016.658270"</f>
        <v>2016.658270</v>
      </c>
      <c r="BM4243" t="s">
        <v>1287</v>
      </c>
      <c r="BO4243" t="s">
        <v>26848</v>
      </c>
      <c r="BP4243" t="s">
        <v>26849</v>
      </c>
      <c r="BS4243">
        <v>30</v>
      </c>
      <c r="BW4243" t="str">
        <f>""</f>
        <v/>
      </c>
      <c r="CH4243" t="str">
        <f>""</f>
        <v/>
      </c>
      <c r="CS4243" t="str">
        <f>""</f>
        <v/>
      </c>
    </row>
    <row r="4244" spans="1:97" x14ac:dyDescent="0.25">
      <c r="A4244" t="s">
        <v>1465</v>
      </c>
      <c r="B4244" t="s">
        <v>1552</v>
      </c>
      <c r="E4244" t="s">
        <v>26850</v>
      </c>
      <c r="F4244" t="s">
        <v>108</v>
      </c>
      <c r="H4244" t="s">
        <v>26851</v>
      </c>
      <c r="I4244" t="s">
        <v>3150</v>
      </c>
      <c r="J4244" t="s">
        <v>111</v>
      </c>
      <c r="K4244" t="str">
        <f>"85340"</f>
        <v>85340</v>
      </c>
      <c r="L4244" t="s">
        <v>734</v>
      </c>
      <c r="M4244" t="s">
        <v>26851</v>
      </c>
      <c r="N4244" t="s">
        <v>3150</v>
      </c>
      <c r="O4244" t="s">
        <v>111</v>
      </c>
      <c r="P4244" t="str">
        <f>"85340-5724"</f>
        <v>85340-5724</v>
      </c>
      <c r="Q4244" t="s">
        <v>113</v>
      </c>
      <c r="R4244" t="str">
        <f>"502-28-476"</f>
        <v>502-28-476</v>
      </c>
      <c r="S4244" t="s">
        <v>5998</v>
      </c>
      <c r="T4244" t="s">
        <v>5998</v>
      </c>
      <c r="U4244">
        <v>3072</v>
      </c>
      <c r="V4244">
        <v>0</v>
      </c>
      <c r="W4244">
        <v>5</v>
      </c>
      <c r="X4244">
        <v>2013</v>
      </c>
      <c r="Z4244">
        <v>1</v>
      </c>
      <c r="AB4244">
        <v>0</v>
      </c>
      <c r="AC4244" t="s">
        <v>115</v>
      </c>
      <c r="AD4244">
        <v>3</v>
      </c>
      <c r="AE4244" t="s">
        <v>115</v>
      </c>
      <c r="AF4244">
        <v>0</v>
      </c>
      <c r="AG4244">
        <v>0</v>
      </c>
      <c r="AH4244" t="s">
        <v>116</v>
      </c>
      <c r="AI4244" s="1">
        <v>108264</v>
      </c>
      <c r="AJ4244" s="2">
        <v>0.26</v>
      </c>
      <c r="AK4244" s="1">
        <v>411831</v>
      </c>
      <c r="AL4244" t="s">
        <v>117</v>
      </c>
      <c r="AM4244" t="s">
        <v>1302</v>
      </c>
      <c r="AN4244">
        <v>13500</v>
      </c>
      <c r="AO4244">
        <v>0.31</v>
      </c>
      <c r="AR4244">
        <v>1</v>
      </c>
      <c r="AS4244" s="1">
        <v>29050</v>
      </c>
      <c r="AT4244" s="1">
        <v>5810</v>
      </c>
      <c r="AU4244" s="1">
        <v>23240</v>
      </c>
      <c r="AV4244">
        <v>80</v>
      </c>
      <c r="AX4244" s="1">
        <v>3079.06</v>
      </c>
      <c r="AY4244" t="s">
        <v>543</v>
      </c>
      <c r="AZ4244" t="s">
        <v>504</v>
      </c>
      <c r="BA4244" t="s">
        <v>218</v>
      </c>
      <c r="BE4244" s="3">
        <v>41732</v>
      </c>
      <c r="BF4244" s="1">
        <v>315330</v>
      </c>
      <c r="BG4244" t="s">
        <v>292</v>
      </c>
      <c r="BH4244" s="1">
        <v>102.65</v>
      </c>
      <c r="BI4244" s="1">
        <v>303567</v>
      </c>
      <c r="BJ4244" s="3">
        <v>42822</v>
      </c>
      <c r="BK4244" t="s">
        <v>123</v>
      </c>
      <c r="BL4244" t="str">
        <f>"2017.214601"</f>
        <v>2017.214601</v>
      </c>
      <c r="BM4244" t="s">
        <v>1325</v>
      </c>
      <c r="BO4244" t="s">
        <v>26852</v>
      </c>
      <c r="BS4244">
        <v>30</v>
      </c>
      <c r="BW4244" t="str">
        <f>""</f>
        <v/>
      </c>
      <c r="CH4244" t="str">
        <f>""</f>
        <v/>
      </c>
      <c r="CS4244" t="str">
        <f>""</f>
        <v/>
      </c>
    </row>
    <row r="4245" spans="1:97" x14ac:dyDescent="0.25">
      <c r="A4245" t="s">
        <v>7562</v>
      </c>
      <c r="B4245" t="s">
        <v>26853</v>
      </c>
      <c r="E4245" t="s">
        <v>26854</v>
      </c>
      <c r="F4245" t="s">
        <v>108</v>
      </c>
      <c r="H4245" t="s">
        <v>26855</v>
      </c>
      <c r="I4245" t="s">
        <v>5387</v>
      </c>
      <c r="J4245" t="s">
        <v>111</v>
      </c>
      <c r="K4245" t="str">
        <f>"85283"</f>
        <v>85283</v>
      </c>
      <c r="L4245" t="s">
        <v>3982</v>
      </c>
      <c r="M4245" t="s">
        <v>26855</v>
      </c>
      <c r="N4245" t="s">
        <v>5387</v>
      </c>
      <c r="O4245" t="s">
        <v>111</v>
      </c>
      <c r="P4245" t="str">
        <f>"85283-4714"</f>
        <v>85283-4714</v>
      </c>
      <c r="Q4245" t="s">
        <v>113</v>
      </c>
      <c r="R4245" t="str">
        <f>"301-91-513"</f>
        <v>301-91-513</v>
      </c>
      <c r="S4245" t="s">
        <v>16606</v>
      </c>
      <c r="T4245" t="s">
        <v>12892</v>
      </c>
      <c r="U4245">
        <v>2624</v>
      </c>
      <c r="V4245">
        <v>0</v>
      </c>
      <c r="W4245">
        <v>4</v>
      </c>
      <c r="X4245">
        <v>1985</v>
      </c>
      <c r="Z4245">
        <v>2</v>
      </c>
      <c r="AA4245" t="s">
        <v>26</v>
      </c>
      <c r="AB4245">
        <v>0</v>
      </c>
      <c r="AC4245" t="s">
        <v>115</v>
      </c>
      <c r="AD4245">
        <v>3</v>
      </c>
      <c r="AE4245" t="s">
        <v>115</v>
      </c>
      <c r="AF4245">
        <v>0</v>
      </c>
      <c r="AG4245">
        <v>0</v>
      </c>
      <c r="AH4245" t="s">
        <v>116</v>
      </c>
      <c r="AI4245" s="1">
        <v>145532</v>
      </c>
      <c r="AJ4245" s="2">
        <v>0.33</v>
      </c>
      <c r="AK4245" s="1">
        <v>446244</v>
      </c>
      <c r="AL4245" t="s">
        <v>117</v>
      </c>
      <c r="AM4245" t="s">
        <v>393</v>
      </c>
      <c r="AN4245">
        <v>8817</v>
      </c>
      <c r="AO4245">
        <v>0.2</v>
      </c>
      <c r="AP4245">
        <v>1</v>
      </c>
      <c r="AR4245">
        <v>1</v>
      </c>
      <c r="AS4245" s="1">
        <v>33170</v>
      </c>
      <c r="AT4245" s="1">
        <v>6630</v>
      </c>
      <c r="AU4245" s="1">
        <v>26540</v>
      </c>
      <c r="AV4245">
        <v>80.010000000000005</v>
      </c>
      <c r="AX4245" s="1">
        <v>3252.3</v>
      </c>
      <c r="AY4245" t="s">
        <v>5857</v>
      </c>
      <c r="AZ4245" t="s">
        <v>5391</v>
      </c>
      <c r="BA4245" t="s">
        <v>5392</v>
      </c>
      <c r="BE4245" s="3">
        <v>41942</v>
      </c>
      <c r="BF4245" s="1">
        <v>330000</v>
      </c>
      <c r="BG4245" t="s">
        <v>26856</v>
      </c>
      <c r="BH4245" s="1">
        <v>125.76</v>
      </c>
      <c r="BI4245" s="1">
        <v>300712</v>
      </c>
      <c r="BJ4245" s="3">
        <v>42011</v>
      </c>
      <c r="BK4245" t="s">
        <v>123</v>
      </c>
      <c r="BL4245" t="str">
        <f>"2015.8056"</f>
        <v>2015.8056</v>
      </c>
      <c r="BM4245" t="s">
        <v>26857</v>
      </c>
      <c r="BO4245" t="s">
        <v>26858</v>
      </c>
      <c r="BS4245">
        <v>30</v>
      </c>
      <c r="BW4245" t="str">
        <f>""</f>
        <v/>
      </c>
      <c r="CH4245" t="str">
        <f>""</f>
        <v/>
      </c>
      <c r="CS4245" t="str">
        <f>""</f>
        <v/>
      </c>
    </row>
    <row r="4246" spans="1:97" x14ac:dyDescent="0.25">
      <c r="A4246" t="s">
        <v>26859</v>
      </c>
      <c r="B4246" t="s">
        <v>1340</v>
      </c>
      <c r="C4246" t="s">
        <v>355</v>
      </c>
      <c r="D4246" t="s">
        <v>1340</v>
      </c>
      <c r="E4246" t="s">
        <v>26860</v>
      </c>
      <c r="F4246" t="s">
        <v>108</v>
      </c>
      <c r="H4246" t="s">
        <v>26861</v>
      </c>
      <c r="I4246" t="s">
        <v>2874</v>
      </c>
      <c r="J4246" t="s">
        <v>111</v>
      </c>
      <c r="K4246" t="str">
        <f>"85302"</f>
        <v>85302</v>
      </c>
      <c r="L4246" t="s">
        <v>7746</v>
      </c>
      <c r="M4246" t="s">
        <v>26861</v>
      </c>
      <c r="N4246" t="s">
        <v>2874</v>
      </c>
      <c r="O4246" t="s">
        <v>111</v>
      </c>
      <c r="P4246" t="str">
        <f>"85302-5230"</f>
        <v>85302-5230</v>
      </c>
      <c r="Q4246" t="s">
        <v>113</v>
      </c>
      <c r="R4246" t="str">
        <f>"148-10-288"</f>
        <v>148-10-288</v>
      </c>
      <c r="S4246" t="s">
        <v>26862</v>
      </c>
      <c r="T4246" t="s">
        <v>26863</v>
      </c>
      <c r="U4246">
        <v>2052</v>
      </c>
      <c r="V4246">
        <v>0</v>
      </c>
      <c r="W4246">
        <v>3</v>
      </c>
      <c r="X4246">
        <v>1979</v>
      </c>
      <c r="Z4246">
        <v>1</v>
      </c>
      <c r="AA4246" t="s">
        <v>26</v>
      </c>
      <c r="AB4246">
        <v>0</v>
      </c>
      <c r="AC4246" t="s">
        <v>115</v>
      </c>
      <c r="AD4246">
        <v>2</v>
      </c>
      <c r="AE4246" t="s">
        <v>115</v>
      </c>
      <c r="AF4246">
        <v>0</v>
      </c>
      <c r="AG4246">
        <v>0</v>
      </c>
      <c r="AH4246" t="s">
        <v>116</v>
      </c>
      <c r="AI4246" s="1">
        <v>72164</v>
      </c>
      <c r="AJ4246" s="2">
        <v>0.26</v>
      </c>
      <c r="AK4246" s="1">
        <v>276664</v>
      </c>
      <c r="AL4246" t="s">
        <v>117</v>
      </c>
      <c r="AM4246" t="s">
        <v>191</v>
      </c>
      <c r="AN4246">
        <v>9126</v>
      </c>
      <c r="AO4246">
        <v>0.21</v>
      </c>
      <c r="AP4246">
        <v>1</v>
      </c>
      <c r="AR4246">
        <v>1</v>
      </c>
      <c r="AS4246" s="1">
        <v>19360</v>
      </c>
      <c r="AT4246" s="1">
        <v>3870</v>
      </c>
      <c r="AU4246" s="1">
        <v>15490</v>
      </c>
      <c r="AV4246">
        <v>80.010000000000005</v>
      </c>
      <c r="AX4246" s="1">
        <v>1632.12</v>
      </c>
      <c r="AY4246" t="s">
        <v>17858</v>
      </c>
      <c r="AZ4246" t="s">
        <v>17858</v>
      </c>
      <c r="BA4246" t="s">
        <v>6987</v>
      </c>
      <c r="BE4246" s="3">
        <v>41974</v>
      </c>
      <c r="BF4246" s="1">
        <v>199000</v>
      </c>
      <c r="BG4246" t="s">
        <v>26864</v>
      </c>
      <c r="BH4246" s="1">
        <v>93.69</v>
      </c>
      <c r="BI4246" s="1">
        <v>204500</v>
      </c>
      <c r="BJ4246" s="3">
        <v>41974</v>
      </c>
      <c r="BK4246" t="s">
        <v>123</v>
      </c>
      <c r="BL4246" t="str">
        <f>"2014.791211"</f>
        <v>2014.791211</v>
      </c>
      <c r="BM4246" t="s">
        <v>124</v>
      </c>
      <c r="BO4246" t="s">
        <v>26865</v>
      </c>
      <c r="BS4246">
        <v>30</v>
      </c>
      <c r="BW4246" t="str">
        <f>""</f>
        <v/>
      </c>
      <c r="CH4246" t="str">
        <f>""</f>
        <v/>
      </c>
      <c r="CS4246" t="str">
        <f>""</f>
        <v/>
      </c>
    </row>
    <row r="4247" spans="1:97" x14ac:dyDescent="0.25">
      <c r="A4247" t="s">
        <v>894</v>
      </c>
      <c r="B4247" t="s">
        <v>23566</v>
      </c>
      <c r="C4247" t="s">
        <v>26866</v>
      </c>
      <c r="D4247" t="s">
        <v>23566</v>
      </c>
      <c r="E4247" t="s">
        <v>26867</v>
      </c>
      <c r="F4247" t="s">
        <v>108</v>
      </c>
      <c r="H4247" t="s">
        <v>26868</v>
      </c>
      <c r="I4247" t="s">
        <v>3150</v>
      </c>
      <c r="J4247" t="s">
        <v>111</v>
      </c>
      <c r="K4247" t="str">
        <f>"85340"</f>
        <v>85340</v>
      </c>
      <c r="L4247" t="s">
        <v>1789</v>
      </c>
      <c r="M4247" t="s">
        <v>26868</v>
      </c>
      <c r="N4247" t="s">
        <v>3150</v>
      </c>
      <c r="O4247" t="s">
        <v>111</v>
      </c>
      <c r="P4247" t="str">
        <f>"85340-5380"</f>
        <v>85340-5380</v>
      </c>
      <c r="Q4247" t="s">
        <v>113</v>
      </c>
      <c r="R4247" t="str">
        <f>"508-06-221"</f>
        <v>508-06-221</v>
      </c>
      <c r="S4247" t="s">
        <v>6579</v>
      </c>
      <c r="U4247">
        <v>2754</v>
      </c>
      <c r="V4247">
        <v>0</v>
      </c>
      <c r="W4247">
        <v>5</v>
      </c>
      <c r="X4247">
        <v>2003</v>
      </c>
      <c r="Z4247">
        <v>2</v>
      </c>
      <c r="AB4247">
        <v>0</v>
      </c>
      <c r="AC4247" t="s">
        <v>115</v>
      </c>
      <c r="AD4247">
        <v>3</v>
      </c>
      <c r="AE4247" t="s">
        <v>115</v>
      </c>
      <c r="AF4247">
        <v>0</v>
      </c>
      <c r="AG4247">
        <v>0</v>
      </c>
      <c r="AH4247" t="s">
        <v>116</v>
      </c>
      <c r="AI4247" s="1">
        <v>13785</v>
      </c>
      <c r="AJ4247" s="2">
        <v>0.04</v>
      </c>
      <c r="AK4247" s="1">
        <v>313785</v>
      </c>
      <c r="AL4247" t="s">
        <v>117</v>
      </c>
      <c r="AM4247" t="s">
        <v>171</v>
      </c>
      <c r="AN4247">
        <v>6670</v>
      </c>
      <c r="AO4247">
        <v>0.15</v>
      </c>
      <c r="AP4247">
        <v>1</v>
      </c>
      <c r="AR4247">
        <v>1</v>
      </c>
      <c r="AS4247" s="1">
        <v>21520</v>
      </c>
      <c r="AT4247" s="1">
        <v>4300</v>
      </c>
      <c r="AU4247" s="1">
        <v>17220</v>
      </c>
      <c r="AV4247">
        <v>80.02</v>
      </c>
      <c r="AX4247" s="1">
        <v>1811.74</v>
      </c>
      <c r="AY4247" t="s">
        <v>6580</v>
      </c>
      <c r="AZ4247" t="s">
        <v>3153</v>
      </c>
      <c r="BA4247" t="s">
        <v>3154</v>
      </c>
      <c r="BE4247" s="3">
        <v>42081</v>
      </c>
      <c r="BF4247" s="1">
        <v>232500</v>
      </c>
      <c r="BG4247" t="s">
        <v>26869</v>
      </c>
      <c r="BH4247" s="1">
        <v>84.42</v>
      </c>
      <c r="BI4247" s="1">
        <v>300000</v>
      </c>
      <c r="BJ4247" s="3">
        <v>43641</v>
      </c>
      <c r="BK4247" t="s">
        <v>123</v>
      </c>
      <c r="BL4247" t="str">
        <f>"2019.477061"</f>
        <v>2019.477061</v>
      </c>
      <c r="BM4247" t="s">
        <v>1370</v>
      </c>
      <c r="BN4247" t="s">
        <v>1371</v>
      </c>
      <c r="BO4247" t="s">
        <v>26870</v>
      </c>
      <c r="BP4247" t="s">
        <v>26871</v>
      </c>
      <c r="BR4247" t="s">
        <v>139</v>
      </c>
      <c r="BW4247" t="str">
        <f>""</f>
        <v/>
      </c>
      <c r="CH4247" t="str">
        <f>""</f>
        <v/>
      </c>
      <c r="CS4247" t="str">
        <f>""</f>
        <v/>
      </c>
    </row>
    <row r="4248" spans="1:97" x14ac:dyDescent="0.25">
      <c r="A4248" t="s">
        <v>370</v>
      </c>
      <c r="B4248" t="s">
        <v>26872</v>
      </c>
      <c r="E4248" t="s">
        <v>26873</v>
      </c>
      <c r="F4248" t="s">
        <v>139</v>
      </c>
      <c r="H4248" t="s">
        <v>26874</v>
      </c>
      <c r="I4248" t="s">
        <v>5114</v>
      </c>
      <c r="J4248" t="s">
        <v>111</v>
      </c>
      <c r="K4248" t="str">
        <f>"85323"</f>
        <v>85323</v>
      </c>
      <c r="L4248" t="s">
        <v>688</v>
      </c>
      <c r="M4248" t="s">
        <v>26874</v>
      </c>
      <c r="N4248" t="s">
        <v>5114</v>
      </c>
      <c r="O4248" t="s">
        <v>111</v>
      </c>
      <c r="P4248" t="str">
        <f>"85323-7711"</f>
        <v>85323-7711</v>
      </c>
      <c r="Q4248" t="s">
        <v>113</v>
      </c>
      <c r="R4248" t="str">
        <f>"500-32-236"</f>
        <v>500-32-236</v>
      </c>
      <c r="S4248" t="s">
        <v>9433</v>
      </c>
      <c r="U4248">
        <v>2118</v>
      </c>
      <c r="V4248">
        <v>0</v>
      </c>
      <c r="W4248">
        <v>3</v>
      </c>
      <c r="X4248">
        <v>2013</v>
      </c>
      <c r="Z4248">
        <v>1</v>
      </c>
      <c r="AB4248">
        <v>0</v>
      </c>
      <c r="AC4248" t="s">
        <v>115</v>
      </c>
      <c r="AD4248">
        <v>2</v>
      </c>
      <c r="AE4248" t="s">
        <v>115</v>
      </c>
      <c r="AF4248">
        <v>0</v>
      </c>
      <c r="AG4248">
        <v>0</v>
      </c>
      <c r="AH4248" t="s">
        <v>116</v>
      </c>
      <c r="AI4248" s="1">
        <v>85721</v>
      </c>
      <c r="AJ4248" s="2">
        <v>0.28999999999999998</v>
      </c>
      <c r="AK4248" s="1">
        <v>295309</v>
      </c>
      <c r="AL4248" t="s">
        <v>117</v>
      </c>
      <c r="AM4248" t="s">
        <v>118</v>
      </c>
      <c r="AN4248">
        <v>7210</v>
      </c>
      <c r="AO4248">
        <v>0.17</v>
      </c>
      <c r="AR4248">
        <v>1</v>
      </c>
      <c r="AS4248" s="1">
        <v>20810</v>
      </c>
      <c r="AT4248" s="1">
        <v>4160</v>
      </c>
      <c r="AU4248" s="1">
        <v>16650</v>
      </c>
      <c r="AV4248">
        <v>80.010000000000005</v>
      </c>
      <c r="AX4248" s="1">
        <v>1874.88</v>
      </c>
      <c r="AY4248" t="s">
        <v>5458</v>
      </c>
      <c r="AZ4248" t="s">
        <v>5458</v>
      </c>
      <c r="BA4248" t="s">
        <v>4254</v>
      </c>
      <c r="BB4248" s="3">
        <v>43257</v>
      </c>
      <c r="BC4248" s="1">
        <v>0</v>
      </c>
      <c r="BD4248" t="s">
        <v>247</v>
      </c>
      <c r="BE4248" s="3">
        <v>41729</v>
      </c>
      <c r="BF4248" s="1">
        <v>210952</v>
      </c>
      <c r="BG4248" t="s">
        <v>3524</v>
      </c>
      <c r="BH4248" s="1">
        <v>99.6</v>
      </c>
      <c r="BI4248" s="1">
        <v>209588</v>
      </c>
      <c r="BJ4248" s="3">
        <v>42090</v>
      </c>
      <c r="BK4248" t="s">
        <v>123</v>
      </c>
      <c r="BL4248" t="str">
        <f>"2015.206203"</f>
        <v>2015.206203</v>
      </c>
      <c r="BM4248" t="s">
        <v>255</v>
      </c>
      <c r="BN4248" t="s">
        <v>2398</v>
      </c>
      <c r="BO4248" t="s">
        <v>26875</v>
      </c>
      <c r="BS4248">
        <v>30</v>
      </c>
      <c r="BW4248" t="str">
        <f>""</f>
        <v/>
      </c>
      <c r="CH4248" t="str">
        <f>""</f>
        <v/>
      </c>
      <c r="CS4248" t="str">
        <f>""</f>
        <v/>
      </c>
    </row>
    <row r="4249" spans="1:97" x14ac:dyDescent="0.25">
      <c r="A4249" t="s">
        <v>10986</v>
      </c>
      <c r="B4249" t="s">
        <v>26876</v>
      </c>
      <c r="C4249" t="s">
        <v>933</v>
      </c>
      <c r="D4249" t="s">
        <v>26876</v>
      </c>
      <c r="E4249" t="s">
        <v>26877</v>
      </c>
      <c r="F4249" t="s">
        <v>108</v>
      </c>
      <c r="H4249" t="s">
        <v>26878</v>
      </c>
      <c r="I4249" t="s">
        <v>390</v>
      </c>
      <c r="J4249" t="s">
        <v>111</v>
      </c>
      <c r="K4249" t="str">
        <f>"85024"</f>
        <v>85024</v>
      </c>
      <c r="L4249" t="s">
        <v>10474</v>
      </c>
      <c r="M4249" t="s">
        <v>26878</v>
      </c>
      <c r="N4249" t="s">
        <v>390</v>
      </c>
      <c r="O4249" t="s">
        <v>111</v>
      </c>
      <c r="P4249" t="str">
        <f>"85024-4164"</f>
        <v>85024-4164</v>
      </c>
      <c r="Q4249" t="s">
        <v>113</v>
      </c>
      <c r="R4249" t="str">
        <f>"213-31-193"</f>
        <v>213-31-193</v>
      </c>
      <c r="S4249" t="s">
        <v>19143</v>
      </c>
      <c r="T4249" t="s">
        <v>19144</v>
      </c>
      <c r="U4249">
        <v>1521</v>
      </c>
      <c r="V4249">
        <v>0</v>
      </c>
      <c r="W4249">
        <v>3</v>
      </c>
      <c r="X4249">
        <v>2000</v>
      </c>
      <c r="Z4249">
        <v>1</v>
      </c>
      <c r="AA4249" t="s">
        <v>26</v>
      </c>
      <c r="AB4249">
        <v>0</v>
      </c>
      <c r="AC4249" t="s">
        <v>115</v>
      </c>
      <c r="AD4249">
        <v>2</v>
      </c>
      <c r="AE4249" t="s">
        <v>115</v>
      </c>
      <c r="AF4249">
        <v>0</v>
      </c>
      <c r="AG4249">
        <v>0</v>
      </c>
      <c r="AH4249" t="s">
        <v>116</v>
      </c>
      <c r="AI4249" s="1">
        <v>61845</v>
      </c>
      <c r="AJ4249" s="2">
        <v>0.19</v>
      </c>
      <c r="AK4249" s="1">
        <v>319195</v>
      </c>
      <c r="AL4249" t="s">
        <v>117</v>
      </c>
      <c r="AM4249" t="s">
        <v>191</v>
      </c>
      <c r="AN4249">
        <v>5288</v>
      </c>
      <c r="AO4249">
        <v>0.12</v>
      </c>
      <c r="AP4249">
        <v>1</v>
      </c>
      <c r="AR4249">
        <v>1</v>
      </c>
      <c r="AS4249" s="1">
        <v>22660</v>
      </c>
      <c r="AT4249" s="1">
        <v>4530</v>
      </c>
      <c r="AU4249" s="1">
        <v>18130</v>
      </c>
      <c r="AV4249">
        <v>80.010000000000005</v>
      </c>
      <c r="AX4249" s="1">
        <v>1907.3</v>
      </c>
      <c r="AY4249" t="s">
        <v>10684</v>
      </c>
      <c r="AZ4249" t="s">
        <v>2357</v>
      </c>
      <c r="BA4249" t="s">
        <v>1462</v>
      </c>
      <c r="BE4249" s="3">
        <v>42194</v>
      </c>
      <c r="BF4249" s="1">
        <v>275500</v>
      </c>
      <c r="BG4249" t="s">
        <v>26879</v>
      </c>
      <c r="BH4249" s="1">
        <v>181.13</v>
      </c>
      <c r="BI4249" s="1">
        <v>257350</v>
      </c>
      <c r="BJ4249" s="3">
        <v>42570</v>
      </c>
      <c r="BK4249" t="s">
        <v>123</v>
      </c>
      <c r="BL4249" t="str">
        <f>"2016.507980"</f>
        <v>2016.507980</v>
      </c>
      <c r="BM4249" t="s">
        <v>361</v>
      </c>
      <c r="BO4249" t="s">
        <v>26880</v>
      </c>
      <c r="BS4249">
        <v>30</v>
      </c>
      <c r="BW4249" t="str">
        <f>""</f>
        <v/>
      </c>
      <c r="CH4249" t="str">
        <f>""</f>
        <v/>
      </c>
      <c r="CS4249" t="str">
        <f>""</f>
        <v/>
      </c>
    </row>
    <row r="4250" spans="1:97" x14ac:dyDescent="0.25">
      <c r="A4250" t="s">
        <v>26881</v>
      </c>
      <c r="B4250" t="s">
        <v>26882</v>
      </c>
      <c r="C4250" t="s">
        <v>26883</v>
      </c>
      <c r="D4250" t="s">
        <v>26882</v>
      </c>
      <c r="E4250" t="s">
        <v>26884</v>
      </c>
      <c r="F4250" t="s">
        <v>108</v>
      </c>
      <c r="H4250" t="s">
        <v>26885</v>
      </c>
      <c r="I4250" t="s">
        <v>5114</v>
      </c>
      <c r="J4250" t="s">
        <v>111</v>
      </c>
      <c r="K4250" t="str">
        <f>"85323"</f>
        <v>85323</v>
      </c>
      <c r="L4250" t="s">
        <v>1070</v>
      </c>
      <c r="M4250" t="s">
        <v>26885</v>
      </c>
      <c r="N4250" t="s">
        <v>5114</v>
      </c>
      <c r="O4250" t="s">
        <v>111</v>
      </c>
      <c r="P4250" t="str">
        <f>"85323-8104"</f>
        <v>85323-8104</v>
      </c>
      <c r="Q4250" t="s">
        <v>113</v>
      </c>
      <c r="R4250" t="str">
        <f>"500-29-197"</f>
        <v>500-29-197</v>
      </c>
      <c r="S4250" t="s">
        <v>9446</v>
      </c>
      <c r="U4250">
        <v>2802</v>
      </c>
      <c r="V4250">
        <v>0</v>
      </c>
      <c r="W4250">
        <v>4</v>
      </c>
      <c r="X4250">
        <v>2001</v>
      </c>
      <c r="Z4250">
        <v>2</v>
      </c>
      <c r="AB4250">
        <v>0</v>
      </c>
      <c r="AC4250" t="s">
        <v>115</v>
      </c>
      <c r="AD4250">
        <v>3</v>
      </c>
      <c r="AE4250" t="s">
        <v>115</v>
      </c>
      <c r="AF4250">
        <v>0</v>
      </c>
      <c r="AG4250">
        <v>0</v>
      </c>
      <c r="AH4250" t="s">
        <v>116</v>
      </c>
      <c r="AI4250" s="1">
        <v>69289</v>
      </c>
      <c r="AJ4250" s="2">
        <v>0.22</v>
      </c>
      <c r="AK4250" s="1">
        <v>309341</v>
      </c>
      <c r="AL4250" t="s">
        <v>117</v>
      </c>
      <c r="AM4250" t="s">
        <v>118</v>
      </c>
      <c r="AN4250">
        <v>7406</v>
      </c>
      <c r="AO4250">
        <v>0.17</v>
      </c>
      <c r="AP4250">
        <v>1</v>
      </c>
      <c r="AR4250">
        <v>1</v>
      </c>
      <c r="AS4250" s="1">
        <v>21000</v>
      </c>
      <c r="AT4250" s="1">
        <v>4200</v>
      </c>
      <c r="AU4250" s="1">
        <v>16800</v>
      </c>
      <c r="AV4250">
        <v>80</v>
      </c>
      <c r="AX4250" s="1">
        <v>2015.52</v>
      </c>
      <c r="AY4250" t="s">
        <v>9447</v>
      </c>
      <c r="AZ4250" t="s">
        <v>9447</v>
      </c>
      <c r="BA4250" t="s">
        <v>4254</v>
      </c>
      <c r="BE4250" s="3">
        <v>42373</v>
      </c>
      <c r="BF4250" s="1">
        <v>240000</v>
      </c>
      <c r="BG4250" t="s">
        <v>26886</v>
      </c>
      <c r="BH4250" s="1">
        <v>85.65</v>
      </c>
      <c r="BI4250" s="1">
        <v>240052</v>
      </c>
      <c r="BJ4250" s="3">
        <v>42373</v>
      </c>
      <c r="BK4250" t="s">
        <v>123</v>
      </c>
      <c r="BL4250" t="str">
        <f>"2016.1711"</f>
        <v>2016.1711</v>
      </c>
      <c r="BM4250" t="s">
        <v>594</v>
      </c>
      <c r="BO4250" t="s">
        <v>26887</v>
      </c>
      <c r="BS4250">
        <v>30</v>
      </c>
      <c r="BW4250" t="str">
        <f>""</f>
        <v/>
      </c>
      <c r="CH4250" t="str">
        <f>""</f>
        <v/>
      </c>
      <c r="CS4250" t="str">
        <f>""</f>
        <v/>
      </c>
    </row>
    <row r="4251" spans="1:97" x14ac:dyDescent="0.25">
      <c r="A4251" t="s">
        <v>4169</v>
      </c>
      <c r="B4251" t="s">
        <v>2692</v>
      </c>
      <c r="E4251" t="s">
        <v>26888</v>
      </c>
      <c r="F4251" t="s">
        <v>108</v>
      </c>
      <c r="H4251" t="s">
        <v>26889</v>
      </c>
      <c r="I4251" t="s">
        <v>5114</v>
      </c>
      <c r="J4251" t="s">
        <v>111</v>
      </c>
      <c r="K4251" t="str">
        <f>"85392"</f>
        <v>85392</v>
      </c>
      <c r="L4251" t="s">
        <v>5308</v>
      </c>
      <c r="M4251" t="s">
        <v>26889</v>
      </c>
      <c r="N4251" t="s">
        <v>5114</v>
      </c>
      <c r="O4251" t="s">
        <v>111</v>
      </c>
      <c r="P4251" t="str">
        <f>"85392-3063"</f>
        <v>85392-3063</v>
      </c>
      <c r="Q4251" t="s">
        <v>113</v>
      </c>
      <c r="R4251" t="str">
        <f>"501-82-188"</f>
        <v>501-82-188</v>
      </c>
      <c r="S4251" t="s">
        <v>17608</v>
      </c>
      <c r="T4251" t="s">
        <v>17609</v>
      </c>
      <c r="U4251">
        <v>3150</v>
      </c>
      <c r="V4251">
        <v>0</v>
      </c>
      <c r="W4251">
        <v>4</v>
      </c>
      <c r="X4251">
        <v>2006</v>
      </c>
      <c r="Z4251">
        <v>2</v>
      </c>
      <c r="AB4251">
        <v>0</v>
      </c>
      <c r="AC4251" t="s">
        <v>115</v>
      </c>
      <c r="AD4251">
        <v>3</v>
      </c>
      <c r="AE4251" t="s">
        <v>115</v>
      </c>
      <c r="AF4251">
        <v>0</v>
      </c>
      <c r="AG4251">
        <v>0</v>
      </c>
      <c r="AH4251" t="s">
        <v>116</v>
      </c>
      <c r="AI4251" s="1">
        <v>79184</v>
      </c>
      <c r="AJ4251" s="2">
        <v>0.24</v>
      </c>
      <c r="AK4251" s="1">
        <v>329084</v>
      </c>
      <c r="AL4251" t="s">
        <v>117</v>
      </c>
      <c r="AM4251" t="s">
        <v>191</v>
      </c>
      <c r="AN4251">
        <v>8050</v>
      </c>
      <c r="AO4251">
        <v>0.18</v>
      </c>
      <c r="AR4251">
        <v>1</v>
      </c>
      <c r="AS4251" s="1">
        <v>22650</v>
      </c>
      <c r="AT4251" s="1">
        <v>4530</v>
      </c>
      <c r="AU4251" s="1">
        <v>18120</v>
      </c>
      <c r="AV4251">
        <v>80</v>
      </c>
      <c r="AX4251" s="1">
        <v>1931.02</v>
      </c>
      <c r="AY4251" t="s">
        <v>7636</v>
      </c>
      <c r="AZ4251" t="s">
        <v>6701</v>
      </c>
      <c r="BA4251" t="s">
        <v>6702</v>
      </c>
      <c r="BE4251" s="3">
        <v>42227</v>
      </c>
      <c r="BF4251" s="1">
        <v>249900</v>
      </c>
      <c r="BG4251" t="s">
        <v>26890</v>
      </c>
      <c r="BH4251" s="1">
        <v>79.33</v>
      </c>
      <c r="BI4251" s="1">
        <v>249900</v>
      </c>
      <c r="BJ4251" s="3">
        <v>42227</v>
      </c>
      <c r="BK4251" t="s">
        <v>123</v>
      </c>
      <c r="BL4251" t="str">
        <f>"2015.580748"</f>
        <v>2015.580748</v>
      </c>
      <c r="BM4251" t="s">
        <v>544</v>
      </c>
      <c r="BO4251" t="s">
        <v>26891</v>
      </c>
      <c r="BS4251">
        <v>30</v>
      </c>
      <c r="BW4251" t="str">
        <f>""</f>
        <v/>
      </c>
      <c r="CH4251" t="str">
        <f>""</f>
        <v/>
      </c>
      <c r="CS4251" t="str">
        <f>""</f>
        <v/>
      </c>
    </row>
    <row r="4252" spans="1:97" x14ac:dyDescent="0.25">
      <c r="A4252" t="s">
        <v>23764</v>
      </c>
      <c r="B4252" t="s">
        <v>25632</v>
      </c>
      <c r="C4252" t="s">
        <v>703</v>
      </c>
      <c r="D4252" t="s">
        <v>25632</v>
      </c>
      <c r="E4252" t="s">
        <v>26892</v>
      </c>
      <c r="F4252" t="s">
        <v>108</v>
      </c>
      <c r="H4252" t="s">
        <v>26893</v>
      </c>
      <c r="I4252" t="s">
        <v>110</v>
      </c>
      <c r="J4252" t="s">
        <v>111</v>
      </c>
      <c r="K4252" t="str">
        <f>"85248"</f>
        <v>85248</v>
      </c>
      <c r="L4252" t="s">
        <v>7607</v>
      </c>
      <c r="M4252" t="s">
        <v>26893</v>
      </c>
      <c r="N4252" t="s">
        <v>110</v>
      </c>
      <c r="O4252" t="s">
        <v>111</v>
      </c>
      <c r="P4252" t="str">
        <f>"85248-4171"</f>
        <v>85248-4171</v>
      </c>
      <c r="Q4252" t="s">
        <v>113</v>
      </c>
      <c r="R4252" t="str">
        <f>"303-49-047"</f>
        <v>303-49-047</v>
      </c>
      <c r="S4252" t="s">
        <v>26894</v>
      </c>
      <c r="T4252" t="s">
        <v>8384</v>
      </c>
      <c r="U4252">
        <v>1961</v>
      </c>
      <c r="V4252">
        <v>0</v>
      </c>
      <c r="W4252">
        <v>3</v>
      </c>
      <c r="X4252">
        <v>1997</v>
      </c>
      <c r="Z4252">
        <v>1</v>
      </c>
      <c r="AB4252">
        <v>0</v>
      </c>
      <c r="AC4252" t="s">
        <v>115</v>
      </c>
      <c r="AD4252">
        <v>3</v>
      </c>
      <c r="AE4252" t="s">
        <v>115</v>
      </c>
      <c r="AF4252">
        <v>0</v>
      </c>
      <c r="AG4252">
        <v>0</v>
      </c>
      <c r="AH4252" t="s">
        <v>116</v>
      </c>
      <c r="AI4252" s="1">
        <v>73434</v>
      </c>
      <c r="AJ4252" s="2">
        <v>0.19</v>
      </c>
      <c r="AK4252" s="1">
        <v>388434</v>
      </c>
      <c r="AL4252" t="s">
        <v>117</v>
      </c>
      <c r="AM4252" t="s">
        <v>118</v>
      </c>
      <c r="AN4252">
        <v>6939</v>
      </c>
      <c r="AO4252">
        <v>0.16</v>
      </c>
      <c r="AP4252">
        <v>1</v>
      </c>
      <c r="AR4252">
        <v>1</v>
      </c>
      <c r="AS4252" s="1">
        <v>26910</v>
      </c>
      <c r="AT4252" s="1">
        <v>5380</v>
      </c>
      <c r="AU4252" s="1">
        <v>21530</v>
      </c>
      <c r="AV4252">
        <v>80.010000000000005</v>
      </c>
      <c r="AX4252" s="1">
        <v>2342.46</v>
      </c>
      <c r="AY4252" t="s">
        <v>1881</v>
      </c>
      <c r="AZ4252" t="s">
        <v>1882</v>
      </c>
      <c r="BA4252" t="s">
        <v>121</v>
      </c>
      <c r="BE4252" s="3">
        <v>42433</v>
      </c>
      <c r="BF4252" s="1">
        <v>315000</v>
      </c>
      <c r="BG4252" t="s">
        <v>26895</v>
      </c>
      <c r="BH4252" s="1">
        <v>160.63</v>
      </c>
      <c r="BI4252" s="1">
        <v>315000</v>
      </c>
      <c r="BJ4252" s="3">
        <v>42433</v>
      </c>
      <c r="BK4252" t="s">
        <v>123</v>
      </c>
      <c r="BL4252" t="str">
        <f>"2016.141001"</f>
        <v>2016.141001</v>
      </c>
      <c r="BM4252" t="s">
        <v>2683</v>
      </c>
      <c r="BO4252" t="s">
        <v>26896</v>
      </c>
      <c r="BS4252">
        <v>30</v>
      </c>
      <c r="BW4252" t="str">
        <f>""</f>
        <v/>
      </c>
      <c r="CH4252" t="str">
        <f>""</f>
        <v/>
      </c>
      <c r="CS4252" t="str">
        <f>""</f>
        <v/>
      </c>
    </row>
    <row r="4253" spans="1:97" x14ac:dyDescent="0.25">
      <c r="A4253" t="s">
        <v>177</v>
      </c>
      <c r="B4253" t="s">
        <v>22634</v>
      </c>
      <c r="E4253" t="s">
        <v>26897</v>
      </c>
      <c r="F4253" t="s">
        <v>108</v>
      </c>
      <c r="H4253" t="s">
        <v>26898</v>
      </c>
      <c r="I4253" t="s">
        <v>110</v>
      </c>
      <c r="J4253" t="s">
        <v>111</v>
      </c>
      <c r="K4253" t="str">
        <f>"85226"</f>
        <v>85226</v>
      </c>
      <c r="L4253" t="s">
        <v>3318</v>
      </c>
      <c r="M4253" t="s">
        <v>26898</v>
      </c>
      <c r="N4253" t="s">
        <v>110</v>
      </c>
      <c r="O4253" t="s">
        <v>111</v>
      </c>
      <c r="P4253" t="str">
        <f>"85226-4856"</f>
        <v>85226-4856</v>
      </c>
      <c r="Q4253" t="s">
        <v>113</v>
      </c>
      <c r="R4253" t="str">
        <f>"301-89-421"</f>
        <v>301-89-421</v>
      </c>
      <c r="S4253" t="s">
        <v>5198</v>
      </c>
      <c r="T4253" t="s">
        <v>5199</v>
      </c>
      <c r="U4253">
        <v>1820</v>
      </c>
      <c r="V4253">
        <v>0</v>
      </c>
      <c r="W4253">
        <v>3</v>
      </c>
      <c r="X4253">
        <v>1981</v>
      </c>
      <c r="Z4253">
        <v>1</v>
      </c>
      <c r="AB4253">
        <v>0</v>
      </c>
      <c r="AC4253" t="s">
        <v>115</v>
      </c>
      <c r="AD4253">
        <v>2</v>
      </c>
      <c r="AE4253" t="s">
        <v>115</v>
      </c>
      <c r="AF4253">
        <v>0</v>
      </c>
      <c r="AG4253">
        <v>0</v>
      </c>
      <c r="AH4253" t="s">
        <v>116</v>
      </c>
      <c r="AI4253" s="1">
        <v>91609</v>
      </c>
      <c r="AJ4253" s="2">
        <v>0.28000000000000003</v>
      </c>
      <c r="AK4253" s="1">
        <v>323609</v>
      </c>
      <c r="AL4253" t="s">
        <v>117</v>
      </c>
      <c r="AM4253" t="s">
        <v>5077</v>
      </c>
      <c r="AN4253">
        <v>7336</v>
      </c>
      <c r="AO4253">
        <v>0.17</v>
      </c>
      <c r="AP4253">
        <v>1</v>
      </c>
      <c r="AR4253">
        <v>1</v>
      </c>
      <c r="AS4253" s="1">
        <v>22070</v>
      </c>
      <c r="AT4253" s="1">
        <v>4410</v>
      </c>
      <c r="AU4253" s="1">
        <v>17660</v>
      </c>
      <c r="AV4253">
        <v>80.02</v>
      </c>
      <c r="AX4253" s="1">
        <v>1549.06</v>
      </c>
      <c r="AY4253" t="s">
        <v>5200</v>
      </c>
      <c r="AZ4253" t="s">
        <v>5201</v>
      </c>
      <c r="BA4253" t="s">
        <v>5202</v>
      </c>
      <c r="BE4253" s="3">
        <v>41801</v>
      </c>
      <c r="BF4253" s="1">
        <v>232000</v>
      </c>
      <c r="BG4253" t="s">
        <v>26899</v>
      </c>
      <c r="BH4253" s="1">
        <v>127.47</v>
      </c>
      <c r="BI4253" s="1">
        <v>232000</v>
      </c>
      <c r="BJ4253" s="3">
        <v>41801</v>
      </c>
      <c r="BK4253" t="s">
        <v>123</v>
      </c>
      <c r="BL4253" t="str">
        <f>"2014.379257"</f>
        <v>2014.379257</v>
      </c>
      <c r="BM4253" t="s">
        <v>1201</v>
      </c>
      <c r="BO4253" t="s">
        <v>26900</v>
      </c>
      <c r="BS4253">
        <v>30</v>
      </c>
      <c r="BW4253" t="str">
        <f>""</f>
        <v/>
      </c>
      <c r="CH4253" t="str">
        <f>""</f>
        <v/>
      </c>
      <c r="CS4253" t="str">
        <f>""</f>
        <v/>
      </c>
    </row>
    <row r="4254" spans="1:97" x14ac:dyDescent="0.25">
      <c r="A4254" t="s">
        <v>370</v>
      </c>
      <c r="B4254" t="s">
        <v>26901</v>
      </c>
      <c r="E4254" t="s">
        <v>26902</v>
      </c>
      <c r="F4254" t="s">
        <v>108</v>
      </c>
      <c r="H4254" t="s">
        <v>26903</v>
      </c>
      <c r="I4254" t="s">
        <v>390</v>
      </c>
      <c r="J4254" t="s">
        <v>111</v>
      </c>
      <c r="K4254" t="str">
        <f>"85020"</f>
        <v>85020</v>
      </c>
      <c r="L4254" t="s">
        <v>6964</v>
      </c>
      <c r="M4254" t="s">
        <v>26903</v>
      </c>
      <c r="N4254" t="s">
        <v>390</v>
      </c>
      <c r="O4254" t="s">
        <v>111</v>
      </c>
      <c r="P4254" t="str">
        <f>"85020-6226"</f>
        <v>85020-6226</v>
      </c>
      <c r="Q4254" t="s">
        <v>113</v>
      </c>
      <c r="R4254" t="str">
        <f>"159-32-136"</f>
        <v>159-32-136</v>
      </c>
      <c r="S4254" t="s">
        <v>26904</v>
      </c>
      <c r="T4254" t="s">
        <v>26905</v>
      </c>
      <c r="U4254">
        <v>1243</v>
      </c>
      <c r="V4254">
        <v>0</v>
      </c>
      <c r="W4254">
        <v>3</v>
      </c>
      <c r="X4254">
        <v>1999</v>
      </c>
      <c r="Z4254">
        <v>1</v>
      </c>
      <c r="AB4254">
        <v>0</v>
      </c>
      <c r="AC4254" t="s">
        <v>115</v>
      </c>
      <c r="AD4254">
        <v>2</v>
      </c>
      <c r="AE4254" t="s">
        <v>115</v>
      </c>
      <c r="AF4254">
        <v>0</v>
      </c>
      <c r="AG4254">
        <v>0</v>
      </c>
      <c r="AH4254" t="s">
        <v>116</v>
      </c>
      <c r="AI4254" s="1">
        <v>72950</v>
      </c>
      <c r="AJ4254" s="2">
        <v>0.27</v>
      </c>
      <c r="AK4254" s="1">
        <v>274383</v>
      </c>
      <c r="AL4254" t="s">
        <v>117</v>
      </c>
      <c r="AM4254" t="s">
        <v>191</v>
      </c>
      <c r="AN4254">
        <v>6880</v>
      </c>
      <c r="AO4254">
        <v>0.16</v>
      </c>
      <c r="AP4254">
        <v>1</v>
      </c>
      <c r="AR4254">
        <v>1</v>
      </c>
      <c r="AS4254" s="1">
        <v>19250</v>
      </c>
      <c r="AT4254" s="1">
        <v>3850</v>
      </c>
      <c r="AU4254" s="1">
        <v>15400</v>
      </c>
      <c r="AV4254">
        <v>80</v>
      </c>
      <c r="AX4254" s="1">
        <v>1310.94</v>
      </c>
      <c r="AY4254" t="s">
        <v>23093</v>
      </c>
      <c r="AZ4254" t="s">
        <v>23094</v>
      </c>
      <c r="BA4254" t="s">
        <v>6149</v>
      </c>
      <c r="BE4254" s="3">
        <v>42215</v>
      </c>
      <c r="BF4254" s="1">
        <v>195000</v>
      </c>
      <c r="BG4254" t="s">
        <v>26906</v>
      </c>
      <c r="BH4254" s="1">
        <v>156.88</v>
      </c>
      <c r="BI4254" s="1">
        <v>201433</v>
      </c>
      <c r="BJ4254" s="3">
        <v>42215</v>
      </c>
      <c r="BK4254" t="s">
        <v>123</v>
      </c>
      <c r="BL4254" t="str">
        <f>"2015.551055"</f>
        <v>2015.551055</v>
      </c>
      <c r="BM4254" t="s">
        <v>724</v>
      </c>
      <c r="BO4254" t="s">
        <v>26907</v>
      </c>
      <c r="BS4254">
        <v>30</v>
      </c>
      <c r="BW4254" t="str">
        <f>""</f>
        <v/>
      </c>
      <c r="CH4254" t="str">
        <f>""</f>
        <v/>
      </c>
      <c r="CS4254" t="str">
        <f>""</f>
        <v/>
      </c>
    </row>
    <row r="4255" spans="1:97" x14ac:dyDescent="0.25">
      <c r="A4255" t="s">
        <v>2933</v>
      </c>
      <c r="B4255" t="s">
        <v>1552</v>
      </c>
      <c r="C4255" t="s">
        <v>1335</v>
      </c>
      <c r="D4255" t="s">
        <v>1552</v>
      </c>
      <c r="E4255" t="s">
        <v>26908</v>
      </c>
      <c r="F4255" t="s">
        <v>108</v>
      </c>
      <c r="H4255" t="s">
        <v>26909</v>
      </c>
      <c r="I4255" t="s">
        <v>499</v>
      </c>
      <c r="J4255" t="s">
        <v>111</v>
      </c>
      <c r="K4255" t="str">
        <f>"85395"</f>
        <v>85395</v>
      </c>
      <c r="L4255" t="s">
        <v>500</v>
      </c>
      <c r="M4255" t="s">
        <v>26909</v>
      </c>
      <c r="N4255" t="s">
        <v>499</v>
      </c>
      <c r="O4255" t="s">
        <v>111</v>
      </c>
      <c r="P4255" t="str">
        <f>"85395-7633"</f>
        <v>85395-7633</v>
      </c>
      <c r="Q4255" t="s">
        <v>113</v>
      </c>
      <c r="R4255" t="str">
        <f>"502-30-285"</f>
        <v>502-30-285</v>
      </c>
      <c r="S4255" t="s">
        <v>11404</v>
      </c>
      <c r="T4255" t="s">
        <v>502</v>
      </c>
      <c r="U4255">
        <v>3469</v>
      </c>
      <c r="V4255">
        <v>0</v>
      </c>
      <c r="W4255">
        <v>4</v>
      </c>
      <c r="X4255">
        <v>2013</v>
      </c>
      <c r="Z4255">
        <v>1</v>
      </c>
      <c r="AA4255" t="s">
        <v>26</v>
      </c>
      <c r="AB4255">
        <v>0</v>
      </c>
      <c r="AC4255" t="s">
        <v>115</v>
      </c>
      <c r="AD4255">
        <v>3</v>
      </c>
      <c r="AE4255" t="s">
        <v>115</v>
      </c>
      <c r="AF4255">
        <v>0</v>
      </c>
      <c r="AG4255">
        <v>0</v>
      </c>
      <c r="AH4255" t="s">
        <v>116</v>
      </c>
      <c r="AI4255" s="1">
        <v>87771</v>
      </c>
      <c r="AJ4255" s="2">
        <v>0.19</v>
      </c>
      <c r="AK4255" s="1">
        <v>459651</v>
      </c>
      <c r="AL4255" t="s">
        <v>117</v>
      </c>
      <c r="AM4255" t="s">
        <v>118</v>
      </c>
      <c r="AN4255">
        <v>15558</v>
      </c>
      <c r="AO4255">
        <v>0.36</v>
      </c>
      <c r="AR4255">
        <v>1</v>
      </c>
      <c r="AS4255" s="1">
        <v>34280</v>
      </c>
      <c r="AT4255" s="1">
        <v>6850</v>
      </c>
      <c r="AU4255" s="1">
        <v>27430</v>
      </c>
      <c r="AV4255">
        <v>80.02</v>
      </c>
      <c r="AX4255" s="1">
        <v>3038.86</v>
      </c>
      <c r="AY4255" t="s">
        <v>503</v>
      </c>
      <c r="AZ4255" t="s">
        <v>504</v>
      </c>
      <c r="BA4255" t="s">
        <v>218</v>
      </c>
      <c r="BE4255" s="3">
        <v>41648</v>
      </c>
      <c r="BF4255" s="1">
        <v>360000</v>
      </c>
      <c r="BG4255" t="s">
        <v>209</v>
      </c>
      <c r="BH4255" s="1">
        <v>103.78</v>
      </c>
      <c r="BI4255" s="1">
        <v>371880</v>
      </c>
      <c r="BJ4255" s="3">
        <v>41648</v>
      </c>
      <c r="BK4255" t="s">
        <v>123</v>
      </c>
      <c r="BL4255" t="str">
        <f>"2014.16755"</f>
        <v>2014.16755</v>
      </c>
      <c r="BM4255" t="s">
        <v>175</v>
      </c>
      <c r="BO4255" t="s">
        <v>26910</v>
      </c>
      <c r="BS4255">
        <v>30</v>
      </c>
      <c r="BW4255" t="str">
        <f>""</f>
        <v/>
      </c>
      <c r="CH4255" t="str">
        <f>""</f>
        <v/>
      </c>
      <c r="CS4255" t="str">
        <f>""</f>
        <v/>
      </c>
    </row>
    <row r="4256" spans="1:97" x14ac:dyDescent="0.25">
      <c r="B4256" t="s">
        <v>26911</v>
      </c>
      <c r="E4256" t="s">
        <v>26912</v>
      </c>
      <c r="F4256" t="s">
        <v>108</v>
      </c>
      <c r="H4256" t="s">
        <v>26913</v>
      </c>
      <c r="I4256" t="s">
        <v>225</v>
      </c>
      <c r="J4256" t="s">
        <v>111</v>
      </c>
      <c r="K4256" t="str">
        <f>"85212"</f>
        <v>85212</v>
      </c>
      <c r="L4256" t="s">
        <v>681</v>
      </c>
      <c r="M4256" t="s">
        <v>26913</v>
      </c>
      <c r="N4256" t="s">
        <v>225</v>
      </c>
      <c r="O4256" t="s">
        <v>111</v>
      </c>
      <c r="P4256" t="str">
        <f>"85212-2306"</f>
        <v>85212-2306</v>
      </c>
      <c r="Q4256" t="s">
        <v>113</v>
      </c>
      <c r="R4256" t="str">
        <f>"309-19-393"</f>
        <v>309-19-393</v>
      </c>
      <c r="S4256" t="s">
        <v>26914</v>
      </c>
      <c r="U4256">
        <v>1787</v>
      </c>
      <c r="V4256">
        <v>0</v>
      </c>
      <c r="W4256">
        <v>3</v>
      </c>
      <c r="X4256">
        <v>2000</v>
      </c>
      <c r="Z4256">
        <v>1</v>
      </c>
      <c r="AB4256">
        <v>0</v>
      </c>
      <c r="AC4256" t="s">
        <v>115</v>
      </c>
      <c r="AD4256">
        <v>3</v>
      </c>
      <c r="AE4256" t="s">
        <v>115</v>
      </c>
      <c r="AF4256">
        <v>0</v>
      </c>
      <c r="AG4256">
        <v>0</v>
      </c>
      <c r="AH4256" t="s">
        <v>116</v>
      </c>
      <c r="AI4256" s="1">
        <v>94583</v>
      </c>
      <c r="AJ4256" s="2">
        <v>0.31</v>
      </c>
      <c r="AK4256" s="1">
        <v>307743</v>
      </c>
      <c r="AL4256" t="s">
        <v>117</v>
      </c>
      <c r="AM4256" t="s">
        <v>191</v>
      </c>
      <c r="AN4256">
        <v>7475</v>
      </c>
      <c r="AO4256">
        <v>0.17</v>
      </c>
      <c r="AP4256">
        <v>1</v>
      </c>
      <c r="AR4256">
        <v>1</v>
      </c>
      <c r="AS4256" s="1">
        <v>20760</v>
      </c>
      <c r="AT4256" s="1">
        <v>4150</v>
      </c>
      <c r="AU4256" s="1">
        <v>16610</v>
      </c>
      <c r="AV4256">
        <v>80.010000000000005</v>
      </c>
      <c r="AX4256" s="1">
        <v>1432.48</v>
      </c>
      <c r="AY4256" t="s">
        <v>7302</v>
      </c>
      <c r="AZ4256" t="s">
        <v>777</v>
      </c>
      <c r="BA4256" t="s">
        <v>572</v>
      </c>
      <c r="BB4256" s="3">
        <v>42564</v>
      </c>
      <c r="BD4256" t="s">
        <v>480</v>
      </c>
      <c r="BE4256" s="3">
        <v>41796</v>
      </c>
      <c r="BF4256" s="1">
        <v>212500</v>
      </c>
      <c r="BG4256" t="s">
        <v>26915</v>
      </c>
      <c r="BH4256" s="1">
        <v>118.91</v>
      </c>
      <c r="BI4256" s="1">
        <v>213160</v>
      </c>
      <c r="BJ4256" s="3">
        <v>42431</v>
      </c>
      <c r="BK4256" t="s">
        <v>123</v>
      </c>
      <c r="BL4256" t="str">
        <f>"2016.134187"</f>
        <v>2016.134187</v>
      </c>
      <c r="BM4256" t="s">
        <v>322</v>
      </c>
      <c r="BO4256" t="s">
        <v>26916</v>
      </c>
      <c r="BS4256">
        <v>30</v>
      </c>
      <c r="BW4256" t="str">
        <f>""</f>
        <v/>
      </c>
      <c r="CH4256" t="str">
        <f>""</f>
        <v/>
      </c>
      <c r="CS4256" t="str">
        <f>""</f>
        <v/>
      </c>
    </row>
    <row r="4257" spans="1:97" x14ac:dyDescent="0.25">
      <c r="A4257" t="s">
        <v>26917</v>
      </c>
      <c r="B4257" t="s">
        <v>24621</v>
      </c>
      <c r="C4257" t="s">
        <v>26918</v>
      </c>
      <c r="D4257" t="s">
        <v>24621</v>
      </c>
      <c r="E4257" t="s">
        <v>26919</v>
      </c>
      <c r="F4257" t="s">
        <v>108</v>
      </c>
      <c r="H4257" t="s">
        <v>26920</v>
      </c>
      <c r="I4257" t="s">
        <v>5523</v>
      </c>
      <c r="J4257" t="s">
        <v>111</v>
      </c>
      <c r="K4257" t="str">
        <f>"85373"</f>
        <v>85373</v>
      </c>
      <c r="L4257" t="s">
        <v>2197</v>
      </c>
      <c r="M4257" t="s">
        <v>26920</v>
      </c>
      <c r="N4257" t="s">
        <v>5523</v>
      </c>
      <c r="O4257" t="s">
        <v>111</v>
      </c>
      <c r="P4257" t="str">
        <f>"85373-5019"</f>
        <v>85373-5019</v>
      </c>
      <c r="Q4257" t="s">
        <v>113</v>
      </c>
      <c r="R4257" t="str">
        <f>"503-97-471"</f>
        <v>503-97-471</v>
      </c>
      <c r="S4257" t="s">
        <v>21924</v>
      </c>
      <c r="T4257" t="s">
        <v>21925</v>
      </c>
      <c r="U4257">
        <v>1531</v>
      </c>
      <c r="V4257">
        <v>0</v>
      </c>
      <c r="W4257">
        <v>2</v>
      </c>
      <c r="X4257">
        <v>2005</v>
      </c>
      <c r="Z4257">
        <v>1</v>
      </c>
      <c r="AB4257">
        <v>0</v>
      </c>
      <c r="AC4257" t="s">
        <v>115</v>
      </c>
      <c r="AD4257">
        <v>2</v>
      </c>
      <c r="AE4257" t="s">
        <v>115</v>
      </c>
      <c r="AF4257">
        <v>0</v>
      </c>
      <c r="AG4257">
        <v>0</v>
      </c>
      <c r="AH4257" t="s">
        <v>116</v>
      </c>
      <c r="AI4257" s="1">
        <v>33973</v>
      </c>
      <c r="AJ4257" s="2">
        <v>0.14000000000000001</v>
      </c>
      <c r="AK4257" s="1">
        <v>238170</v>
      </c>
      <c r="AL4257" t="s">
        <v>117</v>
      </c>
      <c r="AM4257" t="s">
        <v>191</v>
      </c>
      <c r="AN4257">
        <v>4995</v>
      </c>
      <c r="AO4257">
        <v>0.12</v>
      </c>
      <c r="AR4257">
        <v>1</v>
      </c>
      <c r="AS4257" s="1">
        <v>15430</v>
      </c>
      <c r="AT4257" s="1">
        <v>3080</v>
      </c>
      <c r="AU4257" s="1">
        <v>12350</v>
      </c>
      <c r="AV4257">
        <v>80.040000000000006</v>
      </c>
      <c r="AX4257" s="1">
        <v>1321.96</v>
      </c>
      <c r="AY4257" t="s">
        <v>3228</v>
      </c>
      <c r="AZ4257" t="s">
        <v>3228</v>
      </c>
      <c r="BA4257" t="s">
        <v>457</v>
      </c>
      <c r="BE4257" s="3">
        <v>42543</v>
      </c>
      <c r="BF4257" s="1">
        <v>199900</v>
      </c>
      <c r="BG4257" t="s">
        <v>26921</v>
      </c>
      <c r="BH4257" s="1">
        <v>130.57</v>
      </c>
      <c r="BI4257" s="1">
        <v>204197</v>
      </c>
      <c r="BJ4257" s="3">
        <v>42543</v>
      </c>
      <c r="BK4257" t="s">
        <v>123</v>
      </c>
      <c r="BL4257" t="str">
        <f>"2016.436569"</f>
        <v>2016.436569</v>
      </c>
      <c r="BM4257" t="s">
        <v>3810</v>
      </c>
      <c r="BO4257" t="s">
        <v>26922</v>
      </c>
      <c r="BS4257">
        <v>30</v>
      </c>
      <c r="BW4257" t="str">
        <f>""</f>
        <v/>
      </c>
      <c r="CH4257" t="str">
        <f>""</f>
        <v/>
      </c>
      <c r="CS4257" t="str">
        <f>""</f>
        <v/>
      </c>
    </row>
    <row r="4258" spans="1:97" x14ac:dyDescent="0.25">
      <c r="A4258" t="s">
        <v>1366</v>
      </c>
      <c r="B4258" t="s">
        <v>312</v>
      </c>
      <c r="C4258" t="s">
        <v>26923</v>
      </c>
      <c r="D4258" t="s">
        <v>26924</v>
      </c>
      <c r="E4258" t="s">
        <v>26925</v>
      </c>
      <c r="F4258" t="s">
        <v>108</v>
      </c>
      <c r="H4258" t="s">
        <v>26926</v>
      </c>
      <c r="I4258" t="s">
        <v>2874</v>
      </c>
      <c r="J4258" t="s">
        <v>111</v>
      </c>
      <c r="K4258" t="str">
        <f>"85305"</f>
        <v>85305</v>
      </c>
      <c r="L4258" t="s">
        <v>10474</v>
      </c>
      <c r="M4258" t="s">
        <v>26926</v>
      </c>
      <c r="N4258" t="s">
        <v>2874</v>
      </c>
      <c r="O4258" t="s">
        <v>111</v>
      </c>
      <c r="P4258" t="str">
        <f>"85305-3933"</f>
        <v>85305-3933</v>
      </c>
      <c r="Q4258" t="s">
        <v>113</v>
      </c>
      <c r="R4258" t="str">
        <f>"142-28-393"</f>
        <v>142-28-393</v>
      </c>
      <c r="S4258" t="s">
        <v>10475</v>
      </c>
      <c r="T4258" t="s">
        <v>10475</v>
      </c>
      <c r="U4258">
        <v>2904</v>
      </c>
      <c r="V4258">
        <v>0</v>
      </c>
      <c r="W4258">
        <v>4</v>
      </c>
      <c r="X4258">
        <v>2005</v>
      </c>
      <c r="Z4258">
        <v>1</v>
      </c>
      <c r="AB4258">
        <v>0</v>
      </c>
      <c r="AC4258" t="s">
        <v>115</v>
      </c>
      <c r="AD4258">
        <v>3</v>
      </c>
      <c r="AE4258" t="s">
        <v>115</v>
      </c>
      <c r="AF4258">
        <v>0</v>
      </c>
      <c r="AG4258">
        <v>0</v>
      </c>
      <c r="AH4258" t="s">
        <v>116</v>
      </c>
      <c r="AI4258" s="1">
        <v>75422</v>
      </c>
      <c r="AJ4258" s="2">
        <v>0.19</v>
      </c>
      <c r="AK4258" s="1">
        <v>396822</v>
      </c>
      <c r="AL4258" t="s">
        <v>117</v>
      </c>
      <c r="AM4258" t="s">
        <v>1302</v>
      </c>
      <c r="AN4258">
        <v>12942</v>
      </c>
      <c r="AO4258">
        <v>0.3</v>
      </c>
      <c r="AR4258">
        <v>1</v>
      </c>
      <c r="AS4258" s="1">
        <v>30980</v>
      </c>
      <c r="AT4258" s="1">
        <v>6190</v>
      </c>
      <c r="AU4258" s="1">
        <v>24790</v>
      </c>
      <c r="AV4258">
        <v>80.02</v>
      </c>
      <c r="AX4258" s="1">
        <v>2292.6</v>
      </c>
      <c r="AY4258" t="s">
        <v>6944</v>
      </c>
      <c r="AZ4258" t="s">
        <v>6944</v>
      </c>
      <c r="BA4258" t="s">
        <v>6945</v>
      </c>
      <c r="BE4258" s="3">
        <v>42429</v>
      </c>
      <c r="BF4258" s="1">
        <v>325000</v>
      </c>
      <c r="BG4258" t="s">
        <v>26927</v>
      </c>
      <c r="BH4258" s="1">
        <v>111.91</v>
      </c>
      <c r="BI4258" s="1">
        <v>321400</v>
      </c>
      <c r="BJ4258" s="3">
        <v>42983</v>
      </c>
      <c r="BK4258" t="s">
        <v>123</v>
      </c>
      <c r="BL4258" t="str">
        <f>"2017.653085"</f>
        <v>2017.653085</v>
      </c>
      <c r="BM4258" t="s">
        <v>3664</v>
      </c>
      <c r="BO4258" t="s">
        <v>26928</v>
      </c>
      <c r="BP4258" t="s">
        <v>26929</v>
      </c>
      <c r="BS4258">
        <v>28</v>
      </c>
      <c r="BW4258" t="str">
        <f>""</f>
        <v/>
      </c>
      <c r="CH4258" t="str">
        <f>""</f>
        <v/>
      </c>
      <c r="CS4258" t="str">
        <f>""</f>
        <v/>
      </c>
    </row>
    <row r="4259" spans="1:97" x14ac:dyDescent="0.25">
      <c r="A4259" t="s">
        <v>13566</v>
      </c>
      <c r="B4259" t="s">
        <v>26930</v>
      </c>
      <c r="C4259" t="s">
        <v>6510</v>
      </c>
      <c r="D4259" t="s">
        <v>26930</v>
      </c>
      <c r="E4259" t="s">
        <v>26931</v>
      </c>
      <c r="F4259" t="s">
        <v>108</v>
      </c>
      <c r="H4259" t="s">
        <v>26932</v>
      </c>
      <c r="I4259" t="s">
        <v>203</v>
      </c>
      <c r="J4259" t="s">
        <v>111</v>
      </c>
      <c r="K4259" t="str">
        <f>"85298"</f>
        <v>85298</v>
      </c>
      <c r="L4259" t="s">
        <v>11709</v>
      </c>
      <c r="M4259" t="s">
        <v>26932</v>
      </c>
      <c r="N4259" t="s">
        <v>203</v>
      </c>
      <c r="O4259" t="s">
        <v>111</v>
      </c>
      <c r="P4259" t="str">
        <f>"85298-8304"</f>
        <v>85298-8304</v>
      </c>
      <c r="Q4259" t="s">
        <v>113</v>
      </c>
      <c r="R4259" t="str">
        <f>"313-01-279"</f>
        <v>313-01-279</v>
      </c>
      <c r="S4259" t="s">
        <v>26933</v>
      </c>
      <c r="T4259" t="s">
        <v>11711</v>
      </c>
      <c r="U4259">
        <v>1411</v>
      </c>
      <c r="V4259">
        <v>0</v>
      </c>
      <c r="W4259">
        <v>3</v>
      </c>
      <c r="X4259">
        <v>2001</v>
      </c>
      <c r="Z4259">
        <v>1</v>
      </c>
      <c r="AB4259">
        <v>0</v>
      </c>
      <c r="AC4259" t="s">
        <v>115</v>
      </c>
      <c r="AD4259">
        <v>2</v>
      </c>
      <c r="AE4259" t="s">
        <v>115</v>
      </c>
      <c r="AF4259">
        <v>0</v>
      </c>
      <c r="AG4259">
        <v>0</v>
      </c>
      <c r="AH4259" t="s">
        <v>116</v>
      </c>
      <c r="AI4259" s="1">
        <v>65238</v>
      </c>
      <c r="AJ4259" s="2">
        <v>0.21</v>
      </c>
      <c r="AK4259" s="1">
        <v>309038</v>
      </c>
      <c r="AL4259" t="s">
        <v>117</v>
      </c>
      <c r="AM4259" t="s">
        <v>191</v>
      </c>
      <c r="AN4259">
        <v>6154</v>
      </c>
      <c r="AO4259">
        <v>0.14000000000000001</v>
      </c>
      <c r="AP4259">
        <v>1</v>
      </c>
      <c r="AR4259">
        <v>1</v>
      </c>
      <c r="AS4259" s="1">
        <v>21410</v>
      </c>
      <c r="AT4259" s="1">
        <v>4280</v>
      </c>
      <c r="AU4259" s="1">
        <v>17130</v>
      </c>
      <c r="AV4259">
        <v>80.010000000000005</v>
      </c>
      <c r="AX4259" s="1">
        <v>1859.62</v>
      </c>
      <c r="AY4259" t="s">
        <v>5792</v>
      </c>
      <c r="AZ4259" t="s">
        <v>5792</v>
      </c>
      <c r="BA4259" t="s">
        <v>290</v>
      </c>
      <c r="BE4259" s="3">
        <v>42459</v>
      </c>
      <c r="BF4259" s="1">
        <v>239500</v>
      </c>
      <c r="BG4259" t="s">
        <v>26934</v>
      </c>
      <c r="BH4259" s="1">
        <v>169.74</v>
      </c>
      <c r="BI4259" s="1">
        <v>243800</v>
      </c>
      <c r="BJ4259" s="3">
        <v>42706</v>
      </c>
      <c r="BK4259" t="s">
        <v>123</v>
      </c>
      <c r="BL4259" t="str">
        <f>"2016.888978"</f>
        <v>2016.888978</v>
      </c>
      <c r="BM4259" t="s">
        <v>248</v>
      </c>
      <c r="BO4259" t="s">
        <v>26935</v>
      </c>
      <c r="BS4259">
        <v>30</v>
      </c>
      <c r="BW4259" t="str">
        <f>""</f>
        <v/>
      </c>
      <c r="CH4259" t="str">
        <f>""</f>
        <v/>
      </c>
      <c r="CS4259" t="str">
        <f>""</f>
        <v/>
      </c>
    </row>
    <row r="4260" spans="1:97" x14ac:dyDescent="0.25">
      <c r="A4260" t="s">
        <v>2852</v>
      </c>
      <c r="B4260" t="s">
        <v>26936</v>
      </c>
      <c r="E4260" t="s">
        <v>26937</v>
      </c>
      <c r="F4260" t="s">
        <v>282</v>
      </c>
      <c r="H4260" t="s">
        <v>26938</v>
      </c>
      <c r="I4260" t="s">
        <v>5636</v>
      </c>
      <c r="J4260" t="s">
        <v>111</v>
      </c>
      <c r="K4260" t="str">
        <f>"85268"</f>
        <v>85268</v>
      </c>
      <c r="L4260" t="s">
        <v>7243</v>
      </c>
      <c r="M4260" t="s">
        <v>26939</v>
      </c>
      <c r="N4260" t="s">
        <v>5636</v>
      </c>
      <c r="O4260" t="s">
        <v>111</v>
      </c>
      <c r="P4260" t="str">
        <f>"85268-1819"</f>
        <v>85268-1819</v>
      </c>
      <c r="Q4260" t="s">
        <v>113</v>
      </c>
      <c r="R4260" t="str">
        <f>"176-22-194"</f>
        <v>176-22-194</v>
      </c>
      <c r="S4260" t="s">
        <v>26940</v>
      </c>
      <c r="U4260">
        <v>3200</v>
      </c>
      <c r="V4260">
        <v>0</v>
      </c>
      <c r="W4260">
        <v>3</v>
      </c>
      <c r="X4260">
        <v>1976</v>
      </c>
      <c r="Z4260">
        <v>2</v>
      </c>
      <c r="AA4260" t="s">
        <v>26</v>
      </c>
      <c r="AB4260">
        <v>0</v>
      </c>
      <c r="AC4260" t="s">
        <v>115</v>
      </c>
      <c r="AD4260">
        <v>2</v>
      </c>
      <c r="AE4260" t="s">
        <v>115</v>
      </c>
      <c r="AF4260">
        <v>0</v>
      </c>
      <c r="AG4260">
        <v>0</v>
      </c>
      <c r="AH4260" t="s">
        <v>116</v>
      </c>
      <c r="AI4260" s="1">
        <v>137874</v>
      </c>
      <c r="AJ4260" s="2">
        <v>0.21</v>
      </c>
      <c r="AK4260" s="1">
        <v>665124</v>
      </c>
      <c r="AL4260" t="s">
        <v>117</v>
      </c>
      <c r="AM4260" t="s">
        <v>1302</v>
      </c>
      <c r="AN4260">
        <v>13382</v>
      </c>
      <c r="AO4260">
        <v>0.31</v>
      </c>
      <c r="AP4260">
        <v>1</v>
      </c>
      <c r="AR4260">
        <v>1</v>
      </c>
      <c r="AS4260" s="1">
        <v>35610</v>
      </c>
      <c r="AT4260" s="1">
        <v>7120</v>
      </c>
      <c r="AU4260" s="1">
        <v>28490</v>
      </c>
      <c r="AV4260">
        <v>80.010000000000005</v>
      </c>
      <c r="AX4260" s="1">
        <v>2601.42</v>
      </c>
      <c r="AY4260" t="s">
        <v>5639</v>
      </c>
      <c r="AZ4260" t="s">
        <v>5640</v>
      </c>
      <c r="BA4260" t="s">
        <v>5641</v>
      </c>
      <c r="BB4260" s="3">
        <v>43578</v>
      </c>
      <c r="BC4260" s="1">
        <v>0</v>
      </c>
      <c r="BD4260" t="s">
        <v>247</v>
      </c>
      <c r="BE4260" s="3">
        <v>42437</v>
      </c>
      <c r="BF4260" s="1">
        <v>564000</v>
      </c>
      <c r="BG4260" t="s">
        <v>26941</v>
      </c>
      <c r="BH4260" s="1">
        <v>176.25</v>
      </c>
      <c r="BI4260" s="1">
        <v>527250</v>
      </c>
      <c r="BJ4260" s="3">
        <v>42437</v>
      </c>
      <c r="BK4260" t="s">
        <v>123</v>
      </c>
      <c r="BL4260" t="str">
        <f>"2016.147952"</f>
        <v>2016.147952</v>
      </c>
      <c r="BM4260" t="s">
        <v>820</v>
      </c>
      <c r="BN4260" t="s">
        <v>2188</v>
      </c>
      <c r="BO4260" t="s">
        <v>26942</v>
      </c>
      <c r="BS4260">
        <v>30</v>
      </c>
      <c r="BW4260" t="str">
        <f>""</f>
        <v/>
      </c>
      <c r="CH4260" t="str">
        <f>""</f>
        <v/>
      </c>
      <c r="CS4260" t="str">
        <f>""</f>
        <v/>
      </c>
    </row>
    <row r="4261" spans="1:97" x14ac:dyDescent="0.25">
      <c r="A4261" t="s">
        <v>211</v>
      </c>
      <c r="B4261" t="s">
        <v>26943</v>
      </c>
      <c r="E4261" t="s">
        <v>26944</v>
      </c>
      <c r="F4261" t="s">
        <v>108</v>
      </c>
      <c r="H4261" t="s">
        <v>26945</v>
      </c>
      <c r="I4261" t="s">
        <v>390</v>
      </c>
      <c r="J4261" t="s">
        <v>111</v>
      </c>
      <c r="K4261" t="str">
        <f>"85024"</f>
        <v>85024</v>
      </c>
      <c r="L4261" t="s">
        <v>6316</v>
      </c>
      <c r="M4261" t="s">
        <v>26945</v>
      </c>
      <c r="N4261" t="s">
        <v>390</v>
      </c>
      <c r="O4261" t="s">
        <v>111</v>
      </c>
      <c r="P4261" t="str">
        <f>"85024-8651"</f>
        <v>85024-8651</v>
      </c>
      <c r="Q4261" t="s">
        <v>113</v>
      </c>
      <c r="R4261" t="str">
        <f>"212-15-353"</f>
        <v>212-15-353</v>
      </c>
      <c r="S4261" t="s">
        <v>26946</v>
      </c>
      <c r="T4261" t="s">
        <v>15594</v>
      </c>
      <c r="U4261">
        <v>2165</v>
      </c>
      <c r="V4261">
        <v>0</v>
      </c>
      <c r="W4261">
        <v>4</v>
      </c>
      <c r="X4261">
        <v>1998</v>
      </c>
      <c r="Z4261">
        <v>2</v>
      </c>
      <c r="AA4261" t="s">
        <v>26</v>
      </c>
      <c r="AB4261">
        <v>0</v>
      </c>
      <c r="AC4261" t="s">
        <v>115</v>
      </c>
      <c r="AD4261">
        <v>2</v>
      </c>
      <c r="AE4261" t="s">
        <v>115</v>
      </c>
      <c r="AF4261">
        <v>0</v>
      </c>
      <c r="AG4261">
        <v>0</v>
      </c>
      <c r="AH4261" t="s">
        <v>116</v>
      </c>
      <c r="AI4261" s="1">
        <v>59288</v>
      </c>
      <c r="AJ4261" s="2">
        <v>0.15</v>
      </c>
      <c r="AK4261" s="1">
        <v>393284</v>
      </c>
      <c r="AL4261" t="s">
        <v>117</v>
      </c>
      <c r="AM4261" t="s">
        <v>191</v>
      </c>
      <c r="AN4261">
        <v>6816</v>
      </c>
      <c r="AO4261">
        <v>0.16</v>
      </c>
      <c r="AP4261">
        <v>1</v>
      </c>
      <c r="AR4261">
        <v>1</v>
      </c>
      <c r="AS4261" s="1">
        <v>29250</v>
      </c>
      <c r="AT4261" s="1">
        <v>5850</v>
      </c>
      <c r="AU4261" s="1">
        <v>23400</v>
      </c>
      <c r="AV4261">
        <v>80</v>
      </c>
      <c r="AX4261" s="1">
        <v>2494.1799999999998</v>
      </c>
      <c r="AY4261" t="s">
        <v>570</v>
      </c>
      <c r="AZ4261" t="s">
        <v>761</v>
      </c>
      <c r="BA4261" t="s">
        <v>762</v>
      </c>
      <c r="BE4261" s="3">
        <v>42510</v>
      </c>
      <c r="BF4261" s="1">
        <v>324000</v>
      </c>
      <c r="BG4261" t="s">
        <v>26947</v>
      </c>
      <c r="BH4261" s="1">
        <v>149.65</v>
      </c>
      <c r="BI4261" s="1">
        <v>333996</v>
      </c>
      <c r="BJ4261" s="3">
        <v>42662</v>
      </c>
      <c r="BK4261" t="s">
        <v>123</v>
      </c>
      <c r="BL4261" t="str">
        <f>"2016.765289"</f>
        <v>2016.765289</v>
      </c>
      <c r="BM4261" t="s">
        <v>402</v>
      </c>
      <c r="BO4261" t="s">
        <v>26948</v>
      </c>
      <c r="BS4261">
        <v>30</v>
      </c>
      <c r="BW4261" t="str">
        <f>""</f>
        <v/>
      </c>
      <c r="CH4261" t="str">
        <f>""</f>
        <v/>
      </c>
      <c r="CS4261" t="str">
        <f>""</f>
        <v/>
      </c>
    </row>
    <row r="4262" spans="1:97" x14ac:dyDescent="0.25">
      <c r="A4262" t="s">
        <v>894</v>
      </c>
      <c r="B4262" t="s">
        <v>26949</v>
      </c>
      <c r="C4262" t="s">
        <v>3831</v>
      </c>
      <c r="D4262" t="s">
        <v>26949</v>
      </c>
      <c r="E4262" t="s">
        <v>26950</v>
      </c>
      <c r="F4262" t="s">
        <v>108</v>
      </c>
      <c r="H4262" t="s">
        <v>26951</v>
      </c>
      <c r="I4262" t="s">
        <v>188</v>
      </c>
      <c r="J4262" t="s">
        <v>111</v>
      </c>
      <c r="K4262" t="str">
        <f>"85142"</f>
        <v>85142</v>
      </c>
      <c r="L4262" t="s">
        <v>5456</v>
      </c>
      <c r="M4262" t="s">
        <v>26951</v>
      </c>
      <c r="N4262" t="s">
        <v>188</v>
      </c>
      <c r="O4262" t="s">
        <v>111</v>
      </c>
      <c r="P4262" t="str">
        <f>"85142-7140"</f>
        <v>85142-7140</v>
      </c>
      <c r="Q4262" t="s">
        <v>113</v>
      </c>
      <c r="R4262" t="str">
        <f>"304-67-189"</f>
        <v>304-67-189</v>
      </c>
      <c r="S4262" t="s">
        <v>26952</v>
      </c>
      <c r="T4262" t="s">
        <v>7391</v>
      </c>
      <c r="U4262">
        <v>2510</v>
      </c>
      <c r="V4262">
        <v>0</v>
      </c>
      <c r="W4262">
        <v>3</v>
      </c>
      <c r="X4262">
        <v>2005</v>
      </c>
      <c r="Z4262">
        <v>1</v>
      </c>
      <c r="AB4262">
        <v>0</v>
      </c>
      <c r="AC4262" t="s">
        <v>115</v>
      </c>
      <c r="AD4262">
        <v>3</v>
      </c>
      <c r="AE4262" t="s">
        <v>115</v>
      </c>
      <c r="AF4262">
        <v>0</v>
      </c>
      <c r="AG4262">
        <v>0</v>
      </c>
      <c r="AH4262" t="s">
        <v>116</v>
      </c>
      <c r="AI4262" s="1">
        <v>135867</v>
      </c>
      <c r="AJ4262" s="2">
        <v>0.31</v>
      </c>
      <c r="AK4262" s="1">
        <v>433116</v>
      </c>
      <c r="AL4262" t="s">
        <v>117</v>
      </c>
      <c r="AM4262" t="s">
        <v>171</v>
      </c>
      <c r="AN4262">
        <v>10376</v>
      </c>
      <c r="AO4262">
        <v>0.24</v>
      </c>
      <c r="AR4262">
        <v>1</v>
      </c>
      <c r="AS4262" s="1">
        <v>29870</v>
      </c>
      <c r="AT4262" s="1">
        <v>5970</v>
      </c>
      <c r="AU4262" s="1">
        <v>23900</v>
      </c>
      <c r="AV4262">
        <v>80.010000000000005</v>
      </c>
      <c r="AX4262" s="1">
        <v>3003.54</v>
      </c>
      <c r="AY4262" t="s">
        <v>192</v>
      </c>
      <c r="AZ4262" t="s">
        <v>193</v>
      </c>
      <c r="BA4262" t="s">
        <v>194</v>
      </c>
      <c r="BE4262" s="3">
        <v>42185</v>
      </c>
      <c r="BF4262" s="1">
        <v>360000</v>
      </c>
      <c r="BG4262" t="s">
        <v>26953</v>
      </c>
      <c r="BH4262" s="1">
        <v>143.43</v>
      </c>
      <c r="BI4262" s="1">
        <v>297249</v>
      </c>
      <c r="BJ4262" s="3">
        <v>42514</v>
      </c>
      <c r="BK4262" t="s">
        <v>123</v>
      </c>
      <c r="BL4262" t="str">
        <f>"2016.354118"</f>
        <v>2016.354118</v>
      </c>
      <c r="BM4262" t="s">
        <v>402</v>
      </c>
      <c r="BO4262" t="s">
        <v>26954</v>
      </c>
      <c r="BS4262">
        <v>30</v>
      </c>
      <c r="BW4262" t="str">
        <f>""</f>
        <v/>
      </c>
      <c r="CH4262" t="str">
        <f>""</f>
        <v/>
      </c>
      <c r="CS4262" t="str">
        <f>""</f>
        <v/>
      </c>
    </row>
    <row r="4263" spans="1:97" x14ac:dyDescent="0.25">
      <c r="B4263" t="s">
        <v>26955</v>
      </c>
      <c r="D4263" t="s">
        <v>26956</v>
      </c>
      <c r="E4263" t="s">
        <v>26955</v>
      </c>
      <c r="F4263" t="s">
        <v>282</v>
      </c>
      <c r="H4263" t="s">
        <v>26957</v>
      </c>
      <c r="I4263" t="s">
        <v>390</v>
      </c>
      <c r="J4263" t="s">
        <v>111</v>
      </c>
      <c r="K4263" t="str">
        <f>"85013"</f>
        <v>85013</v>
      </c>
      <c r="L4263" t="s">
        <v>5074</v>
      </c>
      <c r="M4263" t="s">
        <v>26958</v>
      </c>
      <c r="N4263" t="s">
        <v>1936</v>
      </c>
      <c r="O4263" t="s">
        <v>111</v>
      </c>
      <c r="P4263" t="str">
        <f>"85251-3331"</f>
        <v>85251-3331</v>
      </c>
      <c r="Q4263" t="s">
        <v>113</v>
      </c>
      <c r="R4263" t="str">
        <f>"110-28-010"</f>
        <v>110-28-010</v>
      </c>
      <c r="S4263" t="s">
        <v>26959</v>
      </c>
      <c r="T4263" t="s">
        <v>26959</v>
      </c>
      <c r="U4263">
        <v>2510</v>
      </c>
      <c r="V4263">
        <v>0</v>
      </c>
      <c r="W4263">
        <v>4</v>
      </c>
      <c r="X4263">
        <v>2016</v>
      </c>
      <c r="Z4263">
        <v>1</v>
      </c>
      <c r="AB4263">
        <v>0</v>
      </c>
      <c r="AC4263" t="s">
        <v>115</v>
      </c>
      <c r="AD4263">
        <v>2</v>
      </c>
      <c r="AE4263" t="s">
        <v>115</v>
      </c>
      <c r="AF4263">
        <v>0</v>
      </c>
      <c r="AG4263">
        <v>0</v>
      </c>
      <c r="AH4263" t="s">
        <v>116</v>
      </c>
      <c r="AI4263" s="1">
        <v>53876</v>
      </c>
      <c r="AJ4263" s="2">
        <v>0.12</v>
      </c>
      <c r="AK4263" s="1">
        <v>463682</v>
      </c>
      <c r="AL4263" t="s">
        <v>117</v>
      </c>
      <c r="AM4263" t="s">
        <v>191</v>
      </c>
      <c r="AN4263">
        <v>7930</v>
      </c>
      <c r="AO4263">
        <v>0.18</v>
      </c>
      <c r="AR4263">
        <v>1</v>
      </c>
      <c r="AS4263" s="1">
        <v>30720</v>
      </c>
      <c r="AT4263" s="1">
        <v>6140</v>
      </c>
      <c r="AU4263" s="1">
        <v>24580</v>
      </c>
      <c r="AV4263">
        <v>80.010000000000005</v>
      </c>
      <c r="AX4263" s="1">
        <v>3283.24</v>
      </c>
      <c r="AY4263" t="s">
        <v>5468</v>
      </c>
      <c r="AZ4263" t="s">
        <v>5468</v>
      </c>
      <c r="BA4263" t="s">
        <v>5469</v>
      </c>
      <c r="BB4263" s="3">
        <v>42788</v>
      </c>
      <c r="BD4263" t="s">
        <v>842</v>
      </c>
      <c r="BE4263" s="3">
        <v>42454</v>
      </c>
      <c r="BF4263" s="1">
        <v>425000</v>
      </c>
      <c r="BG4263" t="s">
        <v>26955</v>
      </c>
      <c r="BH4263" s="1">
        <v>169.32</v>
      </c>
      <c r="BI4263" s="1">
        <v>409806</v>
      </c>
      <c r="BJ4263" s="3">
        <v>42454</v>
      </c>
      <c r="BK4263" t="s">
        <v>123</v>
      </c>
      <c r="BL4263" t="str">
        <f>"2016.196191"</f>
        <v>2016.196191</v>
      </c>
      <c r="BM4263" t="s">
        <v>5747</v>
      </c>
      <c r="BO4263" t="s">
        <v>26960</v>
      </c>
      <c r="BS4263">
        <v>30</v>
      </c>
      <c r="BW4263" t="str">
        <f>""</f>
        <v/>
      </c>
      <c r="CH4263" t="str">
        <f>""</f>
        <v/>
      </c>
      <c r="CS4263" t="str">
        <f>""</f>
        <v/>
      </c>
    </row>
    <row r="4264" spans="1:97" x14ac:dyDescent="0.25">
      <c r="B4264" t="s">
        <v>26961</v>
      </c>
      <c r="E4264" t="s">
        <v>26961</v>
      </c>
      <c r="F4264" t="s">
        <v>108</v>
      </c>
      <c r="H4264" t="s">
        <v>26962</v>
      </c>
      <c r="I4264" t="s">
        <v>1936</v>
      </c>
      <c r="J4264" t="s">
        <v>111</v>
      </c>
      <c r="K4264" t="str">
        <f>"85255"</f>
        <v>85255</v>
      </c>
      <c r="L4264" t="s">
        <v>5325</v>
      </c>
      <c r="M4264" t="s">
        <v>26962</v>
      </c>
      <c r="N4264" t="s">
        <v>1936</v>
      </c>
      <c r="O4264" t="s">
        <v>111</v>
      </c>
      <c r="P4264" t="str">
        <f>"85255-9270"</f>
        <v>85255-9270</v>
      </c>
      <c r="Q4264" t="s">
        <v>113</v>
      </c>
      <c r="R4264" t="str">
        <f>"217-12-205"</f>
        <v>217-12-205</v>
      </c>
      <c r="S4264" t="s">
        <v>26963</v>
      </c>
      <c r="T4264" t="s">
        <v>26963</v>
      </c>
      <c r="U4264">
        <v>2242</v>
      </c>
      <c r="V4264">
        <v>0</v>
      </c>
      <c r="W4264">
        <v>3</v>
      </c>
      <c r="X4264">
        <v>1990</v>
      </c>
      <c r="Z4264">
        <v>1</v>
      </c>
      <c r="AA4264" t="s">
        <v>26</v>
      </c>
      <c r="AB4264">
        <v>0</v>
      </c>
      <c r="AC4264" t="s">
        <v>115</v>
      </c>
      <c r="AD4264">
        <v>3</v>
      </c>
      <c r="AE4264" t="s">
        <v>115</v>
      </c>
      <c r="AF4264">
        <v>0</v>
      </c>
      <c r="AG4264">
        <v>0</v>
      </c>
      <c r="AH4264" t="s">
        <v>116</v>
      </c>
      <c r="AI4264" s="1">
        <v>63334</v>
      </c>
      <c r="AJ4264" s="2">
        <v>0.11</v>
      </c>
      <c r="AK4264" s="1">
        <v>558550</v>
      </c>
      <c r="AL4264" t="s">
        <v>117</v>
      </c>
      <c r="AM4264" t="s">
        <v>1302</v>
      </c>
      <c r="AN4264">
        <v>10065</v>
      </c>
      <c r="AO4264">
        <v>0.23</v>
      </c>
      <c r="AP4264">
        <v>1</v>
      </c>
      <c r="AR4264">
        <v>1</v>
      </c>
      <c r="AS4264" s="1">
        <v>40780</v>
      </c>
      <c r="AT4264" s="1">
        <v>8150</v>
      </c>
      <c r="AU4264" s="1">
        <v>32630</v>
      </c>
      <c r="AV4264">
        <v>80.010000000000005</v>
      </c>
      <c r="AX4264" s="1">
        <v>2940.92</v>
      </c>
      <c r="AY4264" t="s">
        <v>7867</v>
      </c>
      <c r="AZ4264" t="s">
        <v>7867</v>
      </c>
      <c r="BA4264" t="s">
        <v>7868</v>
      </c>
      <c r="BE4264" s="3">
        <v>41869</v>
      </c>
      <c r="BF4264" s="1">
        <v>446000</v>
      </c>
      <c r="BG4264" t="s">
        <v>26964</v>
      </c>
      <c r="BH4264" s="1">
        <v>198.93</v>
      </c>
      <c r="BI4264" s="1">
        <v>447516</v>
      </c>
      <c r="BJ4264" s="3">
        <v>42529</v>
      </c>
      <c r="BK4264" t="s">
        <v>123</v>
      </c>
      <c r="BL4264" t="str">
        <f>"2016.397343"</f>
        <v>2016.397343</v>
      </c>
      <c r="BM4264" t="s">
        <v>4014</v>
      </c>
      <c r="BN4264" t="s">
        <v>2081</v>
      </c>
      <c r="BO4264" t="s">
        <v>26961</v>
      </c>
      <c r="BS4264">
        <v>30</v>
      </c>
      <c r="BT4264" s="1">
        <v>47700</v>
      </c>
      <c r="BU4264" s="3">
        <v>43221</v>
      </c>
      <c r="BW4264" t="str">
        <f>"2018.331811"</f>
        <v>2018.331811</v>
      </c>
      <c r="BX4264" t="s">
        <v>654</v>
      </c>
      <c r="BY4264" t="s">
        <v>655</v>
      </c>
      <c r="BZ4264" t="s">
        <v>26965</v>
      </c>
      <c r="CA4264" t="s">
        <v>26966</v>
      </c>
      <c r="CC4264" t="s">
        <v>346</v>
      </c>
      <c r="CH4264" t="str">
        <f>""</f>
        <v/>
      </c>
      <c r="CS4264" t="str">
        <f>""</f>
        <v/>
      </c>
    </row>
    <row r="4265" spans="1:97" x14ac:dyDescent="0.25">
      <c r="A4265" t="s">
        <v>7594</v>
      </c>
      <c r="B4265" t="s">
        <v>7387</v>
      </c>
      <c r="C4265" t="s">
        <v>1930</v>
      </c>
      <c r="D4265" t="s">
        <v>7387</v>
      </c>
      <c r="E4265" t="s">
        <v>26967</v>
      </c>
      <c r="F4265" t="s">
        <v>108</v>
      </c>
      <c r="H4265" t="s">
        <v>26968</v>
      </c>
      <c r="I4265" t="s">
        <v>225</v>
      </c>
      <c r="J4265" t="s">
        <v>111</v>
      </c>
      <c r="K4265" t="str">
        <f>"85205"</f>
        <v>85205</v>
      </c>
      <c r="L4265" t="s">
        <v>5228</v>
      </c>
      <c r="M4265" t="s">
        <v>26968</v>
      </c>
      <c r="N4265" t="s">
        <v>225</v>
      </c>
      <c r="O4265" t="s">
        <v>111</v>
      </c>
      <c r="P4265" t="str">
        <f>"85205-5420"</f>
        <v>85205-5420</v>
      </c>
      <c r="Q4265" t="s">
        <v>113</v>
      </c>
      <c r="R4265" t="str">
        <f>"141-78-229"</f>
        <v>141-78-229</v>
      </c>
      <c r="S4265" t="s">
        <v>26969</v>
      </c>
      <c r="T4265" t="s">
        <v>26970</v>
      </c>
      <c r="U4265">
        <v>2844</v>
      </c>
      <c r="V4265">
        <v>0</v>
      </c>
      <c r="W4265">
        <v>4</v>
      </c>
      <c r="X4265">
        <v>1985</v>
      </c>
      <c r="Z4265">
        <v>2</v>
      </c>
      <c r="AA4265" t="s">
        <v>26</v>
      </c>
      <c r="AB4265">
        <v>0</v>
      </c>
      <c r="AC4265" t="s">
        <v>115</v>
      </c>
      <c r="AD4265">
        <v>3</v>
      </c>
      <c r="AE4265" t="s">
        <v>115</v>
      </c>
      <c r="AF4265">
        <v>0</v>
      </c>
      <c r="AG4265">
        <v>0</v>
      </c>
      <c r="AH4265" t="s">
        <v>116</v>
      </c>
      <c r="AI4265" s="1">
        <v>117724</v>
      </c>
      <c r="AJ4265" s="2">
        <v>0.33</v>
      </c>
      <c r="AK4265" s="1">
        <v>361862</v>
      </c>
      <c r="AL4265" t="s">
        <v>117</v>
      </c>
      <c r="AM4265" t="s">
        <v>393</v>
      </c>
      <c r="AN4265">
        <v>10385</v>
      </c>
      <c r="AO4265">
        <v>0.24</v>
      </c>
      <c r="AP4265">
        <v>1</v>
      </c>
      <c r="AR4265">
        <v>1</v>
      </c>
      <c r="AS4265" s="1">
        <v>25680</v>
      </c>
      <c r="AT4265" s="1">
        <v>5130</v>
      </c>
      <c r="AU4265" s="1">
        <v>20550</v>
      </c>
      <c r="AV4265">
        <v>80.02</v>
      </c>
      <c r="AX4265" s="1">
        <v>1881.58</v>
      </c>
      <c r="AY4265" t="s">
        <v>5274</v>
      </c>
      <c r="AZ4265" t="s">
        <v>5275</v>
      </c>
      <c r="BA4265" t="s">
        <v>3119</v>
      </c>
      <c r="BE4265" s="3">
        <v>41878</v>
      </c>
      <c r="BF4265" s="1">
        <v>239000</v>
      </c>
      <c r="BG4265" t="s">
        <v>26971</v>
      </c>
      <c r="BH4265" s="1">
        <v>84.04</v>
      </c>
      <c r="BI4265" s="1">
        <v>244138</v>
      </c>
      <c r="BJ4265" s="3">
        <v>41878</v>
      </c>
      <c r="BK4265" t="s">
        <v>123</v>
      </c>
      <c r="BL4265" t="str">
        <f>"2014.568220"</f>
        <v>2014.568220</v>
      </c>
      <c r="BM4265" t="s">
        <v>6784</v>
      </c>
      <c r="BO4265" t="s">
        <v>26972</v>
      </c>
      <c r="BS4265">
        <v>30</v>
      </c>
      <c r="BW4265" t="str">
        <f>""</f>
        <v/>
      </c>
      <c r="CH4265" t="str">
        <f>""</f>
        <v/>
      </c>
      <c r="CS4265" t="str">
        <f>""</f>
        <v/>
      </c>
    </row>
    <row r="4266" spans="1:97" x14ac:dyDescent="0.25">
      <c r="A4266" t="s">
        <v>203</v>
      </c>
      <c r="B4266" t="s">
        <v>26973</v>
      </c>
      <c r="C4266" t="s">
        <v>220</v>
      </c>
      <c r="D4266" t="s">
        <v>26973</v>
      </c>
      <c r="E4266" t="s">
        <v>26974</v>
      </c>
      <c r="F4266" t="s">
        <v>108</v>
      </c>
      <c r="H4266" t="s">
        <v>26975</v>
      </c>
      <c r="I4266" t="s">
        <v>632</v>
      </c>
      <c r="J4266" t="s">
        <v>111</v>
      </c>
      <c r="K4266" t="str">
        <f>"85379"</f>
        <v>85379</v>
      </c>
      <c r="L4266" t="s">
        <v>1244</v>
      </c>
      <c r="M4266" t="s">
        <v>26975</v>
      </c>
      <c r="N4266" t="s">
        <v>632</v>
      </c>
      <c r="O4266" t="s">
        <v>111</v>
      </c>
      <c r="P4266" t="str">
        <f>"85379-8022"</f>
        <v>85379-8022</v>
      </c>
      <c r="Q4266" t="s">
        <v>113</v>
      </c>
      <c r="R4266" t="str">
        <f>"509-02-742"</f>
        <v>509-02-742</v>
      </c>
      <c r="S4266" t="s">
        <v>10379</v>
      </c>
      <c r="T4266" t="s">
        <v>10380</v>
      </c>
      <c r="U4266">
        <v>2474</v>
      </c>
      <c r="V4266">
        <v>0</v>
      </c>
      <c r="W4266">
        <v>3</v>
      </c>
      <c r="X4266">
        <v>2004</v>
      </c>
      <c r="Z4266">
        <v>1</v>
      </c>
      <c r="AA4266" t="s">
        <v>26</v>
      </c>
      <c r="AB4266">
        <v>0</v>
      </c>
      <c r="AC4266" t="s">
        <v>115</v>
      </c>
      <c r="AD4266">
        <v>2</v>
      </c>
      <c r="AE4266" t="s">
        <v>115</v>
      </c>
      <c r="AF4266">
        <v>0</v>
      </c>
      <c r="AG4266">
        <v>0</v>
      </c>
      <c r="AH4266" t="s">
        <v>116</v>
      </c>
      <c r="AI4266" s="1">
        <v>55912</v>
      </c>
      <c r="AJ4266" s="2">
        <v>0.18</v>
      </c>
      <c r="AK4266" s="1">
        <v>317111</v>
      </c>
      <c r="AL4266" t="s">
        <v>117</v>
      </c>
      <c r="AM4266" t="s">
        <v>118</v>
      </c>
      <c r="AN4266">
        <v>8789</v>
      </c>
      <c r="AO4266">
        <v>0.2</v>
      </c>
      <c r="AP4266">
        <v>1</v>
      </c>
      <c r="AR4266">
        <v>1</v>
      </c>
      <c r="AS4266" s="1">
        <v>22660</v>
      </c>
      <c r="AT4266" s="1">
        <v>4530</v>
      </c>
      <c r="AU4266" s="1">
        <v>18130</v>
      </c>
      <c r="AV4266">
        <v>80.010000000000005</v>
      </c>
      <c r="AX4266" s="1">
        <v>1710.44</v>
      </c>
      <c r="AY4266" t="s">
        <v>6615</v>
      </c>
      <c r="AZ4266" t="s">
        <v>6615</v>
      </c>
      <c r="BA4266" t="s">
        <v>321</v>
      </c>
      <c r="BB4266" s="3">
        <v>42048</v>
      </c>
      <c r="BD4266" t="s">
        <v>240</v>
      </c>
      <c r="BE4266" s="3">
        <v>41844</v>
      </c>
      <c r="BF4266" s="1">
        <v>254000</v>
      </c>
      <c r="BG4266" t="s">
        <v>26976</v>
      </c>
      <c r="BH4266" s="1">
        <v>102.67</v>
      </c>
      <c r="BI4266" s="1">
        <v>261199</v>
      </c>
      <c r="BJ4266" s="3">
        <v>42048</v>
      </c>
      <c r="BK4266" t="s">
        <v>123</v>
      </c>
      <c r="BL4266" t="str">
        <f>"2015.93817"</f>
        <v>2015.93817</v>
      </c>
      <c r="BM4266" t="s">
        <v>1287</v>
      </c>
      <c r="BO4266" t="s">
        <v>26977</v>
      </c>
      <c r="BS4266">
        <v>30</v>
      </c>
      <c r="BW4266" t="str">
        <f>""</f>
        <v/>
      </c>
      <c r="CH4266" t="str">
        <f>""</f>
        <v/>
      </c>
      <c r="CS4266" t="str">
        <f>""</f>
        <v/>
      </c>
    </row>
    <row r="4267" spans="1:97" x14ac:dyDescent="0.25">
      <c r="A4267" t="s">
        <v>1393</v>
      </c>
      <c r="B4267" t="s">
        <v>26978</v>
      </c>
      <c r="C4267" t="s">
        <v>794</v>
      </c>
      <c r="D4267" t="s">
        <v>26978</v>
      </c>
      <c r="E4267" t="s">
        <v>26979</v>
      </c>
      <c r="F4267" t="s">
        <v>108</v>
      </c>
      <c r="H4267" t="s">
        <v>26980</v>
      </c>
      <c r="I4267" t="s">
        <v>453</v>
      </c>
      <c r="J4267" t="s">
        <v>111</v>
      </c>
      <c r="K4267" t="str">
        <f>"85383"</f>
        <v>85383</v>
      </c>
      <c r="L4267" t="s">
        <v>1383</v>
      </c>
      <c r="M4267" t="s">
        <v>26980</v>
      </c>
      <c r="N4267" t="s">
        <v>453</v>
      </c>
      <c r="O4267" t="s">
        <v>111</v>
      </c>
      <c r="P4267" t="str">
        <f>"85383-6280"</f>
        <v>85383-6280</v>
      </c>
      <c r="Q4267" t="s">
        <v>113</v>
      </c>
      <c r="R4267" t="str">
        <f>"201-20-530"</f>
        <v>201-20-530</v>
      </c>
      <c r="S4267" t="s">
        <v>8847</v>
      </c>
      <c r="T4267" t="s">
        <v>8847</v>
      </c>
      <c r="U4267">
        <v>2600</v>
      </c>
      <c r="V4267">
        <v>0</v>
      </c>
      <c r="W4267">
        <v>4</v>
      </c>
      <c r="X4267">
        <v>2014</v>
      </c>
      <c r="Z4267">
        <v>1</v>
      </c>
      <c r="AB4267">
        <v>0</v>
      </c>
      <c r="AC4267" t="s">
        <v>115</v>
      </c>
      <c r="AD4267">
        <v>3</v>
      </c>
      <c r="AE4267" t="s">
        <v>115</v>
      </c>
      <c r="AF4267">
        <v>0</v>
      </c>
      <c r="AG4267">
        <v>0</v>
      </c>
      <c r="AH4267" t="s">
        <v>116</v>
      </c>
      <c r="AI4267" s="1">
        <v>54072</v>
      </c>
      <c r="AJ4267" s="2">
        <v>0.13</v>
      </c>
      <c r="AK4267" s="1">
        <v>431117</v>
      </c>
      <c r="AL4267" t="s">
        <v>117</v>
      </c>
      <c r="AM4267" t="s">
        <v>118</v>
      </c>
      <c r="AN4267">
        <v>8821</v>
      </c>
      <c r="AO4267">
        <v>0.2</v>
      </c>
      <c r="AR4267">
        <v>1</v>
      </c>
      <c r="AS4267" s="1">
        <v>33070</v>
      </c>
      <c r="AT4267" s="1">
        <v>6610</v>
      </c>
      <c r="AU4267" s="1">
        <v>26460</v>
      </c>
      <c r="AV4267">
        <v>80.010000000000005</v>
      </c>
      <c r="AX4267" s="1">
        <v>2621.2199999999998</v>
      </c>
      <c r="AY4267" t="s">
        <v>1385</v>
      </c>
      <c r="AZ4267" t="s">
        <v>1385</v>
      </c>
      <c r="BA4267" t="s">
        <v>1386</v>
      </c>
      <c r="BE4267" s="3">
        <v>42080</v>
      </c>
      <c r="BF4267" s="1">
        <v>373263</v>
      </c>
      <c r="BG4267" t="s">
        <v>2199</v>
      </c>
      <c r="BH4267" s="1">
        <v>143.56</v>
      </c>
      <c r="BI4267" s="1">
        <v>377045</v>
      </c>
      <c r="BJ4267" s="3">
        <v>42080</v>
      </c>
      <c r="BK4267" t="s">
        <v>123</v>
      </c>
      <c r="BL4267" t="str">
        <f>"2015.177733"</f>
        <v>2015.177733</v>
      </c>
      <c r="BM4267" t="s">
        <v>2245</v>
      </c>
      <c r="BO4267" t="s">
        <v>26981</v>
      </c>
      <c r="BS4267">
        <v>30</v>
      </c>
      <c r="BW4267" t="str">
        <f>""</f>
        <v/>
      </c>
      <c r="CH4267" t="str">
        <f>""</f>
        <v/>
      </c>
      <c r="CS4267" t="str">
        <f>""</f>
        <v/>
      </c>
    </row>
    <row r="4268" spans="1:97" x14ac:dyDescent="0.25">
      <c r="A4268" t="s">
        <v>610</v>
      </c>
      <c r="B4268" t="s">
        <v>26982</v>
      </c>
      <c r="C4268" t="s">
        <v>524</v>
      </c>
      <c r="D4268" t="s">
        <v>26982</v>
      </c>
      <c r="E4268" t="s">
        <v>26983</v>
      </c>
      <c r="F4268" t="s">
        <v>108</v>
      </c>
      <c r="H4268" t="s">
        <v>26984</v>
      </c>
      <c r="I4268" t="s">
        <v>1936</v>
      </c>
      <c r="J4268" t="s">
        <v>111</v>
      </c>
      <c r="K4268" t="str">
        <f>"85258"</f>
        <v>85258</v>
      </c>
      <c r="L4268" t="s">
        <v>9069</v>
      </c>
      <c r="M4268" t="s">
        <v>26984</v>
      </c>
      <c r="N4268" t="s">
        <v>1936</v>
      </c>
      <c r="O4268" t="s">
        <v>111</v>
      </c>
      <c r="P4268" t="str">
        <f>"85258-1107"</f>
        <v>85258-1107</v>
      </c>
      <c r="Q4268" t="s">
        <v>113</v>
      </c>
      <c r="R4268" t="str">
        <f>"175-48-022"</f>
        <v>175-48-022</v>
      </c>
      <c r="S4268" t="s">
        <v>26985</v>
      </c>
      <c r="T4268" t="s">
        <v>26986</v>
      </c>
      <c r="U4268">
        <v>2030</v>
      </c>
      <c r="V4268">
        <v>0</v>
      </c>
      <c r="W4268">
        <v>3</v>
      </c>
      <c r="X4268">
        <v>1979</v>
      </c>
      <c r="Z4268">
        <v>1</v>
      </c>
      <c r="AA4268" t="s">
        <v>26</v>
      </c>
      <c r="AB4268">
        <v>0</v>
      </c>
      <c r="AC4268" t="s">
        <v>115</v>
      </c>
      <c r="AD4268">
        <v>2</v>
      </c>
      <c r="AE4268" t="s">
        <v>115</v>
      </c>
      <c r="AF4268">
        <v>0</v>
      </c>
      <c r="AG4268">
        <v>0</v>
      </c>
      <c r="AH4268" t="s">
        <v>116</v>
      </c>
      <c r="AI4268" s="1">
        <v>132390</v>
      </c>
      <c r="AJ4268" s="2">
        <v>0.23</v>
      </c>
      <c r="AK4268" s="1">
        <v>583207</v>
      </c>
      <c r="AL4268" t="s">
        <v>117</v>
      </c>
      <c r="AM4268" t="s">
        <v>616</v>
      </c>
      <c r="AN4268">
        <v>11500</v>
      </c>
      <c r="AO4268">
        <v>0.26</v>
      </c>
      <c r="AP4268">
        <v>1</v>
      </c>
      <c r="AR4268">
        <v>1</v>
      </c>
      <c r="AS4268" s="1">
        <v>41630</v>
      </c>
      <c r="AT4268" s="1">
        <v>8320</v>
      </c>
      <c r="AU4268" s="1">
        <v>33310</v>
      </c>
      <c r="AV4268">
        <v>80.010000000000005</v>
      </c>
      <c r="AX4268" s="1">
        <v>2766.48</v>
      </c>
      <c r="AY4268" t="s">
        <v>14284</v>
      </c>
      <c r="AZ4268" t="s">
        <v>8949</v>
      </c>
      <c r="BA4268" t="s">
        <v>7868</v>
      </c>
      <c r="BE4268" s="3">
        <v>42135</v>
      </c>
      <c r="BF4268" s="1">
        <v>290000</v>
      </c>
      <c r="BG4268" t="s">
        <v>26987</v>
      </c>
      <c r="BH4268" s="1">
        <v>142.86000000000001</v>
      </c>
      <c r="BI4268" s="1">
        <v>305067</v>
      </c>
      <c r="BJ4268" s="3">
        <v>42429</v>
      </c>
      <c r="BK4268" t="s">
        <v>123</v>
      </c>
      <c r="BL4268" t="str">
        <f>"2016.126971"</f>
        <v>2016.126971</v>
      </c>
      <c r="BM4268" t="s">
        <v>1791</v>
      </c>
      <c r="BN4268" t="s">
        <v>5960</v>
      </c>
      <c r="BO4268" t="s">
        <v>26988</v>
      </c>
      <c r="BS4268">
        <v>15</v>
      </c>
      <c r="BT4268" s="1">
        <v>145750</v>
      </c>
      <c r="BU4268" s="3">
        <v>43129</v>
      </c>
      <c r="BW4268" t="str">
        <f>"2018.69251"</f>
        <v>2018.69251</v>
      </c>
      <c r="BX4268" t="s">
        <v>654</v>
      </c>
      <c r="BY4268" t="s">
        <v>655</v>
      </c>
      <c r="BZ4268" t="s">
        <v>26989</v>
      </c>
      <c r="CA4268" t="s">
        <v>26990</v>
      </c>
      <c r="CC4268" t="s">
        <v>346</v>
      </c>
      <c r="CH4268" t="str">
        <f>""</f>
        <v/>
      </c>
      <c r="CS4268" t="str">
        <f>""</f>
        <v/>
      </c>
    </row>
    <row r="4269" spans="1:97" x14ac:dyDescent="0.25">
      <c r="A4269" t="s">
        <v>222</v>
      </c>
      <c r="B4269" t="s">
        <v>26991</v>
      </c>
      <c r="C4269" t="s">
        <v>2099</v>
      </c>
      <c r="D4269" t="s">
        <v>26992</v>
      </c>
      <c r="E4269" t="s">
        <v>26993</v>
      </c>
      <c r="F4269" t="s">
        <v>108</v>
      </c>
      <c r="H4269" t="s">
        <v>26994</v>
      </c>
      <c r="I4269" t="s">
        <v>453</v>
      </c>
      <c r="J4269" t="s">
        <v>111</v>
      </c>
      <c r="K4269" t="str">
        <f>"85383"</f>
        <v>85383</v>
      </c>
      <c r="L4269" t="s">
        <v>3225</v>
      </c>
      <c r="M4269" t="s">
        <v>26994</v>
      </c>
      <c r="N4269" t="s">
        <v>453</v>
      </c>
      <c r="O4269" t="s">
        <v>111</v>
      </c>
      <c r="P4269" t="str">
        <f>"85383-5868"</f>
        <v>85383-5868</v>
      </c>
      <c r="Q4269" t="s">
        <v>113</v>
      </c>
      <c r="R4269" t="str">
        <f>"503-55-139"</f>
        <v>503-55-139</v>
      </c>
      <c r="S4269" t="s">
        <v>6341</v>
      </c>
      <c r="U4269">
        <v>2105</v>
      </c>
      <c r="V4269">
        <v>0</v>
      </c>
      <c r="W4269">
        <v>3</v>
      </c>
      <c r="X4269">
        <v>2015</v>
      </c>
      <c r="Z4269">
        <v>2</v>
      </c>
      <c r="AB4269">
        <v>0</v>
      </c>
      <c r="AC4269" t="s">
        <v>115</v>
      </c>
      <c r="AD4269">
        <v>2</v>
      </c>
      <c r="AE4269" t="s">
        <v>115</v>
      </c>
      <c r="AF4269">
        <v>0</v>
      </c>
      <c r="AG4269">
        <v>0</v>
      </c>
      <c r="AH4269" t="s">
        <v>116</v>
      </c>
      <c r="AI4269" s="1">
        <v>107461</v>
      </c>
      <c r="AJ4269" s="2">
        <v>0.34</v>
      </c>
      <c r="AK4269" s="1">
        <v>312630</v>
      </c>
      <c r="AL4269" t="s">
        <v>117</v>
      </c>
      <c r="AM4269" t="s">
        <v>5379</v>
      </c>
      <c r="AN4269">
        <v>4255</v>
      </c>
      <c r="AO4269">
        <v>0.98</v>
      </c>
      <c r="AR4269">
        <v>1</v>
      </c>
      <c r="AS4269" s="1">
        <v>20500</v>
      </c>
      <c r="AT4269" s="1">
        <v>4100</v>
      </c>
      <c r="AU4269" s="1">
        <v>16400</v>
      </c>
      <c r="AV4269">
        <v>80</v>
      </c>
      <c r="AX4269" s="1">
        <v>1859.64</v>
      </c>
      <c r="AY4269" t="s">
        <v>456</v>
      </c>
      <c r="AZ4269" t="s">
        <v>456</v>
      </c>
      <c r="BA4269" t="s">
        <v>457</v>
      </c>
      <c r="BE4269" s="3">
        <v>42361</v>
      </c>
      <c r="BF4269" s="1">
        <v>207050</v>
      </c>
      <c r="BG4269" t="s">
        <v>2842</v>
      </c>
      <c r="BH4269" s="1">
        <v>98.36</v>
      </c>
      <c r="BI4269" s="1">
        <v>205169</v>
      </c>
      <c r="BJ4269" s="3">
        <v>42948</v>
      </c>
      <c r="BK4269" t="s">
        <v>123</v>
      </c>
      <c r="BL4269" t="str">
        <f>"2017.562664"</f>
        <v>2017.562664</v>
      </c>
      <c r="BM4269" t="s">
        <v>8621</v>
      </c>
      <c r="BO4269" t="s">
        <v>26995</v>
      </c>
      <c r="BP4269" t="s">
        <v>26996</v>
      </c>
      <c r="BS4269">
        <v>30</v>
      </c>
      <c r="BW4269" t="str">
        <f>""</f>
        <v/>
      </c>
      <c r="CH4269" t="str">
        <f>""</f>
        <v/>
      </c>
      <c r="CS4269" t="str">
        <f>""</f>
        <v/>
      </c>
    </row>
    <row r="4270" spans="1:97" x14ac:dyDescent="0.25">
      <c r="A4270" t="s">
        <v>140</v>
      </c>
      <c r="B4270" t="s">
        <v>26997</v>
      </c>
      <c r="C4270" t="s">
        <v>1649</v>
      </c>
      <c r="D4270" t="s">
        <v>26997</v>
      </c>
      <c r="E4270" t="s">
        <v>26998</v>
      </c>
      <c r="F4270" t="s">
        <v>108</v>
      </c>
      <c r="H4270" t="s">
        <v>26999</v>
      </c>
      <c r="I4270" t="s">
        <v>632</v>
      </c>
      <c r="J4270" t="s">
        <v>111</v>
      </c>
      <c r="K4270" t="str">
        <f>"85387"</f>
        <v>85387</v>
      </c>
      <c r="L4270" t="s">
        <v>5496</v>
      </c>
      <c r="M4270" t="s">
        <v>26999</v>
      </c>
      <c r="N4270" t="s">
        <v>632</v>
      </c>
      <c r="O4270" t="s">
        <v>111</v>
      </c>
      <c r="P4270" t="str">
        <f>"85387-6851"</f>
        <v>85387-6851</v>
      </c>
      <c r="Q4270" t="s">
        <v>113</v>
      </c>
      <c r="R4270" t="str">
        <f>"503-73-627"</f>
        <v>503-73-627</v>
      </c>
      <c r="S4270" t="s">
        <v>10636</v>
      </c>
      <c r="T4270" t="s">
        <v>5498</v>
      </c>
      <c r="U4270">
        <v>2240</v>
      </c>
      <c r="V4270">
        <v>0</v>
      </c>
      <c r="W4270">
        <v>4</v>
      </c>
      <c r="X4270">
        <v>2006</v>
      </c>
      <c r="Z4270">
        <v>2</v>
      </c>
      <c r="AB4270">
        <v>0</v>
      </c>
      <c r="AC4270" t="s">
        <v>115</v>
      </c>
      <c r="AD4270">
        <v>2</v>
      </c>
      <c r="AE4270" t="s">
        <v>115</v>
      </c>
      <c r="AF4270">
        <v>0</v>
      </c>
      <c r="AG4270">
        <v>0</v>
      </c>
      <c r="AH4270" t="s">
        <v>116</v>
      </c>
      <c r="AI4270" s="1">
        <v>18676</v>
      </c>
      <c r="AJ4270" s="2">
        <v>7.0000000000000007E-2</v>
      </c>
      <c r="AK4270" s="1">
        <v>253676</v>
      </c>
      <c r="AL4270" t="s">
        <v>117</v>
      </c>
      <c r="AM4270" t="s">
        <v>118</v>
      </c>
      <c r="AN4270">
        <v>6496</v>
      </c>
      <c r="AO4270">
        <v>0.15</v>
      </c>
      <c r="AR4270">
        <v>1</v>
      </c>
      <c r="AS4270" s="1">
        <v>17280</v>
      </c>
      <c r="AT4270" s="1">
        <v>3450</v>
      </c>
      <c r="AU4270" s="1">
        <v>13830</v>
      </c>
      <c r="AV4270">
        <v>80.03</v>
      </c>
      <c r="AX4270" s="1">
        <v>1224.1400000000001</v>
      </c>
      <c r="AY4270" t="s">
        <v>5108</v>
      </c>
      <c r="AZ4270" t="s">
        <v>5108</v>
      </c>
      <c r="BA4270" t="s">
        <v>5109</v>
      </c>
      <c r="BE4270" s="3">
        <v>42424</v>
      </c>
      <c r="BF4270" s="1">
        <v>206000</v>
      </c>
      <c r="BG4270" t="s">
        <v>27000</v>
      </c>
      <c r="BH4270" s="1">
        <v>91.96</v>
      </c>
      <c r="BI4270" s="1">
        <v>235000</v>
      </c>
      <c r="BJ4270" s="3">
        <v>43075</v>
      </c>
      <c r="BK4270" t="s">
        <v>123</v>
      </c>
      <c r="BL4270" t="str">
        <f>"2017.901315"</f>
        <v>2017.901315</v>
      </c>
      <c r="BM4270" t="s">
        <v>27001</v>
      </c>
      <c r="BO4270" t="s">
        <v>27002</v>
      </c>
      <c r="BS4270">
        <v>30</v>
      </c>
      <c r="BW4270" t="str">
        <f>""</f>
        <v/>
      </c>
      <c r="CH4270" t="str">
        <f>""</f>
        <v/>
      </c>
      <c r="CS4270" t="str">
        <f>""</f>
        <v/>
      </c>
    </row>
    <row r="4271" spans="1:97" x14ac:dyDescent="0.25">
      <c r="A4271" t="s">
        <v>10843</v>
      </c>
      <c r="B4271" t="s">
        <v>27003</v>
      </c>
      <c r="C4271" t="s">
        <v>327</v>
      </c>
      <c r="D4271" t="s">
        <v>27003</v>
      </c>
      <c r="E4271" t="s">
        <v>27004</v>
      </c>
      <c r="F4271" t="s">
        <v>108</v>
      </c>
      <c r="H4271" t="s">
        <v>27005</v>
      </c>
      <c r="I4271" t="s">
        <v>203</v>
      </c>
      <c r="J4271" t="s">
        <v>111</v>
      </c>
      <c r="K4271" t="str">
        <f>"85297"</f>
        <v>85297</v>
      </c>
      <c r="L4271" t="s">
        <v>5048</v>
      </c>
      <c r="M4271" t="s">
        <v>27005</v>
      </c>
      <c r="N4271" t="s">
        <v>203</v>
      </c>
      <c r="O4271" t="s">
        <v>111</v>
      </c>
      <c r="P4271" t="str">
        <f>"85297-7779"</f>
        <v>85297-7779</v>
      </c>
      <c r="Q4271" t="s">
        <v>113</v>
      </c>
      <c r="R4271" t="str">
        <f>"304-51-618"</f>
        <v>304-51-618</v>
      </c>
      <c r="S4271" t="s">
        <v>22576</v>
      </c>
      <c r="U4271">
        <v>3094</v>
      </c>
      <c r="V4271">
        <v>0</v>
      </c>
      <c r="W4271">
        <v>3</v>
      </c>
      <c r="X4271">
        <v>2001</v>
      </c>
      <c r="Z4271">
        <v>2</v>
      </c>
      <c r="AA4271" t="s">
        <v>26</v>
      </c>
      <c r="AB4271">
        <v>0</v>
      </c>
      <c r="AC4271" t="s">
        <v>115</v>
      </c>
      <c r="AD4271">
        <v>2</v>
      </c>
      <c r="AE4271" t="s">
        <v>115</v>
      </c>
      <c r="AF4271">
        <v>0</v>
      </c>
      <c r="AG4271">
        <v>0</v>
      </c>
      <c r="AH4271" t="s">
        <v>116</v>
      </c>
      <c r="AI4271" s="1">
        <v>115469</v>
      </c>
      <c r="AJ4271" s="2">
        <v>0.3</v>
      </c>
      <c r="AK4271" s="1">
        <v>387670</v>
      </c>
      <c r="AL4271" t="s">
        <v>117</v>
      </c>
      <c r="AM4271" t="s">
        <v>393</v>
      </c>
      <c r="AN4271">
        <v>7150</v>
      </c>
      <c r="AO4271">
        <v>0.16</v>
      </c>
      <c r="AP4271">
        <v>1</v>
      </c>
      <c r="AR4271">
        <v>1</v>
      </c>
      <c r="AS4271" s="1">
        <v>27350</v>
      </c>
      <c r="AT4271" s="1">
        <v>5470</v>
      </c>
      <c r="AU4271" s="1">
        <v>21880</v>
      </c>
      <c r="AV4271">
        <v>80</v>
      </c>
      <c r="AX4271" s="1">
        <v>2233</v>
      </c>
      <c r="AY4271" t="s">
        <v>394</v>
      </c>
      <c r="AZ4271" t="s">
        <v>394</v>
      </c>
      <c r="BA4271" t="s">
        <v>290</v>
      </c>
      <c r="BE4271" s="3">
        <v>41885</v>
      </c>
      <c r="BF4271" s="1">
        <v>274000</v>
      </c>
      <c r="BG4271" t="s">
        <v>27006</v>
      </c>
      <c r="BH4271" s="1">
        <v>88.56</v>
      </c>
      <c r="BI4271" s="1">
        <v>272201</v>
      </c>
      <c r="BJ4271" s="3">
        <v>42611</v>
      </c>
      <c r="BK4271" t="s">
        <v>123</v>
      </c>
      <c r="BL4271" t="str">
        <f>"2016.619177"</f>
        <v>2016.619177</v>
      </c>
      <c r="BM4271" t="s">
        <v>492</v>
      </c>
      <c r="BO4271" t="s">
        <v>27007</v>
      </c>
      <c r="BS4271">
        <v>30</v>
      </c>
      <c r="BW4271" t="str">
        <f>""</f>
        <v/>
      </c>
      <c r="CH4271" t="str">
        <f>""</f>
        <v/>
      </c>
      <c r="CS4271" t="str">
        <f>""</f>
        <v/>
      </c>
    </row>
    <row r="4272" spans="1:97" x14ac:dyDescent="0.25">
      <c r="A4272" t="s">
        <v>27008</v>
      </c>
      <c r="B4272" t="s">
        <v>328</v>
      </c>
      <c r="D4272" t="s">
        <v>27009</v>
      </c>
      <c r="E4272" t="s">
        <v>27010</v>
      </c>
      <c r="F4272" t="s">
        <v>139</v>
      </c>
      <c r="H4272" t="s">
        <v>27011</v>
      </c>
      <c r="I4272" t="s">
        <v>453</v>
      </c>
      <c r="J4272" t="s">
        <v>111</v>
      </c>
      <c r="K4272" t="str">
        <f>"85383"</f>
        <v>85383</v>
      </c>
      <c r="L4272" t="s">
        <v>7235</v>
      </c>
      <c r="M4272" t="s">
        <v>27011</v>
      </c>
      <c r="N4272" t="s">
        <v>453</v>
      </c>
      <c r="O4272" t="s">
        <v>111</v>
      </c>
      <c r="P4272" t="str">
        <f>"85383-3520"</f>
        <v>85383-3520</v>
      </c>
      <c r="Q4272" t="s">
        <v>113</v>
      </c>
      <c r="R4272" t="str">
        <f>"503-54-078"</f>
        <v>503-54-078</v>
      </c>
      <c r="S4272" t="s">
        <v>8217</v>
      </c>
      <c r="T4272" t="s">
        <v>7237</v>
      </c>
      <c r="U4272">
        <v>2009</v>
      </c>
      <c r="V4272">
        <v>0</v>
      </c>
      <c r="W4272">
        <v>4</v>
      </c>
      <c r="X4272">
        <v>2014</v>
      </c>
      <c r="Z4272">
        <v>1</v>
      </c>
      <c r="AB4272">
        <v>0</v>
      </c>
      <c r="AC4272" t="s">
        <v>115</v>
      </c>
      <c r="AD4272">
        <v>3</v>
      </c>
      <c r="AE4272" t="s">
        <v>115</v>
      </c>
      <c r="AF4272">
        <v>0</v>
      </c>
      <c r="AG4272">
        <v>0</v>
      </c>
      <c r="AH4272" t="s">
        <v>116</v>
      </c>
      <c r="AI4272" s="1">
        <v>100949</v>
      </c>
      <c r="AJ4272" s="2">
        <v>0.28999999999999998</v>
      </c>
      <c r="AK4272" s="1">
        <v>352238</v>
      </c>
      <c r="AL4272" t="s">
        <v>117</v>
      </c>
      <c r="AM4272" t="s">
        <v>191</v>
      </c>
      <c r="AN4272">
        <v>9819</v>
      </c>
      <c r="AO4272">
        <v>0.22</v>
      </c>
      <c r="AR4272">
        <v>1</v>
      </c>
      <c r="AS4272" s="1">
        <v>24060</v>
      </c>
      <c r="AT4272" s="1">
        <v>4810</v>
      </c>
      <c r="AU4272" s="1">
        <v>19250</v>
      </c>
      <c r="AV4272">
        <v>80.010000000000005</v>
      </c>
      <c r="AX4272" s="1">
        <v>2152.04</v>
      </c>
      <c r="AY4272" t="s">
        <v>456</v>
      </c>
      <c r="AZ4272" t="s">
        <v>456</v>
      </c>
      <c r="BA4272" t="s">
        <v>457</v>
      </c>
      <c r="BB4272" s="3">
        <v>42934</v>
      </c>
      <c r="BD4272" t="s">
        <v>157</v>
      </c>
      <c r="BE4272" s="3">
        <v>41731</v>
      </c>
      <c r="BF4272" s="1">
        <v>246000</v>
      </c>
      <c r="BG4272" t="s">
        <v>8218</v>
      </c>
      <c r="BH4272" s="1">
        <v>122.45</v>
      </c>
      <c r="BI4272" s="1">
        <v>251289</v>
      </c>
      <c r="BJ4272" s="3">
        <v>41731</v>
      </c>
      <c r="BK4272" t="s">
        <v>123</v>
      </c>
      <c r="BL4272" t="str">
        <f>"2014.211838"</f>
        <v>2014.211838</v>
      </c>
      <c r="BM4272" t="s">
        <v>2683</v>
      </c>
      <c r="BO4272" t="s">
        <v>27012</v>
      </c>
      <c r="BS4272">
        <v>30</v>
      </c>
      <c r="BW4272" t="str">
        <f>""</f>
        <v/>
      </c>
      <c r="CH4272" t="str">
        <f>""</f>
        <v/>
      </c>
      <c r="CS4272" t="str">
        <f>""</f>
        <v/>
      </c>
    </row>
    <row r="4273" spans="1:97" x14ac:dyDescent="0.25">
      <c r="A4273" t="s">
        <v>984</v>
      </c>
      <c r="B4273" t="s">
        <v>27013</v>
      </c>
      <c r="C4273" t="s">
        <v>10627</v>
      </c>
      <c r="D4273" t="s">
        <v>27013</v>
      </c>
      <c r="E4273" t="s">
        <v>27014</v>
      </c>
      <c r="F4273" t="s">
        <v>108</v>
      </c>
      <c r="H4273" t="s">
        <v>27015</v>
      </c>
      <c r="I4273" t="s">
        <v>499</v>
      </c>
      <c r="J4273" t="s">
        <v>111</v>
      </c>
      <c r="K4273" t="str">
        <f>"85395"</f>
        <v>85395</v>
      </c>
      <c r="L4273" t="s">
        <v>7005</v>
      </c>
      <c r="M4273" t="s">
        <v>27015</v>
      </c>
      <c r="N4273" t="s">
        <v>499</v>
      </c>
      <c r="O4273" t="s">
        <v>111</v>
      </c>
      <c r="P4273" t="str">
        <f>"85395-8497"</f>
        <v>85395-8497</v>
      </c>
      <c r="Q4273" t="s">
        <v>113</v>
      </c>
      <c r="R4273" t="str">
        <f>"508-14-085"</f>
        <v>508-14-085</v>
      </c>
      <c r="S4273" t="s">
        <v>14773</v>
      </c>
      <c r="T4273" t="s">
        <v>14987</v>
      </c>
      <c r="U4273">
        <v>1942</v>
      </c>
      <c r="V4273">
        <v>0</v>
      </c>
      <c r="W4273">
        <v>3</v>
      </c>
      <c r="X4273">
        <v>2005</v>
      </c>
      <c r="Z4273">
        <v>1</v>
      </c>
      <c r="AB4273">
        <v>0</v>
      </c>
      <c r="AC4273" t="s">
        <v>115</v>
      </c>
      <c r="AD4273">
        <v>3</v>
      </c>
      <c r="AE4273" t="s">
        <v>115</v>
      </c>
      <c r="AF4273">
        <v>0</v>
      </c>
      <c r="AG4273">
        <v>0</v>
      </c>
      <c r="AH4273" t="s">
        <v>116</v>
      </c>
      <c r="AI4273" s="1">
        <v>52647</v>
      </c>
      <c r="AJ4273" s="2">
        <v>0.18</v>
      </c>
      <c r="AK4273" s="1">
        <v>292699</v>
      </c>
      <c r="AL4273" t="s">
        <v>117</v>
      </c>
      <c r="AM4273" t="s">
        <v>118</v>
      </c>
      <c r="AN4273">
        <v>7007</v>
      </c>
      <c r="AO4273">
        <v>0.16</v>
      </c>
      <c r="AR4273">
        <v>1</v>
      </c>
      <c r="AS4273" s="1">
        <v>20330</v>
      </c>
      <c r="AT4273" s="1">
        <v>4060</v>
      </c>
      <c r="AU4273" s="1">
        <v>16270</v>
      </c>
      <c r="AV4273">
        <v>80.03</v>
      </c>
      <c r="AX4273" s="1">
        <v>1806.64</v>
      </c>
      <c r="AY4273" t="s">
        <v>3020</v>
      </c>
      <c r="AZ4273" t="s">
        <v>3020</v>
      </c>
      <c r="BA4273" t="s">
        <v>7186</v>
      </c>
      <c r="BE4273" s="3">
        <v>42453</v>
      </c>
      <c r="BF4273" s="1">
        <v>235000</v>
      </c>
      <c r="BG4273" t="s">
        <v>27016</v>
      </c>
      <c r="BH4273" s="1">
        <v>121.01</v>
      </c>
      <c r="BI4273" s="1">
        <v>240052</v>
      </c>
      <c r="BJ4273" s="3">
        <v>42453</v>
      </c>
      <c r="BK4273" t="s">
        <v>123</v>
      </c>
      <c r="BL4273" t="str">
        <f>"2016.192357"</f>
        <v>2016.192357</v>
      </c>
      <c r="BM4273" t="s">
        <v>2051</v>
      </c>
      <c r="BO4273" t="s">
        <v>27017</v>
      </c>
      <c r="BS4273">
        <v>30</v>
      </c>
      <c r="BW4273" t="str">
        <f>""</f>
        <v/>
      </c>
      <c r="CH4273" t="str">
        <f>""</f>
        <v/>
      </c>
      <c r="CS4273" t="str">
        <f>""</f>
        <v/>
      </c>
    </row>
    <row r="4274" spans="1:97" x14ac:dyDescent="0.25">
      <c r="A4274" t="s">
        <v>1176</v>
      </c>
      <c r="B4274" t="s">
        <v>1415</v>
      </c>
      <c r="C4274" t="s">
        <v>27018</v>
      </c>
      <c r="D4274" t="s">
        <v>1415</v>
      </c>
      <c r="E4274" t="s">
        <v>27019</v>
      </c>
      <c r="F4274" t="s">
        <v>108</v>
      </c>
      <c r="H4274" t="s">
        <v>27020</v>
      </c>
      <c r="I4274" t="s">
        <v>2874</v>
      </c>
      <c r="J4274" t="s">
        <v>111</v>
      </c>
      <c r="K4274" t="str">
        <f>"85308"</f>
        <v>85308</v>
      </c>
      <c r="L4274" t="s">
        <v>3982</v>
      </c>
      <c r="M4274" t="s">
        <v>27020</v>
      </c>
      <c r="N4274" t="s">
        <v>2874</v>
      </c>
      <c r="O4274" t="s">
        <v>111</v>
      </c>
      <c r="P4274" t="str">
        <f>"85308-1186"</f>
        <v>85308-1186</v>
      </c>
      <c r="Q4274" t="s">
        <v>113</v>
      </c>
      <c r="R4274" t="str">
        <f>"200-47-342"</f>
        <v>200-47-342</v>
      </c>
      <c r="S4274" t="s">
        <v>7882</v>
      </c>
      <c r="T4274" t="s">
        <v>7882</v>
      </c>
      <c r="U4274">
        <v>2069</v>
      </c>
      <c r="V4274">
        <v>0</v>
      </c>
      <c r="W4274">
        <v>3</v>
      </c>
      <c r="X4274">
        <v>1997</v>
      </c>
      <c r="Z4274">
        <v>1</v>
      </c>
      <c r="AA4274" t="s">
        <v>26</v>
      </c>
      <c r="AB4274">
        <v>0</v>
      </c>
      <c r="AC4274" t="s">
        <v>115</v>
      </c>
      <c r="AD4274">
        <v>3</v>
      </c>
      <c r="AE4274" t="s">
        <v>115</v>
      </c>
      <c r="AF4274">
        <v>0</v>
      </c>
      <c r="AG4274">
        <v>0</v>
      </c>
      <c r="AH4274" t="s">
        <v>116</v>
      </c>
      <c r="AI4274" s="1">
        <v>64655</v>
      </c>
      <c r="AJ4274" s="2">
        <v>0.17</v>
      </c>
      <c r="AK4274" s="1">
        <v>369655</v>
      </c>
      <c r="AL4274" t="s">
        <v>117</v>
      </c>
      <c r="AM4274" t="s">
        <v>393</v>
      </c>
      <c r="AN4274">
        <v>11417</v>
      </c>
      <c r="AO4274">
        <v>0.26</v>
      </c>
      <c r="AP4274">
        <v>1</v>
      </c>
      <c r="AR4274">
        <v>1</v>
      </c>
      <c r="AS4274" s="1">
        <v>27200</v>
      </c>
      <c r="AT4274" s="1">
        <v>5440</v>
      </c>
      <c r="AU4274" s="1">
        <v>21760</v>
      </c>
      <c r="AV4274">
        <v>80</v>
      </c>
      <c r="AX4274" s="1">
        <v>2392.8200000000002</v>
      </c>
      <c r="AY4274" t="s">
        <v>6740</v>
      </c>
      <c r="AZ4274" t="s">
        <v>6740</v>
      </c>
      <c r="BA4274" t="s">
        <v>5143</v>
      </c>
      <c r="BE4274" s="3">
        <v>42305</v>
      </c>
      <c r="BF4274" s="1">
        <v>305000</v>
      </c>
      <c r="BG4274" t="s">
        <v>27021</v>
      </c>
      <c r="BH4274" s="1">
        <v>147.41</v>
      </c>
      <c r="BI4274" s="1">
        <v>305000</v>
      </c>
      <c r="BJ4274" s="3">
        <v>42305</v>
      </c>
      <c r="BK4274" t="s">
        <v>123</v>
      </c>
      <c r="BL4274" t="str">
        <f>"2015.775355"</f>
        <v>2015.775355</v>
      </c>
      <c r="BM4274" t="s">
        <v>724</v>
      </c>
      <c r="BO4274" t="s">
        <v>27022</v>
      </c>
      <c r="BS4274">
        <v>30</v>
      </c>
      <c r="BW4274" t="str">
        <f>""</f>
        <v/>
      </c>
      <c r="CH4274" t="str">
        <f>""</f>
        <v/>
      </c>
      <c r="CS4274" t="str">
        <f>""</f>
        <v/>
      </c>
    </row>
    <row r="4275" spans="1:97" x14ac:dyDescent="0.25">
      <c r="A4275" t="s">
        <v>1160</v>
      </c>
      <c r="B4275" t="s">
        <v>27023</v>
      </c>
      <c r="C4275" t="s">
        <v>976</v>
      </c>
      <c r="D4275" t="s">
        <v>27023</v>
      </c>
      <c r="E4275" t="s">
        <v>27024</v>
      </c>
      <c r="F4275" t="s">
        <v>108</v>
      </c>
      <c r="H4275" t="s">
        <v>27025</v>
      </c>
      <c r="I4275" t="s">
        <v>632</v>
      </c>
      <c r="J4275" t="s">
        <v>111</v>
      </c>
      <c r="K4275" t="str">
        <f>"85388"</f>
        <v>85388</v>
      </c>
      <c r="L4275" t="s">
        <v>7607</v>
      </c>
      <c r="M4275" t="s">
        <v>27025</v>
      </c>
      <c r="N4275" t="s">
        <v>632</v>
      </c>
      <c r="O4275" t="s">
        <v>111</v>
      </c>
      <c r="P4275" t="str">
        <f>"85388-7694"</f>
        <v>85388-7694</v>
      </c>
      <c r="Q4275" t="s">
        <v>113</v>
      </c>
      <c r="R4275" t="str">
        <f>"502-89-669"</f>
        <v>502-89-669</v>
      </c>
      <c r="S4275" t="s">
        <v>7646</v>
      </c>
      <c r="U4275">
        <v>2215</v>
      </c>
      <c r="V4275">
        <v>0</v>
      </c>
      <c r="W4275">
        <v>4</v>
      </c>
      <c r="X4275">
        <v>2008</v>
      </c>
      <c r="Z4275">
        <v>2</v>
      </c>
      <c r="AA4275" t="s">
        <v>26</v>
      </c>
      <c r="AB4275">
        <v>0</v>
      </c>
      <c r="AC4275" t="s">
        <v>115</v>
      </c>
      <c r="AD4275">
        <v>2</v>
      </c>
      <c r="AE4275" t="s">
        <v>115</v>
      </c>
      <c r="AF4275">
        <v>0</v>
      </c>
      <c r="AG4275">
        <v>0</v>
      </c>
      <c r="AH4275" t="s">
        <v>116</v>
      </c>
      <c r="AI4275" s="1">
        <v>35497</v>
      </c>
      <c r="AJ4275" s="2">
        <v>0.11</v>
      </c>
      <c r="AK4275" s="1">
        <v>317198</v>
      </c>
      <c r="AL4275" t="s">
        <v>117</v>
      </c>
      <c r="AM4275" t="s">
        <v>118</v>
      </c>
      <c r="AN4275">
        <v>6000</v>
      </c>
      <c r="AO4275">
        <v>0.14000000000000001</v>
      </c>
      <c r="AR4275">
        <v>1</v>
      </c>
      <c r="AS4275" s="1">
        <v>21810</v>
      </c>
      <c r="AT4275" s="1">
        <v>4360</v>
      </c>
      <c r="AU4275" s="1">
        <v>17450</v>
      </c>
      <c r="AV4275">
        <v>80.010000000000005</v>
      </c>
      <c r="AX4275" s="1">
        <v>2211.14</v>
      </c>
      <c r="AY4275" t="s">
        <v>5168</v>
      </c>
      <c r="AZ4275" t="s">
        <v>5168</v>
      </c>
      <c r="BA4275" t="s">
        <v>5109</v>
      </c>
      <c r="BE4275" s="3">
        <v>41690</v>
      </c>
      <c r="BF4275" s="1">
        <v>262500</v>
      </c>
      <c r="BG4275" t="s">
        <v>275</v>
      </c>
      <c r="BH4275" s="1">
        <v>118.51</v>
      </c>
      <c r="BI4275" s="1">
        <v>281701</v>
      </c>
      <c r="BJ4275" s="3">
        <v>43014</v>
      </c>
      <c r="BK4275" t="s">
        <v>123</v>
      </c>
      <c r="BL4275" t="str">
        <f>"2017.740697"</f>
        <v>2017.740697</v>
      </c>
      <c r="BM4275" t="s">
        <v>27026</v>
      </c>
      <c r="BO4275" t="s">
        <v>27027</v>
      </c>
      <c r="BS4275">
        <v>30</v>
      </c>
      <c r="BW4275" t="str">
        <f>""</f>
        <v/>
      </c>
      <c r="CH4275" t="str">
        <f>""</f>
        <v/>
      </c>
      <c r="CS4275" t="str">
        <f>""</f>
        <v/>
      </c>
    </row>
    <row r="4276" spans="1:97" x14ac:dyDescent="0.25">
      <c r="A4276" t="s">
        <v>1444</v>
      </c>
      <c r="B4276" t="s">
        <v>27028</v>
      </c>
      <c r="C4276" t="s">
        <v>817</v>
      </c>
      <c r="D4276" t="s">
        <v>27028</v>
      </c>
      <c r="E4276" t="s">
        <v>27029</v>
      </c>
      <c r="F4276" t="s">
        <v>108</v>
      </c>
      <c r="H4276" t="s">
        <v>27030</v>
      </c>
      <c r="I4276" t="s">
        <v>453</v>
      </c>
      <c r="J4276" t="s">
        <v>111</v>
      </c>
      <c r="K4276" t="str">
        <f>"85383"</f>
        <v>85383</v>
      </c>
      <c r="L4276" t="s">
        <v>3326</v>
      </c>
      <c r="M4276" t="s">
        <v>27030</v>
      </c>
      <c r="N4276" t="s">
        <v>453</v>
      </c>
      <c r="O4276" t="s">
        <v>111</v>
      </c>
      <c r="P4276" t="str">
        <f>"85383-2651"</f>
        <v>85383-2651</v>
      </c>
      <c r="Q4276" t="s">
        <v>113</v>
      </c>
      <c r="R4276" t="str">
        <f>"200-10-865"</f>
        <v>200-10-865</v>
      </c>
      <c r="S4276" t="s">
        <v>15351</v>
      </c>
      <c r="T4276" t="s">
        <v>15352</v>
      </c>
      <c r="U4276">
        <v>3721</v>
      </c>
      <c r="V4276">
        <v>0</v>
      </c>
      <c r="W4276">
        <v>5</v>
      </c>
      <c r="X4276">
        <v>2011</v>
      </c>
      <c r="Z4276">
        <v>2</v>
      </c>
      <c r="AA4276" t="s">
        <v>26</v>
      </c>
      <c r="AB4276">
        <v>0</v>
      </c>
      <c r="AC4276" t="s">
        <v>115</v>
      </c>
      <c r="AD4276">
        <v>3</v>
      </c>
      <c r="AE4276" t="s">
        <v>115</v>
      </c>
      <c r="AF4276">
        <v>0</v>
      </c>
      <c r="AG4276">
        <v>0</v>
      </c>
      <c r="AH4276" t="s">
        <v>116</v>
      </c>
      <c r="AI4276" s="1">
        <v>93188</v>
      </c>
      <c r="AJ4276" s="2">
        <v>0.18</v>
      </c>
      <c r="AK4276" s="1">
        <v>531921</v>
      </c>
      <c r="AL4276" t="s">
        <v>117</v>
      </c>
      <c r="AM4276" t="s">
        <v>118</v>
      </c>
      <c r="AN4276">
        <v>10235</v>
      </c>
      <c r="AO4276">
        <v>0.24</v>
      </c>
      <c r="AR4276">
        <v>1</v>
      </c>
      <c r="AS4276" s="1">
        <v>39360</v>
      </c>
      <c r="AT4276" s="1">
        <v>7870</v>
      </c>
      <c r="AU4276" s="1">
        <v>31490</v>
      </c>
      <c r="AV4276">
        <v>80.010000000000005</v>
      </c>
      <c r="AX4276" s="1">
        <v>3510.54</v>
      </c>
      <c r="AY4276" t="s">
        <v>1808</v>
      </c>
      <c r="AZ4276" t="s">
        <v>1808</v>
      </c>
      <c r="BA4276" t="s">
        <v>457</v>
      </c>
      <c r="BE4276" s="3">
        <v>42502</v>
      </c>
      <c r="BF4276" s="1">
        <v>455000</v>
      </c>
      <c r="BG4276" t="s">
        <v>27031</v>
      </c>
      <c r="BH4276" s="1">
        <v>122.28</v>
      </c>
      <c r="BI4276" s="1">
        <v>438733</v>
      </c>
      <c r="BJ4276" s="3">
        <v>42502</v>
      </c>
      <c r="BK4276" t="s">
        <v>123</v>
      </c>
      <c r="BL4276" t="str">
        <f>"2016.327612"</f>
        <v>2016.327612</v>
      </c>
      <c r="BM4276" t="s">
        <v>1287</v>
      </c>
      <c r="BO4276" t="s">
        <v>27032</v>
      </c>
      <c r="BS4276">
        <v>30</v>
      </c>
      <c r="BW4276" t="str">
        <f>""</f>
        <v/>
      </c>
      <c r="CH4276" t="str">
        <f>""</f>
        <v/>
      </c>
      <c r="CS4276" t="str">
        <f>""</f>
        <v/>
      </c>
    </row>
    <row r="4277" spans="1:97" x14ac:dyDescent="0.25">
      <c r="A4277" t="s">
        <v>464</v>
      </c>
      <c r="B4277" t="s">
        <v>27033</v>
      </c>
      <c r="C4277" t="s">
        <v>524</v>
      </c>
      <c r="D4277" t="s">
        <v>27033</v>
      </c>
      <c r="E4277" t="s">
        <v>27034</v>
      </c>
      <c r="F4277" t="s">
        <v>108</v>
      </c>
      <c r="H4277" t="s">
        <v>27035</v>
      </c>
      <c r="I4277" t="s">
        <v>225</v>
      </c>
      <c r="J4277" t="s">
        <v>111</v>
      </c>
      <c r="K4277" t="str">
        <f>"85207"</f>
        <v>85207</v>
      </c>
      <c r="L4277" t="s">
        <v>284</v>
      </c>
      <c r="M4277" t="s">
        <v>27035</v>
      </c>
      <c r="N4277" t="s">
        <v>225</v>
      </c>
      <c r="O4277" t="s">
        <v>111</v>
      </c>
      <c r="P4277" t="str">
        <f>"85207-2141"</f>
        <v>85207-2141</v>
      </c>
      <c r="Q4277" t="s">
        <v>113</v>
      </c>
      <c r="R4277" t="str">
        <f>"219-26-161"</f>
        <v>219-26-161</v>
      </c>
      <c r="S4277" t="s">
        <v>27036</v>
      </c>
      <c r="T4277" t="s">
        <v>27036</v>
      </c>
      <c r="U4277">
        <v>3141</v>
      </c>
      <c r="V4277">
        <v>0</v>
      </c>
      <c r="W4277">
        <v>4</v>
      </c>
      <c r="X4277">
        <v>2002</v>
      </c>
      <c r="Z4277">
        <v>1</v>
      </c>
      <c r="AA4277" t="s">
        <v>26</v>
      </c>
      <c r="AB4277">
        <v>0</v>
      </c>
      <c r="AC4277" t="s">
        <v>115</v>
      </c>
      <c r="AD4277">
        <v>3</v>
      </c>
      <c r="AE4277" t="s">
        <v>115</v>
      </c>
      <c r="AF4277">
        <v>0</v>
      </c>
      <c r="AG4277">
        <v>0</v>
      </c>
      <c r="AH4277" t="s">
        <v>116</v>
      </c>
      <c r="AI4277" s="1">
        <v>151171</v>
      </c>
      <c r="AJ4277" s="2">
        <v>0.28000000000000003</v>
      </c>
      <c r="AK4277" s="1">
        <v>543021</v>
      </c>
      <c r="AL4277" t="s">
        <v>117</v>
      </c>
      <c r="AM4277" t="s">
        <v>1521</v>
      </c>
      <c r="AN4277">
        <v>18058</v>
      </c>
      <c r="AO4277">
        <v>0.42</v>
      </c>
      <c r="AP4277">
        <v>1</v>
      </c>
      <c r="AR4277">
        <v>1</v>
      </c>
      <c r="AS4277" s="1">
        <v>39050</v>
      </c>
      <c r="AT4277" s="1">
        <v>7810</v>
      </c>
      <c r="AU4277" s="1">
        <v>31240</v>
      </c>
      <c r="AV4277">
        <v>80</v>
      </c>
      <c r="AX4277" s="1">
        <v>3237.92</v>
      </c>
      <c r="AY4277" t="s">
        <v>9337</v>
      </c>
      <c r="AZ4277" t="s">
        <v>231</v>
      </c>
      <c r="BA4277" t="s">
        <v>3119</v>
      </c>
      <c r="BE4277" s="3">
        <v>42275</v>
      </c>
      <c r="BF4277" s="1">
        <v>410000</v>
      </c>
      <c r="BG4277" t="s">
        <v>5034</v>
      </c>
      <c r="BH4277" s="1">
        <v>130.53</v>
      </c>
      <c r="BI4277" s="1">
        <v>391850</v>
      </c>
      <c r="BJ4277" s="3">
        <v>42480</v>
      </c>
      <c r="BK4277" t="s">
        <v>123</v>
      </c>
      <c r="BL4277" t="str">
        <f>"2016.263906"</f>
        <v>2016.263906</v>
      </c>
      <c r="BM4277" t="s">
        <v>1192</v>
      </c>
      <c r="BO4277" t="s">
        <v>27037</v>
      </c>
      <c r="BS4277">
        <v>30</v>
      </c>
      <c r="BW4277" t="str">
        <f>""</f>
        <v/>
      </c>
      <c r="CH4277" t="str">
        <f>""</f>
        <v/>
      </c>
      <c r="CS4277" t="str">
        <f>""</f>
        <v/>
      </c>
    </row>
    <row r="4278" spans="1:97" x14ac:dyDescent="0.25">
      <c r="A4278" t="s">
        <v>1124</v>
      </c>
      <c r="B4278" t="s">
        <v>18160</v>
      </c>
      <c r="C4278" t="s">
        <v>17474</v>
      </c>
      <c r="D4278" t="s">
        <v>18160</v>
      </c>
      <c r="E4278" t="s">
        <v>27038</v>
      </c>
      <c r="F4278" t="s">
        <v>108</v>
      </c>
      <c r="H4278" t="s">
        <v>27039</v>
      </c>
      <c r="I4278" t="s">
        <v>1936</v>
      </c>
      <c r="J4278" t="s">
        <v>111</v>
      </c>
      <c r="K4278" t="str">
        <f>"85254"</f>
        <v>85254</v>
      </c>
      <c r="L4278" t="s">
        <v>5209</v>
      </c>
      <c r="M4278" t="s">
        <v>27039</v>
      </c>
      <c r="N4278" t="s">
        <v>1936</v>
      </c>
      <c r="O4278" t="s">
        <v>111</v>
      </c>
      <c r="P4278" t="str">
        <f>"85254-5827"</f>
        <v>85254-5827</v>
      </c>
      <c r="Q4278" t="s">
        <v>113</v>
      </c>
      <c r="R4278" t="str">
        <f>"215-11-166"</f>
        <v>215-11-166</v>
      </c>
      <c r="S4278" t="s">
        <v>27040</v>
      </c>
      <c r="U4278">
        <v>2866</v>
      </c>
      <c r="V4278">
        <v>0</v>
      </c>
      <c r="W4278">
        <v>3</v>
      </c>
      <c r="X4278">
        <v>1989</v>
      </c>
      <c r="Z4278">
        <v>1</v>
      </c>
      <c r="AA4278" t="s">
        <v>26</v>
      </c>
      <c r="AB4278">
        <v>0</v>
      </c>
      <c r="AC4278" t="s">
        <v>115</v>
      </c>
      <c r="AD4278">
        <v>3</v>
      </c>
      <c r="AE4278" t="s">
        <v>115</v>
      </c>
      <c r="AF4278">
        <v>0</v>
      </c>
      <c r="AG4278">
        <v>0</v>
      </c>
      <c r="AH4278" t="s">
        <v>116</v>
      </c>
      <c r="AI4278" s="1">
        <v>98946</v>
      </c>
      <c r="AJ4278" s="2">
        <v>0.17</v>
      </c>
      <c r="AK4278" s="1">
        <v>594391</v>
      </c>
      <c r="AL4278" t="s">
        <v>117</v>
      </c>
      <c r="AM4278" t="s">
        <v>1302</v>
      </c>
      <c r="AN4278">
        <v>10044</v>
      </c>
      <c r="AO4278">
        <v>0.23</v>
      </c>
      <c r="AP4278">
        <v>1</v>
      </c>
      <c r="AR4278">
        <v>1</v>
      </c>
      <c r="AS4278" s="1">
        <v>41370</v>
      </c>
      <c r="AT4278" s="1">
        <v>8270</v>
      </c>
      <c r="AU4278" s="1">
        <v>33100</v>
      </c>
      <c r="AV4278">
        <v>80.010000000000005</v>
      </c>
      <c r="AX4278" s="1">
        <v>3624.44</v>
      </c>
      <c r="AY4278" t="s">
        <v>16792</v>
      </c>
      <c r="AZ4278" t="s">
        <v>1317</v>
      </c>
      <c r="BA4278" t="s">
        <v>6302</v>
      </c>
      <c r="BE4278" s="3">
        <v>42208</v>
      </c>
      <c r="BF4278" s="1">
        <v>492900</v>
      </c>
      <c r="BG4278" t="s">
        <v>27041</v>
      </c>
      <c r="BH4278" s="1">
        <v>171.98</v>
      </c>
      <c r="BI4278" s="1">
        <v>495445</v>
      </c>
      <c r="BJ4278" s="3">
        <v>42625</v>
      </c>
      <c r="BK4278" t="s">
        <v>123</v>
      </c>
      <c r="BL4278" t="str">
        <f>"2016.658877"</f>
        <v>2016.658877</v>
      </c>
      <c r="BM4278" t="s">
        <v>2117</v>
      </c>
      <c r="BO4278" t="s">
        <v>27042</v>
      </c>
      <c r="BQ4278" t="str">
        <f>"1.7500%"</f>
        <v>1.7500%</v>
      </c>
      <c r="BR4278" t="s">
        <v>1480</v>
      </c>
      <c r="BS4278">
        <v>30</v>
      </c>
      <c r="BW4278" t="str">
        <f>""</f>
        <v/>
      </c>
      <c r="CH4278" t="str">
        <f>""</f>
        <v/>
      </c>
      <c r="CS4278" t="str">
        <f>""</f>
        <v/>
      </c>
    </row>
    <row r="4279" spans="1:97" x14ac:dyDescent="0.25">
      <c r="A4279" t="s">
        <v>3221</v>
      </c>
      <c r="B4279" t="s">
        <v>19003</v>
      </c>
      <c r="C4279" t="s">
        <v>15907</v>
      </c>
      <c r="D4279" t="s">
        <v>19003</v>
      </c>
      <c r="E4279" t="s">
        <v>27043</v>
      </c>
      <c r="F4279" t="s">
        <v>108</v>
      </c>
      <c r="H4279" t="s">
        <v>27044</v>
      </c>
      <c r="I4279" t="s">
        <v>225</v>
      </c>
      <c r="J4279" t="s">
        <v>111</v>
      </c>
      <c r="K4279" t="str">
        <f>"85212"</f>
        <v>85212</v>
      </c>
      <c r="L4279" t="s">
        <v>567</v>
      </c>
      <c r="M4279" t="s">
        <v>27044</v>
      </c>
      <c r="N4279" t="s">
        <v>225</v>
      </c>
      <c r="O4279" t="s">
        <v>111</v>
      </c>
      <c r="P4279" t="str">
        <f>"85212-1541"</f>
        <v>85212-1541</v>
      </c>
      <c r="Q4279" t="s">
        <v>113</v>
      </c>
      <c r="R4279" t="str">
        <f>"304-04-791"</f>
        <v>304-04-791</v>
      </c>
      <c r="S4279" t="s">
        <v>27045</v>
      </c>
      <c r="U4279">
        <v>1995</v>
      </c>
      <c r="V4279">
        <v>0</v>
      </c>
      <c r="W4279">
        <v>3</v>
      </c>
      <c r="X4279">
        <v>1998</v>
      </c>
      <c r="Z4279">
        <v>1</v>
      </c>
      <c r="AA4279" t="s">
        <v>26</v>
      </c>
      <c r="AB4279">
        <v>0</v>
      </c>
      <c r="AC4279" t="s">
        <v>115</v>
      </c>
      <c r="AD4279">
        <v>2</v>
      </c>
      <c r="AE4279" t="s">
        <v>115</v>
      </c>
      <c r="AF4279">
        <v>0</v>
      </c>
      <c r="AG4279">
        <v>0</v>
      </c>
      <c r="AH4279" t="s">
        <v>116</v>
      </c>
      <c r="AI4279" s="1">
        <v>75201</v>
      </c>
      <c r="AJ4279" s="2">
        <v>0.22</v>
      </c>
      <c r="AK4279" s="1">
        <v>335219</v>
      </c>
      <c r="AL4279" t="s">
        <v>117</v>
      </c>
      <c r="AM4279" t="s">
        <v>393</v>
      </c>
      <c r="AN4279">
        <v>8564</v>
      </c>
      <c r="AO4279">
        <v>0.2</v>
      </c>
      <c r="AP4279">
        <v>1</v>
      </c>
      <c r="AR4279">
        <v>1</v>
      </c>
      <c r="AS4279" s="1">
        <v>23200</v>
      </c>
      <c r="AT4279" s="1">
        <v>4640</v>
      </c>
      <c r="AU4279" s="1">
        <v>18560</v>
      </c>
      <c r="AV4279">
        <v>80</v>
      </c>
      <c r="AX4279" s="1">
        <v>1636.74</v>
      </c>
      <c r="AY4279" t="s">
        <v>570</v>
      </c>
      <c r="AZ4279" t="s">
        <v>777</v>
      </c>
      <c r="BA4279" t="s">
        <v>572</v>
      </c>
      <c r="BB4279" s="3">
        <v>42551</v>
      </c>
      <c r="BD4279" t="s">
        <v>240</v>
      </c>
      <c r="BE4279" s="3">
        <v>41826</v>
      </c>
      <c r="BF4279" s="1">
        <v>245000</v>
      </c>
      <c r="BG4279" t="s">
        <v>27046</v>
      </c>
      <c r="BH4279" s="1">
        <v>122.81</v>
      </c>
      <c r="BI4279" s="1">
        <v>260018</v>
      </c>
      <c r="BJ4279" s="3">
        <v>42993</v>
      </c>
      <c r="BK4279" t="s">
        <v>123</v>
      </c>
      <c r="BL4279" t="str">
        <f>"2017.684537"</f>
        <v>2017.684537</v>
      </c>
      <c r="BM4279" t="s">
        <v>340</v>
      </c>
      <c r="BN4279">
        <v>8054</v>
      </c>
      <c r="BO4279" t="s">
        <v>27047</v>
      </c>
      <c r="BS4279">
        <v>29</v>
      </c>
      <c r="BW4279" t="str">
        <f>""</f>
        <v/>
      </c>
      <c r="CH4279" t="str">
        <f>""</f>
        <v/>
      </c>
      <c r="CS4279" t="str">
        <f>""</f>
        <v/>
      </c>
    </row>
    <row r="4280" spans="1:97" x14ac:dyDescent="0.25">
      <c r="A4280" t="s">
        <v>1344</v>
      </c>
      <c r="B4280" t="s">
        <v>312</v>
      </c>
      <c r="C4280" t="s">
        <v>1930</v>
      </c>
      <c r="D4280" t="s">
        <v>312</v>
      </c>
      <c r="E4280" t="s">
        <v>27048</v>
      </c>
      <c r="F4280" t="s">
        <v>108</v>
      </c>
      <c r="H4280" t="s">
        <v>27049</v>
      </c>
      <c r="I4280" t="s">
        <v>2874</v>
      </c>
      <c r="J4280" t="s">
        <v>111</v>
      </c>
      <c r="K4280" t="str">
        <f>"85306"</f>
        <v>85306</v>
      </c>
      <c r="L4280" t="s">
        <v>5400</v>
      </c>
      <c r="M4280" t="s">
        <v>27049</v>
      </c>
      <c r="N4280" t="s">
        <v>2874</v>
      </c>
      <c r="O4280" t="s">
        <v>111</v>
      </c>
      <c r="P4280" t="str">
        <f>"85306-2410"</f>
        <v>85306-2410</v>
      </c>
      <c r="Q4280" t="s">
        <v>113</v>
      </c>
      <c r="R4280" t="str">
        <f>"231-01-526"</f>
        <v>231-01-526</v>
      </c>
      <c r="S4280" t="s">
        <v>27050</v>
      </c>
      <c r="U4280">
        <v>2920</v>
      </c>
      <c r="V4280">
        <v>0</v>
      </c>
      <c r="W4280">
        <v>2</v>
      </c>
      <c r="X4280">
        <v>1974</v>
      </c>
      <c r="Z4280">
        <v>1</v>
      </c>
      <c r="AA4280" t="s">
        <v>26</v>
      </c>
      <c r="AB4280">
        <v>0</v>
      </c>
      <c r="AC4280" t="s">
        <v>115</v>
      </c>
      <c r="AD4280">
        <v>2</v>
      </c>
      <c r="AE4280" t="s">
        <v>115</v>
      </c>
      <c r="AF4280">
        <v>0</v>
      </c>
      <c r="AG4280">
        <v>0</v>
      </c>
      <c r="AH4280" t="s">
        <v>116</v>
      </c>
      <c r="AI4280" s="1">
        <v>125302</v>
      </c>
      <c r="AJ4280" s="2">
        <v>0.3</v>
      </c>
      <c r="AK4280" s="1">
        <v>419752</v>
      </c>
      <c r="AL4280" t="s">
        <v>117</v>
      </c>
      <c r="AM4280" t="s">
        <v>5791</v>
      </c>
      <c r="AN4280">
        <v>16133</v>
      </c>
      <c r="AO4280">
        <v>0.37</v>
      </c>
      <c r="AP4280">
        <v>1</v>
      </c>
      <c r="AR4280">
        <v>1</v>
      </c>
      <c r="AS4280" s="1">
        <v>31010</v>
      </c>
      <c r="AT4280" s="1">
        <v>6200</v>
      </c>
      <c r="AU4280" s="1">
        <v>24810</v>
      </c>
      <c r="AV4280">
        <v>80.010000000000005</v>
      </c>
      <c r="AX4280" s="1">
        <v>2533.8000000000002</v>
      </c>
      <c r="AY4280" t="s">
        <v>8553</v>
      </c>
      <c r="AZ4280" t="s">
        <v>8553</v>
      </c>
      <c r="BA4280" t="s">
        <v>3360</v>
      </c>
      <c r="BE4280" s="3">
        <v>42052</v>
      </c>
      <c r="BF4280" s="1">
        <v>295000</v>
      </c>
      <c r="BG4280" t="s">
        <v>27051</v>
      </c>
      <c r="BH4280" s="1">
        <v>101.03</v>
      </c>
      <c r="BI4280" s="1">
        <v>294450</v>
      </c>
      <c r="BJ4280" s="3">
        <v>42643</v>
      </c>
      <c r="BK4280" t="s">
        <v>123</v>
      </c>
      <c r="BL4280" t="str">
        <f>"2016.717666"</f>
        <v>2016.717666</v>
      </c>
      <c r="BM4280" t="s">
        <v>709</v>
      </c>
      <c r="BO4280" t="s">
        <v>27052</v>
      </c>
      <c r="BS4280">
        <v>30</v>
      </c>
      <c r="BW4280" t="str">
        <f>""</f>
        <v/>
      </c>
      <c r="CH4280" t="str">
        <f>""</f>
        <v/>
      </c>
      <c r="CS4280" t="str">
        <f>""</f>
        <v/>
      </c>
    </row>
    <row r="4281" spans="1:97" x14ac:dyDescent="0.25">
      <c r="B4281" t="s">
        <v>27053</v>
      </c>
      <c r="E4281" t="s">
        <v>27054</v>
      </c>
      <c r="F4281" t="s">
        <v>108</v>
      </c>
      <c r="H4281" t="s">
        <v>27055</v>
      </c>
      <c r="I4281" t="s">
        <v>390</v>
      </c>
      <c r="J4281" t="s">
        <v>111</v>
      </c>
      <c r="K4281" t="str">
        <f>"85018"</f>
        <v>85018</v>
      </c>
      <c r="L4281" t="s">
        <v>5606</v>
      </c>
      <c r="M4281" t="s">
        <v>27055</v>
      </c>
      <c r="N4281" t="s">
        <v>390</v>
      </c>
      <c r="O4281" t="s">
        <v>111</v>
      </c>
      <c r="P4281" t="str">
        <f>"85018-5555"</f>
        <v>85018-5555</v>
      </c>
      <c r="Q4281" t="s">
        <v>113</v>
      </c>
      <c r="R4281" t="str">
        <f>"128-03-094"</f>
        <v>128-03-094</v>
      </c>
      <c r="S4281" t="s">
        <v>27056</v>
      </c>
      <c r="U4281">
        <v>3019</v>
      </c>
      <c r="V4281">
        <v>0</v>
      </c>
      <c r="W4281">
        <v>4</v>
      </c>
      <c r="X4281">
        <v>1975</v>
      </c>
      <c r="Y4281">
        <v>1975</v>
      </c>
      <c r="Z4281">
        <v>1</v>
      </c>
      <c r="AB4281">
        <v>0</v>
      </c>
      <c r="AC4281" t="s">
        <v>115</v>
      </c>
      <c r="AD4281">
        <v>3</v>
      </c>
      <c r="AE4281" t="s">
        <v>115</v>
      </c>
      <c r="AF4281">
        <v>0</v>
      </c>
      <c r="AG4281">
        <v>0</v>
      </c>
      <c r="AH4281" t="s">
        <v>116</v>
      </c>
      <c r="AI4281" s="1">
        <v>165649</v>
      </c>
      <c r="AJ4281" s="2">
        <v>0.22</v>
      </c>
      <c r="AK4281" s="1">
        <v>761149</v>
      </c>
      <c r="AL4281" t="s">
        <v>117</v>
      </c>
      <c r="AM4281" t="s">
        <v>1302</v>
      </c>
      <c r="AN4281">
        <v>11012</v>
      </c>
      <c r="AO4281">
        <v>0.25</v>
      </c>
      <c r="AP4281">
        <v>1</v>
      </c>
      <c r="AR4281">
        <v>1</v>
      </c>
      <c r="AS4281" s="1">
        <v>54810</v>
      </c>
      <c r="AT4281" s="1">
        <v>10960</v>
      </c>
      <c r="AU4281" s="1">
        <v>43850</v>
      </c>
      <c r="AV4281">
        <v>80</v>
      </c>
      <c r="AX4281" s="1">
        <v>3585.76</v>
      </c>
      <c r="AY4281" t="s">
        <v>8347</v>
      </c>
      <c r="AZ4281" t="s">
        <v>8348</v>
      </c>
      <c r="BA4281" t="s">
        <v>8349</v>
      </c>
      <c r="BB4281" s="3">
        <v>42838</v>
      </c>
      <c r="BD4281" t="s">
        <v>842</v>
      </c>
      <c r="BE4281" s="3">
        <v>42373</v>
      </c>
      <c r="BF4281" s="1">
        <v>655000</v>
      </c>
      <c r="BG4281" t="s">
        <v>27057</v>
      </c>
      <c r="BH4281" s="1">
        <v>216.96</v>
      </c>
      <c r="BI4281" s="1">
        <v>595500</v>
      </c>
      <c r="BJ4281" s="3">
        <v>42373</v>
      </c>
      <c r="BK4281" t="s">
        <v>123</v>
      </c>
      <c r="BL4281" t="str">
        <f>"2016.902"</f>
        <v>2016.902</v>
      </c>
      <c r="BM4281" t="s">
        <v>2748</v>
      </c>
      <c r="BN4281" t="s">
        <v>10508</v>
      </c>
      <c r="BO4281" t="s">
        <v>27058</v>
      </c>
      <c r="BS4281">
        <v>30</v>
      </c>
      <c r="BW4281" t="str">
        <f>""</f>
        <v/>
      </c>
      <c r="CH4281" t="str">
        <f>""</f>
        <v/>
      </c>
      <c r="CS4281" t="str">
        <f>""</f>
        <v/>
      </c>
    </row>
    <row r="4282" spans="1:97" x14ac:dyDescent="0.25">
      <c r="A4282" t="s">
        <v>177</v>
      </c>
      <c r="B4282" t="s">
        <v>13918</v>
      </c>
      <c r="C4282" t="s">
        <v>27059</v>
      </c>
      <c r="D4282" t="s">
        <v>13918</v>
      </c>
      <c r="E4282" t="s">
        <v>27060</v>
      </c>
      <c r="F4282" t="s">
        <v>108</v>
      </c>
      <c r="H4282" t="s">
        <v>27061</v>
      </c>
      <c r="I4282" t="s">
        <v>390</v>
      </c>
      <c r="J4282" t="s">
        <v>111</v>
      </c>
      <c r="K4282" t="str">
        <f>"85008"</f>
        <v>85008</v>
      </c>
      <c r="L4282" t="s">
        <v>6325</v>
      </c>
      <c r="M4282" t="s">
        <v>27061</v>
      </c>
      <c r="N4282" t="s">
        <v>390</v>
      </c>
      <c r="O4282" t="s">
        <v>111</v>
      </c>
      <c r="P4282" t="str">
        <f>"85008-1507"</f>
        <v>85008-1507</v>
      </c>
      <c r="Q4282" t="s">
        <v>113</v>
      </c>
      <c r="R4282" t="str">
        <f>"126-13-032"</f>
        <v>126-13-032</v>
      </c>
      <c r="S4282" t="s">
        <v>27062</v>
      </c>
      <c r="T4282" t="s">
        <v>27063</v>
      </c>
      <c r="U4282">
        <v>1798</v>
      </c>
      <c r="V4282">
        <v>0</v>
      </c>
      <c r="W4282">
        <v>2</v>
      </c>
      <c r="X4282">
        <v>1956</v>
      </c>
      <c r="Z4282">
        <v>1</v>
      </c>
      <c r="AB4282">
        <v>0</v>
      </c>
      <c r="AC4282" t="s">
        <v>115</v>
      </c>
      <c r="AD4282">
        <v>1</v>
      </c>
      <c r="AE4282" t="s">
        <v>115</v>
      </c>
      <c r="AF4282">
        <v>0</v>
      </c>
      <c r="AG4282">
        <v>0</v>
      </c>
      <c r="AH4282" t="s">
        <v>116</v>
      </c>
      <c r="AI4282" s="1">
        <v>137834</v>
      </c>
      <c r="AJ4282" s="2">
        <v>0.33</v>
      </c>
      <c r="AK4282" s="1">
        <v>414211</v>
      </c>
      <c r="AL4282" t="s">
        <v>117</v>
      </c>
      <c r="AM4282" t="s">
        <v>1302</v>
      </c>
      <c r="AN4282">
        <v>9056</v>
      </c>
      <c r="AO4282">
        <v>0.21</v>
      </c>
      <c r="AP4282">
        <v>1</v>
      </c>
      <c r="AR4282">
        <v>1</v>
      </c>
      <c r="AS4282" s="1">
        <v>30170</v>
      </c>
      <c r="AT4282" s="1">
        <v>6030</v>
      </c>
      <c r="AU4282" s="1">
        <v>24140</v>
      </c>
      <c r="AV4282">
        <v>80.010000000000005</v>
      </c>
      <c r="AX4282" s="1">
        <v>3086.12</v>
      </c>
      <c r="AY4282" t="s">
        <v>16394</v>
      </c>
      <c r="AZ4282" t="s">
        <v>16394</v>
      </c>
      <c r="BA4282" t="s">
        <v>6255</v>
      </c>
      <c r="BB4282" s="3">
        <v>43053</v>
      </c>
      <c r="BD4282" t="s">
        <v>157</v>
      </c>
      <c r="BE4282" s="3">
        <v>41705</v>
      </c>
      <c r="BF4282" s="1">
        <v>284000</v>
      </c>
      <c r="BG4282" t="s">
        <v>27064</v>
      </c>
      <c r="BH4282" s="1">
        <v>157.94999999999999</v>
      </c>
      <c r="BI4282" s="1">
        <v>276377</v>
      </c>
      <c r="BJ4282" s="3">
        <v>42593</v>
      </c>
      <c r="BK4282" t="s">
        <v>123</v>
      </c>
      <c r="BL4282" t="str">
        <f>"2016.572748"</f>
        <v>2016.572748</v>
      </c>
      <c r="BM4282" t="s">
        <v>475</v>
      </c>
      <c r="BN4282" t="s">
        <v>1282</v>
      </c>
      <c r="BO4282" t="s">
        <v>27065</v>
      </c>
      <c r="BS4282">
        <v>30</v>
      </c>
      <c r="BW4282" t="str">
        <f>""</f>
        <v/>
      </c>
      <c r="CH4282" t="str">
        <f>""</f>
        <v/>
      </c>
      <c r="CS4282" t="str">
        <f>""</f>
        <v/>
      </c>
    </row>
    <row r="4283" spans="1:97" x14ac:dyDescent="0.25">
      <c r="A4283" t="s">
        <v>23190</v>
      </c>
      <c r="B4283" t="s">
        <v>2167</v>
      </c>
      <c r="E4283" t="s">
        <v>27066</v>
      </c>
      <c r="F4283" t="s">
        <v>108</v>
      </c>
      <c r="H4283" t="s">
        <v>27067</v>
      </c>
      <c r="I4283" t="s">
        <v>5636</v>
      </c>
      <c r="J4283" t="s">
        <v>111</v>
      </c>
      <c r="K4283" t="str">
        <f>"85268"</f>
        <v>85268</v>
      </c>
      <c r="L4283" t="s">
        <v>168</v>
      </c>
      <c r="M4283" t="s">
        <v>27067</v>
      </c>
      <c r="N4283" t="s">
        <v>5636</v>
      </c>
      <c r="O4283" t="s">
        <v>111</v>
      </c>
      <c r="P4283" t="str">
        <f>"85268-3008"</f>
        <v>85268-3008</v>
      </c>
      <c r="Q4283" t="s">
        <v>113</v>
      </c>
      <c r="R4283" t="str">
        <f>"176-03-194"</f>
        <v>176-03-194</v>
      </c>
      <c r="S4283" t="s">
        <v>12231</v>
      </c>
      <c r="U4283">
        <v>1863</v>
      </c>
      <c r="V4283">
        <v>0</v>
      </c>
      <c r="W4283">
        <v>2</v>
      </c>
      <c r="X4283">
        <v>1980</v>
      </c>
      <c r="Z4283">
        <v>1</v>
      </c>
      <c r="AA4283" t="s">
        <v>26</v>
      </c>
      <c r="AB4283">
        <v>0</v>
      </c>
      <c r="AC4283" t="s">
        <v>115</v>
      </c>
      <c r="AD4283">
        <v>2</v>
      </c>
      <c r="AE4283" t="s">
        <v>115</v>
      </c>
      <c r="AF4283">
        <v>0</v>
      </c>
      <c r="AG4283">
        <v>0</v>
      </c>
      <c r="AH4283" t="s">
        <v>116</v>
      </c>
      <c r="AI4283" s="1">
        <v>107006</v>
      </c>
      <c r="AJ4283" s="2">
        <v>0.28999999999999998</v>
      </c>
      <c r="AK4283" s="1">
        <v>373506</v>
      </c>
      <c r="AL4283" t="s">
        <v>117</v>
      </c>
      <c r="AM4283" t="s">
        <v>171</v>
      </c>
      <c r="AN4283">
        <v>13255</v>
      </c>
      <c r="AO4283">
        <v>0.3</v>
      </c>
      <c r="AP4283">
        <v>1</v>
      </c>
      <c r="AR4283">
        <v>1</v>
      </c>
      <c r="AS4283" s="1">
        <v>25530</v>
      </c>
      <c r="AT4283" s="1">
        <v>5100</v>
      </c>
      <c r="AU4283" s="1">
        <v>20430</v>
      </c>
      <c r="AV4283">
        <v>80.02</v>
      </c>
      <c r="AX4283" s="1">
        <v>1485.54</v>
      </c>
      <c r="AY4283" t="s">
        <v>6485</v>
      </c>
      <c r="AZ4283" t="s">
        <v>5640</v>
      </c>
      <c r="BA4283" t="s">
        <v>5641</v>
      </c>
      <c r="BB4283" s="3">
        <v>42474</v>
      </c>
      <c r="BD4283" t="s">
        <v>458</v>
      </c>
      <c r="BE4283" s="3">
        <v>42459</v>
      </c>
      <c r="BF4283" s="1">
        <v>299900</v>
      </c>
      <c r="BG4283" t="s">
        <v>27068</v>
      </c>
      <c r="BH4283" s="1">
        <v>160.97999999999999</v>
      </c>
      <c r="BI4283" s="1">
        <v>266500</v>
      </c>
      <c r="BJ4283" s="3">
        <v>43104</v>
      </c>
      <c r="BK4283" t="s">
        <v>123</v>
      </c>
      <c r="BL4283" t="str">
        <f>"2018.6634"</f>
        <v>2018.6634</v>
      </c>
      <c r="BM4283" t="s">
        <v>533</v>
      </c>
      <c r="BN4283" t="s">
        <v>534</v>
      </c>
      <c r="BO4283" t="s">
        <v>27069</v>
      </c>
      <c r="BP4283" t="s">
        <v>27070</v>
      </c>
      <c r="BR4283" t="s">
        <v>139</v>
      </c>
      <c r="BW4283" t="str">
        <f>""</f>
        <v/>
      </c>
      <c r="CH4283" t="str">
        <f>""</f>
        <v/>
      </c>
      <c r="CS4283" t="str">
        <f>""</f>
        <v/>
      </c>
    </row>
    <row r="4284" spans="1:97" x14ac:dyDescent="0.25">
      <c r="A4284" t="s">
        <v>370</v>
      </c>
      <c r="B4284" t="s">
        <v>603</v>
      </c>
      <c r="E4284" t="s">
        <v>27071</v>
      </c>
      <c r="F4284" t="s">
        <v>108</v>
      </c>
      <c r="H4284" t="s">
        <v>27072</v>
      </c>
      <c r="I4284" t="s">
        <v>225</v>
      </c>
      <c r="J4284" t="s">
        <v>111</v>
      </c>
      <c r="K4284" t="str">
        <f>"85212"</f>
        <v>85212</v>
      </c>
      <c r="L4284" t="s">
        <v>7619</v>
      </c>
      <c r="M4284" t="s">
        <v>27072</v>
      </c>
      <c r="N4284" t="s">
        <v>225</v>
      </c>
      <c r="O4284" t="s">
        <v>111</v>
      </c>
      <c r="P4284" t="str">
        <f>"85212-2571"</f>
        <v>85212-2571</v>
      </c>
      <c r="Q4284" t="s">
        <v>113</v>
      </c>
      <c r="R4284" t="str">
        <f>"312-08-512"</f>
        <v>312-08-512</v>
      </c>
      <c r="S4284" t="s">
        <v>27073</v>
      </c>
      <c r="T4284" t="s">
        <v>8810</v>
      </c>
      <c r="U4284">
        <v>3758</v>
      </c>
      <c r="V4284">
        <v>0</v>
      </c>
      <c r="W4284">
        <v>5</v>
      </c>
      <c r="X4284">
        <v>2011</v>
      </c>
      <c r="Z4284">
        <v>2</v>
      </c>
      <c r="AA4284" t="s">
        <v>26</v>
      </c>
      <c r="AB4284">
        <v>0</v>
      </c>
      <c r="AC4284" t="s">
        <v>115</v>
      </c>
      <c r="AD4284">
        <v>3</v>
      </c>
      <c r="AE4284" t="s">
        <v>115</v>
      </c>
      <c r="AF4284">
        <v>0</v>
      </c>
      <c r="AG4284">
        <v>0</v>
      </c>
      <c r="AH4284" t="s">
        <v>116</v>
      </c>
      <c r="AI4284" s="1">
        <v>83431</v>
      </c>
      <c r="AJ4284" s="2">
        <v>0.18</v>
      </c>
      <c r="AK4284" s="1">
        <v>463429</v>
      </c>
      <c r="AL4284" t="s">
        <v>117</v>
      </c>
      <c r="AM4284" t="s">
        <v>393</v>
      </c>
      <c r="AN4284">
        <v>8716</v>
      </c>
      <c r="AO4284">
        <v>0.2</v>
      </c>
      <c r="AR4284">
        <v>1</v>
      </c>
      <c r="AS4284" s="1">
        <v>32080</v>
      </c>
      <c r="AT4284" s="1">
        <v>6410</v>
      </c>
      <c r="AU4284" s="1">
        <v>25670</v>
      </c>
      <c r="AV4284">
        <v>80.02</v>
      </c>
      <c r="AX4284" s="1">
        <v>2695.84</v>
      </c>
      <c r="AY4284" t="s">
        <v>776</v>
      </c>
      <c r="AZ4284" t="s">
        <v>777</v>
      </c>
      <c r="BA4284" t="s">
        <v>572</v>
      </c>
      <c r="BE4284" s="3">
        <v>41894</v>
      </c>
      <c r="BF4284" s="1">
        <v>372000</v>
      </c>
      <c r="BG4284" t="s">
        <v>27074</v>
      </c>
      <c r="BH4284" s="1">
        <v>98.99</v>
      </c>
      <c r="BI4284" s="1">
        <v>379998</v>
      </c>
      <c r="BJ4284" s="3">
        <v>41894</v>
      </c>
      <c r="BK4284" t="s">
        <v>123</v>
      </c>
      <c r="BL4284" t="str">
        <f>"2014.604892"</f>
        <v>2014.604892</v>
      </c>
      <c r="BM4284" t="s">
        <v>1325</v>
      </c>
      <c r="BO4284" t="s">
        <v>27075</v>
      </c>
      <c r="BS4284">
        <v>30</v>
      </c>
      <c r="BW4284" t="str">
        <f>""</f>
        <v/>
      </c>
      <c r="CH4284" t="str">
        <f>""</f>
        <v/>
      </c>
      <c r="CS4284" t="str">
        <f>""</f>
        <v/>
      </c>
    </row>
    <row r="4285" spans="1:97" x14ac:dyDescent="0.25">
      <c r="A4285" t="s">
        <v>27076</v>
      </c>
      <c r="B4285" t="s">
        <v>21730</v>
      </c>
      <c r="C4285" t="s">
        <v>3938</v>
      </c>
      <c r="D4285" t="s">
        <v>21730</v>
      </c>
      <c r="E4285" t="s">
        <v>27077</v>
      </c>
      <c r="F4285" t="s">
        <v>108</v>
      </c>
      <c r="H4285" t="s">
        <v>27078</v>
      </c>
      <c r="I4285" t="s">
        <v>203</v>
      </c>
      <c r="J4285" t="s">
        <v>111</v>
      </c>
      <c r="K4285" t="str">
        <f>"85233"</f>
        <v>85233</v>
      </c>
      <c r="L4285" t="s">
        <v>226</v>
      </c>
      <c r="M4285" t="s">
        <v>27078</v>
      </c>
      <c r="N4285" t="s">
        <v>203</v>
      </c>
      <c r="O4285" t="s">
        <v>111</v>
      </c>
      <c r="P4285" t="str">
        <f>"85233-2674"</f>
        <v>85233-2674</v>
      </c>
      <c r="Q4285" t="s">
        <v>113</v>
      </c>
      <c r="R4285" t="str">
        <f>"310-05-668"</f>
        <v>310-05-668</v>
      </c>
      <c r="S4285" t="s">
        <v>9438</v>
      </c>
      <c r="T4285" t="s">
        <v>9439</v>
      </c>
      <c r="U4285">
        <v>2690</v>
      </c>
      <c r="V4285">
        <v>0</v>
      </c>
      <c r="W4285">
        <v>4</v>
      </c>
      <c r="X4285">
        <v>1998</v>
      </c>
      <c r="Z4285">
        <v>2</v>
      </c>
      <c r="AA4285" t="s">
        <v>26</v>
      </c>
      <c r="AB4285">
        <v>0</v>
      </c>
      <c r="AC4285" t="s">
        <v>115</v>
      </c>
      <c r="AD4285">
        <v>3</v>
      </c>
      <c r="AE4285" t="s">
        <v>115</v>
      </c>
      <c r="AF4285">
        <v>0</v>
      </c>
      <c r="AG4285">
        <v>0</v>
      </c>
      <c r="AH4285" t="s">
        <v>116</v>
      </c>
      <c r="AI4285" s="1">
        <v>80370</v>
      </c>
      <c r="AJ4285" s="2">
        <v>0.19</v>
      </c>
      <c r="AK4285" s="1">
        <v>424455</v>
      </c>
      <c r="AL4285" t="s">
        <v>117</v>
      </c>
      <c r="AM4285" t="s">
        <v>393</v>
      </c>
      <c r="AN4285">
        <v>7684</v>
      </c>
      <c r="AO4285">
        <v>0.18</v>
      </c>
      <c r="AP4285">
        <v>1</v>
      </c>
      <c r="AR4285">
        <v>1</v>
      </c>
      <c r="AS4285" s="1">
        <v>30550</v>
      </c>
      <c r="AT4285" s="1">
        <v>6110</v>
      </c>
      <c r="AU4285" s="1">
        <v>24440</v>
      </c>
      <c r="AV4285">
        <v>80</v>
      </c>
      <c r="AX4285" s="1">
        <v>2308.86</v>
      </c>
      <c r="AY4285" t="s">
        <v>8604</v>
      </c>
      <c r="AZ4285" t="s">
        <v>5478</v>
      </c>
      <c r="BA4285" t="s">
        <v>5479</v>
      </c>
      <c r="BE4285" s="3">
        <v>42489</v>
      </c>
      <c r="BF4285" s="1">
        <v>365000</v>
      </c>
      <c r="BG4285" t="s">
        <v>27079</v>
      </c>
      <c r="BH4285" s="1">
        <v>135.69</v>
      </c>
      <c r="BI4285" s="1">
        <v>344085</v>
      </c>
      <c r="BJ4285" s="3">
        <v>42489</v>
      </c>
      <c r="BK4285" t="s">
        <v>123</v>
      </c>
      <c r="BL4285" t="str">
        <f>"2016.289236"</f>
        <v>2016.289236</v>
      </c>
      <c r="BM4285" t="s">
        <v>1791</v>
      </c>
      <c r="BO4285" t="s">
        <v>27080</v>
      </c>
      <c r="BS4285">
        <v>30</v>
      </c>
      <c r="BW4285" t="str">
        <f>""</f>
        <v/>
      </c>
      <c r="CH4285" t="str">
        <f>""</f>
        <v/>
      </c>
      <c r="CS4285" t="str">
        <f>""</f>
        <v/>
      </c>
    </row>
    <row r="4286" spans="1:97" x14ac:dyDescent="0.25">
      <c r="B4286" t="s">
        <v>27081</v>
      </c>
      <c r="E4286" t="s">
        <v>27082</v>
      </c>
      <c r="F4286" t="s">
        <v>139</v>
      </c>
      <c r="H4286" t="s">
        <v>27083</v>
      </c>
      <c r="I4286" t="s">
        <v>499</v>
      </c>
      <c r="J4286" t="s">
        <v>111</v>
      </c>
      <c r="K4286" t="str">
        <f>"85395"</f>
        <v>85395</v>
      </c>
      <c r="L4286" t="s">
        <v>7243</v>
      </c>
      <c r="M4286" t="s">
        <v>27083</v>
      </c>
      <c r="N4286" t="s">
        <v>499</v>
      </c>
      <c r="O4286" t="s">
        <v>111</v>
      </c>
      <c r="P4286" t="str">
        <f>"85395-8226"</f>
        <v>85395-8226</v>
      </c>
      <c r="Q4286" t="s">
        <v>113</v>
      </c>
      <c r="R4286" t="str">
        <f>"508-01-683"</f>
        <v>508-01-683</v>
      </c>
      <c r="S4286" t="s">
        <v>15264</v>
      </c>
      <c r="T4286" t="s">
        <v>15265</v>
      </c>
      <c r="U4286">
        <v>2680</v>
      </c>
      <c r="V4286">
        <v>0</v>
      </c>
      <c r="W4286">
        <v>4</v>
      </c>
      <c r="X4286">
        <v>2001</v>
      </c>
      <c r="Z4286">
        <v>1</v>
      </c>
      <c r="AA4286" t="s">
        <v>26</v>
      </c>
      <c r="AB4286">
        <v>0</v>
      </c>
      <c r="AC4286" t="s">
        <v>115</v>
      </c>
      <c r="AD4286">
        <v>3</v>
      </c>
      <c r="AE4286" t="s">
        <v>115</v>
      </c>
      <c r="AF4286">
        <v>0</v>
      </c>
      <c r="AG4286">
        <v>0</v>
      </c>
      <c r="AH4286" t="s">
        <v>116</v>
      </c>
      <c r="AI4286" s="1">
        <v>91222</v>
      </c>
      <c r="AJ4286" s="2">
        <v>0.25</v>
      </c>
      <c r="AK4286" s="1">
        <v>370222</v>
      </c>
      <c r="AL4286" t="s">
        <v>117</v>
      </c>
      <c r="AM4286" t="s">
        <v>118</v>
      </c>
      <c r="AN4286">
        <v>9052</v>
      </c>
      <c r="AO4286">
        <v>0.21</v>
      </c>
      <c r="AP4286">
        <v>1</v>
      </c>
      <c r="AR4286">
        <v>1</v>
      </c>
      <c r="AS4286" s="1">
        <v>27000</v>
      </c>
      <c r="AT4286" s="1">
        <v>5400</v>
      </c>
      <c r="AU4286" s="1">
        <v>21600</v>
      </c>
      <c r="AV4286">
        <v>80</v>
      </c>
      <c r="AX4286" s="1">
        <v>3995.64</v>
      </c>
      <c r="AY4286" t="s">
        <v>3020</v>
      </c>
      <c r="AZ4286" t="s">
        <v>3020</v>
      </c>
      <c r="BA4286" t="s">
        <v>3154</v>
      </c>
      <c r="BB4286" s="3">
        <v>43193</v>
      </c>
      <c r="BC4286" s="1">
        <v>0</v>
      </c>
      <c r="BD4286" t="s">
        <v>247</v>
      </c>
      <c r="BE4286" s="3">
        <v>41779</v>
      </c>
      <c r="BF4286" s="1">
        <v>270000</v>
      </c>
      <c r="BG4286" t="s">
        <v>27084</v>
      </c>
      <c r="BH4286" s="1">
        <v>100.75</v>
      </c>
      <c r="BI4286" s="1">
        <v>279000</v>
      </c>
      <c r="BJ4286" s="3">
        <v>42515</v>
      </c>
      <c r="BK4286" t="s">
        <v>123</v>
      </c>
      <c r="BL4286" t="str">
        <f>"2016.358954"</f>
        <v>2016.358954</v>
      </c>
      <c r="BM4286" t="s">
        <v>3121</v>
      </c>
      <c r="BN4286" t="s">
        <v>3122</v>
      </c>
      <c r="BO4286" t="s">
        <v>27085</v>
      </c>
      <c r="BS4286">
        <v>30</v>
      </c>
      <c r="BW4286" t="str">
        <f>""</f>
        <v/>
      </c>
      <c r="CH4286" t="str">
        <f>""</f>
        <v/>
      </c>
      <c r="CS4286" t="str">
        <f>""</f>
        <v/>
      </c>
    </row>
    <row r="4287" spans="1:97" x14ac:dyDescent="0.25">
      <c r="B4287" t="s">
        <v>27086</v>
      </c>
      <c r="E4287" t="s">
        <v>27087</v>
      </c>
      <c r="F4287" t="s">
        <v>139</v>
      </c>
      <c r="H4287" t="s">
        <v>27088</v>
      </c>
      <c r="I4287" t="s">
        <v>632</v>
      </c>
      <c r="J4287" t="s">
        <v>111</v>
      </c>
      <c r="K4287" t="str">
        <f>"85374"</f>
        <v>85374</v>
      </c>
      <c r="L4287" t="s">
        <v>9178</v>
      </c>
      <c r="M4287" t="s">
        <v>27088</v>
      </c>
      <c r="N4287" t="s">
        <v>632</v>
      </c>
      <c r="O4287" t="s">
        <v>111</v>
      </c>
      <c r="P4287" t="str">
        <f>"85374-8613"</f>
        <v>85374-8613</v>
      </c>
      <c r="Q4287" t="s">
        <v>113</v>
      </c>
      <c r="R4287" t="str">
        <f>"232-41-434"</f>
        <v>232-41-434</v>
      </c>
      <c r="S4287" t="s">
        <v>12851</v>
      </c>
      <c r="T4287" t="s">
        <v>12852</v>
      </c>
      <c r="U4287">
        <v>1958</v>
      </c>
      <c r="V4287">
        <v>0</v>
      </c>
      <c r="W4287">
        <v>3</v>
      </c>
      <c r="X4287">
        <v>2002</v>
      </c>
      <c r="Z4287">
        <v>1</v>
      </c>
      <c r="AB4287">
        <v>0</v>
      </c>
      <c r="AC4287" t="s">
        <v>115</v>
      </c>
      <c r="AD4287">
        <v>2</v>
      </c>
      <c r="AE4287" t="s">
        <v>115</v>
      </c>
      <c r="AF4287">
        <v>0</v>
      </c>
      <c r="AG4287">
        <v>0</v>
      </c>
      <c r="AH4287" t="s">
        <v>116</v>
      </c>
      <c r="AI4287" s="1">
        <v>104851</v>
      </c>
      <c r="AJ4287" s="2">
        <v>0.3</v>
      </c>
      <c r="AK4287" s="1">
        <v>351738</v>
      </c>
      <c r="AL4287" t="s">
        <v>117</v>
      </c>
      <c r="AM4287" t="s">
        <v>118</v>
      </c>
      <c r="AN4287">
        <v>10113</v>
      </c>
      <c r="AO4287">
        <v>0.23</v>
      </c>
      <c r="AP4287">
        <v>1</v>
      </c>
      <c r="AR4287">
        <v>1</v>
      </c>
      <c r="AS4287" s="1">
        <v>24260</v>
      </c>
      <c r="AT4287" s="1">
        <v>4850</v>
      </c>
      <c r="AU4287" s="1">
        <v>19410</v>
      </c>
      <c r="AV4287">
        <v>80.010000000000005</v>
      </c>
      <c r="AX4287" s="1">
        <v>2521.64</v>
      </c>
      <c r="AY4287" t="s">
        <v>5108</v>
      </c>
      <c r="AZ4287" t="s">
        <v>5108</v>
      </c>
      <c r="BA4287" t="s">
        <v>5109</v>
      </c>
      <c r="BB4287" s="3">
        <v>43364</v>
      </c>
      <c r="BC4287" s="1">
        <v>0</v>
      </c>
      <c r="BD4287" t="s">
        <v>247</v>
      </c>
      <c r="BE4287" s="3">
        <v>41753</v>
      </c>
      <c r="BF4287" s="1">
        <v>260000</v>
      </c>
      <c r="BG4287" t="s">
        <v>27089</v>
      </c>
      <c r="BH4287" s="1">
        <v>132.79</v>
      </c>
      <c r="BI4287" s="1">
        <v>246887</v>
      </c>
      <c r="BJ4287" s="3">
        <v>42374</v>
      </c>
      <c r="BK4287" t="s">
        <v>123</v>
      </c>
      <c r="BL4287" t="str">
        <f>"2016.4063"</f>
        <v>2016.4063</v>
      </c>
      <c r="BM4287" t="s">
        <v>1837</v>
      </c>
      <c r="BN4287" t="s">
        <v>1916</v>
      </c>
      <c r="BO4287" t="s">
        <v>27090</v>
      </c>
      <c r="BS4287">
        <v>30</v>
      </c>
      <c r="BW4287" t="str">
        <f>""</f>
        <v/>
      </c>
      <c r="CH4287" t="str">
        <f>""</f>
        <v/>
      </c>
      <c r="CS4287" t="str">
        <f>""</f>
        <v/>
      </c>
    </row>
    <row r="4288" spans="1:97" x14ac:dyDescent="0.25">
      <c r="A4288" t="s">
        <v>11735</v>
      </c>
      <c r="B4288" t="s">
        <v>27091</v>
      </c>
      <c r="C4288" t="s">
        <v>2099</v>
      </c>
      <c r="D4288" t="s">
        <v>27091</v>
      </c>
      <c r="E4288" t="s">
        <v>27092</v>
      </c>
      <c r="F4288" t="s">
        <v>108</v>
      </c>
      <c r="H4288" t="s">
        <v>27093</v>
      </c>
      <c r="I4288" t="s">
        <v>203</v>
      </c>
      <c r="J4288" t="s">
        <v>111</v>
      </c>
      <c r="K4288" t="str">
        <f>"85234"</f>
        <v>85234</v>
      </c>
      <c r="L4288" t="s">
        <v>1796</v>
      </c>
      <c r="M4288" t="s">
        <v>27093</v>
      </c>
      <c r="N4288" t="s">
        <v>203</v>
      </c>
      <c r="O4288" t="s">
        <v>111</v>
      </c>
      <c r="P4288" t="str">
        <f>"85234-4677"</f>
        <v>85234-4677</v>
      </c>
      <c r="Q4288" t="s">
        <v>113</v>
      </c>
      <c r="R4288" t="str">
        <f>"304-12-182"</f>
        <v>304-12-182</v>
      </c>
      <c r="S4288" t="s">
        <v>27094</v>
      </c>
      <c r="T4288" t="s">
        <v>27095</v>
      </c>
      <c r="U4288">
        <v>2930</v>
      </c>
      <c r="V4288">
        <v>0</v>
      </c>
      <c r="W4288">
        <v>2</v>
      </c>
      <c r="X4288">
        <v>1979</v>
      </c>
      <c r="Z4288">
        <v>1</v>
      </c>
      <c r="AA4288" t="s">
        <v>26</v>
      </c>
      <c r="AB4288">
        <v>0</v>
      </c>
      <c r="AC4288" t="s">
        <v>115</v>
      </c>
      <c r="AD4288">
        <v>5</v>
      </c>
      <c r="AE4288" t="s">
        <v>115</v>
      </c>
      <c r="AF4288">
        <v>0</v>
      </c>
      <c r="AG4288">
        <v>0</v>
      </c>
      <c r="AH4288" t="s">
        <v>116</v>
      </c>
      <c r="AI4288" s="1">
        <v>101866</v>
      </c>
      <c r="AJ4288" s="2">
        <v>0.17</v>
      </c>
      <c r="AK4288" s="1">
        <v>593633</v>
      </c>
      <c r="AL4288" t="s">
        <v>117</v>
      </c>
      <c r="AM4288" t="s">
        <v>3973</v>
      </c>
      <c r="AN4288">
        <v>38899</v>
      </c>
      <c r="AO4288">
        <v>0.89</v>
      </c>
      <c r="AP4288">
        <v>1</v>
      </c>
      <c r="AR4288">
        <v>1</v>
      </c>
      <c r="AS4288" s="1">
        <v>44610</v>
      </c>
      <c r="AT4288" s="1">
        <v>8920</v>
      </c>
      <c r="AU4288" s="1">
        <v>35690</v>
      </c>
      <c r="AV4288">
        <v>80</v>
      </c>
      <c r="AX4288" s="1">
        <v>3347.5</v>
      </c>
      <c r="AY4288" t="s">
        <v>9115</v>
      </c>
      <c r="AZ4288" t="s">
        <v>5478</v>
      </c>
      <c r="BA4288" t="s">
        <v>5033</v>
      </c>
      <c r="BE4288" s="3">
        <v>41907</v>
      </c>
      <c r="BF4288" s="1">
        <v>510000</v>
      </c>
      <c r="BG4288" t="s">
        <v>27096</v>
      </c>
      <c r="BH4288" s="1">
        <v>174.06</v>
      </c>
      <c r="BI4288" s="1">
        <v>491767</v>
      </c>
      <c r="BJ4288" s="3">
        <v>41907</v>
      </c>
      <c r="BK4288" t="s">
        <v>123</v>
      </c>
      <c r="BL4288" t="str">
        <f>"2014.635179"</f>
        <v>2014.635179</v>
      </c>
      <c r="BM4288" t="s">
        <v>594</v>
      </c>
      <c r="BO4288" t="s">
        <v>27097</v>
      </c>
      <c r="BS4288">
        <v>30</v>
      </c>
      <c r="BW4288" t="str">
        <f>""</f>
        <v/>
      </c>
      <c r="CH4288" t="str">
        <f>""</f>
        <v/>
      </c>
      <c r="CS4288" t="str">
        <f>""</f>
        <v/>
      </c>
    </row>
    <row r="4289" spans="1:97" x14ac:dyDescent="0.25">
      <c r="A4289" t="s">
        <v>894</v>
      </c>
      <c r="B4289" t="s">
        <v>27098</v>
      </c>
      <c r="E4289" t="s">
        <v>27099</v>
      </c>
      <c r="F4289" t="s">
        <v>108</v>
      </c>
      <c r="H4289" t="s">
        <v>27100</v>
      </c>
      <c r="I4289" t="s">
        <v>390</v>
      </c>
      <c r="J4289" t="s">
        <v>111</v>
      </c>
      <c r="K4289" t="str">
        <f>"85028"</f>
        <v>85028</v>
      </c>
      <c r="L4289" t="s">
        <v>6169</v>
      </c>
      <c r="M4289" t="s">
        <v>27100</v>
      </c>
      <c r="N4289" t="s">
        <v>390</v>
      </c>
      <c r="O4289" t="s">
        <v>111</v>
      </c>
      <c r="P4289" t="str">
        <f>"85028-1309"</f>
        <v>85028-1309</v>
      </c>
      <c r="Q4289" t="s">
        <v>113</v>
      </c>
      <c r="R4289" t="str">
        <f>"166-33-059"</f>
        <v>166-33-059</v>
      </c>
      <c r="S4289" t="s">
        <v>12674</v>
      </c>
      <c r="U4289">
        <v>1708</v>
      </c>
      <c r="V4289">
        <v>0</v>
      </c>
      <c r="W4289">
        <v>2</v>
      </c>
      <c r="X4289">
        <v>1971</v>
      </c>
      <c r="Z4289">
        <v>1</v>
      </c>
      <c r="AB4289">
        <v>0</v>
      </c>
      <c r="AC4289" t="s">
        <v>115</v>
      </c>
      <c r="AD4289">
        <v>1</v>
      </c>
      <c r="AE4289" t="s">
        <v>115</v>
      </c>
      <c r="AF4289">
        <v>0</v>
      </c>
      <c r="AG4289">
        <v>0</v>
      </c>
      <c r="AH4289" t="s">
        <v>116</v>
      </c>
      <c r="AI4289" s="1">
        <v>82690</v>
      </c>
      <c r="AJ4289" s="2">
        <v>0.25</v>
      </c>
      <c r="AK4289" s="1">
        <v>325445</v>
      </c>
      <c r="AL4289" t="s">
        <v>117</v>
      </c>
      <c r="AM4289" t="s">
        <v>171</v>
      </c>
      <c r="AN4289">
        <v>9587</v>
      </c>
      <c r="AO4289">
        <v>0.22</v>
      </c>
      <c r="AP4289">
        <v>1</v>
      </c>
      <c r="AR4289">
        <v>1</v>
      </c>
      <c r="AS4289" s="1">
        <v>22500</v>
      </c>
      <c r="AT4289" s="1">
        <v>4500</v>
      </c>
      <c r="AU4289" s="1">
        <v>18000</v>
      </c>
      <c r="AV4289">
        <v>80</v>
      </c>
      <c r="AX4289" s="1">
        <v>1746.92</v>
      </c>
      <c r="AY4289" t="s">
        <v>5488</v>
      </c>
      <c r="AZ4289" t="s">
        <v>5489</v>
      </c>
      <c r="BA4289" t="s">
        <v>5232</v>
      </c>
      <c r="BE4289" s="3">
        <v>41878</v>
      </c>
      <c r="BF4289" s="1">
        <v>235000</v>
      </c>
      <c r="BG4289" t="s">
        <v>27101</v>
      </c>
      <c r="BH4289" s="1">
        <v>190.75</v>
      </c>
      <c r="BI4289" s="1">
        <v>242755</v>
      </c>
      <c r="BJ4289" s="3">
        <v>41878</v>
      </c>
      <c r="BK4289" t="s">
        <v>123</v>
      </c>
      <c r="BL4289" t="str">
        <f>"2014.569685"</f>
        <v>2014.569685</v>
      </c>
      <c r="BM4289" t="s">
        <v>1038</v>
      </c>
      <c r="BO4289" t="s">
        <v>27102</v>
      </c>
      <c r="BS4289">
        <v>30</v>
      </c>
      <c r="BW4289" t="str">
        <f>""</f>
        <v/>
      </c>
      <c r="CH4289" t="str">
        <f>""</f>
        <v/>
      </c>
      <c r="CS4289" t="str">
        <f>""</f>
        <v/>
      </c>
    </row>
    <row r="4290" spans="1:97" x14ac:dyDescent="0.25">
      <c r="A4290" t="s">
        <v>996</v>
      </c>
      <c r="B4290" t="s">
        <v>27103</v>
      </c>
      <c r="E4290" t="s">
        <v>27104</v>
      </c>
      <c r="F4290" t="s">
        <v>108</v>
      </c>
      <c r="H4290" t="s">
        <v>27105</v>
      </c>
      <c r="I4290" t="s">
        <v>203</v>
      </c>
      <c r="J4290" t="s">
        <v>111</v>
      </c>
      <c r="K4290" t="str">
        <f>"85234"</f>
        <v>85234</v>
      </c>
      <c r="L4290" t="s">
        <v>5228</v>
      </c>
      <c r="M4290" t="s">
        <v>27105</v>
      </c>
      <c r="N4290" t="s">
        <v>203</v>
      </c>
      <c r="O4290" t="s">
        <v>111</v>
      </c>
      <c r="P4290" t="str">
        <f>"85234-2006"</f>
        <v>85234-2006</v>
      </c>
      <c r="Q4290" t="s">
        <v>113</v>
      </c>
      <c r="R4290" t="str">
        <f>"312-07-049"</f>
        <v>312-07-049</v>
      </c>
      <c r="S4290" t="s">
        <v>11462</v>
      </c>
      <c r="T4290" t="s">
        <v>11462</v>
      </c>
      <c r="U4290">
        <v>3643</v>
      </c>
      <c r="V4290">
        <v>0</v>
      </c>
      <c r="W4290">
        <v>3</v>
      </c>
      <c r="X4290">
        <v>2002</v>
      </c>
      <c r="Z4290">
        <v>2</v>
      </c>
      <c r="AA4290" t="s">
        <v>26</v>
      </c>
      <c r="AB4290">
        <v>0</v>
      </c>
      <c r="AC4290" t="s">
        <v>115</v>
      </c>
      <c r="AD4290">
        <v>3</v>
      </c>
      <c r="AE4290" t="s">
        <v>115</v>
      </c>
      <c r="AF4290">
        <v>0</v>
      </c>
      <c r="AG4290">
        <v>0</v>
      </c>
      <c r="AH4290" t="s">
        <v>116</v>
      </c>
      <c r="AI4290" s="1">
        <v>168899</v>
      </c>
      <c r="AJ4290" s="2">
        <v>0.33</v>
      </c>
      <c r="AK4290" s="1">
        <v>508899</v>
      </c>
      <c r="AL4290" t="s">
        <v>117</v>
      </c>
      <c r="AM4290" t="s">
        <v>1302</v>
      </c>
      <c r="AN4290">
        <v>11321</v>
      </c>
      <c r="AO4290">
        <v>0.26</v>
      </c>
      <c r="AP4290">
        <v>1</v>
      </c>
      <c r="AR4290">
        <v>1</v>
      </c>
      <c r="AS4290" s="1">
        <v>37750</v>
      </c>
      <c r="AT4290" s="1">
        <v>7550</v>
      </c>
      <c r="AU4290" s="1">
        <v>30200</v>
      </c>
      <c r="AV4290">
        <v>80</v>
      </c>
      <c r="AX4290" s="1">
        <v>3027.82</v>
      </c>
      <c r="AY4290" t="s">
        <v>8450</v>
      </c>
      <c r="AZ4290" t="s">
        <v>571</v>
      </c>
      <c r="BA4290" t="s">
        <v>521</v>
      </c>
      <c r="BE4290" s="3">
        <v>42146</v>
      </c>
      <c r="BF4290" s="1">
        <v>380000</v>
      </c>
      <c r="BG4290" t="s">
        <v>27106</v>
      </c>
      <c r="BH4290" s="1">
        <v>104.31</v>
      </c>
      <c r="BI4290" s="1">
        <v>340000</v>
      </c>
      <c r="BJ4290" s="3">
        <v>42146</v>
      </c>
      <c r="BK4290" t="s">
        <v>123</v>
      </c>
      <c r="BL4290" t="str">
        <f>"2015.364497"</f>
        <v>2015.364497</v>
      </c>
      <c r="BM4290" t="s">
        <v>4009</v>
      </c>
      <c r="BO4290" t="s">
        <v>27107</v>
      </c>
      <c r="BS4290">
        <v>30</v>
      </c>
      <c r="BW4290" t="str">
        <f>""</f>
        <v/>
      </c>
      <c r="CH4290" t="str">
        <f>""</f>
        <v/>
      </c>
      <c r="CS4290" t="str">
        <f>""</f>
        <v/>
      </c>
    </row>
    <row r="4291" spans="1:97" x14ac:dyDescent="0.25">
      <c r="A4291" t="s">
        <v>996</v>
      </c>
      <c r="B4291" t="s">
        <v>27108</v>
      </c>
      <c r="C4291" t="s">
        <v>27109</v>
      </c>
      <c r="D4291" t="s">
        <v>27108</v>
      </c>
      <c r="E4291" t="s">
        <v>27110</v>
      </c>
      <c r="F4291" t="s">
        <v>108</v>
      </c>
      <c r="H4291" t="s">
        <v>27111</v>
      </c>
      <c r="I4291" t="s">
        <v>203</v>
      </c>
      <c r="J4291" t="s">
        <v>111</v>
      </c>
      <c r="K4291" t="str">
        <f>"85298"</f>
        <v>85298</v>
      </c>
      <c r="L4291" t="s">
        <v>721</v>
      </c>
      <c r="M4291" t="s">
        <v>27111</v>
      </c>
      <c r="N4291" t="s">
        <v>203</v>
      </c>
      <c r="O4291" t="s">
        <v>111</v>
      </c>
      <c r="P4291" t="str">
        <f>"85298-8170"</f>
        <v>85298-8170</v>
      </c>
      <c r="Q4291" t="s">
        <v>113</v>
      </c>
      <c r="R4291" t="str">
        <f>"304-86-078"</f>
        <v>304-86-078</v>
      </c>
      <c r="S4291" t="s">
        <v>5950</v>
      </c>
      <c r="T4291" t="s">
        <v>5951</v>
      </c>
      <c r="U4291">
        <v>3473</v>
      </c>
      <c r="V4291">
        <v>0</v>
      </c>
      <c r="W4291">
        <v>4</v>
      </c>
      <c r="X4291">
        <v>2014</v>
      </c>
      <c r="Z4291">
        <v>1</v>
      </c>
      <c r="AB4291">
        <v>0</v>
      </c>
      <c r="AC4291" t="s">
        <v>115</v>
      </c>
      <c r="AD4291">
        <v>4</v>
      </c>
      <c r="AE4291" t="s">
        <v>115</v>
      </c>
      <c r="AF4291">
        <v>0</v>
      </c>
      <c r="AG4291">
        <v>0</v>
      </c>
      <c r="AH4291" t="s">
        <v>116</v>
      </c>
      <c r="AI4291" s="1">
        <v>167783</v>
      </c>
      <c r="AJ4291" s="2">
        <v>0.23</v>
      </c>
      <c r="AK4291" s="1">
        <v>726252</v>
      </c>
      <c r="AL4291" t="s">
        <v>117</v>
      </c>
      <c r="AM4291" t="s">
        <v>1521</v>
      </c>
      <c r="AN4291">
        <v>20531</v>
      </c>
      <c r="AO4291">
        <v>0.47</v>
      </c>
      <c r="AR4291">
        <v>1</v>
      </c>
      <c r="AS4291" s="1">
        <v>60880</v>
      </c>
      <c r="AT4291" s="1">
        <v>12170</v>
      </c>
      <c r="AU4291" s="1">
        <v>48710</v>
      </c>
      <c r="AV4291">
        <v>80.010000000000005</v>
      </c>
      <c r="AX4291" s="1">
        <v>5254.22</v>
      </c>
      <c r="AY4291" t="s">
        <v>272</v>
      </c>
      <c r="AZ4291" t="s">
        <v>273</v>
      </c>
      <c r="BA4291" t="s">
        <v>274</v>
      </c>
      <c r="BE4291" s="3">
        <v>41990</v>
      </c>
      <c r="BF4291" s="1">
        <v>612861</v>
      </c>
      <c r="BG4291" t="s">
        <v>1238</v>
      </c>
      <c r="BH4291" s="1">
        <v>176.46</v>
      </c>
      <c r="BI4291" s="1">
        <v>558469</v>
      </c>
      <c r="BJ4291" s="3">
        <v>41990</v>
      </c>
      <c r="BK4291" t="s">
        <v>123</v>
      </c>
      <c r="BL4291" t="str">
        <f>"2014.828303"</f>
        <v>2014.828303</v>
      </c>
      <c r="BM4291" t="s">
        <v>475</v>
      </c>
      <c r="BO4291" t="s">
        <v>27112</v>
      </c>
      <c r="BS4291">
        <v>30</v>
      </c>
      <c r="BW4291" t="str">
        <f>""</f>
        <v/>
      </c>
      <c r="CH4291" t="str">
        <f>""</f>
        <v/>
      </c>
      <c r="CS4291" t="str">
        <f>""</f>
        <v/>
      </c>
    </row>
    <row r="4292" spans="1:97" x14ac:dyDescent="0.25">
      <c r="A4292" t="s">
        <v>1109</v>
      </c>
      <c r="B4292" t="s">
        <v>1094</v>
      </c>
      <c r="C4292" t="s">
        <v>104</v>
      </c>
      <c r="D4292" t="s">
        <v>1594</v>
      </c>
      <c r="E4292" t="s">
        <v>27113</v>
      </c>
      <c r="F4292" t="s">
        <v>108</v>
      </c>
      <c r="H4292" t="s">
        <v>27114</v>
      </c>
      <c r="I4292" t="s">
        <v>225</v>
      </c>
      <c r="J4292" t="s">
        <v>111</v>
      </c>
      <c r="K4292" t="str">
        <f>"85210"</f>
        <v>85210</v>
      </c>
      <c r="L4292" t="s">
        <v>10238</v>
      </c>
      <c r="M4292" t="s">
        <v>27114</v>
      </c>
      <c r="N4292" t="s">
        <v>225</v>
      </c>
      <c r="O4292" t="s">
        <v>111</v>
      </c>
      <c r="P4292" t="str">
        <f>"85210-7651"</f>
        <v>85210-7651</v>
      </c>
      <c r="Q4292" t="s">
        <v>113</v>
      </c>
      <c r="R4292" t="str">
        <f>"302-87-241"</f>
        <v>302-87-241</v>
      </c>
      <c r="S4292" t="s">
        <v>27115</v>
      </c>
      <c r="U4292">
        <v>1774</v>
      </c>
      <c r="V4292">
        <v>0</v>
      </c>
      <c r="W4292">
        <v>2</v>
      </c>
      <c r="X4292">
        <v>1979</v>
      </c>
      <c r="Z4292">
        <v>1</v>
      </c>
      <c r="AA4292" t="s">
        <v>26</v>
      </c>
      <c r="AB4292">
        <v>0</v>
      </c>
      <c r="AC4292" t="s">
        <v>115</v>
      </c>
      <c r="AD4292">
        <v>2</v>
      </c>
      <c r="AE4292" t="s">
        <v>115</v>
      </c>
      <c r="AF4292">
        <v>0</v>
      </c>
      <c r="AG4292">
        <v>0</v>
      </c>
      <c r="AH4292" t="s">
        <v>116</v>
      </c>
      <c r="AI4292" s="1">
        <v>55640</v>
      </c>
      <c r="AJ4292" s="2">
        <v>0.18</v>
      </c>
      <c r="AK4292" s="1">
        <v>304593</v>
      </c>
      <c r="AL4292" t="s">
        <v>117</v>
      </c>
      <c r="AM4292" t="s">
        <v>191</v>
      </c>
      <c r="AN4292">
        <v>8834</v>
      </c>
      <c r="AO4292">
        <v>0.2</v>
      </c>
      <c r="AP4292">
        <v>1</v>
      </c>
      <c r="AR4292">
        <v>1</v>
      </c>
      <c r="AS4292" s="1">
        <v>20950</v>
      </c>
      <c r="AT4292" s="1">
        <v>4190</v>
      </c>
      <c r="AU4292" s="1">
        <v>16760</v>
      </c>
      <c r="AV4292">
        <v>80</v>
      </c>
      <c r="AX4292" s="1">
        <v>1524.66</v>
      </c>
      <c r="AY4292" t="s">
        <v>8076</v>
      </c>
      <c r="AZ4292" t="s">
        <v>7295</v>
      </c>
      <c r="BA4292" t="s">
        <v>5311</v>
      </c>
      <c r="BE4292" s="3">
        <v>42208</v>
      </c>
      <c r="BF4292" s="1">
        <v>241000</v>
      </c>
      <c r="BG4292" t="s">
        <v>27116</v>
      </c>
      <c r="BH4292" s="1">
        <v>135.85</v>
      </c>
      <c r="BI4292" s="1">
        <v>248953</v>
      </c>
      <c r="BJ4292" s="3">
        <v>42208</v>
      </c>
      <c r="BK4292" t="s">
        <v>123</v>
      </c>
      <c r="BL4292" t="str">
        <f>"2015.532760"</f>
        <v>2015.532760</v>
      </c>
      <c r="BM4292" t="s">
        <v>475</v>
      </c>
      <c r="BO4292" t="s">
        <v>27117</v>
      </c>
      <c r="BS4292">
        <v>30</v>
      </c>
      <c r="BW4292" t="str">
        <f>""</f>
        <v/>
      </c>
      <c r="CH4292" t="str">
        <f>""</f>
        <v/>
      </c>
      <c r="CS4292" t="str">
        <f>""</f>
        <v/>
      </c>
    </row>
    <row r="4293" spans="1:97" x14ac:dyDescent="0.25">
      <c r="A4293" t="s">
        <v>265</v>
      </c>
      <c r="B4293" t="s">
        <v>27118</v>
      </c>
      <c r="C4293" t="s">
        <v>27119</v>
      </c>
      <c r="D4293" t="s">
        <v>27118</v>
      </c>
      <c r="E4293" t="s">
        <v>27120</v>
      </c>
      <c r="F4293" t="s">
        <v>108</v>
      </c>
      <c r="H4293" t="s">
        <v>27121</v>
      </c>
      <c r="I4293" t="s">
        <v>110</v>
      </c>
      <c r="J4293" t="s">
        <v>111</v>
      </c>
      <c r="K4293" t="str">
        <f>"85225"</f>
        <v>85225</v>
      </c>
      <c r="L4293" t="s">
        <v>926</v>
      </c>
      <c r="M4293" t="s">
        <v>27121</v>
      </c>
      <c r="N4293" t="s">
        <v>110</v>
      </c>
      <c r="O4293" t="s">
        <v>111</v>
      </c>
      <c r="P4293" t="str">
        <f>"85225-5347"</f>
        <v>85225-5347</v>
      </c>
      <c r="Q4293" t="s">
        <v>113</v>
      </c>
      <c r="R4293" t="str">
        <f>"310-08-219"</f>
        <v>310-08-219</v>
      </c>
      <c r="S4293" t="s">
        <v>27122</v>
      </c>
      <c r="T4293" t="s">
        <v>7543</v>
      </c>
      <c r="U4293">
        <v>2800</v>
      </c>
      <c r="V4293">
        <v>0</v>
      </c>
      <c r="W4293">
        <v>4</v>
      </c>
      <c r="X4293">
        <v>1997</v>
      </c>
      <c r="Z4293">
        <v>2</v>
      </c>
      <c r="AB4293">
        <v>0</v>
      </c>
      <c r="AC4293" t="s">
        <v>115</v>
      </c>
      <c r="AD4293">
        <v>3</v>
      </c>
      <c r="AE4293" t="s">
        <v>115</v>
      </c>
      <c r="AF4293">
        <v>0</v>
      </c>
      <c r="AG4293">
        <v>0</v>
      </c>
      <c r="AH4293" t="s">
        <v>116</v>
      </c>
      <c r="AI4293" s="1">
        <v>81666</v>
      </c>
      <c r="AJ4293" s="2">
        <v>0.2</v>
      </c>
      <c r="AK4293" s="1">
        <v>410301</v>
      </c>
      <c r="AL4293" t="s">
        <v>117</v>
      </c>
      <c r="AM4293" t="s">
        <v>118</v>
      </c>
      <c r="AN4293">
        <v>7714</v>
      </c>
      <c r="AO4293">
        <v>0.18</v>
      </c>
      <c r="AP4293">
        <v>1</v>
      </c>
      <c r="AR4293">
        <v>1</v>
      </c>
      <c r="AS4293" s="1">
        <v>28880</v>
      </c>
      <c r="AT4293" s="1">
        <v>5770</v>
      </c>
      <c r="AU4293" s="1">
        <v>23110</v>
      </c>
      <c r="AV4293">
        <v>80.02</v>
      </c>
      <c r="AX4293" s="1">
        <v>2220.3200000000002</v>
      </c>
      <c r="AY4293" t="s">
        <v>2956</v>
      </c>
      <c r="AZ4293" t="s">
        <v>2906</v>
      </c>
      <c r="BA4293" t="s">
        <v>2957</v>
      </c>
      <c r="BB4293" s="3">
        <v>42695</v>
      </c>
      <c r="BD4293" t="s">
        <v>458</v>
      </c>
      <c r="BE4293" s="3">
        <v>42286</v>
      </c>
      <c r="BF4293" s="1">
        <v>337000</v>
      </c>
      <c r="BG4293" t="s">
        <v>27123</v>
      </c>
      <c r="BH4293" s="1">
        <v>120.36</v>
      </c>
      <c r="BI4293" s="1">
        <v>328635</v>
      </c>
      <c r="BJ4293" s="3">
        <v>42695</v>
      </c>
      <c r="BK4293" t="s">
        <v>123</v>
      </c>
      <c r="BL4293" t="str">
        <f>"2016.857914"</f>
        <v>2016.857914</v>
      </c>
      <c r="BM4293" t="s">
        <v>2368</v>
      </c>
      <c r="BO4293" t="s">
        <v>27124</v>
      </c>
      <c r="BS4293">
        <v>30</v>
      </c>
      <c r="BW4293" t="str">
        <f>""</f>
        <v/>
      </c>
      <c r="CH4293" t="str">
        <f>""</f>
        <v/>
      </c>
      <c r="CS4293" t="str">
        <f>""</f>
        <v/>
      </c>
    </row>
    <row r="4294" spans="1:97" x14ac:dyDescent="0.25">
      <c r="A4294" t="s">
        <v>27125</v>
      </c>
      <c r="B4294" t="s">
        <v>27126</v>
      </c>
      <c r="C4294" t="s">
        <v>27127</v>
      </c>
      <c r="D4294" t="s">
        <v>27126</v>
      </c>
      <c r="E4294" t="s">
        <v>27128</v>
      </c>
      <c r="F4294" t="s">
        <v>108</v>
      </c>
      <c r="H4294" t="s">
        <v>27129</v>
      </c>
      <c r="I4294" t="s">
        <v>1936</v>
      </c>
      <c r="J4294" t="s">
        <v>111</v>
      </c>
      <c r="K4294" t="str">
        <f>"85257"</f>
        <v>85257</v>
      </c>
      <c r="L4294" t="s">
        <v>6145</v>
      </c>
      <c r="M4294" t="s">
        <v>27129</v>
      </c>
      <c r="N4294" t="s">
        <v>1936</v>
      </c>
      <c r="O4294" t="s">
        <v>111</v>
      </c>
      <c r="P4294" t="str">
        <f>"85257-3420"</f>
        <v>85257-3420</v>
      </c>
      <c r="Q4294" t="s">
        <v>113</v>
      </c>
      <c r="R4294" t="str">
        <f>"131-38-081"</f>
        <v>131-38-081</v>
      </c>
      <c r="S4294" t="s">
        <v>27130</v>
      </c>
      <c r="T4294" t="s">
        <v>8391</v>
      </c>
      <c r="U4294">
        <v>1462</v>
      </c>
      <c r="V4294">
        <v>0</v>
      </c>
      <c r="W4294">
        <v>2</v>
      </c>
      <c r="X4294">
        <v>1960</v>
      </c>
      <c r="Z4294">
        <v>1</v>
      </c>
      <c r="AB4294">
        <v>0</v>
      </c>
      <c r="AC4294" t="s">
        <v>5188</v>
      </c>
      <c r="AD4294">
        <v>2</v>
      </c>
      <c r="AE4294" t="s">
        <v>5188</v>
      </c>
      <c r="AF4294">
        <v>0</v>
      </c>
      <c r="AG4294">
        <v>0</v>
      </c>
      <c r="AH4294" t="s">
        <v>5467</v>
      </c>
      <c r="AI4294" s="1">
        <v>98936</v>
      </c>
      <c r="AJ4294" s="2">
        <v>0.3</v>
      </c>
      <c r="AK4294" s="1">
        <v>325664</v>
      </c>
      <c r="AL4294" t="s">
        <v>117</v>
      </c>
      <c r="AM4294" t="s">
        <v>393</v>
      </c>
      <c r="AN4294">
        <v>6958</v>
      </c>
      <c r="AO4294">
        <v>0.16</v>
      </c>
      <c r="AP4294">
        <v>1</v>
      </c>
      <c r="AR4294">
        <v>1</v>
      </c>
      <c r="AS4294" s="1">
        <v>22010</v>
      </c>
      <c r="AT4294" s="1">
        <v>4400</v>
      </c>
      <c r="AU4294" s="1">
        <v>17610</v>
      </c>
      <c r="AV4294">
        <v>80.010000000000005</v>
      </c>
      <c r="AX4294" s="1">
        <v>1005.64</v>
      </c>
      <c r="AY4294" t="s">
        <v>8392</v>
      </c>
      <c r="AZ4294" t="s">
        <v>5420</v>
      </c>
      <c r="BA4294" t="s">
        <v>5421</v>
      </c>
      <c r="BE4294" s="3">
        <v>41737</v>
      </c>
      <c r="BF4294" s="1">
        <v>207500</v>
      </c>
      <c r="BG4294" t="s">
        <v>27131</v>
      </c>
      <c r="BH4294" s="1">
        <v>141.93</v>
      </c>
      <c r="BI4294" s="1">
        <v>206728</v>
      </c>
      <c r="BJ4294" s="3">
        <v>42628</v>
      </c>
      <c r="BK4294" t="s">
        <v>123</v>
      </c>
      <c r="BL4294" t="str">
        <f>"2016.670590"</f>
        <v>2016.670590</v>
      </c>
      <c r="BM4294" t="s">
        <v>425</v>
      </c>
      <c r="BN4294" t="s">
        <v>426</v>
      </c>
      <c r="BO4294" t="s">
        <v>27132</v>
      </c>
      <c r="BS4294">
        <v>30</v>
      </c>
      <c r="BT4294" s="1">
        <v>20000</v>
      </c>
      <c r="BU4294" s="3">
        <v>43325</v>
      </c>
      <c r="BV4294" t="s">
        <v>134</v>
      </c>
      <c r="BW4294" t="str">
        <f>"2018.610546"</f>
        <v>2018.610546</v>
      </c>
      <c r="BX4294" t="s">
        <v>654</v>
      </c>
      <c r="BY4294" t="s">
        <v>655</v>
      </c>
      <c r="BZ4294" t="s">
        <v>27133</v>
      </c>
      <c r="CA4294" t="s">
        <v>27134</v>
      </c>
      <c r="CC4294" t="s">
        <v>139</v>
      </c>
      <c r="CH4294" t="str">
        <f>""</f>
        <v/>
      </c>
      <c r="CS4294" t="str">
        <f>""</f>
        <v/>
      </c>
    </row>
    <row r="4295" spans="1:97" x14ac:dyDescent="0.25">
      <c r="A4295" t="s">
        <v>996</v>
      </c>
      <c r="B4295" t="s">
        <v>27135</v>
      </c>
      <c r="C4295" t="s">
        <v>27136</v>
      </c>
      <c r="D4295" t="s">
        <v>27135</v>
      </c>
      <c r="E4295" t="s">
        <v>27137</v>
      </c>
      <c r="F4295" t="s">
        <v>108</v>
      </c>
      <c r="H4295" t="s">
        <v>27138</v>
      </c>
      <c r="I4295" t="s">
        <v>1936</v>
      </c>
      <c r="J4295" t="s">
        <v>111</v>
      </c>
      <c r="K4295" t="str">
        <f>"85250"</f>
        <v>85250</v>
      </c>
      <c r="L4295" t="s">
        <v>7695</v>
      </c>
      <c r="M4295" t="s">
        <v>27138</v>
      </c>
      <c r="N4295" t="s">
        <v>1936</v>
      </c>
      <c r="O4295" t="s">
        <v>111</v>
      </c>
      <c r="P4295" t="str">
        <f>"85250-4726"</f>
        <v>85250-4726</v>
      </c>
      <c r="Q4295" t="s">
        <v>113</v>
      </c>
      <c r="R4295" t="str">
        <f>"174-13-526"</f>
        <v>174-13-526</v>
      </c>
      <c r="S4295" t="s">
        <v>27139</v>
      </c>
      <c r="T4295" t="s">
        <v>27140</v>
      </c>
      <c r="U4295">
        <v>1646</v>
      </c>
      <c r="V4295">
        <v>0</v>
      </c>
      <c r="W4295">
        <v>2</v>
      </c>
      <c r="X4295">
        <v>1980</v>
      </c>
      <c r="Z4295">
        <v>1</v>
      </c>
      <c r="AA4295" t="s">
        <v>26</v>
      </c>
      <c r="AB4295">
        <v>0</v>
      </c>
      <c r="AC4295" t="s">
        <v>115</v>
      </c>
      <c r="AD4295">
        <v>2</v>
      </c>
      <c r="AE4295" t="s">
        <v>115</v>
      </c>
      <c r="AF4295">
        <v>0</v>
      </c>
      <c r="AG4295">
        <v>0</v>
      </c>
      <c r="AH4295" t="s">
        <v>116</v>
      </c>
      <c r="AI4295" s="1">
        <v>94664</v>
      </c>
      <c r="AJ4295" s="2">
        <v>0.22</v>
      </c>
      <c r="AK4295" s="1">
        <v>434514</v>
      </c>
      <c r="AL4295" t="s">
        <v>117</v>
      </c>
      <c r="AM4295" t="s">
        <v>393</v>
      </c>
      <c r="AN4295">
        <v>6993</v>
      </c>
      <c r="AO4295">
        <v>0.16</v>
      </c>
      <c r="AP4295">
        <v>1</v>
      </c>
      <c r="AR4295">
        <v>1</v>
      </c>
      <c r="AS4295" s="1">
        <v>30200</v>
      </c>
      <c r="AT4295" s="1">
        <v>6040</v>
      </c>
      <c r="AU4295" s="1">
        <v>24160</v>
      </c>
      <c r="AV4295">
        <v>80</v>
      </c>
      <c r="AX4295" s="1">
        <v>1678.54</v>
      </c>
      <c r="AY4295" t="s">
        <v>13022</v>
      </c>
      <c r="AZ4295" t="s">
        <v>6975</v>
      </c>
      <c r="BA4295" t="s">
        <v>6976</v>
      </c>
      <c r="BB4295" s="3">
        <v>42396</v>
      </c>
      <c r="BD4295" t="s">
        <v>458</v>
      </c>
      <c r="BE4295" s="3">
        <v>41745</v>
      </c>
      <c r="BF4295" s="1">
        <v>350000</v>
      </c>
      <c r="BG4295" t="s">
        <v>27141</v>
      </c>
      <c r="BH4295" s="1">
        <v>212.64</v>
      </c>
      <c r="BI4295" s="1">
        <v>339850</v>
      </c>
      <c r="BJ4295" s="3">
        <v>42647</v>
      </c>
      <c r="BK4295" t="s">
        <v>123</v>
      </c>
      <c r="BL4295" t="str">
        <f>"2016.724233"</f>
        <v>2016.724233</v>
      </c>
      <c r="BM4295" t="s">
        <v>124</v>
      </c>
      <c r="BO4295" t="s">
        <v>27142</v>
      </c>
      <c r="BP4295" t="s">
        <v>27143</v>
      </c>
      <c r="BS4295">
        <v>30</v>
      </c>
      <c r="BW4295" t="str">
        <f>""</f>
        <v/>
      </c>
      <c r="CH4295" t="str">
        <f>""</f>
        <v/>
      </c>
      <c r="CS4295" t="str">
        <f>""</f>
        <v/>
      </c>
    </row>
    <row r="4296" spans="1:97" x14ac:dyDescent="0.25">
      <c r="A4296" t="s">
        <v>996</v>
      </c>
      <c r="B4296" t="s">
        <v>27144</v>
      </c>
      <c r="E4296" t="s">
        <v>27145</v>
      </c>
      <c r="F4296" t="s">
        <v>108</v>
      </c>
      <c r="H4296" t="s">
        <v>27146</v>
      </c>
      <c r="I4296" t="s">
        <v>632</v>
      </c>
      <c r="J4296" t="s">
        <v>111</v>
      </c>
      <c r="K4296" t="str">
        <f>"85379"</f>
        <v>85379</v>
      </c>
      <c r="L4296" t="s">
        <v>1244</v>
      </c>
      <c r="M4296" t="s">
        <v>27146</v>
      </c>
      <c r="N4296" t="s">
        <v>632</v>
      </c>
      <c r="O4296" t="s">
        <v>111</v>
      </c>
      <c r="P4296" t="str">
        <f>"85379-8006"</f>
        <v>85379-8006</v>
      </c>
      <c r="Q4296" t="s">
        <v>113</v>
      </c>
      <c r="R4296" t="str">
        <f>"509-02-625"</f>
        <v>509-02-625</v>
      </c>
      <c r="S4296" t="s">
        <v>10379</v>
      </c>
      <c r="T4296" t="s">
        <v>10380</v>
      </c>
      <c r="U4296">
        <v>2156</v>
      </c>
      <c r="V4296">
        <v>0</v>
      </c>
      <c r="W4296">
        <v>3</v>
      </c>
      <c r="X4296">
        <v>2005</v>
      </c>
      <c r="Z4296">
        <v>1</v>
      </c>
      <c r="AB4296">
        <v>0</v>
      </c>
      <c r="AC4296" t="s">
        <v>115</v>
      </c>
      <c r="AD4296">
        <v>3</v>
      </c>
      <c r="AE4296" t="s">
        <v>115</v>
      </c>
      <c r="AF4296">
        <v>0</v>
      </c>
      <c r="AG4296">
        <v>0</v>
      </c>
      <c r="AH4296" t="s">
        <v>116</v>
      </c>
      <c r="AI4296" s="1">
        <v>48177</v>
      </c>
      <c r="AJ4296" s="2">
        <v>0.17</v>
      </c>
      <c r="AK4296" s="1">
        <v>284734</v>
      </c>
      <c r="AL4296" t="s">
        <v>117</v>
      </c>
      <c r="AM4296" t="s">
        <v>118</v>
      </c>
      <c r="AN4296">
        <v>6670</v>
      </c>
      <c r="AO4296">
        <v>0.15</v>
      </c>
      <c r="AP4296">
        <v>1</v>
      </c>
      <c r="AR4296">
        <v>1</v>
      </c>
      <c r="AS4296" s="1">
        <v>19950</v>
      </c>
      <c r="AT4296" s="1">
        <v>3990</v>
      </c>
      <c r="AU4296" s="1">
        <v>15960</v>
      </c>
      <c r="AV4296">
        <v>80</v>
      </c>
      <c r="AX4296" s="1">
        <v>1455.36</v>
      </c>
      <c r="AY4296" t="s">
        <v>6615</v>
      </c>
      <c r="AZ4296" t="s">
        <v>6615</v>
      </c>
      <c r="BA4296" t="s">
        <v>321</v>
      </c>
      <c r="BE4296" s="3">
        <v>42433</v>
      </c>
      <c r="BF4296" s="1">
        <v>229000</v>
      </c>
      <c r="BG4296" t="s">
        <v>27147</v>
      </c>
      <c r="BH4296" s="1">
        <v>106.22</v>
      </c>
      <c r="BI4296" s="1">
        <v>236557</v>
      </c>
      <c r="BJ4296" s="3">
        <v>42433</v>
      </c>
      <c r="BK4296" t="s">
        <v>123</v>
      </c>
      <c r="BL4296" t="str">
        <f>"2016.142766"</f>
        <v>2016.142766</v>
      </c>
      <c r="BM4296" t="s">
        <v>1760</v>
      </c>
      <c r="BO4296" t="s">
        <v>27148</v>
      </c>
      <c r="BS4296">
        <v>30</v>
      </c>
      <c r="BW4296" t="str">
        <f>""</f>
        <v/>
      </c>
      <c r="CH4296" t="str">
        <f>""</f>
        <v/>
      </c>
      <c r="CS4296" t="str">
        <f>""</f>
        <v/>
      </c>
    </row>
    <row r="4297" spans="1:97" x14ac:dyDescent="0.25">
      <c r="A4297" t="s">
        <v>589</v>
      </c>
      <c r="B4297" t="s">
        <v>4214</v>
      </c>
      <c r="C4297" t="s">
        <v>524</v>
      </c>
      <c r="D4297" t="s">
        <v>4214</v>
      </c>
      <c r="E4297" t="s">
        <v>27149</v>
      </c>
      <c r="F4297" t="s">
        <v>108</v>
      </c>
      <c r="H4297" t="s">
        <v>27150</v>
      </c>
      <c r="I4297" t="s">
        <v>632</v>
      </c>
      <c r="J4297" t="s">
        <v>111</v>
      </c>
      <c r="K4297" t="str">
        <f>"85379"</f>
        <v>85379</v>
      </c>
      <c r="L4297" t="s">
        <v>454</v>
      </c>
      <c r="M4297" t="s">
        <v>27150</v>
      </c>
      <c r="N4297" t="s">
        <v>632</v>
      </c>
      <c r="O4297" t="s">
        <v>111</v>
      </c>
      <c r="P4297" t="str">
        <f>"85379-1014"</f>
        <v>85379-1014</v>
      </c>
      <c r="Q4297" t="s">
        <v>113</v>
      </c>
      <c r="R4297" t="str">
        <f>"501-46-508"</f>
        <v>501-46-508</v>
      </c>
      <c r="S4297" t="s">
        <v>5319</v>
      </c>
      <c r="U4297">
        <v>2585</v>
      </c>
      <c r="V4297">
        <v>0</v>
      </c>
      <c r="W4297">
        <v>4</v>
      </c>
      <c r="X4297">
        <v>2015</v>
      </c>
      <c r="Z4297">
        <v>1</v>
      </c>
      <c r="AB4297">
        <v>0</v>
      </c>
      <c r="AC4297" t="s">
        <v>115</v>
      </c>
      <c r="AD4297">
        <v>2</v>
      </c>
      <c r="AE4297" t="s">
        <v>115</v>
      </c>
      <c r="AF4297">
        <v>0</v>
      </c>
      <c r="AG4297">
        <v>0</v>
      </c>
      <c r="AH4297" t="s">
        <v>116</v>
      </c>
      <c r="AI4297" s="1">
        <v>18802</v>
      </c>
      <c r="AJ4297" s="2">
        <v>0.06</v>
      </c>
      <c r="AK4297" s="1">
        <v>333802</v>
      </c>
      <c r="AL4297" t="s">
        <v>117</v>
      </c>
      <c r="AM4297" t="s">
        <v>118</v>
      </c>
      <c r="AN4297">
        <v>6670</v>
      </c>
      <c r="AO4297">
        <v>0.15</v>
      </c>
      <c r="AR4297">
        <v>1</v>
      </c>
      <c r="AS4297" s="1">
        <v>23070</v>
      </c>
      <c r="AT4297" s="1">
        <v>4610</v>
      </c>
      <c r="AU4297" s="1">
        <v>18460</v>
      </c>
      <c r="AV4297">
        <v>80.02</v>
      </c>
      <c r="AX4297" s="1">
        <v>1977.36</v>
      </c>
      <c r="AY4297" t="s">
        <v>5060</v>
      </c>
      <c r="AZ4297" t="s">
        <v>5060</v>
      </c>
      <c r="BA4297" t="s">
        <v>5061</v>
      </c>
      <c r="BE4297" s="3">
        <v>42460</v>
      </c>
      <c r="BF4297" s="1">
        <v>282737</v>
      </c>
      <c r="BG4297" t="s">
        <v>158</v>
      </c>
      <c r="BH4297" s="1">
        <v>109.38</v>
      </c>
      <c r="BI4297" s="1">
        <v>315000</v>
      </c>
      <c r="BJ4297" s="3">
        <v>43209</v>
      </c>
      <c r="BK4297" t="s">
        <v>123</v>
      </c>
      <c r="BL4297" t="str">
        <f>"2018.293999"</f>
        <v>2018.293999</v>
      </c>
      <c r="BM4297" t="s">
        <v>460</v>
      </c>
      <c r="BN4297" t="s">
        <v>461</v>
      </c>
      <c r="BO4297" t="s">
        <v>27151</v>
      </c>
      <c r="BP4297" t="s">
        <v>27152</v>
      </c>
      <c r="BR4297" t="s">
        <v>139</v>
      </c>
      <c r="BW4297" t="str">
        <f>""</f>
        <v/>
      </c>
      <c r="CH4297" t="str">
        <f>""</f>
        <v/>
      </c>
      <c r="CS4297" t="str">
        <f>""</f>
        <v/>
      </c>
    </row>
    <row r="4298" spans="1:97" x14ac:dyDescent="0.25">
      <c r="A4298" t="s">
        <v>126</v>
      </c>
      <c r="B4298" t="s">
        <v>12316</v>
      </c>
      <c r="C4298" t="s">
        <v>2762</v>
      </c>
      <c r="D4298" t="s">
        <v>12316</v>
      </c>
      <c r="E4298" t="s">
        <v>27153</v>
      </c>
      <c r="F4298" t="s">
        <v>108</v>
      </c>
      <c r="H4298" t="s">
        <v>27154</v>
      </c>
      <c r="I4298" t="s">
        <v>225</v>
      </c>
      <c r="J4298" t="s">
        <v>111</v>
      </c>
      <c r="K4298" t="str">
        <f>"85209"</f>
        <v>85209</v>
      </c>
      <c r="L4298" t="s">
        <v>4326</v>
      </c>
      <c r="M4298" t="s">
        <v>27154</v>
      </c>
      <c r="N4298" t="s">
        <v>225</v>
      </c>
      <c r="O4298" t="s">
        <v>111</v>
      </c>
      <c r="P4298" t="str">
        <f>"85209-6788"</f>
        <v>85209-6788</v>
      </c>
      <c r="Q4298" t="s">
        <v>113</v>
      </c>
      <c r="R4298" t="str">
        <f>"312-03-304"</f>
        <v>312-03-304</v>
      </c>
      <c r="S4298" t="s">
        <v>9681</v>
      </c>
      <c r="U4298">
        <v>1604</v>
      </c>
      <c r="V4298">
        <v>0</v>
      </c>
      <c r="W4298">
        <v>3</v>
      </c>
      <c r="X4298">
        <v>2000</v>
      </c>
      <c r="Z4298">
        <v>1</v>
      </c>
      <c r="AB4298">
        <v>0</v>
      </c>
      <c r="AC4298" t="s">
        <v>115</v>
      </c>
      <c r="AD4298">
        <v>2</v>
      </c>
      <c r="AE4298" t="s">
        <v>115</v>
      </c>
      <c r="AF4298">
        <v>0</v>
      </c>
      <c r="AG4298">
        <v>0</v>
      </c>
      <c r="AH4298" t="s">
        <v>116</v>
      </c>
      <c r="AI4298" s="1">
        <v>40436</v>
      </c>
      <c r="AJ4298" s="2">
        <v>0.15</v>
      </c>
      <c r="AK4298" s="1">
        <v>269252</v>
      </c>
      <c r="AL4298" t="s">
        <v>117</v>
      </c>
      <c r="AM4298" t="s">
        <v>393</v>
      </c>
      <c r="AN4298">
        <v>4763</v>
      </c>
      <c r="AO4298">
        <v>0.11</v>
      </c>
      <c r="AP4298">
        <v>1</v>
      </c>
      <c r="AR4298">
        <v>1</v>
      </c>
      <c r="AS4298" s="1">
        <v>17550</v>
      </c>
      <c r="AT4298" s="1">
        <v>3510</v>
      </c>
      <c r="AU4298" s="1">
        <v>14040</v>
      </c>
      <c r="AV4298">
        <v>80</v>
      </c>
      <c r="AX4298" s="1">
        <v>1142.32</v>
      </c>
      <c r="AY4298" t="s">
        <v>570</v>
      </c>
      <c r="AZ4298" t="s">
        <v>777</v>
      </c>
      <c r="BA4298" t="s">
        <v>572</v>
      </c>
      <c r="BE4298" s="3">
        <v>42552</v>
      </c>
      <c r="BF4298" s="1">
        <v>224000</v>
      </c>
      <c r="BG4298" t="s">
        <v>10889</v>
      </c>
      <c r="BH4298" s="1">
        <v>139.65</v>
      </c>
      <c r="BI4298" s="1">
        <v>228816</v>
      </c>
      <c r="BJ4298" s="3">
        <v>42552</v>
      </c>
      <c r="BK4298" t="s">
        <v>123</v>
      </c>
      <c r="BL4298" t="str">
        <f>"2016.467789"</f>
        <v>2016.467789</v>
      </c>
      <c r="BM4298" t="s">
        <v>2489</v>
      </c>
      <c r="BO4298" t="s">
        <v>27155</v>
      </c>
      <c r="BS4298">
        <v>30</v>
      </c>
      <c r="BW4298" t="str">
        <f>""</f>
        <v/>
      </c>
      <c r="CH4298" t="str">
        <f>""</f>
        <v/>
      </c>
      <c r="CS4298" t="str">
        <f>""</f>
        <v/>
      </c>
    </row>
    <row r="4299" spans="1:97" x14ac:dyDescent="0.25">
      <c r="A4299" t="s">
        <v>962</v>
      </c>
      <c r="B4299" t="s">
        <v>27156</v>
      </c>
      <c r="C4299" t="s">
        <v>3713</v>
      </c>
      <c r="D4299" t="s">
        <v>27157</v>
      </c>
      <c r="E4299" t="s">
        <v>27158</v>
      </c>
      <c r="F4299" t="s">
        <v>108</v>
      </c>
      <c r="H4299" t="s">
        <v>27159</v>
      </c>
      <c r="I4299" t="s">
        <v>144</v>
      </c>
      <c r="J4299" t="s">
        <v>111</v>
      </c>
      <c r="K4299" t="str">
        <f>"85396"</f>
        <v>85396</v>
      </c>
      <c r="L4299" t="s">
        <v>11339</v>
      </c>
      <c r="M4299" t="s">
        <v>27159</v>
      </c>
      <c r="N4299" t="s">
        <v>144</v>
      </c>
      <c r="O4299" t="s">
        <v>111</v>
      </c>
      <c r="P4299" t="str">
        <f>"85396-7236"</f>
        <v>85396-7236</v>
      </c>
      <c r="Q4299" t="s">
        <v>113</v>
      </c>
      <c r="R4299" t="str">
        <f>"503-85-197"</f>
        <v>503-85-197</v>
      </c>
      <c r="S4299" t="s">
        <v>11340</v>
      </c>
      <c r="U4299">
        <v>1766</v>
      </c>
      <c r="V4299">
        <v>0</v>
      </c>
      <c r="W4299">
        <v>3</v>
      </c>
      <c r="X4299">
        <v>2015</v>
      </c>
      <c r="Z4299">
        <v>1</v>
      </c>
      <c r="AA4299" t="s">
        <v>26</v>
      </c>
      <c r="AB4299">
        <v>0</v>
      </c>
      <c r="AC4299" t="s">
        <v>115</v>
      </c>
      <c r="AD4299">
        <v>2</v>
      </c>
      <c r="AE4299" t="s">
        <v>115</v>
      </c>
      <c r="AF4299">
        <v>0</v>
      </c>
      <c r="AG4299">
        <v>0</v>
      </c>
      <c r="AH4299" t="s">
        <v>116</v>
      </c>
      <c r="AI4299" s="1">
        <v>65736</v>
      </c>
      <c r="AJ4299" s="2">
        <v>0.24</v>
      </c>
      <c r="AK4299" s="1">
        <v>275712</v>
      </c>
      <c r="AL4299" t="s">
        <v>117</v>
      </c>
      <c r="AM4299" t="s">
        <v>118</v>
      </c>
      <c r="AN4299">
        <v>6959</v>
      </c>
      <c r="AO4299">
        <v>0.16</v>
      </c>
      <c r="AR4299">
        <v>1</v>
      </c>
      <c r="AS4299" s="1">
        <v>19430</v>
      </c>
      <c r="AT4299" s="1">
        <v>3880</v>
      </c>
      <c r="AU4299" s="1">
        <v>15550</v>
      </c>
      <c r="AV4299">
        <v>80.03</v>
      </c>
      <c r="AX4299" s="1">
        <v>1849.02</v>
      </c>
      <c r="AY4299" t="s">
        <v>444</v>
      </c>
      <c r="AZ4299" t="s">
        <v>444</v>
      </c>
      <c r="BA4299" t="s">
        <v>445</v>
      </c>
      <c r="BB4299" s="3">
        <v>42587</v>
      </c>
      <c r="BC4299" s="1">
        <v>201990</v>
      </c>
      <c r="BD4299" t="s">
        <v>842</v>
      </c>
      <c r="BE4299" s="3">
        <v>42551</v>
      </c>
      <c r="BF4299" s="1">
        <v>201990</v>
      </c>
      <c r="BG4299" t="s">
        <v>446</v>
      </c>
      <c r="BH4299" s="1">
        <v>114.38</v>
      </c>
      <c r="BI4299" s="1">
        <v>209976</v>
      </c>
      <c r="BJ4299" s="3">
        <v>43083</v>
      </c>
      <c r="BK4299" t="s">
        <v>123</v>
      </c>
      <c r="BL4299" t="str">
        <f>"2017.923125"</f>
        <v>2017.923125</v>
      </c>
      <c r="BM4299" t="s">
        <v>2657</v>
      </c>
      <c r="BO4299" t="s">
        <v>27160</v>
      </c>
      <c r="BS4299">
        <v>31</v>
      </c>
      <c r="BW4299" t="str">
        <f>""</f>
        <v/>
      </c>
      <c r="CH4299" t="str">
        <f>""</f>
        <v/>
      </c>
      <c r="CS4299" t="str">
        <f>""</f>
        <v/>
      </c>
    </row>
    <row r="4300" spans="1:97" x14ac:dyDescent="0.25">
      <c r="A4300" t="s">
        <v>183</v>
      </c>
      <c r="B4300" t="s">
        <v>6495</v>
      </c>
      <c r="C4300" t="s">
        <v>727</v>
      </c>
      <c r="D4300" t="s">
        <v>27161</v>
      </c>
      <c r="E4300" t="s">
        <v>27162</v>
      </c>
      <c r="F4300" t="s">
        <v>108</v>
      </c>
      <c r="H4300" t="s">
        <v>27163</v>
      </c>
      <c r="I4300" t="s">
        <v>390</v>
      </c>
      <c r="J4300" t="s">
        <v>111</v>
      </c>
      <c r="K4300" t="str">
        <f>"85050"</f>
        <v>85050</v>
      </c>
      <c r="L4300" t="s">
        <v>7746</v>
      </c>
      <c r="M4300" t="s">
        <v>27163</v>
      </c>
      <c r="N4300" t="s">
        <v>390</v>
      </c>
      <c r="O4300" t="s">
        <v>111</v>
      </c>
      <c r="P4300" t="str">
        <f>"85050-8808"</f>
        <v>85050-8808</v>
      </c>
      <c r="Q4300" t="s">
        <v>113</v>
      </c>
      <c r="R4300" t="str">
        <f>"212-34-179"</f>
        <v>212-34-179</v>
      </c>
      <c r="S4300" t="s">
        <v>27164</v>
      </c>
      <c r="U4300">
        <v>2089</v>
      </c>
      <c r="V4300">
        <v>0</v>
      </c>
      <c r="W4300">
        <v>3</v>
      </c>
      <c r="X4300">
        <v>1996</v>
      </c>
      <c r="Z4300">
        <v>1</v>
      </c>
      <c r="AA4300" t="s">
        <v>26</v>
      </c>
      <c r="AB4300">
        <v>0</v>
      </c>
      <c r="AC4300" t="s">
        <v>115</v>
      </c>
      <c r="AD4300">
        <v>3</v>
      </c>
      <c r="AE4300" t="s">
        <v>115</v>
      </c>
      <c r="AF4300">
        <v>0</v>
      </c>
      <c r="AG4300">
        <v>0</v>
      </c>
      <c r="AH4300" t="s">
        <v>116</v>
      </c>
      <c r="AI4300" s="1">
        <v>76255</v>
      </c>
      <c r="AJ4300" s="2">
        <v>0.15</v>
      </c>
      <c r="AK4300" s="1">
        <v>514401</v>
      </c>
      <c r="AL4300" t="s">
        <v>117</v>
      </c>
      <c r="AM4300" t="s">
        <v>171</v>
      </c>
      <c r="AN4300">
        <v>8480</v>
      </c>
      <c r="AO4300">
        <v>0.2</v>
      </c>
      <c r="AP4300">
        <v>1</v>
      </c>
      <c r="AR4300">
        <v>1</v>
      </c>
      <c r="AS4300" s="1">
        <v>38120</v>
      </c>
      <c r="AT4300" s="1">
        <v>7620</v>
      </c>
      <c r="AU4300" s="1">
        <v>30500</v>
      </c>
      <c r="AV4300">
        <v>80.010000000000005</v>
      </c>
      <c r="AX4300" s="1">
        <v>3857.98</v>
      </c>
      <c r="AY4300" t="s">
        <v>6351</v>
      </c>
      <c r="AZ4300" t="s">
        <v>6352</v>
      </c>
      <c r="BA4300" t="s">
        <v>762</v>
      </c>
      <c r="BE4300" s="3">
        <v>42508</v>
      </c>
      <c r="BF4300" s="1">
        <v>432900</v>
      </c>
      <c r="BG4300" t="s">
        <v>27165</v>
      </c>
      <c r="BH4300" s="1">
        <v>207.23</v>
      </c>
      <c r="BI4300" s="1">
        <v>438146</v>
      </c>
      <c r="BJ4300" s="3">
        <v>42508</v>
      </c>
      <c r="BK4300" t="s">
        <v>123</v>
      </c>
      <c r="BL4300" t="str">
        <f>"2016.340845"</f>
        <v>2016.340845</v>
      </c>
      <c r="BM4300" t="s">
        <v>820</v>
      </c>
      <c r="BO4300" t="s">
        <v>27166</v>
      </c>
      <c r="BP4300" t="s">
        <v>27167</v>
      </c>
      <c r="BS4300">
        <v>30</v>
      </c>
      <c r="BW4300" t="str">
        <f>""</f>
        <v/>
      </c>
      <c r="CH4300" t="str">
        <f>""</f>
        <v/>
      </c>
      <c r="CS4300" t="str">
        <f>""</f>
        <v/>
      </c>
    </row>
    <row r="4301" spans="1:97" x14ac:dyDescent="0.25">
      <c r="A4301" t="s">
        <v>27168</v>
      </c>
      <c r="B4301" t="s">
        <v>6509</v>
      </c>
      <c r="C4301" t="s">
        <v>27169</v>
      </c>
      <c r="D4301" t="s">
        <v>6509</v>
      </c>
      <c r="E4301" t="s">
        <v>27170</v>
      </c>
      <c r="F4301" t="s">
        <v>108</v>
      </c>
      <c r="H4301" t="s">
        <v>27171</v>
      </c>
      <c r="I4301" t="s">
        <v>203</v>
      </c>
      <c r="J4301" t="s">
        <v>111</v>
      </c>
      <c r="K4301" t="str">
        <f>"85234"</f>
        <v>85234</v>
      </c>
      <c r="L4301" t="s">
        <v>7607</v>
      </c>
      <c r="M4301" t="s">
        <v>27171</v>
      </c>
      <c r="N4301" t="s">
        <v>203</v>
      </c>
      <c r="O4301" t="s">
        <v>111</v>
      </c>
      <c r="P4301" t="str">
        <f>"85234-6057"</f>
        <v>85234-6057</v>
      </c>
      <c r="Q4301" t="s">
        <v>113</v>
      </c>
      <c r="R4301" t="str">
        <f>"304-13-888"</f>
        <v>304-13-888</v>
      </c>
      <c r="S4301" t="s">
        <v>27172</v>
      </c>
      <c r="T4301" t="s">
        <v>27173</v>
      </c>
      <c r="U4301">
        <v>1507</v>
      </c>
      <c r="V4301">
        <v>0</v>
      </c>
      <c r="W4301">
        <v>3</v>
      </c>
      <c r="X4301">
        <v>1988</v>
      </c>
      <c r="Z4301">
        <v>1</v>
      </c>
      <c r="AA4301" t="s">
        <v>26</v>
      </c>
      <c r="AB4301">
        <v>0</v>
      </c>
      <c r="AC4301" t="s">
        <v>115</v>
      </c>
      <c r="AD4301">
        <v>2</v>
      </c>
      <c r="AE4301" t="s">
        <v>115</v>
      </c>
      <c r="AF4301">
        <v>0</v>
      </c>
      <c r="AG4301">
        <v>0</v>
      </c>
      <c r="AH4301" t="s">
        <v>116</v>
      </c>
      <c r="AI4301" s="1">
        <v>63452</v>
      </c>
      <c r="AJ4301" s="2">
        <v>0.22</v>
      </c>
      <c r="AK4301" s="1">
        <v>283739</v>
      </c>
      <c r="AL4301" t="s">
        <v>117</v>
      </c>
      <c r="AM4301" t="s">
        <v>393</v>
      </c>
      <c r="AN4301">
        <v>6390</v>
      </c>
      <c r="AO4301">
        <v>0.15</v>
      </c>
      <c r="AP4301">
        <v>1</v>
      </c>
      <c r="AR4301">
        <v>1</v>
      </c>
      <c r="AS4301" s="1">
        <v>19580</v>
      </c>
      <c r="AT4301" s="1">
        <v>3910</v>
      </c>
      <c r="AU4301" s="1">
        <v>15670</v>
      </c>
      <c r="AV4301">
        <v>80.03</v>
      </c>
      <c r="AX4301" s="1">
        <v>1301.54</v>
      </c>
      <c r="AY4301" t="s">
        <v>6506</v>
      </c>
      <c r="AZ4301" t="s">
        <v>520</v>
      </c>
      <c r="BA4301" t="s">
        <v>5033</v>
      </c>
      <c r="BE4301" s="3">
        <v>42506</v>
      </c>
      <c r="BF4301" s="1">
        <v>213250</v>
      </c>
      <c r="BG4301" t="s">
        <v>27174</v>
      </c>
      <c r="BH4301" s="1">
        <v>141.51</v>
      </c>
      <c r="BI4301" s="1">
        <v>220287</v>
      </c>
      <c r="BJ4301" s="3">
        <v>42506</v>
      </c>
      <c r="BK4301" t="s">
        <v>123</v>
      </c>
      <c r="BL4301" t="str">
        <f>"2016.333301"</f>
        <v>2016.333301</v>
      </c>
      <c r="BM4301" t="s">
        <v>1287</v>
      </c>
      <c r="BO4301" t="s">
        <v>27175</v>
      </c>
      <c r="BS4301">
        <v>30</v>
      </c>
      <c r="BW4301" t="str">
        <f>""</f>
        <v/>
      </c>
      <c r="CH4301" t="str">
        <f>""</f>
        <v/>
      </c>
      <c r="CS4301" t="str">
        <f>""</f>
        <v/>
      </c>
    </row>
    <row r="4302" spans="1:97" x14ac:dyDescent="0.25">
      <c r="A4302" t="s">
        <v>7387</v>
      </c>
      <c r="B4302" t="s">
        <v>27108</v>
      </c>
      <c r="C4302" t="s">
        <v>27176</v>
      </c>
      <c r="D4302" t="s">
        <v>27108</v>
      </c>
      <c r="E4302" t="s">
        <v>27177</v>
      </c>
      <c r="F4302" t="s">
        <v>108</v>
      </c>
      <c r="H4302" t="s">
        <v>27178</v>
      </c>
      <c r="I4302" t="s">
        <v>144</v>
      </c>
      <c r="J4302" t="s">
        <v>111</v>
      </c>
      <c r="K4302" t="str">
        <f>"85326"</f>
        <v>85326</v>
      </c>
      <c r="L4302" t="s">
        <v>8146</v>
      </c>
      <c r="M4302" t="s">
        <v>27178</v>
      </c>
      <c r="N4302" t="s">
        <v>144</v>
      </c>
      <c r="O4302" t="s">
        <v>111</v>
      </c>
      <c r="P4302" t="str">
        <f>"85326-8185"</f>
        <v>85326-8185</v>
      </c>
      <c r="Q4302" t="s">
        <v>113</v>
      </c>
      <c r="R4302" t="str">
        <f>"502-35-665"</f>
        <v>502-35-665</v>
      </c>
      <c r="S4302" t="s">
        <v>9331</v>
      </c>
      <c r="U4302">
        <v>2369</v>
      </c>
      <c r="V4302">
        <v>0</v>
      </c>
      <c r="W4302">
        <v>5</v>
      </c>
      <c r="X4302">
        <v>2016</v>
      </c>
      <c r="Z4302">
        <v>1</v>
      </c>
      <c r="AB4302">
        <v>0</v>
      </c>
      <c r="AC4302" t="s">
        <v>115</v>
      </c>
      <c r="AD4302">
        <v>3</v>
      </c>
      <c r="AE4302" t="s">
        <v>115</v>
      </c>
      <c r="AF4302">
        <v>0</v>
      </c>
      <c r="AG4302">
        <v>0</v>
      </c>
      <c r="AH4302" t="s">
        <v>116</v>
      </c>
      <c r="AI4302" s="1">
        <v>82138</v>
      </c>
      <c r="AJ4302" s="2">
        <v>0.26</v>
      </c>
      <c r="AK4302" s="1">
        <v>320408</v>
      </c>
      <c r="AL4302" t="s">
        <v>117</v>
      </c>
      <c r="AM4302" t="s">
        <v>118</v>
      </c>
      <c r="AN4302">
        <v>6670</v>
      </c>
      <c r="AO4302">
        <v>0.15</v>
      </c>
      <c r="AR4302">
        <v>1</v>
      </c>
      <c r="AS4302" s="1">
        <v>22470</v>
      </c>
      <c r="AT4302" s="1">
        <v>4490</v>
      </c>
      <c r="AU4302" s="1">
        <v>17980</v>
      </c>
      <c r="AV4302">
        <v>80.02</v>
      </c>
      <c r="AX4302" s="1">
        <v>1941.54</v>
      </c>
      <c r="AY4302" t="s">
        <v>2767</v>
      </c>
      <c r="AZ4302" t="s">
        <v>2767</v>
      </c>
      <c r="BA4302" t="s">
        <v>5025</v>
      </c>
      <c r="BE4302" s="3">
        <v>42242</v>
      </c>
      <c r="BF4302" s="1">
        <v>241147</v>
      </c>
      <c r="BG4302" t="s">
        <v>749</v>
      </c>
      <c r="BH4302" s="1">
        <v>101.79</v>
      </c>
      <c r="BI4302" s="1">
        <v>238270</v>
      </c>
      <c r="BJ4302" s="3">
        <v>42706</v>
      </c>
      <c r="BK4302" t="s">
        <v>123</v>
      </c>
      <c r="BL4302" t="str">
        <f>"2016.889772"</f>
        <v>2016.889772</v>
      </c>
      <c r="BM4302" t="s">
        <v>1695</v>
      </c>
      <c r="BO4302" t="s">
        <v>27179</v>
      </c>
      <c r="BS4302">
        <v>30</v>
      </c>
      <c r="BW4302" t="str">
        <f>""</f>
        <v/>
      </c>
      <c r="CH4302" t="str">
        <f>""</f>
        <v/>
      </c>
      <c r="CS4302" t="str">
        <f>""</f>
        <v/>
      </c>
    </row>
    <row r="4303" spans="1:97" x14ac:dyDescent="0.25">
      <c r="A4303" t="s">
        <v>7562</v>
      </c>
      <c r="B4303" t="s">
        <v>27180</v>
      </c>
      <c r="C4303" t="s">
        <v>976</v>
      </c>
      <c r="D4303" t="s">
        <v>27180</v>
      </c>
      <c r="E4303" t="s">
        <v>27181</v>
      </c>
      <c r="F4303" t="s">
        <v>108</v>
      </c>
      <c r="H4303" t="s">
        <v>27182</v>
      </c>
      <c r="I4303" t="s">
        <v>203</v>
      </c>
      <c r="J4303" t="s">
        <v>111</v>
      </c>
      <c r="K4303" t="str">
        <f>"85233"</f>
        <v>85233</v>
      </c>
      <c r="L4303" t="s">
        <v>5416</v>
      </c>
      <c r="M4303" t="s">
        <v>27182</v>
      </c>
      <c r="N4303" t="s">
        <v>203</v>
      </c>
      <c r="O4303" t="s">
        <v>111</v>
      </c>
      <c r="P4303" t="str">
        <f>"85233-2301"</f>
        <v>85233-2301</v>
      </c>
      <c r="Q4303" t="s">
        <v>113</v>
      </c>
      <c r="R4303" t="str">
        <f>"302-09-150"</f>
        <v>302-09-150</v>
      </c>
      <c r="S4303" t="s">
        <v>27183</v>
      </c>
      <c r="U4303">
        <v>1571</v>
      </c>
      <c r="V4303">
        <v>0</v>
      </c>
      <c r="W4303">
        <v>3</v>
      </c>
      <c r="X4303">
        <v>1995</v>
      </c>
      <c r="Z4303">
        <v>1</v>
      </c>
      <c r="AA4303" t="s">
        <v>26</v>
      </c>
      <c r="AB4303">
        <v>0</v>
      </c>
      <c r="AC4303" t="s">
        <v>115</v>
      </c>
      <c r="AD4303">
        <v>2</v>
      </c>
      <c r="AE4303" t="s">
        <v>115</v>
      </c>
      <c r="AF4303">
        <v>0</v>
      </c>
      <c r="AG4303">
        <v>0</v>
      </c>
      <c r="AH4303" t="s">
        <v>116</v>
      </c>
      <c r="AI4303" s="1">
        <v>-2329</v>
      </c>
      <c r="AJ4303" s="2">
        <v>-0.01</v>
      </c>
      <c r="AK4303" s="1">
        <v>282687</v>
      </c>
      <c r="AL4303" t="s">
        <v>117</v>
      </c>
      <c r="AM4303" t="s">
        <v>288</v>
      </c>
      <c r="AN4303">
        <v>10136</v>
      </c>
      <c r="AO4303">
        <v>0.23</v>
      </c>
      <c r="AP4303">
        <v>1</v>
      </c>
      <c r="AR4303">
        <v>1</v>
      </c>
      <c r="AS4303" s="1">
        <v>23160</v>
      </c>
      <c r="AT4303" s="1">
        <v>4630</v>
      </c>
      <c r="AU4303" s="1">
        <v>18530</v>
      </c>
      <c r="AV4303">
        <v>80.010000000000005</v>
      </c>
      <c r="AX4303" s="1">
        <v>1720.06</v>
      </c>
      <c r="AY4303" t="s">
        <v>9989</v>
      </c>
      <c r="AZ4303" t="s">
        <v>5478</v>
      </c>
      <c r="BA4303" t="s">
        <v>5479</v>
      </c>
      <c r="BE4303" s="3">
        <v>41806</v>
      </c>
      <c r="BF4303" s="1">
        <v>207650</v>
      </c>
      <c r="BG4303" t="s">
        <v>27184</v>
      </c>
      <c r="BH4303" s="1">
        <v>132.18</v>
      </c>
      <c r="BI4303" s="1">
        <v>285016</v>
      </c>
      <c r="BJ4303" s="3">
        <v>43516</v>
      </c>
      <c r="BK4303" t="s">
        <v>123</v>
      </c>
      <c r="BL4303" t="str">
        <f>"2019.116620"</f>
        <v>2019.116620</v>
      </c>
      <c r="BM4303" t="s">
        <v>2383</v>
      </c>
      <c r="BN4303" t="s">
        <v>3965</v>
      </c>
      <c r="BO4303" t="s">
        <v>27185</v>
      </c>
      <c r="BP4303" t="s">
        <v>27186</v>
      </c>
      <c r="BR4303" t="s">
        <v>139</v>
      </c>
      <c r="BW4303" t="str">
        <f>""</f>
        <v/>
      </c>
      <c r="CH4303" t="str">
        <f>""</f>
        <v/>
      </c>
      <c r="CS4303" t="str">
        <f>""</f>
        <v/>
      </c>
    </row>
    <row r="4304" spans="1:97" x14ac:dyDescent="0.25">
      <c r="A4304" t="s">
        <v>1607</v>
      </c>
      <c r="B4304" t="s">
        <v>27187</v>
      </c>
      <c r="C4304" t="s">
        <v>1140</v>
      </c>
      <c r="D4304" t="s">
        <v>27187</v>
      </c>
      <c r="E4304" t="s">
        <v>27188</v>
      </c>
      <c r="F4304" t="s">
        <v>108</v>
      </c>
      <c r="H4304" t="s">
        <v>27189</v>
      </c>
      <c r="I4304" t="s">
        <v>390</v>
      </c>
      <c r="J4304" t="s">
        <v>111</v>
      </c>
      <c r="K4304" t="str">
        <f>"85086"</f>
        <v>85086</v>
      </c>
      <c r="L4304" t="s">
        <v>516</v>
      </c>
      <c r="M4304" t="s">
        <v>27189</v>
      </c>
      <c r="N4304" t="s">
        <v>390</v>
      </c>
      <c r="O4304" t="s">
        <v>111</v>
      </c>
      <c r="P4304" t="str">
        <f>"85086-5512"</f>
        <v>85086-5512</v>
      </c>
      <c r="Q4304" t="s">
        <v>113</v>
      </c>
      <c r="R4304" t="str">
        <f>"203-26-723"</f>
        <v>203-26-723</v>
      </c>
      <c r="S4304" t="s">
        <v>16707</v>
      </c>
      <c r="U4304">
        <v>3912</v>
      </c>
      <c r="V4304">
        <v>0</v>
      </c>
      <c r="W4304">
        <v>6</v>
      </c>
      <c r="X4304">
        <v>2003</v>
      </c>
      <c r="Z4304">
        <v>2</v>
      </c>
      <c r="AA4304" t="s">
        <v>26</v>
      </c>
      <c r="AB4304">
        <v>0</v>
      </c>
      <c r="AC4304" t="s">
        <v>115</v>
      </c>
      <c r="AD4304">
        <v>3</v>
      </c>
      <c r="AE4304" t="s">
        <v>115</v>
      </c>
      <c r="AF4304">
        <v>0</v>
      </c>
      <c r="AG4304">
        <v>0</v>
      </c>
      <c r="AH4304" t="s">
        <v>116</v>
      </c>
      <c r="AI4304" s="1">
        <v>57077</v>
      </c>
      <c r="AJ4304" s="2">
        <v>0.12</v>
      </c>
      <c r="AK4304" s="1">
        <v>491327</v>
      </c>
      <c r="AL4304" t="s">
        <v>117</v>
      </c>
      <c r="AM4304" t="s">
        <v>171</v>
      </c>
      <c r="AN4304">
        <v>9510</v>
      </c>
      <c r="AO4304">
        <v>0.22</v>
      </c>
      <c r="AP4304">
        <v>1</v>
      </c>
      <c r="AR4304">
        <v>1</v>
      </c>
      <c r="AS4304" s="1">
        <v>37530</v>
      </c>
      <c r="AT4304" s="1">
        <v>7500</v>
      </c>
      <c r="AU4304" s="1">
        <v>30030</v>
      </c>
      <c r="AV4304">
        <v>80.02</v>
      </c>
      <c r="AX4304" s="1">
        <v>3715.72</v>
      </c>
      <c r="AY4304" t="s">
        <v>8639</v>
      </c>
      <c r="AZ4304" t="s">
        <v>8639</v>
      </c>
      <c r="BA4304" t="s">
        <v>378</v>
      </c>
      <c r="BE4304" s="3">
        <v>42010</v>
      </c>
      <c r="BF4304" s="1">
        <v>427500</v>
      </c>
      <c r="BG4304" t="s">
        <v>27190</v>
      </c>
      <c r="BH4304" s="1">
        <v>109.28</v>
      </c>
      <c r="BI4304" s="1">
        <v>434250</v>
      </c>
      <c r="BJ4304" s="3">
        <v>42613</v>
      </c>
      <c r="BK4304" t="s">
        <v>123</v>
      </c>
      <c r="BL4304" t="str">
        <f>"2016.628707"</f>
        <v>2016.628707</v>
      </c>
      <c r="BM4304" t="s">
        <v>20190</v>
      </c>
      <c r="BO4304" t="s">
        <v>27191</v>
      </c>
      <c r="BS4304">
        <v>30</v>
      </c>
      <c r="BW4304" t="str">
        <f>""</f>
        <v/>
      </c>
      <c r="CH4304" t="str">
        <f>""</f>
        <v/>
      </c>
      <c r="CS4304" t="str">
        <f>""</f>
        <v/>
      </c>
    </row>
    <row r="4305" spans="1:97" x14ac:dyDescent="0.25">
      <c r="A4305" t="s">
        <v>2294</v>
      </c>
      <c r="B4305" t="s">
        <v>27192</v>
      </c>
      <c r="E4305" t="s">
        <v>27193</v>
      </c>
      <c r="F4305" t="s">
        <v>108</v>
      </c>
      <c r="H4305" t="s">
        <v>27194</v>
      </c>
      <c r="I4305" t="s">
        <v>453</v>
      </c>
      <c r="J4305" t="s">
        <v>111</v>
      </c>
      <c r="K4305" t="str">
        <f>"85381"</f>
        <v>85381</v>
      </c>
      <c r="L4305" t="s">
        <v>5464</v>
      </c>
      <c r="M4305" t="s">
        <v>27194</v>
      </c>
      <c r="N4305" t="s">
        <v>453</v>
      </c>
      <c r="O4305" t="s">
        <v>111</v>
      </c>
      <c r="P4305" t="str">
        <f>"85381-9504"</f>
        <v>85381-9504</v>
      </c>
      <c r="Q4305" t="s">
        <v>113</v>
      </c>
      <c r="R4305" t="str">
        <f>"200-77-438"</f>
        <v>200-77-438</v>
      </c>
      <c r="S4305" t="s">
        <v>22490</v>
      </c>
      <c r="T4305" t="s">
        <v>22491</v>
      </c>
      <c r="U4305">
        <v>3532</v>
      </c>
      <c r="V4305">
        <v>0</v>
      </c>
      <c r="W4305">
        <v>5</v>
      </c>
      <c r="X4305">
        <v>1987</v>
      </c>
      <c r="Z4305">
        <v>2</v>
      </c>
      <c r="AA4305" t="s">
        <v>26</v>
      </c>
      <c r="AB4305">
        <v>0</v>
      </c>
      <c r="AC4305" t="s">
        <v>115</v>
      </c>
      <c r="AD4305">
        <v>2</v>
      </c>
      <c r="AE4305" t="s">
        <v>115</v>
      </c>
      <c r="AF4305">
        <v>0</v>
      </c>
      <c r="AG4305">
        <v>0</v>
      </c>
      <c r="AH4305" t="s">
        <v>116</v>
      </c>
      <c r="AI4305" s="1">
        <v>86809</v>
      </c>
      <c r="AJ4305" s="2">
        <v>0.22</v>
      </c>
      <c r="AK4305" s="1">
        <v>401809</v>
      </c>
      <c r="AL4305" t="s">
        <v>117</v>
      </c>
      <c r="AM4305" t="s">
        <v>171</v>
      </c>
      <c r="AN4305">
        <v>8433</v>
      </c>
      <c r="AO4305">
        <v>0.19</v>
      </c>
      <c r="AP4305">
        <v>1</v>
      </c>
      <c r="AR4305">
        <v>1</v>
      </c>
      <c r="AS4305" s="1">
        <v>28400</v>
      </c>
      <c r="AT4305" s="1">
        <v>5680</v>
      </c>
      <c r="AU4305" s="1">
        <v>22720</v>
      </c>
      <c r="AV4305">
        <v>80</v>
      </c>
      <c r="AX4305" s="1">
        <v>2289.14</v>
      </c>
      <c r="AY4305" t="s">
        <v>3359</v>
      </c>
      <c r="AZ4305" t="s">
        <v>3359</v>
      </c>
      <c r="BA4305" t="s">
        <v>3360</v>
      </c>
      <c r="BE4305" s="3">
        <v>41919</v>
      </c>
      <c r="BF4305" s="1">
        <v>315000</v>
      </c>
      <c r="BG4305" t="s">
        <v>27195</v>
      </c>
      <c r="BH4305" s="1">
        <v>90.62</v>
      </c>
      <c r="BI4305" s="1">
        <v>315000</v>
      </c>
      <c r="BJ4305" s="3">
        <v>41919</v>
      </c>
      <c r="BK4305" t="s">
        <v>123</v>
      </c>
      <c r="BL4305" t="str">
        <f>"2014.664790"</f>
        <v>2014.664790</v>
      </c>
      <c r="BM4305" t="s">
        <v>1044</v>
      </c>
      <c r="BO4305" t="s">
        <v>27196</v>
      </c>
      <c r="BS4305">
        <v>30</v>
      </c>
      <c r="BW4305" t="str">
        <f>""</f>
        <v/>
      </c>
      <c r="CH4305" t="str">
        <f>""</f>
        <v/>
      </c>
      <c r="CS4305" t="str">
        <f>""</f>
        <v/>
      </c>
    </row>
    <row r="4306" spans="1:97" x14ac:dyDescent="0.25">
      <c r="B4306" t="s">
        <v>27197</v>
      </c>
      <c r="E4306" t="s">
        <v>27198</v>
      </c>
      <c r="F4306" t="s">
        <v>108</v>
      </c>
      <c r="H4306" t="s">
        <v>27199</v>
      </c>
      <c r="I4306" t="s">
        <v>1936</v>
      </c>
      <c r="J4306" t="s">
        <v>111</v>
      </c>
      <c r="K4306" t="str">
        <f>"85255"</f>
        <v>85255</v>
      </c>
      <c r="L4306" t="s">
        <v>3108</v>
      </c>
      <c r="M4306" t="s">
        <v>27199</v>
      </c>
      <c r="N4306" t="s">
        <v>1936</v>
      </c>
      <c r="O4306" t="s">
        <v>111</v>
      </c>
      <c r="P4306" t="str">
        <f>"85255-5405"</f>
        <v>85255-5405</v>
      </c>
      <c r="Q4306" t="s">
        <v>113</v>
      </c>
      <c r="R4306" t="str">
        <f>"215-07-038"</f>
        <v>215-07-038</v>
      </c>
      <c r="S4306" t="s">
        <v>27200</v>
      </c>
      <c r="T4306" t="s">
        <v>27201</v>
      </c>
      <c r="U4306">
        <v>1854</v>
      </c>
      <c r="V4306">
        <v>0</v>
      </c>
      <c r="W4306">
        <v>3</v>
      </c>
      <c r="X4306">
        <v>1995</v>
      </c>
      <c r="Z4306">
        <v>1</v>
      </c>
      <c r="AB4306">
        <v>0</v>
      </c>
      <c r="AC4306" t="s">
        <v>115</v>
      </c>
      <c r="AD4306">
        <v>2</v>
      </c>
      <c r="AE4306" t="s">
        <v>115</v>
      </c>
      <c r="AF4306">
        <v>0</v>
      </c>
      <c r="AG4306">
        <v>0</v>
      </c>
      <c r="AH4306" t="s">
        <v>116</v>
      </c>
      <c r="AI4306" s="1">
        <v>133633</v>
      </c>
      <c r="AJ4306" s="2">
        <v>0.3</v>
      </c>
      <c r="AK4306" s="1">
        <v>451811</v>
      </c>
      <c r="AL4306" t="s">
        <v>117</v>
      </c>
      <c r="AM4306" t="s">
        <v>6533</v>
      </c>
      <c r="AN4306">
        <v>6169</v>
      </c>
      <c r="AO4306">
        <v>0.14000000000000001</v>
      </c>
      <c r="AP4306">
        <v>1</v>
      </c>
      <c r="AR4306">
        <v>1</v>
      </c>
      <c r="AS4306" s="1">
        <v>32430</v>
      </c>
      <c r="AT4306" s="1">
        <v>6480</v>
      </c>
      <c r="AU4306" s="1">
        <v>25950</v>
      </c>
      <c r="AV4306">
        <v>80.02</v>
      </c>
      <c r="AX4306" s="1">
        <v>3058.36</v>
      </c>
      <c r="AY4306" t="s">
        <v>8787</v>
      </c>
      <c r="AZ4306" t="s">
        <v>7739</v>
      </c>
      <c r="BA4306" t="s">
        <v>6302</v>
      </c>
      <c r="BB4306" s="3">
        <v>42548</v>
      </c>
      <c r="BD4306" t="s">
        <v>480</v>
      </c>
      <c r="BE4306" s="3">
        <v>42510</v>
      </c>
      <c r="BF4306" s="1">
        <v>419000</v>
      </c>
      <c r="BG4306" t="s">
        <v>27202</v>
      </c>
      <c r="BH4306" s="1">
        <v>226</v>
      </c>
      <c r="BI4306" s="1">
        <v>318178</v>
      </c>
      <c r="BJ4306" s="3">
        <v>42510</v>
      </c>
      <c r="BK4306" t="s">
        <v>123</v>
      </c>
      <c r="BL4306" t="str">
        <f>"2016.348425"</f>
        <v>2016.348425</v>
      </c>
      <c r="BM4306" t="s">
        <v>6329</v>
      </c>
      <c r="BO4306" t="s">
        <v>27203</v>
      </c>
      <c r="BS4306">
        <v>30</v>
      </c>
      <c r="BW4306" t="str">
        <f>""</f>
        <v/>
      </c>
      <c r="CH4306" t="str">
        <f>""</f>
        <v/>
      </c>
      <c r="CS4306" t="str">
        <f>""</f>
        <v/>
      </c>
    </row>
    <row r="4307" spans="1:97" x14ac:dyDescent="0.25">
      <c r="A4307" t="s">
        <v>27204</v>
      </c>
      <c r="B4307" t="s">
        <v>4527</v>
      </c>
      <c r="E4307" t="s">
        <v>27205</v>
      </c>
      <c r="F4307" t="s">
        <v>108</v>
      </c>
      <c r="H4307" t="s">
        <v>27206</v>
      </c>
      <c r="I4307" t="s">
        <v>203</v>
      </c>
      <c r="J4307" t="s">
        <v>111</v>
      </c>
      <c r="K4307" t="str">
        <f>"85298"</f>
        <v>85298</v>
      </c>
      <c r="L4307" t="s">
        <v>681</v>
      </c>
      <c r="M4307" t="s">
        <v>27206</v>
      </c>
      <c r="N4307" t="s">
        <v>203</v>
      </c>
      <c r="O4307" t="s">
        <v>111</v>
      </c>
      <c r="P4307" t="str">
        <f>"85298-2216"</f>
        <v>85298-2216</v>
      </c>
      <c r="Q4307" t="s">
        <v>113</v>
      </c>
      <c r="R4307" t="str">
        <f>"304-71-690"</f>
        <v>304-71-690</v>
      </c>
      <c r="S4307" t="s">
        <v>9053</v>
      </c>
      <c r="T4307" t="s">
        <v>287</v>
      </c>
      <c r="U4307">
        <v>4317</v>
      </c>
      <c r="V4307">
        <v>0</v>
      </c>
      <c r="W4307">
        <v>5</v>
      </c>
      <c r="X4307">
        <v>2015</v>
      </c>
      <c r="Z4307">
        <v>2</v>
      </c>
      <c r="AB4307">
        <v>0</v>
      </c>
      <c r="AC4307" t="s">
        <v>115</v>
      </c>
      <c r="AD4307">
        <v>3</v>
      </c>
      <c r="AE4307" t="s">
        <v>115</v>
      </c>
      <c r="AF4307">
        <v>0</v>
      </c>
      <c r="AG4307">
        <v>0</v>
      </c>
      <c r="AH4307" t="s">
        <v>116</v>
      </c>
      <c r="AI4307" s="1">
        <v>54081</v>
      </c>
      <c r="AJ4307" s="2">
        <v>0.09</v>
      </c>
      <c r="AK4307" s="1">
        <v>573518</v>
      </c>
      <c r="AL4307" t="s">
        <v>117</v>
      </c>
      <c r="AM4307" t="s">
        <v>393</v>
      </c>
      <c r="AN4307">
        <v>8547</v>
      </c>
      <c r="AO4307">
        <v>0.2</v>
      </c>
      <c r="AR4307">
        <v>1</v>
      </c>
      <c r="AS4307" s="1">
        <v>39570</v>
      </c>
      <c r="AT4307" s="1">
        <v>7910</v>
      </c>
      <c r="AU4307" s="1">
        <v>31660</v>
      </c>
      <c r="AV4307">
        <v>80.010000000000005</v>
      </c>
      <c r="AX4307" s="1">
        <v>3056.46</v>
      </c>
      <c r="AY4307" t="s">
        <v>289</v>
      </c>
      <c r="AZ4307" t="s">
        <v>289</v>
      </c>
      <c r="BA4307" t="s">
        <v>290</v>
      </c>
      <c r="BB4307" s="3">
        <v>42859</v>
      </c>
      <c r="BD4307" t="s">
        <v>458</v>
      </c>
      <c r="BE4307" s="3">
        <v>42480</v>
      </c>
      <c r="BF4307" s="1">
        <v>473000</v>
      </c>
      <c r="BG4307" t="s">
        <v>459</v>
      </c>
      <c r="BH4307" s="1">
        <v>109.57</v>
      </c>
      <c r="BI4307" s="1">
        <v>519437</v>
      </c>
      <c r="BJ4307" s="3">
        <v>42962</v>
      </c>
      <c r="BK4307" t="s">
        <v>123</v>
      </c>
      <c r="BL4307" t="str">
        <f>"2017.599260"</f>
        <v>2017.599260</v>
      </c>
      <c r="BM4307" t="s">
        <v>799</v>
      </c>
      <c r="BO4307" t="s">
        <v>27207</v>
      </c>
      <c r="BQ4307" t="str">
        <f>"2.7500%"</f>
        <v>2.7500%</v>
      </c>
      <c r="BR4307" t="s">
        <v>1480</v>
      </c>
      <c r="BS4307">
        <v>30</v>
      </c>
      <c r="BW4307" t="str">
        <f>""</f>
        <v/>
      </c>
      <c r="CH4307" t="str">
        <f>""</f>
        <v/>
      </c>
      <c r="CS4307" t="str">
        <f>""</f>
        <v/>
      </c>
    </row>
    <row r="4308" spans="1:97" x14ac:dyDescent="0.25">
      <c r="A4308" t="s">
        <v>7969</v>
      </c>
      <c r="B4308" t="s">
        <v>27208</v>
      </c>
      <c r="C4308" t="s">
        <v>2276</v>
      </c>
      <c r="D4308" t="s">
        <v>27208</v>
      </c>
      <c r="E4308" t="s">
        <v>27209</v>
      </c>
      <c r="F4308" t="s">
        <v>108</v>
      </c>
      <c r="H4308" t="s">
        <v>27210</v>
      </c>
      <c r="I4308" t="s">
        <v>110</v>
      </c>
      <c r="J4308" t="s">
        <v>111</v>
      </c>
      <c r="K4308" t="str">
        <f>"85249"</f>
        <v>85249</v>
      </c>
      <c r="L4308" t="s">
        <v>3645</v>
      </c>
      <c r="M4308" t="s">
        <v>27210</v>
      </c>
      <c r="N4308" t="s">
        <v>110</v>
      </c>
      <c r="O4308" t="s">
        <v>111</v>
      </c>
      <c r="P4308" t="str">
        <f>"85249-3589"</f>
        <v>85249-3589</v>
      </c>
      <c r="Q4308" t="s">
        <v>113</v>
      </c>
      <c r="R4308" t="str">
        <f>"303-55-469"</f>
        <v>303-55-469</v>
      </c>
      <c r="S4308" t="s">
        <v>20175</v>
      </c>
      <c r="T4308" t="s">
        <v>20175</v>
      </c>
      <c r="U4308">
        <v>2356</v>
      </c>
      <c r="V4308">
        <v>0</v>
      </c>
      <c r="W4308">
        <v>3</v>
      </c>
      <c r="X4308">
        <v>2002</v>
      </c>
      <c r="Z4308">
        <v>1</v>
      </c>
      <c r="AB4308">
        <v>0</v>
      </c>
      <c r="AC4308" t="s">
        <v>115</v>
      </c>
      <c r="AD4308">
        <v>3</v>
      </c>
      <c r="AE4308" t="s">
        <v>115</v>
      </c>
      <c r="AF4308">
        <v>0</v>
      </c>
      <c r="AG4308">
        <v>0</v>
      </c>
      <c r="AH4308" t="s">
        <v>116</v>
      </c>
      <c r="AI4308" s="1">
        <v>73713</v>
      </c>
      <c r="AJ4308" s="2">
        <v>0.19</v>
      </c>
      <c r="AK4308" s="1">
        <v>395485</v>
      </c>
      <c r="AL4308" t="s">
        <v>117</v>
      </c>
      <c r="AM4308" t="s">
        <v>118</v>
      </c>
      <c r="AN4308">
        <v>7566</v>
      </c>
      <c r="AO4308">
        <v>0.17</v>
      </c>
      <c r="AP4308">
        <v>1</v>
      </c>
      <c r="AR4308">
        <v>1</v>
      </c>
      <c r="AS4308" s="1">
        <v>26210</v>
      </c>
      <c r="AT4308" s="1">
        <v>5240</v>
      </c>
      <c r="AU4308" s="1">
        <v>20970</v>
      </c>
      <c r="AV4308">
        <v>80.010000000000005</v>
      </c>
      <c r="AX4308" s="1">
        <v>2188.7199999999998</v>
      </c>
      <c r="AY4308" t="s">
        <v>5050</v>
      </c>
      <c r="AZ4308" t="s">
        <v>120</v>
      </c>
      <c r="BA4308" t="s">
        <v>274</v>
      </c>
      <c r="BE4308" s="3">
        <v>42352</v>
      </c>
      <c r="BF4308" s="1">
        <v>315000</v>
      </c>
      <c r="BG4308" t="s">
        <v>27211</v>
      </c>
      <c r="BH4308" s="1">
        <v>133.69999999999999</v>
      </c>
      <c r="BI4308" s="1">
        <v>321772</v>
      </c>
      <c r="BJ4308" s="3">
        <v>42352</v>
      </c>
      <c r="BK4308" t="s">
        <v>123</v>
      </c>
      <c r="BL4308" t="str">
        <f>"2015.881221"</f>
        <v>2015.881221</v>
      </c>
      <c r="BM4308" t="s">
        <v>11327</v>
      </c>
      <c r="BO4308" t="s">
        <v>27212</v>
      </c>
      <c r="BS4308">
        <v>30</v>
      </c>
      <c r="BW4308" t="str">
        <f>""</f>
        <v/>
      </c>
      <c r="CH4308" t="str">
        <f>""</f>
        <v/>
      </c>
      <c r="CS4308" t="str">
        <f>""</f>
        <v/>
      </c>
    </row>
    <row r="4309" spans="1:97" x14ac:dyDescent="0.25">
      <c r="A4309" t="s">
        <v>996</v>
      </c>
      <c r="B4309" t="s">
        <v>27213</v>
      </c>
      <c r="E4309" t="s">
        <v>27214</v>
      </c>
      <c r="F4309" t="s">
        <v>108</v>
      </c>
      <c r="H4309" t="s">
        <v>27215</v>
      </c>
      <c r="I4309" t="s">
        <v>390</v>
      </c>
      <c r="J4309" t="s">
        <v>111</v>
      </c>
      <c r="K4309" t="str">
        <f>"85044"</f>
        <v>85044</v>
      </c>
      <c r="L4309" t="s">
        <v>4565</v>
      </c>
      <c r="M4309" t="s">
        <v>27215</v>
      </c>
      <c r="N4309" t="s">
        <v>390</v>
      </c>
      <c r="O4309" t="s">
        <v>111</v>
      </c>
      <c r="P4309" t="str">
        <f>"85044-3903"</f>
        <v>85044-3903</v>
      </c>
      <c r="Q4309" t="s">
        <v>113</v>
      </c>
      <c r="R4309" t="str">
        <f>"301-58-513"</f>
        <v>301-58-513</v>
      </c>
      <c r="S4309" t="s">
        <v>27216</v>
      </c>
      <c r="T4309" t="s">
        <v>27217</v>
      </c>
      <c r="U4309">
        <v>1886</v>
      </c>
      <c r="V4309">
        <v>0</v>
      </c>
      <c r="W4309">
        <v>3</v>
      </c>
      <c r="X4309">
        <v>1984</v>
      </c>
      <c r="Z4309">
        <v>1</v>
      </c>
      <c r="AB4309">
        <v>0</v>
      </c>
      <c r="AC4309" t="s">
        <v>115</v>
      </c>
      <c r="AD4309">
        <v>2</v>
      </c>
      <c r="AE4309" t="s">
        <v>115</v>
      </c>
      <c r="AF4309">
        <v>0</v>
      </c>
      <c r="AG4309">
        <v>0</v>
      </c>
      <c r="AH4309" t="s">
        <v>116</v>
      </c>
      <c r="AI4309" s="1">
        <v>69729</v>
      </c>
      <c r="AJ4309" s="2">
        <v>0.22</v>
      </c>
      <c r="AK4309" s="1">
        <v>319091</v>
      </c>
      <c r="AL4309" t="s">
        <v>117</v>
      </c>
      <c r="AM4309" t="s">
        <v>191</v>
      </c>
      <c r="AN4309">
        <v>8237</v>
      </c>
      <c r="AO4309">
        <v>0.19</v>
      </c>
      <c r="AP4309">
        <v>1</v>
      </c>
      <c r="AR4309">
        <v>1</v>
      </c>
      <c r="AS4309" s="1">
        <v>21070</v>
      </c>
      <c r="AT4309" s="1">
        <v>4210</v>
      </c>
      <c r="AU4309" s="1">
        <v>16860</v>
      </c>
      <c r="AV4309">
        <v>80.02</v>
      </c>
      <c r="AX4309" s="1">
        <v>1750.76</v>
      </c>
      <c r="AY4309" t="s">
        <v>11872</v>
      </c>
      <c r="AZ4309" t="s">
        <v>7255</v>
      </c>
      <c r="BA4309" t="s">
        <v>5328</v>
      </c>
      <c r="BE4309" s="3">
        <v>41759</v>
      </c>
      <c r="BF4309" s="1">
        <v>239900</v>
      </c>
      <c r="BG4309" t="s">
        <v>27218</v>
      </c>
      <c r="BH4309" s="1">
        <v>127.2</v>
      </c>
      <c r="BI4309" s="1">
        <v>249362</v>
      </c>
      <c r="BJ4309" s="3">
        <v>42620</v>
      </c>
      <c r="BK4309" t="s">
        <v>123</v>
      </c>
      <c r="BL4309" t="str">
        <f>"2016.648728"</f>
        <v>2016.648728</v>
      </c>
      <c r="BM4309" t="s">
        <v>402</v>
      </c>
      <c r="BO4309" t="s">
        <v>27219</v>
      </c>
      <c r="BS4309">
        <v>30</v>
      </c>
      <c r="BW4309" t="str">
        <f>""</f>
        <v/>
      </c>
      <c r="CH4309" t="str">
        <f>""</f>
        <v/>
      </c>
      <c r="CS4309" t="str">
        <f>""</f>
        <v/>
      </c>
    </row>
    <row r="4310" spans="1:97" x14ac:dyDescent="0.25">
      <c r="A4310" t="s">
        <v>27220</v>
      </c>
      <c r="B4310" t="s">
        <v>6779</v>
      </c>
      <c r="E4310" t="s">
        <v>27221</v>
      </c>
      <c r="F4310" t="s">
        <v>108</v>
      </c>
      <c r="H4310" t="s">
        <v>27222</v>
      </c>
      <c r="I4310" t="s">
        <v>203</v>
      </c>
      <c r="J4310" t="s">
        <v>111</v>
      </c>
      <c r="K4310" t="str">
        <f>"85234"</f>
        <v>85234</v>
      </c>
      <c r="L4310" t="s">
        <v>8199</v>
      </c>
      <c r="M4310" t="s">
        <v>27222</v>
      </c>
      <c r="N4310" t="s">
        <v>203</v>
      </c>
      <c r="O4310" t="s">
        <v>111</v>
      </c>
      <c r="P4310" t="str">
        <f>"85234-3545"</f>
        <v>85234-3545</v>
      </c>
      <c r="Q4310" t="s">
        <v>113</v>
      </c>
      <c r="R4310" t="str">
        <f>"304-96-261"</f>
        <v>304-96-261</v>
      </c>
      <c r="S4310" t="s">
        <v>14064</v>
      </c>
      <c r="T4310" t="s">
        <v>14065</v>
      </c>
      <c r="U4310">
        <v>2699</v>
      </c>
      <c r="V4310">
        <v>0</v>
      </c>
      <c r="W4310">
        <v>4</v>
      </c>
      <c r="X4310">
        <v>1991</v>
      </c>
      <c r="Z4310">
        <v>2</v>
      </c>
      <c r="AA4310" t="s">
        <v>26</v>
      </c>
      <c r="AB4310">
        <v>0</v>
      </c>
      <c r="AC4310" t="s">
        <v>115</v>
      </c>
      <c r="AD4310">
        <v>2</v>
      </c>
      <c r="AE4310" t="s">
        <v>115</v>
      </c>
      <c r="AF4310">
        <v>0</v>
      </c>
      <c r="AG4310">
        <v>0</v>
      </c>
      <c r="AH4310" t="s">
        <v>116</v>
      </c>
      <c r="AI4310" s="1">
        <v>45405</v>
      </c>
      <c r="AJ4310" s="2">
        <v>0.11</v>
      </c>
      <c r="AK4310" s="1">
        <v>412405</v>
      </c>
      <c r="AL4310" t="s">
        <v>117</v>
      </c>
      <c r="AM4310" t="s">
        <v>171</v>
      </c>
      <c r="AN4310">
        <v>7985</v>
      </c>
      <c r="AO4310">
        <v>0.18</v>
      </c>
      <c r="AP4310">
        <v>1</v>
      </c>
      <c r="AR4310">
        <v>1</v>
      </c>
      <c r="AS4310" s="1">
        <v>30300</v>
      </c>
      <c r="AT4310" s="1">
        <v>6060</v>
      </c>
      <c r="AU4310" s="1">
        <v>24240</v>
      </c>
      <c r="AV4310">
        <v>80</v>
      </c>
      <c r="AX4310" s="1">
        <v>2618.58</v>
      </c>
      <c r="AY4310" t="s">
        <v>7062</v>
      </c>
      <c r="AZ4310" t="s">
        <v>5478</v>
      </c>
      <c r="BA4310" t="s">
        <v>5033</v>
      </c>
      <c r="BE4310" s="3">
        <v>42510</v>
      </c>
      <c r="BF4310" s="1">
        <v>339000</v>
      </c>
      <c r="BG4310" t="s">
        <v>27223</v>
      </c>
      <c r="BH4310" s="1">
        <v>125.6</v>
      </c>
      <c r="BI4310" s="1">
        <v>367000</v>
      </c>
      <c r="BJ4310" s="3">
        <v>43437</v>
      </c>
      <c r="BK4310" t="s">
        <v>123</v>
      </c>
      <c r="BL4310" t="str">
        <f>"2018.887837"</f>
        <v>2018.887837</v>
      </c>
      <c r="BM4310" t="s">
        <v>533</v>
      </c>
      <c r="BN4310" t="s">
        <v>534</v>
      </c>
      <c r="BO4310" t="s">
        <v>27224</v>
      </c>
      <c r="BR4310" t="s">
        <v>139</v>
      </c>
      <c r="BW4310" t="str">
        <f>""</f>
        <v/>
      </c>
      <c r="CH4310" t="str">
        <f>""</f>
        <v/>
      </c>
      <c r="CS4310" t="str">
        <f>""</f>
        <v/>
      </c>
    </row>
    <row r="4311" spans="1:97" x14ac:dyDescent="0.25">
      <c r="A4311" t="s">
        <v>3221</v>
      </c>
      <c r="B4311" t="s">
        <v>603</v>
      </c>
      <c r="C4311" t="s">
        <v>1423</v>
      </c>
      <c r="D4311" t="s">
        <v>603</v>
      </c>
      <c r="E4311" t="s">
        <v>27225</v>
      </c>
      <c r="F4311" t="s">
        <v>108</v>
      </c>
      <c r="H4311" t="s">
        <v>27226</v>
      </c>
      <c r="I4311" t="s">
        <v>203</v>
      </c>
      <c r="J4311" t="s">
        <v>111</v>
      </c>
      <c r="K4311" t="str">
        <f>"85295"</f>
        <v>85295</v>
      </c>
      <c r="L4311" t="s">
        <v>8747</v>
      </c>
      <c r="M4311" t="s">
        <v>27226</v>
      </c>
      <c r="N4311" t="s">
        <v>203</v>
      </c>
      <c r="O4311" t="s">
        <v>111</v>
      </c>
      <c r="P4311" t="str">
        <f>"85295-5460"</f>
        <v>85295-5460</v>
      </c>
      <c r="Q4311" t="s">
        <v>113</v>
      </c>
      <c r="R4311" t="str">
        <f>"309-20-158"</f>
        <v>309-20-158</v>
      </c>
      <c r="S4311" t="s">
        <v>9211</v>
      </c>
      <c r="U4311">
        <v>1848</v>
      </c>
      <c r="V4311">
        <v>0</v>
      </c>
      <c r="W4311">
        <v>3</v>
      </c>
      <c r="X4311">
        <v>2000</v>
      </c>
      <c r="Z4311">
        <v>1</v>
      </c>
      <c r="AB4311">
        <v>0</v>
      </c>
      <c r="AC4311" t="s">
        <v>115</v>
      </c>
      <c r="AD4311">
        <v>3</v>
      </c>
      <c r="AE4311" t="s">
        <v>115</v>
      </c>
      <c r="AF4311">
        <v>0</v>
      </c>
      <c r="AG4311">
        <v>0</v>
      </c>
      <c r="AH4311" t="s">
        <v>116</v>
      </c>
      <c r="AI4311" s="1">
        <v>101847</v>
      </c>
      <c r="AJ4311" s="2">
        <v>0.28999999999999998</v>
      </c>
      <c r="AK4311" s="1">
        <v>345345</v>
      </c>
      <c r="AL4311" t="s">
        <v>117</v>
      </c>
      <c r="AM4311" t="s">
        <v>393</v>
      </c>
      <c r="AN4311">
        <v>8019</v>
      </c>
      <c r="AO4311">
        <v>0.18</v>
      </c>
      <c r="AP4311">
        <v>1</v>
      </c>
      <c r="AR4311">
        <v>1</v>
      </c>
      <c r="AS4311" s="1">
        <v>24520</v>
      </c>
      <c r="AT4311" s="1">
        <v>4900</v>
      </c>
      <c r="AU4311" s="1">
        <v>19620</v>
      </c>
      <c r="AV4311">
        <v>80.02</v>
      </c>
      <c r="AX4311" s="1">
        <v>1692.52</v>
      </c>
      <c r="AY4311" t="s">
        <v>9212</v>
      </c>
      <c r="AZ4311" t="s">
        <v>207</v>
      </c>
      <c r="BA4311" t="s">
        <v>208</v>
      </c>
      <c r="BE4311" s="3">
        <v>41746</v>
      </c>
      <c r="BF4311" s="1">
        <v>264900</v>
      </c>
      <c r="BG4311" t="s">
        <v>27227</v>
      </c>
      <c r="BH4311" s="1">
        <v>143.34</v>
      </c>
      <c r="BI4311" s="1">
        <v>243498</v>
      </c>
      <c r="BJ4311" s="3">
        <v>41746</v>
      </c>
      <c r="BK4311" t="s">
        <v>123</v>
      </c>
      <c r="BL4311" t="str">
        <f>"2014.247122"</f>
        <v>2014.247122</v>
      </c>
      <c r="BM4311" t="s">
        <v>27228</v>
      </c>
      <c r="BO4311" t="s">
        <v>27229</v>
      </c>
      <c r="BS4311">
        <v>30</v>
      </c>
      <c r="BW4311" t="str">
        <f>""</f>
        <v/>
      </c>
      <c r="CH4311" t="str">
        <f>""</f>
        <v/>
      </c>
      <c r="CS4311" t="str">
        <f>""</f>
        <v/>
      </c>
    </row>
    <row r="4312" spans="1:97" x14ac:dyDescent="0.25">
      <c r="A4312" t="s">
        <v>27230</v>
      </c>
      <c r="B4312" t="s">
        <v>27231</v>
      </c>
      <c r="E4312" t="s">
        <v>27232</v>
      </c>
      <c r="F4312" t="s">
        <v>108</v>
      </c>
      <c r="H4312" t="s">
        <v>27233</v>
      </c>
      <c r="I4312" t="s">
        <v>1936</v>
      </c>
      <c r="J4312" t="s">
        <v>111</v>
      </c>
      <c r="K4312" t="str">
        <f>"85257"</f>
        <v>85257</v>
      </c>
      <c r="L4312" t="s">
        <v>5074</v>
      </c>
      <c r="M4312" t="s">
        <v>27233</v>
      </c>
      <c r="N4312" t="s">
        <v>1936</v>
      </c>
      <c r="O4312" t="s">
        <v>111</v>
      </c>
      <c r="P4312" t="str">
        <f>"85257-2560"</f>
        <v>85257-2560</v>
      </c>
      <c r="Q4312" t="s">
        <v>113</v>
      </c>
      <c r="R4312" t="str">
        <f>"129-36-150"</f>
        <v>129-36-150</v>
      </c>
      <c r="S4312" t="s">
        <v>27234</v>
      </c>
      <c r="T4312" t="s">
        <v>27235</v>
      </c>
      <c r="U4312">
        <v>1565</v>
      </c>
      <c r="V4312">
        <v>0</v>
      </c>
      <c r="W4312">
        <v>2</v>
      </c>
      <c r="X4312">
        <v>1965</v>
      </c>
      <c r="Z4312">
        <v>1</v>
      </c>
      <c r="AB4312">
        <v>0</v>
      </c>
      <c r="AC4312" t="s">
        <v>5188</v>
      </c>
      <c r="AD4312">
        <v>2</v>
      </c>
      <c r="AE4312" t="s">
        <v>5188</v>
      </c>
      <c r="AF4312">
        <v>0</v>
      </c>
      <c r="AG4312">
        <v>0</v>
      </c>
      <c r="AH4312" t="s">
        <v>116</v>
      </c>
      <c r="AI4312" s="1">
        <v>120686</v>
      </c>
      <c r="AJ4312" s="2">
        <v>0.31</v>
      </c>
      <c r="AK4312" s="1">
        <v>389340</v>
      </c>
      <c r="AL4312" t="s">
        <v>117</v>
      </c>
      <c r="AM4312" t="s">
        <v>393</v>
      </c>
      <c r="AN4312">
        <v>7184</v>
      </c>
      <c r="AO4312">
        <v>0.16</v>
      </c>
      <c r="AP4312">
        <v>1</v>
      </c>
      <c r="AR4312">
        <v>1</v>
      </c>
      <c r="AS4312" s="1">
        <v>27350</v>
      </c>
      <c r="AT4312" s="1">
        <v>5470</v>
      </c>
      <c r="AU4312" s="1">
        <v>21880</v>
      </c>
      <c r="AV4312">
        <v>80</v>
      </c>
      <c r="AX4312" s="1">
        <v>1214.6600000000001</v>
      </c>
      <c r="AY4312" t="s">
        <v>6894</v>
      </c>
      <c r="AZ4312" t="s">
        <v>6894</v>
      </c>
      <c r="BA4312" t="s">
        <v>5421</v>
      </c>
      <c r="BE4312" s="3">
        <v>42081</v>
      </c>
      <c r="BF4312" s="1">
        <v>263000</v>
      </c>
      <c r="BG4312" t="s">
        <v>27236</v>
      </c>
      <c r="BH4312" s="1">
        <v>168.05</v>
      </c>
      <c r="BI4312" s="1">
        <v>268654</v>
      </c>
      <c r="BJ4312" s="3">
        <v>42081</v>
      </c>
      <c r="BK4312" t="s">
        <v>123</v>
      </c>
      <c r="BL4312" t="str">
        <f>"2015.181041"</f>
        <v>2015.181041</v>
      </c>
      <c r="BM4312" t="s">
        <v>135</v>
      </c>
      <c r="BO4312" t="s">
        <v>27237</v>
      </c>
      <c r="BS4312">
        <v>30</v>
      </c>
      <c r="BW4312" t="str">
        <f>""</f>
        <v/>
      </c>
      <c r="CH4312" t="str">
        <f>""</f>
        <v/>
      </c>
      <c r="CS4312" t="str">
        <f>""</f>
        <v/>
      </c>
    </row>
    <row r="4313" spans="1:97" x14ac:dyDescent="0.25">
      <c r="A4313" t="s">
        <v>464</v>
      </c>
      <c r="B4313" t="s">
        <v>27238</v>
      </c>
      <c r="C4313" t="s">
        <v>365</v>
      </c>
      <c r="D4313" t="s">
        <v>27238</v>
      </c>
      <c r="E4313" t="s">
        <v>27239</v>
      </c>
      <c r="F4313" t="s">
        <v>108</v>
      </c>
      <c r="H4313" t="s">
        <v>27240</v>
      </c>
      <c r="I4313" t="s">
        <v>188</v>
      </c>
      <c r="J4313" t="s">
        <v>111</v>
      </c>
      <c r="K4313" t="str">
        <f>"85142"</f>
        <v>85142</v>
      </c>
      <c r="L4313" t="s">
        <v>1070</v>
      </c>
      <c r="M4313" t="s">
        <v>27240</v>
      </c>
      <c r="N4313" t="s">
        <v>188</v>
      </c>
      <c r="O4313" t="s">
        <v>111</v>
      </c>
      <c r="P4313" t="str">
        <f>"85142-5063"</f>
        <v>85142-5063</v>
      </c>
      <c r="Q4313" t="s">
        <v>113</v>
      </c>
      <c r="R4313" t="str">
        <f>"314-09-187"</f>
        <v>314-09-187</v>
      </c>
      <c r="S4313" t="s">
        <v>27241</v>
      </c>
      <c r="T4313" t="s">
        <v>17034</v>
      </c>
      <c r="U4313">
        <v>3626</v>
      </c>
      <c r="V4313">
        <v>0</v>
      </c>
      <c r="W4313">
        <v>5</v>
      </c>
      <c r="X4313">
        <v>2015</v>
      </c>
      <c r="Z4313">
        <v>1</v>
      </c>
      <c r="AB4313">
        <v>0</v>
      </c>
      <c r="AC4313" t="s">
        <v>115</v>
      </c>
      <c r="AD4313">
        <v>3</v>
      </c>
      <c r="AE4313" t="s">
        <v>115</v>
      </c>
      <c r="AF4313">
        <v>0</v>
      </c>
      <c r="AG4313">
        <v>0</v>
      </c>
      <c r="AH4313" t="s">
        <v>116</v>
      </c>
      <c r="AI4313" s="1">
        <v>54335</v>
      </c>
      <c r="AJ4313" s="2">
        <v>0.12</v>
      </c>
      <c r="AK4313" s="1">
        <v>443731</v>
      </c>
      <c r="AL4313" t="s">
        <v>117</v>
      </c>
      <c r="AM4313" t="s">
        <v>5791</v>
      </c>
      <c r="AN4313">
        <v>13189</v>
      </c>
      <c r="AO4313">
        <v>0.3</v>
      </c>
      <c r="AR4313">
        <v>1</v>
      </c>
      <c r="AS4313" s="1">
        <v>31630</v>
      </c>
      <c r="AT4313" s="1">
        <v>6320</v>
      </c>
      <c r="AU4313" s="1">
        <v>25310</v>
      </c>
      <c r="AV4313">
        <v>80.02</v>
      </c>
      <c r="AX4313" s="1">
        <v>3070.02</v>
      </c>
      <c r="AY4313" t="s">
        <v>1074</v>
      </c>
      <c r="AZ4313" t="s">
        <v>193</v>
      </c>
      <c r="BA4313" t="s">
        <v>194</v>
      </c>
      <c r="BE4313" s="3">
        <v>42489</v>
      </c>
      <c r="BF4313" s="1">
        <v>334247</v>
      </c>
      <c r="BG4313" t="s">
        <v>2842</v>
      </c>
      <c r="BH4313" s="1">
        <v>92.18</v>
      </c>
      <c r="BI4313" s="1">
        <v>339396</v>
      </c>
      <c r="BJ4313" s="3">
        <v>42867</v>
      </c>
      <c r="BK4313" t="s">
        <v>123</v>
      </c>
      <c r="BL4313" t="str">
        <f>"2017.343571"</f>
        <v>2017.343571</v>
      </c>
      <c r="BM4313" t="s">
        <v>14332</v>
      </c>
      <c r="BN4313" t="s">
        <v>26332</v>
      </c>
      <c r="BO4313" t="s">
        <v>27242</v>
      </c>
      <c r="BS4313">
        <v>30</v>
      </c>
      <c r="BT4313" s="1">
        <v>50000</v>
      </c>
      <c r="BU4313" s="3">
        <v>43353</v>
      </c>
      <c r="BV4313" t="s">
        <v>134</v>
      </c>
      <c r="BW4313" t="str">
        <f>"2018.678914"</f>
        <v>2018.678914</v>
      </c>
      <c r="BX4313" t="s">
        <v>6152</v>
      </c>
      <c r="BY4313" t="s">
        <v>6153</v>
      </c>
      <c r="BZ4313" t="s">
        <v>27243</v>
      </c>
      <c r="CA4313" t="s">
        <v>27244</v>
      </c>
      <c r="CC4313" t="s">
        <v>139</v>
      </c>
      <c r="CH4313" t="str">
        <f>""</f>
        <v/>
      </c>
      <c r="CS4313" t="str">
        <f>""</f>
        <v/>
      </c>
    </row>
    <row r="4314" spans="1:97" x14ac:dyDescent="0.25">
      <c r="A4314" t="s">
        <v>27245</v>
      </c>
      <c r="B4314" t="s">
        <v>3333</v>
      </c>
      <c r="C4314" t="s">
        <v>3924</v>
      </c>
      <c r="D4314" t="s">
        <v>3333</v>
      </c>
      <c r="E4314" t="s">
        <v>27246</v>
      </c>
      <c r="F4314" t="s">
        <v>108</v>
      </c>
      <c r="H4314" t="s">
        <v>27247</v>
      </c>
      <c r="I4314" t="s">
        <v>390</v>
      </c>
      <c r="J4314" t="s">
        <v>111</v>
      </c>
      <c r="K4314" t="str">
        <f>"85008"</f>
        <v>85008</v>
      </c>
      <c r="L4314" t="s">
        <v>12359</v>
      </c>
      <c r="M4314" t="s">
        <v>27247</v>
      </c>
      <c r="N4314" t="s">
        <v>390</v>
      </c>
      <c r="O4314" t="s">
        <v>111</v>
      </c>
      <c r="P4314" t="str">
        <f>"85008-2913"</f>
        <v>85008-2913</v>
      </c>
      <c r="Q4314" t="s">
        <v>113</v>
      </c>
      <c r="R4314" t="str">
        <f>"120-16-084"</f>
        <v>120-16-084</v>
      </c>
      <c r="S4314" t="s">
        <v>27248</v>
      </c>
      <c r="T4314" t="s">
        <v>27249</v>
      </c>
      <c r="U4314">
        <v>1780</v>
      </c>
      <c r="V4314">
        <v>0</v>
      </c>
      <c r="W4314">
        <v>2</v>
      </c>
      <c r="X4314">
        <v>1953</v>
      </c>
      <c r="Z4314">
        <v>1</v>
      </c>
      <c r="AA4314" t="s">
        <v>26</v>
      </c>
      <c r="AB4314">
        <v>0</v>
      </c>
      <c r="AC4314" t="s">
        <v>5188</v>
      </c>
      <c r="AD4314">
        <v>1</v>
      </c>
      <c r="AE4314" t="s">
        <v>5188</v>
      </c>
      <c r="AF4314">
        <v>0</v>
      </c>
      <c r="AG4314">
        <v>0</v>
      </c>
      <c r="AH4314" t="s">
        <v>116</v>
      </c>
      <c r="AI4314" s="1">
        <v>90587</v>
      </c>
      <c r="AJ4314" s="2">
        <v>0.3</v>
      </c>
      <c r="AK4314" s="1">
        <v>300587</v>
      </c>
      <c r="AL4314" t="s">
        <v>117</v>
      </c>
      <c r="AM4314" t="s">
        <v>191</v>
      </c>
      <c r="AN4314">
        <v>7253</v>
      </c>
      <c r="AO4314">
        <v>0.17</v>
      </c>
      <c r="AP4314">
        <v>1</v>
      </c>
      <c r="AR4314">
        <v>1</v>
      </c>
      <c r="AS4314" s="1">
        <v>19030</v>
      </c>
      <c r="AT4314" s="1">
        <v>3800</v>
      </c>
      <c r="AU4314" s="1">
        <v>15230</v>
      </c>
      <c r="AV4314">
        <v>80.03</v>
      </c>
      <c r="AX4314" s="1">
        <v>1215.58</v>
      </c>
      <c r="AY4314" t="s">
        <v>14838</v>
      </c>
      <c r="AZ4314" t="s">
        <v>14838</v>
      </c>
      <c r="BA4314" t="s">
        <v>6255</v>
      </c>
      <c r="BE4314" s="3">
        <v>42467</v>
      </c>
      <c r="BF4314" s="1">
        <v>210000</v>
      </c>
      <c r="BG4314" t="s">
        <v>27250</v>
      </c>
      <c r="BH4314" s="1">
        <v>117.98</v>
      </c>
      <c r="BI4314" s="1">
        <v>210000</v>
      </c>
      <c r="BJ4314" s="3">
        <v>42467</v>
      </c>
      <c r="BK4314" t="s">
        <v>123</v>
      </c>
      <c r="BL4314" t="str">
        <f>"2016.231448"</f>
        <v>2016.231448</v>
      </c>
      <c r="BM4314" t="s">
        <v>1185</v>
      </c>
      <c r="BO4314" t="s">
        <v>27251</v>
      </c>
      <c r="BS4314">
        <v>30</v>
      </c>
      <c r="BW4314" t="str">
        <f>""</f>
        <v/>
      </c>
      <c r="CH4314" t="str">
        <f>""</f>
        <v/>
      </c>
      <c r="CS4314" t="str">
        <f>""</f>
        <v/>
      </c>
    </row>
    <row r="4315" spans="1:97" x14ac:dyDescent="0.25">
      <c r="A4315" t="s">
        <v>27252</v>
      </c>
      <c r="B4315" t="s">
        <v>27253</v>
      </c>
      <c r="C4315" t="s">
        <v>794</v>
      </c>
      <c r="D4315" t="s">
        <v>27253</v>
      </c>
      <c r="E4315" t="s">
        <v>27254</v>
      </c>
      <c r="F4315" t="s">
        <v>108</v>
      </c>
      <c r="H4315" t="s">
        <v>27255</v>
      </c>
      <c r="I4315" t="s">
        <v>390</v>
      </c>
      <c r="J4315" t="s">
        <v>111</v>
      </c>
      <c r="K4315" t="str">
        <f>"85022"</f>
        <v>85022</v>
      </c>
      <c r="L4315" t="s">
        <v>9168</v>
      </c>
      <c r="M4315" t="s">
        <v>27255</v>
      </c>
      <c r="N4315" t="s">
        <v>390</v>
      </c>
      <c r="O4315" t="s">
        <v>111</v>
      </c>
      <c r="P4315" t="str">
        <f>"85022-3658"</f>
        <v>85022-3658</v>
      </c>
      <c r="Q4315" t="s">
        <v>113</v>
      </c>
      <c r="R4315" t="str">
        <f>"208-17-311"</f>
        <v>208-17-311</v>
      </c>
      <c r="S4315" t="s">
        <v>27256</v>
      </c>
      <c r="T4315" t="s">
        <v>27257</v>
      </c>
      <c r="U4315">
        <v>1884</v>
      </c>
      <c r="V4315">
        <v>0</v>
      </c>
      <c r="W4315">
        <v>2</v>
      </c>
      <c r="X4315">
        <v>1973</v>
      </c>
      <c r="Z4315">
        <v>1</v>
      </c>
      <c r="AA4315" t="s">
        <v>26</v>
      </c>
      <c r="AB4315">
        <v>0</v>
      </c>
      <c r="AC4315" t="s">
        <v>115</v>
      </c>
      <c r="AD4315">
        <v>2</v>
      </c>
      <c r="AE4315" t="s">
        <v>115</v>
      </c>
      <c r="AF4315">
        <v>0</v>
      </c>
      <c r="AG4315">
        <v>0</v>
      </c>
      <c r="AH4315" t="s">
        <v>116</v>
      </c>
      <c r="AI4315" s="1">
        <v>138084</v>
      </c>
      <c r="AJ4315" s="2">
        <v>0.34</v>
      </c>
      <c r="AK4315" s="1">
        <v>405584</v>
      </c>
      <c r="AL4315" t="s">
        <v>117</v>
      </c>
      <c r="AM4315" t="s">
        <v>1302</v>
      </c>
      <c r="AN4315">
        <v>12178</v>
      </c>
      <c r="AO4315">
        <v>0.28000000000000003</v>
      </c>
      <c r="AP4315">
        <v>1</v>
      </c>
      <c r="AR4315">
        <v>1</v>
      </c>
      <c r="AS4315" s="1">
        <v>27170</v>
      </c>
      <c r="AT4315" s="1">
        <v>5430</v>
      </c>
      <c r="AU4315" s="1">
        <v>21740</v>
      </c>
      <c r="AV4315">
        <v>80.010000000000005</v>
      </c>
      <c r="AX4315" s="1">
        <v>2874.72</v>
      </c>
      <c r="AY4315" t="s">
        <v>9170</v>
      </c>
      <c r="AZ4315" t="s">
        <v>8648</v>
      </c>
      <c r="BA4315" t="s">
        <v>8649</v>
      </c>
      <c r="BE4315" s="3">
        <v>42061</v>
      </c>
      <c r="BF4315" s="1">
        <v>362500</v>
      </c>
      <c r="BG4315" t="s">
        <v>27258</v>
      </c>
      <c r="BH4315" s="1">
        <v>192.41</v>
      </c>
      <c r="BI4315" s="1">
        <v>267500</v>
      </c>
      <c r="BJ4315" s="3">
        <v>42061</v>
      </c>
      <c r="BK4315" t="s">
        <v>123</v>
      </c>
      <c r="BL4315" t="str">
        <f>"2015.127043"</f>
        <v>2015.127043</v>
      </c>
      <c r="BM4315" t="s">
        <v>724</v>
      </c>
      <c r="BO4315" t="s">
        <v>27259</v>
      </c>
      <c r="BS4315">
        <v>30</v>
      </c>
      <c r="BW4315" t="str">
        <f>""</f>
        <v/>
      </c>
      <c r="CH4315" t="str">
        <f>""</f>
        <v/>
      </c>
      <c r="CS4315" t="str">
        <f>""</f>
        <v/>
      </c>
    </row>
    <row r="4316" spans="1:97" x14ac:dyDescent="0.25">
      <c r="A4316" t="s">
        <v>177</v>
      </c>
      <c r="B4316" t="s">
        <v>27260</v>
      </c>
      <c r="C4316" t="s">
        <v>976</v>
      </c>
      <c r="D4316" t="s">
        <v>27260</v>
      </c>
      <c r="E4316" t="s">
        <v>27261</v>
      </c>
      <c r="F4316" t="s">
        <v>108</v>
      </c>
      <c r="H4316" t="s">
        <v>27262</v>
      </c>
      <c r="I4316" t="s">
        <v>2874</v>
      </c>
      <c r="J4316" t="s">
        <v>111</v>
      </c>
      <c r="K4316" t="str">
        <f>"85308"</f>
        <v>85308</v>
      </c>
      <c r="L4316" t="s">
        <v>4282</v>
      </c>
      <c r="M4316" t="s">
        <v>27262</v>
      </c>
      <c r="N4316" t="s">
        <v>2874</v>
      </c>
      <c r="O4316" t="s">
        <v>111</v>
      </c>
      <c r="P4316" t="str">
        <f>"85308-7619"</f>
        <v>85308-7619</v>
      </c>
      <c r="Q4316" t="s">
        <v>113</v>
      </c>
      <c r="R4316" t="str">
        <f>"200-28-117"</f>
        <v>200-28-117</v>
      </c>
      <c r="S4316" t="s">
        <v>27263</v>
      </c>
      <c r="T4316" t="s">
        <v>27264</v>
      </c>
      <c r="U4316">
        <v>2450</v>
      </c>
      <c r="V4316">
        <v>0</v>
      </c>
      <c r="W4316">
        <v>4</v>
      </c>
      <c r="X4316">
        <v>1995</v>
      </c>
      <c r="Z4316">
        <v>2</v>
      </c>
      <c r="AA4316" t="s">
        <v>26</v>
      </c>
      <c r="AB4316">
        <v>0</v>
      </c>
      <c r="AC4316" t="s">
        <v>115</v>
      </c>
      <c r="AD4316">
        <v>3</v>
      </c>
      <c r="AE4316" t="s">
        <v>115</v>
      </c>
      <c r="AF4316">
        <v>0</v>
      </c>
      <c r="AG4316">
        <v>0</v>
      </c>
      <c r="AH4316" t="s">
        <v>116</v>
      </c>
      <c r="AI4316" s="1">
        <v>59696</v>
      </c>
      <c r="AJ4316" s="2">
        <v>0.15</v>
      </c>
      <c r="AK4316" s="1">
        <v>388619</v>
      </c>
      <c r="AL4316" t="s">
        <v>117</v>
      </c>
      <c r="AM4316" t="s">
        <v>393</v>
      </c>
      <c r="AN4316">
        <v>7400</v>
      </c>
      <c r="AO4316">
        <v>0.17</v>
      </c>
      <c r="AP4316">
        <v>1</v>
      </c>
      <c r="AR4316">
        <v>1</v>
      </c>
      <c r="AS4316" s="1">
        <v>28120</v>
      </c>
      <c r="AT4316" s="1">
        <v>5620</v>
      </c>
      <c r="AU4316" s="1">
        <v>22500</v>
      </c>
      <c r="AV4316">
        <v>80.010000000000005</v>
      </c>
      <c r="AX4316" s="1">
        <v>2621.66</v>
      </c>
      <c r="AY4316" t="s">
        <v>6740</v>
      </c>
      <c r="AZ4316" t="s">
        <v>6740</v>
      </c>
      <c r="BA4316" t="s">
        <v>5143</v>
      </c>
      <c r="BE4316" s="3">
        <v>42353</v>
      </c>
      <c r="BF4316" s="1">
        <v>322000</v>
      </c>
      <c r="BG4316" t="s">
        <v>27265</v>
      </c>
      <c r="BH4316" s="1">
        <v>131.43</v>
      </c>
      <c r="BI4316" s="1">
        <v>328923</v>
      </c>
      <c r="BJ4316" s="3">
        <v>42353</v>
      </c>
      <c r="BK4316" t="s">
        <v>123</v>
      </c>
      <c r="BL4316" t="str">
        <f>"2015.883577"</f>
        <v>2015.883577</v>
      </c>
      <c r="BM4316" t="s">
        <v>475</v>
      </c>
      <c r="BO4316" t="s">
        <v>27266</v>
      </c>
      <c r="BS4316">
        <v>30</v>
      </c>
      <c r="BW4316" t="str">
        <f>""</f>
        <v/>
      </c>
      <c r="CH4316" t="str">
        <f>""</f>
        <v/>
      </c>
      <c r="CS4316" t="str">
        <f>""</f>
        <v/>
      </c>
    </row>
    <row r="4317" spans="1:97" x14ac:dyDescent="0.25">
      <c r="A4317" t="s">
        <v>370</v>
      </c>
      <c r="B4317" t="s">
        <v>27267</v>
      </c>
      <c r="C4317" t="s">
        <v>8540</v>
      </c>
      <c r="D4317" t="s">
        <v>27267</v>
      </c>
      <c r="E4317" t="s">
        <v>27268</v>
      </c>
      <c r="F4317" t="s">
        <v>108</v>
      </c>
      <c r="H4317" t="s">
        <v>27269</v>
      </c>
      <c r="I4317" t="s">
        <v>225</v>
      </c>
      <c r="J4317" t="s">
        <v>111</v>
      </c>
      <c r="K4317" t="str">
        <f>"85205"</f>
        <v>85205</v>
      </c>
      <c r="L4317" t="s">
        <v>5308</v>
      </c>
      <c r="M4317" t="s">
        <v>27269</v>
      </c>
      <c r="N4317" t="s">
        <v>225</v>
      </c>
      <c r="O4317" t="s">
        <v>111</v>
      </c>
      <c r="P4317" t="str">
        <f>"85205-4390"</f>
        <v>85205-4390</v>
      </c>
      <c r="Q4317" t="s">
        <v>113</v>
      </c>
      <c r="R4317" t="str">
        <f>"141-45-942"</f>
        <v>141-45-942</v>
      </c>
      <c r="S4317" t="s">
        <v>17882</v>
      </c>
      <c r="T4317" t="s">
        <v>17883</v>
      </c>
      <c r="U4317">
        <v>1794</v>
      </c>
      <c r="V4317">
        <v>0</v>
      </c>
      <c r="W4317">
        <v>3</v>
      </c>
      <c r="X4317">
        <v>1988</v>
      </c>
      <c r="Z4317">
        <v>1</v>
      </c>
      <c r="AA4317" t="s">
        <v>26</v>
      </c>
      <c r="AB4317">
        <v>0</v>
      </c>
      <c r="AC4317" t="s">
        <v>115</v>
      </c>
      <c r="AD4317">
        <v>2</v>
      </c>
      <c r="AE4317" t="s">
        <v>115</v>
      </c>
      <c r="AF4317">
        <v>0</v>
      </c>
      <c r="AG4317">
        <v>0</v>
      </c>
      <c r="AH4317" t="s">
        <v>116</v>
      </c>
      <c r="AI4317" s="1">
        <v>58829</v>
      </c>
      <c r="AJ4317" s="2">
        <v>0.18</v>
      </c>
      <c r="AK4317" s="1">
        <v>319629</v>
      </c>
      <c r="AL4317" t="s">
        <v>117</v>
      </c>
      <c r="AM4317" t="s">
        <v>393</v>
      </c>
      <c r="AN4317">
        <v>8062</v>
      </c>
      <c r="AO4317">
        <v>0.18</v>
      </c>
      <c r="AP4317">
        <v>1</v>
      </c>
      <c r="AR4317">
        <v>1</v>
      </c>
      <c r="AS4317" s="1">
        <v>22400</v>
      </c>
      <c r="AT4317" s="1">
        <v>4480</v>
      </c>
      <c r="AU4317" s="1">
        <v>17920</v>
      </c>
      <c r="AV4317">
        <v>80</v>
      </c>
      <c r="AX4317" s="1">
        <v>1722.04</v>
      </c>
      <c r="AY4317" t="s">
        <v>5274</v>
      </c>
      <c r="AZ4317" t="s">
        <v>5275</v>
      </c>
      <c r="BA4317" t="s">
        <v>3119</v>
      </c>
      <c r="BE4317" s="3">
        <v>42181</v>
      </c>
      <c r="BF4317" s="1">
        <v>252500</v>
      </c>
      <c r="BG4317" t="s">
        <v>27270</v>
      </c>
      <c r="BH4317" s="1">
        <v>140.75</v>
      </c>
      <c r="BI4317" s="1">
        <v>260800</v>
      </c>
      <c r="BJ4317" s="3">
        <v>42181</v>
      </c>
      <c r="BK4317" t="s">
        <v>123</v>
      </c>
      <c r="BL4317" t="str">
        <f>"2015.459930"</f>
        <v>2015.459930</v>
      </c>
      <c r="BM4317" t="s">
        <v>1192</v>
      </c>
      <c r="BO4317" t="s">
        <v>27271</v>
      </c>
      <c r="BS4317">
        <v>30</v>
      </c>
      <c r="BW4317" t="str">
        <f>""</f>
        <v/>
      </c>
      <c r="CH4317" t="str">
        <f>""</f>
        <v/>
      </c>
      <c r="CS4317" t="str">
        <f>""</f>
        <v/>
      </c>
    </row>
    <row r="4318" spans="1:97" x14ac:dyDescent="0.25">
      <c r="A4318" t="s">
        <v>1514</v>
      </c>
      <c r="B4318" t="s">
        <v>4116</v>
      </c>
      <c r="C4318" t="s">
        <v>1119</v>
      </c>
      <c r="D4318" t="s">
        <v>4116</v>
      </c>
      <c r="E4318" t="s">
        <v>27272</v>
      </c>
      <c r="F4318" t="s">
        <v>108</v>
      </c>
      <c r="H4318" t="s">
        <v>27273</v>
      </c>
      <c r="I4318" t="s">
        <v>203</v>
      </c>
      <c r="J4318" t="s">
        <v>111</v>
      </c>
      <c r="K4318" t="str">
        <f>"85296"</f>
        <v>85296</v>
      </c>
      <c r="L4318" t="s">
        <v>9060</v>
      </c>
      <c r="M4318" t="s">
        <v>27273</v>
      </c>
      <c r="N4318" t="s">
        <v>203</v>
      </c>
      <c r="O4318" t="s">
        <v>111</v>
      </c>
      <c r="P4318" t="str">
        <f>"85296-9758"</f>
        <v>85296-9758</v>
      </c>
      <c r="Q4318" t="s">
        <v>113</v>
      </c>
      <c r="R4318" t="str">
        <f>"304-25-716"</f>
        <v>304-25-716</v>
      </c>
      <c r="S4318" t="s">
        <v>11835</v>
      </c>
      <c r="T4318" t="s">
        <v>9527</v>
      </c>
      <c r="U4318">
        <v>2963</v>
      </c>
      <c r="V4318">
        <v>0</v>
      </c>
      <c r="W4318">
        <v>4</v>
      </c>
      <c r="X4318">
        <v>1997</v>
      </c>
      <c r="Z4318">
        <v>1</v>
      </c>
      <c r="AA4318" t="s">
        <v>26</v>
      </c>
      <c r="AB4318">
        <v>0</v>
      </c>
      <c r="AC4318" t="s">
        <v>115</v>
      </c>
      <c r="AD4318">
        <v>3</v>
      </c>
      <c r="AE4318" t="s">
        <v>115</v>
      </c>
      <c r="AF4318">
        <v>0</v>
      </c>
      <c r="AG4318">
        <v>0</v>
      </c>
      <c r="AH4318" t="s">
        <v>116</v>
      </c>
      <c r="AI4318" s="1">
        <v>66566</v>
      </c>
      <c r="AJ4318" s="2">
        <v>0.14000000000000001</v>
      </c>
      <c r="AK4318" s="1">
        <v>486066</v>
      </c>
      <c r="AL4318" t="s">
        <v>117</v>
      </c>
      <c r="AM4318" t="s">
        <v>393</v>
      </c>
      <c r="AN4318">
        <v>8999</v>
      </c>
      <c r="AO4318">
        <v>0.21</v>
      </c>
      <c r="AP4318">
        <v>1</v>
      </c>
      <c r="AR4318">
        <v>1</v>
      </c>
      <c r="AS4318" s="1">
        <v>34100</v>
      </c>
      <c r="AT4318" s="1">
        <v>6820</v>
      </c>
      <c r="AU4318" s="1">
        <v>27280</v>
      </c>
      <c r="AV4318">
        <v>80</v>
      </c>
      <c r="AX4318" s="1">
        <v>2538.2800000000002</v>
      </c>
      <c r="AY4318" t="s">
        <v>7837</v>
      </c>
      <c r="AZ4318" t="s">
        <v>207</v>
      </c>
      <c r="BA4318" t="s">
        <v>208</v>
      </c>
      <c r="BE4318" s="3">
        <v>41996</v>
      </c>
      <c r="BF4318" s="1">
        <v>393000</v>
      </c>
      <c r="BG4318" t="s">
        <v>27274</v>
      </c>
      <c r="BH4318" s="1">
        <v>132.63999999999999</v>
      </c>
      <c r="BI4318" s="1">
        <v>419500</v>
      </c>
      <c r="BJ4318" s="3">
        <v>43579</v>
      </c>
      <c r="BK4318" t="s">
        <v>123</v>
      </c>
      <c r="BL4318" t="str">
        <f>"2019.291071"</f>
        <v>2019.291071</v>
      </c>
      <c r="BM4318" t="s">
        <v>10609</v>
      </c>
      <c r="BN4318" t="s">
        <v>10610</v>
      </c>
      <c r="BO4318" t="s">
        <v>27275</v>
      </c>
      <c r="BP4318" t="s">
        <v>27276</v>
      </c>
      <c r="BR4318" t="s">
        <v>139</v>
      </c>
      <c r="BW4318" t="str">
        <f>""</f>
        <v/>
      </c>
      <c r="CH4318" t="str">
        <f>""</f>
        <v/>
      </c>
      <c r="CS4318" t="str">
        <f>""</f>
        <v/>
      </c>
    </row>
    <row r="4319" spans="1:97" x14ac:dyDescent="0.25">
      <c r="A4319" t="s">
        <v>27277</v>
      </c>
      <c r="B4319" t="s">
        <v>4849</v>
      </c>
      <c r="C4319" t="s">
        <v>27278</v>
      </c>
      <c r="D4319" t="s">
        <v>4849</v>
      </c>
      <c r="E4319" t="s">
        <v>27279</v>
      </c>
      <c r="F4319" t="s">
        <v>108</v>
      </c>
      <c r="H4319" t="s">
        <v>27280</v>
      </c>
      <c r="I4319" t="s">
        <v>203</v>
      </c>
      <c r="J4319" t="s">
        <v>111</v>
      </c>
      <c r="K4319" t="str">
        <f>"85295"</f>
        <v>85295</v>
      </c>
      <c r="L4319" t="s">
        <v>112</v>
      </c>
      <c r="M4319" t="s">
        <v>27280</v>
      </c>
      <c r="N4319" t="s">
        <v>203</v>
      </c>
      <c r="O4319" t="s">
        <v>111</v>
      </c>
      <c r="P4319" t="str">
        <f>"85295-6168"</f>
        <v>85295-6168</v>
      </c>
      <c r="Q4319" t="s">
        <v>113</v>
      </c>
      <c r="R4319" t="str">
        <f>"304-45-886"</f>
        <v>304-45-886</v>
      </c>
      <c r="S4319" t="s">
        <v>27281</v>
      </c>
      <c r="T4319" t="s">
        <v>27282</v>
      </c>
      <c r="U4319">
        <v>2363</v>
      </c>
      <c r="V4319">
        <v>0</v>
      </c>
      <c r="W4319">
        <v>3</v>
      </c>
      <c r="X4319">
        <v>2004</v>
      </c>
      <c r="Z4319">
        <v>1</v>
      </c>
      <c r="AA4319" t="s">
        <v>26</v>
      </c>
      <c r="AB4319">
        <v>0</v>
      </c>
      <c r="AC4319" t="s">
        <v>115</v>
      </c>
      <c r="AD4319">
        <v>2</v>
      </c>
      <c r="AE4319" t="s">
        <v>115</v>
      </c>
      <c r="AF4319">
        <v>0</v>
      </c>
      <c r="AG4319">
        <v>0</v>
      </c>
      <c r="AH4319" t="s">
        <v>116</v>
      </c>
      <c r="AI4319" s="1">
        <v>19580</v>
      </c>
      <c r="AJ4319" s="2">
        <v>0.06</v>
      </c>
      <c r="AK4319" s="1">
        <v>311950</v>
      </c>
      <c r="AL4319" t="s">
        <v>117</v>
      </c>
      <c r="AM4319" t="s">
        <v>191</v>
      </c>
      <c r="AN4319">
        <v>7475</v>
      </c>
      <c r="AO4319">
        <v>0.17</v>
      </c>
      <c r="AP4319">
        <v>1</v>
      </c>
      <c r="AR4319">
        <v>1</v>
      </c>
      <c r="AS4319" s="1">
        <v>27920</v>
      </c>
      <c r="AT4319" s="1">
        <v>5580</v>
      </c>
      <c r="AU4319" s="1">
        <v>22340</v>
      </c>
      <c r="AV4319">
        <v>80.010000000000005</v>
      </c>
      <c r="AX4319" s="1">
        <v>1969.26</v>
      </c>
      <c r="AY4319" t="s">
        <v>1818</v>
      </c>
      <c r="AZ4319" t="s">
        <v>207</v>
      </c>
      <c r="BA4319" t="s">
        <v>208</v>
      </c>
      <c r="BE4319" s="3">
        <v>42391</v>
      </c>
      <c r="BF4319" s="1">
        <v>312000</v>
      </c>
      <c r="BG4319" t="s">
        <v>27283</v>
      </c>
      <c r="BH4319" s="1">
        <v>132.04</v>
      </c>
      <c r="BI4319" s="1">
        <v>292370</v>
      </c>
      <c r="BJ4319" s="3">
        <v>42391</v>
      </c>
      <c r="BK4319" t="s">
        <v>123</v>
      </c>
      <c r="BL4319" t="str">
        <f>"2016.45811"</f>
        <v>2016.45811</v>
      </c>
      <c r="BM4319" t="s">
        <v>7181</v>
      </c>
      <c r="BO4319" t="s">
        <v>27284</v>
      </c>
      <c r="BS4319">
        <v>30</v>
      </c>
      <c r="BW4319" t="str">
        <f>""</f>
        <v/>
      </c>
      <c r="CH4319" t="str">
        <f>""</f>
        <v/>
      </c>
      <c r="CS4319" t="str">
        <f>""</f>
        <v/>
      </c>
    </row>
    <row r="4320" spans="1:97" x14ac:dyDescent="0.25">
      <c r="A4320" t="s">
        <v>6778</v>
      </c>
      <c r="B4320" t="s">
        <v>3730</v>
      </c>
      <c r="C4320" t="s">
        <v>365</v>
      </c>
      <c r="D4320" t="s">
        <v>3730</v>
      </c>
      <c r="E4320" t="s">
        <v>27285</v>
      </c>
      <c r="F4320" t="s">
        <v>108</v>
      </c>
      <c r="H4320" t="s">
        <v>27286</v>
      </c>
      <c r="I4320" t="s">
        <v>499</v>
      </c>
      <c r="J4320" t="s">
        <v>111</v>
      </c>
      <c r="K4320" t="str">
        <f>"85338"</f>
        <v>85338</v>
      </c>
      <c r="L4320" t="s">
        <v>5291</v>
      </c>
      <c r="M4320" t="s">
        <v>27286</v>
      </c>
      <c r="N4320" t="s">
        <v>499</v>
      </c>
      <c r="O4320" t="s">
        <v>111</v>
      </c>
      <c r="P4320" t="str">
        <f>"85338-9130"</f>
        <v>85338-9130</v>
      </c>
      <c r="Q4320" t="s">
        <v>113</v>
      </c>
      <c r="R4320" t="str">
        <f>"400-03-289"</f>
        <v>400-03-289</v>
      </c>
      <c r="S4320" t="s">
        <v>15855</v>
      </c>
      <c r="U4320">
        <v>2680</v>
      </c>
      <c r="V4320">
        <v>0</v>
      </c>
      <c r="W4320">
        <v>3</v>
      </c>
      <c r="X4320">
        <v>1999</v>
      </c>
      <c r="Z4320">
        <v>1</v>
      </c>
      <c r="AB4320">
        <v>0</v>
      </c>
      <c r="AC4320" t="s">
        <v>115</v>
      </c>
      <c r="AD4320">
        <v>3</v>
      </c>
      <c r="AE4320" t="s">
        <v>115</v>
      </c>
      <c r="AF4320">
        <v>0</v>
      </c>
      <c r="AG4320">
        <v>0</v>
      </c>
      <c r="AH4320" t="s">
        <v>116</v>
      </c>
      <c r="AI4320" s="1">
        <v>71846</v>
      </c>
      <c r="AJ4320" s="2">
        <v>0.2</v>
      </c>
      <c r="AK4320" s="1">
        <v>356146</v>
      </c>
      <c r="AL4320" t="s">
        <v>117</v>
      </c>
      <c r="AM4320" t="s">
        <v>118</v>
      </c>
      <c r="AN4320">
        <v>8580</v>
      </c>
      <c r="AO4320">
        <v>0.2</v>
      </c>
      <c r="AP4320">
        <v>1</v>
      </c>
      <c r="AR4320">
        <v>1</v>
      </c>
      <c r="AS4320" s="1">
        <v>25150</v>
      </c>
      <c r="AT4320" s="1">
        <v>5030</v>
      </c>
      <c r="AU4320" s="1">
        <v>20120</v>
      </c>
      <c r="AV4320">
        <v>80</v>
      </c>
      <c r="AX4320" s="1">
        <v>2334.2600000000002</v>
      </c>
      <c r="AY4320" t="s">
        <v>4236</v>
      </c>
      <c r="AZ4320" t="s">
        <v>4236</v>
      </c>
      <c r="BA4320" t="s">
        <v>1247</v>
      </c>
      <c r="BE4320" s="3">
        <v>42397</v>
      </c>
      <c r="BF4320" s="1">
        <v>287500</v>
      </c>
      <c r="BG4320" t="s">
        <v>27287</v>
      </c>
      <c r="BH4320" s="1">
        <v>107.28</v>
      </c>
      <c r="BI4320" s="1">
        <v>284300</v>
      </c>
      <c r="BJ4320" s="3">
        <v>42704</v>
      </c>
      <c r="BK4320" t="s">
        <v>123</v>
      </c>
      <c r="BL4320" t="str">
        <f>"2016.880814"</f>
        <v>2016.880814</v>
      </c>
      <c r="BM4320" t="s">
        <v>425</v>
      </c>
      <c r="BO4320" t="s">
        <v>27288</v>
      </c>
      <c r="BS4320">
        <v>30</v>
      </c>
      <c r="BW4320" t="str">
        <f>""</f>
        <v/>
      </c>
      <c r="CH4320" t="str">
        <f>""</f>
        <v/>
      </c>
      <c r="CS4320" t="str">
        <f>""</f>
        <v/>
      </c>
    </row>
    <row r="4321" spans="1:97" x14ac:dyDescent="0.25">
      <c r="A4321" t="s">
        <v>305</v>
      </c>
      <c r="B4321" t="s">
        <v>27289</v>
      </c>
      <c r="C4321" t="s">
        <v>27290</v>
      </c>
      <c r="D4321" t="s">
        <v>27289</v>
      </c>
      <c r="E4321" t="s">
        <v>27291</v>
      </c>
      <c r="F4321" t="s">
        <v>108</v>
      </c>
      <c r="H4321" t="s">
        <v>27292</v>
      </c>
      <c r="I4321" t="s">
        <v>203</v>
      </c>
      <c r="J4321" t="s">
        <v>111</v>
      </c>
      <c r="K4321" t="str">
        <f>"85298"</f>
        <v>85298</v>
      </c>
      <c r="L4321" t="s">
        <v>7243</v>
      </c>
      <c r="M4321" t="s">
        <v>27292</v>
      </c>
      <c r="N4321" t="s">
        <v>203</v>
      </c>
      <c r="O4321" t="s">
        <v>111</v>
      </c>
      <c r="P4321" t="str">
        <f>"85298-9201"</f>
        <v>85298-9201</v>
      </c>
      <c r="Q4321" t="s">
        <v>113</v>
      </c>
      <c r="R4321" t="str">
        <f>"304-78-018-S"</f>
        <v>304-78-018-S</v>
      </c>
      <c r="S4321" t="s">
        <v>27293</v>
      </c>
      <c r="T4321" t="s">
        <v>27293</v>
      </c>
      <c r="U4321">
        <v>1963</v>
      </c>
      <c r="V4321">
        <v>0</v>
      </c>
      <c r="W4321">
        <v>3</v>
      </c>
      <c r="X4321">
        <v>1997</v>
      </c>
      <c r="Z4321">
        <v>1</v>
      </c>
      <c r="AA4321" t="s">
        <v>26</v>
      </c>
      <c r="AB4321">
        <v>0</v>
      </c>
      <c r="AC4321" t="s">
        <v>115</v>
      </c>
      <c r="AD4321">
        <v>3</v>
      </c>
      <c r="AE4321" t="s">
        <v>115</v>
      </c>
      <c r="AF4321">
        <v>0</v>
      </c>
      <c r="AG4321">
        <v>0</v>
      </c>
      <c r="AH4321" t="s">
        <v>116</v>
      </c>
      <c r="AI4321" s="1">
        <v>62418</v>
      </c>
      <c r="AJ4321" s="2">
        <v>0.13</v>
      </c>
      <c r="AK4321" s="1">
        <v>479416</v>
      </c>
      <c r="AL4321" t="s">
        <v>117</v>
      </c>
      <c r="AM4321" t="s">
        <v>376</v>
      </c>
      <c r="AN4321">
        <v>51052</v>
      </c>
      <c r="AO4321">
        <v>1.17</v>
      </c>
      <c r="AP4321">
        <v>1</v>
      </c>
      <c r="AR4321">
        <v>1</v>
      </c>
      <c r="AS4321" s="1">
        <v>33180</v>
      </c>
      <c r="AT4321" s="1">
        <v>6630</v>
      </c>
      <c r="AU4321" s="1">
        <v>26550</v>
      </c>
      <c r="AV4321">
        <v>80.02</v>
      </c>
      <c r="AX4321" s="1">
        <v>3103.56</v>
      </c>
      <c r="AY4321" t="s">
        <v>5875</v>
      </c>
      <c r="AZ4321" t="s">
        <v>1134</v>
      </c>
      <c r="BA4321" t="s">
        <v>1134</v>
      </c>
      <c r="BE4321" s="3">
        <v>42531</v>
      </c>
      <c r="BF4321" s="1">
        <v>404000</v>
      </c>
      <c r="BG4321" t="s">
        <v>27294</v>
      </c>
      <c r="BH4321" s="1">
        <v>205.81</v>
      </c>
      <c r="BI4321" s="1">
        <v>416998</v>
      </c>
      <c r="BJ4321" s="3">
        <v>42531</v>
      </c>
      <c r="BK4321" t="s">
        <v>123</v>
      </c>
      <c r="BL4321" t="str">
        <f>"2016.403740"</f>
        <v>2016.403740</v>
      </c>
      <c r="BM4321" t="s">
        <v>5867</v>
      </c>
      <c r="BO4321" t="s">
        <v>27295</v>
      </c>
      <c r="BS4321">
        <v>30</v>
      </c>
      <c r="BW4321" t="str">
        <f>""</f>
        <v/>
      </c>
      <c r="CH4321" t="str">
        <f>""</f>
        <v/>
      </c>
      <c r="CS4321" t="str">
        <f>""</f>
        <v/>
      </c>
    </row>
    <row r="4322" spans="1:97" x14ac:dyDescent="0.25">
      <c r="A4322" t="s">
        <v>27296</v>
      </c>
      <c r="B4322" t="s">
        <v>27297</v>
      </c>
      <c r="E4322" t="s">
        <v>27298</v>
      </c>
      <c r="F4322" t="s">
        <v>108</v>
      </c>
      <c r="H4322" t="s">
        <v>27299</v>
      </c>
      <c r="I4322" t="s">
        <v>1936</v>
      </c>
      <c r="J4322" t="s">
        <v>111</v>
      </c>
      <c r="K4322" t="str">
        <f>"85262"</f>
        <v>85262</v>
      </c>
      <c r="L4322" t="s">
        <v>7972</v>
      </c>
      <c r="M4322" t="s">
        <v>27299</v>
      </c>
      <c r="N4322" t="s">
        <v>1936</v>
      </c>
      <c r="O4322" t="s">
        <v>111</v>
      </c>
      <c r="P4322" t="str">
        <f>"85262-9581"</f>
        <v>85262-9581</v>
      </c>
      <c r="Q4322" t="s">
        <v>113</v>
      </c>
      <c r="R4322" t="str">
        <f>"219-37-018-A"</f>
        <v>219-37-018-A</v>
      </c>
      <c r="U4322">
        <v>2328</v>
      </c>
      <c r="V4322">
        <v>0</v>
      </c>
      <c r="W4322">
        <v>4</v>
      </c>
      <c r="X4322">
        <v>2013</v>
      </c>
      <c r="Z4322">
        <v>1</v>
      </c>
      <c r="AB4322">
        <v>0</v>
      </c>
      <c r="AC4322" t="s">
        <v>115</v>
      </c>
      <c r="AD4322">
        <v>3</v>
      </c>
      <c r="AE4322" t="s">
        <v>115</v>
      </c>
      <c r="AF4322">
        <v>0</v>
      </c>
      <c r="AG4322">
        <v>0</v>
      </c>
      <c r="AH4322" t="s">
        <v>116</v>
      </c>
      <c r="AI4322" s="1">
        <v>109055</v>
      </c>
      <c r="AJ4322" s="2">
        <v>0.23</v>
      </c>
      <c r="AK4322" s="1">
        <v>481055</v>
      </c>
      <c r="AL4322" t="s">
        <v>117</v>
      </c>
      <c r="AM4322" t="s">
        <v>376</v>
      </c>
      <c r="AN4322">
        <v>43599</v>
      </c>
      <c r="AO4322">
        <v>1</v>
      </c>
      <c r="AR4322">
        <v>1</v>
      </c>
      <c r="AS4322" s="1">
        <v>33110</v>
      </c>
      <c r="AT4322" s="1">
        <v>6620</v>
      </c>
      <c r="AU4322" s="1">
        <v>26490</v>
      </c>
      <c r="AV4322">
        <v>80.010000000000005</v>
      </c>
      <c r="AX4322" s="1">
        <v>1566.82</v>
      </c>
      <c r="AY4322" t="s">
        <v>5017</v>
      </c>
      <c r="AZ4322" t="s">
        <v>1402</v>
      </c>
      <c r="BA4322" t="s">
        <v>1403</v>
      </c>
      <c r="BB4322" s="3">
        <v>42641</v>
      </c>
      <c r="BD4322" t="s">
        <v>458</v>
      </c>
      <c r="BE4322" s="3">
        <v>41681</v>
      </c>
      <c r="BF4322" s="1">
        <v>329900</v>
      </c>
      <c r="BG4322" t="s">
        <v>1599</v>
      </c>
      <c r="BH4322" s="1">
        <v>141.71</v>
      </c>
      <c r="BI4322" s="1">
        <v>372000</v>
      </c>
      <c r="BJ4322" s="3">
        <v>43178</v>
      </c>
      <c r="BK4322" t="s">
        <v>123</v>
      </c>
      <c r="BL4322" t="str">
        <f>"2018.204351"</f>
        <v>2018.204351</v>
      </c>
      <c r="BM4322" t="s">
        <v>248</v>
      </c>
      <c r="BN4322" t="s">
        <v>249</v>
      </c>
      <c r="BO4322" t="s">
        <v>27300</v>
      </c>
      <c r="BR4322" t="s">
        <v>139</v>
      </c>
      <c r="BW4322" t="str">
        <f>""</f>
        <v/>
      </c>
      <c r="CH4322" t="str">
        <f>""</f>
        <v/>
      </c>
      <c r="CS4322" t="str">
        <f>""</f>
        <v/>
      </c>
    </row>
    <row r="4323" spans="1:97" x14ac:dyDescent="0.25">
      <c r="B4323" t="s">
        <v>27301</v>
      </c>
      <c r="E4323" t="s">
        <v>27302</v>
      </c>
      <c r="F4323" t="s">
        <v>108</v>
      </c>
      <c r="H4323" t="s">
        <v>27303</v>
      </c>
      <c r="I4323" t="s">
        <v>632</v>
      </c>
      <c r="J4323" t="s">
        <v>111</v>
      </c>
      <c r="K4323" t="str">
        <f>"85387"</f>
        <v>85387</v>
      </c>
      <c r="L4323" t="s">
        <v>3758</v>
      </c>
      <c r="M4323" t="s">
        <v>27303</v>
      </c>
      <c r="N4323" t="s">
        <v>632</v>
      </c>
      <c r="O4323" t="s">
        <v>111</v>
      </c>
      <c r="P4323" t="str">
        <f>"85387-6000"</f>
        <v>85387-6000</v>
      </c>
      <c r="Q4323" t="s">
        <v>113</v>
      </c>
      <c r="R4323" t="str">
        <f>"503-52-315"</f>
        <v>503-52-315</v>
      </c>
      <c r="U4323">
        <v>2835</v>
      </c>
      <c r="V4323">
        <v>0</v>
      </c>
      <c r="W4323">
        <v>4</v>
      </c>
      <c r="X4323">
        <v>2004</v>
      </c>
      <c r="Z4323">
        <v>1</v>
      </c>
      <c r="AB4323">
        <v>0</v>
      </c>
      <c r="AC4323" t="s">
        <v>115</v>
      </c>
      <c r="AD4323">
        <v>3</v>
      </c>
      <c r="AE4323" t="s">
        <v>115</v>
      </c>
      <c r="AF4323">
        <v>0</v>
      </c>
      <c r="AG4323">
        <v>0</v>
      </c>
      <c r="AH4323" t="s">
        <v>116</v>
      </c>
      <c r="AI4323" s="1">
        <v>152038</v>
      </c>
      <c r="AJ4323" s="2">
        <v>0.36</v>
      </c>
      <c r="AK4323" s="1">
        <v>424538</v>
      </c>
      <c r="AL4323" t="s">
        <v>117</v>
      </c>
      <c r="AM4323" t="s">
        <v>376</v>
      </c>
      <c r="AN4323">
        <v>44590</v>
      </c>
      <c r="AO4323">
        <v>1.02</v>
      </c>
      <c r="AP4323">
        <v>1</v>
      </c>
      <c r="AR4323">
        <v>1</v>
      </c>
      <c r="AS4323" s="1">
        <v>30830</v>
      </c>
      <c r="AT4323" s="1">
        <v>6160</v>
      </c>
      <c r="AU4323" s="1">
        <v>24670</v>
      </c>
      <c r="AV4323">
        <v>80.02</v>
      </c>
      <c r="AX4323" s="1">
        <v>1716.32</v>
      </c>
      <c r="AY4323" t="s">
        <v>5499</v>
      </c>
      <c r="AZ4323" t="s">
        <v>5499</v>
      </c>
      <c r="BE4323" s="3">
        <v>42044</v>
      </c>
      <c r="BF4323" s="1">
        <v>322500</v>
      </c>
      <c r="BG4323" t="s">
        <v>27304</v>
      </c>
      <c r="BH4323" s="1">
        <v>113.76</v>
      </c>
      <c r="BI4323" s="1">
        <v>272500</v>
      </c>
      <c r="BJ4323" s="3">
        <v>42044</v>
      </c>
      <c r="BK4323" t="s">
        <v>123</v>
      </c>
      <c r="BL4323" t="str">
        <f>"2015.83609"</f>
        <v>2015.83609</v>
      </c>
      <c r="BM4323" t="s">
        <v>9928</v>
      </c>
      <c r="BO4323" t="s">
        <v>27305</v>
      </c>
      <c r="BS4323">
        <v>30</v>
      </c>
      <c r="BW4323" t="str">
        <f>""</f>
        <v/>
      </c>
      <c r="CH4323" t="str">
        <f>""</f>
        <v/>
      </c>
      <c r="CS4323" t="str">
        <f>""</f>
        <v/>
      </c>
    </row>
    <row r="4324" spans="1:97" x14ac:dyDescent="0.25">
      <c r="B4324" t="s">
        <v>27306</v>
      </c>
      <c r="C4324" t="s">
        <v>1119</v>
      </c>
      <c r="D4324" t="s">
        <v>27307</v>
      </c>
      <c r="E4324" t="s">
        <v>27308</v>
      </c>
      <c r="F4324" t="s">
        <v>108</v>
      </c>
      <c r="H4324" t="s">
        <v>27309</v>
      </c>
      <c r="I4324" t="s">
        <v>1936</v>
      </c>
      <c r="J4324" t="s">
        <v>111</v>
      </c>
      <c r="K4324" t="str">
        <f>"85259"</f>
        <v>85259</v>
      </c>
      <c r="L4324" t="s">
        <v>3151</v>
      </c>
      <c r="M4324" t="s">
        <v>27309</v>
      </c>
      <c r="N4324" t="s">
        <v>1936</v>
      </c>
      <c r="O4324" t="s">
        <v>111</v>
      </c>
      <c r="P4324" t="str">
        <f>"85259-6545"</f>
        <v>85259-6545</v>
      </c>
      <c r="Q4324" t="s">
        <v>113</v>
      </c>
      <c r="R4324" t="str">
        <f>"217-47-313"</f>
        <v>217-47-313</v>
      </c>
      <c r="S4324" t="s">
        <v>27310</v>
      </c>
      <c r="T4324" t="s">
        <v>27311</v>
      </c>
      <c r="U4324">
        <v>2724</v>
      </c>
      <c r="V4324">
        <v>0</v>
      </c>
      <c r="W4324">
        <v>4</v>
      </c>
      <c r="X4324">
        <v>1986</v>
      </c>
      <c r="Z4324">
        <v>1</v>
      </c>
      <c r="AA4324" t="s">
        <v>26</v>
      </c>
      <c r="AB4324">
        <v>0</v>
      </c>
      <c r="AC4324" t="s">
        <v>115</v>
      </c>
      <c r="AD4324">
        <v>3</v>
      </c>
      <c r="AE4324" t="s">
        <v>115</v>
      </c>
      <c r="AF4324">
        <v>0</v>
      </c>
      <c r="AG4324">
        <v>0</v>
      </c>
      <c r="AH4324" t="s">
        <v>116</v>
      </c>
      <c r="AI4324" s="1">
        <v>256250</v>
      </c>
      <c r="AJ4324" s="2">
        <v>0.36</v>
      </c>
      <c r="AK4324" s="1">
        <v>720419</v>
      </c>
      <c r="AL4324" t="s">
        <v>117</v>
      </c>
      <c r="AM4324" t="s">
        <v>3973</v>
      </c>
      <c r="AN4324">
        <v>18220</v>
      </c>
      <c r="AO4324">
        <v>0.42</v>
      </c>
      <c r="AP4324">
        <v>1</v>
      </c>
      <c r="AR4324">
        <v>1</v>
      </c>
      <c r="AS4324" s="1">
        <v>55650</v>
      </c>
      <c r="AT4324" s="1">
        <v>11130</v>
      </c>
      <c r="AU4324" s="1">
        <v>44520</v>
      </c>
      <c r="AV4324">
        <v>80</v>
      </c>
      <c r="AX4324" s="1">
        <v>4139.18</v>
      </c>
      <c r="AY4324" t="s">
        <v>6534</v>
      </c>
      <c r="AZ4324" t="s">
        <v>5762</v>
      </c>
      <c r="BA4324" t="s">
        <v>5763</v>
      </c>
      <c r="BB4324" s="3">
        <v>43329</v>
      </c>
      <c r="BC4324" s="1">
        <v>0</v>
      </c>
      <c r="BD4324" t="s">
        <v>247</v>
      </c>
      <c r="BE4324" s="3">
        <v>41733</v>
      </c>
      <c r="BF4324" s="1">
        <v>546000</v>
      </c>
      <c r="BG4324" t="s">
        <v>27312</v>
      </c>
      <c r="BH4324" s="1">
        <v>200.44</v>
      </c>
      <c r="BI4324" s="1">
        <v>394169</v>
      </c>
      <c r="BJ4324" s="3">
        <v>42719</v>
      </c>
      <c r="BK4324" t="s">
        <v>123</v>
      </c>
      <c r="BL4324" t="str">
        <f>"2016.922960"</f>
        <v>2016.922960</v>
      </c>
      <c r="BM4324" t="s">
        <v>402</v>
      </c>
      <c r="BN4324" t="s">
        <v>461</v>
      </c>
      <c r="BO4324" t="s">
        <v>27313</v>
      </c>
      <c r="BP4324" t="s">
        <v>27314</v>
      </c>
      <c r="BS4324">
        <v>28</v>
      </c>
      <c r="BT4324" s="1">
        <v>70000</v>
      </c>
      <c r="BU4324" s="3">
        <v>43329</v>
      </c>
      <c r="BV4324" t="s">
        <v>134</v>
      </c>
      <c r="BW4324" t="str">
        <f>"2018.624165"</f>
        <v>2018.624165</v>
      </c>
      <c r="BX4324" t="s">
        <v>25280</v>
      </c>
      <c r="BY4324" t="s">
        <v>25281</v>
      </c>
      <c r="BZ4324" t="s">
        <v>27315</v>
      </c>
      <c r="CA4324" t="s">
        <v>27316</v>
      </c>
      <c r="CC4324" t="s">
        <v>139</v>
      </c>
      <c r="CH4324" t="str">
        <f>""</f>
        <v/>
      </c>
      <c r="CS4324" t="str">
        <f>""</f>
        <v/>
      </c>
    </row>
    <row r="4325" spans="1:97" x14ac:dyDescent="0.25">
      <c r="A4325" t="s">
        <v>1308</v>
      </c>
      <c r="B4325" t="s">
        <v>27317</v>
      </c>
      <c r="C4325" t="s">
        <v>513</v>
      </c>
      <c r="D4325" t="s">
        <v>27317</v>
      </c>
      <c r="E4325" t="s">
        <v>27318</v>
      </c>
      <c r="F4325" t="s">
        <v>108</v>
      </c>
      <c r="H4325" t="s">
        <v>27319</v>
      </c>
      <c r="I4325" t="s">
        <v>453</v>
      </c>
      <c r="J4325" t="s">
        <v>111</v>
      </c>
      <c r="K4325" t="str">
        <f>"85383"</f>
        <v>85383</v>
      </c>
      <c r="L4325" t="s">
        <v>6416</v>
      </c>
      <c r="M4325" t="s">
        <v>27319</v>
      </c>
      <c r="N4325" t="s">
        <v>453</v>
      </c>
      <c r="O4325" t="s">
        <v>111</v>
      </c>
      <c r="P4325" t="str">
        <f>"85383-3256"</f>
        <v>85383-3256</v>
      </c>
      <c r="Q4325" t="s">
        <v>113</v>
      </c>
      <c r="R4325" t="str">
        <f>"201-13-127"</f>
        <v>201-13-127</v>
      </c>
      <c r="S4325" t="s">
        <v>13170</v>
      </c>
      <c r="T4325" t="s">
        <v>13170</v>
      </c>
      <c r="U4325">
        <v>4155</v>
      </c>
      <c r="V4325">
        <v>0</v>
      </c>
      <c r="W4325">
        <v>5</v>
      </c>
      <c r="X4325">
        <v>2002</v>
      </c>
      <c r="Z4325">
        <v>2</v>
      </c>
      <c r="AA4325" t="s">
        <v>26</v>
      </c>
      <c r="AB4325">
        <v>0</v>
      </c>
      <c r="AC4325" t="s">
        <v>115</v>
      </c>
      <c r="AD4325">
        <v>5</v>
      </c>
      <c r="AE4325" t="s">
        <v>115</v>
      </c>
      <c r="AF4325">
        <v>0</v>
      </c>
      <c r="AG4325">
        <v>0</v>
      </c>
      <c r="AH4325" t="s">
        <v>116</v>
      </c>
      <c r="AI4325" s="1">
        <v>191594</v>
      </c>
      <c r="AJ4325" s="2">
        <v>0.3</v>
      </c>
      <c r="AK4325" s="1">
        <v>632942</v>
      </c>
      <c r="AL4325" t="s">
        <v>117</v>
      </c>
      <c r="AM4325" t="s">
        <v>616</v>
      </c>
      <c r="AN4325">
        <v>20425</v>
      </c>
      <c r="AO4325">
        <v>0.47</v>
      </c>
      <c r="AP4325">
        <v>1</v>
      </c>
      <c r="AR4325">
        <v>1</v>
      </c>
      <c r="AS4325" s="1">
        <v>51210</v>
      </c>
      <c r="AT4325" s="1">
        <v>10240</v>
      </c>
      <c r="AU4325" s="1">
        <v>40970</v>
      </c>
      <c r="AV4325">
        <v>80</v>
      </c>
      <c r="AX4325" s="1">
        <v>5519.9</v>
      </c>
      <c r="AY4325" t="s">
        <v>3048</v>
      </c>
      <c r="AZ4325" t="s">
        <v>3049</v>
      </c>
      <c r="BA4325" t="s">
        <v>2223</v>
      </c>
      <c r="BE4325" s="3">
        <v>42544</v>
      </c>
      <c r="BF4325" s="1">
        <v>585900</v>
      </c>
      <c r="BG4325" t="s">
        <v>27320</v>
      </c>
      <c r="BH4325" s="1">
        <v>141.01</v>
      </c>
      <c r="BI4325" s="1">
        <v>441348</v>
      </c>
      <c r="BJ4325" s="3">
        <v>42544</v>
      </c>
      <c r="BK4325" t="s">
        <v>123</v>
      </c>
      <c r="BL4325" t="str">
        <f>"2016.439550"</f>
        <v>2016.439550</v>
      </c>
      <c r="BM4325" t="s">
        <v>709</v>
      </c>
      <c r="BO4325" t="s">
        <v>27321</v>
      </c>
      <c r="BS4325">
        <v>30</v>
      </c>
      <c r="BW4325" t="str">
        <f>""</f>
        <v/>
      </c>
      <c r="CH4325" t="str">
        <f>""</f>
        <v/>
      </c>
      <c r="CS4325" t="str">
        <f>""</f>
        <v/>
      </c>
    </row>
    <row r="4326" spans="1:97" x14ac:dyDescent="0.25">
      <c r="A4326" t="s">
        <v>27322</v>
      </c>
      <c r="B4326" t="s">
        <v>27323</v>
      </c>
      <c r="E4326" t="s">
        <v>27324</v>
      </c>
      <c r="F4326" t="s">
        <v>108</v>
      </c>
      <c r="H4326" t="s">
        <v>27325</v>
      </c>
      <c r="I4326" t="s">
        <v>13194</v>
      </c>
      <c r="J4326" t="s">
        <v>111</v>
      </c>
      <c r="K4326" t="str">
        <f>"85253"</f>
        <v>85253</v>
      </c>
      <c r="L4326" t="s">
        <v>6438</v>
      </c>
      <c r="M4326" t="s">
        <v>27325</v>
      </c>
      <c r="N4326" t="s">
        <v>13194</v>
      </c>
      <c r="O4326" t="s">
        <v>111</v>
      </c>
      <c r="P4326" t="str">
        <f>"85253-1559"</f>
        <v>85253-1559</v>
      </c>
      <c r="R4326" t="str">
        <f>"168-28-025"</f>
        <v>168-28-025</v>
      </c>
      <c r="S4326" t="s">
        <v>27326</v>
      </c>
      <c r="T4326" t="s">
        <v>27327</v>
      </c>
      <c r="U4326">
        <v>3481</v>
      </c>
      <c r="V4326">
        <v>0</v>
      </c>
      <c r="W4326">
        <v>4</v>
      </c>
      <c r="X4326">
        <v>1977</v>
      </c>
      <c r="Z4326">
        <v>1</v>
      </c>
      <c r="AA4326" t="s">
        <v>26</v>
      </c>
      <c r="AB4326">
        <v>0</v>
      </c>
      <c r="AC4326" t="s">
        <v>115</v>
      </c>
      <c r="AD4326">
        <v>3</v>
      </c>
      <c r="AE4326" t="s">
        <v>115</v>
      </c>
      <c r="AF4326">
        <v>0</v>
      </c>
      <c r="AG4326">
        <v>0</v>
      </c>
      <c r="AH4326" t="s">
        <v>116</v>
      </c>
      <c r="AI4326" s="1">
        <v>118724</v>
      </c>
      <c r="AJ4326" s="2">
        <v>0.11</v>
      </c>
      <c r="AK4326" s="1">
        <v>1040394</v>
      </c>
      <c r="AL4326" t="s">
        <v>117</v>
      </c>
      <c r="AM4326" t="s">
        <v>376</v>
      </c>
      <c r="AN4326">
        <v>44530</v>
      </c>
      <c r="AO4326">
        <v>1.02</v>
      </c>
      <c r="AP4326">
        <v>1</v>
      </c>
      <c r="AR4326">
        <v>1</v>
      </c>
      <c r="AS4326" s="1">
        <v>72870</v>
      </c>
      <c r="AT4326" s="1">
        <v>14570</v>
      </c>
      <c r="AU4326" s="1">
        <v>58300</v>
      </c>
      <c r="AV4326">
        <v>80.010000000000005</v>
      </c>
      <c r="AX4326" s="1">
        <v>4695.5200000000004</v>
      </c>
      <c r="AY4326" t="s">
        <v>24034</v>
      </c>
      <c r="AZ4326" t="s">
        <v>8949</v>
      </c>
      <c r="BA4326" t="s">
        <v>7868</v>
      </c>
      <c r="BB4326" s="3">
        <v>42517</v>
      </c>
      <c r="BD4326" t="s">
        <v>458</v>
      </c>
      <c r="BE4326" s="3">
        <v>42146</v>
      </c>
      <c r="BF4326" s="1">
        <v>770000</v>
      </c>
      <c r="BG4326" t="s">
        <v>27328</v>
      </c>
      <c r="BH4326" s="1">
        <v>221.2</v>
      </c>
      <c r="BI4326" s="1">
        <v>815670</v>
      </c>
      <c r="BJ4326" s="3">
        <v>42570</v>
      </c>
      <c r="BK4326" t="s">
        <v>123</v>
      </c>
      <c r="BL4326" t="str">
        <f>"2016.506851"</f>
        <v>2016.506851</v>
      </c>
      <c r="BM4326" t="s">
        <v>18621</v>
      </c>
      <c r="BN4326" t="s">
        <v>3041</v>
      </c>
      <c r="BO4326" t="s">
        <v>27329</v>
      </c>
      <c r="BS4326">
        <v>30</v>
      </c>
      <c r="BT4326" s="1">
        <v>106000</v>
      </c>
      <c r="BU4326" s="3">
        <v>43468</v>
      </c>
      <c r="BW4326" t="str">
        <f>"2019.4632"</f>
        <v>2019.4632</v>
      </c>
      <c r="BX4326" t="s">
        <v>135</v>
      </c>
      <c r="BY4326" t="s">
        <v>136</v>
      </c>
      <c r="BZ4326" t="s">
        <v>27330</v>
      </c>
      <c r="CC4326" t="s">
        <v>346</v>
      </c>
      <c r="CH4326" t="str">
        <f>""</f>
        <v/>
      </c>
      <c r="CS4326" t="str">
        <f>""</f>
        <v/>
      </c>
    </row>
    <row r="4327" spans="1:97" x14ac:dyDescent="0.25">
      <c r="A4327" t="s">
        <v>1067</v>
      </c>
      <c r="B4327" t="s">
        <v>27331</v>
      </c>
      <c r="E4327" t="s">
        <v>27332</v>
      </c>
      <c r="F4327" t="s">
        <v>108</v>
      </c>
      <c r="H4327" t="s">
        <v>27333</v>
      </c>
      <c r="I4327" t="s">
        <v>110</v>
      </c>
      <c r="J4327" t="s">
        <v>111</v>
      </c>
      <c r="K4327" t="str">
        <f>"85248"</f>
        <v>85248</v>
      </c>
      <c r="L4327" t="s">
        <v>558</v>
      </c>
      <c r="M4327" t="s">
        <v>27333</v>
      </c>
      <c r="N4327" t="s">
        <v>110</v>
      </c>
      <c r="O4327" t="s">
        <v>111</v>
      </c>
      <c r="P4327" t="str">
        <f>"85248-4892"</f>
        <v>85248-4892</v>
      </c>
      <c r="Q4327" t="s">
        <v>113</v>
      </c>
      <c r="R4327" t="str">
        <f>"303-48-780"</f>
        <v>303-48-780</v>
      </c>
      <c r="S4327" t="s">
        <v>27334</v>
      </c>
      <c r="T4327" t="s">
        <v>27334</v>
      </c>
      <c r="U4327">
        <v>2610</v>
      </c>
      <c r="V4327">
        <v>0</v>
      </c>
      <c r="W4327">
        <v>4</v>
      </c>
      <c r="X4327">
        <v>2006</v>
      </c>
      <c r="Z4327">
        <v>1</v>
      </c>
      <c r="AA4327" t="s">
        <v>26</v>
      </c>
      <c r="AB4327">
        <v>0</v>
      </c>
      <c r="AC4327" t="s">
        <v>115</v>
      </c>
      <c r="AD4327">
        <v>3</v>
      </c>
      <c r="AE4327" t="s">
        <v>115</v>
      </c>
      <c r="AF4327">
        <v>0</v>
      </c>
      <c r="AG4327">
        <v>0</v>
      </c>
      <c r="AH4327" t="s">
        <v>116</v>
      </c>
      <c r="AI4327" s="1">
        <v>87475</v>
      </c>
      <c r="AJ4327" s="2">
        <v>0.14000000000000001</v>
      </c>
      <c r="AK4327" s="1">
        <v>625351</v>
      </c>
      <c r="AL4327" t="s">
        <v>117</v>
      </c>
      <c r="AM4327" t="s">
        <v>118</v>
      </c>
      <c r="AN4327">
        <v>13715</v>
      </c>
      <c r="AO4327">
        <v>0.32</v>
      </c>
      <c r="AR4327">
        <v>1</v>
      </c>
      <c r="AS4327" s="1">
        <v>46260</v>
      </c>
      <c r="AT4327" s="1">
        <v>9250</v>
      </c>
      <c r="AU4327" s="1">
        <v>37010</v>
      </c>
      <c r="AV4327">
        <v>80</v>
      </c>
      <c r="AX4327" s="1">
        <v>3961.9</v>
      </c>
      <c r="AY4327" t="s">
        <v>3351</v>
      </c>
      <c r="AZ4327" t="s">
        <v>1882</v>
      </c>
      <c r="BA4327" t="s">
        <v>121</v>
      </c>
      <c r="BE4327" s="3">
        <v>42128</v>
      </c>
      <c r="BF4327" s="1">
        <v>580000</v>
      </c>
      <c r="BG4327" t="s">
        <v>27335</v>
      </c>
      <c r="BH4327" s="1">
        <v>222.22</v>
      </c>
      <c r="BI4327" s="1">
        <v>537876</v>
      </c>
      <c r="BJ4327" s="3">
        <v>42558</v>
      </c>
      <c r="BK4327" t="s">
        <v>123</v>
      </c>
      <c r="BL4327" t="str">
        <f>"2016.475929"</f>
        <v>2016.475929</v>
      </c>
      <c r="BM4327" t="s">
        <v>492</v>
      </c>
      <c r="BO4327" t="s">
        <v>27336</v>
      </c>
      <c r="BS4327">
        <v>30</v>
      </c>
      <c r="BW4327" t="str">
        <f>""</f>
        <v/>
      </c>
      <c r="CH4327" t="str">
        <f>""</f>
        <v/>
      </c>
      <c r="CS4327" t="str">
        <f>""</f>
        <v/>
      </c>
    </row>
    <row r="4328" spans="1:97" x14ac:dyDescent="0.25">
      <c r="B4328" t="s">
        <v>27337</v>
      </c>
      <c r="E4328" t="s">
        <v>1088</v>
      </c>
      <c r="F4328" t="s">
        <v>108</v>
      </c>
      <c r="H4328" t="s">
        <v>27338</v>
      </c>
      <c r="I4328" t="s">
        <v>1936</v>
      </c>
      <c r="J4328" t="s">
        <v>111</v>
      </c>
      <c r="K4328" t="str">
        <f>"85262"</f>
        <v>85262</v>
      </c>
      <c r="L4328" t="s">
        <v>22700</v>
      </c>
      <c r="M4328" t="s">
        <v>27338</v>
      </c>
      <c r="N4328" t="s">
        <v>1936</v>
      </c>
      <c r="O4328" t="s">
        <v>111</v>
      </c>
      <c r="P4328" t="str">
        <f>"85262-3587"</f>
        <v>85262-3587</v>
      </c>
      <c r="Q4328" t="s">
        <v>113</v>
      </c>
      <c r="R4328" t="str">
        <f>"219-60-856"</f>
        <v>219-60-856</v>
      </c>
      <c r="S4328" t="s">
        <v>27339</v>
      </c>
      <c r="T4328" t="s">
        <v>22703</v>
      </c>
      <c r="U4328">
        <v>4232</v>
      </c>
      <c r="V4328">
        <v>0</v>
      </c>
      <c r="W4328">
        <v>6</v>
      </c>
      <c r="X4328">
        <v>2014</v>
      </c>
      <c r="Z4328">
        <v>1</v>
      </c>
      <c r="AA4328" t="s">
        <v>26</v>
      </c>
      <c r="AB4328">
        <v>0</v>
      </c>
      <c r="AC4328" t="s">
        <v>115</v>
      </c>
      <c r="AD4328">
        <v>3</v>
      </c>
      <c r="AE4328" t="s">
        <v>115</v>
      </c>
      <c r="AF4328">
        <v>0</v>
      </c>
      <c r="AG4328">
        <v>0</v>
      </c>
      <c r="AH4328" t="s">
        <v>116</v>
      </c>
      <c r="AI4328" s="1">
        <v>779423</v>
      </c>
      <c r="AJ4328" s="2">
        <v>0.67</v>
      </c>
      <c r="AK4328" s="1">
        <v>1167423</v>
      </c>
      <c r="AL4328" t="s">
        <v>117</v>
      </c>
      <c r="AM4328" t="s">
        <v>376</v>
      </c>
      <c r="AN4328">
        <v>38240</v>
      </c>
      <c r="AO4328">
        <v>0.88</v>
      </c>
      <c r="AR4328">
        <v>1</v>
      </c>
      <c r="AS4328" s="1">
        <v>89630</v>
      </c>
      <c r="AT4328" s="1">
        <v>17920</v>
      </c>
      <c r="AU4328" s="1">
        <v>71710</v>
      </c>
      <c r="AV4328">
        <v>80.010000000000005</v>
      </c>
      <c r="AX4328" s="1">
        <v>3511.12</v>
      </c>
      <c r="AY4328" t="s">
        <v>7359</v>
      </c>
      <c r="AZ4328" t="s">
        <v>1402</v>
      </c>
      <c r="BA4328" t="s">
        <v>1403</v>
      </c>
      <c r="BE4328" s="3">
        <v>41726</v>
      </c>
      <c r="BF4328" s="1">
        <v>866206</v>
      </c>
      <c r="BG4328" t="s">
        <v>209</v>
      </c>
      <c r="BH4328" s="1">
        <v>204.68</v>
      </c>
      <c r="BI4328" s="1">
        <v>388000</v>
      </c>
      <c r="BJ4328" s="3">
        <v>42205</v>
      </c>
      <c r="BK4328" t="s">
        <v>123</v>
      </c>
      <c r="BL4328" t="str">
        <f>"2015.520145"</f>
        <v>2015.520145</v>
      </c>
      <c r="BM4328" t="s">
        <v>135</v>
      </c>
      <c r="BO4328" t="s">
        <v>27340</v>
      </c>
      <c r="BS4328">
        <v>30</v>
      </c>
      <c r="BW4328" t="str">
        <f>""</f>
        <v/>
      </c>
      <c r="CH4328" t="str">
        <f>""</f>
        <v/>
      </c>
      <c r="CS4328" t="str">
        <f>""</f>
        <v/>
      </c>
    </row>
    <row r="4329" spans="1:97" x14ac:dyDescent="0.25">
      <c r="A4329" t="s">
        <v>589</v>
      </c>
      <c r="B4329" t="s">
        <v>27341</v>
      </c>
      <c r="C4329" t="s">
        <v>507</v>
      </c>
      <c r="D4329" t="s">
        <v>27341</v>
      </c>
      <c r="E4329" t="s">
        <v>27342</v>
      </c>
      <c r="F4329" t="s">
        <v>108</v>
      </c>
      <c r="H4329" t="s">
        <v>27343</v>
      </c>
      <c r="I4329" t="s">
        <v>1397</v>
      </c>
      <c r="J4329" t="s">
        <v>111</v>
      </c>
      <c r="K4329" t="str">
        <f>"85331"</f>
        <v>85331</v>
      </c>
      <c r="L4329" t="s">
        <v>6492</v>
      </c>
      <c r="M4329" t="s">
        <v>27343</v>
      </c>
      <c r="N4329" t="s">
        <v>1397</v>
      </c>
      <c r="O4329" t="s">
        <v>111</v>
      </c>
      <c r="P4329" t="str">
        <f>"85331-5722"</f>
        <v>85331-5722</v>
      </c>
      <c r="Q4329" t="s">
        <v>113</v>
      </c>
      <c r="R4329" t="str">
        <f>"211-48-072"</f>
        <v>211-48-072</v>
      </c>
      <c r="S4329" t="s">
        <v>27344</v>
      </c>
      <c r="T4329" t="s">
        <v>27345</v>
      </c>
      <c r="U4329">
        <v>3389</v>
      </c>
      <c r="V4329">
        <v>0</v>
      </c>
      <c r="W4329">
        <v>4</v>
      </c>
      <c r="X4329">
        <v>2006</v>
      </c>
      <c r="Z4329">
        <v>1</v>
      </c>
      <c r="AA4329" t="s">
        <v>26</v>
      </c>
      <c r="AB4329">
        <v>0</v>
      </c>
      <c r="AC4329" t="s">
        <v>115</v>
      </c>
      <c r="AD4329">
        <v>3</v>
      </c>
      <c r="AE4329" t="s">
        <v>115</v>
      </c>
      <c r="AF4329">
        <v>0</v>
      </c>
      <c r="AG4329">
        <v>0</v>
      </c>
      <c r="AH4329" t="s">
        <v>116</v>
      </c>
      <c r="AI4329" s="1">
        <v>-129307</v>
      </c>
      <c r="AJ4329" s="2">
        <v>-0.16</v>
      </c>
      <c r="AK4329" s="1">
        <v>791168</v>
      </c>
      <c r="AL4329" t="s">
        <v>117</v>
      </c>
      <c r="AM4329" t="s">
        <v>376</v>
      </c>
      <c r="AN4329">
        <v>35211</v>
      </c>
      <c r="AO4329">
        <v>0.81</v>
      </c>
      <c r="AR4329">
        <v>1</v>
      </c>
      <c r="AS4329" s="1">
        <v>56210</v>
      </c>
      <c r="AT4329" s="1">
        <v>11240</v>
      </c>
      <c r="AU4329" s="1">
        <v>44970</v>
      </c>
      <c r="AV4329">
        <v>80</v>
      </c>
      <c r="AX4329" s="1">
        <v>2691.32</v>
      </c>
      <c r="AY4329" t="s">
        <v>7359</v>
      </c>
      <c r="AZ4329" t="s">
        <v>1402</v>
      </c>
      <c r="BA4329" t="s">
        <v>1403</v>
      </c>
      <c r="BE4329" s="3">
        <v>42541</v>
      </c>
      <c r="BF4329" s="1">
        <v>675000</v>
      </c>
      <c r="BG4329" t="s">
        <v>27346</v>
      </c>
      <c r="BH4329" s="1">
        <v>199.17</v>
      </c>
      <c r="BI4329" s="1">
        <v>464850</v>
      </c>
      <c r="BJ4329" s="3">
        <v>42541</v>
      </c>
      <c r="BK4329" t="s">
        <v>123</v>
      </c>
      <c r="BL4329" t="str">
        <f>"2016.428626"</f>
        <v>2016.428626</v>
      </c>
      <c r="BM4329" t="s">
        <v>1287</v>
      </c>
      <c r="BO4329" t="s">
        <v>27347</v>
      </c>
      <c r="BS4329">
        <v>30</v>
      </c>
      <c r="BT4329" s="1">
        <v>455625</v>
      </c>
      <c r="BU4329" s="3">
        <v>42585</v>
      </c>
      <c r="BV4329" t="s">
        <v>123</v>
      </c>
      <c r="BW4329" t="str">
        <f>"2016.551183"</f>
        <v>2016.551183</v>
      </c>
      <c r="BX4329" t="s">
        <v>1287</v>
      </c>
      <c r="BZ4329" t="s">
        <v>27348</v>
      </c>
      <c r="CD4329">
        <v>30</v>
      </c>
      <c r="CH4329" t="str">
        <f>""</f>
        <v/>
      </c>
      <c r="CS4329" t="str">
        <f>""</f>
        <v/>
      </c>
    </row>
    <row r="4330" spans="1:97" x14ac:dyDescent="0.25">
      <c r="B4330" t="s">
        <v>27349</v>
      </c>
      <c r="E4330" t="s">
        <v>27350</v>
      </c>
      <c r="F4330" t="s">
        <v>108</v>
      </c>
      <c r="H4330" t="s">
        <v>27351</v>
      </c>
      <c r="I4330" t="s">
        <v>5636</v>
      </c>
      <c r="J4330" t="s">
        <v>111</v>
      </c>
      <c r="K4330" t="str">
        <f>"85268"</f>
        <v>85268</v>
      </c>
      <c r="L4330" t="s">
        <v>3645</v>
      </c>
      <c r="M4330" t="s">
        <v>27351</v>
      </c>
      <c r="N4330" t="s">
        <v>5636</v>
      </c>
      <c r="O4330" t="s">
        <v>111</v>
      </c>
      <c r="P4330" t="str">
        <f>"85268-6316"</f>
        <v>85268-6316</v>
      </c>
      <c r="Q4330" t="s">
        <v>113</v>
      </c>
      <c r="R4330" t="str">
        <f>"217-30-794"</f>
        <v>217-30-794</v>
      </c>
      <c r="S4330" t="s">
        <v>27352</v>
      </c>
      <c r="U4330">
        <v>3682</v>
      </c>
      <c r="V4330">
        <v>0</v>
      </c>
      <c r="W4330">
        <v>4</v>
      </c>
      <c r="X4330">
        <v>1998</v>
      </c>
      <c r="Z4330">
        <v>1</v>
      </c>
      <c r="AA4330" t="s">
        <v>26</v>
      </c>
      <c r="AB4330">
        <v>0</v>
      </c>
      <c r="AC4330" t="s">
        <v>115</v>
      </c>
      <c r="AD4330">
        <v>3</v>
      </c>
      <c r="AE4330" t="s">
        <v>115</v>
      </c>
      <c r="AF4330">
        <v>0</v>
      </c>
      <c r="AG4330">
        <v>0</v>
      </c>
      <c r="AH4330" t="s">
        <v>116</v>
      </c>
      <c r="AI4330" s="1">
        <v>301622</v>
      </c>
      <c r="AJ4330" s="2">
        <v>0.3</v>
      </c>
      <c r="AK4330" s="1">
        <v>998649</v>
      </c>
      <c r="AL4330" t="s">
        <v>117</v>
      </c>
      <c r="AM4330" t="s">
        <v>171</v>
      </c>
      <c r="AN4330">
        <v>12066</v>
      </c>
      <c r="AO4330">
        <v>0.28000000000000003</v>
      </c>
      <c r="AP4330">
        <v>1</v>
      </c>
      <c r="AR4330">
        <v>1</v>
      </c>
      <c r="AS4330" s="1">
        <v>58910</v>
      </c>
      <c r="AT4330" s="1">
        <v>9580</v>
      </c>
      <c r="AU4330" s="1">
        <v>49330</v>
      </c>
      <c r="AV4330">
        <v>83.74</v>
      </c>
      <c r="AX4330" s="1">
        <v>4890.58</v>
      </c>
      <c r="AY4330" t="s">
        <v>5639</v>
      </c>
      <c r="AZ4330" t="s">
        <v>5640</v>
      </c>
      <c r="BA4330" t="s">
        <v>5641</v>
      </c>
      <c r="BB4330" s="3">
        <v>42345</v>
      </c>
      <c r="BD4330" t="s">
        <v>458</v>
      </c>
      <c r="BE4330" s="3">
        <v>42115</v>
      </c>
      <c r="BF4330" s="1">
        <v>800000</v>
      </c>
      <c r="BG4330" t="s">
        <v>27353</v>
      </c>
      <c r="BH4330" s="1">
        <v>217.27</v>
      </c>
      <c r="BI4330" s="1">
        <v>697027</v>
      </c>
      <c r="BJ4330" s="3">
        <v>42613</v>
      </c>
      <c r="BK4330" t="s">
        <v>123</v>
      </c>
      <c r="BL4330" t="str">
        <f>"2016.627910"</f>
        <v>2016.627910</v>
      </c>
      <c r="BM4330" t="s">
        <v>309</v>
      </c>
      <c r="BO4330" t="s">
        <v>27354</v>
      </c>
      <c r="BS4330">
        <v>30</v>
      </c>
      <c r="BW4330" t="str">
        <f>""</f>
        <v/>
      </c>
      <c r="CH4330" t="str">
        <f>""</f>
        <v/>
      </c>
      <c r="CS4330" t="str">
        <f>""</f>
        <v/>
      </c>
    </row>
    <row r="4331" spans="1:97" x14ac:dyDescent="0.25">
      <c r="A4331" t="s">
        <v>815</v>
      </c>
      <c r="B4331" t="s">
        <v>27355</v>
      </c>
      <c r="C4331" t="s">
        <v>4222</v>
      </c>
      <c r="D4331" t="s">
        <v>27355</v>
      </c>
      <c r="E4331" t="s">
        <v>27356</v>
      </c>
      <c r="F4331" t="s">
        <v>108</v>
      </c>
      <c r="H4331" t="s">
        <v>27357</v>
      </c>
      <c r="I4331" t="s">
        <v>499</v>
      </c>
      <c r="J4331" t="s">
        <v>111</v>
      </c>
      <c r="K4331" t="str">
        <f>"85338"</f>
        <v>85338</v>
      </c>
      <c r="L4331" t="s">
        <v>8543</v>
      </c>
      <c r="M4331" t="s">
        <v>27357</v>
      </c>
      <c r="N4331" t="s">
        <v>499</v>
      </c>
      <c r="O4331" t="s">
        <v>111</v>
      </c>
      <c r="P4331" t="str">
        <f>"85338-3373"</f>
        <v>85338-3373</v>
      </c>
      <c r="R4331" t="str">
        <f>"500-04-565"</f>
        <v>500-04-565</v>
      </c>
      <c r="S4331" t="s">
        <v>27358</v>
      </c>
      <c r="T4331" t="s">
        <v>27358</v>
      </c>
      <c r="U4331">
        <v>1678</v>
      </c>
      <c r="V4331">
        <v>0</v>
      </c>
      <c r="W4331">
        <v>3</v>
      </c>
      <c r="X4331">
        <v>2005</v>
      </c>
      <c r="Z4331">
        <v>1</v>
      </c>
      <c r="AA4331" t="s">
        <v>26</v>
      </c>
      <c r="AB4331">
        <v>0</v>
      </c>
      <c r="AC4331" t="s">
        <v>115</v>
      </c>
      <c r="AD4331">
        <v>2</v>
      </c>
      <c r="AE4331" t="s">
        <v>115</v>
      </c>
      <c r="AF4331">
        <v>0</v>
      </c>
      <c r="AG4331">
        <v>0</v>
      </c>
      <c r="AH4331" t="s">
        <v>116</v>
      </c>
      <c r="AI4331" s="1">
        <v>44898</v>
      </c>
      <c r="AJ4331" s="2">
        <v>0.17</v>
      </c>
      <c r="AK4331" s="1">
        <v>257267</v>
      </c>
      <c r="AL4331" t="s">
        <v>117</v>
      </c>
      <c r="AM4331" t="s">
        <v>118</v>
      </c>
      <c r="AN4331">
        <v>6154</v>
      </c>
      <c r="AO4331">
        <v>0.14000000000000001</v>
      </c>
      <c r="AR4331">
        <v>1</v>
      </c>
      <c r="AS4331" s="1">
        <v>17450</v>
      </c>
      <c r="AT4331" s="1">
        <v>3490</v>
      </c>
      <c r="AU4331" s="1">
        <v>13960</v>
      </c>
      <c r="AV4331">
        <v>80</v>
      </c>
      <c r="AX4331" s="1">
        <v>1602.92</v>
      </c>
      <c r="AY4331" t="s">
        <v>6790</v>
      </c>
      <c r="AZ4331" t="s">
        <v>6790</v>
      </c>
      <c r="BA4331" t="s">
        <v>7186</v>
      </c>
      <c r="BE4331" s="3">
        <v>42552</v>
      </c>
      <c r="BF4331" s="1">
        <v>207900</v>
      </c>
      <c r="BG4331" t="s">
        <v>27359</v>
      </c>
      <c r="BH4331" s="1">
        <v>123.9</v>
      </c>
      <c r="BI4331" s="1">
        <v>212369</v>
      </c>
      <c r="BJ4331" s="3">
        <v>42552</v>
      </c>
      <c r="BK4331" t="s">
        <v>123</v>
      </c>
      <c r="BL4331" t="str">
        <f>"2016.467936"</f>
        <v>2016.467936</v>
      </c>
      <c r="BM4331" t="s">
        <v>2475</v>
      </c>
      <c r="BN4331" t="s">
        <v>27360</v>
      </c>
      <c r="BO4331" t="s">
        <v>27361</v>
      </c>
      <c r="BS4331">
        <v>30</v>
      </c>
      <c r="BW4331" t="str">
        <f>""</f>
        <v/>
      </c>
      <c r="CH4331" t="str">
        <f>""</f>
        <v/>
      </c>
      <c r="CS4331" t="str">
        <f>""</f>
        <v/>
      </c>
    </row>
    <row r="4332" spans="1:97" x14ac:dyDescent="0.25">
      <c r="A4332" t="s">
        <v>5314</v>
      </c>
      <c r="B4332" t="s">
        <v>27362</v>
      </c>
      <c r="C4332" t="s">
        <v>1252</v>
      </c>
      <c r="D4332" t="s">
        <v>27362</v>
      </c>
      <c r="E4332" t="s">
        <v>27363</v>
      </c>
      <c r="F4332" t="s">
        <v>108</v>
      </c>
      <c r="H4332" t="s">
        <v>27364</v>
      </c>
      <c r="I4332" t="s">
        <v>374</v>
      </c>
      <c r="J4332" t="s">
        <v>111</v>
      </c>
      <c r="K4332" t="str">
        <f>"85087"</f>
        <v>85087</v>
      </c>
      <c r="L4332" t="s">
        <v>11846</v>
      </c>
      <c r="M4332" t="s">
        <v>27364</v>
      </c>
      <c r="N4332" t="s">
        <v>374</v>
      </c>
      <c r="O4332" t="s">
        <v>111</v>
      </c>
      <c r="P4332" t="str">
        <f>"85087-7521"</f>
        <v>85087-7521</v>
      </c>
      <c r="Q4332" t="s">
        <v>113</v>
      </c>
      <c r="R4332" t="str">
        <f>"202-20-004-H"</f>
        <v>202-20-004-H</v>
      </c>
      <c r="U4332">
        <v>2323</v>
      </c>
      <c r="V4332">
        <v>0</v>
      </c>
      <c r="W4332">
        <v>3</v>
      </c>
      <c r="X4332">
        <v>2002</v>
      </c>
      <c r="Z4332">
        <v>2</v>
      </c>
      <c r="AB4332">
        <v>0</v>
      </c>
      <c r="AC4332" t="s">
        <v>115</v>
      </c>
      <c r="AD4332">
        <v>2</v>
      </c>
      <c r="AE4332" t="s">
        <v>115</v>
      </c>
      <c r="AF4332">
        <v>0</v>
      </c>
      <c r="AG4332">
        <v>0</v>
      </c>
      <c r="AH4332" t="s">
        <v>116</v>
      </c>
      <c r="AI4332" s="1">
        <v>153662</v>
      </c>
      <c r="AJ4332" s="2">
        <v>0.34</v>
      </c>
      <c r="AK4332" s="1">
        <v>451849</v>
      </c>
      <c r="AL4332" t="s">
        <v>117</v>
      </c>
      <c r="AM4332" t="s">
        <v>376</v>
      </c>
      <c r="AN4332">
        <v>73112</v>
      </c>
      <c r="AO4332">
        <v>1.68</v>
      </c>
      <c r="AP4332">
        <v>1</v>
      </c>
      <c r="AR4332">
        <v>1</v>
      </c>
      <c r="AS4332" s="1">
        <v>33170</v>
      </c>
      <c r="AT4332" s="1">
        <v>6630</v>
      </c>
      <c r="AU4332" s="1">
        <v>26540</v>
      </c>
      <c r="AV4332">
        <v>80.010000000000005</v>
      </c>
      <c r="AX4332" s="1">
        <v>2897.52</v>
      </c>
      <c r="AY4332" t="s">
        <v>665</v>
      </c>
      <c r="AZ4332" t="s">
        <v>665</v>
      </c>
      <c r="BA4332" t="s">
        <v>378</v>
      </c>
      <c r="BE4332" s="3">
        <v>42459</v>
      </c>
      <c r="BF4332" s="1">
        <v>355000</v>
      </c>
      <c r="BG4332" t="s">
        <v>27365</v>
      </c>
      <c r="BH4332" s="1">
        <v>152.82</v>
      </c>
      <c r="BI4332" s="1">
        <v>258187</v>
      </c>
      <c r="BJ4332" s="3">
        <v>42459</v>
      </c>
      <c r="BK4332" t="s">
        <v>123</v>
      </c>
      <c r="BL4332" t="str">
        <f>"2016.206640"</f>
        <v>2016.206640</v>
      </c>
      <c r="BM4332" t="s">
        <v>1154</v>
      </c>
      <c r="BN4332" t="s">
        <v>1136</v>
      </c>
      <c r="BO4332" t="s">
        <v>27366</v>
      </c>
      <c r="BS4332">
        <v>30</v>
      </c>
      <c r="BT4332" s="1">
        <v>40000</v>
      </c>
      <c r="BU4332" s="3">
        <v>43256</v>
      </c>
      <c r="BW4332" t="str">
        <f>"2018.430618"</f>
        <v>2018.430618</v>
      </c>
      <c r="BX4332" t="s">
        <v>3538</v>
      </c>
      <c r="BY4332" t="s">
        <v>3539</v>
      </c>
      <c r="BZ4332" t="s">
        <v>27367</v>
      </c>
      <c r="CA4332" t="s">
        <v>27368</v>
      </c>
      <c r="CC4332" t="s">
        <v>346</v>
      </c>
      <c r="CH4332" t="str">
        <f>""</f>
        <v/>
      </c>
      <c r="CS4332" t="str">
        <f>""</f>
        <v/>
      </c>
    </row>
    <row r="4333" spans="1:97" x14ac:dyDescent="0.25">
      <c r="A4333" t="s">
        <v>1021</v>
      </c>
      <c r="B4333" t="s">
        <v>1619</v>
      </c>
      <c r="E4333" t="s">
        <v>27369</v>
      </c>
      <c r="F4333" t="s">
        <v>108</v>
      </c>
      <c r="H4333" t="s">
        <v>27370</v>
      </c>
      <c r="I4333" t="s">
        <v>5636</v>
      </c>
      <c r="J4333" t="s">
        <v>111</v>
      </c>
      <c r="K4333" t="str">
        <f>"85268"</f>
        <v>85268</v>
      </c>
      <c r="L4333" t="s">
        <v>8103</v>
      </c>
      <c r="M4333" t="s">
        <v>27370</v>
      </c>
      <c r="N4333" t="s">
        <v>5636</v>
      </c>
      <c r="O4333" t="s">
        <v>111</v>
      </c>
      <c r="P4333" t="str">
        <f>"85268-5320"</f>
        <v>85268-5320</v>
      </c>
      <c r="Q4333" t="s">
        <v>113</v>
      </c>
      <c r="R4333" t="str">
        <f>"176-13-356"</f>
        <v>176-13-356</v>
      </c>
      <c r="S4333" t="s">
        <v>20154</v>
      </c>
      <c r="U4333">
        <v>2656</v>
      </c>
      <c r="V4333">
        <v>0</v>
      </c>
      <c r="W4333">
        <v>4</v>
      </c>
      <c r="X4333">
        <v>1986</v>
      </c>
      <c r="Z4333">
        <v>2</v>
      </c>
      <c r="AA4333" t="s">
        <v>26</v>
      </c>
      <c r="AB4333">
        <v>0</v>
      </c>
      <c r="AC4333" t="s">
        <v>115</v>
      </c>
      <c r="AD4333">
        <v>2</v>
      </c>
      <c r="AE4333" t="s">
        <v>115</v>
      </c>
      <c r="AF4333">
        <v>0</v>
      </c>
      <c r="AG4333">
        <v>0</v>
      </c>
      <c r="AH4333" t="s">
        <v>116</v>
      </c>
      <c r="AI4333" s="1">
        <v>136002</v>
      </c>
      <c r="AJ4333" s="2">
        <v>0.26</v>
      </c>
      <c r="AK4333" s="1">
        <v>525193</v>
      </c>
      <c r="AL4333" t="s">
        <v>117</v>
      </c>
      <c r="AM4333" t="s">
        <v>171</v>
      </c>
      <c r="AN4333">
        <v>9993</v>
      </c>
      <c r="AO4333">
        <v>0.23</v>
      </c>
      <c r="AP4333">
        <v>1</v>
      </c>
      <c r="AR4333">
        <v>1</v>
      </c>
      <c r="AS4333" s="1">
        <v>37930</v>
      </c>
      <c r="AT4333" s="1">
        <v>7580</v>
      </c>
      <c r="AU4333" s="1">
        <v>30350</v>
      </c>
      <c r="AV4333">
        <v>80.02</v>
      </c>
      <c r="AX4333" s="1">
        <v>2541.8000000000002</v>
      </c>
      <c r="AY4333" t="s">
        <v>5639</v>
      </c>
      <c r="AZ4333" t="s">
        <v>5640</v>
      </c>
      <c r="BA4333" t="s">
        <v>5641</v>
      </c>
      <c r="BE4333" s="3">
        <v>42313</v>
      </c>
      <c r="BF4333" s="1">
        <v>381000</v>
      </c>
      <c r="BG4333" t="s">
        <v>27371</v>
      </c>
      <c r="BH4333" s="1">
        <v>143.44999999999999</v>
      </c>
      <c r="BI4333" s="1">
        <v>389191</v>
      </c>
      <c r="BJ4333" s="3">
        <v>42313</v>
      </c>
      <c r="BK4333" t="s">
        <v>123</v>
      </c>
      <c r="BL4333" t="str">
        <f>"2015.795959"</f>
        <v>2015.795959</v>
      </c>
      <c r="BM4333" t="s">
        <v>2716</v>
      </c>
      <c r="BO4333" t="s">
        <v>27372</v>
      </c>
      <c r="BS4333">
        <v>30</v>
      </c>
      <c r="BW4333" t="str">
        <f>""</f>
        <v/>
      </c>
      <c r="CH4333" t="str">
        <f>""</f>
        <v/>
      </c>
      <c r="CS4333" t="str">
        <f>""</f>
        <v/>
      </c>
    </row>
    <row r="4334" spans="1:97" x14ac:dyDescent="0.25">
      <c r="A4334" t="s">
        <v>589</v>
      </c>
      <c r="B4334" t="s">
        <v>26810</v>
      </c>
      <c r="C4334" t="s">
        <v>496</v>
      </c>
      <c r="D4334" t="s">
        <v>26810</v>
      </c>
      <c r="E4334" t="s">
        <v>27373</v>
      </c>
      <c r="F4334" t="s">
        <v>108</v>
      </c>
      <c r="H4334" t="s">
        <v>27374</v>
      </c>
      <c r="I4334" t="s">
        <v>5636</v>
      </c>
      <c r="J4334" t="s">
        <v>111</v>
      </c>
      <c r="K4334" t="str">
        <f>"85268"</f>
        <v>85268</v>
      </c>
      <c r="L4334" t="s">
        <v>1789</v>
      </c>
      <c r="M4334" t="s">
        <v>27374</v>
      </c>
      <c r="N4334" t="s">
        <v>5636</v>
      </c>
      <c r="O4334" t="s">
        <v>111</v>
      </c>
      <c r="P4334" t="str">
        <f>"85268-6719"</f>
        <v>85268-6719</v>
      </c>
      <c r="Q4334" t="s">
        <v>113</v>
      </c>
      <c r="R4334" t="str">
        <f>"176-10-358"</f>
        <v>176-10-358</v>
      </c>
      <c r="S4334" t="s">
        <v>27375</v>
      </c>
      <c r="T4334" t="s">
        <v>27375</v>
      </c>
      <c r="U4334">
        <v>1528</v>
      </c>
      <c r="V4334">
        <v>0</v>
      </c>
      <c r="W4334">
        <v>3</v>
      </c>
      <c r="X4334">
        <v>1996</v>
      </c>
      <c r="Z4334">
        <v>1</v>
      </c>
      <c r="AA4334" t="s">
        <v>26</v>
      </c>
      <c r="AB4334">
        <v>0</v>
      </c>
      <c r="AC4334" t="s">
        <v>115</v>
      </c>
      <c r="AD4334">
        <v>2</v>
      </c>
      <c r="AE4334" t="s">
        <v>115</v>
      </c>
      <c r="AF4334">
        <v>0</v>
      </c>
      <c r="AG4334">
        <v>0</v>
      </c>
      <c r="AH4334" t="s">
        <v>116</v>
      </c>
      <c r="AI4334" s="1">
        <v>65979</v>
      </c>
      <c r="AJ4334" s="2">
        <v>0.17</v>
      </c>
      <c r="AK4334" s="1">
        <v>383419</v>
      </c>
      <c r="AL4334" t="s">
        <v>117</v>
      </c>
      <c r="AM4334" t="s">
        <v>191</v>
      </c>
      <c r="AN4334">
        <v>7540</v>
      </c>
      <c r="AO4334">
        <v>0.17</v>
      </c>
      <c r="AP4334">
        <v>1</v>
      </c>
      <c r="AR4334">
        <v>1</v>
      </c>
      <c r="AS4334" s="1">
        <v>27520</v>
      </c>
      <c r="AT4334" s="1">
        <v>5500</v>
      </c>
      <c r="AU4334" s="1">
        <v>22020</v>
      </c>
      <c r="AV4334">
        <v>80.010000000000005</v>
      </c>
      <c r="AX4334" s="1">
        <v>1792.42</v>
      </c>
      <c r="AY4334" t="s">
        <v>6485</v>
      </c>
      <c r="AZ4334" t="s">
        <v>5640</v>
      </c>
      <c r="BA4334" t="s">
        <v>5641</v>
      </c>
      <c r="BE4334" s="3">
        <v>41795</v>
      </c>
      <c r="BF4334" s="1">
        <v>299900</v>
      </c>
      <c r="BG4334" t="s">
        <v>27376</v>
      </c>
      <c r="BH4334" s="1">
        <v>196.27</v>
      </c>
      <c r="BI4334" s="1">
        <v>317440</v>
      </c>
      <c r="BJ4334" s="3">
        <v>43038</v>
      </c>
      <c r="BK4334" t="s">
        <v>123</v>
      </c>
      <c r="BL4334" t="str">
        <f>"2017.803497"</f>
        <v>2017.803497</v>
      </c>
      <c r="BM4334" t="s">
        <v>763</v>
      </c>
      <c r="BO4334" t="s">
        <v>27377</v>
      </c>
      <c r="BS4334">
        <v>30</v>
      </c>
      <c r="BW4334" t="str">
        <f>""</f>
        <v/>
      </c>
      <c r="CH4334" t="str">
        <f>""</f>
        <v/>
      </c>
      <c r="CS4334" t="str">
        <f>""</f>
        <v/>
      </c>
    </row>
    <row r="4335" spans="1:97" x14ac:dyDescent="0.25">
      <c r="A4335" t="s">
        <v>6619</v>
      </c>
      <c r="B4335" t="s">
        <v>27378</v>
      </c>
      <c r="C4335" t="s">
        <v>26345</v>
      </c>
      <c r="D4335" t="s">
        <v>27378</v>
      </c>
      <c r="E4335" t="s">
        <v>27379</v>
      </c>
      <c r="F4335" t="s">
        <v>108</v>
      </c>
      <c r="H4335" t="s">
        <v>27380</v>
      </c>
      <c r="I4335" t="s">
        <v>2874</v>
      </c>
      <c r="J4335" t="s">
        <v>111</v>
      </c>
      <c r="K4335" t="str">
        <f>"85310"</f>
        <v>85310</v>
      </c>
      <c r="L4335" t="s">
        <v>5990</v>
      </c>
      <c r="M4335" t="s">
        <v>27380</v>
      </c>
      <c r="N4335" t="s">
        <v>2874</v>
      </c>
      <c r="O4335" t="s">
        <v>111</v>
      </c>
      <c r="P4335" t="str">
        <f>"85310-4242"</f>
        <v>85310-4242</v>
      </c>
      <c r="Q4335" t="s">
        <v>113</v>
      </c>
      <c r="R4335" t="str">
        <f>"200-05-169"</f>
        <v>200-05-169</v>
      </c>
      <c r="S4335" t="s">
        <v>24760</v>
      </c>
      <c r="T4335" t="s">
        <v>24761</v>
      </c>
      <c r="U4335">
        <v>2903</v>
      </c>
      <c r="V4335">
        <v>0</v>
      </c>
      <c r="W4335">
        <v>4</v>
      </c>
      <c r="X4335">
        <v>1993</v>
      </c>
      <c r="Z4335">
        <v>2</v>
      </c>
      <c r="AA4335" t="s">
        <v>26</v>
      </c>
      <c r="AB4335">
        <v>0</v>
      </c>
      <c r="AC4335" t="s">
        <v>115</v>
      </c>
      <c r="AD4335">
        <v>3</v>
      </c>
      <c r="AE4335" t="s">
        <v>115</v>
      </c>
      <c r="AF4335">
        <v>0</v>
      </c>
      <c r="AG4335">
        <v>0</v>
      </c>
      <c r="AH4335" t="s">
        <v>116</v>
      </c>
      <c r="AI4335" s="1">
        <v>11568</v>
      </c>
      <c r="AJ4335" s="2">
        <v>0.02</v>
      </c>
      <c r="AK4335" s="1">
        <v>487787</v>
      </c>
      <c r="AL4335" t="s">
        <v>117</v>
      </c>
      <c r="AM4335" t="s">
        <v>393</v>
      </c>
      <c r="AN4335">
        <v>7182</v>
      </c>
      <c r="AO4335">
        <v>0.16</v>
      </c>
      <c r="AP4335">
        <v>1</v>
      </c>
      <c r="AR4335">
        <v>1</v>
      </c>
      <c r="AS4335" s="1">
        <v>36000</v>
      </c>
      <c r="AT4335" s="1">
        <v>7200</v>
      </c>
      <c r="AU4335" s="1">
        <v>28800</v>
      </c>
      <c r="AV4335">
        <v>80</v>
      </c>
      <c r="AX4335" s="1">
        <v>3829.86</v>
      </c>
      <c r="AY4335" t="s">
        <v>7455</v>
      </c>
      <c r="AZ4335" t="s">
        <v>3049</v>
      </c>
      <c r="BA4335" t="s">
        <v>2223</v>
      </c>
      <c r="BE4335" s="3">
        <v>42145</v>
      </c>
      <c r="BF4335" s="1">
        <v>420000</v>
      </c>
      <c r="BG4335" t="s">
        <v>27381</v>
      </c>
      <c r="BH4335" s="1">
        <v>144.68</v>
      </c>
      <c r="BI4335" s="1">
        <v>476219</v>
      </c>
      <c r="BJ4335" s="3">
        <v>43586</v>
      </c>
      <c r="BK4335" t="s">
        <v>123</v>
      </c>
      <c r="BL4335" t="str">
        <f>"2019.315010"</f>
        <v>2019.315010</v>
      </c>
      <c r="BM4335" t="s">
        <v>3562</v>
      </c>
      <c r="BN4335" t="s">
        <v>3686</v>
      </c>
      <c r="BO4335" t="s">
        <v>27382</v>
      </c>
      <c r="BP4335" t="s">
        <v>27383</v>
      </c>
      <c r="BR4335" t="s">
        <v>139</v>
      </c>
      <c r="BW4335" t="str">
        <f>""</f>
        <v/>
      </c>
      <c r="CH4335" t="str">
        <f>""</f>
        <v/>
      </c>
      <c r="CS4335" t="str">
        <f>""</f>
        <v/>
      </c>
    </row>
    <row r="4336" spans="1:97" x14ac:dyDescent="0.25">
      <c r="A4336" t="s">
        <v>370</v>
      </c>
      <c r="B4336" t="s">
        <v>1697</v>
      </c>
      <c r="C4336" t="s">
        <v>1692</v>
      </c>
      <c r="D4336" t="s">
        <v>1697</v>
      </c>
      <c r="E4336" t="s">
        <v>27384</v>
      </c>
      <c r="F4336" t="s">
        <v>108</v>
      </c>
      <c r="H4336" t="s">
        <v>27385</v>
      </c>
      <c r="I4336" t="s">
        <v>188</v>
      </c>
      <c r="J4336" t="s">
        <v>111</v>
      </c>
      <c r="K4336" t="str">
        <f>"85142"</f>
        <v>85142</v>
      </c>
      <c r="L4336" t="s">
        <v>625</v>
      </c>
      <c r="M4336" t="s">
        <v>27385</v>
      </c>
      <c r="N4336" t="s">
        <v>188</v>
      </c>
      <c r="O4336" t="s">
        <v>111</v>
      </c>
      <c r="P4336" t="str">
        <f>"85142-5984"</f>
        <v>85142-5984</v>
      </c>
      <c r="Q4336" t="s">
        <v>113</v>
      </c>
      <c r="R4336" t="str">
        <f>"304-64-763"</f>
        <v>304-64-763</v>
      </c>
      <c r="S4336" t="s">
        <v>5881</v>
      </c>
      <c r="T4336" t="s">
        <v>5882</v>
      </c>
      <c r="U4336">
        <v>2505</v>
      </c>
      <c r="V4336">
        <v>0</v>
      </c>
      <c r="W4336">
        <v>4</v>
      </c>
      <c r="X4336">
        <v>2014</v>
      </c>
      <c r="Z4336">
        <v>1</v>
      </c>
      <c r="AB4336">
        <v>0</v>
      </c>
      <c r="AC4336" t="s">
        <v>115</v>
      </c>
      <c r="AD4336">
        <v>3</v>
      </c>
      <c r="AE4336" t="s">
        <v>115</v>
      </c>
      <c r="AF4336">
        <v>0</v>
      </c>
      <c r="AG4336">
        <v>0</v>
      </c>
      <c r="AH4336" t="s">
        <v>116</v>
      </c>
      <c r="AI4336" s="1">
        <v>77479</v>
      </c>
      <c r="AJ4336" s="2">
        <v>0.2</v>
      </c>
      <c r="AK4336" s="1">
        <v>383918</v>
      </c>
      <c r="AL4336" t="s">
        <v>117</v>
      </c>
      <c r="AM4336" t="s">
        <v>393</v>
      </c>
      <c r="AN4336">
        <v>9833</v>
      </c>
      <c r="AO4336">
        <v>0.23</v>
      </c>
      <c r="AR4336">
        <v>1</v>
      </c>
      <c r="AS4336" s="1">
        <v>26980</v>
      </c>
      <c r="AT4336" s="1">
        <v>5390</v>
      </c>
      <c r="AU4336" s="1">
        <v>21590</v>
      </c>
      <c r="AV4336">
        <v>80.02</v>
      </c>
      <c r="AX4336" s="1">
        <v>2326.92</v>
      </c>
      <c r="AY4336" t="s">
        <v>560</v>
      </c>
      <c r="AZ4336" t="s">
        <v>561</v>
      </c>
      <c r="BA4336" t="s">
        <v>194</v>
      </c>
      <c r="BE4336" s="3">
        <v>42131</v>
      </c>
      <c r="BF4336" s="1">
        <v>299990</v>
      </c>
      <c r="BG4336" t="s">
        <v>158</v>
      </c>
      <c r="BH4336" s="1">
        <v>119.76</v>
      </c>
      <c r="BI4336" s="1">
        <v>306439</v>
      </c>
      <c r="BJ4336" s="3">
        <v>42131</v>
      </c>
      <c r="BK4336" t="s">
        <v>123</v>
      </c>
      <c r="BL4336" t="str">
        <f>"2015.322714"</f>
        <v>2015.322714</v>
      </c>
      <c r="BM4336" t="s">
        <v>241</v>
      </c>
      <c r="BO4336" t="s">
        <v>27386</v>
      </c>
      <c r="BS4336">
        <v>30</v>
      </c>
      <c r="BW4336" t="str">
        <f>""</f>
        <v/>
      </c>
      <c r="CH4336" t="str">
        <f>""</f>
        <v/>
      </c>
      <c r="CS4336" t="str">
        <f>""</f>
        <v/>
      </c>
    </row>
    <row r="4337" spans="1:97" x14ac:dyDescent="0.25">
      <c r="B4337" t="s">
        <v>27387</v>
      </c>
      <c r="E4337" t="s">
        <v>27388</v>
      </c>
      <c r="F4337" t="s">
        <v>108</v>
      </c>
      <c r="H4337" t="s">
        <v>27389</v>
      </c>
      <c r="I4337" t="s">
        <v>6646</v>
      </c>
      <c r="J4337" t="s">
        <v>111</v>
      </c>
      <c r="K4337" t="str">
        <f>"85086"</f>
        <v>85086</v>
      </c>
      <c r="L4337" t="s">
        <v>2015</v>
      </c>
      <c r="M4337" t="s">
        <v>27389</v>
      </c>
      <c r="N4337" t="s">
        <v>6646</v>
      </c>
      <c r="O4337" t="s">
        <v>111</v>
      </c>
      <c r="P4337" t="str">
        <f>"85086-1573"</f>
        <v>85086-1573</v>
      </c>
      <c r="Q4337" t="s">
        <v>113</v>
      </c>
      <c r="R4337" t="str">
        <f>"203-05-188"</f>
        <v>203-05-188</v>
      </c>
      <c r="S4337" t="s">
        <v>27390</v>
      </c>
      <c r="U4337">
        <v>2596</v>
      </c>
      <c r="V4337">
        <v>0</v>
      </c>
      <c r="W4337">
        <v>4</v>
      </c>
      <c r="X4337">
        <v>1999</v>
      </c>
      <c r="Z4337">
        <v>1</v>
      </c>
      <c r="AA4337" t="s">
        <v>26</v>
      </c>
      <c r="AB4337">
        <v>0</v>
      </c>
      <c r="AC4337" t="s">
        <v>115</v>
      </c>
      <c r="AD4337">
        <v>3</v>
      </c>
      <c r="AE4337" t="s">
        <v>115</v>
      </c>
      <c r="AF4337">
        <v>0</v>
      </c>
      <c r="AG4337">
        <v>0</v>
      </c>
      <c r="AH4337" t="s">
        <v>116</v>
      </c>
      <c r="AI4337" s="1">
        <v>41796</v>
      </c>
      <c r="AJ4337" s="2">
        <v>0.1</v>
      </c>
      <c r="AK4337" s="1">
        <v>429171</v>
      </c>
      <c r="AL4337" t="s">
        <v>117</v>
      </c>
      <c r="AM4337" t="s">
        <v>191</v>
      </c>
      <c r="AN4337">
        <v>11600</v>
      </c>
      <c r="AO4337">
        <v>0.27</v>
      </c>
      <c r="AP4337">
        <v>1</v>
      </c>
      <c r="AR4337">
        <v>1</v>
      </c>
      <c r="AS4337" s="1">
        <v>31680</v>
      </c>
      <c r="AT4337" s="1">
        <v>6330</v>
      </c>
      <c r="AU4337" s="1">
        <v>25350</v>
      </c>
      <c r="AV4337">
        <v>80.02</v>
      </c>
      <c r="AX4337" s="1">
        <v>3288.98</v>
      </c>
      <c r="AY4337" t="s">
        <v>6648</v>
      </c>
      <c r="AZ4337" t="s">
        <v>6648</v>
      </c>
      <c r="BA4337" t="s">
        <v>378</v>
      </c>
      <c r="BB4337" s="3">
        <v>43210</v>
      </c>
      <c r="BC4337" s="1">
        <v>0</v>
      </c>
      <c r="BD4337" t="s">
        <v>247</v>
      </c>
      <c r="BE4337" s="3">
        <v>41943</v>
      </c>
      <c r="BF4337" s="1">
        <v>340000</v>
      </c>
      <c r="BG4337" t="s">
        <v>27391</v>
      </c>
      <c r="BH4337" s="1">
        <v>130.97</v>
      </c>
      <c r="BI4337" s="1">
        <v>387375</v>
      </c>
      <c r="BJ4337" s="3">
        <v>42741</v>
      </c>
      <c r="BK4337" t="s">
        <v>123</v>
      </c>
      <c r="BL4337" t="str">
        <f>"2017.11893"</f>
        <v>2017.11893</v>
      </c>
      <c r="BM4337" t="s">
        <v>683</v>
      </c>
      <c r="BN4337" t="s">
        <v>5502</v>
      </c>
      <c r="BO4337" t="s">
        <v>27392</v>
      </c>
      <c r="BS4337">
        <v>30</v>
      </c>
      <c r="BW4337" t="str">
        <f>""</f>
        <v/>
      </c>
      <c r="CH4337" t="str">
        <f>""</f>
        <v/>
      </c>
      <c r="CS4337" t="str">
        <f>""</f>
        <v/>
      </c>
    </row>
    <row r="4338" spans="1:97" x14ac:dyDescent="0.25">
      <c r="A4338" t="s">
        <v>894</v>
      </c>
      <c r="B4338" t="s">
        <v>20407</v>
      </c>
      <c r="C4338" t="s">
        <v>6510</v>
      </c>
      <c r="D4338" t="s">
        <v>27393</v>
      </c>
      <c r="E4338" t="s">
        <v>27394</v>
      </c>
      <c r="F4338" t="s">
        <v>108</v>
      </c>
      <c r="H4338" t="s">
        <v>27395</v>
      </c>
      <c r="I4338" t="s">
        <v>5863</v>
      </c>
      <c r="J4338" t="s">
        <v>111</v>
      </c>
      <c r="K4338" t="str">
        <f>"85375"</f>
        <v>85375</v>
      </c>
      <c r="L4338" t="s">
        <v>5228</v>
      </c>
      <c r="M4338" t="s">
        <v>27395</v>
      </c>
      <c r="N4338" t="s">
        <v>5863</v>
      </c>
      <c r="O4338" t="s">
        <v>111</v>
      </c>
      <c r="P4338" t="str">
        <f>"85375-5528"</f>
        <v>85375-5528</v>
      </c>
      <c r="Q4338" t="s">
        <v>113</v>
      </c>
      <c r="R4338" t="str">
        <f>"232-16-483"</f>
        <v>232-16-483</v>
      </c>
      <c r="S4338" t="s">
        <v>7897</v>
      </c>
      <c r="U4338">
        <v>2150</v>
      </c>
      <c r="V4338">
        <v>0</v>
      </c>
      <c r="W4338">
        <v>3</v>
      </c>
      <c r="X4338">
        <v>1992</v>
      </c>
      <c r="Z4338">
        <v>1</v>
      </c>
      <c r="AB4338">
        <v>0</v>
      </c>
      <c r="AC4338" t="s">
        <v>115</v>
      </c>
      <c r="AD4338">
        <v>2</v>
      </c>
      <c r="AE4338" t="s">
        <v>115</v>
      </c>
      <c r="AF4338">
        <v>0</v>
      </c>
      <c r="AG4338">
        <v>0</v>
      </c>
      <c r="AH4338" t="s">
        <v>116</v>
      </c>
      <c r="AI4338" s="1">
        <v>60105</v>
      </c>
      <c r="AJ4338" s="2">
        <v>0.18</v>
      </c>
      <c r="AK4338" s="1">
        <v>343060</v>
      </c>
      <c r="AL4338" t="s">
        <v>117</v>
      </c>
      <c r="AM4338" t="s">
        <v>393</v>
      </c>
      <c r="AN4338">
        <v>9800</v>
      </c>
      <c r="AO4338">
        <v>0.22</v>
      </c>
      <c r="AP4338">
        <v>1</v>
      </c>
      <c r="AR4338">
        <v>1</v>
      </c>
      <c r="AS4338" s="1">
        <v>27370</v>
      </c>
      <c r="AT4338" s="1">
        <v>5470</v>
      </c>
      <c r="AU4338" s="1">
        <v>21900</v>
      </c>
      <c r="AV4338">
        <v>80.010000000000005</v>
      </c>
      <c r="AX4338" s="1">
        <v>2215.58</v>
      </c>
      <c r="AY4338" t="s">
        <v>320</v>
      </c>
      <c r="AZ4338" t="s">
        <v>320</v>
      </c>
      <c r="BA4338" t="s">
        <v>321</v>
      </c>
      <c r="BE4338" s="3">
        <v>42515</v>
      </c>
      <c r="BF4338" s="1">
        <v>277000</v>
      </c>
      <c r="BG4338" t="s">
        <v>27396</v>
      </c>
      <c r="BH4338" s="1">
        <v>128.84</v>
      </c>
      <c r="BI4338" s="1">
        <v>282955</v>
      </c>
      <c r="BJ4338" s="3">
        <v>42515</v>
      </c>
      <c r="BK4338" t="s">
        <v>123</v>
      </c>
      <c r="BL4338" t="str">
        <f>"2016.357140"</f>
        <v>2016.357140</v>
      </c>
      <c r="BM4338" t="s">
        <v>5867</v>
      </c>
      <c r="BN4338" t="s">
        <v>9181</v>
      </c>
      <c r="BO4338" t="s">
        <v>27397</v>
      </c>
      <c r="BP4338" t="s">
        <v>27398</v>
      </c>
      <c r="BQ4338" t="str">
        <f>"2.8750%"</f>
        <v>2.8750%</v>
      </c>
      <c r="BR4338" t="s">
        <v>1480</v>
      </c>
      <c r="BS4338">
        <v>30</v>
      </c>
      <c r="BW4338" t="str">
        <f>""</f>
        <v/>
      </c>
      <c r="CH4338" t="str">
        <f>""</f>
        <v/>
      </c>
      <c r="CS4338" t="str">
        <f>""</f>
        <v/>
      </c>
    </row>
    <row r="4339" spans="1:97" x14ac:dyDescent="0.25">
      <c r="A4339" t="s">
        <v>325</v>
      </c>
      <c r="B4339" t="s">
        <v>27399</v>
      </c>
      <c r="E4339" t="s">
        <v>27400</v>
      </c>
      <c r="F4339" t="s">
        <v>108</v>
      </c>
      <c r="H4339" t="s">
        <v>27401</v>
      </c>
      <c r="I4339" t="s">
        <v>453</v>
      </c>
      <c r="J4339" t="s">
        <v>111</v>
      </c>
      <c r="K4339" t="str">
        <f>"85383"</f>
        <v>85383</v>
      </c>
      <c r="L4339" t="s">
        <v>3161</v>
      </c>
      <c r="M4339" t="s">
        <v>27401</v>
      </c>
      <c r="N4339" t="s">
        <v>453</v>
      </c>
      <c r="O4339" t="s">
        <v>111</v>
      </c>
      <c r="P4339" t="str">
        <f>"85383-2412"</f>
        <v>85383-2412</v>
      </c>
      <c r="Q4339" t="s">
        <v>113</v>
      </c>
      <c r="R4339" t="str">
        <f>"510-01-113"</f>
        <v>510-01-113</v>
      </c>
      <c r="S4339" t="s">
        <v>27402</v>
      </c>
      <c r="T4339" t="s">
        <v>17301</v>
      </c>
      <c r="U4339">
        <v>4929</v>
      </c>
      <c r="V4339">
        <v>0</v>
      </c>
      <c r="W4339">
        <v>5</v>
      </c>
      <c r="X4339">
        <v>2005</v>
      </c>
      <c r="Z4339">
        <v>2</v>
      </c>
      <c r="AB4339">
        <v>0</v>
      </c>
      <c r="AC4339" t="s">
        <v>115</v>
      </c>
      <c r="AD4339">
        <v>3</v>
      </c>
      <c r="AE4339" t="s">
        <v>115</v>
      </c>
      <c r="AF4339">
        <v>0</v>
      </c>
      <c r="AG4339">
        <v>0</v>
      </c>
      <c r="AH4339" t="s">
        <v>116</v>
      </c>
      <c r="AI4339" s="1">
        <v>142926</v>
      </c>
      <c r="AJ4339" s="2">
        <v>0.24</v>
      </c>
      <c r="AK4339" s="1">
        <v>602526</v>
      </c>
      <c r="AL4339" t="s">
        <v>117</v>
      </c>
      <c r="AM4339" t="s">
        <v>118</v>
      </c>
      <c r="AN4339">
        <v>12776</v>
      </c>
      <c r="AO4339">
        <v>0.28999999999999998</v>
      </c>
      <c r="AR4339">
        <v>1</v>
      </c>
      <c r="AS4339" s="1">
        <v>46930</v>
      </c>
      <c r="AT4339" s="1">
        <v>9380</v>
      </c>
      <c r="AU4339" s="1">
        <v>37550</v>
      </c>
      <c r="AV4339">
        <v>80.010000000000005</v>
      </c>
      <c r="AX4339" s="1">
        <v>5321.28</v>
      </c>
      <c r="AY4339" t="s">
        <v>627</v>
      </c>
      <c r="AZ4339" t="s">
        <v>627</v>
      </c>
      <c r="BA4339" t="s">
        <v>457</v>
      </c>
      <c r="BE4339" s="3">
        <v>42199</v>
      </c>
      <c r="BF4339" s="1">
        <v>467000</v>
      </c>
      <c r="BG4339" t="s">
        <v>27403</v>
      </c>
      <c r="BH4339" s="1">
        <v>94.75</v>
      </c>
      <c r="BI4339" s="1">
        <v>459600</v>
      </c>
      <c r="BJ4339" s="3">
        <v>42543</v>
      </c>
      <c r="BK4339" t="s">
        <v>123</v>
      </c>
      <c r="BL4339" t="str">
        <f>"2016.435693"</f>
        <v>2016.435693</v>
      </c>
      <c r="BM4339" t="s">
        <v>2284</v>
      </c>
      <c r="BO4339" t="s">
        <v>27404</v>
      </c>
      <c r="BS4339">
        <v>30</v>
      </c>
      <c r="BW4339" t="str">
        <f>""</f>
        <v/>
      </c>
      <c r="CH4339" t="str">
        <f>""</f>
        <v/>
      </c>
      <c r="CS4339" t="str">
        <f>""</f>
        <v/>
      </c>
    </row>
    <row r="4340" spans="1:97" x14ac:dyDescent="0.25">
      <c r="A4340" t="s">
        <v>21968</v>
      </c>
      <c r="B4340" t="s">
        <v>27405</v>
      </c>
      <c r="C4340" t="s">
        <v>27406</v>
      </c>
      <c r="D4340" t="s">
        <v>27405</v>
      </c>
      <c r="E4340" t="s">
        <v>27407</v>
      </c>
      <c r="F4340" t="s">
        <v>108</v>
      </c>
      <c r="H4340" t="s">
        <v>27408</v>
      </c>
      <c r="I4340" t="s">
        <v>5636</v>
      </c>
      <c r="J4340" t="s">
        <v>111</v>
      </c>
      <c r="K4340" t="str">
        <f>"85268"</f>
        <v>85268</v>
      </c>
      <c r="L4340" t="s">
        <v>7243</v>
      </c>
      <c r="M4340" t="s">
        <v>27408</v>
      </c>
      <c r="N4340" t="s">
        <v>5636</v>
      </c>
      <c r="O4340" t="s">
        <v>111</v>
      </c>
      <c r="P4340" t="str">
        <f>"85268-1551"</f>
        <v>85268-1551</v>
      </c>
      <c r="Q4340" t="s">
        <v>113</v>
      </c>
      <c r="R4340" t="str">
        <f>"176-22-088"</f>
        <v>176-22-088</v>
      </c>
      <c r="S4340" t="s">
        <v>26509</v>
      </c>
      <c r="U4340">
        <v>2148</v>
      </c>
      <c r="V4340">
        <v>0</v>
      </c>
      <c r="W4340">
        <v>4</v>
      </c>
      <c r="X4340">
        <v>1985</v>
      </c>
      <c r="Z4340">
        <v>1</v>
      </c>
      <c r="AB4340">
        <v>0</v>
      </c>
      <c r="AC4340" t="s">
        <v>115</v>
      </c>
      <c r="AD4340">
        <v>2</v>
      </c>
      <c r="AE4340" t="s">
        <v>115</v>
      </c>
      <c r="AF4340">
        <v>0</v>
      </c>
      <c r="AG4340">
        <v>0</v>
      </c>
      <c r="AH4340" t="s">
        <v>116</v>
      </c>
      <c r="AI4340" s="1">
        <v>92310</v>
      </c>
      <c r="AJ4340" s="2">
        <v>0.2</v>
      </c>
      <c r="AK4340" s="1">
        <v>469355</v>
      </c>
      <c r="AL4340" t="s">
        <v>117</v>
      </c>
      <c r="AM4340" t="s">
        <v>1302</v>
      </c>
      <c r="AN4340">
        <v>9993</v>
      </c>
      <c r="AO4340">
        <v>0.23</v>
      </c>
      <c r="AP4340">
        <v>1</v>
      </c>
      <c r="AR4340">
        <v>1</v>
      </c>
      <c r="AS4340" s="1">
        <v>33670</v>
      </c>
      <c r="AT4340" s="1">
        <v>6730</v>
      </c>
      <c r="AU4340" s="1">
        <v>26940</v>
      </c>
      <c r="AV4340">
        <v>80.010000000000005</v>
      </c>
      <c r="AX4340" s="1">
        <v>2203.98</v>
      </c>
      <c r="AY4340" t="s">
        <v>5639</v>
      </c>
      <c r="AZ4340" t="s">
        <v>5640</v>
      </c>
      <c r="BA4340" t="s">
        <v>5641</v>
      </c>
      <c r="BE4340" s="3">
        <v>42052</v>
      </c>
      <c r="BF4340" s="1">
        <v>365000</v>
      </c>
      <c r="BG4340" t="s">
        <v>27409</v>
      </c>
      <c r="BH4340" s="1">
        <v>169.93</v>
      </c>
      <c r="BI4340" s="1">
        <v>377045</v>
      </c>
      <c r="BJ4340" s="3">
        <v>42052</v>
      </c>
      <c r="BK4340" t="s">
        <v>123</v>
      </c>
      <c r="BL4340" t="str">
        <f>"2015.100589"</f>
        <v>2015.100589</v>
      </c>
      <c r="BM4340" t="s">
        <v>724</v>
      </c>
      <c r="BO4340" t="s">
        <v>27410</v>
      </c>
      <c r="BS4340">
        <v>30</v>
      </c>
      <c r="BW4340" t="str">
        <f>""</f>
        <v/>
      </c>
      <c r="CH4340" t="str">
        <f>""</f>
        <v/>
      </c>
      <c r="CS4340" t="str">
        <f>""</f>
        <v/>
      </c>
    </row>
    <row r="4341" spans="1:97" x14ac:dyDescent="0.25">
      <c r="A4341" t="s">
        <v>27411</v>
      </c>
      <c r="B4341" t="s">
        <v>27412</v>
      </c>
      <c r="E4341" t="s">
        <v>27413</v>
      </c>
      <c r="F4341" t="s">
        <v>108</v>
      </c>
      <c r="H4341" t="s">
        <v>27414</v>
      </c>
      <c r="I4341" t="s">
        <v>390</v>
      </c>
      <c r="J4341" t="s">
        <v>111</v>
      </c>
      <c r="K4341" t="str">
        <f>"85083"</f>
        <v>85083</v>
      </c>
      <c r="L4341" t="s">
        <v>2820</v>
      </c>
      <c r="M4341" t="s">
        <v>27414</v>
      </c>
      <c r="N4341" t="s">
        <v>390</v>
      </c>
      <c r="O4341" t="s">
        <v>111</v>
      </c>
      <c r="P4341" t="str">
        <f>"85083-6553"</f>
        <v>85083-6553</v>
      </c>
      <c r="Q4341" t="s">
        <v>113</v>
      </c>
      <c r="R4341" t="str">
        <f>"201-07-383"</f>
        <v>201-07-383</v>
      </c>
      <c r="S4341" t="s">
        <v>25056</v>
      </c>
      <c r="T4341" t="s">
        <v>21721</v>
      </c>
      <c r="U4341">
        <v>2577</v>
      </c>
      <c r="V4341">
        <v>0</v>
      </c>
      <c r="W4341">
        <v>4</v>
      </c>
      <c r="X4341">
        <v>2002</v>
      </c>
      <c r="Z4341">
        <v>1</v>
      </c>
      <c r="AA4341" t="s">
        <v>26</v>
      </c>
      <c r="AB4341">
        <v>0</v>
      </c>
      <c r="AC4341" t="s">
        <v>115</v>
      </c>
      <c r="AD4341">
        <v>3</v>
      </c>
      <c r="AE4341" t="s">
        <v>115</v>
      </c>
      <c r="AF4341">
        <v>0</v>
      </c>
      <c r="AG4341">
        <v>0</v>
      </c>
      <c r="AH4341" t="s">
        <v>116</v>
      </c>
      <c r="AI4341" s="1">
        <v>106335</v>
      </c>
      <c r="AJ4341" s="2">
        <v>0.25</v>
      </c>
      <c r="AK4341" s="1">
        <v>431135</v>
      </c>
      <c r="AL4341" t="s">
        <v>117</v>
      </c>
      <c r="AM4341" t="s">
        <v>1302</v>
      </c>
      <c r="AN4341">
        <v>8447</v>
      </c>
      <c r="AO4341">
        <v>0.19</v>
      </c>
      <c r="AP4341">
        <v>1</v>
      </c>
      <c r="AR4341">
        <v>1</v>
      </c>
      <c r="AS4341" s="1">
        <v>32700</v>
      </c>
      <c r="AT4341" s="1">
        <v>6540</v>
      </c>
      <c r="AU4341" s="1">
        <v>26160</v>
      </c>
      <c r="AV4341">
        <v>80</v>
      </c>
      <c r="AX4341" s="1">
        <v>3057.48</v>
      </c>
      <c r="AY4341" t="s">
        <v>3522</v>
      </c>
      <c r="AZ4341" t="s">
        <v>3522</v>
      </c>
      <c r="BA4341" t="s">
        <v>1386</v>
      </c>
      <c r="BE4341" s="3">
        <v>42065</v>
      </c>
      <c r="BF4341" s="1">
        <v>345000</v>
      </c>
      <c r="BG4341" t="s">
        <v>27415</v>
      </c>
      <c r="BH4341" s="1">
        <v>133.88</v>
      </c>
      <c r="BI4341" s="1">
        <v>324800</v>
      </c>
      <c r="BJ4341" s="3">
        <v>42065</v>
      </c>
      <c r="BK4341" t="s">
        <v>123</v>
      </c>
      <c r="BL4341" t="str">
        <f>"2015.138405"</f>
        <v>2015.138405</v>
      </c>
      <c r="BM4341" t="s">
        <v>9140</v>
      </c>
      <c r="BO4341" t="s">
        <v>27416</v>
      </c>
      <c r="BS4341">
        <v>30</v>
      </c>
      <c r="BW4341" t="str">
        <f>""</f>
        <v/>
      </c>
      <c r="CH4341" t="str">
        <f>""</f>
        <v/>
      </c>
      <c r="CS4341" t="str">
        <f>""</f>
        <v/>
      </c>
    </row>
    <row r="4342" spans="1:97" x14ac:dyDescent="0.25">
      <c r="A4342" t="s">
        <v>177</v>
      </c>
      <c r="B4342" t="s">
        <v>27417</v>
      </c>
      <c r="C4342" t="s">
        <v>488</v>
      </c>
      <c r="D4342" t="s">
        <v>27417</v>
      </c>
      <c r="E4342" t="s">
        <v>27418</v>
      </c>
      <c r="F4342" t="s">
        <v>108</v>
      </c>
      <c r="H4342" t="s">
        <v>27419</v>
      </c>
      <c r="I4342" t="s">
        <v>203</v>
      </c>
      <c r="J4342" t="s">
        <v>111</v>
      </c>
      <c r="K4342" t="str">
        <f>"85297"</f>
        <v>85297</v>
      </c>
      <c r="L4342" t="s">
        <v>5048</v>
      </c>
      <c r="M4342" t="s">
        <v>27419</v>
      </c>
      <c r="N4342" t="s">
        <v>203</v>
      </c>
      <c r="O4342" t="s">
        <v>111</v>
      </c>
      <c r="P4342" t="str">
        <f>"85297-6004"</f>
        <v>85297-6004</v>
      </c>
      <c r="Q4342" t="s">
        <v>113</v>
      </c>
      <c r="R4342" t="str">
        <f>"304-52-518"</f>
        <v>304-52-518</v>
      </c>
      <c r="S4342" t="s">
        <v>12807</v>
      </c>
      <c r="T4342" t="s">
        <v>12807</v>
      </c>
      <c r="U4342">
        <v>2723</v>
      </c>
      <c r="V4342">
        <v>0</v>
      </c>
      <c r="W4342">
        <v>4</v>
      </c>
      <c r="X4342">
        <v>2007</v>
      </c>
      <c r="Z4342">
        <v>1</v>
      </c>
      <c r="AA4342" t="s">
        <v>26</v>
      </c>
      <c r="AB4342">
        <v>0</v>
      </c>
      <c r="AC4342" t="s">
        <v>115</v>
      </c>
      <c r="AD4342">
        <v>4</v>
      </c>
      <c r="AE4342" t="s">
        <v>115</v>
      </c>
      <c r="AF4342">
        <v>0</v>
      </c>
      <c r="AG4342">
        <v>0</v>
      </c>
      <c r="AH4342" t="s">
        <v>116</v>
      </c>
      <c r="AI4342" s="1">
        <v>-7224</v>
      </c>
      <c r="AJ4342" s="2">
        <v>-0.02</v>
      </c>
      <c r="AK4342" s="1">
        <v>387026</v>
      </c>
      <c r="AL4342" t="s">
        <v>117</v>
      </c>
      <c r="AM4342" t="s">
        <v>393</v>
      </c>
      <c r="AN4342">
        <v>10109</v>
      </c>
      <c r="AO4342">
        <v>0.23</v>
      </c>
      <c r="AP4342">
        <v>1</v>
      </c>
      <c r="AR4342">
        <v>1</v>
      </c>
      <c r="AS4342" s="1">
        <v>33960</v>
      </c>
      <c r="AT4342" s="1">
        <v>6790</v>
      </c>
      <c r="AU4342" s="1">
        <v>27170</v>
      </c>
      <c r="AV4342">
        <v>80.010000000000005</v>
      </c>
      <c r="AX4342" s="1">
        <v>3112.8</v>
      </c>
      <c r="AY4342" t="s">
        <v>394</v>
      </c>
      <c r="AZ4342" t="s">
        <v>394</v>
      </c>
      <c r="BA4342" t="s">
        <v>290</v>
      </c>
      <c r="BE4342" s="3">
        <v>42293</v>
      </c>
      <c r="BF4342" s="1">
        <v>400000</v>
      </c>
      <c r="BG4342" t="s">
        <v>27420</v>
      </c>
      <c r="BH4342" s="1">
        <v>146.9</v>
      </c>
      <c r="BI4342" s="1">
        <v>394250</v>
      </c>
      <c r="BJ4342" s="3">
        <v>42542</v>
      </c>
      <c r="BK4342" t="s">
        <v>123</v>
      </c>
      <c r="BL4342" t="str">
        <f>"2016.430414"</f>
        <v>2016.430414</v>
      </c>
      <c r="BM4342" t="s">
        <v>361</v>
      </c>
      <c r="BO4342" t="s">
        <v>27421</v>
      </c>
      <c r="BS4342">
        <v>15</v>
      </c>
      <c r="BW4342" t="str">
        <f>""</f>
        <v/>
      </c>
      <c r="CH4342" t="str">
        <f>""</f>
        <v/>
      </c>
      <c r="CS4342" t="str">
        <f>""</f>
        <v/>
      </c>
    </row>
    <row r="4343" spans="1:97" x14ac:dyDescent="0.25">
      <c r="A4343" t="s">
        <v>27422</v>
      </c>
      <c r="B4343" t="s">
        <v>27423</v>
      </c>
      <c r="C4343" t="s">
        <v>1845</v>
      </c>
      <c r="D4343" t="s">
        <v>27423</v>
      </c>
      <c r="E4343" t="s">
        <v>27424</v>
      </c>
      <c r="F4343" t="s">
        <v>108</v>
      </c>
      <c r="H4343" t="s">
        <v>27425</v>
      </c>
      <c r="I4343" t="s">
        <v>390</v>
      </c>
      <c r="J4343" t="s">
        <v>111</v>
      </c>
      <c r="K4343" t="str">
        <f>"85083"</f>
        <v>85083</v>
      </c>
      <c r="L4343" t="s">
        <v>2820</v>
      </c>
      <c r="M4343" t="s">
        <v>27425</v>
      </c>
      <c r="N4343" t="s">
        <v>390</v>
      </c>
      <c r="O4343" t="s">
        <v>111</v>
      </c>
      <c r="P4343" t="str">
        <f>"85083-6579"</f>
        <v>85083-6579</v>
      </c>
      <c r="Q4343" t="s">
        <v>113</v>
      </c>
      <c r="R4343" t="str">
        <f>"201-07-511"</f>
        <v>201-07-511</v>
      </c>
      <c r="S4343" t="s">
        <v>21720</v>
      </c>
      <c r="T4343" t="s">
        <v>21721</v>
      </c>
      <c r="U4343">
        <v>2636</v>
      </c>
      <c r="V4343">
        <v>0</v>
      </c>
      <c r="W4343">
        <v>4</v>
      </c>
      <c r="X4343">
        <v>2003</v>
      </c>
      <c r="Z4343">
        <v>2</v>
      </c>
      <c r="AA4343" t="s">
        <v>26</v>
      </c>
      <c r="AB4343">
        <v>0</v>
      </c>
      <c r="AC4343" t="s">
        <v>115</v>
      </c>
      <c r="AD4343">
        <v>3</v>
      </c>
      <c r="AE4343" t="s">
        <v>115</v>
      </c>
      <c r="AF4343">
        <v>0</v>
      </c>
      <c r="AG4343">
        <v>0</v>
      </c>
      <c r="AH4343" t="s">
        <v>116</v>
      </c>
      <c r="AI4343" s="1">
        <v>114345</v>
      </c>
      <c r="AJ4343" s="2">
        <v>0.28999999999999998</v>
      </c>
      <c r="AK4343" s="1">
        <v>399395</v>
      </c>
      <c r="AL4343" t="s">
        <v>117</v>
      </c>
      <c r="AM4343" t="s">
        <v>1302</v>
      </c>
      <c r="AN4343">
        <v>6369</v>
      </c>
      <c r="AO4343">
        <v>0.15</v>
      </c>
      <c r="AP4343">
        <v>1</v>
      </c>
      <c r="AR4343">
        <v>1</v>
      </c>
      <c r="AS4343" s="1">
        <v>29660</v>
      </c>
      <c r="AT4343" s="1">
        <v>5930</v>
      </c>
      <c r="AU4343" s="1">
        <v>23730</v>
      </c>
      <c r="AV4343">
        <v>80.010000000000005</v>
      </c>
      <c r="AX4343" s="1">
        <v>3194.32</v>
      </c>
      <c r="AY4343" t="s">
        <v>3522</v>
      </c>
      <c r="AZ4343" t="s">
        <v>3522</v>
      </c>
      <c r="BA4343" t="s">
        <v>1386</v>
      </c>
      <c r="BE4343" s="3">
        <v>41850</v>
      </c>
      <c r="BF4343" s="1">
        <v>295000</v>
      </c>
      <c r="BG4343" t="s">
        <v>27426</v>
      </c>
      <c r="BH4343" s="1">
        <v>111.91</v>
      </c>
      <c r="BI4343" s="1">
        <v>285050</v>
      </c>
      <c r="BJ4343" s="3">
        <v>42706</v>
      </c>
      <c r="BK4343" t="s">
        <v>123</v>
      </c>
      <c r="BL4343" t="str">
        <f>"2016.888774"</f>
        <v>2016.888774</v>
      </c>
      <c r="BM4343" t="s">
        <v>1695</v>
      </c>
      <c r="BO4343" t="s">
        <v>27427</v>
      </c>
      <c r="BS4343">
        <v>30</v>
      </c>
      <c r="BW4343" t="str">
        <f>""</f>
        <v/>
      </c>
      <c r="CH4343" t="str">
        <f>""</f>
        <v/>
      </c>
      <c r="CS4343" t="str">
        <f>""</f>
        <v/>
      </c>
    </row>
    <row r="4344" spans="1:97" x14ac:dyDescent="0.25">
      <c r="A4344" t="s">
        <v>305</v>
      </c>
      <c r="B4344" t="s">
        <v>27428</v>
      </c>
      <c r="C4344" t="s">
        <v>27429</v>
      </c>
      <c r="D4344" t="s">
        <v>27428</v>
      </c>
      <c r="E4344" t="s">
        <v>27430</v>
      </c>
      <c r="F4344" t="s">
        <v>108</v>
      </c>
      <c r="H4344" t="s">
        <v>27431</v>
      </c>
      <c r="I4344" t="s">
        <v>203</v>
      </c>
      <c r="J4344" t="s">
        <v>111</v>
      </c>
      <c r="K4344" t="str">
        <f>"85296"</f>
        <v>85296</v>
      </c>
      <c r="L4344" t="s">
        <v>469</v>
      </c>
      <c r="M4344" t="s">
        <v>27431</v>
      </c>
      <c r="N4344" t="s">
        <v>203</v>
      </c>
      <c r="O4344" t="s">
        <v>111</v>
      </c>
      <c r="P4344" t="str">
        <f>"85296-1488"</f>
        <v>85296-1488</v>
      </c>
      <c r="Q4344" t="s">
        <v>113</v>
      </c>
      <c r="R4344" t="str">
        <f>"313-14-050"</f>
        <v>313-14-050</v>
      </c>
      <c r="S4344" t="s">
        <v>27432</v>
      </c>
      <c r="T4344" t="s">
        <v>471</v>
      </c>
      <c r="U4344">
        <v>2138</v>
      </c>
      <c r="V4344">
        <v>0</v>
      </c>
      <c r="W4344">
        <v>4</v>
      </c>
      <c r="X4344">
        <v>2006</v>
      </c>
      <c r="Z4344">
        <v>2</v>
      </c>
      <c r="AB4344">
        <v>0</v>
      </c>
      <c r="AC4344" t="s">
        <v>115</v>
      </c>
      <c r="AD4344">
        <v>2</v>
      </c>
      <c r="AE4344" t="s">
        <v>115</v>
      </c>
      <c r="AF4344">
        <v>0</v>
      </c>
      <c r="AG4344">
        <v>0</v>
      </c>
      <c r="AH4344" t="s">
        <v>116</v>
      </c>
      <c r="AI4344" s="1">
        <v>95196</v>
      </c>
      <c r="AJ4344" s="2">
        <v>0.31</v>
      </c>
      <c r="AK4344" s="1">
        <v>308346</v>
      </c>
      <c r="AL4344" t="s">
        <v>117</v>
      </c>
      <c r="AM4344" t="s">
        <v>288</v>
      </c>
      <c r="AN4344">
        <v>4475</v>
      </c>
      <c r="AO4344">
        <v>0.1</v>
      </c>
      <c r="AR4344">
        <v>1</v>
      </c>
      <c r="AS4344" s="1">
        <v>20710</v>
      </c>
      <c r="AT4344" s="1">
        <v>4140</v>
      </c>
      <c r="AU4344" s="1">
        <v>16570</v>
      </c>
      <c r="AV4344">
        <v>80.010000000000005</v>
      </c>
      <c r="AX4344" s="1">
        <v>1806.78</v>
      </c>
      <c r="AY4344" t="s">
        <v>472</v>
      </c>
      <c r="AZ4344" t="s">
        <v>472</v>
      </c>
      <c r="BA4344" t="s">
        <v>473</v>
      </c>
      <c r="BE4344" s="3">
        <v>42061</v>
      </c>
      <c r="BF4344" s="1">
        <v>230000</v>
      </c>
      <c r="BG4344" t="s">
        <v>27433</v>
      </c>
      <c r="BH4344" s="1">
        <v>107.58</v>
      </c>
      <c r="BI4344" s="1">
        <v>213150</v>
      </c>
      <c r="BJ4344" s="3">
        <v>42061</v>
      </c>
      <c r="BK4344" t="s">
        <v>123</v>
      </c>
      <c r="BL4344" t="str">
        <f>"2015.127418"</f>
        <v>2015.127418</v>
      </c>
      <c r="BM4344" t="s">
        <v>135</v>
      </c>
      <c r="BO4344" t="s">
        <v>27434</v>
      </c>
      <c r="BS4344">
        <v>30</v>
      </c>
      <c r="BW4344" t="str">
        <f>""</f>
        <v/>
      </c>
      <c r="CH4344" t="str">
        <f>""</f>
        <v/>
      </c>
      <c r="CS4344" t="str">
        <f>""</f>
        <v/>
      </c>
    </row>
    <row r="4345" spans="1:97" x14ac:dyDescent="0.25">
      <c r="A4345" t="s">
        <v>370</v>
      </c>
      <c r="B4345" t="s">
        <v>27435</v>
      </c>
      <c r="C4345" t="s">
        <v>3844</v>
      </c>
      <c r="D4345" t="s">
        <v>27435</v>
      </c>
      <c r="E4345" t="s">
        <v>27436</v>
      </c>
      <c r="F4345" t="s">
        <v>108</v>
      </c>
      <c r="H4345" t="s">
        <v>27437</v>
      </c>
      <c r="I4345" t="s">
        <v>188</v>
      </c>
      <c r="J4345" t="s">
        <v>111</v>
      </c>
      <c r="K4345" t="str">
        <f>"85142"</f>
        <v>85142</v>
      </c>
      <c r="L4345" t="s">
        <v>5456</v>
      </c>
      <c r="M4345" t="s">
        <v>27437</v>
      </c>
      <c r="N4345" t="s">
        <v>188</v>
      </c>
      <c r="O4345" t="s">
        <v>111</v>
      </c>
      <c r="P4345" t="str">
        <f>"85142-7139"</f>
        <v>85142-7139</v>
      </c>
      <c r="Q4345" t="s">
        <v>113</v>
      </c>
      <c r="R4345" t="str">
        <f>"304-67-196"</f>
        <v>304-67-196</v>
      </c>
      <c r="S4345" t="s">
        <v>26952</v>
      </c>
      <c r="T4345" t="s">
        <v>7391</v>
      </c>
      <c r="U4345">
        <v>2400</v>
      </c>
      <c r="V4345">
        <v>0</v>
      </c>
      <c r="W4345">
        <v>3</v>
      </c>
      <c r="X4345">
        <v>2004</v>
      </c>
      <c r="Z4345">
        <v>1</v>
      </c>
      <c r="AA4345" t="s">
        <v>26</v>
      </c>
      <c r="AB4345">
        <v>0</v>
      </c>
      <c r="AC4345" t="s">
        <v>115</v>
      </c>
      <c r="AD4345">
        <v>3</v>
      </c>
      <c r="AE4345" t="s">
        <v>115</v>
      </c>
      <c r="AF4345">
        <v>0</v>
      </c>
      <c r="AG4345">
        <v>0</v>
      </c>
      <c r="AH4345" t="s">
        <v>116</v>
      </c>
      <c r="AI4345" s="1">
        <v>71513</v>
      </c>
      <c r="AJ4345" s="2">
        <v>0.16</v>
      </c>
      <c r="AK4345" s="1">
        <v>455188</v>
      </c>
      <c r="AL4345" t="s">
        <v>117</v>
      </c>
      <c r="AM4345" t="s">
        <v>171</v>
      </c>
      <c r="AN4345">
        <v>11963</v>
      </c>
      <c r="AO4345">
        <v>0.28000000000000003</v>
      </c>
      <c r="AP4345">
        <v>1</v>
      </c>
      <c r="AR4345">
        <v>1</v>
      </c>
      <c r="AS4345" s="1">
        <v>31160</v>
      </c>
      <c r="AT4345" s="1">
        <v>6230</v>
      </c>
      <c r="AU4345" s="1">
        <v>24930</v>
      </c>
      <c r="AV4345">
        <v>80.010000000000005</v>
      </c>
      <c r="AX4345" s="1">
        <v>3159.84</v>
      </c>
      <c r="AY4345" t="s">
        <v>192</v>
      </c>
      <c r="AZ4345" t="s">
        <v>193</v>
      </c>
      <c r="BA4345" t="s">
        <v>194</v>
      </c>
      <c r="BE4345" s="3">
        <v>42485</v>
      </c>
      <c r="BF4345" s="1">
        <v>375600</v>
      </c>
      <c r="BG4345" t="s">
        <v>27438</v>
      </c>
      <c r="BH4345" s="1">
        <v>156.5</v>
      </c>
      <c r="BI4345" s="1">
        <v>383675</v>
      </c>
      <c r="BJ4345" s="3">
        <v>42485</v>
      </c>
      <c r="BK4345" t="s">
        <v>123</v>
      </c>
      <c r="BL4345" t="str">
        <f>"2016.275693"</f>
        <v>2016.275693</v>
      </c>
      <c r="BM4345" t="s">
        <v>4014</v>
      </c>
      <c r="BO4345" t="s">
        <v>27439</v>
      </c>
      <c r="BS4345">
        <v>30</v>
      </c>
      <c r="BW4345" t="str">
        <f>""</f>
        <v/>
      </c>
      <c r="CH4345" t="str">
        <f>""</f>
        <v/>
      </c>
      <c r="CS4345" t="str">
        <f>""</f>
        <v/>
      </c>
    </row>
    <row r="4346" spans="1:97" x14ac:dyDescent="0.25">
      <c r="A4346" t="s">
        <v>15211</v>
      </c>
      <c r="B4346" t="s">
        <v>27440</v>
      </c>
      <c r="C4346" t="s">
        <v>27441</v>
      </c>
      <c r="D4346" t="s">
        <v>27440</v>
      </c>
      <c r="E4346" t="s">
        <v>27442</v>
      </c>
      <c r="F4346" t="s">
        <v>108</v>
      </c>
      <c r="H4346" t="s">
        <v>27443</v>
      </c>
      <c r="I4346" t="s">
        <v>2874</v>
      </c>
      <c r="J4346" t="s">
        <v>111</v>
      </c>
      <c r="K4346" t="str">
        <f>"85308"</f>
        <v>85308</v>
      </c>
      <c r="L4346" t="s">
        <v>2354</v>
      </c>
      <c r="M4346" t="s">
        <v>27443</v>
      </c>
      <c r="N4346" t="s">
        <v>2874</v>
      </c>
      <c r="O4346" t="s">
        <v>111</v>
      </c>
      <c r="P4346" t="str">
        <f>"85308-6436"</f>
        <v>85308-6436</v>
      </c>
      <c r="Q4346" t="s">
        <v>113</v>
      </c>
      <c r="R4346" t="str">
        <f>"231-16-293"</f>
        <v>231-16-293</v>
      </c>
      <c r="S4346" t="s">
        <v>27444</v>
      </c>
      <c r="T4346" t="s">
        <v>27445</v>
      </c>
      <c r="U4346">
        <v>1632</v>
      </c>
      <c r="V4346">
        <v>0</v>
      </c>
      <c r="W4346">
        <v>3</v>
      </c>
      <c r="X4346">
        <v>1997</v>
      </c>
      <c r="Z4346">
        <v>1</v>
      </c>
      <c r="AA4346" t="s">
        <v>26</v>
      </c>
      <c r="AB4346">
        <v>0</v>
      </c>
      <c r="AC4346" t="s">
        <v>115</v>
      </c>
      <c r="AD4346">
        <v>2</v>
      </c>
      <c r="AE4346" t="s">
        <v>115</v>
      </c>
      <c r="AF4346">
        <v>0</v>
      </c>
      <c r="AG4346">
        <v>0</v>
      </c>
      <c r="AH4346" t="s">
        <v>116</v>
      </c>
      <c r="AI4346" s="1">
        <v>64186</v>
      </c>
      <c r="AJ4346" s="2">
        <v>0.22</v>
      </c>
      <c r="AK4346" s="1">
        <v>287686</v>
      </c>
      <c r="AL4346" t="s">
        <v>117</v>
      </c>
      <c r="AM4346" t="s">
        <v>393</v>
      </c>
      <c r="AN4346">
        <v>5772</v>
      </c>
      <c r="AO4346">
        <v>0.13</v>
      </c>
      <c r="AP4346">
        <v>1</v>
      </c>
      <c r="AR4346">
        <v>1</v>
      </c>
      <c r="AS4346" s="1">
        <v>23170</v>
      </c>
      <c r="AT4346" s="1">
        <v>4630</v>
      </c>
      <c r="AU4346" s="1">
        <v>18540</v>
      </c>
      <c r="AV4346">
        <v>80.02</v>
      </c>
      <c r="AX4346" s="1">
        <v>2031.92</v>
      </c>
      <c r="AY4346" t="s">
        <v>7455</v>
      </c>
      <c r="AZ4346" t="s">
        <v>3049</v>
      </c>
      <c r="BA4346" t="s">
        <v>2223</v>
      </c>
      <c r="BE4346" s="3">
        <v>41969</v>
      </c>
      <c r="BF4346" s="1">
        <v>223500</v>
      </c>
      <c r="BG4346" t="s">
        <v>27446</v>
      </c>
      <c r="BH4346" s="1">
        <v>136.94999999999999</v>
      </c>
      <c r="BI4346" s="1">
        <v>223500</v>
      </c>
      <c r="BJ4346" s="3">
        <v>41969</v>
      </c>
      <c r="BK4346" t="s">
        <v>123</v>
      </c>
      <c r="BL4346" t="str">
        <f>"2014.785713"</f>
        <v>2014.785713</v>
      </c>
      <c r="BM4346" t="s">
        <v>475</v>
      </c>
      <c r="BO4346" t="s">
        <v>27447</v>
      </c>
      <c r="BP4346" t="s">
        <v>27448</v>
      </c>
      <c r="BS4346">
        <v>30</v>
      </c>
      <c r="BW4346" t="str">
        <f>""</f>
        <v/>
      </c>
      <c r="CH4346" t="str">
        <f>""</f>
        <v/>
      </c>
      <c r="CS4346" t="str">
        <f>""</f>
        <v/>
      </c>
    </row>
    <row r="4347" spans="1:97" x14ac:dyDescent="0.25">
      <c r="A4347" t="s">
        <v>1850</v>
      </c>
      <c r="B4347" t="s">
        <v>27449</v>
      </c>
      <c r="C4347" t="s">
        <v>767</v>
      </c>
      <c r="D4347" t="s">
        <v>27449</v>
      </c>
      <c r="E4347" t="s">
        <v>27450</v>
      </c>
      <c r="F4347" t="s">
        <v>108</v>
      </c>
      <c r="H4347" t="s">
        <v>27451</v>
      </c>
      <c r="I4347" t="s">
        <v>632</v>
      </c>
      <c r="J4347" t="s">
        <v>111</v>
      </c>
      <c r="K4347" t="str">
        <f>"85388"</f>
        <v>85388</v>
      </c>
      <c r="L4347" t="s">
        <v>4467</v>
      </c>
      <c r="M4347" t="s">
        <v>27451</v>
      </c>
      <c r="N4347" t="s">
        <v>632</v>
      </c>
      <c r="O4347" t="s">
        <v>111</v>
      </c>
      <c r="P4347" t="str">
        <f>"85388-2363"</f>
        <v>85388-2363</v>
      </c>
      <c r="Q4347" t="s">
        <v>113</v>
      </c>
      <c r="R4347" t="str">
        <f>"502-09-541"</f>
        <v>502-09-541</v>
      </c>
      <c r="S4347" t="s">
        <v>27452</v>
      </c>
      <c r="T4347" t="s">
        <v>27453</v>
      </c>
      <c r="U4347">
        <v>2551</v>
      </c>
      <c r="V4347">
        <v>0</v>
      </c>
      <c r="W4347">
        <v>4</v>
      </c>
      <c r="X4347">
        <v>2006</v>
      </c>
      <c r="Z4347">
        <v>1</v>
      </c>
      <c r="AB4347">
        <v>0</v>
      </c>
      <c r="AC4347" t="s">
        <v>115</v>
      </c>
      <c r="AD4347">
        <v>2</v>
      </c>
      <c r="AE4347" t="s">
        <v>115</v>
      </c>
      <c r="AF4347">
        <v>0</v>
      </c>
      <c r="AG4347">
        <v>0</v>
      </c>
      <c r="AH4347" t="s">
        <v>116</v>
      </c>
      <c r="AI4347" s="1">
        <v>78172</v>
      </c>
      <c r="AJ4347" s="2">
        <v>0.23</v>
      </c>
      <c r="AK4347" s="1">
        <v>342602</v>
      </c>
      <c r="AL4347" t="s">
        <v>117</v>
      </c>
      <c r="AM4347" t="s">
        <v>118</v>
      </c>
      <c r="AN4347">
        <v>12162</v>
      </c>
      <c r="AO4347">
        <v>0.28000000000000003</v>
      </c>
      <c r="AR4347">
        <v>1</v>
      </c>
      <c r="AS4347" s="1">
        <v>23900</v>
      </c>
      <c r="AT4347" s="1">
        <v>4780</v>
      </c>
      <c r="AU4347" s="1">
        <v>19120</v>
      </c>
      <c r="AV4347">
        <v>80</v>
      </c>
      <c r="AX4347" s="1">
        <v>2372.2399999999998</v>
      </c>
      <c r="AY4347" t="s">
        <v>5168</v>
      </c>
      <c r="AZ4347" t="s">
        <v>5168</v>
      </c>
      <c r="BA4347" t="s">
        <v>5109</v>
      </c>
      <c r="BE4347" s="3">
        <v>41803</v>
      </c>
      <c r="BF4347" s="1">
        <v>262500</v>
      </c>
      <c r="BG4347" t="s">
        <v>27454</v>
      </c>
      <c r="BH4347" s="1">
        <v>102.9</v>
      </c>
      <c r="BI4347" s="1">
        <v>264430</v>
      </c>
      <c r="BJ4347" s="3">
        <v>42090</v>
      </c>
      <c r="BK4347" t="s">
        <v>123</v>
      </c>
      <c r="BL4347" t="str">
        <f>"2015.207629"</f>
        <v>2015.207629</v>
      </c>
      <c r="BM4347" t="s">
        <v>255</v>
      </c>
      <c r="BO4347" t="s">
        <v>27455</v>
      </c>
      <c r="BS4347">
        <v>30</v>
      </c>
      <c r="BW4347" t="str">
        <f>""</f>
        <v/>
      </c>
      <c r="CH4347" t="str">
        <f>""</f>
        <v/>
      </c>
      <c r="CS4347" t="str">
        <f>""</f>
        <v/>
      </c>
    </row>
    <row r="4348" spans="1:97" x14ac:dyDescent="0.25">
      <c r="A4348" t="s">
        <v>27456</v>
      </c>
      <c r="B4348" t="s">
        <v>27457</v>
      </c>
      <c r="C4348" t="s">
        <v>27458</v>
      </c>
      <c r="D4348" t="s">
        <v>27457</v>
      </c>
      <c r="E4348" t="s">
        <v>27459</v>
      </c>
      <c r="F4348" t="s">
        <v>108</v>
      </c>
      <c r="H4348" t="s">
        <v>27460</v>
      </c>
      <c r="I4348" t="s">
        <v>2874</v>
      </c>
      <c r="J4348" t="s">
        <v>111</v>
      </c>
      <c r="K4348" t="str">
        <f>"85308"</f>
        <v>85308</v>
      </c>
      <c r="L4348" t="s">
        <v>316</v>
      </c>
      <c r="M4348" t="s">
        <v>27460</v>
      </c>
      <c r="N4348" t="s">
        <v>2874</v>
      </c>
      <c r="O4348" t="s">
        <v>111</v>
      </c>
      <c r="P4348" t="str">
        <f>"85308-5723"</f>
        <v>85308-5723</v>
      </c>
      <c r="Q4348" t="s">
        <v>113</v>
      </c>
      <c r="R4348" t="str">
        <f>"200-29-863"</f>
        <v>200-29-863</v>
      </c>
      <c r="S4348" t="s">
        <v>22845</v>
      </c>
      <c r="U4348">
        <v>2296</v>
      </c>
      <c r="V4348">
        <v>0</v>
      </c>
      <c r="W4348">
        <v>4</v>
      </c>
      <c r="X4348">
        <v>1986</v>
      </c>
      <c r="Z4348">
        <v>2</v>
      </c>
      <c r="AA4348" t="s">
        <v>26</v>
      </c>
      <c r="AB4348">
        <v>0</v>
      </c>
      <c r="AC4348" t="s">
        <v>115</v>
      </c>
      <c r="AD4348">
        <v>2</v>
      </c>
      <c r="AE4348" t="s">
        <v>115</v>
      </c>
      <c r="AF4348">
        <v>0</v>
      </c>
      <c r="AG4348">
        <v>0</v>
      </c>
      <c r="AH4348" t="s">
        <v>116</v>
      </c>
      <c r="AI4348" s="1">
        <v>64234</v>
      </c>
      <c r="AJ4348" s="2">
        <v>0.19</v>
      </c>
      <c r="AK4348" s="1">
        <v>340798</v>
      </c>
      <c r="AL4348" t="s">
        <v>117</v>
      </c>
      <c r="AM4348" t="s">
        <v>191</v>
      </c>
      <c r="AN4348">
        <v>8668</v>
      </c>
      <c r="AO4348">
        <v>0.2</v>
      </c>
      <c r="AP4348">
        <v>1</v>
      </c>
      <c r="AR4348">
        <v>1</v>
      </c>
      <c r="AS4348" s="1">
        <v>24600</v>
      </c>
      <c r="AT4348" s="1">
        <v>4920</v>
      </c>
      <c r="AU4348" s="1">
        <v>19680</v>
      </c>
      <c r="AV4348">
        <v>80</v>
      </c>
      <c r="AX4348" s="1">
        <v>2317.1799999999998</v>
      </c>
      <c r="AY4348" t="s">
        <v>6740</v>
      </c>
      <c r="AZ4348" t="s">
        <v>6740</v>
      </c>
      <c r="BA4348" t="s">
        <v>2223</v>
      </c>
      <c r="BE4348" s="3">
        <v>42202</v>
      </c>
      <c r="BF4348" s="1">
        <v>303500</v>
      </c>
      <c r="BG4348" t="s">
        <v>27461</v>
      </c>
      <c r="BH4348" s="1">
        <v>132.19</v>
      </c>
      <c r="BI4348" s="1">
        <v>276564</v>
      </c>
      <c r="BJ4348" s="3">
        <v>42202</v>
      </c>
      <c r="BK4348" t="s">
        <v>123</v>
      </c>
      <c r="BL4348" t="str">
        <f>"2015.517211"</f>
        <v>2015.517211</v>
      </c>
      <c r="BM4348" t="s">
        <v>724</v>
      </c>
      <c r="BO4348" t="s">
        <v>27462</v>
      </c>
      <c r="BS4348">
        <v>30</v>
      </c>
      <c r="BW4348" t="str">
        <f>""</f>
        <v/>
      </c>
      <c r="CH4348" t="str">
        <f>""</f>
        <v/>
      </c>
      <c r="CS4348" t="str">
        <f>""</f>
        <v/>
      </c>
    </row>
    <row r="4349" spans="1:97" x14ac:dyDescent="0.25">
      <c r="A4349" t="s">
        <v>11252</v>
      </c>
      <c r="B4349" t="s">
        <v>27463</v>
      </c>
      <c r="C4349" t="s">
        <v>2793</v>
      </c>
      <c r="D4349" t="s">
        <v>27463</v>
      </c>
      <c r="E4349" t="s">
        <v>27464</v>
      </c>
      <c r="F4349" t="s">
        <v>108</v>
      </c>
      <c r="H4349" t="s">
        <v>27465</v>
      </c>
      <c r="I4349" t="s">
        <v>110</v>
      </c>
      <c r="J4349" t="s">
        <v>111</v>
      </c>
      <c r="K4349" t="str">
        <f>"85249"</f>
        <v>85249</v>
      </c>
      <c r="L4349" t="s">
        <v>7725</v>
      </c>
      <c r="M4349" t="s">
        <v>27465</v>
      </c>
      <c r="N4349" t="s">
        <v>110</v>
      </c>
      <c r="O4349" t="s">
        <v>111</v>
      </c>
      <c r="P4349" t="str">
        <f>"85249-3382"</f>
        <v>85249-3382</v>
      </c>
      <c r="Q4349" t="s">
        <v>113</v>
      </c>
      <c r="R4349" t="str">
        <f>"303-45-949"</f>
        <v>303-45-949</v>
      </c>
      <c r="S4349" t="s">
        <v>27466</v>
      </c>
      <c r="T4349" t="s">
        <v>27466</v>
      </c>
      <c r="U4349">
        <v>3282</v>
      </c>
      <c r="V4349">
        <v>0</v>
      </c>
      <c r="W4349">
        <v>5</v>
      </c>
      <c r="X4349">
        <v>2004</v>
      </c>
      <c r="Z4349">
        <v>1</v>
      </c>
      <c r="AA4349" t="s">
        <v>26</v>
      </c>
      <c r="AB4349">
        <v>0</v>
      </c>
      <c r="AC4349" t="s">
        <v>115</v>
      </c>
      <c r="AD4349">
        <v>2</v>
      </c>
      <c r="AE4349" t="s">
        <v>115</v>
      </c>
      <c r="AF4349">
        <v>0</v>
      </c>
      <c r="AG4349">
        <v>0</v>
      </c>
      <c r="AH4349" t="s">
        <v>116</v>
      </c>
      <c r="AI4349" s="1">
        <v>174800</v>
      </c>
      <c r="AJ4349" s="2">
        <v>0.35</v>
      </c>
      <c r="AK4349" s="1">
        <v>504327</v>
      </c>
      <c r="AL4349" t="s">
        <v>117</v>
      </c>
      <c r="AM4349" t="s">
        <v>118</v>
      </c>
      <c r="AN4349">
        <v>10858</v>
      </c>
      <c r="AO4349">
        <v>0.25</v>
      </c>
      <c r="AP4349">
        <v>1</v>
      </c>
      <c r="AR4349">
        <v>1</v>
      </c>
      <c r="AS4349" s="1">
        <v>38210</v>
      </c>
      <c r="AT4349" s="1">
        <v>7640</v>
      </c>
      <c r="AU4349" s="1">
        <v>30570</v>
      </c>
      <c r="AV4349">
        <v>80.010000000000005</v>
      </c>
      <c r="AX4349" s="1">
        <v>3189.72</v>
      </c>
      <c r="AY4349" t="s">
        <v>6854</v>
      </c>
      <c r="AZ4349" t="s">
        <v>120</v>
      </c>
      <c r="BA4349" t="s">
        <v>274</v>
      </c>
      <c r="BE4349" s="3">
        <v>41927</v>
      </c>
      <c r="BF4349" s="1">
        <v>365000</v>
      </c>
      <c r="BG4349" t="s">
        <v>27467</v>
      </c>
      <c r="BH4349" s="1">
        <v>111.21</v>
      </c>
      <c r="BI4349" s="1">
        <v>329527</v>
      </c>
      <c r="BJ4349" s="3">
        <v>41927</v>
      </c>
      <c r="BK4349" t="s">
        <v>123</v>
      </c>
      <c r="BL4349" t="str">
        <f>"2014.683390"</f>
        <v>2014.683390</v>
      </c>
      <c r="BM4349" t="s">
        <v>27468</v>
      </c>
      <c r="BO4349" t="s">
        <v>27469</v>
      </c>
      <c r="BS4349">
        <v>30</v>
      </c>
      <c r="BW4349" t="str">
        <f>""</f>
        <v/>
      </c>
      <c r="CH4349" t="str">
        <f>""</f>
        <v/>
      </c>
      <c r="CS4349" t="str">
        <f>""</f>
        <v/>
      </c>
    </row>
    <row r="4350" spans="1:97" x14ac:dyDescent="0.25">
      <c r="A4350" t="s">
        <v>27470</v>
      </c>
      <c r="B4350" t="s">
        <v>1496</v>
      </c>
      <c r="C4350" t="s">
        <v>2530</v>
      </c>
      <c r="D4350" t="s">
        <v>1496</v>
      </c>
      <c r="E4350" t="s">
        <v>27471</v>
      </c>
      <c r="F4350" t="s">
        <v>108</v>
      </c>
      <c r="H4350" t="s">
        <v>27472</v>
      </c>
      <c r="I4350" t="s">
        <v>203</v>
      </c>
      <c r="J4350" t="s">
        <v>111</v>
      </c>
      <c r="K4350" t="str">
        <f>"85298"</f>
        <v>85298</v>
      </c>
      <c r="L4350" t="s">
        <v>681</v>
      </c>
      <c r="M4350" t="s">
        <v>27472</v>
      </c>
      <c r="N4350" t="s">
        <v>203</v>
      </c>
      <c r="O4350" t="s">
        <v>111</v>
      </c>
      <c r="P4350" t="str">
        <f>"85298-2224"</f>
        <v>85298-2224</v>
      </c>
      <c r="Q4350" t="s">
        <v>113</v>
      </c>
      <c r="R4350" t="str">
        <f>"304-71-677"</f>
        <v>304-71-677</v>
      </c>
      <c r="S4350" t="s">
        <v>9053</v>
      </c>
      <c r="T4350" t="s">
        <v>287</v>
      </c>
      <c r="U4350">
        <v>4317</v>
      </c>
      <c r="V4350">
        <v>0</v>
      </c>
      <c r="W4350">
        <v>5</v>
      </c>
      <c r="X4350">
        <v>2014</v>
      </c>
      <c r="Z4350">
        <v>2</v>
      </c>
      <c r="AA4350" t="s">
        <v>26</v>
      </c>
      <c r="AB4350">
        <v>0</v>
      </c>
      <c r="AC4350" t="s">
        <v>115</v>
      </c>
      <c r="AD4350">
        <v>3</v>
      </c>
      <c r="AE4350" t="s">
        <v>115</v>
      </c>
      <c r="AF4350">
        <v>0</v>
      </c>
      <c r="AG4350">
        <v>0</v>
      </c>
      <c r="AH4350" t="s">
        <v>116</v>
      </c>
      <c r="AI4350" s="1">
        <v>167096</v>
      </c>
      <c r="AJ4350" s="2">
        <v>0.28000000000000003</v>
      </c>
      <c r="AK4350" s="1">
        <v>599852</v>
      </c>
      <c r="AL4350" t="s">
        <v>117</v>
      </c>
      <c r="AM4350" t="s">
        <v>393</v>
      </c>
      <c r="AN4350">
        <v>9795</v>
      </c>
      <c r="AO4350">
        <v>0.22</v>
      </c>
      <c r="AR4350">
        <v>1</v>
      </c>
      <c r="AS4350" s="1">
        <v>42730</v>
      </c>
      <c r="AT4350" s="1">
        <v>7930</v>
      </c>
      <c r="AU4350" s="1">
        <v>34800</v>
      </c>
      <c r="AV4350">
        <v>81.44</v>
      </c>
      <c r="AX4350" s="1">
        <v>3605.98</v>
      </c>
      <c r="AY4350" t="s">
        <v>289</v>
      </c>
      <c r="AZ4350" t="s">
        <v>289</v>
      </c>
      <c r="BA4350" t="s">
        <v>290</v>
      </c>
      <c r="BE4350" s="3">
        <v>41726</v>
      </c>
      <c r="BF4350" s="1">
        <v>450000</v>
      </c>
      <c r="BG4350" t="s">
        <v>459</v>
      </c>
      <c r="BH4350" s="1">
        <v>104.24</v>
      </c>
      <c r="BI4350" s="1">
        <v>432756</v>
      </c>
      <c r="BJ4350" s="3">
        <v>42069</v>
      </c>
      <c r="BK4350" t="s">
        <v>123</v>
      </c>
      <c r="BL4350" t="str">
        <f>"2015.150668"</f>
        <v>2015.150668</v>
      </c>
      <c r="BM4350" t="s">
        <v>683</v>
      </c>
      <c r="BO4350" t="s">
        <v>27473</v>
      </c>
      <c r="BS4350">
        <v>30</v>
      </c>
      <c r="BW4350" t="str">
        <f>""</f>
        <v/>
      </c>
      <c r="CH4350" t="str">
        <f>""</f>
        <v/>
      </c>
      <c r="CS4350" t="str">
        <f>""</f>
        <v/>
      </c>
    </row>
    <row r="4351" spans="1:97" x14ac:dyDescent="0.25">
      <c r="B4351" t="s">
        <v>27474</v>
      </c>
      <c r="E4351" t="s">
        <v>27474</v>
      </c>
      <c r="F4351" t="s">
        <v>108</v>
      </c>
      <c r="H4351" t="s">
        <v>27475</v>
      </c>
      <c r="I4351" t="s">
        <v>203</v>
      </c>
      <c r="J4351" t="s">
        <v>111</v>
      </c>
      <c r="K4351" t="str">
        <f>"85298"</f>
        <v>85298</v>
      </c>
      <c r="L4351" t="s">
        <v>4326</v>
      </c>
      <c r="M4351" t="s">
        <v>27475</v>
      </c>
      <c r="N4351" t="s">
        <v>203</v>
      </c>
      <c r="O4351" t="s">
        <v>111</v>
      </c>
      <c r="P4351" t="str">
        <f>"85298-4629"</f>
        <v>85298-4629</v>
      </c>
      <c r="Q4351" t="s">
        <v>113</v>
      </c>
      <c r="R4351" t="str">
        <f>"313-06-778"</f>
        <v>313-06-778</v>
      </c>
      <c r="S4351" t="s">
        <v>27476</v>
      </c>
      <c r="U4351">
        <v>1604</v>
      </c>
      <c r="V4351">
        <v>0</v>
      </c>
      <c r="W4351">
        <v>3</v>
      </c>
      <c r="X4351">
        <v>2006</v>
      </c>
      <c r="Z4351">
        <v>1</v>
      </c>
      <c r="AA4351" t="s">
        <v>26</v>
      </c>
      <c r="AB4351">
        <v>0</v>
      </c>
      <c r="AC4351" t="s">
        <v>115</v>
      </c>
      <c r="AD4351">
        <v>2</v>
      </c>
      <c r="AE4351" t="s">
        <v>115</v>
      </c>
      <c r="AF4351">
        <v>0</v>
      </c>
      <c r="AG4351">
        <v>0</v>
      </c>
      <c r="AH4351" t="s">
        <v>116</v>
      </c>
      <c r="AI4351" s="1">
        <v>76415</v>
      </c>
      <c r="AJ4351" s="2">
        <v>0.21</v>
      </c>
      <c r="AK4351" s="1">
        <v>359904</v>
      </c>
      <c r="AL4351" t="s">
        <v>117</v>
      </c>
      <c r="AM4351" t="s">
        <v>191</v>
      </c>
      <c r="AN4351">
        <v>5669</v>
      </c>
      <c r="AO4351">
        <v>0.13</v>
      </c>
      <c r="AP4351">
        <v>1</v>
      </c>
      <c r="AR4351">
        <v>1</v>
      </c>
      <c r="AS4351" s="1">
        <v>24650</v>
      </c>
      <c r="AT4351" s="1">
        <v>4930</v>
      </c>
      <c r="AU4351" s="1">
        <v>19720</v>
      </c>
      <c r="AV4351">
        <v>80</v>
      </c>
      <c r="AX4351" s="1">
        <v>2581.3200000000002</v>
      </c>
      <c r="AY4351" t="s">
        <v>5792</v>
      </c>
      <c r="AZ4351" t="s">
        <v>5792</v>
      </c>
      <c r="BA4351" t="s">
        <v>290</v>
      </c>
      <c r="BB4351" s="3">
        <v>42313</v>
      </c>
      <c r="BD4351" t="s">
        <v>240</v>
      </c>
      <c r="BE4351" s="3">
        <v>42153</v>
      </c>
      <c r="BF4351" s="1">
        <v>294000</v>
      </c>
      <c r="BG4351" t="s">
        <v>27477</v>
      </c>
      <c r="BH4351" s="1">
        <v>183.29</v>
      </c>
      <c r="BI4351" s="1">
        <v>283489</v>
      </c>
      <c r="BJ4351" s="3">
        <v>42153</v>
      </c>
      <c r="BK4351" t="s">
        <v>123</v>
      </c>
      <c r="BL4351" t="str">
        <f>"2015.384559"</f>
        <v>2015.384559</v>
      </c>
      <c r="BM4351" t="s">
        <v>2716</v>
      </c>
      <c r="BO4351" t="s">
        <v>27478</v>
      </c>
      <c r="BS4351">
        <v>15</v>
      </c>
      <c r="BW4351" t="str">
        <f>""</f>
        <v/>
      </c>
      <c r="CH4351" t="str">
        <f>""</f>
        <v/>
      </c>
      <c r="CS4351" t="str">
        <f>""</f>
        <v/>
      </c>
    </row>
    <row r="4352" spans="1:97" x14ac:dyDescent="0.25">
      <c r="A4352" t="s">
        <v>7562</v>
      </c>
      <c r="B4352" t="s">
        <v>17966</v>
      </c>
      <c r="E4352" t="s">
        <v>27479</v>
      </c>
      <c r="F4352" t="s">
        <v>108</v>
      </c>
      <c r="H4352" t="s">
        <v>27480</v>
      </c>
      <c r="I4352" t="s">
        <v>1936</v>
      </c>
      <c r="J4352" t="s">
        <v>111</v>
      </c>
      <c r="K4352" t="str">
        <f>"85250"</f>
        <v>85250</v>
      </c>
      <c r="L4352" t="s">
        <v>9069</v>
      </c>
      <c r="M4352" t="s">
        <v>27480</v>
      </c>
      <c r="N4352" t="s">
        <v>1936</v>
      </c>
      <c r="O4352" t="s">
        <v>111</v>
      </c>
      <c r="P4352" t="str">
        <f>"85250-6535"</f>
        <v>85250-6535</v>
      </c>
      <c r="Q4352" t="s">
        <v>113</v>
      </c>
      <c r="R4352" t="str">
        <f>"173-03-329"</f>
        <v>173-03-329</v>
      </c>
      <c r="S4352" t="s">
        <v>27481</v>
      </c>
      <c r="T4352" t="s">
        <v>27482</v>
      </c>
      <c r="U4352">
        <v>1607</v>
      </c>
      <c r="V4352">
        <v>0</v>
      </c>
      <c r="W4352">
        <v>3</v>
      </c>
      <c r="X4352">
        <v>1979</v>
      </c>
      <c r="Z4352">
        <v>1</v>
      </c>
      <c r="AA4352" t="s">
        <v>26</v>
      </c>
      <c r="AB4352">
        <v>0</v>
      </c>
      <c r="AC4352" t="s">
        <v>115</v>
      </c>
      <c r="AD4352">
        <v>2</v>
      </c>
      <c r="AE4352" t="s">
        <v>115</v>
      </c>
      <c r="AF4352">
        <v>0</v>
      </c>
      <c r="AG4352">
        <v>0</v>
      </c>
      <c r="AH4352" t="s">
        <v>116</v>
      </c>
      <c r="AI4352" s="1">
        <v>124055</v>
      </c>
      <c r="AJ4352" s="2">
        <v>0.28000000000000003</v>
      </c>
      <c r="AK4352" s="1">
        <v>438905</v>
      </c>
      <c r="AL4352" t="s">
        <v>117</v>
      </c>
      <c r="AM4352" t="s">
        <v>393</v>
      </c>
      <c r="AN4352">
        <v>7237</v>
      </c>
      <c r="AO4352">
        <v>0.17</v>
      </c>
      <c r="AP4352">
        <v>1</v>
      </c>
      <c r="AR4352">
        <v>1</v>
      </c>
      <c r="AS4352" s="1">
        <v>30110</v>
      </c>
      <c r="AT4352" s="1">
        <v>6020</v>
      </c>
      <c r="AU4352" s="1">
        <v>24090</v>
      </c>
      <c r="AV4352">
        <v>80.010000000000005</v>
      </c>
      <c r="AX4352" s="1">
        <v>1760.26</v>
      </c>
      <c r="AY4352" t="s">
        <v>13022</v>
      </c>
      <c r="AZ4352" t="s">
        <v>6975</v>
      </c>
      <c r="BA4352" t="s">
        <v>6976</v>
      </c>
      <c r="BE4352" s="3">
        <v>41929</v>
      </c>
      <c r="BF4352" s="1">
        <v>359000</v>
      </c>
      <c r="BG4352" t="s">
        <v>27483</v>
      </c>
      <c r="BH4352" s="1">
        <v>223.4</v>
      </c>
      <c r="BI4352" s="1">
        <v>314850</v>
      </c>
      <c r="BJ4352" s="3">
        <v>41929</v>
      </c>
      <c r="BK4352" t="s">
        <v>123</v>
      </c>
      <c r="BL4352" t="str">
        <f>"2014.690611"</f>
        <v>2014.690611</v>
      </c>
      <c r="BM4352" t="s">
        <v>124</v>
      </c>
      <c r="BO4352" t="s">
        <v>27484</v>
      </c>
      <c r="BS4352">
        <v>30</v>
      </c>
      <c r="BW4352" t="str">
        <f>""</f>
        <v/>
      </c>
      <c r="CH4352" t="str">
        <f>""</f>
        <v/>
      </c>
      <c r="CS4352" t="str">
        <f>""</f>
        <v/>
      </c>
    </row>
    <row r="4353" spans="1:97" x14ac:dyDescent="0.25">
      <c r="A4353" t="s">
        <v>5771</v>
      </c>
      <c r="B4353" t="s">
        <v>27485</v>
      </c>
      <c r="C4353" t="s">
        <v>970</v>
      </c>
      <c r="D4353" t="s">
        <v>27485</v>
      </c>
      <c r="E4353" t="s">
        <v>27486</v>
      </c>
      <c r="F4353" t="s">
        <v>108</v>
      </c>
      <c r="H4353" t="s">
        <v>27487</v>
      </c>
      <c r="I4353" t="s">
        <v>203</v>
      </c>
      <c r="J4353" t="s">
        <v>111</v>
      </c>
      <c r="K4353" t="str">
        <f>"85296"</f>
        <v>85296</v>
      </c>
      <c r="L4353" t="s">
        <v>2197</v>
      </c>
      <c r="M4353" t="s">
        <v>27487</v>
      </c>
      <c r="N4353" t="s">
        <v>203</v>
      </c>
      <c r="O4353" t="s">
        <v>111</v>
      </c>
      <c r="P4353" t="str">
        <f>"85296-1621"</f>
        <v>85296-1621</v>
      </c>
      <c r="Q4353" t="s">
        <v>113</v>
      </c>
      <c r="R4353" t="str">
        <f>"309-12-198"</f>
        <v>309-12-198</v>
      </c>
      <c r="S4353" t="s">
        <v>19906</v>
      </c>
      <c r="T4353" t="s">
        <v>19906</v>
      </c>
      <c r="U4353">
        <v>3045</v>
      </c>
      <c r="V4353">
        <v>0</v>
      </c>
      <c r="W4353">
        <v>4</v>
      </c>
      <c r="X4353">
        <v>1997</v>
      </c>
      <c r="Z4353">
        <v>2</v>
      </c>
      <c r="AA4353" t="s">
        <v>26</v>
      </c>
      <c r="AB4353">
        <v>0</v>
      </c>
      <c r="AC4353" t="s">
        <v>115</v>
      </c>
      <c r="AD4353">
        <v>3</v>
      </c>
      <c r="AE4353" t="s">
        <v>115</v>
      </c>
      <c r="AF4353">
        <v>0</v>
      </c>
      <c r="AG4353">
        <v>0</v>
      </c>
      <c r="AH4353" t="s">
        <v>116</v>
      </c>
      <c r="AI4353" s="1">
        <v>76761</v>
      </c>
      <c r="AJ4353" s="2">
        <v>0.17</v>
      </c>
      <c r="AK4353" s="1">
        <v>445800</v>
      </c>
      <c r="AL4353" t="s">
        <v>117</v>
      </c>
      <c r="AM4353" t="s">
        <v>393</v>
      </c>
      <c r="AN4353">
        <v>7845</v>
      </c>
      <c r="AO4353">
        <v>0.18</v>
      </c>
      <c r="AP4353">
        <v>1</v>
      </c>
      <c r="AR4353">
        <v>1</v>
      </c>
      <c r="AS4353" s="1">
        <v>31210</v>
      </c>
      <c r="AT4353" s="1">
        <v>6240</v>
      </c>
      <c r="AU4353" s="1">
        <v>24970</v>
      </c>
      <c r="AV4353">
        <v>80.010000000000005</v>
      </c>
      <c r="AX4353" s="1">
        <v>2318.92</v>
      </c>
      <c r="AY4353" t="s">
        <v>5601</v>
      </c>
      <c r="AZ4353" t="s">
        <v>5478</v>
      </c>
      <c r="BA4353" t="s">
        <v>5033</v>
      </c>
      <c r="BE4353" s="3">
        <v>41726</v>
      </c>
      <c r="BF4353" s="1">
        <v>360000</v>
      </c>
      <c r="BG4353" t="s">
        <v>27488</v>
      </c>
      <c r="BH4353" s="1">
        <v>118.23</v>
      </c>
      <c r="BI4353" s="1">
        <v>369039</v>
      </c>
      <c r="BJ4353" s="3">
        <v>41985</v>
      </c>
      <c r="BK4353" t="s">
        <v>123</v>
      </c>
      <c r="BL4353" t="str">
        <f>"2014.817064"</f>
        <v>2014.817064</v>
      </c>
      <c r="BM4353" t="s">
        <v>1185</v>
      </c>
      <c r="BO4353" t="s">
        <v>27489</v>
      </c>
      <c r="BQ4353" t="str">
        <f>"3.7910%"</f>
        <v>3.7910%</v>
      </c>
      <c r="BS4353">
        <v>30</v>
      </c>
      <c r="BW4353" t="str">
        <f>""</f>
        <v/>
      </c>
      <c r="CH4353" t="str">
        <f>""</f>
        <v/>
      </c>
      <c r="CS4353" t="str">
        <f>""</f>
        <v/>
      </c>
    </row>
    <row r="4354" spans="1:97" x14ac:dyDescent="0.25">
      <c r="A4354" t="s">
        <v>996</v>
      </c>
      <c r="B4354" t="s">
        <v>802</v>
      </c>
      <c r="E4354" t="s">
        <v>27490</v>
      </c>
      <c r="F4354" t="s">
        <v>108</v>
      </c>
      <c r="H4354" t="s">
        <v>27491</v>
      </c>
      <c r="I4354" t="s">
        <v>390</v>
      </c>
      <c r="J4354" t="s">
        <v>111</v>
      </c>
      <c r="K4354" t="str">
        <f>"85044"</f>
        <v>85044</v>
      </c>
      <c r="L4354" t="s">
        <v>8034</v>
      </c>
      <c r="M4354" t="s">
        <v>27491</v>
      </c>
      <c r="N4354" t="s">
        <v>390</v>
      </c>
      <c r="O4354" t="s">
        <v>111</v>
      </c>
      <c r="P4354" t="str">
        <f>"85044-1545"</f>
        <v>85044-1545</v>
      </c>
      <c r="Q4354" t="s">
        <v>113</v>
      </c>
      <c r="R4354" t="str">
        <f>"301-55-479"</f>
        <v>301-55-479</v>
      </c>
      <c r="S4354" t="s">
        <v>27492</v>
      </c>
      <c r="T4354" t="s">
        <v>27493</v>
      </c>
      <c r="U4354">
        <v>1150</v>
      </c>
      <c r="V4354">
        <v>0</v>
      </c>
      <c r="W4354">
        <v>2</v>
      </c>
      <c r="X4354">
        <v>1978</v>
      </c>
      <c r="Z4354">
        <v>1</v>
      </c>
      <c r="AB4354">
        <v>0</v>
      </c>
      <c r="AC4354" t="s">
        <v>115</v>
      </c>
      <c r="AD4354">
        <v>2</v>
      </c>
      <c r="AE4354" t="s">
        <v>115</v>
      </c>
      <c r="AF4354">
        <v>0</v>
      </c>
      <c r="AG4354">
        <v>0</v>
      </c>
      <c r="AH4354" t="s">
        <v>116</v>
      </c>
      <c r="AI4354" s="1">
        <v>30345</v>
      </c>
      <c r="AJ4354" s="2">
        <v>0.11</v>
      </c>
      <c r="AK4354" s="1">
        <v>266695</v>
      </c>
      <c r="AL4354" t="s">
        <v>117</v>
      </c>
      <c r="AM4354" t="s">
        <v>191</v>
      </c>
      <c r="AN4354">
        <v>7497</v>
      </c>
      <c r="AO4354">
        <v>0.17</v>
      </c>
      <c r="AP4354">
        <v>1</v>
      </c>
      <c r="AR4354">
        <v>1</v>
      </c>
      <c r="AS4354" s="1">
        <v>17810</v>
      </c>
      <c r="AT4354" s="1">
        <v>3560</v>
      </c>
      <c r="AU4354" s="1">
        <v>14250</v>
      </c>
      <c r="AV4354">
        <v>80.010000000000005</v>
      </c>
      <c r="AX4354" s="1">
        <v>1419.58</v>
      </c>
      <c r="AY4354" t="s">
        <v>11872</v>
      </c>
      <c r="AZ4354" t="s">
        <v>7255</v>
      </c>
      <c r="BA4354" t="s">
        <v>5328</v>
      </c>
      <c r="BE4354" s="3">
        <v>42479</v>
      </c>
      <c r="BF4354" s="1">
        <v>228800</v>
      </c>
      <c r="BG4354" t="s">
        <v>27494</v>
      </c>
      <c r="BH4354" s="1">
        <v>198.96</v>
      </c>
      <c r="BI4354" s="1">
        <v>236350</v>
      </c>
      <c r="BJ4354" s="3">
        <v>42479</v>
      </c>
      <c r="BK4354" t="s">
        <v>123</v>
      </c>
      <c r="BL4354" t="str">
        <f>"2016.259267"</f>
        <v>2016.259267</v>
      </c>
      <c r="BM4354" t="s">
        <v>5867</v>
      </c>
      <c r="BO4354" t="s">
        <v>27495</v>
      </c>
      <c r="BS4354">
        <v>30</v>
      </c>
      <c r="BW4354" t="str">
        <f>""</f>
        <v/>
      </c>
      <c r="CH4354" t="str">
        <f>""</f>
        <v/>
      </c>
      <c r="CS4354" t="str">
        <f>""</f>
        <v/>
      </c>
    </row>
    <row r="4355" spans="1:97" x14ac:dyDescent="0.25">
      <c r="A4355" t="s">
        <v>9193</v>
      </c>
      <c r="B4355" t="s">
        <v>27496</v>
      </c>
      <c r="E4355" t="s">
        <v>27497</v>
      </c>
      <c r="F4355" t="s">
        <v>108</v>
      </c>
      <c r="H4355" t="s">
        <v>27498</v>
      </c>
      <c r="I4355" t="s">
        <v>632</v>
      </c>
      <c r="J4355" t="s">
        <v>111</v>
      </c>
      <c r="K4355" t="str">
        <f>"85379"</f>
        <v>85379</v>
      </c>
      <c r="L4355" t="s">
        <v>269</v>
      </c>
      <c r="M4355" t="s">
        <v>27498</v>
      </c>
      <c r="N4355" t="s">
        <v>632</v>
      </c>
      <c r="O4355" t="s">
        <v>111</v>
      </c>
      <c r="P4355" t="str">
        <f>"85379-4693"</f>
        <v>85379-4693</v>
      </c>
      <c r="Q4355" t="s">
        <v>113</v>
      </c>
      <c r="R4355" t="str">
        <f>"501-40-444"</f>
        <v>501-40-444</v>
      </c>
      <c r="S4355" t="s">
        <v>27499</v>
      </c>
      <c r="U4355">
        <v>2439</v>
      </c>
      <c r="V4355">
        <v>0</v>
      </c>
      <c r="W4355">
        <v>3</v>
      </c>
      <c r="X4355">
        <v>2005</v>
      </c>
      <c r="Z4355">
        <v>1</v>
      </c>
      <c r="AA4355" t="s">
        <v>26</v>
      </c>
      <c r="AB4355">
        <v>0</v>
      </c>
      <c r="AC4355" t="s">
        <v>115</v>
      </c>
      <c r="AD4355">
        <v>3</v>
      </c>
      <c r="AE4355" t="s">
        <v>115</v>
      </c>
      <c r="AF4355">
        <v>0</v>
      </c>
      <c r="AG4355">
        <v>0</v>
      </c>
      <c r="AH4355" t="s">
        <v>116</v>
      </c>
      <c r="AI4355" s="1">
        <v>121700</v>
      </c>
      <c r="AJ4355" s="2">
        <v>0.37</v>
      </c>
      <c r="AK4355" s="1">
        <v>332818</v>
      </c>
      <c r="AL4355" t="s">
        <v>117</v>
      </c>
      <c r="AM4355" t="s">
        <v>118</v>
      </c>
      <c r="AN4355">
        <v>9495</v>
      </c>
      <c r="AO4355">
        <v>0.22</v>
      </c>
      <c r="AR4355">
        <v>1</v>
      </c>
      <c r="AS4355" s="1">
        <v>24960</v>
      </c>
      <c r="AT4355" s="1">
        <v>4990</v>
      </c>
      <c r="AU4355" s="1">
        <v>19970</v>
      </c>
      <c r="AV4355">
        <v>80.010000000000005</v>
      </c>
      <c r="AX4355" s="1">
        <v>1776.92</v>
      </c>
      <c r="AY4355" t="s">
        <v>5060</v>
      </c>
      <c r="AZ4355" t="s">
        <v>5060</v>
      </c>
      <c r="BA4355" t="s">
        <v>5061</v>
      </c>
      <c r="BE4355" s="3">
        <v>41899</v>
      </c>
      <c r="BF4355" s="1">
        <v>219999</v>
      </c>
      <c r="BG4355" t="s">
        <v>27500</v>
      </c>
      <c r="BH4355" s="1">
        <v>90.2</v>
      </c>
      <c r="BI4355" s="1">
        <v>211118</v>
      </c>
      <c r="BJ4355" s="3">
        <v>41899</v>
      </c>
      <c r="BK4355" t="s">
        <v>123</v>
      </c>
      <c r="BL4355" t="str">
        <f>"2014.615774"</f>
        <v>2014.615774</v>
      </c>
      <c r="BM4355" t="s">
        <v>135</v>
      </c>
      <c r="BO4355" t="s">
        <v>27501</v>
      </c>
      <c r="BS4355">
        <v>30</v>
      </c>
      <c r="BW4355" t="str">
        <f>""</f>
        <v/>
      </c>
      <c r="CH4355" t="str">
        <f>""</f>
        <v/>
      </c>
      <c r="CS4355" t="str">
        <f>""</f>
        <v/>
      </c>
    </row>
    <row r="4356" spans="1:97" x14ac:dyDescent="0.25">
      <c r="A4356" t="s">
        <v>1850</v>
      </c>
      <c r="B4356" t="s">
        <v>27502</v>
      </c>
      <c r="C4356" t="s">
        <v>4714</v>
      </c>
      <c r="D4356" t="s">
        <v>27502</v>
      </c>
      <c r="E4356" t="s">
        <v>27503</v>
      </c>
      <c r="F4356" t="s">
        <v>108</v>
      </c>
      <c r="H4356" t="s">
        <v>27504</v>
      </c>
      <c r="I4356" t="s">
        <v>188</v>
      </c>
      <c r="J4356" t="s">
        <v>111</v>
      </c>
      <c r="K4356" t="str">
        <f>"85142"</f>
        <v>85142</v>
      </c>
      <c r="L4356" t="s">
        <v>5910</v>
      </c>
      <c r="M4356" t="s">
        <v>27504</v>
      </c>
      <c r="N4356" t="s">
        <v>188</v>
      </c>
      <c r="O4356" t="s">
        <v>111</v>
      </c>
      <c r="P4356" t="str">
        <f>"85142-6459"</f>
        <v>85142-6459</v>
      </c>
      <c r="Q4356" t="s">
        <v>113</v>
      </c>
      <c r="R4356" t="str">
        <f>"314-04-045"</f>
        <v>314-04-045</v>
      </c>
      <c r="S4356" t="s">
        <v>17040</v>
      </c>
      <c r="U4356">
        <v>3859</v>
      </c>
      <c r="V4356">
        <v>0</v>
      </c>
      <c r="W4356">
        <v>4</v>
      </c>
      <c r="X4356">
        <v>2006</v>
      </c>
      <c r="Z4356">
        <v>2</v>
      </c>
      <c r="AA4356" t="s">
        <v>26</v>
      </c>
      <c r="AB4356">
        <v>0</v>
      </c>
      <c r="AC4356" t="s">
        <v>115</v>
      </c>
      <c r="AD4356">
        <v>3</v>
      </c>
      <c r="AE4356" t="s">
        <v>115</v>
      </c>
      <c r="AF4356">
        <v>0</v>
      </c>
      <c r="AG4356">
        <v>0</v>
      </c>
      <c r="AH4356" t="s">
        <v>116</v>
      </c>
      <c r="AI4356" s="1">
        <v>80012</v>
      </c>
      <c r="AJ4356" s="2">
        <v>0.16</v>
      </c>
      <c r="AK4356" s="1">
        <v>498377</v>
      </c>
      <c r="AL4356" t="s">
        <v>117</v>
      </c>
      <c r="AM4356" t="s">
        <v>5791</v>
      </c>
      <c r="AN4356">
        <v>11752</v>
      </c>
      <c r="AO4356">
        <v>0.27</v>
      </c>
      <c r="AR4356">
        <v>1</v>
      </c>
      <c r="AS4356" s="1">
        <v>35330</v>
      </c>
      <c r="AT4356" s="1">
        <v>7060</v>
      </c>
      <c r="AU4356" s="1">
        <v>28270</v>
      </c>
      <c r="AV4356">
        <v>80.02</v>
      </c>
      <c r="AX4356" s="1">
        <v>3623.92</v>
      </c>
      <c r="AY4356" t="s">
        <v>5792</v>
      </c>
      <c r="AZ4356" t="s">
        <v>5792</v>
      </c>
      <c r="BA4356" t="s">
        <v>290</v>
      </c>
      <c r="BE4356" s="3">
        <v>42503</v>
      </c>
      <c r="BF4356" s="1">
        <v>405000</v>
      </c>
      <c r="BG4356" t="s">
        <v>27505</v>
      </c>
      <c r="BH4356" s="1">
        <v>104.95</v>
      </c>
      <c r="BI4356" s="1">
        <v>418365</v>
      </c>
      <c r="BJ4356" s="3">
        <v>42503</v>
      </c>
      <c r="BK4356" t="s">
        <v>123</v>
      </c>
      <c r="BL4356" t="str">
        <f>"2016.329710"</f>
        <v>2016.329710</v>
      </c>
      <c r="BM4356" t="s">
        <v>5534</v>
      </c>
      <c r="BO4356" t="s">
        <v>27506</v>
      </c>
      <c r="BS4356">
        <v>30</v>
      </c>
      <c r="BW4356" t="str">
        <f>""</f>
        <v/>
      </c>
      <c r="CH4356" t="str">
        <f>""</f>
        <v/>
      </c>
      <c r="CS4356" t="str">
        <f>""</f>
        <v/>
      </c>
    </row>
    <row r="4357" spans="1:97" x14ac:dyDescent="0.25">
      <c r="A4357" t="s">
        <v>6753</v>
      </c>
      <c r="B4357" t="s">
        <v>832</v>
      </c>
      <c r="C4357" t="s">
        <v>1496</v>
      </c>
      <c r="D4357" t="s">
        <v>832</v>
      </c>
      <c r="E4357" t="s">
        <v>27507</v>
      </c>
      <c r="F4357" t="s">
        <v>139</v>
      </c>
      <c r="H4357" t="s">
        <v>27508</v>
      </c>
      <c r="I4357" t="s">
        <v>6844</v>
      </c>
      <c r="J4357" t="s">
        <v>111</v>
      </c>
      <c r="K4357" t="str">
        <f>"85361"</f>
        <v>85361</v>
      </c>
      <c r="L4357" t="s">
        <v>3758</v>
      </c>
      <c r="M4357" t="s">
        <v>27509</v>
      </c>
      <c r="N4357" t="s">
        <v>6844</v>
      </c>
      <c r="O4357" t="s">
        <v>111</v>
      </c>
      <c r="P4357" t="str">
        <f>"85361"</f>
        <v>85361</v>
      </c>
      <c r="Q4357" t="s">
        <v>113</v>
      </c>
      <c r="R4357" t="str">
        <f>"503-35-040"</f>
        <v>503-35-040</v>
      </c>
      <c r="S4357" t="s">
        <v>27510</v>
      </c>
      <c r="T4357" t="s">
        <v>27511</v>
      </c>
      <c r="U4357">
        <v>2972</v>
      </c>
      <c r="V4357">
        <v>0</v>
      </c>
      <c r="W4357">
        <v>4</v>
      </c>
      <c r="X4357">
        <v>2014</v>
      </c>
      <c r="Z4357">
        <v>1</v>
      </c>
      <c r="AB4357">
        <v>0</v>
      </c>
      <c r="AC4357" t="s">
        <v>115</v>
      </c>
      <c r="AD4357">
        <v>3</v>
      </c>
      <c r="AE4357" t="s">
        <v>115</v>
      </c>
      <c r="AF4357">
        <v>0</v>
      </c>
      <c r="AG4357">
        <v>0</v>
      </c>
      <c r="AH4357" t="s">
        <v>116</v>
      </c>
      <c r="AI4357" s="1">
        <v>97305</v>
      </c>
      <c r="AJ4357" s="2">
        <v>0.21</v>
      </c>
      <c r="AK4357" s="1">
        <v>456605</v>
      </c>
      <c r="AL4357" t="s">
        <v>117</v>
      </c>
      <c r="AM4357" t="s">
        <v>376</v>
      </c>
      <c r="AN4357">
        <v>43778</v>
      </c>
      <c r="AO4357">
        <v>1</v>
      </c>
      <c r="AR4357">
        <v>1</v>
      </c>
      <c r="AS4357" s="1">
        <v>38200</v>
      </c>
      <c r="AT4357" s="1">
        <v>7640</v>
      </c>
      <c r="AU4357" s="1">
        <v>30560</v>
      </c>
      <c r="AV4357">
        <v>80</v>
      </c>
      <c r="AX4357" s="1">
        <v>2033.94</v>
      </c>
      <c r="AY4357" t="s">
        <v>6847</v>
      </c>
      <c r="AZ4357" t="s">
        <v>6847</v>
      </c>
      <c r="BE4357" s="3">
        <v>41667</v>
      </c>
      <c r="BF4357" s="1">
        <v>392100</v>
      </c>
      <c r="BG4357" t="s">
        <v>27512</v>
      </c>
      <c r="BH4357" s="1">
        <v>131.93</v>
      </c>
      <c r="BI4357" s="1">
        <v>359300</v>
      </c>
      <c r="BJ4357" s="3">
        <v>42866</v>
      </c>
      <c r="BK4357" t="s">
        <v>123</v>
      </c>
      <c r="BL4357" t="str">
        <f>"2017.341682"</f>
        <v>2017.341682</v>
      </c>
      <c r="BM4357" t="s">
        <v>1837</v>
      </c>
      <c r="BO4357" t="s">
        <v>27513</v>
      </c>
      <c r="BS4357">
        <v>30</v>
      </c>
      <c r="BW4357" t="str">
        <f>""</f>
        <v/>
      </c>
      <c r="CH4357" t="str">
        <f>""</f>
        <v/>
      </c>
      <c r="CS4357" t="str">
        <f>""</f>
        <v/>
      </c>
    </row>
    <row r="4358" spans="1:97" x14ac:dyDescent="0.25">
      <c r="A4358" t="s">
        <v>1009</v>
      </c>
      <c r="B4358" t="s">
        <v>603</v>
      </c>
      <c r="C4358" t="s">
        <v>27514</v>
      </c>
      <c r="D4358" t="s">
        <v>603</v>
      </c>
      <c r="E4358" t="s">
        <v>27515</v>
      </c>
      <c r="F4358" t="s">
        <v>108</v>
      </c>
      <c r="H4358" t="s">
        <v>27516</v>
      </c>
      <c r="I4358" t="s">
        <v>390</v>
      </c>
      <c r="J4358" t="s">
        <v>111</v>
      </c>
      <c r="K4358" t="str">
        <f>"85086"</f>
        <v>85086</v>
      </c>
      <c r="L4358" t="s">
        <v>1383</v>
      </c>
      <c r="M4358" t="s">
        <v>27516</v>
      </c>
      <c r="N4358" t="s">
        <v>390</v>
      </c>
      <c r="O4358" t="s">
        <v>111</v>
      </c>
      <c r="P4358" t="str">
        <f>"85086-2234"</f>
        <v>85086-2234</v>
      </c>
      <c r="Q4358" t="s">
        <v>113</v>
      </c>
      <c r="R4358" t="str">
        <f>"203-26-631"</f>
        <v>203-26-631</v>
      </c>
      <c r="S4358" t="s">
        <v>27517</v>
      </c>
      <c r="U4358">
        <v>2061</v>
      </c>
      <c r="V4358">
        <v>0</v>
      </c>
      <c r="W4358">
        <v>3</v>
      </c>
      <c r="X4358">
        <v>2005</v>
      </c>
      <c r="Z4358">
        <v>1</v>
      </c>
      <c r="AB4358">
        <v>0</v>
      </c>
      <c r="AC4358" t="s">
        <v>115</v>
      </c>
      <c r="AD4358">
        <v>3</v>
      </c>
      <c r="AE4358" t="s">
        <v>115</v>
      </c>
      <c r="AF4358">
        <v>0</v>
      </c>
      <c r="AG4358">
        <v>0</v>
      </c>
      <c r="AH4358" t="s">
        <v>116</v>
      </c>
      <c r="AI4358" s="1">
        <v>69944</v>
      </c>
      <c r="AJ4358" s="2">
        <v>0.21</v>
      </c>
      <c r="AK4358" s="1">
        <v>340844</v>
      </c>
      <c r="AL4358" t="s">
        <v>117</v>
      </c>
      <c r="AM4358" t="s">
        <v>171</v>
      </c>
      <c r="AN4358">
        <v>6600</v>
      </c>
      <c r="AO4358">
        <v>0.15</v>
      </c>
      <c r="AR4358">
        <v>1</v>
      </c>
      <c r="AS4358" s="1">
        <v>24880</v>
      </c>
      <c r="AT4358" s="1">
        <v>4970</v>
      </c>
      <c r="AU4358" s="1">
        <v>19910</v>
      </c>
      <c r="AV4358">
        <v>80.02</v>
      </c>
      <c r="AX4358" s="1">
        <v>2332.4</v>
      </c>
      <c r="AY4358" t="s">
        <v>8639</v>
      </c>
      <c r="AZ4358" t="s">
        <v>8639</v>
      </c>
      <c r="BA4358" t="s">
        <v>378</v>
      </c>
      <c r="BE4358" s="3">
        <v>42423</v>
      </c>
      <c r="BF4358" s="1">
        <v>301000</v>
      </c>
      <c r="BG4358" t="s">
        <v>27518</v>
      </c>
      <c r="BH4358" s="1">
        <v>146.05000000000001</v>
      </c>
      <c r="BI4358" s="1">
        <v>270900</v>
      </c>
      <c r="BJ4358" s="3">
        <v>42423</v>
      </c>
      <c r="BK4358" t="s">
        <v>123</v>
      </c>
      <c r="BL4358" t="str">
        <f>"2016.113264"</f>
        <v>2016.113264</v>
      </c>
      <c r="BM4358" t="s">
        <v>724</v>
      </c>
      <c r="BO4358" t="s">
        <v>27519</v>
      </c>
      <c r="BP4358" t="s">
        <v>27520</v>
      </c>
      <c r="BS4358">
        <v>30</v>
      </c>
      <c r="BW4358" t="str">
        <f>""</f>
        <v/>
      </c>
      <c r="CH4358" t="str">
        <f>""</f>
        <v/>
      </c>
      <c r="CS4358" t="str">
        <f>""</f>
        <v/>
      </c>
    </row>
    <row r="4359" spans="1:97" x14ac:dyDescent="0.25">
      <c r="A4359" t="s">
        <v>15678</v>
      </c>
      <c r="B4359" t="s">
        <v>12316</v>
      </c>
      <c r="C4359" t="s">
        <v>1047</v>
      </c>
      <c r="D4359" t="s">
        <v>12316</v>
      </c>
      <c r="E4359" t="s">
        <v>27521</v>
      </c>
      <c r="F4359" t="s">
        <v>108</v>
      </c>
      <c r="H4359" t="s">
        <v>27522</v>
      </c>
      <c r="I4359" t="s">
        <v>225</v>
      </c>
      <c r="J4359" t="s">
        <v>111</v>
      </c>
      <c r="K4359" t="str">
        <f>"85212"</f>
        <v>85212</v>
      </c>
      <c r="L4359" t="s">
        <v>5239</v>
      </c>
      <c r="M4359" t="s">
        <v>27522</v>
      </c>
      <c r="N4359" t="s">
        <v>225</v>
      </c>
      <c r="O4359" t="s">
        <v>111</v>
      </c>
      <c r="P4359" t="str">
        <f>"85212-7107"</f>
        <v>85212-7107</v>
      </c>
      <c r="Q4359" t="s">
        <v>113</v>
      </c>
      <c r="R4359" t="str">
        <f>"312-14-550"</f>
        <v>312-14-550</v>
      </c>
      <c r="S4359" t="s">
        <v>8852</v>
      </c>
      <c r="T4359" t="s">
        <v>8853</v>
      </c>
      <c r="U4359">
        <v>3115</v>
      </c>
      <c r="V4359">
        <v>0</v>
      </c>
      <c r="W4359">
        <v>4</v>
      </c>
      <c r="X4359">
        <v>2006</v>
      </c>
      <c r="Z4359">
        <v>2</v>
      </c>
      <c r="AA4359" t="s">
        <v>26</v>
      </c>
      <c r="AB4359">
        <v>0</v>
      </c>
      <c r="AC4359" t="s">
        <v>115</v>
      </c>
      <c r="AD4359">
        <v>2</v>
      </c>
      <c r="AE4359" t="s">
        <v>115</v>
      </c>
      <c r="AF4359">
        <v>0</v>
      </c>
      <c r="AG4359">
        <v>0</v>
      </c>
      <c r="AH4359" t="s">
        <v>116</v>
      </c>
      <c r="AI4359" s="1">
        <v>75136</v>
      </c>
      <c r="AJ4359" s="2">
        <v>0.2</v>
      </c>
      <c r="AK4359" s="1">
        <v>376636</v>
      </c>
      <c r="AL4359" t="s">
        <v>117</v>
      </c>
      <c r="AM4359" t="s">
        <v>191</v>
      </c>
      <c r="AN4359">
        <v>7548</v>
      </c>
      <c r="AO4359">
        <v>0.17</v>
      </c>
      <c r="AR4359">
        <v>1</v>
      </c>
      <c r="AS4359" s="1">
        <v>26960</v>
      </c>
      <c r="AT4359" s="1">
        <v>5390</v>
      </c>
      <c r="AU4359" s="1">
        <v>21570</v>
      </c>
      <c r="AV4359">
        <v>80.010000000000005</v>
      </c>
      <c r="AX4359" s="1">
        <v>2399.86</v>
      </c>
      <c r="AY4359" t="s">
        <v>560</v>
      </c>
      <c r="AZ4359" t="s">
        <v>561</v>
      </c>
      <c r="BA4359" t="s">
        <v>194</v>
      </c>
      <c r="BE4359" s="3">
        <v>42432</v>
      </c>
      <c r="BF4359" s="1">
        <v>276500</v>
      </c>
      <c r="BG4359" t="s">
        <v>27523</v>
      </c>
      <c r="BH4359" s="1">
        <v>88.76</v>
      </c>
      <c r="BI4359" s="1">
        <v>276500</v>
      </c>
      <c r="BJ4359" s="3">
        <v>42432</v>
      </c>
      <c r="BK4359" t="s">
        <v>123</v>
      </c>
      <c r="BL4359" t="str">
        <f>"2016.137514"</f>
        <v>2016.137514</v>
      </c>
      <c r="BM4359" t="s">
        <v>11327</v>
      </c>
      <c r="BN4359" t="s">
        <v>7229</v>
      </c>
      <c r="BO4359" t="s">
        <v>27524</v>
      </c>
      <c r="BS4359">
        <v>30</v>
      </c>
      <c r="BT4359" s="1">
        <v>25000</v>
      </c>
      <c r="BU4359" s="3">
        <v>43137</v>
      </c>
      <c r="BW4359" t="str">
        <f>"2018.91080"</f>
        <v>2018.91080</v>
      </c>
      <c r="BX4359" t="s">
        <v>1227</v>
      </c>
      <c r="BY4359" t="s">
        <v>739</v>
      </c>
      <c r="BZ4359" t="s">
        <v>27525</v>
      </c>
      <c r="CA4359" t="s">
        <v>27526</v>
      </c>
      <c r="CC4359" t="s">
        <v>346</v>
      </c>
      <c r="CH4359" t="str">
        <f>""</f>
        <v/>
      </c>
      <c r="CS4359" t="str">
        <f>""</f>
        <v/>
      </c>
    </row>
    <row r="4360" spans="1:97" x14ac:dyDescent="0.25">
      <c r="A4360" t="s">
        <v>177</v>
      </c>
      <c r="B4360" t="s">
        <v>27527</v>
      </c>
      <c r="C4360" t="s">
        <v>25345</v>
      </c>
      <c r="D4360" t="s">
        <v>27527</v>
      </c>
      <c r="E4360" t="s">
        <v>27528</v>
      </c>
      <c r="F4360" t="s">
        <v>108</v>
      </c>
      <c r="H4360" t="s">
        <v>27529</v>
      </c>
      <c r="I4360" t="s">
        <v>453</v>
      </c>
      <c r="J4360" t="s">
        <v>111</v>
      </c>
      <c r="K4360" t="str">
        <f>"85383"</f>
        <v>85383</v>
      </c>
      <c r="L4360" t="s">
        <v>7235</v>
      </c>
      <c r="M4360" t="s">
        <v>27529</v>
      </c>
      <c r="N4360" t="s">
        <v>453</v>
      </c>
      <c r="O4360" t="s">
        <v>111</v>
      </c>
      <c r="P4360" t="str">
        <f>"85383-3515"</f>
        <v>85383-3515</v>
      </c>
      <c r="Q4360" t="s">
        <v>113</v>
      </c>
      <c r="R4360" t="str">
        <f>"503-54-165"</f>
        <v>503-54-165</v>
      </c>
      <c r="S4360" t="s">
        <v>8217</v>
      </c>
      <c r="T4360" t="s">
        <v>7237</v>
      </c>
      <c r="U4360">
        <v>2299</v>
      </c>
      <c r="V4360">
        <v>0</v>
      </c>
      <c r="W4360">
        <v>4</v>
      </c>
      <c r="X4360">
        <v>2016</v>
      </c>
      <c r="Z4360">
        <v>1</v>
      </c>
      <c r="AB4360">
        <v>0</v>
      </c>
      <c r="AC4360" t="s">
        <v>115</v>
      </c>
      <c r="AD4360">
        <v>2</v>
      </c>
      <c r="AE4360" t="s">
        <v>115</v>
      </c>
      <c r="AF4360">
        <v>0</v>
      </c>
      <c r="AG4360">
        <v>0</v>
      </c>
      <c r="AH4360" t="s">
        <v>116</v>
      </c>
      <c r="AI4360" s="1">
        <v>59291</v>
      </c>
      <c r="AJ4360" s="2">
        <v>0.17</v>
      </c>
      <c r="AK4360" s="1">
        <v>348041</v>
      </c>
      <c r="AL4360" t="s">
        <v>117</v>
      </c>
      <c r="AM4360" t="s">
        <v>191</v>
      </c>
      <c r="AN4360">
        <v>7516</v>
      </c>
      <c r="AO4360">
        <v>0.17</v>
      </c>
      <c r="AR4360">
        <v>1</v>
      </c>
      <c r="AS4360" s="1">
        <v>24460</v>
      </c>
      <c r="AT4360" s="1">
        <v>4890</v>
      </c>
      <c r="AU4360" s="1">
        <v>19570</v>
      </c>
      <c r="AV4360">
        <v>80.010000000000005</v>
      </c>
      <c r="AX4360" s="1">
        <v>2676.26</v>
      </c>
      <c r="AY4360" t="s">
        <v>456</v>
      </c>
      <c r="AZ4360" t="s">
        <v>456</v>
      </c>
      <c r="BA4360" t="s">
        <v>457</v>
      </c>
      <c r="BE4360" s="3">
        <v>42549</v>
      </c>
      <c r="BF4360" s="1">
        <v>277990</v>
      </c>
      <c r="BG4360" t="s">
        <v>195</v>
      </c>
      <c r="BH4360" s="1">
        <v>120.92</v>
      </c>
      <c r="BI4360" s="1">
        <v>288750</v>
      </c>
      <c r="BJ4360" s="3">
        <v>42656</v>
      </c>
      <c r="BK4360" t="s">
        <v>123</v>
      </c>
      <c r="BL4360" t="str">
        <f>"2016.751633"</f>
        <v>2016.751633</v>
      </c>
      <c r="BM4360" t="s">
        <v>248</v>
      </c>
      <c r="BO4360" t="s">
        <v>27530</v>
      </c>
      <c r="BS4360">
        <v>30</v>
      </c>
      <c r="BW4360" t="str">
        <f>""</f>
        <v/>
      </c>
      <c r="CH4360" t="str">
        <f>""</f>
        <v/>
      </c>
      <c r="CS4360" t="str">
        <f>""</f>
        <v/>
      </c>
    </row>
    <row r="4361" spans="1:97" x14ac:dyDescent="0.25">
      <c r="A4361" t="s">
        <v>1344</v>
      </c>
      <c r="B4361" t="s">
        <v>4045</v>
      </c>
      <c r="C4361" t="s">
        <v>2761</v>
      </c>
      <c r="D4361" t="s">
        <v>4045</v>
      </c>
      <c r="E4361" t="s">
        <v>27531</v>
      </c>
      <c r="F4361" t="s">
        <v>108</v>
      </c>
      <c r="H4361" t="s">
        <v>27532</v>
      </c>
      <c r="I4361" t="s">
        <v>390</v>
      </c>
      <c r="J4361" t="s">
        <v>111</v>
      </c>
      <c r="K4361" t="str">
        <f>"85044"</f>
        <v>85044</v>
      </c>
      <c r="L4361" t="s">
        <v>8345</v>
      </c>
      <c r="M4361" t="s">
        <v>27532</v>
      </c>
      <c r="N4361" t="s">
        <v>390</v>
      </c>
      <c r="O4361" t="s">
        <v>111</v>
      </c>
      <c r="P4361" t="str">
        <f>"85044-3331"</f>
        <v>85044-3331</v>
      </c>
      <c r="Q4361" t="s">
        <v>113</v>
      </c>
      <c r="R4361" t="str">
        <f>"301-59-253"</f>
        <v>301-59-253</v>
      </c>
      <c r="S4361" t="s">
        <v>20086</v>
      </c>
      <c r="U4361">
        <v>1670</v>
      </c>
      <c r="V4361">
        <v>0</v>
      </c>
      <c r="W4361">
        <v>2</v>
      </c>
      <c r="X4361">
        <v>1983</v>
      </c>
      <c r="Z4361">
        <v>1</v>
      </c>
      <c r="AA4361" t="s">
        <v>26</v>
      </c>
      <c r="AB4361">
        <v>0</v>
      </c>
      <c r="AC4361" t="s">
        <v>115</v>
      </c>
      <c r="AD4361">
        <v>2</v>
      </c>
      <c r="AE4361" t="s">
        <v>115</v>
      </c>
      <c r="AF4361">
        <v>0</v>
      </c>
      <c r="AG4361">
        <v>0</v>
      </c>
      <c r="AH4361" t="s">
        <v>116</v>
      </c>
      <c r="AI4361" s="1">
        <v>43127</v>
      </c>
      <c r="AJ4361" s="2">
        <v>0.14000000000000001</v>
      </c>
      <c r="AK4361" s="1">
        <v>312467</v>
      </c>
      <c r="AL4361" t="s">
        <v>117</v>
      </c>
      <c r="AM4361" t="s">
        <v>191</v>
      </c>
      <c r="AN4361">
        <v>6804</v>
      </c>
      <c r="AO4361">
        <v>0.16</v>
      </c>
      <c r="AP4361">
        <v>1</v>
      </c>
      <c r="AR4361">
        <v>1</v>
      </c>
      <c r="AS4361" s="1">
        <v>22330</v>
      </c>
      <c r="AT4361" s="1">
        <v>4460</v>
      </c>
      <c r="AU4361" s="1">
        <v>17870</v>
      </c>
      <c r="AV4361">
        <v>80.03</v>
      </c>
      <c r="AX4361" s="1">
        <v>1785.3</v>
      </c>
      <c r="AY4361" t="s">
        <v>11872</v>
      </c>
      <c r="AZ4361" t="s">
        <v>7255</v>
      </c>
      <c r="BA4361" t="s">
        <v>5328</v>
      </c>
      <c r="BE4361" s="3">
        <v>42551</v>
      </c>
      <c r="BF4361" s="1">
        <v>272000</v>
      </c>
      <c r="BG4361" t="s">
        <v>27533</v>
      </c>
      <c r="BH4361" s="1">
        <v>162.87</v>
      </c>
      <c r="BI4361" s="1">
        <v>269340</v>
      </c>
      <c r="BJ4361" s="3">
        <v>42905</v>
      </c>
      <c r="BK4361" t="s">
        <v>123</v>
      </c>
      <c r="BL4361" t="str">
        <f>"2017.444950"</f>
        <v>2017.444950</v>
      </c>
      <c r="BM4361" t="s">
        <v>8621</v>
      </c>
      <c r="BO4361" t="s">
        <v>27534</v>
      </c>
      <c r="BS4361">
        <v>30</v>
      </c>
      <c r="BW4361" t="str">
        <f>""</f>
        <v/>
      </c>
      <c r="CH4361" t="str">
        <f>""</f>
        <v/>
      </c>
      <c r="CS4361" t="str">
        <f>""</f>
        <v/>
      </c>
    </row>
    <row r="4362" spans="1:97" x14ac:dyDescent="0.25">
      <c r="B4362" t="s">
        <v>27535</v>
      </c>
      <c r="E4362" t="s">
        <v>27536</v>
      </c>
      <c r="F4362" t="s">
        <v>282</v>
      </c>
      <c r="H4362" t="s">
        <v>27537</v>
      </c>
      <c r="I4362" t="s">
        <v>390</v>
      </c>
      <c r="J4362" t="s">
        <v>111</v>
      </c>
      <c r="K4362" t="str">
        <f>"85044"</f>
        <v>85044</v>
      </c>
      <c r="L4362" t="s">
        <v>2875</v>
      </c>
      <c r="M4362" t="s">
        <v>27538</v>
      </c>
      <c r="N4362" t="s">
        <v>27539</v>
      </c>
      <c r="O4362" t="s">
        <v>111</v>
      </c>
      <c r="P4362" t="str">
        <f>"86314-6703"</f>
        <v>86314-6703</v>
      </c>
      <c r="Q4362" t="s">
        <v>113</v>
      </c>
      <c r="R4362" t="str">
        <f>"301-41-262"</f>
        <v>301-41-262</v>
      </c>
      <c r="S4362" t="s">
        <v>24217</v>
      </c>
      <c r="T4362" t="s">
        <v>21946</v>
      </c>
      <c r="U4362">
        <v>1297</v>
      </c>
      <c r="V4362">
        <v>0</v>
      </c>
      <c r="W4362">
        <v>2</v>
      </c>
      <c r="X4362">
        <v>1981</v>
      </c>
      <c r="Z4362">
        <v>1</v>
      </c>
      <c r="AA4362" t="s">
        <v>26</v>
      </c>
      <c r="AB4362">
        <v>0</v>
      </c>
      <c r="AC4362" t="s">
        <v>115</v>
      </c>
      <c r="AD4362">
        <v>2</v>
      </c>
      <c r="AE4362" t="s">
        <v>115</v>
      </c>
      <c r="AF4362">
        <v>0</v>
      </c>
      <c r="AG4362">
        <v>0</v>
      </c>
      <c r="AH4362" t="s">
        <v>116</v>
      </c>
      <c r="AI4362" s="1">
        <v>64395</v>
      </c>
      <c r="AJ4362" s="2">
        <v>0.22</v>
      </c>
      <c r="AK4362" s="1">
        <v>296257</v>
      </c>
      <c r="AL4362" t="s">
        <v>117</v>
      </c>
      <c r="AM4362" t="s">
        <v>191</v>
      </c>
      <c r="AN4362">
        <v>7815</v>
      </c>
      <c r="AO4362">
        <v>0.18</v>
      </c>
      <c r="AP4362">
        <v>1</v>
      </c>
      <c r="AR4362">
        <v>1</v>
      </c>
      <c r="AS4362" s="1">
        <v>19920</v>
      </c>
      <c r="AT4362" s="1">
        <v>3980</v>
      </c>
      <c r="AU4362" s="1">
        <v>15940</v>
      </c>
      <c r="AV4362">
        <v>80.02</v>
      </c>
      <c r="AX4362" s="1">
        <v>1728.86</v>
      </c>
      <c r="AY4362" t="s">
        <v>11872</v>
      </c>
      <c r="AZ4362" t="s">
        <v>7255</v>
      </c>
      <c r="BA4362" t="s">
        <v>5328</v>
      </c>
      <c r="BB4362" s="3">
        <v>43767</v>
      </c>
      <c r="BC4362" s="1">
        <v>0</v>
      </c>
      <c r="BD4362" t="s">
        <v>247</v>
      </c>
      <c r="BE4362" s="3">
        <v>42186</v>
      </c>
      <c r="BF4362" s="1">
        <v>255500</v>
      </c>
      <c r="BG4362" t="s">
        <v>27540</v>
      </c>
      <c r="BH4362" s="1">
        <v>196.99</v>
      </c>
      <c r="BI4362" s="1">
        <v>231862</v>
      </c>
      <c r="BJ4362" s="3">
        <v>42186</v>
      </c>
      <c r="BK4362" t="s">
        <v>123</v>
      </c>
      <c r="BL4362" t="str">
        <f>"2015.476726"</f>
        <v>2015.476726</v>
      </c>
      <c r="BM4362" t="s">
        <v>594</v>
      </c>
      <c r="BN4362" t="s">
        <v>595</v>
      </c>
      <c r="BO4362" t="s">
        <v>27541</v>
      </c>
      <c r="BS4362">
        <v>30</v>
      </c>
      <c r="BW4362" t="str">
        <f>""</f>
        <v/>
      </c>
      <c r="CH4362" t="str">
        <f>""</f>
        <v/>
      </c>
      <c r="CS4362" t="str">
        <f>""</f>
        <v/>
      </c>
    </row>
    <row r="4363" spans="1:97" x14ac:dyDescent="0.25">
      <c r="A4363" t="s">
        <v>996</v>
      </c>
      <c r="B4363" t="s">
        <v>7113</v>
      </c>
      <c r="E4363" t="s">
        <v>27542</v>
      </c>
      <c r="F4363" t="s">
        <v>108</v>
      </c>
      <c r="H4363" t="s">
        <v>27543</v>
      </c>
      <c r="I4363" t="s">
        <v>5523</v>
      </c>
      <c r="J4363" t="s">
        <v>111</v>
      </c>
      <c r="K4363" t="str">
        <f>"85373"</f>
        <v>85373</v>
      </c>
      <c r="L4363" t="s">
        <v>6996</v>
      </c>
      <c r="M4363" t="s">
        <v>27543</v>
      </c>
      <c r="N4363" t="s">
        <v>5523</v>
      </c>
      <c r="O4363" t="s">
        <v>111</v>
      </c>
      <c r="P4363" t="str">
        <f>"85373-2133"</f>
        <v>85373-2133</v>
      </c>
      <c r="Q4363" t="s">
        <v>113</v>
      </c>
      <c r="R4363" t="str">
        <f>"230-07-361"</f>
        <v>230-07-361</v>
      </c>
      <c r="S4363" t="s">
        <v>13447</v>
      </c>
      <c r="U4363">
        <v>1934</v>
      </c>
      <c r="V4363">
        <v>0</v>
      </c>
      <c r="W4363">
        <v>2</v>
      </c>
      <c r="X4363">
        <v>1978</v>
      </c>
      <c r="Z4363">
        <v>1</v>
      </c>
      <c r="AB4363">
        <v>0</v>
      </c>
      <c r="AC4363" t="s">
        <v>115</v>
      </c>
      <c r="AD4363">
        <v>2</v>
      </c>
      <c r="AE4363" t="s">
        <v>115</v>
      </c>
      <c r="AF4363">
        <v>0</v>
      </c>
      <c r="AG4363">
        <v>0</v>
      </c>
      <c r="AH4363" t="s">
        <v>116</v>
      </c>
      <c r="AI4363" s="1">
        <v>46719</v>
      </c>
      <c r="AJ4363" s="2">
        <v>0.18</v>
      </c>
      <c r="AK4363" s="1">
        <v>263649</v>
      </c>
      <c r="AL4363" t="s">
        <v>117</v>
      </c>
      <c r="AM4363" t="s">
        <v>191</v>
      </c>
      <c r="AN4363">
        <v>7875</v>
      </c>
      <c r="AO4363">
        <v>0.18</v>
      </c>
      <c r="AP4363">
        <v>1</v>
      </c>
      <c r="AR4363">
        <v>1</v>
      </c>
      <c r="AS4363" s="1">
        <v>16720</v>
      </c>
      <c r="AT4363" s="1">
        <v>3340</v>
      </c>
      <c r="AU4363" s="1">
        <v>13380</v>
      </c>
      <c r="AV4363">
        <v>80.02</v>
      </c>
      <c r="AX4363" s="1">
        <v>1155.48</v>
      </c>
      <c r="AY4363" t="s">
        <v>4520</v>
      </c>
      <c r="AZ4363" t="s">
        <v>4520</v>
      </c>
      <c r="BA4363" t="s">
        <v>3360</v>
      </c>
      <c r="BE4363" s="3">
        <v>42083</v>
      </c>
      <c r="BF4363" s="1">
        <v>210000</v>
      </c>
      <c r="BG4363" t="s">
        <v>27544</v>
      </c>
      <c r="BH4363" s="1">
        <v>108.58</v>
      </c>
      <c r="BI4363" s="1">
        <v>216930</v>
      </c>
      <c r="BJ4363" s="3">
        <v>42083</v>
      </c>
      <c r="BK4363" t="s">
        <v>123</v>
      </c>
      <c r="BL4363" t="str">
        <f>"2015.187766"</f>
        <v>2015.187766</v>
      </c>
      <c r="BM4363" t="s">
        <v>3810</v>
      </c>
      <c r="BO4363" t="s">
        <v>27545</v>
      </c>
      <c r="BS4363">
        <v>30</v>
      </c>
      <c r="BW4363" t="str">
        <f>""</f>
        <v/>
      </c>
      <c r="CH4363" t="str">
        <f>""</f>
        <v/>
      </c>
      <c r="CS4363" t="str">
        <f>""</f>
        <v/>
      </c>
    </row>
    <row r="4364" spans="1:97" x14ac:dyDescent="0.25">
      <c r="A4364" t="s">
        <v>27546</v>
      </c>
      <c r="B4364" t="s">
        <v>27547</v>
      </c>
      <c r="E4364" t="s">
        <v>27548</v>
      </c>
      <c r="F4364" t="s">
        <v>108</v>
      </c>
      <c r="H4364" t="s">
        <v>27549</v>
      </c>
      <c r="I4364" t="s">
        <v>225</v>
      </c>
      <c r="J4364" t="s">
        <v>111</v>
      </c>
      <c r="K4364" t="str">
        <f>"85205"</f>
        <v>85205</v>
      </c>
      <c r="L4364" t="s">
        <v>24265</v>
      </c>
      <c r="M4364" t="s">
        <v>27549</v>
      </c>
      <c r="N4364" t="s">
        <v>225</v>
      </c>
      <c r="O4364" t="s">
        <v>111</v>
      </c>
      <c r="P4364" t="str">
        <f>"85205-4128"</f>
        <v>85205-4128</v>
      </c>
      <c r="Q4364" t="s">
        <v>113</v>
      </c>
      <c r="R4364" t="str">
        <f>"141-72-048"</f>
        <v>141-72-048</v>
      </c>
      <c r="S4364" t="s">
        <v>27550</v>
      </c>
      <c r="T4364" t="s">
        <v>27551</v>
      </c>
      <c r="U4364">
        <v>2831</v>
      </c>
      <c r="V4364">
        <v>0</v>
      </c>
      <c r="W4364">
        <v>3</v>
      </c>
      <c r="X4364">
        <v>1987</v>
      </c>
      <c r="Z4364">
        <v>1</v>
      </c>
      <c r="AB4364">
        <v>0</v>
      </c>
      <c r="AC4364" t="s">
        <v>115</v>
      </c>
      <c r="AD4364">
        <v>3</v>
      </c>
      <c r="AE4364" t="s">
        <v>115</v>
      </c>
      <c r="AF4364">
        <v>0</v>
      </c>
      <c r="AG4364">
        <v>0</v>
      </c>
      <c r="AH4364" t="s">
        <v>116</v>
      </c>
      <c r="AI4364" s="1">
        <v>75668</v>
      </c>
      <c r="AJ4364" s="2">
        <v>0.21</v>
      </c>
      <c r="AK4364" s="1">
        <v>354474</v>
      </c>
      <c r="AL4364" t="s">
        <v>117</v>
      </c>
      <c r="AM4364" t="s">
        <v>917</v>
      </c>
      <c r="AN4364">
        <v>14045</v>
      </c>
      <c r="AO4364">
        <v>0.32</v>
      </c>
      <c r="AP4364">
        <v>1</v>
      </c>
      <c r="AR4364">
        <v>1</v>
      </c>
      <c r="AS4364" s="1">
        <v>25620</v>
      </c>
      <c r="AT4364" s="1">
        <v>5120</v>
      </c>
      <c r="AU4364" s="1">
        <v>20500</v>
      </c>
      <c r="AV4364">
        <v>80.02</v>
      </c>
      <c r="AX4364" s="1">
        <v>2193.46</v>
      </c>
      <c r="AY4364" t="s">
        <v>6044</v>
      </c>
      <c r="AZ4364" t="s">
        <v>5275</v>
      </c>
      <c r="BA4364" t="s">
        <v>3119</v>
      </c>
      <c r="BE4364" s="3">
        <v>42360</v>
      </c>
      <c r="BF4364" s="1">
        <v>269900</v>
      </c>
      <c r="BG4364" t="s">
        <v>27552</v>
      </c>
      <c r="BH4364" s="1">
        <v>95.34</v>
      </c>
      <c r="BI4364" s="1">
        <v>278806</v>
      </c>
      <c r="BJ4364" s="3">
        <v>42360</v>
      </c>
      <c r="BK4364" t="s">
        <v>123</v>
      </c>
      <c r="BL4364" t="str">
        <f>"2015.903596"</f>
        <v>2015.903596</v>
      </c>
      <c r="BM4364" t="s">
        <v>21778</v>
      </c>
      <c r="BO4364" t="s">
        <v>27553</v>
      </c>
      <c r="BS4364">
        <v>30</v>
      </c>
      <c r="BW4364" t="str">
        <f>""</f>
        <v/>
      </c>
      <c r="CH4364" t="str">
        <f>""</f>
        <v/>
      </c>
      <c r="CS4364" t="str">
        <f>""</f>
        <v/>
      </c>
    </row>
    <row r="4365" spans="1:97" x14ac:dyDescent="0.25">
      <c r="A4365" t="s">
        <v>1898</v>
      </c>
      <c r="B4365" t="s">
        <v>27554</v>
      </c>
      <c r="C4365" t="s">
        <v>2261</v>
      </c>
      <c r="D4365" t="s">
        <v>27554</v>
      </c>
      <c r="E4365" t="s">
        <v>27555</v>
      </c>
      <c r="F4365" t="s">
        <v>108</v>
      </c>
      <c r="H4365" t="s">
        <v>27556</v>
      </c>
      <c r="I4365" t="s">
        <v>453</v>
      </c>
      <c r="J4365" t="s">
        <v>111</v>
      </c>
      <c r="K4365" t="str">
        <f>"85383"</f>
        <v>85383</v>
      </c>
      <c r="L4365" t="s">
        <v>558</v>
      </c>
      <c r="M4365" t="s">
        <v>27556</v>
      </c>
      <c r="N4365" t="s">
        <v>453</v>
      </c>
      <c r="O4365" t="s">
        <v>111</v>
      </c>
      <c r="P4365" t="str">
        <f>"85383-1721"</f>
        <v>85383-1721</v>
      </c>
      <c r="Q4365" t="s">
        <v>113</v>
      </c>
      <c r="R4365" t="str">
        <f>"200-10-251"</f>
        <v>200-10-251</v>
      </c>
      <c r="S4365" t="s">
        <v>21097</v>
      </c>
      <c r="T4365" t="s">
        <v>18331</v>
      </c>
      <c r="U4365">
        <v>1587</v>
      </c>
      <c r="V4365">
        <v>0</v>
      </c>
      <c r="W4365">
        <v>2</v>
      </c>
      <c r="X4365">
        <v>1999</v>
      </c>
      <c r="Z4365">
        <v>1</v>
      </c>
      <c r="AB4365">
        <v>0</v>
      </c>
      <c r="AC4365" t="s">
        <v>115</v>
      </c>
      <c r="AD4365">
        <v>2</v>
      </c>
      <c r="AE4365" t="s">
        <v>115</v>
      </c>
      <c r="AF4365">
        <v>0</v>
      </c>
      <c r="AG4365">
        <v>0</v>
      </c>
      <c r="AH4365" t="s">
        <v>116</v>
      </c>
      <c r="AI4365" s="1">
        <v>58798</v>
      </c>
      <c r="AJ4365" s="2">
        <v>0.22</v>
      </c>
      <c r="AK4365" s="1">
        <v>263798</v>
      </c>
      <c r="AL4365" t="s">
        <v>117</v>
      </c>
      <c r="AM4365" t="s">
        <v>191</v>
      </c>
      <c r="AN4365">
        <v>8000</v>
      </c>
      <c r="AO4365">
        <v>0.18</v>
      </c>
      <c r="AP4365">
        <v>1</v>
      </c>
      <c r="AR4365">
        <v>1</v>
      </c>
      <c r="AS4365" s="1">
        <v>18060</v>
      </c>
      <c r="AT4365" s="1">
        <v>3610</v>
      </c>
      <c r="AU4365" s="1">
        <v>14450</v>
      </c>
      <c r="AV4365">
        <v>80.010000000000005</v>
      </c>
      <c r="AX4365" s="1">
        <v>1366.9</v>
      </c>
      <c r="AY4365" t="s">
        <v>3228</v>
      </c>
      <c r="AZ4365" t="s">
        <v>3228</v>
      </c>
      <c r="BA4365" t="s">
        <v>457</v>
      </c>
      <c r="BB4365" s="3">
        <v>42466</v>
      </c>
      <c r="BD4365" t="s">
        <v>842</v>
      </c>
      <c r="BE4365" s="3">
        <v>42436</v>
      </c>
      <c r="BF4365" s="1">
        <v>205000</v>
      </c>
      <c r="BG4365" t="s">
        <v>27557</v>
      </c>
      <c r="BH4365" s="1">
        <v>129.16999999999999</v>
      </c>
      <c r="BI4365" s="1">
        <v>205000</v>
      </c>
      <c r="BJ4365" s="3">
        <v>42436</v>
      </c>
      <c r="BK4365" t="s">
        <v>123</v>
      </c>
      <c r="BL4365" t="str">
        <f>"2016.144671"</f>
        <v>2016.144671</v>
      </c>
      <c r="BM4365" t="s">
        <v>135</v>
      </c>
      <c r="BO4365" t="s">
        <v>27558</v>
      </c>
      <c r="BS4365">
        <v>30</v>
      </c>
      <c r="BW4365" t="str">
        <f>""</f>
        <v/>
      </c>
      <c r="CH4365" t="str">
        <f>""</f>
        <v/>
      </c>
      <c r="CS4365" t="str">
        <f>""</f>
        <v/>
      </c>
    </row>
    <row r="4366" spans="1:97" x14ac:dyDescent="0.25">
      <c r="A4366" t="s">
        <v>1009</v>
      </c>
      <c r="B4366" t="s">
        <v>27559</v>
      </c>
      <c r="C4366" t="s">
        <v>852</v>
      </c>
      <c r="D4366" t="s">
        <v>27559</v>
      </c>
      <c r="E4366" t="s">
        <v>27560</v>
      </c>
      <c r="F4366" t="s">
        <v>108</v>
      </c>
      <c r="H4366" t="s">
        <v>27561</v>
      </c>
      <c r="I4366" t="s">
        <v>390</v>
      </c>
      <c r="J4366" t="s">
        <v>111</v>
      </c>
      <c r="K4366" t="str">
        <f>"85014"</f>
        <v>85014</v>
      </c>
      <c r="L4366" t="s">
        <v>1658</v>
      </c>
      <c r="M4366" t="s">
        <v>27561</v>
      </c>
      <c r="N4366" t="s">
        <v>390</v>
      </c>
      <c r="O4366" t="s">
        <v>111</v>
      </c>
      <c r="P4366" t="str">
        <f>"85014-1405"</f>
        <v>85014-1405</v>
      </c>
      <c r="Q4366" t="s">
        <v>113</v>
      </c>
      <c r="R4366" t="str">
        <f>"161-07-048"</f>
        <v>161-07-048</v>
      </c>
      <c r="S4366" t="s">
        <v>27562</v>
      </c>
      <c r="T4366" t="s">
        <v>27562</v>
      </c>
      <c r="U4366">
        <v>2929</v>
      </c>
      <c r="V4366">
        <v>0</v>
      </c>
      <c r="W4366">
        <v>3</v>
      </c>
      <c r="X4366">
        <v>1958</v>
      </c>
      <c r="Z4366">
        <v>1</v>
      </c>
      <c r="AB4366">
        <v>0</v>
      </c>
      <c r="AC4366" t="s">
        <v>115</v>
      </c>
      <c r="AD4366">
        <v>2</v>
      </c>
      <c r="AE4366" t="s">
        <v>115</v>
      </c>
      <c r="AF4366">
        <v>0</v>
      </c>
      <c r="AG4366">
        <v>0</v>
      </c>
      <c r="AH4366" t="s">
        <v>116</v>
      </c>
      <c r="AI4366" s="1">
        <v>121199</v>
      </c>
      <c r="AJ4366" s="2">
        <v>0.23</v>
      </c>
      <c r="AK4366" s="1">
        <v>528901</v>
      </c>
      <c r="AL4366" t="s">
        <v>117</v>
      </c>
      <c r="AM4366" t="s">
        <v>191</v>
      </c>
      <c r="AN4366">
        <v>11378</v>
      </c>
      <c r="AO4366">
        <v>0.26</v>
      </c>
      <c r="AP4366">
        <v>1</v>
      </c>
      <c r="AR4366">
        <v>1</v>
      </c>
      <c r="AS4366" s="1">
        <v>38100</v>
      </c>
      <c r="AT4366" s="1">
        <v>7620</v>
      </c>
      <c r="AU4366" s="1">
        <v>30480</v>
      </c>
      <c r="AV4366">
        <v>80</v>
      </c>
      <c r="AX4366" s="1">
        <v>3907.98</v>
      </c>
      <c r="AY4366" t="s">
        <v>5734</v>
      </c>
      <c r="AZ4366" t="s">
        <v>5735</v>
      </c>
      <c r="BA4366" t="s">
        <v>5469</v>
      </c>
      <c r="BE4366" s="3">
        <v>42002</v>
      </c>
      <c r="BF4366" s="1">
        <v>335000</v>
      </c>
      <c r="BG4366" t="s">
        <v>27563</v>
      </c>
      <c r="BH4366" s="1">
        <v>114.37</v>
      </c>
      <c r="BI4366" s="1">
        <v>342202</v>
      </c>
      <c r="BJ4366" s="3">
        <v>42002</v>
      </c>
      <c r="BK4366" t="s">
        <v>123</v>
      </c>
      <c r="BL4366" t="str">
        <f>"2014.853103"</f>
        <v>2014.853103</v>
      </c>
      <c r="BM4366" t="s">
        <v>724</v>
      </c>
      <c r="BO4366" t="s">
        <v>27564</v>
      </c>
      <c r="BS4366">
        <v>30</v>
      </c>
      <c r="BT4366" s="1">
        <v>65500</v>
      </c>
      <c r="BU4366" s="3">
        <v>43056</v>
      </c>
      <c r="BW4366" t="str">
        <f>"2017.858298"</f>
        <v>2017.858298</v>
      </c>
      <c r="BX4366" t="s">
        <v>135</v>
      </c>
      <c r="BZ4366" t="s">
        <v>27565</v>
      </c>
      <c r="CD4366">
        <v>10</v>
      </c>
      <c r="CH4366" t="str">
        <f>""</f>
        <v/>
      </c>
      <c r="CS4366" t="str">
        <f>""</f>
        <v/>
      </c>
    </row>
    <row r="4367" spans="1:97" x14ac:dyDescent="0.25">
      <c r="A4367" t="s">
        <v>177</v>
      </c>
      <c r="B4367" t="s">
        <v>27566</v>
      </c>
      <c r="C4367" t="s">
        <v>976</v>
      </c>
      <c r="D4367" t="s">
        <v>27566</v>
      </c>
      <c r="E4367" t="s">
        <v>27567</v>
      </c>
      <c r="F4367" t="s">
        <v>108</v>
      </c>
      <c r="H4367" t="s">
        <v>27568</v>
      </c>
      <c r="I4367" t="s">
        <v>5551</v>
      </c>
      <c r="J4367" t="s">
        <v>111</v>
      </c>
      <c r="K4367" t="str">
        <f>"85248"</f>
        <v>85248</v>
      </c>
      <c r="L4367" t="s">
        <v>5775</v>
      </c>
      <c r="M4367" t="s">
        <v>27568</v>
      </c>
      <c r="N4367" t="s">
        <v>5551</v>
      </c>
      <c r="O4367" t="s">
        <v>111</v>
      </c>
      <c r="P4367" t="str">
        <f>"85248-6515"</f>
        <v>85248-6515</v>
      </c>
      <c r="Q4367" t="s">
        <v>113</v>
      </c>
      <c r="R4367" t="str">
        <f>"303-65-350"</f>
        <v>303-65-350</v>
      </c>
      <c r="S4367" t="s">
        <v>27569</v>
      </c>
      <c r="U4367">
        <v>1625</v>
      </c>
      <c r="V4367">
        <v>0</v>
      </c>
      <c r="W4367">
        <v>2</v>
      </c>
      <c r="X4367">
        <v>1979</v>
      </c>
      <c r="Z4367">
        <v>1</v>
      </c>
      <c r="AB4367">
        <v>0</v>
      </c>
      <c r="AC4367" t="s">
        <v>5188</v>
      </c>
      <c r="AD4367">
        <v>2</v>
      </c>
      <c r="AE4367" t="s">
        <v>5188</v>
      </c>
      <c r="AF4367">
        <v>0</v>
      </c>
      <c r="AG4367">
        <v>0</v>
      </c>
      <c r="AH4367" t="s">
        <v>116</v>
      </c>
      <c r="AI4367" s="1">
        <v>59808</v>
      </c>
      <c r="AJ4367" s="2">
        <v>0.22</v>
      </c>
      <c r="AK4367" s="1">
        <v>265891</v>
      </c>
      <c r="AL4367" t="s">
        <v>117</v>
      </c>
      <c r="AM4367" t="s">
        <v>191</v>
      </c>
      <c r="AN4367">
        <v>7902</v>
      </c>
      <c r="AO4367">
        <v>0.18</v>
      </c>
      <c r="AP4367">
        <v>1</v>
      </c>
      <c r="AR4367">
        <v>1</v>
      </c>
      <c r="AS4367" s="1">
        <v>17330</v>
      </c>
      <c r="AT4367" s="1">
        <v>3460</v>
      </c>
      <c r="AU4367" s="1">
        <v>13870</v>
      </c>
      <c r="AV4367">
        <v>80.03</v>
      </c>
      <c r="AX4367" s="1">
        <v>1801.42</v>
      </c>
      <c r="AY4367" t="s">
        <v>1881</v>
      </c>
      <c r="AZ4367" t="s">
        <v>1882</v>
      </c>
      <c r="BA4367" t="s">
        <v>121</v>
      </c>
      <c r="BE4367" s="3">
        <v>42299</v>
      </c>
      <c r="BF4367" s="1">
        <v>200000</v>
      </c>
      <c r="BG4367" t="s">
        <v>27570</v>
      </c>
      <c r="BH4367" s="1">
        <v>123.08</v>
      </c>
      <c r="BI4367" s="1">
        <v>206083</v>
      </c>
      <c r="BJ4367" s="3">
        <v>42299</v>
      </c>
      <c r="BK4367" t="s">
        <v>123</v>
      </c>
      <c r="BL4367" t="str">
        <f>"2015.760810"</f>
        <v>2015.760810</v>
      </c>
      <c r="BM4367" t="s">
        <v>2683</v>
      </c>
      <c r="BO4367" t="s">
        <v>27571</v>
      </c>
      <c r="BS4367">
        <v>30</v>
      </c>
      <c r="BW4367" t="str">
        <f>""</f>
        <v/>
      </c>
      <c r="CH4367" t="str">
        <f>""</f>
        <v/>
      </c>
      <c r="CS4367" t="str">
        <f>""</f>
        <v/>
      </c>
    </row>
    <row r="4368" spans="1:97" x14ac:dyDescent="0.25">
      <c r="A4368" t="s">
        <v>1876</v>
      </c>
      <c r="B4368" t="s">
        <v>1577</v>
      </c>
      <c r="E4368" t="s">
        <v>27572</v>
      </c>
      <c r="F4368" t="s">
        <v>108</v>
      </c>
      <c r="H4368" t="s">
        <v>27573</v>
      </c>
      <c r="I4368" t="s">
        <v>167</v>
      </c>
      <c r="J4368" t="s">
        <v>111</v>
      </c>
      <c r="K4368" t="str">
        <f>"85339"</f>
        <v>85339</v>
      </c>
      <c r="L4368" t="s">
        <v>316</v>
      </c>
      <c r="M4368" t="s">
        <v>27573</v>
      </c>
      <c r="N4368" t="s">
        <v>167</v>
      </c>
      <c r="O4368" t="s">
        <v>111</v>
      </c>
      <c r="P4368" t="str">
        <f>"85339-2287"</f>
        <v>85339-2287</v>
      </c>
      <c r="Q4368" t="s">
        <v>113</v>
      </c>
      <c r="R4368" t="str">
        <f>"104-91-062"</f>
        <v>104-91-062</v>
      </c>
      <c r="S4368" t="s">
        <v>6639</v>
      </c>
      <c r="T4368" t="s">
        <v>6640</v>
      </c>
      <c r="U4368">
        <v>2260</v>
      </c>
      <c r="V4368">
        <v>0</v>
      </c>
      <c r="W4368">
        <v>4</v>
      </c>
      <c r="X4368">
        <v>2004</v>
      </c>
      <c r="Z4368">
        <v>2</v>
      </c>
      <c r="AB4368">
        <v>0</v>
      </c>
      <c r="AC4368" t="s">
        <v>115</v>
      </c>
      <c r="AD4368">
        <v>2</v>
      </c>
      <c r="AE4368" t="s">
        <v>115</v>
      </c>
      <c r="AF4368">
        <v>0</v>
      </c>
      <c r="AG4368">
        <v>0</v>
      </c>
      <c r="AH4368" t="s">
        <v>116</v>
      </c>
      <c r="AI4368" s="1">
        <v>69389</v>
      </c>
      <c r="AJ4368" s="2">
        <v>0.25</v>
      </c>
      <c r="AK4368" s="1">
        <v>278796</v>
      </c>
      <c r="AL4368" t="s">
        <v>117</v>
      </c>
      <c r="AM4368" t="s">
        <v>171</v>
      </c>
      <c r="AN4368">
        <v>6177</v>
      </c>
      <c r="AO4368">
        <v>0.14000000000000001</v>
      </c>
      <c r="AP4368">
        <v>1</v>
      </c>
      <c r="AR4368">
        <v>1</v>
      </c>
      <c r="AS4368" s="1">
        <v>19780</v>
      </c>
      <c r="AT4368" s="1">
        <v>3950</v>
      </c>
      <c r="AU4368" s="1">
        <v>15830</v>
      </c>
      <c r="AV4368">
        <v>80.03</v>
      </c>
      <c r="AX4368" s="1">
        <v>2431.66</v>
      </c>
      <c r="AY4368" t="s">
        <v>805</v>
      </c>
      <c r="AZ4368" t="s">
        <v>806</v>
      </c>
      <c r="BA4368" t="s">
        <v>173</v>
      </c>
      <c r="BE4368" s="3">
        <v>42135</v>
      </c>
      <c r="BF4368" s="1">
        <v>205000</v>
      </c>
      <c r="BG4368" t="s">
        <v>27574</v>
      </c>
      <c r="BH4368" s="1">
        <v>90.71</v>
      </c>
      <c r="BI4368" s="1">
        <v>209407</v>
      </c>
      <c r="BJ4368" s="3">
        <v>42135</v>
      </c>
      <c r="BK4368" t="s">
        <v>123</v>
      </c>
      <c r="BL4368" t="str">
        <f>"2015.329933"</f>
        <v>2015.329933</v>
      </c>
      <c r="BM4368" t="s">
        <v>150</v>
      </c>
      <c r="BO4368" t="s">
        <v>27575</v>
      </c>
      <c r="BS4368">
        <v>30</v>
      </c>
      <c r="BW4368" t="str">
        <f>""</f>
        <v/>
      </c>
      <c r="CH4368" t="str">
        <f>""</f>
        <v/>
      </c>
      <c r="CS4368" t="str">
        <f>""</f>
        <v/>
      </c>
    </row>
    <row r="4369" spans="1:97" x14ac:dyDescent="0.25">
      <c r="A4369" t="s">
        <v>996</v>
      </c>
      <c r="B4369" t="s">
        <v>27576</v>
      </c>
      <c r="E4369" t="s">
        <v>27577</v>
      </c>
      <c r="F4369" t="s">
        <v>108</v>
      </c>
      <c r="H4369" t="s">
        <v>27578</v>
      </c>
      <c r="I4369" t="s">
        <v>5863</v>
      </c>
      <c r="J4369" t="s">
        <v>111</v>
      </c>
      <c r="K4369" t="str">
        <f>"85375"</f>
        <v>85375</v>
      </c>
      <c r="L4369" t="s">
        <v>6003</v>
      </c>
      <c r="M4369" t="s">
        <v>27578</v>
      </c>
      <c r="N4369" t="s">
        <v>5863</v>
      </c>
      <c r="O4369" t="s">
        <v>111</v>
      </c>
      <c r="P4369" t="str">
        <f>"85375-5173"</f>
        <v>85375-5173</v>
      </c>
      <c r="Q4369" t="s">
        <v>113</v>
      </c>
      <c r="R4369" t="str">
        <f>"232-08-038"</f>
        <v>232-08-038</v>
      </c>
      <c r="S4369" t="s">
        <v>20695</v>
      </c>
      <c r="U4369">
        <v>1989</v>
      </c>
      <c r="V4369">
        <v>0</v>
      </c>
      <c r="W4369">
        <v>2</v>
      </c>
      <c r="X4369">
        <v>1979</v>
      </c>
      <c r="Z4369">
        <v>1</v>
      </c>
      <c r="AB4369">
        <v>0</v>
      </c>
      <c r="AC4369" t="s">
        <v>115</v>
      </c>
      <c r="AD4369">
        <v>2</v>
      </c>
      <c r="AE4369" t="s">
        <v>115</v>
      </c>
      <c r="AF4369">
        <v>0</v>
      </c>
      <c r="AG4369">
        <v>0</v>
      </c>
      <c r="AH4369" t="s">
        <v>116</v>
      </c>
      <c r="AI4369" s="1">
        <v>34426</v>
      </c>
      <c r="AJ4369" s="2">
        <v>0.13</v>
      </c>
      <c r="AK4369" s="1">
        <v>274426</v>
      </c>
      <c r="AL4369" t="s">
        <v>117</v>
      </c>
      <c r="AM4369" t="s">
        <v>393</v>
      </c>
      <c r="AN4369">
        <v>10992</v>
      </c>
      <c r="AO4369">
        <v>0.25</v>
      </c>
      <c r="AP4369">
        <v>1</v>
      </c>
      <c r="AR4369">
        <v>1</v>
      </c>
      <c r="AS4369" s="1">
        <v>19410</v>
      </c>
      <c r="AT4369" s="1">
        <v>3880</v>
      </c>
      <c r="AU4369" s="1">
        <v>15530</v>
      </c>
      <c r="AV4369">
        <v>80.010000000000005</v>
      </c>
      <c r="AX4369" s="1">
        <v>1403.06</v>
      </c>
      <c r="AY4369" t="s">
        <v>320</v>
      </c>
      <c r="AZ4369" t="s">
        <v>320</v>
      </c>
      <c r="BA4369" t="s">
        <v>321</v>
      </c>
      <c r="BE4369" s="3">
        <v>41891</v>
      </c>
      <c r="BF4369" s="1">
        <v>240000</v>
      </c>
      <c r="BG4369" t="s">
        <v>27579</v>
      </c>
      <c r="BH4369" s="1">
        <v>120.66</v>
      </c>
      <c r="BI4369" s="1">
        <v>240000</v>
      </c>
      <c r="BJ4369" s="3">
        <v>41891</v>
      </c>
      <c r="BK4369" t="s">
        <v>123</v>
      </c>
      <c r="BL4369" t="str">
        <f>"2014.596092"</f>
        <v>2014.596092</v>
      </c>
      <c r="BM4369" t="s">
        <v>3562</v>
      </c>
      <c r="BO4369" t="s">
        <v>27580</v>
      </c>
      <c r="BS4369">
        <v>30</v>
      </c>
      <c r="BW4369" t="str">
        <f>""</f>
        <v/>
      </c>
      <c r="CH4369" t="str">
        <f>""</f>
        <v/>
      </c>
      <c r="CS4369" t="str">
        <f>""</f>
        <v/>
      </c>
    </row>
    <row r="4370" spans="1:97" x14ac:dyDescent="0.25">
      <c r="A4370" t="s">
        <v>27581</v>
      </c>
      <c r="B4370" t="s">
        <v>27582</v>
      </c>
      <c r="E4370" t="s">
        <v>27583</v>
      </c>
      <c r="F4370" t="s">
        <v>108</v>
      </c>
      <c r="H4370" t="s">
        <v>27584</v>
      </c>
      <c r="I4370" t="s">
        <v>499</v>
      </c>
      <c r="J4370" t="s">
        <v>111</v>
      </c>
      <c r="K4370" t="str">
        <f>"85338"</f>
        <v>85338</v>
      </c>
      <c r="L4370" t="s">
        <v>6431</v>
      </c>
      <c r="M4370" t="s">
        <v>27584</v>
      </c>
      <c r="N4370" t="s">
        <v>499</v>
      </c>
      <c r="O4370" t="s">
        <v>111</v>
      </c>
      <c r="P4370" t="str">
        <f>"85338-7314"</f>
        <v>85338-7314</v>
      </c>
      <c r="Q4370" t="s">
        <v>113</v>
      </c>
      <c r="R4370" t="str">
        <f>"500-96-917"</f>
        <v>500-96-917</v>
      </c>
      <c r="S4370" t="s">
        <v>14788</v>
      </c>
      <c r="U4370">
        <v>3665</v>
      </c>
      <c r="V4370">
        <v>0</v>
      </c>
      <c r="W4370">
        <v>5</v>
      </c>
      <c r="X4370">
        <v>2008</v>
      </c>
      <c r="Z4370">
        <v>2</v>
      </c>
      <c r="AA4370" t="s">
        <v>26</v>
      </c>
      <c r="AB4370">
        <v>0</v>
      </c>
      <c r="AC4370" t="s">
        <v>115</v>
      </c>
      <c r="AD4370">
        <v>3</v>
      </c>
      <c r="AE4370" t="s">
        <v>115</v>
      </c>
      <c r="AF4370">
        <v>0</v>
      </c>
      <c r="AG4370">
        <v>0</v>
      </c>
      <c r="AH4370" t="s">
        <v>116</v>
      </c>
      <c r="AI4370" s="1">
        <v>54327</v>
      </c>
      <c r="AJ4370" s="2">
        <v>0.14000000000000001</v>
      </c>
      <c r="AK4370" s="1">
        <v>383327</v>
      </c>
      <c r="AL4370" t="s">
        <v>117</v>
      </c>
      <c r="AM4370" t="s">
        <v>118</v>
      </c>
      <c r="AN4370">
        <v>8902</v>
      </c>
      <c r="AO4370">
        <v>0.2</v>
      </c>
      <c r="AR4370">
        <v>1</v>
      </c>
      <c r="AS4370" s="1">
        <v>28060</v>
      </c>
      <c r="AT4370" s="1">
        <v>5610</v>
      </c>
      <c r="AU4370" s="1">
        <v>22450</v>
      </c>
      <c r="AV4370">
        <v>80.010000000000005</v>
      </c>
      <c r="AX4370" s="1">
        <v>2866.84</v>
      </c>
      <c r="AY4370" t="s">
        <v>6319</v>
      </c>
      <c r="AZ4370" t="s">
        <v>6319</v>
      </c>
      <c r="BA4370" t="s">
        <v>218</v>
      </c>
      <c r="BE4370" s="3">
        <v>42242</v>
      </c>
      <c r="BF4370" s="1">
        <v>329000</v>
      </c>
      <c r="BG4370" t="s">
        <v>27585</v>
      </c>
      <c r="BH4370" s="1">
        <v>89.77</v>
      </c>
      <c r="BI4370" s="1">
        <v>329000</v>
      </c>
      <c r="BJ4370" s="3">
        <v>42242</v>
      </c>
      <c r="BK4370" t="s">
        <v>123</v>
      </c>
      <c r="BL4370" t="str">
        <f>"2015.618645"</f>
        <v>2015.618645</v>
      </c>
      <c r="BM4370" t="s">
        <v>1287</v>
      </c>
      <c r="BO4370" t="s">
        <v>27586</v>
      </c>
      <c r="BS4370">
        <v>30</v>
      </c>
      <c r="BW4370" t="str">
        <f>""</f>
        <v/>
      </c>
      <c r="CH4370" t="str">
        <f>""</f>
        <v/>
      </c>
      <c r="CS4370" t="str">
        <f>""</f>
        <v/>
      </c>
    </row>
    <row r="4371" spans="1:97" x14ac:dyDescent="0.25">
      <c r="A4371" t="s">
        <v>177</v>
      </c>
      <c r="B4371" t="s">
        <v>27587</v>
      </c>
      <c r="C4371" t="s">
        <v>3091</v>
      </c>
      <c r="D4371" t="s">
        <v>27587</v>
      </c>
      <c r="E4371" t="s">
        <v>27588</v>
      </c>
      <c r="F4371" t="s">
        <v>108</v>
      </c>
      <c r="H4371" t="s">
        <v>27589</v>
      </c>
      <c r="I4371" t="s">
        <v>390</v>
      </c>
      <c r="J4371" t="s">
        <v>111</v>
      </c>
      <c r="K4371" t="str">
        <f>"85086"</f>
        <v>85086</v>
      </c>
      <c r="L4371" t="s">
        <v>3225</v>
      </c>
      <c r="M4371" t="s">
        <v>27589</v>
      </c>
      <c r="N4371" t="s">
        <v>390</v>
      </c>
      <c r="O4371" t="s">
        <v>111</v>
      </c>
      <c r="P4371" t="str">
        <f>"85086-2305"</f>
        <v>85086-2305</v>
      </c>
      <c r="Q4371" t="s">
        <v>113</v>
      </c>
      <c r="R4371" t="str">
        <f>"203-06-356"</f>
        <v>203-06-356</v>
      </c>
      <c r="S4371" t="s">
        <v>27590</v>
      </c>
      <c r="U4371">
        <v>1432</v>
      </c>
      <c r="V4371">
        <v>0</v>
      </c>
      <c r="W4371">
        <v>3</v>
      </c>
      <c r="X4371">
        <v>2002</v>
      </c>
      <c r="Z4371">
        <v>1</v>
      </c>
      <c r="AB4371">
        <v>0</v>
      </c>
      <c r="AC4371" t="s">
        <v>115</v>
      </c>
      <c r="AD4371">
        <v>2</v>
      </c>
      <c r="AE4371" t="s">
        <v>115</v>
      </c>
      <c r="AF4371">
        <v>0</v>
      </c>
      <c r="AG4371">
        <v>0</v>
      </c>
      <c r="AH4371" t="s">
        <v>116</v>
      </c>
      <c r="AI4371" s="1">
        <v>66314</v>
      </c>
      <c r="AJ4371" s="2">
        <v>0.24</v>
      </c>
      <c r="AK4371" s="1">
        <v>273627</v>
      </c>
      <c r="AL4371" t="s">
        <v>117</v>
      </c>
      <c r="AM4371" t="s">
        <v>191</v>
      </c>
      <c r="AN4371">
        <v>5715</v>
      </c>
      <c r="AO4371">
        <v>0.13</v>
      </c>
      <c r="AP4371">
        <v>1</v>
      </c>
      <c r="AR4371">
        <v>1</v>
      </c>
      <c r="AS4371" s="1">
        <v>18630</v>
      </c>
      <c r="AT4371" s="1">
        <v>3720</v>
      </c>
      <c r="AU4371" s="1">
        <v>14910</v>
      </c>
      <c r="AV4371">
        <v>80.03</v>
      </c>
      <c r="AX4371" s="1">
        <v>1993.54</v>
      </c>
      <c r="AY4371" t="s">
        <v>6515</v>
      </c>
      <c r="AZ4371" t="s">
        <v>6515</v>
      </c>
      <c r="BA4371" t="s">
        <v>378</v>
      </c>
      <c r="BE4371" s="3">
        <v>42166</v>
      </c>
      <c r="BF4371" s="1">
        <v>215000</v>
      </c>
      <c r="BG4371" t="s">
        <v>27591</v>
      </c>
      <c r="BH4371" s="1">
        <v>150.13999999999999</v>
      </c>
      <c r="BI4371" s="1">
        <v>207313</v>
      </c>
      <c r="BJ4371" s="3">
        <v>42166</v>
      </c>
      <c r="BK4371" t="s">
        <v>123</v>
      </c>
      <c r="BL4371" t="str">
        <f>"2015.417673"</f>
        <v>2015.417673</v>
      </c>
      <c r="BM4371" t="s">
        <v>594</v>
      </c>
      <c r="BO4371" t="s">
        <v>27592</v>
      </c>
      <c r="BS4371">
        <v>30</v>
      </c>
      <c r="BW4371" t="str">
        <f>""</f>
        <v/>
      </c>
      <c r="CH4371" t="str">
        <f>""</f>
        <v/>
      </c>
      <c r="CS4371" t="str">
        <f>""</f>
        <v/>
      </c>
    </row>
    <row r="4372" spans="1:97" x14ac:dyDescent="0.25">
      <c r="A4372" t="s">
        <v>1755</v>
      </c>
      <c r="B4372" t="s">
        <v>9962</v>
      </c>
      <c r="C4372" t="s">
        <v>27593</v>
      </c>
      <c r="D4372" t="s">
        <v>9962</v>
      </c>
      <c r="E4372" t="s">
        <v>27594</v>
      </c>
      <c r="F4372" t="s">
        <v>108</v>
      </c>
      <c r="H4372" t="s">
        <v>27595</v>
      </c>
      <c r="I4372" t="s">
        <v>499</v>
      </c>
      <c r="J4372" t="s">
        <v>111</v>
      </c>
      <c r="K4372" t="str">
        <f>"85395"</f>
        <v>85395</v>
      </c>
      <c r="L4372" t="s">
        <v>4003</v>
      </c>
      <c r="M4372" t="s">
        <v>27595</v>
      </c>
      <c r="N4372" t="s">
        <v>499</v>
      </c>
      <c r="O4372" t="s">
        <v>111</v>
      </c>
      <c r="P4372" t="str">
        <f>"85395-2417"</f>
        <v>85395-2417</v>
      </c>
      <c r="Q4372" t="s">
        <v>113</v>
      </c>
      <c r="R4372" t="str">
        <f>"501-98-206"</f>
        <v>501-98-206</v>
      </c>
      <c r="S4372" t="s">
        <v>14681</v>
      </c>
      <c r="T4372" t="s">
        <v>14682</v>
      </c>
      <c r="U4372">
        <v>3117</v>
      </c>
      <c r="V4372">
        <v>0</v>
      </c>
      <c r="W4372">
        <v>4</v>
      </c>
      <c r="X4372">
        <v>2002</v>
      </c>
      <c r="Z4372">
        <v>2</v>
      </c>
      <c r="AA4372" t="s">
        <v>26</v>
      </c>
      <c r="AB4372">
        <v>0</v>
      </c>
      <c r="AC4372" t="s">
        <v>115</v>
      </c>
      <c r="AD4372">
        <v>3</v>
      </c>
      <c r="AE4372" t="s">
        <v>115</v>
      </c>
      <c r="AF4372">
        <v>0</v>
      </c>
      <c r="AG4372">
        <v>0</v>
      </c>
      <c r="AH4372" t="s">
        <v>116</v>
      </c>
      <c r="AI4372" s="1">
        <v>115189</v>
      </c>
      <c r="AJ4372" s="2">
        <v>0.3</v>
      </c>
      <c r="AK4372" s="1">
        <v>383769</v>
      </c>
      <c r="AL4372" t="s">
        <v>117</v>
      </c>
      <c r="AM4372" t="s">
        <v>118</v>
      </c>
      <c r="AN4372">
        <v>6782</v>
      </c>
      <c r="AO4372">
        <v>0.16</v>
      </c>
      <c r="AP4372">
        <v>1</v>
      </c>
      <c r="AR4372">
        <v>1</v>
      </c>
      <c r="AS4372" s="1">
        <v>27860</v>
      </c>
      <c r="AT4372" s="1">
        <v>5570</v>
      </c>
      <c r="AU4372" s="1">
        <v>22290</v>
      </c>
      <c r="AV4372">
        <v>80.010000000000005</v>
      </c>
      <c r="AX4372" s="1">
        <v>3200.06</v>
      </c>
      <c r="AY4372" t="s">
        <v>6796</v>
      </c>
      <c r="AZ4372" t="s">
        <v>6796</v>
      </c>
      <c r="BA4372" t="s">
        <v>3154</v>
      </c>
      <c r="BB4372" s="3">
        <v>42454</v>
      </c>
      <c r="BD4372" t="s">
        <v>240</v>
      </c>
      <c r="BE4372" s="3">
        <v>42034</v>
      </c>
      <c r="BF4372" s="1">
        <v>295000</v>
      </c>
      <c r="BG4372" t="s">
        <v>27596</v>
      </c>
      <c r="BH4372" s="1">
        <v>94.64</v>
      </c>
      <c r="BI4372" s="1">
        <v>268580</v>
      </c>
      <c r="BJ4372" s="3">
        <v>42726</v>
      </c>
      <c r="BK4372" t="s">
        <v>123</v>
      </c>
      <c r="BL4372" t="str">
        <f>"2016.946276"</f>
        <v>2016.946276</v>
      </c>
      <c r="BM4372" t="s">
        <v>936</v>
      </c>
      <c r="BO4372" t="s">
        <v>27597</v>
      </c>
      <c r="BS4372">
        <v>30</v>
      </c>
      <c r="BW4372" t="str">
        <f>""</f>
        <v/>
      </c>
      <c r="CH4372" t="str">
        <f>""</f>
        <v/>
      </c>
      <c r="CS4372" t="str">
        <f>""</f>
        <v/>
      </c>
    </row>
    <row r="4373" spans="1:97" x14ac:dyDescent="0.25">
      <c r="A4373" t="s">
        <v>16302</v>
      </c>
      <c r="B4373" t="s">
        <v>364</v>
      </c>
      <c r="C4373" t="s">
        <v>914</v>
      </c>
      <c r="D4373" t="s">
        <v>364</v>
      </c>
      <c r="E4373" t="s">
        <v>27598</v>
      </c>
      <c r="F4373" t="s">
        <v>108</v>
      </c>
      <c r="H4373" t="s">
        <v>27599</v>
      </c>
      <c r="I4373" t="s">
        <v>632</v>
      </c>
      <c r="J4373" t="s">
        <v>111</v>
      </c>
      <c r="K4373" t="str">
        <f>"85388"</f>
        <v>85388</v>
      </c>
      <c r="L4373" t="s">
        <v>417</v>
      </c>
      <c r="M4373" t="s">
        <v>27599</v>
      </c>
      <c r="N4373" t="s">
        <v>632</v>
      </c>
      <c r="O4373" t="s">
        <v>111</v>
      </c>
      <c r="P4373" t="str">
        <f>"85388-1699"</f>
        <v>85388-1699</v>
      </c>
      <c r="Q4373" t="s">
        <v>113</v>
      </c>
      <c r="R4373" t="str">
        <f>"502-09-373"</f>
        <v>502-09-373</v>
      </c>
      <c r="S4373" t="s">
        <v>14715</v>
      </c>
      <c r="T4373" t="s">
        <v>14716</v>
      </c>
      <c r="U4373">
        <v>2045</v>
      </c>
      <c r="V4373">
        <v>0</v>
      </c>
      <c r="W4373">
        <v>3</v>
      </c>
      <c r="X4373">
        <v>2007</v>
      </c>
      <c r="Z4373">
        <v>1</v>
      </c>
      <c r="AB4373">
        <v>0</v>
      </c>
      <c r="AC4373" t="s">
        <v>115</v>
      </c>
      <c r="AD4373">
        <v>2</v>
      </c>
      <c r="AE4373" t="s">
        <v>115</v>
      </c>
      <c r="AF4373">
        <v>0</v>
      </c>
      <c r="AG4373">
        <v>0</v>
      </c>
      <c r="AH4373" t="s">
        <v>116</v>
      </c>
      <c r="AI4373" s="1">
        <v>70327</v>
      </c>
      <c r="AJ4373" s="2">
        <v>0.24</v>
      </c>
      <c r="AK4373" s="1">
        <v>297880</v>
      </c>
      <c r="AL4373" t="s">
        <v>117</v>
      </c>
      <c r="AM4373" t="s">
        <v>118</v>
      </c>
      <c r="AN4373">
        <v>7992</v>
      </c>
      <c r="AO4373">
        <v>0.18</v>
      </c>
      <c r="AR4373">
        <v>1</v>
      </c>
      <c r="AS4373" s="1">
        <v>20360</v>
      </c>
      <c r="AT4373" s="1">
        <v>4070</v>
      </c>
      <c r="AU4373" s="1">
        <v>16290</v>
      </c>
      <c r="AV4373">
        <v>80.010000000000005</v>
      </c>
      <c r="AX4373" s="1">
        <v>1749.38</v>
      </c>
      <c r="AY4373" t="s">
        <v>5168</v>
      </c>
      <c r="AZ4373" t="s">
        <v>5168</v>
      </c>
      <c r="BA4373" t="s">
        <v>5109</v>
      </c>
      <c r="BE4373" s="3">
        <v>41750</v>
      </c>
      <c r="BF4373" s="1">
        <v>235000</v>
      </c>
      <c r="BG4373" t="s">
        <v>27600</v>
      </c>
      <c r="BH4373" s="1">
        <v>114.91</v>
      </c>
      <c r="BI4373" s="1">
        <v>227553</v>
      </c>
      <c r="BJ4373" s="3">
        <v>43068</v>
      </c>
      <c r="BK4373" t="s">
        <v>123</v>
      </c>
      <c r="BL4373" t="str">
        <f>"2017.882345"</f>
        <v>2017.882345</v>
      </c>
      <c r="BM4373" t="s">
        <v>5617</v>
      </c>
      <c r="BO4373" t="s">
        <v>27601</v>
      </c>
      <c r="BS4373">
        <v>30</v>
      </c>
      <c r="BW4373" t="str">
        <f>""</f>
        <v/>
      </c>
      <c r="CH4373" t="str">
        <f>""</f>
        <v/>
      </c>
      <c r="CS4373" t="str">
        <f>""</f>
        <v/>
      </c>
    </row>
    <row r="4374" spans="1:97" x14ac:dyDescent="0.25">
      <c r="A4374" t="s">
        <v>996</v>
      </c>
      <c r="B4374" t="s">
        <v>5955</v>
      </c>
      <c r="E4374" t="s">
        <v>27602</v>
      </c>
      <c r="F4374" t="s">
        <v>108</v>
      </c>
      <c r="H4374" t="s">
        <v>27603</v>
      </c>
      <c r="I4374" t="s">
        <v>2874</v>
      </c>
      <c r="J4374" t="s">
        <v>111</v>
      </c>
      <c r="K4374" t="str">
        <f>"85308"</f>
        <v>85308</v>
      </c>
      <c r="L4374" t="s">
        <v>541</v>
      </c>
      <c r="M4374" t="s">
        <v>27603</v>
      </c>
      <c r="N4374" t="s">
        <v>2874</v>
      </c>
      <c r="O4374" t="s">
        <v>111</v>
      </c>
      <c r="P4374" t="str">
        <f>"85308-9531"</f>
        <v>85308-9531</v>
      </c>
      <c r="Q4374" t="s">
        <v>113</v>
      </c>
      <c r="R4374" t="str">
        <f>"200-21-853"</f>
        <v>200-21-853</v>
      </c>
      <c r="S4374" t="s">
        <v>13267</v>
      </c>
      <c r="T4374" t="s">
        <v>13267</v>
      </c>
      <c r="U4374">
        <v>2146</v>
      </c>
      <c r="V4374">
        <v>0</v>
      </c>
      <c r="W4374">
        <v>4</v>
      </c>
      <c r="X4374">
        <v>1997</v>
      </c>
      <c r="Z4374">
        <v>2</v>
      </c>
      <c r="AA4374" t="s">
        <v>26</v>
      </c>
      <c r="AB4374">
        <v>0</v>
      </c>
      <c r="AC4374" t="s">
        <v>115</v>
      </c>
      <c r="AD4374">
        <v>2</v>
      </c>
      <c r="AE4374" t="s">
        <v>115</v>
      </c>
      <c r="AF4374">
        <v>0</v>
      </c>
      <c r="AG4374">
        <v>0</v>
      </c>
      <c r="AH4374" t="s">
        <v>116</v>
      </c>
      <c r="AI4374" s="1">
        <v>71831</v>
      </c>
      <c r="AJ4374" s="2">
        <v>0.2</v>
      </c>
      <c r="AK4374" s="1">
        <v>350627</v>
      </c>
      <c r="AL4374" t="s">
        <v>117</v>
      </c>
      <c r="AM4374" t="s">
        <v>191</v>
      </c>
      <c r="AN4374">
        <v>11800</v>
      </c>
      <c r="AO4374">
        <v>0.27</v>
      </c>
      <c r="AP4374">
        <v>1</v>
      </c>
      <c r="AR4374">
        <v>1</v>
      </c>
      <c r="AS4374" s="1">
        <v>25000</v>
      </c>
      <c r="AT4374" s="1">
        <v>5000</v>
      </c>
      <c r="AU4374" s="1">
        <v>20000</v>
      </c>
      <c r="AV4374">
        <v>80</v>
      </c>
      <c r="AX4374" s="1">
        <v>2177.7800000000002</v>
      </c>
      <c r="AY4374" t="s">
        <v>8358</v>
      </c>
      <c r="AZ4374" t="s">
        <v>8358</v>
      </c>
      <c r="BA4374" t="s">
        <v>2223</v>
      </c>
      <c r="BE4374" s="3">
        <v>42404</v>
      </c>
      <c r="BF4374" s="1">
        <v>278000</v>
      </c>
      <c r="BG4374" t="s">
        <v>27604</v>
      </c>
      <c r="BH4374" s="1">
        <v>129.54</v>
      </c>
      <c r="BI4374" s="1">
        <v>278796</v>
      </c>
      <c r="BJ4374" s="3">
        <v>42641</v>
      </c>
      <c r="BK4374" t="s">
        <v>123</v>
      </c>
      <c r="BL4374" t="str">
        <f>"2016.706489"</f>
        <v>2016.706489</v>
      </c>
      <c r="BM4374" t="s">
        <v>8916</v>
      </c>
      <c r="BO4374" t="s">
        <v>27605</v>
      </c>
      <c r="BS4374">
        <v>30</v>
      </c>
      <c r="BW4374" t="str">
        <f>""</f>
        <v/>
      </c>
      <c r="CH4374" t="str">
        <f>""</f>
        <v/>
      </c>
      <c r="CS4374" t="str">
        <f>""</f>
        <v/>
      </c>
    </row>
    <row r="4375" spans="1:97" x14ac:dyDescent="0.25">
      <c r="B4375" t="s">
        <v>27606</v>
      </c>
      <c r="E4375" t="s">
        <v>27607</v>
      </c>
      <c r="F4375" t="s">
        <v>139</v>
      </c>
      <c r="H4375" t="s">
        <v>27608</v>
      </c>
      <c r="I4375" t="s">
        <v>5387</v>
      </c>
      <c r="J4375" t="s">
        <v>111</v>
      </c>
      <c r="K4375" t="str">
        <f>"85283"</f>
        <v>85283</v>
      </c>
      <c r="L4375" t="s">
        <v>5248</v>
      </c>
      <c r="M4375" t="s">
        <v>27608</v>
      </c>
      <c r="N4375" t="s">
        <v>5387</v>
      </c>
      <c r="O4375" t="s">
        <v>111</v>
      </c>
      <c r="P4375" t="str">
        <f>"85283-3616"</f>
        <v>85283-3616</v>
      </c>
      <c r="Q4375" t="s">
        <v>113</v>
      </c>
      <c r="R4375" t="str">
        <f>"301-47-373"</f>
        <v>301-47-373</v>
      </c>
      <c r="S4375" t="s">
        <v>27609</v>
      </c>
      <c r="U4375">
        <v>1839</v>
      </c>
      <c r="V4375">
        <v>0</v>
      </c>
      <c r="W4375">
        <v>2</v>
      </c>
      <c r="X4375">
        <v>1973</v>
      </c>
      <c r="Z4375">
        <v>1</v>
      </c>
      <c r="AA4375" t="s">
        <v>26</v>
      </c>
      <c r="AB4375">
        <v>0</v>
      </c>
      <c r="AC4375" t="s">
        <v>115</v>
      </c>
      <c r="AD4375">
        <v>2</v>
      </c>
      <c r="AE4375" t="s">
        <v>115</v>
      </c>
      <c r="AF4375">
        <v>0</v>
      </c>
      <c r="AG4375">
        <v>0</v>
      </c>
      <c r="AH4375" t="s">
        <v>116</v>
      </c>
      <c r="AI4375" s="1">
        <v>78941</v>
      </c>
      <c r="AJ4375" s="2">
        <v>0.23</v>
      </c>
      <c r="AK4375" s="1">
        <v>342356</v>
      </c>
      <c r="AL4375" t="s">
        <v>117</v>
      </c>
      <c r="AM4375" t="s">
        <v>191</v>
      </c>
      <c r="AN4375">
        <v>8394</v>
      </c>
      <c r="AO4375">
        <v>0.19</v>
      </c>
      <c r="AP4375">
        <v>1</v>
      </c>
      <c r="AR4375">
        <v>1</v>
      </c>
      <c r="AS4375" s="1">
        <v>24330</v>
      </c>
      <c r="AT4375" s="1">
        <v>4860</v>
      </c>
      <c r="AU4375" s="1">
        <v>19470</v>
      </c>
      <c r="AV4375">
        <v>80.02</v>
      </c>
      <c r="AX4375" s="1">
        <v>2173.36</v>
      </c>
      <c r="AY4375" t="s">
        <v>5857</v>
      </c>
      <c r="AZ4375" t="s">
        <v>5391</v>
      </c>
      <c r="BA4375" t="s">
        <v>5392</v>
      </c>
      <c r="BB4375" s="3">
        <v>43122</v>
      </c>
      <c r="BC4375" s="1">
        <v>0</v>
      </c>
      <c r="BD4375" t="s">
        <v>247</v>
      </c>
      <c r="BE4375" s="3">
        <v>42185</v>
      </c>
      <c r="BF4375" s="1">
        <v>255000</v>
      </c>
      <c r="BG4375" t="s">
        <v>27610</v>
      </c>
      <c r="BH4375" s="1">
        <v>138.66</v>
      </c>
      <c r="BI4375" s="1">
        <v>263415</v>
      </c>
      <c r="BJ4375" s="3">
        <v>42185</v>
      </c>
      <c r="BK4375" t="s">
        <v>123</v>
      </c>
      <c r="BL4375" t="str">
        <f>"2015.468370"</f>
        <v>2015.468370</v>
      </c>
      <c r="BM4375" t="s">
        <v>475</v>
      </c>
      <c r="BN4375" t="s">
        <v>1282</v>
      </c>
      <c r="BO4375" t="s">
        <v>27611</v>
      </c>
      <c r="BP4375" t="s">
        <v>27612</v>
      </c>
      <c r="BS4375">
        <v>30</v>
      </c>
      <c r="BW4375" t="str">
        <f>""</f>
        <v/>
      </c>
      <c r="CH4375" t="str">
        <f>""</f>
        <v/>
      </c>
      <c r="CS4375" t="str">
        <f>""</f>
        <v/>
      </c>
    </row>
    <row r="4376" spans="1:97" x14ac:dyDescent="0.25">
      <c r="A4376" t="s">
        <v>220</v>
      </c>
      <c r="B4376" t="s">
        <v>27613</v>
      </c>
      <c r="C4376" t="s">
        <v>992</v>
      </c>
      <c r="D4376" t="s">
        <v>27613</v>
      </c>
      <c r="E4376" t="s">
        <v>27614</v>
      </c>
      <c r="F4376" t="s">
        <v>108</v>
      </c>
      <c r="H4376" t="s">
        <v>27615</v>
      </c>
      <c r="I4376" t="s">
        <v>390</v>
      </c>
      <c r="J4376" t="s">
        <v>111</v>
      </c>
      <c r="K4376" t="str">
        <f>"85042"</f>
        <v>85042</v>
      </c>
      <c r="L4376" t="s">
        <v>6803</v>
      </c>
      <c r="M4376" t="s">
        <v>27615</v>
      </c>
      <c r="N4376" t="s">
        <v>390</v>
      </c>
      <c r="O4376" t="s">
        <v>111</v>
      </c>
      <c r="P4376" t="str">
        <f>"85042-6011"</f>
        <v>85042-6011</v>
      </c>
      <c r="Q4376" t="s">
        <v>113</v>
      </c>
      <c r="R4376" t="str">
        <f>"122-96-200"</f>
        <v>122-96-200</v>
      </c>
      <c r="S4376" t="s">
        <v>6804</v>
      </c>
      <c r="T4376" t="s">
        <v>6804</v>
      </c>
      <c r="U4376">
        <v>1678</v>
      </c>
      <c r="V4376">
        <v>0</v>
      </c>
      <c r="W4376">
        <v>3</v>
      </c>
      <c r="X4376">
        <v>2000</v>
      </c>
      <c r="Z4376">
        <v>2</v>
      </c>
      <c r="AB4376">
        <v>0</v>
      </c>
      <c r="AC4376" t="s">
        <v>115</v>
      </c>
      <c r="AD4376">
        <v>2</v>
      </c>
      <c r="AE4376" t="s">
        <v>115</v>
      </c>
      <c r="AF4376">
        <v>0</v>
      </c>
      <c r="AG4376">
        <v>0</v>
      </c>
      <c r="AH4376" t="s">
        <v>116</v>
      </c>
      <c r="AI4376" s="1">
        <v>63118</v>
      </c>
      <c r="AJ4376" s="2">
        <v>0.21</v>
      </c>
      <c r="AK4376" s="1">
        <v>296263</v>
      </c>
      <c r="AL4376" t="s">
        <v>117</v>
      </c>
      <c r="AM4376" t="s">
        <v>171</v>
      </c>
      <c r="AN4376">
        <v>3750</v>
      </c>
      <c r="AO4376">
        <v>0.86</v>
      </c>
      <c r="AP4376">
        <v>1</v>
      </c>
      <c r="AR4376">
        <v>1</v>
      </c>
      <c r="AS4376" s="1">
        <v>21280</v>
      </c>
      <c r="AT4376" s="1">
        <v>4250</v>
      </c>
      <c r="AU4376" s="1">
        <v>17030</v>
      </c>
      <c r="AV4376">
        <v>80.03</v>
      </c>
      <c r="AX4376" s="1">
        <v>2819.2</v>
      </c>
      <c r="AY4376" t="s">
        <v>5251</v>
      </c>
      <c r="AZ4376" t="s">
        <v>5251</v>
      </c>
      <c r="BA4376" t="s">
        <v>2860</v>
      </c>
      <c r="BE4376" s="3">
        <v>42122</v>
      </c>
      <c r="BF4376" s="1">
        <v>230000</v>
      </c>
      <c r="BG4376" t="s">
        <v>27616</v>
      </c>
      <c r="BH4376" s="1">
        <v>137.07</v>
      </c>
      <c r="BI4376" s="1">
        <v>233145</v>
      </c>
      <c r="BJ4376" s="3">
        <v>42122</v>
      </c>
      <c r="BK4376" t="s">
        <v>123</v>
      </c>
      <c r="BL4376" t="str">
        <f>"2015.293441"</f>
        <v>2015.293441</v>
      </c>
      <c r="BM4376" t="s">
        <v>724</v>
      </c>
      <c r="BO4376" t="s">
        <v>27617</v>
      </c>
      <c r="BP4376" t="s">
        <v>27618</v>
      </c>
      <c r="BS4376">
        <v>30</v>
      </c>
      <c r="BW4376" t="str">
        <f>""</f>
        <v/>
      </c>
      <c r="CH4376" t="str">
        <f>""</f>
        <v/>
      </c>
      <c r="CS4376" t="str">
        <f>""</f>
        <v/>
      </c>
    </row>
    <row r="4377" spans="1:97" x14ac:dyDescent="0.25">
      <c r="A4377" t="s">
        <v>11167</v>
      </c>
      <c r="B4377" t="s">
        <v>2104</v>
      </c>
      <c r="C4377" t="s">
        <v>5633</v>
      </c>
      <c r="D4377" t="s">
        <v>2104</v>
      </c>
      <c r="E4377" t="s">
        <v>27619</v>
      </c>
      <c r="F4377" t="s">
        <v>108</v>
      </c>
      <c r="H4377" t="s">
        <v>27620</v>
      </c>
      <c r="I4377" t="s">
        <v>499</v>
      </c>
      <c r="J4377" t="s">
        <v>111</v>
      </c>
      <c r="K4377" t="str">
        <f>"85395"</f>
        <v>85395</v>
      </c>
      <c r="L4377" t="s">
        <v>3151</v>
      </c>
      <c r="M4377" t="s">
        <v>27620</v>
      </c>
      <c r="N4377" t="s">
        <v>499</v>
      </c>
      <c r="O4377" t="s">
        <v>111</v>
      </c>
      <c r="P4377" t="str">
        <f>"85395-8829"</f>
        <v>85395-8829</v>
      </c>
      <c r="Q4377" t="s">
        <v>113</v>
      </c>
      <c r="R4377" t="str">
        <f>"501-87-539"</f>
        <v>501-87-539</v>
      </c>
      <c r="S4377" t="s">
        <v>13473</v>
      </c>
      <c r="U4377">
        <v>1989</v>
      </c>
      <c r="V4377">
        <v>0</v>
      </c>
      <c r="W4377">
        <v>3</v>
      </c>
      <c r="X4377">
        <v>2000</v>
      </c>
      <c r="Z4377">
        <v>1</v>
      </c>
      <c r="AA4377" t="s">
        <v>26</v>
      </c>
      <c r="AB4377">
        <v>0</v>
      </c>
      <c r="AC4377" t="s">
        <v>115</v>
      </c>
      <c r="AD4377">
        <v>2</v>
      </c>
      <c r="AE4377" t="s">
        <v>115</v>
      </c>
      <c r="AF4377">
        <v>0</v>
      </c>
      <c r="AG4377">
        <v>0</v>
      </c>
      <c r="AH4377" t="s">
        <v>116</v>
      </c>
      <c r="AI4377" s="1">
        <v>158666</v>
      </c>
      <c r="AJ4377" s="2">
        <v>0.34</v>
      </c>
      <c r="AK4377" s="1">
        <v>461630</v>
      </c>
      <c r="AL4377" t="s">
        <v>117</v>
      </c>
      <c r="AM4377" t="s">
        <v>118</v>
      </c>
      <c r="AN4377">
        <v>8927</v>
      </c>
      <c r="AO4377">
        <v>0.2</v>
      </c>
      <c r="AP4377">
        <v>1</v>
      </c>
      <c r="AR4377">
        <v>1</v>
      </c>
      <c r="AS4377" s="1">
        <v>35320</v>
      </c>
      <c r="AT4377" s="1">
        <v>7060</v>
      </c>
      <c r="AU4377" s="1">
        <v>28260</v>
      </c>
      <c r="AV4377">
        <v>80.010000000000005</v>
      </c>
      <c r="AX4377" s="1">
        <v>4074.54</v>
      </c>
      <c r="AY4377" t="s">
        <v>3020</v>
      </c>
      <c r="AZ4377" t="s">
        <v>3020</v>
      </c>
      <c r="BA4377" t="s">
        <v>3154</v>
      </c>
      <c r="BE4377" s="3">
        <v>42117</v>
      </c>
      <c r="BF4377" s="1">
        <v>357500</v>
      </c>
      <c r="BG4377" t="s">
        <v>27621</v>
      </c>
      <c r="BH4377" s="1">
        <v>179.74</v>
      </c>
      <c r="BI4377" s="1">
        <v>302964</v>
      </c>
      <c r="BJ4377" s="3">
        <v>42535</v>
      </c>
      <c r="BK4377" t="s">
        <v>123</v>
      </c>
      <c r="BL4377" t="str">
        <f>"2016.410600"</f>
        <v>2016.410600</v>
      </c>
      <c r="BM4377" t="s">
        <v>322</v>
      </c>
      <c r="BO4377" t="s">
        <v>27622</v>
      </c>
      <c r="BS4377">
        <v>30</v>
      </c>
      <c r="BW4377" t="str">
        <f>""</f>
        <v/>
      </c>
      <c r="CH4377" t="str">
        <f>""</f>
        <v/>
      </c>
      <c r="CS4377" t="str">
        <f>""</f>
        <v/>
      </c>
    </row>
    <row r="4378" spans="1:97" x14ac:dyDescent="0.25">
      <c r="A4378" t="s">
        <v>27623</v>
      </c>
      <c r="B4378" t="s">
        <v>27624</v>
      </c>
      <c r="C4378" t="s">
        <v>27625</v>
      </c>
      <c r="D4378" t="s">
        <v>27624</v>
      </c>
      <c r="E4378" t="s">
        <v>27626</v>
      </c>
      <c r="F4378" t="s">
        <v>108</v>
      </c>
      <c r="H4378" t="s">
        <v>27627</v>
      </c>
      <c r="I4378" t="s">
        <v>390</v>
      </c>
      <c r="J4378" t="s">
        <v>111</v>
      </c>
      <c r="K4378" t="str">
        <f>"85044"</f>
        <v>85044</v>
      </c>
      <c r="L4378" t="s">
        <v>8462</v>
      </c>
      <c r="M4378" t="s">
        <v>27627</v>
      </c>
      <c r="N4378" t="s">
        <v>390</v>
      </c>
      <c r="O4378" t="s">
        <v>111</v>
      </c>
      <c r="P4378" t="str">
        <f>"85044-2018"</f>
        <v>85044-2018</v>
      </c>
      <c r="Q4378" t="s">
        <v>113</v>
      </c>
      <c r="R4378" t="str">
        <f>"301-55-786"</f>
        <v>301-55-786</v>
      </c>
      <c r="S4378" t="s">
        <v>27628</v>
      </c>
      <c r="U4378">
        <v>1986</v>
      </c>
      <c r="V4378">
        <v>0</v>
      </c>
      <c r="W4378">
        <v>2</v>
      </c>
      <c r="X4378">
        <v>1978</v>
      </c>
      <c r="Z4378">
        <v>1</v>
      </c>
      <c r="AB4378">
        <v>0</v>
      </c>
      <c r="AC4378" t="s">
        <v>115</v>
      </c>
      <c r="AD4378">
        <v>2</v>
      </c>
      <c r="AE4378" t="s">
        <v>115</v>
      </c>
      <c r="AF4378">
        <v>0</v>
      </c>
      <c r="AG4378">
        <v>0</v>
      </c>
      <c r="AH4378" t="s">
        <v>116</v>
      </c>
      <c r="AI4378" s="1">
        <v>65695</v>
      </c>
      <c r="AJ4378" s="2">
        <v>0.2</v>
      </c>
      <c r="AK4378" s="1">
        <v>326177</v>
      </c>
      <c r="AL4378" t="s">
        <v>117</v>
      </c>
      <c r="AM4378" t="s">
        <v>191</v>
      </c>
      <c r="AN4378">
        <v>10128</v>
      </c>
      <c r="AO4378">
        <v>0.23</v>
      </c>
      <c r="AP4378">
        <v>1</v>
      </c>
      <c r="AR4378">
        <v>1</v>
      </c>
      <c r="AS4378" s="1">
        <v>21710</v>
      </c>
      <c r="AT4378" s="1">
        <v>4340</v>
      </c>
      <c r="AU4378" s="1">
        <v>17370</v>
      </c>
      <c r="AV4378">
        <v>80.010000000000005</v>
      </c>
      <c r="AX4378" s="1">
        <v>2035.28</v>
      </c>
      <c r="AY4378" t="s">
        <v>11872</v>
      </c>
      <c r="AZ4378" t="s">
        <v>7255</v>
      </c>
      <c r="BA4378" t="s">
        <v>5328</v>
      </c>
      <c r="BE4378" s="3">
        <v>41754</v>
      </c>
      <c r="BF4378" s="1">
        <v>255000</v>
      </c>
      <c r="BG4378" t="s">
        <v>27629</v>
      </c>
      <c r="BH4378" s="1">
        <v>128.4</v>
      </c>
      <c r="BI4378" s="1">
        <v>260482</v>
      </c>
      <c r="BJ4378" s="3">
        <v>41754</v>
      </c>
      <c r="BK4378" t="s">
        <v>123</v>
      </c>
      <c r="BL4378" t="str">
        <f>"2014.269869"</f>
        <v>2014.269869</v>
      </c>
      <c r="BM4378" t="s">
        <v>724</v>
      </c>
      <c r="BO4378" t="s">
        <v>27630</v>
      </c>
      <c r="BS4378">
        <v>30</v>
      </c>
      <c r="BW4378" t="str">
        <f>""</f>
        <v/>
      </c>
      <c r="CH4378" t="str">
        <f>""</f>
        <v/>
      </c>
      <c r="CS4378" t="str">
        <f>""</f>
        <v/>
      </c>
    </row>
    <row r="4379" spans="1:97" x14ac:dyDescent="0.25">
      <c r="A4379" t="s">
        <v>8500</v>
      </c>
      <c r="B4379" t="s">
        <v>25946</v>
      </c>
      <c r="C4379" t="s">
        <v>27631</v>
      </c>
      <c r="D4379" t="s">
        <v>2114</v>
      </c>
      <c r="E4379" t="s">
        <v>27632</v>
      </c>
      <c r="F4379" t="s">
        <v>108</v>
      </c>
      <c r="H4379" t="s">
        <v>27633</v>
      </c>
      <c r="I4379" t="s">
        <v>167</v>
      </c>
      <c r="J4379" t="s">
        <v>111</v>
      </c>
      <c r="K4379" t="str">
        <f>"85339"</f>
        <v>85339</v>
      </c>
      <c r="L4379" t="s">
        <v>5239</v>
      </c>
      <c r="M4379" t="s">
        <v>27633</v>
      </c>
      <c r="N4379" t="s">
        <v>167</v>
      </c>
      <c r="O4379" t="s">
        <v>111</v>
      </c>
      <c r="P4379" t="str">
        <f>"85339-3501"</f>
        <v>85339-3501</v>
      </c>
      <c r="Q4379" t="s">
        <v>113</v>
      </c>
      <c r="R4379" t="str">
        <f>"300-11-916"</f>
        <v>300-11-916</v>
      </c>
      <c r="S4379" t="s">
        <v>27634</v>
      </c>
      <c r="T4379" t="s">
        <v>15121</v>
      </c>
      <c r="U4379">
        <v>1800</v>
      </c>
      <c r="V4379">
        <v>0</v>
      </c>
      <c r="W4379">
        <v>3</v>
      </c>
      <c r="X4379">
        <v>2012</v>
      </c>
      <c r="Z4379">
        <v>1</v>
      </c>
      <c r="AB4379">
        <v>0</v>
      </c>
      <c r="AC4379" t="s">
        <v>115</v>
      </c>
      <c r="AD4379">
        <v>2</v>
      </c>
      <c r="AE4379" t="s">
        <v>115</v>
      </c>
      <c r="AF4379">
        <v>0</v>
      </c>
      <c r="AG4379">
        <v>0</v>
      </c>
      <c r="AH4379" t="s">
        <v>116</v>
      </c>
      <c r="AI4379" s="1">
        <v>56111</v>
      </c>
      <c r="AJ4379" s="2">
        <v>0.21</v>
      </c>
      <c r="AK4379" s="1">
        <v>265416</v>
      </c>
      <c r="AL4379" t="s">
        <v>117</v>
      </c>
      <c r="AM4379" t="s">
        <v>760</v>
      </c>
      <c r="AN4379">
        <v>5726</v>
      </c>
      <c r="AO4379">
        <v>0.13</v>
      </c>
      <c r="AR4379">
        <v>1</v>
      </c>
      <c r="AS4379" s="1">
        <v>18110</v>
      </c>
      <c r="AT4379" s="1">
        <v>3620</v>
      </c>
      <c r="AU4379" s="1">
        <v>14490</v>
      </c>
      <c r="AV4379">
        <v>80.010000000000005</v>
      </c>
      <c r="AX4379" s="1">
        <v>2719.94</v>
      </c>
      <c r="AY4379" t="s">
        <v>5532</v>
      </c>
      <c r="AZ4379" t="s">
        <v>5532</v>
      </c>
      <c r="BA4379" t="s">
        <v>173</v>
      </c>
      <c r="BE4379" s="3">
        <v>42499</v>
      </c>
      <c r="BF4379" s="1">
        <v>204900</v>
      </c>
      <c r="BG4379" t="s">
        <v>27635</v>
      </c>
      <c r="BH4379" s="1">
        <v>113.83</v>
      </c>
      <c r="BI4379" s="1">
        <v>209305</v>
      </c>
      <c r="BJ4379" s="3">
        <v>42499</v>
      </c>
      <c r="BK4379" t="s">
        <v>123</v>
      </c>
      <c r="BL4379" t="str">
        <f>"2016.315689"</f>
        <v>2016.315689</v>
      </c>
      <c r="BM4379" t="s">
        <v>2489</v>
      </c>
      <c r="BO4379" t="s">
        <v>27636</v>
      </c>
      <c r="BP4379" t="s">
        <v>27637</v>
      </c>
      <c r="BS4379">
        <v>30</v>
      </c>
      <c r="BW4379" t="str">
        <f>""</f>
        <v/>
      </c>
      <c r="CH4379" t="str">
        <f>""</f>
        <v/>
      </c>
      <c r="CS4379" t="str">
        <f>""</f>
        <v/>
      </c>
    </row>
    <row r="4380" spans="1:97" x14ac:dyDescent="0.25">
      <c r="A4380" t="s">
        <v>464</v>
      </c>
      <c r="B4380" t="s">
        <v>27638</v>
      </c>
      <c r="C4380" t="s">
        <v>524</v>
      </c>
      <c r="D4380" t="s">
        <v>27638</v>
      </c>
      <c r="E4380" t="s">
        <v>27639</v>
      </c>
      <c r="F4380" t="s">
        <v>108</v>
      </c>
      <c r="H4380" t="s">
        <v>27640</v>
      </c>
      <c r="I4380" t="s">
        <v>632</v>
      </c>
      <c r="J4380" t="s">
        <v>111</v>
      </c>
      <c r="K4380" t="str">
        <f>"85388"</f>
        <v>85388</v>
      </c>
      <c r="L4380" t="s">
        <v>5727</v>
      </c>
      <c r="M4380" t="s">
        <v>27640</v>
      </c>
      <c r="N4380" t="s">
        <v>632</v>
      </c>
      <c r="O4380" t="s">
        <v>111</v>
      </c>
      <c r="P4380" t="str">
        <f>"85388-5656"</f>
        <v>85388-5656</v>
      </c>
      <c r="Q4380" t="s">
        <v>113</v>
      </c>
      <c r="R4380" t="str">
        <f>"502-06-225"</f>
        <v>502-06-225</v>
      </c>
      <c r="S4380" t="s">
        <v>5728</v>
      </c>
      <c r="T4380" t="s">
        <v>5167</v>
      </c>
      <c r="U4380">
        <v>2102</v>
      </c>
      <c r="V4380">
        <v>0</v>
      </c>
      <c r="W4380">
        <v>3</v>
      </c>
      <c r="X4380">
        <v>2008</v>
      </c>
      <c r="Z4380">
        <v>1</v>
      </c>
      <c r="AB4380">
        <v>0</v>
      </c>
      <c r="AC4380" t="s">
        <v>115</v>
      </c>
      <c r="AD4380">
        <v>3</v>
      </c>
      <c r="AE4380" t="s">
        <v>115</v>
      </c>
      <c r="AF4380">
        <v>0</v>
      </c>
      <c r="AG4380">
        <v>0</v>
      </c>
      <c r="AH4380" t="s">
        <v>116</v>
      </c>
      <c r="AI4380" s="1">
        <v>61194</v>
      </c>
      <c r="AJ4380" s="2">
        <v>0.21</v>
      </c>
      <c r="AK4380" s="1">
        <v>286194</v>
      </c>
      <c r="AL4380" t="s">
        <v>117</v>
      </c>
      <c r="AM4380" t="s">
        <v>118</v>
      </c>
      <c r="AN4380">
        <v>8114</v>
      </c>
      <c r="AO4380">
        <v>0.19</v>
      </c>
      <c r="AR4380">
        <v>1</v>
      </c>
      <c r="AS4380" s="1">
        <v>20180</v>
      </c>
      <c r="AT4380" s="1">
        <v>4030</v>
      </c>
      <c r="AU4380" s="1">
        <v>16150</v>
      </c>
      <c r="AV4380">
        <v>80.03</v>
      </c>
      <c r="AX4380" s="1">
        <v>1706.94</v>
      </c>
      <c r="AY4380" t="s">
        <v>5168</v>
      </c>
      <c r="AZ4380" t="s">
        <v>5168</v>
      </c>
      <c r="BA4380" t="s">
        <v>5061</v>
      </c>
      <c r="BE4380" s="3">
        <v>42409</v>
      </c>
      <c r="BF4380" s="1">
        <v>225000</v>
      </c>
      <c r="BG4380" t="s">
        <v>27641</v>
      </c>
      <c r="BH4380" s="1">
        <v>107.04</v>
      </c>
      <c r="BI4380" s="1">
        <v>225000</v>
      </c>
      <c r="BJ4380" s="3">
        <v>42409</v>
      </c>
      <c r="BK4380" t="s">
        <v>123</v>
      </c>
      <c r="BL4380" t="str">
        <f>"2016.83795"</f>
        <v>2016.83795</v>
      </c>
      <c r="BM4380" t="s">
        <v>6761</v>
      </c>
      <c r="BO4380" t="s">
        <v>27642</v>
      </c>
      <c r="BS4380">
        <v>30</v>
      </c>
      <c r="BW4380" t="str">
        <f>""</f>
        <v/>
      </c>
      <c r="CH4380" t="str">
        <f>""</f>
        <v/>
      </c>
      <c r="CS4380" t="str">
        <f>""</f>
        <v/>
      </c>
    </row>
    <row r="4381" spans="1:97" x14ac:dyDescent="0.25">
      <c r="A4381" t="s">
        <v>494</v>
      </c>
      <c r="B4381" t="s">
        <v>27643</v>
      </c>
      <c r="C4381" t="s">
        <v>27644</v>
      </c>
      <c r="D4381" t="s">
        <v>27643</v>
      </c>
      <c r="E4381" t="s">
        <v>27645</v>
      </c>
      <c r="F4381" t="s">
        <v>108</v>
      </c>
      <c r="H4381" t="s">
        <v>27646</v>
      </c>
      <c r="I4381" t="s">
        <v>632</v>
      </c>
      <c r="J4381" t="s">
        <v>111</v>
      </c>
      <c r="K4381" t="str">
        <f>"85379"</f>
        <v>85379</v>
      </c>
      <c r="L4381" t="s">
        <v>5058</v>
      </c>
      <c r="M4381" t="s">
        <v>27646</v>
      </c>
      <c r="N4381" t="s">
        <v>632</v>
      </c>
      <c r="O4381" t="s">
        <v>111</v>
      </c>
      <c r="P4381" t="str">
        <f>"85379-1175"</f>
        <v>85379-1175</v>
      </c>
      <c r="Q4381" t="s">
        <v>113</v>
      </c>
      <c r="R4381" t="str">
        <f>"501-79-392"</f>
        <v>501-79-392</v>
      </c>
      <c r="S4381" t="s">
        <v>5059</v>
      </c>
      <c r="U4381">
        <v>2085</v>
      </c>
      <c r="V4381">
        <v>0</v>
      </c>
      <c r="W4381">
        <v>3</v>
      </c>
      <c r="X4381">
        <v>2014</v>
      </c>
      <c r="Z4381">
        <v>1</v>
      </c>
      <c r="AA4381" t="s">
        <v>26</v>
      </c>
      <c r="AB4381">
        <v>0</v>
      </c>
      <c r="AC4381" t="s">
        <v>115</v>
      </c>
      <c r="AD4381">
        <v>2</v>
      </c>
      <c r="AE4381" t="s">
        <v>115</v>
      </c>
      <c r="AF4381">
        <v>0</v>
      </c>
      <c r="AG4381">
        <v>0</v>
      </c>
      <c r="AH4381" t="s">
        <v>116</v>
      </c>
      <c r="AI4381" s="1">
        <v>93228</v>
      </c>
      <c r="AJ4381" s="2">
        <v>0.28000000000000003</v>
      </c>
      <c r="AK4381" s="1">
        <v>331338</v>
      </c>
      <c r="AL4381" t="s">
        <v>117</v>
      </c>
      <c r="AM4381" t="s">
        <v>118</v>
      </c>
      <c r="AN4381">
        <v>8394</v>
      </c>
      <c r="AO4381">
        <v>0.19</v>
      </c>
      <c r="AR4381">
        <v>1</v>
      </c>
      <c r="AS4381" s="1">
        <v>25010</v>
      </c>
      <c r="AT4381" s="1">
        <v>5000</v>
      </c>
      <c r="AU4381" s="1">
        <v>20010</v>
      </c>
      <c r="AV4381">
        <v>80.010000000000005</v>
      </c>
      <c r="AX4381" s="1">
        <v>2033.6</v>
      </c>
      <c r="AY4381" t="s">
        <v>5060</v>
      </c>
      <c r="AZ4381" t="s">
        <v>5060</v>
      </c>
      <c r="BA4381" t="s">
        <v>5061</v>
      </c>
      <c r="BE4381" s="3">
        <v>41992</v>
      </c>
      <c r="BF4381" s="1">
        <v>247116</v>
      </c>
      <c r="BG4381" t="s">
        <v>292</v>
      </c>
      <c r="BH4381" s="1">
        <v>118.52</v>
      </c>
      <c r="BI4381" s="1">
        <v>223110</v>
      </c>
      <c r="BJ4381" s="3">
        <v>42527</v>
      </c>
      <c r="BK4381" t="s">
        <v>123</v>
      </c>
      <c r="BL4381" t="str">
        <f>"2016.389226"</f>
        <v>2016.389226</v>
      </c>
      <c r="BM4381" t="s">
        <v>843</v>
      </c>
      <c r="BO4381" t="s">
        <v>27647</v>
      </c>
      <c r="BS4381">
        <v>30</v>
      </c>
      <c r="BT4381" s="1">
        <v>15000</v>
      </c>
      <c r="BU4381" s="3">
        <v>42076</v>
      </c>
      <c r="BV4381" t="s">
        <v>134</v>
      </c>
      <c r="BW4381" t="str">
        <f>"2015.170712"</f>
        <v>2015.170712</v>
      </c>
      <c r="BX4381" t="s">
        <v>198</v>
      </c>
      <c r="BZ4381" t="s">
        <v>27647</v>
      </c>
      <c r="CD4381">
        <v>10</v>
      </c>
      <c r="CH4381" t="str">
        <f>""</f>
        <v/>
      </c>
      <c r="CS4381" t="str">
        <f>""</f>
        <v/>
      </c>
    </row>
    <row r="4382" spans="1:97" x14ac:dyDescent="0.25">
      <c r="A4382" t="s">
        <v>27648</v>
      </c>
      <c r="B4382" t="s">
        <v>348</v>
      </c>
      <c r="C4382" t="s">
        <v>2976</v>
      </c>
      <c r="D4382" t="s">
        <v>348</v>
      </c>
      <c r="E4382" t="s">
        <v>27649</v>
      </c>
      <c r="F4382" t="s">
        <v>108</v>
      </c>
      <c r="H4382" t="s">
        <v>27650</v>
      </c>
      <c r="I4382" t="s">
        <v>499</v>
      </c>
      <c r="J4382" t="s">
        <v>111</v>
      </c>
      <c r="K4382" t="str">
        <f>"85395"</f>
        <v>85395</v>
      </c>
      <c r="L4382" t="s">
        <v>541</v>
      </c>
      <c r="M4382" t="s">
        <v>27650</v>
      </c>
      <c r="N4382" t="s">
        <v>499</v>
      </c>
      <c r="O4382" t="s">
        <v>111</v>
      </c>
      <c r="P4382" t="str">
        <f>"85395-7136"</f>
        <v>85395-7136</v>
      </c>
      <c r="Q4382" t="s">
        <v>113</v>
      </c>
      <c r="R4382" t="str">
        <f>"508-14-804"</f>
        <v>508-14-804</v>
      </c>
      <c r="S4382" t="s">
        <v>7193</v>
      </c>
      <c r="T4382" t="s">
        <v>3018</v>
      </c>
      <c r="U4382">
        <v>2830</v>
      </c>
      <c r="V4382">
        <v>0</v>
      </c>
      <c r="W4382">
        <v>4</v>
      </c>
      <c r="X4382">
        <v>2014</v>
      </c>
      <c r="Z4382">
        <v>1</v>
      </c>
      <c r="AA4382" t="s">
        <v>26</v>
      </c>
      <c r="AB4382">
        <v>0</v>
      </c>
      <c r="AC4382" t="s">
        <v>115</v>
      </c>
      <c r="AD4382">
        <v>2</v>
      </c>
      <c r="AE4382" t="s">
        <v>115</v>
      </c>
      <c r="AF4382">
        <v>0</v>
      </c>
      <c r="AG4382">
        <v>0</v>
      </c>
      <c r="AH4382" t="s">
        <v>116</v>
      </c>
      <c r="AI4382" s="1">
        <v>67398</v>
      </c>
      <c r="AJ4382" s="2">
        <v>0.15</v>
      </c>
      <c r="AK4382" s="1">
        <v>446798</v>
      </c>
      <c r="AL4382" t="s">
        <v>117</v>
      </c>
      <c r="AM4382" t="s">
        <v>118</v>
      </c>
      <c r="AN4382">
        <v>12345</v>
      </c>
      <c r="AO4382">
        <v>0.28000000000000003</v>
      </c>
      <c r="AR4382">
        <v>1</v>
      </c>
      <c r="AS4382" s="1">
        <v>33070</v>
      </c>
      <c r="AT4382" s="1">
        <v>6610</v>
      </c>
      <c r="AU4382" s="1">
        <v>26460</v>
      </c>
      <c r="AV4382">
        <v>80.010000000000005</v>
      </c>
      <c r="AX4382" s="1">
        <v>3032.9</v>
      </c>
      <c r="AY4382" t="s">
        <v>3019</v>
      </c>
      <c r="AZ4382" t="s">
        <v>3020</v>
      </c>
      <c r="BA4382" t="s">
        <v>218</v>
      </c>
      <c r="BE4382" s="3">
        <v>41905</v>
      </c>
      <c r="BF4382" s="1">
        <v>379493</v>
      </c>
      <c r="BG4382" t="s">
        <v>3021</v>
      </c>
      <c r="BH4382" s="1">
        <v>134.1</v>
      </c>
      <c r="BI4382" s="1">
        <v>379400</v>
      </c>
      <c r="BJ4382" s="3">
        <v>41905</v>
      </c>
      <c r="BK4382" t="s">
        <v>123</v>
      </c>
      <c r="BL4382" t="str">
        <f>"2014.627390"</f>
        <v>2014.627390</v>
      </c>
      <c r="BM4382" t="s">
        <v>2245</v>
      </c>
      <c r="BO4382" t="s">
        <v>27651</v>
      </c>
      <c r="BS4382">
        <v>30</v>
      </c>
      <c r="BW4382" t="str">
        <f>""</f>
        <v/>
      </c>
      <c r="CH4382" t="str">
        <f>""</f>
        <v/>
      </c>
      <c r="CS4382" t="str">
        <f>""</f>
        <v/>
      </c>
    </row>
    <row r="4383" spans="1:97" x14ac:dyDescent="0.25">
      <c r="A4383" t="s">
        <v>325</v>
      </c>
      <c r="B4383" t="s">
        <v>27652</v>
      </c>
      <c r="C4383" t="s">
        <v>1821</v>
      </c>
      <c r="D4383" t="s">
        <v>27652</v>
      </c>
      <c r="E4383" t="s">
        <v>27653</v>
      </c>
      <c r="F4383" t="s">
        <v>108</v>
      </c>
      <c r="H4383" t="s">
        <v>27654</v>
      </c>
      <c r="I4383" t="s">
        <v>203</v>
      </c>
      <c r="J4383" t="s">
        <v>111</v>
      </c>
      <c r="K4383" t="str">
        <f>"85297"</f>
        <v>85297</v>
      </c>
      <c r="L4383" t="s">
        <v>1383</v>
      </c>
      <c r="M4383" t="s">
        <v>27654</v>
      </c>
      <c r="N4383" t="s">
        <v>203</v>
      </c>
      <c r="O4383" t="s">
        <v>111</v>
      </c>
      <c r="P4383" t="str">
        <f>"85297-8208"</f>
        <v>85297-8208</v>
      </c>
      <c r="Q4383" t="s">
        <v>113</v>
      </c>
      <c r="R4383" t="str">
        <f>"313-03-234"</f>
        <v>313-03-234</v>
      </c>
      <c r="S4383" t="s">
        <v>8726</v>
      </c>
      <c r="T4383" t="s">
        <v>8726</v>
      </c>
      <c r="U4383">
        <v>2437</v>
      </c>
      <c r="V4383">
        <v>0</v>
      </c>
      <c r="W4383">
        <v>3</v>
      </c>
      <c r="X4383">
        <v>2001</v>
      </c>
      <c r="Z4383">
        <v>2</v>
      </c>
      <c r="AA4383" t="s">
        <v>26</v>
      </c>
      <c r="AB4383">
        <v>0</v>
      </c>
      <c r="AC4383" t="s">
        <v>115</v>
      </c>
      <c r="AD4383">
        <v>2</v>
      </c>
      <c r="AE4383" t="s">
        <v>115</v>
      </c>
      <c r="AF4383">
        <v>0</v>
      </c>
      <c r="AG4383">
        <v>0</v>
      </c>
      <c r="AH4383" t="s">
        <v>116</v>
      </c>
      <c r="AI4383" s="1">
        <v>119833</v>
      </c>
      <c r="AJ4383" s="2">
        <v>0.31</v>
      </c>
      <c r="AK4383" s="1">
        <v>381333</v>
      </c>
      <c r="AL4383" t="s">
        <v>117</v>
      </c>
      <c r="AM4383" t="s">
        <v>191</v>
      </c>
      <c r="AN4383">
        <v>12330</v>
      </c>
      <c r="AO4383">
        <v>0.28000000000000003</v>
      </c>
      <c r="AP4383">
        <v>1</v>
      </c>
      <c r="AR4383">
        <v>1</v>
      </c>
      <c r="AS4383" s="1">
        <v>27960</v>
      </c>
      <c r="AT4383" s="1">
        <v>5590</v>
      </c>
      <c r="AU4383" s="1">
        <v>22370</v>
      </c>
      <c r="AV4383">
        <v>80.010000000000005</v>
      </c>
      <c r="AX4383" s="1">
        <v>2143.66</v>
      </c>
      <c r="AY4383" t="s">
        <v>394</v>
      </c>
      <c r="AZ4383" t="s">
        <v>394</v>
      </c>
      <c r="BA4383" t="s">
        <v>290</v>
      </c>
      <c r="BE4383" s="3">
        <v>42320</v>
      </c>
      <c r="BF4383" s="1">
        <v>285500</v>
      </c>
      <c r="BG4383" t="s">
        <v>27655</v>
      </c>
      <c r="BH4383" s="1">
        <v>117.15</v>
      </c>
      <c r="BI4383" s="1">
        <v>261500</v>
      </c>
      <c r="BJ4383" s="3">
        <v>42320</v>
      </c>
      <c r="BK4383" t="s">
        <v>123</v>
      </c>
      <c r="BL4383" t="str">
        <f>"2015.810085"</f>
        <v>2015.810085</v>
      </c>
      <c r="BM4383" t="s">
        <v>3453</v>
      </c>
      <c r="BO4383" t="s">
        <v>27656</v>
      </c>
      <c r="BS4383">
        <v>30</v>
      </c>
      <c r="BW4383" t="str">
        <f>""</f>
        <v/>
      </c>
      <c r="CH4383" t="str">
        <f>""</f>
        <v/>
      </c>
      <c r="CS4383" t="str">
        <f>""</f>
        <v/>
      </c>
    </row>
    <row r="4384" spans="1:97" x14ac:dyDescent="0.25">
      <c r="A4384" t="s">
        <v>1393</v>
      </c>
      <c r="B4384" t="s">
        <v>27657</v>
      </c>
      <c r="C4384" t="s">
        <v>703</v>
      </c>
      <c r="D4384" t="s">
        <v>27657</v>
      </c>
      <c r="E4384" t="s">
        <v>27658</v>
      </c>
      <c r="F4384" t="s">
        <v>108</v>
      </c>
      <c r="H4384" t="s">
        <v>27659</v>
      </c>
      <c r="I4384" t="s">
        <v>5523</v>
      </c>
      <c r="J4384" t="s">
        <v>111</v>
      </c>
      <c r="K4384" t="str">
        <f>"85373"</f>
        <v>85373</v>
      </c>
      <c r="L4384" t="s">
        <v>734</v>
      </c>
      <c r="M4384" t="s">
        <v>27659</v>
      </c>
      <c r="N4384" t="s">
        <v>5523</v>
      </c>
      <c r="O4384" t="s">
        <v>111</v>
      </c>
      <c r="P4384" t="str">
        <f>"85373-2360"</f>
        <v>85373-2360</v>
      </c>
      <c r="Q4384" t="s">
        <v>113</v>
      </c>
      <c r="R4384" t="str">
        <f>"200-12-041"</f>
        <v>200-12-041</v>
      </c>
      <c r="S4384" t="s">
        <v>27660</v>
      </c>
      <c r="U4384">
        <v>2034</v>
      </c>
      <c r="V4384">
        <v>0</v>
      </c>
      <c r="W4384">
        <v>3</v>
      </c>
      <c r="X4384">
        <v>1994</v>
      </c>
      <c r="Z4384">
        <v>1</v>
      </c>
      <c r="AB4384">
        <v>0</v>
      </c>
      <c r="AC4384" t="s">
        <v>115</v>
      </c>
      <c r="AD4384">
        <v>3</v>
      </c>
      <c r="AE4384" t="s">
        <v>115</v>
      </c>
      <c r="AF4384">
        <v>0</v>
      </c>
      <c r="AG4384">
        <v>0</v>
      </c>
      <c r="AH4384" t="s">
        <v>116</v>
      </c>
      <c r="AI4384" s="1">
        <v>91862</v>
      </c>
      <c r="AJ4384" s="2">
        <v>0.31</v>
      </c>
      <c r="AK4384" s="1">
        <v>295862</v>
      </c>
      <c r="AL4384" t="s">
        <v>117</v>
      </c>
      <c r="AM4384" t="s">
        <v>3345</v>
      </c>
      <c r="AN4384">
        <v>8709</v>
      </c>
      <c r="AO4384">
        <v>0.2</v>
      </c>
      <c r="AP4384">
        <v>1</v>
      </c>
      <c r="AR4384">
        <v>1</v>
      </c>
      <c r="AS4384" s="1">
        <v>20630</v>
      </c>
      <c r="AT4384" s="1">
        <v>4120</v>
      </c>
      <c r="AU4384" s="1">
        <v>16510</v>
      </c>
      <c r="AV4384">
        <v>80.03</v>
      </c>
      <c r="AX4384" s="1">
        <v>1812.98</v>
      </c>
      <c r="AY4384" t="s">
        <v>4520</v>
      </c>
      <c r="AZ4384" t="s">
        <v>4520</v>
      </c>
      <c r="BA4384" t="s">
        <v>4219</v>
      </c>
      <c r="BE4384" s="3">
        <v>41715</v>
      </c>
      <c r="BF4384" s="1">
        <v>205000</v>
      </c>
      <c r="BG4384" t="s">
        <v>27661</v>
      </c>
      <c r="BH4384" s="1">
        <v>100.79</v>
      </c>
      <c r="BI4384" s="1">
        <v>204000</v>
      </c>
      <c r="BJ4384" s="3">
        <v>42030</v>
      </c>
      <c r="BK4384" t="s">
        <v>123</v>
      </c>
      <c r="BL4384" t="str">
        <f>"2015.49517"</f>
        <v>2015.49517</v>
      </c>
      <c r="BM4384" t="s">
        <v>27662</v>
      </c>
      <c r="BO4384" t="s">
        <v>27663</v>
      </c>
      <c r="BS4384">
        <v>15</v>
      </c>
      <c r="BW4384" t="str">
        <f>""</f>
        <v/>
      </c>
      <c r="CH4384" t="str">
        <f>""</f>
        <v/>
      </c>
      <c r="CS4384" t="str">
        <f>""</f>
        <v/>
      </c>
    </row>
    <row r="4385" spans="1:97" x14ac:dyDescent="0.25">
      <c r="A4385" t="s">
        <v>6627</v>
      </c>
      <c r="B4385" t="s">
        <v>6779</v>
      </c>
      <c r="C4385" t="s">
        <v>2640</v>
      </c>
      <c r="D4385" t="s">
        <v>6779</v>
      </c>
      <c r="E4385" t="s">
        <v>27664</v>
      </c>
      <c r="F4385" t="s">
        <v>108</v>
      </c>
      <c r="H4385" t="s">
        <v>27665</v>
      </c>
      <c r="I4385" t="s">
        <v>632</v>
      </c>
      <c r="J4385" t="s">
        <v>111</v>
      </c>
      <c r="K4385" t="str">
        <f>"85388"</f>
        <v>85388</v>
      </c>
      <c r="L4385" t="s">
        <v>9426</v>
      </c>
      <c r="M4385" t="s">
        <v>27665</v>
      </c>
      <c r="N4385" t="s">
        <v>632</v>
      </c>
      <c r="O4385" t="s">
        <v>111</v>
      </c>
      <c r="P4385" t="str">
        <f>"85388-6015"</f>
        <v>85388-6015</v>
      </c>
      <c r="Q4385" t="s">
        <v>113</v>
      </c>
      <c r="R4385" t="str">
        <f>"501-07-144"</f>
        <v>501-07-144</v>
      </c>
      <c r="S4385" t="s">
        <v>9427</v>
      </c>
      <c r="U4385">
        <v>2765</v>
      </c>
      <c r="V4385">
        <v>0</v>
      </c>
      <c r="W4385">
        <v>5</v>
      </c>
      <c r="X4385">
        <v>2010</v>
      </c>
      <c r="Z4385">
        <v>2</v>
      </c>
      <c r="AB4385">
        <v>0</v>
      </c>
      <c r="AC4385" t="s">
        <v>115</v>
      </c>
      <c r="AD4385">
        <v>2</v>
      </c>
      <c r="AE4385" t="s">
        <v>115</v>
      </c>
      <c r="AF4385">
        <v>0</v>
      </c>
      <c r="AG4385">
        <v>0</v>
      </c>
      <c r="AH4385" t="s">
        <v>116</v>
      </c>
      <c r="AI4385" s="1">
        <v>89022</v>
      </c>
      <c r="AJ4385" s="2">
        <v>0.3</v>
      </c>
      <c r="AK4385" s="1">
        <v>301494</v>
      </c>
      <c r="AL4385" t="s">
        <v>117</v>
      </c>
      <c r="AM4385" t="s">
        <v>118</v>
      </c>
      <c r="AN4385">
        <v>6670</v>
      </c>
      <c r="AO4385">
        <v>0.15</v>
      </c>
      <c r="AR4385">
        <v>1</v>
      </c>
      <c r="AS4385" s="1">
        <v>21470</v>
      </c>
      <c r="AT4385" s="1">
        <v>4290</v>
      </c>
      <c r="AU4385" s="1">
        <v>17180</v>
      </c>
      <c r="AV4385">
        <v>80.02</v>
      </c>
      <c r="AX4385" s="1">
        <v>1928.36</v>
      </c>
      <c r="AY4385" t="s">
        <v>5060</v>
      </c>
      <c r="AZ4385" t="s">
        <v>5060</v>
      </c>
      <c r="BA4385" t="s">
        <v>5061</v>
      </c>
      <c r="BE4385" s="3">
        <v>42104</v>
      </c>
      <c r="BF4385" s="1">
        <v>208000</v>
      </c>
      <c r="BG4385" t="s">
        <v>27666</v>
      </c>
      <c r="BH4385" s="1">
        <v>75.23</v>
      </c>
      <c r="BI4385" s="1">
        <v>212472</v>
      </c>
      <c r="BJ4385" s="3">
        <v>42104</v>
      </c>
      <c r="BK4385" t="s">
        <v>123</v>
      </c>
      <c r="BL4385" t="str">
        <f>"2015.245623"</f>
        <v>2015.245623</v>
      </c>
      <c r="BM4385" t="s">
        <v>7311</v>
      </c>
      <c r="BO4385" t="s">
        <v>27667</v>
      </c>
      <c r="BS4385">
        <v>30</v>
      </c>
      <c r="BW4385" t="str">
        <f>""</f>
        <v/>
      </c>
      <c r="CH4385" t="str">
        <f>""</f>
        <v/>
      </c>
      <c r="CS4385" t="str">
        <f>""</f>
        <v/>
      </c>
    </row>
    <row r="4386" spans="1:97" x14ac:dyDescent="0.25">
      <c r="A4386" t="s">
        <v>11822</v>
      </c>
      <c r="B4386" t="s">
        <v>449</v>
      </c>
      <c r="C4386" t="s">
        <v>4925</v>
      </c>
      <c r="D4386" t="s">
        <v>449</v>
      </c>
      <c r="E4386" t="s">
        <v>27668</v>
      </c>
      <c r="F4386" t="s">
        <v>108</v>
      </c>
      <c r="H4386" t="s">
        <v>27669</v>
      </c>
      <c r="I4386" t="s">
        <v>3150</v>
      </c>
      <c r="J4386" t="s">
        <v>111</v>
      </c>
      <c r="K4386" t="str">
        <f>"85340"</f>
        <v>85340</v>
      </c>
      <c r="L4386" t="s">
        <v>168</v>
      </c>
      <c r="M4386" t="s">
        <v>27669</v>
      </c>
      <c r="N4386" t="s">
        <v>3150</v>
      </c>
      <c r="O4386" t="s">
        <v>111</v>
      </c>
      <c r="P4386" t="str">
        <f>"85340-5165"</f>
        <v>85340-5165</v>
      </c>
      <c r="Q4386" t="s">
        <v>113</v>
      </c>
      <c r="R4386" t="str">
        <f>"508-07-522"</f>
        <v>508-07-522</v>
      </c>
      <c r="S4386" t="s">
        <v>13648</v>
      </c>
      <c r="U4386">
        <v>2904</v>
      </c>
      <c r="V4386">
        <v>0</v>
      </c>
      <c r="W4386">
        <v>4</v>
      </c>
      <c r="X4386">
        <v>2003</v>
      </c>
      <c r="Z4386">
        <v>2</v>
      </c>
      <c r="AA4386" t="s">
        <v>26</v>
      </c>
      <c r="AB4386">
        <v>0</v>
      </c>
      <c r="AC4386" t="s">
        <v>115</v>
      </c>
      <c r="AD4386">
        <v>2</v>
      </c>
      <c r="AE4386" t="s">
        <v>115</v>
      </c>
      <c r="AF4386">
        <v>0</v>
      </c>
      <c r="AG4386">
        <v>0</v>
      </c>
      <c r="AH4386" t="s">
        <v>116</v>
      </c>
      <c r="AI4386" s="1">
        <v>41430</v>
      </c>
      <c r="AJ4386" s="2">
        <v>0.12</v>
      </c>
      <c r="AK4386" s="1">
        <v>344365</v>
      </c>
      <c r="AL4386" t="s">
        <v>117</v>
      </c>
      <c r="AM4386" t="s">
        <v>393</v>
      </c>
      <c r="AN4386">
        <v>7530</v>
      </c>
      <c r="AO4386">
        <v>0.17</v>
      </c>
      <c r="AP4386">
        <v>1</v>
      </c>
      <c r="AR4386">
        <v>1</v>
      </c>
      <c r="AS4386" s="1">
        <v>23920</v>
      </c>
      <c r="AT4386" s="1">
        <v>4780</v>
      </c>
      <c r="AU4386" s="1">
        <v>19140</v>
      </c>
      <c r="AV4386">
        <v>80.02</v>
      </c>
      <c r="AX4386" s="1">
        <v>2189.6</v>
      </c>
      <c r="AY4386" t="s">
        <v>6700</v>
      </c>
      <c r="AZ4386" t="s">
        <v>6701</v>
      </c>
      <c r="BA4386" t="s">
        <v>6702</v>
      </c>
      <c r="BE4386" s="3">
        <v>42472</v>
      </c>
      <c r="BF4386" s="1">
        <v>295000</v>
      </c>
      <c r="BG4386" t="s">
        <v>27670</v>
      </c>
      <c r="BH4386" s="1">
        <v>101.58</v>
      </c>
      <c r="BI4386" s="1">
        <v>302935</v>
      </c>
      <c r="BJ4386" s="3">
        <v>42472</v>
      </c>
      <c r="BK4386" t="s">
        <v>123</v>
      </c>
      <c r="BL4386" t="str">
        <f>"2016.242492"</f>
        <v>2016.242492</v>
      </c>
      <c r="BM4386" t="s">
        <v>724</v>
      </c>
      <c r="BO4386" t="s">
        <v>27671</v>
      </c>
      <c r="BS4386">
        <v>30</v>
      </c>
      <c r="BW4386" t="str">
        <f>""</f>
        <v/>
      </c>
      <c r="CH4386" t="str">
        <f>""</f>
        <v/>
      </c>
      <c r="CS4386" t="str">
        <f>""</f>
        <v/>
      </c>
    </row>
    <row r="4387" spans="1:97" x14ac:dyDescent="0.25">
      <c r="A4387" t="s">
        <v>1850</v>
      </c>
      <c r="B4387" t="s">
        <v>27672</v>
      </c>
      <c r="C4387" t="s">
        <v>27673</v>
      </c>
      <c r="D4387" t="s">
        <v>27672</v>
      </c>
      <c r="E4387" t="s">
        <v>27674</v>
      </c>
      <c r="F4387" t="s">
        <v>108</v>
      </c>
      <c r="H4387" t="s">
        <v>27675</v>
      </c>
      <c r="I4387" t="s">
        <v>632</v>
      </c>
      <c r="J4387" t="s">
        <v>111</v>
      </c>
      <c r="K4387" t="str">
        <f>"85379"</f>
        <v>85379</v>
      </c>
      <c r="L4387" t="s">
        <v>375</v>
      </c>
      <c r="M4387" t="s">
        <v>27675</v>
      </c>
      <c r="N4387" t="s">
        <v>632</v>
      </c>
      <c r="O4387" t="s">
        <v>111</v>
      </c>
      <c r="P4387" t="str">
        <f>"85379-8126"</f>
        <v>85379-8126</v>
      </c>
      <c r="Q4387" t="s">
        <v>113</v>
      </c>
      <c r="R4387" t="str">
        <f>"509-15-927"</f>
        <v>509-15-927</v>
      </c>
      <c r="S4387" t="s">
        <v>10480</v>
      </c>
      <c r="U4387">
        <v>2186</v>
      </c>
      <c r="V4387">
        <v>0</v>
      </c>
      <c r="W4387">
        <v>4</v>
      </c>
      <c r="X4387">
        <v>2005</v>
      </c>
      <c r="Z4387">
        <v>2</v>
      </c>
      <c r="AB4387">
        <v>0</v>
      </c>
      <c r="AC4387" t="s">
        <v>115</v>
      </c>
      <c r="AD4387">
        <v>2</v>
      </c>
      <c r="AE4387" t="s">
        <v>115</v>
      </c>
      <c r="AF4387">
        <v>0</v>
      </c>
      <c r="AG4387">
        <v>0</v>
      </c>
      <c r="AH4387" t="s">
        <v>116</v>
      </c>
      <c r="AI4387" s="1">
        <v>83851</v>
      </c>
      <c r="AJ4387" s="2">
        <v>0.28999999999999998</v>
      </c>
      <c r="AK4387" s="1">
        <v>287129</v>
      </c>
      <c r="AL4387" t="s">
        <v>117</v>
      </c>
      <c r="AM4387" t="s">
        <v>118</v>
      </c>
      <c r="AN4387">
        <v>4400</v>
      </c>
      <c r="AO4387">
        <v>0.1</v>
      </c>
      <c r="AR4387">
        <v>1</v>
      </c>
      <c r="AS4387" s="1">
        <v>20980</v>
      </c>
      <c r="AT4387" s="1">
        <v>4190</v>
      </c>
      <c r="AU4387" s="1">
        <v>16790</v>
      </c>
      <c r="AV4387">
        <v>80.03</v>
      </c>
      <c r="AX4387" s="1">
        <v>2250.46</v>
      </c>
      <c r="AY4387" t="s">
        <v>634</v>
      </c>
      <c r="AZ4387" t="s">
        <v>634</v>
      </c>
      <c r="BA4387" t="s">
        <v>635</v>
      </c>
      <c r="BE4387" s="3">
        <v>41962</v>
      </c>
      <c r="BF4387" s="1">
        <v>199000</v>
      </c>
      <c r="BG4387" t="s">
        <v>27676</v>
      </c>
      <c r="BH4387" s="1">
        <v>91.03</v>
      </c>
      <c r="BI4387" s="1">
        <v>203278</v>
      </c>
      <c r="BJ4387" s="3">
        <v>41962</v>
      </c>
      <c r="BK4387" t="s">
        <v>123</v>
      </c>
      <c r="BL4387" t="str">
        <f>"2014.764203"</f>
        <v>2014.764203</v>
      </c>
      <c r="BM4387" t="s">
        <v>544</v>
      </c>
      <c r="BO4387" t="s">
        <v>27677</v>
      </c>
      <c r="BS4387">
        <v>30</v>
      </c>
      <c r="BW4387" t="str">
        <f>""</f>
        <v/>
      </c>
      <c r="CH4387" t="str">
        <f>""</f>
        <v/>
      </c>
      <c r="CS4387" t="str">
        <f>""</f>
        <v/>
      </c>
    </row>
    <row r="4388" spans="1:97" x14ac:dyDescent="0.25">
      <c r="A4388" t="s">
        <v>589</v>
      </c>
      <c r="B4388" t="s">
        <v>27678</v>
      </c>
      <c r="C4388" t="s">
        <v>365</v>
      </c>
      <c r="D4388" t="s">
        <v>27678</v>
      </c>
      <c r="E4388" t="s">
        <v>27679</v>
      </c>
      <c r="F4388" t="s">
        <v>108</v>
      </c>
      <c r="H4388" t="s">
        <v>27680</v>
      </c>
      <c r="I4388" t="s">
        <v>390</v>
      </c>
      <c r="J4388" t="s">
        <v>111</v>
      </c>
      <c r="K4388" t="str">
        <f>"85053"</f>
        <v>85053</v>
      </c>
      <c r="L4388" t="s">
        <v>4282</v>
      </c>
      <c r="M4388" t="s">
        <v>27680</v>
      </c>
      <c r="N4388" t="s">
        <v>390</v>
      </c>
      <c r="O4388" t="s">
        <v>111</v>
      </c>
      <c r="P4388" t="str">
        <f>"85053-2826"</f>
        <v>85053-2826</v>
      </c>
      <c r="Q4388" t="s">
        <v>113</v>
      </c>
      <c r="R4388" t="str">
        <f>"207-16-189"</f>
        <v>207-16-189</v>
      </c>
      <c r="S4388" t="s">
        <v>27681</v>
      </c>
      <c r="T4388" t="s">
        <v>27682</v>
      </c>
      <c r="U4388">
        <v>2014</v>
      </c>
      <c r="V4388">
        <v>0</v>
      </c>
      <c r="W4388">
        <v>2</v>
      </c>
      <c r="X4388">
        <v>1979</v>
      </c>
      <c r="Z4388">
        <v>1</v>
      </c>
      <c r="AB4388">
        <v>0</v>
      </c>
      <c r="AC4388" t="s">
        <v>115</v>
      </c>
      <c r="AD4388">
        <v>2</v>
      </c>
      <c r="AE4388" t="s">
        <v>115</v>
      </c>
      <c r="AF4388">
        <v>0</v>
      </c>
      <c r="AG4388">
        <v>0</v>
      </c>
      <c r="AH4388" t="s">
        <v>116</v>
      </c>
      <c r="AI4388" s="1">
        <v>75135</v>
      </c>
      <c r="AJ4388" s="2">
        <v>0.26</v>
      </c>
      <c r="AK4388" s="1">
        <v>288685</v>
      </c>
      <c r="AL4388" t="s">
        <v>117</v>
      </c>
      <c r="AM4388" t="s">
        <v>171</v>
      </c>
      <c r="AN4388">
        <v>10433</v>
      </c>
      <c r="AO4388">
        <v>0.24</v>
      </c>
      <c r="AP4388">
        <v>1</v>
      </c>
      <c r="AR4388">
        <v>1</v>
      </c>
      <c r="AS4388" s="1">
        <v>19600</v>
      </c>
      <c r="AT4388" s="1">
        <v>3920</v>
      </c>
      <c r="AU4388" s="1">
        <v>15680</v>
      </c>
      <c r="AV4388">
        <v>80</v>
      </c>
      <c r="AX4388" s="1">
        <v>1981.3</v>
      </c>
      <c r="AY4388" t="s">
        <v>2996</v>
      </c>
      <c r="AZ4388" t="s">
        <v>2997</v>
      </c>
      <c r="BA4388" t="s">
        <v>2998</v>
      </c>
      <c r="BE4388" s="3">
        <v>42075</v>
      </c>
      <c r="BF4388" s="1">
        <v>219000</v>
      </c>
      <c r="BG4388" t="s">
        <v>27683</v>
      </c>
      <c r="BH4388" s="1">
        <v>108.74</v>
      </c>
      <c r="BI4388" s="1">
        <v>213550</v>
      </c>
      <c r="BJ4388" s="3">
        <v>42832</v>
      </c>
      <c r="BK4388" t="s">
        <v>123</v>
      </c>
      <c r="BL4388" t="str">
        <f>"2017.245858"</f>
        <v>2017.245858</v>
      </c>
      <c r="BM4388" t="s">
        <v>724</v>
      </c>
      <c r="BO4388" t="s">
        <v>27684</v>
      </c>
      <c r="BS4388">
        <v>30</v>
      </c>
      <c r="BW4388" t="str">
        <f>""</f>
        <v/>
      </c>
      <c r="CH4388" t="str">
        <f>""</f>
        <v/>
      </c>
      <c r="CS4388" t="str">
        <f>""</f>
        <v/>
      </c>
    </row>
    <row r="4389" spans="1:97" x14ac:dyDescent="0.25">
      <c r="A4389" t="s">
        <v>1755</v>
      </c>
      <c r="B4389" t="s">
        <v>27685</v>
      </c>
      <c r="C4389" t="s">
        <v>27686</v>
      </c>
      <c r="D4389" t="s">
        <v>27685</v>
      </c>
      <c r="E4389" t="s">
        <v>27687</v>
      </c>
      <c r="F4389" t="s">
        <v>108</v>
      </c>
      <c r="H4389" t="s">
        <v>27688</v>
      </c>
      <c r="I4389" t="s">
        <v>225</v>
      </c>
      <c r="J4389" t="s">
        <v>111</v>
      </c>
      <c r="K4389" t="str">
        <f>"85212"</f>
        <v>85212</v>
      </c>
      <c r="L4389" t="s">
        <v>17845</v>
      </c>
      <c r="M4389" t="s">
        <v>27688</v>
      </c>
      <c r="N4389" t="s">
        <v>225</v>
      </c>
      <c r="O4389" t="s">
        <v>111</v>
      </c>
      <c r="P4389" t="str">
        <f>"85212-5212"</f>
        <v>85212-5212</v>
      </c>
      <c r="Q4389" t="s">
        <v>113</v>
      </c>
      <c r="R4389" t="str">
        <f>"312-09-523"</f>
        <v>312-09-523</v>
      </c>
      <c r="S4389" t="s">
        <v>19579</v>
      </c>
      <c r="T4389" t="s">
        <v>8810</v>
      </c>
      <c r="U4389">
        <v>2903</v>
      </c>
      <c r="V4389">
        <v>0</v>
      </c>
      <c r="W4389">
        <v>4</v>
      </c>
      <c r="X4389">
        <v>2012</v>
      </c>
      <c r="Z4389">
        <v>2</v>
      </c>
      <c r="AB4389">
        <v>0</v>
      </c>
      <c r="AC4389" t="s">
        <v>115</v>
      </c>
      <c r="AD4389">
        <v>2</v>
      </c>
      <c r="AE4389" t="s">
        <v>115</v>
      </c>
      <c r="AF4389">
        <v>0</v>
      </c>
      <c r="AG4389">
        <v>0</v>
      </c>
      <c r="AH4389" t="s">
        <v>116</v>
      </c>
      <c r="AI4389" s="1">
        <v>82679</v>
      </c>
      <c r="AJ4389" s="2">
        <v>0.23</v>
      </c>
      <c r="AK4389" s="1">
        <v>360679</v>
      </c>
      <c r="AL4389" t="s">
        <v>117</v>
      </c>
      <c r="AM4389" t="s">
        <v>191</v>
      </c>
      <c r="AN4389">
        <v>5837</v>
      </c>
      <c r="AO4389">
        <v>0.13</v>
      </c>
      <c r="AR4389">
        <v>1</v>
      </c>
      <c r="AS4389" s="1">
        <v>24350</v>
      </c>
      <c r="AT4389" s="1">
        <v>4870</v>
      </c>
      <c r="AU4389" s="1">
        <v>19480</v>
      </c>
      <c r="AV4389">
        <v>80</v>
      </c>
      <c r="AX4389" s="1">
        <v>2469.08</v>
      </c>
      <c r="AY4389" t="s">
        <v>560</v>
      </c>
      <c r="AZ4389" t="s">
        <v>561</v>
      </c>
      <c r="BA4389" t="s">
        <v>194</v>
      </c>
      <c r="BE4389" s="3">
        <v>42510</v>
      </c>
      <c r="BF4389" s="1">
        <v>275000</v>
      </c>
      <c r="BG4389" t="s">
        <v>27689</v>
      </c>
      <c r="BH4389" s="1">
        <v>94.73</v>
      </c>
      <c r="BI4389" s="1">
        <v>278000</v>
      </c>
      <c r="BJ4389" s="3">
        <v>42989</v>
      </c>
      <c r="BK4389" t="s">
        <v>123</v>
      </c>
      <c r="BL4389" t="str">
        <f>"2017.670147"</f>
        <v>2017.670147</v>
      </c>
      <c r="BM4389" t="s">
        <v>27690</v>
      </c>
      <c r="BO4389" t="s">
        <v>27691</v>
      </c>
      <c r="BS4389">
        <v>28</v>
      </c>
      <c r="BW4389" t="str">
        <f>""</f>
        <v/>
      </c>
      <c r="CH4389" t="str">
        <f>""</f>
        <v/>
      </c>
      <c r="CS4389" t="str">
        <f>""</f>
        <v/>
      </c>
    </row>
    <row r="4390" spans="1:97" x14ac:dyDescent="0.25">
      <c r="A4390" t="s">
        <v>21426</v>
      </c>
      <c r="B4390" t="s">
        <v>3943</v>
      </c>
      <c r="E4390" t="s">
        <v>27692</v>
      </c>
      <c r="F4390" t="s">
        <v>108</v>
      </c>
      <c r="H4390" t="s">
        <v>27693</v>
      </c>
      <c r="I4390" t="s">
        <v>453</v>
      </c>
      <c r="J4390" t="s">
        <v>111</v>
      </c>
      <c r="K4390" t="str">
        <f>"85382"</f>
        <v>85382</v>
      </c>
      <c r="L4390" t="s">
        <v>5990</v>
      </c>
      <c r="M4390" t="s">
        <v>27693</v>
      </c>
      <c r="N4390" t="s">
        <v>453</v>
      </c>
      <c r="O4390" t="s">
        <v>111</v>
      </c>
      <c r="P4390" t="str">
        <f>"85382-2548"</f>
        <v>85382-2548</v>
      </c>
      <c r="Q4390" t="s">
        <v>113</v>
      </c>
      <c r="R4390" t="str">
        <f>"200-14-718"</f>
        <v>200-14-718</v>
      </c>
      <c r="S4390" t="s">
        <v>27694</v>
      </c>
      <c r="T4390" t="s">
        <v>20707</v>
      </c>
      <c r="U4390">
        <v>1618</v>
      </c>
      <c r="V4390">
        <v>0</v>
      </c>
      <c r="W4390">
        <v>3</v>
      </c>
      <c r="X4390">
        <v>1998</v>
      </c>
      <c r="Z4390">
        <v>1</v>
      </c>
      <c r="AB4390">
        <v>0</v>
      </c>
      <c r="AC4390" t="s">
        <v>115</v>
      </c>
      <c r="AD4390">
        <v>2</v>
      </c>
      <c r="AE4390" t="s">
        <v>115</v>
      </c>
      <c r="AF4390">
        <v>0</v>
      </c>
      <c r="AG4390">
        <v>0</v>
      </c>
      <c r="AH4390" t="s">
        <v>116</v>
      </c>
      <c r="AI4390" s="1">
        <v>49185</v>
      </c>
      <c r="AJ4390" s="2">
        <v>0.18</v>
      </c>
      <c r="AK4390" s="1">
        <v>273915</v>
      </c>
      <c r="AL4390" t="s">
        <v>117</v>
      </c>
      <c r="AM4390" t="s">
        <v>191</v>
      </c>
      <c r="AN4390">
        <v>7150</v>
      </c>
      <c r="AO4390">
        <v>0.16</v>
      </c>
      <c r="AP4390">
        <v>1</v>
      </c>
      <c r="AR4390">
        <v>1</v>
      </c>
      <c r="AS4390" s="1">
        <v>19120</v>
      </c>
      <c r="AT4390" s="1">
        <v>3820</v>
      </c>
      <c r="AU4390" s="1">
        <v>15300</v>
      </c>
      <c r="AV4390">
        <v>80.02</v>
      </c>
      <c r="AX4390" s="1">
        <v>1587.82</v>
      </c>
      <c r="AY4390" t="s">
        <v>4520</v>
      </c>
      <c r="AZ4390" t="s">
        <v>4520</v>
      </c>
      <c r="BA4390" t="s">
        <v>4219</v>
      </c>
      <c r="BE4390" s="3">
        <v>42531</v>
      </c>
      <c r="BF4390" s="1">
        <v>220000</v>
      </c>
      <c r="BG4390" t="s">
        <v>27695</v>
      </c>
      <c r="BH4390" s="1">
        <v>135.97</v>
      </c>
      <c r="BI4390" s="1">
        <v>224730</v>
      </c>
      <c r="BJ4390" s="3">
        <v>42531</v>
      </c>
      <c r="BK4390" t="s">
        <v>123</v>
      </c>
      <c r="BL4390" t="str">
        <f>"2016.402582"</f>
        <v>2016.402582</v>
      </c>
      <c r="BM4390" t="s">
        <v>4014</v>
      </c>
      <c r="BO4390" t="s">
        <v>27696</v>
      </c>
      <c r="BS4390">
        <v>30</v>
      </c>
      <c r="BW4390" t="str">
        <f>""</f>
        <v/>
      </c>
      <c r="CH4390" t="str">
        <f>""</f>
        <v/>
      </c>
      <c r="CS4390" t="str">
        <f>""</f>
        <v/>
      </c>
    </row>
    <row r="4391" spans="1:97" x14ac:dyDescent="0.25">
      <c r="A4391" t="s">
        <v>27697</v>
      </c>
      <c r="B4391" t="s">
        <v>327</v>
      </c>
      <c r="C4391" t="s">
        <v>2099</v>
      </c>
      <c r="D4391" t="s">
        <v>327</v>
      </c>
      <c r="E4391" t="s">
        <v>27698</v>
      </c>
      <c r="F4391" t="s">
        <v>108</v>
      </c>
      <c r="H4391" t="s">
        <v>27699</v>
      </c>
      <c r="I4391" t="s">
        <v>5114</v>
      </c>
      <c r="J4391" t="s">
        <v>111</v>
      </c>
      <c r="K4391" t="str">
        <f>"85323"</f>
        <v>85323</v>
      </c>
      <c r="L4391" t="s">
        <v>6003</v>
      </c>
      <c r="M4391" t="s">
        <v>27699</v>
      </c>
      <c r="N4391" t="s">
        <v>5114</v>
      </c>
      <c r="O4391" t="s">
        <v>111</v>
      </c>
      <c r="P4391" t="str">
        <f>"85323-2786"</f>
        <v>85323-2786</v>
      </c>
      <c r="Q4391" t="s">
        <v>113</v>
      </c>
      <c r="R4391" t="str">
        <f>"500-41-398"</f>
        <v>500-41-398</v>
      </c>
      <c r="S4391" t="s">
        <v>27700</v>
      </c>
      <c r="T4391" t="s">
        <v>27701</v>
      </c>
      <c r="U4391">
        <v>2119</v>
      </c>
      <c r="V4391">
        <v>0</v>
      </c>
      <c r="W4391">
        <v>3</v>
      </c>
      <c r="X4391">
        <v>2007</v>
      </c>
      <c r="Z4391">
        <v>2</v>
      </c>
      <c r="AA4391" t="s">
        <v>26</v>
      </c>
      <c r="AB4391">
        <v>0</v>
      </c>
      <c r="AC4391" t="s">
        <v>115</v>
      </c>
      <c r="AD4391">
        <v>2</v>
      </c>
      <c r="AE4391" t="s">
        <v>115</v>
      </c>
      <c r="AF4391">
        <v>0</v>
      </c>
      <c r="AG4391">
        <v>0</v>
      </c>
      <c r="AH4391" t="s">
        <v>116</v>
      </c>
      <c r="AI4391" s="1">
        <v>55721</v>
      </c>
      <c r="AJ4391" s="2">
        <v>0.21</v>
      </c>
      <c r="AK4391" s="1">
        <v>269721</v>
      </c>
      <c r="AL4391" t="s">
        <v>117</v>
      </c>
      <c r="AM4391" t="s">
        <v>118</v>
      </c>
      <c r="AN4391">
        <v>9127</v>
      </c>
      <c r="AO4391">
        <v>0.21</v>
      </c>
      <c r="AR4391">
        <v>1</v>
      </c>
      <c r="AS4391" s="1">
        <v>19060</v>
      </c>
      <c r="AT4391" s="1">
        <v>3810</v>
      </c>
      <c r="AU4391" s="1">
        <v>15250</v>
      </c>
      <c r="AV4391">
        <v>80.010000000000005</v>
      </c>
      <c r="AX4391" s="1">
        <v>1449.94</v>
      </c>
      <c r="AY4391" t="s">
        <v>27702</v>
      </c>
      <c r="AZ4391" t="s">
        <v>27703</v>
      </c>
      <c r="BA4391" t="s">
        <v>6702</v>
      </c>
      <c r="BE4391" s="3">
        <v>41670</v>
      </c>
      <c r="BF4391" s="1">
        <v>185000</v>
      </c>
      <c r="BG4391" t="s">
        <v>27704</v>
      </c>
      <c r="BH4391" s="1">
        <v>87.31</v>
      </c>
      <c r="BI4391" s="1">
        <v>214000</v>
      </c>
      <c r="BJ4391" s="3">
        <v>42922</v>
      </c>
      <c r="BK4391" t="s">
        <v>123</v>
      </c>
      <c r="BL4391" t="str">
        <f>"2017.493538"</f>
        <v>2017.493538</v>
      </c>
      <c r="BM4391" t="s">
        <v>21778</v>
      </c>
      <c r="BO4391" t="s">
        <v>27705</v>
      </c>
      <c r="BS4391">
        <v>30</v>
      </c>
      <c r="BW4391" t="str">
        <f>""</f>
        <v/>
      </c>
      <c r="CH4391" t="str">
        <f>""</f>
        <v/>
      </c>
      <c r="CS4391" t="str">
        <f>""</f>
        <v/>
      </c>
    </row>
    <row r="4392" spans="1:97" x14ac:dyDescent="0.25">
      <c r="A4392" t="s">
        <v>992</v>
      </c>
      <c r="B4392" t="s">
        <v>3173</v>
      </c>
      <c r="C4392" t="s">
        <v>727</v>
      </c>
      <c r="D4392" t="s">
        <v>3173</v>
      </c>
      <c r="E4392" t="s">
        <v>27706</v>
      </c>
      <c r="F4392" t="s">
        <v>282</v>
      </c>
      <c r="H4392" t="s">
        <v>27707</v>
      </c>
      <c r="I4392" t="s">
        <v>499</v>
      </c>
      <c r="J4392" t="s">
        <v>111</v>
      </c>
      <c r="K4392" t="str">
        <f>"85338"</f>
        <v>85338</v>
      </c>
      <c r="L4392" t="s">
        <v>5637</v>
      </c>
      <c r="M4392" t="s">
        <v>27708</v>
      </c>
      <c r="N4392" t="s">
        <v>453</v>
      </c>
      <c r="O4392" t="s">
        <v>111</v>
      </c>
      <c r="P4392" t="str">
        <f>"85345-2508"</f>
        <v>85345-2508</v>
      </c>
      <c r="Q4392" t="s">
        <v>113</v>
      </c>
      <c r="R4392" t="str">
        <f>"500-06-742"</f>
        <v>500-06-742</v>
      </c>
      <c r="S4392" t="s">
        <v>27709</v>
      </c>
      <c r="U4392">
        <v>1912</v>
      </c>
      <c r="V4392">
        <v>0</v>
      </c>
      <c r="W4392">
        <v>3</v>
      </c>
      <c r="X4392">
        <v>2000</v>
      </c>
      <c r="Z4392">
        <v>1</v>
      </c>
      <c r="AA4392" t="s">
        <v>26</v>
      </c>
      <c r="AB4392">
        <v>0</v>
      </c>
      <c r="AC4392" t="s">
        <v>115</v>
      </c>
      <c r="AD4392">
        <v>2</v>
      </c>
      <c r="AE4392" t="s">
        <v>115</v>
      </c>
      <c r="AF4392">
        <v>0</v>
      </c>
      <c r="AG4392">
        <v>0</v>
      </c>
      <c r="AH4392" t="s">
        <v>116</v>
      </c>
      <c r="AI4392" s="1">
        <v>53574</v>
      </c>
      <c r="AJ4392" s="2">
        <v>0.2</v>
      </c>
      <c r="AK4392" s="1">
        <v>263574</v>
      </c>
      <c r="AL4392" t="s">
        <v>117</v>
      </c>
      <c r="AM4392" t="s">
        <v>118</v>
      </c>
      <c r="AN4392">
        <v>7667</v>
      </c>
      <c r="AO4392">
        <v>0.18</v>
      </c>
      <c r="AP4392">
        <v>1</v>
      </c>
      <c r="AR4392">
        <v>1</v>
      </c>
      <c r="AS4392" s="1">
        <v>18660</v>
      </c>
      <c r="AT4392" s="1">
        <v>3730</v>
      </c>
      <c r="AU4392" s="1">
        <v>14930</v>
      </c>
      <c r="AV4392">
        <v>80.010000000000005</v>
      </c>
      <c r="AX4392" s="1">
        <v>1632.92</v>
      </c>
      <c r="AY4392" t="s">
        <v>11177</v>
      </c>
      <c r="AZ4392" t="s">
        <v>11177</v>
      </c>
      <c r="BA4392" t="s">
        <v>7186</v>
      </c>
      <c r="BE4392" s="3">
        <v>42495</v>
      </c>
      <c r="BF4392" s="1">
        <v>210000</v>
      </c>
      <c r="BG4392" t="s">
        <v>27710</v>
      </c>
      <c r="BH4392" s="1">
        <v>109.83</v>
      </c>
      <c r="BI4392" s="1">
        <v>210000</v>
      </c>
      <c r="BJ4392" s="3">
        <v>42495</v>
      </c>
      <c r="BK4392" t="s">
        <v>123</v>
      </c>
      <c r="BL4392" t="str">
        <f>"2016.308379"</f>
        <v>2016.308379</v>
      </c>
      <c r="BM4392" t="s">
        <v>3929</v>
      </c>
      <c r="BO4392" t="s">
        <v>27711</v>
      </c>
      <c r="BS4392">
        <v>30</v>
      </c>
      <c r="BW4392" t="str">
        <f>""</f>
        <v/>
      </c>
      <c r="CH4392" t="str">
        <f>""</f>
        <v/>
      </c>
      <c r="CS4392" t="str">
        <f>""</f>
        <v/>
      </c>
    </row>
    <row r="4393" spans="1:97" x14ac:dyDescent="0.25">
      <c r="A4393" t="s">
        <v>1109</v>
      </c>
      <c r="B4393" t="s">
        <v>27712</v>
      </c>
      <c r="C4393" t="s">
        <v>2008</v>
      </c>
      <c r="D4393" t="s">
        <v>27712</v>
      </c>
      <c r="E4393" t="s">
        <v>27713</v>
      </c>
      <c r="F4393" t="s">
        <v>108</v>
      </c>
      <c r="H4393" t="s">
        <v>27714</v>
      </c>
      <c r="I4393" t="s">
        <v>453</v>
      </c>
      <c r="J4393" t="s">
        <v>111</v>
      </c>
      <c r="K4393" t="str">
        <f>"85381"</f>
        <v>85381</v>
      </c>
      <c r="L4393" t="s">
        <v>5464</v>
      </c>
      <c r="M4393" t="s">
        <v>27714</v>
      </c>
      <c r="N4393" t="s">
        <v>453</v>
      </c>
      <c r="O4393" t="s">
        <v>111</v>
      </c>
      <c r="P4393" t="str">
        <f>"85381-5397"</f>
        <v>85381-5397</v>
      </c>
      <c r="Q4393" t="s">
        <v>113</v>
      </c>
      <c r="R4393" t="str">
        <f>"200-77-726"</f>
        <v>200-77-726</v>
      </c>
      <c r="S4393" t="s">
        <v>22647</v>
      </c>
      <c r="T4393" t="s">
        <v>6871</v>
      </c>
      <c r="U4393">
        <v>1857</v>
      </c>
      <c r="V4393">
        <v>0</v>
      </c>
      <c r="W4393">
        <v>2</v>
      </c>
      <c r="X4393">
        <v>1986</v>
      </c>
      <c r="Z4393">
        <v>1</v>
      </c>
      <c r="AA4393" t="s">
        <v>26</v>
      </c>
      <c r="AB4393">
        <v>0</v>
      </c>
      <c r="AC4393" t="s">
        <v>115</v>
      </c>
      <c r="AD4393">
        <v>3</v>
      </c>
      <c r="AE4393" t="s">
        <v>115</v>
      </c>
      <c r="AF4393">
        <v>0</v>
      </c>
      <c r="AG4393">
        <v>0</v>
      </c>
      <c r="AH4393" t="s">
        <v>116</v>
      </c>
      <c r="AI4393" s="1">
        <v>38590</v>
      </c>
      <c r="AJ4393" s="2">
        <v>0.13</v>
      </c>
      <c r="AK4393" s="1">
        <v>292840</v>
      </c>
      <c r="AL4393" t="s">
        <v>117</v>
      </c>
      <c r="AM4393" t="s">
        <v>171</v>
      </c>
      <c r="AN4393">
        <v>9187</v>
      </c>
      <c r="AO4393">
        <v>0.21</v>
      </c>
      <c r="AP4393">
        <v>1</v>
      </c>
      <c r="AR4393">
        <v>1</v>
      </c>
      <c r="AS4393" s="1">
        <v>20650</v>
      </c>
      <c r="AT4393" s="1">
        <v>4130</v>
      </c>
      <c r="AU4393" s="1">
        <v>16520</v>
      </c>
      <c r="AV4393">
        <v>80</v>
      </c>
      <c r="AX4393" s="1">
        <v>1351.36</v>
      </c>
      <c r="AY4393" t="s">
        <v>3359</v>
      </c>
      <c r="AZ4393" t="s">
        <v>3359</v>
      </c>
      <c r="BA4393" t="s">
        <v>3360</v>
      </c>
      <c r="BE4393" s="3">
        <v>42236</v>
      </c>
      <c r="BF4393" s="1">
        <v>260000</v>
      </c>
      <c r="BG4393" t="s">
        <v>5034</v>
      </c>
      <c r="BH4393" s="1">
        <v>140.01</v>
      </c>
      <c r="BI4393" s="1">
        <v>254250</v>
      </c>
      <c r="BJ4393" s="3">
        <v>42236</v>
      </c>
      <c r="BK4393" t="s">
        <v>123</v>
      </c>
      <c r="BL4393" t="str">
        <f>"2015.605880"</f>
        <v>2015.605880</v>
      </c>
      <c r="BM4393" t="s">
        <v>124</v>
      </c>
      <c r="BO4393" t="s">
        <v>27715</v>
      </c>
      <c r="BS4393">
        <v>30</v>
      </c>
      <c r="BW4393" t="str">
        <f>""</f>
        <v/>
      </c>
      <c r="CH4393" t="str">
        <f>""</f>
        <v/>
      </c>
      <c r="CS4393" t="str">
        <f>""</f>
        <v/>
      </c>
    </row>
    <row r="4394" spans="1:97" x14ac:dyDescent="0.25">
      <c r="A4394" t="s">
        <v>1187</v>
      </c>
      <c r="B4394" t="s">
        <v>3613</v>
      </c>
      <c r="C4394" t="s">
        <v>2178</v>
      </c>
      <c r="D4394" t="s">
        <v>3613</v>
      </c>
      <c r="E4394" t="s">
        <v>27716</v>
      </c>
      <c r="F4394" t="s">
        <v>108</v>
      </c>
      <c r="H4394" t="s">
        <v>27717</v>
      </c>
      <c r="I4394" t="s">
        <v>203</v>
      </c>
      <c r="J4394" t="s">
        <v>111</v>
      </c>
      <c r="K4394" t="str">
        <f>"85296"</f>
        <v>85296</v>
      </c>
      <c r="L4394" t="s">
        <v>9293</v>
      </c>
      <c r="M4394" t="s">
        <v>27717</v>
      </c>
      <c r="N4394" t="s">
        <v>203</v>
      </c>
      <c r="O4394" t="s">
        <v>111</v>
      </c>
      <c r="P4394" t="str">
        <f>"85296-3360"</f>
        <v>85296-3360</v>
      </c>
      <c r="Q4394" t="s">
        <v>113</v>
      </c>
      <c r="R4394" t="str">
        <f>"309-11-025"</f>
        <v>309-11-025</v>
      </c>
      <c r="S4394" t="s">
        <v>16540</v>
      </c>
      <c r="T4394" t="s">
        <v>14454</v>
      </c>
      <c r="U4394">
        <v>2185</v>
      </c>
      <c r="V4394">
        <v>0</v>
      </c>
      <c r="W4394">
        <v>4</v>
      </c>
      <c r="X4394">
        <v>1997</v>
      </c>
      <c r="Z4394">
        <v>2</v>
      </c>
      <c r="AB4394">
        <v>0</v>
      </c>
      <c r="AC4394" t="s">
        <v>115</v>
      </c>
      <c r="AD4394">
        <v>2</v>
      </c>
      <c r="AE4394" t="s">
        <v>115</v>
      </c>
      <c r="AF4394">
        <v>0</v>
      </c>
      <c r="AG4394">
        <v>0</v>
      </c>
      <c r="AH4394" t="s">
        <v>116</v>
      </c>
      <c r="AI4394" s="1">
        <v>60562</v>
      </c>
      <c r="AJ4394" s="2">
        <v>0.18</v>
      </c>
      <c r="AK4394" s="1">
        <v>346007</v>
      </c>
      <c r="AL4394" t="s">
        <v>117</v>
      </c>
      <c r="AM4394" t="s">
        <v>191</v>
      </c>
      <c r="AN4394">
        <v>5719</v>
      </c>
      <c r="AO4394">
        <v>0.13</v>
      </c>
      <c r="AP4394">
        <v>1</v>
      </c>
      <c r="AR4394">
        <v>1</v>
      </c>
      <c r="AS4394" s="1">
        <v>22520</v>
      </c>
      <c r="AT4394" s="1">
        <v>4500</v>
      </c>
      <c r="AU4394" s="1">
        <v>18020</v>
      </c>
      <c r="AV4394">
        <v>80.02</v>
      </c>
      <c r="AX4394" s="1">
        <v>1561.24</v>
      </c>
      <c r="AY4394" t="s">
        <v>5032</v>
      </c>
      <c r="AZ4394" t="s">
        <v>520</v>
      </c>
      <c r="BA4394" t="s">
        <v>5033</v>
      </c>
      <c r="BE4394" s="3">
        <v>42255</v>
      </c>
      <c r="BF4394" s="1">
        <v>279000</v>
      </c>
      <c r="BG4394" t="s">
        <v>27718</v>
      </c>
      <c r="BH4394" s="1">
        <v>127.69</v>
      </c>
      <c r="BI4394" s="1">
        <v>285445</v>
      </c>
      <c r="BJ4394" s="3">
        <v>42674</v>
      </c>
      <c r="BK4394" t="s">
        <v>123</v>
      </c>
      <c r="BL4394" t="str">
        <f>"2016.801376"</f>
        <v>2016.801376</v>
      </c>
      <c r="BM4394" t="s">
        <v>544</v>
      </c>
      <c r="BO4394" t="s">
        <v>27719</v>
      </c>
      <c r="BS4394">
        <v>30</v>
      </c>
      <c r="BW4394" t="str">
        <f>""</f>
        <v/>
      </c>
      <c r="CH4394" t="str">
        <f>""</f>
        <v/>
      </c>
      <c r="CS4394" t="str">
        <f>""</f>
        <v/>
      </c>
    </row>
    <row r="4395" spans="1:97" x14ac:dyDescent="0.25">
      <c r="A4395" t="s">
        <v>1755</v>
      </c>
      <c r="B4395" t="s">
        <v>27720</v>
      </c>
      <c r="C4395" t="s">
        <v>27721</v>
      </c>
      <c r="D4395" t="s">
        <v>27720</v>
      </c>
      <c r="E4395" t="s">
        <v>27722</v>
      </c>
      <c r="F4395" t="s">
        <v>108</v>
      </c>
      <c r="H4395" t="s">
        <v>27723</v>
      </c>
      <c r="I4395" t="s">
        <v>5114</v>
      </c>
      <c r="J4395" t="s">
        <v>111</v>
      </c>
      <c r="K4395" t="str">
        <f>"85392"</f>
        <v>85392</v>
      </c>
      <c r="L4395" t="s">
        <v>8199</v>
      </c>
      <c r="M4395" t="s">
        <v>27723</v>
      </c>
      <c r="N4395" t="s">
        <v>5114</v>
      </c>
      <c r="O4395" t="s">
        <v>111</v>
      </c>
      <c r="P4395" t="str">
        <f>"85392-3813"</f>
        <v>85392-3813</v>
      </c>
      <c r="Q4395" t="s">
        <v>113</v>
      </c>
      <c r="R4395" t="str">
        <f>"501-73-194"</f>
        <v>501-73-194</v>
      </c>
      <c r="S4395" t="s">
        <v>11508</v>
      </c>
      <c r="T4395" t="s">
        <v>11509</v>
      </c>
      <c r="U4395">
        <v>2677</v>
      </c>
      <c r="V4395">
        <v>0</v>
      </c>
      <c r="W4395">
        <v>4</v>
      </c>
      <c r="X4395">
        <v>1996</v>
      </c>
      <c r="Z4395">
        <v>2</v>
      </c>
      <c r="AB4395">
        <v>0</v>
      </c>
      <c r="AC4395" t="s">
        <v>115</v>
      </c>
      <c r="AD4395">
        <v>3</v>
      </c>
      <c r="AE4395" t="s">
        <v>115</v>
      </c>
      <c r="AF4395">
        <v>0</v>
      </c>
      <c r="AG4395">
        <v>0</v>
      </c>
      <c r="AH4395" t="s">
        <v>116</v>
      </c>
      <c r="AI4395" s="1">
        <v>78324</v>
      </c>
      <c r="AJ4395" s="2">
        <v>0.26</v>
      </c>
      <c r="AK4395" s="1">
        <v>305607</v>
      </c>
      <c r="AL4395" t="s">
        <v>117</v>
      </c>
      <c r="AM4395" t="s">
        <v>118</v>
      </c>
      <c r="AN4395">
        <v>7096</v>
      </c>
      <c r="AO4395">
        <v>0.16</v>
      </c>
      <c r="AP4395">
        <v>1</v>
      </c>
      <c r="AR4395">
        <v>1</v>
      </c>
      <c r="AS4395" s="1">
        <v>21510</v>
      </c>
      <c r="AT4395" s="1">
        <v>4300</v>
      </c>
      <c r="AU4395" s="1">
        <v>17210</v>
      </c>
      <c r="AV4395">
        <v>80.010000000000005</v>
      </c>
      <c r="AX4395" s="1">
        <v>2615.8000000000002</v>
      </c>
      <c r="AY4395" t="s">
        <v>8084</v>
      </c>
      <c r="AZ4395" t="s">
        <v>8084</v>
      </c>
      <c r="BA4395" t="s">
        <v>5118</v>
      </c>
      <c r="BB4395" s="3">
        <v>42202</v>
      </c>
      <c r="BD4395" t="s">
        <v>21703</v>
      </c>
      <c r="BE4395" s="3">
        <v>41955</v>
      </c>
      <c r="BF4395" s="1">
        <v>222500</v>
      </c>
      <c r="BG4395" t="s">
        <v>27724</v>
      </c>
      <c r="BH4395" s="1">
        <v>83.12</v>
      </c>
      <c r="BI4395" s="1">
        <v>227283</v>
      </c>
      <c r="BJ4395" s="3">
        <v>41955</v>
      </c>
      <c r="BK4395" t="s">
        <v>123</v>
      </c>
      <c r="BL4395" t="str">
        <f>"2014.748024"</f>
        <v>2014.748024</v>
      </c>
      <c r="BM4395" t="s">
        <v>2683</v>
      </c>
      <c r="BO4395" t="s">
        <v>27725</v>
      </c>
      <c r="BS4395">
        <v>30</v>
      </c>
      <c r="BW4395" t="str">
        <f>""</f>
        <v/>
      </c>
      <c r="CH4395" t="str">
        <f>""</f>
        <v/>
      </c>
      <c r="CS4395" t="str">
        <f>""</f>
        <v/>
      </c>
    </row>
    <row r="4396" spans="1:97" x14ac:dyDescent="0.25">
      <c r="A4396" t="s">
        <v>27726</v>
      </c>
      <c r="B4396" t="s">
        <v>1552</v>
      </c>
      <c r="C4396" t="s">
        <v>727</v>
      </c>
      <c r="D4396" t="s">
        <v>1552</v>
      </c>
      <c r="E4396" t="s">
        <v>27727</v>
      </c>
      <c r="F4396" t="s">
        <v>108</v>
      </c>
      <c r="H4396" t="s">
        <v>27728</v>
      </c>
      <c r="I4396" t="s">
        <v>144</v>
      </c>
      <c r="J4396" t="s">
        <v>111</v>
      </c>
      <c r="K4396" t="str">
        <f>"85396"</f>
        <v>85396</v>
      </c>
      <c r="L4396" t="s">
        <v>215</v>
      </c>
      <c r="M4396" t="s">
        <v>27728</v>
      </c>
      <c r="N4396" t="s">
        <v>144</v>
      </c>
      <c r="O4396" t="s">
        <v>111</v>
      </c>
      <c r="P4396" t="str">
        <f>"85396-1666"</f>
        <v>85396-1666</v>
      </c>
      <c r="Q4396" t="s">
        <v>113</v>
      </c>
      <c r="R4396" t="str">
        <f>"502-80-793"</f>
        <v>502-80-793</v>
      </c>
      <c r="S4396" t="s">
        <v>27729</v>
      </c>
      <c r="U4396">
        <v>2033</v>
      </c>
      <c r="V4396">
        <v>0</v>
      </c>
      <c r="W4396">
        <v>2</v>
      </c>
      <c r="X4396">
        <v>2014</v>
      </c>
      <c r="Z4396">
        <v>1</v>
      </c>
      <c r="AB4396">
        <v>0</v>
      </c>
      <c r="AC4396" t="s">
        <v>115</v>
      </c>
      <c r="AD4396">
        <v>3</v>
      </c>
      <c r="AE4396" t="s">
        <v>115</v>
      </c>
      <c r="AF4396">
        <v>0</v>
      </c>
      <c r="AG4396">
        <v>0</v>
      </c>
      <c r="AH4396" t="s">
        <v>116</v>
      </c>
      <c r="AI4396" s="1">
        <v>56689</v>
      </c>
      <c r="AJ4396" s="2">
        <v>0.18</v>
      </c>
      <c r="AK4396" s="1">
        <v>323099</v>
      </c>
      <c r="AL4396" t="s">
        <v>117</v>
      </c>
      <c r="AM4396" t="s">
        <v>118</v>
      </c>
      <c r="AN4396">
        <v>7150</v>
      </c>
      <c r="AO4396">
        <v>0.16</v>
      </c>
      <c r="AR4396">
        <v>1</v>
      </c>
      <c r="AS4396" s="1">
        <v>22180</v>
      </c>
      <c r="AT4396" s="1">
        <v>4430</v>
      </c>
      <c r="AU4396" s="1">
        <v>17750</v>
      </c>
      <c r="AV4396">
        <v>80.03</v>
      </c>
      <c r="AX4396" s="1">
        <v>2733.04</v>
      </c>
      <c r="AY4396" t="s">
        <v>217</v>
      </c>
      <c r="AZ4396" t="s">
        <v>217</v>
      </c>
      <c r="BA4396" t="s">
        <v>218</v>
      </c>
      <c r="BB4396" s="3">
        <v>42489</v>
      </c>
      <c r="BC4396" s="1">
        <v>257900</v>
      </c>
      <c r="BD4396" t="s">
        <v>842</v>
      </c>
      <c r="BE4396" s="3">
        <v>41751</v>
      </c>
      <c r="BF4396" s="1">
        <v>249946</v>
      </c>
      <c r="BG4396" t="s">
        <v>3062</v>
      </c>
      <c r="BH4396" s="1">
        <v>122.94</v>
      </c>
      <c r="BI4396" s="1">
        <v>266410</v>
      </c>
      <c r="BJ4396" s="3">
        <v>42489</v>
      </c>
      <c r="BK4396" t="s">
        <v>123</v>
      </c>
      <c r="BL4396" t="str">
        <f>"2016.294442"</f>
        <v>2016.294442</v>
      </c>
      <c r="BM4396" t="s">
        <v>5348</v>
      </c>
      <c r="BO4396" t="s">
        <v>27730</v>
      </c>
      <c r="BS4396">
        <v>30</v>
      </c>
      <c r="BW4396" t="str">
        <f>""</f>
        <v/>
      </c>
      <c r="CH4396" t="str">
        <f>""</f>
        <v/>
      </c>
      <c r="CS4396" t="str">
        <f>""</f>
        <v/>
      </c>
    </row>
    <row r="4397" spans="1:97" x14ac:dyDescent="0.25">
      <c r="A4397" t="s">
        <v>3089</v>
      </c>
      <c r="B4397" t="s">
        <v>27731</v>
      </c>
      <c r="C4397" t="s">
        <v>3029</v>
      </c>
      <c r="D4397" t="s">
        <v>27731</v>
      </c>
      <c r="E4397" t="s">
        <v>27732</v>
      </c>
      <c r="F4397" t="s">
        <v>108</v>
      </c>
      <c r="H4397" t="s">
        <v>27733</v>
      </c>
      <c r="I4397" t="s">
        <v>499</v>
      </c>
      <c r="J4397" t="s">
        <v>111</v>
      </c>
      <c r="K4397" t="str">
        <f>"85395"</f>
        <v>85395</v>
      </c>
      <c r="L4397" t="s">
        <v>168</v>
      </c>
      <c r="M4397" t="s">
        <v>27733</v>
      </c>
      <c r="N4397" t="s">
        <v>499</v>
      </c>
      <c r="O4397" t="s">
        <v>111</v>
      </c>
      <c r="P4397" t="str">
        <f>"85395-8811"</f>
        <v>85395-8811</v>
      </c>
      <c r="Q4397" t="s">
        <v>113</v>
      </c>
      <c r="R4397" t="str">
        <f>"501-87-046"</f>
        <v>501-87-046</v>
      </c>
      <c r="S4397" t="s">
        <v>27734</v>
      </c>
      <c r="U4397">
        <v>2154</v>
      </c>
      <c r="V4397">
        <v>0</v>
      </c>
      <c r="W4397">
        <v>3</v>
      </c>
      <c r="X4397">
        <v>1999</v>
      </c>
      <c r="Z4397">
        <v>1</v>
      </c>
      <c r="AA4397" t="s">
        <v>26</v>
      </c>
      <c r="AB4397">
        <v>0</v>
      </c>
      <c r="AC4397" t="s">
        <v>115</v>
      </c>
      <c r="AD4397">
        <v>2</v>
      </c>
      <c r="AE4397" t="s">
        <v>115</v>
      </c>
      <c r="AF4397">
        <v>0</v>
      </c>
      <c r="AG4397">
        <v>0</v>
      </c>
      <c r="AH4397" t="s">
        <v>116</v>
      </c>
      <c r="AI4397" s="1">
        <v>70086</v>
      </c>
      <c r="AJ4397" s="2">
        <v>0.19</v>
      </c>
      <c r="AK4397" s="1">
        <v>370086</v>
      </c>
      <c r="AL4397" t="s">
        <v>117</v>
      </c>
      <c r="AM4397" t="s">
        <v>118</v>
      </c>
      <c r="AN4397">
        <v>9548</v>
      </c>
      <c r="AO4397">
        <v>0.22</v>
      </c>
      <c r="AP4397">
        <v>1</v>
      </c>
      <c r="AR4397">
        <v>1</v>
      </c>
      <c r="AS4397" s="1">
        <v>27320</v>
      </c>
      <c r="AT4397" s="1">
        <v>5460</v>
      </c>
      <c r="AU4397" s="1">
        <v>21860</v>
      </c>
      <c r="AV4397">
        <v>80.010000000000005</v>
      </c>
      <c r="AX4397" s="1">
        <v>3265.2</v>
      </c>
      <c r="AY4397" t="s">
        <v>3020</v>
      </c>
      <c r="AZ4397" t="s">
        <v>3020</v>
      </c>
      <c r="BA4397" t="s">
        <v>3154</v>
      </c>
      <c r="BE4397" s="3">
        <v>42500</v>
      </c>
      <c r="BF4397" s="1">
        <v>300000</v>
      </c>
      <c r="BG4397" t="s">
        <v>27735</v>
      </c>
      <c r="BH4397" s="1">
        <v>139.28</v>
      </c>
      <c r="BI4397" s="1">
        <v>300000</v>
      </c>
      <c r="BJ4397" s="3">
        <v>42500</v>
      </c>
      <c r="BK4397" t="s">
        <v>123</v>
      </c>
      <c r="BL4397" t="str">
        <f>"2016.319686"</f>
        <v>2016.319686</v>
      </c>
      <c r="BM4397" t="s">
        <v>3810</v>
      </c>
      <c r="BO4397" t="s">
        <v>27736</v>
      </c>
      <c r="BS4397">
        <v>30</v>
      </c>
      <c r="BW4397" t="str">
        <f>""</f>
        <v/>
      </c>
      <c r="CH4397" t="str">
        <f>""</f>
        <v/>
      </c>
      <c r="CS4397" t="str">
        <f>""</f>
        <v/>
      </c>
    </row>
    <row r="4398" spans="1:97" x14ac:dyDescent="0.25">
      <c r="A4398" t="s">
        <v>5224</v>
      </c>
      <c r="B4398" t="s">
        <v>27737</v>
      </c>
      <c r="C4398" t="s">
        <v>2104</v>
      </c>
      <c r="D4398" t="s">
        <v>27737</v>
      </c>
      <c r="E4398" t="s">
        <v>27738</v>
      </c>
      <c r="F4398" t="s">
        <v>108</v>
      </c>
      <c r="H4398" t="s">
        <v>27739</v>
      </c>
      <c r="I4398" t="s">
        <v>2874</v>
      </c>
      <c r="J4398" t="s">
        <v>111</v>
      </c>
      <c r="K4398" t="str">
        <f>"85308"</f>
        <v>85308</v>
      </c>
      <c r="L4398" t="s">
        <v>5429</v>
      </c>
      <c r="M4398" t="s">
        <v>27739</v>
      </c>
      <c r="N4398" t="s">
        <v>2874</v>
      </c>
      <c r="O4398" t="s">
        <v>111</v>
      </c>
      <c r="P4398" t="str">
        <f>"85308-7560"</f>
        <v>85308-7560</v>
      </c>
      <c r="Q4398" t="s">
        <v>113</v>
      </c>
      <c r="R4398" t="str">
        <f>"206-14-248"</f>
        <v>206-14-248</v>
      </c>
      <c r="S4398" t="s">
        <v>27740</v>
      </c>
      <c r="T4398" t="s">
        <v>26025</v>
      </c>
      <c r="U4398">
        <v>1598</v>
      </c>
      <c r="V4398">
        <v>0</v>
      </c>
      <c r="W4398">
        <v>3</v>
      </c>
      <c r="X4398">
        <v>1995</v>
      </c>
      <c r="Z4398">
        <v>1</v>
      </c>
      <c r="AA4398" t="s">
        <v>26</v>
      </c>
      <c r="AB4398">
        <v>0</v>
      </c>
      <c r="AC4398" t="s">
        <v>115</v>
      </c>
      <c r="AD4398">
        <v>3</v>
      </c>
      <c r="AE4398" t="s">
        <v>115</v>
      </c>
      <c r="AF4398">
        <v>0</v>
      </c>
      <c r="AG4398">
        <v>0</v>
      </c>
      <c r="AH4398" t="s">
        <v>116</v>
      </c>
      <c r="AI4398" s="1">
        <v>47897</v>
      </c>
      <c r="AJ4398" s="2">
        <v>0.16</v>
      </c>
      <c r="AK4398" s="1">
        <v>295817</v>
      </c>
      <c r="AL4398" t="s">
        <v>117</v>
      </c>
      <c r="AM4398" t="s">
        <v>1315</v>
      </c>
      <c r="AN4398">
        <v>6003</v>
      </c>
      <c r="AO4398">
        <v>0.14000000000000001</v>
      </c>
      <c r="AP4398">
        <v>1</v>
      </c>
      <c r="AR4398">
        <v>1</v>
      </c>
      <c r="AS4398" s="1">
        <v>20250</v>
      </c>
      <c r="AT4398" s="1">
        <v>4050</v>
      </c>
      <c r="AU4398" s="1">
        <v>16200</v>
      </c>
      <c r="AV4398">
        <v>80</v>
      </c>
      <c r="AX4398" s="1">
        <v>1267.56</v>
      </c>
      <c r="AY4398" t="s">
        <v>9121</v>
      </c>
      <c r="AZ4398" t="s">
        <v>2357</v>
      </c>
      <c r="BA4398" t="s">
        <v>1462</v>
      </c>
      <c r="BE4398" s="3">
        <v>42440</v>
      </c>
      <c r="BF4398" s="1">
        <v>240000</v>
      </c>
      <c r="BG4398" t="s">
        <v>27741</v>
      </c>
      <c r="BH4398" s="1">
        <v>150.19</v>
      </c>
      <c r="BI4398" s="1">
        <v>247920</v>
      </c>
      <c r="BJ4398" s="3">
        <v>42440</v>
      </c>
      <c r="BK4398" t="s">
        <v>123</v>
      </c>
      <c r="BL4398" t="str">
        <f>"2016.157850"</f>
        <v>2016.157850</v>
      </c>
      <c r="BM4398" t="s">
        <v>1325</v>
      </c>
      <c r="BO4398" t="s">
        <v>27742</v>
      </c>
      <c r="BS4398">
        <v>30</v>
      </c>
      <c r="BW4398" t="str">
        <f>""</f>
        <v/>
      </c>
      <c r="CH4398" t="str">
        <f>""</f>
        <v/>
      </c>
      <c r="CS4398" t="str">
        <f>""</f>
        <v/>
      </c>
    </row>
    <row r="4399" spans="1:97" x14ac:dyDescent="0.25">
      <c r="A4399" t="s">
        <v>996</v>
      </c>
      <c r="B4399" t="s">
        <v>27743</v>
      </c>
      <c r="C4399" t="s">
        <v>27744</v>
      </c>
      <c r="D4399" t="s">
        <v>27743</v>
      </c>
      <c r="E4399" t="s">
        <v>27745</v>
      </c>
      <c r="F4399" t="s">
        <v>108</v>
      </c>
      <c r="H4399" t="s">
        <v>27746</v>
      </c>
      <c r="I4399" t="s">
        <v>453</v>
      </c>
      <c r="J4399" t="s">
        <v>111</v>
      </c>
      <c r="K4399" t="str">
        <f>"85345"</f>
        <v>85345</v>
      </c>
      <c r="L4399" t="s">
        <v>5308</v>
      </c>
      <c r="M4399" t="s">
        <v>27746</v>
      </c>
      <c r="N4399" t="s">
        <v>453</v>
      </c>
      <c r="O4399" t="s">
        <v>111</v>
      </c>
      <c r="P4399" t="str">
        <f>"85345-6669"</f>
        <v>85345-6669</v>
      </c>
      <c r="Q4399" t="s">
        <v>113</v>
      </c>
      <c r="R4399" t="str">
        <f>"142-12-032"</f>
        <v>142-12-032</v>
      </c>
      <c r="S4399" t="s">
        <v>27747</v>
      </c>
      <c r="T4399" t="s">
        <v>27748</v>
      </c>
      <c r="U4399">
        <v>1816</v>
      </c>
      <c r="V4399">
        <v>0</v>
      </c>
      <c r="W4399">
        <v>3</v>
      </c>
      <c r="X4399">
        <v>1987</v>
      </c>
      <c r="Z4399">
        <v>1</v>
      </c>
      <c r="AB4399">
        <v>0</v>
      </c>
      <c r="AC4399" t="s">
        <v>115</v>
      </c>
      <c r="AD4399">
        <v>2</v>
      </c>
      <c r="AE4399" t="s">
        <v>115</v>
      </c>
      <c r="AF4399">
        <v>0</v>
      </c>
      <c r="AG4399">
        <v>0</v>
      </c>
      <c r="AH4399" t="s">
        <v>116</v>
      </c>
      <c r="AI4399" s="1">
        <v>11254</v>
      </c>
      <c r="AJ4399" s="2">
        <v>0.04</v>
      </c>
      <c r="AK4399" s="1">
        <v>255261</v>
      </c>
      <c r="AL4399" t="s">
        <v>117</v>
      </c>
      <c r="AM4399" t="s">
        <v>171</v>
      </c>
      <c r="AN4399">
        <v>8019</v>
      </c>
      <c r="AO4399">
        <v>0.18</v>
      </c>
      <c r="AP4399">
        <v>1</v>
      </c>
      <c r="AR4399">
        <v>1</v>
      </c>
      <c r="AS4399" s="1">
        <v>17420</v>
      </c>
      <c r="AT4399" s="1">
        <v>3480</v>
      </c>
      <c r="AU4399" s="1">
        <v>13940</v>
      </c>
      <c r="AV4399">
        <v>80.02</v>
      </c>
      <c r="AX4399" s="1">
        <v>1066.28</v>
      </c>
      <c r="AY4399" t="s">
        <v>10781</v>
      </c>
      <c r="AZ4399" t="s">
        <v>10781</v>
      </c>
      <c r="BA4399" t="s">
        <v>4007</v>
      </c>
      <c r="BB4399" s="3">
        <v>43668</v>
      </c>
      <c r="BC4399" s="1">
        <v>0</v>
      </c>
      <c r="BD4399" t="s">
        <v>247</v>
      </c>
      <c r="BE4399" s="3">
        <v>41926</v>
      </c>
      <c r="BF4399" s="1">
        <v>166500</v>
      </c>
      <c r="BG4399" t="s">
        <v>27749</v>
      </c>
      <c r="BH4399" s="1">
        <v>91.69</v>
      </c>
      <c r="BI4399" s="1">
        <v>244007</v>
      </c>
      <c r="BJ4399" s="3">
        <v>43630</v>
      </c>
      <c r="BK4399" t="s">
        <v>123</v>
      </c>
      <c r="BL4399" t="str">
        <f>"2019.444595"</f>
        <v>2019.444595</v>
      </c>
      <c r="BM4399" t="s">
        <v>2080</v>
      </c>
      <c r="BN4399" t="s">
        <v>426</v>
      </c>
      <c r="BO4399" t="s">
        <v>27750</v>
      </c>
      <c r="BR4399" t="s">
        <v>139</v>
      </c>
      <c r="BW4399" t="str">
        <f>""</f>
        <v/>
      </c>
      <c r="CH4399" t="str">
        <f>""</f>
        <v/>
      </c>
      <c r="CS4399" t="str">
        <f>""</f>
        <v/>
      </c>
    </row>
    <row r="4400" spans="1:97" x14ac:dyDescent="0.25">
      <c r="A4400" t="s">
        <v>589</v>
      </c>
      <c r="B4400" t="s">
        <v>27751</v>
      </c>
      <c r="E4400" t="s">
        <v>27752</v>
      </c>
      <c r="F4400" t="s">
        <v>108</v>
      </c>
      <c r="H4400" t="s">
        <v>27753</v>
      </c>
      <c r="I4400" t="s">
        <v>225</v>
      </c>
      <c r="J4400" t="s">
        <v>111</v>
      </c>
      <c r="K4400" t="str">
        <f>"85204"</f>
        <v>85204</v>
      </c>
      <c r="L4400" t="s">
        <v>6964</v>
      </c>
      <c r="M4400" t="s">
        <v>27753</v>
      </c>
      <c r="N4400" t="s">
        <v>225</v>
      </c>
      <c r="O4400" t="s">
        <v>111</v>
      </c>
      <c r="P4400" t="str">
        <f>"85204-5943"</f>
        <v>85204-5943</v>
      </c>
      <c r="Q4400" t="s">
        <v>113</v>
      </c>
      <c r="R4400" t="str">
        <f>"139-07-108"</f>
        <v>139-07-108</v>
      </c>
      <c r="S4400" t="s">
        <v>27754</v>
      </c>
      <c r="T4400" t="s">
        <v>14329</v>
      </c>
      <c r="U4400">
        <v>2122</v>
      </c>
      <c r="V4400">
        <v>0</v>
      </c>
      <c r="W4400">
        <v>2</v>
      </c>
      <c r="X4400">
        <v>1981</v>
      </c>
      <c r="Z4400">
        <v>1</v>
      </c>
      <c r="AB4400">
        <v>0</v>
      </c>
      <c r="AC4400" t="s">
        <v>115</v>
      </c>
      <c r="AD4400">
        <v>2</v>
      </c>
      <c r="AE4400" t="s">
        <v>115</v>
      </c>
      <c r="AF4400">
        <v>0</v>
      </c>
      <c r="AG4400">
        <v>0</v>
      </c>
      <c r="AH4400" t="s">
        <v>116</v>
      </c>
      <c r="AI4400" s="1">
        <v>73037</v>
      </c>
      <c r="AJ4400" s="2">
        <v>0.24</v>
      </c>
      <c r="AK4400" s="1">
        <v>306097</v>
      </c>
      <c r="AL4400" t="s">
        <v>117</v>
      </c>
      <c r="AM4400" t="s">
        <v>917</v>
      </c>
      <c r="AN4400">
        <v>7518</v>
      </c>
      <c r="AO4400">
        <v>0.17</v>
      </c>
      <c r="AP4400">
        <v>1</v>
      </c>
      <c r="AR4400">
        <v>1</v>
      </c>
      <c r="AS4400" s="1">
        <v>19110</v>
      </c>
      <c r="AT4400" s="1">
        <v>3820</v>
      </c>
      <c r="AU4400" s="1">
        <v>15290</v>
      </c>
      <c r="AV4400">
        <v>80.010000000000005</v>
      </c>
      <c r="AX4400" s="1">
        <v>1083.6600000000001</v>
      </c>
      <c r="AY4400" t="s">
        <v>14330</v>
      </c>
      <c r="AZ4400" t="s">
        <v>5158</v>
      </c>
      <c r="BA4400" t="s">
        <v>5159</v>
      </c>
      <c r="BE4400" s="3">
        <v>42144</v>
      </c>
      <c r="BF4400" s="1">
        <v>230000</v>
      </c>
      <c r="BG4400" t="s">
        <v>27755</v>
      </c>
      <c r="BH4400" s="1">
        <v>108.39</v>
      </c>
      <c r="BI4400" s="1">
        <v>233060</v>
      </c>
      <c r="BJ4400" s="3">
        <v>42611</v>
      </c>
      <c r="BK4400" t="s">
        <v>123</v>
      </c>
      <c r="BL4400" t="str">
        <f>"2016.622150"</f>
        <v>2016.622150</v>
      </c>
      <c r="BM4400" t="s">
        <v>1695</v>
      </c>
      <c r="BO4400" t="s">
        <v>27756</v>
      </c>
      <c r="BS4400">
        <v>30</v>
      </c>
      <c r="BW4400" t="str">
        <f>""</f>
        <v/>
      </c>
      <c r="CH4400" t="str">
        <f>""</f>
        <v/>
      </c>
      <c r="CS4400" t="str">
        <f>""</f>
        <v/>
      </c>
    </row>
    <row r="4401" spans="1:97" x14ac:dyDescent="0.25">
      <c r="A4401" t="s">
        <v>4854</v>
      </c>
      <c r="B4401" t="s">
        <v>27757</v>
      </c>
      <c r="C4401" t="s">
        <v>703</v>
      </c>
      <c r="D4401" t="s">
        <v>27757</v>
      </c>
      <c r="E4401" t="s">
        <v>27758</v>
      </c>
      <c r="F4401" t="s">
        <v>108</v>
      </c>
      <c r="H4401" t="s">
        <v>27759</v>
      </c>
      <c r="I4401" t="s">
        <v>390</v>
      </c>
      <c r="J4401" t="s">
        <v>111</v>
      </c>
      <c r="K4401" t="str">
        <f>"85086"</f>
        <v>85086</v>
      </c>
      <c r="L4401" t="s">
        <v>4698</v>
      </c>
      <c r="M4401" t="s">
        <v>27759</v>
      </c>
      <c r="N4401" t="s">
        <v>390</v>
      </c>
      <c r="O4401" t="s">
        <v>111</v>
      </c>
      <c r="P4401" t="str">
        <f>"85086-2180"</f>
        <v>85086-2180</v>
      </c>
      <c r="Q4401" t="s">
        <v>113</v>
      </c>
      <c r="R4401" t="str">
        <f>"203-27-715"</f>
        <v>203-27-715</v>
      </c>
      <c r="S4401" t="s">
        <v>27760</v>
      </c>
      <c r="U4401">
        <v>1658</v>
      </c>
      <c r="V4401">
        <v>0</v>
      </c>
      <c r="W4401">
        <v>3</v>
      </c>
      <c r="X4401">
        <v>2007</v>
      </c>
      <c r="Z4401">
        <v>1</v>
      </c>
      <c r="AB4401">
        <v>0</v>
      </c>
      <c r="AC4401" t="s">
        <v>115</v>
      </c>
      <c r="AD4401">
        <v>2</v>
      </c>
      <c r="AE4401" t="s">
        <v>115</v>
      </c>
      <c r="AF4401">
        <v>0</v>
      </c>
      <c r="AG4401">
        <v>0</v>
      </c>
      <c r="AH4401" t="s">
        <v>116</v>
      </c>
      <c r="AI4401" s="1">
        <v>56976</v>
      </c>
      <c r="AJ4401" s="2">
        <v>0.19</v>
      </c>
      <c r="AK4401" s="1">
        <v>297665</v>
      </c>
      <c r="AL4401" t="s">
        <v>117</v>
      </c>
      <c r="AM4401" t="s">
        <v>1315</v>
      </c>
      <c r="AN4401">
        <v>4756</v>
      </c>
      <c r="AO4401">
        <v>0.11</v>
      </c>
      <c r="AR4401">
        <v>1</v>
      </c>
      <c r="AS4401" s="1">
        <v>21620</v>
      </c>
      <c r="AT4401" s="1">
        <v>4320</v>
      </c>
      <c r="AU4401" s="1">
        <v>17300</v>
      </c>
      <c r="AV4401">
        <v>80.02</v>
      </c>
      <c r="AX4401" s="1">
        <v>1892.12</v>
      </c>
      <c r="AY4401" t="s">
        <v>8639</v>
      </c>
      <c r="AZ4401" t="s">
        <v>8639</v>
      </c>
      <c r="BA4401" t="s">
        <v>378</v>
      </c>
      <c r="BB4401" s="3">
        <v>43012</v>
      </c>
      <c r="BD4401" t="s">
        <v>157</v>
      </c>
      <c r="BE4401" s="3">
        <v>42488</v>
      </c>
      <c r="BF4401" s="1">
        <v>233000</v>
      </c>
      <c r="BG4401" t="s">
        <v>27761</v>
      </c>
      <c r="BH4401" s="1">
        <v>140.53</v>
      </c>
      <c r="BI4401" s="1">
        <v>240689</v>
      </c>
      <c r="BJ4401" s="3">
        <v>42488</v>
      </c>
      <c r="BK4401" t="s">
        <v>123</v>
      </c>
      <c r="BL4401" t="str">
        <f>"2016.285401"</f>
        <v>2016.285401</v>
      </c>
      <c r="BM4401" t="s">
        <v>594</v>
      </c>
      <c r="BO4401" t="s">
        <v>27762</v>
      </c>
      <c r="BS4401">
        <v>30</v>
      </c>
      <c r="BW4401" t="str">
        <f>""</f>
        <v/>
      </c>
      <c r="CH4401" t="str">
        <f>""</f>
        <v/>
      </c>
      <c r="CS4401" t="str">
        <f>""</f>
        <v/>
      </c>
    </row>
    <row r="4402" spans="1:97" x14ac:dyDescent="0.25">
      <c r="A4402" t="s">
        <v>11384</v>
      </c>
      <c r="B4402" t="s">
        <v>27763</v>
      </c>
      <c r="C4402" t="s">
        <v>9998</v>
      </c>
      <c r="D4402" t="s">
        <v>27763</v>
      </c>
      <c r="E4402" t="s">
        <v>27764</v>
      </c>
      <c r="F4402" t="s">
        <v>108</v>
      </c>
      <c r="H4402" t="s">
        <v>27765</v>
      </c>
      <c r="I4402" t="s">
        <v>632</v>
      </c>
      <c r="J4402" t="s">
        <v>111</v>
      </c>
      <c r="K4402" t="str">
        <f>"85374"</f>
        <v>85374</v>
      </c>
      <c r="L4402" t="s">
        <v>5514</v>
      </c>
      <c r="M4402" t="s">
        <v>27765</v>
      </c>
      <c r="N4402" t="s">
        <v>632</v>
      </c>
      <c r="O4402" t="s">
        <v>111</v>
      </c>
      <c r="P4402" t="str">
        <f>"85374-6800"</f>
        <v>85374-6800</v>
      </c>
      <c r="Q4402" t="s">
        <v>113</v>
      </c>
      <c r="R4402" t="str">
        <f>"232-39-248"</f>
        <v>232-39-248</v>
      </c>
      <c r="S4402" t="s">
        <v>19912</v>
      </c>
      <c r="U4402">
        <v>1958</v>
      </c>
      <c r="V4402">
        <v>0</v>
      </c>
      <c r="W4402">
        <v>3</v>
      </c>
      <c r="X4402">
        <v>1999</v>
      </c>
      <c r="Z4402">
        <v>1</v>
      </c>
      <c r="AB4402">
        <v>0</v>
      </c>
      <c r="AC4402" t="s">
        <v>115</v>
      </c>
      <c r="AD4402">
        <v>3</v>
      </c>
      <c r="AE4402" t="s">
        <v>115</v>
      </c>
      <c r="AF4402">
        <v>0</v>
      </c>
      <c r="AG4402">
        <v>0</v>
      </c>
      <c r="AH4402" t="s">
        <v>116</v>
      </c>
      <c r="AI4402" s="1">
        <v>-11510</v>
      </c>
      <c r="AJ4402" s="2">
        <v>-0.04</v>
      </c>
      <c r="AK4402" s="1">
        <v>267400</v>
      </c>
      <c r="AL4402" t="s">
        <v>117</v>
      </c>
      <c r="AM4402" t="s">
        <v>5516</v>
      </c>
      <c r="AN4402">
        <v>6753</v>
      </c>
      <c r="AO4402">
        <v>0.16</v>
      </c>
      <c r="AP4402">
        <v>1</v>
      </c>
      <c r="AR4402">
        <v>1</v>
      </c>
      <c r="AS4402" s="1">
        <v>18450</v>
      </c>
      <c r="AT4402" s="1">
        <v>3690</v>
      </c>
      <c r="AU4402" s="1">
        <v>14760</v>
      </c>
      <c r="AV4402">
        <v>80</v>
      </c>
      <c r="AX4402" s="1">
        <v>1287.6600000000001</v>
      </c>
      <c r="AY4402" t="s">
        <v>5517</v>
      </c>
      <c r="AZ4402" t="s">
        <v>5517</v>
      </c>
      <c r="BA4402" t="s">
        <v>5109</v>
      </c>
      <c r="BE4402" s="3">
        <v>41939</v>
      </c>
      <c r="BF4402" s="1">
        <v>197000</v>
      </c>
      <c r="BG4402" t="s">
        <v>27766</v>
      </c>
      <c r="BH4402" s="1">
        <v>100.61</v>
      </c>
      <c r="BI4402" s="1">
        <v>278910</v>
      </c>
      <c r="BJ4402" s="3">
        <v>43550</v>
      </c>
      <c r="BK4402" t="s">
        <v>123</v>
      </c>
      <c r="BL4402" t="str">
        <f>"2019.206130"</f>
        <v>2019.206130</v>
      </c>
      <c r="BM4402" t="s">
        <v>460</v>
      </c>
      <c r="BN4402" t="s">
        <v>461</v>
      </c>
      <c r="BO4402" t="s">
        <v>27767</v>
      </c>
      <c r="BP4402" t="s">
        <v>27768</v>
      </c>
      <c r="BR4402" t="s">
        <v>139</v>
      </c>
      <c r="BW4402" t="str">
        <f>""</f>
        <v/>
      </c>
      <c r="CH4402" t="str">
        <f>""</f>
        <v/>
      </c>
      <c r="CS4402" t="str">
        <f>""</f>
        <v/>
      </c>
    </row>
    <row r="4403" spans="1:97" x14ac:dyDescent="0.25">
      <c r="A4403" t="s">
        <v>243</v>
      </c>
      <c r="B4403" t="s">
        <v>4864</v>
      </c>
      <c r="C4403" t="s">
        <v>1803</v>
      </c>
      <c r="D4403" t="s">
        <v>4864</v>
      </c>
      <c r="E4403" t="s">
        <v>27769</v>
      </c>
      <c r="F4403" t="s">
        <v>108</v>
      </c>
      <c r="H4403" t="s">
        <v>27770</v>
      </c>
      <c r="I4403" t="s">
        <v>110</v>
      </c>
      <c r="J4403" t="s">
        <v>111</v>
      </c>
      <c r="K4403" t="str">
        <f>"85225"</f>
        <v>85225</v>
      </c>
      <c r="L4403" t="s">
        <v>5687</v>
      </c>
      <c r="M4403" t="s">
        <v>27770</v>
      </c>
      <c r="N4403" t="s">
        <v>110</v>
      </c>
      <c r="O4403" t="s">
        <v>111</v>
      </c>
      <c r="P4403" t="str">
        <f>"85225-9416"</f>
        <v>85225-9416</v>
      </c>
      <c r="Q4403" t="s">
        <v>113</v>
      </c>
      <c r="R4403" t="str">
        <f>"303-12-051"</f>
        <v>303-12-051</v>
      </c>
      <c r="S4403" t="s">
        <v>27771</v>
      </c>
      <c r="T4403" t="s">
        <v>27771</v>
      </c>
      <c r="U4403">
        <v>1713</v>
      </c>
      <c r="V4403">
        <v>0</v>
      </c>
      <c r="W4403">
        <v>3</v>
      </c>
      <c r="X4403">
        <v>1994</v>
      </c>
      <c r="Z4403">
        <v>1</v>
      </c>
      <c r="AA4403" t="s">
        <v>26</v>
      </c>
      <c r="AB4403">
        <v>0</v>
      </c>
      <c r="AC4403" t="s">
        <v>115</v>
      </c>
      <c r="AD4403">
        <v>2</v>
      </c>
      <c r="AE4403" t="s">
        <v>115</v>
      </c>
      <c r="AF4403">
        <v>0</v>
      </c>
      <c r="AG4403">
        <v>0</v>
      </c>
      <c r="AH4403" t="s">
        <v>116</v>
      </c>
      <c r="AI4403" s="1">
        <v>77771</v>
      </c>
      <c r="AJ4403" s="2">
        <v>0.24</v>
      </c>
      <c r="AK4403" s="1">
        <v>322771</v>
      </c>
      <c r="AL4403" t="s">
        <v>117</v>
      </c>
      <c r="AM4403" t="s">
        <v>118</v>
      </c>
      <c r="AN4403">
        <v>7026</v>
      </c>
      <c r="AO4403">
        <v>0.16</v>
      </c>
      <c r="AP4403">
        <v>1</v>
      </c>
      <c r="AR4403">
        <v>1</v>
      </c>
      <c r="AS4403" s="1">
        <v>21650</v>
      </c>
      <c r="AT4403" s="1">
        <v>4330</v>
      </c>
      <c r="AU4403" s="1">
        <v>17320</v>
      </c>
      <c r="AV4403">
        <v>80</v>
      </c>
      <c r="AX4403" s="1">
        <v>1459.74</v>
      </c>
      <c r="AY4403" t="s">
        <v>25405</v>
      </c>
      <c r="AZ4403" t="s">
        <v>2906</v>
      </c>
      <c r="BA4403" t="s">
        <v>121</v>
      </c>
      <c r="BB4403" s="3">
        <v>41724</v>
      </c>
      <c r="BC4403" s="1">
        <v>228000</v>
      </c>
      <c r="BD4403" t="s">
        <v>842</v>
      </c>
      <c r="BE4403" s="3">
        <v>41722</v>
      </c>
      <c r="BF4403" s="1">
        <v>228000</v>
      </c>
      <c r="BG4403" t="s">
        <v>27772</v>
      </c>
      <c r="BH4403" s="1">
        <v>133.1</v>
      </c>
      <c r="BI4403" s="1">
        <v>245000</v>
      </c>
      <c r="BJ4403" s="3">
        <v>42723</v>
      </c>
      <c r="BK4403" t="s">
        <v>123</v>
      </c>
      <c r="BL4403" t="str">
        <f>"2016.933422"</f>
        <v>2016.933422</v>
      </c>
      <c r="BM4403" t="s">
        <v>2716</v>
      </c>
      <c r="BO4403" t="s">
        <v>27773</v>
      </c>
      <c r="BS4403">
        <v>20</v>
      </c>
      <c r="BW4403" t="str">
        <f>""</f>
        <v/>
      </c>
      <c r="CH4403" t="str">
        <f>""</f>
        <v/>
      </c>
      <c r="CS4403" t="str">
        <f>""</f>
        <v/>
      </c>
    </row>
    <row r="4404" spans="1:97" x14ac:dyDescent="0.25">
      <c r="A4404" t="s">
        <v>27774</v>
      </c>
      <c r="B4404" t="s">
        <v>27775</v>
      </c>
      <c r="C4404" t="s">
        <v>27776</v>
      </c>
      <c r="D4404" t="s">
        <v>27775</v>
      </c>
      <c r="E4404" t="s">
        <v>27777</v>
      </c>
      <c r="F4404" t="s">
        <v>108</v>
      </c>
      <c r="H4404" t="s">
        <v>27778</v>
      </c>
      <c r="I4404" t="s">
        <v>632</v>
      </c>
      <c r="J4404" t="s">
        <v>111</v>
      </c>
      <c r="K4404" t="str">
        <f>"85379"</f>
        <v>85379</v>
      </c>
      <c r="L4404" t="s">
        <v>2820</v>
      </c>
      <c r="M4404" t="s">
        <v>27778</v>
      </c>
      <c r="N4404" t="s">
        <v>632</v>
      </c>
      <c r="O4404" t="s">
        <v>111</v>
      </c>
      <c r="P4404" t="str">
        <f>"85379-8353"</f>
        <v>85379-8353</v>
      </c>
      <c r="Q4404" t="s">
        <v>113</v>
      </c>
      <c r="R4404" t="str">
        <f>"509-16-553"</f>
        <v>509-16-553</v>
      </c>
      <c r="S4404" t="s">
        <v>6864</v>
      </c>
      <c r="U4404">
        <v>3116</v>
      </c>
      <c r="V4404">
        <v>0</v>
      </c>
      <c r="W4404">
        <v>5</v>
      </c>
      <c r="X4404">
        <v>2004</v>
      </c>
      <c r="Z4404">
        <v>2</v>
      </c>
      <c r="AA4404" t="s">
        <v>26</v>
      </c>
      <c r="AB4404">
        <v>0</v>
      </c>
      <c r="AC4404" t="s">
        <v>115</v>
      </c>
      <c r="AD4404">
        <v>3</v>
      </c>
      <c r="AE4404" t="s">
        <v>115</v>
      </c>
      <c r="AF4404">
        <v>0</v>
      </c>
      <c r="AG4404">
        <v>0</v>
      </c>
      <c r="AH4404" t="s">
        <v>116</v>
      </c>
      <c r="AI4404" s="1">
        <v>40303</v>
      </c>
      <c r="AJ4404" s="2">
        <v>0.11</v>
      </c>
      <c r="AK4404" s="1">
        <v>352657</v>
      </c>
      <c r="AL4404" t="s">
        <v>117</v>
      </c>
      <c r="AM4404" t="s">
        <v>5516</v>
      </c>
      <c r="AN4404">
        <v>7820</v>
      </c>
      <c r="AO4404">
        <v>0.18</v>
      </c>
      <c r="AR4404">
        <v>1</v>
      </c>
      <c r="AS4404" s="1">
        <v>26100</v>
      </c>
      <c r="AT4404" s="1">
        <v>5220</v>
      </c>
      <c r="AU4404" s="1">
        <v>20880</v>
      </c>
      <c r="AV4404">
        <v>80</v>
      </c>
      <c r="AX4404" s="1">
        <v>1944.24</v>
      </c>
      <c r="AY4404" t="s">
        <v>5983</v>
      </c>
      <c r="AZ4404" t="s">
        <v>5983</v>
      </c>
      <c r="BA4404" t="s">
        <v>321</v>
      </c>
      <c r="BE4404" s="3">
        <v>42461</v>
      </c>
      <c r="BF4404" s="1">
        <v>297750</v>
      </c>
      <c r="BG4404" t="s">
        <v>27779</v>
      </c>
      <c r="BH4404" s="1">
        <v>95.56</v>
      </c>
      <c r="BI4404" s="1">
        <v>312354</v>
      </c>
      <c r="BJ4404" s="3">
        <v>42702</v>
      </c>
      <c r="BK4404" t="s">
        <v>123</v>
      </c>
      <c r="BL4404" t="str">
        <f>"2016.872540"</f>
        <v>2016.872540</v>
      </c>
      <c r="BM4404" t="s">
        <v>1791</v>
      </c>
      <c r="BO4404" t="s">
        <v>27780</v>
      </c>
      <c r="BS4404">
        <v>30</v>
      </c>
      <c r="BW4404" t="str">
        <f>""</f>
        <v/>
      </c>
      <c r="CH4404" t="str">
        <f>""</f>
        <v/>
      </c>
      <c r="CS4404" t="str">
        <f>""</f>
        <v/>
      </c>
    </row>
    <row r="4405" spans="1:97" x14ac:dyDescent="0.25">
      <c r="A4405" t="s">
        <v>992</v>
      </c>
      <c r="B4405" t="s">
        <v>27781</v>
      </c>
      <c r="E4405" t="s">
        <v>27782</v>
      </c>
      <c r="F4405" t="s">
        <v>108</v>
      </c>
      <c r="H4405" t="s">
        <v>27783</v>
      </c>
      <c r="I4405" t="s">
        <v>5387</v>
      </c>
      <c r="J4405" t="s">
        <v>111</v>
      </c>
      <c r="K4405" t="str">
        <f>"85281"</f>
        <v>85281</v>
      </c>
      <c r="L4405" t="s">
        <v>5176</v>
      </c>
      <c r="M4405" t="s">
        <v>27783</v>
      </c>
      <c r="N4405" t="s">
        <v>5387</v>
      </c>
      <c r="O4405" t="s">
        <v>111</v>
      </c>
      <c r="P4405" t="str">
        <f>"85281-5414"</f>
        <v>85281-5414</v>
      </c>
      <c r="Q4405" t="s">
        <v>113</v>
      </c>
      <c r="R4405" t="str">
        <f>"124-67-016"</f>
        <v>124-67-016</v>
      </c>
      <c r="S4405" t="s">
        <v>27784</v>
      </c>
      <c r="T4405" t="s">
        <v>27784</v>
      </c>
      <c r="U4405">
        <v>1198</v>
      </c>
      <c r="V4405">
        <v>0</v>
      </c>
      <c r="W4405">
        <v>2</v>
      </c>
      <c r="X4405">
        <v>1969</v>
      </c>
      <c r="Z4405">
        <v>1</v>
      </c>
      <c r="AB4405">
        <v>0</v>
      </c>
      <c r="AC4405" t="s">
        <v>5188</v>
      </c>
      <c r="AD4405">
        <v>1</v>
      </c>
      <c r="AE4405" t="s">
        <v>5188</v>
      </c>
      <c r="AF4405">
        <v>0</v>
      </c>
      <c r="AG4405">
        <v>0</v>
      </c>
      <c r="AH4405" t="s">
        <v>116</v>
      </c>
      <c r="AI4405" s="1">
        <v>74915</v>
      </c>
      <c r="AJ4405" s="2">
        <v>0.25</v>
      </c>
      <c r="AK4405" s="1">
        <v>300035</v>
      </c>
      <c r="AL4405" t="s">
        <v>117</v>
      </c>
      <c r="AM4405" t="s">
        <v>191</v>
      </c>
      <c r="AN4405">
        <v>7719</v>
      </c>
      <c r="AO4405">
        <v>0.18</v>
      </c>
      <c r="AP4405">
        <v>1</v>
      </c>
      <c r="AR4405">
        <v>1</v>
      </c>
      <c r="AS4405" s="1">
        <v>19720</v>
      </c>
      <c r="AT4405" s="1">
        <v>3940</v>
      </c>
      <c r="AU4405" s="1">
        <v>15780</v>
      </c>
      <c r="AV4405">
        <v>80.02</v>
      </c>
      <c r="AX4405" s="1">
        <v>1583.22</v>
      </c>
      <c r="AY4405" t="s">
        <v>27785</v>
      </c>
      <c r="AZ4405" t="s">
        <v>9518</v>
      </c>
      <c r="BA4405" t="s">
        <v>9519</v>
      </c>
      <c r="BE4405" s="3">
        <v>42341</v>
      </c>
      <c r="BF4405" s="1">
        <v>215000</v>
      </c>
      <c r="BG4405" t="s">
        <v>27786</v>
      </c>
      <c r="BH4405" s="1">
        <v>179.47</v>
      </c>
      <c r="BI4405" s="1">
        <v>225120</v>
      </c>
      <c r="BJ4405" s="3">
        <v>42430</v>
      </c>
      <c r="BK4405" t="s">
        <v>123</v>
      </c>
      <c r="BL4405" t="str">
        <f>"2016.132219"</f>
        <v>2016.132219</v>
      </c>
      <c r="BM4405" t="s">
        <v>248</v>
      </c>
      <c r="BO4405" t="s">
        <v>27787</v>
      </c>
      <c r="BS4405">
        <v>30</v>
      </c>
      <c r="BW4405" t="str">
        <f>""</f>
        <v/>
      </c>
      <c r="CH4405" t="str">
        <f>""</f>
        <v/>
      </c>
      <c r="CS4405" t="str">
        <f>""</f>
        <v/>
      </c>
    </row>
    <row r="4406" spans="1:97" x14ac:dyDescent="0.25">
      <c r="A4406" t="s">
        <v>2374</v>
      </c>
      <c r="B4406" t="s">
        <v>27788</v>
      </c>
      <c r="C4406" t="s">
        <v>2992</v>
      </c>
      <c r="D4406" t="s">
        <v>27788</v>
      </c>
      <c r="E4406" t="s">
        <v>27789</v>
      </c>
      <c r="F4406" t="s">
        <v>108</v>
      </c>
      <c r="H4406" t="s">
        <v>27790</v>
      </c>
      <c r="I4406" t="s">
        <v>390</v>
      </c>
      <c r="J4406" t="s">
        <v>111</v>
      </c>
      <c r="K4406" t="str">
        <f>"85053"</f>
        <v>85053</v>
      </c>
      <c r="L4406" t="s">
        <v>4282</v>
      </c>
      <c r="M4406" t="s">
        <v>27790</v>
      </c>
      <c r="N4406" t="s">
        <v>390</v>
      </c>
      <c r="O4406" t="s">
        <v>111</v>
      </c>
      <c r="P4406" t="str">
        <f>"85053-2855"</f>
        <v>85053-2855</v>
      </c>
      <c r="Q4406" t="s">
        <v>113</v>
      </c>
      <c r="R4406" t="str">
        <f>"207-16-197"</f>
        <v>207-16-197</v>
      </c>
      <c r="S4406" t="s">
        <v>27681</v>
      </c>
      <c r="T4406" t="s">
        <v>27682</v>
      </c>
      <c r="U4406">
        <v>2014</v>
      </c>
      <c r="V4406">
        <v>0</v>
      </c>
      <c r="W4406">
        <v>2</v>
      </c>
      <c r="X4406">
        <v>1979</v>
      </c>
      <c r="Z4406">
        <v>1</v>
      </c>
      <c r="AA4406" t="s">
        <v>26</v>
      </c>
      <c r="AB4406">
        <v>0</v>
      </c>
      <c r="AC4406" t="s">
        <v>115</v>
      </c>
      <c r="AD4406">
        <v>2</v>
      </c>
      <c r="AE4406" t="s">
        <v>115</v>
      </c>
      <c r="AF4406">
        <v>0</v>
      </c>
      <c r="AG4406">
        <v>0</v>
      </c>
      <c r="AH4406" t="s">
        <v>116</v>
      </c>
      <c r="AI4406" s="1">
        <v>37511</v>
      </c>
      <c r="AJ4406" s="2">
        <v>0.13</v>
      </c>
      <c r="AK4406" s="1">
        <v>297126</v>
      </c>
      <c r="AL4406" t="s">
        <v>117</v>
      </c>
      <c r="AM4406" t="s">
        <v>171</v>
      </c>
      <c r="AN4406">
        <v>11600</v>
      </c>
      <c r="AO4406">
        <v>0.27</v>
      </c>
      <c r="AP4406">
        <v>1</v>
      </c>
      <c r="AR4406">
        <v>1</v>
      </c>
      <c r="AS4406" s="1">
        <v>21060</v>
      </c>
      <c r="AT4406" s="1">
        <v>4210</v>
      </c>
      <c r="AU4406" s="1">
        <v>16850</v>
      </c>
      <c r="AV4406">
        <v>80.010000000000005</v>
      </c>
      <c r="AX4406" s="1">
        <v>1933.3</v>
      </c>
      <c r="AY4406" t="s">
        <v>2996</v>
      </c>
      <c r="AZ4406" t="s">
        <v>2997</v>
      </c>
      <c r="BA4406" t="s">
        <v>2998</v>
      </c>
      <c r="BE4406" s="3">
        <v>42317</v>
      </c>
      <c r="BF4406" s="1">
        <v>249000</v>
      </c>
      <c r="BG4406" t="s">
        <v>27791</v>
      </c>
      <c r="BH4406" s="1">
        <v>123.63</v>
      </c>
      <c r="BI4406" s="1">
        <v>259615</v>
      </c>
      <c r="BJ4406" s="3">
        <v>42830</v>
      </c>
      <c r="BK4406" t="s">
        <v>123</v>
      </c>
      <c r="BL4406" t="str">
        <f>"2017.238712"</f>
        <v>2017.238712</v>
      </c>
      <c r="BM4406" t="s">
        <v>322</v>
      </c>
      <c r="BO4406" t="s">
        <v>27792</v>
      </c>
      <c r="BS4406">
        <v>30</v>
      </c>
      <c r="BW4406" t="str">
        <f>""</f>
        <v/>
      </c>
      <c r="CH4406" t="str">
        <f>""</f>
        <v/>
      </c>
      <c r="CS4406" t="str">
        <f>""</f>
        <v/>
      </c>
    </row>
    <row r="4407" spans="1:97" x14ac:dyDescent="0.25">
      <c r="A4407" t="s">
        <v>1995</v>
      </c>
      <c r="B4407" t="s">
        <v>1963</v>
      </c>
      <c r="E4407" t="s">
        <v>27793</v>
      </c>
      <c r="F4407" t="s">
        <v>108</v>
      </c>
      <c r="H4407" t="s">
        <v>27794</v>
      </c>
      <c r="I4407" t="s">
        <v>5387</v>
      </c>
      <c r="J4407" t="s">
        <v>111</v>
      </c>
      <c r="K4407" t="str">
        <f>"85282"</f>
        <v>85282</v>
      </c>
      <c r="L4407" t="s">
        <v>9737</v>
      </c>
      <c r="M4407" t="s">
        <v>27794</v>
      </c>
      <c r="N4407" t="s">
        <v>5387</v>
      </c>
      <c r="O4407" t="s">
        <v>111</v>
      </c>
      <c r="P4407" t="str">
        <f>"85282-3612"</f>
        <v>85282-3612</v>
      </c>
      <c r="Q4407" t="s">
        <v>113</v>
      </c>
      <c r="R4407" t="str">
        <f>"133-43-113"</f>
        <v>133-43-113</v>
      </c>
      <c r="S4407" t="s">
        <v>27795</v>
      </c>
      <c r="T4407" t="s">
        <v>27796</v>
      </c>
      <c r="U4407">
        <v>1568</v>
      </c>
      <c r="V4407">
        <v>0</v>
      </c>
      <c r="W4407">
        <v>2</v>
      </c>
      <c r="X4407">
        <v>1960</v>
      </c>
      <c r="Z4407">
        <v>1</v>
      </c>
      <c r="AB4407">
        <v>0</v>
      </c>
      <c r="AC4407" t="s">
        <v>7038</v>
      </c>
      <c r="AD4407">
        <v>0</v>
      </c>
      <c r="AE4407" t="s">
        <v>7038</v>
      </c>
      <c r="AF4407">
        <v>0</v>
      </c>
      <c r="AG4407">
        <v>0</v>
      </c>
      <c r="AH4407" t="s">
        <v>116</v>
      </c>
      <c r="AI4407" s="1">
        <v>-137593</v>
      </c>
      <c r="AJ4407" s="2">
        <v>-0.45</v>
      </c>
      <c r="AK4407" s="1">
        <v>302985</v>
      </c>
      <c r="AL4407" t="s">
        <v>117</v>
      </c>
      <c r="AM4407" t="s">
        <v>191</v>
      </c>
      <c r="AN4407">
        <v>8507</v>
      </c>
      <c r="AO4407">
        <v>0.2</v>
      </c>
      <c r="AP4407">
        <v>1</v>
      </c>
      <c r="AR4407">
        <v>1</v>
      </c>
      <c r="AS4407" s="1">
        <v>20080</v>
      </c>
      <c r="AT4407" s="1">
        <v>4010</v>
      </c>
      <c r="AU4407" s="1">
        <v>16070</v>
      </c>
      <c r="AV4407">
        <v>80.03</v>
      </c>
      <c r="AX4407" s="1">
        <v>1351.08</v>
      </c>
      <c r="AY4407" t="s">
        <v>14375</v>
      </c>
      <c r="AZ4407" t="s">
        <v>11073</v>
      </c>
      <c r="BA4407" t="s">
        <v>9519</v>
      </c>
      <c r="BE4407" s="3">
        <v>41751</v>
      </c>
      <c r="BF4407" s="1">
        <v>174000</v>
      </c>
      <c r="BG4407" t="s">
        <v>27797</v>
      </c>
      <c r="BH4407" s="1">
        <v>110.97</v>
      </c>
      <c r="BI4407" s="1">
        <v>220000</v>
      </c>
      <c r="BJ4407" s="3">
        <v>42703</v>
      </c>
      <c r="BK4407" t="s">
        <v>123</v>
      </c>
      <c r="BL4407" t="str">
        <f>"2016.875600"</f>
        <v>2016.875600</v>
      </c>
      <c r="BM4407" t="s">
        <v>402</v>
      </c>
      <c r="BN4407" t="s">
        <v>461</v>
      </c>
      <c r="BO4407" t="s">
        <v>27798</v>
      </c>
      <c r="BS4407">
        <v>30</v>
      </c>
      <c r="BT4407" s="1">
        <v>220578</v>
      </c>
      <c r="BU4407" s="3">
        <v>43210</v>
      </c>
      <c r="BV4407" t="s">
        <v>134</v>
      </c>
      <c r="BW4407" t="str">
        <f>"2018.298148"</f>
        <v>2018.298148</v>
      </c>
      <c r="BX4407" t="s">
        <v>5284</v>
      </c>
      <c r="BY4407" t="s">
        <v>12267</v>
      </c>
      <c r="BZ4407" t="s">
        <v>27793</v>
      </c>
      <c r="CC4407" t="s">
        <v>2083</v>
      </c>
      <c r="CH4407" t="str">
        <f>""</f>
        <v/>
      </c>
      <c r="CS4407" t="str">
        <f>""</f>
        <v/>
      </c>
    </row>
    <row r="4408" spans="1:97" x14ac:dyDescent="0.25">
      <c r="A4408" t="s">
        <v>2429</v>
      </c>
      <c r="B4408" t="s">
        <v>27799</v>
      </c>
      <c r="E4408" t="s">
        <v>27800</v>
      </c>
      <c r="F4408" t="s">
        <v>108</v>
      </c>
      <c r="H4408" t="s">
        <v>27801</v>
      </c>
      <c r="I4408" t="s">
        <v>225</v>
      </c>
      <c r="J4408" t="s">
        <v>111</v>
      </c>
      <c r="K4408" t="str">
        <f>"85202"</f>
        <v>85202</v>
      </c>
      <c r="L4408" t="s">
        <v>5308</v>
      </c>
      <c r="M4408" t="s">
        <v>27801</v>
      </c>
      <c r="N4408" t="s">
        <v>225</v>
      </c>
      <c r="O4408" t="s">
        <v>111</v>
      </c>
      <c r="P4408" t="str">
        <f>"85202-5527"</f>
        <v>85202-5527</v>
      </c>
      <c r="Q4408" t="s">
        <v>113</v>
      </c>
      <c r="R4408" t="str">
        <f>"305-02-217"</f>
        <v>305-02-217</v>
      </c>
      <c r="S4408" t="s">
        <v>27802</v>
      </c>
      <c r="T4408" t="s">
        <v>27803</v>
      </c>
      <c r="U4408">
        <v>1348</v>
      </c>
      <c r="V4408">
        <v>0</v>
      </c>
      <c r="W4408">
        <v>2</v>
      </c>
      <c r="X4408">
        <v>1974</v>
      </c>
      <c r="Z4408">
        <v>1</v>
      </c>
      <c r="AB4408">
        <v>0</v>
      </c>
      <c r="AC4408" t="s">
        <v>5188</v>
      </c>
      <c r="AD4408">
        <v>2</v>
      </c>
      <c r="AE4408" t="s">
        <v>5188</v>
      </c>
      <c r="AF4408">
        <v>0</v>
      </c>
      <c r="AG4408">
        <v>0</v>
      </c>
      <c r="AH4408" t="s">
        <v>116</v>
      </c>
      <c r="AI4408" s="1">
        <v>35847</v>
      </c>
      <c r="AJ4408" s="2">
        <v>0.13</v>
      </c>
      <c r="AK4408" s="1">
        <v>265847</v>
      </c>
      <c r="AL4408" t="s">
        <v>117</v>
      </c>
      <c r="AM4408" t="s">
        <v>191</v>
      </c>
      <c r="AN4408">
        <v>7553</v>
      </c>
      <c r="AO4408">
        <v>0.17</v>
      </c>
      <c r="AP4408">
        <v>1</v>
      </c>
      <c r="AR4408">
        <v>1</v>
      </c>
      <c r="AS4408" s="1">
        <v>17180</v>
      </c>
      <c r="AT4408" s="1">
        <v>3430</v>
      </c>
      <c r="AU4408" s="1">
        <v>13750</v>
      </c>
      <c r="AV4408">
        <v>80.03</v>
      </c>
      <c r="AX4408" s="1">
        <v>1069.18</v>
      </c>
      <c r="AY4408" t="s">
        <v>7431</v>
      </c>
      <c r="AZ4408" t="s">
        <v>7295</v>
      </c>
      <c r="BA4408" t="s">
        <v>5311</v>
      </c>
      <c r="BB4408" s="3">
        <v>43091</v>
      </c>
      <c r="BD4408" t="s">
        <v>157</v>
      </c>
      <c r="BE4408" s="3">
        <v>42348</v>
      </c>
      <c r="BF4408" s="1">
        <v>204000</v>
      </c>
      <c r="BG4408" t="s">
        <v>27804</v>
      </c>
      <c r="BH4408" s="1">
        <v>151.34</v>
      </c>
      <c r="BI4408" s="1">
        <v>230000</v>
      </c>
      <c r="BJ4408" s="3">
        <v>43091</v>
      </c>
      <c r="BK4408" t="s">
        <v>123</v>
      </c>
      <c r="BL4408" t="str">
        <f>"2017.949382"</f>
        <v>2017.949382</v>
      </c>
      <c r="BM4408" t="s">
        <v>4094</v>
      </c>
      <c r="BO4408" t="s">
        <v>27805</v>
      </c>
      <c r="BS4408">
        <v>31</v>
      </c>
      <c r="BW4408" t="str">
        <f>""</f>
        <v/>
      </c>
      <c r="CH4408" t="str">
        <f>""</f>
        <v/>
      </c>
      <c r="CS4408" t="str">
        <f>""</f>
        <v/>
      </c>
    </row>
    <row r="4409" spans="1:97" x14ac:dyDescent="0.25">
      <c r="A4409" t="s">
        <v>589</v>
      </c>
      <c r="B4409" t="s">
        <v>27806</v>
      </c>
      <c r="C4409" t="s">
        <v>27807</v>
      </c>
      <c r="D4409" t="s">
        <v>27806</v>
      </c>
      <c r="E4409" t="s">
        <v>27808</v>
      </c>
      <c r="F4409" t="s">
        <v>108</v>
      </c>
      <c r="H4409" t="s">
        <v>27809</v>
      </c>
      <c r="I4409" t="s">
        <v>453</v>
      </c>
      <c r="J4409" t="s">
        <v>111</v>
      </c>
      <c r="K4409" t="str">
        <f>"85382"</f>
        <v>85382</v>
      </c>
      <c r="L4409" t="s">
        <v>6595</v>
      </c>
      <c r="M4409" t="s">
        <v>27809</v>
      </c>
      <c r="N4409" t="s">
        <v>453</v>
      </c>
      <c r="O4409" t="s">
        <v>111</v>
      </c>
      <c r="P4409" t="str">
        <f>"85382-5310"</f>
        <v>85382-5310</v>
      </c>
      <c r="Q4409" t="s">
        <v>113</v>
      </c>
      <c r="R4409" t="str">
        <f>"231-24-020"</f>
        <v>231-24-020</v>
      </c>
      <c r="S4409" t="s">
        <v>27810</v>
      </c>
      <c r="T4409" t="s">
        <v>6310</v>
      </c>
      <c r="U4409">
        <v>1679</v>
      </c>
      <c r="V4409">
        <v>0</v>
      </c>
      <c r="W4409">
        <v>2</v>
      </c>
      <c r="X4409">
        <v>1999</v>
      </c>
      <c r="Z4409">
        <v>1</v>
      </c>
      <c r="AB4409">
        <v>0</v>
      </c>
      <c r="AC4409" t="s">
        <v>115</v>
      </c>
      <c r="AD4409">
        <v>2</v>
      </c>
      <c r="AE4409" t="s">
        <v>115</v>
      </c>
      <c r="AF4409">
        <v>0</v>
      </c>
      <c r="AG4409">
        <v>0</v>
      </c>
      <c r="AH4409" t="s">
        <v>116</v>
      </c>
      <c r="AI4409" s="1">
        <v>61103</v>
      </c>
      <c r="AJ4409" s="2">
        <v>0.22</v>
      </c>
      <c r="AK4409" s="1">
        <v>281903</v>
      </c>
      <c r="AL4409" t="s">
        <v>117</v>
      </c>
      <c r="AM4409" t="s">
        <v>118</v>
      </c>
      <c r="AN4409">
        <v>6425</v>
      </c>
      <c r="AO4409">
        <v>0.15</v>
      </c>
      <c r="AP4409">
        <v>1</v>
      </c>
      <c r="AR4409">
        <v>1</v>
      </c>
      <c r="AS4409" s="1">
        <v>19630</v>
      </c>
      <c r="AT4409" s="1">
        <v>3920</v>
      </c>
      <c r="AU4409" s="1">
        <v>15710</v>
      </c>
      <c r="AV4409">
        <v>80.03</v>
      </c>
      <c r="AX4409" s="1">
        <v>1814.36</v>
      </c>
      <c r="AY4409" t="s">
        <v>6311</v>
      </c>
      <c r="AZ4409" t="s">
        <v>6311</v>
      </c>
      <c r="BA4409" t="s">
        <v>4219</v>
      </c>
      <c r="BE4409" s="3">
        <v>41845</v>
      </c>
      <c r="BF4409" s="1">
        <v>224560</v>
      </c>
      <c r="BG4409" t="s">
        <v>27811</v>
      </c>
      <c r="BH4409" s="1">
        <v>133.75</v>
      </c>
      <c r="BI4409" s="1">
        <v>220800</v>
      </c>
      <c r="BJ4409" s="3">
        <v>42578</v>
      </c>
      <c r="BK4409" t="s">
        <v>123</v>
      </c>
      <c r="BL4409" t="str">
        <f>"2016.528384"</f>
        <v>2016.528384</v>
      </c>
      <c r="BM4409" t="s">
        <v>322</v>
      </c>
      <c r="BO4409" t="s">
        <v>27812</v>
      </c>
      <c r="BS4409">
        <v>30</v>
      </c>
      <c r="BW4409" t="str">
        <f>""</f>
        <v/>
      </c>
      <c r="CH4409" t="str">
        <f>""</f>
        <v/>
      </c>
      <c r="CS4409" t="str">
        <f>""</f>
        <v/>
      </c>
    </row>
    <row r="4410" spans="1:97" x14ac:dyDescent="0.25">
      <c r="A4410" t="s">
        <v>27813</v>
      </c>
      <c r="B4410" t="s">
        <v>27814</v>
      </c>
      <c r="C4410" t="s">
        <v>998</v>
      </c>
      <c r="D4410" t="s">
        <v>27814</v>
      </c>
      <c r="E4410" t="s">
        <v>27815</v>
      </c>
      <c r="F4410" t="s">
        <v>108</v>
      </c>
      <c r="H4410" t="s">
        <v>27816</v>
      </c>
      <c r="I4410" t="s">
        <v>390</v>
      </c>
      <c r="J4410" t="s">
        <v>111</v>
      </c>
      <c r="K4410" t="str">
        <f>"85035"</f>
        <v>85035</v>
      </c>
      <c r="L4410" t="s">
        <v>27817</v>
      </c>
      <c r="M4410" t="s">
        <v>27816</v>
      </c>
      <c r="N4410" t="s">
        <v>390</v>
      </c>
      <c r="O4410" t="s">
        <v>111</v>
      </c>
      <c r="P4410" t="str">
        <f>"85035-5075"</f>
        <v>85035-5075</v>
      </c>
      <c r="Q4410" t="s">
        <v>113</v>
      </c>
      <c r="R4410" t="str">
        <f>"102-38-101"</f>
        <v>102-38-101</v>
      </c>
      <c r="S4410" t="s">
        <v>27818</v>
      </c>
      <c r="T4410" t="s">
        <v>27818</v>
      </c>
      <c r="U4410">
        <v>1934</v>
      </c>
      <c r="V4410">
        <v>0</v>
      </c>
      <c r="W4410">
        <v>4</v>
      </c>
      <c r="X4410">
        <v>2013</v>
      </c>
      <c r="Z4410">
        <v>2</v>
      </c>
      <c r="AB4410">
        <v>0</v>
      </c>
      <c r="AC4410" t="s">
        <v>115</v>
      </c>
      <c r="AD4410">
        <v>2</v>
      </c>
      <c r="AE4410" t="s">
        <v>115</v>
      </c>
      <c r="AF4410">
        <v>0</v>
      </c>
      <c r="AG4410">
        <v>0</v>
      </c>
      <c r="AH4410" t="s">
        <v>116</v>
      </c>
      <c r="AI4410" s="1">
        <v>34667</v>
      </c>
      <c r="AJ4410" s="2">
        <v>0.15</v>
      </c>
      <c r="AK4410" s="1">
        <v>234667</v>
      </c>
      <c r="AL4410" t="s">
        <v>117</v>
      </c>
      <c r="AM4410" t="s">
        <v>4559</v>
      </c>
      <c r="AN4410">
        <v>2560</v>
      </c>
      <c r="AO4410">
        <v>0.59</v>
      </c>
      <c r="AR4410">
        <v>1</v>
      </c>
      <c r="AS4410" s="1">
        <v>15380</v>
      </c>
      <c r="AT4410" s="1">
        <v>3070</v>
      </c>
      <c r="AU4410" s="1">
        <v>12310</v>
      </c>
      <c r="AV4410">
        <v>80.040000000000006</v>
      </c>
      <c r="AX4410" s="1">
        <v>1054.98</v>
      </c>
      <c r="AY4410" t="s">
        <v>27819</v>
      </c>
      <c r="AZ4410" t="s">
        <v>27820</v>
      </c>
      <c r="BA4410" t="s">
        <v>27821</v>
      </c>
      <c r="BE4410" s="3">
        <v>41761</v>
      </c>
      <c r="BF4410" s="1">
        <v>162435</v>
      </c>
      <c r="BG4410" t="s">
        <v>1404</v>
      </c>
      <c r="BH4410" s="1">
        <v>83.99</v>
      </c>
      <c r="BI4410" s="1">
        <v>200000</v>
      </c>
      <c r="BJ4410" s="3">
        <v>43306</v>
      </c>
      <c r="BK4410" t="s">
        <v>123</v>
      </c>
      <c r="BL4410" t="str">
        <f>"2018.560220"</f>
        <v>2018.560220</v>
      </c>
      <c r="BM4410" t="s">
        <v>492</v>
      </c>
      <c r="BN4410" t="s">
        <v>4706</v>
      </c>
      <c r="BO4410" t="s">
        <v>27822</v>
      </c>
      <c r="BP4410" t="s">
        <v>27823</v>
      </c>
      <c r="BR4410" t="s">
        <v>139</v>
      </c>
      <c r="BW4410" t="str">
        <f>""</f>
        <v/>
      </c>
      <c r="CH4410" t="str">
        <f>""</f>
        <v/>
      </c>
      <c r="CS4410" t="str">
        <f>""</f>
        <v/>
      </c>
    </row>
    <row r="4411" spans="1:97" x14ac:dyDescent="0.25">
      <c r="A4411" t="s">
        <v>13085</v>
      </c>
      <c r="B4411" t="s">
        <v>364</v>
      </c>
      <c r="C4411" t="s">
        <v>489</v>
      </c>
      <c r="D4411" t="s">
        <v>364</v>
      </c>
      <c r="E4411" t="s">
        <v>27824</v>
      </c>
      <c r="F4411" t="s">
        <v>108</v>
      </c>
      <c r="H4411" t="s">
        <v>27825</v>
      </c>
      <c r="I4411" t="s">
        <v>453</v>
      </c>
      <c r="J4411" t="s">
        <v>111</v>
      </c>
      <c r="K4411" t="str">
        <f>"85383"</f>
        <v>85383</v>
      </c>
      <c r="L4411" t="s">
        <v>269</v>
      </c>
      <c r="M4411" t="s">
        <v>27825</v>
      </c>
      <c r="N4411" t="s">
        <v>453</v>
      </c>
      <c r="O4411" t="s">
        <v>111</v>
      </c>
      <c r="P4411" t="str">
        <f>"85383-3040"</f>
        <v>85383-3040</v>
      </c>
      <c r="Q4411" t="s">
        <v>113</v>
      </c>
      <c r="R4411" t="str">
        <f>"201-03-667"</f>
        <v>201-03-667</v>
      </c>
      <c r="S4411" t="s">
        <v>7309</v>
      </c>
      <c r="T4411" t="s">
        <v>6734</v>
      </c>
      <c r="U4411">
        <v>2437</v>
      </c>
      <c r="V4411">
        <v>0</v>
      </c>
      <c r="W4411">
        <v>4</v>
      </c>
      <c r="X4411">
        <v>2006</v>
      </c>
      <c r="Z4411">
        <v>2</v>
      </c>
      <c r="AB4411">
        <v>0</v>
      </c>
      <c r="AC4411" t="s">
        <v>115</v>
      </c>
      <c r="AD4411">
        <v>2</v>
      </c>
      <c r="AE4411" t="s">
        <v>115</v>
      </c>
      <c r="AF4411">
        <v>0</v>
      </c>
      <c r="AG4411">
        <v>0</v>
      </c>
      <c r="AH4411" t="s">
        <v>116</v>
      </c>
      <c r="AI4411" s="1">
        <v>59658</v>
      </c>
      <c r="AJ4411" s="2">
        <v>0.18</v>
      </c>
      <c r="AK4411" s="1">
        <v>329558</v>
      </c>
      <c r="AL4411" t="s">
        <v>117</v>
      </c>
      <c r="AM4411" t="s">
        <v>118</v>
      </c>
      <c r="AN4411">
        <v>5500</v>
      </c>
      <c r="AO4411">
        <v>0.13</v>
      </c>
      <c r="AR4411">
        <v>1</v>
      </c>
      <c r="AS4411" s="1">
        <v>23720</v>
      </c>
      <c r="AT4411" s="1">
        <v>4740</v>
      </c>
      <c r="AU4411" s="1">
        <v>18980</v>
      </c>
      <c r="AV4411">
        <v>80.02</v>
      </c>
      <c r="AX4411" s="1">
        <v>2119.2800000000002</v>
      </c>
      <c r="AY4411" t="s">
        <v>3048</v>
      </c>
      <c r="AZ4411" t="s">
        <v>3049</v>
      </c>
      <c r="BA4411" t="s">
        <v>1386</v>
      </c>
      <c r="BE4411" s="3">
        <v>42459</v>
      </c>
      <c r="BF4411" s="1">
        <v>269900</v>
      </c>
      <c r="BG4411" t="s">
        <v>27826</v>
      </c>
      <c r="BH4411" s="1">
        <v>110.75</v>
      </c>
      <c r="BI4411" s="1">
        <v>269900</v>
      </c>
      <c r="BJ4411" s="3">
        <v>42459</v>
      </c>
      <c r="BK4411" t="s">
        <v>123</v>
      </c>
      <c r="BL4411" t="str">
        <f>"2016.203949"</f>
        <v>2016.203949</v>
      </c>
      <c r="BM4411" t="s">
        <v>475</v>
      </c>
      <c r="BO4411" t="s">
        <v>27827</v>
      </c>
      <c r="BS4411">
        <v>30</v>
      </c>
      <c r="BW4411" t="str">
        <f>""</f>
        <v/>
      </c>
      <c r="CH4411" t="str">
        <f>""</f>
        <v/>
      </c>
      <c r="CS4411" t="str">
        <f>""</f>
        <v/>
      </c>
    </row>
    <row r="4412" spans="1:97" x14ac:dyDescent="0.25">
      <c r="A4412" t="s">
        <v>27828</v>
      </c>
      <c r="B4412" t="s">
        <v>6495</v>
      </c>
      <c r="C4412" t="s">
        <v>5338</v>
      </c>
      <c r="D4412" t="s">
        <v>6495</v>
      </c>
      <c r="E4412" t="s">
        <v>27829</v>
      </c>
      <c r="F4412" t="s">
        <v>108</v>
      </c>
      <c r="H4412" t="s">
        <v>27830</v>
      </c>
      <c r="I4412" t="s">
        <v>390</v>
      </c>
      <c r="J4412" t="s">
        <v>111</v>
      </c>
      <c r="K4412" t="str">
        <f>"85008"</f>
        <v>85008</v>
      </c>
      <c r="L4412" t="s">
        <v>5606</v>
      </c>
      <c r="M4412" t="s">
        <v>27830</v>
      </c>
      <c r="N4412" t="s">
        <v>390</v>
      </c>
      <c r="O4412" t="s">
        <v>111</v>
      </c>
      <c r="P4412" t="str">
        <f>"85008-5204"</f>
        <v>85008-5204</v>
      </c>
      <c r="Q4412" t="s">
        <v>113</v>
      </c>
      <c r="R4412" t="str">
        <f>"121-08-060"</f>
        <v>121-08-060</v>
      </c>
      <c r="S4412" t="s">
        <v>27831</v>
      </c>
      <c r="T4412" t="s">
        <v>27832</v>
      </c>
      <c r="U4412">
        <v>1540</v>
      </c>
      <c r="V4412">
        <v>0</v>
      </c>
      <c r="W4412">
        <v>2</v>
      </c>
      <c r="X4412">
        <v>1955</v>
      </c>
      <c r="Z4412">
        <v>1</v>
      </c>
      <c r="AA4412" t="s">
        <v>26</v>
      </c>
      <c r="AB4412">
        <v>0</v>
      </c>
      <c r="AC4412" t="s">
        <v>5188</v>
      </c>
      <c r="AD4412">
        <v>1</v>
      </c>
      <c r="AE4412" t="s">
        <v>5188</v>
      </c>
      <c r="AF4412">
        <v>0</v>
      </c>
      <c r="AG4412">
        <v>0</v>
      </c>
      <c r="AH4412" t="s">
        <v>5467</v>
      </c>
      <c r="AI4412" s="1">
        <v>52971</v>
      </c>
      <c r="AJ4412" s="2">
        <v>0.2</v>
      </c>
      <c r="AK4412" s="1">
        <v>267971</v>
      </c>
      <c r="AL4412" t="s">
        <v>117</v>
      </c>
      <c r="AM4412" t="s">
        <v>191</v>
      </c>
      <c r="AN4412">
        <v>8664</v>
      </c>
      <c r="AO4412">
        <v>0.2</v>
      </c>
      <c r="AP4412">
        <v>1</v>
      </c>
      <c r="AR4412">
        <v>1</v>
      </c>
      <c r="AS4412" s="1">
        <v>16920</v>
      </c>
      <c r="AT4412" s="1">
        <v>3380</v>
      </c>
      <c r="AU4412" s="1">
        <v>13540</v>
      </c>
      <c r="AV4412">
        <v>80.02</v>
      </c>
      <c r="AX4412" s="1">
        <v>1782.26</v>
      </c>
      <c r="AY4412" t="s">
        <v>27833</v>
      </c>
      <c r="AZ4412" t="s">
        <v>27833</v>
      </c>
      <c r="BA4412" t="s">
        <v>6255</v>
      </c>
      <c r="BE4412" s="3">
        <v>42216</v>
      </c>
      <c r="BF4412" s="1">
        <v>202000</v>
      </c>
      <c r="BG4412" t="s">
        <v>27834</v>
      </c>
      <c r="BH4412" s="1">
        <v>131.16999999999999</v>
      </c>
      <c r="BI4412" s="1">
        <v>215000</v>
      </c>
      <c r="BJ4412" s="3">
        <v>42671</v>
      </c>
      <c r="BK4412" t="s">
        <v>123</v>
      </c>
      <c r="BL4412" t="str">
        <f>"2016.795170"</f>
        <v>2016.795170</v>
      </c>
      <c r="BM4412" t="s">
        <v>255</v>
      </c>
      <c r="BO4412" t="s">
        <v>27835</v>
      </c>
      <c r="BS4412">
        <v>30</v>
      </c>
      <c r="BW4412" t="str">
        <f>""</f>
        <v/>
      </c>
      <c r="CH4412" t="str">
        <f>""</f>
        <v/>
      </c>
      <c r="CS4412" t="str">
        <f>""</f>
        <v/>
      </c>
    </row>
    <row r="4413" spans="1:97" x14ac:dyDescent="0.25">
      <c r="A4413" t="s">
        <v>6281</v>
      </c>
      <c r="B4413" t="s">
        <v>18772</v>
      </c>
      <c r="C4413" t="s">
        <v>767</v>
      </c>
      <c r="D4413" t="s">
        <v>18772</v>
      </c>
      <c r="E4413" t="s">
        <v>27836</v>
      </c>
      <c r="F4413" t="s">
        <v>108</v>
      </c>
      <c r="H4413" t="s">
        <v>27837</v>
      </c>
      <c r="I4413" t="s">
        <v>1936</v>
      </c>
      <c r="J4413" t="s">
        <v>111</v>
      </c>
      <c r="K4413" t="str">
        <f>"85257"</f>
        <v>85257</v>
      </c>
      <c r="L4413" t="s">
        <v>5308</v>
      </c>
      <c r="M4413" t="s">
        <v>27837</v>
      </c>
      <c r="N4413" t="s">
        <v>1936</v>
      </c>
      <c r="O4413" t="s">
        <v>111</v>
      </c>
      <c r="P4413" t="str">
        <f>"85257-4359"</f>
        <v>85257-4359</v>
      </c>
      <c r="Q4413" t="s">
        <v>113</v>
      </c>
      <c r="R4413" t="str">
        <f>"131-43-125"</f>
        <v>131-43-125</v>
      </c>
      <c r="S4413" t="s">
        <v>27838</v>
      </c>
      <c r="T4413" t="s">
        <v>8391</v>
      </c>
      <c r="U4413">
        <v>1380</v>
      </c>
      <c r="V4413">
        <v>0</v>
      </c>
      <c r="W4413">
        <v>2</v>
      </c>
      <c r="X4413">
        <v>1960</v>
      </c>
      <c r="Z4413">
        <v>1</v>
      </c>
      <c r="AB4413">
        <v>0</v>
      </c>
      <c r="AC4413" t="s">
        <v>5188</v>
      </c>
      <c r="AD4413">
        <v>1</v>
      </c>
      <c r="AE4413" t="s">
        <v>5188</v>
      </c>
      <c r="AF4413">
        <v>0</v>
      </c>
      <c r="AG4413">
        <v>0</v>
      </c>
      <c r="AH4413" t="s">
        <v>5467</v>
      </c>
      <c r="AI4413" s="1">
        <v>36047</v>
      </c>
      <c r="AJ4413" s="2">
        <v>0.11</v>
      </c>
      <c r="AK4413" s="1">
        <v>314889</v>
      </c>
      <c r="AL4413" t="s">
        <v>117</v>
      </c>
      <c r="AM4413" t="s">
        <v>393</v>
      </c>
      <c r="AN4413">
        <v>6874</v>
      </c>
      <c r="AO4413">
        <v>0.16</v>
      </c>
      <c r="AP4413">
        <v>1</v>
      </c>
      <c r="AR4413">
        <v>1</v>
      </c>
      <c r="AS4413" s="1">
        <v>19820</v>
      </c>
      <c r="AT4413" s="1">
        <v>3960</v>
      </c>
      <c r="AU4413" s="1">
        <v>15860</v>
      </c>
      <c r="AV4413">
        <v>80.02</v>
      </c>
      <c r="AX4413" s="1">
        <v>828.14</v>
      </c>
      <c r="AY4413" t="s">
        <v>8392</v>
      </c>
      <c r="AZ4413" t="s">
        <v>5420</v>
      </c>
      <c r="BA4413" t="s">
        <v>5421</v>
      </c>
      <c r="BE4413" s="3">
        <v>42123</v>
      </c>
      <c r="BF4413" s="1">
        <v>229000</v>
      </c>
      <c r="BG4413" t="s">
        <v>27839</v>
      </c>
      <c r="BH4413" s="1">
        <v>165.94</v>
      </c>
      <c r="BI4413" s="1">
        <v>278842</v>
      </c>
      <c r="BJ4413" s="3">
        <v>43291</v>
      </c>
      <c r="BK4413" t="s">
        <v>123</v>
      </c>
      <c r="BL4413" t="str">
        <f>"2018.520591"</f>
        <v>2018.520591</v>
      </c>
      <c r="BM4413" t="s">
        <v>27840</v>
      </c>
      <c r="BN4413" t="s">
        <v>26332</v>
      </c>
      <c r="BO4413" t="s">
        <v>27841</v>
      </c>
      <c r="BP4413" t="s">
        <v>27842</v>
      </c>
      <c r="BR4413" t="s">
        <v>139</v>
      </c>
      <c r="BW4413" t="str">
        <f>""</f>
        <v/>
      </c>
      <c r="CH4413" t="str">
        <f>""</f>
        <v/>
      </c>
      <c r="CS4413" t="str">
        <f>""</f>
        <v/>
      </c>
    </row>
    <row r="4414" spans="1:97" x14ac:dyDescent="0.25">
      <c r="A4414" t="s">
        <v>2053</v>
      </c>
      <c r="B4414" t="s">
        <v>20579</v>
      </c>
      <c r="E4414" t="s">
        <v>27843</v>
      </c>
      <c r="F4414" t="s">
        <v>108</v>
      </c>
      <c r="H4414" t="s">
        <v>27844</v>
      </c>
      <c r="I4414" t="s">
        <v>390</v>
      </c>
      <c r="J4414" t="s">
        <v>111</v>
      </c>
      <c r="K4414" t="str">
        <f>"85042"</f>
        <v>85042</v>
      </c>
      <c r="L4414" t="s">
        <v>6766</v>
      </c>
      <c r="M4414" t="s">
        <v>27844</v>
      </c>
      <c r="N4414" t="s">
        <v>390</v>
      </c>
      <c r="O4414" t="s">
        <v>111</v>
      </c>
      <c r="P4414" t="str">
        <f>"85042-6749"</f>
        <v>85042-6749</v>
      </c>
      <c r="Q4414" t="s">
        <v>113</v>
      </c>
      <c r="R4414" t="str">
        <f>"300-23-208"</f>
        <v>300-23-208</v>
      </c>
      <c r="S4414" t="s">
        <v>6767</v>
      </c>
      <c r="T4414" t="s">
        <v>6768</v>
      </c>
      <c r="U4414">
        <v>1900</v>
      </c>
      <c r="V4414">
        <v>0</v>
      </c>
      <c r="W4414">
        <v>3</v>
      </c>
      <c r="X4414">
        <v>2005</v>
      </c>
      <c r="Z4414">
        <v>1</v>
      </c>
      <c r="AB4414">
        <v>0</v>
      </c>
      <c r="AC4414" t="s">
        <v>115</v>
      </c>
      <c r="AD4414">
        <v>3</v>
      </c>
      <c r="AE4414" t="s">
        <v>115</v>
      </c>
      <c r="AF4414">
        <v>0</v>
      </c>
      <c r="AG4414">
        <v>0</v>
      </c>
      <c r="AH4414" t="s">
        <v>116</v>
      </c>
      <c r="AI4414" s="1">
        <v>72299</v>
      </c>
      <c r="AJ4414" s="2">
        <v>0.24</v>
      </c>
      <c r="AK4414" s="1">
        <v>296194</v>
      </c>
      <c r="AL4414" t="s">
        <v>117</v>
      </c>
      <c r="AM4414" t="s">
        <v>1302</v>
      </c>
      <c r="AN4414">
        <v>7148</v>
      </c>
      <c r="AO4414">
        <v>0.16</v>
      </c>
      <c r="AR4414">
        <v>1</v>
      </c>
      <c r="AS4414" s="1">
        <v>20780</v>
      </c>
      <c r="AT4414" s="1">
        <v>4150</v>
      </c>
      <c r="AU4414" s="1">
        <v>16630</v>
      </c>
      <c r="AV4414">
        <v>80.03</v>
      </c>
      <c r="AX4414" s="1">
        <v>2488.1799999999998</v>
      </c>
      <c r="AY4414" t="s">
        <v>2859</v>
      </c>
      <c r="AZ4414" t="s">
        <v>2859</v>
      </c>
      <c r="BA4414" t="s">
        <v>2860</v>
      </c>
      <c r="BE4414" s="3">
        <v>41974</v>
      </c>
      <c r="BF4414" s="1">
        <v>221000</v>
      </c>
      <c r="BG4414" t="s">
        <v>27845</v>
      </c>
      <c r="BH4414" s="1">
        <v>116.32</v>
      </c>
      <c r="BI4414" s="1">
        <v>223895</v>
      </c>
      <c r="BJ4414" s="3">
        <v>42599</v>
      </c>
      <c r="BK4414" t="s">
        <v>123</v>
      </c>
      <c r="BL4414" t="str">
        <f>"2016.587083"</f>
        <v>2016.587083</v>
      </c>
      <c r="BM4414" t="s">
        <v>492</v>
      </c>
      <c r="BO4414" t="s">
        <v>27846</v>
      </c>
      <c r="BS4414">
        <v>30</v>
      </c>
      <c r="BW4414" t="str">
        <f>""</f>
        <v/>
      </c>
      <c r="CH4414" t="str">
        <f>""</f>
        <v/>
      </c>
      <c r="CS4414" t="str">
        <f>""</f>
        <v/>
      </c>
    </row>
    <row r="4415" spans="1:97" x14ac:dyDescent="0.25">
      <c r="A4415" t="s">
        <v>719</v>
      </c>
      <c r="B4415" t="s">
        <v>3879</v>
      </c>
      <c r="E4415" t="s">
        <v>27847</v>
      </c>
      <c r="F4415" t="s">
        <v>108</v>
      </c>
      <c r="H4415" t="s">
        <v>27848</v>
      </c>
      <c r="I4415" t="s">
        <v>499</v>
      </c>
      <c r="J4415" t="s">
        <v>111</v>
      </c>
      <c r="K4415" t="str">
        <f>"85338"</f>
        <v>85338</v>
      </c>
      <c r="L4415" t="s">
        <v>6431</v>
      </c>
      <c r="M4415" t="s">
        <v>27848</v>
      </c>
      <c r="N4415" t="s">
        <v>499</v>
      </c>
      <c r="O4415" t="s">
        <v>111</v>
      </c>
      <c r="P4415" t="str">
        <f>"85338-7425"</f>
        <v>85338-7425</v>
      </c>
      <c r="Q4415" t="s">
        <v>113</v>
      </c>
      <c r="R4415" t="str">
        <f>"500-97-232"</f>
        <v>500-97-232</v>
      </c>
      <c r="S4415" t="s">
        <v>6708</v>
      </c>
      <c r="U4415">
        <v>2449</v>
      </c>
      <c r="V4415">
        <v>0</v>
      </c>
      <c r="W4415">
        <v>5</v>
      </c>
      <c r="X4415">
        <v>2007</v>
      </c>
      <c r="Z4415">
        <v>1</v>
      </c>
      <c r="AB4415">
        <v>0</v>
      </c>
      <c r="AC4415" t="s">
        <v>115</v>
      </c>
      <c r="AD4415">
        <v>2</v>
      </c>
      <c r="AE4415" t="s">
        <v>115</v>
      </c>
      <c r="AF4415">
        <v>0</v>
      </c>
      <c r="AG4415">
        <v>0</v>
      </c>
      <c r="AH4415" t="s">
        <v>116</v>
      </c>
      <c r="AI4415" s="1">
        <v>61234</v>
      </c>
      <c r="AJ4415" s="2">
        <v>0.2</v>
      </c>
      <c r="AK4415" s="1">
        <v>302834</v>
      </c>
      <c r="AL4415" t="s">
        <v>117</v>
      </c>
      <c r="AM4415" t="s">
        <v>118</v>
      </c>
      <c r="AN4415">
        <v>7777</v>
      </c>
      <c r="AO4415">
        <v>0.18</v>
      </c>
      <c r="AR4415">
        <v>1</v>
      </c>
      <c r="AS4415" s="1">
        <v>21600</v>
      </c>
      <c r="AT4415" s="1">
        <v>4320</v>
      </c>
      <c r="AU4415" s="1">
        <v>17280</v>
      </c>
      <c r="AV4415">
        <v>80</v>
      </c>
      <c r="AX4415" s="1">
        <v>2609.84</v>
      </c>
      <c r="AY4415" t="s">
        <v>6319</v>
      </c>
      <c r="AZ4415" t="s">
        <v>6319</v>
      </c>
      <c r="BA4415" t="s">
        <v>218</v>
      </c>
      <c r="BE4415" s="3">
        <v>42247</v>
      </c>
      <c r="BF4415" s="1">
        <v>245000</v>
      </c>
      <c r="BG4415" t="s">
        <v>27849</v>
      </c>
      <c r="BH4415" s="1">
        <v>100.04</v>
      </c>
      <c r="BI4415" s="1">
        <v>241600</v>
      </c>
      <c r="BJ4415" s="3">
        <v>42879</v>
      </c>
      <c r="BK4415" t="s">
        <v>123</v>
      </c>
      <c r="BL4415" t="str">
        <f>"2017.377572"</f>
        <v>2017.377572</v>
      </c>
      <c r="BM4415" t="s">
        <v>709</v>
      </c>
      <c r="BO4415" t="s">
        <v>27850</v>
      </c>
      <c r="BQ4415" t="str">
        <f>"3.3750%"</f>
        <v>3.3750%</v>
      </c>
      <c r="BR4415" t="s">
        <v>1480</v>
      </c>
      <c r="BS4415">
        <v>30</v>
      </c>
      <c r="BW4415" t="str">
        <f>""</f>
        <v/>
      </c>
      <c r="CH4415" t="str">
        <f>""</f>
        <v/>
      </c>
      <c r="CS4415" t="str">
        <f>""</f>
        <v/>
      </c>
    </row>
    <row r="4416" spans="1:97" x14ac:dyDescent="0.25">
      <c r="A4416" t="s">
        <v>140</v>
      </c>
      <c r="B4416" t="s">
        <v>27737</v>
      </c>
      <c r="C4416" t="s">
        <v>179</v>
      </c>
      <c r="D4416" t="s">
        <v>27737</v>
      </c>
      <c r="E4416" t="s">
        <v>27851</v>
      </c>
      <c r="F4416" t="s">
        <v>108</v>
      </c>
      <c r="H4416" t="s">
        <v>27852</v>
      </c>
      <c r="I4416" t="s">
        <v>1936</v>
      </c>
      <c r="J4416" t="s">
        <v>111</v>
      </c>
      <c r="K4416" t="str">
        <f>"85251"</f>
        <v>85251</v>
      </c>
      <c r="L4416" t="s">
        <v>4565</v>
      </c>
      <c r="M4416" t="s">
        <v>27852</v>
      </c>
      <c r="N4416" t="s">
        <v>1936</v>
      </c>
      <c r="O4416" t="s">
        <v>111</v>
      </c>
      <c r="P4416" t="str">
        <f>"85251-5050"</f>
        <v>85251-5050</v>
      </c>
      <c r="Q4416" t="s">
        <v>113</v>
      </c>
      <c r="R4416" t="str">
        <f>"130-41-146"</f>
        <v>130-41-146</v>
      </c>
      <c r="S4416" t="s">
        <v>27853</v>
      </c>
      <c r="T4416" t="s">
        <v>7030</v>
      </c>
      <c r="U4416">
        <v>2441</v>
      </c>
      <c r="V4416">
        <v>0</v>
      </c>
      <c r="W4416">
        <v>3</v>
      </c>
      <c r="X4416">
        <v>1971</v>
      </c>
      <c r="Z4416">
        <v>1</v>
      </c>
      <c r="AB4416">
        <v>0</v>
      </c>
      <c r="AC4416" t="s">
        <v>115</v>
      </c>
      <c r="AD4416">
        <v>2</v>
      </c>
      <c r="AE4416" t="s">
        <v>115</v>
      </c>
      <c r="AF4416">
        <v>0</v>
      </c>
      <c r="AG4416">
        <v>0</v>
      </c>
      <c r="AH4416" t="s">
        <v>116</v>
      </c>
      <c r="AI4416" s="1">
        <v>181303</v>
      </c>
      <c r="AJ4416" s="2">
        <v>0.39</v>
      </c>
      <c r="AK4416" s="1">
        <v>460447</v>
      </c>
      <c r="AL4416" t="s">
        <v>117</v>
      </c>
      <c r="AM4416" t="s">
        <v>393</v>
      </c>
      <c r="AN4416">
        <v>7193</v>
      </c>
      <c r="AO4416">
        <v>0.16</v>
      </c>
      <c r="AP4416">
        <v>1</v>
      </c>
      <c r="AR4416">
        <v>1</v>
      </c>
      <c r="AS4416" s="1">
        <v>31010</v>
      </c>
      <c r="AT4416" s="1">
        <v>6200</v>
      </c>
      <c r="AU4416" s="1">
        <v>24810</v>
      </c>
      <c r="AV4416">
        <v>80.010000000000005</v>
      </c>
      <c r="AX4416" s="1">
        <v>1715.86</v>
      </c>
      <c r="AY4416" t="s">
        <v>7031</v>
      </c>
      <c r="AZ4416" t="s">
        <v>5420</v>
      </c>
      <c r="BA4416" t="s">
        <v>5421</v>
      </c>
      <c r="BE4416" s="3">
        <v>41754</v>
      </c>
      <c r="BF4416" s="1">
        <v>288400</v>
      </c>
      <c r="BG4416" t="s">
        <v>27854</v>
      </c>
      <c r="BH4416" s="1">
        <v>118.15</v>
      </c>
      <c r="BI4416" s="1">
        <v>279144</v>
      </c>
      <c r="BJ4416" s="3">
        <v>42752</v>
      </c>
      <c r="BK4416" t="s">
        <v>123</v>
      </c>
      <c r="BL4416" t="str">
        <f>"2017.32370"</f>
        <v>2017.32370</v>
      </c>
      <c r="BM4416" t="s">
        <v>724</v>
      </c>
      <c r="BO4416" t="s">
        <v>27855</v>
      </c>
      <c r="BS4416">
        <v>20</v>
      </c>
      <c r="BW4416" t="str">
        <f>""</f>
        <v/>
      </c>
      <c r="CH4416" t="str">
        <f>""</f>
        <v/>
      </c>
      <c r="CS4416" t="str">
        <f>""</f>
        <v/>
      </c>
    </row>
    <row r="4417" spans="1:97" x14ac:dyDescent="0.25">
      <c r="A4417" t="s">
        <v>5755</v>
      </c>
      <c r="B4417" t="s">
        <v>27856</v>
      </c>
      <c r="C4417" t="s">
        <v>719</v>
      </c>
      <c r="D4417" t="s">
        <v>27856</v>
      </c>
      <c r="E4417" t="s">
        <v>27857</v>
      </c>
      <c r="F4417" t="s">
        <v>108</v>
      </c>
      <c r="H4417" t="s">
        <v>27858</v>
      </c>
      <c r="I4417" t="s">
        <v>110</v>
      </c>
      <c r="J4417" t="s">
        <v>111</v>
      </c>
      <c r="K4417" t="str">
        <f>"85249"</f>
        <v>85249</v>
      </c>
      <c r="L4417" t="s">
        <v>8747</v>
      </c>
      <c r="M4417" t="s">
        <v>27858</v>
      </c>
      <c r="N4417" t="s">
        <v>110</v>
      </c>
      <c r="O4417" t="s">
        <v>111</v>
      </c>
      <c r="P4417" t="str">
        <f>"85249-4675"</f>
        <v>85249-4675</v>
      </c>
      <c r="Q4417" t="s">
        <v>113</v>
      </c>
      <c r="R4417" t="str">
        <f>"303-84-678"</f>
        <v>303-84-678</v>
      </c>
      <c r="S4417" t="s">
        <v>20799</v>
      </c>
      <c r="U4417">
        <v>1363</v>
      </c>
      <c r="V4417">
        <v>0</v>
      </c>
      <c r="W4417">
        <v>2</v>
      </c>
      <c r="X4417">
        <v>2001</v>
      </c>
      <c r="Z4417">
        <v>1</v>
      </c>
      <c r="AB4417">
        <v>0</v>
      </c>
      <c r="AC4417" t="s">
        <v>115</v>
      </c>
      <c r="AD4417">
        <v>2</v>
      </c>
      <c r="AE4417" t="s">
        <v>115</v>
      </c>
      <c r="AF4417">
        <v>0</v>
      </c>
      <c r="AG4417">
        <v>0</v>
      </c>
      <c r="AH4417" t="s">
        <v>116</v>
      </c>
      <c r="AI4417" s="1">
        <v>25351</v>
      </c>
      <c r="AJ4417" s="2">
        <v>0.1</v>
      </c>
      <c r="AK4417" s="1">
        <v>252611</v>
      </c>
      <c r="AL4417" t="s">
        <v>117</v>
      </c>
      <c r="AM4417" t="s">
        <v>118</v>
      </c>
      <c r="AN4417">
        <v>4750</v>
      </c>
      <c r="AO4417">
        <v>0.11</v>
      </c>
      <c r="AP4417">
        <v>1</v>
      </c>
      <c r="AR4417">
        <v>1</v>
      </c>
      <c r="AS4417" s="1">
        <v>16450</v>
      </c>
      <c r="AT4417" s="1">
        <v>3290</v>
      </c>
      <c r="AU4417" s="1">
        <v>13160</v>
      </c>
      <c r="AV4417">
        <v>80</v>
      </c>
      <c r="AX4417" s="1">
        <v>1175.78</v>
      </c>
      <c r="AY4417" t="s">
        <v>5050</v>
      </c>
      <c r="AZ4417" t="s">
        <v>120</v>
      </c>
      <c r="BA4417" t="s">
        <v>274</v>
      </c>
      <c r="BE4417" s="3">
        <v>41904</v>
      </c>
      <c r="BF4417" s="1">
        <v>178000</v>
      </c>
      <c r="BG4417" t="s">
        <v>27859</v>
      </c>
      <c r="BH4417" s="1">
        <v>130.59</v>
      </c>
      <c r="BI4417" s="1">
        <v>227260</v>
      </c>
      <c r="BJ4417" s="3">
        <v>43070</v>
      </c>
      <c r="BK4417" t="s">
        <v>123</v>
      </c>
      <c r="BL4417" t="str">
        <f>"2017.891999"</f>
        <v>2017.891999</v>
      </c>
      <c r="BM4417" t="s">
        <v>361</v>
      </c>
      <c r="BO4417" t="s">
        <v>27860</v>
      </c>
      <c r="BS4417">
        <v>30</v>
      </c>
      <c r="BW4417" t="str">
        <f>""</f>
        <v/>
      </c>
      <c r="CH4417" t="str">
        <f>""</f>
        <v/>
      </c>
      <c r="CS4417" t="str">
        <f>""</f>
        <v/>
      </c>
    </row>
    <row r="4418" spans="1:97" x14ac:dyDescent="0.25">
      <c r="A4418" t="s">
        <v>464</v>
      </c>
      <c r="B4418" t="s">
        <v>26701</v>
      </c>
      <c r="C4418" t="s">
        <v>2530</v>
      </c>
      <c r="D4418" t="s">
        <v>26701</v>
      </c>
      <c r="E4418" t="s">
        <v>27861</v>
      </c>
      <c r="F4418" t="s">
        <v>108</v>
      </c>
      <c r="H4418" t="s">
        <v>27862</v>
      </c>
      <c r="I4418" t="s">
        <v>390</v>
      </c>
      <c r="J4418" t="s">
        <v>111</v>
      </c>
      <c r="K4418" t="str">
        <f>"85007"</f>
        <v>85007</v>
      </c>
      <c r="L4418" t="s">
        <v>8199</v>
      </c>
      <c r="M4418" t="s">
        <v>27862</v>
      </c>
      <c r="N4418" t="s">
        <v>390</v>
      </c>
      <c r="O4418" t="s">
        <v>111</v>
      </c>
      <c r="P4418" t="str">
        <f>"85007-1204"</f>
        <v>85007-1204</v>
      </c>
      <c r="Q4418" t="s">
        <v>113</v>
      </c>
      <c r="R4418" t="str">
        <f>"111-04-004"</f>
        <v>111-04-004</v>
      </c>
      <c r="S4418" t="s">
        <v>16460</v>
      </c>
      <c r="T4418" t="s">
        <v>16460</v>
      </c>
      <c r="U4418">
        <v>1228</v>
      </c>
      <c r="V4418">
        <v>0</v>
      </c>
      <c r="W4418">
        <v>1</v>
      </c>
      <c r="X4418">
        <v>1944</v>
      </c>
      <c r="Z4418">
        <v>1</v>
      </c>
      <c r="AB4418">
        <v>0</v>
      </c>
      <c r="AC4418" t="s">
        <v>5188</v>
      </c>
      <c r="AD4418">
        <v>1</v>
      </c>
      <c r="AE4418" t="s">
        <v>5188</v>
      </c>
      <c r="AF4418">
        <v>0</v>
      </c>
      <c r="AG4418">
        <v>0</v>
      </c>
      <c r="AH4418" t="s">
        <v>116</v>
      </c>
      <c r="AI4418" s="1">
        <v>128447</v>
      </c>
      <c r="AJ4418" s="2">
        <v>0.35</v>
      </c>
      <c r="AK4418" s="1">
        <v>368499</v>
      </c>
      <c r="AL4418" t="s">
        <v>117</v>
      </c>
      <c r="AM4418" t="s">
        <v>191</v>
      </c>
      <c r="AN4418">
        <v>6408</v>
      </c>
      <c r="AO4418">
        <v>0.15</v>
      </c>
      <c r="AP4418">
        <v>1</v>
      </c>
      <c r="AR4418">
        <v>1</v>
      </c>
      <c r="AS4418" s="1">
        <v>13535</v>
      </c>
      <c r="AT4418" s="1">
        <v>2705</v>
      </c>
      <c r="AU4418" s="1">
        <v>10830</v>
      </c>
      <c r="AV4418">
        <v>80.010000000000005</v>
      </c>
      <c r="AX4418" s="1">
        <v>1428.22</v>
      </c>
      <c r="AY4418" t="s">
        <v>8243</v>
      </c>
      <c r="AZ4418" t="s">
        <v>8243</v>
      </c>
      <c r="BA4418" t="s">
        <v>5469</v>
      </c>
      <c r="BE4418" s="3">
        <v>42286</v>
      </c>
      <c r="BF4418" s="1">
        <v>235000</v>
      </c>
      <c r="BG4418" t="s">
        <v>27863</v>
      </c>
      <c r="BH4418" s="1">
        <v>191.37</v>
      </c>
      <c r="BI4418" s="1">
        <v>240052</v>
      </c>
      <c r="BJ4418" s="3">
        <v>42286</v>
      </c>
      <c r="BK4418" t="s">
        <v>123</v>
      </c>
      <c r="BL4418" t="str">
        <f>"2015.729596"</f>
        <v>2015.729596</v>
      </c>
      <c r="BM4418" t="s">
        <v>2472</v>
      </c>
      <c r="BO4418" t="s">
        <v>27864</v>
      </c>
      <c r="BS4418">
        <v>30</v>
      </c>
      <c r="BW4418" t="str">
        <f>""</f>
        <v/>
      </c>
      <c r="CH4418" t="str">
        <f>""</f>
        <v/>
      </c>
      <c r="CS4418" t="str">
        <f>""</f>
        <v/>
      </c>
    </row>
    <row r="4419" spans="1:97" x14ac:dyDescent="0.25">
      <c r="A4419" t="s">
        <v>1009</v>
      </c>
      <c r="B4419" t="s">
        <v>13177</v>
      </c>
      <c r="C4419" t="s">
        <v>27865</v>
      </c>
      <c r="D4419" t="s">
        <v>13177</v>
      </c>
      <c r="E4419" t="s">
        <v>27866</v>
      </c>
      <c r="F4419" t="s">
        <v>108</v>
      </c>
      <c r="H4419" t="s">
        <v>27867</v>
      </c>
      <c r="I4419" t="s">
        <v>499</v>
      </c>
      <c r="J4419" t="s">
        <v>111</v>
      </c>
      <c r="K4419" t="str">
        <f>"85338"</f>
        <v>85338</v>
      </c>
      <c r="L4419" t="s">
        <v>6308</v>
      </c>
      <c r="M4419" t="s">
        <v>27867</v>
      </c>
      <c r="N4419" t="s">
        <v>499</v>
      </c>
      <c r="O4419" t="s">
        <v>111</v>
      </c>
      <c r="P4419" t="str">
        <f>"85338-8122"</f>
        <v>85338-8122</v>
      </c>
      <c r="Q4419" t="s">
        <v>113</v>
      </c>
      <c r="R4419" t="str">
        <f>"400-83-175"</f>
        <v>400-83-175</v>
      </c>
      <c r="S4419" t="s">
        <v>6774</v>
      </c>
      <c r="T4419" t="s">
        <v>6775</v>
      </c>
      <c r="U4419">
        <v>1810</v>
      </c>
      <c r="V4419">
        <v>0</v>
      </c>
      <c r="W4419">
        <v>3</v>
      </c>
      <c r="X4419">
        <v>2014</v>
      </c>
      <c r="Z4419">
        <v>1</v>
      </c>
      <c r="AA4419" t="s">
        <v>26</v>
      </c>
      <c r="AB4419">
        <v>0</v>
      </c>
      <c r="AC4419" t="s">
        <v>115</v>
      </c>
      <c r="AD4419">
        <v>2</v>
      </c>
      <c r="AE4419" t="s">
        <v>115</v>
      </c>
      <c r="AF4419">
        <v>0</v>
      </c>
      <c r="AG4419">
        <v>0</v>
      </c>
      <c r="AH4419" t="s">
        <v>116</v>
      </c>
      <c r="AI4419" s="1">
        <v>96881</v>
      </c>
      <c r="AJ4419" s="2">
        <v>0.28999999999999998</v>
      </c>
      <c r="AK4419" s="1">
        <v>331881</v>
      </c>
      <c r="AL4419" t="s">
        <v>117</v>
      </c>
      <c r="AM4419" t="s">
        <v>118</v>
      </c>
      <c r="AN4419">
        <v>5460</v>
      </c>
      <c r="AO4419">
        <v>0.12</v>
      </c>
      <c r="AR4419">
        <v>1</v>
      </c>
      <c r="AS4419" s="1">
        <v>23110</v>
      </c>
      <c r="AT4419" s="1">
        <v>4620</v>
      </c>
      <c r="AU4419" s="1">
        <v>18490</v>
      </c>
      <c r="AV4419">
        <v>80.010000000000005</v>
      </c>
      <c r="AX4419" s="1">
        <v>2025.1</v>
      </c>
      <c r="AY4419" t="s">
        <v>1246</v>
      </c>
      <c r="AZ4419" t="s">
        <v>1246</v>
      </c>
      <c r="BA4419" t="s">
        <v>1247</v>
      </c>
      <c r="BE4419" s="3">
        <v>42031</v>
      </c>
      <c r="BF4419" s="1">
        <v>233565</v>
      </c>
      <c r="BG4419" t="s">
        <v>2780</v>
      </c>
      <c r="BH4419" s="1">
        <v>129.04</v>
      </c>
      <c r="BI4419" s="1">
        <v>235000</v>
      </c>
      <c r="BJ4419" s="3">
        <v>43178</v>
      </c>
      <c r="BK4419" t="s">
        <v>123</v>
      </c>
      <c r="BL4419" t="str">
        <f>"2018.202442"</f>
        <v>2018.202442</v>
      </c>
      <c r="BM4419" t="s">
        <v>135</v>
      </c>
      <c r="BN4419" t="s">
        <v>136</v>
      </c>
      <c r="BO4419" t="s">
        <v>27868</v>
      </c>
      <c r="BP4419" t="s">
        <v>27869</v>
      </c>
      <c r="BR4419" t="s">
        <v>139</v>
      </c>
      <c r="BW4419" t="str">
        <f>""</f>
        <v/>
      </c>
      <c r="CH4419" t="str">
        <f>""</f>
        <v/>
      </c>
      <c r="CS4419" t="str">
        <f>""</f>
        <v/>
      </c>
    </row>
    <row r="4420" spans="1:97" x14ac:dyDescent="0.25">
      <c r="A4420" t="s">
        <v>7969</v>
      </c>
      <c r="B4420" t="s">
        <v>212</v>
      </c>
      <c r="E4420" t="s">
        <v>27870</v>
      </c>
      <c r="F4420" t="s">
        <v>108</v>
      </c>
      <c r="H4420" t="s">
        <v>27871</v>
      </c>
      <c r="I4420" t="s">
        <v>3150</v>
      </c>
      <c r="J4420" t="s">
        <v>111</v>
      </c>
      <c r="K4420" t="str">
        <f>"85340"</f>
        <v>85340</v>
      </c>
      <c r="L4420" t="s">
        <v>1789</v>
      </c>
      <c r="M4420" t="s">
        <v>27871</v>
      </c>
      <c r="N4420" t="s">
        <v>3150</v>
      </c>
      <c r="O4420" t="s">
        <v>111</v>
      </c>
      <c r="P4420" t="str">
        <f>"85340-7300"</f>
        <v>85340-7300</v>
      </c>
      <c r="Q4420" t="s">
        <v>113</v>
      </c>
      <c r="R4420" t="str">
        <f>"508-06-348"</f>
        <v>508-06-348</v>
      </c>
      <c r="S4420" t="s">
        <v>6579</v>
      </c>
      <c r="U4420">
        <v>2816</v>
      </c>
      <c r="V4420">
        <v>0</v>
      </c>
      <c r="W4420">
        <v>4</v>
      </c>
      <c r="X4420">
        <v>2002</v>
      </c>
      <c r="Z4420">
        <v>1</v>
      </c>
      <c r="AA4420" t="s">
        <v>26</v>
      </c>
      <c r="AB4420">
        <v>0</v>
      </c>
      <c r="AC4420" t="s">
        <v>115</v>
      </c>
      <c r="AD4420">
        <v>3</v>
      </c>
      <c r="AE4420" t="s">
        <v>115</v>
      </c>
      <c r="AF4420">
        <v>0</v>
      </c>
      <c r="AG4420">
        <v>0</v>
      </c>
      <c r="AH4420" t="s">
        <v>116</v>
      </c>
      <c r="AI4420" s="1">
        <v>-27830</v>
      </c>
      <c r="AJ4420" s="2">
        <v>-0.08</v>
      </c>
      <c r="AK4420" s="1">
        <v>346170</v>
      </c>
      <c r="AL4420" t="s">
        <v>117</v>
      </c>
      <c r="AM4420" t="s">
        <v>1302</v>
      </c>
      <c r="AN4420">
        <v>8982</v>
      </c>
      <c r="AO4420">
        <v>0.21</v>
      </c>
      <c r="AP4420">
        <v>1</v>
      </c>
      <c r="AR4420">
        <v>1</v>
      </c>
      <c r="AS4420" s="1">
        <v>25120</v>
      </c>
      <c r="AT4420" s="1">
        <v>5020</v>
      </c>
      <c r="AU4420" s="1">
        <v>20100</v>
      </c>
      <c r="AV4420">
        <v>80.02</v>
      </c>
      <c r="AX4420" s="1">
        <v>2748.26</v>
      </c>
      <c r="AY4420" t="s">
        <v>6580</v>
      </c>
      <c r="AZ4420" t="s">
        <v>3153</v>
      </c>
      <c r="BA4420" t="s">
        <v>3154</v>
      </c>
      <c r="BB4420" s="3">
        <v>43580</v>
      </c>
      <c r="BC4420" s="1">
        <v>0</v>
      </c>
      <c r="BD4420" t="s">
        <v>247</v>
      </c>
      <c r="BE4420" s="3">
        <v>42249</v>
      </c>
      <c r="BF4420" s="1">
        <v>290000</v>
      </c>
      <c r="BG4420" t="s">
        <v>27872</v>
      </c>
      <c r="BH4420" s="1">
        <v>102.98</v>
      </c>
      <c r="BI4420" s="1">
        <v>314000</v>
      </c>
      <c r="BJ4420" s="3">
        <v>43005</v>
      </c>
      <c r="BK4420" t="s">
        <v>123</v>
      </c>
      <c r="BL4420" t="str">
        <f>"2017.711099"</f>
        <v>2017.711099</v>
      </c>
      <c r="BM4420" t="s">
        <v>361</v>
      </c>
      <c r="BN4420">
        <v>92610</v>
      </c>
      <c r="BO4420" t="s">
        <v>27873</v>
      </c>
      <c r="BS4420">
        <v>15</v>
      </c>
      <c r="BT4420" s="1">
        <v>60000</v>
      </c>
      <c r="BU4420" s="3">
        <v>43692</v>
      </c>
      <c r="BV4420" t="s">
        <v>134</v>
      </c>
      <c r="BW4420" t="str">
        <f>"2019.629359"</f>
        <v>2019.629359</v>
      </c>
      <c r="BX4420" t="s">
        <v>135</v>
      </c>
      <c r="BY4420" t="s">
        <v>136</v>
      </c>
      <c r="BZ4420" t="s">
        <v>27874</v>
      </c>
      <c r="CA4420" t="s">
        <v>27875</v>
      </c>
      <c r="CC4420" t="s">
        <v>139</v>
      </c>
      <c r="CH4420" t="str">
        <f>""</f>
        <v/>
      </c>
      <c r="CS4420" t="str">
        <f>""</f>
        <v/>
      </c>
    </row>
    <row r="4421" spans="1:97" x14ac:dyDescent="0.25">
      <c r="A4421" t="s">
        <v>7263</v>
      </c>
      <c r="B4421" t="s">
        <v>3642</v>
      </c>
      <c r="C4421" t="s">
        <v>259</v>
      </c>
      <c r="D4421" t="s">
        <v>3642</v>
      </c>
      <c r="E4421" t="s">
        <v>27876</v>
      </c>
      <c r="F4421" t="s">
        <v>108</v>
      </c>
      <c r="H4421" t="s">
        <v>27877</v>
      </c>
      <c r="I4421" t="s">
        <v>203</v>
      </c>
      <c r="J4421" t="s">
        <v>111</v>
      </c>
      <c r="K4421" t="str">
        <f>"85298"</f>
        <v>85298</v>
      </c>
      <c r="L4421" t="s">
        <v>681</v>
      </c>
      <c r="M4421" t="s">
        <v>27877</v>
      </c>
      <c r="N4421" t="s">
        <v>203</v>
      </c>
      <c r="O4421" t="s">
        <v>111</v>
      </c>
      <c r="P4421" t="str">
        <f>"85298"</f>
        <v>85298</v>
      </c>
      <c r="Q4421" t="s">
        <v>113</v>
      </c>
      <c r="R4421" t="str">
        <f>"304-71-891"</f>
        <v>304-71-891</v>
      </c>
      <c r="S4421" t="s">
        <v>6911</v>
      </c>
      <c r="T4421" t="s">
        <v>287</v>
      </c>
      <c r="U4421">
        <v>2177</v>
      </c>
      <c r="V4421">
        <v>0</v>
      </c>
      <c r="W4421">
        <v>4</v>
      </c>
      <c r="X4421">
        <v>2015</v>
      </c>
      <c r="Z4421">
        <v>2</v>
      </c>
      <c r="AB4421">
        <v>0</v>
      </c>
      <c r="AC4421" t="s">
        <v>115</v>
      </c>
      <c r="AD4421">
        <v>2</v>
      </c>
      <c r="AE4421" t="s">
        <v>115</v>
      </c>
      <c r="AF4421">
        <v>0</v>
      </c>
      <c r="AG4421">
        <v>0</v>
      </c>
      <c r="AH4421" t="s">
        <v>116</v>
      </c>
      <c r="AI4421" s="1">
        <v>60270</v>
      </c>
      <c r="AJ4421" s="2">
        <v>0.16</v>
      </c>
      <c r="AK4421" s="1">
        <v>380520</v>
      </c>
      <c r="AL4421" t="s">
        <v>117</v>
      </c>
      <c r="AM4421" t="s">
        <v>288</v>
      </c>
      <c r="AN4421">
        <v>4768</v>
      </c>
      <c r="AO4421">
        <v>0.11</v>
      </c>
      <c r="AR4421">
        <v>1</v>
      </c>
      <c r="AS4421" s="1">
        <v>26380</v>
      </c>
      <c r="AT4421" s="1">
        <v>5270</v>
      </c>
      <c r="AU4421" s="1">
        <v>21110</v>
      </c>
      <c r="AV4421">
        <v>80.02</v>
      </c>
      <c r="AX4421" s="1">
        <v>2052.06</v>
      </c>
      <c r="AY4421" t="s">
        <v>289</v>
      </c>
      <c r="AZ4421" t="s">
        <v>289</v>
      </c>
      <c r="BA4421" t="s">
        <v>290</v>
      </c>
      <c r="BE4421" s="3">
        <v>42507</v>
      </c>
      <c r="BF4421" s="1">
        <v>313538</v>
      </c>
      <c r="BG4421" t="s">
        <v>292</v>
      </c>
      <c r="BH4421" s="1">
        <v>144.02000000000001</v>
      </c>
      <c r="BI4421" s="1">
        <v>320250</v>
      </c>
      <c r="BJ4421" s="3">
        <v>42507</v>
      </c>
      <c r="BK4421" t="s">
        <v>123</v>
      </c>
      <c r="BL4421" t="str">
        <f>"2016.336204"</f>
        <v>2016.336204</v>
      </c>
      <c r="BM4421" t="s">
        <v>124</v>
      </c>
      <c r="BO4421" t="s">
        <v>27878</v>
      </c>
      <c r="BS4421">
        <v>30</v>
      </c>
      <c r="BW4421" t="str">
        <f>""</f>
        <v/>
      </c>
      <c r="CH4421" t="str">
        <f>""</f>
        <v/>
      </c>
      <c r="CS4421" t="str">
        <f>""</f>
        <v/>
      </c>
    </row>
    <row r="4422" spans="1:97" x14ac:dyDescent="0.25">
      <c r="A4422" t="s">
        <v>589</v>
      </c>
      <c r="B4422" t="s">
        <v>4849</v>
      </c>
      <c r="C4422" t="s">
        <v>3219</v>
      </c>
      <c r="D4422" t="s">
        <v>4849</v>
      </c>
      <c r="E4422" t="s">
        <v>27879</v>
      </c>
      <c r="F4422" t="s">
        <v>108</v>
      </c>
      <c r="H4422" t="s">
        <v>27880</v>
      </c>
      <c r="I4422" t="s">
        <v>167</v>
      </c>
      <c r="J4422" t="s">
        <v>111</v>
      </c>
      <c r="K4422" t="str">
        <f>"85339"</f>
        <v>85339</v>
      </c>
      <c r="L4422" t="s">
        <v>5367</v>
      </c>
      <c r="M4422" t="s">
        <v>27880</v>
      </c>
      <c r="N4422" t="s">
        <v>167</v>
      </c>
      <c r="O4422" t="s">
        <v>111</v>
      </c>
      <c r="P4422" t="str">
        <f>"85339-7084"</f>
        <v>85339-7084</v>
      </c>
      <c r="Q4422" t="s">
        <v>113</v>
      </c>
      <c r="R4422" t="str">
        <f>"104-87-211"</f>
        <v>104-87-211</v>
      </c>
      <c r="S4422" t="s">
        <v>12188</v>
      </c>
      <c r="U4422">
        <v>2311</v>
      </c>
      <c r="V4422">
        <v>0</v>
      </c>
      <c r="W4422">
        <v>3</v>
      </c>
      <c r="X4422">
        <v>2016</v>
      </c>
      <c r="Z4422">
        <v>1</v>
      </c>
      <c r="AB4422">
        <v>0</v>
      </c>
      <c r="AC4422" t="s">
        <v>115</v>
      </c>
      <c r="AD4422">
        <v>2</v>
      </c>
      <c r="AE4422" t="s">
        <v>115</v>
      </c>
      <c r="AF4422">
        <v>0</v>
      </c>
      <c r="AG4422">
        <v>0</v>
      </c>
      <c r="AH4422" t="s">
        <v>116</v>
      </c>
      <c r="AI4422" s="1">
        <v>51884</v>
      </c>
      <c r="AJ4422" s="2">
        <v>0.18</v>
      </c>
      <c r="AK4422" s="1">
        <v>287931</v>
      </c>
      <c r="AL4422" t="s">
        <v>117</v>
      </c>
      <c r="AM4422" t="s">
        <v>760</v>
      </c>
      <c r="AN4422">
        <v>7475</v>
      </c>
      <c r="AO4422">
        <v>0.17</v>
      </c>
      <c r="AR4422">
        <v>1</v>
      </c>
      <c r="AS4422" s="1">
        <v>21050</v>
      </c>
      <c r="AT4422" s="1">
        <v>4210</v>
      </c>
      <c r="AU4422" s="1">
        <v>16840</v>
      </c>
      <c r="AV4422">
        <v>80</v>
      </c>
      <c r="AX4422" s="1">
        <v>2676.02</v>
      </c>
      <c r="AY4422" t="s">
        <v>172</v>
      </c>
      <c r="AZ4422" t="s">
        <v>172</v>
      </c>
      <c r="BA4422" t="s">
        <v>173</v>
      </c>
      <c r="BE4422" s="3">
        <v>42538</v>
      </c>
      <c r="BF4422" s="1">
        <v>231079</v>
      </c>
      <c r="BG4422" t="s">
        <v>233</v>
      </c>
      <c r="BH4422" s="1">
        <v>99.99</v>
      </c>
      <c r="BI4422" s="1">
        <v>236047</v>
      </c>
      <c r="BJ4422" s="3">
        <v>42538</v>
      </c>
      <c r="BK4422" t="s">
        <v>123</v>
      </c>
      <c r="BL4422" t="str">
        <f>"2016.425666"</f>
        <v>2016.425666</v>
      </c>
      <c r="BM4422" t="s">
        <v>594</v>
      </c>
      <c r="BO4422" t="s">
        <v>27881</v>
      </c>
      <c r="BS4422">
        <v>30</v>
      </c>
      <c r="BW4422" t="str">
        <f>""</f>
        <v/>
      </c>
      <c r="CH4422" t="str">
        <f>""</f>
        <v/>
      </c>
      <c r="CS4422" t="str">
        <f>""</f>
        <v/>
      </c>
    </row>
    <row r="4423" spans="1:97" x14ac:dyDescent="0.25">
      <c r="A4423" t="s">
        <v>2537</v>
      </c>
      <c r="B4423" t="s">
        <v>8231</v>
      </c>
      <c r="C4423" t="s">
        <v>365</v>
      </c>
      <c r="D4423" t="s">
        <v>8231</v>
      </c>
      <c r="E4423" t="s">
        <v>27882</v>
      </c>
      <c r="F4423" t="s">
        <v>108</v>
      </c>
      <c r="H4423" t="s">
        <v>27883</v>
      </c>
      <c r="I4423" t="s">
        <v>110</v>
      </c>
      <c r="J4423" t="s">
        <v>111</v>
      </c>
      <c r="K4423" t="str">
        <f>"85225"</f>
        <v>85225</v>
      </c>
      <c r="L4423" t="s">
        <v>8543</v>
      </c>
      <c r="M4423" t="s">
        <v>27883</v>
      </c>
      <c r="N4423" t="s">
        <v>110</v>
      </c>
      <c r="O4423" t="s">
        <v>111</v>
      </c>
      <c r="P4423" t="str">
        <f>"85225-1762"</f>
        <v>85225-1762</v>
      </c>
      <c r="Q4423" t="s">
        <v>113</v>
      </c>
      <c r="R4423" t="str">
        <f>"310-06-235"</f>
        <v>310-06-235</v>
      </c>
      <c r="S4423" t="s">
        <v>27884</v>
      </c>
      <c r="U4423">
        <v>1834</v>
      </c>
      <c r="V4423">
        <v>0</v>
      </c>
      <c r="W4423">
        <v>3</v>
      </c>
      <c r="X4423">
        <v>1995</v>
      </c>
      <c r="Z4423">
        <v>1</v>
      </c>
      <c r="AA4423" t="s">
        <v>26</v>
      </c>
      <c r="AB4423">
        <v>0</v>
      </c>
      <c r="AC4423" t="s">
        <v>115</v>
      </c>
      <c r="AD4423">
        <v>2</v>
      </c>
      <c r="AE4423" t="s">
        <v>115</v>
      </c>
      <c r="AF4423">
        <v>0</v>
      </c>
      <c r="AG4423">
        <v>0</v>
      </c>
      <c r="AH4423" t="s">
        <v>116</v>
      </c>
      <c r="AI4423" s="1">
        <v>89719</v>
      </c>
      <c r="AJ4423" s="2">
        <v>0.27</v>
      </c>
      <c r="AK4423" s="1">
        <v>332569</v>
      </c>
      <c r="AL4423" t="s">
        <v>117</v>
      </c>
      <c r="AM4423" t="s">
        <v>118</v>
      </c>
      <c r="AN4423">
        <v>6900</v>
      </c>
      <c r="AO4423">
        <v>0.16</v>
      </c>
      <c r="AP4423">
        <v>1</v>
      </c>
      <c r="AR4423">
        <v>1</v>
      </c>
      <c r="AS4423" s="1">
        <v>23480</v>
      </c>
      <c r="AT4423" s="1">
        <v>4690</v>
      </c>
      <c r="AU4423" s="1">
        <v>18790</v>
      </c>
      <c r="AV4423">
        <v>80.03</v>
      </c>
      <c r="AX4423" s="1">
        <v>1694.02</v>
      </c>
      <c r="AY4423" t="s">
        <v>5650</v>
      </c>
      <c r="AZ4423" t="s">
        <v>5078</v>
      </c>
      <c r="BA4423" t="s">
        <v>2957</v>
      </c>
      <c r="BE4423" s="3">
        <v>41677</v>
      </c>
      <c r="BF4423" s="1">
        <v>239000</v>
      </c>
      <c r="BG4423" t="s">
        <v>27885</v>
      </c>
      <c r="BH4423" s="1">
        <v>130.32</v>
      </c>
      <c r="BI4423" s="1">
        <v>242850</v>
      </c>
      <c r="BJ4423" s="3">
        <v>42300</v>
      </c>
      <c r="BK4423" t="s">
        <v>123</v>
      </c>
      <c r="BL4423" t="str">
        <f>"2015.763129"</f>
        <v>2015.763129</v>
      </c>
      <c r="BM4423" t="s">
        <v>124</v>
      </c>
      <c r="BO4423" t="s">
        <v>27886</v>
      </c>
      <c r="BS4423">
        <v>30</v>
      </c>
      <c r="BW4423" t="str">
        <f>""</f>
        <v/>
      </c>
      <c r="CH4423" t="str">
        <f>""</f>
        <v/>
      </c>
      <c r="CS4423" t="str">
        <f>""</f>
        <v/>
      </c>
    </row>
    <row r="4424" spans="1:97" x14ac:dyDescent="0.25">
      <c r="A4424" t="s">
        <v>27887</v>
      </c>
      <c r="B4424" t="s">
        <v>27888</v>
      </c>
      <c r="C4424" t="s">
        <v>27889</v>
      </c>
      <c r="D4424" t="s">
        <v>27888</v>
      </c>
      <c r="E4424" t="s">
        <v>27890</v>
      </c>
      <c r="F4424" t="s">
        <v>108</v>
      </c>
      <c r="H4424" t="s">
        <v>27891</v>
      </c>
      <c r="I4424" t="s">
        <v>499</v>
      </c>
      <c r="J4424" t="s">
        <v>111</v>
      </c>
      <c r="K4424" t="str">
        <f>"85395"</f>
        <v>85395</v>
      </c>
      <c r="L4424" t="s">
        <v>7147</v>
      </c>
      <c r="M4424" t="s">
        <v>27891</v>
      </c>
      <c r="N4424" t="s">
        <v>499</v>
      </c>
      <c r="O4424" t="s">
        <v>111</v>
      </c>
      <c r="P4424" t="str">
        <f>"85395-8439"</f>
        <v>85395-8439</v>
      </c>
      <c r="Q4424" t="s">
        <v>113</v>
      </c>
      <c r="R4424" t="str">
        <f>"508-01-375"</f>
        <v>508-01-375</v>
      </c>
      <c r="S4424" t="s">
        <v>7148</v>
      </c>
      <c r="T4424" t="s">
        <v>7149</v>
      </c>
      <c r="U4424">
        <v>1841</v>
      </c>
      <c r="V4424">
        <v>0</v>
      </c>
      <c r="W4424">
        <v>3</v>
      </c>
      <c r="X4424">
        <v>2000</v>
      </c>
      <c r="Z4424">
        <v>1</v>
      </c>
      <c r="AA4424" t="s">
        <v>26</v>
      </c>
      <c r="AB4424">
        <v>0</v>
      </c>
      <c r="AC4424" t="s">
        <v>115</v>
      </c>
      <c r="AD4424">
        <v>3</v>
      </c>
      <c r="AE4424" t="s">
        <v>115</v>
      </c>
      <c r="AF4424">
        <v>0</v>
      </c>
      <c r="AG4424">
        <v>0</v>
      </c>
      <c r="AH4424" t="s">
        <v>116</v>
      </c>
      <c r="AI4424" s="1">
        <v>64064</v>
      </c>
      <c r="AJ4424" s="2">
        <v>0.21</v>
      </c>
      <c r="AK4424" s="1">
        <v>310951</v>
      </c>
      <c r="AL4424" t="s">
        <v>117</v>
      </c>
      <c r="AM4424" t="s">
        <v>118</v>
      </c>
      <c r="AN4424">
        <v>8040</v>
      </c>
      <c r="AO4424">
        <v>0.18</v>
      </c>
      <c r="AP4424">
        <v>1</v>
      </c>
      <c r="AR4424">
        <v>1</v>
      </c>
      <c r="AS4424" s="1">
        <v>21030</v>
      </c>
      <c r="AT4424" s="1">
        <v>4200</v>
      </c>
      <c r="AU4424" s="1">
        <v>16830</v>
      </c>
      <c r="AV4424">
        <v>80.03</v>
      </c>
      <c r="AX4424" s="1">
        <v>1951.26</v>
      </c>
      <c r="AY4424" t="s">
        <v>3020</v>
      </c>
      <c r="AZ4424" t="s">
        <v>3020</v>
      </c>
      <c r="BA4424" t="s">
        <v>3154</v>
      </c>
      <c r="BE4424" s="3">
        <v>41682</v>
      </c>
      <c r="BF4424" s="1">
        <v>239000</v>
      </c>
      <c r="BG4424" t="s">
        <v>27892</v>
      </c>
      <c r="BH4424" s="1">
        <v>129.82</v>
      </c>
      <c r="BI4424" s="1">
        <v>246887</v>
      </c>
      <c r="BJ4424" s="3">
        <v>41682</v>
      </c>
      <c r="BK4424" t="s">
        <v>123</v>
      </c>
      <c r="BL4424" t="str">
        <f>"2014.94110"</f>
        <v>2014.94110</v>
      </c>
      <c r="BM4424" t="s">
        <v>131</v>
      </c>
      <c r="BO4424" t="s">
        <v>27893</v>
      </c>
      <c r="BS4424">
        <v>30</v>
      </c>
      <c r="BW4424" t="str">
        <f>""</f>
        <v/>
      </c>
      <c r="CH4424" t="str">
        <f>""</f>
        <v/>
      </c>
      <c r="CS4424" t="str">
        <f>""</f>
        <v/>
      </c>
    </row>
    <row r="4425" spans="1:97" x14ac:dyDescent="0.25">
      <c r="A4425" t="s">
        <v>27894</v>
      </c>
      <c r="B4425" t="s">
        <v>27895</v>
      </c>
      <c r="C4425" t="s">
        <v>3682</v>
      </c>
      <c r="D4425" t="s">
        <v>27895</v>
      </c>
      <c r="E4425" t="s">
        <v>27896</v>
      </c>
      <c r="F4425" t="s">
        <v>108</v>
      </c>
      <c r="H4425" t="s">
        <v>27897</v>
      </c>
      <c r="I4425" t="s">
        <v>390</v>
      </c>
      <c r="J4425" t="s">
        <v>111</v>
      </c>
      <c r="K4425" t="str">
        <f>"85028"</f>
        <v>85028</v>
      </c>
      <c r="L4425" t="s">
        <v>3982</v>
      </c>
      <c r="M4425" t="s">
        <v>27897</v>
      </c>
      <c r="N4425" t="s">
        <v>390</v>
      </c>
      <c r="O4425" t="s">
        <v>111</v>
      </c>
      <c r="P4425" t="str">
        <f>"85028-3705"</f>
        <v>85028-3705</v>
      </c>
      <c r="Q4425" t="s">
        <v>113</v>
      </c>
      <c r="R4425" t="str">
        <f>"165-05-136"</f>
        <v>165-05-136</v>
      </c>
      <c r="S4425" t="s">
        <v>18428</v>
      </c>
      <c r="T4425" t="s">
        <v>18429</v>
      </c>
      <c r="U4425">
        <v>2093</v>
      </c>
      <c r="V4425">
        <v>0</v>
      </c>
      <c r="W4425">
        <v>2</v>
      </c>
      <c r="X4425">
        <v>1971</v>
      </c>
      <c r="Z4425">
        <v>1</v>
      </c>
      <c r="AA4425" t="s">
        <v>26</v>
      </c>
      <c r="AB4425">
        <v>0</v>
      </c>
      <c r="AC4425" t="s">
        <v>115</v>
      </c>
      <c r="AD4425">
        <v>2</v>
      </c>
      <c r="AE4425" t="s">
        <v>115</v>
      </c>
      <c r="AF4425">
        <v>0</v>
      </c>
      <c r="AG4425">
        <v>0</v>
      </c>
      <c r="AH4425" t="s">
        <v>116</v>
      </c>
      <c r="AI4425" s="1">
        <v>103647</v>
      </c>
      <c r="AJ4425" s="2">
        <v>0.24</v>
      </c>
      <c r="AK4425" s="1">
        <v>430497</v>
      </c>
      <c r="AL4425" t="s">
        <v>117</v>
      </c>
      <c r="AM4425" t="s">
        <v>1302</v>
      </c>
      <c r="AN4425">
        <v>13668</v>
      </c>
      <c r="AO4425">
        <v>0.31</v>
      </c>
      <c r="AP4425">
        <v>1</v>
      </c>
      <c r="AR4425">
        <v>1</v>
      </c>
      <c r="AS4425" s="1">
        <v>31620</v>
      </c>
      <c r="AT4425" s="1">
        <v>6320</v>
      </c>
      <c r="AU4425" s="1">
        <v>25300</v>
      </c>
      <c r="AV4425">
        <v>80.010000000000005</v>
      </c>
      <c r="AX4425" s="1">
        <v>2585.7199999999998</v>
      </c>
      <c r="AY4425" t="s">
        <v>5488</v>
      </c>
      <c r="AZ4425" t="s">
        <v>5489</v>
      </c>
      <c r="BA4425" t="s">
        <v>5232</v>
      </c>
      <c r="BE4425" s="3">
        <v>41942</v>
      </c>
      <c r="BF4425" s="1">
        <v>300000</v>
      </c>
      <c r="BG4425" t="s">
        <v>27898</v>
      </c>
      <c r="BH4425" s="1">
        <v>143.33000000000001</v>
      </c>
      <c r="BI4425" s="1">
        <v>301350</v>
      </c>
      <c r="BJ4425" s="3">
        <v>42583</v>
      </c>
      <c r="BK4425" t="s">
        <v>123</v>
      </c>
      <c r="BL4425" t="str">
        <f>"2016.542667"</f>
        <v>2016.542667</v>
      </c>
      <c r="BM4425" t="s">
        <v>750</v>
      </c>
      <c r="BO4425" t="s">
        <v>27899</v>
      </c>
      <c r="BS4425">
        <v>30</v>
      </c>
      <c r="BT4425" s="1">
        <v>25500</v>
      </c>
      <c r="BU4425" s="3">
        <v>43020</v>
      </c>
      <c r="BW4425" t="str">
        <f>"2017.757724"</f>
        <v>2017.757724</v>
      </c>
      <c r="BX4425" t="s">
        <v>3843</v>
      </c>
      <c r="BZ4425" t="s">
        <v>27899</v>
      </c>
      <c r="CC4425" t="s">
        <v>1633</v>
      </c>
      <c r="CH4425" t="str">
        <f>""</f>
        <v/>
      </c>
      <c r="CS4425" t="str">
        <f>""</f>
        <v/>
      </c>
    </row>
    <row r="4426" spans="1:97" x14ac:dyDescent="0.25">
      <c r="B4426" t="s">
        <v>27900</v>
      </c>
      <c r="E4426" t="s">
        <v>27900</v>
      </c>
      <c r="F4426" t="s">
        <v>108</v>
      </c>
      <c r="H4426" t="s">
        <v>27901</v>
      </c>
      <c r="I4426" t="s">
        <v>390</v>
      </c>
      <c r="J4426" t="s">
        <v>111</v>
      </c>
      <c r="K4426" t="str">
        <f>"85032"</f>
        <v>85032</v>
      </c>
      <c r="L4426" t="s">
        <v>5709</v>
      </c>
      <c r="M4426" t="s">
        <v>27901</v>
      </c>
      <c r="N4426" t="s">
        <v>390</v>
      </c>
      <c r="O4426" t="s">
        <v>111</v>
      </c>
      <c r="P4426" t="str">
        <f>"85032-5921"</f>
        <v>85032-5921</v>
      </c>
      <c r="R4426" t="str">
        <f>"166-08-077"</f>
        <v>166-08-077</v>
      </c>
      <c r="S4426" t="s">
        <v>27902</v>
      </c>
      <c r="T4426" t="s">
        <v>27902</v>
      </c>
      <c r="U4426">
        <v>1364</v>
      </c>
      <c r="V4426">
        <v>0</v>
      </c>
      <c r="W4426">
        <v>2</v>
      </c>
      <c r="X4426">
        <v>1962</v>
      </c>
      <c r="Z4426">
        <v>1</v>
      </c>
      <c r="AB4426">
        <v>0</v>
      </c>
      <c r="AC4426" t="s">
        <v>115</v>
      </c>
      <c r="AD4426">
        <v>2</v>
      </c>
      <c r="AE4426" t="s">
        <v>115</v>
      </c>
      <c r="AF4426">
        <v>0</v>
      </c>
      <c r="AG4426">
        <v>0</v>
      </c>
      <c r="AH4426" t="s">
        <v>116</v>
      </c>
      <c r="AI4426" s="1">
        <v>20234</v>
      </c>
      <c r="AJ4426" s="2">
        <v>7.0000000000000007E-2</v>
      </c>
      <c r="AK4426" s="1">
        <v>301146</v>
      </c>
      <c r="AL4426" t="s">
        <v>117</v>
      </c>
      <c r="AM4426" t="s">
        <v>6114</v>
      </c>
      <c r="AN4426">
        <v>17758</v>
      </c>
      <c r="AO4426">
        <v>0.41</v>
      </c>
      <c r="AP4426">
        <v>1</v>
      </c>
      <c r="AR4426">
        <v>1</v>
      </c>
      <c r="AS4426" s="1">
        <v>20670</v>
      </c>
      <c r="AT4426" s="1">
        <v>4130</v>
      </c>
      <c r="AU4426" s="1">
        <v>16540</v>
      </c>
      <c r="AV4426">
        <v>80.02</v>
      </c>
      <c r="AX4426" s="1">
        <v>1404.68</v>
      </c>
      <c r="AY4426" t="s">
        <v>6904</v>
      </c>
      <c r="AZ4426" t="s">
        <v>5489</v>
      </c>
      <c r="BA4426" t="s">
        <v>5232</v>
      </c>
      <c r="BB4426" s="3">
        <v>42646</v>
      </c>
      <c r="BD4426" t="s">
        <v>480</v>
      </c>
      <c r="BE4426" s="3">
        <v>42473</v>
      </c>
      <c r="BF4426" s="1">
        <v>275000</v>
      </c>
      <c r="BG4426" t="s">
        <v>27903</v>
      </c>
      <c r="BH4426" s="1">
        <v>201.61</v>
      </c>
      <c r="BI4426" s="1">
        <v>280912</v>
      </c>
      <c r="BJ4426" s="3">
        <v>42473</v>
      </c>
      <c r="BK4426" t="s">
        <v>123</v>
      </c>
      <c r="BL4426" t="str">
        <f>"2016.244713"</f>
        <v>2016.244713</v>
      </c>
      <c r="BM4426" t="s">
        <v>594</v>
      </c>
      <c r="BN4426" t="s">
        <v>595</v>
      </c>
      <c r="BO4426" t="s">
        <v>27904</v>
      </c>
      <c r="BS4426">
        <v>30</v>
      </c>
      <c r="BW4426" t="str">
        <f>""</f>
        <v/>
      </c>
      <c r="CH4426" t="str">
        <f>""</f>
        <v/>
      </c>
      <c r="CS4426" t="str">
        <f>""</f>
        <v/>
      </c>
    </row>
    <row r="4427" spans="1:97" x14ac:dyDescent="0.25">
      <c r="A4427" t="s">
        <v>933</v>
      </c>
      <c r="B4427" t="s">
        <v>27905</v>
      </c>
      <c r="E4427" t="s">
        <v>27906</v>
      </c>
      <c r="F4427" t="s">
        <v>108</v>
      </c>
      <c r="H4427" t="s">
        <v>27907</v>
      </c>
      <c r="I4427" t="s">
        <v>167</v>
      </c>
      <c r="J4427" t="s">
        <v>111</v>
      </c>
      <c r="K4427" t="str">
        <f>"85339"</f>
        <v>85339</v>
      </c>
      <c r="L4427" t="s">
        <v>1789</v>
      </c>
      <c r="M4427" t="s">
        <v>27907</v>
      </c>
      <c r="N4427" t="s">
        <v>167</v>
      </c>
      <c r="O4427" t="s">
        <v>111</v>
      </c>
      <c r="P4427" t="str">
        <f>"85339-9773"</f>
        <v>85339-9773</v>
      </c>
      <c r="Q4427" t="s">
        <v>113</v>
      </c>
      <c r="R4427" t="str">
        <f>"104-85-065"</f>
        <v>104-85-065</v>
      </c>
      <c r="S4427" t="s">
        <v>14808</v>
      </c>
      <c r="T4427" t="s">
        <v>14809</v>
      </c>
      <c r="U4427">
        <v>1730</v>
      </c>
      <c r="V4427">
        <v>0</v>
      </c>
      <c r="W4427">
        <v>3</v>
      </c>
      <c r="X4427">
        <v>1975</v>
      </c>
      <c r="Z4427">
        <v>1</v>
      </c>
      <c r="AB4427">
        <v>0</v>
      </c>
      <c r="AC4427" t="s">
        <v>5188</v>
      </c>
      <c r="AD4427">
        <v>2</v>
      </c>
      <c r="AE4427" t="s">
        <v>5188</v>
      </c>
      <c r="AF4427">
        <v>0</v>
      </c>
      <c r="AG4427">
        <v>0</v>
      </c>
      <c r="AH4427" t="s">
        <v>116</v>
      </c>
      <c r="AI4427" s="1">
        <v>26610</v>
      </c>
      <c r="AJ4427" s="2">
        <v>0.08</v>
      </c>
      <c r="AK4427" s="1">
        <v>351610</v>
      </c>
      <c r="AL4427" t="s">
        <v>117</v>
      </c>
      <c r="AM4427" t="s">
        <v>376</v>
      </c>
      <c r="AN4427">
        <v>71648</v>
      </c>
      <c r="AO4427">
        <v>1.64</v>
      </c>
      <c r="AP4427">
        <v>1</v>
      </c>
      <c r="AR4427">
        <v>1</v>
      </c>
      <c r="AS4427" s="1">
        <v>24830</v>
      </c>
      <c r="AT4427" s="1">
        <v>4960</v>
      </c>
      <c r="AU4427" s="1">
        <v>19870</v>
      </c>
      <c r="AV4427">
        <v>80.02</v>
      </c>
      <c r="AX4427" s="1">
        <v>2385.2600000000002</v>
      </c>
      <c r="AY4427" t="s">
        <v>5532</v>
      </c>
      <c r="AZ4427" t="s">
        <v>5532</v>
      </c>
      <c r="BA4427" t="s">
        <v>173</v>
      </c>
      <c r="BE4427" s="3">
        <v>41729</v>
      </c>
      <c r="BF4427" s="1">
        <v>275000</v>
      </c>
      <c r="BG4427" t="s">
        <v>27908</v>
      </c>
      <c r="BH4427" s="1">
        <v>158.96</v>
      </c>
      <c r="BI4427" s="1">
        <v>325000</v>
      </c>
      <c r="BJ4427" s="3">
        <v>42828</v>
      </c>
      <c r="BK4427" t="s">
        <v>123</v>
      </c>
      <c r="BL4427" t="str">
        <f>"2017.233449"</f>
        <v>2017.233449</v>
      </c>
      <c r="BM4427" t="s">
        <v>1695</v>
      </c>
      <c r="BO4427" t="s">
        <v>27909</v>
      </c>
      <c r="BS4427">
        <v>30</v>
      </c>
      <c r="BW4427" t="str">
        <f>""</f>
        <v/>
      </c>
      <c r="CH4427" t="str">
        <f>""</f>
        <v/>
      </c>
      <c r="CS4427" t="str">
        <f>""</f>
        <v/>
      </c>
    </row>
    <row r="4428" spans="1:97" x14ac:dyDescent="0.25">
      <c r="A4428" t="s">
        <v>21490</v>
      </c>
      <c r="B4428" t="s">
        <v>27910</v>
      </c>
      <c r="E4428" t="s">
        <v>27911</v>
      </c>
      <c r="F4428" t="s">
        <v>108</v>
      </c>
      <c r="H4428" t="s">
        <v>27912</v>
      </c>
      <c r="I4428" t="s">
        <v>110</v>
      </c>
      <c r="J4428" t="s">
        <v>111</v>
      </c>
      <c r="K4428" t="str">
        <f>"85249"</f>
        <v>85249</v>
      </c>
      <c r="L4428" t="s">
        <v>7235</v>
      </c>
      <c r="M4428" t="s">
        <v>27912</v>
      </c>
      <c r="N4428" t="s">
        <v>110</v>
      </c>
      <c r="O4428" t="s">
        <v>111</v>
      </c>
      <c r="P4428" t="str">
        <f>"85249-3394"</f>
        <v>85249-3394</v>
      </c>
      <c r="R4428" t="str">
        <f>"303-44-632"</f>
        <v>303-44-632</v>
      </c>
      <c r="S4428" t="s">
        <v>27913</v>
      </c>
      <c r="T4428" t="s">
        <v>27913</v>
      </c>
      <c r="U4428">
        <v>2762</v>
      </c>
      <c r="V4428">
        <v>0</v>
      </c>
      <c r="W4428">
        <v>4</v>
      </c>
      <c r="X4428">
        <v>2004</v>
      </c>
      <c r="Z4428">
        <v>2</v>
      </c>
      <c r="AA4428" t="s">
        <v>26</v>
      </c>
      <c r="AB4428">
        <v>0</v>
      </c>
      <c r="AC4428" t="s">
        <v>115</v>
      </c>
      <c r="AD4428">
        <v>3</v>
      </c>
      <c r="AE4428" t="s">
        <v>115</v>
      </c>
      <c r="AF4428">
        <v>0</v>
      </c>
      <c r="AG4428">
        <v>0</v>
      </c>
      <c r="AH4428" t="s">
        <v>116</v>
      </c>
      <c r="AI4428" s="1">
        <v>99095</v>
      </c>
      <c r="AJ4428" s="2">
        <v>0.22</v>
      </c>
      <c r="AK4428" s="1">
        <v>460688</v>
      </c>
      <c r="AL4428" t="s">
        <v>117</v>
      </c>
      <c r="AM4428" t="s">
        <v>118</v>
      </c>
      <c r="AN4428">
        <v>10924</v>
      </c>
      <c r="AO4428">
        <v>0.25</v>
      </c>
      <c r="AP4428">
        <v>1</v>
      </c>
      <c r="AR4428">
        <v>1</v>
      </c>
      <c r="AS4428" s="1">
        <v>32870</v>
      </c>
      <c r="AT4428" s="1">
        <v>6570</v>
      </c>
      <c r="AU4428" s="1">
        <v>26300</v>
      </c>
      <c r="AV4428">
        <v>80.010000000000005</v>
      </c>
      <c r="AX4428" s="1">
        <v>2895</v>
      </c>
      <c r="AY4428" t="s">
        <v>3699</v>
      </c>
      <c r="AZ4428" t="s">
        <v>120</v>
      </c>
      <c r="BA4428" t="s">
        <v>303</v>
      </c>
      <c r="BE4428" s="3">
        <v>42233</v>
      </c>
      <c r="BF4428" s="1">
        <v>375000</v>
      </c>
      <c r="BG4428" t="s">
        <v>27914</v>
      </c>
      <c r="BH4428" s="1">
        <v>135.77000000000001</v>
      </c>
      <c r="BI4428" s="1">
        <v>361593</v>
      </c>
      <c r="BJ4428" s="3">
        <v>42233</v>
      </c>
      <c r="BK4428" t="s">
        <v>123</v>
      </c>
      <c r="BL4428" t="str">
        <f>"2015.593274"</f>
        <v>2015.593274</v>
      </c>
      <c r="BM4428" t="s">
        <v>21778</v>
      </c>
      <c r="BN4428" t="s">
        <v>19479</v>
      </c>
      <c r="BO4428" t="s">
        <v>27915</v>
      </c>
      <c r="BS4428">
        <v>30</v>
      </c>
      <c r="BW4428" t="str">
        <f>""</f>
        <v/>
      </c>
      <c r="CH4428" t="str">
        <f>""</f>
        <v/>
      </c>
      <c r="CS4428" t="str">
        <f>""</f>
        <v/>
      </c>
    </row>
    <row r="4429" spans="1:97" x14ac:dyDescent="0.25">
      <c r="A4429" t="s">
        <v>13735</v>
      </c>
      <c r="B4429" t="s">
        <v>3147</v>
      </c>
      <c r="C4429" t="s">
        <v>2002</v>
      </c>
      <c r="D4429" t="s">
        <v>3147</v>
      </c>
      <c r="E4429" t="s">
        <v>27916</v>
      </c>
      <c r="F4429" t="s">
        <v>108</v>
      </c>
      <c r="H4429" t="s">
        <v>27917</v>
      </c>
      <c r="I4429" t="s">
        <v>632</v>
      </c>
      <c r="J4429" t="s">
        <v>111</v>
      </c>
      <c r="K4429" t="str">
        <f>"85388"</f>
        <v>85388</v>
      </c>
      <c r="L4429" t="s">
        <v>541</v>
      </c>
      <c r="M4429" t="s">
        <v>27917</v>
      </c>
      <c r="N4429" t="s">
        <v>632</v>
      </c>
      <c r="O4429" t="s">
        <v>111</v>
      </c>
      <c r="P4429" t="str">
        <f>"85388-1103"</f>
        <v>85388-1103</v>
      </c>
      <c r="Q4429" t="s">
        <v>113</v>
      </c>
      <c r="R4429" t="str">
        <f>"509-04-321"</f>
        <v>509-04-321</v>
      </c>
      <c r="S4429" t="s">
        <v>27918</v>
      </c>
      <c r="U4429">
        <v>2611</v>
      </c>
      <c r="V4429">
        <v>0</v>
      </c>
      <c r="W4429">
        <v>4</v>
      </c>
      <c r="X4429">
        <v>2003</v>
      </c>
      <c r="Z4429">
        <v>2</v>
      </c>
      <c r="AA4429" t="s">
        <v>26</v>
      </c>
      <c r="AB4429">
        <v>0</v>
      </c>
      <c r="AC4429" t="s">
        <v>115</v>
      </c>
      <c r="AD4429">
        <v>3</v>
      </c>
      <c r="AE4429" t="s">
        <v>115</v>
      </c>
      <c r="AF4429">
        <v>0</v>
      </c>
      <c r="AG4429">
        <v>0</v>
      </c>
      <c r="AH4429" t="s">
        <v>116</v>
      </c>
      <c r="AI4429" s="1">
        <v>80535</v>
      </c>
      <c r="AJ4429" s="2">
        <v>0.25</v>
      </c>
      <c r="AK4429" s="1">
        <v>325785</v>
      </c>
      <c r="AL4429" t="s">
        <v>117</v>
      </c>
      <c r="AM4429" t="s">
        <v>118</v>
      </c>
      <c r="AN4429">
        <v>12107</v>
      </c>
      <c r="AO4429">
        <v>0.28000000000000003</v>
      </c>
      <c r="AP4429">
        <v>1</v>
      </c>
      <c r="AR4429">
        <v>1</v>
      </c>
      <c r="AS4429" s="1">
        <v>23310</v>
      </c>
      <c r="AT4429" s="1">
        <v>4660</v>
      </c>
      <c r="AU4429" s="1">
        <v>18650</v>
      </c>
      <c r="AV4429">
        <v>80.010000000000005</v>
      </c>
      <c r="AX4429" s="1">
        <v>2042.36</v>
      </c>
      <c r="AY4429" t="s">
        <v>5517</v>
      </c>
      <c r="AZ4429" t="s">
        <v>5517</v>
      </c>
      <c r="BA4429" t="s">
        <v>5109</v>
      </c>
      <c r="BB4429" s="3">
        <v>43019</v>
      </c>
      <c r="BD4429" t="s">
        <v>157</v>
      </c>
      <c r="BE4429" s="3">
        <v>42047</v>
      </c>
      <c r="BF4429" s="1">
        <v>235000</v>
      </c>
      <c r="BG4429" t="s">
        <v>27919</v>
      </c>
      <c r="BH4429" s="1">
        <v>90</v>
      </c>
      <c r="BI4429" s="1">
        <v>245250</v>
      </c>
      <c r="BJ4429" s="3">
        <v>43019</v>
      </c>
      <c r="BK4429" t="s">
        <v>123</v>
      </c>
      <c r="BL4429" t="str">
        <f>"2017.754793"</f>
        <v>2017.754793</v>
      </c>
      <c r="BM4429" t="s">
        <v>27920</v>
      </c>
      <c r="BO4429" t="s">
        <v>27921</v>
      </c>
      <c r="BS4429">
        <v>30</v>
      </c>
      <c r="BW4429" t="str">
        <f>""</f>
        <v/>
      </c>
      <c r="CH4429" t="str">
        <f>""</f>
        <v/>
      </c>
      <c r="CS4429" t="str">
        <f>""</f>
        <v/>
      </c>
    </row>
    <row r="4430" spans="1:97" x14ac:dyDescent="0.25">
      <c r="A4430" t="s">
        <v>211</v>
      </c>
      <c r="B4430" t="s">
        <v>27922</v>
      </c>
      <c r="E4430" t="s">
        <v>27923</v>
      </c>
      <c r="F4430" t="s">
        <v>108</v>
      </c>
      <c r="H4430" t="s">
        <v>27924</v>
      </c>
      <c r="I4430" t="s">
        <v>453</v>
      </c>
      <c r="J4430" t="s">
        <v>111</v>
      </c>
      <c r="K4430" t="str">
        <f>"85345"</f>
        <v>85345</v>
      </c>
      <c r="L4430" t="s">
        <v>4003</v>
      </c>
      <c r="M4430" t="s">
        <v>27924</v>
      </c>
      <c r="N4430" t="s">
        <v>453</v>
      </c>
      <c r="O4430" t="s">
        <v>111</v>
      </c>
      <c r="P4430" t="str">
        <f>"85345-5504"</f>
        <v>85345-5504</v>
      </c>
      <c r="Q4430" t="s">
        <v>113</v>
      </c>
      <c r="R4430" t="str">
        <f>"142-52-365"</f>
        <v>142-52-365</v>
      </c>
      <c r="S4430" t="s">
        <v>4005</v>
      </c>
      <c r="T4430" t="s">
        <v>4005</v>
      </c>
      <c r="U4430">
        <v>2631</v>
      </c>
      <c r="V4430">
        <v>0</v>
      </c>
      <c r="W4430">
        <v>3</v>
      </c>
      <c r="X4430">
        <v>2015</v>
      </c>
      <c r="Z4430">
        <v>2</v>
      </c>
      <c r="AB4430">
        <v>0</v>
      </c>
      <c r="AC4430" t="s">
        <v>115</v>
      </c>
      <c r="AD4430">
        <v>2</v>
      </c>
      <c r="AE4430" t="s">
        <v>115</v>
      </c>
      <c r="AF4430">
        <v>0</v>
      </c>
      <c r="AG4430">
        <v>0</v>
      </c>
      <c r="AH4430" t="s">
        <v>116</v>
      </c>
      <c r="AI4430" s="1">
        <v>37774</v>
      </c>
      <c r="AJ4430" s="2">
        <v>0.12</v>
      </c>
      <c r="AK4430" s="1">
        <v>306354</v>
      </c>
      <c r="AL4430" t="s">
        <v>117</v>
      </c>
      <c r="AM4430" t="s">
        <v>118</v>
      </c>
      <c r="AN4430">
        <v>4814</v>
      </c>
      <c r="AO4430">
        <v>0.11</v>
      </c>
      <c r="AR4430">
        <v>1</v>
      </c>
      <c r="AS4430" s="1">
        <v>20970</v>
      </c>
      <c r="AT4430" s="1">
        <v>4190</v>
      </c>
      <c r="AU4430" s="1">
        <v>16780</v>
      </c>
      <c r="AV4430">
        <v>80.02</v>
      </c>
      <c r="AX4430" s="1">
        <v>1769.18</v>
      </c>
      <c r="AY4430" t="s">
        <v>4006</v>
      </c>
      <c r="AZ4430" t="s">
        <v>4006</v>
      </c>
      <c r="BA4430" t="s">
        <v>4007</v>
      </c>
      <c r="BE4430" s="3">
        <v>42381</v>
      </c>
      <c r="BF4430" s="1">
        <v>234990</v>
      </c>
      <c r="BG4430" t="s">
        <v>4008</v>
      </c>
      <c r="BH4430" s="1">
        <v>89.32</v>
      </c>
      <c r="BI4430" s="1">
        <v>268580</v>
      </c>
      <c r="BJ4430" s="3">
        <v>43112</v>
      </c>
      <c r="BK4430" t="s">
        <v>123</v>
      </c>
      <c r="BL4430" t="str">
        <f>"2018.28683"</f>
        <v>2018.28683</v>
      </c>
      <c r="BM4430" t="s">
        <v>533</v>
      </c>
      <c r="BN4430" t="s">
        <v>534</v>
      </c>
      <c r="BO4430" t="s">
        <v>27923</v>
      </c>
      <c r="BR4430" t="s">
        <v>139</v>
      </c>
      <c r="BW4430" t="str">
        <f>""</f>
        <v/>
      </c>
      <c r="CH4430" t="str">
        <f>""</f>
        <v/>
      </c>
      <c r="CS4430" t="str">
        <f>""</f>
        <v/>
      </c>
    </row>
    <row r="4431" spans="1:97" x14ac:dyDescent="0.25">
      <c r="A4431" t="s">
        <v>2045</v>
      </c>
      <c r="B4431" t="s">
        <v>6380</v>
      </c>
      <c r="E4431" t="s">
        <v>27925</v>
      </c>
      <c r="F4431" t="s">
        <v>108</v>
      </c>
      <c r="H4431" t="s">
        <v>27926</v>
      </c>
      <c r="I4431" t="s">
        <v>632</v>
      </c>
      <c r="J4431" t="s">
        <v>111</v>
      </c>
      <c r="K4431" t="str">
        <f>"85379"</f>
        <v>85379</v>
      </c>
      <c r="L4431" t="s">
        <v>5058</v>
      </c>
      <c r="M4431" t="s">
        <v>27926</v>
      </c>
      <c r="N4431" t="s">
        <v>632</v>
      </c>
      <c r="O4431" t="s">
        <v>111</v>
      </c>
      <c r="P4431" t="str">
        <f>"85379-1179"</f>
        <v>85379-1179</v>
      </c>
      <c r="Q4431" t="s">
        <v>113</v>
      </c>
      <c r="R4431" t="str">
        <f>"501-79-399"</f>
        <v>501-79-399</v>
      </c>
      <c r="S4431" t="s">
        <v>5059</v>
      </c>
      <c r="U4431">
        <v>2085</v>
      </c>
      <c r="V4431">
        <v>0</v>
      </c>
      <c r="W4431">
        <v>3</v>
      </c>
      <c r="X4431">
        <v>2015</v>
      </c>
      <c r="Z4431">
        <v>1</v>
      </c>
      <c r="AB4431">
        <v>0</v>
      </c>
      <c r="AC4431" t="s">
        <v>115</v>
      </c>
      <c r="AD4431">
        <v>2</v>
      </c>
      <c r="AE4431" t="s">
        <v>115</v>
      </c>
      <c r="AF4431">
        <v>0</v>
      </c>
      <c r="AG4431">
        <v>0</v>
      </c>
      <c r="AH4431" t="s">
        <v>116</v>
      </c>
      <c r="AI4431" s="1">
        <v>22959</v>
      </c>
      <c r="AJ4431" s="2">
        <v>7.0000000000000007E-2</v>
      </c>
      <c r="AK4431" s="1">
        <v>309959</v>
      </c>
      <c r="AL4431" t="s">
        <v>117</v>
      </c>
      <c r="AM4431" t="s">
        <v>118</v>
      </c>
      <c r="AN4431">
        <v>7366</v>
      </c>
      <c r="AO4431">
        <v>0.17</v>
      </c>
      <c r="AR4431">
        <v>1</v>
      </c>
      <c r="AS4431" s="1">
        <v>22470</v>
      </c>
      <c r="AT4431" s="1">
        <v>4490</v>
      </c>
      <c r="AU4431" s="1">
        <v>17980</v>
      </c>
      <c r="AV4431">
        <v>80.02</v>
      </c>
      <c r="AX4431" s="1">
        <v>1810.06</v>
      </c>
      <c r="AY4431" t="s">
        <v>5060</v>
      </c>
      <c r="AZ4431" t="s">
        <v>5060</v>
      </c>
      <c r="BA4431" t="s">
        <v>5061</v>
      </c>
      <c r="BE4431" s="3">
        <v>42328</v>
      </c>
      <c r="BF4431" s="1">
        <v>256044</v>
      </c>
      <c r="BG4431" t="s">
        <v>292</v>
      </c>
      <c r="BH4431" s="1">
        <v>122.8</v>
      </c>
      <c r="BI4431" s="1">
        <v>287000</v>
      </c>
      <c r="BJ4431" s="3">
        <v>43334</v>
      </c>
      <c r="BK4431" t="s">
        <v>123</v>
      </c>
      <c r="BL4431" t="str">
        <f>"2018.633713"</f>
        <v>2018.633713</v>
      </c>
      <c r="BM4431" t="s">
        <v>27927</v>
      </c>
      <c r="BN4431" t="s">
        <v>1025</v>
      </c>
      <c r="BO4431" t="s">
        <v>27928</v>
      </c>
      <c r="BR4431" t="s">
        <v>139</v>
      </c>
      <c r="BW4431" t="str">
        <f>""</f>
        <v/>
      </c>
      <c r="CH4431" t="str">
        <f>""</f>
        <v/>
      </c>
      <c r="CS4431" t="str">
        <f>""</f>
        <v/>
      </c>
    </row>
    <row r="4432" spans="1:97" x14ac:dyDescent="0.25">
      <c r="A4432" t="s">
        <v>177</v>
      </c>
      <c r="B4432" t="s">
        <v>27929</v>
      </c>
      <c r="C4432" t="s">
        <v>1821</v>
      </c>
      <c r="D4432" t="s">
        <v>27929</v>
      </c>
      <c r="E4432" t="s">
        <v>27930</v>
      </c>
      <c r="F4432" t="s">
        <v>108</v>
      </c>
      <c r="H4432" t="s">
        <v>27931</v>
      </c>
      <c r="I4432" t="s">
        <v>225</v>
      </c>
      <c r="J4432" t="s">
        <v>111</v>
      </c>
      <c r="K4432" t="str">
        <f>"85208"</f>
        <v>85208</v>
      </c>
      <c r="L4432" t="s">
        <v>6349</v>
      </c>
      <c r="M4432" t="s">
        <v>27931</v>
      </c>
      <c r="N4432" t="s">
        <v>225</v>
      </c>
      <c r="O4432" t="s">
        <v>111</v>
      </c>
      <c r="P4432" t="str">
        <f>"85208-7603"</f>
        <v>85208-7603</v>
      </c>
      <c r="Q4432" t="s">
        <v>113</v>
      </c>
      <c r="R4432" t="str">
        <f>"220-73-067"</f>
        <v>220-73-067</v>
      </c>
      <c r="S4432" t="s">
        <v>19032</v>
      </c>
      <c r="T4432" t="s">
        <v>19032</v>
      </c>
      <c r="U4432">
        <v>1911</v>
      </c>
      <c r="V4432">
        <v>0</v>
      </c>
      <c r="W4432">
        <v>3</v>
      </c>
      <c r="X4432">
        <v>1999</v>
      </c>
      <c r="Z4432">
        <v>1</v>
      </c>
      <c r="AB4432">
        <v>0</v>
      </c>
      <c r="AC4432" t="s">
        <v>115</v>
      </c>
      <c r="AD4432">
        <v>2</v>
      </c>
      <c r="AE4432" t="s">
        <v>115</v>
      </c>
      <c r="AF4432">
        <v>0</v>
      </c>
      <c r="AG4432">
        <v>0</v>
      </c>
      <c r="AH4432" t="s">
        <v>116</v>
      </c>
      <c r="AI4432" s="1">
        <v>58654</v>
      </c>
      <c r="AJ4432" s="2">
        <v>0.22</v>
      </c>
      <c r="AK4432" s="1">
        <v>271654</v>
      </c>
      <c r="AL4432" t="s">
        <v>117</v>
      </c>
      <c r="AM4432" t="s">
        <v>191</v>
      </c>
      <c r="AN4432">
        <v>6600</v>
      </c>
      <c r="AO4432">
        <v>0.15</v>
      </c>
      <c r="AP4432">
        <v>1</v>
      </c>
      <c r="AR4432">
        <v>1</v>
      </c>
      <c r="AS4432" s="1">
        <v>18660</v>
      </c>
      <c r="AT4432" s="1">
        <v>3730</v>
      </c>
      <c r="AU4432" s="1">
        <v>14930</v>
      </c>
      <c r="AV4432">
        <v>80.010000000000005</v>
      </c>
      <c r="AX4432" s="1">
        <v>1338.84</v>
      </c>
      <c r="AY4432" t="s">
        <v>3985</v>
      </c>
      <c r="AZ4432" t="s">
        <v>3761</v>
      </c>
      <c r="BA4432" t="s">
        <v>232</v>
      </c>
      <c r="BE4432" s="3">
        <v>42478</v>
      </c>
      <c r="BF4432" s="1">
        <v>213000</v>
      </c>
      <c r="BG4432" t="s">
        <v>27932</v>
      </c>
      <c r="BH4432" s="1">
        <v>111.46</v>
      </c>
      <c r="BI4432" s="1">
        <v>213000</v>
      </c>
      <c r="BJ4432" s="3">
        <v>42478</v>
      </c>
      <c r="BK4432" t="s">
        <v>123</v>
      </c>
      <c r="BL4432" t="str">
        <f>"2016.256268"</f>
        <v>2016.256268</v>
      </c>
      <c r="BM4432" t="s">
        <v>8916</v>
      </c>
      <c r="BO4432" t="s">
        <v>27933</v>
      </c>
      <c r="BS4432">
        <v>30</v>
      </c>
      <c r="BW4432" t="str">
        <f>""</f>
        <v/>
      </c>
      <c r="CH4432" t="str">
        <f>""</f>
        <v/>
      </c>
      <c r="CS4432" t="str">
        <f>""</f>
        <v/>
      </c>
    </row>
    <row r="4433" spans="1:97" x14ac:dyDescent="0.25">
      <c r="A4433" t="s">
        <v>2045</v>
      </c>
      <c r="B4433" t="s">
        <v>13139</v>
      </c>
      <c r="C4433" t="s">
        <v>11722</v>
      </c>
      <c r="D4433" t="s">
        <v>13139</v>
      </c>
      <c r="E4433" t="s">
        <v>27934</v>
      </c>
      <c r="F4433" t="s">
        <v>108</v>
      </c>
      <c r="H4433" t="s">
        <v>27935</v>
      </c>
      <c r="I4433" t="s">
        <v>225</v>
      </c>
      <c r="J4433" t="s">
        <v>111</v>
      </c>
      <c r="K4433" t="str">
        <f>"85209"</f>
        <v>85209</v>
      </c>
      <c r="L4433" t="s">
        <v>2820</v>
      </c>
      <c r="M4433" t="s">
        <v>27935</v>
      </c>
      <c r="N4433" t="s">
        <v>225</v>
      </c>
      <c r="O4433" t="s">
        <v>111</v>
      </c>
      <c r="P4433" t="str">
        <f>"85209-6256"</f>
        <v>85209-6256</v>
      </c>
      <c r="Q4433" t="s">
        <v>113</v>
      </c>
      <c r="R4433" t="str">
        <f>"309-09-150"</f>
        <v>309-09-150</v>
      </c>
      <c r="S4433" t="s">
        <v>25678</v>
      </c>
      <c r="T4433" t="s">
        <v>6551</v>
      </c>
      <c r="U4433">
        <v>2169</v>
      </c>
      <c r="V4433">
        <v>0</v>
      </c>
      <c r="W4433">
        <v>4</v>
      </c>
      <c r="X4433">
        <v>1995</v>
      </c>
      <c r="Z4433">
        <v>2</v>
      </c>
      <c r="AA4433" t="s">
        <v>26</v>
      </c>
      <c r="AB4433">
        <v>0</v>
      </c>
      <c r="AC4433" t="s">
        <v>115</v>
      </c>
      <c r="AD4433">
        <v>2</v>
      </c>
      <c r="AE4433" t="s">
        <v>115</v>
      </c>
      <c r="AF4433">
        <v>0</v>
      </c>
      <c r="AG4433">
        <v>0</v>
      </c>
      <c r="AH4433" t="s">
        <v>116</v>
      </c>
      <c r="AI4433" s="1">
        <v>55229</v>
      </c>
      <c r="AJ4433" s="2">
        <v>0.17</v>
      </c>
      <c r="AK4433" s="1">
        <v>333106</v>
      </c>
      <c r="AL4433" t="s">
        <v>117</v>
      </c>
      <c r="AM4433" t="s">
        <v>191</v>
      </c>
      <c r="AN4433">
        <v>6046</v>
      </c>
      <c r="AO4433">
        <v>0.14000000000000001</v>
      </c>
      <c r="AP4433">
        <v>1</v>
      </c>
      <c r="AR4433">
        <v>1</v>
      </c>
      <c r="AS4433" s="1">
        <v>22400</v>
      </c>
      <c r="AT4433" s="1">
        <v>4480</v>
      </c>
      <c r="AU4433" s="1">
        <v>17920</v>
      </c>
      <c r="AV4433">
        <v>80</v>
      </c>
      <c r="AX4433" s="1">
        <v>1556.14</v>
      </c>
      <c r="AY4433" t="s">
        <v>6552</v>
      </c>
      <c r="AZ4433" t="s">
        <v>571</v>
      </c>
      <c r="BA4433" t="s">
        <v>572</v>
      </c>
      <c r="BE4433" s="3">
        <v>42047</v>
      </c>
      <c r="BF4433" s="1">
        <v>269000</v>
      </c>
      <c r="BG4433" t="s">
        <v>27936</v>
      </c>
      <c r="BH4433" s="1">
        <v>124.02</v>
      </c>
      <c r="BI4433" s="1">
        <v>277877</v>
      </c>
      <c r="BJ4433" s="3">
        <v>42047</v>
      </c>
      <c r="BK4433" t="s">
        <v>123</v>
      </c>
      <c r="BL4433" t="str">
        <f>"2015.91610"</f>
        <v>2015.91610</v>
      </c>
      <c r="BM4433" t="s">
        <v>1791</v>
      </c>
      <c r="BO4433" t="s">
        <v>27937</v>
      </c>
      <c r="BS4433">
        <v>30</v>
      </c>
      <c r="BW4433" t="str">
        <f>""</f>
        <v/>
      </c>
      <c r="CH4433" t="str">
        <f>""</f>
        <v/>
      </c>
      <c r="CS4433" t="str">
        <f>""</f>
        <v/>
      </c>
    </row>
    <row r="4434" spans="1:97" x14ac:dyDescent="0.25">
      <c r="A4434" t="s">
        <v>1444</v>
      </c>
      <c r="B4434" t="s">
        <v>328</v>
      </c>
      <c r="C4434" t="s">
        <v>1047</v>
      </c>
      <c r="D4434" t="s">
        <v>328</v>
      </c>
      <c r="E4434" t="s">
        <v>27938</v>
      </c>
      <c r="F4434" t="s">
        <v>108</v>
      </c>
      <c r="H4434" t="s">
        <v>27939</v>
      </c>
      <c r="I4434" t="s">
        <v>453</v>
      </c>
      <c r="J4434" t="s">
        <v>111</v>
      </c>
      <c r="K4434" t="str">
        <f>"85383"</f>
        <v>85383</v>
      </c>
      <c r="L4434" t="s">
        <v>5456</v>
      </c>
      <c r="M4434" t="s">
        <v>27939</v>
      </c>
      <c r="N4434" t="s">
        <v>453</v>
      </c>
      <c r="O4434" t="s">
        <v>111</v>
      </c>
      <c r="P4434" t="str">
        <f>"85383-7033"</f>
        <v>85383-7033</v>
      </c>
      <c r="Q4434" t="s">
        <v>113</v>
      </c>
      <c r="R4434" t="str">
        <f>"201-09-878"</f>
        <v>201-09-878</v>
      </c>
      <c r="S4434" t="s">
        <v>9798</v>
      </c>
      <c r="T4434" t="s">
        <v>2222</v>
      </c>
      <c r="U4434">
        <v>2556</v>
      </c>
      <c r="V4434">
        <v>0</v>
      </c>
      <c r="W4434">
        <v>4</v>
      </c>
      <c r="X4434">
        <v>1999</v>
      </c>
      <c r="Z4434">
        <v>2</v>
      </c>
      <c r="AA4434" t="s">
        <v>15127</v>
      </c>
      <c r="AB4434">
        <v>0</v>
      </c>
      <c r="AC4434" t="s">
        <v>115</v>
      </c>
      <c r="AD4434">
        <v>2</v>
      </c>
      <c r="AE4434" t="s">
        <v>115</v>
      </c>
      <c r="AF4434">
        <v>0</v>
      </c>
      <c r="AG4434">
        <v>0</v>
      </c>
      <c r="AH4434" t="s">
        <v>116</v>
      </c>
      <c r="AI4434" s="1">
        <v>51108</v>
      </c>
      <c r="AJ4434" s="2">
        <v>0.16</v>
      </c>
      <c r="AK4434" s="1">
        <v>324853</v>
      </c>
      <c r="AL4434" t="s">
        <v>117</v>
      </c>
      <c r="AM4434" t="s">
        <v>191</v>
      </c>
      <c r="AN4434">
        <v>6900</v>
      </c>
      <c r="AO4434">
        <v>0.16</v>
      </c>
      <c r="AP4434">
        <v>1</v>
      </c>
      <c r="AR4434">
        <v>1</v>
      </c>
      <c r="AS4434" s="1">
        <v>23320</v>
      </c>
      <c r="AT4434" s="1">
        <v>4660</v>
      </c>
      <c r="AU4434" s="1">
        <v>18660</v>
      </c>
      <c r="AV4434">
        <v>80.02</v>
      </c>
      <c r="AX4434" s="1">
        <v>1888.72</v>
      </c>
      <c r="AY4434" t="s">
        <v>1385</v>
      </c>
      <c r="AZ4434" t="s">
        <v>1385</v>
      </c>
      <c r="BA4434" t="s">
        <v>2223</v>
      </c>
      <c r="BE4434" s="3">
        <v>42468</v>
      </c>
      <c r="BF4434" s="1">
        <v>265000</v>
      </c>
      <c r="BG4434" t="s">
        <v>10136</v>
      </c>
      <c r="BH4434" s="1">
        <v>103.68</v>
      </c>
      <c r="BI4434" s="1">
        <v>273745</v>
      </c>
      <c r="BJ4434" s="3">
        <v>42468</v>
      </c>
      <c r="BK4434" t="s">
        <v>123</v>
      </c>
      <c r="BL4434" t="str">
        <f>"2016.234242"</f>
        <v>2016.234242</v>
      </c>
      <c r="BM4434" t="s">
        <v>3453</v>
      </c>
      <c r="BO4434" t="s">
        <v>27940</v>
      </c>
      <c r="BS4434">
        <v>30</v>
      </c>
      <c r="BW4434" t="str">
        <f>""</f>
        <v/>
      </c>
      <c r="CH4434" t="str">
        <f>""</f>
        <v/>
      </c>
      <c r="CS4434" t="str">
        <f>""</f>
        <v/>
      </c>
    </row>
    <row r="4435" spans="1:97" x14ac:dyDescent="0.25">
      <c r="A4435" t="s">
        <v>7743</v>
      </c>
      <c r="B4435" t="s">
        <v>1577</v>
      </c>
      <c r="C4435" t="s">
        <v>8839</v>
      </c>
      <c r="D4435" t="s">
        <v>1577</v>
      </c>
      <c r="E4435" t="s">
        <v>27941</v>
      </c>
      <c r="F4435" t="s">
        <v>108</v>
      </c>
      <c r="H4435" t="s">
        <v>27942</v>
      </c>
      <c r="I4435" t="s">
        <v>167</v>
      </c>
      <c r="J4435" t="s">
        <v>111</v>
      </c>
      <c r="K4435" t="str">
        <f>"85339"</f>
        <v>85339</v>
      </c>
      <c r="L4435" t="s">
        <v>5367</v>
      </c>
      <c r="M4435" t="s">
        <v>27942</v>
      </c>
      <c r="N4435" t="s">
        <v>167</v>
      </c>
      <c r="O4435" t="s">
        <v>111</v>
      </c>
      <c r="P4435" t="str">
        <f>"85339-2637"</f>
        <v>85339-2637</v>
      </c>
      <c r="Q4435" t="s">
        <v>113</v>
      </c>
      <c r="R4435" t="str">
        <f>"104-84-238"</f>
        <v>104-84-238</v>
      </c>
      <c r="S4435" t="s">
        <v>20962</v>
      </c>
      <c r="T4435" t="s">
        <v>20963</v>
      </c>
      <c r="U4435">
        <v>2853</v>
      </c>
      <c r="V4435">
        <v>0</v>
      </c>
      <c r="W4435">
        <v>4</v>
      </c>
      <c r="X4435">
        <v>2006</v>
      </c>
      <c r="Z4435">
        <v>2</v>
      </c>
      <c r="AB4435">
        <v>0</v>
      </c>
      <c r="AC4435" t="s">
        <v>115</v>
      </c>
      <c r="AD4435">
        <v>3</v>
      </c>
      <c r="AE4435" t="s">
        <v>115</v>
      </c>
      <c r="AF4435">
        <v>0</v>
      </c>
      <c r="AG4435">
        <v>0</v>
      </c>
      <c r="AH4435" t="s">
        <v>116</v>
      </c>
      <c r="AI4435" s="1">
        <v>49580</v>
      </c>
      <c r="AJ4435" s="2">
        <v>0.17</v>
      </c>
      <c r="AK4435" s="1">
        <v>289752</v>
      </c>
      <c r="AL4435" t="s">
        <v>117</v>
      </c>
      <c r="AM4435" t="s">
        <v>171</v>
      </c>
      <c r="AN4435">
        <v>7475</v>
      </c>
      <c r="AO4435">
        <v>0.17</v>
      </c>
      <c r="AR4435">
        <v>1</v>
      </c>
      <c r="AS4435" s="1">
        <v>20220</v>
      </c>
      <c r="AT4435" s="1">
        <v>4040</v>
      </c>
      <c r="AU4435" s="1">
        <v>16180</v>
      </c>
      <c r="AV4435">
        <v>80.02</v>
      </c>
      <c r="AX4435" s="1">
        <v>2453.62</v>
      </c>
      <c r="AY4435" t="s">
        <v>172</v>
      </c>
      <c r="AZ4435" t="s">
        <v>172</v>
      </c>
      <c r="BA4435" t="s">
        <v>173</v>
      </c>
      <c r="BE4435" s="3">
        <v>42275</v>
      </c>
      <c r="BF4435" s="1">
        <v>232500</v>
      </c>
      <c r="BG4435" t="s">
        <v>27943</v>
      </c>
      <c r="BH4435" s="1">
        <v>81.489999999999995</v>
      </c>
      <c r="BI4435" s="1">
        <v>240172</v>
      </c>
      <c r="BJ4435" s="3">
        <v>42275</v>
      </c>
      <c r="BK4435" t="s">
        <v>123</v>
      </c>
      <c r="BL4435" t="str">
        <f>"2015.697474"</f>
        <v>2015.697474</v>
      </c>
      <c r="BM4435" t="s">
        <v>544</v>
      </c>
      <c r="BO4435" t="s">
        <v>27944</v>
      </c>
      <c r="BS4435">
        <v>30</v>
      </c>
      <c r="BW4435" t="str">
        <f>""</f>
        <v/>
      </c>
      <c r="CH4435" t="str">
        <f>""</f>
        <v/>
      </c>
      <c r="CS4435" t="str">
        <f>""</f>
        <v/>
      </c>
    </row>
    <row r="4436" spans="1:97" x14ac:dyDescent="0.25">
      <c r="A4436" t="s">
        <v>27945</v>
      </c>
      <c r="B4436" t="s">
        <v>10260</v>
      </c>
      <c r="C4436" t="s">
        <v>259</v>
      </c>
      <c r="D4436" t="s">
        <v>10260</v>
      </c>
      <c r="E4436" t="s">
        <v>27946</v>
      </c>
      <c r="F4436" t="s">
        <v>108</v>
      </c>
      <c r="H4436" t="s">
        <v>27947</v>
      </c>
      <c r="I4436" t="s">
        <v>6646</v>
      </c>
      <c r="J4436" t="s">
        <v>111</v>
      </c>
      <c r="K4436" t="str">
        <f>"85086"</f>
        <v>85086</v>
      </c>
      <c r="L4436" t="s">
        <v>3326</v>
      </c>
      <c r="M4436" t="s">
        <v>27947</v>
      </c>
      <c r="N4436" t="s">
        <v>6646</v>
      </c>
      <c r="O4436" t="s">
        <v>111</v>
      </c>
      <c r="P4436" t="str">
        <f>"85086-1438"</f>
        <v>85086-1438</v>
      </c>
      <c r="Q4436" t="s">
        <v>113</v>
      </c>
      <c r="R4436" t="str">
        <f>"203-04-241"</f>
        <v>203-04-241</v>
      </c>
      <c r="S4436" t="s">
        <v>7095</v>
      </c>
      <c r="T4436" t="s">
        <v>7096</v>
      </c>
      <c r="U4436">
        <v>2162</v>
      </c>
      <c r="V4436">
        <v>0</v>
      </c>
      <c r="W4436">
        <v>3</v>
      </c>
      <c r="X4436">
        <v>2005</v>
      </c>
      <c r="Z4436">
        <v>1</v>
      </c>
      <c r="AB4436">
        <v>0</v>
      </c>
      <c r="AC4436" t="s">
        <v>115</v>
      </c>
      <c r="AD4436">
        <v>2</v>
      </c>
      <c r="AE4436" t="s">
        <v>115</v>
      </c>
      <c r="AF4436">
        <v>0</v>
      </c>
      <c r="AG4436">
        <v>0</v>
      </c>
      <c r="AH4436" t="s">
        <v>116</v>
      </c>
      <c r="AI4436" s="1">
        <v>68817</v>
      </c>
      <c r="AJ4436" s="2">
        <v>0.22</v>
      </c>
      <c r="AK4436" s="1">
        <v>318817</v>
      </c>
      <c r="AL4436" t="s">
        <v>117</v>
      </c>
      <c r="AM4436" t="s">
        <v>191</v>
      </c>
      <c r="AN4436">
        <v>6325</v>
      </c>
      <c r="AO4436">
        <v>0.14000000000000001</v>
      </c>
      <c r="AR4436">
        <v>1</v>
      </c>
      <c r="AS4436" s="1">
        <v>22900</v>
      </c>
      <c r="AT4436" s="1">
        <v>4580</v>
      </c>
      <c r="AU4436" s="1">
        <v>18320</v>
      </c>
      <c r="AV4436">
        <v>80</v>
      </c>
      <c r="AX4436" s="1">
        <v>2090.16</v>
      </c>
      <c r="AY4436" t="s">
        <v>5380</v>
      </c>
      <c r="AZ4436" t="s">
        <v>5380</v>
      </c>
      <c r="BA4436" t="s">
        <v>378</v>
      </c>
      <c r="BE4436" s="3">
        <v>42447</v>
      </c>
      <c r="BF4436" s="1">
        <v>250000</v>
      </c>
      <c r="BG4436" t="s">
        <v>27948</v>
      </c>
      <c r="BH4436" s="1">
        <v>115.63</v>
      </c>
      <c r="BI4436" s="1">
        <v>250000</v>
      </c>
      <c r="BJ4436" s="3">
        <v>42447</v>
      </c>
      <c r="BK4436" t="s">
        <v>123</v>
      </c>
      <c r="BL4436" t="str">
        <f>"2016.175217"</f>
        <v>2016.175217</v>
      </c>
      <c r="BM4436" t="s">
        <v>709</v>
      </c>
      <c r="BO4436" t="s">
        <v>27949</v>
      </c>
      <c r="BS4436">
        <v>30</v>
      </c>
      <c r="BW4436" t="str">
        <f>""</f>
        <v/>
      </c>
      <c r="CH4436" t="str">
        <f>""</f>
        <v/>
      </c>
      <c r="CS4436" t="str">
        <f>""</f>
        <v/>
      </c>
    </row>
    <row r="4437" spans="1:97" x14ac:dyDescent="0.25">
      <c r="A4437" t="s">
        <v>6510</v>
      </c>
      <c r="B4437" t="s">
        <v>27950</v>
      </c>
      <c r="E4437" t="s">
        <v>27951</v>
      </c>
      <c r="F4437" t="s">
        <v>108</v>
      </c>
      <c r="H4437" t="s">
        <v>27952</v>
      </c>
      <c r="I4437" t="s">
        <v>2874</v>
      </c>
      <c r="J4437" t="s">
        <v>111</v>
      </c>
      <c r="K4437" t="str">
        <f>"85304"</f>
        <v>85304</v>
      </c>
      <c r="L4437" t="s">
        <v>8345</v>
      </c>
      <c r="M4437" t="s">
        <v>27952</v>
      </c>
      <c r="N4437" t="s">
        <v>2874</v>
      </c>
      <c r="O4437" t="s">
        <v>111</v>
      </c>
      <c r="P4437" t="str">
        <f>"85304-2421"</f>
        <v>85304-2421</v>
      </c>
      <c r="Q4437" t="s">
        <v>113</v>
      </c>
      <c r="R4437" t="str">
        <f>"143-04-058"</f>
        <v>143-04-058</v>
      </c>
      <c r="S4437" t="s">
        <v>27953</v>
      </c>
      <c r="U4437">
        <v>2070</v>
      </c>
      <c r="V4437">
        <v>0</v>
      </c>
      <c r="W4437">
        <v>3</v>
      </c>
      <c r="X4437">
        <v>1980</v>
      </c>
      <c r="Z4437">
        <v>1</v>
      </c>
      <c r="AA4437" t="s">
        <v>26</v>
      </c>
      <c r="AB4437">
        <v>0</v>
      </c>
      <c r="AC4437" t="s">
        <v>115</v>
      </c>
      <c r="AD4437">
        <v>2</v>
      </c>
      <c r="AE4437" t="s">
        <v>115</v>
      </c>
      <c r="AF4437">
        <v>0</v>
      </c>
      <c r="AG4437">
        <v>0</v>
      </c>
      <c r="AH4437" t="s">
        <v>116</v>
      </c>
      <c r="AI4437" s="1">
        <v>62955</v>
      </c>
      <c r="AJ4437" s="2">
        <v>0.2</v>
      </c>
      <c r="AK4437" s="1">
        <v>312516</v>
      </c>
      <c r="AL4437" t="s">
        <v>117</v>
      </c>
      <c r="AM4437" t="s">
        <v>191</v>
      </c>
      <c r="AN4437">
        <v>10084</v>
      </c>
      <c r="AO4437">
        <v>0.23</v>
      </c>
      <c r="AP4437">
        <v>1</v>
      </c>
      <c r="AR4437">
        <v>1</v>
      </c>
      <c r="AS4437" s="1">
        <v>21920</v>
      </c>
      <c r="AT4437" s="1">
        <v>4380</v>
      </c>
      <c r="AU4437" s="1">
        <v>17540</v>
      </c>
      <c r="AV4437">
        <v>80.02</v>
      </c>
      <c r="AX4437" s="1">
        <v>1486.48</v>
      </c>
      <c r="AY4437" t="s">
        <v>16967</v>
      </c>
      <c r="AZ4437" t="s">
        <v>16967</v>
      </c>
      <c r="BA4437" t="s">
        <v>8681</v>
      </c>
      <c r="BE4437" s="3">
        <v>42262</v>
      </c>
      <c r="BF4437" s="1">
        <v>255000</v>
      </c>
      <c r="BG4437" t="s">
        <v>27954</v>
      </c>
      <c r="BH4437" s="1">
        <v>123.13</v>
      </c>
      <c r="BI4437" s="1">
        <v>249561</v>
      </c>
      <c r="BJ4437" s="3">
        <v>42495</v>
      </c>
      <c r="BK4437" t="s">
        <v>123</v>
      </c>
      <c r="BL4437" t="str">
        <f>"2016.307398"</f>
        <v>2016.307398</v>
      </c>
      <c r="BM4437" t="s">
        <v>2117</v>
      </c>
      <c r="BO4437" t="s">
        <v>27955</v>
      </c>
      <c r="BS4437">
        <v>30</v>
      </c>
      <c r="BW4437" t="str">
        <f>""</f>
        <v/>
      </c>
      <c r="CH4437" t="str">
        <f>""</f>
        <v/>
      </c>
      <c r="CS4437" t="str">
        <f>""</f>
        <v/>
      </c>
    </row>
    <row r="4438" spans="1:97" x14ac:dyDescent="0.25">
      <c r="A4438" t="s">
        <v>27956</v>
      </c>
      <c r="B4438" t="s">
        <v>603</v>
      </c>
      <c r="E4438" t="s">
        <v>27957</v>
      </c>
      <c r="F4438" t="s">
        <v>108</v>
      </c>
      <c r="H4438" t="s">
        <v>27958</v>
      </c>
      <c r="I4438" t="s">
        <v>167</v>
      </c>
      <c r="J4438" t="s">
        <v>111</v>
      </c>
      <c r="K4438" t="str">
        <f>"85339"</f>
        <v>85339</v>
      </c>
      <c r="L4438" t="s">
        <v>1789</v>
      </c>
      <c r="M4438" t="s">
        <v>27958</v>
      </c>
      <c r="N4438" t="s">
        <v>167</v>
      </c>
      <c r="O4438" t="s">
        <v>111</v>
      </c>
      <c r="P4438" t="str">
        <f>"85339-2663"</f>
        <v>85339-2663</v>
      </c>
      <c r="Q4438" t="s">
        <v>113</v>
      </c>
      <c r="R4438" t="str">
        <f>"104-83-131"</f>
        <v>104-83-131</v>
      </c>
      <c r="S4438" t="s">
        <v>11935</v>
      </c>
      <c r="U4438">
        <v>3553</v>
      </c>
      <c r="V4438">
        <v>0</v>
      </c>
      <c r="W4438">
        <v>4</v>
      </c>
      <c r="X4438">
        <v>2005</v>
      </c>
      <c r="Z4438">
        <v>2</v>
      </c>
      <c r="AA4438" t="s">
        <v>26</v>
      </c>
      <c r="AB4438">
        <v>0</v>
      </c>
      <c r="AC4438" t="s">
        <v>115</v>
      </c>
      <c r="AD4438">
        <v>3</v>
      </c>
      <c r="AE4438" t="s">
        <v>115</v>
      </c>
      <c r="AF4438">
        <v>0</v>
      </c>
      <c r="AG4438">
        <v>0</v>
      </c>
      <c r="AH4438" t="s">
        <v>116</v>
      </c>
      <c r="AI4438" s="1">
        <v>56212</v>
      </c>
      <c r="AJ4438" s="2">
        <v>0.17</v>
      </c>
      <c r="AK4438" s="1">
        <v>327891</v>
      </c>
      <c r="AL4438" t="s">
        <v>117</v>
      </c>
      <c r="AM4438" t="s">
        <v>171</v>
      </c>
      <c r="AN4438">
        <v>7475</v>
      </c>
      <c r="AO4438">
        <v>0.17</v>
      </c>
      <c r="AR4438">
        <v>1</v>
      </c>
      <c r="AS4438" s="1">
        <v>23470</v>
      </c>
      <c r="AT4438" s="1">
        <v>4690</v>
      </c>
      <c r="AU4438" s="1">
        <v>18780</v>
      </c>
      <c r="AV4438">
        <v>80.02</v>
      </c>
      <c r="AX4438" s="1">
        <v>2982.62</v>
      </c>
      <c r="AY4438" t="s">
        <v>172</v>
      </c>
      <c r="AZ4438" t="s">
        <v>172</v>
      </c>
      <c r="BA4438" t="s">
        <v>173</v>
      </c>
      <c r="BE4438" s="3">
        <v>41758</v>
      </c>
      <c r="BF4438" s="1">
        <v>220000</v>
      </c>
      <c r="BG4438" t="s">
        <v>27959</v>
      </c>
      <c r="BH4438" s="1">
        <v>61.92</v>
      </c>
      <c r="BI4438" s="1">
        <v>271679</v>
      </c>
      <c r="BJ4438" s="3">
        <v>42788</v>
      </c>
      <c r="BK4438" t="s">
        <v>123</v>
      </c>
      <c r="BL4438" t="str">
        <f>"2017.126014"</f>
        <v>2017.126014</v>
      </c>
      <c r="BM4438" t="s">
        <v>248</v>
      </c>
      <c r="BO4438" t="s">
        <v>27960</v>
      </c>
      <c r="BS4438">
        <v>15</v>
      </c>
      <c r="BW4438" t="str">
        <f>""</f>
        <v/>
      </c>
      <c r="CH4438" t="str">
        <f>""</f>
        <v/>
      </c>
      <c r="CS4438" t="str">
        <f>""</f>
        <v/>
      </c>
    </row>
    <row r="4439" spans="1:97" x14ac:dyDescent="0.25">
      <c r="A4439" t="s">
        <v>7799</v>
      </c>
      <c r="B4439" t="s">
        <v>27961</v>
      </c>
      <c r="E4439" t="s">
        <v>27962</v>
      </c>
      <c r="F4439" t="s">
        <v>108</v>
      </c>
      <c r="H4439" t="s">
        <v>27963</v>
      </c>
      <c r="I4439" t="s">
        <v>632</v>
      </c>
      <c r="J4439" t="s">
        <v>111</v>
      </c>
      <c r="K4439" t="str">
        <f>"85388"</f>
        <v>85388</v>
      </c>
      <c r="L4439" t="s">
        <v>4467</v>
      </c>
      <c r="M4439" t="s">
        <v>27963</v>
      </c>
      <c r="N4439" t="s">
        <v>632</v>
      </c>
      <c r="O4439" t="s">
        <v>111</v>
      </c>
      <c r="P4439" t="str">
        <f>"85388-7578"</f>
        <v>85388-7578</v>
      </c>
      <c r="Q4439" t="s">
        <v>113</v>
      </c>
      <c r="R4439" t="str">
        <f>"502-03-464"</f>
        <v>502-03-464</v>
      </c>
      <c r="S4439" t="s">
        <v>27964</v>
      </c>
      <c r="U4439">
        <v>2003</v>
      </c>
      <c r="V4439">
        <v>0</v>
      </c>
      <c r="W4439">
        <v>3</v>
      </c>
      <c r="X4439">
        <v>2005</v>
      </c>
      <c r="Z4439">
        <v>1</v>
      </c>
      <c r="AA4439" t="s">
        <v>26</v>
      </c>
      <c r="AB4439">
        <v>0</v>
      </c>
      <c r="AC4439" t="s">
        <v>115</v>
      </c>
      <c r="AD4439">
        <v>2</v>
      </c>
      <c r="AE4439" t="s">
        <v>115</v>
      </c>
      <c r="AF4439">
        <v>0</v>
      </c>
      <c r="AG4439">
        <v>0</v>
      </c>
      <c r="AH4439" t="s">
        <v>116</v>
      </c>
      <c r="AI4439" s="1">
        <v>50324</v>
      </c>
      <c r="AJ4439" s="2">
        <v>0.17</v>
      </c>
      <c r="AK4439" s="1">
        <v>296595</v>
      </c>
      <c r="AL4439" t="s">
        <v>117</v>
      </c>
      <c r="AM4439" t="s">
        <v>118</v>
      </c>
      <c r="AN4439">
        <v>8068</v>
      </c>
      <c r="AO4439">
        <v>0.18</v>
      </c>
      <c r="AR4439">
        <v>1</v>
      </c>
      <c r="AS4439" s="1">
        <v>20560</v>
      </c>
      <c r="AT4439" s="1">
        <v>4110</v>
      </c>
      <c r="AU4439" s="1">
        <v>16450</v>
      </c>
      <c r="AV4439">
        <v>80.010000000000005</v>
      </c>
      <c r="AX4439" s="1">
        <v>1850.44</v>
      </c>
      <c r="AY4439" t="s">
        <v>6262</v>
      </c>
      <c r="AZ4439" t="s">
        <v>6262</v>
      </c>
      <c r="BA4439" t="s">
        <v>5061</v>
      </c>
      <c r="BE4439" s="3">
        <v>42405</v>
      </c>
      <c r="BF4439" s="1">
        <v>241500</v>
      </c>
      <c r="BG4439" t="s">
        <v>27965</v>
      </c>
      <c r="BH4439" s="1">
        <v>120.57</v>
      </c>
      <c r="BI4439" s="1">
        <v>246271</v>
      </c>
      <c r="BJ4439" s="3">
        <v>42632</v>
      </c>
      <c r="BK4439" t="s">
        <v>123</v>
      </c>
      <c r="BL4439" t="str">
        <f>"2016.680019"</f>
        <v>2016.680019</v>
      </c>
      <c r="BM4439" t="s">
        <v>8916</v>
      </c>
      <c r="BO4439" t="s">
        <v>27966</v>
      </c>
      <c r="BS4439">
        <v>30</v>
      </c>
      <c r="BW4439" t="str">
        <f>""</f>
        <v/>
      </c>
      <c r="CH4439" t="str">
        <f>""</f>
        <v/>
      </c>
      <c r="CS4439" t="str">
        <f>""</f>
        <v/>
      </c>
    </row>
    <row r="4440" spans="1:97" x14ac:dyDescent="0.25">
      <c r="A4440" t="s">
        <v>6753</v>
      </c>
      <c r="B4440" t="s">
        <v>3147</v>
      </c>
      <c r="C4440" t="s">
        <v>27967</v>
      </c>
      <c r="D4440" t="s">
        <v>3147</v>
      </c>
      <c r="E4440" t="s">
        <v>27968</v>
      </c>
      <c r="F4440" t="s">
        <v>282</v>
      </c>
      <c r="H4440" t="s">
        <v>27969</v>
      </c>
      <c r="I4440" t="s">
        <v>632</v>
      </c>
      <c r="J4440" t="s">
        <v>111</v>
      </c>
      <c r="K4440" t="str">
        <f>"85388"</f>
        <v>85388</v>
      </c>
      <c r="L4440" t="s">
        <v>417</v>
      </c>
      <c r="M4440" t="s">
        <v>27970</v>
      </c>
      <c r="N4440" t="s">
        <v>390</v>
      </c>
      <c r="O4440" t="s">
        <v>111</v>
      </c>
      <c r="P4440" t="str">
        <f>"85048-8517"</f>
        <v>85048-8517</v>
      </c>
      <c r="Q4440" t="s">
        <v>113</v>
      </c>
      <c r="R4440" t="str">
        <f>"502-09-422"</f>
        <v>502-09-422</v>
      </c>
      <c r="S4440" t="s">
        <v>14715</v>
      </c>
      <c r="T4440" t="s">
        <v>14716</v>
      </c>
      <c r="U4440">
        <v>1806</v>
      </c>
      <c r="V4440">
        <v>0</v>
      </c>
      <c r="W4440">
        <v>3</v>
      </c>
      <c r="X4440">
        <v>2008</v>
      </c>
      <c r="Z4440">
        <v>1</v>
      </c>
      <c r="AB4440">
        <v>0</v>
      </c>
      <c r="AC4440" t="s">
        <v>115</v>
      </c>
      <c r="AD4440">
        <v>2</v>
      </c>
      <c r="AE4440" t="s">
        <v>115</v>
      </c>
      <c r="AF4440">
        <v>0</v>
      </c>
      <c r="AG4440">
        <v>0</v>
      </c>
      <c r="AH4440" t="s">
        <v>116</v>
      </c>
      <c r="AI4440" s="1">
        <v>53121</v>
      </c>
      <c r="AJ4440" s="2">
        <v>0.2</v>
      </c>
      <c r="AK4440" s="1">
        <v>264782</v>
      </c>
      <c r="AL4440" t="s">
        <v>117</v>
      </c>
      <c r="AM4440" t="s">
        <v>118</v>
      </c>
      <c r="AN4440">
        <v>6329</v>
      </c>
      <c r="AO4440">
        <v>0.14000000000000001</v>
      </c>
      <c r="AR4440">
        <v>1</v>
      </c>
      <c r="AS4440" s="1">
        <v>18350</v>
      </c>
      <c r="AT4440" s="1">
        <v>3670</v>
      </c>
      <c r="AU4440" s="1">
        <v>14680</v>
      </c>
      <c r="AV4440">
        <v>80</v>
      </c>
      <c r="AX4440" s="1">
        <v>1834.08</v>
      </c>
      <c r="AY4440" t="s">
        <v>5168</v>
      </c>
      <c r="AZ4440" t="s">
        <v>5168</v>
      </c>
      <c r="BA4440" t="s">
        <v>5109</v>
      </c>
      <c r="BE4440" s="3">
        <v>42359</v>
      </c>
      <c r="BF4440" s="1">
        <v>204900</v>
      </c>
      <c r="BG4440" t="s">
        <v>27971</v>
      </c>
      <c r="BH4440" s="1">
        <v>113.46</v>
      </c>
      <c r="BI4440" s="1">
        <v>211661</v>
      </c>
      <c r="BJ4440" s="3">
        <v>42359</v>
      </c>
      <c r="BK4440" t="s">
        <v>123</v>
      </c>
      <c r="BL4440" t="str">
        <f>"2015.898501"</f>
        <v>2015.898501</v>
      </c>
      <c r="BM4440" t="s">
        <v>1837</v>
      </c>
      <c r="BO4440" t="s">
        <v>27972</v>
      </c>
      <c r="BS4440">
        <v>30</v>
      </c>
      <c r="BW4440" t="str">
        <f>""</f>
        <v/>
      </c>
      <c r="CH4440" t="str">
        <f>""</f>
        <v/>
      </c>
      <c r="CS4440" t="str">
        <f>""</f>
        <v/>
      </c>
    </row>
    <row r="4441" spans="1:97" x14ac:dyDescent="0.25">
      <c r="A4441" t="s">
        <v>177</v>
      </c>
      <c r="B4441" t="s">
        <v>27973</v>
      </c>
      <c r="C4441" t="s">
        <v>1423</v>
      </c>
      <c r="D4441" t="s">
        <v>27973</v>
      </c>
      <c r="E4441" t="s">
        <v>27974</v>
      </c>
      <c r="F4441" t="s">
        <v>108</v>
      </c>
      <c r="H4441" t="s">
        <v>27975</v>
      </c>
      <c r="I4441" t="s">
        <v>1936</v>
      </c>
      <c r="J4441" t="s">
        <v>111</v>
      </c>
      <c r="K4441" t="str">
        <f>"85254"</f>
        <v>85254</v>
      </c>
      <c r="L4441" t="s">
        <v>5106</v>
      </c>
      <c r="M4441" t="s">
        <v>27975</v>
      </c>
      <c r="N4441" t="s">
        <v>1936</v>
      </c>
      <c r="O4441" t="s">
        <v>111</v>
      </c>
      <c r="P4441" t="str">
        <f>"85254-2348"</f>
        <v>85254-2348</v>
      </c>
      <c r="Q4441" t="s">
        <v>113</v>
      </c>
      <c r="R4441" t="str">
        <f>"215-66-234"</f>
        <v>215-66-234</v>
      </c>
      <c r="S4441" t="s">
        <v>17650</v>
      </c>
      <c r="T4441" t="s">
        <v>17651</v>
      </c>
      <c r="U4441">
        <v>2062</v>
      </c>
      <c r="V4441">
        <v>0</v>
      </c>
      <c r="W4441">
        <v>3</v>
      </c>
      <c r="X4441">
        <v>1980</v>
      </c>
      <c r="Z4441">
        <v>1</v>
      </c>
      <c r="AA4441" t="s">
        <v>26</v>
      </c>
      <c r="AB4441">
        <v>0</v>
      </c>
      <c r="AC4441" t="s">
        <v>115</v>
      </c>
      <c r="AD4441">
        <v>2</v>
      </c>
      <c r="AE4441" t="s">
        <v>115</v>
      </c>
      <c r="AF4441">
        <v>0</v>
      </c>
      <c r="AG4441">
        <v>0</v>
      </c>
      <c r="AH4441" t="s">
        <v>116</v>
      </c>
      <c r="AI4441" s="1">
        <v>74151</v>
      </c>
      <c r="AJ4441" s="2">
        <v>0.15</v>
      </c>
      <c r="AK4441" s="1">
        <v>483219</v>
      </c>
      <c r="AL4441" t="s">
        <v>117</v>
      </c>
      <c r="AM4441" t="s">
        <v>1302</v>
      </c>
      <c r="AN4441">
        <v>9817</v>
      </c>
      <c r="AO4441">
        <v>0.22</v>
      </c>
      <c r="AP4441">
        <v>1</v>
      </c>
      <c r="AR4441">
        <v>1</v>
      </c>
      <c r="AS4441" s="1">
        <v>33150</v>
      </c>
      <c r="AT4441" s="1">
        <v>6630</v>
      </c>
      <c r="AU4441" s="1">
        <v>26520</v>
      </c>
      <c r="AV4441">
        <v>80</v>
      </c>
      <c r="AX4441" s="1">
        <v>2932.16</v>
      </c>
      <c r="AY4441" t="s">
        <v>2767</v>
      </c>
      <c r="AZ4441" t="s">
        <v>1317</v>
      </c>
      <c r="BA4441" t="s">
        <v>6302</v>
      </c>
      <c r="BE4441" s="3">
        <v>42451</v>
      </c>
      <c r="BF4441" s="1">
        <v>300000</v>
      </c>
      <c r="BG4441" t="s">
        <v>27976</v>
      </c>
      <c r="BH4441" s="1">
        <v>145.49</v>
      </c>
      <c r="BI4441" s="1">
        <v>409068</v>
      </c>
      <c r="BJ4441" s="3">
        <v>43069</v>
      </c>
      <c r="BK4441" t="s">
        <v>123</v>
      </c>
      <c r="BL4441" t="str">
        <f>"2017.887786"</f>
        <v>2017.887786</v>
      </c>
      <c r="BM4441" t="s">
        <v>2980</v>
      </c>
      <c r="BN4441">
        <v>94965</v>
      </c>
      <c r="BO4441" t="s">
        <v>27977</v>
      </c>
      <c r="BS4441">
        <v>30</v>
      </c>
      <c r="BT4441" s="1">
        <v>409068</v>
      </c>
      <c r="BU4441" s="3">
        <v>43069</v>
      </c>
      <c r="BV4441" t="s">
        <v>123</v>
      </c>
      <c r="BW4441" t="str">
        <f>"2017.887786"</f>
        <v>2017.887786</v>
      </c>
      <c r="BX4441" t="s">
        <v>2980</v>
      </c>
      <c r="BY4441">
        <v>94965</v>
      </c>
      <c r="BZ4441" t="s">
        <v>27977</v>
      </c>
      <c r="CD4441">
        <v>30</v>
      </c>
      <c r="CH4441" t="str">
        <f>""</f>
        <v/>
      </c>
      <c r="CS4441" t="str">
        <f>""</f>
        <v/>
      </c>
    </row>
    <row r="4442" spans="1:97" x14ac:dyDescent="0.25">
      <c r="A4442" t="s">
        <v>695</v>
      </c>
      <c r="B4442" t="s">
        <v>27978</v>
      </c>
      <c r="C4442" t="s">
        <v>3464</v>
      </c>
      <c r="D4442" t="s">
        <v>27978</v>
      </c>
      <c r="E4442" t="s">
        <v>27979</v>
      </c>
      <c r="F4442" t="s">
        <v>108</v>
      </c>
      <c r="H4442" t="s">
        <v>27980</v>
      </c>
      <c r="I4442" t="s">
        <v>203</v>
      </c>
      <c r="J4442" t="s">
        <v>111</v>
      </c>
      <c r="K4442" t="str">
        <f>"85298"</f>
        <v>85298</v>
      </c>
      <c r="L4442" t="s">
        <v>734</v>
      </c>
      <c r="M4442" t="s">
        <v>27980</v>
      </c>
      <c r="N4442" t="s">
        <v>203</v>
      </c>
      <c r="O4442" t="s">
        <v>111</v>
      </c>
      <c r="P4442" t="str">
        <f>"85298"</f>
        <v>85298</v>
      </c>
      <c r="Q4442" t="s">
        <v>113</v>
      </c>
      <c r="R4442" t="str">
        <f>"304-72-405"</f>
        <v>304-72-405</v>
      </c>
      <c r="S4442" t="s">
        <v>19783</v>
      </c>
      <c r="T4442" t="s">
        <v>9237</v>
      </c>
      <c r="U4442">
        <v>2097</v>
      </c>
      <c r="V4442">
        <v>0</v>
      </c>
      <c r="W4442">
        <v>3</v>
      </c>
      <c r="X4442">
        <v>2005</v>
      </c>
      <c r="Z4442">
        <v>1</v>
      </c>
      <c r="AA4442" t="s">
        <v>26</v>
      </c>
      <c r="AB4442">
        <v>0</v>
      </c>
      <c r="AC4442" t="s">
        <v>115</v>
      </c>
      <c r="AD4442">
        <v>2</v>
      </c>
      <c r="AE4442" t="s">
        <v>115</v>
      </c>
      <c r="AF4442">
        <v>0</v>
      </c>
      <c r="AG4442">
        <v>0</v>
      </c>
      <c r="AH4442" t="s">
        <v>116</v>
      </c>
      <c r="AI4442" s="1">
        <v>65307</v>
      </c>
      <c r="AJ4442" s="2">
        <v>0.17</v>
      </c>
      <c r="AK4442" s="1">
        <v>377053</v>
      </c>
      <c r="AL4442" t="s">
        <v>117</v>
      </c>
      <c r="AM4442" t="s">
        <v>393</v>
      </c>
      <c r="AN4442">
        <v>7800</v>
      </c>
      <c r="AO4442">
        <v>0.18</v>
      </c>
      <c r="AR4442">
        <v>1</v>
      </c>
      <c r="AS4442" s="1">
        <v>26270</v>
      </c>
      <c r="AT4442" s="1">
        <v>5250</v>
      </c>
      <c r="AU4442" s="1">
        <v>21020</v>
      </c>
      <c r="AV4442">
        <v>80.02</v>
      </c>
      <c r="AX4442" s="1">
        <v>2098.2399999999998</v>
      </c>
      <c r="AY4442" t="s">
        <v>302</v>
      </c>
      <c r="AZ4442" t="s">
        <v>273</v>
      </c>
      <c r="BA4442" t="s">
        <v>303</v>
      </c>
      <c r="BB4442" s="3">
        <v>42307</v>
      </c>
      <c r="BD4442" t="s">
        <v>458</v>
      </c>
      <c r="BE4442" s="3">
        <v>42213</v>
      </c>
      <c r="BF4442" s="1">
        <v>300000</v>
      </c>
      <c r="BG4442" t="s">
        <v>27981</v>
      </c>
      <c r="BH4442" s="1">
        <v>143.06</v>
      </c>
      <c r="BI4442" s="1">
        <v>311746</v>
      </c>
      <c r="BJ4442" s="3">
        <v>42620</v>
      </c>
      <c r="BK4442" t="s">
        <v>123</v>
      </c>
      <c r="BL4442" t="str">
        <f>"2016.645937"</f>
        <v>2016.645937</v>
      </c>
      <c r="BM4442" t="s">
        <v>402</v>
      </c>
      <c r="BO4442" t="s">
        <v>27982</v>
      </c>
      <c r="BS4442">
        <v>30</v>
      </c>
      <c r="BW4442" t="str">
        <f>""</f>
        <v/>
      </c>
      <c r="CH4442" t="str">
        <f>""</f>
        <v/>
      </c>
      <c r="CS4442" t="str">
        <f>""</f>
        <v/>
      </c>
    </row>
    <row r="4443" spans="1:97" x14ac:dyDescent="0.25">
      <c r="A4443" t="s">
        <v>701</v>
      </c>
      <c r="B4443" t="s">
        <v>18578</v>
      </c>
      <c r="C4443" t="s">
        <v>1047</v>
      </c>
      <c r="D4443" t="s">
        <v>18578</v>
      </c>
      <c r="E4443" t="s">
        <v>27983</v>
      </c>
      <c r="F4443" t="s">
        <v>108</v>
      </c>
      <c r="H4443" t="s">
        <v>27984</v>
      </c>
      <c r="I4443" t="s">
        <v>144</v>
      </c>
      <c r="J4443" t="s">
        <v>111</v>
      </c>
      <c r="K4443" t="str">
        <f>"85326"</f>
        <v>85326</v>
      </c>
      <c r="L4443" t="s">
        <v>6316</v>
      </c>
      <c r="M4443" t="s">
        <v>27984</v>
      </c>
      <c r="N4443" t="s">
        <v>144</v>
      </c>
      <c r="O4443" t="s">
        <v>111</v>
      </c>
      <c r="P4443" t="str">
        <f>"85326-8057"</f>
        <v>85326-8057</v>
      </c>
      <c r="Q4443" t="s">
        <v>113</v>
      </c>
      <c r="R4443" t="str">
        <f>"504-58-025"</f>
        <v>504-58-025</v>
      </c>
      <c r="S4443" t="s">
        <v>22002</v>
      </c>
      <c r="U4443">
        <v>1846</v>
      </c>
      <c r="V4443">
        <v>0</v>
      </c>
      <c r="W4443">
        <v>3</v>
      </c>
      <c r="X4443">
        <v>2016</v>
      </c>
      <c r="Z4443">
        <v>1</v>
      </c>
      <c r="AB4443">
        <v>0</v>
      </c>
      <c r="AC4443" t="s">
        <v>115</v>
      </c>
      <c r="AD4443">
        <v>2</v>
      </c>
      <c r="AE4443" t="s">
        <v>115</v>
      </c>
      <c r="AF4443">
        <v>0</v>
      </c>
      <c r="AG4443">
        <v>0</v>
      </c>
      <c r="AH4443" t="s">
        <v>116</v>
      </c>
      <c r="AI4443" s="1">
        <v>23324</v>
      </c>
      <c r="AJ4443" s="2">
        <v>0.1</v>
      </c>
      <c r="AK4443" s="1">
        <v>235492</v>
      </c>
      <c r="AL4443" t="s">
        <v>117</v>
      </c>
      <c r="AM4443" t="s">
        <v>118</v>
      </c>
      <c r="AN4443">
        <v>5500</v>
      </c>
      <c r="AO4443">
        <v>0.13</v>
      </c>
      <c r="AR4443">
        <v>1</v>
      </c>
      <c r="AS4443" s="1">
        <v>16070</v>
      </c>
      <c r="AT4443" s="1">
        <v>3210</v>
      </c>
      <c r="AU4443" s="1">
        <v>12860</v>
      </c>
      <c r="AV4443">
        <v>80.02</v>
      </c>
      <c r="AX4443" s="1">
        <v>2459.66</v>
      </c>
      <c r="AY4443" t="s">
        <v>7333</v>
      </c>
      <c r="AZ4443" t="s">
        <v>7333</v>
      </c>
      <c r="BA4443" t="s">
        <v>5025</v>
      </c>
      <c r="BE4443" s="3">
        <v>42524</v>
      </c>
      <c r="BF4443" s="1">
        <v>205391</v>
      </c>
      <c r="BG4443" t="s">
        <v>209</v>
      </c>
      <c r="BH4443" s="1">
        <v>111.26</v>
      </c>
      <c r="BI4443" s="1">
        <v>212168</v>
      </c>
      <c r="BJ4443" s="3">
        <v>42524</v>
      </c>
      <c r="BK4443" t="s">
        <v>123</v>
      </c>
      <c r="BL4443" t="str">
        <f>"2016.387481"</f>
        <v>2016.387481</v>
      </c>
      <c r="BM4443" t="s">
        <v>175</v>
      </c>
      <c r="BO4443" t="s">
        <v>27985</v>
      </c>
      <c r="BS4443">
        <v>30</v>
      </c>
      <c r="BW4443" t="str">
        <f>""</f>
        <v/>
      </c>
      <c r="CH4443" t="str">
        <f>""</f>
        <v/>
      </c>
      <c r="CS4443" t="str">
        <f>""</f>
        <v/>
      </c>
    </row>
    <row r="4444" spans="1:97" x14ac:dyDescent="0.25">
      <c r="A4444" t="s">
        <v>1393</v>
      </c>
      <c r="B4444" t="s">
        <v>27986</v>
      </c>
      <c r="C4444" t="s">
        <v>2939</v>
      </c>
      <c r="D4444" t="s">
        <v>27986</v>
      </c>
      <c r="E4444" t="s">
        <v>27987</v>
      </c>
      <c r="F4444" t="s">
        <v>108</v>
      </c>
      <c r="H4444" t="s">
        <v>27988</v>
      </c>
      <c r="I4444" t="s">
        <v>5863</v>
      </c>
      <c r="J4444" t="s">
        <v>111</v>
      </c>
      <c r="K4444" t="str">
        <f>"85375"</f>
        <v>85375</v>
      </c>
      <c r="L4444" t="s">
        <v>8199</v>
      </c>
      <c r="M4444" t="s">
        <v>27988</v>
      </c>
      <c r="N4444" t="s">
        <v>5863</v>
      </c>
      <c r="O4444" t="s">
        <v>111</v>
      </c>
      <c r="P4444" t="str">
        <f>"85375-3322"</f>
        <v>85375-3322</v>
      </c>
      <c r="Q4444" t="s">
        <v>113</v>
      </c>
      <c r="R4444" t="str">
        <f>"232-09-082"</f>
        <v>232-09-082</v>
      </c>
      <c r="S4444" t="s">
        <v>16518</v>
      </c>
      <c r="U4444">
        <v>2068</v>
      </c>
      <c r="V4444">
        <v>0</v>
      </c>
      <c r="W4444">
        <v>3</v>
      </c>
      <c r="X4444">
        <v>1980</v>
      </c>
      <c r="Z4444">
        <v>1</v>
      </c>
      <c r="AB4444">
        <v>0</v>
      </c>
      <c r="AC4444" t="s">
        <v>115</v>
      </c>
      <c r="AD4444">
        <v>2</v>
      </c>
      <c r="AE4444" t="s">
        <v>115</v>
      </c>
      <c r="AF4444">
        <v>0</v>
      </c>
      <c r="AG4444">
        <v>0</v>
      </c>
      <c r="AH4444" t="s">
        <v>116</v>
      </c>
      <c r="AI4444" s="1">
        <v>17943</v>
      </c>
      <c r="AJ4444" s="2">
        <v>7.0000000000000007E-2</v>
      </c>
      <c r="AK4444" s="1">
        <v>257599</v>
      </c>
      <c r="AL4444" t="s">
        <v>117</v>
      </c>
      <c r="AM4444" t="s">
        <v>393</v>
      </c>
      <c r="AN4444">
        <v>9000</v>
      </c>
      <c r="AO4444">
        <v>0.21</v>
      </c>
      <c r="AP4444">
        <v>1</v>
      </c>
      <c r="AR4444">
        <v>1</v>
      </c>
      <c r="AS4444" s="1">
        <v>16860</v>
      </c>
      <c r="AT4444" s="1">
        <v>3370</v>
      </c>
      <c r="AU4444" s="1">
        <v>13490</v>
      </c>
      <c r="AV4444">
        <v>80.010000000000005</v>
      </c>
      <c r="AX4444" s="1">
        <v>1188.3800000000001</v>
      </c>
      <c r="AY4444" t="s">
        <v>320</v>
      </c>
      <c r="AZ4444" t="s">
        <v>320</v>
      </c>
      <c r="BA4444" t="s">
        <v>321</v>
      </c>
      <c r="BE4444" s="3">
        <v>41915</v>
      </c>
      <c r="BF4444" s="1">
        <v>179000</v>
      </c>
      <c r="BG4444" t="s">
        <v>27989</v>
      </c>
      <c r="BH4444" s="1">
        <v>86.56</v>
      </c>
      <c r="BI4444" s="1">
        <v>239656</v>
      </c>
      <c r="BJ4444" s="3">
        <v>43487</v>
      </c>
      <c r="BK4444" t="s">
        <v>123</v>
      </c>
      <c r="BL4444" t="str">
        <f>"2019.42454"</f>
        <v>2019.42454</v>
      </c>
      <c r="BM4444" t="s">
        <v>361</v>
      </c>
      <c r="BN4444" t="s">
        <v>884</v>
      </c>
      <c r="BO4444" t="s">
        <v>27990</v>
      </c>
      <c r="BP4444" t="s">
        <v>27991</v>
      </c>
      <c r="BR4444" t="s">
        <v>139</v>
      </c>
      <c r="BW4444" t="str">
        <f>""</f>
        <v/>
      </c>
      <c r="CH4444" t="str">
        <f>""</f>
        <v/>
      </c>
      <c r="CS4444" t="str">
        <f>""</f>
        <v/>
      </c>
    </row>
    <row r="4445" spans="1:97" x14ac:dyDescent="0.25">
      <c r="A4445" t="s">
        <v>996</v>
      </c>
      <c r="B4445" t="s">
        <v>27992</v>
      </c>
      <c r="C4445" t="s">
        <v>1845</v>
      </c>
      <c r="D4445" t="s">
        <v>27992</v>
      </c>
      <c r="E4445" t="s">
        <v>27993</v>
      </c>
      <c r="F4445" t="s">
        <v>108</v>
      </c>
      <c r="H4445" t="s">
        <v>27994</v>
      </c>
      <c r="I4445" t="s">
        <v>2874</v>
      </c>
      <c r="J4445" t="s">
        <v>111</v>
      </c>
      <c r="K4445" t="str">
        <f>"85310"</f>
        <v>85310</v>
      </c>
      <c r="L4445" t="s">
        <v>5325</v>
      </c>
      <c r="M4445" t="s">
        <v>27994</v>
      </c>
      <c r="N4445" t="s">
        <v>2874</v>
      </c>
      <c r="O4445" t="s">
        <v>111</v>
      </c>
      <c r="P4445" t="str">
        <f>"85310-3230"</f>
        <v>85310-3230</v>
      </c>
      <c r="Q4445" t="s">
        <v>113</v>
      </c>
      <c r="R4445" t="str">
        <f>"205-11-836"</f>
        <v>205-11-836</v>
      </c>
      <c r="S4445" t="s">
        <v>11226</v>
      </c>
      <c r="T4445" t="s">
        <v>8419</v>
      </c>
      <c r="U4445">
        <v>1910</v>
      </c>
      <c r="V4445">
        <v>0</v>
      </c>
      <c r="W4445">
        <v>2</v>
      </c>
      <c r="X4445">
        <v>1993</v>
      </c>
      <c r="Z4445">
        <v>1</v>
      </c>
      <c r="AA4445" t="s">
        <v>26</v>
      </c>
      <c r="AB4445">
        <v>0</v>
      </c>
      <c r="AC4445" t="s">
        <v>115</v>
      </c>
      <c r="AD4445">
        <v>2</v>
      </c>
      <c r="AE4445" t="s">
        <v>115</v>
      </c>
      <c r="AF4445">
        <v>0</v>
      </c>
      <c r="AG4445">
        <v>0</v>
      </c>
      <c r="AH4445" t="s">
        <v>116</v>
      </c>
      <c r="AI4445" s="1">
        <v>88141</v>
      </c>
      <c r="AJ4445" s="2">
        <v>0.28000000000000003</v>
      </c>
      <c r="AK4445" s="1">
        <v>316311</v>
      </c>
      <c r="AL4445" t="s">
        <v>117</v>
      </c>
      <c r="AM4445" t="s">
        <v>1302</v>
      </c>
      <c r="AN4445">
        <v>10829</v>
      </c>
      <c r="AO4445">
        <v>0.25</v>
      </c>
      <c r="AP4445">
        <v>1</v>
      </c>
      <c r="AR4445">
        <v>1</v>
      </c>
      <c r="AS4445" s="1">
        <v>22330</v>
      </c>
      <c r="AT4445" s="1">
        <v>4460</v>
      </c>
      <c r="AU4445" s="1">
        <v>17870</v>
      </c>
      <c r="AV4445">
        <v>80.03</v>
      </c>
      <c r="AX4445" s="1">
        <v>1829.64</v>
      </c>
      <c r="AY4445" t="s">
        <v>5701</v>
      </c>
      <c r="AZ4445" t="s">
        <v>3049</v>
      </c>
      <c r="BA4445" t="s">
        <v>1386</v>
      </c>
      <c r="BE4445" s="3">
        <v>41871</v>
      </c>
      <c r="BF4445" s="1">
        <v>220000</v>
      </c>
      <c r="BG4445" t="s">
        <v>27995</v>
      </c>
      <c r="BH4445" s="1">
        <v>115.18</v>
      </c>
      <c r="BI4445" s="1">
        <v>228170</v>
      </c>
      <c r="BJ4445" s="3">
        <v>42041</v>
      </c>
      <c r="BK4445" t="s">
        <v>123</v>
      </c>
      <c r="BL4445" t="str">
        <f>"2015.77149"</f>
        <v>2015.77149</v>
      </c>
      <c r="BM4445" t="s">
        <v>322</v>
      </c>
      <c r="BO4445" t="s">
        <v>27996</v>
      </c>
      <c r="BS4445">
        <v>30</v>
      </c>
      <c r="BW4445" t="str">
        <f>""</f>
        <v/>
      </c>
      <c r="CH4445" t="str">
        <f>""</f>
        <v/>
      </c>
      <c r="CS4445" t="str">
        <f>""</f>
        <v/>
      </c>
    </row>
    <row r="4446" spans="1:97" x14ac:dyDescent="0.25">
      <c r="A4446" t="s">
        <v>27997</v>
      </c>
      <c r="B4446" t="s">
        <v>27998</v>
      </c>
      <c r="E4446" t="s">
        <v>27999</v>
      </c>
      <c r="F4446" t="s">
        <v>108</v>
      </c>
      <c r="H4446" t="s">
        <v>28000</v>
      </c>
      <c r="I4446" t="s">
        <v>453</v>
      </c>
      <c r="J4446" t="s">
        <v>111</v>
      </c>
      <c r="K4446" t="str">
        <f>"85382"</f>
        <v>85382</v>
      </c>
      <c r="L4446" t="s">
        <v>9293</v>
      </c>
      <c r="M4446" t="s">
        <v>28000</v>
      </c>
      <c r="N4446" t="s">
        <v>453</v>
      </c>
      <c r="O4446" t="s">
        <v>111</v>
      </c>
      <c r="P4446" t="str">
        <f>"85382-4721"</f>
        <v>85382-4721</v>
      </c>
      <c r="Q4446" t="s">
        <v>113</v>
      </c>
      <c r="R4446" t="str">
        <f>"231-21-216"</f>
        <v>231-21-216</v>
      </c>
      <c r="S4446" t="s">
        <v>28001</v>
      </c>
      <c r="T4446" t="s">
        <v>28002</v>
      </c>
      <c r="U4446">
        <v>2166</v>
      </c>
      <c r="V4446">
        <v>0</v>
      </c>
      <c r="W4446">
        <v>4</v>
      </c>
      <c r="X4446">
        <v>1998</v>
      </c>
      <c r="Z4446">
        <v>2</v>
      </c>
      <c r="AA4446" t="s">
        <v>26</v>
      </c>
      <c r="AB4446">
        <v>0</v>
      </c>
      <c r="AC4446" t="s">
        <v>115</v>
      </c>
      <c r="AD4446">
        <v>2</v>
      </c>
      <c r="AE4446" t="s">
        <v>115</v>
      </c>
      <c r="AF4446">
        <v>0</v>
      </c>
      <c r="AG4446">
        <v>0</v>
      </c>
      <c r="AH4446" t="s">
        <v>116</v>
      </c>
      <c r="AI4446" s="1">
        <v>-10757</v>
      </c>
      <c r="AJ4446" s="2">
        <v>-0.04</v>
      </c>
      <c r="AK4446" s="1">
        <v>270155</v>
      </c>
      <c r="AL4446" t="s">
        <v>117</v>
      </c>
      <c r="AM4446" t="s">
        <v>3345</v>
      </c>
      <c r="AN4446">
        <v>9164</v>
      </c>
      <c r="AO4446">
        <v>0.21</v>
      </c>
      <c r="AP4446">
        <v>1</v>
      </c>
      <c r="AR4446">
        <v>1</v>
      </c>
      <c r="AS4446" s="1">
        <v>22820</v>
      </c>
      <c r="AT4446" s="1">
        <v>4560</v>
      </c>
      <c r="AU4446" s="1">
        <v>18260</v>
      </c>
      <c r="AV4446">
        <v>80.02</v>
      </c>
      <c r="AX4446" s="1">
        <v>1881.98</v>
      </c>
      <c r="AY4446" t="s">
        <v>5573</v>
      </c>
      <c r="AZ4446" t="s">
        <v>5573</v>
      </c>
      <c r="BA4446" t="s">
        <v>1800</v>
      </c>
      <c r="BE4446" s="3">
        <v>42551</v>
      </c>
      <c r="BF4446" s="1">
        <v>275000</v>
      </c>
      <c r="BG4446" t="s">
        <v>28003</v>
      </c>
      <c r="BH4446" s="1">
        <v>126.96</v>
      </c>
      <c r="BI4446" s="1">
        <v>280912</v>
      </c>
      <c r="BJ4446" s="3">
        <v>42551</v>
      </c>
      <c r="BK4446" t="s">
        <v>123</v>
      </c>
      <c r="BL4446" t="str">
        <f>"2016.461188"</f>
        <v>2016.461188</v>
      </c>
      <c r="BM4446" t="s">
        <v>3810</v>
      </c>
      <c r="BO4446" t="s">
        <v>28004</v>
      </c>
      <c r="BS4446">
        <v>30</v>
      </c>
      <c r="BW4446" t="str">
        <f>""</f>
        <v/>
      </c>
      <c r="CH4446" t="str">
        <f>""</f>
        <v/>
      </c>
      <c r="CS4446" t="str">
        <f>""</f>
        <v/>
      </c>
    </row>
    <row r="4447" spans="1:97" x14ac:dyDescent="0.25">
      <c r="A4447" t="s">
        <v>325</v>
      </c>
      <c r="B4447" t="s">
        <v>28005</v>
      </c>
      <c r="E4447" t="s">
        <v>28006</v>
      </c>
      <c r="F4447" t="s">
        <v>108</v>
      </c>
      <c r="H4447" t="s">
        <v>28007</v>
      </c>
      <c r="I4447" t="s">
        <v>632</v>
      </c>
      <c r="J4447" t="s">
        <v>111</v>
      </c>
      <c r="K4447" t="str">
        <f>"85379"</f>
        <v>85379</v>
      </c>
      <c r="L4447" t="s">
        <v>145</v>
      </c>
      <c r="M4447" t="s">
        <v>28007</v>
      </c>
      <c r="N4447" t="s">
        <v>632</v>
      </c>
      <c r="O4447" t="s">
        <v>111</v>
      </c>
      <c r="P4447" t="str">
        <f>"85379-4752"</f>
        <v>85379-4752</v>
      </c>
      <c r="Q4447" t="s">
        <v>113</v>
      </c>
      <c r="R4447" t="str">
        <f>"509-03-856"</f>
        <v>509-03-856</v>
      </c>
      <c r="S4447" t="s">
        <v>8133</v>
      </c>
      <c r="U4447">
        <v>2524</v>
      </c>
      <c r="V4447">
        <v>0</v>
      </c>
      <c r="W4447">
        <v>3</v>
      </c>
      <c r="X4447">
        <v>2006</v>
      </c>
      <c r="Z4447">
        <v>2</v>
      </c>
      <c r="AA4447" t="s">
        <v>26</v>
      </c>
      <c r="AB4447">
        <v>0</v>
      </c>
      <c r="AC4447" t="s">
        <v>115</v>
      </c>
      <c r="AD4447">
        <v>2</v>
      </c>
      <c r="AE4447" t="s">
        <v>115</v>
      </c>
      <c r="AF4447">
        <v>0</v>
      </c>
      <c r="AG4447">
        <v>0</v>
      </c>
      <c r="AH4447" t="s">
        <v>116</v>
      </c>
      <c r="AI4447" s="1">
        <v>70928</v>
      </c>
      <c r="AJ4447" s="2">
        <v>0.23</v>
      </c>
      <c r="AK4447" s="1">
        <v>307603</v>
      </c>
      <c r="AL4447" t="s">
        <v>117</v>
      </c>
      <c r="AM4447" t="s">
        <v>118</v>
      </c>
      <c r="AN4447">
        <v>5548</v>
      </c>
      <c r="AO4447">
        <v>0.13</v>
      </c>
      <c r="AR4447">
        <v>1</v>
      </c>
      <c r="AS4447" s="1">
        <v>21310</v>
      </c>
      <c r="AT4447" s="1">
        <v>4260</v>
      </c>
      <c r="AU4447" s="1">
        <v>17050</v>
      </c>
      <c r="AV4447">
        <v>80.010000000000005</v>
      </c>
      <c r="AX4447" s="1">
        <v>1611.44</v>
      </c>
      <c r="AY4447" t="s">
        <v>5818</v>
      </c>
      <c r="AZ4447" t="s">
        <v>5818</v>
      </c>
      <c r="BA4447" t="s">
        <v>321</v>
      </c>
      <c r="BE4447" s="3">
        <v>42055</v>
      </c>
      <c r="BF4447" s="1">
        <v>230000</v>
      </c>
      <c r="BG4447" t="s">
        <v>28008</v>
      </c>
      <c r="BH4447" s="1">
        <v>91.13</v>
      </c>
      <c r="BI4447" s="1">
        <v>236675</v>
      </c>
      <c r="BJ4447" s="3">
        <v>42055</v>
      </c>
      <c r="BK4447" t="s">
        <v>123</v>
      </c>
      <c r="BL4447" t="str">
        <f>"2015.112294"</f>
        <v>2015.112294</v>
      </c>
      <c r="BM4447" t="s">
        <v>1185</v>
      </c>
      <c r="BO4447" t="s">
        <v>28009</v>
      </c>
      <c r="BS4447">
        <v>30</v>
      </c>
      <c r="BW4447" t="str">
        <f>""</f>
        <v/>
      </c>
      <c r="CH4447" t="str">
        <f>""</f>
        <v/>
      </c>
      <c r="CS4447" t="str">
        <f>""</f>
        <v/>
      </c>
    </row>
    <row r="4448" spans="1:97" x14ac:dyDescent="0.25">
      <c r="A4448" t="s">
        <v>325</v>
      </c>
      <c r="B4448" t="s">
        <v>2692</v>
      </c>
      <c r="C4448" t="s">
        <v>4386</v>
      </c>
      <c r="D4448" t="s">
        <v>2692</v>
      </c>
      <c r="E4448" t="s">
        <v>28010</v>
      </c>
      <c r="F4448" t="s">
        <v>108</v>
      </c>
      <c r="H4448" t="s">
        <v>28011</v>
      </c>
      <c r="I4448" t="s">
        <v>225</v>
      </c>
      <c r="J4448" t="s">
        <v>111</v>
      </c>
      <c r="K4448" t="str">
        <f>"85213"</f>
        <v>85213</v>
      </c>
      <c r="L4448" t="s">
        <v>4159</v>
      </c>
      <c r="M4448" t="s">
        <v>28011</v>
      </c>
      <c r="N4448" t="s">
        <v>225</v>
      </c>
      <c r="O4448" t="s">
        <v>111</v>
      </c>
      <c r="P4448" t="str">
        <f>"85213-1958"</f>
        <v>85213-1958</v>
      </c>
      <c r="Q4448" t="s">
        <v>113</v>
      </c>
      <c r="R4448" t="str">
        <f>"141-18-034"</f>
        <v>141-18-034</v>
      </c>
      <c r="S4448" t="s">
        <v>5667</v>
      </c>
      <c r="U4448">
        <v>2237</v>
      </c>
      <c r="V4448">
        <v>0</v>
      </c>
      <c r="W4448">
        <v>3</v>
      </c>
      <c r="X4448">
        <v>2014</v>
      </c>
      <c r="Z4448">
        <v>1</v>
      </c>
      <c r="AB4448">
        <v>0</v>
      </c>
      <c r="AC4448" t="s">
        <v>115</v>
      </c>
      <c r="AD4448">
        <v>2</v>
      </c>
      <c r="AE4448" t="s">
        <v>115</v>
      </c>
      <c r="AF4448">
        <v>0</v>
      </c>
      <c r="AG4448">
        <v>0</v>
      </c>
      <c r="AH4448" t="s">
        <v>116</v>
      </c>
      <c r="AI4448" s="1">
        <v>91955</v>
      </c>
      <c r="AJ4448" s="2">
        <v>0.24</v>
      </c>
      <c r="AK4448" s="1">
        <v>389284</v>
      </c>
      <c r="AL4448" t="s">
        <v>117</v>
      </c>
      <c r="AM4448" t="s">
        <v>917</v>
      </c>
      <c r="AN4448">
        <v>7406</v>
      </c>
      <c r="AO4448">
        <v>0.17</v>
      </c>
      <c r="AR4448">
        <v>1</v>
      </c>
      <c r="AS4448" s="1">
        <v>27420</v>
      </c>
      <c r="AT4448" s="1">
        <v>5480</v>
      </c>
      <c r="AU4448" s="1">
        <v>21940</v>
      </c>
      <c r="AV4448">
        <v>80.010000000000005</v>
      </c>
      <c r="AX4448" s="1">
        <v>2476.88</v>
      </c>
      <c r="AY4448" t="s">
        <v>4162</v>
      </c>
      <c r="AZ4448" t="s">
        <v>4163</v>
      </c>
      <c r="BA4448" t="s">
        <v>1524</v>
      </c>
      <c r="BE4448" s="3">
        <v>41808</v>
      </c>
      <c r="BF4448" s="1">
        <v>297263</v>
      </c>
      <c r="BG4448" t="s">
        <v>2842</v>
      </c>
      <c r="BH4448" s="1">
        <v>132.88</v>
      </c>
      <c r="BI4448" s="1">
        <v>297329</v>
      </c>
      <c r="BJ4448" s="3">
        <v>42676</v>
      </c>
      <c r="BK4448" t="s">
        <v>123</v>
      </c>
      <c r="BL4448" t="str">
        <f>"2016.809240"</f>
        <v>2016.809240</v>
      </c>
      <c r="BM4448" t="s">
        <v>9100</v>
      </c>
      <c r="BO4448" t="s">
        <v>28012</v>
      </c>
      <c r="BS4448">
        <v>30</v>
      </c>
      <c r="BW4448" t="str">
        <f>""</f>
        <v/>
      </c>
      <c r="CH4448" t="str">
        <f>""</f>
        <v/>
      </c>
      <c r="CS4448" t="str">
        <f>""</f>
        <v/>
      </c>
    </row>
    <row r="4449" spans="1:97" x14ac:dyDescent="0.25">
      <c r="A4449" t="s">
        <v>28013</v>
      </c>
      <c r="B4449" t="s">
        <v>28014</v>
      </c>
      <c r="C4449" t="s">
        <v>2099</v>
      </c>
      <c r="D4449" t="s">
        <v>28014</v>
      </c>
      <c r="E4449" t="s">
        <v>28015</v>
      </c>
      <c r="F4449" t="s">
        <v>108</v>
      </c>
      <c r="H4449" t="s">
        <v>28016</v>
      </c>
      <c r="I4449" t="s">
        <v>144</v>
      </c>
      <c r="J4449" t="s">
        <v>111</v>
      </c>
      <c r="K4449" t="str">
        <f>"85326"</f>
        <v>85326</v>
      </c>
      <c r="L4449" t="s">
        <v>8146</v>
      </c>
      <c r="M4449" t="s">
        <v>28016</v>
      </c>
      <c r="N4449" t="s">
        <v>144</v>
      </c>
      <c r="O4449" t="s">
        <v>111</v>
      </c>
      <c r="P4449" t="str">
        <f>"85326-6657"</f>
        <v>85326-6657</v>
      </c>
      <c r="Q4449" t="s">
        <v>113</v>
      </c>
      <c r="R4449" t="str">
        <f>"502-35-414"</f>
        <v>502-35-414</v>
      </c>
      <c r="S4449" t="s">
        <v>10984</v>
      </c>
      <c r="U4449">
        <v>1820</v>
      </c>
      <c r="V4449">
        <v>0</v>
      </c>
      <c r="W4449">
        <v>3</v>
      </c>
      <c r="X4449">
        <v>2015</v>
      </c>
      <c r="Z4449">
        <v>1</v>
      </c>
      <c r="AB4449">
        <v>0</v>
      </c>
      <c r="AC4449" t="s">
        <v>115</v>
      </c>
      <c r="AD4449">
        <v>2</v>
      </c>
      <c r="AE4449" t="s">
        <v>115</v>
      </c>
      <c r="AF4449">
        <v>0</v>
      </c>
      <c r="AG4449">
        <v>0</v>
      </c>
      <c r="AH4449" t="s">
        <v>116</v>
      </c>
      <c r="AI4449" s="1">
        <v>53687</v>
      </c>
      <c r="AJ4449" s="2">
        <v>0.21</v>
      </c>
      <c r="AK4449" s="1">
        <v>259385</v>
      </c>
      <c r="AL4449" t="s">
        <v>117</v>
      </c>
      <c r="AM4449" t="s">
        <v>118</v>
      </c>
      <c r="AN4449">
        <v>6508</v>
      </c>
      <c r="AO4449">
        <v>0.15</v>
      </c>
      <c r="AR4449">
        <v>1</v>
      </c>
      <c r="AS4449" s="1">
        <v>17620</v>
      </c>
      <c r="AT4449" s="1">
        <v>3520</v>
      </c>
      <c r="AU4449" s="1">
        <v>14100</v>
      </c>
      <c r="AV4449">
        <v>80.02</v>
      </c>
      <c r="AX4449" s="1">
        <v>1544.62</v>
      </c>
      <c r="AY4449" t="s">
        <v>2767</v>
      </c>
      <c r="AZ4449" t="s">
        <v>2767</v>
      </c>
      <c r="BA4449" t="s">
        <v>5025</v>
      </c>
      <c r="BE4449" s="3">
        <v>42205</v>
      </c>
      <c r="BF4449" s="1">
        <v>203253</v>
      </c>
      <c r="BG4449" t="s">
        <v>749</v>
      </c>
      <c r="BH4449" s="1">
        <v>111.68</v>
      </c>
      <c r="BI4449" s="1">
        <v>205698</v>
      </c>
      <c r="BJ4449" s="3">
        <v>43405</v>
      </c>
      <c r="BK4449" t="s">
        <v>123</v>
      </c>
      <c r="BL4449" t="str">
        <f>"2018.816482"</f>
        <v>2018.816482</v>
      </c>
      <c r="BM4449" t="s">
        <v>10402</v>
      </c>
      <c r="BN4449" t="s">
        <v>10403</v>
      </c>
      <c r="BO4449" t="s">
        <v>28017</v>
      </c>
      <c r="BP4449" t="s">
        <v>28018</v>
      </c>
      <c r="BR4449" t="s">
        <v>139</v>
      </c>
      <c r="BT4449" s="1">
        <v>205698</v>
      </c>
      <c r="BU4449" s="3">
        <v>43405</v>
      </c>
      <c r="BV4449" t="s">
        <v>123</v>
      </c>
      <c r="BW4449" t="str">
        <f>"2018.816482"</f>
        <v>2018.816482</v>
      </c>
      <c r="BX4449" t="s">
        <v>10402</v>
      </c>
      <c r="BY4449" t="s">
        <v>10403</v>
      </c>
      <c r="BZ4449" t="s">
        <v>28017</v>
      </c>
      <c r="CA4449" t="s">
        <v>28018</v>
      </c>
      <c r="CC4449" t="s">
        <v>139</v>
      </c>
      <c r="CH4449" t="str">
        <f>""</f>
        <v/>
      </c>
      <c r="CS4449" t="str">
        <f>""</f>
        <v/>
      </c>
    </row>
    <row r="4450" spans="1:97" x14ac:dyDescent="0.25">
      <c r="A4450" t="s">
        <v>28019</v>
      </c>
      <c r="B4450" t="s">
        <v>28020</v>
      </c>
      <c r="E4450" t="s">
        <v>28021</v>
      </c>
      <c r="F4450" t="s">
        <v>282</v>
      </c>
      <c r="H4450" t="s">
        <v>28022</v>
      </c>
      <c r="I4450" t="s">
        <v>390</v>
      </c>
      <c r="J4450" t="s">
        <v>111</v>
      </c>
      <c r="K4450" t="str">
        <f>"85042"</f>
        <v>85042</v>
      </c>
      <c r="L4450" t="s">
        <v>11136</v>
      </c>
      <c r="M4450" t="s">
        <v>28023</v>
      </c>
      <c r="N4450" t="s">
        <v>28024</v>
      </c>
      <c r="O4450" t="s">
        <v>15604</v>
      </c>
      <c r="P4450" t="str">
        <f>"29445-6252"</f>
        <v>29445-6252</v>
      </c>
      <c r="Q4450" t="s">
        <v>113</v>
      </c>
      <c r="R4450" t="str">
        <f>"301-34-012"</f>
        <v>301-34-012</v>
      </c>
      <c r="S4450" t="s">
        <v>28025</v>
      </c>
      <c r="T4450" t="s">
        <v>28026</v>
      </c>
      <c r="U4450">
        <v>1755</v>
      </c>
      <c r="V4450">
        <v>0</v>
      </c>
      <c r="W4450">
        <v>3</v>
      </c>
      <c r="X4450">
        <v>1974</v>
      </c>
      <c r="Z4450">
        <v>2</v>
      </c>
      <c r="AB4450">
        <v>0</v>
      </c>
      <c r="AC4450" t="s">
        <v>5188</v>
      </c>
      <c r="AD4450">
        <v>2</v>
      </c>
      <c r="AE4450" t="s">
        <v>5188</v>
      </c>
      <c r="AF4450">
        <v>0</v>
      </c>
      <c r="AG4450">
        <v>0</v>
      </c>
      <c r="AH4450" t="s">
        <v>116</v>
      </c>
      <c r="AI4450" s="1">
        <v>48887</v>
      </c>
      <c r="AJ4450" s="2">
        <v>0.18</v>
      </c>
      <c r="AK4450" s="1">
        <v>265445</v>
      </c>
      <c r="AL4450" t="s">
        <v>117</v>
      </c>
      <c r="AM4450" t="s">
        <v>1302</v>
      </c>
      <c r="AN4450">
        <v>10167</v>
      </c>
      <c r="AO4450">
        <v>0.23</v>
      </c>
      <c r="AP4450">
        <v>1</v>
      </c>
      <c r="AR4450">
        <v>1</v>
      </c>
      <c r="AS4450" s="1">
        <v>16220</v>
      </c>
      <c r="AT4450" s="1">
        <v>3240</v>
      </c>
      <c r="AU4450" s="1">
        <v>12980</v>
      </c>
      <c r="AV4450">
        <v>80.02</v>
      </c>
      <c r="AX4450" s="1">
        <v>1577.88</v>
      </c>
      <c r="AY4450" t="s">
        <v>6115</v>
      </c>
      <c r="AZ4450" t="s">
        <v>6115</v>
      </c>
      <c r="BA4450" t="s">
        <v>2860</v>
      </c>
      <c r="BE4450" s="3">
        <v>42265</v>
      </c>
      <c r="BF4450" s="1">
        <v>212000</v>
      </c>
      <c r="BG4450" t="s">
        <v>28027</v>
      </c>
      <c r="BH4450" s="1">
        <v>120.8</v>
      </c>
      <c r="BI4450" s="1">
        <v>216558</v>
      </c>
      <c r="BJ4450" s="3">
        <v>42265</v>
      </c>
      <c r="BK4450" t="s">
        <v>123</v>
      </c>
      <c r="BL4450" t="str">
        <f>"2015.674851"</f>
        <v>2015.674851</v>
      </c>
      <c r="BM4450" t="s">
        <v>2748</v>
      </c>
      <c r="BO4450" t="s">
        <v>28028</v>
      </c>
      <c r="BS4450">
        <v>30</v>
      </c>
      <c r="BW4450" t="str">
        <f>""</f>
        <v/>
      </c>
      <c r="CH4450" t="str">
        <f>""</f>
        <v/>
      </c>
      <c r="CS4450" t="str">
        <f>""</f>
        <v/>
      </c>
    </row>
    <row r="4451" spans="1:97" x14ac:dyDescent="0.25">
      <c r="A4451" t="s">
        <v>668</v>
      </c>
      <c r="B4451" t="s">
        <v>28029</v>
      </c>
      <c r="C4451" t="s">
        <v>4611</v>
      </c>
      <c r="D4451" t="s">
        <v>28029</v>
      </c>
      <c r="E4451" t="s">
        <v>28030</v>
      </c>
      <c r="F4451" t="s">
        <v>108</v>
      </c>
      <c r="H4451" t="s">
        <v>28031</v>
      </c>
      <c r="I4451" t="s">
        <v>632</v>
      </c>
      <c r="J4451" t="s">
        <v>111</v>
      </c>
      <c r="K4451" t="str">
        <f>"85379"</f>
        <v>85379</v>
      </c>
      <c r="L4451" t="s">
        <v>454</v>
      </c>
      <c r="M4451" t="s">
        <v>28031</v>
      </c>
      <c r="N4451" t="s">
        <v>632</v>
      </c>
      <c r="O4451" t="s">
        <v>111</v>
      </c>
      <c r="P4451" t="str">
        <f>"85379-1023"</f>
        <v>85379-1023</v>
      </c>
      <c r="Q4451" t="s">
        <v>113</v>
      </c>
      <c r="R4451" t="str">
        <f>"501-46-530"</f>
        <v>501-46-530</v>
      </c>
      <c r="S4451" t="s">
        <v>5319</v>
      </c>
      <c r="U4451">
        <v>2544</v>
      </c>
      <c r="V4451">
        <v>0</v>
      </c>
      <c r="W4451">
        <v>4</v>
      </c>
      <c r="X4451">
        <v>2014</v>
      </c>
      <c r="Z4451">
        <v>2</v>
      </c>
      <c r="AB4451">
        <v>0</v>
      </c>
      <c r="AC4451" t="s">
        <v>115</v>
      </c>
      <c r="AD4451">
        <v>3</v>
      </c>
      <c r="AE4451" t="s">
        <v>115</v>
      </c>
      <c r="AF4451">
        <v>0</v>
      </c>
      <c r="AG4451">
        <v>0</v>
      </c>
      <c r="AH4451" t="s">
        <v>116</v>
      </c>
      <c r="AI4451" s="1">
        <v>56940</v>
      </c>
      <c r="AJ4451" s="2">
        <v>0.18</v>
      </c>
      <c r="AK4451" s="1">
        <v>323200</v>
      </c>
      <c r="AL4451" t="s">
        <v>117</v>
      </c>
      <c r="AM4451" t="s">
        <v>118</v>
      </c>
      <c r="AN4451">
        <v>7673</v>
      </c>
      <c r="AO4451">
        <v>0.18</v>
      </c>
      <c r="AR4451">
        <v>1</v>
      </c>
      <c r="AS4451" s="1">
        <v>22120</v>
      </c>
      <c r="AT4451" s="1">
        <v>4420</v>
      </c>
      <c r="AU4451" s="1">
        <v>17700</v>
      </c>
      <c r="AV4451">
        <v>80.02</v>
      </c>
      <c r="AX4451" s="1">
        <v>1776.5</v>
      </c>
      <c r="AY4451" t="s">
        <v>5060</v>
      </c>
      <c r="AZ4451" t="s">
        <v>5060</v>
      </c>
      <c r="BA4451" t="s">
        <v>5061</v>
      </c>
      <c r="BE4451" s="3">
        <v>41715</v>
      </c>
      <c r="BF4451" s="1">
        <v>264907</v>
      </c>
      <c r="BG4451" t="s">
        <v>158</v>
      </c>
      <c r="BH4451" s="1">
        <v>104.13</v>
      </c>
      <c r="BI4451" s="1">
        <v>266260</v>
      </c>
      <c r="BJ4451" s="3">
        <v>42342</v>
      </c>
      <c r="BK4451" t="s">
        <v>123</v>
      </c>
      <c r="BL4451" t="str">
        <f>"2015.860158"</f>
        <v>2015.860158</v>
      </c>
      <c r="BM4451" t="s">
        <v>724</v>
      </c>
      <c r="BO4451" t="s">
        <v>28032</v>
      </c>
      <c r="BS4451">
        <v>30</v>
      </c>
      <c r="BW4451" t="str">
        <f>""</f>
        <v/>
      </c>
      <c r="CH4451" t="str">
        <f>""</f>
        <v/>
      </c>
      <c r="CS4451" t="str">
        <f>""</f>
        <v/>
      </c>
    </row>
    <row r="4452" spans="1:97" x14ac:dyDescent="0.25">
      <c r="A4452" t="s">
        <v>370</v>
      </c>
      <c r="B4452" t="s">
        <v>28033</v>
      </c>
      <c r="E4452" t="s">
        <v>28034</v>
      </c>
      <c r="F4452" t="s">
        <v>108</v>
      </c>
      <c r="H4452" t="s">
        <v>28035</v>
      </c>
      <c r="I4452" t="s">
        <v>5636</v>
      </c>
      <c r="J4452" t="s">
        <v>111</v>
      </c>
      <c r="K4452" t="str">
        <f>"85268"</f>
        <v>85268</v>
      </c>
      <c r="L4452" t="s">
        <v>168</v>
      </c>
      <c r="M4452" t="s">
        <v>28035</v>
      </c>
      <c r="N4452" t="s">
        <v>5636</v>
      </c>
      <c r="O4452" t="s">
        <v>111</v>
      </c>
      <c r="P4452" t="str">
        <f>"85268-3001"</f>
        <v>85268-3001</v>
      </c>
      <c r="Q4452" t="s">
        <v>113</v>
      </c>
      <c r="R4452" t="str">
        <f>"176-03-248"</f>
        <v>176-03-248</v>
      </c>
      <c r="S4452" t="s">
        <v>10825</v>
      </c>
      <c r="U4452">
        <v>1696</v>
      </c>
      <c r="V4452">
        <v>0</v>
      </c>
      <c r="W4452">
        <v>2</v>
      </c>
      <c r="X4452">
        <v>1984</v>
      </c>
      <c r="Z4452">
        <v>1</v>
      </c>
      <c r="AB4452">
        <v>0</v>
      </c>
      <c r="AC4452" t="s">
        <v>115</v>
      </c>
      <c r="AD4452">
        <v>2</v>
      </c>
      <c r="AE4452" t="s">
        <v>115</v>
      </c>
      <c r="AF4452">
        <v>0</v>
      </c>
      <c r="AG4452">
        <v>0</v>
      </c>
      <c r="AH4452" t="s">
        <v>116</v>
      </c>
      <c r="AI4452" s="1">
        <v>61856</v>
      </c>
      <c r="AJ4452" s="2">
        <v>0.17</v>
      </c>
      <c r="AK4452" s="1">
        <v>360632</v>
      </c>
      <c r="AL4452" t="s">
        <v>117</v>
      </c>
      <c r="AM4452" t="s">
        <v>171</v>
      </c>
      <c r="AN4452">
        <v>10864</v>
      </c>
      <c r="AO4452">
        <v>0.25</v>
      </c>
      <c r="AP4452">
        <v>1</v>
      </c>
      <c r="AR4452">
        <v>1</v>
      </c>
      <c r="AS4452" s="1">
        <v>21460</v>
      </c>
      <c r="AT4452" s="1">
        <v>4290</v>
      </c>
      <c r="AU4452" s="1">
        <v>17170</v>
      </c>
      <c r="AV4452">
        <v>80.010000000000005</v>
      </c>
      <c r="AX4452" s="1">
        <v>1177.8399999999999</v>
      </c>
      <c r="AY4452" t="s">
        <v>6485</v>
      </c>
      <c r="AZ4452" t="s">
        <v>5640</v>
      </c>
      <c r="BA4452" t="s">
        <v>5641</v>
      </c>
      <c r="BE4452" s="3">
        <v>42306</v>
      </c>
      <c r="BF4452" s="1">
        <v>290000</v>
      </c>
      <c r="BG4452" t="s">
        <v>28036</v>
      </c>
      <c r="BH4452" s="1">
        <v>170.99</v>
      </c>
      <c r="BI4452" s="1">
        <v>298776</v>
      </c>
      <c r="BJ4452" s="3">
        <v>43375</v>
      </c>
      <c r="BK4452" t="s">
        <v>123</v>
      </c>
      <c r="BL4452" t="str">
        <f>"2018.739344"</f>
        <v>2018.739344</v>
      </c>
      <c r="BM4452" t="s">
        <v>1809</v>
      </c>
      <c r="BN4452" t="s">
        <v>1810</v>
      </c>
      <c r="BO4452" t="s">
        <v>28037</v>
      </c>
      <c r="BR4452" t="s">
        <v>139</v>
      </c>
      <c r="BW4452" t="str">
        <f>""</f>
        <v/>
      </c>
      <c r="CH4452" t="str">
        <f>""</f>
        <v/>
      </c>
      <c r="CS4452" t="str">
        <f>""</f>
        <v/>
      </c>
    </row>
    <row r="4453" spans="1:97" x14ac:dyDescent="0.25">
      <c r="A4453" t="s">
        <v>1187</v>
      </c>
      <c r="B4453" t="s">
        <v>9962</v>
      </c>
      <c r="C4453" t="s">
        <v>852</v>
      </c>
      <c r="D4453" t="s">
        <v>9962</v>
      </c>
      <c r="E4453" t="s">
        <v>28038</v>
      </c>
      <c r="F4453" t="s">
        <v>108</v>
      </c>
      <c r="H4453" t="s">
        <v>28039</v>
      </c>
      <c r="I4453" t="s">
        <v>632</v>
      </c>
      <c r="J4453" t="s">
        <v>111</v>
      </c>
      <c r="K4453" t="str">
        <f>"85388"</f>
        <v>85388</v>
      </c>
      <c r="L4453" t="s">
        <v>4159</v>
      </c>
      <c r="M4453" t="s">
        <v>28039</v>
      </c>
      <c r="N4453" t="s">
        <v>632</v>
      </c>
      <c r="O4453" t="s">
        <v>111</v>
      </c>
      <c r="P4453" t="str">
        <f>"85388-3138"</f>
        <v>85388-3138</v>
      </c>
      <c r="Q4453" t="s">
        <v>113</v>
      </c>
      <c r="R4453" t="str">
        <f>"502-02-641"</f>
        <v>502-02-641</v>
      </c>
      <c r="S4453" t="s">
        <v>7225</v>
      </c>
      <c r="T4453" t="s">
        <v>7226</v>
      </c>
      <c r="U4453">
        <v>2388</v>
      </c>
      <c r="V4453">
        <v>0</v>
      </c>
      <c r="W4453">
        <v>3</v>
      </c>
      <c r="X4453">
        <v>2005</v>
      </c>
      <c r="Z4453">
        <v>2</v>
      </c>
      <c r="AB4453">
        <v>0</v>
      </c>
      <c r="AC4453" t="s">
        <v>115</v>
      </c>
      <c r="AD4453">
        <v>2</v>
      </c>
      <c r="AE4453" t="s">
        <v>115</v>
      </c>
      <c r="AF4453">
        <v>0</v>
      </c>
      <c r="AG4453">
        <v>0</v>
      </c>
      <c r="AH4453" t="s">
        <v>116</v>
      </c>
      <c r="AI4453" s="1">
        <v>66691</v>
      </c>
      <c r="AJ4453" s="2">
        <v>0.25</v>
      </c>
      <c r="AK4453" s="1">
        <v>267691</v>
      </c>
      <c r="AL4453" t="s">
        <v>117</v>
      </c>
      <c r="AM4453" t="s">
        <v>118</v>
      </c>
      <c r="AN4453">
        <v>4950</v>
      </c>
      <c r="AO4453">
        <v>0.11</v>
      </c>
      <c r="AR4453">
        <v>1</v>
      </c>
      <c r="AS4453" s="1">
        <v>18320</v>
      </c>
      <c r="AT4453" s="1">
        <v>3660</v>
      </c>
      <c r="AU4453" s="1">
        <v>14660</v>
      </c>
      <c r="AV4453">
        <v>80.02</v>
      </c>
      <c r="AX4453" s="1">
        <v>1532.18</v>
      </c>
      <c r="AY4453" t="s">
        <v>5168</v>
      </c>
      <c r="AZ4453" t="s">
        <v>5168</v>
      </c>
      <c r="BA4453" t="s">
        <v>5109</v>
      </c>
      <c r="BE4453" s="3">
        <v>42096</v>
      </c>
      <c r="BF4453" s="1">
        <v>174000</v>
      </c>
      <c r="BG4453" t="s">
        <v>28040</v>
      </c>
      <c r="BH4453" s="1">
        <v>72.86</v>
      </c>
      <c r="BI4453" s="1">
        <v>201000</v>
      </c>
      <c r="BJ4453" s="3">
        <v>43229</v>
      </c>
      <c r="BK4453" t="s">
        <v>123</v>
      </c>
      <c r="BL4453" t="str">
        <f>"2018.352522"</f>
        <v>2018.352522</v>
      </c>
      <c r="BM4453" t="s">
        <v>18509</v>
      </c>
      <c r="BN4453" t="s">
        <v>5843</v>
      </c>
      <c r="BO4453" t="s">
        <v>28041</v>
      </c>
      <c r="BP4453" t="s">
        <v>28042</v>
      </c>
      <c r="BR4453" t="s">
        <v>139</v>
      </c>
      <c r="BW4453" t="str">
        <f>""</f>
        <v/>
      </c>
      <c r="CH4453" t="str">
        <f>""</f>
        <v/>
      </c>
      <c r="CS4453" t="str">
        <f>""</f>
        <v/>
      </c>
    </row>
    <row r="4454" spans="1:97" x14ac:dyDescent="0.25">
      <c r="A4454" t="s">
        <v>991</v>
      </c>
      <c r="B4454" t="s">
        <v>28043</v>
      </c>
      <c r="E4454" t="s">
        <v>28044</v>
      </c>
      <c r="F4454" t="s">
        <v>108</v>
      </c>
      <c r="H4454" t="s">
        <v>28045</v>
      </c>
      <c r="I4454" t="s">
        <v>225</v>
      </c>
      <c r="J4454" t="s">
        <v>111</v>
      </c>
      <c r="K4454" t="str">
        <f>"85212"</f>
        <v>85212</v>
      </c>
      <c r="L4454" t="s">
        <v>5239</v>
      </c>
      <c r="M4454" t="s">
        <v>28045</v>
      </c>
      <c r="N4454" t="s">
        <v>225</v>
      </c>
      <c r="O4454" t="s">
        <v>111</v>
      </c>
      <c r="P4454" t="str">
        <f>"85212-4163"</f>
        <v>85212-4163</v>
      </c>
      <c r="Q4454" t="s">
        <v>113</v>
      </c>
      <c r="R4454" t="str">
        <f>"304-33-698"</f>
        <v>304-33-698</v>
      </c>
      <c r="S4454" t="s">
        <v>8661</v>
      </c>
      <c r="T4454" t="s">
        <v>8661</v>
      </c>
      <c r="U4454">
        <v>1693</v>
      </c>
      <c r="V4454">
        <v>0</v>
      </c>
      <c r="W4454">
        <v>3</v>
      </c>
      <c r="X4454">
        <v>2001</v>
      </c>
      <c r="Z4454">
        <v>1</v>
      </c>
      <c r="AA4454" t="s">
        <v>26</v>
      </c>
      <c r="AB4454">
        <v>0</v>
      </c>
      <c r="AC4454" t="s">
        <v>115</v>
      </c>
      <c r="AD4454">
        <v>3</v>
      </c>
      <c r="AE4454" t="s">
        <v>115</v>
      </c>
      <c r="AF4454">
        <v>0</v>
      </c>
      <c r="AG4454">
        <v>0</v>
      </c>
      <c r="AH4454" t="s">
        <v>116</v>
      </c>
      <c r="AI4454" s="1">
        <v>33631</v>
      </c>
      <c r="AJ4454" s="2">
        <v>0.09</v>
      </c>
      <c r="AK4454" s="1">
        <v>375833</v>
      </c>
      <c r="AL4454" t="s">
        <v>117</v>
      </c>
      <c r="AM4454" t="s">
        <v>393</v>
      </c>
      <c r="AN4454">
        <v>17504</v>
      </c>
      <c r="AO4454">
        <v>0.4</v>
      </c>
      <c r="AP4454">
        <v>1</v>
      </c>
      <c r="AR4454">
        <v>1</v>
      </c>
      <c r="AS4454" s="1">
        <v>27160</v>
      </c>
      <c r="AT4454" s="1">
        <v>5430</v>
      </c>
      <c r="AU4454" s="1">
        <v>21730</v>
      </c>
      <c r="AV4454">
        <v>80.010000000000005</v>
      </c>
      <c r="AX4454" s="1">
        <v>1708.4</v>
      </c>
      <c r="AY4454" t="s">
        <v>776</v>
      </c>
      <c r="AZ4454" t="s">
        <v>777</v>
      </c>
      <c r="BA4454" t="s">
        <v>572</v>
      </c>
      <c r="BE4454" s="3">
        <v>42521</v>
      </c>
      <c r="BF4454" s="1">
        <v>335000</v>
      </c>
      <c r="BG4454" t="s">
        <v>28046</v>
      </c>
      <c r="BH4454" s="1">
        <v>197.87</v>
      </c>
      <c r="BI4454" s="1">
        <v>342202</v>
      </c>
      <c r="BJ4454" s="3">
        <v>42521</v>
      </c>
      <c r="BK4454" t="s">
        <v>123</v>
      </c>
      <c r="BL4454" t="str">
        <f>"2016.376405"</f>
        <v>2016.376405</v>
      </c>
      <c r="BM4454" t="s">
        <v>9785</v>
      </c>
      <c r="BO4454" t="s">
        <v>28047</v>
      </c>
      <c r="BS4454">
        <v>30</v>
      </c>
      <c r="BW4454" t="str">
        <f>""</f>
        <v/>
      </c>
      <c r="CH4454" t="str">
        <f>""</f>
        <v/>
      </c>
      <c r="CS4454" t="str">
        <f>""</f>
        <v/>
      </c>
    </row>
    <row r="4455" spans="1:97" x14ac:dyDescent="0.25">
      <c r="A4455" t="s">
        <v>2729</v>
      </c>
      <c r="B4455" t="s">
        <v>11032</v>
      </c>
      <c r="C4455" t="s">
        <v>2793</v>
      </c>
      <c r="D4455" t="s">
        <v>11032</v>
      </c>
      <c r="E4455" t="s">
        <v>28048</v>
      </c>
      <c r="F4455" t="s">
        <v>108</v>
      </c>
      <c r="H4455" t="s">
        <v>28049</v>
      </c>
      <c r="I4455" t="s">
        <v>632</v>
      </c>
      <c r="J4455" t="s">
        <v>111</v>
      </c>
      <c r="K4455" t="str">
        <f>"85379"</f>
        <v>85379</v>
      </c>
      <c r="L4455" t="s">
        <v>6308</v>
      </c>
      <c r="M4455" t="s">
        <v>28049</v>
      </c>
      <c r="N4455" t="s">
        <v>632</v>
      </c>
      <c r="O4455" t="s">
        <v>111</v>
      </c>
      <c r="P4455" t="str">
        <f>"85379-6468"</f>
        <v>85379-6468</v>
      </c>
      <c r="Q4455" t="s">
        <v>113</v>
      </c>
      <c r="R4455" t="str">
        <f>"501-15-225"</f>
        <v>501-15-225</v>
      </c>
      <c r="S4455" t="s">
        <v>28050</v>
      </c>
      <c r="U4455">
        <v>1671</v>
      </c>
      <c r="V4455">
        <v>0</v>
      </c>
      <c r="W4455">
        <v>3</v>
      </c>
      <c r="X4455">
        <v>2000</v>
      </c>
      <c r="Z4455">
        <v>1</v>
      </c>
      <c r="AA4455" t="s">
        <v>26</v>
      </c>
      <c r="AB4455">
        <v>0</v>
      </c>
      <c r="AC4455" t="s">
        <v>115</v>
      </c>
      <c r="AD4455">
        <v>2</v>
      </c>
      <c r="AE4455" t="s">
        <v>115</v>
      </c>
      <c r="AF4455">
        <v>0</v>
      </c>
      <c r="AG4455">
        <v>0</v>
      </c>
      <c r="AH4455" t="s">
        <v>116</v>
      </c>
      <c r="AI4455" s="1">
        <v>12055</v>
      </c>
      <c r="AJ4455" s="2">
        <v>0.05</v>
      </c>
      <c r="AK4455" s="1">
        <v>253054</v>
      </c>
      <c r="AL4455" t="s">
        <v>117</v>
      </c>
      <c r="AM4455" t="s">
        <v>118</v>
      </c>
      <c r="AN4455">
        <v>6770</v>
      </c>
      <c r="AO4455">
        <v>0.16</v>
      </c>
      <c r="AP4455">
        <v>1</v>
      </c>
      <c r="AR4455">
        <v>1</v>
      </c>
      <c r="AS4455" s="1">
        <v>17510</v>
      </c>
      <c r="AT4455" s="1">
        <v>3500</v>
      </c>
      <c r="AU4455" s="1">
        <v>14010</v>
      </c>
      <c r="AV4455">
        <v>80.010000000000005</v>
      </c>
      <c r="AX4455" s="1">
        <v>1193.1600000000001</v>
      </c>
      <c r="AY4455" t="s">
        <v>9749</v>
      </c>
      <c r="AZ4455" t="s">
        <v>9749</v>
      </c>
      <c r="BA4455" t="s">
        <v>321</v>
      </c>
      <c r="BE4455" s="3">
        <v>41891</v>
      </c>
      <c r="BF4455" s="1">
        <v>174900</v>
      </c>
      <c r="BG4455" t="s">
        <v>28051</v>
      </c>
      <c r="BH4455" s="1">
        <v>104.67</v>
      </c>
      <c r="BI4455" s="1">
        <v>240999</v>
      </c>
      <c r="BJ4455" s="3">
        <v>43592</v>
      </c>
      <c r="BK4455" t="s">
        <v>123</v>
      </c>
      <c r="BL4455" t="str">
        <f>"2019.329028"</f>
        <v>2019.329028</v>
      </c>
      <c r="BM4455" t="s">
        <v>3562</v>
      </c>
      <c r="BN4455" t="s">
        <v>3686</v>
      </c>
      <c r="BO4455" t="s">
        <v>28052</v>
      </c>
      <c r="BP4455" t="s">
        <v>28053</v>
      </c>
      <c r="BR4455" t="s">
        <v>139</v>
      </c>
      <c r="BW4455" t="str">
        <f>""</f>
        <v/>
      </c>
      <c r="CH4455" t="str">
        <f>""</f>
        <v/>
      </c>
      <c r="CS4455" t="str">
        <f>""</f>
        <v/>
      </c>
    </row>
    <row r="4456" spans="1:97" x14ac:dyDescent="0.25">
      <c r="A4456" t="s">
        <v>28054</v>
      </c>
      <c r="B4456" t="s">
        <v>24679</v>
      </c>
      <c r="C4456" t="s">
        <v>713</v>
      </c>
      <c r="D4456" t="s">
        <v>24679</v>
      </c>
      <c r="E4456" t="s">
        <v>28055</v>
      </c>
      <c r="F4456" t="s">
        <v>108</v>
      </c>
      <c r="H4456" t="s">
        <v>28056</v>
      </c>
      <c r="I4456" t="s">
        <v>225</v>
      </c>
      <c r="J4456" t="s">
        <v>111</v>
      </c>
      <c r="K4456" t="str">
        <f>"85213"</f>
        <v>85213</v>
      </c>
      <c r="L4456" t="s">
        <v>226</v>
      </c>
      <c r="M4456" t="s">
        <v>28056</v>
      </c>
      <c r="N4456" t="s">
        <v>225</v>
      </c>
      <c r="O4456" t="s">
        <v>111</v>
      </c>
      <c r="P4456" t="str">
        <f>"85213-6959"</f>
        <v>85213-6959</v>
      </c>
      <c r="Q4456" t="s">
        <v>113</v>
      </c>
      <c r="R4456" t="str">
        <f>"140-11-357"</f>
        <v>140-11-357</v>
      </c>
      <c r="S4456" t="s">
        <v>16481</v>
      </c>
      <c r="T4456" t="s">
        <v>16482</v>
      </c>
      <c r="U4456">
        <v>2150</v>
      </c>
      <c r="V4456">
        <v>0</v>
      </c>
      <c r="W4456">
        <v>3</v>
      </c>
      <c r="X4456">
        <v>1984</v>
      </c>
      <c r="Z4456">
        <v>1</v>
      </c>
      <c r="AA4456" t="s">
        <v>26</v>
      </c>
      <c r="AB4456">
        <v>0</v>
      </c>
      <c r="AC4456" t="s">
        <v>115</v>
      </c>
      <c r="AD4456">
        <v>2</v>
      </c>
      <c r="AE4456" t="s">
        <v>115</v>
      </c>
      <c r="AF4456">
        <v>0</v>
      </c>
      <c r="AG4456">
        <v>0</v>
      </c>
      <c r="AH4456" t="s">
        <v>116</v>
      </c>
      <c r="AI4456" s="1">
        <v>70036</v>
      </c>
      <c r="AJ4456" s="2">
        <v>0.2</v>
      </c>
      <c r="AK4456" s="1">
        <v>345506</v>
      </c>
      <c r="AL4456" t="s">
        <v>117</v>
      </c>
      <c r="AM4456" t="s">
        <v>917</v>
      </c>
      <c r="AN4456">
        <v>9205</v>
      </c>
      <c r="AO4456">
        <v>0.21</v>
      </c>
      <c r="AP4456">
        <v>1</v>
      </c>
      <c r="AR4456">
        <v>1</v>
      </c>
      <c r="AS4456" s="1">
        <v>23310</v>
      </c>
      <c r="AT4456" s="1">
        <v>4660</v>
      </c>
      <c r="AU4456" s="1">
        <v>18650</v>
      </c>
      <c r="AV4456">
        <v>80.010000000000005</v>
      </c>
      <c r="AX4456" s="1">
        <v>1646.62</v>
      </c>
      <c r="AY4456" t="s">
        <v>7654</v>
      </c>
      <c r="AZ4456" t="s">
        <v>1523</v>
      </c>
      <c r="BA4456" t="s">
        <v>1524</v>
      </c>
      <c r="BE4456" s="3">
        <v>42201</v>
      </c>
      <c r="BF4456" s="1">
        <v>289900</v>
      </c>
      <c r="BG4456" t="s">
        <v>28057</v>
      </c>
      <c r="BH4456" s="1">
        <v>134.84</v>
      </c>
      <c r="BI4456" s="1">
        <v>275470</v>
      </c>
      <c r="BJ4456" s="3">
        <v>42691</v>
      </c>
      <c r="BK4456" t="s">
        <v>123</v>
      </c>
      <c r="BL4456" t="str">
        <f>"2016.847917"</f>
        <v>2016.847917</v>
      </c>
      <c r="BM4456" t="s">
        <v>2683</v>
      </c>
      <c r="BO4456" t="s">
        <v>28058</v>
      </c>
      <c r="BS4456">
        <v>30</v>
      </c>
      <c r="BW4456" t="str">
        <f>""</f>
        <v/>
      </c>
      <c r="CH4456" t="str">
        <f>""</f>
        <v/>
      </c>
      <c r="CS4456" t="str">
        <f>""</f>
        <v/>
      </c>
    </row>
    <row r="4457" spans="1:97" x14ac:dyDescent="0.25">
      <c r="A4457" t="s">
        <v>325</v>
      </c>
      <c r="B4457" t="s">
        <v>28059</v>
      </c>
      <c r="C4457" t="s">
        <v>1047</v>
      </c>
      <c r="D4457" t="s">
        <v>28059</v>
      </c>
      <c r="E4457" t="s">
        <v>28060</v>
      </c>
      <c r="F4457" t="s">
        <v>108</v>
      </c>
      <c r="H4457" t="s">
        <v>28061</v>
      </c>
      <c r="I4457" t="s">
        <v>203</v>
      </c>
      <c r="J4457" t="s">
        <v>111</v>
      </c>
      <c r="K4457" t="str">
        <f>"85296"</f>
        <v>85296</v>
      </c>
      <c r="L4457" t="s">
        <v>9060</v>
      </c>
      <c r="M4457" t="s">
        <v>28061</v>
      </c>
      <c r="N4457" t="s">
        <v>203</v>
      </c>
      <c r="O4457" t="s">
        <v>111</v>
      </c>
      <c r="P4457" t="str">
        <f>"85296-9723"</f>
        <v>85296-9723</v>
      </c>
      <c r="Q4457" t="s">
        <v>113</v>
      </c>
      <c r="R4457" t="str">
        <f>"304-25-594"</f>
        <v>304-25-594</v>
      </c>
      <c r="S4457" t="s">
        <v>28062</v>
      </c>
      <c r="T4457" t="s">
        <v>9527</v>
      </c>
      <c r="U4457">
        <v>1809</v>
      </c>
      <c r="V4457">
        <v>0</v>
      </c>
      <c r="W4457">
        <v>3</v>
      </c>
      <c r="X4457">
        <v>1997</v>
      </c>
      <c r="Z4457">
        <v>1</v>
      </c>
      <c r="AA4457" t="s">
        <v>26</v>
      </c>
      <c r="AB4457">
        <v>0</v>
      </c>
      <c r="AC4457" t="s">
        <v>115</v>
      </c>
      <c r="AD4457">
        <v>3</v>
      </c>
      <c r="AE4457" t="s">
        <v>115</v>
      </c>
      <c r="AF4457">
        <v>0</v>
      </c>
      <c r="AG4457">
        <v>0</v>
      </c>
      <c r="AH4457" t="s">
        <v>116</v>
      </c>
      <c r="AI4457" s="1">
        <v>73813</v>
      </c>
      <c r="AJ4457" s="2">
        <v>0.21</v>
      </c>
      <c r="AK4457" s="1">
        <v>351813</v>
      </c>
      <c r="AL4457" t="s">
        <v>117</v>
      </c>
      <c r="AM4457" t="s">
        <v>393</v>
      </c>
      <c r="AN4457">
        <v>7545</v>
      </c>
      <c r="AO4457">
        <v>0.17</v>
      </c>
      <c r="AP4457">
        <v>1</v>
      </c>
      <c r="AR4457">
        <v>1</v>
      </c>
      <c r="AS4457" s="1">
        <v>24960</v>
      </c>
      <c r="AT4457" s="1">
        <v>4990</v>
      </c>
      <c r="AU4457" s="1">
        <v>19970</v>
      </c>
      <c r="AV4457">
        <v>80.010000000000005</v>
      </c>
      <c r="AX4457" s="1">
        <v>1711.52</v>
      </c>
      <c r="AY4457" t="s">
        <v>7837</v>
      </c>
      <c r="AZ4457" t="s">
        <v>207</v>
      </c>
      <c r="BA4457" t="s">
        <v>208</v>
      </c>
      <c r="BE4457" s="3">
        <v>42396</v>
      </c>
      <c r="BF4457" s="1">
        <v>284000</v>
      </c>
      <c r="BG4457" t="s">
        <v>28063</v>
      </c>
      <c r="BH4457" s="1">
        <v>156.99</v>
      </c>
      <c r="BI4457" s="1">
        <v>278000</v>
      </c>
      <c r="BJ4457" s="3">
        <v>42396</v>
      </c>
      <c r="BK4457" t="s">
        <v>123</v>
      </c>
      <c r="BL4457" t="str">
        <f>"2016.55538"</f>
        <v>2016.55538</v>
      </c>
      <c r="BM4457" t="s">
        <v>135</v>
      </c>
      <c r="BO4457" t="s">
        <v>28064</v>
      </c>
      <c r="BS4457">
        <v>30</v>
      </c>
      <c r="BW4457" t="str">
        <f>""</f>
        <v/>
      </c>
      <c r="CH4457" t="str">
        <f>""</f>
        <v/>
      </c>
      <c r="CS4457" t="str">
        <f>""</f>
        <v/>
      </c>
    </row>
    <row r="4458" spans="1:97" x14ac:dyDescent="0.25">
      <c r="B4458" t="s">
        <v>28065</v>
      </c>
      <c r="E4458" t="s">
        <v>28066</v>
      </c>
      <c r="F4458" t="s">
        <v>108</v>
      </c>
      <c r="H4458" t="s">
        <v>28067</v>
      </c>
      <c r="I4458" t="s">
        <v>453</v>
      </c>
      <c r="J4458" t="s">
        <v>111</v>
      </c>
      <c r="K4458" t="str">
        <f>"85381"</f>
        <v>85381</v>
      </c>
      <c r="L4458" t="s">
        <v>2963</v>
      </c>
      <c r="M4458" t="s">
        <v>28067</v>
      </c>
      <c r="N4458" t="s">
        <v>453</v>
      </c>
      <c r="O4458" t="s">
        <v>111</v>
      </c>
      <c r="P4458" t="str">
        <f>"85381-8116"</f>
        <v>85381-8116</v>
      </c>
      <c r="Q4458" t="s">
        <v>113</v>
      </c>
      <c r="R4458" t="str">
        <f>"200-79-379"</f>
        <v>200-79-379</v>
      </c>
      <c r="S4458" t="s">
        <v>5627</v>
      </c>
      <c r="T4458" t="s">
        <v>5628</v>
      </c>
      <c r="U4458">
        <v>1850</v>
      </c>
      <c r="V4458">
        <v>0</v>
      </c>
      <c r="W4458">
        <v>3</v>
      </c>
      <c r="X4458">
        <v>1989</v>
      </c>
      <c r="Z4458">
        <v>1</v>
      </c>
      <c r="AB4458">
        <v>0</v>
      </c>
      <c r="AC4458" t="s">
        <v>115</v>
      </c>
      <c r="AD4458">
        <v>3</v>
      </c>
      <c r="AE4458" t="s">
        <v>115</v>
      </c>
      <c r="AF4458">
        <v>0</v>
      </c>
      <c r="AG4458">
        <v>0</v>
      </c>
      <c r="AH4458" t="s">
        <v>116</v>
      </c>
      <c r="AI4458" s="1">
        <v>75073</v>
      </c>
      <c r="AJ4458" s="2">
        <v>0.27</v>
      </c>
      <c r="AK4458" s="1">
        <v>280073</v>
      </c>
      <c r="AL4458" t="s">
        <v>117</v>
      </c>
      <c r="AM4458" t="s">
        <v>3345</v>
      </c>
      <c r="AN4458">
        <v>6996</v>
      </c>
      <c r="AO4458">
        <v>0.16</v>
      </c>
      <c r="AP4458">
        <v>1</v>
      </c>
      <c r="AR4458">
        <v>1</v>
      </c>
      <c r="AS4458" s="1">
        <v>19710</v>
      </c>
      <c r="AT4458" s="1">
        <v>3940</v>
      </c>
      <c r="AU4458" s="1">
        <v>15770</v>
      </c>
      <c r="AV4458">
        <v>80.010000000000005</v>
      </c>
      <c r="AX4458" s="1">
        <v>1494.62</v>
      </c>
      <c r="AY4458" t="s">
        <v>5629</v>
      </c>
      <c r="AZ4458" t="s">
        <v>5629</v>
      </c>
      <c r="BA4458" t="s">
        <v>4007</v>
      </c>
      <c r="BB4458" s="3">
        <v>43691</v>
      </c>
      <c r="BC4458" s="1">
        <v>0</v>
      </c>
      <c r="BD4458" t="s">
        <v>247</v>
      </c>
      <c r="BE4458" s="3">
        <v>42079</v>
      </c>
      <c r="BF4458" s="1">
        <v>205000</v>
      </c>
      <c r="BG4458" t="s">
        <v>28068</v>
      </c>
      <c r="BH4458" s="1">
        <v>110.81</v>
      </c>
      <c r="BI4458" s="1">
        <v>205000</v>
      </c>
      <c r="BJ4458" s="3">
        <v>42079</v>
      </c>
      <c r="BK4458" t="s">
        <v>123</v>
      </c>
      <c r="BL4458" t="str">
        <f>"2015.174144"</f>
        <v>2015.174144</v>
      </c>
      <c r="BM4458" t="s">
        <v>1038</v>
      </c>
      <c r="BN4458" t="s">
        <v>132</v>
      </c>
      <c r="BO4458" t="s">
        <v>28069</v>
      </c>
      <c r="BS4458">
        <v>30</v>
      </c>
      <c r="BW4458" t="str">
        <f>""</f>
        <v/>
      </c>
      <c r="CH4458" t="str">
        <f>""</f>
        <v/>
      </c>
      <c r="CS4458" t="str">
        <f>""</f>
        <v/>
      </c>
    </row>
    <row r="4459" spans="1:97" x14ac:dyDescent="0.25">
      <c r="A4459" t="s">
        <v>305</v>
      </c>
      <c r="B4459" t="s">
        <v>28070</v>
      </c>
      <c r="C4459" t="s">
        <v>1547</v>
      </c>
      <c r="D4459" t="s">
        <v>28071</v>
      </c>
      <c r="E4459" t="s">
        <v>28072</v>
      </c>
      <c r="F4459" t="s">
        <v>108</v>
      </c>
      <c r="H4459" t="s">
        <v>28073</v>
      </c>
      <c r="I4459" t="s">
        <v>2874</v>
      </c>
      <c r="J4459" t="s">
        <v>111</v>
      </c>
      <c r="K4459" t="str">
        <f>"85304"</f>
        <v>85304</v>
      </c>
      <c r="L4459" t="s">
        <v>5228</v>
      </c>
      <c r="M4459" t="s">
        <v>28073</v>
      </c>
      <c r="N4459" t="s">
        <v>2874</v>
      </c>
      <c r="O4459" t="s">
        <v>111</v>
      </c>
      <c r="P4459" t="str">
        <f>"85304-3546"</f>
        <v>85304-3546</v>
      </c>
      <c r="Q4459" t="s">
        <v>113</v>
      </c>
      <c r="R4459" t="str">
        <f>"148-01-243"</f>
        <v>148-01-243</v>
      </c>
      <c r="S4459" t="s">
        <v>10885</v>
      </c>
      <c r="T4459" t="s">
        <v>10886</v>
      </c>
      <c r="U4459">
        <v>1558</v>
      </c>
      <c r="V4459">
        <v>0</v>
      </c>
      <c r="W4459">
        <v>2</v>
      </c>
      <c r="X4459">
        <v>1972</v>
      </c>
      <c r="Z4459">
        <v>1</v>
      </c>
      <c r="AB4459">
        <v>0</v>
      </c>
      <c r="AC4459" t="s">
        <v>115</v>
      </c>
      <c r="AD4459">
        <v>2</v>
      </c>
      <c r="AE4459" t="s">
        <v>115</v>
      </c>
      <c r="AF4459">
        <v>0</v>
      </c>
      <c r="AG4459">
        <v>0</v>
      </c>
      <c r="AH4459" t="s">
        <v>116</v>
      </c>
      <c r="AI4459" s="1">
        <v>20827</v>
      </c>
      <c r="AJ4459" s="2">
        <v>0.09</v>
      </c>
      <c r="AK4459" s="1">
        <v>227427</v>
      </c>
      <c r="AL4459" t="s">
        <v>117</v>
      </c>
      <c r="AM4459" t="s">
        <v>191</v>
      </c>
      <c r="AN4459">
        <v>6481</v>
      </c>
      <c r="AO4459">
        <v>0.15</v>
      </c>
      <c r="AP4459">
        <v>1</v>
      </c>
      <c r="AR4459">
        <v>1</v>
      </c>
      <c r="AS4459" s="1">
        <v>14360</v>
      </c>
      <c r="AT4459" s="1">
        <v>2870</v>
      </c>
      <c r="AU4459" s="1">
        <v>11490</v>
      </c>
      <c r="AV4459">
        <v>80.010000000000005</v>
      </c>
      <c r="AX4459" s="1">
        <v>958.16</v>
      </c>
      <c r="AY4459" t="s">
        <v>10887</v>
      </c>
      <c r="AZ4459" t="s">
        <v>6986</v>
      </c>
      <c r="BA4459" t="s">
        <v>10888</v>
      </c>
      <c r="BE4459" s="3">
        <v>41960</v>
      </c>
      <c r="BF4459" s="1">
        <v>147000</v>
      </c>
      <c r="BG4459" t="s">
        <v>28074</v>
      </c>
      <c r="BH4459" s="1">
        <v>91.99</v>
      </c>
      <c r="BI4459" s="1">
        <v>206600</v>
      </c>
      <c r="BJ4459" s="3">
        <v>43082</v>
      </c>
      <c r="BK4459" t="s">
        <v>123</v>
      </c>
      <c r="BL4459" t="str">
        <f>"2017.922567"</f>
        <v>2017.922567</v>
      </c>
      <c r="BM4459" t="s">
        <v>28075</v>
      </c>
      <c r="BO4459" t="s">
        <v>28076</v>
      </c>
      <c r="BP4459" t="s">
        <v>28077</v>
      </c>
      <c r="BS4459">
        <v>31</v>
      </c>
      <c r="BW4459" t="str">
        <f>""</f>
        <v/>
      </c>
      <c r="CH4459" t="str">
        <f>""</f>
        <v/>
      </c>
      <c r="CS4459" t="str">
        <f>""</f>
        <v/>
      </c>
    </row>
    <row r="4460" spans="1:97" x14ac:dyDescent="0.25">
      <c r="A4460" t="s">
        <v>4221</v>
      </c>
      <c r="B4460" t="s">
        <v>8459</v>
      </c>
      <c r="C4460" t="s">
        <v>1649</v>
      </c>
      <c r="D4460" t="s">
        <v>8459</v>
      </c>
      <c r="E4460" t="s">
        <v>28078</v>
      </c>
      <c r="F4460" t="s">
        <v>108</v>
      </c>
      <c r="H4460" t="s">
        <v>28079</v>
      </c>
      <c r="I4460" t="s">
        <v>1788</v>
      </c>
      <c r="J4460" t="s">
        <v>111</v>
      </c>
      <c r="K4460" t="str">
        <f>"85355"</f>
        <v>85355</v>
      </c>
      <c r="L4460" t="s">
        <v>168</v>
      </c>
      <c r="M4460" t="s">
        <v>28079</v>
      </c>
      <c r="N4460" t="s">
        <v>1788</v>
      </c>
      <c r="O4460" t="s">
        <v>111</v>
      </c>
      <c r="P4460" t="str">
        <f>"85355-4459"</f>
        <v>85355-4459</v>
      </c>
      <c r="R4460" t="str">
        <f>"502-90-483"</f>
        <v>502-90-483</v>
      </c>
      <c r="S4460" t="s">
        <v>8290</v>
      </c>
      <c r="T4460" t="s">
        <v>8290</v>
      </c>
      <c r="U4460">
        <v>2507</v>
      </c>
      <c r="V4460">
        <v>0</v>
      </c>
      <c r="W4460">
        <v>4</v>
      </c>
      <c r="X4460">
        <v>2014</v>
      </c>
      <c r="Z4460">
        <v>1</v>
      </c>
      <c r="AA4460" t="s">
        <v>26</v>
      </c>
      <c r="AB4460">
        <v>0</v>
      </c>
      <c r="AC4460" t="s">
        <v>115</v>
      </c>
      <c r="AD4460">
        <v>3</v>
      </c>
      <c r="AE4460" t="s">
        <v>115</v>
      </c>
      <c r="AF4460">
        <v>0</v>
      </c>
      <c r="AG4460">
        <v>0</v>
      </c>
      <c r="AH4460" t="s">
        <v>116</v>
      </c>
      <c r="AI4460" s="1">
        <v>26792</v>
      </c>
      <c r="AJ4460" s="2">
        <v>0.09</v>
      </c>
      <c r="AK4460" s="1">
        <v>283527</v>
      </c>
      <c r="AL4460" t="s">
        <v>117</v>
      </c>
      <c r="AM4460" t="s">
        <v>191</v>
      </c>
      <c r="AN4460">
        <v>8750</v>
      </c>
      <c r="AO4460">
        <v>0.2</v>
      </c>
      <c r="AR4460">
        <v>1</v>
      </c>
      <c r="AS4460" s="1">
        <v>27610</v>
      </c>
      <c r="AT4460" s="1">
        <v>5520</v>
      </c>
      <c r="AU4460" s="1">
        <v>22090</v>
      </c>
      <c r="AV4460">
        <v>80.010000000000005</v>
      </c>
      <c r="AX4460" s="1">
        <v>1695.48</v>
      </c>
      <c r="AY4460" t="s">
        <v>5972</v>
      </c>
      <c r="AZ4460" t="s">
        <v>5972</v>
      </c>
      <c r="BA4460" t="s">
        <v>5061</v>
      </c>
      <c r="BE4460" s="3">
        <v>41897</v>
      </c>
      <c r="BF4460" s="1">
        <v>283566</v>
      </c>
      <c r="BG4460" t="s">
        <v>158</v>
      </c>
      <c r="BH4460" s="1">
        <v>113.11</v>
      </c>
      <c r="BI4460" s="1">
        <v>256735</v>
      </c>
      <c r="BJ4460" s="3">
        <v>41897</v>
      </c>
      <c r="BK4460" t="s">
        <v>123</v>
      </c>
      <c r="BL4460" t="str">
        <f>"2014.608702"</f>
        <v>2014.608702</v>
      </c>
      <c r="BM4460" t="s">
        <v>241</v>
      </c>
      <c r="BN4460" t="s">
        <v>1025</v>
      </c>
      <c r="BO4460" t="s">
        <v>28080</v>
      </c>
      <c r="BS4460">
        <v>30</v>
      </c>
      <c r="BW4460" t="str">
        <f>""</f>
        <v/>
      </c>
      <c r="CH4460" t="str">
        <f>""</f>
        <v/>
      </c>
      <c r="CS4460" t="str">
        <f>""</f>
        <v/>
      </c>
    </row>
    <row r="4461" spans="1:97" x14ac:dyDescent="0.25">
      <c r="A4461" t="s">
        <v>2485</v>
      </c>
      <c r="B4461" t="s">
        <v>16935</v>
      </c>
      <c r="E4461" t="s">
        <v>28081</v>
      </c>
      <c r="F4461" t="s">
        <v>139</v>
      </c>
      <c r="H4461" t="s">
        <v>28082</v>
      </c>
      <c r="I4461" t="s">
        <v>1936</v>
      </c>
      <c r="J4461" t="s">
        <v>111</v>
      </c>
      <c r="K4461" t="str">
        <f>"85257"</f>
        <v>85257</v>
      </c>
      <c r="L4461" t="s">
        <v>6169</v>
      </c>
      <c r="M4461" t="s">
        <v>28083</v>
      </c>
      <c r="N4461" t="s">
        <v>1936</v>
      </c>
      <c r="O4461" t="s">
        <v>111</v>
      </c>
      <c r="P4461" t="str">
        <f>"85257-3756"</f>
        <v>85257-3756</v>
      </c>
      <c r="Q4461" t="s">
        <v>113</v>
      </c>
      <c r="R4461" t="str">
        <f>"131-11-191"</f>
        <v>131-11-191</v>
      </c>
      <c r="S4461" t="s">
        <v>19994</v>
      </c>
      <c r="T4461" t="s">
        <v>19994</v>
      </c>
      <c r="U4461">
        <v>1937</v>
      </c>
      <c r="V4461">
        <v>0</v>
      </c>
      <c r="W4461">
        <v>2</v>
      </c>
      <c r="X4461">
        <v>1958</v>
      </c>
      <c r="Z4461">
        <v>1</v>
      </c>
      <c r="AB4461">
        <v>0</v>
      </c>
      <c r="AC4461" t="s">
        <v>7038</v>
      </c>
      <c r="AD4461">
        <v>0</v>
      </c>
      <c r="AE4461" t="s">
        <v>7038</v>
      </c>
      <c r="AF4461">
        <v>0</v>
      </c>
      <c r="AG4461">
        <v>0</v>
      </c>
      <c r="AH4461" t="s">
        <v>116</v>
      </c>
      <c r="AI4461" s="1">
        <v>32125</v>
      </c>
      <c r="AJ4461" s="2">
        <v>0.09</v>
      </c>
      <c r="AK4461" s="1">
        <v>358704</v>
      </c>
      <c r="AL4461" t="s">
        <v>117</v>
      </c>
      <c r="AM4461" t="s">
        <v>393</v>
      </c>
      <c r="AN4461">
        <v>6258</v>
      </c>
      <c r="AO4461">
        <v>0.14000000000000001</v>
      </c>
      <c r="AP4461">
        <v>1</v>
      </c>
      <c r="AR4461">
        <v>1</v>
      </c>
      <c r="AS4461" s="1">
        <v>25300</v>
      </c>
      <c r="AT4461" s="1">
        <v>5060</v>
      </c>
      <c r="AU4461" s="1">
        <v>20240</v>
      </c>
      <c r="AV4461">
        <v>80</v>
      </c>
      <c r="AX4461" s="1">
        <v>1058.8599999999999</v>
      </c>
      <c r="AY4461" t="s">
        <v>8392</v>
      </c>
      <c r="AZ4461" t="s">
        <v>5420</v>
      </c>
      <c r="BA4461" t="s">
        <v>5421</v>
      </c>
      <c r="BE4461" s="3">
        <v>41949</v>
      </c>
      <c r="BF4461" s="1">
        <v>231500</v>
      </c>
      <c r="BG4461" t="s">
        <v>28084</v>
      </c>
      <c r="BH4461" s="1">
        <v>119.51</v>
      </c>
      <c r="BI4461" s="1">
        <v>229079</v>
      </c>
      <c r="BJ4461" s="3">
        <v>42565</v>
      </c>
      <c r="BK4461" t="s">
        <v>123</v>
      </c>
      <c r="BL4461" t="str">
        <f>"2016.496844"</f>
        <v>2016.496844</v>
      </c>
      <c r="BM4461" t="s">
        <v>402</v>
      </c>
      <c r="BN4461" t="s">
        <v>461</v>
      </c>
      <c r="BO4461" t="s">
        <v>28085</v>
      </c>
      <c r="BS4461">
        <v>30</v>
      </c>
      <c r="BT4461" s="1">
        <v>97500</v>
      </c>
      <c r="BU4461" s="3">
        <v>43315</v>
      </c>
      <c r="BW4461" t="str">
        <f>"2018.591798"</f>
        <v>2018.591798</v>
      </c>
      <c r="BX4461" t="s">
        <v>135</v>
      </c>
      <c r="BY4461" t="s">
        <v>136</v>
      </c>
      <c r="BZ4461" t="s">
        <v>28086</v>
      </c>
      <c r="CC4461" t="s">
        <v>346</v>
      </c>
      <c r="CH4461" t="str">
        <f>""</f>
        <v/>
      </c>
      <c r="CS4461" t="str">
        <f>""</f>
        <v/>
      </c>
    </row>
    <row r="4462" spans="1:97" x14ac:dyDescent="0.25">
      <c r="A4462" t="s">
        <v>28087</v>
      </c>
      <c r="B4462" t="s">
        <v>28088</v>
      </c>
      <c r="E4462" t="s">
        <v>28089</v>
      </c>
      <c r="F4462" t="s">
        <v>108</v>
      </c>
      <c r="H4462" t="s">
        <v>28090</v>
      </c>
      <c r="I4462" t="s">
        <v>390</v>
      </c>
      <c r="J4462" t="s">
        <v>111</v>
      </c>
      <c r="K4462" t="str">
        <f>"85014"</f>
        <v>85014</v>
      </c>
      <c r="L4462" t="s">
        <v>5539</v>
      </c>
      <c r="M4462" t="s">
        <v>28090</v>
      </c>
      <c r="N4462" t="s">
        <v>390</v>
      </c>
      <c r="O4462" t="s">
        <v>111</v>
      </c>
      <c r="P4462" t="str">
        <f>"85014-2244"</f>
        <v>85014-2244</v>
      </c>
      <c r="Q4462" t="s">
        <v>113</v>
      </c>
      <c r="R4462" t="str">
        <f>"162-07-008"</f>
        <v>162-07-008</v>
      </c>
      <c r="S4462" t="s">
        <v>28091</v>
      </c>
      <c r="T4462" t="s">
        <v>9632</v>
      </c>
      <c r="U4462">
        <v>1150</v>
      </c>
      <c r="V4462">
        <v>0</v>
      </c>
      <c r="W4462">
        <v>1</v>
      </c>
      <c r="X4462">
        <v>1952</v>
      </c>
      <c r="Z4462">
        <v>1</v>
      </c>
      <c r="AB4462">
        <v>0</v>
      </c>
      <c r="AC4462" t="s">
        <v>7038</v>
      </c>
      <c r="AD4462">
        <v>0</v>
      </c>
      <c r="AE4462" t="s">
        <v>7038</v>
      </c>
      <c r="AF4462">
        <v>0</v>
      </c>
      <c r="AG4462">
        <v>0</v>
      </c>
      <c r="AH4462" t="s">
        <v>5467</v>
      </c>
      <c r="AI4462" s="1">
        <v>77834</v>
      </c>
      <c r="AJ4462" s="2">
        <v>0.24</v>
      </c>
      <c r="AK4462" s="1">
        <v>322834</v>
      </c>
      <c r="AL4462" t="s">
        <v>117</v>
      </c>
      <c r="AM4462" t="s">
        <v>191</v>
      </c>
      <c r="AN4462">
        <v>7105</v>
      </c>
      <c r="AO4462">
        <v>0.16</v>
      </c>
      <c r="AP4462">
        <v>1</v>
      </c>
      <c r="AR4462">
        <v>1</v>
      </c>
      <c r="AS4462" s="1">
        <v>20630</v>
      </c>
      <c r="AT4462" s="1">
        <v>4120</v>
      </c>
      <c r="AU4462" s="1">
        <v>16510</v>
      </c>
      <c r="AV4462">
        <v>80.03</v>
      </c>
      <c r="AX4462" s="1">
        <v>1683.32</v>
      </c>
      <c r="AY4462" t="s">
        <v>6998</v>
      </c>
      <c r="AZ4462" t="s">
        <v>6254</v>
      </c>
      <c r="BA4462" t="s">
        <v>5469</v>
      </c>
      <c r="BE4462" s="3">
        <v>42496</v>
      </c>
      <c r="BF4462" s="1">
        <v>245000</v>
      </c>
      <c r="BG4462" t="s">
        <v>28092</v>
      </c>
      <c r="BH4462" s="1">
        <v>213.04</v>
      </c>
      <c r="BI4462" s="1">
        <v>245000</v>
      </c>
      <c r="BJ4462" s="3">
        <v>42496</v>
      </c>
      <c r="BK4462" t="s">
        <v>123</v>
      </c>
      <c r="BL4462" t="str">
        <f>"2016.311021"</f>
        <v>2016.311021</v>
      </c>
      <c r="BM4462" t="s">
        <v>1287</v>
      </c>
      <c r="BO4462" t="s">
        <v>28093</v>
      </c>
      <c r="BS4462">
        <v>30</v>
      </c>
      <c r="BW4462" t="str">
        <f>""</f>
        <v/>
      </c>
      <c r="CH4462" t="str">
        <f>""</f>
        <v/>
      </c>
      <c r="CS4462" t="str">
        <f>""</f>
        <v/>
      </c>
    </row>
    <row r="4463" spans="1:97" x14ac:dyDescent="0.25">
      <c r="A4463" t="s">
        <v>16151</v>
      </c>
      <c r="B4463" t="s">
        <v>7387</v>
      </c>
      <c r="C4463" t="s">
        <v>7190</v>
      </c>
      <c r="D4463" t="s">
        <v>7387</v>
      </c>
      <c r="E4463" t="s">
        <v>28094</v>
      </c>
      <c r="F4463" t="s">
        <v>108</v>
      </c>
      <c r="H4463" t="s">
        <v>28095</v>
      </c>
      <c r="I4463" t="s">
        <v>390</v>
      </c>
      <c r="J4463" t="s">
        <v>111</v>
      </c>
      <c r="K4463" t="str">
        <f>"85029"</f>
        <v>85029</v>
      </c>
      <c r="L4463" t="s">
        <v>3430</v>
      </c>
      <c r="M4463" t="s">
        <v>28095</v>
      </c>
      <c r="N4463" t="s">
        <v>390</v>
      </c>
      <c r="O4463" t="s">
        <v>111</v>
      </c>
      <c r="P4463" t="str">
        <f>"85029-5180"</f>
        <v>85029-5180</v>
      </c>
      <c r="Q4463" t="s">
        <v>113</v>
      </c>
      <c r="R4463" t="str">
        <f>"159-15-041-C"</f>
        <v>159-15-041-C</v>
      </c>
      <c r="U4463">
        <v>1944</v>
      </c>
      <c r="V4463">
        <v>0</v>
      </c>
      <c r="W4463">
        <v>2</v>
      </c>
      <c r="X4463">
        <v>1971</v>
      </c>
      <c r="Z4463">
        <v>2</v>
      </c>
      <c r="AB4463">
        <v>0</v>
      </c>
      <c r="AC4463" t="s">
        <v>7038</v>
      </c>
      <c r="AD4463">
        <v>0</v>
      </c>
      <c r="AE4463" t="s">
        <v>7038</v>
      </c>
      <c r="AF4463">
        <v>0</v>
      </c>
      <c r="AG4463">
        <v>0</v>
      </c>
      <c r="AH4463" t="s">
        <v>116</v>
      </c>
      <c r="AI4463" s="1">
        <v>57026</v>
      </c>
      <c r="AJ4463" s="2">
        <v>0.17</v>
      </c>
      <c r="AK4463" s="1">
        <v>331809</v>
      </c>
      <c r="AL4463" t="s">
        <v>117</v>
      </c>
      <c r="AM4463" t="s">
        <v>3345</v>
      </c>
      <c r="AN4463">
        <v>24002</v>
      </c>
      <c r="AO4463">
        <v>0.55000000000000004</v>
      </c>
      <c r="AP4463">
        <v>1</v>
      </c>
      <c r="AR4463">
        <v>1</v>
      </c>
      <c r="AS4463" s="1">
        <v>21310</v>
      </c>
      <c r="AT4463" s="1">
        <v>4260</v>
      </c>
      <c r="AU4463" s="1">
        <v>17050</v>
      </c>
      <c r="AV4463">
        <v>80.010000000000005</v>
      </c>
      <c r="AX4463" s="1">
        <v>855.54</v>
      </c>
      <c r="AY4463" t="s">
        <v>28096</v>
      </c>
      <c r="AZ4463" t="s">
        <v>23094</v>
      </c>
      <c r="BA4463" t="s">
        <v>6149</v>
      </c>
      <c r="BE4463" s="3">
        <v>42065</v>
      </c>
      <c r="BF4463" s="1">
        <v>269000</v>
      </c>
      <c r="BG4463" t="s">
        <v>28097</v>
      </c>
      <c r="BH4463" s="1">
        <v>138.37</v>
      </c>
      <c r="BI4463" s="1">
        <v>274783</v>
      </c>
      <c r="BJ4463" s="3">
        <v>42065</v>
      </c>
      <c r="BK4463" t="s">
        <v>123</v>
      </c>
      <c r="BL4463" t="str">
        <f>"2015.139008"</f>
        <v>2015.139008</v>
      </c>
      <c r="BM4463" t="s">
        <v>1038</v>
      </c>
      <c r="BO4463" t="s">
        <v>28098</v>
      </c>
      <c r="BS4463">
        <v>30</v>
      </c>
      <c r="BW4463" t="str">
        <f>""</f>
        <v/>
      </c>
      <c r="CH4463" t="str">
        <f>""</f>
        <v/>
      </c>
      <c r="CS4463" t="str">
        <f>""</f>
        <v/>
      </c>
    </row>
    <row r="4464" spans="1:97" x14ac:dyDescent="0.25">
      <c r="A4464" t="s">
        <v>2395</v>
      </c>
      <c r="B4464" t="s">
        <v>28099</v>
      </c>
      <c r="C4464" t="s">
        <v>1009</v>
      </c>
      <c r="D4464" t="s">
        <v>28099</v>
      </c>
      <c r="E4464" t="s">
        <v>28100</v>
      </c>
      <c r="F4464" t="s">
        <v>108</v>
      </c>
      <c r="H4464" t="s">
        <v>28101</v>
      </c>
      <c r="I4464" t="s">
        <v>2874</v>
      </c>
      <c r="J4464" t="s">
        <v>111</v>
      </c>
      <c r="K4464" t="str">
        <f>"85303"</f>
        <v>85303</v>
      </c>
      <c r="L4464" t="s">
        <v>5464</v>
      </c>
      <c r="M4464" t="s">
        <v>28101</v>
      </c>
      <c r="N4464" t="s">
        <v>2874</v>
      </c>
      <c r="O4464" t="s">
        <v>111</v>
      </c>
      <c r="P4464" t="str">
        <f>"85303-5506"</f>
        <v>85303-5506</v>
      </c>
      <c r="Q4464" t="s">
        <v>113</v>
      </c>
      <c r="R4464" t="str">
        <f>"102-11-379-C"</f>
        <v>102-11-379-C</v>
      </c>
      <c r="U4464">
        <v>2432</v>
      </c>
      <c r="V4464">
        <v>0</v>
      </c>
      <c r="W4464">
        <v>3</v>
      </c>
      <c r="X4464">
        <v>1984</v>
      </c>
      <c r="Z4464">
        <v>1</v>
      </c>
      <c r="AB4464">
        <v>0</v>
      </c>
      <c r="AC4464" t="s">
        <v>115</v>
      </c>
      <c r="AD4464">
        <v>2</v>
      </c>
      <c r="AE4464" t="s">
        <v>115</v>
      </c>
      <c r="AF4464">
        <v>0</v>
      </c>
      <c r="AG4464">
        <v>0</v>
      </c>
      <c r="AH4464" t="s">
        <v>116</v>
      </c>
      <c r="AI4464" s="1">
        <v>303633</v>
      </c>
      <c r="AJ4464" s="2">
        <v>0.42</v>
      </c>
      <c r="AK4464" s="1">
        <v>720633</v>
      </c>
      <c r="AL4464" t="s">
        <v>117</v>
      </c>
      <c r="AM4464" t="s">
        <v>6005</v>
      </c>
      <c r="AN4464">
        <v>109178</v>
      </c>
      <c r="AO4464">
        <v>2.5099999999999998</v>
      </c>
      <c r="AP4464">
        <v>1</v>
      </c>
      <c r="AR4464">
        <v>1</v>
      </c>
      <c r="AS4464" s="1">
        <v>31510</v>
      </c>
      <c r="AT4464" s="1">
        <v>6300</v>
      </c>
      <c r="AU4464" s="1">
        <v>25210</v>
      </c>
      <c r="AV4464">
        <v>80.010000000000005</v>
      </c>
      <c r="AX4464" s="1">
        <v>3381.86</v>
      </c>
      <c r="AY4464" t="s">
        <v>4285</v>
      </c>
      <c r="AZ4464" t="s">
        <v>4285</v>
      </c>
      <c r="BA4464" t="s">
        <v>4286</v>
      </c>
      <c r="BE4464" s="3">
        <v>42478</v>
      </c>
      <c r="BF4464" s="1">
        <v>417000</v>
      </c>
      <c r="BG4464" t="s">
        <v>28102</v>
      </c>
      <c r="BH4464" s="1">
        <v>171.46</v>
      </c>
      <c r="BI4464" s="1">
        <v>417000</v>
      </c>
      <c r="BJ4464" s="3">
        <v>42478</v>
      </c>
      <c r="BK4464" t="s">
        <v>123</v>
      </c>
      <c r="BL4464" t="str">
        <f>"2016.257642"</f>
        <v>2016.257642</v>
      </c>
      <c r="BM4464" t="s">
        <v>544</v>
      </c>
      <c r="BO4464" t="s">
        <v>28103</v>
      </c>
      <c r="BS4464">
        <v>30</v>
      </c>
      <c r="BW4464" t="str">
        <f>""</f>
        <v/>
      </c>
      <c r="CH4464" t="str">
        <f>""</f>
        <v/>
      </c>
      <c r="CS4464" t="str">
        <f>""</f>
        <v/>
      </c>
    </row>
    <row r="4465" spans="1:97" x14ac:dyDescent="0.25">
      <c r="A4465" t="s">
        <v>28104</v>
      </c>
      <c r="B4465" t="s">
        <v>18114</v>
      </c>
      <c r="C4465" t="s">
        <v>920</v>
      </c>
      <c r="D4465" t="s">
        <v>18114</v>
      </c>
      <c r="E4465" t="s">
        <v>28105</v>
      </c>
      <c r="F4465" t="s">
        <v>108</v>
      </c>
      <c r="H4465" t="s">
        <v>28106</v>
      </c>
      <c r="I4465" t="s">
        <v>499</v>
      </c>
      <c r="J4465" t="s">
        <v>111</v>
      </c>
      <c r="K4465" t="str">
        <f>"85338"</f>
        <v>85338</v>
      </c>
      <c r="L4465" t="s">
        <v>6416</v>
      </c>
      <c r="M4465" t="s">
        <v>28106</v>
      </c>
      <c r="N4465" t="s">
        <v>499</v>
      </c>
      <c r="O4465" t="s">
        <v>111</v>
      </c>
      <c r="P4465" t="str">
        <f>"85338-9443"</f>
        <v>85338-9443</v>
      </c>
      <c r="Q4465" t="s">
        <v>113</v>
      </c>
      <c r="R4465" t="str">
        <f>"500-90-654"</f>
        <v>500-90-654</v>
      </c>
      <c r="S4465" t="s">
        <v>28107</v>
      </c>
      <c r="U4465">
        <v>1997</v>
      </c>
      <c r="V4465">
        <v>0</v>
      </c>
      <c r="W4465">
        <v>3</v>
      </c>
      <c r="X4465">
        <v>2004</v>
      </c>
      <c r="Z4465">
        <v>1</v>
      </c>
      <c r="AA4465" t="s">
        <v>26</v>
      </c>
      <c r="AB4465">
        <v>0</v>
      </c>
      <c r="AC4465" t="s">
        <v>115</v>
      </c>
      <c r="AD4465">
        <v>2</v>
      </c>
      <c r="AE4465" t="s">
        <v>115</v>
      </c>
      <c r="AF4465">
        <v>0</v>
      </c>
      <c r="AG4465">
        <v>0</v>
      </c>
      <c r="AH4465" t="s">
        <v>116</v>
      </c>
      <c r="AI4465" s="1">
        <v>7721</v>
      </c>
      <c r="AJ4465" s="2">
        <v>0.03</v>
      </c>
      <c r="AK4465" s="1">
        <v>276301</v>
      </c>
      <c r="AL4465" t="s">
        <v>117</v>
      </c>
      <c r="AM4465" t="s">
        <v>118</v>
      </c>
      <c r="AN4465">
        <v>7382</v>
      </c>
      <c r="AO4465">
        <v>0.17</v>
      </c>
      <c r="AP4465">
        <v>1</v>
      </c>
      <c r="AR4465">
        <v>1</v>
      </c>
      <c r="AS4465" s="1">
        <v>19930</v>
      </c>
      <c r="AT4465" s="1">
        <v>3980</v>
      </c>
      <c r="AU4465" s="1">
        <v>15950</v>
      </c>
      <c r="AV4465">
        <v>80.03</v>
      </c>
      <c r="AX4465" s="1">
        <v>1558.2</v>
      </c>
      <c r="AY4465" t="s">
        <v>11177</v>
      </c>
      <c r="AZ4465" t="s">
        <v>11177</v>
      </c>
      <c r="BA4465" t="s">
        <v>7186</v>
      </c>
      <c r="BE4465" s="3">
        <v>41719</v>
      </c>
      <c r="BF4465" s="1">
        <v>196000</v>
      </c>
      <c r="BG4465" t="s">
        <v>14830</v>
      </c>
      <c r="BH4465" s="1">
        <v>98.15</v>
      </c>
      <c r="BI4465" s="1">
        <v>268580</v>
      </c>
      <c r="BJ4465" s="3">
        <v>43574</v>
      </c>
      <c r="BK4465" t="s">
        <v>123</v>
      </c>
      <c r="BL4465" t="str">
        <f>"2019.278803"</f>
        <v>2019.278803</v>
      </c>
      <c r="BM4465" t="s">
        <v>28108</v>
      </c>
      <c r="BN4465" t="s">
        <v>28109</v>
      </c>
      <c r="BO4465" t="s">
        <v>28110</v>
      </c>
      <c r="BP4465" t="s">
        <v>28111</v>
      </c>
      <c r="BR4465" t="s">
        <v>139</v>
      </c>
      <c r="BW4465" t="str">
        <f>""</f>
        <v/>
      </c>
      <c r="CH4465" t="str">
        <f>""</f>
        <v/>
      </c>
      <c r="CS4465" t="str">
        <f>""</f>
        <v/>
      </c>
    </row>
    <row r="4466" spans="1:97" x14ac:dyDescent="0.25">
      <c r="A4466" t="s">
        <v>1743</v>
      </c>
      <c r="B4466" t="s">
        <v>28112</v>
      </c>
      <c r="E4466" t="s">
        <v>28113</v>
      </c>
      <c r="F4466" t="s">
        <v>108</v>
      </c>
      <c r="H4466" t="s">
        <v>28114</v>
      </c>
      <c r="I4466" t="s">
        <v>499</v>
      </c>
      <c r="J4466" t="s">
        <v>111</v>
      </c>
      <c r="K4466" t="str">
        <f>"85338"</f>
        <v>85338</v>
      </c>
      <c r="L4466" t="s">
        <v>8543</v>
      </c>
      <c r="M4466" t="s">
        <v>28114</v>
      </c>
      <c r="N4466" t="s">
        <v>499</v>
      </c>
      <c r="O4466" t="s">
        <v>111</v>
      </c>
      <c r="P4466" t="str">
        <f>"85338-2948"</f>
        <v>85338-2948</v>
      </c>
      <c r="Q4466" t="s">
        <v>113</v>
      </c>
      <c r="R4466" t="str">
        <f>"500-04-775"</f>
        <v>500-04-775</v>
      </c>
      <c r="S4466" t="s">
        <v>27358</v>
      </c>
      <c r="T4466" t="s">
        <v>27358</v>
      </c>
      <c r="U4466">
        <v>2457</v>
      </c>
      <c r="V4466">
        <v>0</v>
      </c>
      <c r="W4466">
        <v>4</v>
      </c>
      <c r="X4466">
        <v>2005</v>
      </c>
      <c r="Z4466">
        <v>2</v>
      </c>
      <c r="AB4466">
        <v>0</v>
      </c>
      <c r="AC4466" t="s">
        <v>115</v>
      </c>
      <c r="AD4466">
        <v>2</v>
      </c>
      <c r="AE4466" t="s">
        <v>115</v>
      </c>
      <c r="AF4466">
        <v>0</v>
      </c>
      <c r="AG4466">
        <v>0</v>
      </c>
      <c r="AH4466" t="s">
        <v>116</v>
      </c>
      <c r="AI4466" s="1">
        <v>44103</v>
      </c>
      <c r="AJ4466" s="2">
        <v>0.15</v>
      </c>
      <c r="AK4466" s="1">
        <v>294103</v>
      </c>
      <c r="AL4466" t="s">
        <v>117</v>
      </c>
      <c r="AM4466" t="s">
        <v>118</v>
      </c>
      <c r="AN4466">
        <v>6900</v>
      </c>
      <c r="AO4466">
        <v>0.16</v>
      </c>
      <c r="AR4466">
        <v>1</v>
      </c>
      <c r="AS4466" s="1">
        <v>19570</v>
      </c>
      <c r="AT4466" s="1">
        <v>3910</v>
      </c>
      <c r="AU4466" s="1">
        <v>15660</v>
      </c>
      <c r="AV4466">
        <v>80.02</v>
      </c>
      <c r="AX4466" s="1">
        <v>1858.9</v>
      </c>
      <c r="AY4466" t="s">
        <v>6790</v>
      </c>
      <c r="AZ4466" t="s">
        <v>6790</v>
      </c>
      <c r="BA4466" t="s">
        <v>7186</v>
      </c>
      <c r="BE4466" s="3">
        <v>42129</v>
      </c>
      <c r="BF4466" s="1">
        <v>225000</v>
      </c>
      <c r="BG4466" t="s">
        <v>28115</v>
      </c>
      <c r="BH4466" s="1">
        <v>91.58</v>
      </c>
      <c r="BI4466" s="1">
        <v>250000</v>
      </c>
      <c r="BJ4466" s="3">
        <v>42998</v>
      </c>
      <c r="BK4466" t="s">
        <v>123</v>
      </c>
      <c r="BL4466" t="str">
        <f>"2017.694770"</f>
        <v>2017.694770</v>
      </c>
      <c r="BM4466" t="s">
        <v>807</v>
      </c>
      <c r="BO4466" t="s">
        <v>28116</v>
      </c>
      <c r="BS4466">
        <v>15</v>
      </c>
      <c r="BW4466" t="str">
        <f>""</f>
        <v/>
      </c>
      <c r="CH4466" t="str">
        <f>""</f>
        <v/>
      </c>
      <c r="CS4466" t="str">
        <f>""</f>
        <v/>
      </c>
    </row>
    <row r="4467" spans="1:97" x14ac:dyDescent="0.25">
      <c r="A4467" t="s">
        <v>28117</v>
      </c>
      <c r="B4467" t="s">
        <v>28118</v>
      </c>
      <c r="C4467" t="s">
        <v>1959</v>
      </c>
      <c r="D4467" t="s">
        <v>28118</v>
      </c>
      <c r="E4467" t="s">
        <v>28119</v>
      </c>
      <c r="F4467" t="s">
        <v>108</v>
      </c>
      <c r="H4467" t="s">
        <v>28120</v>
      </c>
      <c r="I4467" t="s">
        <v>2874</v>
      </c>
      <c r="J4467" t="s">
        <v>111</v>
      </c>
      <c r="K4467" t="str">
        <f>"85308"</f>
        <v>85308</v>
      </c>
      <c r="L4467" t="s">
        <v>5239</v>
      </c>
      <c r="M4467" t="s">
        <v>28120</v>
      </c>
      <c r="N4467" t="s">
        <v>2874</v>
      </c>
      <c r="O4467" t="s">
        <v>111</v>
      </c>
      <c r="P4467" t="str">
        <f>"85308-5667"</f>
        <v>85308-5667</v>
      </c>
      <c r="Q4467" t="s">
        <v>113</v>
      </c>
      <c r="R4467" t="str">
        <f>"200-29-056"</f>
        <v>200-29-056</v>
      </c>
      <c r="S4467" t="s">
        <v>13241</v>
      </c>
      <c r="T4467" t="s">
        <v>13242</v>
      </c>
      <c r="U4467">
        <v>2031</v>
      </c>
      <c r="V4467">
        <v>0</v>
      </c>
      <c r="W4467">
        <v>3</v>
      </c>
      <c r="X4467">
        <v>1986</v>
      </c>
      <c r="Z4467">
        <v>1</v>
      </c>
      <c r="AB4467">
        <v>0</v>
      </c>
      <c r="AC4467" t="s">
        <v>115</v>
      </c>
      <c r="AD4467">
        <v>2</v>
      </c>
      <c r="AE4467" t="s">
        <v>115</v>
      </c>
      <c r="AF4467">
        <v>0</v>
      </c>
      <c r="AG4467">
        <v>0</v>
      </c>
      <c r="AH4467" t="s">
        <v>116</v>
      </c>
      <c r="AI4467" s="1">
        <v>50791</v>
      </c>
      <c r="AJ4467" s="2">
        <v>0.15</v>
      </c>
      <c r="AK4467" s="1">
        <v>327791</v>
      </c>
      <c r="AL4467" t="s">
        <v>117</v>
      </c>
      <c r="AM4467" t="s">
        <v>191</v>
      </c>
      <c r="AN4467">
        <v>6400</v>
      </c>
      <c r="AO4467">
        <v>0.15</v>
      </c>
      <c r="AP4467">
        <v>1</v>
      </c>
      <c r="AR4467">
        <v>1</v>
      </c>
      <c r="AS4467" s="1">
        <v>22410</v>
      </c>
      <c r="AT4467" s="1">
        <v>4480</v>
      </c>
      <c r="AU4467" s="1">
        <v>17930</v>
      </c>
      <c r="AV4467">
        <v>80.010000000000005</v>
      </c>
      <c r="AX4467" s="1">
        <v>2057.1999999999998</v>
      </c>
      <c r="AY4467" t="s">
        <v>8400</v>
      </c>
      <c r="AZ4467" t="s">
        <v>8400</v>
      </c>
      <c r="BA4467" t="s">
        <v>2223</v>
      </c>
      <c r="BB4467" s="3">
        <v>43068</v>
      </c>
      <c r="BD4467" t="s">
        <v>842</v>
      </c>
      <c r="BE4467" s="3">
        <v>41709</v>
      </c>
      <c r="BF4467" s="1">
        <v>244900</v>
      </c>
      <c r="BG4467" t="s">
        <v>28121</v>
      </c>
      <c r="BH4467" s="1">
        <v>120.58</v>
      </c>
      <c r="BI4467" s="1">
        <v>277000</v>
      </c>
      <c r="BJ4467" s="3">
        <v>43073</v>
      </c>
      <c r="BK4467" t="s">
        <v>123</v>
      </c>
      <c r="BL4467" t="str">
        <f>"2017.894480"</f>
        <v>2017.894480</v>
      </c>
      <c r="BM4467" t="s">
        <v>1249</v>
      </c>
      <c r="BN4467">
        <v>65203</v>
      </c>
      <c r="BO4467" t="s">
        <v>28122</v>
      </c>
      <c r="BS4467">
        <v>31</v>
      </c>
      <c r="BW4467" t="str">
        <f>""</f>
        <v/>
      </c>
      <c r="CH4467" t="str">
        <f>""</f>
        <v/>
      </c>
      <c r="CS4467" t="str">
        <f>""</f>
        <v/>
      </c>
    </row>
    <row r="4468" spans="1:97" x14ac:dyDescent="0.25">
      <c r="A4468" t="s">
        <v>1344</v>
      </c>
      <c r="B4468" t="s">
        <v>28123</v>
      </c>
      <c r="C4468" t="s">
        <v>2395</v>
      </c>
      <c r="D4468" t="s">
        <v>28123</v>
      </c>
      <c r="E4468" t="s">
        <v>28124</v>
      </c>
      <c r="F4468" t="s">
        <v>108</v>
      </c>
      <c r="H4468" t="s">
        <v>28125</v>
      </c>
      <c r="I4468" t="s">
        <v>203</v>
      </c>
      <c r="J4468" t="s">
        <v>111</v>
      </c>
      <c r="K4468" t="str">
        <f>"85298"</f>
        <v>85298</v>
      </c>
      <c r="L4468" t="s">
        <v>681</v>
      </c>
      <c r="M4468" t="s">
        <v>28125</v>
      </c>
      <c r="N4468" t="s">
        <v>203</v>
      </c>
      <c r="O4468" t="s">
        <v>111</v>
      </c>
      <c r="P4468" t="str">
        <f>"85298-2240"</f>
        <v>85298-2240</v>
      </c>
      <c r="Q4468" t="s">
        <v>113</v>
      </c>
      <c r="R4468" t="str">
        <f>"304-71-732"</f>
        <v>304-71-732</v>
      </c>
      <c r="S4468" t="s">
        <v>9053</v>
      </c>
      <c r="T4468" t="s">
        <v>287</v>
      </c>
      <c r="U4468">
        <v>2713</v>
      </c>
      <c r="V4468">
        <v>0</v>
      </c>
      <c r="W4468">
        <v>4</v>
      </c>
      <c r="X4468">
        <v>2014</v>
      </c>
      <c r="Z4468">
        <v>1</v>
      </c>
      <c r="AB4468">
        <v>0</v>
      </c>
      <c r="AC4468" t="s">
        <v>115</v>
      </c>
      <c r="AD4468">
        <v>3</v>
      </c>
      <c r="AE4468" t="s">
        <v>115</v>
      </c>
      <c r="AF4468">
        <v>0</v>
      </c>
      <c r="AG4468">
        <v>0</v>
      </c>
      <c r="AH4468" t="s">
        <v>116</v>
      </c>
      <c r="AI4468" s="1">
        <v>123095</v>
      </c>
      <c r="AJ4468" s="2">
        <v>0.27</v>
      </c>
      <c r="AK4468" s="1">
        <v>452584</v>
      </c>
      <c r="AL4468" t="s">
        <v>117</v>
      </c>
      <c r="AM4468" t="s">
        <v>393</v>
      </c>
      <c r="AN4468">
        <v>6537</v>
      </c>
      <c r="AO4468">
        <v>0.15</v>
      </c>
      <c r="AR4468">
        <v>1</v>
      </c>
      <c r="AS4468" s="1">
        <v>31560</v>
      </c>
      <c r="AT4468" s="1">
        <v>5120</v>
      </c>
      <c r="AU4468" s="1">
        <v>26440</v>
      </c>
      <c r="AV4468">
        <v>83.78</v>
      </c>
      <c r="AX4468" s="1">
        <v>2705.98</v>
      </c>
      <c r="AY4468" t="s">
        <v>289</v>
      </c>
      <c r="AZ4468" t="s">
        <v>289</v>
      </c>
      <c r="BA4468" t="s">
        <v>290</v>
      </c>
      <c r="BE4468" s="3">
        <v>41950</v>
      </c>
      <c r="BF4468" s="1">
        <v>324750</v>
      </c>
      <c r="BG4468" t="s">
        <v>459</v>
      </c>
      <c r="BH4468" s="1">
        <v>119.7</v>
      </c>
      <c r="BI4468" s="1">
        <v>329489</v>
      </c>
      <c r="BJ4468" s="3">
        <v>42712</v>
      </c>
      <c r="BK4468" t="s">
        <v>123</v>
      </c>
      <c r="BL4468" t="str">
        <f>"2016.903877"</f>
        <v>2016.903877</v>
      </c>
      <c r="BM4468" t="s">
        <v>492</v>
      </c>
      <c r="BO4468" t="s">
        <v>28126</v>
      </c>
      <c r="BS4468">
        <v>30</v>
      </c>
      <c r="BW4468" t="str">
        <f>""</f>
        <v/>
      </c>
      <c r="CH4468" t="str">
        <f>""</f>
        <v/>
      </c>
      <c r="CS4468" t="str">
        <f>""</f>
        <v/>
      </c>
    </row>
    <row r="4469" spans="1:97" x14ac:dyDescent="0.25">
      <c r="A4469" t="s">
        <v>3212</v>
      </c>
      <c r="B4469" t="s">
        <v>28127</v>
      </c>
      <c r="C4469" t="s">
        <v>370</v>
      </c>
      <c r="D4469" t="s">
        <v>19419</v>
      </c>
      <c r="E4469" t="s">
        <v>28128</v>
      </c>
      <c r="F4469" t="s">
        <v>108</v>
      </c>
      <c r="H4469" t="s">
        <v>28129</v>
      </c>
      <c r="I4469" t="s">
        <v>225</v>
      </c>
      <c r="J4469" t="s">
        <v>111</v>
      </c>
      <c r="K4469" t="str">
        <f>"85202"</f>
        <v>85202</v>
      </c>
      <c r="L4469" t="s">
        <v>22542</v>
      </c>
      <c r="M4469" t="s">
        <v>28129</v>
      </c>
      <c r="N4469" t="s">
        <v>225</v>
      </c>
      <c r="O4469" t="s">
        <v>111</v>
      </c>
      <c r="P4469" t="str">
        <f>"85202-6402"</f>
        <v>85202-6402</v>
      </c>
      <c r="Q4469" t="s">
        <v>113</v>
      </c>
      <c r="R4469" t="str">
        <f>"305-09-824"</f>
        <v>305-09-824</v>
      </c>
      <c r="S4469" t="s">
        <v>22543</v>
      </c>
      <c r="T4469" t="s">
        <v>22544</v>
      </c>
      <c r="U4469">
        <v>2380</v>
      </c>
      <c r="V4469">
        <v>0</v>
      </c>
      <c r="W4469">
        <v>4</v>
      </c>
      <c r="X4469">
        <v>1981</v>
      </c>
      <c r="Z4469">
        <v>2</v>
      </c>
      <c r="AA4469" t="s">
        <v>26</v>
      </c>
      <c r="AB4469">
        <v>0</v>
      </c>
      <c r="AC4469" t="s">
        <v>115</v>
      </c>
      <c r="AD4469">
        <v>2</v>
      </c>
      <c r="AE4469" t="s">
        <v>115</v>
      </c>
      <c r="AF4469">
        <v>0</v>
      </c>
      <c r="AG4469">
        <v>0</v>
      </c>
      <c r="AH4469" t="s">
        <v>116</v>
      </c>
      <c r="AI4469" s="1">
        <v>77696</v>
      </c>
      <c r="AJ4469" s="2">
        <v>0.22</v>
      </c>
      <c r="AK4469" s="1">
        <v>356696</v>
      </c>
      <c r="AL4469" t="s">
        <v>117</v>
      </c>
      <c r="AM4469" t="s">
        <v>191</v>
      </c>
      <c r="AN4469">
        <v>8490</v>
      </c>
      <c r="AO4469">
        <v>0.2</v>
      </c>
      <c r="AP4469">
        <v>1</v>
      </c>
      <c r="AR4469">
        <v>1</v>
      </c>
      <c r="AS4469" s="1">
        <v>25910</v>
      </c>
      <c r="AT4469" s="1">
        <v>5180</v>
      </c>
      <c r="AU4469" s="1">
        <v>20730</v>
      </c>
      <c r="AV4469">
        <v>80.010000000000005</v>
      </c>
      <c r="AX4469" s="1">
        <v>1932.34</v>
      </c>
      <c r="AY4469" t="s">
        <v>7431</v>
      </c>
      <c r="AZ4469" t="s">
        <v>7295</v>
      </c>
      <c r="BA4469" t="s">
        <v>5311</v>
      </c>
      <c r="BB4469" s="3">
        <v>42744</v>
      </c>
      <c r="BD4469" t="s">
        <v>240</v>
      </c>
      <c r="BE4469" s="3">
        <v>42159</v>
      </c>
      <c r="BF4469" s="1">
        <v>279000</v>
      </c>
      <c r="BG4469" t="s">
        <v>28130</v>
      </c>
      <c r="BH4469" s="1">
        <v>117.23</v>
      </c>
      <c r="BI4469" s="1">
        <v>279000</v>
      </c>
      <c r="BJ4469" s="3">
        <v>42159</v>
      </c>
      <c r="BK4469" t="s">
        <v>123</v>
      </c>
      <c r="BL4469" t="str">
        <f>"2015.399827"</f>
        <v>2015.399827</v>
      </c>
      <c r="BM4469" t="s">
        <v>594</v>
      </c>
      <c r="BO4469" t="s">
        <v>28131</v>
      </c>
      <c r="BS4469">
        <v>30</v>
      </c>
      <c r="BW4469" t="str">
        <f>""</f>
        <v/>
      </c>
      <c r="CH4469" t="str">
        <f>""</f>
        <v/>
      </c>
      <c r="CS4469" t="str">
        <f>""</f>
        <v/>
      </c>
    </row>
    <row r="4470" spans="1:97" x14ac:dyDescent="0.25">
      <c r="A4470" t="s">
        <v>27108</v>
      </c>
      <c r="B4470" t="s">
        <v>4123</v>
      </c>
      <c r="C4470" t="s">
        <v>1845</v>
      </c>
      <c r="D4470" t="s">
        <v>4123</v>
      </c>
      <c r="E4470" t="s">
        <v>28132</v>
      </c>
      <c r="F4470" t="s">
        <v>108</v>
      </c>
      <c r="H4470" t="s">
        <v>28133</v>
      </c>
      <c r="I4470" t="s">
        <v>1936</v>
      </c>
      <c r="J4470" t="s">
        <v>111</v>
      </c>
      <c r="K4470" t="str">
        <f>"85260"</f>
        <v>85260</v>
      </c>
      <c r="L4470" t="s">
        <v>6438</v>
      </c>
      <c r="M4470" t="s">
        <v>28133</v>
      </c>
      <c r="N4470" t="s">
        <v>1936</v>
      </c>
      <c r="O4470" t="s">
        <v>111</v>
      </c>
      <c r="P4470" t="str">
        <f>"85260-7620"</f>
        <v>85260-7620</v>
      </c>
      <c r="R4470" t="str">
        <f>"217-41-280"</f>
        <v>217-41-280</v>
      </c>
      <c r="S4470" t="s">
        <v>24932</v>
      </c>
      <c r="T4470" t="s">
        <v>24932</v>
      </c>
      <c r="U4470">
        <v>2432</v>
      </c>
      <c r="V4470">
        <v>0</v>
      </c>
      <c r="W4470">
        <v>4</v>
      </c>
      <c r="X4470">
        <v>1992</v>
      </c>
      <c r="Z4470">
        <v>1</v>
      </c>
      <c r="AB4470">
        <v>0</v>
      </c>
      <c r="AC4470" t="s">
        <v>115</v>
      </c>
      <c r="AD4470">
        <v>3</v>
      </c>
      <c r="AE4470" t="s">
        <v>115</v>
      </c>
      <c r="AF4470">
        <v>0</v>
      </c>
      <c r="AG4470">
        <v>0</v>
      </c>
      <c r="AH4470" t="s">
        <v>116</v>
      </c>
      <c r="AI4470" s="1">
        <v>125010</v>
      </c>
      <c r="AJ4470" s="2">
        <v>0.23</v>
      </c>
      <c r="AK4470" s="1">
        <v>542010</v>
      </c>
      <c r="AL4470" t="s">
        <v>117</v>
      </c>
      <c r="AM4470" t="s">
        <v>393</v>
      </c>
      <c r="AN4470">
        <v>7800</v>
      </c>
      <c r="AO4470">
        <v>0.18</v>
      </c>
      <c r="AP4470">
        <v>1</v>
      </c>
      <c r="AR4470">
        <v>1</v>
      </c>
      <c r="AS4470" s="1">
        <v>39250</v>
      </c>
      <c r="AT4470" s="1">
        <v>7850</v>
      </c>
      <c r="AU4470" s="1">
        <v>31400</v>
      </c>
      <c r="AV4470">
        <v>80</v>
      </c>
      <c r="AX4470" s="1">
        <v>2734.16</v>
      </c>
      <c r="AY4470" t="s">
        <v>5904</v>
      </c>
      <c r="AZ4470" t="s">
        <v>5420</v>
      </c>
      <c r="BA4470" t="s">
        <v>5763</v>
      </c>
      <c r="BE4470" s="3">
        <v>42214</v>
      </c>
      <c r="BF4470" s="1">
        <v>422000</v>
      </c>
      <c r="BG4470" t="s">
        <v>28134</v>
      </c>
      <c r="BH4470" s="1">
        <v>173.52</v>
      </c>
      <c r="BI4470" s="1">
        <v>417000</v>
      </c>
      <c r="BJ4470" s="3">
        <v>42214</v>
      </c>
      <c r="BK4470" t="s">
        <v>123</v>
      </c>
      <c r="BL4470" t="str">
        <f>"2015.547013"</f>
        <v>2015.547013</v>
      </c>
      <c r="BM4470" t="s">
        <v>475</v>
      </c>
      <c r="BN4470" t="s">
        <v>1282</v>
      </c>
      <c r="BO4470" t="s">
        <v>28135</v>
      </c>
      <c r="BS4470">
        <v>30</v>
      </c>
      <c r="BW4470" t="str">
        <f>""</f>
        <v/>
      </c>
      <c r="CH4470" t="str">
        <f>""</f>
        <v/>
      </c>
      <c r="CS4470" t="str">
        <f>""</f>
        <v/>
      </c>
    </row>
    <row r="4471" spans="1:97" x14ac:dyDescent="0.25">
      <c r="A4471" t="s">
        <v>695</v>
      </c>
      <c r="B4471" t="s">
        <v>19855</v>
      </c>
      <c r="C4471" t="s">
        <v>28136</v>
      </c>
      <c r="D4471" t="s">
        <v>19855</v>
      </c>
      <c r="E4471" t="s">
        <v>28137</v>
      </c>
      <c r="F4471" t="s">
        <v>108</v>
      </c>
      <c r="H4471" t="s">
        <v>28138</v>
      </c>
      <c r="I4471" t="s">
        <v>110</v>
      </c>
      <c r="J4471" t="s">
        <v>111</v>
      </c>
      <c r="K4471" t="str">
        <f>"85226"</f>
        <v>85226</v>
      </c>
      <c r="L4471" t="s">
        <v>5918</v>
      </c>
      <c r="M4471" t="s">
        <v>28138</v>
      </c>
      <c r="N4471" t="s">
        <v>110</v>
      </c>
      <c r="O4471" t="s">
        <v>111</v>
      </c>
      <c r="P4471" t="str">
        <f>"85226-1374"</f>
        <v>85226-1374</v>
      </c>
      <c r="Q4471" t="s">
        <v>113</v>
      </c>
      <c r="R4471" t="str">
        <f>"308-06-828"</f>
        <v>308-06-828</v>
      </c>
      <c r="S4471" t="s">
        <v>5919</v>
      </c>
      <c r="T4471" t="s">
        <v>5920</v>
      </c>
      <c r="U4471">
        <v>3229</v>
      </c>
      <c r="V4471">
        <v>0</v>
      </c>
      <c r="W4471">
        <v>4</v>
      </c>
      <c r="X4471">
        <v>1992</v>
      </c>
      <c r="Z4471">
        <v>2</v>
      </c>
      <c r="AA4471" t="s">
        <v>26</v>
      </c>
      <c r="AB4471">
        <v>0</v>
      </c>
      <c r="AC4471" t="s">
        <v>115</v>
      </c>
      <c r="AD4471">
        <v>3</v>
      </c>
      <c r="AE4471" t="s">
        <v>115</v>
      </c>
      <c r="AF4471">
        <v>0</v>
      </c>
      <c r="AG4471">
        <v>0</v>
      </c>
      <c r="AH4471" t="s">
        <v>116</v>
      </c>
      <c r="AI4471" s="1">
        <v>162990</v>
      </c>
      <c r="AJ4471" s="2">
        <v>0.31</v>
      </c>
      <c r="AK4471" s="1">
        <v>524925</v>
      </c>
      <c r="AL4471" t="s">
        <v>117</v>
      </c>
      <c r="AM4471" t="s">
        <v>118</v>
      </c>
      <c r="AN4471">
        <v>11086</v>
      </c>
      <c r="AO4471">
        <v>0.25</v>
      </c>
      <c r="AP4471">
        <v>1</v>
      </c>
      <c r="AR4471">
        <v>1</v>
      </c>
      <c r="AS4471" s="1">
        <v>40750</v>
      </c>
      <c r="AT4471" s="1">
        <v>8150</v>
      </c>
      <c r="AU4471" s="1">
        <v>32600</v>
      </c>
      <c r="AV4471">
        <v>80</v>
      </c>
      <c r="AX4471" s="1">
        <v>3573.76</v>
      </c>
      <c r="AY4471" t="s">
        <v>5921</v>
      </c>
      <c r="AZ4471" t="s">
        <v>5922</v>
      </c>
      <c r="BA4471" t="s">
        <v>5202</v>
      </c>
      <c r="BE4471" s="3">
        <v>42088</v>
      </c>
      <c r="BF4471" s="1">
        <v>390000</v>
      </c>
      <c r="BG4471" t="s">
        <v>28139</v>
      </c>
      <c r="BH4471" s="1">
        <v>120.78</v>
      </c>
      <c r="BI4471" s="1">
        <v>361935</v>
      </c>
      <c r="BJ4471" s="3">
        <v>42088</v>
      </c>
      <c r="BK4471" t="s">
        <v>123</v>
      </c>
      <c r="BL4471" t="str">
        <f>"2015.199948"</f>
        <v>2015.199948</v>
      </c>
      <c r="BM4471" t="s">
        <v>594</v>
      </c>
      <c r="BO4471" t="s">
        <v>28140</v>
      </c>
      <c r="BS4471">
        <v>30</v>
      </c>
      <c r="BW4471" t="str">
        <f>""</f>
        <v/>
      </c>
      <c r="CH4471" t="str">
        <f>""</f>
        <v/>
      </c>
      <c r="CS4471" t="str">
        <f>""</f>
        <v/>
      </c>
    </row>
    <row r="4472" spans="1:97" x14ac:dyDescent="0.25">
      <c r="A4472" t="s">
        <v>1514</v>
      </c>
      <c r="B4472" t="s">
        <v>28141</v>
      </c>
      <c r="C4472" t="s">
        <v>489</v>
      </c>
      <c r="D4472" t="s">
        <v>28141</v>
      </c>
      <c r="E4472" t="s">
        <v>28142</v>
      </c>
      <c r="F4472" t="s">
        <v>139</v>
      </c>
      <c r="H4472" t="s">
        <v>28143</v>
      </c>
      <c r="I4472" t="s">
        <v>3150</v>
      </c>
      <c r="J4472" t="s">
        <v>111</v>
      </c>
      <c r="K4472" t="str">
        <f>"85340"</f>
        <v>85340</v>
      </c>
      <c r="L4472" t="s">
        <v>5074</v>
      </c>
      <c r="M4472" t="s">
        <v>28144</v>
      </c>
      <c r="N4472" t="s">
        <v>3150</v>
      </c>
      <c r="O4472" t="s">
        <v>111</v>
      </c>
      <c r="P4472" t="str">
        <f>"85340-5098"</f>
        <v>85340-5098</v>
      </c>
      <c r="Q4472" t="s">
        <v>113</v>
      </c>
      <c r="R4472" t="str">
        <f>"501-68-540"</f>
        <v>501-68-540</v>
      </c>
      <c r="S4472" t="s">
        <v>28145</v>
      </c>
      <c r="T4472" t="s">
        <v>5178</v>
      </c>
      <c r="U4472">
        <v>3929</v>
      </c>
      <c r="W4472">
        <v>5</v>
      </c>
      <c r="X4472">
        <v>2007</v>
      </c>
      <c r="Z4472">
        <v>2</v>
      </c>
      <c r="AC4472" t="s">
        <v>115</v>
      </c>
      <c r="AD4472">
        <v>3</v>
      </c>
      <c r="AE4472" t="s">
        <v>115</v>
      </c>
      <c r="AH4472" t="s">
        <v>116</v>
      </c>
      <c r="AI4472" s="1">
        <v>117719</v>
      </c>
      <c r="AJ4472" s="2">
        <v>0.22</v>
      </c>
      <c r="AK4472" s="1">
        <v>536804</v>
      </c>
      <c r="AL4472" t="s">
        <v>117</v>
      </c>
      <c r="AM4472" t="s">
        <v>171</v>
      </c>
      <c r="AN4472">
        <v>9450</v>
      </c>
      <c r="AO4472">
        <v>0.22</v>
      </c>
      <c r="AR4472">
        <v>1</v>
      </c>
      <c r="AS4472" s="1">
        <v>38380</v>
      </c>
      <c r="AT4472" s="1">
        <v>7670</v>
      </c>
      <c r="AU4472" s="1">
        <v>30710</v>
      </c>
      <c r="AV4472">
        <v>80.02</v>
      </c>
      <c r="AX4472" s="1">
        <v>3830.66</v>
      </c>
      <c r="AY4472" t="s">
        <v>3020</v>
      </c>
      <c r="AZ4472" t="s">
        <v>3020</v>
      </c>
      <c r="BA4472" t="s">
        <v>3154</v>
      </c>
      <c r="BE4472" s="3">
        <v>42198</v>
      </c>
      <c r="BF4472" s="1">
        <v>425000</v>
      </c>
      <c r="BG4472" t="s">
        <v>28146</v>
      </c>
      <c r="BH4472" s="1">
        <v>108.17</v>
      </c>
      <c r="BI4472" s="1">
        <v>419085</v>
      </c>
      <c r="BJ4472" s="3">
        <v>42503</v>
      </c>
      <c r="BK4472" t="s">
        <v>123</v>
      </c>
      <c r="BL4472" t="str">
        <f>"2016.329390"</f>
        <v>2016.329390</v>
      </c>
      <c r="BM4472" t="s">
        <v>1287</v>
      </c>
      <c r="BO4472" t="s">
        <v>28147</v>
      </c>
      <c r="BS4472">
        <v>30</v>
      </c>
      <c r="BW4472" t="str">
        <f>""</f>
        <v/>
      </c>
      <c r="CH4472" t="str">
        <f>""</f>
        <v/>
      </c>
      <c r="CS4472" t="str">
        <f>""</f>
        <v/>
      </c>
    </row>
    <row r="4473" spans="1:97" x14ac:dyDescent="0.25">
      <c r="B4473" t="s">
        <v>28148</v>
      </c>
      <c r="E4473" t="s">
        <v>28149</v>
      </c>
      <c r="F4473" t="s">
        <v>139</v>
      </c>
      <c r="H4473" t="s">
        <v>28150</v>
      </c>
      <c r="I4473" t="s">
        <v>453</v>
      </c>
      <c r="J4473" t="s">
        <v>111</v>
      </c>
      <c r="K4473" t="str">
        <f>"85383"</f>
        <v>85383</v>
      </c>
      <c r="L4473" t="s">
        <v>541</v>
      </c>
      <c r="M4473" t="s">
        <v>28150</v>
      </c>
      <c r="N4473" t="s">
        <v>453</v>
      </c>
      <c r="O4473" t="s">
        <v>111</v>
      </c>
      <c r="P4473" t="str">
        <f>"85383-2764"</f>
        <v>85383-2764</v>
      </c>
      <c r="Q4473" t="s">
        <v>113</v>
      </c>
      <c r="R4473" t="str">
        <f>"200-10-754"</f>
        <v>200-10-754</v>
      </c>
      <c r="S4473" t="s">
        <v>28151</v>
      </c>
      <c r="T4473" t="s">
        <v>17327</v>
      </c>
      <c r="U4473">
        <v>2971</v>
      </c>
      <c r="V4473">
        <v>0</v>
      </c>
      <c r="W4473">
        <v>4</v>
      </c>
      <c r="X4473">
        <v>2000</v>
      </c>
      <c r="Z4473">
        <v>1</v>
      </c>
      <c r="AA4473" t="s">
        <v>26</v>
      </c>
      <c r="AB4473">
        <v>0</v>
      </c>
      <c r="AC4473" t="s">
        <v>115</v>
      </c>
      <c r="AD4473">
        <v>3</v>
      </c>
      <c r="AE4473" t="s">
        <v>115</v>
      </c>
      <c r="AF4473">
        <v>0</v>
      </c>
      <c r="AG4473">
        <v>0</v>
      </c>
      <c r="AH4473" t="s">
        <v>116</v>
      </c>
      <c r="AI4473" s="1">
        <v>66695</v>
      </c>
      <c r="AJ4473" s="2">
        <v>0.14000000000000001</v>
      </c>
      <c r="AK4473" s="1">
        <v>483695</v>
      </c>
      <c r="AL4473" t="s">
        <v>117</v>
      </c>
      <c r="AM4473" t="s">
        <v>118</v>
      </c>
      <c r="AN4473">
        <v>18211</v>
      </c>
      <c r="AO4473">
        <v>0.42</v>
      </c>
      <c r="AP4473">
        <v>1</v>
      </c>
      <c r="AR4473">
        <v>1</v>
      </c>
      <c r="AS4473" s="1">
        <v>36200</v>
      </c>
      <c r="AT4473" s="1">
        <v>7240</v>
      </c>
      <c r="AU4473" s="1">
        <v>28960</v>
      </c>
      <c r="AV4473">
        <v>80</v>
      </c>
      <c r="AX4473" s="1">
        <v>2977.32</v>
      </c>
      <c r="AY4473" t="s">
        <v>1808</v>
      </c>
      <c r="AZ4473" t="s">
        <v>1808</v>
      </c>
      <c r="BA4473" t="s">
        <v>457</v>
      </c>
      <c r="BB4473" s="3">
        <v>43235</v>
      </c>
      <c r="BC4473" s="1">
        <v>0</v>
      </c>
      <c r="BD4473" t="s">
        <v>247</v>
      </c>
      <c r="BE4473" s="3">
        <v>42487</v>
      </c>
      <c r="BF4473" s="1">
        <v>426700</v>
      </c>
      <c r="BG4473" t="s">
        <v>28152</v>
      </c>
      <c r="BH4473" s="1">
        <v>143.62</v>
      </c>
      <c r="BI4473" s="1">
        <v>417000</v>
      </c>
      <c r="BJ4473" s="3">
        <v>42487</v>
      </c>
      <c r="BK4473" t="s">
        <v>123</v>
      </c>
      <c r="BL4473" t="str">
        <f>"2016.280848"</f>
        <v>2016.280848</v>
      </c>
      <c r="BM4473" t="s">
        <v>8916</v>
      </c>
      <c r="BN4473" t="s">
        <v>8917</v>
      </c>
      <c r="BO4473" t="s">
        <v>28153</v>
      </c>
      <c r="BS4473">
        <v>30</v>
      </c>
      <c r="BW4473" t="str">
        <f>""</f>
        <v/>
      </c>
      <c r="CH4473" t="str">
        <f>""</f>
        <v/>
      </c>
      <c r="CS4473" t="str">
        <f>""</f>
        <v/>
      </c>
    </row>
    <row r="4474" spans="1:97" x14ac:dyDescent="0.25">
      <c r="A4474" t="s">
        <v>370</v>
      </c>
      <c r="B4474" t="s">
        <v>28154</v>
      </c>
      <c r="C4474" t="s">
        <v>1241</v>
      </c>
      <c r="D4474" t="s">
        <v>28154</v>
      </c>
      <c r="E4474" t="s">
        <v>28155</v>
      </c>
      <c r="F4474" t="s">
        <v>108</v>
      </c>
      <c r="H4474" t="s">
        <v>28156</v>
      </c>
      <c r="I4474" t="s">
        <v>453</v>
      </c>
      <c r="J4474" t="s">
        <v>111</v>
      </c>
      <c r="K4474" t="str">
        <f>"85383"</f>
        <v>85383</v>
      </c>
      <c r="L4474" t="s">
        <v>2220</v>
      </c>
      <c r="M4474" t="s">
        <v>28156</v>
      </c>
      <c r="N4474" t="s">
        <v>453</v>
      </c>
      <c r="O4474" t="s">
        <v>111</v>
      </c>
      <c r="P4474" t="str">
        <f>"85383-7195"</f>
        <v>85383-7195</v>
      </c>
      <c r="Q4474" t="s">
        <v>113</v>
      </c>
      <c r="R4474" t="str">
        <f>"201-09-523"</f>
        <v>201-09-523</v>
      </c>
      <c r="S4474" t="s">
        <v>28157</v>
      </c>
      <c r="T4474" t="s">
        <v>2222</v>
      </c>
      <c r="U4474">
        <v>2128</v>
      </c>
      <c r="V4474">
        <v>0</v>
      </c>
      <c r="W4474">
        <v>3</v>
      </c>
      <c r="X4474">
        <v>2001</v>
      </c>
      <c r="Z4474">
        <v>1</v>
      </c>
      <c r="AB4474">
        <v>0</v>
      </c>
      <c r="AC4474" t="s">
        <v>115</v>
      </c>
      <c r="AD4474">
        <v>3</v>
      </c>
      <c r="AE4474" t="s">
        <v>115</v>
      </c>
      <c r="AF4474">
        <v>0</v>
      </c>
      <c r="AG4474">
        <v>0</v>
      </c>
      <c r="AH4474" t="s">
        <v>116</v>
      </c>
      <c r="AI4474" s="1">
        <v>54110</v>
      </c>
      <c r="AJ4474" s="2">
        <v>0.15</v>
      </c>
      <c r="AK4474" s="1">
        <v>361944</v>
      </c>
      <c r="AL4474" t="s">
        <v>117</v>
      </c>
      <c r="AM4474" t="s">
        <v>171</v>
      </c>
      <c r="AN4474">
        <v>12995</v>
      </c>
      <c r="AO4474">
        <v>0.3</v>
      </c>
      <c r="AP4474">
        <v>1</v>
      </c>
      <c r="AR4474">
        <v>1</v>
      </c>
      <c r="AS4474" s="1">
        <v>27720</v>
      </c>
      <c r="AT4474" s="1">
        <v>5540</v>
      </c>
      <c r="AU4474" s="1">
        <v>22180</v>
      </c>
      <c r="AV4474">
        <v>80.010000000000005</v>
      </c>
      <c r="AX4474" s="1">
        <v>2318.2800000000002</v>
      </c>
      <c r="AY4474" t="s">
        <v>1385</v>
      </c>
      <c r="AZ4474" t="s">
        <v>1385</v>
      </c>
      <c r="BA4474" t="s">
        <v>2223</v>
      </c>
      <c r="BE4474" s="3">
        <v>42164</v>
      </c>
      <c r="BF4474" s="1">
        <v>298000</v>
      </c>
      <c r="BG4474" t="s">
        <v>28158</v>
      </c>
      <c r="BH4474" s="1">
        <v>140.04</v>
      </c>
      <c r="BI4474" s="1">
        <v>307834</v>
      </c>
      <c r="BJ4474" s="3">
        <v>42164</v>
      </c>
      <c r="BK4474" t="s">
        <v>123</v>
      </c>
      <c r="BL4474" t="str">
        <f>"2015.410706"</f>
        <v>2015.410706</v>
      </c>
      <c r="BM4474" t="s">
        <v>594</v>
      </c>
      <c r="BO4474" t="s">
        <v>28159</v>
      </c>
      <c r="BS4474">
        <v>30</v>
      </c>
      <c r="BW4474" t="str">
        <f>""</f>
        <v/>
      </c>
      <c r="CH4474" t="str">
        <f>""</f>
        <v/>
      </c>
      <c r="CS4474" t="str">
        <f>""</f>
        <v/>
      </c>
    </row>
    <row r="4475" spans="1:97" x14ac:dyDescent="0.25">
      <c r="A4475" t="s">
        <v>1444</v>
      </c>
      <c r="B4475" t="s">
        <v>1944</v>
      </c>
      <c r="C4475" t="s">
        <v>1620</v>
      </c>
      <c r="D4475" t="s">
        <v>1944</v>
      </c>
      <c r="E4475" t="s">
        <v>28160</v>
      </c>
      <c r="F4475" t="s">
        <v>108</v>
      </c>
      <c r="H4475" t="s">
        <v>28161</v>
      </c>
      <c r="I4475" t="s">
        <v>225</v>
      </c>
      <c r="J4475" t="s">
        <v>111</v>
      </c>
      <c r="K4475" t="str">
        <f>"85203"</f>
        <v>85203</v>
      </c>
      <c r="L4475" t="s">
        <v>8034</v>
      </c>
      <c r="M4475" t="s">
        <v>28161</v>
      </c>
      <c r="N4475" t="s">
        <v>225</v>
      </c>
      <c r="O4475" t="s">
        <v>111</v>
      </c>
      <c r="P4475" t="str">
        <f>"85203-3804"</f>
        <v>85203-3804</v>
      </c>
      <c r="Q4475" t="s">
        <v>113</v>
      </c>
      <c r="R4475" t="str">
        <f>"136-27-973"</f>
        <v>136-27-973</v>
      </c>
      <c r="S4475" t="s">
        <v>25030</v>
      </c>
      <c r="T4475" t="s">
        <v>15725</v>
      </c>
      <c r="U4475">
        <v>2132</v>
      </c>
      <c r="V4475">
        <v>0</v>
      </c>
      <c r="W4475">
        <v>2</v>
      </c>
      <c r="X4475">
        <v>1979</v>
      </c>
      <c r="Z4475">
        <v>1</v>
      </c>
      <c r="AB4475">
        <v>0</v>
      </c>
      <c r="AC4475" t="s">
        <v>115</v>
      </c>
      <c r="AD4475">
        <v>2</v>
      </c>
      <c r="AE4475" t="s">
        <v>115</v>
      </c>
      <c r="AF4475">
        <v>0</v>
      </c>
      <c r="AG4475">
        <v>0</v>
      </c>
      <c r="AH4475" t="s">
        <v>116</v>
      </c>
      <c r="AI4475" s="1">
        <v>79422</v>
      </c>
      <c r="AJ4475" s="2">
        <v>0.25</v>
      </c>
      <c r="AK4475" s="1">
        <v>318511</v>
      </c>
      <c r="AL4475" t="s">
        <v>117</v>
      </c>
      <c r="AM4475" t="s">
        <v>191</v>
      </c>
      <c r="AN4475">
        <v>10284</v>
      </c>
      <c r="AO4475">
        <v>0.24</v>
      </c>
      <c r="AP4475">
        <v>1</v>
      </c>
      <c r="AR4475">
        <v>1</v>
      </c>
      <c r="AS4475" s="1">
        <v>22330</v>
      </c>
      <c r="AT4475" s="1">
        <v>4460</v>
      </c>
      <c r="AU4475" s="1">
        <v>17870</v>
      </c>
      <c r="AV4475">
        <v>80.03</v>
      </c>
      <c r="AX4475" s="1">
        <v>2013.26</v>
      </c>
      <c r="AY4475" t="s">
        <v>6401</v>
      </c>
      <c r="AZ4475" t="s">
        <v>4163</v>
      </c>
      <c r="BA4475" t="s">
        <v>1524</v>
      </c>
      <c r="BB4475" s="3">
        <v>42324</v>
      </c>
      <c r="BD4475" t="s">
        <v>240</v>
      </c>
      <c r="BE4475" s="3">
        <v>42275</v>
      </c>
      <c r="BF4475" s="1">
        <v>229000</v>
      </c>
      <c r="BG4475" t="s">
        <v>28162</v>
      </c>
      <c r="BH4475" s="1">
        <v>107.41</v>
      </c>
      <c r="BI4475" s="1">
        <v>239089</v>
      </c>
      <c r="BJ4475" s="3">
        <v>42510</v>
      </c>
      <c r="BK4475" t="s">
        <v>123</v>
      </c>
      <c r="BL4475" t="str">
        <f>"2016.348074"</f>
        <v>2016.348074</v>
      </c>
      <c r="BM4475" t="s">
        <v>673</v>
      </c>
      <c r="BO4475" t="s">
        <v>28163</v>
      </c>
      <c r="BS4475">
        <v>30</v>
      </c>
      <c r="BW4475" t="str">
        <f>""</f>
        <v/>
      </c>
      <c r="CH4475" t="str">
        <f>""</f>
        <v/>
      </c>
      <c r="CS4475" t="str">
        <f>""</f>
        <v/>
      </c>
    </row>
    <row r="4476" spans="1:97" x14ac:dyDescent="0.25">
      <c r="A4476" t="s">
        <v>3089</v>
      </c>
      <c r="B4476" t="s">
        <v>28164</v>
      </c>
      <c r="C4476" t="s">
        <v>998</v>
      </c>
      <c r="D4476" t="s">
        <v>28164</v>
      </c>
      <c r="E4476" t="s">
        <v>28165</v>
      </c>
      <c r="F4476" t="s">
        <v>108</v>
      </c>
      <c r="H4476" t="s">
        <v>28166</v>
      </c>
      <c r="I4476" t="s">
        <v>110</v>
      </c>
      <c r="J4476" t="s">
        <v>111</v>
      </c>
      <c r="K4476" t="str">
        <f>"85226"</f>
        <v>85226</v>
      </c>
      <c r="L4476" t="s">
        <v>4003</v>
      </c>
      <c r="M4476" t="s">
        <v>28166</v>
      </c>
      <c r="N4476" t="s">
        <v>110</v>
      </c>
      <c r="O4476" t="s">
        <v>111</v>
      </c>
      <c r="P4476" t="str">
        <f>"85226-5871"</f>
        <v>85226-5871</v>
      </c>
      <c r="Q4476" t="s">
        <v>113</v>
      </c>
      <c r="R4476" t="str">
        <f>"301-68-715"</f>
        <v>301-68-715</v>
      </c>
      <c r="S4476" t="s">
        <v>28167</v>
      </c>
      <c r="U4476">
        <v>3139</v>
      </c>
      <c r="V4476">
        <v>0</v>
      </c>
      <c r="W4476">
        <v>4</v>
      </c>
      <c r="X4476">
        <v>1993</v>
      </c>
      <c r="Z4476">
        <v>2</v>
      </c>
      <c r="AB4476">
        <v>0</v>
      </c>
      <c r="AC4476" t="s">
        <v>115</v>
      </c>
      <c r="AD4476">
        <v>3</v>
      </c>
      <c r="AE4476" t="s">
        <v>115</v>
      </c>
      <c r="AF4476">
        <v>0</v>
      </c>
      <c r="AG4476">
        <v>0</v>
      </c>
      <c r="AH4476" t="s">
        <v>116</v>
      </c>
      <c r="AI4476" s="1">
        <v>40687</v>
      </c>
      <c r="AJ4476" s="2">
        <v>0.09</v>
      </c>
      <c r="AK4476" s="1">
        <v>462887</v>
      </c>
      <c r="AL4476" t="s">
        <v>117</v>
      </c>
      <c r="AM4476" t="s">
        <v>118</v>
      </c>
      <c r="AN4476">
        <v>6307</v>
      </c>
      <c r="AO4476">
        <v>0.14000000000000001</v>
      </c>
      <c r="AP4476">
        <v>1</v>
      </c>
      <c r="AR4476">
        <v>1</v>
      </c>
      <c r="AS4476" s="1">
        <v>33100</v>
      </c>
      <c r="AT4476" s="1">
        <v>6620</v>
      </c>
      <c r="AU4476" s="1">
        <v>26480</v>
      </c>
      <c r="AV4476">
        <v>80</v>
      </c>
      <c r="AX4476" s="1">
        <v>2681.74</v>
      </c>
      <c r="AY4476" t="s">
        <v>14847</v>
      </c>
      <c r="AZ4476" t="s">
        <v>5201</v>
      </c>
      <c r="BA4476" t="s">
        <v>5328</v>
      </c>
      <c r="BE4476" s="3">
        <v>41962</v>
      </c>
      <c r="BF4476" s="1">
        <v>360000</v>
      </c>
      <c r="BG4476" t="s">
        <v>16594</v>
      </c>
      <c r="BH4476" s="1">
        <v>114.69</v>
      </c>
      <c r="BI4476" s="1">
        <v>422200</v>
      </c>
      <c r="BJ4476" s="3">
        <v>43621</v>
      </c>
      <c r="BK4476" t="s">
        <v>123</v>
      </c>
      <c r="BL4476" t="str">
        <f>"2019.416770"</f>
        <v>2019.416770</v>
      </c>
      <c r="BM4476" t="s">
        <v>3562</v>
      </c>
      <c r="BN4476" t="s">
        <v>3686</v>
      </c>
      <c r="BO4476" t="s">
        <v>28168</v>
      </c>
      <c r="BP4476" t="s">
        <v>28169</v>
      </c>
      <c r="BR4476" t="s">
        <v>139</v>
      </c>
      <c r="BW4476" t="str">
        <f>""</f>
        <v/>
      </c>
      <c r="CH4476" t="str">
        <f>""</f>
        <v/>
      </c>
      <c r="CS4476" t="str">
        <f>""</f>
        <v/>
      </c>
    </row>
    <row r="4477" spans="1:97" x14ac:dyDescent="0.25">
      <c r="A4477" t="s">
        <v>370</v>
      </c>
      <c r="B4477" t="s">
        <v>6227</v>
      </c>
      <c r="C4477" t="s">
        <v>3306</v>
      </c>
      <c r="D4477" t="s">
        <v>6227</v>
      </c>
      <c r="E4477" t="s">
        <v>28170</v>
      </c>
      <c r="F4477" t="s">
        <v>108</v>
      </c>
      <c r="H4477" t="s">
        <v>28171</v>
      </c>
      <c r="I4477" t="s">
        <v>225</v>
      </c>
      <c r="J4477" t="s">
        <v>111</v>
      </c>
      <c r="K4477" t="str">
        <f>"85205"</f>
        <v>85205</v>
      </c>
      <c r="L4477" t="s">
        <v>6325</v>
      </c>
      <c r="M4477" t="s">
        <v>28171</v>
      </c>
      <c r="N4477" t="s">
        <v>225</v>
      </c>
      <c r="O4477" t="s">
        <v>111</v>
      </c>
      <c r="P4477" t="str">
        <f>"85205-4070"</f>
        <v>85205-4070</v>
      </c>
      <c r="Q4477" t="s">
        <v>113</v>
      </c>
      <c r="R4477" t="str">
        <f>"141-32-201"</f>
        <v>141-32-201</v>
      </c>
      <c r="S4477" t="s">
        <v>28172</v>
      </c>
      <c r="T4477" t="s">
        <v>28173</v>
      </c>
      <c r="U4477">
        <v>3251</v>
      </c>
      <c r="V4477">
        <v>0</v>
      </c>
      <c r="W4477">
        <v>4</v>
      </c>
      <c r="X4477">
        <v>1991</v>
      </c>
      <c r="Z4477">
        <v>2</v>
      </c>
      <c r="AA4477" t="s">
        <v>26</v>
      </c>
      <c r="AB4477">
        <v>0</v>
      </c>
      <c r="AC4477" t="s">
        <v>115</v>
      </c>
      <c r="AD4477">
        <v>3</v>
      </c>
      <c r="AE4477" t="s">
        <v>115</v>
      </c>
      <c r="AF4477">
        <v>0</v>
      </c>
      <c r="AG4477">
        <v>0</v>
      </c>
      <c r="AH4477" t="s">
        <v>116</v>
      </c>
      <c r="AI4477" s="1">
        <v>104755</v>
      </c>
      <c r="AJ4477" s="2">
        <v>0.19</v>
      </c>
      <c r="AK4477" s="1">
        <v>554110</v>
      </c>
      <c r="AL4477" t="s">
        <v>117</v>
      </c>
      <c r="AM4477" t="s">
        <v>1521</v>
      </c>
      <c r="AN4477">
        <v>20114</v>
      </c>
      <c r="AO4477">
        <v>0.46</v>
      </c>
      <c r="AP4477">
        <v>1</v>
      </c>
      <c r="AR4477">
        <v>1</v>
      </c>
      <c r="AS4477" s="1">
        <v>40470</v>
      </c>
      <c r="AT4477" s="1">
        <v>8090</v>
      </c>
      <c r="AU4477" s="1">
        <v>32380</v>
      </c>
      <c r="AV4477">
        <v>80.010000000000005</v>
      </c>
      <c r="AX4477" s="1">
        <v>3381.38</v>
      </c>
      <c r="AY4477" t="s">
        <v>6044</v>
      </c>
      <c r="AZ4477" t="s">
        <v>4163</v>
      </c>
      <c r="BA4477" t="s">
        <v>1524</v>
      </c>
      <c r="BE4477" s="3">
        <v>41726</v>
      </c>
      <c r="BF4477" s="1">
        <v>450000</v>
      </c>
      <c r="BG4477" t="s">
        <v>28174</v>
      </c>
      <c r="BH4477" s="1">
        <v>138.41999999999999</v>
      </c>
      <c r="BI4477" s="1">
        <v>449355</v>
      </c>
      <c r="BJ4477" s="3">
        <v>41726</v>
      </c>
      <c r="BK4477" t="s">
        <v>123</v>
      </c>
      <c r="BL4477" t="str">
        <f>"2014.199497"</f>
        <v>2014.199497</v>
      </c>
      <c r="BM4477" t="s">
        <v>2489</v>
      </c>
      <c r="BO4477" t="s">
        <v>28175</v>
      </c>
      <c r="BS4477">
        <v>30</v>
      </c>
      <c r="BW4477" t="str">
        <f>""</f>
        <v/>
      </c>
      <c r="CH4477" t="str">
        <f>""</f>
        <v/>
      </c>
      <c r="CS4477" t="str">
        <f>""</f>
        <v/>
      </c>
    </row>
    <row r="4478" spans="1:97" x14ac:dyDescent="0.25">
      <c r="A4478" t="s">
        <v>2915</v>
      </c>
      <c r="B4478" t="s">
        <v>28176</v>
      </c>
      <c r="C4478" t="s">
        <v>1289</v>
      </c>
      <c r="D4478" t="s">
        <v>28176</v>
      </c>
      <c r="E4478" t="s">
        <v>28177</v>
      </c>
      <c r="F4478" t="s">
        <v>108</v>
      </c>
      <c r="H4478" t="s">
        <v>28178</v>
      </c>
      <c r="I4478" t="s">
        <v>188</v>
      </c>
      <c r="J4478" t="s">
        <v>111</v>
      </c>
      <c r="K4478" t="str">
        <f>"85142"</f>
        <v>85142</v>
      </c>
      <c r="L4478" t="s">
        <v>5456</v>
      </c>
      <c r="M4478" t="s">
        <v>28178</v>
      </c>
      <c r="N4478" t="s">
        <v>188</v>
      </c>
      <c r="O4478" t="s">
        <v>111</v>
      </c>
      <c r="P4478" t="str">
        <f>"85142-6292"</f>
        <v>85142-6292</v>
      </c>
      <c r="Q4478" t="s">
        <v>113</v>
      </c>
      <c r="R4478" t="str">
        <f>"304-67-430"</f>
        <v>304-67-430</v>
      </c>
      <c r="S4478" t="s">
        <v>20253</v>
      </c>
      <c r="T4478" t="s">
        <v>20253</v>
      </c>
      <c r="U4478">
        <v>2610</v>
      </c>
      <c r="V4478">
        <v>0</v>
      </c>
      <c r="W4478">
        <v>4</v>
      </c>
      <c r="X4478">
        <v>2009</v>
      </c>
      <c r="Z4478">
        <v>1</v>
      </c>
      <c r="AB4478">
        <v>0</v>
      </c>
      <c r="AC4478" t="s">
        <v>115</v>
      </c>
      <c r="AD4478">
        <v>3</v>
      </c>
      <c r="AE4478" t="s">
        <v>115</v>
      </c>
      <c r="AF4478">
        <v>0</v>
      </c>
      <c r="AG4478">
        <v>0</v>
      </c>
      <c r="AH4478" t="s">
        <v>116</v>
      </c>
      <c r="AI4478" s="1">
        <v>105918</v>
      </c>
      <c r="AJ4478" s="2">
        <v>0.27</v>
      </c>
      <c r="AK4478" s="1">
        <v>393318</v>
      </c>
      <c r="AL4478" t="s">
        <v>117</v>
      </c>
      <c r="AM4478" t="s">
        <v>393</v>
      </c>
      <c r="AN4478">
        <v>8999</v>
      </c>
      <c r="AO4478">
        <v>0.21</v>
      </c>
      <c r="AR4478">
        <v>1</v>
      </c>
      <c r="AS4478" s="1">
        <v>29380</v>
      </c>
      <c r="AT4478" s="1">
        <v>5870</v>
      </c>
      <c r="AU4478" s="1">
        <v>23510</v>
      </c>
      <c r="AV4478">
        <v>80.02</v>
      </c>
      <c r="AX4478" s="1">
        <v>2830.44</v>
      </c>
      <c r="AY4478" t="s">
        <v>192</v>
      </c>
      <c r="AZ4478" t="s">
        <v>193</v>
      </c>
      <c r="BA4478" t="s">
        <v>194</v>
      </c>
      <c r="BE4478" s="3">
        <v>41739</v>
      </c>
      <c r="BF4478" s="1">
        <v>299900</v>
      </c>
      <c r="BG4478" t="s">
        <v>28179</v>
      </c>
      <c r="BH4478" s="1">
        <v>114.9</v>
      </c>
      <c r="BI4478" s="1">
        <v>287400</v>
      </c>
      <c r="BJ4478" s="3">
        <v>42661</v>
      </c>
      <c r="BK4478" t="s">
        <v>123</v>
      </c>
      <c r="BL4478" t="str">
        <f>"2016.763743"</f>
        <v>2016.763743</v>
      </c>
      <c r="BM4478" t="s">
        <v>124</v>
      </c>
      <c r="BO4478" t="s">
        <v>28180</v>
      </c>
      <c r="BS4478">
        <v>30</v>
      </c>
      <c r="BW4478" t="str">
        <f>""</f>
        <v/>
      </c>
      <c r="CH4478" t="str">
        <f>""</f>
        <v/>
      </c>
      <c r="CS4478" t="str">
        <f>""</f>
        <v/>
      </c>
    </row>
    <row r="4479" spans="1:97" x14ac:dyDescent="0.25">
      <c r="A4479" t="s">
        <v>1160</v>
      </c>
      <c r="B4479" t="s">
        <v>28181</v>
      </c>
      <c r="C4479" t="s">
        <v>1666</v>
      </c>
      <c r="D4479" t="s">
        <v>28181</v>
      </c>
      <c r="E4479" t="s">
        <v>28182</v>
      </c>
      <c r="F4479" t="s">
        <v>108</v>
      </c>
      <c r="H4479" t="s">
        <v>28183</v>
      </c>
      <c r="I4479" t="s">
        <v>390</v>
      </c>
      <c r="J4479" t="s">
        <v>111</v>
      </c>
      <c r="K4479" t="str">
        <f>"85044"</f>
        <v>85044</v>
      </c>
      <c r="L4479" t="s">
        <v>9764</v>
      </c>
      <c r="M4479" t="s">
        <v>28183</v>
      </c>
      <c r="N4479" t="s">
        <v>390</v>
      </c>
      <c r="O4479" t="s">
        <v>111</v>
      </c>
      <c r="P4479" t="str">
        <f>"85044-6506"</f>
        <v>85044-6506</v>
      </c>
      <c r="Q4479" t="s">
        <v>113</v>
      </c>
      <c r="R4479" t="str">
        <f>"301-77-919"</f>
        <v>301-77-919</v>
      </c>
      <c r="S4479" t="s">
        <v>28184</v>
      </c>
      <c r="T4479" t="s">
        <v>28185</v>
      </c>
      <c r="U4479">
        <v>1955</v>
      </c>
      <c r="V4479">
        <v>0</v>
      </c>
      <c r="W4479">
        <v>4</v>
      </c>
      <c r="X4479">
        <v>1987</v>
      </c>
      <c r="Z4479">
        <v>2</v>
      </c>
      <c r="AB4479">
        <v>0</v>
      </c>
      <c r="AC4479" t="s">
        <v>115</v>
      </c>
      <c r="AD4479">
        <v>2</v>
      </c>
      <c r="AE4479" t="s">
        <v>115</v>
      </c>
      <c r="AF4479">
        <v>0</v>
      </c>
      <c r="AG4479">
        <v>0</v>
      </c>
      <c r="AH4479" t="s">
        <v>116</v>
      </c>
      <c r="AI4479" s="1">
        <v>44412</v>
      </c>
      <c r="AJ4479" s="2">
        <v>0.11</v>
      </c>
      <c r="AK4479" s="1">
        <v>407281</v>
      </c>
      <c r="AL4479" t="s">
        <v>117</v>
      </c>
      <c r="AM4479" t="s">
        <v>191</v>
      </c>
      <c r="AN4479">
        <v>14645</v>
      </c>
      <c r="AO4479">
        <v>0.34</v>
      </c>
      <c r="AP4479">
        <v>1</v>
      </c>
      <c r="AR4479">
        <v>1</v>
      </c>
      <c r="AS4479" s="1">
        <v>29780</v>
      </c>
      <c r="AT4479" s="1">
        <v>5950</v>
      </c>
      <c r="AU4479" s="1">
        <v>23830</v>
      </c>
      <c r="AV4479">
        <v>80.02</v>
      </c>
      <c r="AX4479" s="1">
        <v>2312.16</v>
      </c>
      <c r="AY4479" t="s">
        <v>10121</v>
      </c>
      <c r="AZ4479" t="s">
        <v>2967</v>
      </c>
      <c r="BA4479" t="s">
        <v>930</v>
      </c>
      <c r="BE4479" s="3">
        <v>41725</v>
      </c>
      <c r="BF4479" s="1">
        <v>315000</v>
      </c>
      <c r="BG4479" t="s">
        <v>20328</v>
      </c>
      <c r="BH4479" s="1">
        <v>161.13</v>
      </c>
      <c r="BI4479" s="1">
        <v>323750</v>
      </c>
      <c r="BJ4479" s="3">
        <v>41948</v>
      </c>
      <c r="BK4479" t="s">
        <v>123</v>
      </c>
      <c r="BL4479" t="str">
        <f>"2014.734958"</f>
        <v>2014.734958</v>
      </c>
      <c r="BM4479" t="s">
        <v>709</v>
      </c>
      <c r="BO4479" t="s">
        <v>28186</v>
      </c>
      <c r="BS4479">
        <v>30</v>
      </c>
      <c r="BT4479" s="1">
        <v>39119</v>
      </c>
      <c r="BU4479" s="3">
        <v>42989</v>
      </c>
      <c r="BW4479" t="str">
        <f>"2017.669251"</f>
        <v>2017.669251</v>
      </c>
      <c r="BX4479" t="s">
        <v>877</v>
      </c>
      <c r="BZ4479" t="s">
        <v>28186</v>
      </c>
      <c r="CD4479">
        <v>5</v>
      </c>
      <c r="CH4479" t="str">
        <f>""</f>
        <v/>
      </c>
      <c r="CS4479" t="str">
        <f>""</f>
        <v/>
      </c>
    </row>
    <row r="4480" spans="1:97" x14ac:dyDescent="0.25">
      <c r="A4480" t="s">
        <v>1354</v>
      </c>
      <c r="B4480" t="s">
        <v>28187</v>
      </c>
      <c r="E4480" t="s">
        <v>28188</v>
      </c>
      <c r="F4480" t="s">
        <v>108</v>
      </c>
      <c r="H4480" t="s">
        <v>28189</v>
      </c>
      <c r="I4480" t="s">
        <v>110</v>
      </c>
      <c r="J4480" t="s">
        <v>111</v>
      </c>
      <c r="K4480" t="str">
        <f>"85226"</f>
        <v>85226</v>
      </c>
      <c r="L4480" t="s">
        <v>5325</v>
      </c>
      <c r="M4480" t="s">
        <v>28189</v>
      </c>
      <c r="N4480" t="s">
        <v>110</v>
      </c>
      <c r="O4480" t="s">
        <v>111</v>
      </c>
      <c r="P4480" t="str">
        <f>"85226-5320"</f>
        <v>85226-5320</v>
      </c>
      <c r="Q4480" t="s">
        <v>113</v>
      </c>
      <c r="R4480" t="str">
        <f>"308-09-096"</f>
        <v>308-09-096</v>
      </c>
      <c r="S4480" t="s">
        <v>15818</v>
      </c>
      <c r="T4480" t="s">
        <v>15819</v>
      </c>
      <c r="U4480">
        <v>1972</v>
      </c>
      <c r="V4480">
        <v>0</v>
      </c>
      <c r="W4480">
        <v>3</v>
      </c>
      <c r="X4480">
        <v>1993</v>
      </c>
      <c r="Z4480">
        <v>1</v>
      </c>
      <c r="AA4480" t="s">
        <v>26</v>
      </c>
      <c r="AB4480">
        <v>0</v>
      </c>
      <c r="AC4480" t="s">
        <v>115</v>
      </c>
      <c r="AD4480">
        <v>3</v>
      </c>
      <c r="AE4480" t="s">
        <v>115</v>
      </c>
      <c r="AF4480">
        <v>0</v>
      </c>
      <c r="AG4480">
        <v>0</v>
      </c>
      <c r="AH4480" t="s">
        <v>116</v>
      </c>
      <c r="AI4480" s="1">
        <v>101050</v>
      </c>
      <c r="AJ4480" s="2">
        <v>0.27</v>
      </c>
      <c r="AK4480" s="1">
        <v>378050</v>
      </c>
      <c r="AL4480" t="s">
        <v>117</v>
      </c>
      <c r="AM4480" t="s">
        <v>118</v>
      </c>
      <c r="AN4480">
        <v>7372</v>
      </c>
      <c r="AO4480">
        <v>0.17</v>
      </c>
      <c r="AP4480">
        <v>1</v>
      </c>
      <c r="AR4480">
        <v>1</v>
      </c>
      <c r="AS4480" s="1">
        <v>28450</v>
      </c>
      <c r="AT4480" s="1">
        <v>5690</v>
      </c>
      <c r="AU4480" s="1">
        <v>22760</v>
      </c>
      <c r="AV4480">
        <v>80</v>
      </c>
      <c r="AX4480" s="1">
        <v>3044.3</v>
      </c>
      <c r="AY4480" t="s">
        <v>5200</v>
      </c>
      <c r="AZ4480" t="s">
        <v>5201</v>
      </c>
      <c r="BA4480" t="s">
        <v>5202</v>
      </c>
      <c r="BB4480" s="3">
        <v>43294</v>
      </c>
      <c r="BC4480" s="1">
        <v>0</v>
      </c>
      <c r="BD4480" t="s">
        <v>247</v>
      </c>
      <c r="BE4480" s="3">
        <v>42244</v>
      </c>
      <c r="BF4480" s="1">
        <v>310000</v>
      </c>
      <c r="BG4480" t="s">
        <v>28190</v>
      </c>
      <c r="BH4480" s="1">
        <v>157.19999999999999</v>
      </c>
      <c r="BI4480" s="1">
        <v>277000</v>
      </c>
      <c r="BJ4480" s="3">
        <v>42244</v>
      </c>
      <c r="BK4480" t="s">
        <v>123</v>
      </c>
      <c r="BL4480" t="str">
        <f>"2015.627080"</f>
        <v>2015.627080</v>
      </c>
      <c r="BM4480" t="s">
        <v>594</v>
      </c>
      <c r="BN4480" t="s">
        <v>595</v>
      </c>
      <c r="BO4480" t="s">
        <v>28191</v>
      </c>
      <c r="BP4480" t="s">
        <v>28192</v>
      </c>
      <c r="BS4480">
        <v>30</v>
      </c>
      <c r="BW4480" t="str">
        <f>""</f>
        <v/>
      </c>
      <c r="CH4480" t="str">
        <f>""</f>
        <v/>
      </c>
      <c r="CS4480" t="str">
        <f>""</f>
        <v/>
      </c>
    </row>
    <row r="4481" spans="1:97" x14ac:dyDescent="0.25">
      <c r="A4481" t="s">
        <v>894</v>
      </c>
      <c r="B4481" t="s">
        <v>28193</v>
      </c>
      <c r="C4481" t="s">
        <v>1241</v>
      </c>
      <c r="D4481" t="s">
        <v>28193</v>
      </c>
      <c r="E4481" t="s">
        <v>28194</v>
      </c>
      <c r="F4481" t="s">
        <v>108</v>
      </c>
      <c r="H4481" t="s">
        <v>28195</v>
      </c>
      <c r="I4481" t="s">
        <v>632</v>
      </c>
      <c r="J4481" t="s">
        <v>111</v>
      </c>
      <c r="K4481" t="str">
        <f>"85387"</f>
        <v>85387</v>
      </c>
      <c r="L4481" t="s">
        <v>774</v>
      </c>
      <c r="M4481" t="s">
        <v>28195</v>
      </c>
      <c r="N4481" t="s">
        <v>632</v>
      </c>
      <c r="O4481" t="s">
        <v>111</v>
      </c>
      <c r="P4481" t="str">
        <f>"85387-7523"</f>
        <v>85387-7523</v>
      </c>
      <c r="Q4481" t="s">
        <v>113</v>
      </c>
      <c r="R4481" t="str">
        <f>"232-43-133"</f>
        <v>232-43-133</v>
      </c>
      <c r="S4481" t="s">
        <v>28196</v>
      </c>
      <c r="T4481" t="s">
        <v>28196</v>
      </c>
      <c r="U4481">
        <v>2334</v>
      </c>
      <c r="V4481">
        <v>0</v>
      </c>
      <c r="W4481">
        <v>3</v>
      </c>
      <c r="X4481">
        <v>2002</v>
      </c>
      <c r="Z4481">
        <v>1</v>
      </c>
      <c r="AA4481" t="s">
        <v>26</v>
      </c>
      <c r="AB4481">
        <v>0</v>
      </c>
      <c r="AC4481" t="s">
        <v>115</v>
      </c>
      <c r="AD4481">
        <v>2</v>
      </c>
      <c r="AE4481" t="s">
        <v>115</v>
      </c>
      <c r="AF4481">
        <v>0</v>
      </c>
      <c r="AG4481">
        <v>0</v>
      </c>
      <c r="AH4481" t="s">
        <v>116</v>
      </c>
      <c r="AI4481" s="1">
        <v>119813</v>
      </c>
      <c r="AJ4481" s="2">
        <v>0.28000000000000003</v>
      </c>
      <c r="AK4481" s="1">
        <v>430813</v>
      </c>
      <c r="AL4481" t="s">
        <v>117</v>
      </c>
      <c r="AM4481" t="s">
        <v>118</v>
      </c>
      <c r="AN4481">
        <v>11148</v>
      </c>
      <c r="AO4481">
        <v>0.26</v>
      </c>
      <c r="AP4481">
        <v>1</v>
      </c>
      <c r="AR4481">
        <v>1</v>
      </c>
      <c r="AS4481" s="1">
        <v>29500</v>
      </c>
      <c r="AT4481" s="1">
        <v>5900</v>
      </c>
      <c r="AU4481" s="1">
        <v>23600</v>
      </c>
      <c r="AV4481">
        <v>80</v>
      </c>
      <c r="AX4481" s="1">
        <v>3003.74</v>
      </c>
      <c r="AY4481" t="s">
        <v>5108</v>
      </c>
      <c r="AZ4481" t="s">
        <v>5108</v>
      </c>
      <c r="BA4481" t="s">
        <v>5109</v>
      </c>
      <c r="BB4481" s="3">
        <v>42292</v>
      </c>
      <c r="BD4481" t="s">
        <v>240</v>
      </c>
      <c r="BE4481" s="3">
        <v>41905</v>
      </c>
      <c r="BF4481" s="1">
        <v>365000</v>
      </c>
      <c r="BG4481" t="s">
        <v>28197</v>
      </c>
      <c r="BH4481" s="1">
        <v>156.38</v>
      </c>
      <c r="BI4481" s="1">
        <v>261000</v>
      </c>
      <c r="BJ4481" s="3">
        <v>42669</v>
      </c>
      <c r="BK4481" t="s">
        <v>123</v>
      </c>
      <c r="BL4481" t="str">
        <f>"2016.785107"</f>
        <v>2016.785107</v>
      </c>
      <c r="BM4481" t="s">
        <v>724</v>
      </c>
      <c r="BN4481" t="s">
        <v>5423</v>
      </c>
      <c r="BO4481" t="s">
        <v>28198</v>
      </c>
      <c r="BS4481">
        <v>30</v>
      </c>
      <c r="BT4481" s="1">
        <v>50000</v>
      </c>
      <c r="BU4481" s="3">
        <v>43395</v>
      </c>
      <c r="BW4481" t="str">
        <f>"2018.788203"</f>
        <v>2018.788203</v>
      </c>
      <c r="BX4481" t="s">
        <v>383</v>
      </c>
      <c r="BY4481" t="s">
        <v>384</v>
      </c>
      <c r="BZ4481" t="s">
        <v>28199</v>
      </c>
      <c r="CA4481" t="s">
        <v>28200</v>
      </c>
      <c r="CC4481" t="s">
        <v>346</v>
      </c>
      <c r="CH4481" t="str">
        <f>""</f>
        <v/>
      </c>
      <c r="CS4481" t="str">
        <f>""</f>
        <v/>
      </c>
    </row>
    <row r="4482" spans="1:97" x14ac:dyDescent="0.25">
      <c r="A4482" t="s">
        <v>1963</v>
      </c>
      <c r="B4482" t="s">
        <v>28201</v>
      </c>
      <c r="C4482" t="s">
        <v>28202</v>
      </c>
      <c r="D4482" t="s">
        <v>4527</v>
      </c>
      <c r="E4482" t="s">
        <v>28203</v>
      </c>
      <c r="F4482" t="s">
        <v>108</v>
      </c>
      <c r="H4482" t="s">
        <v>28204</v>
      </c>
      <c r="I4482" t="s">
        <v>188</v>
      </c>
      <c r="J4482" t="s">
        <v>111</v>
      </c>
      <c r="K4482" t="str">
        <f>"85142"</f>
        <v>85142</v>
      </c>
      <c r="L4482" t="s">
        <v>625</v>
      </c>
      <c r="M4482" t="s">
        <v>28204</v>
      </c>
      <c r="N4482" t="s">
        <v>188</v>
      </c>
      <c r="O4482" t="s">
        <v>111</v>
      </c>
      <c r="P4482" t="str">
        <f>"85142-5987"</f>
        <v>85142-5987</v>
      </c>
      <c r="Q4482" t="s">
        <v>113</v>
      </c>
      <c r="R4482" t="str">
        <f>"304-64-747"</f>
        <v>304-64-747</v>
      </c>
      <c r="S4482" t="s">
        <v>5881</v>
      </c>
      <c r="T4482" t="s">
        <v>5882</v>
      </c>
      <c r="U4482">
        <v>3549</v>
      </c>
      <c r="V4482">
        <v>0</v>
      </c>
      <c r="W4482">
        <v>5</v>
      </c>
      <c r="X4482">
        <v>2014</v>
      </c>
      <c r="Z4482">
        <v>2</v>
      </c>
      <c r="AA4482" t="s">
        <v>26</v>
      </c>
      <c r="AB4482">
        <v>0</v>
      </c>
      <c r="AC4482" t="s">
        <v>115</v>
      </c>
      <c r="AD4482">
        <v>3</v>
      </c>
      <c r="AE4482" t="s">
        <v>115</v>
      </c>
      <c r="AF4482">
        <v>0</v>
      </c>
      <c r="AG4482">
        <v>0</v>
      </c>
      <c r="AH4482" t="s">
        <v>116</v>
      </c>
      <c r="AI4482" s="1">
        <v>27947</v>
      </c>
      <c r="AJ4482" s="2">
        <v>0.06</v>
      </c>
      <c r="AK4482" s="1">
        <v>443547</v>
      </c>
      <c r="AL4482" t="s">
        <v>117</v>
      </c>
      <c r="AM4482" t="s">
        <v>393</v>
      </c>
      <c r="AN4482">
        <v>8807</v>
      </c>
      <c r="AO4482">
        <v>0.2</v>
      </c>
      <c r="AR4482">
        <v>1</v>
      </c>
      <c r="AS4482" s="1">
        <v>31300</v>
      </c>
      <c r="AT4482" s="1">
        <v>6260</v>
      </c>
      <c r="AU4482" s="1">
        <v>25040</v>
      </c>
      <c r="AV4482">
        <v>80</v>
      </c>
      <c r="AX4482" s="1">
        <v>2654.1</v>
      </c>
      <c r="AY4482" t="s">
        <v>560</v>
      </c>
      <c r="AZ4482" t="s">
        <v>561</v>
      </c>
      <c r="BA4482" t="s">
        <v>194</v>
      </c>
      <c r="BB4482" s="3">
        <v>43663</v>
      </c>
      <c r="BC4482" s="1">
        <v>0</v>
      </c>
      <c r="BD4482" t="s">
        <v>247</v>
      </c>
      <c r="BE4482" s="3">
        <v>42192</v>
      </c>
      <c r="BF4482" s="1">
        <v>328000</v>
      </c>
      <c r="BG4482" t="s">
        <v>158</v>
      </c>
      <c r="BH4482" s="1">
        <v>92.42</v>
      </c>
      <c r="BI4482" s="1">
        <v>347328</v>
      </c>
      <c r="BJ4482" s="3">
        <v>42321</v>
      </c>
      <c r="BK4482" t="s">
        <v>123</v>
      </c>
      <c r="BL4482" t="str">
        <f>"2015.814605"</f>
        <v>2015.814605</v>
      </c>
      <c r="BM4482" t="s">
        <v>1707</v>
      </c>
      <c r="BN4482" t="s">
        <v>4706</v>
      </c>
      <c r="BO4482" t="s">
        <v>28205</v>
      </c>
      <c r="BS4482">
        <v>30</v>
      </c>
      <c r="BT4482" s="1">
        <v>68272</v>
      </c>
      <c r="BU4482" s="3">
        <v>43663</v>
      </c>
      <c r="BW4482" t="str">
        <f>"2019.540378"</f>
        <v>2019.540378</v>
      </c>
      <c r="BX4482" t="s">
        <v>1948</v>
      </c>
      <c r="BY4482" t="s">
        <v>2988</v>
      </c>
      <c r="BZ4482" t="s">
        <v>28206</v>
      </c>
      <c r="CA4482" t="s">
        <v>28207</v>
      </c>
      <c r="CC4482" t="s">
        <v>346</v>
      </c>
      <c r="CH4482" t="str">
        <f>""</f>
        <v/>
      </c>
      <c r="CS4482" t="str">
        <f>""</f>
        <v/>
      </c>
    </row>
    <row r="4483" spans="1:97" x14ac:dyDescent="0.25">
      <c r="A4483" t="s">
        <v>2894</v>
      </c>
      <c r="B4483" t="s">
        <v>6979</v>
      </c>
      <c r="C4483" t="s">
        <v>1335</v>
      </c>
      <c r="D4483" t="s">
        <v>6979</v>
      </c>
      <c r="E4483" t="s">
        <v>28208</v>
      </c>
      <c r="F4483" t="s">
        <v>108</v>
      </c>
      <c r="H4483" t="s">
        <v>28209</v>
      </c>
      <c r="I4483" t="s">
        <v>167</v>
      </c>
      <c r="J4483" t="s">
        <v>111</v>
      </c>
      <c r="K4483" t="str">
        <f>"85339"</f>
        <v>85339</v>
      </c>
      <c r="L4483" t="s">
        <v>2765</v>
      </c>
      <c r="M4483" t="s">
        <v>28209</v>
      </c>
      <c r="N4483" t="s">
        <v>167</v>
      </c>
      <c r="O4483" t="s">
        <v>111</v>
      </c>
      <c r="P4483" t="str">
        <f>"85339-2386"</f>
        <v>85339-2386</v>
      </c>
      <c r="Q4483" t="s">
        <v>113</v>
      </c>
      <c r="R4483" t="str">
        <f>"300-84-236"</f>
        <v>300-84-236</v>
      </c>
      <c r="S4483" t="s">
        <v>13992</v>
      </c>
      <c r="U4483">
        <v>2270</v>
      </c>
      <c r="V4483">
        <v>0</v>
      </c>
      <c r="W4483">
        <v>3</v>
      </c>
      <c r="X4483">
        <v>2004</v>
      </c>
      <c r="Z4483">
        <v>1</v>
      </c>
      <c r="AA4483" t="s">
        <v>26</v>
      </c>
      <c r="AB4483">
        <v>0</v>
      </c>
      <c r="AC4483" t="s">
        <v>115</v>
      </c>
      <c r="AD4483">
        <v>2</v>
      </c>
      <c r="AE4483" t="s">
        <v>115</v>
      </c>
      <c r="AF4483">
        <v>0</v>
      </c>
      <c r="AG4483">
        <v>0</v>
      </c>
      <c r="AH4483" t="s">
        <v>116</v>
      </c>
      <c r="AI4483" s="1">
        <v>37631</v>
      </c>
      <c r="AJ4483" s="2">
        <v>0.14000000000000001</v>
      </c>
      <c r="AK4483" s="1">
        <v>272015</v>
      </c>
      <c r="AL4483" t="s">
        <v>117</v>
      </c>
      <c r="AM4483" t="s">
        <v>171</v>
      </c>
      <c r="AN4483">
        <v>5975</v>
      </c>
      <c r="AO4483">
        <v>0.14000000000000001</v>
      </c>
      <c r="AP4483">
        <v>1</v>
      </c>
      <c r="AR4483">
        <v>1</v>
      </c>
      <c r="AS4483" s="1">
        <v>19130</v>
      </c>
      <c r="AT4483" s="1">
        <v>3820</v>
      </c>
      <c r="AU4483" s="1">
        <v>15310</v>
      </c>
      <c r="AV4483">
        <v>80.03</v>
      </c>
      <c r="AX4483" s="1">
        <v>2059.42</v>
      </c>
      <c r="AY4483" t="s">
        <v>5777</v>
      </c>
      <c r="AZ4483" t="s">
        <v>5777</v>
      </c>
      <c r="BA4483" t="s">
        <v>173</v>
      </c>
      <c r="BE4483" s="3">
        <v>42510</v>
      </c>
      <c r="BF4483" s="1">
        <v>230000</v>
      </c>
      <c r="BG4483" t="s">
        <v>28210</v>
      </c>
      <c r="BH4483" s="1">
        <v>101.32</v>
      </c>
      <c r="BI4483" s="1">
        <v>234384</v>
      </c>
      <c r="BJ4483" s="3">
        <v>42664</v>
      </c>
      <c r="BK4483" t="s">
        <v>123</v>
      </c>
      <c r="BL4483" t="str">
        <f>"2016.772762"</f>
        <v>2016.772762</v>
      </c>
      <c r="BM4483" t="s">
        <v>402</v>
      </c>
      <c r="BO4483" t="s">
        <v>28211</v>
      </c>
      <c r="BS4483">
        <v>30</v>
      </c>
      <c r="BW4483" t="str">
        <f>""</f>
        <v/>
      </c>
      <c r="CH4483" t="str">
        <f>""</f>
        <v/>
      </c>
      <c r="CS4483" t="str">
        <f>""</f>
        <v/>
      </c>
    </row>
    <row r="4484" spans="1:97" x14ac:dyDescent="0.25">
      <c r="A4484" t="s">
        <v>1344</v>
      </c>
      <c r="B4484" t="s">
        <v>1929</v>
      </c>
      <c r="E4484" t="s">
        <v>28212</v>
      </c>
      <c r="F4484" t="s">
        <v>139</v>
      </c>
      <c r="H4484" t="s">
        <v>28213</v>
      </c>
      <c r="I4484" t="s">
        <v>390</v>
      </c>
      <c r="J4484" t="s">
        <v>111</v>
      </c>
      <c r="K4484" t="str">
        <f>"85029"</f>
        <v>85029</v>
      </c>
      <c r="L4484" t="s">
        <v>2903</v>
      </c>
      <c r="M4484" t="s">
        <v>28214</v>
      </c>
      <c r="N4484" t="s">
        <v>390</v>
      </c>
      <c r="O4484" t="s">
        <v>111</v>
      </c>
      <c r="P4484" t="str">
        <f>"85064-2211"</f>
        <v>85064-2211</v>
      </c>
      <c r="Q4484" t="s">
        <v>113</v>
      </c>
      <c r="R4484" t="str">
        <f>"159-50-012"</f>
        <v>159-50-012</v>
      </c>
      <c r="S4484" t="s">
        <v>28215</v>
      </c>
      <c r="T4484" t="s">
        <v>28215</v>
      </c>
      <c r="U4484">
        <v>1712</v>
      </c>
      <c r="V4484">
        <v>0</v>
      </c>
      <c r="W4484">
        <v>2</v>
      </c>
      <c r="X4484">
        <v>1973</v>
      </c>
      <c r="Z4484">
        <v>1</v>
      </c>
      <c r="AB4484">
        <v>0</v>
      </c>
      <c r="AC4484" t="s">
        <v>115</v>
      </c>
      <c r="AD4484">
        <v>2</v>
      </c>
      <c r="AE4484" t="s">
        <v>115</v>
      </c>
      <c r="AF4484">
        <v>0</v>
      </c>
      <c r="AG4484">
        <v>0</v>
      </c>
      <c r="AH4484" t="s">
        <v>116</v>
      </c>
      <c r="AI4484" s="1">
        <v>37282</v>
      </c>
      <c r="AJ4484" s="2">
        <v>0.14000000000000001</v>
      </c>
      <c r="AK4484" s="1">
        <v>262476</v>
      </c>
      <c r="AL4484" t="s">
        <v>117</v>
      </c>
      <c r="AM4484" t="s">
        <v>1302</v>
      </c>
      <c r="AN4484">
        <v>11112</v>
      </c>
      <c r="AO4484">
        <v>0.26</v>
      </c>
      <c r="AP4484">
        <v>1</v>
      </c>
      <c r="AR4484">
        <v>1</v>
      </c>
      <c r="AS4484" s="1">
        <v>24670</v>
      </c>
      <c r="AT4484" s="1">
        <v>4930</v>
      </c>
      <c r="AU4484" s="1">
        <v>19740</v>
      </c>
      <c r="AV4484">
        <v>80.02</v>
      </c>
      <c r="AX4484" s="1">
        <v>2251.54</v>
      </c>
      <c r="AY4484" t="s">
        <v>19934</v>
      </c>
      <c r="AZ4484" t="s">
        <v>8648</v>
      </c>
      <c r="BA4484" t="s">
        <v>8649</v>
      </c>
      <c r="BE4484" s="3">
        <v>42300</v>
      </c>
      <c r="BF4484" s="1">
        <v>202908</v>
      </c>
      <c r="BG4484" t="s">
        <v>28216</v>
      </c>
      <c r="BH4484" s="1">
        <v>132.1</v>
      </c>
      <c r="BI4484" s="1">
        <v>225194</v>
      </c>
      <c r="BJ4484" s="3">
        <v>42725</v>
      </c>
      <c r="BK4484" t="s">
        <v>123</v>
      </c>
      <c r="BL4484" t="str">
        <f>"2016.939768"</f>
        <v>2016.939768</v>
      </c>
      <c r="BM4484" t="s">
        <v>9140</v>
      </c>
      <c r="BO4484" t="s">
        <v>28217</v>
      </c>
      <c r="BS4484">
        <v>30</v>
      </c>
      <c r="BW4484" t="str">
        <f>""</f>
        <v/>
      </c>
      <c r="CH4484" t="str">
        <f>""</f>
        <v/>
      </c>
      <c r="CS4484" t="str">
        <f>""</f>
        <v/>
      </c>
    </row>
    <row r="4485" spans="1:97" x14ac:dyDescent="0.25">
      <c r="A4485" t="s">
        <v>28218</v>
      </c>
      <c r="B4485" t="s">
        <v>12068</v>
      </c>
      <c r="C4485" t="s">
        <v>4026</v>
      </c>
      <c r="D4485" t="s">
        <v>12068</v>
      </c>
      <c r="E4485" t="s">
        <v>28219</v>
      </c>
      <c r="F4485" t="s">
        <v>108</v>
      </c>
      <c r="H4485" t="s">
        <v>28220</v>
      </c>
      <c r="I4485" t="s">
        <v>188</v>
      </c>
      <c r="J4485" t="s">
        <v>111</v>
      </c>
      <c r="K4485" t="str">
        <f>"85142"</f>
        <v>85142</v>
      </c>
      <c r="L4485" t="s">
        <v>1070</v>
      </c>
      <c r="M4485" t="s">
        <v>28220</v>
      </c>
      <c r="N4485" t="s">
        <v>188</v>
      </c>
      <c r="O4485" t="s">
        <v>111</v>
      </c>
      <c r="P4485" t="str">
        <f>"85142-5067"</f>
        <v>85142-5067</v>
      </c>
      <c r="Q4485" t="s">
        <v>113</v>
      </c>
      <c r="R4485" t="str">
        <f>"314-09-042"</f>
        <v>314-09-042</v>
      </c>
      <c r="S4485" t="s">
        <v>17033</v>
      </c>
      <c r="T4485" t="s">
        <v>17034</v>
      </c>
      <c r="U4485">
        <v>2638</v>
      </c>
      <c r="V4485">
        <v>0</v>
      </c>
      <c r="W4485">
        <v>3</v>
      </c>
      <c r="X4485">
        <v>2013</v>
      </c>
      <c r="Z4485">
        <v>1</v>
      </c>
      <c r="AB4485">
        <v>0</v>
      </c>
      <c r="AC4485" t="s">
        <v>115</v>
      </c>
      <c r="AD4485">
        <v>2</v>
      </c>
      <c r="AE4485" t="s">
        <v>115</v>
      </c>
      <c r="AF4485">
        <v>0</v>
      </c>
      <c r="AG4485">
        <v>0</v>
      </c>
      <c r="AH4485" t="s">
        <v>116</v>
      </c>
      <c r="AI4485" s="1">
        <v>88542</v>
      </c>
      <c r="AJ4485" s="2">
        <v>0.24</v>
      </c>
      <c r="AK4485" s="1">
        <v>368242</v>
      </c>
      <c r="AL4485" t="s">
        <v>117</v>
      </c>
      <c r="AM4485" t="s">
        <v>393</v>
      </c>
      <c r="AN4485">
        <v>8511</v>
      </c>
      <c r="AO4485">
        <v>0.2</v>
      </c>
      <c r="AR4485">
        <v>1</v>
      </c>
      <c r="AS4485" s="1">
        <v>25720</v>
      </c>
      <c r="AT4485" s="1">
        <v>5140</v>
      </c>
      <c r="AU4485" s="1">
        <v>20580</v>
      </c>
      <c r="AV4485">
        <v>80.02</v>
      </c>
      <c r="AX4485" s="1">
        <v>2642.72</v>
      </c>
      <c r="AY4485" t="s">
        <v>1074</v>
      </c>
      <c r="AZ4485" t="s">
        <v>193</v>
      </c>
      <c r="BA4485" t="s">
        <v>194</v>
      </c>
      <c r="BE4485" s="3">
        <v>42223</v>
      </c>
      <c r="BF4485" s="1">
        <v>284000</v>
      </c>
      <c r="BG4485" t="s">
        <v>28221</v>
      </c>
      <c r="BH4485" s="1">
        <v>107.66</v>
      </c>
      <c r="BI4485" s="1">
        <v>279700</v>
      </c>
      <c r="BJ4485" s="3">
        <v>42997</v>
      </c>
      <c r="BK4485" t="s">
        <v>123</v>
      </c>
      <c r="BL4485" t="str">
        <f>"2017.692249"</f>
        <v>2017.692249</v>
      </c>
      <c r="BM4485" t="s">
        <v>763</v>
      </c>
      <c r="BO4485" t="s">
        <v>28222</v>
      </c>
      <c r="BS4485">
        <v>30</v>
      </c>
      <c r="BW4485" t="str">
        <f>""</f>
        <v/>
      </c>
      <c r="CH4485" t="str">
        <f>""</f>
        <v/>
      </c>
      <c r="CS4485" t="str">
        <f>""</f>
        <v/>
      </c>
    </row>
    <row r="4486" spans="1:97" x14ac:dyDescent="0.25">
      <c r="A4486" t="s">
        <v>28223</v>
      </c>
      <c r="B4486" t="s">
        <v>28224</v>
      </c>
      <c r="E4486" t="s">
        <v>28225</v>
      </c>
      <c r="F4486" t="s">
        <v>108</v>
      </c>
      <c r="H4486" t="s">
        <v>28226</v>
      </c>
      <c r="I4486" t="s">
        <v>1788</v>
      </c>
      <c r="J4486" t="s">
        <v>111</v>
      </c>
      <c r="K4486" t="str">
        <f>"85355"</f>
        <v>85355</v>
      </c>
      <c r="L4486" t="s">
        <v>5239</v>
      </c>
      <c r="M4486" t="s">
        <v>28226</v>
      </c>
      <c r="N4486" t="s">
        <v>1788</v>
      </c>
      <c r="O4486" t="s">
        <v>111</v>
      </c>
      <c r="P4486" t="str">
        <f>"85355-4226"</f>
        <v>85355-4226</v>
      </c>
      <c r="Q4486" t="s">
        <v>113</v>
      </c>
      <c r="R4486" t="str">
        <f>"502-91-176"</f>
        <v>502-91-176</v>
      </c>
      <c r="S4486" t="s">
        <v>8290</v>
      </c>
      <c r="T4486" t="s">
        <v>8290</v>
      </c>
      <c r="U4486">
        <v>3507</v>
      </c>
      <c r="V4486">
        <v>0</v>
      </c>
      <c r="W4486">
        <v>4</v>
      </c>
      <c r="X4486">
        <v>2006</v>
      </c>
      <c r="Z4486">
        <v>2</v>
      </c>
      <c r="AA4486" t="s">
        <v>26</v>
      </c>
      <c r="AB4486">
        <v>0</v>
      </c>
      <c r="AC4486" t="s">
        <v>115</v>
      </c>
      <c r="AD4486">
        <v>3</v>
      </c>
      <c r="AE4486" t="s">
        <v>115</v>
      </c>
      <c r="AF4486">
        <v>0</v>
      </c>
      <c r="AG4486">
        <v>0</v>
      </c>
      <c r="AH4486" t="s">
        <v>116</v>
      </c>
      <c r="AI4486" s="1">
        <v>84192</v>
      </c>
      <c r="AJ4486" s="2">
        <v>0.24</v>
      </c>
      <c r="AK4486" s="1">
        <v>348760</v>
      </c>
      <c r="AL4486" t="s">
        <v>117</v>
      </c>
      <c r="AM4486" t="s">
        <v>191</v>
      </c>
      <c r="AN4486">
        <v>6984</v>
      </c>
      <c r="AO4486">
        <v>0.16</v>
      </c>
      <c r="AR4486">
        <v>1</v>
      </c>
      <c r="AS4486" s="1">
        <v>25760</v>
      </c>
      <c r="AT4486" s="1">
        <v>5150</v>
      </c>
      <c r="AU4486" s="1">
        <v>20610</v>
      </c>
      <c r="AV4486">
        <v>80.010000000000005</v>
      </c>
      <c r="AX4486" s="1">
        <v>1992.76</v>
      </c>
      <c r="AY4486" t="s">
        <v>5972</v>
      </c>
      <c r="AZ4486" t="s">
        <v>5972</v>
      </c>
      <c r="BA4486" t="s">
        <v>5061</v>
      </c>
      <c r="BE4486" s="3">
        <v>42069</v>
      </c>
      <c r="BF4486" s="1">
        <v>259000</v>
      </c>
      <c r="BG4486" t="s">
        <v>5716</v>
      </c>
      <c r="BH4486" s="1">
        <v>73.849999999999994</v>
      </c>
      <c r="BI4486" s="1">
        <v>264568</v>
      </c>
      <c r="BJ4486" s="3">
        <v>42069</v>
      </c>
      <c r="BK4486" t="s">
        <v>123</v>
      </c>
      <c r="BL4486" t="str">
        <f>"2015.152219"</f>
        <v>2015.152219</v>
      </c>
      <c r="BM4486" t="s">
        <v>5567</v>
      </c>
      <c r="BO4486" t="s">
        <v>28227</v>
      </c>
      <c r="BS4486">
        <v>30</v>
      </c>
      <c r="BW4486" t="str">
        <f>""</f>
        <v/>
      </c>
      <c r="CH4486" t="str">
        <f>""</f>
        <v/>
      </c>
      <c r="CS4486" t="str">
        <f>""</f>
        <v/>
      </c>
    </row>
    <row r="4487" spans="1:97" x14ac:dyDescent="0.25">
      <c r="A4487" t="s">
        <v>28228</v>
      </c>
      <c r="B4487" t="s">
        <v>28229</v>
      </c>
      <c r="C4487" t="s">
        <v>3416</v>
      </c>
      <c r="D4487" t="s">
        <v>28229</v>
      </c>
      <c r="E4487" t="s">
        <v>28230</v>
      </c>
      <c r="F4487" t="s">
        <v>108</v>
      </c>
      <c r="H4487" t="s">
        <v>28231</v>
      </c>
      <c r="I4487" t="s">
        <v>188</v>
      </c>
      <c r="J4487" t="s">
        <v>111</v>
      </c>
      <c r="K4487" t="str">
        <f>"85142"</f>
        <v>85142</v>
      </c>
      <c r="L4487" t="s">
        <v>625</v>
      </c>
      <c r="M4487" t="s">
        <v>28231</v>
      </c>
      <c r="N4487" t="s">
        <v>188</v>
      </c>
      <c r="O4487" t="s">
        <v>111</v>
      </c>
      <c r="P4487" t="str">
        <f>"85142-7563"</f>
        <v>85142-7563</v>
      </c>
      <c r="Q4487" t="s">
        <v>113</v>
      </c>
      <c r="R4487" t="str">
        <f>"304-64-552"</f>
        <v>304-64-552</v>
      </c>
      <c r="S4487" t="s">
        <v>12959</v>
      </c>
      <c r="T4487" t="s">
        <v>12959</v>
      </c>
      <c r="U4487">
        <v>3288</v>
      </c>
      <c r="V4487">
        <v>0</v>
      </c>
      <c r="W4487">
        <v>5</v>
      </c>
      <c r="X4487">
        <v>2014</v>
      </c>
      <c r="Z4487">
        <v>1</v>
      </c>
      <c r="AA4487" t="s">
        <v>26</v>
      </c>
      <c r="AB4487">
        <v>0</v>
      </c>
      <c r="AC4487" t="s">
        <v>115</v>
      </c>
      <c r="AD4487">
        <v>5</v>
      </c>
      <c r="AE4487" t="s">
        <v>115</v>
      </c>
      <c r="AF4487">
        <v>0</v>
      </c>
      <c r="AG4487">
        <v>0</v>
      </c>
      <c r="AH4487" t="s">
        <v>116</v>
      </c>
      <c r="AI4487" s="1">
        <v>180288</v>
      </c>
      <c r="AJ4487" s="2">
        <v>0.3</v>
      </c>
      <c r="AK4487" s="1">
        <v>597288</v>
      </c>
      <c r="AL4487" t="s">
        <v>117</v>
      </c>
      <c r="AM4487" t="s">
        <v>1521</v>
      </c>
      <c r="AN4487">
        <v>19614</v>
      </c>
      <c r="AO4487">
        <v>0.45</v>
      </c>
      <c r="AR4487">
        <v>1</v>
      </c>
      <c r="AS4487" s="1">
        <v>45360</v>
      </c>
      <c r="AT4487" s="1">
        <v>9070</v>
      </c>
      <c r="AU4487" s="1">
        <v>36290</v>
      </c>
      <c r="AV4487">
        <v>80</v>
      </c>
      <c r="AX4487" s="1">
        <v>4258.1000000000004</v>
      </c>
      <c r="AY4487" t="s">
        <v>560</v>
      </c>
      <c r="AZ4487" t="s">
        <v>561</v>
      </c>
      <c r="BA4487" t="s">
        <v>194</v>
      </c>
      <c r="BE4487" s="3">
        <v>42034</v>
      </c>
      <c r="BF4487" s="1">
        <v>463941</v>
      </c>
      <c r="BG4487" t="s">
        <v>122</v>
      </c>
      <c r="BH4487" s="1">
        <v>141.1</v>
      </c>
      <c r="BI4487" s="1">
        <v>417000</v>
      </c>
      <c r="BJ4487" s="3">
        <v>42613</v>
      </c>
      <c r="BK4487" t="s">
        <v>123</v>
      </c>
      <c r="BL4487" t="str">
        <f>"2016.629739"</f>
        <v>2016.629739</v>
      </c>
      <c r="BM4487" t="s">
        <v>475</v>
      </c>
      <c r="BO4487" t="s">
        <v>28232</v>
      </c>
      <c r="BS4487">
        <v>30</v>
      </c>
      <c r="BW4487" t="str">
        <f>""</f>
        <v/>
      </c>
      <c r="CH4487" t="str">
        <f>""</f>
        <v/>
      </c>
      <c r="CS4487" t="str">
        <f>""</f>
        <v/>
      </c>
    </row>
    <row r="4488" spans="1:97" x14ac:dyDescent="0.25">
      <c r="A4488" t="s">
        <v>1009</v>
      </c>
      <c r="B4488" t="s">
        <v>28233</v>
      </c>
      <c r="E4488" t="s">
        <v>28234</v>
      </c>
      <c r="F4488" t="s">
        <v>108</v>
      </c>
      <c r="H4488" t="s">
        <v>28235</v>
      </c>
      <c r="I4488" t="s">
        <v>110</v>
      </c>
      <c r="J4488" t="s">
        <v>111</v>
      </c>
      <c r="K4488" t="str">
        <f>"85248"</f>
        <v>85248</v>
      </c>
      <c r="L4488" t="s">
        <v>189</v>
      </c>
      <c r="M4488" t="s">
        <v>28235</v>
      </c>
      <c r="N4488" t="s">
        <v>110</v>
      </c>
      <c r="O4488" t="s">
        <v>111</v>
      </c>
      <c r="P4488" t="str">
        <f>"85248-3971"</f>
        <v>85248-3971</v>
      </c>
      <c r="Q4488" t="s">
        <v>113</v>
      </c>
      <c r="R4488" t="str">
        <f>"303-87-280"</f>
        <v>303-87-280</v>
      </c>
      <c r="S4488" t="s">
        <v>28236</v>
      </c>
      <c r="T4488" t="s">
        <v>28236</v>
      </c>
      <c r="U4488">
        <v>2253</v>
      </c>
      <c r="V4488">
        <v>0</v>
      </c>
      <c r="W4488">
        <v>3</v>
      </c>
      <c r="X4488">
        <v>2006</v>
      </c>
      <c r="Z4488">
        <v>1</v>
      </c>
      <c r="AA4488" t="s">
        <v>26</v>
      </c>
      <c r="AB4488">
        <v>0</v>
      </c>
      <c r="AC4488" t="s">
        <v>115</v>
      </c>
      <c r="AD4488">
        <v>3</v>
      </c>
      <c r="AE4488" t="s">
        <v>115</v>
      </c>
      <c r="AF4488">
        <v>0</v>
      </c>
      <c r="AG4488">
        <v>0</v>
      </c>
      <c r="AH4488" t="s">
        <v>116</v>
      </c>
      <c r="AI4488" s="1">
        <v>66484</v>
      </c>
      <c r="AJ4488" s="2">
        <v>0.15</v>
      </c>
      <c r="AK4488" s="1">
        <v>457991</v>
      </c>
      <c r="AL4488" t="s">
        <v>117</v>
      </c>
      <c r="AM4488" t="s">
        <v>118</v>
      </c>
      <c r="AN4488">
        <v>8887</v>
      </c>
      <c r="AO4488">
        <v>0.2</v>
      </c>
      <c r="AR4488">
        <v>1</v>
      </c>
      <c r="AS4488" s="1">
        <v>32660</v>
      </c>
      <c r="AT4488" s="1">
        <v>6530</v>
      </c>
      <c r="AU4488" s="1">
        <v>26130</v>
      </c>
      <c r="AV4488">
        <v>80.010000000000005</v>
      </c>
      <c r="AX4488" s="1">
        <v>3112.52</v>
      </c>
      <c r="AY4488" t="s">
        <v>9063</v>
      </c>
      <c r="AZ4488" t="s">
        <v>1882</v>
      </c>
      <c r="BA4488" t="s">
        <v>121</v>
      </c>
      <c r="BE4488" s="3">
        <v>42125</v>
      </c>
      <c r="BF4488" s="1">
        <v>379000</v>
      </c>
      <c r="BG4488" t="s">
        <v>28237</v>
      </c>
      <c r="BH4488" s="1">
        <v>168.22</v>
      </c>
      <c r="BI4488" s="1">
        <v>391507</v>
      </c>
      <c r="BJ4488" s="3">
        <v>42125</v>
      </c>
      <c r="BK4488" t="s">
        <v>123</v>
      </c>
      <c r="BL4488" t="str">
        <f>"2015.308588"</f>
        <v>2015.308588</v>
      </c>
      <c r="BM4488" t="s">
        <v>1791</v>
      </c>
      <c r="BO4488" t="s">
        <v>28238</v>
      </c>
      <c r="BS4488">
        <v>30</v>
      </c>
      <c r="BW4488" t="str">
        <f>""</f>
        <v/>
      </c>
      <c r="CH4488" t="str">
        <f>""</f>
        <v/>
      </c>
      <c r="CS4488" t="str">
        <f>""</f>
        <v/>
      </c>
    </row>
    <row r="4489" spans="1:97" x14ac:dyDescent="0.25">
      <c r="A4489" t="s">
        <v>1344</v>
      </c>
      <c r="B4489" t="s">
        <v>28239</v>
      </c>
      <c r="C4489" t="s">
        <v>28240</v>
      </c>
      <c r="D4489" t="s">
        <v>28239</v>
      </c>
      <c r="E4489" t="s">
        <v>28241</v>
      </c>
      <c r="F4489" t="s">
        <v>108</v>
      </c>
      <c r="H4489" t="s">
        <v>28242</v>
      </c>
      <c r="I4489" t="s">
        <v>632</v>
      </c>
      <c r="J4489" t="s">
        <v>111</v>
      </c>
      <c r="K4489" t="str">
        <f>"85388"</f>
        <v>85388</v>
      </c>
      <c r="L4489" t="s">
        <v>4467</v>
      </c>
      <c r="M4489" t="s">
        <v>28242</v>
      </c>
      <c r="N4489" t="s">
        <v>632</v>
      </c>
      <c r="O4489" t="s">
        <v>111</v>
      </c>
      <c r="P4489" t="str">
        <f>"85388-7656"</f>
        <v>85388-7656</v>
      </c>
      <c r="Q4489" t="s">
        <v>113</v>
      </c>
      <c r="R4489" t="str">
        <f>"502-03-895"</f>
        <v>502-03-895</v>
      </c>
      <c r="S4489" t="s">
        <v>10256</v>
      </c>
      <c r="T4489" t="s">
        <v>7876</v>
      </c>
      <c r="U4489">
        <v>2706</v>
      </c>
      <c r="V4489">
        <v>0</v>
      </c>
      <c r="W4489">
        <v>3</v>
      </c>
      <c r="X4489">
        <v>2006</v>
      </c>
      <c r="Z4489">
        <v>1</v>
      </c>
      <c r="AB4489">
        <v>0</v>
      </c>
      <c r="AC4489" t="s">
        <v>115</v>
      </c>
      <c r="AD4489">
        <v>3</v>
      </c>
      <c r="AE4489" t="s">
        <v>115</v>
      </c>
      <c r="AF4489">
        <v>0</v>
      </c>
      <c r="AG4489">
        <v>0</v>
      </c>
      <c r="AH4489" t="s">
        <v>116</v>
      </c>
      <c r="AI4489" s="1">
        <v>55999</v>
      </c>
      <c r="AJ4489" s="2">
        <v>0.16</v>
      </c>
      <c r="AK4489" s="1">
        <v>349169</v>
      </c>
      <c r="AL4489" t="s">
        <v>117</v>
      </c>
      <c r="AM4489" t="s">
        <v>118</v>
      </c>
      <c r="AN4489">
        <v>10385</v>
      </c>
      <c r="AO4489">
        <v>0.24</v>
      </c>
      <c r="AR4489">
        <v>1</v>
      </c>
      <c r="AS4489" s="1">
        <v>25060</v>
      </c>
      <c r="AT4489" s="1">
        <v>5010</v>
      </c>
      <c r="AU4489" s="1">
        <v>20050</v>
      </c>
      <c r="AV4489">
        <v>80.010000000000005</v>
      </c>
      <c r="AX4489" s="1">
        <v>2206.3000000000002</v>
      </c>
      <c r="AY4489" t="s">
        <v>6262</v>
      </c>
      <c r="AZ4489" t="s">
        <v>6262</v>
      </c>
      <c r="BA4489" t="s">
        <v>5061</v>
      </c>
      <c r="BE4489" s="3">
        <v>42481</v>
      </c>
      <c r="BF4489" s="1">
        <v>287000</v>
      </c>
      <c r="BG4489" t="s">
        <v>28243</v>
      </c>
      <c r="BH4489" s="1">
        <v>106.06</v>
      </c>
      <c r="BI4489" s="1">
        <v>293170</v>
      </c>
      <c r="BJ4489" s="3">
        <v>42481</v>
      </c>
      <c r="BK4489" t="s">
        <v>123</v>
      </c>
      <c r="BL4489" t="str">
        <f>"2016.266686"</f>
        <v>2016.266686</v>
      </c>
      <c r="BM4489" t="s">
        <v>1185</v>
      </c>
      <c r="BO4489" t="s">
        <v>28244</v>
      </c>
      <c r="BS4489">
        <v>30</v>
      </c>
      <c r="BW4489" t="str">
        <f>""</f>
        <v/>
      </c>
      <c r="CH4489" t="str">
        <f>""</f>
        <v/>
      </c>
      <c r="CS4489" t="str">
        <f>""</f>
        <v/>
      </c>
    </row>
    <row r="4490" spans="1:97" x14ac:dyDescent="0.25">
      <c r="A4490" t="s">
        <v>3104</v>
      </c>
      <c r="B4490" t="s">
        <v>5013</v>
      </c>
      <c r="C4490" t="s">
        <v>4386</v>
      </c>
      <c r="D4490" t="s">
        <v>5013</v>
      </c>
      <c r="E4490" t="s">
        <v>28245</v>
      </c>
      <c r="F4490" t="s">
        <v>108</v>
      </c>
      <c r="H4490" t="s">
        <v>28246</v>
      </c>
      <c r="I4490" t="s">
        <v>203</v>
      </c>
      <c r="J4490" t="s">
        <v>111</v>
      </c>
      <c r="K4490" t="str">
        <f>"85298"</f>
        <v>85298</v>
      </c>
      <c r="L4490" t="s">
        <v>284</v>
      </c>
      <c r="M4490" t="s">
        <v>28246</v>
      </c>
      <c r="N4490" t="s">
        <v>203</v>
      </c>
      <c r="O4490" t="s">
        <v>111</v>
      </c>
      <c r="P4490" t="str">
        <f>"85298-9195"</f>
        <v>85298-9195</v>
      </c>
      <c r="Q4490" t="s">
        <v>113</v>
      </c>
      <c r="R4490" t="str">
        <f>"313-07-713"</f>
        <v>313-07-713</v>
      </c>
      <c r="S4490" t="s">
        <v>7591</v>
      </c>
      <c r="T4490" t="s">
        <v>1132</v>
      </c>
      <c r="U4490">
        <v>3389</v>
      </c>
      <c r="V4490">
        <v>0</v>
      </c>
      <c r="W4490">
        <v>4</v>
      </c>
      <c r="X4490">
        <v>2007</v>
      </c>
      <c r="Z4490">
        <v>2</v>
      </c>
      <c r="AB4490">
        <v>0</v>
      </c>
      <c r="AC4490" t="s">
        <v>115</v>
      </c>
      <c r="AD4490">
        <v>3</v>
      </c>
      <c r="AE4490" t="s">
        <v>115</v>
      </c>
      <c r="AF4490">
        <v>0</v>
      </c>
      <c r="AG4490">
        <v>0</v>
      </c>
      <c r="AH4490" t="s">
        <v>116</v>
      </c>
      <c r="AI4490" s="1">
        <v>84857</v>
      </c>
      <c r="AJ4490" s="2">
        <v>0.21</v>
      </c>
      <c r="AK4490" s="1">
        <v>409998</v>
      </c>
      <c r="AL4490" t="s">
        <v>117</v>
      </c>
      <c r="AM4490" t="s">
        <v>393</v>
      </c>
      <c r="AN4490">
        <v>8289</v>
      </c>
      <c r="AO4490">
        <v>0.19</v>
      </c>
      <c r="AR4490">
        <v>1</v>
      </c>
      <c r="AS4490" s="1">
        <v>29200</v>
      </c>
      <c r="AT4490" s="1">
        <v>5840</v>
      </c>
      <c r="AU4490" s="1">
        <v>23360</v>
      </c>
      <c r="AV4490">
        <v>80</v>
      </c>
      <c r="AX4490" s="1">
        <v>2512.2600000000002</v>
      </c>
      <c r="AY4490" t="s">
        <v>1133</v>
      </c>
      <c r="AZ4490" t="s">
        <v>1134</v>
      </c>
      <c r="BA4490" t="s">
        <v>1134</v>
      </c>
      <c r="BE4490" s="3">
        <v>41675</v>
      </c>
      <c r="BF4490" s="1">
        <v>310000</v>
      </c>
      <c r="BG4490" t="s">
        <v>28247</v>
      </c>
      <c r="BH4490" s="1">
        <v>91.47</v>
      </c>
      <c r="BI4490" s="1">
        <v>325141</v>
      </c>
      <c r="BJ4490" s="3">
        <v>42569</v>
      </c>
      <c r="BK4490" t="s">
        <v>123</v>
      </c>
      <c r="BL4490" t="str">
        <f>"2016.502271"</f>
        <v>2016.502271</v>
      </c>
      <c r="BM4490" t="s">
        <v>402</v>
      </c>
      <c r="BO4490" t="s">
        <v>28248</v>
      </c>
      <c r="BS4490">
        <v>28</v>
      </c>
      <c r="BW4490" t="str">
        <f>""</f>
        <v/>
      </c>
      <c r="CH4490" t="str">
        <f>""</f>
        <v/>
      </c>
      <c r="CS4490" t="str">
        <f>""</f>
        <v/>
      </c>
    </row>
    <row r="4491" spans="1:97" x14ac:dyDescent="0.25">
      <c r="A4491" t="s">
        <v>1959</v>
      </c>
      <c r="B4491" t="s">
        <v>7487</v>
      </c>
      <c r="C4491" t="s">
        <v>24285</v>
      </c>
      <c r="D4491" t="s">
        <v>7487</v>
      </c>
      <c r="E4491" t="s">
        <v>28249</v>
      </c>
      <c r="F4491" t="s">
        <v>108</v>
      </c>
      <c r="H4491" t="s">
        <v>28250</v>
      </c>
      <c r="I4491" t="s">
        <v>3150</v>
      </c>
      <c r="J4491" t="s">
        <v>111</v>
      </c>
      <c r="K4491" t="str">
        <f>"85340"</f>
        <v>85340</v>
      </c>
      <c r="L4491" t="s">
        <v>734</v>
      </c>
      <c r="M4491" t="s">
        <v>28250</v>
      </c>
      <c r="N4491" t="s">
        <v>3150</v>
      </c>
      <c r="O4491" t="s">
        <v>111</v>
      </c>
      <c r="P4491" t="str">
        <f>"85340-5753"</f>
        <v>85340-5753</v>
      </c>
      <c r="Q4491" t="s">
        <v>113</v>
      </c>
      <c r="R4491" t="str">
        <f>"502-28-297"</f>
        <v>502-28-297</v>
      </c>
      <c r="S4491" t="s">
        <v>5998</v>
      </c>
      <c r="T4491" t="s">
        <v>5998</v>
      </c>
      <c r="U4491">
        <v>3072</v>
      </c>
      <c r="V4491">
        <v>0</v>
      </c>
      <c r="W4491">
        <v>5</v>
      </c>
      <c r="X4491">
        <v>2013</v>
      </c>
      <c r="Z4491">
        <v>1</v>
      </c>
      <c r="AB4491">
        <v>0</v>
      </c>
      <c r="AC4491" t="s">
        <v>115</v>
      </c>
      <c r="AD4491">
        <v>3</v>
      </c>
      <c r="AE4491" t="s">
        <v>115</v>
      </c>
      <c r="AF4491">
        <v>0</v>
      </c>
      <c r="AG4491">
        <v>0</v>
      </c>
      <c r="AH4491" t="s">
        <v>116</v>
      </c>
      <c r="AI4491" s="1">
        <v>81706</v>
      </c>
      <c r="AJ4491" s="2">
        <v>0.21</v>
      </c>
      <c r="AK4491" s="1">
        <v>389835</v>
      </c>
      <c r="AL4491" t="s">
        <v>117</v>
      </c>
      <c r="AM4491" t="s">
        <v>1302</v>
      </c>
      <c r="AN4491">
        <v>10241</v>
      </c>
      <c r="AO4491">
        <v>0.24</v>
      </c>
      <c r="AR4491">
        <v>1</v>
      </c>
      <c r="AS4491" s="1">
        <v>28010</v>
      </c>
      <c r="AT4491" s="1">
        <v>5600</v>
      </c>
      <c r="AU4491" s="1">
        <v>22410</v>
      </c>
      <c r="AV4491">
        <v>80.010000000000005</v>
      </c>
      <c r="AX4491" s="1">
        <v>3063.92</v>
      </c>
      <c r="AY4491" t="s">
        <v>543</v>
      </c>
      <c r="AZ4491" t="s">
        <v>504</v>
      </c>
      <c r="BA4491" t="s">
        <v>218</v>
      </c>
      <c r="BE4491" s="3">
        <v>41757</v>
      </c>
      <c r="BF4491" s="1">
        <v>258118</v>
      </c>
      <c r="BG4491" t="s">
        <v>292</v>
      </c>
      <c r="BH4491" s="1">
        <v>84.02</v>
      </c>
      <c r="BI4491" s="1">
        <v>308129</v>
      </c>
      <c r="BJ4491" s="3">
        <v>42733</v>
      </c>
      <c r="BK4491" t="s">
        <v>123</v>
      </c>
      <c r="BL4491" t="str">
        <f>"2016.961928"</f>
        <v>2016.961928</v>
      </c>
      <c r="BM4491" t="s">
        <v>14241</v>
      </c>
      <c r="BO4491" t="s">
        <v>28251</v>
      </c>
      <c r="BS4491">
        <v>30</v>
      </c>
      <c r="BW4491" t="str">
        <f>""</f>
        <v/>
      </c>
      <c r="CH4491" t="str">
        <f>""</f>
        <v/>
      </c>
      <c r="CS4491" t="str">
        <f>""</f>
        <v/>
      </c>
    </row>
    <row r="4492" spans="1:97" x14ac:dyDescent="0.25">
      <c r="A4492" t="s">
        <v>325</v>
      </c>
      <c r="B4492" t="s">
        <v>1552</v>
      </c>
      <c r="C4492" t="s">
        <v>3478</v>
      </c>
      <c r="D4492" t="s">
        <v>28252</v>
      </c>
      <c r="E4492" t="s">
        <v>28253</v>
      </c>
      <c r="F4492" t="s">
        <v>108</v>
      </c>
      <c r="H4492" t="s">
        <v>28254</v>
      </c>
      <c r="I4492" t="s">
        <v>1936</v>
      </c>
      <c r="J4492" t="s">
        <v>111</v>
      </c>
      <c r="K4492" t="str">
        <f>"85251"</f>
        <v>85251</v>
      </c>
      <c r="L4492" t="s">
        <v>6333</v>
      </c>
      <c r="M4492" t="s">
        <v>28254</v>
      </c>
      <c r="N4492" t="s">
        <v>1936</v>
      </c>
      <c r="O4492" t="s">
        <v>111</v>
      </c>
      <c r="P4492" t="str">
        <f>"85251-1721"</f>
        <v>85251-1721</v>
      </c>
      <c r="Q4492" t="s">
        <v>113</v>
      </c>
      <c r="R4492" t="str">
        <f>"173-66-082"</f>
        <v>173-66-082</v>
      </c>
      <c r="S4492" t="s">
        <v>28255</v>
      </c>
      <c r="T4492" t="s">
        <v>28256</v>
      </c>
      <c r="U4492">
        <v>1560</v>
      </c>
      <c r="V4492">
        <v>0</v>
      </c>
      <c r="W4492">
        <v>2</v>
      </c>
      <c r="X4492">
        <v>1961</v>
      </c>
      <c r="Z4492">
        <v>1</v>
      </c>
      <c r="AB4492">
        <v>0</v>
      </c>
      <c r="AC4492" t="s">
        <v>5188</v>
      </c>
      <c r="AD4492">
        <v>2</v>
      </c>
      <c r="AE4492" t="s">
        <v>5188</v>
      </c>
      <c r="AF4492">
        <v>0</v>
      </c>
      <c r="AG4492">
        <v>0</v>
      </c>
      <c r="AH4492" t="s">
        <v>116</v>
      </c>
      <c r="AI4492" s="1">
        <v>71248</v>
      </c>
      <c r="AJ4492" s="2">
        <v>0.17</v>
      </c>
      <c r="AK4492" s="1">
        <v>418336</v>
      </c>
      <c r="AL4492" t="s">
        <v>117</v>
      </c>
      <c r="AM4492" t="s">
        <v>393</v>
      </c>
      <c r="AN4492">
        <v>11037</v>
      </c>
      <c r="AO4492">
        <v>0.25</v>
      </c>
      <c r="AP4492">
        <v>1</v>
      </c>
      <c r="AR4492">
        <v>1</v>
      </c>
      <c r="AS4492" s="1">
        <v>27870</v>
      </c>
      <c r="AT4492" s="1">
        <v>5570</v>
      </c>
      <c r="AU4492" s="1">
        <v>22300</v>
      </c>
      <c r="AV4492">
        <v>80.010000000000005</v>
      </c>
      <c r="AX4492" s="1">
        <v>1553.1</v>
      </c>
      <c r="AY4492" t="s">
        <v>11099</v>
      </c>
      <c r="AZ4492" t="s">
        <v>6975</v>
      </c>
      <c r="BA4492" t="s">
        <v>6976</v>
      </c>
      <c r="BE4492" s="3">
        <v>42300</v>
      </c>
      <c r="BF4492" s="1">
        <v>336000</v>
      </c>
      <c r="BG4492" t="s">
        <v>28257</v>
      </c>
      <c r="BH4492" s="1">
        <v>215.38</v>
      </c>
      <c r="BI4492" s="1">
        <v>347088</v>
      </c>
      <c r="BJ4492" s="3">
        <v>42300</v>
      </c>
      <c r="BK4492" t="s">
        <v>123</v>
      </c>
      <c r="BL4492" t="str">
        <f>"2015.763053"</f>
        <v>2015.763053</v>
      </c>
      <c r="BM4492" t="s">
        <v>475</v>
      </c>
      <c r="BO4492" t="s">
        <v>28258</v>
      </c>
      <c r="BP4492" t="s">
        <v>28259</v>
      </c>
      <c r="BS4492">
        <v>30</v>
      </c>
      <c r="BW4492" t="str">
        <f>""</f>
        <v/>
      </c>
      <c r="CH4492" t="str">
        <f>""</f>
        <v/>
      </c>
      <c r="CS4492" t="str">
        <f>""</f>
        <v/>
      </c>
    </row>
    <row r="4493" spans="1:97" x14ac:dyDescent="0.25">
      <c r="A4493" t="s">
        <v>6671</v>
      </c>
      <c r="B4493" t="s">
        <v>3787</v>
      </c>
      <c r="E4493" t="s">
        <v>28260</v>
      </c>
      <c r="F4493" t="s">
        <v>108</v>
      </c>
      <c r="H4493" t="s">
        <v>28261</v>
      </c>
      <c r="I4493" t="s">
        <v>3150</v>
      </c>
      <c r="J4493" t="s">
        <v>111</v>
      </c>
      <c r="K4493" t="str">
        <f>"85340"</f>
        <v>85340</v>
      </c>
      <c r="L4493" t="s">
        <v>2197</v>
      </c>
      <c r="M4493" t="s">
        <v>28261</v>
      </c>
      <c r="N4493" t="s">
        <v>3150</v>
      </c>
      <c r="O4493" t="s">
        <v>111</v>
      </c>
      <c r="P4493" t="str">
        <f>"85340-7356"</f>
        <v>85340-7356</v>
      </c>
      <c r="Q4493" t="s">
        <v>113</v>
      </c>
      <c r="R4493" t="str">
        <f>"501-62-595"</f>
        <v>501-62-595</v>
      </c>
      <c r="S4493" t="s">
        <v>28262</v>
      </c>
      <c r="T4493" t="s">
        <v>28263</v>
      </c>
      <c r="U4493">
        <v>4464</v>
      </c>
      <c r="V4493">
        <v>0</v>
      </c>
      <c r="W4493">
        <v>5</v>
      </c>
      <c r="X4493">
        <v>2002</v>
      </c>
      <c r="Z4493">
        <v>2</v>
      </c>
      <c r="AA4493" t="s">
        <v>26</v>
      </c>
      <c r="AB4493">
        <v>0</v>
      </c>
      <c r="AC4493" t="s">
        <v>115</v>
      </c>
      <c r="AD4493">
        <v>3</v>
      </c>
      <c r="AE4493" t="s">
        <v>115</v>
      </c>
      <c r="AF4493">
        <v>0</v>
      </c>
      <c r="AG4493">
        <v>0</v>
      </c>
      <c r="AH4493" t="s">
        <v>116</v>
      </c>
      <c r="AI4493" s="1">
        <v>91773</v>
      </c>
      <c r="AJ4493" s="2">
        <v>0.19</v>
      </c>
      <c r="AK4493" s="1">
        <v>485873</v>
      </c>
      <c r="AL4493" t="s">
        <v>117</v>
      </c>
      <c r="AM4493" t="s">
        <v>1302</v>
      </c>
      <c r="AN4493">
        <v>8760</v>
      </c>
      <c r="AO4493">
        <v>0.2</v>
      </c>
      <c r="AP4493">
        <v>1</v>
      </c>
      <c r="AR4493">
        <v>1</v>
      </c>
      <c r="AS4493" s="1">
        <v>30750</v>
      </c>
      <c r="AT4493" s="1">
        <v>6150</v>
      </c>
      <c r="AU4493" s="1">
        <v>24600</v>
      </c>
      <c r="AV4493">
        <v>80</v>
      </c>
      <c r="AX4493" s="1">
        <v>2540.5</v>
      </c>
      <c r="AY4493" t="s">
        <v>6580</v>
      </c>
      <c r="AZ4493" t="s">
        <v>3153</v>
      </c>
      <c r="BA4493" t="s">
        <v>3154</v>
      </c>
      <c r="BB4493" s="3">
        <v>42376</v>
      </c>
      <c r="BD4493" t="s">
        <v>240</v>
      </c>
      <c r="BE4493" s="3">
        <v>42250</v>
      </c>
      <c r="BF4493" s="1">
        <v>388000</v>
      </c>
      <c r="BG4493" t="s">
        <v>28264</v>
      </c>
      <c r="BH4493" s="1">
        <v>86.92</v>
      </c>
      <c r="BI4493" s="1">
        <v>394100</v>
      </c>
      <c r="BJ4493" s="3">
        <v>42667</v>
      </c>
      <c r="BK4493" t="s">
        <v>123</v>
      </c>
      <c r="BL4493" t="str">
        <f>"2016.777302"</f>
        <v>2016.777302</v>
      </c>
      <c r="BM4493" t="s">
        <v>248</v>
      </c>
      <c r="BO4493" t="s">
        <v>28265</v>
      </c>
      <c r="BS4493">
        <v>30</v>
      </c>
      <c r="BW4493" t="str">
        <f>""</f>
        <v/>
      </c>
      <c r="CH4493" t="str">
        <f>""</f>
        <v/>
      </c>
      <c r="CS4493" t="str">
        <f>""</f>
        <v/>
      </c>
    </row>
    <row r="4494" spans="1:97" x14ac:dyDescent="0.25">
      <c r="A4494" t="s">
        <v>28266</v>
      </c>
      <c r="B4494" t="s">
        <v>2019</v>
      </c>
      <c r="C4494" t="s">
        <v>489</v>
      </c>
      <c r="D4494" t="s">
        <v>2019</v>
      </c>
      <c r="E4494" t="s">
        <v>28267</v>
      </c>
      <c r="F4494" t="s">
        <v>108</v>
      </c>
      <c r="H4494" t="s">
        <v>28268</v>
      </c>
      <c r="I4494" t="s">
        <v>632</v>
      </c>
      <c r="J4494" t="s">
        <v>111</v>
      </c>
      <c r="K4494" t="str">
        <f>"85379"</f>
        <v>85379</v>
      </c>
      <c r="L4494" t="s">
        <v>1244</v>
      </c>
      <c r="M4494" t="s">
        <v>28268</v>
      </c>
      <c r="N4494" t="s">
        <v>632</v>
      </c>
      <c r="O4494" t="s">
        <v>111</v>
      </c>
      <c r="P4494" t="str">
        <f>"85379-8035"</f>
        <v>85379-8035</v>
      </c>
      <c r="Q4494" t="s">
        <v>113</v>
      </c>
      <c r="R4494" t="str">
        <f>"509-02-698"</f>
        <v>509-02-698</v>
      </c>
      <c r="S4494" t="s">
        <v>10379</v>
      </c>
      <c r="T4494" t="s">
        <v>10380</v>
      </c>
      <c r="U4494">
        <v>3373</v>
      </c>
      <c r="V4494">
        <v>0</v>
      </c>
      <c r="W4494">
        <v>4</v>
      </c>
      <c r="X4494">
        <v>2004</v>
      </c>
      <c r="Z4494">
        <v>2</v>
      </c>
      <c r="AB4494">
        <v>0</v>
      </c>
      <c r="AC4494" t="s">
        <v>115</v>
      </c>
      <c r="AD4494">
        <v>3</v>
      </c>
      <c r="AE4494" t="s">
        <v>115</v>
      </c>
      <c r="AF4494">
        <v>0</v>
      </c>
      <c r="AG4494">
        <v>0</v>
      </c>
      <c r="AH4494" t="s">
        <v>116</v>
      </c>
      <c r="AI4494" s="1">
        <v>58925</v>
      </c>
      <c r="AJ4494" s="2">
        <v>0.17</v>
      </c>
      <c r="AK4494" s="1">
        <v>347534</v>
      </c>
      <c r="AL4494" t="s">
        <v>117</v>
      </c>
      <c r="AM4494" t="s">
        <v>118</v>
      </c>
      <c r="AN4494">
        <v>10277</v>
      </c>
      <c r="AO4494">
        <v>0.24</v>
      </c>
      <c r="AR4494">
        <v>1</v>
      </c>
      <c r="AS4494" s="1">
        <v>23860</v>
      </c>
      <c r="AT4494" s="1">
        <v>4770</v>
      </c>
      <c r="AU4494" s="1">
        <v>19090</v>
      </c>
      <c r="AV4494">
        <v>80.010000000000005</v>
      </c>
      <c r="AX4494" s="1">
        <v>1868.72</v>
      </c>
      <c r="AY4494" t="s">
        <v>6615</v>
      </c>
      <c r="AZ4494" t="s">
        <v>6615</v>
      </c>
      <c r="BA4494" t="s">
        <v>321</v>
      </c>
      <c r="BE4494" s="3">
        <v>42447</v>
      </c>
      <c r="BF4494" s="1">
        <v>285000</v>
      </c>
      <c r="BG4494" t="s">
        <v>28269</v>
      </c>
      <c r="BH4494" s="1">
        <v>84.49</v>
      </c>
      <c r="BI4494" s="1">
        <v>288609</v>
      </c>
      <c r="BJ4494" s="3">
        <v>42614</v>
      </c>
      <c r="BK4494" t="s">
        <v>123</v>
      </c>
      <c r="BL4494" t="str">
        <f>"2016.634843"</f>
        <v>2016.634843</v>
      </c>
      <c r="BM4494" t="s">
        <v>14241</v>
      </c>
      <c r="BO4494" t="s">
        <v>28270</v>
      </c>
      <c r="BS4494">
        <v>30</v>
      </c>
      <c r="BW4494" t="str">
        <f>""</f>
        <v/>
      </c>
      <c r="CH4494" t="str">
        <f>""</f>
        <v/>
      </c>
      <c r="CS4494" t="str">
        <f>""</f>
        <v/>
      </c>
    </row>
    <row r="4495" spans="1:97" x14ac:dyDescent="0.25">
      <c r="A4495" t="s">
        <v>13079</v>
      </c>
      <c r="B4495" t="s">
        <v>28271</v>
      </c>
      <c r="E4495" t="s">
        <v>28272</v>
      </c>
      <c r="F4495" t="s">
        <v>108</v>
      </c>
      <c r="H4495" t="s">
        <v>28273</v>
      </c>
      <c r="I4495" t="s">
        <v>632</v>
      </c>
      <c r="J4495" t="s">
        <v>111</v>
      </c>
      <c r="K4495" t="str">
        <f>"85388"</f>
        <v>85388</v>
      </c>
      <c r="L4495" t="s">
        <v>5727</v>
      </c>
      <c r="M4495" t="s">
        <v>28273</v>
      </c>
      <c r="N4495" t="s">
        <v>632</v>
      </c>
      <c r="O4495" t="s">
        <v>111</v>
      </c>
      <c r="P4495" t="str">
        <f>"85388-5679"</f>
        <v>85388-5679</v>
      </c>
      <c r="Q4495" t="s">
        <v>113</v>
      </c>
      <c r="R4495" t="str">
        <f>"502-06-310"</f>
        <v>502-06-310</v>
      </c>
      <c r="S4495" t="s">
        <v>5728</v>
      </c>
      <c r="T4495" t="s">
        <v>5167</v>
      </c>
      <c r="U4495">
        <v>2302</v>
      </c>
      <c r="V4495">
        <v>0</v>
      </c>
      <c r="W4495">
        <v>3</v>
      </c>
      <c r="X4495">
        <v>2015</v>
      </c>
      <c r="Z4495">
        <v>1</v>
      </c>
      <c r="AB4495">
        <v>0</v>
      </c>
      <c r="AC4495" t="s">
        <v>115</v>
      </c>
      <c r="AD4495">
        <v>4</v>
      </c>
      <c r="AE4495" t="s">
        <v>115</v>
      </c>
      <c r="AF4495">
        <v>0</v>
      </c>
      <c r="AG4495">
        <v>0</v>
      </c>
      <c r="AH4495" t="s">
        <v>116</v>
      </c>
      <c r="AI4495" s="1">
        <v>77806</v>
      </c>
      <c r="AJ4495" s="2">
        <v>0.22</v>
      </c>
      <c r="AK4495" s="1">
        <v>358963</v>
      </c>
      <c r="AL4495" t="s">
        <v>117</v>
      </c>
      <c r="AM4495" t="s">
        <v>118</v>
      </c>
      <c r="AN4495">
        <v>10556</v>
      </c>
      <c r="AO4495">
        <v>0.24</v>
      </c>
      <c r="AR4495">
        <v>1</v>
      </c>
      <c r="AS4495" s="1">
        <v>27410</v>
      </c>
      <c r="AT4495" s="1">
        <v>5480</v>
      </c>
      <c r="AU4495" s="1">
        <v>21930</v>
      </c>
      <c r="AV4495">
        <v>80.010000000000005</v>
      </c>
      <c r="AX4495" s="1">
        <v>1536.04</v>
      </c>
      <c r="AY4495" t="s">
        <v>5168</v>
      </c>
      <c r="AZ4495" t="s">
        <v>5168</v>
      </c>
      <c r="BA4495" t="s">
        <v>5061</v>
      </c>
      <c r="BE4495" s="3">
        <v>42123</v>
      </c>
      <c r="BF4495" s="1">
        <v>281157</v>
      </c>
      <c r="BG4495" t="s">
        <v>3524</v>
      </c>
      <c r="BH4495" s="1">
        <v>122.14</v>
      </c>
      <c r="BI4495" s="1">
        <v>281157</v>
      </c>
      <c r="BJ4495" s="3">
        <v>42123</v>
      </c>
      <c r="BK4495" t="s">
        <v>123</v>
      </c>
      <c r="BL4495" t="str">
        <f>"2015.297969"</f>
        <v>2015.297969</v>
      </c>
      <c r="BM4495" t="s">
        <v>3453</v>
      </c>
      <c r="BO4495" t="s">
        <v>28274</v>
      </c>
      <c r="BS4495">
        <v>30</v>
      </c>
      <c r="BW4495" t="str">
        <f>""</f>
        <v/>
      </c>
      <c r="CH4495" t="str">
        <f>""</f>
        <v/>
      </c>
      <c r="CS4495" t="str">
        <f>""</f>
        <v/>
      </c>
    </row>
    <row r="4496" spans="1:97" x14ac:dyDescent="0.25">
      <c r="B4496" t="s">
        <v>28275</v>
      </c>
      <c r="E4496" t="s">
        <v>28276</v>
      </c>
      <c r="F4496" t="s">
        <v>108</v>
      </c>
      <c r="H4496" t="s">
        <v>28277</v>
      </c>
      <c r="I4496" t="s">
        <v>225</v>
      </c>
      <c r="J4496" t="s">
        <v>111</v>
      </c>
      <c r="K4496" t="str">
        <f>"85213"</f>
        <v>85213</v>
      </c>
      <c r="L4496" t="s">
        <v>4159</v>
      </c>
      <c r="M4496" t="s">
        <v>28277</v>
      </c>
      <c r="N4496" t="s">
        <v>225</v>
      </c>
      <c r="O4496" t="s">
        <v>111</v>
      </c>
      <c r="P4496" t="str">
        <f>"85213-1934"</f>
        <v>85213-1934</v>
      </c>
      <c r="Q4496" t="s">
        <v>113</v>
      </c>
      <c r="R4496" t="str">
        <f>"141-16-208"</f>
        <v>141-16-208</v>
      </c>
      <c r="S4496" t="s">
        <v>8861</v>
      </c>
      <c r="U4496">
        <v>1464</v>
      </c>
      <c r="V4496">
        <v>0</v>
      </c>
      <c r="W4496">
        <v>3</v>
      </c>
      <c r="X4496">
        <v>2014</v>
      </c>
      <c r="Z4496">
        <v>1</v>
      </c>
      <c r="AB4496">
        <v>0</v>
      </c>
      <c r="AC4496" t="s">
        <v>115</v>
      </c>
      <c r="AD4496">
        <v>2</v>
      </c>
      <c r="AE4496" t="s">
        <v>115</v>
      </c>
      <c r="AF4496">
        <v>0</v>
      </c>
      <c r="AG4496">
        <v>0</v>
      </c>
      <c r="AH4496" t="s">
        <v>116</v>
      </c>
      <c r="AI4496" s="1">
        <v>32311</v>
      </c>
      <c r="AJ4496" s="2">
        <v>0.09</v>
      </c>
      <c r="AK4496" s="1">
        <v>343255</v>
      </c>
      <c r="AL4496" t="s">
        <v>117</v>
      </c>
      <c r="AM4496" t="s">
        <v>917</v>
      </c>
      <c r="AN4496">
        <v>7150</v>
      </c>
      <c r="AO4496">
        <v>0.16</v>
      </c>
      <c r="AR4496">
        <v>1</v>
      </c>
      <c r="AS4496" s="1">
        <v>23250</v>
      </c>
      <c r="AT4496" s="1">
        <v>4650</v>
      </c>
      <c r="AU4496" s="1">
        <v>18600</v>
      </c>
      <c r="AV4496">
        <v>80</v>
      </c>
      <c r="AX4496" s="1">
        <v>1999.6</v>
      </c>
      <c r="AY4496" t="s">
        <v>4162</v>
      </c>
      <c r="AZ4496" t="s">
        <v>4163</v>
      </c>
      <c r="BA4496" t="s">
        <v>1524</v>
      </c>
      <c r="BB4496" s="3">
        <v>42843</v>
      </c>
      <c r="BD4496" t="s">
        <v>480</v>
      </c>
      <c r="BE4496" s="3">
        <v>42081</v>
      </c>
      <c r="BF4496" s="1">
        <v>304400</v>
      </c>
      <c r="BG4496" t="s">
        <v>2842</v>
      </c>
      <c r="BH4496" s="1">
        <v>207.92</v>
      </c>
      <c r="BI4496" s="1">
        <v>310944</v>
      </c>
      <c r="BJ4496" s="3">
        <v>42081</v>
      </c>
      <c r="BK4496" t="s">
        <v>123</v>
      </c>
      <c r="BL4496" t="str">
        <f>"2015.181641"</f>
        <v>2015.181641</v>
      </c>
      <c r="BM4496" t="s">
        <v>1185</v>
      </c>
      <c r="BO4496" t="s">
        <v>28278</v>
      </c>
      <c r="BS4496">
        <v>30</v>
      </c>
      <c r="BW4496" t="str">
        <f>""</f>
        <v/>
      </c>
      <c r="CH4496" t="str">
        <f>""</f>
        <v/>
      </c>
      <c r="CS4496" t="str">
        <f>""</f>
        <v/>
      </c>
    </row>
    <row r="4497" spans="1:97" x14ac:dyDescent="0.25">
      <c r="A4497" t="s">
        <v>325</v>
      </c>
      <c r="B4497" t="s">
        <v>28279</v>
      </c>
      <c r="C4497" t="s">
        <v>986</v>
      </c>
      <c r="D4497" t="s">
        <v>28279</v>
      </c>
      <c r="E4497" t="s">
        <v>28280</v>
      </c>
      <c r="F4497" t="s">
        <v>108</v>
      </c>
      <c r="H4497" t="s">
        <v>28281</v>
      </c>
      <c r="I4497" t="s">
        <v>390</v>
      </c>
      <c r="J4497" t="s">
        <v>111</v>
      </c>
      <c r="K4497" t="str">
        <f>"85024"</f>
        <v>85024</v>
      </c>
      <c r="L4497" t="s">
        <v>2963</v>
      </c>
      <c r="M4497" t="s">
        <v>28281</v>
      </c>
      <c r="N4497" t="s">
        <v>390</v>
      </c>
      <c r="O4497" t="s">
        <v>111</v>
      </c>
      <c r="P4497" t="str">
        <f>"85024-2497"</f>
        <v>85024-2497</v>
      </c>
      <c r="Q4497" t="s">
        <v>113</v>
      </c>
      <c r="R4497" t="str">
        <f>"213-32-227"</f>
        <v>213-32-227</v>
      </c>
      <c r="S4497" t="s">
        <v>20446</v>
      </c>
      <c r="T4497" t="s">
        <v>20447</v>
      </c>
      <c r="U4497">
        <v>3182</v>
      </c>
      <c r="V4497">
        <v>0</v>
      </c>
      <c r="W4497">
        <v>4</v>
      </c>
      <c r="X4497">
        <v>2005</v>
      </c>
      <c r="Z4497">
        <v>2</v>
      </c>
      <c r="AA4497" t="s">
        <v>26</v>
      </c>
      <c r="AB4497">
        <v>0</v>
      </c>
      <c r="AC4497" t="s">
        <v>115</v>
      </c>
      <c r="AD4497">
        <v>2</v>
      </c>
      <c r="AE4497" t="s">
        <v>115</v>
      </c>
      <c r="AF4497">
        <v>0</v>
      </c>
      <c r="AG4497">
        <v>0</v>
      </c>
      <c r="AH4497" t="s">
        <v>116</v>
      </c>
      <c r="AI4497" s="1">
        <v>88559</v>
      </c>
      <c r="AJ4497" s="2">
        <v>0.19</v>
      </c>
      <c r="AK4497" s="1">
        <v>457199</v>
      </c>
      <c r="AL4497" t="s">
        <v>117</v>
      </c>
      <c r="AM4497" t="s">
        <v>171</v>
      </c>
      <c r="AN4497">
        <v>5204</v>
      </c>
      <c r="AO4497">
        <v>0.12</v>
      </c>
      <c r="AR4497">
        <v>1</v>
      </c>
      <c r="AS4497" s="1">
        <v>35000</v>
      </c>
      <c r="AT4497" s="1">
        <v>7000</v>
      </c>
      <c r="AU4497" s="1">
        <v>28000</v>
      </c>
      <c r="AV4497">
        <v>80</v>
      </c>
      <c r="AX4497" s="1">
        <v>3065.52</v>
      </c>
      <c r="AY4497" t="s">
        <v>570</v>
      </c>
      <c r="AZ4497" t="s">
        <v>761</v>
      </c>
      <c r="BA4497" t="s">
        <v>762</v>
      </c>
      <c r="BE4497" s="3">
        <v>42241</v>
      </c>
      <c r="BF4497" s="1">
        <v>362700</v>
      </c>
      <c r="BG4497" t="s">
        <v>28282</v>
      </c>
      <c r="BH4497" s="1">
        <v>113.98</v>
      </c>
      <c r="BI4497" s="1">
        <v>368640</v>
      </c>
      <c r="BJ4497" s="3">
        <v>42241</v>
      </c>
      <c r="BK4497" t="s">
        <v>123</v>
      </c>
      <c r="BL4497" t="str">
        <f>"2015.615010"</f>
        <v>2015.615010</v>
      </c>
      <c r="BM4497" t="s">
        <v>5534</v>
      </c>
      <c r="BO4497" t="s">
        <v>28283</v>
      </c>
      <c r="BS4497">
        <v>30</v>
      </c>
      <c r="BW4497" t="str">
        <f>""</f>
        <v/>
      </c>
      <c r="CH4497" t="str">
        <f>""</f>
        <v/>
      </c>
      <c r="CS4497" t="str">
        <f>""</f>
        <v/>
      </c>
    </row>
    <row r="4498" spans="1:97" x14ac:dyDescent="0.25">
      <c r="A4498" t="s">
        <v>3221</v>
      </c>
      <c r="B4498" t="s">
        <v>28284</v>
      </c>
      <c r="C4498" t="s">
        <v>6679</v>
      </c>
      <c r="D4498" t="s">
        <v>28285</v>
      </c>
      <c r="E4498" t="s">
        <v>28286</v>
      </c>
      <c r="F4498" t="s">
        <v>108</v>
      </c>
      <c r="H4498" t="s">
        <v>28287</v>
      </c>
      <c r="I4498" t="s">
        <v>1936</v>
      </c>
      <c r="J4498" t="s">
        <v>111</v>
      </c>
      <c r="K4498" t="str">
        <f>"85258"</f>
        <v>85258</v>
      </c>
      <c r="L4498" t="s">
        <v>5464</v>
      </c>
      <c r="M4498" t="s">
        <v>28287</v>
      </c>
      <c r="N4498" t="s">
        <v>1936</v>
      </c>
      <c r="O4498" t="s">
        <v>111</v>
      </c>
      <c r="P4498" t="str">
        <f>"85258-1707"</f>
        <v>85258-1707</v>
      </c>
      <c r="Q4498" t="s">
        <v>113</v>
      </c>
      <c r="R4498" t="str">
        <f>"175-58-572"</f>
        <v>175-58-572</v>
      </c>
      <c r="S4498" t="s">
        <v>14283</v>
      </c>
      <c r="T4498" t="s">
        <v>5760</v>
      </c>
      <c r="U4498">
        <v>2820</v>
      </c>
      <c r="V4498">
        <v>0</v>
      </c>
      <c r="W4498">
        <v>3</v>
      </c>
      <c r="X4498">
        <v>1984</v>
      </c>
      <c r="Z4498">
        <v>1</v>
      </c>
      <c r="AA4498" t="s">
        <v>26</v>
      </c>
      <c r="AB4498">
        <v>0</v>
      </c>
      <c r="AC4498" t="s">
        <v>115</v>
      </c>
      <c r="AD4498">
        <v>2</v>
      </c>
      <c r="AE4498" t="s">
        <v>115</v>
      </c>
      <c r="AF4498">
        <v>0</v>
      </c>
      <c r="AG4498">
        <v>0</v>
      </c>
      <c r="AH4498" t="s">
        <v>116</v>
      </c>
      <c r="AI4498" s="1">
        <v>46929</v>
      </c>
      <c r="AJ4498" s="2">
        <v>7.0000000000000007E-2</v>
      </c>
      <c r="AK4498" s="1">
        <v>699616</v>
      </c>
      <c r="AL4498" t="s">
        <v>117</v>
      </c>
      <c r="AM4498" t="s">
        <v>393</v>
      </c>
      <c r="AN4498">
        <v>10211</v>
      </c>
      <c r="AO4498">
        <v>0.23</v>
      </c>
      <c r="AP4498">
        <v>1</v>
      </c>
      <c r="AR4498">
        <v>1</v>
      </c>
      <c r="AS4498" s="1">
        <v>46520</v>
      </c>
      <c r="AT4498" s="1">
        <v>9300</v>
      </c>
      <c r="AU4498" s="1">
        <v>37220</v>
      </c>
      <c r="AV4498">
        <v>80.010000000000005</v>
      </c>
      <c r="AX4498" s="1">
        <v>3002.48</v>
      </c>
      <c r="AY4498" t="s">
        <v>14284</v>
      </c>
      <c r="AZ4498" t="s">
        <v>8949</v>
      </c>
      <c r="BA4498" t="s">
        <v>7868</v>
      </c>
      <c r="BB4498" s="3">
        <v>43532</v>
      </c>
      <c r="BC4498" s="1">
        <v>0</v>
      </c>
      <c r="BD4498" t="s">
        <v>247</v>
      </c>
      <c r="BE4498" s="3">
        <v>42073</v>
      </c>
      <c r="BF4498" s="1">
        <v>575000</v>
      </c>
      <c r="BG4498" t="s">
        <v>28288</v>
      </c>
      <c r="BH4498" s="1">
        <v>203.9</v>
      </c>
      <c r="BI4498" s="1">
        <v>652687</v>
      </c>
      <c r="BJ4498" s="3">
        <v>43532</v>
      </c>
      <c r="BK4498" t="s">
        <v>123</v>
      </c>
      <c r="BL4498" t="str">
        <f>"2019.160723"</f>
        <v>2019.160723</v>
      </c>
      <c r="BM4498" t="s">
        <v>460</v>
      </c>
      <c r="BN4498" t="s">
        <v>461</v>
      </c>
      <c r="BO4498" t="s">
        <v>28289</v>
      </c>
      <c r="BP4498" t="s">
        <v>28290</v>
      </c>
      <c r="BR4498" t="s">
        <v>139</v>
      </c>
      <c r="BW4498" t="str">
        <f>""</f>
        <v/>
      </c>
      <c r="CH4498" t="str">
        <f>""</f>
        <v/>
      </c>
      <c r="CS4498" t="str">
        <f>""</f>
        <v/>
      </c>
    </row>
    <row r="4499" spans="1:97" x14ac:dyDescent="0.25">
      <c r="A4499" t="s">
        <v>265</v>
      </c>
      <c r="B4499" t="s">
        <v>10785</v>
      </c>
      <c r="C4499" t="s">
        <v>986</v>
      </c>
      <c r="D4499" t="s">
        <v>8295</v>
      </c>
      <c r="E4499" t="s">
        <v>28291</v>
      </c>
      <c r="F4499" t="s">
        <v>108</v>
      </c>
      <c r="H4499" t="s">
        <v>28292</v>
      </c>
      <c r="I4499" t="s">
        <v>110</v>
      </c>
      <c r="J4499" t="s">
        <v>111</v>
      </c>
      <c r="K4499" t="str">
        <f>"85249"</f>
        <v>85249</v>
      </c>
      <c r="L4499" t="s">
        <v>3645</v>
      </c>
      <c r="M4499" t="s">
        <v>28292</v>
      </c>
      <c r="N4499" t="s">
        <v>110</v>
      </c>
      <c r="O4499" t="s">
        <v>111</v>
      </c>
      <c r="P4499" t="str">
        <f>"85249-3559"</f>
        <v>85249-3559</v>
      </c>
      <c r="Q4499" t="s">
        <v>113</v>
      </c>
      <c r="R4499" t="str">
        <f>"303-55-411"</f>
        <v>303-55-411</v>
      </c>
      <c r="S4499" t="s">
        <v>20175</v>
      </c>
      <c r="T4499" t="s">
        <v>20175</v>
      </c>
      <c r="U4499">
        <v>4015</v>
      </c>
      <c r="V4499">
        <v>0</v>
      </c>
      <c r="W4499">
        <v>5</v>
      </c>
      <c r="X4499">
        <v>2001</v>
      </c>
      <c r="Z4499">
        <v>2</v>
      </c>
      <c r="AA4499" t="s">
        <v>26</v>
      </c>
      <c r="AB4499">
        <v>0</v>
      </c>
      <c r="AC4499" t="s">
        <v>115</v>
      </c>
      <c r="AD4499">
        <v>3</v>
      </c>
      <c r="AE4499" t="s">
        <v>115</v>
      </c>
      <c r="AF4499">
        <v>0</v>
      </c>
      <c r="AG4499">
        <v>0</v>
      </c>
      <c r="AH4499" t="s">
        <v>116</v>
      </c>
      <c r="AI4499" s="1">
        <v>94160</v>
      </c>
      <c r="AJ4499" s="2">
        <v>0.17</v>
      </c>
      <c r="AK4499" s="1">
        <v>549238</v>
      </c>
      <c r="AL4499" t="s">
        <v>117</v>
      </c>
      <c r="AM4499" t="s">
        <v>118</v>
      </c>
      <c r="AN4499">
        <v>11580</v>
      </c>
      <c r="AO4499">
        <v>0.27</v>
      </c>
      <c r="AP4499">
        <v>1</v>
      </c>
      <c r="AR4499">
        <v>1</v>
      </c>
      <c r="AS4499" s="1">
        <v>37720</v>
      </c>
      <c r="AT4499" s="1">
        <v>7540</v>
      </c>
      <c r="AU4499" s="1">
        <v>30180</v>
      </c>
      <c r="AV4499">
        <v>80.010000000000005</v>
      </c>
      <c r="AX4499" s="1">
        <v>3312.12</v>
      </c>
      <c r="AY4499" t="s">
        <v>5050</v>
      </c>
      <c r="AZ4499" t="s">
        <v>120</v>
      </c>
      <c r="BA4499" t="s">
        <v>274</v>
      </c>
      <c r="BE4499" s="3">
        <v>41941</v>
      </c>
      <c r="BF4499" s="1">
        <v>397500</v>
      </c>
      <c r="BG4499" t="s">
        <v>28293</v>
      </c>
      <c r="BH4499" s="1">
        <v>99</v>
      </c>
      <c r="BI4499" s="1">
        <v>455078</v>
      </c>
      <c r="BJ4499" s="3">
        <v>42653</v>
      </c>
      <c r="BK4499" t="s">
        <v>123</v>
      </c>
      <c r="BL4499" t="str">
        <f>"2016.742056"</f>
        <v>2016.742056</v>
      </c>
      <c r="BM4499" t="s">
        <v>3004</v>
      </c>
      <c r="BO4499" t="s">
        <v>28294</v>
      </c>
      <c r="BP4499" t="s">
        <v>28295</v>
      </c>
      <c r="BS4499">
        <v>30</v>
      </c>
      <c r="BW4499" t="str">
        <f>""</f>
        <v/>
      </c>
      <c r="CH4499" t="str">
        <f>""</f>
        <v/>
      </c>
      <c r="CS4499" t="str">
        <f>""</f>
        <v/>
      </c>
    </row>
    <row r="4500" spans="1:97" x14ac:dyDescent="0.25">
      <c r="A4500" t="s">
        <v>179</v>
      </c>
      <c r="B4500" t="s">
        <v>28296</v>
      </c>
      <c r="E4500" t="s">
        <v>28297</v>
      </c>
      <c r="F4500" t="s">
        <v>282</v>
      </c>
      <c r="H4500" t="s">
        <v>28298</v>
      </c>
      <c r="I4500" t="s">
        <v>3150</v>
      </c>
      <c r="J4500" t="s">
        <v>111</v>
      </c>
      <c r="K4500" t="str">
        <f>"85340"</f>
        <v>85340</v>
      </c>
      <c r="L4500" t="s">
        <v>2197</v>
      </c>
      <c r="M4500" t="s">
        <v>28299</v>
      </c>
      <c r="N4500" t="s">
        <v>4578</v>
      </c>
      <c r="O4500" t="s">
        <v>15953</v>
      </c>
      <c r="P4500" t="str">
        <f>"98032-5675"</f>
        <v>98032-5675</v>
      </c>
      <c r="Q4500" t="s">
        <v>113</v>
      </c>
      <c r="R4500" t="str">
        <f>"501-62-656"</f>
        <v>501-62-656</v>
      </c>
      <c r="S4500" t="s">
        <v>28262</v>
      </c>
      <c r="T4500" t="s">
        <v>28263</v>
      </c>
      <c r="U4500">
        <v>4464</v>
      </c>
      <c r="V4500">
        <v>0</v>
      </c>
      <c r="W4500">
        <v>5</v>
      </c>
      <c r="X4500">
        <v>2003</v>
      </c>
      <c r="Z4500">
        <v>2</v>
      </c>
      <c r="AA4500" t="s">
        <v>26</v>
      </c>
      <c r="AB4500">
        <v>0</v>
      </c>
      <c r="AC4500" t="s">
        <v>115</v>
      </c>
      <c r="AD4500">
        <v>3</v>
      </c>
      <c r="AE4500" t="s">
        <v>115</v>
      </c>
      <c r="AF4500">
        <v>0</v>
      </c>
      <c r="AG4500">
        <v>0</v>
      </c>
      <c r="AH4500" t="s">
        <v>116</v>
      </c>
      <c r="AI4500" s="1">
        <v>119574</v>
      </c>
      <c r="AJ4500" s="2">
        <v>0.25</v>
      </c>
      <c r="AK4500" s="1">
        <v>484574</v>
      </c>
      <c r="AL4500" t="s">
        <v>117</v>
      </c>
      <c r="AM4500" t="s">
        <v>1302</v>
      </c>
      <c r="AN4500">
        <v>8760</v>
      </c>
      <c r="AO4500">
        <v>0.2</v>
      </c>
      <c r="AP4500">
        <v>1</v>
      </c>
      <c r="AR4500">
        <v>1</v>
      </c>
      <c r="AS4500" s="1">
        <v>31230</v>
      </c>
      <c r="AT4500" s="1">
        <v>6240</v>
      </c>
      <c r="AU4500" s="1">
        <v>24990</v>
      </c>
      <c r="AV4500">
        <v>80.02</v>
      </c>
      <c r="AX4500" s="1">
        <v>2736.66</v>
      </c>
      <c r="AY4500" t="s">
        <v>6580</v>
      </c>
      <c r="AZ4500" t="s">
        <v>3153</v>
      </c>
      <c r="BA4500" t="s">
        <v>3154</v>
      </c>
      <c r="BE4500" s="3">
        <v>41834</v>
      </c>
      <c r="BF4500" s="1">
        <v>365000</v>
      </c>
      <c r="BG4500" t="s">
        <v>28300</v>
      </c>
      <c r="BH4500" s="1">
        <v>81.77</v>
      </c>
      <c r="BI4500" s="1">
        <v>365000</v>
      </c>
      <c r="BJ4500" s="3">
        <v>41834</v>
      </c>
      <c r="BK4500" t="s">
        <v>123</v>
      </c>
      <c r="BL4500" t="str">
        <f>"2014.456175"</f>
        <v>2014.456175</v>
      </c>
      <c r="BM4500" t="s">
        <v>724</v>
      </c>
      <c r="BO4500" t="s">
        <v>28301</v>
      </c>
      <c r="BS4500">
        <v>30</v>
      </c>
      <c r="BW4500" t="str">
        <f>""</f>
        <v/>
      </c>
      <c r="CH4500" t="str">
        <f>""</f>
        <v/>
      </c>
      <c r="CS4500" t="str">
        <f>""</f>
        <v/>
      </c>
    </row>
    <row r="4501" spans="1:97" x14ac:dyDescent="0.25">
      <c r="A4501" t="s">
        <v>894</v>
      </c>
      <c r="B4501" t="s">
        <v>28302</v>
      </c>
      <c r="C4501" t="s">
        <v>9745</v>
      </c>
      <c r="D4501" t="s">
        <v>28302</v>
      </c>
      <c r="E4501" t="s">
        <v>28303</v>
      </c>
      <c r="F4501" t="s">
        <v>108</v>
      </c>
      <c r="H4501" t="s">
        <v>28304</v>
      </c>
      <c r="I4501" t="s">
        <v>390</v>
      </c>
      <c r="J4501" t="s">
        <v>111</v>
      </c>
      <c r="K4501" t="str">
        <f>"85083"</f>
        <v>85083</v>
      </c>
      <c r="L4501" t="s">
        <v>2820</v>
      </c>
      <c r="M4501" t="s">
        <v>28304</v>
      </c>
      <c r="N4501" t="s">
        <v>390</v>
      </c>
      <c r="O4501" t="s">
        <v>111</v>
      </c>
      <c r="P4501" t="str">
        <f>"85083-6570"</f>
        <v>85083-6570</v>
      </c>
      <c r="Q4501" t="s">
        <v>113</v>
      </c>
      <c r="R4501" t="str">
        <f>"201-07-550"</f>
        <v>201-07-550</v>
      </c>
      <c r="S4501" t="s">
        <v>21720</v>
      </c>
      <c r="T4501" t="s">
        <v>21721</v>
      </c>
      <c r="U4501">
        <v>2194</v>
      </c>
      <c r="V4501">
        <v>0</v>
      </c>
      <c r="W4501">
        <v>3</v>
      </c>
      <c r="X4501">
        <v>2002</v>
      </c>
      <c r="Z4501">
        <v>1</v>
      </c>
      <c r="AA4501" t="s">
        <v>26</v>
      </c>
      <c r="AB4501">
        <v>0</v>
      </c>
      <c r="AC4501" t="s">
        <v>115</v>
      </c>
      <c r="AD4501">
        <v>3</v>
      </c>
      <c r="AE4501" t="s">
        <v>115</v>
      </c>
      <c r="AF4501">
        <v>0</v>
      </c>
      <c r="AG4501">
        <v>0</v>
      </c>
      <c r="AH4501" t="s">
        <v>116</v>
      </c>
      <c r="AI4501" s="1">
        <v>51283</v>
      </c>
      <c r="AJ4501" s="2">
        <v>0.13</v>
      </c>
      <c r="AK4501" s="1">
        <v>390931</v>
      </c>
      <c r="AL4501" t="s">
        <v>117</v>
      </c>
      <c r="AM4501" t="s">
        <v>1302</v>
      </c>
      <c r="AN4501">
        <v>9011</v>
      </c>
      <c r="AO4501">
        <v>0.21</v>
      </c>
      <c r="AP4501">
        <v>1</v>
      </c>
      <c r="AR4501">
        <v>1</v>
      </c>
      <c r="AS4501" s="1">
        <v>28550</v>
      </c>
      <c r="AT4501" s="1">
        <v>5710</v>
      </c>
      <c r="AU4501" s="1">
        <v>22840</v>
      </c>
      <c r="AV4501">
        <v>80</v>
      </c>
      <c r="AX4501" s="1">
        <v>2585.2399999999998</v>
      </c>
      <c r="AY4501" t="s">
        <v>3522</v>
      </c>
      <c r="AZ4501" t="s">
        <v>3522</v>
      </c>
      <c r="BA4501" t="s">
        <v>1386</v>
      </c>
      <c r="BE4501" s="3">
        <v>42495</v>
      </c>
      <c r="BF4501" s="1">
        <v>332500</v>
      </c>
      <c r="BG4501" t="s">
        <v>28305</v>
      </c>
      <c r="BH4501" s="1">
        <v>151.55000000000001</v>
      </c>
      <c r="BI4501" s="1">
        <v>339648</v>
      </c>
      <c r="BJ4501" s="3">
        <v>42495</v>
      </c>
      <c r="BK4501" t="s">
        <v>123</v>
      </c>
      <c r="BL4501" t="str">
        <f>"2016.308127"</f>
        <v>2016.308127</v>
      </c>
      <c r="BM4501" t="s">
        <v>175</v>
      </c>
      <c r="BO4501" t="s">
        <v>28306</v>
      </c>
      <c r="BS4501">
        <v>30</v>
      </c>
      <c r="BW4501" t="str">
        <f>""</f>
        <v/>
      </c>
      <c r="CH4501" t="str">
        <f>""</f>
        <v/>
      </c>
      <c r="CS4501" t="str">
        <f>""</f>
        <v/>
      </c>
    </row>
    <row r="4502" spans="1:97" x14ac:dyDescent="0.25">
      <c r="B4502" t="s">
        <v>28307</v>
      </c>
      <c r="E4502" t="s">
        <v>28308</v>
      </c>
      <c r="F4502" t="s">
        <v>108</v>
      </c>
      <c r="H4502" t="s">
        <v>28309</v>
      </c>
      <c r="I4502" t="s">
        <v>2874</v>
      </c>
      <c r="J4502" t="s">
        <v>111</v>
      </c>
      <c r="K4502" t="str">
        <f>"85308"</f>
        <v>85308</v>
      </c>
      <c r="L4502" t="s">
        <v>316</v>
      </c>
      <c r="M4502" t="s">
        <v>28309</v>
      </c>
      <c r="N4502" t="s">
        <v>2874</v>
      </c>
      <c r="O4502" t="s">
        <v>111</v>
      </c>
      <c r="P4502" t="str">
        <f>"85308-5533"</f>
        <v>85308-5533</v>
      </c>
      <c r="Q4502" t="s">
        <v>113</v>
      </c>
      <c r="R4502" t="str">
        <f>"200-34-300"</f>
        <v>200-34-300</v>
      </c>
      <c r="S4502" t="s">
        <v>7491</v>
      </c>
      <c r="T4502" t="s">
        <v>7492</v>
      </c>
      <c r="U4502">
        <v>3566</v>
      </c>
      <c r="V4502">
        <v>0</v>
      </c>
      <c r="W4502">
        <v>5</v>
      </c>
      <c r="X4502">
        <v>1988</v>
      </c>
      <c r="Z4502">
        <v>2</v>
      </c>
      <c r="AA4502" t="s">
        <v>26</v>
      </c>
      <c r="AB4502">
        <v>0</v>
      </c>
      <c r="AC4502" t="s">
        <v>115</v>
      </c>
      <c r="AD4502">
        <v>2</v>
      </c>
      <c r="AE4502" t="s">
        <v>115</v>
      </c>
      <c r="AF4502">
        <v>0</v>
      </c>
      <c r="AG4502">
        <v>0</v>
      </c>
      <c r="AH4502" t="s">
        <v>116</v>
      </c>
      <c r="AI4502" s="1">
        <v>126046</v>
      </c>
      <c r="AJ4502" s="2">
        <v>0.28999999999999998</v>
      </c>
      <c r="AK4502" s="1">
        <v>428715</v>
      </c>
      <c r="AL4502" t="s">
        <v>117</v>
      </c>
      <c r="AM4502" t="s">
        <v>191</v>
      </c>
      <c r="AN4502">
        <v>6500</v>
      </c>
      <c r="AO4502">
        <v>0.15</v>
      </c>
      <c r="AP4502">
        <v>1</v>
      </c>
      <c r="AR4502">
        <v>1</v>
      </c>
      <c r="AS4502" s="1">
        <v>30210</v>
      </c>
      <c r="AT4502" s="1">
        <v>6040</v>
      </c>
      <c r="AU4502" s="1">
        <v>24170</v>
      </c>
      <c r="AV4502">
        <v>80.010000000000005</v>
      </c>
      <c r="AX4502" s="1">
        <v>2741.94</v>
      </c>
      <c r="AY4502" t="s">
        <v>6740</v>
      </c>
      <c r="AZ4502" t="s">
        <v>6740</v>
      </c>
      <c r="BA4502" t="s">
        <v>2223</v>
      </c>
      <c r="BB4502" s="3">
        <v>42688</v>
      </c>
      <c r="BD4502" t="s">
        <v>28310</v>
      </c>
      <c r="BE4502" s="3">
        <v>41815</v>
      </c>
      <c r="BF4502" s="1">
        <v>357000</v>
      </c>
      <c r="BG4502" t="s">
        <v>28311</v>
      </c>
      <c r="BH4502" s="1">
        <v>100.11</v>
      </c>
      <c r="BI4502" s="1">
        <v>302669</v>
      </c>
      <c r="BJ4502" s="3">
        <v>42208</v>
      </c>
      <c r="BK4502" t="s">
        <v>123</v>
      </c>
      <c r="BL4502" t="str">
        <f>"2015.528906"</f>
        <v>2015.528906</v>
      </c>
      <c r="BM4502" t="s">
        <v>9390</v>
      </c>
      <c r="BO4502" t="s">
        <v>28312</v>
      </c>
      <c r="BS4502">
        <v>30</v>
      </c>
      <c r="BW4502" t="str">
        <f>""</f>
        <v/>
      </c>
      <c r="CH4502" t="str">
        <f>""</f>
        <v/>
      </c>
      <c r="CS4502" t="str">
        <f>""</f>
        <v/>
      </c>
    </row>
    <row r="4503" spans="1:97" x14ac:dyDescent="0.25">
      <c r="A4503" t="s">
        <v>28313</v>
      </c>
      <c r="B4503" t="s">
        <v>28314</v>
      </c>
      <c r="C4503" t="s">
        <v>1900</v>
      </c>
      <c r="D4503" t="s">
        <v>28314</v>
      </c>
      <c r="E4503" t="s">
        <v>28315</v>
      </c>
      <c r="F4503" t="s">
        <v>108</v>
      </c>
      <c r="H4503" t="s">
        <v>28316</v>
      </c>
      <c r="I4503" t="s">
        <v>203</v>
      </c>
      <c r="J4503" t="s">
        <v>111</v>
      </c>
      <c r="K4503" t="str">
        <f>"85234"</f>
        <v>85234</v>
      </c>
      <c r="L4503" t="s">
        <v>2963</v>
      </c>
      <c r="M4503" t="s">
        <v>28316</v>
      </c>
      <c r="N4503" t="s">
        <v>203</v>
      </c>
      <c r="O4503" t="s">
        <v>111</v>
      </c>
      <c r="P4503" t="str">
        <f>"85234-2620"</f>
        <v>85234-2620</v>
      </c>
      <c r="Q4503" t="s">
        <v>113</v>
      </c>
      <c r="R4503" t="str">
        <f>"304-96-661"</f>
        <v>304-96-661</v>
      </c>
      <c r="S4503" t="s">
        <v>26336</v>
      </c>
      <c r="T4503" t="s">
        <v>26337</v>
      </c>
      <c r="U4503">
        <v>3084</v>
      </c>
      <c r="V4503">
        <v>0</v>
      </c>
      <c r="W4503">
        <v>4</v>
      </c>
      <c r="X4503">
        <v>1991</v>
      </c>
      <c r="Z4503">
        <v>2</v>
      </c>
      <c r="AA4503" t="s">
        <v>26</v>
      </c>
      <c r="AB4503">
        <v>0</v>
      </c>
      <c r="AC4503" t="s">
        <v>115</v>
      </c>
      <c r="AD4503">
        <v>3</v>
      </c>
      <c r="AE4503" t="s">
        <v>115</v>
      </c>
      <c r="AF4503">
        <v>0</v>
      </c>
      <c r="AG4503">
        <v>0</v>
      </c>
      <c r="AH4503" t="s">
        <v>116</v>
      </c>
      <c r="AI4503" s="1">
        <v>61179</v>
      </c>
      <c r="AJ4503" s="2">
        <v>0.14000000000000001</v>
      </c>
      <c r="AK4503" s="1">
        <v>451822</v>
      </c>
      <c r="AL4503" t="s">
        <v>117</v>
      </c>
      <c r="AM4503" t="s">
        <v>393</v>
      </c>
      <c r="AN4503">
        <v>9331</v>
      </c>
      <c r="AO4503">
        <v>0.21</v>
      </c>
      <c r="AP4503">
        <v>1</v>
      </c>
      <c r="AR4503">
        <v>1</v>
      </c>
      <c r="AS4503" s="1">
        <v>32730</v>
      </c>
      <c r="AT4503" s="1">
        <v>6540</v>
      </c>
      <c r="AU4503" s="1">
        <v>26190</v>
      </c>
      <c r="AV4503">
        <v>80.02</v>
      </c>
      <c r="AX4503" s="1">
        <v>2635.14</v>
      </c>
      <c r="AY4503" t="s">
        <v>10191</v>
      </c>
      <c r="AZ4503" t="s">
        <v>571</v>
      </c>
      <c r="BA4503" t="s">
        <v>521</v>
      </c>
      <c r="BE4503" s="3">
        <v>41751</v>
      </c>
      <c r="BF4503" s="1">
        <v>388000</v>
      </c>
      <c r="BG4503" t="s">
        <v>28317</v>
      </c>
      <c r="BH4503" s="1">
        <v>125.81</v>
      </c>
      <c r="BI4503" s="1">
        <v>390643</v>
      </c>
      <c r="BJ4503" s="3">
        <v>42578</v>
      </c>
      <c r="BK4503" t="s">
        <v>123</v>
      </c>
      <c r="BL4503" t="str">
        <f>"2016.528303"</f>
        <v>2016.528303</v>
      </c>
      <c r="BM4503" t="s">
        <v>6517</v>
      </c>
      <c r="BO4503" t="s">
        <v>28318</v>
      </c>
      <c r="BS4503">
        <v>30</v>
      </c>
      <c r="BW4503" t="str">
        <f>""</f>
        <v/>
      </c>
      <c r="CH4503" t="str">
        <f>""</f>
        <v/>
      </c>
      <c r="CS4503" t="str">
        <f>""</f>
        <v/>
      </c>
    </row>
    <row r="4504" spans="1:97" x14ac:dyDescent="0.25">
      <c r="A4504" t="s">
        <v>177</v>
      </c>
      <c r="B4504" t="s">
        <v>28319</v>
      </c>
      <c r="C4504" t="s">
        <v>328</v>
      </c>
      <c r="D4504" t="s">
        <v>28319</v>
      </c>
      <c r="E4504" t="s">
        <v>28320</v>
      </c>
      <c r="F4504" t="s">
        <v>108</v>
      </c>
      <c r="H4504" t="s">
        <v>28321</v>
      </c>
      <c r="I4504" t="s">
        <v>1397</v>
      </c>
      <c r="J4504" t="s">
        <v>111</v>
      </c>
      <c r="K4504" t="str">
        <f>"85331"</f>
        <v>85331</v>
      </c>
      <c r="L4504" t="s">
        <v>6358</v>
      </c>
      <c r="M4504" t="s">
        <v>28321</v>
      </c>
      <c r="N4504" t="s">
        <v>1397</v>
      </c>
      <c r="O4504" t="s">
        <v>111</v>
      </c>
      <c r="P4504" t="str">
        <f>"85331-2617"</f>
        <v>85331-2617</v>
      </c>
      <c r="Q4504" t="s">
        <v>113</v>
      </c>
      <c r="R4504" t="str">
        <f>"212-12-228"</f>
        <v>212-12-228</v>
      </c>
      <c r="S4504" t="s">
        <v>6359</v>
      </c>
      <c r="T4504" t="s">
        <v>6360</v>
      </c>
      <c r="U4504">
        <v>1722</v>
      </c>
      <c r="V4504">
        <v>0</v>
      </c>
      <c r="W4504">
        <v>3</v>
      </c>
      <c r="X4504">
        <v>1998</v>
      </c>
      <c r="Z4504">
        <v>1</v>
      </c>
      <c r="AA4504" t="s">
        <v>26</v>
      </c>
      <c r="AB4504">
        <v>0</v>
      </c>
      <c r="AC4504" t="s">
        <v>115</v>
      </c>
      <c r="AD4504">
        <v>2</v>
      </c>
      <c r="AE4504" t="s">
        <v>115</v>
      </c>
      <c r="AF4504">
        <v>0</v>
      </c>
      <c r="AG4504">
        <v>0</v>
      </c>
      <c r="AH4504" t="s">
        <v>116</v>
      </c>
      <c r="AI4504" s="1">
        <v>58756</v>
      </c>
      <c r="AJ4504" s="2">
        <v>0.15</v>
      </c>
      <c r="AK4504" s="1">
        <v>389402</v>
      </c>
      <c r="AL4504" t="s">
        <v>117</v>
      </c>
      <c r="AM4504" t="s">
        <v>191</v>
      </c>
      <c r="AN4504">
        <v>6334</v>
      </c>
      <c r="AO4504">
        <v>0.14000000000000001</v>
      </c>
      <c r="AP4504">
        <v>1</v>
      </c>
      <c r="AR4504">
        <v>1</v>
      </c>
      <c r="AS4504" s="1">
        <v>27720</v>
      </c>
      <c r="AT4504" s="1">
        <v>5540</v>
      </c>
      <c r="AU4504" s="1">
        <v>22180</v>
      </c>
      <c r="AV4504">
        <v>80.010000000000005</v>
      </c>
      <c r="AX4504" s="1">
        <v>1810.54</v>
      </c>
      <c r="AY4504" t="s">
        <v>6361</v>
      </c>
      <c r="AZ4504" t="s">
        <v>1402</v>
      </c>
      <c r="BA4504" t="s">
        <v>1403</v>
      </c>
      <c r="BE4504" s="3">
        <v>42419</v>
      </c>
      <c r="BF4504" s="1">
        <v>322000</v>
      </c>
      <c r="BG4504" t="s">
        <v>28322</v>
      </c>
      <c r="BH4504" s="1">
        <v>186.99</v>
      </c>
      <c r="BI4504" s="1">
        <v>330646</v>
      </c>
      <c r="BJ4504" s="3">
        <v>42419</v>
      </c>
      <c r="BK4504" t="s">
        <v>123</v>
      </c>
      <c r="BL4504" t="str">
        <f>"2016.104884"</f>
        <v>2016.104884</v>
      </c>
      <c r="BM4504" t="s">
        <v>724</v>
      </c>
      <c r="BO4504" t="s">
        <v>28323</v>
      </c>
      <c r="BS4504">
        <v>30</v>
      </c>
      <c r="BW4504" t="str">
        <f>""</f>
        <v/>
      </c>
      <c r="CH4504" t="str">
        <f>""</f>
        <v/>
      </c>
      <c r="CS4504" t="str">
        <f>""</f>
        <v/>
      </c>
    </row>
    <row r="4505" spans="1:97" x14ac:dyDescent="0.25">
      <c r="A4505" t="s">
        <v>325</v>
      </c>
      <c r="B4505" t="s">
        <v>12280</v>
      </c>
      <c r="E4505" t="s">
        <v>28324</v>
      </c>
      <c r="F4505" t="s">
        <v>108</v>
      </c>
      <c r="H4505" t="s">
        <v>28325</v>
      </c>
      <c r="I4505" t="s">
        <v>390</v>
      </c>
      <c r="J4505" t="s">
        <v>111</v>
      </c>
      <c r="K4505" t="str">
        <f>"85044"</f>
        <v>85044</v>
      </c>
      <c r="L4505" t="s">
        <v>11097</v>
      </c>
      <c r="M4505" t="s">
        <v>28325</v>
      </c>
      <c r="N4505" t="s">
        <v>390</v>
      </c>
      <c r="O4505" t="s">
        <v>111</v>
      </c>
      <c r="P4505" t="str">
        <f>"85044-6830"</f>
        <v>85044-6830</v>
      </c>
      <c r="Q4505" t="s">
        <v>113</v>
      </c>
      <c r="R4505" t="str">
        <f>"301-83-688"</f>
        <v>301-83-688</v>
      </c>
      <c r="S4505" t="s">
        <v>24009</v>
      </c>
      <c r="T4505" t="s">
        <v>24010</v>
      </c>
      <c r="U4505">
        <v>1817</v>
      </c>
      <c r="V4505">
        <v>0</v>
      </c>
      <c r="W4505">
        <v>3</v>
      </c>
      <c r="X4505">
        <v>1992</v>
      </c>
      <c r="Z4505">
        <v>1</v>
      </c>
      <c r="AA4505" t="s">
        <v>26</v>
      </c>
      <c r="AB4505">
        <v>0</v>
      </c>
      <c r="AC4505" t="s">
        <v>115</v>
      </c>
      <c r="AD4505">
        <v>2</v>
      </c>
      <c r="AE4505" t="s">
        <v>115</v>
      </c>
      <c r="AF4505">
        <v>0</v>
      </c>
      <c r="AG4505">
        <v>0</v>
      </c>
      <c r="AH4505" t="s">
        <v>116</v>
      </c>
      <c r="AI4505" s="1">
        <v>57551</v>
      </c>
      <c r="AJ4505" s="2">
        <v>0.16</v>
      </c>
      <c r="AK4505" s="1">
        <v>352187</v>
      </c>
      <c r="AL4505" t="s">
        <v>117</v>
      </c>
      <c r="AM4505" t="s">
        <v>191</v>
      </c>
      <c r="AN4505">
        <v>5602</v>
      </c>
      <c r="AO4505">
        <v>0.13</v>
      </c>
      <c r="AP4505">
        <v>1</v>
      </c>
      <c r="AR4505">
        <v>1</v>
      </c>
      <c r="AS4505" s="1">
        <v>25160</v>
      </c>
      <c r="AT4505" s="1">
        <v>5030</v>
      </c>
      <c r="AU4505" s="1">
        <v>20130</v>
      </c>
      <c r="AV4505">
        <v>80.010000000000005</v>
      </c>
      <c r="AX4505" s="1">
        <v>2396.5</v>
      </c>
      <c r="AY4505" t="s">
        <v>7418</v>
      </c>
      <c r="AZ4505" t="s">
        <v>7255</v>
      </c>
      <c r="BA4505" t="s">
        <v>5328</v>
      </c>
      <c r="BE4505" s="3">
        <v>42460</v>
      </c>
      <c r="BF4505" s="1">
        <v>289000</v>
      </c>
      <c r="BG4505" t="s">
        <v>28326</v>
      </c>
      <c r="BH4505" s="1">
        <v>159.05000000000001</v>
      </c>
      <c r="BI4505" s="1">
        <v>294636</v>
      </c>
      <c r="BJ4505" s="3">
        <v>42460</v>
      </c>
      <c r="BK4505" t="s">
        <v>123</v>
      </c>
      <c r="BL4505" t="str">
        <f>"2016.209889"</f>
        <v>2016.209889</v>
      </c>
      <c r="BM4505" t="s">
        <v>2980</v>
      </c>
      <c r="BO4505" t="s">
        <v>28327</v>
      </c>
      <c r="BS4505">
        <v>30</v>
      </c>
      <c r="BW4505" t="str">
        <f>""</f>
        <v/>
      </c>
      <c r="CH4505" t="str">
        <f>""</f>
        <v/>
      </c>
      <c r="CS4505" t="str">
        <f>""</f>
        <v/>
      </c>
    </row>
    <row r="4506" spans="1:97" x14ac:dyDescent="0.25">
      <c r="A4506" t="s">
        <v>140</v>
      </c>
      <c r="B4506" t="s">
        <v>28328</v>
      </c>
      <c r="C4506" t="s">
        <v>28329</v>
      </c>
      <c r="D4506" t="s">
        <v>28328</v>
      </c>
      <c r="E4506" t="s">
        <v>28330</v>
      </c>
      <c r="F4506" t="s">
        <v>108</v>
      </c>
      <c r="H4506" t="s">
        <v>28331</v>
      </c>
      <c r="I4506" t="s">
        <v>632</v>
      </c>
      <c r="J4506" t="s">
        <v>111</v>
      </c>
      <c r="K4506" t="str">
        <f>"85388"</f>
        <v>85388</v>
      </c>
      <c r="L4506" t="s">
        <v>4159</v>
      </c>
      <c r="M4506" t="s">
        <v>28331</v>
      </c>
      <c r="N4506" t="s">
        <v>632</v>
      </c>
      <c r="O4506" t="s">
        <v>111</v>
      </c>
      <c r="P4506" t="str">
        <f>"85388-1709"</f>
        <v>85388-1709</v>
      </c>
      <c r="Q4506" t="s">
        <v>113</v>
      </c>
      <c r="R4506" t="str">
        <f>"502-84-771"</f>
        <v>502-84-771</v>
      </c>
      <c r="S4506" t="s">
        <v>9278</v>
      </c>
      <c r="T4506" t="s">
        <v>9279</v>
      </c>
      <c r="U4506">
        <v>3419</v>
      </c>
      <c r="V4506">
        <v>0</v>
      </c>
      <c r="W4506">
        <v>4</v>
      </c>
      <c r="X4506">
        <v>2006</v>
      </c>
      <c r="Z4506">
        <v>2</v>
      </c>
      <c r="AA4506" t="s">
        <v>26</v>
      </c>
      <c r="AB4506">
        <v>0</v>
      </c>
      <c r="AC4506" t="s">
        <v>115</v>
      </c>
      <c r="AD4506">
        <v>3</v>
      </c>
      <c r="AE4506" t="s">
        <v>115</v>
      </c>
      <c r="AF4506">
        <v>0</v>
      </c>
      <c r="AG4506">
        <v>0</v>
      </c>
      <c r="AH4506" t="s">
        <v>116</v>
      </c>
      <c r="AI4506" s="1">
        <v>49921</v>
      </c>
      <c r="AJ4506" s="2">
        <v>0.14000000000000001</v>
      </c>
      <c r="AK4506" s="1">
        <v>358788</v>
      </c>
      <c r="AL4506" t="s">
        <v>117</v>
      </c>
      <c r="AM4506" t="s">
        <v>118</v>
      </c>
      <c r="AN4506">
        <v>9638</v>
      </c>
      <c r="AO4506">
        <v>0.22</v>
      </c>
      <c r="AR4506">
        <v>1</v>
      </c>
      <c r="AS4506" s="1">
        <v>26670</v>
      </c>
      <c r="AT4506" s="1">
        <v>5330</v>
      </c>
      <c r="AU4506" s="1">
        <v>21340</v>
      </c>
      <c r="AV4506">
        <v>80.010000000000005</v>
      </c>
      <c r="AX4506" s="1">
        <v>2212.42</v>
      </c>
      <c r="AY4506" t="s">
        <v>5168</v>
      </c>
      <c r="AZ4506" t="s">
        <v>5168</v>
      </c>
      <c r="BA4506" t="s">
        <v>5109</v>
      </c>
      <c r="BE4506" s="3">
        <v>41851</v>
      </c>
      <c r="BF4506" s="1">
        <v>251000</v>
      </c>
      <c r="BG4506" t="s">
        <v>28332</v>
      </c>
      <c r="BH4506" s="1">
        <v>73.41</v>
      </c>
      <c r="BI4506" s="1">
        <v>308867</v>
      </c>
      <c r="BJ4506" s="3">
        <v>42237</v>
      </c>
      <c r="BK4506" t="s">
        <v>123</v>
      </c>
      <c r="BL4506" t="str">
        <f>"2015.608252"</f>
        <v>2015.608252</v>
      </c>
      <c r="BM4506" t="s">
        <v>544</v>
      </c>
      <c r="BO4506" t="s">
        <v>28333</v>
      </c>
      <c r="BS4506">
        <v>30</v>
      </c>
      <c r="BW4506" t="str">
        <f>""</f>
        <v/>
      </c>
      <c r="CH4506" t="str">
        <f>""</f>
        <v/>
      </c>
      <c r="CS4506" t="str">
        <f>""</f>
        <v/>
      </c>
    </row>
    <row r="4507" spans="1:97" x14ac:dyDescent="0.25">
      <c r="A4507" t="s">
        <v>28334</v>
      </c>
      <c r="B4507" t="s">
        <v>11859</v>
      </c>
      <c r="C4507" t="s">
        <v>13079</v>
      </c>
      <c r="D4507" t="s">
        <v>11859</v>
      </c>
      <c r="E4507" t="s">
        <v>28335</v>
      </c>
      <c r="F4507" t="s">
        <v>108</v>
      </c>
      <c r="H4507" t="s">
        <v>28336</v>
      </c>
      <c r="I4507" t="s">
        <v>632</v>
      </c>
      <c r="J4507" t="s">
        <v>111</v>
      </c>
      <c r="K4507" t="str">
        <f>"85379"</f>
        <v>85379</v>
      </c>
      <c r="L4507" t="s">
        <v>269</v>
      </c>
      <c r="M4507" t="s">
        <v>28336</v>
      </c>
      <c r="N4507" t="s">
        <v>632</v>
      </c>
      <c r="O4507" t="s">
        <v>111</v>
      </c>
      <c r="P4507" t="str">
        <f>"85379-4695"</f>
        <v>85379-4695</v>
      </c>
      <c r="Q4507" t="s">
        <v>113</v>
      </c>
      <c r="R4507" t="str">
        <f>"501-40-148"</f>
        <v>501-40-148</v>
      </c>
      <c r="S4507" t="s">
        <v>20516</v>
      </c>
      <c r="U4507">
        <v>3924</v>
      </c>
      <c r="V4507">
        <v>0</v>
      </c>
      <c r="W4507">
        <v>4</v>
      </c>
      <c r="X4507">
        <v>2005</v>
      </c>
      <c r="Z4507">
        <v>2</v>
      </c>
      <c r="AA4507" t="s">
        <v>26</v>
      </c>
      <c r="AB4507">
        <v>0</v>
      </c>
      <c r="AC4507" t="s">
        <v>115</v>
      </c>
      <c r="AD4507">
        <v>3</v>
      </c>
      <c r="AE4507" t="s">
        <v>115</v>
      </c>
      <c r="AF4507">
        <v>0</v>
      </c>
      <c r="AG4507">
        <v>0</v>
      </c>
      <c r="AH4507" t="s">
        <v>116</v>
      </c>
      <c r="AI4507" s="1">
        <v>55224</v>
      </c>
      <c r="AJ4507" s="2">
        <v>0.13</v>
      </c>
      <c r="AK4507" s="1">
        <v>412749</v>
      </c>
      <c r="AL4507" t="s">
        <v>117</v>
      </c>
      <c r="AM4507" t="s">
        <v>118</v>
      </c>
      <c r="AN4507">
        <v>9187</v>
      </c>
      <c r="AO4507">
        <v>0.21</v>
      </c>
      <c r="AR4507">
        <v>1</v>
      </c>
      <c r="AS4507" s="1">
        <v>29720</v>
      </c>
      <c r="AT4507" s="1">
        <v>5940</v>
      </c>
      <c r="AU4507" s="1">
        <v>23780</v>
      </c>
      <c r="AV4507">
        <v>80.010000000000005</v>
      </c>
      <c r="AX4507" s="1">
        <v>2494.84</v>
      </c>
      <c r="AY4507" t="s">
        <v>5060</v>
      </c>
      <c r="AZ4507" t="s">
        <v>5060</v>
      </c>
      <c r="BA4507" t="s">
        <v>5061</v>
      </c>
      <c r="BE4507" s="3">
        <v>42426</v>
      </c>
      <c r="BF4507" s="1">
        <v>350000</v>
      </c>
      <c r="BG4507" t="s">
        <v>28337</v>
      </c>
      <c r="BH4507" s="1">
        <v>89.19</v>
      </c>
      <c r="BI4507" s="1">
        <v>357525</v>
      </c>
      <c r="BJ4507" s="3">
        <v>42426</v>
      </c>
      <c r="BK4507" t="s">
        <v>123</v>
      </c>
      <c r="BL4507" t="str">
        <f>"2016.122567"</f>
        <v>2016.122567</v>
      </c>
      <c r="BM4507" t="s">
        <v>2683</v>
      </c>
      <c r="BO4507" t="s">
        <v>28338</v>
      </c>
      <c r="BS4507">
        <v>30</v>
      </c>
      <c r="BW4507" t="str">
        <f>""</f>
        <v/>
      </c>
      <c r="CH4507" t="str">
        <f>""</f>
        <v/>
      </c>
      <c r="CS4507" t="str">
        <f>""</f>
        <v/>
      </c>
    </row>
    <row r="4508" spans="1:97" x14ac:dyDescent="0.25">
      <c r="A4508" t="s">
        <v>305</v>
      </c>
      <c r="B4508" t="s">
        <v>449</v>
      </c>
      <c r="C4508" t="s">
        <v>28339</v>
      </c>
      <c r="D4508" t="s">
        <v>28340</v>
      </c>
      <c r="E4508" t="s">
        <v>28341</v>
      </c>
      <c r="F4508" t="s">
        <v>108</v>
      </c>
      <c r="H4508" t="s">
        <v>28342</v>
      </c>
      <c r="I4508" t="s">
        <v>390</v>
      </c>
      <c r="J4508" t="s">
        <v>111</v>
      </c>
      <c r="K4508" t="str">
        <f>"85042"</f>
        <v>85042</v>
      </c>
      <c r="L4508" t="s">
        <v>6996</v>
      </c>
      <c r="M4508" t="s">
        <v>28342</v>
      </c>
      <c r="N4508" t="s">
        <v>390</v>
      </c>
      <c r="O4508" t="s">
        <v>111</v>
      </c>
      <c r="P4508" t="str">
        <f>"85042-8166"</f>
        <v>85042-8166</v>
      </c>
      <c r="Q4508" t="s">
        <v>113</v>
      </c>
      <c r="R4508" t="str">
        <f>"301-36-152"</f>
        <v>301-36-152</v>
      </c>
      <c r="S4508" t="s">
        <v>16645</v>
      </c>
      <c r="T4508" t="s">
        <v>16645</v>
      </c>
      <c r="U4508">
        <v>3135</v>
      </c>
      <c r="V4508">
        <v>0</v>
      </c>
      <c r="W4508">
        <v>5</v>
      </c>
      <c r="X4508">
        <v>2005</v>
      </c>
      <c r="Z4508">
        <v>2</v>
      </c>
      <c r="AA4508" t="s">
        <v>26</v>
      </c>
      <c r="AB4508">
        <v>0</v>
      </c>
      <c r="AC4508" t="s">
        <v>115</v>
      </c>
      <c r="AD4508">
        <v>3</v>
      </c>
      <c r="AE4508" t="s">
        <v>115</v>
      </c>
      <c r="AF4508">
        <v>0</v>
      </c>
      <c r="AG4508">
        <v>0</v>
      </c>
      <c r="AH4508" t="s">
        <v>116</v>
      </c>
      <c r="AI4508" s="1">
        <v>52373</v>
      </c>
      <c r="AJ4508" s="2">
        <v>0.12</v>
      </c>
      <c r="AK4508" s="1">
        <v>445650</v>
      </c>
      <c r="AL4508" t="s">
        <v>117</v>
      </c>
      <c r="AM4508" t="s">
        <v>191</v>
      </c>
      <c r="AN4508">
        <v>8040</v>
      </c>
      <c r="AO4508">
        <v>0.18</v>
      </c>
      <c r="AR4508">
        <v>1</v>
      </c>
      <c r="AS4508" s="1">
        <v>31060</v>
      </c>
      <c r="AT4508" s="1">
        <v>6210</v>
      </c>
      <c r="AU4508" s="1">
        <v>24850</v>
      </c>
      <c r="AV4508">
        <v>80.010000000000005</v>
      </c>
      <c r="AX4508" s="1">
        <v>4587.08</v>
      </c>
      <c r="AY4508" t="s">
        <v>6115</v>
      </c>
      <c r="AZ4508" t="s">
        <v>6115</v>
      </c>
      <c r="BA4508" t="s">
        <v>2860</v>
      </c>
      <c r="BE4508" s="3">
        <v>42264</v>
      </c>
      <c r="BF4508" s="1">
        <v>385000</v>
      </c>
      <c r="BG4508" t="s">
        <v>28343</v>
      </c>
      <c r="BH4508" s="1">
        <v>122.81</v>
      </c>
      <c r="BI4508" s="1">
        <v>393277</v>
      </c>
      <c r="BJ4508" s="3">
        <v>42264</v>
      </c>
      <c r="BK4508" t="s">
        <v>123</v>
      </c>
      <c r="BL4508" t="str">
        <f>"2015.671532"</f>
        <v>2015.671532</v>
      </c>
      <c r="BM4508" t="s">
        <v>135</v>
      </c>
      <c r="BO4508" t="s">
        <v>28344</v>
      </c>
      <c r="BP4508" t="s">
        <v>28345</v>
      </c>
      <c r="BS4508">
        <v>30</v>
      </c>
      <c r="BW4508" t="str">
        <f>""</f>
        <v/>
      </c>
      <c r="CH4508" t="str">
        <f>""</f>
        <v/>
      </c>
      <c r="CS4508" t="str">
        <f>""</f>
        <v/>
      </c>
    </row>
    <row r="4509" spans="1:97" x14ac:dyDescent="0.25">
      <c r="A4509" t="s">
        <v>2915</v>
      </c>
      <c r="B4509" t="s">
        <v>511</v>
      </c>
      <c r="C4509" t="s">
        <v>220</v>
      </c>
      <c r="D4509" t="s">
        <v>28346</v>
      </c>
      <c r="E4509" t="s">
        <v>28347</v>
      </c>
      <c r="F4509" t="s">
        <v>108</v>
      </c>
      <c r="H4509" t="s">
        <v>28348</v>
      </c>
      <c r="I4509" t="s">
        <v>632</v>
      </c>
      <c r="J4509" t="s">
        <v>111</v>
      </c>
      <c r="K4509" t="str">
        <f>"85388"</f>
        <v>85388</v>
      </c>
      <c r="L4509" t="s">
        <v>4159</v>
      </c>
      <c r="M4509" t="s">
        <v>28348</v>
      </c>
      <c r="N4509" t="s">
        <v>632</v>
      </c>
      <c r="O4509" t="s">
        <v>111</v>
      </c>
      <c r="P4509" t="str">
        <f>"85388-1667"</f>
        <v>85388-1667</v>
      </c>
      <c r="Q4509" t="s">
        <v>113</v>
      </c>
      <c r="R4509" t="str">
        <f>"502-09-359"</f>
        <v>502-09-359</v>
      </c>
      <c r="S4509" t="s">
        <v>20216</v>
      </c>
      <c r="T4509" t="s">
        <v>5360</v>
      </c>
      <c r="U4509">
        <v>3300</v>
      </c>
      <c r="V4509">
        <v>0</v>
      </c>
      <c r="W4509">
        <v>4</v>
      </c>
      <c r="X4509">
        <v>2006</v>
      </c>
      <c r="Z4509">
        <v>2</v>
      </c>
      <c r="AA4509" t="s">
        <v>26</v>
      </c>
      <c r="AB4509">
        <v>0</v>
      </c>
      <c r="AC4509" t="s">
        <v>115</v>
      </c>
      <c r="AD4509">
        <v>3</v>
      </c>
      <c r="AE4509" t="s">
        <v>115</v>
      </c>
      <c r="AF4509">
        <v>0</v>
      </c>
      <c r="AG4509">
        <v>0</v>
      </c>
      <c r="AH4509" t="s">
        <v>116</v>
      </c>
      <c r="AI4509" s="1">
        <v>93038</v>
      </c>
      <c r="AJ4509" s="2">
        <v>0.26</v>
      </c>
      <c r="AK4509" s="1">
        <v>361988</v>
      </c>
      <c r="AL4509" t="s">
        <v>117</v>
      </c>
      <c r="AM4509" t="s">
        <v>118</v>
      </c>
      <c r="AN4509">
        <v>7650</v>
      </c>
      <c r="AO4509">
        <v>0.18</v>
      </c>
      <c r="AR4509">
        <v>1</v>
      </c>
      <c r="AS4509" s="1">
        <v>26510</v>
      </c>
      <c r="AT4509" s="1">
        <v>5300</v>
      </c>
      <c r="AU4509" s="1">
        <v>21210</v>
      </c>
      <c r="AV4509">
        <v>80.010000000000005</v>
      </c>
      <c r="AX4509" s="1">
        <v>2500.2600000000002</v>
      </c>
      <c r="AY4509" t="s">
        <v>5168</v>
      </c>
      <c r="AZ4509" t="s">
        <v>5168</v>
      </c>
      <c r="BA4509" t="s">
        <v>5109</v>
      </c>
      <c r="BE4509" s="3">
        <v>41709</v>
      </c>
      <c r="BF4509" s="1">
        <v>279000</v>
      </c>
      <c r="BG4509" t="s">
        <v>28349</v>
      </c>
      <c r="BH4509" s="1">
        <v>84.55</v>
      </c>
      <c r="BI4509" s="1">
        <v>268950</v>
      </c>
      <c r="BJ4509" s="3">
        <v>42495</v>
      </c>
      <c r="BK4509" t="s">
        <v>123</v>
      </c>
      <c r="BL4509" t="str">
        <f>"2016.305420"</f>
        <v>2016.305420</v>
      </c>
      <c r="BM4509" t="s">
        <v>322</v>
      </c>
      <c r="BO4509" t="s">
        <v>28350</v>
      </c>
      <c r="BS4509">
        <v>30</v>
      </c>
      <c r="BW4509" t="str">
        <f>""</f>
        <v/>
      </c>
      <c r="CH4509" t="str">
        <f>""</f>
        <v/>
      </c>
      <c r="CS4509" t="str">
        <f>""</f>
        <v/>
      </c>
    </row>
    <row r="4510" spans="1:97" x14ac:dyDescent="0.25">
      <c r="A4510" t="s">
        <v>28351</v>
      </c>
      <c r="B4510" t="s">
        <v>348</v>
      </c>
      <c r="C4510" t="s">
        <v>489</v>
      </c>
      <c r="D4510" t="s">
        <v>348</v>
      </c>
      <c r="E4510" t="s">
        <v>28352</v>
      </c>
      <c r="F4510" t="s">
        <v>108</v>
      </c>
      <c r="H4510" t="s">
        <v>28353</v>
      </c>
      <c r="I4510" t="s">
        <v>390</v>
      </c>
      <c r="J4510" t="s">
        <v>111</v>
      </c>
      <c r="K4510" t="str">
        <f>"85083"</f>
        <v>85083</v>
      </c>
      <c r="L4510" t="s">
        <v>12821</v>
      </c>
      <c r="M4510" t="s">
        <v>28353</v>
      </c>
      <c r="N4510" t="s">
        <v>390</v>
      </c>
      <c r="O4510" t="s">
        <v>111</v>
      </c>
      <c r="P4510" t="str">
        <f>"85083-9302"</f>
        <v>85083-9302</v>
      </c>
      <c r="Q4510" t="s">
        <v>113</v>
      </c>
      <c r="R4510" t="str">
        <f>"201-41-315"</f>
        <v>201-41-315</v>
      </c>
      <c r="S4510" t="s">
        <v>12822</v>
      </c>
      <c r="U4510">
        <v>2562</v>
      </c>
      <c r="V4510">
        <v>0</v>
      </c>
      <c r="W4510">
        <v>4</v>
      </c>
      <c r="X4510">
        <v>2011</v>
      </c>
      <c r="Z4510">
        <v>2</v>
      </c>
      <c r="AB4510">
        <v>0</v>
      </c>
      <c r="AC4510" t="s">
        <v>115</v>
      </c>
      <c r="AD4510">
        <v>2</v>
      </c>
      <c r="AE4510" t="s">
        <v>115</v>
      </c>
      <c r="AF4510">
        <v>0</v>
      </c>
      <c r="AG4510">
        <v>0</v>
      </c>
      <c r="AH4510" t="s">
        <v>116</v>
      </c>
      <c r="AI4510" s="1">
        <v>77345</v>
      </c>
      <c r="AJ4510" s="2">
        <v>0.2</v>
      </c>
      <c r="AK4510" s="1">
        <v>381512</v>
      </c>
      <c r="AL4510" t="s">
        <v>117</v>
      </c>
      <c r="AM4510" t="s">
        <v>760</v>
      </c>
      <c r="AN4510">
        <v>6166</v>
      </c>
      <c r="AO4510">
        <v>0.14000000000000001</v>
      </c>
      <c r="AR4510">
        <v>1</v>
      </c>
      <c r="AS4510" s="1">
        <v>27810</v>
      </c>
      <c r="AT4510" s="1">
        <v>5560</v>
      </c>
      <c r="AU4510" s="1">
        <v>22250</v>
      </c>
      <c r="AV4510">
        <v>80.010000000000005</v>
      </c>
      <c r="AX4510" s="1">
        <v>2928</v>
      </c>
      <c r="AY4510" t="s">
        <v>5125</v>
      </c>
      <c r="AZ4510" t="s">
        <v>3049</v>
      </c>
      <c r="BA4510" t="s">
        <v>1386</v>
      </c>
      <c r="BE4510" s="3">
        <v>42502</v>
      </c>
      <c r="BF4510" s="1">
        <v>319900</v>
      </c>
      <c r="BG4510" t="s">
        <v>28354</v>
      </c>
      <c r="BH4510" s="1">
        <v>124.86</v>
      </c>
      <c r="BI4510" s="1">
        <v>304167</v>
      </c>
      <c r="BJ4510" s="3">
        <v>42502</v>
      </c>
      <c r="BK4510" t="s">
        <v>123</v>
      </c>
      <c r="BL4510" t="str">
        <f>"2016.325427"</f>
        <v>2016.325427</v>
      </c>
      <c r="BM4510" t="s">
        <v>475</v>
      </c>
      <c r="BO4510" t="s">
        <v>28355</v>
      </c>
      <c r="BS4510">
        <v>30</v>
      </c>
      <c r="BW4510" t="str">
        <f>""</f>
        <v/>
      </c>
      <c r="CH4510" t="str">
        <f>""</f>
        <v/>
      </c>
      <c r="CS4510" t="str">
        <f>""</f>
        <v/>
      </c>
    </row>
    <row r="4511" spans="1:97" x14ac:dyDescent="0.25">
      <c r="A4511" t="s">
        <v>28356</v>
      </c>
      <c r="B4511" t="s">
        <v>28357</v>
      </c>
      <c r="C4511" t="s">
        <v>1208</v>
      </c>
      <c r="D4511" t="s">
        <v>28357</v>
      </c>
      <c r="E4511" t="s">
        <v>28358</v>
      </c>
      <c r="F4511" t="s">
        <v>108</v>
      </c>
      <c r="H4511" t="s">
        <v>28359</v>
      </c>
      <c r="I4511" t="s">
        <v>390</v>
      </c>
      <c r="J4511" t="s">
        <v>111</v>
      </c>
      <c r="K4511" t="str">
        <f>"85022"</f>
        <v>85022</v>
      </c>
      <c r="L4511" t="s">
        <v>2547</v>
      </c>
      <c r="M4511" t="s">
        <v>28359</v>
      </c>
      <c r="N4511" t="s">
        <v>390</v>
      </c>
      <c r="O4511" t="s">
        <v>111</v>
      </c>
      <c r="P4511" t="str">
        <f>"85022-2158"</f>
        <v>85022-2158</v>
      </c>
      <c r="Q4511" t="s">
        <v>113</v>
      </c>
      <c r="R4511" t="str">
        <f>"214-09-433-A"</f>
        <v>214-09-433-A</v>
      </c>
      <c r="S4511" t="s">
        <v>28360</v>
      </c>
      <c r="U4511">
        <v>2302</v>
      </c>
      <c r="V4511">
        <v>0</v>
      </c>
      <c r="W4511">
        <v>4</v>
      </c>
      <c r="X4511">
        <v>2006</v>
      </c>
      <c r="Z4511">
        <v>1</v>
      </c>
      <c r="AB4511">
        <v>0</v>
      </c>
      <c r="AC4511" t="s">
        <v>115</v>
      </c>
      <c r="AD4511">
        <v>2</v>
      </c>
      <c r="AE4511" t="s">
        <v>115</v>
      </c>
      <c r="AF4511">
        <v>0</v>
      </c>
      <c r="AG4511">
        <v>0</v>
      </c>
      <c r="AH4511" t="s">
        <v>116</v>
      </c>
      <c r="AI4511" s="1">
        <v>69209</v>
      </c>
      <c r="AJ4511" s="2">
        <v>0.19</v>
      </c>
      <c r="AK4511" s="1">
        <v>355209</v>
      </c>
      <c r="AL4511" t="s">
        <v>117</v>
      </c>
      <c r="AM4511" t="s">
        <v>1315</v>
      </c>
      <c r="AN4511">
        <v>8960</v>
      </c>
      <c r="AO4511">
        <v>0.21</v>
      </c>
      <c r="AR4511">
        <v>1</v>
      </c>
      <c r="AS4511" s="1">
        <v>27110</v>
      </c>
      <c r="AT4511" s="1">
        <v>5420</v>
      </c>
      <c r="AU4511" s="1">
        <v>21690</v>
      </c>
      <c r="AV4511">
        <v>80.010000000000005</v>
      </c>
      <c r="AX4511" s="1">
        <v>2782.16</v>
      </c>
      <c r="AY4511" t="s">
        <v>2549</v>
      </c>
      <c r="AZ4511" t="s">
        <v>2550</v>
      </c>
      <c r="BA4511" t="s">
        <v>2551</v>
      </c>
      <c r="BE4511" s="3">
        <v>42457</v>
      </c>
      <c r="BF4511" s="1">
        <v>260000</v>
      </c>
      <c r="BG4511" t="s">
        <v>28361</v>
      </c>
      <c r="BH4511" s="1">
        <v>112.95</v>
      </c>
      <c r="BI4511" s="1">
        <v>260000</v>
      </c>
      <c r="BJ4511" s="3">
        <v>42457</v>
      </c>
      <c r="BK4511" t="s">
        <v>123</v>
      </c>
      <c r="BL4511" t="str">
        <f>"2016.198574"</f>
        <v>2016.198574</v>
      </c>
      <c r="BM4511" t="s">
        <v>475</v>
      </c>
      <c r="BN4511" t="s">
        <v>1282</v>
      </c>
      <c r="BO4511" t="s">
        <v>28362</v>
      </c>
      <c r="BS4511">
        <v>30</v>
      </c>
      <c r="BT4511" s="1">
        <v>26000</v>
      </c>
      <c r="BU4511" s="3">
        <v>43559</v>
      </c>
      <c r="BW4511" t="str">
        <f>"2019.234619"</f>
        <v>2019.234619</v>
      </c>
      <c r="BX4511" t="s">
        <v>1639</v>
      </c>
      <c r="BY4511" t="s">
        <v>1640</v>
      </c>
      <c r="BZ4511" t="s">
        <v>28363</v>
      </c>
      <c r="CA4511" t="s">
        <v>28364</v>
      </c>
      <c r="CC4511" t="s">
        <v>346</v>
      </c>
      <c r="CH4511" t="str">
        <f>""</f>
        <v/>
      </c>
      <c r="CS4511" t="str">
        <f>""</f>
        <v/>
      </c>
    </row>
    <row r="4512" spans="1:97" x14ac:dyDescent="0.25">
      <c r="A4512" t="s">
        <v>494</v>
      </c>
      <c r="B4512" t="s">
        <v>9102</v>
      </c>
      <c r="C4512" t="s">
        <v>28365</v>
      </c>
      <c r="D4512" t="s">
        <v>9102</v>
      </c>
      <c r="E4512" t="s">
        <v>28366</v>
      </c>
      <c r="F4512" t="s">
        <v>108</v>
      </c>
      <c r="H4512" t="s">
        <v>28367</v>
      </c>
      <c r="I4512" t="s">
        <v>225</v>
      </c>
      <c r="J4512" t="s">
        <v>111</v>
      </c>
      <c r="K4512" t="str">
        <f>"85212"</f>
        <v>85212</v>
      </c>
      <c r="L4512" t="s">
        <v>7619</v>
      </c>
      <c r="M4512" t="s">
        <v>28367</v>
      </c>
      <c r="N4512" t="s">
        <v>225</v>
      </c>
      <c r="O4512" t="s">
        <v>111</v>
      </c>
      <c r="P4512" t="str">
        <f>"85212-2534"</f>
        <v>85212-2534</v>
      </c>
      <c r="Q4512" t="s">
        <v>113</v>
      </c>
      <c r="R4512" t="str">
        <f>"304-34-366"</f>
        <v>304-34-366</v>
      </c>
      <c r="S4512" t="s">
        <v>28368</v>
      </c>
      <c r="T4512" t="s">
        <v>7621</v>
      </c>
      <c r="U4512">
        <v>2362</v>
      </c>
      <c r="V4512">
        <v>0</v>
      </c>
      <c r="W4512">
        <v>3</v>
      </c>
      <c r="X4512">
        <v>2012</v>
      </c>
      <c r="Z4512">
        <v>1</v>
      </c>
      <c r="AA4512" t="s">
        <v>26</v>
      </c>
      <c r="AB4512">
        <v>0</v>
      </c>
      <c r="AC4512" t="s">
        <v>115</v>
      </c>
      <c r="AD4512">
        <v>2</v>
      </c>
      <c r="AE4512" t="s">
        <v>115</v>
      </c>
      <c r="AF4512">
        <v>0</v>
      </c>
      <c r="AG4512">
        <v>0</v>
      </c>
      <c r="AH4512" t="s">
        <v>116</v>
      </c>
      <c r="AI4512" s="1">
        <v>129722</v>
      </c>
      <c r="AJ4512" s="2">
        <v>0.33</v>
      </c>
      <c r="AK4512" s="1">
        <v>394221</v>
      </c>
      <c r="AL4512" t="s">
        <v>117</v>
      </c>
      <c r="AM4512" t="s">
        <v>917</v>
      </c>
      <c r="AN4512">
        <v>11227</v>
      </c>
      <c r="AO4512">
        <v>0.26</v>
      </c>
      <c r="AR4512">
        <v>1</v>
      </c>
      <c r="AS4512" s="1">
        <v>27730</v>
      </c>
      <c r="AT4512" s="1">
        <v>5540</v>
      </c>
      <c r="AU4512" s="1">
        <v>22190</v>
      </c>
      <c r="AV4512">
        <v>80.02</v>
      </c>
      <c r="AX4512" s="1">
        <v>2296.1</v>
      </c>
      <c r="AY4512" t="s">
        <v>776</v>
      </c>
      <c r="AZ4512" t="s">
        <v>777</v>
      </c>
      <c r="BA4512" t="s">
        <v>572</v>
      </c>
      <c r="BE4512" s="3">
        <v>42275</v>
      </c>
      <c r="BF4512" s="1">
        <v>315000</v>
      </c>
      <c r="BG4512" t="s">
        <v>28369</v>
      </c>
      <c r="BH4512" s="1">
        <v>133.36000000000001</v>
      </c>
      <c r="BI4512" s="1">
        <v>264499</v>
      </c>
      <c r="BJ4512" s="3">
        <v>42600</v>
      </c>
      <c r="BK4512" t="s">
        <v>123</v>
      </c>
      <c r="BL4512" t="str">
        <f>"2016.590561"</f>
        <v>2016.590561</v>
      </c>
      <c r="BM4512" t="s">
        <v>322</v>
      </c>
      <c r="BO4512" t="s">
        <v>28370</v>
      </c>
      <c r="BS4512">
        <v>30</v>
      </c>
      <c r="BW4512" t="str">
        <f>""</f>
        <v/>
      </c>
      <c r="CH4512" t="str">
        <f>""</f>
        <v/>
      </c>
      <c r="CS4512" t="str">
        <f>""</f>
        <v/>
      </c>
    </row>
    <row r="4513" spans="1:97" x14ac:dyDescent="0.25">
      <c r="A4513" t="s">
        <v>28371</v>
      </c>
      <c r="B4513" t="s">
        <v>2104</v>
      </c>
      <c r="C4513" t="s">
        <v>179</v>
      </c>
      <c r="D4513" t="s">
        <v>2104</v>
      </c>
      <c r="E4513" t="s">
        <v>28372</v>
      </c>
      <c r="F4513" t="s">
        <v>108</v>
      </c>
      <c r="H4513" t="s">
        <v>28373</v>
      </c>
      <c r="I4513" t="s">
        <v>188</v>
      </c>
      <c r="J4513" t="s">
        <v>111</v>
      </c>
      <c r="K4513" t="str">
        <f>"85142"</f>
        <v>85142</v>
      </c>
      <c r="L4513" t="s">
        <v>5291</v>
      </c>
      <c r="M4513" t="s">
        <v>28373</v>
      </c>
      <c r="N4513" t="s">
        <v>188</v>
      </c>
      <c r="O4513" t="s">
        <v>111</v>
      </c>
      <c r="P4513" t="str">
        <f>"85142-4900"</f>
        <v>85142-4900</v>
      </c>
      <c r="R4513" t="str">
        <f>"314-04-314"</f>
        <v>314-04-314</v>
      </c>
      <c r="S4513" t="s">
        <v>15462</v>
      </c>
      <c r="U4513">
        <v>1723</v>
      </c>
      <c r="V4513">
        <v>0</v>
      </c>
      <c r="W4513">
        <v>3</v>
      </c>
      <c r="X4513">
        <v>2008</v>
      </c>
      <c r="Z4513">
        <v>1</v>
      </c>
      <c r="AB4513">
        <v>0</v>
      </c>
      <c r="AC4513" t="s">
        <v>115</v>
      </c>
      <c r="AD4513">
        <v>2</v>
      </c>
      <c r="AE4513" t="s">
        <v>115</v>
      </c>
      <c r="AF4513">
        <v>0</v>
      </c>
      <c r="AG4513">
        <v>0</v>
      </c>
      <c r="AH4513" t="s">
        <v>116</v>
      </c>
      <c r="AI4513" s="1">
        <v>49657</v>
      </c>
      <c r="AJ4513" s="2">
        <v>0.17</v>
      </c>
      <c r="AK4513" s="1">
        <v>294478</v>
      </c>
      <c r="AL4513" t="s">
        <v>117</v>
      </c>
      <c r="AM4513" t="s">
        <v>191</v>
      </c>
      <c r="AN4513">
        <v>6899</v>
      </c>
      <c r="AO4513">
        <v>0.16</v>
      </c>
      <c r="AR4513">
        <v>1</v>
      </c>
      <c r="AS4513" s="1">
        <v>20020</v>
      </c>
      <c r="AT4513" s="1">
        <v>4000</v>
      </c>
      <c r="AU4513" s="1">
        <v>16020</v>
      </c>
      <c r="AV4513">
        <v>80.02</v>
      </c>
      <c r="AX4513" s="1">
        <v>1883.3</v>
      </c>
      <c r="AY4513" t="s">
        <v>192</v>
      </c>
      <c r="AZ4513" t="s">
        <v>193</v>
      </c>
      <c r="BA4513" t="s">
        <v>194</v>
      </c>
      <c r="BE4513" s="3">
        <v>42202</v>
      </c>
      <c r="BF4513" s="1">
        <v>221500</v>
      </c>
      <c r="BG4513" t="s">
        <v>28374</v>
      </c>
      <c r="BH4513" s="1">
        <v>128.55000000000001</v>
      </c>
      <c r="BI4513" s="1">
        <v>244821</v>
      </c>
      <c r="BJ4513" s="3">
        <v>43055</v>
      </c>
      <c r="BK4513" t="s">
        <v>123</v>
      </c>
      <c r="BL4513" t="str">
        <f>"2017.854076"</f>
        <v>2017.854076</v>
      </c>
      <c r="BM4513" t="s">
        <v>28375</v>
      </c>
      <c r="BN4513">
        <v>92111</v>
      </c>
      <c r="BO4513" t="s">
        <v>28376</v>
      </c>
      <c r="BS4513">
        <v>30</v>
      </c>
      <c r="BW4513" t="str">
        <f>""</f>
        <v/>
      </c>
      <c r="CH4513" t="str">
        <f>""</f>
        <v/>
      </c>
      <c r="CS4513" t="str">
        <f>""</f>
        <v/>
      </c>
    </row>
    <row r="4514" spans="1:97" x14ac:dyDescent="0.25">
      <c r="A4514" t="s">
        <v>11648</v>
      </c>
      <c r="B4514" t="s">
        <v>28377</v>
      </c>
      <c r="E4514" t="s">
        <v>28378</v>
      </c>
      <c r="F4514" t="s">
        <v>108</v>
      </c>
      <c r="H4514" t="s">
        <v>28379</v>
      </c>
      <c r="I4514" t="s">
        <v>390</v>
      </c>
      <c r="J4514" t="s">
        <v>111</v>
      </c>
      <c r="K4514" t="str">
        <f>"85083"</f>
        <v>85083</v>
      </c>
      <c r="L4514" t="s">
        <v>3520</v>
      </c>
      <c r="M4514" t="s">
        <v>28379</v>
      </c>
      <c r="N4514" t="s">
        <v>390</v>
      </c>
      <c r="O4514" t="s">
        <v>111</v>
      </c>
      <c r="P4514" t="str">
        <f>"85083-5828"</f>
        <v>85083-5828</v>
      </c>
      <c r="Q4514" t="s">
        <v>113</v>
      </c>
      <c r="R4514" t="str">
        <f>"205-03-095"</f>
        <v>205-03-095</v>
      </c>
      <c r="S4514" t="s">
        <v>10113</v>
      </c>
      <c r="T4514" t="s">
        <v>10113</v>
      </c>
      <c r="U4514">
        <v>2709</v>
      </c>
      <c r="V4514">
        <v>0</v>
      </c>
      <c r="W4514">
        <v>4</v>
      </c>
      <c r="X4514">
        <v>2002</v>
      </c>
      <c r="Z4514">
        <v>2</v>
      </c>
      <c r="AA4514" t="s">
        <v>26</v>
      </c>
      <c r="AB4514">
        <v>0</v>
      </c>
      <c r="AC4514" t="s">
        <v>115</v>
      </c>
      <c r="AD4514">
        <v>3</v>
      </c>
      <c r="AE4514" t="s">
        <v>115</v>
      </c>
      <c r="AF4514">
        <v>0</v>
      </c>
      <c r="AG4514">
        <v>0</v>
      </c>
      <c r="AH4514" t="s">
        <v>116</v>
      </c>
      <c r="AI4514" s="1">
        <v>38048</v>
      </c>
      <c r="AJ4514" s="2">
        <v>0.1</v>
      </c>
      <c r="AK4514" s="1">
        <v>388048</v>
      </c>
      <c r="AL4514" t="s">
        <v>117</v>
      </c>
      <c r="AM4514" t="s">
        <v>171</v>
      </c>
      <c r="AN4514">
        <v>10000</v>
      </c>
      <c r="AO4514">
        <v>0.23</v>
      </c>
      <c r="AP4514">
        <v>1</v>
      </c>
      <c r="AR4514">
        <v>1</v>
      </c>
      <c r="AS4514" s="1">
        <v>28850</v>
      </c>
      <c r="AT4514" s="1">
        <v>5770</v>
      </c>
      <c r="AU4514" s="1">
        <v>23080</v>
      </c>
      <c r="AV4514">
        <v>80</v>
      </c>
      <c r="AX4514" s="1">
        <v>2563.94</v>
      </c>
      <c r="AY4514" t="s">
        <v>3522</v>
      </c>
      <c r="AZ4514" t="s">
        <v>3522</v>
      </c>
      <c r="BA4514" t="s">
        <v>1386</v>
      </c>
      <c r="BE4514" s="3">
        <v>42551</v>
      </c>
      <c r="BF4514" s="1">
        <v>350000</v>
      </c>
      <c r="BG4514" t="s">
        <v>28380</v>
      </c>
      <c r="BH4514" s="1">
        <v>129.19999999999999</v>
      </c>
      <c r="BI4514" s="1">
        <v>350000</v>
      </c>
      <c r="BJ4514" s="3">
        <v>42551</v>
      </c>
      <c r="BK4514" t="s">
        <v>123</v>
      </c>
      <c r="BL4514" t="str">
        <f>"2016.463114"</f>
        <v>2016.463114</v>
      </c>
      <c r="BM4514" t="s">
        <v>3929</v>
      </c>
      <c r="BO4514" t="s">
        <v>28381</v>
      </c>
      <c r="BS4514">
        <v>30</v>
      </c>
      <c r="BW4514" t="str">
        <f>""</f>
        <v/>
      </c>
      <c r="CH4514" t="str">
        <f>""</f>
        <v/>
      </c>
      <c r="CS4514" t="str">
        <f>""</f>
        <v/>
      </c>
    </row>
    <row r="4515" spans="1:97" x14ac:dyDescent="0.25">
      <c r="A4515" t="s">
        <v>177</v>
      </c>
      <c r="B4515" t="s">
        <v>27888</v>
      </c>
      <c r="C4515" t="s">
        <v>12439</v>
      </c>
      <c r="D4515" t="s">
        <v>27888</v>
      </c>
      <c r="E4515" t="s">
        <v>28382</v>
      </c>
      <c r="F4515" t="s">
        <v>108</v>
      </c>
      <c r="H4515" t="s">
        <v>28383</v>
      </c>
      <c r="I4515" t="s">
        <v>390</v>
      </c>
      <c r="J4515" t="s">
        <v>111</v>
      </c>
      <c r="K4515" t="str">
        <f>"85024"</f>
        <v>85024</v>
      </c>
      <c r="L4515" t="s">
        <v>2963</v>
      </c>
      <c r="M4515" t="s">
        <v>28383</v>
      </c>
      <c r="N4515" t="s">
        <v>390</v>
      </c>
      <c r="O4515" t="s">
        <v>111</v>
      </c>
      <c r="P4515" t="str">
        <f>"85024-2495"</f>
        <v>85024-2495</v>
      </c>
      <c r="Q4515" t="s">
        <v>113</v>
      </c>
      <c r="R4515" t="str">
        <f>"213-32-233"</f>
        <v>213-32-233</v>
      </c>
      <c r="S4515" t="s">
        <v>20446</v>
      </c>
      <c r="T4515" t="s">
        <v>20447</v>
      </c>
      <c r="U4515">
        <v>2452</v>
      </c>
      <c r="V4515">
        <v>0</v>
      </c>
      <c r="W4515">
        <v>3</v>
      </c>
      <c r="X4515">
        <v>2005</v>
      </c>
      <c r="Z4515">
        <v>2</v>
      </c>
      <c r="AB4515">
        <v>0</v>
      </c>
      <c r="AC4515" t="s">
        <v>115</v>
      </c>
      <c r="AD4515">
        <v>2</v>
      </c>
      <c r="AE4515" t="s">
        <v>115</v>
      </c>
      <c r="AF4515">
        <v>0</v>
      </c>
      <c r="AG4515">
        <v>0</v>
      </c>
      <c r="AH4515" t="s">
        <v>116</v>
      </c>
      <c r="AI4515" s="1">
        <v>127627</v>
      </c>
      <c r="AJ4515" s="2">
        <v>0.32</v>
      </c>
      <c r="AK4515" s="1">
        <v>400597</v>
      </c>
      <c r="AL4515" t="s">
        <v>117</v>
      </c>
      <c r="AM4515" t="s">
        <v>171</v>
      </c>
      <c r="AN4515">
        <v>4950</v>
      </c>
      <c r="AO4515">
        <v>0.11</v>
      </c>
      <c r="AR4515">
        <v>1</v>
      </c>
      <c r="AS4515" s="1">
        <v>28880</v>
      </c>
      <c r="AT4515" s="1">
        <v>5770</v>
      </c>
      <c r="AU4515" s="1">
        <v>23110</v>
      </c>
      <c r="AV4515">
        <v>80.02</v>
      </c>
      <c r="AX4515" s="1">
        <v>2494.1799999999998</v>
      </c>
      <c r="AY4515" t="s">
        <v>570</v>
      </c>
      <c r="AZ4515" t="s">
        <v>761</v>
      </c>
      <c r="BA4515" t="s">
        <v>762</v>
      </c>
      <c r="BE4515" s="3">
        <v>42500</v>
      </c>
      <c r="BF4515" s="1">
        <v>337000</v>
      </c>
      <c r="BG4515" t="s">
        <v>28384</v>
      </c>
      <c r="BH4515" s="1">
        <v>137.44</v>
      </c>
      <c r="BI4515" s="1">
        <v>272970</v>
      </c>
      <c r="BJ4515" s="3">
        <v>42500</v>
      </c>
      <c r="BK4515" t="s">
        <v>123</v>
      </c>
      <c r="BL4515" t="str">
        <f>"2016.320018"</f>
        <v>2016.320018</v>
      </c>
      <c r="BM4515" t="s">
        <v>175</v>
      </c>
      <c r="BO4515" t="s">
        <v>28385</v>
      </c>
      <c r="BS4515">
        <v>30</v>
      </c>
      <c r="BW4515" t="str">
        <f>""</f>
        <v/>
      </c>
      <c r="CH4515" t="str">
        <f>""</f>
        <v/>
      </c>
      <c r="CS4515" t="str">
        <f>""</f>
        <v/>
      </c>
    </row>
    <row r="4516" spans="1:97" x14ac:dyDescent="0.25">
      <c r="A4516" t="s">
        <v>3395</v>
      </c>
      <c r="B4516" t="s">
        <v>28386</v>
      </c>
      <c r="C4516" t="s">
        <v>1906</v>
      </c>
      <c r="D4516" t="s">
        <v>28386</v>
      </c>
      <c r="E4516" t="s">
        <v>28387</v>
      </c>
      <c r="F4516" t="s">
        <v>108</v>
      </c>
      <c r="H4516" t="s">
        <v>28388</v>
      </c>
      <c r="I4516" t="s">
        <v>110</v>
      </c>
      <c r="J4516" t="s">
        <v>111</v>
      </c>
      <c r="K4516" t="str">
        <f>"85249"</f>
        <v>85249</v>
      </c>
      <c r="L4516" t="s">
        <v>567</v>
      </c>
      <c r="M4516" t="s">
        <v>28388</v>
      </c>
      <c r="N4516" t="s">
        <v>110</v>
      </c>
      <c r="O4516" t="s">
        <v>111</v>
      </c>
      <c r="P4516" t="str">
        <f>"85249-7220"</f>
        <v>85249-7220</v>
      </c>
      <c r="Q4516" t="s">
        <v>113</v>
      </c>
      <c r="R4516" t="str">
        <f>"313-09-925"</f>
        <v>313-09-925</v>
      </c>
      <c r="S4516" t="s">
        <v>24948</v>
      </c>
      <c r="U4516">
        <v>2854</v>
      </c>
      <c r="V4516">
        <v>0</v>
      </c>
      <c r="W4516">
        <v>4</v>
      </c>
      <c r="X4516">
        <v>2004</v>
      </c>
      <c r="Z4516">
        <v>2</v>
      </c>
      <c r="AA4516" t="s">
        <v>26</v>
      </c>
      <c r="AB4516">
        <v>0</v>
      </c>
      <c r="AC4516" t="s">
        <v>115</v>
      </c>
      <c r="AD4516">
        <v>3</v>
      </c>
      <c r="AE4516" t="s">
        <v>115</v>
      </c>
      <c r="AF4516">
        <v>0</v>
      </c>
      <c r="AG4516">
        <v>0</v>
      </c>
      <c r="AH4516" t="s">
        <v>116</v>
      </c>
      <c r="AI4516" s="1">
        <v>-237646</v>
      </c>
      <c r="AJ4516" s="2">
        <v>-0.61</v>
      </c>
      <c r="AK4516" s="1">
        <v>391598</v>
      </c>
      <c r="AL4516" t="s">
        <v>117</v>
      </c>
      <c r="AM4516" t="s">
        <v>118</v>
      </c>
      <c r="AN4516">
        <v>8255</v>
      </c>
      <c r="AO4516">
        <v>0.19</v>
      </c>
      <c r="AP4516">
        <v>1</v>
      </c>
      <c r="AR4516">
        <v>1</v>
      </c>
      <c r="AS4516" s="1">
        <v>27780</v>
      </c>
      <c r="AT4516" s="1">
        <v>5550</v>
      </c>
      <c r="AU4516" s="1">
        <v>22230</v>
      </c>
      <c r="AV4516">
        <v>80.02</v>
      </c>
      <c r="AX4516" s="1">
        <v>2261.8000000000002</v>
      </c>
      <c r="AY4516" t="s">
        <v>6269</v>
      </c>
      <c r="AZ4516" t="s">
        <v>273</v>
      </c>
      <c r="BA4516" t="s">
        <v>274</v>
      </c>
      <c r="BE4516" s="3">
        <v>42025</v>
      </c>
      <c r="BF4516" s="1">
        <v>308000</v>
      </c>
      <c r="BG4516" t="s">
        <v>28389</v>
      </c>
      <c r="BH4516" s="1">
        <v>107.92</v>
      </c>
      <c r="BI4516" s="1">
        <v>314622</v>
      </c>
      <c r="BJ4516" s="3">
        <v>42025</v>
      </c>
      <c r="BK4516" t="s">
        <v>123</v>
      </c>
      <c r="BL4516" t="str">
        <f>"2015.38440"</f>
        <v>2015.38440</v>
      </c>
      <c r="BM4516" t="s">
        <v>28390</v>
      </c>
      <c r="BO4516" t="s">
        <v>28391</v>
      </c>
      <c r="BS4516">
        <v>30</v>
      </c>
      <c r="BT4516" s="1">
        <v>314622</v>
      </c>
      <c r="BU4516" s="3">
        <v>42216</v>
      </c>
      <c r="BV4516" t="s">
        <v>123</v>
      </c>
      <c r="BW4516" t="str">
        <f>"2015.558458"</f>
        <v>2015.558458</v>
      </c>
      <c r="BX4516" t="s">
        <v>28390</v>
      </c>
      <c r="BZ4516" t="s">
        <v>28392</v>
      </c>
      <c r="CD4516">
        <v>30</v>
      </c>
      <c r="CH4516" t="str">
        <f>""</f>
        <v/>
      </c>
      <c r="CS4516" t="str">
        <f>""</f>
        <v/>
      </c>
    </row>
    <row r="4517" spans="1:97" x14ac:dyDescent="0.25">
      <c r="A4517" t="s">
        <v>305</v>
      </c>
      <c r="B4517" t="s">
        <v>28393</v>
      </c>
      <c r="C4517" t="s">
        <v>4600</v>
      </c>
      <c r="D4517" t="s">
        <v>28393</v>
      </c>
      <c r="E4517" t="s">
        <v>28394</v>
      </c>
      <c r="F4517" t="s">
        <v>139</v>
      </c>
      <c r="H4517" t="s">
        <v>28395</v>
      </c>
      <c r="I4517" t="s">
        <v>225</v>
      </c>
      <c r="J4517" t="s">
        <v>111</v>
      </c>
      <c r="K4517" t="str">
        <f>"85209"</f>
        <v>85209</v>
      </c>
      <c r="L4517" t="s">
        <v>9060</v>
      </c>
      <c r="M4517" t="s">
        <v>28396</v>
      </c>
      <c r="N4517" t="s">
        <v>8182</v>
      </c>
      <c r="O4517" t="s">
        <v>10904</v>
      </c>
      <c r="P4517" t="str">
        <f>"80134-1405"</f>
        <v>80134-1405</v>
      </c>
      <c r="Q4517" t="s">
        <v>113</v>
      </c>
      <c r="R4517" t="str">
        <f>"309-07-244"</f>
        <v>309-07-244</v>
      </c>
      <c r="S4517" t="s">
        <v>28397</v>
      </c>
      <c r="T4517" t="s">
        <v>6551</v>
      </c>
      <c r="U4517">
        <v>1980</v>
      </c>
      <c r="V4517">
        <v>0</v>
      </c>
      <c r="W4517">
        <v>3</v>
      </c>
      <c r="X4517">
        <v>1994</v>
      </c>
      <c r="Z4517">
        <v>1</v>
      </c>
      <c r="AA4517" t="s">
        <v>26</v>
      </c>
      <c r="AB4517">
        <v>0</v>
      </c>
      <c r="AC4517" t="s">
        <v>115</v>
      </c>
      <c r="AD4517">
        <v>2</v>
      </c>
      <c r="AE4517" t="s">
        <v>115</v>
      </c>
      <c r="AF4517">
        <v>0</v>
      </c>
      <c r="AG4517">
        <v>0</v>
      </c>
      <c r="AH4517" t="s">
        <v>116</v>
      </c>
      <c r="AI4517" s="1">
        <v>79265</v>
      </c>
      <c r="AJ4517" s="2">
        <v>0.23</v>
      </c>
      <c r="AK4517" s="1">
        <v>339265</v>
      </c>
      <c r="AL4517" t="s">
        <v>117</v>
      </c>
      <c r="AM4517" t="s">
        <v>393</v>
      </c>
      <c r="AN4517">
        <v>7340</v>
      </c>
      <c r="AO4517">
        <v>0.17</v>
      </c>
      <c r="AP4517">
        <v>1</v>
      </c>
      <c r="AR4517">
        <v>1</v>
      </c>
      <c r="AS4517" s="1">
        <v>24300</v>
      </c>
      <c r="AT4517" s="1">
        <v>4860</v>
      </c>
      <c r="AU4517" s="1">
        <v>19440</v>
      </c>
      <c r="AV4517">
        <v>80</v>
      </c>
      <c r="AX4517" s="1">
        <v>2123.42</v>
      </c>
      <c r="AY4517" t="s">
        <v>6552</v>
      </c>
      <c r="AZ4517" t="s">
        <v>571</v>
      </c>
      <c r="BA4517" t="s">
        <v>572</v>
      </c>
      <c r="BE4517" s="3">
        <v>41897</v>
      </c>
      <c r="BF4517" s="1">
        <v>241750</v>
      </c>
      <c r="BG4517" t="s">
        <v>26176</v>
      </c>
      <c r="BH4517" s="1">
        <v>122.1</v>
      </c>
      <c r="BI4517" s="1">
        <v>260000</v>
      </c>
      <c r="BJ4517" s="3">
        <v>42818</v>
      </c>
      <c r="BK4517" t="s">
        <v>123</v>
      </c>
      <c r="BL4517" t="str">
        <f>"2017.207534"</f>
        <v>2017.207534</v>
      </c>
      <c r="BM4517" t="s">
        <v>28398</v>
      </c>
      <c r="BO4517" t="s">
        <v>28399</v>
      </c>
      <c r="BS4517">
        <v>30</v>
      </c>
      <c r="BW4517" t="str">
        <f>""</f>
        <v/>
      </c>
      <c r="CH4517" t="str">
        <f>""</f>
        <v/>
      </c>
      <c r="CS4517" t="str">
        <f>""</f>
        <v/>
      </c>
    </row>
    <row r="4518" spans="1:97" x14ac:dyDescent="0.25">
      <c r="A4518" t="s">
        <v>1507</v>
      </c>
      <c r="B4518" t="s">
        <v>28400</v>
      </c>
      <c r="C4518" t="s">
        <v>1344</v>
      </c>
      <c r="D4518" t="s">
        <v>28400</v>
      </c>
      <c r="E4518" t="s">
        <v>28401</v>
      </c>
      <c r="F4518" t="s">
        <v>282</v>
      </c>
      <c r="H4518" t="s">
        <v>28402</v>
      </c>
      <c r="I4518" t="s">
        <v>3150</v>
      </c>
      <c r="J4518" t="s">
        <v>111</v>
      </c>
      <c r="K4518" t="str">
        <f>"85340"</f>
        <v>85340</v>
      </c>
      <c r="L4518" t="s">
        <v>5074</v>
      </c>
      <c r="M4518" t="s">
        <v>28403</v>
      </c>
      <c r="N4518" t="s">
        <v>632</v>
      </c>
      <c r="O4518" t="s">
        <v>111</v>
      </c>
      <c r="P4518" t="str">
        <f>"85379-4807"</f>
        <v>85379-4807</v>
      </c>
      <c r="Q4518" t="s">
        <v>113</v>
      </c>
      <c r="R4518" t="str">
        <f>"501-65-149"</f>
        <v>501-65-149</v>
      </c>
      <c r="S4518" t="s">
        <v>28404</v>
      </c>
      <c r="U4518">
        <v>2344</v>
      </c>
      <c r="V4518">
        <v>0</v>
      </c>
      <c r="W4518">
        <v>2</v>
      </c>
      <c r="X4518">
        <v>1964</v>
      </c>
      <c r="Z4518">
        <v>1</v>
      </c>
      <c r="AB4518">
        <v>0</v>
      </c>
      <c r="AC4518" t="s">
        <v>115</v>
      </c>
      <c r="AD4518">
        <v>2</v>
      </c>
      <c r="AE4518" t="s">
        <v>115</v>
      </c>
      <c r="AF4518">
        <v>0</v>
      </c>
      <c r="AG4518">
        <v>0</v>
      </c>
      <c r="AH4518" t="s">
        <v>116</v>
      </c>
      <c r="AI4518" s="1">
        <v>86392</v>
      </c>
      <c r="AJ4518" s="2">
        <v>0.22</v>
      </c>
      <c r="AK4518" s="1">
        <v>388283</v>
      </c>
      <c r="AL4518" t="s">
        <v>117</v>
      </c>
      <c r="AM4518" t="s">
        <v>1521</v>
      </c>
      <c r="AN4518">
        <v>12391</v>
      </c>
      <c r="AO4518">
        <v>0.28000000000000003</v>
      </c>
      <c r="AP4518">
        <v>1</v>
      </c>
      <c r="AR4518">
        <v>1</v>
      </c>
      <c r="AS4518" s="1">
        <v>28620</v>
      </c>
      <c r="AT4518" s="1">
        <v>5720</v>
      </c>
      <c r="AU4518" s="1">
        <v>22900</v>
      </c>
      <c r="AV4518">
        <v>80.010000000000005</v>
      </c>
      <c r="AX4518" s="1">
        <v>1763.88</v>
      </c>
      <c r="AY4518" t="s">
        <v>11553</v>
      </c>
      <c r="AZ4518" t="s">
        <v>11553</v>
      </c>
      <c r="BA4518" t="s">
        <v>3154</v>
      </c>
      <c r="BE4518" s="3">
        <v>42160</v>
      </c>
      <c r="BF4518" s="1">
        <v>303000</v>
      </c>
      <c r="BG4518" t="s">
        <v>28405</v>
      </c>
      <c r="BH4518" s="1">
        <v>129.27000000000001</v>
      </c>
      <c r="BI4518" s="1">
        <v>301891</v>
      </c>
      <c r="BJ4518" s="3">
        <v>42569</v>
      </c>
      <c r="BK4518" t="s">
        <v>123</v>
      </c>
      <c r="BL4518" t="str">
        <f>"2016.502093"</f>
        <v>2016.502093</v>
      </c>
      <c r="BM4518" t="s">
        <v>402</v>
      </c>
      <c r="BO4518" t="s">
        <v>28406</v>
      </c>
      <c r="BS4518">
        <v>30</v>
      </c>
      <c r="BW4518" t="str">
        <f>""</f>
        <v/>
      </c>
      <c r="CH4518" t="str">
        <f>""</f>
        <v/>
      </c>
      <c r="CS4518" t="str">
        <f>""</f>
        <v/>
      </c>
    </row>
    <row r="4519" spans="1:97" x14ac:dyDescent="0.25">
      <c r="A4519" t="s">
        <v>28407</v>
      </c>
      <c r="B4519" t="s">
        <v>13397</v>
      </c>
      <c r="C4519" t="s">
        <v>28408</v>
      </c>
      <c r="D4519" t="s">
        <v>13397</v>
      </c>
      <c r="E4519" t="s">
        <v>28409</v>
      </c>
      <c r="F4519" t="s">
        <v>108</v>
      </c>
      <c r="H4519" t="s">
        <v>28410</v>
      </c>
      <c r="I4519" t="s">
        <v>110</v>
      </c>
      <c r="J4519" t="s">
        <v>111</v>
      </c>
      <c r="K4519" t="str">
        <f>"85225"</f>
        <v>85225</v>
      </c>
      <c r="L4519" t="s">
        <v>5176</v>
      </c>
      <c r="M4519" t="s">
        <v>28410</v>
      </c>
      <c r="N4519" t="s">
        <v>110</v>
      </c>
      <c r="O4519" t="s">
        <v>111</v>
      </c>
      <c r="P4519" t="str">
        <f>"85225-4435"</f>
        <v>85225-4435</v>
      </c>
      <c r="Q4519" t="s">
        <v>113</v>
      </c>
      <c r="R4519" t="str">
        <f>"302-51-145"</f>
        <v>302-51-145</v>
      </c>
      <c r="S4519" t="s">
        <v>28411</v>
      </c>
      <c r="U4519">
        <v>2604</v>
      </c>
      <c r="V4519">
        <v>0</v>
      </c>
      <c r="W4519">
        <v>4</v>
      </c>
      <c r="X4519">
        <v>2006</v>
      </c>
      <c r="Z4519">
        <v>1</v>
      </c>
      <c r="AB4519">
        <v>0</v>
      </c>
      <c r="AC4519" t="s">
        <v>115</v>
      </c>
      <c r="AD4519">
        <v>2</v>
      </c>
      <c r="AE4519" t="s">
        <v>115</v>
      </c>
      <c r="AF4519">
        <v>0</v>
      </c>
      <c r="AG4519">
        <v>0</v>
      </c>
      <c r="AH4519" t="s">
        <v>116</v>
      </c>
      <c r="AI4519" s="1">
        <v>114686</v>
      </c>
      <c r="AJ4519" s="2">
        <v>0.27</v>
      </c>
      <c r="AK4519" s="1">
        <v>418086</v>
      </c>
      <c r="AL4519" t="s">
        <v>117</v>
      </c>
      <c r="AM4519" t="s">
        <v>5077</v>
      </c>
      <c r="AN4519">
        <v>9496</v>
      </c>
      <c r="AO4519">
        <v>0.22</v>
      </c>
      <c r="AP4519">
        <v>1</v>
      </c>
      <c r="AR4519">
        <v>1</v>
      </c>
      <c r="AS4519" s="1">
        <v>30500</v>
      </c>
      <c r="AT4519" s="1">
        <v>6100</v>
      </c>
      <c r="AU4519" s="1">
        <v>24400</v>
      </c>
      <c r="AV4519">
        <v>80</v>
      </c>
      <c r="AX4519" s="1">
        <v>1988.72</v>
      </c>
      <c r="AY4519" t="s">
        <v>5657</v>
      </c>
      <c r="AZ4519" t="s">
        <v>5078</v>
      </c>
      <c r="BA4519" t="s">
        <v>2957</v>
      </c>
      <c r="BE4519" s="3">
        <v>41995</v>
      </c>
      <c r="BF4519" s="1">
        <v>299500</v>
      </c>
      <c r="BG4519" t="s">
        <v>28412</v>
      </c>
      <c r="BH4519" s="1">
        <v>115.02</v>
      </c>
      <c r="BI4519" s="1">
        <v>303400</v>
      </c>
      <c r="BJ4519" s="3">
        <v>42718</v>
      </c>
      <c r="BK4519" t="s">
        <v>123</v>
      </c>
      <c r="BL4519" t="str">
        <f>"2016.920618"</f>
        <v>2016.920618</v>
      </c>
      <c r="BM4519" t="s">
        <v>1122</v>
      </c>
      <c r="BO4519" t="s">
        <v>28413</v>
      </c>
      <c r="BS4519">
        <v>30</v>
      </c>
      <c r="BW4519" t="str">
        <f>""</f>
        <v/>
      </c>
      <c r="CH4519" t="str">
        <f>""</f>
        <v/>
      </c>
      <c r="CS4519" t="str">
        <f>""</f>
        <v/>
      </c>
    </row>
    <row r="4520" spans="1:97" x14ac:dyDescent="0.25">
      <c r="A4520" t="s">
        <v>7313</v>
      </c>
      <c r="B4520" t="s">
        <v>21007</v>
      </c>
      <c r="C4520" t="s">
        <v>2002</v>
      </c>
      <c r="D4520" t="s">
        <v>21007</v>
      </c>
      <c r="E4520" t="s">
        <v>28414</v>
      </c>
      <c r="F4520" t="s">
        <v>139</v>
      </c>
      <c r="H4520" t="s">
        <v>28415</v>
      </c>
      <c r="I4520" t="s">
        <v>225</v>
      </c>
      <c r="J4520" t="s">
        <v>111</v>
      </c>
      <c r="K4520" t="str">
        <f>"85213"</f>
        <v>85213</v>
      </c>
      <c r="L4520" t="s">
        <v>5291</v>
      </c>
      <c r="M4520" t="s">
        <v>28416</v>
      </c>
      <c r="N4520" t="s">
        <v>225</v>
      </c>
      <c r="O4520" t="s">
        <v>111</v>
      </c>
      <c r="P4520" t="str">
        <f>"85277"</f>
        <v>85277</v>
      </c>
      <c r="Q4520" t="s">
        <v>113</v>
      </c>
      <c r="R4520" t="str">
        <f>"141-15-485"</f>
        <v>141-15-485</v>
      </c>
      <c r="S4520" t="s">
        <v>17865</v>
      </c>
      <c r="T4520" t="s">
        <v>17866</v>
      </c>
      <c r="U4520">
        <v>2124</v>
      </c>
      <c r="V4520">
        <v>0</v>
      </c>
      <c r="W4520">
        <v>3</v>
      </c>
      <c r="X4520">
        <v>1985</v>
      </c>
      <c r="Z4520">
        <v>1</v>
      </c>
      <c r="AA4520" t="s">
        <v>26</v>
      </c>
      <c r="AB4520">
        <v>0</v>
      </c>
      <c r="AC4520" t="s">
        <v>115</v>
      </c>
      <c r="AD4520">
        <v>6</v>
      </c>
      <c r="AE4520" t="s">
        <v>115</v>
      </c>
      <c r="AF4520">
        <v>0</v>
      </c>
      <c r="AG4520">
        <v>0</v>
      </c>
      <c r="AH4520" t="s">
        <v>116</v>
      </c>
      <c r="AI4520" s="1">
        <v>115683</v>
      </c>
      <c r="AJ4520" s="2">
        <v>0.28000000000000003</v>
      </c>
      <c r="AK4520" s="1">
        <v>419168</v>
      </c>
      <c r="AL4520" t="s">
        <v>117</v>
      </c>
      <c r="AM4520" t="s">
        <v>917</v>
      </c>
      <c r="AN4520">
        <v>18426</v>
      </c>
      <c r="AO4520">
        <v>0.42</v>
      </c>
      <c r="AP4520">
        <v>1</v>
      </c>
      <c r="AR4520">
        <v>1</v>
      </c>
      <c r="AS4520" s="1">
        <v>31170</v>
      </c>
      <c r="AT4520" s="1">
        <v>6230</v>
      </c>
      <c r="AU4520" s="1">
        <v>24940</v>
      </c>
      <c r="AV4520">
        <v>80.010000000000005</v>
      </c>
      <c r="AX4520" s="1">
        <v>2462.52</v>
      </c>
      <c r="AY4520" t="s">
        <v>4162</v>
      </c>
      <c r="AZ4520" t="s">
        <v>4163</v>
      </c>
      <c r="BA4520" t="s">
        <v>1524</v>
      </c>
      <c r="BE4520" s="3">
        <v>42101</v>
      </c>
      <c r="BF4520" s="1">
        <v>329000</v>
      </c>
      <c r="BG4520" t="s">
        <v>28417</v>
      </c>
      <c r="BH4520" s="1">
        <v>154.9</v>
      </c>
      <c r="BI4520" s="1">
        <v>303485</v>
      </c>
      <c r="BJ4520" s="3">
        <v>42101</v>
      </c>
      <c r="BK4520" t="s">
        <v>123</v>
      </c>
      <c r="BL4520" t="str">
        <f>"2015.235191"</f>
        <v>2015.235191</v>
      </c>
      <c r="BM4520" t="s">
        <v>135</v>
      </c>
      <c r="BO4520" t="s">
        <v>28418</v>
      </c>
      <c r="BS4520">
        <v>30</v>
      </c>
      <c r="BW4520" t="str">
        <f>""</f>
        <v/>
      </c>
      <c r="CH4520" t="str">
        <f>""</f>
        <v/>
      </c>
      <c r="CS4520" t="str">
        <f>""</f>
        <v/>
      </c>
    </row>
    <row r="4521" spans="1:97" x14ac:dyDescent="0.25">
      <c r="B4521" t="s">
        <v>28419</v>
      </c>
      <c r="E4521" t="s">
        <v>28419</v>
      </c>
      <c r="F4521" t="s">
        <v>108</v>
      </c>
      <c r="H4521" t="s">
        <v>28420</v>
      </c>
      <c r="I4521" t="s">
        <v>453</v>
      </c>
      <c r="J4521" t="s">
        <v>111</v>
      </c>
      <c r="K4521" t="str">
        <f>"85383"</f>
        <v>85383</v>
      </c>
      <c r="L4521" t="s">
        <v>5456</v>
      </c>
      <c r="M4521" t="s">
        <v>28420</v>
      </c>
      <c r="N4521" t="s">
        <v>453</v>
      </c>
      <c r="O4521" t="s">
        <v>111</v>
      </c>
      <c r="P4521" t="str">
        <f>"85383-6664"</f>
        <v>85383-6664</v>
      </c>
      <c r="Q4521" t="s">
        <v>113</v>
      </c>
      <c r="R4521" t="str">
        <f>"201-37-349"</f>
        <v>201-37-349</v>
      </c>
      <c r="S4521" t="s">
        <v>28421</v>
      </c>
      <c r="T4521" t="s">
        <v>6734</v>
      </c>
      <c r="U4521">
        <v>3735</v>
      </c>
      <c r="V4521">
        <v>0</v>
      </c>
      <c r="W4521">
        <v>5</v>
      </c>
      <c r="X4521">
        <v>2005</v>
      </c>
      <c r="Z4521">
        <v>2</v>
      </c>
      <c r="AA4521" t="s">
        <v>26</v>
      </c>
      <c r="AB4521">
        <v>0</v>
      </c>
      <c r="AC4521" t="s">
        <v>115</v>
      </c>
      <c r="AD4521">
        <v>3</v>
      </c>
      <c r="AE4521" t="s">
        <v>115</v>
      </c>
      <c r="AF4521">
        <v>0</v>
      </c>
      <c r="AG4521">
        <v>0</v>
      </c>
      <c r="AH4521" t="s">
        <v>116</v>
      </c>
      <c r="AI4521" s="1">
        <v>331929</v>
      </c>
      <c r="AJ4521" s="2">
        <v>0.57999999999999996</v>
      </c>
      <c r="AK4521" s="1">
        <v>575404</v>
      </c>
      <c r="AL4521" t="s">
        <v>117</v>
      </c>
      <c r="AM4521" t="s">
        <v>118</v>
      </c>
      <c r="AN4521">
        <v>16465</v>
      </c>
      <c r="AO4521">
        <v>0.38</v>
      </c>
      <c r="AR4521">
        <v>1</v>
      </c>
      <c r="AS4521" s="1">
        <v>39060</v>
      </c>
      <c r="AT4521" s="1">
        <v>7810</v>
      </c>
      <c r="AU4521" s="1">
        <v>31250</v>
      </c>
      <c r="AV4521">
        <v>80.010000000000005</v>
      </c>
      <c r="AX4521" s="1">
        <v>3482.18</v>
      </c>
      <c r="AY4521" t="s">
        <v>3048</v>
      </c>
      <c r="AZ4521" t="s">
        <v>3049</v>
      </c>
      <c r="BA4521" t="s">
        <v>1386</v>
      </c>
      <c r="BB4521" s="3">
        <v>42432</v>
      </c>
      <c r="BD4521" t="s">
        <v>458</v>
      </c>
      <c r="BE4521" s="3">
        <v>41698</v>
      </c>
      <c r="BF4521" s="1">
        <v>455000</v>
      </c>
      <c r="BG4521" t="s">
        <v>28422</v>
      </c>
      <c r="BH4521" s="1">
        <v>121.82</v>
      </c>
      <c r="BI4521" s="1">
        <v>243475</v>
      </c>
      <c r="BJ4521" s="3">
        <v>42432</v>
      </c>
      <c r="BK4521" t="s">
        <v>123</v>
      </c>
      <c r="BL4521" t="str">
        <f>"2016.137273"</f>
        <v>2016.137273</v>
      </c>
      <c r="BM4521" t="s">
        <v>709</v>
      </c>
      <c r="BO4521" t="s">
        <v>28423</v>
      </c>
      <c r="BP4521" t="s">
        <v>28424</v>
      </c>
      <c r="BQ4521" t="str">
        <f>"2.9900%"</f>
        <v>2.9900%</v>
      </c>
      <c r="BR4521" t="s">
        <v>1480</v>
      </c>
      <c r="BS4521">
        <v>30</v>
      </c>
      <c r="BW4521" t="str">
        <f>""</f>
        <v/>
      </c>
      <c r="CH4521" t="str">
        <f>""</f>
        <v/>
      </c>
      <c r="CS4521" t="str">
        <f>""</f>
        <v/>
      </c>
    </row>
    <row r="4522" spans="1:97" x14ac:dyDescent="0.25">
      <c r="A4522" t="s">
        <v>1755</v>
      </c>
      <c r="B4522" t="s">
        <v>9465</v>
      </c>
      <c r="C4522" t="s">
        <v>489</v>
      </c>
      <c r="D4522" t="s">
        <v>9465</v>
      </c>
      <c r="E4522" t="s">
        <v>28425</v>
      </c>
      <c r="F4522" t="s">
        <v>108</v>
      </c>
      <c r="H4522" t="s">
        <v>28426</v>
      </c>
      <c r="I4522" t="s">
        <v>2874</v>
      </c>
      <c r="J4522" t="s">
        <v>111</v>
      </c>
      <c r="K4522" t="str">
        <f>"85302"</f>
        <v>85302</v>
      </c>
      <c r="L4522" t="s">
        <v>1312</v>
      </c>
      <c r="M4522" t="s">
        <v>28426</v>
      </c>
      <c r="N4522" t="s">
        <v>2874</v>
      </c>
      <c r="O4522" t="s">
        <v>111</v>
      </c>
      <c r="P4522" t="str">
        <f>"85302-6211"</f>
        <v>85302-6211</v>
      </c>
      <c r="Q4522" t="s">
        <v>113</v>
      </c>
      <c r="R4522" t="str">
        <f>"148-13-158"</f>
        <v>148-13-158</v>
      </c>
      <c r="S4522" t="s">
        <v>22637</v>
      </c>
      <c r="T4522" t="s">
        <v>22638</v>
      </c>
      <c r="U4522">
        <v>2284</v>
      </c>
      <c r="V4522">
        <v>0</v>
      </c>
      <c r="W4522">
        <v>3</v>
      </c>
      <c r="X4522">
        <v>1977</v>
      </c>
      <c r="Z4522">
        <v>1</v>
      </c>
      <c r="AA4522" t="s">
        <v>26</v>
      </c>
      <c r="AB4522">
        <v>0</v>
      </c>
      <c r="AC4522" t="s">
        <v>115</v>
      </c>
      <c r="AD4522">
        <v>2</v>
      </c>
      <c r="AE4522" t="s">
        <v>115</v>
      </c>
      <c r="AF4522">
        <v>0</v>
      </c>
      <c r="AG4522">
        <v>0</v>
      </c>
      <c r="AH4522" t="s">
        <v>116</v>
      </c>
      <c r="AI4522" s="1">
        <v>62734</v>
      </c>
      <c r="AJ4522" s="2">
        <v>0.22</v>
      </c>
      <c r="AK4522" s="1">
        <v>284829</v>
      </c>
      <c r="AL4522" t="s">
        <v>117</v>
      </c>
      <c r="AM4522" t="s">
        <v>191</v>
      </c>
      <c r="AN4522">
        <v>8255</v>
      </c>
      <c r="AO4522">
        <v>0.19</v>
      </c>
      <c r="AP4522">
        <v>1</v>
      </c>
      <c r="AR4522">
        <v>1</v>
      </c>
      <c r="AS4522" s="1">
        <v>19960</v>
      </c>
      <c r="AT4522" s="1">
        <v>3990</v>
      </c>
      <c r="AU4522" s="1">
        <v>15970</v>
      </c>
      <c r="AV4522">
        <v>80.010000000000005</v>
      </c>
      <c r="AX4522" s="1">
        <v>2169.02</v>
      </c>
      <c r="AY4522" t="s">
        <v>6006</v>
      </c>
      <c r="AZ4522" t="s">
        <v>6006</v>
      </c>
      <c r="BA4522" t="s">
        <v>6007</v>
      </c>
      <c r="BE4522" s="3">
        <v>42522</v>
      </c>
      <c r="BF4522" s="1">
        <v>215000</v>
      </c>
      <c r="BG4522" t="s">
        <v>28427</v>
      </c>
      <c r="BH4522" s="1">
        <v>102.09</v>
      </c>
      <c r="BI4522" s="1">
        <v>222095</v>
      </c>
      <c r="BJ4522" s="3">
        <v>42522</v>
      </c>
      <c r="BK4522" t="s">
        <v>123</v>
      </c>
      <c r="BL4522" t="str">
        <f>"2016.379811"</f>
        <v>2016.379811</v>
      </c>
      <c r="BM4522" t="s">
        <v>544</v>
      </c>
      <c r="BO4522" t="s">
        <v>28428</v>
      </c>
      <c r="BS4522">
        <v>30</v>
      </c>
      <c r="BW4522" t="str">
        <f>""</f>
        <v/>
      </c>
      <c r="CH4522" t="str">
        <f>""</f>
        <v/>
      </c>
      <c r="CS4522" t="str">
        <f>""</f>
        <v/>
      </c>
    </row>
    <row r="4523" spans="1:97" x14ac:dyDescent="0.25">
      <c r="A4523" t="s">
        <v>2374</v>
      </c>
      <c r="B4523" t="s">
        <v>28429</v>
      </c>
      <c r="C4523" t="s">
        <v>5740</v>
      </c>
      <c r="D4523" t="s">
        <v>28429</v>
      </c>
      <c r="E4523" t="s">
        <v>28430</v>
      </c>
      <c r="F4523" t="s">
        <v>108</v>
      </c>
      <c r="H4523" t="s">
        <v>28431</v>
      </c>
      <c r="I4523" t="s">
        <v>499</v>
      </c>
      <c r="J4523" t="s">
        <v>111</v>
      </c>
      <c r="K4523" t="str">
        <f>"85338"</f>
        <v>85338</v>
      </c>
      <c r="L4523" t="s">
        <v>6481</v>
      </c>
      <c r="M4523" t="s">
        <v>28431</v>
      </c>
      <c r="N4523" t="s">
        <v>499</v>
      </c>
      <c r="O4523" t="s">
        <v>111</v>
      </c>
      <c r="P4523" t="str">
        <f>"85338-4650"</f>
        <v>85338-4650</v>
      </c>
      <c r="Q4523" t="s">
        <v>113</v>
      </c>
      <c r="R4523" t="str">
        <f>"500-05-891"</f>
        <v>500-05-891</v>
      </c>
      <c r="S4523" t="s">
        <v>28432</v>
      </c>
      <c r="T4523" t="s">
        <v>28432</v>
      </c>
      <c r="U4523">
        <v>2089</v>
      </c>
      <c r="V4523">
        <v>0</v>
      </c>
      <c r="W4523">
        <v>3</v>
      </c>
      <c r="X4523">
        <v>2013</v>
      </c>
      <c r="Z4523">
        <v>1</v>
      </c>
      <c r="AB4523">
        <v>0</v>
      </c>
      <c r="AC4523" t="s">
        <v>115</v>
      </c>
      <c r="AD4523">
        <v>3</v>
      </c>
      <c r="AE4523" t="s">
        <v>115</v>
      </c>
      <c r="AF4523">
        <v>0</v>
      </c>
      <c r="AG4523">
        <v>0</v>
      </c>
      <c r="AH4523" t="s">
        <v>116</v>
      </c>
      <c r="AI4523" s="1">
        <v>90865</v>
      </c>
      <c r="AJ4523" s="2">
        <v>0.28999999999999998</v>
      </c>
      <c r="AK4523" s="1">
        <v>313993</v>
      </c>
      <c r="AL4523" t="s">
        <v>117</v>
      </c>
      <c r="AM4523" t="s">
        <v>393</v>
      </c>
      <c r="AN4523">
        <v>9478</v>
      </c>
      <c r="AO4523">
        <v>0.22</v>
      </c>
      <c r="AR4523">
        <v>1</v>
      </c>
      <c r="AS4523" s="1">
        <v>22730</v>
      </c>
      <c r="AT4523" s="1">
        <v>4540</v>
      </c>
      <c r="AU4523" s="1">
        <v>18190</v>
      </c>
      <c r="AV4523">
        <v>80.03</v>
      </c>
      <c r="AX4523" s="1">
        <v>2064.44</v>
      </c>
      <c r="AY4523" t="s">
        <v>6319</v>
      </c>
      <c r="AZ4523" t="s">
        <v>6319</v>
      </c>
      <c r="BA4523" t="s">
        <v>7186</v>
      </c>
      <c r="BB4523" s="3">
        <v>41754</v>
      </c>
      <c r="BD4523" t="s">
        <v>240</v>
      </c>
      <c r="BE4523" s="3">
        <v>41753</v>
      </c>
      <c r="BF4523" s="1">
        <v>216000</v>
      </c>
      <c r="BG4523" t="s">
        <v>28433</v>
      </c>
      <c r="BH4523" s="1">
        <v>103.4</v>
      </c>
      <c r="BI4523" s="1">
        <v>223128</v>
      </c>
      <c r="BJ4523" s="3">
        <v>41753</v>
      </c>
      <c r="BK4523" t="s">
        <v>123</v>
      </c>
      <c r="BL4523" t="str">
        <f>"2014.266730"</f>
        <v>2014.266730</v>
      </c>
      <c r="BM4523" t="s">
        <v>1038</v>
      </c>
      <c r="BO4523" t="s">
        <v>28434</v>
      </c>
      <c r="BS4523">
        <v>30</v>
      </c>
      <c r="BW4523" t="str">
        <f>""</f>
        <v/>
      </c>
      <c r="CH4523" t="str">
        <f>""</f>
        <v/>
      </c>
      <c r="CS4523" t="str">
        <f>""</f>
        <v/>
      </c>
    </row>
    <row r="4524" spans="1:97" x14ac:dyDescent="0.25">
      <c r="A4524" t="s">
        <v>1803</v>
      </c>
      <c r="B4524" t="s">
        <v>28435</v>
      </c>
      <c r="E4524" t="s">
        <v>28436</v>
      </c>
      <c r="F4524" t="s">
        <v>108</v>
      </c>
      <c r="H4524" t="s">
        <v>28437</v>
      </c>
      <c r="I4524" t="s">
        <v>203</v>
      </c>
      <c r="J4524" t="s">
        <v>111</v>
      </c>
      <c r="K4524" t="str">
        <f>"85298"</f>
        <v>85298</v>
      </c>
      <c r="L4524" t="s">
        <v>500</v>
      </c>
      <c r="M4524" t="s">
        <v>28437</v>
      </c>
      <c r="N4524" t="s">
        <v>203</v>
      </c>
      <c r="O4524" t="s">
        <v>111</v>
      </c>
      <c r="P4524" t="str">
        <f>"85298-4210"</f>
        <v>85298-4210</v>
      </c>
      <c r="Q4524" t="s">
        <v>113</v>
      </c>
      <c r="R4524" t="str">
        <f>"313-07-681"</f>
        <v>313-07-681</v>
      </c>
      <c r="S4524" t="s">
        <v>7591</v>
      </c>
      <c r="T4524" t="s">
        <v>1132</v>
      </c>
      <c r="U4524">
        <v>1759</v>
      </c>
      <c r="V4524">
        <v>0</v>
      </c>
      <c r="W4524">
        <v>3</v>
      </c>
      <c r="X4524">
        <v>2005</v>
      </c>
      <c r="Z4524">
        <v>1</v>
      </c>
      <c r="AA4524" t="s">
        <v>26</v>
      </c>
      <c r="AB4524">
        <v>0</v>
      </c>
      <c r="AC4524" t="s">
        <v>115</v>
      </c>
      <c r="AD4524">
        <v>2</v>
      </c>
      <c r="AE4524" t="s">
        <v>115</v>
      </c>
      <c r="AF4524">
        <v>0</v>
      </c>
      <c r="AG4524">
        <v>0</v>
      </c>
      <c r="AH4524" t="s">
        <v>116</v>
      </c>
      <c r="AI4524" s="1">
        <v>41984</v>
      </c>
      <c r="AJ4524" s="2">
        <v>0.12</v>
      </c>
      <c r="AK4524" s="1">
        <v>337184</v>
      </c>
      <c r="AL4524" t="s">
        <v>117</v>
      </c>
      <c r="AM4524" t="s">
        <v>393</v>
      </c>
      <c r="AN4524">
        <v>7875</v>
      </c>
      <c r="AO4524">
        <v>0.18</v>
      </c>
      <c r="AR4524">
        <v>1</v>
      </c>
      <c r="AS4524" s="1">
        <v>22970</v>
      </c>
      <c r="AT4524" s="1">
        <v>4590</v>
      </c>
      <c r="AU4524" s="1">
        <v>18380</v>
      </c>
      <c r="AV4524">
        <v>80.02</v>
      </c>
      <c r="AX4524" s="1">
        <v>1824.48</v>
      </c>
      <c r="AY4524" t="s">
        <v>1133</v>
      </c>
      <c r="AZ4524" t="s">
        <v>1134</v>
      </c>
      <c r="BA4524" t="s">
        <v>1134</v>
      </c>
      <c r="BB4524" s="3">
        <v>43672</v>
      </c>
      <c r="BC4524" s="1">
        <v>0</v>
      </c>
      <c r="BD4524" t="s">
        <v>247</v>
      </c>
      <c r="BE4524" s="3">
        <v>42419</v>
      </c>
      <c r="BF4524" s="1">
        <v>289000</v>
      </c>
      <c r="BG4524" t="s">
        <v>28438</v>
      </c>
      <c r="BH4524" s="1">
        <v>164.3</v>
      </c>
      <c r="BI4524" s="1">
        <v>295200</v>
      </c>
      <c r="BJ4524" s="3">
        <v>42419</v>
      </c>
      <c r="BK4524" t="s">
        <v>123</v>
      </c>
      <c r="BL4524" t="str">
        <f>"2016.105657"</f>
        <v>2016.105657</v>
      </c>
      <c r="BM4524" t="s">
        <v>1192</v>
      </c>
      <c r="BN4524" t="s">
        <v>11855</v>
      </c>
      <c r="BO4524" t="s">
        <v>28439</v>
      </c>
      <c r="BP4524" t="s">
        <v>28440</v>
      </c>
      <c r="BS4524">
        <v>30</v>
      </c>
      <c r="BW4524" t="str">
        <f>""</f>
        <v/>
      </c>
      <c r="CH4524" t="str">
        <f>""</f>
        <v/>
      </c>
      <c r="CS4524" t="str">
        <f>""</f>
        <v/>
      </c>
    </row>
    <row r="4525" spans="1:97" x14ac:dyDescent="0.25">
      <c r="A4525" t="s">
        <v>370</v>
      </c>
      <c r="B4525" t="s">
        <v>28441</v>
      </c>
      <c r="C4525" t="s">
        <v>2976</v>
      </c>
      <c r="D4525" t="s">
        <v>28441</v>
      </c>
      <c r="E4525" t="s">
        <v>28442</v>
      </c>
      <c r="F4525" t="s">
        <v>108</v>
      </c>
      <c r="H4525" t="s">
        <v>28443</v>
      </c>
      <c r="I4525" t="s">
        <v>390</v>
      </c>
      <c r="J4525" t="s">
        <v>111</v>
      </c>
      <c r="K4525" t="str">
        <f>"85050"</f>
        <v>85050</v>
      </c>
      <c r="L4525" t="s">
        <v>8255</v>
      </c>
      <c r="M4525" t="s">
        <v>28443</v>
      </c>
      <c r="N4525" t="s">
        <v>390</v>
      </c>
      <c r="O4525" t="s">
        <v>111</v>
      </c>
      <c r="P4525" t="str">
        <f>"85050-8929"</f>
        <v>85050-8929</v>
      </c>
      <c r="Q4525" t="s">
        <v>113</v>
      </c>
      <c r="R4525" t="str">
        <f>"212-09-388"</f>
        <v>212-09-388</v>
      </c>
      <c r="S4525" t="s">
        <v>28444</v>
      </c>
      <c r="T4525" t="s">
        <v>6360</v>
      </c>
      <c r="U4525">
        <v>2565</v>
      </c>
      <c r="V4525">
        <v>0</v>
      </c>
      <c r="W4525">
        <v>4</v>
      </c>
      <c r="X4525">
        <v>1996</v>
      </c>
      <c r="Z4525">
        <v>2</v>
      </c>
      <c r="AA4525" t="s">
        <v>26</v>
      </c>
      <c r="AB4525">
        <v>0</v>
      </c>
      <c r="AC4525" t="s">
        <v>115</v>
      </c>
      <c r="AD4525">
        <v>3</v>
      </c>
      <c r="AE4525" t="s">
        <v>115</v>
      </c>
      <c r="AF4525">
        <v>0</v>
      </c>
      <c r="AG4525">
        <v>0</v>
      </c>
      <c r="AH4525" t="s">
        <v>116</v>
      </c>
      <c r="AI4525" s="1">
        <v>76843</v>
      </c>
      <c r="AJ4525" s="2">
        <v>0.16</v>
      </c>
      <c r="AK4525" s="1">
        <v>493843</v>
      </c>
      <c r="AL4525" t="s">
        <v>117</v>
      </c>
      <c r="AM4525" t="s">
        <v>191</v>
      </c>
      <c r="AN4525">
        <v>12615</v>
      </c>
      <c r="AO4525">
        <v>0.28999999999999998</v>
      </c>
      <c r="AP4525">
        <v>1</v>
      </c>
      <c r="AR4525">
        <v>1</v>
      </c>
      <c r="AS4525" s="1">
        <v>35620</v>
      </c>
      <c r="AT4525" s="1">
        <v>7120</v>
      </c>
      <c r="AU4525" s="1">
        <v>28500</v>
      </c>
      <c r="AV4525">
        <v>80.010000000000005</v>
      </c>
      <c r="AX4525" s="1">
        <v>3512.8</v>
      </c>
      <c r="AY4525" t="s">
        <v>7995</v>
      </c>
      <c r="AZ4525" t="s">
        <v>6352</v>
      </c>
      <c r="BA4525" t="s">
        <v>762</v>
      </c>
      <c r="BE4525" s="3">
        <v>42200</v>
      </c>
      <c r="BF4525" s="1">
        <v>417000</v>
      </c>
      <c r="BG4525" t="s">
        <v>28445</v>
      </c>
      <c r="BH4525" s="1">
        <v>162.57</v>
      </c>
      <c r="BI4525" s="1">
        <v>417000</v>
      </c>
      <c r="BJ4525" s="3">
        <v>42471</v>
      </c>
      <c r="BK4525" t="s">
        <v>123</v>
      </c>
      <c r="BL4525" t="str">
        <f>"2016.238751"</f>
        <v>2016.238751</v>
      </c>
      <c r="BM4525" t="s">
        <v>1154</v>
      </c>
      <c r="BO4525" t="s">
        <v>28446</v>
      </c>
      <c r="BS4525">
        <v>30</v>
      </c>
      <c r="BW4525" t="str">
        <f>""</f>
        <v/>
      </c>
      <c r="CH4525" t="str">
        <f>""</f>
        <v/>
      </c>
      <c r="CS4525" t="str">
        <f>""</f>
        <v/>
      </c>
    </row>
    <row r="4526" spans="1:97" x14ac:dyDescent="0.25">
      <c r="A4526" t="s">
        <v>257</v>
      </c>
      <c r="B4526" t="s">
        <v>28447</v>
      </c>
      <c r="E4526" t="s">
        <v>28448</v>
      </c>
      <c r="F4526" t="s">
        <v>108</v>
      </c>
      <c r="H4526" t="s">
        <v>28449</v>
      </c>
      <c r="I4526" t="s">
        <v>453</v>
      </c>
      <c r="J4526" t="s">
        <v>111</v>
      </c>
      <c r="K4526" t="str">
        <f>"85383"</f>
        <v>85383</v>
      </c>
      <c r="L4526" t="s">
        <v>6316</v>
      </c>
      <c r="M4526" t="s">
        <v>28449</v>
      </c>
      <c r="N4526" t="s">
        <v>453</v>
      </c>
      <c r="O4526" t="s">
        <v>111</v>
      </c>
      <c r="P4526" t="str">
        <f>"85383-2161"</f>
        <v>85383-2161</v>
      </c>
      <c r="Q4526" t="s">
        <v>113</v>
      </c>
      <c r="R4526" t="str">
        <f>"200-07-258"</f>
        <v>200-07-258</v>
      </c>
      <c r="S4526" t="s">
        <v>9944</v>
      </c>
      <c r="T4526" t="s">
        <v>9944</v>
      </c>
      <c r="U4526">
        <v>2630</v>
      </c>
      <c r="V4526">
        <v>0</v>
      </c>
      <c r="W4526">
        <v>3</v>
      </c>
      <c r="X4526">
        <v>2000</v>
      </c>
      <c r="Z4526">
        <v>1</v>
      </c>
      <c r="AA4526" t="s">
        <v>26</v>
      </c>
      <c r="AB4526">
        <v>0</v>
      </c>
      <c r="AC4526" t="s">
        <v>115</v>
      </c>
      <c r="AD4526">
        <v>2</v>
      </c>
      <c r="AE4526" t="s">
        <v>115</v>
      </c>
      <c r="AF4526">
        <v>0</v>
      </c>
      <c r="AG4526">
        <v>0</v>
      </c>
      <c r="AH4526" t="s">
        <v>116</v>
      </c>
      <c r="AI4526" s="1">
        <v>80064</v>
      </c>
      <c r="AJ4526" s="2">
        <v>0.18</v>
      </c>
      <c r="AK4526" s="1">
        <v>445064</v>
      </c>
      <c r="AL4526" t="s">
        <v>117</v>
      </c>
      <c r="AM4526" t="s">
        <v>1302</v>
      </c>
      <c r="AN4526">
        <v>10660</v>
      </c>
      <c r="AO4526">
        <v>0.24</v>
      </c>
      <c r="AP4526">
        <v>1</v>
      </c>
      <c r="AR4526">
        <v>1</v>
      </c>
      <c r="AS4526" s="1">
        <v>32720</v>
      </c>
      <c r="AT4526" s="1">
        <v>6540</v>
      </c>
      <c r="AU4526" s="1">
        <v>26180</v>
      </c>
      <c r="AV4526">
        <v>80.010000000000005</v>
      </c>
      <c r="AX4526" s="1">
        <v>3294.82</v>
      </c>
      <c r="AY4526" t="s">
        <v>4218</v>
      </c>
      <c r="AZ4526" t="s">
        <v>4218</v>
      </c>
      <c r="BA4526" t="s">
        <v>4219</v>
      </c>
      <c r="BE4526" s="3">
        <v>42118</v>
      </c>
      <c r="BF4526" s="1">
        <v>365000</v>
      </c>
      <c r="BG4526" t="s">
        <v>28450</v>
      </c>
      <c r="BH4526" s="1">
        <v>138.78</v>
      </c>
      <c r="BI4526" s="1">
        <v>365000</v>
      </c>
      <c r="BJ4526" s="3">
        <v>42118</v>
      </c>
      <c r="BK4526" t="s">
        <v>123</v>
      </c>
      <c r="BL4526" t="str">
        <f>"2015.282786"</f>
        <v>2015.282786</v>
      </c>
      <c r="BM4526" t="s">
        <v>594</v>
      </c>
      <c r="BO4526" t="s">
        <v>28451</v>
      </c>
      <c r="BS4526">
        <v>30</v>
      </c>
      <c r="BW4526" t="str">
        <f>""</f>
        <v/>
      </c>
      <c r="CH4526" t="str">
        <f>""</f>
        <v/>
      </c>
      <c r="CS4526" t="str">
        <f>""</f>
        <v/>
      </c>
    </row>
    <row r="4527" spans="1:97" x14ac:dyDescent="0.25">
      <c r="A4527" t="s">
        <v>28452</v>
      </c>
      <c r="B4527" t="s">
        <v>28453</v>
      </c>
      <c r="C4527" t="s">
        <v>3505</v>
      </c>
      <c r="D4527" t="s">
        <v>28453</v>
      </c>
      <c r="E4527" t="s">
        <v>28454</v>
      </c>
      <c r="F4527" t="s">
        <v>108</v>
      </c>
      <c r="H4527" t="s">
        <v>28455</v>
      </c>
      <c r="I4527" t="s">
        <v>203</v>
      </c>
      <c r="J4527" t="s">
        <v>111</v>
      </c>
      <c r="K4527" t="str">
        <f>"85297"</f>
        <v>85297</v>
      </c>
      <c r="L4527" t="s">
        <v>1383</v>
      </c>
      <c r="M4527" t="s">
        <v>28455</v>
      </c>
      <c r="N4527" t="s">
        <v>203</v>
      </c>
      <c r="O4527" t="s">
        <v>111</v>
      </c>
      <c r="P4527" t="str">
        <f>"85297-9486"</f>
        <v>85297-9486</v>
      </c>
      <c r="Q4527" t="s">
        <v>113</v>
      </c>
      <c r="R4527" t="str">
        <f>"313-03-064"</f>
        <v>313-03-064</v>
      </c>
      <c r="S4527" t="s">
        <v>28456</v>
      </c>
      <c r="U4527">
        <v>2971</v>
      </c>
      <c r="V4527">
        <v>0</v>
      </c>
      <c r="W4527">
        <v>4</v>
      </c>
      <c r="X4527">
        <v>2003</v>
      </c>
      <c r="Z4527">
        <v>1</v>
      </c>
      <c r="AB4527">
        <v>0</v>
      </c>
      <c r="AC4527" t="s">
        <v>115</v>
      </c>
      <c r="AD4527">
        <v>3</v>
      </c>
      <c r="AE4527" t="s">
        <v>115</v>
      </c>
      <c r="AF4527">
        <v>0</v>
      </c>
      <c r="AG4527">
        <v>0</v>
      </c>
      <c r="AH4527" t="s">
        <v>116</v>
      </c>
      <c r="AI4527" s="1">
        <v>74249</v>
      </c>
      <c r="AJ4527" s="2">
        <v>0.17</v>
      </c>
      <c r="AK4527" s="1">
        <v>449649</v>
      </c>
      <c r="AL4527" t="s">
        <v>117</v>
      </c>
      <c r="AM4527" t="s">
        <v>1302</v>
      </c>
      <c r="AN4527">
        <v>10901</v>
      </c>
      <c r="AO4527">
        <v>0.25</v>
      </c>
      <c r="AP4527">
        <v>1</v>
      </c>
      <c r="AR4527">
        <v>1</v>
      </c>
      <c r="AS4527" s="1">
        <v>31200</v>
      </c>
      <c r="AT4527" s="1">
        <v>6240</v>
      </c>
      <c r="AU4527" s="1">
        <v>24960</v>
      </c>
      <c r="AV4527">
        <v>80</v>
      </c>
      <c r="AX4527" s="1">
        <v>2653.86</v>
      </c>
      <c r="AY4527" t="s">
        <v>7512</v>
      </c>
      <c r="AZ4527" t="s">
        <v>7512</v>
      </c>
      <c r="BA4527" t="s">
        <v>473</v>
      </c>
      <c r="BE4527" s="3">
        <v>41744</v>
      </c>
      <c r="BF4527" s="1">
        <v>370000</v>
      </c>
      <c r="BG4527" t="s">
        <v>28457</v>
      </c>
      <c r="BH4527" s="1">
        <v>124.54</v>
      </c>
      <c r="BI4527" s="1">
        <v>375400</v>
      </c>
      <c r="BJ4527" s="3">
        <v>41744</v>
      </c>
      <c r="BK4527" t="s">
        <v>123</v>
      </c>
      <c r="BL4527" t="str">
        <f>"2014.241308"</f>
        <v>2014.241308</v>
      </c>
      <c r="BM4527" t="s">
        <v>1185</v>
      </c>
      <c r="BO4527" t="s">
        <v>28458</v>
      </c>
      <c r="BS4527">
        <v>30</v>
      </c>
      <c r="BW4527" t="str">
        <f>""</f>
        <v/>
      </c>
      <c r="CH4527" t="str">
        <f>""</f>
        <v/>
      </c>
      <c r="CS4527" t="str">
        <f>""</f>
        <v/>
      </c>
    </row>
    <row r="4528" spans="1:97" x14ac:dyDescent="0.25">
      <c r="A4528" t="s">
        <v>177</v>
      </c>
      <c r="B4528" t="s">
        <v>2433</v>
      </c>
      <c r="E4528" t="s">
        <v>28459</v>
      </c>
      <c r="F4528" t="s">
        <v>108</v>
      </c>
      <c r="H4528" t="s">
        <v>28460</v>
      </c>
      <c r="I4528" t="s">
        <v>390</v>
      </c>
      <c r="J4528" t="s">
        <v>111</v>
      </c>
      <c r="K4528" t="str">
        <f>"85048"</f>
        <v>85048</v>
      </c>
      <c r="L4528" t="s">
        <v>926</v>
      </c>
      <c r="M4528" t="s">
        <v>28460</v>
      </c>
      <c r="N4528" t="s">
        <v>390</v>
      </c>
      <c r="O4528" t="s">
        <v>111</v>
      </c>
      <c r="P4528" t="str">
        <f>"85048-8534"</f>
        <v>85048-8534</v>
      </c>
      <c r="Q4528" t="s">
        <v>113</v>
      </c>
      <c r="R4528" t="str">
        <f>"301-70-100"</f>
        <v>301-70-100</v>
      </c>
      <c r="S4528" t="s">
        <v>28461</v>
      </c>
      <c r="T4528" t="s">
        <v>28462</v>
      </c>
      <c r="U4528">
        <v>2197</v>
      </c>
      <c r="V4528">
        <v>0</v>
      </c>
      <c r="W4528">
        <v>3</v>
      </c>
      <c r="X4528">
        <v>1989</v>
      </c>
      <c r="Z4528">
        <v>1</v>
      </c>
      <c r="AA4528" t="s">
        <v>26</v>
      </c>
      <c r="AB4528">
        <v>0</v>
      </c>
      <c r="AC4528" t="s">
        <v>115</v>
      </c>
      <c r="AD4528">
        <v>2</v>
      </c>
      <c r="AE4528" t="s">
        <v>115</v>
      </c>
      <c r="AF4528">
        <v>0</v>
      </c>
      <c r="AG4528">
        <v>0</v>
      </c>
      <c r="AH4528" t="s">
        <v>116</v>
      </c>
      <c r="AI4528" s="1">
        <v>19646</v>
      </c>
      <c r="AJ4528" s="2">
        <v>0.05</v>
      </c>
      <c r="AK4528" s="1">
        <v>379943</v>
      </c>
      <c r="AL4528" t="s">
        <v>117</v>
      </c>
      <c r="AM4528" t="s">
        <v>171</v>
      </c>
      <c r="AN4528">
        <v>7989</v>
      </c>
      <c r="AO4528">
        <v>0.18</v>
      </c>
      <c r="AP4528">
        <v>1</v>
      </c>
      <c r="AR4528">
        <v>1</v>
      </c>
      <c r="AS4528" s="1">
        <v>26900</v>
      </c>
      <c r="AT4528" s="1">
        <v>5380</v>
      </c>
      <c r="AU4528" s="1">
        <v>21520</v>
      </c>
      <c r="AV4528">
        <v>80</v>
      </c>
      <c r="AX4528" s="1">
        <v>2804.44</v>
      </c>
      <c r="AY4528" t="s">
        <v>928</v>
      </c>
      <c r="AZ4528" t="s">
        <v>929</v>
      </c>
      <c r="BA4528" t="s">
        <v>930</v>
      </c>
      <c r="BE4528" s="3">
        <v>41815</v>
      </c>
      <c r="BF4528" s="1">
        <v>303000</v>
      </c>
      <c r="BG4528" t="s">
        <v>28463</v>
      </c>
      <c r="BH4528" s="1">
        <v>137.91999999999999</v>
      </c>
      <c r="BI4528" s="1">
        <v>360297</v>
      </c>
      <c r="BJ4528" s="3">
        <v>42640</v>
      </c>
      <c r="BK4528" t="s">
        <v>123</v>
      </c>
      <c r="BL4528" t="str">
        <f>"2016.701565"</f>
        <v>2016.701565</v>
      </c>
      <c r="BM4528" t="s">
        <v>361</v>
      </c>
      <c r="BO4528" t="s">
        <v>28464</v>
      </c>
      <c r="BS4528">
        <v>30</v>
      </c>
      <c r="BW4528" t="str">
        <f>""</f>
        <v/>
      </c>
      <c r="CH4528" t="str">
        <f>""</f>
        <v/>
      </c>
      <c r="CS4528" t="str">
        <f>""</f>
        <v/>
      </c>
    </row>
    <row r="4529" spans="1:97" x14ac:dyDescent="0.25">
      <c r="A4529" t="s">
        <v>257</v>
      </c>
      <c r="B4529" t="s">
        <v>28465</v>
      </c>
      <c r="C4529" t="s">
        <v>1340</v>
      </c>
      <c r="D4529" t="s">
        <v>28465</v>
      </c>
      <c r="E4529" t="s">
        <v>28466</v>
      </c>
      <c r="F4529" t="s">
        <v>108</v>
      </c>
      <c r="H4529" t="s">
        <v>28467</v>
      </c>
      <c r="I4529" t="s">
        <v>188</v>
      </c>
      <c r="J4529" t="s">
        <v>111</v>
      </c>
      <c r="K4529" t="str">
        <f>"85142"</f>
        <v>85142</v>
      </c>
      <c r="L4529" t="s">
        <v>3645</v>
      </c>
      <c r="M4529" t="s">
        <v>28467</v>
      </c>
      <c r="N4529" t="s">
        <v>188</v>
      </c>
      <c r="O4529" t="s">
        <v>111</v>
      </c>
      <c r="P4529" t="str">
        <f>"85142-7427"</f>
        <v>85142-7427</v>
      </c>
      <c r="Q4529" t="s">
        <v>113</v>
      </c>
      <c r="R4529" t="str">
        <f>"314-08-635"</f>
        <v>314-08-635</v>
      </c>
      <c r="S4529" t="s">
        <v>9258</v>
      </c>
      <c r="T4529" t="s">
        <v>4400</v>
      </c>
      <c r="U4529">
        <v>3416</v>
      </c>
      <c r="V4529">
        <v>0</v>
      </c>
      <c r="W4529">
        <v>6</v>
      </c>
      <c r="X4529">
        <v>2016</v>
      </c>
      <c r="Z4529">
        <v>1</v>
      </c>
      <c r="AA4529" t="s">
        <v>26</v>
      </c>
      <c r="AB4529">
        <v>0</v>
      </c>
      <c r="AC4529" t="s">
        <v>115</v>
      </c>
      <c r="AD4529">
        <v>3</v>
      </c>
      <c r="AE4529" t="s">
        <v>115</v>
      </c>
      <c r="AF4529">
        <v>0</v>
      </c>
      <c r="AG4529">
        <v>0</v>
      </c>
      <c r="AH4529" t="s">
        <v>116</v>
      </c>
      <c r="AI4529" s="1">
        <v>82301</v>
      </c>
      <c r="AJ4529" s="2">
        <v>0.16</v>
      </c>
      <c r="AK4529" s="1">
        <v>499301</v>
      </c>
      <c r="AL4529" t="s">
        <v>117</v>
      </c>
      <c r="AM4529" t="s">
        <v>917</v>
      </c>
      <c r="AN4529">
        <v>11200</v>
      </c>
      <c r="AO4529">
        <v>0.26</v>
      </c>
      <c r="AR4529">
        <v>1</v>
      </c>
      <c r="AS4529" s="1">
        <v>36580</v>
      </c>
      <c r="AT4529" s="1">
        <v>7310</v>
      </c>
      <c r="AU4529" s="1">
        <v>29270</v>
      </c>
      <c r="AV4529">
        <v>80.02</v>
      </c>
      <c r="AX4529" s="1">
        <v>3722.32</v>
      </c>
      <c r="AY4529" t="s">
        <v>560</v>
      </c>
      <c r="AZ4529" t="s">
        <v>561</v>
      </c>
      <c r="BA4529" t="s">
        <v>194</v>
      </c>
      <c r="BB4529" s="3">
        <v>42451</v>
      </c>
      <c r="BD4529" t="s">
        <v>842</v>
      </c>
      <c r="BE4529" s="3">
        <v>42369</v>
      </c>
      <c r="BF4529" s="1">
        <v>405900</v>
      </c>
      <c r="BG4529" t="s">
        <v>749</v>
      </c>
      <c r="BH4529" s="1">
        <v>118.82</v>
      </c>
      <c r="BI4529" s="1">
        <v>417000</v>
      </c>
      <c r="BJ4529" s="3">
        <v>42627</v>
      </c>
      <c r="BK4529" t="s">
        <v>123</v>
      </c>
      <c r="BL4529" t="str">
        <f>"2016.666068"</f>
        <v>2016.666068</v>
      </c>
      <c r="BM4529" t="s">
        <v>28468</v>
      </c>
      <c r="BO4529" t="s">
        <v>28469</v>
      </c>
      <c r="BS4529">
        <v>30</v>
      </c>
      <c r="BW4529" t="str">
        <f>""</f>
        <v/>
      </c>
      <c r="CH4529" t="str">
        <f>""</f>
        <v/>
      </c>
      <c r="CS4529" t="str">
        <f>""</f>
        <v/>
      </c>
    </row>
    <row r="4530" spans="1:97" x14ac:dyDescent="0.25">
      <c r="A4530" t="s">
        <v>2045</v>
      </c>
      <c r="B4530" t="s">
        <v>28470</v>
      </c>
      <c r="E4530" t="s">
        <v>28471</v>
      </c>
      <c r="F4530" t="s">
        <v>108</v>
      </c>
      <c r="H4530" t="s">
        <v>28472</v>
      </c>
      <c r="I4530" t="s">
        <v>5523</v>
      </c>
      <c r="J4530" t="s">
        <v>111</v>
      </c>
      <c r="K4530" t="str">
        <f>"85373"</f>
        <v>85373</v>
      </c>
      <c r="L4530" t="s">
        <v>2197</v>
      </c>
      <c r="M4530" t="s">
        <v>28472</v>
      </c>
      <c r="N4530" t="s">
        <v>5523</v>
      </c>
      <c r="O4530" t="s">
        <v>111</v>
      </c>
      <c r="P4530" t="str">
        <f>"85373-5045"</f>
        <v>85373-5045</v>
      </c>
      <c r="Q4530" t="s">
        <v>113</v>
      </c>
      <c r="R4530" t="str">
        <f>"503-97-591"</f>
        <v>503-97-591</v>
      </c>
      <c r="S4530" t="s">
        <v>21924</v>
      </c>
      <c r="T4530" t="s">
        <v>21925</v>
      </c>
      <c r="U4530">
        <v>2225</v>
      </c>
      <c r="V4530">
        <v>0</v>
      </c>
      <c r="W4530">
        <v>3</v>
      </c>
      <c r="X4530">
        <v>2005</v>
      </c>
      <c r="Z4530">
        <v>1</v>
      </c>
      <c r="AB4530">
        <v>0</v>
      </c>
      <c r="AC4530" t="s">
        <v>115</v>
      </c>
      <c r="AD4530">
        <v>2</v>
      </c>
      <c r="AE4530" t="s">
        <v>115</v>
      </c>
      <c r="AF4530">
        <v>0</v>
      </c>
      <c r="AG4530">
        <v>0</v>
      </c>
      <c r="AH4530" t="s">
        <v>116</v>
      </c>
      <c r="AI4530" s="1">
        <v>67831</v>
      </c>
      <c r="AJ4530" s="2">
        <v>0.23</v>
      </c>
      <c r="AK4530" s="1">
        <v>290331</v>
      </c>
      <c r="AL4530" t="s">
        <v>117</v>
      </c>
      <c r="AM4530" t="s">
        <v>191</v>
      </c>
      <c r="AN4530">
        <v>6160</v>
      </c>
      <c r="AO4530">
        <v>0.14000000000000001</v>
      </c>
      <c r="AR4530">
        <v>1</v>
      </c>
      <c r="AS4530" s="1">
        <v>20860</v>
      </c>
      <c r="AT4530" s="1">
        <v>4170</v>
      </c>
      <c r="AU4530" s="1">
        <v>16690</v>
      </c>
      <c r="AV4530">
        <v>80.010000000000005</v>
      </c>
      <c r="AX4530" s="1">
        <v>1926.94</v>
      </c>
      <c r="AY4530" t="s">
        <v>3228</v>
      </c>
      <c r="AZ4530" t="s">
        <v>3228</v>
      </c>
      <c r="BA4530" t="s">
        <v>457</v>
      </c>
      <c r="BE4530" s="3">
        <v>42429</v>
      </c>
      <c r="BF4530" s="1">
        <v>222500</v>
      </c>
      <c r="BG4530" t="s">
        <v>28473</v>
      </c>
      <c r="BH4530" s="1">
        <v>100</v>
      </c>
      <c r="BI4530" s="1">
        <v>222500</v>
      </c>
      <c r="BJ4530" s="3">
        <v>42429</v>
      </c>
      <c r="BK4530" t="s">
        <v>123</v>
      </c>
      <c r="BL4530" t="str">
        <f>"2016.127697"</f>
        <v>2016.127697</v>
      </c>
      <c r="BM4530" t="s">
        <v>135</v>
      </c>
      <c r="BO4530" t="s">
        <v>28474</v>
      </c>
      <c r="BS4530">
        <v>30</v>
      </c>
      <c r="BW4530" t="str">
        <f>""</f>
        <v/>
      </c>
      <c r="CH4530" t="str">
        <f>""</f>
        <v/>
      </c>
      <c r="CS4530" t="str">
        <f>""</f>
        <v/>
      </c>
    </row>
    <row r="4531" spans="1:97" x14ac:dyDescent="0.25">
      <c r="A4531" t="s">
        <v>4098</v>
      </c>
      <c r="B4531" t="s">
        <v>7558</v>
      </c>
      <c r="C4531" t="s">
        <v>2178</v>
      </c>
      <c r="D4531" t="s">
        <v>7558</v>
      </c>
      <c r="E4531" t="s">
        <v>28475</v>
      </c>
      <c r="F4531" t="s">
        <v>108</v>
      </c>
      <c r="H4531" t="s">
        <v>28476</v>
      </c>
      <c r="I4531" t="s">
        <v>632</v>
      </c>
      <c r="J4531" t="s">
        <v>111</v>
      </c>
      <c r="K4531" t="str">
        <f>"85388"</f>
        <v>85388</v>
      </c>
      <c r="L4531" t="s">
        <v>5165</v>
      </c>
      <c r="M4531" t="s">
        <v>28476</v>
      </c>
      <c r="N4531" t="s">
        <v>632</v>
      </c>
      <c r="O4531" t="s">
        <v>111</v>
      </c>
      <c r="P4531" t="str">
        <f>"85388-5014"</f>
        <v>85388-5014</v>
      </c>
      <c r="Q4531" t="s">
        <v>113</v>
      </c>
      <c r="R4531" t="str">
        <f>"502-05-460"</f>
        <v>502-05-460</v>
      </c>
      <c r="S4531" t="s">
        <v>5166</v>
      </c>
      <c r="T4531" t="s">
        <v>5167</v>
      </c>
      <c r="U4531">
        <v>2338</v>
      </c>
      <c r="V4531">
        <v>0</v>
      </c>
      <c r="W4531">
        <v>4</v>
      </c>
      <c r="X4531">
        <v>2013</v>
      </c>
      <c r="Z4531">
        <v>1</v>
      </c>
      <c r="AA4531" t="s">
        <v>26</v>
      </c>
      <c r="AB4531">
        <v>0</v>
      </c>
      <c r="AC4531" t="s">
        <v>115</v>
      </c>
      <c r="AD4531">
        <v>3</v>
      </c>
      <c r="AE4531" t="s">
        <v>115</v>
      </c>
      <c r="AF4531">
        <v>0</v>
      </c>
      <c r="AG4531">
        <v>0</v>
      </c>
      <c r="AH4531" t="s">
        <v>116</v>
      </c>
      <c r="AI4531" s="1">
        <v>6505</v>
      </c>
      <c r="AJ4531" s="2">
        <v>0.02</v>
      </c>
      <c r="AK4531" s="1">
        <v>331511</v>
      </c>
      <c r="AL4531" t="s">
        <v>117</v>
      </c>
      <c r="AM4531" t="s">
        <v>118</v>
      </c>
      <c r="AN4531">
        <v>9938</v>
      </c>
      <c r="AO4531">
        <v>0.23</v>
      </c>
      <c r="AR4531">
        <v>1</v>
      </c>
      <c r="AS4531" s="1">
        <v>24710</v>
      </c>
      <c r="AT4531" s="1">
        <v>4940</v>
      </c>
      <c r="AU4531" s="1">
        <v>19770</v>
      </c>
      <c r="AV4531">
        <v>80.010000000000005</v>
      </c>
      <c r="AX4531" s="1">
        <v>1754.14</v>
      </c>
      <c r="AY4531" t="s">
        <v>5168</v>
      </c>
      <c r="AZ4531" t="s">
        <v>5168</v>
      </c>
      <c r="BA4531" t="s">
        <v>5061</v>
      </c>
      <c r="BE4531" s="3">
        <v>41781</v>
      </c>
      <c r="BF4531" s="1">
        <v>225624</v>
      </c>
      <c r="BG4531" t="s">
        <v>22327</v>
      </c>
      <c r="BH4531" s="1">
        <v>96.5</v>
      </c>
      <c r="BI4531" s="1">
        <v>291306</v>
      </c>
      <c r="BJ4531" s="3">
        <v>43095</v>
      </c>
      <c r="BK4531" t="s">
        <v>123</v>
      </c>
      <c r="BL4531" t="str">
        <f>"2017.954989"</f>
        <v>2017.954989</v>
      </c>
      <c r="BM4531" t="s">
        <v>8086</v>
      </c>
      <c r="BN4531">
        <v>85254</v>
      </c>
      <c r="BO4531" t="s">
        <v>28477</v>
      </c>
      <c r="BS4531">
        <v>31</v>
      </c>
      <c r="BT4531" s="1">
        <v>33700</v>
      </c>
      <c r="BU4531" s="3">
        <v>43503</v>
      </c>
      <c r="BW4531" t="str">
        <f>"2019.85289"</f>
        <v>2019.85289</v>
      </c>
      <c r="BX4531" t="s">
        <v>3538</v>
      </c>
      <c r="BY4531" t="s">
        <v>3539</v>
      </c>
      <c r="BZ4531" t="s">
        <v>28478</v>
      </c>
      <c r="CA4531" t="s">
        <v>28479</v>
      </c>
      <c r="CC4531" t="s">
        <v>346</v>
      </c>
      <c r="CH4531" t="str">
        <f>""</f>
        <v/>
      </c>
      <c r="CS4531" t="str">
        <f>""</f>
        <v/>
      </c>
    </row>
    <row r="4532" spans="1:97" x14ac:dyDescent="0.25">
      <c r="A4532" t="s">
        <v>11252</v>
      </c>
      <c r="B4532" t="s">
        <v>6671</v>
      </c>
      <c r="E4532" t="s">
        <v>28480</v>
      </c>
      <c r="F4532" t="s">
        <v>108</v>
      </c>
      <c r="H4532" t="s">
        <v>28481</v>
      </c>
      <c r="I4532" t="s">
        <v>5114</v>
      </c>
      <c r="J4532" t="s">
        <v>111</v>
      </c>
      <c r="K4532" t="str">
        <f>"85392"</f>
        <v>85392</v>
      </c>
      <c r="L4532" t="s">
        <v>3430</v>
      </c>
      <c r="M4532" t="s">
        <v>28481</v>
      </c>
      <c r="N4532" t="s">
        <v>5114</v>
      </c>
      <c r="O4532" t="s">
        <v>111</v>
      </c>
      <c r="P4532" t="str">
        <f>"85392-4008"</f>
        <v>85392-4008</v>
      </c>
      <c r="Q4532" t="s">
        <v>113</v>
      </c>
      <c r="R4532" t="str">
        <f>"102-86-174"</f>
        <v>102-86-174</v>
      </c>
      <c r="S4532" t="s">
        <v>28482</v>
      </c>
      <c r="T4532" t="s">
        <v>28483</v>
      </c>
      <c r="U4532">
        <v>1549</v>
      </c>
      <c r="V4532">
        <v>0</v>
      </c>
      <c r="W4532">
        <v>3</v>
      </c>
      <c r="X4532">
        <v>1989</v>
      </c>
      <c r="Z4532">
        <v>1</v>
      </c>
      <c r="AA4532" t="s">
        <v>26</v>
      </c>
      <c r="AB4532">
        <v>0</v>
      </c>
      <c r="AC4532" t="s">
        <v>115</v>
      </c>
      <c r="AD4532">
        <v>2</v>
      </c>
      <c r="AE4532" t="s">
        <v>115</v>
      </c>
      <c r="AF4532">
        <v>0</v>
      </c>
      <c r="AG4532">
        <v>0</v>
      </c>
      <c r="AH4532" t="s">
        <v>116</v>
      </c>
      <c r="AI4532" s="1">
        <v>31871</v>
      </c>
      <c r="AJ4532" s="2">
        <v>0.13</v>
      </c>
      <c r="AK4532" s="1">
        <v>239917</v>
      </c>
      <c r="AL4532" t="s">
        <v>117</v>
      </c>
      <c r="AM4532" t="s">
        <v>118</v>
      </c>
      <c r="AN4532">
        <v>6630</v>
      </c>
      <c r="AO4532">
        <v>0.15</v>
      </c>
      <c r="AP4532">
        <v>1</v>
      </c>
      <c r="AR4532">
        <v>1</v>
      </c>
      <c r="AS4532" s="1">
        <v>16180</v>
      </c>
      <c r="AT4532" s="1">
        <v>3230</v>
      </c>
      <c r="AU4532" s="1">
        <v>12950</v>
      </c>
      <c r="AV4532">
        <v>80.040000000000006</v>
      </c>
      <c r="AX4532" s="1">
        <v>1511.76</v>
      </c>
      <c r="AY4532" t="s">
        <v>8084</v>
      </c>
      <c r="AZ4532" t="s">
        <v>8084</v>
      </c>
      <c r="BA4532" t="s">
        <v>5118</v>
      </c>
      <c r="BE4532" s="3">
        <v>41815</v>
      </c>
      <c r="BF4532" s="1">
        <v>158000</v>
      </c>
      <c r="BG4532" t="s">
        <v>28484</v>
      </c>
      <c r="BH4532" s="1">
        <v>102</v>
      </c>
      <c r="BI4532" s="1">
        <v>208046</v>
      </c>
      <c r="BJ4532" s="3">
        <v>43159</v>
      </c>
      <c r="BK4532" t="s">
        <v>123</v>
      </c>
      <c r="BL4532" t="str">
        <f>"2018.151253"</f>
        <v>2018.151253</v>
      </c>
      <c r="BM4532" t="s">
        <v>28485</v>
      </c>
      <c r="BN4532" t="s">
        <v>28486</v>
      </c>
      <c r="BO4532" t="s">
        <v>28487</v>
      </c>
      <c r="BR4532" t="s">
        <v>139</v>
      </c>
      <c r="BW4532" t="str">
        <f>""</f>
        <v/>
      </c>
      <c r="CH4532" t="str">
        <f>""</f>
        <v/>
      </c>
      <c r="CS4532" t="str">
        <f>""</f>
        <v/>
      </c>
    </row>
    <row r="4533" spans="1:97" x14ac:dyDescent="0.25">
      <c r="A4533" t="s">
        <v>1034</v>
      </c>
      <c r="B4533" t="s">
        <v>28488</v>
      </c>
      <c r="C4533" t="s">
        <v>852</v>
      </c>
      <c r="D4533" t="s">
        <v>28488</v>
      </c>
      <c r="E4533" t="s">
        <v>28489</v>
      </c>
      <c r="F4533" t="s">
        <v>108</v>
      </c>
      <c r="H4533" t="s">
        <v>28490</v>
      </c>
      <c r="I4533" t="s">
        <v>225</v>
      </c>
      <c r="J4533" t="s">
        <v>111</v>
      </c>
      <c r="K4533" t="str">
        <f>"85205"</f>
        <v>85205</v>
      </c>
      <c r="L4533" t="s">
        <v>5228</v>
      </c>
      <c r="M4533" t="s">
        <v>28490</v>
      </c>
      <c r="N4533" t="s">
        <v>225</v>
      </c>
      <c r="O4533" t="s">
        <v>111</v>
      </c>
      <c r="P4533" t="str">
        <f>"85205-4341"</f>
        <v>85205-4341</v>
      </c>
      <c r="Q4533" t="s">
        <v>113</v>
      </c>
      <c r="R4533" t="str">
        <f>"141-45-503"</f>
        <v>141-45-503</v>
      </c>
      <c r="S4533" t="s">
        <v>28491</v>
      </c>
      <c r="T4533" t="s">
        <v>28492</v>
      </c>
      <c r="U4533">
        <v>2201</v>
      </c>
      <c r="V4533">
        <v>0</v>
      </c>
      <c r="W4533">
        <v>4</v>
      </c>
      <c r="X4533">
        <v>1990</v>
      </c>
      <c r="Z4533">
        <v>2</v>
      </c>
      <c r="AB4533">
        <v>0</v>
      </c>
      <c r="AC4533" t="s">
        <v>115</v>
      </c>
      <c r="AD4533">
        <v>2</v>
      </c>
      <c r="AE4533" t="s">
        <v>115</v>
      </c>
      <c r="AF4533">
        <v>0</v>
      </c>
      <c r="AG4533">
        <v>0</v>
      </c>
      <c r="AH4533" t="s">
        <v>116</v>
      </c>
      <c r="AI4533" s="1">
        <v>57701</v>
      </c>
      <c r="AJ4533" s="2">
        <v>0.17</v>
      </c>
      <c r="AK4533" s="1">
        <v>335701</v>
      </c>
      <c r="AL4533" t="s">
        <v>117</v>
      </c>
      <c r="AM4533" t="s">
        <v>393</v>
      </c>
      <c r="AN4533">
        <v>11200</v>
      </c>
      <c r="AO4533">
        <v>0.26</v>
      </c>
      <c r="AP4533">
        <v>1</v>
      </c>
      <c r="AR4533">
        <v>1</v>
      </c>
      <c r="AS4533" s="1">
        <v>22420</v>
      </c>
      <c r="AT4533" s="1">
        <v>4480</v>
      </c>
      <c r="AU4533" s="1">
        <v>17940</v>
      </c>
      <c r="AV4533">
        <v>80.02</v>
      </c>
      <c r="AX4533" s="1">
        <v>1755.32</v>
      </c>
      <c r="AY4533" t="s">
        <v>5274</v>
      </c>
      <c r="AZ4533" t="s">
        <v>5275</v>
      </c>
      <c r="BA4533" t="s">
        <v>3119</v>
      </c>
      <c r="BE4533" s="3">
        <v>41961</v>
      </c>
      <c r="BF4533" s="1">
        <v>278000</v>
      </c>
      <c r="BG4533" t="s">
        <v>28493</v>
      </c>
      <c r="BH4533" s="1">
        <v>126.31</v>
      </c>
      <c r="BI4533" s="1">
        <v>278000</v>
      </c>
      <c r="BJ4533" s="3">
        <v>41961</v>
      </c>
      <c r="BK4533" t="s">
        <v>123</v>
      </c>
      <c r="BL4533" t="str">
        <f>"2014.761517"</f>
        <v>2014.761517</v>
      </c>
      <c r="BM4533" t="s">
        <v>5348</v>
      </c>
      <c r="BO4533" t="s">
        <v>28494</v>
      </c>
      <c r="BS4533">
        <v>30</v>
      </c>
      <c r="BW4533" t="str">
        <f>""</f>
        <v/>
      </c>
      <c r="CH4533" t="str">
        <f>""</f>
        <v/>
      </c>
      <c r="CS4533" t="str">
        <f>""</f>
        <v/>
      </c>
    </row>
    <row r="4534" spans="1:97" x14ac:dyDescent="0.25">
      <c r="A4534" t="s">
        <v>177</v>
      </c>
      <c r="B4534" t="s">
        <v>252</v>
      </c>
      <c r="C4534" t="s">
        <v>28495</v>
      </c>
      <c r="D4534" t="s">
        <v>252</v>
      </c>
      <c r="E4534" t="s">
        <v>28496</v>
      </c>
      <c r="F4534" t="s">
        <v>108</v>
      </c>
      <c r="H4534" t="s">
        <v>28497</v>
      </c>
      <c r="I4534" t="s">
        <v>632</v>
      </c>
      <c r="J4534" t="s">
        <v>111</v>
      </c>
      <c r="K4534" t="str">
        <f>"85387"</f>
        <v>85387</v>
      </c>
      <c r="L4534" t="s">
        <v>6529</v>
      </c>
      <c r="M4534" t="s">
        <v>28497</v>
      </c>
      <c r="N4534" t="s">
        <v>632</v>
      </c>
      <c r="O4534" t="s">
        <v>111</v>
      </c>
      <c r="P4534" t="str">
        <f>"85387-3453"</f>
        <v>85387-3453</v>
      </c>
      <c r="Q4534" t="s">
        <v>113</v>
      </c>
      <c r="R4534" t="str">
        <f>"503-96-928"</f>
        <v>503-96-928</v>
      </c>
      <c r="S4534" t="s">
        <v>17655</v>
      </c>
      <c r="T4534" t="s">
        <v>5498</v>
      </c>
      <c r="U4534">
        <v>2697</v>
      </c>
      <c r="V4534">
        <v>0</v>
      </c>
      <c r="W4534">
        <v>3</v>
      </c>
      <c r="X4534">
        <v>2014</v>
      </c>
      <c r="Z4534">
        <v>2</v>
      </c>
      <c r="AB4534">
        <v>0</v>
      </c>
      <c r="AC4534" t="s">
        <v>115</v>
      </c>
      <c r="AD4534">
        <v>3</v>
      </c>
      <c r="AE4534" t="s">
        <v>115</v>
      </c>
      <c r="AF4534">
        <v>0</v>
      </c>
      <c r="AG4534">
        <v>0</v>
      </c>
      <c r="AH4534" t="s">
        <v>116</v>
      </c>
      <c r="AI4534" s="1">
        <v>28672</v>
      </c>
      <c r="AJ4534" s="2">
        <v>0.1</v>
      </c>
      <c r="AK4534" s="1">
        <v>273534</v>
      </c>
      <c r="AL4534" t="s">
        <v>117</v>
      </c>
      <c r="AM4534" t="s">
        <v>118</v>
      </c>
      <c r="AN4534">
        <v>8625</v>
      </c>
      <c r="AO4534">
        <v>0.2</v>
      </c>
      <c r="AR4534">
        <v>1</v>
      </c>
      <c r="AS4534" s="1">
        <v>24580</v>
      </c>
      <c r="AT4534" s="1">
        <v>4910</v>
      </c>
      <c r="AU4534" s="1">
        <v>19670</v>
      </c>
      <c r="AV4534">
        <v>80.02</v>
      </c>
      <c r="AX4534" s="1">
        <v>1248.22</v>
      </c>
      <c r="AY4534" t="s">
        <v>5499</v>
      </c>
      <c r="AZ4534" t="s">
        <v>5499</v>
      </c>
      <c r="BE4534" s="3">
        <v>41901</v>
      </c>
      <c r="BF4534" s="1">
        <v>244328</v>
      </c>
      <c r="BG4534" t="s">
        <v>446</v>
      </c>
      <c r="BH4534" s="1">
        <v>90.59</v>
      </c>
      <c r="BI4534" s="1">
        <v>244862</v>
      </c>
      <c r="BJ4534" s="3">
        <v>43048</v>
      </c>
      <c r="BK4534" t="s">
        <v>123</v>
      </c>
      <c r="BL4534" t="str">
        <f>"2017.834775"</f>
        <v>2017.834775</v>
      </c>
      <c r="BM4534" t="s">
        <v>28498</v>
      </c>
      <c r="BO4534" t="s">
        <v>28499</v>
      </c>
      <c r="BS4534">
        <v>30</v>
      </c>
      <c r="BW4534" t="str">
        <f>""</f>
        <v/>
      </c>
      <c r="CH4534" t="str">
        <f>""</f>
        <v/>
      </c>
      <c r="CS4534" t="str">
        <f>""</f>
        <v/>
      </c>
    </row>
    <row r="4535" spans="1:97" x14ac:dyDescent="0.25">
      <c r="A4535" t="s">
        <v>16923</v>
      </c>
      <c r="B4535" t="s">
        <v>28500</v>
      </c>
      <c r="C4535" t="s">
        <v>2184</v>
      </c>
      <c r="D4535" t="s">
        <v>28500</v>
      </c>
      <c r="E4535" t="s">
        <v>28501</v>
      </c>
      <c r="F4535" t="s">
        <v>108</v>
      </c>
      <c r="H4535" t="s">
        <v>28502</v>
      </c>
      <c r="I4535" t="s">
        <v>632</v>
      </c>
      <c r="J4535" t="s">
        <v>111</v>
      </c>
      <c r="K4535" t="str">
        <f>"85388"</f>
        <v>85388</v>
      </c>
      <c r="L4535" t="s">
        <v>7607</v>
      </c>
      <c r="M4535" t="s">
        <v>28502</v>
      </c>
      <c r="N4535" t="s">
        <v>632</v>
      </c>
      <c r="O4535" t="s">
        <v>111</v>
      </c>
      <c r="P4535" t="str">
        <f>"85388-1618"</f>
        <v>85388-1618</v>
      </c>
      <c r="Q4535" t="s">
        <v>113</v>
      </c>
      <c r="R4535" t="str">
        <f>"502-02-011"</f>
        <v>502-02-011</v>
      </c>
      <c r="S4535" t="s">
        <v>28503</v>
      </c>
      <c r="T4535" t="s">
        <v>28504</v>
      </c>
      <c r="U4535">
        <v>2089</v>
      </c>
      <c r="V4535">
        <v>0</v>
      </c>
      <c r="W4535">
        <v>3</v>
      </c>
      <c r="X4535">
        <v>2014</v>
      </c>
      <c r="Z4535">
        <v>1</v>
      </c>
      <c r="AB4535">
        <v>0</v>
      </c>
      <c r="AC4535" t="s">
        <v>115</v>
      </c>
      <c r="AD4535">
        <v>3</v>
      </c>
      <c r="AE4535" t="s">
        <v>115</v>
      </c>
      <c r="AF4535">
        <v>0</v>
      </c>
      <c r="AG4535">
        <v>0</v>
      </c>
      <c r="AH4535" t="s">
        <v>116</v>
      </c>
      <c r="AI4535" s="1">
        <v>62913</v>
      </c>
      <c r="AJ4535" s="2">
        <v>0.21</v>
      </c>
      <c r="AK4535" s="1">
        <v>294650</v>
      </c>
      <c r="AL4535" t="s">
        <v>117</v>
      </c>
      <c r="AM4535" t="s">
        <v>118</v>
      </c>
      <c r="AN4535">
        <v>6900</v>
      </c>
      <c r="AO4535">
        <v>0.16</v>
      </c>
      <c r="AR4535">
        <v>1</v>
      </c>
      <c r="AS4535" s="1">
        <v>21170</v>
      </c>
      <c r="AT4535" s="1">
        <v>4230</v>
      </c>
      <c r="AU4535" s="1">
        <v>16940</v>
      </c>
      <c r="AV4535">
        <v>80.02</v>
      </c>
      <c r="AX4535" s="1">
        <v>1814.46</v>
      </c>
      <c r="AY4535" t="s">
        <v>5168</v>
      </c>
      <c r="AZ4535" t="s">
        <v>5168</v>
      </c>
      <c r="BA4535" t="s">
        <v>5109</v>
      </c>
      <c r="BB4535" s="3">
        <v>42681</v>
      </c>
      <c r="BD4535" t="s">
        <v>458</v>
      </c>
      <c r="BE4535" s="3">
        <v>41837</v>
      </c>
      <c r="BF4535" s="1">
        <v>225605</v>
      </c>
      <c r="BG4535" t="s">
        <v>275</v>
      </c>
      <c r="BH4535" s="1">
        <v>108</v>
      </c>
      <c r="BI4535" s="1">
        <v>231737</v>
      </c>
      <c r="BJ4535" s="3">
        <v>42681</v>
      </c>
      <c r="BK4535" t="s">
        <v>123</v>
      </c>
      <c r="BL4535" t="str">
        <f>"2016.819109"</f>
        <v>2016.819109</v>
      </c>
      <c r="BM4535" t="s">
        <v>322</v>
      </c>
      <c r="BO4535" t="s">
        <v>28505</v>
      </c>
      <c r="BS4535">
        <v>23</v>
      </c>
      <c r="BW4535" t="str">
        <f>""</f>
        <v/>
      </c>
      <c r="CH4535" t="str">
        <f>""</f>
        <v/>
      </c>
      <c r="CS4535" t="str">
        <f>""</f>
        <v/>
      </c>
    </row>
    <row r="4536" spans="1:97" x14ac:dyDescent="0.25">
      <c r="A4536" t="s">
        <v>13060</v>
      </c>
      <c r="B4536" t="s">
        <v>28506</v>
      </c>
      <c r="E4536" t="s">
        <v>28507</v>
      </c>
      <c r="F4536" t="s">
        <v>108</v>
      </c>
      <c r="H4536" t="s">
        <v>28508</v>
      </c>
      <c r="I4536" t="s">
        <v>5387</v>
      </c>
      <c r="J4536" t="s">
        <v>111</v>
      </c>
      <c r="K4536" t="str">
        <f>"85283"</f>
        <v>85283</v>
      </c>
      <c r="L4536" t="s">
        <v>6460</v>
      </c>
      <c r="M4536" t="s">
        <v>28508</v>
      </c>
      <c r="N4536" t="s">
        <v>5387</v>
      </c>
      <c r="O4536" t="s">
        <v>111</v>
      </c>
      <c r="P4536" t="str">
        <f>"85283-3912"</f>
        <v>85283-3912</v>
      </c>
      <c r="Q4536" t="s">
        <v>113</v>
      </c>
      <c r="R4536" t="str">
        <f>"301-48-802"</f>
        <v>301-48-802</v>
      </c>
      <c r="S4536" t="s">
        <v>13005</v>
      </c>
      <c r="T4536" t="s">
        <v>13006</v>
      </c>
      <c r="U4536">
        <v>2164</v>
      </c>
      <c r="V4536">
        <v>0</v>
      </c>
      <c r="W4536">
        <v>3</v>
      </c>
      <c r="X4536">
        <v>1979</v>
      </c>
      <c r="Z4536">
        <v>1</v>
      </c>
      <c r="AA4536" t="s">
        <v>26</v>
      </c>
      <c r="AB4536">
        <v>0</v>
      </c>
      <c r="AC4536" t="s">
        <v>115</v>
      </c>
      <c r="AD4536">
        <v>2</v>
      </c>
      <c r="AE4536" t="s">
        <v>115</v>
      </c>
      <c r="AF4536">
        <v>0</v>
      </c>
      <c r="AG4536">
        <v>0</v>
      </c>
      <c r="AH4536" t="s">
        <v>116</v>
      </c>
      <c r="AI4536" s="1">
        <v>48632</v>
      </c>
      <c r="AJ4536" s="2">
        <v>0.13</v>
      </c>
      <c r="AK4536" s="1">
        <v>366872</v>
      </c>
      <c r="AL4536" t="s">
        <v>117</v>
      </c>
      <c r="AM4536" t="s">
        <v>191</v>
      </c>
      <c r="AN4536">
        <v>7858</v>
      </c>
      <c r="AO4536">
        <v>0.18</v>
      </c>
      <c r="AP4536">
        <v>1</v>
      </c>
      <c r="AR4536">
        <v>1</v>
      </c>
      <c r="AS4536" s="1">
        <v>26230</v>
      </c>
      <c r="AT4536" s="1">
        <v>5240</v>
      </c>
      <c r="AU4536" s="1">
        <v>20990</v>
      </c>
      <c r="AV4536">
        <v>80.02</v>
      </c>
      <c r="AX4536" s="1">
        <v>2336.44</v>
      </c>
      <c r="AY4536" t="s">
        <v>5390</v>
      </c>
      <c r="AZ4536" t="s">
        <v>5391</v>
      </c>
      <c r="BA4536" t="s">
        <v>5392</v>
      </c>
      <c r="BE4536" s="3">
        <v>42321</v>
      </c>
      <c r="BF4536" s="1">
        <v>280000</v>
      </c>
      <c r="BG4536" t="s">
        <v>28509</v>
      </c>
      <c r="BH4536" s="1">
        <v>129.38999999999999</v>
      </c>
      <c r="BI4536" s="1">
        <v>289240</v>
      </c>
      <c r="BJ4536" s="3">
        <v>42321</v>
      </c>
      <c r="BK4536" t="s">
        <v>123</v>
      </c>
      <c r="BL4536" t="str">
        <f>"2015.813867"</f>
        <v>2015.813867</v>
      </c>
      <c r="BM4536" t="s">
        <v>12498</v>
      </c>
      <c r="BN4536" t="s">
        <v>1136</v>
      </c>
      <c r="BO4536" t="s">
        <v>28510</v>
      </c>
      <c r="BS4536">
        <v>30</v>
      </c>
      <c r="BT4536" s="1">
        <v>29000</v>
      </c>
      <c r="BU4536" s="3">
        <v>43598</v>
      </c>
      <c r="BV4536" t="s">
        <v>134</v>
      </c>
      <c r="BW4536" t="str">
        <f>"2019.347307"</f>
        <v>2019.347307</v>
      </c>
      <c r="BX4536" t="s">
        <v>10752</v>
      </c>
      <c r="BY4536" t="s">
        <v>10753</v>
      </c>
      <c r="BZ4536" t="s">
        <v>28511</v>
      </c>
      <c r="CC4536" t="s">
        <v>139</v>
      </c>
      <c r="CH4536" t="str">
        <f>""</f>
        <v/>
      </c>
      <c r="CS4536" t="str">
        <f>""</f>
        <v/>
      </c>
    </row>
    <row r="4537" spans="1:97" x14ac:dyDescent="0.25">
      <c r="A4537" t="s">
        <v>1187</v>
      </c>
      <c r="B4537" t="s">
        <v>28512</v>
      </c>
      <c r="C4537" t="s">
        <v>507</v>
      </c>
      <c r="D4537" t="s">
        <v>28512</v>
      </c>
      <c r="E4537" t="s">
        <v>28513</v>
      </c>
      <c r="F4537" t="s">
        <v>108</v>
      </c>
      <c r="H4537" t="s">
        <v>28514</v>
      </c>
      <c r="I4537" t="s">
        <v>203</v>
      </c>
      <c r="J4537" t="s">
        <v>111</v>
      </c>
      <c r="K4537" t="str">
        <f>"85233"</f>
        <v>85233</v>
      </c>
      <c r="L4537" t="s">
        <v>1244</v>
      </c>
      <c r="M4537" t="s">
        <v>28514</v>
      </c>
      <c r="N4537" t="s">
        <v>203</v>
      </c>
      <c r="O4537" t="s">
        <v>111</v>
      </c>
      <c r="P4537" t="str">
        <f>"85233-6716"</f>
        <v>85233-6716</v>
      </c>
      <c r="Q4537" t="s">
        <v>113</v>
      </c>
      <c r="R4537" t="str">
        <f>"302-96-251"</f>
        <v>302-96-251</v>
      </c>
      <c r="S4537" t="s">
        <v>28515</v>
      </c>
      <c r="T4537" t="s">
        <v>28516</v>
      </c>
      <c r="U4537">
        <v>2873</v>
      </c>
      <c r="V4537">
        <v>0</v>
      </c>
      <c r="W4537">
        <v>4</v>
      </c>
      <c r="X4537">
        <v>1992</v>
      </c>
      <c r="Z4537">
        <v>2</v>
      </c>
      <c r="AB4537">
        <v>0</v>
      </c>
      <c r="AC4537" t="s">
        <v>115</v>
      </c>
      <c r="AD4537">
        <v>3</v>
      </c>
      <c r="AE4537" t="s">
        <v>115</v>
      </c>
      <c r="AF4537">
        <v>0</v>
      </c>
      <c r="AG4537">
        <v>0</v>
      </c>
      <c r="AH4537" t="s">
        <v>116</v>
      </c>
      <c r="AI4537" s="1">
        <v>112129</v>
      </c>
      <c r="AJ4537" s="2">
        <v>0.25</v>
      </c>
      <c r="AK4537" s="1">
        <v>441529</v>
      </c>
      <c r="AL4537" t="s">
        <v>117</v>
      </c>
      <c r="AM4537" t="s">
        <v>393</v>
      </c>
      <c r="AN4537">
        <v>11670</v>
      </c>
      <c r="AO4537">
        <v>0.27</v>
      </c>
      <c r="AP4537">
        <v>1</v>
      </c>
      <c r="AR4537">
        <v>1</v>
      </c>
      <c r="AS4537" s="1">
        <v>31810</v>
      </c>
      <c r="AT4537" s="1">
        <v>6360</v>
      </c>
      <c r="AU4537" s="1">
        <v>25450</v>
      </c>
      <c r="AV4537">
        <v>80.010000000000005</v>
      </c>
      <c r="AX4537" s="1">
        <v>2410.84</v>
      </c>
      <c r="AY4537" t="s">
        <v>5477</v>
      </c>
      <c r="AZ4537" t="s">
        <v>5478</v>
      </c>
      <c r="BA4537" t="s">
        <v>5479</v>
      </c>
      <c r="BE4537" s="3">
        <v>41725</v>
      </c>
      <c r="BF4537" s="1">
        <v>350000</v>
      </c>
      <c r="BG4537" t="s">
        <v>28517</v>
      </c>
      <c r="BH4537" s="1">
        <v>121.82</v>
      </c>
      <c r="BI4537" s="1">
        <v>329400</v>
      </c>
      <c r="BJ4537" s="3">
        <v>41962</v>
      </c>
      <c r="BK4537" t="s">
        <v>123</v>
      </c>
      <c r="BL4537" t="str">
        <f>"2014.765758"</f>
        <v>2014.765758</v>
      </c>
      <c r="BM4537" t="s">
        <v>5938</v>
      </c>
      <c r="BO4537" t="s">
        <v>28518</v>
      </c>
      <c r="BS4537">
        <v>30</v>
      </c>
      <c r="BW4537" t="str">
        <f>""</f>
        <v/>
      </c>
      <c r="CH4537" t="str">
        <f>""</f>
        <v/>
      </c>
      <c r="CS4537" t="str">
        <f>""</f>
        <v/>
      </c>
    </row>
    <row r="4538" spans="1:97" x14ac:dyDescent="0.25">
      <c r="A4538" t="s">
        <v>265</v>
      </c>
      <c r="B4538" t="s">
        <v>2692</v>
      </c>
      <c r="C4538" t="s">
        <v>1620</v>
      </c>
      <c r="D4538" t="s">
        <v>2692</v>
      </c>
      <c r="E4538" t="s">
        <v>28519</v>
      </c>
      <c r="F4538" t="s">
        <v>282</v>
      </c>
      <c r="H4538" t="s">
        <v>28520</v>
      </c>
      <c r="I4538" t="s">
        <v>499</v>
      </c>
      <c r="J4538" t="s">
        <v>111</v>
      </c>
      <c r="K4538" t="str">
        <f>"85395"</f>
        <v>85395</v>
      </c>
      <c r="L4538" t="s">
        <v>1312</v>
      </c>
      <c r="M4538" t="s">
        <v>28521</v>
      </c>
      <c r="N4538" t="s">
        <v>5114</v>
      </c>
      <c r="O4538" t="s">
        <v>111</v>
      </c>
      <c r="P4538" t="str">
        <f>"85392-5097"</f>
        <v>85392-5097</v>
      </c>
      <c r="Q4538" t="s">
        <v>113</v>
      </c>
      <c r="R4538" t="str">
        <f>"501-76-416"</f>
        <v>501-76-416</v>
      </c>
      <c r="S4538" t="s">
        <v>20930</v>
      </c>
      <c r="T4538" t="s">
        <v>20931</v>
      </c>
      <c r="U4538">
        <v>3090</v>
      </c>
      <c r="V4538">
        <v>0</v>
      </c>
      <c r="W4538">
        <v>5</v>
      </c>
      <c r="X4538">
        <v>2004</v>
      </c>
      <c r="Z4538">
        <v>2</v>
      </c>
      <c r="AA4538" t="s">
        <v>26</v>
      </c>
      <c r="AB4538">
        <v>0</v>
      </c>
      <c r="AC4538" t="s">
        <v>115</v>
      </c>
      <c r="AD4538">
        <v>2</v>
      </c>
      <c r="AE4538" t="s">
        <v>115</v>
      </c>
      <c r="AF4538">
        <v>0</v>
      </c>
      <c r="AG4538">
        <v>0</v>
      </c>
      <c r="AH4538" t="s">
        <v>116</v>
      </c>
      <c r="AI4538" s="1">
        <v>22271</v>
      </c>
      <c r="AJ4538" s="2">
        <v>0.05</v>
      </c>
      <c r="AK4538" s="1">
        <v>422042</v>
      </c>
      <c r="AL4538" t="s">
        <v>117</v>
      </c>
      <c r="AM4538" t="s">
        <v>118</v>
      </c>
      <c r="AN4538">
        <v>10558</v>
      </c>
      <c r="AO4538">
        <v>0.24</v>
      </c>
      <c r="AP4538">
        <v>1</v>
      </c>
      <c r="AR4538">
        <v>1</v>
      </c>
      <c r="AS4538" s="1">
        <v>30970</v>
      </c>
      <c r="AT4538" s="1">
        <v>6190</v>
      </c>
      <c r="AU4538" s="1">
        <v>24780</v>
      </c>
      <c r="AV4538">
        <v>80.010000000000005</v>
      </c>
      <c r="AX4538" s="1">
        <v>4191.3599999999997</v>
      </c>
      <c r="AY4538" t="s">
        <v>3020</v>
      </c>
      <c r="AZ4538" t="s">
        <v>3020</v>
      </c>
      <c r="BA4538" t="s">
        <v>7186</v>
      </c>
      <c r="BE4538" s="3">
        <v>41705</v>
      </c>
      <c r="BF4538" s="1">
        <v>387000</v>
      </c>
      <c r="BG4538" t="s">
        <v>28522</v>
      </c>
      <c r="BH4538" s="1">
        <v>125.24</v>
      </c>
      <c r="BI4538" s="1">
        <v>399771</v>
      </c>
      <c r="BJ4538" s="3">
        <v>41705</v>
      </c>
      <c r="BK4538" t="s">
        <v>123</v>
      </c>
      <c r="BL4538" t="str">
        <f>"2014.148268"</f>
        <v>2014.148268</v>
      </c>
      <c r="BM4538" t="s">
        <v>1306</v>
      </c>
      <c r="BO4538" t="s">
        <v>28523</v>
      </c>
      <c r="BS4538">
        <v>30</v>
      </c>
      <c r="BW4538" t="str">
        <f>""</f>
        <v/>
      </c>
      <c r="CH4538" t="str">
        <f>""</f>
        <v/>
      </c>
      <c r="CS4538" t="str">
        <f>""</f>
        <v/>
      </c>
    </row>
    <row r="4539" spans="1:97" x14ac:dyDescent="0.25">
      <c r="A4539" t="s">
        <v>28524</v>
      </c>
      <c r="B4539" t="s">
        <v>28525</v>
      </c>
      <c r="C4539" t="s">
        <v>28526</v>
      </c>
      <c r="D4539" t="s">
        <v>28525</v>
      </c>
      <c r="E4539" t="s">
        <v>28527</v>
      </c>
      <c r="F4539" t="s">
        <v>108</v>
      </c>
      <c r="H4539" t="s">
        <v>28528</v>
      </c>
      <c r="I4539" t="s">
        <v>110</v>
      </c>
      <c r="J4539" t="s">
        <v>111</v>
      </c>
      <c r="K4539" t="str">
        <f>"85249"</f>
        <v>85249</v>
      </c>
      <c r="L4539" t="s">
        <v>5990</v>
      </c>
      <c r="M4539" t="s">
        <v>28528</v>
      </c>
      <c r="N4539" t="s">
        <v>110</v>
      </c>
      <c r="O4539" t="s">
        <v>111</v>
      </c>
      <c r="P4539" t="str">
        <f>"85249-3621"</f>
        <v>85249-3621</v>
      </c>
      <c r="R4539" t="str">
        <f>"303-53-734"</f>
        <v>303-53-734</v>
      </c>
      <c r="S4539" t="s">
        <v>20182</v>
      </c>
      <c r="T4539" t="s">
        <v>20183</v>
      </c>
      <c r="U4539">
        <v>3272</v>
      </c>
      <c r="V4539">
        <v>0</v>
      </c>
      <c r="W4539">
        <v>5</v>
      </c>
      <c r="X4539">
        <v>2002</v>
      </c>
      <c r="Z4539">
        <v>2</v>
      </c>
      <c r="AB4539">
        <v>0</v>
      </c>
      <c r="AC4539" t="s">
        <v>115</v>
      </c>
      <c r="AD4539">
        <v>3</v>
      </c>
      <c r="AE4539" t="s">
        <v>115</v>
      </c>
      <c r="AF4539">
        <v>0</v>
      </c>
      <c r="AG4539">
        <v>0</v>
      </c>
      <c r="AH4539" t="s">
        <v>116</v>
      </c>
      <c r="AI4539" s="1">
        <v>143964</v>
      </c>
      <c r="AJ4539" s="2">
        <v>0.32</v>
      </c>
      <c r="AK4539" s="1">
        <v>452464</v>
      </c>
      <c r="AL4539" t="s">
        <v>117</v>
      </c>
      <c r="AM4539" t="s">
        <v>118</v>
      </c>
      <c r="AN4539">
        <v>9194</v>
      </c>
      <c r="AO4539">
        <v>0.21</v>
      </c>
      <c r="AP4539">
        <v>1</v>
      </c>
      <c r="AR4539">
        <v>1</v>
      </c>
      <c r="AS4539" s="1">
        <v>31800</v>
      </c>
      <c r="AT4539" s="1">
        <v>6360</v>
      </c>
      <c r="AU4539" s="1">
        <v>25440</v>
      </c>
      <c r="AV4539">
        <v>80</v>
      </c>
      <c r="AX4539" s="1">
        <v>2805</v>
      </c>
      <c r="AY4539" t="s">
        <v>119</v>
      </c>
      <c r="AZ4539" t="s">
        <v>120</v>
      </c>
      <c r="BA4539" t="s">
        <v>121</v>
      </c>
      <c r="BE4539" s="3">
        <v>41918</v>
      </c>
      <c r="BF4539" s="1">
        <v>330000</v>
      </c>
      <c r="BG4539" t="s">
        <v>28529</v>
      </c>
      <c r="BH4539" s="1">
        <v>100.86</v>
      </c>
      <c r="BI4539" s="1">
        <v>308500</v>
      </c>
      <c r="BJ4539" s="3">
        <v>42681</v>
      </c>
      <c r="BK4539" t="s">
        <v>123</v>
      </c>
      <c r="BL4539" t="str">
        <f>"2016.820457"</f>
        <v>2016.820457</v>
      </c>
      <c r="BM4539" t="s">
        <v>724</v>
      </c>
      <c r="BN4539" t="s">
        <v>5423</v>
      </c>
      <c r="BO4539" t="s">
        <v>28530</v>
      </c>
      <c r="BS4539">
        <v>30</v>
      </c>
      <c r="BW4539" t="str">
        <f>""</f>
        <v/>
      </c>
      <c r="CH4539" t="str">
        <f>""</f>
        <v/>
      </c>
      <c r="CS4539" t="str">
        <f>""</f>
        <v/>
      </c>
    </row>
    <row r="4540" spans="1:97" x14ac:dyDescent="0.25">
      <c r="A4540" t="s">
        <v>3089</v>
      </c>
      <c r="B4540" t="s">
        <v>13710</v>
      </c>
      <c r="C4540" t="s">
        <v>28531</v>
      </c>
      <c r="D4540" t="s">
        <v>13710</v>
      </c>
      <c r="E4540" t="s">
        <v>28532</v>
      </c>
      <c r="F4540" t="s">
        <v>282</v>
      </c>
      <c r="H4540" t="s">
        <v>28533</v>
      </c>
      <c r="I4540" t="s">
        <v>203</v>
      </c>
      <c r="J4540" t="s">
        <v>111</v>
      </c>
      <c r="K4540" t="str">
        <f>"85298"</f>
        <v>85298</v>
      </c>
      <c r="L4540" t="s">
        <v>5872</v>
      </c>
      <c r="M4540" t="s">
        <v>28534</v>
      </c>
      <c r="N4540" t="s">
        <v>203</v>
      </c>
      <c r="O4540" t="s">
        <v>111</v>
      </c>
      <c r="P4540" t="str">
        <f>"85298-9147"</f>
        <v>85298-9147</v>
      </c>
      <c r="Q4540" t="s">
        <v>113</v>
      </c>
      <c r="R4540" t="str">
        <f>"313-04-788"</f>
        <v>313-04-788</v>
      </c>
      <c r="S4540" t="s">
        <v>28535</v>
      </c>
      <c r="T4540" t="s">
        <v>28536</v>
      </c>
      <c r="U4540">
        <v>3379</v>
      </c>
      <c r="V4540">
        <v>0</v>
      </c>
      <c r="W4540">
        <v>4</v>
      </c>
      <c r="X4540">
        <v>2005</v>
      </c>
      <c r="Z4540">
        <v>2</v>
      </c>
      <c r="AA4540" t="s">
        <v>26</v>
      </c>
      <c r="AB4540">
        <v>0</v>
      </c>
      <c r="AC4540" t="s">
        <v>115</v>
      </c>
      <c r="AD4540">
        <v>3</v>
      </c>
      <c r="AE4540" t="s">
        <v>115</v>
      </c>
      <c r="AF4540">
        <v>0</v>
      </c>
      <c r="AG4540">
        <v>0</v>
      </c>
      <c r="AH4540" t="s">
        <v>116</v>
      </c>
      <c r="AI4540" s="1">
        <v>72714</v>
      </c>
      <c r="AJ4540" s="2">
        <v>0.15</v>
      </c>
      <c r="AK4540" s="1">
        <v>497909</v>
      </c>
      <c r="AL4540" t="s">
        <v>117</v>
      </c>
      <c r="AM4540" t="s">
        <v>171</v>
      </c>
      <c r="AN4540">
        <v>11398</v>
      </c>
      <c r="AO4540">
        <v>0.26</v>
      </c>
      <c r="AR4540">
        <v>1</v>
      </c>
      <c r="AS4540" s="1">
        <v>36680</v>
      </c>
      <c r="AT4540" s="1">
        <v>7330</v>
      </c>
      <c r="AU4540" s="1">
        <v>29350</v>
      </c>
      <c r="AV4540">
        <v>80.02</v>
      </c>
      <c r="AX4540" s="1">
        <v>3179.84</v>
      </c>
      <c r="AY4540" t="s">
        <v>5875</v>
      </c>
      <c r="AZ4540" t="s">
        <v>1134</v>
      </c>
      <c r="BA4540" t="s">
        <v>1134</v>
      </c>
      <c r="BE4540" s="3">
        <v>42487</v>
      </c>
      <c r="BF4540" s="1">
        <v>406500</v>
      </c>
      <c r="BG4540" t="s">
        <v>28537</v>
      </c>
      <c r="BH4540" s="1">
        <v>120.3</v>
      </c>
      <c r="BI4540" s="1">
        <v>425195</v>
      </c>
      <c r="BJ4540" s="3">
        <v>43088</v>
      </c>
      <c r="BK4540" t="s">
        <v>123</v>
      </c>
      <c r="BL4540" t="str">
        <f>"2017.936573"</f>
        <v>2017.936573</v>
      </c>
      <c r="BM4540" t="s">
        <v>15109</v>
      </c>
      <c r="BO4540" t="s">
        <v>28538</v>
      </c>
      <c r="BS4540">
        <v>30</v>
      </c>
      <c r="BW4540" t="str">
        <f>""</f>
        <v/>
      </c>
      <c r="CH4540" t="str">
        <f>""</f>
        <v/>
      </c>
      <c r="CS4540" t="str">
        <f>""</f>
        <v/>
      </c>
    </row>
    <row r="4541" spans="1:97" x14ac:dyDescent="0.25">
      <c r="A4541" t="s">
        <v>886</v>
      </c>
      <c r="B4541" t="s">
        <v>28539</v>
      </c>
      <c r="C4541" t="s">
        <v>28540</v>
      </c>
      <c r="D4541" t="s">
        <v>28541</v>
      </c>
      <c r="E4541" t="s">
        <v>28542</v>
      </c>
      <c r="F4541" t="s">
        <v>108</v>
      </c>
      <c r="H4541" t="s">
        <v>28543</v>
      </c>
      <c r="I4541" t="s">
        <v>453</v>
      </c>
      <c r="J4541" t="s">
        <v>111</v>
      </c>
      <c r="K4541" t="str">
        <f>"85383"</f>
        <v>85383</v>
      </c>
      <c r="L4541" t="s">
        <v>7243</v>
      </c>
      <c r="M4541" t="s">
        <v>28543</v>
      </c>
      <c r="N4541" t="s">
        <v>453</v>
      </c>
      <c r="O4541" t="s">
        <v>111</v>
      </c>
      <c r="P4541" t="str">
        <f>"85383-3665"</f>
        <v>85383-3665</v>
      </c>
      <c r="Q4541" t="s">
        <v>113</v>
      </c>
      <c r="R4541" t="str">
        <f>"201-06-875"</f>
        <v>201-06-875</v>
      </c>
      <c r="S4541" t="s">
        <v>28544</v>
      </c>
      <c r="U4541">
        <v>2389</v>
      </c>
      <c r="V4541">
        <v>0</v>
      </c>
      <c r="W4541">
        <v>3</v>
      </c>
      <c r="X4541">
        <v>2003</v>
      </c>
      <c r="Z4541">
        <v>1</v>
      </c>
      <c r="AB4541">
        <v>0</v>
      </c>
      <c r="AC4541" t="s">
        <v>115</v>
      </c>
      <c r="AD4541">
        <v>2</v>
      </c>
      <c r="AE4541" t="s">
        <v>115</v>
      </c>
      <c r="AF4541">
        <v>0</v>
      </c>
      <c r="AG4541">
        <v>0</v>
      </c>
      <c r="AH4541" t="s">
        <v>116</v>
      </c>
      <c r="AI4541" s="1">
        <v>103585</v>
      </c>
      <c r="AJ4541" s="2">
        <v>0.28999999999999998</v>
      </c>
      <c r="AK4541" s="1">
        <v>352255</v>
      </c>
      <c r="AL4541" t="s">
        <v>117</v>
      </c>
      <c r="AM4541" t="s">
        <v>118</v>
      </c>
      <c r="AN4541">
        <v>7794</v>
      </c>
      <c r="AO4541">
        <v>0.18</v>
      </c>
      <c r="AP4541">
        <v>1</v>
      </c>
      <c r="AR4541">
        <v>1</v>
      </c>
      <c r="AS4541" s="1">
        <v>25060</v>
      </c>
      <c r="AT4541" s="1">
        <v>5010</v>
      </c>
      <c r="AU4541" s="1">
        <v>20050</v>
      </c>
      <c r="AV4541">
        <v>80.010000000000005</v>
      </c>
      <c r="AX4541" s="1">
        <v>2280.92</v>
      </c>
      <c r="AY4541" t="s">
        <v>8323</v>
      </c>
      <c r="AZ4541" t="s">
        <v>8323</v>
      </c>
      <c r="BA4541" t="s">
        <v>1386</v>
      </c>
      <c r="BB4541" s="3">
        <v>42508</v>
      </c>
      <c r="BD4541" t="s">
        <v>1830</v>
      </c>
      <c r="BE4541" s="3">
        <v>42508</v>
      </c>
      <c r="BF4541" s="1">
        <v>307000</v>
      </c>
      <c r="BG4541" t="s">
        <v>28545</v>
      </c>
      <c r="BH4541" s="1">
        <v>128.51</v>
      </c>
      <c r="BI4541" s="1">
        <v>248670</v>
      </c>
      <c r="BJ4541" s="3">
        <v>42508</v>
      </c>
      <c r="BK4541" t="s">
        <v>123</v>
      </c>
      <c r="BL4541" t="str">
        <f>"2016.340990"</f>
        <v>2016.340990</v>
      </c>
      <c r="BM4541" t="s">
        <v>544</v>
      </c>
      <c r="BO4541" t="s">
        <v>28546</v>
      </c>
      <c r="BS4541">
        <v>30</v>
      </c>
      <c r="BW4541" t="str">
        <f>""</f>
        <v/>
      </c>
      <c r="CH4541" t="str">
        <f>""</f>
        <v/>
      </c>
      <c r="CS4541" t="str">
        <f>""</f>
        <v/>
      </c>
    </row>
    <row r="4542" spans="1:97" x14ac:dyDescent="0.25">
      <c r="B4542" t="s">
        <v>28547</v>
      </c>
      <c r="E4542" t="s">
        <v>28547</v>
      </c>
      <c r="F4542" t="s">
        <v>108</v>
      </c>
      <c r="H4542" t="s">
        <v>28548</v>
      </c>
      <c r="I4542" t="s">
        <v>188</v>
      </c>
      <c r="J4542" t="s">
        <v>111</v>
      </c>
      <c r="K4542" t="str">
        <f>"85142"</f>
        <v>85142</v>
      </c>
      <c r="L4542" t="s">
        <v>5893</v>
      </c>
      <c r="M4542" t="s">
        <v>28548</v>
      </c>
      <c r="N4542" t="s">
        <v>188</v>
      </c>
      <c r="O4542" t="s">
        <v>111</v>
      </c>
      <c r="P4542" t="str">
        <f>"85142-4897"</f>
        <v>85142-4897</v>
      </c>
      <c r="Q4542" t="s">
        <v>113</v>
      </c>
      <c r="R4542" t="str">
        <f>"314-06-661"</f>
        <v>314-06-661</v>
      </c>
      <c r="S4542" t="s">
        <v>28549</v>
      </c>
      <c r="U4542">
        <v>2985</v>
      </c>
      <c r="V4542">
        <v>0</v>
      </c>
      <c r="W4542">
        <v>4</v>
      </c>
      <c r="X4542">
        <v>2006</v>
      </c>
      <c r="Z4542">
        <v>1</v>
      </c>
      <c r="AB4542">
        <v>0</v>
      </c>
      <c r="AC4542" t="s">
        <v>115</v>
      </c>
      <c r="AD4542">
        <v>2</v>
      </c>
      <c r="AE4542" t="s">
        <v>115</v>
      </c>
      <c r="AF4542">
        <v>0</v>
      </c>
      <c r="AG4542">
        <v>0</v>
      </c>
      <c r="AH4542" t="s">
        <v>116</v>
      </c>
      <c r="AI4542" s="1">
        <v>108167</v>
      </c>
      <c r="AJ4542" s="2">
        <v>0.28999999999999998</v>
      </c>
      <c r="AK4542" s="1">
        <v>374760</v>
      </c>
      <c r="AL4542" t="s">
        <v>117</v>
      </c>
      <c r="AM4542" t="s">
        <v>393</v>
      </c>
      <c r="AN4542">
        <v>9601</v>
      </c>
      <c r="AO4542">
        <v>0.22</v>
      </c>
      <c r="AR4542">
        <v>1</v>
      </c>
      <c r="AS4542" s="1">
        <v>25260</v>
      </c>
      <c r="AT4542" s="1">
        <v>5050</v>
      </c>
      <c r="AU4542" s="1">
        <v>20210</v>
      </c>
      <c r="AV4542">
        <v>80.010000000000005</v>
      </c>
      <c r="AX4542" s="1">
        <v>2641.58</v>
      </c>
      <c r="AY4542" t="s">
        <v>5895</v>
      </c>
      <c r="AZ4542" t="s">
        <v>561</v>
      </c>
      <c r="BA4542" t="s">
        <v>194</v>
      </c>
      <c r="BB4542" s="3">
        <v>42401</v>
      </c>
      <c r="BD4542" t="s">
        <v>240</v>
      </c>
      <c r="BE4542" s="3">
        <v>42221</v>
      </c>
      <c r="BF4542" s="1">
        <v>265000</v>
      </c>
      <c r="BG4542" t="s">
        <v>28550</v>
      </c>
      <c r="BH4542" s="1">
        <v>88.78</v>
      </c>
      <c r="BI4542" s="1">
        <v>266593</v>
      </c>
      <c r="BJ4542" s="3">
        <v>42604</v>
      </c>
      <c r="BK4542" t="s">
        <v>123</v>
      </c>
      <c r="BL4542" t="str">
        <f>"2016.598270"</f>
        <v>2016.598270</v>
      </c>
      <c r="BM4542" t="s">
        <v>322</v>
      </c>
      <c r="BO4542" t="s">
        <v>28551</v>
      </c>
      <c r="BS4542">
        <v>28</v>
      </c>
      <c r="BW4542" t="str">
        <f>""</f>
        <v/>
      </c>
      <c r="CH4542" t="str">
        <f>""</f>
        <v/>
      </c>
      <c r="CS4542" t="str">
        <f>""</f>
        <v/>
      </c>
    </row>
    <row r="4543" spans="1:97" x14ac:dyDescent="0.25">
      <c r="A4543" t="s">
        <v>815</v>
      </c>
      <c r="B4543" t="s">
        <v>6907</v>
      </c>
      <c r="C4543" t="s">
        <v>28552</v>
      </c>
      <c r="D4543" t="s">
        <v>6907</v>
      </c>
      <c r="E4543" t="s">
        <v>28553</v>
      </c>
      <c r="F4543" t="s">
        <v>108</v>
      </c>
      <c r="H4543" t="s">
        <v>28554</v>
      </c>
      <c r="I4543" t="s">
        <v>225</v>
      </c>
      <c r="J4543" t="s">
        <v>111</v>
      </c>
      <c r="K4543" t="str">
        <f>"85209"</f>
        <v>85209</v>
      </c>
      <c r="L4543" t="s">
        <v>6316</v>
      </c>
      <c r="M4543" t="s">
        <v>28554</v>
      </c>
      <c r="N4543" t="s">
        <v>225</v>
      </c>
      <c r="O4543" t="s">
        <v>111</v>
      </c>
      <c r="P4543" t="str">
        <f>"85209-2590"</f>
        <v>85209-2590</v>
      </c>
      <c r="Q4543" t="s">
        <v>113</v>
      </c>
      <c r="R4543" t="str">
        <f>"312-04-463"</f>
        <v>312-04-463</v>
      </c>
      <c r="S4543" t="s">
        <v>28555</v>
      </c>
      <c r="U4543">
        <v>2702</v>
      </c>
      <c r="V4543">
        <v>0</v>
      </c>
      <c r="W4543">
        <v>3</v>
      </c>
      <c r="X4543">
        <v>2001</v>
      </c>
      <c r="Z4543">
        <v>1</v>
      </c>
      <c r="AA4543" t="s">
        <v>26</v>
      </c>
      <c r="AB4543">
        <v>0</v>
      </c>
      <c r="AC4543" t="s">
        <v>115</v>
      </c>
      <c r="AD4543">
        <v>3</v>
      </c>
      <c r="AE4543" t="s">
        <v>115</v>
      </c>
      <c r="AF4543">
        <v>0</v>
      </c>
      <c r="AG4543">
        <v>0</v>
      </c>
      <c r="AH4543" t="s">
        <v>116</v>
      </c>
      <c r="AI4543" s="1">
        <v>24851</v>
      </c>
      <c r="AJ4543" s="2">
        <v>0.06</v>
      </c>
      <c r="AK4543" s="1">
        <v>424214</v>
      </c>
      <c r="AL4543" t="s">
        <v>117</v>
      </c>
      <c r="AM4543" t="s">
        <v>917</v>
      </c>
      <c r="AN4543">
        <v>9656</v>
      </c>
      <c r="AO4543">
        <v>0.22</v>
      </c>
      <c r="AP4543">
        <v>1</v>
      </c>
      <c r="AR4543">
        <v>1</v>
      </c>
      <c r="AS4543" s="1">
        <v>30060</v>
      </c>
      <c r="AT4543" s="1">
        <v>6010</v>
      </c>
      <c r="AU4543" s="1">
        <v>24050</v>
      </c>
      <c r="AV4543">
        <v>80.010000000000005</v>
      </c>
      <c r="AX4543" s="1">
        <v>2370.6</v>
      </c>
      <c r="AY4543" t="s">
        <v>4370</v>
      </c>
      <c r="AZ4543" t="s">
        <v>777</v>
      </c>
      <c r="BA4543" t="s">
        <v>572</v>
      </c>
      <c r="BE4543" s="3">
        <v>42180</v>
      </c>
      <c r="BF4543" s="1">
        <v>338000</v>
      </c>
      <c r="BG4543" t="s">
        <v>28556</v>
      </c>
      <c r="BH4543" s="1">
        <v>125.09</v>
      </c>
      <c r="BI4543" s="1">
        <v>354363</v>
      </c>
      <c r="BJ4543" s="3">
        <v>42503</v>
      </c>
      <c r="BK4543" t="s">
        <v>123</v>
      </c>
      <c r="BL4543" t="str">
        <f>"2016.328737"</f>
        <v>2016.328737</v>
      </c>
      <c r="BM4543" t="s">
        <v>673</v>
      </c>
      <c r="BN4543" t="s">
        <v>674</v>
      </c>
      <c r="BO4543" t="s">
        <v>28557</v>
      </c>
      <c r="BS4543">
        <v>30</v>
      </c>
      <c r="BT4543" s="1">
        <v>45000</v>
      </c>
      <c r="BU4543" s="3">
        <v>43438</v>
      </c>
      <c r="BV4543" t="s">
        <v>134</v>
      </c>
      <c r="BW4543" t="str">
        <f>"2018.890285"</f>
        <v>2018.890285</v>
      </c>
      <c r="BX4543" t="s">
        <v>135</v>
      </c>
      <c r="BY4543" t="s">
        <v>136</v>
      </c>
      <c r="BZ4543" t="s">
        <v>28558</v>
      </c>
      <c r="CA4543" t="s">
        <v>28559</v>
      </c>
      <c r="CC4543" t="s">
        <v>139</v>
      </c>
      <c r="CH4543" t="str">
        <f>""</f>
        <v/>
      </c>
      <c r="CS4543" t="str">
        <f>""</f>
        <v/>
      </c>
    </row>
    <row r="4544" spans="1:97" x14ac:dyDescent="0.25">
      <c r="A4544" t="s">
        <v>28560</v>
      </c>
      <c r="B4544" t="s">
        <v>14554</v>
      </c>
      <c r="E4544" t="s">
        <v>28561</v>
      </c>
      <c r="F4544" t="s">
        <v>108</v>
      </c>
      <c r="H4544" t="s">
        <v>28562</v>
      </c>
      <c r="I4544" t="s">
        <v>1936</v>
      </c>
      <c r="J4544" t="s">
        <v>111</v>
      </c>
      <c r="K4544" t="str">
        <f>"85254"</f>
        <v>85254</v>
      </c>
      <c r="L4544" t="s">
        <v>6891</v>
      </c>
      <c r="M4544" t="s">
        <v>28562</v>
      </c>
      <c r="N4544" t="s">
        <v>1936</v>
      </c>
      <c r="O4544" t="s">
        <v>111</v>
      </c>
      <c r="P4544" t="str">
        <f>"85254-7563"</f>
        <v>85254-7563</v>
      </c>
      <c r="Q4544" t="s">
        <v>113</v>
      </c>
      <c r="R4544" t="str">
        <f>"215-11-872"</f>
        <v>215-11-872</v>
      </c>
      <c r="S4544" t="s">
        <v>16791</v>
      </c>
      <c r="T4544" t="s">
        <v>16791</v>
      </c>
      <c r="U4544">
        <v>2426</v>
      </c>
      <c r="V4544">
        <v>0</v>
      </c>
      <c r="W4544">
        <v>3</v>
      </c>
      <c r="X4544">
        <v>1996</v>
      </c>
      <c r="Z4544">
        <v>1</v>
      </c>
      <c r="AA4544" t="s">
        <v>26</v>
      </c>
      <c r="AB4544">
        <v>0</v>
      </c>
      <c r="AC4544" t="s">
        <v>115</v>
      </c>
      <c r="AD4544">
        <v>3</v>
      </c>
      <c r="AE4544" t="s">
        <v>115</v>
      </c>
      <c r="AF4544">
        <v>0</v>
      </c>
      <c r="AG4544">
        <v>0</v>
      </c>
      <c r="AH4544" t="s">
        <v>116</v>
      </c>
      <c r="AI4544" s="1">
        <v>139130</v>
      </c>
      <c r="AJ4544" s="2">
        <v>0.24</v>
      </c>
      <c r="AK4544" s="1">
        <v>568130</v>
      </c>
      <c r="AL4544" t="s">
        <v>117</v>
      </c>
      <c r="AM4544" t="s">
        <v>1302</v>
      </c>
      <c r="AN4544">
        <v>7697</v>
      </c>
      <c r="AO4544">
        <v>0.18</v>
      </c>
      <c r="AP4544">
        <v>1</v>
      </c>
      <c r="AR4544">
        <v>1</v>
      </c>
      <c r="AS4544" s="1">
        <v>40970</v>
      </c>
      <c r="AT4544" s="1">
        <v>8190</v>
      </c>
      <c r="AU4544" s="1">
        <v>32780</v>
      </c>
      <c r="AV4544">
        <v>80.010000000000005</v>
      </c>
      <c r="AX4544" s="1">
        <v>4555.0600000000004</v>
      </c>
      <c r="AY4544" t="s">
        <v>16792</v>
      </c>
      <c r="AZ4544" t="s">
        <v>1317</v>
      </c>
      <c r="BA4544" t="s">
        <v>6302</v>
      </c>
      <c r="BB4544" s="3">
        <v>43025</v>
      </c>
      <c r="BD4544" t="s">
        <v>157</v>
      </c>
      <c r="BE4544" s="3">
        <v>41740</v>
      </c>
      <c r="BF4544" s="1">
        <v>500000</v>
      </c>
      <c r="BG4544" t="s">
        <v>28563</v>
      </c>
      <c r="BH4544" s="1">
        <v>206.1</v>
      </c>
      <c r="BI4544" s="1">
        <v>429000</v>
      </c>
      <c r="BJ4544" s="3">
        <v>43025</v>
      </c>
      <c r="BK4544" t="s">
        <v>123</v>
      </c>
      <c r="BL4544" t="str">
        <f>"2017.769678"</f>
        <v>2017.769678</v>
      </c>
      <c r="BM4544" t="s">
        <v>22136</v>
      </c>
      <c r="BO4544" t="s">
        <v>28564</v>
      </c>
      <c r="BS4544">
        <v>30</v>
      </c>
      <c r="BW4544" t="str">
        <f>""</f>
        <v/>
      </c>
      <c r="CH4544" t="str">
        <f>""</f>
        <v/>
      </c>
      <c r="CS4544" t="str">
        <f>""</f>
        <v/>
      </c>
    </row>
    <row r="4545" spans="1:97" x14ac:dyDescent="0.25">
      <c r="A4545" t="s">
        <v>894</v>
      </c>
      <c r="B4545" t="s">
        <v>28565</v>
      </c>
      <c r="E4545" t="s">
        <v>28566</v>
      </c>
      <c r="F4545" t="s">
        <v>108</v>
      </c>
      <c r="H4545" t="s">
        <v>28567</v>
      </c>
      <c r="I4545" t="s">
        <v>225</v>
      </c>
      <c r="J4545" t="s">
        <v>111</v>
      </c>
      <c r="K4545" t="str">
        <f>"85206"</f>
        <v>85206</v>
      </c>
      <c r="L4545" t="s">
        <v>145</v>
      </c>
      <c r="M4545" t="s">
        <v>28567</v>
      </c>
      <c r="N4545" t="s">
        <v>225</v>
      </c>
      <c r="O4545" t="s">
        <v>111</v>
      </c>
      <c r="P4545" t="str">
        <f>"85206-5509"</f>
        <v>85206-5509</v>
      </c>
      <c r="Q4545" t="s">
        <v>113</v>
      </c>
      <c r="R4545" t="str">
        <f>"141-53-554"</f>
        <v>141-53-554</v>
      </c>
      <c r="S4545" t="s">
        <v>28568</v>
      </c>
      <c r="T4545" t="s">
        <v>28568</v>
      </c>
      <c r="U4545">
        <v>1899</v>
      </c>
      <c r="V4545">
        <v>0</v>
      </c>
      <c r="W4545">
        <v>3</v>
      </c>
      <c r="X4545">
        <v>2001</v>
      </c>
      <c r="Z4545">
        <v>2</v>
      </c>
      <c r="AB4545">
        <v>0</v>
      </c>
      <c r="AC4545" t="s">
        <v>115</v>
      </c>
      <c r="AD4545">
        <v>2</v>
      </c>
      <c r="AE4545" t="s">
        <v>115</v>
      </c>
      <c r="AF4545">
        <v>0</v>
      </c>
      <c r="AG4545">
        <v>0</v>
      </c>
      <c r="AH4545" t="s">
        <v>116</v>
      </c>
      <c r="AI4545" s="1">
        <v>59884</v>
      </c>
      <c r="AJ4545" s="2">
        <v>0.21</v>
      </c>
      <c r="AK4545" s="1">
        <v>283714</v>
      </c>
      <c r="AL4545" t="s">
        <v>117</v>
      </c>
      <c r="AM4545" t="s">
        <v>229</v>
      </c>
      <c r="AN4545">
        <v>3185</v>
      </c>
      <c r="AO4545">
        <v>0.73</v>
      </c>
      <c r="AP4545">
        <v>1</v>
      </c>
      <c r="AR4545">
        <v>1</v>
      </c>
      <c r="AS4545" s="1">
        <v>18650</v>
      </c>
      <c r="AT4545" s="1">
        <v>3730</v>
      </c>
      <c r="AU4545" s="1">
        <v>14920</v>
      </c>
      <c r="AV4545">
        <v>80</v>
      </c>
      <c r="AX4545" s="1">
        <v>1560.62</v>
      </c>
      <c r="AY4545" t="s">
        <v>5157</v>
      </c>
      <c r="AZ4545" t="s">
        <v>5158</v>
      </c>
      <c r="BA4545" t="s">
        <v>5159</v>
      </c>
      <c r="BE4545" s="3">
        <v>42215</v>
      </c>
      <c r="BF4545" s="1">
        <v>210000</v>
      </c>
      <c r="BG4545" t="s">
        <v>28569</v>
      </c>
      <c r="BH4545" s="1">
        <v>110.58</v>
      </c>
      <c r="BI4545" s="1">
        <v>223830</v>
      </c>
      <c r="BJ4545" s="3">
        <v>43297</v>
      </c>
      <c r="BK4545" t="s">
        <v>123</v>
      </c>
      <c r="BL4545" t="str">
        <f>"2018.535734"</f>
        <v>2018.535734</v>
      </c>
      <c r="BM4545" t="s">
        <v>5348</v>
      </c>
      <c r="BN4545" t="s">
        <v>24676</v>
      </c>
      <c r="BO4545" t="s">
        <v>28570</v>
      </c>
      <c r="BR4545" t="s">
        <v>139</v>
      </c>
      <c r="BW4545" t="str">
        <f>""</f>
        <v/>
      </c>
      <c r="CH4545" t="str">
        <f>""</f>
        <v/>
      </c>
      <c r="CS4545" t="str">
        <f>""</f>
        <v/>
      </c>
    </row>
    <row r="4546" spans="1:97" x14ac:dyDescent="0.25">
      <c r="A4546" t="s">
        <v>28571</v>
      </c>
      <c r="B4546" t="s">
        <v>1963</v>
      </c>
      <c r="C4546" t="s">
        <v>789</v>
      </c>
      <c r="D4546" t="s">
        <v>28572</v>
      </c>
      <c r="E4546" t="s">
        <v>28573</v>
      </c>
      <c r="F4546" t="s">
        <v>108</v>
      </c>
      <c r="H4546" t="s">
        <v>28574</v>
      </c>
      <c r="I4546" t="s">
        <v>453</v>
      </c>
      <c r="J4546" t="s">
        <v>111</v>
      </c>
      <c r="K4546" t="str">
        <f>"85381"</f>
        <v>85381</v>
      </c>
      <c r="L4546" t="s">
        <v>5464</v>
      </c>
      <c r="M4546" t="s">
        <v>28574</v>
      </c>
      <c r="N4546" t="s">
        <v>453</v>
      </c>
      <c r="O4546" t="s">
        <v>111</v>
      </c>
      <c r="P4546" t="str">
        <f>"85381-6004"</f>
        <v>85381-6004</v>
      </c>
      <c r="Q4546" t="s">
        <v>113</v>
      </c>
      <c r="R4546" t="str">
        <f>"200-98-632"</f>
        <v>200-98-632</v>
      </c>
      <c r="S4546" t="s">
        <v>28575</v>
      </c>
      <c r="T4546" t="s">
        <v>25878</v>
      </c>
      <c r="U4546">
        <v>3081</v>
      </c>
      <c r="V4546">
        <v>0</v>
      </c>
      <c r="W4546">
        <v>4</v>
      </c>
      <c r="X4546">
        <v>1996</v>
      </c>
      <c r="Z4546">
        <v>2</v>
      </c>
      <c r="AA4546" t="s">
        <v>26</v>
      </c>
      <c r="AB4546">
        <v>0</v>
      </c>
      <c r="AC4546" t="s">
        <v>115</v>
      </c>
      <c r="AD4546">
        <v>3</v>
      </c>
      <c r="AE4546" t="s">
        <v>115</v>
      </c>
      <c r="AF4546">
        <v>0</v>
      </c>
      <c r="AG4546">
        <v>0</v>
      </c>
      <c r="AH4546" t="s">
        <v>116</v>
      </c>
      <c r="AI4546" s="1">
        <v>41006</v>
      </c>
      <c r="AJ4546" s="2">
        <v>0.1</v>
      </c>
      <c r="AK4546" s="1">
        <v>408006</v>
      </c>
      <c r="AL4546" t="s">
        <v>117</v>
      </c>
      <c r="AM4546" t="s">
        <v>171</v>
      </c>
      <c r="AN4546">
        <v>9060</v>
      </c>
      <c r="AO4546">
        <v>0.21</v>
      </c>
      <c r="AP4546">
        <v>1</v>
      </c>
      <c r="AR4546">
        <v>1</v>
      </c>
      <c r="AS4546" s="1">
        <v>29510</v>
      </c>
      <c r="AT4546" s="1">
        <v>5900</v>
      </c>
      <c r="AU4546" s="1">
        <v>23610</v>
      </c>
      <c r="AV4546">
        <v>80.010000000000005</v>
      </c>
      <c r="AX4546" s="1">
        <v>2697.38</v>
      </c>
      <c r="AY4546" t="s">
        <v>3359</v>
      </c>
      <c r="AZ4546" t="s">
        <v>3359</v>
      </c>
      <c r="BA4546" t="s">
        <v>3360</v>
      </c>
      <c r="BE4546" s="3">
        <v>42248</v>
      </c>
      <c r="BF4546" s="1">
        <v>300000</v>
      </c>
      <c r="BG4546" t="s">
        <v>28576</v>
      </c>
      <c r="BH4546" s="1">
        <v>97.85</v>
      </c>
      <c r="BI4546" s="1">
        <v>367000</v>
      </c>
      <c r="BJ4546" s="3">
        <v>43600</v>
      </c>
      <c r="BK4546" t="s">
        <v>123</v>
      </c>
      <c r="BL4546" t="str">
        <f>"2019.352530"</f>
        <v>2019.352530</v>
      </c>
      <c r="BM4546" t="s">
        <v>3562</v>
      </c>
      <c r="BN4546" t="s">
        <v>3686</v>
      </c>
      <c r="BO4546" t="s">
        <v>28577</v>
      </c>
      <c r="BP4546" t="s">
        <v>28578</v>
      </c>
      <c r="BR4546" t="s">
        <v>139</v>
      </c>
      <c r="BW4546" t="str">
        <f>""</f>
        <v/>
      </c>
      <c r="CH4546" t="str">
        <f>""</f>
        <v/>
      </c>
      <c r="CS4546" t="str">
        <f>""</f>
        <v/>
      </c>
    </row>
    <row r="4547" spans="1:97" x14ac:dyDescent="0.25">
      <c r="A4547" t="s">
        <v>620</v>
      </c>
      <c r="B4547" t="s">
        <v>2522</v>
      </c>
      <c r="E4547" t="s">
        <v>28579</v>
      </c>
      <c r="F4547" t="s">
        <v>108</v>
      </c>
      <c r="H4547" t="s">
        <v>28580</v>
      </c>
      <c r="I4547" t="s">
        <v>225</v>
      </c>
      <c r="J4547" t="s">
        <v>111</v>
      </c>
      <c r="K4547" t="str">
        <f>"85212"</f>
        <v>85212</v>
      </c>
      <c r="L4547" t="s">
        <v>6595</v>
      </c>
      <c r="M4547" t="s">
        <v>28580</v>
      </c>
      <c r="N4547" t="s">
        <v>225</v>
      </c>
      <c r="O4547" t="s">
        <v>111</v>
      </c>
      <c r="P4547" t="str">
        <f>"85212-3237"</f>
        <v>85212-3237</v>
      </c>
      <c r="Q4547" t="s">
        <v>113</v>
      </c>
      <c r="R4547" t="str">
        <f>"304-89-150"</f>
        <v>304-89-150</v>
      </c>
      <c r="S4547" t="s">
        <v>8842</v>
      </c>
      <c r="T4547" t="s">
        <v>8842</v>
      </c>
      <c r="U4547">
        <v>2998</v>
      </c>
      <c r="V4547">
        <v>0</v>
      </c>
      <c r="W4547">
        <v>3</v>
      </c>
      <c r="X4547">
        <v>2015</v>
      </c>
      <c r="Z4547">
        <v>1</v>
      </c>
      <c r="AB4547">
        <v>0</v>
      </c>
      <c r="AC4547" t="s">
        <v>115</v>
      </c>
      <c r="AD4547">
        <v>2</v>
      </c>
      <c r="AE4547" t="s">
        <v>115</v>
      </c>
      <c r="AF4547">
        <v>0</v>
      </c>
      <c r="AG4547">
        <v>0</v>
      </c>
      <c r="AH4547" t="s">
        <v>116</v>
      </c>
      <c r="AI4547" s="1">
        <v>150284</v>
      </c>
      <c r="AJ4547" s="2">
        <v>0.35</v>
      </c>
      <c r="AK4547" s="1">
        <v>427176</v>
      </c>
      <c r="AL4547" t="s">
        <v>117</v>
      </c>
      <c r="AM4547" t="s">
        <v>191</v>
      </c>
      <c r="AN4547">
        <v>10327</v>
      </c>
      <c r="AO4547">
        <v>0.24</v>
      </c>
      <c r="AR4547">
        <v>1</v>
      </c>
      <c r="AS4547" s="1">
        <v>30370</v>
      </c>
      <c r="AT4547" s="1">
        <v>6070</v>
      </c>
      <c r="AU4547" s="1">
        <v>24300</v>
      </c>
      <c r="AV4547">
        <v>80.010000000000005</v>
      </c>
      <c r="AX4547" s="1">
        <v>2403.2199999999998</v>
      </c>
      <c r="AY4547" t="s">
        <v>560</v>
      </c>
      <c r="AZ4547" t="s">
        <v>561</v>
      </c>
      <c r="BA4547" t="s">
        <v>194</v>
      </c>
      <c r="BE4547" s="3">
        <v>42502</v>
      </c>
      <c r="BF4547" s="1">
        <v>353228</v>
      </c>
      <c r="BG4547" t="s">
        <v>8843</v>
      </c>
      <c r="BH4547" s="1">
        <v>117.82</v>
      </c>
      <c r="BI4547" s="1">
        <v>276892</v>
      </c>
      <c r="BJ4547" s="3">
        <v>42711</v>
      </c>
      <c r="BK4547" t="s">
        <v>123</v>
      </c>
      <c r="BL4547" t="str">
        <f>"2016.900466"</f>
        <v>2016.900466</v>
      </c>
      <c r="BM4547" t="s">
        <v>402</v>
      </c>
      <c r="BO4547" t="s">
        <v>28581</v>
      </c>
      <c r="BS4547">
        <v>30</v>
      </c>
      <c r="BW4547" t="str">
        <f>""</f>
        <v/>
      </c>
      <c r="CH4547" t="str">
        <f>""</f>
        <v/>
      </c>
      <c r="CS4547" t="str">
        <f>""</f>
        <v/>
      </c>
    </row>
    <row r="4548" spans="1:97" x14ac:dyDescent="0.25">
      <c r="A4548" t="s">
        <v>2463</v>
      </c>
      <c r="B4548" t="s">
        <v>3719</v>
      </c>
      <c r="E4548" t="s">
        <v>28582</v>
      </c>
      <c r="F4548" t="s">
        <v>108</v>
      </c>
      <c r="H4548" t="s">
        <v>28583</v>
      </c>
      <c r="I4548" t="s">
        <v>203</v>
      </c>
      <c r="J4548" t="s">
        <v>111</v>
      </c>
      <c r="K4548" t="str">
        <f>"85234"</f>
        <v>85234</v>
      </c>
      <c r="L4548" t="s">
        <v>9069</v>
      </c>
      <c r="M4548" t="s">
        <v>28583</v>
      </c>
      <c r="N4548" t="s">
        <v>203</v>
      </c>
      <c r="O4548" t="s">
        <v>111</v>
      </c>
      <c r="P4548" t="str">
        <f>"85234-3689"</f>
        <v>85234-3689</v>
      </c>
      <c r="Q4548" t="s">
        <v>113</v>
      </c>
      <c r="R4548" t="str">
        <f>"309-03-856"</f>
        <v>309-03-856</v>
      </c>
      <c r="S4548" t="s">
        <v>9070</v>
      </c>
      <c r="U4548">
        <v>1600</v>
      </c>
      <c r="V4548">
        <v>0</v>
      </c>
      <c r="W4548">
        <v>3</v>
      </c>
      <c r="X4548">
        <v>1993</v>
      </c>
      <c r="Z4548">
        <v>1</v>
      </c>
      <c r="AB4548">
        <v>0</v>
      </c>
      <c r="AC4548" t="s">
        <v>115</v>
      </c>
      <c r="AD4548">
        <v>2</v>
      </c>
      <c r="AE4548" t="s">
        <v>115</v>
      </c>
      <c r="AF4548">
        <v>0</v>
      </c>
      <c r="AG4548">
        <v>0</v>
      </c>
      <c r="AH4548" t="s">
        <v>116</v>
      </c>
      <c r="AI4548" s="1">
        <v>94486</v>
      </c>
      <c r="AJ4548" s="2">
        <v>0.32</v>
      </c>
      <c r="AK4548" s="1">
        <v>295636</v>
      </c>
      <c r="AL4548" t="s">
        <v>117</v>
      </c>
      <c r="AM4548" t="s">
        <v>393</v>
      </c>
      <c r="AN4548">
        <v>6538</v>
      </c>
      <c r="AO4548">
        <v>0.15</v>
      </c>
      <c r="AP4548">
        <v>1</v>
      </c>
      <c r="AR4548">
        <v>1</v>
      </c>
      <c r="AS4548" s="1">
        <v>19960</v>
      </c>
      <c r="AT4548" s="1">
        <v>3990</v>
      </c>
      <c r="AU4548" s="1">
        <v>15970</v>
      </c>
      <c r="AV4548">
        <v>80.010000000000005</v>
      </c>
      <c r="AX4548" s="1">
        <v>1975.32</v>
      </c>
      <c r="AY4548" t="s">
        <v>272</v>
      </c>
      <c r="AZ4548" t="s">
        <v>5478</v>
      </c>
      <c r="BA4548" t="s">
        <v>5033</v>
      </c>
      <c r="BE4548" s="3">
        <v>42124</v>
      </c>
      <c r="BF4548" s="1">
        <v>200000</v>
      </c>
      <c r="BG4548" t="s">
        <v>28584</v>
      </c>
      <c r="BH4548" s="1">
        <v>125</v>
      </c>
      <c r="BI4548" s="1">
        <v>201150</v>
      </c>
      <c r="BJ4548" s="3">
        <v>42535</v>
      </c>
      <c r="BK4548" t="s">
        <v>123</v>
      </c>
      <c r="BL4548" t="str">
        <f>"2016.414138"</f>
        <v>2016.414138</v>
      </c>
      <c r="BM4548" t="s">
        <v>402</v>
      </c>
      <c r="BO4548" t="s">
        <v>28585</v>
      </c>
      <c r="BS4548">
        <v>30</v>
      </c>
      <c r="BW4548" t="str">
        <f>""</f>
        <v/>
      </c>
      <c r="CH4548" t="str">
        <f>""</f>
        <v/>
      </c>
      <c r="CS4548" t="str">
        <f>""</f>
        <v/>
      </c>
    </row>
    <row r="4549" spans="1:97" x14ac:dyDescent="0.25">
      <c r="A4549" t="s">
        <v>28586</v>
      </c>
      <c r="B4549" t="s">
        <v>28587</v>
      </c>
      <c r="C4549" t="s">
        <v>1187</v>
      </c>
      <c r="D4549" t="s">
        <v>28587</v>
      </c>
      <c r="E4549" t="s">
        <v>28588</v>
      </c>
      <c r="F4549" t="s">
        <v>108</v>
      </c>
      <c r="H4549" t="s">
        <v>28589</v>
      </c>
      <c r="I4549" t="s">
        <v>453</v>
      </c>
      <c r="J4549" t="s">
        <v>111</v>
      </c>
      <c r="K4549" t="str">
        <f>"85381"</f>
        <v>85381</v>
      </c>
      <c r="L4549" t="s">
        <v>926</v>
      </c>
      <c r="M4549" t="s">
        <v>28589</v>
      </c>
      <c r="N4549" t="s">
        <v>453</v>
      </c>
      <c r="O4549" t="s">
        <v>111</v>
      </c>
      <c r="P4549" t="str">
        <f>"85381-4706"</f>
        <v>85381-4706</v>
      </c>
      <c r="Q4549" t="s">
        <v>113</v>
      </c>
      <c r="R4549" t="str">
        <f>"200-69-040"</f>
        <v>200-69-040</v>
      </c>
      <c r="S4549" t="s">
        <v>28590</v>
      </c>
      <c r="T4549" t="s">
        <v>28590</v>
      </c>
      <c r="U4549">
        <v>2608</v>
      </c>
      <c r="V4549">
        <v>0</v>
      </c>
      <c r="W4549">
        <v>4</v>
      </c>
      <c r="X4549">
        <v>1979</v>
      </c>
      <c r="Z4549">
        <v>1</v>
      </c>
      <c r="AB4549">
        <v>0</v>
      </c>
      <c r="AC4549" t="s">
        <v>115</v>
      </c>
      <c r="AD4549">
        <v>2</v>
      </c>
      <c r="AE4549" t="s">
        <v>115</v>
      </c>
      <c r="AF4549">
        <v>0</v>
      </c>
      <c r="AG4549">
        <v>0</v>
      </c>
      <c r="AH4549" t="s">
        <v>116</v>
      </c>
      <c r="AI4549" s="1">
        <v>29768</v>
      </c>
      <c r="AJ4549" s="2">
        <v>0.06</v>
      </c>
      <c r="AK4549" s="1">
        <v>481168</v>
      </c>
      <c r="AL4549" t="s">
        <v>117</v>
      </c>
      <c r="AM4549" t="s">
        <v>3973</v>
      </c>
      <c r="AN4549">
        <v>43543</v>
      </c>
      <c r="AO4549">
        <v>1</v>
      </c>
      <c r="AP4549">
        <v>1</v>
      </c>
      <c r="AR4549">
        <v>1</v>
      </c>
      <c r="AS4549" s="1">
        <v>33230</v>
      </c>
      <c r="AT4549" s="1">
        <v>6640</v>
      </c>
      <c r="AU4549" s="1">
        <v>26590</v>
      </c>
      <c r="AV4549">
        <v>80.02</v>
      </c>
      <c r="AX4549" s="1">
        <v>3406.46</v>
      </c>
      <c r="AY4549" t="s">
        <v>8450</v>
      </c>
      <c r="AZ4549" t="s">
        <v>8450</v>
      </c>
      <c r="BA4549" t="s">
        <v>3360</v>
      </c>
      <c r="BE4549" s="3">
        <v>42551</v>
      </c>
      <c r="BF4549" s="1">
        <v>461000</v>
      </c>
      <c r="BG4549" t="s">
        <v>28591</v>
      </c>
      <c r="BH4549" s="1">
        <v>176.76</v>
      </c>
      <c r="BI4549" s="1">
        <v>451400</v>
      </c>
      <c r="BJ4549" s="3">
        <v>42670</v>
      </c>
      <c r="BK4549" t="s">
        <v>123</v>
      </c>
      <c r="BL4549" t="str">
        <f>"2016.788440"</f>
        <v>2016.788440</v>
      </c>
      <c r="BM4549" t="s">
        <v>248</v>
      </c>
      <c r="BO4549" t="s">
        <v>28592</v>
      </c>
      <c r="BS4549">
        <v>30</v>
      </c>
      <c r="BW4549" t="str">
        <f>""</f>
        <v/>
      </c>
      <c r="CH4549" t="str">
        <f>""</f>
        <v/>
      </c>
      <c r="CS4549" t="str">
        <f>""</f>
        <v/>
      </c>
    </row>
    <row r="4550" spans="1:97" x14ac:dyDescent="0.25">
      <c r="A4550" t="s">
        <v>140</v>
      </c>
      <c r="B4550" t="s">
        <v>4599</v>
      </c>
      <c r="C4550" t="s">
        <v>2435</v>
      </c>
      <c r="D4550" t="s">
        <v>4599</v>
      </c>
      <c r="E4550" t="s">
        <v>28593</v>
      </c>
      <c r="F4550" t="s">
        <v>108</v>
      </c>
      <c r="H4550" t="s">
        <v>28594</v>
      </c>
      <c r="I4550" t="s">
        <v>499</v>
      </c>
      <c r="J4550" t="s">
        <v>111</v>
      </c>
      <c r="K4550" t="str">
        <f>"85338"</f>
        <v>85338</v>
      </c>
      <c r="L4550" t="s">
        <v>5291</v>
      </c>
      <c r="M4550" t="s">
        <v>28594</v>
      </c>
      <c r="N4550" t="s">
        <v>499</v>
      </c>
      <c r="O4550" t="s">
        <v>111</v>
      </c>
      <c r="P4550" t="str">
        <f>"85338-7004"</f>
        <v>85338-7004</v>
      </c>
      <c r="Q4550" t="s">
        <v>113</v>
      </c>
      <c r="R4550" t="str">
        <f>"400-03-048"</f>
        <v>400-03-048</v>
      </c>
      <c r="S4550" t="s">
        <v>28595</v>
      </c>
      <c r="U4550">
        <v>3469</v>
      </c>
      <c r="V4550">
        <v>0</v>
      </c>
      <c r="W4550">
        <v>4</v>
      </c>
      <c r="X4550">
        <v>2002</v>
      </c>
      <c r="Z4550">
        <v>1</v>
      </c>
      <c r="AB4550">
        <v>0</v>
      </c>
      <c r="AC4550" t="s">
        <v>115</v>
      </c>
      <c r="AD4550">
        <v>7</v>
      </c>
      <c r="AE4550" t="s">
        <v>115</v>
      </c>
      <c r="AF4550">
        <v>0</v>
      </c>
      <c r="AG4550">
        <v>0</v>
      </c>
      <c r="AH4550" t="s">
        <v>116</v>
      </c>
      <c r="AI4550" s="1">
        <v>142681</v>
      </c>
      <c r="AJ4550" s="2">
        <v>0.22</v>
      </c>
      <c r="AK4550" s="1">
        <v>635681</v>
      </c>
      <c r="AL4550" t="s">
        <v>117</v>
      </c>
      <c r="AM4550" t="s">
        <v>118</v>
      </c>
      <c r="AN4550">
        <v>53619</v>
      </c>
      <c r="AO4550">
        <v>1.23</v>
      </c>
      <c r="AP4550">
        <v>1</v>
      </c>
      <c r="AR4550">
        <v>1</v>
      </c>
      <c r="AS4550" s="1">
        <v>50550</v>
      </c>
      <c r="AT4550" s="1">
        <v>10110</v>
      </c>
      <c r="AU4550" s="1">
        <v>40440</v>
      </c>
      <c r="AV4550">
        <v>80</v>
      </c>
      <c r="AX4550" s="1">
        <v>4515.5</v>
      </c>
      <c r="AY4550" t="s">
        <v>4236</v>
      </c>
      <c r="AZ4550" t="s">
        <v>4236</v>
      </c>
      <c r="BA4550" t="s">
        <v>1247</v>
      </c>
      <c r="BE4550" s="3">
        <v>42541</v>
      </c>
      <c r="BF4550" s="1">
        <v>568000</v>
      </c>
      <c r="BG4550" t="s">
        <v>28596</v>
      </c>
      <c r="BH4550" s="1">
        <v>163.74</v>
      </c>
      <c r="BI4550" s="1">
        <v>493000</v>
      </c>
      <c r="BJ4550" s="3">
        <v>42541</v>
      </c>
      <c r="BK4550" t="s">
        <v>123</v>
      </c>
      <c r="BL4550" t="str">
        <f>"2016.428639"</f>
        <v>2016.428639</v>
      </c>
      <c r="BM4550" t="s">
        <v>2368</v>
      </c>
      <c r="BO4550" t="s">
        <v>28597</v>
      </c>
      <c r="BS4550">
        <v>30</v>
      </c>
      <c r="BW4550" t="str">
        <f>""</f>
        <v/>
      </c>
      <c r="CH4550" t="str">
        <f>""</f>
        <v/>
      </c>
      <c r="CS4550" t="str">
        <f>""</f>
        <v/>
      </c>
    </row>
    <row r="4551" spans="1:97" x14ac:dyDescent="0.25">
      <c r="A4551" t="s">
        <v>1344</v>
      </c>
      <c r="B4551" t="s">
        <v>28598</v>
      </c>
      <c r="E4551" t="s">
        <v>28599</v>
      </c>
      <c r="F4551" t="s">
        <v>108</v>
      </c>
      <c r="H4551" t="s">
        <v>28600</v>
      </c>
      <c r="I4551" t="s">
        <v>390</v>
      </c>
      <c r="J4551" t="s">
        <v>111</v>
      </c>
      <c r="K4551" t="str">
        <f>"85086"</f>
        <v>85086</v>
      </c>
      <c r="L4551" t="s">
        <v>15336</v>
      </c>
      <c r="M4551" t="s">
        <v>28600</v>
      </c>
      <c r="N4551" t="s">
        <v>390</v>
      </c>
      <c r="O4551" t="s">
        <v>111</v>
      </c>
      <c r="P4551" t="str">
        <f>"85086-8304"</f>
        <v>85086-8304</v>
      </c>
      <c r="Q4551" t="s">
        <v>113</v>
      </c>
      <c r="R4551" t="str">
        <f>"203-13-015-B"</f>
        <v>203-13-015-B</v>
      </c>
      <c r="U4551">
        <v>2783</v>
      </c>
      <c r="V4551">
        <v>0</v>
      </c>
      <c r="W4551">
        <v>4</v>
      </c>
      <c r="X4551">
        <v>2001</v>
      </c>
      <c r="Z4551">
        <v>1</v>
      </c>
      <c r="AA4551" t="s">
        <v>26</v>
      </c>
      <c r="AB4551">
        <v>0</v>
      </c>
      <c r="AC4551" t="s">
        <v>115</v>
      </c>
      <c r="AD4551">
        <v>2</v>
      </c>
      <c r="AE4551" t="s">
        <v>115</v>
      </c>
      <c r="AF4551">
        <v>0</v>
      </c>
      <c r="AG4551">
        <v>0</v>
      </c>
      <c r="AH4551" t="s">
        <v>116</v>
      </c>
      <c r="AI4551" s="1">
        <v>23968</v>
      </c>
      <c r="AJ4551" s="2">
        <v>0.05</v>
      </c>
      <c r="AK4551" s="1">
        <v>508840</v>
      </c>
      <c r="AL4551" t="s">
        <v>117</v>
      </c>
      <c r="AM4551" t="s">
        <v>376</v>
      </c>
      <c r="AN4551">
        <v>51810</v>
      </c>
      <c r="AO4551">
        <v>1.19</v>
      </c>
      <c r="AP4551">
        <v>1</v>
      </c>
      <c r="AR4551">
        <v>1</v>
      </c>
      <c r="AS4551" s="1">
        <v>40570</v>
      </c>
      <c r="AT4551" s="1">
        <v>8110</v>
      </c>
      <c r="AU4551" s="1">
        <v>32460</v>
      </c>
      <c r="AV4551">
        <v>80.010000000000005</v>
      </c>
      <c r="AX4551" s="1">
        <v>3377.86</v>
      </c>
      <c r="AY4551" t="s">
        <v>8639</v>
      </c>
      <c r="AZ4551" t="s">
        <v>8639</v>
      </c>
      <c r="BA4551" t="s">
        <v>378</v>
      </c>
      <c r="BE4551" s="3">
        <v>42243</v>
      </c>
      <c r="BF4551" s="1">
        <v>375000</v>
      </c>
      <c r="BG4551" t="s">
        <v>28601</v>
      </c>
      <c r="BH4551" s="1">
        <v>134.75</v>
      </c>
      <c r="BI4551" s="1">
        <v>384872</v>
      </c>
      <c r="BJ4551" s="3">
        <v>42620</v>
      </c>
      <c r="BK4551" t="s">
        <v>123</v>
      </c>
      <c r="BL4551" t="str">
        <f>"2016.645605"</f>
        <v>2016.645605</v>
      </c>
      <c r="BM4551" t="s">
        <v>1695</v>
      </c>
      <c r="BN4551" t="s">
        <v>3082</v>
      </c>
      <c r="BO4551" t="s">
        <v>28602</v>
      </c>
      <c r="BS4551">
        <v>30</v>
      </c>
      <c r="BT4551" s="1">
        <v>100000</v>
      </c>
      <c r="BU4551" s="3">
        <v>43214</v>
      </c>
      <c r="BW4551" t="str">
        <f>"2018.306411"</f>
        <v>2018.306411</v>
      </c>
      <c r="BX4551" t="s">
        <v>383</v>
      </c>
      <c r="BY4551" t="s">
        <v>384</v>
      </c>
      <c r="BZ4551" t="s">
        <v>28599</v>
      </c>
      <c r="CA4551" t="s">
        <v>28603</v>
      </c>
      <c r="CC4551" t="s">
        <v>346</v>
      </c>
      <c r="CH4551" t="str">
        <f>""</f>
        <v/>
      </c>
      <c r="CS4551" t="str">
        <f>""</f>
        <v/>
      </c>
    </row>
    <row r="4552" spans="1:97" x14ac:dyDescent="0.25">
      <c r="A4552" t="s">
        <v>1898</v>
      </c>
      <c r="B4552" t="s">
        <v>23014</v>
      </c>
      <c r="C4552" t="s">
        <v>2793</v>
      </c>
      <c r="D4552" t="s">
        <v>28604</v>
      </c>
      <c r="E4552" t="s">
        <v>28605</v>
      </c>
      <c r="F4552" t="s">
        <v>108</v>
      </c>
      <c r="H4552" t="s">
        <v>28606</v>
      </c>
      <c r="I4552" t="s">
        <v>390</v>
      </c>
      <c r="J4552" t="s">
        <v>111</v>
      </c>
      <c r="K4552" t="str">
        <f>"85086"</f>
        <v>85086</v>
      </c>
      <c r="L4552" t="s">
        <v>1586</v>
      </c>
      <c r="M4552" t="s">
        <v>28606</v>
      </c>
      <c r="N4552" t="s">
        <v>390</v>
      </c>
      <c r="O4552" t="s">
        <v>111</v>
      </c>
      <c r="P4552" t="str">
        <f>"85086-9112"</f>
        <v>85086-9112</v>
      </c>
      <c r="Q4552" t="s">
        <v>113</v>
      </c>
      <c r="R4552" t="str">
        <f>"211-51-050-L"</f>
        <v>211-51-050-L</v>
      </c>
      <c r="U4552">
        <v>2277</v>
      </c>
      <c r="V4552">
        <v>0</v>
      </c>
      <c r="W4552">
        <v>3</v>
      </c>
      <c r="X4552">
        <v>2004</v>
      </c>
      <c r="Z4552">
        <v>1</v>
      </c>
      <c r="AB4552">
        <v>0</v>
      </c>
      <c r="AC4552" t="s">
        <v>115</v>
      </c>
      <c r="AD4552">
        <v>3</v>
      </c>
      <c r="AE4552" t="s">
        <v>115</v>
      </c>
      <c r="AF4552">
        <v>0</v>
      </c>
      <c r="AG4552">
        <v>0</v>
      </c>
      <c r="AH4552" t="s">
        <v>116</v>
      </c>
      <c r="AI4552" s="1">
        <v>109894</v>
      </c>
      <c r="AJ4552" s="2">
        <v>0.24</v>
      </c>
      <c r="AK4552" s="1">
        <v>458494</v>
      </c>
      <c r="AL4552" t="s">
        <v>117</v>
      </c>
      <c r="AM4552" t="s">
        <v>376</v>
      </c>
      <c r="AN4552">
        <v>49500</v>
      </c>
      <c r="AO4552">
        <v>1.1399999999999999</v>
      </c>
      <c r="AP4552">
        <v>1</v>
      </c>
      <c r="AR4552">
        <v>1</v>
      </c>
      <c r="AS4552" s="1">
        <v>33680</v>
      </c>
      <c r="AT4552" s="1">
        <v>6730</v>
      </c>
      <c r="AU4552" s="1">
        <v>26950</v>
      </c>
      <c r="AV4552">
        <v>80.02</v>
      </c>
      <c r="AX4552" s="1">
        <v>3103.18</v>
      </c>
      <c r="AY4552" t="s">
        <v>1587</v>
      </c>
      <c r="AZ4552" t="s">
        <v>1587</v>
      </c>
      <c r="BA4552" t="s">
        <v>378</v>
      </c>
      <c r="BE4552" s="3">
        <v>42382</v>
      </c>
      <c r="BF4552" s="1">
        <v>340000</v>
      </c>
      <c r="BG4552" t="s">
        <v>28607</v>
      </c>
      <c r="BH4552" s="1">
        <v>149.32</v>
      </c>
      <c r="BI4552" s="1">
        <v>348600</v>
      </c>
      <c r="BJ4552" s="3">
        <v>42579</v>
      </c>
      <c r="BK4552" t="s">
        <v>123</v>
      </c>
      <c r="BL4552" t="str">
        <f>"2016.533878"</f>
        <v>2016.533878</v>
      </c>
      <c r="BM4552" t="s">
        <v>255</v>
      </c>
      <c r="BO4552" t="s">
        <v>28608</v>
      </c>
      <c r="BP4552" t="s">
        <v>28609</v>
      </c>
      <c r="BS4552">
        <v>30</v>
      </c>
      <c r="BW4552" t="str">
        <f>""</f>
        <v/>
      </c>
      <c r="CH4552" t="str">
        <f>""</f>
        <v/>
      </c>
      <c r="CS4552" t="str">
        <f>""</f>
        <v/>
      </c>
    </row>
    <row r="4553" spans="1:97" x14ac:dyDescent="0.25">
      <c r="A4553" t="s">
        <v>1898</v>
      </c>
      <c r="B4553" t="s">
        <v>28610</v>
      </c>
      <c r="C4553" t="s">
        <v>1162</v>
      </c>
      <c r="D4553" t="s">
        <v>28610</v>
      </c>
      <c r="E4553" t="s">
        <v>28611</v>
      </c>
      <c r="F4553" t="s">
        <v>108</v>
      </c>
      <c r="H4553" t="s">
        <v>28612</v>
      </c>
      <c r="I4553" t="s">
        <v>203</v>
      </c>
      <c r="J4553" t="s">
        <v>111</v>
      </c>
      <c r="K4553" t="str">
        <f>"85297"</f>
        <v>85297</v>
      </c>
      <c r="L4553" t="s">
        <v>1569</v>
      </c>
      <c r="M4553" t="s">
        <v>28612</v>
      </c>
      <c r="N4553" t="s">
        <v>203</v>
      </c>
      <c r="O4553" t="s">
        <v>111</v>
      </c>
      <c r="P4553" t="str">
        <f>"85297-7615"</f>
        <v>85297-7615</v>
      </c>
      <c r="Q4553" t="s">
        <v>113</v>
      </c>
      <c r="R4553" t="str">
        <f>"304-52-115"</f>
        <v>304-52-115</v>
      </c>
      <c r="S4553" t="s">
        <v>28613</v>
      </c>
      <c r="T4553" t="s">
        <v>28613</v>
      </c>
      <c r="U4553">
        <v>3905</v>
      </c>
      <c r="V4553">
        <v>0</v>
      </c>
      <c r="W4553">
        <v>6</v>
      </c>
      <c r="X4553">
        <v>2004</v>
      </c>
      <c r="Z4553">
        <v>1</v>
      </c>
      <c r="AA4553" t="s">
        <v>26</v>
      </c>
      <c r="AB4553">
        <v>0</v>
      </c>
      <c r="AC4553" t="s">
        <v>115</v>
      </c>
      <c r="AD4553">
        <v>3</v>
      </c>
      <c r="AE4553" t="s">
        <v>115</v>
      </c>
      <c r="AF4553">
        <v>0</v>
      </c>
      <c r="AG4553">
        <v>0</v>
      </c>
      <c r="AH4553" t="s">
        <v>116</v>
      </c>
      <c r="AI4553" s="1">
        <v>215655</v>
      </c>
      <c r="AJ4553" s="2">
        <v>0.25</v>
      </c>
      <c r="AK4553" s="1">
        <v>858405</v>
      </c>
      <c r="AL4553" t="s">
        <v>117</v>
      </c>
      <c r="AM4553" t="s">
        <v>1521</v>
      </c>
      <c r="AN4553">
        <v>18240</v>
      </c>
      <c r="AO4553">
        <v>0.42</v>
      </c>
      <c r="AP4553">
        <v>1</v>
      </c>
      <c r="AR4553">
        <v>1</v>
      </c>
      <c r="AS4553" s="1">
        <v>67830</v>
      </c>
      <c r="AT4553" s="1">
        <v>13560</v>
      </c>
      <c r="AU4553" s="1">
        <v>54270</v>
      </c>
      <c r="AV4553">
        <v>80.010000000000005</v>
      </c>
      <c r="AX4553" s="1">
        <v>6980.1</v>
      </c>
      <c r="AY4553" t="s">
        <v>394</v>
      </c>
      <c r="AZ4553" t="s">
        <v>394</v>
      </c>
      <c r="BA4553" t="s">
        <v>290</v>
      </c>
      <c r="BE4553" s="3">
        <v>42493</v>
      </c>
      <c r="BF4553" s="1">
        <v>718000</v>
      </c>
      <c r="BG4553" t="s">
        <v>28614</v>
      </c>
      <c r="BH4553" s="1">
        <v>183.87</v>
      </c>
      <c r="BI4553" s="1">
        <v>642750</v>
      </c>
      <c r="BJ4553" s="3">
        <v>42493</v>
      </c>
      <c r="BK4553" t="s">
        <v>123</v>
      </c>
      <c r="BL4553" t="str">
        <f>"2016.301371"</f>
        <v>2016.301371</v>
      </c>
      <c r="BM4553" t="s">
        <v>544</v>
      </c>
      <c r="BO4553" t="s">
        <v>28615</v>
      </c>
      <c r="BS4553">
        <v>30</v>
      </c>
      <c r="BW4553" t="str">
        <f>""</f>
        <v/>
      </c>
      <c r="CH4553" t="str">
        <f>""</f>
        <v/>
      </c>
      <c r="CS4553" t="str">
        <f>""</f>
        <v/>
      </c>
    </row>
    <row r="4554" spans="1:97" x14ac:dyDescent="0.25">
      <c r="B4554" t="s">
        <v>28616</v>
      </c>
      <c r="E4554" t="s">
        <v>28617</v>
      </c>
      <c r="F4554" t="s">
        <v>108</v>
      </c>
      <c r="H4554" t="s">
        <v>28618</v>
      </c>
      <c r="I4554" t="s">
        <v>6646</v>
      </c>
      <c r="J4554" t="s">
        <v>111</v>
      </c>
      <c r="K4554" t="str">
        <f>"85086"</f>
        <v>85086</v>
      </c>
      <c r="L4554" t="s">
        <v>2015</v>
      </c>
      <c r="M4554" t="s">
        <v>28618</v>
      </c>
      <c r="N4554" t="s">
        <v>6646</v>
      </c>
      <c r="O4554" t="s">
        <v>111</v>
      </c>
      <c r="P4554" t="str">
        <f>"85086-1503"</f>
        <v>85086-1503</v>
      </c>
      <c r="Q4554" t="s">
        <v>113</v>
      </c>
      <c r="R4554" t="str">
        <f>"203-02-034"</f>
        <v>203-02-034</v>
      </c>
      <c r="S4554" t="s">
        <v>22738</v>
      </c>
      <c r="U4554">
        <v>2928</v>
      </c>
      <c r="V4554">
        <v>0</v>
      </c>
      <c r="W4554">
        <v>4</v>
      </c>
      <c r="X4554">
        <v>1999</v>
      </c>
      <c r="Z4554">
        <v>1</v>
      </c>
      <c r="AA4554" t="s">
        <v>26</v>
      </c>
      <c r="AB4554">
        <v>0</v>
      </c>
      <c r="AC4554" t="s">
        <v>115</v>
      </c>
      <c r="AD4554">
        <v>2</v>
      </c>
      <c r="AE4554" t="s">
        <v>115</v>
      </c>
      <c r="AF4554">
        <v>0</v>
      </c>
      <c r="AG4554">
        <v>0</v>
      </c>
      <c r="AH4554" t="s">
        <v>116</v>
      </c>
      <c r="AI4554" s="1">
        <v>61411</v>
      </c>
      <c r="AJ4554" s="2">
        <v>0.14000000000000001</v>
      </c>
      <c r="AK4554" s="1">
        <v>441555</v>
      </c>
      <c r="AL4554" t="s">
        <v>117</v>
      </c>
      <c r="AM4554" t="s">
        <v>393</v>
      </c>
      <c r="AN4554">
        <v>9876</v>
      </c>
      <c r="AO4554">
        <v>0.23</v>
      </c>
      <c r="AP4554">
        <v>1</v>
      </c>
      <c r="AR4554">
        <v>1</v>
      </c>
      <c r="AS4554" s="1">
        <v>33960</v>
      </c>
      <c r="AT4554" s="1">
        <v>6790</v>
      </c>
      <c r="AU4554" s="1">
        <v>27170</v>
      </c>
      <c r="AV4554">
        <v>80.010000000000005</v>
      </c>
      <c r="AX4554" s="1">
        <v>3500.62</v>
      </c>
      <c r="AY4554" t="s">
        <v>6648</v>
      </c>
      <c r="AZ4554" t="s">
        <v>6648</v>
      </c>
      <c r="BA4554" t="s">
        <v>378</v>
      </c>
      <c r="BB4554" s="3">
        <v>42880</v>
      </c>
      <c r="BD4554" t="s">
        <v>458</v>
      </c>
      <c r="BE4554" s="3">
        <v>42186</v>
      </c>
      <c r="BF4554" s="1">
        <v>340000</v>
      </c>
      <c r="BG4554" t="s">
        <v>28619</v>
      </c>
      <c r="BH4554" s="1">
        <v>116.12</v>
      </c>
      <c r="BI4554" s="1">
        <v>380144</v>
      </c>
      <c r="BJ4554" s="3">
        <v>42635</v>
      </c>
      <c r="BK4554" t="s">
        <v>123</v>
      </c>
      <c r="BL4554" t="str">
        <f>"2016.692260"</f>
        <v>2016.692260</v>
      </c>
      <c r="BM4554" t="s">
        <v>5534</v>
      </c>
      <c r="BO4554" t="s">
        <v>28620</v>
      </c>
      <c r="BS4554">
        <v>30</v>
      </c>
      <c r="BW4554" t="str">
        <f>""</f>
        <v/>
      </c>
      <c r="CH4554" t="str">
        <f>""</f>
        <v/>
      </c>
      <c r="CS4554" t="str">
        <f>""</f>
        <v/>
      </c>
    </row>
    <row r="4555" spans="1:97" x14ac:dyDescent="0.25">
      <c r="B4555" t="s">
        <v>28621</v>
      </c>
      <c r="E4555" t="s">
        <v>28622</v>
      </c>
      <c r="F4555" t="s">
        <v>108</v>
      </c>
      <c r="H4555" t="s">
        <v>28623</v>
      </c>
      <c r="I4555" t="s">
        <v>13194</v>
      </c>
      <c r="J4555" t="s">
        <v>111</v>
      </c>
      <c r="K4555" t="str">
        <f>"85253"</f>
        <v>85253</v>
      </c>
      <c r="L4555" t="s">
        <v>8462</v>
      </c>
      <c r="M4555" t="s">
        <v>28623</v>
      </c>
      <c r="N4555" t="s">
        <v>13194</v>
      </c>
      <c r="O4555" t="s">
        <v>111</v>
      </c>
      <c r="P4555" t="str">
        <f>"85253-2133"</f>
        <v>85253-2133</v>
      </c>
      <c r="R4555" t="str">
        <f>"168-45-031"</f>
        <v>168-45-031</v>
      </c>
      <c r="S4555" t="s">
        <v>28624</v>
      </c>
      <c r="T4555" t="s">
        <v>28625</v>
      </c>
      <c r="U4555">
        <v>4560</v>
      </c>
      <c r="V4555">
        <v>0</v>
      </c>
      <c r="W4555">
        <v>7</v>
      </c>
      <c r="X4555">
        <v>2016</v>
      </c>
      <c r="Z4555">
        <v>1</v>
      </c>
      <c r="AA4555" t="s">
        <v>26</v>
      </c>
      <c r="AB4555">
        <v>0</v>
      </c>
      <c r="AC4555" t="s">
        <v>115</v>
      </c>
      <c r="AD4555">
        <v>4</v>
      </c>
      <c r="AE4555" t="s">
        <v>115</v>
      </c>
      <c r="AF4555">
        <v>0</v>
      </c>
      <c r="AG4555">
        <v>0</v>
      </c>
      <c r="AH4555" t="s">
        <v>116</v>
      </c>
      <c r="AI4555" s="1">
        <v>980005</v>
      </c>
      <c r="AJ4555" s="2">
        <v>0.59</v>
      </c>
      <c r="AK4555" s="1">
        <v>1655005</v>
      </c>
      <c r="AL4555" t="s">
        <v>117</v>
      </c>
      <c r="AM4555" t="s">
        <v>376</v>
      </c>
      <c r="AN4555">
        <v>43842</v>
      </c>
      <c r="AO4555">
        <v>1.01</v>
      </c>
      <c r="AP4555">
        <v>1</v>
      </c>
      <c r="AR4555">
        <v>1</v>
      </c>
      <c r="AS4555" s="1">
        <v>152480</v>
      </c>
      <c r="AT4555" s="1">
        <v>30490</v>
      </c>
      <c r="AU4555" s="1">
        <v>121990</v>
      </c>
      <c r="AV4555">
        <v>80</v>
      </c>
      <c r="AX4555" s="1">
        <v>9117.94</v>
      </c>
      <c r="AY4555" t="s">
        <v>24034</v>
      </c>
      <c r="AZ4555" t="s">
        <v>8949</v>
      </c>
      <c r="BA4555" t="s">
        <v>7868</v>
      </c>
      <c r="BB4555" s="3">
        <v>42821</v>
      </c>
      <c r="BD4555" t="s">
        <v>480</v>
      </c>
      <c r="BE4555" s="3">
        <v>42082</v>
      </c>
      <c r="BF4555" s="1">
        <v>745000</v>
      </c>
      <c r="BG4555" t="s">
        <v>28626</v>
      </c>
      <c r="BH4555" s="1">
        <v>282.83999999999997</v>
      </c>
      <c r="BI4555" s="1">
        <v>675000</v>
      </c>
      <c r="BJ4555" s="3">
        <v>42731</v>
      </c>
      <c r="BK4555" t="s">
        <v>123</v>
      </c>
      <c r="BL4555" t="str">
        <f>"2016.952347"</f>
        <v>2016.952347</v>
      </c>
      <c r="BM4555" t="s">
        <v>5747</v>
      </c>
      <c r="BN4555" t="s">
        <v>18284</v>
      </c>
      <c r="BO4555" t="s">
        <v>28627</v>
      </c>
      <c r="BS4555">
        <v>30</v>
      </c>
      <c r="BW4555" t="str">
        <f>""</f>
        <v/>
      </c>
      <c r="CH4555" t="str">
        <f>""</f>
        <v/>
      </c>
      <c r="CS4555" t="str">
        <f>""</f>
        <v/>
      </c>
    </row>
    <row r="4556" spans="1:97" x14ac:dyDescent="0.25">
      <c r="B4556" t="s">
        <v>28628</v>
      </c>
      <c r="E4556" t="s">
        <v>28629</v>
      </c>
      <c r="F4556" t="s">
        <v>108</v>
      </c>
      <c r="H4556" t="s">
        <v>28630</v>
      </c>
      <c r="I4556" t="s">
        <v>225</v>
      </c>
      <c r="J4556" t="s">
        <v>111</v>
      </c>
      <c r="K4556" t="str">
        <f>"85203"</f>
        <v>85203</v>
      </c>
      <c r="L4556" t="s">
        <v>5131</v>
      </c>
      <c r="M4556" t="s">
        <v>28630</v>
      </c>
      <c r="N4556" t="s">
        <v>225</v>
      </c>
      <c r="O4556" t="s">
        <v>111</v>
      </c>
      <c r="P4556" t="str">
        <f>"85203-1324"</f>
        <v>85203-1324</v>
      </c>
      <c r="Q4556" t="s">
        <v>113</v>
      </c>
      <c r="R4556" t="str">
        <f>"136-04-051"</f>
        <v>136-04-051</v>
      </c>
      <c r="S4556" t="s">
        <v>17122</v>
      </c>
      <c r="T4556" t="s">
        <v>17123</v>
      </c>
      <c r="U4556">
        <v>3532</v>
      </c>
      <c r="V4556">
        <v>0</v>
      </c>
      <c r="W4556">
        <v>5</v>
      </c>
      <c r="X4556">
        <v>1987</v>
      </c>
      <c r="Z4556">
        <v>2</v>
      </c>
      <c r="AA4556" t="s">
        <v>26</v>
      </c>
      <c r="AB4556">
        <v>0</v>
      </c>
      <c r="AC4556" t="s">
        <v>115</v>
      </c>
      <c r="AD4556">
        <v>3</v>
      </c>
      <c r="AE4556" t="s">
        <v>115</v>
      </c>
      <c r="AF4556">
        <v>0</v>
      </c>
      <c r="AG4556">
        <v>0</v>
      </c>
      <c r="AH4556" t="s">
        <v>116</v>
      </c>
      <c r="AI4556" s="1">
        <v>189346</v>
      </c>
      <c r="AJ4556" s="2">
        <v>0.32</v>
      </c>
      <c r="AK4556" s="1">
        <v>583346</v>
      </c>
      <c r="AL4556" t="s">
        <v>117</v>
      </c>
      <c r="AM4556" t="s">
        <v>1521</v>
      </c>
      <c r="AN4556">
        <v>16814</v>
      </c>
      <c r="AO4556">
        <v>0.39</v>
      </c>
      <c r="AP4556">
        <v>1</v>
      </c>
      <c r="AR4556">
        <v>1</v>
      </c>
      <c r="AS4556" s="1">
        <v>44420</v>
      </c>
      <c r="AT4556" s="1">
        <v>8880</v>
      </c>
      <c r="AU4556" s="1">
        <v>35540</v>
      </c>
      <c r="AV4556">
        <v>80.010000000000005</v>
      </c>
      <c r="AX4556" s="1">
        <v>3747.5</v>
      </c>
      <c r="AY4556" t="s">
        <v>11944</v>
      </c>
      <c r="AZ4556" t="s">
        <v>4163</v>
      </c>
      <c r="BA4556" t="s">
        <v>1524</v>
      </c>
      <c r="BB4556" s="3">
        <v>43600</v>
      </c>
      <c r="BC4556" s="1">
        <v>0</v>
      </c>
      <c r="BD4556" t="s">
        <v>247</v>
      </c>
      <c r="BE4556" s="3">
        <v>42094</v>
      </c>
      <c r="BF4556" s="1">
        <v>450000</v>
      </c>
      <c r="BG4556" t="s">
        <v>28631</v>
      </c>
      <c r="BH4556" s="1">
        <v>127.41</v>
      </c>
      <c r="BI4556" s="1">
        <v>394000</v>
      </c>
      <c r="BJ4556" s="3">
        <v>42675</v>
      </c>
      <c r="BK4556" t="s">
        <v>123</v>
      </c>
      <c r="BL4556" t="str">
        <f>"2016.803283"</f>
        <v>2016.803283</v>
      </c>
      <c r="BM4556" t="s">
        <v>3496</v>
      </c>
      <c r="BN4556" t="s">
        <v>18878</v>
      </c>
      <c r="BO4556" t="s">
        <v>28632</v>
      </c>
      <c r="BS4556">
        <v>30</v>
      </c>
      <c r="BW4556" t="str">
        <f>""</f>
        <v/>
      </c>
      <c r="CH4556" t="str">
        <f>""</f>
        <v/>
      </c>
      <c r="CS4556" t="str">
        <f>""</f>
        <v/>
      </c>
    </row>
    <row r="4557" spans="1:97" x14ac:dyDescent="0.25">
      <c r="B4557" t="s">
        <v>28633</v>
      </c>
      <c r="E4557" t="s">
        <v>28634</v>
      </c>
      <c r="F4557" t="s">
        <v>108</v>
      </c>
      <c r="H4557" t="s">
        <v>28635</v>
      </c>
      <c r="I4557" t="s">
        <v>1936</v>
      </c>
      <c r="J4557" t="s">
        <v>111</v>
      </c>
      <c r="K4557" t="str">
        <f>"85259"</f>
        <v>85259</v>
      </c>
      <c r="L4557" t="s">
        <v>6308</v>
      </c>
      <c r="M4557" t="s">
        <v>28635</v>
      </c>
      <c r="N4557" t="s">
        <v>1936</v>
      </c>
      <c r="O4557" t="s">
        <v>111</v>
      </c>
      <c r="P4557" t="str">
        <f>"85259-5886"</f>
        <v>85259-5886</v>
      </c>
      <c r="Q4557" t="s">
        <v>113</v>
      </c>
      <c r="R4557" t="str">
        <f>"217-33-856"</f>
        <v>217-33-856</v>
      </c>
      <c r="S4557" t="s">
        <v>18270</v>
      </c>
      <c r="T4557" t="s">
        <v>8982</v>
      </c>
      <c r="U4557">
        <v>3781</v>
      </c>
      <c r="V4557">
        <v>0</v>
      </c>
      <c r="W4557">
        <v>5</v>
      </c>
      <c r="X4557">
        <v>1993</v>
      </c>
      <c r="Z4557">
        <v>1</v>
      </c>
      <c r="AA4557" t="s">
        <v>26</v>
      </c>
      <c r="AB4557">
        <v>0</v>
      </c>
      <c r="AC4557" t="s">
        <v>115</v>
      </c>
      <c r="AD4557">
        <v>3</v>
      </c>
      <c r="AE4557" t="s">
        <v>115</v>
      </c>
      <c r="AF4557">
        <v>0</v>
      </c>
      <c r="AG4557">
        <v>0</v>
      </c>
      <c r="AH4557" t="s">
        <v>116</v>
      </c>
      <c r="AI4557" s="1">
        <v>160869</v>
      </c>
      <c r="AJ4557" s="2">
        <v>0.19</v>
      </c>
      <c r="AK4557" s="1">
        <v>868369</v>
      </c>
      <c r="AL4557" t="s">
        <v>117</v>
      </c>
      <c r="AM4557" t="s">
        <v>616</v>
      </c>
      <c r="AN4557">
        <v>15437</v>
      </c>
      <c r="AO4557">
        <v>0.35</v>
      </c>
      <c r="AP4557">
        <v>1</v>
      </c>
      <c r="AR4557">
        <v>1</v>
      </c>
      <c r="AS4557" s="1">
        <v>71950</v>
      </c>
      <c r="AT4557" s="1">
        <v>14390</v>
      </c>
      <c r="AU4557" s="1">
        <v>57560</v>
      </c>
      <c r="AV4557">
        <v>80</v>
      </c>
      <c r="AX4557" s="1">
        <v>5581.8</v>
      </c>
      <c r="AY4557" t="s">
        <v>5761</v>
      </c>
      <c r="AZ4557" t="s">
        <v>5762</v>
      </c>
      <c r="BA4557" t="s">
        <v>5763</v>
      </c>
      <c r="BB4557" s="3">
        <v>42072</v>
      </c>
      <c r="BD4557" t="s">
        <v>480</v>
      </c>
      <c r="BE4557" s="3">
        <v>41698</v>
      </c>
      <c r="BF4557" s="1">
        <v>812000</v>
      </c>
      <c r="BG4557" t="s">
        <v>28636</v>
      </c>
      <c r="BH4557" s="1">
        <v>214.76</v>
      </c>
      <c r="BI4557" s="1">
        <v>707500</v>
      </c>
      <c r="BJ4557" s="3">
        <v>41983</v>
      </c>
      <c r="BK4557" t="s">
        <v>123</v>
      </c>
      <c r="BL4557" t="str">
        <f>"2014.812009"</f>
        <v>2014.812009</v>
      </c>
      <c r="BM4557" t="s">
        <v>9499</v>
      </c>
      <c r="BO4557" t="s">
        <v>28637</v>
      </c>
      <c r="BP4557" t="s">
        <v>28638</v>
      </c>
      <c r="BS4557">
        <v>30</v>
      </c>
      <c r="BW4557" t="str">
        <f>""</f>
        <v/>
      </c>
      <c r="CH4557" t="str">
        <f>""</f>
        <v/>
      </c>
      <c r="CS4557" t="str">
        <f>""</f>
        <v/>
      </c>
    </row>
    <row r="4558" spans="1:97" x14ac:dyDescent="0.25">
      <c r="B4558" t="s">
        <v>28639</v>
      </c>
      <c r="E4558" t="s">
        <v>28640</v>
      </c>
      <c r="F4558" t="s">
        <v>108</v>
      </c>
      <c r="H4558" t="s">
        <v>28641</v>
      </c>
      <c r="I4558" t="s">
        <v>5387</v>
      </c>
      <c r="J4558" t="s">
        <v>111</v>
      </c>
      <c r="K4558" t="str">
        <f>"85284"</f>
        <v>85284</v>
      </c>
      <c r="L4558" t="s">
        <v>2197</v>
      </c>
      <c r="M4558" t="s">
        <v>28641</v>
      </c>
      <c r="N4558" t="s">
        <v>5387</v>
      </c>
      <c r="O4558" t="s">
        <v>111</v>
      </c>
      <c r="P4558" t="str">
        <f>"85284-3209"</f>
        <v>85284-3209</v>
      </c>
      <c r="Q4558" t="s">
        <v>113</v>
      </c>
      <c r="R4558" t="str">
        <f>"301-62-022"</f>
        <v>301-62-022</v>
      </c>
      <c r="S4558" t="s">
        <v>28642</v>
      </c>
      <c r="T4558" t="s">
        <v>28643</v>
      </c>
      <c r="U4558">
        <v>4588</v>
      </c>
      <c r="V4558">
        <v>0</v>
      </c>
      <c r="W4558">
        <v>5</v>
      </c>
      <c r="X4558">
        <v>1983</v>
      </c>
      <c r="Z4558">
        <v>2</v>
      </c>
      <c r="AA4558" t="s">
        <v>26</v>
      </c>
      <c r="AB4558">
        <v>0</v>
      </c>
      <c r="AC4558" t="s">
        <v>115</v>
      </c>
      <c r="AD4558">
        <v>3</v>
      </c>
      <c r="AE4558" t="s">
        <v>115</v>
      </c>
      <c r="AF4558">
        <v>0</v>
      </c>
      <c r="AG4558">
        <v>0</v>
      </c>
      <c r="AH4558" t="s">
        <v>116</v>
      </c>
      <c r="AI4558" s="1">
        <v>217359</v>
      </c>
      <c r="AJ4558" s="2">
        <v>0.24</v>
      </c>
      <c r="AK4558" s="1">
        <v>892443</v>
      </c>
      <c r="AL4558" t="s">
        <v>117</v>
      </c>
      <c r="AM4558" t="s">
        <v>3111</v>
      </c>
      <c r="AN4558">
        <v>46598</v>
      </c>
      <c r="AO4558">
        <v>1.07</v>
      </c>
      <c r="AP4558">
        <v>1</v>
      </c>
      <c r="AR4558">
        <v>1</v>
      </c>
      <c r="AS4558" s="1">
        <v>67500</v>
      </c>
      <c r="AT4558" s="1">
        <v>13500</v>
      </c>
      <c r="AU4558" s="1">
        <v>54000</v>
      </c>
      <c r="AV4558">
        <v>80</v>
      </c>
      <c r="AX4558" s="1">
        <v>7735.6</v>
      </c>
      <c r="AY4558" t="s">
        <v>5921</v>
      </c>
      <c r="AZ4558" t="s">
        <v>5922</v>
      </c>
      <c r="BA4558" t="s">
        <v>5202</v>
      </c>
      <c r="BB4558" s="3">
        <v>42706</v>
      </c>
      <c r="BD4558" t="s">
        <v>480</v>
      </c>
      <c r="BE4558" s="3">
        <v>41899</v>
      </c>
      <c r="BF4558" s="1">
        <v>750000</v>
      </c>
      <c r="BG4558" t="s">
        <v>28644</v>
      </c>
      <c r="BH4558" s="1">
        <v>163.47</v>
      </c>
      <c r="BI4558" s="1">
        <v>675084</v>
      </c>
      <c r="BJ4558" s="3">
        <v>41899</v>
      </c>
      <c r="BK4558" t="s">
        <v>123</v>
      </c>
      <c r="BL4558" t="str">
        <f>"2014.615187"</f>
        <v>2014.615187</v>
      </c>
      <c r="BM4558" t="s">
        <v>28645</v>
      </c>
      <c r="BO4558" t="s">
        <v>28646</v>
      </c>
      <c r="BS4558">
        <v>30</v>
      </c>
      <c r="BW4558" t="str">
        <f>""</f>
        <v/>
      </c>
      <c r="CH4558" t="str">
        <f>""</f>
        <v/>
      </c>
      <c r="CS4558" t="str">
        <f>""</f>
        <v/>
      </c>
    </row>
    <row r="4559" spans="1:97" x14ac:dyDescent="0.25">
      <c r="A4559" t="s">
        <v>305</v>
      </c>
      <c r="B4559" t="s">
        <v>28647</v>
      </c>
      <c r="C4559" t="s">
        <v>28648</v>
      </c>
      <c r="D4559" t="s">
        <v>28647</v>
      </c>
      <c r="E4559" t="s">
        <v>28649</v>
      </c>
      <c r="F4559" t="s">
        <v>108</v>
      </c>
      <c r="H4559" t="s">
        <v>28650</v>
      </c>
      <c r="I4559" t="s">
        <v>225</v>
      </c>
      <c r="J4559" t="s">
        <v>111</v>
      </c>
      <c r="K4559" t="str">
        <f>"85206"</f>
        <v>85206</v>
      </c>
      <c r="L4559" t="s">
        <v>3696</v>
      </c>
      <c r="M4559" t="s">
        <v>28650</v>
      </c>
      <c r="N4559" t="s">
        <v>225</v>
      </c>
      <c r="O4559" t="s">
        <v>111</v>
      </c>
      <c r="P4559" t="str">
        <f>"85206-6715"</f>
        <v>85206-6715</v>
      </c>
      <c r="Q4559" t="s">
        <v>113</v>
      </c>
      <c r="R4559" t="str">
        <f>"141-53-336"</f>
        <v>141-53-336</v>
      </c>
      <c r="S4559" t="s">
        <v>5156</v>
      </c>
      <c r="T4559" t="s">
        <v>5156</v>
      </c>
      <c r="U4559">
        <v>1685</v>
      </c>
      <c r="V4559">
        <v>0</v>
      </c>
      <c r="W4559">
        <v>3</v>
      </c>
      <c r="X4559">
        <v>1997</v>
      </c>
      <c r="Z4559">
        <v>1</v>
      </c>
      <c r="AB4559">
        <v>0</v>
      </c>
      <c r="AC4559" t="s">
        <v>115</v>
      </c>
      <c r="AD4559">
        <v>3</v>
      </c>
      <c r="AE4559" t="s">
        <v>115</v>
      </c>
      <c r="AF4559">
        <v>0</v>
      </c>
      <c r="AG4559">
        <v>0</v>
      </c>
      <c r="AH4559" t="s">
        <v>116</v>
      </c>
      <c r="AI4559" s="1">
        <v>27229</v>
      </c>
      <c r="AJ4559" s="2">
        <v>0.1</v>
      </c>
      <c r="AK4559" s="1">
        <v>275149</v>
      </c>
      <c r="AL4559" t="s">
        <v>117</v>
      </c>
      <c r="AM4559" t="s">
        <v>917</v>
      </c>
      <c r="AN4559">
        <v>6050</v>
      </c>
      <c r="AO4559">
        <v>0.14000000000000001</v>
      </c>
      <c r="AP4559">
        <v>1</v>
      </c>
      <c r="AR4559">
        <v>1</v>
      </c>
      <c r="AS4559" s="1">
        <v>17850</v>
      </c>
      <c r="AT4559" s="1">
        <v>3570</v>
      </c>
      <c r="AU4559" s="1">
        <v>14280</v>
      </c>
      <c r="AV4559">
        <v>80</v>
      </c>
      <c r="AX4559" s="1">
        <v>1477.5</v>
      </c>
      <c r="AY4559" t="s">
        <v>5157</v>
      </c>
      <c r="AZ4559" t="s">
        <v>5158</v>
      </c>
      <c r="BA4559" t="s">
        <v>5159</v>
      </c>
      <c r="BE4559" s="3">
        <v>42293</v>
      </c>
      <c r="BF4559" s="1">
        <v>218000</v>
      </c>
      <c r="BG4559" t="s">
        <v>28651</v>
      </c>
      <c r="BH4559" s="1">
        <v>129.38</v>
      </c>
      <c r="BI4559" s="1">
        <v>247920</v>
      </c>
      <c r="BJ4559" s="3">
        <v>43208</v>
      </c>
      <c r="BK4559" t="s">
        <v>123</v>
      </c>
      <c r="BL4559" t="str">
        <f>"2018.289748"</f>
        <v>2018.289748</v>
      </c>
      <c r="BM4559" t="s">
        <v>361</v>
      </c>
      <c r="BN4559" t="s">
        <v>884</v>
      </c>
      <c r="BO4559" t="s">
        <v>28652</v>
      </c>
      <c r="BP4559" t="s">
        <v>28653</v>
      </c>
      <c r="BR4559" t="s">
        <v>139</v>
      </c>
      <c r="BW4559" t="str">
        <f>""</f>
        <v/>
      </c>
      <c r="CH4559" t="str">
        <f>""</f>
        <v/>
      </c>
      <c r="CS4559" t="str">
        <f>""</f>
        <v/>
      </c>
    </row>
    <row r="4560" spans="1:97" x14ac:dyDescent="0.25">
      <c r="A4560" t="s">
        <v>140</v>
      </c>
      <c r="B4560" t="s">
        <v>28654</v>
      </c>
      <c r="E4560" t="s">
        <v>28655</v>
      </c>
      <c r="F4560" t="s">
        <v>108</v>
      </c>
      <c r="H4560" t="s">
        <v>28656</v>
      </c>
      <c r="I4560" t="s">
        <v>390</v>
      </c>
      <c r="J4560" t="s">
        <v>111</v>
      </c>
      <c r="K4560" t="str">
        <f>"85044"</f>
        <v>85044</v>
      </c>
      <c r="L4560" t="s">
        <v>8462</v>
      </c>
      <c r="M4560" t="s">
        <v>28656</v>
      </c>
      <c r="N4560" t="s">
        <v>390</v>
      </c>
      <c r="O4560" t="s">
        <v>111</v>
      </c>
      <c r="P4560" t="str">
        <f>"85044-2020"</f>
        <v>85044-2020</v>
      </c>
      <c r="Q4560" t="s">
        <v>113</v>
      </c>
      <c r="R4560" t="str">
        <f>"301-55-810"</f>
        <v>301-55-810</v>
      </c>
      <c r="S4560" t="s">
        <v>27628</v>
      </c>
      <c r="U4560">
        <v>1716</v>
      </c>
      <c r="V4560">
        <v>0</v>
      </c>
      <c r="W4560">
        <v>2</v>
      </c>
      <c r="X4560">
        <v>1978</v>
      </c>
      <c r="Z4560">
        <v>1</v>
      </c>
      <c r="AB4560">
        <v>0</v>
      </c>
      <c r="AC4560" t="s">
        <v>115</v>
      </c>
      <c r="AD4560">
        <v>2</v>
      </c>
      <c r="AE4560" t="s">
        <v>115</v>
      </c>
      <c r="AF4560">
        <v>0</v>
      </c>
      <c r="AG4560">
        <v>0</v>
      </c>
      <c r="AH4560" t="s">
        <v>116</v>
      </c>
      <c r="AI4560" s="1">
        <v>71057</v>
      </c>
      <c r="AJ4560" s="2">
        <v>0.26</v>
      </c>
      <c r="AK4560" s="1">
        <v>278057</v>
      </c>
      <c r="AL4560" t="s">
        <v>117</v>
      </c>
      <c r="AM4560" t="s">
        <v>191</v>
      </c>
      <c r="AN4560">
        <v>8037</v>
      </c>
      <c r="AO4560">
        <v>0.18</v>
      </c>
      <c r="AP4560">
        <v>1</v>
      </c>
      <c r="AR4560">
        <v>1</v>
      </c>
      <c r="AS4560" s="1">
        <v>19370</v>
      </c>
      <c r="AT4560" s="1">
        <v>3870</v>
      </c>
      <c r="AU4560" s="1">
        <v>15500</v>
      </c>
      <c r="AV4560">
        <v>80.02</v>
      </c>
      <c r="AX4560" s="1">
        <v>1606.22</v>
      </c>
      <c r="AY4560" t="s">
        <v>11872</v>
      </c>
      <c r="AZ4560" t="s">
        <v>7255</v>
      </c>
      <c r="BA4560" t="s">
        <v>5328</v>
      </c>
      <c r="BE4560" s="3">
        <v>41995</v>
      </c>
      <c r="BF4560" s="1">
        <v>207000</v>
      </c>
      <c r="BG4560" t="s">
        <v>28657</v>
      </c>
      <c r="BH4560" s="1">
        <v>120.63</v>
      </c>
      <c r="BI4560" s="1">
        <v>207000</v>
      </c>
      <c r="BJ4560" s="3">
        <v>41995</v>
      </c>
      <c r="BK4560" t="s">
        <v>123</v>
      </c>
      <c r="BL4560" t="str">
        <f>"2014.840410"</f>
        <v>2014.840410</v>
      </c>
      <c r="BM4560" t="s">
        <v>28658</v>
      </c>
      <c r="BO4560" t="s">
        <v>28659</v>
      </c>
      <c r="BS4560">
        <v>30</v>
      </c>
      <c r="BW4560" t="str">
        <f>""</f>
        <v/>
      </c>
      <c r="CH4560" t="str">
        <f>""</f>
        <v/>
      </c>
      <c r="CS4560" t="str">
        <f>""</f>
        <v/>
      </c>
    </row>
    <row r="4561" spans="1:97" x14ac:dyDescent="0.25">
      <c r="B4561" t="s">
        <v>28660</v>
      </c>
      <c r="E4561" t="s">
        <v>28660</v>
      </c>
      <c r="F4561" t="s">
        <v>108</v>
      </c>
      <c r="H4561" t="s">
        <v>28661</v>
      </c>
      <c r="I4561" t="s">
        <v>499</v>
      </c>
      <c r="J4561" t="s">
        <v>111</v>
      </c>
      <c r="K4561" t="str">
        <f>"85338"</f>
        <v>85338</v>
      </c>
      <c r="L4561" t="s">
        <v>6308</v>
      </c>
      <c r="M4561" t="s">
        <v>28661</v>
      </c>
      <c r="N4561" t="s">
        <v>499</v>
      </c>
      <c r="O4561" t="s">
        <v>111</v>
      </c>
      <c r="P4561" t="str">
        <f>"85338-8106"</f>
        <v>85338-8106</v>
      </c>
      <c r="Q4561" t="s">
        <v>113</v>
      </c>
      <c r="R4561" t="str">
        <f>"400-83-121"</f>
        <v>400-83-121</v>
      </c>
      <c r="S4561" t="s">
        <v>6774</v>
      </c>
      <c r="T4561" t="s">
        <v>6775</v>
      </c>
      <c r="U4561">
        <v>1890</v>
      </c>
      <c r="V4561">
        <v>0</v>
      </c>
      <c r="W4561">
        <v>4</v>
      </c>
      <c r="X4561">
        <v>2014</v>
      </c>
      <c r="Z4561">
        <v>1</v>
      </c>
      <c r="AB4561">
        <v>0</v>
      </c>
      <c r="AC4561" t="s">
        <v>115</v>
      </c>
      <c r="AD4561">
        <v>2</v>
      </c>
      <c r="AE4561" t="s">
        <v>115</v>
      </c>
      <c r="AF4561">
        <v>0</v>
      </c>
      <c r="AG4561">
        <v>0</v>
      </c>
      <c r="AH4561" t="s">
        <v>116</v>
      </c>
      <c r="AI4561" s="1">
        <v>55379</v>
      </c>
      <c r="AJ4561" s="2">
        <v>0.15</v>
      </c>
      <c r="AK4561" s="1">
        <v>365881</v>
      </c>
      <c r="AL4561" t="s">
        <v>117</v>
      </c>
      <c r="AM4561" t="s">
        <v>118</v>
      </c>
      <c r="AN4561">
        <v>7767</v>
      </c>
      <c r="AO4561">
        <v>0.18</v>
      </c>
      <c r="AR4561">
        <v>1</v>
      </c>
      <c r="AS4561" s="1">
        <v>25730</v>
      </c>
      <c r="AT4561" s="1">
        <v>5140</v>
      </c>
      <c r="AU4561" s="1">
        <v>20590</v>
      </c>
      <c r="AV4561">
        <v>80.02</v>
      </c>
      <c r="AX4561" s="1">
        <v>2338.84</v>
      </c>
      <c r="AY4561" t="s">
        <v>1246</v>
      </c>
      <c r="AZ4561" t="s">
        <v>1246</v>
      </c>
      <c r="BA4561" t="s">
        <v>1247</v>
      </c>
      <c r="BB4561" s="3">
        <v>42003</v>
      </c>
      <c r="BD4561" t="s">
        <v>240</v>
      </c>
      <c r="BE4561" s="3">
        <v>42003</v>
      </c>
      <c r="BF4561" s="1">
        <v>310502</v>
      </c>
      <c r="BG4561" t="s">
        <v>2780</v>
      </c>
      <c r="BH4561" s="1">
        <v>164.29</v>
      </c>
      <c r="BI4561" s="1">
        <v>310502</v>
      </c>
      <c r="BJ4561" s="3">
        <v>42003</v>
      </c>
      <c r="BK4561" t="s">
        <v>123</v>
      </c>
      <c r="BL4561" t="str">
        <f>"2014.855637"</f>
        <v>2014.855637</v>
      </c>
      <c r="BM4561" t="s">
        <v>724</v>
      </c>
      <c r="BO4561" t="s">
        <v>28662</v>
      </c>
      <c r="BS4561">
        <v>30</v>
      </c>
      <c r="BW4561" t="str">
        <f>""</f>
        <v/>
      </c>
      <c r="CH4561" t="str">
        <f>""</f>
        <v/>
      </c>
      <c r="CS4561" t="str">
        <f>""</f>
        <v/>
      </c>
    </row>
    <row r="4562" spans="1:97" x14ac:dyDescent="0.25">
      <c r="A4562" t="s">
        <v>28663</v>
      </c>
      <c r="B4562" t="s">
        <v>28664</v>
      </c>
      <c r="E4562" t="s">
        <v>28665</v>
      </c>
      <c r="F4562" t="s">
        <v>108</v>
      </c>
      <c r="H4562" t="s">
        <v>28666</v>
      </c>
      <c r="I4562" t="s">
        <v>2874</v>
      </c>
      <c r="J4562" t="s">
        <v>111</v>
      </c>
      <c r="K4562" t="str">
        <f>"85308"</f>
        <v>85308</v>
      </c>
      <c r="L4562" t="s">
        <v>541</v>
      </c>
      <c r="M4562" t="s">
        <v>28666</v>
      </c>
      <c r="N4562" t="s">
        <v>2874</v>
      </c>
      <c r="O4562" t="s">
        <v>111</v>
      </c>
      <c r="P4562" t="str">
        <f>"85308-9533"</f>
        <v>85308-9533</v>
      </c>
      <c r="Q4562" t="s">
        <v>113</v>
      </c>
      <c r="R4562" t="str">
        <f>"200-21-948"</f>
        <v>200-21-948</v>
      </c>
      <c r="S4562" t="s">
        <v>13267</v>
      </c>
      <c r="T4562" t="s">
        <v>13267</v>
      </c>
      <c r="U4562">
        <v>2146</v>
      </c>
      <c r="V4562">
        <v>0</v>
      </c>
      <c r="W4562">
        <v>4</v>
      </c>
      <c r="X4562">
        <v>1997</v>
      </c>
      <c r="Z4562">
        <v>2</v>
      </c>
      <c r="AA4562" t="s">
        <v>26</v>
      </c>
      <c r="AB4562">
        <v>0</v>
      </c>
      <c r="AC4562" t="s">
        <v>115</v>
      </c>
      <c r="AD4562">
        <v>2</v>
      </c>
      <c r="AE4562" t="s">
        <v>115</v>
      </c>
      <c r="AF4562">
        <v>0</v>
      </c>
      <c r="AG4562">
        <v>0</v>
      </c>
      <c r="AH4562" t="s">
        <v>116</v>
      </c>
      <c r="AI4562" s="1">
        <v>59108</v>
      </c>
      <c r="AJ4562" s="2">
        <v>0.17</v>
      </c>
      <c r="AK4562" s="1">
        <v>353308</v>
      </c>
      <c r="AL4562" t="s">
        <v>117</v>
      </c>
      <c r="AM4562" t="s">
        <v>191</v>
      </c>
      <c r="AN4562">
        <v>6367</v>
      </c>
      <c r="AO4562">
        <v>0.15</v>
      </c>
      <c r="AP4562">
        <v>1</v>
      </c>
      <c r="AR4562">
        <v>1</v>
      </c>
      <c r="AS4562" s="1">
        <v>24610</v>
      </c>
      <c r="AT4562" s="1">
        <v>4920</v>
      </c>
      <c r="AU4562" s="1">
        <v>19690</v>
      </c>
      <c r="AV4562">
        <v>80.010000000000005</v>
      </c>
      <c r="AX4562" s="1">
        <v>2191.12</v>
      </c>
      <c r="AY4562" t="s">
        <v>8358</v>
      </c>
      <c r="AZ4562" t="s">
        <v>8358</v>
      </c>
      <c r="BA4562" t="s">
        <v>2223</v>
      </c>
      <c r="BE4562" s="3">
        <v>42230</v>
      </c>
      <c r="BF4562" s="1">
        <v>294500</v>
      </c>
      <c r="BG4562" t="s">
        <v>28667</v>
      </c>
      <c r="BH4562" s="1">
        <v>137.22999999999999</v>
      </c>
      <c r="BI4562" s="1">
        <v>294200</v>
      </c>
      <c r="BJ4562" s="3">
        <v>42594</v>
      </c>
      <c r="BK4562" t="s">
        <v>123</v>
      </c>
      <c r="BL4562" t="str">
        <f>"2016.578156"</f>
        <v>2016.578156</v>
      </c>
      <c r="BM4562" t="s">
        <v>255</v>
      </c>
      <c r="BO4562" t="s">
        <v>28668</v>
      </c>
      <c r="BS4562">
        <v>30</v>
      </c>
      <c r="BW4562" t="str">
        <f>""</f>
        <v/>
      </c>
      <c r="CH4562" t="str">
        <f>""</f>
        <v/>
      </c>
      <c r="CS4562" t="str">
        <f>""</f>
        <v/>
      </c>
    </row>
    <row r="4563" spans="1:97" x14ac:dyDescent="0.25">
      <c r="A4563" t="s">
        <v>695</v>
      </c>
      <c r="B4563" t="s">
        <v>3333</v>
      </c>
      <c r="C4563" t="s">
        <v>10627</v>
      </c>
      <c r="D4563" t="s">
        <v>3333</v>
      </c>
      <c r="E4563" t="s">
        <v>28669</v>
      </c>
      <c r="F4563" t="s">
        <v>108</v>
      </c>
      <c r="H4563" t="s">
        <v>28670</v>
      </c>
      <c r="I4563" t="s">
        <v>453</v>
      </c>
      <c r="J4563" t="s">
        <v>111</v>
      </c>
      <c r="K4563" t="str">
        <f>"85383"</f>
        <v>85383</v>
      </c>
      <c r="L4563" t="s">
        <v>7235</v>
      </c>
      <c r="M4563" t="s">
        <v>28670</v>
      </c>
      <c r="N4563" t="s">
        <v>453</v>
      </c>
      <c r="O4563" t="s">
        <v>111</v>
      </c>
      <c r="P4563" t="str">
        <f>"85383-5875"</f>
        <v>85383-5875</v>
      </c>
      <c r="Q4563" t="s">
        <v>113</v>
      </c>
      <c r="R4563" t="str">
        <f>"503-55-402"</f>
        <v>503-55-402</v>
      </c>
      <c r="S4563" t="s">
        <v>7236</v>
      </c>
      <c r="T4563" t="s">
        <v>7237</v>
      </c>
      <c r="U4563">
        <v>2464</v>
      </c>
      <c r="V4563">
        <v>0</v>
      </c>
      <c r="W4563">
        <v>3</v>
      </c>
      <c r="X4563">
        <v>2016</v>
      </c>
      <c r="Z4563">
        <v>2</v>
      </c>
      <c r="AA4563" t="s">
        <v>26</v>
      </c>
      <c r="AB4563">
        <v>0</v>
      </c>
      <c r="AC4563" t="s">
        <v>115</v>
      </c>
      <c r="AD4563">
        <v>3</v>
      </c>
      <c r="AE4563" t="s">
        <v>115</v>
      </c>
      <c r="AF4563">
        <v>0</v>
      </c>
      <c r="AG4563">
        <v>0</v>
      </c>
      <c r="AH4563" t="s">
        <v>116</v>
      </c>
      <c r="AI4563" s="1">
        <v>89513</v>
      </c>
      <c r="AJ4563" s="2">
        <v>0.23</v>
      </c>
      <c r="AK4563" s="1">
        <v>391196</v>
      </c>
      <c r="AL4563" t="s">
        <v>117</v>
      </c>
      <c r="AM4563" t="s">
        <v>229</v>
      </c>
      <c r="AN4563">
        <v>11257</v>
      </c>
      <c r="AO4563">
        <v>0.26</v>
      </c>
      <c r="AR4563">
        <v>1</v>
      </c>
      <c r="AS4563" s="1">
        <v>27450</v>
      </c>
      <c r="AT4563" s="1">
        <v>5490</v>
      </c>
      <c r="AU4563" s="1">
        <v>21960</v>
      </c>
      <c r="AV4563">
        <v>80</v>
      </c>
      <c r="AX4563" s="1">
        <v>2861.2</v>
      </c>
      <c r="AY4563" t="s">
        <v>456</v>
      </c>
      <c r="AZ4563" t="s">
        <v>456</v>
      </c>
      <c r="BA4563" t="s">
        <v>457</v>
      </c>
      <c r="BE4563" s="3">
        <v>42460</v>
      </c>
      <c r="BF4563" s="1">
        <v>301683</v>
      </c>
      <c r="BG4563" t="s">
        <v>7238</v>
      </c>
      <c r="BH4563" s="1">
        <v>122.44</v>
      </c>
      <c r="BI4563" s="1">
        <v>301683</v>
      </c>
      <c r="BJ4563" s="3">
        <v>42460</v>
      </c>
      <c r="BK4563" t="s">
        <v>123</v>
      </c>
      <c r="BL4563" t="str">
        <f>"2016.210665"</f>
        <v>2016.210665</v>
      </c>
      <c r="BM4563" t="s">
        <v>2245</v>
      </c>
      <c r="BO4563" t="s">
        <v>28671</v>
      </c>
      <c r="BS4563">
        <v>30</v>
      </c>
      <c r="BW4563" t="str">
        <f>""</f>
        <v/>
      </c>
      <c r="CH4563" t="str">
        <f>""</f>
        <v/>
      </c>
      <c r="CS4563" t="str">
        <f>""</f>
        <v/>
      </c>
    </row>
    <row r="4564" spans="1:97" x14ac:dyDescent="0.25">
      <c r="A4564" t="s">
        <v>140</v>
      </c>
      <c r="B4564" t="s">
        <v>28672</v>
      </c>
      <c r="E4564" t="s">
        <v>28673</v>
      </c>
      <c r="F4564" t="s">
        <v>108</v>
      </c>
      <c r="H4564" t="s">
        <v>28674</v>
      </c>
      <c r="I4564" t="s">
        <v>632</v>
      </c>
      <c r="J4564" t="s">
        <v>111</v>
      </c>
      <c r="K4564" t="str">
        <f>"85379"</f>
        <v>85379</v>
      </c>
      <c r="L4564" t="s">
        <v>8255</v>
      </c>
      <c r="M4564" t="s">
        <v>28674</v>
      </c>
      <c r="N4564" t="s">
        <v>632</v>
      </c>
      <c r="O4564" t="s">
        <v>111</v>
      </c>
      <c r="P4564" t="str">
        <f>"85379-6218"</f>
        <v>85379-6218</v>
      </c>
      <c r="Q4564" t="s">
        <v>113</v>
      </c>
      <c r="R4564" t="str">
        <f>"501-92-034"</f>
        <v>501-92-034</v>
      </c>
      <c r="S4564" t="s">
        <v>8256</v>
      </c>
      <c r="U4564">
        <v>2385</v>
      </c>
      <c r="V4564">
        <v>0</v>
      </c>
      <c r="W4564">
        <v>4</v>
      </c>
      <c r="X4564">
        <v>2001</v>
      </c>
      <c r="Z4564">
        <v>2</v>
      </c>
      <c r="AA4564" t="s">
        <v>26</v>
      </c>
      <c r="AB4564">
        <v>0</v>
      </c>
      <c r="AC4564" t="s">
        <v>115</v>
      </c>
      <c r="AD4564">
        <v>2</v>
      </c>
      <c r="AE4564" t="s">
        <v>115</v>
      </c>
      <c r="AF4564">
        <v>0</v>
      </c>
      <c r="AG4564">
        <v>0</v>
      </c>
      <c r="AH4564" t="s">
        <v>116</v>
      </c>
      <c r="AI4564" s="1">
        <v>77054</v>
      </c>
      <c r="AJ4564" s="2">
        <v>0.27</v>
      </c>
      <c r="AK4564" s="1">
        <v>284711</v>
      </c>
      <c r="AL4564" t="s">
        <v>117</v>
      </c>
      <c r="AM4564" t="s">
        <v>5516</v>
      </c>
      <c r="AN4564">
        <v>8628</v>
      </c>
      <c r="AO4564">
        <v>0.2</v>
      </c>
      <c r="AP4564">
        <v>1</v>
      </c>
      <c r="AR4564">
        <v>1</v>
      </c>
      <c r="AS4564" s="1">
        <v>19770</v>
      </c>
      <c r="AT4564" s="1">
        <v>3950</v>
      </c>
      <c r="AU4564" s="1">
        <v>15820</v>
      </c>
      <c r="AV4564">
        <v>80.02</v>
      </c>
      <c r="AX4564" s="1">
        <v>1448.5</v>
      </c>
      <c r="AY4564" t="s">
        <v>6615</v>
      </c>
      <c r="AZ4564" t="s">
        <v>6615</v>
      </c>
      <c r="BA4564" t="s">
        <v>5061</v>
      </c>
      <c r="BE4564" s="3">
        <v>41775</v>
      </c>
      <c r="BF4564" s="1">
        <v>201925</v>
      </c>
      <c r="BG4564" t="s">
        <v>18014</v>
      </c>
      <c r="BH4564" s="1">
        <v>84.66</v>
      </c>
      <c r="BI4564" s="1">
        <v>207657</v>
      </c>
      <c r="BJ4564" s="3">
        <v>42633</v>
      </c>
      <c r="BK4564" t="s">
        <v>123</v>
      </c>
      <c r="BL4564" t="str">
        <f>"2016.683126"</f>
        <v>2016.683126</v>
      </c>
      <c r="BM4564" t="s">
        <v>594</v>
      </c>
      <c r="BO4564" t="s">
        <v>28675</v>
      </c>
      <c r="BS4564">
        <v>30</v>
      </c>
      <c r="BW4564" t="str">
        <f>""</f>
        <v/>
      </c>
      <c r="CH4564" t="str">
        <f>""</f>
        <v/>
      </c>
      <c r="CS4564" t="str">
        <f>""</f>
        <v/>
      </c>
    </row>
    <row r="4565" spans="1:97" x14ac:dyDescent="0.25">
      <c r="A4565" t="s">
        <v>126</v>
      </c>
      <c r="B4565" t="s">
        <v>1577</v>
      </c>
      <c r="C4565" t="s">
        <v>1692</v>
      </c>
      <c r="D4565" t="s">
        <v>1577</v>
      </c>
      <c r="E4565" t="s">
        <v>28676</v>
      </c>
      <c r="F4565" t="s">
        <v>108</v>
      </c>
      <c r="H4565" t="s">
        <v>28677</v>
      </c>
      <c r="I4565" t="s">
        <v>499</v>
      </c>
      <c r="J4565" t="s">
        <v>111</v>
      </c>
      <c r="K4565" t="str">
        <f>"85338"</f>
        <v>85338</v>
      </c>
      <c r="L4565" t="s">
        <v>11175</v>
      </c>
      <c r="M4565" t="s">
        <v>28677</v>
      </c>
      <c r="N4565" t="s">
        <v>499</v>
      </c>
      <c r="O4565" t="s">
        <v>111</v>
      </c>
      <c r="P4565" t="str">
        <f>"85338-9493"</f>
        <v>85338-9493</v>
      </c>
      <c r="Q4565" t="s">
        <v>113</v>
      </c>
      <c r="R4565" t="str">
        <f>"500-07-848"</f>
        <v>500-07-848</v>
      </c>
      <c r="S4565" t="s">
        <v>11176</v>
      </c>
      <c r="T4565" t="s">
        <v>11176</v>
      </c>
      <c r="U4565">
        <v>1674</v>
      </c>
      <c r="V4565">
        <v>0</v>
      </c>
      <c r="W4565">
        <v>3</v>
      </c>
      <c r="X4565">
        <v>2009</v>
      </c>
      <c r="Z4565">
        <v>1</v>
      </c>
      <c r="AB4565">
        <v>0</v>
      </c>
      <c r="AC4565" t="s">
        <v>115</v>
      </c>
      <c r="AD4565">
        <v>2</v>
      </c>
      <c r="AE4565" t="s">
        <v>115</v>
      </c>
      <c r="AF4565">
        <v>0</v>
      </c>
      <c r="AG4565">
        <v>0</v>
      </c>
      <c r="AH4565" t="s">
        <v>116</v>
      </c>
      <c r="AI4565" s="1">
        <v>40449</v>
      </c>
      <c r="AJ4565" s="2">
        <v>0.16</v>
      </c>
      <c r="AK4565" s="1">
        <v>249449</v>
      </c>
      <c r="AL4565" t="s">
        <v>117</v>
      </c>
      <c r="AM4565" t="s">
        <v>118</v>
      </c>
      <c r="AN4565">
        <v>6900</v>
      </c>
      <c r="AO4565">
        <v>0.16</v>
      </c>
      <c r="AR4565">
        <v>1</v>
      </c>
      <c r="AS4565" s="1">
        <v>16670</v>
      </c>
      <c r="AT4565" s="1">
        <v>3330</v>
      </c>
      <c r="AU4565" s="1">
        <v>13340</v>
      </c>
      <c r="AV4565">
        <v>80.02</v>
      </c>
      <c r="AX4565" s="1">
        <v>1561.2</v>
      </c>
      <c r="AY4565" t="s">
        <v>11177</v>
      </c>
      <c r="AZ4565" t="s">
        <v>11177</v>
      </c>
      <c r="BA4565" t="s">
        <v>7186</v>
      </c>
      <c r="BB4565" s="3">
        <v>43052</v>
      </c>
      <c r="BD4565" t="s">
        <v>157</v>
      </c>
      <c r="BE4565" s="3">
        <v>42207</v>
      </c>
      <c r="BF4565" s="1">
        <v>179900</v>
      </c>
      <c r="BG4565" t="s">
        <v>28678</v>
      </c>
      <c r="BH4565" s="1">
        <v>107.47</v>
      </c>
      <c r="BI4565" s="1">
        <v>209000</v>
      </c>
      <c r="BJ4565" s="3">
        <v>43052</v>
      </c>
      <c r="BK4565" t="s">
        <v>123</v>
      </c>
      <c r="BL4565" t="str">
        <f>"2017.839803"</f>
        <v>2017.839803</v>
      </c>
      <c r="BM4565" t="s">
        <v>340</v>
      </c>
      <c r="BO4565" t="s">
        <v>28679</v>
      </c>
      <c r="BS4565">
        <v>30</v>
      </c>
      <c r="BW4565" t="str">
        <f>""</f>
        <v/>
      </c>
      <c r="CH4565" t="str">
        <f>""</f>
        <v/>
      </c>
      <c r="CS4565" t="str">
        <f>""</f>
        <v/>
      </c>
    </row>
    <row r="4566" spans="1:97" x14ac:dyDescent="0.25">
      <c r="A4566" t="s">
        <v>1444</v>
      </c>
      <c r="B4566" t="s">
        <v>28680</v>
      </c>
      <c r="C4566" t="s">
        <v>2530</v>
      </c>
      <c r="D4566" t="s">
        <v>28680</v>
      </c>
      <c r="E4566" t="s">
        <v>28681</v>
      </c>
      <c r="F4566" t="s">
        <v>108</v>
      </c>
      <c r="H4566" t="s">
        <v>28682</v>
      </c>
      <c r="I4566" t="s">
        <v>390</v>
      </c>
      <c r="J4566" t="s">
        <v>111</v>
      </c>
      <c r="K4566" t="str">
        <f>"85021"</f>
        <v>85021</v>
      </c>
      <c r="L4566" t="s">
        <v>3982</v>
      </c>
      <c r="M4566" t="s">
        <v>28682</v>
      </c>
      <c r="N4566" t="s">
        <v>390</v>
      </c>
      <c r="O4566" t="s">
        <v>111</v>
      </c>
      <c r="P4566" t="str">
        <f>"85021-4332"</f>
        <v>85021-4332</v>
      </c>
      <c r="Q4566" t="s">
        <v>113</v>
      </c>
      <c r="R4566" t="str">
        <f>"158-22-074"</f>
        <v>158-22-074</v>
      </c>
      <c r="S4566" t="s">
        <v>28683</v>
      </c>
      <c r="T4566" t="s">
        <v>28683</v>
      </c>
      <c r="U4566">
        <v>2446</v>
      </c>
      <c r="V4566">
        <v>0</v>
      </c>
      <c r="W4566">
        <v>4</v>
      </c>
      <c r="X4566">
        <v>1986</v>
      </c>
      <c r="Z4566">
        <v>1</v>
      </c>
      <c r="AA4566" t="s">
        <v>26</v>
      </c>
      <c r="AB4566">
        <v>0</v>
      </c>
      <c r="AC4566" t="s">
        <v>115</v>
      </c>
      <c r="AD4566">
        <v>2</v>
      </c>
      <c r="AE4566" t="s">
        <v>115</v>
      </c>
      <c r="AF4566">
        <v>0</v>
      </c>
      <c r="AG4566">
        <v>0</v>
      </c>
      <c r="AH4566" t="s">
        <v>116</v>
      </c>
      <c r="AI4566" s="1">
        <v>117880</v>
      </c>
      <c r="AJ4566" s="2">
        <v>0.26</v>
      </c>
      <c r="AK4566" s="1">
        <v>453751</v>
      </c>
      <c r="AL4566" t="s">
        <v>117</v>
      </c>
      <c r="AM4566" t="s">
        <v>1302</v>
      </c>
      <c r="AN4566">
        <v>11221</v>
      </c>
      <c r="AO4566">
        <v>0.26</v>
      </c>
      <c r="AP4566">
        <v>1</v>
      </c>
      <c r="AR4566">
        <v>1</v>
      </c>
      <c r="AS4566" s="1">
        <v>32510</v>
      </c>
      <c r="AT4566" s="1">
        <v>6500</v>
      </c>
      <c r="AU4566" s="1">
        <v>26010</v>
      </c>
      <c r="AV4566">
        <v>80.010000000000005</v>
      </c>
      <c r="AX4566" s="1">
        <v>4214.8</v>
      </c>
      <c r="AY4566" t="s">
        <v>6147</v>
      </c>
      <c r="AZ4566" t="s">
        <v>6148</v>
      </c>
      <c r="BA4566" t="s">
        <v>6149</v>
      </c>
      <c r="BE4566" s="3">
        <v>41803</v>
      </c>
      <c r="BF4566" s="1">
        <v>335000</v>
      </c>
      <c r="BG4566" t="s">
        <v>28684</v>
      </c>
      <c r="BH4566" s="1">
        <v>133.04</v>
      </c>
      <c r="BI4566" s="1">
        <v>335871</v>
      </c>
      <c r="BJ4566" s="3">
        <v>42556</v>
      </c>
      <c r="BK4566" t="s">
        <v>123</v>
      </c>
      <c r="BL4566" t="str">
        <f>"2016.468213"</f>
        <v>2016.468213</v>
      </c>
      <c r="BM4566" t="s">
        <v>361</v>
      </c>
      <c r="BO4566" t="s">
        <v>28685</v>
      </c>
      <c r="BS4566">
        <v>30</v>
      </c>
      <c r="BW4566" t="str">
        <f>""</f>
        <v/>
      </c>
      <c r="CH4566" t="str">
        <f>""</f>
        <v/>
      </c>
      <c r="CS4566" t="str">
        <f>""</f>
        <v/>
      </c>
    </row>
    <row r="4567" spans="1:97" x14ac:dyDescent="0.25">
      <c r="A4567" t="s">
        <v>962</v>
      </c>
      <c r="B4567" t="s">
        <v>991</v>
      </c>
      <c r="E4567" t="s">
        <v>28686</v>
      </c>
      <c r="F4567" t="s">
        <v>108</v>
      </c>
      <c r="H4567" t="s">
        <v>28687</v>
      </c>
      <c r="I4567" t="s">
        <v>2874</v>
      </c>
      <c r="J4567" t="s">
        <v>111</v>
      </c>
      <c r="K4567" t="str">
        <f>"85308"</f>
        <v>85308</v>
      </c>
      <c r="L4567" t="s">
        <v>9069</v>
      </c>
      <c r="M4567" t="s">
        <v>28687</v>
      </c>
      <c r="N4567" t="s">
        <v>2874</v>
      </c>
      <c r="O4567" t="s">
        <v>111</v>
      </c>
      <c r="P4567" t="str">
        <f>"85308-4308"</f>
        <v>85308-4308</v>
      </c>
      <c r="Q4567" t="s">
        <v>113</v>
      </c>
      <c r="R4567" t="str">
        <f>"207-19-416"</f>
        <v>207-19-416</v>
      </c>
      <c r="S4567" t="s">
        <v>28688</v>
      </c>
      <c r="T4567" t="s">
        <v>28689</v>
      </c>
      <c r="U4567">
        <v>1832</v>
      </c>
      <c r="V4567">
        <v>0</v>
      </c>
      <c r="W4567">
        <v>2</v>
      </c>
      <c r="X4567">
        <v>1979</v>
      </c>
      <c r="Z4567">
        <v>1</v>
      </c>
      <c r="AB4567">
        <v>0</v>
      </c>
      <c r="AC4567" t="s">
        <v>115</v>
      </c>
      <c r="AD4567">
        <v>2</v>
      </c>
      <c r="AE4567" t="s">
        <v>115</v>
      </c>
      <c r="AF4567">
        <v>0</v>
      </c>
      <c r="AG4567">
        <v>0</v>
      </c>
      <c r="AH4567" t="s">
        <v>116</v>
      </c>
      <c r="AI4567" s="1">
        <v>52441</v>
      </c>
      <c r="AJ4567" s="2">
        <v>0.19</v>
      </c>
      <c r="AK4567" s="1">
        <v>270920</v>
      </c>
      <c r="AL4567" t="s">
        <v>117</v>
      </c>
      <c r="AM4567" t="s">
        <v>171</v>
      </c>
      <c r="AN4567">
        <v>9006</v>
      </c>
      <c r="AO4567">
        <v>0.21</v>
      </c>
      <c r="AP4567">
        <v>1</v>
      </c>
      <c r="AR4567">
        <v>1</v>
      </c>
      <c r="AS4567" s="1">
        <v>18430</v>
      </c>
      <c r="AT4567" s="1">
        <v>3680</v>
      </c>
      <c r="AU4567" s="1">
        <v>14750</v>
      </c>
      <c r="AV4567">
        <v>80.03</v>
      </c>
      <c r="AX4567" s="1">
        <v>1279.7</v>
      </c>
      <c r="AY4567" t="s">
        <v>8466</v>
      </c>
      <c r="AZ4567" t="s">
        <v>5142</v>
      </c>
      <c r="BA4567" t="s">
        <v>5143</v>
      </c>
      <c r="BE4567" s="3">
        <v>42256</v>
      </c>
      <c r="BF4567" s="1">
        <v>195000</v>
      </c>
      <c r="BG4567" t="s">
        <v>28690</v>
      </c>
      <c r="BH4567" s="1">
        <v>106.44</v>
      </c>
      <c r="BI4567" s="1">
        <v>218479</v>
      </c>
      <c r="BJ4567" s="3">
        <v>43010</v>
      </c>
      <c r="BK4567" t="s">
        <v>123</v>
      </c>
      <c r="BL4567" t="str">
        <f>"2017.726828"</f>
        <v>2017.726828</v>
      </c>
      <c r="BM4567" t="s">
        <v>1992</v>
      </c>
      <c r="BO4567" t="s">
        <v>28691</v>
      </c>
      <c r="BS4567">
        <v>30</v>
      </c>
      <c r="BW4567" t="str">
        <f>""</f>
        <v/>
      </c>
      <c r="CH4567" t="str">
        <f>""</f>
        <v/>
      </c>
      <c r="CS4567" t="str">
        <f>""</f>
        <v/>
      </c>
    </row>
    <row r="4568" spans="1:97" x14ac:dyDescent="0.25">
      <c r="A4568" t="s">
        <v>1082</v>
      </c>
      <c r="B4568" t="s">
        <v>327</v>
      </c>
      <c r="C4568" t="s">
        <v>28692</v>
      </c>
      <c r="D4568" t="s">
        <v>327</v>
      </c>
      <c r="E4568" t="s">
        <v>28693</v>
      </c>
      <c r="F4568" t="s">
        <v>108</v>
      </c>
      <c r="H4568" t="s">
        <v>28694</v>
      </c>
      <c r="I4568" t="s">
        <v>499</v>
      </c>
      <c r="J4568" t="s">
        <v>111</v>
      </c>
      <c r="K4568" t="str">
        <f>"85338"</f>
        <v>85338</v>
      </c>
      <c r="L4568" t="s">
        <v>6481</v>
      </c>
      <c r="M4568" t="s">
        <v>28694</v>
      </c>
      <c r="N4568" t="s">
        <v>499</v>
      </c>
      <c r="O4568" t="s">
        <v>111</v>
      </c>
      <c r="P4568" t="str">
        <f>"85338-2559"</f>
        <v>85338-2559</v>
      </c>
      <c r="Q4568" t="s">
        <v>113</v>
      </c>
      <c r="R4568" t="str">
        <f>"500-93-082"</f>
        <v>500-93-082</v>
      </c>
      <c r="S4568" t="s">
        <v>23455</v>
      </c>
      <c r="T4568" t="s">
        <v>23455</v>
      </c>
      <c r="U4568">
        <v>2863</v>
      </c>
      <c r="V4568">
        <v>0</v>
      </c>
      <c r="W4568">
        <v>5</v>
      </c>
      <c r="X4568">
        <v>2014</v>
      </c>
      <c r="Z4568">
        <v>2</v>
      </c>
      <c r="AB4568">
        <v>0</v>
      </c>
      <c r="AC4568" t="s">
        <v>115</v>
      </c>
      <c r="AD4568">
        <v>3</v>
      </c>
      <c r="AE4568" t="s">
        <v>115</v>
      </c>
      <c r="AF4568">
        <v>0</v>
      </c>
      <c r="AG4568">
        <v>0</v>
      </c>
      <c r="AH4568" t="s">
        <v>116</v>
      </c>
      <c r="AI4568" s="1">
        <v>58773</v>
      </c>
      <c r="AJ4568" s="2">
        <v>0.17</v>
      </c>
      <c r="AK4568" s="1">
        <v>339338</v>
      </c>
      <c r="AL4568" t="s">
        <v>117</v>
      </c>
      <c r="AM4568" t="s">
        <v>393</v>
      </c>
      <c r="AN4568">
        <v>8080</v>
      </c>
      <c r="AO4568">
        <v>0.18</v>
      </c>
      <c r="AR4568">
        <v>1</v>
      </c>
      <c r="AS4568" s="1">
        <v>24710</v>
      </c>
      <c r="AT4568" s="1">
        <v>4940</v>
      </c>
      <c r="AU4568" s="1">
        <v>19770</v>
      </c>
      <c r="AV4568">
        <v>80.010000000000005</v>
      </c>
      <c r="AX4568" s="1">
        <v>2074.2800000000002</v>
      </c>
      <c r="AY4568" t="s">
        <v>6319</v>
      </c>
      <c r="AZ4568" t="s">
        <v>6319</v>
      </c>
      <c r="BA4568" t="s">
        <v>7186</v>
      </c>
      <c r="BE4568" s="3">
        <v>41864</v>
      </c>
      <c r="BF4568" s="1">
        <v>271314</v>
      </c>
      <c r="BG4568" t="s">
        <v>2289</v>
      </c>
      <c r="BH4568" s="1">
        <v>94.77</v>
      </c>
      <c r="BI4568" s="1">
        <v>280565</v>
      </c>
      <c r="BJ4568" s="3">
        <v>42661</v>
      </c>
      <c r="BK4568" t="s">
        <v>123</v>
      </c>
      <c r="BL4568" t="str">
        <f>"2016.761830"</f>
        <v>2016.761830</v>
      </c>
      <c r="BM4568" t="s">
        <v>2117</v>
      </c>
      <c r="BO4568" t="s">
        <v>28695</v>
      </c>
      <c r="BS4568">
        <v>30</v>
      </c>
      <c r="BW4568" t="str">
        <f>""</f>
        <v/>
      </c>
      <c r="CH4568" t="str">
        <f>""</f>
        <v/>
      </c>
      <c r="CS4568" t="str">
        <f>""</f>
        <v/>
      </c>
    </row>
    <row r="4569" spans="1:97" x14ac:dyDescent="0.25">
      <c r="B4569" t="s">
        <v>28696</v>
      </c>
      <c r="E4569" t="s">
        <v>20469</v>
      </c>
      <c r="F4569" t="s">
        <v>108</v>
      </c>
      <c r="H4569" t="s">
        <v>28697</v>
      </c>
      <c r="I4569" t="s">
        <v>390</v>
      </c>
      <c r="J4569" t="s">
        <v>111</v>
      </c>
      <c r="K4569" t="str">
        <f>"85014"</f>
        <v>85014</v>
      </c>
      <c r="L4569" t="s">
        <v>6964</v>
      </c>
      <c r="M4569" t="s">
        <v>28697</v>
      </c>
      <c r="N4569" t="s">
        <v>390</v>
      </c>
      <c r="O4569" t="s">
        <v>111</v>
      </c>
      <c r="P4569" t="str">
        <f>"85014-5118"</f>
        <v>85014-5118</v>
      </c>
      <c r="Q4569" t="s">
        <v>113</v>
      </c>
      <c r="R4569" t="str">
        <f>"118-02-094"</f>
        <v>118-02-094</v>
      </c>
      <c r="S4569" t="s">
        <v>28698</v>
      </c>
      <c r="T4569" t="s">
        <v>28699</v>
      </c>
      <c r="U4569">
        <v>1366</v>
      </c>
      <c r="V4569">
        <v>0</v>
      </c>
      <c r="W4569">
        <v>2</v>
      </c>
      <c r="X4569">
        <v>1953</v>
      </c>
      <c r="Z4569">
        <v>1</v>
      </c>
      <c r="AA4569" t="s">
        <v>26</v>
      </c>
      <c r="AB4569">
        <v>0</v>
      </c>
      <c r="AC4569" t="s">
        <v>115</v>
      </c>
      <c r="AD4569">
        <v>2</v>
      </c>
      <c r="AE4569" t="s">
        <v>115</v>
      </c>
      <c r="AF4569">
        <v>0</v>
      </c>
      <c r="AG4569">
        <v>0</v>
      </c>
      <c r="AH4569" t="s">
        <v>116</v>
      </c>
      <c r="AI4569" s="1">
        <v>127071</v>
      </c>
      <c r="AJ4569" s="2">
        <v>0.28000000000000003</v>
      </c>
      <c r="AK4569" s="1">
        <v>454971</v>
      </c>
      <c r="AL4569" t="s">
        <v>117</v>
      </c>
      <c r="AM4569" t="s">
        <v>191</v>
      </c>
      <c r="AN4569">
        <v>6247</v>
      </c>
      <c r="AO4569">
        <v>0.14000000000000001</v>
      </c>
      <c r="AP4569">
        <v>1</v>
      </c>
      <c r="AR4569">
        <v>1</v>
      </c>
      <c r="AS4569" s="1">
        <v>19830</v>
      </c>
      <c r="AT4569" s="1">
        <v>3960</v>
      </c>
      <c r="AU4569" s="1">
        <v>15870</v>
      </c>
      <c r="AV4569">
        <v>80.03</v>
      </c>
      <c r="AX4569" s="1">
        <v>1095.24</v>
      </c>
      <c r="AY4569" t="s">
        <v>5689</v>
      </c>
      <c r="AZ4569" t="s">
        <v>5690</v>
      </c>
      <c r="BA4569" t="s">
        <v>8412</v>
      </c>
      <c r="BE4569" s="3">
        <v>42459</v>
      </c>
      <c r="BF4569" s="1">
        <v>300000</v>
      </c>
      <c r="BG4569" t="s">
        <v>28700</v>
      </c>
      <c r="BH4569" s="1">
        <v>219.62</v>
      </c>
      <c r="BI4569" s="1">
        <v>309900</v>
      </c>
      <c r="BJ4569" s="3">
        <v>42459</v>
      </c>
      <c r="BK4569" t="s">
        <v>123</v>
      </c>
      <c r="BL4569" t="str">
        <f>"2016.207589"</f>
        <v>2016.207589</v>
      </c>
      <c r="BM4569" t="s">
        <v>28701</v>
      </c>
      <c r="BN4569" t="s">
        <v>28702</v>
      </c>
      <c r="BO4569" t="s">
        <v>28696</v>
      </c>
      <c r="BS4569">
        <v>30</v>
      </c>
      <c r="BT4569" s="1">
        <v>18000</v>
      </c>
      <c r="BU4569" s="3">
        <v>43252</v>
      </c>
      <c r="BV4569" t="s">
        <v>134</v>
      </c>
      <c r="BW4569" t="str">
        <f>"2018.423072"</f>
        <v>2018.423072</v>
      </c>
      <c r="BX4569" t="s">
        <v>135</v>
      </c>
      <c r="BY4569" t="s">
        <v>136</v>
      </c>
      <c r="BZ4569" t="s">
        <v>28696</v>
      </c>
      <c r="CC4569" t="s">
        <v>139</v>
      </c>
      <c r="CH4569" t="str">
        <f>""</f>
        <v/>
      </c>
      <c r="CS4569" t="str">
        <f>""</f>
        <v/>
      </c>
    </row>
    <row r="4570" spans="1:97" x14ac:dyDescent="0.25">
      <c r="A4570" t="s">
        <v>6876</v>
      </c>
      <c r="B4570" t="s">
        <v>28703</v>
      </c>
      <c r="C4570" t="s">
        <v>8911</v>
      </c>
      <c r="D4570" t="s">
        <v>28703</v>
      </c>
      <c r="E4570" t="s">
        <v>28704</v>
      </c>
      <c r="F4570" t="s">
        <v>108</v>
      </c>
      <c r="H4570" t="s">
        <v>28705</v>
      </c>
      <c r="I4570" t="s">
        <v>5636</v>
      </c>
      <c r="J4570" t="s">
        <v>111</v>
      </c>
      <c r="K4570" t="str">
        <f>"85268"</f>
        <v>85268</v>
      </c>
      <c r="L4570" t="s">
        <v>5637</v>
      </c>
      <c r="M4570" t="s">
        <v>28705</v>
      </c>
      <c r="N4570" t="s">
        <v>5636</v>
      </c>
      <c r="O4570" t="s">
        <v>111</v>
      </c>
      <c r="P4570" t="str">
        <f>"85268-3104"</f>
        <v>85268-3104</v>
      </c>
      <c r="Q4570" t="s">
        <v>113</v>
      </c>
      <c r="R4570" t="str">
        <f>"176-01-650"</f>
        <v>176-01-650</v>
      </c>
      <c r="S4570" t="s">
        <v>28706</v>
      </c>
      <c r="T4570" t="s">
        <v>28706</v>
      </c>
      <c r="U4570">
        <v>1412</v>
      </c>
      <c r="V4570">
        <v>0</v>
      </c>
      <c r="W4570">
        <v>3</v>
      </c>
      <c r="X4570">
        <v>1993</v>
      </c>
      <c r="Z4570">
        <v>1</v>
      </c>
      <c r="AB4570">
        <v>0</v>
      </c>
      <c r="AC4570" t="s">
        <v>115</v>
      </c>
      <c r="AD4570">
        <v>2</v>
      </c>
      <c r="AE4570" t="s">
        <v>115</v>
      </c>
      <c r="AF4570">
        <v>0</v>
      </c>
      <c r="AG4570">
        <v>0</v>
      </c>
      <c r="AH4570" t="s">
        <v>116</v>
      </c>
      <c r="AI4570" s="1">
        <v>50562</v>
      </c>
      <c r="AJ4570" s="2">
        <v>0.15</v>
      </c>
      <c r="AK4570" s="1">
        <v>334637</v>
      </c>
      <c r="AL4570" t="s">
        <v>117</v>
      </c>
      <c r="AM4570" t="s">
        <v>191</v>
      </c>
      <c r="AN4570">
        <v>6007</v>
      </c>
      <c r="AO4570">
        <v>0.14000000000000001</v>
      </c>
      <c r="AP4570">
        <v>1</v>
      </c>
      <c r="AR4570">
        <v>1</v>
      </c>
      <c r="AS4570" s="1">
        <v>22550</v>
      </c>
      <c r="AT4570" s="1">
        <v>4510</v>
      </c>
      <c r="AU4570" s="1">
        <v>18040</v>
      </c>
      <c r="AV4570">
        <v>80</v>
      </c>
      <c r="AX4570" s="1">
        <v>1378.5</v>
      </c>
      <c r="AY4570" t="s">
        <v>5639</v>
      </c>
      <c r="AZ4570" t="s">
        <v>5640</v>
      </c>
      <c r="BA4570" t="s">
        <v>5641</v>
      </c>
      <c r="BE4570" s="3">
        <v>42551</v>
      </c>
      <c r="BF4570" s="1">
        <v>275000</v>
      </c>
      <c r="BG4570" t="s">
        <v>28707</v>
      </c>
      <c r="BH4570" s="1">
        <v>194.76</v>
      </c>
      <c r="BI4570" s="1">
        <v>284075</v>
      </c>
      <c r="BJ4570" s="3">
        <v>42551</v>
      </c>
      <c r="BK4570" t="s">
        <v>123</v>
      </c>
      <c r="BL4570" t="str">
        <f>"2016.460671"</f>
        <v>2016.460671</v>
      </c>
      <c r="BM4570" t="s">
        <v>131</v>
      </c>
      <c r="BO4570" t="s">
        <v>28708</v>
      </c>
      <c r="BS4570">
        <v>30</v>
      </c>
      <c r="BW4570" t="str">
        <f>""</f>
        <v/>
      </c>
      <c r="CH4570" t="str">
        <f>""</f>
        <v/>
      </c>
      <c r="CS4570" t="str">
        <f>""</f>
        <v/>
      </c>
    </row>
    <row r="4571" spans="1:97" x14ac:dyDescent="0.25">
      <c r="A4571" t="s">
        <v>938</v>
      </c>
      <c r="B4571" t="s">
        <v>28709</v>
      </c>
      <c r="C4571" t="s">
        <v>28710</v>
      </c>
      <c r="D4571" t="s">
        <v>28709</v>
      </c>
      <c r="E4571" t="s">
        <v>28711</v>
      </c>
      <c r="F4571" t="s">
        <v>108</v>
      </c>
      <c r="H4571" t="s">
        <v>28712</v>
      </c>
      <c r="I4571" t="s">
        <v>453</v>
      </c>
      <c r="J4571" t="s">
        <v>111</v>
      </c>
      <c r="K4571" t="str">
        <f>"85383"</f>
        <v>85383</v>
      </c>
      <c r="L4571" t="s">
        <v>2015</v>
      </c>
      <c r="M4571" t="s">
        <v>28712</v>
      </c>
      <c r="N4571" t="s">
        <v>453</v>
      </c>
      <c r="O4571" t="s">
        <v>111</v>
      </c>
      <c r="P4571" t="str">
        <f>"85383-9680"</f>
        <v>85383-9680</v>
      </c>
      <c r="Q4571" t="s">
        <v>113</v>
      </c>
      <c r="R4571" t="str">
        <f>"201-17-441"</f>
        <v>201-17-441</v>
      </c>
      <c r="S4571" t="s">
        <v>28713</v>
      </c>
      <c r="U4571">
        <v>1776</v>
      </c>
      <c r="V4571">
        <v>0</v>
      </c>
      <c r="W4571">
        <v>3</v>
      </c>
      <c r="X4571">
        <v>2011</v>
      </c>
      <c r="Z4571">
        <v>1</v>
      </c>
      <c r="AB4571">
        <v>0</v>
      </c>
      <c r="AC4571" t="s">
        <v>115</v>
      </c>
      <c r="AD4571">
        <v>2</v>
      </c>
      <c r="AE4571" t="s">
        <v>115</v>
      </c>
      <c r="AF4571">
        <v>0</v>
      </c>
      <c r="AG4571">
        <v>0</v>
      </c>
      <c r="AH4571" t="s">
        <v>116</v>
      </c>
      <c r="AI4571" s="1">
        <v>62826</v>
      </c>
      <c r="AJ4571" s="2">
        <v>0.21</v>
      </c>
      <c r="AK4571" s="1">
        <v>305581</v>
      </c>
      <c r="AL4571" t="s">
        <v>117</v>
      </c>
      <c r="AM4571" t="s">
        <v>118</v>
      </c>
      <c r="AN4571">
        <v>5750</v>
      </c>
      <c r="AO4571">
        <v>0.13</v>
      </c>
      <c r="AR4571">
        <v>1</v>
      </c>
      <c r="AS4571" s="1">
        <v>22170</v>
      </c>
      <c r="AT4571" s="1">
        <v>4430</v>
      </c>
      <c r="AU4571" s="1">
        <v>17740</v>
      </c>
      <c r="AV4571">
        <v>80.02</v>
      </c>
      <c r="AX4571" s="1">
        <v>2325</v>
      </c>
      <c r="AY4571" t="s">
        <v>456</v>
      </c>
      <c r="AZ4571" t="s">
        <v>456</v>
      </c>
      <c r="BA4571" t="s">
        <v>457</v>
      </c>
      <c r="BE4571" s="3">
        <v>42124</v>
      </c>
      <c r="BF4571" s="1">
        <v>235000</v>
      </c>
      <c r="BG4571" t="s">
        <v>28714</v>
      </c>
      <c r="BH4571" s="1">
        <v>132.32</v>
      </c>
      <c r="BI4571" s="1">
        <v>242755</v>
      </c>
      <c r="BJ4571" s="3">
        <v>42124</v>
      </c>
      <c r="BK4571" t="s">
        <v>123</v>
      </c>
      <c r="BL4571" t="str">
        <f>"2015.304150"</f>
        <v>2015.304150</v>
      </c>
      <c r="BM4571" t="s">
        <v>594</v>
      </c>
      <c r="BO4571" t="s">
        <v>28715</v>
      </c>
      <c r="BS4571">
        <v>30</v>
      </c>
      <c r="BW4571" t="str">
        <f>""</f>
        <v/>
      </c>
      <c r="CH4571" t="str">
        <f>""</f>
        <v/>
      </c>
      <c r="CS4571" t="str">
        <f>""</f>
        <v/>
      </c>
    </row>
    <row r="4572" spans="1:97" x14ac:dyDescent="0.25">
      <c r="A4572" t="s">
        <v>6821</v>
      </c>
      <c r="B4572" t="s">
        <v>13267</v>
      </c>
      <c r="C4572" t="s">
        <v>28716</v>
      </c>
      <c r="D4572" t="s">
        <v>13267</v>
      </c>
      <c r="E4572" t="s">
        <v>28717</v>
      </c>
      <c r="F4572" t="s">
        <v>108</v>
      </c>
      <c r="H4572" t="s">
        <v>28718</v>
      </c>
      <c r="I4572" t="s">
        <v>203</v>
      </c>
      <c r="J4572" t="s">
        <v>111</v>
      </c>
      <c r="K4572" t="str">
        <f>"85234"</f>
        <v>85234</v>
      </c>
      <c r="L4572" t="s">
        <v>2220</v>
      </c>
      <c r="M4572" t="s">
        <v>28718</v>
      </c>
      <c r="N4572" t="s">
        <v>203</v>
      </c>
      <c r="O4572" t="s">
        <v>111</v>
      </c>
      <c r="P4572" t="str">
        <f>"85234-1429"</f>
        <v>85234-1429</v>
      </c>
      <c r="Q4572" t="s">
        <v>113</v>
      </c>
      <c r="R4572" t="str">
        <f>"304-08-526"</f>
        <v>304-08-526</v>
      </c>
      <c r="S4572" t="s">
        <v>19499</v>
      </c>
      <c r="T4572" t="s">
        <v>19500</v>
      </c>
      <c r="U4572">
        <v>1838</v>
      </c>
      <c r="V4572">
        <v>0</v>
      </c>
      <c r="W4572">
        <v>3</v>
      </c>
      <c r="X4572">
        <v>1998</v>
      </c>
      <c r="Z4572">
        <v>1</v>
      </c>
      <c r="AA4572" t="s">
        <v>26</v>
      </c>
      <c r="AB4572">
        <v>0</v>
      </c>
      <c r="AC4572" t="s">
        <v>115</v>
      </c>
      <c r="AD4572">
        <v>2</v>
      </c>
      <c r="AE4572" t="s">
        <v>115</v>
      </c>
      <c r="AF4572">
        <v>0</v>
      </c>
      <c r="AG4572">
        <v>0</v>
      </c>
      <c r="AH4572" t="s">
        <v>116</v>
      </c>
      <c r="AI4572" s="1">
        <v>95132</v>
      </c>
      <c r="AJ4572" s="2">
        <v>0.28000000000000003</v>
      </c>
      <c r="AK4572" s="1">
        <v>339212</v>
      </c>
      <c r="AL4572" t="s">
        <v>117</v>
      </c>
      <c r="AM4572" t="s">
        <v>393</v>
      </c>
      <c r="AN4572">
        <v>7771</v>
      </c>
      <c r="AO4572">
        <v>0.18</v>
      </c>
      <c r="AP4572">
        <v>1</v>
      </c>
      <c r="AR4572">
        <v>1</v>
      </c>
      <c r="AS4572" s="1">
        <v>24080</v>
      </c>
      <c r="AT4572" s="1">
        <v>4810</v>
      </c>
      <c r="AU4572" s="1">
        <v>19270</v>
      </c>
      <c r="AV4572">
        <v>80.02</v>
      </c>
      <c r="AX4572" s="1">
        <v>1618.92</v>
      </c>
      <c r="AY4572" t="s">
        <v>8450</v>
      </c>
      <c r="AZ4572" t="s">
        <v>571</v>
      </c>
      <c r="BA4572" t="s">
        <v>521</v>
      </c>
      <c r="BE4572" s="3">
        <v>41760</v>
      </c>
      <c r="BF4572" s="1">
        <v>235000</v>
      </c>
      <c r="BG4572" t="s">
        <v>28719</v>
      </c>
      <c r="BH4572" s="1">
        <v>127.86</v>
      </c>
      <c r="BI4572" s="1">
        <v>244080</v>
      </c>
      <c r="BJ4572" s="3">
        <v>42061</v>
      </c>
      <c r="BK4572" t="s">
        <v>123</v>
      </c>
      <c r="BL4572" t="str">
        <f>"2015.124338"</f>
        <v>2015.124338</v>
      </c>
      <c r="BM4572" t="s">
        <v>255</v>
      </c>
      <c r="BO4572" t="s">
        <v>28720</v>
      </c>
      <c r="BS4572">
        <v>30</v>
      </c>
      <c r="BW4572" t="str">
        <f>""</f>
        <v/>
      </c>
      <c r="CH4572" t="str">
        <f>""</f>
        <v/>
      </c>
      <c r="CS4572" t="str">
        <f>""</f>
        <v/>
      </c>
    </row>
    <row r="4573" spans="1:97" x14ac:dyDescent="0.25">
      <c r="A4573" t="s">
        <v>140</v>
      </c>
      <c r="B4573" t="s">
        <v>1667</v>
      </c>
      <c r="C4573" t="s">
        <v>2168</v>
      </c>
      <c r="D4573" t="s">
        <v>1667</v>
      </c>
      <c r="E4573" t="s">
        <v>28721</v>
      </c>
      <c r="F4573" t="s">
        <v>108</v>
      </c>
      <c r="H4573" t="s">
        <v>28722</v>
      </c>
      <c r="I4573" t="s">
        <v>203</v>
      </c>
      <c r="J4573" t="s">
        <v>111</v>
      </c>
      <c r="K4573" t="str">
        <f>"85234"</f>
        <v>85234</v>
      </c>
      <c r="L4573" t="s">
        <v>4259</v>
      </c>
      <c r="M4573" t="s">
        <v>28722</v>
      </c>
      <c r="N4573" t="s">
        <v>203</v>
      </c>
      <c r="O4573" t="s">
        <v>111</v>
      </c>
      <c r="P4573" t="str">
        <f>"85234-7844"</f>
        <v>85234-7844</v>
      </c>
      <c r="Q4573" t="s">
        <v>113</v>
      </c>
      <c r="R4573" t="str">
        <f>"313-12-167"</f>
        <v>313-12-167</v>
      </c>
      <c r="S4573" t="s">
        <v>18711</v>
      </c>
      <c r="T4573" t="s">
        <v>18711</v>
      </c>
      <c r="U4573">
        <v>1882</v>
      </c>
      <c r="V4573">
        <v>0</v>
      </c>
      <c r="W4573">
        <v>3</v>
      </c>
      <c r="X4573">
        <v>2015</v>
      </c>
      <c r="Z4573">
        <v>2</v>
      </c>
      <c r="AB4573">
        <v>0</v>
      </c>
      <c r="AC4573" t="s">
        <v>115</v>
      </c>
      <c r="AD4573">
        <v>2</v>
      </c>
      <c r="AE4573" t="s">
        <v>115</v>
      </c>
      <c r="AF4573">
        <v>0</v>
      </c>
      <c r="AG4573">
        <v>0</v>
      </c>
      <c r="AH4573" t="s">
        <v>116</v>
      </c>
      <c r="AI4573" s="1">
        <v>53095</v>
      </c>
      <c r="AJ4573" s="2">
        <v>0.18</v>
      </c>
      <c r="AK4573" s="1">
        <v>292115</v>
      </c>
      <c r="AL4573" t="s">
        <v>117</v>
      </c>
      <c r="AM4573" t="s">
        <v>288</v>
      </c>
      <c r="AN4573">
        <v>2700</v>
      </c>
      <c r="AO4573">
        <v>0.62</v>
      </c>
      <c r="AR4573">
        <v>1</v>
      </c>
      <c r="AS4573" s="1">
        <v>19170</v>
      </c>
      <c r="AT4573" s="1">
        <v>3830</v>
      </c>
      <c r="AU4573" s="1">
        <v>15340</v>
      </c>
      <c r="AV4573">
        <v>80.02</v>
      </c>
      <c r="AX4573" s="1">
        <v>1241.98</v>
      </c>
      <c r="AY4573" t="s">
        <v>7213</v>
      </c>
      <c r="AZ4573" t="s">
        <v>571</v>
      </c>
      <c r="BA4573" t="s">
        <v>521</v>
      </c>
      <c r="BE4573" s="3">
        <v>42425</v>
      </c>
      <c r="BF4573" s="1">
        <v>233990</v>
      </c>
      <c r="BG4573" t="s">
        <v>233</v>
      </c>
      <c r="BH4573" s="1">
        <v>124.33</v>
      </c>
      <c r="BI4573" s="1">
        <v>239020</v>
      </c>
      <c r="BJ4573" s="3">
        <v>42425</v>
      </c>
      <c r="BK4573" t="s">
        <v>123</v>
      </c>
      <c r="BL4573" t="str">
        <f>"2016.120005"</f>
        <v>2016.120005</v>
      </c>
      <c r="BM4573" t="s">
        <v>234</v>
      </c>
      <c r="BO4573" t="s">
        <v>28723</v>
      </c>
      <c r="BS4573">
        <v>30</v>
      </c>
      <c r="BW4573" t="str">
        <f>""</f>
        <v/>
      </c>
      <c r="CH4573" t="str">
        <f>""</f>
        <v/>
      </c>
      <c r="CS4573" t="str">
        <f>""</f>
        <v/>
      </c>
    </row>
    <row r="4574" spans="1:97" x14ac:dyDescent="0.25">
      <c r="B4574" t="s">
        <v>28724</v>
      </c>
      <c r="E4574" t="s">
        <v>28725</v>
      </c>
      <c r="F4574" t="s">
        <v>108</v>
      </c>
      <c r="H4574" t="s">
        <v>28726</v>
      </c>
      <c r="I4574" t="s">
        <v>2874</v>
      </c>
      <c r="J4574" t="s">
        <v>111</v>
      </c>
      <c r="K4574" t="str">
        <f>"85308"</f>
        <v>85308</v>
      </c>
      <c r="L4574" t="s">
        <v>8034</v>
      </c>
      <c r="M4574" t="s">
        <v>28726</v>
      </c>
      <c r="N4574" t="s">
        <v>2874</v>
      </c>
      <c r="O4574" t="s">
        <v>111</v>
      </c>
      <c r="P4574" t="str">
        <f>"85308-3109"</f>
        <v>85308-3109</v>
      </c>
      <c r="Q4574" t="s">
        <v>113</v>
      </c>
      <c r="R4574" t="str">
        <f>"207-19-259"</f>
        <v>207-19-259</v>
      </c>
      <c r="S4574" t="s">
        <v>28727</v>
      </c>
      <c r="T4574" t="s">
        <v>28689</v>
      </c>
      <c r="U4574">
        <v>1524</v>
      </c>
      <c r="V4574">
        <v>0</v>
      </c>
      <c r="W4574">
        <v>2</v>
      </c>
      <c r="X4574">
        <v>1977</v>
      </c>
      <c r="Z4574">
        <v>1</v>
      </c>
      <c r="AA4574" t="s">
        <v>26</v>
      </c>
      <c r="AB4574">
        <v>0</v>
      </c>
      <c r="AC4574" t="s">
        <v>115</v>
      </c>
      <c r="AD4574">
        <v>2</v>
      </c>
      <c r="AE4574" t="s">
        <v>115</v>
      </c>
      <c r="AF4574">
        <v>0</v>
      </c>
      <c r="AG4574">
        <v>0</v>
      </c>
      <c r="AH4574" t="s">
        <v>116</v>
      </c>
      <c r="AI4574" s="1">
        <v>37692</v>
      </c>
      <c r="AJ4574" s="2">
        <v>0.14000000000000001</v>
      </c>
      <c r="AK4574" s="1">
        <v>262422</v>
      </c>
      <c r="AL4574" t="s">
        <v>117</v>
      </c>
      <c r="AM4574" t="s">
        <v>171</v>
      </c>
      <c r="AN4574">
        <v>7666</v>
      </c>
      <c r="AO4574">
        <v>0.18</v>
      </c>
      <c r="AP4574">
        <v>1</v>
      </c>
      <c r="AR4574">
        <v>1</v>
      </c>
      <c r="AS4574" s="1">
        <v>17320</v>
      </c>
      <c r="AT4574" s="1">
        <v>3460</v>
      </c>
      <c r="AU4574" s="1">
        <v>13860</v>
      </c>
      <c r="AV4574">
        <v>80.02</v>
      </c>
      <c r="AX4574" s="1">
        <v>1191.3800000000001</v>
      </c>
      <c r="AY4574" t="s">
        <v>8466</v>
      </c>
      <c r="AZ4574" t="s">
        <v>5142</v>
      </c>
      <c r="BA4574" t="s">
        <v>5143</v>
      </c>
      <c r="BB4574" s="3">
        <v>43468</v>
      </c>
      <c r="BC4574" s="1">
        <v>0</v>
      </c>
      <c r="BD4574" t="s">
        <v>247</v>
      </c>
      <c r="BE4574" s="3">
        <v>42506</v>
      </c>
      <c r="BF4574" s="1">
        <v>220000</v>
      </c>
      <c r="BG4574" t="s">
        <v>28728</v>
      </c>
      <c r="BH4574" s="1">
        <v>144.36000000000001</v>
      </c>
      <c r="BI4574" s="1">
        <v>224730</v>
      </c>
      <c r="BJ4574" s="3">
        <v>42506</v>
      </c>
      <c r="BK4574" t="s">
        <v>123</v>
      </c>
      <c r="BL4574" t="str">
        <f>"2016.333719"</f>
        <v>2016.333719</v>
      </c>
      <c r="BM4574" t="s">
        <v>594</v>
      </c>
      <c r="BN4574" t="s">
        <v>595</v>
      </c>
      <c r="BO4574" t="s">
        <v>28729</v>
      </c>
      <c r="BS4574">
        <v>30</v>
      </c>
      <c r="BW4574" t="str">
        <f>""</f>
        <v/>
      </c>
      <c r="CH4574" t="str">
        <f>""</f>
        <v/>
      </c>
      <c r="CS4574" t="str">
        <f>""</f>
        <v/>
      </c>
    </row>
    <row r="4575" spans="1:97" x14ac:dyDescent="0.25">
      <c r="B4575" t="s">
        <v>28730</v>
      </c>
      <c r="E4575" t="s">
        <v>28731</v>
      </c>
      <c r="F4575" t="s">
        <v>108</v>
      </c>
      <c r="H4575" t="s">
        <v>28732</v>
      </c>
      <c r="I4575" t="s">
        <v>390</v>
      </c>
      <c r="J4575" t="s">
        <v>111</v>
      </c>
      <c r="K4575" t="str">
        <f>"85041"</f>
        <v>85041</v>
      </c>
      <c r="L4575" t="s">
        <v>5209</v>
      </c>
      <c r="M4575" t="s">
        <v>28732</v>
      </c>
      <c r="N4575" t="s">
        <v>390</v>
      </c>
      <c r="O4575" t="s">
        <v>111</v>
      </c>
      <c r="P4575" t="str">
        <f>"85041-6601"</f>
        <v>85041-6601</v>
      </c>
      <c r="Q4575" t="s">
        <v>113</v>
      </c>
      <c r="R4575" t="str">
        <f>"105-88-956"</f>
        <v>105-88-956</v>
      </c>
      <c r="S4575" t="s">
        <v>10850</v>
      </c>
      <c r="T4575" t="s">
        <v>10850</v>
      </c>
      <c r="U4575">
        <v>2222</v>
      </c>
      <c r="V4575">
        <v>0</v>
      </c>
      <c r="W4575">
        <v>3</v>
      </c>
      <c r="X4575">
        <v>2014</v>
      </c>
      <c r="Z4575">
        <v>1</v>
      </c>
      <c r="AB4575">
        <v>0</v>
      </c>
      <c r="AC4575" t="s">
        <v>115</v>
      </c>
      <c r="AD4575">
        <v>2</v>
      </c>
      <c r="AE4575" t="s">
        <v>115</v>
      </c>
      <c r="AF4575">
        <v>0</v>
      </c>
      <c r="AG4575">
        <v>0</v>
      </c>
      <c r="AH4575" t="s">
        <v>116</v>
      </c>
      <c r="AI4575" s="1">
        <v>79933</v>
      </c>
      <c r="AJ4575" s="2">
        <v>0.26</v>
      </c>
      <c r="AK4575" s="1">
        <v>312125</v>
      </c>
      <c r="AL4575" t="s">
        <v>117</v>
      </c>
      <c r="AM4575" t="s">
        <v>760</v>
      </c>
      <c r="AN4575">
        <v>8959</v>
      </c>
      <c r="AO4575">
        <v>0.21</v>
      </c>
      <c r="AR4575">
        <v>1</v>
      </c>
      <c r="AS4575" s="1">
        <v>22760</v>
      </c>
      <c r="AT4575" s="1">
        <v>4550</v>
      </c>
      <c r="AU4575" s="1">
        <v>18210</v>
      </c>
      <c r="AV4575">
        <v>80.010000000000005</v>
      </c>
      <c r="AX4575" s="1">
        <v>2157.1</v>
      </c>
      <c r="AY4575" t="s">
        <v>5211</v>
      </c>
      <c r="AZ4575" t="s">
        <v>5211</v>
      </c>
      <c r="BA4575" t="s">
        <v>1661</v>
      </c>
      <c r="BB4575" s="3">
        <v>42676</v>
      </c>
      <c r="BD4575" t="s">
        <v>458</v>
      </c>
      <c r="BE4575" s="3">
        <v>41793</v>
      </c>
      <c r="BF4575" s="1">
        <v>227305</v>
      </c>
      <c r="BG4575" t="s">
        <v>3062</v>
      </c>
      <c r="BH4575" s="1">
        <v>102.3</v>
      </c>
      <c r="BI4575" s="1">
        <v>232192</v>
      </c>
      <c r="BJ4575" s="3">
        <v>41793</v>
      </c>
      <c r="BK4575" t="s">
        <v>123</v>
      </c>
      <c r="BL4575" t="str">
        <f>"2014.363013"</f>
        <v>2014.363013</v>
      </c>
      <c r="BM4575" t="s">
        <v>28733</v>
      </c>
      <c r="BO4575" t="s">
        <v>28734</v>
      </c>
      <c r="BS4575">
        <v>30</v>
      </c>
      <c r="BW4575" t="str">
        <f>""</f>
        <v/>
      </c>
      <c r="CH4575" t="str">
        <f>""</f>
        <v/>
      </c>
      <c r="CS4575" t="str">
        <f>""</f>
        <v/>
      </c>
    </row>
    <row r="4576" spans="1:97" x14ac:dyDescent="0.25">
      <c r="A4576" t="s">
        <v>3580</v>
      </c>
      <c r="B4576" t="s">
        <v>28735</v>
      </c>
      <c r="C4576" t="s">
        <v>548</v>
      </c>
      <c r="D4576" t="s">
        <v>28736</v>
      </c>
      <c r="E4576" t="s">
        <v>28737</v>
      </c>
      <c r="F4576" t="s">
        <v>108</v>
      </c>
      <c r="H4576" t="s">
        <v>28738</v>
      </c>
      <c r="I4576" t="s">
        <v>390</v>
      </c>
      <c r="J4576" t="s">
        <v>111</v>
      </c>
      <c r="K4576" t="str">
        <f>"85023"</f>
        <v>85023</v>
      </c>
      <c r="L4576" t="s">
        <v>5185</v>
      </c>
      <c r="M4576" t="s">
        <v>28738</v>
      </c>
      <c r="N4576" t="s">
        <v>390</v>
      </c>
      <c r="O4576" t="s">
        <v>111</v>
      </c>
      <c r="P4576" t="str">
        <f>"85023-4146"</f>
        <v>85023-4146</v>
      </c>
      <c r="Q4576" t="s">
        <v>113</v>
      </c>
      <c r="R4576" t="str">
        <f>"208-14-196"</f>
        <v>208-14-196</v>
      </c>
      <c r="S4576" t="s">
        <v>28739</v>
      </c>
      <c r="T4576" t="s">
        <v>28740</v>
      </c>
      <c r="U4576">
        <v>1457</v>
      </c>
      <c r="V4576">
        <v>0</v>
      </c>
      <c r="W4576">
        <v>2</v>
      </c>
      <c r="X4576">
        <v>1973</v>
      </c>
      <c r="Z4576">
        <v>1</v>
      </c>
      <c r="AA4576" t="s">
        <v>26</v>
      </c>
      <c r="AB4576">
        <v>0</v>
      </c>
      <c r="AC4576" t="s">
        <v>115</v>
      </c>
      <c r="AD4576">
        <v>2</v>
      </c>
      <c r="AE4576" t="s">
        <v>115</v>
      </c>
      <c r="AF4576">
        <v>0</v>
      </c>
      <c r="AG4576">
        <v>0</v>
      </c>
      <c r="AH4576" t="s">
        <v>116</v>
      </c>
      <c r="AI4576" s="1">
        <v>42456</v>
      </c>
      <c r="AJ4576" s="2">
        <v>0.17</v>
      </c>
      <c r="AK4576" s="1">
        <v>244956</v>
      </c>
      <c r="AL4576" t="s">
        <v>117</v>
      </c>
      <c r="AM4576" t="s">
        <v>171</v>
      </c>
      <c r="AN4576">
        <v>10418</v>
      </c>
      <c r="AO4576">
        <v>0.24</v>
      </c>
      <c r="AP4576">
        <v>1</v>
      </c>
      <c r="AR4576">
        <v>1</v>
      </c>
      <c r="AS4576" s="1">
        <v>17350</v>
      </c>
      <c r="AT4576" s="1">
        <v>3470</v>
      </c>
      <c r="AU4576" s="1">
        <v>13880</v>
      </c>
      <c r="AV4576">
        <v>80</v>
      </c>
      <c r="AX4576" s="1">
        <v>1449.42</v>
      </c>
      <c r="AY4576" t="s">
        <v>8647</v>
      </c>
      <c r="AZ4576" t="s">
        <v>8648</v>
      </c>
      <c r="BA4576" t="s">
        <v>8649</v>
      </c>
      <c r="BE4576" s="3">
        <v>42538</v>
      </c>
      <c r="BF4576" s="1">
        <v>229900</v>
      </c>
      <c r="BG4576" t="s">
        <v>28741</v>
      </c>
      <c r="BH4576" s="1">
        <v>157.79</v>
      </c>
      <c r="BI4576" s="1">
        <v>202500</v>
      </c>
      <c r="BJ4576" s="3">
        <v>42538</v>
      </c>
      <c r="BK4576" t="s">
        <v>123</v>
      </c>
      <c r="BL4576" t="str">
        <f>"2016.422993"</f>
        <v>2016.422993</v>
      </c>
      <c r="BM4576" t="s">
        <v>1154</v>
      </c>
      <c r="BO4576" t="s">
        <v>28742</v>
      </c>
      <c r="BP4576" t="s">
        <v>28743</v>
      </c>
      <c r="BS4576">
        <v>30</v>
      </c>
      <c r="BW4576" t="str">
        <f>""</f>
        <v/>
      </c>
      <c r="CH4576" t="str">
        <f>""</f>
        <v/>
      </c>
      <c r="CS4576" t="str">
        <f>""</f>
        <v/>
      </c>
    </row>
    <row r="4577" spans="1:97" x14ac:dyDescent="0.25">
      <c r="A4577" t="s">
        <v>8500</v>
      </c>
      <c r="B4577" t="s">
        <v>11985</v>
      </c>
      <c r="C4577" t="s">
        <v>28744</v>
      </c>
      <c r="D4577" t="s">
        <v>11985</v>
      </c>
      <c r="E4577" t="s">
        <v>28745</v>
      </c>
      <c r="F4577" t="s">
        <v>108</v>
      </c>
      <c r="H4577" t="s">
        <v>28746</v>
      </c>
      <c r="I4577" t="s">
        <v>203</v>
      </c>
      <c r="J4577" t="s">
        <v>111</v>
      </c>
      <c r="K4577" t="str">
        <f>"85295"</f>
        <v>85295</v>
      </c>
      <c r="L4577" t="s">
        <v>8435</v>
      </c>
      <c r="M4577" t="s">
        <v>28746</v>
      </c>
      <c r="N4577" t="s">
        <v>203</v>
      </c>
      <c r="O4577" t="s">
        <v>111</v>
      </c>
      <c r="P4577" t="str">
        <f>"85295-3418"</f>
        <v>85295-3418</v>
      </c>
      <c r="Q4577" t="s">
        <v>113</v>
      </c>
      <c r="R4577" t="str">
        <f>"313-11-440"</f>
        <v>313-11-440</v>
      </c>
      <c r="S4577" t="s">
        <v>28747</v>
      </c>
      <c r="U4577">
        <v>2233</v>
      </c>
      <c r="V4577">
        <v>0</v>
      </c>
      <c r="W4577">
        <v>3</v>
      </c>
      <c r="X4577">
        <v>2009</v>
      </c>
      <c r="Z4577">
        <v>2</v>
      </c>
      <c r="AB4577">
        <v>0</v>
      </c>
      <c r="AC4577" t="s">
        <v>115</v>
      </c>
      <c r="AD4577">
        <v>2</v>
      </c>
      <c r="AE4577" t="s">
        <v>115</v>
      </c>
      <c r="AF4577">
        <v>0</v>
      </c>
      <c r="AG4577">
        <v>0</v>
      </c>
      <c r="AH4577" t="s">
        <v>116</v>
      </c>
      <c r="AI4577" s="1">
        <v>65492</v>
      </c>
      <c r="AJ4577" s="2">
        <v>0.2</v>
      </c>
      <c r="AK4577" s="1">
        <v>322910</v>
      </c>
      <c r="AL4577" t="s">
        <v>117</v>
      </c>
      <c r="AM4577" t="s">
        <v>288</v>
      </c>
      <c r="AN4577">
        <v>5364</v>
      </c>
      <c r="AO4577">
        <v>0.12</v>
      </c>
      <c r="AR4577">
        <v>1</v>
      </c>
      <c r="AS4577" s="1">
        <v>22550</v>
      </c>
      <c r="AT4577" s="1">
        <v>4510</v>
      </c>
      <c r="AU4577" s="1">
        <v>18040</v>
      </c>
      <c r="AV4577">
        <v>80</v>
      </c>
      <c r="AX4577" s="1">
        <v>2107.96</v>
      </c>
      <c r="AY4577" t="s">
        <v>5094</v>
      </c>
      <c r="AZ4577" t="s">
        <v>5094</v>
      </c>
      <c r="BA4577" t="s">
        <v>473</v>
      </c>
      <c r="BE4577" s="3">
        <v>42307</v>
      </c>
      <c r="BF4577" s="1">
        <v>252000</v>
      </c>
      <c r="BG4577" t="s">
        <v>28748</v>
      </c>
      <c r="BH4577" s="1">
        <v>112.85</v>
      </c>
      <c r="BI4577" s="1">
        <v>257418</v>
      </c>
      <c r="BJ4577" s="3">
        <v>42307</v>
      </c>
      <c r="BK4577" t="s">
        <v>123</v>
      </c>
      <c r="BL4577" t="str">
        <f>"2015.784731"</f>
        <v>2015.784731</v>
      </c>
      <c r="BM4577" t="s">
        <v>3810</v>
      </c>
      <c r="BO4577" t="s">
        <v>28749</v>
      </c>
      <c r="BS4577">
        <v>30</v>
      </c>
      <c r="BW4577" t="str">
        <f>""</f>
        <v/>
      </c>
      <c r="CH4577" t="str">
        <f>""</f>
        <v/>
      </c>
      <c r="CS4577" t="str">
        <f>""</f>
        <v/>
      </c>
    </row>
    <row r="4578" spans="1:97" x14ac:dyDescent="0.25">
      <c r="B4578" t="s">
        <v>28750</v>
      </c>
      <c r="E4578" t="s">
        <v>28750</v>
      </c>
      <c r="F4578" t="s">
        <v>108</v>
      </c>
      <c r="H4578" t="s">
        <v>28751</v>
      </c>
      <c r="I4578" t="s">
        <v>632</v>
      </c>
      <c r="J4578" t="s">
        <v>111</v>
      </c>
      <c r="K4578" t="str">
        <f>"85388"</f>
        <v>85388</v>
      </c>
      <c r="L4578" t="s">
        <v>5727</v>
      </c>
      <c r="M4578" t="s">
        <v>28751</v>
      </c>
      <c r="N4578" t="s">
        <v>632</v>
      </c>
      <c r="O4578" t="s">
        <v>111</v>
      </c>
      <c r="P4578" t="str">
        <f>"85388-5638"</f>
        <v>85388-5638</v>
      </c>
      <c r="Q4578" t="s">
        <v>113</v>
      </c>
      <c r="R4578" t="str">
        <f>"502-06-170"</f>
        <v>502-06-170</v>
      </c>
      <c r="S4578" t="s">
        <v>5728</v>
      </c>
      <c r="T4578" t="s">
        <v>5167</v>
      </c>
      <c r="U4578">
        <v>2261</v>
      </c>
      <c r="V4578">
        <v>0</v>
      </c>
      <c r="W4578">
        <v>3</v>
      </c>
      <c r="X4578">
        <v>2010</v>
      </c>
      <c r="Z4578">
        <v>1</v>
      </c>
      <c r="AB4578">
        <v>0</v>
      </c>
      <c r="AC4578" t="s">
        <v>115</v>
      </c>
      <c r="AD4578">
        <v>2</v>
      </c>
      <c r="AE4578" t="s">
        <v>115</v>
      </c>
      <c r="AF4578">
        <v>0</v>
      </c>
      <c r="AG4578">
        <v>0</v>
      </c>
      <c r="AH4578" t="s">
        <v>116</v>
      </c>
      <c r="AI4578" s="1">
        <v>62620</v>
      </c>
      <c r="AJ4578" s="2">
        <v>0.22</v>
      </c>
      <c r="AK4578" s="1">
        <v>290486</v>
      </c>
      <c r="AL4578" t="s">
        <v>117</v>
      </c>
      <c r="AM4578" t="s">
        <v>118</v>
      </c>
      <c r="AN4578">
        <v>6744</v>
      </c>
      <c r="AO4578">
        <v>0.16</v>
      </c>
      <c r="AR4578">
        <v>1</v>
      </c>
      <c r="AS4578" s="1">
        <v>19800</v>
      </c>
      <c r="AT4578" s="1">
        <v>3960</v>
      </c>
      <c r="AU4578" s="1">
        <v>15840</v>
      </c>
      <c r="AV4578">
        <v>80</v>
      </c>
      <c r="AX4578" s="1">
        <v>1717.04</v>
      </c>
      <c r="AY4578" t="s">
        <v>5168</v>
      </c>
      <c r="AZ4578" t="s">
        <v>5168</v>
      </c>
      <c r="BA4578" t="s">
        <v>5061</v>
      </c>
      <c r="BE4578" s="3">
        <v>42061</v>
      </c>
      <c r="BF4578" s="1">
        <v>214000</v>
      </c>
      <c r="BG4578" t="s">
        <v>28752</v>
      </c>
      <c r="BH4578" s="1">
        <v>94.65</v>
      </c>
      <c r="BI4578" s="1">
        <v>210966</v>
      </c>
      <c r="BJ4578" s="3">
        <v>42061</v>
      </c>
      <c r="BK4578" t="s">
        <v>123</v>
      </c>
      <c r="BL4578" t="str">
        <f>"2015.126853"</f>
        <v>2015.126853</v>
      </c>
      <c r="BM4578" t="s">
        <v>135</v>
      </c>
      <c r="BN4578" t="s">
        <v>136</v>
      </c>
      <c r="BO4578" t="s">
        <v>28750</v>
      </c>
      <c r="BS4578">
        <v>30</v>
      </c>
      <c r="BT4578" s="1">
        <v>16900</v>
      </c>
      <c r="BU4578" s="3">
        <v>43675</v>
      </c>
      <c r="BW4578" t="str">
        <f>"2019.571572"</f>
        <v>2019.571572</v>
      </c>
      <c r="BX4578" t="s">
        <v>342</v>
      </c>
      <c r="BY4578" t="s">
        <v>343</v>
      </c>
      <c r="BZ4578" t="s">
        <v>28750</v>
      </c>
      <c r="CC4578" t="s">
        <v>346</v>
      </c>
      <c r="CH4578" t="str">
        <f>""</f>
        <v/>
      </c>
      <c r="CS4578" t="str">
        <f>""</f>
        <v/>
      </c>
    </row>
    <row r="4579" spans="1:97" x14ac:dyDescent="0.25">
      <c r="A4579" t="s">
        <v>996</v>
      </c>
      <c r="B4579" t="s">
        <v>28753</v>
      </c>
      <c r="C4579" t="s">
        <v>1900</v>
      </c>
      <c r="D4579" t="s">
        <v>28753</v>
      </c>
      <c r="E4579" t="s">
        <v>28754</v>
      </c>
      <c r="F4579" t="s">
        <v>108</v>
      </c>
      <c r="H4579" t="s">
        <v>28755</v>
      </c>
      <c r="I4579" t="s">
        <v>499</v>
      </c>
      <c r="J4579" t="s">
        <v>111</v>
      </c>
      <c r="K4579" t="str">
        <f>"85395"</f>
        <v>85395</v>
      </c>
      <c r="L4579" t="s">
        <v>9069</v>
      </c>
      <c r="M4579" t="s">
        <v>28755</v>
      </c>
      <c r="N4579" t="s">
        <v>499</v>
      </c>
      <c r="O4579" t="s">
        <v>111</v>
      </c>
      <c r="P4579" t="str">
        <f>"85395-3147"</f>
        <v>85395-3147</v>
      </c>
      <c r="Q4579" t="s">
        <v>113</v>
      </c>
      <c r="R4579" t="str">
        <f>"501-75-403"</f>
        <v>501-75-403</v>
      </c>
      <c r="S4579" t="s">
        <v>28756</v>
      </c>
      <c r="T4579" t="s">
        <v>28757</v>
      </c>
      <c r="U4579">
        <v>1898</v>
      </c>
      <c r="V4579">
        <v>0</v>
      </c>
      <c r="W4579">
        <v>3</v>
      </c>
      <c r="X4579">
        <v>1996</v>
      </c>
      <c r="Z4579">
        <v>1</v>
      </c>
      <c r="AA4579" t="s">
        <v>15127</v>
      </c>
      <c r="AB4579">
        <v>0</v>
      </c>
      <c r="AC4579" t="s">
        <v>115</v>
      </c>
      <c r="AD4579">
        <v>3</v>
      </c>
      <c r="AE4579" t="s">
        <v>115</v>
      </c>
      <c r="AF4579">
        <v>0</v>
      </c>
      <c r="AG4579">
        <v>0</v>
      </c>
      <c r="AH4579" t="s">
        <v>116</v>
      </c>
      <c r="AI4579" s="1">
        <v>30775</v>
      </c>
      <c r="AJ4579" s="2">
        <v>0.11</v>
      </c>
      <c r="AK4579" s="1">
        <v>285926</v>
      </c>
      <c r="AL4579" t="s">
        <v>117</v>
      </c>
      <c r="AM4579" t="s">
        <v>118</v>
      </c>
      <c r="AN4579">
        <v>6973</v>
      </c>
      <c r="AO4579">
        <v>0.16</v>
      </c>
      <c r="AP4579">
        <v>1</v>
      </c>
      <c r="AR4579">
        <v>1</v>
      </c>
      <c r="AS4579" s="1">
        <v>19020</v>
      </c>
      <c r="AT4579" s="1">
        <v>3800</v>
      </c>
      <c r="AU4579" s="1">
        <v>15220</v>
      </c>
      <c r="AV4579">
        <v>80.02</v>
      </c>
      <c r="AX4579" s="1">
        <v>1913.02</v>
      </c>
      <c r="AY4579" t="s">
        <v>6796</v>
      </c>
      <c r="AZ4579" t="s">
        <v>6796</v>
      </c>
      <c r="BA4579" t="s">
        <v>3154</v>
      </c>
      <c r="BE4579" s="3">
        <v>42474</v>
      </c>
      <c r="BF4579" s="1">
        <v>247000</v>
      </c>
      <c r="BG4579" t="s">
        <v>28758</v>
      </c>
      <c r="BH4579" s="1">
        <v>130.13999999999999</v>
      </c>
      <c r="BI4579" s="1">
        <v>255151</v>
      </c>
      <c r="BJ4579" s="3">
        <v>42474</v>
      </c>
      <c r="BK4579" t="s">
        <v>123</v>
      </c>
      <c r="BL4579" t="str">
        <f>"2016.248425"</f>
        <v>2016.248425</v>
      </c>
      <c r="BM4579" t="s">
        <v>820</v>
      </c>
      <c r="BO4579" t="s">
        <v>28759</v>
      </c>
      <c r="BS4579">
        <v>30</v>
      </c>
      <c r="BW4579" t="str">
        <f>""</f>
        <v/>
      </c>
      <c r="CH4579" t="str">
        <f>""</f>
        <v/>
      </c>
      <c r="CS4579" t="str">
        <f>""</f>
        <v/>
      </c>
    </row>
    <row r="4580" spans="1:97" x14ac:dyDescent="0.25">
      <c r="A4580" t="s">
        <v>488</v>
      </c>
      <c r="B4580" t="s">
        <v>1802</v>
      </c>
      <c r="E4580" t="s">
        <v>28760</v>
      </c>
      <c r="F4580" t="s">
        <v>108</v>
      </c>
      <c r="H4580" t="s">
        <v>28761</v>
      </c>
      <c r="I4580" t="s">
        <v>390</v>
      </c>
      <c r="J4580" t="s">
        <v>111</v>
      </c>
      <c r="K4580" t="str">
        <f>"85022"</f>
        <v>85022</v>
      </c>
      <c r="L4580" t="s">
        <v>6541</v>
      </c>
      <c r="M4580" t="s">
        <v>28761</v>
      </c>
      <c r="N4580" t="s">
        <v>390</v>
      </c>
      <c r="O4580" t="s">
        <v>111</v>
      </c>
      <c r="P4580" t="str">
        <f>"85022-4406"</f>
        <v>85022-4406</v>
      </c>
      <c r="Q4580" t="s">
        <v>113</v>
      </c>
      <c r="R4580" t="str">
        <f>"214-47-090"</f>
        <v>214-47-090</v>
      </c>
      <c r="S4580" t="s">
        <v>28762</v>
      </c>
      <c r="T4580" t="s">
        <v>28763</v>
      </c>
      <c r="U4580">
        <v>1671</v>
      </c>
      <c r="V4580">
        <v>0</v>
      </c>
      <c r="W4580">
        <v>3</v>
      </c>
      <c r="X4580">
        <v>1980</v>
      </c>
      <c r="Z4580">
        <v>1</v>
      </c>
      <c r="AB4580">
        <v>0</v>
      </c>
      <c r="AC4580" t="s">
        <v>115</v>
      </c>
      <c r="AD4580">
        <v>2</v>
      </c>
      <c r="AE4580" t="s">
        <v>115</v>
      </c>
      <c r="AF4580">
        <v>0</v>
      </c>
      <c r="AG4580">
        <v>0</v>
      </c>
      <c r="AH4580" t="s">
        <v>116</v>
      </c>
      <c r="AI4580" s="1">
        <v>88241</v>
      </c>
      <c r="AJ4580" s="2">
        <v>0.25</v>
      </c>
      <c r="AK4580" s="1">
        <v>358887</v>
      </c>
      <c r="AL4580" t="s">
        <v>117</v>
      </c>
      <c r="AM4580" t="s">
        <v>5441</v>
      </c>
      <c r="AN4580">
        <v>8022</v>
      </c>
      <c r="AO4580">
        <v>0.18</v>
      </c>
      <c r="AP4580">
        <v>1</v>
      </c>
      <c r="AR4580">
        <v>1</v>
      </c>
      <c r="AS4580" s="1">
        <v>25970</v>
      </c>
      <c r="AT4580" s="1">
        <v>5190</v>
      </c>
      <c r="AU4580" s="1">
        <v>20780</v>
      </c>
      <c r="AV4580">
        <v>80.02</v>
      </c>
      <c r="AX4580" s="1">
        <v>2018.2</v>
      </c>
      <c r="AY4580" t="s">
        <v>5802</v>
      </c>
      <c r="AZ4580" t="s">
        <v>5489</v>
      </c>
      <c r="BA4580" t="s">
        <v>5232</v>
      </c>
      <c r="BE4580" s="3">
        <v>41871</v>
      </c>
      <c r="BF4580" s="1">
        <v>262000</v>
      </c>
      <c r="BG4580" t="s">
        <v>28764</v>
      </c>
      <c r="BH4580" s="1">
        <v>184.64</v>
      </c>
      <c r="BI4580" s="1">
        <v>270646</v>
      </c>
      <c r="BJ4580" s="3">
        <v>41871</v>
      </c>
      <c r="BK4580" t="s">
        <v>123</v>
      </c>
      <c r="BL4580" t="str">
        <f>"2014.548513"</f>
        <v>2014.548513</v>
      </c>
      <c r="BM4580" t="s">
        <v>724</v>
      </c>
      <c r="BO4580" t="s">
        <v>28765</v>
      </c>
      <c r="BS4580">
        <v>30</v>
      </c>
      <c r="BW4580" t="str">
        <f>""</f>
        <v/>
      </c>
      <c r="CH4580" t="str">
        <f>""</f>
        <v/>
      </c>
      <c r="CS4580" t="str">
        <f>""</f>
        <v/>
      </c>
    </row>
    <row r="4581" spans="1:97" x14ac:dyDescent="0.25">
      <c r="A4581" t="s">
        <v>10612</v>
      </c>
      <c r="B4581" t="s">
        <v>28766</v>
      </c>
      <c r="E4581" t="s">
        <v>28767</v>
      </c>
      <c r="F4581" t="s">
        <v>108</v>
      </c>
      <c r="H4581" t="s">
        <v>28768</v>
      </c>
      <c r="I4581" t="s">
        <v>390</v>
      </c>
      <c r="J4581" t="s">
        <v>111</v>
      </c>
      <c r="K4581" t="str">
        <f>"85041"</f>
        <v>85041</v>
      </c>
      <c r="L4581" t="s">
        <v>5416</v>
      </c>
      <c r="M4581" t="s">
        <v>28768</v>
      </c>
      <c r="N4581" t="s">
        <v>390</v>
      </c>
      <c r="O4581" t="s">
        <v>111</v>
      </c>
      <c r="P4581" t="str">
        <f>"85041-8054"</f>
        <v>85041-8054</v>
      </c>
      <c r="Q4581" t="s">
        <v>113</v>
      </c>
      <c r="R4581" t="str">
        <f>"300-40-396"</f>
        <v>300-40-396</v>
      </c>
      <c r="S4581" t="s">
        <v>23377</v>
      </c>
      <c r="T4581" t="s">
        <v>23377</v>
      </c>
      <c r="U4581">
        <v>1618</v>
      </c>
      <c r="V4581">
        <v>0</v>
      </c>
      <c r="W4581">
        <v>3</v>
      </c>
      <c r="X4581">
        <v>2015</v>
      </c>
      <c r="Z4581">
        <v>1</v>
      </c>
      <c r="AB4581">
        <v>0</v>
      </c>
      <c r="AC4581" t="s">
        <v>115</v>
      </c>
      <c r="AD4581">
        <v>2</v>
      </c>
      <c r="AE4581" t="s">
        <v>115</v>
      </c>
      <c r="AF4581">
        <v>0</v>
      </c>
      <c r="AG4581">
        <v>0</v>
      </c>
      <c r="AH4581" t="s">
        <v>116</v>
      </c>
      <c r="AI4581" s="1">
        <v>56278</v>
      </c>
      <c r="AJ4581" s="2">
        <v>0.22</v>
      </c>
      <c r="AK4581" s="1">
        <v>259748</v>
      </c>
      <c r="AL4581" t="s">
        <v>117</v>
      </c>
      <c r="AM4581" t="s">
        <v>191</v>
      </c>
      <c r="AN4581">
        <v>4500</v>
      </c>
      <c r="AO4581">
        <v>0.1</v>
      </c>
      <c r="AR4581">
        <v>1</v>
      </c>
      <c r="AS4581" s="1">
        <v>17920</v>
      </c>
      <c r="AT4581" s="1">
        <v>3580</v>
      </c>
      <c r="AU4581" s="1">
        <v>14340</v>
      </c>
      <c r="AV4581">
        <v>80.02</v>
      </c>
      <c r="AX4581" s="1">
        <v>2136.1999999999998</v>
      </c>
      <c r="AY4581" t="s">
        <v>23378</v>
      </c>
      <c r="AZ4581" t="s">
        <v>23378</v>
      </c>
      <c r="BA4581" t="s">
        <v>1661</v>
      </c>
      <c r="BE4581" s="3">
        <v>42521</v>
      </c>
      <c r="BF4581" s="1">
        <v>196970</v>
      </c>
      <c r="BG4581" t="s">
        <v>23379</v>
      </c>
      <c r="BH4581" s="1">
        <v>121.74</v>
      </c>
      <c r="BI4581" s="1">
        <v>203470</v>
      </c>
      <c r="BJ4581" s="3">
        <v>42521</v>
      </c>
      <c r="BK4581" t="s">
        <v>123</v>
      </c>
      <c r="BL4581" t="str">
        <f>"2016.375795"</f>
        <v>2016.375795</v>
      </c>
      <c r="BM4581" t="s">
        <v>1038</v>
      </c>
      <c r="BO4581" t="s">
        <v>28769</v>
      </c>
      <c r="BS4581">
        <v>30</v>
      </c>
      <c r="BW4581" t="str">
        <f>""</f>
        <v/>
      </c>
      <c r="CH4581" t="str">
        <f>""</f>
        <v/>
      </c>
      <c r="CS4581" t="str">
        <f>""</f>
        <v/>
      </c>
    </row>
    <row r="4582" spans="1:97" x14ac:dyDescent="0.25">
      <c r="A4582" t="s">
        <v>894</v>
      </c>
      <c r="B4582" t="s">
        <v>2522</v>
      </c>
      <c r="C4582" t="s">
        <v>349</v>
      </c>
      <c r="D4582" t="s">
        <v>2522</v>
      </c>
      <c r="E4582" t="s">
        <v>28770</v>
      </c>
      <c r="F4582" t="s">
        <v>108</v>
      </c>
      <c r="H4582" t="s">
        <v>28771</v>
      </c>
      <c r="I4582" t="s">
        <v>225</v>
      </c>
      <c r="J4582" t="s">
        <v>111</v>
      </c>
      <c r="K4582" t="str">
        <f>"85202"</f>
        <v>85202</v>
      </c>
      <c r="L4582" t="s">
        <v>226</v>
      </c>
      <c r="M4582" t="s">
        <v>28771</v>
      </c>
      <c r="N4582" t="s">
        <v>225</v>
      </c>
      <c r="O4582" t="s">
        <v>111</v>
      </c>
      <c r="P4582" t="str">
        <f>"85202-8116"</f>
        <v>85202-8116</v>
      </c>
      <c r="Q4582" t="s">
        <v>113</v>
      </c>
      <c r="R4582" t="str">
        <f>"302-06-181"</f>
        <v>302-06-181</v>
      </c>
      <c r="S4582" t="s">
        <v>18780</v>
      </c>
      <c r="U4582">
        <v>1734</v>
      </c>
      <c r="V4582">
        <v>0</v>
      </c>
      <c r="W4582">
        <v>3</v>
      </c>
      <c r="X4582">
        <v>1978</v>
      </c>
      <c r="Z4582">
        <v>1</v>
      </c>
      <c r="AA4582" t="s">
        <v>26</v>
      </c>
      <c r="AB4582">
        <v>0</v>
      </c>
      <c r="AC4582" t="s">
        <v>115</v>
      </c>
      <c r="AD4582">
        <v>2</v>
      </c>
      <c r="AE4582" t="s">
        <v>115</v>
      </c>
      <c r="AF4582">
        <v>0</v>
      </c>
      <c r="AG4582">
        <v>0</v>
      </c>
      <c r="AH4582" t="s">
        <v>116</v>
      </c>
      <c r="AI4582" s="1">
        <v>63948</v>
      </c>
      <c r="AJ4582" s="2">
        <v>0.21</v>
      </c>
      <c r="AK4582" s="1">
        <v>305774</v>
      </c>
      <c r="AL4582" t="s">
        <v>117</v>
      </c>
      <c r="AM4582" t="s">
        <v>191</v>
      </c>
      <c r="AN4582">
        <v>7288</v>
      </c>
      <c r="AO4582">
        <v>0.17</v>
      </c>
      <c r="AP4582">
        <v>1</v>
      </c>
      <c r="AR4582">
        <v>1</v>
      </c>
      <c r="AS4582" s="1">
        <v>20870</v>
      </c>
      <c r="AT4582" s="1">
        <v>4170</v>
      </c>
      <c r="AU4582" s="1">
        <v>16700</v>
      </c>
      <c r="AV4582">
        <v>80.02</v>
      </c>
      <c r="AX4582" s="1">
        <v>1378.14</v>
      </c>
      <c r="AY4582" t="s">
        <v>5310</v>
      </c>
      <c r="AZ4582" t="s">
        <v>5310</v>
      </c>
      <c r="BA4582" t="s">
        <v>5311</v>
      </c>
      <c r="BE4582" s="3">
        <v>41983</v>
      </c>
      <c r="BF4582" s="1">
        <v>209900</v>
      </c>
      <c r="BG4582" t="s">
        <v>28772</v>
      </c>
      <c r="BH4582" s="1">
        <v>121.05</v>
      </c>
      <c r="BI4582" s="1">
        <v>216826</v>
      </c>
      <c r="BJ4582" s="3">
        <v>41983</v>
      </c>
      <c r="BK4582" t="s">
        <v>123</v>
      </c>
      <c r="BL4582" t="str">
        <f>"2014.812902"</f>
        <v>2014.812902</v>
      </c>
      <c r="BM4582" t="s">
        <v>724</v>
      </c>
      <c r="BN4582" t="s">
        <v>5737</v>
      </c>
      <c r="BO4582" t="s">
        <v>28773</v>
      </c>
      <c r="BS4582">
        <v>30</v>
      </c>
      <c r="BT4582" s="1">
        <v>25000</v>
      </c>
      <c r="BU4582" s="3">
        <v>43563</v>
      </c>
      <c r="BW4582" t="str">
        <f>"2019.242994"</f>
        <v>2019.242994</v>
      </c>
      <c r="BX4582" t="s">
        <v>135</v>
      </c>
      <c r="BY4582" t="s">
        <v>136</v>
      </c>
      <c r="BZ4582" t="s">
        <v>28774</v>
      </c>
      <c r="CA4582" t="s">
        <v>28775</v>
      </c>
      <c r="CC4582" t="s">
        <v>346</v>
      </c>
      <c r="CH4582" t="str">
        <f>""</f>
        <v/>
      </c>
      <c r="CS4582" t="str">
        <f>""</f>
        <v/>
      </c>
    </row>
    <row r="4583" spans="1:97" x14ac:dyDescent="0.25">
      <c r="A4583" t="s">
        <v>1845</v>
      </c>
      <c r="B4583" t="s">
        <v>28776</v>
      </c>
      <c r="E4583" t="s">
        <v>28777</v>
      </c>
      <c r="F4583" t="s">
        <v>108</v>
      </c>
      <c r="H4583" t="s">
        <v>28778</v>
      </c>
      <c r="I4583" t="s">
        <v>499</v>
      </c>
      <c r="J4583" t="s">
        <v>111</v>
      </c>
      <c r="K4583" t="str">
        <f>"85338"</f>
        <v>85338</v>
      </c>
      <c r="L4583" t="s">
        <v>5775</v>
      </c>
      <c r="M4583" t="s">
        <v>28778</v>
      </c>
      <c r="N4583" t="s">
        <v>499</v>
      </c>
      <c r="O4583" t="s">
        <v>111</v>
      </c>
      <c r="P4583" t="str">
        <f>"85338-3243"</f>
        <v>85338-3243</v>
      </c>
      <c r="Q4583" t="s">
        <v>113</v>
      </c>
      <c r="R4583" t="str">
        <f>"500-10-609"</f>
        <v>500-10-609</v>
      </c>
      <c r="S4583" t="s">
        <v>9551</v>
      </c>
      <c r="T4583" t="s">
        <v>9551</v>
      </c>
      <c r="U4583">
        <v>3114</v>
      </c>
      <c r="V4583">
        <v>0</v>
      </c>
      <c r="W4583">
        <v>6</v>
      </c>
      <c r="X4583">
        <v>2016</v>
      </c>
      <c r="Z4583">
        <v>2</v>
      </c>
      <c r="AA4583" t="s">
        <v>26</v>
      </c>
      <c r="AB4583">
        <v>0</v>
      </c>
      <c r="AC4583" t="s">
        <v>115</v>
      </c>
      <c r="AD4583">
        <v>2</v>
      </c>
      <c r="AE4583" t="s">
        <v>115</v>
      </c>
      <c r="AF4583">
        <v>0</v>
      </c>
      <c r="AG4583">
        <v>0</v>
      </c>
      <c r="AH4583" t="s">
        <v>116</v>
      </c>
      <c r="AI4583" s="1">
        <v>65993</v>
      </c>
      <c r="AJ4583" s="2">
        <v>0.17</v>
      </c>
      <c r="AK4583" s="1">
        <v>388993</v>
      </c>
      <c r="AL4583" t="s">
        <v>117</v>
      </c>
      <c r="AM4583" t="s">
        <v>118</v>
      </c>
      <c r="AN4583">
        <v>7200</v>
      </c>
      <c r="AO4583">
        <v>0.16</v>
      </c>
      <c r="AR4583">
        <v>1</v>
      </c>
      <c r="AS4583" s="1">
        <v>28400</v>
      </c>
      <c r="AT4583" s="1">
        <v>5680</v>
      </c>
      <c r="AU4583" s="1">
        <v>22720</v>
      </c>
      <c r="AV4583">
        <v>80</v>
      </c>
      <c r="AX4583" s="1">
        <v>2579.7199999999998</v>
      </c>
      <c r="AY4583" t="s">
        <v>4311</v>
      </c>
      <c r="AZ4583" t="s">
        <v>4311</v>
      </c>
      <c r="BA4583" t="s">
        <v>7186</v>
      </c>
      <c r="BE4583" s="3">
        <v>42488</v>
      </c>
      <c r="BF4583" s="1">
        <v>302982</v>
      </c>
      <c r="BG4583" t="s">
        <v>158</v>
      </c>
      <c r="BH4583" s="1">
        <v>97.3</v>
      </c>
      <c r="BI4583" s="1">
        <v>323000</v>
      </c>
      <c r="BJ4583" s="3">
        <v>43140</v>
      </c>
      <c r="BK4583" t="s">
        <v>123</v>
      </c>
      <c r="BL4583" t="str">
        <f>"2018.102645"</f>
        <v>2018.102645</v>
      </c>
      <c r="BM4583" t="s">
        <v>361</v>
      </c>
      <c r="BN4583" t="s">
        <v>884</v>
      </c>
      <c r="BO4583" t="s">
        <v>28777</v>
      </c>
      <c r="BR4583" t="s">
        <v>139</v>
      </c>
      <c r="BW4583" t="str">
        <f>""</f>
        <v/>
      </c>
      <c r="CH4583" t="str">
        <f>""</f>
        <v/>
      </c>
      <c r="CS4583" t="str">
        <f>""</f>
        <v/>
      </c>
    </row>
    <row r="4584" spans="1:97" x14ac:dyDescent="0.25">
      <c r="A4584" t="s">
        <v>894</v>
      </c>
      <c r="B4584" t="s">
        <v>110</v>
      </c>
      <c r="E4584" t="s">
        <v>28779</v>
      </c>
      <c r="F4584" t="s">
        <v>108</v>
      </c>
      <c r="H4584" t="s">
        <v>28780</v>
      </c>
      <c r="I4584" t="s">
        <v>203</v>
      </c>
      <c r="J4584" t="s">
        <v>111</v>
      </c>
      <c r="K4584" t="str">
        <f>"85234"</f>
        <v>85234</v>
      </c>
      <c r="L4584" t="s">
        <v>3108</v>
      </c>
      <c r="M4584" t="s">
        <v>28780</v>
      </c>
      <c r="N4584" t="s">
        <v>203</v>
      </c>
      <c r="O4584" t="s">
        <v>111</v>
      </c>
      <c r="P4584" t="str">
        <f>"85234"</f>
        <v>85234</v>
      </c>
      <c r="Q4584" t="s">
        <v>113</v>
      </c>
      <c r="R4584" t="str">
        <f>"304-06-244"</f>
        <v>304-06-244</v>
      </c>
      <c r="S4584" t="s">
        <v>7211</v>
      </c>
      <c r="T4584" t="s">
        <v>7212</v>
      </c>
      <c r="U4584">
        <v>1725</v>
      </c>
      <c r="V4584">
        <v>0</v>
      </c>
      <c r="W4584">
        <v>3</v>
      </c>
      <c r="X4584">
        <v>1993</v>
      </c>
      <c r="Z4584">
        <v>1</v>
      </c>
      <c r="AB4584">
        <v>0</v>
      </c>
      <c r="AC4584" t="s">
        <v>115</v>
      </c>
      <c r="AD4584">
        <v>2</v>
      </c>
      <c r="AE4584" t="s">
        <v>115</v>
      </c>
      <c r="AF4584">
        <v>0</v>
      </c>
      <c r="AG4584">
        <v>0</v>
      </c>
      <c r="AH4584" t="s">
        <v>116</v>
      </c>
      <c r="AI4584" s="1">
        <v>80786</v>
      </c>
      <c r="AJ4584" s="2">
        <v>0.26</v>
      </c>
      <c r="AK4584" s="1">
        <v>308046</v>
      </c>
      <c r="AL4584" t="s">
        <v>117</v>
      </c>
      <c r="AM4584" t="s">
        <v>393</v>
      </c>
      <c r="AN4584">
        <v>7501</v>
      </c>
      <c r="AO4584">
        <v>0.17</v>
      </c>
      <c r="AP4584">
        <v>1</v>
      </c>
      <c r="AR4584">
        <v>1</v>
      </c>
      <c r="AS4584" s="1">
        <v>21130</v>
      </c>
      <c r="AT4584" s="1">
        <v>4220</v>
      </c>
      <c r="AU4584" s="1">
        <v>16910</v>
      </c>
      <c r="AV4584">
        <v>80.03</v>
      </c>
      <c r="AX4584" s="1">
        <v>1390.28</v>
      </c>
      <c r="AY4584" t="s">
        <v>7213</v>
      </c>
      <c r="AZ4584" t="s">
        <v>571</v>
      </c>
      <c r="BA4584" t="s">
        <v>521</v>
      </c>
      <c r="BE4584" s="3">
        <v>41726</v>
      </c>
      <c r="BF4584" s="1">
        <v>220000</v>
      </c>
      <c r="BG4584" t="s">
        <v>28781</v>
      </c>
      <c r="BH4584" s="1">
        <v>127.54</v>
      </c>
      <c r="BI4584" s="1">
        <v>227260</v>
      </c>
      <c r="BJ4584" s="3">
        <v>41726</v>
      </c>
      <c r="BK4584" t="s">
        <v>123</v>
      </c>
      <c r="BL4584" t="str">
        <f>"2014.198923"</f>
        <v>2014.198923</v>
      </c>
      <c r="BM4584" t="s">
        <v>2472</v>
      </c>
      <c r="BO4584" t="s">
        <v>28782</v>
      </c>
      <c r="BS4584">
        <v>30</v>
      </c>
      <c r="BW4584" t="str">
        <f>""</f>
        <v/>
      </c>
      <c r="CH4584" t="str">
        <f>""</f>
        <v/>
      </c>
      <c r="CS4584" t="str">
        <f>""</f>
        <v/>
      </c>
    </row>
    <row r="4585" spans="1:97" x14ac:dyDescent="0.25">
      <c r="B4585" t="s">
        <v>28783</v>
      </c>
      <c r="E4585" t="s">
        <v>28784</v>
      </c>
      <c r="F4585" t="s">
        <v>108</v>
      </c>
      <c r="H4585" t="s">
        <v>28785</v>
      </c>
      <c r="I4585" t="s">
        <v>390</v>
      </c>
      <c r="J4585" t="s">
        <v>111</v>
      </c>
      <c r="K4585" t="str">
        <f>"85024"</f>
        <v>85024</v>
      </c>
      <c r="L4585" t="s">
        <v>22542</v>
      </c>
      <c r="M4585" t="s">
        <v>28785</v>
      </c>
      <c r="N4585" t="s">
        <v>390</v>
      </c>
      <c r="O4585" t="s">
        <v>111</v>
      </c>
      <c r="P4585" t="str">
        <f>"85024-2447"</f>
        <v>85024-2447</v>
      </c>
      <c r="Q4585" t="s">
        <v>113</v>
      </c>
      <c r="R4585" t="str">
        <f>"213-20-118"</f>
        <v>213-20-118</v>
      </c>
      <c r="S4585" t="s">
        <v>28786</v>
      </c>
      <c r="T4585" t="s">
        <v>28786</v>
      </c>
      <c r="U4585">
        <v>1545</v>
      </c>
      <c r="V4585">
        <v>0</v>
      </c>
      <c r="W4585">
        <v>3</v>
      </c>
      <c r="X4585">
        <v>1996</v>
      </c>
      <c r="Z4585">
        <v>1</v>
      </c>
      <c r="AB4585">
        <v>0</v>
      </c>
      <c r="AC4585" t="s">
        <v>115</v>
      </c>
      <c r="AD4585">
        <v>2</v>
      </c>
      <c r="AE4585" t="s">
        <v>115</v>
      </c>
      <c r="AF4585">
        <v>0</v>
      </c>
      <c r="AG4585">
        <v>0</v>
      </c>
      <c r="AH4585" t="s">
        <v>116</v>
      </c>
      <c r="AI4585" s="1">
        <v>72659</v>
      </c>
      <c r="AJ4585" s="2">
        <v>0.24</v>
      </c>
      <c r="AK4585" s="1">
        <v>304926</v>
      </c>
      <c r="AL4585" t="s">
        <v>117</v>
      </c>
      <c r="AM4585" t="s">
        <v>229</v>
      </c>
      <c r="AN4585">
        <v>6936</v>
      </c>
      <c r="AO4585">
        <v>0.16</v>
      </c>
      <c r="AP4585">
        <v>1</v>
      </c>
      <c r="AR4585">
        <v>1</v>
      </c>
      <c r="AS4585" s="1">
        <v>21560</v>
      </c>
      <c r="AT4585" s="1">
        <v>4310</v>
      </c>
      <c r="AU4585" s="1">
        <v>17250</v>
      </c>
      <c r="AV4585">
        <v>80.010000000000005</v>
      </c>
      <c r="AX4585" s="1">
        <v>1697.22</v>
      </c>
      <c r="AY4585" t="s">
        <v>5710</v>
      </c>
      <c r="AZ4585" t="s">
        <v>761</v>
      </c>
      <c r="BA4585" t="s">
        <v>2551</v>
      </c>
      <c r="BB4585" s="3">
        <v>42474</v>
      </c>
      <c r="BD4585" t="s">
        <v>240</v>
      </c>
      <c r="BE4585" s="3">
        <v>42426</v>
      </c>
      <c r="BF4585" s="1">
        <v>257000</v>
      </c>
      <c r="BG4585" t="s">
        <v>28787</v>
      </c>
      <c r="BH4585" s="1">
        <v>166.34</v>
      </c>
      <c r="BI4585" s="1">
        <v>232267</v>
      </c>
      <c r="BJ4585" s="3">
        <v>42426</v>
      </c>
      <c r="BK4585" t="s">
        <v>123</v>
      </c>
      <c r="BL4585" t="str">
        <f>"2016.124232"</f>
        <v>2016.124232</v>
      </c>
      <c r="BM4585" t="s">
        <v>594</v>
      </c>
      <c r="BO4585" t="s">
        <v>28788</v>
      </c>
      <c r="BS4585">
        <v>30</v>
      </c>
      <c r="BW4585" t="str">
        <f>""</f>
        <v/>
      </c>
      <c r="CH4585" t="str">
        <f>""</f>
        <v/>
      </c>
      <c r="CS4585" t="str">
        <f>""</f>
        <v/>
      </c>
    </row>
    <row r="4586" spans="1:97" x14ac:dyDescent="0.25">
      <c r="A4586" t="s">
        <v>894</v>
      </c>
      <c r="B4586" t="s">
        <v>28789</v>
      </c>
      <c r="C4586" t="s">
        <v>727</v>
      </c>
      <c r="D4586" t="s">
        <v>28789</v>
      </c>
      <c r="E4586" t="s">
        <v>28790</v>
      </c>
      <c r="F4586" t="s">
        <v>108</v>
      </c>
      <c r="H4586" t="s">
        <v>28791</v>
      </c>
      <c r="I4586" t="s">
        <v>632</v>
      </c>
      <c r="J4586" t="s">
        <v>111</v>
      </c>
      <c r="K4586" t="str">
        <f>"85388"</f>
        <v>85388</v>
      </c>
      <c r="L4586" t="s">
        <v>5429</v>
      </c>
      <c r="M4586" t="s">
        <v>28791</v>
      </c>
      <c r="N4586" t="s">
        <v>632</v>
      </c>
      <c r="O4586" t="s">
        <v>111</v>
      </c>
      <c r="P4586" t="str">
        <f>"85388-1274"</f>
        <v>85388-1274</v>
      </c>
      <c r="Q4586" t="s">
        <v>113</v>
      </c>
      <c r="R4586" t="str">
        <f>"502-01-873"</f>
        <v>502-01-873</v>
      </c>
      <c r="S4586" t="s">
        <v>5430</v>
      </c>
      <c r="T4586" t="s">
        <v>5431</v>
      </c>
      <c r="U4586">
        <v>3376</v>
      </c>
      <c r="V4586">
        <v>0</v>
      </c>
      <c r="W4586">
        <v>5</v>
      </c>
      <c r="X4586">
        <v>2004</v>
      </c>
      <c r="Z4586">
        <v>2</v>
      </c>
      <c r="AA4586" t="s">
        <v>26</v>
      </c>
      <c r="AB4586">
        <v>0</v>
      </c>
      <c r="AC4586" t="s">
        <v>115</v>
      </c>
      <c r="AD4586">
        <v>4</v>
      </c>
      <c r="AE4586" t="s">
        <v>115</v>
      </c>
      <c r="AF4586">
        <v>0</v>
      </c>
      <c r="AG4586">
        <v>0</v>
      </c>
      <c r="AH4586" t="s">
        <v>116</v>
      </c>
      <c r="AI4586" s="1">
        <v>59271</v>
      </c>
      <c r="AJ4586" s="2">
        <v>0.16</v>
      </c>
      <c r="AK4586" s="1">
        <v>360121</v>
      </c>
      <c r="AL4586" t="s">
        <v>117</v>
      </c>
      <c r="AM4586" t="s">
        <v>118</v>
      </c>
      <c r="AN4586">
        <v>7355</v>
      </c>
      <c r="AO4586">
        <v>0.17</v>
      </c>
      <c r="AR4586">
        <v>1</v>
      </c>
      <c r="AS4586" s="1">
        <v>26820</v>
      </c>
      <c r="AT4586" s="1">
        <v>5360</v>
      </c>
      <c r="AU4586" s="1">
        <v>21460</v>
      </c>
      <c r="AV4586">
        <v>80.010000000000005</v>
      </c>
      <c r="AX4586" s="1">
        <v>1991</v>
      </c>
      <c r="AY4586" t="s">
        <v>5432</v>
      </c>
      <c r="AZ4586" t="s">
        <v>5432</v>
      </c>
      <c r="BA4586" t="s">
        <v>5109</v>
      </c>
      <c r="BE4586" s="3">
        <v>42191</v>
      </c>
      <c r="BF4586" s="1">
        <v>270000</v>
      </c>
      <c r="BG4586" t="s">
        <v>28792</v>
      </c>
      <c r="BH4586" s="1">
        <v>79.98</v>
      </c>
      <c r="BI4586" s="1">
        <v>269243</v>
      </c>
      <c r="BJ4586" s="3">
        <v>42671</v>
      </c>
      <c r="BK4586" t="s">
        <v>123</v>
      </c>
      <c r="BL4586" t="str">
        <f>"2016.795582"</f>
        <v>2016.795582</v>
      </c>
      <c r="BM4586" t="s">
        <v>402</v>
      </c>
      <c r="BO4586" t="s">
        <v>28793</v>
      </c>
      <c r="BS4586">
        <v>30</v>
      </c>
      <c r="BT4586" s="1">
        <v>31607</v>
      </c>
      <c r="BU4586" s="3">
        <v>42941</v>
      </c>
      <c r="BW4586" t="str">
        <f>"2017.540164"</f>
        <v>2017.540164</v>
      </c>
      <c r="BX4586" t="s">
        <v>198</v>
      </c>
      <c r="BZ4586" t="s">
        <v>28793</v>
      </c>
      <c r="CD4586">
        <v>15</v>
      </c>
      <c r="CH4586" t="str">
        <f>""</f>
        <v/>
      </c>
      <c r="CS4586" t="str">
        <f>""</f>
        <v/>
      </c>
    </row>
    <row r="4587" spans="1:97" x14ac:dyDescent="0.25">
      <c r="B4587" t="s">
        <v>28794</v>
      </c>
      <c r="E4587" t="s">
        <v>28795</v>
      </c>
      <c r="F4587" t="s">
        <v>108</v>
      </c>
      <c r="H4587" t="s">
        <v>28796</v>
      </c>
      <c r="I4587" t="s">
        <v>225</v>
      </c>
      <c r="J4587" t="s">
        <v>111</v>
      </c>
      <c r="K4587" t="str">
        <f>"85207"</f>
        <v>85207</v>
      </c>
      <c r="L4587" t="s">
        <v>688</v>
      </c>
      <c r="M4587" t="s">
        <v>28796</v>
      </c>
      <c r="N4587" t="s">
        <v>225</v>
      </c>
      <c r="O4587" t="s">
        <v>111</v>
      </c>
      <c r="P4587" t="str">
        <f>"85207-5274"</f>
        <v>85207-5274</v>
      </c>
      <c r="Q4587" t="s">
        <v>113</v>
      </c>
      <c r="R4587" t="str">
        <f>"220-19-332"</f>
        <v>220-19-332</v>
      </c>
      <c r="S4587" t="s">
        <v>28797</v>
      </c>
      <c r="T4587" t="s">
        <v>28798</v>
      </c>
      <c r="U4587">
        <v>1701</v>
      </c>
      <c r="V4587">
        <v>0</v>
      </c>
      <c r="W4587">
        <v>2</v>
      </c>
      <c r="X4587">
        <v>1998</v>
      </c>
      <c r="Z4587">
        <v>1</v>
      </c>
      <c r="AB4587">
        <v>0</v>
      </c>
      <c r="AC4587" t="s">
        <v>115</v>
      </c>
      <c r="AD4587">
        <v>2</v>
      </c>
      <c r="AE4587" t="s">
        <v>115</v>
      </c>
      <c r="AF4587">
        <v>0</v>
      </c>
      <c r="AG4587">
        <v>0</v>
      </c>
      <c r="AH4587" t="s">
        <v>116</v>
      </c>
      <c r="AI4587" s="1">
        <v>61603</v>
      </c>
      <c r="AJ4587" s="2">
        <v>0.21</v>
      </c>
      <c r="AK4587" s="1">
        <v>286603</v>
      </c>
      <c r="AL4587" t="s">
        <v>117</v>
      </c>
      <c r="AM4587" t="s">
        <v>393</v>
      </c>
      <c r="AN4587">
        <v>10328</v>
      </c>
      <c r="AO4587">
        <v>0.24</v>
      </c>
      <c r="AP4587">
        <v>1</v>
      </c>
      <c r="AR4587">
        <v>1</v>
      </c>
      <c r="AS4587" s="1">
        <v>19200</v>
      </c>
      <c r="AT4587" s="1">
        <v>3840</v>
      </c>
      <c r="AU4587" s="1">
        <v>15360</v>
      </c>
      <c r="AV4587">
        <v>80</v>
      </c>
      <c r="AX4587" s="1">
        <v>1330.3</v>
      </c>
      <c r="AY4587" t="s">
        <v>15020</v>
      </c>
      <c r="AZ4587" t="s">
        <v>3761</v>
      </c>
      <c r="BA4587" t="s">
        <v>232</v>
      </c>
      <c r="BB4587" s="3">
        <v>43564</v>
      </c>
      <c r="BC4587" s="1">
        <v>0</v>
      </c>
      <c r="BD4587" t="s">
        <v>247</v>
      </c>
      <c r="BE4587" s="3">
        <v>41912</v>
      </c>
      <c r="BF4587" s="1">
        <v>200000</v>
      </c>
      <c r="BG4587" t="s">
        <v>28799</v>
      </c>
      <c r="BH4587" s="1">
        <v>117.58</v>
      </c>
      <c r="BI4587" s="1">
        <v>225000</v>
      </c>
      <c r="BJ4587" s="3">
        <v>43251</v>
      </c>
      <c r="BK4587" t="s">
        <v>123</v>
      </c>
      <c r="BL4587" t="str">
        <f>"2018.416956"</f>
        <v>2018.416956</v>
      </c>
      <c r="BM4587" t="s">
        <v>1915</v>
      </c>
      <c r="BN4587" t="s">
        <v>1916</v>
      </c>
      <c r="BO4587" t="s">
        <v>28800</v>
      </c>
      <c r="BR4587" t="s">
        <v>139</v>
      </c>
      <c r="BW4587" t="str">
        <f>""</f>
        <v/>
      </c>
      <c r="CH4587" t="str">
        <f>""</f>
        <v/>
      </c>
      <c r="CS4587" t="str">
        <f>""</f>
        <v/>
      </c>
    </row>
    <row r="4588" spans="1:97" x14ac:dyDescent="0.25">
      <c r="A4588" t="s">
        <v>28801</v>
      </c>
      <c r="B4588" t="s">
        <v>488</v>
      </c>
      <c r="E4588" t="s">
        <v>28802</v>
      </c>
      <c r="F4588" t="s">
        <v>108</v>
      </c>
      <c r="H4588" t="s">
        <v>28803</v>
      </c>
      <c r="I4588" t="s">
        <v>5114</v>
      </c>
      <c r="J4588" t="s">
        <v>111</v>
      </c>
      <c r="K4588" t="str">
        <f>"85392"</f>
        <v>85392</v>
      </c>
      <c r="L4588" t="s">
        <v>926</v>
      </c>
      <c r="M4588" t="s">
        <v>28803</v>
      </c>
      <c r="N4588" t="s">
        <v>5114</v>
      </c>
      <c r="O4588" t="s">
        <v>111</v>
      </c>
      <c r="P4588" t="str">
        <f>"85392-6646"</f>
        <v>85392-6646</v>
      </c>
      <c r="Q4588" t="s">
        <v>113</v>
      </c>
      <c r="R4588" t="str">
        <f>"501-72-464"</f>
        <v>501-72-464</v>
      </c>
      <c r="S4588" t="s">
        <v>11216</v>
      </c>
      <c r="T4588" t="s">
        <v>11217</v>
      </c>
      <c r="U4588">
        <v>2552</v>
      </c>
      <c r="V4588">
        <v>0</v>
      </c>
      <c r="W4588">
        <v>4</v>
      </c>
      <c r="X4588">
        <v>2001</v>
      </c>
      <c r="Z4588">
        <v>2</v>
      </c>
      <c r="AA4588" t="s">
        <v>26</v>
      </c>
      <c r="AB4588">
        <v>0</v>
      </c>
      <c r="AC4588" t="s">
        <v>115</v>
      </c>
      <c r="AD4588">
        <v>2</v>
      </c>
      <c r="AE4588" t="s">
        <v>115</v>
      </c>
      <c r="AF4588">
        <v>0</v>
      </c>
      <c r="AG4588">
        <v>0</v>
      </c>
      <c r="AH4588" t="s">
        <v>116</v>
      </c>
      <c r="AI4588" s="1">
        <v>89826</v>
      </c>
      <c r="AJ4588" s="2">
        <v>0.28000000000000003</v>
      </c>
      <c r="AK4588" s="1">
        <v>318178</v>
      </c>
      <c r="AL4588" t="s">
        <v>117</v>
      </c>
      <c r="AM4588" t="s">
        <v>118</v>
      </c>
      <c r="AN4588">
        <v>7878</v>
      </c>
      <c r="AO4588">
        <v>0.18</v>
      </c>
      <c r="AP4588">
        <v>1</v>
      </c>
      <c r="AR4588">
        <v>1</v>
      </c>
      <c r="AS4588" s="1">
        <v>23050</v>
      </c>
      <c r="AT4588" s="1">
        <v>4610</v>
      </c>
      <c r="AU4588" s="1">
        <v>18440</v>
      </c>
      <c r="AV4588">
        <v>80</v>
      </c>
      <c r="AX4588" s="1">
        <v>1806.7</v>
      </c>
      <c r="AY4588" t="s">
        <v>6700</v>
      </c>
      <c r="AZ4588" t="s">
        <v>6701</v>
      </c>
      <c r="BA4588" t="s">
        <v>6702</v>
      </c>
      <c r="BE4588" s="3">
        <v>41718</v>
      </c>
      <c r="BF4588" s="1">
        <v>223000</v>
      </c>
      <c r="BG4588" t="s">
        <v>28804</v>
      </c>
      <c r="BH4588" s="1">
        <v>87.38</v>
      </c>
      <c r="BI4588" s="1">
        <v>228352</v>
      </c>
      <c r="BJ4588" s="3">
        <v>41718</v>
      </c>
      <c r="BK4588" t="s">
        <v>123</v>
      </c>
      <c r="BL4588" t="str">
        <f>"2014.179360"</f>
        <v>2014.179360</v>
      </c>
      <c r="BM4588" t="s">
        <v>6784</v>
      </c>
      <c r="BO4588" t="s">
        <v>28805</v>
      </c>
      <c r="BS4588">
        <v>30</v>
      </c>
      <c r="BW4588" t="str">
        <f>""</f>
        <v/>
      </c>
      <c r="CH4588" t="str">
        <f>""</f>
        <v/>
      </c>
      <c r="CS4588" t="str">
        <f>""</f>
        <v/>
      </c>
    </row>
    <row r="4589" spans="1:97" x14ac:dyDescent="0.25">
      <c r="A4589" t="s">
        <v>4992</v>
      </c>
      <c r="B4589" t="s">
        <v>1089</v>
      </c>
      <c r="E4589" t="s">
        <v>28806</v>
      </c>
      <c r="F4589" t="s">
        <v>108</v>
      </c>
      <c r="H4589" t="s">
        <v>28807</v>
      </c>
      <c r="I4589" t="s">
        <v>390</v>
      </c>
      <c r="J4589" t="s">
        <v>111</v>
      </c>
      <c r="K4589" t="str">
        <f>"85027"</f>
        <v>85027</v>
      </c>
      <c r="L4589" t="s">
        <v>8345</v>
      </c>
      <c r="M4589" t="s">
        <v>28807</v>
      </c>
      <c r="N4589" t="s">
        <v>390</v>
      </c>
      <c r="O4589" t="s">
        <v>111</v>
      </c>
      <c r="P4589" t="str">
        <f>"85027-3535"</f>
        <v>85027-3535</v>
      </c>
      <c r="Q4589" t="s">
        <v>113</v>
      </c>
      <c r="R4589" t="str">
        <f>"209-09-190"</f>
        <v>209-09-190</v>
      </c>
      <c r="S4589" t="s">
        <v>28808</v>
      </c>
      <c r="T4589" t="s">
        <v>28809</v>
      </c>
      <c r="U4589">
        <v>1537</v>
      </c>
      <c r="V4589">
        <v>0</v>
      </c>
      <c r="W4589">
        <v>3</v>
      </c>
      <c r="X4589">
        <v>1980</v>
      </c>
      <c r="Z4589">
        <v>1</v>
      </c>
      <c r="AA4589" t="s">
        <v>26</v>
      </c>
      <c r="AB4589">
        <v>0</v>
      </c>
      <c r="AC4589" t="s">
        <v>115</v>
      </c>
      <c r="AD4589">
        <v>2</v>
      </c>
      <c r="AE4589" t="s">
        <v>115</v>
      </c>
      <c r="AF4589">
        <v>0</v>
      </c>
      <c r="AG4589">
        <v>0</v>
      </c>
      <c r="AH4589" t="s">
        <v>116</v>
      </c>
      <c r="AI4589" s="1">
        <v>34668</v>
      </c>
      <c r="AJ4589" s="2">
        <v>0.13</v>
      </c>
      <c r="AK4589" s="1">
        <v>265568</v>
      </c>
      <c r="AL4589" t="s">
        <v>117</v>
      </c>
      <c r="AM4589" t="s">
        <v>191</v>
      </c>
      <c r="AN4589">
        <v>8510</v>
      </c>
      <c r="AO4589">
        <v>0.2</v>
      </c>
      <c r="AP4589">
        <v>1</v>
      </c>
      <c r="AR4589">
        <v>1</v>
      </c>
      <c r="AS4589" s="1">
        <v>18900</v>
      </c>
      <c r="AT4589" s="1">
        <v>3780</v>
      </c>
      <c r="AU4589" s="1">
        <v>15120</v>
      </c>
      <c r="AV4589">
        <v>80</v>
      </c>
      <c r="AX4589" s="1">
        <v>1281.2</v>
      </c>
      <c r="AY4589" t="s">
        <v>10684</v>
      </c>
      <c r="AZ4589" t="s">
        <v>2357</v>
      </c>
      <c r="BA4589" t="s">
        <v>1462</v>
      </c>
      <c r="BE4589" s="3">
        <v>42002</v>
      </c>
      <c r="BF4589" s="1">
        <v>167000</v>
      </c>
      <c r="BG4589" t="s">
        <v>28810</v>
      </c>
      <c r="BH4589" s="1">
        <v>108.65</v>
      </c>
      <c r="BI4589" s="1">
        <v>230900</v>
      </c>
      <c r="BJ4589" s="3">
        <v>43144</v>
      </c>
      <c r="BK4589" t="s">
        <v>123</v>
      </c>
      <c r="BL4589" t="str">
        <f>"2018.110941"</f>
        <v>2018.110941</v>
      </c>
      <c r="BM4589" t="s">
        <v>361</v>
      </c>
      <c r="BN4589" t="s">
        <v>884</v>
      </c>
      <c r="BO4589" t="s">
        <v>28811</v>
      </c>
      <c r="BR4589" t="s">
        <v>139</v>
      </c>
      <c r="BW4589" t="str">
        <f>""</f>
        <v/>
      </c>
      <c r="CH4589" t="str">
        <f>""</f>
        <v/>
      </c>
      <c r="CS4589" t="str">
        <f>""</f>
        <v/>
      </c>
    </row>
    <row r="4590" spans="1:97" x14ac:dyDescent="0.25">
      <c r="A4590" t="s">
        <v>370</v>
      </c>
      <c r="B4590" t="s">
        <v>28812</v>
      </c>
      <c r="E4590" t="s">
        <v>28813</v>
      </c>
      <c r="F4590" t="s">
        <v>108</v>
      </c>
      <c r="H4590" t="s">
        <v>28814</v>
      </c>
      <c r="I4590" t="s">
        <v>390</v>
      </c>
      <c r="J4590" t="s">
        <v>111</v>
      </c>
      <c r="K4590" t="str">
        <f>"85003"</f>
        <v>85003</v>
      </c>
      <c r="L4590" t="s">
        <v>5687</v>
      </c>
      <c r="M4590" t="s">
        <v>28814</v>
      </c>
      <c r="N4590" t="s">
        <v>390</v>
      </c>
      <c r="O4590" t="s">
        <v>111</v>
      </c>
      <c r="P4590" t="str">
        <f>"85003-1014"</f>
        <v>85003-1014</v>
      </c>
      <c r="Q4590" t="s">
        <v>113</v>
      </c>
      <c r="R4590" t="str">
        <f>"118-49-091"</f>
        <v>118-49-091</v>
      </c>
      <c r="S4590" t="s">
        <v>28815</v>
      </c>
      <c r="T4590" t="s">
        <v>28815</v>
      </c>
      <c r="U4590">
        <v>1478</v>
      </c>
      <c r="V4590">
        <v>0</v>
      </c>
      <c r="W4590">
        <v>2</v>
      </c>
      <c r="X4590">
        <v>1937</v>
      </c>
      <c r="Z4590">
        <v>1</v>
      </c>
      <c r="AA4590" t="s">
        <v>26</v>
      </c>
      <c r="AB4590">
        <v>0</v>
      </c>
      <c r="AC4590" t="s">
        <v>115</v>
      </c>
      <c r="AD4590">
        <v>2</v>
      </c>
      <c r="AE4590" t="s">
        <v>115</v>
      </c>
      <c r="AF4590">
        <v>0</v>
      </c>
      <c r="AG4590">
        <v>0</v>
      </c>
      <c r="AH4590" t="s">
        <v>116</v>
      </c>
      <c r="AI4590" s="1">
        <v>131218</v>
      </c>
      <c r="AJ4590" s="2">
        <v>0.28999999999999998</v>
      </c>
      <c r="AK4590" s="1">
        <v>459655</v>
      </c>
      <c r="AL4590" t="s">
        <v>117</v>
      </c>
      <c r="AM4590" t="s">
        <v>191</v>
      </c>
      <c r="AN4590">
        <v>6573</v>
      </c>
      <c r="AO4590">
        <v>0.15</v>
      </c>
      <c r="AP4590">
        <v>1</v>
      </c>
      <c r="AR4590">
        <v>1</v>
      </c>
      <c r="AS4590" s="1">
        <v>16685</v>
      </c>
      <c r="AT4590" s="1">
        <v>3335</v>
      </c>
      <c r="AU4590" s="1">
        <v>13350</v>
      </c>
      <c r="AV4590">
        <v>80.010000000000005</v>
      </c>
      <c r="AX4590" s="1">
        <v>1872.54</v>
      </c>
      <c r="AY4590" t="s">
        <v>8309</v>
      </c>
      <c r="AZ4590" t="s">
        <v>8309</v>
      </c>
      <c r="BA4590" t="s">
        <v>5469</v>
      </c>
      <c r="BE4590" s="3">
        <v>42488</v>
      </c>
      <c r="BF4590" s="1">
        <v>425000</v>
      </c>
      <c r="BG4590" t="s">
        <v>28816</v>
      </c>
      <c r="BH4590" s="1">
        <v>287.55</v>
      </c>
      <c r="BI4590" s="1">
        <v>278437</v>
      </c>
      <c r="BJ4590" s="3">
        <v>42488</v>
      </c>
      <c r="BK4590" t="s">
        <v>123</v>
      </c>
      <c r="BL4590" t="str">
        <f>"2016.286930"</f>
        <v>2016.286930</v>
      </c>
      <c r="BM4590" t="s">
        <v>724</v>
      </c>
      <c r="BN4590" t="s">
        <v>5423</v>
      </c>
      <c r="BO4590" t="s">
        <v>28817</v>
      </c>
      <c r="BS4590">
        <v>15</v>
      </c>
      <c r="BT4590" s="1">
        <v>50000</v>
      </c>
      <c r="BU4590" s="3">
        <v>43320</v>
      </c>
      <c r="BV4590" t="s">
        <v>134</v>
      </c>
      <c r="BW4590" t="str">
        <f>"2018.600344"</f>
        <v>2018.600344</v>
      </c>
      <c r="BX4590" t="s">
        <v>135</v>
      </c>
      <c r="BY4590" t="s">
        <v>136</v>
      </c>
      <c r="BZ4590" t="s">
        <v>28818</v>
      </c>
      <c r="CC4590" t="s">
        <v>139</v>
      </c>
      <c r="CH4590" t="str">
        <f>""</f>
        <v/>
      </c>
      <c r="CS4590" t="str">
        <f>""</f>
        <v/>
      </c>
    </row>
    <row r="4591" spans="1:97" x14ac:dyDescent="0.25">
      <c r="A4591" t="s">
        <v>1514</v>
      </c>
      <c r="B4591" t="s">
        <v>28819</v>
      </c>
      <c r="C4591" t="s">
        <v>1496</v>
      </c>
      <c r="D4591" t="s">
        <v>28819</v>
      </c>
      <c r="E4591" t="s">
        <v>28820</v>
      </c>
      <c r="F4591" t="s">
        <v>108</v>
      </c>
      <c r="H4591" t="s">
        <v>28821</v>
      </c>
      <c r="I4591" t="s">
        <v>632</v>
      </c>
      <c r="J4591" t="s">
        <v>111</v>
      </c>
      <c r="K4591" t="str">
        <f>"85388"</f>
        <v>85388</v>
      </c>
      <c r="L4591" t="s">
        <v>3094</v>
      </c>
      <c r="M4591" t="s">
        <v>28821</v>
      </c>
      <c r="N4591" t="s">
        <v>632</v>
      </c>
      <c r="O4591" t="s">
        <v>111</v>
      </c>
      <c r="P4591" t="str">
        <f>"85388-7841"</f>
        <v>85388-7841</v>
      </c>
      <c r="Q4591" t="s">
        <v>113</v>
      </c>
      <c r="R4591" t="str">
        <f>"502-88-045"</f>
        <v>502-88-045</v>
      </c>
      <c r="S4591" t="s">
        <v>12130</v>
      </c>
      <c r="T4591" t="s">
        <v>12131</v>
      </c>
      <c r="U4591">
        <v>2034</v>
      </c>
      <c r="V4591">
        <v>0</v>
      </c>
      <c r="W4591">
        <v>3</v>
      </c>
      <c r="X4591">
        <v>2004</v>
      </c>
      <c r="Z4591">
        <v>1</v>
      </c>
      <c r="AA4591" t="s">
        <v>26</v>
      </c>
      <c r="AB4591">
        <v>0</v>
      </c>
      <c r="AC4591" t="s">
        <v>115</v>
      </c>
      <c r="AD4591">
        <v>2</v>
      </c>
      <c r="AE4591" t="s">
        <v>115</v>
      </c>
      <c r="AF4591">
        <v>0</v>
      </c>
      <c r="AG4591">
        <v>0</v>
      </c>
      <c r="AH4591" t="s">
        <v>116</v>
      </c>
      <c r="AI4591" s="1">
        <v>68054</v>
      </c>
      <c r="AJ4591" s="2">
        <v>0.24</v>
      </c>
      <c r="AK4591" s="1">
        <v>285066</v>
      </c>
      <c r="AL4591" t="s">
        <v>117</v>
      </c>
      <c r="AM4591" t="s">
        <v>118</v>
      </c>
      <c r="AN4591">
        <v>7786</v>
      </c>
      <c r="AO4591">
        <v>0.18</v>
      </c>
      <c r="AR4591">
        <v>1</v>
      </c>
      <c r="AS4591" s="1">
        <v>19760</v>
      </c>
      <c r="AT4591" s="1">
        <v>3950</v>
      </c>
      <c r="AU4591" s="1">
        <v>15810</v>
      </c>
      <c r="AV4591">
        <v>80.010000000000005</v>
      </c>
      <c r="AX4591" s="1">
        <v>1532.38</v>
      </c>
      <c r="AY4591" t="s">
        <v>6262</v>
      </c>
      <c r="AZ4591" t="s">
        <v>6262</v>
      </c>
      <c r="BA4591" t="s">
        <v>5061</v>
      </c>
      <c r="BE4591" s="3">
        <v>42046</v>
      </c>
      <c r="BF4591" s="1">
        <v>212500</v>
      </c>
      <c r="BG4591" t="s">
        <v>28822</v>
      </c>
      <c r="BH4591" s="1">
        <v>104.47</v>
      </c>
      <c r="BI4591" s="1">
        <v>217012</v>
      </c>
      <c r="BJ4591" s="3">
        <v>42046</v>
      </c>
      <c r="BK4591" t="s">
        <v>123</v>
      </c>
      <c r="BL4591" t="str">
        <f>"2015.87370"</f>
        <v>2015.87370</v>
      </c>
      <c r="BM4591" t="s">
        <v>724</v>
      </c>
      <c r="BO4591" t="s">
        <v>28823</v>
      </c>
      <c r="BS4591">
        <v>30</v>
      </c>
      <c r="BW4591" t="str">
        <f>""</f>
        <v/>
      </c>
      <c r="CH4591" t="str">
        <f>""</f>
        <v/>
      </c>
      <c r="CS4591" t="str">
        <f>""</f>
        <v/>
      </c>
    </row>
    <row r="4592" spans="1:97" x14ac:dyDescent="0.25">
      <c r="A4592" t="s">
        <v>1083</v>
      </c>
      <c r="B4592" t="s">
        <v>20339</v>
      </c>
      <c r="C4592" t="s">
        <v>28824</v>
      </c>
      <c r="D4592" t="s">
        <v>20339</v>
      </c>
      <c r="E4592" t="s">
        <v>28825</v>
      </c>
      <c r="F4592" t="s">
        <v>108</v>
      </c>
      <c r="H4592" t="s">
        <v>28826</v>
      </c>
      <c r="I4592" t="s">
        <v>632</v>
      </c>
      <c r="J4592" t="s">
        <v>111</v>
      </c>
      <c r="K4592" t="str">
        <f>"85379"</f>
        <v>85379</v>
      </c>
      <c r="L4592" t="s">
        <v>375</v>
      </c>
      <c r="M4592" t="s">
        <v>28826</v>
      </c>
      <c r="N4592" t="s">
        <v>632</v>
      </c>
      <c r="O4592" t="s">
        <v>111</v>
      </c>
      <c r="P4592" t="str">
        <f>"85379-9194"</f>
        <v>85379-9194</v>
      </c>
      <c r="Q4592" t="s">
        <v>113</v>
      </c>
      <c r="R4592" t="str">
        <f>"501-46-331"</f>
        <v>501-46-331</v>
      </c>
      <c r="S4592" t="s">
        <v>8563</v>
      </c>
      <c r="U4592">
        <v>2028</v>
      </c>
      <c r="V4592">
        <v>0</v>
      </c>
      <c r="W4592">
        <v>4</v>
      </c>
      <c r="X4592">
        <v>2013</v>
      </c>
      <c r="Z4592">
        <v>2</v>
      </c>
      <c r="AB4592">
        <v>0</v>
      </c>
      <c r="AC4592" t="s">
        <v>115</v>
      </c>
      <c r="AD4592">
        <v>2</v>
      </c>
      <c r="AE4592" t="s">
        <v>115</v>
      </c>
      <c r="AF4592">
        <v>0</v>
      </c>
      <c r="AG4592">
        <v>0</v>
      </c>
      <c r="AH4592" t="s">
        <v>116</v>
      </c>
      <c r="AI4592" s="1">
        <v>93133</v>
      </c>
      <c r="AJ4592" s="2">
        <v>0.32</v>
      </c>
      <c r="AK4592" s="1">
        <v>293633</v>
      </c>
      <c r="AL4592" t="s">
        <v>117</v>
      </c>
      <c r="AM4592" t="s">
        <v>118</v>
      </c>
      <c r="AN4592">
        <v>4125</v>
      </c>
      <c r="AO4592">
        <v>0.95</v>
      </c>
      <c r="AR4592">
        <v>1</v>
      </c>
      <c r="AS4592" s="1">
        <v>19420</v>
      </c>
      <c r="AT4592" s="1">
        <v>3880</v>
      </c>
      <c r="AU4592" s="1">
        <v>15540</v>
      </c>
      <c r="AV4592">
        <v>80.02</v>
      </c>
      <c r="AX4592" s="1">
        <v>2114.96</v>
      </c>
      <c r="AY4592" t="s">
        <v>634</v>
      </c>
      <c r="AZ4592" t="s">
        <v>634</v>
      </c>
      <c r="BA4592" t="s">
        <v>635</v>
      </c>
      <c r="BE4592" s="3">
        <v>41757</v>
      </c>
      <c r="BF4592" s="1">
        <v>208657</v>
      </c>
      <c r="BG4592" t="s">
        <v>636</v>
      </c>
      <c r="BH4592" s="1">
        <v>102.89</v>
      </c>
      <c r="BI4592" s="1">
        <v>200500</v>
      </c>
      <c r="BJ4592" s="3">
        <v>42660</v>
      </c>
      <c r="BK4592" t="s">
        <v>123</v>
      </c>
      <c r="BL4592" t="str">
        <f>"2016.757645"</f>
        <v>2016.757645</v>
      </c>
      <c r="BM4592" t="s">
        <v>425</v>
      </c>
      <c r="BO4592" t="s">
        <v>28827</v>
      </c>
      <c r="BS4592">
        <v>30</v>
      </c>
      <c r="BW4592" t="str">
        <f>""</f>
        <v/>
      </c>
      <c r="CH4592" t="str">
        <f>""</f>
        <v/>
      </c>
      <c r="CS4592" t="str">
        <f>""</f>
        <v/>
      </c>
    </row>
    <row r="4593" spans="1:97" x14ac:dyDescent="0.25">
      <c r="A4593" t="s">
        <v>28828</v>
      </c>
      <c r="B4593" t="s">
        <v>4874</v>
      </c>
      <c r="C4593" t="s">
        <v>4145</v>
      </c>
      <c r="D4593" t="s">
        <v>4874</v>
      </c>
      <c r="E4593" t="s">
        <v>28829</v>
      </c>
      <c r="F4593" t="s">
        <v>108</v>
      </c>
      <c r="H4593" t="s">
        <v>28830</v>
      </c>
      <c r="I4593" t="s">
        <v>5387</v>
      </c>
      <c r="J4593" t="s">
        <v>111</v>
      </c>
      <c r="K4593" t="str">
        <f>"85284"</f>
        <v>85284</v>
      </c>
      <c r="L4593" t="s">
        <v>3151</v>
      </c>
      <c r="M4593" t="s">
        <v>28830</v>
      </c>
      <c r="N4593" t="s">
        <v>5387</v>
      </c>
      <c r="O4593" t="s">
        <v>111</v>
      </c>
      <c r="P4593" t="str">
        <f>"85284-3818"</f>
        <v>85284-3818</v>
      </c>
      <c r="Q4593" t="s">
        <v>113</v>
      </c>
      <c r="R4593" t="str">
        <f>"301-66-474"</f>
        <v>301-66-474</v>
      </c>
      <c r="S4593" t="s">
        <v>28831</v>
      </c>
      <c r="T4593" t="s">
        <v>28831</v>
      </c>
      <c r="U4593">
        <v>2760</v>
      </c>
      <c r="V4593">
        <v>0</v>
      </c>
      <c r="W4593">
        <v>4</v>
      </c>
      <c r="X4593">
        <v>2009</v>
      </c>
      <c r="Z4593">
        <v>2</v>
      </c>
      <c r="AB4593">
        <v>0</v>
      </c>
      <c r="AC4593" t="s">
        <v>115</v>
      </c>
      <c r="AD4593">
        <v>2</v>
      </c>
      <c r="AE4593" t="s">
        <v>115</v>
      </c>
      <c r="AF4593">
        <v>0</v>
      </c>
      <c r="AG4593">
        <v>0</v>
      </c>
      <c r="AH4593" t="s">
        <v>116</v>
      </c>
      <c r="AI4593" s="1">
        <v>81174</v>
      </c>
      <c r="AJ4593" s="2">
        <v>0.19</v>
      </c>
      <c r="AK4593" s="1">
        <v>433591</v>
      </c>
      <c r="AL4593" t="s">
        <v>117</v>
      </c>
      <c r="AM4593" t="s">
        <v>118</v>
      </c>
      <c r="AN4593">
        <v>4275</v>
      </c>
      <c r="AO4593">
        <v>0.98</v>
      </c>
      <c r="AR4593">
        <v>1</v>
      </c>
      <c r="AS4593" s="1">
        <v>32350</v>
      </c>
      <c r="AT4593" s="1">
        <v>6470</v>
      </c>
      <c r="AU4593" s="1">
        <v>25880</v>
      </c>
      <c r="AV4593">
        <v>80</v>
      </c>
      <c r="AX4593" s="1">
        <v>3096.52</v>
      </c>
      <c r="AY4593" t="s">
        <v>7662</v>
      </c>
      <c r="AZ4593" t="s">
        <v>5201</v>
      </c>
      <c r="BA4593" t="s">
        <v>5328</v>
      </c>
      <c r="BE4593" s="3">
        <v>41990</v>
      </c>
      <c r="BF4593" s="1">
        <v>345000</v>
      </c>
      <c r="BG4593" t="s">
        <v>28832</v>
      </c>
      <c r="BH4593" s="1">
        <v>125</v>
      </c>
      <c r="BI4593" s="1">
        <v>352417</v>
      </c>
      <c r="BJ4593" s="3">
        <v>41990</v>
      </c>
      <c r="BK4593" t="s">
        <v>123</v>
      </c>
      <c r="BL4593" t="str">
        <f>"2014.827787"</f>
        <v>2014.827787</v>
      </c>
      <c r="BM4593" t="s">
        <v>1325</v>
      </c>
      <c r="BO4593" t="s">
        <v>28833</v>
      </c>
      <c r="BS4593">
        <v>30</v>
      </c>
      <c r="BW4593" t="str">
        <f>""</f>
        <v/>
      </c>
      <c r="CH4593" t="str">
        <f>""</f>
        <v/>
      </c>
      <c r="CS4593" t="str">
        <f>""</f>
        <v/>
      </c>
    </row>
    <row r="4594" spans="1:97" x14ac:dyDescent="0.25">
      <c r="A4594" t="s">
        <v>370</v>
      </c>
      <c r="B4594" t="s">
        <v>28834</v>
      </c>
      <c r="E4594" t="s">
        <v>28835</v>
      </c>
      <c r="F4594" t="s">
        <v>108</v>
      </c>
      <c r="H4594" t="s">
        <v>28836</v>
      </c>
      <c r="I4594" t="s">
        <v>390</v>
      </c>
      <c r="J4594" t="s">
        <v>111</v>
      </c>
      <c r="K4594" t="str">
        <f>"85024"</f>
        <v>85024</v>
      </c>
      <c r="L4594" t="s">
        <v>22542</v>
      </c>
      <c r="M4594" t="s">
        <v>28836</v>
      </c>
      <c r="N4594" t="s">
        <v>390</v>
      </c>
      <c r="O4594" t="s">
        <v>111</v>
      </c>
      <c r="P4594" t="str">
        <f>"85024-3067"</f>
        <v>85024-3067</v>
      </c>
      <c r="Q4594" t="s">
        <v>113</v>
      </c>
      <c r="R4594" t="str">
        <f>"213-20-143"</f>
        <v>213-20-143</v>
      </c>
      <c r="S4594" t="s">
        <v>28837</v>
      </c>
      <c r="T4594" t="s">
        <v>28838</v>
      </c>
      <c r="U4594">
        <v>1614</v>
      </c>
      <c r="V4594">
        <v>0</v>
      </c>
      <c r="W4594">
        <v>3</v>
      </c>
      <c r="X4594">
        <v>1997</v>
      </c>
      <c r="Z4594">
        <v>1</v>
      </c>
      <c r="AA4594" t="s">
        <v>26</v>
      </c>
      <c r="AB4594">
        <v>0</v>
      </c>
      <c r="AC4594" t="s">
        <v>115</v>
      </c>
      <c r="AD4594">
        <v>2</v>
      </c>
      <c r="AE4594" t="s">
        <v>115</v>
      </c>
      <c r="AF4594">
        <v>0</v>
      </c>
      <c r="AG4594">
        <v>0</v>
      </c>
      <c r="AH4594" t="s">
        <v>116</v>
      </c>
      <c r="AI4594" s="1">
        <v>50605</v>
      </c>
      <c r="AJ4594" s="2">
        <v>0.17</v>
      </c>
      <c r="AK4594" s="1">
        <v>300505</v>
      </c>
      <c r="AL4594" t="s">
        <v>117</v>
      </c>
      <c r="AM4594" t="s">
        <v>1315</v>
      </c>
      <c r="AN4594">
        <v>4950</v>
      </c>
      <c r="AO4594">
        <v>0.11</v>
      </c>
      <c r="AP4594">
        <v>1</v>
      </c>
      <c r="AR4594">
        <v>1</v>
      </c>
      <c r="AS4594" s="1">
        <v>21220</v>
      </c>
      <c r="AT4594" s="1">
        <v>4240</v>
      </c>
      <c r="AU4594" s="1">
        <v>16980</v>
      </c>
      <c r="AV4594">
        <v>80.02</v>
      </c>
      <c r="AX4594" s="1">
        <v>1633.5</v>
      </c>
      <c r="AY4594" t="s">
        <v>5710</v>
      </c>
      <c r="AZ4594" t="s">
        <v>761</v>
      </c>
      <c r="BA4594" t="s">
        <v>2551</v>
      </c>
      <c r="BE4594" s="3">
        <v>42522</v>
      </c>
      <c r="BF4594" s="1">
        <v>249900</v>
      </c>
      <c r="BG4594" t="s">
        <v>28839</v>
      </c>
      <c r="BH4594" s="1">
        <v>154.83000000000001</v>
      </c>
      <c r="BI4594" s="1">
        <v>249900</v>
      </c>
      <c r="BJ4594" s="3">
        <v>42522</v>
      </c>
      <c r="BK4594" t="s">
        <v>123</v>
      </c>
      <c r="BL4594" t="str">
        <f>"2016.379529"</f>
        <v>2016.379529</v>
      </c>
      <c r="BM4594" t="s">
        <v>11704</v>
      </c>
      <c r="BO4594" t="s">
        <v>28840</v>
      </c>
      <c r="BS4594">
        <v>30</v>
      </c>
      <c r="BW4594" t="str">
        <f>""</f>
        <v/>
      </c>
      <c r="CH4594" t="str">
        <f>""</f>
        <v/>
      </c>
      <c r="CS4594" t="str">
        <f>""</f>
        <v/>
      </c>
    </row>
    <row r="4595" spans="1:97" x14ac:dyDescent="0.25">
      <c r="A4595" t="s">
        <v>13735</v>
      </c>
      <c r="B4595" t="s">
        <v>4849</v>
      </c>
      <c r="E4595" t="s">
        <v>28841</v>
      </c>
      <c r="F4595" t="s">
        <v>108</v>
      </c>
      <c r="H4595" t="s">
        <v>28842</v>
      </c>
      <c r="I4595" t="s">
        <v>203</v>
      </c>
      <c r="J4595" t="s">
        <v>111</v>
      </c>
      <c r="K4595" t="str">
        <f>"85233"</f>
        <v>85233</v>
      </c>
      <c r="L4595" t="s">
        <v>6325</v>
      </c>
      <c r="M4595" t="s">
        <v>28842</v>
      </c>
      <c r="N4595" t="s">
        <v>203</v>
      </c>
      <c r="O4595" t="s">
        <v>111</v>
      </c>
      <c r="P4595" t="str">
        <f>"85233-2764"</f>
        <v>85233-2764</v>
      </c>
      <c r="Q4595" t="s">
        <v>113</v>
      </c>
      <c r="R4595" t="str">
        <f>"302-13-221"</f>
        <v>302-13-221</v>
      </c>
      <c r="S4595" t="s">
        <v>28843</v>
      </c>
      <c r="T4595" t="s">
        <v>28844</v>
      </c>
      <c r="U4595">
        <v>1343</v>
      </c>
      <c r="V4595">
        <v>0</v>
      </c>
      <c r="W4595">
        <v>2</v>
      </c>
      <c r="X4595">
        <v>1982</v>
      </c>
      <c r="Z4595">
        <v>1</v>
      </c>
      <c r="AB4595">
        <v>0</v>
      </c>
      <c r="AC4595" t="s">
        <v>115</v>
      </c>
      <c r="AD4595">
        <v>2</v>
      </c>
      <c r="AE4595" t="s">
        <v>115</v>
      </c>
      <c r="AF4595">
        <v>0</v>
      </c>
      <c r="AG4595">
        <v>0</v>
      </c>
      <c r="AH4595" t="s">
        <v>116</v>
      </c>
      <c r="AI4595" s="1">
        <v>12326</v>
      </c>
      <c r="AJ4595" s="2">
        <v>0.05</v>
      </c>
      <c r="AK4595" s="1">
        <v>254326</v>
      </c>
      <c r="AL4595" t="s">
        <v>117</v>
      </c>
      <c r="AM4595" t="s">
        <v>393</v>
      </c>
      <c r="AN4595">
        <v>7009</v>
      </c>
      <c r="AO4595">
        <v>0.16</v>
      </c>
      <c r="AP4595">
        <v>1</v>
      </c>
      <c r="AR4595">
        <v>1</v>
      </c>
      <c r="AS4595" s="1">
        <v>17160</v>
      </c>
      <c r="AT4595" s="1">
        <v>3430</v>
      </c>
      <c r="AU4595" s="1">
        <v>13730</v>
      </c>
      <c r="AV4595">
        <v>80.010000000000005</v>
      </c>
      <c r="AX4595" s="1">
        <v>892.54</v>
      </c>
      <c r="AY4595" t="s">
        <v>8604</v>
      </c>
      <c r="AZ4595" t="s">
        <v>5478</v>
      </c>
      <c r="BA4595" t="s">
        <v>5479</v>
      </c>
      <c r="BE4595" s="3">
        <v>41894</v>
      </c>
      <c r="BF4595" s="1">
        <v>177000</v>
      </c>
      <c r="BG4595" t="s">
        <v>28845</v>
      </c>
      <c r="BH4595" s="1">
        <v>131.79</v>
      </c>
      <c r="BI4595" s="1">
        <v>242000</v>
      </c>
      <c r="BJ4595" s="3">
        <v>43496</v>
      </c>
      <c r="BK4595" t="s">
        <v>123</v>
      </c>
      <c r="BL4595" t="str">
        <f>"2019.66838"</f>
        <v>2019.66838</v>
      </c>
      <c r="BM4595" t="s">
        <v>533</v>
      </c>
      <c r="BN4595" t="s">
        <v>534</v>
      </c>
      <c r="BO4595" t="s">
        <v>28846</v>
      </c>
      <c r="BR4595" t="s">
        <v>139</v>
      </c>
      <c r="BW4595" t="str">
        <f>""</f>
        <v/>
      </c>
      <c r="CH4595" t="str">
        <f>""</f>
        <v/>
      </c>
      <c r="CS4595" t="str">
        <f>""</f>
        <v/>
      </c>
    </row>
    <row r="4596" spans="1:97" x14ac:dyDescent="0.25">
      <c r="A4596" t="s">
        <v>976</v>
      </c>
      <c r="B4596" t="s">
        <v>4718</v>
      </c>
      <c r="C4596" t="s">
        <v>1009</v>
      </c>
      <c r="D4596" t="s">
        <v>4718</v>
      </c>
      <c r="E4596" t="s">
        <v>28847</v>
      </c>
      <c r="F4596" t="s">
        <v>282</v>
      </c>
      <c r="H4596" t="s">
        <v>28848</v>
      </c>
      <c r="I4596" t="s">
        <v>225</v>
      </c>
      <c r="J4596" t="s">
        <v>111</v>
      </c>
      <c r="K4596" t="str">
        <f>"85212"</f>
        <v>85212</v>
      </c>
      <c r="L4596" t="s">
        <v>774</v>
      </c>
      <c r="M4596" t="s">
        <v>28849</v>
      </c>
      <c r="N4596" t="s">
        <v>225</v>
      </c>
      <c r="O4596" t="s">
        <v>111</v>
      </c>
      <c r="P4596" t="str">
        <f>"85208-5871"</f>
        <v>85208-5871</v>
      </c>
      <c r="Q4596" t="s">
        <v>113</v>
      </c>
      <c r="R4596" t="str">
        <f>"309-19-921"</f>
        <v>309-19-921</v>
      </c>
      <c r="S4596" t="s">
        <v>28850</v>
      </c>
      <c r="U4596">
        <v>2475</v>
      </c>
      <c r="V4596">
        <v>0</v>
      </c>
      <c r="W4596">
        <v>4</v>
      </c>
      <c r="X4596">
        <v>2000</v>
      </c>
      <c r="Z4596">
        <v>2</v>
      </c>
      <c r="AA4596" t="s">
        <v>26</v>
      </c>
      <c r="AB4596">
        <v>0</v>
      </c>
      <c r="AC4596" t="s">
        <v>115</v>
      </c>
      <c r="AD4596">
        <v>3</v>
      </c>
      <c r="AE4596" t="s">
        <v>115</v>
      </c>
      <c r="AF4596">
        <v>0</v>
      </c>
      <c r="AG4596">
        <v>0</v>
      </c>
      <c r="AH4596" t="s">
        <v>116</v>
      </c>
      <c r="AI4596" s="1">
        <v>27667</v>
      </c>
      <c r="AJ4596" s="2">
        <v>0.09</v>
      </c>
      <c r="AK4596" s="1">
        <v>308767</v>
      </c>
      <c r="AL4596" t="s">
        <v>117</v>
      </c>
      <c r="AM4596" t="s">
        <v>191</v>
      </c>
      <c r="AN4596">
        <v>10084</v>
      </c>
      <c r="AO4596">
        <v>0.23</v>
      </c>
      <c r="AP4596">
        <v>1</v>
      </c>
      <c r="AR4596">
        <v>1</v>
      </c>
      <c r="AS4596" s="1">
        <v>26800</v>
      </c>
      <c r="AT4596" s="1">
        <v>5360</v>
      </c>
      <c r="AU4596" s="1">
        <v>21440</v>
      </c>
      <c r="AV4596">
        <v>80</v>
      </c>
      <c r="AX4596" s="1">
        <v>1992.02</v>
      </c>
      <c r="AY4596" t="s">
        <v>7302</v>
      </c>
      <c r="AZ4596" t="s">
        <v>777</v>
      </c>
      <c r="BA4596" t="s">
        <v>572</v>
      </c>
      <c r="BE4596" s="3">
        <v>41843</v>
      </c>
      <c r="BF4596" s="1">
        <v>278000</v>
      </c>
      <c r="BG4596" t="s">
        <v>28851</v>
      </c>
      <c r="BH4596" s="1">
        <v>112.32</v>
      </c>
      <c r="BI4596" s="1">
        <v>281100</v>
      </c>
      <c r="BJ4596" s="3">
        <v>42922</v>
      </c>
      <c r="BK4596" t="s">
        <v>123</v>
      </c>
      <c r="BL4596" t="str">
        <f>"2017.492820"</f>
        <v>2017.492820</v>
      </c>
      <c r="BM4596" t="s">
        <v>763</v>
      </c>
      <c r="BO4596" t="s">
        <v>28852</v>
      </c>
      <c r="BS4596">
        <v>29</v>
      </c>
      <c r="BW4596" t="str">
        <f>""</f>
        <v/>
      </c>
      <c r="CH4596" t="str">
        <f>""</f>
        <v/>
      </c>
      <c r="CS4596" t="str">
        <f>""</f>
        <v/>
      </c>
    </row>
    <row r="4597" spans="1:97" x14ac:dyDescent="0.25">
      <c r="A4597" t="s">
        <v>2915</v>
      </c>
      <c r="B4597" t="s">
        <v>28853</v>
      </c>
      <c r="C4597" t="s">
        <v>7856</v>
      </c>
      <c r="D4597" t="s">
        <v>28854</v>
      </c>
      <c r="E4597" t="s">
        <v>28855</v>
      </c>
      <c r="F4597" t="s">
        <v>108</v>
      </c>
      <c r="H4597" t="s">
        <v>28856</v>
      </c>
      <c r="I4597" t="s">
        <v>390</v>
      </c>
      <c r="J4597" t="s">
        <v>111</v>
      </c>
      <c r="K4597" t="str">
        <f>"85044"</f>
        <v>85044</v>
      </c>
      <c r="L4597" t="s">
        <v>6438</v>
      </c>
      <c r="M4597" t="s">
        <v>28856</v>
      </c>
      <c r="N4597" t="s">
        <v>390</v>
      </c>
      <c r="O4597" t="s">
        <v>111</v>
      </c>
      <c r="P4597" t="str">
        <f>"85044-8231"</f>
        <v>85044-8231</v>
      </c>
      <c r="Q4597" t="s">
        <v>113</v>
      </c>
      <c r="R4597" t="str">
        <f>"306-01-689"</f>
        <v>306-01-689</v>
      </c>
      <c r="S4597" t="s">
        <v>23602</v>
      </c>
      <c r="T4597" t="s">
        <v>23603</v>
      </c>
      <c r="U4597">
        <v>1420</v>
      </c>
      <c r="V4597">
        <v>0</v>
      </c>
      <c r="W4597">
        <v>3</v>
      </c>
      <c r="X4597">
        <v>1987</v>
      </c>
      <c r="Z4597">
        <v>2</v>
      </c>
      <c r="AB4597">
        <v>0</v>
      </c>
      <c r="AC4597" t="s">
        <v>115</v>
      </c>
      <c r="AD4597">
        <v>2</v>
      </c>
      <c r="AE4597" t="s">
        <v>115</v>
      </c>
      <c r="AF4597">
        <v>0</v>
      </c>
      <c r="AG4597">
        <v>0</v>
      </c>
      <c r="AH4597" t="s">
        <v>116</v>
      </c>
      <c r="AI4597" s="1">
        <v>26845</v>
      </c>
      <c r="AJ4597" s="2">
        <v>0.1</v>
      </c>
      <c r="AK4597" s="1">
        <v>271845</v>
      </c>
      <c r="AL4597" t="s">
        <v>117</v>
      </c>
      <c r="AM4597" t="s">
        <v>1315</v>
      </c>
      <c r="AN4597">
        <v>3411</v>
      </c>
      <c r="AO4597">
        <v>0.78</v>
      </c>
      <c r="AP4597">
        <v>1</v>
      </c>
      <c r="AR4597">
        <v>1</v>
      </c>
      <c r="AS4597" s="1">
        <v>19030</v>
      </c>
      <c r="AT4597" s="1">
        <v>3800</v>
      </c>
      <c r="AU4597" s="1">
        <v>15230</v>
      </c>
      <c r="AV4597">
        <v>80.03</v>
      </c>
      <c r="AX4597" s="1">
        <v>1636.32</v>
      </c>
      <c r="AY4597" t="s">
        <v>7254</v>
      </c>
      <c r="AZ4597" t="s">
        <v>7255</v>
      </c>
      <c r="BA4597" t="s">
        <v>5328</v>
      </c>
      <c r="BE4597" s="3">
        <v>41897</v>
      </c>
      <c r="BF4597" s="1">
        <v>205000</v>
      </c>
      <c r="BG4597" t="s">
        <v>28857</v>
      </c>
      <c r="BH4597" s="1">
        <v>144.37</v>
      </c>
      <c r="BI4597" s="1">
        <v>245000</v>
      </c>
      <c r="BJ4597" s="3">
        <v>42765</v>
      </c>
      <c r="BK4597" t="s">
        <v>123</v>
      </c>
      <c r="BL4597" t="str">
        <f>"2017.69270"</f>
        <v>2017.69270</v>
      </c>
      <c r="BM4597" t="s">
        <v>5534</v>
      </c>
      <c r="BO4597" t="s">
        <v>28858</v>
      </c>
      <c r="BP4597" t="s">
        <v>28859</v>
      </c>
      <c r="BS4597">
        <v>30</v>
      </c>
      <c r="BW4597" t="str">
        <f>""</f>
        <v/>
      </c>
      <c r="CH4597" t="str">
        <f>""</f>
        <v/>
      </c>
      <c r="CS4597" t="str">
        <f>""</f>
        <v/>
      </c>
    </row>
    <row r="4598" spans="1:97" x14ac:dyDescent="0.25">
      <c r="A4598" t="s">
        <v>1349</v>
      </c>
      <c r="B4598" t="s">
        <v>28860</v>
      </c>
      <c r="C4598" t="s">
        <v>21629</v>
      </c>
      <c r="D4598" t="s">
        <v>28860</v>
      </c>
      <c r="E4598" t="s">
        <v>28861</v>
      </c>
      <c r="F4598" t="s">
        <v>108</v>
      </c>
      <c r="H4598" t="s">
        <v>28862</v>
      </c>
      <c r="I4598" t="s">
        <v>3150</v>
      </c>
      <c r="J4598" t="s">
        <v>111</v>
      </c>
      <c r="K4598" t="str">
        <f>"85340"</f>
        <v>85340</v>
      </c>
      <c r="L4598" t="s">
        <v>11097</v>
      </c>
      <c r="M4598" t="s">
        <v>28862</v>
      </c>
      <c r="N4598" t="s">
        <v>3150</v>
      </c>
      <c r="O4598" t="s">
        <v>111</v>
      </c>
      <c r="P4598" t="str">
        <f>"85340-5935"</f>
        <v>85340-5935</v>
      </c>
      <c r="Q4598" t="s">
        <v>113</v>
      </c>
      <c r="R4598" t="str">
        <f>"508-02-234"</f>
        <v>508-02-234</v>
      </c>
      <c r="S4598" t="s">
        <v>9163</v>
      </c>
      <c r="T4598" t="s">
        <v>9163</v>
      </c>
      <c r="U4598">
        <v>3310</v>
      </c>
      <c r="V4598">
        <v>0</v>
      </c>
      <c r="W4598">
        <v>5</v>
      </c>
      <c r="X4598">
        <v>2004</v>
      </c>
      <c r="Z4598">
        <v>2</v>
      </c>
      <c r="AB4598">
        <v>0</v>
      </c>
      <c r="AC4598" t="s">
        <v>115</v>
      </c>
      <c r="AD4598">
        <v>2</v>
      </c>
      <c r="AE4598" t="s">
        <v>115</v>
      </c>
      <c r="AF4598">
        <v>0</v>
      </c>
      <c r="AG4598">
        <v>0</v>
      </c>
      <c r="AH4598" t="s">
        <v>116</v>
      </c>
      <c r="AI4598" s="1">
        <v>99829</v>
      </c>
      <c r="AJ4598" s="2">
        <v>0.28000000000000003</v>
      </c>
      <c r="AK4598" s="1">
        <v>355329</v>
      </c>
      <c r="AL4598" t="s">
        <v>117</v>
      </c>
      <c r="AM4598" t="s">
        <v>118</v>
      </c>
      <c r="AN4598">
        <v>6947</v>
      </c>
      <c r="AO4598">
        <v>0.16</v>
      </c>
      <c r="AP4598">
        <v>1</v>
      </c>
      <c r="AR4598">
        <v>1</v>
      </c>
      <c r="AS4598" s="1">
        <v>22960</v>
      </c>
      <c r="AT4598" s="1">
        <v>4590</v>
      </c>
      <c r="AU4598" s="1">
        <v>18370</v>
      </c>
      <c r="AV4598">
        <v>80.010000000000005</v>
      </c>
      <c r="AX4598" s="1">
        <v>2061.58</v>
      </c>
      <c r="AY4598" t="s">
        <v>7636</v>
      </c>
      <c r="AZ4598" t="s">
        <v>6701</v>
      </c>
      <c r="BA4598" t="s">
        <v>3154</v>
      </c>
      <c r="BE4598" s="3">
        <v>41941</v>
      </c>
      <c r="BF4598" s="1">
        <v>259990</v>
      </c>
      <c r="BG4598" t="s">
        <v>28863</v>
      </c>
      <c r="BH4598" s="1">
        <v>78.55</v>
      </c>
      <c r="BI4598" s="1">
        <v>255500</v>
      </c>
      <c r="BJ4598" s="3">
        <v>42664</v>
      </c>
      <c r="BK4598" t="s">
        <v>123</v>
      </c>
      <c r="BL4598" t="str">
        <f>"2016.775817"</f>
        <v>2016.775817</v>
      </c>
      <c r="BM4598" t="s">
        <v>2526</v>
      </c>
      <c r="BO4598" t="s">
        <v>28864</v>
      </c>
      <c r="BS4598">
        <v>30</v>
      </c>
      <c r="BW4598" t="str">
        <f>""</f>
        <v/>
      </c>
      <c r="CH4598" t="str">
        <f>""</f>
        <v/>
      </c>
      <c r="CS4598" t="str">
        <f>""</f>
        <v/>
      </c>
    </row>
    <row r="4599" spans="1:97" x14ac:dyDescent="0.25">
      <c r="A4599" t="s">
        <v>4306</v>
      </c>
      <c r="B4599" t="s">
        <v>28865</v>
      </c>
      <c r="C4599" t="s">
        <v>1366</v>
      </c>
      <c r="D4599" t="s">
        <v>28865</v>
      </c>
      <c r="E4599" t="s">
        <v>28866</v>
      </c>
      <c r="F4599" t="s">
        <v>108</v>
      </c>
      <c r="H4599" t="s">
        <v>28867</v>
      </c>
      <c r="I4599" t="s">
        <v>203</v>
      </c>
      <c r="J4599" t="s">
        <v>111</v>
      </c>
      <c r="K4599" t="str">
        <f>"85296"</f>
        <v>85296</v>
      </c>
      <c r="L4599" t="s">
        <v>625</v>
      </c>
      <c r="M4599" t="s">
        <v>28867</v>
      </c>
      <c r="N4599" t="s">
        <v>203</v>
      </c>
      <c r="O4599" t="s">
        <v>111</v>
      </c>
      <c r="P4599" t="str">
        <f>"85296-3409"</f>
        <v>85296-3409</v>
      </c>
      <c r="Q4599" t="s">
        <v>113</v>
      </c>
      <c r="R4599" t="str">
        <f>"304-24-143"</f>
        <v>304-24-143</v>
      </c>
      <c r="S4599" t="s">
        <v>25336</v>
      </c>
      <c r="T4599" t="s">
        <v>14973</v>
      </c>
      <c r="U4599">
        <v>1549</v>
      </c>
      <c r="V4599">
        <v>0</v>
      </c>
      <c r="W4599">
        <v>3</v>
      </c>
      <c r="X4599">
        <v>1996</v>
      </c>
      <c r="Z4599">
        <v>1</v>
      </c>
      <c r="AA4599" t="s">
        <v>26</v>
      </c>
      <c r="AB4599">
        <v>0</v>
      </c>
      <c r="AC4599" t="s">
        <v>115</v>
      </c>
      <c r="AD4599">
        <v>2</v>
      </c>
      <c r="AE4599" t="s">
        <v>115</v>
      </c>
      <c r="AF4599">
        <v>0</v>
      </c>
      <c r="AG4599">
        <v>0</v>
      </c>
      <c r="AH4599" t="s">
        <v>116</v>
      </c>
      <c r="AI4599" s="1">
        <v>74941</v>
      </c>
      <c r="AJ4599" s="2">
        <v>0.25</v>
      </c>
      <c r="AK4599" s="1">
        <v>304641</v>
      </c>
      <c r="AL4599" t="s">
        <v>117</v>
      </c>
      <c r="AM4599" t="s">
        <v>191</v>
      </c>
      <c r="AN4599">
        <v>5728</v>
      </c>
      <c r="AO4599">
        <v>0.13</v>
      </c>
      <c r="AP4599">
        <v>1</v>
      </c>
      <c r="AR4599">
        <v>1</v>
      </c>
      <c r="AS4599" s="1">
        <v>20670</v>
      </c>
      <c r="AT4599" s="1">
        <v>4130</v>
      </c>
      <c r="AU4599" s="1">
        <v>16540</v>
      </c>
      <c r="AV4599">
        <v>80.02</v>
      </c>
      <c r="AX4599" s="1">
        <v>1398.6</v>
      </c>
      <c r="AY4599" t="s">
        <v>7046</v>
      </c>
      <c r="AZ4599" t="s">
        <v>207</v>
      </c>
      <c r="BA4599" t="s">
        <v>208</v>
      </c>
      <c r="BE4599" s="3">
        <v>41887</v>
      </c>
      <c r="BF4599" s="1">
        <v>224900</v>
      </c>
      <c r="BG4599" t="s">
        <v>12206</v>
      </c>
      <c r="BH4599" s="1">
        <v>145.19</v>
      </c>
      <c r="BI4599" s="1">
        <v>229700</v>
      </c>
      <c r="BJ4599" s="3">
        <v>41887</v>
      </c>
      <c r="BK4599" t="s">
        <v>123</v>
      </c>
      <c r="BL4599" t="str">
        <f>"2014.588641"</f>
        <v>2014.588641</v>
      </c>
      <c r="BM4599" t="s">
        <v>124</v>
      </c>
      <c r="BO4599" t="s">
        <v>28868</v>
      </c>
      <c r="BS4599">
        <v>30</v>
      </c>
      <c r="BW4599" t="str">
        <f>""</f>
        <v/>
      </c>
      <c r="CH4599" t="str">
        <f>""</f>
        <v/>
      </c>
      <c r="CS4599" t="str">
        <f>""</f>
        <v/>
      </c>
    </row>
    <row r="4600" spans="1:97" x14ac:dyDescent="0.25">
      <c r="A4600" t="s">
        <v>305</v>
      </c>
      <c r="B4600" t="s">
        <v>5013</v>
      </c>
      <c r="C4600" t="s">
        <v>1906</v>
      </c>
      <c r="D4600" t="s">
        <v>5013</v>
      </c>
      <c r="E4600" t="s">
        <v>28869</v>
      </c>
      <c r="F4600" t="s">
        <v>108</v>
      </c>
      <c r="H4600" t="s">
        <v>28870</v>
      </c>
      <c r="I4600" t="s">
        <v>390</v>
      </c>
      <c r="J4600" t="s">
        <v>111</v>
      </c>
      <c r="K4600" t="str">
        <f>"85027"</f>
        <v>85027</v>
      </c>
      <c r="L4600" t="s">
        <v>226</v>
      </c>
      <c r="M4600" t="s">
        <v>28870</v>
      </c>
      <c r="N4600" t="s">
        <v>390</v>
      </c>
      <c r="O4600" t="s">
        <v>111</v>
      </c>
      <c r="P4600" t="str">
        <f>"85027-4820"</f>
        <v>85027-4820</v>
      </c>
      <c r="Q4600" t="s">
        <v>113</v>
      </c>
      <c r="R4600" t="str">
        <f>"206-11-126"</f>
        <v>206-11-126</v>
      </c>
      <c r="S4600" t="s">
        <v>28871</v>
      </c>
      <c r="T4600" t="s">
        <v>28872</v>
      </c>
      <c r="U4600">
        <v>2077</v>
      </c>
      <c r="V4600">
        <v>0</v>
      </c>
      <c r="W4600">
        <v>3</v>
      </c>
      <c r="X4600">
        <v>1980</v>
      </c>
      <c r="Z4600">
        <v>1</v>
      </c>
      <c r="AA4600" t="s">
        <v>26</v>
      </c>
      <c r="AB4600">
        <v>0</v>
      </c>
      <c r="AC4600" t="s">
        <v>115</v>
      </c>
      <c r="AD4600">
        <v>2</v>
      </c>
      <c r="AE4600" t="s">
        <v>115</v>
      </c>
      <c r="AF4600">
        <v>0</v>
      </c>
      <c r="AG4600">
        <v>0</v>
      </c>
      <c r="AH4600" t="s">
        <v>116</v>
      </c>
      <c r="AI4600" s="1">
        <v>12977</v>
      </c>
      <c r="AJ4600" s="2">
        <v>0.04</v>
      </c>
      <c r="AK4600" s="1">
        <v>307091</v>
      </c>
      <c r="AL4600" t="s">
        <v>117</v>
      </c>
      <c r="AM4600" t="s">
        <v>171</v>
      </c>
      <c r="AN4600">
        <v>10791</v>
      </c>
      <c r="AO4600">
        <v>0.25</v>
      </c>
      <c r="AP4600">
        <v>1</v>
      </c>
      <c r="AR4600">
        <v>1</v>
      </c>
      <c r="AS4600" s="1">
        <v>21760</v>
      </c>
      <c r="AT4600" s="1">
        <v>4350</v>
      </c>
      <c r="AU4600" s="1">
        <v>17410</v>
      </c>
      <c r="AV4600">
        <v>80.010000000000005</v>
      </c>
      <c r="AX4600" s="1">
        <v>1652.96</v>
      </c>
      <c r="AY4600" t="s">
        <v>9121</v>
      </c>
      <c r="AZ4600" t="s">
        <v>2357</v>
      </c>
      <c r="BA4600" t="s">
        <v>1462</v>
      </c>
      <c r="BE4600" s="3">
        <v>42480</v>
      </c>
      <c r="BF4600" s="1">
        <v>290000</v>
      </c>
      <c r="BG4600" t="s">
        <v>28873</v>
      </c>
      <c r="BH4600" s="1">
        <v>139.62</v>
      </c>
      <c r="BI4600" s="1">
        <v>294114</v>
      </c>
      <c r="BJ4600" s="3">
        <v>42984</v>
      </c>
      <c r="BK4600" t="s">
        <v>123</v>
      </c>
      <c r="BL4600" t="str">
        <f>"2017.657202"</f>
        <v>2017.657202</v>
      </c>
      <c r="BM4600" t="s">
        <v>340</v>
      </c>
      <c r="BO4600" t="s">
        <v>28874</v>
      </c>
      <c r="BS4600">
        <v>29</v>
      </c>
      <c r="BW4600" t="str">
        <f>""</f>
        <v/>
      </c>
      <c r="CH4600" t="str">
        <f>""</f>
        <v/>
      </c>
      <c r="CS4600" t="str">
        <f>""</f>
        <v/>
      </c>
    </row>
    <row r="4601" spans="1:97" x14ac:dyDescent="0.25">
      <c r="A4601" t="s">
        <v>265</v>
      </c>
      <c r="B4601" t="s">
        <v>3658</v>
      </c>
      <c r="C4601" t="s">
        <v>28875</v>
      </c>
      <c r="D4601" t="s">
        <v>3658</v>
      </c>
      <c r="E4601" t="s">
        <v>28876</v>
      </c>
      <c r="F4601" t="s">
        <v>108</v>
      </c>
      <c r="H4601" t="s">
        <v>28877</v>
      </c>
      <c r="I4601" t="s">
        <v>203</v>
      </c>
      <c r="J4601" t="s">
        <v>111</v>
      </c>
      <c r="K4601" t="str">
        <f>"85297"</f>
        <v>85297</v>
      </c>
      <c r="L4601" t="s">
        <v>3696</v>
      </c>
      <c r="M4601" t="s">
        <v>28877</v>
      </c>
      <c r="N4601" t="s">
        <v>203</v>
      </c>
      <c r="O4601" t="s">
        <v>111</v>
      </c>
      <c r="P4601" t="str">
        <f>"85297-7980"</f>
        <v>85297-7980</v>
      </c>
      <c r="Q4601" t="s">
        <v>113</v>
      </c>
      <c r="R4601" t="str">
        <f>"309-28-079"</f>
        <v>309-28-079</v>
      </c>
      <c r="S4601" t="s">
        <v>28878</v>
      </c>
      <c r="U4601">
        <v>1325</v>
      </c>
      <c r="V4601">
        <v>0</v>
      </c>
      <c r="W4601">
        <v>2</v>
      </c>
      <c r="X4601">
        <v>2002</v>
      </c>
      <c r="Z4601">
        <v>1</v>
      </c>
      <c r="AB4601">
        <v>0</v>
      </c>
      <c r="AC4601" t="s">
        <v>115</v>
      </c>
      <c r="AD4601">
        <v>2</v>
      </c>
      <c r="AE4601" t="s">
        <v>115</v>
      </c>
      <c r="AF4601">
        <v>0</v>
      </c>
      <c r="AG4601">
        <v>0</v>
      </c>
      <c r="AH4601" t="s">
        <v>116</v>
      </c>
      <c r="AI4601" s="1">
        <v>61721</v>
      </c>
      <c r="AJ4601" s="2">
        <v>0.23</v>
      </c>
      <c r="AK4601" s="1">
        <v>271128</v>
      </c>
      <c r="AL4601" t="s">
        <v>117</v>
      </c>
      <c r="AM4601" t="s">
        <v>191</v>
      </c>
      <c r="AN4601">
        <v>6488</v>
      </c>
      <c r="AO4601">
        <v>0.15</v>
      </c>
      <c r="AP4601">
        <v>1</v>
      </c>
      <c r="AR4601">
        <v>1</v>
      </c>
      <c r="AS4601" s="1">
        <v>18220</v>
      </c>
      <c r="AT4601" s="1">
        <v>3640</v>
      </c>
      <c r="AU4601" s="1">
        <v>14580</v>
      </c>
      <c r="AV4601">
        <v>80.02</v>
      </c>
      <c r="AX4601" s="1">
        <v>1404.68</v>
      </c>
      <c r="AY4601" t="s">
        <v>394</v>
      </c>
      <c r="AZ4601" t="s">
        <v>394</v>
      </c>
      <c r="BA4601" t="s">
        <v>290</v>
      </c>
      <c r="BB4601" s="3">
        <v>42172</v>
      </c>
      <c r="BD4601" t="s">
        <v>240</v>
      </c>
      <c r="BE4601" s="3">
        <v>42172</v>
      </c>
      <c r="BF4601" s="1">
        <v>205000</v>
      </c>
      <c r="BG4601" t="s">
        <v>28879</v>
      </c>
      <c r="BH4601" s="1">
        <v>154.72</v>
      </c>
      <c r="BI4601" s="1">
        <v>209407</v>
      </c>
      <c r="BJ4601" s="3">
        <v>42172</v>
      </c>
      <c r="BK4601" t="s">
        <v>123</v>
      </c>
      <c r="BL4601" t="str">
        <f>"2015.432798"</f>
        <v>2015.432798</v>
      </c>
      <c r="BM4601" t="s">
        <v>1791</v>
      </c>
      <c r="BO4601" t="s">
        <v>28880</v>
      </c>
      <c r="BS4601">
        <v>30</v>
      </c>
      <c r="BW4601" t="str">
        <f>""</f>
        <v/>
      </c>
      <c r="CH4601" t="str">
        <f>""</f>
        <v/>
      </c>
      <c r="CS4601" t="str">
        <f>""</f>
        <v/>
      </c>
    </row>
    <row r="4602" spans="1:97" x14ac:dyDescent="0.25">
      <c r="A4602" t="s">
        <v>28881</v>
      </c>
      <c r="B4602" t="s">
        <v>3187</v>
      </c>
      <c r="C4602" t="s">
        <v>28882</v>
      </c>
      <c r="D4602" t="s">
        <v>3187</v>
      </c>
      <c r="E4602" t="s">
        <v>28883</v>
      </c>
      <c r="F4602" t="s">
        <v>108</v>
      </c>
      <c r="H4602" t="s">
        <v>28884</v>
      </c>
      <c r="I4602" t="s">
        <v>499</v>
      </c>
      <c r="J4602" t="s">
        <v>111</v>
      </c>
      <c r="K4602" t="str">
        <f>"85395"</f>
        <v>85395</v>
      </c>
      <c r="L4602" t="s">
        <v>541</v>
      </c>
      <c r="M4602" t="s">
        <v>28884</v>
      </c>
      <c r="N4602" t="s">
        <v>499</v>
      </c>
      <c r="O4602" t="s">
        <v>111</v>
      </c>
      <c r="P4602" t="str">
        <f>"85395-7103"</f>
        <v>85395-7103</v>
      </c>
      <c r="R4602" t="str">
        <f>"508-14-890"</f>
        <v>508-14-890</v>
      </c>
      <c r="S4602" t="s">
        <v>7193</v>
      </c>
      <c r="T4602" t="s">
        <v>3018</v>
      </c>
      <c r="U4602">
        <v>3121</v>
      </c>
      <c r="V4602">
        <v>0</v>
      </c>
      <c r="W4602">
        <v>5</v>
      </c>
      <c r="X4602">
        <v>2014</v>
      </c>
      <c r="Z4602">
        <v>1</v>
      </c>
      <c r="AB4602">
        <v>0</v>
      </c>
      <c r="AC4602" t="s">
        <v>115</v>
      </c>
      <c r="AD4602">
        <v>3</v>
      </c>
      <c r="AE4602" t="s">
        <v>115</v>
      </c>
      <c r="AF4602">
        <v>0</v>
      </c>
      <c r="AG4602">
        <v>0</v>
      </c>
      <c r="AH4602" t="s">
        <v>116</v>
      </c>
      <c r="AI4602" s="1">
        <v>-370047</v>
      </c>
      <c r="AJ4602" s="2">
        <v>-0.89</v>
      </c>
      <c r="AK4602" s="1">
        <v>415033</v>
      </c>
      <c r="AL4602" t="s">
        <v>117</v>
      </c>
      <c r="AM4602" t="s">
        <v>118</v>
      </c>
      <c r="AN4602">
        <v>10241</v>
      </c>
      <c r="AO4602">
        <v>0.24</v>
      </c>
      <c r="AR4602">
        <v>1</v>
      </c>
      <c r="AS4602" s="1">
        <v>31980</v>
      </c>
      <c r="AT4602" s="1">
        <v>6390</v>
      </c>
      <c r="AU4602" s="1">
        <v>25590</v>
      </c>
      <c r="AV4602">
        <v>80.02</v>
      </c>
      <c r="AX4602" s="1">
        <v>3373.32</v>
      </c>
      <c r="AY4602" t="s">
        <v>3019</v>
      </c>
      <c r="AZ4602" t="s">
        <v>3020</v>
      </c>
      <c r="BA4602" t="s">
        <v>218</v>
      </c>
      <c r="BE4602" s="3">
        <v>42089</v>
      </c>
      <c r="BF4602" s="1">
        <v>349255</v>
      </c>
      <c r="BG4602" t="s">
        <v>459</v>
      </c>
      <c r="BH4602" s="1">
        <v>111.9</v>
      </c>
      <c r="BI4602" s="1">
        <v>392540</v>
      </c>
      <c r="BJ4602" s="3">
        <v>43510</v>
      </c>
      <c r="BK4602" t="s">
        <v>123</v>
      </c>
      <c r="BL4602" t="str">
        <f>"2019.101575"</f>
        <v>2019.101575</v>
      </c>
      <c r="BM4602" t="s">
        <v>8571</v>
      </c>
      <c r="BN4602" t="s">
        <v>8572</v>
      </c>
      <c r="BO4602" t="s">
        <v>28885</v>
      </c>
      <c r="BP4602" t="s">
        <v>28886</v>
      </c>
      <c r="BR4602" t="s">
        <v>139</v>
      </c>
      <c r="BT4602" s="1">
        <v>392540</v>
      </c>
      <c r="BU4602" s="3">
        <v>43570</v>
      </c>
      <c r="BV4602" t="s">
        <v>123</v>
      </c>
      <c r="BW4602" t="str">
        <f>"2019.260859"</f>
        <v>2019.260859</v>
      </c>
      <c r="BX4602" t="s">
        <v>8571</v>
      </c>
      <c r="BY4602" t="s">
        <v>8572</v>
      </c>
      <c r="BZ4602" t="s">
        <v>28885</v>
      </c>
      <c r="CA4602" t="s">
        <v>28887</v>
      </c>
      <c r="CC4602" t="s">
        <v>139</v>
      </c>
      <c r="CH4602" t="str">
        <f>""</f>
        <v/>
      </c>
      <c r="CS4602" t="str">
        <f>""</f>
        <v/>
      </c>
    </row>
    <row r="4603" spans="1:97" x14ac:dyDescent="0.25">
      <c r="A4603" t="s">
        <v>4930</v>
      </c>
      <c r="B4603" t="s">
        <v>28888</v>
      </c>
      <c r="E4603" t="s">
        <v>28889</v>
      </c>
      <c r="F4603" t="s">
        <v>108</v>
      </c>
      <c r="H4603" t="s">
        <v>28890</v>
      </c>
      <c r="I4603" t="s">
        <v>4251</v>
      </c>
      <c r="J4603" t="s">
        <v>111</v>
      </c>
      <c r="K4603" t="str">
        <f>"85353"</f>
        <v>85353</v>
      </c>
      <c r="L4603" t="s">
        <v>2197</v>
      </c>
      <c r="M4603" t="s">
        <v>28890</v>
      </c>
      <c r="N4603" t="s">
        <v>4251</v>
      </c>
      <c r="O4603" t="s">
        <v>111</v>
      </c>
      <c r="P4603" t="str">
        <f>"85353-8999"</f>
        <v>85353-8999</v>
      </c>
      <c r="Q4603" t="s">
        <v>113</v>
      </c>
      <c r="R4603" t="str">
        <f>"101-55-383"</f>
        <v>101-55-383</v>
      </c>
      <c r="S4603" t="s">
        <v>28891</v>
      </c>
      <c r="T4603" t="s">
        <v>28892</v>
      </c>
      <c r="U4603">
        <v>1377</v>
      </c>
      <c r="V4603">
        <v>0</v>
      </c>
      <c r="W4603">
        <v>3</v>
      </c>
      <c r="X4603">
        <v>2003</v>
      </c>
      <c r="Z4603">
        <v>1</v>
      </c>
      <c r="AA4603" t="s">
        <v>26</v>
      </c>
      <c r="AB4603">
        <v>0</v>
      </c>
      <c r="AC4603" t="s">
        <v>115</v>
      </c>
      <c r="AD4603">
        <v>2</v>
      </c>
      <c r="AE4603" t="s">
        <v>115</v>
      </c>
      <c r="AF4603">
        <v>0</v>
      </c>
      <c r="AG4603">
        <v>0</v>
      </c>
      <c r="AH4603" t="s">
        <v>116</v>
      </c>
      <c r="AI4603" s="1">
        <v>-6515</v>
      </c>
      <c r="AJ4603" s="2">
        <v>-0.03</v>
      </c>
      <c r="AK4603" s="1">
        <v>209382</v>
      </c>
      <c r="AL4603" t="s">
        <v>117</v>
      </c>
      <c r="AM4603" t="s">
        <v>191</v>
      </c>
      <c r="AN4603">
        <v>5731</v>
      </c>
      <c r="AO4603">
        <v>0.13</v>
      </c>
      <c r="AP4603">
        <v>1</v>
      </c>
      <c r="AR4603">
        <v>1</v>
      </c>
      <c r="AS4603" s="1">
        <v>14630</v>
      </c>
      <c r="AT4603" s="1">
        <v>2920</v>
      </c>
      <c r="AU4603" s="1">
        <v>11710</v>
      </c>
      <c r="AV4603">
        <v>80.040000000000006</v>
      </c>
      <c r="AX4603" s="1">
        <v>1104.04</v>
      </c>
      <c r="AY4603" t="s">
        <v>28893</v>
      </c>
      <c r="AZ4603" t="s">
        <v>28893</v>
      </c>
      <c r="BA4603" t="s">
        <v>11280</v>
      </c>
      <c r="BE4603" s="3">
        <v>42445</v>
      </c>
      <c r="BF4603" s="1">
        <v>156500</v>
      </c>
      <c r="BG4603" t="s">
        <v>28894</v>
      </c>
      <c r="BH4603" s="1">
        <v>113.65</v>
      </c>
      <c r="BI4603" s="1">
        <v>215897</v>
      </c>
      <c r="BJ4603" s="3">
        <v>43626</v>
      </c>
      <c r="BK4603" t="s">
        <v>123</v>
      </c>
      <c r="BL4603" t="str">
        <f>"2019.431683"</f>
        <v>2019.431683</v>
      </c>
      <c r="BM4603" t="s">
        <v>248</v>
      </c>
      <c r="BN4603" t="s">
        <v>249</v>
      </c>
      <c r="BO4603" t="s">
        <v>28889</v>
      </c>
      <c r="BR4603" t="s">
        <v>139</v>
      </c>
      <c r="BW4603" t="str">
        <f>""</f>
        <v/>
      </c>
      <c r="CH4603" t="str">
        <f>""</f>
        <v/>
      </c>
      <c r="CS4603" t="str">
        <f>""</f>
        <v/>
      </c>
    </row>
    <row r="4604" spans="1:97" x14ac:dyDescent="0.25">
      <c r="A4604" t="s">
        <v>325</v>
      </c>
      <c r="B4604" t="s">
        <v>28895</v>
      </c>
      <c r="E4604" t="s">
        <v>28896</v>
      </c>
      <c r="F4604" t="s">
        <v>108</v>
      </c>
      <c r="H4604" t="s">
        <v>28897</v>
      </c>
      <c r="I4604" t="s">
        <v>225</v>
      </c>
      <c r="J4604" t="s">
        <v>111</v>
      </c>
      <c r="K4604" t="str">
        <f>"85212"</f>
        <v>85212</v>
      </c>
      <c r="L4604" t="s">
        <v>17845</v>
      </c>
      <c r="M4604" t="s">
        <v>28897</v>
      </c>
      <c r="N4604" t="s">
        <v>225</v>
      </c>
      <c r="O4604" t="s">
        <v>111</v>
      </c>
      <c r="P4604" t="str">
        <f>"85212-5217"</f>
        <v>85212-5217</v>
      </c>
      <c r="Q4604" t="s">
        <v>113</v>
      </c>
      <c r="R4604" t="str">
        <f>"312-09-510"</f>
        <v>312-09-510</v>
      </c>
      <c r="S4604" t="s">
        <v>19579</v>
      </c>
      <c r="T4604" t="s">
        <v>8810</v>
      </c>
      <c r="U4604">
        <v>1398</v>
      </c>
      <c r="V4604">
        <v>0</v>
      </c>
      <c r="W4604">
        <v>3</v>
      </c>
      <c r="X4604">
        <v>2010</v>
      </c>
      <c r="Z4604">
        <v>1</v>
      </c>
      <c r="AB4604">
        <v>0</v>
      </c>
      <c r="AC4604" t="s">
        <v>115</v>
      </c>
      <c r="AD4604">
        <v>2</v>
      </c>
      <c r="AE4604" t="s">
        <v>115</v>
      </c>
      <c r="AF4604">
        <v>0</v>
      </c>
      <c r="AG4604">
        <v>0</v>
      </c>
      <c r="AH4604" t="s">
        <v>116</v>
      </c>
      <c r="AI4604" s="1">
        <v>61383</v>
      </c>
      <c r="AJ4604" s="2">
        <v>0.23</v>
      </c>
      <c r="AK4604" s="1">
        <v>265580</v>
      </c>
      <c r="AL4604" t="s">
        <v>117</v>
      </c>
      <c r="AM4604" t="s">
        <v>191</v>
      </c>
      <c r="AN4604">
        <v>6155</v>
      </c>
      <c r="AO4604">
        <v>0.14000000000000001</v>
      </c>
      <c r="AR4604">
        <v>1</v>
      </c>
      <c r="AS4604" s="1">
        <v>17760</v>
      </c>
      <c r="AT4604" s="1">
        <v>3550</v>
      </c>
      <c r="AU4604" s="1">
        <v>14210</v>
      </c>
      <c r="AV4604">
        <v>80.010000000000005</v>
      </c>
      <c r="AX4604" s="1">
        <v>1704.22</v>
      </c>
      <c r="AY4604" t="s">
        <v>560</v>
      </c>
      <c r="AZ4604" t="s">
        <v>561</v>
      </c>
      <c r="BA4604" t="s">
        <v>194</v>
      </c>
      <c r="BE4604" s="3">
        <v>42195</v>
      </c>
      <c r="BF4604" s="1">
        <v>199900</v>
      </c>
      <c r="BG4604" t="s">
        <v>28898</v>
      </c>
      <c r="BH4604" s="1">
        <v>142.99</v>
      </c>
      <c r="BI4604" s="1">
        <v>204197</v>
      </c>
      <c r="BJ4604" s="3">
        <v>42195</v>
      </c>
      <c r="BK4604" t="s">
        <v>123</v>
      </c>
      <c r="BL4604" t="str">
        <f>"2015.498222"</f>
        <v>2015.498222</v>
      </c>
      <c r="BM4604" t="s">
        <v>724</v>
      </c>
      <c r="BO4604" t="s">
        <v>28899</v>
      </c>
      <c r="BS4604">
        <v>30</v>
      </c>
      <c r="BW4604" t="str">
        <f>""</f>
        <v/>
      </c>
      <c r="CH4604" t="str">
        <f>""</f>
        <v/>
      </c>
      <c r="CS4604" t="str">
        <f>""</f>
        <v/>
      </c>
    </row>
    <row r="4605" spans="1:97" x14ac:dyDescent="0.25">
      <c r="A4605" t="s">
        <v>3580</v>
      </c>
      <c r="B4605" t="s">
        <v>28900</v>
      </c>
      <c r="E4605" t="s">
        <v>28901</v>
      </c>
      <c r="F4605" t="s">
        <v>108</v>
      </c>
      <c r="H4605" t="s">
        <v>28902</v>
      </c>
      <c r="I4605" t="s">
        <v>144</v>
      </c>
      <c r="J4605" t="s">
        <v>111</v>
      </c>
      <c r="K4605" t="str">
        <f>"85396"</f>
        <v>85396</v>
      </c>
      <c r="L4605" t="s">
        <v>299</v>
      </c>
      <c r="M4605" t="s">
        <v>28902</v>
      </c>
      <c r="N4605" t="s">
        <v>144</v>
      </c>
      <c r="O4605" t="s">
        <v>111</v>
      </c>
      <c r="P4605" t="str">
        <f>"85396-3152"</f>
        <v>85396-3152</v>
      </c>
      <c r="Q4605" t="s">
        <v>113</v>
      </c>
      <c r="R4605" t="str">
        <f>"504-74-489"</f>
        <v>504-74-489</v>
      </c>
      <c r="S4605" t="s">
        <v>23353</v>
      </c>
      <c r="U4605">
        <v>3548</v>
      </c>
      <c r="V4605">
        <v>0</v>
      </c>
      <c r="W4605">
        <v>5</v>
      </c>
      <c r="X4605">
        <v>2008</v>
      </c>
      <c r="Z4605">
        <v>2</v>
      </c>
      <c r="AB4605">
        <v>0</v>
      </c>
      <c r="AC4605" t="s">
        <v>115</v>
      </c>
      <c r="AD4605">
        <v>3</v>
      </c>
      <c r="AE4605" t="s">
        <v>115</v>
      </c>
      <c r="AF4605">
        <v>0</v>
      </c>
      <c r="AG4605">
        <v>0</v>
      </c>
      <c r="AH4605" t="s">
        <v>116</v>
      </c>
      <c r="AI4605" s="1">
        <v>64936</v>
      </c>
      <c r="AJ4605" s="2">
        <v>0.23</v>
      </c>
      <c r="AK4605" s="1">
        <v>280833</v>
      </c>
      <c r="AL4605" t="s">
        <v>117</v>
      </c>
      <c r="AM4605" t="s">
        <v>118</v>
      </c>
      <c r="AN4605">
        <v>9861</v>
      </c>
      <c r="AO4605">
        <v>0.23</v>
      </c>
      <c r="AR4605">
        <v>1</v>
      </c>
      <c r="AS4605" s="1">
        <v>19480</v>
      </c>
      <c r="AT4605" s="1">
        <v>3890</v>
      </c>
      <c r="AU4605" s="1">
        <v>15590</v>
      </c>
      <c r="AV4605">
        <v>80.03</v>
      </c>
      <c r="AX4605" s="1">
        <v>1589.18</v>
      </c>
      <c r="AY4605" t="s">
        <v>147</v>
      </c>
      <c r="AZ4605" t="s">
        <v>147</v>
      </c>
      <c r="BA4605" t="s">
        <v>148</v>
      </c>
      <c r="BE4605" s="3">
        <v>42286</v>
      </c>
      <c r="BF4605" s="1">
        <v>209000</v>
      </c>
      <c r="BG4605" t="s">
        <v>28903</v>
      </c>
      <c r="BH4605" s="1">
        <v>58.91</v>
      </c>
      <c r="BI4605" s="1">
        <v>215897</v>
      </c>
      <c r="BJ4605" s="3">
        <v>42286</v>
      </c>
      <c r="BK4605" t="s">
        <v>123</v>
      </c>
      <c r="BL4605" t="str">
        <f>"2015.730718"</f>
        <v>2015.730718</v>
      </c>
      <c r="BM4605" t="s">
        <v>1185</v>
      </c>
      <c r="BO4605" t="s">
        <v>28904</v>
      </c>
      <c r="BS4605">
        <v>30</v>
      </c>
      <c r="BW4605" t="str">
        <f>""</f>
        <v/>
      </c>
      <c r="CH4605" t="str">
        <f>""</f>
        <v/>
      </c>
      <c r="CS4605" t="str">
        <f>""</f>
        <v/>
      </c>
    </row>
    <row r="4606" spans="1:97" x14ac:dyDescent="0.25">
      <c r="A4606" t="s">
        <v>701</v>
      </c>
      <c r="B4606" t="s">
        <v>28905</v>
      </c>
      <c r="C4606" t="s">
        <v>220</v>
      </c>
      <c r="D4606" t="s">
        <v>28905</v>
      </c>
      <c r="E4606" t="s">
        <v>28906</v>
      </c>
      <c r="F4606" t="s">
        <v>282</v>
      </c>
      <c r="H4606" t="s">
        <v>28907</v>
      </c>
      <c r="I4606" t="s">
        <v>167</v>
      </c>
      <c r="J4606" t="s">
        <v>111</v>
      </c>
      <c r="K4606" t="str">
        <f>"85339"</f>
        <v>85339</v>
      </c>
      <c r="L4606" t="s">
        <v>5367</v>
      </c>
      <c r="M4606" t="s">
        <v>28907</v>
      </c>
      <c r="N4606" t="s">
        <v>167</v>
      </c>
      <c r="O4606" t="s">
        <v>111</v>
      </c>
      <c r="P4606" t="str">
        <f>"85339-7078"</f>
        <v>85339-7078</v>
      </c>
      <c r="Q4606" t="s">
        <v>113</v>
      </c>
      <c r="R4606" t="str">
        <f>"104-87-193"</f>
        <v>104-87-193</v>
      </c>
      <c r="S4606" t="s">
        <v>12188</v>
      </c>
      <c r="U4606">
        <v>2423</v>
      </c>
      <c r="V4606">
        <v>0</v>
      </c>
      <c r="W4606">
        <v>3</v>
      </c>
      <c r="X4606">
        <v>2015</v>
      </c>
      <c r="Z4606">
        <v>1</v>
      </c>
      <c r="AA4606" t="s">
        <v>26</v>
      </c>
      <c r="AB4606">
        <v>0</v>
      </c>
      <c r="AC4606" t="s">
        <v>115</v>
      </c>
      <c r="AD4606">
        <v>2</v>
      </c>
      <c r="AE4606" t="s">
        <v>115</v>
      </c>
      <c r="AF4606">
        <v>0</v>
      </c>
      <c r="AG4606">
        <v>0</v>
      </c>
      <c r="AH4606" t="s">
        <v>116</v>
      </c>
      <c r="AI4606" s="1">
        <v>61211</v>
      </c>
      <c r="AJ4606" s="2">
        <v>0.18</v>
      </c>
      <c r="AK4606" s="1">
        <v>340561</v>
      </c>
      <c r="AL4606" t="s">
        <v>117</v>
      </c>
      <c r="AM4606" t="s">
        <v>760</v>
      </c>
      <c r="AN4606">
        <v>10922</v>
      </c>
      <c r="AO4606">
        <v>0.25</v>
      </c>
      <c r="AR4606">
        <v>1</v>
      </c>
      <c r="AS4606" s="1">
        <v>24450</v>
      </c>
      <c r="AT4606" s="1">
        <v>4890</v>
      </c>
      <c r="AU4606" s="1">
        <v>19560</v>
      </c>
      <c r="AV4606">
        <v>80</v>
      </c>
      <c r="AX4606" s="1">
        <v>3159.7</v>
      </c>
      <c r="AY4606" t="s">
        <v>172</v>
      </c>
      <c r="AZ4606" t="s">
        <v>172</v>
      </c>
      <c r="BA4606" t="s">
        <v>173</v>
      </c>
      <c r="BB4606" s="3">
        <v>43510</v>
      </c>
      <c r="BC4606" s="1">
        <v>0</v>
      </c>
      <c r="BD4606" t="s">
        <v>247</v>
      </c>
      <c r="BE4606" s="3">
        <v>42445</v>
      </c>
      <c r="BF4606" s="1">
        <v>268313</v>
      </c>
      <c r="BG4606" t="s">
        <v>233</v>
      </c>
      <c r="BH4606" s="1">
        <v>110.74</v>
      </c>
      <c r="BI4606" s="1">
        <v>279350</v>
      </c>
      <c r="BJ4606" s="3">
        <v>43510</v>
      </c>
      <c r="BK4606" t="s">
        <v>123</v>
      </c>
      <c r="BL4606" t="str">
        <f>"2019.103790"</f>
        <v>2019.103790</v>
      </c>
      <c r="BM4606" t="s">
        <v>1370</v>
      </c>
      <c r="BN4606" t="s">
        <v>4077</v>
      </c>
      <c r="BO4606" t="s">
        <v>28908</v>
      </c>
      <c r="BP4606" t="s">
        <v>28909</v>
      </c>
      <c r="BR4606" t="s">
        <v>139</v>
      </c>
      <c r="BW4606" t="str">
        <f>""</f>
        <v/>
      </c>
      <c r="CH4606" t="str">
        <f>""</f>
        <v/>
      </c>
      <c r="CS4606" t="str">
        <f>""</f>
        <v/>
      </c>
    </row>
    <row r="4607" spans="1:97" x14ac:dyDescent="0.25">
      <c r="A4607" t="s">
        <v>434</v>
      </c>
      <c r="B4607" t="s">
        <v>28910</v>
      </c>
      <c r="C4607" t="s">
        <v>179</v>
      </c>
      <c r="D4607" t="s">
        <v>4123</v>
      </c>
      <c r="E4607" t="s">
        <v>28911</v>
      </c>
      <c r="F4607" t="s">
        <v>108</v>
      </c>
      <c r="H4607" t="s">
        <v>28912</v>
      </c>
      <c r="I4607" t="s">
        <v>390</v>
      </c>
      <c r="J4607" t="s">
        <v>111</v>
      </c>
      <c r="K4607" t="str">
        <f>"85050"</f>
        <v>85050</v>
      </c>
      <c r="L4607" t="s">
        <v>5209</v>
      </c>
      <c r="M4607" t="s">
        <v>28912</v>
      </c>
      <c r="N4607" t="s">
        <v>390</v>
      </c>
      <c r="O4607" t="s">
        <v>111</v>
      </c>
      <c r="P4607" t="str">
        <f>"85050-7904"</f>
        <v>85050-7904</v>
      </c>
      <c r="Q4607" t="s">
        <v>113</v>
      </c>
      <c r="R4607" t="str">
        <f>"213-14-956"</f>
        <v>213-14-956</v>
      </c>
      <c r="S4607" t="s">
        <v>28913</v>
      </c>
      <c r="T4607" t="s">
        <v>28914</v>
      </c>
      <c r="U4607">
        <v>1872</v>
      </c>
      <c r="V4607">
        <v>0</v>
      </c>
      <c r="W4607">
        <v>3</v>
      </c>
      <c r="X4607">
        <v>1994</v>
      </c>
      <c r="Z4607">
        <v>1</v>
      </c>
      <c r="AA4607" t="s">
        <v>26</v>
      </c>
      <c r="AB4607">
        <v>0</v>
      </c>
      <c r="AC4607" t="s">
        <v>115</v>
      </c>
      <c r="AD4607">
        <v>2</v>
      </c>
      <c r="AE4607" t="s">
        <v>115</v>
      </c>
      <c r="AF4607">
        <v>0</v>
      </c>
      <c r="AG4607">
        <v>0</v>
      </c>
      <c r="AH4607" t="s">
        <v>116</v>
      </c>
      <c r="AI4607" s="1">
        <v>90204</v>
      </c>
      <c r="AJ4607" s="2">
        <v>0.24</v>
      </c>
      <c r="AK4607" s="1">
        <v>371116</v>
      </c>
      <c r="AL4607" t="s">
        <v>117</v>
      </c>
      <c r="AM4607" t="s">
        <v>191</v>
      </c>
      <c r="AN4607">
        <v>6623</v>
      </c>
      <c r="AO4607">
        <v>0.15</v>
      </c>
      <c r="AP4607">
        <v>1</v>
      </c>
      <c r="AR4607">
        <v>1</v>
      </c>
      <c r="AS4607" s="1">
        <v>26780</v>
      </c>
      <c r="AT4607" s="1">
        <v>5350</v>
      </c>
      <c r="AU4607" s="1">
        <v>21430</v>
      </c>
      <c r="AV4607">
        <v>80.02</v>
      </c>
      <c r="AX4607" s="1">
        <v>2254.7800000000002</v>
      </c>
      <c r="AY4607" t="s">
        <v>8037</v>
      </c>
      <c r="AZ4607" t="s">
        <v>2550</v>
      </c>
      <c r="BA4607" t="s">
        <v>1318</v>
      </c>
      <c r="BE4607" s="3">
        <v>42173</v>
      </c>
      <c r="BF4607" s="1">
        <v>275000</v>
      </c>
      <c r="BG4607" t="s">
        <v>28915</v>
      </c>
      <c r="BH4607" s="1">
        <v>146.9</v>
      </c>
      <c r="BI4607" s="1">
        <v>280912</v>
      </c>
      <c r="BJ4607" s="3">
        <v>42173</v>
      </c>
      <c r="BK4607" t="s">
        <v>123</v>
      </c>
      <c r="BL4607" t="str">
        <f>"2015.436348"</f>
        <v>2015.436348</v>
      </c>
      <c r="BM4607" t="s">
        <v>724</v>
      </c>
      <c r="BO4607" t="s">
        <v>28916</v>
      </c>
      <c r="BP4607" t="s">
        <v>28917</v>
      </c>
      <c r="BS4607">
        <v>30</v>
      </c>
      <c r="BW4607" t="str">
        <f>""</f>
        <v/>
      </c>
      <c r="CH4607" t="str">
        <f>""</f>
        <v/>
      </c>
      <c r="CS4607" t="str">
        <f>""</f>
        <v/>
      </c>
    </row>
    <row r="4608" spans="1:97" x14ac:dyDescent="0.25">
      <c r="A4608" t="s">
        <v>370</v>
      </c>
      <c r="B4608" t="s">
        <v>603</v>
      </c>
      <c r="C4608" t="s">
        <v>727</v>
      </c>
      <c r="D4608" t="s">
        <v>4660</v>
      </c>
      <c r="E4608" t="s">
        <v>28918</v>
      </c>
      <c r="F4608" t="s">
        <v>108</v>
      </c>
      <c r="H4608" t="s">
        <v>28919</v>
      </c>
      <c r="I4608" t="s">
        <v>203</v>
      </c>
      <c r="J4608" t="s">
        <v>111</v>
      </c>
      <c r="K4608" t="str">
        <f>"85296"</f>
        <v>85296</v>
      </c>
      <c r="L4608" t="s">
        <v>5456</v>
      </c>
      <c r="M4608" t="s">
        <v>28919</v>
      </c>
      <c r="N4608" t="s">
        <v>203</v>
      </c>
      <c r="O4608" t="s">
        <v>111</v>
      </c>
      <c r="P4608" t="str">
        <f>"85296-4042"</f>
        <v>85296-4042</v>
      </c>
      <c r="Q4608" t="s">
        <v>113</v>
      </c>
      <c r="R4608" t="str">
        <f>"304-24-661"</f>
        <v>304-24-661</v>
      </c>
      <c r="S4608" t="s">
        <v>28920</v>
      </c>
      <c r="T4608" t="s">
        <v>28920</v>
      </c>
      <c r="U4608">
        <v>2443</v>
      </c>
      <c r="V4608">
        <v>0</v>
      </c>
      <c r="W4608">
        <v>4</v>
      </c>
      <c r="X4608">
        <v>1997</v>
      </c>
      <c r="Z4608">
        <v>2</v>
      </c>
      <c r="AB4608">
        <v>0</v>
      </c>
      <c r="AC4608" t="s">
        <v>115</v>
      </c>
      <c r="AD4608">
        <v>3</v>
      </c>
      <c r="AE4608" t="s">
        <v>115</v>
      </c>
      <c r="AF4608">
        <v>0</v>
      </c>
      <c r="AG4608">
        <v>0</v>
      </c>
      <c r="AH4608" t="s">
        <v>116</v>
      </c>
      <c r="AI4608" s="1">
        <v>102978</v>
      </c>
      <c r="AJ4608" s="2">
        <v>0.28000000000000003</v>
      </c>
      <c r="AK4608" s="1">
        <v>373573</v>
      </c>
      <c r="AL4608" t="s">
        <v>117</v>
      </c>
      <c r="AM4608" t="s">
        <v>393</v>
      </c>
      <c r="AN4608">
        <v>8141</v>
      </c>
      <c r="AO4608">
        <v>0.19</v>
      </c>
      <c r="AP4608">
        <v>1</v>
      </c>
      <c r="AR4608">
        <v>1</v>
      </c>
      <c r="AS4608" s="1">
        <v>25950</v>
      </c>
      <c r="AT4608" s="1">
        <v>5190</v>
      </c>
      <c r="AU4608" s="1">
        <v>20760</v>
      </c>
      <c r="AV4608">
        <v>80</v>
      </c>
      <c r="AX4608" s="1">
        <v>1826.18</v>
      </c>
      <c r="AY4608" t="s">
        <v>7046</v>
      </c>
      <c r="AZ4608" t="s">
        <v>207</v>
      </c>
      <c r="BA4608" t="s">
        <v>208</v>
      </c>
      <c r="BB4608" s="3">
        <v>42065</v>
      </c>
      <c r="BD4608" t="s">
        <v>240</v>
      </c>
      <c r="BE4608" s="3">
        <v>41703</v>
      </c>
      <c r="BF4608" s="1">
        <v>264900</v>
      </c>
      <c r="BG4608" t="s">
        <v>28921</v>
      </c>
      <c r="BH4608" s="1">
        <v>108.43</v>
      </c>
      <c r="BI4608" s="1">
        <v>270595</v>
      </c>
      <c r="BJ4608" s="3">
        <v>41703</v>
      </c>
      <c r="BK4608" t="s">
        <v>123</v>
      </c>
      <c r="BL4608" t="str">
        <f>"2014.142263"</f>
        <v>2014.142263</v>
      </c>
      <c r="BM4608" t="s">
        <v>594</v>
      </c>
      <c r="BO4608" t="s">
        <v>28922</v>
      </c>
      <c r="BS4608">
        <v>30</v>
      </c>
      <c r="BW4608" t="str">
        <f>""</f>
        <v/>
      </c>
      <c r="CH4608" t="str">
        <f>""</f>
        <v/>
      </c>
      <c r="CS4608" t="str">
        <f>""</f>
        <v/>
      </c>
    </row>
    <row r="4609" spans="1:97" x14ac:dyDescent="0.25">
      <c r="A4609" t="s">
        <v>943</v>
      </c>
      <c r="B4609" t="s">
        <v>28923</v>
      </c>
      <c r="C4609" t="s">
        <v>25053</v>
      </c>
      <c r="D4609" t="s">
        <v>28923</v>
      </c>
      <c r="E4609" t="s">
        <v>28924</v>
      </c>
      <c r="F4609" t="s">
        <v>108</v>
      </c>
      <c r="H4609" t="s">
        <v>28925</v>
      </c>
      <c r="I4609" t="s">
        <v>3150</v>
      </c>
      <c r="J4609" t="s">
        <v>111</v>
      </c>
      <c r="K4609" t="str">
        <f>"85340"</f>
        <v>85340</v>
      </c>
      <c r="L4609" t="s">
        <v>1789</v>
      </c>
      <c r="M4609" t="s">
        <v>28925</v>
      </c>
      <c r="N4609" t="s">
        <v>3150</v>
      </c>
      <c r="O4609" t="s">
        <v>111</v>
      </c>
      <c r="P4609" t="str">
        <f>"85340-7306"</f>
        <v>85340-7306</v>
      </c>
      <c r="Q4609" t="s">
        <v>113</v>
      </c>
      <c r="R4609" t="str">
        <f>"508-06-414"</f>
        <v>508-06-414</v>
      </c>
      <c r="S4609" t="s">
        <v>6579</v>
      </c>
      <c r="U4609">
        <v>3499</v>
      </c>
      <c r="V4609">
        <v>0</v>
      </c>
      <c r="W4609">
        <v>4</v>
      </c>
      <c r="X4609">
        <v>2002</v>
      </c>
      <c r="Z4609">
        <v>2</v>
      </c>
      <c r="AA4609" t="s">
        <v>26</v>
      </c>
      <c r="AB4609">
        <v>0</v>
      </c>
      <c r="AC4609" t="s">
        <v>115</v>
      </c>
      <c r="AD4609">
        <v>3</v>
      </c>
      <c r="AE4609" t="s">
        <v>115</v>
      </c>
      <c r="AF4609">
        <v>0</v>
      </c>
      <c r="AG4609">
        <v>0</v>
      </c>
      <c r="AH4609" t="s">
        <v>116</v>
      </c>
      <c r="AI4609" s="1">
        <v>174893</v>
      </c>
      <c r="AJ4609" s="2">
        <v>0.43</v>
      </c>
      <c r="AK4609" s="1">
        <v>409793</v>
      </c>
      <c r="AL4609" t="s">
        <v>117</v>
      </c>
      <c r="AM4609" t="str">
        <f>"R1-10"</f>
        <v>R1-10</v>
      </c>
      <c r="AN4609">
        <v>21058</v>
      </c>
      <c r="AO4609">
        <v>0.48</v>
      </c>
      <c r="AP4609">
        <v>1</v>
      </c>
      <c r="AR4609">
        <v>1</v>
      </c>
      <c r="AS4609" s="1">
        <v>30370</v>
      </c>
      <c r="AT4609" s="1">
        <v>6070</v>
      </c>
      <c r="AU4609" s="1">
        <v>24300</v>
      </c>
      <c r="AV4609">
        <v>80.010000000000005</v>
      </c>
      <c r="AX4609" s="1">
        <v>3260.66</v>
      </c>
      <c r="AY4609" t="s">
        <v>6580</v>
      </c>
      <c r="AZ4609" t="s">
        <v>3153</v>
      </c>
      <c r="BA4609" t="s">
        <v>3154</v>
      </c>
      <c r="BE4609" s="3">
        <v>42200</v>
      </c>
      <c r="BF4609" s="1">
        <v>326250</v>
      </c>
      <c r="BG4609" t="s">
        <v>7728</v>
      </c>
      <c r="BH4609" s="1">
        <v>93.24</v>
      </c>
      <c r="BI4609" s="1">
        <v>234900</v>
      </c>
      <c r="BJ4609" s="3">
        <v>42200</v>
      </c>
      <c r="BK4609" t="s">
        <v>123</v>
      </c>
      <c r="BL4609" t="str">
        <f>"2015.509220"</f>
        <v>2015.509220</v>
      </c>
      <c r="BM4609" t="s">
        <v>124</v>
      </c>
      <c r="BO4609" t="s">
        <v>28926</v>
      </c>
      <c r="BS4609">
        <v>30</v>
      </c>
      <c r="BW4609" t="str">
        <f>""</f>
        <v/>
      </c>
      <c r="CH4609" t="str">
        <f>""</f>
        <v/>
      </c>
      <c r="CS4609" t="str">
        <f>""</f>
        <v/>
      </c>
    </row>
    <row r="4610" spans="1:97" x14ac:dyDescent="0.25">
      <c r="A4610" t="s">
        <v>639</v>
      </c>
      <c r="B4610" t="s">
        <v>28927</v>
      </c>
      <c r="E4610" t="s">
        <v>28928</v>
      </c>
      <c r="F4610" t="s">
        <v>108</v>
      </c>
      <c r="H4610" t="s">
        <v>28929</v>
      </c>
      <c r="I4610" t="s">
        <v>203</v>
      </c>
      <c r="J4610" t="s">
        <v>111</v>
      </c>
      <c r="K4610" t="str">
        <f>"85234"</f>
        <v>85234</v>
      </c>
      <c r="L4610" t="s">
        <v>22700</v>
      </c>
      <c r="M4610" t="s">
        <v>28929</v>
      </c>
      <c r="N4610" t="s">
        <v>203</v>
      </c>
      <c r="O4610" t="s">
        <v>111</v>
      </c>
      <c r="P4610" t="str">
        <f>"85234-7408"</f>
        <v>85234-7408</v>
      </c>
      <c r="Q4610" t="s">
        <v>113</v>
      </c>
      <c r="R4610" t="str">
        <f>"304-06-573"</f>
        <v>304-06-573</v>
      </c>
      <c r="S4610" t="s">
        <v>7211</v>
      </c>
      <c r="T4610" t="s">
        <v>7212</v>
      </c>
      <c r="U4610">
        <v>1412</v>
      </c>
      <c r="V4610">
        <v>0</v>
      </c>
      <c r="W4610">
        <v>3</v>
      </c>
      <c r="X4610">
        <v>1990</v>
      </c>
      <c r="Z4610">
        <v>1</v>
      </c>
      <c r="AA4610" t="s">
        <v>26</v>
      </c>
      <c r="AB4610">
        <v>0</v>
      </c>
      <c r="AC4610" t="s">
        <v>115</v>
      </c>
      <c r="AD4610">
        <v>2</v>
      </c>
      <c r="AE4610" t="s">
        <v>115</v>
      </c>
      <c r="AF4610">
        <v>0</v>
      </c>
      <c r="AG4610">
        <v>0</v>
      </c>
      <c r="AH4610" t="s">
        <v>116</v>
      </c>
      <c r="AI4610" s="1">
        <v>17348</v>
      </c>
      <c r="AJ4610" s="2">
        <v>0.06</v>
      </c>
      <c r="AK4610" s="1">
        <v>279730</v>
      </c>
      <c r="AL4610" t="s">
        <v>117</v>
      </c>
      <c r="AM4610" t="s">
        <v>393</v>
      </c>
      <c r="AN4610">
        <v>6504</v>
      </c>
      <c r="AO4610">
        <v>0.15</v>
      </c>
      <c r="AP4610">
        <v>1</v>
      </c>
      <c r="AR4610">
        <v>1</v>
      </c>
      <c r="AS4610" s="1">
        <v>19080</v>
      </c>
      <c r="AT4610" s="1">
        <v>3810</v>
      </c>
      <c r="AU4610" s="1">
        <v>15270</v>
      </c>
      <c r="AV4610">
        <v>80.03</v>
      </c>
      <c r="AX4610" s="1">
        <v>1496.42</v>
      </c>
      <c r="AY4610" t="s">
        <v>7213</v>
      </c>
      <c r="AZ4610" t="s">
        <v>571</v>
      </c>
      <c r="BA4610" t="s">
        <v>521</v>
      </c>
      <c r="BE4610" s="3">
        <v>42496</v>
      </c>
      <c r="BF4610" s="1">
        <v>225000</v>
      </c>
      <c r="BG4610" t="s">
        <v>28930</v>
      </c>
      <c r="BH4610" s="1">
        <v>159.35</v>
      </c>
      <c r="BI4610" s="1">
        <v>262382</v>
      </c>
      <c r="BJ4610" s="3">
        <v>42975</v>
      </c>
      <c r="BK4610" t="s">
        <v>123</v>
      </c>
      <c r="BL4610" t="str">
        <f>"2017.633098"</f>
        <v>2017.633098</v>
      </c>
      <c r="BM4610" t="s">
        <v>1249</v>
      </c>
      <c r="BO4610" t="s">
        <v>28931</v>
      </c>
      <c r="BS4610">
        <v>30</v>
      </c>
      <c r="BW4610" t="str">
        <f>""</f>
        <v/>
      </c>
      <c r="CH4610" t="str">
        <f>""</f>
        <v/>
      </c>
      <c r="CS4610" t="str">
        <f>""</f>
        <v/>
      </c>
    </row>
    <row r="4611" spans="1:97" x14ac:dyDescent="0.25">
      <c r="A4611" t="s">
        <v>984</v>
      </c>
      <c r="B4611" t="s">
        <v>28932</v>
      </c>
      <c r="C4611" t="s">
        <v>28933</v>
      </c>
      <c r="D4611" t="s">
        <v>28932</v>
      </c>
      <c r="E4611" t="s">
        <v>28934</v>
      </c>
      <c r="F4611" t="s">
        <v>108</v>
      </c>
      <c r="H4611" t="s">
        <v>28935</v>
      </c>
      <c r="I4611" t="s">
        <v>632</v>
      </c>
      <c r="J4611" t="s">
        <v>111</v>
      </c>
      <c r="K4611" t="str">
        <f>"85374"</f>
        <v>85374</v>
      </c>
      <c r="L4611" t="s">
        <v>5990</v>
      </c>
      <c r="M4611" t="s">
        <v>28935</v>
      </c>
      <c r="N4611" t="s">
        <v>632</v>
      </c>
      <c r="O4611" t="s">
        <v>111</v>
      </c>
      <c r="P4611" t="str">
        <f>"85374-8826"</f>
        <v>85374-8826</v>
      </c>
      <c r="Q4611" t="s">
        <v>113</v>
      </c>
      <c r="R4611" t="str">
        <f>"501-93-984"</f>
        <v>501-93-984</v>
      </c>
      <c r="S4611" t="s">
        <v>13431</v>
      </c>
      <c r="U4611">
        <v>2219</v>
      </c>
      <c r="V4611">
        <v>0</v>
      </c>
      <c r="W4611">
        <v>4</v>
      </c>
      <c r="X4611">
        <v>2003</v>
      </c>
      <c r="Z4611">
        <v>2</v>
      </c>
      <c r="AB4611">
        <v>0</v>
      </c>
      <c r="AC4611" t="s">
        <v>115</v>
      </c>
      <c r="AD4611">
        <v>2</v>
      </c>
      <c r="AE4611" t="s">
        <v>115</v>
      </c>
      <c r="AF4611">
        <v>0</v>
      </c>
      <c r="AG4611">
        <v>0</v>
      </c>
      <c r="AH4611" t="s">
        <v>116</v>
      </c>
      <c r="AI4611" s="1">
        <v>61991</v>
      </c>
      <c r="AJ4611" s="2">
        <v>0.23</v>
      </c>
      <c r="AK4611" s="1">
        <v>265492</v>
      </c>
      <c r="AL4611" t="s">
        <v>117</v>
      </c>
      <c r="AM4611" t="s">
        <v>118</v>
      </c>
      <c r="AN4611">
        <v>7792</v>
      </c>
      <c r="AO4611">
        <v>0.18</v>
      </c>
      <c r="AP4611">
        <v>1</v>
      </c>
      <c r="AR4611">
        <v>1</v>
      </c>
      <c r="AS4611" s="1">
        <v>18480</v>
      </c>
      <c r="AT4611" s="1">
        <v>3690</v>
      </c>
      <c r="AU4611" s="1">
        <v>14790</v>
      </c>
      <c r="AV4611">
        <v>80.03</v>
      </c>
      <c r="AX4611" s="1">
        <v>1362.24</v>
      </c>
      <c r="AY4611" t="s">
        <v>5983</v>
      </c>
      <c r="AZ4611" t="s">
        <v>5983</v>
      </c>
      <c r="BA4611" t="s">
        <v>5109</v>
      </c>
      <c r="BE4611" s="3">
        <v>41711</v>
      </c>
      <c r="BF4611" s="1">
        <v>175000</v>
      </c>
      <c r="BG4611" t="s">
        <v>28936</v>
      </c>
      <c r="BH4611" s="1">
        <v>78.86</v>
      </c>
      <c r="BI4611" s="1">
        <v>203501</v>
      </c>
      <c r="BJ4611" s="3">
        <v>42669</v>
      </c>
      <c r="BK4611" t="s">
        <v>123</v>
      </c>
      <c r="BL4611" t="str">
        <f>"2016.785088"</f>
        <v>2016.785088</v>
      </c>
      <c r="BM4611" t="s">
        <v>11747</v>
      </c>
      <c r="BO4611" t="s">
        <v>28937</v>
      </c>
      <c r="BS4611">
        <v>30</v>
      </c>
      <c r="BW4611" t="str">
        <f>""</f>
        <v/>
      </c>
      <c r="CH4611" t="str">
        <f>""</f>
        <v/>
      </c>
      <c r="CS4611" t="str">
        <f>""</f>
        <v/>
      </c>
    </row>
    <row r="4612" spans="1:97" x14ac:dyDescent="0.25">
      <c r="A4612" t="s">
        <v>1514</v>
      </c>
      <c r="B4612" t="s">
        <v>28938</v>
      </c>
      <c r="C4612" t="s">
        <v>4386</v>
      </c>
      <c r="D4612" t="s">
        <v>28938</v>
      </c>
      <c r="E4612" t="s">
        <v>28939</v>
      </c>
      <c r="F4612" t="s">
        <v>108</v>
      </c>
      <c r="H4612" t="s">
        <v>28940</v>
      </c>
      <c r="I4612" t="s">
        <v>203</v>
      </c>
      <c r="J4612" t="s">
        <v>111</v>
      </c>
      <c r="K4612" t="str">
        <f>"85295"</f>
        <v>85295</v>
      </c>
      <c r="L4612" t="s">
        <v>417</v>
      </c>
      <c r="M4612" t="s">
        <v>28940</v>
      </c>
      <c r="N4612" t="s">
        <v>203</v>
      </c>
      <c r="O4612" t="s">
        <v>111</v>
      </c>
      <c r="P4612" t="str">
        <f>"85295-3749"</f>
        <v>85295-3749</v>
      </c>
      <c r="Q4612" t="s">
        <v>113</v>
      </c>
      <c r="R4612" t="str">
        <f>"304-40-358"</f>
        <v>304-40-358</v>
      </c>
      <c r="S4612" t="s">
        <v>26520</v>
      </c>
      <c r="U4612">
        <v>1693</v>
      </c>
      <c r="V4612">
        <v>0</v>
      </c>
      <c r="W4612">
        <v>3</v>
      </c>
      <c r="X4612">
        <v>2000</v>
      </c>
      <c r="Z4612">
        <v>1</v>
      </c>
      <c r="AA4612" t="s">
        <v>26</v>
      </c>
      <c r="AB4612">
        <v>0</v>
      </c>
      <c r="AC4612" t="s">
        <v>115</v>
      </c>
      <c r="AD4612">
        <v>2</v>
      </c>
      <c r="AE4612" t="s">
        <v>115</v>
      </c>
      <c r="AF4612">
        <v>0</v>
      </c>
      <c r="AG4612">
        <v>0</v>
      </c>
      <c r="AH4612" t="s">
        <v>116</v>
      </c>
      <c r="AI4612" s="1">
        <v>75470</v>
      </c>
      <c r="AJ4612" s="2">
        <v>0.23</v>
      </c>
      <c r="AK4612" s="1">
        <v>328543</v>
      </c>
      <c r="AL4612" t="s">
        <v>117</v>
      </c>
      <c r="AM4612" t="s">
        <v>393</v>
      </c>
      <c r="AN4612">
        <v>8610</v>
      </c>
      <c r="AO4612">
        <v>0.2</v>
      </c>
      <c r="AP4612">
        <v>1</v>
      </c>
      <c r="AR4612">
        <v>1</v>
      </c>
      <c r="AS4612" s="1">
        <v>23500</v>
      </c>
      <c r="AT4612" s="1">
        <v>4700</v>
      </c>
      <c r="AU4612" s="1">
        <v>18800</v>
      </c>
      <c r="AV4612">
        <v>80</v>
      </c>
      <c r="AX4612" s="1">
        <v>1821.82</v>
      </c>
      <c r="AY4612" t="s">
        <v>5087</v>
      </c>
      <c r="AZ4612" t="s">
        <v>5087</v>
      </c>
      <c r="BA4612" t="s">
        <v>473</v>
      </c>
      <c r="BE4612" s="3">
        <v>42237</v>
      </c>
      <c r="BF4612" s="1">
        <v>250000</v>
      </c>
      <c r="BG4612" t="s">
        <v>28941</v>
      </c>
      <c r="BH4612" s="1">
        <v>147.66999999999999</v>
      </c>
      <c r="BI4612" s="1">
        <v>253073</v>
      </c>
      <c r="BJ4612" s="3">
        <v>42580</v>
      </c>
      <c r="BK4612" t="s">
        <v>123</v>
      </c>
      <c r="BL4612" t="str">
        <f>"2016.542459"</f>
        <v>2016.542459</v>
      </c>
      <c r="BM4612" t="s">
        <v>5534</v>
      </c>
      <c r="BO4612" t="s">
        <v>28942</v>
      </c>
      <c r="BS4612">
        <v>30</v>
      </c>
      <c r="BW4612" t="str">
        <f>""</f>
        <v/>
      </c>
      <c r="CH4612" t="str">
        <f>""</f>
        <v/>
      </c>
      <c r="CS4612" t="str">
        <f>""</f>
        <v/>
      </c>
    </row>
    <row r="4613" spans="1:97" x14ac:dyDescent="0.25">
      <c r="A4613" t="s">
        <v>2123</v>
      </c>
      <c r="B4613" t="s">
        <v>13845</v>
      </c>
      <c r="E4613" t="s">
        <v>28943</v>
      </c>
      <c r="F4613" t="s">
        <v>108</v>
      </c>
      <c r="H4613" t="s">
        <v>28944</v>
      </c>
      <c r="I4613" t="s">
        <v>225</v>
      </c>
      <c r="J4613" t="s">
        <v>111</v>
      </c>
      <c r="K4613" t="str">
        <f>"85209"</f>
        <v>85209</v>
      </c>
      <c r="L4613" t="s">
        <v>2820</v>
      </c>
      <c r="M4613" t="s">
        <v>28944</v>
      </c>
      <c r="N4613" t="s">
        <v>225</v>
      </c>
      <c r="O4613" t="s">
        <v>111</v>
      </c>
      <c r="P4613" t="str">
        <f>"85209-6278"</f>
        <v>85209-6278</v>
      </c>
      <c r="Q4613" t="s">
        <v>113</v>
      </c>
      <c r="R4613" t="str">
        <f>"309-09-010"</f>
        <v>309-09-010</v>
      </c>
      <c r="S4613" t="s">
        <v>25678</v>
      </c>
      <c r="T4613" t="s">
        <v>6551</v>
      </c>
      <c r="U4613">
        <v>1544</v>
      </c>
      <c r="V4613">
        <v>0</v>
      </c>
      <c r="W4613">
        <v>3</v>
      </c>
      <c r="X4613">
        <v>1996</v>
      </c>
      <c r="Z4613">
        <v>2</v>
      </c>
      <c r="AB4613">
        <v>0</v>
      </c>
      <c r="AC4613" t="s">
        <v>115</v>
      </c>
      <c r="AD4613">
        <v>2</v>
      </c>
      <c r="AE4613" t="s">
        <v>115</v>
      </c>
      <c r="AF4613">
        <v>0</v>
      </c>
      <c r="AG4613">
        <v>0</v>
      </c>
      <c r="AH4613" t="s">
        <v>116</v>
      </c>
      <c r="AI4613" s="1">
        <v>57877</v>
      </c>
      <c r="AJ4613" s="2">
        <v>0.22</v>
      </c>
      <c r="AK4613" s="1">
        <v>266773</v>
      </c>
      <c r="AL4613" t="s">
        <v>117</v>
      </c>
      <c r="AM4613" t="s">
        <v>191</v>
      </c>
      <c r="AN4613">
        <v>6242</v>
      </c>
      <c r="AO4613">
        <v>0.14000000000000001</v>
      </c>
      <c r="AP4613">
        <v>1</v>
      </c>
      <c r="AR4613">
        <v>1</v>
      </c>
      <c r="AS4613" s="1">
        <v>18060</v>
      </c>
      <c r="AT4613" s="1">
        <v>3610</v>
      </c>
      <c r="AU4613" s="1">
        <v>14450</v>
      </c>
      <c r="AV4613">
        <v>80.010000000000005</v>
      </c>
      <c r="AX4613" s="1">
        <v>1203.54</v>
      </c>
      <c r="AY4613" t="s">
        <v>6552</v>
      </c>
      <c r="AZ4613" t="s">
        <v>571</v>
      </c>
      <c r="BA4613" t="s">
        <v>572</v>
      </c>
      <c r="BE4613" s="3">
        <v>42384</v>
      </c>
      <c r="BF4613" s="1">
        <v>204500</v>
      </c>
      <c r="BG4613" t="s">
        <v>28945</v>
      </c>
      <c r="BH4613" s="1">
        <v>132.44999999999999</v>
      </c>
      <c r="BI4613" s="1">
        <v>208896</v>
      </c>
      <c r="BJ4613" s="3">
        <v>42384</v>
      </c>
      <c r="BK4613" t="s">
        <v>123</v>
      </c>
      <c r="BL4613" t="str">
        <f>"2016.29727"</f>
        <v>2016.29727</v>
      </c>
      <c r="BM4613" t="s">
        <v>28946</v>
      </c>
      <c r="BO4613" t="s">
        <v>28947</v>
      </c>
      <c r="BS4613">
        <v>30</v>
      </c>
      <c r="BW4613" t="str">
        <f>""</f>
        <v/>
      </c>
      <c r="CH4613" t="str">
        <f>""</f>
        <v/>
      </c>
      <c r="CS4613" t="str">
        <f>""</f>
        <v/>
      </c>
    </row>
    <row r="4614" spans="1:97" x14ac:dyDescent="0.25">
      <c r="A4614" t="s">
        <v>2729</v>
      </c>
      <c r="B4614" t="s">
        <v>28948</v>
      </c>
      <c r="C4614" t="s">
        <v>4386</v>
      </c>
      <c r="D4614" t="s">
        <v>28948</v>
      </c>
      <c r="E4614" t="s">
        <v>28949</v>
      </c>
      <c r="F4614" t="s">
        <v>108</v>
      </c>
      <c r="H4614" t="s">
        <v>28950</v>
      </c>
      <c r="I4614" t="s">
        <v>5523</v>
      </c>
      <c r="J4614" t="s">
        <v>111</v>
      </c>
      <c r="K4614" t="str">
        <f>"85373"</f>
        <v>85373</v>
      </c>
      <c r="L4614" t="s">
        <v>734</v>
      </c>
      <c r="M4614" t="s">
        <v>28950</v>
      </c>
      <c r="N4614" t="s">
        <v>5523</v>
      </c>
      <c r="O4614" t="s">
        <v>111</v>
      </c>
      <c r="P4614" t="str">
        <f>"85373-8716"</f>
        <v>85373-8716</v>
      </c>
      <c r="Q4614" t="s">
        <v>113</v>
      </c>
      <c r="R4614" t="str">
        <f>"200-12-683"</f>
        <v>200-12-683</v>
      </c>
      <c r="S4614" t="s">
        <v>28951</v>
      </c>
      <c r="T4614" t="s">
        <v>24195</v>
      </c>
      <c r="U4614">
        <v>2470</v>
      </c>
      <c r="V4614">
        <v>0</v>
      </c>
      <c r="W4614">
        <v>3</v>
      </c>
      <c r="X4614">
        <v>1997</v>
      </c>
      <c r="Z4614">
        <v>2</v>
      </c>
      <c r="AA4614" t="s">
        <v>26</v>
      </c>
      <c r="AB4614">
        <v>0</v>
      </c>
      <c r="AC4614" t="s">
        <v>115</v>
      </c>
      <c r="AD4614">
        <v>3</v>
      </c>
      <c r="AE4614" t="s">
        <v>115</v>
      </c>
      <c r="AF4614">
        <v>0</v>
      </c>
      <c r="AG4614">
        <v>0</v>
      </c>
      <c r="AH4614" t="s">
        <v>116</v>
      </c>
      <c r="AI4614" s="1">
        <v>53398</v>
      </c>
      <c r="AJ4614" s="2">
        <v>0.15</v>
      </c>
      <c r="AK4614" s="1">
        <v>345737</v>
      </c>
      <c r="AL4614" t="s">
        <v>117</v>
      </c>
      <c r="AM4614" t="s">
        <v>191</v>
      </c>
      <c r="AN4614">
        <v>8500</v>
      </c>
      <c r="AO4614">
        <v>0.2</v>
      </c>
      <c r="AP4614">
        <v>1</v>
      </c>
      <c r="AR4614">
        <v>1</v>
      </c>
      <c r="AS4614" s="1">
        <v>23460</v>
      </c>
      <c r="AT4614" s="1">
        <v>4690</v>
      </c>
      <c r="AU4614" s="1">
        <v>18770</v>
      </c>
      <c r="AV4614">
        <v>80.010000000000005</v>
      </c>
      <c r="AX4614" s="1">
        <v>1753.86</v>
      </c>
      <c r="AY4614" t="s">
        <v>4520</v>
      </c>
      <c r="AZ4614" t="s">
        <v>4520</v>
      </c>
      <c r="BA4614" t="s">
        <v>4219</v>
      </c>
      <c r="BE4614" s="3">
        <v>41877</v>
      </c>
      <c r="BF4614" s="1">
        <v>245000</v>
      </c>
      <c r="BG4614" t="s">
        <v>28952</v>
      </c>
      <c r="BH4614" s="1">
        <v>99.19</v>
      </c>
      <c r="BI4614" s="1">
        <v>292339</v>
      </c>
      <c r="BJ4614" s="3">
        <v>42321</v>
      </c>
      <c r="BK4614" t="s">
        <v>123</v>
      </c>
      <c r="BL4614" t="str">
        <f>"2015.813845"</f>
        <v>2015.813845</v>
      </c>
      <c r="BM4614" t="s">
        <v>2683</v>
      </c>
      <c r="BO4614" t="s">
        <v>28953</v>
      </c>
      <c r="BS4614">
        <v>30</v>
      </c>
      <c r="BW4614" t="str">
        <f>""</f>
        <v/>
      </c>
      <c r="CH4614" t="str">
        <f>""</f>
        <v/>
      </c>
      <c r="CS4614" t="str">
        <f>""</f>
        <v/>
      </c>
    </row>
    <row r="4615" spans="1:97" x14ac:dyDescent="0.25">
      <c r="A4615" t="s">
        <v>3707</v>
      </c>
      <c r="B4615" t="s">
        <v>1099</v>
      </c>
      <c r="C4615" t="s">
        <v>1160</v>
      </c>
      <c r="D4615" t="s">
        <v>1099</v>
      </c>
      <c r="E4615" t="s">
        <v>28954</v>
      </c>
      <c r="F4615" t="s">
        <v>108</v>
      </c>
      <c r="H4615" t="s">
        <v>28955</v>
      </c>
      <c r="I4615" t="s">
        <v>632</v>
      </c>
      <c r="J4615" t="s">
        <v>111</v>
      </c>
      <c r="K4615" t="str">
        <f>"85379"</f>
        <v>85379</v>
      </c>
      <c r="L4615" t="s">
        <v>558</v>
      </c>
      <c r="M4615" t="s">
        <v>28955</v>
      </c>
      <c r="N4615" t="s">
        <v>632</v>
      </c>
      <c r="O4615" t="s">
        <v>111</v>
      </c>
      <c r="P4615" t="str">
        <f>"85379-4427"</f>
        <v>85379-4427</v>
      </c>
      <c r="Q4615" t="s">
        <v>113</v>
      </c>
      <c r="R4615" t="str">
        <f>"509-15-369"</f>
        <v>509-15-369</v>
      </c>
      <c r="S4615" t="s">
        <v>7110</v>
      </c>
      <c r="U4615">
        <v>1909</v>
      </c>
      <c r="V4615">
        <v>0</v>
      </c>
      <c r="W4615">
        <v>2</v>
      </c>
      <c r="X4615">
        <v>2006</v>
      </c>
      <c r="Z4615">
        <v>1</v>
      </c>
      <c r="AA4615" t="s">
        <v>26</v>
      </c>
      <c r="AB4615">
        <v>0</v>
      </c>
      <c r="AC4615" t="s">
        <v>115</v>
      </c>
      <c r="AD4615">
        <v>2</v>
      </c>
      <c r="AE4615" t="s">
        <v>115</v>
      </c>
      <c r="AF4615">
        <v>0</v>
      </c>
      <c r="AG4615">
        <v>0</v>
      </c>
      <c r="AH4615" t="s">
        <v>116</v>
      </c>
      <c r="AI4615" s="1">
        <v>59383</v>
      </c>
      <c r="AJ4615" s="2">
        <v>0.2</v>
      </c>
      <c r="AK4615" s="1">
        <v>303455</v>
      </c>
      <c r="AL4615" t="s">
        <v>117</v>
      </c>
      <c r="AM4615" t="s">
        <v>118</v>
      </c>
      <c r="AN4615">
        <v>9036</v>
      </c>
      <c r="AO4615">
        <v>0.21</v>
      </c>
      <c r="AR4615">
        <v>1</v>
      </c>
      <c r="AS4615" s="1">
        <v>20920</v>
      </c>
      <c r="AT4615" s="1">
        <v>4180</v>
      </c>
      <c r="AU4615" s="1">
        <v>16740</v>
      </c>
      <c r="AV4615">
        <v>80.02</v>
      </c>
      <c r="AX4615" s="1">
        <v>1644.98</v>
      </c>
      <c r="AY4615" t="s">
        <v>5615</v>
      </c>
      <c r="AZ4615" t="s">
        <v>5615</v>
      </c>
      <c r="BA4615" t="s">
        <v>635</v>
      </c>
      <c r="BE4615" s="3">
        <v>42422</v>
      </c>
      <c r="BF4615" s="1">
        <v>252500</v>
      </c>
      <c r="BG4615" t="s">
        <v>28956</v>
      </c>
      <c r="BH4615" s="1">
        <v>132.27000000000001</v>
      </c>
      <c r="BI4615" s="1">
        <v>244072</v>
      </c>
      <c r="BJ4615" s="3">
        <v>42422</v>
      </c>
      <c r="BK4615" t="s">
        <v>123</v>
      </c>
      <c r="BL4615" t="str">
        <f>"2016.109334"</f>
        <v>2016.109334</v>
      </c>
      <c r="BM4615" t="s">
        <v>724</v>
      </c>
      <c r="BO4615" t="s">
        <v>28957</v>
      </c>
      <c r="BS4615">
        <v>30</v>
      </c>
      <c r="BW4615" t="str">
        <f>""</f>
        <v/>
      </c>
      <c r="CH4615" t="str">
        <f>""</f>
        <v/>
      </c>
      <c r="CS4615" t="str">
        <f>""</f>
        <v/>
      </c>
    </row>
    <row r="4616" spans="1:97" x14ac:dyDescent="0.25">
      <c r="A4616" t="s">
        <v>14068</v>
      </c>
      <c r="B4616" t="s">
        <v>28958</v>
      </c>
      <c r="C4616" t="s">
        <v>179</v>
      </c>
      <c r="D4616" t="s">
        <v>28958</v>
      </c>
      <c r="E4616" t="s">
        <v>28959</v>
      </c>
      <c r="F4616" t="s">
        <v>108</v>
      </c>
      <c r="H4616" t="s">
        <v>28960</v>
      </c>
      <c r="I4616" t="s">
        <v>110</v>
      </c>
      <c r="J4616" t="s">
        <v>111</v>
      </c>
      <c r="K4616" t="str">
        <f>"85249"</f>
        <v>85249</v>
      </c>
      <c r="L4616" t="s">
        <v>6529</v>
      </c>
      <c r="M4616" t="s">
        <v>28960</v>
      </c>
      <c r="N4616" t="s">
        <v>110</v>
      </c>
      <c r="O4616" t="s">
        <v>111</v>
      </c>
      <c r="P4616" t="str">
        <f>"85249-4864"</f>
        <v>85249-4864</v>
      </c>
      <c r="Q4616" t="s">
        <v>113</v>
      </c>
      <c r="R4616" t="str">
        <f>"303-84-032"</f>
        <v>303-84-032</v>
      </c>
      <c r="S4616" t="s">
        <v>12470</v>
      </c>
      <c r="U4616">
        <v>2519</v>
      </c>
      <c r="V4616">
        <v>0</v>
      </c>
      <c r="W4616">
        <v>4</v>
      </c>
      <c r="X4616">
        <v>2000</v>
      </c>
      <c r="Z4616">
        <v>2</v>
      </c>
      <c r="AA4616" t="s">
        <v>26</v>
      </c>
      <c r="AB4616">
        <v>0</v>
      </c>
      <c r="AC4616" t="s">
        <v>115</v>
      </c>
      <c r="AD4616">
        <v>3</v>
      </c>
      <c r="AE4616" t="s">
        <v>115</v>
      </c>
      <c r="AF4616">
        <v>0</v>
      </c>
      <c r="AG4616">
        <v>0</v>
      </c>
      <c r="AH4616" t="s">
        <v>116</v>
      </c>
      <c r="AI4616" s="1">
        <v>79908</v>
      </c>
      <c r="AJ4616" s="2">
        <v>0.21</v>
      </c>
      <c r="AK4616" s="1">
        <v>379908</v>
      </c>
      <c r="AL4616" t="s">
        <v>117</v>
      </c>
      <c r="AM4616" t="s">
        <v>118</v>
      </c>
      <c r="AN4616">
        <v>7072</v>
      </c>
      <c r="AO4616">
        <v>0.16</v>
      </c>
      <c r="AP4616">
        <v>1</v>
      </c>
      <c r="AR4616">
        <v>1</v>
      </c>
      <c r="AS4616" s="1">
        <v>26600</v>
      </c>
      <c r="AT4616" s="1">
        <v>5320</v>
      </c>
      <c r="AU4616" s="1">
        <v>21280</v>
      </c>
      <c r="AV4616">
        <v>80</v>
      </c>
      <c r="AX4616" s="1">
        <v>2165.16</v>
      </c>
      <c r="AY4616" t="s">
        <v>5050</v>
      </c>
      <c r="AZ4616" t="s">
        <v>120</v>
      </c>
      <c r="BA4616" t="s">
        <v>274</v>
      </c>
      <c r="BB4616" s="3">
        <v>43014</v>
      </c>
      <c r="BD4616" t="s">
        <v>157</v>
      </c>
      <c r="BE4616" s="3">
        <v>42367</v>
      </c>
      <c r="BF4616" s="1">
        <v>300000</v>
      </c>
      <c r="BG4616" t="s">
        <v>28961</v>
      </c>
      <c r="BH4616" s="1">
        <v>119.09</v>
      </c>
      <c r="BI4616" s="1">
        <v>300000</v>
      </c>
      <c r="BJ4616" s="3">
        <v>42367</v>
      </c>
      <c r="BK4616" t="s">
        <v>123</v>
      </c>
      <c r="BL4616" t="str">
        <f>"2015.914495"</f>
        <v>2015.914495</v>
      </c>
      <c r="BM4616" t="s">
        <v>3810</v>
      </c>
      <c r="BO4616" t="s">
        <v>28962</v>
      </c>
      <c r="BS4616">
        <v>30</v>
      </c>
      <c r="BW4616" t="str">
        <f>""</f>
        <v/>
      </c>
      <c r="CH4616" t="str">
        <f>""</f>
        <v/>
      </c>
      <c r="CS4616" t="str">
        <f>""</f>
        <v/>
      </c>
    </row>
    <row r="4617" spans="1:97" x14ac:dyDescent="0.25">
      <c r="A4617" t="s">
        <v>1109</v>
      </c>
      <c r="B4617" t="s">
        <v>28963</v>
      </c>
      <c r="E4617" t="s">
        <v>28964</v>
      </c>
      <c r="F4617" t="s">
        <v>139</v>
      </c>
      <c r="H4617" t="s">
        <v>28965</v>
      </c>
      <c r="I4617" t="s">
        <v>5636</v>
      </c>
      <c r="J4617" t="s">
        <v>111</v>
      </c>
      <c r="K4617" t="str">
        <f>"85268"</f>
        <v>85268</v>
      </c>
      <c r="L4617" t="s">
        <v>5637</v>
      </c>
      <c r="M4617" t="s">
        <v>28966</v>
      </c>
      <c r="N4617" t="s">
        <v>5636</v>
      </c>
      <c r="O4617" t="s">
        <v>111</v>
      </c>
      <c r="P4617" t="str">
        <f>"85269-8095"</f>
        <v>85269-8095</v>
      </c>
      <c r="Q4617" t="s">
        <v>113</v>
      </c>
      <c r="R4617" t="str">
        <f>"176-02-303"</f>
        <v>176-02-303</v>
      </c>
      <c r="S4617" t="s">
        <v>28967</v>
      </c>
      <c r="U4617">
        <v>1324</v>
      </c>
      <c r="V4617">
        <v>0</v>
      </c>
      <c r="W4617">
        <v>2</v>
      </c>
      <c r="X4617">
        <v>1979</v>
      </c>
      <c r="Z4617">
        <v>1</v>
      </c>
      <c r="AA4617" t="s">
        <v>26</v>
      </c>
      <c r="AB4617">
        <v>0</v>
      </c>
      <c r="AC4617" t="s">
        <v>115</v>
      </c>
      <c r="AD4617">
        <v>2</v>
      </c>
      <c r="AE4617" t="s">
        <v>115</v>
      </c>
      <c r="AF4617">
        <v>0</v>
      </c>
      <c r="AG4617">
        <v>0</v>
      </c>
      <c r="AH4617" t="s">
        <v>116</v>
      </c>
      <c r="AI4617" s="1">
        <v>64791</v>
      </c>
      <c r="AJ4617" s="2">
        <v>0.2</v>
      </c>
      <c r="AK4617" s="1">
        <v>320166</v>
      </c>
      <c r="AL4617" t="s">
        <v>117</v>
      </c>
      <c r="AM4617" t="s">
        <v>171</v>
      </c>
      <c r="AN4617">
        <v>11870</v>
      </c>
      <c r="AO4617">
        <v>0.27</v>
      </c>
      <c r="AP4617">
        <v>1</v>
      </c>
      <c r="AR4617">
        <v>1</v>
      </c>
      <c r="AS4617" s="1">
        <v>20200</v>
      </c>
      <c r="AT4617" s="1">
        <v>4040</v>
      </c>
      <c r="AU4617" s="1">
        <v>16160</v>
      </c>
      <c r="AV4617">
        <v>80</v>
      </c>
      <c r="AX4617" s="1">
        <v>1158.24</v>
      </c>
      <c r="AY4617" t="s">
        <v>5639</v>
      </c>
      <c r="AZ4617" t="s">
        <v>5640</v>
      </c>
      <c r="BA4617" t="s">
        <v>5641</v>
      </c>
      <c r="BE4617" s="3">
        <v>41789</v>
      </c>
      <c r="BF4617" s="1">
        <v>250000</v>
      </c>
      <c r="BG4617" t="s">
        <v>28968</v>
      </c>
      <c r="BH4617" s="1">
        <v>188.82</v>
      </c>
      <c r="BI4617" s="1">
        <v>255375</v>
      </c>
      <c r="BJ4617" s="3">
        <v>41789</v>
      </c>
      <c r="BK4617" t="s">
        <v>123</v>
      </c>
      <c r="BL4617" t="str">
        <f>"2014.356531"</f>
        <v>2014.356531</v>
      </c>
      <c r="BM4617" t="s">
        <v>544</v>
      </c>
      <c r="BO4617" t="s">
        <v>28969</v>
      </c>
      <c r="BS4617">
        <v>30</v>
      </c>
      <c r="BW4617" t="str">
        <f>""</f>
        <v/>
      </c>
      <c r="CH4617" t="str">
        <f>""</f>
        <v/>
      </c>
      <c r="CS4617" t="str">
        <f>""</f>
        <v/>
      </c>
    </row>
    <row r="4618" spans="1:97" x14ac:dyDescent="0.25">
      <c r="A4618" t="s">
        <v>602</v>
      </c>
      <c r="B4618" t="s">
        <v>1251</v>
      </c>
      <c r="C4618" t="s">
        <v>1692</v>
      </c>
      <c r="D4618" t="s">
        <v>1251</v>
      </c>
      <c r="E4618" t="s">
        <v>28970</v>
      </c>
      <c r="F4618" t="s">
        <v>108</v>
      </c>
      <c r="H4618" t="s">
        <v>28971</v>
      </c>
      <c r="I4618" t="s">
        <v>632</v>
      </c>
      <c r="J4618" t="s">
        <v>111</v>
      </c>
      <c r="K4618" t="str">
        <f>"85379"</f>
        <v>85379</v>
      </c>
      <c r="L4618" t="s">
        <v>454</v>
      </c>
      <c r="M4618" t="s">
        <v>28971</v>
      </c>
      <c r="N4618" t="s">
        <v>632</v>
      </c>
      <c r="O4618" t="s">
        <v>111</v>
      </c>
      <c r="P4618" t="str">
        <f>"85379-1024"</f>
        <v>85379-1024</v>
      </c>
      <c r="Q4618" t="s">
        <v>113</v>
      </c>
      <c r="R4618" t="str">
        <f>"501-46-546"</f>
        <v>501-46-546</v>
      </c>
      <c r="S4618" t="s">
        <v>5319</v>
      </c>
      <c r="U4618">
        <v>2414</v>
      </c>
      <c r="V4618">
        <v>0</v>
      </c>
      <c r="W4618">
        <v>4</v>
      </c>
      <c r="X4618">
        <v>2015</v>
      </c>
      <c r="Z4618">
        <v>1</v>
      </c>
      <c r="AA4618" t="s">
        <v>26</v>
      </c>
      <c r="AB4618">
        <v>0</v>
      </c>
      <c r="AC4618" t="s">
        <v>115</v>
      </c>
      <c r="AD4618">
        <v>3</v>
      </c>
      <c r="AE4618" t="s">
        <v>115</v>
      </c>
      <c r="AF4618">
        <v>0</v>
      </c>
      <c r="AG4618">
        <v>0</v>
      </c>
      <c r="AH4618" t="s">
        <v>116</v>
      </c>
      <c r="AI4618" s="1">
        <v>53463</v>
      </c>
      <c r="AJ4618" s="2">
        <v>0.16</v>
      </c>
      <c r="AK4618" s="1">
        <v>338572</v>
      </c>
      <c r="AL4618" t="s">
        <v>117</v>
      </c>
      <c r="AM4618" t="s">
        <v>118</v>
      </c>
      <c r="AN4618">
        <v>7039</v>
      </c>
      <c r="AO4618">
        <v>0.16</v>
      </c>
      <c r="AR4618">
        <v>1</v>
      </c>
      <c r="AS4618" s="1">
        <v>24810</v>
      </c>
      <c r="AT4618" s="1">
        <v>4960</v>
      </c>
      <c r="AU4618" s="1">
        <v>19850</v>
      </c>
      <c r="AV4618">
        <v>80.010000000000005</v>
      </c>
      <c r="AX4618" s="1">
        <v>1866.9</v>
      </c>
      <c r="AY4618" t="s">
        <v>5060</v>
      </c>
      <c r="AZ4618" t="s">
        <v>5060</v>
      </c>
      <c r="BA4618" t="s">
        <v>5061</v>
      </c>
      <c r="BE4618" s="3">
        <v>42185</v>
      </c>
      <c r="BF4618" s="1">
        <v>257765</v>
      </c>
      <c r="BG4618" t="s">
        <v>158</v>
      </c>
      <c r="BH4618" s="1">
        <v>106.78</v>
      </c>
      <c r="BI4618" s="1">
        <v>257765</v>
      </c>
      <c r="BJ4618" s="3">
        <v>42185</v>
      </c>
      <c r="BK4618" t="s">
        <v>123</v>
      </c>
      <c r="BL4618" t="str">
        <f>"2015.469493"</f>
        <v>2015.469493</v>
      </c>
      <c r="BM4618" t="s">
        <v>241</v>
      </c>
      <c r="BO4618" t="s">
        <v>28972</v>
      </c>
      <c r="BS4618">
        <v>30</v>
      </c>
      <c r="BT4618" s="1">
        <v>27344</v>
      </c>
      <c r="BU4618" s="3">
        <v>42935</v>
      </c>
      <c r="BW4618" t="str">
        <f>"2017.524695"</f>
        <v>2017.524695</v>
      </c>
      <c r="BX4618" t="s">
        <v>369</v>
      </c>
      <c r="BZ4618" t="s">
        <v>28973</v>
      </c>
      <c r="CD4618">
        <v>15</v>
      </c>
      <c r="CH4618" t="str">
        <f>""</f>
        <v/>
      </c>
      <c r="CS4618" t="str">
        <f>""</f>
        <v/>
      </c>
    </row>
    <row r="4619" spans="1:97" x14ac:dyDescent="0.25">
      <c r="A4619" t="s">
        <v>1774</v>
      </c>
      <c r="B4619" t="s">
        <v>1641</v>
      </c>
      <c r="E4619" t="s">
        <v>28974</v>
      </c>
      <c r="F4619" t="s">
        <v>108</v>
      </c>
      <c r="H4619" t="s">
        <v>28975</v>
      </c>
      <c r="I4619" t="s">
        <v>499</v>
      </c>
      <c r="J4619" t="s">
        <v>111</v>
      </c>
      <c r="K4619" t="str">
        <f>"85338"</f>
        <v>85338</v>
      </c>
      <c r="L4619" t="s">
        <v>8255</v>
      </c>
      <c r="M4619" t="s">
        <v>28975</v>
      </c>
      <c r="N4619" t="s">
        <v>499</v>
      </c>
      <c r="O4619" t="s">
        <v>111</v>
      </c>
      <c r="P4619" t="str">
        <f>"85338-6049"</f>
        <v>85338-6049</v>
      </c>
      <c r="R4619" t="str">
        <f>"502-39-044"</f>
        <v>502-39-044</v>
      </c>
      <c r="S4619" t="s">
        <v>28976</v>
      </c>
      <c r="T4619" t="s">
        <v>6318</v>
      </c>
      <c r="U4619">
        <v>2612</v>
      </c>
      <c r="V4619">
        <v>0</v>
      </c>
      <c r="W4619">
        <v>4</v>
      </c>
      <c r="X4619">
        <v>2006</v>
      </c>
      <c r="Z4619">
        <v>2</v>
      </c>
      <c r="AA4619" t="s">
        <v>26</v>
      </c>
      <c r="AB4619">
        <v>0</v>
      </c>
      <c r="AC4619" t="s">
        <v>115</v>
      </c>
      <c r="AD4619">
        <v>2</v>
      </c>
      <c r="AE4619" t="s">
        <v>115</v>
      </c>
      <c r="AF4619">
        <v>0</v>
      </c>
      <c r="AG4619">
        <v>0</v>
      </c>
      <c r="AH4619" t="s">
        <v>116</v>
      </c>
      <c r="AI4619" s="1">
        <v>40627</v>
      </c>
      <c r="AJ4619" s="2">
        <v>0.13</v>
      </c>
      <c r="AK4619" s="1">
        <v>309103</v>
      </c>
      <c r="AL4619" t="s">
        <v>117</v>
      </c>
      <c r="AM4619" t="s">
        <v>118</v>
      </c>
      <c r="AN4619">
        <v>6050</v>
      </c>
      <c r="AO4619">
        <v>0.14000000000000001</v>
      </c>
      <c r="AR4619">
        <v>1</v>
      </c>
      <c r="AS4619" s="1">
        <v>21660</v>
      </c>
      <c r="AT4619" s="1">
        <v>4330</v>
      </c>
      <c r="AU4619" s="1">
        <v>17330</v>
      </c>
      <c r="AV4619">
        <v>80.010000000000005</v>
      </c>
      <c r="AX4619" s="1">
        <v>2031.08</v>
      </c>
      <c r="AY4619" t="s">
        <v>4311</v>
      </c>
      <c r="AZ4619" t="s">
        <v>4311</v>
      </c>
      <c r="BA4619" t="s">
        <v>218</v>
      </c>
      <c r="BE4619" s="3">
        <v>42549</v>
      </c>
      <c r="BF4619" s="1">
        <v>259900</v>
      </c>
      <c r="BG4619" t="s">
        <v>28977</v>
      </c>
      <c r="BH4619" s="1">
        <v>99.5</v>
      </c>
      <c r="BI4619" s="1">
        <v>268476</v>
      </c>
      <c r="BJ4619" s="3">
        <v>42549</v>
      </c>
      <c r="BK4619" t="s">
        <v>123</v>
      </c>
      <c r="BL4619" t="str">
        <f>"2016.452433"</f>
        <v>2016.452433</v>
      </c>
      <c r="BM4619" t="s">
        <v>5747</v>
      </c>
      <c r="BN4619" t="s">
        <v>18284</v>
      </c>
      <c r="BO4619" t="s">
        <v>28978</v>
      </c>
      <c r="BS4619">
        <v>30</v>
      </c>
      <c r="BW4619" t="str">
        <f>""</f>
        <v/>
      </c>
      <c r="CH4619" t="str">
        <f>""</f>
        <v/>
      </c>
      <c r="CS4619" t="str">
        <f>""</f>
        <v/>
      </c>
    </row>
    <row r="4620" spans="1:97" x14ac:dyDescent="0.25">
      <c r="A4620" t="s">
        <v>2045</v>
      </c>
      <c r="B4620" t="s">
        <v>8238</v>
      </c>
      <c r="C4620" t="s">
        <v>1009</v>
      </c>
      <c r="D4620" t="s">
        <v>28979</v>
      </c>
      <c r="E4620" t="s">
        <v>28980</v>
      </c>
      <c r="F4620" t="s">
        <v>108</v>
      </c>
      <c r="H4620" t="s">
        <v>28981</v>
      </c>
      <c r="I4620" t="s">
        <v>390</v>
      </c>
      <c r="J4620" t="s">
        <v>111</v>
      </c>
      <c r="K4620" t="str">
        <f>"85006"</f>
        <v>85006</v>
      </c>
      <c r="L4620" t="s">
        <v>9597</v>
      </c>
      <c r="M4620" t="s">
        <v>28981</v>
      </c>
      <c r="N4620" t="s">
        <v>390</v>
      </c>
      <c r="O4620" t="s">
        <v>111</v>
      </c>
      <c r="P4620" t="str">
        <f>"85006-1347"</f>
        <v>85006-1347</v>
      </c>
      <c r="Q4620" t="s">
        <v>113</v>
      </c>
      <c r="R4620" t="str">
        <f>"117-08-135"</f>
        <v>117-08-135</v>
      </c>
      <c r="S4620" t="s">
        <v>28982</v>
      </c>
      <c r="T4620" t="s">
        <v>28983</v>
      </c>
      <c r="U4620">
        <v>1114</v>
      </c>
      <c r="V4620">
        <v>0</v>
      </c>
      <c r="W4620">
        <v>1</v>
      </c>
      <c r="X4620">
        <v>1941</v>
      </c>
      <c r="Z4620">
        <v>1</v>
      </c>
      <c r="AB4620">
        <v>0</v>
      </c>
      <c r="AC4620" t="s">
        <v>7038</v>
      </c>
      <c r="AD4620">
        <v>0</v>
      </c>
      <c r="AE4620" t="s">
        <v>7038</v>
      </c>
      <c r="AF4620">
        <v>0</v>
      </c>
      <c r="AG4620">
        <v>0</v>
      </c>
      <c r="AH4620" t="s">
        <v>116</v>
      </c>
      <c r="AI4620" s="1">
        <v>57717</v>
      </c>
      <c r="AJ4620" s="2">
        <v>0.21</v>
      </c>
      <c r="AK4620" s="1">
        <v>278737</v>
      </c>
      <c r="AL4620" t="s">
        <v>117</v>
      </c>
      <c r="AM4620" t="s">
        <v>191</v>
      </c>
      <c r="AN4620">
        <v>6765</v>
      </c>
      <c r="AO4620">
        <v>0.16</v>
      </c>
      <c r="AP4620">
        <v>1</v>
      </c>
      <c r="AR4620">
        <v>1</v>
      </c>
      <c r="AS4620" s="1">
        <v>15410</v>
      </c>
      <c r="AT4620" s="1">
        <v>3080</v>
      </c>
      <c r="AU4620" s="1">
        <v>12330</v>
      </c>
      <c r="AV4620">
        <v>80.010000000000005</v>
      </c>
      <c r="AX4620" s="1">
        <v>874.3</v>
      </c>
      <c r="AY4620" t="s">
        <v>28984</v>
      </c>
      <c r="AZ4620" t="s">
        <v>28984</v>
      </c>
      <c r="BA4620" t="s">
        <v>6255</v>
      </c>
      <c r="BB4620" s="3">
        <v>42755</v>
      </c>
      <c r="BD4620" t="s">
        <v>3523</v>
      </c>
      <c r="BE4620" s="3">
        <v>42460</v>
      </c>
      <c r="BF4620" s="1">
        <v>216000</v>
      </c>
      <c r="BG4620" t="s">
        <v>28985</v>
      </c>
      <c r="BH4620" s="1">
        <v>193.9</v>
      </c>
      <c r="BI4620" s="1">
        <v>221020</v>
      </c>
      <c r="BJ4620" s="3">
        <v>42663</v>
      </c>
      <c r="BK4620" t="s">
        <v>123</v>
      </c>
      <c r="BL4620" t="str">
        <f>"2016.769354"</f>
        <v>2016.769354</v>
      </c>
      <c r="BM4620" t="s">
        <v>1185</v>
      </c>
      <c r="BO4620" t="s">
        <v>8245</v>
      </c>
      <c r="BS4620">
        <v>30</v>
      </c>
      <c r="BW4620" t="str">
        <f>""</f>
        <v/>
      </c>
      <c r="CH4620" t="str">
        <f>""</f>
        <v/>
      </c>
      <c r="CS4620" t="str">
        <f>""</f>
        <v/>
      </c>
    </row>
    <row r="4621" spans="1:97" x14ac:dyDescent="0.25">
      <c r="A4621" t="s">
        <v>328</v>
      </c>
      <c r="B4621" t="s">
        <v>28986</v>
      </c>
      <c r="E4621" t="s">
        <v>28987</v>
      </c>
      <c r="F4621" t="s">
        <v>108</v>
      </c>
      <c r="H4621" t="s">
        <v>28988</v>
      </c>
      <c r="I4621" t="s">
        <v>390</v>
      </c>
      <c r="J4621" t="s">
        <v>111</v>
      </c>
      <c r="K4621" t="str">
        <f>"85032"</f>
        <v>85032</v>
      </c>
      <c r="L4621" t="s">
        <v>6601</v>
      </c>
      <c r="M4621" t="s">
        <v>28988</v>
      </c>
      <c r="N4621" t="s">
        <v>390</v>
      </c>
      <c r="O4621" t="s">
        <v>111</v>
      </c>
      <c r="P4621" t="str">
        <f>"85032-2215"</f>
        <v>85032-2215</v>
      </c>
      <c r="Q4621" t="s">
        <v>113</v>
      </c>
      <c r="R4621" t="str">
        <f>"215-17-104"</f>
        <v>215-17-104</v>
      </c>
      <c r="S4621" t="s">
        <v>28989</v>
      </c>
      <c r="T4621" t="s">
        <v>28989</v>
      </c>
      <c r="U4621">
        <v>2038</v>
      </c>
      <c r="V4621">
        <v>0</v>
      </c>
      <c r="W4621">
        <v>2</v>
      </c>
      <c r="X4621">
        <v>1977</v>
      </c>
      <c r="Z4621">
        <v>1</v>
      </c>
      <c r="AA4621" t="s">
        <v>26</v>
      </c>
      <c r="AB4621">
        <v>0</v>
      </c>
      <c r="AC4621" t="s">
        <v>115</v>
      </c>
      <c r="AD4621">
        <v>1</v>
      </c>
      <c r="AE4621" t="s">
        <v>115</v>
      </c>
      <c r="AF4621">
        <v>0</v>
      </c>
      <c r="AG4621">
        <v>0</v>
      </c>
      <c r="AH4621" t="s">
        <v>116</v>
      </c>
      <c r="AI4621" s="1">
        <v>107749</v>
      </c>
      <c r="AJ4621" s="2">
        <v>0.31</v>
      </c>
      <c r="AK4621" s="1">
        <v>347590</v>
      </c>
      <c r="AL4621" t="s">
        <v>117</v>
      </c>
      <c r="AM4621" t="s">
        <v>171</v>
      </c>
      <c r="AN4621">
        <v>8418</v>
      </c>
      <c r="AO4621">
        <v>0.19</v>
      </c>
      <c r="AP4621">
        <v>1</v>
      </c>
      <c r="AR4621">
        <v>1</v>
      </c>
      <c r="AS4621" s="1">
        <v>23730</v>
      </c>
      <c r="AT4621" s="1">
        <v>4740</v>
      </c>
      <c r="AU4621" s="1">
        <v>18990</v>
      </c>
      <c r="AV4621">
        <v>80.03</v>
      </c>
      <c r="AX4621" s="1">
        <v>1870.74</v>
      </c>
      <c r="AY4621" t="s">
        <v>1316</v>
      </c>
      <c r="AZ4621" t="s">
        <v>1317</v>
      </c>
      <c r="BA4621" t="s">
        <v>1318</v>
      </c>
      <c r="BE4621" s="3">
        <v>42325</v>
      </c>
      <c r="BF4621" s="1">
        <v>241500</v>
      </c>
      <c r="BG4621" t="s">
        <v>28990</v>
      </c>
      <c r="BH4621" s="1">
        <v>118.5</v>
      </c>
      <c r="BI4621" s="1">
        <v>239841</v>
      </c>
      <c r="BJ4621" s="3">
        <v>42621</v>
      </c>
      <c r="BK4621" t="s">
        <v>123</v>
      </c>
      <c r="BL4621" t="str">
        <f>"2016.652951"</f>
        <v>2016.652951</v>
      </c>
      <c r="BM4621" t="s">
        <v>1695</v>
      </c>
      <c r="BO4621" t="s">
        <v>28991</v>
      </c>
      <c r="BS4621">
        <v>30</v>
      </c>
      <c r="BW4621" t="str">
        <f>""</f>
        <v/>
      </c>
      <c r="CH4621" t="str">
        <f>""</f>
        <v/>
      </c>
      <c r="CS4621" t="str">
        <f>""</f>
        <v/>
      </c>
    </row>
    <row r="4622" spans="1:97" x14ac:dyDescent="0.25">
      <c r="A4622" t="s">
        <v>996</v>
      </c>
      <c r="B4622" t="s">
        <v>1041</v>
      </c>
      <c r="C4622" t="s">
        <v>28992</v>
      </c>
      <c r="D4622" t="s">
        <v>1041</v>
      </c>
      <c r="E4622" t="s">
        <v>28993</v>
      </c>
      <c r="F4622" t="s">
        <v>108</v>
      </c>
      <c r="H4622" t="s">
        <v>28994</v>
      </c>
      <c r="I4622" t="s">
        <v>110</v>
      </c>
      <c r="J4622" t="s">
        <v>111</v>
      </c>
      <c r="K4622" t="str">
        <f>"85225"</f>
        <v>85225</v>
      </c>
      <c r="L4622" t="s">
        <v>5138</v>
      </c>
      <c r="M4622" t="s">
        <v>28994</v>
      </c>
      <c r="N4622" t="s">
        <v>110</v>
      </c>
      <c r="O4622" t="s">
        <v>111</v>
      </c>
      <c r="P4622" t="str">
        <f>"85225-8409"</f>
        <v>85225-8409</v>
      </c>
      <c r="R4622" t="str">
        <f>"302-38-009"</f>
        <v>302-38-009</v>
      </c>
      <c r="S4622" t="s">
        <v>28995</v>
      </c>
      <c r="U4622">
        <v>973</v>
      </c>
      <c r="V4622">
        <v>0</v>
      </c>
      <c r="W4622">
        <v>2</v>
      </c>
      <c r="X4622">
        <v>1985</v>
      </c>
      <c r="Z4622">
        <v>1</v>
      </c>
      <c r="AB4622">
        <v>0</v>
      </c>
      <c r="AC4622" t="s">
        <v>115</v>
      </c>
      <c r="AD4622">
        <v>4</v>
      </c>
      <c r="AE4622" t="s">
        <v>115</v>
      </c>
      <c r="AF4622">
        <v>0</v>
      </c>
      <c r="AG4622">
        <v>0</v>
      </c>
      <c r="AH4622" t="s">
        <v>116</v>
      </c>
      <c r="AI4622" s="1">
        <v>10352</v>
      </c>
      <c r="AJ4622" s="2">
        <v>0.05</v>
      </c>
      <c r="AK4622" s="1">
        <v>227282</v>
      </c>
      <c r="AL4622" t="s">
        <v>117</v>
      </c>
      <c r="AM4622" t="s">
        <v>118</v>
      </c>
      <c r="AN4622">
        <v>7919</v>
      </c>
      <c r="AO4622">
        <v>0.18</v>
      </c>
      <c r="AP4622">
        <v>1</v>
      </c>
      <c r="AR4622">
        <v>1</v>
      </c>
      <c r="AS4622" s="1">
        <v>15560</v>
      </c>
      <c r="AT4622" s="1">
        <v>3110</v>
      </c>
      <c r="AU4622" s="1">
        <v>12450</v>
      </c>
      <c r="AV4622">
        <v>80.010000000000005</v>
      </c>
      <c r="AX4622" s="1">
        <v>925.18</v>
      </c>
      <c r="AY4622" t="s">
        <v>2956</v>
      </c>
      <c r="AZ4622" t="s">
        <v>5078</v>
      </c>
      <c r="BA4622" t="s">
        <v>2957</v>
      </c>
      <c r="BE4622" s="3">
        <v>41974</v>
      </c>
      <c r="BF4622" s="1">
        <v>160000</v>
      </c>
      <c r="BG4622" t="s">
        <v>28996</v>
      </c>
      <c r="BH4622" s="1">
        <v>164.44</v>
      </c>
      <c r="BI4622" s="1">
        <v>216930</v>
      </c>
      <c r="BJ4622" s="3">
        <v>43448</v>
      </c>
      <c r="BK4622" t="s">
        <v>123</v>
      </c>
      <c r="BL4622" t="str">
        <f>"2018.916245"</f>
        <v>2018.916245</v>
      </c>
      <c r="BM4622" t="s">
        <v>5348</v>
      </c>
      <c r="BN4622" t="s">
        <v>24676</v>
      </c>
      <c r="BO4622" t="s">
        <v>28997</v>
      </c>
      <c r="BP4622" t="s">
        <v>28998</v>
      </c>
      <c r="BR4622" t="s">
        <v>139</v>
      </c>
      <c r="BW4622" t="str">
        <f>""</f>
        <v/>
      </c>
      <c r="CH4622" t="str">
        <f>""</f>
        <v/>
      </c>
      <c r="CS4622" t="str">
        <f>""</f>
        <v/>
      </c>
    </row>
    <row r="4623" spans="1:97" x14ac:dyDescent="0.25">
      <c r="A4623" t="s">
        <v>28999</v>
      </c>
      <c r="B4623" t="s">
        <v>29000</v>
      </c>
      <c r="C4623" t="s">
        <v>11648</v>
      </c>
      <c r="D4623" t="s">
        <v>29000</v>
      </c>
      <c r="E4623" t="s">
        <v>29001</v>
      </c>
      <c r="F4623" t="s">
        <v>108</v>
      </c>
      <c r="H4623" t="s">
        <v>29002</v>
      </c>
      <c r="I4623" t="s">
        <v>390</v>
      </c>
      <c r="J4623" t="s">
        <v>111</v>
      </c>
      <c r="K4623" t="str">
        <f>"85085"</f>
        <v>85085</v>
      </c>
      <c r="L4623" t="s">
        <v>5893</v>
      </c>
      <c r="M4623" t="s">
        <v>29002</v>
      </c>
      <c r="N4623" t="s">
        <v>390</v>
      </c>
      <c r="O4623" t="s">
        <v>111</v>
      </c>
      <c r="P4623" t="str">
        <f>"85085-7035"</f>
        <v>85085-7035</v>
      </c>
      <c r="Q4623" t="s">
        <v>113</v>
      </c>
      <c r="R4623" t="str">
        <f>"204-12-055"</f>
        <v>204-12-055</v>
      </c>
      <c r="S4623" t="s">
        <v>25495</v>
      </c>
      <c r="U4623">
        <v>2092</v>
      </c>
      <c r="V4623">
        <v>0</v>
      </c>
      <c r="W4623">
        <v>3</v>
      </c>
      <c r="X4623">
        <v>2005</v>
      </c>
      <c r="Z4623">
        <v>2</v>
      </c>
      <c r="AB4623">
        <v>0</v>
      </c>
      <c r="AC4623" t="s">
        <v>115</v>
      </c>
      <c r="AD4623">
        <v>2</v>
      </c>
      <c r="AE4623" t="s">
        <v>115</v>
      </c>
      <c r="AF4623">
        <v>0</v>
      </c>
      <c r="AG4623">
        <v>0</v>
      </c>
      <c r="AH4623" t="s">
        <v>116</v>
      </c>
      <c r="AI4623" s="1">
        <v>84040</v>
      </c>
      <c r="AJ4623" s="2">
        <v>0.27</v>
      </c>
      <c r="AK4623" s="1">
        <v>311040</v>
      </c>
      <c r="AL4623" t="s">
        <v>117</v>
      </c>
      <c r="AM4623" t="s">
        <v>1315</v>
      </c>
      <c r="AN4623">
        <v>5634</v>
      </c>
      <c r="AO4623">
        <v>0.13</v>
      </c>
      <c r="AR4623">
        <v>1</v>
      </c>
      <c r="AS4623" s="1">
        <v>22060</v>
      </c>
      <c r="AT4623" s="1">
        <v>4410</v>
      </c>
      <c r="AU4623" s="1">
        <v>17650</v>
      </c>
      <c r="AV4623">
        <v>80.010000000000005</v>
      </c>
      <c r="AX4623" s="1">
        <v>2026.16</v>
      </c>
      <c r="AY4623" t="s">
        <v>2651</v>
      </c>
      <c r="AZ4623" t="s">
        <v>2651</v>
      </c>
      <c r="BA4623" t="s">
        <v>1462</v>
      </c>
      <c r="BE4623" s="3">
        <v>42082</v>
      </c>
      <c r="BF4623" s="1">
        <v>227000</v>
      </c>
      <c r="BG4623" t="s">
        <v>29003</v>
      </c>
      <c r="BH4623" s="1">
        <v>108.51</v>
      </c>
      <c r="BI4623" s="1">
        <v>227000</v>
      </c>
      <c r="BJ4623" s="3">
        <v>42082</v>
      </c>
      <c r="BK4623" t="s">
        <v>123</v>
      </c>
      <c r="BL4623" t="str">
        <f>"2015.185166"</f>
        <v>2015.185166</v>
      </c>
      <c r="BM4623" t="s">
        <v>29004</v>
      </c>
      <c r="BO4623" t="s">
        <v>29005</v>
      </c>
      <c r="BS4623">
        <v>30</v>
      </c>
      <c r="BW4623" t="str">
        <f>""</f>
        <v/>
      </c>
      <c r="CH4623" t="str">
        <f>""</f>
        <v/>
      </c>
      <c r="CS4623" t="str">
        <f>""</f>
        <v/>
      </c>
    </row>
    <row r="4624" spans="1:97" x14ac:dyDescent="0.25">
      <c r="A4624" t="s">
        <v>3718</v>
      </c>
      <c r="B4624" t="s">
        <v>832</v>
      </c>
      <c r="C4624" t="s">
        <v>1930</v>
      </c>
      <c r="D4624" t="s">
        <v>832</v>
      </c>
      <c r="E4624" t="s">
        <v>29006</v>
      </c>
      <c r="F4624" t="s">
        <v>108</v>
      </c>
      <c r="H4624" t="s">
        <v>29007</v>
      </c>
      <c r="I4624" t="s">
        <v>203</v>
      </c>
      <c r="J4624" t="s">
        <v>111</v>
      </c>
      <c r="K4624" t="str">
        <f>"85297"</f>
        <v>85297</v>
      </c>
      <c r="L4624" t="s">
        <v>7725</v>
      </c>
      <c r="M4624" t="s">
        <v>29007</v>
      </c>
      <c r="N4624" t="s">
        <v>203</v>
      </c>
      <c r="O4624" t="s">
        <v>111</v>
      </c>
      <c r="P4624" t="str">
        <f>"85297-3083"</f>
        <v>85297-3083</v>
      </c>
      <c r="Q4624" t="s">
        <v>113</v>
      </c>
      <c r="R4624" t="str">
        <f>"313-03-577"</f>
        <v>313-03-577</v>
      </c>
      <c r="S4624" t="s">
        <v>29008</v>
      </c>
      <c r="T4624" t="s">
        <v>23833</v>
      </c>
      <c r="U4624">
        <v>2312</v>
      </c>
      <c r="V4624">
        <v>0</v>
      </c>
      <c r="W4624">
        <v>4</v>
      </c>
      <c r="X4624">
        <v>2003</v>
      </c>
      <c r="Z4624">
        <v>2</v>
      </c>
      <c r="AB4624">
        <v>0</v>
      </c>
      <c r="AC4624" t="s">
        <v>115</v>
      </c>
      <c r="AD4624">
        <v>2</v>
      </c>
      <c r="AE4624" t="s">
        <v>115</v>
      </c>
      <c r="AF4624">
        <v>0</v>
      </c>
      <c r="AG4624">
        <v>0</v>
      </c>
      <c r="AH4624" t="s">
        <v>116</v>
      </c>
      <c r="AI4624" s="1">
        <v>33047</v>
      </c>
      <c r="AJ4624" s="2">
        <v>0.09</v>
      </c>
      <c r="AK4624" s="1">
        <v>349433</v>
      </c>
      <c r="AL4624" t="s">
        <v>117</v>
      </c>
      <c r="AM4624" t="s">
        <v>191</v>
      </c>
      <c r="AN4624">
        <v>7812</v>
      </c>
      <c r="AO4624">
        <v>0.18</v>
      </c>
      <c r="AP4624">
        <v>1</v>
      </c>
      <c r="AR4624">
        <v>1</v>
      </c>
      <c r="AS4624" s="1">
        <v>24530</v>
      </c>
      <c r="AT4624" s="1">
        <v>4900</v>
      </c>
      <c r="AU4624" s="1">
        <v>19630</v>
      </c>
      <c r="AV4624">
        <v>80.02</v>
      </c>
      <c r="AX4624" s="1">
        <v>1952.34</v>
      </c>
      <c r="AY4624" t="s">
        <v>8338</v>
      </c>
      <c r="AZ4624" t="s">
        <v>8338</v>
      </c>
      <c r="BA4624" t="s">
        <v>290</v>
      </c>
      <c r="BE4624" s="3">
        <v>42268</v>
      </c>
      <c r="BF4624" s="1">
        <v>260000</v>
      </c>
      <c r="BG4624" t="s">
        <v>29009</v>
      </c>
      <c r="BH4624" s="1">
        <v>112.46</v>
      </c>
      <c r="BI4624" s="1">
        <v>316386</v>
      </c>
      <c r="BJ4624" s="3">
        <v>43566</v>
      </c>
      <c r="BK4624" t="s">
        <v>123</v>
      </c>
      <c r="BL4624" t="str">
        <f>"2019.254641"</f>
        <v>2019.254641</v>
      </c>
      <c r="BM4624" t="s">
        <v>29010</v>
      </c>
      <c r="BN4624" t="s">
        <v>1511</v>
      </c>
      <c r="BO4624" t="s">
        <v>29011</v>
      </c>
      <c r="BP4624" t="s">
        <v>29012</v>
      </c>
      <c r="BR4624" t="s">
        <v>139</v>
      </c>
      <c r="BW4624" t="str">
        <f>""</f>
        <v/>
      </c>
      <c r="CH4624" t="str">
        <f>""</f>
        <v/>
      </c>
      <c r="CS4624" t="str">
        <f>""</f>
        <v/>
      </c>
    </row>
    <row r="4625" spans="1:97" x14ac:dyDescent="0.25">
      <c r="A4625" t="s">
        <v>589</v>
      </c>
      <c r="B4625" t="s">
        <v>29013</v>
      </c>
      <c r="E4625" t="s">
        <v>29014</v>
      </c>
      <c r="F4625" t="s">
        <v>108</v>
      </c>
      <c r="H4625" t="s">
        <v>29015</v>
      </c>
      <c r="I4625" t="s">
        <v>225</v>
      </c>
      <c r="J4625" t="s">
        <v>111</v>
      </c>
      <c r="K4625" t="str">
        <f>"85208"</f>
        <v>85208</v>
      </c>
      <c r="L4625" t="s">
        <v>6682</v>
      </c>
      <c r="M4625" t="s">
        <v>29015</v>
      </c>
      <c r="N4625" t="s">
        <v>225</v>
      </c>
      <c r="O4625" t="s">
        <v>111</v>
      </c>
      <c r="P4625" t="str">
        <f>"85208-2627"</f>
        <v>85208-2627</v>
      </c>
      <c r="Q4625" t="s">
        <v>113</v>
      </c>
      <c r="R4625" t="str">
        <f>"218-55-078"</f>
        <v>218-55-078</v>
      </c>
      <c r="S4625" t="s">
        <v>29016</v>
      </c>
      <c r="U4625">
        <v>1489</v>
      </c>
      <c r="V4625">
        <v>0</v>
      </c>
      <c r="W4625">
        <v>3</v>
      </c>
      <c r="X4625">
        <v>1965</v>
      </c>
      <c r="Z4625">
        <v>1</v>
      </c>
      <c r="AB4625">
        <v>0</v>
      </c>
      <c r="AC4625" t="s">
        <v>115</v>
      </c>
      <c r="AD4625">
        <v>2</v>
      </c>
      <c r="AE4625" t="s">
        <v>115</v>
      </c>
      <c r="AF4625">
        <v>0</v>
      </c>
      <c r="AG4625">
        <v>0</v>
      </c>
      <c r="AH4625" t="s">
        <v>116</v>
      </c>
      <c r="AI4625" s="1">
        <v>38284</v>
      </c>
      <c r="AJ4625" s="2">
        <v>0.16</v>
      </c>
      <c r="AK4625" s="1">
        <v>240752</v>
      </c>
      <c r="AL4625" t="s">
        <v>117</v>
      </c>
      <c r="AM4625" t="s">
        <v>191</v>
      </c>
      <c r="AN4625">
        <v>10616</v>
      </c>
      <c r="AO4625">
        <v>0.24</v>
      </c>
      <c r="AP4625">
        <v>1</v>
      </c>
      <c r="AR4625">
        <v>1</v>
      </c>
      <c r="AS4625" s="1">
        <v>17250</v>
      </c>
      <c r="AT4625" s="1">
        <v>3450</v>
      </c>
      <c r="AU4625" s="1">
        <v>13800</v>
      </c>
      <c r="AV4625">
        <v>80</v>
      </c>
      <c r="AX4625" s="1">
        <v>1486.28</v>
      </c>
      <c r="AY4625" t="s">
        <v>12506</v>
      </c>
      <c r="AZ4625" t="s">
        <v>231</v>
      </c>
      <c r="BA4625" t="s">
        <v>232</v>
      </c>
      <c r="BB4625" s="3">
        <v>43564</v>
      </c>
      <c r="BC4625" s="1">
        <v>0</v>
      </c>
      <c r="BD4625" t="s">
        <v>247</v>
      </c>
      <c r="BE4625" s="3">
        <v>42440</v>
      </c>
      <c r="BF4625" s="1">
        <v>179000</v>
      </c>
      <c r="BG4625" t="s">
        <v>29017</v>
      </c>
      <c r="BH4625" s="1">
        <v>120.21</v>
      </c>
      <c r="BI4625" s="1">
        <v>202468</v>
      </c>
      <c r="BJ4625" s="3">
        <v>43564</v>
      </c>
      <c r="BK4625" t="s">
        <v>123</v>
      </c>
      <c r="BL4625" t="str">
        <f>"2019.248960"</f>
        <v>2019.248960</v>
      </c>
      <c r="BM4625" t="s">
        <v>29018</v>
      </c>
      <c r="BN4625" t="s">
        <v>6390</v>
      </c>
      <c r="BO4625" t="s">
        <v>29014</v>
      </c>
      <c r="BR4625" t="s">
        <v>139</v>
      </c>
      <c r="BW4625" t="str">
        <f>""</f>
        <v/>
      </c>
      <c r="CH4625" t="str">
        <f>""</f>
        <v/>
      </c>
      <c r="CS4625" t="str">
        <f>""</f>
        <v/>
      </c>
    </row>
    <row r="4626" spans="1:97" x14ac:dyDescent="0.25">
      <c r="A4626" t="s">
        <v>1067</v>
      </c>
      <c r="B4626" t="s">
        <v>29019</v>
      </c>
      <c r="C4626" t="s">
        <v>154</v>
      </c>
      <c r="D4626" t="s">
        <v>29019</v>
      </c>
      <c r="E4626" t="s">
        <v>29020</v>
      </c>
      <c r="F4626" t="s">
        <v>108</v>
      </c>
      <c r="H4626" t="s">
        <v>29021</v>
      </c>
      <c r="I4626" t="s">
        <v>453</v>
      </c>
      <c r="J4626" t="s">
        <v>111</v>
      </c>
      <c r="K4626" t="str">
        <f>"85382"</f>
        <v>85382</v>
      </c>
      <c r="L4626" t="s">
        <v>6481</v>
      </c>
      <c r="M4626" t="s">
        <v>29021</v>
      </c>
      <c r="N4626" t="s">
        <v>453</v>
      </c>
      <c r="O4626" t="s">
        <v>111</v>
      </c>
      <c r="P4626" t="str">
        <f>"85382-4450"</f>
        <v>85382-4450</v>
      </c>
      <c r="Q4626" t="s">
        <v>113</v>
      </c>
      <c r="R4626" t="str">
        <f>"200-18-351"</f>
        <v>200-18-351</v>
      </c>
      <c r="S4626" t="s">
        <v>11500</v>
      </c>
      <c r="U4626">
        <v>1476</v>
      </c>
      <c r="V4626">
        <v>0</v>
      </c>
      <c r="W4626">
        <v>3</v>
      </c>
      <c r="X4626">
        <v>1999</v>
      </c>
      <c r="Z4626">
        <v>1</v>
      </c>
      <c r="AA4626" t="s">
        <v>26</v>
      </c>
      <c r="AB4626">
        <v>0</v>
      </c>
      <c r="AC4626" t="s">
        <v>115</v>
      </c>
      <c r="AD4626">
        <v>2</v>
      </c>
      <c r="AE4626" t="s">
        <v>115</v>
      </c>
      <c r="AF4626">
        <v>0</v>
      </c>
      <c r="AG4626">
        <v>0</v>
      </c>
      <c r="AH4626" t="s">
        <v>116</v>
      </c>
      <c r="AI4626" s="1">
        <v>66659</v>
      </c>
      <c r="AJ4626" s="2">
        <v>0.23</v>
      </c>
      <c r="AK4626" s="1">
        <v>289863</v>
      </c>
      <c r="AL4626" t="s">
        <v>117</v>
      </c>
      <c r="AM4626" t="s">
        <v>118</v>
      </c>
      <c r="AN4626">
        <v>8950</v>
      </c>
      <c r="AO4626">
        <v>0.2</v>
      </c>
      <c r="AP4626">
        <v>1</v>
      </c>
      <c r="AR4626">
        <v>1</v>
      </c>
      <c r="AS4626" s="1">
        <v>19920</v>
      </c>
      <c r="AT4626" s="1">
        <v>3980</v>
      </c>
      <c r="AU4626" s="1">
        <v>15940</v>
      </c>
      <c r="AV4626">
        <v>80.02</v>
      </c>
      <c r="AX4626" s="1">
        <v>1676.82</v>
      </c>
      <c r="AY4626" t="s">
        <v>4218</v>
      </c>
      <c r="AZ4626" t="s">
        <v>4218</v>
      </c>
      <c r="BA4626" t="s">
        <v>4219</v>
      </c>
      <c r="BE4626" s="3">
        <v>41786</v>
      </c>
      <c r="BF4626" s="1">
        <v>219900</v>
      </c>
      <c r="BG4626" t="s">
        <v>29022</v>
      </c>
      <c r="BH4626" s="1">
        <v>148.97999999999999</v>
      </c>
      <c r="BI4626" s="1">
        <v>223204</v>
      </c>
      <c r="BJ4626" s="3">
        <v>42053</v>
      </c>
      <c r="BK4626" t="s">
        <v>123</v>
      </c>
      <c r="BL4626" t="str">
        <f>"2015.105071"</f>
        <v>2015.105071</v>
      </c>
      <c r="BM4626" t="s">
        <v>1185</v>
      </c>
      <c r="BN4626" t="s">
        <v>6728</v>
      </c>
      <c r="BO4626" t="s">
        <v>29023</v>
      </c>
      <c r="BS4626">
        <v>30</v>
      </c>
      <c r="BT4626" s="1">
        <v>223204</v>
      </c>
      <c r="BU4626" s="3">
        <v>42053</v>
      </c>
      <c r="BV4626" t="s">
        <v>123</v>
      </c>
      <c r="BW4626" t="str">
        <f>"2015.105071"</f>
        <v>2015.105071</v>
      </c>
      <c r="BX4626" t="s">
        <v>1185</v>
      </c>
      <c r="BZ4626" t="s">
        <v>29023</v>
      </c>
      <c r="CD4626">
        <v>30</v>
      </c>
      <c r="CH4626" t="str">
        <f>""</f>
        <v/>
      </c>
      <c r="CS4626" t="str">
        <f>""</f>
        <v/>
      </c>
    </row>
    <row r="4627" spans="1:97" x14ac:dyDescent="0.25">
      <c r="A4627" t="s">
        <v>1444</v>
      </c>
      <c r="B4627" t="s">
        <v>29024</v>
      </c>
      <c r="C4627" t="s">
        <v>29025</v>
      </c>
      <c r="D4627" t="s">
        <v>29024</v>
      </c>
      <c r="E4627" t="s">
        <v>29026</v>
      </c>
      <c r="F4627" t="s">
        <v>108</v>
      </c>
      <c r="H4627" t="s">
        <v>29027</v>
      </c>
      <c r="I4627" t="s">
        <v>632</v>
      </c>
      <c r="J4627" t="s">
        <v>111</v>
      </c>
      <c r="K4627" t="str">
        <f>"85379"</f>
        <v>85379</v>
      </c>
      <c r="L4627" t="s">
        <v>454</v>
      </c>
      <c r="M4627" t="s">
        <v>29027</v>
      </c>
      <c r="N4627" t="s">
        <v>632</v>
      </c>
      <c r="O4627" t="s">
        <v>111</v>
      </c>
      <c r="P4627" t="str">
        <f>"85379-1030"</f>
        <v>85379-1030</v>
      </c>
      <c r="Q4627" t="s">
        <v>113</v>
      </c>
      <c r="R4627" t="str">
        <f>"501-46-620"</f>
        <v>501-46-620</v>
      </c>
      <c r="S4627" t="s">
        <v>5319</v>
      </c>
      <c r="U4627">
        <v>2859</v>
      </c>
      <c r="V4627">
        <v>0</v>
      </c>
      <c r="W4627">
        <v>4</v>
      </c>
      <c r="X4627">
        <v>2014</v>
      </c>
      <c r="Z4627">
        <v>2</v>
      </c>
      <c r="AB4627">
        <v>0</v>
      </c>
      <c r="AC4627" t="s">
        <v>115</v>
      </c>
      <c r="AD4627">
        <v>3</v>
      </c>
      <c r="AE4627" t="s">
        <v>115</v>
      </c>
      <c r="AF4627">
        <v>0</v>
      </c>
      <c r="AG4627">
        <v>0</v>
      </c>
      <c r="AH4627" t="s">
        <v>116</v>
      </c>
      <c r="AI4627" s="1">
        <v>55712</v>
      </c>
      <c r="AJ4627" s="2">
        <v>0.17</v>
      </c>
      <c r="AK4627" s="1">
        <v>326897</v>
      </c>
      <c r="AL4627" t="s">
        <v>117</v>
      </c>
      <c r="AM4627" t="s">
        <v>118</v>
      </c>
      <c r="AN4627">
        <v>6095</v>
      </c>
      <c r="AO4627">
        <v>0.14000000000000001</v>
      </c>
      <c r="AR4627">
        <v>1</v>
      </c>
      <c r="AS4627" s="1">
        <v>23010</v>
      </c>
      <c r="AT4627" s="1">
        <v>4600</v>
      </c>
      <c r="AU4627" s="1">
        <v>18410</v>
      </c>
      <c r="AV4627">
        <v>80.010000000000005</v>
      </c>
      <c r="AX4627" s="1">
        <v>1821.74</v>
      </c>
      <c r="AY4627" t="s">
        <v>5060</v>
      </c>
      <c r="AZ4627" t="s">
        <v>5060</v>
      </c>
      <c r="BA4627" t="s">
        <v>5061</v>
      </c>
      <c r="BE4627" s="3">
        <v>41726</v>
      </c>
      <c r="BF4627" s="1">
        <v>270292</v>
      </c>
      <c r="BG4627" t="s">
        <v>158</v>
      </c>
      <c r="BH4627" s="1">
        <v>94.54</v>
      </c>
      <c r="BI4627" s="1">
        <v>271185</v>
      </c>
      <c r="BJ4627" s="3">
        <v>41841</v>
      </c>
      <c r="BK4627" t="s">
        <v>123</v>
      </c>
      <c r="BL4627" t="str">
        <f>"2014.476767"</f>
        <v>2014.476767</v>
      </c>
      <c r="BM4627" t="s">
        <v>255</v>
      </c>
      <c r="BO4627" t="s">
        <v>29028</v>
      </c>
      <c r="BS4627">
        <v>30</v>
      </c>
      <c r="BW4627" t="str">
        <f>""</f>
        <v/>
      </c>
      <c r="CH4627" t="str">
        <f>""</f>
        <v/>
      </c>
      <c r="CS4627" t="str">
        <f>""</f>
        <v/>
      </c>
    </row>
    <row r="4628" spans="1:97" x14ac:dyDescent="0.25">
      <c r="A4628" t="s">
        <v>29029</v>
      </c>
      <c r="B4628" t="s">
        <v>2114</v>
      </c>
      <c r="E4628" t="s">
        <v>29030</v>
      </c>
      <c r="F4628" t="s">
        <v>108</v>
      </c>
      <c r="H4628" t="s">
        <v>29031</v>
      </c>
      <c r="I4628" t="s">
        <v>390</v>
      </c>
      <c r="J4628" t="s">
        <v>111</v>
      </c>
      <c r="K4628" t="str">
        <f>"85042"</f>
        <v>85042</v>
      </c>
      <c r="L4628" t="s">
        <v>6766</v>
      </c>
      <c r="M4628" t="s">
        <v>29031</v>
      </c>
      <c r="N4628" t="s">
        <v>390</v>
      </c>
      <c r="O4628" t="s">
        <v>111</v>
      </c>
      <c r="P4628" t="str">
        <f>"85042-6712"</f>
        <v>85042-6712</v>
      </c>
      <c r="Q4628" t="s">
        <v>113</v>
      </c>
      <c r="R4628" t="str">
        <f>"300-23-013"</f>
        <v>300-23-013</v>
      </c>
      <c r="S4628" t="s">
        <v>29032</v>
      </c>
      <c r="T4628" t="s">
        <v>29032</v>
      </c>
      <c r="U4628">
        <v>1792</v>
      </c>
      <c r="V4628">
        <v>0</v>
      </c>
      <c r="W4628">
        <v>2</v>
      </c>
      <c r="X4628">
        <v>1982</v>
      </c>
      <c r="Z4628">
        <v>1</v>
      </c>
      <c r="AB4628">
        <v>0</v>
      </c>
      <c r="AC4628" t="s">
        <v>115</v>
      </c>
      <c r="AD4628">
        <v>6</v>
      </c>
      <c r="AE4628" t="s">
        <v>115</v>
      </c>
      <c r="AF4628">
        <v>0</v>
      </c>
      <c r="AG4628">
        <v>0</v>
      </c>
      <c r="AH4628" t="s">
        <v>5467</v>
      </c>
      <c r="AI4628" s="1">
        <v>21611</v>
      </c>
      <c r="AJ4628" s="2">
        <v>0.06</v>
      </c>
      <c r="AK4628" s="1">
        <v>372831</v>
      </c>
      <c r="AL4628" t="s">
        <v>117</v>
      </c>
      <c r="AM4628" t="s">
        <v>1302</v>
      </c>
      <c r="AN4628">
        <v>43386</v>
      </c>
      <c r="AO4628">
        <v>1</v>
      </c>
      <c r="AP4628">
        <v>1</v>
      </c>
      <c r="AR4628">
        <v>1</v>
      </c>
      <c r="AS4628" s="1">
        <v>30150</v>
      </c>
      <c r="AT4628" s="1">
        <v>6030</v>
      </c>
      <c r="AU4628" s="1">
        <v>24120</v>
      </c>
      <c r="AV4628">
        <v>80</v>
      </c>
      <c r="AX4628" s="1">
        <v>3500.74</v>
      </c>
      <c r="AY4628" t="s">
        <v>2859</v>
      </c>
      <c r="AZ4628" t="s">
        <v>2859</v>
      </c>
      <c r="BA4628" t="s">
        <v>2860</v>
      </c>
      <c r="BB4628" s="3">
        <v>43738</v>
      </c>
      <c r="BC4628" s="1">
        <v>0</v>
      </c>
      <c r="BD4628" t="s">
        <v>247</v>
      </c>
      <c r="BE4628" s="3">
        <v>41929</v>
      </c>
      <c r="BF4628" s="1">
        <v>319000</v>
      </c>
      <c r="BG4628" t="s">
        <v>29033</v>
      </c>
      <c r="BH4628" s="1">
        <v>178.01</v>
      </c>
      <c r="BI4628" s="1">
        <v>351220</v>
      </c>
      <c r="BJ4628" s="3">
        <v>42719</v>
      </c>
      <c r="BK4628" t="s">
        <v>123</v>
      </c>
      <c r="BL4628" t="str">
        <f>"2016.922905"</f>
        <v>2016.922905</v>
      </c>
      <c r="BM4628" t="s">
        <v>361</v>
      </c>
      <c r="BN4628" t="s">
        <v>884</v>
      </c>
      <c r="BO4628" t="s">
        <v>29034</v>
      </c>
      <c r="BS4628">
        <v>30</v>
      </c>
      <c r="BW4628" t="str">
        <f>""</f>
        <v/>
      </c>
      <c r="CH4628" t="str">
        <f>""</f>
        <v/>
      </c>
      <c r="CS4628" t="str">
        <f>""</f>
        <v/>
      </c>
    </row>
    <row r="4629" spans="1:97" x14ac:dyDescent="0.25">
      <c r="A4629" t="s">
        <v>265</v>
      </c>
      <c r="B4629" t="s">
        <v>29035</v>
      </c>
      <c r="C4629" t="s">
        <v>6510</v>
      </c>
      <c r="D4629" t="s">
        <v>29035</v>
      </c>
      <c r="E4629" t="s">
        <v>29036</v>
      </c>
      <c r="F4629" t="s">
        <v>108</v>
      </c>
      <c r="H4629" t="s">
        <v>29037</v>
      </c>
      <c r="I4629" t="s">
        <v>390</v>
      </c>
      <c r="J4629" t="s">
        <v>111</v>
      </c>
      <c r="K4629" t="str">
        <f>"85085"</f>
        <v>85085</v>
      </c>
      <c r="L4629" t="s">
        <v>3318</v>
      </c>
      <c r="M4629" t="s">
        <v>29037</v>
      </c>
      <c r="N4629" t="s">
        <v>390</v>
      </c>
      <c r="O4629" t="s">
        <v>111</v>
      </c>
      <c r="P4629" t="str">
        <f>"85085-5714"</f>
        <v>85085-5714</v>
      </c>
      <c r="Q4629" t="s">
        <v>113</v>
      </c>
      <c r="R4629" t="str">
        <f>"204-24-117"</f>
        <v>204-24-117</v>
      </c>
      <c r="S4629" t="s">
        <v>23170</v>
      </c>
      <c r="U4629">
        <v>3006</v>
      </c>
      <c r="V4629">
        <v>0</v>
      </c>
      <c r="W4629">
        <v>4</v>
      </c>
      <c r="X4629">
        <v>2005</v>
      </c>
      <c r="Z4629">
        <v>2</v>
      </c>
      <c r="AB4629">
        <v>0</v>
      </c>
      <c r="AC4629" t="s">
        <v>115</v>
      </c>
      <c r="AD4629">
        <v>3</v>
      </c>
      <c r="AE4629" t="s">
        <v>115</v>
      </c>
      <c r="AF4629">
        <v>0</v>
      </c>
      <c r="AG4629">
        <v>0</v>
      </c>
      <c r="AH4629" t="s">
        <v>116</v>
      </c>
      <c r="AI4629" s="1">
        <v>96508</v>
      </c>
      <c r="AJ4629" s="2">
        <v>0.25</v>
      </c>
      <c r="AK4629" s="1">
        <v>385686</v>
      </c>
      <c r="AL4629" t="s">
        <v>117</v>
      </c>
      <c r="AM4629" t="s">
        <v>191</v>
      </c>
      <c r="AN4629">
        <v>6458</v>
      </c>
      <c r="AO4629">
        <v>0.15</v>
      </c>
      <c r="AR4629">
        <v>1</v>
      </c>
      <c r="AS4629" s="1">
        <v>28660</v>
      </c>
      <c r="AT4629" s="1">
        <v>5730</v>
      </c>
      <c r="AU4629" s="1">
        <v>22930</v>
      </c>
      <c r="AV4629">
        <v>80.010000000000005</v>
      </c>
      <c r="AX4629" s="1">
        <v>2513.7199999999998</v>
      </c>
      <c r="AY4629" t="s">
        <v>2651</v>
      </c>
      <c r="AZ4629" t="s">
        <v>2651</v>
      </c>
      <c r="BA4629" t="s">
        <v>1462</v>
      </c>
      <c r="BE4629" s="3">
        <v>41808</v>
      </c>
      <c r="BF4629" s="1">
        <v>299900</v>
      </c>
      <c r="BG4629" t="s">
        <v>14154</v>
      </c>
      <c r="BH4629" s="1">
        <v>99.77</v>
      </c>
      <c r="BI4629" s="1">
        <v>289178</v>
      </c>
      <c r="BJ4629" s="3">
        <v>41808</v>
      </c>
      <c r="BK4629" t="s">
        <v>123</v>
      </c>
      <c r="BL4629" t="str">
        <f>"2014.398150"</f>
        <v>2014.398150</v>
      </c>
      <c r="BM4629" t="s">
        <v>12178</v>
      </c>
      <c r="BO4629" t="s">
        <v>29038</v>
      </c>
      <c r="BS4629">
        <v>30</v>
      </c>
      <c r="BW4629" t="str">
        <f>""</f>
        <v/>
      </c>
      <c r="CH4629" t="str">
        <f>""</f>
        <v/>
      </c>
      <c r="CS4629" t="str">
        <f>""</f>
        <v/>
      </c>
    </row>
    <row r="4630" spans="1:97" x14ac:dyDescent="0.25">
      <c r="A4630" t="s">
        <v>7856</v>
      </c>
      <c r="B4630" t="s">
        <v>29039</v>
      </c>
      <c r="E4630" t="s">
        <v>29040</v>
      </c>
      <c r="F4630" t="s">
        <v>108</v>
      </c>
      <c r="H4630" t="s">
        <v>29041</v>
      </c>
      <c r="I4630" t="s">
        <v>144</v>
      </c>
      <c r="J4630" t="s">
        <v>111</v>
      </c>
      <c r="K4630" t="str">
        <f>"85326"</f>
        <v>85326</v>
      </c>
      <c r="L4630" t="s">
        <v>3037</v>
      </c>
      <c r="M4630" t="s">
        <v>29041</v>
      </c>
      <c r="N4630" t="s">
        <v>144</v>
      </c>
      <c r="O4630" t="s">
        <v>111</v>
      </c>
      <c r="P4630" t="str">
        <f>"85326-4218"</f>
        <v>85326-4218</v>
      </c>
      <c r="Q4630" t="s">
        <v>113</v>
      </c>
      <c r="R4630" t="str">
        <f>"400-52-073"</f>
        <v>400-52-073</v>
      </c>
      <c r="S4630" t="s">
        <v>29042</v>
      </c>
      <c r="T4630" t="s">
        <v>29042</v>
      </c>
      <c r="U4630">
        <v>3378</v>
      </c>
      <c r="V4630">
        <v>0</v>
      </c>
      <c r="W4630">
        <v>4</v>
      </c>
      <c r="X4630">
        <v>1972</v>
      </c>
      <c r="Z4630">
        <v>1</v>
      </c>
      <c r="AB4630">
        <v>0</v>
      </c>
      <c r="AC4630" t="s">
        <v>115</v>
      </c>
      <c r="AD4630">
        <v>2</v>
      </c>
      <c r="AE4630" t="s">
        <v>115</v>
      </c>
      <c r="AF4630">
        <v>0</v>
      </c>
      <c r="AG4630">
        <v>0</v>
      </c>
      <c r="AH4630" t="s">
        <v>116</v>
      </c>
      <c r="AI4630" s="1">
        <v>84857</v>
      </c>
      <c r="AJ4630" s="2">
        <v>0.21</v>
      </c>
      <c r="AK4630" s="1">
        <v>395257</v>
      </c>
      <c r="AL4630" t="s">
        <v>117</v>
      </c>
      <c r="AM4630" t="s">
        <v>376</v>
      </c>
      <c r="AN4630">
        <v>58263</v>
      </c>
      <c r="AO4630">
        <v>1.34</v>
      </c>
      <c r="AP4630">
        <v>1</v>
      </c>
      <c r="AR4630">
        <v>1</v>
      </c>
      <c r="AS4630" s="1">
        <v>28820</v>
      </c>
      <c r="AT4630" s="1">
        <v>5760</v>
      </c>
      <c r="AU4630" s="1">
        <v>23060</v>
      </c>
      <c r="AV4630">
        <v>80.010000000000005</v>
      </c>
      <c r="AX4630" s="1">
        <v>2372.64</v>
      </c>
      <c r="AY4630" t="s">
        <v>3038</v>
      </c>
      <c r="AZ4630" t="s">
        <v>3038</v>
      </c>
      <c r="BA4630" t="s">
        <v>1247</v>
      </c>
      <c r="BB4630" s="3">
        <v>42877</v>
      </c>
      <c r="BD4630" t="s">
        <v>458</v>
      </c>
      <c r="BE4630" s="3">
        <v>42124</v>
      </c>
      <c r="BF4630" s="1">
        <v>349900</v>
      </c>
      <c r="BG4630" t="s">
        <v>29043</v>
      </c>
      <c r="BH4630" s="1">
        <v>103.58</v>
      </c>
      <c r="BI4630" s="1">
        <v>310400</v>
      </c>
      <c r="BJ4630" s="3">
        <v>42877</v>
      </c>
      <c r="BK4630" t="s">
        <v>123</v>
      </c>
      <c r="BL4630" t="str">
        <f>"2017.367904"</f>
        <v>2017.367904</v>
      </c>
      <c r="BM4630" t="s">
        <v>673</v>
      </c>
      <c r="BO4630" t="s">
        <v>29044</v>
      </c>
      <c r="BQ4630" t="str">
        <f>"2.7500%"</f>
        <v>2.7500%</v>
      </c>
      <c r="BR4630" t="s">
        <v>1480</v>
      </c>
      <c r="BS4630">
        <v>30</v>
      </c>
      <c r="BW4630" t="str">
        <f>""</f>
        <v/>
      </c>
      <c r="CH4630" t="str">
        <f>""</f>
        <v/>
      </c>
      <c r="CS4630" t="str">
        <f>""</f>
        <v/>
      </c>
    </row>
    <row r="4631" spans="1:97" x14ac:dyDescent="0.25">
      <c r="A4631" t="s">
        <v>464</v>
      </c>
      <c r="B4631" t="s">
        <v>29045</v>
      </c>
      <c r="C4631" t="s">
        <v>199</v>
      </c>
      <c r="D4631" t="s">
        <v>29045</v>
      </c>
      <c r="E4631" t="s">
        <v>29046</v>
      </c>
      <c r="F4631" t="s">
        <v>108</v>
      </c>
      <c r="H4631" t="s">
        <v>29047</v>
      </c>
      <c r="I4631" t="s">
        <v>225</v>
      </c>
      <c r="J4631" t="s">
        <v>111</v>
      </c>
      <c r="K4631" t="str">
        <f>"85207"</f>
        <v>85207</v>
      </c>
      <c r="L4631" t="s">
        <v>284</v>
      </c>
      <c r="M4631" t="s">
        <v>29047</v>
      </c>
      <c r="N4631" t="s">
        <v>225</v>
      </c>
      <c r="O4631" t="s">
        <v>111</v>
      </c>
      <c r="P4631" t="str">
        <f>"85207-1269"</f>
        <v>85207-1269</v>
      </c>
      <c r="R4631" t="str">
        <f>"219-26-117-A"</f>
        <v>219-26-117-A</v>
      </c>
      <c r="U4631">
        <v>1500</v>
      </c>
      <c r="V4631">
        <v>0</v>
      </c>
      <c r="W4631">
        <v>2</v>
      </c>
      <c r="X4631">
        <v>2001</v>
      </c>
      <c r="Z4631">
        <v>1</v>
      </c>
      <c r="AB4631">
        <v>0</v>
      </c>
      <c r="AC4631" t="s">
        <v>115</v>
      </c>
      <c r="AD4631">
        <v>2</v>
      </c>
      <c r="AE4631" t="s">
        <v>115</v>
      </c>
      <c r="AF4631">
        <v>0</v>
      </c>
      <c r="AG4631">
        <v>0</v>
      </c>
      <c r="AH4631" t="s">
        <v>116</v>
      </c>
      <c r="AI4631" s="1">
        <v>37495</v>
      </c>
      <c r="AJ4631" s="2">
        <v>0.11</v>
      </c>
      <c r="AK4631" s="1">
        <v>344495</v>
      </c>
      <c r="AL4631" t="s">
        <v>117</v>
      </c>
      <c r="AM4631" t="s">
        <v>3973</v>
      </c>
      <c r="AN4631">
        <v>28625</v>
      </c>
      <c r="AO4631">
        <v>0.66</v>
      </c>
      <c r="AP4631">
        <v>1</v>
      </c>
      <c r="AR4631">
        <v>1</v>
      </c>
      <c r="AS4631" s="1">
        <v>24420</v>
      </c>
      <c r="AT4631" s="1">
        <v>4880</v>
      </c>
      <c r="AU4631" s="1">
        <v>19540</v>
      </c>
      <c r="AV4631">
        <v>80.02</v>
      </c>
      <c r="AX4631" s="1">
        <v>1633.34</v>
      </c>
      <c r="AY4631" t="s">
        <v>9337</v>
      </c>
      <c r="AZ4631" t="s">
        <v>231</v>
      </c>
      <c r="BA4631" t="s">
        <v>3119</v>
      </c>
      <c r="BE4631" s="3">
        <v>42153</v>
      </c>
      <c r="BF4631" s="1">
        <v>237000</v>
      </c>
      <c r="BG4631" t="s">
        <v>29048</v>
      </c>
      <c r="BH4631" s="1">
        <v>158</v>
      </c>
      <c r="BI4631" s="1">
        <v>307000</v>
      </c>
      <c r="BJ4631" s="3">
        <v>43196</v>
      </c>
      <c r="BK4631" t="s">
        <v>123</v>
      </c>
      <c r="BL4631" t="str">
        <f>"2018.260397"</f>
        <v>2018.260397</v>
      </c>
      <c r="BM4631" t="s">
        <v>23724</v>
      </c>
      <c r="BN4631" t="s">
        <v>1136</v>
      </c>
      <c r="BO4631" t="s">
        <v>29049</v>
      </c>
      <c r="BP4631" t="s">
        <v>29050</v>
      </c>
      <c r="BR4631" t="s">
        <v>139</v>
      </c>
      <c r="BW4631" t="str">
        <f>""</f>
        <v/>
      </c>
      <c r="CH4631" t="str">
        <f>""</f>
        <v/>
      </c>
      <c r="CS4631" t="str">
        <f>""</f>
        <v/>
      </c>
    </row>
    <row r="4632" spans="1:97" x14ac:dyDescent="0.25">
      <c r="A4632" t="s">
        <v>29051</v>
      </c>
      <c r="B4632" t="s">
        <v>29052</v>
      </c>
      <c r="C4632" t="s">
        <v>3938</v>
      </c>
      <c r="D4632" t="s">
        <v>29052</v>
      </c>
      <c r="E4632" t="s">
        <v>29053</v>
      </c>
      <c r="F4632" t="s">
        <v>108</v>
      </c>
      <c r="H4632" t="s">
        <v>29054</v>
      </c>
      <c r="I4632" t="s">
        <v>499</v>
      </c>
      <c r="J4632" t="s">
        <v>111</v>
      </c>
      <c r="K4632" t="str">
        <f>"85338"</f>
        <v>85338</v>
      </c>
      <c r="L4632" t="s">
        <v>7339</v>
      </c>
      <c r="M4632" t="s">
        <v>29054</v>
      </c>
      <c r="N4632" t="s">
        <v>499</v>
      </c>
      <c r="O4632" t="s">
        <v>111</v>
      </c>
      <c r="P4632" t="str">
        <f>"85338-5838"</f>
        <v>85338-5838</v>
      </c>
      <c r="Q4632" t="s">
        <v>113</v>
      </c>
      <c r="R4632" t="str">
        <f>"400-81-022"</f>
        <v>400-81-022</v>
      </c>
      <c r="S4632" t="s">
        <v>7340</v>
      </c>
      <c r="U4632">
        <v>1854</v>
      </c>
      <c r="V4632">
        <v>0</v>
      </c>
      <c r="W4632">
        <v>3</v>
      </c>
      <c r="X4632">
        <v>2002</v>
      </c>
      <c r="Z4632">
        <v>1</v>
      </c>
      <c r="AB4632">
        <v>0</v>
      </c>
      <c r="AC4632" t="s">
        <v>115</v>
      </c>
      <c r="AD4632">
        <v>2</v>
      </c>
      <c r="AE4632" t="s">
        <v>115</v>
      </c>
      <c r="AF4632">
        <v>0</v>
      </c>
      <c r="AG4632">
        <v>0</v>
      </c>
      <c r="AH4632" t="s">
        <v>116</v>
      </c>
      <c r="AI4632" s="1">
        <v>32636</v>
      </c>
      <c r="AJ4632" s="2">
        <v>0.11</v>
      </c>
      <c r="AK4632" s="1">
        <v>286398</v>
      </c>
      <c r="AL4632" t="s">
        <v>117</v>
      </c>
      <c r="AM4632" t="s">
        <v>118</v>
      </c>
      <c r="AN4632">
        <v>10754</v>
      </c>
      <c r="AO4632">
        <v>0.25</v>
      </c>
      <c r="AP4632">
        <v>1</v>
      </c>
      <c r="AR4632">
        <v>1</v>
      </c>
      <c r="AS4632" s="1">
        <v>19750</v>
      </c>
      <c r="AT4632" s="1">
        <v>3950</v>
      </c>
      <c r="AU4632" s="1">
        <v>15800</v>
      </c>
      <c r="AV4632">
        <v>80</v>
      </c>
      <c r="AX4632" s="1">
        <v>1839.22</v>
      </c>
      <c r="AY4632" t="s">
        <v>1246</v>
      </c>
      <c r="AZ4632" t="s">
        <v>1246</v>
      </c>
      <c r="BA4632" t="s">
        <v>1247</v>
      </c>
      <c r="BE4632" s="3">
        <v>42152</v>
      </c>
      <c r="BF4632" s="1">
        <v>214000</v>
      </c>
      <c r="BG4632" t="s">
        <v>29055</v>
      </c>
      <c r="BH4632" s="1">
        <v>115.43</v>
      </c>
      <c r="BI4632" s="1">
        <v>253762</v>
      </c>
      <c r="BJ4632" s="3">
        <v>43202</v>
      </c>
      <c r="BK4632" t="s">
        <v>123</v>
      </c>
      <c r="BL4632" t="str">
        <f>"2018.275030"</f>
        <v>2018.275030</v>
      </c>
      <c r="BM4632" t="s">
        <v>22110</v>
      </c>
      <c r="BN4632" t="s">
        <v>2398</v>
      </c>
      <c r="BO4632" t="s">
        <v>29056</v>
      </c>
      <c r="BP4632" t="s">
        <v>29057</v>
      </c>
      <c r="BR4632" t="s">
        <v>139</v>
      </c>
      <c r="BW4632" t="str">
        <f>""</f>
        <v/>
      </c>
      <c r="CH4632" t="str">
        <f>""</f>
        <v/>
      </c>
      <c r="CS4632" t="str">
        <f>""</f>
        <v/>
      </c>
    </row>
    <row r="4633" spans="1:97" x14ac:dyDescent="0.25">
      <c r="A4633" t="s">
        <v>3580</v>
      </c>
      <c r="B4633" t="s">
        <v>29058</v>
      </c>
      <c r="C4633" t="s">
        <v>9706</v>
      </c>
      <c r="D4633" t="s">
        <v>29058</v>
      </c>
      <c r="E4633" t="s">
        <v>29059</v>
      </c>
      <c r="F4633" t="s">
        <v>108</v>
      </c>
      <c r="H4633" t="s">
        <v>29060</v>
      </c>
      <c r="I4633" t="s">
        <v>167</v>
      </c>
      <c r="J4633" t="s">
        <v>111</v>
      </c>
      <c r="K4633" t="str">
        <f>"85339"</f>
        <v>85339</v>
      </c>
      <c r="L4633" t="s">
        <v>3758</v>
      </c>
      <c r="M4633" t="s">
        <v>29060</v>
      </c>
      <c r="N4633" t="s">
        <v>167</v>
      </c>
      <c r="O4633" t="s">
        <v>111</v>
      </c>
      <c r="P4633" t="str">
        <f>"85339-2012"</f>
        <v>85339-2012</v>
      </c>
      <c r="Q4633" t="s">
        <v>113</v>
      </c>
      <c r="R4633" t="str">
        <f>"300-77-008-K"</f>
        <v>300-77-008-K</v>
      </c>
      <c r="S4633" t="s">
        <v>29061</v>
      </c>
      <c r="T4633" t="s">
        <v>29062</v>
      </c>
      <c r="U4633">
        <v>2369</v>
      </c>
      <c r="V4633">
        <v>0</v>
      </c>
      <c r="W4633">
        <v>2</v>
      </c>
      <c r="X4633">
        <v>1984</v>
      </c>
      <c r="Z4633">
        <v>1</v>
      </c>
      <c r="AB4633">
        <v>0</v>
      </c>
      <c r="AC4633" t="s">
        <v>5188</v>
      </c>
      <c r="AD4633">
        <v>2</v>
      </c>
      <c r="AE4633" t="s">
        <v>5188</v>
      </c>
      <c r="AF4633">
        <v>0</v>
      </c>
      <c r="AG4633">
        <v>0</v>
      </c>
      <c r="AH4633" t="s">
        <v>116</v>
      </c>
      <c r="AI4633" s="1">
        <v>125381</v>
      </c>
      <c r="AJ4633" s="2">
        <v>0.26</v>
      </c>
      <c r="AK4633" s="1">
        <v>486746</v>
      </c>
      <c r="AL4633" t="s">
        <v>117</v>
      </c>
      <c r="AM4633" t="s">
        <v>376</v>
      </c>
      <c r="AN4633">
        <v>140089</v>
      </c>
      <c r="AO4633">
        <v>3.22</v>
      </c>
      <c r="AP4633">
        <v>1</v>
      </c>
      <c r="AR4633">
        <v>1</v>
      </c>
      <c r="AS4633" s="1">
        <v>35500</v>
      </c>
      <c r="AT4633" s="1">
        <v>7100</v>
      </c>
      <c r="AU4633" s="1">
        <v>28400</v>
      </c>
      <c r="AV4633">
        <v>80</v>
      </c>
      <c r="AX4633" s="1">
        <v>4390.3599999999997</v>
      </c>
      <c r="AY4633" t="s">
        <v>806</v>
      </c>
      <c r="AZ4633" t="s">
        <v>806</v>
      </c>
      <c r="BA4633" t="s">
        <v>173</v>
      </c>
      <c r="BE4633" s="3">
        <v>41802</v>
      </c>
      <c r="BF4633" s="1">
        <v>380000</v>
      </c>
      <c r="BG4633" t="s">
        <v>29063</v>
      </c>
      <c r="BH4633" s="1">
        <v>160.41</v>
      </c>
      <c r="BI4633" s="1">
        <v>361365</v>
      </c>
      <c r="BJ4633" s="3">
        <v>42570</v>
      </c>
      <c r="BK4633" t="s">
        <v>123</v>
      </c>
      <c r="BL4633" t="str">
        <f>"2016.506893"</f>
        <v>2016.506893</v>
      </c>
      <c r="BM4633" t="s">
        <v>402</v>
      </c>
      <c r="BO4633" t="s">
        <v>29064</v>
      </c>
      <c r="BS4633">
        <v>28</v>
      </c>
      <c r="BW4633" t="str">
        <f>""</f>
        <v/>
      </c>
      <c r="CH4633" t="str">
        <f>""</f>
        <v/>
      </c>
      <c r="CS4633" t="str">
        <f>""</f>
        <v/>
      </c>
    </row>
    <row r="4634" spans="1:97" x14ac:dyDescent="0.25">
      <c r="A4634" t="s">
        <v>325</v>
      </c>
      <c r="B4634" t="s">
        <v>27527</v>
      </c>
      <c r="E4634" t="s">
        <v>29065</v>
      </c>
      <c r="F4634" t="s">
        <v>108</v>
      </c>
      <c r="H4634" t="s">
        <v>29066</v>
      </c>
      <c r="I4634" t="s">
        <v>390</v>
      </c>
      <c r="J4634" t="s">
        <v>111</v>
      </c>
      <c r="K4634" t="str">
        <f>"85086"</f>
        <v>85086</v>
      </c>
      <c r="L4634" t="s">
        <v>1586</v>
      </c>
      <c r="M4634" t="s">
        <v>29066</v>
      </c>
      <c r="N4634" t="s">
        <v>390</v>
      </c>
      <c r="O4634" t="s">
        <v>111</v>
      </c>
      <c r="P4634" t="str">
        <f>"85086-9601"</f>
        <v>85086-9601</v>
      </c>
      <c r="R4634" t="str">
        <f>"211-51-009-J"</f>
        <v>211-51-009-J</v>
      </c>
      <c r="U4634">
        <v>1551</v>
      </c>
      <c r="V4634">
        <v>0</v>
      </c>
      <c r="W4634">
        <v>3</v>
      </c>
      <c r="X4634">
        <v>1998</v>
      </c>
      <c r="Z4634">
        <v>1</v>
      </c>
      <c r="AB4634">
        <v>0</v>
      </c>
      <c r="AC4634" t="s">
        <v>115</v>
      </c>
      <c r="AD4634">
        <v>2</v>
      </c>
      <c r="AE4634" t="s">
        <v>115</v>
      </c>
      <c r="AF4634">
        <v>0</v>
      </c>
      <c r="AG4634">
        <v>0</v>
      </c>
      <c r="AH4634" t="s">
        <v>116</v>
      </c>
      <c r="AI4634" s="1">
        <v>15848</v>
      </c>
      <c r="AJ4634" s="2">
        <v>0.04</v>
      </c>
      <c r="AK4634" s="1">
        <v>365848</v>
      </c>
      <c r="AL4634" t="s">
        <v>117</v>
      </c>
      <c r="AM4634" t="s">
        <v>376</v>
      </c>
      <c r="AN4634">
        <v>46563</v>
      </c>
      <c r="AO4634">
        <v>1.07</v>
      </c>
      <c r="AP4634">
        <v>1</v>
      </c>
      <c r="AR4634">
        <v>1</v>
      </c>
      <c r="AS4634" s="1">
        <v>25110</v>
      </c>
      <c r="AT4634" s="1">
        <v>5020</v>
      </c>
      <c r="AU4634" s="1">
        <v>20090</v>
      </c>
      <c r="AV4634">
        <v>80.010000000000005</v>
      </c>
      <c r="AX4634" s="1">
        <v>2112.6799999999998</v>
      </c>
      <c r="AY4634" t="s">
        <v>1587</v>
      </c>
      <c r="AZ4634" t="s">
        <v>1587</v>
      </c>
      <c r="BA4634" t="s">
        <v>378</v>
      </c>
      <c r="BE4634" s="3">
        <v>42460</v>
      </c>
      <c r="BF4634" s="1">
        <v>350000</v>
      </c>
      <c r="BG4634" t="s">
        <v>29067</v>
      </c>
      <c r="BH4634" s="1">
        <v>225.66</v>
      </c>
      <c r="BI4634" s="1">
        <v>350000</v>
      </c>
      <c r="BJ4634" s="3">
        <v>42460</v>
      </c>
      <c r="BK4634" t="s">
        <v>123</v>
      </c>
      <c r="BL4634" t="str">
        <f>"2016.212125"</f>
        <v>2016.212125</v>
      </c>
      <c r="BM4634" t="s">
        <v>544</v>
      </c>
      <c r="BN4634" t="s">
        <v>545</v>
      </c>
      <c r="BO4634" t="s">
        <v>29068</v>
      </c>
      <c r="BS4634">
        <v>30</v>
      </c>
      <c r="BW4634" t="str">
        <f>""</f>
        <v/>
      </c>
      <c r="CH4634" t="str">
        <f>""</f>
        <v/>
      </c>
      <c r="CS4634" t="str">
        <f>""</f>
        <v/>
      </c>
    </row>
    <row r="4635" spans="1:97" x14ac:dyDescent="0.25">
      <c r="A4635" t="s">
        <v>1444</v>
      </c>
      <c r="B4635" t="s">
        <v>29069</v>
      </c>
      <c r="E4635" t="s">
        <v>29070</v>
      </c>
      <c r="F4635" t="s">
        <v>108</v>
      </c>
      <c r="H4635" t="s">
        <v>29071</v>
      </c>
      <c r="I4635" t="s">
        <v>390</v>
      </c>
      <c r="J4635" t="s">
        <v>111</v>
      </c>
      <c r="K4635" t="str">
        <f>"85086"</f>
        <v>85086</v>
      </c>
      <c r="L4635" t="s">
        <v>4698</v>
      </c>
      <c r="M4635" t="s">
        <v>29071</v>
      </c>
      <c r="N4635" t="s">
        <v>390</v>
      </c>
      <c r="O4635" t="s">
        <v>111</v>
      </c>
      <c r="P4635" t="str">
        <f>"85086-2242"</f>
        <v>85086-2242</v>
      </c>
      <c r="Q4635" t="s">
        <v>113</v>
      </c>
      <c r="R4635" t="str">
        <f>"203-26-505"</f>
        <v>203-26-505</v>
      </c>
      <c r="S4635" t="s">
        <v>21132</v>
      </c>
      <c r="U4635">
        <v>2350</v>
      </c>
      <c r="V4635">
        <v>0</v>
      </c>
      <c r="W4635">
        <v>3</v>
      </c>
      <c r="X4635">
        <v>2002</v>
      </c>
      <c r="Z4635">
        <v>1</v>
      </c>
      <c r="AA4635" t="s">
        <v>26</v>
      </c>
      <c r="AB4635">
        <v>0</v>
      </c>
      <c r="AC4635" t="s">
        <v>115</v>
      </c>
      <c r="AD4635">
        <v>3</v>
      </c>
      <c r="AE4635" t="s">
        <v>115</v>
      </c>
      <c r="AF4635">
        <v>0</v>
      </c>
      <c r="AG4635">
        <v>0</v>
      </c>
      <c r="AH4635" t="s">
        <v>116</v>
      </c>
      <c r="AI4635" s="1">
        <v>43359</v>
      </c>
      <c r="AJ4635" s="2">
        <v>0.11</v>
      </c>
      <c r="AK4635" s="1">
        <v>389414</v>
      </c>
      <c r="AL4635" t="s">
        <v>117</v>
      </c>
      <c r="AM4635" t="s">
        <v>1302</v>
      </c>
      <c r="AN4635">
        <v>9045</v>
      </c>
      <c r="AO4635">
        <v>0.21</v>
      </c>
      <c r="AP4635">
        <v>1</v>
      </c>
      <c r="AR4635">
        <v>1</v>
      </c>
      <c r="AS4635" s="1">
        <v>28610</v>
      </c>
      <c r="AT4635" s="1">
        <v>5720</v>
      </c>
      <c r="AU4635" s="1">
        <v>22890</v>
      </c>
      <c r="AV4635">
        <v>80.010000000000005</v>
      </c>
      <c r="AX4635" s="1">
        <v>2700.98</v>
      </c>
      <c r="AY4635" t="s">
        <v>8639</v>
      </c>
      <c r="AZ4635" t="s">
        <v>8639</v>
      </c>
      <c r="BA4635" t="s">
        <v>378</v>
      </c>
      <c r="BE4635" s="3">
        <v>42346</v>
      </c>
      <c r="BF4635" s="1">
        <v>335000</v>
      </c>
      <c r="BG4635" t="s">
        <v>29072</v>
      </c>
      <c r="BH4635" s="1">
        <v>142.55000000000001</v>
      </c>
      <c r="BI4635" s="1">
        <v>346055</v>
      </c>
      <c r="BJ4635" s="3">
        <v>42346</v>
      </c>
      <c r="BK4635" t="s">
        <v>123</v>
      </c>
      <c r="BL4635" t="str">
        <f>"2015.868694"</f>
        <v>2015.868694</v>
      </c>
      <c r="BM4635" t="s">
        <v>2472</v>
      </c>
      <c r="BO4635" t="s">
        <v>29073</v>
      </c>
      <c r="BS4635">
        <v>30</v>
      </c>
      <c r="BW4635" t="str">
        <f>""</f>
        <v/>
      </c>
      <c r="CH4635" t="str">
        <f>""</f>
        <v/>
      </c>
      <c r="CS4635" t="str">
        <f>""</f>
        <v/>
      </c>
    </row>
    <row r="4636" spans="1:97" x14ac:dyDescent="0.25">
      <c r="A4636" t="s">
        <v>2201</v>
      </c>
      <c r="B4636" t="s">
        <v>29074</v>
      </c>
      <c r="E4636" t="s">
        <v>29075</v>
      </c>
      <c r="F4636" t="s">
        <v>108</v>
      </c>
      <c r="H4636" t="s">
        <v>29076</v>
      </c>
      <c r="I4636" t="s">
        <v>390</v>
      </c>
      <c r="J4636" t="s">
        <v>111</v>
      </c>
      <c r="K4636" t="str">
        <f>"85041"</f>
        <v>85041</v>
      </c>
      <c r="L4636" t="s">
        <v>5709</v>
      </c>
      <c r="M4636" t="s">
        <v>29076</v>
      </c>
      <c r="N4636" t="s">
        <v>390</v>
      </c>
      <c r="O4636" t="s">
        <v>111</v>
      </c>
      <c r="P4636" t="str">
        <f>"85041-4973"</f>
        <v>85041-4973</v>
      </c>
      <c r="Q4636" t="s">
        <v>113</v>
      </c>
      <c r="R4636" t="str">
        <f>"105-90-370"</f>
        <v>105-90-370</v>
      </c>
      <c r="S4636" t="s">
        <v>12983</v>
      </c>
      <c r="T4636" t="s">
        <v>12983</v>
      </c>
      <c r="U4636">
        <v>3646</v>
      </c>
      <c r="V4636">
        <v>0</v>
      </c>
      <c r="W4636">
        <v>4</v>
      </c>
      <c r="X4636">
        <v>2005</v>
      </c>
      <c r="Z4636">
        <v>2</v>
      </c>
      <c r="AA4636" t="s">
        <v>26</v>
      </c>
      <c r="AB4636">
        <v>0</v>
      </c>
      <c r="AC4636" t="s">
        <v>115</v>
      </c>
      <c r="AD4636">
        <v>2</v>
      </c>
      <c r="AE4636" t="s">
        <v>115</v>
      </c>
      <c r="AF4636">
        <v>0</v>
      </c>
      <c r="AG4636">
        <v>0</v>
      </c>
      <c r="AH4636" t="s">
        <v>116</v>
      </c>
      <c r="AI4636" s="1">
        <v>64368</v>
      </c>
      <c r="AJ4636" s="2">
        <v>0.18</v>
      </c>
      <c r="AK4636" s="1">
        <v>355597</v>
      </c>
      <c r="AL4636" t="s">
        <v>117</v>
      </c>
      <c r="AM4636" t="s">
        <v>171</v>
      </c>
      <c r="AN4636">
        <v>6050</v>
      </c>
      <c r="AO4636">
        <v>0.14000000000000001</v>
      </c>
      <c r="AR4636">
        <v>1</v>
      </c>
      <c r="AS4636" s="1">
        <v>24960</v>
      </c>
      <c r="AT4636" s="1">
        <v>4990</v>
      </c>
      <c r="AU4636" s="1">
        <v>19970</v>
      </c>
      <c r="AV4636">
        <v>80.010000000000005</v>
      </c>
      <c r="AX4636" s="1">
        <v>2620.1999999999998</v>
      </c>
      <c r="AY4636" t="s">
        <v>12984</v>
      </c>
      <c r="AZ4636" t="s">
        <v>12984</v>
      </c>
      <c r="BA4636" t="s">
        <v>1661</v>
      </c>
      <c r="BB4636" s="3">
        <v>43557</v>
      </c>
      <c r="BC4636" s="1">
        <v>0</v>
      </c>
      <c r="BD4636" t="s">
        <v>247</v>
      </c>
      <c r="BE4636" s="3">
        <v>41873</v>
      </c>
      <c r="BF4636" s="1">
        <v>242000</v>
      </c>
      <c r="BG4636" t="s">
        <v>29077</v>
      </c>
      <c r="BH4636" s="1">
        <v>66.37</v>
      </c>
      <c r="BI4636" s="1">
        <v>256257</v>
      </c>
      <c r="BJ4636" s="3">
        <v>42072</v>
      </c>
      <c r="BK4636" t="s">
        <v>123</v>
      </c>
      <c r="BL4636" t="str">
        <f>"2015.156108"</f>
        <v>2015.156108</v>
      </c>
      <c r="BM4636" t="s">
        <v>544</v>
      </c>
      <c r="BN4636" t="s">
        <v>545</v>
      </c>
      <c r="BO4636" t="s">
        <v>29078</v>
      </c>
      <c r="BP4636" t="s">
        <v>29079</v>
      </c>
      <c r="BS4636">
        <v>30</v>
      </c>
      <c r="BT4636" s="1">
        <v>34972</v>
      </c>
      <c r="BU4636" s="3">
        <v>43578</v>
      </c>
      <c r="BW4636" t="str">
        <f>"2019.287475"</f>
        <v>2019.287475</v>
      </c>
      <c r="BX4636" t="s">
        <v>29080</v>
      </c>
      <c r="BY4636" t="s">
        <v>29081</v>
      </c>
      <c r="BZ4636" t="s">
        <v>29082</v>
      </c>
      <c r="CC4636" t="s">
        <v>346</v>
      </c>
      <c r="CH4636" t="str">
        <f>""</f>
        <v/>
      </c>
      <c r="CS4636" t="str">
        <f>""</f>
        <v/>
      </c>
    </row>
    <row r="4637" spans="1:97" x14ac:dyDescent="0.25">
      <c r="A4637" t="s">
        <v>12062</v>
      </c>
      <c r="B4637" t="s">
        <v>29083</v>
      </c>
      <c r="C4637" t="s">
        <v>484</v>
      </c>
      <c r="D4637" t="s">
        <v>29083</v>
      </c>
      <c r="E4637" t="s">
        <v>29084</v>
      </c>
      <c r="F4637" t="s">
        <v>108</v>
      </c>
      <c r="H4637" t="s">
        <v>29085</v>
      </c>
      <c r="I4637" t="s">
        <v>5387</v>
      </c>
      <c r="J4637" t="s">
        <v>111</v>
      </c>
      <c r="K4637" t="str">
        <f>"85283"</f>
        <v>85283</v>
      </c>
      <c r="L4637" t="s">
        <v>15475</v>
      </c>
      <c r="M4637" t="s">
        <v>29085</v>
      </c>
      <c r="N4637" t="s">
        <v>5387</v>
      </c>
      <c r="O4637" t="s">
        <v>111</v>
      </c>
      <c r="P4637" t="str">
        <f>"85283-4229"</f>
        <v>85283-4229</v>
      </c>
      <c r="Q4637" t="s">
        <v>113</v>
      </c>
      <c r="R4637" t="str">
        <f>"301-49-030"</f>
        <v>301-49-030</v>
      </c>
      <c r="S4637" t="s">
        <v>29086</v>
      </c>
      <c r="T4637" t="s">
        <v>11352</v>
      </c>
      <c r="U4637">
        <v>2648</v>
      </c>
      <c r="V4637">
        <v>0</v>
      </c>
      <c r="W4637">
        <v>3</v>
      </c>
      <c r="X4637">
        <v>1978</v>
      </c>
      <c r="Z4637">
        <v>1</v>
      </c>
      <c r="AA4637" t="s">
        <v>26</v>
      </c>
      <c r="AB4637">
        <v>0</v>
      </c>
      <c r="AC4637" t="s">
        <v>115</v>
      </c>
      <c r="AD4637">
        <v>2</v>
      </c>
      <c r="AE4637" t="s">
        <v>115</v>
      </c>
      <c r="AF4637">
        <v>0</v>
      </c>
      <c r="AG4637">
        <v>0</v>
      </c>
      <c r="AH4637" t="s">
        <v>116</v>
      </c>
      <c r="AI4637" s="1">
        <v>79464</v>
      </c>
      <c r="AJ4637" s="2">
        <v>0.16</v>
      </c>
      <c r="AK4637" s="1">
        <v>483464</v>
      </c>
      <c r="AL4637" t="s">
        <v>117</v>
      </c>
      <c r="AM4637" t="s">
        <v>393</v>
      </c>
      <c r="AN4637">
        <v>12532</v>
      </c>
      <c r="AO4637">
        <v>0.28999999999999998</v>
      </c>
      <c r="AP4637">
        <v>1</v>
      </c>
      <c r="AR4637">
        <v>1</v>
      </c>
      <c r="AS4637" s="1">
        <v>35210</v>
      </c>
      <c r="AT4637" s="1">
        <v>7040</v>
      </c>
      <c r="AU4637" s="1">
        <v>28170</v>
      </c>
      <c r="AV4637">
        <v>80.010000000000005</v>
      </c>
      <c r="AX4637" s="1">
        <v>3212.28</v>
      </c>
      <c r="AY4637" t="s">
        <v>5390</v>
      </c>
      <c r="AZ4637" t="s">
        <v>5391</v>
      </c>
      <c r="BA4637" t="s">
        <v>5392</v>
      </c>
      <c r="BE4637" s="3">
        <v>42382</v>
      </c>
      <c r="BF4637" s="1">
        <v>428000</v>
      </c>
      <c r="BG4637" t="s">
        <v>29087</v>
      </c>
      <c r="BH4637" s="1">
        <v>161.63</v>
      </c>
      <c r="BI4637" s="1">
        <v>404000</v>
      </c>
      <c r="BJ4637" s="3">
        <v>42382</v>
      </c>
      <c r="BK4637" t="s">
        <v>123</v>
      </c>
      <c r="BL4637" t="str">
        <f>"2016.22378"</f>
        <v>2016.22378</v>
      </c>
      <c r="BM4637" t="s">
        <v>7531</v>
      </c>
      <c r="BO4637" t="s">
        <v>29088</v>
      </c>
      <c r="BS4637">
        <v>30</v>
      </c>
      <c r="BW4637" t="str">
        <f>""</f>
        <v/>
      </c>
      <c r="CH4637" t="str">
        <f>""</f>
        <v/>
      </c>
      <c r="CS4637" t="str">
        <f>""</f>
        <v/>
      </c>
    </row>
    <row r="4638" spans="1:97" x14ac:dyDescent="0.25">
      <c r="A4638" t="s">
        <v>1444</v>
      </c>
      <c r="B4638" t="s">
        <v>29089</v>
      </c>
      <c r="C4638" t="s">
        <v>10962</v>
      </c>
      <c r="D4638" t="s">
        <v>29089</v>
      </c>
      <c r="E4638" t="s">
        <v>29090</v>
      </c>
      <c r="F4638" t="s">
        <v>108</v>
      </c>
      <c r="H4638" t="s">
        <v>29091</v>
      </c>
      <c r="I4638" t="s">
        <v>632</v>
      </c>
      <c r="J4638" t="s">
        <v>111</v>
      </c>
      <c r="K4638" t="str">
        <f>"85379"</f>
        <v>85379</v>
      </c>
      <c r="L4638" t="s">
        <v>7109</v>
      </c>
      <c r="M4638" t="s">
        <v>29091</v>
      </c>
      <c r="N4638" t="s">
        <v>632</v>
      </c>
      <c r="O4638" t="s">
        <v>111</v>
      </c>
      <c r="P4638" t="str">
        <f>"85379-5922"</f>
        <v>85379-5922</v>
      </c>
      <c r="Q4638" t="s">
        <v>113</v>
      </c>
      <c r="R4638" t="str">
        <f>"501-39-464"</f>
        <v>501-39-464</v>
      </c>
      <c r="S4638" t="s">
        <v>9613</v>
      </c>
      <c r="U4638">
        <v>2112</v>
      </c>
      <c r="V4638">
        <v>0</v>
      </c>
      <c r="W4638">
        <v>2</v>
      </c>
      <c r="X4638">
        <v>2003</v>
      </c>
      <c r="Z4638">
        <v>1</v>
      </c>
      <c r="AB4638">
        <v>0</v>
      </c>
      <c r="AC4638" t="s">
        <v>115</v>
      </c>
      <c r="AD4638">
        <v>2</v>
      </c>
      <c r="AE4638" t="s">
        <v>115</v>
      </c>
      <c r="AF4638">
        <v>0</v>
      </c>
      <c r="AG4638">
        <v>0</v>
      </c>
      <c r="AH4638" t="s">
        <v>116</v>
      </c>
      <c r="AI4638" s="1">
        <v>53063</v>
      </c>
      <c r="AJ4638" s="2">
        <v>0.2</v>
      </c>
      <c r="AK4638" s="1">
        <v>262470</v>
      </c>
      <c r="AL4638" t="s">
        <v>117</v>
      </c>
      <c r="AM4638" t="s">
        <v>118</v>
      </c>
      <c r="AN4638">
        <v>6120</v>
      </c>
      <c r="AO4638">
        <v>0.14000000000000001</v>
      </c>
      <c r="AP4638">
        <v>1</v>
      </c>
      <c r="AR4638">
        <v>1</v>
      </c>
      <c r="AS4638" s="1">
        <v>17670</v>
      </c>
      <c r="AT4638" s="1">
        <v>3530</v>
      </c>
      <c r="AU4638" s="1">
        <v>14140</v>
      </c>
      <c r="AV4638">
        <v>80.02</v>
      </c>
      <c r="AX4638" s="1">
        <v>1353.08</v>
      </c>
      <c r="AY4638" t="s">
        <v>634</v>
      </c>
      <c r="AZ4638" t="s">
        <v>634</v>
      </c>
      <c r="BA4638" t="s">
        <v>635</v>
      </c>
      <c r="BE4638" s="3">
        <v>42356</v>
      </c>
      <c r="BF4638" s="1">
        <v>205000</v>
      </c>
      <c r="BG4638" t="s">
        <v>29092</v>
      </c>
      <c r="BH4638" s="1">
        <v>97.06</v>
      </c>
      <c r="BI4638" s="1">
        <v>209407</v>
      </c>
      <c r="BJ4638" s="3">
        <v>42356</v>
      </c>
      <c r="BK4638" t="s">
        <v>123</v>
      </c>
      <c r="BL4638" t="str">
        <f>"2015.894272"</f>
        <v>2015.894272</v>
      </c>
      <c r="BM4638" t="s">
        <v>6761</v>
      </c>
      <c r="BO4638" t="s">
        <v>29093</v>
      </c>
      <c r="BS4638">
        <v>30</v>
      </c>
      <c r="BW4638" t="str">
        <f>""</f>
        <v/>
      </c>
      <c r="CH4638" t="str">
        <f>""</f>
        <v/>
      </c>
      <c r="CS4638" t="str">
        <f>""</f>
        <v/>
      </c>
    </row>
    <row r="4639" spans="1:97" x14ac:dyDescent="0.25">
      <c r="A4639" t="s">
        <v>3001</v>
      </c>
      <c r="B4639" t="s">
        <v>327</v>
      </c>
      <c r="C4639" t="s">
        <v>767</v>
      </c>
      <c r="D4639" t="s">
        <v>327</v>
      </c>
      <c r="E4639" t="s">
        <v>29094</v>
      </c>
      <c r="F4639" t="s">
        <v>108</v>
      </c>
      <c r="H4639" t="s">
        <v>29095</v>
      </c>
      <c r="I4639" t="s">
        <v>1936</v>
      </c>
      <c r="J4639" t="s">
        <v>111</v>
      </c>
      <c r="K4639" t="str">
        <f>"85258"</f>
        <v>85258</v>
      </c>
      <c r="L4639" t="s">
        <v>9069</v>
      </c>
      <c r="M4639" t="s">
        <v>29095</v>
      </c>
      <c r="N4639" t="s">
        <v>1936</v>
      </c>
      <c r="O4639" t="s">
        <v>111</v>
      </c>
      <c r="P4639" t="str">
        <f>"85258-1136"</f>
        <v>85258-1136</v>
      </c>
      <c r="Q4639" t="s">
        <v>113</v>
      </c>
      <c r="R4639" t="str">
        <f>"175-47-075"</f>
        <v>175-47-075</v>
      </c>
      <c r="S4639" t="s">
        <v>29096</v>
      </c>
      <c r="T4639" t="s">
        <v>29097</v>
      </c>
      <c r="U4639">
        <v>2238</v>
      </c>
      <c r="V4639">
        <v>0</v>
      </c>
      <c r="W4639">
        <v>3</v>
      </c>
      <c r="X4639">
        <v>1982</v>
      </c>
      <c r="Z4639">
        <v>1</v>
      </c>
      <c r="AA4639" t="s">
        <v>26</v>
      </c>
      <c r="AB4639">
        <v>0</v>
      </c>
      <c r="AC4639" t="s">
        <v>115</v>
      </c>
      <c r="AD4639">
        <v>2</v>
      </c>
      <c r="AE4639" t="s">
        <v>115</v>
      </c>
      <c r="AF4639">
        <v>0</v>
      </c>
      <c r="AG4639">
        <v>0</v>
      </c>
      <c r="AH4639" t="s">
        <v>116</v>
      </c>
      <c r="AI4639" s="1">
        <v>209069</v>
      </c>
      <c r="AJ4639" s="2">
        <v>0.34</v>
      </c>
      <c r="AK4639" s="1">
        <v>614084</v>
      </c>
      <c r="AL4639" t="s">
        <v>117</v>
      </c>
      <c r="AM4639" t="s">
        <v>616</v>
      </c>
      <c r="AN4639">
        <v>9900</v>
      </c>
      <c r="AO4639">
        <v>0.23</v>
      </c>
      <c r="AP4639">
        <v>1</v>
      </c>
      <c r="AR4639">
        <v>1</v>
      </c>
      <c r="AS4639" s="1">
        <v>44450</v>
      </c>
      <c r="AT4639" s="1">
        <v>8890</v>
      </c>
      <c r="AU4639" s="1">
        <v>35560</v>
      </c>
      <c r="AV4639">
        <v>80</v>
      </c>
      <c r="AX4639" s="1">
        <v>2920.32</v>
      </c>
      <c r="AY4639" t="s">
        <v>14284</v>
      </c>
      <c r="AZ4639" t="s">
        <v>8949</v>
      </c>
      <c r="BA4639" t="s">
        <v>7868</v>
      </c>
      <c r="BB4639" s="3">
        <v>42635</v>
      </c>
      <c r="BD4639" t="s">
        <v>458</v>
      </c>
      <c r="BE4639" s="3">
        <v>41835</v>
      </c>
      <c r="BF4639" s="1">
        <v>434900</v>
      </c>
      <c r="BG4639" t="s">
        <v>7942</v>
      </c>
      <c r="BH4639" s="1">
        <v>194.33</v>
      </c>
      <c r="BI4639" s="1">
        <v>405015</v>
      </c>
      <c r="BJ4639" s="3">
        <v>42635</v>
      </c>
      <c r="BK4639" t="s">
        <v>123</v>
      </c>
      <c r="BL4639" t="str">
        <f>"2016.690437"</f>
        <v>2016.690437</v>
      </c>
      <c r="BM4639" t="s">
        <v>1915</v>
      </c>
      <c r="BO4639" t="s">
        <v>29098</v>
      </c>
      <c r="BS4639">
        <v>30</v>
      </c>
      <c r="BW4639" t="str">
        <f>""</f>
        <v/>
      </c>
      <c r="CH4639" t="str">
        <f>""</f>
        <v/>
      </c>
      <c r="CS4639" t="str">
        <f>""</f>
        <v/>
      </c>
    </row>
    <row r="4640" spans="1:97" x14ac:dyDescent="0.25">
      <c r="A4640" t="s">
        <v>305</v>
      </c>
      <c r="B4640" t="s">
        <v>603</v>
      </c>
      <c r="C4640" t="s">
        <v>1930</v>
      </c>
      <c r="D4640" t="s">
        <v>603</v>
      </c>
      <c r="E4640" t="s">
        <v>29099</v>
      </c>
      <c r="F4640" t="s">
        <v>108</v>
      </c>
      <c r="H4640" t="s">
        <v>29100</v>
      </c>
      <c r="I4640" t="s">
        <v>188</v>
      </c>
      <c r="J4640" t="s">
        <v>111</v>
      </c>
      <c r="K4640" t="str">
        <f>"85142"</f>
        <v>85142</v>
      </c>
      <c r="L4640" t="s">
        <v>5893</v>
      </c>
      <c r="M4640" t="s">
        <v>29100</v>
      </c>
      <c r="N4640" t="s">
        <v>188</v>
      </c>
      <c r="O4640" t="s">
        <v>111</v>
      </c>
      <c r="P4640" t="str">
        <f>"85142-4825"</f>
        <v>85142-4825</v>
      </c>
      <c r="Q4640" t="s">
        <v>113</v>
      </c>
      <c r="R4640" t="str">
        <f>"314-04-669"</f>
        <v>314-04-669</v>
      </c>
      <c r="S4640" t="s">
        <v>5894</v>
      </c>
      <c r="T4640" t="s">
        <v>5894</v>
      </c>
      <c r="U4640">
        <v>1718</v>
      </c>
      <c r="V4640">
        <v>0</v>
      </c>
      <c r="W4640">
        <v>3</v>
      </c>
      <c r="X4640">
        <v>2016</v>
      </c>
      <c r="Z4640">
        <v>1</v>
      </c>
      <c r="AA4640" t="s">
        <v>26</v>
      </c>
      <c r="AB4640">
        <v>0</v>
      </c>
      <c r="AC4640" t="s">
        <v>115</v>
      </c>
      <c r="AD4640">
        <v>3</v>
      </c>
      <c r="AE4640" t="s">
        <v>115</v>
      </c>
      <c r="AF4640">
        <v>0</v>
      </c>
      <c r="AG4640">
        <v>0</v>
      </c>
      <c r="AH4640" t="s">
        <v>116</v>
      </c>
      <c r="AI4640" s="1">
        <v>17723</v>
      </c>
      <c r="AJ4640" s="2">
        <v>0.05</v>
      </c>
      <c r="AK4640" s="1">
        <v>330998</v>
      </c>
      <c r="AL4640" t="s">
        <v>117</v>
      </c>
      <c r="AM4640" t="s">
        <v>191</v>
      </c>
      <c r="AN4640">
        <v>8327</v>
      </c>
      <c r="AO4640">
        <v>0.19</v>
      </c>
      <c r="AR4640">
        <v>1</v>
      </c>
      <c r="AS4640" s="1">
        <v>24170</v>
      </c>
      <c r="AT4640" s="1">
        <v>4830</v>
      </c>
      <c r="AU4640" s="1">
        <v>19340</v>
      </c>
      <c r="AV4640">
        <v>80.02</v>
      </c>
      <c r="AX4640" s="1">
        <v>1945.34</v>
      </c>
      <c r="AY4640" t="s">
        <v>5895</v>
      </c>
      <c r="AZ4640" t="s">
        <v>561</v>
      </c>
      <c r="BA4640" t="s">
        <v>194</v>
      </c>
      <c r="BE4640" s="3">
        <v>42551</v>
      </c>
      <c r="BF4640" s="1">
        <v>287706</v>
      </c>
      <c r="BG4640" t="s">
        <v>1079</v>
      </c>
      <c r="BH4640" s="1">
        <v>167.47</v>
      </c>
      <c r="BI4640" s="1">
        <v>287000</v>
      </c>
      <c r="BJ4640" s="3">
        <v>42704</v>
      </c>
      <c r="BK4640" t="s">
        <v>123</v>
      </c>
      <c r="BL4640" t="str">
        <f>"2016.880619"</f>
        <v>2016.880619</v>
      </c>
      <c r="BM4640" t="s">
        <v>255</v>
      </c>
      <c r="BO4640" t="s">
        <v>29101</v>
      </c>
      <c r="BS4640">
        <v>25</v>
      </c>
      <c r="BT4640" s="1">
        <v>26275</v>
      </c>
      <c r="BU4640" s="3">
        <v>42807</v>
      </c>
      <c r="BV4640" t="s">
        <v>134</v>
      </c>
      <c r="BW4640" t="str">
        <f>"2017.175639"</f>
        <v>2017.175639</v>
      </c>
      <c r="BX4640" t="s">
        <v>198</v>
      </c>
      <c r="BZ4640" t="s">
        <v>29101</v>
      </c>
      <c r="CD4640">
        <v>10</v>
      </c>
      <c r="CH4640" t="str">
        <f>""</f>
        <v/>
      </c>
      <c r="CS4640" t="str">
        <f>""</f>
        <v/>
      </c>
    </row>
    <row r="4641" spans="1:97" x14ac:dyDescent="0.25">
      <c r="A4641" t="s">
        <v>701</v>
      </c>
      <c r="B4641" t="s">
        <v>29102</v>
      </c>
      <c r="C4641" t="s">
        <v>15429</v>
      </c>
      <c r="D4641" t="s">
        <v>29102</v>
      </c>
      <c r="E4641" t="s">
        <v>29103</v>
      </c>
      <c r="F4641" t="s">
        <v>108</v>
      </c>
      <c r="H4641" t="s">
        <v>29104</v>
      </c>
      <c r="I4641" t="s">
        <v>2874</v>
      </c>
      <c r="J4641" t="s">
        <v>111</v>
      </c>
      <c r="K4641" t="str">
        <f>"85308"</f>
        <v>85308</v>
      </c>
      <c r="L4641" t="s">
        <v>7607</v>
      </c>
      <c r="M4641" t="s">
        <v>29104</v>
      </c>
      <c r="N4641" t="s">
        <v>2874</v>
      </c>
      <c r="O4641" t="s">
        <v>111</v>
      </c>
      <c r="P4641" t="str">
        <f>"85308-8985"</f>
        <v>85308-8985</v>
      </c>
      <c r="Q4641" t="s">
        <v>113</v>
      </c>
      <c r="R4641" t="str">
        <f>"200-21-481"</f>
        <v>200-21-481</v>
      </c>
      <c r="S4641" t="s">
        <v>11431</v>
      </c>
      <c r="T4641" t="s">
        <v>11431</v>
      </c>
      <c r="U4641">
        <v>2327</v>
      </c>
      <c r="V4641">
        <v>0</v>
      </c>
      <c r="W4641">
        <v>4</v>
      </c>
      <c r="X4641">
        <v>1998</v>
      </c>
      <c r="Z4641">
        <v>2</v>
      </c>
      <c r="AB4641">
        <v>0</v>
      </c>
      <c r="AC4641" t="s">
        <v>115</v>
      </c>
      <c r="AD4641">
        <v>2</v>
      </c>
      <c r="AE4641" t="s">
        <v>115</v>
      </c>
      <c r="AF4641">
        <v>0</v>
      </c>
      <c r="AG4641">
        <v>0</v>
      </c>
      <c r="AH4641" t="s">
        <v>116</v>
      </c>
      <c r="AI4641" s="1">
        <v>63509</v>
      </c>
      <c r="AJ4641" s="2">
        <v>0.16</v>
      </c>
      <c r="AK4641" s="1">
        <v>405711</v>
      </c>
      <c r="AL4641" t="s">
        <v>117</v>
      </c>
      <c r="AM4641" t="s">
        <v>191</v>
      </c>
      <c r="AN4641">
        <v>8100</v>
      </c>
      <c r="AO4641">
        <v>0.19</v>
      </c>
      <c r="AP4641">
        <v>1</v>
      </c>
      <c r="AR4641">
        <v>1</v>
      </c>
      <c r="AS4641" s="1">
        <v>29980</v>
      </c>
      <c r="AT4641" s="1">
        <v>5990</v>
      </c>
      <c r="AU4641" s="1">
        <v>23990</v>
      </c>
      <c r="AV4641">
        <v>80.02</v>
      </c>
      <c r="AX4641" s="1">
        <v>2792.74</v>
      </c>
      <c r="AY4641" t="s">
        <v>8358</v>
      </c>
      <c r="AZ4641" t="s">
        <v>8358</v>
      </c>
      <c r="BA4641" t="s">
        <v>2223</v>
      </c>
      <c r="BE4641" s="3">
        <v>42121</v>
      </c>
      <c r="BF4641" s="1">
        <v>335000</v>
      </c>
      <c r="BG4641" t="s">
        <v>29105</v>
      </c>
      <c r="BH4641" s="1">
        <v>143.96</v>
      </c>
      <c r="BI4641" s="1">
        <v>342202</v>
      </c>
      <c r="BJ4641" s="3">
        <v>42121</v>
      </c>
      <c r="BK4641" t="s">
        <v>123</v>
      </c>
      <c r="BL4641" t="str">
        <f>"2015.289012"</f>
        <v>2015.289012</v>
      </c>
      <c r="BM4641" t="s">
        <v>544</v>
      </c>
      <c r="BO4641" t="s">
        <v>29106</v>
      </c>
      <c r="BS4641">
        <v>30</v>
      </c>
      <c r="BW4641" t="str">
        <f>""</f>
        <v/>
      </c>
      <c r="CH4641" t="str">
        <f>""</f>
        <v/>
      </c>
      <c r="CS4641" t="str">
        <f>""</f>
        <v/>
      </c>
    </row>
    <row r="4642" spans="1:97" x14ac:dyDescent="0.25">
      <c r="A4642" t="s">
        <v>4327</v>
      </c>
      <c r="B4642" t="s">
        <v>3526</v>
      </c>
      <c r="C4642" t="s">
        <v>2628</v>
      </c>
      <c r="D4642" t="s">
        <v>3526</v>
      </c>
      <c r="E4642" t="s">
        <v>29107</v>
      </c>
      <c r="F4642" t="s">
        <v>108</v>
      </c>
      <c r="H4642" t="s">
        <v>29108</v>
      </c>
      <c r="I4642" t="s">
        <v>390</v>
      </c>
      <c r="J4642" t="s">
        <v>111</v>
      </c>
      <c r="K4642" t="str">
        <f>"85015"</f>
        <v>85015</v>
      </c>
      <c r="L4642" t="s">
        <v>9178</v>
      </c>
      <c r="M4642" t="s">
        <v>29108</v>
      </c>
      <c r="N4642" t="s">
        <v>390</v>
      </c>
      <c r="O4642" t="s">
        <v>111</v>
      </c>
      <c r="P4642" t="str">
        <f>"85015-2057"</f>
        <v>85015-2057</v>
      </c>
      <c r="Q4642" t="s">
        <v>113</v>
      </c>
      <c r="R4642" t="str">
        <f>"156-20-076"</f>
        <v>156-20-076</v>
      </c>
      <c r="S4642" t="s">
        <v>9179</v>
      </c>
      <c r="T4642" t="s">
        <v>9179</v>
      </c>
      <c r="U4642">
        <v>1621</v>
      </c>
      <c r="V4642">
        <v>0</v>
      </c>
      <c r="W4642">
        <v>2</v>
      </c>
      <c r="X4642">
        <v>1951</v>
      </c>
      <c r="Z4642">
        <v>1</v>
      </c>
      <c r="AB4642">
        <v>0</v>
      </c>
      <c r="AC4642" t="s">
        <v>115</v>
      </c>
      <c r="AD4642">
        <v>2</v>
      </c>
      <c r="AE4642" t="s">
        <v>115</v>
      </c>
      <c r="AF4642">
        <v>0</v>
      </c>
      <c r="AG4642">
        <v>0</v>
      </c>
      <c r="AH4642" t="s">
        <v>116</v>
      </c>
      <c r="AI4642" s="1">
        <v>34717</v>
      </c>
      <c r="AJ4642" s="2">
        <v>0.11</v>
      </c>
      <c r="AK4642" s="1">
        <v>314717</v>
      </c>
      <c r="AL4642" t="s">
        <v>117</v>
      </c>
      <c r="AM4642" t="s">
        <v>191</v>
      </c>
      <c r="AN4642">
        <v>9906</v>
      </c>
      <c r="AO4642">
        <v>0.23</v>
      </c>
      <c r="AP4642">
        <v>1</v>
      </c>
      <c r="AR4642">
        <v>1</v>
      </c>
      <c r="AS4642" s="1">
        <v>21910</v>
      </c>
      <c r="AT4642" s="1">
        <v>4380</v>
      </c>
      <c r="AU4642" s="1">
        <v>17530</v>
      </c>
      <c r="AV4642">
        <v>80.010000000000005</v>
      </c>
      <c r="AX4642" s="1">
        <v>1639.44</v>
      </c>
      <c r="AY4642" t="s">
        <v>1303</v>
      </c>
      <c r="AZ4642" t="s">
        <v>1303</v>
      </c>
      <c r="BA4642" t="s">
        <v>1304</v>
      </c>
      <c r="BE4642" s="3">
        <v>41950</v>
      </c>
      <c r="BF4642" s="1">
        <v>247500</v>
      </c>
      <c r="BG4642" t="s">
        <v>15048</v>
      </c>
      <c r="BH4642" s="1">
        <v>152.68</v>
      </c>
      <c r="BI4642" s="1">
        <v>280000</v>
      </c>
      <c r="BJ4642" s="3">
        <v>42818</v>
      </c>
      <c r="BK4642" t="s">
        <v>123</v>
      </c>
      <c r="BL4642" t="str">
        <f>"2017.208392"</f>
        <v>2017.208392</v>
      </c>
      <c r="BM4642" t="s">
        <v>402</v>
      </c>
      <c r="BO4642" t="s">
        <v>29109</v>
      </c>
      <c r="BS4642">
        <v>30</v>
      </c>
      <c r="BW4642" t="str">
        <f>""</f>
        <v/>
      </c>
      <c r="CH4642" t="str">
        <f>""</f>
        <v/>
      </c>
      <c r="CS4642" t="str">
        <f>""</f>
        <v/>
      </c>
    </row>
    <row r="4643" spans="1:97" x14ac:dyDescent="0.25">
      <c r="A4643" t="s">
        <v>894</v>
      </c>
      <c r="B4643" t="s">
        <v>29110</v>
      </c>
      <c r="C4643" t="s">
        <v>496</v>
      </c>
      <c r="D4643" t="s">
        <v>29110</v>
      </c>
      <c r="E4643" t="s">
        <v>29111</v>
      </c>
      <c r="F4643" t="s">
        <v>282</v>
      </c>
      <c r="H4643" t="s">
        <v>29112</v>
      </c>
      <c r="I4643" t="s">
        <v>453</v>
      </c>
      <c r="J4643" t="s">
        <v>111</v>
      </c>
      <c r="K4643" t="str">
        <f>"85383"</f>
        <v>85383</v>
      </c>
      <c r="L4643" t="s">
        <v>5893</v>
      </c>
      <c r="M4643" t="s">
        <v>29113</v>
      </c>
      <c r="N4643" t="s">
        <v>390</v>
      </c>
      <c r="O4643" t="s">
        <v>111</v>
      </c>
      <c r="P4643" t="str">
        <f>"85086-3259"</f>
        <v>85086-3259</v>
      </c>
      <c r="Q4643" t="s">
        <v>113</v>
      </c>
      <c r="R4643" t="str">
        <f>"510-01-676"</f>
        <v>510-01-676</v>
      </c>
      <c r="S4643" t="s">
        <v>29114</v>
      </c>
      <c r="T4643" t="s">
        <v>19808</v>
      </c>
      <c r="U4643">
        <v>2476</v>
      </c>
      <c r="V4643">
        <v>0</v>
      </c>
      <c r="W4643">
        <v>4</v>
      </c>
      <c r="X4643">
        <v>2006</v>
      </c>
      <c r="Z4643">
        <v>1</v>
      </c>
      <c r="AB4643">
        <v>0</v>
      </c>
      <c r="AC4643" t="s">
        <v>115</v>
      </c>
      <c r="AD4643">
        <v>4</v>
      </c>
      <c r="AE4643" t="s">
        <v>115</v>
      </c>
      <c r="AF4643">
        <v>0</v>
      </c>
      <c r="AG4643">
        <v>0</v>
      </c>
      <c r="AH4643" t="s">
        <v>116</v>
      </c>
      <c r="AI4643" s="1">
        <v>8679</v>
      </c>
      <c r="AJ4643" s="2">
        <v>0.02</v>
      </c>
      <c r="AK4643" s="1">
        <v>390656</v>
      </c>
      <c r="AL4643" t="s">
        <v>117</v>
      </c>
      <c r="AM4643" t="s">
        <v>118</v>
      </c>
      <c r="AN4643">
        <v>8920</v>
      </c>
      <c r="AO4643">
        <v>0.2</v>
      </c>
      <c r="AR4643">
        <v>1</v>
      </c>
      <c r="AS4643" s="1">
        <v>29610</v>
      </c>
      <c r="AT4643" s="1">
        <v>5920</v>
      </c>
      <c r="AU4643" s="1">
        <v>23690</v>
      </c>
      <c r="AV4643">
        <v>80.010000000000005</v>
      </c>
      <c r="AX4643" s="1">
        <v>3059.7</v>
      </c>
      <c r="AY4643" t="s">
        <v>627</v>
      </c>
      <c r="AZ4643" t="s">
        <v>627</v>
      </c>
      <c r="BA4643" t="s">
        <v>457</v>
      </c>
      <c r="BE4643" s="3">
        <v>42545</v>
      </c>
      <c r="BF4643" s="1">
        <v>322500</v>
      </c>
      <c r="BG4643" t="s">
        <v>29115</v>
      </c>
      <c r="BH4643" s="1">
        <v>130.25</v>
      </c>
      <c r="BI4643" s="1">
        <v>381977</v>
      </c>
      <c r="BJ4643" s="3">
        <v>43580</v>
      </c>
      <c r="BK4643" t="s">
        <v>123</v>
      </c>
      <c r="BL4643" t="str">
        <f>"2019.294110"</f>
        <v>2019.294110</v>
      </c>
      <c r="BM4643" t="s">
        <v>2926</v>
      </c>
      <c r="BN4643" t="s">
        <v>545</v>
      </c>
      <c r="BO4643" t="s">
        <v>29116</v>
      </c>
      <c r="BP4643" t="s">
        <v>29117</v>
      </c>
      <c r="BR4643" t="s">
        <v>139</v>
      </c>
      <c r="BW4643" t="str">
        <f>""</f>
        <v/>
      </c>
      <c r="CH4643" t="str">
        <f>""</f>
        <v/>
      </c>
      <c r="CS4643" t="str">
        <f>""</f>
        <v/>
      </c>
    </row>
    <row r="4644" spans="1:97" x14ac:dyDescent="0.25">
      <c r="A4644" t="s">
        <v>1514</v>
      </c>
      <c r="B4644" t="s">
        <v>29118</v>
      </c>
      <c r="C4644" t="s">
        <v>2099</v>
      </c>
      <c r="D4644" t="s">
        <v>29119</v>
      </c>
      <c r="E4644" t="s">
        <v>29120</v>
      </c>
      <c r="F4644" t="s">
        <v>108</v>
      </c>
      <c r="H4644" t="s">
        <v>29121</v>
      </c>
      <c r="I4644" t="s">
        <v>110</v>
      </c>
      <c r="J4644" t="s">
        <v>111</v>
      </c>
      <c r="K4644" t="str">
        <f>"85286"</f>
        <v>85286</v>
      </c>
      <c r="L4644" t="s">
        <v>3108</v>
      </c>
      <c r="M4644" t="s">
        <v>29121</v>
      </c>
      <c r="N4644" t="s">
        <v>110</v>
      </c>
      <c r="O4644" t="s">
        <v>111</v>
      </c>
      <c r="P4644" t="str">
        <f>"85286-5032"</f>
        <v>85286-5032</v>
      </c>
      <c r="Q4644" t="s">
        <v>113</v>
      </c>
      <c r="R4644" t="str">
        <f>"303-49-807"</f>
        <v>303-49-807</v>
      </c>
      <c r="S4644" t="s">
        <v>29122</v>
      </c>
      <c r="T4644" t="s">
        <v>29122</v>
      </c>
      <c r="U4644">
        <v>2364</v>
      </c>
      <c r="V4644">
        <v>0</v>
      </c>
      <c r="W4644">
        <v>3</v>
      </c>
      <c r="X4644">
        <v>2015</v>
      </c>
      <c r="Z4644">
        <v>1</v>
      </c>
      <c r="AA4644" t="s">
        <v>26</v>
      </c>
      <c r="AB4644">
        <v>0</v>
      </c>
      <c r="AC4644" t="s">
        <v>115</v>
      </c>
      <c r="AD4644">
        <v>3</v>
      </c>
      <c r="AE4644" t="s">
        <v>115</v>
      </c>
      <c r="AF4644">
        <v>0</v>
      </c>
      <c r="AG4644">
        <v>0</v>
      </c>
      <c r="AH4644" t="s">
        <v>116</v>
      </c>
      <c r="AI4644" s="1">
        <v>108210</v>
      </c>
      <c r="AJ4644" s="2">
        <v>0.22</v>
      </c>
      <c r="AK4644" s="1">
        <v>482013</v>
      </c>
      <c r="AL4644" t="s">
        <v>117</v>
      </c>
      <c r="AM4644" t="s">
        <v>118</v>
      </c>
      <c r="AN4644">
        <v>8126</v>
      </c>
      <c r="AO4644">
        <v>0.19</v>
      </c>
      <c r="AR4644">
        <v>1</v>
      </c>
      <c r="AS4644" s="1">
        <v>35670</v>
      </c>
      <c r="AT4644" s="1">
        <v>7130</v>
      </c>
      <c r="AU4644" s="1">
        <v>28540</v>
      </c>
      <c r="AV4644">
        <v>80.010000000000005</v>
      </c>
      <c r="AX4644" s="1">
        <v>2552.94</v>
      </c>
      <c r="AY4644" t="s">
        <v>737</v>
      </c>
      <c r="AZ4644" t="s">
        <v>120</v>
      </c>
      <c r="BA4644" t="s">
        <v>303</v>
      </c>
      <c r="BE4644" s="3">
        <v>42173</v>
      </c>
      <c r="BF4644" s="1">
        <v>361862</v>
      </c>
      <c r="BG4644" t="s">
        <v>562</v>
      </c>
      <c r="BH4644" s="1">
        <v>153.07</v>
      </c>
      <c r="BI4644" s="1">
        <v>373803</v>
      </c>
      <c r="BJ4644" s="3">
        <v>42173</v>
      </c>
      <c r="BK4644" t="s">
        <v>123</v>
      </c>
      <c r="BL4644" t="str">
        <f>"2015.434774"</f>
        <v>2015.434774</v>
      </c>
      <c r="BM4644" t="s">
        <v>131</v>
      </c>
      <c r="BO4644" t="s">
        <v>29123</v>
      </c>
      <c r="BP4644" t="s">
        <v>29124</v>
      </c>
      <c r="BS4644">
        <v>30</v>
      </c>
      <c r="BW4644" t="str">
        <f>""</f>
        <v/>
      </c>
      <c r="CH4644" t="str">
        <f>""</f>
        <v/>
      </c>
      <c r="CS4644" t="str">
        <f>""</f>
        <v/>
      </c>
    </row>
    <row r="4645" spans="1:97" x14ac:dyDescent="0.25">
      <c r="A4645" t="s">
        <v>1204</v>
      </c>
      <c r="B4645" t="s">
        <v>29125</v>
      </c>
      <c r="C4645" t="s">
        <v>1950</v>
      </c>
      <c r="D4645" t="s">
        <v>29125</v>
      </c>
      <c r="E4645" t="s">
        <v>29126</v>
      </c>
      <c r="F4645" t="s">
        <v>108</v>
      </c>
      <c r="H4645" t="s">
        <v>29127</v>
      </c>
      <c r="I4645" t="s">
        <v>25003</v>
      </c>
      <c r="J4645" t="s">
        <v>111</v>
      </c>
      <c r="K4645" t="str">
        <f>"85263"</f>
        <v>85263</v>
      </c>
      <c r="L4645" t="s">
        <v>5893</v>
      </c>
      <c r="M4645" t="s">
        <v>29127</v>
      </c>
      <c r="N4645" t="s">
        <v>25003</v>
      </c>
      <c r="O4645" t="s">
        <v>111</v>
      </c>
      <c r="P4645" t="str">
        <f>"85263-7208"</f>
        <v>85263-7208</v>
      </c>
      <c r="Q4645" t="s">
        <v>113</v>
      </c>
      <c r="R4645" t="str">
        <f>"219-43-646"</f>
        <v>219-43-646</v>
      </c>
      <c r="S4645" t="s">
        <v>29128</v>
      </c>
      <c r="U4645">
        <v>2387</v>
      </c>
      <c r="V4645">
        <v>0</v>
      </c>
      <c r="W4645">
        <v>4</v>
      </c>
      <c r="X4645">
        <v>1983</v>
      </c>
      <c r="Z4645">
        <v>1</v>
      </c>
      <c r="AA4645" t="s">
        <v>15127</v>
      </c>
      <c r="AB4645">
        <v>0</v>
      </c>
      <c r="AC4645" t="s">
        <v>115</v>
      </c>
      <c r="AD4645">
        <v>2</v>
      </c>
      <c r="AE4645" t="s">
        <v>115</v>
      </c>
      <c r="AF4645">
        <v>0</v>
      </c>
      <c r="AG4645">
        <v>0</v>
      </c>
      <c r="AH4645" t="s">
        <v>116</v>
      </c>
      <c r="AI4645" s="1">
        <v>24501</v>
      </c>
      <c r="AJ4645" s="2">
        <v>0.05</v>
      </c>
      <c r="AK4645" s="1">
        <v>475748</v>
      </c>
      <c r="AL4645" t="s">
        <v>117</v>
      </c>
      <c r="AM4645" t="s">
        <v>171</v>
      </c>
      <c r="AN4645">
        <v>15756</v>
      </c>
      <c r="AO4645">
        <v>0.36</v>
      </c>
      <c r="AP4645">
        <v>1</v>
      </c>
      <c r="AR4645">
        <v>1</v>
      </c>
      <c r="AS4645" s="1">
        <v>28200</v>
      </c>
      <c r="AT4645" s="1">
        <v>5640</v>
      </c>
      <c r="AU4645" s="1">
        <v>22560</v>
      </c>
      <c r="AV4645">
        <v>80</v>
      </c>
      <c r="AX4645" s="1">
        <v>2285.7199999999998</v>
      </c>
      <c r="AY4645" t="s">
        <v>6485</v>
      </c>
      <c r="AZ4645" t="s">
        <v>5640</v>
      </c>
      <c r="BA4645" t="s">
        <v>5641</v>
      </c>
      <c r="BE4645" s="3">
        <v>42416</v>
      </c>
      <c r="BF4645" s="1">
        <v>450000</v>
      </c>
      <c r="BG4645" t="s">
        <v>29129</v>
      </c>
      <c r="BH4645" s="1">
        <v>188.52</v>
      </c>
      <c r="BI4645" s="1">
        <v>451247</v>
      </c>
      <c r="BJ4645" s="3">
        <v>42416</v>
      </c>
      <c r="BK4645" t="s">
        <v>123</v>
      </c>
      <c r="BL4645" t="str">
        <f>"2016.97877"</f>
        <v>2016.97877</v>
      </c>
      <c r="BM4645" t="s">
        <v>544</v>
      </c>
      <c r="BO4645" t="s">
        <v>29130</v>
      </c>
      <c r="BS4645">
        <v>30</v>
      </c>
      <c r="BW4645" t="str">
        <f>""</f>
        <v/>
      </c>
      <c r="CH4645" t="str">
        <f>""</f>
        <v/>
      </c>
      <c r="CS4645" t="str">
        <f>""</f>
        <v/>
      </c>
    </row>
    <row r="4646" spans="1:97" x14ac:dyDescent="0.25">
      <c r="A4646" t="s">
        <v>1187</v>
      </c>
      <c r="B4646" t="s">
        <v>22697</v>
      </c>
      <c r="C4646" t="s">
        <v>2793</v>
      </c>
      <c r="D4646" t="s">
        <v>22697</v>
      </c>
      <c r="E4646" t="s">
        <v>29131</v>
      </c>
      <c r="F4646" t="s">
        <v>108</v>
      </c>
      <c r="H4646" t="s">
        <v>29132</v>
      </c>
      <c r="I4646" t="s">
        <v>110</v>
      </c>
      <c r="J4646" t="s">
        <v>111</v>
      </c>
      <c r="K4646" t="str">
        <f>"85226"</f>
        <v>85226</v>
      </c>
      <c r="L4646" t="s">
        <v>5464</v>
      </c>
      <c r="M4646" t="s">
        <v>29132</v>
      </c>
      <c r="N4646" t="s">
        <v>110</v>
      </c>
      <c r="O4646" t="s">
        <v>111</v>
      </c>
      <c r="P4646" t="str">
        <f>"85226-2386"</f>
        <v>85226-2386</v>
      </c>
      <c r="Q4646" t="s">
        <v>113</v>
      </c>
      <c r="R4646" t="str">
        <f>"308-08-539"</f>
        <v>308-08-539</v>
      </c>
      <c r="S4646" t="s">
        <v>16617</v>
      </c>
      <c r="T4646" t="s">
        <v>16618</v>
      </c>
      <c r="U4646">
        <v>2419</v>
      </c>
      <c r="V4646">
        <v>0</v>
      </c>
      <c r="W4646">
        <v>4</v>
      </c>
      <c r="X4646">
        <v>1994</v>
      </c>
      <c r="Z4646">
        <v>1</v>
      </c>
      <c r="AA4646" t="s">
        <v>26</v>
      </c>
      <c r="AB4646">
        <v>0</v>
      </c>
      <c r="AC4646" t="s">
        <v>115</v>
      </c>
      <c r="AD4646">
        <v>3</v>
      </c>
      <c r="AE4646" t="s">
        <v>115</v>
      </c>
      <c r="AF4646">
        <v>0</v>
      </c>
      <c r="AG4646">
        <v>0</v>
      </c>
      <c r="AH4646" t="s">
        <v>116</v>
      </c>
      <c r="AI4646" s="1">
        <v>61686</v>
      </c>
      <c r="AJ4646" s="2">
        <v>0.13</v>
      </c>
      <c r="AK4646" s="1">
        <v>460158</v>
      </c>
      <c r="AL4646" t="s">
        <v>117</v>
      </c>
      <c r="AM4646" t="s">
        <v>118</v>
      </c>
      <c r="AN4646">
        <v>9544</v>
      </c>
      <c r="AO4646">
        <v>0.22</v>
      </c>
      <c r="AP4646">
        <v>1</v>
      </c>
      <c r="AR4646">
        <v>1</v>
      </c>
      <c r="AS4646" s="1">
        <v>33630</v>
      </c>
      <c r="AT4646" s="1">
        <v>6720</v>
      </c>
      <c r="AU4646" s="1">
        <v>26910</v>
      </c>
      <c r="AV4646">
        <v>80.02</v>
      </c>
      <c r="AX4646" s="1">
        <v>3138.06</v>
      </c>
      <c r="AY4646" t="s">
        <v>8225</v>
      </c>
      <c r="AZ4646" t="s">
        <v>5922</v>
      </c>
      <c r="BA4646" t="s">
        <v>5202</v>
      </c>
      <c r="BB4646" s="3">
        <v>42738</v>
      </c>
      <c r="BD4646" t="s">
        <v>29133</v>
      </c>
      <c r="BE4646" s="3">
        <v>42404</v>
      </c>
      <c r="BF4646" s="1">
        <v>385600</v>
      </c>
      <c r="BG4646" t="s">
        <v>29134</v>
      </c>
      <c r="BH4646" s="1">
        <v>159.4</v>
      </c>
      <c r="BI4646" s="1">
        <v>398472</v>
      </c>
      <c r="BJ4646" s="3">
        <v>42738</v>
      </c>
      <c r="BK4646" t="s">
        <v>123</v>
      </c>
      <c r="BL4646" t="str">
        <f>"2017.1116"</f>
        <v>2017.1116</v>
      </c>
      <c r="BM4646" t="s">
        <v>843</v>
      </c>
      <c r="BO4646" t="s">
        <v>29135</v>
      </c>
      <c r="BS4646">
        <v>30</v>
      </c>
      <c r="BW4646" t="str">
        <f>""</f>
        <v/>
      </c>
      <c r="CH4646" t="str">
        <f>""</f>
        <v/>
      </c>
      <c r="CS4646" t="str">
        <f>""</f>
        <v/>
      </c>
    </row>
    <row r="4647" spans="1:97" x14ac:dyDescent="0.25">
      <c r="A4647" t="s">
        <v>251</v>
      </c>
      <c r="B4647" t="s">
        <v>22100</v>
      </c>
      <c r="C4647" t="s">
        <v>3306</v>
      </c>
      <c r="D4647" t="s">
        <v>22100</v>
      </c>
      <c r="E4647" t="s">
        <v>29136</v>
      </c>
      <c r="F4647" t="s">
        <v>108</v>
      </c>
      <c r="H4647" t="s">
        <v>29137</v>
      </c>
      <c r="I4647" t="s">
        <v>144</v>
      </c>
      <c r="J4647" t="s">
        <v>111</v>
      </c>
      <c r="K4647" t="str">
        <f>"85326"</f>
        <v>85326</v>
      </c>
      <c r="L4647" t="s">
        <v>13619</v>
      </c>
      <c r="M4647" t="s">
        <v>29137</v>
      </c>
      <c r="N4647" t="s">
        <v>144</v>
      </c>
      <c r="O4647" t="s">
        <v>111</v>
      </c>
      <c r="P4647" t="str">
        <f>"85326-7269"</f>
        <v>85326-7269</v>
      </c>
      <c r="Q4647" t="s">
        <v>113</v>
      </c>
      <c r="R4647" t="str">
        <f>"504-42-334"</f>
        <v>504-42-334</v>
      </c>
      <c r="S4647" t="s">
        <v>13620</v>
      </c>
      <c r="T4647" t="s">
        <v>13621</v>
      </c>
      <c r="U4647">
        <v>3073</v>
      </c>
      <c r="V4647">
        <v>0</v>
      </c>
      <c r="W4647">
        <v>4</v>
      </c>
      <c r="X4647">
        <v>2008</v>
      </c>
      <c r="Z4647">
        <v>2</v>
      </c>
      <c r="AB4647">
        <v>0</v>
      </c>
      <c r="AC4647" t="s">
        <v>115</v>
      </c>
      <c r="AD4647">
        <v>2</v>
      </c>
      <c r="AE4647" t="s">
        <v>115</v>
      </c>
      <c r="AF4647">
        <v>0</v>
      </c>
      <c r="AG4647">
        <v>0</v>
      </c>
      <c r="AH4647" t="s">
        <v>116</v>
      </c>
      <c r="AI4647" s="1">
        <v>31305</v>
      </c>
      <c r="AJ4647" s="2">
        <v>0.12</v>
      </c>
      <c r="AK4647" s="1">
        <v>264304</v>
      </c>
      <c r="AL4647" t="s">
        <v>117</v>
      </c>
      <c r="AM4647" t="s">
        <v>5023</v>
      </c>
      <c r="AN4647">
        <v>8143</v>
      </c>
      <c r="AO4647">
        <v>0.19</v>
      </c>
      <c r="AR4647">
        <v>1</v>
      </c>
      <c r="AS4647" s="1">
        <v>19200</v>
      </c>
      <c r="AT4647" s="1">
        <v>3840</v>
      </c>
      <c r="AU4647" s="1">
        <v>15360</v>
      </c>
      <c r="AV4647">
        <v>80</v>
      </c>
      <c r="AX4647" s="1">
        <v>1609.6</v>
      </c>
      <c r="AY4647" t="s">
        <v>11051</v>
      </c>
      <c r="AZ4647" t="s">
        <v>7333</v>
      </c>
      <c r="BA4647" t="s">
        <v>9622</v>
      </c>
      <c r="BE4647" s="3">
        <v>41884</v>
      </c>
      <c r="BF4647" s="1">
        <v>184900</v>
      </c>
      <c r="BG4647" t="s">
        <v>29138</v>
      </c>
      <c r="BH4647" s="1">
        <v>60.17</v>
      </c>
      <c r="BI4647" s="1">
        <v>232999</v>
      </c>
      <c r="BJ4647" s="3">
        <v>43552</v>
      </c>
      <c r="BK4647" t="s">
        <v>123</v>
      </c>
      <c r="BL4647" t="str">
        <f>"2019.213514"</f>
        <v>2019.213514</v>
      </c>
      <c r="BM4647" t="s">
        <v>1809</v>
      </c>
      <c r="BN4647" t="s">
        <v>1810</v>
      </c>
      <c r="BO4647" t="s">
        <v>29139</v>
      </c>
      <c r="BP4647" t="s">
        <v>29140</v>
      </c>
      <c r="BR4647" t="s">
        <v>139</v>
      </c>
      <c r="BW4647" t="str">
        <f>""</f>
        <v/>
      </c>
      <c r="CH4647" t="str">
        <f>""</f>
        <v/>
      </c>
      <c r="CS4647" t="str">
        <f>""</f>
        <v/>
      </c>
    </row>
    <row r="4648" spans="1:97" x14ac:dyDescent="0.25">
      <c r="A4648" t="s">
        <v>4179</v>
      </c>
      <c r="B4648" t="s">
        <v>29141</v>
      </c>
      <c r="E4648" t="s">
        <v>29142</v>
      </c>
      <c r="F4648" t="s">
        <v>108</v>
      </c>
      <c r="H4648" t="s">
        <v>29143</v>
      </c>
      <c r="I4648" t="s">
        <v>390</v>
      </c>
      <c r="J4648" t="s">
        <v>111</v>
      </c>
      <c r="K4648" t="str">
        <f>"85044"</f>
        <v>85044</v>
      </c>
      <c r="L4648" t="s">
        <v>2857</v>
      </c>
      <c r="M4648" t="s">
        <v>29143</v>
      </c>
      <c r="N4648" t="s">
        <v>390</v>
      </c>
      <c r="O4648" t="s">
        <v>111</v>
      </c>
      <c r="P4648" t="str">
        <f>"85044-6107"</f>
        <v>85044-6107</v>
      </c>
      <c r="Q4648" t="s">
        <v>113</v>
      </c>
      <c r="R4648" t="str">
        <f>"301-77-593"</f>
        <v>301-77-593</v>
      </c>
      <c r="S4648" t="s">
        <v>7416</v>
      </c>
      <c r="T4648" t="s">
        <v>7417</v>
      </c>
      <c r="U4648">
        <v>1612</v>
      </c>
      <c r="V4648">
        <v>0</v>
      </c>
      <c r="W4648">
        <v>3</v>
      </c>
      <c r="X4648">
        <v>1986</v>
      </c>
      <c r="Z4648">
        <v>1</v>
      </c>
      <c r="AA4648" t="s">
        <v>26</v>
      </c>
      <c r="AB4648">
        <v>0</v>
      </c>
      <c r="AC4648" t="s">
        <v>115</v>
      </c>
      <c r="AD4648">
        <v>2</v>
      </c>
      <c r="AE4648" t="s">
        <v>115</v>
      </c>
      <c r="AF4648">
        <v>0</v>
      </c>
      <c r="AG4648">
        <v>0</v>
      </c>
      <c r="AH4648" t="s">
        <v>116</v>
      </c>
      <c r="AI4648" s="1">
        <v>24658</v>
      </c>
      <c r="AJ4648" s="2">
        <v>0.08</v>
      </c>
      <c r="AK4648" s="1">
        <v>322162</v>
      </c>
      <c r="AL4648" t="s">
        <v>117</v>
      </c>
      <c r="AM4648" t="s">
        <v>191</v>
      </c>
      <c r="AN4648">
        <v>7340</v>
      </c>
      <c r="AO4648">
        <v>0.17</v>
      </c>
      <c r="AP4648">
        <v>1</v>
      </c>
      <c r="AR4648">
        <v>1</v>
      </c>
      <c r="AS4648" s="1">
        <v>23280</v>
      </c>
      <c r="AT4648" s="1">
        <v>4650</v>
      </c>
      <c r="AU4648" s="1">
        <v>18630</v>
      </c>
      <c r="AV4648">
        <v>80.03</v>
      </c>
      <c r="AX4648" s="1">
        <v>2011.12</v>
      </c>
      <c r="AY4648" t="s">
        <v>7418</v>
      </c>
      <c r="AZ4648" t="s">
        <v>7255</v>
      </c>
      <c r="BA4648" t="s">
        <v>5328</v>
      </c>
      <c r="BE4648" s="3">
        <v>41849</v>
      </c>
      <c r="BF4648" s="1">
        <v>288000</v>
      </c>
      <c r="BG4648" t="s">
        <v>29144</v>
      </c>
      <c r="BH4648" s="1">
        <v>178.66</v>
      </c>
      <c r="BI4648" s="1">
        <v>297504</v>
      </c>
      <c r="BJ4648" s="3">
        <v>41849</v>
      </c>
      <c r="BK4648" t="s">
        <v>123</v>
      </c>
      <c r="BL4648" t="str">
        <f>"2014.495938"</f>
        <v>2014.495938</v>
      </c>
      <c r="BM4648" t="s">
        <v>594</v>
      </c>
      <c r="BO4648" t="s">
        <v>29145</v>
      </c>
      <c r="BS4648">
        <v>30</v>
      </c>
      <c r="BW4648" t="str">
        <f>""</f>
        <v/>
      </c>
      <c r="CH4648" t="str">
        <f>""</f>
        <v/>
      </c>
      <c r="CS4648" t="str">
        <f>""</f>
        <v/>
      </c>
    </row>
    <row r="4649" spans="1:97" x14ac:dyDescent="0.25">
      <c r="A4649" t="s">
        <v>3089</v>
      </c>
      <c r="B4649" t="s">
        <v>29146</v>
      </c>
      <c r="E4649" t="s">
        <v>29147</v>
      </c>
      <c r="F4649" t="s">
        <v>108</v>
      </c>
      <c r="H4649" t="s">
        <v>29148</v>
      </c>
      <c r="I4649" t="s">
        <v>110</v>
      </c>
      <c r="J4649" t="s">
        <v>111</v>
      </c>
      <c r="K4649" t="str">
        <f>"85226"</f>
        <v>85226</v>
      </c>
      <c r="L4649" t="s">
        <v>5325</v>
      </c>
      <c r="M4649" t="s">
        <v>29148</v>
      </c>
      <c r="N4649" t="s">
        <v>110</v>
      </c>
      <c r="O4649" t="s">
        <v>111</v>
      </c>
      <c r="P4649" t="str">
        <f>"85226-5320"</f>
        <v>85226-5320</v>
      </c>
      <c r="Q4649" t="s">
        <v>113</v>
      </c>
      <c r="R4649" t="str">
        <f>"308-09-091"</f>
        <v>308-09-091</v>
      </c>
      <c r="S4649" t="s">
        <v>15818</v>
      </c>
      <c r="T4649" t="s">
        <v>15819</v>
      </c>
      <c r="U4649">
        <v>1972</v>
      </c>
      <c r="V4649">
        <v>0</v>
      </c>
      <c r="W4649">
        <v>3</v>
      </c>
      <c r="X4649">
        <v>1993</v>
      </c>
      <c r="Z4649">
        <v>1</v>
      </c>
      <c r="AB4649">
        <v>0</v>
      </c>
      <c r="AC4649" t="s">
        <v>115</v>
      </c>
      <c r="AD4649">
        <v>3</v>
      </c>
      <c r="AE4649" t="s">
        <v>115</v>
      </c>
      <c r="AF4649">
        <v>0</v>
      </c>
      <c r="AG4649">
        <v>0</v>
      </c>
      <c r="AH4649" t="s">
        <v>116</v>
      </c>
      <c r="AI4649" s="1">
        <v>83701</v>
      </c>
      <c r="AJ4649" s="2">
        <v>0.23</v>
      </c>
      <c r="AK4649" s="1">
        <v>362611</v>
      </c>
      <c r="AL4649" t="s">
        <v>117</v>
      </c>
      <c r="AM4649" t="s">
        <v>118</v>
      </c>
      <c r="AN4649">
        <v>7832</v>
      </c>
      <c r="AO4649">
        <v>0.18</v>
      </c>
      <c r="AP4649">
        <v>1</v>
      </c>
      <c r="AR4649">
        <v>1</v>
      </c>
      <c r="AS4649" s="1">
        <v>27060</v>
      </c>
      <c r="AT4649" s="1">
        <v>5410</v>
      </c>
      <c r="AU4649" s="1">
        <v>21650</v>
      </c>
      <c r="AV4649">
        <v>80.010000000000005</v>
      </c>
      <c r="AX4649" s="1">
        <v>2096.1999999999998</v>
      </c>
      <c r="AY4649" t="s">
        <v>5200</v>
      </c>
      <c r="AZ4649" t="s">
        <v>5201</v>
      </c>
      <c r="BA4649" t="s">
        <v>5202</v>
      </c>
      <c r="BE4649" s="3">
        <v>41842</v>
      </c>
      <c r="BF4649" s="1">
        <v>270000</v>
      </c>
      <c r="BG4649" t="s">
        <v>29149</v>
      </c>
      <c r="BH4649" s="1">
        <v>136.91999999999999</v>
      </c>
      <c r="BI4649" s="1">
        <v>278910</v>
      </c>
      <c r="BJ4649" s="3">
        <v>41842</v>
      </c>
      <c r="BK4649" t="s">
        <v>123</v>
      </c>
      <c r="BL4649" t="str">
        <f>"2014.479619"</f>
        <v>2014.479619</v>
      </c>
      <c r="BM4649" t="s">
        <v>4919</v>
      </c>
      <c r="BO4649" t="s">
        <v>29150</v>
      </c>
      <c r="BS4649">
        <v>30</v>
      </c>
      <c r="BW4649" t="str">
        <f>""</f>
        <v/>
      </c>
      <c r="CH4649" t="str">
        <f>""</f>
        <v/>
      </c>
      <c r="CS4649" t="str">
        <f>""</f>
        <v/>
      </c>
    </row>
    <row r="4650" spans="1:97" x14ac:dyDescent="0.25">
      <c r="A4650" t="s">
        <v>1465</v>
      </c>
      <c r="B4650" t="s">
        <v>29151</v>
      </c>
      <c r="E4650" t="s">
        <v>29152</v>
      </c>
      <c r="F4650" t="s">
        <v>108</v>
      </c>
      <c r="H4650" t="s">
        <v>29153</v>
      </c>
      <c r="I4650" t="s">
        <v>390</v>
      </c>
      <c r="J4650" t="s">
        <v>111</v>
      </c>
      <c r="K4650" t="str">
        <f>"85083"</f>
        <v>85083</v>
      </c>
      <c r="L4650" t="s">
        <v>299</v>
      </c>
      <c r="M4650" t="s">
        <v>29153</v>
      </c>
      <c r="N4650" t="s">
        <v>390</v>
      </c>
      <c r="O4650" t="s">
        <v>111</v>
      </c>
      <c r="P4650" t="str">
        <f>"85083-2438"</f>
        <v>85083-2438</v>
      </c>
      <c r="Q4650" t="s">
        <v>113</v>
      </c>
      <c r="R4650" t="str">
        <f>"201-33-545"</f>
        <v>201-33-545</v>
      </c>
      <c r="S4650" t="s">
        <v>26143</v>
      </c>
      <c r="U4650">
        <v>1526</v>
      </c>
      <c r="V4650">
        <v>0</v>
      </c>
      <c r="W4650">
        <v>3</v>
      </c>
      <c r="X4650">
        <v>2001</v>
      </c>
      <c r="Z4650">
        <v>1</v>
      </c>
      <c r="AB4650">
        <v>0</v>
      </c>
      <c r="AC4650" t="s">
        <v>115</v>
      </c>
      <c r="AD4650">
        <v>2</v>
      </c>
      <c r="AE4650" t="s">
        <v>115</v>
      </c>
      <c r="AF4650">
        <v>0</v>
      </c>
      <c r="AG4650">
        <v>0</v>
      </c>
      <c r="AH4650" t="s">
        <v>116</v>
      </c>
      <c r="AI4650" s="1">
        <v>74030</v>
      </c>
      <c r="AJ4650" s="2">
        <v>0.25</v>
      </c>
      <c r="AK4650" s="1">
        <v>301030</v>
      </c>
      <c r="AL4650" t="s">
        <v>117</v>
      </c>
      <c r="AM4650" t="s">
        <v>171</v>
      </c>
      <c r="AN4650">
        <v>8320</v>
      </c>
      <c r="AO4650">
        <v>0.19</v>
      </c>
      <c r="AP4650">
        <v>1</v>
      </c>
      <c r="AR4650">
        <v>1</v>
      </c>
      <c r="AS4650" s="1">
        <v>22230</v>
      </c>
      <c r="AT4650" s="1">
        <v>4440</v>
      </c>
      <c r="AU4650" s="1">
        <v>17790</v>
      </c>
      <c r="AV4650">
        <v>80.03</v>
      </c>
      <c r="AX4650" s="1">
        <v>1922.5</v>
      </c>
      <c r="AY4650" t="s">
        <v>3522</v>
      </c>
      <c r="AZ4650" t="s">
        <v>3522</v>
      </c>
      <c r="BA4650" t="s">
        <v>1386</v>
      </c>
      <c r="BE4650" s="3">
        <v>42020</v>
      </c>
      <c r="BF4650" s="1">
        <v>226165</v>
      </c>
      <c r="BG4650" t="s">
        <v>29154</v>
      </c>
      <c r="BH4650" s="1">
        <v>148.21</v>
      </c>
      <c r="BI4650" s="1">
        <v>227000</v>
      </c>
      <c r="BJ4650" s="3">
        <v>42727</v>
      </c>
      <c r="BK4650" t="s">
        <v>123</v>
      </c>
      <c r="BL4650" t="str">
        <f>"2016.947582"</f>
        <v>2016.947582</v>
      </c>
      <c r="BM4650" t="s">
        <v>1837</v>
      </c>
      <c r="BO4650" t="s">
        <v>29155</v>
      </c>
      <c r="BS4650">
        <v>30</v>
      </c>
      <c r="BW4650" t="str">
        <f>""</f>
        <v/>
      </c>
      <c r="CH4650" t="str">
        <f>""</f>
        <v/>
      </c>
      <c r="CS4650" t="str">
        <f>""</f>
        <v/>
      </c>
    </row>
    <row r="4651" spans="1:97" x14ac:dyDescent="0.25">
      <c r="A4651" t="s">
        <v>325</v>
      </c>
      <c r="B4651" t="s">
        <v>13918</v>
      </c>
      <c r="E4651" t="s">
        <v>29156</v>
      </c>
      <c r="F4651" t="s">
        <v>108</v>
      </c>
      <c r="H4651" t="s">
        <v>29157</v>
      </c>
      <c r="I4651" t="s">
        <v>110</v>
      </c>
      <c r="J4651" t="s">
        <v>111</v>
      </c>
      <c r="K4651" t="str">
        <f>"85225"</f>
        <v>85225</v>
      </c>
      <c r="L4651" t="s">
        <v>6631</v>
      </c>
      <c r="M4651" t="s">
        <v>29157</v>
      </c>
      <c r="N4651" t="s">
        <v>110</v>
      </c>
      <c r="O4651" t="s">
        <v>111</v>
      </c>
      <c r="P4651" t="str">
        <f>"85225-2663"</f>
        <v>85225-2663</v>
      </c>
      <c r="Q4651" t="s">
        <v>113</v>
      </c>
      <c r="R4651" t="str">
        <f>"302-26-487"</f>
        <v>302-26-487</v>
      </c>
      <c r="S4651" t="s">
        <v>29158</v>
      </c>
      <c r="T4651" t="s">
        <v>7200</v>
      </c>
      <c r="U4651">
        <v>1240</v>
      </c>
      <c r="V4651">
        <v>0</v>
      </c>
      <c r="W4651">
        <v>2</v>
      </c>
      <c r="X4651">
        <v>1980</v>
      </c>
      <c r="Z4651">
        <v>1</v>
      </c>
      <c r="AB4651">
        <v>0</v>
      </c>
      <c r="AC4651" t="s">
        <v>115</v>
      </c>
      <c r="AD4651">
        <v>6</v>
      </c>
      <c r="AE4651" t="s">
        <v>115</v>
      </c>
      <c r="AF4651">
        <v>0</v>
      </c>
      <c r="AG4651">
        <v>0</v>
      </c>
      <c r="AH4651" t="s">
        <v>116</v>
      </c>
      <c r="AI4651" s="1">
        <v>44005</v>
      </c>
      <c r="AJ4651" s="2">
        <v>0.15</v>
      </c>
      <c r="AK4651" s="1">
        <v>287312</v>
      </c>
      <c r="AL4651" t="s">
        <v>117</v>
      </c>
      <c r="AM4651" t="s">
        <v>5077</v>
      </c>
      <c r="AN4651">
        <v>8607</v>
      </c>
      <c r="AO4651">
        <v>0.2</v>
      </c>
      <c r="AP4651">
        <v>1</v>
      </c>
      <c r="AR4651">
        <v>1</v>
      </c>
      <c r="AS4651" s="1">
        <v>18560</v>
      </c>
      <c r="AT4651" s="1">
        <v>3710</v>
      </c>
      <c r="AU4651" s="1">
        <v>14850</v>
      </c>
      <c r="AV4651">
        <v>80.010000000000005</v>
      </c>
      <c r="AX4651" s="1">
        <v>1334.26</v>
      </c>
      <c r="AY4651" t="s">
        <v>7201</v>
      </c>
      <c r="AZ4651" t="s">
        <v>7201</v>
      </c>
      <c r="BA4651" t="s">
        <v>5311</v>
      </c>
      <c r="BE4651" s="3">
        <v>41933</v>
      </c>
      <c r="BF4651" s="1">
        <v>232000</v>
      </c>
      <c r="BG4651" t="s">
        <v>29159</v>
      </c>
      <c r="BH4651" s="1">
        <v>187.1</v>
      </c>
      <c r="BI4651" s="1">
        <v>243307</v>
      </c>
      <c r="BJ4651" s="3">
        <v>42570</v>
      </c>
      <c r="BK4651" t="s">
        <v>123</v>
      </c>
      <c r="BL4651" t="str">
        <f>"2016.508807"</f>
        <v>2016.508807</v>
      </c>
      <c r="BM4651" t="s">
        <v>21151</v>
      </c>
      <c r="BO4651" t="s">
        <v>29160</v>
      </c>
      <c r="BS4651">
        <v>30</v>
      </c>
      <c r="BW4651" t="str">
        <f>""</f>
        <v/>
      </c>
      <c r="CH4651" t="str">
        <f>""</f>
        <v/>
      </c>
      <c r="CS4651" t="str">
        <f>""</f>
        <v/>
      </c>
    </row>
    <row r="4652" spans="1:97" x14ac:dyDescent="0.25">
      <c r="A4652" t="s">
        <v>12895</v>
      </c>
      <c r="B4652" t="s">
        <v>23566</v>
      </c>
      <c r="E4652" t="s">
        <v>29161</v>
      </c>
      <c r="F4652" t="s">
        <v>108</v>
      </c>
      <c r="H4652" t="s">
        <v>29162</v>
      </c>
      <c r="I4652" t="s">
        <v>1788</v>
      </c>
      <c r="J4652" t="s">
        <v>111</v>
      </c>
      <c r="K4652" t="str">
        <f>"85355"</f>
        <v>85355</v>
      </c>
      <c r="L4652" t="s">
        <v>734</v>
      </c>
      <c r="M4652" t="s">
        <v>29162</v>
      </c>
      <c r="N4652" t="s">
        <v>1788</v>
      </c>
      <c r="O4652" t="s">
        <v>111</v>
      </c>
      <c r="P4652" t="str">
        <f>"85355-9826"</f>
        <v>85355-9826</v>
      </c>
      <c r="R4652" t="str">
        <f>"502-18-067"</f>
        <v>502-18-067</v>
      </c>
      <c r="S4652" t="s">
        <v>9913</v>
      </c>
      <c r="U4652">
        <v>1809</v>
      </c>
      <c r="V4652">
        <v>0</v>
      </c>
      <c r="W4652">
        <v>3</v>
      </c>
      <c r="X4652">
        <v>1985</v>
      </c>
      <c r="Z4652">
        <v>1</v>
      </c>
      <c r="AA4652" t="s">
        <v>26</v>
      </c>
      <c r="AB4652">
        <v>0</v>
      </c>
      <c r="AC4652" t="s">
        <v>115</v>
      </c>
      <c r="AD4652">
        <v>2</v>
      </c>
      <c r="AE4652" t="s">
        <v>115</v>
      </c>
      <c r="AF4652">
        <v>0</v>
      </c>
      <c r="AG4652">
        <v>0</v>
      </c>
      <c r="AH4652" t="s">
        <v>116</v>
      </c>
      <c r="AI4652" s="1">
        <v>107135</v>
      </c>
      <c r="AJ4652" s="2">
        <v>0.26</v>
      </c>
      <c r="AK4652" s="1">
        <v>413585</v>
      </c>
      <c r="AL4652" t="s">
        <v>117</v>
      </c>
      <c r="AM4652" t="s">
        <v>376</v>
      </c>
      <c r="AN4652">
        <v>82895</v>
      </c>
      <c r="AO4652">
        <v>1.9</v>
      </c>
      <c r="AP4652">
        <v>1</v>
      </c>
      <c r="AR4652">
        <v>1</v>
      </c>
      <c r="AS4652" s="1">
        <v>29200</v>
      </c>
      <c r="AT4652" s="1">
        <v>5840</v>
      </c>
      <c r="AU4652" s="1">
        <v>23360</v>
      </c>
      <c r="AV4652">
        <v>80</v>
      </c>
      <c r="AX4652" s="1">
        <v>2015.42</v>
      </c>
      <c r="AY4652" t="s">
        <v>503</v>
      </c>
      <c r="AZ4652" t="s">
        <v>504</v>
      </c>
      <c r="BA4652" t="s">
        <v>218</v>
      </c>
      <c r="BE4652" s="3">
        <v>42486</v>
      </c>
      <c r="BF4652" s="1">
        <v>300000</v>
      </c>
      <c r="BG4652" t="s">
        <v>29163</v>
      </c>
      <c r="BH4652" s="1">
        <v>165.84</v>
      </c>
      <c r="BI4652" s="1">
        <v>306450</v>
      </c>
      <c r="BJ4652" s="3">
        <v>42486</v>
      </c>
      <c r="BK4652" t="s">
        <v>123</v>
      </c>
      <c r="BL4652" t="str">
        <f>"2016.278013"</f>
        <v>2016.278013</v>
      </c>
      <c r="BM4652" t="s">
        <v>1033</v>
      </c>
      <c r="BN4652" t="s">
        <v>1052</v>
      </c>
      <c r="BO4652" t="s">
        <v>29164</v>
      </c>
      <c r="BS4652">
        <v>30</v>
      </c>
      <c r="BW4652" t="str">
        <f>""</f>
        <v/>
      </c>
      <c r="CH4652" t="str">
        <f>""</f>
        <v/>
      </c>
      <c r="CS4652" t="str">
        <f>""</f>
        <v/>
      </c>
    </row>
    <row r="4653" spans="1:97" x14ac:dyDescent="0.25">
      <c r="A4653" t="s">
        <v>305</v>
      </c>
      <c r="B4653" t="s">
        <v>29165</v>
      </c>
      <c r="C4653" t="s">
        <v>1888</v>
      </c>
      <c r="D4653" t="s">
        <v>29165</v>
      </c>
      <c r="E4653" t="s">
        <v>29166</v>
      </c>
      <c r="F4653" t="s">
        <v>108</v>
      </c>
      <c r="H4653" t="s">
        <v>29167</v>
      </c>
      <c r="I4653" t="s">
        <v>188</v>
      </c>
      <c r="J4653" t="s">
        <v>111</v>
      </c>
      <c r="K4653" t="str">
        <f>"85142"</f>
        <v>85142</v>
      </c>
      <c r="L4653" t="s">
        <v>11339</v>
      </c>
      <c r="M4653" t="s">
        <v>29167</v>
      </c>
      <c r="N4653" t="s">
        <v>188</v>
      </c>
      <c r="O4653" t="s">
        <v>111</v>
      </c>
      <c r="P4653" t="str">
        <f>"85142-4578"</f>
        <v>85142-4578</v>
      </c>
      <c r="Q4653" t="s">
        <v>113</v>
      </c>
      <c r="R4653" t="str">
        <f>"304-64-367"</f>
        <v>304-64-367</v>
      </c>
      <c r="S4653" t="s">
        <v>12600</v>
      </c>
      <c r="T4653" t="s">
        <v>12600</v>
      </c>
      <c r="U4653">
        <v>4012</v>
      </c>
      <c r="V4653">
        <v>0</v>
      </c>
      <c r="W4653">
        <v>6</v>
      </c>
      <c r="X4653">
        <v>2014</v>
      </c>
      <c r="Z4653">
        <v>1</v>
      </c>
      <c r="AA4653" t="s">
        <v>26</v>
      </c>
      <c r="AB4653">
        <v>0</v>
      </c>
      <c r="AC4653" t="s">
        <v>115</v>
      </c>
      <c r="AD4653">
        <v>3</v>
      </c>
      <c r="AE4653" t="s">
        <v>115</v>
      </c>
      <c r="AF4653">
        <v>0</v>
      </c>
      <c r="AG4653">
        <v>0</v>
      </c>
      <c r="AH4653" t="s">
        <v>116</v>
      </c>
      <c r="AI4653" s="1">
        <v>213010</v>
      </c>
      <c r="AJ4653" s="2">
        <v>0.34</v>
      </c>
      <c r="AK4653" s="1">
        <v>629957</v>
      </c>
      <c r="AL4653" t="s">
        <v>117</v>
      </c>
      <c r="AM4653" t="s">
        <v>1521</v>
      </c>
      <c r="AN4653">
        <v>16374</v>
      </c>
      <c r="AO4653">
        <v>0.38</v>
      </c>
      <c r="AR4653">
        <v>1</v>
      </c>
      <c r="AS4653" s="1">
        <v>48560</v>
      </c>
      <c r="AT4653" s="1">
        <v>9710</v>
      </c>
      <c r="AU4653" s="1">
        <v>38850</v>
      </c>
      <c r="AV4653">
        <v>80</v>
      </c>
      <c r="AX4653" s="1">
        <v>4389.92</v>
      </c>
      <c r="AY4653" t="s">
        <v>560</v>
      </c>
      <c r="AZ4653" t="s">
        <v>561</v>
      </c>
      <c r="BA4653" t="s">
        <v>194</v>
      </c>
      <c r="BE4653" s="3">
        <v>42118</v>
      </c>
      <c r="BF4653" s="1">
        <v>498663</v>
      </c>
      <c r="BG4653" t="s">
        <v>158</v>
      </c>
      <c r="BH4653" s="1">
        <v>124.29</v>
      </c>
      <c r="BI4653" s="1">
        <v>416947</v>
      </c>
      <c r="BJ4653" s="3">
        <v>42118</v>
      </c>
      <c r="BK4653" t="s">
        <v>123</v>
      </c>
      <c r="BL4653" t="str">
        <f>"2015.283738"</f>
        <v>2015.283738</v>
      </c>
      <c r="BM4653" t="s">
        <v>241</v>
      </c>
      <c r="BO4653" t="s">
        <v>29168</v>
      </c>
      <c r="BS4653">
        <v>30</v>
      </c>
      <c r="BW4653" t="str">
        <f>""</f>
        <v/>
      </c>
      <c r="CH4653" t="str">
        <f>""</f>
        <v/>
      </c>
      <c r="CS4653" t="str">
        <f>""</f>
        <v/>
      </c>
    </row>
    <row r="4654" spans="1:97" x14ac:dyDescent="0.25">
      <c r="A4654" t="s">
        <v>305</v>
      </c>
      <c r="B4654" t="s">
        <v>6696</v>
      </c>
      <c r="C4654" t="s">
        <v>489</v>
      </c>
      <c r="D4654" t="s">
        <v>6696</v>
      </c>
      <c r="E4654" t="s">
        <v>29169</v>
      </c>
      <c r="F4654" t="s">
        <v>108</v>
      </c>
      <c r="H4654" t="s">
        <v>29170</v>
      </c>
      <c r="I4654" t="s">
        <v>499</v>
      </c>
      <c r="J4654" t="s">
        <v>111</v>
      </c>
      <c r="K4654" t="str">
        <f>"85338"</f>
        <v>85338</v>
      </c>
      <c r="L4654" t="s">
        <v>5775</v>
      </c>
      <c r="M4654" t="s">
        <v>29170</v>
      </c>
      <c r="N4654" t="s">
        <v>499</v>
      </c>
      <c r="O4654" t="s">
        <v>111</v>
      </c>
      <c r="P4654" t="str">
        <f>"85338-3261"</f>
        <v>85338-3261</v>
      </c>
      <c r="Q4654" t="s">
        <v>113</v>
      </c>
      <c r="R4654" t="str">
        <f>"500-10-562"</f>
        <v>500-10-562</v>
      </c>
      <c r="S4654" t="s">
        <v>9551</v>
      </c>
      <c r="T4654" t="s">
        <v>9551</v>
      </c>
      <c r="U4654">
        <v>2992</v>
      </c>
      <c r="V4654">
        <v>0</v>
      </c>
      <c r="W4654">
        <v>4</v>
      </c>
      <c r="X4654">
        <v>2014</v>
      </c>
      <c r="Z4654">
        <v>2</v>
      </c>
      <c r="AB4654">
        <v>0</v>
      </c>
      <c r="AC4654" t="s">
        <v>115</v>
      </c>
      <c r="AD4654">
        <v>3</v>
      </c>
      <c r="AE4654" t="s">
        <v>115</v>
      </c>
      <c r="AF4654">
        <v>0</v>
      </c>
      <c r="AG4654">
        <v>0</v>
      </c>
      <c r="AH4654" t="s">
        <v>116</v>
      </c>
      <c r="AI4654" s="1">
        <v>47862</v>
      </c>
      <c r="AJ4654" s="2">
        <v>0.12</v>
      </c>
      <c r="AK4654" s="1">
        <v>389881</v>
      </c>
      <c r="AL4654" t="s">
        <v>117</v>
      </c>
      <c r="AM4654" t="s">
        <v>118</v>
      </c>
      <c r="AN4654">
        <v>13808</v>
      </c>
      <c r="AO4654">
        <v>0.32</v>
      </c>
      <c r="AR4654">
        <v>1</v>
      </c>
      <c r="AS4654" s="1">
        <v>28180</v>
      </c>
      <c r="AT4654" s="1">
        <v>5630</v>
      </c>
      <c r="AU4654" s="1">
        <v>22550</v>
      </c>
      <c r="AV4654">
        <v>80.02</v>
      </c>
      <c r="AX4654" s="1">
        <v>2515.38</v>
      </c>
      <c r="AY4654" t="s">
        <v>4311</v>
      </c>
      <c r="AZ4654" t="s">
        <v>4311</v>
      </c>
      <c r="BA4654" t="s">
        <v>7186</v>
      </c>
      <c r="BE4654" s="3">
        <v>41908</v>
      </c>
      <c r="BF4654" s="1">
        <v>331093</v>
      </c>
      <c r="BG4654" t="s">
        <v>158</v>
      </c>
      <c r="BH4654" s="1">
        <v>110.66</v>
      </c>
      <c r="BI4654" s="1">
        <v>342019</v>
      </c>
      <c r="BJ4654" s="3">
        <v>41908</v>
      </c>
      <c r="BK4654" t="s">
        <v>123</v>
      </c>
      <c r="BL4654" t="str">
        <f>"2014.638387"</f>
        <v>2014.638387</v>
      </c>
      <c r="BM4654" t="s">
        <v>241</v>
      </c>
      <c r="BO4654" t="s">
        <v>29171</v>
      </c>
      <c r="BS4654">
        <v>30</v>
      </c>
      <c r="BW4654" t="str">
        <f>""</f>
        <v/>
      </c>
      <c r="CH4654" t="str">
        <f>""</f>
        <v/>
      </c>
      <c r="CS4654" t="str">
        <f>""</f>
        <v/>
      </c>
    </row>
    <row r="4655" spans="1:97" x14ac:dyDescent="0.25">
      <c r="A4655" t="s">
        <v>6627</v>
      </c>
      <c r="B4655" t="s">
        <v>3526</v>
      </c>
      <c r="C4655" t="s">
        <v>1950</v>
      </c>
      <c r="D4655" t="s">
        <v>3526</v>
      </c>
      <c r="E4655" t="s">
        <v>29172</v>
      </c>
      <c r="F4655" t="s">
        <v>108</v>
      </c>
      <c r="H4655" t="s">
        <v>29173</v>
      </c>
      <c r="I4655" t="s">
        <v>1936</v>
      </c>
      <c r="J4655" t="s">
        <v>111</v>
      </c>
      <c r="K4655" t="str">
        <f>"85266"</f>
        <v>85266</v>
      </c>
      <c r="L4655" t="s">
        <v>17926</v>
      </c>
      <c r="M4655" t="s">
        <v>29173</v>
      </c>
      <c r="N4655" t="s">
        <v>1936</v>
      </c>
      <c r="O4655" t="s">
        <v>111</v>
      </c>
      <c r="P4655" t="str">
        <f>"85266-8210"</f>
        <v>85266-8210</v>
      </c>
      <c r="Q4655" t="s">
        <v>113</v>
      </c>
      <c r="R4655" t="str">
        <f>"211-61-439"</f>
        <v>211-61-439</v>
      </c>
      <c r="S4655" t="s">
        <v>17927</v>
      </c>
      <c r="T4655" t="s">
        <v>17927</v>
      </c>
      <c r="U4655">
        <v>3960</v>
      </c>
      <c r="V4655">
        <v>0</v>
      </c>
      <c r="W4655">
        <v>4</v>
      </c>
      <c r="X4655">
        <v>1999</v>
      </c>
      <c r="Z4655">
        <v>2</v>
      </c>
      <c r="AA4655" t="s">
        <v>26</v>
      </c>
      <c r="AB4655">
        <v>0</v>
      </c>
      <c r="AC4655" t="s">
        <v>115</v>
      </c>
      <c r="AD4655">
        <v>3</v>
      </c>
      <c r="AE4655" t="s">
        <v>115</v>
      </c>
      <c r="AF4655">
        <v>0</v>
      </c>
      <c r="AG4655">
        <v>0</v>
      </c>
      <c r="AH4655" t="s">
        <v>116</v>
      </c>
      <c r="AI4655" s="1">
        <v>75725</v>
      </c>
      <c r="AJ4655" s="2">
        <v>0.13</v>
      </c>
      <c r="AK4655" s="1">
        <v>582163</v>
      </c>
      <c r="AL4655" t="s">
        <v>117</v>
      </c>
      <c r="AM4655" t="s">
        <v>393</v>
      </c>
      <c r="AN4655">
        <v>19119</v>
      </c>
      <c r="AO4655">
        <v>0.44</v>
      </c>
      <c r="AP4655">
        <v>1</v>
      </c>
      <c r="AR4655">
        <v>1</v>
      </c>
      <c r="AS4655" s="1">
        <v>44510</v>
      </c>
      <c r="AT4655" s="1">
        <v>8900</v>
      </c>
      <c r="AU4655" s="1">
        <v>35610</v>
      </c>
      <c r="AV4655">
        <v>80</v>
      </c>
      <c r="AX4655" s="1">
        <v>2644.88</v>
      </c>
      <c r="AY4655" t="s">
        <v>7359</v>
      </c>
      <c r="AZ4655" t="s">
        <v>1402</v>
      </c>
      <c r="BA4655" t="s">
        <v>1403</v>
      </c>
      <c r="BE4655" s="3">
        <v>42489</v>
      </c>
      <c r="BF4655" s="1">
        <v>500000</v>
      </c>
      <c r="BG4655" t="s">
        <v>29174</v>
      </c>
      <c r="BH4655" s="1">
        <v>126.26</v>
      </c>
      <c r="BI4655" s="1">
        <v>486438</v>
      </c>
      <c r="BJ4655" s="3">
        <v>42489</v>
      </c>
      <c r="BK4655" t="s">
        <v>123</v>
      </c>
      <c r="BL4655" t="str">
        <f>"2016.293482"</f>
        <v>2016.293482</v>
      </c>
      <c r="BM4655" t="s">
        <v>475</v>
      </c>
      <c r="BO4655" t="s">
        <v>29175</v>
      </c>
      <c r="BS4655">
        <v>30</v>
      </c>
      <c r="BT4655" s="1">
        <v>20000</v>
      </c>
      <c r="BU4655" s="3">
        <v>42761</v>
      </c>
      <c r="BV4655" t="s">
        <v>134</v>
      </c>
      <c r="BW4655" t="str">
        <f>"2017.61805"</f>
        <v>2017.61805</v>
      </c>
      <c r="BX4655" t="s">
        <v>369</v>
      </c>
      <c r="BZ4655" t="s">
        <v>29176</v>
      </c>
      <c r="CD4655">
        <v>15</v>
      </c>
      <c r="CH4655" t="str">
        <f>""</f>
        <v/>
      </c>
      <c r="CS4655" t="str">
        <f>""</f>
        <v/>
      </c>
    </row>
    <row r="4656" spans="1:97" x14ac:dyDescent="0.25">
      <c r="A4656" t="s">
        <v>13735</v>
      </c>
      <c r="B4656" t="s">
        <v>29177</v>
      </c>
      <c r="C4656" t="s">
        <v>970</v>
      </c>
      <c r="D4656" t="s">
        <v>29177</v>
      </c>
      <c r="E4656" t="s">
        <v>29178</v>
      </c>
      <c r="F4656" t="s">
        <v>108</v>
      </c>
      <c r="H4656" t="s">
        <v>29179</v>
      </c>
      <c r="I4656" t="s">
        <v>499</v>
      </c>
      <c r="J4656" t="s">
        <v>111</v>
      </c>
      <c r="K4656" t="str">
        <f>"85338"</f>
        <v>85338</v>
      </c>
      <c r="L4656" t="s">
        <v>6481</v>
      </c>
      <c r="M4656" t="s">
        <v>29179</v>
      </c>
      <c r="N4656" t="s">
        <v>499</v>
      </c>
      <c r="O4656" t="s">
        <v>111</v>
      </c>
      <c r="P4656" t="str">
        <f>"85338-6000"</f>
        <v>85338-6000</v>
      </c>
      <c r="Q4656" t="s">
        <v>113</v>
      </c>
      <c r="R4656" t="str">
        <f>"500-96-315"</f>
        <v>500-96-315</v>
      </c>
      <c r="S4656" t="s">
        <v>13785</v>
      </c>
      <c r="U4656">
        <v>2764</v>
      </c>
      <c r="V4656">
        <v>0</v>
      </c>
      <c r="W4656">
        <v>3</v>
      </c>
      <c r="X4656">
        <v>2006</v>
      </c>
      <c r="Z4656">
        <v>2</v>
      </c>
      <c r="AB4656">
        <v>0</v>
      </c>
      <c r="AC4656" t="s">
        <v>115</v>
      </c>
      <c r="AD4656">
        <v>2</v>
      </c>
      <c r="AE4656" t="s">
        <v>115</v>
      </c>
      <c r="AF4656">
        <v>0</v>
      </c>
      <c r="AG4656">
        <v>0</v>
      </c>
      <c r="AH4656" t="s">
        <v>116</v>
      </c>
      <c r="AI4656" s="1">
        <v>88635</v>
      </c>
      <c r="AJ4656" s="2">
        <v>0.3</v>
      </c>
      <c r="AK4656" s="1">
        <v>300400</v>
      </c>
      <c r="AL4656" t="s">
        <v>117</v>
      </c>
      <c r="AM4656" t="s">
        <v>118</v>
      </c>
      <c r="AN4656">
        <v>10173</v>
      </c>
      <c r="AO4656">
        <v>0.23</v>
      </c>
      <c r="AR4656">
        <v>1</v>
      </c>
      <c r="AS4656" s="1">
        <v>21410</v>
      </c>
      <c r="AT4656" s="1">
        <v>4280</v>
      </c>
      <c r="AU4656" s="1">
        <v>17130</v>
      </c>
      <c r="AV4656">
        <v>80.010000000000005</v>
      </c>
      <c r="AX4656" s="1">
        <v>1761.78</v>
      </c>
      <c r="AY4656" t="s">
        <v>6319</v>
      </c>
      <c r="AZ4656" t="s">
        <v>6319</v>
      </c>
      <c r="BA4656" t="s">
        <v>7186</v>
      </c>
      <c r="BE4656" s="3">
        <v>42247</v>
      </c>
      <c r="BF4656" s="1">
        <v>205000</v>
      </c>
      <c r="BG4656" t="s">
        <v>17736</v>
      </c>
      <c r="BH4656" s="1">
        <v>74.17</v>
      </c>
      <c r="BI4656" s="1">
        <v>211765</v>
      </c>
      <c r="BJ4656" s="3">
        <v>42247</v>
      </c>
      <c r="BK4656" t="s">
        <v>123</v>
      </c>
      <c r="BL4656" t="str">
        <f>"2015.629363"</f>
        <v>2015.629363</v>
      </c>
      <c r="BM4656" t="s">
        <v>402</v>
      </c>
      <c r="BO4656" t="s">
        <v>29180</v>
      </c>
      <c r="BS4656">
        <v>30</v>
      </c>
      <c r="BW4656" t="str">
        <f>""</f>
        <v/>
      </c>
      <c r="CH4656" t="str">
        <f>""</f>
        <v/>
      </c>
      <c r="CS4656" t="str">
        <f>""</f>
        <v/>
      </c>
    </row>
    <row r="4657" spans="1:97" x14ac:dyDescent="0.25">
      <c r="A4657" t="s">
        <v>1963</v>
      </c>
      <c r="B4657" t="s">
        <v>1788</v>
      </c>
      <c r="C4657" t="s">
        <v>21512</v>
      </c>
      <c r="D4657" t="s">
        <v>1788</v>
      </c>
      <c r="E4657" t="s">
        <v>29181</v>
      </c>
      <c r="F4657" t="s">
        <v>108</v>
      </c>
      <c r="H4657" t="s">
        <v>29182</v>
      </c>
      <c r="I4657" t="s">
        <v>499</v>
      </c>
      <c r="J4657" t="s">
        <v>111</v>
      </c>
      <c r="K4657" t="str">
        <f>"85338"</f>
        <v>85338</v>
      </c>
      <c r="L4657" t="s">
        <v>6316</v>
      </c>
      <c r="M4657" t="s">
        <v>29182</v>
      </c>
      <c r="N4657" t="s">
        <v>499</v>
      </c>
      <c r="O4657" t="s">
        <v>111</v>
      </c>
      <c r="P4657" t="str">
        <f>"85338-2566"</f>
        <v>85338-2566</v>
      </c>
      <c r="Q4657" t="s">
        <v>113</v>
      </c>
      <c r="R4657" t="str">
        <f>"502-46-450"</f>
        <v>502-46-450</v>
      </c>
      <c r="S4657" t="s">
        <v>6317</v>
      </c>
      <c r="T4657" t="s">
        <v>6318</v>
      </c>
      <c r="U4657">
        <v>2431</v>
      </c>
      <c r="V4657">
        <v>0</v>
      </c>
      <c r="W4657">
        <v>3</v>
      </c>
      <c r="X4657">
        <v>2015</v>
      </c>
      <c r="Z4657">
        <v>2</v>
      </c>
      <c r="AB4657">
        <v>0</v>
      </c>
      <c r="AC4657" t="s">
        <v>115</v>
      </c>
      <c r="AD4657">
        <v>2</v>
      </c>
      <c r="AE4657" t="s">
        <v>115</v>
      </c>
      <c r="AF4657">
        <v>0</v>
      </c>
      <c r="AG4657">
        <v>0</v>
      </c>
      <c r="AH4657" t="s">
        <v>116</v>
      </c>
      <c r="AI4657" s="1">
        <v>49695</v>
      </c>
      <c r="AJ4657" s="2">
        <v>0.17</v>
      </c>
      <c r="AK4657" s="1">
        <v>299319</v>
      </c>
      <c r="AL4657" t="s">
        <v>117</v>
      </c>
      <c r="AM4657" t="s">
        <v>118</v>
      </c>
      <c r="AN4657">
        <v>7051</v>
      </c>
      <c r="AO4657">
        <v>0.16</v>
      </c>
      <c r="AR4657">
        <v>1</v>
      </c>
      <c r="AS4657" s="1">
        <v>21660</v>
      </c>
      <c r="AT4657" s="1">
        <v>4330</v>
      </c>
      <c r="AU4657" s="1">
        <v>17330</v>
      </c>
      <c r="AV4657">
        <v>80.010000000000005</v>
      </c>
      <c r="AX4657" s="1">
        <v>1810.12</v>
      </c>
      <c r="AY4657" t="s">
        <v>6319</v>
      </c>
      <c r="AZ4657" t="s">
        <v>6319</v>
      </c>
      <c r="BA4657" t="s">
        <v>218</v>
      </c>
      <c r="BE4657" s="3">
        <v>42242</v>
      </c>
      <c r="BF4657" s="1">
        <v>241650</v>
      </c>
      <c r="BG4657" t="s">
        <v>6320</v>
      </c>
      <c r="BH4657" s="1">
        <v>99.4</v>
      </c>
      <c r="BI4657" s="1">
        <v>249624</v>
      </c>
      <c r="BJ4657" s="3">
        <v>42242</v>
      </c>
      <c r="BK4657" t="s">
        <v>123</v>
      </c>
      <c r="BL4657" t="str">
        <f>"2015.618893"</f>
        <v>2015.618893</v>
      </c>
      <c r="BM4657" t="s">
        <v>573</v>
      </c>
      <c r="BO4657" t="s">
        <v>29183</v>
      </c>
      <c r="BS4657">
        <v>30</v>
      </c>
      <c r="BW4657" t="str">
        <f>""</f>
        <v/>
      </c>
      <c r="CH4657" t="str">
        <f>""</f>
        <v/>
      </c>
      <c r="CS4657" t="str">
        <f>""</f>
        <v/>
      </c>
    </row>
    <row r="4658" spans="1:97" x14ac:dyDescent="0.25">
      <c r="A4658" t="s">
        <v>957</v>
      </c>
      <c r="B4658" t="s">
        <v>16719</v>
      </c>
      <c r="E4658" t="s">
        <v>29184</v>
      </c>
      <c r="F4658" t="s">
        <v>108</v>
      </c>
      <c r="H4658" t="s">
        <v>29185</v>
      </c>
      <c r="I4658" t="s">
        <v>203</v>
      </c>
      <c r="J4658" t="s">
        <v>111</v>
      </c>
      <c r="K4658" t="str">
        <f>"85295"</f>
        <v>85295</v>
      </c>
      <c r="L4658" t="s">
        <v>8472</v>
      </c>
      <c r="M4658" t="s">
        <v>29185</v>
      </c>
      <c r="N4658" t="s">
        <v>203</v>
      </c>
      <c r="O4658" t="s">
        <v>111</v>
      </c>
      <c r="P4658" t="str">
        <f>"85295-6142"</f>
        <v>85295-6142</v>
      </c>
      <c r="Q4658" t="s">
        <v>113</v>
      </c>
      <c r="R4658" t="str">
        <f>"304-43-717"</f>
        <v>304-43-717</v>
      </c>
      <c r="S4658" t="s">
        <v>8473</v>
      </c>
      <c r="T4658" t="s">
        <v>8473</v>
      </c>
      <c r="U4658">
        <v>1486</v>
      </c>
      <c r="V4658">
        <v>0</v>
      </c>
      <c r="W4658">
        <v>3</v>
      </c>
      <c r="X4658">
        <v>2010</v>
      </c>
      <c r="Z4658">
        <v>2</v>
      </c>
      <c r="AB4658">
        <v>0</v>
      </c>
      <c r="AC4658" t="s">
        <v>115</v>
      </c>
      <c r="AD4658">
        <v>2</v>
      </c>
      <c r="AE4658" t="s">
        <v>115</v>
      </c>
      <c r="AF4658">
        <v>0</v>
      </c>
      <c r="AG4658">
        <v>0</v>
      </c>
      <c r="AH4658" t="s">
        <v>116</v>
      </c>
      <c r="AI4658" s="1">
        <v>62195</v>
      </c>
      <c r="AJ4658" s="2">
        <v>0.23</v>
      </c>
      <c r="AK4658" s="1">
        <v>267095</v>
      </c>
      <c r="AL4658" t="s">
        <v>117</v>
      </c>
      <c r="AM4658" t="s">
        <v>288</v>
      </c>
      <c r="AN4658">
        <v>3040</v>
      </c>
      <c r="AO4658">
        <v>0.7</v>
      </c>
      <c r="AR4658">
        <v>1</v>
      </c>
      <c r="AS4658" s="1">
        <v>17780</v>
      </c>
      <c r="AT4658" s="1">
        <v>3550</v>
      </c>
      <c r="AU4658" s="1">
        <v>14230</v>
      </c>
      <c r="AV4658">
        <v>80.03</v>
      </c>
      <c r="AX4658" s="1">
        <v>1546.48</v>
      </c>
      <c r="AY4658" t="s">
        <v>472</v>
      </c>
      <c r="AZ4658" t="s">
        <v>472</v>
      </c>
      <c r="BA4658" t="s">
        <v>473</v>
      </c>
      <c r="BE4658" s="3">
        <v>42515</v>
      </c>
      <c r="BF4658" s="1">
        <v>204900</v>
      </c>
      <c r="BG4658" t="s">
        <v>29186</v>
      </c>
      <c r="BH4658" s="1">
        <v>137.88999999999999</v>
      </c>
      <c r="BI4658" s="1">
        <v>204900</v>
      </c>
      <c r="BJ4658" s="3">
        <v>42515</v>
      </c>
      <c r="BK4658" t="s">
        <v>123</v>
      </c>
      <c r="BL4658" t="str">
        <f>"2016.360159"</f>
        <v>2016.360159</v>
      </c>
      <c r="BM4658" t="s">
        <v>544</v>
      </c>
      <c r="BO4658" t="s">
        <v>29187</v>
      </c>
      <c r="BS4658">
        <v>30</v>
      </c>
      <c r="BW4658" t="str">
        <f>""</f>
        <v/>
      </c>
      <c r="CH4658" t="str">
        <f>""</f>
        <v/>
      </c>
      <c r="CS4658" t="str">
        <f>""</f>
        <v/>
      </c>
    </row>
    <row r="4659" spans="1:97" x14ac:dyDescent="0.25">
      <c r="B4659" t="s">
        <v>29188</v>
      </c>
      <c r="E4659" t="s">
        <v>29051</v>
      </c>
      <c r="F4659" t="s">
        <v>108</v>
      </c>
      <c r="H4659" t="s">
        <v>29189</v>
      </c>
      <c r="I4659" t="s">
        <v>5636</v>
      </c>
      <c r="J4659" t="s">
        <v>111</v>
      </c>
      <c r="K4659" t="str">
        <f>"85268"</f>
        <v>85268</v>
      </c>
      <c r="L4659" t="s">
        <v>7147</v>
      </c>
      <c r="M4659" t="s">
        <v>29189</v>
      </c>
      <c r="N4659" t="s">
        <v>5636</v>
      </c>
      <c r="O4659" t="s">
        <v>111</v>
      </c>
      <c r="P4659" t="str">
        <f>"85268-4856"</f>
        <v>85268-4856</v>
      </c>
      <c r="Q4659" t="s">
        <v>113</v>
      </c>
      <c r="R4659" t="str">
        <f>"176-27-390"</f>
        <v>176-27-390</v>
      </c>
      <c r="S4659" t="s">
        <v>29190</v>
      </c>
      <c r="T4659" t="s">
        <v>29190</v>
      </c>
      <c r="U4659">
        <v>2484</v>
      </c>
      <c r="V4659">
        <v>0</v>
      </c>
      <c r="W4659">
        <v>4</v>
      </c>
      <c r="X4659">
        <v>2015</v>
      </c>
      <c r="Z4659">
        <v>1</v>
      </c>
      <c r="AB4659">
        <v>0</v>
      </c>
      <c r="AC4659" t="s">
        <v>115</v>
      </c>
      <c r="AD4659">
        <v>2</v>
      </c>
      <c r="AE4659" t="s">
        <v>115</v>
      </c>
      <c r="AF4659">
        <v>0</v>
      </c>
      <c r="AG4659">
        <v>0</v>
      </c>
      <c r="AH4659" t="s">
        <v>116</v>
      </c>
      <c r="AI4659" s="1">
        <v>57072</v>
      </c>
      <c r="AJ4659" s="2">
        <v>0.1</v>
      </c>
      <c r="AK4659" s="1">
        <v>577072</v>
      </c>
      <c r="AL4659" t="s">
        <v>117</v>
      </c>
      <c r="AM4659" t="s">
        <v>1302</v>
      </c>
      <c r="AN4659">
        <v>11523</v>
      </c>
      <c r="AO4659">
        <v>0.26</v>
      </c>
      <c r="AR4659">
        <v>1</v>
      </c>
      <c r="AS4659" s="1">
        <v>42970</v>
      </c>
      <c r="AT4659" s="1">
        <v>8590</v>
      </c>
      <c r="AU4659" s="1">
        <v>34380</v>
      </c>
      <c r="AV4659">
        <v>80.010000000000005</v>
      </c>
      <c r="AX4659" s="1">
        <v>2492.56</v>
      </c>
      <c r="AY4659" t="s">
        <v>5639</v>
      </c>
      <c r="AZ4659" t="s">
        <v>5640</v>
      </c>
      <c r="BA4659" t="s">
        <v>5641</v>
      </c>
      <c r="BB4659" s="3">
        <v>43266</v>
      </c>
      <c r="BC4659" s="1">
        <v>0</v>
      </c>
      <c r="BD4659" t="s">
        <v>247</v>
      </c>
      <c r="BE4659" s="3">
        <v>42452</v>
      </c>
      <c r="BF4659" s="1">
        <v>550000</v>
      </c>
      <c r="BG4659" t="s">
        <v>29191</v>
      </c>
      <c r="BH4659" s="1">
        <v>221.42</v>
      </c>
      <c r="BI4659" s="1">
        <v>520000</v>
      </c>
      <c r="BJ4659" s="3">
        <v>42634</v>
      </c>
      <c r="BK4659" t="s">
        <v>123</v>
      </c>
      <c r="BL4659" t="str">
        <f>"2016.686650"</f>
        <v>2016.686650</v>
      </c>
      <c r="BM4659" t="s">
        <v>544</v>
      </c>
      <c r="BN4659" t="s">
        <v>545</v>
      </c>
      <c r="BO4659" t="s">
        <v>29192</v>
      </c>
      <c r="BP4659" t="s">
        <v>29193</v>
      </c>
      <c r="BS4659">
        <v>30</v>
      </c>
      <c r="BW4659" t="str">
        <f>""</f>
        <v/>
      </c>
      <c r="CH4659" t="str">
        <f>""</f>
        <v/>
      </c>
      <c r="CS4659" t="str">
        <f>""</f>
        <v/>
      </c>
    </row>
    <row r="4660" spans="1:97" x14ac:dyDescent="0.25">
      <c r="A4660" t="s">
        <v>4406</v>
      </c>
      <c r="B4660" t="s">
        <v>29194</v>
      </c>
      <c r="C4660" t="s">
        <v>938</v>
      </c>
      <c r="D4660" t="s">
        <v>29194</v>
      </c>
      <c r="E4660" t="s">
        <v>29195</v>
      </c>
      <c r="F4660" t="s">
        <v>108</v>
      </c>
      <c r="H4660" t="s">
        <v>29196</v>
      </c>
      <c r="I4660" t="s">
        <v>1788</v>
      </c>
      <c r="J4660" t="s">
        <v>111</v>
      </c>
      <c r="K4660" t="str">
        <f>"85355"</f>
        <v>85355</v>
      </c>
      <c r="L4660" t="s">
        <v>168</v>
      </c>
      <c r="M4660" t="s">
        <v>29196</v>
      </c>
      <c r="N4660" t="s">
        <v>1788</v>
      </c>
      <c r="O4660" t="s">
        <v>111</v>
      </c>
      <c r="P4660" t="str">
        <f>"85355-4337"</f>
        <v>85355-4337</v>
      </c>
      <c r="Q4660" t="s">
        <v>113</v>
      </c>
      <c r="R4660" t="str">
        <f>"502-90-693"</f>
        <v>502-90-693</v>
      </c>
      <c r="S4660" t="s">
        <v>8290</v>
      </c>
      <c r="T4660" t="s">
        <v>8290</v>
      </c>
      <c r="U4660">
        <v>3297</v>
      </c>
      <c r="V4660">
        <v>0</v>
      </c>
      <c r="W4660">
        <v>4</v>
      </c>
      <c r="X4660">
        <v>2014</v>
      </c>
      <c r="Z4660">
        <v>2</v>
      </c>
      <c r="AB4660">
        <v>0</v>
      </c>
      <c r="AC4660" t="s">
        <v>115</v>
      </c>
      <c r="AD4660">
        <v>3</v>
      </c>
      <c r="AE4660" t="s">
        <v>115</v>
      </c>
      <c r="AF4660">
        <v>0</v>
      </c>
      <c r="AG4660">
        <v>0</v>
      </c>
      <c r="AH4660" t="s">
        <v>116</v>
      </c>
      <c r="AI4660" s="1">
        <v>73866</v>
      </c>
      <c r="AJ4660" s="2">
        <v>0.21</v>
      </c>
      <c r="AK4660" s="1">
        <v>351663</v>
      </c>
      <c r="AL4660" t="s">
        <v>117</v>
      </c>
      <c r="AM4660" t="s">
        <v>191</v>
      </c>
      <c r="AN4660">
        <v>9094</v>
      </c>
      <c r="AO4660">
        <v>0.21</v>
      </c>
      <c r="AR4660">
        <v>1</v>
      </c>
      <c r="AS4660" s="1">
        <v>26220</v>
      </c>
      <c r="AT4660" s="1">
        <v>5240</v>
      </c>
      <c r="AU4660" s="1">
        <v>20980</v>
      </c>
      <c r="AV4660">
        <v>80.02</v>
      </c>
      <c r="AX4660" s="1">
        <v>1858.96</v>
      </c>
      <c r="AY4660" t="s">
        <v>5972</v>
      </c>
      <c r="AZ4660" t="s">
        <v>5972</v>
      </c>
      <c r="BA4660" t="s">
        <v>5061</v>
      </c>
      <c r="BE4660" s="3">
        <v>41708</v>
      </c>
      <c r="BF4660" s="1">
        <v>282581</v>
      </c>
      <c r="BG4660" t="s">
        <v>2289</v>
      </c>
      <c r="BH4660" s="1">
        <v>85.71</v>
      </c>
      <c r="BI4660" s="1">
        <v>277797</v>
      </c>
      <c r="BJ4660" s="3">
        <v>42550</v>
      </c>
      <c r="BK4660" t="s">
        <v>123</v>
      </c>
      <c r="BL4660" t="str">
        <f>"2016.454259"</f>
        <v>2016.454259</v>
      </c>
      <c r="BM4660" t="s">
        <v>1038</v>
      </c>
      <c r="BO4660" t="s">
        <v>29197</v>
      </c>
      <c r="BS4660">
        <v>30</v>
      </c>
      <c r="BW4660" t="str">
        <f>""</f>
        <v/>
      </c>
      <c r="CH4660" t="str">
        <f>""</f>
        <v/>
      </c>
      <c r="CS4660" t="str">
        <f>""</f>
        <v/>
      </c>
    </row>
    <row r="4661" spans="1:97" x14ac:dyDescent="0.25">
      <c r="A4661" t="s">
        <v>589</v>
      </c>
      <c r="B4661" t="s">
        <v>29198</v>
      </c>
      <c r="C4661" t="s">
        <v>29199</v>
      </c>
      <c r="D4661" t="s">
        <v>29198</v>
      </c>
      <c r="E4661" t="s">
        <v>29200</v>
      </c>
      <c r="F4661" t="s">
        <v>282</v>
      </c>
      <c r="H4661" t="s">
        <v>29201</v>
      </c>
      <c r="I4661" t="s">
        <v>225</v>
      </c>
      <c r="J4661" t="s">
        <v>111</v>
      </c>
      <c r="K4661" t="str">
        <f>"85205"</f>
        <v>85205</v>
      </c>
      <c r="L4661" t="s">
        <v>3982</v>
      </c>
      <c r="M4661" t="s">
        <v>29202</v>
      </c>
      <c r="N4661" t="s">
        <v>225</v>
      </c>
      <c r="O4661" t="s">
        <v>111</v>
      </c>
      <c r="P4661" t="str">
        <f>"85215-1682"</f>
        <v>85215-1682</v>
      </c>
      <c r="Q4661" t="s">
        <v>113</v>
      </c>
      <c r="R4661" t="str">
        <f>"141-65-130"</f>
        <v>141-65-130</v>
      </c>
      <c r="S4661" t="s">
        <v>15648</v>
      </c>
      <c r="T4661" t="s">
        <v>15649</v>
      </c>
      <c r="U4661">
        <v>2206</v>
      </c>
      <c r="V4661">
        <v>0</v>
      </c>
      <c r="W4661">
        <v>2</v>
      </c>
      <c r="X4661">
        <v>1979</v>
      </c>
      <c r="Z4661">
        <v>1</v>
      </c>
      <c r="AB4661">
        <v>0</v>
      </c>
      <c r="AC4661" t="s">
        <v>5188</v>
      </c>
      <c r="AD4661">
        <v>2</v>
      </c>
      <c r="AE4661" t="s">
        <v>5188</v>
      </c>
      <c r="AF4661">
        <v>0</v>
      </c>
      <c r="AG4661">
        <v>0</v>
      </c>
      <c r="AH4661" t="s">
        <v>116</v>
      </c>
      <c r="AI4661" s="1">
        <v>71167</v>
      </c>
      <c r="AJ4661" s="2">
        <v>0.24</v>
      </c>
      <c r="AK4661" s="1">
        <v>299983</v>
      </c>
      <c r="AL4661" t="s">
        <v>117</v>
      </c>
      <c r="AM4661" t="s">
        <v>917</v>
      </c>
      <c r="AN4661">
        <v>10945</v>
      </c>
      <c r="AO4661">
        <v>0.25</v>
      </c>
      <c r="AP4661">
        <v>1</v>
      </c>
      <c r="AR4661">
        <v>1</v>
      </c>
      <c r="AS4661" s="1">
        <v>20060</v>
      </c>
      <c r="AT4661" s="1">
        <v>4010</v>
      </c>
      <c r="AU4661" s="1">
        <v>16050</v>
      </c>
      <c r="AV4661">
        <v>80.010000000000005</v>
      </c>
      <c r="AX4661" s="1">
        <v>1715.22</v>
      </c>
      <c r="AY4661" t="s">
        <v>5274</v>
      </c>
      <c r="AZ4661" t="s">
        <v>5275</v>
      </c>
      <c r="BA4661" t="s">
        <v>3119</v>
      </c>
      <c r="BE4661" s="3">
        <v>42216</v>
      </c>
      <c r="BF4661" s="1">
        <v>224000</v>
      </c>
      <c r="BG4661" t="s">
        <v>29203</v>
      </c>
      <c r="BH4661" s="1">
        <v>101.54</v>
      </c>
      <c r="BI4661" s="1">
        <v>228816</v>
      </c>
      <c r="BJ4661" s="3">
        <v>42216</v>
      </c>
      <c r="BK4661" t="s">
        <v>123</v>
      </c>
      <c r="BL4661" t="str">
        <f>"2015.555208"</f>
        <v>2015.555208</v>
      </c>
      <c r="BM4661" t="s">
        <v>4014</v>
      </c>
      <c r="BO4661" t="s">
        <v>29204</v>
      </c>
      <c r="BS4661">
        <v>30</v>
      </c>
      <c r="BW4661" t="str">
        <f>""</f>
        <v/>
      </c>
      <c r="CH4661" t="str">
        <f>""</f>
        <v/>
      </c>
      <c r="CS4661" t="str">
        <f>""</f>
        <v/>
      </c>
    </row>
    <row r="4662" spans="1:97" x14ac:dyDescent="0.25">
      <c r="A4662" t="s">
        <v>370</v>
      </c>
      <c r="B4662" t="s">
        <v>3730</v>
      </c>
      <c r="E4662" t="s">
        <v>29205</v>
      </c>
      <c r="F4662" t="s">
        <v>108</v>
      </c>
      <c r="H4662" t="s">
        <v>29206</v>
      </c>
      <c r="I4662" t="s">
        <v>390</v>
      </c>
      <c r="J4662" t="s">
        <v>111</v>
      </c>
      <c r="K4662" t="str">
        <f>"85053"</f>
        <v>85053</v>
      </c>
      <c r="L4662" t="s">
        <v>7847</v>
      </c>
      <c r="M4662" t="s">
        <v>29206</v>
      </c>
      <c r="N4662" t="s">
        <v>390</v>
      </c>
      <c r="O4662" t="s">
        <v>111</v>
      </c>
      <c r="P4662" t="str">
        <f>"85053-3014"</f>
        <v>85053-3014</v>
      </c>
      <c r="Q4662" t="s">
        <v>113</v>
      </c>
      <c r="R4662" t="str">
        <f>"207-39-428"</f>
        <v>207-39-428</v>
      </c>
      <c r="S4662" t="s">
        <v>29207</v>
      </c>
      <c r="T4662" t="s">
        <v>20743</v>
      </c>
      <c r="U4662">
        <v>2317</v>
      </c>
      <c r="V4662">
        <v>0</v>
      </c>
      <c r="W4662">
        <v>4</v>
      </c>
      <c r="X4662">
        <v>1978</v>
      </c>
      <c r="Z4662">
        <v>2</v>
      </c>
      <c r="AA4662" t="s">
        <v>26</v>
      </c>
      <c r="AB4662">
        <v>0</v>
      </c>
      <c r="AC4662" t="s">
        <v>115</v>
      </c>
      <c r="AD4662">
        <v>2</v>
      </c>
      <c r="AE4662" t="s">
        <v>115</v>
      </c>
      <c r="AF4662">
        <v>0</v>
      </c>
      <c r="AG4662">
        <v>0</v>
      </c>
      <c r="AH4662" t="s">
        <v>116</v>
      </c>
      <c r="AI4662" s="1">
        <v>51682</v>
      </c>
      <c r="AJ4662" s="2">
        <v>0.17</v>
      </c>
      <c r="AK4662" s="1">
        <v>311522</v>
      </c>
      <c r="AL4662" t="s">
        <v>117</v>
      </c>
      <c r="AM4662" t="s">
        <v>171</v>
      </c>
      <c r="AN4662">
        <v>10278</v>
      </c>
      <c r="AO4662">
        <v>0.24</v>
      </c>
      <c r="AP4662">
        <v>1</v>
      </c>
      <c r="AR4662">
        <v>1</v>
      </c>
      <c r="AS4662" s="1">
        <v>22350</v>
      </c>
      <c r="AT4662" s="1">
        <v>4470</v>
      </c>
      <c r="AU4662" s="1">
        <v>17880</v>
      </c>
      <c r="AV4662">
        <v>80</v>
      </c>
      <c r="AX4662" s="1">
        <v>1957.5</v>
      </c>
      <c r="AY4662" t="s">
        <v>8546</v>
      </c>
      <c r="AZ4662" t="s">
        <v>2997</v>
      </c>
      <c r="BA4662" t="s">
        <v>2998</v>
      </c>
      <c r="BB4662" s="3">
        <v>42535</v>
      </c>
      <c r="BD4662" t="s">
        <v>240</v>
      </c>
      <c r="BE4662" s="3">
        <v>42496</v>
      </c>
      <c r="BF4662" s="1">
        <v>265000</v>
      </c>
      <c r="BG4662" t="s">
        <v>29208</v>
      </c>
      <c r="BH4662" s="1">
        <v>114.37</v>
      </c>
      <c r="BI4662" s="1">
        <v>259840</v>
      </c>
      <c r="BJ4662" s="3">
        <v>42783</v>
      </c>
      <c r="BK4662" t="s">
        <v>123</v>
      </c>
      <c r="BL4662" t="str">
        <f>"2017.118374"</f>
        <v>2017.118374</v>
      </c>
      <c r="BM4662" t="s">
        <v>1287</v>
      </c>
      <c r="BO4662" t="s">
        <v>29209</v>
      </c>
      <c r="BS4662">
        <v>30</v>
      </c>
      <c r="BW4662" t="str">
        <f>""</f>
        <v/>
      </c>
      <c r="CH4662" t="str">
        <f>""</f>
        <v/>
      </c>
      <c r="CS4662" t="str">
        <f>""</f>
        <v/>
      </c>
    </row>
    <row r="4663" spans="1:97" x14ac:dyDescent="0.25">
      <c r="A4663" t="s">
        <v>2729</v>
      </c>
      <c r="B4663" t="s">
        <v>29210</v>
      </c>
      <c r="C4663" t="s">
        <v>29211</v>
      </c>
      <c r="D4663" t="s">
        <v>29210</v>
      </c>
      <c r="E4663" t="s">
        <v>29212</v>
      </c>
      <c r="F4663" t="s">
        <v>108</v>
      </c>
      <c r="H4663" t="s">
        <v>29213</v>
      </c>
      <c r="I4663" t="s">
        <v>225</v>
      </c>
      <c r="J4663" t="s">
        <v>111</v>
      </c>
      <c r="K4663" t="str">
        <f>"85207"</f>
        <v>85207</v>
      </c>
      <c r="L4663" t="s">
        <v>21230</v>
      </c>
      <c r="M4663" t="s">
        <v>29213</v>
      </c>
      <c r="N4663" t="s">
        <v>225</v>
      </c>
      <c r="O4663" t="s">
        <v>111</v>
      </c>
      <c r="P4663" t="str">
        <f>"85207-4120"</f>
        <v>85207-4120</v>
      </c>
      <c r="Q4663" t="s">
        <v>113</v>
      </c>
      <c r="R4663" t="str">
        <f>"218-06-429"</f>
        <v>218-06-429</v>
      </c>
      <c r="S4663" t="s">
        <v>29214</v>
      </c>
      <c r="T4663" t="s">
        <v>29214</v>
      </c>
      <c r="U4663">
        <v>2862</v>
      </c>
      <c r="V4663">
        <v>0</v>
      </c>
      <c r="W4663">
        <v>4</v>
      </c>
      <c r="X4663">
        <v>2001</v>
      </c>
      <c r="Z4663">
        <v>1</v>
      </c>
      <c r="AA4663" t="s">
        <v>26</v>
      </c>
      <c r="AB4663">
        <v>0</v>
      </c>
      <c r="AC4663" t="s">
        <v>115</v>
      </c>
      <c r="AD4663">
        <v>3</v>
      </c>
      <c r="AE4663" t="s">
        <v>115</v>
      </c>
      <c r="AF4663">
        <v>0</v>
      </c>
      <c r="AG4663">
        <v>0</v>
      </c>
      <c r="AH4663" t="s">
        <v>116</v>
      </c>
      <c r="AI4663" s="1">
        <v>67995</v>
      </c>
      <c r="AJ4663" s="2">
        <v>0.15</v>
      </c>
      <c r="AK4663" s="1">
        <v>446440</v>
      </c>
      <c r="AL4663" t="s">
        <v>117</v>
      </c>
      <c r="AM4663" t="s">
        <v>917</v>
      </c>
      <c r="AN4663">
        <v>11337</v>
      </c>
      <c r="AO4663">
        <v>0.26</v>
      </c>
      <c r="AP4663">
        <v>1</v>
      </c>
      <c r="AR4663">
        <v>1</v>
      </c>
      <c r="AS4663" s="1">
        <v>33200</v>
      </c>
      <c r="AT4663" s="1">
        <v>6640</v>
      </c>
      <c r="AU4663" s="1">
        <v>26560</v>
      </c>
      <c r="AV4663">
        <v>80</v>
      </c>
      <c r="AX4663" s="1">
        <v>3216.24</v>
      </c>
      <c r="AY4663" t="s">
        <v>3118</v>
      </c>
      <c r="AZ4663" t="s">
        <v>231</v>
      </c>
      <c r="BA4663" t="s">
        <v>3119</v>
      </c>
      <c r="BE4663" s="3">
        <v>42542</v>
      </c>
      <c r="BF4663" s="1">
        <v>378500</v>
      </c>
      <c r="BG4663" t="s">
        <v>29215</v>
      </c>
      <c r="BH4663" s="1">
        <v>132.25</v>
      </c>
      <c r="BI4663" s="1">
        <v>378445</v>
      </c>
      <c r="BJ4663" s="3">
        <v>42977</v>
      </c>
      <c r="BK4663" t="s">
        <v>123</v>
      </c>
      <c r="BL4663" t="str">
        <f>"2017.642276"</f>
        <v>2017.642276</v>
      </c>
      <c r="BM4663" t="s">
        <v>3855</v>
      </c>
      <c r="BO4663" t="s">
        <v>29216</v>
      </c>
      <c r="BS4663">
        <v>30</v>
      </c>
      <c r="BW4663" t="str">
        <f>""</f>
        <v/>
      </c>
      <c r="CH4663" t="str">
        <f>""</f>
        <v/>
      </c>
      <c r="CS4663" t="str">
        <f>""</f>
        <v/>
      </c>
    </row>
    <row r="4664" spans="1:97" x14ac:dyDescent="0.25">
      <c r="A4664" t="s">
        <v>370</v>
      </c>
      <c r="B4664" t="s">
        <v>29217</v>
      </c>
      <c r="C4664" t="s">
        <v>29218</v>
      </c>
      <c r="D4664" t="s">
        <v>29217</v>
      </c>
      <c r="E4664" t="s">
        <v>29219</v>
      </c>
      <c r="F4664" t="s">
        <v>108</v>
      </c>
      <c r="H4664" t="s">
        <v>29220</v>
      </c>
      <c r="I4664" t="s">
        <v>390</v>
      </c>
      <c r="J4664" t="s">
        <v>111</v>
      </c>
      <c r="K4664" t="str">
        <f>"85032"</f>
        <v>85032</v>
      </c>
      <c r="L4664" t="s">
        <v>1312</v>
      </c>
      <c r="M4664" t="s">
        <v>29220</v>
      </c>
      <c r="N4664" t="s">
        <v>390</v>
      </c>
      <c r="O4664" t="s">
        <v>111</v>
      </c>
      <c r="P4664" t="str">
        <f>"85032-3450"</f>
        <v>85032-3450</v>
      </c>
      <c r="Q4664" t="s">
        <v>113</v>
      </c>
      <c r="R4664" t="str">
        <f>"215-19-376"</f>
        <v>215-19-376</v>
      </c>
      <c r="S4664" t="s">
        <v>29221</v>
      </c>
      <c r="U4664">
        <v>1853</v>
      </c>
      <c r="V4664">
        <v>0</v>
      </c>
      <c r="W4664">
        <v>3</v>
      </c>
      <c r="X4664">
        <v>1984</v>
      </c>
      <c r="Z4664">
        <v>1</v>
      </c>
      <c r="AA4664" t="s">
        <v>26</v>
      </c>
      <c r="AB4664">
        <v>0</v>
      </c>
      <c r="AC4664" t="s">
        <v>115</v>
      </c>
      <c r="AD4664">
        <v>2</v>
      </c>
      <c r="AE4664" t="s">
        <v>115</v>
      </c>
      <c r="AF4664">
        <v>0</v>
      </c>
      <c r="AG4664">
        <v>0</v>
      </c>
      <c r="AH4664" t="s">
        <v>116</v>
      </c>
      <c r="AI4664" s="1">
        <v>9061</v>
      </c>
      <c r="AJ4664" s="2">
        <v>0.02</v>
      </c>
      <c r="AK4664" s="1">
        <v>388650</v>
      </c>
      <c r="AL4664" t="s">
        <v>117</v>
      </c>
      <c r="AM4664" t="s">
        <v>1302</v>
      </c>
      <c r="AN4664">
        <v>9788</v>
      </c>
      <c r="AO4664">
        <v>0.22</v>
      </c>
      <c r="AP4664">
        <v>1</v>
      </c>
      <c r="AR4664">
        <v>1</v>
      </c>
      <c r="AS4664" s="1">
        <v>28310</v>
      </c>
      <c r="AT4664" s="1">
        <v>5660</v>
      </c>
      <c r="AU4664" s="1">
        <v>22650</v>
      </c>
      <c r="AV4664">
        <v>80.010000000000005</v>
      </c>
      <c r="AX4664" s="1">
        <v>2644.96</v>
      </c>
      <c r="AY4664" t="s">
        <v>1316</v>
      </c>
      <c r="AZ4664" t="s">
        <v>1317</v>
      </c>
      <c r="BA4664" t="s">
        <v>1318</v>
      </c>
      <c r="BE4664" s="3">
        <v>42401</v>
      </c>
      <c r="BF4664" s="1">
        <v>318500</v>
      </c>
      <c r="BG4664" t="s">
        <v>29222</v>
      </c>
      <c r="BH4664" s="1">
        <v>171.88</v>
      </c>
      <c r="BI4664" s="1">
        <v>318500</v>
      </c>
      <c r="BJ4664" s="3">
        <v>42681</v>
      </c>
      <c r="BK4664" t="s">
        <v>123</v>
      </c>
      <c r="BL4664" t="str">
        <f>"2016.818649"</f>
        <v>2016.818649</v>
      </c>
      <c r="BM4664" t="s">
        <v>1033</v>
      </c>
      <c r="BN4664" t="s">
        <v>1052</v>
      </c>
      <c r="BO4664" t="s">
        <v>29223</v>
      </c>
      <c r="BS4664">
        <v>30</v>
      </c>
      <c r="BT4664" s="1">
        <v>61089</v>
      </c>
      <c r="BU4664" s="3">
        <v>43396</v>
      </c>
      <c r="BW4664" t="str">
        <f>"2018.792682"</f>
        <v>2018.792682</v>
      </c>
      <c r="BX4664" t="s">
        <v>3538</v>
      </c>
      <c r="BY4664" t="s">
        <v>3539</v>
      </c>
      <c r="BZ4664" t="s">
        <v>29224</v>
      </c>
      <c r="CA4664" t="s">
        <v>29225</v>
      </c>
      <c r="CC4664" t="s">
        <v>346</v>
      </c>
      <c r="CH4664" t="str">
        <f>""</f>
        <v/>
      </c>
      <c r="CS4664" t="str">
        <f>""</f>
        <v/>
      </c>
    </row>
    <row r="4665" spans="1:97" x14ac:dyDescent="0.25">
      <c r="A4665" t="s">
        <v>17319</v>
      </c>
      <c r="B4665" t="s">
        <v>29019</v>
      </c>
      <c r="E4665" t="s">
        <v>29226</v>
      </c>
      <c r="F4665" t="s">
        <v>108</v>
      </c>
      <c r="H4665" t="s">
        <v>29227</v>
      </c>
      <c r="I4665" t="s">
        <v>2874</v>
      </c>
      <c r="J4665" t="s">
        <v>111</v>
      </c>
      <c r="K4665" t="str">
        <f>"85308"</f>
        <v>85308</v>
      </c>
      <c r="L4665" t="s">
        <v>8462</v>
      </c>
      <c r="M4665" t="s">
        <v>29227</v>
      </c>
      <c r="N4665" t="s">
        <v>2874</v>
      </c>
      <c r="O4665" t="s">
        <v>111</v>
      </c>
      <c r="P4665" t="str">
        <f>"85308-4117"</f>
        <v>85308-4117</v>
      </c>
      <c r="Q4665" t="s">
        <v>113</v>
      </c>
      <c r="R4665" t="str">
        <f>"207-18-070"</f>
        <v>207-18-070</v>
      </c>
      <c r="S4665" t="s">
        <v>29228</v>
      </c>
      <c r="T4665" t="s">
        <v>8465</v>
      </c>
      <c r="U4665">
        <v>1784</v>
      </c>
      <c r="V4665">
        <v>0</v>
      </c>
      <c r="W4665">
        <v>2</v>
      </c>
      <c r="X4665">
        <v>1978</v>
      </c>
      <c r="Z4665">
        <v>1</v>
      </c>
      <c r="AA4665" t="s">
        <v>26</v>
      </c>
      <c r="AB4665">
        <v>0</v>
      </c>
      <c r="AC4665" t="s">
        <v>115</v>
      </c>
      <c r="AD4665">
        <v>2</v>
      </c>
      <c r="AE4665" t="s">
        <v>115</v>
      </c>
      <c r="AF4665">
        <v>0</v>
      </c>
      <c r="AG4665">
        <v>0</v>
      </c>
      <c r="AH4665" t="s">
        <v>116</v>
      </c>
      <c r="AI4665" s="1">
        <v>59742</v>
      </c>
      <c r="AJ4665" s="2">
        <v>0.21</v>
      </c>
      <c r="AK4665" s="1">
        <v>281742</v>
      </c>
      <c r="AL4665" t="s">
        <v>117</v>
      </c>
      <c r="AM4665" t="s">
        <v>171</v>
      </c>
      <c r="AN4665">
        <v>8480</v>
      </c>
      <c r="AO4665">
        <v>0.2</v>
      </c>
      <c r="AP4665">
        <v>1</v>
      </c>
      <c r="AR4665">
        <v>1</v>
      </c>
      <c r="AS4665" s="1">
        <v>19180</v>
      </c>
      <c r="AT4665" s="1">
        <v>3830</v>
      </c>
      <c r="AU4665" s="1">
        <v>15350</v>
      </c>
      <c r="AV4665">
        <v>80.03</v>
      </c>
      <c r="AX4665" s="1">
        <v>1358.9</v>
      </c>
      <c r="AY4665" t="s">
        <v>8466</v>
      </c>
      <c r="AZ4665" t="s">
        <v>5142</v>
      </c>
      <c r="BA4665" t="s">
        <v>5143</v>
      </c>
      <c r="BE4665" s="3">
        <v>42272</v>
      </c>
      <c r="BF4665" s="1">
        <v>222000</v>
      </c>
      <c r="BG4665" t="s">
        <v>29229</v>
      </c>
      <c r="BH4665" s="1">
        <v>124.44</v>
      </c>
      <c r="BI4665" s="1">
        <v>222000</v>
      </c>
      <c r="BJ4665" s="3">
        <v>42272</v>
      </c>
      <c r="BK4665" t="s">
        <v>123</v>
      </c>
      <c r="BL4665" t="str">
        <f>"2015.691027"</f>
        <v>2015.691027</v>
      </c>
      <c r="BM4665" t="s">
        <v>135</v>
      </c>
      <c r="BO4665" t="s">
        <v>29230</v>
      </c>
      <c r="BS4665">
        <v>30</v>
      </c>
      <c r="BW4665" t="str">
        <f>""</f>
        <v/>
      </c>
      <c r="CH4665" t="str">
        <f>""</f>
        <v/>
      </c>
      <c r="CS4665" t="str">
        <f>""</f>
        <v/>
      </c>
    </row>
    <row r="4666" spans="1:97" x14ac:dyDescent="0.25">
      <c r="A4666" t="s">
        <v>6000</v>
      </c>
      <c r="B4666" t="s">
        <v>3658</v>
      </c>
      <c r="C4666" t="s">
        <v>25169</v>
      </c>
      <c r="D4666" t="s">
        <v>3658</v>
      </c>
      <c r="E4666" t="s">
        <v>29231</v>
      </c>
      <c r="F4666" t="s">
        <v>108</v>
      </c>
      <c r="H4666" t="s">
        <v>29232</v>
      </c>
      <c r="I4666" t="s">
        <v>5636</v>
      </c>
      <c r="J4666" t="s">
        <v>111</v>
      </c>
      <c r="K4666" t="str">
        <f>"85268"</f>
        <v>85268</v>
      </c>
      <c r="L4666" t="s">
        <v>5910</v>
      </c>
      <c r="M4666" t="s">
        <v>29232</v>
      </c>
      <c r="N4666" t="s">
        <v>5636</v>
      </c>
      <c r="O4666" t="s">
        <v>111</v>
      </c>
      <c r="P4666" t="str">
        <f>"85268-3628"</f>
        <v>85268-3628</v>
      </c>
      <c r="Q4666" t="s">
        <v>113</v>
      </c>
      <c r="R4666" t="str">
        <f>"176-16-874"</f>
        <v>176-16-874</v>
      </c>
      <c r="S4666" t="s">
        <v>29233</v>
      </c>
      <c r="U4666">
        <v>2339</v>
      </c>
      <c r="V4666">
        <v>0</v>
      </c>
      <c r="W4666">
        <v>2</v>
      </c>
      <c r="X4666">
        <v>1995</v>
      </c>
      <c r="Z4666">
        <v>1</v>
      </c>
      <c r="AB4666">
        <v>0</v>
      </c>
      <c r="AC4666" t="s">
        <v>115</v>
      </c>
      <c r="AD4666">
        <v>2</v>
      </c>
      <c r="AE4666" t="s">
        <v>115</v>
      </c>
      <c r="AF4666">
        <v>0</v>
      </c>
      <c r="AG4666">
        <v>0</v>
      </c>
      <c r="AH4666" t="s">
        <v>116</v>
      </c>
      <c r="AI4666" s="1">
        <v>96155</v>
      </c>
      <c r="AJ4666" s="2">
        <v>0.19</v>
      </c>
      <c r="AK4666" s="1">
        <v>510155</v>
      </c>
      <c r="AL4666" t="s">
        <v>117</v>
      </c>
      <c r="AM4666" t="s">
        <v>1302</v>
      </c>
      <c r="AN4666">
        <v>16601</v>
      </c>
      <c r="AO4666">
        <v>0.38</v>
      </c>
      <c r="AP4666">
        <v>1</v>
      </c>
      <c r="AR4666">
        <v>1</v>
      </c>
      <c r="AS4666" s="1">
        <v>36950</v>
      </c>
      <c r="AT4666" s="1">
        <v>7390</v>
      </c>
      <c r="AU4666" s="1">
        <v>29560</v>
      </c>
      <c r="AV4666">
        <v>80</v>
      </c>
      <c r="AX4666" s="1">
        <v>2382.4</v>
      </c>
      <c r="AY4666" t="s">
        <v>5639</v>
      </c>
      <c r="AZ4666" t="s">
        <v>5640</v>
      </c>
      <c r="BA4666" t="s">
        <v>5641</v>
      </c>
      <c r="BE4666" s="3">
        <v>42241</v>
      </c>
      <c r="BF4666" s="1">
        <v>420000</v>
      </c>
      <c r="BG4666" t="s">
        <v>29234</v>
      </c>
      <c r="BH4666" s="1">
        <v>179.56</v>
      </c>
      <c r="BI4666" s="1">
        <v>358000</v>
      </c>
      <c r="BJ4666" s="3">
        <v>42559</v>
      </c>
      <c r="BK4666" t="s">
        <v>123</v>
      </c>
      <c r="BL4666" t="str">
        <f>"2016.478713"</f>
        <v>2016.478713</v>
      </c>
      <c r="BM4666" t="s">
        <v>322</v>
      </c>
      <c r="BN4666" t="s">
        <v>534</v>
      </c>
      <c r="BO4666" t="s">
        <v>29235</v>
      </c>
      <c r="BS4666">
        <v>30</v>
      </c>
      <c r="BT4666" s="1">
        <v>56000</v>
      </c>
      <c r="BU4666" s="3">
        <v>43592</v>
      </c>
      <c r="BV4666" t="s">
        <v>134</v>
      </c>
      <c r="BW4666" t="str">
        <f>"2019.330604"</f>
        <v>2019.330604</v>
      </c>
      <c r="BX4666" t="s">
        <v>3538</v>
      </c>
      <c r="BY4666" t="s">
        <v>3539</v>
      </c>
      <c r="BZ4666" t="s">
        <v>29236</v>
      </c>
      <c r="CA4666" t="s">
        <v>29237</v>
      </c>
      <c r="CC4666" t="s">
        <v>139</v>
      </c>
      <c r="CH4666" t="str">
        <f>""</f>
        <v/>
      </c>
      <c r="CS4666" t="str">
        <f>""</f>
        <v/>
      </c>
    </row>
    <row r="4667" spans="1:97" x14ac:dyDescent="0.25">
      <c r="A4667" t="s">
        <v>29238</v>
      </c>
      <c r="B4667" t="s">
        <v>11012</v>
      </c>
      <c r="E4667" t="s">
        <v>29239</v>
      </c>
      <c r="F4667" t="s">
        <v>108</v>
      </c>
      <c r="H4667" t="s">
        <v>29240</v>
      </c>
      <c r="I4667" t="s">
        <v>499</v>
      </c>
      <c r="J4667" t="s">
        <v>111</v>
      </c>
      <c r="K4667" t="str">
        <f>"85338"</f>
        <v>85338</v>
      </c>
      <c r="L4667" t="s">
        <v>5775</v>
      </c>
      <c r="M4667" t="s">
        <v>29240</v>
      </c>
      <c r="N4667" t="s">
        <v>499</v>
      </c>
      <c r="O4667" t="s">
        <v>111</v>
      </c>
      <c r="P4667" t="str">
        <f>"85338-3246"</f>
        <v>85338-3246</v>
      </c>
      <c r="Q4667" t="s">
        <v>113</v>
      </c>
      <c r="R4667" t="str">
        <f>"500-10-528"</f>
        <v>500-10-528</v>
      </c>
      <c r="S4667" t="s">
        <v>9551</v>
      </c>
      <c r="T4667" t="s">
        <v>9551</v>
      </c>
      <c r="U4667">
        <v>2595</v>
      </c>
      <c r="V4667">
        <v>0</v>
      </c>
      <c r="W4667">
        <v>4</v>
      </c>
      <c r="X4667">
        <v>2015</v>
      </c>
      <c r="Z4667">
        <v>1</v>
      </c>
      <c r="AB4667">
        <v>0</v>
      </c>
      <c r="AC4667" t="s">
        <v>115</v>
      </c>
      <c r="AD4667">
        <v>2</v>
      </c>
      <c r="AE4667" t="s">
        <v>115</v>
      </c>
      <c r="AF4667">
        <v>0</v>
      </c>
      <c r="AG4667">
        <v>0</v>
      </c>
      <c r="AH4667" t="s">
        <v>116</v>
      </c>
      <c r="AI4667" s="1">
        <v>117227</v>
      </c>
      <c r="AJ4667" s="2">
        <v>0.35</v>
      </c>
      <c r="AK4667" s="1">
        <v>339727</v>
      </c>
      <c r="AL4667" t="s">
        <v>117</v>
      </c>
      <c r="AM4667" t="s">
        <v>118</v>
      </c>
      <c r="AN4667">
        <v>7200</v>
      </c>
      <c r="AO4667">
        <v>0.16</v>
      </c>
      <c r="AR4667">
        <v>1</v>
      </c>
      <c r="AS4667" s="1">
        <v>24420</v>
      </c>
      <c r="AT4667" s="1">
        <v>4880</v>
      </c>
      <c r="AU4667" s="1">
        <v>19540</v>
      </c>
      <c r="AV4667">
        <v>80.02</v>
      </c>
      <c r="AX4667" s="1">
        <v>2153.4</v>
      </c>
      <c r="AY4667" t="s">
        <v>4311</v>
      </c>
      <c r="AZ4667" t="s">
        <v>4311</v>
      </c>
      <c r="BA4667" t="s">
        <v>7186</v>
      </c>
      <c r="BE4667" s="3">
        <v>42271</v>
      </c>
      <c r="BF4667" s="1">
        <v>275004</v>
      </c>
      <c r="BG4667" t="s">
        <v>158</v>
      </c>
      <c r="BH4667" s="1">
        <v>105.97</v>
      </c>
      <c r="BI4667" s="1">
        <v>222500</v>
      </c>
      <c r="BJ4667" s="3">
        <v>42697</v>
      </c>
      <c r="BK4667" t="s">
        <v>123</v>
      </c>
      <c r="BL4667" t="str">
        <f>"2016.864869"</f>
        <v>2016.864869</v>
      </c>
      <c r="BM4667" t="s">
        <v>673</v>
      </c>
      <c r="BO4667" t="s">
        <v>29241</v>
      </c>
      <c r="BS4667">
        <v>30</v>
      </c>
      <c r="BW4667" t="str">
        <f>""</f>
        <v/>
      </c>
      <c r="CH4667" t="str">
        <f>""</f>
        <v/>
      </c>
      <c r="CS4667" t="str">
        <f>""</f>
        <v/>
      </c>
    </row>
    <row r="4668" spans="1:97" x14ac:dyDescent="0.25">
      <c r="A4668" t="s">
        <v>610</v>
      </c>
      <c r="B4668" t="s">
        <v>22100</v>
      </c>
      <c r="C4668" t="s">
        <v>29242</v>
      </c>
      <c r="D4668" t="s">
        <v>22100</v>
      </c>
      <c r="E4668" t="s">
        <v>29243</v>
      </c>
      <c r="F4668" t="s">
        <v>108</v>
      </c>
      <c r="H4668" t="s">
        <v>29244</v>
      </c>
      <c r="I4668" t="s">
        <v>110</v>
      </c>
      <c r="J4668" t="s">
        <v>111</v>
      </c>
      <c r="K4668" t="str">
        <f>"85249"</f>
        <v>85249</v>
      </c>
      <c r="L4668" t="s">
        <v>8747</v>
      </c>
      <c r="M4668" t="s">
        <v>29244</v>
      </c>
      <c r="N4668" t="s">
        <v>110</v>
      </c>
      <c r="O4668" t="s">
        <v>111</v>
      </c>
      <c r="P4668" t="str">
        <f>"85249-5014"</f>
        <v>85249-5014</v>
      </c>
      <c r="Q4668" t="s">
        <v>113</v>
      </c>
      <c r="R4668" t="str">
        <f>"303-89-233"</f>
        <v>303-89-233</v>
      </c>
      <c r="S4668" t="s">
        <v>18977</v>
      </c>
      <c r="U4668">
        <v>2709</v>
      </c>
      <c r="V4668">
        <v>0</v>
      </c>
      <c r="W4668">
        <v>4</v>
      </c>
      <c r="X4668">
        <v>2004</v>
      </c>
      <c r="Z4668">
        <v>1</v>
      </c>
      <c r="AA4668" t="s">
        <v>26</v>
      </c>
      <c r="AB4668">
        <v>0</v>
      </c>
      <c r="AC4668" t="s">
        <v>115</v>
      </c>
      <c r="AD4668">
        <v>3</v>
      </c>
      <c r="AE4668" t="s">
        <v>115</v>
      </c>
      <c r="AF4668">
        <v>0</v>
      </c>
      <c r="AG4668">
        <v>0</v>
      </c>
      <c r="AH4668" t="s">
        <v>116</v>
      </c>
      <c r="AI4668" s="1">
        <v>55766</v>
      </c>
      <c r="AJ4668" s="2">
        <v>0.12</v>
      </c>
      <c r="AK4668" s="1">
        <v>446216</v>
      </c>
      <c r="AL4668" t="s">
        <v>117</v>
      </c>
      <c r="AM4668" t="s">
        <v>118</v>
      </c>
      <c r="AN4668">
        <v>10451</v>
      </c>
      <c r="AO4668">
        <v>0.24</v>
      </c>
      <c r="AP4668">
        <v>1</v>
      </c>
      <c r="AR4668">
        <v>1</v>
      </c>
      <c r="AS4668" s="1">
        <v>31810</v>
      </c>
      <c r="AT4668" s="1">
        <v>6360</v>
      </c>
      <c r="AU4668" s="1">
        <v>25450</v>
      </c>
      <c r="AV4668">
        <v>80.010000000000005</v>
      </c>
      <c r="AX4668" s="1">
        <v>2726.24</v>
      </c>
      <c r="AY4668" t="s">
        <v>5050</v>
      </c>
      <c r="AZ4668" t="s">
        <v>120</v>
      </c>
      <c r="BA4668" t="s">
        <v>274</v>
      </c>
      <c r="BE4668" s="3">
        <v>42191</v>
      </c>
      <c r="BF4668" s="1">
        <v>378000</v>
      </c>
      <c r="BG4668" t="s">
        <v>29245</v>
      </c>
      <c r="BH4668" s="1">
        <v>139.53</v>
      </c>
      <c r="BI4668" s="1">
        <v>390450</v>
      </c>
      <c r="BJ4668" s="3">
        <v>42191</v>
      </c>
      <c r="BK4668" t="s">
        <v>123</v>
      </c>
      <c r="BL4668" t="str">
        <f>"2015.485722"</f>
        <v>2015.485722</v>
      </c>
      <c r="BM4668" t="s">
        <v>124</v>
      </c>
      <c r="BO4668" t="s">
        <v>29246</v>
      </c>
      <c r="BS4668">
        <v>30</v>
      </c>
      <c r="BW4668" t="str">
        <f>""</f>
        <v/>
      </c>
      <c r="CH4668" t="str">
        <f>""</f>
        <v/>
      </c>
      <c r="CS4668" t="str">
        <f>""</f>
        <v/>
      </c>
    </row>
    <row r="4669" spans="1:97" x14ac:dyDescent="0.25">
      <c r="A4669" t="s">
        <v>5771</v>
      </c>
      <c r="B4669" t="s">
        <v>29247</v>
      </c>
      <c r="C4669" t="s">
        <v>29248</v>
      </c>
      <c r="D4669" t="s">
        <v>1607</v>
      </c>
      <c r="E4669" t="s">
        <v>29249</v>
      </c>
      <c r="F4669" t="s">
        <v>108</v>
      </c>
      <c r="H4669" t="s">
        <v>29250</v>
      </c>
      <c r="I4669" t="s">
        <v>2874</v>
      </c>
      <c r="J4669" t="s">
        <v>111</v>
      </c>
      <c r="K4669" t="str">
        <f>"85308"</f>
        <v>85308</v>
      </c>
      <c r="L4669" t="s">
        <v>541</v>
      </c>
      <c r="M4669" t="s">
        <v>29250</v>
      </c>
      <c r="N4669" t="s">
        <v>2874</v>
      </c>
      <c r="O4669" t="s">
        <v>111</v>
      </c>
      <c r="P4669" t="str">
        <f>"85308-9528"</f>
        <v>85308-9528</v>
      </c>
      <c r="Q4669" t="s">
        <v>113</v>
      </c>
      <c r="R4669" t="str">
        <f>"200-21-869"</f>
        <v>200-21-869</v>
      </c>
      <c r="S4669" t="s">
        <v>13267</v>
      </c>
      <c r="T4669" t="s">
        <v>13267</v>
      </c>
      <c r="U4669">
        <v>1702</v>
      </c>
      <c r="V4669">
        <v>0</v>
      </c>
      <c r="W4669">
        <v>3</v>
      </c>
      <c r="X4669">
        <v>1998</v>
      </c>
      <c r="Z4669">
        <v>1</v>
      </c>
      <c r="AA4669" t="s">
        <v>26</v>
      </c>
      <c r="AB4669">
        <v>0</v>
      </c>
      <c r="AC4669" t="s">
        <v>115</v>
      </c>
      <c r="AD4669">
        <v>2</v>
      </c>
      <c r="AE4669" t="s">
        <v>115</v>
      </c>
      <c r="AF4669">
        <v>0</v>
      </c>
      <c r="AG4669">
        <v>0</v>
      </c>
      <c r="AH4669" t="s">
        <v>116</v>
      </c>
      <c r="AI4669" s="1">
        <v>66292</v>
      </c>
      <c r="AJ4669" s="2">
        <v>0.21</v>
      </c>
      <c r="AK4669" s="1">
        <v>310292</v>
      </c>
      <c r="AL4669" t="s">
        <v>117</v>
      </c>
      <c r="AM4669" t="s">
        <v>191</v>
      </c>
      <c r="AN4669">
        <v>5961</v>
      </c>
      <c r="AO4669">
        <v>0.14000000000000001</v>
      </c>
      <c r="AP4669">
        <v>1</v>
      </c>
      <c r="AR4669">
        <v>1</v>
      </c>
      <c r="AS4669" s="1">
        <v>21950</v>
      </c>
      <c r="AT4669" s="1">
        <v>4390</v>
      </c>
      <c r="AU4669" s="1">
        <v>17560</v>
      </c>
      <c r="AV4669">
        <v>80</v>
      </c>
      <c r="AX4669" s="1">
        <v>1895.48</v>
      </c>
      <c r="AY4669" t="s">
        <v>8358</v>
      </c>
      <c r="AZ4669" t="s">
        <v>8358</v>
      </c>
      <c r="BA4669" t="s">
        <v>2223</v>
      </c>
      <c r="BE4669" s="3">
        <v>42474</v>
      </c>
      <c r="BF4669" s="1">
        <v>244000</v>
      </c>
      <c r="BG4669" t="s">
        <v>29251</v>
      </c>
      <c r="BH4669" s="1">
        <v>143.36000000000001</v>
      </c>
      <c r="BI4669" s="1">
        <v>244000</v>
      </c>
      <c r="BJ4669" s="3">
        <v>42474</v>
      </c>
      <c r="BK4669" t="s">
        <v>123</v>
      </c>
      <c r="BL4669" t="str">
        <f>"2016.249250"</f>
        <v>2016.249250</v>
      </c>
      <c r="BM4669" t="s">
        <v>724</v>
      </c>
      <c r="BO4669" t="s">
        <v>29252</v>
      </c>
      <c r="BP4669" t="s">
        <v>29253</v>
      </c>
      <c r="BS4669">
        <v>30</v>
      </c>
      <c r="BW4669" t="str">
        <f>""</f>
        <v/>
      </c>
      <c r="CH4669" t="str">
        <f>""</f>
        <v/>
      </c>
      <c r="CS4669" t="str">
        <f>""</f>
        <v/>
      </c>
    </row>
    <row r="4670" spans="1:97" x14ac:dyDescent="0.25">
      <c r="A4670" t="s">
        <v>1160</v>
      </c>
      <c r="B4670" t="s">
        <v>29254</v>
      </c>
      <c r="E4670" t="s">
        <v>29255</v>
      </c>
      <c r="F4670" t="s">
        <v>108</v>
      </c>
      <c r="H4670" t="s">
        <v>29256</v>
      </c>
      <c r="I4670" t="s">
        <v>390</v>
      </c>
      <c r="J4670" t="s">
        <v>111</v>
      </c>
      <c r="K4670" t="str">
        <f>"85023"</f>
        <v>85023</v>
      </c>
      <c r="L4670" t="s">
        <v>4565</v>
      </c>
      <c r="M4670" t="s">
        <v>29256</v>
      </c>
      <c r="N4670" t="s">
        <v>390</v>
      </c>
      <c r="O4670" t="s">
        <v>111</v>
      </c>
      <c r="P4670" t="str">
        <f>"85023-5019"</f>
        <v>85023-5019</v>
      </c>
      <c r="Q4670" t="s">
        <v>113</v>
      </c>
      <c r="R4670" t="str">
        <f>"208-15-045"</f>
        <v>208-15-045</v>
      </c>
      <c r="S4670" t="s">
        <v>29257</v>
      </c>
      <c r="T4670" t="s">
        <v>29258</v>
      </c>
      <c r="U4670">
        <v>1667</v>
      </c>
      <c r="V4670">
        <v>0</v>
      </c>
      <c r="W4670">
        <v>2</v>
      </c>
      <c r="X4670">
        <v>1973</v>
      </c>
      <c r="Z4670">
        <v>1</v>
      </c>
      <c r="AB4670">
        <v>0</v>
      </c>
      <c r="AC4670" t="s">
        <v>115</v>
      </c>
      <c r="AD4670">
        <v>2</v>
      </c>
      <c r="AE4670" t="s">
        <v>115</v>
      </c>
      <c r="AF4670">
        <v>0</v>
      </c>
      <c r="AG4670">
        <v>0</v>
      </c>
      <c r="AH4670" t="s">
        <v>116</v>
      </c>
      <c r="AI4670" s="1">
        <v>53888</v>
      </c>
      <c r="AJ4670" s="2">
        <v>0.2</v>
      </c>
      <c r="AK4670" s="1">
        <v>272602</v>
      </c>
      <c r="AL4670" t="s">
        <v>117</v>
      </c>
      <c r="AM4670" t="s">
        <v>171</v>
      </c>
      <c r="AN4670">
        <v>11157</v>
      </c>
      <c r="AO4670">
        <v>0.26</v>
      </c>
      <c r="AP4670">
        <v>1</v>
      </c>
      <c r="AR4670">
        <v>1</v>
      </c>
      <c r="AS4670" s="1">
        <v>19270</v>
      </c>
      <c r="AT4670" s="1">
        <v>3850</v>
      </c>
      <c r="AU4670" s="1">
        <v>15420</v>
      </c>
      <c r="AV4670">
        <v>80.02</v>
      </c>
      <c r="AX4670" s="1">
        <v>1533.54</v>
      </c>
      <c r="AY4670" t="s">
        <v>8647</v>
      </c>
      <c r="AZ4670" t="s">
        <v>8648</v>
      </c>
      <c r="BA4670" t="s">
        <v>8649</v>
      </c>
      <c r="BE4670" s="3">
        <v>42286</v>
      </c>
      <c r="BF4670" s="1">
        <v>210000</v>
      </c>
      <c r="BG4670" t="s">
        <v>29259</v>
      </c>
      <c r="BH4670" s="1">
        <v>125.97</v>
      </c>
      <c r="BI4670" s="1">
        <v>218714</v>
      </c>
      <c r="BJ4670" s="3">
        <v>42573</v>
      </c>
      <c r="BK4670" t="s">
        <v>123</v>
      </c>
      <c r="BL4670" t="str">
        <f>"2016.518535"</f>
        <v>2016.518535</v>
      </c>
      <c r="BM4670" t="s">
        <v>2378</v>
      </c>
      <c r="BO4670" t="s">
        <v>29260</v>
      </c>
      <c r="BS4670">
        <v>30</v>
      </c>
      <c r="BW4670" t="str">
        <f>""</f>
        <v/>
      </c>
      <c r="CH4670" t="str">
        <f>""</f>
        <v/>
      </c>
      <c r="CS4670" t="str">
        <f>""</f>
        <v/>
      </c>
    </row>
    <row r="4671" spans="1:97" x14ac:dyDescent="0.25">
      <c r="A4671" t="s">
        <v>894</v>
      </c>
      <c r="B4671" t="s">
        <v>29261</v>
      </c>
      <c r="C4671" t="s">
        <v>29262</v>
      </c>
      <c r="D4671" t="s">
        <v>29261</v>
      </c>
      <c r="E4671" t="s">
        <v>29263</v>
      </c>
      <c r="F4671" t="s">
        <v>108</v>
      </c>
      <c r="H4671" t="s">
        <v>29264</v>
      </c>
      <c r="I4671" t="s">
        <v>167</v>
      </c>
      <c r="J4671" t="s">
        <v>111</v>
      </c>
      <c r="K4671" t="str">
        <f>"85339"</f>
        <v>85339</v>
      </c>
      <c r="L4671" t="s">
        <v>3151</v>
      </c>
      <c r="M4671" t="s">
        <v>29264</v>
      </c>
      <c r="N4671" t="s">
        <v>167</v>
      </c>
      <c r="O4671" t="s">
        <v>111</v>
      </c>
      <c r="P4671" t="str">
        <f>"85339-5040"</f>
        <v>85339-5040</v>
      </c>
      <c r="Q4671" t="s">
        <v>113</v>
      </c>
      <c r="R4671" t="str">
        <f>"104-83-652"</f>
        <v>104-83-652</v>
      </c>
      <c r="S4671" t="s">
        <v>11935</v>
      </c>
      <c r="U4671">
        <v>3143</v>
      </c>
      <c r="V4671">
        <v>0</v>
      </c>
      <c r="W4671">
        <v>4</v>
      </c>
      <c r="X4671">
        <v>2006</v>
      </c>
      <c r="Z4671">
        <v>2</v>
      </c>
      <c r="AB4671">
        <v>0</v>
      </c>
      <c r="AC4671" t="s">
        <v>115</v>
      </c>
      <c r="AD4671">
        <v>2</v>
      </c>
      <c r="AE4671" t="s">
        <v>115</v>
      </c>
      <c r="AF4671">
        <v>0</v>
      </c>
      <c r="AG4671">
        <v>0</v>
      </c>
      <c r="AH4671" t="s">
        <v>116</v>
      </c>
      <c r="AI4671" s="1">
        <v>44350</v>
      </c>
      <c r="AJ4671" s="2">
        <v>0.16</v>
      </c>
      <c r="AK4671" s="1">
        <v>269365</v>
      </c>
      <c r="AL4671" t="s">
        <v>117</v>
      </c>
      <c r="AM4671" t="s">
        <v>171</v>
      </c>
      <c r="AN4671">
        <v>6325</v>
      </c>
      <c r="AO4671">
        <v>0.14000000000000001</v>
      </c>
      <c r="AR4671">
        <v>1</v>
      </c>
      <c r="AS4671" s="1">
        <v>19350</v>
      </c>
      <c r="AT4671" s="1">
        <v>3870</v>
      </c>
      <c r="AU4671" s="1">
        <v>15480</v>
      </c>
      <c r="AV4671">
        <v>80</v>
      </c>
      <c r="AX4671" s="1">
        <v>2338.46</v>
      </c>
      <c r="AY4671" t="s">
        <v>172</v>
      </c>
      <c r="AZ4671" t="s">
        <v>172</v>
      </c>
      <c r="BA4671" t="s">
        <v>173</v>
      </c>
      <c r="BE4671" s="3">
        <v>42360</v>
      </c>
      <c r="BF4671" s="1">
        <v>210000</v>
      </c>
      <c r="BG4671" t="s">
        <v>29265</v>
      </c>
      <c r="BH4671" s="1">
        <v>66.819999999999993</v>
      </c>
      <c r="BI4671" s="1">
        <v>214515</v>
      </c>
      <c r="BJ4671" s="3">
        <v>42360</v>
      </c>
      <c r="BK4671" t="s">
        <v>123</v>
      </c>
      <c r="BL4671" t="str">
        <f>"2015.902600"</f>
        <v>2015.902600</v>
      </c>
      <c r="BM4671" t="s">
        <v>1791</v>
      </c>
      <c r="BN4671" t="s">
        <v>5960</v>
      </c>
      <c r="BO4671" t="s">
        <v>29266</v>
      </c>
      <c r="BS4671">
        <v>30</v>
      </c>
      <c r="BT4671" s="1">
        <v>10500</v>
      </c>
      <c r="BU4671" s="3">
        <v>43272</v>
      </c>
      <c r="BV4671" t="s">
        <v>134</v>
      </c>
      <c r="BW4671" t="str">
        <f>"2018.475252"</f>
        <v>2018.475252</v>
      </c>
      <c r="BX4671" t="s">
        <v>3538</v>
      </c>
      <c r="BY4671" t="s">
        <v>3539</v>
      </c>
      <c r="BZ4671" t="s">
        <v>29267</v>
      </c>
      <c r="CA4671" t="s">
        <v>29268</v>
      </c>
      <c r="CC4671" t="s">
        <v>139</v>
      </c>
      <c r="CH4671" t="str">
        <f>""</f>
        <v/>
      </c>
      <c r="CS4671" t="str">
        <f>""</f>
        <v/>
      </c>
    </row>
    <row r="4672" spans="1:97" x14ac:dyDescent="0.25">
      <c r="A4672" t="s">
        <v>996</v>
      </c>
      <c r="B4672" t="s">
        <v>29269</v>
      </c>
      <c r="C4672" t="s">
        <v>767</v>
      </c>
      <c r="D4672" t="s">
        <v>29269</v>
      </c>
      <c r="E4672" t="s">
        <v>29270</v>
      </c>
      <c r="F4672" t="s">
        <v>108</v>
      </c>
      <c r="H4672" t="s">
        <v>29271</v>
      </c>
      <c r="I4672" t="s">
        <v>5863</v>
      </c>
      <c r="J4672" t="s">
        <v>111</v>
      </c>
      <c r="K4672" t="str">
        <f>"85375"</f>
        <v>85375</v>
      </c>
      <c r="L4672" t="s">
        <v>8543</v>
      </c>
      <c r="M4672" t="s">
        <v>29271</v>
      </c>
      <c r="N4672" t="s">
        <v>5863</v>
      </c>
      <c r="O4672" t="s">
        <v>111</v>
      </c>
      <c r="P4672" t="str">
        <f>"85375-6125"</f>
        <v>85375-6125</v>
      </c>
      <c r="Q4672" t="s">
        <v>113</v>
      </c>
      <c r="R4672" t="str">
        <f>"232-20-264"</f>
        <v>232-20-264</v>
      </c>
      <c r="S4672" t="s">
        <v>17046</v>
      </c>
      <c r="U4672">
        <v>2859</v>
      </c>
      <c r="V4672">
        <v>0</v>
      </c>
      <c r="W4672">
        <v>3</v>
      </c>
      <c r="X4672">
        <v>1990</v>
      </c>
      <c r="Z4672">
        <v>1</v>
      </c>
      <c r="AB4672">
        <v>0</v>
      </c>
      <c r="AC4672" t="s">
        <v>115</v>
      </c>
      <c r="AD4672">
        <v>3</v>
      </c>
      <c r="AE4672" t="s">
        <v>115</v>
      </c>
      <c r="AF4672">
        <v>0</v>
      </c>
      <c r="AG4672">
        <v>0</v>
      </c>
      <c r="AH4672" t="s">
        <v>116</v>
      </c>
      <c r="AI4672" s="1">
        <v>86017</v>
      </c>
      <c r="AJ4672" s="2">
        <v>0.2</v>
      </c>
      <c r="AK4672" s="1">
        <v>420452</v>
      </c>
      <c r="AL4672" t="s">
        <v>117</v>
      </c>
      <c r="AM4672" t="s">
        <v>393</v>
      </c>
      <c r="AN4672">
        <v>18200</v>
      </c>
      <c r="AO4672">
        <v>0.42</v>
      </c>
      <c r="AP4672">
        <v>1</v>
      </c>
      <c r="AR4672">
        <v>1</v>
      </c>
      <c r="AS4672" s="1">
        <v>26730</v>
      </c>
      <c r="AT4672" s="1">
        <v>5340</v>
      </c>
      <c r="AU4672" s="1">
        <v>21390</v>
      </c>
      <c r="AV4672">
        <v>80.02</v>
      </c>
      <c r="AX4672" s="1">
        <v>2190.88</v>
      </c>
      <c r="AY4672" t="s">
        <v>320</v>
      </c>
      <c r="AZ4672" t="s">
        <v>320</v>
      </c>
      <c r="BA4672" t="s">
        <v>321</v>
      </c>
      <c r="BE4672" s="3">
        <v>42067</v>
      </c>
      <c r="BF4672" s="1">
        <v>345000</v>
      </c>
      <c r="BG4672" t="s">
        <v>29272</v>
      </c>
      <c r="BH4672" s="1">
        <v>120.67</v>
      </c>
      <c r="BI4672" s="1">
        <v>334435</v>
      </c>
      <c r="BJ4672" s="3">
        <v>42426</v>
      </c>
      <c r="BK4672" t="s">
        <v>123</v>
      </c>
      <c r="BL4672" t="str">
        <f>"2016.124602"</f>
        <v>2016.124602</v>
      </c>
      <c r="BM4672" t="s">
        <v>255</v>
      </c>
      <c r="BO4672" t="s">
        <v>17047</v>
      </c>
      <c r="BS4672">
        <v>30</v>
      </c>
      <c r="BW4672" t="str">
        <f>""</f>
        <v/>
      </c>
      <c r="CH4672" t="str">
        <f>""</f>
        <v/>
      </c>
      <c r="CS4672" t="str">
        <f>""</f>
        <v/>
      </c>
    </row>
    <row r="4673" spans="1:97" x14ac:dyDescent="0.25">
      <c r="A4673" t="s">
        <v>1067</v>
      </c>
      <c r="B4673" t="s">
        <v>18088</v>
      </c>
      <c r="E4673" t="s">
        <v>29273</v>
      </c>
      <c r="F4673" t="s">
        <v>108</v>
      </c>
      <c r="H4673" t="s">
        <v>29274</v>
      </c>
      <c r="I4673" t="s">
        <v>632</v>
      </c>
      <c r="J4673" t="s">
        <v>111</v>
      </c>
      <c r="K4673" t="str">
        <f>"85388"</f>
        <v>85388</v>
      </c>
      <c r="L4673" t="s">
        <v>5165</v>
      </c>
      <c r="M4673" t="s">
        <v>29274</v>
      </c>
      <c r="N4673" t="s">
        <v>632</v>
      </c>
      <c r="O4673" t="s">
        <v>111</v>
      </c>
      <c r="P4673" t="str">
        <f>"85388-5019"</f>
        <v>85388-5019</v>
      </c>
      <c r="Q4673" t="s">
        <v>113</v>
      </c>
      <c r="R4673" t="str">
        <f>"502-05-069"</f>
        <v>502-05-069</v>
      </c>
      <c r="S4673" t="s">
        <v>5166</v>
      </c>
      <c r="T4673" t="s">
        <v>5167</v>
      </c>
      <c r="U4673">
        <v>3483</v>
      </c>
      <c r="V4673">
        <v>0</v>
      </c>
      <c r="W4673">
        <v>4</v>
      </c>
      <c r="X4673">
        <v>2006</v>
      </c>
      <c r="Z4673">
        <v>2</v>
      </c>
      <c r="AA4673" t="s">
        <v>26</v>
      </c>
      <c r="AB4673">
        <v>0</v>
      </c>
      <c r="AC4673" t="s">
        <v>115</v>
      </c>
      <c r="AD4673">
        <v>3</v>
      </c>
      <c r="AE4673" t="s">
        <v>115</v>
      </c>
      <c r="AF4673">
        <v>0</v>
      </c>
      <c r="AG4673">
        <v>0</v>
      </c>
      <c r="AH4673" t="s">
        <v>116</v>
      </c>
      <c r="AI4673" s="1">
        <v>82590</v>
      </c>
      <c r="AJ4673" s="2">
        <v>0.22</v>
      </c>
      <c r="AK4673" s="1">
        <v>367590</v>
      </c>
      <c r="AL4673" t="s">
        <v>117</v>
      </c>
      <c r="AM4673" t="s">
        <v>118</v>
      </c>
      <c r="AN4673">
        <v>7285</v>
      </c>
      <c r="AO4673">
        <v>0.17</v>
      </c>
      <c r="AR4673">
        <v>1</v>
      </c>
      <c r="AS4673" s="1">
        <v>26320</v>
      </c>
      <c r="AT4673" s="1">
        <v>5260</v>
      </c>
      <c r="AU4673" s="1">
        <v>21060</v>
      </c>
      <c r="AV4673">
        <v>80.02</v>
      </c>
      <c r="AX4673" s="1">
        <v>2354.1999999999998</v>
      </c>
      <c r="AY4673" t="s">
        <v>5168</v>
      </c>
      <c r="AZ4673" t="s">
        <v>5168</v>
      </c>
      <c r="BA4673" t="s">
        <v>5061</v>
      </c>
      <c r="BE4673" s="3">
        <v>41978</v>
      </c>
      <c r="BF4673" s="1">
        <v>285000</v>
      </c>
      <c r="BG4673" t="s">
        <v>29275</v>
      </c>
      <c r="BH4673" s="1">
        <v>81.83</v>
      </c>
      <c r="BI4673" s="1">
        <v>285000</v>
      </c>
      <c r="BJ4673" s="3">
        <v>41978</v>
      </c>
      <c r="BK4673" t="s">
        <v>123</v>
      </c>
      <c r="BL4673" t="str">
        <f>"2014.801238"</f>
        <v>2014.801238</v>
      </c>
      <c r="BM4673" t="s">
        <v>2716</v>
      </c>
      <c r="BO4673" t="s">
        <v>29276</v>
      </c>
      <c r="BS4673">
        <v>30</v>
      </c>
      <c r="BW4673" t="str">
        <f>""</f>
        <v/>
      </c>
      <c r="CH4673" t="str">
        <f>""</f>
        <v/>
      </c>
      <c r="CS4673" t="str">
        <f>""</f>
        <v/>
      </c>
    </row>
    <row r="4674" spans="1:97" x14ac:dyDescent="0.25">
      <c r="A4674" t="s">
        <v>6237</v>
      </c>
      <c r="B4674" t="s">
        <v>20104</v>
      </c>
      <c r="C4674" t="s">
        <v>1467</v>
      </c>
      <c r="D4674" t="s">
        <v>20104</v>
      </c>
      <c r="E4674" t="s">
        <v>29277</v>
      </c>
      <c r="F4674" t="s">
        <v>108</v>
      </c>
      <c r="H4674" t="s">
        <v>29278</v>
      </c>
      <c r="I4674" t="s">
        <v>390</v>
      </c>
      <c r="J4674" t="s">
        <v>111</v>
      </c>
      <c r="K4674" t="str">
        <f>"85016"</f>
        <v>85016</v>
      </c>
      <c r="L4674" t="s">
        <v>5228</v>
      </c>
      <c r="M4674" t="s">
        <v>29278</v>
      </c>
      <c r="N4674" t="s">
        <v>390</v>
      </c>
      <c r="O4674" t="s">
        <v>111</v>
      </c>
      <c r="P4674" t="str">
        <f>"85016-5905"</f>
        <v>85016-5905</v>
      </c>
      <c r="Q4674" t="s">
        <v>113</v>
      </c>
      <c r="R4674" t="str">
        <f>"119-28-091"</f>
        <v>119-28-091</v>
      </c>
      <c r="S4674" t="s">
        <v>19037</v>
      </c>
      <c r="T4674" t="s">
        <v>19037</v>
      </c>
      <c r="U4674">
        <v>1097</v>
      </c>
      <c r="V4674">
        <v>0</v>
      </c>
      <c r="W4674">
        <v>2</v>
      </c>
      <c r="X4674">
        <v>1945</v>
      </c>
      <c r="Z4674">
        <v>1</v>
      </c>
      <c r="AB4674">
        <v>0</v>
      </c>
      <c r="AC4674" t="s">
        <v>7038</v>
      </c>
      <c r="AD4674">
        <v>0</v>
      </c>
      <c r="AE4674" t="s">
        <v>7038</v>
      </c>
      <c r="AF4674">
        <v>0</v>
      </c>
      <c r="AG4674">
        <v>0</v>
      </c>
      <c r="AH4674" t="s">
        <v>5467</v>
      </c>
      <c r="AI4674" s="1">
        <v>52941</v>
      </c>
      <c r="AJ4674" s="2">
        <v>0.2</v>
      </c>
      <c r="AK4674" s="1">
        <v>271031</v>
      </c>
      <c r="AL4674" t="s">
        <v>117</v>
      </c>
      <c r="AM4674" t="s">
        <v>191</v>
      </c>
      <c r="AN4674">
        <v>7545</v>
      </c>
      <c r="AO4674">
        <v>0.17</v>
      </c>
      <c r="AP4674">
        <v>1</v>
      </c>
      <c r="AR4674">
        <v>1</v>
      </c>
      <c r="AS4674" s="1">
        <v>17600</v>
      </c>
      <c r="AT4674" s="1">
        <v>3520</v>
      </c>
      <c r="AU4674" s="1">
        <v>14080</v>
      </c>
      <c r="AV4674">
        <v>80</v>
      </c>
      <c r="AX4674" s="1">
        <v>1339.22</v>
      </c>
      <c r="AY4674" t="s">
        <v>14631</v>
      </c>
      <c r="AZ4674" t="s">
        <v>14631</v>
      </c>
      <c r="BA4674" t="s">
        <v>8412</v>
      </c>
      <c r="BB4674" s="3">
        <v>43494</v>
      </c>
      <c r="BC4674" s="1">
        <v>0</v>
      </c>
      <c r="BD4674" t="s">
        <v>247</v>
      </c>
      <c r="BE4674" s="3">
        <v>42347</v>
      </c>
      <c r="BF4674" s="1">
        <v>213500</v>
      </c>
      <c r="BG4674" t="s">
        <v>29279</v>
      </c>
      <c r="BH4674" s="1">
        <v>194.62</v>
      </c>
      <c r="BI4674" s="1">
        <v>218090</v>
      </c>
      <c r="BJ4674" s="3">
        <v>42347</v>
      </c>
      <c r="BK4674" t="s">
        <v>123</v>
      </c>
      <c r="BL4674" t="str">
        <f>"2015.870701"</f>
        <v>2015.870701</v>
      </c>
      <c r="BM4674" t="s">
        <v>1325</v>
      </c>
      <c r="BN4674" t="s">
        <v>15523</v>
      </c>
      <c r="BO4674" t="s">
        <v>29280</v>
      </c>
      <c r="BS4674">
        <v>30</v>
      </c>
      <c r="BW4674" t="str">
        <f>""</f>
        <v/>
      </c>
      <c r="CH4674" t="str">
        <f>""</f>
        <v/>
      </c>
      <c r="CS4674" t="str">
        <f>""</f>
        <v/>
      </c>
    </row>
    <row r="4675" spans="1:97" x14ac:dyDescent="0.25">
      <c r="A4675" t="s">
        <v>1009</v>
      </c>
      <c r="B4675" t="s">
        <v>18571</v>
      </c>
      <c r="C4675" t="s">
        <v>29281</v>
      </c>
      <c r="D4675" t="s">
        <v>18571</v>
      </c>
      <c r="E4675" t="s">
        <v>29282</v>
      </c>
      <c r="F4675" t="s">
        <v>108</v>
      </c>
      <c r="H4675" t="s">
        <v>29283</v>
      </c>
      <c r="I4675" t="s">
        <v>390</v>
      </c>
      <c r="J4675" t="s">
        <v>111</v>
      </c>
      <c r="K4675" t="str">
        <f>"85083"</f>
        <v>85083</v>
      </c>
      <c r="L4675" t="s">
        <v>2820</v>
      </c>
      <c r="M4675" t="s">
        <v>29283</v>
      </c>
      <c r="N4675" t="s">
        <v>390</v>
      </c>
      <c r="O4675" t="s">
        <v>111</v>
      </c>
      <c r="P4675" t="str">
        <f>"85083-6541"</f>
        <v>85083-6541</v>
      </c>
      <c r="Q4675" t="s">
        <v>113</v>
      </c>
      <c r="R4675" t="str">
        <f>"201-07-224"</f>
        <v>201-07-224</v>
      </c>
      <c r="S4675" t="s">
        <v>29284</v>
      </c>
      <c r="T4675" t="s">
        <v>29285</v>
      </c>
      <c r="U4675">
        <v>1946</v>
      </c>
      <c r="V4675">
        <v>0</v>
      </c>
      <c r="W4675">
        <v>3</v>
      </c>
      <c r="X4675">
        <v>2003</v>
      </c>
      <c r="Z4675">
        <v>1</v>
      </c>
      <c r="AB4675">
        <v>0</v>
      </c>
      <c r="AC4675" t="s">
        <v>115</v>
      </c>
      <c r="AD4675">
        <v>3</v>
      </c>
      <c r="AE4675" t="s">
        <v>115</v>
      </c>
      <c r="AF4675">
        <v>0</v>
      </c>
      <c r="AG4675">
        <v>0</v>
      </c>
      <c r="AH4675" t="s">
        <v>116</v>
      </c>
      <c r="AI4675" s="1">
        <v>37683</v>
      </c>
      <c r="AJ4675" s="2">
        <v>0.11</v>
      </c>
      <c r="AK4675" s="1">
        <v>349484</v>
      </c>
      <c r="AL4675" t="s">
        <v>117</v>
      </c>
      <c r="AM4675" t="s">
        <v>1302</v>
      </c>
      <c r="AN4675">
        <v>7620</v>
      </c>
      <c r="AO4675">
        <v>0.18</v>
      </c>
      <c r="AP4675">
        <v>1</v>
      </c>
      <c r="AR4675">
        <v>1</v>
      </c>
      <c r="AS4675" s="1">
        <v>25010</v>
      </c>
      <c r="AT4675" s="1">
        <v>5000</v>
      </c>
      <c r="AU4675" s="1">
        <v>20010</v>
      </c>
      <c r="AV4675">
        <v>80.010000000000005</v>
      </c>
      <c r="AX4675" s="1">
        <v>2228.7399999999998</v>
      </c>
      <c r="AY4675" t="s">
        <v>3522</v>
      </c>
      <c r="AZ4675" t="s">
        <v>3522</v>
      </c>
      <c r="BA4675" t="s">
        <v>1386</v>
      </c>
      <c r="BB4675" s="3">
        <v>42405</v>
      </c>
      <c r="BD4675" t="s">
        <v>240</v>
      </c>
      <c r="BE4675" s="3">
        <v>42198</v>
      </c>
      <c r="BF4675" s="1">
        <v>300000</v>
      </c>
      <c r="BG4675" t="s">
        <v>29286</v>
      </c>
      <c r="BH4675" s="1">
        <v>154.16</v>
      </c>
      <c r="BI4675" s="1">
        <v>311801</v>
      </c>
      <c r="BJ4675" s="3">
        <v>42405</v>
      </c>
      <c r="BK4675" t="s">
        <v>123</v>
      </c>
      <c r="BL4675" t="str">
        <f>"2016.76360"</f>
        <v>2016.76360</v>
      </c>
      <c r="BM4675" t="s">
        <v>1287</v>
      </c>
      <c r="BO4675" t="s">
        <v>29287</v>
      </c>
      <c r="BS4675">
        <v>30</v>
      </c>
      <c r="BW4675" t="str">
        <f>""</f>
        <v/>
      </c>
      <c r="CH4675" t="str">
        <f>""</f>
        <v/>
      </c>
      <c r="CS4675" t="str">
        <f>""</f>
        <v/>
      </c>
    </row>
    <row r="4676" spans="1:97" x14ac:dyDescent="0.25">
      <c r="A4676" t="s">
        <v>886</v>
      </c>
      <c r="B4676" t="s">
        <v>5013</v>
      </c>
      <c r="C4676" t="s">
        <v>1181</v>
      </c>
      <c r="D4676" t="s">
        <v>5013</v>
      </c>
      <c r="E4676" t="s">
        <v>29288</v>
      </c>
      <c r="F4676" t="s">
        <v>108</v>
      </c>
      <c r="H4676" t="s">
        <v>29289</v>
      </c>
      <c r="I4676" t="s">
        <v>203</v>
      </c>
      <c r="J4676" t="s">
        <v>111</v>
      </c>
      <c r="K4676" t="str">
        <f>"85297"</f>
        <v>85297</v>
      </c>
      <c r="L4676" t="s">
        <v>5048</v>
      </c>
      <c r="M4676" t="s">
        <v>29289</v>
      </c>
      <c r="N4676" t="s">
        <v>203</v>
      </c>
      <c r="O4676" t="s">
        <v>111</v>
      </c>
      <c r="P4676" t="str">
        <f>"85297-6011"</f>
        <v>85297-6011</v>
      </c>
      <c r="Q4676" t="s">
        <v>113</v>
      </c>
      <c r="R4676" t="str">
        <f>"304-52-721"</f>
        <v>304-52-721</v>
      </c>
      <c r="S4676" t="s">
        <v>12807</v>
      </c>
      <c r="T4676" t="s">
        <v>12807</v>
      </c>
      <c r="U4676">
        <v>3119</v>
      </c>
      <c r="V4676">
        <v>0</v>
      </c>
      <c r="W4676">
        <v>5</v>
      </c>
      <c r="X4676">
        <v>2009</v>
      </c>
      <c r="Z4676">
        <v>2</v>
      </c>
      <c r="AA4676" t="s">
        <v>26</v>
      </c>
      <c r="AB4676">
        <v>0</v>
      </c>
      <c r="AC4676" t="s">
        <v>115</v>
      </c>
      <c r="AD4676">
        <v>2</v>
      </c>
      <c r="AE4676" t="s">
        <v>115</v>
      </c>
      <c r="AF4676">
        <v>0</v>
      </c>
      <c r="AG4676">
        <v>0</v>
      </c>
      <c r="AH4676" t="s">
        <v>116</v>
      </c>
      <c r="AI4676" s="1">
        <v>68395</v>
      </c>
      <c r="AJ4676" s="2">
        <v>0.15</v>
      </c>
      <c r="AK4676" s="1">
        <v>453195</v>
      </c>
      <c r="AL4676" t="s">
        <v>117</v>
      </c>
      <c r="AM4676" t="s">
        <v>191</v>
      </c>
      <c r="AN4676">
        <v>8310</v>
      </c>
      <c r="AO4676">
        <v>0.19</v>
      </c>
      <c r="AR4676">
        <v>1</v>
      </c>
      <c r="AS4676" s="1">
        <v>31900</v>
      </c>
      <c r="AT4676" s="1">
        <v>6380</v>
      </c>
      <c r="AU4676" s="1">
        <v>25520</v>
      </c>
      <c r="AV4676">
        <v>80</v>
      </c>
      <c r="AX4676" s="1">
        <v>3006.32</v>
      </c>
      <c r="AY4676" t="s">
        <v>394</v>
      </c>
      <c r="AZ4676" t="s">
        <v>394</v>
      </c>
      <c r="BA4676" t="s">
        <v>290</v>
      </c>
      <c r="BE4676" s="3">
        <v>42167</v>
      </c>
      <c r="BF4676" s="1">
        <v>395000</v>
      </c>
      <c r="BG4676" t="s">
        <v>29290</v>
      </c>
      <c r="BH4676" s="1">
        <v>126.64</v>
      </c>
      <c r="BI4676" s="1">
        <v>384800</v>
      </c>
      <c r="BJ4676" s="3">
        <v>42739</v>
      </c>
      <c r="BK4676" t="s">
        <v>123</v>
      </c>
      <c r="BL4676" t="str">
        <f>"2017.4029"</f>
        <v>2017.4029</v>
      </c>
      <c r="BM4676" t="s">
        <v>322</v>
      </c>
      <c r="BO4676" t="s">
        <v>29291</v>
      </c>
      <c r="BS4676">
        <v>30</v>
      </c>
      <c r="BW4676" t="str">
        <f>""</f>
        <v/>
      </c>
      <c r="CH4676" t="str">
        <f>""</f>
        <v/>
      </c>
      <c r="CS4676" t="str">
        <f>""</f>
        <v/>
      </c>
    </row>
    <row r="4677" spans="1:97" x14ac:dyDescent="0.25">
      <c r="A4677" t="s">
        <v>2692</v>
      </c>
      <c r="B4677" t="s">
        <v>1704</v>
      </c>
      <c r="C4677" t="s">
        <v>1047</v>
      </c>
      <c r="D4677" t="s">
        <v>1704</v>
      </c>
      <c r="E4677" t="s">
        <v>29292</v>
      </c>
      <c r="F4677" t="s">
        <v>108</v>
      </c>
      <c r="H4677" t="s">
        <v>29293</v>
      </c>
      <c r="I4677" t="s">
        <v>2874</v>
      </c>
      <c r="J4677" t="s">
        <v>111</v>
      </c>
      <c r="K4677" t="str">
        <f>"85304"</f>
        <v>85304</v>
      </c>
      <c r="L4677" t="s">
        <v>11566</v>
      </c>
      <c r="M4677" t="s">
        <v>29293</v>
      </c>
      <c r="N4677" t="s">
        <v>2874</v>
      </c>
      <c r="O4677" t="s">
        <v>111</v>
      </c>
      <c r="P4677" t="str">
        <f>"85304-1870"</f>
        <v>85304-1870</v>
      </c>
      <c r="Q4677" t="s">
        <v>113</v>
      </c>
      <c r="R4677" t="str">
        <f>"200-39-624"</f>
        <v>200-39-624</v>
      </c>
      <c r="S4677" t="s">
        <v>29294</v>
      </c>
      <c r="T4677" t="s">
        <v>14126</v>
      </c>
      <c r="U4677">
        <v>2921</v>
      </c>
      <c r="V4677">
        <v>0</v>
      </c>
      <c r="W4677">
        <v>4</v>
      </c>
      <c r="X4677">
        <v>1997</v>
      </c>
      <c r="Z4677">
        <v>2</v>
      </c>
      <c r="AA4677" t="s">
        <v>26</v>
      </c>
      <c r="AB4677">
        <v>0</v>
      </c>
      <c r="AC4677" t="s">
        <v>115</v>
      </c>
      <c r="AD4677">
        <v>3</v>
      </c>
      <c r="AE4677" t="s">
        <v>115</v>
      </c>
      <c r="AF4677">
        <v>0</v>
      </c>
      <c r="AG4677">
        <v>0</v>
      </c>
      <c r="AH4677" t="s">
        <v>116</v>
      </c>
      <c r="AI4677" s="1">
        <v>72442</v>
      </c>
      <c r="AJ4677" s="2">
        <v>0.19</v>
      </c>
      <c r="AK4677" s="1">
        <v>382342</v>
      </c>
      <c r="AL4677" t="s">
        <v>117</v>
      </c>
      <c r="AM4677" t="s">
        <v>118</v>
      </c>
      <c r="AN4677">
        <v>7900</v>
      </c>
      <c r="AO4677">
        <v>0.18</v>
      </c>
      <c r="AP4677">
        <v>1</v>
      </c>
      <c r="AR4677">
        <v>1</v>
      </c>
      <c r="AS4677" s="1">
        <v>29630</v>
      </c>
      <c r="AT4677" s="1">
        <v>5920</v>
      </c>
      <c r="AU4677" s="1">
        <v>23710</v>
      </c>
      <c r="AV4677">
        <v>80.02</v>
      </c>
      <c r="AX4677" s="1">
        <v>2297.2199999999998</v>
      </c>
      <c r="AY4677" t="s">
        <v>1808</v>
      </c>
      <c r="AZ4677" t="s">
        <v>1808</v>
      </c>
      <c r="BA4677" t="s">
        <v>8681</v>
      </c>
      <c r="BE4677" s="3">
        <v>41957</v>
      </c>
      <c r="BF4677" s="1">
        <v>300000</v>
      </c>
      <c r="BG4677" t="s">
        <v>29295</v>
      </c>
      <c r="BH4677" s="1">
        <v>103.52</v>
      </c>
      <c r="BI4677" s="1">
        <v>309900</v>
      </c>
      <c r="BJ4677" s="3">
        <v>41957</v>
      </c>
      <c r="BK4677" t="s">
        <v>123</v>
      </c>
      <c r="BL4677" t="str">
        <f>"2014.756248"</f>
        <v>2014.756248</v>
      </c>
      <c r="BM4677" t="s">
        <v>2683</v>
      </c>
      <c r="BO4677" t="s">
        <v>29296</v>
      </c>
      <c r="BS4677">
        <v>30</v>
      </c>
      <c r="BW4677" t="str">
        <f>""</f>
        <v/>
      </c>
      <c r="CH4677" t="str">
        <f>""</f>
        <v/>
      </c>
      <c r="CS4677" t="str">
        <f>""</f>
        <v/>
      </c>
    </row>
    <row r="4678" spans="1:97" x14ac:dyDescent="0.25">
      <c r="A4678" t="s">
        <v>8440</v>
      </c>
      <c r="B4678" t="s">
        <v>29297</v>
      </c>
      <c r="E4678" t="s">
        <v>29298</v>
      </c>
      <c r="F4678" t="s">
        <v>108</v>
      </c>
      <c r="H4678" t="s">
        <v>29299</v>
      </c>
      <c r="I4678" t="s">
        <v>203</v>
      </c>
      <c r="J4678" t="s">
        <v>111</v>
      </c>
      <c r="K4678" t="str">
        <f>"85296"</f>
        <v>85296</v>
      </c>
      <c r="L4678" t="s">
        <v>5456</v>
      </c>
      <c r="M4678" t="s">
        <v>29299</v>
      </c>
      <c r="N4678" t="s">
        <v>203</v>
      </c>
      <c r="O4678" t="s">
        <v>111</v>
      </c>
      <c r="P4678" t="str">
        <f>"85296-4277"</f>
        <v>85296-4277</v>
      </c>
      <c r="Q4678" t="s">
        <v>113</v>
      </c>
      <c r="R4678" t="str">
        <f>"309-14-645"</f>
        <v>309-14-645</v>
      </c>
      <c r="S4678" t="s">
        <v>26137</v>
      </c>
      <c r="T4678" t="s">
        <v>26137</v>
      </c>
      <c r="U4678">
        <v>2621</v>
      </c>
      <c r="V4678">
        <v>0</v>
      </c>
      <c r="W4678">
        <v>4</v>
      </c>
      <c r="X4678">
        <v>2000</v>
      </c>
      <c r="Z4678">
        <v>2</v>
      </c>
      <c r="AA4678" t="s">
        <v>26</v>
      </c>
      <c r="AB4678">
        <v>0</v>
      </c>
      <c r="AC4678" t="s">
        <v>115</v>
      </c>
      <c r="AD4678">
        <v>3</v>
      </c>
      <c r="AE4678" t="s">
        <v>115</v>
      </c>
      <c r="AF4678">
        <v>0</v>
      </c>
      <c r="AG4678">
        <v>0</v>
      </c>
      <c r="AH4678" t="s">
        <v>116</v>
      </c>
      <c r="AI4678" s="1">
        <v>78658</v>
      </c>
      <c r="AJ4678" s="2">
        <v>0.17</v>
      </c>
      <c r="AK4678" s="1">
        <v>452045</v>
      </c>
      <c r="AL4678" t="s">
        <v>117</v>
      </c>
      <c r="AM4678" t="s">
        <v>393</v>
      </c>
      <c r="AN4678">
        <v>14922</v>
      </c>
      <c r="AO4678">
        <v>0.34</v>
      </c>
      <c r="AP4678">
        <v>1</v>
      </c>
      <c r="AR4678">
        <v>1</v>
      </c>
      <c r="AS4678" s="1">
        <v>32930</v>
      </c>
      <c r="AT4678" s="1">
        <v>6580</v>
      </c>
      <c r="AU4678" s="1">
        <v>26350</v>
      </c>
      <c r="AV4678">
        <v>80.02</v>
      </c>
      <c r="AX4678" s="1">
        <v>2440.7600000000002</v>
      </c>
      <c r="AY4678" t="s">
        <v>7046</v>
      </c>
      <c r="AZ4678" t="s">
        <v>207</v>
      </c>
      <c r="BA4678" t="s">
        <v>208</v>
      </c>
      <c r="BE4678" s="3">
        <v>42353</v>
      </c>
      <c r="BF4678" s="1">
        <v>360000</v>
      </c>
      <c r="BG4678" t="s">
        <v>6855</v>
      </c>
      <c r="BH4678" s="1">
        <v>137.35</v>
      </c>
      <c r="BI4678" s="1">
        <v>373387</v>
      </c>
      <c r="BJ4678" s="3">
        <v>42579</v>
      </c>
      <c r="BK4678" t="s">
        <v>123</v>
      </c>
      <c r="BL4678" t="str">
        <f>"2016.534161"</f>
        <v>2016.534161</v>
      </c>
      <c r="BM4678" t="s">
        <v>255</v>
      </c>
      <c r="BO4678" t="s">
        <v>29300</v>
      </c>
      <c r="BS4678">
        <v>30</v>
      </c>
      <c r="BW4678" t="str">
        <f>""</f>
        <v/>
      </c>
      <c r="CH4678" t="str">
        <f>""</f>
        <v/>
      </c>
      <c r="CS4678" t="str">
        <f>""</f>
        <v/>
      </c>
    </row>
    <row r="4679" spans="1:97" x14ac:dyDescent="0.25">
      <c r="A4679" t="s">
        <v>1514</v>
      </c>
      <c r="B4679" t="s">
        <v>29301</v>
      </c>
      <c r="C4679" t="s">
        <v>1119</v>
      </c>
      <c r="D4679" t="s">
        <v>29301</v>
      </c>
      <c r="E4679" t="s">
        <v>29302</v>
      </c>
      <c r="F4679" t="s">
        <v>108</v>
      </c>
      <c r="H4679" t="s">
        <v>29303</v>
      </c>
      <c r="I4679" t="s">
        <v>203</v>
      </c>
      <c r="J4679" t="s">
        <v>111</v>
      </c>
      <c r="K4679" t="str">
        <f>"85297"</f>
        <v>85297</v>
      </c>
      <c r="L4679" t="s">
        <v>5021</v>
      </c>
      <c r="M4679" t="s">
        <v>29303</v>
      </c>
      <c r="N4679" t="s">
        <v>203</v>
      </c>
      <c r="O4679" t="s">
        <v>111</v>
      </c>
      <c r="P4679" t="str">
        <f>"85297-1910"</f>
        <v>85297-1910</v>
      </c>
      <c r="Q4679" t="s">
        <v>113</v>
      </c>
      <c r="R4679" t="str">
        <f>"304-58-517"</f>
        <v>304-58-517</v>
      </c>
      <c r="S4679" t="s">
        <v>29304</v>
      </c>
      <c r="T4679" t="s">
        <v>29305</v>
      </c>
      <c r="U4679">
        <v>2292</v>
      </c>
      <c r="V4679">
        <v>0</v>
      </c>
      <c r="W4679">
        <v>4</v>
      </c>
      <c r="X4679">
        <v>2012</v>
      </c>
      <c r="Z4679">
        <v>1</v>
      </c>
      <c r="AA4679" t="s">
        <v>26</v>
      </c>
      <c r="AB4679">
        <v>0</v>
      </c>
      <c r="AC4679" t="s">
        <v>115</v>
      </c>
      <c r="AD4679">
        <v>2</v>
      </c>
      <c r="AE4679" t="s">
        <v>115</v>
      </c>
      <c r="AF4679">
        <v>0</v>
      </c>
      <c r="AG4679">
        <v>0</v>
      </c>
      <c r="AH4679" t="s">
        <v>116</v>
      </c>
      <c r="AI4679" s="1">
        <v>87056</v>
      </c>
      <c r="AJ4679" s="2">
        <v>0.2</v>
      </c>
      <c r="AK4679" s="1">
        <v>446036</v>
      </c>
      <c r="AL4679" t="s">
        <v>117</v>
      </c>
      <c r="AM4679" t="s">
        <v>393</v>
      </c>
      <c r="AN4679">
        <v>9956</v>
      </c>
      <c r="AO4679">
        <v>0.23</v>
      </c>
      <c r="AR4679">
        <v>1</v>
      </c>
      <c r="AS4679" s="1">
        <v>31480</v>
      </c>
      <c r="AT4679" s="1">
        <v>6290</v>
      </c>
      <c r="AU4679" s="1">
        <v>25190</v>
      </c>
      <c r="AV4679">
        <v>80.02</v>
      </c>
      <c r="AX4679" s="1">
        <v>2599.6999999999998</v>
      </c>
      <c r="AY4679" t="s">
        <v>302</v>
      </c>
      <c r="AZ4679" t="s">
        <v>273</v>
      </c>
      <c r="BA4679" t="s">
        <v>303</v>
      </c>
      <c r="BE4679" s="3">
        <v>41822</v>
      </c>
      <c r="BF4679" s="1">
        <v>355000</v>
      </c>
      <c r="BG4679" t="s">
        <v>29306</v>
      </c>
      <c r="BH4679" s="1">
        <v>154.88999999999999</v>
      </c>
      <c r="BI4679" s="1">
        <v>358980</v>
      </c>
      <c r="BJ4679" s="3">
        <v>42235</v>
      </c>
      <c r="BK4679" t="s">
        <v>123</v>
      </c>
      <c r="BL4679" t="str">
        <f>"2015.599531"</f>
        <v>2015.599531</v>
      </c>
      <c r="BM4679" t="s">
        <v>425</v>
      </c>
      <c r="BO4679" t="s">
        <v>29307</v>
      </c>
      <c r="BS4679">
        <v>30</v>
      </c>
      <c r="BW4679" t="str">
        <f>""</f>
        <v/>
      </c>
      <c r="CH4679" t="str">
        <f>""</f>
        <v/>
      </c>
      <c r="CS4679" t="str">
        <f>""</f>
        <v/>
      </c>
    </row>
    <row r="4680" spans="1:97" x14ac:dyDescent="0.25">
      <c r="A4680" t="s">
        <v>464</v>
      </c>
      <c r="B4680" t="s">
        <v>29308</v>
      </c>
      <c r="C4680" t="s">
        <v>15429</v>
      </c>
      <c r="D4680" t="s">
        <v>29308</v>
      </c>
      <c r="E4680" t="s">
        <v>29309</v>
      </c>
      <c r="F4680" t="s">
        <v>108</v>
      </c>
      <c r="H4680" t="s">
        <v>29310</v>
      </c>
      <c r="I4680" t="s">
        <v>225</v>
      </c>
      <c r="J4680" t="s">
        <v>111</v>
      </c>
      <c r="K4680" t="str">
        <f>"85210"</f>
        <v>85210</v>
      </c>
      <c r="L4680" t="s">
        <v>7005</v>
      </c>
      <c r="M4680" t="s">
        <v>29310</v>
      </c>
      <c r="N4680" t="s">
        <v>225</v>
      </c>
      <c r="O4680" t="s">
        <v>111</v>
      </c>
      <c r="P4680" t="str">
        <f>"85210-7579"</f>
        <v>85210-7579</v>
      </c>
      <c r="Q4680" t="s">
        <v>113</v>
      </c>
      <c r="R4680" t="str">
        <f>"310-02-234"</f>
        <v>310-02-234</v>
      </c>
      <c r="S4680" t="s">
        <v>29311</v>
      </c>
      <c r="U4680">
        <v>1809</v>
      </c>
      <c r="V4680">
        <v>0</v>
      </c>
      <c r="W4680">
        <v>3</v>
      </c>
      <c r="X4680">
        <v>1993</v>
      </c>
      <c r="Z4680">
        <v>1</v>
      </c>
      <c r="AA4680" t="s">
        <v>26</v>
      </c>
      <c r="AB4680">
        <v>0</v>
      </c>
      <c r="AC4680" t="s">
        <v>115</v>
      </c>
      <c r="AD4680">
        <v>3</v>
      </c>
      <c r="AE4680" t="s">
        <v>115</v>
      </c>
      <c r="AF4680">
        <v>0</v>
      </c>
      <c r="AG4680">
        <v>0</v>
      </c>
      <c r="AH4680" t="s">
        <v>116</v>
      </c>
      <c r="AI4680" s="1">
        <v>75363</v>
      </c>
      <c r="AJ4680" s="2">
        <v>0.22</v>
      </c>
      <c r="AK4680" s="1">
        <v>341974</v>
      </c>
      <c r="AL4680" t="s">
        <v>117</v>
      </c>
      <c r="AM4680" t="s">
        <v>191</v>
      </c>
      <c r="AN4680">
        <v>7714</v>
      </c>
      <c r="AO4680">
        <v>0.18</v>
      </c>
      <c r="AP4680">
        <v>1</v>
      </c>
      <c r="AR4680">
        <v>1</v>
      </c>
      <c r="AS4680" s="1">
        <v>23800</v>
      </c>
      <c r="AT4680" s="1">
        <v>4760</v>
      </c>
      <c r="AU4680" s="1">
        <v>19040</v>
      </c>
      <c r="AV4680">
        <v>80</v>
      </c>
      <c r="AX4680" s="1">
        <v>1984.52</v>
      </c>
      <c r="AY4680" t="s">
        <v>8076</v>
      </c>
      <c r="AZ4680" t="s">
        <v>7295</v>
      </c>
      <c r="BA4680" t="s">
        <v>5311</v>
      </c>
      <c r="BE4680" s="3">
        <v>41957</v>
      </c>
      <c r="BF4680" s="1">
        <v>261000</v>
      </c>
      <c r="BG4680" t="s">
        <v>29312</v>
      </c>
      <c r="BH4680" s="1">
        <v>144.28</v>
      </c>
      <c r="BI4680" s="1">
        <v>266611</v>
      </c>
      <c r="BJ4680" s="3">
        <v>41957</v>
      </c>
      <c r="BK4680" t="s">
        <v>123</v>
      </c>
      <c r="BL4680" t="str">
        <f>"2014.755889"</f>
        <v>2014.755889</v>
      </c>
      <c r="BM4680" t="s">
        <v>475</v>
      </c>
      <c r="BO4680" t="s">
        <v>29313</v>
      </c>
      <c r="BS4680">
        <v>30</v>
      </c>
      <c r="BW4680" t="str">
        <f>""</f>
        <v/>
      </c>
      <c r="CH4680" t="str">
        <f>""</f>
        <v/>
      </c>
      <c r="CS4680" t="str">
        <f>""</f>
        <v/>
      </c>
    </row>
    <row r="4681" spans="1:97" x14ac:dyDescent="0.25">
      <c r="A4681" t="s">
        <v>370</v>
      </c>
      <c r="B4681" t="s">
        <v>29314</v>
      </c>
      <c r="C4681" t="s">
        <v>1594</v>
      </c>
      <c r="D4681" t="s">
        <v>29314</v>
      </c>
      <c r="E4681" t="s">
        <v>29315</v>
      </c>
      <c r="F4681" t="s">
        <v>108</v>
      </c>
      <c r="H4681" t="s">
        <v>29316</v>
      </c>
      <c r="I4681" t="s">
        <v>225</v>
      </c>
      <c r="J4681" t="s">
        <v>111</v>
      </c>
      <c r="K4681" t="str">
        <f>"85212"</f>
        <v>85212</v>
      </c>
      <c r="L4681" t="s">
        <v>6595</v>
      </c>
      <c r="M4681" t="s">
        <v>29316</v>
      </c>
      <c r="N4681" t="s">
        <v>225</v>
      </c>
      <c r="O4681" t="s">
        <v>111</v>
      </c>
      <c r="P4681" t="str">
        <f>"85212-3243"</f>
        <v>85212-3243</v>
      </c>
      <c r="Q4681" t="s">
        <v>113</v>
      </c>
      <c r="R4681" t="str">
        <f>"304-89-197"</f>
        <v>304-89-197</v>
      </c>
      <c r="S4681" t="s">
        <v>8842</v>
      </c>
      <c r="T4681" t="s">
        <v>8842</v>
      </c>
      <c r="U4681">
        <v>4214</v>
      </c>
      <c r="V4681">
        <v>0</v>
      </c>
      <c r="W4681">
        <v>5</v>
      </c>
      <c r="X4681">
        <v>2014</v>
      </c>
      <c r="Z4681">
        <v>2</v>
      </c>
      <c r="AA4681" t="s">
        <v>26</v>
      </c>
      <c r="AB4681">
        <v>0</v>
      </c>
      <c r="AC4681" t="s">
        <v>115</v>
      </c>
      <c r="AD4681">
        <v>3</v>
      </c>
      <c r="AE4681" t="s">
        <v>115</v>
      </c>
      <c r="AF4681">
        <v>0</v>
      </c>
      <c r="AG4681">
        <v>0</v>
      </c>
      <c r="AH4681" t="s">
        <v>116</v>
      </c>
      <c r="AI4681" s="1">
        <v>126807</v>
      </c>
      <c r="AJ4681" s="2">
        <v>0.26</v>
      </c>
      <c r="AK4681" s="1">
        <v>486918</v>
      </c>
      <c r="AL4681" t="s">
        <v>117</v>
      </c>
      <c r="AM4681" t="s">
        <v>191</v>
      </c>
      <c r="AN4681">
        <v>7875</v>
      </c>
      <c r="AO4681">
        <v>0.18</v>
      </c>
      <c r="AR4681">
        <v>1</v>
      </c>
      <c r="AS4681" s="1">
        <v>35560</v>
      </c>
      <c r="AT4681" s="1">
        <v>7110</v>
      </c>
      <c r="AU4681" s="1">
        <v>28450</v>
      </c>
      <c r="AV4681">
        <v>80.010000000000005</v>
      </c>
      <c r="AX4681" s="1">
        <v>2919.36</v>
      </c>
      <c r="AY4681" t="s">
        <v>560</v>
      </c>
      <c r="AZ4681" t="s">
        <v>561</v>
      </c>
      <c r="BA4681" t="s">
        <v>194</v>
      </c>
      <c r="BE4681" s="3">
        <v>41992</v>
      </c>
      <c r="BF4681" s="1">
        <v>352532</v>
      </c>
      <c r="BG4681" t="s">
        <v>8843</v>
      </c>
      <c r="BH4681" s="1">
        <v>83.66</v>
      </c>
      <c r="BI4681" s="1">
        <v>360111</v>
      </c>
      <c r="BJ4681" s="3">
        <v>41992</v>
      </c>
      <c r="BK4681" t="s">
        <v>123</v>
      </c>
      <c r="BL4681" t="str">
        <f>"2014.837718"</f>
        <v>2014.837718</v>
      </c>
      <c r="BM4681" t="s">
        <v>150</v>
      </c>
      <c r="BO4681" t="s">
        <v>29317</v>
      </c>
      <c r="BS4681">
        <v>30</v>
      </c>
      <c r="BW4681" t="str">
        <f>""</f>
        <v/>
      </c>
      <c r="CH4681" t="str">
        <f>""</f>
        <v/>
      </c>
      <c r="CS4681" t="str">
        <f>""</f>
        <v/>
      </c>
    </row>
    <row r="4682" spans="1:97" x14ac:dyDescent="0.25">
      <c r="A4682" t="s">
        <v>1850</v>
      </c>
      <c r="B4682" t="s">
        <v>29318</v>
      </c>
      <c r="C4682" t="s">
        <v>10743</v>
      </c>
      <c r="D4682" t="s">
        <v>29318</v>
      </c>
      <c r="E4682" t="s">
        <v>29319</v>
      </c>
      <c r="F4682" t="s">
        <v>108</v>
      </c>
      <c r="H4682" t="s">
        <v>29320</v>
      </c>
      <c r="I4682" t="s">
        <v>225</v>
      </c>
      <c r="J4682" t="s">
        <v>111</v>
      </c>
      <c r="K4682" t="str">
        <f>"85207"</f>
        <v>85207</v>
      </c>
      <c r="L4682" t="s">
        <v>269</v>
      </c>
      <c r="M4682" t="s">
        <v>29320</v>
      </c>
      <c r="N4682" t="s">
        <v>225</v>
      </c>
      <c r="O4682" t="s">
        <v>111</v>
      </c>
      <c r="P4682" t="str">
        <f>"85207-1086"</f>
        <v>85207-1086</v>
      </c>
      <c r="Q4682" t="s">
        <v>113</v>
      </c>
      <c r="R4682" t="str">
        <f>"219-19-291"</f>
        <v>219-19-291</v>
      </c>
      <c r="S4682" t="s">
        <v>29321</v>
      </c>
      <c r="T4682" t="s">
        <v>29322</v>
      </c>
      <c r="U4682">
        <v>2226</v>
      </c>
      <c r="V4682">
        <v>0</v>
      </c>
      <c r="W4682">
        <v>3</v>
      </c>
      <c r="X4682">
        <v>1997</v>
      </c>
      <c r="Z4682">
        <v>1</v>
      </c>
      <c r="AA4682" t="s">
        <v>26</v>
      </c>
      <c r="AB4682">
        <v>0</v>
      </c>
      <c r="AC4682" t="s">
        <v>115</v>
      </c>
      <c r="AD4682">
        <v>3</v>
      </c>
      <c r="AE4682" t="s">
        <v>115</v>
      </c>
      <c r="AF4682">
        <v>0</v>
      </c>
      <c r="AG4682">
        <v>0</v>
      </c>
      <c r="AH4682" t="s">
        <v>116</v>
      </c>
      <c r="AI4682" s="1">
        <v>-346663</v>
      </c>
      <c r="AJ4682" s="2">
        <v>-0.8</v>
      </c>
      <c r="AK4682" s="1">
        <v>435337</v>
      </c>
      <c r="AL4682" t="s">
        <v>117</v>
      </c>
      <c r="AM4682" t="s">
        <v>917</v>
      </c>
      <c r="AN4682">
        <v>7701</v>
      </c>
      <c r="AO4682">
        <v>0.18</v>
      </c>
      <c r="AP4682">
        <v>1</v>
      </c>
      <c r="AR4682">
        <v>1</v>
      </c>
      <c r="AS4682" s="1">
        <v>31010</v>
      </c>
      <c r="AT4682" s="1">
        <v>6200</v>
      </c>
      <c r="AU4682" s="1">
        <v>24810</v>
      </c>
      <c r="AV4682">
        <v>80.010000000000005</v>
      </c>
      <c r="AX4682" s="1">
        <v>2981.9</v>
      </c>
      <c r="AY4682" t="s">
        <v>9337</v>
      </c>
      <c r="AZ4682" t="s">
        <v>231</v>
      </c>
      <c r="BA4682" t="s">
        <v>3119</v>
      </c>
      <c r="BE4682" s="3">
        <v>42433</v>
      </c>
      <c r="BF4682" s="1">
        <v>391000</v>
      </c>
      <c r="BG4682" t="s">
        <v>29323</v>
      </c>
      <c r="BH4682" s="1">
        <v>175.65</v>
      </c>
      <c r="BI4682" s="1">
        <v>391000</v>
      </c>
      <c r="BJ4682" s="3">
        <v>42433</v>
      </c>
      <c r="BK4682" t="s">
        <v>123</v>
      </c>
      <c r="BL4682" t="str">
        <f>"2016.141914"</f>
        <v>2016.141914</v>
      </c>
      <c r="BM4682" t="s">
        <v>2589</v>
      </c>
      <c r="BO4682" t="s">
        <v>29324</v>
      </c>
      <c r="BS4682">
        <v>30</v>
      </c>
      <c r="BT4682" s="1">
        <v>391000</v>
      </c>
      <c r="BU4682" s="3">
        <v>42451</v>
      </c>
      <c r="BV4682" t="s">
        <v>123</v>
      </c>
      <c r="BW4682" t="str">
        <f>"2016.184415"</f>
        <v>2016.184415</v>
      </c>
      <c r="BX4682" t="s">
        <v>2589</v>
      </c>
      <c r="BZ4682" t="s">
        <v>29325</v>
      </c>
      <c r="CD4682">
        <v>30</v>
      </c>
      <c r="CH4682" t="str">
        <f>""</f>
        <v/>
      </c>
      <c r="CS4682" t="str">
        <f>""</f>
        <v/>
      </c>
    </row>
    <row r="4683" spans="1:97" x14ac:dyDescent="0.25">
      <c r="A4683" t="s">
        <v>11648</v>
      </c>
      <c r="B4683" t="s">
        <v>18396</v>
      </c>
      <c r="E4683" t="s">
        <v>29326</v>
      </c>
      <c r="F4683" t="s">
        <v>108</v>
      </c>
      <c r="H4683" t="s">
        <v>29327</v>
      </c>
      <c r="I4683" t="s">
        <v>188</v>
      </c>
      <c r="J4683" t="s">
        <v>111</v>
      </c>
      <c r="K4683" t="str">
        <f>"85142"</f>
        <v>85142</v>
      </c>
      <c r="L4683" t="s">
        <v>5291</v>
      </c>
      <c r="M4683" t="s">
        <v>29327</v>
      </c>
      <c r="N4683" t="s">
        <v>188</v>
      </c>
      <c r="O4683" t="s">
        <v>111</v>
      </c>
      <c r="P4683" t="str">
        <f>"85142-4908"</f>
        <v>85142-4908</v>
      </c>
      <c r="Q4683" t="s">
        <v>113</v>
      </c>
      <c r="R4683" t="str">
        <f>"314-04-393"</f>
        <v>314-04-393</v>
      </c>
      <c r="S4683" t="s">
        <v>15462</v>
      </c>
      <c r="U4683">
        <v>1987</v>
      </c>
      <c r="V4683">
        <v>0</v>
      </c>
      <c r="W4683">
        <v>3</v>
      </c>
      <c r="X4683">
        <v>2006</v>
      </c>
      <c r="Z4683">
        <v>1</v>
      </c>
      <c r="AA4683" t="s">
        <v>26</v>
      </c>
      <c r="AB4683">
        <v>0</v>
      </c>
      <c r="AC4683" t="s">
        <v>115</v>
      </c>
      <c r="AD4683">
        <v>2</v>
      </c>
      <c r="AE4683" t="s">
        <v>115</v>
      </c>
      <c r="AF4683">
        <v>0</v>
      </c>
      <c r="AG4683">
        <v>0</v>
      </c>
      <c r="AH4683" t="s">
        <v>116</v>
      </c>
      <c r="AI4683" s="1">
        <v>85431</v>
      </c>
      <c r="AJ4683" s="2">
        <v>0.26</v>
      </c>
      <c r="AK4683" s="1">
        <v>333351</v>
      </c>
      <c r="AL4683" t="s">
        <v>117</v>
      </c>
      <c r="AM4683" t="s">
        <v>191</v>
      </c>
      <c r="AN4683">
        <v>7039</v>
      </c>
      <c r="AO4683">
        <v>0.16</v>
      </c>
      <c r="AR4683">
        <v>1</v>
      </c>
      <c r="AS4683" s="1">
        <v>22480</v>
      </c>
      <c r="AT4683" s="1">
        <v>4490</v>
      </c>
      <c r="AU4683" s="1">
        <v>17990</v>
      </c>
      <c r="AV4683">
        <v>80.03</v>
      </c>
      <c r="AX4683" s="1">
        <v>2297.98</v>
      </c>
      <c r="AY4683" t="s">
        <v>192</v>
      </c>
      <c r="AZ4683" t="s">
        <v>193</v>
      </c>
      <c r="BA4683" t="s">
        <v>194</v>
      </c>
      <c r="BE4683" s="3">
        <v>42002</v>
      </c>
      <c r="BF4683" s="1">
        <v>240000</v>
      </c>
      <c r="BG4683" t="s">
        <v>29328</v>
      </c>
      <c r="BH4683" s="1">
        <v>120.79</v>
      </c>
      <c r="BI4683" s="1">
        <v>247920</v>
      </c>
      <c r="BJ4683" s="3">
        <v>42002</v>
      </c>
      <c r="BK4683" t="s">
        <v>123</v>
      </c>
      <c r="BL4683" t="str">
        <f>"2014.853178"</f>
        <v>2014.853178</v>
      </c>
      <c r="BM4683" t="s">
        <v>1201</v>
      </c>
      <c r="BO4683" t="s">
        <v>29329</v>
      </c>
      <c r="BS4683">
        <v>30</v>
      </c>
      <c r="BW4683" t="str">
        <f>""</f>
        <v/>
      </c>
      <c r="CH4683" t="str">
        <f>""</f>
        <v/>
      </c>
      <c r="CS4683" t="str">
        <f>""</f>
        <v/>
      </c>
    </row>
    <row r="4684" spans="1:97" x14ac:dyDescent="0.25">
      <c r="A4684" t="s">
        <v>305</v>
      </c>
      <c r="B4684" t="s">
        <v>19673</v>
      </c>
      <c r="E4684" t="s">
        <v>29330</v>
      </c>
      <c r="F4684" t="s">
        <v>108</v>
      </c>
      <c r="H4684" t="s">
        <v>29331</v>
      </c>
      <c r="I4684" t="s">
        <v>5387</v>
      </c>
      <c r="J4684" t="s">
        <v>111</v>
      </c>
      <c r="K4684" t="str">
        <f>"85281"</f>
        <v>85281</v>
      </c>
      <c r="L4684" t="s">
        <v>6631</v>
      </c>
      <c r="M4684" t="s">
        <v>29331</v>
      </c>
      <c r="N4684" t="s">
        <v>5387</v>
      </c>
      <c r="O4684" t="s">
        <v>111</v>
      </c>
      <c r="P4684" t="str">
        <f>"85281-1422"</f>
        <v>85281-1422</v>
      </c>
      <c r="Q4684" t="s">
        <v>113</v>
      </c>
      <c r="R4684" t="str">
        <f>"132-02-158"</f>
        <v>132-02-158</v>
      </c>
      <c r="S4684" t="s">
        <v>29332</v>
      </c>
      <c r="T4684" t="s">
        <v>29333</v>
      </c>
      <c r="U4684">
        <v>2107</v>
      </c>
      <c r="V4684">
        <v>0</v>
      </c>
      <c r="W4684">
        <v>3</v>
      </c>
      <c r="X4684">
        <v>1984</v>
      </c>
      <c r="Z4684">
        <v>2</v>
      </c>
      <c r="AB4684">
        <v>0</v>
      </c>
      <c r="AC4684" t="s">
        <v>115</v>
      </c>
      <c r="AD4684">
        <v>2</v>
      </c>
      <c r="AE4684" t="s">
        <v>115</v>
      </c>
      <c r="AF4684">
        <v>0</v>
      </c>
      <c r="AG4684">
        <v>0</v>
      </c>
      <c r="AH4684" t="s">
        <v>116</v>
      </c>
      <c r="AI4684" s="1">
        <v>86583</v>
      </c>
      <c r="AJ4684" s="2">
        <v>0.22</v>
      </c>
      <c r="AK4684" s="1">
        <v>391983</v>
      </c>
      <c r="AL4684" t="s">
        <v>117</v>
      </c>
      <c r="AM4684" t="s">
        <v>288</v>
      </c>
      <c r="AN4684">
        <v>5920</v>
      </c>
      <c r="AO4684">
        <v>0.14000000000000001</v>
      </c>
      <c r="AP4684">
        <v>1</v>
      </c>
      <c r="AR4684">
        <v>1</v>
      </c>
      <c r="AS4684" s="1">
        <v>28320</v>
      </c>
      <c r="AT4684" s="1">
        <v>5660</v>
      </c>
      <c r="AU4684" s="1">
        <v>22660</v>
      </c>
      <c r="AV4684">
        <v>80.010000000000005</v>
      </c>
      <c r="AX4684" s="1">
        <v>2552.04</v>
      </c>
      <c r="AY4684" t="s">
        <v>24655</v>
      </c>
      <c r="AZ4684" t="s">
        <v>24655</v>
      </c>
      <c r="BA4684" t="s">
        <v>10858</v>
      </c>
      <c r="BE4684" s="3">
        <v>42347</v>
      </c>
      <c r="BF4684" s="1">
        <v>299000</v>
      </c>
      <c r="BG4684" t="s">
        <v>29334</v>
      </c>
      <c r="BH4684" s="1">
        <v>141.91</v>
      </c>
      <c r="BI4684" s="1">
        <v>305400</v>
      </c>
      <c r="BJ4684" s="3">
        <v>42347</v>
      </c>
      <c r="BK4684" t="s">
        <v>123</v>
      </c>
      <c r="BL4684" t="str">
        <f>"2015.871226"</f>
        <v>2015.871226</v>
      </c>
      <c r="BM4684" t="s">
        <v>1192</v>
      </c>
      <c r="BO4684" t="s">
        <v>29335</v>
      </c>
      <c r="BS4684">
        <v>30</v>
      </c>
      <c r="BW4684" t="str">
        <f>""</f>
        <v/>
      </c>
      <c r="CH4684" t="str">
        <f>""</f>
        <v/>
      </c>
      <c r="CS4684" t="str">
        <f>""</f>
        <v/>
      </c>
    </row>
    <row r="4685" spans="1:97" x14ac:dyDescent="0.25">
      <c r="B4685" t="s">
        <v>22725</v>
      </c>
      <c r="E4685" t="s">
        <v>22727</v>
      </c>
      <c r="F4685" t="s">
        <v>108</v>
      </c>
      <c r="H4685" t="s">
        <v>29336</v>
      </c>
      <c r="I4685" t="s">
        <v>390</v>
      </c>
      <c r="J4685" t="s">
        <v>111</v>
      </c>
      <c r="K4685" t="str">
        <f>"85042"</f>
        <v>85042</v>
      </c>
      <c r="L4685" t="s">
        <v>6112</v>
      </c>
      <c r="M4685" t="s">
        <v>29336</v>
      </c>
      <c r="N4685" t="s">
        <v>390</v>
      </c>
      <c r="O4685" t="s">
        <v>111</v>
      </c>
      <c r="P4685" t="str">
        <f>"85042-7140"</f>
        <v>85042-7140</v>
      </c>
      <c r="Q4685" t="s">
        <v>113</v>
      </c>
      <c r="R4685" t="str">
        <f>"301-26-603"</f>
        <v>301-26-603</v>
      </c>
      <c r="S4685" t="s">
        <v>29337</v>
      </c>
      <c r="T4685" t="s">
        <v>29338</v>
      </c>
      <c r="U4685">
        <v>2901</v>
      </c>
      <c r="V4685">
        <v>0</v>
      </c>
      <c r="W4685">
        <v>5</v>
      </c>
      <c r="X4685">
        <v>2014</v>
      </c>
      <c r="Z4685">
        <v>1</v>
      </c>
      <c r="AB4685">
        <v>0</v>
      </c>
      <c r="AC4685" t="s">
        <v>115</v>
      </c>
      <c r="AD4685">
        <v>3</v>
      </c>
      <c r="AE4685" t="s">
        <v>115</v>
      </c>
      <c r="AF4685">
        <v>0</v>
      </c>
      <c r="AG4685">
        <v>0</v>
      </c>
      <c r="AH4685" t="s">
        <v>116</v>
      </c>
      <c r="AI4685" s="1">
        <v>105428</v>
      </c>
      <c r="AJ4685" s="2">
        <v>0.19</v>
      </c>
      <c r="AK4685" s="1">
        <v>557547</v>
      </c>
      <c r="AL4685" t="s">
        <v>117</v>
      </c>
      <c r="AM4685" t="s">
        <v>6114</v>
      </c>
      <c r="AN4685">
        <v>14040</v>
      </c>
      <c r="AO4685">
        <v>0.32</v>
      </c>
      <c r="AR4685">
        <v>1</v>
      </c>
      <c r="AS4685" s="1">
        <v>41320</v>
      </c>
      <c r="AT4685" s="1">
        <v>8260</v>
      </c>
      <c r="AU4685" s="1">
        <v>33060</v>
      </c>
      <c r="AV4685">
        <v>80.010000000000005</v>
      </c>
      <c r="AX4685" s="1">
        <v>5347.28</v>
      </c>
      <c r="AY4685" t="s">
        <v>6115</v>
      </c>
      <c r="AZ4685" t="s">
        <v>6115</v>
      </c>
      <c r="BA4685" t="s">
        <v>2860</v>
      </c>
      <c r="BB4685" s="3">
        <v>42816</v>
      </c>
      <c r="BD4685" t="s">
        <v>240</v>
      </c>
      <c r="BE4685" s="3">
        <v>41919</v>
      </c>
      <c r="BF4685" s="1">
        <v>446905</v>
      </c>
      <c r="BG4685" t="s">
        <v>749</v>
      </c>
      <c r="BH4685" s="1">
        <v>154.05000000000001</v>
      </c>
      <c r="BI4685" s="1">
        <v>452119</v>
      </c>
      <c r="BJ4685" s="3">
        <v>42152</v>
      </c>
      <c r="BK4685" t="s">
        <v>123</v>
      </c>
      <c r="BL4685" t="str">
        <f>"2015.379073"</f>
        <v>2015.379073</v>
      </c>
      <c r="BM4685" t="s">
        <v>1791</v>
      </c>
      <c r="BO4685" t="s">
        <v>29339</v>
      </c>
      <c r="BP4685" t="s">
        <v>29340</v>
      </c>
      <c r="BS4685">
        <v>30</v>
      </c>
      <c r="BW4685" t="str">
        <f>""</f>
        <v/>
      </c>
      <c r="CH4685" t="str">
        <f>""</f>
        <v/>
      </c>
      <c r="CS4685" t="str">
        <f>""</f>
        <v/>
      </c>
    </row>
    <row r="4686" spans="1:97" x14ac:dyDescent="0.25">
      <c r="B4686" t="s">
        <v>29341</v>
      </c>
      <c r="E4686" t="s">
        <v>29341</v>
      </c>
      <c r="F4686" t="s">
        <v>108</v>
      </c>
      <c r="H4686" t="s">
        <v>29342</v>
      </c>
      <c r="I4686" t="s">
        <v>453</v>
      </c>
      <c r="J4686" t="s">
        <v>111</v>
      </c>
      <c r="K4686" t="str">
        <f>"85383"</f>
        <v>85383</v>
      </c>
      <c r="L4686" t="s">
        <v>299</v>
      </c>
      <c r="M4686" t="s">
        <v>29342</v>
      </c>
      <c r="N4686" t="s">
        <v>453</v>
      </c>
      <c r="O4686" t="s">
        <v>111</v>
      </c>
      <c r="P4686" t="str">
        <f>"85383-2307"</f>
        <v>85383-2307</v>
      </c>
      <c r="Q4686" t="s">
        <v>113</v>
      </c>
      <c r="R4686" t="str">
        <f>"200-08-492"</f>
        <v>200-08-492</v>
      </c>
      <c r="S4686" t="s">
        <v>11495</v>
      </c>
      <c r="T4686" t="s">
        <v>11495</v>
      </c>
      <c r="U4686">
        <v>4150</v>
      </c>
      <c r="V4686">
        <v>0</v>
      </c>
      <c r="W4686">
        <v>6</v>
      </c>
      <c r="X4686">
        <v>2014</v>
      </c>
      <c r="Z4686">
        <v>1</v>
      </c>
      <c r="AA4686" t="s">
        <v>26</v>
      </c>
      <c r="AB4686">
        <v>0</v>
      </c>
      <c r="AC4686" t="s">
        <v>115</v>
      </c>
      <c r="AD4686">
        <v>3</v>
      </c>
      <c r="AE4686" t="s">
        <v>115</v>
      </c>
      <c r="AF4686">
        <v>0</v>
      </c>
      <c r="AG4686">
        <v>0</v>
      </c>
      <c r="AH4686" t="s">
        <v>116</v>
      </c>
      <c r="AI4686" s="1">
        <v>110324</v>
      </c>
      <c r="AJ4686" s="2">
        <v>0.18</v>
      </c>
      <c r="AK4686" s="1">
        <v>622324</v>
      </c>
      <c r="AL4686" t="s">
        <v>117</v>
      </c>
      <c r="AM4686" t="s">
        <v>616</v>
      </c>
      <c r="AN4686">
        <v>20604</v>
      </c>
      <c r="AO4686">
        <v>0.47</v>
      </c>
      <c r="AR4686">
        <v>1</v>
      </c>
      <c r="AS4686" s="1">
        <v>50780</v>
      </c>
      <c r="AT4686" s="1">
        <v>10150</v>
      </c>
      <c r="AU4686" s="1">
        <v>40630</v>
      </c>
      <c r="AV4686">
        <v>80.010000000000005</v>
      </c>
      <c r="AX4686" s="1">
        <v>5774.16</v>
      </c>
      <c r="AY4686" t="s">
        <v>6311</v>
      </c>
      <c r="AZ4686" t="s">
        <v>6311</v>
      </c>
      <c r="BA4686" t="s">
        <v>4219</v>
      </c>
      <c r="BB4686" s="3">
        <v>42011</v>
      </c>
      <c r="BD4686" t="s">
        <v>458</v>
      </c>
      <c r="BE4686" s="3">
        <v>41899</v>
      </c>
      <c r="BF4686" s="1">
        <v>546175</v>
      </c>
      <c r="BG4686" t="s">
        <v>3062</v>
      </c>
      <c r="BH4686" s="1">
        <v>131.61000000000001</v>
      </c>
      <c r="BI4686" s="1">
        <v>512000</v>
      </c>
      <c r="BJ4686" s="3">
        <v>41899</v>
      </c>
      <c r="BK4686" t="s">
        <v>123</v>
      </c>
      <c r="BL4686" t="str">
        <f>"2014.615206"</f>
        <v>2014.615206</v>
      </c>
      <c r="BM4686" t="s">
        <v>475</v>
      </c>
      <c r="BO4686" t="s">
        <v>29343</v>
      </c>
      <c r="BS4686">
        <v>30</v>
      </c>
      <c r="BW4686" t="str">
        <f>""</f>
        <v/>
      </c>
      <c r="CH4686" t="str">
        <f>""</f>
        <v/>
      </c>
      <c r="CS4686" t="str">
        <f>""</f>
        <v/>
      </c>
    </row>
    <row r="4687" spans="1:97" x14ac:dyDescent="0.25">
      <c r="A4687" t="s">
        <v>1465</v>
      </c>
      <c r="B4687" t="s">
        <v>3658</v>
      </c>
      <c r="E4687" t="s">
        <v>29344</v>
      </c>
      <c r="F4687" t="s">
        <v>108</v>
      </c>
      <c r="H4687" t="s">
        <v>29345</v>
      </c>
      <c r="I4687" t="s">
        <v>499</v>
      </c>
      <c r="J4687" t="s">
        <v>111</v>
      </c>
      <c r="K4687" t="str">
        <f>"85338"</f>
        <v>85338</v>
      </c>
      <c r="L4687" t="s">
        <v>6481</v>
      </c>
      <c r="M4687" t="s">
        <v>29345</v>
      </c>
      <c r="N4687" t="s">
        <v>499</v>
      </c>
      <c r="O4687" t="s">
        <v>111</v>
      </c>
      <c r="P4687" t="str">
        <f>"85338-4649"</f>
        <v>85338-4649</v>
      </c>
      <c r="Q4687" t="s">
        <v>113</v>
      </c>
      <c r="R4687" t="str">
        <f>"500-05-877"</f>
        <v>500-05-877</v>
      </c>
      <c r="S4687" t="s">
        <v>28432</v>
      </c>
      <c r="T4687" t="s">
        <v>28432</v>
      </c>
      <c r="U4687">
        <v>2525</v>
      </c>
      <c r="V4687">
        <v>0</v>
      </c>
      <c r="W4687">
        <v>4</v>
      </c>
      <c r="X4687">
        <v>2016</v>
      </c>
      <c r="Z4687">
        <v>1</v>
      </c>
      <c r="AB4687">
        <v>0</v>
      </c>
      <c r="AC4687" t="s">
        <v>115</v>
      </c>
      <c r="AD4687">
        <v>3</v>
      </c>
      <c r="AE4687" t="s">
        <v>115</v>
      </c>
      <c r="AF4687">
        <v>0</v>
      </c>
      <c r="AG4687">
        <v>0</v>
      </c>
      <c r="AH4687" t="s">
        <v>116</v>
      </c>
      <c r="AI4687" s="1">
        <v>74374</v>
      </c>
      <c r="AJ4687" s="2">
        <v>0.22</v>
      </c>
      <c r="AK4687" s="1">
        <v>332276</v>
      </c>
      <c r="AL4687" t="s">
        <v>117</v>
      </c>
      <c r="AM4687" t="s">
        <v>393</v>
      </c>
      <c r="AN4687">
        <v>9480</v>
      </c>
      <c r="AO4687">
        <v>0.22</v>
      </c>
      <c r="AR4687">
        <v>1</v>
      </c>
      <c r="AS4687" s="1">
        <v>24500</v>
      </c>
      <c r="AT4687" s="1">
        <v>4900</v>
      </c>
      <c r="AU4687" s="1">
        <v>19600</v>
      </c>
      <c r="AV4687">
        <v>80</v>
      </c>
      <c r="AX4687" s="1">
        <v>2120.3000000000002</v>
      </c>
      <c r="AY4687" t="s">
        <v>6319</v>
      </c>
      <c r="AZ4687" t="s">
        <v>6319</v>
      </c>
      <c r="BA4687" t="s">
        <v>7186</v>
      </c>
      <c r="BE4687" s="3">
        <v>42489</v>
      </c>
      <c r="BF4687" s="1">
        <v>283022</v>
      </c>
      <c r="BG4687" t="s">
        <v>2289</v>
      </c>
      <c r="BH4687" s="1">
        <v>112.09</v>
      </c>
      <c r="BI4687" s="1">
        <v>257902</v>
      </c>
      <c r="BJ4687" s="3">
        <v>42489</v>
      </c>
      <c r="BK4687" t="s">
        <v>123</v>
      </c>
      <c r="BL4687" t="str">
        <f>"2016.292562"</f>
        <v>2016.292562</v>
      </c>
      <c r="BM4687" t="s">
        <v>738</v>
      </c>
      <c r="BO4687" t="s">
        <v>29346</v>
      </c>
      <c r="BS4687">
        <v>30</v>
      </c>
      <c r="BW4687" t="str">
        <f>""</f>
        <v/>
      </c>
      <c r="CH4687" t="str">
        <f>""</f>
        <v/>
      </c>
      <c r="CS4687" t="str">
        <f>""</f>
        <v/>
      </c>
    </row>
    <row r="4688" spans="1:97" x14ac:dyDescent="0.25">
      <c r="A4688" t="s">
        <v>140</v>
      </c>
      <c r="B4688" t="s">
        <v>29347</v>
      </c>
      <c r="C4688" t="s">
        <v>484</v>
      </c>
      <c r="D4688" t="s">
        <v>29348</v>
      </c>
      <c r="E4688" t="s">
        <v>29349</v>
      </c>
      <c r="F4688" t="s">
        <v>108</v>
      </c>
      <c r="H4688" t="s">
        <v>29350</v>
      </c>
      <c r="I4688" t="s">
        <v>390</v>
      </c>
      <c r="J4688" t="s">
        <v>111</v>
      </c>
      <c r="K4688" t="str">
        <f>"85022"</f>
        <v>85022</v>
      </c>
      <c r="L4688" t="s">
        <v>5539</v>
      </c>
      <c r="M4688" t="s">
        <v>29350</v>
      </c>
      <c r="N4688" t="s">
        <v>390</v>
      </c>
      <c r="O4688" t="s">
        <v>111</v>
      </c>
      <c r="P4688" t="str">
        <f>"85022-4618"</f>
        <v>85022-4618</v>
      </c>
      <c r="Q4688" t="s">
        <v>113</v>
      </c>
      <c r="R4688" t="str">
        <f>"214-51-241"</f>
        <v>214-51-241</v>
      </c>
      <c r="S4688" t="s">
        <v>29351</v>
      </c>
      <c r="T4688" t="s">
        <v>1397</v>
      </c>
      <c r="U4688">
        <v>2214</v>
      </c>
      <c r="V4688">
        <v>0</v>
      </c>
      <c r="W4688">
        <v>4</v>
      </c>
      <c r="X4688">
        <v>1983</v>
      </c>
      <c r="Z4688">
        <v>2</v>
      </c>
      <c r="AA4688" t="s">
        <v>26</v>
      </c>
      <c r="AB4688">
        <v>0</v>
      </c>
      <c r="AC4688" t="s">
        <v>115</v>
      </c>
      <c r="AD4688">
        <v>2</v>
      </c>
      <c r="AE4688" t="s">
        <v>115</v>
      </c>
      <c r="AF4688">
        <v>0</v>
      </c>
      <c r="AG4688">
        <v>0</v>
      </c>
      <c r="AH4688" t="s">
        <v>116</v>
      </c>
      <c r="AI4688" s="1">
        <v>26983</v>
      </c>
      <c r="AJ4688" s="2">
        <v>7.0000000000000007E-2</v>
      </c>
      <c r="AK4688" s="1">
        <v>365548</v>
      </c>
      <c r="AL4688" t="s">
        <v>117</v>
      </c>
      <c r="AM4688" t="s">
        <v>191</v>
      </c>
      <c r="AN4688">
        <v>6828</v>
      </c>
      <c r="AO4688">
        <v>0.16</v>
      </c>
      <c r="AP4688">
        <v>1</v>
      </c>
      <c r="AR4688">
        <v>1</v>
      </c>
      <c r="AS4688" s="1">
        <v>25770</v>
      </c>
      <c r="AT4688" s="1">
        <v>5150</v>
      </c>
      <c r="AU4688" s="1">
        <v>20620</v>
      </c>
      <c r="AV4688">
        <v>80.02</v>
      </c>
      <c r="AX4688" s="1">
        <v>2118.48</v>
      </c>
      <c r="AY4688" t="s">
        <v>5802</v>
      </c>
      <c r="AZ4688" t="s">
        <v>5489</v>
      </c>
      <c r="BA4688" t="s">
        <v>5232</v>
      </c>
      <c r="BE4688" s="3">
        <v>41990</v>
      </c>
      <c r="BF4688" s="1">
        <v>249900</v>
      </c>
      <c r="BG4688" t="s">
        <v>29352</v>
      </c>
      <c r="BH4688" s="1">
        <v>112.47</v>
      </c>
      <c r="BI4688" s="1">
        <v>338565</v>
      </c>
      <c r="BJ4688" s="3">
        <v>43595</v>
      </c>
      <c r="BK4688" t="s">
        <v>123</v>
      </c>
      <c r="BL4688" t="str">
        <f>"2019.339767"</f>
        <v>2019.339767</v>
      </c>
      <c r="BM4688" t="s">
        <v>1809</v>
      </c>
      <c r="BN4688" t="s">
        <v>1810</v>
      </c>
      <c r="BO4688" t="s">
        <v>29353</v>
      </c>
      <c r="BP4688" t="s">
        <v>29354</v>
      </c>
      <c r="BR4688" t="s">
        <v>139</v>
      </c>
      <c r="BW4688" t="str">
        <f>""</f>
        <v/>
      </c>
      <c r="CH4688" t="str">
        <f>""</f>
        <v/>
      </c>
      <c r="CS4688" t="str">
        <f>""</f>
        <v/>
      </c>
    </row>
    <row r="4689" spans="1:97" x14ac:dyDescent="0.25">
      <c r="A4689" t="s">
        <v>16151</v>
      </c>
      <c r="B4689" t="s">
        <v>29355</v>
      </c>
      <c r="C4689" t="s">
        <v>29356</v>
      </c>
      <c r="D4689" t="s">
        <v>29355</v>
      </c>
      <c r="E4689" t="s">
        <v>29357</v>
      </c>
      <c r="F4689" t="s">
        <v>108</v>
      </c>
      <c r="H4689" t="s">
        <v>29358</v>
      </c>
      <c r="I4689" t="s">
        <v>499</v>
      </c>
      <c r="J4689" t="s">
        <v>111</v>
      </c>
      <c r="K4689" t="str">
        <f>"85338"</f>
        <v>85338</v>
      </c>
      <c r="L4689" t="s">
        <v>6416</v>
      </c>
      <c r="M4689" t="s">
        <v>29358</v>
      </c>
      <c r="N4689" t="s">
        <v>499</v>
      </c>
      <c r="O4689" t="s">
        <v>111</v>
      </c>
      <c r="P4689" t="str">
        <f>"85338-7673"</f>
        <v>85338-7673</v>
      </c>
      <c r="Q4689" t="s">
        <v>113</v>
      </c>
      <c r="R4689" t="str">
        <f>"400-82-567"</f>
        <v>400-82-567</v>
      </c>
      <c r="S4689" t="s">
        <v>20418</v>
      </c>
      <c r="T4689" t="s">
        <v>17252</v>
      </c>
      <c r="U4689">
        <v>2784</v>
      </c>
      <c r="V4689">
        <v>0</v>
      </c>
      <c r="W4689">
        <v>4</v>
      </c>
      <c r="X4689">
        <v>2010</v>
      </c>
      <c r="Z4689">
        <v>2</v>
      </c>
      <c r="AA4689" t="s">
        <v>26</v>
      </c>
      <c r="AB4689">
        <v>0</v>
      </c>
      <c r="AC4689" t="s">
        <v>115</v>
      </c>
      <c r="AD4689">
        <v>3</v>
      </c>
      <c r="AE4689" t="s">
        <v>115</v>
      </c>
      <c r="AF4689">
        <v>0</v>
      </c>
      <c r="AG4689">
        <v>0</v>
      </c>
      <c r="AH4689" t="s">
        <v>116</v>
      </c>
      <c r="AI4689" s="1">
        <v>90741</v>
      </c>
      <c r="AJ4689" s="2">
        <v>0.24</v>
      </c>
      <c r="AK4689" s="1">
        <v>385516</v>
      </c>
      <c r="AL4689" t="s">
        <v>117</v>
      </c>
      <c r="AM4689" t="s">
        <v>118</v>
      </c>
      <c r="AN4689">
        <v>7152</v>
      </c>
      <c r="AO4689">
        <v>0.16</v>
      </c>
      <c r="AR4689">
        <v>1</v>
      </c>
      <c r="AS4689" s="1">
        <v>27520</v>
      </c>
      <c r="AT4689" s="1">
        <v>5500</v>
      </c>
      <c r="AU4689" s="1">
        <v>22020</v>
      </c>
      <c r="AV4689">
        <v>80.010000000000005</v>
      </c>
      <c r="AX4689" s="1">
        <v>3854.18</v>
      </c>
      <c r="AY4689" t="s">
        <v>1246</v>
      </c>
      <c r="AZ4689" t="s">
        <v>1246</v>
      </c>
      <c r="BA4689" t="s">
        <v>1247</v>
      </c>
      <c r="BE4689" s="3">
        <v>42100</v>
      </c>
      <c r="BF4689" s="1">
        <v>296000</v>
      </c>
      <c r="BG4689" t="s">
        <v>29359</v>
      </c>
      <c r="BH4689" s="1">
        <v>106.32</v>
      </c>
      <c r="BI4689" s="1">
        <v>249075</v>
      </c>
      <c r="BJ4689" s="3">
        <v>42100</v>
      </c>
      <c r="BK4689" t="s">
        <v>123</v>
      </c>
      <c r="BL4689" t="str">
        <f>"2015.232710"</f>
        <v>2015.232710</v>
      </c>
      <c r="BM4689" t="s">
        <v>544</v>
      </c>
      <c r="BN4689" t="s">
        <v>545</v>
      </c>
      <c r="BO4689" t="s">
        <v>29360</v>
      </c>
      <c r="BS4689">
        <v>30</v>
      </c>
      <c r="BT4689" s="1">
        <v>45700</v>
      </c>
      <c r="BU4689" s="3">
        <v>43588</v>
      </c>
      <c r="BV4689" t="s">
        <v>134</v>
      </c>
      <c r="BW4689" t="str">
        <f>"2019.320548"</f>
        <v>2019.320548</v>
      </c>
      <c r="BX4689" t="s">
        <v>3538</v>
      </c>
      <c r="BY4689" t="s">
        <v>3539</v>
      </c>
      <c r="BZ4689" t="s">
        <v>29361</v>
      </c>
      <c r="CA4689" t="s">
        <v>29362</v>
      </c>
      <c r="CC4689" t="s">
        <v>139</v>
      </c>
      <c r="CH4689" t="str">
        <f>""</f>
        <v/>
      </c>
      <c r="CS4689" t="str">
        <f>""</f>
        <v/>
      </c>
    </row>
    <row r="4690" spans="1:97" x14ac:dyDescent="0.25">
      <c r="A4690" t="s">
        <v>12368</v>
      </c>
      <c r="B4690" t="s">
        <v>29363</v>
      </c>
      <c r="C4690" t="s">
        <v>976</v>
      </c>
      <c r="D4690" t="s">
        <v>29363</v>
      </c>
      <c r="E4690" t="s">
        <v>29364</v>
      </c>
      <c r="F4690" t="s">
        <v>108</v>
      </c>
      <c r="H4690" t="s">
        <v>29365</v>
      </c>
      <c r="I4690" t="s">
        <v>453</v>
      </c>
      <c r="J4690" t="s">
        <v>111</v>
      </c>
      <c r="K4690" t="str">
        <f>"85382"</f>
        <v>85382</v>
      </c>
      <c r="L4690" t="s">
        <v>4159</v>
      </c>
      <c r="M4690" t="s">
        <v>29365</v>
      </c>
      <c r="N4690" t="s">
        <v>453</v>
      </c>
      <c r="O4690" t="s">
        <v>111</v>
      </c>
      <c r="P4690" t="str">
        <f>"85382-4493"</f>
        <v>85382-4493</v>
      </c>
      <c r="Q4690" t="s">
        <v>113</v>
      </c>
      <c r="R4690" t="str">
        <f>"200-18-178"</f>
        <v>200-18-178</v>
      </c>
      <c r="S4690" t="s">
        <v>11500</v>
      </c>
      <c r="U4690">
        <v>2291</v>
      </c>
      <c r="V4690">
        <v>0</v>
      </c>
      <c r="W4690">
        <v>4</v>
      </c>
      <c r="X4690">
        <v>1999</v>
      </c>
      <c r="Z4690">
        <v>2</v>
      </c>
      <c r="AA4690" t="s">
        <v>26</v>
      </c>
      <c r="AB4690">
        <v>0</v>
      </c>
      <c r="AC4690" t="s">
        <v>115</v>
      </c>
      <c r="AD4690">
        <v>3</v>
      </c>
      <c r="AE4690" t="s">
        <v>115</v>
      </c>
      <c r="AF4690">
        <v>0</v>
      </c>
      <c r="AG4690">
        <v>0</v>
      </c>
      <c r="AH4690" t="s">
        <v>116</v>
      </c>
      <c r="AI4690" s="1">
        <v>81961</v>
      </c>
      <c r="AJ4690" s="2">
        <v>0.23</v>
      </c>
      <c r="AK4690" s="1">
        <v>361961</v>
      </c>
      <c r="AL4690" t="s">
        <v>117</v>
      </c>
      <c r="AM4690" t="s">
        <v>118</v>
      </c>
      <c r="AN4690">
        <v>6710</v>
      </c>
      <c r="AO4690">
        <v>0.15</v>
      </c>
      <c r="AP4690">
        <v>1</v>
      </c>
      <c r="AR4690">
        <v>1</v>
      </c>
      <c r="AS4690" s="1">
        <v>25330</v>
      </c>
      <c r="AT4690" s="1">
        <v>5060</v>
      </c>
      <c r="AU4690" s="1">
        <v>20270</v>
      </c>
      <c r="AV4690">
        <v>80.02</v>
      </c>
      <c r="AX4690" s="1">
        <v>2305.2399999999998</v>
      </c>
      <c r="AY4690" t="s">
        <v>4218</v>
      </c>
      <c r="AZ4690" t="s">
        <v>4218</v>
      </c>
      <c r="BA4690" t="s">
        <v>4219</v>
      </c>
      <c r="BE4690" s="3">
        <v>42040</v>
      </c>
      <c r="BF4690" s="1">
        <v>280000</v>
      </c>
      <c r="BG4690" t="s">
        <v>29366</v>
      </c>
      <c r="BH4690" s="1">
        <v>122.22</v>
      </c>
      <c r="BI4690" s="1">
        <v>280000</v>
      </c>
      <c r="BJ4690" s="3">
        <v>42040</v>
      </c>
      <c r="BK4690" t="s">
        <v>123</v>
      </c>
      <c r="BL4690" t="str">
        <f>"2015.75242"</f>
        <v>2015.75242</v>
      </c>
      <c r="BM4690" t="s">
        <v>3453</v>
      </c>
      <c r="BO4690" t="s">
        <v>29367</v>
      </c>
      <c r="BS4690">
        <v>30</v>
      </c>
      <c r="BW4690" t="str">
        <f>""</f>
        <v/>
      </c>
      <c r="CH4690" t="str">
        <f>""</f>
        <v/>
      </c>
      <c r="CS4690" t="str">
        <f>""</f>
        <v/>
      </c>
    </row>
    <row r="4691" spans="1:97" x14ac:dyDescent="0.25">
      <c r="A4691" t="s">
        <v>29368</v>
      </c>
      <c r="B4691" t="s">
        <v>6763</v>
      </c>
      <c r="C4691" t="s">
        <v>29369</v>
      </c>
      <c r="D4691" t="s">
        <v>29370</v>
      </c>
      <c r="E4691" t="s">
        <v>29371</v>
      </c>
      <c r="F4691" t="s">
        <v>282</v>
      </c>
      <c r="H4691" t="s">
        <v>29372</v>
      </c>
      <c r="I4691" t="s">
        <v>144</v>
      </c>
      <c r="J4691" t="s">
        <v>111</v>
      </c>
      <c r="K4691" t="str">
        <f>"85396"</f>
        <v>85396</v>
      </c>
      <c r="L4691" t="s">
        <v>439</v>
      </c>
      <c r="M4691" t="s">
        <v>29373</v>
      </c>
      <c r="N4691" t="s">
        <v>10576</v>
      </c>
      <c r="O4691" t="s">
        <v>360</v>
      </c>
      <c r="P4691" t="str">
        <f>"94952-4154"</f>
        <v>94952-4154</v>
      </c>
      <c r="Q4691" t="s">
        <v>113</v>
      </c>
      <c r="R4691" t="str">
        <f>"510-08-761"</f>
        <v>510-08-761</v>
      </c>
      <c r="S4691" t="s">
        <v>29374</v>
      </c>
      <c r="U4691">
        <v>1998</v>
      </c>
      <c r="V4691">
        <v>0</v>
      </c>
      <c r="W4691">
        <v>3</v>
      </c>
      <c r="X4691">
        <v>2016</v>
      </c>
      <c r="Z4691">
        <v>1</v>
      </c>
      <c r="AB4691">
        <v>0</v>
      </c>
      <c r="AC4691" t="s">
        <v>115</v>
      </c>
      <c r="AD4691">
        <v>2</v>
      </c>
      <c r="AE4691" t="s">
        <v>115</v>
      </c>
      <c r="AF4691">
        <v>0</v>
      </c>
      <c r="AG4691">
        <v>0</v>
      </c>
      <c r="AH4691" t="s">
        <v>116</v>
      </c>
      <c r="AI4691" s="1">
        <v>22485</v>
      </c>
      <c r="AJ4691" s="2">
        <v>0.06</v>
      </c>
      <c r="AK4691" s="1">
        <v>352385</v>
      </c>
      <c r="AL4691" t="s">
        <v>117</v>
      </c>
      <c r="AM4691" t="s">
        <v>118</v>
      </c>
      <c r="AN4691">
        <v>6095</v>
      </c>
      <c r="AO4691">
        <v>0.14000000000000001</v>
      </c>
      <c r="AR4691">
        <v>1</v>
      </c>
      <c r="AS4691" s="1">
        <v>25510</v>
      </c>
      <c r="AT4691" s="1">
        <v>5100</v>
      </c>
      <c r="AU4691" s="1">
        <v>20410</v>
      </c>
      <c r="AV4691">
        <v>80.010000000000005</v>
      </c>
      <c r="AX4691" s="1">
        <v>2568.2199999999998</v>
      </c>
      <c r="AY4691" t="s">
        <v>444</v>
      </c>
      <c r="AZ4691" t="s">
        <v>444</v>
      </c>
      <c r="BA4691" t="s">
        <v>445</v>
      </c>
      <c r="BB4691" s="3">
        <v>43045</v>
      </c>
      <c r="BD4691" t="s">
        <v>2315</v>
      </c>
      <c r="BE4691" s="3">
        <v>42373</v>
      </c>
      <c r="BF4691" s="1">
        <v>372655</v>
      </c>
      <c r="BG4691" t="s">
        <v>446</v>
      </c>
      <c r="BH4691" s="1">
        <v>186.51</v>
      </c>
      <c r="BI4691" s="1">
        <v>329900</v>
      </c>
      <c r="BJ4691" s="3">
        <v>42690</v>
      </c>
      <c r="BK4691" t="s">
        <v>123</v>
      </c>
      <c r="BL4691" t="str">
        <f>"2016.847139"</f>
        <v>2016.847139</v>
      </c>
      <c r="BM4691" t="s">
        <v>1837</v>
      </c>
      <c r="BO4691" t="s">
        <v>29375</v>
      </c>
      <c r="BS4691">
        <v>30</v>
      </c>
      <c r="BW4691" t="str">
        <f>""</f>
        <v/>
      </c>
      <c r="CH4691" t="str">
        <f>""</f>
        <v/>
      </c>
      <c r="CS4691" t="str">
        <f>""</f>
        <v/>
      </c>
    </row>
    <row r="4692" spans="1:97" x14ac:dyDescent="0.25">
      <c r="A4692" t="s">
        <v>3613</v>
      </c>
      <c r="B4692" t="s">
        <v>29376</v>
      </c>
      <c r="C4692" t="s">
        <v>29377</v>
      </c>
      <c r="D4692" t="s">
        <v>29376</v>
      </c>
      <c r="E4692" t="s">
        <v>29378</v>
      </c>
      <c r="F4692" t="s">
        <v>108</v>
      </c>
      <c r="H4692" t="s">
        <v>29379</v>
      </c>
      <c r="I4692" t="s">
        <v>453</v>
      </c>
      <c r="J4692" t="s">
        <v>111</v>
      </c>
      <c r="K4692" t="str">
        <f>"85383"</f>
        <v>85383</v>
      </c>
      <c r="L4692" t="s">
        <v>6416</v>
      </c>
      <c r="M4692" t="s">
        <v>29379</v>
      </c>
      <c r="N4692" t="s">
        <v>453</v>
      </c>
      <c r="O4692" t="s">
        <v>111</v>
      </c>
      <c r="P4692" t="str">
        <f>"85383-7203"</f>
        <v>85383-7203</v>
      </c>
      <c r="Q4692" t="s">
        <v>113</v>
      </c>
      <c r="R4692" t="str">
        <f>"201-09-593"</f>
        <v>201-09-593</v>
      </c>
      <c r="S4692" t="s">
        <v>28157</v>
      </c>
      <c r="T4692" t="s">
        <v>2222</v>
      </c>
      <c r="U4692">
        <v>2062</v>
      </c>
      <c r="V4692">
        <v>0</v>
      </c>
      <c r="W4692">
        <v>3</v>
      </c>
      <c r="X4692">
        <v>1999</v>
      </c>
      <c r="Z4692">
        <v>1</v>
      </c>
      <c r="AA4692" t="s">
        <v>26</v>
      </c>
      <c r="AB4692">
        <v>0</v>
      </c>
      <c r="AC4692" t="s">
        <v>115</v>
      </c>
      <c r="AD4692">
        <v>3</v>
      </c>
      <c r="AE4692" t="s">
        <v>115</v>
      </c>
      <c r="AF4692">
        <v>0</v>
      </c>
      <c r="AG4692">
        <v>0</v>
      </c>
      <c r="AH4692" t="s">
        <v>116</v>
      </c>
      <c r="AI4692" s="1">
        <v>12461</v>
      </c>
      <c r="AJ4692" s="2">
        <v>0.03</v>
      </c>
      <c r="AK4692" s="1">
        <v>361615</v>
      </c>
      <c r="AL4692" t="s">
        <v>117</v>
      </c>
      <c r="AM4692" t="s">
        <v>171</v>
      </c>
      <c r="AN4692">
        <v>8050</v>
      </c>
      <c r="AO4692">
        <v>0.18</v>
      </c>
      <c r="AP4692">
        <v>1</v>
      </c>
      <c r="AR4692">
        <v>1</v>
      </c>
      <c r="AS4692" s="1">
        <v>26520</v>
      </c>
      <c r="AT4692" s="1">
        <v>5300</v>
      </c>
      <c r="AU4692" s="1">
        <v>21220</v>
      </c>
      <c r="AV4692">
        <v>80.02</v>
      </c>
      <c r="AX4692" s="1">
        <v>2311.1</v>
      </c>
      <c r="AY4692" t="s">
        <v>1385</v>
      </c>
      <c r="AZ4692" t="s">
        <v>1385</v>
      </c>
      <c r="BA4692" t="s">
        <v>2223</v>
      </c>
      <c r="BE4692" s="3">
        <v>42327</v>
      </c>
      <c r="BF4692" s="1">
        <v>316000</v>
      </c>
      <c r="BG4692" t="s">
        <v>29380</v>
      </c>
      <c r="BH4692" s="1">
        <v>153.25</v>
      </c>
      <c r="BI4692" s="1">
        <v>349154</v>
      </c>
      <c r="BJ4692" s="3">
        <v>43031</v>
      </c>
      <c r="BK4692" t="s">
        <v>123</v>
      </c>
      <c r="BL4692" t="str">
        <f>"2017.783475"</f>
        <v>2017.783475</v>
      </c>
      <c r="BM4692" t="s">
        <v>29381</v>
      </c>
      <c r="BO4692" t="s">
        <v>29382</v>
      </c>
      <c r="BS4692">
        <v>30</v>
      </c>
      <c r="BW4692" t="str">
        <f>""</f>
        <v/>
      </c>
      <c r="CH4692" t="str">
        <f>""</f>
        <v/>
      </c>
      <c r="CS4692" t="str">
        <f>""</f>
        <v/>
      </c>
    </row>
    <row r="4693" spans="1:97" x14ac:dyDescent="0.25">
      <c r="A4693" t="s">
        <v>1769</v>
      </c>
      <c r="B4693" t="s">
        <v>29383</v>
      </c>
      <c r="E4693" t="s">
        <v>29384</v>
      </c>
      <c r="F4693" t="s">
        <v>108</v>
      </c>
      <c r="H4693" t="s">
        <v>29385</v>
      </c>
      <c r="I4693" t="s">
        <v>390</v>
      </c>
      <c r="J4693" t="s">
        <v>111</v>
      </c>
      <c r="K4693" t="str">
        <f>"85041"</f>
        <v>85041</v>
      </c>
      <c r="L4693" t="s">
        <v>6891</v>
      </c>
      <c r="M4693" t="s">
        <v>29385</v>
      </c>
      <c r="N4693" t="s">
        <v>390</v>
      </c>
      <c r="O4693" t="s">
        <v>111</v>
      </c>
      <c r="P4693" t="str">
        <f>"85041-3483"</f>
        <v>85041-3483</v>
      </c>
      <c r="Q4693" t="s">
        <v>113</v>
      </c>
      <c r="R4693" t="str">
        <f>"105-46-313"</f>
        <v>105-46-313</v>
      </c>
      <c r="S4693" t="s">
        <v>9862</v>
      </c>
      <c r="T4693" t="s">
        <v>9862</v>
      </c>
      <c r="U4693">
        <v>2331</v>
      </c>
      <c r="V4693">
        <v>0</v>
      </c>
      <c r="W4693">
        <v>4</v>
      </c>
      <c r="X4693">
        <v>2015</v>
      </c>
      <c r="Z4693">
        <v>2</v>
      </c>
      <c r="AB4693">
        <v>0</v>
      </c>
      <c r="AC4693" t="s">
        <v>115</v>
      </c>
      <c r="AD4693">
        <v>2</v>
      </c>
      <c r="AE4693" t="s">
        <v>115</v>
      </c>
      <c r="AF4693">
        <v>0</v>
      </c>
      <c r="AG4693">
        <v>0</v>
      </c>
      <c r="AH4693" t="s">
        <v>116</v>
      </c>
      <c r="AI4693" s="1">
        <v>52936</v>
      </c>
      <c r="AJ4693" s="2">
        <v>0.19</v>
      </c>
      <c r="AK4693" s="1">
        <v>271526</v>
      </c>
      <c r="AL4693" t="s">
        <v>117</v>
      </c>
      <c r="AM4693" t="s">
        <v>191</v>
      </c>
      <c r="AN4693">
        <v>4950</v>
      </c>
      <c r="AO4693">
        <v>0.11</v>
      </c>
      <c r="AR4693">
        <v>1</v>
      </c>
      <c r="AS4693" s="1">
        <v>18650</v>
      </c>
      <c r="AT4693" s="1">
        <v>3730</v>
      </c>
      <c r="AU4693" s="1">
        <v>14920</v>
      </c>
      <c r="AV4693">
        <v>80</v>
      </c>
      <c r="AX4693" s="1">
        <v>2265.6</v>
      </c>
      <c r="AY4693" t="s">
        <v>5220</v>
      </c>
      <c r="AZ4693" t="s">
        <v>5220</v>
      </c>
      <c r="BA4693" t="s">
        <v>1661</v>
      </c>
      <c r="BE4693" s="3">
        <v>42297</v>
      </c>
      <c r="BF4693" s="1">
        <v>213990</v>
      </c>
      <c r="BG4693" t="s">
        <v>8843</v>
      </c>
      <c r="BH4693" s="1">
        <v>91.8</v>
      </c>
      <c r="BI4693" s="1">
        <v>218590</v>
      </c>
      <c r="BJ4693" s="3">
        <v>42297</v>
      </c>
      <c r="BK4693" t="s">
        <v>123</v>
      </c>
      <c r="BL4693" t="str">
        <f>"2015.752328"</f>
        <v>2015.752328</v>
      </c>
      <c r="BM4693" t="s">
        <v>5348</v>
      </c>
      <c r="BO4693" t="s">
        <v>29386</v>
      </c>
      <c r="BS4693">
        <v>30</v>
      </c>
      <c r="BW4693" t="str">
        <f>""</f>
        <v/>
      </c>
      <c r="CH4693" t="str">
        <f>""</f>
        <v/>
      </c>
      <c r="CS4693" t="str">
        <f>""</f>
        <v/>
      </c>
    </row>
    <row r="4694" spans="1:97" x14ac:dyDescent="0.25">
      <c r="A4694" t="s">
        <v>4386</v>
      </c>
      <c r="B4694" t="s">
        <v>29387</v>
      </c>
      <c r="E4694" t="s">
        <v>29388</v>
      </c>
      <c r="F4694" t="s">
        <v>108</v>
      </c>
      <c r="H4694" t="s">
        <v>29389</v>
      </c>
      <c r="I4694" t="s">
        <v>390</v>
      </c>
      <c r="J4694" t="s">
        <v>111</v>
      </c>
      <c r="K4694" t="str">
        <f>"85029"</f>
        <v>85029</v>
      </c>
      <c r="L4694" t="s">
        <v>8199</v>
      </c>
      <c r="M4694" t="s">
        <v>29389</v>
      </c>
      <c r="N4694" t="s">
        <v>390</v>
      </c>
      <c r="O4694" t="s">
        <v>111</v>
      </c>
      <c r="P4694" t="str">
        <f>"85029-2989"</f>
        <v>85029-2989</v>
      </c>
      <c r="Q4694" t="s">
        <v>113</v>
      </c>
      <c r="R4694" t="str">
        <f>"149-27-536"</f>
        <v>149-27-536</v>
      </c>
      <c r="S4694" t="s">
        <v>13640</v>
      </c>
      <c r="T4694" t="s">
        <v>12674</v>
      </c>
      <c r="U4694">
        <v>2272</v>
      </c>
      <c r="V4694">
        <v>0</v>
      </c>
      <c r="W4694">
        <v>3</v>
      </c>
      <c r="X4694">
        <v>1995</v>
      </c>
      <c r="Z4694">
        <v>1</v>
      </c>
      <c r="AA4694" t="s">
        <v>26</v>
      </c>
      <c r="AB4694">
        <v>0</v>
      </c>
      <c r="AC4694" t="s">
        <v>115</v>
      </c>
      <c r="AD4694">
        <v>2</v>
      </c>
      <c r="AE4694" t="s">
        <v>115</v>
      </c>
      <c r="AF4694">
        <v>0</v>
      </c>
      <c r="AG4694">
        <v>0</v>
      </c>
      <c r="AH4694" t="s">
        <v>116</v>
      </c>
      <c r="AI4694" s="1">
        <v>65232</v>
      </c>
      <c r="AJ4694" s="2">
        <v>0.22</v>
      </c>
      <c r="AK4694" s="1">
        <v>300177</v>
      </c>
      <c r="AL4694" t="s">
        <v>117</v>
      </c>
      <c r="AM4694" t="s">
        <v>191</v>
      </c>
      <c r="AN4694">
        <v>7192</v>
      </c>
      <c r="AO4694">
        <v>0.16</v>
      </c>
      <c r="AP4694">
        <v>1</v>
      </c>
      <c r="AR4694">
        <v>1</v>
      </c>
      <c r="AS4694" s="1">
        <v>22530</v>
      </c>
      <c r="AT4694" s="1">
        <v>4500</v>
      </c>
      <c r="AU4694" s="1">
        <v>18030</v>
      </c>
      <c r="AV4694">
        <v>80.03</v>
      </c>
      <c r="AX4694" s="1">
        <v>2260.06</v>
      </c>
      <c r="AY4694" t="s">
        <v>5087</v>
      </c>
      <c r="AZ4694" t="s">
        <v>2997</v>
      </c>
      <c r="BA4694" t="s">
        <v>10888</v>
      </c>
      <c r="BE4694" s="3">
        <v>42171</v>
      </c>
      <c r="BF4694" s="1">
        <v>230000</v>
      </c>
      <c r="BG4694" t="s">
        <v>29390</v>
      </c>
      <c r="BH4694" s="1">
        <v>101.23</v>
      </c>
      <c r="BI4694" s="1">
        <v>234945</v>
      </c>
      <c r="BJ4694" s="3">
        <v>42171</v>
      </c>
      <c r="BK4694" t="s">
        <v>123</v>
      </c>
      <c r="BL4694" t="str">
        <f>"2015.429078"</f>
        <v>2015.429078</v>
      </c>
      <c r="BM4694" t="s">
        <v>2489</v>
      </c>
      <c r="BO4694" t="s">
        <v>29391</v>
      </c>
      <c r="BS4694">
        <v>30</v>
      </c>
      <c r="BW4694" t="str">
        <f>""</f>
        <v/>
      </c>
      <c r="CH4694" t="str">
        <f>""</f>
        <v/>
      </c>
      <c r="CS4694" t="str">
        <f>""</f>
        <v/>
      </c>
    </row>
    <row r="4695" spans="1:97" x14ac:dyDescent="0.25">
      <c r="A4695" t="s">
        <v>992</v>
      </c>
      <c r="B4695" t="s">
        <v>29392</v>
      </c>
      <c r="C4695" t="s">
        <v>852</v>
      </c>
      <c r="D4695" t="s">
        <v>29392</v>
      </c>
      <c r="E4695" t="s">
        <v>29393</v>
      </c>
      <c r="F4695" t="s">
        <v>108</v>
      </c>
      <c r="H4695" t="s">
        <v>29394</v>
      </c>
      <c r="I4695" t="s">
        <v>225</v>
      </c>
      <c r="J4695" t="s">
        <v>111</v>
      </c>
      <c r="K4695" t="str">
        <f>"85215"</f>
        <v>85215</v>
      </c>
      <c r="L4695" t="s">
        <v>6416</v>
      </c>
      <c r="M4695" t="s">
        <v>29394</v>
      </c>
      <c r="N4695" t="s">
        <v>225</v>
      </c>
      <c r="O4695" t="s">
        <v>111</v>
      </c>
      <c r="P4695" t="str">
        <f>"85215"</f>
        <v>85215</v>
      </c>
      <c r="Q4695" t="s">
        <v>113</v>
      </c>
      <c r="R4695" t="str">
        <f>"141-69-735"</f>
        <v>141-69-735</v>
      </c>
      <c r="S4695" t="s">
        <v>20861</v>
      </c>
      <c r="T4695" t="s">
        <v>20713</v>
      </c>
      <c r="U4695">
        <v>2270</v>
      </c>
      <c r="V4695">
        <v>0</v>
      </c>
      <c r="W4695">
        <v>3</v>
      </c>
      <c r="X4695">
        <v>1994</v>
      </c>
      <c r="Z4695">
        <v>1</v>
      </c>
      <c r="AA4695" t="s">
        <v>26</v>
      </c>
      <c r="AB4695">
        <v>0</v>
      </c>
      <c r="AC4695" t="s">
        <v>115</v>
      </c>
      <c r="AD4695">
        <v>3</v>
      </c>
      <c r="AE4695" t="s">
        <v>115</v>
      </c>
      <c r="AF4695">
        <v>0</v>
      </c>
      <c r="AG4695">
        <v>0</v>
      </c>
      <c r="AH4695" t="s">
        <v>116</v>
      </c>
      <c r="AI4695" s="1">
        <v>133271</v>
      </c>
      <c r="AJ4695" s="2">
        <v>0.34</v>
      </c>
      <c r="AK4695" s="1">
        <v>393271</v>
      </c>
      <c r="AL4695" t="s">
        <v>117</v>
      </c>
      <c r="AM4695" t="s">
        <v>393</v>
      </c>
      <c r="AN4695">
        <v>9645</v>
      </c>
      <c r="AO4695">
        <v>0.22</v>
      </c>
      <c r="AP4695">
        <v>1</v>
      </c>
      <c r="AR4695">
        <v>1</v>
      </c>
      <c r="AS4695" s="1">
        <v>28280</v>
      </c>
      <c r="AT4695" s="1">
        <v>5650</v>
      </c>
      <c r="AU4695" s="1">
        <v>22630</v>
      </c>
      <c r="AV4695">
        <v>80.02</v>
      </c>
      <c r="AX4695" s="1">
        <v>2328.38</v>
      </c>
      <c r="AY4695" t="s">
        <v>6662</v>
      </c>
      <c r="AZ4695" t="s">
        <v>5275</v>
      </c>
      <c r="BA4695" t="s">
        <v>3119</v>
      </c>
      <c r="BE4695" s="3">
        <v>42466</v>
      </c>
      <c r="BF4695" s="1">
        <v>325000</v>
      </c>
      <c r="BG4695" t="s">
        <v>29395</v>
      </c>
      <c r="BH4695" s="1">
        <v>143.16999999999999</v>
      </c>
      <c r="BI4695" s="1">
        <v>260000</v>
      </c>
      <c r="BJ4695" s="3">
        <v>42466</v>
      </c>
      <c r="BK4695" t="s">
        <v>123</v>
      </c>
      <c r="BL4695" t="str">
        <f>"2016.226032"</f>
        <v>2016.226032</v>
      </c>
      <c r="BM4695" t="s">
        <v>5348</v>
      </c>
      <c r="BO4695" t="s">
        <v>29396</v>
      </c>
      <c r="BS4695">
        <v>30</v>
      </c>
      <c r="BW4695" t="str">
        <f>""</f>
        <v/>
      </c>
      <c r="CH4695" t="str">
        <f>""</f>
        <v/>
      </c>
      <c r="CS4695" t="str">
        <f>""</f>
        <v/>
      </c>
    </row>
    <row r="4696" spans="1:97" x14ac:dyDescent="0.25">
      <c r="A4696" t="s">
        <v>639</v>
      </c>
      <c r="B4696" t="s">
        <v>29397</v>
      </c>
      <c r="C4696" t="s">
        <v>507</v>
      </c>
      <c r="D4696" t="s">
        <v>29397</v>
      </c>
      <c r="E4696" t="s">
        <v>29398</v>
      </c>
      <c r="F4696" t="s">
        <v>108</v>
      </c>
      <c r="H4696" t="s">
        <v>29399</v>
      </c>
      <c r="I4696" t="s">
        <v>110</v>
      </c>
      <c r="J4696" t="s">
        <v>111</v>
      </c>
      <c r="K4696" t="str">
        <f>"85286"</f>
        <v>85286</v>
      </c>
      <c r="L4696" t="s">
        <v>3758</v>
      </c>
      <c r="M4696" t="s">
        <v>29399</v>
      </c>
      <c r="N4696" t="s">
        <v>110</v>
      </c>
      <c r="O4696" t="s">
        <v>111</v>
      </c>
      <c r="P4696" t="str">
        <f>"85286-5012"</f>
        <v>85286-5012</v>
      </c>
      <c r="Q4696" t="s">
        <v>113</v>
      </c>
      <c r="R4696" t="str">
        <f>"303-49-821"</f>
        <v>303-49-821</v>
      </c>
      <c r="S4696" t="s">
        <v>29122</v>
      </c>
      <c r="T4696" t="s">
        <v>29122</v>
      </c>
      <c r="U4696">
        <v>2591</v>
      </c>
      <c r="V4696">
        <v>0</v>
      </c>
      <c r="W4696">
        <v>4</v>
      </c>
      <c r="X4696">
        <v>2013</v>
      </c>
      <c r="Z4696">
        <v>1</v>
      </c>
      <c r="AB4696">
        <v>0</v>
      </c>
      <c r="AC4696" t="s">
        <v>115</v>
      </c>
      <c r="AD4696">
        <v>3</v>
      </c>
      <c r="AE4696" t="s">
        <v>115</v>
      </c>
      <c r="AF4696">
        <v>0</v>
      </c>
      <c r="AG4696">
        <v>0</v>
      </c>
      <c r="AH4696" t="s">
        <v>116</v>
      </c>
      <c r="AI4696" s="1">
        <v>69693</v>
      </c>
      <c r="AJ4696" s="2">
        <v>0.15</v>
      </c>
      <c r="AK4696" s="1">
        <v>470359</v>
      </c>
      <c r="AL4696" t="s">
        <v>117</v>
      </c>
      <c r="AM4696" t="s">
        <v>118</v>
      </c>
      <c r="AN4696">
        <v>8126</v>
      </c>
      <c r="AO4696">
        <v>0.19</v>
      </c>
      <c r="AR4696">
        <v>1</v>
      </c>
      <c r="AS4696" s="1">
        <v>34430</v>
      </c>
      <c r="AT4696" s="1">
        <v>6880</v>
      </c>
      <c r="AU4696" s="1">
        <v>27550</v>
      </c>
      <c r="AV4696">
        <v>80.02</v>
      </c>
      <c r="AX4696" s="1">
        <v>2476.52</v>
      </c>
      <c r="AY4696" t="s">
        <v>737</v>
      </c>
      <c r="AZ4696" t="s">
        <v>120</v>
      </c>
      <c r="BA4696" t="s">
        <v>303</v>
      </c>
      <c r="BE4696" s="3">
        <v>41712</v>
      </c>
      <c r="BF4696" s="1">
        <v>399000</v>
      </c>
      <c r="BG4696" t="s">
        <v>562</v>
      </c>
      <c r="BH4696" s="1">
        <v>153.99</v>
      </c>
      <c r="BI4696" s="1">
        <v>400666</v>
      </c>
      <c r="BJ4696" s="3">
        <v>41984</v>
      </c>
      <c r="BK4696" t="s">
        <v>123</v>
      </c>
      <c r="BL4696" t="str">
        <f>"2014.816310"</f>
        <v>2014.816310</v>
      </c>
      <c r="BM4696" t="s">
        <v>936</v>
      </c>
      <c r="BO4696" t="s">
        <v>29400</v>
      </c>
      <c r="BS4696">
        <v>30</v>
      </c>
      <c r="BW4696" t="str">
        <f>""</f>
        <v/>
      </c>
      <c r="CH4696" t="str">
        <f>""</f>
        <v/>
      </c>
      <c r="CS4696" t="str">
        <f>""</f>
        <v/>
      </c>
    </row>
    <row r="4697" spans="1:97" x14ac:dyDescent="0.25">
      <c r="A4697" t="s">
        <v>328</v>
      </c>
      <c r="B4697" t="s">
        <v>3296</v>
      </c>
      <c r="C4697" t="s">
        <v>1344</v>
      </c>
      <c r="D4697" t="s">
        <v>3296</v>
      </c>
      <c r="E4697" t="s">
        <v>29401</v>
      </c>
      <c r="F4697" t="s">
        <v>108</v>
      </c>
      <c r="H4697" t="s">
        <v>29402</v>
      </c>
      <c r="I4697" t="s">
        <v>203</v>
      </c>
      <c r="J4697" t="s">
        <v>111</v>
      </c>
      <c r="K4697" t="str">
        <f>"85296"</f>
        <v>85296</v>
      </c>
      <c r="L4697" t="s">
        <v>8103</v>
      </c>
      <c r="M4697" t="s">
        <v>29402</v>
      </c>
      <c r="N4697" t="s">
        <v>203</v>
      </c>
      <c r="O4697" t="s">
        <v>111</v>
      </c>
      <c r="P4697" t="str">
        <f>"85296-8650"</f>
        <v>85296-8650</v>
      </c>
      <c r="Q4697" t="s">
        <v>113</v>
      </c>
      <c r="R4697" t="str">
        <f>"309-15-198"</f>
        <v>309-15-198</v>
      </c>
      <c r="S4697" t="s">
        <v>12690</v>
      </c>
      <c r="T4697" t="s">
        <v>12690</v>
      </c>
      <c r="U4697">
        <v>3597</v>
      </c>
      <c r="V4697">
        <v>0</v>
      </c>
      <c r="W4697">
        <v>4</v>
      </c>
      <c r="X4697">
        <v>2000</v>
      </c>
      <c r="Z4697">
        <v>2</v>
      </c>
      <c r="AA4697" t="s">
        <v>26</v>
      </c>
      <c r="AB4697">
        <v>0</v>
      </c>
      <c r="AC4697" t="s">
        <v>115</v>
      </c>
      <c r="AD4697">
        <v>3</v>
      </c>
      <c r="AE4697" t="s">
        <v>115</v>
      </c>
      <c r="AF4697">
        <v>0</v>
      </c>
      <c r="AG4697">
        <v>0</v>
      </c>
      <c r="AH4697" t="s">
        <v>116</v>
      </c>
      <c r="AI4697" s="1">
        <v>94276</v>
      </c>
      <c r="AJ4697" s="2">
        <v>0.2</v>
      </c>
      <c r="AK4697" s="1">
        <v>461861</v>
      </c>
      <c r="AL4697" t="s">
        <v>117</v>
      </c>
      <c r="AM4697" t="s">
        <v>393</v>
      </c>
      <c r="AN4697">
        <v>7897</v>
      </c>
      <c r="AO4697">
        <v>0.18</v>
      </c>
      <c r="AP4697">
        <v>1</v>
      </c>
      <c r="AR4697">
        <v>1</v>
      </c>
      <c r="AS4697" s="1">
        <v>33200</v>
      </c>
      <c r="AT4697" s="1">
        <v>6640</v>
      </c>
      <c r="AU4697" s="1">
        <v>26560</v>
      </c>
      <c r="AV4697">
        <v>80</v>
      </c>
      <c r="AX4697" s="1">
        <v>2740.26</v>
      </c>
      <c r="AY4697" t="s">
        <v>5094</v>
      </c>
      <c r="AZ4697" t="s">
        <v>5094</v>
      </c>
      <c r="BA4697" t="s">
        <v>473</v>
      </c>
      <c r="BE4697" s="3">
        <v>41828</v>
      </c>
      <c r="BF4697" s="1">
        <v>361000</v>
      </c>
      <c r="BG4697" t="s">
        <v>29403</v>
      </c>
      <c r="BH4697" s="1">
        <v>100.36</v>
      </c>
      <c r="BI4697" s="1">
        <v>367585</v>
      </c>
      <c r="BJ4697" s="3">
        <v>42657</v>
      </c>
      <c r="BK4697" t="s">
        <v>123</v>
      </c>
      <c r="BL4697" t="str">
        <f>"2016.754255"</f>
        <v>2016.754255</v>
      </c>
      <c r="BM4697" t="s">
        <v>544</v>
      </c>
      <c r="BO4697" t="s">
        <v>29404</v>
      </c>
      <c r="BS4697">
        <v>30</v>
      </c>
      <c r="BW4697" t="str">
        <f>""</f>
        <v/>
      </c>
      <c r="CH4697" t="str">
        <f>""</f>
        <v/>
      </c>
      <c r="CS4697" t="str">
        <f>""</f>
        <v/>
      </c>
    </row>
    <row r="4698" spans="1:97" x14ac:dyDescent="0.25">
      <c r="A4698" t="s">
        <v>16052</v>
      </c>
      <c r="B4698" t="s">
        <v>29405</v>
      </c>
      <c r="C4698" t="s">
        <v>29406</v>
      </c>
      <c r="D4698" t="s">
        <v>29405</v>
      </c>
      <c r="E4698" t="s">
        <v>29407</v>
      </c>
      <c r="F4698" t="s">
        <v>108</v>
      </c>
      <c r="H4698" t="s">
        <v>29408</v>
      </c>
      <c r="I4698" t="s">
        <v>5863</v>
      </c>
      <c r="J4698" t="s">
        <v>111</v>
      </c>
      <c r="K4698" t="str">
        <f>"85375"</f>
        <v>85375</v>
      </c>
      <c r="L4698" t="s">
        <v>8543</v>
      </c>
      <c r="M4698" t="s">
        <v>29408</v>
      </c>
      <c r="N4698" t="s">
        <v>5863</v>
      </c>
      <c r="O4698" t="s">
        <v>111</v>
      </c>
      <c r="P4698" t="str">
        <f>"85375-5972"</f>
        <v>85375-5972</v>
      </c>
      <c r="Q4698" t="s">
        <v>113</v>
      </c>
      <c r="R4698" t="str">
        <f>"232-20-158-A"</f>
        <v>232-20-158-A</v>
      </c>
      <c r="S4698" t="s">
        <v>17046</v>
      </c>
      <c r="U4698">
        <v>1425</v>
      </c>
      <c r="V4698">
        <v>0</v>
      </c>
      <c r="W4698">
        <v>2</v>
      </c>
      <c r="X4698">
        <v>1990</v>
      </c>
      <c r="Z4698">
        <v>1</v>
      </c>
      <c r="AB4698">
        <v>0</v>
      </c>
      <c r="AC4698" t="s">
        <v>115</v>
      </c>
      <c r="AD4698">
        <v>2</v>
      </c>
      <c r="AE4698" t="s">
        <v>115</v>
      </c>
      <c r="AF4698">
        <v>0</v>
      </c>
      <c r="AG4698">
        <v>0</v>
      </c>
      <c r="AH4698" t="s">
        <v>116</v>
      </c>
      <c r="AI4698" s="1">
        <v>-14254</v>
      </c>
      <c r="AJ4698" s="2">
        <v>-0.06</v>
      </c>
      <c r="AK4698" s="1">
        <v>246101</v>
      </c>
      <c r="AL4698" t="s">
        <v>117</v>
      </c>
      <c r="AM4698" t="s">
        <v>393</v>
      </c>
      <c r="AN4698">
        <v>9000</v>
      </c>
      <c r="AO4698">
        <v>0.21</v>
      </c>
      <c r="AP4698">
        <v>1</v>
      </c>
      <c r="AR4698">
        <v>1</v>
      </c>
      <c r="AS4698" s="1">
        <v>15610</v>
      </c>
      <c r="AT4698" s="1">
        <v>3120</v>
      </c>
      <c r="AU4698" s="1">
        <v>12490</v>
      </c>
      <c r="AV4698">
        <v>80.010000000000005</v>
      </c>
      <c r="AX4698" s="1">
        <v>1216.4000000000001</v>
      </c>
      <c r="AY4698" t="s">
        <v>320</v>
      </c>
      <c r="AZ4698" t="s">
        <v>320</v>
      </c>
      <c r="BA4698" t="s">
        <v>321</v>
      </c>
      <c r="BB4698" s="3">
        <v>42717</v>
      </c>
      <c r="BD4698" t="s">
        <v>458</v>
      </c>
      <c r="BE4698" s="3">
        <v>41705</v>
      </c>
      <c r="BF4698" s="1">
        <v>182400</v>
      </c>
      <c r="BG4698" t="s">
        <v>29409</v>
      </c>
      <c r="BH4698" s="1">
        <v>128</v>
      </c>
      <c r="BI4698" s="1">
        <v>260355</v>
      </c>
      <c r="BJ4698" s="3">
        <v>43628</v>
      </c>
      <c r="BK4698" t="s">
        <v>123</v>
      </c>
      <c r="BL4698" t="str">
        <f>"2019.437770"</f>
        <v>2019.437770</v>
      </c>
      <c r="BM4698" t="s">
        <v>1185</v>
      </c>
      <c r="BN4698" t="s">
        <v>6728</v>
      </c>
      <c r="BO4698" t="s">
        <v>29410</v>
      </c>
      <c r="BP4698" t="s">
        <v>29411</v>
      </c>
      <c r="BR4698" t="s">
        <v>139</v>
      </c>
      <c r="BW4698" t="str">
        <f>""</f>
        <v/>
      </c>
      <c r="CH4698" t="str">
        <f>""</f>
        <v/>
      </c>
      <c r="CS4698" t="str">
        <f>""</f>
        <v/>
      </c>
    </row>
    <row r="4699" spans="1:97" x14ac:dyDescent="0.25">
      <c r="A4699" t="s">
        <v>639</v>
      </c>
      <c r="B4699" t="s">
        <v>29412</v>
      </c>
      <c r="E4699" t="s">
        <v>29413</v>
      </c>
      <c r="F4699" t="s">
        <v>108</v>
      </c>
      <c r="H4699" t="s">
        <v>29414</v>
      </c>
      <c r="I4699" t="s">
        <v>225</v>
      </c>
      <c r="J4699" t="s">
        <v>111</v>
      </c>
      <c r="K4699" t="str">
        <f>"85213"</f>
        <v>85213</v>
      </c>
      <c r="L4699" t="s">
        <v>4159</v>
      </c>
      <c r="M4699" t="s">
        <v>29414</v>
      </c>
      <c r="N4699" t="s">
        <v>225</v>
      </c>
      <c r="O4699" t="s">
        <v>111</v>
      </c>
      <c r="P4699" t="str">
        <f>"85213-1924"</f>
        <v>85213-1924</v>
      </c>
      <c r="Q4699" t="s">
        <v>113</v>
      </c>
      <c r="R4699" t="str">
        <f>"141-16-094"</f>
        <v>141-16-094</v>
      </c>
      <c r="S4699" t="s">
        <v>8861</v>
      </c>
      <c r="U4699">
        <v>3027</v>
      </c>
      <c r="V4699">
        <v>0</v>
      </c>
      <c r="W4699">
        <v>4</v>
      </c>
      <c r="X4699">
        <v>2014</v>
      </c>
      <c r="Z4699">
        <v>2</v>
      </c>
      <c r="AB4699">
        <v>0</v>
      </c>
      <c r="AC4699" t="s">
        <v>115</v>
      </c>
      <c r="AD4699">
        <v>3</v>
      </c>
      <c r="AE4699" t="s">
        <v>115</v>
      </c>
      <c r="AF4699">
        <v>0</v>
      </c>
      <c r="AG4699">
        <v>0</v>
      </c>
      <c r="AH4699" t="s">
        <v>116</v>
      </c>
      <c r="AI4699" s="1">
        <v>108397</v>
      </c>
      <c r="AJ4699" s="2">
        <v>0.23</v>
      </c>
      <c r="AK4699" s="1">
        <v>478397</v>
      </c>
      <c r="AL4699" t="s">
        <v>117</v>
      </c>
      <c r="AM4699" t="s">
        <v>1521</v>
      </c>
      <c r="AN4699">
        <v>9616</v>
      </c>
      <c r="AO4699">
        <v>0.22</v>
      </c>
      <c r="AR4699">
        <v>1</v>
      </c>
      <c r="AS4699" s="1">
        <v>33530</v>
      </c>
      <c r="AT4699" s="1">
        <v>6700</v>
      </c>
      <c r="AU4699" s="1">
        <v>26830</v>
      </c>
      <c r="AV4699">
        <v>80.02</v>
      </c>
      <c r="AX4699" s="1">
        <v>3057.12</v>
      </c>
      <c r="AY4699" t="s">
        <v>4162</v>
      </c>
      <c r="AZ4699" t="s">
        <v>4163</v>
      </c>
      <c r="BA4699" t="s">
        <v>1524</v>
      </c>
      <c r="BB4699" s="3">
        <v>42578</v>
      </c>
      <c r="BD4699" t="s">
        <v>458</v>
      </c>
      <c r="BE4699" s="3">
        <v>41669</v>
      </c>
      <c r="BF4699" s="1">
        <v>371595</v>
      </c>
      <c r="BG4699" t="s">
        <v>275</v>
      </c>
      <c r="BH4699" s="1">
        <v>122.76</v>
      </c>
      <c r="BI4699" s="1">
        <v>370000</v>
      </c>
      <c r="BJ4699" s="3">
        <v>42578</v>
      </c>
      <c r="BK4699" t="s">
        <v>123</v>
      </c>
      <c r="BL4699" t="str">
        <f>"2016.531588"</f>
        <v>2016.531588</v>
      </c>
      <c r="BM4699" t="s">
        <v>248</v>
      </c>
      <c r="BO4699" t="s">
        <v>29415</v>
      </c>
      <c r="BS4699">
        <v>30</v>
      </c>
      <c r="BW4699" t="str">
        <f>""</f>
        <v/>
      </c>
      <c r="CH4699" t="str">
        <f>""</f>
        <v/>
      </c>
      <c r="CS4699" t="str">
        <f>""</f>
        <v/>
      </c>
    </row>
    <row r="4700" spans="1:97" x14ac:dyDescent="0.25">
      <c r="A4700" t="s">
        <v>106</v>
      </c>
      <c r="B4700" t="s">
        <v>3333</v>
      </c>
      <c r="C4700" t="s">
        <v>1241</v>
      </c>
      <c r="D4700" t="s">
        <v>3333</v>
      </c>
      <c r="E4700" t="s">
        <v>29416</v>
      </c>
      <c r="F4700" t="s">
        <v>108</v>
      </c>
      <c r="H4700" t="s">
        <v>29417</v>
      </c>
      <c r="I4700" t="s">
        <v>390</v>
      </c>
      <c r="J4700" t="s">
        <v>111</v>
      </c>
      <c r="K4700" t="str">
        <f>"85048"</f>
        <v>85048</v>
      </c>
      <c r="L4700" t="s">
        <v>6333</v>
      </c>
      <c r="M4700" t="s">
        <v>29417</v>
      </c>
      <c r="N4700" t="s">
        <v>390</v>
      </c>
      <c r="O4700" t="s">
        <v>111</v>
      </c>
      <c r="P4700" t="str">
        <f>"85048-9227"</f>
        <v>85048-9227</v>
      </c>
      <c r="Q4700" t="s">
        <v>113</v>
      </c>
      <c r="R4700" t="str">
        <f>"301-70-236"</f>
        <v>301-70-236</v>
      </c>
      <c r="S4700" t="s">
        <v>15800</v>
      </c>
      <c r="U4700">
        <v>1902</v>
      </c>
      <c r="V4700">
        <v>0</v>
      </c>
      <c r="W4700">
        <v>3</v>
      </c>
      <c r="X4700">
        <v>1990</v>
      </c>
      <c r="Z4700">
        <v>1</v>
      </c>
      <c r="AA4700" t="s">
        <v>26</v>
      </c>
      <c r="AB4700">
        <v>0</v>
      </c>
      <c r="AC4700" t="s">
        <v>115</v>
      </c>
      <c r="AD4700">
        <v>3</v>
      </c>
      <c r="AE4700" t="s">
        <v>115</v>
      </c>
      <c r="AF4700">
        <v>0</v>
      </c>
      <c r="AG4700">
        <v>0</v>
      </c>
      <c r="AH4700" t="s">
        <v>116</v>
      </c>
      <c r="AI4700" s="1">
        <v>71131</v>
      </c>
      <c r="AJ4700" s="2">
        <v>0.19</v>
      </c>
      <c r="AK4700" s="1">
        <v>376899</v>
      </c>
      <c r="AL4700" t="s">
        <v>117</v>
      </c>
      <c r="AM4700" t="s">
        <v>191</v>
      </c>
      <c r="AN4700">
        <v>7745</v>
      </c>
      <c r="AO4700">
        <v>0.18</v>
      </c>
      <c r="AP4700">
        <v>1</v>
      </c>
      <c r="AR4700">
        <v>1</v>
      </c>
      <c r="AS4700" s="1">
        <v>27870</v>
      </c>
      <c r="AT4700" s="1">
        <v>5570</v>
      </c>
      <c r="AU4700" s="1">
        <v>22300</v>
      </c>
      <c r="AV4700">
        <v>80.010000000000005</v>
      </c>
      <c r="AX4700" s="1">
        <v>2919.02</v>
      </c>
      <c r="AY4700" t="s">
        <v>928</v>
      </c>
      <c r="AZ4700" t="s">
        <v>929</v>
      </c>
      <c r="BA4700" t="s">
        <v>930</v>
      </c>
      <c r="BE4700" s="3">
        <v>42124</v>
      </c>
      <c r="BF4700" s="1">
        <v>296000</v>
      </c>
      <c r="BG4700" t="s">
        <v>29418</v>
      </c>
      <c r="BH4700" s="1">
        <v>155.63</v>
      </c>
      <c r="BI4700" s="1">
        <v>305768</v>
      </c>
      <c r="BJ4700" s="3">
        <v>42124</v>
      </c>
      <c r="BK4700" t="s">
        <v>123</v>
      </c>
      <c r="BL4700" t="str">
        <f>"2015.305603"</f>
        <v>2015.305603</v>
      </c>
      <c r="BM4700" t="s">
        <v>18911</v>
      </c>
      <c r="BO4700" t="s">
        <v>29419</v>
      </c>
      <c r="BS4700">
        <v>30</v>
      </c>
      <c r="BW4700" t="str">
        <f>""</f>
        <v/>
      </c>
      <c r="CH4700" t="str">
        <f>""</f>
        <v/>
      </c>
      <c r="CS4700" t="str">
        <f>""</f>
        <v/>
      </c>
    </row>
    <row r="4701" spans="1:97" x14ac:dyDescent="0.25">
      <c r="A4701" t="s">
        <v>1272</v>
      </c>
      <c r="B4701" t="s">
        <v>29420</v>
      </c>
      <c r="E4701" t="s">
        <v>29421</v>
      </c>
      <c r="F4701" t="s">
        <v>108</v>
      </c>
      <c r="H4701" t="s">
        <v>29422</v>
      </c>
      <c r="I4701" t="s">
        <v>225</v>
      </c>
      <c r="J4701" t="s">
        <v>111</v>
      </c>
      <c r="K4701" t="str">
        <f>"85206"</f>
        <v>85206</v>
      </c>
      <c r="L4701" t="s">
        <v>11709</v>
      </c>
      <c r="M4701" t="s">
        <v>29422</v>
      </c>
      <c r="N4701" t="s">
        <v>225</v>
      </c>
      <c r="O4701" t="s">
        <v>111</v>
      </c>
      <c r="P4701" t="str">
        <f>"85206-3854"</f>
        <v>85206-3854</v>
      </c>
      <c r="Q4701" t="s">
        <v>113</v>
      </c>
      <c r="R4701" t="str">
        <f>"140-66-695"</f>
        <v>140-66-695</v>
      </c>
      <c r="S4701" t="s">
        <v>12835</v>
      </c>
      <c r="T4701" t="s">
        <v>12835</v>
      </c>
      <c r="U4701">
        <v>2121</v>
      </c>
      <c r="V4701">
        <v>0</v>
      </c>
      <c r="W4701">
        <v>4</v>
      </c>
      <c r="X4701">
        <v>1996</v>
      </c>
      <c r="Z4701">
        <v>2</v>
      </c>
      <c r="AA4701" t="s">
        <v>26</v>
      </c>
      <c r="AB4701">
        <v>0</v>
      </c>
      <c r="AC4701" t="s">
        <v>115</v>
      </c>
      <c r="AD4701">
        <v>2</v>
      </c>
      <c r="AE4701" t="s">
        <v>115</v>
      </c>
      <c r="AF4701">
        <v>0</v>
      </c>
      <c r="AG4701">
        <v>0</v>
      </c>
      <c r="AH4701" t="s">
        <v>116</v>
      </c>
      <c r="AI4701" s="1">
        <v>75935</v>
      </c>
      <c r="AJ4701" s="2">
        <v>0.22</v>
      </c>
      <c r="AK4701" s="1">
        <v>339986</v>
      </c>
      <c r="AL4701" t="s">
        <v>117</v>
      </c>
      <c r="AM4701" t="s">
        <v>191</v>
      </c>
      <c r="AN4701">
        <v>6984</v>
      </c>
      <c r="AO4701">
        <v>0.16</v>
      </c>
      <c r="AP4701">
        <v>1</v>
      </c>
      <c r="AR4701">
        <v>1</v>
      </c>
      <c r="AS4701" s="1">
        <v>23210</v>
      </c>
      <c r="AT4701" s="1">
        <v>4640</v>
      </c>
      <c r="AU4701" s="1">
        <v>18570</v>
      </c>
      <c r="AV4701">
        <v>80.010000000000005</v>
      </c>
      <c r="AX4701" s="1">
        <v>1908.42</v>
      </c>
      <c r="AY4701" t="s">
        <v>8450</v>
      </c>
      <c r="AZ4701" t="s">
        <v>5478</v>
      </c>
      <c r="BA4701" t="s">
        <v>521</v>
      </c>
      <c r="BE4701" s="3">
        <v>41859</v>
      </c>
      <c r="BF4701" s="1">
        <v>259000</v>
      </c>
      <c r="BG4701" t="s">
        <v>29423</v>
      </c>
      <c r="BH4701" s="1">
        <v>122.11</v>
      </c>
      <c r="BI4701" s="1">
        <v>264051</v>
      </c>
      <c r="BJ4701" s="3">
        <v>42107</v>
      </c>
      <c r="BK4701" t="s">
        <v>123</v>
      </c>
      <c r="BL4701" t="str">
        <f>"2015.250538"</f>
        <v>2015.250538</v>
      </c>
      <c r="BM4701" t="s">
        <v>402</v>
      </c>
      <c r="BO4701" t="s">
        <v>29424</v>
      </c>
      <c r="BS4701">
        <v>30</v>
      </c>
      <c r="BW4701" t="str">
        <f>""</f>
        <v/>
      </c>
      <c r="CH4701" t="str">
        <f>""</f>
        <v/>
      </c>
      <c r="CS4701" t="str">
        <f>""</f>
        <v/>
      </c>
    </row>
    <row r="4702" spans="1:97" x14ac:dyDescent="0.25">
      <c r="A4702" t="s">
        <v>1393</v>
      </c>
      <c r="B4702" t="s">
        <v>29425</v>
      </c>
      <c r="C4702" t="s">
        <v>1821</v>
      </c>
      <c r="D4702" t="s">
        <v>29425</v>
      </c>
      <c r="E4702" t="s">
        <v>29426</v>
      </c>
      <c r="F4702" t="s">
        <v>108</v>
      </c>
      <c r="H4702" t="s">
        <v>29427</v>
      </c>
      <c r="I4702" t="s">
        <v>2874</v>
      </c>
      <c r="J4702" t="s">
        <v>111</v>
      </c>
      <c r="K4702" t="str">
        <f>"85306"</f>
        <v>85306</v>
      </c>
      <c r="L4702" t="s">
        <v>2963</v>
      </c>
      <c r="M4702" t="s">
        <v>29427</v>
      </c>
      <c r="N4702" t="s">
        <v>2874</v>
      </c>
      <c r="O4702" t="s">
        <v>111</v>
      </c>
      <c r="P4702" t="str">
        <f>"85306-3525"</f>
        <v>85306-3525</v>
      </c>
      <c r="R4702" t="str">
        <f>"207-31-063"</f>
        <v>207-31-063</v>
      </c>
      <c r="S4702" t="s">
        <v>29428</v>
      </c>
      <c r="T4702" t="s">
        <v>29429</v>
      </c>
      <c r="U4702">
        <v>3564</v>
      </c>
      <c r="V4702">
        <v>0</v>
      </c>
      <c r="W4702">
        <v>4</v>
      </c>
      <c r="X4702">
        <v>1969</v>
      </c>
      <c r="Z4702">
        <v>2</v>
      </c>
      <c r="AA4702" t="s">
        <v>26</v>
      </c>
      <c r="AB4702">
        <v>0</v>
      </c>
      <c r="AC4702" t="s">
        <v>5188</v>
      </c>
      <c r="AD4702">
        <v>4</v>
      </c>
      <c r="AE4702" t="s">
        <v>5188</v>
      </c>
      <c r="AF4702">
        <v>0</v>
      </c>
      <c r="AG4702">
        <v>0</v>
      </c>
      <c r="AH4702" t="s">
        <v>116</v>
      </c>
      <c r="AI4702" s="1">
        <v>119494</v>
      </c>
      <c r="AJ4702" s="2">
        <v>0.23</v>
      </c>
      <c r="AK4702" s="1">
        <v>517879</v>
      </c>
      <c r="AL4702" t="s">
        <v>117</v>
      </c>
      <c r="AM4702" t="s">
        <v>3973</v>
      </c>
      <c r="AN4702">
        <v>72694</v>
      </c>
      <c r="AO4702">
        <v>1.67</v>
      </c>
      <c r="AP4702">
        <v>1</v>
      </c>
      <c r="AR4702">
        <v>1</v>
      </c>
      <c r="AS4702" s="1">
        <v>40850</v>
      </c>
      <c r="AT4702" s="1">
        <v>8170</v>
      </c>
      <c r="AU4702" s="1">
        <v>32680</v>
      </c>
      <c r="AV4702">
        <v>80</v>
      </c>
      <c r="AX4702" s="1">
        <v>5538.06</v>
      </c>
      <c r="AY4702" t="s">
        <v>2996</v>
      </c>
      <c r="AZ4702" t="s">
        <v>2997</v>
      </c>
      <c r="BA4702" t="s">
        <v>2998</v>
      </c>
      <c r="BB4702" s="3">
        <v>42328</v>
      </c>
      <c r="BD4702" t="s">
        <v>458</v>
      </c>
      <c r="BE4702" s="3">
        <v>42285</v>
      </c>
      <c r="BF4702" s="1">
        <v>390000</v>
      </c>
      <c r="BG4702" t="s">
        <v>29430</v>
      </c>
      <c r="BH4702" s="1">
        <v>109.43</v>
      </c>
      <c r="BI4702" s="1">
        <v>398385</v>
      </c>
      <c r="BJ4702" s="3">
        <v>42285</v>
      </c>
      <c r="BK4702" t="s">
        <v>123</v>
      </c>
      <c r="BL4702" t="str">
        <f>"2015.725693"</f>
        <v>2015.725693</v>
      </c>
      <c r="BM4702" t="s">
        <v>5867</v>
      </c>
      <c r="BN4702" t="s">
        <v>9181</v>
      </c>
      <c r="BO4702" t="s">
        <v>29431</v>
      </c>
      <c r="BS4702">
        <v>30</v>
      </c>
      <c r="BW4702" t="str">
        <f>""</f>
        <v/>
      </c>
      <c r="CH4702" t="str">
        <f>""</f>
        <v/>
      </c>
      <c r="CS4702" t="str">
        <f>""</f>
        <v/>
      </c>
    </row>
    <row r="4703" spans="1:97" x14ac:dyDescent="0.25">
      <c r="A4703" t="s">
        <v>4515</v>
      </c>
      <c r="B4703" t="s">
        <v>3265</v>
      </c>
      <c r="C4703" t="s">
        <v>243</v>
      </c>
      <c r="D4703" t="s">
        <v>488</v>
      </c>
      <c r="E4703" t="s">
        <v>29432</v>
      </c>
      <c r="F4703" t="s">
        <v>108</v>
      </c>
      <c r="H4703" t="s">
        <v>29433</v>
      </c>
      <c r="I4703" t="s">
        <v>203</v>
      </c>
      <c r="J4703" t="s">
        <v>111</v>
      </c>
      <c r="K4703" t="str">
        <f>"85298"</f>
        <v>85298</v>
      </c>
      <c r="L4703" t="s">
        <v>337</v>
      </c>
      <c r="M4703" t="s">
        <v>29433</v>
      </c>
      <c r="N4703" t="s">
        <v>203</v>
      </c>
      <c r="O4703" t="s">
        <v>111</v>
      </c>
      <c r="P4703" t="str">
        <f>"85298-9748"</f>
        <v>85298-9748</v>
      </c>
      <c r="Q4703" t="s">
        <v>113</v>
      </c>
      <c r="R4703" t="str">
        <f>"304-85-251"</f>
        <v>304-85-251</v>
      </c>
      <c r="S4703" t="s">
        <v>10247</v>
      </c>
      <c r="T4703" t="s">
        <v>271</v>
      </c>
      <c r="U4703">
        <v>2615</v>
      </c>
      <c r="V4703">
        <v>0</v>
      </c>
      <c r="W4703">
        <v>4</v>
      </c>
      <c r="X4703">
        <v>2011</v>
      </c>
      <c r="Z4703">
        <v>1</v>
      </c>
      <c r="AA4703" t="s">
        <v>26</v>
      </c>
      <c r="AB4703">
        <v>0</v>
      </c>
      <c r="AC4703" t="s">
        <v>115</v>
      </c>
      <c r="AD4703">
        <v>4</v>
      </c>
      <c r="AE4703" t="s">
        <v>115</v>
      </c>
      <c r="AF4703">
        <v>0</v>
      </c>
      <c r="AG4703">
        <v>0</v>
      </c>
      <c r="AH4703" t="s">
        <v>116</v>
      </c>
      <c r="AI4703" s="1">
        <v>76423</v>
      </c>
      <c r="AJ4703" s="2">
        <v>0.17</v>
      </c>
      <c r="AK4703" s="1">
        <v>454423</v>
      </c>
      <c r="AL4703" t="s">
        <v>117</v>
      </c>
      <c r="AM4703" t="s">
        <v>393</v>
      </c>
      <c r="AN4703">
        <v>9003</v>
      </c>
      <c r="AO4703">
        <v>0.21</v>
      </c>
      <c r="AR4703">
        <v>1</v>
      </c>
      <c r="AS4703" s="1">
        <v>32770</v>
      </c>
      <c r="AT4703" s="1">
        <v>6550</v>
      </c>
      <c r="AU4703" s="1">
        <v>26220</v>
      </c>
      <c r="AV4703">
        <v>80.010000000000005</v>
      </c>
      <c r="AX4703" s="1">
        <v>3050.36</v>
      </c>
      <c r="AY4703" t="s">
        <v>272</v>
      </c>
      <c r="AZ4703" t="s">
        <v>273</v>
      </c>
      <c r="BA4703" t="s">
        <v>274</v>
      </c>
      <c r="BE4703" s="3">
        <v>42341</v>
      </c>
      <c r="BF4703" s="1">
        <v>378000</v>
      </c>
      <c r="BG4703" t="s">
        <v>29434</v>
      </c>
      <c r="BH4703" s="1">
        <v>144.55000000000001</v>
      </c>
      <c r="BI4703" s="1">
        <v>378000</v>
      </c>
      <c r="BJ4703" s="3">
        <v>42341</v>
      </c>
      <c r="BK4703" t="s">
        <v>123</v>
      </c>
      <c r="BL4703" t="str">
        <f>"2015.857805"</f>
        <v>2015.857805</v>
      </c>
      <c r="BM4703" t="s">
        <v>475</v>
      </c>
      <c r="BO4703" t="s">
        <v>29435</v>
      </c>
      <c r="BP4703" t="s">
        <v>29436</v>
      </c>
      <c r="BS4703">
        <v>30</v>
      </c>
      <c r="BW4703" t="str">
        <f>""</f>
        <v/>
      </c>
      <c r="CH4703" t="str">
        <f>""</f>
        <v/>
      </c>
      <c r="CS4703" t="str">
        <f>""</f>
        <v/>
      </c>
    </row>
    <row r="4704" spans="1:97" x14ac:dyDescent="0.25">
      <c r="A4704" t="s">
        <v>639</v>
      </c>
      <c r="B4704" t="s">
        <v>29437</v>
      </c>
      <c r="C4704" t="s">
        <v>29438</v>
      </c>
      <c r="D4704" t="s">
        <v>29437</v>
      </c>
      <c r="E4704" t="s">
        <v>29439</v>
      </c>
      <c r="F4704" t="s">
        <v>108</v>
      </c>
      <c r="H4704" t="s">
        <v>29440</v>
      </c>
      <c r="I4704" t="s">
        <v>203</v>
      </c>
      <c r="J4704" t="s">
        <v>111</v>
      </c>
      <c r="K4704" t="str">
        <f>"85297"</f>
        <v>85297</v>
      </c>
      <c r="L4704" t="s">
        <v>1383</v>
      </c>
      <c r="M4704" t="s">
        <v>29440</v>
      </c>
      <c r="N4704" t="s">
        <v>203</v>
      </c>
      <c r="O4704" t="s">
        <v>111</v>
      </c>
      <c r="P4704" t="str">
        <f>"85297-3099"</f>
        <v>85297-3099</v>
      </c>
      <c r="Q4704" t="s">
        <v>113</v>
      </c>
      <c r="R4704" t="str">
        <f>"313-03-454"</f>
        <v>313-03-454</v>
      </c>
      <c r="S4704" t="s">
        <v>29441</v>
      </c>
      <c r="T4704" t="s">
        <v>23833</v>
      </c>
      <c r="U4704">
        <v>2162</v>
      </c>
      <c r="V4704">
        <v>0</v>
      </c>
      <c r="W4704">
        <v>4</v>
      </c>
      <c r="X4704">
        <v>2004</v>
      </c>
      <c r="Z4704">
        <v>2</v>
      </c>
      <c r="AB4704">
        <v>0</v>
      </c>
      <c r="AC4704" t="s">
        <v>115</v>
      </c>
      <c r="AD4704">
        <v>2</v>
      </c>
      <c r="AE4704" t="s">
        <v>115</v>
      </c>
      <c r="AF4704">
        <v>0</v>
      </c>
      <c r="AG4704">
        <v>0</v>
      </c>
      <c r="AH4704" t="s">
        <v>116</v>
      </c>
      <c r="AI4704" s="1">
        <v>77599</v>
      </c>
      <c r="AJ4704" s="2">
        <v>0.25</v>
      </c>
      <c r="AK4704" s="1">
        <v>316349</v>
      </c>
      <c r="AL4704" t="s">
        <v>117</v>
      </c>
      <c r="AM4704" t="s">
        <v>288</v>
      </c>
      <c r="AN4704">
        <v>4250</v>
      </c>
      <c r="AO4704">
        <v>0.98</v>
      </c>
      <c r="AP4704">
        <v>1</v>
      </c>
      <c r="AR4704">
        <v>1</v>
      </c>
      <c r="AS4704" s="1">
        <v>21380</v>
      </c>
      <c r="AT4704" s="1">
        <v>4270</v>
      </c>
      <c r="AU4704" s="1">
        <v>17110</v>
      </c>
      <c r="AV4704">
        <v>80.03</v>
      </c>
      <c r="AX4704" s="1">
        <v>1625.74</v>
      </c>
      <c r="AY4704" t="s">
        <v>8338</v>
      </c>
      <c r="AZ4704" t="s">
        <v>8338</v>
      </c>
      <c r="BA4704" t="s">
        <v>290</v>
      </c>
      <c r="BE4704" s="3">
        <v>42166</v>
      </c>
      <c r="BF4704" s="1">
        <v>238750</v>
      </c>
      <c r="BG4704" t="s">
        <v>29442</v>
      </c>
      <c r="BH4704" s="1">
        <v>110.43</v>
      </c>
      <c r="BI4704" s="1">
        <v>238750</v>
      </c>
      <c r="BJ4704" s="3">
        <v>42166</v>
      </c>
      <c r="BK4704" t="s">
        <v>123</v>
      </c>
      <c r="BL4704" t="str">
        <f>"2015.418070"</f>
        <v>2015.418070</v>
      </c>
      <c r="BM4704" t="s">
        <v>135</v>
      </c>
      <c r="BO4704" t="s">
        <v>29443</v>
      </c>
      <c r="BS4704">
        <v>30</v>
      </c>
      <c r="BW4704" t="str">
        <f>""</f>
        <v/>
      </c>
      <c r="CH4704" t="str">
        <f>""</f>
        <v/>
      </c>
      <c r="CS4704" t="str">
        <f>""</f>
        <v/>
      </c>
    </row>
    <row r="4705" spans="1:97" x14ac:dyDescent="0.25">
      <c r="A4705" t="s">
        <v>305</v>
      </c>
      <c r="B4705" t="s">
        <v>1862</v>
      </c>
      <c r="C4705" t="s">
        <v>154</v>
      </c>
      <c r="D4705" t="s">
        <v>1862</v>
      </c>
      <c r="E4705" t="s">
        <v>29444</v>
      </c>
      <c r="F4705" t="s">
        <v>108</v>
      </c>
      <c r="H4705" t="s">
        <v>29445</v>
      </c>
      <c r="I4705" t="s">
        <v>390</v>
      </c>
      <c r="J4705" t="s">
        <v>111</v>
      </c>
      <c r="K4705" t="str">
        <f>"85048"</f>
        <v>85048</v>
      </c>
      <c r="L4705" t="s">
        <v>2963</v>
      </c>
      <c r="M4705" t="s">
        <v>29445</v>
      </c>
      <c r="N4705" t="s">
        <v>390</v>
      </c>
      <c r="O4705" t="s">
        <v>111</v>
      </c>
      <c r="P4705" t="str">
        <f>"85048-8662"</f>
        <v>85048-8662</v>
      </c>
      <c r="Q4705" t="s">
        <v>113</v>
      </c>
      <c r="R4705" t="str">
        <f>"300-36-143"</f>
        <v>300-36-143</v>
      </c>
      <c r="S4705" t="s">
        <v>29446</v>
      </c>
      <c r="T4705" t="s">
        <v>29446</v>
      </c>
      <c r="U4705">
        <v>3001</v>
      </c>
      <c r="V4705">
        <v>0</v>
      </c>
      <c r="W4705">
        <v>4</v>
      </c>
      <c r="X4705">
        <v>1992</v>
      </c>
      <c r="Z4705">
        <v>2</v>
      </c>
      <c r="AA4705" t="s">
        <v>26</v>
      </c>
      <c r="AB4705">
        <v>0</v>
      </c>
      <c r="AC4705" t="s">
        <v>115</v>
      </c>
      <c r="AD4705">
        <v>3</v>
      </c>
      <c r="AE4705" t="s">
        <v>115</v>
      </c>
      <c r="AF4705">
        <v>0</v>
      </c>
      <c r="AG4705">
        <v>0</v>
      </c>
      <c r="AH4705" t="s">
        <v>116</v>
      </c>
      <c r="AI4705" s="1">
        <v>102359</v>
      </c>
      <c r="AJ4705" s="2">
        <v>0.19</v>
      </c>
      <c r="AK4705" s="1">
        <v>526859</v>
      </c>
      <c r="AL4705" t="s">
        <v>117</v>
      </c>
      <c r="AM4705" t="s">
        <v>1315</v>
      </c>
      <c r="AN4705">
        <v>6037</v>
      </c>
      <c r="AO4705">
        <v>0.14000000000000001</v>
      </c>
      <c r="AP4705">
        <v>1</v>
      </c>
      <c r="AR4705">
        <v>1</v>
      </c>
      <c r="AS4705" s="1">
        <v>32070</v>
      </c>
      <c r="AT4705" s="1">
        <v>6410</v>
      </c>
      <c r="AU4705" s="1">
        <v>25660</v>
      </c>
      <c r="AV4705">
        <v>80.010000000000005</v>
      </c>
      <c r="AX4705" s="1">
        <v>3344.9</v>
      </c>
      <c r="AY4705" t="s">
        <v>2966</v>
      </c>
      <c r="AZ4705" t="s">
        <v>2967</v>
      </c>
      <c r="BA4705" t="s">
        <v>930</v>
      </c>
      <c r="BE4705" s="3">
        <v>42142</v>
      </c>
      <c r="BF4705" s="1">
        <v>427000</v>
      </c>
      <c r="BG4705" t="s">
        <v>29447</v>
      </c>
      <c r="BH4705" s="1">
        <v>142.29</v>
      </c>
      <c r="BI4705" s="1">
        <v>424500</v>
      </c>
      <c r="BJ4705" s="3">
        <v>42142</v>
      </c>
      <c r="BK4705" t="s">
        <v>123</v>
      </c>
      <c r="BL4705" t="str">
        <f>"2015.349900"</f>
        <v>2015.349900</v>
      </c>
      <c r="BM4705" t="s">
        <v>150</v>
      </c>
      <c r="BO4705" t="s">
        <v>29448</v>
      </c>
      <c r="BS4705">
        <v>30</v>
      </c>
      <c r="BW4705" t="str">
        <f>""</f>
        <v/>
      </c>
      <c r="CH4705" t="str">
        <f>""</f>
        <v/>
      </c>
      <c r="CS4705" t="str">
        <f>""</f>
        <v/>
      </c>
    </row>
    <row r="4706" spans="1:97" x14ac:dyDescent="0.25">
      <c r="A4706" t="s">
        <v>996</v>
      </c>
      <c r="B4706" t="s">
        <v>29449</v>
      </c>
      <c r="C4706" t="s">
        <v>852</v>
      </c>
      <c r="D4706" t="s">
        <v>29449</v>
      </c>
      <c r="E4706" t="s">
        <v>29450</v>
      </c>
      <c r="F4706" t="s">
        <v>108</v>
      </c>
      <c r="H4706" t="s">
        <v>29451</v>
      </c>
      <c r="I4706" t="s">
        <v>632</v>
      </c>
      <c r="J4706" t="s">
        <v>111</v>
      </c>
      <c r="K4706" t="str">
        <f>"85374"</f>
        <v>85374</v>
      </c>
      <c r="L4706" t="s">
        <v>5910</v>
      </c>
      <c r="M4706" t="s">
        <v>29451</v>
      </c>
      <c r="N4706" t="s">
        <v>632</v>
      </c>
      <c r="O4706" t="s">
        <v>111</v>
      </c>
      <c r="P4706" t="str">
        <f>"85374-4780"</f>
        <v>85374-4780</v>
      </c>
      <c r="Q4706" t="s">
        <v>113</v>
      </c>
      <c r="R4706" t="str">
        <f>"232-41-713"</f>
        <v>232-41-713</v>
      </c>
      <c r="S4706" t="s">
        <v>29452</v>
      </c>
      <c r="T4706" t="s">
        <v>29452</v>
      </c>
      <c r="U4706">
        <v>1950</v>
      </c>
      <c r="V4706">
        <v>0</v>
      </c>
      <c r="W4706">
        <v>3</v>
      </c>
      <c r="X4706">
        <v>2001</v>
      </c>
      <c r="Z4706">
        <v>1</v>
      </c>
      <c r="AB4706">
        <v>0</v>
      </c>
      <c r="AC4706" t="s">
        <v>115</v>
      </c>
      <c r="AD4706">
        <v>2</v>
      </c>
      <c r="AE4706" t="s">
        <v>115</v>
      </c>
      <c r="AF4706">
        <v>0</v>
      </c>
      <c r="AG4706">
        <v>0</v>
      </c>
      <c r="AH4706" t="s">
        <v>116</v>
      </c>
      <c r="AI4706" s="1">
        <v>67056</v>
      </c>
      <c r="AJ4706" s="2">
        <v>0.19</v>
      </c>
      <c r="AK4706" s="1">
        <v>346956</v>
      </c>
      <c r="AL4706" t="s">
        <v>117</v>
      </c>
      <c r="AM4706" t="s">
        <v>118</v>
      </c>
      <c r="AN4706">
        <v>7700</v>
      </c>
      <c r="AO4706">
        <v>0.18</v>
      </c>
      <c r="AP4706">
        <v>1</v>
      </c>
      <c r="AR4706">
        <v>1</v>
      </c>
      <c r="AS4706" s="1">
        <v>23580</v>
      </c>
      <c r="AT4706" s="1">
        <v>4710</v>
      </c>
      <c r="AU4706" s="1">
        <v>18870</v>
      </c>
      <c r="AV4706">
        <v>80.03</v>
      </c>
      <c r="AX4706" s="1">
        <v>2450.98</v>
      </c>
      <c r="AY4706" t="s">
        <v>5108</v>
      </c>
      <c r="AZ4706" t="s">
        <v>5108</v>
      </c>
      <c r="BA4706" t="s">
        <v>5109</v>
      </c>
      <c r="BE4706" s="3">
        <v>42510</v>
      </c>
      <c r="BF4706" s="1">
        <v>279900</v>
      </c>
      <c r="BG4706" t="s">
        <v>29453</v>
      </c>
      <c r="BH4706" s="1">
        <v>143.54</v>
      </c>
      <c r="BI4706" s="1">
        <v>279900</v>
      </c>
      <c r="BJ4706" s="3">
        <v>42510</v>
      </c>
      <c r="BK4706" t="s">
        <v>123</v>
      </c>
      <c r="BL4706" t="str">
        <f>"2016.349821"</f>
        <v>2016.349821</v>
      </c>
      <c r="BM4706" t="s">
        <v>3496</v>
      </c>
      <c r="BO4706" t="s">
        <v>29454</v>
      </c>
      <c r="BS4706">
        <v>30</v>
      </c>
      <c r="BW4706" t="str">
        <f>""</f>
        <v/>
      </c>
      <c r="CH4706" t="str">
        <f>""</f>
        <v/>
      </c>
      <c r="CS4706" t="str">
        <f>""</f>
        <v/>
      </c>
    </row>
    <row r="4707" spans="1:97" x14ac:dyDescent="0.25">
      <c r="A4707" t="s">
        <v>29455</v>
      </c>
      <c r="B4707" t="s">
        <v>29456</v>
      </c>
      <c r="C4707" t="s">
        <v>1047</v>
      </c>
      <c r="D4707" t="s">
        <v>7041</v>
      </c>
      <c r="E4707" t="s">
        <v>29457</v>
      </c>
      <c r="F4707" t="s">
        <v>108</v>
      </c>
      <c r="H4707" t="s">
        <v>29458</v>
      </c>
      <c r="I4707" t="s">
        <v>632</v>
      </c>
      <c r="J4707" t="s">
        <v>111</v>
      </c>
      <c r="K4707" t="str">
        <f>"85379"</f>
        <v>85379</v>
      </c>
      <c r="L4707" t="s">
        <v>6308</v>
      </c>
      <c r="M4707" t="s">
        <v>29458</v>
      </c>
      <c r="N4707" t="s">
        <v>632</v>
      </c>
      <c r="O4707" t="s">
        <v>111</v>
      </c>
      <c r="P4707" t="str">
        <f>"85379-8664"</f>
        <v>85379-8664</v>
      </c>
      <c r="Q4707" t="s">
        <v>113</v>
      </c>
      <c r="R4707" t="str">
        <f>"509-17-591"</f>
        <v>509-17-591</v>
      </c>
      <c r="S4707" t="s">
        <v>10371</v>
      </c>
      <c r="U4707">
        <v>3675</v>
      </c>
      <c r="V4707">
        <v>0</v>
      </c>
      <c r="W4707">
        <v>5</v>
      </c>
      <c r="X4707">
        <v>2004</v>
      </c>
      <c r="Z4707">
        <v>2</v>
      </c>
      <c r="AB4707">
        <v>0</v>
      </c>
      <c r="AC4707" t="s">
        <v>115</v>
      </c>
      <c r="AD4707">
        <v>3</v>
      </c>
      <c r="AE4707" t="s">
        <v>115</v>
      </c>
      <c r="AF4707">
        <v>0</v>
      </c>
      <c r="AG4707">
        <v>0</v>
      </c>
      <c r="AH4707" t="s">
        <v>116</v>
      </c>
      <c r="AI4707" s="1">
        <v>107903</v>
      </c>
      <c r="AJ4707" s="2">
        <v>0.31</v>
      </c>
      <c r="AK4707" s="1">
        <v>350483</v>
      </c>
      <c r="AL4707" t="s">
        <v>117</v>
      </c>
      <c r="AM4707" t="s">
        <v>118</v>
      </c>
      <c r="AN4707">
        <v>8330</v>
      </c>
      <c r="AO4707">
        <v>0.19</v>
      </c>
      <c r="AR4707">
        <v>1</v>
      </c>
      <c r="AS4707" s="1">
        <v>25150</v>
      </c>
      <c r="AT4707" s="1">
        <v>5030</v>
      </c>
      <c r="AU4707" s="1">
        <v>20120</v>
      </c>
      <c r="AV4707">
        <v>80</v>
      </c>
      <c r="AX4707" s="1">
        <v>1824.66</v>
      </c>
      <c r="AY4707" t="s">
        <v>5818</v>
      </c>
      <c r="AZ4707" t="s">
        <v>5818</v>
      </c>
      <c r="BA4707" t="s">
        <v>321</v>
      </c>
      <c r="BE4707" s="3">
        <v>42097</v>
      </c>
      <c r="BF4707" s="1">
        <v>260000</v>
      </c>
      <c r="BG4707" t="s">
        <v>29459</v>
      </c>
      <c r="BH4707" s="1">
        <v>70.75</v>
      </c>
      <c r="BI4707" s="1">
        <v>242580</v>
      </c>
      <c r="BJ4707" s="3">
        <v>42097</v>
      </c>
      <c r="BK4707" t="s">
        <v>123</v>
      </c>
      <c r="BL4707" t="str">
        <f>"2015.229621"</f>
        <v>2015.229621</v>
      </c>
      <c r="BM4707" t="s">
        <v>255</v>
      </c>
      <c r="BO4707" t="s">
        <v>29460</v>
      </c>
      <c r="BP4707" t="s">
        <v>29461</v>
      </c>
      <c r="BS4707">
        <v>30</v>
      </c>
      <c r="BW4707" t="str">
        <f>""</f>
        <v/>
      </c>
      <c r="CH4707" t="str">
        <f>""</f>
        <v/>
      </c>
      <c r="CS4707" t="str">
        <f>""</f>
        <v/>
      </c>
    </row>
    <row r="4708" spans="1:97" x14ac:dyDescent="0.25">
      <c r="A4708" t="s">
        <v>2591</v>
      </c>
      <c r="B4708" t="s">
        <v>212</v>
      </c>
      <c r="C4708" t="s">
        <v>2002</v>
      </c>
      <c r="D4708" t="s">
        <v>212</v>
      </c>
      <c r="E4708" t="s">
        <v>29462</v>
      </c>
      <c r="F4708" t="s">
        <v>108</v>
      </c>
      <c r="H4708" t="s">
        <v>29463</v>
      </c>
      <c r="I4708" t="s">
        <v>6646</v>
      </c>
      <c r="J4708" t="s">
        <v>111</v>
      </c>
      <c r="K4708" t="str">
        <f>"85086"</f>
        <v>85086</v>
      </c>
      <c r="L4708" t="s">
        <v>2015</v>
      </c>
      <c r="M4708" t="s">
        <v>29463</v>
      </c>
      <c r="N4708" t="s">
        <v>6646</v>
      </c>
      <c r="O4708" t="s">
        <v>111</v>
      </c>
      <c r="P4708" t="str">
        <f>"85086-1684"</f>
        <v>85086-1684</v>
      </c>
      <c r="Q4708" t="s">
        <v>113</v>
      </c>
      <c r="R4708" t="str">
        <f>"203-05-539"</f>
        <v>203-05-539</v>
      </c>
      <c r="S4708" t="s">
        <v>29464</v>
      </c>
      <c r="U4708">
        <v>2689</v>
      </c>
      <c r="V4708">
        <v>0</v>
      </c>
      <c r="W4708">
        <v>4</v>
      </c>
      <c r="X4708">
        <v>2000</v>
      </c>
      <c r="Z4708">
        <v>2</v>
      </c>
      <c r="AA4708" t="s">
        <v>26</v>
      </c>
      <c r="AB4708">
        <v>0</v>
      </c>
      <c r="AC4708" t="s">
        <v>115</v>
      </c>
      <c r="AD4708">
        <v>2</v>
      </c>
      <c r="AE4708" t="s">
        <v>115</v>
      </c>
      <c r="AF4708">
        <v>0</v>
      </c>
      <c r="AG4708">
        <v>0</v>
      </c>
      <c r="AH4708" t="s">
        <v>116</v>
      </c>
      <c r="AI4708" s="1">
        <v>42219</v>
      </c>
      <c r="AJ4708" s="2">
        <v>0.11</v>
      </c>
      <c r="AK4708" s="1">
        <v>385219</v>
      </c>
      <c r="AL4708" t="s">
        <v>117</v>
      </c>
      <c r="AM4708" t="s">
        <v>393</v>
      </c>
      <c r="AN4708">
        <v>6044</v>
      </c>
      <c r="AO4708">
        <v>0.14000000000000001</v>
      </c>
      <c r="AP4708">
        <v>1</v>
      </c>
      <c r="AR4708">
        <v>1</v>
      </c>
      <c r="AS4708" s="1">
        <v>27510</v>
      </c>
      <c r="AT4708" s="1">
        <v>5500</v>
      </c>
      <c r="AU4708" s="1">
        <v>22010</v>
      </c>
      <c r="AV4708">
        <v>80.010000000000005</v>
      </c>
      <c r="AX4708" s="1">
        <v>2998.28</v>
      </c>
      <c r="AY4708" t="s">
        <v>6648</v>
      </c>
      <c r="AZ4708" t="s">
        <v>6648</v>
      </c>
      <c r="BA4708" t="s">
        <v>378</v>
      </c>
      <c r="BE4708" s="3">
        <v>42276</v>
      </c>
      <c r="BF4708" s="1">
        <v>319000</v>
      </c>
      <c r="BG4708" t="s">
        <v>29465</v>
      </c>
      <c r="BH4708" s="1">
        <v>118.63</v>
      </c>
      <c r="BI4708" s="1">
        <v>343000</v>
      </c>
      <c r="BJ4708" s="3">
        <v>42969</v>
      </c>
      <c r="BK4708" t="s">
        <v>123</v>
      </c>
      <c r="BL4708" t="str">
        <f>"2017.617897"</f>
        <v>2017.617897</v>
      </c>
      <c r="BM4708" t="s">
        <v>1992</v>
      </c>
      <c r="BO4708" t="s">
        <v>29466</v>
      </c>
      <c r="BS4708">
        <v>30</v>
      </c>
      <c r="BW4708" t="str">
        <f>""</f>
        <v/>
      </c>
      <c r="CH4708" t="str">
        <f>""</f>
        <v/>
      </c>
      <c r="CS4708" t="str">
        <f>""</f>
        <v/>
      </c>
    </row>
    <row r="4709" spans="1:97" x14ac:dyDescent="0.25">
      <c r="A4709" t="s">
        <v>1850</v>
      </c>
      <c r="B4709" t="s">
        <v>29467</v>
      </c>
      <c r="C4709" t="s">
        <v>327</v>
      </c>
      <c r="D4709" t="s">
        <v>29467</v>
      </c>
      <c r="E4709" t="s">
        <v>29468</v>
      </c>
      <c r="F4709" t="s">
        <v>108</v>
      </c>
      <c r="H4709" t="s">
        <v>29469</v>
      </c>
      <c r="I4709" t="s">
        <v>5551</v>
      </c>
      <c r="J4709" t="s">
        <v>111</v>
      </c>
      <c r="K4709" t="str">
        <f>"85248"</f>
        <v>85248</v>
      </c>
      <c r="L4709" t="s">
        <v>5367</v>
      </c>
      <c r="M4709" t="s">
        <v>29469</v>
      </c>
      <c r="N4709" t="s">
        <v>5551</v>
      </c>
      <c r="O4709" t="s">
        <v>111</v>
      </c>
      <c r="P4709" t="str">
        <f>"85248-8213"</f>
        <v>85248-8213</v>
      </c>
      <c r="Q4709" t="s">
        <v>113</v>
      </c>
      <c r="R4709" t="str">
        <f>"303-59-046"</f>
        <v>303-59-046</v>
      </c>
      <c r="S4709" t="s">
        <v>11739</v>
      </c>
      <c r="U4709">
        <v>1823</v>
      </c>
      <c r="V4709">
        <v>0</v>
      </c>
      <c r="W4709">
        <v>3</v>
      </c>
      <c r="X4709">
        <v>1986</v>
      </c>
      <c r="Z4709">
        <v>1</v>
      </c>
      <c r="AA4709" t="s">
        <v>26</v>
      </c>
      <c r="AB4709">
        <v>0</v>
      </c>
      <c r="AC4709" t="s">
        <v>115</v>
      </c>
      <c r="AD4709">
        <v>2</v>
      </c>
      <c r="AE4709" t="s">
        <v>115</v>
      </c>
      <c r="AF4709">
        <v>0</v>
      </c>
      <c r="AG4709">
        <v>0</v>
      </c>
      <c r="AH4709" t="s">
        <v>116</v>
      </c>
      <c r="AI4709" s="1">
        <v>85842</v>
      </c>
      <c r="AJ4709" s="2">
        <v>0.27</v>
      </c>
      <c r="AK4709" s="1">
        <v>316942</v>
      </c>
      <c r="AL4709" t="s">
        <v>117</v>
      </c>
      <c r="AM4709" t="s">
        <v>191</v>
      </c>
      <c r="AN4709">
        <v>8656</v>
      </c>
      <c r="AO4709">
        <v>0.2</v>
      </c>
      <c r="AP4709">
        <v>1</v>
      </c>
      <c r="AR4709">
        <v>1</v>
      </c>
      <c r="AS4709" s="1">
        <v>21600</v>
      </c>
      <c r="AT4709" s="1">
        <v>4320</v>
      </c>
      <c r="AU4709" s="1">
        <v>17280</v>
      </c>
      <c r="AV4709">
        <v>80</v>
      </c>
      <c r="AX4709" s="1">
        <v>2167.6799999999998</v>
      </c>
      <c r="AY4709" t="s">
        <v>1881</v>
      </c>
      <c r="AZ4709" t="s">
        <v>1882</v>
      </c>
      <c r="BA4709" t="s">
        <v>121</v>
      </c>
      <c r="BE4709" s="3">
        <v>41694</v>
      </c>
      <c r="BF4709" s="1">
        <v>222000</v>
      </c>
      <c r="BG4709" t="s">
        <v>1551</v>
      </c>
      <c r="BH4709" s="1">
        <v>121.78</v>
      </c>
      <c r="BI4709" s="1">
        <v>231100</v>
      </c>
      <c r="BJ4709" s="3">
        <v>42083</v>
      </c>
      <c r="BK4709" t="s">
        <v>123</v>
      </c>
      <c r="BL4709" t="str">
        <f>"2015.186584"</f>
        <v>2015.186584</v>
      </c>
      <c r="BM4709" t="s">
        <v>322</v>
      </c>
      <c r="BO4709" t="s">
        <v>29470</v>
      </c>
      <c r="BS4709">
        <v>30</v>
      </c>
      <c r="BW4709" t="str">
        <f>""</f>
        <v/>
      </c>
      <c r="CH4709" t="str">
        <f>""</f>
        <v/>
      </c>
      <c r="CS4709" t="str">
        <f>""</f>
        <v/>
      </c>
    </row>
    <row r="4710" spans="1:97" x14ac:dyDescent="0.25">
      <c r="A4710" t="s">
        <v>29471</v>
      </c>
      <c r="B4710" t="s">
        <v>29472</v>
      </c>
      <c r="E4710" t="s">
        <v>29473</v>
      </c>
      <c r="F4710" t="s">
        <v>108</v>
      </c>
      <c r="H4710" t="s">
        <v>29474</v>
      </c>
      <c r="I4710" t="s">
        <v>11965</v>
      </c>
      <c r="J4710" t="s">
        <v>111</v>
      </c>
      <c r="K4710" t="str">
        <f>"85354"</f>
        <v>85354</v>
      </c>
      <c r="L4710" t="s">
        <v>20194</v>
      </c>
      <c r="M4710" t="s">
        <v>29474</v>
      </c>
      <c r="N4710" t="s">
        <v>11965</v>
      </c>
      <c r="O4710" t="s">
        <v>111</v>
      </c>
      <c r="P4710" t="str">
        <f>"85354-7424"</f>
        <v>85354-7424</v>
      </c>
      <c r="Q4710" t="s">
        <v>113</v>
      </c>
      <c r="R4710" t="str">
        <f>"506-41-295-E"</f>
        <v>506-41-295-E</v>
      </c>
      <c r="U4710">
        <v>2636</v>
      </c>
      <c r="V4710">
        <v>0</v>
      </c>
      <c r="W4710">
        <v>2</v>
      </c>
      <c r="X4710">
        <v>2009</v>
      </c>
      <c r="Z4710">
        <v>1</v>
      </c>
      <c r="AB4710">
        <v>0</v>
      </c>
      <c r="AD4710">
        <v>0</v>
      </c>
      <c r="AF4710">
        <v>0</v>
      </c>
      <c r="AG4710">
        <v>0</v>
      </c>
      <c r="AH4710" t="s">
        <v>116</v>
      </c>
      <c r="AI4710" s="1">
        <v>73000</v>
      </c>
      <c r="AJ4710" s="2">
        <v>0.26</v>
      </c>
      <c r="AK4710" s="1">
        <v>278205</v>
      </c>
      <c r="AL4710" t="s">
        <v>117</v>
      </c>
      <c r="AM4710" t="s">
        <v>376</v>
      </c>
      <c r="AN4710">
        <v>54567</v>
      </c>
      <c r="AO4710">
        <v>1.25</v>
      </c>
      <c r="AR4710">
        <v>1</v>
      </c>
      <c r="AS4710" s="1">
        <v>17170</v>
      </c>
      <c r="AT4710" s="1">
        <v>3430</v>
      </c>
      <c r="AU4710" s="1">
        <v>13740</v>
      </c>
      <c r="AV4710">
        <v>80.02</v>
      </c>
      <c r="AX4710" s="1">
        <v>405.26</v>
      </c>
      <c r="AY4710" t="s">
        <v>11966</v>
      </c>
      <c r="AZ4710" t="s">
        <v>11966</v>
      </c>
      <c r="BA4710" t="s">
        <v>148</v>
      </c>
      <c r="BE4710" s="3">
        <v>42223</v>
      </c>
      <c r="BF4710" s="1">
        <v>200000</v>
      </c>
      <c r="BG4710" t="s">
        <v>29475</v>
      </c>
      <c r="BH4710" s="1">
        <v>75.87</v>
      </c>
      <c r="BI4710" s="1">
        <v>205205</v>
      </c>
      <c r="BJ4710" s="3">
        <v>42627</v>
      </c>
      <c r="BK4710" t="s">
        <v>123</v>
      </c>
      <c r="BL4710" t="str">
        <f>"2016.664849"</f>
        <v>2016.664849</v>
      </c>
      <c r="BM4710" t="s">
        <v>322</v>
      </c>
      <c r="BO4710" t="s">
        <v>29476</v>
      </c>
      <c r="BS4710">
        <v>30</v>
      </c>
      <c r="BW4710" t="str">
        <f>""</f>
        <v/>
      </c>
      <c r="CH4710" t="str">
        <f>""</f>
        <v/>
      </c>
      <c r="CS4710" t="str">
        <f>""</f>
        <v/>
      </c>
    </row>
    <row r="4711" spans="1:97" x14ac:dyDescent="0.25">
      <c r="B4711" t="s">
        <v>29477</v>
      </c>
      <c r="E4711" t="s">
        <v>29478</v>
      </c>
      <c r="F4711" t="s">
        <v>139</v>
      </c>
      <c r="H4711" t="s">
        <v>29479</v>
      </c>
      <c r="I4711" t="s">
        <v>1397</v>
      </c>
      <c r="J4711" t="s">
        <v>111</v>
      </c>
      <c r="K4711" t="str">
        <f>"85331"</f>
        <v>85331</v>
      </c>
      <c r="L4711" t="s">
        <v>11846</v>
      </c>
      <c r="M4711" t="s">
        <v>29479</v>
      </c>
      <c r="N4711" t="s">
        <v>1397</v>
      </c>
      <c r="O4711" t="s">
        <v>111</v>
      </c>
      <c r="P4711" t="str">
        <f>"85331-6393"</f>
        <v>85331-6393</v>
      </c>
      <c r="Q4711" t="s">
        <v>113</v>
      </c>
      <c r="R4711" t="str">
        <f>"211-42-262"</f>
        <v>211-42-262</v>
      </c>
      <c r="S4711" t="s">
        <v>29480</v>
      </c>
      <c r="U4711">
        <v>2000</v>
      </c>
      <c r="V4711">
        <v>0</v>
      </c>
      <c r="W4711">
        <v>3</v>
      </c>
      <c r="X4711">
        <v>1997</v>
      </c>
      <c r="Z4711">
        <v>1</v>
      </c>
      <c r="AA4711" t="s">
        <v>26</v>
      </c>
      <c r="AB4711">
        <v>0</v>
      </c>
      <c r="AC4711" t="s">
        <v>115</v>
      </c>
      <c r="AD4711">
        <v>3</v>
      </c>
      <c r="AE4711" t="s">
        <v>115</v>
      </c>
      <c r="AF4711">
        <v>0</v>
      </c>
      <c r="AG4711">
        <v>0</v>
      </c>
      <c r="AH4711" t="s">
        <v>116</v>
      </c>
      <c r="AI4711" s="1">
        <v>119794</v>
      </c>
      <c r="AJ4711" s="2">
        <v>0.27</v>
      </c>
      <c r="AK4711" s="1">
        <v>451294</v>
      </c>
      <c r="AL4711" t="s">
        <v>117</v>
      </c>
      <c r="AM4711" t="s">
        <v>191</v>
      </c>
      <c r="AN4711">
        <v>12120</v>
      </c>
      <c r="AO4711">
        <v>0.28000000000000003</v>
      </c>
      <c r="AP4711">
        <v>1</v>
      </c>
      <c r="AR4711">
        <v>1</v>
      </c>
      <c r="AS4711" s="1">
        <v>33260</v>
      </c>
      <c r="AT4711" s="1">
        <v>6650</v>
      </c>
      <c r="AU4711" s="1">
        <v>26610</v>
      </c>
      <c r="AV4711">
        <v>80.010000000000005</v>
      </c>
      <c r="AX4711" s="1">
        <v>2116.7800000000002</v>
      </c>
      <c r="AY4711" t="s">
        <v>7763</v>
      </c>
      <c r="AZ4711" t="s">
        <v>1402</v>
      </c>
      <c r="BA4711" t="s">
        <v>1403</v>
      </c>
      <c r="BB4711" s="3">
        <v>43173</v>
      </c>
      <c r="BC4711" s="1">
        <v>0</v>
      </c>
      <c r="BD4711" t="s">
        <v>247</v>
      </c>
      <c r="BE4711" s="3">
        <v>41778</v>
      </c>
      <c r="BF4711" s="1">
        <v>355000</v>
      </c>
      <c r="BG4711" t="s">
        <v>29481</v>
      </c>
      <c r="BH4711" s="1">
        <v>177.5</v>
      </c>
      <c r="BI4711" s="1">
        <v>331500</v>
      </c>
      <c r="BJ4711" s="3">
        <v>42439</v>
      </c>
      <c r="BK4711" t="s">
        <v>123</v>
      </c>
      <c r="BL4711" t="str">
        <f>"2016.155963"</f>
        <v>2016.155963</v>
      </c>
      <c r="BM4711" t="s">
        <v>1837</v>
      </c>
      <c r="BN4711" t="s">
        <v>1916</v>
      </c>
      <c r="BO4711" t="s">
        <v>29482</v>
      </c>
      <c r="BP4711" t="s">
        <v>29483</v>
      </c>
      <c r="BS4711">
        <v>30</v>
      </c>
      <c r="BW4711" t="str">
        <f>""</f>
        <v/>
      </c>
      <c r="CH4711" t="str">
        <f>""</f>
        <v/>
      </c>
      <c r="CS4711" t="str">
        <f>""</f>
        <v/>
      </c>
    </row>
    <row r="4712" spans="1:97" x14ac:dyDescent="0.25">
      <c r="A4712" t="s">
        <v>1938</v>
      </c>
      <c r="B4712" t="s">
        <v>10633</v>
      </c>
      <c r="C4712" t="s">
        <v>1692</v>
      </c>
      <c r="D4712" t="s">
        <v>10633</v>
      </c>
      <c r="E4712" t="s">
        <v>29484</v>
      </c>
      <c r="F4712" t="s">
        <v>108</v>
      </c>
      <c r="H4712" t="s">
        <v>29485</v>
      </c>
      <c r="I4712" t="s">
        <v>6844</v>
      </c>
      <c r="J4712" t="s">
        <v>111</v>
      </c>
      <c r="K4712" t="str">
        <f>"85361"</f>
        <v>85361</v>
      </c>
      <c r="L4712" t="s">
        <v>3758</v>
      </c>
      <c r="M4712" t="s">
        <v>29485</v>
      </c>
      <c r="N4712" t="s">
        <v>6844</v>
      </c>
      <c r="O4712" t="s">
        <v>111</v>
      </c>
      <c r="P4712" t="str">
        <f>"85361-8670"</f>
        <v>85361-8670</v>
      </c>
      <c r="Q4712" t="s">
        <v>113</v>
      </c>
      <c r="R4712" t="str">
        <f>"503-47-026-A"</f>
        <v>503-47-026-A</v>
      </c>
      <c r="U4712">
        <v>2691</v>
      </c>
      <c r="V4712">
        <v>0</v>
      </c>
      <c r="W4712">
        <v>4</v>
      </c>
      <c r="X4712">
        <v>2004</v>
      </c>
      <c r="Z4712">
        <v>1</v>
      </c>
      <c r="AB4712">
        <v>0</v>
      </c>
      <c r="AC4712" t="s">
        <v>115</v>
      </c>
      <c r="AD4712">
        <v>2</v>
      </c>
      <c r="AE4712" t="s">
        <v>115</v>
      </c>
      <c r="AF4712">
        <v>0</v>
      </c>
      <c r="AG4712">
        <v>0</v>
      </c>
      <c r="AH4712" t="s">
        <v>116</v>
      </c>
      <c r="AI4712" s="1">
        <v>69790</v>
      </c>
      <c r="AJ4712" s="2">
        <v>0.19</v>
      </c>
      <c r="AK4712" s="1">
        <v>371890</v>
      </c>
      <c r="AL4712" t="s">
        <v>117</v>
      </c>
      <c r="AM4712" t="s">
        <v>376</v>
      </c>
      <c r="AN4712">
        <v>52099</v>
      </c>
      <c r="AO4712">
        <v>1.2</v>
      </c>
      <c r="AR4712">
        <v>1</v>
      </c>
      <c r="AS4712" s="1">
        <v>26350</v>
      </c>
      <c r="AT4712" s="1">
        <v>5270</v>
      </c>
      <c r="AU4712" s="1">
        <v>21080</v>
      </c>
      <c r="AV4712">
        <v>80</v>
      </c>
      <c r="AX4712" s="1">
        <v>1788.36</v>
      </c>
      <c r="AY4712" t="s">
        <v>6847</v>
      </c>
      <c r="AZ4712" t="s">
        <v>6847</v>
      </c>
      <c r="BE4712" s="3">
        <v>41759</v>
      </c>
      <c r="BF4712" s="1">
        <v>293000</v>
      </c>
      <c r="BG4712" t="s">
        <v>29486</v>
      </c>
      <c r="BH4712" s="1">
        <v>108.88</v>
      </c>
      <c r="BI4712" s="1">
        <v>302100</v>
      </c>
      <c r="BJ4712" s="3">
        <v>42009</v>
      </c>
      <c r="BK4712" t="s">
        <v>123</v>
      </c>
      <c r="BL4712" t="str">
        <f>"2015.3118"</f>
        <v>2015.3118</v>
      </c>
      <c r="BM4712" t="s">
        <v>1695</v>
      </c>
      <c r="BO4712" t="s">
        <v>29487</v>
      </c>
      <c r="BS4712">
        <v>30</v>
      </c>
      <c r="BW4712" t="str">
        <f>""</f>
        <v/>
      </c>
      <c r="CH4712" t="str">
        <f>""</f>
        <v/>
      </c>
      <c r="CS4712" t="str">
        <f>""</f>
        <v/>
      </c>
    </row>
    <row r="4713" spans="1:97" x14ac:dyDescent="0.25">
      <c r="A4713" t="s">
        <v>1340</v>
      </c>
      <c r="B4713" t="s">
        <v>9345</v>
      </c>
      <c r="C4713" t="s">
        <v>1109</v>
      </c>
      <c r="D4713" t="s">
        <v>9345</v>
      </c>
      <c r="E4713" t="s">
        <v>29488</v>
      </c>
      <c r="F4713" t="s">
        <v>108</v>
      </c>
      <c r="H4713" t="s">
        <v>29489</v>
      </c>
      <c r="I4713" t="s">
        <v>390</v>
      </c>
      <c r="J4713" t="s">
        <v>111</v>
      </c>
      <c r="K4713" t="str">
        <f>"85086"</f>
        <v>85086</v>
      </c>
      <c r="L4713" t="s">
        <v>1586</v>
      </c>
      <c r="M4713" t="s">
        <v>29489</v>
      </c>
      <c r="N4713" t="s">
        <v>390</v>
      </c>
      <c r="O4713" t="s">
        <v>111</v>
      </c>
      <c r="P4713" t="str">
        <f>"85086-7443"</f>
        <v>85086-7443</v>
      </c>
      <c r="Q4713" t="s">
        <v>113</v>
      </c>
      <c r="R4713" t="str">
        <f>"211-50-034-Z"</f>
        <v>211-50-034-Z</v>
      </c>
      <c r="U4713">
        <v>1805</v>
      </c>
      <c r="V4713">
        <v>0</v>
      </c>
      <c r="W4713">
        <v>3</v>
      </c>
      <c r="X4713">
        <v>2003</v>
      </c>
      <c r="Z4713">
        <v>1</v>
      </c>
      <c r="AA4713" t="s">
        <v>26</v>
      </c>
      <c r="AB4713">
        <v>0</v>
      </c>
      <c r="AC4713" t="s">
        <v>115</v>
      </c>
      <c r="AD4713">
        <v>3</v>
      </c>
      <c r="AE4713" t="s">
        <v>115</v>
      </c>
      <c r="AF4713">
        <v>0</v>
      </c>
      <c r="AG4713">
        <v>0</v>
      </c>
      <c r="AH4713" t="s">
        <v>116</v>
      </c>
      <c r="AI4713" s="1">
        <v>126712</v>
      </c>
      <c r="AJ4713" s="2">
        <v>0.3</v>
      </c>
      <c r="AK4713" s="1">
        <v>419212</v>
      </c>
      <c r="AL4713" t="s">
        <v>117</v>
      </c>
      <c r="AM4713" t="s">
        <v>376</v>
      </c>
      <c r="AN4713">
        <v>44040</v>
      </c>
      <c r="AO4713">
        <v>1.01</v>
      </c>
      <c r="AP4713">
        <v>1</v>
      </c>
      <c r="AR4713">
        <v>1</v>
      </c>
      <c r="AS4713" s="1">
        <v>32720</v>
      </c>
      <c r="AT4713" s="1">
        <v>6540</v>
      </c>
      <c r="AU4713" s="1">
        <v>26180</v>
      </c>
      <c r="AV4713">
        <v>80.010000000000005</v>
      </c>
      <c r="AX4713" s="1">
        <v>3012.32</v>
      </c>
      <c r="AY4713" t="s">
        <v>1587</v>
      </c>
      <c r="AZ4713" t="s">
        <v>1587</v>
      </c>
      <c r="BA4713" t="s">
        <v>378</v>
      </c>
      <c r="BE4713" s="3">
        <v>41789</v>
      </c>
      <c r="BF4713" s="1">
        <v>325000</v>
      </c>
      <c r="BG4713" t="s">
        <v>29490</v>
      </c>
      <c r="BH4713" s="1">
        <v>180.06</v>
      </c>
      <c r="BI4713" s="1">
        <v>292500</v>
      </c>
      <c r="BJ4713" s="3">
        <v>41789</v>
      </c>
      <c r="BK4713" t="s">
        <v>123</v>
      </c>
      <c r="BL4713" t="str">
        <f>"2014.354452"</f>
        <v>2014.354452</v>
      </c>
      <c r="BM4713" t="s">
        <v>724</v>
      </c>
      <c r="BO4713" t="s">
        <v>29491</v>
      </c>
      <c r="BS4713">
        <v>30</v>
      </c>
      <c r="BW4713" t="str">
        <f>""</f>
        <v/>
      </c>
      <c r="CH4713" t="str">
        <f>""</f>
        <v/>
      </c>
      <c r="CS4713" t="str">
        <f>""</f>
        <v/>
      </c>
    </row>
    <row r="4714" spans="1:97" x14ac:dyDescent="0.25">
      <c r="A4714" t="s">
        <v>353</v>
      </c>
      <c r="B4714" t="s">
        <v>24659</v>
      </c>
      <c r="E4714" t="s">
        <v>29492</v>
      </c>
      <c r="F4714" t="s">
        <v>108</v>
      </c>
      <c r="H4714" t="s">
        <v>29493</v>
      </c>
      <c r="I4714" t="s">
        <v>4058</v>
      </c>
      <c r="J4714" t="s">
        <v>111</v>
      </c>
      <c r="K4714" t="str">
        <f>"85390"</f>
        <v>85390</v>
      </c>
      <c r="L4714" t="s">
        <v>2197</v>
      </c>
      <c r="M4714" t="s">
        <v>29493</v>
      </c>
      <c r="N4714" t="s">
        <v>4058</v>
      </c>
      <c r="O4714" t="s">
        <v>111</v>
      </c>
      <c r="P4714" t="str">
        <f>"85390-3227"</f>
        <v>85390-3227</v>
      </c>
      <c r="Q4714" t="s">
        <v>113</v>
      </c>
      <c r="R4714" t="str">
        <f>"505-05-017-J"</f>
        <v>505-05-017-J</v>
      </c>
      <c r="U4714">
        <v>1456</v>
      </c>
      <c r="V4714">
        <v>0</v>
      </c>
      <c r="W4714">
        <v>2</v>
      </c>
      <c r="X4714">
        <v>1980</v>
      </c>
      <c r="Z4714">
        <v>1</v>
      </c>
      <c r="AB4714">
        <v>0</v>
      </c>
      <c r="AC4714" t="s">
        <v>7038</v>
      </c>
      <c r="AD4714">
        <v>0</v>
      </c>
      <c r="AE4714" t="s">
        <v>7038</v>
      </c>
      <c r="AF4714">
        <v>0</v>
      </c>
      <c r="AG4714">
        <v>0</v>
      </c>
      <c r="AH4714" t="s">
        <v>116</v>
      </c>
      <c r="AI4714" s="1">
        <v>73355</v>
      </c>
      <c r="AJ4714" s="2">
        <v>0.27</v>
      </c>
      <c r="AK4714" s="1">
        <v>275539</v>
      </c>
      <c r="AL4714" t="s">
        <v>117</v>
      </c>
      <c r="AM4714" t="s">
        <v>376</v>
      </c>
      <c r="AN4714">
        <v>108592</v>
      </c>
      <c r="AO4714">
        <v>2.4900000000000002</v>
      </c>
      <c r="AP4714">
        <v>1</v>
      </c>
      <c r="AR4714">
        <v>1</v>
      </c>
      <c r="AS4714" s="1">
        <v>19260</v>
      </c>
      <c r="AT4714" s="1">
        <v>3850</v>
      </c>
      <c r="AU4714" s="1">
        <v>15410</v>
      </c>
      <c r="AV4714">
        <v>80.010000000000005</v>
      </c>
      <c r="AX4714" s="1">
        <v>1561.4</v>
      </c>
      <c r="AY4714" t="s">
        <v>4061</v>
      </c>
      <c r="AZ4714" t="s">
        <v>4062</v>
      </c>
      <c r="BA4714" t="s">
        <v>445</v>
      </c>
      <c r="BB4714" s="3">
        <v>42632</v>
      </c>
      <c r="BD4714" t="s">
        <v>458</v>
      </c>
      <c r="BE4714" s="3">
        <v>42212</v>
      </c>
      <c r="BF4714" s="1">
        <v>199000</v>
      </c>
      <c r="BG4714" t="s">
        <v>29494</v>
      </c>
      <c r="BH4714" s="1">
        <v>136.68</v>
      </c>
      <c r="BI4714" s="1">
        <v>202184</v>
      </c>
      <c r="BJ4714" s="3">
        <v>42632</v>
      </c>
      <c r="BK4714" t="s">
        <v>123</v>
      </c>
      <c r="BL4714" t="str">
        <f>"2016.676641"</f>
        <v>2016.676641</v>
      </c>
      <c r="BM4714" t="s">
        <v>724</v>
      </c>
      <c r="BO4714" t="s">
        <v>29495</v>
      </c>
      <c r="BS4714">
        <v>30</v>
      </c>
      <c r="BW4714" t="str">
        <f>""</f>
        <v/>
      </c>
      <c r="CH4714" t="str">
        <f>""</f>
        <v/>
      </c>
      <c r="CS4714" t="str">
        <f>""</f>
        <v/>
      </c>
    </row>
    <row r="4715" spans="1:97" x14ac:dyDescent="0.25">
      <c r="A4715" t="s">
        <v>991</v>
      </c>
      <c r="B4715" t="s">
        <v>29496</v>
      </c>
      <c r="C4715" t="s">
        <v>2761</v>
      </c>
      <c r="D4715" t="s">
        <v>29496</v>
      </c>
      <c r="E4715" t="s">
        <v>29497</v>
      </c>
      <c r="F4715" t="s">
        <v>108</v>
      </c>
      <c r="H4715" t="s">
        <v>29498</v>
      </c>
      <c r="I4715" t="s">
        <v>6844</v>
      </c>
      <c r="J4715" t="s">
        <v>111</v>
      </c>
      <c r="K4715" t="str">
        <f>"85361"</f>
        <v>85361</v>
      </c>
      <c r="L4715" t="s">
        <v>3758</v>
      </c>
      <c r="M4715" t="s">
        <v>29498</v>
      </c>
      <c r="N4715" t="s">
        <v>6844</v>
      </c>
      <c r="O4715" t="s">
        <v>111</v>
      </c>
      <c r="P4715" t="str">
        <f>"85361-5338"</f>
        <v>85361-5338</v>
      </c>
      <c r="Q4715" t="s">
        <v>113</v>
      </c>
      <c r="R4715" t="str">
        <f>"503-47-053"</f>
        <v>503-47-053</v>
      </c>
      <c r="U4715">
        <v>2605</v>
      </c>
      <c r="V4715">
        <v>0</v>
      </c>
      <c r="W4715">
        <v>4</v>
      </c>
      <c r="X4715">
        <v>2004</v>
      </c>
      <c r="Z4715">
        <v>1</v>
      </c>
      <c r="AB4715">
        <v>0</v>
      </c>
      <c r="AC4715" t="s">
        <v>115</v>
      </c>
      <c r="AD4715">
        <v>2</v>
      </c>
      <c r="AE4715" t="s">
        <v>115</v>
      </c>
      <c r="AF4715">
        <v>0</v>
      </c>
      <c r="AG4715">
        <v>0</v>
      </c>
      <c r="AH4715" t="s">
        <v>116</v>
      </c>
      <c r="AI4715" s="1">
        <v>88238</v>
      </c>
      <c r="AJ4715" s="2">
        <v>0.25</v>
      </c>
      <c r="AK4715" s="1">
        <v>358238</v>
      </c>
      <c r="AL4715" t="s">
        <v>117</v>
      </c>
      <c r="AM4715" t="s">
        <v>376</v>
      </c>
      <c r="AN4715">
        <v>44188</v>
      </c>
      <c r="AO4715">
        <v>1.01</v>
      </c>
      <c r="AR4715">
        <v>1</v>
      </c>
      <c r="AS4715" s="1">
        <v>26220</v>
      </c>
      <c r="AT4715" s="1">
        <v>5240</v>
      </c>
      <c r="AU4715" s="1">
        <v>20980</v>
      </c>
      <c r="AV4715">
        <v>80.02</v>
      </c>
      <c r="AX4715" s="1">
        <v>1830.52</v>
      </c>
      <c r="AY4715" t="s">
        <v>6847</v>
      </c>
      <c r="AZ4715" t="s">
        <v>6847</v>
      </c>
      <c r="BE4715" s="3">
        <v>42235</v>
      </c>
      <c r="BF4715" s="1">
        <v>270000</v>
      </c>
      <c r="BG4715" t="s">
        <v>29499</v>
      </c>
      <c r="BH4715" s="1">
        <v>103.65</v>
      </c>
      <c r="BI4715" s="1">
        <v>270000</v>
      </c>
      <c r="BJ4715" s="3">
        <v>42235</v>
      </c>
      <c r="BK4715" t="s">
        <v>123</v>
      </c>
      <c r="BL4715" t="str">
        <f>"2015.602164"</f>
        <v>2015.602164</v>
      </c>
      <c r="BM4715" t="s">
        <v>724</v>
      </c>
      <c r="BO4715" t="s">
        <v>29500</v>
      </c>
      <c r="BS4715">
        <v>30</v>
      </c>
      <c r="BW4715" t="str">
        <f>""</f>
        <v/>
      </c>
      <c r="CH4715" t="str">
        <f>""</f>
        <v/>
      </c>
      <c r="CS4715" t="str">
        <f>""</f>
        <v/>
      </c>
    </row>
    <row r="4716" spans="1:97" x14ac:dyDescent="0.25">
      <c r="A4716" t="s">
        <v>177</v>
      </c>
      <c r="B4716" t="s">
        <v>29501</v>
      </c>
      <c r="C4716" t="s">
        <v>29502</v>
      </c>
      <c r="D4716" t="s">
        <v>29501</v>
      </c>
      <c r="E4716" t="s">
        <v>29503</v>
      </c>
      <c r="F4716" t="s">
        <v>108</v>
      </c>
      <c r="H4716" t="s">
        <v>29504</v>
      </c>
      <c r="I4716" t="s">
        <v>1936</v>
      </c>
      <c r="J4716" t="s">
        <v>111</v>
      </c>
      <c r="K4716" t="str">
        <f>"85259"</f>
        <v>85259</v>
      </c>
      <c r="L4716" t="s">
        <v>9060</v>
      </c>
      <c r="M4716" t="s">
        <v>29504</v>
      </c>
      <c r="N4716" t="s">
        <v>1936</v>
      </c>
      <c r="O4716" t="s">
        <v>111</v>
      </c>
      <c r="P4716" t="str">
        <f>"85259-3509"</f>
        <v>85259-3509</v>
      </c>
      <c r="Q4716" t="s">
        <v>113</v>
      </c>
      <c r="R4716" t="str">
        <f>"217-20-375"</f>
        <v>217-20-375</v>
      </c>
      <c r="S4716" t="s">
        <v>29505</v>
      </c>
      <c r="T4716" t="s">
        <v>6532</v>
      </c>
      <c r="U4716">
        <v>2782</v>
      </c>
      <c r="V4716">
        <v>0</v>
      </c>
      <c r="W4716">
        <v>4</v>
      </c>
      <c r="X4716">
        <v>1997</v>
      </c>
      <c r="Z4716">
        <v>1</v>
      </c>
      <c r="AA4716" t="s">
        <v>26</v>
      </c>
      <c r="AB4716">
        <v>0</v>
      </c>
      <c r="AC4716" t="s">
        <v>115</v>
      </c>
      <c r="AD4716">
        <v>3</v>
      </c>
      <c r="AE4716" t="s">
        <v>115</v>
      </c>
      <c r="AF4716">
        <v>0</v>
      </c>
      <c r="AG4716">
        <v>0</v>
      </c>
      <c r="AH4716" t="s">
        <v>116</v>
      </c>
      <c r="AI4716" s="1">
        <v>40510</v>
      </c>
      <c r="AJ4716" s="2">
        <v>0.06</v>
      </c>
      <c r="AK4716" s="1">
        <v>692849</v>
      </c>
      <c r="AL4716" t="s">
        <v>117</v>
      </c>
      <c r="AM4716" t="s">
        <v>393</v>
      </c>
      <c r="AN4716">
        <v>10214</v>
      </c>
      <c r="AO4716">
        <v>0.23</v>
      </c>
      <c r="AP4716">
        <v>1</v>
      </c>
      <c r="AR4716">
        <v>1</v>
      </c>
      <c r="AS4716" s="1">
        <v>51210</v>
      </c>
      <c r="AT4716" s="1">
        <v>10240</v>
      </c>
      <c r="AU4716" s="1">
        <v>40970</v>
      </c>
      <c r="AV4716">
        <v>80</v>
      </c>
      <c r="AX4716" s="1">
        <v>3825.28</v>
      </c>
      <c r="AY4716" t="s">
        <v>6534</v>
      </c>
      <c r="AZ4716" t="s">
        <v>5762</v>
      </c>
      <c r="BA4716" t="s">
        <v>5763</v>
      </c>
      <c r="BE4716" s="3">
        <v>42482</v>
      </c>
      <c r="BF4716" s="1">
        <v>655000</v>
      </c>
      <c r="BG4716" t="s">
        <v>29506</v>
      </c>
      <c r="BH4716" s="1">
        <v>235.44</v>
      </c>
      <c r="BI4716" s="1">
        <v>652339</v>
      </c>
      <c r="BJ4716" s="3">
        <v>43556</v>
      </c>
      <c r="BK4716" t="s">
        <v>123</v>
      </c>
      <c r="BL4716" t="str">
        <f>"2019.224052"</f>
        <v>2019.224052</v>
      </c>
      <c r="BM4716" t="s">
        <v>5501</v>
      </c>
      <c r="BN4716" t="s">
        <v>5502</v>
      </c>
      <c r="BO4716" t="s">
        <v>29507</v>
      </c>
      <c r="BP4716" t="s">
        <v>29508</v>
      </c>
      <c r="BR4716" t="s">
        <v>139</v>
      </c>
      <c r="BW4716" t="str">
        <f>""</f>
        <v/>
      </c>
      <c r="CH4716" t="str">
        <f>""</f>
        <v/>
      </c>
      <c r="CS4716" t="str">
        <f>""</f>
        <v/>
      </c>
    </row>
    <row r="4717" spans="1:97" x14ac:dyDescent="0.25">
      <c r="A4717" t="s">
        <v>4854</v>
      </c>
      <c r="B4717" t="s">
        <v>4060</v>
      </c>
      <c r="C4717" t="s">
        <v>15429</v>
      </c>
      <c r="D4717" t="s">
        <v>4060</v>
      </c>
      <c r="E4717" t="s">
        <v>29509</v>
      </c>
      <c r="F4717" t="s">
        <v>108</v>
      </c>
      <c r="H4717" t="s">
        <v>29510</v>
      </c>
      <c r="I4717" t="s">
        <v>1936</v>
      </c>
      <c r="J4717" t="s">
        <v>111</v>
      </c>
      <c r="K4717" t="str">
        <f>"85266"</f>
        <v>85266</v>
      </c>
      <c r="L4717" t="s">
        <v>12877</v>
      </c>
      <c r="M4717" t="s">
        <v>29510</v>
      </c>
      <c r="N4717" t="s">
        <v>1936</v>
      </c>
      <c r="O4717" t="s">
        <v>111</v>
      </c>
      <c r="P4717" t="str">
        <f>"85266-1064"</f>
        <v>85266-1064</v>
      </c>
      <c r="Q4717" t="s">
        <v>113</v>
      </c>
      <c r="R4717" t="str">
        <f>"216-34-064"</f>
        <v>216-34-064</v>
      </c>
      <c r="S4717" t="s">
        <v>29511</v>
      </c>
      <c r="T4717" t="s">
        <v>29512</v>
      </c>
      <c r="U4717">
        <v>3171</v>
      </c>
      <c r="V4717">
        <v>0</v>
      </c>
      <c r="W4717">
        <v>4</v>
      </c>
      <c r="X4717">
        <v>2000</v>
      </c>
      <c r="Z4717">
        <v>1</v>
      </c>
      <c r="AA4717" t="s">
        <v>26</v>
      </c>
      <c r="AB4717">
        <v>0</v>
      </c>
      <c r="AC4717" t="s">
        <v>115</v>
      </c>
      <c r="AD4717">
        <v>3</v>
      </c>
      <c r="AE4717" t="s">
        <v>115</v>
      </c>
      <c r="AF4717">
        <v>0</v>
      </c>
      <c r="AG4717">
        <v>0</v>
      </c>
      <c r="AH4717" t="s">
        <v>116</v>
      </c>
      <c r="AI4717" s="1">
        <v>198941</v>
      </c>
      <c r="AJ4717" s="2">
        <v>0.25</v>
      </c>
      <c r="AK4717" s="1">
        <v>787751</v>
      </c>
      <c r="AL4717" t="s">
        <v>117</v>
      </c>
      <c r="AM4717" t="s">
        <v>376</v>
      </c>
      <c r="AN4717">
        <v>33403</v>
      </c>
      <c r="AO4717">
        <v>0.77</v>
      </c>
      <c r="AP4717">
        <v>1</v>
      </c>
      <c r="AR4717">
        <v>1</v>
      </c>
      <c r="AS4717" s="1">
        <v>56960</v>
      </c>
      <c r="AT4717" s="1">
        <v>11390</v>
      </c>
      <c r="AU4717" s="1">
        <v>45570</v>
      </c>
      <c r="AV4717">
        <v>80</v>
      </c>
      <c r="AX4717" s="1">
        <v>3121.4</v>
      </c>
      <c r="AY4717" t="s">
        <v>7359</v>
      </c>
      <c r="AZ4717" t="s">
        <v>1402</v>
      </c>
      <c r="BA4717" t="s">
        <v>1403</v>
      </c>
      <c r="BE4717" s="3">
        <v>42062</v>
      </c>
      <c r="BF4717" s="1">
        <v>600000</v>
      </c>
      <c r="BG4717" t="s">
        <v>29513</v>
      </c>
      <c r="BH4717" s="1">
        <v>189.21</v>
      </c>
      <c r="BI4717" s="1">
        <v>588810</v>
      </c>
      <c r="BJ4717" s="3">
        <v>43084</v>
      </c>
      <c r="BK4717" t="s">
        <v>123</v>
      </c>
      <c r="BL4717" t="str">
        <f>"2017.930502"</f>
        <v>2017.930502</v>
      </c>
      <c r="BM4717" t="s">
        <v>3252</v>
      </c>
      <c r="BO4717" t="s">
        <v>29514</v>
      </c>
      <c r="BS4717">
        <v>31</v>
      </c>
      <c r="BW4717" t="str">
        <f>""</f>
        <v/>
      </c>
      <c r="CH4717" t="str">
        <f>""</f>
        <v/>
      </c>
      <c r="CS4717" t="str">
        <f>""</f>
        <v/>
      </c>
    </row>
    <row r="4718" spans="1:97" x14ac:dyDescent="0.25">
      <c r="A4718" t="s">
        <v>177</v>
      </c>
      <c r="B4718" t="s">
        <v>1089</v>
      </c>
      <c r="C4718" t="s">
        <v>908</v>
      </c>
      <c r="D4718" t="s">
        <v>1089</v>
      </c>
      <c r="E4718" t="s">
        <v>29515</v>
      </c>
      <c r="F4718" t="s">
        <v>108</v>
      </c>
      <c r="H4718" t="s">
        <v>29516</v>
      </c>
      <c r="I4718" t="s">
        <v>6646</v>
      </c>
      <c r="J4718" t="s">
        <v>111</v>
      </c>
      <c r="K4718" t="str">
        <f>"85086"</f>
        <v>85086</v>
      </c>
      <c r="L4718" t="s">
        <v>11709</v>
      </c>
      <c r="M4718" t="s">
        <v>29516</v>
      </c>
      <c r="N4718" t="s">
        <v>6646</v>
      </c>
      <c r="O4718" t="s">
        <v>111</v>
      </c>
      <c r="P4718" t="str">
        <f>"85086-1112"</f>
        <v>85086-1112</v>
      </c>
      <c r="Q4718" t="s">
        <v>113</v>
      </c>
      <c r="R4718" t="str">
        <f>"203-01-402"</f>
        <v>203-01-402</v>
      </c>
      <c r="S4718" t="s">
        <v>29517</v>
      </c>
      <c r="T4718" t="s">
        <v>6514</v>
      </c>
      <c r="U4718">
        <v>2986</v>
      </c>
      <c r="V4718">
        <v>0</v>
      </c>
      <c r="W4718">
        <v>4</v>
      </c>
      <c r="X4718">
        <v>2000</v>
      </c>
      <c r="Z4718">
        <v>1</v>
      </c>
      <c r="AA4718" t="s">
        <v>26</v>
      </c>
      <c r="AB4718">
        <v>0</v>
      </c>
      <c r="AC4718" t="s">
        <v>115</v>
      </c>
      <c r="AD4718">
        <v>3</v>
      </c>
      <c r="AE4718" t="s">
        <v>115</v>
      </c>
      <c r="AF4718">
        <v>0</v>
      </c>
      <c r="AG4718">
        <v>0</v>
      </c>
      <c r="AH4718" t="s">
        <v>116</v>
      </c>
      <c r="AI4718" s="1">
        <v>66415</v>
      </c>
      <c r="AJ4718" s="2">
        <v>0.13</v>
      </c>
      <c r="AK4718" s="1">
        <v>523827</v>
      </c>
      <c r="AL4718" t="s">
        <v>117</v>
      </c>
      <c r="AM4718" t="s">
        <v>616</v>
      </c>
      <c r="AN4718">
        <v>14563</v>
      </c>
      <c r="AO4718">
        <v>0.33</v>
      </c>
      <c r="AP4718">
        <v>1</v>
      </c>
      <c r="AR4718">
        <v>1</v>
      </c>
      <c r="AS4718" s="1">
        <v>39930</v>
      </c>
      <c r="AT4718" s="1">
        <v>7980</v>
      </c>
      <c r="AU4718" s="1">
        <v>31950</v>
      </c>
      <c r="AV4718">
        <v>80.02</v>
      </c>
      <c r="AX4718" s="1">
        <v>4777.22</v>
      </c>
      <c r="AY4718" t="s">
        <v>665</v>
      </c>
      <c r="AZ4718" t="s">
        <v>665</v>
      </c>
      <c r="BA4718" t="s">
        <v>378</v>
      </c>
      <c r="BE4718" s="3">
        <v>42264</v>
      </c>
      <c r="BF4718" s="1">
        <v>452300</v>
      </c>
      <c r="BG4718" t="s">
        <v>29518</v>
      </c>
      <c r="BH4718" s="1">
        <v>151.47</v>
      </c>
      <c r="BI4718" s="1">
        <v>457412</v>
      </c>
      <c r="BJ4718" s="3">
        <v>42264</v>
      </c>
      <c r="BK4718" t="s">
        <v>123</v>
      </c>
      <c r="BL4718" t="str">
        <f>"2015.671248"</f>
        <v>2015.671248</v>
      </c>
      <c r="BM4718" t="s">
        <v>1038</v>
      </c>
      <c r="BO4718" t="s">
        <v>29519</v>
      </c>
      <c r="BS4718">
        <v>30</v>
      </c>
      <c r="BW4718" t="str">
        <f>""</f>
        <v/>
      </c>
      <c r="CH4718" t="str">
        <f>""</f>
        <v/>
      </c>
      <c r="CS4718" t="str">
        <f>""</f>
        <v/>
      </c>
    </row>
    <row r="4719" spans="1:97" x14ac:dyDescent="0.25">
      <c r="A4719" t="s">
        <v>1388</v>
      </c>
      <c r="B4719" t="s">
        <v>29520</v>
      </c>
      <c r="C4719" t="s">
        <v>2628</v>
      </c>
      <c r="D4719" t="s">
        <v>29520</v>
      </c>
      <c r="E4719" t="s">
        <v>29521</v>
      </c>
      <c r="F4719" t="s">
        <v>108</v>
      </c>
      <c r="H4719" t="s">
        <v>29522</v>
      </c>
      <c r="I4719" t="s">
        <v>5523</v>
      </c>
      <c r="J4719" t="s">
        <v>111</v>
      </c>
      <c r="K4719" t="str">
        <f>"85351"</f>
        <v>85351</v>
      </c>
      <c r="L4719" t="s">
        <v>5209</v>
      </c>
      <c r="M4719" t="s">
        <v>29522</v>
      </c>
      <c r="N4719" t="s">
        <v>5523</v>
      </c>
      <c r="O4719" t="s">
        <v>111</v>
      </c>
      <c r="P4719" t="str">
        <f>"85351-1433"</f>
        <v>85351-1433</v>
      </c>
      <c r="Q4719" t="s">
        <v>113</v>
      </c>
      <c r="R4719" t="str">
        <f>"200-94-329"</f>
        <v>200-94-329</v>
      </c>
      <c r="S4719" t="s">
        <v>19364</v>
      </c>
      <c r="U4719">
        <v>1832</v>
      </c>
      <c r="V4719">
        <v>0</v>
      </c>
      <c r="W4719">
        <v>2</v>
      </c>
      <c r="X4719">
        <v>1972</v>
      </c>
      <c r="Z4719">
        <v>1</v>
      </c>
      <c r="AB4719">
        <v>0</v>
      </c>
      <c r="AC4719" t="s">
        <v>115</v>
      </c>
      <c r="AD4719">
        <v>2</v>
      </c>
      <c r="AE4719" t="s">
        <v>115</v>
      </c>
      <c r="AF4719">
        <v>0</v>
      </c>
      <c r="AG4719">
        <v>0</v>
      </c>
      <c r="AH4719" t="s">
        <v>116</v>
      </c>
      <c r="AI4719" s="1">
        <v>6520</v>
      </c>
      <c r="AJ4719" s="2">
        <v>0.03</v>
      </c>
      <c r="AK4719" s="1">
        <v>248242</v>
      </c>
      <c r="AL4719" t="s">
        <v>117</v>
      </c>
      <c r="AM4719" t="s">
        <v>191</v>
      </c>
      <c r="AN4719">
        <v>8842</v>
      </c>
      <c r="AO4719">
        <v>0.2</v>
      </c>
      <c r="AP4719">
        <v>1</v>
      </c>
      <c r="AR4719">
        <v>1</v>
      </c>
      <c r="AS4719" s="1">
        <v>16000</v>
      </c>
      <c r="AT4719" s="1">
        <v>3200</v>
      </c>
      <c r="AU4719" s="1">
        <v>12800</v>
      </c>
      <c r="AV4719">
        <v>80</v>
      </c>
      <c r="AX4719" s="1">
        <v>1140.72</v>
      </c>
      <c r="AY4719" t="s">
        <v>5573</v>
      </c>
      <c r="AZ4719" t="s">
        <v>5573</v>
      </c>
      <c r="BA4719" t="s">
        <v>3360</v>
      </c>
      <c r="BE4719" s="3">
        <v>42354</v>
      </c>
      <c r="BF4719" s="1">
        <v>186000</v>
      </c>
      <c r="BG4719" t="s">
        <v>29523</v>
      </c>
      <c r="BH4719" s="1">
        <v>101.53</v>
      </c>
      <c r="BI4719" s="1">
        <v>241722</v>
      </c>
      <c r="BJ4719" s="3">
        <v>43041</v>
      </c>
      <c r="BK4719" t="s">
        <v>123</v>
      </c>
      <c r="BL4719" t="str">
        <f>"2017.815495"</f>
        <v>2017.815495</v>
      </c>
      <c r="BM4719" t="s">
        <v>361</v>
      </c>
      <c r="BO4719" t="s">
        <v>29524</v>
      </c>
      <c r="BQ4719" t="str">
        <f>"2.9900%"</f>
        <v>2.9900%</v>
      </c>
      <c r="BR4719" t="s">
        <v>1480</v>
      </c>
      <c r="BS4719">
        <v>30</v>
      </c>
      <c r="BW4719" t="str">
        <f>""</f>
        <v/>
      </c>
      <c r="CH4719" t="str">
        <f>""</f>
        <v/>
      </c>
      <c r="CS4719" t="str">
        <f>""</f>
        <v/>
      </c>
    </row>
    <row r="4720" spans="1:97" x14ac:dyDescent="0.25">
      <c r="A4720" t="s">
        <v>325</v>
      </c>
      <c r="B4720" t="s">
        <v>29525</v>
      </c>
      <c r="C4720" t="s">
        <v>199</v>
      </c>
      <c r="D4720" t="s">
        <v>29525</v>
      </c>
      <c r="E4720" t="s">
        <v>29526</v>
      </c>
      <c r="F4720" t="s">
        <v>108</v>
      </c>
      <c r="H4720" t="s">
        <v>29527</v>
      </c>
      <c r="I4720" t="s">
        <v>390</v>
      </c>
      <c r="J4720" t="s">
        <v>111</v>
      </c>
      <c r="K4720" t="str">
        <f>"85086"</f>
        <v>85086</v>
      </c>
      <c r="L4720" t="s">
        <v>11709</v>
      </c>
      <c r="M4720" t="s">
        <v>29527</v>
      </c>
      <c r="N4720" t="s">
        <v>390</v>
      </c>
      <c r="O4720" t="s">
        <v>111</v>
      </c>
      <c r="P4720" t="str">
        <f>"85086-1987"</f>
        <v>85086-1987</v>
      </c>
      <c r="Q4720" t="s">
        <v>113</v>
      </c>
      <c r="R4720" t="str">
        <f>"211-22-460"</f>
        <v>211-22-460</v>
      </c>
      <c r="S4720" t="s">
        <v>29528</v>
      </c>
      <c r="T4720" t="s">
        <v>6514</v>
      </c>
      <c r="U4720">
        <v>4319</v>
      </c>
      <c r="V4720">
        <v>0</v>
      </c>
      <c r="W4720">
        <v>6</v>
      </c>
      <c r="X4720">
        <v>2006</v>
      </c>
      <c r="Z4720">
        <v>1</v>
      </c>
      <c r="AA4720" t="s">
        <v>26</v>
      </c>
      <c r="AB4720">
        <v>0</v>
      </c>
      <c r="AC4720" t="s">
        <v>115</v>
      </c>
      <c r="AD4720">
        <v>4</v>
      </c>
      <c r="AE4720" t="s">
        <v>115</v>
      </c>
      <c r="AF4720">
        <v>0</v>
      </c>
      <c r="AG4720">
        <v>0</v>
      </c>
      <c r="AH4720" t="s">
        <v>116</v>
      </c>
      <c r="AI4720" s="1">
        <v>128157</v>
      </c>
      <c r="AJ4720" s="2">
        <v>0.18</v>
      </c>
      <c r="AK4720" s="1">
        <v>710775</v>
      </c>
      <c r="AL4720" t="s">
        <v>117</v>
      </c>
      <c r="AM4720" t="s">
        <v>1302</v>
      </c>
      <c r="AN4720">
        <v>15174</v>
      </c>
      <c r="AO4720">
        <v>0.35</v>
      </c>
      <c r="AR4720">
        <v>1</v>
      </c>
      <c r="AS4720" s="1">
        <v>50870</v>
      </c>
      <c r="AT4720" s="1">
        <v>10170</v>
      </c>
      <c r="AU4720" s="1">
        <v>40700</v>
      </c>
      <c r="AV4720">
        <v>80.010000000000005</v>
      </c>
      <c r="AX4720" s="1">
        <v>5460.96</v>
      </c>
      <c r="AY4720" t="s">
        <v>6515</v>
      </c>
      <c r="AZ4720" t="s">
        <v>6515</v>
      </c>
      <c r="BA4720" t="s">
        <v>378</v>
      </c>
      <c r="BE4720" s="3">
        <v>41880</v>
      </c>
      <c r="BF4720" s="1">
        <v>660000</v>
      </c>
      <c r="BG4720" t="s">
        <v>29529</v>
      </c>
      <c r="BH4720" s="1">
        <v>152.81</v>
      </c>
      <c r="BI4720" s="1">
        <v>582618</v>
      </c>
      <c r="BJ4720" s="3">
        <v>42643</v>
      </c>
      <c r="BK4720" t="s">
        <v>123</v>
      </c>
      <c r="BL4720" t="str">
        <f>"2016.719649"</f>
        <v>2016.719649</v>
      </c>
      <c r="BM4720" t="s">
        <v>1695</v>
      </c>
      <c r="BO4720" t="s">
        <v>29530</v>
      </c>
      <c r="BS4720">
        <v>30</v>
      </c>
      <c r="BW4720" t="str">
        <f>""</f>
        <v/>
      </c>
      <c r="CH4720" t="str">
        <f>""</f>
        <v/>
      </c>
      <c r="CS4720" t="str">
        <f>""</f>
        <v/>
      </c>
    </row>
    <row r="4721" spans="1:97" x14ac:dyDescent="0.25">
      <c r="A4721" t="s">
        <v>3580</v>
      </c>
      <c r="B4721" t="s">
        <v>10570</v>
      </c>
      <c r="E4721" t="s">
        <v>29531</v>
      </c>
      <c r="F4721" t="s">
        <v>108</v>
      </c>
      <c r="H4721" t="s">
        <v>29532</v>
      </c>
      <c r="I4721" t="s">
        <v>390</v>
      </c>
      <c r="J4721" t="s">
        <v>111</v>
      </c>
      <c r="K4721" t="str">
        <f>"85083"</f>
        <v>85083</v>
      </c>
      <c r="L4721" t="s">
        <v>7147</v>
      </c>
      <c r="M4721" t="s">
        <v>29532</v>
      </c>
      <c r="N4721" t="s">
        <v>390</v>
      </c>
      <c r="O4721" t="s">
        <v>111</v>
      </c>
      <c r="P4721" t="str">
        <f>"85083-2235"</f>
        <v>85083-2235</v>
      </c>
      <c r="Q4721" t="s">
        <v>113</v>
      </c>
      <c r="R4721" t="str">
        <f>"205-07-153"</f>
        <v>205-07-153</v>
      </c>
      <c r="S4721" t="s">
        <v>29533</v>
      </c>
      <c r="T4721" t="s">
        <v>29534</v>
      </c>
      <c r="U4721">
        <v>3815</v>
      </c>
      <c r="V4721">
        <v>0</v>
      </c>
      <c r="W4721">
        <v>4</v>
      </c>
      <c r="X4721">
        <v>1992</v>
      </c>
      <c r="Z4721">
        <v>2</v>
      </c>
      <c r="AB4721">
        <v>0</v>
      </c>
      <c r="AC4721" t="s">
        <v>115</v>
      </c>
      <c r="AD4721">
        <v>3</v>
      </c>
      <c r="AE4721" t="s">
        <v>115</v>
      </c>
      <c r="AF4721">
        <v>0</v>
      </c>
      <c r="AG4721">
        <v>0</v>
      </c>
      <c r="AH4721" t="s">
        <v>116</v>
      </c>
      <c r="AI4721" s="1">
        <v>-581594</v>
      </c>
      <c r="AJ4721" s="2">
        <v>-1.18</v>
      </c>
      <c r="AK4721" s="1">
        <v>492406</v>
      </c>
      <c r="AL4721" t="s">
        <v>117</v>
      </c>
      <c r="AM4721" t="s">
        <v>616</v>
      </c>
      <c r="AN4721">
        <v>20481</v>
      </c>
      <c r="AO4721">
        <v>0.47</v>
      </c>
      <c r="AP4721">
        <v>1</v>
      </c>
      <c r="AR4721">
        <v>1</v>
      </c>
      <c r="AS4721" s="1">
        <v>37460</v>
      </c>
      <c r="AT4721" s="1">
        <v>7490</v>
      </c>
      <c r="AU4721" s="1">
        <v>29970</v>
      </c>
      <c r="AV4721">
        <v>80.010000000000005</v>
      </c>
      <c r="AX4721" s="1">
        <v>3847.06</v>
      </c>
      <c r="AY4721" t="s">
        <v>3522</v>
      </c>
      <c r="AZ4721" t="s">
        <v>3522</v>
      </c>
      <c r="BA4721" t="s">
        <v>1386</v>
      </c>
      <c r="BE4721" s="3">
        <v>42243</v>
      </c>
      <c r="BF4721" s="1">
        <v>405000</v>
      </c>
      <c r="BG4721" t="s">
        <v>29535</v>
      </c>
      <c r="BH4721" s="1">
        <v>106.16</v>
      </c>
      <c r="BI4721" s="1">
        <v>324000</v>
      </c>
      <c r="BJ4721" s="3">
        <v>42243</v>
      </c>
      <c r="BK4721" t="s">
        <v>123</v>
      </c>
      <c r="BL4721" t="str">
        <f>"2015.620994"</f>
        <v>2015.620994</v>
      </c>
      <c r="BM4721" t="s">
        <v>135</v>
      </c>
      <c r="BO4721" t="s">
        <v>29536</v>
      </c>
      <c r="BS4721">
        <v>30</v>
      </c>
      <c r="BT4721" s="1">
        <v>500000</v>
      </c>
      <c r="BU4721" s="3">
        <v>42303</v>
      </c>
      <c r="BV4721" t="s">
        <v>9801</v>
      </c>
      <c r="BW4721" t="str">
        <f>"2015.767743"</f>
        <v>2015.767743</v>
      </c>
      <c r="BX4721" t="s">
        <v>29537</v>
      </c>
      <c r="BZ4721" t="s">
        <v>29538</v>
      </c>
      <c r="CC4721" t="s">
        <v>1480</v>
      </c>
      <c r="CE4721" s="1">
        <v>250000</v>
      </c>
      <c r="CF4721" s="3">
        <v>42303</v>
      </c>
      <c r="CG4721" t="s">
        <v>9801</v>
      </c>
      <c r="CH4721" t="str">
        <f>"2015.767744"</f>
        <v>2015.767744</v>
      </c>
      <c r="CI4721" t="s">
        <v>29537</v>
      </c>
      <c r="CK4721" t="s">
        <v>29538</v>
      </c>
      <c r="CN4721" t="s">
        <v>1480</v>
      </c>
      <c r="CS4721" t="str">
        <f>""</f>
        <v/>
      </c>
    </row>
    <row r="4722" spans="1:97" x14ac:dyDescent="0.25">
      <c r="A4722" t="s">
        <v>2828</v>
      </c>
      <c r="B4722" t="s">
        <v>10477</v>
      </c>
      <c r="C4722" t="s">
        <v>9149</v>
      </c>
      <c r="D4722" t="s">
        <v>10477</v>
      </c>
      <c r="E4722" t="s">
        <v>29539</v>
      </c>
      <c r="F4722" t="s">
        <v>108</v>
      </c>
      <c r="H4722" t="s">
        <v>29540</v>
      </c>
      <c r="I4722" t="s">
        <v>632</v>
      </c>
      <c r="J4722" t="s">
        <v>111</v>
      </c>
      <c r="K4722" t="str">
        <f>"85379"</f>
        <v>85379</v>
      </c>
      <c r="L4722" t="s">
        <v>299</v>
      </c>
      <c r="M4722" t="s">
        <v>29540</v>
      </c>
      <c r="N4722" t="s">
        <v>632</v>
      </c>
      <c r="O4722" t="s">
        <v>111</v>
      </c>
      <c r="P4722" t="str">
        <f>"85379-4320"</f>
        <v>85379-4320</v>
      </c>
      <c r="Q4722" t="s">
        <v>113</v>
      </c>
      <c r="R4722" t="str">
        <f>"501-39-805"</f>
        <v>501-39-805</v>
      </c>
      <c r="S4722" t="s">
        <v>24068</v>
      </c>
      <c r="U4722">
        <v>5888</v>
      </c>
      <c r="V4722">
        <v>0</v>
      </c>
      <c r="W4722">
        <v>5</v>
      </c>
      <c r="X4722">
        <v>2004</v>
      </c>
      <c r="Z4722">
        <v>2</v>
      </c>
      <c r="AA4722" t="s">
        <v>26</v>
      </c>
      <c r="AB4722">
        <v>0</v>
      </c>
      <c r="AC4722" t="s">
        <v>115</v>
      </c>
      <c r="AD4722">
        <v>3</v>
      </c>
      <c r="AE4722" t="s">
        <v>115</v>
      </c>
      <c r="AF4722">
        <v>0</v>
      </c>
      <c r="AG4722">
        <v>0</v>
      </c>
      <c r="AH4722" t="s">
        <v>116</v>
      </c>
      <c r="AI4722" s="1">
        <v>324349</v>
      </c>
      <c r="AJ4722" s="2">
        <v>0.44</v>
      </c>
      <c r="AK4722" s="1">
        <v>741349</v>
      </c>
      <c r="AL4722" t="s">
        <v>117</v>
      </c>
      <c r="AM4722" t="s">
        <v>376</v>
      </c>
      <c r="AN4722">
        <v>43006</v>
      </c>
      <c r="AO4722">
        <v>0.99</v>
      </c>
      <c r="AP4722">
        <v>1</v>
      </c>
      <c r="AR4722">
        <v>1</v>
      </c>
      <c r="AS4722" s="1">
        <v>52350</v>
      </c>
      <c r="AT4722" s="1">
        <v>10470</v>
      </c>
      <c r="AU4722" s="1">
        <v>41880</v>
      </c>
      <c r="AV4722">
        <v>80</v>
      </c>
      <c r="AX4722" s="1">
        <v>4267.3</v>
      </c>
      <c r="AY4722" t="s">
        <v>7965</v>
      </c>
      <c r="AZ4722" t="s">
        <v>7965</v>
      </c>
      <c r="BA4722" t="s">
        <v>635</v>
      </c>
      <c r="BE4722" s="3">
        <v>41943</v>
      </c>
      <c r="BF4722" s="1">
        <v>567500</v>
      </c>
      <c r="BG4722" t="s">
        <v>29541</v>
      </c>
      <c r="BH4722" s="1">
        <v>96.38</v>
      </c>
      <c r="BI4722" s="1">
        <v>417000</v>
      </c>
      <c r="BJ4722" s="3">
        <v>41943</v>
      </c>
      <c r="BK4722" t="s">
        <v>123</v>
      </c>
      <c r="BL4722" t="str">
        <f>"2014.726363"</f>
        <v>2014.726363</v>
      </c>
      <c r="BM4722" t="s">
        <v>196</v>
      </c>
      <c r="BO4722" t="s">
        <v>29542</v>
      </c>
      <c r="BS4722">
        <v>30</v>
      </c>
      <c r="BW4722" t="str">
        <f>""</f>
        <v/>
      </c>
      <c r="CH4722" t="str">
        <f>""</f>
        <v/>
      </c>
      <c r="CS4722" t="str">
        <f>""</f>
        <v/>
      </c>
    </row>
    <row r="4723" spans="1:97" x14ac:dyDescent="0.25">
      <c r="A4723" t="s">
        <v>211</v>
      </c>
      <c r="B4723" t="s">
        <v>13206</v>
      </c>
      <c r="C4723" t="s">
        <v>29543</v>
      </c>
      <c r="D4723" t="s">
        <v>13206</v>
      </c>
      <c r="E4723" t="s">
        <v>29544</v>
      </c>
      <c r="F4723" t="s">
        <v>108</v>
      </c>
      <c r="H4723" t="s">
        <v>29545</v>
      </c>
      <c r="I4723" t="s">
        <v>110</v>
      </c>
      <c r="J4723" t="s">
        <v>111</v>
      </c>
      <c r="K4723" t="str">
        <f>"85286"</f>
        <v>85286</v>
      </c>
      <c r="L4723" t="s">
        <v>7109</v>
      </c>
      <c r="M4723" t="s">
        <v>29545</v>
      </c>
      <c r="N4723" t="s">
        <v>110</v>
      </c>
      <c r="O4723" t="s">
        <v>111</v>
      </c>
      <c r="P4723" t="str">
        <f>"85286-2681"</f>
        <v>85286-2681</v>
      </c>
      <c r="Q4723" t="s">
        <v>113</v>
      </c>
      <c r="R4723" t="str">
        <f>"303-42-758"</f>
        <v>303-42-758</v>
      </c>
      <c r="S4723" t="s">
        <v>29546</v>
      </c>
      <c r="T4723" t="s">
        <v>29546</v>
      </c>
      <c r="U4723">
        <v>2401</v>
      </c>
      <c r="V4723">
        <v>0</v>
      </c>
      <c r="W4723">
        <v>3</v>
      </c>
      <c r="X4723">
        <v>2003</v>
      </c>
      <c r="Z4723">
        <v>1</v>
      </c>
      <c r="AA4723" t="s">
        <v>26</v>
      </c>
      <c r="AB4723">
        <v>0</v>
      </c>
      <c r="AC4723" t="s">
        <v>115</v>
      </c>
      <c r="AD4723">
        <v>3</v>
      </c>
      <c r="AE4723" t="s">
        <v>115</v>
      </c>
      <c r="AF4723">
        <v>0</v>
      </c>
      <c r="AG4723">
        <v>0</v>
      </c>
      <c r="AH4723" t="s">
        <v>116</v>
      </c>
      <c r="AI4723" s="1">
        <v>88990</v>
      </c>
      <c r="AJ4723" s="2">
        <v>0.2</v>
      </c>
      <c r="AK4723" s="1">
        <v>440210</v>
      </c>
      <c r="AL4723" t="s">
        <v>117</v>
      </c>
      <c r="AM4723" t="s">
        <v>118</v>
      </c>
      <c r="AN4723">
        <v>12346</v>
      </c>
      <c r="AO4723">
        <v>0.28000000000000003</v>
      </c>
      <c r="AP4723">
        <v>1</v>
      </c>
      <c r="AR4723">
        <v>1</v>
      </c>
      <c r="AS4723" s="1">
        <v>32810</v>
      </c>
      <c r="AT4723" s="1">
        <v>6560</v>
      </c>
      <c r="AU4723" s="1">
        <v>26250</v>
      </c>
      <c r="AV4723">
        <v>80.010000000000005</v>
      </c>
      <c r="AX4723" s="1">
        <v>2973.02</v>
      </c>
      <c r="AY4723" t="s">
        <v>9063</v>
      </c>
      <c r="AZ4723" t="s">
        <v>120</v>
      </c>
      <c r="BA4723" t="s">
        <v>303</v>
      </c>
      <c r="BE4723" s="3">
        <v>42139</v>
      </c>
      <c r="BF4723" s="1">
        <v>355000</v>
      </c>
      <c r="BG4723" t="s">
        <v>29547</v>
      </c>
      <c r="BH4723" s="1">
        <v>147.86000000000001</v>
      </c>
      <c r="BI4723" s="1">
        <v>351220</v>
      </c>
      <c r="BJ4723" s="3">
        <v>42139</v>
      </c>
      <c r="BK4723" t="s">
        <v>123</v>
      </c>
      <c r="BL4723" t="str">
        <f>"2015.345074"</f>
        <v>2015.345074</v>
      </c>
      <c r="BM4723" t="s">
        <v>594</v>
      </c>
      <c r="BO4723" t="s">
        <v>29548</v>
      </c>
      <c r="BS4723">
        <v>30</v>
      </c>
      <c r="BW4723" t="str">
        <f>""</f>
        <v/>
      </c>
      <c r="CH4723" t="str">
        <f>""</f>
        <v/>
      </c>
      <c r="CS4723" t="str">
        <f>""</f>
        <v/>
      </c>
    </row>
    <row r="4724" spans="1:97" x14ac:dyDescent="0.25">
      <c r="A4724" t="s">
        <v>701</v>
      </c>
      <c r="B4724" t="s">
        <v>29549</v>
      </c>
      <c r="C4724" t="s">
        <v>4386</v>
      </c>
      <c r="D4724" t="s">
        <v>29549</v>
      </c>
      <c r="E4724" t="s">
        <v>29550</v>
      </c>
      <c r="F4724" t="s">
        <v>108</v>
      </c>
      <c r="H4724" t="s">
        <v>29551</v>
      </c>
      <c r="I4724" t="s">
        <v>374</v>
      </c>
      <c r="J4724" t="s">
        <v>111</v>
      </c>
      <c r="K4724" t="str">
        <f>"85087"</f>
        <v>85087</v>
      </c>
      <c r="L4724" t="s">
        <v>11089</v>
      </c>
      <c r="M4724" t="s">
        <v>29551</v>
      </c>
      <c r="N4724" t="s">
        <v>374</v>
      </c>
      <c r="O4724" t="s">
        <v>111</v>
      </c>
      <c r="P4724" t="str">
        <f>"85087-3025"</f>
        <v>85087-3025</v>
      </c>
      <c r="Q4724" t="s">
        <v>113</v>
      </c>
      <c r="R4724" t="str">
        <f>"202-22-920"</f>
        <v>202-22-920</v>
      </c>
      <c r="S4724" t="s">
        <v>11345</v>
      </c>
      <c r="U4724">
        <v>3644</v>
      </c>
      <c r="V4724">
        <v>0</v>
      </c>
      <c r="W4724">
        <v>4</v>
      </c>
      <c r="X4724">
        <v>2007</v>
      </c>
      <c r="Z4724">
        <v>2</v>
      </c>
      <c r="AA4724" t="s">
        <v>26</v>
      </c>
      <c r="AB4724">
        <v>0</v>
      </c>
      <c r="AC4724" t="s">
        <v>115</v>
      </c>
      <c r="AD4724">
        <v>3</v>
      </c>
      <c r="AE4724" t="s">
        <v>115</v>
      </c>
      <c r="AF4724">
        <v>0</v>
      </c>
      <c r="AG4724">
        <v>0</v>
      </c>
      <c r="AH4724" t="s">
        <v>116</v>
      </c>
      <c r="AI4724" s="1">
        <v>87512</v>
      </c>
      <c r="AJ4724" s="2">
        <v>0.17</v>
      </c>
      <c r="AK4724" s="1">
        <v>501712</v>
      </c>
      <c r="AL4724" t="s">
        <v>117</v>
      </c>
      <c r="AM4724" t="s">
        <v>3973</v>
      </c>
      <c r="AN4724">
        <v>14954</v>
      </c>
      <c r="AO4724">
        <v>0.34</v>
      </c>
      <c r="AR4724">
        <v>1</v>
      </c>
      <c r="AS4724" s="1">
        <v>37550</v>
      </c>
      <c r="AT4724" s="1">
        <v>7510</v>
      </c>
      <c r="AU4724" s="1">
        <v>30040</v>
      </c>
      <c r="AV4724">
        <v>80</v>
      </c>
      <c r="AX4724" s="1">
        <v>3870.32</v>
      </c>
      <c r="AY4724" t="s">
        <v>665</v>
      </c>
      <c r="AZ4724" t="s">
        <v>665</v>
      </c>
      <c r="BA4724" t="s">
        <v>378</v>
      </c>
      <c r="BE4724" s="3">
        <v>42201</v>
      </c>
      <c r="BF4724" s="1">
        <v>425000</v>
      </c>
      <c r="BG4724" t="s">
        <v>29552</v>
      </c>
      <c r="BH4724" s="1">
        <v>116.63</v>
      </c>
      <c r="BI4724" s="1">
        <v>414200</v>
      </c>
      <c r="BJ4724" s="3">
        <v>42506</v>
      </c>
      <c r="BK4724" t="s">
        <v>123</v>
      </c>
      <c r="BL4724" t="str">
        <f>"2016.331627"</f>
        <v>2016.331627</v>
      </c>
      <c r="BM4724" t="s">
        <v>322</v>
      </c>
      <c r="BO4724" t="s">
        <v>29553</v>
      </c>
      <c r="BS4724">
        <v>30</v>
      </c>
      <c r="BW4724" t="str">
        <f>""</f>
        <v/>
      </c>
      <c r="CH4724" t="str">
        <f>""</f>
        <v/>
      </c>
      <c r="CS4724" t="str">
        <f>""</f>
        <v/>
      </c>
    </row>
    <row r="4725" spans="1:97" x14ac:dyDescent="0.25">
      <c r="A4725" t="s">
        <v>140</v>
      </c>
      <c r="B4725" t="s">
        <v>29554</v>
      </c>
      <c r="C4725" t="s">
        <v>484</v>
      </c>
      <c r="D4725" t="s">
        <v>29554</v>
      </c>
      <c r="E4725" t="s">
        <v>29555</v>
      </c>
      <c r="F4725" t="s">
        <v>108</v>
      </c>
      <c r="H4725" t="s">
        <v>29556</v>
      </c>
      <c r="I4725" t="s">
        <v>1936</v>
      </c>
      <c r="J4725" t="s">
        <v>111</v>
      </c>
      <c r="K4725" t="str">
        <f>"85254"</f>
        <v>85254</v>
      </c>
      <c r="L4725" t="s">
        <v>5900</v>
      </c>
      <c r="M4725" t="s">
        <v>29556</v>
      </c>
      <c r="N4725" t="s">
        <v>1936</v>
      </c>
      <c r="O4725" t="s">
        <v>111</v>
      </c>
      <c r="P4725" t="str">
        <f>"85254-4817"</f>
        <v>85254-4817</v>
      </c>
      <c r="Q4725" t="s">
        <v>113</v>
      </c>
      <c r="R4725" t="str">
        <f>"167-79-136"</f>
        <v>167-79-136</v>
      </c>
      <c r="S4725" t="s">
        <v>29557</v>
      </c>
      <c r="U4725">
        <v>3882</v>
      </c>
      <c r="V4725">
        <v>0</v>
      </c>
      <c r="W4725">
        <v>4</v>
      </c>
      <c r="X4725">
        <v>1973</v>
      </c>
      <c r="Z4725">
        <v>1</v>
      </c>
      <c r="AA4725" t="s">
        <v>26</v>
      </c>
      <c r="AB4725">
        <v>0</v>
      </c>
      <c r="AC4725" t="s">
        <v>115</v>
      </c>
      <c r="AD4725">
        <v>3</v>
      </c>
      <c r="AE4725" t="s">
        <v>115</v>
      </c>
      <c r="AF4725">
        <v>0</v>
      </c>
      <c r="AG4725">
        <v>0</v>
      </c>
      <c r="AH4725" t="s">
        <v>116</v>
      </c>
      <c r="AI4725" s="1">
        <v>386402</v>
      </c>
      <c r="AJ4725" s="2">
        <v>0.38</v>
      </c>
      <c r="AK4725" s="1">
        <v>1027097</v>
      </c>
      <c r="AL4725" t="s">
        <v>117</v>
      </c>
      <c r="AM4725" t="s">
        <v>3973</v>
      </c>
      <c r="AN4725">
        <v>44154</v>
      </c>
      <c r="AO4725">
        <v>1.01</v>
      </c>
      <c r="AP4725">
        <v>1</v>
      </c>
      <c r="AR4725">
        <v>1</v>
      </c>
      <c r="AS4725" s="1">
        <v>83100</v>
      </c>
      <c r="AT4725" s="1">
        <v>16620</v>
      </c>
      <c r="AU4725" s="1">
        <v>66480</v>
      </c>
      <c r="AV4725">
        <v>80</v>
      </c>
      <c r="AX4725" s="1">
        <v>5960.4</v>
      </c>
      <c r="AY4725" t="s">
        <v>8948</v>
      </c>
      <c r="AZ4725" t="s">
        <v>8949</v>
      </c>
      <c r="BA4725" t="s">
        <v>7868</v>
      </c>
      <c r="BE4725" s="3">
        <v>41782</v>
      </c>
      <c r="BF4725" s="1">
        <v>749900</v>
      </c>
      <c r="BG4725" t="s">
        <v>29558</v>
      </c>
      <c r="BH4725" s="1">
        <v>193.17</v>
      </c>
      <c r="BI4725" s="1">
        <v>640695</v>
      </c>
      <c r="BJ4725" s="3">
        <v>42454</v>
      </c>
      <c r="BK4725" t="s">
        <v>123</v>
      </c>
      <c r="BL4725" t="str">
        <f>"2016.194745"</f>
        <v>2016.194745</v>
      </c>
      <c r="BM4725" t="s">
        <v>709</v>
      </c>
      <c r="BO4725" t="s">
        <v>29559</v>
      </c>
      <c r="BS4725">
        <v>30</v>
      </c>
      <c r="BW4725" t="str">
        <f>""</f>
        <v/>
      </c>
      <c r="CH4725" t="str">
        <f>""</f>
        <v/>
      </c>
      <c r="CS4725" t="str">
        <f>""</f>
        <v/>
      </c>
    </row>
    <row r="4726" spans="1:97" x14ac:dyDescent="0.25">
      <c r="A4726" t="s">
        <v>11648</v>
      </c>
      <c r="B4726" t="s">
        <v>3599</v>
      </c>
      <c r="C4726" t="s">
        <v>4869</v>
      </c>
      <c r="D4726" t="s">
        <v>3599</v>
      </c>
      <c r="E4726" t="s">
        <v>29560</v>
      </c>
      <c r="F4726" t="s">
        <v>108</v>
      </c>
      <c r="H4726" t="s">
        <v>29561</v>
      </c>
      <c r="I4726" t="s">
        <v>2874</v>
      </c>
      <c r="J4726" t="s">
        <v>111</v>
      </c>
      <c r="K4726" t="str">
        <f>"85301"</f>
        <v>85301</v>
      </c>
      <c r="L4726" t="s">
        <v>5228</v>
      </c>
      <c r="M4726" t="s">
        <v>29561</v>
      </c>
      <c r="N4726" t="s">
        <v>2874</v>
      </c>
      <c r="O4726" t="s">
        <v>111</v>
      </c>
      <c r="P4726" t="str">
        <f>"85301-1682"</f>
        <v>85301-1682</v>
      </c>
      <c r="Q4726" t="s">
        <v>113</v>
      </c>
      <c r="R4726" t="str">
        <f>"147-02-078"</f>
        <v>147-02-078</v>
      </c>
      <c r="S4726" t="s">
        <v>29562</v>
      </c>
      <c r="T4726" t="s">
        <v>29563</v>
      </c>
      <c r="U4726">
        <v>4371</v>
      </c>
      <c r="V4726">
        <v>0</v>
      </c>
      <c r="W4726">
        <v>4</v>
      </c>
      <c r="X4726">
        <v>1982</v>
      </c>
      <c r="Z4726">
        <v>1</v>
      </c>
      <c r="AA4726" t="s">
        <v>26</v>
      </c>
      <c r="AB4726">
        <v>0</v>
      </c>
      <c r="AC4726" t="s">
        <v>115</v>
      </c>
      <c r="AD4726">
        <v>5</v>
      </c>
      <c r="AE4726" t="s">
        <v>115</v>
      </c>
      <c r="AF4726">
        <v>0</v>
      </c>
      <c r="AG4726">
        <v>0</v>
      </c>
      <c r="AH4726" t="s">
        <v>116</v>
      </c>
      <c r="AI4726" s="1">
        <v>66702</v>
      </c>
      <c r="AJ4726" s="2">
        <v>0.14000000000000001</v>
      </c>
      <c r="AK4726" s="1">
        <v>476286</v>
      </c>
      <c r="AL4726" t="s">
        <v>117</v>
      </c>
      <c r="AM4726" t="s">
        <v>191</v>
      </c>
      <c r="AN4726">
        <v>19676</v>
      </c>
      <c r="AO4726">
        <v>0.45</v>
      </c>
      <c r="AP4726">
        <v>1</v>
      </c>
      <c r="AR4726">
        <v>1</v>
      </c>
      <c r="AS4726" s="1">
        <v>36980</v>
      </c>
      <c r="AT4726" s="1">
        <v>7390</v>
      </c>
      <c r="AU4726" s="1">
        <v>29590</v>
      </c>
      <c r="AV4726">
        <v>80.02</v>
      </c>
      <c r="AX4726" s="1">
        <v>4011.18</v>
      </c>
      <c r="AY4726" t="s">
        <v>11164</v>
      </c>
      <c r="AZ4726" t="s">
        <v>11164</v>
      </c>
      <c r="BA4726" t="s">
        <v>6987</v>
      </c>
      <c r="BE4726" s="3">
        <v>42048</v>
      </c>
      <c r="BF4726" s="1">
        <v>298000</v>
      </c>
      <c r="BG4726" t="s">
        <v>29564</v>
      </c>
      <c r="BH4726" s="1">
        <v>68.180000000000007</v>
      </c>
      <c r="BI4726" s="1">
        <v>409584</v>
      </c>
      <c r="BJ4726" s="3">
        <v>43084</v>
      </c>
      <c r="BK4726" t="s">
        <v>123</v>
      </c>
      <c r="BL4726" t="str">
        <f>"2017.928352"</f>
        <v>2017.928352</v>
      </c>
      <c r="BM4726" t="s">
        <v>6235</v>
      </c>
      <c r="BO4726" t="s">
        <v>29565</v>
      </c>
      <c r="BS4726">
        <v>31</v>
      </c>
      <c r="BW4726" t="str">
        <f>""</f>
        <v/>
      </c>
      <c r="CH4726" t="str">
        <f>""</f>
        <v/>
      </c>
      <c r="CS4726" t="str">
        <f>""</f>
        <v/>
      </c>
    </row>
    <row r="4727" spans="1:97" x14ac:dyDescent="0.25">
      <c r="B4727" t="s">
        <v>29566</v>
      </c>
      <c r="C4727" t="s">
        <v>513</v>
      </c>
      <c r="E4727" t="s">
        <v>29567</v>
      </c>
      <c r="F4727" t="s">
        <v>108</v>
      </c>
      <c r="H4727" t="s">
        <v>29568</v>
      </c>
      <c r="I4727" t="s">
        <v>390</v>
      </c>
      <c r="J4727" t="s">
        <v>111</v>
      </c>
      <c r="K4727" t="str">
        <f>"85024"</f>
        <v>85024</v>
      </c>
      <c r="L4727" t="s">
        <v>22542</v>
      </c>
      <c r="M4727" t="s">
        <v>29568</v>
      </c>
      <c r="N4727" t="s">
        <v>390</v>
      </c>
      <c r="O4727" t="s">
        <v>111</v>
      </c>
      <c r="P4727" t="str">
        <f>"85024-3065"</f>
        <v>85024-3065</v>
      </c>
      <c r="Q4727" t="s">
        <v>113</v>
      </c>
      <c r="R4727" t="str">
        <f>"213-20-228"</f>
        <v>213-20-228</v>
      </c>
      <c r="S4727" t="s">
        <v>29569</v>
      </c>
      <c r="T4727" t="s">
        <v>28838</v>
      </c>
      <c r="U4727">
        <v>1614</v>
      </c>
      <c r="V4727">
        <v>0</v>
      </c>
      <c r="W4727">
        <v>3</v>
      </c>
      <c r="X4727">
        <v>1997</v>
      </c>
      <c r="Z4727">
        <v>1</v>
      </c>
      <c r="AB4727">
        <v>0</v>
      </c>
      <c r="AC4727" t="s">
        <v>115</v>
      </c>
      <c r="AD4727">
        <v>2</v>
      </c>
      <c r="AE4727" t="s">
        <v>115</v>
      </c>
      <c r="AF4727">
        <v>0</v>
      </c>
      <c r="AG4727">
        <v>0</v>
      </c>
      <c r="AH4727" t="s">
        <v>116</v>
      </c>
      <c r="AI4727" s="1">
        <v>33294</v>
      </c>
      <c r="AJ4727" s="2">
        <v>0.11</v>
      </c>
      <c r="AK4727" s="1">
        <v>298294</v>
      </c>
      <c r="AL4727" t="s">
        <v>117</v>
      </c>
      <c r="AM4727" t="s">
        <v>1315</v>
      </c>
      <c r="AN4727">
        <v>4545</v>
      </c>
      <c r="AO4727">
        <v>0.1</v>
      </c>
      <c r="AP4727">
        <v>1</v>
      </c>
      <c r="AR4727">
        <v>1</v>
      </c>
      <c r="AS4727" s="1">
        <v>21400</v>
      </c>
      <c r="AT4727" s="1">
        <v>4280</v>
      </c>
      <c r="AU4727" s="1">
        <v>17120</v>
      </c>
      <c r="AV4727">
        <v>80</v>
      </c>
      <c r="AX4727" s="1">
        <v>1724.48</v>
      </c>
      <c r="AY4727" t="s">
        <v>5710</v>
      </c>
      <c r="AZ4727" t="s">
        <v>761</v>
      </c>
      <c r="BA4727" t="s">
        <v>2551</v>
      </c>
      <c r="BB4727" s="3">
        <v>43711</v>
      </c>
      <c r="BC4727" s="1">
        <v>0</v>
      </c>
      <c r="BD4727" t="s">
        <v>247</v>
      </c>
      <c r="BE4727" s="3">
        <v>41816</v>
      </c>
      <c r="BF4727" s="1">
        <v>213000</v>
      </c>
      <c r="BG4727" t="s">
        <v>29570</v>
      </c>
      <c r="BH4727" s="1">
        <v>131.97</v>
      </c>
      <c r="BI4727" s="1">
        <v>213000</v>
      </c>
      <c r="BJ4727" s="3">
        <v>41816</v>
      </c>
      <c r="BK4727" t="s">
        <v>123</v>
      </c>
      <c r="BL4727" t="str">
        <f>"2014.420135"</f>
        <v>2014.420135</v>
      </c>
      <c r="BM4727" t="s">
        <v>11524</v>
      </c>
      <c r="BN4727" t="s">
        <v>461</v>
      </c>
      <c r="BO4727" t="s">
        <v>29571</v>
      </c>
      <c r="BS4727">
        <v>30</v>
      </c>
      <c r="BT4727" s="1">
        <v>52000</v>
      </c>
      <c r="BU4727" s="3">
        <v>43661</v>
      </c>
      <c r="BW4727" t="str">
        <f>"2019.530446"</f>
        <v>2019.530446</v>
      </c>
      <c r="BX4727" t="s">
        <v>342</v>
      </c>
      <c r="BY4727" t="s">
        <v>343</v>
      </c>
      <c r="BZ4727" t="s">
        <v>29572</v>
      </c>
      <c r="CA4727" t="s">
        <v>29573</v>
      </c>
      <c r="CC4727" t="s">
        <v>346</v>
      </c>
      <c r="CH4727" t="str">
        <f>""</f>
        <v/>
      </c>
      <c r="CS4727" t="str">
        <f>""</f>
        <v/>
      </c>
    </row>
    <row r="4728" spans="1:97" x14ac:dyDescent="0.25">
      <c r="A4728" t="s">
        <v>17684</v>
      </c>
      <c r="B4728" t="s">
        <v>1272</v>
      </c>
      <c r="C4728" t="s">
        <v>29574</v>
      </c>
      <c r="D4728" t="s">
        <v>1272</v>
      </c>
      <c r="E4728" t="s">
        <v>29575</v>
      </c>
      <c r="F4728" t="s">
        <v>108</v>
      </c>
      <c r="H4728" t="s">
        <v>29576</v>
      </c>
      <c r="I4728" t="s">
        <v>203</v>
      </c>
      <c r="J4728" t="s">
        <v>111</v>
      </c>
      <c r="K4728" t="str">
        <f>"85234"</f>
        <v>85234</v>
      </c>
      <c r="L4728" t="s">
        <v>189</v>
      </c>
      <c r="M4728" t="s">
        <v>29576</v>
      </c>
      <c r="N4728" t="s">
        <v>203</v>
      </c>
      <c r="O4728" t="s">
        <v>111</v>
      </c>
      <c r="P4728" t="str">
        <f>"85234-3210"</f>
        <v>85234-3210</v>
      </c>
      <c r="Q4728" t="s">
        <v>113</v>
      </c>
      <c r="R4728" t="str">
        <f>"304-15-385"</f>
        <v>304-15-385</v>
      </c>
      <c r="S4728" t="s">
        <v>5564</v>
      </c>
      <c r="T4728" t="s">
        <v>5564</v>
      </c>
      <c r="U4728">
        <v>1685</v>
      </c>
      <c r="V4728">
        <v>0</v>
      </c>
      <c r="W4728">
        <v>3</v>
      </c>
      <c r="X4728">
        <v>1997</v>
      </c>
      <c r="Z4728">
        <v>1</v>
      </c>
      <c r="AA4728" t="s">
        <v>26</v>
      </c>
      <c r="AB4728">
        <v>0</v>
      </c>
      <c r="AC4728" t="s">
        <v>115</v>
      </c>
      <c r="AD4728">
        <v>2</v>
      </c>
      <c r="AE4728" t="s">
        <v>115</v>
      </c>
      <c r="AF4728">
        <v>0</v>
      </c>
      <c r="AG4728">
        <v>0</v>
      </c>
      <c r="AH4728" t="s">
        <v>116</v>
      </c>
      <c r="AI4728" s="1">
        <v>80340</v>
      </c>
      <c r="AJ4728" s="2">
        <v>0.24</v>
      </c>
      <c r="AK4728" s="1">
        <v>328140</v>
      </c>
      <c r="AL4728" t="s">
        <v>117</v>
      </c>
      <c r="AM4728" t="s">
        <v>191</v>
      </c>
      <c r="AN4728">
        <v>7453</v>
      </c>
      <c r="AO4728">
        <v>0.17</v>
      </c>
      <c r="AP4728">
        <v>1</v>
      </c>
      <c r="AR4728">
        <v>1</v>
      </c>
      <c r="AS4728" s="1">
        <v>22170</v>
      </c>
      <c r="AT4728" s="1">
        <v>4430</v>
      </c>
      <c r="AU4728" s="1">
        <v>17740</v>
      </c>
      <c r="AV4728">
        <v>80.02</v>
      </c>
      <c r="AX4728" s="1">
        <v>1559.98</v>
      </c>
      <c r="AY4728" t="s">
        <v>5565</v>
      </c>
      <c r="AZ4728" t="s">
        <v>571</v>
      </c>
      <c r="BA4728" t="s">
        <v>521</v>
      </c>
      <c r="BE4728" s="3">
        <v>41691</v>
      </c>
      <c r="BF4728" s="1">
        <v>247800</v>
      </c>
      <c r="BG4728" t="s">
        <v>29577</v>
      </c>
      <c r="BH4728" s="1">
        <v>147.06</v>
      </c>
      <c r="BI4728" s="1">
        <v>247800</v>
      </c>
      <c r="BJ4728" s="3">
        <v>41691</v>
      </c>
      <c r="BK4728" t="s">
        <v>123</v>
      </c>
      <c r="BL4728" t="str">
        <f>"2014.114864"</f>
        <v>2014.114864</v>
      </c>
      <c r="BM4728" t="s">
        <v>724</v>
      </c>
      <c r="BO4728" t="s">
        <v>29578</v>
      </c>
      <c r="BS4728">
        <v>30</v>
      </c>
      <c r="BW4728" t="str">
        <f>""</f>
        <v/>
      </c>
      <c r="CH4728" t="str">
        <f>""</f>
        <v/>
      </c>
      <c r="CS4728" t="str">
        <f>""</f>
        <v/>
      </c>
    </row>
    <row r="4729" spans="1:97" x14ac:dyDescent="0.25">
      <c r="A4729" t="s">
        <v>2828</v>
      </c>
      <c r="B4729" t="s">
        <v>3706</v>
      </c>
      <c r="C4729" t="s">
        <v>2530</v>
      </c>
      <c r="D4729" t="s">
        <v>3706</v>
      </c>
      <c r="E4729" t="s">
        <v>29579</v>
      </c>
      <c r="F4729" t="s">
        <v>108</v>
      </c>
      <c r="H4729" t="s">
        <v>29580</v>
      </c>
      <c r="I4729" t="s">
        <v>390</v>
      </c>
      <c r="J4729" t="s">
        <v>111</v>
      </c>
      <c r="K4729" t="str">
        <f>"85018"</f>
        <v>85018</v>
      </c>
      <c r="L4729" t="s">
        <v>8345</v>
      </c>
      <c r="M4729" t="s">
        <v>29580</v>
      </c>
      <c r="N4729" t="s">
        <v>390</v>
      </c>
      <c r="O4729" t="s">
        <v>111</v>
      </c>
      <c r="P4729" t="str">
        <f>"85018-5424"</f>
        <v>85018-5424</v>
      </c>
      <c r="Q4729" t="s">
        <v>113</v>
      </c>
      <c r="R4729" t="str">
        <f>"127-10-071"</f>
        <v>127-10-071</v>
      </c>
      <c r="S4729" t="s">
        <v>29581</v>
      </c>
      <c r="T4729" t="s">
        <v>29581</v>
      </c>
      <c r="U4729">
        <v>2222</v>
      </c>
      <c r="V4729">
        <v>0</v>
      </c>
      <c r="W4729">
        <v>3</v>
      </c>
      <c r="X4729">
        <v>1957</v>
      </c>
      <c r="Z4729">
        <v>1</v>
      </c>
      <c r="AA4729" t="s">
        <v>26</v>
      </c>
      <c r="AB4729">
        <v>0</v>
      </c>
      <c r="AC4729" t="s">
        <v>115</v>
      </c>
      <c r="AD4729">
        <v>3</v>
      </c>
      <c r="AE4729" t="s">
        <v>115</v>
      </c>
      <c r="AF4729">
        <v>0</v>
      </c>
      <c r="AG4729">
        <v>0</v>
      </c>
      <c r="AH4729" t="s">
        <v>116</v>
      </c>
      <c r="AI4729" s="1">
        <v>139073</v>
      </c>
      <c r="AJ4729" s="2">
        <v>0.23</v>
      </c>
      <c r="AK4729" s="1">
        <v>613304</v>
      </c>
      <c r="AL4729" t="s">
        <v>117</v>
      </c>
      <c r="AM4729" t="s">
        <v>191</v>
      </c>
      <c r="AN4729">
        <v>11705</v>
      </c>
      <c r="AO4729">
        <v>0.27</v>
      </c>
      <c r="AP4729">
        <v>1</v>
      </c>
      <c r="AR4729">
        <v>1</v>
      </c>
      <c r="AS4729" s="1">
        <v>46970</v>
      </c>
      <c r="AT4729" s="1">
        <v>9390</v>
      </c>
      <c r="AU4729" s="1">
        <v>37580</v>
      </c>
      <c r="AV4729">
        <v>80.010000000000005</v>
      </c>
      <c r="AX4729" s="1">
        <v>3081.5</v>
      </c>
      <c r="AY4729" t="s">
        <v>8347</v>
      </c>
      <c r="AZ4729" t="s">
        <v>8348</v>
      </c>
      <c r="BA4729" t="s">
        <v>8349</v>
      </c>
      <c r="BE4729" s="3">
        <v>41866</v>
      </c>
      <c r="BF4729" s="1">
        <v>480000</v>
      </c>
      <c r="BG4729" t="s">
        <v>29582</v>
      </c>
      <c r="BH4729" s="1">
        <v>216.02</v>
      </c>
      <c r="BI4729" s="1">
        <v>474231</v>
      </c>
      <c r="BJ4729" s="3">
        <v>41866</v>
      </c>
      <c r="BK4729" t="s">
        <v>123</v>
      </c>
      <c r="BL4729" t="str">
        <f>"2014.539460"</f>
        <v>2014.539460</v>
      </c>
      <c r="BM4729" t="s">
        <v>724</v>
      </c>
      <c r="BO4729" t="s">
        <v>29583</v>
      </c>
      <c r="BS4729">
        <v>30</v>
      </c>
      <c r="BW4729" t="str">
        <f>""</f>
        <v/>
      </c>
      <c r="CH4729" t="str">
        <f>""</f>
        <v/>
      </c>
      <c r="CS4729" t="str">
        <f>""</f>
        <v/>
      </c>
    </row>
    <row r="4730" spans="1:97" x14ac:dyDescent="0.25">
      <c r="A4730" t="s">
        <v>21968</v>
      </c>
      <c r="B4730" t="s">
        <v>29584</v>
      </c>
      <c r="E4730" t="s">
        <v>29585</v>
      </c>
      <c r="F4730" t="s">
        <v>108</v>
      </c>
      <c r="H4730" t="s">
        <v>29586</v>
      </c>
      <c r="I4730" t="s">
        <v>110</v>
      </c>
      <c r="J4730" t="s">
        <v>111</v>
      </c>
      <c r="K4730" t="str">
        <f>"85225"</f>
        <v>85225</v>
      </c>
      <c r="L4730" t="s">
        <v>7626</v>
      </c>
      <c r="M4730" t="s">
        <v>29586</v>
      </c>
      <c r="N4730" t="s">
        <v>110</v>
      </c>
      <c r="O4730" t="s">
        <v>111</v>
      </c>
      <c r="P4730" t="str">
        <f>"85225-5418"</f>
        <v>85225-5418</v>
      </c>
      <c r="Q4730" t="s">
        <v>113</v>
      </c>
      <c r="R4730" t="str">
        <f>"303-69-254"</f>
        <v>303-69-254</v>
      </c>
      <c r="S4730" t="s">
        <v>13560</v>
      </c>
      <c r="T4730" t="s">
        <v>13561</v>
      </c>
      <c r="U4730">
        <v>1839</v>
      </c>
      <c r="V4730">
        <v>0</v>
      </c>
      <c r="W4730">
        <v>3</v>
      </c>
      <c r="X4730">
        <v>1987</v>
      </c>
      <c r="Z4730">
        <v>1</v>
      </c>
      <c r="AA4730" t="s">
        <v>26</v>
      </c>
      <c r="AB4730">
        <v>0</v>
      </c>
      <c r="AC4730" t="s">
        <v>115</v>
      </c>
      <c r="AD4730">
        <v>2</v>
      </c>
      <c r="AE4730" t="s">
        <v>115</v>
      </c>
      <c r="AF4730">
        <v>0</v>
      </c>
      <c r="AG4730">
        <v>0</v>
      </c>
      <c r="AH4730" t="s">
        <v>116</v>
      </c>
      <c r="AI4730" s="1">
        <v>38596</v>
      </c>
      <c r="AJ4730" s="2">
        <v>0.11</v>
      </c>
      <c r="AK4730" s="1">
        <v>346896</v>
      </c>
      <c r="AL4730" t="s">
        <v>117</v>
      </c>
      <c r="AM4730" t="s">
        <v>118</v>
      </c>
      <c r="AN4730">
        <v>11356</v>
      </c>
      <c r="AO4730">
        <v>0.26</v>
      </c>
      <c r="AP4730">
        <v>1</v>
      </c>
      <c r="AR4730">
        <v>1</v>
      </c>
      <c r="AS4730" s="1">
        <v>24080</v>
      </c>
      <c r="AT4730" s="1">
        <v>4810</v>
      </c>
      <c r="AU4730" s="1">
        <v>19270</v>
      </c>
      <c r="AV4730">
        <v>80.02</v>
      </c>
      <c r="AX4730" s="1">
        <v>1811.94</v>
      </c>
      <c r="AY4730" t="s">
        <v>5650</v>
      </c>
      <c r="AZ4730" t="s">
        <v>2906</v>
      </c>
      <c r="BA4730" t="s">
        <v>303</v>
      </c>
      <c r="BE4730" s="3">
        <v>42380</v>
      </c>
      <c r="BF4730" s="1">
        <v>290000</v>
      </c>
      <c r="BG4730" t="s">
        <v>29587</v>
      </c>
      <c r="BH4730" s="1">
        <v>157.69</v>
      </c>
      <c r="BI4730" s="1">
        <v>308300</v>
      </c>
      <c r="BJ4730" s="3">
        <v>43409</v>
      </c>
      <c r="BK4730" t="s">
        <v>123</v>
      </c>
      <c r="BL4730" t="str">
        <f>"2018.824237"</f>
        <v>2018.824237</v>
      </c>
      <c r="BM4730" t="s">
        <v>533</v>
      </c>
      <c r="BN4730" t="s">
        <v>534</v>
      </c>
      <c r="BO4730" t="s">
        <v>29588</v>
      </c>
      <c r="BR4730" t="s">
        <v>139</v>
      </c>
      <c r="BW4730" t="str">
        <f>""</f>
        <v/>
      </c>
      <c r="CH4730" t="str">
        <f>""</f>
        <v/>
      </c>
      <c r="CS4730" t="str">
        <f>""</f>
        <v/>
      </c>
    </row>
    <row r="4731" spans="1:97" x14ac:dyDescent="0.25">
      <c r="B4731" t="s">
        <v>29589</v>
      </c>
      <c r="C4731" t="s">
        <v>29590</v>
      </c>
      <c r="D4731" t="s">
        <v>29591</v>
      </c>
      <c r="E4731" t="s">
        <v>29591</v>
      </c>
      <c r="F4731" t="s">
        <v>139</v>
      </c>
      <c r="H4731" t="s">
        <v>29592</v>
      </c>
      <c r="I4731" t="s">
        <v>5551</v>
      </c>
      <c r="J4731" t="s">
        <v>111</v>
      </c>
      <c r="K4731" t="str">
        <f>"85248"</f>
        <v>85248</v>
      </c>
      <c r="L4731" t="s">
        <v>1070</v>
      </c>
      <c r="M4731" t="s">
        <v>29592</v>
      </c>
      <c r="N4731" t="s">
        <v>5551</v>
      </c>
      <c r="O4731" t="s">
        <v>111</v>
      </c>
      <c r="P4731" t="str">
        <f>"85248-6246"</f>
        <v>85248-6246</v>
      </c>
      <c r="Q4731" t="s">
        <v>113</v>
      </c>
      <c r="R4731" t="str">
        <f>"303-51-694"</f>
        <v>303-51-694</v>
      </c>
      <c r="S4731" t="s">
        <v>29593</v>
      </c>
      <c r="U4731">
        <v>2023</v>
      </c>
      <c r="V4731">
        <v>0</v>
      </c>
      <c r="W4731">
        <v>3</v>
      </c>
      <c r="X4731">
        <v>2000</v>
      </c>
      <c r="Z4731">
        <v>1</v>
      </c>
      <c r="AB4731">
        <v>0</v>
      </c>
      <c r="AC4731" t="s">
        <v>115</v>
      </c>
      <c r="AD4731">
        <v>2</v>
      </c>
      <c r="AE4731" t="s">
        <v>115</v>
      </c>
      <c r="AF4731">
        <v>0</v>
      </c>
      <c r="AG4731">
        <v>0</v>
      </c>
      <c r="AH4731" t="s">
        <v>116</v>
      </c>
      <c r="AI4731" s="1">
        <v>134638</v>
      </c>
      <c r="AJ4731" s="2">
        <v>0.36</v>
      </c>
      <c r="AK4731" s="1">
        <v>374690</v>
      </c>
      <c r="AL4731" t="s">
        <v>117</v>
      </c>
      <c r="AM4731" t="s">
        <v>191</v>
      </c>
      <c r="AN4731">
        <v>8766</v>
      </c>
      <c r="AO4731">
        <v>0.2</v>
      </c>
      <c r="AP4731">
        <v>1</v>
      </c>
      <c r="AR4731">
        <v>1</v>
      </c>
      <c r="AS4731" s="1">
        <v>26270</v>
      </c>
      <c r="AT4731" s="1">
        <v>5250</v>
      </c>
      <c r="AU4731" s="1">
        <v>21020</v>
      </c>
      <c r="AV4731">
        <v>80.02</v>
      </c>
      <c r="AX4731" s="1">
        <v>3013.32</v>
      </c>
      <c r="AY4731" t="s">
        <v>1881</v>
      </c>
      <c r="AZ4731" t="s">
        <v>1882</v>
      </c>
      <c r="BA4731" t="s">
        <v>121</v>
      </c>
      <c r="BB4731" s="3">
        <v>43644</v>
      </c>
      <c r="BC4731" s="1">
        <v>0</v>
      </c>
      <c r="BD4731" t="s">
        <v>247</v>
      </c>
      <c r="BE4731" s="3">
        <v>41796</v>
      </c>
      <c r="BF4731" s="1">
        <v>278000</v>
      </c>
      <c r="BG4731" t="s">
        <v>29594</v>
      </c>
      <c r="BH4731" s="1">
        <v>137.41999999999999</v>
      </c>
      <c r="BI4731" s="1">
        <v>240052</v>
      </c>
      <c r="BJ4731" s="3">
        <v>43644</v>
      </c>
      <c r="BK4731" t="s">
        <v>123</v>
      </c>
      <c r="BL4731" t="str">
        <f>"2019.490780"</f>
        <v>2019.490780</v>
      </c>
      <c r="BM4731" t="s">
        <v>6896</v>
      </c>
      <c r="BN4731" t="s">
        <v>1371</v>
      </c>
      <c r="BO4731" t="s">
        <v>29595</v>
      </c>
      <c r="BP4731" t="s">
        <v>29596</v>
      </c>
      <c r="BR4731" t="s">
        <v>139</v>
      </c>
      <c r="BW4731" t="str">
        <f>""</f>
        <v/>
      </c>
      <c r="CH4731" t="str">
        <f>""</f>
        <v/>
      </c>
      <c r="CS4731" t="str">
        <f>""</f>
        <v/>
      </c>
    </row>
    <row r="4732" spans="1:97" x14ac:dyDescent="0.25">
      <c r="A4732" t="s">
        <v>4863</v>
      </c>
      <c r="B4732" t="s">
        <v>1577</v>
      </c>
      <c r="C4732" t="s">
        <v>29597</v>
      </c>
      <c r="D4732" t="s">
        <v>1577</v>
      </c>
      <c r="E4732" t="s">
        <v>29598</v>
      </c>
      <c r="F4732" t="s">
        <v>108</v>
      </c>
      <c r="H4732" t="s">
        <v>29599</v>
      </c>
      <c r="I4732" t="s">
        <v>499</v>
      </c>
      <c r="J4732" t="s">
        <v>111</v>
      </c>
      <c r="K4732" t="str">
        <f>"85395"</f>
        <v>85395</v>
      </c>
      <c r="L4732" t="s">
        <v>541</v>
      </c>
      <c r="M4732" t="s">
        <v>29599</v>
      </c>
      <c r="N4732" t="s">
        <v>499</v>
      </c>
      <c r="O4732" t="s">
        <v>111</v>
      </c>
      <c r="P4732" t="str">
        <f>"85395-7101"</f>
        <v>85395-7101</v>
      </c>
      <c r="Q4732" t="s">
        <v>113</v>
      </c>
      <c r="R4732" t="str">
        <f>"508-14-871"</f>
        <v>508-14-871</v>
      </c>
      <c r="S4732" t="s">
        <v>7193</v>
      </c>
      <c r="T4732" t="s">
        <v>3018</v>
      </c>
      <c r="U4732">
        <v>3121</v>
      </c>
      <c r="V4732">
        <v>0</v>
      </c>
      <c r="W4732">
        <v>5</v>
      </c>
      <c r="X4732">
        <v>2014</v>
      </c>
      <c r="Z4732">
        <v>1</v>
      </c>
      <c r="AA4732" t="s">
        <v>26</v>
      </c>
      <c r="AB4732">
        <v>0</v>
      </c>
      <c r="AC4732" t="s">
        <v>115</v>
      </c>
      <c r="AD4732">
        <v>3</v>
      </c>
      <c r="AE4732" t="s">
        <v>115</v>
      </c>
      <c r="AF4732">
        <v>0</v>
      </c>
      <c r="AG4732">
        <v>0</v>
      </c>
      <c r="AH4732" t="s">
        <v>116</v>
      </c>
      <c r="AI4732" s="1">
        <v>155208</v>
      </c>
      <c r="AJ4732" s="2">
        <v>0.35</v>
      </c>
      <c r="AK4732" s="1">
        <v>449198</v>
      </c>
      <c r="AL4732" t="s">
        <v>117</v>
      </c>
      <c r="AM4732" t="s">
        <v>118</v>
      </c>
      <c r="AN4732">
        <v>10068</v>
      </c>
      <c r="AO4732">
        <v>0.23</v>
      </c>
      <c r="AR4732">
        <v>1</v>
      </c>
      <c r="AS4732" s="1">
        <v>33860</v>
      </c>
      <c r="AT4732" s="1">
        <v>6770</v>
      </c>
      <c r="AU4732" s="1">
        <v>27090</v>
      </c>
      <c r="AV4732">
        <v>80.010000000000005</v>
      </c>
      <c r="AX4732" s="1">
        <v>3085.76</v>
      </c>
      <c r="AY4732" t="s">
        <v>3019</v>
      </c>
      <c r="AZ4732" t="s">
        <v>3020</v>
      </c>
      <c r="BA4732" t="s">
        <v>218</v>
      </c>
      <c r="BE4732" s="3">
        <v>42122</v>
      </c>
      <c r="BF4732" s="1">
        <v>323990</v>
      </c>
      <c r="BG4732" t="s">
        <v>459</v>
      </c>
      <c r="BH4732" s="1">
        <v>103.81</v>
      </c>
      <c r="BI4732" s="1">
        <v>293990</v>
      </c>
      <c r="BJ4732" s="3">
        <v>42122</v>
      </c>
      <c r="BK4732" t="s">
        <v>123</v>
      </c>
      <c r="BL4732" t="str">
        <f>"2015.293183"</f>
        <v>2015.293183</v>
      </c>
      <c r="BM4732" t="s">
        <v>1866</v>
      </c>
      <c r="BO4732" t="s">
        <v>29600</v>
      </c>
      <c r="BS4732">
        <v>30</v>
      </c>
      <c r="BW4732" t="str">
        <f>""</f>
        <v/>
      </c>
      <c r="CH4732" t="str">
        <f>""</f>
        <v/>
      </c>
      <c r="CS4732" t="str">
        <f>""</f>
        <v/>
      </c>
    </row>
    <row r="4733" spans="1:97" x14ac:dyDescent="0.25">
      <c r="A4733" t="s">
        <v>29601</v>
      </c>
      <c r="B4733" t="s">
        <v>3265</v>
      </c>
      <c r="C4733" t="s">
        <v>489</v>
      </c>
      <c r="D4733" t="s">
        <v>3265</v>
      </c>
      <c r="E4733" t="s">
        <v>29602</v>
      </c>
      <c r="F4733" t="s">
        <v>108</v>
      </c>
      <c r="H4733" t="s">
        <v>29603</v>
      </c>
      <c r="I4733" t="s">
        <v>2874</v>
      </c>
      <c r="J4733" t="s">
        <v>111</v>
      </c>
      <c r="K4733" t="str">
        <f>"85304"</f>
        <v>85304</v>
      </c>
      <c r="L4733" t="s">
        <v>6003</v>
      </c>
      <c r="M4733" t="s">
        <v>29603</v>
      </c>
      <c r="N4733" t="s">
        <v>2874</v>
      </c>
      <c r="O4733" t="s">
        <v>111</v>
      </c>
      <c r="P4733" t="str">
        <f>"85304-4222"</f>
        <v>85304-4222</v>
      </c>
      <c r="Q4733" t="s">
        <v>113</v>
      </c>
      <c r="R4733" t="str">
        <f>"148-26-477"</f>
        <v>148-26-477</v>
      </c>
      <c r="S4733" t="s">
        <v>24362</v>
      </c>
      <c r="U4733">
        <v>1864</v>
      </c>
      <c r="V4733">
        <v>0</v>
      </c>
      <c r="W4733">
        <v>2</v>
      </c>
      <c r="X4733">
        <v>1980</v>
      </c>
      <c r="Z4733">
        <v>1</v>
      </c>
      <c r="AA4733" t="s">
        <v>26</v>
      </c>
      <c r="AB4733">
        <v>0</v>
      </c>
      <c r="AC4733" t="s">
        <v>115</v>
      </c>
      <c r="AD4733">
        <v>2</v>
      </c>
      <c r="AE4733" t="s">
        <v>115</v>
      </c>
      <c r="AF4733">
        <v>0</v>
      </c>
      <c r="AG4733">
        <v>0</v>
      </c>
      <c r="AH4733" t="s">
        <v>116</v>
      </c>
      <c r="AI4733" s="1">
        <v>51119</v>
      </c>
      <c r="AJ4733" s="2">
        <v>0.19</v>
      </c>
      <c r="AK4733" s="1">
        <v>268049</v>
      </c>
      <c r="AL4733" t="s">
        <v>117</v>
      </c>
      <c r="AM4733" t="s">
        <v>191</v>
      </c>
      <c r="AN4733">
        <v>8568</v>
      </c>
      <c r="AO4733">
        <v>0.2</v>
      </c>
      <c r="AP4733">
        <v>1</v>
      </c>
      <c r="AR4733">
        <v>1</v>
      </c>
      <c r="AS4733" s="1">
        <v>17730</v>
      </c>
      <c r="AT4733" s="1">
        <v>3540</v>
      </c>
      <c r="AU4733" s="1">
        <v>14190</v>
      </c>
      <c r="AV4733">
        <v>80.03</v>
      </c>
      <c r="AX4733" s="1">
        <v>1190.06</v>
      </c>
      <c r="AY4733" t="s">
        <v>10931</v>
      </c>
      <c r="AZ4733" t="s">
        <v>10931</v>
      </c>
      <c r="BA4733" t="s">
        <v>8681</v>
      </c>
      <c r="BE4733" s="3">
        <v>42473</v>
      </c>
      <c r="BF4733" s="1">
        <v>210000</v>
      </c>
      <c r="BG4733" t="s">
        <v>29604</v>
      </c>
      <c r="BH4733" s="1">
        <v>112.66</v>
      </c>
      <c r="BI4733" s="1">
        <v>216930</v>
      </c>
      <c r="BJ4733" s="3">
        <v>42473</v>
      </c>
      <c r="BK4733" t="s">
        <v>123</v>
      </c>
      <c r="BL4733" t="str">
        <f>"2016.244777"</f>
        <v>2016.244777</v>
      </c>
      <c r="BM4733" t="s">
        <v>175</v>
      </c>
      <c r="BO4733" t="s">
        <v>29605</v>
      </c>
      <c r="BS4733">
        <v>30</v>
      </c>
      <c r="BW4733" t="str">
        <f>""</f>
        <v/>
      </c>
      <c r="CH4733" t="str">
        <f>""</f>
        <v/>
      </c>
      <c r="CS4733" t="str">
        <f>""</f>
        <v/>
      </c>
    </row>
    <row r="4734" spans="1:97" x14ac:dyDescent="0.25">
      <c r="A4734" t="s">
        <v>15782</v>
      </c>
      <c r="B4734" t="s">
        <v>29606</v>
      </c>
      <c r="C4734" t="s">
        <v>9365</v>
      </c>
      <c r="D4734" t="s">
        <v>29607</v>
      </c>
      <c r="E4734" t="s">
        <v>29608</v>
      </c>
      <c r="F4734" t="s">
        <v>108</v>
      </c>
      <c r="H4734" t="s">
        <v>29609</v>
      </c>
      <c r="I4734" t="s">
        <v>499</v>
      </c>
      <c r="J4734" t="s">
        <v>111</v>
      </c>
      <c r="K4734" t="str">
        <f>"85338"</f>
        <v>85338</v>
      </c>
      <c r="L4734" t="s">
        <v>5775</v>
      </c>
      <c r="M4734" t="s">
        <v>29609</v>
      </c>
      <c r="N4734" t="s">
        <v>499</v>
      </c>
      <c r="O4734" t="s">
        <v>111</v>
      </c>
      <c r="P4734" t="str">
        <f>"85338-3269"</f>
        <v>85338-3269</v>
      </c>
      <c r="Q4734" t="s">
        <v>113</v>
      </c>
      <c r="R4734" t="str">
        <f>"500-10-535"</f>
        <v>500-10-535</v>
      </c>
      <c r="S4734" t="s">
        <v>9551</v>
      </c>
      <c r="T4734" t="s">
        <v>9551</v>
      </c>
      <c r="U4734">
        <v>2406</v>
      </c>
      <c r="V4734">
        <v>0</v>
      </c>
      <c r="W4734">
        <v>4</v>
      </c>
      <c r="X4734">
        <v>2014</v>
      </c>
      <c r="Z4734">
        <v>1</v>
      </c>
      <c r="AB4734">
        <v>0</v>
      </c>
      <c r="AC4734" t="s">
        <v>115</v>
      </c>
      <c r="AD4734">
        <v>3</v>
      </c>
      <c r="AE4734" t="s">
        <v>115</v>
      </c>
      <c r="AF4734">
        <v>0</v>
      </c>
      <c r="AG4734">
        <v>0</v>
      </c>
      <c r="AH4734" t="s">
        <v>116</v>
      </c>
      <c r="AI4734" s="1">
        <v>65891</v>
      </c>
      <c r="AJ4734" s="2">
        <v>0.19</v>
      </c>
      <c r="AK4734" s="1">
        <v>344891</v>
      </c>
      <c r="AL4734" t="s">
        <v>117</v>
      </c>
      <c r="AM4734" t="s">
        <v>118</v>
      </c>
      <c r="AN4734">
        <v>10993</v>
      </c>
      <c r="AO4734">
        <v>0.25</v>
      </c>
      <c r="AR4734">
        <v>1</v>
      </c>
      <c r="AS4734" s="1">
        <v>25560</v>
      </c>
      <c r="AT4734" s="1">
        <v>5110</v>
      </c>
      <c r="AU4734" s="1">
        <v>20450</v>
      </c>
      <c r="AV4734">
        <v>80.010000000000005</v>
      </c>
      <c r="AX4734" s="1">
        <v>2027.36</v>
      </c>
      <c r="AY4734" t="s">
        <v>4311</v>
      </c>
      <c r="AZ4734" t="s">
        <v>4311</v>
      </c>
      <c r="BA4734" t="s">
        <v>7186</v>
      </c>
      <c r="BE4734" s="3">
        <v>41908</v>
      </c>
      <c r="BF4734" s="1">
        <v>283000</v>
      </c>
      <c r="BG4734" t="s">
        <v>158</v>
      </c>
      <c r="BH4734" s="1">
        <v>117.62</v>
      </c>
      <c r="BI4734" s="1">
        <v>279000</v>
      </c>
      <c r="BJ4734" s="3">
        <v>42425</v>
      </c>
      <c r="BK4734" t="s">
        <v>123</v>
      </c>
      <c r="BL4734" t="str">
        <f>"2016.120156"</f>
        <v>2016.120156</v>
      </c>
      <c r="BM4734" t="s">
        <v>8916</v>
      </c>
      <c r="BO4734" t="s">
        <v>29610</v>
      </c>
      <c r="BP4734" t="s">
        <v>29611</v>
      </c>
      <c r="BS4734">
        <v>30</v>
      </c>
      <c r="BW4734" t="str">
        <f>""</f>
        <v/>
      </c>
      <c r="CH4734" t="str">
        <f>""</f>
        <v/>
      </c>
      <c r="CS4734" t="str">
        <f>""</f>
        <v/>
      </c>
    </row>
    <row r="4735" spans="1:97" x14ac:dyDescent="0.25">
      <c r="A4735" t="s">
        <v>1774</v>
      </c>
      <c r="B4735" t="s">
        <v>12881</v>
      </c>
      <c r="E4735" t="s">
        <v>29612</v>
      </c>
      <c r="F4735" t="s">
        <v>108</v>
      </c>
      <c r="H4735" t="s">
        <v>29613</v>
      </c>
      <c r="I4735" t="s">
        <v>499</v>
      </c>
      <c r="J4735" t="s">
        <v>111</v>
      </c>
      <c r="K4735" t="str">
        <f>"85338"</f>
        <v>85338</v>
      </c>
      <c r="L4735" t="s">
        <v>6416</v>
      </c>
      <c r="M4735" t="s">
        <v>29613</v>
      </c>
      <c r="N4735" t="s">
        <v>499</v>
      </c>
      <c r="O4735" t="s">
        <v>111</v>
      </c>
      <c r="P4735" t="str">
        <f>"85338-3205"</f>
        <v>85338-3205</v>
      </c>
      <c r="Q4735" t="s">
        <v>113</v>
      </c>
      <c r="R4735" t="str">
        <f>"500-90-633"</f>
        <v>500-90-633</v>
      </c>
      <c r="S4735" t="s">
        <v>28107</v>
      </c>
      <c r="U4735">
        <v>1997</v>
      </c>
      <c r="V4735">
        <v>0</v>
      </c>
      <c r="W4735">
        <v>3</v>
      </c>
      <c r="X4735">
        <v>2004</v>
      </c>
      <c r="Z4735">
        <v>1</v>
      </c>
      <c r="AB4735">
        <v>0</v>
      </c>
      <c r="AC4735" t="s">
        <v>115</v>
      </c>
      <c r="AD4735">
        <v>2</v>
      </c>
      <c r="AE4735" t="s">
        <v>115</v>
      </c>
      <c r="AF4735">
        <v>0</v>
      </c>
      <c r="AG4735">
        <v>0</v>
      </c>
      <c r="AH4735" t="s">
        <v>116</v>
      </c>
      <c r="AI4735" s="1">
        <v>60116</v>
      </c>
      <c r="AJ4735" s="2">
        <v>0.23</v>
      </c>
      <c r="AK4735" s="1">
        <v>262116</v>
      </c>
      <c r="AL4735" t="s">
        <v>117</v>
      </c>
      <c r="AM4735" t="s">
        <v>118</v>
      </c>
      <c r="AN4735">
        <v>7131</v>
      </c>
      <c r="AO4735">
        <v>0.16</v>
      </c>
      <c r="AP4735">
        <v>1</v>
      </c>
      <c r="AR4735">
        <v>1</v>
      </c>
      <c r="AS4735" s="1">
        <v>18220</v>
      </c>
      <c r="AT4735" s="1">
        <v>3640</v>
      </c>
      <c r="AU4735" s="1">
        <v>14580</v>
      </c>
      <c r="AV4735">
        <v>80.02</v>
      </c>
      <c r="AX4735" s="1">
        <v>1411</v>
      </c>
      <c r="AY4735" t="s">
        <v>11177</v>
      </c>
      <c r="AZ4735" t="s">
        <v>11177</v>
      </c>
      <c r="BA4735" t="s">
        <v>7186</v>
      </c>
      <c r="BE4735" s="3">
        <v>42530</v>
      </c>
      <c r="BF4735" s="1">
        <v>205000</v>
      </c>
      <c r="BG4735" t="s">
        <v>29614</v>
      </c>
      <c r="BH4735" s="1">
        <v>102.65</v>
      </c>
      <c r="BI4735" s="1">
        <v>202000</v>
      </c>
      <c r="BJ4735" s="3">
        <v>42530</v>
      </c>
      <c r="BK4735" t="s">
        <v>123</v>
      </c>
      <c r="BL4735" t="str">
        <f>"2016.400096"</f>
        <v>2016.400096</v>
      </c>
      <c r="BM4735" t="s">
        <v>3810</v>
      </c>
      <c r="BO4735" t="s">
        <v>29615</v>
      </c>
      <c r="BS4735">
        <v>30</v>
      </c>
      <c r="BW4735" t="str">
        <f>""</f>
        <v/>
      </c>
      <c r="CH4735" t="str">
        <f>""</f>
        <v/>
      </c>
      <c r="CS4735" t="str">
        <f>""</f>
        <v/>
      </c>
    </row>
    <row r="4736" spans="1:97" x14ac:dyDescent="0.25">
      <c r="A4736" t="s">
        <v>1755</v>
      </c>
      <c r="B4736" t="s">
        <v>29616</v>
      </c>
      <c r="E4736" t="s">
        <v>29617</v>
      </c>
      <c r="F4736" t="s">
        <v>108</v>
      </c>
      <c r="H4736" t="s">
        <v>29618</v>
      </c>
      <c r="I4736" t="s">
        <v>110</v>
      </c>
      <c r="J4736" t="s">
        <v>111</v>
      </c>
      <c r="K4736" t="str">
        <f>"85225"</f>
        <v>85225</v>
      </c>
      <c r="L4736" t="s">
        <v>1244</v>
      </c>
      <c r="M4736" t="s">
        <v>29618</v>
      </c>
      <c r="N4736" t="s">
        <v>110</v>
      </c>
      <c r="O4736" t="s">
        <v>111</v>
      </c>
      <c r="P4736" t="str">
        <f>"85225-2830"</f>
        <v>85225-2830</v>
      </c>
      <c r="Q4736" t="s">
        <v>113</v>
      </c>
      <c r="R4736" t="str">
        <f>"303-71-342"</f>
        <v>303-71-342</v>
      </c>
      <c r="S4736" t="s">
        <v>3184</v>
      </c>
      <c r="T4736" t="s">
        <v>3184</v>
      </c>
      <c r="U4736">
        <v>1713</v>
      </c>
      <c r="V4736">
        <v>0</v>
      </c>
      <c r="W4736">
        <v>3</v>
      </c>
      <c r="X4736">
        <v>1999</v>
      </c>
      <c r="Z4736">
        <v>1</v>
      </c>
      <c r="AA4736" t="s">
        <v>26</v>
      </c>
      <c r="AB4736">
        <v>0</v>
      </c>
      <c r="AC4736" t="s">
        <v>115</v>
      </c>
      <c r="AD4736">
        <v>2</v>
      </c>
      <c r="AE4736" t="s">
        <v>115</v>
      </c>
      <c r="AF4736">
        <v>0</v>
      </c>
      <c r="AG4736">
        <v>0</v>
      </c>
      <c r="AH4736" t="s">
        <v>116</v>
      </c>
      <c r="AI4736" s="1">
        <v>61511</v>
      </c>
      <c r="AJ4736" s="2">
        <v>0.18</v>
      </c>
      <c r="AK4736" s="1">
        <v>333946</v>
      </c>
      <c r="AL4736" t="s">
        <v>117</v>
      </c>
      <c r="AM4736" t="s">
        <v>5077</v>
      </c>
      <c r="AN4736">
        <v>9185</v>
      </c>
      <c r="AO4736">
        <v>0.21</v>
      </c>
      <c r="AP4736">
        <v>1</v>
      </c>
      <c r="AR4736">
        <v>1</v>
      </c>
      <c r="AS4736" s="1">
        <v>24670</v>
      </c>
      <c r="AT4736" s="1">
        <v>4930</v>
      </c>
      <c r="AU4736" s="1">
        <v>19740</v>
      </c>
      <c r="AV4736">
        <v>80.02</v>
      </c>
      <c r="AX4736" s="1">
        <v>1902.36</v>
      </c>
      <c r="AY4736" t="s">
        <v>3185</v>
      </c>
      <c r="AZ4736" t="s">
        <v>2906</v>
      </c>
      <c r="BA4736" t="s">
        <v>303</v>
      </c>
      <c r="BE4736" s="3">
        <v>42447</v>
      </c>
      <c r="BF4736" s="1">
        <v>248000</v>
      </c>
      <c r="BG4736" t="s">
        <v>29619</v>
      </c>
      <c r="BH4736" s="1">
        <v>144.78</v>
      </c>
      <c r="BI4736" s="1">
        <v>272435</v>
      </c>
      <c r="BJ4736" s="3">
        <v>43385</v>
      </c>
      <c r="BK4736" t="s">
        <v>123</v>
      </c>
      <c r="BL4736" t="str">
        <f>"2018.767878"</f>
        <v>2018.767878</v>
      </c>
      <c r="BM4736" t="s">
        <v>2489</v>
      </c>
      <c r="BN4736" t="s">
        <v>4819</v>
      </c>
      <c r="BO4736" t="s">
        <v>29617</v>
      </c>
      <c r="BR4736" t="s">
        <v>139</v>
      </c>
      <c r="BW4736" t="str">
        <f>""</f>
        <v/>
      </c>
      <c r="CH4736" t="str">
        <f>""</f>
        <v/>
      </c>
      <c r="CS4736" t="str">
        <f>""</f>
        <v/>
      </c>
    </row>
    <row r="4737" spans="1:97" x14ac:dyDescent="0.25">
      <c r="A4737" t="s">
        <v>7602</v>
      </c>
      <c r="B4737" t="s">
        <v>29620</v>
      </c>
      <c r="C4737" t="s">
        <v>1496</v>
      </c>
      <c r="D4737" t="s">
        <v>29621</v>
      </c>
      <c r="E4737" t="s">
        <v>29622</v>
      </c>
      <c r="F4737" t="s">
        <v>108</v>
      </c>
      <c r="H4737" t="s">
        <v>29623</v>
      </c>
      <c r="I4737" t="s">
        <v>110</v>
      </c>
      <c r="J4737" t="s">
        <v>111</v>
      </c>
      <c r="K4737" t="str">
        <f>"85249"</f>
        <v>85249</v>
      </c>
      <c r="L4737" t="s">
        <v>3696</v>
      </c>
      <c r="M4737" t="s">
        <v>29623</v>
      </c>
      <c r="N4737" t="s">
        <v>110</v>
      </c>
      <c r="O4737" t="s">
        <v>111</v>
      </c>
      <c r="P4737" t="str">
        <f>"85249-5016"</f>
        <v>85249-5016</v>
      </c>
      <c r="Q4737" t="s">
        <v>113</v>
      </c>
      <c r="R4737" t="str">
        <f>"303-89-158"</f>
        <v>303-89-158</v>
      </c>
      <c r="S4737" t="s">
        <v>18977</v>
      </c>
      <c r="U4737">
        <v>3409</v>
      </c>
      <c r="V4737">
        <v>0</v>
      </c>
      <c r="W4737">
        <v>4</v>
      </c>
      <c r="X4737">
        <v>2001</v>
      </c>
      <c r="Z4737">
        <v>2</v>
      </c>
      <c r="AA4737" t="s">
        <v>26</v>
      </c>
      <c r="AB4737">
        <v>0</v>
      </c>
      <c r="AC4737" t="s">
        <v>115</v>
      </c>
      <c r="AD4737">
        <v>3</v>
      </c>
      <c r="AE4737" t="s">
        <v>115</v>
      </c>
      <c r="AF4737">
        <v>0</v>
      </c>
      <c r="AG4737">
        <v>0</v>
      </c>
      <c r="AH4737" t="s">
        <v>116</v>
      </c>
      <c r="AI4737" s="1">
        <v>73031</v>
      </c>
      <c r="AJ4737" s="2">
        <v>0.16</v>
      </c>
      <c r="AK4737" s="1">
        <v>461955</v>
      </c>
      <c r="AL4737" t="s">
        <v>117</v>
      </c>
      <c r="AM4737" t="s">
        <v>118</v>
      </c>
      <c r="AN4737">
        <v>10370</v>
      </c>
      <c r="AO4737">
        <v>0.24</v>
      </c>
      <c r="AP4737">
        <v>1</v>
      </c>
      <c r="AR4737">
        <v>1</v>
      </c>
      <c r="AS4737" s="1">
        <v>33250</v>
      </c>
      <c r="AT4737" s="1">
        <v>6650</v>
      </c>
      <c r="AU4737" s="1">
        <v>26600</v>
      </c>
      <c r="AV4737">
        <v>80</v>
      </c>
      <c r="AX4737" s="1">
        <v>2919.46</v>
      </c>
      <c r="AY4737" t="s">
        <v>5050</v>
      </c>
      <c r="AZ4737" t="s">
        <v>120</v>
      </c>
      <c r="BA4737" t="s">
        <v>274</v>
      </c>
      <c r="BE4737" s="3">
        <v>42201</v>
      </c>
      <c r="BF4737" s="1">
        <v>376500</v>
      </c>
      <c r="BG4737" t="s">
        <v>29624</v>
      </c>
      <c r="BH4737" s="1">
        <v>110.44</v>
      </c>
      <c r="BI4737" s="1">
        <v>388924</v>
      </c>
      <c r="BJ4737" s="3">
        <v>42201</v>
      </c>
      <c r="BK4737" t="s">
        <v>123</v>
      </c>
      <c r="BL4737" t="str">
        <f>"2015.514279"</f>
        <v>2015.514279</v>
      </c>
      <c r="BM4737" t="s">
        <v>709</v>
      </c>
      <c r="BO4737" t="s">
        <v>29625</v>
      </c>
      <c r="BP4737" t="s">
        <v>29626</v>
      </c>
      <c r="BS4737">
        <v>30</v>
      </c>
      <c r="BW4737" t="str">
        <f>""</f>
        <v/>
      </c>
      <c r="CH4737" t="str">
        <f>""</f>
        <v/>
      </c>
      <c r="CS4737" t="str">
        <f>""</f>
        <v/>
      </c>
    </row>
    <row r="4738" spans="1:97" x14ac:dyDescent="0.25">
      <c r="A4738" t="s">
        <v>29627</v>
      </c>
      <c r="B4738" t="s">
        <v>17714</v>
      </c>
      <c r="C4738" t="s">
        <v>2435</v>
      </c>
      <c r="D4738" t="s">
        <v>17714</v>
      </c>
      <c r="E4738" t="s">
        <v>29628</v>
      </c>
      <c r="F4738" t="s">
        <v>108</v>
      </c>
      <c r="H4738" t="s">
        <v>29629</v>
      </c>
      <c r="I4738" t="s">
        <v>3150</v>
      </c>
      <c r="J4738" t="s">
        <v>111</v>
      </c>
      <c r="K4738" t="str">
        <f>"85340"</f>
        <v>85340</v>
      </c>
      <c r="L4738" t="s">
        <v>2765</v>
      </c>
      <c r="M4738" t="s">
        <v>29629</v>
      </c>
      <c r="N4738" t="s">
        <v>3150</v>
      </c>
      <c r="O4738" t="s">
        <v>111</v>
      </c>
      <c r="P4738" t="str">
        <f>"85340-5233"</f>
        <v>85340-5233</v>
      </c>
      <c r="Q4738" t="s">
        <v>113</v>
      </c>
      <c r="R4738" t="str">
        <f>"502-29-220"</f>
        <v>502-29-220</v>
      </c>
      <c r="S4738" t="s">
        <v>29630</v>
      </c>
      <c r="T4738" t="s">
        <v>29631</v>
      </c>
      <c r="U4738">
        <v>3798</v>
      </c>
      <c r="V4738">
        <v>0</v>
      </c>
      <c r="W4738">
        <v>4</v>
      </c>
      <c r="X4738">
        <v>2006</v>
      </c>
      <c r="Z4738">
        <v>1</v>
      </c>
      <c r="AB4738">
        <v>0</v>
      </c>
      <c r="AC4738" t="s">
        <v>115</v>
      </c>
      <c r="AD4738">
        <v>3</v>
      </c>
      <c r="AE4738" t="s">
        <v>115</v>
      </c>
      <c r="AF4738">
        <v>0</v>
      </c>
      <c r="AG4738">
        <v>0</v>
      </c>
      <c r="AH4738" t="s">
        <v>116</v>
      </c>
      <c r="AI4738" s="1">
        <v>157065</v>
      </c>
      <c r="AJ4738" s="2">
        <v>0.27</v>
      </c>
      <c r="AK4738" s="1">
        <v>579609</v>
      </c>
      <c r="AL4738" t="s">
        <v>117</v>
      </c>
      <c r="AM4738" t="s">
        <v>616</v>
      </c>
      <c r="AN4738">
        <v>16620</v>
      </c>
      <c r="AO4738">
        <v>0.38</v>
      </c>
      <c r="AR4738">
        <v>1</v>
      </c>
      <c r="AS4738" s="1">
        <v>40950</v>
      </c>
      <c r="AT4738" s="1">
        <v>8190</v>
      </c>
      <c r="AU4738" s="1">
        <v>32760</v>
      </c>
      <c r="AV4738">
        <v>80</v>
      </c>
      <c r="AX4738" s="1">
        <v>2379.4</v>
      </c>
      <c r="AY4738" t="s">
        <v>503</v>
      </c>
      <c r="AZ4738" t="s">
        <v>504</v>
      </c>
      <c r="BA4738" t="s">
        <v>218</v>
      </c>
      <c r="BE4738" s="3">
        <v>42515</v>
      </c>
      <c r="BF4738" s="1">
        <v>461300</v>
      </c>
      <c r="BG4738" t="s">
        <v>29632</v>
      </c>
      <c r="BH4738" s="1">
        <v>121.46</v>
      </c>
      <c r="BI4738" s="1">
        <v>422544</v>
      </c>
      <c r="BJ4738" s="3">
        <v>42515</v>
      </c>
      <c r="BK4738" t="s">
        <v>123</v>
      </c>
      <c r="BL4738" t="str">
        <f>"2016.360766"</f>
        <v>2016.360766</v>
      </c>
      <c r="BM4738" t="s">
        <v>2368</v>
      </c>
      <c r="BO4738" t="s">
        <v>29633</v>
      </c>
      <c r="BS4738">
        <v>30</v>
      </c>
      <c r="BW4738" t="str">
        <f>""</f>
        <v/>
      </c>
      <c r="CH4738" t="str">
        <f>""</f>
        <v/>
      </c>
      <c r="CS4738" t="str">
        <f>""</f>
        <v/>
      </c>
    </row>
    <row r="4739" spans="1:97" x14ac:dyDescent="0.25">
      <c r="A4739" t="s">
        <v>29634</v>
      </c>
      <c r="B4739" t="s">
        <v>713</v>
      </c>
      <c r="C4739" t="s">
        <v>29635</v>
      </c>
      <c r="D4739" t="s">
        <v>713</v>
      </c>
      <c r="E4739" t="s">
        <v>29636</v>
      </c>
      <c r="F4739" t="s">
        <v>108</v>
      </c>
      <c r="H4739" t="s">
        <v>29637</v>
      </c>
      <c r="I4739" t="s">
        <v>225</v>
      </c>
      <c r="J4739" t="s">
        <v>111</v>
      </c>
      <c r="K4739" t="str">
        <f>"85215"</f>
        <v>85215</v>
      </c>
      <c r="L4739" t="s">
        <v>3318</v>
      </c>
      <c r="M4739" t="s">
        <v>29637</v>
      </c>
      <c r="N4739" t="s">
        <v>225</v>
      </c>
      <c r="O4739" t="s">
        <v>111</v>
      </c>
      <c r="P4739" t="str">
        <f>"85215-9641"</f>
        <v>85215-9641</v>
      </c>
      <c r="Q4739" t="s">
        <v>113</v>
      </c>
      <c r="R4739" t="str">
        <f>"141-70-089"</f>
        <v>141-70-089</v>
      </c>
      <c r="S4739" t="s">
        <v>14217</v>
      </c>
      <c r="T4739" t="s">
        <v>14218</v>
      </c>
      <c r="U4739">
        <v>1769</v>
      </c>
      <c r="V4739">
        <v>0</v>
      </c>
      <c r="W4739">
        <v>3</v>
      </c>
      <c r="X4739">
        <v>1990</v>
      </c>
      <c r="Z4739">
        <v>1</v>
      </c>
      <c r="AA4739" t="s">
        <v>26</v>
      </c>
      <c r="AB4739">
        <v>0</v>
      </c>
      <c r="AC4739" t="s">
        <v>115</v>
      </c>
      <c r="AD4739">
        <v>3</v>
      </c>
      <c r="AE4739" t="s">
        <v>115</v>
      </c>
      <c r="AF4739">
        <v>0</v>
      </c>
      <c r="AG4739">
        <v>0</v>
      </c>
      <c r="AH4739" t="s">
        <v>116</v>
      </c>
      <c r="AI4739" s="1">
        <v>60809</v>
      </c>
      <c r="AJ4739" s="2">
        <v>0.17</v>
      </c>
      <c r="AK4739" s="1">
        <v>359085</v>
      </c>
      <c r="AL4739" t="s">
        <v>117</v>
      </c>
      <c r="AM4739" t="s">
        <v>917</v>
      </c>
      <c r="AN4739">
        <v>8571</v>
      </c>
      <c r="AO4739">
        <v>0.2</v>
      </c>
      <c r="AP4739">
        <v>1</v>
      </c>
      <c r="AR4739">
        <v>1</v>
      </c>
      <c r="AS4739" s="1">
        <v>26660</v>
      </c>
      <c r="AT4739" s="1">
        <v>5330</v>
      </c>
      <c r="AU4739" s="1">
        <v>21330</v>
      </c>
      <c r="AV4739">
        <v>80.010000000000005</v>
      </c>
      <c r="AX4739" s="1">
        <v>2458.94</v>
      </c>
      <c r="AY4739" t="s">
        <v>6662</v>
      </c>
      <c r="AZ4739" t="s">
        <v>5275</v>
      </c>
      <c r="BA4739" t="s">
        <v>3119</v>
      </c>
      <c r="BE4739" s="3">
        <v>42359</v>
      </c>
      <c r="BF4739" s="1">
        <v>290000</v>
      </c>
      <c r="BG4739" t="s">
        <v>29638</v>
      </c>
      <c r="BH4739" s="1">
        <v>163.93</v>
      </c>
      <c r="BI4739" s="1">
        <v>298276</v>
      </c>
      <c r="BJ4739" s="3">
        <v>42691</v>
      </c>
      <c r="BK4739" t="s">
        <v>123</v>
      </c>
      <c r="BL4739" t="str">
        <f>"2016.848606"</f>
        <v>2016.848606</v>
      </c>
      <c r="BM4739" t="s">
        <v>425</v>
      </c>
      <c r="BO4739" t="s">
        <v>29639</v>
      </c>
      <c r="BS4739">
        <v>30</v>
      </c>
      <c r="BW4739" t="str">
        <f>""</f>
        <v/>
      </c>
      <c r="CH4739" t="str">
        <f>""</f>
        <v/>
      </c>
      <c r="CS4739" t="str">
        <f>""</f>
        <v/>
      </c>
    </row>
    <row r="4740" spans="1:97" x14ac:dyDescent="0.25">
      <c r="A4740" t="s">
        <v>1850</v>
      </c>
      <c r="B4740" t="s">
        <v>29640</v>
      </c>
      <c r="C4740" t="s">
        <v>29641</v>
      </c>
      <c r="D4740" t="s">
        <v>29642</v>
      </c>
      <c r="E4740" t="s">
        <v>29643</v>
      </c>
      <c r="F4740" t="s">
        <v>108</v>
      </c>
      <c r="H4740" t="s">
        <v>29644</v>
      </c>
      <c r="I4740" t="s">
        <v>5387</v>
      </c>
      <c r="J4740" t="s">
        <v>111</v>
      </c>
      <c r="K4740" t="str">
        <f>"85283"</f>
        <v>85283</v>
      </c>
      <c r="L4740" t="s">
        <v>6460</v>
      </c>
      <c r="M4740" t="s">
        <v>29644</v>
      </c>
      <c r="N4740" t="s">
        <v>5387</v>
      </c>
      <c r="O4740" t="s">
        <v>111</v>
      </c>
      <c r="P4740" t="str">
        <f>"85283-3926"</f>
        <v>85283-3926</v>
      </c>
      <c r="Q4740" t="s">
        <v>113</v>
      </c>
      <c r="R4740" t="str">
        <f>"301-48-838"</f>
        <v>301-48-838</v>
      </c>
      <c r="S4740" t="s">
        <v>13005</v>
      </c>
      <c r="T4740" t="s">
        <v>13006</v>
      </c>
      <c r="U4740">
        <v>2164</v>
      </c>
      <c r="V4740">
        <v>0</v>
      </c>
      <c r="W4740">
        <v>2</v>
      </c>
      <c r="X4740">
        <v>1980</v>
      </c>
      <c r="Z4740">
        <v>1</v>
      </c>
      <c r="AA4740" t="s">
        <v>26</v>
      </c>
      <c r="AB4740">
        <v>0</v>
      </c>
      <c r="AC4740" t="s">
        <v>115</v>
      </c>
      <c r="AD4740">
        <v>2</v>
      </c>
      <c r="AE4740" t="s">
        <v>115</v>
      </c>
      <c r="AF4740">
        <v>0</v>
      </c>
      <c r="AG4740">
        <v>0</v>
      </c>
      <c r="AH4740" t="s">
        <v>116</v>
      </c>
      <c r="AI4740" s="1">
        <v>90057</v>
      </c>
      <c r="AJ4740" s="2">
        <v>0.24</v>
      </c>
      <c r="AK4740" s="1">
        <v>373619</v>
      </c>
      <c r="AL4740" t="s">
        <v>117</v>
      </c>
      <c r="AM4740" t="s">
        <v>191</v>
      </c>
      <c r="AN4740">
        <v>10542</v>
      </c>
      <c r="AO4740">
        <v>0.24</v>
      </c>
      <c r="AP4740">
        <v>1</v>
      </c>
      <c r="AR4740">
        <v>1</v>
      </c>
      <c r="AS4740" s="1">
        <v>27170</v>
      </c>
      <c r="AT4740" s="1">
        <v>5430</v>
      </c>
      <c r="AU4740" s="1">
        <v>21740</v>
      </c>
      <c r="AV4740">
        <v>80.010000000000005</v>
      </c>
      <c r="AX4740" s="1">
        <v>2367.2800000000002</v>
      </c>
      <c r="AY4740" t="s">
        <v>5390</v>
      </c>
      <c r="AZ4740" t="s">
        <v>5391</v>
      </c>
      <c r="BA4740" t="s">
        <v>5392</v>
      </c>
      <c r="BE4740" s="3">
        <v>42185</v>
      </c>
      <c r="BF4740" s="1">
        <v>288000</v>
      </c>
      <c r="BG4740" t="s">
        <v>29645</v>
      </c>
      <c r="BH4740" s="1">
        <v>133.09</v>
      </c>
      <c r="BI4740" s="1">
        <v>283562</v>
      </c>
      <c r="BJ4740" s="3">
        <v>42571</v>
      </c>
      <c r="BK4740" t="s">
        <v>123</v>
      </c>
      <c r="BL4740" t="str">
        <f>"2016.510191"</f>
        <v>2016.510191</v>
      </c>
      <c r="BM4740" t="s">
        <v>724</v>
      </c>
      <c r="BO4740" t="s">
        <v>29646</v>
      </c>
      <c r="BP4740" t="s">
        <v>29647</v>
      </c>
      <c r="BS4740">
        <v>30</v>
      </c>
      <c r="BW4740" t="str">
        <f>""</f>
        <v/>
      </c>
      <c r="CH4740" t="str">
        <f>""</f>
        <v/>
      </c>
      <c r="CS4740" t="str">
        <f>""</f>
        <v/>
      </c>
    </row>
    <row r="4741" spans="1:97" x14ac:dyDescent="0.25">
      <c r="A4741" t="s">
        <v>1421</v>
      </c>
      <c r="B4741" t="s">
        <v>29648</v>
      </c>
      <c r="C4741" t="s">
        <v>328</v>
      </c>
      <c r="D4741" t="s">
        <v>29648</v>
      </c>
      <c r="E4741" t="s">
        <v>29649</v>
      </c>
      <c r="F4741" t="s">
        <v>108</v>
      </c>
      <c r="H4741" t="s">
        <v>29650</v>
      </c>
      <c r="I4741" t="s">
        <v>188</v>
      </c>
      <c r="J4741" t="s">
        <v>111</v>
      </c>
      <c r="K4741" t="str">
        <f>"85142"</f>
        <v>85142</v>
      </c>
      <c r="L4741" t="s">
        <v>625</v>
      </c>
      <c r="M4741" t="s">
        <v>29650</v>
      </c>
      <c r="N4741" t="s">
        <v>188</v>
      </c>
      <c r="O4741" t="s">
        <v>111</v>
      </c>
      <c r="P4741" t="str">
        <f>"85142-7567"</f>
        <v>85142-7567</v>
      </c>
      <c r="Q4741" t="s">
        <v>113</v>
      </c>
      <c r="R4741" t="str">
        <f>"304-64-573"</f>
        <v>304-64-573</v>
      </c>
      <c r="S4741" t="s">
        <v>12959</v>
      </c>
      <c r="T4741" t="s">
        <v>12959</v>
      </c>
      <c r="U4741">
        <v>3421</v>
      </c>
      <c r="V4741">
        <v>0</v>
      </c>
      <c r="W4741">
        <v>4</v>
      </c>
      <c r="X4741">
        <v>2014</v>
      </c>
      <c r="Z4741">
        <v>1</v>
      </c>
      <c r="AB4741">
        <v>0</v>
      </c>
      <c r="AC4741" t="s">
        <v>115</v>
      </c>
      <c r="AD4741">
        <v>3</v>
      </c>
      <c r="AE4741" t="s">
        <v>115</v>
      </c>
      <c r="AF4741">
        <v>0</v>
      </c>
      <c r="AG4741">
        <v>0</v>
      </c>
      <c r="AH4741" t="s">
        <v>116</v>
      </c>
      <c r="AI4741" s="1">
        <v>151198</v>
      </c>
      <c r="AJ4741" s="2">
        <v>0.24</v>
      </c>
      <c r="AK4741" s="1">
        <v>623523</v>
      </c>
      <c r="AL4741" t="s">
        <v>117</v>
      </c>
      <c r="AM4741" t="s">
        <v>1521</v>
      </c>
      <c r="AN4741">
        <v>27987</v>
      </c>
      <c r="AO4741">
        <v>0.64</v>
      </c>
      <c r="AR4741">
        <v>1</v>
      </c>
      <c r="AS4741" s="1">
        <v>47350</v>
      </c>
      <c r="AT4741" s="1">
        <v>9470</v>
      </c>
      <c r="AU4741" s="1">
        <v>37880</v>
      </c>
      <c r="AV4741">
        <v>80</v>
      </c>
      <c r="AX4741" s="1">
        <v>4748.8599999999997</v>
      </c>
      <c r="AY4741" t="s">
        <v>560</v>
      </c>
      <c r="AZ4741" t="s">
        <v>561</v>
      </c>
      <c r="BA4741" t="s">
        <v>194</v>
      </c>
      <c r="BE4741" s="3">
        <v>42040</v>
      </c>
      <c r="BF4741" s="1">
        <v>490690</v>
      </c>
      <c r="BG4741" t="s">
        <v>122</v>
      </c>
      <c r="BH4741" s="1">
        <v>143.43</v>
      </c>
      <c r="BI4741" s="1">
        <v>472325</v>
      </c>
      <c r="BJ4741" s="3">
        <v>42468</v>
      </c>
      <c r="BK4741" t="s">
        <v>123</v>
      </c>
      <c r="BL4741" t="str">
        <f>"2016.231992"</f>
        <v>2016.231992</v>
      </c>
      <c r="BM4741" t="s">
        <v>402</v>
      </c>
      <c r="BO4741" t="s">
        <v>29651</v>
      </c>
      <c r="BS4741">
        <v>30</v>
      </c>
      <c r="BW4741" t="str">
        <f>""</f>
        <v/>
      </c>
      <c r="CH4741" t="str">
        <f>""</f>
        <v/>
      </c>
      <c r="CS4741" t="str">
        <f>""</f>
        <v/>
      </c>
    </row>
    <row r="4742" spans="1:97" x14ac:dyDescent="0.25">
      <c r="A4742" t="s">
        <v>1735</v>
      </c>
      <c r="B4742" t="s">
        <v>2522</v>
      </c>
      <c r="E4742" t="s">
        <v>29652</v>
      </c>
      <c r="F4742" t="s">
        <v>108</v>
      </c>
      <c r="H4742" t="s">
        <v>29653</v>
      </c>
      <c r="I4742" t="s">
        <v>203</v>
      </c>
      <c r="J4742" t="s">
        <v>111</v>
      </c>
      <c r="K4742" t="str">
        <f>"85295"</f>
        <v>85295</v>
      </c>
      <c r="L4742" t="s">
        <v>417</v>
      </c>
      <c r="M4742" t="s">
        <v>29653</v>
      </c>
      <c r="N4742" t="s">
        <v>203</v>
      </c>
      <c r="O4742" t="s">
        <v>111</v>
      </c>
      <c r="P4742" t="str">
        <f>"85295-9112"</f>
        <v>85295-9112</v>
      </c>
      <c r="Q4742" t="s">
        <v>113</v>
      </c>
      <c r="R4742" t="str">
        <f>"304-40-126"</f>
        <v>304-40-126</v>
      </c>
      <c r="S4742" t="s">
        <v>29654</v>
      </c>
      <c r="U4742">
        <v>1680</v>
      </c>
      <c r="V4742">
        <v>0</v>
      </c>
      <c r="W4742">
        <v>3</v>
      </c>
      <c r="X4742">
        <v>2002</v>
      </c>
      <c r="Z4742">
        <v>1</v>
      </c>
      <c r="AB4742">
        <v>0</v>
      </c>
      <c r="AC4742" t="s">
        <v>115</v>
      </c>
      <c r="AD4742">
        <v>3</v>
      </c>
      <c r="AE4742" t="s">
        <v>115</v>
      </c>
      <c r="AF4742">
        <v>0</v>
      </c>
      <c r="AG4742">
        <v>0</v>
      </c>
      <c r="AH4742" t="s">
        <v>116</v>
      </c>
      <c r="AI4742" s="1">
        <v>81686</v>
      </c>
      <c r="AJ4742" s="2">
        <v>0.25</v>
      </c>
      <c r="AK4742" s="1">
        <v>326686</v>
      </c>
      <c r="AL4742" t="s">
        <v>117</v>
      </c>
      <c r="AM4742" t="s">
        <v>393</v>
      </c>
      <c r="AN4742">
        <v>7845</v>
      </c>
      <c r="AO4742">
        <v>0.18</v>
      </c>
      <c r="AP4742">
        <v>1</v>
      </c>
      <c r="AR4742">
        <v>1</v>
      </c>
      <c r="AS4742" s="1">
        <v>22510</v>
      </c>
      <c r="AT4742" s="1">
        <v>4500</v>
      </c>
      <c r="AU4742" s="1">
        <v>18010</v>
      </c>
      <c r="AV4742">
        <v>80.010000000000005</v>
      </c>
      <c r="AX4742" s="1">
        <v>1839.34</v>
      </c>
      <c r="AY4742" t="s">
        <v>5087</v>
      </c>
      <c r="AZ4742" t="s">
        <v>5087</v>
      </c>
      <c r="BA4742" t="s">
        <v>473</v>
      </c>
      <c r="BB4742" s="3">
        <v>42489</v>
      </c>
      <c r="BD4742" t="s">
        <v>458</v>
      </c>
      <c r="BE4742" s="3">
        <v>41682</v>
      </c>
      <c r="BF4742" s="1">
        <v>245000</v>
      </c>
      <c r="BG4742" t="s">
        <v>29655</v>
      </c>
      <c r="BH4742" s="1">
        <v>145.83000000000001</v>
      </c>
      <c r="BI4742" s="1">
        <v>245000</v>
      </c>
      <c r="BJ4742" s="3">
        <v>41682</v>
      </c>
      <c r="BK4742" t="s">
        <v>123</v>
      </c>
      <c r="BL4742" t="str">
        <f>"2014.94441"</f>
        <v>2014.94441</v>
      </c>
      <c r="BM4742" t="s">
        <v>1185</v>
      </c>
      <c r="BO4742" t="s">
        <v>29656</v>
      </c>
      <c r="BS4742">
        <v>30</v>
      </c>
      <c r="BW4742" t="str">
        <f>""</f>
        <v/>
      </c>
      <c r="CH4742" t="str">
        <f>""</f>
        <v/>
      </c>
      <c r="CS4742" t="str">
        <f>""</f>
        <v/>
      </c>
    </row>
    <row r="4743" spans="1:97" x14ac:dyDescent="0.25">
      <c r="A4743" t="s">
        <v>29657</v>
      </c>
      <c r="B4743" t="s">
        <v>1490</v>
      </c>
      <c r="C4743" t="s">
        <v>265</v>
      </c>
      <c r="D4743" t="s">
        <v>10633</v>
      </c>
      <c r="E4743" t="s">
        <v>29658</v>
      </c>
      <c r="F4743" t="s">
        <v>108</v>
      </c>
      <c r="H4743" t="s">
        <v>29659</v>
      </c>
      <c r="I4743" t="s">
        <v>390</v>
      </c>
      <c r="J4743" t="s">
        <v>111</v>
      </c>
      <c r="K4743" t="str">
        <f>"85044"</f>
        <v>85044</v>
      </c>
      <c r="L4743" t="s">
        <v>5176</v>
      </c>
      <c r="M4743" t="s">
        <v>29659</v>
      </c>
      <c r="N4743" t="s">
        <v>390</v>
      </c>
      <c r="O4743" t="s">
        <v>111</v>
      </c>
      <c r="P4743" t="str">
        <f>"85044-6022"</f>
        <v>85044-6022</v>
      </c>
      <c r="Q4743" t="s">
        <v>113</v>
      </c>
      <c r="R4743" t="str">
        <f>"307-04-847"</f>
        <v>307-04-847</v>
      </c>
      <c r="S4743" t="s">
        <v>29660</v>
      </c>
      <c r="T4743" t="s">
        <v>29660</v>
      </c>
      <c r="U4743">
        <v>1632</v>
      </c>
      <c r="V4743">
        <v>0</v>
      </c>
      <c r="W4743">
        <v>3</v>
      </c>
      <c r="X4743">
        <v>1994</v>
      </c>
      <c r="Z4743">
        <v>1</v>
      </c>
      <c r="AA4743" t="s">
        <v>26</v>
      </c>
      <c r="AB4743">
        <v>0</v>
      </c>
      <c r="AC4743" t="s">
        <v>115</v>
      </c>
      <c r="AD4743">
        <v>2</v>
      </c>
      <c r="AE4743" t="s">
        <v>115</v>
      </c>
      <c r="AF4743">
        <v>0</v>
      </c>
      <c r="AG4743">
        <v>0</v>
      </c>
      <c r="AH4743" t="s">
        <v>116</v>
      </c>
      <c r="AI4743" s="1">
        <v>87248</v>
      </c>
      <c r="AJ4743" s="2">
        <v>0.25</v>
      </c>
      <c r="AK4743" s="1">
        <v>352838</v>
      </c>
      <c r="AL4743" t="s">
        <v>117</v>
      </c>
      <c r="AM4743" t="s">
        <v>191</v>
      </c>
      <c r="AN4743">
        <v>7079</v>
      </c>
      <c r="AO4743">
        <v>0.16</v>
      </c>
      <c r="AP4743">
        <v>1</v>
      </c>
      <c r="AR4743">
        <v>1</v>
      </c>
      <c r="AS4743" s="1">
        <v>24630</v>
      </c>
      <c r="AT4743" s="1">
        <v>4920</v>
      </c>
      <c r="AU4743" s="1">
        <v>19710</v>
      </c>
      <c r="AV4743">
        <v>80.02</v>
      </c>
      <c r="AX4743" s="1">
        <v>2340.8200000000002</v>
      </c>
      <c r="AY4743" t="s">
        <v>7418</v>
      </c>
      <c r="AZ4743" t="s">
        <v>7255</v>
      </c>
      <c r="BA4743" t="s">
        <v>5328</v>
      </c>
      <c r="BE4743" s="3">
        <v>41928</v>
      </c>
      <c r="BF4743" s="1">
        <v>260000</v>
      </c>
      <c r="BG4743" t="s">
        <v>29661</v>
      </c>
      <c r="BH4743" s="1">
        <v>159.31</v>
      </c>
      <c r="BI4743" s="1">
        <v>265590</v>
      </c>
      <c r="BJ4743" s="3">
        <v>41928</v>
      </c>
      <c r="BK4743" t="s">
        <v>123</v>
      </c>
      <c r="BL4743" t="str">
        <f>"2014.687251"</f>
        <v>2014.687251</v>
      </c>
      <c r="BM4743" t="s">
        <v>724</v>
      </c>
      <c r="BO4743" t="s">
        <v>29662</v>
      </c>
      <c r="BP4743" t="s">
        <v>29663</v>
      </c>
      <c r="BS4743">
        <v>30</v>
      </c>
      <c r="BW4743" t="str">
        <f>""</f>
        <v/>
      </c>
      <c r="CH4743" t="str">
        <f>""</f>
        <v/>
      </c>
      <c r="CS4743" t="str">
        <f>""</f>
        <v/>
      </c>
    </row>
    <row r="4744" spans="1:97" x14ac:dyDescent="0.25">
      <c r="A4744" t="s">
        <v>1938</v>
      </c>
      <c r="B4744" t="s">
        <v>29664</v>
      </c>
      <c r="C4744" t="s">
        <v>2019</v>
      </c>
      <c r="D4744" t="s">
        <v>29664</v>
      </c>
      <c r="E4744" t="s">
        <v>29665</v>
      </c>
      <c r="F4744" t="s">
        <v>108</v>
      </c>
      <c r="H4744" t="s">
        <v>29666</v>
      </c>
      <c r="I4744" t="s">
        <v>1788</v>
      </c>
      <c r="J4744" t="s">
        <v>111</v>
      </c>
      <c r="K4744" t="str">
        <f>"85355"</f>
        <v>85355</v>
      </c>
      <c r="L4744" t="s">
        <v>168</v>
      </c>
      <c r="M4744" t="s">
        <v>29666</v>
      </c>
      <c r="N4744" t="s">
        <v>1788</v>
      </c>
      <c r="O4744" t="s">
        <v>111</v>
      </c>
      <c r="P4744" t="str">
        <f>"85355-4330"</f>
        <v>85355-4330</v>
      </c>
      <c r="Q4744" t="s">
        <v>113</v>
      </c>
      <c r="R4744" t="str">
        <f>"502-90-743"</f>
        <v>502-90-743</v>
      </c>
      <c r="S4744" t="s">
        <v>8290</v>
      </c>
      <c r="T4744" t="s">
        <v>8290</v>
      </c>
      <c r="U4744">
        <v>4350</v>
      </c>
      <c r="V4744">
        <v>0</v>
      </c>
      <c r="W4744">
        <v>5</v>
      </c>
      <c r="X4744">
        <v>2007</v>
      </c>
      <c r="Z4744">
        <v>2</v>
      </c>
      <c r="AB4744">
        <v>0</v>
      </c>
      <c r="AC4744" t="s">
        <v>115</v>
      </c>
      <c r="AD4744">
        <v>3</v>
      </c>
      <c r="AE4744" t="s">
        <v>115</v>
      </c>
      <c r="AF4744">
        <v>0</v>
      </c>
      <c r="AG4744">
        <v>0</v>
      </c>
      <c r="AH4744" t="s">
        <v>116</v>
      </c>
      <c r="AI4744" s="1">
        <v>23068</v>
      </c>
      <c r="AJ4744" s="2">
        <v>0.06</v>
      </c>
      <c r="AK4744" s="1">
        <v>385468</v>
      </c>
      <c r="AL4744" t="s">
        <v>117</v>
      </c>
      <c r="AM4744" t="s">
        <v>191</v>
      </c>
      <c r="AN4744">
        <v>8500</v>
      </c>
      <c r="AO4744">
        <v>0.2</v>
      </c>
      <c r="AP4744">
        <v>1</v>
      </c>
      <c r="AR4744">
        <v>1</v>
      </c>
      <c r="AS4744" s="1">
        <v>30320</v>
      </c>
      <c r="AT4744" s="1">
        <v>6060</v>
      </c>
      <c r="AU4744" s="1">
        <v>24260</v>
      </c>
      <c r="AV4744">
        <v>80.010000000000005</v>
      </c>
      <c r="AX4744" s="1">
        <v>2405.48</v>
      </c>
      <c r="AY4744" t="s">
        <v>5972</v>
      </c>
      <c r="AZ4744" t="s">
        <v>5972</v>
      </c>
      <c r="BA4744" t="s">
        <v>5061</v>
      </c>
      <c r="BE4744" s="3">
        <v>42181</v>
      </c>
      <c r="BF4744" s="1">
        <v>370000</v>
      </c>
      <c r="BG4744" t="s">
        <v>29667</v>
      </c>
      <c r="BH4744" s="1">
        <v>85.06</v>
      </c>
      <c r="BI4744" s="1">
        <v>362400</v>
      </c>
      <c r="BJ4744" s="3">
        <v>42782</v>
      </c>
      <c r="BK4744" t="s">
        <v>123</v>
      </c>
      <c r="BL4744" t="str">
        <f>"2017.114683"</f>
        <v>2017.114683</v>
      </c>
      <c r="BM4744" t="s">
        <v>425</v>
      </c>
      <c r="BO4744" t="s">
        <v>29668</v>
      </c>
      <c r="BS4744">
        <v>30</v>
      </c>
      <c r="BW4744" t="str">
        <f>""</f>
        <v/>
      </c>
      <c r="CH4744" t="str">
        <f>""</f>
        <v/>
      </c>
      <c r="CS4744" t="str">
        <f>""</f>
        <v/>
      </c>
    </row>
    <row r="4745" spans="1:97" x14ac:dyDescent="0.25">
      <c r="A4745" t="s">
        <v>16151</v>
      </c>
      <c r="B4745" t="s">
        <v>29669</v>
      </c>
      <c r="C4745" t="s">
        <v>524</v>
      </c>
      <c r="D4745" t="s">
        <v>29669</v>
      </c>
      <c r="E4745" t="s">
        <v>29670</v>
      </c>
      <c r="F4745" t="s">
        <v>108</v>
      </c>
      <c r="H4745" t="s">
        <v>29671</v>
      </c>
      <c r="I4745" t="s">
        <v>203</v>
      </c>
      <c r="J4745" t="s">
        <v>111</v>
      </c>
      <c r="K4745" t="str">
        <f>"85298"</f>
        <v>85298</v>
      </c>
      <c r="L4745" t="s">
        <v>21230</v>
      </c>
      <c r="M4745" t="s">
        <v>29671</v>
      </c>
      <c r="N4745" t="s">
        <v>203</v>
      </c>
      <c r="O4745" t="s">
        <v>111</v>
      </c>
      <c r="P4745" t="str">
        <f>"85298-8793"</f>
        <v>85298-8793</v>
      </c>
      <c r="Q4745" t="s">
        <v>113</v>
      </c>
      <c r="R4745" t="str">
        <f>"313-08-771"</f>
        <v>313-08-771</v>
      </c>
      <c r="S4745" t="s">
        <v>29672</v>
      </c>
      <c r="U4745">
        <v>2968</v>
      </c>
      <c r="V4745">
        <v>0</v>
      </c>
      <c r="W4745">
        <v>4</v>
      </c>
      <c r="X4745">
        <v>2011</v>
      </c>
      <c r="Z4745">
        <v>1</v>
      </c>
      <c r="AB4745">
        <v>0</v>
      </c>
      <c r="AC4745" t="s">
        <v>115</v>
      </c>
      <c r="AD4745">
        <v>3</v>
      </c>
      <c r="AE4745" t="s">
        <v>115</v>
      </c>
      <c r="AF4745">
        <v>0</v>
      </c>
      <c r="AG4745">
        <v>0</v>
      </c>
      <c r="AH4745" t="s">
        <v>116</v>
      </c>
      <c r="AI4745" s="1">
        <v>-324140</v>
      </c>
      <c r="AJ4745" s="2">
        <v>-0.71</v>
      </c>
      <c r="AK4745" s="1">
        <v>458508</v>
      </c>
      <c r="AL4745" t="s">
        <v>117</v>
      </c>
      <c r="AM4745" t="s">
        <v>191</v>
      </c>
      <c r="AN4745">
        <v>10647</v>
      </c>
      <c r="AO4745">
        <v>0.24</v>
      </c>
      <c r="AR4745">
        <v>1</v>
      </c>
      <c r="AS4745" s="1">
        <v>32410</v>
      </c>
      <c r="AT4745" s="1">
        <v>6480</v>
      </c>
      <c r="AU4745" s="1">
        <v>25930</v>
      </c>
      <c r="AV4745">
        <v>80.010000000000005</v>
      </c>
      <c r="AX4745" s="1">
        <v>3019.52</v>
      </c>
      <c r="AY4745" t="s">
        <v>272</v>
      </c>
      <c r="AZ4745" t="s">
        <v>273</v>
      </c>
      <c r="BA4745" t="s">
        <v>274</v>
      </c>
      <c r="BB4745" s="3">
        <v>43535</v>
      </c>
      <c r="BC4745" s="1">
        <v>0</v>
      </c>
      <c r="BD4745" t="s">
        <v>247</v>
      </c>
      <c r="BE4745" s="3">
        <v>42136</v>
      </c>
      <c r="BF4745" s="1">
        <v>385900</v>
      </c>
      <c r="BG4745" t="s">
        <v>29673</v>
      </c>
      <c r="BH4745" s="1">
        <v>130.02000000000001</v>
      </c>
      <c r="BI4745" s="1">
        <v>391324</v>
      </c>
      <c r="BJ4745" s="3">
        <v>42682</v>
      </c>
      <c r="BK4745" t="s">
        <v>123</v>
      </c>
      <c r="BL4745" t="str">
        <f>"2016.823877"</f>
        <v>2016.823877</v>
      </c>
      <c r="BM4745" t="s">
        <v>425</v>
      </c>
      <c r="BN4745" t="s">
        <v>426</v>
      </c>
      <c r="BO4745" t="s">
        <v>29674</v>
      </c>
      <c r="BS4745">
        <v>30</v>
      </c>
      <c r="BT4745" s="1">
        <v>391324</v>
      </c>
      <c r="BU4745" s="3">
        <v>43535</v>
      </c>
      <c r="BV4745" t="s">
        <v>134</v>
      </c>
      <c r="BW4745" t="str">
        <f>"2019.176852"</f>
        <v>2019.176852</v>
      </c>
      <c r="BX4745" t="s">
        <v>2080</v>
      </c>
      <c r="BY4745" t="s">
        <v>29675</v>
      </c>
      <c r="BZ4745" t="s">
        <v>29676</v>
      </c>
      <c r="CA4745" t="s">
        <v>29677</v>
      </c>
      <c r="CC4745" t="s">
        <v>139</v>
      </c>
      <c r="CH4745" t="str">
        <f>""</f>
        <v/>
      </c>
      <c r="CS4745" t="str">
        <f>""</f>
        <v/>
      </c>
    </row>
    <row r="4746" spans="1:97" x14ac:dyDescent="0.25">
      <c r="A4746" t="s">
        <v>6237</v>
      </c>
      <c r="B4746" t="s">
        <v>29678</v>
      </c>
      <c r="C4746" t="s">
        <v>1963</v>
      </c>
      <c r="D4746" t="s">
        <v>29678</v>
      </c>
      <c r="E4746" t="s">
        <v>29679</v>
      </c>
      <c r="F4746" t="s">
        <v>108</v>
      </c>
      <c r="H4746" t="s">
        <v>29680</v>
      </c>
      <c r="I4746" t="s">
        <v>25003</v>
      </c>
      <c r="J4746" t="s">
        <v>111</v>
      </c>
      <c r="K4746" t="str">
        <f>"85263"</f>
        <v>85263</v>
      </c>
      <c r="L4746" t="s">
        <v>5893</v>
      </c>
      <c r="M4746" t="s">
        <v>29680</v>
      </c>
      <c r="N4746" t="s">
        <v>25003</v>
      </c>
      <c r="O4746" t="s">
        <v>111</v>
      </c>
      <c r="P4746" t="str">
        <f>"85263-7147"</f>
        <v>85263-7147</v>
      </c>
      <c r="Q4746" t="s">
        <v>113</v>
      </c>
      <c r="R4746" t="str">
        <f>"219-43-365"</f>
        <v>219-43-365</v>
      </c>
      <c r="S4746" t="s">
        <v>29681</v>
      </c>
      <c r="U4746">
        <v>2772</v>
      </c>
      <c r="V4746">
        <v>0</v>
      </c>
      <c r="W4746">
        <v>3</v>
      </c>
      <c r="X4746">
        <v>1979</v>
      </c>
      <c r="Z4746">
        <v>1</v>
      </c>
      <c r="AB4746">
        <v>0</v>
      </c>
      <c r="AC4746" t="s">
        <v>115</v>
      </c>
      <c r="AD4746">
        <v>2</v>
      </c>
      <c r="AE4746" t="s">
        <v>115</v>
      </c>
      <c r="AF4746">
        <v>0</v>
      </c>
      <c r="AG4746">
        <v>0</v>
      </c>
      <c r="AH4746" t="s">
        <v>116</v>
      </c>
      <c r="AI4746" s="1">
        <v>122348</v>
      </c>
      <c r="AJ4746" s="2">
        <v>0.27</v>
      </c>
      <c r="AK4746" s="1">
        <v>459443</v>
      </c>
      <c r="AL4746" t="s">
        <v>117</v>
      </c>
      <c r="AM4746" t="s">
        <v>171</v>
      </c>
      <c r="AN4746">
        <v>16040</v>
      </c>
      <c r="AO4746">
        <v>0.37</v>
      </c>
      <c r="AP4746">
        <v>1</v>
      </c>
      <c r="AR4746">
        <v>1</v>
      </c>
      <c r="AS4746" s="1">
        <v>29130</v>
      </c>
      <c r="AT4746" s="1">
        <v>5820</v>
      </c>
      <c r="AU4746" s="1">
        <v>23310</v>
      </c>
      <c r="AV4746">
        <v>80.02</v>
      </c>
      <c r="AX4746" s="1">
        <v>2375.44</v>
      </c>
      <c r="AY4746" t="s">
        <v>6485</v>
      </c>
      <c r="AZ4746" t="s">
        <v>5640</v>
      </c>
      <c r="BA4746" t="s">
        <v>5641</v>
      </c>
      <c r="BE4746" s="3">
        <v>42515</v>
      </c>
      <c r="BF4746" s="1">
        <v>330000</v>
      </c>
      <c r="BG4746" t="s">
        <v>29682</v>
      </c>
      <c r="BH4746" s="1">
        <v>119.05</v>
      </c>
      <c r="BI4746" s="1">
        <v>337095</v>
      </c>
      <c r="BJ4746" s="3">
        <v>42515</v>
      </c>
      <c r="BK4746" t="s">
        <v>123</v>
      </c>
      <c r="BL4746" t="str">
        <f>"2016.361120"</f>
        <v>2016.361120</v>
      </c>
      <c r="BM4746" t="s">
        <v>8916</v>
      </c>
      <c r="BO4746" t="s">
        <v>29683</v>
      </c>
      <c r="BS4746">
        <v>30</v>
      </c>
      <c r="BW4746" t="str">
        <f>""</f>
        <v/>
      </c>
      <c r="CH4746" t="str">
        <f>""</f>
        <v/>
      </c>
      <c r="CS4746" t="str">
        <f>""</f>
        <v/>
      </c>
    </row>
    <row r="4747" spans="1:97" x14ac:dyDescent="0.25">
      <c r="A4747" t="s">
        <v>177</v>
      </c>
      <c r="B4747" t="s">
        <v>29684</v>
      </c>
      <c r="C4747" t="s">
        <v>4448</v>
      </c>
      <c r="D4747" t="s">
        <v>29684</v>
      </c>
      <c r="E4747" t="s">
        <v>29685</v>
      </c>
      <c r="F4747" t="s">
        <v>108</v>
      </c>
      <c r="H4747" t="s">
        <v>29686</v>
      </c>
      <c r="I4747" t="s">
        <v>5863</v>
      </c>
      <c r="J4747" t="s">
        <v>111</v>
      </c>
      <c r="K4747" t="str">
        <f>"85375"</f>
        <v>85375</v>
      </c>
      <c r="L4747" t="s">
        <v>5228</v>
      </c>
      <c r="M4747" t="s">
        <v>29686</v>
      </c>
      <c r="N4747" t="s">
        <v>5863</v>
      </c>
      <c r="O4747" t="s">
        <v>111</v>
      </c>
      <c r="P4747" t="str">
        <f>"85375-2545"</f>
        <v>85375-2545</v>
      </c>
      <c r="Q4747" t="s">
        <v>113</v>
      </c>
      <c r="R4747" t="str">
        <f>"232-16-358"</f>
        <v>232-16-358</v>
      </c>
      <c r="S4747" t="s">
        <v>20551</v>
      </c>
      <c r="U4747">
        <v>3108</v>
      </c>
      <c r="V4747">
        <v>0</v>
      </c>
      <c r="W4747">
        <v>4</v>
      </c>
      <c r="X4747">
        <v>1989</v>
      </c>
      <c r="Z4747">
        <v>1</v>
      </c>
      <c r="AB4747">
        <v>0</v>
      </c>
      <c r="AC4747" t="s">
        <v>115</v>
      </c>
      <c r="AD4747">
        <v>4</v>
      </c>
      <c r="AE4747" t="s">
        <v>115</v>
      </c>
      <c r="AF4747">
        <v>0</v>
      </c>
      <c r="AG4747">
        <v>0</v>
      </c>
      <c r="AH4747" t="s">
        <v>116</v>
      </c>
      <c r="AI4747" s="1">
        <v>121235</v>
      </c>
      <c r="AJ4747" s="2">
        <v>0.28999999999999998</v>
      </c>
      <c r="AK4747" s="1">
        <v>424985</v>
      </c>
      <c r="AL4747" t="s">
        <v>117</v>
      </c>
      <c r="AM4747" t="s">
        <v>393</v>
      </c>
      <c r="AN4747">
        <v>12300</v>
      </c>
      <c r="AO4747">
        <v>0.28000000000000003</v>
      </c>
      <c r="AP4747">
        <v>1</v>
      </c>
      <c r="AR4747">
        <v>1</v>
      </c>
      <c r="AS4747" s="1">
        <v>29800</v>
      </c>
      <c r="AT4747" s="1">
        <v>5960</v>
      </c>
      <c r="AU4747" s="1">
        <v>23840</v>
      </c>
      <c r="AV4747">
        <v>80</v>
      </c>
      <c r="AX4747" s="1">
        <v>2385.04</v>
      </c>
      <c r="AY4747" t="s">
        <v>320</v>
      </c>
      <c r="AZ4747" t="s">
        <v>320</v>
      </c>
      <c r="BA4747" t="s">
        <v>321</v>
      </c>
      <c r="BE4747" s="3">
        <v>42426</v>
      </c>
      <c r="BF4747" s="1">
        <v>340000</v>
      </c>
      <c r="BG4747" t="s">
        <v>27989</v>
      </c>
      <c r="BH4747" s="1">
        <v>109.4</v>
      </c>
      <c r="BI4747" s="1">
        <v>303750</v>
      </c>
      <c r="BJ4747" s="3">
        <v>42426</v>
      </c>
      <c r="BK4747" t="s">
        <v>123</v>
      </c>
      <c r="BL4747" t="str">
        <f>"2016.123811"</f>
        <v>2016.123811</v>
      </c>
      <c r="BM4747" t="s">
        <v>5867</v>
      </c>
      <c r="BO4747" t="s">
        <v>29687</v>
      </c>
      <c r="BS4747">
        <v>30</v>
      </c>
      <c r="BW4747" t="str">
        <f>""</f>
        <v/>
      </c>
      <c r="CH4747" t="str">
        <f>""</f>
        <v/>
      </c>
      <c r="CS4747" t="str">
        <f>""</f>
        <v/>
      </c>
    </row>
    <row r="4748" spans="1:97" x14ac:dyDescent="0.25">
      <c r="A4748" t="s">
        <v>177</v>
      </c>
      <c r="B4748" t="s">
        <v>29688</v>
      </c>
      <c r="C4748" t="s">
        <v>484</v>
      </c>
      <c r="D4748" t="s">
        <v>29688</v>
      </c>
      <c r="E4748" t="s">
        <v>29689</v>
      </c>
      <c r="F4748" t="s">
        <v>108</v>
      </c>
      <c r="H4748" t="s">
        <v>29690</v>
      </c>
      <c r="I4748" t="s">
        <v>2874</v>
      </c>
      <c r="J4748" t="s">
        <v>111</v>
      </c>
      <c r="K4748" t="str">
        <f>"85310"</f>
        <v>85310</v>
      </c>
      <c r="L4748" t="s">
        <v>1244</v>
      </c>
      <c r="M4748" t="s">
        <v>29690</v>
      </c>
      <c r="N4748" t="s">
        <v>2874</v>
      </c>
      <c r="O4748" t="s">
        <v>111</v>
      </c>
      <c r="P4748" t="str">
        <f>"85310-3138"</f>
        <v>85310-3138</v>
      </c>
      <c r="Q4748" t="s">
        <v>113</v>
      </c>
      <c r="R4748" t="str">
        <f>"205-16-077"</f>
        <v>205-16-077</v>
      </c>
      <c r="S4748" t="s">
        <v>29691</v>
      </c>
      <c r="T4748" t="s">
        <v>29691</v>
      </c>
      <c r="U4748">
        <v>2740</v>
      </c>
      <c r="V4748">
        <v>0</v>
      </c>
      <c r="W4748">
        <v>4</v>
      </c>
      <c r="X4748">
        <v>2002</v>
      </c>
      <c r="Z4748">
        <v>1</v>
      </c>
      <c r="AA4748" t="s">
        <v>26</v>
      </c>
      <c r="AB4748">
        <v>0</v>
      </c>
      <c r="AC4748" t="s">
        <v>115</v>
      </c>
      <c r="AD4748">
        <v>3</v>
      </c>
      <c r="AE4748" t="s">
        <v>115</v>
      </c>
      <c r="AF4748">
        <v>0</v>
      </c>
      <c r="AG4748">
        <v>0</v>
      </c>
      <c r="AH4748" t="s">
        <v>116</v>
      </c>
      <c r="AI4748" s="1">
        <v>12547</v>
      </c>
      <c r="AJ4748" s="2">
        <v>0.03</v>
      </c>
      <c r="AK4748" s="1">
        <v>452605</v>
      </c>
      <c r="AL4748" t="s">
        <v>117</v>
      </c>
      <c r="AM4748" t="s">
        <v>760</v>
      </c>
      <c r="AN4748">
        <v>14923</v>
      </c>
      <c r="AO4748">
        <v>0.34</v>
      </c>
      <c r="AP4748">
        <v>1</v>
      </c>
      <c r="AR4748">
        <v>1</v>
      </c>
      <c r="AS4748" s="1">
        <v>33120</v>
      </c>
      <c r="AT4748" s="1">
        <v>6620</v>
      </c>
      <c r="AU4748" s="1">
        <v>26500</v>
      </c>
      <c r="AV4748">
        <v>80.010000000000005</v>
      </c>
      <c r="AX4748" s="1">
        <v>3116.94</v>
      </c>
      <c r="AY4748" t="s">
        <v>5125</v>
      </c>
      <c r="AZ4748" t="s">
        <v>3049</v>
      </c>
      <c r="BA4748" t="s">
        <v>1386</v>
      </c>
      <c r="BE4748" s="3">
        <v>42117</v>
      </c>
      <c r="BF4748" s="1">
        <v>429000</v>
      </c>
      <c r="BG4748" t="s">
        <v>29692</v>
      </c>
      <c r="BH4748" s="1">
        <v>156.57</v>
      </c>
      <c r="BI4748" s="1">
        <v>440058</v>
      </c>
      <c r="BJ4748" s="3">
        <v>42117</v>
      </c>
      <c r="BK4748" t="s">
        <v>123</v>
      </c>
      <c r="BL4748" t="str">
        <f>"2015.279724"</f>
        <v>2015.279724</v>
      </c>
      <c r="BM4748" t="s">
        <v>15581</v>
      </c>
      <c r="BO4748" t="s">
        <v>29693</v>
      </c>
      <c r="BS4748">
        <v>30</v>
      </c>
      <c r="BW4748" t="str">
        <f>""</f>
        <v/>
      </c>
      <c r="CH4748" t="str">
        <f>""</f>
        <v/>
      </c>
      <c r="CS4748" t="str">
        <f>""</f>
        <v/>
      </c>
    </row>
    <row r="4749" spans="1:97" x14ac:dyDescent="0.25">
      <c r="A4749" t="s">
        <v>14002</v>
      </c>
      <c r="B4749" t="s">
        <v>2751</v>
      </c>
      <c r="C4749" t="s">
        <v>7732</v>
      </c>
      <c r="D4749" t="s">
        <v>2751</v>
      </c>
      <c r="E4749" t="s">
        <v>29694</v>
      </c>
      <c r="F4749" t="s">
        <v>108</v>
      </c>
      <c r="H4749" t="s">
        <v>29695</v>
      </c>
      <c r="I4749" t="s">
        <v>225</v>
      </c>
      <c r="J4749" t="s">
        <v>111</v>
      </c>
      <c r="K4749" t="str">
        <f>"85205"</f>
        <v>85205</v>
      </c>
      <c r="L4749" t="s">
        <v>5408</v>
      </c>
      <c r="M4749" t="s">
        <v>29695</v>
      </c>
      <c r="N4749" t="s">
        <v>225</v>
      </c>
      <c r="O4749" t="s">
        <v>111</v>
      </c>
      <c r="P4749" t="str">
        <f>"85205-6150"</f>
        <v>85205-6150</v>
      </c>
      <c r="Q4749" t="s">
        <v>113</v>
      </c>
      <c r="R4749" t="str">
        <f>"140-13-309"</f>
        <v>140-13-309</v>
      </c>
      <c r="S4749" t="s">
        <v>29696</v>
      </c>
      <c r="T4749" t="s">
        <v>6943</v>
      </c>
      <c r="U4749">
        <v>2035</v>
      </c>
      <c r="V4749">
        <v>0</v>
      </c>
      <c r="W4749">
        <v>3</v>
      </c>
      <c r="X4749">
        <v>1987</v>
      </c>
      <c r="Z4749">
        <v>1</v>
      </c>
      <c r="AB4749">
        <v>0</v>
      </c>
      <c r="AC4749" t="s">
        <v>115</v>
      </c>
      <c r="AD4749">
        <v>2</v>
      </c>
      <c r="AE4749" t="s">
        <v>115</v>
      </c>
      <c r="AF4749">
        <v>0</v>
      </c>
      <c r="AG4749">
        <v>0</v>
      </c>
      <c r="AH4749" t="s">
        <v>116</v>
      </c>
      <c r="AI4749" s="1">
        <v>68943</v>
      </c>
      <c r="AJ4749" s="2">
        <v>0.2</v>
      </c>
      <c r="AK4749" s="1">
        <v>339790</v>
      </c>
      <c r="AL4749" t="s">
        <v>117</v>
      </c>
      <c r="AM4749" t="s">
        <v>393</v>
      </c>
      <c r="AN4749">
        <v>11133</v>
      </c>
      <c r="AO4749">
        <v>0.26</v>
      </c>
      <c r="AP4749">
        <v>1</v>
      </c>
      <c r="AR4749">
        <v>1</v>
      </c>
      <c r="AS4749" s="1">
        <v>22230</v>
      </c>
      <c r="AT4749" s="1">
        <v>4440</v>
      </c>
      <c r="AU4749" s="1">
        <v>17790</v>
      </c>
      <c r="AV4749">
        <v>80.03</v>
      </c>
      <c r="AX4749" s="1">
        <v>1782.54</v>
      </c>
      <c r="AY4749" t="s">
        <v>1522</v>
      </c>
      <c r="AZ4749" t="s">
        <v>1523</v>
      </c>
      <c r="BA4749" t="s">
        <v>1524</v>
      </c>
      <c r="BE4749" s="3">
        <v>41941</v>
      </c>
      <c r="BF4749" s="1">
        <v>265000</v>
      </c>
      <c r="BG4749" t="s">
        <v>29697</v>
      </c>
      <c r="BH4749" s="1">
        <v>130.22</v>
      </c>
      <c r="BI4749" s="1">
        <v>270847</v>
      </c>
      <c r="BJ4749" s="3">
        <v>42454</v>
      </c>
      <c r="BK4749" t="s">
        <v>123</v>
      </c>
      <c r="BL4749" t="str">
        <f>"2016.193893"</f>
        <v>2016.193893</v>
      </c>
      <c r="BM4749" t="s">
        <v>2458</v>
      </c>
      <c r="BN4749" t="s">
        <v>904</v>
      </c>
      <c r="BO4749" t="s">
        <v>29698</v>
      </c>
      <c r="BS4749">
        <v>30</v>
      </c>
      <c r="BW4749" t="str">
        <f>""</f>
        <v/>
      </c>
      <c r="CH4749" t="str">
        <f>""</f>
        <v/>
      </c>
      <c r="CS4749" t="str">
        <f>""</f>
        <v/>
      </c>
    </row>
    <row r="4750" spans="1:97" x14ac:dyDescent="0.25">
      <c r="B4750" t="s">
        <v>29699</v>
      </c>
      <c r="E4750" t="s">
        <v>29700</v>
      </c>
      <c r="F4750" t="s">
        <v>139</v>
      </c>
      <c r="H4750" t="s">
        <v>29701</v>
      </c>
      <c r="I4750" t="s">
        <v>453</v>
      </c>
      <c r="J4750" t="s">
        <v>111</v>
      </c>
      <c r="K4750" t="str">
        <f>"85383"</f>
        <v>85383</v>
      </c>
      <c r="L4750" t="s">
        <v>5893</v>
      </c>
      <c r="M4750" t="s">
        <v>29701</v>
      </c>
      <c r="N4750" t="s">
        <v>453</v>
      </c>
      <c r="O4750" t="s">
        <v>111</v>
      </c>
      <c r="P4750" t="str">
        <f>"85383-3445"</f>
        <v>85383-3445</v>
      </c>
      <c r="Q4750" t="s">
        <v>113</v>
      </c>
      <c r="R4750" t="str">
        <f>"510-01-146"</f>
        <v>510-01-146</v>
      </c>
      <c r="S4750" t="s">
        <v>29702</v>
      </c>
      <c r="T4750" t="s">
        <v>29703</v>
      </c>
      <c r="U4750">
        <v>2370</v>
      </c>
      <c r="V4750">
        <v>0</v>
      </c>
      <c r="W4750">
        <v>3</v>
      </c>
      <c r="X4750">
        <v>2005</v>
      </c>
      <c r="Z4750">
        <v>1</v>
      </c>
      <c r="AB4750">
        <v>0</v>
      </c>
      <c r="AC4750" t="s">
        <v>115</v>
      </c>
      <c r="AD4750">
        <v>3</v>
      </c>
      <c r="AE4750" t="s">
        <v>115</v>
      </c>
      <c r="AF4750">
        <v>0</v>
      </c>
      <c r="AG4750">
        <v>0</v>
      </c>
      <c r="AH4750" t="s">
        <v>116</v>
      </c>
      <c r="AI4750" s="1">
        <v>90181</v>
      </c>
      <c r="AJ4750" s="2">
        <v>0.25</v>
      </c>
      <c r="AK4750" s="1">
        <v>365992</v>
      </c>
      <c r="AL4750" t="s">
        <v>117</v>
      </c>
      <c r="AM4750" t="s">
        <v>118</v>
      </c>
      <c r="AN4750">
        <v>8400</v>
      </c>
      <c r="AO4750">
        <v>0.19</v>
      </c>
      <c r="AR4750">
        <v>1</v>
      </c>
      <c r="AS4750" s="1">
        <v>25180</v>
      </c>
      <c r="AT4750" s="1">
        <v>5030</v>
      </c>
      <c r="AU4750" s="1">
        <v>20150</v>
      </c>
      <c r="AV4750">
        <v>80.02</v>
      </c>
      <c r="AX4750" s="1">
        <v>2626.18</v>
      </c>
      <c r="AY4750" t="s">
        <v>627</v>
      </c>
      <c r="AZ4750" t="s">
        <v>627</v>
      </c>
      <c r="BA4750" t="s">
        <v>457</v>
      </c>
      <c r="BB4750" s="3">
        <v>43241</v>
      </c>
      <c r="BC4750" s="1">
        <v>0</v>
      </c>
      <c r="BD4750" t="s">
        <v>247</v>
      </c>
      <c r="BE4750" s="3">
        <v>42135</v>
      </c>
      <c r="BF4750" s="1">
        <v>267000</v>
      </c>
      <c r="BG4750" t="s">
        <v>29704</v>
      </c>
      <c r="BH4750" s="1">
        <v>112.66</v>
      </c>
      <c r="BI4750" s="1">
        <v>275811</v>
      </c>
      <c r="BJ4750" s="3">
        <v>42135</v>
      </c>
      <c r="BK4750" t="s">
        <v>123</v>
      </c>
      <c r="BL4750" t="str">
        <f>"2015.330605"</f>
        <v>2015.330605</v>
      </c>
      <c r="BM4750" t="s">
        <v>738</v>
      </c>
      <c r="BN4750" t="s">
        <v>739</v>
      </c>
      <c r="BO4750" t="s">
        <v>29705</v>
      </c>
      <c r="BS4750">
        <v>30</v>
      </c>
      <c r="BW4750" t="str">
        <f>""</f>
        <v/>
      </c>
      <c r="CH4750" t="str">
        <f>""</f>
        <v/>
      </c>
      <c r="CS4750" t="str">
        <f>""</f>
        <v/>
      </c>
    </row>
    <row r="4751" spans="1:97" x14ac:dyDescent="0.25">
      <c r="A4751" t="s">
        <v>29706</v>
      </c>
      <c r="B4751" t="s">
        <v>29707</v>
      </c>
      <c r="C4751" t="s">
        <v>20134</v>
      </c>
      <c r="D4751" t="s">
        <v>29707</v>
      </c>
      <c r="E4751" t="s">
        <v>29708</v>
      </c>
      <c r="F4751" t="s">
        <v>108</v>
      </c>
      <c r="H4751" t="s">
        <v>29709</v>
      </c>
      <c r="I4751" t="s">
        <v>225</v>
      </c>
      <c r="J4751" t="s">
        <v>111</v>
      </c>
      <c r="K4751" t="str">
        <f>"85212"</f>
        <v>85212</v>
      </c>
      <c r="L4751" t="s">
        <v>17845</v>
      </c>
      <c r="M4751" t="s">
        <v>29709</v>
      </c>
      <c r="N4751" t="s">
        <v>225</v>
      </c>
      <c r="O4751" t="s">
        <v>111</v>
      </c>
      <c r="P4751" t="str">
        <f>"85212-5156"</f>
        <v>85212-5156</v>
      </c>
      <c r="Q4751" t="s">
        <v>113</v>
      </c>
      <c r="R4751" t="str">
        <f>"312-05-741"</f>
        <v>312-05-741</v>
      </c>
      <c r="S4751" t="s">
        <v>29710</v>
      </c>
      <c r="T4751" t="s">
        <v>8810</v>
      </c>
      <c r="U4751">
        <v>3120</v>
      </c>
      <c r="V4751">
        <v>0</v>
      </c>
      <c r="W4751">
        <v>4</v>
      </c>
      <c r="X4751">
        <v>2007</v>
      </c>
      <c r="Z4751">
        <v>2</v>
      </c>
      <c r="AA4751" t="s">
        <v>26</v>
      </c>
      <c r="AB4751">
        <v>0</v>
      </c>
      <c r="AC4751" t="s">
        <v>115</v>
      </c>
      <c r="AD4751">
        <v>3</v>
      </c>
      <c r="AE4751" t="s">
        <v>115</v>
      </c>
      <c r="AF4751">
        <v>0</v>
      </c>
      <c r="AG4751">
        <v>0</v>
      </c>
      <c r="AH4751" t="s">
        <v>116</v>
      </c>
      <c r="AI4751" s="1">
        <v>86720</v>
      </c>
      <c r="AJ4751" s="2">
        <v>0.22</v>
      </c>
      <c r="AK4751" s="1">
        <v>386620</v>
      </c>
      <c r="AL4751" t="s">
        <v>117</v>
      </c>
      <c r="AM4751" t="s">
        <v>191</v>
      </c>
      <c r="AN4751">
        <v>6693</v>
      </c>
      <c r="AO4751">
        <v>0.15</v>
      </c>
      <c r="AR4751">
        <v>1</v>
      </c>
      <c r="AS4751" s="1">
        <v>27380</v>
      </c>
      <c r="AT4751" s="1">
        <v>5470</v>
      </c>
      <c r="AU4751" s="1">
        <v>21910</v>
      </c>
      <c r="AV4751">
        <v>80.02</v>
      </c>
      <c r="AX4751" s="1">
        <v>2994.86</v>
      </c>
      <c r="AY4751" t="s">
        <v>560</v>
      </c>
      <c r="AZ4751" t="s">
        <v>561</v>
      </c>
      <c r="BA4751" t="s">
        <v>194</v>
      </c>
      <c r="BE4751" s="3">
        <v>42367</v>
      </c>
      <c r="BF4751" s="1">
        <v>299900</v>
      </c>
      <c r="BG4751" t="s">
        <v>29711</v>
      </c>
      <c r="BH4751" s="1">
        <v>96.12</v>
      </c>
      <c r="BI4751" s="1">
        <v>299900</v>
      </c>
      <c r="BJ4751" s="3">
        <v>42367</v>
      </c>
      <c r="BK4751" t="s">
        <v>123</v>
      </c>
      <c r="BL4751" t="str">
        <f>"2015.914854"</f>
        <v>2015.914854</v>
      </c>
      <c r="BM4751" t="s">
        <v>1185</v>
      </c>
      <c r="BO4751" t="s">
        <v>29712</v>
      </c>
      <c r="BS4751">
        <v>30</v>
      </c>
      <c r="BW4751" t="str">
        <f>""</f>
        <v/>
      </c>
      <c r="CH4751" t="str">
        <f>""</f>
        <v/>
      </c>
      <c r="CS4751" t="str">
        <f>""</f>
        <v/>
      </c>
    </row>
    <row r="4752" spans="1:97" x14ac:dyDescent="0.25">
      <c r="A4752" t="s">
        <v>325</v>
      </c>
      <c r="B4752" t="s">
        <v>29713</v>
      </c>
      <c r="C4752" t="s">
        <v>1119</v>
      </c>
      <c r="D4752" t="s">
        <v>29713</v>
      </c>
      <c r="E4752" t="s">
        <v>29714</v>
      </c>
      <c r="F4752" t="s">
        <v>108</v>
      </c>
      <c r="H4752" t="s">
        <v>29715</v>
      </c>
      <c r="I4752" t="s">
        <v>188</v>
      </c>
      <c r="J4752" t="s">
        <v>111</v>
      </c>
      <c r="K4752" t="str">
        <f>"85142"</f>
        <v>85142</v>
      </c>
      <c r="L4752" t="s">
        <v>189</v>
      </c>
      <c r="M4752" t="s">
        <v>29715</v>
      </c>
      <c r="N4752" t="s">
        <v>188</v>
      </c>
      <c r="O4752" t="s">
        <v>111</v>
      </c>
      <c r="P4752" t="str">
        <f>"85142-8687"</f>
        <v>85142-8687</v>
      </c>
      <c r="Q4752" t="s">
        <v>113</v>
      </c>
      <c r="R4752" t="str">
        <f>"314-02-707"</f>
        <v>314-02-707</v>
      </c>
      <c r="S4752" t="s">
        <v>10423</v>
      </c>
      <c r="U4752">
        <v>2501</v>
      </c>
      <c r="V4752">
        <v>0</v>
      </c>
      <c r="W4752">
        <v>4</v>
      </c>
      <c r="X4752">
        <v>2004</v>
      </c>
      <c r="Z4752">
        <v>1</v>
      </c>
      <c r="AB4752">
        <v>0</v>
      </c>
      <c r="AC4752" t="s">
        <v>115</v>
      </c>
      <c r="AD4752">
        <v>2</v>
      </c>
      <c r="AE4752" t="s">
        <v>115</v>
      </c>
      <c r="AF4752">
        <v>0</v>
      </c>
      <c r="AG4752">
        <v>0</v>
      </c>
      <c r="AH4752" t="s">
        <v>116</v>
      </c>
      <c r="AI4752" s="1">
        <v>93243</v>
      </c>
      <c r="AJ4752" s="2">
        <v>0.25</v>
      </c>
      <c r="AK4752" s="1">
        <v>368021</v>
      </c>
      <c r="AL4752" t="s">
        <v>117</v>
      </c>
      <c r="AM4752" t="s">
        <v>171</v>
      </c>
      <c r="AN4752">
        <v>9350</v>
      </c>
      <c r="AO4752">
        <v>0.22</v>
      </c>
      <c r="AP4752">
        <v>1</v>
      </c>
      <c r="AR4752">
        <v>1</v>
      </c>
      <c r="AS4752" s="1">
        <v>25500</v>
      </c>
      <c r="AT4752" s="1">
        <v>5100</v>
      </c>
      <c r="AU4752" s="1">
        <v>20400</v>
      </c>
      <c r="AV4752">
        <v>80</v>
      </c>
      <c r="AX4752" s="1">
        <v>2239.7399999999998</v>
      </c>
      <c r="AY4752" t="s">
        <v>192</v>
      </c>
      <c r="AZ4752" t="s">
        <v>193</v>
      </c>
      <c r="BA4752" t="s">
        <v>194</v>
      </c>
      <c r="BE4752" s="3">
        <v>42488</v>
      </c>
      <c r="BF4752" s="1">
        <v>266000</v>
      </c>
      <c r="BG4752" t="s">
        <v>29716</v>
      </c>
      <c r="BH4752" s="1">
        <v>106.36</v>
      </c>
      <c r="BI4752" s="1">
        <v>274778</v>
      </c>
      <c r="BJ4752" s="3">
        <v>42488</v>
      </c>
      <c r="BK4752" t="s">
        <v>123</v>
      </c>
      <c r="BL4752" t="str">
        <f>"2016.287090"</f>
        <v>2016.287090</v>
      </c>
      <c r="BM4752" t="s">
        <v>1998</v>
      </c>
      <c r="BO4752" t="s">
        <v>29717</v>
      </c>
      <c r="BS4752">
        <v>30</v>
      </c>
      <c r="BW4752" t="str">
        <f>""</f>
        <v/>
      </c>
      <c r="CH4752" t="str">
        <f>""</f>
        <v/>
      </c>
      <c r="CS4752" t="str">
        <f>""</f>
        <v/>
      </c>
    </row>
    <row r="4753" spans="1:97" x14ac:dyDescent="0.25">
      <c r="A4753" t="s">
        <v>589</v>
      </c>
      <c r="B4753" t="s">
        <v>15388</v>
      </c>
      <c r="C4753" t="s">
        <v>29718</v>
      </c>
      <c r="D4753" t="s">
        <v>15388</v>
      </c>
      <c r="E4753" t="s">
        <v>29719</v>
      </c>
      <c r="F4753" t="s">
        <v>108</v>
      </c>
      <c r="H4753" t="s">
        <v>29720</v>
      </c>
      <c r="I4753" t="s">
        <v>225</v>
      </c>
      <c r="J4753" t="s">
        <v>111</v>
      </c>
      <c r="K4753" t="str">
        <f>"85207"</f>
        <v>85207</v>
      </c>
      <c r="L4753" t="s">
        <v>3116</v>
      </c>
      <c r="M4753" t="s">
        <v>29720</v>
      </c>
      <c r="N4753" t="s">
        <v>225</v>
      </c>
      <c r="O4753" t="s">
        <v>111</v>
      </c>
      <c r="P4753" t="str">
        <f>"85207-3184"</f>
        <v>85207-3184</v>
      </c>
      <c r="Q4753" t="s">
        <v>113</v>
      </c>
      <c r="R4753" t="str">
        <f>"219-31-490"</f>
        <v>219-31-490</v>
      </c>
      <c r="S4753" t="s">
        <v>29721</v>
      </c>
      <c r="T4753" t="s">
        <v>29721</v>
      </c>
      <c r="U4753">
        <v>2798</v>
      </c>
      <c r="V4753">
        <v>0</v>
      </c>
      <c r="W4753">
        <v>5</v>
      </c>
      <c r="X4753">
        <v>2008</v>
      </c>
      <c r="Z4753">
        <v>2</v>
      </c>
      <c r="AA4753" t="s">
        <v>26</v>
      </c>
      <c r="AB4753">
        <v>0</v>
      </c>
      <c r="AC4753" t="s">
        <v>115</v>
      </c>
      <c r="AD4753">
        <v>3</v>
      </c>
      <c r="AE4753" t="s">
        <v>115</v>
      </c>
      <c r="AF4753">
        <v>0</v>
      </c>
      <c r="AG4753">
        <v>0</v>
      </c>
      <c r="AH4753" t="s">
        <v>116</v>
      </c>
      <c r="AI4753" s="1">
        <v>150381</v>
      </c>
      <c r="AJ4753" s="2">
        <v>0.31</v>
      </c>
      <c r="AK4753" s="1">
        <v>480781</v>
      </c>
      <c r="AL4753" t="s">
        <v>117</v>
      </c>
      <c r="AM4753" t="s">
        <v>917</v>
      </c>
      <c r="AN4753">
        <v>6407</v>
      </c>
      <c r="AO4753">
        <v>0.15</v>
      </c>
      <c r="AR4753">
        <v>1</v>
      </c>
      <c r="AS4753" s="1">
        <v>36300</v>
      </c>
      <c r="AT4753" s="1">
        <v>7260</v>
      </c>
      <c r="AU4753" s="1">
        <v>29040</v>
      </c>
      <c r="AV4753">
        <v>80</v>
      </c>
      <c r="AX4753" s="1">
        <v>3800.36</v>
      </c>
      <c r="AY4753" t="s">
        <v>3118</v>
      </c>
      <c r="AZ4753" t="s">
        <v>231</v>
      </c>
      <c r="BA4753" t="s">
        <v>3119</v>
      </c>
      <c r="BE4753" s="3">
        <v>41815</v>
      </c>
      <c r="BF4753" s="1">
        <v>375000</v>
      </c>
      <c r="BG4753" t="s">
        <v>29722</v>
      </c>
      <c r="BH4753" s="1">
        <v>134.02000000000001</v>
      </c>
      <c r="BI4753" s="1">
        <v>330400</v>
      </c>
      <c r="BJ4753" s="3">
        <v>42657</v>
      </c>
      <c r="BK4753" t="s">
        <v>123</v>
      </c>
      <c r="BL4753" t="str">
        <f>"2016.753991"</f>
        <v>2016.753991</v>
      </c>
      <c r="BM4753" t="s">
        <v>724</v>
      </c>
      <c r="BO4753" t="s">
        <v>29723</v>
      </c>
      <c r="BS4753">
        <v>30</v>
      </c>
      <c r="BW4753" t="str">
        <f>""</f>
        <v/>
      </c>
      <c r="CH4753" t="str">
        <f>""</f>
        <v/>
      </c>
      <c r="CS4753" t="str">
        <f>""</f>
        <v/>
      </c>
    </row>
    <row r="4754" spans="1:97" x14ac:dyDescent="0.25">
      <c r="A4754" t="s">
        <v>464</v>
      </c>
      <c r="B4754" t="s">
        <v>29724</v>
      </c>
      <c r="C4754" t="s">
        <v>1821</v>
      </c>
      <c r="D4754" t="s">
        <v>29724</v>
      </c>
      <c r="E4754" t="s">
        <v>29725</v>
      </c>
      <c r="F4754" t="s">
        <v>108</v>
      </c>
      <c r="H4754" t="s">
        <v>29726</v>
      </c>
      <c r="I4754" t="s">
        <v>188</v>
      </c>
      <c r="J4754" t="s">
        <v>111</v>
      </c>
      <c r="K4754" t="str">
        <f>"85142"</f>
        <v>85142</v>
      </c>
      <c r="L4754" t="s">
        <v>3885</v>
      </c>
      <c r="M4754" t="s">
        <v>29726</v>
      </c>
      <c r="N4754" t="s">
        <v>188</v>
      </c>
      <c r="O4754" t="s">
        <v>111</v>
      </c>
      <c r="P4754" t="str">
        <f>"85142-7340"</f>
        <v>85142-7340</v>
      </c>
      <c r="Q4754" t="s">
        <v>113</v>
      </c>
      <c r="R4754" t="str">
        <f>"304-91-243"</f>
        <v>304-91-243</v>
      </c>
      <c r="S4754" t="s">
        <v>8002</v>
      </c>
      <c r="T4754" t="s">
        <v>8003</v>
      </c>
      <c r="U4754">
        <v>3279</v>
      </c>
      <c r="V4754">
        <v>0</v>
      </c>
      <c r="W4754">
        <v>5</v>
      </c>
      <c r="X4754">
        <v>2016</v>
      </c>
      <c r="Z4754">
        <v>1</v>
      </c>
      <c r="AA4754" t="s">
        <v>26</v>
      </c>
      <c r="AB4754">
        <v>0</v>
      </c>
      <c r="AC4754" t="s">
        <v>115</v>
      </c>
      <c r="AD4754">
        <v>4</v>
      </c>
      <c r="AE4754" t="s">
        <v>115</v>
      </c>
      <c r="AF4754">
        <v>0</v>
      </c>
      <c r="AG4754">
        <v>0</v>
      </c>
      <c r="AH4754" t="s">
        <v>116</v>
      </c>
      <c r="AI4754" s="1">
        <v>215330</v>
      </c>
      <c r="AJ4754" s="2">
        <v>0.32</v>
      </c>
      <c r="AK4754" s="1">
        <v>675330</v>
      </c>
      <c r="AL4754" t="s">
        <v>117</v>
      </c>
      <c r="AM4754" t="s">
        <v>3973</v>
      </c>
      <c r="AN4754">
        <v>35976</v>
      </c>
      <c r="AO4754">
        <v>0.83</v>
      </c>
      <c r="AR4754">
        <v>1</v>
      </c>
      <c r="AS4754" s="1">
        <v>51120</v>
      </c>
      <c r="AT4754" s="1">
        <v>10220</v>
      </c>
      <c r="AU4754" s="1">
        <v>40900</v>
      </c>
      <c r="AV4754">
        <v>80.010000000000005</v>
      </c>
      <c r="AX4754" s="1">
        <v>4742.08</v>
      </c>
      <c r="AY4754" t="s">
        <v>1074</v>
      </c>
      <c r="AZ4754" t="s">
        <v>193</v>
      </c>
      <c r="BA4754" t="s">
        <v>194</v>
      </c>
      <c r="BE4754" s="3">
        <v>42501</v>
      </c>
      <c r="BF4754" s="1">
        <v>547000</v>
      </c>
      <c r="BG4754" t="s">
        <v>29727</v>
      </c>
      <c r="BH4754" s="1">
        <v>166.82</v>
      </c>
      <c r="BI4754" s="1">
        <v>460000</v>
      </c>
      <c r="BJ4754" s="3">
        <v>43553</v>
      </c>
      <c r="BK4754" t="s">
        <v>123</v>
      </c>
      <c r="BL4754" t="str">
        <f>"2019.221430"</f>
        <v>2019.221430</v>
      </c>
      <c r="BM4754" t="s">
        <v>903</v>
      </c>
      <c r="BN4754" t="s">
        <v>904</v>
      </c>
      <c r="BO4754" t="s">
        <v>29728</v>
      </c>
      <c r="BP4754" t="s">
        <v>29729</v>
      </c>
      <c r="BR4754" t="s">
        <v>139</v>
      </c>
      <c r="BW4754" t="str">
        <f>""</f>
        <v/>
      </c>
      <c r="CH4754" t="str">
        <f>""</f>
        <v/>
      </c>
      <c r="CS4754" t="str">
        <f>""</f>
        <v/>
      </c>
    </row>
    <row r="4755" spans="1:97" x14ac:dyDescent="0.25">
      <c r="A4755" t="s">
        <v>370</v>
      </c>
      <c r="B4755" t="s">
        <v>29730</v>
      </c>
      <c r="E4755" t="s">
        <v>29731</v>
      </c>
      <c r="F4755" t="s">
        <v>108</v>
      </c>
      <c r="H4755" t="s">
        <v>29732</v>
      </c>
      <c r="I4755" t="s">
        <v>453</v>
      </c>
      <c r="J4755" t="s">
        <v>111</v>
      </c>
      <c r="K4755" t="str">
        <f>"85383"</f>
        <v>85383</v>
      </c>
      <c r="L4755" t="s">
        <v>4467</v>
      </c>
      <c r="M4755" t="s">
        <v>29732</v>
      </c>
      <c r="N4755" t="s">
        <v>453</v>
      </c>
      <c r="O4755" t="s">
        <v>111</v>
      </c>
      <c r="P4755" t="str">
        <f>"85383-3471"</f>
        <v>85383-3471</v>
      </c>
      <c r="Q4755" t="s">
        <v>113</v>
      </c>
      <c r="R4755" t="str">
        <f>"503-89-890"</f>
        <v>503-89-890</v>
      </c>
      <c r="S4755" t="s">
        <v>29733</v>
      </c>
      <c r="T4755" t="s">
        <v>3592</v>
      </c>
      <c r="U4755">
        <v>2636</v>
      </c>
      <c r="V4755">
        <v>0</v>
      </c>
      <c r="W4755">
        <v>4</v>
      </c>
      <c r="X4755">
        <v>2005</v>
      </c>
      <c r="Z4755">
        <v>1</v>
      </c>
      <c r="AB4755">
        <v>0</v>
      </c>
      <c r="AC4755" t="s">
        <v>115</v>
      </c>
      <c r="AD4755">
        <v>4</v>
      </c>
      <c r="AE4755" t="s">
        <v>115</v>
      </c>
      <c r="AF4755">
        <v>0</v>
      </c>
      <c r="AG4755">
        <v>0</v>
      </c>
      <c r="AH4755" t="s">
        <v>116</v>
      </c>
      <c r="AI4755" s="1">
        <v>133603</v>
      </c>
      <c r="AJ4755" s="2">
        <v>0.34</v>
      </c>
      <c r="AK4755" s="1">
        <v>397018</v>
      </c>
      <c r="AL4755" t="s">
        <v>117</v>
      </c>
      <c r="AM4755" t="s">
        <v>118</v>
      </c>
      <c r="AN4755">
        <v>8528</v>
      </c>
      <c r="AO4755">
        <v>0.2</v>
      </c>
      <c r="AP4755">
        <v>1</v>
      </c>
      <c r="AR4755">
        <v>1</v>
      </c>
      <c r="AS4755" s="1">
        <v>27930</v>
      </c>
      <c r="AT4755" s="1">
        <v>5580</v>
      </c>
      <c r="AU4755" s="1">
        <v>22350</v>
      </c>
      <c r="AV4755">
        <v>80.02</v>
      </c>
      <c r="AX4755" s="1">
        <v>2919.52</v>
      </c>
      <c r="AY4755" t="s">
        <v>627</v>
      </c>
      <c r="AZ4755" t="s">
        <v>627</v>
      </c>
      <c r="BA4755" t="s">
        <v>457</v>
      </c>
      <c r="BE4755" s="3">
        <v>42124</v>
      </c>
      <c r="BF4755" s="1">
        <v>255000</v>
      </c>
      <c r="BG4755" t="s">
        <v>29734</v>
      </c>
      <c r="BH4755" s="1">
        <v>96.74</v>
      </c>
      <c r="BI4755" s="1">
        <v>263415</v>
      </c>
      <c r="BJ4755" s="3">
        <v>42124</v>
      </c>
      <c r="BK4755" t="s">
        <v>123</v>
      </c>
      <c r="BL4755" t="str">
        <f>"2015.303122"</f>
        <v>2015.303122</v>
      </c>
      <c r="BM4755" t="s">
        <v>8868</v>
      </c>
      <c r="BO4755" t="s">
        <v>29735</v>
      </c>
      <c r="BS4755">
        <v>30</v>
      </c>
      <c r="BW4755" t="str">
        <f>""</f>
        <v/>
      </c>
      <c r="CH4755" t="str">
        <f>""</f>
        <v/>
      </c>
      <c r="CS4755" t="str">
        <f>""</f>
        <v/>
      </c>
    </row>
    <row r="4756" spans="1:97" x14ac:dyDescent="0.25">
      <c r="A4756" t="s">
        <v>17605</v>
      </c>
      <c r="B4756" t="s">
        <v>29736</v>
      </c>
      <c r="C4756" t="s">
        <v>12014</v>
      </c>
      <c r="D4756" t="s">
        <v>29736</v>
      </c>
      <c r="E4756" t="s">
        <v>29737</v>
      </c>
      <c r="F4756" t="s">
        <v>108</v>
      </c>
      <c r="H4756" t="s">
        <v>29738</v>
      </c>
      <c r="I4756" t="s">
        <v>453</v>
      </c>
      <c r="J4756" t="s">
        <v>111</v>
      </c>
      <c r="K4756" t="str">
        <f>"85383"</f>
        <v>85383</v>
      </c>
      <c r="L4756" t="s">
        <v>7243</v>
      </c>
      <c r="M4756" t="s">
        <v>29738</v>
      </c>
      <c r="N4756" t="s">
        <v>453</v>
      </c>
      <c r="O4756" t="s">
        <v>111</v>
      </c>
      <c r="P4756" t="str">
        <f>"85383-6289"</f>
        <v>85383-6289</v>
      </c>
      <c r="Q4756" t="s">
        <v>113</v>
      </c>
      <c r="R4756" t="str">
        <f>"201-20-456"</f>
        <v>201-20-456</v>
      </c>
      <c r="S4756" t="s">
        <v>8847</v>
      </c>
      <c r="T4756" t="s">
        <v>8847</v>
      </c>
      <c r="U4756">
        <v>2616</v>
      </c>
      <c r="V4756">
        <v>0</v>
      </c>
      <c r="W4756">
        <v>4</v>
      </c>
      <c r="X4756">
        <v>2015</v>
      </c>
      <c r="Z4756">
        <v>1</v>
      </c>
      <c r="AA4756" t="s">
        <v>26</v>
      </c>
      <c r="AB4756">
        <v>0</v>
      </c>
      <c r="AC4756" t="s">
        <v>115</v>
      </c>
      <c r="AD4756">
        <v>3</v>
      </c>
      <c r="AE4756" t="s">
        <v>115</v>
      </c>
      <c r="AF4756">
        <v>0</v>
      </c>
      <c r="AG4756">
        <v>0</v>
      </c>
      <c r="AH4756" t="s">
        <v>116</v>
      </c>
      <c r="AI4756" s="1">
        <v>80105</v>
      </c>
      <c r="AJ4756" s="2">
        <v>0.18</v>
      </c>
      <c r="AK4756" s="1">
        <v>446607</v>
      </c>
      <c r="AL4756" t="s">
        <v>117</v>
      </c>
      <c r="AM4756" t="s">
        <v>118</v>
      </c>
      <c r="AN4756">
        <v>9859</v>
      </c>
      <c r="AO4756">
        <v>0.23</v>
      </c>
      <c r="AR4756">
        <v>1</v>
      </c>
      <c r="AS4756" s="1">
        <v>35530</v>
      </c>
      <c r="AT4756" s="1">
        <v>7100</v>
      </c>
      <c r="AU4756" s="1">
        <v>28430</v>
      </c>
      <c r="AV4756">
        <v>80.02</v>
      </c>
      <c r="AX4756" s="1">
        <v>2689.18</v>
      </c>
      <c r="AY4756" t="s">
        <v>1385</v>
      </c>
      <c r="AZ4756" t="s">
        <v>1385</v>
      </c>
      <c r="BA4756" t="s">
        <v>1386</v>
      </c>
      <c r="BE4756" s="3">
        <v>42250</v>
      </c>
      <c r="BF4756" s="1">
        <v>363654</v>
      </c>
      <c r="BG4756" t="s">
        <v>2199</v>
      </c>
      <c r="BH4756" s="1">
        <v>139.01</v>
      </c>
      <c r="BI4756" s="1">
        <v>366502</v>
      </c>
      <c r="BJ4756" s="3">
        <v>42496</v>
      </c>
      <c r="BK4756" t="s">
        <v>123</v>
      </c>
      <c r="BL4756" t="str">
        <f>"2016.309084"</f>
        <v>2016.309084</v>
      </c>
      <c r="BM4756" t="s">
        <v>724</v>
      </c>
      <c r="BO4756" t="s">
        <v>29739</v>
      </c>
      <c r="BS4756">
        <v>30</v>
      </c>
      <c r="BW4756" t="str">
        <f>""</f>
        <v/>
      </c>
      <c r="CH4756" t="str">
        <f>""</f>
        <v/>
      </c>
      <c r="CS4756" t="str">
        <f>""</f>
        <v/>
      </c>
    </row>
    <row r="4757" spans="1:97" x14ac:dyDescent="0.25">
      <c r="A4757" t="s">
        <v>29740</v>
      </c>
      <c r="B4757" t="s">
        <v>29741</v>
      </c>
      <c r="C4757" t="s">
        <v>920</v>
      </c>
      <c r="D4757" t="s">
        <v>29741</v>
      </c>
      <c r="E4757" t="s">
        <v>29742</v>
      </c>
      <c r="F4757" t="s">
        <v>108</v>
      </c>
      <c r="H4757" t="s">
        <v>29743</v>
      </c>
      <c r="I4757" t="s">
        <v>390</v>
      </c>
      <c r="J4757" t="s">
        <v>111</v>
      </c>
      <c r="K4757" t="str">
        <f>"85006"</f>
        <v>85006</v>
      </c>
      <c r="L4757" t="s">
        <v>6891</v>
      </c>
      <c r="M4757" t="s">
        <v>29743</v>
      </c>
      <c r="N4757" t="s">
        <v>390</v>
      </c>
      <c r="O4757" t="s">
        <v>111</v>
      </c>
      <c r="P4757" t="str">
        <f>"85006-1708"</f>
        <v>85006-1708</v>
      </c>
      <c r="Q4757" t="s">
        <v>113</v>
      </c>
      <c r="R4757" t="str">
        <f>"117-22-013"</f>
        <v>117-22-013</v>
      </c>
      <c r="S4757" t="s">
        <v>29744</v>
      </c>
      <c r="T4757" t="s">
        <v>29744</v>
      </c>
      <c r="U4757">
        <v>1296</v>
      </c>
      <c r="V4757">
        <v>0</v>
      </c>
      <c r="W4757">
        <v>3</v>
      </c>
      <c r="X4757">
        <v>1925</v>
      </c>
      <c r="Z4757">
        <v>1</v>
      </c>
      <c r="AB4757">
        <v>0</v>
      </c>
      <c r="AC4757" t="s">
        <v>5188</v>
      </c>
      <c r="AD4757">
        <v>1</v>
      </c>
      <c r="AE4757" t="s">
        <v>5188</v>
      </c>
      <c r="AF4757">
        <v>0</v>
      </c>
      <c r="AG4757">
        <v>0</v>
      </c>
      <c r="AH4757" t="s">
        <v>116</v>
      </c>
      <c r="AI4757" s="1">
        <v>123145</v>
      </c>
      <c r="AJ4757" s="2">
        <v>0.33</v>
      </c>
      <c r="AK4757" s="1">
        <v>372391</v>
      </c>
      <c r="AL4757" t="s">
        <v>117</v>
      </c>
      <c r="AM4757" t="s">
        <v>191</v>
      </c>
      <c r="AN4757">
        <v>6429</v>
      </c>
      <c r="AO4757">
        <v>0.15</v>
      </c>
      <c r="AP4757">
        <v>1</v>
      </c>
      <c r="AR4757">
        <v>1</v>
      </c>
      <c r="AS4757" s="1">
        <v>12930</v>
      </c>
      <c r="AT4757" s="1">
        <v>2585</v>
      </c>
      <c r="AU4757" s="1">
        <v>10345</v>
      </c>
      <c r="AV4757">
        <v>80.010000000000005</v>
      </c>
      <c r="AX4757" s="1">
        <v>894.82</v>
      </c>
      <c r="AY4757" t="s">
        <v>8411</v>
      </c>
      <c r="AZ4757" t="s">
        <v>8411</v>
      </c>
      <c r="BA4757" t="s">
        <v>8412</v>
      </c>
      <c r="BE4757" s="3">
        <v>41715</v>
      </c>
      <c r="BF4757" s="1">
        <v>244000</v>
      </c>
      <c r="BG4757" t="s">
        <v>29745</v>
      </c>
      <c r="BH4757" s="1">
        <v>188.27</v>
      </c>
      <c r="BI4757" s="1">
        <v>249246</v>
      </c>
      <c r="BJ4757" s="3">
        <v>41715</v>
      </c>
      <c r="BK4757" t="s">
        <v>123</v>
      </c>
      <c r="BL4757" t="str">
        <f>"2014.168210"</f>
        <v>2014.168210</v>
      </c>
      <c r="BM4757" t="s">
        <v>3562</v>
      </c>
      <c r="BO4757" t="s">
        <v>29746</v>
      </c>
      <c r="BS4757">
        <v>30</v>
      </c>
      <c r="BW4757" t="str">
        <f>""</f>
        <v/>
      </c>
      <c r="CH4757" t="str">
        <f>""</f>
        <v/>
      </c>
      <c r="CS4757" t="str">
        <f>""</f>
        <v/>
      </c>
    </row>
    <row r="4758" spans="1:97" x14ac:dyDescent="0.25">
      <c r="A4758" t="s">
        <v>11273</v>
      </c>
      <c r="B4758" t="s">
        <v>29747</v>
      </c>
      <c r="C4758" t="s">
        <v>16322</v>
      </c>
      <c r="D4758" t="s">
        <v>29747</v>
      </c>
      <c r="E4758" t="s">
        <v>29748</v>
      </c>
      <c r="F4758" t="s">
        <v>108</v>
      </c>
      <c r="H4758" t="s">
        <v>29749</v>
      </c>
      <c r="I4758" t="s">
        <v>390</v>
      </c>
      <c r="J4758" t="s">
        <v>111</v>
      </c>
      <c r="K4758" t="str">
        <f>"85044"</f>
        <v>85044</v>
      </c>
      <c r="L4758" t="s">
        <v>6438</v>
      </c>
      <c r="M4758" t="s">
        <v>29749</v>
      </c>
      <c r="N4758" t="s">
        <v>390</v>
      </c>
      <c r="O4758" t="s">
        <v>111</v>
      </c>
      <c r="P4758" t="str">
        <f>"85044-6067"</f>
        <v>85044-6067</v>
      </c>
      <c r="Q4758" t="s">
        <v>113</v>
      </c>
      <c r="R4758" t="str">
        <f>"307-05-049"</f>
        <v>307-05-049</v>
      </c>
      <c r="S4758" t="s">
        <v>29750</v>
      </c>
      <c r="T4758" t="s">
        <v>29751</v>
      </c>
      <c r="U4758">
        <v>2155</v>
      </c>
      <c r="V4758">
        <v>0</v>
      </c>
      <c r="W4758">
        <v>3</v>
      </c>
      <c r="X4758">
        <v>1994</v>
      </c>
      <c r="Z4758">
        <v>1</v>
      </c>
      <c r="AA4758" t="s">
        <v>26</v>
      </c>
      <c r="AB4758">
        <v>0</v>
      </c>
      <c r="AC4758" t="s">
        <v>115</v>
      </c>
      <c r="AD4758">
        <v>3</v>
      </c>
      <c r="AE4758" t="s">
        <v>115</v>
      </c>
      <c r="AF4758">
        <v>0</v>
      </c>
      <c r="AG4758">
        <v>0</v>
      </c>
      <c r="AH4758" t="s">
        <v>116</v>
      </c>
      <c r="AI4758" s="1">
        <v>56553</v>
      </c>
      <c r="AJ4758" s="2">
        <v>0.13</v>
      </c>
      <c r="AK4758" s="1">
        <v>438246</v>
      </c>
      <c r="AL4758" t="s">
        <v>117</v>
      </c>
      <c r="AM4758" t="s">
        <v>191</v>
      </c>
      <c r="AN4758">
        <v>11940</v>
      </c>
      <c r="AO4758">
        <v>0.27</v>
      </c>
      <c r="AP4758">
        <v>1</v>
      </c>
      <c r="AR4758">
        <v>1</v>
      </c>
      <c r="AS4758" s="1">
        <v>31700</v>
      </c>
      <c r="AT4758" s="1">
        <v>6340</v>
      </c>
      <c r="AU4758" s="1">
        <v>25360</v>
      </c>
      <c r="AV4758">
        <v>80</v>
      </c>
      <c r="AX4758" s="1">
        <v>3307.26</v>
      </c>
      <c r="AY4758" t="s">
        <v>7418</v>
      </c>
      <c r="AZ4758" t="s">
        <v>7255</v>
      </c>
      <c r="BA4758" t="s">
        <v>5328</v>
      </c>
      <c r="BE4758" s="3">
        <v>42482</v>
      </c>
      <c r="BF4758" s="1">
        <v>369500</v>
      </c>
      <c r="BG4758" t="s">
        <v>29752</v>
      </c>
      <c r="BH4758" s="1">
        <v>171.46</v>
      </c>
      <c r="BI4758" s="1">
        <v>381693</v>
      </c>
      <c r="BJ4758" s="3">
        <v>42482</v>
      </c>
      <c r="BK4758" t="s">
        <v>123</v>
      </c>
      <c r="BL4758" t="str">
        <f>"2016.269216"</f>
        <v>2016.269216</v>
      </c>
      <c r="BM4758" t="s">
        <v>1287</v>
      </c>
      <c r="BO4758" t="s">
        <v>29753</v>
      </c>
      <c r="BS4758">
        <v>30</v>
      </c>
      <c r="BW4758" t="str">
        <f>""</f>
        <v/>
      </c>
      <c r="CH4758" t="str">
        <f>""</f>
        <v/>
      </c>
      <c r="CS4758" t="str">
        <f>""</f>
        <v/>
      </c>
    </row>
    <row r="4759" spans="1:97" x14ac:dyDescent="0.25">
      <c r="A4759" t="s">
        <v>7562</v>
      </c>
      <c r="B4759" t="s">
        <v>29754</v>
      </c>
      <c r="C4759" t="s">
        <v>2002</v>
      </c>
      <c r="D4759" t="s">
        <v>29754</v>
      </c>
      <c r="E4759" t="s">
        <v>29755</v>
      </c>
      <c r="F4759" t="s">
        <v>108</v>
      </c>
      <c r="H4759" t="s">
        <v>29756</v>
      </c>
      <c r="I4759" t="s">
        <v>167</v>
      </c>
      <c r="J4759" t="s">
        <v>111</v>
      </c>
      <c r="K4759" t="str">
        <f>"85339"</f>
        <v>85339</v>
      </c>
      <c r="L4759" t="s">
        <v>5367</v>
      </c>
      <c r="M4759" t="s">
        <v>29756</v>
      </c>
      <c r="N4759" t="s">
        <v>167</v>
      </c>
      <c r="O4759" t="s">
        <v>111</v>
      </c>
      <c r="P4759" t="str">
        <f>"85339-7215"</f>
        <v>85339-7215</v>
      </c>
      <c r="Q4759" t="s">
        <v>113</v>
      </c>
      <c r="R4759" t="str">
        <f>"104-87-510"</f>
        <v>104-87-510</v>
      </c>
      <c r="S4759" t="s">
        <v>12188</v>
      </c>
      <c r="U4759">
        <v>2156</v>
      </c>
      <c r="V4759">
        <v>0</v>
      </c>
      <c r="W4759">
        <v>3</v>
      </c>
      <c r="X4759">
        <v>2013</v>
      </c>
      <c r="Z4759">
        <v>1</v>
      </c>
      <c r="AB4759">
        <v>0</v>
      </c>
      <c r="AC4759" t="s">
        <v>115</v>
      </c>
      <c r="AD4759">
        <v>2</v>
      </c>
      <c r="AE4759" t="s">
        <v>115</v>
      </c>
      <c r="AF4759">
        <v>0</v>
      </c>
      <c r="AG4759">
        <v>0</v>
      </c>
      <c r="AH4759" t="s">
        <v>116</v>
      </c>
      <c r="AI4759" s="1">
        <v>56519</v>
      </c>
      <c r="AJ4759" s="2">
        <v>0.2</v>
      </c>
      <c r="AK4759" s="1">
        <v>276031</v>
      </c>
      <c r="AL4759" t="s">
        <v>117</v>
      </c>
      <c r="AM4759" t="s">
        <v>760</v>
      </c>
      <c r="AN4759">
        <v>5964</v>
      </c>
      <c r="AO4759">
        <v>0.14000000000000001</v>
      </c>
      <c r="AR4759">
        <v>1</v>
      </c>
      <c r="AS4759" s="1">
        <v>19970</v>
      </c>
      <c r="AT4759" s="1">
        <v>3990</v>
      </c>
      <c r="AU4759" s="1">
        <v>15980</v>
      </c>
      <c r="AV4759">
        <v>80.02</v>
      </c>
      <c r="AX4759" s="1">
        <v>2740.4</v>
      </c>
      <c r="AY4759" t="s">
        <v>172</v>
      </c>
      <c r="AZ4759" t="s">
        <v>172</v>
      </c>
      <c r="BA4759" t="s">
        <v>173</v>
      </c>
      <c r="BE4759" s="3">
        <v>42551</v>
      </c>
      <c r="BF4759" s="1">
        <v>213000</v>
      </c>
      <c r="BG4759" t="s">
        <v>29757</v>
      </c>
      <c r="BH4759" s="1">
        <v>98.79</v>
      </c>
      <c r="BI4759" s="1">
        <v>219512</v>
      </c>
      <c r="BJ4759" s="3">
        <v>42551</v>
      </c>
      <c r="BK4759" t="s">
        <v>123</v>
      </c>
      <c r="BL4759" t="str">
        <f>"2016.458011"</f>
        <v>2016.458011</v>
      </c>
      <c r="BM4759" t="s">
        <v>2368</v>
      </c>
      <c r="BO4759" t="s">
        <v>29758</v>
      </c>
      <c r="BS4759">
        <v>30</v>
      </c>
      <c r="BW4759" t="str">
        <f>""</f>
        <v/>
      </c>
      <c r="CH4759" t="str">
        <f>""</f>
        <v/>
      </c>
      <c r="CS4759" t="str">
        <f>""</f>
        <v/>
      </c>
    </row>
    <row r="4760" spans="1:97" x14ac:dyDescent="0.25">
      <c r="A4760" t="s">
        <v>5528</v>
      </c>
      <c r="B4760" t="s">
        <v>1082</v>
      </c>
      <c r="C4760" t="s">
        <v>179</v>
      </c>
      <c r="D4760" t="s">
        <v>1082</v>
      </c>
      <c r="E4760" t="s">
        <v>29759</v>
      </c>
      <c r="F4760" t="s">
        <v>108</v>
      </c>
      <c r="H4760" t="s">
        <v>29760</v>
      </c>
      <c r="I4760" t="s">
        <v>225</v>
      </c>
      <c r="J4760" t="s">
        <v>111</v>
      </c>
      <c r="K4760" t="str">
        <f>"85204"</f>
        <v>85204</v>
      </c>
      <c r="L4760" t="s">
        <v>5709</v>
      </c>
      <c r="M4760" t="s">
        <v>29760</v>
      </c>
      <c r="N4760" t="s">
        <v>225</v>
      </c>
      <c r="O4760" t="s">
        <v>111</v>
      </c>
      <c r="P4760" t="str">
        <f>"85204-6905"</f>
        <v>85204-6905</v>
      </c>
      <c r="Q4760" t="s">
        <v>113</v>
      </c>
      <c r="R4760" t="str">
        <f>"140-62-089"</f>
        <v>140-62-089</v>
      </c>
      <c r="S4760" t="s">
        <v>29761</v>
      </c>
      <c r="T4760" t="s">
        <v>29762</v>
      </c>
      <c r="U4760">
        <v>1506</v>
      </c>
      <c r="V4760">
        <v>0</v>
      </c>
      <c r="W4760">
        <v>2</v>
      </c>
      <c r="X4760">
        <v>1976</v>
      </c>
      <c r="Z4760">
        <v>1</v>
      </c>
      <c r="AA4760" t="s">
        <v>26</v>
      </c>
      <c r="AB4760">
        <v>0</v>
      </c>
      <c r="AC4760" t="s">
        <v>5188</v>
      </c>
      <c r="AD4760">
        <v>2</v>
      </c>
      <c r="AE4760" t="s">
        <v>5188</v>
      </c>
      <c r="AF4760">
        <v>0</v>
      </c>
      <c r="AG4760">
        <v>0</v>
      </c>
      <c r="AH4760" t="s">
        <v>116</v>
      </c>
      <c r="AI4760" s="1">
        <v>55419</v>
      </c>
      <c r="AJ4760" s="2">
        <v>0.21</v>
      </c>
      <c r="AK4760" s="1">
        <v>261762</v>
      </c>
      <c r="AL4760" t="s">
        <v>117</v>
      </c>
      <c r="AM4760" t="s">
        <v>191</v>
      </c>
      <c r="AN4760">
        <v>8376</v>
      </c>
      <c r="AO4760">
        <v>0.19</v>
      </c>
      <c r="AP4760">
        <v>1</v>
      </c>
      <c r="AR4760">
        <v>1</v>
      </c>
      <c r="AS4760" s="1">
        <v>19600</v>
      </c>
      <c r="AT4760" s="1">
        <v>3920</v>
      </c>
      <c r="AU4760" s="1">
        <v>15680</v>
      </c>
      <c r="AV4760">
        <v>80</v>
      </c>
      <c r="AX4760" s="1">
        <v>879.58</v>
      </c>
      <c r="AY4760" t="s">
        <v>25759</v>
      </c>
      <c r="AZ4760" t="s">
        <v>5478</v>
      </c>
      <c r="BA4760" t="s">
        <v>5033</v>
      </c>
      <c r="BE4760" s="3">
        <v>42328</v>
      </c>
      <c r="BF4760" s="1">
        <v>202000</v>
      </c>
      <c r="BG4760" t="s">
        <v>29763</v>
      </c>
      <c r="BH4760" s="1">
        <v>134.13</v>
      </c>
      <c r="BI4760" s="1">
        <v>206343</v>
      </c>
      <c r="BJ4760" s="3">
        <v>42328</v>
      </c>
      <c r="BK4760" t="s">
        <v>123</v>
      </c>
      <c r="BL4760" t="str">
        <f>"2015.830370"</f>
        <v>2015.830370</v>
      </c>
      <c r="BM4760" t="s">
        <v>2290</v>
      </c>
      <c r="BO4760" t="s">
        <v>29764</v>
      </c>
      <c r="BS4760">
        <v>30</v>
      </c>
      <c r="BW4760" t="str">
        <f>""</f>
        <v/>
      </c>
      <c r="CH4760" t="str">
        <f>""</f>
        <v/>
      </c>
      <c r="CS4760" t="str">
        <f>""</f>
        <v/>
      </c>
    </row>
    <row r="4761" spans="1:97" x14ac:dyDescent="0.25">
      <c r="A4761" t="s">
        <v>3817</v>
      </c>
      <c r="B4761" t="s">
        <v>29765</v>
      </c>
      <c r="C4761" t="s">
        <v>1047</v>
      </c>
      <c r="D4761" t="s">
        <v>29765</v>
      </c>
      <c r="E4761" t="s">
        <v>29766</v>
      </c>
      <c r="F4761" t="s">
        <v>108</v>
      </c>
      <c r="H4761" t="s">
        <v>29767</v>
      </c>
      <c r="I4761" t="s">
        <v>390</v>
      </c>
      <c r="J4761" t="s">
        <v>111</v>
      </c>
      <c r="K4761" t="str">
        <f>"85022"</f>
        <v>85022</v>
      </c>
      <c r="L4761" t="s">
        <v>9168</v>
      </c>
      <c r="M4761" t="s">
        <v>29767</v>
      </c>
      <c r="N4761" t="s">
        <v>390</v>
      </c>
      <c r="O4761" t="s">
        <v>111</v>
      </c>
      <c r="P4761" t="str">
        <f>"85022-4355"</f>
        <v>85022-4355</v>
      </c>
      <c r="Q4761" t="s">
        <v>113</v>
      </c>
      <c r="R4761" t="str">
        <f>"214-44-009-D"</f>
        <v>214-44-009-D</v>
      </c>
      <c r="U4761">
        <v>1835</v>
      </c>
      <c r="V4761">
        <v>0</v>
      </c>
      <c r="W4761">
        <v>2</v>
      </c>
      <c r="X4761">
        <v>1981</v>
      </c>
      <c r="Z4761">
        <v>1</v>
      </c>
      <c r="AA4761" t="s">
        <v>26</v>
      </c>
      <c r="AB4761">
        <v>0</v>
      </c>
      <c r="AC4761" t="s">
        <v>115</v>
      </c>
      <c r="AD4761">
        <v>2</v>
      </c>
      <c r="AE4761" t="s">
        <v>115</v>
      </c>
      <c r="AF4761">
        <v>0</v>
      </c>
      <c r="AG4761">
        <v>0</v>
      </c>
      <c r="AH4761" t="s">
        <v>116</v>
      </c>
      <c r="AI4761" s="1">
        <v>60076</v>
      </c>
      <c r="AJ4761" s="2">
        <v>0.17</v>
      </c>
      <c r="AK4761" s="1">
        <v>363675</v>
      </c>
      <c r="AL4761" t="s">
        <v>117</v>
      </c>
      <c r="AM4761" t="s">
        <v>1302</v>
      </c>
      <c r="AN4761">
        <v>10934</v>
      </c>
      <c r="AO4761">
        <v>0.25</v>
      </c>
      <c r="AP4761">
        <v>1</v>
      </c>
      <c r="AR4761">
        <v>1</v>
      </c>
      <c r="AS4761" s="1">
        <v>24920</v>
      </c>
      <c r="AT4761" s="1">
        <v>4980</v>
      </c>
      <c r="AU4761" s="1">
        <v>19940</v>
      </c>
      <c r="AV4761">
        <v>80.02</v>
      </c>
      <c r="AX4761" s="1">
        <v>2172.44</v>
      </c>
      <c r="AY4761" t="s">
        <v>5802</v>
      </c>
      <c r="AZ4761" t="s">
        <v>5489</v>
      </c>
      <c r="BA4761" t="s">
        <v>5232</v>
      </c>
      <c r="BE4761" s="3">
        <v>42114</v>
      </c>
      <c r="BF4761" s="1">
        <v>300000</v>
      </c>
      <c r="BG4761" t="s">
        <v>29768</v>
      </c>
      <c r="BH4761" s="1">
        <v>163.49</v>
      </c>
      <c r="BI4761" s="1">
        <v>303599</v>
      </c>
      <c r="BJ4761" s="3">
        <v>42660</v>
      </c>
      <c r="BK4761" t="s">
        <v>123</v>
      </c>
      <c r="BL4761" t="str">
        <f>"2016.760754"</f>
        <v>2016.760754</v>
      </c>
      <c r="BM4761" t="s">
        <v>2526</v>
      </c>
      <c r="BO4761" t="s">
        <v>29769</v>
      </c>
      <c r="BS4761">
        <v>30</v>
      </c>
      <c r="BW4761" t="str">
        <f>""</f>
        <v/>
      </c>
      <c r="CH4761" t="str">
        <f>""</f>
        <v/>
      </c>
      <c r="CS4761" t="str">
        <f>""</f>
        <v/>
      </c>
    </row>
    <row r="4762" spans="1:97" x14ac:dyDescent="0.25">
      <c r="A4762" t="s">
        <v>325</v>
      </c>
      <c r="B4762" t="s">
        <v>29770</v>
      </c>
      <c r="E4762" t="s">
        <v>29771</v>
      </c>
      <c r="F4762" t="s">
        <v>108</v>
      </c>
      <c r="H4762" t="s">
        <v>29772</v>
      </c>
      <c r="I4762" t="s">
        <v>110</v>
      </c>
      <c r="J4762" t="s">
        <v>111</v>
      </c>
      <c r="K4762" t="str">
        <f>"85224"</f>
        <v>85224</v>
      </c>
      <c r="L4762" t="s">
        <v>5228</v>
      </c>
      <c r="M4762" t="s">
        <v>29772</v>
      </c>
      <c r="N4762" t="s">
        <v>110</v>
      </c>
      <c r="O4762" t="s">
        <v>111</v>
      </c>
      <c r="P4762" t="str">
        <f>"85224-1150"</f>
        <v>85224-1150</v>
      </c>
      <c r="Q4762" t="s">
        <v>113</v>
      </c>
      <c r="R4762" t="str">
        <f>"302-86-293"</f>
        <v>302-86-293</v>
      </c>
      <c r="S4762" t="s">
        <v>22416</v>
      </c>
      <c r="U4762">
        <v>1106</v>
      </c>
      <c r="V4762">
        <v>0</v>
      </c>
      <c r="W4762">
        <v>2</v>
      </c>
      <c r="X4762">
        <v>1979</v>
      </c>
      <c r="Z4762">
        <v>1</v>
      </c>
      <c r="AB4762">
        <v>0</v>
      </c>
      <c r="AC4762" t="s">
        <v>5188</v>
      </c>
      <c r="AD4762">
        <v>1</v>
      </c>
      <c r="AE4762" t="s">
        <v>5188</v>
      </c>
      <c r="AF4762">
        <v>0</v>
      </c>
      <c r="AG4762">
        <v>0</v>
      </c>
      <c r="AH4762" t="s">
        <v>116</v>
      </c>
      <c r="AI4762" s="1">
        <v>42073</v>
      </c>
      <c r="AJ4762" s="2">
        <v>0.17</v>
      </c>
      <c r="AK4762" s="1">
        <v>244783</v>
      </c>
      <c r="AL4762" t="s">
        <v>117</v>
      </c>
      <c r="AM4762" t="s">
        <v>5077</v>
      </c>
      <c r="AN4762">
        <v>6077</v>
      </c>
      <c r="AO4762">
        <v>0.14000000000000001</v>
      </c>
      <c r="AP4762">
        <v>1</v>
      </c>
      <c r="AR4762">
        <v>1</v>
      </c>
      <c r="AS4762" s="1">
        <v>15050</v>
      </c>
      <c r="AT4762" s="1">
        <v>3010</v>
      </c>
      <c r="AU4762" s="1">
        <v>12040</v>
      </c>
      <c r="AV4762">
        <v>80</v>
      </c>
      <c r="AX4762" s="1">
        <v>910.2</v>
      </c>
      <c r="AY4762" t="s">
        <v>5310</v>
      </c>
      <c r="AZ4762" t="s">
        <v>5310</v>
      </c>
      <c r="BA4762" t="s">
        <v>5311</v>
      </c>
      <c r="BE4762" s="3">
        <v>42543</v>
      </c>
      <c r="BF4762" s="1">
        <v>200900</v>
      </c>
      <c r="BG4762" t="s">
        <v>29773</v>
      </c>
      <c r="BH4762" s="1">
        <v>181.65</v>
      </c>
      <c r="BI4762" s="1">
        <v>202710</v>
      </c>
      <c r="BJ4762" s="3">
        <v>43004</v>
      </c>
      <c r="BK4762" t="s">
        <v>123</v>
      </c>
      <c r="BL4762" t="str">
        <f>"2017.708432"</f>
        <v>2017.708432</v>
      </c>
      <c r="BM4762" t="s">
        <v>340</v>
      </c>
      <c r="BO4762" t="s">
        <v>29774</v>
      </c>
      <c r="BS4762">
        <v>29</v>
      </c>
      <c r="BW4762" t="str">
        <f>""</f>
        <v/>
      </c>
      <c r="CH4762" t="str">
        <f>""</f>
        <v/>
      </c>
      <c r="CS4762" t="str">
        <f>""</f>
        <v/>
      </c>
    </row>
    <row r="4763" spans="1:97" x14ac:dyDescent="0.25">
      <c r="A4763" t="s">
        <v>984</v>
      </c>
      <c r="B4763" t="s">
        <v>29775</v>
      </c>
      <c r="C4763" t="s">
        <v>29776</v>
      </c>
      <c r="D4763" t="s">
        <v>29775</v>
      </c>
      <c r="E4763" t="s">
        <v>29777</v>
      </c>
      <c r="F4763" t="s">
        <v>108</v>
      </c>
      <c r="H4763" t="s">
        <v>29778</v>
      </c>
      <c r="I4763" t="s">
        <v>167</v>
      </c>
      <c r="J4763" t="s">
        <v>111</v>
      </c>
      <c r="K4763" t="str">
        <f>"85339"</f>
        <v>85339</v>
      </c>
      <c r="L4763" t="s">
        <v>5367</v>
      </c>
      <c r="M4763" t="s">
        <v>29778</v>
      </c>
      <c r="N4763" t="s">
        <v>167</v>
      </c>
      <c r="O4763" t="s">
        <v>111</v>
      </c>
      <c r="P4763" t="str">
        <f>"85339-7080"</f>
        <v>85339-7080</v>
      </c>
      <c r="Q4763" t="s">
        <v>113</v>
      </c>
      <c r="R4763" t="str">
        <f>"104-87-244"</f>
        <v>104-87-244</v>
      </c>
      <c r="S4763" t="s">
        <v>12188</v>
      </c>
      <c r="U4763">
        <v>2562</v>
      </c>
      <c r="V4763">
        <v>0</v>
      </c>
      <c r="W4763">
        <v>3</v>
      </c>
      <c r="X4763">
        <v>2016</v>
      </c>
      <c r="Z4763">
        <v>1</v>
      </c>
      <c r="AB4763">
        <v>0</v>
      </c>
      <c r="AC4763" t="s">
        <v>115</v>
      </c>
      <c r="AD4763">
        <v>2</v>
      </c>
      <c r="AE4763" t="s">
        <v>115</v>
      </c>
      <c r="AF4763">
        <v>0</v>
      </c>
      <c r="AG4763">
        <v>0</v>
      </c>
      <c r="AH4763" t="s">
        <v>116</v>
      </c>
      <c r="AI4763" s="1">
        <v>69200</v>
      </c>
      <c r="AJ4763" s="2">
        <v>0.23</v>
      </c>
      <c r="AK4763" s="1">
        <v>302781</v>
      </c>
      <c r="AL4763" t="s">
        <v>117</v>
      </c>
      <c r="AM4763" t="s">
        <v>760</v>
      </c>
      <c r="AN4763">
        <v>7869</v>
      </c>
      <c r="AO4763">
        <v>0.18</v>
      </c>
      <c r="AR4763">
        <v>1</v>
      </c>
      <c r="AS4763" s="1">
        <v>22210</v>
      </c>
      <c r="AT4763" s="1">
        <v>4440</v>
      </c>
      <c r="AU4763" s="1">
        <v>17770</v>
      </c>
      <c r="AV4763">
        <v>80.010000000000005</v>
      </c>
      <c r="AX4763" s="1">
        <v>2851.46</v>
      </c>
      <c r="AY4763" t="s">
        <v>172</v>
      </c>
      <c r="AZ4763" t="s">
        <v>172</v>
      </c>
      <c r="BA4763" t="s">
        <v>173</v>
      </c>
      <c r="BE4763" s="3">
        <v>42509</v>
      </c>
      <c r="BF4763" s="1">
        <v>228665</v>
      </c>
      <c r="BG4763" t="s">
        <v>233</v>
      </c>
      <c r="BH4763" s="1">
        <v>89.25</v>
      </c>
      <c r="BI4763" s="1">
        <v>233581</v>
      </c>
      <c r="BJ4763" s="3">
        <v>42509</v>
      </c>
      <c r="BK4763" t="s">
        <v>123</v>
      </c>
      <c r="BL4763" t="str">
        <f>"2016.345946"</f>
        <v>2016.345946</v>
      </c>
      <c r="BM4763" t="s">
        <v>724</v>
      </c>
      <c r="BO4763" t="s">
        <v>29779</v>
      </c>
      <c r="BS4763">
        <v>30</v>
      </c>
      <c r="BW4763" t="str">
        <f>""</f>
        <v/>
      </c>
      <c r="CH4763" t="str">
        <f>""</f>
        <v/>
      </c>
      <c r="CS4763" t="str">
        <f>""</f>
        <v/>
      </c>
    </row>
    <row r="4764" spans="1:97" x14ac:dyDescent="0.25">
      <c r="A4764" t="s">
        <v>370</v>
      </c>
      <c r="B4764" t="s">
        <v>29780</v>
      </c>
      <c r="C4764" t="s">
        <v>29781</v>
      </c>
      <c r="D4764" t="s">
        <v>29780</v>
      </c>
      <c r="E4764" t="s">
        <v>29782</v>
      </c>
      <c r="F4764" t="s">
        <v>108</v>
      </c>
      <c r="H4764" t="s">
        <v>29783</v>
      </c>
      <c r="I4764" t="s">
        <v>632</v>
      </c>
      <c r="J4764" t="s">
        <v>111</v>
      </c>
      <c r="K4764" t="str">
        <f>"85379"</f>
        <v>85379</v>
      </c>
      <c r="L4764" t="s">
        <v>454</v>
      </c>
      <c r="M4764" t="s">
        <v>29783</v>
      </c>
      <c r="N4764" t="s">
        <v>632</v>
      </c>
      <c r="O4764" t="s">
        <v>111</v>
      </c>
      <c r="P4764" t="str">
        <f>"85379-1039"</f>
        <v>85379-1039</v>
      </c>
      <c r="Q4764" t="s">
        <v>113</v>
      </c>
      <c r="R4764" t="str">
        <f>"501-46-656"</f>
        <v>501-46-656</v>
      </c>
      <c r="S4764" t="s">
        <v>5319</v>
      </c>
      <c r="U4764">
        <v>2000</v>
      </c>
      <c r="V4764">
        <v>0</v>
      </c>
      <c r="W4764">
        <v>3</v>
      </c>
      <c r="X4764">
        <v>2013</v>
      </c>
      <c r="Z4764">
        <v>1</v>
      </c>
      <c r="AA4764" t="s">
        <v>26</v>
      </c>
      <c r="AB4764">
        <v>0</v>
      </c>
      <c r="AC4764" t="s">
        <v>115</v>
      </c>
      <c r="AD4764">
        <v>3</v>
      </c>
      <c r="AE4764" t="s">
        <v>115</v>
      </c>
      <c r="AF4764">
        <v>0</v>
      </c>
      <c r="AG4764">
        <v>0</v>
      </c>
      <c r="AH4764" t="s">
        <v>116</v>
      </c>
      <c r="AI4764" s="1">
        <v>66397</v>
      </c>
      <c r="AJ4764" s="2">
        <v>0.2</v>
      </c>
      <c r="AK4764" s="1">
        <v>331987</v>
      </c>
      <c r="AL4764" t="s">
        <v>117</v>
      </c>
      <c r="AM4764" t="s">
        <v>118</v>
      </c>
      <c r="AN4764">
        <v>8243</v>
      </c>
      <c r="AO4764">
        <v>0.19</v>
      </c>
      <c r="AR4764">
        <v>1</v>
      </c>
      <c r="AS4764" s="1">
        <v>23770</v>
      </c>
      <c r="AT4764" s="1">
        <v>4750</v>
      </c>
      <c r="AU4764" s="1">
        <v>19020</v>
      </c>
      <c r="AV4764">
        <v>80.02</v>
      </c>
      <c r="AX4764" s="1">
        <v>1627.7</v>
      </c>
      <c r="AY4764" t="s">
        <v>5060</v>
      </c>
      <c r="AZ4764" t="s">
        <v>5060</v>
      </c>
      <c r="BA4764" t="s">
        <v>5061</v>
      </c>
      <c r="BE4764" s="3">
        <v>41949</v>
      </c>
      <c r="BF4764" s="1">
        <v>260000</v>
      </c>
      <c r="BG4764" t="s">
        <v>29784</v>
      </c>
      <c r="BH4764" s="1">
        <v>130</v>
      </c>
      <c r="BI4764" s="1">
        <v>265590</v>
      </c>
      <c r="BJ4764" s="3">
        <v>41949</v>
      </c>
      <c r="BK4764" t="s">
        <v>123</v>
      </c>
      <c r="BL4764" t="str">
        <f>"2014.738827"</f>
        <v>2014.738827</v>
      </c>
      <c r="BM4764" t="s">
        <v>29785</v>
      </c>
      <c r="BO4764" t="s">
        <v>29786</v>
      </c>
      <c r="BS4764">
        <v>30</v>
      </c>
      <c r="BW4764" t="str">
        <f>""</f>
        <v/>
      </c>
      <c r="CH4764" t="str">
        <f>""</f>
        <v/>
      </c>
      <c r="CS4764" t="str">
        <f>""</f>
        <v/>
      </c>
    </row>
    <row r="4765" spans="1:97" x14ac:dyDescent="0.25">
      <c r="A4765" t="s">
        <v>1109</v>
      </c>
      <c r="B4765" t="s">
        <v>29787</v>
      </c>
      <c r="C4765" t="s">
        <v>1496</v>
      </c>
      <c r="D4765" t="s">
        <v>29787</v>
      </c>
      <c r="E4765" t="s">
        <v>29788</v>
      </c>
      <c r="F4765" t="s">
        <v>108</v>
      </c>
      <c r="H4765" t="s">
        <v>29789</v>
      </c>
      <c r="I4765" t="s">
        <v>632</v>
      </c>
      <c r="J4765" t="s">
        <v>111</v>
      </c>
      <c r="K4765" t="str">
        <f>"85379"</f>
        <v>85379</v>
      </c>
      <c r="L4765" t="s">
        <v>6416</v>
      </c>
      <c r="M4765" t="s">
        <v>29789</v>
      </c>
      <c r="N4765" t="s">
        <v>632</v>
      </c>
      <c r="O4765" t="s">
        <v>111</v>
      </c>
      <c r="P4765" t="str">
        <f>"85379-4245"</f>
        <v>85379-4245</v>
      </c>
      <c r="Q4765" t="s">
        <v>113</v>
      </c>
      <c r="R4765" t="str">
        <f>"509-08-395"</f>
        <v>509-08-395</v>
      </c>
      <c r="S4765" t="s">
        <v>13794</v>
      </c>
      <c r="U4765">
        <v>1755</v>
      </c>
      <c r="V4765">
        <v>0</v>
      </c>
      <c r="W4765">
        <v>3</v>
      </c>
      <c r="X4765">
        <v>2011</v>
      </c>
      <c r="Z4765">
        <v>1</v>
      </c>
      <c r="AB4765">
        <v>0</v>
      </c>
      <c r="AC4765" t="s">
        <v>115</v>
      </c>
      <c r="AD4765">
        <v>2</v>
      </c>
      <c r="AE4765" t="s">
        <v>115</v>
      </c>
      <c r="AF4765">
        <v>0</v>
      </c>
      <c r="AG4765">
        <v>0</v>
      </c>
      <c r="AH4765" t="s">
        <v>116</v>
      </c>
      <c r="AI4765" s="1">
        <v>77418</v>
      </c>
      <c r="AJ4765" s="2">
        <v>0.28000000000000003</v>
      </c>
      <c r="AK4765" s="1">
        <v>280521</v>
      </c>
      <c r="AL4765" t="s">
        <v>117</v>
      </c>
      <c r="AM4765" t="s">
        <v>118</v>
      </c>
      <c r="AN4765">
        <v>7055</v>
      </c>
      <c r="AO4765">
        <v>0.16</v>
      </c>
      <c r="AR4765">
        <v>1</v>
      </c>
      <c r="AS4765" s="1">
        <v>21360</v>
      </c>
      <c r="AT4765" s="1">
        <v>4270</v>
      </c>
      <c r="AU4765" s="1">
        <v>17090</v>
      </c>
      <c r="AV4765">
        <v>80.010000000000005</v>
      </c>
      <c r="AX4765" s="1">
        <v>2634.32</v>
      </c>
      <c r="AY4765" t="s">
        <v>634</v>
      </c>
      <c r="AZ4765" t="s">
        <v>634</v>
      </c>
      <c r="BA4765" t="s">
        <v>635</v>
      </c>
      <c r="BE4765" s="3">
        <v>41992</v>
      </c>
      <c r="BF4765" s="1">
        <v>192500</v>
      </c>
      <c r="BG4765" t="s">
        <v>29790</v>
      </c>
      <c r="BH4765" s="1">
        <v>109.69</v>
      </c>
      <c r="BI4765" s="1">
        <v>203103</v>
      </c>
      <c r="BJ4765" s="3">
        <v>42247</v>
      </c>
      <c r="BK4765" t="s">
        <v>123</v>
      </c>
      <c r="BL4765" t="str">
        <f>"2015.632541"</f>
        <v>2015.632541</v>
      </c>
      <c r="BM4765" t="s">
        <v>196</v>
      </c>
      <c r="BO4765" t="s">
        <v>29791</v>
      </c>
      <c r="BS4765">
        <v>30</v>
      </c>
      <c r="BW4765" t="str">
        <f>""</f>
        <v/>
      </c>
      <c r="CH4765" t="str">
        <f>""</f>
        <v/>
      </c>
      <c r="CS4765" t="str">
        <f>""</f>
        <v/>
      </c>
    </row>
    <row r="4766" spans="1:97" x14ac:dyDescent="0.25">
      <c r="A4766" t="s">
        <v>2058</v>
      </c>
      <c r="B4766" t="s">
        <v>29792</v>
      </c>
      <c r="E4766" t="s">
        <v>29793</v>
      </c>
      <c r="F4766" t="s">
        <v>108</v>
      </c>
      <c r="H4766" t="s">
        <v>29794</v>
      </c>
      <c r="I4766" t="s">
        <v>632</v>
      </c>
      <c r="J4766" t="s">
        <v>111</v>
      </c>
      <c r="K4766" t="str">
        <f>"85388"</f>
        <v>85388</v>
      </c>
      <c r="L4766" t="s">
        <v>5165</v>
      </c>
      <c r="M4766" t="s">
        <v>29794</v>
      </c>
      <c r="N4766" t="s">
        <v>632</v>
      </c>
      <c r="O4766" t="s">
        <v>111</v>
      </c>
      <c r="P4766" t="str">
        <f>"85388-5047"</f>
        <v>85388-5047</v>
      </c>
      <c r="Q4766" t="s">
        <v>113</v>
      </c>
      <c r="R4766" t="str">
        <f>"502-05-172"</f>
        <v>502-05-172</v>
      </c>
      <c r="S4766" t="s">
        <v>5166</v>
      </c>
      <c r="T4766" t="s">
        <v>5167</v>
      </c>
      <c r="U4766">
        <v>2761</v>
      </c>
      <c r="V4766">
        <v>0</v>
      </c>
      <c r="W4766">
        <v>4</v>
      </c>
      <c r="X4766">
        <v>2006</v>
      </c>
      <c r="Z4766">
        <v>2</v>
      </c>
      <c r="AB4766">
        <v>0</v>
      </c>
      <c r="AC4766" t="s">
        <v>115</v>
      </c>
      <c r="AD4766">
        <v>2</v>
      </c>
      <c r="AE4766" t="s">
        <v>115</v>
      </c>
      <c r="AF4766">
        <v>0</v>
      </c>
      <c r="AG4766">
        <v>0</v>
      </c>
      <c r="AH4766" t="s">
        <v>116</v>
      </c>
      <c r="AI4766" s="1">
        <v>70192</v>
      </c>
      <c r="AJ4766" s="2">
        <v>0.25</v>
      </c>
      <c r="AK4766" s="1">
        <v>283563</v>
      </c>
      <c r="AL4766" t="s">
        <v>117</v>
      </c>
      <c r="AM4766" t="s">
        <v>118</v>
      </c>
      <c r="AN4766">
        <v>7421</v>
      </c>
      <c r="AO4766">
        <v>0.17</v>
      </c>
      <c r="AP4766">
        <v>1</v>
      </c>
      <c r="AR4766">
        <v>1</v>
      </c>
      <c r="AS4766" s="1">
        <v>20770</v>
      </c>
      <c r="AT4766" s="1">
        <v>4150</v>
      </c>
      <c r="AU4766" s="1">
        <v>16620</v>
      </c>
      <c r="AV4766">
        <v>80.02</v>
      </c>
      <c r="AX4766" s="1">
        <v>1776.88</v>
      </c>
      <c r="AY4766" t="s">
        <v>5168</v>
      </c>
      <c r="AZ4766" t="s">
        <v>5168</v>
      </c>
      <c r="BA4766" t="s">
        <v>5061</v>
      </c>
      <c r="BE4766" s="3">
        <v>42300</v>
      </c>
      <c r="BF4766" s="1">
        <v>209000</v>
      </c>
      <c r="BG4766" t="s">
        <v>5716</v>
      </c>
      <c r="BH4766" s="1">
        <v>75.7</v>
      </c>
      <c r="BI4766" s="1">
        <v>213371</v>
      </c>
      <c r="BJ4766" s="3">
        <v>42748</v>
      </c>
      <c r="BK4766" t="s">
        <v>123</v>
      </c>
      <c r="BL4766" t="str">
        <f>"2017.28219"</f>
        <v>2017.28219</v>
      </c>
      <c r="BM4766" t="s">
        <v>322</v>
      </c>
      <c r="BO4766" t="s">
        <v>29795</v>
      </c>
      <c r="BP4766" t="s">
        <v>29796</v>
      </c>
      <c r="BS4766">
        <v>30</v>
      </c>
      <c r="BW4766" t="str">
        <f>""</f>
        <v/>
      </c>
      <c r="CH4766" t="str">
        <f>""</f>
        <v/>
      </c>
      <c r="CS4766" t="str">
        <f>""</f>
        <v/>
      </c>
    </row>
    <row r="4767" spans="1:97" x14ac:dyDescent="0.25">
      <c r="A4767" t="s">
        <v>4491</v>
      </c>
      <c r="B4767" t="s">
        <v>29797</v>
      </c>
      <c r="E4767" t="s">
        <v>29798</v>
      </c>
      <c r="F4767" t="s">
        <v>108</v>
      </c>
      <c r="H4767" t="s">
        <v>29799</v>
      </c>
      <c r="I4767" t="s">
        <v>225</v>
      </c>
      <c r="J4767" t="s">
        <v>111</v>
      </c>
      <c r="K4767" t="str">
        <f>"85213"</f>
        <v>85213</v>
      </c>
      <c r="L4767" t="s">
        <v>926</v>
      </c>
      <c r="M4767" t="s">
        <v>29799</v>
      </c>
      <c r="N4767" t="s">
        <v>225</v>
      </c>
      <c r="O4767" t="s">
        <v>111</v>
      </c>
      <c r="P4767" t="str">
        <f>"85213-6717"</f>
        <v>85213-6717</v>
      </c>
      <c r="Q4767" t="s">
        <v>113</v>
      </c>
      <c r="R4767" t="str">
        <f>"140-09-266"</f>
        <v>140-09-266</v>
      </c>
      <c r="S4767" t="s">
        <v>29800</v>
      </c>
      <c r="T4767" t="s">
        <v>29801</v>
      </c>
      <c r="U4767">
        <v>2170</v>
      </c>
      <c r="V4767">
        <v>0</v>
      </c>
      <c r="W4767">
        <v>2</v>
      </c>
      <c r="X4767">
        <v>1975</v>
      </c>
      <c r="Z4767">
        <v>1</v>
      </c>
      <c r="AA4767" t="s">
        <v>26</v>
      </c>
      <c r="AB4767">
        <v>0</v>
      </c>
      <c r="AC4767" t="s">
        <v>5188</v>
      </c>
      <c r="AD4767">
        <v>2</v>
      </c>
      <c r="AE4767" t="s">
        <v>5188</v>
      </c>
      <c r="AF4767">
        <v>0</v>
      </c>
      <c r="AG4767">
        <v>0</v>
      </c>
      <c r="AH4767" t="s">
        <v>116</v>
      </c>
      <c r="AI4767" s="1">
        <v>78750</v>
      </c>
      <c r="AJ4767" s="2">
        <v>0.24</v>
      </c>
      <c r="AK4767" s="1">
        <v>323054</v>
      </c>
      <c r="AL4767" t="s">
        <v>117</v>
      </c>
      <c r="AM4767" t="s">
        <v>917</v>
      </c>
      <c r="AN4767">
        <v>9207</v>
      </c>
      <c r="AO4767">
        <v>0.21</v>
      </c>
      <c r="AP4767">
        <v>1</v>
      </c>
      <c r="AR4767">
        <v>1</v>
      </c>
      <c r="AS4767" s="1">
        <v>21560</v>
      </c>
      <c r="AT4767" s="1">
        <v>4310</v>
      </c>
      <c r="AU4767" s="1">
        <v>17250</v>
      </c>
      <c r="AV4767">
        <v>80.010000000000005</v>
      </c>
      <c r="AX4767" s="1">
        <v>1642.14</v>
      </c>
      <c r="AY4767" t="s">
        <v>9091</v>
      </c>
      <c r="AZ4767" t="s">
        <v>1523</v>
      </c>
      <c r="BA4767" t="s">
        <v>1524</v>
      </c>
      <c r="BE4767" s="3">
        <v>41851</v>
      </c>
      <c r="BF4767" s="1">
        <v>236500</v>
      </c>
      <c r="BG4767" t="s">
        <v>29802</v>
      </c>
      <c r="BH4767" s="1">
        <v>108.99</v>
      </c>
      <c r="BI4767" s="1">
        <v>244304</v>
      </c>
      <c r="BJ4767" s="3">
        <v>41851</v>
      </c>
      <c r="BK4767" t="s">
        <v>123</v>
      </c>
      <c r="BL4767" t="str">
        <f>"2014.501174"</f>
        <v>2014.501174</v>
      </c>
      <c r="BM4767" t="s">
        <v>2094</v>
      </c>
      <c r="BO4767" t="s">
        <v>29803</v>
      </c>
      <c r="BS4767">
        <v>30</v>
      </c>
      <c r="BW4767" t="str">
        <f>""</f>
        <v/>
      </c>
      <c r="CH4767" t="str">
        <f>""</f>
        <v/>
      </c>
      <c r="CS4767" t="str">
        <f>""</f>
        <v/>
      </c>
    </row>
    <row r="4768" spans="1:97" x14ac:dyDescent="0.25">
      <c r="A4768" t="s">
        <v>1009</v>
      </c>
      <c r="B4768" t="s">
        <v>4087</v>
      </c>
      <c r="C4768" t="s">
        <v>29804</v>
      </c>
      <c r="D4768" t="s">
        <v>4087</v>
      </c>
      <c r="E4768" t="s">
        <v>29805</v>
      </c>
      <c r="F4768" t="s">
        <v>108</v>
      </c>
      <c r="H4768" t="s">
        <v>29806</v>
      </c>
      <c r="I4768" t="s">
        <v>499</v>
      </c>
      <c r="J4768" t="s">
        <v>111</v>
      </c>
      <c r="K4768" t="str">
        <f>"85338"</f>
        <v>85338</v>
      </c>
      <c r="L4768" t="s">
        <v>6431</v>
      </c>
      <c r="M4768" t="s">
        <v>29806</v>
      </c>
      <c r="N4768" t="s">
        <v>499</v>
      </c>
      <c r="O4768" t="s">
        <v>111</v>
      </c>
      <c r="P4768" t="str">
        <f>"85338-7410"</f>
        <v>85338-7410</v>
      </c>
      <c r="Q4768" t="s">
        <v>113</v>
      </c>
      <c r="R4768" t="str">
        <f>"500-97-346"</f>
        <v>500-97-346</v>
      </c>
      <c r="S4768" t="s">
        <v>29807</v>
      </c>
      <c r="U4768">
        <v>1913</v>
      </c>
      <c r="V4768">
        <v>0</v>
      </c>
      <c r="W4768">
        <v>3</v>
      </c>
      <c r="X4768">
        <v>2010</v>
      </c>
      <c r="Z4768">
        <v>1</v>
      </c>
      <c r="AA4768" t="s">
        <v>26</v>
      </c>
      <c r="AB4768">
        <v>0</v>
      </c>
      <c r="AC4768" t="s">
        <v>115</v>
      </c>
      <c r="AD4768">
        <v>2</v>
      </c>
      <c r="AE4768" t="s">
        <v>115</v>
      </c>
      <c r="AF4768">
        <v>0</v>
      </c>
      <c r="AG4768">
        <v>0</v>
      </c>
      <c r="AH4768" t="s">
        <v>116</v>
      </c>
      <c r="AI4768" s="1">
        <v>36540</v>
      </c>
      <c r="AJ4768" s="2">
        <v>0.13</v>
      </c>
      <c r="AK4768" s="1">
        <v>284764</v>
      </c>
      <c r="AL4768" t="s">
        <v>117</v>
      </c>
      <c r="AM4768" t="s">
        <v>118</v>
      </c>
      <c r="AN4768">
        <v>6566</v>
      </c>
      <c r="AO4768">
        <v>0.15</v>
      </c>
      <c r="AR4768">
        <v>1</v>
      </c>
      <c r="AS4768" s="1">
        <v>20070</v>
      </c>
      <c r="AT4768" s="1">
        <v>4010</v>
      </c>
      <c r="AU4768" s="1">
        <v>16060</v>
      </c>
      <c r="AV4768">
        <v>80.02</v>
      </c>
      <c r="AX4768" s="1">
        <v>2006.26</v>
      </c>
      <c r="AY4768" t="s">
        <v>6319</v>
      </c>
      <c r="AZ4768" t="s">
        <v>6319</v>
      </c>
      <c r="BA4768" t="s">
        <v>218</v>
      </c>
      <c r="BE4768" s="3">
        <v>42521</v>
      </c>
      <c r="BF4768" s="1">
        <v>243000</v>
      </c>
      <c r="BG4768" t="s">
        <v>29808</v>
      </c>
      <c r="BH4768" s="1">
        <v>127.03</v>
      </c>
      <c r="BI4768" s="1">
        <v>248224</v>
      </c>
      <c r="BJ4768" s="3">
        <v>42521</v>
      </c>
      <c r="BK4768" t="s">
        <v>123</v>
      </c>
      <c r="BL4768" t="str">
        <f>"2016.374552"</f>
        <v>2016.374552</v>
      </c>
      <c r="BM4768" t="s">
        <v>594</v>
      </c>
      <c r="BO4768" t="s">
        <v>29809</v>
      </c>
      <c r="BS4768">
        <v>30</v>
      </c>
      <c r="BW4768" t="str">
        <f>""</f>
        <v/>
      </c>
      <c r="CH4768" t="str">
        <f>""</f>
        <v/>
      </c>
      <c r="CS4768" t="str">
        <f>""</f>
        <v/>
      </c>
    </row>
    <row r="4769" spans="1:97" x14ac:dyDescent="0.25">
      <c r="A4769" t="s">
        <v>1514</v>
      </c>
      <c r="B4769" t="s">
        <v>29810</v>
      </c>
      <c r="C4769" t="s">
        <v>15361</v>
      </c>
      <c r="D4769" t="s">
        <v>1208</v>
      </c>
      <c r="E4769" t="s">
        <v>29811</v>
      </c>
      <c r="F4769" t="s">
        <v>108</v>
      </c>
      <c r="H4769" t="s">
        <v>29812</v>
      </c>
      <c r="I4769" t="s">
        <v>203</v>
      </c>
      <c r="J4769" t="s">
        <v>111</v>
      </c>
      <c r="K4769" t="str">
        <f>"85298"</f>
        <v>85298</v>
      </c>
      <c r="L4769" t="s">
        <v>681</v>
      </c>
      <c r="M4769" t="s">
        <v>29812</v>
      </c>
      <c r="N4769" t="s">
        <v>203</v>
      </c>
      <c r="O4769" t="s">
        <v>111</v>
      </c>
      <c r="P4769" t="str">
        <f>"85298"</f>
        <v>85298</v>
      </c>
      <c r="Q4769" t="s">
        <v>113</v>
      </c>
      <c r="R4769" t="str">
        <f>"304-71-925"</f>
        <v>304-71-925</v>
      </c>
      <c r="S4769" t="s">
        <v>6911</v>
      </c>
      <c r="T4769" t="s">
        <v>287</v>
      </c>
      <c r="U4769">
        <v>2177</v>
      </c>
      <c r="V4769">
        <v>0</v>
      </c>
      <c r="W4769">
        <v>4</v>
      </c>
      <c r="X4769">
        <v>2014</v>
      </c>
      <c r="Z4769">
        <v>2</v>
      </c>
      <c r="AB4769">
        <v>0</v>
      </c>
      <c r="AC4769" t="s">
        <v>115</v>
      </c>
      <c r="AD4769">
        <v>2</v>
      </c>
      <c r="AE4769" t="s">
        <v>115</v>
      </c>
      <c r="AF4769">
        <v>0</v>
      </c>
      <c r="AG4769">
        <v>0</v>
      </c>
      <c r="AH4769" t="s">
        <v>116</v>
      </c>
      <c r="AI4769" s="1">
        <v>115555</v>
      </c>
      <c r="AJ4769" s="2">
        <v>0.3</v>
      </c>
      <c r="AK4769" s="1">
        <v>384751</v>
      </c>
      <c r="AL4769" t="s">
        <v>117</v>
      </c>
      <c r="AM4769" t="s">
        <v>288</v>
      </c>
      <c r="AN4769">
        <v>4768</v>
      </c>
      <c r="AO4769">
        <v>0.11</v>
      </c>
      <c r="AR4769">
        <v>1</v>
      </c>
      <c r="AS4769" s="1">
        <v>26380</v>
      </c>
      <c r="AT4769" s="1">
        <v>5270</v>
      </c>
      <c r="AU4769" s="1">
        <v>21110</v>
      </c>
      <c r="AV4769">
        <v>80.02</v>
      </c>
      <c r="AX4769" s="1">
        <v>1999.18</v>
      </c>
      <c r="AY4769" t="s">
        <v>289</v>
      </c>
      <c r="AZ4769" t="s">
        <v>289</v>
      </c>
      <c r="BA4769" t="s">
        <v>290</v>
      </c>
      <c r="BB4769" s="3">
        <v>42230</v>
      </c>
      <c r="BD4769" t="s">
        <v>240</v>
      </c>
      <c r="BE4769" s="3">
        <v>41698</v>
      </c>
      <c r="BF4769" s="1">
        <v>298873</v>
      </c>
      <c r="BG4769" t="s">
        <v>6912</v>
      </c>
      <c r="BH4769" s="1">
        <v>137.29</v>
      </c>
      <c r="BI4769" s="1">
        <v>269196</v>
      </c>
      <c r="BJ4769" s="3">
        <v>41698</v>
      </c>
      <c r="BK4769" t="s">
        <v>123</v>
      </c>
      <c r="BL4769" t="str">
        <f>"2014.133196"</f>
        <v>2014.133196</v>
      </c>
      <c r="BM4769" t="s">
        <v>1831</v>
      </c>
      <c r="BO4769" t="s">
        <v>29813</v>
      </c>
      <c r="BS4769">
        <v>30</v>
      </c>
      <c r="BW4769" t="str">
        <f>""</f>
        <v/>
      </c>
      <c r="CH4769" t="str">
        <f>""</f>
        <v/>
      </c>
      <c r="CS4769" t="str">
        <f>""</f>
        <v/>
      </c>
    </row>
    <row r="4770" spans="1:97" x14ac:dyDescent="0.25">
      <c r="A4770" t="s">
        <v>1109</v>
      </c>
      <c r="B4770" t="s">
        <v>29814</v>
      </c>
      <c r="C4770" t="s">
        <v>4815</v>
      </c>
      <c r="D4770" t="s">
        <v>29814</v>
      </c>
      <c r="E4770" t="s">
        <v>29815</v>
      </c>
      <c r="F4770" t="s">
        <v>108</v>
      </c>
      <c r="H4770" t="s">
        <v>29816</v>
      </c>
      <c r="I4770" t="s">
        <v>225</v>
      </c>
      <c r="J4770" t="s">
        <v>111</v>
      </c>
      <c r="K4770" t="str">
        <f>"85206"</f>
        <v>85206</v>
      </c>
      <c r="L4770" t="s">
        <v>9764</v>
      </c>
      <c r="M4770" t="s">
        <v>29816</v>
      </c>
      <c r="N4770" t="s">
        <v>225</v>
      </c>
      <c r="O4770" t="s">
        <v>111</v>
      </c>
      <c r="P4770" t="str">
        <f>"85206-2833"</f>
        <v>85206-2833</v>
      </c>
      <c r="Q4770" t="s">
        <v>113</v>
      </c>
      <c r="R4770" t="str">
        <f>"140-53-359"</f>
        <v>140-53-359</v>
      </c>
      <c r="S4770" t="s">
        <v>29817</v>
      </c>
      <c r="U4770">
        <v>1959</v>
      </c>
      <c r="V4770">
        <v>0</v>
      </c>
      <c r="W4770">
        <v>2</v>
      </c>
      <c r="X4770">
        <v>1978</v>
      </c>
      <c r="Z4770">
        <v>1</v>
      </c>
      <c r="AB4770">
        <v>0</v>
      </c>
      <c r="AC4770" t="s">
        <v>5188</v>
      </c>
      <c r="AD4770">
        <v>2</v>
      </c>
      <c r="AE4770" t="s">
        <v>5188</v>
      </c>
      <c r="AF4770">
        <v>0</v>
      </c>
      <c r="AG4770">
        <v>0</v>
      </c>
      <c r="AH4770" t="s">
        <v>116</v>
      </c>
      <c r="AI4770" s="1">
        <v>2292</v>
      </c>
      <c r="AJ4770" s="2">
        <v>0.01</v>
      </c>
      <c r="AK4770" s="1">
        <v>256926</v>
      </c>
      <c r="AL4770" t="s">
        <v>117</v>
      </c>
      <c r="AM4770" t="s">
        <v>191</v>
      </c>
      <c r="AN4770">
        <v>6384</v>
      </c>
      <c r="AO4770">
        <v>0.15</v>
      </c>
      <c r="AP4770">
        <v>1</v>
      </c>
      <c r="AR4770">
        <v>1</v>
      </c>
      <c r="AS4770" s="1">
        <v>17370</v>
      </c>
      <c r="AT4770" s="1">
        <v>3470</v>
      </c>
      <c r="AU4770" s="1">
        <v>13900</v>
      </c>
      <c r="AV4770">
        <v>80.02</v>
      </c>
      <c r="AX4770" s="1">
        <v>1569.12</v>
      </c>
      <c r="AY4770" t="s">
        <v>6934</v>
      </c>
      <c r="AZ4770" t="s">
        <v>5158</v>
      </c>
      <c r="BA4770" t="s">
        <v>5159</v>
      </c>
      <c r="BB4770" s="3">
        <v>42941</v>
      </c>
      <c r="BD4770" t="s">
        <v>157</v>
      </c>
      <c r="BE4770" s="3">
        <v>41989</v>
      </c>
      <c r="BF4770" s="1">
        <v>178000</v>
      </c>
      <c r="BG4770" t="s">
        <v>29818</v>
      </c>
      <c r="BH4770" s="1">
        <v>90.86</v>
      </c>
      <c r="BI4770" s="1">
        <v>254634</v>
      </c>
      <c r="BJ4770" s="3">
        <v>42940</v>
      </c>
      <c r="BK4770" t="s">
        <v>123</v>
      </c>
      <c r="BL4770" t="str">
        <f>"2017.536415"</f>
        <v>2017.536415</v>
      </c>
      <c r="BM4770" t="s">
        <v>2084</v>
      </c>
      <c r="BO4770" t="s">
        <v>29819</v>
      </c>
      <c r="BS4770">
        <v>30</v>
      </c>
      <c r="BW4770" t="str">
        <f>""</f>
        <v/>
      </c>
      <c r="CH4770" t="str">
        <f>""</f>
        <v/>
      </c>
      <c r="CS4770" t="str">
        <f>""</f>
        <v/>
      </c>
    </row>
    <row r="4771" spans="1:97" x14ac:dyDescent="0.25">
      <c r="A4771" t="s">
        <v>177</v>
      </c>
      <c r="B4771" t="s">
        <v>3333</v>
      </c>
      <c r="C4771" t="s">
        <v>2319</v>
      </c>
      <c r="D4771" t="s">
        <v>163</v>
      </c>
      <c r="E4771" t="s">
        <v>29820</v>
      </c>
      <c r="F4771" t="s">
        <v>108</v>
      </c>
      <c r="H4771" t="s">
        <v>29821</v>
      </c>
      <c r="I4771" t="s">
        <v>144</v>
      </c>
      <c r="J4771" t="s">
        <v>111</v>
      </c>
      <c r="K4771" t="str">
        <f>"85326"</f>
        <v>85326</v>
      </c>
      <c r="L4771" t="s">
        <v>6308</v>
      </c>
      <c r="M4771" t="s">
        <v>29821</v>
      </c>
      <c r="N4771" t="s">
        <v>144</v>
      </c>
      <c r="O4771" t="s">
        <v>111</v>
      </c>
      <c r="P4771" t="str">
        <f>"85326-3388"</f>
        <v>85326-3388</v>
      </c>
      <c r="Q4771" t="s">
        <v>113</v>
      </c>
      <c r="R4771" t="str">
        <f>"504-24-306"</f>
        <v>504-24-306</v>
      </c>
      <c r="S4771" t="s">
        <v>15209</v>
      </c>
      <c r="T4771" t="s">
        <v>15209</v>
      </c>
      <c r="U4771">
        <v>3208</v>
      </c>
      <c r="V4771">
        <v>0</v>
      </c>
      <c r="W4771">
        <v>4</v>
      </c>
      <c r="X4771">
        <v>2014</v>
      </c>
      <c r="Z4771">
        <v>2</v>
      </c>
      <c r="AB4771">
        <v>0</v>
      </c>
      <c r="AC4771" t="s">
        <v>115</v>
      </c>
      <c r="AD4771">
        <v>2</v>
      </c>
      <c r="AE4771" t="s">
        <v>115</v>
      </c>
      <c r="AF4771">
        <v>0</v>
      </c>
      <c r="AG4771">
        <v>0</v>
      </c>
      <c r="AH4771" t="s">
        <v>116</v>
      </c>
      <c r="AI4771" s="1">
        <v>76039</v>
      </c>
      <c r="AJ4771" s="2">
        <v>0.26</v>
      </c>
      <c r="AK4771" s="1">
        <v>295669</v>
      </c>
      <c r="AL4771" t="s">
        <v>117</v>
      </c>
      <c r="AM4771" t="s">
        <v>5023</v>
      </c>
      <c r="AN4771">
        <v>7792</v>
      </c>
      <c r="AO4771">
        <v>0.18</v>
      </c>
      <c r="AR4771">
        <v>1</v>
      </c>
      <c r="AS4771" s="1">
        <v>21360</v>
      </c>
      <c r="AT4771" s="1">
        <v>4270</v>
      </c>
      <c r="AU4771" s="1">
        <v>17090</v>
      </c>
      <c r="AV4771">
        <v>80.010000000000005</v>
      </c>
      <c r="AX4771" s="1">
        <v>2028.12</v>
      </c>
      <c r="AY4771" t="s">
        <v>9621</v>
      </c>
      <c r="AZ4771" t="s">
        <v>9621</v>
      </c>
      <c r="BA4771" t="s">
        <v>5025</v>
      </c>
      <c r="BE4771" s="3">
        <v>41961</v>
      </c>
      <c r="BF4771" s="1">
        <v>219630</v>
      </c>
      <c r="BG4771" t="s">
        <v>1404</v>
      </c>
      <c r="BH4771" s="1">
        <v>68.459999999999994</v>
      </c>
      <c r="BI4771" s="1">
        <v>219630</v>
      </c>
      <c r="BJ4771" s="3">
        <v>41961</v>
      </c>
      <c r="BK4771" t="s">
        <v>123</v>
      </c>
      <c r="BL4771" t="str">
        <f>"2014.760099"</f>
        <v>2014.760099</v>
      </c>
      <c r="BM4771" t="s">
        <v>3294</v>
      </c>
      <c r="BO4771" t="s">
        <v>29822</v>
      </c>
      <c r="BP4771" t="s">
        <v>29823</v>
      </c>
      <c r="BS4771">
        <v>30</v>
      </c>
      <c r="BW4771" t="str">
        <f>""</f>
        <v/>
      </c>
      <c r="CH4771" t="str">
        <f>""</f>
        <v/>
      </c>
      <c r="CS4771" t="str">
        <f>""</f>
        <v/>
      </c>
    </row>
    <row r="4772" spans="1:97" x14ac:dyDescent="0.25">
      <c r="A4772" t="s">
        <v>29824</v>
      </c>
      <c r="B4772" t="s">
        <v>348</v>
      </c>
      <c r="C4772" t="s">
        <v>2793</v>
      </c>
      <c r="D4772" t="s">
        <v>348</v>
      </c>
      <c r="E4772" t="s">
        <v>29825</v>
      </c>
      <c r="F4772" t="s">
        <v>108</v>
      </c>
      <c r="H4772" t="s">
        <v>29826</v>
      </c>
      <c r="I4772" t="s">
        <v>6844</v>
      </c>
      <c r="J4772" t="s">
        <v>111</v>
      </c>
      <c r="K4772" t="str">
        <f>"85361"</f>
        <v>85361</v>
      </c>
      <c r="L4772" t="s">
        <v>1789</v>
      </c>
      <c r="M4772" t="s">
        <v>29826</v>
      </c>
      <c r="N4772" t="s">
        <v>6844</v>
      </c>
      <c r="O4772" t="s">
        <v>111</v>
      </c>
      <c r="P4772" t="str">
        <f>"85361-8549"</f>
        <v>85361-8549</v>
      </c>
      <c r="Q4772" t="s">
        <v>113</v>
      </c>
      <c r="R4772" t="str">
        <f>"503-32-349"</f>
        <v>503-32-349</v>
      </c>
      <c r="S4772" t="s">
        <v>6845</v>
      </c>
      <c r="T4772" t="s">
        <v>6846</v>
      </c>
      <c r="U4772">
        <v>2140</v>
      </c>
      <c r="V4772">
        <v>0</v>
      </c>
      <c r="W4772">
        <v>3</v>
      </c>
      <c r="X4772">
        <v>2005</v>
      </c>
      <c r="Z4772">
        <v>1</v>
      </c>
      <c r="AA4772" t="s">
        <v>26</v>
      </c>
      <c r="AB4772">
        <v>0</v>
      </c>
      <c r="AC4772" t="s">
        <v>115</v>
      </c>
      <c r="AD4772">
        <v>2</v>
      </c>
      <c r="AE4772" t="s">
        <v>115</v>
      </c>
      <c r="AF4772">
        <v>0</v>
      </c>
      <c r="AG4772">
        <v>0</v>
      </c>
      <c r="AH4772" t="s">
        <v>116</v>
      </c>
      <c r="AI4772" s="1">
        <v>71880</v>
      </c>
      <c r="AJ4772" s="2">
        <v>0.22</v>
      </c>
      <c r="AK4772" s="1">
        <v>331908</v>
      </c>
      <c r="AL4772" t="s">
        <v>117</v>
      </c>
      <c r="AM4772" t="s">
        <v>376</v>
      </c>
      <c r="AN4772">
        <v>50201</v>
      </c>
      <c r="AO4772">
        <v>1.1499999999999999</v>
      </c>
      <c r="AR4772">
        <v>1</v>
      </c>
      <c r="AS4772" s="1">
        <v>27010</v>
      </c>
      <c r="AT4772" s="1">
        <v>5400</v>
      </c>
      <c r="AU4772" s="1">
        <v>21610</v>
      </c>
      <c r="AV4772">
        <v>80.010000000000005</v>
      </c>
      <c r="AX4772" s="1">
        <v>1863.52</v>
      </c>
      <c r="AY4772" t="s">
        <v>6847</v>
      </c>
      <c r="AZ4772" t="s">
        <v>6847</v>
      </c>
      <c r="BE4772" s="3">
        <v>42352</v>
      </c>
      <c r="BF4772" s="1">
        <v>258640</v>
      </c>
      <c r="BG4772" t="s">
        <v>29827</v>
      </c>
      <c r="BH4772" s="1">
        <v>120.86</v>
      </c>
      <c r="BI4772" s="1">
        <v>260028</v>
      </c>
      <c r="BJ4772" s="3">
        <v>42732</v>
      </c>
      <c r="BK4772" t="s">
        <v>123</v>
      </c>
      <c r="BL4772" t="str">
        <f>"2016.954246"</f>
        <v>2016.954246</v>
      </c>
      <c r="BM4772" t="s">
        <v>402</v>
      </c>
      <c r="BO4772" t="s">
        <v>29828</v>
      </c>
      <c r="BS4772">
        <v>30</v>
      </c>
      <c r="BW4772" t="str">
        <f>""</f>
        <v/>
      </c>
      <c r="CH4772" t="str">
        <f>""</f>
        <v/>
      </c>
      <c r="CS4772" t="str">
        <f>""</f>
        <v/>
      </c>
    </row>
    <row r="4773" spans="1:97" x14ac:dyDescent="0.25">
      <c r="A4773" t="s">
        <v>243</v>
      </c>
      <c r="B4773" t="s">
        <v>4378</v>
      </c>
      <c r="E4773" t="s">
        <v>29829</v>
      </c>
      <c r="F4773" t="s">
        <v>108</v>
      </c>
      <c r="H4773" t="s">
        <v>29830</v>
      </c>
      <c r="I4773" t="s">
        <v>225</v>
      </c>
      <c r="J4773" t="s">
        <v>111</v>
      </c>
      <c r="K4773" t="str">
        <f>"85203"</f>
        <v>85203</v>
      </c>
      <c r="L4773" t="s">
        <v>6325</v>
      </c>
      <c r="M4773" t="s">
        <v>29830</v>
      </c>
      <c r="N4773" t="s">
        <v>225</v>
      </c>
      <c r="O4773" t="s">
        <v>111</v>
      </c>
      <c r="P4773" t="str">
        <f>"85203-3703"</f>
        <v>85203-3703</v>
      </c>
      <c r="Q4773" t="s">
        <v>113</v>
      </c>
      <c r="R4773" t="str">
        <f>"136-25-067"</f>
        <v>136-25-067</v>
      </c>
      <c r="S4773" t="s">
        <v>25475</v>
      </c>
      <c r="T4773" t="s">
        <v>25476</v>
      </c>
      <c r="U4773">
        <v>1966</v>
      </c>
      <c r="V4773">
        <v>0</v>
      </c>
      <c r="W4773">
        <v>3</v>
      </c>
      <c r="X4773">
        <v>1986</v>
      </c>
      <c r="Z4773">
        <v>1</v>
      </c>
      <c r="AA4773" t="s">
        <v>26</v>
      </c>
      <c r="AB4773">
        <v>0</v>
      </c>
      <c r="AC4773" t="s">
        <v>115</v>
      </c>
      <c r="AD4773">
        <v>2</v>
      </c>
      <c r="AE4773" t="s">
        <v>115</v>
      </c>
      <c r="AF4773">
        <v>0</v>
      </c>
      <c r="AG4773">
        <v>0</v>
      </c>
      <c r="AH4773" t="s">
        <v>116</v>
      </c>
      <c r="AI4773" s="1">
        <v>88628</v>
      </c>
      <c r="AJ4773" s="2">
        <v>0.27</v>
      </c>
      <c r="AK4773" s="1">
        <v>328339</v>
      </c>
      <c r="AL4773" t="s">
        <v>117</v>
      </c>
      <c r="AM4773" t="s">
        <v>393</v>
      </c>
      <c r="AN4773">
        <v>12028</v>
      </c>
      <c r="AO4773">
        <v>0.28000000000000003</v>
      </c>
      <c r="AP4773">
        <v>1</v>
      </c>
      <c r="AR4773">
        <v>1</v>
      </c>
      <c r="AS4773" s="1">
        <v>22800</v>
      </c>
      <c r="AT4773" s="1">
        <v>4560</v>
      </c>
      <c r="AU4773" s="1">
        <v>18240</v>
      </c>
      <c r="AV4773">
        <v>80</v>
      </c>
      <c r="AX4773" s="1">
        <v>1690.12</v>
      </c>
      <c r="AY4773" t="s">
        <v>6401</v>
      </c>
      <c r="AZ4773" t="s">
        <v>4163</v>
      </c>
      <c r="BA4773" t="s">
        <v>5191</v>
      </c>
      <c r="BE4773" s="3">
        <v>41733</v>
      </c>
      <c r="BF4773" s="1">
        <v>230500</v>
      </c>
      <c r="BG4773" t="s">
        <v>29831</v>
      </c>
      <c r="BH4773" s="1">
        <v>117.24</v>
      </c>
      <c r="BI4773" s="1">
        <v>239711</v>
      </c>
      <c r="BJ4773" s="3">
        <v>41960</v>
      </c>
      <c r="BK4773" t="s">
        <v>123</v>
      </c>
      <c r="BL4773" t="str">
        <f>"2014.758819"</f>
        <v>2014.758819</v>
      </c>
      <c r="BM4773" t="s">
        <v>544</v>
      </c>
      <c r="BO4773" t="s">
        <v>29832</v>
      </c>
      <c r="BS4773">
        <v>30</v>
      </c>
      <c r="BW4773" t="str">
        <f>""</f>
        <v/>
      </c>
      <c r="CH4773" t="str">
        <f>""</f>
        <v/>
      </c>
      <c r="CS4773" t="str">
        <f>""</f>
        <v/>
      </c>
    </row>
    <row r="4774" spans="1:97" x14ac:dyDescent="0.25">
      <c r="B4774" t="s">
        <v>29833</v>
      </c>
      <c r="E4774" t="s">
        <v>29834</v>
      </c>
      <c r="F4774" t="s">
        <v>108</v>
      </c>
      <c r="H4774" t="s">
        <v>29835</v>
      </c>
      <c r="I4774" t="s">
        <v>499</v>
      </c>
      <c r="J4774" t="s">
        <v>111</v>
      </c>
      <c r="K4774" t="str">
        <f>"85338"</f>
        <v>85338</v>
      </c>
      <c r="L4774" t="s">
        <v>6431</v>
      </c>
      <c r="M4774" t="s">
        <v>29835</v>
      </c>
      <c r="N4774" t="s">
        <v>499</v>
      </c>
      <c r="O4774" t="s">
        <v>111</v>
      </c>
      <c r="P4774" t="str">
        <f>"85338-7428"</f>
        <v>85338-7428</v>
      </c>
      <c r="Q4774" t="s">
        <v>113</v>
      </c>
      <c r="R4774" t="str">
        <f>"500-97-382"</f>
        <v>500-97-382</v>
      </c>
      <c r="S4774" t="s">
        <v>29807</v>
      </c>
      <c r="U4774">
        <v>2097</v>
      </c>
      <c r="V4774">
        <v>0</v>
      </c>
      <c r="W4774">
        <v>3</v>
      </c>
      <c r="X4774">
        <v>2008</v>
      </c>
      <c r="Z4774">
        <v>1</v>
      </c>
      <c r="AB4774">
        <v>0</v>
      </c>
      <c r="AC4774" t="s">
        <v>115</v>
      </c>
      <c r="AD4774">
        <v>2</v>
      </c>
      <c r="AE4774" t="s">
        <v>115</v>
      </c>
      <c r="AF4774">
        <v>0</v>
      </c>
      <c r="AG4774">
        <v>0</v>
      </c>
      <c r="AH4774" t="s">
        <v>116</v>
      </c>
      <c r="AI4774" s="1">
        <v>54665</v>
      </c>
      <c r="AJ4774" s="2">
        <v>0.19</v>
      </c>
      <c r="AK4774" s="1">
        <v>283265</v>
      </c>
      <c r="AL4774" t="s">
        <v>117</v>
      </c>
      <c r="AM4774" t="s">
        <v>118</v>
      </c>
      <c r="AN4774">
        <v>6325</v>
      </c>
      <c r="AO4774">
        <v>0.14000000000000001</v>
      </c>
      <c r="AR4774">
        <v>1</v>
      </c>
      <c r="AS4774" s="1">
        <v>18950</v>
      </c>
      <c r="AT4774" s="1">
        <v>3790</v>
      </c>
      <c r="AU4774" s="1">
        <v>15160</v>
      </c>
      <c r="AV4774">
        <v>80</v>
      </c>
      <c r="AX4774" s="1">
        <v>1894.48</v>
      </c>
      <c r="AY4774" t="s">
        <v>6319</v>
      </c>
      <c r="AZ4774" t="s">
        <v>6319</v>
      </c>
      <c r="BA4774" t="s">
        <v>218</v>
      </c>
      <c r="BB4774" s="3">
        <v>43341</v>
      </c>
      <c r="BC4774" s="1">
        <v>0</v>
      </c>
      <c r="BD4774" t="s">
        <v>247</v>
      </c>
      <c r="BE4774" s="3">
        <v>42138</v>
      </c>
      <c r="BF4774" s="1">
        <v>228600</v>
      </c>
      <c r="BG4774" t="s">
        <v>29836</v>
      </c>
      <c r="BH4774" s="1">
        <v>109.01</v>
      </c>
      <c r="BI4774" s="1">
        <v>228600</v>
      </c>
      <c r="BJ4774" s="3">
        <v>42138</v>
      </c>
      <c r="BK4774" t="s">
        <v>123</v>
      </c>
      <c r="BL4774" t="str">
        <f>"2015.341038"</f>
        <v>2015.341038</v>
      </c>
      <c r="BM4774" t="s">
        <v>2716</v>
      </c>
      <c r="BN4774" t="s">
        <v>13505</v>
      </c>
      <c r="BO4774" t="s">
        <v>29837</v>
      </c>
      <c r="BS4774">
        <v>30</v>
      </c>
      <c r="BW4774" t="str">
        <f>""</f>
        <v/>
      </c>
      <c r="CH4774" t="str">
        <f>""</f>
        <v/>
      </c>
      <c r="CS4774" t="str">
        <f>""</f>
        <v/>
      </c>
    </row>
    <row r="4775" spans="1:97" x14ac:dyDescent="0.25">
      <c r="A4775" t="s">
        <v>3258</v>
      </c>
      <c r="B4775" t="s">
        <v>29838</v>
      </c>
      <c r="C4775" t="s">
        <v>1769</v>
      </c>
      <c r="D4775" t="s">
        <v>29838</v>
      </c>
      <c r="E4775" t="s">
        <v>29839</v>
      </c>
      <c r="F4775" t="s">
        <v>108</v>
      </c>
      <c r="H4775" t="s">
        <v>29840</v>
      </c>
      <c r="I4775" t="s">
        <v>390</v>
      </c>
      <c r="J4775" t="s">
        <v>111</v>
      </c>
      <c r="K4775" t="str">
        <f>"85022"</f>
        <v>85022</v>
      </c>
      <c r="L4775" t="s">
        <v>6691</v>
      </c>
      <c r="M4775" t="s">
        <v>29840</v>
      </c>
      <c r="N4775" t="s">
        <v>390</v>
      </c>
      <c r="O4775" t="s">
        <v>111</v>
      </c>
      <c r="P4775" t="str">
        <f>"85022-6239"</f>
        <v>85022-6239</v>
      </c>
      <c r="Q4775" t="s">
        <v>113</v>
      </c>
      <c r="R4775" t="str">
        <f>"214-20-395"</f>
        <v>214-20-395</v>
      </c>
      <c r="S4775" t="s">
        <v>29841</v>
      </c>
      <c r="T4775" t="s">
        <v>29842</v>
      </c>
      <c r="U4775">
        <v>2084</v>
      </c>
      <c r="V4775">
        <v>0</v>
      </c>
      <c r="W4775">
        <v>4</v>
      </c>
      <c r="X4775">
        <v>1994</v>
      </c>
      <c r="Z4775">
        <v>2</v>
      </c>
      <c r="AB4775">
        <v>0</v>
      </c>
      <c r="AC4775" t="s">
        <v>115</v>
      </c>
      <c r="AD4775">
        <v>2</v>
      </c>
      <c r="AE4775" t="s">
        <v>115</v>
      </c>
      <c r="AF4775">
        <v>0</v>
      </c>
      <c r="AG4775">
        <v>0</v>
      </c>
      <c r="AH4775" t="s">
        <v>116</v>
      </c>
      <c r="AI4775" s="1">
        <v>92525</v>
      </c>
      <c r="AJ4775" s="2">
        <v>0.3</v>
      </c>
      <c r="AK4775" s="1">
        <v>307796</v>
      </c>
      <c r="AL4775" t="s">
        <v>117</v>
      </c>
      <c r="AM4775" t="s">
        <v>1315</v>
      </c>
      <c r="AN4775">
        <v>4831</v>
      </c>
      <c r="AO4775">
        <v>0.11</v>
      </c>
      <c r="AP4775">
        <v>1</v>
      </c>
      <c r="AR4775">
        <v>1</v>
      </c>
      <c r="AS4775" s="1">
        <v>21130</v>
      </c>
      <c r="AT4775" s="1">
        <v>4220</v>
      </c>
      <c r="AU4775" s="1">
        <v>16910</v>
      </c>
      <c r="AV4775">
        <v>80.03</v>
      </c>
      <c r="AX4775" s="1">
        <v>1879.06</v>
      </c>
      <c r="AY4775" t="s">
        <v>5442</v>
      </c>
      <c r="AZ4775" t="s">
        <v>5231</v>
      </c>
      <c r="BA4775" t="s">
        <v>2551</v>
      </c>
      <c r="BE4775" s="3">
        <v>41697</v>
      </c>
      <c r="BF4775" s="1">
        <v>213500</v>
      </c>
      <c r="BG4775" t="s">
        <v>29843</v>
      </c>
      <c r="BH4775" s="1">
        <v>102.45</v>
      </c>
      <c r="BI4775" s="1">
        <v>215271</v>
      </c>
      <c r="BJ4775" s="3">
        <v>42320</v>
      </c>
      <c r="BK4775" t="s">
        <v>123</v>
      </c>
      <c r="BL4775" t="str">
        <f>"2015.808314"</f>
        <v>2015.808314</v>
      </c>
      <c r="BM4775" t="s">
        <v>709</v>
      </c>
      <c r="BO4775" t="s">
        <v>29844</v>
      </c>
      <c r="BQ4775" t="str">
        <f>"2.9900%"</f>
        <v>2.9900%</v>
      </c>
      <c r="BR4775" t="s">
        <v>1480</v>
      </c>
      <c r="BS4775">
        <v>30</v>
      </c>
      <c r="BW4775" t="str">
        <f>""</f>
        <v/>
      </c>
      <c r="CH4775" t="str">
        <f>""</f>
        <v/>
      </c>
      <c r="CS4775" t="str">
        <f>""</f>
        <v/>
      </c>
    </row>
    <row r="4776" spans="1:97" x14ac:dyDescent="0.25">
      <c r="A4776" t="s">
        <v>2599</v>
      </c>
      <c r="B4776" t="s">
        <v>104</v>
      </c>
      <c r="C4776" t="s">
        <v>986</v>
      </c>
      <c r="D4776" t="s">
        <v>104</v>
      </c>
      <c r="E4776" t="s">
        <v>29845</v>
      </c>
      <c r="F4776" t="s">
        <v>108</v>
      </c>
      <c r="H4776" t="s">
        <v>29846</v>
      </c>
      <c r="I4776" t="s">
        <v>203</v>
      </c>
      <c r="J4776" t="s">
        <v>111</v>
      </c>
      <c r="K4776" t="str">
        <f>"85297"</f>
        <v>85297</v>
      </c>
      <c r="L4776" t="s">
        <v>7725</v>
      </c>
      <c r="M4776" t="s">
        <v>29846</v>
      </c>
      <c r="N4776" t="s">
        <v>203</v>
      </c>
      <c r="O4776" t="s">
        <v>111</v>
      </c>
      <c r="P4776" t="str">
        <f>"85297-9572"</f>
        <v>85297-9572</v>
      </c>
      <c r="Q4776" t="s">
        <v>113</v>
      </c>
      <c r="R4776" t="str">
        <f>"313-02-125"</f>
        <v>313-02-125</v>
      </c>
      <c r="S4776" t="s">
        <v>8020</v>
      </c>
      <c r="T4776" t="s">
        <v>8021</v>
      </c>
      <c r="U4776">
        <v>2126</v>
      </c>
      <c r="V4776">
        <v>0</v>
      </c>
      <c r="W4776">
        <v>4</v>
      </c>
      <c r="X4776">
        <v>2001</v>
      </c>
      <c r="Z4776">
        <v>2</v>
      </c>
      <c r="AA4776" t="s">
        <v>26</v>
      </c>
      <c r="AB4776">
        <v>0</v>
      </c>
      <c r="AC4776" t="s">
        <v>115</v>
      </c>
      <c r="AD4776">
        <v>2</v>
      </c>
      <c r="AE4776" t="s">
        <v>115</v>
      </c>
      <c r="AF4776">
        <v>0</v>
      </c>
      <c r="AG4776">
        <v>0</v>
      </c>
      <c r="AH4776" t="s">
        <v>116</v>
      </c>
      <c r="AI4776" s="1">
        <v>133947</v>
      </c>
      <c r="AJ4776" s="2">
        <v>0.38</v>
      </c>
      <c r="AK4776" s="1">
        <v>351741</v>
      </c>
      <c r="AL4776" t="s">
        <v>117</v>
      </c>
      <c r="AM4776" t="s">
        <v>191</v>
      </c>
      <c r="AN4776">
        <v>7365</v>
      </c>
      <c r="AO4776">
        <v>0.17</v>
      </c>
      <c r="AP4776">
        <v>1</v>
      </c>
      <c r="AR4776">
        <v>1</v>
      </c>
      <c r="AS4776" s="1">
        <v>24280</v>
      </c>
      <c r="AT4776" s="1">
        <v>4850</v>
      </c>
      <c r="AU4776" s="1">
        <v>19430</v>
      </c>
      <c r="AV4776">
        <v>80.02</v>
      </c>
      <c r="AX4776" s="1">
        <v>1988.58</v>
      </c>
      <c r="AY4776" t="s">
        <v>289</v>
      </c>
      <c r="AZ4776" t="s">
        <v>289</v>
      </c>
      <c r="BA4776" t="s">
        <v>290</v>
      </c>
      <c r="BE4776" s="3">
        <v>41866</v>
      </c>
      <c r="BF4776" s="1">
        <v>217000</v>
      </c>
      <c r="BG4776" t="s">
        <v>29847</v>
      </c>
      <c r="BH4776" s="1">
        <v>102.07</v>
      </c>
      <c r="BI4776" s="1">
        <v>217794</v>
      </c>
      <c r="BJ4776" s="3">
        <v>42207</v>
      </c>
      <c r="BK4776" t="s">
        <v>123</v>
      </c>
      <c r="BL4776" t="str">
        <f>"2015.525611"</f>
        <v>2015.525611</v>
      </c>
      <c r="BM4776" t="s">
        <v>724</v>
      </c>
      <c r="BO4776" t="s">
        <v>29848</v>
      </c>
      <c r="BS4776">
        <v>30</v>
      </c>
      <c r="BW4776" t="str">
        <f>""</f>
        <v/>
      </c>
      <c r="CH4776" t="str">
        <f>""</f>
        <v/>
      </c>
      <c r="CS4776" t="str">
        <f>""</f>
        <v/>
      </c>
    </row>
    <row r="4777" spans="1:97" x14ac:dyDescent="0.25">
      <c r="A4777" t="s">
        <v>1407</v>
      </c>
      <c r="B4777" t="s">
        <v>29849</v>
      </c>
      <c r="C4777" t="s">
        <v>7562</v>
      </c>
      <c r="D4777" t="s">
        <v>29849</v>
      </c>
      <c r="E4777" t="s">
        <v>29850</v>
      </c>
      <c r="F4777" t="s">
        <v>108</v>
      </c>
      <c r="H4777" t="s">
        <v>29851</v>
      </c>
      <c r="I4777" t="s">
        <v>390</v>
      </c>
      <c r="J4777" t="s">
        <v>111</v>
      </c>
      <c r="K4777" t="str">
        <f>"85044"</f>
        <v>85044</v>
      </c>
      <c r="L4777" t="s">
        <v>5138</v>
      </c>
      <c r="M4777" t="s">
        <v>29851</v>
      </c>
      <c r="N4777" t="s">
        <v>390</v>
      </c>
      <c r="O4777" t="s">
        <v>111</v>
      </c>
      <c r="P4777" t="str">
        <f>"85044-1734"</f>
        <v>85044-1734</v>
      </c>
      <c r="Q4777" t="s">
        <v>113</v>
      </c>
      <c r="R4777" t="str">
        <f>"301-41-037"</f>
        <v>301-41-037</v>
      </c>
      <c r="S4777" t="s">
        <v>21945</v>
      </c>
      <c r="T4777" t="s">
        <v>21946</v>
      </c>
      <c r="U4777">
        <v>1974</v>
      </c>
      <c r="V4777">
        <v>0</v>
      </c>
      <c r="W4777">
        <v>3</v>
      </c>
      <c r="X4777">
        <v>1985</v>
      </c>
      <c r="Z4777">
        <v>2</v>
      </c>
      <c r="AA4777" t="s">
        <v>26</v>
      </c>
      <c r="AB4777">
        <v>0</v>
      </c>
      <c r="AC4777" t="s">
        <v>115</v>
      </c>
      <c r="AD4777">
        <v>2</v>
      </c>
      <c r="AE4777" t="s">
        <v>115</v>
      </c>
      <c r="AF4777">
        <v>0</v>
      </c>
      <c r="AG4777">
        <v>0</v>
      </c>
      <c r="AH4777" t="s">
        <v>116</v>
      </c>
      <c r="AI4777" s="1">
        <v>62886</v>
      </c>
      <c r="AJ4777" s="2">
        <v>0.18</v>
      </c>
      <c r="AK4777" s="1">
        <v>342419</v>
      </c>
      <c r="AL4777" t="s">
        <v>117</v>
      </c>
      <c r="AM4777" t="s">
        <v>191</v>
      </c>
      <c r="AN4777">
        <v>9453</v>
      </c>
      <c r="AO4777">
        <v>0.22</v>
      </c>
      <c r="AP4777">
        <v>1</v>
      </c>
      <c r="AR4777">
        <v>1</v>
      </c>
      <c r="AS4777" s="1">
        <v>25020</v>
      </c>
      <c r="AT4777" s="1">
        <v>5000</v>
      </c>
      <c r="AU4777" s="1">
        <v>20020</v>
      </c>
      <c r="AV4777">
        <v>80.02</v>
      </c>
      <c r="AX4777" s="1">
        <v>2304.9</v>
      </c>
      <c r="AY4777" t="s">
        <v>11872</v>
      </c>
      <c r="AZ4777" t="s">
        <v>7255</v>
      </c>
      <c r="BA4777" t="s">
        <v>5328</v>
      </c>
      <c r="BB4777" s="3">
        <v>43088</v>
      </c>
      <c r="BD4777" t="s">
        <v>157</v>
      </c>
      <c r="BE4777" s="3">
        <v>42517</v>
      </c>
      <c r="BF4777" s="1">
        <v>273650</v>
      </c>
      <c r="BG4777" t="s">
        <v>29852</v>
      </c>
      <c r="BH4777" s="1">
        <v>138.63</v>
      </c>
      <c r="BI4777" s="1">
        <v>279533</v>
      </c>
      <c r="BJ4777" s="3">
        <v>42517</v>
      </c>
      <c r="BK4777" t="s">
        <v>123</v>
      </c>
      <c r="BL4777" t="str">
        <f>"2016.366248"</f>
        <v>2016.366248</v>
      </c>
      <c r="BM4777" t="s">
        <v>1154</v>
      </c>
      <c r="BO4777" t="s">
        <v>29853</v>
      </c>
      <c r="BS4777">
        <v>30</v>
      </c>
      <c r="BW4777" t="str">
        <f>""</f>
        <v/>
      </c>
      <c r="CH4777" t="str">
        <f>""</f>
        <v/>
      </c>
      <c r="CS4777" t="str">
        <f>""</f>
        <v/>
      </c>
    </row>
    <row r="4778" spans="1:97" x14ac:dyDescent="0.25">
      <c r="A4778" t="s">
        <v>11822</v>
      </c>
      <c r="B4778" t="s">
        <v>29854</v>
      </c>
      <c r="C4778" t="s">
        <v>29855</v>
      </c>
      <c r="D4778" t="s">
        <v>29854</v>
      </c>
      <c r="E4778" t="s">
        <v>29856</v>
      </c>
      <c r="F4778" t="s">
        <v>108</v>
      </c>
      <c r="H4778" t="s">
        <v>29857</v>
      </c>
      <c r="I4778" t="s">
        <v>632</v>
      </c>
      <c r="J4778" t="s">
        <v>111</v>
      </c>
      <c r="K4778" t="str">
        <f>"85379"</f>
        <v>85379</v>
      </c>
      <c r="L4778" t="s">
        <v>454</v>
      </c>
      <c r="M4778" t="s">
        <v>29857</v>
      </c>
      <c r="N4778" t="s">
        <v>632</v>
      </c>
      <c r="O4778" t="s">
        <v>111</v>
      </c>
      <c r="P4778" t="str">
        <f>"85379-1001"</f>
        <v>85379-1001</v>
      </c>
      <c r="R4778" t="str">
        <f>"501-46-427"</f>
        <v>501-46-427</v>
      </c>
      <c r="S4778" t="s">
        <v>5319</v>
      </c>
      <c r="U4778">
        <v>2423</v>
      </c>
      <c r="V4778">
        <v>0</v>
      </c>
      <c r="W4778">
        <v>3</v>
      </c>
      <c r="X4778">
        <v>2015</v>
      </c>
      <c r="Z4778">
        <v>1</v>
      </c>
      <c r="AB4778">
        <v>0</v>
      </c>
      <c r="AC4778" t="s">
        <v>115</v>
      </c>
      <c r="AD4778">
        <v>2</v>
      </c>
      <c r="AE4778" t="s">
        <v>115</v>
      </c>
      <c r="AF4778">
        <v>0</v>
      </c>
      <c r="AG4778">
        <v>0</v>
      </c>
      <c r="AH4778" t="s">
        <v>116</v>
      </c>
      <c r="AI4778" s="1">
        <v>68876</v>
      </c>
      <c r="AJ4778" s="2">
        <v>0.22</v>
      </c>
      <c r="AK4778" s="1">
        <v>318300</v>
      </c>
      <c r="AL4778" t="s">
        <v>117</v>
      </c>
      <c r="AM4778" t="s">
        <v>118</v>
      </c>
      <c r="AN4778">
        <v>6670</v>
      </c>
      <c r="AO4778">
        <v>0.15</v>
      </c>
      <c r="AR4778">
        <v>1</v>
      </c>
      <c r="AS4778" s="1">
        <v>22430</v>
      </c>
      <c r="AT4778" s="1">
        <v>4480</v>
      </c>
      <c r="AU4778" s="1">
        <v>17950</v>
      </c>
      <c r="AV4778">
        <v>80.03</v>
      </c>
      <c r="AX4778" s="1">
        <v>1821.52</v>
      </c>
      <c r="AY4778" t="s">
        <v>5060</v>
      </c>
      <c r="AZ4778" t="s">
        <v>5060</v>
      </c>
      <c r="BA4778" t="s">
        <v>5061</v>
      </c>
      <c r="BE4778" s="3">
        <v>42090</v>
      </c>
      <c r="BF4778" s="1">
        <v>254372</v>
      </c>
      <c r="BG4778" t="s">
        <v>233</v>
      </c>
      <c r="BH4778" s="1">
        <v>104.98</v>
      </c>
      <c r="BI4778" s="1">
        <v>249424</v>
      </c>
      <c r="BJ4778" s="3">
        <v>42711</v>
      </c>
      <c r="BK4778" t="s">
        <v>123</v>
      </c>
      <c r="BL4778" t="str">
        <f>"2016.902318"</f>
        <v>2016.902318</v>
      </c>
      <c r="BM4778" t="s">
        <v>2378</v>
      </c>
      <c r="BN4778" t="s">
        <v>15424</v>
      </c>
      <c r="BO4778" t="s">
        <v>29858</v>
      </c>
      <c r="BS4778">
        <v>30</v>
      </c>
      <c r="BW4778" t="str">
        <f>""</f>
        <v/>
      </c>
      <c r="CH4778" t="str">
        <f>""</f>
        <v/>
      </c>
      <c r="CS4778" t="str">
        <f>""</f>
        <v/>
      </c>
    </row>
    <row r="4779" spans="1:97" x14ac:dyDescent="0.25">
      <c r="A4779" t="s">
        <v>29859</v>
      </c>
      <c r="B4779" t="s">
        <v>327</v>
      </c>
      <c r="C4779" t="s">
        <v>10874</v>
      </c>
      <c r="D4779" t="s">
        <v>327</v>
      </c>
      <c r="E4779" t="s">
        <v>29860</v>
      </c>
      <c r="F4779" t="s">
        <v>282</v>
      </c>
      <c r="H4779" t="s">
        <v>29861</v>
      </c>
      <c r="I4779" t="s">
        <v>203</v>
      </c>
      <c r="J4779" t="s">
        <v>111</v>
      </c>
      <c r="K4779" t="str">
        <f>"85297"</f>
        <v>85297</v>
      </c>
      <c r="L4779" t="s">
        <v>8335</v>
      </c>
      <c r="M4779" t="s">
        <v>29862</v>
      </c>
      <c r="N4779" t="s">
        <v>203</v>
      </c>
      <c r="O4779" t="s">
        <v>111</v>
      </c>
      <c r="P4779" t="str">
        <f>"85297-7453"</f>
        <v>85297-7453</v>
      </c>
      <c r="Q4779" t="s">
        <v>113</v>
      </c>
      <c r="R4779" t="str">
        <f>"309-28-156"</f>
        <v>309-28-156</v>
      </c>
      <c r="S4779" t="s">
        <v>8336</v>
      </c>
      <c r="T4779" t="s">
        <v>8337</v>
      </c>
      <c r="U4779">
        <v>2502</v>
      </c>
      <c r="V4779">
        <v>0</v>
      </c>
      <c r="W4779">
        <v>4</v>
      </c>
      <c r="X4779">
        <v>2011</v>
      </c>
      <c r="Z4779">
        <v>2</v>
      </c>
      <c r="AB4779">
        <v>0</v>
      </c>
      <c r="AC4779" t="s">
        <v>115</v>
      </c>
      <c r="AD4779">
        <v>2</v>
      </c>
      <c r="AE4779" t="s">
        <v>115</v>
      </c>
      <c r="AF4779">
        <v>0</v>
      </c>
      <c r="AG4779">
        <v>0</v>
      </c>
      <c r="AH4779" t="s">
        <v>116</v>
      </c>
      <c r="AI4779" s="1">
        <v>40728</v>
      </c>
      <c r="AJ4779" s="2">
        <v>0.12</v>
      </c>
      <c r="AK4779" s="1">
        <v>345135</v>
      </c>
      <c r="AL4779" t="s">
        <v>117</v>
      </c>
      <c r="AM4779" t="s">
        <v>288</v>
      </c>
      <c r="AN4779">
        <v>4950</v>
      </c>
      <c r="AO4779">
        <v>0.11</v>
      </c>
      <c r="AR4779">
        <v>1</v>
      </c>
      <c r="AS4779" s="1">
        <v>23980</v>
      </c>
      <c r="AT4779" s="1">
        <v>4790</v>
      </c>
      <c r="AU4779" s="1">
        <v>19190</v>
      </c>
      <c r="AV4779">
        <v>80.03</v>
      </c>
      <c r="AX4779" s="1">
        <v>2155.46</v>
      </c>
      <c r="AY4779" t="s">
        <v>8338</v>
      </c>
      <c r="AZ4779" t="s">
        <v>8338</v>
      </c>
      <c r="BA4779" t="s">
        <v>290</v>
      </c>
      <c r="BE4779" s="3">
        <v>42432</v>
      </c>
      <c r="BF4779" s="1">
        <v>298000</v>
      </c>
      <c r="BG4779" t="s">
        <v>29863</v>
      </c>
      <c r="BH4779" s="1">
        <v>119.1</v>
      </c>
      <c r="BI4779" s="1">
        <v>304407</v>
      </c>
      <c r="BJ4779" s="3">
        <v>42432</v>
      </c>
      <c r="BK4779" t="s">
        <v>123</v>
      </c>
      <c r="BL4779" t="str">
        <f>"2016.139058"</f>
        <v>2016.139058</v>
      </c>
      <c r="BM4779" t="s">
        <v>544</v>
      </c>
      <c r="BO4779" t="s">
        <v>29864</v>
      </c>
      <c r="BS4779">
        <v>30</v>
      </c>
      <c r="BW4779" t="str">
        <f>""</f>
        <v/>
      </c>
      <c r="CH4779" t="str">
        <f>""</f>
        <v/>
      </c>
      <c r="CS4779" t="str">
        <f>""</f>
        <v/>
      </c>
    </row>
    <row r="4780" spans="1:97" x14ac:dyDescent="0.25">
      <c r="A4780" t="s">
        <v>958</v>
      </c>
      <c r="B4780" t="s">
        <v>29865</v>
      </c>
      <c r="C4780" t="s">
        <v>2640</v>
      </c>
      <c r="D4780" t="s">
        <v>29865</v>
      </c>
      <c r="E4780" t="s">
        <v>29866</v>
      </c>
      <c r="F4780" t="s">
        <v>108</v>
      </c>
      <c r="H4780" t="s">
        <v>29867</v>
      </c>
      <c r="I4780" t="s">
        <v>5387</v>
      </c>
      <c r="J4780" t="s">
        <v>111</v>
      </c>
      <c r="K4780" t="str">
        <f>"85281"</f>
        <v>85281</v>
      </c>
      <c r="L4780" t="s">
        <v>5709</v>
      </c>
      <c r="M4780" t="s">
        <v>29867</v>
      </c>
      <c r="N4780" t="s">
        <v>5387</v>
      </c>
      <c r="O4780" t="s">
        <v>111</v>
      </c>
      <c r="P4780" t="str">
        <f>"85281-5350"</f>
        <v>85281-5350</v>
      </c>
      <c r="Q4780" t="s">
        <v>113</v>
      </c>
      <c r="R4780" t="str">
        <f>"124-77-008"</f>
        <v>124-77-008</v>
      </c>
      <c r="S4780" t="s">
        <v>29868</v>
      </c>
      <c r="T4780" t="s">
        <v>29869</v>
      </c>
      <c r="U4780">
        <v>882</v>
      </c>
      <c r="V4780">
        <v>0</v>
      </c>
      <c r="W4780">
        <v>2</v>
      </c>
      <c r="X4780">
        <v>1963</v>
      </c>
      <c r="Z4780">
        <v>1</v>
      </c>
      <c r="AB4780">
        <v>0</v>
      </c>
      <c r="AC4780" t="s">
        <v>5188</v>
      </c>
      <c r="AD4780">
        <v>2</v>
      </c>
      <c r="AE4780" t="s">
        <v>5188</v>
      </c>
      <c r="AF4780">
        <v>0</v>
      </c>
      <c r="AG4780">
        <v>0</v>
      </c>
      <c r="AH4780" t="s">
        <v>116</v>
      </c>
      <c r="AI4780" s="1">
        <v>33703</v>
      </c>
      <c r="AJ4780" s="2">
        <v>0.12</v>
      </c>
      <c r="AK4780" s="1">
        <v>275287</v>
      </c>
      <c r="AL4780" t="s">
        <v>117</v>
      </c>
      <c r="AM4780" t="s">
        <v>191</v>
      </c>
      <c r="AN4780">
        <v>6111</v>
      </c>
      <c r="AO4780">
        <v>0.14000000000000001</v>
      </c>
      <c r="AP4780">
        <v>1</v>
      </c>
      <c r="AR4780">
        <v>1</v>
      </c>
      <c r="AS4780" s="1">
        <v>17010</v>
      </c>
      <c r="AT4780" s="1">
        <v>3400</v>
      </c>
      <c r="AU4780" s="1">
        <v>13610</v>
      </c>
      <c r="AV4780">
        <v>80.010000000000005</v>
      </c>
      <c r="AX4780" s="1">
        <v>1026.98</v>
      </c>
      <c r="AY4780" t="s">
        <v>27785</v>
      </c>
      <c r="AZ4780" t="s">
        <v>9518</v>
      </c>
      <c r="BA4780" t="s">
        <v>9519</v>
      </c>
      <c r="BE4780" s="3">
        <v>42522</v>
      </c>
      <c r="BF4780" s="1">
        <v>236500</v>
      </c>
      <c r="BG4780" t="s">
        <v>29870</v>
      </c>
      <c r="BH4780" s="1">
        <v>268.14</v>
      </c>
      <c r="BI4780" s="1">
        <v>241584</v>
      </c>
      <c r="BJ4780" s="3">
        <v>42522</v>
      </c>
      <c r="BK4780" t="s">
        <v>123</v>
      </c>
      <c r="BL4780" t="str">
        <f>"2016.378137"</f>
        <v>2016.378137</v>
      </c>
      <c r="BM4780" t="s">
        <v>1998</v>
      </c>
      <c r="BO4780" t="s">
        <v>29871</v>
      </c>
      <c r="BS4780">
        <v>30</v>
      </c>
      <c r="BW4780" t="str">
        <f>""</f>
        <v/>
      </c>
      <c r="CH4780" t="str">
        <f>""</f>
        <v/>
      </c>
      <c r="CS4780" t="str">
        <f>""</f>
        <v/>
      </c>
    </row>
    <row r="4781" spans="1:97" x14ac:dyDescent="0.25">
      <c r="A4781" t="s">
        <v>2045</v>
      </c>
      <c r="B4781" t="s">
        <v>22455</v>
      </c>
      <c r="C4781" t="s">
        <v>1906</v>
      </c>
      <c r="D4781" t="s">
        <v>22455</v>
      </c>
      <c r="E4781" t="s">
        <v>29872</v>
      </c>
      <c r="F4781" t="s">
        <v>108</v>
      </c>
      <c r="H4781" t="s">
        <v>29873</v>
      </c>
      <c r="I4781" t="s">
        <v>6844</v>
      </c>
      <c r="J4781" t="s">
        <v>111</v>
      </c>
      <c r="K4781" t="str">
        <f>"85361"</f>
        <v>85361</v>
      </c>
      <c r="L4781" t="s">
        <v>1789</v>
      </c>
      <c r="M4781" t="s">
        <v>29873</v>
      </c>
      <c r="N4781" t="s">
        <v>6844</v>
      </c>
      <c r="O4781" t="s">
        <v>111</v>
      </c>
      <c r="P4781" t="str">
        <f>"85361-8731"</f>
        <v>85361-8731</v>
      </c>
      <c r="Q4781" t="s">
        <v>113</v>
      </c>
      <c r="R4781" t="str">
        <f>"503-32-260"</f>
        <v>503-32-260</v>
      </c>
      <c r="S4781" t="s">
        <v>29874</v>
      </c>
      <c r="T4781" t="s">
        <v>6846</v>
      </c>
      <c r="U4781">
        <v>3056</v>
      </c>
      <c r="V4781">
        <v>0</v>
      </c>
      <c r="W4781">
        <v>4</v>
      </c>
      <c r="X4781">
        <v>2003</v>
      </c>
      <c r="Z4781">
        <v>1</v>
      </c>
      <c r="AB4781">
        <v>0</v>
      </c>
      <c r="AC4781" t="s">
        <v>115</v>
      </c>
      <c r="AD4781">
        <v>3</v>
      </c>
      <c r="AE4781" t="s">
        <v>115</v>
      </c>
      <c r="AF4781">
        <v>0</v>
      </c>
      <c r="AG4781">
        <v>0</v>
      </c>
      <c r="AH4781" t="s">
        <v>116</v>
      </c>
      <c r="AI4781" s="1">
        <v>216101</v>
      </c>
      <c r="AJ4781" s="2">
        <v>0.46</v>
      </c>
      <c r="AK4781" s="1">
        <v>466101</v>
      </c>
      <c r="AL4781" t="s">
        <v>117</v>
      </c>
      <c r="AM4781" t="s">
        <v>376</v>
      </c>
      <c r="AN4781">
        <v>53703</v>
      </c>
      <c r="AO4781">
        <v>1.23</v>
      </c>
      <c r="AP4781">
        <v>1</v>
      </c>
      <c r="AR4781">
        <v>1</v>
      </c>
      <c r="AS4781" s="1">
        <v>31230</v>
      </c>
      <c r="AT4781" s="1">
        <v>6240</v>
      </c>
      <c r="AU4781" s="1">
        <v>24990</v>
      </c>
      <c r="AV4781">
        <v>80.02</v>
      </c>
      <c r="AX4781" s="1">
        <v>2127.04</v>
      </c>
      <c r="AY4781" t="s">
        <v>6847</v>
      </c>
      <c r="AZ4781" t="s">
        <v>6847</v>
      </c>
      <c r="BE4781" s="3">
        <v>42548</v>
      </c>
      <c r="BF4781" s="1">
        <v>385000</v>
      </c>
      <c r="BG4781" t="s">
        <v>29875</v>
      </c>
      <c r="BH4781" s="1">
        <v>125.98</v>
      </c>
      <c r="BI4781" s="1">
        <v>250000</v>
      </c>
      <c r="BJ4781" s="3">
        <v>42548</v>
      </c>
      <c r="BK4781" t="s">
        <v>123</v>
      </c>
      <c r="BL4781" t="str">
        <f>"2016.449446"</f>
        <v>2016.449446</v>
      </c>
      <c r="BM4781" t="s">
        <v>124</v>
      </c>
      <c r="BO4781" t="s">
        <v>29876</v>
      </c>
      <c r="BS4781">
        <v>30</v>
      </c>
      <c r="BW4781" t="str">
        <f>""</f>
        <v/>
      </c>
      <c r="CH4781" t="str">
        <f>""</f>
        <v/>
      </c>
      <c r="CS4781" t="str">
        <f>""</f>
        <v/>
      </c>
    </row>
    <row r="4782" spans="1:97" x14ac:dyDescent="0.25">
      <c r="A4782" t="s">
        <v>18010</v>
      </c>
      <c r="B4782" t="s">
        <v>603</v>
      </c>
      <c r="C4782" t="s">
        <v>327</v>
      </c>
      <c r="D4782" t="s">
        <v>3265</v>
      </c>
      <c r="E4782" t="s">
        <v>29877</v>
      </c>
      <c r="F4782" t="s">
        <v>108</v>
      </c>
      <c r="H4782" t="s">
        <v>29878</v>
      </c>
      <c r="I4782" t="s">
        <v>453</v>
      </c>
      <c r="J4782" t="s">
        <v>111</v>
      </c>
      <c r="K4782" t="str">
        <f>"85382"</f>
        <v>85382</v>
      </c>
      <c r="L4782" t="s">
        <v>7147</v>
      </c>
      <c r="M4782" t="s">
        <v>29878</v>
      </c>
      <c r="N4782" t="s">
        <v>453</v>
      </c>
      <c r="O4782" t="s">
        <v>111</v>
      </c>
      <c r="P4782" t="str">
        <f>"85382-3112"</f>
        <v>85382-3112</v>
      </c>
      <c r="Q4782" t="s">
        <v>113</v>
      </c>
      <c r="R4782" t="str">
        <f>"200-43-489"</f>
        <v>200-43-489</v>
      </c>
      <c r="S4782" t="s">
        <v>8285</v>
      </c>
      <c r="T4782" t="s">
        <v>8285</v>
      </c>
      <c r="U4782">
        <v>2256</v>
      </c>
      <c r="V4782">
        <v>0</v>
      </c>
      <c r="W4782">
        <v>4</v>
      </c>
      <c r="X4782">
        <v>2014</v>
      </c>
      <c r="Z4782">
        <v>2</v>
      </c>
      <c r="AB4782">
        <v>0</v>
      </c>
      <c r="AC4782" t="s">
        <v>115</v>
      </c>
      <c r="AD4782">
        <v>2</v>
      </c>
      <c r="AE4782" t="s">
        <v>115</v>
      </c>
      <c r="AF4782">
        <v>0</v>
      </c>
      <c r="AG4782">
        <v>0</v>
      </c>
      <c r="AH4782" t="s">
        <v>116</v>
      </c>
      <c r="AI4782" s="1">
        <v>63596</v>
      </c>
      <c r="AJ4782" s="2">
        <v>0.2</v>
      </c>
      <c r="AK4782" s="1">
        <v>318046</v>
      </c>
      <c r="AL4782" t="s">
        <v>117</v>
      </c>
      <c r="AM4782" t="s">
        <v>118</v>
      </c>
      <c r="AN4782">
        <v>2856</v>
      </c>
      <c r="AO4782">
        <v>0.66</v>
      </c>
      <c r="AR4782">
        <v>1</v>
      </c>
      <c r="AS4782" s="1">
        <v>22620</v>
      </c>
      <c r="AT4782" s="1">
        <v>4520</v>
      </c>
      <c r="AU4782" s="1">
        <v>18100</v>
      </c>
      <c r="AV4782">
        <v>80.02</v>
      </c>
      <c r="AX4782" s="1">
        <v>1840.62</v>
      </c>
      <c r="AY4782" t="s">
        <v>7828</v>
      </c>
      <c r="AZ4782" t="s">
        <v>7828</v>
      </c>
      <c r="BA4782" t="s">
        <v>4219</v>
      </c>
      <c r="BE4782" s="3">
        <v>41802</v>
      </c>
      <c r="BF4782" s="1">
        <v>247262</v>
      </c>
      <c r="BG4782" t="s">
        <v>2199</v>
      </c>
      <c r="BH4782" s="1">
        <v>109.6</v>
      </c>
      <c r="BI4782" s="1">
        <v>254450</v>
      </c>
      <c r="BJ4782" s="3">
        <v>41802</v>
      </c>
      <c r="BK4782" t="s">
        <v>123</v>
      </c>
      <c r="BL4782" t="str">
        <f>"2014.384105"</f>
        <v>2014.384105</v>
      </c>
      <c r="BM4782" t="s">
        <v>5938</v>
      </c>
      <c r="BO4782" t="s">
        <v>29879</v>
      </c>
      <c r="BS4782">
        <v>30</v>
      </c>
      <c r="BW4782" t="str">
        <f>""</f>
        <v/>
      </c>
      <c r="CH4782" t="str">
        <f>""</f>
        <v/>
      </c>
      <c r="CS4782" t="str">
        <f>""</f>
        <v/>
      </c>
    </row>
    <row r="4783" spans="1:97" x14ac:dyDescent="0.25">
      <c r="A4783" t="s">
        <v>1344</v>
      </c>
      <c r="B4783" t="s">
        <v>29880</v>
      </c>
      <c r="E4783" t="s">
        <v>29881</v>
      </c>
      <c r="F4783" t="s">
        <v>108</v>
      </c>
      <c r="H4783" t="s">
        <v>29882</v>
      </c>
      <c r="I4783" t="s">
        <v>4251</v>
      </c>
      <c r="J4783" t="s">
        <v>111</v>
      </c>
      <c r="K4783" t="str">
        <f>"85353"</f>
        <v>85353</v>
      </c>
      <c r="L4783" t="s">
        <v>3758</v>
      </c>
      <c r="M4783" t="s">
        <v>29882</v>
      </c>
      <c r="N4783" t="s">
        <v>4251</v>
      </c>
      <c r="O4783" t="s">
        <v>111</v>
      </c>
      <c r="P4783" t="str">
        <f>"85353-2723"</f>
        <v>85353-2723</v>
      </c>
      <c r="Q4783" t="s">
        <v>113</v>
      </c>
      <c r="R4783" t="str">
        <f>"500-66-025"</f>
        <v>500-66-025</v>
      </c>
      <c r="S4783" t="s">
        <v>29883</v>
      </c>
      <c r="T4783" t="s">
        <v>29883</v>
      </c>
      <c r="U4783">
        <v>2846</v>
      </c>
      <c r="V4783">
        <v>0</v>
      </c>
      <c r="W4783">
        <v>5</v>
      </c>
      <c r="X4783">
        <v>2006</v>
      </c>
      <c r="Z4783">
        <v>2</v>
      </c>
      <c r="AA4783" t="s">
        <v>26</v>
      </c>
      <c r="AB4783">
        <v>0</v>
      </c>
      <c r="AC4783" t="s">
        <v>115</v>
      </c>
      <c r="AD4783">
        <v>2</v>
      </c>
      <c r="AE4783" t="s">
        <v>115</v>
      </c>
      <c r="AF4783">
        <v>0</v>
      </c>
      <c r="AG4783">
        <v>0</v>
      </c>
      <c r="AH4783" t="s">
        <v>116</v>
      </c>
      <c r="AI4783" s="1">
        <v>39311</v>
      </c>
      <c r="AJ4783" s="2">
        <v>0.12</v>
      </c>
      <c r="AK4783" s="1">
        <v>318014</v>
      </c>
      <c r="AL4783" t="s">
        <v>117</v>
      </c>
      <c r="AM4783" t="s">
        <v>118</v>
      </c>
      <c r="AN4783">
        <v>11052</v>
      </c>
      <c r="AO4783">
        <v>0.25</v>
      </c>
      <c r="AR4783">
        <v>1</v>
      </c>
      <c r="AS4783" s="1">
        <v>22630</v>
      </c>
      <c r="AT4783" s="1">
        <v>4520</v>
      </c>
      <c r="AU4783" s="1">
        <v>18110</v>
      </c>
      <c r="AV4783">
        <v>80.03</v>
      </c>
      <c r="AX4783" s="1">
        <v>2327.16</v>
      </c>
      <c r="AY4783" t="s">
        <v>5150</v>
      </c>
      <c r="AZ4783" t="s">
        <v>5150</v>
      </c>
      <c r="BA4783" t="s">
        <v>4254</v>
      </c>
      <c r="BE4783" s="3">
        <v>42426</v>
      </c>
      <c r="BF4783" s="1">
        <v>269800</v>
      </c>
      <c r="BG4783" t="s">
        <v>25525</v>
      </c>
      <c r="BH4783" s="1">
        <v>94.8</v>
      </c>
      <c r="BI4783" s="1">
        <v>278703</v>
      </c>
      <c r="BJ4783" s="3">
        <v>42426</v>
      </c>
      <c r="BK4783" t="s">
        <v>123</v>
      </c>
      <c r="BL4783" t="str">
        <f>"2016.123364"</f>
        <v>2016.123364</v>
      </c>
      <c r="BM4783" t="s">
        <v>2980</v>
      </c>
      <c r="BO4783" t="s">
        <v>29884</v>
      </c>
      <c r="BS4783">
        <v>30</v>
      </c>
      <c r="BW4783" t="str">
        <f>""</f>
        <v/>
      </c>
      <c r="CH4783" t="str">
        <f>""</f>
        <v/>
      </c>
      <c r="CS4783" t="str">
        <f>""</f>
        <v/>
      </c>
    </row>
    <row r="4784" spans="1:97" x14ac:dyDescent="0.25">
      <c r="A4784" t="s">
        <v>2750</v>
      </c>
      <c r="B4784" t="s">
        <v>29885</v>
      </c>
      <c r="E4784" t="s">
        <v>29886</v>
      </c>
      <c r="F4784" t="s">
        <v>108</v>
      </c>
      <c r="H4784" t="s">
        <v>29887</v>
      </c>
      <c r="I4784" t="s">
        <v>5636</v>
      </c>
      <c r="J4784" t="s">
        <v>111</v>
      </c>
      <c r="K4784" t="str">
        <f>"85268"</f>
        <v>85268</v>
      </c>
      <c r="L4784" t="s">
        <v>5637</v>
      </c>
      <c r="M4784" t="s">
        <v>29887</v>
      </c>
      <c r="N4784" t="s">
        <v>5636</v>
      </c>
      <c r="O4784" t="s">
        <v>111</v>
      </c>
      <c r="P4784" t="str">
        <f>"85268-3111"</f>
        <v>85268-3111</v>
      </c>
      <c r="Q4784" t="s">
        <v>113</v>
      </c>
      <c r="R4784" t="str">
        <f>"176-01-668"</f>
        <v>176-01-668</v>
      </c>
      <c r="S4784" t="s">
        <v>28706</v>
      </c>
      <c r="T4784" t="s">
        <v>28706</v>
      </c>
      <c r="U4784">
        <v>1575</v>
      </c>
      <c r="V4784">
        <v>0</v>
      </c>
      <c r="W4784">
        <v>3</v>
      </c>
      <c r="X4784">
        <v>1993</v>
      </c>
      <c r="Z4784">
        <v>1</v>
      </c>
      <c r="AB4784">
        <v>0</v>
      </c>
      <c r="AC4784" t="s">
        <v>115</v>
      </c>
      <c r="AD4784">
        <v>2</v>
      </c>
      <c r="AE4784" t="s">
        <v>115</v>
      </c>
      <c r="AF4784">
        <v>0</v>
      </c>
      <c r="AG4784">
        <v>0</v>
      </c>
      <c r="AH4784" t="s">
        <v>116</v>
      </c>
      <c r="AI4784" s="1">
        <v>66942</v>
      </c>
      <c r="AJ4784" s="2">
        <v>0.19</v>
      </c>
      <c r="AK4784" s="1">
        <v>351094</v>
      </c>
      <c r="AL4784" t="s">
        <v>117</v>
      </c>
      <c r="AM4784" t="s">
        <v>191</v>
      </c>
      <c r="AN4784">
        <v>5998</v>
      </c>
      <c r="AO4784">
        <v>0.14000000000000001</v>
      </c>
      <c r="AP4784">
        <v>1</v>
      </c>
      <c r="AR4784">
        <v>1</v>
      </c>
      <c r="AS4784" s="1">
        <v>23980</v>
      </c>
      <c r="AT4784" s="1">
        <v>4790</v>
      </c>
      <c r="AU4784" s="1">
        <v>19190</v>
      </c>
      <c r="AV4784">
        <v>80.03</v>
      </c>
      <c r="AX4784" s="1">
        <v>1476</v>
      </c>
      <c r="AY4784" t="s">
        <v>5639</v>
      </c>
      <c r="AZ4784" t="s">
        <v>5640</v>
      </c>
      <c r="BA4784" t="s">
        <v>5641</v>
      </c>
      <c r="BE4784" s="3">
        <v>42276</v>
      </c>
      <c r="BF4784" s="1">
        <v>285000</v>
      </c>
      <c r="BG4784" t="s">
        <v>29888</v>
      </c>
      <c r="BH4784" s="1">
        <v>180.95</v>
      </c>
      <c r="BI4784" s="1">
        <v>284152</v>
      </c>
      <c r="BJ4784" s="3">
        <v>42671</v>
      </c>
      <c r="BK4784" t="s">
        <v>123</v>
      </c>
      <c r="BL4784" t="str">
        <f>"2016.794073"</f>
        <v>2016.794073</v>
      </c>
      <c r="BM4784" t="s">
        <v>475</v>
      </c>
      <c r="BO4784" t="s">
        <v>29889</v>
      </c>
      <c r="BS4784">
        <v>30</v>
      </c>
      <c r="BW4784" t="str">
        <f>""</f>
        <v/>
      </c>
      <c r="CH4784" t="str">
        <f>""</f>
        <v/>
      </c>
      <c r="CS4784" t="str">
        <f>""</f>
        <v/>
      </c>
    </row>
    <row r="4785" spans="1:97" x14ac:dyDescent="0.25">
      <c r="A4785" t="s">
        <v>16444</v>
      </c>
      <c r="B4785" t="s">
        <v>5055</v>
      </c>
      <c r="C4785" t="s">
        <v>29890</v>
      </c>
      <c r="D4785" t="s">
        <v>5055</v>
      </c>
      <c r="E4785" t="s">
        <v>29891</v>
      </c>
      <c r="F4785" t="s">
        <v>108</v>
      </c>
      <c r="H4785" t="s">
        <v>29892</v>
      </c>
      <c r="I4785" t="s">
        <v>5114</v>
      </c>
      <c r="J4785" t="s">
        <v>111</v>
      </c>
      <c r="K4785" t="str">
        <f>"85323"</f>
        <v>85323</v>
      </c>
      <c r="L4785" t="s">
        <v>688</v>
      </c>
      <c r="M4785" t="s">
        <v>29892</v>
      </c>
      <c r="N4785" t="s">
        <v>5114</v>
      </c>
      <c r="O4785" t="s">
        <v>111</v>
      </c>
      <c r="P4785" t="str">
        <f>"85323-7606"</f>
        <v>85323-7606</v>
      </c>
      <c r="Q4785" t="s">
        <v>113</v>
      </c>
      <c r="R4785" t="str">
        <f>"500-32-018"</f>
        <v>500-32-018</v>
      </c>
      <c r="S4785" t="s">
        <v>18476</v>
      </c>
      <c r="U4785">
        <v>2474</v>
      </c>
      <c r="V4785">
        <v>0</v>
      </c>
      <c r="W4785">
        <v>4</v>
      </c>
      <c r="X4785">
        <v>2014</v>
      </c>
      <c r="Z4785">
        <v>2</v>
      </c>
      <c r="AA4785" t="s">
        <v>26</v>
      </c>
      <c r="AB4785">
        <v>0</v>
      </c>
      <c r="AC4785" t="s">
        <v>115</v>
      </c>
      <c r="AD4785">
        <v>2</v>
      </c>
      <c r="AE4785" t="s">
        <v>115</v>
      </c>
      <c r="AF4785">
        <v>0</v>
      </c>
      <c r="AG4785">
        <v>0</v>
      </c>
      <c r="AH4785" t="s">
        <v>116</v>
      </c>
      <c r="AI4785" s="1">
        <v>66056</v>
      </c>
      <c r="AJ4785" s="2">
        <v>0.2</v>
      </c>
      <c r="AK4785" s="1">
        <v>328053</v>
      </c>
      <c r="AL4785" t="s">
        <v>117</v>
      </c>
      <c r="AM4785" t="s">
        <v>118</v>
      </c>
      <c r="AN4785">
        <v>9792</v>
      </c>
      <c r="AO4785">
        <v>0.22</v>
      </c>
      <c r="AR4785">
        <v>1</v>
      </c>
      <c r="AS4785" s="1">
        <v>24370</v>
      </c>
      <c r="AT4785" s="1">
        <v>4870</v>
      </c>
      <c r="AU4785" s="1">
        <v>19500</v>
      </c>
      <c r="AV4785">
        <v>80.02</v>
      </c>
      <c r="AX4785" s="1">
        <v>2474.62</v>
      </c>
      <c r="AY4785" t="s">
        <v>5458</v>
      </c>
      <c r="AZ4785" t="s">
        <v>5458</v>
      </c>
      <c r="BA4785" t="s">
        <v>4254</v>
      </c>
      <c r="BE4785" s="3">
        <v>41982</v>
      </c>
      <c r="BF4785" s="1">
        <v>255824</v>
      </c>
      <c r="BG4785" t="s">
        <v>3524</v>
      </c>
      <c r="BH4785" s="1">
        <v>103.41</v>
      </c>
      <c r="BI4785" s="1">
        <v>241722</v>
      </c>
      <c r="BJ4785" s="3">
        <v>42464</v>
      </c>
      <c r="BK4785" t="s">
        <v>123</v>
      </c>
      <c r="BL4785" t="str">
        <f>"2016.218321"</f>
        <v>2016.218321</v>
      </c>
      <c r="BM4785" t="s">
        <v>709</v>
      </c>
      <c r="BO4785" t="s">
        <v>29893</v>
      </c>
      <c r="BS4785">
        <v>30</v>
      </c>
      <c r="BT4785" s="1">
        <v>20275</v>
      </c>
      <c r="BU4785" s="3">
        <v>42508</v>
      </c>
      <c r="BV4785" t="s">
        <v>134</v>
      </c>
      <c r="BW4785" t="str">
        <f>"2016.339998"</f>
        <v>2016.339998</v>
      </c>
      <c r="BX4785" t="s">
        <v>198</v>
      </c>
      <c r="BZ4785" t="s">
        <v>29893</v>
      </c>
      <c r="CD4785">
        <v>10</v>
      </c>
      <c r="CH4785" t="str">
        <f>""</f>
        <v/>
      </c>
      <c r="CS4785" t="str">
        <f>""</f>
        <v/>
      </c>
    </row>
    <row r="4786" spans="1:97" x14ac:dyDescent="0.25">
      <c r="A4786" t="s">
        <v>938</v>
      </c>
      <c r="B4786" t="s">
        <v>27362</v>
      </c>
      <c r="C4786" t="s">
        <v>1181</v>
      </c>
      <c r="D4786" t="s">
        <v>27362</v>
      </c>
      <c r="E4786" t="s">
        <v>29894</v>
      </c>
      <c r="F4786" t="s">
        <v>108</v>
      </c>
      <c r="H4786" t="s">
        <v>29895</v>
      </c>
      <c r="I4786" t="s">
        <v>2874</v>
      </c>
      <c r="J4786" t="s">
        <v>111</v>
      </c>
      <c r="K4786" t="str">
        <f>"85308"</f>
        <v>85308</v>
      </c>
      <c r="L4786" t="s">
        <v>3758</v>
      </c>
      <c r="M4786" t="s">
        <v>29895</v>
      </c>
      <c r="N4786" t="s">
        <v>2874</v>
      </c>
      <c r="O4786" t="s">
        <v>111</v>
      </c>
      <c r="P4786" t="str">
        <f>"85308-5025"</f>
        <v>85308-5025</v>
      </c>
      <c r="Q4786" t="s">
        <v>113</v>
      </c>
      <c r="R4786" t="str">
        <f>"200-24-116"</f>
        <v>200-24-116</v>
      </c>
      <c r="S4786" t="s">
        <v>29896</v>
      </c>
      <c r="T4786" t="s">
        <v>29897</v>
      </c>
      <c r="U4786">
        <v>1822</v>
      </c>
      <c r="V4786">
        <v>0</v>
      </c>
      <c r="W4786">
        <v>3</v>
      </c>
      <c r="X4786">
        <v>1993</v>
      </c>
      <c r="Z4786">
        <v>1</v>
      </c>
      <c r="AB4786">
        <v>0</v>
      </c>
      <c r="AC4786" t="s">
        <v>115</v>
      </c>
      <c r="AD4786">
        <v>3</v>
      </c>
      <c r="AE4786" t="s">
        <v>115</v>
      </c>
      <c r="AF4786">
        <v>0</v>
      </c>
      <c r="AG4786">
        <v>0</v>
      </c>
      <c r="AH4786" t="s">
        <v>116</v>
      </c>
      <c r="AI4786" s="1">
        <v>21936</v>
      </c>
      <c r="AJ4786" s="2">
        <v>7.0000000000000007E-2</v>
      </c>
      <c r="AK4786" s="1">
        <v>303277</v>
      </c>
      <c r="AL4786" t="s">
        <v>117</v>
      </c>
      <c r="AM4786" t="s">
        <v>393</v>
      </c>
      <c r="AN4786">
        <v>7300</v>
      </c>
      <c r="AO4786">
        <v>0.17</v>
      </c>
      <c r="AP4786">
        <v>1</v>
      </c>
      <c r="AR4786">
        <v>1</v>
      </c>
      <c r="AS4786" s="1">
        <v>21180</v>
      </c>
      <c r="AT4786" s="1">
        <v>4230</v>
      </c>
      <c r="AU4786" s="1">
        <v>16950</v>
      </c>
      <c r="AV4786">
        <v>80.03</v>
      </c>
      <c r="AX4786" s="1">
        <v>1793.26</v>
      </c>
      <c r="AY4786" t="s">
        <v>8587</v>
      </c>
      <c r="AZ4786" t="s">
        <v>5142</v>
      </c>
      <c r="BA4786" t="s">
        <v>5143</v>
      </c>
      <c r="BE4786" s="3">
        <v>42293</v>
      </c>
      <c r="BF4786" s="1">
        <v>271000</v>
      </c>
      <c r="BG4786" t="s">
        <v>29898</v>
      </c>
      <c r="BH4786" s="1">
        <v>148.74</v>
      </c>
      <c r="BI4786" s="1">
        <v>281341</v>
      </c>
      <c r="BJ4786" s="3">
        <v>42674</v>
      </c>
      <c r="BK4786" t="s">
        <v>123</v>
      </c>
      <c r="BL4786" t="str">
        <f>"2016.800417"</f>
        <v>2016.800417</v>
      </c>
      <c r="BM4786" t="s">
        <v>594</v>
      </c>
      <c r="BO4786" t="s">
        <v>29899</v>
      </c>
      <c r="BS4786">
        <v>30</v>
      </c>
      <c r="BW4786" t="str">
        <f>""</f>
        <v/>
      </c>
      <c r="CH4786" t="str">
        <f>""</f>
        <v/>
      </c>
      <c r="CS4786" t="str">
        <f>""</f>
        <v/>
      </c>
    </row>
    <row r="4787" spans="1:97" x14ac:dyDescent="0.25">
      <c r="A4787" t="s">
        <v>1067</v>
      </c>
      <c r="B4787" t="s">
        <v>29900</v>
      </c>
      <c r="E4787" t="s">
        <v>29901</v>
      </c>
      <c r="F4787" t="s">
        <v>282</v>
      </c>
      <c r="H4787" t="s">
        <v>29902</v>
      </c>
      <c r="I4787" t="s">
        <v>3150</v>
      </c>
      <c r="J4787" t="s">
        <v>111</v>
      </c>
      <c r="K4787" t="str">
        <f>"85340"</f>
        <v>85340</v>
      </c>
      <c r="L4787" t="s">
        <v>2197</v>
      </c>
      <c r="M4787" t="s">
        <v>29903</v>
      </c>
      <c r="N4787" t="s">
        <v>390</v>
      </c>
      <c r="O4787" t="s">
        <v>111</v>
      </c>
      <c r="P4787" t="str">
        <f>"85037-3736"</f>
        <v>85037-3736</v>
      </c>
      <c r="Q4787" t="s">
        <v>113</v>
      </c>
      <c r="R4787" t="str">
        <f>"501-62-071"</f>
        <v>501-62-071</v>
      </c>
      <c r="S4787" t="s">
        <v>11950</v>
      </c>
      <c r="U4787">
        <v>1868</v>
      </c>
      <c r="V4787">
        <v>0</v>
      </c>
      <c r="W4787">
        <v>3</v>
      </c>
      <c r="X4787">
        <v>2002</v>
      </c>
      <c r="Z4787">
        <v>1</v>
      </c>
      <c r="AA4787" t="s">
        <v>26</v>
      </c>
      <c r="AB4787">
        <v>0</v>
      </c>
      <c r="AC4787" t="s">
        <v>115</v>
      </c>
      <c r="AD4787">
        <v>3</v>
      </c>
      <c r="AE4787" t="s">
        <v>115</v>
      </c>
      <c r="AF4787">
        <v>0</v>
      </c>
      <c r="AG4787">
        <v>0</v>
      </c>
      <c r="AH4787" t="s">
        <v>116</v>
      </c>
      <c r="AI4787" s="1">
        <v>87664</v>
      </c>
      <c r="AJ4787" s="2">
        <v>0.3</v>
      </c>
      <c r="AK4787" s="1">
        <v>288274</v>
      </c>
      <c r="AL4787" t="s">
        <v>117</v>
      </c>
      <c r="AM4787" t="s">
        <v>171</v>
      </c>
      <c r="AN4787">
        <v>7245</v>
      </c>
      <c r="AO4787">
        <v>0.17</v>
      </c>
      <c r="AP4787">
        <v>1</v>
      </c>
      <c r="AR4787">
        <v>1</v>
      </c>
      <c r="AS4787" s="1">
        <v>19870</v>
      </c>
      <c r="AT4787" s="1">
        <v>3970</v>
      </c>
      <c r="AU4787" s="1">
        <v>15900</v>
      </c>
      <c r="AV4787">
        <v>80.02</v>
      </c>
      <c r="AX4787" s="1">
        <v>1651.56</v>
      </c>
      <c r="AY4787" t="s">
        <v>6580</v>
      </c>
      <c r="AZ4787" t="s">
        <v>3153</v>
      </c>
      <c r="BA4787" t="s">
        <v>3154</v>
      </c>
      <c r="BE4787" s="3">
        <v>42041</v>
      </c>
      <c r="BF4787" s="1">
        <v>211000</v>
      </c>
      <c r="BG4787" t="s">
        <v>29904</v>
      </c>
      <c r="BH4787" s="1">
        <v>112.96</v>
      </c>
      <c r="BI4787" s="1">
        <v>200610</v>
      </c>
      <c r="BJ4787" s="3">
        <v>42614</v>
      </c>
      <c r="BK4787" t="s">
        <v>123</v>
      </c>
      <c r="BL4787" t="str">
        <f>"2016.634978"</f>
        <v>2016.634978</v>
      </c>
      <c r="BM4787" t="s">
        <v>402</v>
      </c>
      <c r="BO4787" t="s">
        <v>29905</v>
      </c>
      <c r="BS4787">
        <v>30</v>
      </c>
      <c r="BW4787" t="str">
        <f>""</f>
        <v/>
      </c>
      <c r="CH4787" t="str">
        <f>""</f>
        <v/>
      </c>
      <c r="CS4787" t="str">
        <f>""</f>
        <v/>
      </c>
    </row>
    <row r="4788" spans="1:97" x14ac:dyDescent="0.25">
      <c r="A4788" t="s">
        <v>29906</v>
      </c>
      <c r="B4788" t="s">
        <v>1920</v>
      </c>
      <c r="C4788" t="s">
        <v>29907</v>
      </c>
      <c r="D4788" t="s">
        <v>1920</v>
      </c>
      <c r="E4788" t="s">
        <v>29908</v>
      </c>
      <c r="F4788" t="s">
        <v>108</v>
      </c>
      <c r="H4788" t="s">
        <v>29909</v>
      </c>
      <c r="I4788" t="s">
        <v>167</v>
      </c>
      <c r="J4788" t="s">
        <v>111</v>
      </c>
      <c r="K4788" t="str">
        <f>"85339"</f>
        <v>85339</v>
      </c>
      <c r="L4788" t="s">
        <v>5367</v>
      </c>
      <c r="M4788" t="s">
        <v>29909</v>
      </c>
      <c r="N4788" t="s">
        <v>167</v>
      </c>
      <c r="O4788" t="s">
        <v>111</v>
      </c>
      <c r="P4788" t="str">
        <f>"85339-2619"</f>
        <v>85339-2619</v>
      </c>
      <c r="Q4788" t="s">
        <v>113</v>
      </c>
      <c r="R4788" t="str">
        <f>"104-84-295"</f>
        <v>104-84-295</v>
      </c>
      <c r="S4788" t="s">
        <v>20962</v>
      </c>
      <c r="T4788" t="s">
        <v>20963</v>
      </c>
      <c r="U4788">
        <v>3874</v>
      </c>
      <c r="V4788">
        <v>0</v>
      </c>
      <c r="W4788">
        <v>5</v>
      </c>
      <c r="X4788">
        <v>2007</v>
      </c>
      <c r="Z4788">
        <v>2</v>
      </c>
      <c r="AB4788">
        <v>0</v>
      </c>
      <c r="AC4788" t="s">
        <v>115</v>
      </c>
      <c r="AD4788">
        <v>3</v>
      </c>
      <c r="AE4788" t="s">
        <v>115</v>
      </c>
      <c r="AF4788">
        <v>0</v>
      </c>
      <c r="AG4788">
        <v>0</v>
      </c>
      <c r="AH4788" t="s">
        <v>116</v>
      </c>
      <c r="AI4788" s="1">
        <v>50646</v>
      </c>
      <c r="AJ4788" s="2">
        <v>0.15</v>
      </c>
      <c r="AK4788" s="1">
        <v>342646</v>
      </c>
      <c r="AL4788" t="s">
        <v>117</v>
      </c>
      <c r="AM4788" t="s">
        <v>171</v>
      </c>
      <c r="AN4788">
        <v>8129</v>
      </c>
      <c r="AO4788">
        <v>0.19</v>
      </c>
      <c r="AR4788">
        <v>1</v>
      </c>
      <c r="AS4788" s="1">
        <v>24700</v>
      </c>
      <c r="AT4788" s="1">
        <v>4940</v>
      </c>
      <c r="AU4788" s="1">
        <v>19760</v>
      </c>
      <c r="AV4788">
        <v>80</v>
      </c>
      <c r="AX4788" s="1">
        <v>3097.74</v>
      </c>
      <c r="AY4788" t="s">
        <v>172</v>
      </c>
      <c r="AZ4788" t="s">
        <v>172</v>
      </c>
      <c r="BA4788" t="s">
        <v>173</v>
      </c>
      <c r="BE4788" s="3">
        <v>42436</v>
      </c>
      <c r="BF4788" s="1">
        <v>292000</v>
      </c>
      <c r="BG4788" t="s">
        <v>29910</v>
      </c>
      <c r="BH4788" s="1">
        <v>75.37</v>
      </c>
      <c r="BI4788" s="1">
        <v>292000</v>
      </c>
      <c r="BJ4788" s="3">
        <v>42436</v>
      </c>
      <c r="BK4788" t="s">
        <v>123</v>
      </c>
      <c r="BL4788" t="str">
        <f>"2016.146573"</f>
        <v>2016.146573</v>
      </c>
      <c r="BM4788" t="s">
        <v>5348</v>
      </c>
      <c r="BO4788" t="s">
        <v>29911</v>
      </c>
      <c r="BS4788">
        <v>30</v>
      </c>
      <c r="BW4788" t="str">
        <f>""</f>
        <v/>
      </c>
      <c r="CH4788" t="str">
        <f>""</f>
        <v/>
      </c>
      <c r="CS4788" t="str">
        <f>""</f>
        <v/>
      </c>
    </row>
    <row r="4789" spans="1:97" x14ac:dyDescent="0.25">
      <c r="A4789" t="s">
        <v>2930</v>
      </c>
      <c r="B4789" t="s">
        <v>29912</v>
      </c>
      <c r="E4789" t="s">
        <v>29913</v>
      </c>
      <c r="F4789" t="s">
        <v>108</v>
      </c>
      <c r="H4789" t="s">
        <v>29914</v>
      </c>
      <c r="I4789" t="s">
        <v>499</v>
      </c>
      <c r="J4789" t="s">
        <v>111</v>
      </c>
      <c r="K4789" t="str">
        <f>"85395"</f>
        <v>85395</v>
      </c>
      <c r="L4789" t="s">
        <v>5524</v>
      </c>
      <c r="M4789" t="s">
        <v>29914</v>
      </c>
      <c r="N4789" t="s">
        <v>499</v>
      </c>
      <c r="O4789" t="s">
        <v>111</v>
      </c>
      <c r="P4789" t="str">
        <f>"85395-8501"</f>
        <v>85395-8501</v>
      </c>
      <c r="Q4789" t="s">
        <v>113</v>
      </c>
      <c r="R4789" t="str">
        <f>"501-69-021"</f>
        <v>501-69-021</v>
      </c>
      <c r="S4789" t="s">
        <v>18619</v>
      </c>
      <c r="U4789">
        <v>2154</v>
      </c>
      <c r="V4789">
        <v>0</v>
      </c>
      <c r="W4789">
        <v>3</v>
      </c>
      <c r="X4789">
        <v>1997</v>
      </c>
      <c r="Z4789">
        <v>1</v>
      </c>
      <c r="AB4789">
        <v>0</v>
      </c>
      <c r="AC4789" t="s">
        <v>115</v>
      </c>
      <c r="AD4789">
        <v>2</v>
      </c>
      <c r="AE4789" t="s">
        <v>115</v>
      </c>
      <c r="AF4789">
        <v>0</v>
      </c>
      <c r="AG4789">
        <v>0</v>
      </c>
      <c r="AH4789" t="s">
        <v>116</v>
      </c>
      <c r="AI4789" s="1">
        <v>150595</v>
      </c>
      <c r="AJ4789" s="2">
        <v>0.37</v>
      </c>
      <c r="AK4789" s="1">
        <v>410595</v>
      </c>
      <c r="AL4789" t="s">
        <v>117</v>
      </c>
      <c r="AM4789" t="s">
        <v>118</v>
      </c>
      <c r="AN4789">
        <v>7958</v>
      </c>
      <c r="AO4789">
        <v>0.18</v>
      </c>
      <c r="AP4789">
        <v>1</v>
      </c>
      <c r="AR4789">
        <v>1</v>
      </c>
      <c r="AS4789" s="1">
        <v>32500</v>
      </c>
      <c r="AT4789" s="1">
        <v>6500</v>
      </c>
      <c r="AU4789" s="1">
        <v>26000</v>
      </c>
      <c r="AV4789">
        <v>80</v>
      </c>
      <c r="AX4789" s="1">
        <v>3728.48</v>
      </c>
      <c r="AY4789" t="s">
        <v>3020</v>
      </c>
      <c r="AZ4789" t="s">
        <v>3020</v>
      </c>
      <c r="BA4789" t="s">
        <v>3154</v>
      </c>
      <c r="BE4789" s="3">
        <v>42234</v>
      </c>
      <c r="BF4789" s="1">
        <v>325000</v>
      </c>
      <c r="BG4789" t="s">
        <v>29915</v>
      </c>
      <c r="BH4789" s="1">
        <v>150.88</v>
      </c>
      <c r="BI4789" s="1">
        <v>260000</v>
      </c>
      <c r="BJ4789" s="3">
        <v>42234</v>
      </c>
      <c r="BK4789" t="s">
        <v>123</v>
      </c>
      <c r="BL4789" t="str">
        <f>"2015.597951"</f>
        <v>2015.597951</v>
      </c>
      <c r="BM4789" t="s">
        <v>12498</v>
      </c>
      <c r="BO4789" t="s">
        <v>29916</v>
      </c>
      <c r="BS4789">
        <v>15</v>
      </c>
      <c r="BW4789" t="str">
        <f>""</f>
        <v/>
      </c>
      <c r="CH4789" t="str">
        <f>""</f>
        <v/>
      </c>
      <c r="CS4789" t="str">
        <f>""</f>
        <v/>
      </c>
    </row>
    <row r="4790" spans="1:97" x14ac:dyDescent="0.25">
      <c r="A4790" t="s">
        <v>996</v>
      </c>
      <c r="B4790" t="s">
        <v>2777</v>
      </c>
      <c r="C4790" t="s">
        <v>2019</v>
      </c>
      <c r="D4790" t="s">
        <v>2777</v>
      </c>
      <c r="E4790" t="s">
        <v>29917</v>
      </c>
      <c r="F4790" t="s">
        <v>108</v>
      </c>
      <c r="H4790" t="s">
        <v>29918</v>
      </c>
      <c r="I4790" t="s">
        <v>5523</v>
      </c>
      <c r="J4790" t="s">
        <v>111</v>
      </c>
      <c r="K4790" t="str">
        <f>"85373"</f>
        <v>85373</v>
      </c>
      <c r="L4790" t="s">
        <v>6996</v>
      </c>
      <c r="M4790" t="s">
        <v>29918</v>
      </c>
      <c r="N4790" t="s">
        <v>5523</v>
      </c>
      <c r="O4790" t="s">
        <v>111</v>
      </c>
      <c r="P4790" t="str">
        <f>"85373-2115"</f>
        <v>85373-2115</v>
      </c>
      <c r="Q4790" t="s">
        <v>113</v>
      </c>
      <c r="R4790" t="str">
        <f>"230-07-290"</f>
        <v>230-07-290</v>
      </c>
      <c r="S4790" t="s">
        <v>13447</v>
      </c>
      <c r="U4790">
        <v>2243</v>
      </c>
      <c r="V4790">
        <v>0</v>
      </c>
      <c r="W4790">
        <v>2</v>
      </c>
      <c r="X4790">
        <v>1978</v>
      </c>
      <c r="Z4790">
        <v>1</v>
      </c>
      <c r="AB4790">
        <v>0</v>
      </c>
      <c r="AC4790" t="s">
        <v>115</v>
      </c>
      <c r="AD4790">
        <v>2</v>
      </c>
      <c r="AE4790" t="s">
        <v>115</v>
      </c>
      <c r="AF4790">
        <v>0</v>
      </c>
      <c r="AG4790">
        <v>0</v>
      </c>
      <c r="AH4790" t="s">
        <v>116</v>
      </c>
      <c r="AI4790" s="1">
        <v>68553</v>
      </c>
      <c r="AJ4790" s="2">
        <v>0.2</v>
      </c>
      <c r="AK4790" s="1">
        <v>345921</v>
      </c>
      <c r="AL4790" t="s">
        <v>117</v>
      </c>
      <c r="AM4790" t="s">
        <v>191</v>
      </c>
      <c r="AN4790">
        <v>8374</v>
      </c>
      <c r="AO4790">
        <v>0.19</v>
      </c>
      <c r="AP4790">
        <v>1</v>
      </c>
      <c r="AR4790">
        <v>1</v>
      </c>
      <c r="AS4790" s="1">
        <v>24370</v>
      </c>
      <c r="AT4790" s="1">
        <v>4870</v>
      </c>
      <c r="AU4790" s="1">
        <v>19500</v>
      </c>
      <c r="AV4790">
        <v>80.02</v>
      </c>
      <c r="AX4790" s="1">
        <v>1670.22</v>
      </c>
      <c r="AY4790" t="s">
        <v>4520</v>
      </c>
      <c r="AZ4790" t="s">
        <v>4520</v>
      </c>
      <c r="BA4790" t="s">
        <v>3360</v>
      </c>
      <c r="BE4790" s="3">
        <v>42461</v>
      </c>
      <c r="BF4790" s="1">
        <v>310000</v>
      </c>
      <c r="BG4790" t="s">
        <v>29919</v>
      </c>
      <c r="BH4790" s="1">
        <v>138.21</v>
      </c>
      <c r="BI4790" s="1">
        <v>277368</v>
      </c>
      <c r="BJ4790" s="3">
        <v>42647</v>
      </c>
      <c r="BK4790" t="s">
        <v>123</v>
      </c>
      <c r="BL4790" t="str">
        <f>"2016.724212"</f>
        <v>2016.724212</v>
      </c>
      <c r="BM4790" t="s">
        <v>402</v>
      </c>
      <c r="BO4790" t="s">
        <v>29920</v>
      </c>
      <c r="BS4790">
        <v>30</v>
      </c>
      <c r="BW4790" t="str">
        <f>""</f>
        <v/>
      </c>
      <c r="CH4790" t="str">
        <f>""</f>
        <v/>
      </c>
      <c r="CS4790" t="str">
        <f>""</f>
        <v/>
      </c>
    </row>
    <row r="4791" spans="1:97" x14ac:dyDescent="0.25">
      <c r="A4791" t="s">
        <v>412</v>
      </c>
      <c r="B4791" t="s">
        <v>21962</v>
      </c>
      <c r="E4791" t="s">
        <v>29921</v>
      </c>
      <c r="F4791" t="s">
        <v>108</v>
      </c>
      <c r="H4791" t="s">
        <v>29922</v>
      </c>
      <c r="I4791" t="s">
        <v>144</v>
      </c>
      <c r="J4791" t="s">
        <v>111</v>
      </c>
      <c r="K4791" t="str">
        <f>"85326"</f>
        <v>85326</v>
      </c>
      <c r="L4791" t="s">
        <v>316</v>
      </c>
      <c r="M4791" t="s">
        <v>29922</v>
      </c>
      <c r="N4791" t="s">
        <v>144</v>
      </c>
      <c r="O4791" t="s">
        <v>111</v>
      </c>
      <c r="P4791" t="str">
        <f>"85326-5569"</f>
        <v>85326-5569</v>
      </c>
      <c r="Q4791" t="s">
        <v>113</v>
      </c>
      <c r="R4791" t="str">
        <f>"504-23-456"</f>
        <v>504-23-456</v>
      </c>
      <c r="S4791" t="s">
        <v>29923</v>
      </c>
      <c r="U4791">
        <v>2267</v>
      </c>
      <c r="V4791">
        <v>0</v>
      </c>
      <c r="W4791">
        <v>3</v>
      </c>
      <c r="X4791">
        <v>2005</v>
      </c>
      <c r="Z4791">
        <v>2</v>
      </c>
      <c r="AA4791" t="s">
        <v>26</v>
      </c>
      <c r="AB4791">
        <v>0</v>
      </c>
      <c r="AC4791" t="s">
        <v>115</v>
      </c>
      <c r="AD4791">
        <v>2</v>
      </c>
      <c r="AE4791" t="s">
        <v>115</v>
      </c>
      <c r="AF4791">
        <v>0</v>
      </c>
      <c r="AG4791">
        <v>0</v>
      </c>
      <c r="AH4791" t="s">
        <v>116</v>
      </c>
      <c r="AI4791" s="1">
        <v>42996</v>
      </c>
      <c r="AJ4791" s="2">
        <v>0.17</v>
      </c>
      <c r="AK4791" s="1">
        <v>251996</v>
      </c>
      <c r="AL4791" t="s">
        <v>117</v>
      </c>
      <c r="AM4791" t="s">
        <v>118</v>
      </c>
      <c r="AN4791">
        <v>6032</v>
      </c>
      <c r="AO4791">
        <v>0.14000000000000001</v>
      </c>
      <c r="AP4791">
        <v>1</v>
      </c>
      <c r="AR4791">
        <v>1</v>
      </c>
      <c r="AS4791" s="1">
        <v>17300</v>
      </c>
      <c r="AT4791" s="1">
        <v>3460</v>
      </c>
      <c r="AU4791" s="1">
        <v>13840</v>
      </c>
      <c r="AV4791">
        <v>80</v>
      </c>
      <c r="AX4791" s="1">
        <v>1790.6</v>
      </c>
      <c r="AY4791" t="s">
        <v>7333</v>
      </c>
      <c r="AZ4791" t="s">
        <v>7333</v>
      </c>
      <c r="BA4791" t="s">
        <v>5025</v>
      </c>
      <c r="BE4791" s="3">
        <v>42465</v>
      </c>
      <c r="BF4791" s="1">
        <v>209000</v>
      </c>
      <c r="BG4791" t="s">
        <v>29924</v>
      </c>
      <c r="BH4791" s="1">
        <v>92.19</v>
      </c>
      <c r="BI4791" s="1">
        <v>209000</v>
      </c>
      <c r="BJ4791" s="3">
        <v>42465</v>
      </c>
      <c r="BK4791" t="s">
        <v>123</v>
      </c>
      <c r="BL4791" t="str">
        <f>"2016.223021"</f>
        <v>2016.223021</v>
      </c>
      <c r="BM4791" t="s">
        <v>402</v>
      </c>
      <c r="BO4791" t="s">
        <v>29925</v>
      </c>
      <c r="BS4791">
        <v>30</v>
      </c>
      <c r="BW4791" t="str">
        <f>""</f>
        <v/>
      </c>
      <c r="CH4791" t="str">
        <f>""</f>
        <v/>
      </c>
      <c r="CS4791" t="str">
        <f>""</f>
        <v/>
      </c>
    </row>
    <row r="4792" spans="1:97" x14ac:dyDescent="0.25">
      <c r="A4792" t="s">
        <v>1009</v>
      </c>
      <c r="B4792" t="s">
        <v>29926</v>
      </c>
      <c r="C4792" t="s">
        <v>29927</v>
      </c>
      <c r="D4792" t="s">
        <v>29926</v>
      </c>
      <c r="E4792" t="s">
        <v>29928</v>
      </c>
      <c r="F4792" t="s">
        <v>108</v>
      </c>
      <c r="H4792" t="s">
        <v>29929</v>
      </c>
      <c r="I4792" t="s">
        <v>632</v>
      </c>
      <c r="J4792" t="s">
        <v>111</v>
      </c>
      <c r="K4792" t="str">
        <f>"85379"</f>
        <v>85379</v>
      </c>
      <c r="L4792" t="s">
        <v>5816</v>
      </c>
      <c r="M4792" t="s">
        <v>29929</v>
      </c>
      <c r="N4792" t="s">
        <v>632</v>
      </c>
      <c r="O4792" t="s">
        <v>111</v>
      </c>
      <c r="P4792" t="str">
        <f>"85379-8687"</f>
        <v>85379-8687</v>
      </c>
      <c r="Q4792" t="s">
        <v>113</v>
      </c>
      <c r="R4792" t="str">
        <f>"509-17-478"</f>
        <v>509-17-478</v>
      </c>
      <c r="S4792" t="s">
        <v>17632</v>
      </c>
      <c r="U4792">
        <v>2530</v>
      </c>
      <c r="V4792">
        <v>0</v>
      </c>
      <c r="W4792">
        <v>4</v>
      </c>
      <c r="X4792">
        <v>2005</v>
      </c>
      <c r="Z4792">
        <v>2</v>
      </c>
      <c r="AB4792">
        <v>0</v>
      </c>
      <c r="AC4792" t="s">
        <v>115</v>
      </c>
      <c r="AD4792">
        <v>3</v>
      </c>
      <c r="AE4792" t="s">
        <v>115</v>
      </c>
      <c r="AF4792">
        <v>0</v>
      </c>
      <c r="AG4792">
        <v>0</v>
      </c>
      <c r="AH4792" t="s">
        <v>116</v>
      </c>
      <c r="AI4792" s="1">
        <v>85239</v>
      </c>
      <c r="AJ4792" s="2">
        <v>0.28999999999999998</v>
      </c>
      <c r="AK4792" s="1">
        <v>297711</v>
      </c>
      <c r="AL4792" t="s">
        <v>117</v>
      </c>
      <c r="AM4792" t="s">
        <v>118</v>
      </c>
      <c r="AN4792">
        <v>6919</v>
      </c>
      <c r="AO4792">
        <v>0.16</v>
      </c>
      <c r="AR4792">
        <v>1</v>
      </c>
      <c r="AS4792" s="1">
        <v>20920</v>
      </c>
      <c r="AT4792" s="1">
        <v>4180</v>
      </c>
      <c r="AU4792" s="1">
        <v>16740</v>
      </c>
      <c r="AV4792">
        <v>80.02</v>
      </c>
      <c r="AX4792" s="1">
        <v>1559.04</v>
      </c>
      <c r="AY4792" t="s">
        <v>634</v>
      </c>
      <c r="AZ4792" t="s">
        <v>634</v>
      </c>
      <c r="BA4792" t="s">
        <v>321</v>
      </c>
      <c r="BE4792" s="3">
        <v>41984</v>
      </c>
      <c r="BF4792" s="1">
        <v>208000</v>
      </c>
      <c r="BG4792" t="s">
        <v>29930</v>
      </c>
      <c r="BH4792" s="1">
        <v>82.21</v>
      </c>
      <c r="BI4792" s="1">
        <v>212472</v>
      </c>
      <c r="BJ4792" s="3">
        <v>41984</v>
      </c>
      <c r="BK4792" t="s">
        <v>123</v>
      </c>
      <c r="BL4792" t="str">
        <f>"2014.815515"</f>
        <v>2014.815515</v>
      </c>
      <c r="BM4792" t="s">
        <v>2290</v>
      </c>
      <c r="BO4792" t="s">
        <v>29931</v>
      </c>
      <c r="BS4792">
        <v>30</v>
      </c>
      <c r="BW4792" t="str">
        <f>""</f>
        <v/>
      </c>
      <c r="CH4792" t="str">
        <f>""</f>
        <v/>
      </c>
      <c r="CS4792" t="str">
        <f>""</f>
        <v/>
      </c>
    </row>
    <row r="4793" spans="1:97" x14ac:dyDescent="0.25">
      <c r="A4793" t="s">
        <v>29932</v>
      </c>
      <c r="B4793" t="s">
        <v>3526</v>
      </c>
      <c r="C4793" t="s">
        <v>970</v>
      </c>
      <c r="D4793" t="s">
        <v>3526</v>
      </c>
      <c r="E4793" t="s">
        <v>29933</v>
      </c>
      <c r="F4793" t="s">
        <v>108</v>
      </c>
      <c r="H4793" t="s">
        <v>29934</v>
      </c>
      <c r="I4793" t="s">
        <v>225</v>
      </c>
      <c r="J4793" t="s">
        <v>111</v>
      </c>
      <c r="K4793" t="str">
        <f>"85207"</f>
        <v>85207</v>
      </c>
      <c r="L4793" t="s">
        <v>168</v>
      </c>
      <c r="M4793" t="s">
        <v>29934</v>
      </c>
      <c r="N4793" t="s">
        <v>225</v>
      </c>
      <c r="O4793" t="s">
        <v>111</v>
      </c>
      <c r="P4793" t="str">
        <f>"85207-2921"</f>
        <v>85207-2921</v>
      </c>
      <c r="Q4793" t="s">
        <v>113</v>
      </c>
      <c r="R4793" t="str">
        <f>"218-02-027"</f>
        <v>218-02-027</v>
      </c>
      <c r="S4793" t="s">
        <v>29935</v>
      </c>
      <c r="U4793">
        <v>3054</v>
      </c>
      <c r="V4793">
        <v>0</v>
      </c>
      <c r="W4793">
        <v>4</v>
      </c>
      <c r="X4793">
        <v>1994</v>
      </c>
      <c r="Y4793">
        <v>1994</v>
      </c>
      <c r="Z4793">
        <v>1</v>
      </c>
      <c r="AA4793" t="s">
        <v>26</v>
      </c>
      <c r="AB4793">
        <v>0</v>
      </c>
      <c r="AC4793" t="s">
        <v>115</v>
      </c>
      <c r="AD4793">
        <v>2</v>
      </c>
      <c r="AE4793" t="s">
        <v>115</v>
      </c>
      <c r="AF4793">
        <v>0</v>
      </c>
      <c r="AG4793">
        <v>0</v>
      </c>
      <c r="AH4793" t="s">
        <v>116</v>
      </c>
      <c r="AI4793" s="1">
        <v>62442</v>
      </c>
      <c r="AJ4793" s="2">
        <v>0.14000000000000001</v>
      </c>
      <c r="AK4793" s="1">
        <v>437421</v>
      </c>
      <c r="AL4793" t="s">
        <v>117</v>
      </c>
      <c r="AM4793" t="s">
        <v>393</v>
      </c>
      <c r="AN4793">
        <v>14201</v>
      </c>
      <c r="AO4793">
        <v>0.33</v>
      </c>
      <c r="AP4793">
        <v>1</v>
      </c>
      <c r="AR4793">
        <v>1</v>
      </c>
      <c r="AS4793" s="1">
        <v>31900</v>
      </c>
      <c r="AT4793" s="1">
        <v>6380</v>
      </c>
      <c r="AU4793" s="1">
        <v>25520</v>
      </c>
      <c r="AV4793">
        <v>80</v>
      </c>
      <c r="AX4793" s="1">
        <v>2505.4</v>
      </c>
      <c r="AY4793" t="s">
        <v>6749</v>
      </c>
      <c r="AZ4793" t="s">
        <v>231</v>
      </c>
      <c r="BA4793" t="s">
        <v>3119</v>
      </c>
      <c r="BB4793" s="3">
        <v>43385</v>
      </c>
      <c r="BC4793" s="1">
        <v>0</v>
      </c>
      <c r="BD4793" t="s">
        <v>247</v>
      </c>
      <c r="BE4793" s="3">
        <v>42306</v>
      </c>
      <c r="BF4793" s="1">
        <v>319000</v>
      </c>
      <c r="BG4793" t="s">
        <v>29936</v>
      </c>
      <c r="BH4793" s="1">
        <v>104.45</v>
      </c>
      <c r="BI4793" s="1">
        <v>374979</v>
      </c>
      <c r="BJ4793" s="3">
        <v>43385</v>
      </c>
      <c r="BK4793" t="s">
        <v>123</v>
      </c>
      <c r="BL4793" t="str">
        <f>"2018.765223"</f>
        <v>2018.765223</v>
      </c>
      <c r="BM4793" t="s">
        <v>1915</v>
      </c>
      <c r="BN4793" t="s">
        <v>1916</v>
      </c>
      <c r="BO4793" t="s">
        <v>29937</v>
      </c>
      <c r="BP4793" t="s">
        <v>29938</v>
      </c>
      <c r="BR4793" t="s">
        <v>139</v>
      </c>
      <c r="BW4793" t="str">
        <f>""</f>
        <v/>
      </c>
      <c r="CH4793" t="str">
        <f>""</f>
        <v/>
      </c>
      <c r="CS4793" t="str">
        <f>""</f>
        <v/>
      </c>
    </row>
    <row r="4794" spans="1:97" x14ac:dyDescent="0.25">
      <c r="A4794" t="s">
        <v>1109</v>
      </c>
      <c r="B4794" t="s">
        <v>29939</v>
      </c>
      <c r="C4794" t="s">
        <v>484</v>
      </c>
      <c r="D4794" t="s">
        <v>29939</v>
      </c>
      <c r="E4794" t="s">
        <v>29940</v>
      </c>
      <c r="F4794" t="s">
        <v>108</v>
      </c>
      <c r="H4794" t="s">
        <v>29941</v>
      </c>
      <c r="I4794" t="s">
        <v>453</v>
      </c>
      <c r="J4794" t="s">
        <v>111</v>
      </c>
      <c r="K4794" t="str">
        <f>"85382"</f>
        <v>85382</v>
      </c>
      <c r="L4794" t="s">
        <v>1789</v>
      </c>
      <c r="M4794" t="s">
        <v>29941</v>
      </c>
      <c r="N4794" t="s">
        <v>453</v>
      </c>
      <c r="O4794" t="s">
        <v>111</v>
      </c>
      <c r="P4794" t="str">
        <f>"85382-9786"</f>
        <v>85382-9786</v>
      </c>
      <c r="Q4794" t="s">
        <v>113</v>
      </c>
      <c r="R4794" t="str">
        <f>"200-14-132"</f>
        <v>200-14-132</v>
      </c>
      <c r="S4794" t="s">
        <v>29942</v>
      </c>
      <c r="T4794" t="s">
        <v>29942</v>
      </c>
      <c r="U4794">
        <v>1685</v>
      </c>
      <c r="V4794">
        <v>0</v>
      </c>
      <c r="W4794">
        <v>3</v>
      </c>
      <c r="X4794">
        <v>1992</v>
      </c>
      <c r="Z4794">
        <v>1</v>
      </c>
      <c r="AB4794">
        <v>0</v>
      </c>
      <c r="AC4794" t="s">
        <v>115</v>
      </c>
      <c r="AD4794">
        <v>2</v>
      </c>
      <c r="AE4794" t="s">
        <v>115</v>
      </c>
      <c r="AF4794">
        <v>0</v>
      </c>
      <c r="AG4794">
        <v>0</v>
      </c>
      <c r="AH4794" t="s">
        <v>116</v>
      </c>
      <c r="AI4794" s="1">
        <v>58645</v>
      </c>
      <c r="AJ4794" s="2">
        <v>0.21</v>
      </c>
      <c r="AK4794" s="1">
        <v>285905</v>
      </c>
      <c r="AL4794" t="s">
        <v>117</v>
      </c>
      <c r="AM4794" t="s">
        <v>3345</v>
      </c>
      <c r="AN4794">
        <v>5376</v>
      </c>
      <c r="AO4794">
        <v>0.12</v>
      </c>
      <c r="AP4794">
        <v>1</v>
      </c>
      <c r="AR4794">
        <v>1</v>
      </c>
      <c r="AS4794" s="1">
        <v>20060</v>
      </c>
      <c r="AT4794" s="1">
        <v>4010</v>
      </c>
      <c r="AU4794" s="1">
        <v>16050</v>
      </c>
      <c r="AV4794">
        <v>80.010000000000005</v>
      </c>
      <c r="AX4794" s="1">
        <v>1761.34</v>
      </c>
      <c r="AY4794" t="s">
        <v>4520</v>
      </c>
      <c r="AZ4794" t="s">
        <v>4520</v>
      </c>
      <c r="BA4794" t="s">
        <v>4219</v>
      </c>
      <c r="BE4794" s="3">
        <v>41782</v>
      </c>
      <c r="BF4794" s="1">
        <v>220000</v>
      </c>
      <c r="BG4794" t="s">
        <v>29943</v>
      </c>
      <c r="BH4794" s="1">
        <v>130.56</v>
      </c>
      <c r="BI4794" s="1">
        <v>227260</v>
      </c>
      <c r="BJ4794" s="3">
        <v>41782</v>
      </c>
      <c r="BK4794" t="s">
        <v>123</v>
      </c>
      <c r="BL4794" t="str">
        <f>"2014.337377"</f>
        <v>2014.337377</v>
      </c>
      <c r="BM4794" t="s">
        <v>131</v>
      </c>
      <c r="BO4794" t="s">
        <v>29944</v>
      </c>
      <c r="BS4794">
        <v>30</v>
      </c>
      <c r="BW4794" t="str">
        <f>""</f>
        <v/>
      </c>
      <c r="CH4794" t="str">
        <f>""</f>
        <v/>
      </c>
      <c r="CS4794" t="str">
        <f>""</f>
        <v/>
      </c>
    </row>
    <row r="4795" spans="1:97" x14ac:dyDescent="0.25">
      <c r="A4795" t="s">
        <v>695</v>
      </c>
      <c r="B4795" t="s">
        <v>29945</v>
      </c>
      <c r="E4795" t="s">
        <v>29946</v>
      </c>
      <c r="F4795" t="s">
        <v>108</v>
      </c>
      <c r="H4795" t="s">
        <v>29947</v>
      </c>
      <c r="I4795" t="s">
        <v>203</v>
      </c>
      <c r="J4795" t="s">
        <v>111</v>
      </c>
      <c r="K4795" t="str">
        <f>"85297"</f>
        <v>85297</v>
      </c>
      <c r="L4795" t="s">
        <v>8335</v>
      </c>
      <c r="M4795" t="s">
        <v>29947</v>
      </c>
      <c r="N4795" t="s">
        <v>203</v>
      </c>
      <c r="O4795" t="s">
        <v>111</v>
      </c>
      <c r="P4795" t="str">
        <f>"85297-4408"</f>
        <v>85297-4408</v>
      </c>
      <c r="Q4795" t="s">
        <v>113</v>
      </c>
      <c r="R4795" t="str">
        <f>"309-28-119"</f>
        <v>309-28-119</v>
      </c>
      <c r="S4795" t="s">
        <v>8336</v>
      </c>
      <c r="T4795" t="s">
        <v>8337</v>
      </c>
      <c r="U4795">
        <v>1575</v>
      </c>
      <c r="V4795">
        <v>0</v>
      </c>
      <c r="W4795">
        <v>2</v>
      </c>
      <c r="X4795">
        <v>2008</v>
      </c>
      <c r="Z4795">
        <v>1</v>
      </c>
      <c r="AB4795">
        <v>0</v>
      </c>
      <c r="AC4795" t="s">
        <v>115</v>
      </c>
      <c r="AD4795">
        <v>2</v>
      </c>
      <c r="AE4795" t="s">
        <v>115</v>
      </c>
      <c r="AF4795">
        <v>0</v>
      </c>
      <c r="AG4795">
        <v>0</v>
      </c>
      <c r="AH4795" t="s">
        <v>116</v>
      </c>
      <c r="AI4795" s="1">
        <v>63530</v>
      </c>
      <c r="AJ4795" s="2">
        <v>0.2</v>
      </c>
      <c r="AK4795" s="1">
        <v>322030</v>
      </c>
      <c r="AL4795" t="s">
        <v>117</v>
      </c>
      <c r="AM4795" t="s">
        <v>288</v>
      </c>
      <c r="AN4795">
        <v>7296</v>
      </c>
      <c r="AO4795">
        <v>0.17</v>
      </c>
      <c r="AR4795">
        <v>1</v>
      </c>
      <c r="AS4795" s="1">
        <v>22100</v>
      </c>
      <c r="AT4795" s="1">
        <v>4420</v>
      </c>
      <c r="AU4795" s="1">
        <v>17680</v>
      </c>
      <c r="AV4795">
        <v>80</v>
      </c>
      <c r="AX4795" s="1">
        <v>1982.68</v>
      </c>
      <c r="AY4795" t="s">
        <v>8338</v>
      </c>
      <c r="AZ4795" t="s">
        <v>8338</v>
      </c>
      <c r="BA4795" t="s">
        <v>290</v>
      </c>
      <c r="BE4795" s="3">
        <v>42472</v>
      </c>
      <c r="BF4795" s="1">
        <v>258500</v>
      </c>
      <c r="BG4795" t="s">
        <v>29948</v>
      </c>
      <c r="BH4795" s="1">
        <v>164.13</v>
      </c>
      <c r="BI4795" s="1">
        <v>258500</v>
      </c>
      <c r="BJ4795" s="3">
        <v>42472</v>
      </c>
      <c r="BK4795" t="s">
        <v>123</v>
      </c>
      <c r="BL4795" t="str">
        <f>"2016.241098"</f>
        <v>2016.241098</v>
      </c>
      <c r="BM4795" t="s">
        <v>175</v>
      </c>
      <c r="BO4795" t="s">
        <v>29949</v>
      </c>
      <c r="BS4795">
        <v>30</v>
      </c>
      <c r="BW4795" t="str">
        <f>""</f>
        <v/>
      </c>
      <c r="CH4795" t="str">
        <f>""</f>
        <v/>
      </c>
      <c r="CS4795" t="str">
        <f>""</f>
        <v/>
      </c>
    </row>
    <row r="4796" spans="1:97" x14ac:dyDescent="0.25">
      <c r="A4796" t="s">
        <v>996</v>
      </c>
      <c r="B4796" t="s">
        <v>18137</v>
      </c>
      <c r="C4796" t="s">
        <v>1857</v>
      </c>
      <c r="D4796" t="s">
        <v>18137</v>
      </c>
      <c r="E4796" t="s">
        <v>29950</v>
      </c>
      <c r="F4796" t="s">
        <v>108</v>
      </c>
      <c r="H4796" t="s">
        <v>29951</v>
      </c>
      <c r="I4796" t="s">
        <v>453</v>
      </c>
      <c r="J4796" t="s">
        <v>111</v>
      </c>
      <c r="K4796" t="str">
        <f>"85382"</f>
        <v>85382</v>
      </c>
      <c r="L4796" t="s">
        <v>7339</v>
      </c>
      <c r="M4796" t="s">
        <v>29951</v>
      </c>
      <c r="N4796" t="s">
        <v>453</v>
      </c>
      <c r="O4796" t="s">
        <v>111</v>
      </c>
      <c r="P4796" t="str">
        <f>"85382-8084"</f>
        <v>85382-8084</v>
      </c>
      <c r="Q4796" t="s">
        <v>113</v>
      </c>
      <c r="R4796" t="str">
        <f>"200-42-897"</f>
        <v>200-42-897</v>
      </c>
      <c r="S4796" t="s">
        <v>10957</v>
      </c>
      <c r="T4796" t="s">
        <v>10958</v>
      </c>
      <c r="U4796">
        <v>1908</v>
      </c>
      <c r="V4796">
        <v>0</v>
      </c>
      <c r="W4796">
        <v>3</v>
      </c>
      <c r="X4796">
        <v>1994</v>
      </c>
      <c r="Z4796">
        <v>1</v>
      </c>
      <c r="AA4796" t="s">
        <v>26</v>
      </c>
      <c r="AB4796">
        <v>0</v>
      </c>
      <c r="AC4796" t="s">
        <v>115</v>
      </c>
      <c r="AD4796">
        <v>2</v>
      </c>
      <c r="AE4796" t="s">
        <v>115</v>
      </c>
      <c r="AF4796">
        <v>0</v>
      </c>
      <c r="AG4796">
        <v>0</v>
      </c>
      <c r="AH4796" t="s">
        <v>116</v>
      </c>
      <c r="AI4796" s="1">
        <v>67156</v>
      </c>
      <c r="AJ4796" s="2">
        <v>0.21</v>
      </c>
      <c r="AK4796" s="1">
        <v>324269</v>
      </c>
      <c r="AL4796" t="s">
        <v>117</v>
      </c>
      <c r="AM4796" t="s">
        <v>118</v>
      </c>
      <c r="AN4796">
        <v>7100</v>
      </c>
      <c r="AO4796">
        <v>0.16</v>
      </c>
      <c r="AP4796">
        <v>1</v>
      </c>
      <c r="AR4796">
        <v>1</v>
      </c>
      <c r="AS4796" s="1">
        <v>22460</v>
      </c>
      <c r="AT4796" s="1">
        <v>4490</v>
      </c>
      <c r="AU4796" s="1">
        <v>17970</v>
      </c>
      <c r="AV4796">
        <v>80.010000000000005</v>
      </c>
      <c r="AX4796" s="1">
        <v>1772.68</v>
      </c>
      <c r="AY4796" t="s">
        <v>7828</v>
      </c>
      <c r="AZ4796" t="s">
        <v>7828</v>
      </c>
      <c r="BA4796" t="s">
        <v>4219</v>
      </c>
      <c r="BE4796" s="3">
        <v>41656</v>
      </c>
      <c r="BF4796" s="1">
        <v>248900</v>
      </c>
      <c r="BG4796" t="s">
        <v>29952</v>
      </c>
      <c r="BH4796" s="1">
        <v>130.44999999999999</v>
      </c>
      <c r="BI4796" s="1">
        <v>257113</v>
      </c>
      <c r="BJ4796" s="3">
        <v>41656</v>
      </c>
      <c r="BK4796" t="s">
        <v>123</v>
      </c>
      <c r="BL4796" t="str">
        <f>"2014.37950"</f>
        <v>2014.37950</v>
      </c>
      <c r="BM4796" t="s">
        <v>10507</v>
      </c>
      <c r="BO4796" t="s">
        <v>29953</v>
      </c>
      <c r="BS4796">
        <v>30</v>
      </c>
      <c r="BW4796" t="str">
        <f>""</f>
        <v/>
      </c>
      <c r="CH4796" t="str">
        <f>""</f>
        <v/>
      </c>
      <c r="CS4796" t="str">
        <f>""</f>
        <v/>
      </c>
    </row>
    <row r="4797" spans="1:97" x14ac:dyDescent="0.25">
      <c r="A4797" t="s">
        <v>140</v>
      </c>
      <c r="B4797" t="s">
        <v>29954</v>
      </c>
      <c r="C4797" t="s">
        <v>484</v>
      </c>
      <c r="D4797" t="s">
        <v>29954</v>
      </c>
      <c r="E4797" t="s">
        <v>29955</v>
      </c>
      <c r="F4797" t="s">
        <v>108</v>
      </c>
      <c r="H4797" t="s">
        <v>29956</v>
      </c>
      <c r="I4797" t="s">
        <v>203</v>
      </c>
      <c r="J4797" t="s">
        <v>111</v>
      </c>
      <c r="K4797" t="str">
        <f>"85296"</f>
        <v>85296</v>
      </c>
      <c r="L4797" t="s">
        <v>4035</v>
      </c>
      <c r="M4797" t="s">
        <v>29956</v>
      </c>
      <c r="N4797" t="s">
        <v>203</v>
      </c>
      <c r="O4797" t="s">
        <v>111</v>
      </c>
      <c r="P4797" t="str">
        <f>"85296-1405"</f>
        <v>85296-1405</v>
      </c>
      <c r="Q4797" t="s">
        <v>113</v>
      </c>
      <c r="R4797" t="str">
        <f>"314-07-148"</f>
        <v>314-07-148</v>
      </c>
      <c r="S4797" t="s">
        <v>18404</v>
      </c>
      <c r="T4797" t="s">
        <v>4037</v>
      </c>
      <c r="U4797">
        <v>1899</v>
      </c>
      <c r="V4797">
        <v>0</v>
      </c>
      <c r="W4797">
        <v>2</v>
      </c>
      <c r="X4797">
        <v>2009</v>
      </c>
      <c r="Z4797">
        <v>1</v>
      </c>
      <c r="AB4797">
        <v>0</v>
      </c>
      <c r="AC4797" t="s">
        <v>115</v>
      </c>
      <c r="AD4797">
        <v>2</v>
      </c>
      <c r="AE4797" t="s">
        <v>115</v>
      </c>
      <c r="AF4797">
        <v>0</v>
      </c>
      <c r="AG4797">
        <v>0</v>
      </c>
      <c r="AH4797" t="s">
        <v>116</v>
      </c>
      <c r="AI4797" s="1">
        <v>93769</v>
      </c>
      <c r="AJ4797" s="2">
        <v>0.3</v>
      </c>
      <c r="AK4797" s="1">
        <v>307444</v>
      </c>
      <c r="AL4797" t="s">
        <v>117</v>
      </c>
      <c r="AM4797" t="s">
        <v>288</v>
      </c>
      <c r="AN4797">
        <v>4967</v>
      </c>
      <c r="AO4797">
        <v>0.11</v>
      </c>
      <c r="AR4797">
        <v>1</v>
      </c>
      <c r="AS4797" s="1">
        <v>21120</v>
      </c>
      <c r="AT4797" s="1">
        <v>4220</v>
      </c>
      <c r="AU4797" s="1">
        <v>16900</v>
      </c>
      <c r="AV4797">
        <v>80.02</v>
      </c>
      <c r="AX4797" s="1">
        <v>1971.02</v>
      </c>
      <c r="AY4797" t="s">
        <v>472</v>
      </c>
      <c r="AZ4797" t="s">
        <v>472</v>
      </c>
      <c r="BA4797" t="s">
        <v>473</v>
      </c>
      <c r="BB4797" s="3">
        <v>42080</v>
      </c>
      <c r="BD4797" t="s">
        <v>842</v>
      </c>
      <c r="BE4797" s="3">
        <v>42053</v>
      </c>
      <c r="BF4797" s="1">
        <v>229000</v>
      </c>
      <c r="BG4797" t="s">
        <v>29957</v>
      </c>
      <c r="BH4797" s="1">
        <v>120.59</v>
      </c>
      <c r="BI4797" s="1">
        <v>213675</v>
      </c>
      <c r="BJ4797" s="3">
        <v>42053</v>
      </c>
      <c r="BK4797" t="s">
        <v>123</v>
      </c>
      <c r="BL4797" t="str">
        <f>"2015.103914"</f>
        <v>2015.103914</v>
      </c>
      <c r="BM4797" t="s">
        <v>544</v>
      </c>
      <c r="BO4797" t="s">
        <v>29958</v>
      </c>
      <c r="BS4797">
        <v>30</v>
      </c>
      <c r="BW4797" t="str">
        <f>""</f>
        <v/>
      </c>
      <c r="CH4797" t="str">
        <f>""</f>
        <v/>
      </c>
      <c r="CS4797" t="str">
        <f>""</f>
        <v/>
      </c>
    </row>
    <row r="4798" spans="1:97" x14ac:dyDescent="0.25">
      <c r="A4798" t="s">
        <v>2915</v>
      </c>
      <c r="B4798" t="s">
        <v>3874</v>
      </c>
      <c r="E4798" t="s">
        <v>29959</v>
      </c>
      <c r="F4798" t="s">
        <v>108</v>
      </c>
      <c r="H4798" t="s">
        <v>29960</v>
      </c>
      <c r="I4798" t="s">
        <v>5114</v>
      </c>
      <c r="J4798" t="s">
        <v>111</v>
      </c>
      <c r="K4798" t="str">
        <f>"85392"</f>
        <v>85392</v>
      </c>
      <c r="L4798" t="s">
        <v>6333</v>
      </c>
      <c r="M4798" t="s">
        <v>29960</v>
      </c>
      <c r="N4798" t="s">
        <v>5114</v>
      </c>
      <c r="O4798" t="s">
        <v>111</v>
      </c>
      <c r="P4798" t="str">
        <f>"85392-6722"</f>
        <v>85392-6722</v>
      </c>
      <c r="Q4798" t="s">
        <v>113</v>
      </c>
      <c r="R4798" t="str">
        <f>"508-03-057"</f>
        <v>508-03-057</v>
      </c>
      <c r="S4798" t="s">
        <v>11789</v>
      </c>
      <c r="T4798" t="s">
        <v>11789</v>
      </c>
      <c r="U4798">
        <v>2238</v>
      </c>
      <c r="V4798">
        <v>0</v>
      </c>
      <c r="W4798">
        <v>4</v>
      </c>
      <c r="X4798">
        <v>2000</v>
      </c>
      <c r="Z4798">
        <v>2</v>
      </c>
      <c r="AA4798" t="s">
        <v>26</v>
      </c>
      <c r="AB4798">
        <v>0</v>
      </c>
      <c r="AC4798" t="s">
        <v>115</v>
      </c>
      <c r="AD4798">
        <v>2</v>
      </c>
      <c r="AE4798" t="s">
        <v>115</v>
      </c>
      <c r="AF4798">
        <v>0</v>
      </c>
      <c r="AG4798">
        <v>0</v>
      </c>
      <c r="AH4798" t="s">
        <v>116</v>
      </c>
      <c r="AI4798" s="1">
        <v>35691</v>
      </c>
      <c r="AJ4798" s="2">
        <v>0.12</v>
      </c>
      <c r="AK4798" s="1">
        <v>299238</v>
      </c>
      <c r="AL4798" t="s">
        <v>117</v>
      </c>
      <c r="AM4798" t="s">
        <v>118</v>
      </c>
      <c r="AN4798">
        <v>6050</v>
      </c>
      <c r="AO4798">
        <v>0.14000000000000001</v>
      </c>
      <c r="AP4798">
        <v>1</v>
      </c>
      <c r="AR4798">
        <v>1</v>
      </c>
      <c r="AS4798" s="1">
        <v>20800</v>
      </c>
      <c r="AT4798" s="1">
        <v>4160</v>
      </c>
      <c r="AU4798" s="1">
        <v>16640</v>
      </c>
      <c r="AV4798">
        <v>80</v>
      </c>
      <c r="AX4798" s="1">
        <v>1581.02</v>
      </c>
      <c r="AY4798" t="s">
        <v>6700</v>
      </c>
      <c r="AZ4798" t="s">
        <v>6701</v>
      </c>
      <c r="BA4798" t="s">
        <v>6702</v>
      </c>
      <c r="BE4798" s="3">
        <v>42332</v>
      </c>
      <c r="BF4798" s="1">
        <v>258000</v>
      </c>
      <c r="BG4798" t="s">
        <v>29961</v>
      </c>
      <c r="BH4798" s="1">
        <v>115.28</v>
      </c>
      <c r="BI4798" s="1">
        <v>263547</v>
      </c>
      <c r="BJ4798" s="3">
        <v>42332</v>
      </c>
      <c r="BK4798" t="s">
        <v>123</v>
      </c>
      <c r="BL4798" t="str">
        <f>"2015.840549"</f>
        <v>2015.840549</v>
      </c>
      <c r="BM4798" t="s">
        <v>5534</v>
      </c>
      <c r="BO4798" t="s">
        <v>29962</v>
      </c>
      <c r="BS4798">
        <v>30</v>
      </c>
      <c r="BW4798" t="str">
        <f>""</f>
        <v/>
      </c>
      <c r="CH4798" t="str">
        <f>""</f>
        <v/>
      </c>
      <c r="CS4798" t="str">
        <f>""</f>
        <v/>
      </c>
    </row>
    <row r="4799" spans="1:97" x14ac:dyDescent="0.25">
      <c r="A4799" t="s">
        <v>29963</v>
      </c>
      <c r="B4799" t="s">
        <v>4774</v>
      </c>
      <c r="C4799" t="s">
        <v>4515</v>
      </c>
      <c r="D4799" t="s">
        <v>29964</v>
      </c>
      <c r="E4799" t="s">
        <v>29965</v>
      </c>
      <c r="F4799" t="s">
        <v>108</v>
      </c>
      <c r="H4799" t="s">
        <v>29966</v>
      </c>
      <c r="I4799" t="s">
        <v>167</v>
      </c>
      <c r="J4799" t="s">
        <v>111</v>
      </c>
      <c r="K4799" t="str">
        <f>"85339"</f>
        <v>85339</v>
      </c>
      <c r="L4799" t="s">
        <v>5775</v>
      </c>
      <c r="M4799" t="s">
        <v>29966</v>
      </c>
      <c r="N4799" t="s">
        <v>167</v>
      </c>
      <c r="O4799" t="s">
        <v>111</v>
      </c>
      <c r="P4799" t="str">
        <f>"85339-7359"</f>
        <v>85339-7359</v>
      </c>
      <c r="R4799" t="str">
        <f>"300-21-184"</f>
        <v>300-21-184</v>
      </c>
      <c r="S4799" t="s">
        <v>29967</v>
      </c>
      <c r="T4799" t="s">
        <v>29967</v>
      </c>
      <c r="U4799">
        <v>2339</v>
      </c>
      <c r="V4799">
        <v>0</v>
      </c>
      <c r="W4799">
        <v>3</v>
      </c>
      <c r="X4799">
        <v>2006</v>
      </c>
      <c r="Z4799">
        <v>1</v>
      </c>
      <c r="AB4799">
        <v>0</v>
      </c>
      <c r="AC4799" t="s">
        <v>115</v>
      </c>
      <c r="AD4799">
        <v>2</v>
      </c>
      <c r="AE4799" t="s">
        <v>115</v>
      </c>
      <c r="AF4799">
        <v>0</v>
      </c>
      <c r="AG4799">
        <v>0</v>
      </c>
      <c r="AH4799" t="s">
        <v>116</v>
      </c>
      <c r="AI4799" s="1">
        <v>-164675</v>
      </c>
      <c r="AJ4799" s="2">
        <v>-0.61</v>
      </c>
      <c r="AK4799" s="1">
        <v>271809</v>
      </c>
      <c r="AL4799" t="s">
        <v>117</v>
      </c>
      <c r="AM4799" t="s">
        <v>760</v>
      </c>
      <c r="AN4799">
        <v>7200</v>
      </c>
      <c r="AO4799">
        <v>0.16</v>
      </c>
      <c r="AR4799">
        <v>1</v>
      </c>
      <c r="AS4799" s="1">
        <v>18660</v>
      </c>
      <c r="AT4799" s="1">
        <v>3730</v>
      </c>
      <c r="AU4799" s="1">
        <v>14930</v>
      </c>
      <c r="AV4799">
        <v>80.010000000000005</v>
      </c>
      <c r="AX4799" s="1">
        <v>2273.3200000000002</v>
      </c>
      <c r="AY4799" t="s">
        <v>5777</v>
      </c>
      <c r="AZ4799" t="s">
        <v>5777</v>
      </c>
      <c r="BA4799" t="s">
        <v>173</v>
      </c>
      <c r="BB4799" s="3">
        <v>43070</v>
      </c>
      <c r="BD4799" t="s">
        <v>157</v>
      </c>
      <c r="BE4799" s="3">
        <v>42454</v>
      </c>
      <c r="BF4799" s="1">
        <v>217500</v>
      </c>
      <c r="BG4799" t="s">
        <v>29968</v>
      </c>
      <c r="BH4799" s="1">
        <v>92.99</v>
      </c>
      <c r="BI4799" s="1">
        <v>217500</v>
      </c>
      <c r="BJ4799" s="3">
        <v>42454</v>
      </c>
      <c r="BK4799" t="s">
        <v>123</v>
      </c>
      <c r="BL4799" t="str">
        <f>"2016.196315"</f>
        <v>2016.196315</v>
      </c>
      <c r="BM4799" t="s">
        <v>594</v>
      </c>
      <c r="BN4799" t="s">
        <v>595</v>
      </c>
      <c r="BO4799" t="s">
        <v>29969</v>
      </c>
      <c r="BS4799">
        <v>30</v>
      </c>
      <c r="BT4799" s="1">
        <v>218984</v>
      </c>
      <c r="BU4799" s="3">
        <v>43167</v>
      </c>
      <c r="BV4799" t="s">
        <v>134</v>
      </c>
      <c r="BW4799" t="str">
        <f>"2018.176140"</f>
        <v>2018.176140</v>
      </c>
      <c r="BX4799" t="s">
        <v>21948</v>
      </c>
      <c r="BY4799" t="s">
        <v>7320</v>
      </c>
      <c r="BZ4799" t="s">
        <v>29970</v>
      </c>
      <c r="CC4799" t="s">
        <v>2083</v>
      </c>
      <c r="CH4799" t="str">
        <f>""</f>
        <v/>
      </c>
      <c r="CS4799" t="str">
        <f>""</f>
        <v/>
      </c>
    </row>
    <row r="4800" spans="1:97" x14ac:dyDescent="0.25">
      <c r="A4800" t="s">
        <v>894</v>
      </c>
      <c r="B4800" t="s">
        <v>1082</v>
      </c>
      <c r="E4800" t="s">
        <v>29971</v>
      </c>
      <c r="F4800" t="s">
        <v>108</v>
      </c>
      <c r="H4800" t="s">
        <v>29972</v>
      </c>
      <c r="I4800" t="s">
        <v>390</v>
      </c>
      <c r="J4800" t="s">
        <v>111</v>
      </c>
      <c r="K4800" t="str">
        <f>"85041"</f>
        <v>85041</v>
      </c>
      <c r="L4800" t="s">
        <v>5209</v>
      </c>
      <c r="M4800" t="s">
        <v>29972</v>
      </c>
      <c r="N4800" t="s">
        <v>390</v>
      </c>
      <c r="O4800" t="s">
        <v>111</v>
      </c>
      <c r="P4800" t="str">
        <f>"85041-6661"</f>
        <v>85041-6661</v>
      </c>
      <c r="Q4800" t="s">
        <v>113</v>
      </c>
      <c r="R4800" t="str">
        <f>"105-88-964"</f>
        <v>105-88-964</v>
      </c>
      <c r="S4800" t="s">
        <v>10850</v>
      </c>
      <c r="T4800" t="s">
        <v>10850</v>
      </c>
      <c r="U4800">
        <v>2235</v>
      </c>
      <c r="V4800">
        <v>0</v>
      </c>
      <c r="W4800">
        <v>4</v>
      </c>
      <c r="X4800">
        <v>2014</v>
      </c>
      <c r="Z4800">
        <v>1</v>
      </c>
      <c r="AB4800">
        <v>0</v>
      </c>
      <c r="AC4800" t="s">
        <v>115</v>
      </c>
      <c r="AD4800">
        <v>2</v>
      </c>
      <c r="AE4800" t="s">
        <v>115</v>
      </c>
      <c r="AF4800">
        <v>0</v>
      </c>
      <c r="AG4800">
        <v>0</v>
      </c>
      <c r="AH4800" t="s">
        <v>116</v>
      </c>
      <c r="AI4800" s="1">
        <v>89517</v>
      </c>
      <c r="AJ4800" s="2">
        <v>0.28000000000000003</v>
      </c>
      <c r="AK4800" s="1">
        <v>314564</v>
      </c>
      <c r="AL4800" t="s">
        <v>117</v>
      </c>
      <c r="AM4800" t="s">
        <v>760</v>
      </c>
      <c r="AN4800">
        <v>8622</v>
      </c>
      <c r="AO4800">
        <v>0.2</v>
      </c>
      <c r="AR4800">
        <v>1</v>
      </c>
      <c r="AS4800" s="1">
        <v>23450</v>
      </c>
      <c r="AT4800" s="1">
        <v>4690</v>
      </c>
      <c r="AU4800" s="1">
        <v>18760</v>
      </c>
      <c r="AV4800">
        <v>80</v>
      </c>
      <c r="AX4800" s="1">
        <v>2499.1999999999998</v>
      </c>
      <c r="AY4800" t="s">
        <v>5211</v>
      </c>
      <c r="AZ4800" t="s">
        <v>5211</v>
      </c>
      <c r="BA4800" t="s">
        <v>1661</v>
      </c>
      <c r="BE4800" s="3">
        <v>42019</v>
      </c>
      <c r="BF4800" s="1">
        <v>219864</v>
      </c>
      <c r="BG4800" t="s">
        <v>3062</v>
      </c>
      <c r="BH4800" s="1">
        <v>98.37</v>
      </c>
      <c r="BI4800" s="1">
        <v>225047</v>
      </c>
      <c r="BJ4800" s="3">
        <v>42675</v>
      </c>
      <c r="BK4800" t="s">
        <v>123</v>
      </c>
      <c r="BL4800" t="str">
        <f>"2016.804506"</f>
        <v>2016.804506</v>
      </c>
      <c r="BM4800" t="s">
        <v>1837</v>
      </c>
      <c r="BO4800" t="s">
        <v>29973</v>
      </c>
      <c r="BS4800">
        <v>30</v>
      </c>
      <c r="BW4800" t="str">
        <f>""</f>
        <v/>
      </c>
      <c r="CH4800" t="str">
        <f>""</f>
        <v/>
      </c>
      <c r="CS4800" t="str">
        <f>""</f>
        <v/>
      </c>
    </row>
    <row r="4801" spans="1:97" x14ac:dyDescent="0.25">
      <c r="A4801" t="s">
        <v>1850</v>
      </c>
      <c r="B4801" t="s">
        <v>3173</v>
      </c>
      <c r="C4801" t="s">
        <v>4874</v>
      </c>
      <c r="D4801" t="s">
        <v>3173</v>
      </c>
      <c r="E4801" t="s">
        <v>29974</v>
      </c>
      <c r="F4801" t="s">
        <v>108</v>
      </c>
      <c r="H4801" t="s">
        <v>29975</v>
      </c>
      <c r="I4801" t="s">
        <v>144</v>
      </c>
      <c r="J4801" t="s">
        <v>111</v>
      </c>
      <c r="K4801" t="str">
        <f>"85396"</f>
        <v>85396</v>
      </c>
      <c r="L4801" t="s">
        <v>6667</v>
      </c>
      <c r="M4801" t="s">
        <v>29975</v>
      </c>
      <c r="N4801" t="s">
        <v>144</v>
      </c>
      <c r="O4801" t="s">
        <v>111</v>
      </c>
      <c r="P4801" t="str">
        <f>"85396-1548"</f>
        <v>85396-1548</v>
      </c>
      <c r="Q4801" t="s">
        <v>113</v>
      </c>
      <c r="R4801" t="str">
        <f>"502-77-458"</f>
        <v>502-77-458</v>
      </c>
      <c r="S4801" t="s">
        <v>6668</v>
      </c>
      <c r="U4801">
        <v>2286</v>
      </c>
      <c r="V4801">
        <v>0</v>
      </c>
      <c r="W4801">
        <v>4</v>
      </c>
      <c r="X4801">
        <v>2015</v>
      </c>
      <c r="Z4801">
        <v>2</v>
      </c>
      <c r="AB4801">
        <v>0</v>
      </c>
      <c r="AC4801" t="s">
        <v>115</v>
      </c>
      <c r="AD4801">
        <v>3</v>
      </c>
      <c r="AE4801" t="s">
        <v>115</v>
      </c>
      <c r="AF4801">
        <v>0</v>
      </c>
      <c r="AG4801">
        <v>0</v>
      </c>
      <c r="AH4801" t="s">
        <v>116</v>
      </c>
      <c r="AI4801" s="1">
        <v>32176</v>
      </c>
      <c r="AJ4801" s="2">
        <v>0.11</v>
      </c>
      <c r="AK4801" s="1">
        <v>286215</v>
      </c>
      <c r="AL4801" t="s">
        <v>117</v>
      </c>
      <c r="AM4801" t="s">
        <v>118</v>
      </c>
      <c r="AN4801">
        <v>2673</v>
      </c>
      <c r="AO4801">
        <v>0.61</v>
      </c>
      <c r="AR4801">
        <v>1</v>
      </c>
      <c r="AS4801" s="1">
        <v>20120</v>
      </c>
      <c r="AT4801" s="1">
        <v>4020</v>
      </c>
      <c r="AU4801" s="1">
        <v>16100</v>
      </c>
      <c r="AV4801">
        <v>80.02</v>
      </c>
      <c r="AX4801" s="1">
        <v>2535.36</v>
      </c>
      <c r="AY4801" t="s">
        <v>217</v>
      </c>
      <c r="AZ4801" t="s">
        <v>217</v>
      </c>
      <c r="BA4801" t="s">
        <v>218</v>
      </c>
      <c r="BE4801" s="3">
        <v>42503</v>
      </c>
      <c r="BF4801" s="1">
        <v>245924</v>
      </c>
      <c r="BG4801" t="s">
        <v>6669</v>
      </c>
      <c r="BH4801" s="1">
        <v>107.58</v>
      </c>
      <c r="BI4801" s="1">
        <v>254039</v>
      </c>
      <c r="BJ4801" s="3">
        <v>42503</v>
      </c>
      <c r="BK4801" t="s">
        <v>123</v>
      </c>
      <c r="BL4801" t="str">
        <f>"2016.328101"</f>
        <v>2016.328101</v>
      </c>
      <c r="BM4801" t="s">
        <v>2716</v>
      </c>
      <c r="BO4801" t="s">
        <v>29976</v>
      </c>
      <c r="BS4801">
        <v>30</v>
      </c>
      <c r="BW4801" t="str">
        <f>""</f>
        <v/>
      </c>
      <c r="CH4801" t="str">
        <f>""</f>
        <v/>
      </c>
      <c r="CS4801" t="str">
        <f>""</f>
        <v/>
      </c>
    </row>
    <row r="4802" spans="1:97" x14ac:dyDescent="0.25">
      <c r="A4802" t="s">
        <v>1444</v>
      </c>
      <c r="B4802" t="s">
        <v>1655</v>
      </c>
      <c r="C4802" t="s">
        <v>16694</v>
      </c>
      <c r="D4802" t="s">
        <v>1655</v>
      </c>
      <c r="E4802" t="s">
        <v>29977</v>
      </c>
      <c r="F4802" t="s">
        <v>108</v>
      </c>
      <c r="H4802" t="s">
        <v>29978</v>
      </c>
      <c r="I4802" t="s">
        <v>5636</v>
      </c>
      <c r="J4802" t="s">
        <v>111</v>
      </c>
      <c r="K4802" t="str">
        <f>"85268"</f>
        <v>85268</v>
      </c>
      <c r="L4802" t="s">
        <v>7243</v>
      </c>
      <c r="M4802" t="s">
        <v>29978</v>
      </c>
      <c r="N4802" t="s">
        <v>5636</v>
      </c>
      <c r="O4802" t="s">
        <v>111</v>
      </c>
      <c r="P4802" t="str">
        <f>"85268-1832"</f>
        <v>85268-1832</v>
      </c>
      <c r="Q4802" t="s">
        <v>113</v>
      </c>
      <c r="R4802" t="str">
        <f>"176-22-018"</f>
        <v>176-22-018</v>
      </c>
      <c r="S4802" t="s">
        <v>26509</v>
      </c>
      <c r="U4802">
        <v>1840</v>
      </c>
      <c r="V4802">
        <v>0</v>
      </c>
      <c r="W4802">
        <v>3</v>
      </c>
      <c r="X4802">
        <v>1989</v>
      </c>
      <c r="Z4802">
        <v>1</v>
      </c>
      <c r="AA4802" t="s">
        <v>26</v>
      </c>
      <c r="AB4802">
        <v>0</v>
      </c>
      <c r="AC4802" t="s">
        <v>115</v>
      </c>
      <c r="AD4802">
        <v>2</v>
      </c>
      <c r="AE4802" t="s">
        <v>115</v>
      </c>
      <c r="AF4802">
        <v>0</v>
      </c>
      <c r="AG4802">
        <v>0</v>
      </c>
      <c r="AH4802" t="s">
        <v>116</v>
      </c>
      <c r="AI4802" s="1">
        <v>62078</v>
      </c>
      <c r="AJ4802" s="2">
        <v>0.15</v>
      </c>
      <c r="AK4802" s="1">
        <v>410310</v>
      </c>
      <c r="AL4802" t="s">
        <v>117</v>
      </c>
      <c r="AM4802" t="s">
        <v>1302</v>
      </c>
      <c r="AN4802">
        <v>14279</v>
      </c>
      <c r="AO4802">
        <v>0.33</v>
      </c>
      <c r="AP4802">
        <v>1</v>
      </c>
      <c r="AR4802">
        <v>1</v>
      </c>
      <c r="AS4802" s="1">
        <v>29660</v>
      </c>
      <c r="AT4802" s="1">
        <v>5930</v>
      </c>
      <c r="AU4802" s="1">
        <v>23730</v>
      </c>
      <c r="AV4802">
        <v>80.010000000000005</v>
      </c>
      <c r="AX4802" s="1">
        <v>1825.2</v>
      </c>
      <c r="AY4802" t="s">
        <v>5639</v>
      </c>
      <c r="AZ4802" t="s">
        <v>5640</v>
      </c>
      <c r="BA4802" t="s">
        <v>5641</v>
      </c>
      <c r="BE4802" s="3">
        <v>42384</v>
      </c>
      <c r="BF4802" s="1">
        <v>343000</v>
      </c>
      <c r="BG4802" t="s">
        <v>29979</v>
      </c>
      <c r="BH4802" s="1">
        <v>186.41</v>
      </c>
      <c r="BI4802" s="1">
        <v>348232</v>
      </c>
      <c r="BJ4802" s="3">
        <v>43052</v>
      </c>
      <c r="BK4802" t="s">
        <v>123</v>
      </c>
      <c r="BL4802" t="str">
        <f>"2017.839751"</f>
        <v>2017.839751</v>
      </c>
      <c r="BM4802" t="s">
        <v>5382</v>
      </c>
      <c r="BO4802" t="s">
        <v>29980</v>
      </c>
      <c r="BS4802">
        <v>30</v>
      </c>
      <c r="BW4802" t="str">
        <f>""</f>
        <v/>
      </c>
      <c r="CH4802" t="str">
        <f>""</f>
        <v/>
      </c>
      <c r="CS4802" t="str">
        <f>""</f>
        <v/>
      </c>
    </row>
    <row r="4803" spans="1:97" x14ac:dyDescent="0.25">
      <c r="A4803" t="s">
        <v>4221</v>
      </c>
      <c r="B4803" t="s">
        <v>29981</v>
      </c>
      <c r="C4803" t="s">
        <v>817</v>
      </c>
      <c r="D4803" t="s">
        <v>29982</v>
      </c>
      <c r="E4803" t="s">
        <v>29983</v>
      </c>
      <c r="F4803" t="s">
        <v>108</v>
      </c>
      <c r="H4803" t="s">
        <v>29984</v>
      </c>
      <c r="I4803" t="s">
        <v>390</v>
      </c>
      <c r="J4803" t="s">
        <v>111</v>
      </c>
      <c r="K4803" t="str">
        <f>"85027"</f>
        <v>85027</v>
      </c>
      <c r="L4803" t="s">
        <v>6902</v>
      </c>
      <c r="M4803" t="s">
        <v>29984</v>
      </c>
      <c r="N4803" t="s">
        <v>390</v>
      </c>
      <c r="O4803" t="s">
        <v>111</v>
      </c>
      <c r="P4803" t="str">
        <f>"85027-1005"</f>
        <v>85027-1005</v>
      </c>
      <c r="Q4803" t="s">
        <v>113</v>
      </c>
      <c r="R4803" t="str">
        <f>"206-03-390"</f>
        <v>206-03-390</v>
      </c>
      <c r="S4803" t="s">
        <v>10808</v>
      </c>
      <c r="T4803" t="s">
        <v>10809</v>
      </c>
      <c r="U4803">
        <v>1842</v>
      </c>
      <c r="V4803">
        <v>0</v>
      </c>
      <c r="W4803">
        <v>2</v>
      </c>
      <c r="X4803">
        <v>1994</v>
      </c>
      <c r="Z4803">
        <v>1</v>
      </c>
      <c r="AA4803" t="s">
        <v>26</v>
      </c>
      <c r="AB4803">
        <v>0</v>
      </c>
      <c r="AC4803" t="s">
        <v>115</v>
      </c>
      <c r="AD4803">
        <v>2</v>
      </c>
      <c r="AE4803" t="s">
        <v>115</v>
      </c>
      <c r="AF4803">
        <v>0</v>
      </c>
      <c r="AG4803">
        <v>0</v>
      </c>
      <c r="AH4803" t="s">
        <v>116</v>
      </c>
      <c r="AI4803" s="1">
        <v>60208</v>
      </c>
      <c r="AJ4803" s="2">
        <v>0.2</v>
      </c>
      <c r="AK4803" s="1">
        <v>302160</v>
      </c>
      <c r="AL4803" t="s">
        <v>117</v>
      </c>
      <c r="AM4803" t="s">
        <v>191</v>
      </c>
      <c r="AN4803">
        <v>6660</v>
      </c>
      <c r="AO4803">
        <v>0.15</v>
      </c>
      <c r="AP4803">
        <v>1</v>
      </c>
      <c r="AR4803">
        <v>1</v>
      </c>
      <c r="AS4803" s="1">
        <v>21470</v>
      </c>
      <c r="AT4803" s="1">
        <v>4290</v>
      </c>
      <c r="AU4803" s="1">
        <v>17180</v>
      </c>
      <c r="AV4803">
        <v>80.02</v>
      </c>
      <c r="AX4803" s="1">
        <v>1564.54</v>
      </c>
      <c r="AY4803" t="s">
        <v>6926</v>
      </c>
      <c r="AZ4803" t="s">
        <v>6926</v>
      </c>
      <c r="BA4803" t="s">
        <v>1462</v>
      </c>
      <c r="BB4803" s="3">
        <v>42713</v>
      </c>
      <c r="BD4803" t="s">
        <v>240</v>
      </c>
      <c r="BE4803" s="3">
        <v>42444</v>
      </c>
      <c r="BF4803" s="1">
        <v>235000</v>
      </c>
      <c r="BG4803" t="s">
        <v>29985</v>
      </c>
      <c r="BH4803" s="1">
        <v>127.58</v>
      </c>
      <c r="BI4803" s="1">
        <v>241952</v>
      </c>
      <c r="BJ4803" s="3">
        <v>42612</v>
      </c>
      <c r="BK4803" t="s">
        <v>123</v>
      </c>
      <c r="BL4803" t="str">
        <f>"2016.623982"</f>
        <v>2016.623982</v>
      </c>
      <c r="BM4803" t="s">
        <v>2117</v>
      </c>
      <c r="BO4803" t="s">
        <v>29986</v>
      </c>
      <c r="BS4803">
        <v>30</v>
      </c>
      <c r="BW4803" t="str">
        <f>""</f>
        <v/>
      </c>
      <c r="CH4803" t="str">
        <f>""</f>
        <v/>
      </c>
      <c r="CS4803" t="str">
        <f>""</f>
        <v/>
      </c>
    </row>
    <row r="4804" spans="1:97" x14ac:dyDescent="0.25">
      <c r="A4804" t="s">
        <v>3212</v>
      </c>
      <c r="B4804" t="s">
        <v>4864</v>
      </c>
      <c r="E4804" t="s">
        <v>29987</v>
      </c>
      <c r="F4804" t="s">
        <v>108</v>
      </c>
      <c r="H4804" t="s">
        <v>29988</v>
      </c>
      <c r="I4804" t="s">
        <v>5114</v>
      </c>
      <c r="J4804" t="s">
        <v>111</v>
      </c>
      <c r="K4804" t="str">
        <f>"85392"</f>
        <v>85392</v>
      </c>
      <c r="L4804" t="s">
        <v>5228</v>
      </c>
      <c r="M4804" t="s">
        <v>29988</v>
      </c>
      <c r="N4804" t="s">
        <v>5114</v>
      </c>
      <c r="O4804" t="s">
        <v>111</v>
      </c>
      <c r="P4804" t="str">
        <f>"85392-5889"</f>
        <v>85392-5889</v>
      </c>
      <c r="Q4804" t="s">
        <v>113</v>
      </c>
      <c r="R4804" t="str">
        <f>"102-29-587"</f>
        <v>102-29-587</v>
      </c>
      <c r="S4804" t="s">
        <v>19560</v>
      </c>
      <c r="T4804" t="s">
        <v>5116</v>
      </c>
      <c r="U4804">
        <v>1450</v>
      </c>
      <c r="V4804">
        <v>0</v>
      </c>
      <c r="W4804">
        <v>2</v>
      </c>
      <c r="X4804">
        <v>2002</v>
      </c>
      <c r="Z4804">
        <v>1</v>
      </c>
      <c r="AB4804">
        <v>0</v>
      </c>
      <c r="AC4804" t="s">
        <v>115</v>
      </c>
      <c r="AD4804">
        <v>2</v>
      </c>
      <c r="AE4804" t="s">
        <v>115</v>
      </c>
      <c r="AF4804">
        <v>0</v>
      </c>
      <c r="AG4804">
        <v>0</v>
      </c>
      <c r="AH4804" t="s">
        <v>116</v>
      </c>
      <c r="AI4804" s="1">
        <v>13152</v>
      </c>
      <c r="AJ4804" s="2">
        <v>0.06</v>
      </c>
      <c r="AK4804" s="1">
        <v>236280</v>
      </c>
      <c r="AL4804" t="s">
        <v>117</v>
      </c>
      <c r="AM4804" t="s">
        <v>118</v>
      </c>
      <c r="AN4804">
        <v>5106</v>
      </c>
      <c r="AO4804">
        <v>0.12</v>
      </c>
      <c r="AP4804">
        <v>1</v>
      </c>
      <c r="AR4804">
        <v>1</v>
      </c>
      <c r="AS4804" s="1">
        <v>15810</v>
      </c>
      <c r="AT4804" s="1">
        <v>3160</v>
      </c>
      <c r="AU4804" s="1">
        <v>12650</v>
      </c>
      <c r="AV4804">
        <v>80.010000000000005</v>
      </c>
      <c r="AX4804" s="1">
        <v>1569.62</v>
      </c>
      <c r="AY4804" t="s">
        <v>9887</v>
      </c>
      <c r="AZ4804" t="s">
        <v>9887</v>
      </c>
      <c r="BA4804" t="s">
        <v>5118</v>
      </c>
      <c r="BE4804" s="3">
        <v>42374</v>
      </c>
      <c r="BF4804" s="1">
        <v>166500</v>
      </c>
      <c r="BG4804" t="s">
        <v>29989</v>
      </c>
      <c r="BH4804" s="1">
        <v>114.83</v>
      </c>
      <c r="BI4804" s="1">
        <v>223128</v>
      </c>
      <c r="BJ4804" s="3">
        <v>43566</v>
      </c>
      <c r="BK4804" t="s">
        <v>123</v>
      </c>
      <c r="BL4804" t="str">
        <f>"2019.254888"</f>
        <v>2019.254888</v>
      </c>
      <c r="BM4804" t="s">
        <v>361</v>
      </c>
      <c r="BN4804" t="s">
        <v>884</v>
      </c>
      <c r="BO4804" t="s">
        <v>29990</v>
      </c>
      <c r="BR4804" t="s">
        <v>139</v>
      </c>
      <c r="BW4804" t="str">
        <f>""</f>
        <v/>
      </c>
      <c r="CH4804" t="str">
        <f>""</f>
        <v/>
      </c>
      <c r="CS4804" t="str">
        <f>""</f>
        <v/>
      </c>
    </row>
    <row r="4805" spans="1:97" x14ac:dyDescent="0.25">
      <c r="A4805" t="s">
        <v>1465</v>
      </c>
      <c r="B4805" t="s">
        <v>29991</v>
      </c>
      <c r="E4805" t="s">
        <v>29992</v>
      </c>
      <c r="F4805" t="s">
        <v>108</v>
      </c>
      <c r="H4805" t="s">
        <v>29993</v>
      </c>
      <c r="I4805" t="s">
        <v>225</v>
      </c>
      <c r="J4805" t="s">
        <v>111</v>
      </c>
      <c r="K4805" t="str">
        <f>"85212"</f>
        <v>85212</v>
      </c>
      <c r="L4805" t="s">
        <v>5239</v>
      </c>
      <c r="M4805" t="s">
        <v>29993</v>
      </c>
      <c r="N4805" t="s">
        <v>225</v>
      </c>
      <c r="O4805" t="s">
        <v>111</v>
      </c>
      <c r="P4805" t="str">
        <f>"85212-4125"</f>
        <v>85212-4125</v>
      </c>
      <c r="Q4805" t="s">
        <v>113</v>
      </c>
      <c r="R4805" t="str">
        <f>"304-33-666"</f>
        <v>304-33-666</v>
      </c>
      <c r="S4805" t="s">
        <v>8661</v>
      </c>
      <c r="T4805" t="s">
        <v>8661</v>
      </c>
      <c r="U4805">
        <v>2402</v>
      </c>
      <c r="V4805">
        <v>0</v>
      </c>
      <c r="W4805">
        <v>3</v>
      </c>
      <c r="X4805">
        <v>2001</v>
      </c>
      <c r="Z4805">
        <v>1</v>
      </c>
      <c r="AA4805" t="s">
        <v>26</v>
      </c>
      <c r="AB4805">
        <v>0</v>
      </c>
      <c r="AC4805" t="s">
        <v>115</v>
      </c>
      <c r="AD4805">
        <v>2</v>
      </c>
      <c r="AE4805" t="s">
        <v>115</v>
      </c>
      <c r="AF4805">
        <v>0</v>
      </c>
      <c r="AG4805">
        <v>0</v>
      </c>
      <c r="AH4805" t="s">
        <v>116</v>
      </c>
      <c r="AI4805" s="1">
        <v>80374</v>
      </c>
      <c r="AJ4805" s="2">
        <v>0.21</v>
      </c>
      <c r="AK4805" s="1">
        <v>383872</v>
      </c>
      <c r="AL4805" t="s">
        <v>117</v>
      </c>
      <c r="AM4805" t="s">
        <v>393</v>
      </c>
      <c r="AN4805">
        <v>12068</v>
      </c>
      <c r="AO4805">
        <v>0.28000000000000003</v>
      </c>
      <c r="AP4805">
        <v>1</v>
      </c>
      <c r="AR4805">
        <v>1</v>
      </c>
      <c r="AS4805" s="1">
        <v>27980</v>
      </c>
      <c r="AT4805" s="1">
        <v>5590</v>
      </c>
      <c r="AU4805" s="1">
        <v>22390</v>
      </c>
      <c r="AV4805">
        <v>80.02</v>
      </c>
      <c r="AX4805" s="1">
        <v>1903.48</v>
      </c>
      <c r="AY4805" t="s">
        <v>776</v>
      </c>
      <c r="AZ4805" t="s">
        <v>777</v>
      </c>
      <c r="BA4805" t="s">
        <v>572</v>
      </c>
      <c r="BB4805" s="3">
        <v>42578</v>
      </c>
      <c r="BD4805" t="s">
        <v>458</v>
      </c>
      <c r="BE4805" s="3">
        <v>41879</v>
      </c>
      <c r="BF4805" s="1">
        <v>288200</v>
      </c>
      <c r="BG4805" t="s">
        <v>29994</v>
      </c>
      <c r="BH4805" s="1">
        <v>119.98</v>
      </c>
      <c r="BI4805" s="1">
        <v>303498</v>
      </c>
      <c r="BJ4805" s="3">
        <v>42580</v>
      </c>
      <c r="BK4805" t="s">
        <v>123</v>
      </c>
      <c r="BL4805" t="str">
        <f>"2016.535461"</f>
        <v>2016.535461</v>
      </c>
      <c r="BM4805" t="s">
        <v>750</v>
      </c>
      <c r="BO4805" t="s">
        <v>29995</v>
      </c>
      <c r="BQ4805" t="str">
        <f>"1.7500%"</f>
        <v>1.7500%</v>
      </c>
      <c r="BR4805" t="s">
        <v>1480</v>
      </c>
      <c r="BS4805">
        <v>30</v>
      </c>
      <c r="BW4805" t="str">
        <f>""</f>
        <v/>
      </c>
      <c r="CH4805" t="str">
        <f>""</f>
        <v/>
      </c>
      <c r="CS4805" t="str">
        <f>""</f>
        <v/>
      </c>
    </row>
    <row r="4806" spans="1:97" x14ac:dyDescent="0.25">
      <c r="A4806" t="s">
        <v>589</v>
      </c>
      <c r="B4806" t="s">
        <v>29996</v>
      </c>
      <c r="E4806" t="s">
        <v>29997</v>
      </c>
      <c r="F4806" t="s">
        <v>108</v>
      </c>
      <c r="H4806" t="s">
        <v>29998</v>
      </c>
      <c r="I4806" t="s">
        <v>315</v>
      </c>
      <c r="J4806" t="s">
        <v>111</v>
      </c>
      <c r="K4806" t="str">
        <f>"85335"</f>
        <v>85335</v>
      </c>
      <c r="L4806" t="s">
        <v>168</v>
      </c>
      <c r="M4806" t="s">
        <v>29998</v>
      </c>
      <c r="N4806" t="s">
        <v>315</v>
      </c>
      <c r="O4806" t="s">
        <v>111</v>
      </c>
      <c r="P4806" t="str">
        <f>"85335-5919"</f>
        <v>85335-5919</v>
      </c>
      <c r="Q4806" t="s">
        <v>113</v>
      </c>
      <c r="R4806" t="str">
        <f>"509-13-017"</f>
        <v>509-13-017</v>
      </c>
      <c r="S4806" t="s">
        <v>29999</v>
      </c>
      <c r="T4806" t="s">
        <v>24106</v>
      </c>
      <c r="U4806">
        <v>2515</v>
      </c>
      <c r="V4806">
        <v>0</v>
      </c>
      <c r="W4806">
        <v>3</v>
      </c>
      <c r="X4806">
        <v>2003</v>
      </c>
      <c r="Z4806">
        <v>2</v>
      </c>
      <c r="AB4806">
        <v>0</v>
      </c>
      <c r="AC4806" t="s">
        <v>115</v>
      </c>
      <c r="AD4806">
        <v>2</v>
      </c>
      <c r="AE4806" t="s">
        <v>115</v>
      </c>
      <c r="AF4806">
        <v>0</v>
      </c>
      <c r="AG4806">
        <v>0</v>
      </c>
      <c r="AH4806" t="s">
        <v>116</v>
      </c>
      <c r="AI4806" s="1">
        <v>66303</v>
      </c>
      <c r="AJ4806" s="2">
        <v>0.25</v>
      </c>
      <c r="AK4806" s="1">
        <v>269303</v>
      </c>
      <c r="AL4806" t="s">
        <v>117</v>
      </c>
      <c r="AM4806" t="s">
        <v>319</v>
      </c>
      <c r="AN4806">
        <v>6160</v>
      </c>
      <c r="AO4806">
        <v>0.14000000000000001</v>
      </c>
      <c r="AP4806">
        <v>1</v>
      </c>
      <c r="AR4806">
        <v>1</v>
      </c>
      <c r="AS4806" s="1">
        <v>17480</v>
      </c>
      <c r="AT4806" s="1">
        <v>3490</v>
      </c>
      <c r="AU4806" s="1">
        <v>13990</v>
      </c>
      <c r="AV4806">
        <v>80.03</v>
      </c>
      <c r="AX4806" s="1">
        <v>1267.54</v>
      </c>
      <c r="AY4806" t="s">
        <v>24107</v>
      </c>
      <c r="AZ4806" t="s">
        <v>24107</v>
      </c>
      <c r="BA4806" t="s">
        <v>321</v>
      </c>
      <c r="BE4806" s="3">
        <v>42459</v>
      </c>
      <c r="BF4806" s="1">
        <v>203000</v>
      </c>
      <c r="BG4806" t="s">
        <v>30000</v>
      </c>
      <c r="BH4806" s="1">
        <v>80.72</v>
      </c>
      <c r="BI4806" s="1">
        <v>203000</v>
      </c>
      <c r="BJ4806" s="3">
        <v>42459</v>
      </c>
      <c r="BK4806" t="s">
        <v>123</v>
      </c>
      <c r="BL4806" t="str">
        <f>"2016.204570"</f>
        <v>2016.204570</v>
      </c>
      <c r="BM4806" t="s">
        <v>12178</v>
      </c>
      <c r="BN4806" t="s">
        <v>1590</v>
      </c>
      <c r="BO4806" t="s">
        <v>30001</v>
      </c>
      <c r="BS4806">
        <v>30</v>
      </c>
      <c r="BW4806" t="str">
        <f>""</f>
        <v/>
      </c>
      <c r="CH4806" t="str">
        <f>""</f>
        <v/>
      </c>
      <c r="CS4806" t="str">
        <f>""</f>
        <v/>
      </c>
    </row>
    <row r="4807" spans="1:97" x14ac:dyDescent="0.25">
      <c r="A4807" t="s">
        <v>2201</v>
      </c>
      <c r="B4807" t="s">
        <v>23302</v>
      </c>
      <c r="C4807" t="s">
        <v>2002</v>
      </c>
      <c r="D4807" t="s">
        <v>23302</v>
      </c>
      <c r="E4807" t="s">
        <v>30002</v>
      </c>
      <c r="F4807" t="s">
        <v>108</v>
      </c>
      <c r="H4807" t="s">
        <v>30003</v>
      </c>
      <c r="I4807" t="s">
        <v>167</v>
      </c>
      <c r="J4807" t="s">
        <v>111</v>
      </c>
      <c r="K4807" t="str">
        <f>"85339"</f>
        <v>85339</v>
      </c>
      <c r="L4807" t="s">
        <v>5239</v>
      </c>
      <c r="M4807" t="s">
        <v>30004</v>
      </c>
      <c r="N4807" t="s">
        <v>167</v>
      </c>
      <c r="O4807" t="s">
        <v>111</v>
      </c>
      <c r="P4807" t="str">
        <f>"85339-1530"</f>
        <v>85339-1530</v>
      </c>
      <c r="Q4807" t="s">
        <v>113</v>
      </c>
      <c r="R4807" t="str">
        <f>"300-03-843"</f>
        <v>300-03-843</v>
      </c>
      <c r="S4807" t="s">
        <v>15120</v>
      </c>
      <c r="T4807" t="s">
        <v>15121</v>
      </c>
      <c r="U4807">
        <v>1640</v>
      </c>
      <c r="V4807">
        <v>0</v>
      </c>
      <c r="W4807">
        <v>3</v>
      </c>
      <c r="X4807">
        <v>2014</v>
      </c>
      <c r="Z4807">
        <v>1</v>
      </c>
      <c r="AB4807">
        <v>0</v>
      </c>
      <c r="AC4807" t="s">
        <v>115</v>
      </c>
      <c r="AD4807">
        <v>2</v>
      </c>
      <c r="AE4807" t="s">
        <v>115</v>
      </c>
      <c r="AF4807">
        <v>0</v>
      </c>
      <c r="AG4807">
        <v>0</v>
      </c>
      <c r="AH4807" t="s">
        <v>116</v>
      </c>
      <c r="AI4807" s="1">
        <v>-126373</v>
      </c>
      <c r="AJ4807" s="2">
        <v>-0.49</v>
      </c>
      <c r="AK4807" s="1">
        <v>255984</v>
      </c>
      <c r="AL4807" t="s">
        <v>117</v>
      </c>
      <c r="AM4807" t="s">
        <v>760</v>
      </c>
      <c r="AN4807">
        <v>5376</v>
      </c>
      <c r="AO4807">
        <v>0.12</v>
      </c>
      <c r="AR4807">
        <v>1</v>
      </c>
      <c r="AS4807" s="1">
        <v>17150</v>
      </c>
      <c r="AT4807" s="1">
        <v>3430</v>
      </c>
      <c r="AU4807" s="1">
        <v>13720</v>
      </c>
      <c r="AV4807">
        <v>80</v>
      </c>
      <c r="AX4807" s="1">
        <v>2085.2399999999998</v>
      </c>
      <c r="AY4807" t="s">
        <v>5532</v>
      </c>
      <c r="AZ4807" t="s">
        <v>5532</v>
      </c>
      <c r="BA4807" t="s">
        <v>173</v>
      </c>
      <c r="BB4807" s="3">
        <v>43357</v>
      </c>
      <c r="BC4807" s="1">
        <v>0</v>
      </c>
      <c r="BD4807" t="s">
        <v>291</v>
      </c>
      <c r="BE4807" s="3">
        <v>42109</v>
      </c>
      <c r="BF4807" s="1">
        <v>196705</v>
      </c>
      <c r="BG4807" t="s">
        <v>174</v>
      </c>
      <c r="BH4807" s="1">
        <v>119.94</v>
      </c>
      <c r="BI4807" s="1">
        <v>342357</v>
      </c>
      <c r="BJ4807" s="3">
        <v>43357</v>
      </c>
      <c r="BK4807" t="s">
        <v>123</v>
      </c>
      <c r="BL4807" t="str">
        <f>"2018.694456"</f>
        <v>2018.694456</v>
      </c>
      <c r="BM4807" t="s">
        <v>2716</v>
      </c>
      <c r="BN4807" t="s">
        <v>13572</v>
      </c>
      <c r="BO4807" t="s">
        <v>30005</v>
      </c>
      <c r="BP4807" t="s">
        <v>30006</v>
      </c>
      <c r="BR4807" t="s">
        <v>139</v>
      </c>
      <c r="BT4807" s="1">
        <v>40000</v>
      </c>
      <c r="BU4807" s="3">
        <v>43588</v>
      </c>
      <c r="BV4807" t="s">
        <v>134</v>
      </c>
      <c r="BW4807" t="str">
        <f>"2019.322833"</f>
        <v>2019.322833</v>
      </c>
      <c r="BX4807" t="s">
        <v>30007</v>
      </c>
      <c r="BY4807" t="s">
        <v>30008</v>
      </c>
      <c r="BZ4807" t="s">
        <v>30009</v>
      </c>
      <c r="CA4807" t="s">
        <v>30010</v>
      </c>
      <c r="CC4807" t="s">
        <v>139</v>
      </c>
      <c r="CE4807" s="1">
        <v>40000</v>
      </c>
      <c r="CF4807" s="3">
        <v>43588</v>
      </c>
      <c r="CG4807" t="s">
        <v>134</v>
      </c>
      <c r="CH4807" t="str">
        <f>"2019.322833"</f>
        <v>2019.322833</v>
      </c>
      <c r="CI4807" t="s">
        <v>30007</v>
      </c>
      <c r="CJ4807" t="s">
        <v>30008</v>
      </c>
      <c r="CK4807" t="s">
        <v>30009</v>
      </c>
      <c r="CL4807" t="s">
        <v>30010</v>
      </c>
      <c r="CN4807" t="s">
        <v>139</v>
      </c>
      <c r="CS4807" t="str">
        <f>""</f>
        <v/>
      </c>
    </row>
    <row r="4808" spans="1:97" x14ac:dyDescent="0.25">
      <c r="B4808" t="s">
        <v>30011</v>
      </c>
      <c r="C4808" t="s">
        <v>1857</v>
      </c>
      <c r="E4808" t="s">
        <v>30012</v>
      </c>
      <c r="F4808" t="s">
        <v>108</v>
      </c>
      <c r="H4808" t="s">
        <v>30013</v>
      </c>
      <c r="I4808" t="s">
        <v>5636</v>
      </c>
      <c r="J4808" t="s">
        <v>111</v>
      </c>
      <c r="K4808" t="str">
        <f>"85268"</f>
        <v>85268</v>
      </c>
      <c r="L4808" t="s">
        <v>168</v>
      </c>
      <c r="M4808" t="s">
        <v>30013</v>
      </c>
      <c r="N4808" t="s">
        <v>5636</v>
      </c>
      <c r="O4808" t="s">
        <v>111</v>
      </c>
      <c r="P4808" t="str">
        <f>"85268-3023"</f>
        <v>85268-3023</v>
      </c>
      <c r="Q4808" t="s">
        <v>113</v>
      </c>
      <c r="R4808" t="str">
        <f>"176-03-172"</f>
        <v>176-03-172</v>
      </c>
      <c r="S4808" t="s">
        <v>12231</v>
      </c>
      <c r="U4808">
        <v>1596</v>
      </c>
      <c r="V4808">
        <v>0</v>
      </c>
      <c r="W4808">
        <v>3</v>
      </c>
      <c r="X4808">
        <v>1986</v>
      </c>
      <c r="Z4808">
        <v>1</v>
      </c>
      <c r="AB4808">
        <v>0</v>
      </c>
      <c r="AC4808" t="s">
        <v>115</v>
      </c>
      <c r="AD4808">
        <v>2</v>
      </c>
      <c r="AE4808" t="s">
        <v>115</v>
      </c>
      <c r="AF4808">
        <v>0</v>
      </c>
      <c r="AG4808">
        <v>0</v>
      </c>
      <c r="AH4808" t="s">
        <v>116</v>
      </c>
      <c r="AI4808" s="1">
        <v>98966</v>
      </c>
      <c r="AJ4808" s="2">
        <v>0.3</v>
      </c>
      <c r="AK4808" s="1">
        <v>328966</v>
      </c>
      <c r="AL4808" t="s">
        <v>117</v>
      </c>
      <c r="AM4808" t="s">
        <v>171</v>
      </c>
      <c r="AN4808">
        <v>13064</v>
      </c>
      <c r="AO4808">
        <v>0.3</v>
      </c>
      <c r="AP4808">
        <v>1</v>
      </c>
      <c r="AR4808">
        <v>1</v>
      </c>
      <c r="AS4808" s="1">
        <v>21760</v>
      </c>
      <c r="AT4808" s="1">
        <v>4350</v>
      </c>
      <c r="AU4808" s="1">
        <v>17410</v>
      </c>
      <c r="AV4808">
        <v>80.010000000000005</v>
      </c>
      <c r="AX4808" s="1">
        <v>1191.04</v>
      </c>
      <c r="AY4808" t="s">
        <v>6485</v>
      </c>
      <c r="AZ4808" t="s">
        <v>5640</v>
      </c>
      <c r="BA4808" t="s">
        <v>5641</v>
      </c>
      <c r="BB4808" s="3">
        <v>43678</v>
      </c>
      <c r="BC4808" s="1">
        <v>0</v>
      </c>
      <c r="BD4808" t="s">
        <v>247</v>
      </c>
      <c r="BE4808" s="3">
        <v>41744</v>
      </c>
      <c r="BF4808" s="1">
        <v>225000</v>
      </c>
      <c r="BG4808" t="s">
        <v>30014</v>
      </c>
      <c r="BH4808" s="1">
        <v>140.97999999999999</v>
      </c>
      <c r="BI4808" s="1">
        <v>230000</v>
      </c>
      <c r="BJ4808" s="3">
        <v>42234</v>
      </c>
      <c r="BK4808" t="s">
        <v>123</v>
      </c>
      <c r="BL4808" t="str">
        <f>"2015.597450"</f>
        <v>2015.597450</v>
      </c>
      <c r="BM4808" t="s">
        <v>683</v>
      </c>
      <c r="BN4808" t="s">
        <v>5502</v>
      </c>
      <c r="BO4808" t="s">
        <v>30015</v>
      </c>
      <c r="BS4808">
        <v>30</v>
      </c>
      <c r="BW4808" t="str">
        <f>""</f>
        <v/>
      </c>
      <c r="CH4808" t="str">
        <f>""</f>
        <v/>
      </c>
      <c r="CS4808" t="str">
        <f>""</f>
        <v/>
      </c>
    </row>
    <row r="4809" spans="1:97" x14ac:dyDescent="0.25">
      <c r="A4809" t="s">
        <v>1021</v>
      </c>
      <c r="B4809" t="s">
        <v>30016</v>
      </c>
      <c r="C4809" t="s">
        <v>30017</v>
      </c>
      <c r="D4809" t="s">
        <v>30016</v>
      </c>
      <c r="E4809" t="s">
        <v>30018</v>
      </c>
      <c r="F4809" t="s">
        <v>108</v>
      </c>
      <c r="H4809" t="s">
        <v>30019</v>
      </c>
      <c r="I4809" t="s">
        <v>225</v>
      </c>
      <c r="J4809" t="s">
        <v>111</v>
      </c>
      <c r="K4809" t="str">
        <f>"85209"</f>
        <v>85209</v>
      </c>
      <c r="L4809" t="s">
        <v>5260</v>
      </c>
      <c r="M4809" t="s">
        <v>30019</v>
      </c>
      <c r="N4809" t="s">
        <v>225</v>
      </c>
      <c r="O4809" t="s">
        <v>111</v>
      </c>
      <c r="P4809" t="str">
        <f>"85209-4024"</f>
        <v>85209-4024</v>
      </c>
      <c r="Q4809" t="s">
        <v>113</v>
      </c>
      <c r="R4809" t="str">
        <f>"218-56-652"</f>
        <v>218-56-652</v>
      </c>
      <c r="S4809" t="s">
        <v>26742</v>
      </c>
      <c r="T4809" t="s">
        <v>21902</v>
      </c>
      <c r="U4809">
        <v>2117</v>
      </c>
      <c r="V4809">
        <v>0</v>
      </c>
      <c r="W4809">
        <v>4</v>
      </c>
      <c r="X4809">
        <v>1995</v>
      </c>
      <c r="Z4809">
        <v>2</v>
      </c>
      <c r="AA4809" t="s">
        <v>26</v>
      </c>
      <c r="AB4809">
        <v>0</v>
      </c>
      <c r="AC4809" t="s">
        <v>115</v>
      </c>
      <c r="AD4809">
        <v>2</v>
      </c>
      <c r="AE4809" t="s">
        <v>115</v>
      </c>
      <c r="AF4809">
        <v>0</v>
      </c>
      <c r="AG4809">
        <v>0</v>
      </c>
      <c r="AH4809" t="s">
        <v>116</v>
      </c>
      <c r="AI4809" s="1">
        <v>85488</v>
      </c>
      <c r="AJ4809" s="2">
        <v>0.28000000000000003</v>
      </c>
      <c r="AK4809" s="1">
        <v>309988</v>
      </c>
      <c r="AL4809" t="s">
        <v>117</v>
      </c>
      <c r="AM4809" t="s">
        <v>191</v>
      </c>
      <c r="AN4809">
        <v>5171</v>
      </c>
      <c r="AO4809">
        <v>0.12</v>
      </c>
      <c r="AP4809">
        <v>1</v>
      </c>
      <c r="AR4809">
        <v>1</v>
      </c>
      <c r="AS4809" s="1">
        <v>21450</v>
      </c>
      <c r="AT4809" s="1">
        <v>4290</v>
      </c>
      <c r="AU4809" s="1">
        <v>17160</v>
      </c>
      <c r="AV4809">
        <v>80</v>
      </c>
      <c r="AX4809" s="1">
        <v>1682.1</v>
      </c>
      <c r="AY4809" t="s">
        <v>5157</v>
      </c>
      <c r="AZ4809" t="s">
        <v>231</v>
      </c>
      <c r="BA4809" t="s">
        <v>232</v>
      </c>
      <c r="BB4809" s="3">
        <v>42514</v>
      </c>
      <c r="BD4809" t="s">
        <v>240</v>
      </c>
      <c r="BE4809" s="3">
        <v>42514</v>
      </c>
      <c r="BF4809" s="1">
        <v>252500</v>
      </c>
      <c r="BG4809" t="s">
        <v>30020</v>
      </c>
      <c r="BH4809" s="1">
        <v>119.27</v>
      </c>
      <c r="BI4809" s="1">
        <v>224500</v>
      </c>
      <c r="BJ4809" s="3">
        <v>43066</v>
      </c>
      <c r="BK4809" t="s">
        <v>123</v>
      </c>
      <c r="BL4809" t="str">
        <f>"2017.874212"</f>
        <v>2017.874212</v>
      </c>
      <c r="BM4809" t="s">
        <v>30021</v>
      </c>
      <c r="BO4809" t="s">
        <v>30022</v>
      </c>
      <c r="BS4809">
        <v>30</v>
      </c>
      <c r="BW4809" t="str">
        <f>""</f>
        <v/>
      </c>
      <c r="CH4809" t="str">
        <f>""</f>
        <v/>
      </c>
      <c r="CS4809" t="str">
        <f>""</f>
        <v/>
      </c>
    </row>
    <row r="4810" spans="1:97" x14ac:dyDescent="0.25">
      <c r="A4810" t="s">
        <v>4229</v>
      </c>
      <c r="B4810" t="s">
        <v>10495</v>
      </c>
      <c r="E4810" t="s">
        <v>30023</v>
      </c>
      <c r="F4810" t="s">
        <v>108</v>
      </c>
      <c r="H4810" t="s">
        <v>30024</v>
      </c>
      <c r="I4810" t="s">
        <v>499</v>
      </c>
      <c r="J4810" t="s">
        <v>111</v>
      </c>
      <c r="K4810" t="str">
        <f>"85395"</f>
        <v>85395</v>
      </c>
      <c r="L4810" t="s">
        <v>7243</v>
      </c>
      <c r="M4810" t="s">
        <v>30024</v>
      </c>
      <c r="N4810" t="s">
        <v>499</v>
      </c>
      <c r="O4810" t="s">
        <v>111</v>
      </c>
      <c r="P4810" t="str">
        <f>"85395-6311"</f>
        <v>85395-6311</v>
      </c>
      <c r="Q4810" t="s">
        <v>113</v>
      </c>
      <c r="R4810" t="str">
        <f>"508-13-047"</f>
        <v>508-13-047</v>
      </c>
      <c r="S4810" t="s">
        <v>7244</v>
      </c>
      <c r="T4810" t="s">
        <v>7245</v>
      </c>
      <c r="U4810">
        <v>2152</v>
      </c>
      <c r="V4810">
        <v>0</v>
      </c>
      <c r="W4810">
        <v>3</v>
      </c>
      <c r="X4810">
        <v>2006</v>
      </c>
      <c r="Z4810">
        <v>2</v>
      </c>
      <c r="AB4810">
        <v>0</v>
      </c>
      <c r="AC4810" t="s">
        <v>115</v>
      </c>
      <c r="AD4810">
        <v>2</v>
      </c>
      <c r="AE4810" t="s">
        <v>115</v>
      </c>
      <c r="AF4810">
        <v>0</v>
      </c>
      <c r="AG4810">
        <v>0</v>
      </c>
      <c r="AH4810" t="s">
        <v>116</v>
      </c>
      <c r="AI4810" s="1">
        <v>83795</v>
      </c>
      <c r="AJ4810" s="2">
        <v>0.26</v>
      </c>
      <c r="AK4810" s="1">
        <v>318795</v>
      </c>
      <c r="AL4810" t="s">
        <v>117</v>
      </c>
      <c r="AM4810" t="s">
        <v>118</v>
      </c>
      <c r="AN4810">
        <v>7140</v>
      </c>
      <c r="AO4810">
        <v>0.16</v>
      </c>
      <c r="AR4810">
        <v>1</v>
      </c>
      <c r="AS4810" s="1">
        <v>20200</v>
      </c>
      <c r="AT4810" s="1">
        <v>4040</v>
      </c>
      <c r="AU4810" s="1">
        <v>16160</v>
      </c>
      <c r="AV4810">
        <v>80</v>
      </c>
      <c r="AX4810" s="1">
        <v>2227.8000000000002</v>
      </c>
      <c r="AY4810" t="s">
        <v>3020</v>
      </c>
      <c r="AZ4810" t="s">
        <v>3020</v>
      </c>
      <c r="BA4810" t="s">
        <v>3154</v>
      </c>
      <c r="BE4810" s="3">
        <v>42117</v>
      </c>
      <c r="BF4810" s="1">
        <v>244000</v>
      </c>
      <c r="BG4810" t="s">
        <v>16011</v>
      </c>
      <c r="BH4810" s="1">
        <v>113.38</v>
      </c>
      <c r="BI4810" s="1">
        <v>235000</v>
      </c>
      <c r="BJ4810" s="3">
        <v>42117</v>
      </c>
      <c r="BK4810" t="s">
        <v>123</v>
      </c>
      <c r="BL4810" t="str">
        <f>"2015.281479"</f>
        <v>2015.281479</v>
      </c>
      <c r="BM4810" t="s">
        <v>820</v>
      </c>
      <c r="BO4810" t="s">
        <v>30025</v>
      </c>
      <c r="BS4810">
        <v>30</v>
      </c>
      <c r="BW4810" t="str">
        <f>""</f>
        <v/>
      </c>
      <c r="CH4810" t="str">
        <f>""</f>
        <v/>
      </c>
      <c r="CS4810" t="str">
        <f>""</f>
        <v/>
      </c>
    </row>
    <row r="4811" spans="1:97" x14ac:dyDescent="0.25">
      <c r="A4811" t="s">
        <v>251</v>
      </c>
      <c r="B4811" t="s">
        <v>4060</v>
      </c>
      <c r="E4811" t="s">
        <v>30026</v>
      </c>
      <c r="F4811" t="s">
        <v>108</v>
      </c>
      <c r="H4811" t="s">
        <v>30027</v>
      </c>
      <c r="I4811" t="s">
        <v>2874</v>
      </c>
      <c r="J4811" t="s">
        <v>111</v>
      </c>
      <c r="K4811" t="str">
        <f>"85310"</f>
        <v>85310</v>
      </c>
      <c r="L4811" t="s">
        <v>5325</v>
      </c>
      <c r="M4811" t="s">
        <v>30027</v>
      </c>
      <c r="N4811" t="s">
        <v>2874</v>
      </c>
      <c r="O4811" t="s">
        <v>111</v>
      </c>
      <c r="P4811" t="str">
        <f>"85310-3965"</f>
        <v>85310-3965</v>
      </c>
      <c r="Q4811" t="s">
        <v>113</v>
      </c>
      <c r="R4811" t="str">
        <f>"205-12-278"</f>
        <v>205-12-278</v>
      </c>
      <c r="S4811" t="s">
        <v>30028</v>
      </c>
      <c r="T4811" t="s">
        <v>30029</v>
      </c>
      <c r="U4811">
        <v>1788</v>
      </c>
      <c r="V4811">
        <v>0</v>
      </c>
      <c r="W4811">
        <v>3</v>
      </c>
      <c r="X4811">
        <v>1993</v>
      </c>
      <c r="Z4811">
        <v>2</v>
      </c>
      <c r="AA4811" t="s">
        <v>26</v>
      </c>
      <c r="AB4811">
        <v>0</v>
      </c>
      <c r="AC4811" t="s">
        <v>115</v>
      </c>
      <c r="AD4811">
        <v>3</v>
      </c>
      <c r="AE4811" t="s">
        <v>115</v>
      </c>
      <c r="AF4811">
        <v>0</v>
      </c>
      <c r="AG4811">
        <v>0</v>
      </c>
      <c r="AH4811" t="s">
        <v>116</v>
      </c>
      <c r="AI4811" s="1">
        <v>1308</v>
      </c>
      <c r="AJ4811" s="2">
        <v>0.01</v>
      </c>
      <c r="AK4811" s="1">
        <v>250808</v>
      </c>
      <c r="AL4811" t="s">
        <v>117</v>
      </c>
      <c r="AM4811" t="s">
        <v>1302</v>
      </c>
      <c r="AN4811">
        <v>7846</v>
      </c>
      <c r="AO4811">
        <v>0.18</v>
      </c>
      <c r="AP4811">
        <v>1</v>
      </c>
      <c r="AR4811">
        <v>1</v>
      </c>
      <c r="AS4811" s="1">
        <v>21100</v>
      </c>
      <c r="AT4811" s="1">
        <v>4220</v>
      </c>
      <c r="AU4811" s="1">
        <v>16880</v>
      </c>
      <c r="AV4811">
        <v>80</v>
      </c>
      <c r="AX4811" s="1">
        <v>1776.36</v>
      </c>
      <c r="AY4811" t="s">
        <v>5125</v>
      </c>
      <c r="AZ4811" t="s">
        <v>3049</v>
      </c>
      <c r="BA4811" t="s">
        <v>1386</v>
      </c>
      <c r="BE4811" s="3">
        <v>42551</v>
      </c>
      <c r="BF4811" s="1">
        <v>249500</v>
      </c>
      <c r="BG4811" t="s">
        <v>30030</v>
      </c>
      <c r="BH4811" s="1">
        <v>139.54</v>
      </c>
      <c r="BI4811" s="1">
        <v>249500</v>
      </c>
      <c r="BJ4811" s="3">
        <v>42551</v>
      </c>
      <c r="BK4811" t="s">
        <v>123</v>
      </c>
      <c r="BL4811" t="str">
        <f>"2016.462385"</f>
        <v>2016.462385</v>
      </c>
      <c r="BM4811" t="s">
        <v>955</v>
      </c>
      <c r="BO4811" t="s">
        <v>30031</v>
      </c>
      <c r="BS4811">
        <v>30</v>
      </c>
      <c r="BW4811" t="str">
        <f>""</f>
        <v/>
      </c>
      <c r="CH4811" t="str">
        <f>""</f>
        <v/>
      </c>
      <c r="CS4811" t="str">
        <f>""</f>
        <v/>
      </c>
    </row>
    <row r="4812" spans="1:97" x14ac:dyDescent="0.25">
      <c r="A4812" t="s">
        <v>1444</v>
      </c>
      <c r="B4812" t="s">
        <v>30032</v>
      </c>
      <c r="C4812" t="s">
        <v>30033</v>
      </c>
      <c r="D4812" t="s">
        <v>30034</v>
      </c>
      <c r="E4812" t="s">
        <v>30035</v>
      </c>
      <c r="F4812" t="s">
        <v>108</v>
      </c>
      <c r="H4812" t="s">
        <v>30036</v>
      </c>
      <c r="I4812" t="s">
        <v>390</v>
      </c>
      <c r="J4812" t="s">
        <v>111</v>
      </c>
      <c r="K4812" t="str">
        <f>"85013"</f>
        <v>85013</v>
      </c>
      <c r="L4812" t="s">
        <v>9006</v>
      </c>
      <c r="M4812" t="s">
        <v>30036</v>
      </c>
      <c r="N4812" t="s">
        <v>390</v>
      </c>
      <c r="O4812" t="s">
        <v>111</v>
      </c>
      <c r="P4812" t="str">
        <f>"85013-3346"</f>
        <v>85013-3346</v>
      </c>
      <c r="Q4812" t="s">
        <v>113</v>
      </c>
      <c r="R4812" t="str">
        <f>"110-11-018"</f>
        <v>110-11-018</v>
      </c>
      <c r="S4812" t="s">
        <v>30037</v>
      </c>
      <c r="T4812" t="s">
        <v>9544</v>
      </c>
      <c r="U4812">
        <v>1590</v>
      </c>
      <c r="V4812">
        <v>0</v>
      </c>
      <c r="W4812">
        <v>3</v>
      </c>
      <c r="X4812">
        <v>1952</v>
      </c>
      <c r="Z4812">
        <v>1</v>
      </c>
      <c r="AA4812" t="s">
        <v>26</v>
      </c>
      <c r="AB4812">
        <v>0</v>
      </c>
      <c r="AC4812" t="s">
        <v>115</v>
      </c>
      <c r="AD4812">
        <v>1</v>
      </c>
      <c r="AE4812" t="s">
        <v>115</v>
      </c>
      <c r="AF4812">
        <v>0</v>
      </c>
      <c r="AG4812">
        <v>0</v>
      </c>
      <c r="AH4812" t="s">
        <v>116</v>
      </c>
      <c r="AI4812" s="1">
        <v>26349</v>
      </c>
      <c r="AJ4812" s="2">
        <v>0.08</v>
      </c>
      <c r="AK4812" s="1">
        <v>348349</v>
      </c>
      <c r="AL4812" t="s">
        <v>117</v>
      </c>
      <c r="AM4812" t="s">
        <v>191</v>
      </c>
      <c r="AN4812">
        <v>6177</v>
      </c>
      <c r="AO4812">
        <v>0.14000000000000001</v>
      </c>
      <c r="AP4812">
        <v>1</v>
      </c>
      <c r="AR4812">
        <v>1</v>
      </c>
      <c r="AS4812" s="1">
        <v>22430</v>
      </c>
      <c r="AT4812" s="1">
        <v>4480</v>
      </c>
      <c r="AU4812" s="1">
        <v>17950</v>
      </c>
      <c r="AV4812">
        <v>80.03</v>
      </c>
      <c r="AX4812" s="1">
        <v>1537.72</v>
      </c>
      <c r="AY4812" t="s">
        <v>5468</v>
      </c>
      <c r="AZ4812" t="s">
        <v>5468</v>
      </c>
      <c r="BA4812" t="s">
        <v>5469</v>
      </c>
      <c r="BB4812" s="3">
        <v>42576</v>
      </c>
      <c r="BD4812" t="s">
        <v>240</v>
      </c>
      <c r="BE4812" s="3">
        <v>41768</v>
      </c>
      <c r="BF4812" s="1">
        <v>221000</v>
      </c>
      <c r="BG4812" t="s">
        <v>30038</v>
      </c>
      <c r="BH4812" s="1">
        <v>138.99</v>
      </c>
      <c r="BI4812" s="1">
        <v>322000</v>
      </c>
      <c r="BJ4812" s="3">
        <v>42576</v>
      </c>
      <c r="BK4812" t="s">
        <v>123</v>
      </c>
      <c r="BL4812" t="str">
        <f>"2016.524383"</f>
        <v>2016.524383</v>
      </c>
      <c r="BM4812" t="s">
        <v>4014</v>
      </c>
      <c r="BO4812" t="s">
        <v>30039</v>
      </c>
      <c r="BP4812" t="s">
        <v>30040</v>
      </c>
      <c r="BS4812">
        <v>30</v>
      </c>
      <c r="BW4812" t="str">
        <f>""</f>
        <v/>
      </c>
      <c r="CH4812" t="str">
        <f>""</f>
        <v/>
      </c>
      <c r="CS4812" t="str">
        <f>""</f>
        <v/>
      </c>
    </row>
    <row r="4813" spans="1:97" x14ac:dyDescent="0.25">
      <c r="B4813" t="s">
        <v>30041</v>
      </c>
      <c r="E4813" t="s">
        <v>30042</v>
      </c>
      <c r="F4813" t="s">
        <v>282</v>
      </c>
      <c r="H4813" t="s">
        <v>30043</v>
      </c>
      <c r="I4813" t="s">
        <v>5551</v>
      </c>
      <c r="J4813" t="s">
        <v>111</v>
      </c>
      <c r="K4813" t="str">
        <f>"85248"</f>
        <v>85248</v>
      </c>
      <c r="L4813" t="s">
        <v>3885</v>
      </c>
      <c r="M4813" t="s">
        <v>30044</v>
      </c>
      <c r="N4813" t="s">
        <v>30045</v>
      </c>
      <c r="O4813" t="s">
        <v>30046</v>
      </c>
      <c r="P4813" t="str">
        <f>"65807-8429"</f>
        <v>65807-8429</v>
      </c>
      <c r="Q4813" t="s">
        <v>113</v>
      </c>
      <c r="R4813" t="str">
        <f>"303-68-118"</f>
        <v>303-68-118</v>
      </c>
      <c r="S4813" t="s">
        <v>30047</v>
      </c>
      <c r="U4813">
        <v>1823</v>
      </c>
      <c r="V4813">
        <v>0</v>
      </c>
      <c r="W4813">
        <v>3</v>
      </c>
      <c r="X4813">
        <v>1985</v>
      </c>
      <c r="Z4813">
        <v>1</v>
      </c>
      <c r="AB4813">
        <v>0</v>
      </c>
      <c r="AC4813" t="s">
        <v>115</v>
      </c>
      <c r="AD4813">
        <v>2</v>
      </c>
      <c r="AE4813" t="s">
        <v>115</v>
      </c>
      <c r="AF4813">
        <v>0</v>
      </c>
      <c r="AG4813">
        <v>0</v>
      </c>
      <c r="AH4813" t="s">
        <v>116</v>
      </c>
      <c r="AI4813" s="1">
        <v>87610</v>
      </c>
      <c r="AJ4813" s="2">
        <v>0.3</v>
      </c>
      <c r="AK4813" s="1">
        <v>295610</v>
      </c>
      <c r="AL4813" t="s">
        <v>117</v>
      </c>
      <c r="AM4813" t="s">
        <v>191</v>
      </c>
      <c r="AN4813">
        <v>8307</v>
      </c>
      <c r="AO4813">
        <v>0.19</v>
      </c>
      <c r="AP4813">
        <v>1</v>
      </c>
      <c r="AR4813">
        <v>1</v>
      </c>
      <c r="AS4813" s="1">
        <v>19580</v>
      </c>
      <c r="AT4813" s="1">
        <v>3910</v>
      </c>
      <c r="AU4813" s="1">
        <v>15670</v>
      </c>
      <c r="AV4813">
        <v>80.03</v>
      </c>
      <c r="AX4813" s="1">
        <v>2088.14</v>
      </c>
      <c r="AY4813" t="s">
        <v>1881</v>
      </c>
      <c r="AZ4813" t="s">
        <v>1882</v>
      </c>
      <c r="BA4813" t="s">
        <v>121</v>
      </c>
      <c r="BE4813" s="3">
        <v>41834</v>
      </c>
      <c r="BF4813" s="1">
        <v>205000</v>
      </c>
      <c r="BG4813" t="s">
        <v>30048</v>
      </c>
      <c r="BH4813" s="1">
        <v>112.45</v>
      </c>
      <c r="BI4813" s="1">
        <v>208000</v>
      </c>
      <c r="BJ4813" s="3">
        <v>42039</v>
      </c>
      <c r="BK4813" t="s">
        <v>123</v>
      </c>
      <c r="BL4813" t="str">
        <f>"2015.73035"</f>
        <v>2015.73035</v>
      </c>
      <c r="BM4813" t="s">
        <v>2683</v>
      </c>
      <c r="BO4813" t="s">
        <v>30041</v>
      </c>
      <c r="BS4813">
        <v>30</v>
      </c>
      <c r="BW4813" t="str">
        <f>""</f>
        <v/>
      </c>
      <c r="CH4813" t="str">
        <f>""</f>
        <v/>
      </c>
      <c r="CS4813" t="str">
        <f>""</f>
        <v/>
      </c>
    </row>
    <row r="4814" spans="1:97" x14ac:dyDescent="0.25">
      <c r="A4814" t="s">
        <v>894</v>
      </c>
      <c r="B4814" t="s">
        <v>21418</v>
      </c>
      <c r="C4814" t="s">
        <v>537</v>
      </c>
      <c r="D4814" t="s">
        <v>21418</v>
      </c>
      <c r="E4814" t="s">
        <v>30049</v>
      </c>
      <c r="F4814" t="s">
        <v>108</v>
      </c>
      <c r="H4814" t="s">
        <v>30050</v>
      </c>
      <c r="I4814" t="s">
        <v>390</v>
      </c>
      <c r="J4814" t="s">
        <v>111</v>
      </c>
      <c r="K4814" t="str">
        <f>"85032"</f>
        <v>85032</v>
      </c>
      <c r="L4814" t="s">
        <v>2963</v>
      </c>
      <c r="M4814" t="s">
        <v>30050</v>
      </c>
      <c r="N4814" t="s">
        <v>390</v>
      </c>
      <c r="O4814" t="s">
        <v>111</v>
      </c>
      <c r="P4814" t="str">
        <f>"85032-4349"</f>
        <v>85032-4349</v>
      </c>
      <c r="Q4814" t="s">
        <v>113</v>
      </c>
      <c r="R4814" t="str">
        <f>"214-53-008"</f>
        <v>214-53-008</v>
      </c>
      <c r="S4814" t="s">
        <v>30051</v>
      </c>
      <c r="T4814" t="s">
        <v>30052</v>
      </c>
      <c r="U4814">
        <v>2910</v>
      </c>
      <c r="V4814">
        <v>0</v>
      </c>
      <c r="W4814">
        <v>3</v>
      </c>
      <c r="X4814">
        <v>1960</v>
      </c>
      <c r="Z4814">
        <v>1</v>
      </c>
      <c r="AA4814" t="s">
        <v>26</v>
      </c>
      <c r="AB4814">
        <v>0</v>
      </c>
      <c r="AC4814" t="s">
        <v>115</v>
      </c>
      <c r="AD4814">
        <v>2</v>
      </c>
      <c r="AE4814" t="s">
        <v>115</v>
      </c>
      <c r="AF4814">
        <v>0</v>
      </c>
      <c r="AG4814">
        <v>0</v>
      </c>
      <c r="AH4814" t="s">
        <v>116</v>
      </c>
      <c r="AI4814" s="1">
        <v>132870</v>
      </c>
      <c r="AJ4814" s="2">
        <v>0.25</v>
      </c>
      <c r="AK4814" s="1">
        <v>530270</v>
      </c>
      <c r="AL4814" t="s">
        <v>117</v>
      </c>
      <c r="AM4814" t="s">
        <v>6114</v>
      </c>
      <c r="AN4814">
        <v>48447</v>
      </c>
      <c r="AO4814">
        <v>1.1100000000000001</v>
      </c>
      <c r="AP4814">
        <v>1</v>
      </c>
      <c r="AR4814">
        <v>1</v>
      </c>
      <c r="AS4814" s="1">
        <v>42850</v>
      </c>
      <c r="AT4814" s="1">
        <v>8570</v>
      </c>
      <c r="AU4814" s="1">
        <v>34280</v>
      </c>
      <c r="AV4814">
        <v>80</v>
      </c>
      <c r="AX4814" s="1">
        <v>3448</v>
      </c>
      <c r="AY4814" t="s">
        <v>13914</v>
      </c>
      <c r="AZ4814" t="s">
        <v>5231</v>
      </c>
      <c r="BA4814" t="s">
        <v>2551</v>
      </c>
      <c r="BE4814" s="3">
        <v>42303</v>
      </c>
      <c r="BF4814" s="1">
        <v>390000</v>
      </c>
      <c r="BG4814" t="s">
        <v>30053</v>
      </c>
      <c r="BH4814" s="1">
        <v>134.02000000000001</v>
      </c>
      <c r="BI4814" s="1">
        <v>397400</v>
      </c>
      <c r="BJ4814" s="3">
        <v>42537</v>
      </c>
      <c r="BK4814" t="s">
        <v>123</v>
      </c>
      <c r="BL4814" t="str">
        <f>"2016.418665"</f>
        <v>2016.418665</v>
      </c>
      <c r="BM4814" t="s">
        <v>1707</v>
      </c>
      <c r="BO4814" t="s">
        <v>30054</v>
      </c>
      <c r="BS4814">
        <v>30</v>
      </c>
      <c r="BW4814" t="str">
        <f>""</f>
        <v/>
      </c>
      <c r="CH4814" t="str">
        <f>""</f>
        <v/>
      </c>
      <c r="CS4814" t="str">
        <f>""</f>
        <v/>
      </c>
    </row>
    <row r="4815" spans="1:97" x14ac:dyDescent="0.25">
      <c r="A4815" t="s">
        <v>1666</v>
      </c>
      <c r="B4815" t="s">
        <v>19673</v>
      </c>
      <c r="E4815" t="s">
        <v>30055</v>
      </c>
      <c r="F4815" t="s">
        <v>108</v>
      </c>
      <c r="H4815" t="s">
        <v>30056</v>
      </c>
      <c r="I4815" t="s">
        <v>390</v>
      </c>
      <c r="J4815" t="s">
        <v>111</v>
      </c>
      <c r="K4815" t="str">
        <f>"85086"</f>
        <v>85086</v>
      </c>
      <c r="L4815" t="s">
        <v>3645</v>
      </c>
      <c r="M4815" t="s">
        <v>30056</v>
      </c>
      <c r="N4815" t="s">
        <v>390</v>
      </c>
      <c r="O4815" t="s">
        <v>111</v>
      </c>
      <c r="P4815" t="str">
        <f>"85086-4606"</f>
        <v>85086-4606</v>
      </c>
      <c r="Q4815" t="s">
        <v>113</v>
      </c>
      <c r="R4815" t="str">
        <f>"211-93-237"</f>
        <v>211-93-237</v>
      </c>
      <c r="S4815" t="s">
        <v>23120</v>
      </c>
      <c r="U4815">
        <v>2168</v>
      </c>
      <c r="V4815">
        <v>0</v>
      </c>
      <c r="W4815">
        <v>3</v>
      </c>
      <c r="X4815">
        <v>2005</v>
      </c>
      <c r="Z4815">
        <v>2</v>
      </c>
      <c r="AA4815" t="s">
        <v>26</v>
      </c>
      <c r="AB4815">
        <v>0</v>
      </c>
      <c r="AC4815" t="s">
        <v>115</v>
      </c>
      <c r="AD4815">
        <v>2</v>
      </c>
      <c r="AE4815" t="s">
        <v>115</v>
      </c>
      <c r="AF4815">
        <v>0</v>
      </c>
      <c r="AG4815">
        <v>0</v>
      </c>
      <c r="AH4815" t="s">
        <v>116</v>
      </c>
      <c r="AI4815" s="1">
        <v>83508</v>
      </c>
      <c r="AJ4815" s="2">
        <v>0.26</v>
      </c>
      <c r="AK4815" s="1">
        <v>326263</v>
      </c>
      <c r="AL4815" t="s">
        <v>117</v>
      </c>
      <c r="AM4815" t="s">
        <v>191</v>
      </c>
      <c r="AN4815">
        <v>6260</v>
      </c>
      <c r="AO4815">
        <v>0.14000000000000001</v>
      </c>
      <c r="AR4815">
        <v>1</v>
      </c>
      <c r="AS4815" s="1">
        <v>23260</v>
      </c>
      <c r="AT4815" s="1">
        <v>4650</v>
      </c>
      <c r="AU4815" s="1">
        <v>18610</v>
      </c>
      <c r="AV4815">
        <v>80.010000000000005</v>
      </c>
      <c r="AX4815" s="1">
        <v>2816.62</v>
      </c>
      <c r="AY4815" t="s">
        <v>6515</v>
      </c>
      <c r="AZ4815" t="s">
        <v>6515</v>
      </c>
      <c r="BA4815" t="s">
        <v>378</v>
      </c>
      <c r="BB4815" s="3">
        <v>42109</v>
      </c>
      <c r="BD4815" t="s">
        <v>240</v>
      </c>
      <c r="BE4815" s="3">
        <v>42093</v>
      </c>
      <c r="BF4815" s="1">
        <v>235000</v>
      </c>
      <c r="BG4815" t="s">
        <v>30057</v>
      </c>
      <c r="BH4815" s="1">
        <v>108.39</v>
      </c>
      <c r="BI4815" s="1">
        <v>242755</v>
      </c>
      <c r="BJ4815" s="3">
        <v>42093</v>
      </c>
      <c r="BK4815" t="s">
        <v>123</v>
      </c>
      <c r="BL4815" t="str">
        <f>"2015.208869"</f>
        <v>2015.208869</v>
      </c>
      <c r="BM4815" t="s">
        <v>2368</v>
      </c>
      <c r="BN4815" t="s">
        <v>6128</v>
      </c>
      <c r="BO4815" t="s">
        <v>30058</v>
      </c>
      <c r="BS4815">
        <v>30</v>
      </c>
      <c r="BW4815" t="str">
        <f>""</f>
        <v/>
      </c>
      <c r="CH4815" t="str">
        <f>""</f>
        <v/>
      </c>
      <c r="CS4815" t="str">
        <f>""</f>
        <v/>
      </c>
    </row>
    <row r="4816" spans="1:97" x14ac:dyDescent="0.25">
      <c r="A4816" t="s">
        <v>12368</v>
      </c>
      <c r="B4816" t="s">
        <v>30059</v>
      </c>
      <c r="C4816" t="s">
        <v>8089</v>
      </c>
      <c r="D4816" t="s">
        <v>30059</v>
      </c>
      <c r="E4816" t="s">
        <v>30060</v>
      </c>
      <c r="F4816" t="s">
        <v>108</v>
      </c>
      <c r="H4816" t="s">
        <v>30061</v>
      </c>
      <c r="I4816" t="s">
        <v>390</v>
      </c>
      <c r="J4816" t="s">
        <v>111</v>
      </c>
      <c r="K4816" t="str">
        <f>"85033"</f>
        <v>85033</v>
      </c>
      <c r="L4816" t="s">
        <v>6541</v>
      </c>
      <c r="M4816" t="s">
        <v>30061</v>
      </c>
      <c r="N4816" t="s">
        <v>390</v>
      </c>
      <c r="O4816" t="s">
        <v>111</v>
      </c>
      <c r="P4816" t="str">
        <f>"85033-1107"</f>
        <v>85033-1107</v>
      </c>
      <c r="Q4816" t="s">
        <v>113</v>
      </c>
      <c r="R4816" t="str">
        <f>"102-20-719"</f>
        <v>102-20-719</v>
      </c>
      <c r="S4816" t="s">
        <v>30062</v>
      </c>
      <c r="T4816" t="s">
        <v>30063</v>
      </c>
      <c r="U4816">
        <v>1774</v>
      </c>
      <c r="V4816">
        <v>0</v>
      </c>
      <c r="W4816">
        <v>3</v>
      </c>
      <c r="X4816">
        <v>1979</v>
      </c>
      <c r="Z4816">
        <v>2</v>
      </c>
      <c r="AA4816" t="s">
        <v>26</v>
      </c>
      <c r="AB4816">
        <v>0</v>
      </c>
      <c r="AC4816" t="s">
        <v>115</v>
      </c>
      <c r="AD4816">
        <v>2</v>
      </c>
      <c r="AE4816" t="s">
        <v>115</v>
      </c>
      <c r="AF4816">
        <v>0</v>
      </c>
      <c r="AG4816">
        <v>0</v>
      </c>
      <c r="AH4816" t="s">
        <v>116</v>
      </c>
      <c r="AI4816" s="1">
        <v>21191</v>
      </c>
      <c r="AJ4816" s="2">
        <v>0.1</v>
      </c>
      <c r="AK4816" s="1">
        <v>222626</v>
      </c>
      <c r="AL4816" t="s">
        <v>117</v>
      </c>
      <c r="AM4816" t="s">
        <v>191</v>
      </c>
      <c r="AN4816">
        <v>6386</v>
      </c>
      <c r="AO4816">
        <v>0.15</v>
      </c>
      <c r="AP4816">
        <v>1</v>
      </c>
      <c r="AR4816">
        <v>1</v>
      </c>
      <c r="AS4816" s="1">
        <v>14300</v>
      </c>
      <c r="AT4816" s="1">
        <v>2860</v>
      </c>
      <c r="AU4816" s="1">
        <v>11440</v>
      </c>
      <c r="AV4816">
        <v>80</v>
      </c>
      <c r="AX4816" s="1">
        <v>1152.18</v>
      </c>
      <c r="AY4816" t="s">
        <v>30064</v>
      </c>
      <c r="AZ4816" t="s">
        <v>27820</v>
      </c>
      <c r="BA4816" t="s">
        <v>27821</v>
      </c>
      <c r="BE4816" s="3">
        <v>42543</v>
      </c>
      <c r="BF4816" s="1">
        <v>100000</v>
      </c>
      <c r="BG4816" t="s">
        <v>30065</v>
      </c>
      <c r="BH4816" s="1">
        <v>56.37</v>
      </c>
      <c r="BI4816" s="1">
        <v>201435</v>
      </c>
      <c r="BJ4816" s="3">
        <v>43403</v>
      </c>
      <c r="BK4816" t="s">
        <v>123</v>
      </c>
      <c r="BL4816" t="str">
        <f>"2018.809170"</f>
        <v>2018.809170</v>
      </c>
      <c r="BM4816" t="s">
        <v>23822</v>
      </c>
      <c r="BN4816" t="s">
        <v>1136</v>
      </c>
      <c r="BO4816" t="s">
        <v>30066</v>
      </c>
      <c r="BP4816" t="s">
        <v>30067</v>
      </c>
      <c r="BR4816" t="s">
        <v>139</v>
      </c>
      <c r="BW4816" t="str">
        <f>""</f>
        <v/>
      </c>
      <c r="CH4816" t="str">
        <f>""</f>
        <v/>
      </c>
      <c r="CS4816" t="str">
        <f>""</f>
        <v/>
      </c>
    </row>
    <row r="4817" spans="1:97" x14ac:dyDescent="0.25">
      <c r="A4817" t="s">
        <v>305</v>
      </c>
      <c r="B4817" t="s">
        <v>2522</v>
      </c>
      <c r="C4817" t="s">
        <v>794</v>
      </c>
      <c r="D4817" t="s">
        <v>2522</v>
      </c>
      <c r="E4817" t="s">
        <v>30068</v>
      </c>
      <c r="F4817" t="s">
        <v>108</v>
      </c>
      <c r="H4817" t="s">
        <v>30069</v>
      </c>
      <c r="I4817" t="s">
        <v>110</v>
      </c>
      <c r="J4817" t="s">
        <v>111</v>
      </c>
      <c r="K4817" t="str">
        <f>"85224"</f>
        <v>85224</v>
      </c>
      <c r="L4817" t="s">
        <v>1300</v>
      </c>
      <c r="M4817" t="s">
        <v>30069</v>
      </c>
      <c r="N4817" t="s">
        <v>110</v>
      </c>
      <c r="O4817" t="s">
        <v>111</v>
      </c>
      <c r="P4817" t="str">
        <f>"85224-3550"</f>
        <v>85224-3550</v>
      </c>
      <c r="Q4817" t="s">
        <v>113</v>
      </c>
      <c r="R4817" t="str">
        <f>"302-48-299"</f>
        <v>302-48-299</v>
      </c>
      <c r="S4817" t="s">
        <v>30070</v>
      </c>
      <c r="T4817" t="s">
        <v>30070</v>
      </c>
      <c r="U4817">
        <v>1827</v>
      </c>
      <c r="V4817">
        <v>0</v>
      </c>
      <c r="W4817">
        <v>2</v>
      </c>
      <c r="X4817">
        <v>1973</v>
      </c>
      <c r="Z4817">
        <v>1</v>
      </c>
      <c r="AB4817">
        <v>0</v>
      </c>
      <c r="AC4817" t="s">
        <v>5188</v>
      </c>
      <c r="AD4817">
        <v>2</v>
      </c>
      <c r="AE4817" t="s">
        <v>5188</v>
      </c>
      <c r="AF4817">
        <v>0</v>
      </c>
      <c r="AG4817">
        <v>0</v>
      </c>
      <c r="AH4817" t="s">
        <v>116</v>
      </c>
      <c r="AI4817" s="1">
        <v>66387</v>
      </c>
      <c r="AJ4817" s="2">
        <v>0.23</v>
      </c>
      <c r="AK4817" s="1">
        <v>293761</v>
      </c>
      <c r="AL4817" t="s">
        <v>117</v>
      </c>
      <c r="AM4817" t="s">
        <v>5077</v>
      </c>
      <c r="AN4817">
        <v>6449</v>
      </c>
      <c r="AO4817">
        <v>0.15</v>
      </c>
      <c r="AP4817">
        <v>1</v>
      </c>
      <c r="AR4817">
        <v>1</v>
      </c>
      <c r="AS4817" s="1">
        <v>19850</v>
      </c>
      <c r="AT4817" s="1">
        <v>3970</v>
      </c>
      <c r="AU4817" s="1">
        <v>15880</v>
      </c>
      <c r="AV4817">
        <v>80</v>
      </c>
      <c r="AX4817" s="1">
        <v>1243.1400000000001</v>
      </c>
      <c r="AY4817" t="s">
        <v>5657</v>
      </c>
      <c r="AZ4817" t="s">
        <v>5078</v>
      </c>
      <c r="BA4817" t="s">
        <v>2957</v>
      </c>
      <c r="BE4817" s="3">
        <v>42110</v>
      </c>
      <c r="BF4817" s="1">
        <v>225000</v>
      </c>
      <c r="BG4817" t="s">
        <v>30071</v>
      </c>
      <c r="BH4817" s="1">
        <v>123.15</v>
      </c>
      <c r="BI4817" s="1">
        <v>227374</v>
      </c>
      <c r="BJ4817" s="3">
        <v>42620</v>
      </c>
      <c r="BK4817" t="s">
        <v>123</v>
      </c>
      <c r="BL4817" t="str">
        <f>"2016.648384"</f>
        <v>2016.648384</v>
      </c>
      <c r="BM4817" t="s">
        <v>402</v>
      </c>
      <c r="BN4817" t="s">
        <v>461</v>
      </c>
      <c r="BO4817" t="s">
        <v>30072</v>
      </c>
      <c r="BS4817">
        <v>30</v>
      </c>
      <c r="BW4817" t="str">
        <f>""</f>
        <v/>
      </c>
      <c r="CH4817" t="str">
        <f>""</f>
        <v/>
      </c>
      <c r="CS4817" t="str">
        <f>""</f>
        <v/>
      </c>
    </row>
    <row r="4818" spans="1:97" x14ac:dyDescent="0.25">
      <c r="B4818" t="s">
        <v>30073</v>
      </c>
      <c r="E4818" t="s">
        <v>30073</v>
      </c>
      <c r="F4818" t="s">
        <v>108</v>
      </c>
      <c r="H4818" t="s">
        <v>30074</v>
      </c>
      <c r="I4818" t="s">
        <v>390</v>
      </c>
      <c r="J4818" t="s">
        <v>111</v>
      </c>
      <c r="K4818" t="str">
        <f>"85007"</f>
        <v>85007</v>
      </c>
      <c r="L4818" t="s">
        <v>6349</v>
      </c>
      <c r="M4818" t="s">
        <v>30074</v>
      </c>
      <c r="N4818" t="s">
        <v>390</v>
      </c>
      <c r="O4818" t="s">
        <v>111</v>
      </c>
      <c r="P4818" t="str">
        <f>"85007-1814"</f>
        <v>85007-1814</v>
      </c>
      <c r="Q4818" t="s">
        <v>113</v>
      </c>
      <c r="R4818" t="str">
        <f>"111-18-128"</f>
        <v>111-18-128</v>
      </c>
      <c r="S4818" t="s">
        <v>30075</v>
      </c>
      <c r="U4818">
        <v>1127</v>
      </c>
      <c r="V4818">
        <v>0</v>
      </c>
      <c r="W4818">
        <v>1</v>
      </c>
      <c r="X4818">
        <v>1940</v>
      </c>
      <c r="Z4818">
        <v>1</v>
      </c>
      <c r="AB4818">
        <v>0</v>
      </c>
      <c r="AC4818" t="s">
        <v>115</v>
      </c>
      <c r="AD4818">
        <v>4</v>
      </c>
      <c r="AE4818" t="s">
        <v>115</v>
      </c>
      <c r="AF4818">
        <v>0</v>
      </c>
      <c r="AG4818">
        <v>0</v>
      </c>
      <c r="AH4818" t="s">
        <v>116</v>
      </c>
      <c r="AI4818" s="1">
        <v>70128</v>
      </c>
      <c r="AJ4818" s="2">
        <v>0.19</v>
      </c>
      <c r="AK4818" s="1">
        <v>376929</v>
      </c>
      <c r="AL4818" t="s">
        <v>117</v>
      </c>
      <c r="AM4818" t="s">
        <v>191</v>
      </c>
      <c r="AN4818">
        <v>7018</v>
      </c>
      <c r="AO4818">
        <v>0.16</v>
      </c>
      <c r="AP4818">
        <v>1</v>
      </c>
      <c r="AR4818">
        <v>1</v>
      </c>
      <c r="AS4818" s="1">
        <v>13085</v>
      </c>
      <c r="AT4818" s="1">
        <v>2615</v>
      </c>
      <c r="AU4818" s="1">
        <v>10470</v>
      </c>
      <c r="AV4818">
        <v>80.02</v>
      </c>
      <c r="AX4818" s="1">
        <v>1167.08</v>
      </c>
      <c r="AY4818" t="s">
        <v>8309</v>
      </c>
      <c r="AZ4818" t="s">
        <v>8309</v>
      </c>
      <c r="BA4818" t="s">
        <v>5469</v>
      </c>
      <c r="BE4818" s="3">
        <v>42521</v>
      </c>
      <c r="BF4818" s="1">
        <v>305000</v>
      </c>
      <c r="BG4818" t="s">
        <v>30076</v>
      </c>
      <c r="BH4818" s="1">
        <v>270.63</v>
      </c>
      <c r="BI4818" s="1">
        <v>306801</v>
      </c>
      <c r="BJ4818" s="3">
        <v>42521</v>
      </c>
      <c r="BK4818" t="s">
        <v>123</v>
      </c>
      <c r="BL4818" t="str">
        <f>"2016.374339"</f>
        <v>2016.374339</v>
      </c>
      <c r="BM4818" t="s">
        <v>2683</v>
      </c>
      <c r="BO4818" t="s">
        <v>30073</v>
      </c>
      <c r="BS4818">
        <v>30</v>
      </c>
      <c r="BW4818" t="str">
        <f>""</f>
        <v/>
      </c>
      <c r="CH4818" t="str">
        <f>""</f>
        <v/>
      </c>
      <c r="CS4818" t="str">
        <f>""</f>
        <v/>
      </c>
    </row>
    <row r="4819" spans="1:97" x14ac:dyDescent="0.25">
      <c r="A4819" t="s">
        <v>140</v>
      </c>
      <c r="B4819" t="s">
        <v>30077</v>
      </c>
      <c r="C4819" t="s">
        <v>27176</v>
      </c>
      <c r="D4819" t="s">
        <v>30077</v>
      </c>
      <c r="E4819" t="s">
        <v>30078</v>
      </c>
      <c r="F4819" t="s">
        <v>108</v>
      </c>
      <c r="H4819" t="s">
        <v>30079</v>
      </c>
      <c r="I4819" t="s">
        <v>203</v>
      </c>
      <c r="J4819" t="s">
        <v>111</v>
      </c>
      <c r="K4819" t="str">
        <f>"85295"</f>
        <v>85295</v>
      </c>
      <c r="L4819" t="s">
        <v>7983</v>
      </c>
      <c r="M4819" t="s">
        <v>30079</v>
      </c>
      <c r="N4819" t="s">
        <v>203</v>
      </c>
      <c r="O4819" t="s">
        <v>111</v>
      </c>
      <c r="P4819" t="str">
        <f>"85295-5814"</f>
        <v>85295-5814</v>
      </c>
      <c r="Q4819" t="s">
        <v>113</v>
      </c>
      <c r="R4819" t="str">
        <f>"304-38-595"</f>
        <v>304-38-595</v>
      </c>
      <c r="S4819" t="s">
        <v>8126</v>
      </c>
      <c r="T4819" t="s">
        <v>8126</v>
      </c>
      <c r="U4819">
        <v>2426</v>
      </c>
      <c r="V4819">
        <v>0</v>
      </c>
      <c r="W4819">
        <v>3</v>
      </c>
      <c r="X4819">
        <v>2004</v>
      </c>
      <c r="Z4819">
        <v>2</v>
      </c>
      <c r="AB4819">
        <v>0</v>
      </c>
      <c r="AC4819" t="s">
        <v>115</v>
      </c>
      <c r="AD4819">
        <v>2</v>
      </c>
      <c r="AE4819" t="s">
        <v>115</v>
      </c>
      <c r="AF4819">
        <v>0</v>
      </c>
      <c r="AG4819">
        <v>0</v>
      </c>
      <c r="AH4819" t="s">
        <v>116</v>
      </c>
      <c r="AI4819" s="1">
        <v>47904</v>
      </c>
      <c r="AJ4819" s="2">
        <v>0.15</v>
      </c>
      <c r="AK4819" s="1">
        <v>323198</v>
      </c>
      <c r="AL4819" t="s">
        <v>117</v>
      </c>
      <c r="AM4819" t="s">
        <v>191</v>
      </c>
      <c r="AN4819">
        <v>5250</v>
      </c>
      <c r="AO4819">
        <v>0.12</v>
      </c>
      <c r="AP4819">
        <v>1</v>
      </c>
      <c r="AR4819">
        <v>1</v>
      </c>
      <c r="AS4819" s="1">
        <v>22130</v>
      </c>
      <c r="AT4819" s="1">
        <v>4420</v>
      </c>
      <c r="AU4819" s="1">
        <v>17710</v>
      </c>
      <c r="AV4819">
        <v>80.03</v>
      </c>
      <c r="AX4819" s="1">
        <v>1895.7</v>
      </c>
      <c r="AY4819" t="s">
        <v>472</v>
      </c>
      <c r="AZ4819" t="s">
        <v>472</v>
      </c>
      <c r="BA4819" t="s">
        <v>473</v>
      </c>
      <c r="BB4819" s="3">
        <v>41999</v>
      </c>
      <c r="BD4819" t="s">
        <v>240</v>
      </c>
      <c r="BE4819" s="3">
        <v>41647</v>
      </c>
      <c r="BF4819" s="1">
        <v>250000</v>
      </c>
      <c r="BG4819" t="s">
        <v>30080</v>
      </c>
      <c r="BH4819" s="1">
        <v>103.05</v>
      </c>
      <c r="BI4819" s="1">
        <v>275294</v>
      </c>
      <c r="BJ4819" s="3">
        <v>42853</v>
      </c>
      <c r="BK4819" t="s">
        <v>123</v>
      </c>
      <c r="BL4819" t="str">
        <f>"2017.305383"</f>
        <v>2017.305383</v>
      </c>
      <c r="BM4819" t="s">
        <v>361</v>
      </c>
      <c r="BN4819" t="s">
        <v>884</v>
      </c>
      <c r="BO4819" t="s">
        <v>30081</v>
      </c>
      <c r="BS4819">
        <v>15</v>
      </c>
      <c r="BT4819" s="1">
        <v>275294</v>
      </c>
      <c r="BU4819" s="3">
        <v>42853</v>
      </c>
      <c r="BV4819" t="s">
        <v>123</v>
      </c>
      <c r="BW4819" t="str">
        <f>"2017.305383"</f>
        <v>2017.305383</v>
      </c>
      <c r="BX4819" t="s">
        <v>361</v>
      </c>
      <c r="BZ4819" t="s">
        <v>30081</v>
      </c>
      <c r="CD4819">
        <v>15</v>
      </c>
      <c r="CH4819" t="str">
        <f>""</f>
        <v/>
      </c>
      <c r="CS4819" t="str">
        <f>""</f>
        <v/>
      </c>
    </row>
    <row r="4820" spans="1:97" x14ac:dyDescent="0.25">
      <c r="A4820" t="s">
        <v>4515</v>
      </c>
      <c r="B4820" t="s">
        <v>30082</v>
      </c>
      <c r="E4820" t="s">
        <v>30083</v>
      </c>
      <c r="F4820" t="s">
        <v>108</v>
      </c>
      <c r="H4820" t="s">
        <v>30084</v>
      </c>
      <c r="I4820" t="s">
        <v>453</v>
      </c>
      <c r="J4820" t="s">
        <v>111</v>
      </c>
      <c r="K4820" t="str">
        <f>"85381"</f>
        <v>85381</v>
      </c>
      <c r="L4820" t="s">
        <v>2963</v>
      </c>
      <c r="M4820" t="s">
        <v>30084</v>
      </c>
      <c r="N4820" t="s">
        <v>453</v>
      </c>
      <c r="O4820" t="s">
        <v>111</v>
      </c>
      <c r="P4820" t="str">
        <f>"85381-4886"</f>
        <v>85381-4886</v>
      </c>
      <c r="Q4820" t="s">
        <v>113</v>
      </c>
      <c r="R4820" t="str">
        <f>"200-79-537"</f>
        <v>200-79-537</v>
      </c>
      <c r="S4820" t="s">
        <v>5627</v>
      </c>
      <c r="T4820" t="s">
        <v>5628</v>
      </c>
      <c r="U4820">
        <v>1491</v>
      </c>
      <c r="V4820">
        <v>0</v>
      </c>
      <c r="W4820">
        <v>3</v>
      </c>
      <c r="X4820">
        <v>1990</v>
      </c>
      <c r="Z4820">
        <v>1</v>
      </c>
      <c r="AB4820">
        <v>0</v>
      </c>
      <c r="AC4820" t="s">
        <v>115</v>
      </c>
      <c r="AD4820">
        <v>2</v>
      </c>
      <c r="AE4820" t="s">
        <v>115</v>
      </c>
      <c r="AF4820">
        <v>0</v>
      </c>
      <c r="AG4820">
        <v>0</v>
      </c>
      <c r="AH4820" t="s">
        <v>116</v>
      </c>
      <c r="AI4820" s="1">
        <v>41722</v>
      </c>
      <c r="AJ4820" s="2">
        <v>0.17</v>
      </c>
      <c r="AK4820" s="1">
        <v>244722</v>
      </c>
      <c r="AL4820" t="s">
        <v>117</v>
      </c>
      <c r="AM4820" t="s">
        <v>3345</v>
      </c>
      <c r="AN4820">
        <v>5994</v>
      </c>
      <c r="AO4820">
        <v>0.14000000000000001</v>
      </c>
      <c r="AP4820">
        <v>1</v>
      </c>
      <c r="AR4820">
        <v>1</v>
      </c>
      <c r="AS4820" s="1">
        <v>17080</v>
      </c>
      <c r="AT4820" s="1">
        <v>3410</v>
      </c>
      <c r="AU4820" s="1">
        <v>13670</v>
      </c>
      <c r="AV4820">
        <v>80.040000000000006</v>
      </c>
      <c r="AX4820" s="1">
        <v>1247.92</v>
      </c>
      <c r="AY4820" t="s">
        <v>5629</v>
      </c>
      <c r="AZ4820" t="s">
        <v>5629</v>
      </c>
      <c r="BA4820" t="s">
        <v>4007</v>
      </c>
      <c r="BE4820" s="3">
        <v>42489</v>
      </c>
      <c r="BF4820" s="1">
        <v>186000</v>
      </c>
      <c r="BG4820" t="s">
        <v>30085</v>
      </c>
      <c r="BH4820" s="1">
        <v>124.75</v>
      </c>
      <c r="BI4820" s="1">
        <v>203000</v>
      </c>
      <c r="BJ4820" s="3">
        <v>43602</v>
      </c>
      <c r="BK4820" t="s">
        <v>123</v>
      </c>
      <c r="BL4820" t="str">
        <f>"2019.364036"</f>
        <v>2019.364036</v>
      </c>
      <c r="BM4820" t="s">
        <v>1977</v>
      </c>
      <c r="BN4820" t="s">
        <v>10003</v>
      </c>
      <c r="BO4820" t="s">
        <v>30083</v>
      </c>
      <c r="BR4820" t="s">
        <v>139</v>
      </c>
      <c r="BW4820" t="str">
        <f>""</f>
        <v/>
      </c>
      <c r="CH4820" t="str">
        <f>""</f>
        <v/>
      </c>
      <c r="CS4820" t="str">
        <f>""</f>
        <v/>
      </c>
    </row>
    <row r="4821" spans="1:97" x14ac:dyDescent="0.25">
      <c r="A4821" t="s">
        <v>412</v>
      </c>
      <c r="B4821" t="s">
        <v>4986</v>
      </c>
      <c r="C4821" t="s">
        <v>484</v>
      </c>
      <c r="D4821" t="s">
        <v>4986</v>
      </c>
      <c r="E4821" t="s">
        <v>30086</v>
      </c>
      <c r="F4821" t="s">
        <v>108</v>
      </c>
      <c r="H4821" t="s">
        <v>30087</v>
      </c>
      <c r="I4821" t="s">
        <v>390</v>
      </c>
      <c r="J4821" t="s">
        <v>111</v>
      </c>
      <c r="K4821" t="str">
        <f>"85032"</f>
        <v>85032</v>
      </c>
      <c r="L4821" t="s">
        <v>5539</v>
      </c>
      <c r="M4821" t="s">
        <v>30087</v>
      </c>
      <c r="N4821" t="s">
        <v>390</v>
      </c>
      <c r="O4821" t="s">
        <v>111</v>
      </c>
      <c r="P4821" t="str">
        <f>"85032-4620"</f>
        <v>85032-4620</v>
      </c>
      <c r="Q4821" t="s">
        <v>113</v>
      </c>
      <c r="R4821" t="str">
        <f>"214-63-727"</f>
        <v>214-63-727</v>
      </c>
      <c r="S4821" t="s">
        <v>30088</v>
      </c>
      <c r="U4821">
        <v>1745</v>
      </c>
      <c r="V4821">
        <v>0</v>
      </c>
      <c r="W4821">
        <v>2</v>
      </c>
      <c r="X4821">
        <v>1979</v>
      </c>
      <c r="Z4821">
        <v>1</v>
      </c>
      <c r="AB4821">
        <v>0</v>
      </c>
      <c r="AC4821" t="s">
        <v>115</v>
      </c>
      <c r="AD4821">
        <v>2</v>
      </c>
      <c r="AE4821" t="s">
        <v>115</v>
      </c>
      <c r="AF4821">
        <v>0</v>
      </c>
      <c r="AG4821">
        <v>0</v>
      </c>
      <c r="AH4821" t="s">
        <v>116</v>
      </c>
      <c r="AI4821" s="1">
        <v>51508</v>
      </c>
      <c r="AJ4821" s="2">
        <v>0.17</v>
      </c>
      <c r="AK4821" s="1">
        <v>299428</v>
      </c>
      <c r="AL4821" t="s">
        <v>117</v>
      </c>
      <c r="AM4821" t="s">
        <v>191</v>
      </c>
      <c r="AN4821">
        <v>7531</v>
      </c>
      <c r="AO4821">
        <v>0.17</v>
      </c>
      <c r="AP4821">
        <v>1</v>
      </c>
      <c r="AR4821">
        <v>1</v>
      </c>
      <c r="AS4821" s="1">
        <v>20980</v>
      </c>
      <c r="AT4821" s="1">
        <v>4190</v>
      </c>
      <c r="AU4821" s="1">
        <v>16790</v>
      </c>
      <c r="AV4821">
        <v>80.03</v>
      </c>
      <c r="AX4821" s="1">
        <v>1447.08</v>
      </c>
      <c r="AY4821" t="s">
        <v>8400</v>
      </c>
      <c r="AZ4821" t="s">
        <v>5231</v>
      </c>
      <c r="BA4821" t="s">
        <v>1318</v>
      </c>
      <c r="BE4821" s="3">
        <v>42046</v>
      </c>
      <c r="BF4821" s="1">
        <v>197000</v>
      </c>
      <c r="BG4821" t="s">
        <v>30089</v>
      </c>
      <c r="BH4821" s="1">
        <v>112.89</v>
      </c>
      <c r="BI4821" s="1">
        <v>247920</v>
      </c>
      <c r="BJ4821" s="3">
        <v>43584</v>
      </c>
      <c r="BK4821" t="s">
        <v>123</v>
      </c>
      <c r="BL4821" t="str">
        <f>"2019.300917"</f>
        <v>2019.300917</v>
      </c>
      <c r="BM4821" t="s">
        <v>13866</v>
      </c>
      <c r="BN4821" t="s">
        <v>13867</v>
      </c>
      <c r="BO4821" t="s">
        <v>30090</v>
      </c>
      <c r="BP4821" t="s">
        <v>30091</v>
      </c>
      <c r="BR4821" t="s">
        <v>139</v>
      </c>
      <c r="BW4821" t="str">
        <f>""</f>
        <v/>
      </c>
      <c r="CH4821" t="str">
        <f>""</f>
        <v/>
      </c>
      <c r="CS4821" t="str">
        <f>""</f>
        <v/>
      </c>
    </row>
    <row r="4822" spans="1:97" x14ac:dyDescent="0.25">
      <c r="A4822" t="s">
        <v>404</v>
      </c>
      <c r="B4822" t="s">
        <v>1820</v>
      </c>
      <c r="C4822" t="s">
        <v>7901</v>
      </c>
      <c r="D4822" t="s">
        <v>1820</v>
      </c>
      <c r="E4822" t="s">
        <v>30092</v>
      </c>
      <c r="F4822" t="s">
        <v>108</v>
      </c>
      <c r="H4822" t="s">
        <v>30093</v>
      </c>
      <c r="I4822" t="s">
        <v>225</v>
      </c>
      <c r="J4822" t="s">
        <v>111</v>
      </c>
      <c r="K4822" t="str">
        <f>"85212"</f>
        <v>85212</v>
      </c>
      <c r="L4822" t="s">
        <v>774</v>
      </c>
      <c r="M4822" t="s">
        <v>30093</v>
      </c>
      <c r="N4822" t="s">
        <v>225</v>
      </c>
      <c r="O4822" t="s">
        <v>111</v>
      </c>
      <c r="P4822" t="str">
        <f>"85212-1881"</f>
        <v>85212-1881</v>
      </c>
      <c r="Q4822" t="s">
        <v>113</v>
      </c>
      <c r="R4822" t="str">
        <f>"309-19-934"</f>
        <v>309-19-934</v>
      </c>
      <c r="S4822" t="s">
        <v>28850</v>
      </c>
      <c r="U4822">
        <v>2206</v>
      </c>
      <c r="V4822">
        <v>0</v>
      </c>
      <c r="W4822">
        <v>3</v>
      </c>
      <c r="X4822">
        <v>1999</v>
      </c>
      <c r="Z4822">
        <v>1</v>
      </c>
      <c r="AA4822" t="s">
        <v>26</v>
      </c>
      <c r="AB4822">
        <v>0</v>
      </c>
      <c r="AC4822" t="s">
        <v>115</v>
      </c>
      <c r="AD4822">
        <v>3</v>
      </c>
      <c r="AE4822" t="s">
        <v>115</v>
      </c>
      <c r="AF4822">
        <v>0</v>
      </c>
      <c r="AG4822">
        <v>0</v>
      </c>
      <c r="AH4822" t="s">
        <v>116</v>
      </c>
      <c r="AI4822" s="1">
        <v>82013</v>
      </c>
      <c r="AJ4822" s="2">
        <v>0.23</v>
      </c>
      <c r="AK4822" s="1">
        <v>359775</v>
      </c>
      <c r="AL4822" t="s">
        <v>117</v>
      </c>
      <c r="AM4822" t="s">
        <v>191</v>
      </c>
      <c r="AN4822">
        <v>7475</v>
      </c>
      <c r="AO4822">
        <v>0.17</v>
      </c>
      <c r="AP4822">
        <v>1</v>
      </c>
      <c r="AR4822">
        <v>1</v>
      </c>
      <c r="AS4822" s="1">
        <v>24220</v>
      </c>
      <c r="AT4822" s="1">
        <v>4840</v>
      </c>
      <c r="AU4822" s="1">
        <v>19380</v>
      </c>
      <c r="AV4822">
        <v>80.02</v>
      </c>
      <c r="AX4822" s="1">
        <v>1717.46</v>
      </c>
      <c r="AY4822" t="s">
        <v>7302</v>
      </c>
      <c r="AZ4822" t="s">
        <v>777</v>
      </c>
      <c r="BA4822" t="s">
        <v>572</v>
      </c>
      <c r="BE4822" s="3">
        <v>41724</v>
      </c>
      <c r="BF4822" s="1">
        <v>274900</v>
      </c>
      <c r="BG4822" t="s">
        <v>30094</v>
      </c>
      <c r="BH4822" s="1">
        <v>124.61</v>
      </c>
      <c r="BI4822" s="1">
        <v>277762</v>
      </c>
      <c r="BJ4822" s="3">
        <v>42513</v>
      </c>
      <c r="BK4822" t="s">
        <v>123</v>
      </c>
      <c r="BL4822" t="str">
        <f>"2016.353356"</f>
        <v>2016.353356</v>
      </c>
      <c r="BM4822" t="s">
        <v>175</v>
      </c>
      <c r="BO4822" t="s">
        <v>30095</v>
      </c>
      <c r="BS4822">
        <v>30</v>
      </c>
      <c r="BW4822" t="str">
        <f>""</f>
        <v/>
      </c>
      <c r="CH4822" t="str">
        <f>""</f>
        <v/>
      </c>
      <c r="CS4822" t="str">
        <f>""</f>
        <v/>
      </c>
    </row>
    <row r="4823" spans="1:97" x14ac:dyDescent="0.25">
      <c r="A4823" t="s">
        <v>9020</v>
      </c>
      <c r="B4823" t="s">
        <v>30096</v>
      </c>
      <c r="C4823" t="s">
        <v>703</v>
      </c>
      <c r="D4823" t="s">
        <v>30096</v>
      </c>
      <c r="E4823" t="s">
        <v>30097</v>
      </c>
      <c r="F4823" t="s">
        <v>108</v>
      </c>
      <c r="H4823" t="s">
        <v>30098</v>
      </c>
      <c r="I4823" t="s">
        <v>390</v>
      </c>
      <c r="J4823" t="s">
        <v>111</v>
      </c>
      <c r="K4823" t="str">
        <f>"85032"</f>
        <v>85032</v>
      </c>
      <c r="L4823" t="s">
        <v>6964</v>
      </c>
      <c r="M4823" t="s">
        <v>30098</v>
      </c>
      <c r="N4823" t="s">
        <v>390</v>
      </c>
      <c r="O4823" t="s">
        <v>111</v>
      </c>
      <c r="P4823" t="str">
        <f>"85032-6505"</f>
        <v>85032-6505</v>
      </c>
      <c r="R4823" t="str">
        <f>"166-04-064-A"</f>
        <v>166-04-064-A</v>
      </c>
      <c r="S4823" t="s">
        <v>6965</v>
      </c>
      <c r="T4823" t="s">
        <v>6966</v>
      </c>
      <c r="U4823">
        <v>1460</v>
      </c>
      <c r="V4823">
        <v>0</v>
      </c>
      <c r="W4823">
        <v>2</v>
      </c>
      <c r="X4823">
        <v>1974</v>
      </c>
      <c r="Z4823">
        <v>1</v>
      </c>
      <c r="AB4823">
        <v>0</v>
      </c>
      <c r="AC4823" t="s">
        <v>115</v>
      </c>
      <c r="AD4823">
        <v>2</v>
      </c>
      <c r="AE4823" t="s">
        <v>115</v>
      </c>
      <c r="AF4823">
        <v>0</v>
      </c>
      <c r="AG4823">
        <v>0</v>
      </c>
      <c r="AH4823" t="s">
        <v>116</v>
      </c>
      <c r="AI4823" s="1">
        <v>62603</v>
      </c>
      <c r="AJ4823" s="2">
        <v>0.23</v>
      </c>
      <c r="AK4823" s="1">
        <v>277467</v>
      </c>
      <c r="AL4823" t="s">
        <v>117</v>
      </c>
      <c r="AM4823" t="s">
        <v>171</v>
      </c>
      <c r="AN4823">
        <v>8171</v>
      </c>
      <c r="AO4823">
        <v>0.19</v>
      </c>
      <c r="AP4823">
        <v>1</v>
      </c>
      <c r="AR4823">
        <v>1</v>
      </c>
      <c r="AS4823" s="1">
        <v>19180</v>
      </c>
      <c r="AT4823" s="1">
        <v>3830</v>
      </c>
      <c r="AU4823" s="1">
        <v>15350</v>
      </c>
      <c r="AV4823">
        <v>80.03</v>
      </c>
      <c r="AX4823" s="1">
        <v>1453.36</v>
      </c>
      <c r="AY4823" t="s">
        <v>6904</v>
      </c>
      <c r="AZ4823" t="s">
        <v>5489</v>
      </c>
      <c r="BA4823" t="s">
        <v>5232</v>
      </c>
      <c r="BE4823" s="3">
        <v>42138</v>
      </c>
      <c r="BF4823" s="1">
        <v>208000</v>
      </c>
      <c r="BG4823" t="s">
        <v>30099</v>
      </c>
      <c r="BH4823" s="1">
        <v>159.26</v>
      </c>
      <c r="BI4823" s="1">
        <v>214864</v>
      </c>
      <c r="BJ4823" s="3">
        <v>42138</v>
      </c>
      <c r="BK4823" t="s">
        <v>123</v>
      </c>
      <c r="BL4823" t="str">
        <f>"2015.341069"</f>
        <v>2015.341069</v>
      </c>
      <c r="BM4823" t="s">
        <v>738</v>
      </c>
      <c r="BN4823" t="s">
        <v>739</v>
      </c>
      <c r="BO4823" t="s">
        <v>30100</v>
      </c>
      <c r="BS4823">
        <v>30</v>
      </c>
      <c r="BW4823" t="str">
        <f>""</f>
        <v/>
      </c>
      <c r="CH4823" t="str">
        <f>""</f>
        <v/>
      </c>
      <c r="CS4823" t="str">
        <f>""</f>
        <v/>
      </c>
    </row>
    <row r="4824" spans="1:97" x14ac:dyDescent="0.25">
      <c r="A4824" t="s">
        <v>10986</v>
      </c>
      <c r="B4824" t="s">
        <v>30101</v>
      </c>
      <c r="E4824" t="s">
        <v>30102</v>
      </c>
      <c r="F4824" t="s">
        <v>108</v>
      </c>
      <c r="H4824" t="s">
        <v>30103</v>
      </c>
      <c r="I4824" t="s">
        <v>225</v>
      </c>
      <c r="J4824" t="s">
        <v>111</v>
      </c>
      <c r="K4824" t="str">
        <f>"85208"</f>
        <v>85208</v>
      </c>
      <c r="L4824" t="s">
        <v>12359</v>
      </c>
      <c r="M4824" t="s">
        <v>30103</v>
      </c>
      <c r="N4824" t="s">
        <v>225</v>
      </c>
      <c r="O4824" t="s">
        <v>111</v>
      </c>
      <c r="P4824" t="str">
        <f>"85208-8780"</f>
        <v>85208-8780</v>
      </c>
      <c r="Q4824" t="s">
        <v>113</v>
      </c>
      <c r="R4824" t="str">
        <f>"220-53-294"</f>
        <v>220-53-294</v>
      </c>
      <c r="S4824" t="s">
        <v>30104</v>
      </c>
      <c r="T4824" t="s">
        <v>16299</v>
      </c>
      <c r="U4824">
        <v>2836</v>
      </c>
      <c r="V4824">
        <v>0</v>
      </c>
      <c r="W4824">
        <v>3</v>
      </c>
      <c r="X4824">
        <v>1997</v>
      </c>
      <c r="Z4824">
        <v>2</v>
      </c>
      <c r="AB4824">
        <v>0</v>
      </c>
      <c r="AC4824" t="s">
        <v>115</v>
      </c>
      <c r="AD4824">
        <v>2</v>
      </c>
      <c r="AE4824" t="s">
        <v>115</v>
      </c>
      <c r="AF4824">
        <v>0</v>
      </c>
      <c r="AG4824">
        <v>0</v>
      </c>
      <c r="AH4824" t="s">
        <v>116</v>
      </c>
      <c r="AI4824" s="1">
        <v>65395</v>
      </c>
      <c r="AJ4824" s="2">
        <v>0.21</v>
      </c>
      <c r="AK4824" s="1">
        <v>306469</v>
      </c>
      <c r="AL4824" t="s">
        <v>117</v>
      </c>
      <c r="AM4824" t="s">
        <v>393</v>
      </c>
      <c r="AN4824">
        <v>6608</v>
      </c>
      <c r="AO4824">
        <v>0.15</v>
      </c>
      <c r="AP4824">
        <v>1</v>
      </c>
      <c r="AR4824">
        <v>1</v>
      </c>
      <c r="AS4824" s="1">
        <v>21210</v>
      </c>
      <c r="AT4824" s="1">
        <v>4240</v>
      </c>
      <c r="AU4824" s="1">
        <v>16970</v>
      </c>
      <c r="AV4824">
        <v>80.010000000000005</v>
      </c>
      <c r="AX4824" s="1">
        <v>1491.82</v>
      </c>
      <c r="AY4824" t="s">
        <v>272</v>
      </c>
      <c r="AZ4824" t="s">
        <v>3761</v>
      </c>
      <c r="BA4824" t="s">
        <v>232</v>
      </c>
      <c r="BE4824" s="3">
        <v>42345</v>
      </c>
      <c r="BF4824" s="1">
        <v>236000</v>
      </c>
      <c r="BG4824" t="s">
        <v>30105</v>
      </c>
      <c r="BH4824" s="1">
        <v>83.22</v>
      </c>
      <c r="BI4824" s="1">
        <v>241074</v>
      </c>
      <c r="BJ4824" s="3">
        <v>42345</v>
      </c>
      <c r="BK4824" t="s">
        <v>123</v>
      </c>
      <c r="BL4824" t="str">
        <f>"2015.866216"</f>
        <v>2015.866216</v>
      </c>
      <c r="BM4824" t="s">
        <v>3810</v>
      </c>
      <c r="BO4824" t="s">
        <v>30106</v>
      </c>
      <c r="BS4824">
        <v>30</v>
      </c>
      <c r="BW4824" t="str">
        <f>""</f>
        <v/>
      </c>
      <c r="CH4824" t="str">
        <f>""</f>
        <v/>
      </c>
      <c r="CS4824" t="str">
        <f>""</f>
        <v/>
      </c>
    </row>
    <row r="4825" spans="1:97" x14ac:dyDescent="0.25">
      <c r="A4825" t="s">
        <v>6237</v>
      </c>
      <c r="B4825" t="s">
        <v>1979</v>
      </c>
      <c r="C4825" t="s">
        <v>1289</v>
      </c>
      <c r="D4825" t="s">
        <v>1979</v>
      </c>
      <c r="E4825" t="s">
        <v>30107</v>
      </c>
      <c r="F4825" t="s">
        <v>108</v>
      </c>
      <c r="H4825" t="s">
        <v>30108</v>
      </c>
      <c r="I4825" t="s">
        <v>225</v>
      </c>
      <c r="J4825" t="s">
        <v>111</v>
      </c>
      <c r="K4825" t="str">
        <f>"85209"</f>
        <v>85209</v>
      </c>
      <c r="L4825" t="s">
        <v>2820</v>
      </c>
      <c r="M4825" t="s">
        <v>30108</v>
      </c>
      <c r="N4825" t="s">
        <v>225</v>
      </c>
      <c r="O4825" t="s">
        <v>111</v>
      </c>
      <c r="P4825" t="str">
        <f>"85209-7214"</f>
        <v>85209-7214</v>
      </c>
      <c r="Q4825" t="s">
        <v>113</v>
      </c>
      <c r="R4825" t="str">
        <f>"309-09-327"</f>
        <v>309-09-327</v>
      </c>
      <c r="S4825" t="s">
        <v>13411</v>
      </c>
      <c r="T4825" t="s">
        <v>6551</v>
      </c>
      <c r="U4825">
        <v>2501</v>
      </c>
      <c r="V4825">
        <v>0</v>
      </c>
      <c r="W4825">
        <v>4</v>
      </c>
      <c r="X4825">
        <v>1996</v>
      </c>
      <c r="Z4825">
        <v>2</v>
      </c>
      <c r="AA4825" t="s">
        <v>26</v>
      </c>
      <c r="AB4825">
        <v>0</v>
      </c>
      <c r="AC4825" t="s">
        <v>115</v>
      </c>
      <c r="AD4825">
        <v>3</v>
      </c>
      <c r="AE4825" t="s">
        <v>115</v>
      </c>
      <c r="AF4825">
        <v>0</v>
      </c>
      <c r="AG4825">
        <v>0</v>
      </c>
      <c r="AH4825" t="s">
        <v>116</v>
      </c>
      <c r="AI4825" s="1">
        <v>16919</v>
      </c>
      <c r="AJ4825" s="2">
        <v>0.04</v>
      </c>
      <c r="AK4825" s="1">
        <v>387766</v>
      </c>
      <c r="AL4825" t="s">
        <v>117</v>
      </c>
      <c r="AM4825" t="s">
        <v>191</v>
      </c>
      <c r="AN4825">
        <v>10049</v>
      </c>
      <c r="AO4825">
        <v>0.23</v>
      </c>
      <c r="AP4825">
        <v>1</v>
      </c>
      <c r="AR4825">
        <v>1</v>
      </c>
      <c r="AS4825" s="1">
        <v>27650</v>
      </c>
      <c r="AT4825" s="1">
        <v>5530</v>
      </c>
      <c r="AU4825" s="1">
        <v>22120</v>
      </c>
      <c r="AV4825">
        <v>80</v>
      </c>
      <c r="AX4825" s="1">
        <v>2012.86</v>
      </c>
      <c r="AY4825" t="s">
        <v>6552</v>
      </c>
      <c r="AZ4825" t="s">
        <v>571</v>
      </c>
      <c r="BA4825" t="s">
        <v>572</v>
      </c>
      <c r="BE4825" s="3">
        <v>41919</v>
      </c>
      <c r="BF4825" s="1">
        <v>324500</v>
      </c>
      <c r="BG4825" t="s">
        <v>30109</v>
      </c>
      <c r="BH4825" s="1">
        <v>129.75</v>
      </c>
      <c r="BI4825" s="1">
        <v>370847</v>
      </c>
      <c r="BJ4825" s="3">
        <v>43468</v>
      </c>
      <c r="BK4825" t="s">
        <v>123</v>
      </c>
      <c r="BL4825" t="str">
        <f>"2019.2455"</f>
        <v>2019.2455</v>
      </c>
      <c r="BM4825" t="s">
        <v>533</v>
      </c>
      <c r="BN4825" t="s">
        <v>534</v>
      </c>
      <c r="BO4825" t="s">
        <v>30110</v>
      </c>
      <c r="BP4825" t="s">
        <v>30111</v>
      </c>
      <c r="BR4825" t="s">
        <v>139</v>
      </c>
      <c r="BW4825" t="str">
        <f>""</f>
        <v/>
      </c>
      <c r="CH4825" t="str">
        <f>""</f>
        <v/>
      </c>
      <c r="CS4825" t="str">
        <f>""</f>
        <v/>
      </c>
    </row>
    <row r="4826" spans="1:97" x14ac:dyDescent="0.25">
      <c r="A4826" t="s">
        <v>30112</v>
      </c>
      <c r="B4826" t="s">
        <v>10031</v>
      </c>
      <c r="C4826" t="s">
        <v>1335</v>
      </c>
      <c r="D4826" t="s">
        <v>10031</v>
      </c>
      <c r="E4826" t="s">
        <v>30113</v>
      </c>
      <c r="F4826" t="s">
        <v>108</v>
      </c>
      <c r="H4826" t="s">
        <v>30114</v>
      </c>
      <c r="I4826" t="s">
        <v>499</v>
      </c>
      <c r="J4826" t="s">
        <v>111</v>
      </c>
      <c r="K4826" t="str">
        <f>"85338"</f>
        <v>85338</v>
      </c>
      <c r="L4826" t="s">
        <v>6308</v>
      </c>
      <c r="M4826" t="s">
        <v>30114</v>
      </c>
      <c r="N4826" t="s">
        <v>499</v>
      </c>
      <c r="O4826" t="s">
        <v>111</v>
      </c>
      <c r="P4826" t="str">
        <f>"85338-8107"</f>
        <v>85338-8107</v>
      </c>
      <c r="Q4826" t="s">
        <v>113</v>
      </c>
      <c r="R4826" t="str">
        <f>"400-83-135"</f>
        <v>400-83-135</v>
      </c>
      <c r="S4826" t="s">
        <v>6774</v>
      </c>
      <c r="T4826" t="s">
        <v>6775</v>
      </c>
      <c r="U4826">
        <v>2044</v>
      </c>
      <c r="V4826">
        <v>0</v>
      </c>
      <c r="W4826">
        <v>4</v>
      </c>
      <c r="X4826">
        <v>2014</v>
      </c>
      <c r="Z4826">
        <v>1</v>
      </c>
      <c r="AB4826">
        <v>0</v>
      </c>
      <c r="AC4826" t="s">
        <v>115</v>
      </c>
      <c r="AD4826">
        <v>3</v>
      </c>
      <c r="AE4826" t="s">
        <v>115</v>
      </c>
      <c r="AF4826">
        <v>0</v>
      </c>
      <c r="AG4826">
        <v>0</v>
      </c>
      <c r="AH4826" t="s">
        <v>116</v>
      </c>
      <c r="AI4826" s="1">
        <v>124678</v>
      </c>
      <c r="AJ4826" s="2">
        <v>0.34</v>
      </c>
      <c r="AK4826" s="1">
        <v>369997</v>
      </c>
      <c r="AL4826" t="s">
        <v>117</v>
      </c>
      <c r="AM4826" t="s">
        <v>118</v>
      </c>
      <c r="AN4826">
        <v>7789</v>
      </c>
      <c r="AO4826">
        <v>0.18</v>
      </c>
      <c r="AR4826">
        <v>1</v>
      </c>
      <c r="AS4826" s="1">
        <v>25150</v>
      </c>
      <c r="AT4826" s="1">
        <v>5030</v>
      </c>
      <c r="AU4826" s="1">
        <v>20120</v>
      </c>
      <c r="AV4826">
        <v>80</v>
      </c>
      <c r="AX4826" s="1">
        <v>2279.7600000000002</v>
      </c>
      <c r="AY4826" t="s">
        <v>1246</v>
      </c>
      <c r="AZ4826" t="s">
        <v>1246</v>
      </c>
      <c r="BA4826" t="s">
        <v>1247</v>
      </c>
      <c r="BE4826" s="3">
        <v>42160</v>
      </c>
      <c r="BF4826" s="1">
        <v>312291</v>
      </c>
      <c r="BG4826" t="s">
        <v>2780</v>
      </c>
      <c r="BH4826" s="1">
        <v>152.78</v>
      </c>
      <c r="BI4826" s="1">
        <v>245319</v>
      </c>
      <c r="BJ4826" s="3">
        <v>42160</v>
      </c>
      <c r="BK4826" t="s">
        <v>123</v>
      </c>
      <c r="BL4826" t="str">
        <f>"2015.404309"</f>
        <v>2015.404309</v>
      </c>
      <c r="BM4826" t="s">
        <v>175</v>
      </c>
      <c r="BO4826" t="s">
        <v>30115</v>
      </c>
      <c r="BS4826">
        <v>30</v>
      </c>
      <c r="BW4826" t="str">
        <f>""</f>
        <v/>
      </c>
      <c r="CH4826" t="str">
        <f>""</f>
        <v/>
      </c>
      <c r="CS4826" t="str">
        <f>""</f>
        <v/>
      </c>
    </row>
    <row r="4827" spans="1:97" x14ac:dyDescent="0.25">
      <c r="A4827" t="s">
        <v>251</v>
      </c>
      <c r="B4827" t="s">
        <v>30116</v>
      </c>
      <c r="E4827" t="s">
        <v>30117</v>
      </c>
      <c r="F4827" t="s">
        <v>108</v>
      </c>
      <c r="H4827" t="s">
        <v>30118</v>
      </c>
      <c r="I4827" t="s">
        <v>5387</v>
      </c>
      <c r="J4827" t="s">
        <v>111</v>
      </c>
      <c r="K4827" t="str">
        <f>"85283"</f>
        <v>85283</v>
      </c>
      <c r="L4827" t="s">
        <v>5248</v>
      </c>
      <c r="M4827" t="s">
        <v>30118</v>
      </c>
      <c r="N4827" t="s">
        <v>5387</v>
      </c>
      <c r="O4827" t="s">
        <v>111</v>
      </c>
      <c r="P4827" t="str">
        <f>"85283-3622"</f>
        <v>85283-3622</v>
      </c>
      <c r="Q4827" t="s">
        <v>113</v>
      </c>
      <c r="R4827" t="str">
        <f>"301-47-398"</f>
        <v>301-47-398</v>
      </c>
      <c r="S4827" t="s">
        <v>27609</v>
      </c>
      <c r="U4827">
        <v>1940</v>
      </c>
      <c r="V4827">
        <v>0</v>
      </c>
      <c r="W4827">
        <v>3</v>
      </c>
      <c r="X4827">
        <v>1974</v>
      </c>
      <c r="Z4827">
        <v>1</v>
      </c>
      <c r="AA4827" t="s">
        <v>26</v>
      </c>
      <c r="AB4827">
        <v>0</v>
      </c>
      <c r="AC4827" t="s">
        <v>115</v>
      </c>
      <c r="AD4827">
        <v>2</v>
      </c>
      <c r="AE4827" t="s">
        <v>115</v>
      </c>
      <c r="AF4827">
        <v>0</v>
      </c>
      <c r="AG4827">
        <v>0</v>
      </c>
      <c r="AH4827" t="s">
        <v>116</v>
      </c>
      <c r="AI4827" s="1">
        <v>53964</v>
      </c>
      <c r="AJ4827" s="2">
        <v>0.16</v>
      </c>
      <c r="AK4827" s="1">
        <v>331464</v>
      </c>
      <c r="AL4827" t="s">
        <v>117</v>
      </c>
      <c r="AM4827" t="s">
        <v>191</v>
      </c>
      <c r="AN4827">
        <v>9248</v>
      </c>
      <c r="AO4827">
        <v>0.21</v>
      </c>
      <c r="AP4827">
        <v>1</v>
      </c>
      <c r="AR4827">
        <v>1</v>
      </c>
      <c r="AS4827" s="1">
        <v>22860</v>
      </c>
      <c r="AT4827" s="1">
        <v>4570</v>
      </c>
      <c r="AU4827" s="1">
        <v>18290</v>
      </c>
      <c r="AV4827">
        <v>80.010000000000005</v>
      </c>
      <c r="AX4827" s="1">
        <v>1785.92</v>
      </c>
      <c r="AY4827" t="s">
        <v>5390</v>
      </c>
      <c r="AZ4827" t="s">
        <v>5391</v>
      </c>
      <c r="BA4827" t="s">
        <v>5392</v>
      </c>
      <c r="BE4827" s="3">
        <v>41668</v>
      </c>
      <c r="BF4827" s="1">
        <v>234900</v>
      </c>
      <c r="BG4827" t="s">
        <v>30119</v>
      </c>
      <c r="BH4827" s="1">
        <v>121.08</v>
      </c>
      <c r="BI4827" s="1">
        <v>273000</v>
      </c>
      <c r="BJ4827" s="3">
        <v>42864</v>
      </c>
      <c r="BK4827" t="s">
        <v>123</v>
      </c>
      <c r="BL4827" t="str">
        <f>"2017.334673"</f>
        <v>2017.334673</v>
      </c>
      <c r="BM4827" t="s">
        <v>30120</v>
      </c>
      <c r="BN4827" t="s">
        <v>24042</v>
      </c>
      <c r="BO4827" t="s">
        <v>30121</v>
      </c>
      <c r="BS4827">
        <v>30</v>
      </c>
      <c r="BT4827" s="1">
        <v>4500</v>
      </c>
      <c r="BU4827" s="3">
        <v>43570</v>
      </c>
      <c r="BV4827" t="s">
        <v>134</v>
      </c>
      <c r="BW4827" t="str">
        <f>"2019.262749"</f>
        <v>2019.262749</v>
      </c>
      <c r="BX4827" t="s">
        <v>8919</v>
      </c>
      <c r="BY4827" t="s">
        <v>8920</v>
      </c>
      <c r="BZ4827" t="s">
        <v>30122</v>
      </c>
      <c r="CC4827" t="s">
        <v>139</v>
      </c>
      <c r="CH4827" t="str">
        <f>""</f>
        <v/>
      </c>
      <c r="CS4827" t="str">
        <f>""</f>
        <v/>
      </c>
    </row>
    <row r="4828" spans="1:97" x14ac:dyDescent="0.25">
      <c r="A4828" t="s">
        <v>6778</v>
      </c>
      <c r="B4828" t="s">
        <v>5256</v>
      </c>
      <c r="E4828" t="s">
        <v>30123</v>
      </c>
      <c r="F4828" t="s">
        <v>108</v>
      </c>
      <c r="H4828" t="s">
        <v>30124</v>
      </c>
      <c r="I4828" t="s">
        <v>390</v>
      </c>
      <c r="J4828" t="s">
        <v>111</v>
      </c>
      <c r="K4828" t="str">
        <f>"85041"</f>
        <v>85041</v>
      </c>
      <c r="L4828" t="s">
        <v>5209</v>
      </c>
      <c r="M4828" t="s">
        <v>30124</v>
      </c>
      <c r="N4828" t="s">
        <v>390</v>
      </c>
      <c r="O4828" t="s">
        <v>111</v>
      </c>
      <c r="P4828" t="str">
        <f>"85041-6656"</f>
        <v>85041-6656</v>
      </c>
      <c r="Q4828" t="s">
        <v>113</v>
      </c>
      <c r="R4828" t="str">
        <f>"105-88-960"</f>
        <v>105-88-960</v>
      </c>
      <c r="S4828" t="s">
        <v>10850</v>
      </c>
      <c r="T4828" t="s">
        <v>10850</v>
      </c>
      <c r="U4828">
        <v>2235</v>
      </c>
      <c r="V4828">
        <v>0</v>
      </c>
      <c r="W4828">
        <v>4</v>
      </c>
      <c r="X4828">
        <v>2014</v>
      </c>
      <c r="Z4828">
        <v>1</v>
      </c>
      <c r="AB4828">
        <v>0</v>
      </c>
      <c r="AC4828" t="s">
        <v>115</v>
      </c>
      <c r="AD4828">
        <v>2</v>
      </c>
      <c r="AE4828" t="s">
        <v>115</v>
      </c>
      <c r="AF4828">
        <v>0</v>
      </c>
      <c r="AG4828">
        <v>0</v>
      </c>
      <c r="AH4828" t="s">
        <v>116</v>
      </c>
      <c r="AI4828" s="1">
        <v>76189</v>
      </c>
      <c r="AJ4828" s="2">
        <v>0.24</v>
      </c>
      <c r="AK4828" s="1">
        <v>314674</v>
      </c>
      <c r="AL4828" t="s">
        <v>117</v>
      </c>
      <c r="AM4828" t="s">
        <v>760</v>
      </c>
      <c r="AN4828">
        <v>7964</v>
      </c>
      <c r="AO4828">
        <v>0.18</v>
      </c>
      <c r="AR4828">
        <v>1</v>
      </c>
      <c r="AS4828" s="1">
        <v>23200</v>
      </c>
      <c r="AT4828" s="1">
        <v>4640</v>
      </c>
      <c r="AU4828" s="1">
        <v>18560</v>
      </c>
      <c r="AV4828">
        <v>80</v>
      </c>
      <c r="AX4828" s="1">
        <v>2237.4</v>
      </c>
      <c r="AY4828" t="s">
        <v>5211</v>
      </c>
      <c r="AZ4828" t="s">
        <v>5211</v>
      </c>
      <c r="BA4828" t="s">
        <v>1661</v>
      </c>
      <c r="BE4828" s="3">
        <v>41850</v>
      </c>
      <c r="BF4828" s="1">
        <v>227444</v>
      </c>
      <c r="BG4828" t="s">
        <v>3062</v>
      </c>
      <c r="BH4828" s="1">
        <v>101.76</v>
      </c>
      <c r="BI4828" s="1">
        <v>238485</v>
      </c>
      <c r="BJ4828" s="3">
        <v>42943</v>
      </c>
      <c r="BK4828" t="s">
        <v>123</v>
      </c>
      <c r="BL4828" t="str">
        <f>"2017.549127"</f>
        <v>2017.549127</v>
      </c>
      <c r="BM4828" t="s">
        <v>340</v>
      </c>
      <c r="BO4828" t="s">
        <v>30125</v>
      </c>
      <c r="BS4828">
        <v>29</v>
      </c>
      <c r="BW4828" t="str">
        <f>""</f>
        <v/>
      </c>
      <c r="CH4828" t="str">
        <f>""</f>
        <v/>
      </c>
      <c r="CS4828" t="str">
        <f>""</f>
        <v/>
      </c>
    </row>
    <row r="4829" spans="1:97" x14ac:dyDescent="0.25">
      <c r="A4829" t="s">
        <v>2350</v>
      </c>
      <c r="B4829" t="s">
        <v>30126</v>
      </c>
      <c r="E4829" t="s">
        <v>30127</v>
      </c>
      <c r="F4829" t="s">
        <v>108</v>
      </c>
      <c r="H4829" t="s">
        <v>30128</v>
      </c>
      <c r="I4829" t="s">
        <v>390</v>
      </c>
      <c r="J4829" t="s">
        <v>111</v>
      </c>
      <c r="K4829" t="str">
        <f>"85022"</f>
        <v>85022</v>
      </c>
      <c r="L4829" t="s">
        <v>1300</v>
      </c>
      <c r="M4829" t="s">
        <v>30128</v>
      </c>
      <c r="N4829" t="s">
        <v>390</v>
      </c>
      <c r="O4829" t="s">
        <v>111</v>
      </c>
      <c r="P4829" t="str">
        <f>"85022-3356"</f>
        <v>85022-3356</v>
      </c>
      <c r="Q4829" t="s">
        <v>113</v>
      </c>
      <c r="R4829" t="str">
        <f>"214-19-120"</f>
        <v>214-19-120</v>
      </c>
      <c r="S4829" t="s">
        <v>30129</v>
      </c>
      <c r="U4829">
        <v>1060</v>
      </c>
      <c r="V4829">
        <v>0</v>
      </c>
      <c r="W4829">
        <v>2</v>
      </c>
      <c r="X4829">
        <v>1979</v>
      </c>
      <c r="Z4829">
        <v>1</v>
      </c>
      <c r="AA4829" t="s">
        <v>26</v>
      </c>
      <c r="AB4829">
        <v>0</v>
      </c>
      <c r="AC4829" t="s">
        <v>115</v>
      </c>
      <c r="AD4829">
        <v>2</v>
      </c>
      <c r="AE4829" t="s">
        <v>115</v>
      </c>
      <c r="AF4829">
        <v>0</v>
      </c>
      <c r="AG4829">
        <v>0</v>
      </c>
      <c r="AH4829" t="s">
        <v>116</v>
      </c>
      <c r="AI4829" s="1">
        <v>-15497</v>
      </c>
      <c r="AJ4829" s="2">
        <v>-0.06</v>
      </c>
      <c r="AK4829" s="1">
        <v>242753</v>
      </c>
      <c r="AL4829" t="s">
        <v>117</v>
      </c>
      <c r="AM4829" t="s">
        <v>1302</v>
      </c>
      <c r="AN4829">
        <v>10062</v>
      </c>
      <c r="AO4829">
        <v>0.23</v>
      </c>
      <c r="AP4829">
        <v>1</v>
      </c>
      <c r="AR4829">
        <v>1</v>
      </c>
      <c r="AS4829" s="1">
        <v>15630</v>
      </c>
      <c r="AT4829" s="1">
        <v>3120</v>
      </c>
      <c r="AU4829" s="1">
        <v>12510</v>
      </c>
      <c r="AV4829">
        <v>80.040000000000006</v>
      </c>
      <c r="AX4829" s="1">
        <v>1057.98</v>
      </c>
      <c r="AY4829" t="s">
        <v>5442</v>
      </c>
      <c r="AZ4829" t="s">
        <v>5231</v>
      </c>
      <c r="BA4829" t="s">
        <v>2551</v>
      </c>
      <c r="BE4829" s="3">
        <v>42345</v>
      </c>
      <c r="BF4829" s="1">
        <v>215000</v>
      </c>
      <c r="BG4829" t="s">
        <v>30130</v>
      </c>
      <c r="BH4829" s="1">
        <v>202.83</v>
      </c>
      <c r="BI4829" s="1">
        <v>258250</v>
      </c>
      <c r="BJ4829" s="3">
        <v>43524</v>
      </c>
      <c r="BK4829" t="s">
        <v>123</v>
      </c>
      <c r="BL4829" t="str">
        <f>"2019.138199"</f>
        <v>2019.138199</v>
      </c>
      <c r="BM4829" t="s">
        <v>3040</v>
      </c>
      <c r="BN4829" t="s">
        <v>3041</v>
      </c>
      <c r="BO4829" t="s">
        <v>30131</v>
      </c>
      <c r="BR4829" t="s">
        <v>139</v>
      </c>
      <c r="BW4829" t="str">
        <f>""</f>
        <v/>
      </c>
      <c r="CH4829" t="str">
        <f>""</f>
        <v/>
      </c>
      <c r="CS4829" t="str">
        <f>""</f>
        <v/>
      </c>
    </row>
    <row r="4830" spans="1:97" x14ac:dyDescent="0.25">
      <c r="A4830" t="s">
        <v>1465</v>
      </c>
      <c r="B4830" t="s">
        <v>6355</v>
      </c>
      <c r="C4830" t="s">
        <v>976</v>
      </c>
      <c r="D4830" t="s">
        <v>6355</v>
      </c>
      <c r="E4830" t="s">
        <v>30132</v>
      </c>
      <c r="F4830" t="s">
        <v>108</v>
      </c>
      <c r="H4830" t="s">
        <v>30133</v>
      </c>
      <c r="I4830" t="s">
        <v>632</v>
      </c>
      <c r="J4830" t="s">
        <v>111</v>
      </c>
      <c r="K4830" t="str">
        <f>"85388"</f>
        <v>85388</v>
      </c>
      <c r="L4830" t="s">
        <v>5165</v>
      </c>
      <c r="M4830" t="s">
        <v>30133</v>
      </c>
      <c r="N4830" t="s">
        <v>632</v>
      </c>
      <c r="O4830" t="s">
        <v>111</v>
      </c>
      <c r="P4830" t="str">
        <f>"85388-5037"</f>
        <v>85388-5037</v>
      </c>
      <c r="Q4830" t="s">
        <v>113</v>
      </c>
      <c r="R4830" t="str">
        <f>"502-05-383"</f>
        <v>502-05-383</v>
      </c>
      <c r="S4830" t="s">
        <v>5166</v>
      </c>
      <c r="T4830" t="s">
        <v>5167</v>
      </c>
      <c r="U4830">
        <v>2261</v>
      </c>
      <c r="V4830">
        <v>0</v>
      </c>
      <c r="W4830">
        <v>3</v>
      </c>
      <c r="X4830">
        <v>2006</v>
      </c>
      <c r="Z4830">
        <v>1</v>
      </c>
      <c r="AA4830" t="s">
        <v>26</v>
      </c>
      <c r="AB4830">
        <v>0</v>
      </c>
      <c r="AC4830" t="s">
        <v>115</v>
      </c>
      <c r="AD4830">
        <v>2</v>
      </c>
      <c r="AE4830" t="s">
        <v>115</v>
      </c>
      <c r="AF4830">
        <v>0</v>
      </c>
      <c r="AG4830">
        <v>0</v>
      </c>
      <c r="AH4830" t="s">
        <v>116</v>
      </c>
      <c r="AI4830" s="1">
        <v>76525</v>
      </c>
      <c r="AJ4830" s="2">
        <v>0.25</v>
      </c>
      <c r="AK4830" s="1">
        <v>309525</v>
      </c>
      <c r="AL4830" t="s">
        <v>117</v>
      </c>
      <c r="AM4830" t="s">
        <v>118</v>
      </c>
      <c r="AN4830">
        <v>7563</v>
      </c>
      <c r="AO4830">
        <v>0.17</v>
      </c>
      <c r="AR4830">
        <v>1</v>
      </c>
      <c r="AS4830" s="1">
        <v>21100</v>
      </c>
      <c r="AT4830" s="1">
        <v>4220</v>
      </c>
      <c r="AU4830" s="1">
        <v>16880</v>
      </c>
      <c r="AV4830">
        <v>80</v>
      </c>
      <c r="AX4830" s="1">
        <v>2140.48</v>
      </c>
      <c r="AY4830" t="s">
        <v>5168</v>
      </c>
      <c r="AZ4830" t="s">
        <v>5168</v>
      </c>
      <c r="BA4830" t="s">
        <v>5061</v>
      </c>
      <c r="BE4830" s="3">
        <v>42277</v>
      </c>
      <c r="BF4830" s="1">
        <v>243500</v>
      </c>
      <c r="BG4830" t="s">
        <v>30134</v>
      </c>
      <c r="BH4830" s="1">
        <v>107.7</v>
      </c>
      <c r="BI4830" s="1">
        <v>233000</v>
      </c>
      <c r="BJ4830" s="3">
        <v>42900</v>
      </c>
      <c r="BK4830" t="s">
        <v>123</v>
      </c>
      <c r="BL4830" t="str">
        <f>"2017.432177"</f>
        <v>2017.432177</v>
      </c>
      <c r="BM4830" t="s">
        <v>724</v>
      </c>
      <c r="BO4830" t="s">
        <v>30135</v>
      </c>
      <c r="BS4830">
        <v>30</v>
      </c>
      <c r="BW4830" t="str">
        <f>""</f>
        <v/>
      </c>
      <c r="CH4830" t="str">
        <f>""</f>
        <v/>
      </c>
      <c r="CS4830" t="str">
        <f>""</f>
        <v/>
      </c>
    </row>
    <row r="4831" spans="1:97" x14ac:dyDescent="0.25">
      <c r="A4831" t="s">
        <v>2045</v>
      </c>
      <c r="B4831" t="s">
        <v>865</v>
      </c>
      <c r="E4831" t="s">
        <v>30136</v>
      </c>
      <c r="F4831" t="s">
        <v>108</v>
      </c>
      <c r="H4831" t="s">
        <v>30137</v>
      </c>
      <c r="I4831" t="s">
        <v>225</v>
      </c>
      <c r="J4831" t="s">
        <v>111</v>
      </c>
      <c r="K4831" t="str">
        <f>"85205"</f>
        <v>85205</v>
      </c>
      <c r="L4831" t="s">
        <v>6691</v>
      </c>
      <c r="M4831" t="s">
        <v>30137</v>
      </c>
      <c r="N4831" t="s">
        <v>225</v>
      </c>
      <c r="O4831" t="s">
        <v>111</v>
      </c>
      <c r="P4831" t="str">
        <f>"85205-6008"</f>
        <v>85205-6008</v>
      </c>
      <c r="Q4831" t="s">
        <v>113</v>
      </c>
      <c r="R4831" t="str">
        <f>"141-62-006-J"</f>
        <v>141-62-006-J</v>
      </c>
      <c r="U4831">
        <v>2125</v>
      </c>
      <c r="V4831">
        <v>0</v>
      </c>
      <c r="W4831">
        <v>2</v>
      </c>
      <c r="X4831">
        <v>1972</v>
      </c>
      <c r="Z4831">
        <v>1</v>
      </c>
      <c r="AB4831">
        <v>0</v>
      </c>
      <c r="AC4831" t="s">
        <v>7038</v>
      </c>
      <c r="AD4831">
        <v>0</v>
      </c>
      <c r="AE4831" t="s">
        <v>7038</v>
      </c>
      <c r="AF4831">
        <v>0</v>
      </c>
      <c r="AG4831">
        <v>0</v>
      </c>
      <c r="AH4831" t="s">
        <v>116</v>
      </c>
      <c r="AI4831" s="1">
        <v>-30120</v>
      </c>
      <c r="AJ4831" s="2">
        <v>-0.1</v>
      </c>
      <c r="AK4831" s="1">
        <v>316968</v>
      </c>
      <c r="AL4831" t="s">
        <v>117</v>
      </c>
      <c r="AM4831" t="s">
        <v>3973</v>
      </c>
      <c r="AN4831">
        <v>37200</v>
      </c>
      <c r="AO4831">
        <v>0.85</v>
      </c>
      <c r="AP4831">
        <v>1</v>
      </c>
      <c r="AR4831">
        <v>1</v>
      </c>
      <c r="AS4831" s="1">
        <v>18110</v>
      </c>
      <c r="AT4831" s="1">
        <v>3620</v>
      </c>
      <c r="AU4831" s="1">
        <v>14490</v>
      </c>
      <c r="AV4831">
        <v>80.010000000000005</v>
      </c>
      <c r="AX4831" s="1">
        <v>1808.74</v>
      </c>
      <c r="AY4831" t="s">
        <v>4567</v>
      </c>
      <c r="AZ4831" t="s">
        <v>231</v>
      </c>
      <c r="BA4831" t="s">
        <v>3119</v>
      </c>
      <c r="BE4831" s="3">
        <v>42472</v>
      </c>
      <c r="BF4831" s="1">
        <v>336000</v>
      </c>
      <c r="BG4831" t="s">
        <v>30138</v>
      </c>
      <c r="BH4831" s="1">
        <v>158.12</v>
      </c>
      <c r="BI4831" s="1">
        <v>347088</v>
      </c>
      <c r="BJ4831" s="3">
        <v>42472</v>
      </c>
      <c r="BK4831" t="s">
        <v>123</v>
      </c>
      <c r="BL4831" t="str">
        <f>"2016.240365"</f>
        <v>2016.240365</v>
      </c>
      <c r="BM4831" t="s">
        <v>709</v>
      </c>
      <c r="BO4831" t="s">
        <v>30139</v>
      </c>
      <c r="BS4831">
        <v>30</v>
      </c>
      <c r="BW4831" t="str">
        <f>""</f>
        <v/>
      </c>
      <c r="CH4831" t="str">
        <f>""</f>
        <v/>
      </c>
      <c r="CS4831" t="str">
        <f>""</f>
        <v/>
      </c>
    </row>
    <row r="4832" spans="1:97" x14ac:dyDescent="0.25">
      <c r="A4832" t="s">
        <v>1009</v>
      </c>
      <c r="B4832" t="s">
        <v>30140</v>
      </c>
      <c r="C4832" t="s">
        <v>4644</v>
      </c>
      <c r="D4832" t="s">
        <v>30140</v>
      </c>
      <c r="E4832" t="s">
        <v>30141</v>
      </c>
      <c r="F4832" t="s">
        <v>108</v>
      </c>
      <c r="H4832" t="s">
        <v>30142</v>
      </c>
      <c r="I4832" t="s">
        <v>144</v>
      </c>
      <c r="J4832" t="s">
        <v>111</v>
      </c>
      <c r="K4832" t="str">
        <f>"85326"</f>
        <v>85326</v>
      </c>
      <c r="L4832" t="s">
        <v>20194</v>
      </c>
      <c r="M4832" t="s">
        <v>30142</v>
      </c>
      <c r="N4832" t="s">
        <v>144</v>
      </c>
      <c r="O4832" t="s">
        <v>111</v>
      </c>
      <c r="P4832" t="str">
        <f>"85326-8830"</f>
        <v>85326-8830</v>
      </c>
      <c r="Q4832" t="s">
        <v>113</v>
      </c>
      <c r="R4832" t="str">
        <f>"400-76-045"</f>
        <v>400-76-045</v>
      </c>
      <c r="S4832" t="s">
        <v>30143</v>
      </c>
      <c r="T4832" t="s">
        <v>30144</v>
      </c>
      <c r="U4832">
        <v>1694</v>
      </c>
      <c r="V4832">
        <v>0</v>
      </c>
      <c r="W4832">
        <v>2</v>
      </c>
      <c r="X4832">
        <v>1984</v>
      </c>
      <c r="Z4832">
        <v>1</v>
      </c>
      <c r="AB4832">
        <v>0</v>
      </c>
      <c r="AC4832" t="s">
        <v>5188</v>
      </c>
      <c r="AD4832">
        <v>1</v>
      </c>
      <c r="AE4832" t="s">
        <v>5188</v>
      </c>
      <c r="AF4832">
        <v>0</v>
      </c>
      <c r="AG4832">
        <v>0</v>
      </c>
      <c r="AH4832" t="s">
        <v>116</v>
      </c>
      <c r="AI4832" s="1">
        <v>42744</v>
      </c>
      <c r="AJ4832" s="2">
        <v>0.18</v>
      </c>
      <c r="AK4832" s="1">
        <v>242744</v>
      </c>
      <c r="AL4832" t="s">
        <v>117</v>
      </c>
      <c r="AM4832" t="s">
        <v>3973</v>
      </c>
      <c r="AN4832">
        <v>43336</v>
      </c>
      <c r="AO4832">
        <v>1</v>
      </c>
      <c r="AP4832">
        <v>1</v>
      </c>
      <c r="AR4832">
        <v>1</v>
      </c>
      <c r="AS4832" s="1">
        <v>15850</v>
      </c>
      <c r="AT4832" s="1">
        <v>3170</v>
      </c>
      <c r="AU4832" s="1">
        <v>12680</v>
      </c>
      <c r="AV4832">
        <v>80</v>
      </c>
      <c r="AX4832" s="1">
        <v>1139.1199999999999</v>
      </c>
      <c r="AY4832" t="s">
        <v>3038</v>
      </c>
      <c r="AZ4832" t="s">
        <v>3038</v>
      </c>
      <c r="BA4832" t="s">
        <v>1247</v>
      </c>
      <c r="BE4832" s="3">
        <v>42457</v>
      </c>
      <c r="BF4832" s="1">
        <v>200000</v>
      </c>
      <c r="BG4832" t="s">
        <v>5252</v>
      </c>
      <c r="BH4832" s="1">
        <v>118.06</v>
      </c>
      <c r="BI4832" s="1">
        <v>200000</v>
      </c>
      <c r="BJ4832" s="3">
        <v>42457</v>
      </c>
      <c r="BK4832" t="s">
        <v>123</v>
      </c>
      <c r="BL4832" t="str">
        <f>"2016.199055"</f>
        <v>2016.199055</v>
      </c>
      <c r="BM4832" t="s">
        <v>5534</v>
      </c>
      <c r="BO4832" t="s">
        <v>30145</v>
      </c>
      <c r="BS4832">
        <v>30</v>
      </c>
      <c r="BW4832" t="str">
        <f>""</f>
        <v/>
      </c>
      <c r="CH4832" t="str">
        <f>""</f>
        <v/>
      </c>
      <c r="CS4832" t="str">
        <f>""</f>
        <v/>
      </c>
    </row>
    <row r="4833" spans="1:97" x14ac:dyDescent="0.25">
      <c r="A4833" t="s">
        <v>30146</v>
      </c>
      <c r="B4833" t="s">
        <v>1374</v>
      </c>
      <c r="E4833" t="s">
        <v>30147</v>
      </c>
      <c r="F4833" t="s">
        <v>108</v>
      </c>
      <c r="H4833" t="s">
        <v>30148</v>
      </c>
      <c r="I4833" t="s">
        <v>25637</v>
      </c>
      <c r="J4833" t="s">
        <v>111</v>
      </c>
      <c r="K4833" t="str">
        <f>"85139"</f>
        <v>85139</v>
      </c>
      <c r="L4833" t="s">
        <v>3885</v>
      </c>
      <c r="M4833" t="s">
        <v>30148</v>
      </c>
      <c r="N4833" t="s">
        <v>25637</v>
      </c>
      <c r="O4833" t="s">
        <v>111</v>
      </c>
      <c r="P4833" t="str">
        <f>"85139-2605"</f>
        <v>85139-2605</v>
      </c>
      <c r="Q4833" t="s">
        <v>113</v>
      </c>
      <c r="R4833" t="str">
        <f>"300-27-024-M"</f>
        <v>300-27-024-M</v>
      </c>
      <c r="U4833">
        <v>2345</v>
      </c>
      <c r="V4833">
        <v>0</v>
      </c>
      <c r="W4833">
        <v>4</v>
      </c>
      <c r="X4833">
        <v>2007</v>
      </c>
      <c r="Z4833">
        <v>2</v>
      </c>
      <c r="AB4833">
        <v>0</v>
      </c>
      <c r="AC4833" t="s">
        <v>115</v>
      </c>
      <c r="AD4833">
        <v>3</v>
      </c>
      <c r="AE4833" t="s">
        <v>115</v>
      </c>
      <c r="AF4833">
        <v>0</v>
      </c>
      <c r="AG4833">
        <v>0</v>
      </c>
      <c r="AH4833" t="s">
        <v>116</v>
      </c>
      <c r="AI4833" s="1">
        <v>57534</v>
      </c>
      <c r="AJ4833" s="2">
        <v>0.19</v>
      </c>
      <c r="AK4833" s="1">
        <v>302451</v>
      </c>
      <c r="AL4833" t="s">
        <v>117</v>
      </c>
      <c r="AM4833" t="s">
        <v>3111</v>
      </c>
      <c r="AN4833">
        <v>87120</v>
      </c>
      <c r="AO4833">
        <v>2</v>
      </c>
      <c r="AP4833">
        <v>1</v>
      </c>
      <c r="AR4833">
        <v>1</v>
      </c>
      <c r="AS4833" s="1">
        <v>19720</v>
      </c>
      <c r="AT4833" s="1">
        <v>3940</v>
      </c>
      <c r="AU4833" s="1">
        <v>15780</v>
      </c>
      <c r="AV4833">
        <v>80.02</v>
      </c>
      <c r="AX4833" s="1">
        <v>1767.76</v>
      </c>
      <c r="AY4833" t="s">
        <v>30149</v>
      </c>
      <c r="AZ4833" t="s">
        <v>30149</v>
      </c>
      <c r="BE4833" s="3">
        <v>41806</v>
      </c>
      <c r="BF4833" s="1">
        <v>225000</v>
      </c>
      <c r="BG4833" t="s">
        <v>30150</v>
      </c>
      <c r="BH4833" s="1">
        <v>95.95</v>
      </c>
      <c r="BI4833" s="1">
        <v>244917</v>
      </c>
      <c r="BJ4833" s="3">
        <v>43241</v>
      </c>
      <c r="BK4833" t="s">
        <v>123</v>
      </c>
      <c r="BL4833" t="str">
        <f>"2018.387792"</f>
        <v>2018.387792</v>
      </c>
      <c r="BM4833" t="s">
        <v>2080</v>
      </c>
      <c r="BN4833" t="s">
        <v>426</v>
      </c>
      <c r="BO4833" t="s">
        <v>30151</v>
      </c>
      <c r="BR4833" t="s">
        <v>139</v>
      </c>
      <c r="BW4833" t="str">
        <f>""</f>
        <v/>
      </c>
      <c r="CH4833" t="str">
        <f>""</f>
        <v/>
      </c>
      <c r="CS4833" t="str">
        <f>""</f>
        <v/>
      </c>
    </row>
    <row r="4834" spans="1:97" x14ac:dyDescent="0.25">
      <c r="A4834" t="s">
        <v>30152</v>
      </c>
      <c r="B4834" t="s">
        <v>19419</v>
      </c>
      <c r="C4834" t="s">
        <v>16923</v>
      </c>
      <c r="D4834" t="s">
        <v>30153</v>
      </c>
      <c r="E4834" t="s">
        <v>30154</v>
      </c>
      <c r="F4834" t="s">
        <v>108</v>
      </c>
      <c r="H4834" t="s">
        <v>30155</v>
      </c>
      <c r="I4834" t="s">
        <v>110</v>
      </c>
      <c r="J4834" t="s">
        <v>111</v>
      </c>
      <c r="K4834" t="str">
        <f>"85248"</f>
        <v>85248</v>
      </c>
      <c r="L4834" t="s">
        <v>4751</v>
      </c>
      <c r="M4834" t="s">
        <v>30155</v>
      </c>
      <c r="N4834" t="s">
        <v>110</v>
      </c>
      <c r="O4834" t="s">
        <v>111</v>
      </c>
      <c r="P4834" t="str">
        <f>"85248-6382"</f>
        <v>85248-6382</v>
      </c>
      <c r="Q4834" t="s">
        <v>113</v>
      </c>
      <c r="R4834" t="str">
        <f>"303-74-654"</f>
        <v>303-74-654</v>
      </c>
      <c r="S4834" t="s">
        <v>20954</v>
      </c>
      <c r="T4834" t="s">
        <v>20954</v>
      </c>
      <c r="U4834">
        <v>1346</v>
      </c>
      <c r="V4834">
        <v>0</v>
      </c>
      <c r="W4834">
        <v>3</v>
      </c>
      <c r="X4834">
        <v>2000</v>
      </c>
      <c r="Z4834">
        <v>1</v>
      </c>
      <c r="AB4834">
        <v>0</v>
      </c>
      <c r="AC4834" t="s">
        <v>115</v>
      </c>
      <c r="AD4834">
        <v>2</v>
      </c>
      <c r="AE4834" t="s">
        <v>115</v>
      </c>
      <c r="AF4834">
        <v>0</v>
      </c>
      <c r="AG4834">
        <v>0</v>
      </c>
      <c r="AH4834" t="s">
        <v>116</v>
      </c>
      <c r="AI4834" s="1">
        <v>74088</v>
      </c>
      <c r="AJ4834" s="2">
        <v>0.26</v>
      </c>
      <c r="AK4834" s="1">
        <v>280539</v>
      </c>
      <c r="AL4834" t="s">
        <v>117</v>
      </c>
      <c r="AM4834" t="s">
        <v>118</v>
      </c>
      <c r="AN4834">
        <v>4181</v>
      </c>
      <c r="AO4834">
        <v>0.96</v>
      </c>
      <c r="AP4834">
        <v>1</v>
      </c>
      <c r="AR4834">
        <v>1</v>
      </c>
      <c r="AS4834" s="1">
        <v>18380</v>
      </c>
      <c r="AT4834" s="1">
        <v>3670</v>
      </c>
      <c r="AU4834" s="1">
        <v>14710</v>
      </c>
      <c r="AV4834">
        <v>80.03</v>
      </c>
      <c r="AX4834" s="1">
        <v>1452.88</v>
      </c>
      <c r="AY4834" t="s">
        <v>1881</v>
      </c>
      <c r="AZ4834" t="s">
        <v>1882</v>
      </c>
      <c r="BA4834" t="s">
        <v>121</v>
      </c>
      <c r="BE4834" s="3">
        <v>41885</v>
      </c>
      <c r="BF4834" s="1">
        <v>205400</v>
      </c>
      <c r="BG4834" t="s">
        <v>30156</v>
      </c>
      <c r="BH4834" s="1">
        <v>152.6</v>
      </c>
      <c r="BI4834" s="1">
        <v>206451</v>
      </c>
      <c r="BJ4834" s="3">
        <v>42592</v>
      </c>
      <c r="BK4834" t="s">
        <v>123</v>
      </c>
      <c r="BL4834" t="str">
        <f>"2016.571307"</f>
        <v>2016.571307</v>
      </c>
      <c r="BM4834" t="s">
        <v>402</v>
      </c>
      <c r="BO4834" t="s">
        <v>30157</v>
      </c>
      <c r="BP4834" t="s">
        <v>30158</v>
      </c>
      <c r="BS4834">
        <v>28</v>
      </c>
      <c r="BW4834" t="str">
        <f>""</f>
        <v/>
      </c>
      <c r="CH4834" t="str">
        <f>""</f>
        <v/>
      </c>
      <c r="CS4834" t="str">
        <f>""</f>
        <v/>
      </c>
    </row>
    <row r="4835" spans="1:97" x14ac:dyDescent="0.25">
      <c r="A4835" t="s">
        <v>30159</v>
      </c>
      <c r="B4835" t="s">
        <v>4593</v>
      </c>
      <c r="E4835" t="s">
        <v>30160</v>
      </c>
      <c r="F4835" t="s">
        <v>282</v>
      </c>
      <c r="H4835" t="s">
        <v>30161</v>
      </c>
      <c r="I4835" t="s">
        <v>110</v>
      </c>
      <c r="J4835" t="s">
        <v>111</v>
      </c>
      <c r="K4835" t="str">
        <f>"85225"</f>
        <v>85225</v>
      </c>
      <c r="L4835" t="s">
        <v>6169</v>
      </c>
      <c r="M4835" t="s">
        <v>30162</v>
      </c>
      <c r="N4835" t="s">
        <v>1936</v>
      </c>
      <c r="O4835" t="s">
        <v>111</v>
      </c>
      <c r="P4835" t="str">
        <f>"85258-5416"</f>
        <v>85258-5416</v>
      </c>
      <c r="Q4835" t="s">
        <v>113</v>
      </c>
      <c r="R4835" t="str">
        <f>"303-82-235"</f>
        <v>303-82-235</v>
      </c>
      <c r="S4835" t="s">
        <v>30163</v>
      </c>
      <c r="T4835" t="s">
        <v>8029</v>
      </c>
      <c r="U4835">
        <v>2741</v>
      </c>
      <c r="V4835">
        <v>0</v>
      </c>
      <c r="W4835">
        <v>5</v>
      </c>
      <c r="X4835">
        <v>2000</v>
      </c>
      <c r="Z4835">
        <v>2</v>
      </c>
      <c r="AA4835" t="s">
        <v>26</v>
      </c>
      <c r="AB4835">
        <v>0</v>
      </c>
      <c r="AC4835" t="s">
        <v>115</v>
      </c>
      <c r="AD4835">
        <v>3</v>
      </c>
      <c r="AE4835" t="s">
        <v>115</v>
      </c>
      <c r="AF4835">
        <v>0</v>
      </c>
      <c r="AG4835">
        <v>0</v>
      </c>
      <c r="AH4835" t="s">
        <v>116</v>
      </c>
      <c r="AI4835" s="1">
        <v>71380</v>
      </c>
      <c r="AJ4835" s="2">
        <v>0.17</v>
      </c>
      <c r="AK4835" s="1">
        <v>422776</v>
      </c>
      <c r="AL4835" t="s">
        <v>117</v>
      </c>
      <c r="AM4835" t="s">
        <v>118</v>
      </c>
      <c r="AN4835">
        <v>9878</v>
      </c>
      <c r="AO4835">
        <v>0.23</v>
      </c>
      <c r="AP4835">
        <v>1</v>
      </c>
      <c r="AR4835">
        <v>1</v>
      </c>
      <c r="AS4835" s="1">
        <v>30930</v>
      </c>
      <c r="AT4835" s="1">
        <v>6180</v>
      </c>
      <c r="AU4835" s="1">
        <v>24750</v>
      </c>
      <c r="AV4835">
        <v>80.02</v>
      </c>
      <c r="AX4835" s="1">
        <v>2922.42</v>
      </c>
      <c r="AY4835" t="s">
        <v>5650</v>
      </c>
      <c r="AZ4835" t="s">
        <v>2906</v>
      </c>
      <c r="BA4835" t="s">
        <v>303</v>
      </c>
      <c r="BE4835" s="3">
        <v>42426</v>
      </c>
      <c r="BF4835" s="1">
        <v>344000</v>
      </c>
      <c r="BG4835" t="s">
        <v>30164</v>
      </c>
      <c r="BH4835" s="1">
        <v>125.5</v>
      </c>
      <c r="BI4835" s="1">
        <v>351396</v>
      </c>
      <c r="BJ4835" s="3">
        <v>42426</v>
      </c>
      <c r="BK4835" t="s">
        <v>123</v>
      </c>
      <c r="BL4835" t="str">
        <f>"2016.122508"</f>
        <v>2016.122508</v>
      </c>
      <c r="BM4835" t="s">
        <v>1287</v>
      </c>
      <c r="BO4835" t="s">
        <v>30165</v>
      </c>
      <c r="BS4835">
        <v>30</v>
      </c>
      <c r="BW4835" t="str">
        <f>""</f>
        <v/>
      </c>
      <c r="CH4835" t="str">
        <f>""</f>
        <v/>
      </c>
      <c r="CS4835" t="str">
        <f>""</f>
        <v/>
      </c>
    </row>
    <row r="4836" spans="1:97" x14ac:dyDescent="0.25">
      <c r="A4836" t="s">
        <v>1181</v>
      </c>
      <c r="B4836" t="s">
        <v>30166</v>
      </c>
      <c r="C4836" t="s">
        <v>325</v>
      </c>
      <c r="D4836" t="s">
        <v>30166</v>
      </c>
      <c r="E4836" t="s">
        <v>30167</v>
      </c>
      <c r="F4836" t="s">
        <v>108</v>
      </c>
      <c r="H4836" t="s">
        <v>30168</v>
      </c>
      <c r="I4836" t="s">
        <v>1788</v>
      </c>
      <c r="J4836" t="s">
        <v>111</v>
      </c>
      <c r="K4836" t="str">
        <f>"85355"</f>
        <v>85355</v>
      </c>
      <c r="L4836" t="s">
        <v>168</v>
      </c>
      <c r="M4836" t="s">
        <v>30168</v>
      </c>
      <c r="N4836" t="s">
        <v>1788</v>
      </c>
      <c r="O4836" t="s">
        <v>111</v>
      </c>
      <c r="P4836" t="str">
        <f>"85355-4352"</f>
        <v>85355-4352</v>
      </c>
      <c r="Q4836" t="s">
        <v>113</v>
      </c>
      <c r="R4836" t="str">
        <f>"502-90-619"</f>
        <v>502-90-619</v>
      </c>
      <c r="S4836" t="s">
        <v>8290</v>
      </c>
      <c r="T4836" t="s">
        <v>8290</v>
      </c>
      <c r="U4836">
        <v>3050</v>
      </c>
      <c r="V4836">
        <v>0</v>
      </c>
      <c r="W4836">
        <v>5</v>
      </c>
      <c r="X4836">
        <v>2008</v>
      </c>
      <c r="Z4836">
        <v>1</v>
      </c>
      <c r="AB4836">
        <v>0</v>
      </c>
      <c r="AC4836" t="s">
        <v>115</v>
      </c>
      <c r="AD4836">
        <v>2</v>
      </c>
      <c r="AE4836" t="s">
        <v>115</v>
      </c>
      <c r="AF4836">
        <v>0</v>
      </c>
      <c r="AG4836">
        <v>0</v>
      </c>
      <c r="AH4836" t="s">
        <v>116</v>
      </c>
      <c r="AI4836" s="1">
        <v>95210</v>
      </c>
      <c r="AJ4836" s="2">
        <v>0.28000000000000003</v>
      </c>
      <c r="AK4836" s="1">
        <v>345210</v>
      </c>
      <c r="AL4836" t="s">
        <v>117</v>
      </c>
      <c r="AM4836" t="s">
        <v>171</v>
      </c>
      <c r="AN4836">
        <v>8750</v>
      </c>
      <c r="AO4836">
        <v>0.2</v>
      </c>
      <c r="AR4836">
        <v>1</v>
      </c>
      <c r="AS4836" s="1">
        <v>25170</v>
      </c>
      <c r="AT4836" s="1">
        <v>5030</v>
      </c>
      <c r="AU4836" s="1">
        <v>20140</v>
      </c>
      <c r="AV4836">
        <v>80.02</v>
      </c>
      <c r="AX4836" s="1">
        <v>1994.02</v>
      </c>
      <c r="AY4836" t="s">
        <v>5972</v>
      </c>
      <c r="AZ4836" t="s">
        <v>5972</v>
      </c>
      <c r="BA4836" t="s">
        <v>5061</v>
      </c>
      <c r="BE4836" s="3">
        <v>41892</v>
      </c>
      <c r="BF4836" s="1">
        <v>260000</v>
      </c>
      <c r="BG4836" t="s">
        <v>30169</v>
      </c>
      <c r="BH4836" s="1">
        <v>85.25</v>
      </c>
      <c r="BI4836" s="1">
        <v>250000</v>
      </c>
      <c r="BJ4836" s="3">
        <v>41892</v>
      </c>
      <c r="BK4836" t="s">
        <v>123</v>
      </c>
      <c r="BL4836" t="str">
        <f>"2014.597673"</f>
        <v>2014.597673</v>
      </c>
      <c r="BM4836" t="s">
        <v>724</v>
      </c>
      <c r="BO4836" t="s">
        <v>30170</v>
      </c>
      <c r="BS4836">
        <v>30</v>
      </c>
      <c r="BW4836" t="str">
        <f>""</f>
        <v/>
      </c>
      <c r="CH4836" t="str">
        <f>""</f>
        <v/>
      </c>
      <c r="CS4836" t="str">
        <f>""</f>
        <v/>
      </c>
    </row>
    <row r="4837" spans="1:97" x14ac:dyDescent="0.25">
      <c r="A4837" t="s">
        <v>1366</v>
      </c>
      <c r="B4837" t="s">
        <v>14410</v>
      </c>
      <c r="C4837" t="s">
        <v>4515</v>
      </c>
      <c r="D4837" t="s">
        <v>603</v>
      </c>
      <c r="E4837" t="s">
        <v>30171</v>
      </c>
      <c r="F4837" t="s">
        <v>108</v>
      </c>
      <c r="H4837" t="s">
        <v>30172</v>
      </c>
      <c r="I4837" t="s">
        <v>225</v>
      </c>
      <c r="J4837" t="s">
        <v>111</v>
      </c>
      <c r="K4837" t="str">
        <f>"85205"</f>
        <v>85205</v>
      </c>
      <c r="L4837" t="s">
        <v>3982</v>
      </c>
      <c r="M4837" t="s">
        <v>30172</v>
      </c>
      <c r="N4837" t="s">
        <v>225</v>
      </c>
      <c r="O4837" t="s">
        <v>111</v>
      </c>
      <c r="P4837" t="str">
        <f>"85205-4515"</f>
        <v>85205-4515</v>
      </c>
      <c r="Q4837" t="s">
        <v>113</v>
      </c>
      <c r="R4837" t="str">
        <f>"141-65-246"</f>
        <v>141-65-246</v>
      </c>
      <c r="S4837" t="s">
        <v>15648</v>
      </c>
      <c r="T4837" t="s">
        <v>15649</v>
      </c>
      <c r="U4837">
        <v>1958</v>
      </c>
      <c r="V4837">
        <v>0</v>
      </c>
      <c r="W4837">
        <v>2</v>
      </c>
      <c r="X4837">
        <v>1982</v>
      </c>
      <c r="Z4837">
        <v>1</v>
      </c>
      <c r="AA4837" t="s">
        <v>26</v>
      </c>
      <c r="AB4837">
        <v>0</v>
      </c>
      <c r="AC4837" t="s">
        <v>115</v>
      </c>
      <c r="AD4837">
        <v>2</v>
      </c>
      <c r="AE4837" t="s">
        <v>115</v>
      </c>
      <c r="AF4837">
        <v>0</v>
      </c>
      <c r="AG4837">
        <v>0</v>
      </c>
      <c r="AH4837" t="s">
        <v>116</v>
      </c>
      <c r="AI4837" s="1">
        <v>55480</v>
      </c>
      <c r="AJ4837" s="2">
        <v>0.17</v>
      </c>
      <c r="AK4837" s="1">
        <v>324455</v>
      </c>
      <c r="AL4837" t="s">
        <v>117</v>
      </c>
      <c r="AM4837" t="s">
        <v>917</v>
      </c>
      <c r="AN4837">
        <v>9882</v>
      </c>
      <c r="AO4837">
        <v>0.23</v>
      </c>
      <c r="AP4837">
        <v>1</v>
      </c>
      <c r="AR4837">
        <v>1</v>
      </c>
      <c r="AS4837" s="1">
        <v>20620</v>
      </c>
      <c r="AT4837" s="1">
        <v>4120</v>
      </c>
      <c r="AU4837" s="1">
        <v>16500</v>
      </c>
      <c r="AV4837">
        <v>80.02</v>
      </c>
      <c r="AX4837" s="1">
        <v>1782.44</v>
      </c>
      <c r="AY4837" t="s">
        <v>5274</v>
      </c>
      <c r="AZ4837" t="s">
        <v>5275</v>
      </c>
      <c r="BA4837" t="s">
        <v>3119</v>
      </c>
      <c r="BE4837" s="3">
        <v>42536</v>
      </c>
      <c r="BF4837" s="1">
        <v>280000</v>
      </c>
      <c r="BG4837" t="s">
        <v>27540</v>
      </c>
      <c r="BH4837" s="1">
        <v>143</v>
      </c>
      <c r="BI4837" s="1">
        <v>268975</v>
      </c>
      <c r="BJ4837" s="3">
        <v>42536</v>
      </c>
      <c r="BK4837" t="s">
        <v>123</v>
      </c>
      <c r="BL4837" t="str">
        <f>"2016.414703"</f>
        <v>2016.414703</v>
      </c>
      <c r="BM4837" t="s">
        <v>1038</v>
      </c>
      <c r="BO4837" t="s">
        <v>30173</v>
      </c>
      <c r="BP4837" t="s">
        <v>30174</v>
      </c>
      <c r="BS4837">
        <v>30</v>
      </c>
      <c r="BW4837" t="str">
        <f>""</f>
        <v/>
      </c>
      <c r="CH4837" t="str">
        <f>""</f>
        <v/>
      </c>
      <c r="CS4837" t="str">
        <f>""</f>
        <v/>
      </c>
    </row>
    <row r="4838" spans="1:97" x14ac:dyDescent="0.25">
      <c r="A4838" t="s">
        <v>2729</v>
      </c>
      <c r="B4838" t="s">
        <v>30175</v>
      </c>
      <c r="E4838" t="s">
        <v>30176</v>
      </c>
      <c r="F4838" t="s">
        <v>108</v>
      </c>
      <c r="H4838" t="s">
        <v>30177</v>
      </c>
      <c r="I4838" t="s">
        <v>499</v>
      </c>
      <c r="J4838" t="s">
        <v>111</v>
      </c>
      <c r="K4838" t="str">
        <f>"85338"</f>
        <v>85338</v>
      </c>
      <c r="L4838" t="s">
        <v>5990</v>
      </c>
      <c r="M4838" t="s">
        <v>30177</v>
      </c>
      <c r="N4838" t="s">
        <v>499</v>
      </c>
      <c r="O4838" t="s">
        <v>111</v>
      </c>
      <c r="P4838" t="str">
        <f>"85338-3463"</f>
        <v>85338-3463</v>
      </c>
      <c r="Q4838" t="s">
        <v>113</v>
      </c>
      <c r="R4838" t="str">
        <f>"500-90-885"</f>
        <v>500-90-885</v>
      </c>
      <c r="S4838" t="s">
        <v>30178</v>
      </c>
      <c r="U4838">
        <v>2719</v>
      </c>
      <c r="V4838">
        <v>0</v>
      </c>
      <c r="W4838">
        <v>4</v>
      </c>
      <c r="X4838">
        <v>2005</v>
      </c>
      <c r="Z4838">
        <v>2</v>
      </c>
      <c r="AB4838">
        <v>0</v>
      </c>
      <c r="AC4838" t="s">
        <v>115</v>
      </c>
      <c r="AD4838">
        <v>2</v>
      </c>
      <c r="AE4838" t="s">
        <v>115</v>
      </c>
      <c r="AF4838">
        <v>0</v>
      </c>
      <c r="AG4838">
        <v>0</v>
      </c>
      <c r="AH4838" t="s">
        <v>116</v>
      </c>
      <c r="AI4838" s="1">
        <v>31154</v>
      </c>
      <c r="AJ4838" s="2">
        <v>0.11</v>
      </c>
      <c r="AK4838" s="1">
        <v>285277</v>
      </c>
      <c r="AL4838" t="s">
        <v>117</v>
      </c>
      <c r="AM4838" t="s">
        <v>118</v>
      </c>
      <c r="AN4838">
        <v>5750</v>
      </c>
      <c r="AO4838">
        <v>0.13</v>
      </c>
      <c r="AR4838">
        <v>1</v>
      </c>
      <c r="AS4838" s="1">
        <v>20500</v>
      </c>
      <c r="AT4838" s="1">
        <v>4100</v>
      </c>
      <c r="AU4838" s="1">
        <v>16400</v>
      </c>
      <c r="AV4838">
        <v>80</v>
      </c>
      <c r="AX4838" s="1">
        <v>1896.08</v>
      </c>
      <c r="AY4838" t="s">
        <v>11177</v>
      </c>
      <c r="AZ4838" t="s">
        <v>11177</v>
      </c>
      <c r="BA4838" t="s">
        <v>7186</v>
      </c>
      <c r="BE4838" s="3">
        <v>42125</v>
      </c>
      <c r="BF4838" s="1">
        <v>206000</v>
      </c>
      <c r="BG4838" t="s">
        <v>30179</v>
      </c>
      <c r="BH4838" s="1">
        <v>75.760000000000005</v>
      </c>
      <c r="BI4838" s="1">
        <v>254123</v>
      </c>
      <c r="BJ4838" s="3">
        <v>43158</v>
      </c>
      <c r="BK4838" t="s">
        <v>123</v>
      </c>
      <c r="BL4838" t="str">
        <f>"2018.145299"</f>
        <v>2018.145299</v>
      </c>
      <c r="BM4838" t="s">
        <v>460</v>
      </c>
      <c r="BN4838" t="s">
        <v>461</v>
      </c>
      <c r="BO4838" t="s">
        <v>30180</v>
      </c>
      <c r="BR4838" t="s">
        <v>139</v>
      </c>
      <c r="BW4838" t="str">
        <f>""</f>
        <v/>
      </c>
      <c r="CH4838" t="str">
        <f>""</f>
        <v/>
      </c>
      <c r="CS4838" t="str">
        <f>""</f>
        <v/>
      </c>
    </row>
    <row r="4839" spans="1:97" x14ac:dyDescent="0.25">
      <c r="A4839" t="s">
        <v>5771</v>
      </c>
      <c r="B4839" t="s">
        <v>3627</v>
      </c>
      <c r="E4839" t="s">
        <v>30181</v>
      </c>
      <c r="F4839" t="s">
        <v>108</v>
      </c>
      <c r="H4839" t="s">
        <v>30182</v>
      </c>
      <c r="I4839" t="s">
        <v>2874</v>
      </c>
      <c r="J4839" t="s">
        <v>111</v>
      </c>
      <c r="K4839" t="str">
        <f>"85310"</f>
        <v>85310</v>
      </c>
      <c r="L4839" t="s">
        <v>5325</v>
      </c>
      <c r="M4839" t="s">
        <v>30182</v>
      </c>
      <c r="N4839" t="s">
        <v>2874</v>
      </c>
      <c r="O4839" t="s">
        <v>111</v>
      </c>
      <c r="P4839" t="str">
        <f>"85310-5555"</f>
        <v>85310-5555</v>
      </c>
      <c r="Q4839" t="s">
        <v>113</v>
      </c>
      <c r="R4839" t="str">
        <f>"205-11-686"</f>
        <v>205-11-686</v>
      </c>
      <c r="S4839" t="s">
        <v>8418</v>
      </c>
      <c r="T4839" t="s">
        <v>8419</v>
      </c>
      <c r="U4839">
        <v>1635</v>
      </c>
      <c r="V4839">
        <v>0</v>
      </c>
      <c r="W4839">
        <v>3</v>
      </c>
      <c r="X4839">
        <v>1990</v>
      </c>
      <c r="Z4839">
        <v>1</v>
      </c>
      <c r="AB4839">
        <v>0</v>
      </c>
      <c r="AC4839" t="s">
        <v>115</v>
      </c>
      <c r="AD4839">
        <v>2</v>
      </c>
      <c r="AE4839" t="s">
        <v>115</v>
      </c>
      <c r="AF4839">
        <v>0</v>
      </c>
      <c r="AG4839">
        <v>0</v>
      </c>
      <c r="AH4839" t="s">
        <v>116</v>
      </c>
      <c r="AI4839" s="1">
        <v>89649</v>
      </c>
      <c r="AJ4839" s="2">
        <v>0.3</v>
      </c>
      <c r="AK4839" s="1">
        <v>293949</v>
      </c>
      <c r="AL4839" t="s">
        <v>117</v>
      </c>
      <c r="AM4839" t="s">
        <v>171</v>
      </c>
      <c r="AN4839">
        <v>6335</v>
      </c>
      <c r="AO4839">
        <v>0.14000000000000001</v>
      </c>
      <c r="AP4839">
        <v>1</v>
      </c>
      <c r="AR4839">
        <v>1</v>
      </c>
      <c r="AS4839" s="1">
        <v>18500</v>
      </c>
      <c r="AT4839" s="1">
        <v>3700</v>
      </c>
      <c r="AU4839" s="1">
        <v>14800</v>
      </c>
      <c r="AV4839">
        <v>80</v>
      </c>
      <c r="AX4839" s="1">
        <v>1485.34</v>
      </c>
      <c r="AY4839" t="s">
        <v>5701</v>
      </c>
      <c r="AZ4839" t="s">
        <v>3049</v>
      </c>
      <c r="BA4839" t="s">
        <v>1386</v>
      </c>
      <c r="BE4839" s="3">
        <v>42048</v>
      </c>
      <c r="BF4839" s="1">
        <v>200000</v>
      </c>
      <c r="BG4839" t="s">
        <v>30183</v>
      </c>
      <c r="BH4839" s="1">
        <v>122.32</v>
      </c>
      <c r="BI4839" s="1">
        <v>204300</v>
      </c>
      <c r="BJ4839" s="3">
        <v>42048</v>
      </c>
      <c r="BK4839" t="s">
        <v>123</v>
      </c>
      <c r="BL4839" t="str">
        <f>"2015.94959"</f>
        <v>2015.94959</v>
      </c>
      <c r="BM4839" t="s">
        <v>4009</v>
      </c>
      <c r="BO4839" t="s">
        <v>30184</v>
      </c>
      <c r="BS4839">
        <v>30</v>
      </c>
      <c r="BW4839" t="str">
        <f>""</f>
        <v/>
      </c>
      <c r="CH4839" t="str">
        <f>""</f>
        <v/>
      </c>
      <c r="CS4839" t="str">
        <f>""</f>
        <v/>
      </c>
    </row>
    <row r="4840" spans="1:97" x14ac:dyDescent="0.25">
      <c r="A4840" t="s">
        <v>1444</v>
      </c>
      <c r="B4840" t="s">
        <v>30185</v>
      </c>
      <c r="C4840" t="s">
        <v>719</v>
      </c>
      <c r="D4840" t="s">
        <v>30185</v>
      </c>
      <c r="E4840" t="s">
        <v>30186</v>
      </c>
      <c r="F4840" t="s">
        <v>108</v>
      </c>
      <c r="H4840" t="s">
        <v>30187</v>
      </c>
      <c r="I4840" t="s">
        <v>203</v>
      </c>
      <c r="J4840" t="s">
        <v>111</v>
      </c>
      <c r="K4840" t="str">
        <f>"85234"</f>
        <v>85234</v>
      </c>
      <c r="L4840" t="s">
        <v>5816</v>
      </c>
      <c r="M4840" t="s">
        <v>30187</v>
      </c>
      <c r="N4840" t="s">
        <v>203</v>
      </c>
      <c r="O4840" t="s">
        <v>111</v>
      </c>
      <c r="P4840" t="str">
        <f>"85234"</f>
        <v>85234</v>
      </c>
      <c r="Q4840" t="s">
        <v>113</v>
      </c>
      <c r="R4840" t="str">
        <f>"313-12-635"</f>
        <v>313-12-635</v>
      </c>
      <c r="S4840" t="s">
        <v>10152</v>
      </c>
      <c r="T4840" t="s">
        <v>10152</v>
      </c>
      <c r="U4840">
        <v>2126</v>
      </c>
      <c r="V4840">
        <v>0</v>
      </c>
      <c r="W4840">
        <v>3</v>
      </c>
      <c r="X4840">
        <v>2008</v>
      </c>
      <c r="Z4840">
        <v>2</v>
      </c>
      <c r="AB4840">
        <v>0</v>
      </c>
      <c r="AC4840" t="s">
        <v>115</v>
      </c>
      <c r="AD4840">
        <v>2</v>
      </c>
      <c r="AE4840" t="s">
        <v>115</v>
      </c>
      <c r="AF4840">
        <v>0</v>
      </c>
      <c r="AG4840">
        <v>0</v>
      </c>
      <c r="AH4840" t="s">
        <v>116</v>
      </c>
      <c r="AI4840" s="1">
        <v>88094</v>
      </c>
      <c r="AJ4840" s="2">
        <v>0.25</v>
      </c>
      <c r="AK4840" s="1">
        <v>356149</v>
      </c>
      <c r="AL4840" t="s">
        <v>117</v>
      </c>
      <c r="AM4840" t="s">
        <v>191</v>
      </c>
      <c r="AN4840">
        <v>6050</v>
      </c>
      <c r="AO4840">
        <v>0.14000000000000001</v>
      </c>
      <c r="AR4840">
        <v>1</v>
      </c>
      <c r="AS4840" s="1">
        <v>24950</v>
      </c>
      <c r="AT4840" s="1">
        <v>4990</v>
      </c>
      <c r="AU4840" s="1">
        <v>19960</v>
      </c>
      <c r="AV4840">
        <v>80</v>
      </c>
      <c r="AX4840" s="1">
        <v>1784.94</v>
      </c>
      <c r="AY4840" t="s">
        <v>5565</v>
      </c>
      <c r="AZ4840" t="s">
        <v>520</v>
      </c>
      <c r="BA4840" t="s">
        <v>521</v>
      </c>
      <c r="BE4840" s="3">
        <v>41744</v>
      </c>
      <c r="BF4840" s="1">
        <v>258497</v>
      </c>
      <c r="BG4840" t="s">
        <v>30188</v>
      </c>
      <c r="BH4840" s="1">
        <v>121.59</v>
      </c>
      <c r="BI4840" s="1">
        <v>268055</v>
      </c>
      <c r="BJ4840" s="3">
        <v>41962</v>
      </c>
      <c r="BK4840" t="s">
        <v>123</v>
      </c>
      <c r="BL4840" t="str">
        <f>"2014.765916"</f>
        <v>2014.765916</v>
      </c>
      <c r="BM4840" t="s">
        <v>544</v>
      </c>
      <c r="BO4840" t="s">
        <v>30189</v>
      </c>
      <c r="BS4840">
        <v>30</v>
      </c>
      <c r="BW4840" t="str">
        <f>""</f>
        <v/>
      </c>
      <c r="CH4840" t="str">
        <f>""</f>
        <v/>
      </c>
      <c r="CS4840" t="str">
        <f>""</f>
        <v/>
      </c>
    </row>
    <row r="4841" spans="1:97" x14ac:dyDescent="0.25">
      <c r="A4841" t="s">
        <v>2933</v>
      </c>
      <c r="B4841" t="s">
        <v>7196</v>
      </c>
      <c r="C4841" t="s">
        <v>1289</v>
      </c>
      <c r="D4841" t="s">
        <v>7196</v>
      </c>
      <c r="E4841" t="s">
        <v>30190</v>
      </c>
      <c r="F4841" t="s">
        <v>108</v>
      </c>
      <c r="H4841" t="s">
        <v>30191</v>
      </c>
      <c r="I4841" t="s">
        <v>390</v>
      </c>
      <c r="J4841" t="s">
        <v>111</v>
      </c>
      <c r="K4841" t="str">
        <f>"85027"</f>
        <v>85027</v>
      </c>
      <c r="L4841" t="s">
        <v>6923</v>
      </c>
      <c r="M4841" t="s">
        <v>30191</v>
      </c>
      <c r="N4841" t="s">
        <v>390</v>
      </c>
      <c r="O4841" t="s">
        <v>111</v>
      </c>
      <c r="P4841" t="str">
        <f>"85027-2342"</f>
        <v>85027-2342</v>
      </c>
      <c r="R4841" t="str">
        <f>"206-41-321"</f>
        <v>206-41-321</v>
      </c>
      <c r="S4841" t="s">
        <v>6924</v>
      </c>
      <c r="T4841" t="s">
        <v>6925</v>
      </c>
      <c r="U4841">
        <v>1284</v>
      </c>
      <c r="V4841">
        <v>0</v>
      </c>
      <c r="W4841">
        <v>3</v>
      </c>
      <c r="X4841">
        <v>1997</v>
      </c>
      <c r="Z4841">
        <v>1</v>
      </c>
      <c r="AA4841" t="s">
        <v>26</v>
      </c>
      <c r="AB4841">
        <v>0</v>
      </c>
      <c r="AC4841" t="s">
        <v>115</v>
      </c>
      <c r="AD4841">
        <v>2</v>
      </c>
      <c r="AE4841" t="s">
        <v>115</v>
      </c>
      <c r="AF4841">
        <v>0</v>
      </c>
      <c r="AG4841">
        <v>0</v>
      </c>
      <c r="AH4841" t="s">
        <v>116</v>
      </c>
      <c r="AI4841" s="1">
        <v>18687</v>
      </c>
      <c r="AJ4841" s="2">
        <v>7.0000000000000007E-2</v>
      </c>
      <c r="AK4841" s="1">
        <v>249987</v>
      </c>
      <c r="AL4841" t="s">
        <v>117</v>
      </c>
      <c r="AM4841" t="s">
        <v>3345</v>
      </c>
      <c r="AN4841">
        <v>4264</v>
      </c>
      <c r="AO4841">
        <v>0.98</v>
      </c>
      <c r="AP4841">
        <v>1</v>
      </c>
      <c r="AR4841">
        <v>1</v>
      </c>
      <c r="AS4841" s="1">
        <v>16950</v>
      </c>
      <c r="AT4841" s="1">
        <v>3390</v>
      </c>
      <c r="AU4841" s="1">
        <v>13560</v>
      </c>
      <c r="AV4841">
        <v>80</v>
      </c>
      <c r="AX4841" s="1">
        <v>1138</v>
      </c>
      <c r="AY4841" t="s">
        <v>6926</v>
      </c>
      <c r="AZ4841" t="s">
        <v>6926</v>
      </c>
      <c r="BA4841" t="s">
        <v>1462</v>
      </c>
      <c r="BE4841" s="3">
        <v>42095</v>
      </c>
      <c r="BF4841" s="1">
        <v>190000</v>
      </c>
      <c r="BG4841" t="s">
        <v>30192</v>
      </c>
      <c r="BH4841" s="1">
        <v>147.97999999999999</v>
      </c>
      <c r="BI4841" s="1">
        <v>231300</v>
      </c>
      <c r="BJ4841" s="3">
        <v>43431</v>
      </c>
      <c r="BK4841" t="s">
        <v>123</v>
      </c>
      <c r="BL4841" t="str">
        <f>"2018.873545"</f>
        <v>2018.873545</v>
      </c>
      <c r="BM4841" t="s">
        <v>2042</v>
      </c>
      <c r="BN4841" t="s">
        <v>1575</v>
      </c>
      <c r="BO4841" t="s">
        <v>30193</v>
      </c>
      <c r="BP4841" t="s">
        <v>30194</v>
      </c>
      <c r="BR4841" t="s">
        <v>139</v>
      </c>
      <c r="BT4841" s="1">
        <v>231300</v>
      </c>
      <c r="BU4841" s="3">
        <v>43431</v>
      </c>
      <c r="BV4841" t="s">
        <v>123</v>
      </c>
      <c r="BW4841" t="str">
        <f>"2018.873545"</f>
        <v>2018.873545</v>
      </c>
      <c r="BX4841" t="s">
        <v>2042</v>
      </c>
      <c r="BY4841" t="s">
        <v>1575</v>
      </c>
      <c r="BZ4841" t="s">
        <v>30193</v>
      </c>
      <c r="CA4841" t="s">
        <v>30194</v>
      </c>
      <c r="CC4841" t="s">
        <v>139</v>
      </c>
      <c r="CH4841" t="str">
        <f>""</f>
        <v/>
      </c>
      <c r="CS4841" t="str">
        <f>""</f>
        <v/>
      </c>
    </row>
    <row r="4842" spans="1:97" x14ac:dyDescent="0.25">
      <c r="A4842" t="s">
        <v>21968</v>
      </c>
      <c r="B4842" t="s">
        <v>30195</v>
      </c>
      <c r="E4842" t="s">
        <v>30196</v>
      </c>
      <c r="F4842" t="s">
        <v>108</v>
      </c>
      <c r="H4842" t="s">
        <v>30197</v>
      </c>
      <c r="I4842" t="s">
        <v>632</v>
      </c>
      <c r="J4842" t="s">
        <v>111</v>
      </c>
      <c r="K4842" t="str">
        <f>"85374"</f>
        <v>85374</v>
      </c>
      <c r="L4842" t="s">
        <v>7147</v>
      </c>
      <c r="M4842" t="s">
        <v>30197</v>
      </c>
      <c r="N4842" t="s">
        <v>632</v>
      </c>
      <c r="O4842" t="s">
        <v>111</v>
      </c>
      <c r="P4842" t="str">
        <f>"85374-3957"</f>
        <v>85374-3957</v>
      </c>
      <c r="Q4842" t="s">
        <v>113</v>
      </c>
      <c r="R4842" t="str">
        <f>"507-08-411"</f>
        <v>507-08-411</v>
      </c>
      <c r="S4842" t="s">
        <v>30198</v>
      </c>
      <c r="T4842" t="s">
        <v>30199</v>
      </c>
      <c r="U4842">
        <v>3751</v>
      </c>
      <c r="V4842">
        <v>0</v>
      </c>
      <c r="W4842">
        <v>4</v>
      </c>
      <c r="X4842">
        <v>2006</v>
      </c>
      <c r="Z4842">
        <v>2</v>
      </c>
      <c r="AA4842" t="s">
        <v>26</v>
      </c>
      <c r="AB4842">
        <v>0</v>
      </c>
      <c r="AC4842" t="s">
        <v>115</v>
      </c>
      <c r="AD4842">
        <v>3</v>
      </c>
      <c r="AE4842" t="s">
        <v>115</v>
      </c>
      <c r="AF4842">
        <v>0</v>
      </c>
      <c r="AG4842">
        <v>0</v>
      </c>
      <c r="AH4842" t="s">
        <v>116</v>
      </c>
      <c r="AI4842" s="1">
        <v>36586</v>
      </c>
      <c r="AJ4842" s="2">
        <v>0.1</v>
      </c>
      <c r="AK4842" s="1">
        <v>361586</v>
      </c>
      <c r="AL4842" t="s">
        <v>117</v>
      </c>
      <c r="AM4842" t="s">
        <v>118</v>
      </c>
      <c r="AN4842">
        <v>6465</v>
      </c>
      <c r="AO4842">
        <v>0.15</v>
      </c>
      <c r="AP4842">
        <v>1</v>
      </c>
      <c r="AR4842">
        <v>1</v>
      </c>
      <c r="AS4842" s="1">
        <v>25610</v>
      </c>
      <c r="AT4842" s="1">
        <v>5120</v>
      </c>
      <c r="AU4842" s="1">
        <v>20490</v>
      </c>
      <c r="AV4842">
        <v>80.010000000000005</v>
      </c>
      <c r="AX4842" s="1">
        <v>1924.46</v>
      </c>
      <c r="AY4842" t="s">
        <v>5168</v>
      </c>
      <c r="AZ4842" t="s">
        <v>5168</v>
      </c>
      <c r="BA4842" t="s">
        <v>5109</v>
      </c>
      <c r="BE4842" s="3">
        <v>42045</v>
      </c>
      <c r="BF4842" s="1">
        <v>262000</v>
      </c>
      <c r="BG4842" t="s">
        <v>30200</v>
      </c>
      <c r="BH4842" s="1">
        <v>69.849999999999994</v>
      </c>
      <c r="BI4842" s="1">
        <v>325000</v>
      </c>
      <c r="BJ4842" s="3">
        <v>43563</v>
      </c>
      <c r="BK4842" t="s">
        <v>123</v>
      </c>
      <c r="BL4842" t="str">
        <f>"2019.243308"</f>
        <v>2019.243308</v>
      </c>
      <c r="BM4842" t="s">
        <v>460</v>
      </c>
      <c r="BN4842" t="s">
        <v>461</v>
      </c>
      <c r="BO4842" t="s">
        <v>30201</v>
      </c>
      <c r="BR4842" t="s">
        <v>139</v>
      </c>
      <c r="BW4842" t="str">
        <f>""</f>
        <v/>
      </c>
      <c r="CH4842" t="str">
        <f>""</f>
        <v/>
      </c>
      <c r="CS4842" t="str">
        <f>""</f>
        <v/>
      </c>
    </row>
    <row r="4843" spans="1:97" x14ac:dyDescent="0.25">
      <c r="A4843" t="s">
        <v>30202</v>
      </c>
      <c r="B4843" t="s">
        <v>30203</v>
      </c>
      <c r="C4843" t="s">
        <v>22163</v>
      </c>
      <c r="D4843" t="s">
        <v>30203</v>
      </c>
      <c r="E4843" t="s">
        <v>30204</v>
      </c>
      <c r="F4843" t="s">
        <v>108</v>
      </c>
      <c r="H4843" t="s">
        <v>30205</v>
      </c>
      <c r="I4843" t="s">
        <v>110</v>
      </c>
      <c r="J4843" t="s">
        <v>111</v>
      </c>
      <c r="K4843" t="str">
        <f>"85286"</f>
        <v>85286</v>
      </c>
      <c r="L4843" t="s">
        <v>5021</v>
      </c>
      <c r="M4843" t="s">
        <v>30205</v>
      </c>
      <c r="N4843" t="s">
        <v>110</v>
      </c>
      <c r="O4843" t="s">
        <v>111</v>
      </c>
      <c r="P4843" t="str">
        <f>"85286-6783"</f>
        <v>85286-6783</v>
      </c>
      <c r="Q4843" t="s">
        <v>113</v>
      </c>
      <c r="R4843" t="str">
        <f>"303-25-217"</f>
        <v>303-25-217</v>
      </c>
      <c r="S4843" t="s">
        <v>30206</v>
      </c>
      <c r="T4843" t="s">
        <v>30206</v>
      </c>
      <c r="U4843">
        <v>3259</v>
      </c>
      <c r="V4843">
        <v>0</v>
      </c>
      <c r="W4843">
        <v>4</v>
      </c>
      <c r="X4843">
        <v>1999</v>
      </c>
      <c r="Z4843">
        <v>1</v>
      </c>
      <c r="AA4843" t="s">
        <v>26</v>
      </c>
      <c r="AB4843">
        <v>0</v>
      </c>
      <c r="AC4843" t="s">
        <v>115</v>
      </c>
      <c r="AD4843">
        <v>2</v>
      </c>
      <c r="AE4843" t="s">
        <v>115</v>
      </c>
      <c r="AF4843">
        <v>0</v>
      </c>
      <c r="AG4843">
        <v>0</v>
      </c>
      <c r="AH4843" t="s">
        <v>116</v>
      </c>
      <c r="AI4843" s="1">
        <v>106703</v>
      </c>
      <c r="AJ4843" s="2">
        <v>0.21</v>
      </c>
      <c r="AK4843" s="1">
        <v>508795</v>
      </c>
      <c r="AL4843" t="s">
        <v>117</v>
      </c>
      <c r="AM4843" t="s">
        <v>118</v>
      </c>
      <c r="AN4843">
        <v>10000</v>
      </c>
      <c r="AO4843">
        <v>0.23</v>
      </c>
      <c r="AP4843">
        <v>1</v>
      </c>
      <c r="AR4843">
        <v>1</v>
      </c>
      <c r="AS4843" s="1">
        <v>39410</v>
      </c>
      <c r="AT4843" s="1">
        <v>7880</v>
      </c>
      <c r="AU4843" s="1">
        <v>31530</v>
      </c>
      <c r="AV4843">
        <v>80.010000000000005</v>
      </c>
      <c r="AX4843" s="1">
        <v>3652.22</v>
      </c>
      <c r="AY4843" t="s">
        <v>10718</v>
      </c>
      <c r="AZ4843" t="s">
        <v>1882</v>
      </c>
      <c r="BA4843" t="s">
        <v>121</v>
      </c>
      <c r="BE4843" s="3">
        <v>42495</v>
      </c>
      <c r="BF4843" s="1">
        <v>417000</v>
      </c>
      <c r="BG4843" t="s">
        <v>30207</v>
      </c>
      <c r="BH4843" s="1">
        <v>127.95</v>
      </c>
      <c r="BI4843" s="1">
        <v>402092</v>
      </c>
      <c r="BJ4843" s="3">
        <v>42495</v>
      </c>
      <c r="BK4843" t="s">
        <v>123</v>
      </c>
      <c r="BL4843" t="str">
        <f>"2016.306397"</f>
        <v>2016.306397</v>
      </c>
      <c r="BM4843" t="s">
        <v>2368</v>
      </c>
      <c r="BO4843" t="s">
        <v>30208</v>
      </c>
      <c r="BS4843">
        <v>30</v>
      </c>
      <c r="BW4843" t="str">
        <f>""</f>
        <v/>
      </c>
      <c r="CH4843" t="str">
        <f>""</f>
        <v/>
      </c>
      <c r="CS4843" t="str">
        <f>""</f>
        <v/>
      </c>
    </row>
    <row r="4844" spans="1:97" x14ac:dyDescent="0.25">
      <c r="A4844" t="s">
        <v>1009</v>
      </c>
      <c r="B4844" t="s">
        <v>13231</v>
      </c>
      <c r="E4844" t="s">
        <v>30209</v>
      </c>
      <c r="F4844" t="s">
        <v>108</v>
      </c>
      <c r="H4844" t="s">
        <v>30210</v>
      </c>
      <c r="I4844" t="s">
        <v>5863</v>
      </c>
      <c r="J4844" t="s">
        <v>111</v>
      </c>
      <c r="K4844" t="str">
        <f>"85375"</f>
        <v>85375</v>
      </c>
      <c r="L4844" t="s">
        <v>6438</v>
      </c>
      <c r="M4844" t="s">
        <v>30210</v>
      </c>
      <c r="N4844" t="s">
        <v>5863</v>
      </c>
      <c r="O4844" t="s">
        <v>111</v>
      </c>
      <c r="P4844" t="str">
        <f>"85375-2073"</f>
        <v>85375-2073</v>
      </c>
      <c r="Q4844" t="s">
        <v>113</v>
      </c>
      <c r="R4844" t="str">
        <f>"232-24-248"</f>
        <v>232-24-248</v>
      </c>
      <c r="S4844" t="s">
        <v>14081</v>
      </c>
      <c r="U4844">
        <v>1693</v>
      </c>
      <c r="V4844">
        <v>0</v>
      </c>
      <c r="W4844">
        <v>3</v>
      </c>
      <c r="X4844">
        <v>1994</v>
      </c>
      <c r="Z4844">
        <v>1</v>
      </c>
      <c r="AB4844">
        <v>0</v>
      </c>
      <c r="AC4844" t="s">
        <v>115</v>
      </c>
      <c r="AD4844">
        <v>2</v>
      </c>
      <c r="AE4844" t="s">
        <v>115</v>
      </c>
      <c r="AF4844">
        <v>0</v>
      </c>
      <c r="AG4844">
        <v>0</v>
      </c>
      <c r="AH4844" t="s">
        <v>116</v>
      </c>
      <c r="AI4844" s="1">
        <v>49505</v>
      </c>
      <c r="AJ4844" s="2">
        <v>0.18</v>
      </c>
      <c r="AK4844" s="1">
        <v>281205</v>
      </c>
      <c r="AL4844" t="s">
        <v>117</v>
      </c>
      <c r="AM4844" t="s">
        <v>191</v>
      </c>
      <c r="AN4844">
        <v>8050</v>
      </c>
      <c r="AO4844">
        <v>0.18</v>
      </c>
      <c r="AP4844">
        <v>1</v>
      </c>
      <c r="AR4844">
        <v>1</v>
      </c>
      <c r="AS4844" s="1">
        <v>18360</v>
      </c>
      <c r="AT4844" s="1">
        <v>3670</v>
      </c>
      <c r="AU4844" s="1">
        <v>14690</v>
      </c>
      <c r="AV4844">
        <v>80.010000000000005</v>
      </c>
      <c r="AX4844" s="1">
        <v>2235.4</v>
      </c>
      <c r="AY4844" t="s">
        <v>3228</v>
      </c>
      <c r="AZ4844" t="s">
        <v>3228</v>
      </c>
      <c r="BA4844" t="s">
        <v>457</v>
      </c>
      <c r="BE4844" s="3">
        <v>41696</v>
      </c>
      <c r="BF4844" s="1">
        <v>185500</v>
      </c>
      <c r="BG4844" t="s">
        <v>30211</v>
      </c>
      <c r="BH4844" s="1">
        <v>109.57</v>
      </c>
      <c r="BI4844" s="1">
        <v>231700</v>
      </c>
      <c r="BJ4844" s="3">
        <v>42998</v>
      </c>
      <c r="BK4844" t="s">
        <v>123</v>
      </c>
      <c r="BL4844" t="str">
        <f>"2017.694476"</f>
        <v>2017.694476</v>
      </c>
      <c r="BM4844" t="s">
        <v>807</v>
      </c>
      <c r="BO4844" t="s">
        <v>30212</v>
      </c>
      <c r="BS4844">
        <v>30</v>
      </c>
      <c r="BW4844" t="str">
        <f>""</f>
        <v/>
      </c>
      <c r="CH4844" t="str">
        <f>""</f>
        <v/>
      </c>
      <c r="CS4844" t="str">
        <f>""</f>
        <v/>
      </c>
    </row>
    <row r="4845" spans="1:97" x14ac:dyDescent="0.25">
      <c r="A4845" t="s">
        <v>464</v>
      </c>
      <c r="B4845" t="s">
        <v>30213</v>
      </c>
      <c r="C4845" t="s">
        <v>496</v>
      </c>
      <c r="D4845" t="s">
        <v>30213</v>
      </c>
      <c r="E4845" t="s">
        <v>30214</v>
      </c>
      <c r="F4845" t="s">
        <v>108</v>
      </c>
      <c r="H4845" t="s">
        <v>30215</v>
      </c>
      <c r="I4845" t="s">
        <v>390</v>
      </c>
      <c r="J4845" t="s">
        <v>111</v>
      </c>
      <c r="K4845" t="str">
        <f>"85048"</f>
        <v>85048</v>
      </c>
      <c r="L4845" t="s">
        <v>6691</v>
      </c>
      <c r="M4845" t="s">
        <v>30215</v>
      </c>
      <c r="N4845" t="s">
        <v>390</v>
      </c>
      <c r="O4845" t="s">
        <v>111</v>
      </c>
      <c r="P4845" t="str">
        <f>"85048-6315"</f>
        <v>85048-6315</v>
      </c>
      <c r="Q4845" t="s">
        <v>113</v>
      </c>
      <c r="R4845" t="str">
        <f>"300-94-725"</f>
        <v>300-94-725</v>
      </c>
      <c r="S4845" t="s">
        <v>30216</v>
      </c>
      <c r="U4845">
        <v>2602</v>
      </c>
      <c r="V4845">
        <v>0</v>
      </c>
      <c r="W4845">
        <v>4</v>
      </c>
      <c r="X4845">
        <v>1994</v>
      </c>
      <c r="Z4845">
        <v>2</v>
      </c>
      <c r="AA4845" t="s">
        <v>26</v>
      </c>
      <c r="AB4845">
        <v>0</v>
      </c>
      <c r="AC4845" t="s">
        <v>115</v>
      </c>
      <c r="AD4845">
        <v>3</v>
      </c>
      <c r="AE4845" t="s">
        <v>115</v>
      </c>
      <c r="AF4845">
        <v>0</v>
      </c>
      <c r="AG4845">
        <v>0</v>
      </c>
      <c r="AH4845" t="s">
        <v>116</v>
      </c>
      <c r="AI4845" s="1">
        <v>73821</v>
      </c>
      <c r="AJ4845" s="2">
        <v>0.16</v>
      </c>
      <c r="AK4845" s="1">
        <v>458993</v>
      </c>
      <c r="AL4845" t="s">
        <v>117</v>
      </c>
      <c r="AM4845" t="s">
        <v>191</v>
      </c>
      <c r="AN4845">
        <v>5833</v>
      </c>
      <c r="AO4845">
        <v>0.13</v>
      </c>
      <c r="AP4845">
        <v>1</v>
      </c>
      <c r="AR4845">
        <v>1</v>
      </c>
      <c r="AS4845" s="1">
        <v>33530</v>
      </c>
      <c r="AT4845" s="1">
        <v>6700</v>
      </c>
      <c r="AU4845" s="1">
        <v>26830</v>
      </c>
      <c r="AV4845">
        <v>80.02</v>
      </c>
      <c r="AX4845" s="1">
        <v>3366</v>
      </c>
      <c r="AY4845" t="s">
        <v>2966</v>
      </c>
      <c r="AZ4845" t="s">
        <v>2967</v>
      </c>
      <c r="BA4845" t="s">
        <v>930</v>
      </c>
      <c r="BE4845" s="3">
        <v>42123</v>
      </c>
      <c r="BF4845" s="1">
        <v>390000</v>
      </c>
      <c r="BG4845" t="s">
        <v>30217</v>
      </c>
      <c r="BH4845" s="1">
        <v>149.88</v>
      </c>
      <c r="BI4845" s="1">
        <v>385172</v>
      </c>
      <c r="BJ4845" s="3">
        <v>42502</v>
      </c>
      <c r="BK4845" t="s">
        <v>123</v>
      </c>
      <c r="BL4845" t="str">
        <f>"2016.324649"</f>
        <v>2016.324649</v>
      </c>
      <c r="BM4845" t="s">
        <v>402</v>
      </c>
      <c r="BN4845" t="s">
        <v>461</v>
      </c>
      <c r="BO4845" t="s">
        <v>30218</v>
      </c>
      <c r="BS4845">
        <v>30</v>
      </c>
      <c r="BT4845" s="1">
        <v>385172</v>
      </c>
      <c r="BU4845" s="3">
        <v>42502</v>
      </c>
      <c r="BV4845" t="s">
        <v>123</v>
      </c>
      <c r="BW4845" t="str">
        <f>"2016.324649"</f>
        <v>2016.324649</v>
      </c>
      <c r="BX4845" t="s">
        <v>402</v>
      </c>
      <c r="BZ4845" t="s">
        <v>30218</v>
      </c>
      <c r="CD4845">
        <v>30</v>
      </c>
      <c r="CH4845" t="str">
        <f>""</f>
        <v/>
      </c>
      <c r="CS4845" t="str">
        <f>""</f>
        <v/>
      </c>
    </row>
    <row r="4846" spans="1:97" x14ac:dyDescent="0.25">
      <c r="B4846" t="s">
        <v>30219</v>
      </c>
      <c r="E4846" t="s">
        <v>30220</v>
      </c>
      <c r="F4846" t="s">
        <v>108</v>
      </c>
      <c r="H4846" t="s">
        <v>30221</v>
      </c>
      <c r="I4846" t="s">
        <v>1397</v>
      </c>
      <c r="J4846" t="s">
        <v>111</v>
      </c>
      <c r="K4846" t="str">
        <f>"85331"</f>
        <v>85331</v>
      </c>
      <c r="L4846" t="s">
        <v>10622</v>
      </c>
      <c r="M4846" t="s">
        <v>30221</v>
      </c>
      <c r="N4846" t="s">
        <v>1397</v>
      </c>
      <c r="O4846" t="s">
        <v>111</v>
      </c>
      <c r="P4846" t="str">
        <f>"85331-4503"</f>
        <v>85331-4503</v>
      </c>
      <c r="Q4846" t="s">
        <v>113</v>
      </c>
      <c r="R4846" t="str">
        <f>"211-37-317"</f>
        <v>211-37-317</v>
      </c>
      <c r="S4846" t="s">
        <v>10623</v>
      </c>
      <c r="T4846" t="s">
        <v>10623</v>
      </c>
      <c r="U4846">
        <v>2864</v>
      </c>
      <c r="V4846">
        <v>0</v>
      </c>
      <c r="W4846">
        <v>4</v>
      </c>
      <c r="X4846">
        <v>2000</v>
      </c>
      <c r="Z4846">
        <v>1</v>
      </c>
      <c r="AA4846" t="s">
        <v>26</v>
      </c>
      <c r="AB4846">
        <v>0</v>
      </c>
      <c r="AC4846" t="s">
        <v>115</v>
      </c>
      <c r="AD4846">
        <v>3</v>
      </c>
      <c r="AE4846" t="s">
        <v>115</v>
      </c>
      <c r="AF4846">
        <v>0</v>
      </c>
      <c r="AG4846">
        <v>0</v>
      </c>
      <c r="AH4846" t="s">
        <v>116</v>
      </c>
      <c r="AI4846" s="1">
        <v>208916</v>
      </c>
      <c r="AJ4846" s="2">
        <v>0.36</v>
      </c>
      <c r="AK4846" s="1">
        <v>584116</v>
      </c>
      <c r="AL4846" t="s">
        <v>117</v>
      </c>
      <c r="AM4846" t="s">
        <v>616</v>
      </c>
      <c r="AN4846">
        <v>10800</v>
      </c>
      <c r="AO4846">
        <v>0.25</v>
      </c>
      <c r="AP4846">
        <v>1</v>
      </c>
      <c r="AR4846">
        <v>1</v>
      </c>
      <c r="AS4846" s="1">
        <v>42400</v>
      </c>
      <c r="AT4846" s="1">
        <v>8480</v>
      </c>
      <c r="AU4846" s="1">
        <v>33920</v>
      </c>
      <c r="AV4846">
        <v>80</v>
      </c>
      <c r="AX4846" s="1">
        <v>2922.02</v>
      </c>
      <c r="AY4846" t="s">
        <v>7359</v>
      </c>
      <c r="AZ4846" t="s">
        <v>1402</v>
      </c>
      <c r="BA4846" t="s">
        <v>1403</v>
      </c>
      <c r="BB4846" s="3">
        <v>42818</v>
      </c>
      <c r="BD4846" t="s">
        <v>480</v>
      </c>
      <c r="BE4846" s="3">
        <v>42306</v>
      </c>
      <c r="BF4846" s="1">
        <v>469000</v>
      </c>
      <c r="BG4846" t="s">
        <v>30222</v>
      </c>
      <c r="BH4846" s="1">
        <v>163.76</v>
      </c>
      <c r="BI4846" s="1">
        <v>375200</v>
      </c>
      <c r="BJ4846" s="3">
        <v>42306</v>
      </c>
      <c r="BK4846" t="s">
        <v>123</v>
      </c>
      <c r="BL4846" t="str">
        <f>"2015.779328"</f>
        <v>2015.779328</v>
      </c>
      <c r="BM4846" t="s">
        <v>9928</v>
      </c>
      <c r="BO4846" t="s">
        <v>30223</v>
      </c>
      <c r="BS4846">
        <v>30</v>
      </c>
      <c r="BW4846" t="str">
        <f>""</f>
        <v/>
      </c>
      <c r="CH4846" t="str">
        <f>""</f>
        <v/>
      </c>
      <c r="CS4846" t="str">
        <f>""</f>
        <v/>
      </c>
    </row>
    <row r="4847" spans="1:97" x14ac:dyDescent="0.25">
      <c r="A4847" t="s">
        <v>894</v>
      </c>
      <c r="B4847" t="s">
        <v>12491</v>
      </c>
      <c r="E4847" t="s">
        <v>30224</v>
      </c>
      <c r="F4847" t="s">
        <v>108</v>
      </c>
      <c r="H4847" t="s">
        <v>30225</v>
      </c>
      <c r="I4847" t="s">
        <v>453</v>
      </c>
      <c r="J4847" t="s">
        <v>111</v>
      </c>
      <c r="K4847" t="str">
        <f>"85383"</f>
        <v>85383</v>
      </c>
      <c r="L4847" t="s">
        <v>7235</v>
      </c>
      <c r="M4847" t="s">
        <v>30225</v>
      </c>
      <c r="N4847" t="s">
        <v>453</v>
      </c>
      <c r="O4847" t="s">
        <v>111</v>
      </c>
      <c r="P4847" t="str">
        <f>"85383-5884"</f>
        <v>85383-5884</v>
      </c>
      <c r="Q4847" t="s">
        <v>113</v>
      </c>
      <c r="R4847" t="str">
        <f>"503-55-365"</f>
        <v>503-55-365</v>
      </c>
      <c r="S4847" t="s">
        <v>7236</v>
      </c>
      <c r="T4847" t="s">
        <v>7237</v>
      </c>
      <c r="U4847">
        <v>1820</v>
      </c>
      <c r="V4847">
        <v>0</v>
      </c>
      <c r="W4847">
        <v>3</v>
      </c>
      <c r="X4847">
        <v>2015</v>
      </c>
      <c r="Z4847">
        <v>1</v>
      </c>
      <c r="AB4847">
        <v>0</v>
      </c>
      <c r="AC4847" t="s">
        <v>115</v>
      </c>
      <c r="AD4847">
        <v>2</v>
      </c>
      <c r="AE4847" t="s">
        <v>115</v>
      </c>
      <c r="AF4847">
        <v>0</v>
      </c>
      <c r="AG4847">
        <v>0</v>
      </c>
      <c r="AH4847" t="s">
        <v>116</v>
      </c>
      <c r="AI4847" s="1">
        <v>81879</v>
      </c>
      <c r="AJ4847" s="2">
        <v>0.26</v>
      </c>
      <c r="AK4847" s="1">
        <v>313374</v>
      </c>
      <c r="AL4847" t="s">
        <v>117</v>
      </c>
      <c r="AM4847" t="s">
        <v>229</v>
      </c>
      <c r="AN4847">
        <v>5242</v>
      </c>
      <c r="AO4847">
        <v>0.12</v>
      </c>
      <c r="AR4847">
        <v>1</v>
      </c>
      <c r="AS4847" s="1">
        <v>21660</v>
      </c>
      <c r="AT4847" s="1">
        <v>4330</v>
      </c>
      <c r="AU4847" s="1">
        <v>17330</v>
      </c>
      <c r="AV4847">
        <v>80.010000000000005</v>
      </c>
      <c r="AX4847" s="1">
        <v>1962.84</v>
      </c>
      <c r="AY4847" t="s">
        <v>456</v>
      </c>
      <c r="AZ4847" t="s">
        <v>456</v>
      </c>
      <c r="BA4847" t="s">
        <v>457</v>
      </c>
      <c r="BE4847" s="3">
        <v>42250</v>
      </c>
      <c r="BF4847" s="1">
        <v>224129</v>
      </c>
      <c r="BG4847" t="s">
        <v>7238</v>
      </c>
      <c r="BH4847" s="1">
        <v>123.15</v>
      </c>
      <c r="BI4847" s="1">
        <v>231495</v>
      </c>
      <c r="BJ4847" s="3">
        <v>42250</v>
      </c>
      <c r="BK4847" t="s">
        <v>123</v>
      </c>
      <c r="BL4847" t="str">
        <f>"2015.640459"</f>
        <v>2015.640459</v>
      </c>
      <c r="BM4847" t="s">
        <v>2245</v>
      </c>
      <c r="BO4847" t="s">
        <v>30226</v>
      </c>
      <c r="BS4847">
        <v>30</v>
      </c>
      <c r="BW4847" t="str">
        <f>""</f>
        <v/>
      </c>
      <c r="CH4847" t="str">
        <f>""</f>
        <v/>
      </c>
      <c r="CS4847" t="str">
        <f>""</f>
        <v/>
      </c>
    </row>
    <row r="4848" spans="1:97" x14ac:dyDescent="0.25">
      <c r="A4848" t="s">
        <v>996</v>
      </c>
      <c r="B4848" t="s">
        <v>3248</v>
      </c>
      <c r="E4848" t="s">
        <v>30227</v>
      </c>
      <c r="F4848" t="s">
        <v>108</v>
      </c>
      <c r="H4848" t="s">
        <v>30228</v>
      </c>
      <c r="I4848" t="s">
        <v>144</v>
      </c>
      <c r="J4848" t="s">
        <v>111</v>
      </c>
      <c r="K4848" t="str">
        <f>"85326"</f>
        <v>85326</v>
      </c>
      <c r="L4848" t="s">
        <v>8146</v>
      </c>
      <c r="M4848" t="s">
        <v>30228</v>
      </c>
      <c r="N4848" t="s">
        <v>144</v>
      </c>
      <c r="O4848" t="s">
        <v>111</v>
      </c>
      <c r="P4848" t="str">
        <f>"85326-8171"</f>
        <v>85326-8171</v>
      </c>
      <c r="R4848" t="str">
        <f>"502-35-630"</f>
        <v>502-35-630</v>
      </c>
      <c r="S4848" t="s">
        <v>9331</v>
      </c>
      <c r="U4848">
        <v>2797</v>
      </c>
      <c r="V4848">
        <v>0</v>
      </c>
      <c r="W4848">
        <v>5</v>
      </c>
      <c r="X4848">
        <v>2013</v>
      </c>
      <c r="Z4848">
        <v>2</v>
      </c>
      <c r="AB4848">
        <v>0</v>
      </c>
      <c r="AC4848" t="s">
        <v>115</v>
      </c>
      <c r="AD4848">
        <v>3</v>
      </c>
      <c r="AE4848" t="s">
        <v>115</v>
      </c>
      <c r="AF4848">
        <v>0</v>
      </c>
      <c r="AG4848">
        <v>0</v>
      </c>
      <c r="AH4848" t="s">
        <v>116</v>
      </c>
      <c r="AI4848" s="1">
        <v>-262280</v>
      </c>
      <c r="AJ4848" s="2">
        <v>-0.77</v>
      </c>
      <c r="AK4848" s="1">
        <v>339209</v>
      </c>
      <c r="AL4848" t="s">
        <v>117</v>
      </c>
      <c r="AM4848" t="s">
        <v>118</v>
      </c>
      <c r="AN4848">
        <v>12682</v>
      </c>
      <c r="AO4848">
        <v>0.28999999999999998</v>
      </c>
      <c r="AR4848">
        <v>1</v>
      </c>
      <c r="AS4848" s="1">
        <v>25310</v>
      </c>
      <c r="AT4848" s="1">
        <v>5060</v>
      </c>
      <c r="AU4848" s="1">
        <v>20250</v>
      </c>
      <c r="AV4848">
        <v>80.010000000000005</v>
      </c>
      <c r="AX4848" s="1">
        <v>2136.04</v>
      </c>
      <c r="AY4848" t="s">
        <v>2767</v>
      </c>
      <c r="AZ4848" t="s">
        <v>2767</v>
      </c>
      <c r="BA4848" t="s">
        <v>5025</v>
      </c>
      <c r="BE4848" s="3">
        <v>41803</v>
      </c>
      <c r="BF4848" s="1">
        <v>282262</v>
      </c>
      <c r="BG4848" t="s">
        <v>749</v>
      </c>
      <c r="BH4848" s="1">
        <v>100.92</v>
      </c>
      <c r="BI4848" s="1">
        <v>305129</v>
      </c>
      <c r="BJ4848" s="3">
        <v>42240</v>
      </c>
      <c r="BK4848" t="s">
        <v>123</v>
      </c>
      <c r="BL4848" t="str">
        <f>"2015.609403"</f>
        <v>2015.609403</v>
      </c>
      <c r="BM4848" t="s">
        <v>750</v>
      </c>
      <c r="BN4848" t="s">
        <v>751</v>
      </c>
      <c r="BO4848" t="s">
        <v>30229</v>
      </c>
      <c r="BQ4848" t="str">
        <f>"2.2500%"</f>
        <v>2.2500%</v>
      </c>
      <c r="BR4848" t="s">
        <v>1480</v>
      </c>
      <c r="BS4848">
        <v>30</v>
      </c>
      <c r="BT4848" s="1">
        <v>296360</v>
      </c>
      <c r="BU4848" s="3">
        <v>43741</v>
      </c>
      <c r="BV4848" t="s">
        <v>123</v>
      </c>
      <c r="BW4848" t="str">
        <f>"2019.784673"</f>
        <v>2019.784673</v>
      </c>
      <c r="BX4848" t="s">
        <v>25852</v>
      </c>
      <c r="BY4848" t="s">
        <v>25853</v>
      </c>
      <c r="BZ4848" t="s">
        <v>30227</v>
      </c>
      <c r="CC4848" t="s">
        <v>139</v>
      </c>
      <c r="CH4848" t="str">
        <f>""</f>
        <v/>
      </c>
      <c r="CS4848" t="str">
        <f>""</f>
        <v/>
      </c>
    </row>
    <row r="4849" spans="1:97" x14ac:dyDescent="0.25">
      <c r="A4849" t="s">
        <v>370</v>
      </c>
      <c r="B4849" t="s">
        <v>18313</v>
      </c>
      <c r="C4849" t="s">
        <v>30230</v>
      </c>
      <c r="D4849" t="s">
        <v>18313</v>
      </c>
      <c r="E4849" t="s">
        <v>30231</v>
      </c>
      <c r="F4849" t="s">
        <v>108</v>
      </c>
      <c r="H4849" t="s">
        <v>30232</v>
      </c>
      <c r="I4849" t="s">
        <v>390</v>
      </c>
      <c r="J4849" t="s">
        <v>111</v>
      </c>
      <c r="K4849" t="str">
        <f>"85044"</f>
        <v>85044</v>
      </c>
      <c r="L4849" t="s">
        <v>5138</v>
      </c>
      <c r="M4849" t="s">
        <v>30232</v>
      </c>
      <c r="N4849" t="s">
        <v>390</v>
      </c>
      <c r="O4849" t="s">
        <v>111</v>
      </c>
      <c r="P4849" t="str">
        <f>"85044-5688"</f>
        <v>85044-5688</v>
      </c>
      <c r="Q4849" t="s">
        <v>113</v>
      </c>
      <c r="R4849" t="str">
        <f>"301-41-557"</f>
        <v>301-41-557</v>
      </c>
      <c r="S4849" t="s">
        <v>30233</v>
      </c>
      <c r="U4849">
        <v>1778</v>
      </c>
      <c r="V4849">
        <v>0</v>
      </c>
      <c r="W4849">
        <v>3</v>
      </c>
      <c r="X4849">
        <v>1994</v>
      </c>
      <c r="Z4849">
        <v>1</v>
      </c>
      <c r="AA4849" t="s">
        <v>26</v>
      </c>
      <c r="AB4849">
        <v>0</v>
      </c>
      <c r="AC4849" t="s">
        <v>115</v>
      </c>
      <c r="AD4849">
        <v>2</v>
      </c>
      <c r="AE4849" t="s">
        <v>115</v>
      </c>
      <c r="AF4849">
        <v>0</v>
      </c>
      <c r="AG4849">
        <v>0</v>
      </c>
      <c r="AH4849" t="s">
        <v>116</v>
      </c>
      <c r="AI4849" s="1">
        <v>63278</v>
      </c>
      <c r="AJ4849" s="2">
        <v>0.16</v>
      </c>
      <c r="AK4849" s="1">
        <v>389189</v>
      </c>
      <c r="AL4849" t="s">
        <v>117</v>
      </c>
      <c r="AM4849" t="s">
        <v>191</v>
      </c>
      <c r="AN4849">
        <v>4739</v>
      </c>
      <c r="AO4849">
        <v>0.11</v>
      </c>
      <c r="AP4849">
        <v>1</v>
      </c>
      <c r="AR4849">
        <v>1</v>
      </c>
      <c r="AS4849" s="1">
        <v>28670</v>
      </c>
      <c r="AT4849" s="1">
        <v>5730</v>
      </c>
      <c r="AU4849" s="1">
        <v>22940</v>
      </c>
      <c r="AV4849">
        <v>80.010000000000005</v>
      </c>
      <c r="AX4849" s="1">
        <v>2987.4</v>
      </c>
      <c r="AY4849" t="s">
        <v>11872</v>
      </c>
      <c r="AZ4849" t="s">
        <v>7255</v>
      </c>
      <c r="BA4849" t="s">
        <v>5328</v>
      </c>
      <c r="BE4849" s="3">
        <v>42207</v>
      </c>
      <c r="BF4849" s="1">
        <v>315500</v>
      </c>
      <c r="BG4849" t="s">
        <v>30234</v>
      </c>
      <c r="BH4849" s="1">
        <v>177.45</v>
      </c>
      <c r="BI4849" s="1">
        <v>325911</v>
      </c>
      <c r="BJ4849" s="3">
        <v>42207</v>
      </c>
      <c r="BK4849" t="s">
        <v>123</v>
      </c>
      <c r="BL4849" t="str">
        <f>"2015.527640"</f>
        <v>2015.527640</v>
      </c>
      <c r="BM4849" t="s">
        <v>709</v>
      </c>
      <c r="BO4849" t="s">
        <v>30235</v>
      </c>
      <c r="BS4849">
        <v>30</v>
      </c>
      <c r="BW4849" t="str">
        <f>""</f>
        <v/>
      </c>
      <c r="CH4849" t="str">
        <f>""</f>
        <v/>
      </c>
      <c r="CS4849" t="str">
        <f>""</f>
        <v/>
      </c>
    </row>
    <row r="4850" spans="1:97" x14ac:dyDescent="0.25">
      <c r="A4850" t="s">
        <v>10843</v>
      </c>
      <c r="B4850" t="s">
        <v>11434</v>
      </c>
      <c r="C4850" t="s">
        <v>27673</v>
      </c>
      <c r="D4850" t="s">
        <v>11434</v>
      </c>
      <c r="E4850" t="s">
        <v>30236</v>
      </c>
      <c r="F4850" t="s">
        <v>108</v>
      </c>
      <c r="H4850" t="s">
        <v>30237</v>
      </c>
      <c r="I4850" t="s">
        <v>225</v>
      </c>
      <c r="J4850" t="s">
        <v>111</v>
      </c>
      <c r="K4850" t="str">
        <f>"85205"</f>
        <v>85205</v>
      </c>
      <c r="L4850" t="s">
        <v>226</v>
      </c>
      <c r="M4850" t="s">
        <v>30237</v>
      </c>
      <c r="N4850" t="s">
        <v>225</v>
      </c>
      <c r="O4850" t="s">
        <v>111</v>
      </c>
      <c r="P4850" t="str">
        <f>"85205-5820"</f>
        <v>85205-5820</v>
      </c>
      <c r="Q4850" t="s">
        <v>113</v>
      </c>
      <c r="R4850" t="str">
        <f>"141-78-839"</f>
        <v>141-78-839</v>
      </c>
      <c r="S4850" t="s">
        <v>30238</v>
      </c>
      <c r="T4850" t="s">
        <v>30239</v>
      </c>
      <c r="U4850">
        <v>2003</v>
      </c>
      <c r="V4850">
        <v>0</v>
      </c>
      <c r="W4850">
        <v>3</v>
      </c>
      <c r="X4850">
        <v>1985</v>
      </c>
      <c r="Z4850">
        <v>1</v>
      </c>
      <c r="AA4850" t="s">
        <v>26</v>
      </c>
      <c r="AB4850">
        <v>0</v>
      </c>
      <c r="AC4850" t="s">
        <v>115</v>
      </c>
      <c r="AD4850">
        <v>2</v>
      </c>
      <c r="AE4850" t="s">
        <v>115</v>
      </c>
      <c r="AF4850">
        <v>0</v>
      </c>
      <c r="AG4850">
        <v>0</v>
      </c>
      <c r="AH4850" t="s">
        <v>116</v>
      </c>
      <c r="AI4850" s="1">
        <v>144774</v>
      </c>
      <c r="AJ4850" s="2">
        <v>0.41</v>
      </c>
      <c r="AK4850" s="1">
        <v>351374</v>
      </c>
      <c r="AL4850" t="s">
        <v>117</v>
      </c>
      <c r="AM4850" t="s">
        <v>393</v>
      </c>
      <c r="AN4850">
        <v>8910</v>
      </c>
      <c r="AO4850">
        <v>0.2</v>
      </c>
      <c r="AP4850">
        <v>1</v>
      </c>
      <c r="AR4850">
        <v>1</v>
      </c>
      <c r="AS4850" s="1">
        <v>24580</v>
      </c>
      <c r="AT4850" s="1">
        <v>4910</v>
      </c>
      <c r="AU4850" s="1">
        <v>19670</v>
      </c>
      <c r="AV4850">
        <v>80.02</v>
      </c>
      <c r="AX4850" s="1">
        <v>2096.3000000000002</v>
      </c>
      <c r="AY4850" t="s">
        <v>5274</v>
      </c>
      <c r="AZ4850" t="s">
        <v>5275</v>
      </c>
      <c r="BA4850" t="s">
        <v>3119</v>
      </c>
      <c r="BE4850" s="3">
        <v>42440</v>
      </c>
      <c r="BF4850" s="1">
        <v>200000</v>
      </c>
      <c r="BG4850" t="s">
        <v>30240</v>
      </c>
      <c r="BH4850" s="1">
        <v>99.85</v>
      </c>
      <c r="BI4850" s="1">
        <v>206600</v>
      </c>
      <c r="BJ4850" s="3">
        <v>42440</v>
      </c>
      <c r="BK4850" t="s">
        <v>123</v>
      </c>
      <c r="BL4850" t="str">
        <f>"2016.158891"</f>
        <v>2016.158891</v>
      </c>
      <c r="BM4850" t="s">
        <v>8916</v>
      </c>
      <c r="BO4850" t="s">
        <v>30241</v>
      </c>
      <c r="BS4850">
        <v>30</v>
      </c>
      <c r="BW4850" t="str">
        <f>""</f>
        <v/>
      </c>
      <c r="CH4850" t="str">
        <f>""</f>
        <v/>
      </c>
      <c r="CS4850" t="str">
        <f>""</f>
        <v/>
      </c>
    </row>
    <row r="4851" spans="1:97" x14ac:dyDescent="0.25">
      <c r="B4851" t="s">
        <v>30242</v>
      </c>
      <c r="C4851" t="s">
        <v>26345</v>
      </c>
      <c r="E4851" t="s">
        <v>30243</v>
      </c>
      <c r="F4851" t="s">
        <v>108</v>
      </c>
      <c r="H4851" t="s">
        <v>30244</v>
      </c>
      <c r="I4851" t="s">
        <v>1936</v>
      </c>
      <c r="J4851" t="s">
        <v>111</v>
      </c>
      <c r="K4851" t="str">
        <f>"85251"</f>
        <v>85251</v>
      </c>
      <c r="L4851" t="s">
        <v>6169</v>
      </c>
      <c r="M4851" t="s">
        <v>30244</v>
      </c>
      <c r="N4851" t="s">
        <v>1936</v>
      </c>
      <c r="O4851" t="s">
        <v>111</v>
      </c>
      <c r="P4851" t="str">
        <f>"85251-5450"</f>
        <v>85251-5450</v>
      </c>
      <c r="Q4851" t="s">
        <v>113</v>
      </c>
      <c r="R4851" t="str">
        <f>"128-51-018"</f>
        <v>128-51-018</v>
      </c>
      <c r="S4851" t="s">
        <v>30245</v>
      </c>
      <c r="T4851" t="s">
        <v>30246</v>
      </c>
      <c r="U4851">
        <v>1600</v>
      </c>
      <c r="V4851">
        <v>0</v>
      </c>
      <c r="W4851">
        <v>2</v>
      </c>
      <c r="X4851">
        <v>1958</v>
      </c>
      <c r="Z4851">
        <v>1</v>
      </c>
      <c r="AB4851">
        <v>0</v>
      </c>
      <c r="AC4851" t="s">
        <v>115</v>
      </c>
      <c r="AD4851">
        <v>2</v>
      </c>
      <c r="AE4851" t="s">
        <v>115</v>
      </c>
      <c r="AF4851">
        <v>0</v>
      </c>
      <c r="AG4851">
        <v>0</v>
      </c>
      <c r="AH4851" t="s">
        <v>116</v>
      </c>
      <c r="AI4851" s="1">
        <v>-9149</v>
      </c>
      <c r="AJ4851" s="2">
        <v>-0.02</v>
      </c>
      <c r="AK4851" s="1">
        <v>463851</v>
      </c>
      <c r="AL4851" t="s">
        <v>117</v>
      </c>
      <c r="AM4851" t="s">
        <v>393</v>
      </c>
      <c r="AN4851">
        <v>10051</v>
      </c>
      <c r="AO4851">
        <v>0.23</v>
      </c>
      <c r="AP4851">
        <v>1</v>
      </c>
      <c r="AR4851">
        <v>1</v>
      </c>
      <c r="AS4851" s="1">
        <v>40470</v>
      </c>
      <c r="AT4851" s="1">
        <v>8090</v>
      </c>
      <c r="AU4851" s="1">
        <v>32380</v>
      </c>
      <c r="AV4851">
        <v>80.010000000000005</v>
      </c>
      <c r="AX4851" s="1">
        <v>2174.64</v>
      </c>
      <c r="AY4851" t="s">
        <v>8347</v>
      </c>
      <c r="AZ4851" t="s">
        <v>8348</v>
      </c>
      <c r="BA4851" t="s">
        <v>8349</v>
      </c>
      <c r="BB4851" s="3">
        <v>43752</v>
      </c>
      <c r="BC4851" s="1">
        <v>0</v>
      </c>
      <c r="BD4851" t="s">
        <v>247</v>
      </c>
      <c r="BE4851" s="3">
        <v>42356</v>
      </c>
      <c r="BF4851" s="1">
        <v>380000</v>
      </c>
      <c r="BG4851" t="s">
        <v>30247</v>
      </c>
      <c r="BH4851" s="1">
        <v>237.5</v>
      </c>
      <c r="BI4851" s="1">
        <v>473000</v>
      </c>
      <c r="BJ4851" s="3">
        <v>43613</v>
      </c>
      <c r="BK4851" t="s">
        <v>123</v>
      </c>
      <c r="BL4851" t="str">
        <f>"2019.387300"</f>
        <v>2019.387300</v>
      </c>
      <c r="BM4851" t="s">
        <v>15439</v>
      </c>
      <c r="BN4851" t="s">
        <v>381</v>
      </c>
      <c r="BO4851" t="s">
        <v>30248</v>
      </c>
      <c r="BP4851" t="s">
        <v>30249</v>
      </c>
      <c r="BR4851" t="s">
        <v>139</v>
      </c>
      <c r="BW4851" t="str">
        <f>""</f>
        <v/>
      </c>
      <c r="CH4851" t="str">
        <f>""</f>
        <v/>
      </c>
      <c r="CS4851" t="str">
        <f>""</f>
        <v/>
      </c>
    </row>
    <row r="4852" spans="1:97" x14ac:dyDescent="0.25">
      <c r="A4852" t="s">
        <v>3258</v>
      </c>
      <c r="B4852" t="s">
        <v>9435</v>
      </c>
      <c r="C4852" t="s">
        <v>30250</v>
      </c>
      <c r="D4852" t="s">
        <v>9435</v>
      </c>
      <c r="E4852" t="s">
        <v>30251</v>
      </c>
      <c r="F4852" t="s">
        <v>108</v>
      </c>
      <c r="H4852" t="s">
        <v>30252</v>
      </c>
      <c r="I4852" t="s">
        <v>144</v>
      </c>
      <c r="J4852" t="s">
        <v>111</v>
      </c>
      <c r="K4852" t="str">
        <f>"85326"</f>
        <v>85326</v>
      </c>
      <c r="L4852" t="s">
        <v>8255</v>
      </c>
      <c r="M4852" t="s">
        <v>30252</v>
      </c>
      <c r="N4852" t="s">
        <v>144</v>
      </c>
      <c r="O4852" t="s">
        <v>111</v>
      </c>
      <c r="P4852" t="str">
        <f>"85326-8562"</f>
        <v>85326-8562</v>
      </c>
      <c r="Q4852" t="s">
        <v>113</v>
      </c>
      <c r="R4852" t="str">
        <f>"504-25-480"</f>
        <v>504-25-480</v>
      </c>
      <c r="S4852" t="s">
        <v>22464</v>
      </c>
      <c r="T4852" t="s">
        <v>22464</v>
      </c>
      <c r="U4852">
        <v>2762</v>
      </c>
      <c r="V4852">
        <v>0</v>
      </c>
      <c r="W4852">
        <v>4</v>
      </c>
      <c r="X4852">
        <v>2007</v>
      </c>
      <c r="Z4852">
        <v>2</v>
      </c>
      <c r="AA4852" t="s">
        <v>26</v>
      </c>
      <c r="AB4852">
        <v>0</v>
      </c>
      <c r="AC4852" t="s">
        <v>115</v>
      </c>
      <c r="AD4852">
        <v>2</v>
      </c>
      <c r="AE4852" t="s">
        <v>115</v>
      </c>
      <c r="AF4852">
        <v>0</v>
      </c>
      <c r="AG4852">
        <v>0</v>
      </c>
      <c r="AH4852" t="s">
        <v>116</v>
      </c>
      <c r="AI4852" s="1">
        <v>66946</v>
      </c>
      <c r="AJ4852" s="2">
        <v>0.22</v>
      </c>
      <c r="AK4852" s="1">
        <v>303644</v>
      </c>
      <c r="AL4852" t="s">
        <v>117</v>
      </c>
      <c r="AM4852" t="s">
        <v>5023</v>
      </c>
      <c r="AN4852">
        <v>8189</v>
      </c>
      <c r="AO4852">
        <v>0.19</v>
      </c>
      <c r="AR4852">
        <v>1</v>
      </c>
      <c r="AS4852" s="1">
        <v>19750</v>
      </c>
      <c r="AT4852" s="1">
        <v>3950</v>
      </c>
      <c r="AU4852" s="1">
        <v>15800</v>
      </c>
      <c r="AV4852">
        <v>80</v>
      </c>
      <c r="AX4852" s="1">
        <v>1489.3</v>
      </c>
      <c r="AY4852" t="s">
        <v>8444</v>
      </c>
      <c r="AZ4852" t="s">
        <v>8444</v>
      </c>
      <c r="BA4852" t="s">
        <v>5025</v>
      </c>
      <c r="BE4852" s="3">
        <v>41872</v>
      </c>
      <c r="BF4852" s="1">
        <v>236000</v>
      </c>
      <c r="BG4852" t="s">
        <v>30253</v>
      </c>
      <c r="BH4852" s="1">
        <v>85.45</v>
      </c>
      <c r="BI4852" s="1">
        <v>236698</v>
      </c>
      <c r="BJ4852" s="3">
        <v>42074</v>
      </c>
      <c r="BK4852" t="s">
        <v>123</v>
      </c>
      <c r="BL4852" t="str">
        <f>"2015.163260"</f>
        <v>2015.163260</v>
      </c>
      <c r="BM4852" t="s">
        <v>936</v>
      </c>
      <c r="BO4852" t="s">
        <v>30254</v>
      </c>
      <c r="BS4852">
        <v>30</v>
      </c>
      <c r="BW4852" t="str">
        <f>""</f>
        <v/>
      </c>
      <c r="CH4852" t="str">
        <f>""</f>
        <v/>
      </c>
      <c r="CS4852" t="str">
        <f>""</f>
        <v/>
      </c>
    </row>
    <row r="4853" spans="1:97" x14ac:dyDescent="0.25">
      <c r="A4853" t="s">
        <v>1850</v>
      </c>
      <c r="B4853" t="s">
        <v>30255</v>
      </c>
      <c r="E4853" t="s">
        <v>30256</v>
      </c>
      <c r="F4853" t="s">
        <v>108</v>
      </c>
      <c r="H4853" t="s">
        <v>30257</v>
      </c>
      <c r="I4853" t="s">
        <v>390</v>
      </c>
      <c r="J4853" t="s">
        <v>111</v>
      </c>
      <c r="K4853" t="str">
        <f>"85027"</f>
        <v>85027</v>
      </c>
      <c r="L4853" t="s">
        <v>6460</v>
      </c>
      <c r="M4853" t="s">
        <v>30257</v>
      </c>
      <c r="N4853" t="s">
        <v>390</v>
      </c>
      <c r="O4853" t="s">
        <v>111</v>
      </c>
      <c r="P4853" t="str">
        <f>"85027-7030"</f>
        <v>85027-7030</v>
      </c>
      <c r="Q4853" t="s">
        <v>113</v>
      </c>
      <c r="R4853" t="str">
        <f>"206-02-124"</f>
        <v>206-02-124</v>
      </c>
      <c r="S4853" t="s">
        <v>6461</v>
      </c>
      <c r="T4853" t="s">
        <v>6461</v>
      </c>
      <c r="U4853">
        <v>2472</v>
      </c>
      <c r="V4853">
        <v>0</v>
      </c>
      <c r="W4853">
        <v>3</v>
      </c>
      <c r="X4853">
        <v>2001</v>
      </c>
      <c r="Z4853">
        <v>1</v>
      </c>
      <c r="AA4853" t="s">
        <v>26</v>
      </c>
      <c r="AB4853">
        <v>0</v>
      </c>
      <c r="AC4853" t="s">
        <v>115</v>
      </c>
      <c r="AD4853">
        <v>3</v>
      </c>
      <c r="AE4853" t="s">
        <v>115</v>
      </c>
      <c r="AF4853">
        <v>0</v>
      </c>
      <c r="AG4853">
        <v>0</v>
      </c>
      <c r="AH4853" t="s">
        <v>116</v>
      </c>
      <c r="AI4853" s="1">
        <v>89656</v>
      </c>
      <c r="AJ4853" s="2">
        <v>0.22</v>
      </c>
      <c r="AK4853" s="1">
        <v>399556</v>
      </c>
      <c r="AL4853" t="s">
        <v>117</v>
      </c>
      <c r="AM4853" t="s">
        <v>1302</v>
      </c>
      <c r="AN4853">
        <v>8702</v>
      </c>
      <c r="AO4853">
        <v>0.2</v>
      </c>
      <c r="AP4853">
        <v>1</v>
      </c>
      <c r="AR4853">
        <v>1</v>
      </c>
      <c r="AS4853" s="1">
        <v>31080</v>
      </c>
      <c r="AT4853" s="1">
        <v>6210</v>
      </c>
      <c r="AU4853" s="1">
        <v>24870</v>
      </c>
      <c r="AV4853">
        <v>80.02</v>
      </c>
      <c r="AX4853" s="1">
        <v>2758.98</v>
      </c>
      <c r="AY4853" t="s">
        <v>5701</v>
      </c>
      <c r="AZ4853" t="s">
        <v>3049</v>
      </c>
      <c r="BA4853" t="s">
        <v>1386</v>
      </c>
      <c r="BE4853" s="3">
        <v>41887</v>
      </c>
      <c r="BF4853" s="1">
        <v>300000</v>
      </c>
      <c r="BG4853" t="s">
        <v>30258</v>
      </c>
      <c r="BH4853" s="1">
        <v>121.36</v>
      </c>
      <c r="BI4853" s="1">
        <v>309900</v>
      </c>
      <c r="BJ4853" s="3">
        <v>41887</v>
      </c>
      <c r="BK4853" t="s">
        <v>123</v>
      </c>
      <c r="BL4853" t="str">
        <f>"2014.590137"</f>
        <v>2014.590137</v>
      </c>
      <c r="BM4853" t="s">
        <v>475</v>
      </c>
      <c r="BO4853" t="s">
        <v>30259</v>
      </c>
      <c r="BS4853">
        <v>30</v>
      </c>
      <c r="BW4853" t="str">
        <f>""</f>
        <v/>
      </c>
      <c r="CH4853" t="str">
        <f>""</f>
        <v/>
      </c>
      <c r="CS4853" t="str">
        <f>""</f>
        <v/>
      </c>
    </row>
    <row r="4854" spans="1:97" x14ac:dyDescent="0.25">
      <c r="A4854" t="s">
        <v>1009</v>
      </c>
      <c r="B4854" t="s">
        <v>18320</v>
      </c>
      <c r="C4854" t="s">
        <v>2002</v>
      </c>
      <c r="D4854" t="s">
        <v>18320</v>
      </c>
      <c r="E4854" t="s">
        <v>30260</v>
      </c>
      <c r="F4854" t="s">
        <v>108</v>
      </c>
      <c r="H4854" t="s">
        <v>30261</v>
      </c>
      <c r="I4854" t="s">
        <v>225</v>
      </c>
      <c r="J4854" t="s">
        <v>111</v>
      </c>
      <c r="K4854" t="str">
        <f>"85204"</f>
        <v>85204</v>
      </c>
      <c r="L4854" t="s">
        <v>5308</v>
      </c>
      <c r="M4854" t="s">
        <v>30261</v>
      </c>
      <c r="N4854" t="s">
        <v>225</v>
      </c>
      <c r="O4854" t="s">
        <v>111</v>
      </c>
      <c r="P4854" t="str">
        <f>"85204-2807"</f>
        <v>85204-2807</v>
      </c>
      <c r="Q4854" t="s">
        <v>113</v>
      </c>
      <c r="R4854" t="str">
        <f>"139-55-038"</f>
        <v>139-55-038</v>
      </c>
      <c r="S4854" t="s">
        <v>30262</v>
      </c>
      <c r="U4854">
        <v>1695</v>
      </c>
      <c r="V4854">
        <v>0</v>
      </c>
      <c r="W4854">
        <v>3</v>
      </c>
      <c r="X4854">
        <v>1961</v>
      </c>
      <c r="Z4854">
        <v>1</v>
      </c>
      <c r="AB4854">
        <v>0</v>
      </c>
      <c r="AC4854" t="s">
        <v>115</v>
      </c>
      <c r="AD4854">
        <v>2</v>
      </c>
      <c r="AE4854" t="s">
        <v>115</v>
      </c>
      <c r="AF4854">
        <v>0</v>
      </c>
      <c r="AG4854">
        <v>0</v>
      </c>
      <c r="AH4854" t="s">
        <v>116</v>
      </c>
      <c r="AI4854" s="1">
        <v>-180</v>
      </c>
      <c r="AJ4854" s="2">
        <v>0</v>
      </c>
      <c r="AK4854" s="1">
        <v>268400</v>
      </c>
      <c r="AL4854" t="s">
        <v>117</v>
      </c>
      <c r="AM4854" t="s">
        <v>191</v>
      </c>
      <c r="AN4854">
        <v>7874</v>
      </c>
      <c r="AO4854">
        <v>0.18</v>
      </c>
      <c r="AP4854">
        <v>1</v>
      </c>
      <c r="AR4854">
        <v>1</v>
      </c>
      <c r="AS4854" s="1">
        <v>17300</v>
      </c>
      <c r="AT4854" s="1">
        <v>3460</v>
      </c>
      <c r="AU4854" s="1">
        <v>13840</v>
      </c>
      <c r="AV4854">
        <v>80</v>
      </c>
      <c r="AX4854" s="1">
        <v>924.12</v>
      </c>
      <c r="AY4854" t="s">
        <v>17638</v>
      </c>
      <c r="AZ4854" t="s">
        <v>5158</v>
      </c>
      <c r="BA4854" t="s">
        <v>5159</v>
      </c>
      <c r="BB4854" s="3">
        <v>42878</v>
      </c>
      <c r="BD4854" t="s">
        <v>480</v>
      </c>
      <c r="BE4854" s="3">
        <v>41850</v>
      </c>
      <c r="BF4854" s="1">
        <v>179000</v>
      </c>
      <c r="BG4854" t="s">
        <v>30263</v>
      </c>
      <c r="BH4854" s="1">
        <v>105.6</v>
      </c>
      <c r="BI4854" s="1">
        <v>268580</v>
      </c>
      <c r="BJ4854" s="3">
        <v>43553</v>
      </c>
      <c r="BK4854" t="s">
        <v>123</v>
      </c>
      <c r="BL4854" t="str">
        <f>"2019.220388"</f>
        <v>2019.220388</v>
      </c>
      <c r="BM4854" t="s">
        <v>3040</v>
      </c>
      <c r="BN4854" t="s">
        <v>3041</v>
      </c>
      <c r="BO4854" t="s">
        <v>30264</v>
      </c>
      <c r="BP4854" t="s">
        <v>30265</v>
      </c>
      <c r="BR4854" t="s">
        <v>139</v>
      </c>
      <c r="BW4854" t="str">
        <f>""</f>
        <v/>
      </c>
      <c r="CH4854" t="str">
        <f>""</f>
        <v/>
      </c>
      <c r="CS4854" t="str">
        <f>""</f>
        <v/>
      </c>
    </row>
    <row r="4855" spans="1:97" x14ac:dyDescent="0.25">
      <c r="A4855" t="s">
        <v>996</v>
      </c>
      <c r="B4855" t="s">
        <v>30266</v>
      </c>
      <c r="C4855" t="s">
        <v>1189</v>
      </c>
      <c r="D4855" t="s">
        <v>30266</v>
      </c>
      <c r="E4855" t="s">
        <v>30267</v>
      </c>
      <c r="F4855" t="s">
        <v>108</v>
      </c>
      <c r="H4855" t="s">
        <v>30268</v>
      </c>
      <c r="I4855" t="s">
        <v>390</v>
      </c>
      <c r="J4855" t="s">
        <v>111</v>
      </c>
      <c r="K4855" t="str">
        <f>"85045"</f>
        <v>85045</v>
      </c>
      <c r="L4855" t="s">
        <v>8199</v>
      </c>
      <c r="M4855" t="s">
        <v>30268</v>
      </c>
      <c r="N4855" t="s">
        <v>390</v>
      </c>
      <c r="O4855" t="s">
        <v>111</v>
      </c>
      <c r="P4855" t="str">
        <f>"85045-1820"</f>
        <v>85045-1820</v>
      </c>
      <c r="Q4855" t="s">
        <v>113</v>
      </c>
      <c r="R4855" t="str">
        <f>"300-95-769"</f>
        <v>300-95-769</v>
      </c>
      <c r="S4855" t="s">
        <v>13115</v>
      </c>
      <c r="T4855" t="s">
        <v>12613</v>
      </c>
      <c r="U4855">
        <v>2975</v>
      </c>
      <c r="V4855">
        <v>0</v>
      </c>
      <c r="W4855">
        <v>4</v>
      </c>
      <c r="X4855">
        <v>1995</v>
      </c>
      <c r="Z4855">
        <v>2</v>
      </c>
      <c r="AA4855" t="s">
        <v>26</v>
      </c>
      <c r="AB4855">
        <v>0</v>
      </c>
      <c r="AC4855" t="s">
        <v>115</v>
      </c>
      <c r="AD4855">
        <v>3</v>
      </c>
      <c r="AE4855" t="s">
        <v>115</v>
      </c>
      <c r="AF4855">
        <v>0</v>
      </c>
      <c r="AG4855">
        <v>0</v>
      </c>
      <c r="AH4855" t="s">
        <v>116</v>
      </c>
      <c r="AI4855" s="1">
        <v>89205</v>
      </c>
      <c r="AJ4855" s="2">
        <v>0.19</v>
      </c>
      <c r="AK4855" s="1">
        <v>474518</v>
      </c>
      <c r="AL4855" t="s">
        <v>117</v>
      </c>
      <c r="AM4855" t="s">
        <v>191</v>
      </c>
      <c r="AN4855">
        <v>7279</v>
      </c>
      <c r="AO4855">
        <v>0.17</v>
      </c>
      <c r="AP4855">
        <v>1</v>
      </c>
      <c r="AR4855">
        <v>1</v>
      </c>
      <c r="AS4855" s="1">
        <v>35020</v>
      </c>
      <c r="AT4855" s="1">
        <v>7000</v>
      </c>
      <c r="AU4855" s="1">
        <v>28020</v>
      </c>
      <c r="AV4855">
        <v>80.010000000000005</v>
      </c>
      <c r="AX4855" s="1">
        <v>3781.46</v>
      </c>
      <c r="AY4855" t="s">
        <v>6202</v>
      </c>
      <c r="AZ4855" t="s">
        <v>2967</v>
      </c>
      <c r="BA4855" t="s">
        <v>930</v>
      </c>
      <c r="BB4855" s="3">
        <v>43084</v>
      </c>
      <c r="BD4855" t="s">
        <v>157</v>
      </c>
      <c r="BE4855" s="3">
        <v>41778</v>
      </c>
      <c r="BF4855" s="1">
        <v>376000</v>
      </c>
      <c r="BG4855" t="s">
        <v>30269</v>
      </c>
      <c r="BH4855" s="1">
        <v>126.39</v>
      </c>
      <c r="BI4855" s="1">
        <v>385313</v>
      </c>
      <c r="BJ4855" s="3">
        <v>41983</v>
      </c>
      <c r="BK4855" t="s">
        <v>123</v>
      </c>
      <c r="BL4855" t="str">
        <f>"2014.810550"</f>
        <v>2014.810550</v>
      </c>
      <c r="BM4855" t="s">
        <v>1185</v>
      </c>
      <c r="BN4855" t="s">
        <v>6728</v>
      </c>
      <c r="BO4855" t="s">
        <v>30270</v>
      </c>
      <c r="BS4855">
        <v>30</v>
      </c>
      <c r="BW4855" t="str">
        <f>""</f>
        <v/>
      </c>
      <c r="CH4855" t="str">
        <f>""</f>
        <v/>
      </c>
      <c r="CS4855" t="str">
        <f>""</f>
        <v/>
      </c>
    </row>
    <row r="4856" spans="1:97" x14ac:dyDescent="0.25">
      <c r="A4856" t="s">
        <v>894</v>
      </c>
      <c r="B4856" t="s">
        <v>30271</v>
      </c>
      <c r="C4856" t="s">
        <v>2793</v>
      </c>
      <c r="D4856" t="s">
        <v>30271</v>
      </c>
      <c r="E4856" t="s">
        <v>30272</v>
      </c>
      <c r="F4856" t="s">
        <v>108</v>
      </c>
      <c r="H4856" t="s">
        <v>30273</v>
      </c>
      <c r="I4856" t="s">
        <v>453</v>
      </c>
      <c r="J4856" t="s">
        <v>111</v>
      </c>
      <c r="K4856" t="str">
        <f>"85383"</f>
        <v>85383</v>
      </c>
      <c r="L4856" t="s">
        <v>5893</v>
      </c>
      <c r="M4856" t="s">
        <v>30273</v>
      </c>
      <c r="N4856" t="s">
        <v>453</v>
      </c>
      <c r="O4856" t="s">
        <v>111</v>
      </c>
      <c r="P4856" t="str">
        <f>"85383-3422"</f>
        <v>85383-3422</v>
      </c>
      <c r="Q4856" t="s">
        <v>113</v>
      </c>
      <c r="R4856" t="str">
        <f>"510-01-068"</f>
        <v>510-01-068</v>
      </c>
      <c r="S4856" t="s">
        <v>30274</v>
      </c>
      <c r="T4856" t="s">
        <v>30275</v>
      </c>
      <c r="U4856">
        <v>3386</v>
      </c>
      <c r="V4856">
        <v>0</v>
      </c>
      <c r="W4856">
        <v>4</v>
      </c>
      <c r="X4856">
        <v>2004</v>
      </c>
      <c r="Z4856">
        <v>1</v>
      </c>
      <c r="AB4856">
        <v>0</v>
      </c>
      <c r="AC4856" t="s">
        <v>115</v>
      </c>
      <c r="AD4856">
        <v>3</v>
      </c>
      <c r="AE4856" t="s">
        <v>115</v>
      </c>
      <c r="AF4856">
        <v>0</v>
      </c>
      <c r="AG4856">
        <v>0</v>
      </c>
      <c r="AH4856" t="s">
        <v>116</v>
      </c>
      <c r="AI4856" s="1">
        <v>80485</v>
      </c>
      <c r="AJ4856" s="2">
        <v>0.17</v>
      </c>
      <c r="AK4856" s="1">
        <v>464645</v>
      </c>
      <c r="AL4856" t="s">
        <v>117</v>
      </c>
      <c r="AM4856" t="s">
        <v>118</v>
      </c>
      <c r="AN4856">
        <v>13132</v>
      </c>
      <c r="AO4856">
        <v>0.3</v>
      </c>
      <c r="AR4856">
        <v>1</v>
      </c>
      <c r="AS4856" s="1">
        <v>34230</v>
      </c>
      <c r="AT4856" s="1">
        <v>6840</v>
      </c>
      <c r="AU4856" s="1">
        <v>27390</v>
      </c>
      <c r="AV4856">
        <v>80.02</v>
      </c>
      <c r="AX4856" s="1">
        <v>4147.28</v>
      </c>
      <c r="AY4856" t="s">
        <v>627</v>
      </c>
      <c r="AZ4856" t="s">
        <v>627</v>
      </c>
      <c r="BA4856" t="s">
        <v>457</v>
      </c>
      <c r="BE4856" s="3">
        <v>42089</v>
      </c>
      <c r="BF4856" s="1">
        <v>378000</v>
      </c>
      <c r="BG4856" t="s">
        <v>30276</v>
      </c>
      <c r="BH4856" s="1">
        <v>111.64</v>
      </c>
      <c r="BI4856" s="1">
        <v>384160</v>
      </c>
      <c r="BJ4856" s="3">
        <v>42613</v>
      </c>
      <c r="BK4856" t="s">
        <v>123</v>
      </c>
      <c r="BL4856" t="str">
        <f>"2016.628166"</f>
        <v>2016.628166</v>
      </c>
      <c r="BM4856" t="s">
        <v>709</v>
      </c>
      <c r="BO4856" t="s">
        <v>30277</v>
      </c>
      <c r="BS4856">
        <v>30</v>
      </c>
      <c r="BW4856" t="str">
        <f>""</f>
        <v/>
      </c>
      <c r="CH4856" t="str">
        <f>""</f>
        <v/>
      </c>
      <c r="CS4856" t="str">
        <f>""</f>
        <v/>
      </c>
    </row>
    <row r="4857" spans="1:97" x14ac:dyDescent="0.25">
      <c r="A4857" t="s">
        <v>27929</v>
      </c>
      <c r="B4857" t="s">
        <v>30278</v>
      </c>
      <c r="C4857" t="s">
        <v>4702</v>
      </c>
      <c r="D4857" t="s">
        <v>30278</v>
      </c>
      <c r="E4857" t="s">
        <v>30279</v>
      </c>
      <c r="F4857" t="s">
        <v>108</v>
      </c>
      <c r="H4857" t="s">
        <v>30280</v>
      </c>
      <c r="I4857" t="s">
        <v>5863</v>
      </c>
      <c r="J4857" t="s">
        <v>111</v>
      </c>
      <c r="K4857" t="str">
        <f>"85375"</f>
        <v>85375</v>
      </c>
      <c r="L4857" t="s">
        <v>6631</v>
      </c>
      <c r="M4857" t="s">
        <v>30280</v>
      </c>
      <c r="N4857" t="s">
        <v>5863</v>
      </c>
      <c r="O4857" t="s">
        <v>111</v>
      </c>
      <c r="P4857" t="str">
        <f>"85375-2736"</f>
        <v>85375-2736</v>
      </c>
      <c r="Q4857" t="s">
        <v>113</v>
      </c>
      <c r="R4857" t="str">
        <f>"232-26-434"</f>
        <v>232-26-434</v>
      </c>
      <c r="S4857" t="s">
        <v>6439</v>
      </c>
      <c r="U4857">
        <v>2272</v>
      </c>
      <c r="V4857">
        <v>0</v>
      </c>
      <c r="W4857">
        <v>3</v>
      </c>
      <c r="X4857">
        <v>1994</v>
      </c>
      <c r="Z4857">
        <v>1</v>
      </c>
      <c r="AB4857">
        <v>0</v>
      </c>
      <c r="AC4857" t="s">
        <v>115</v>
      </c>
      <c r="AD4857">
        <v>3</v>
      </c>
      <c r="AE4857" t="s">
        <v>115</v>
      </c>
      <c r="AF4857">
        <v>0</v>
      </c>
      <c r="AG4857">
        <v>0</v>
      </c>
      <c r="AH4857" t="s">
        <v>116</v>
      </c>
      <c r="AI4857" s="1">
        <v>62496</v>
      </c>
      <c r="AJ4857" s="2">
        <v>0.19</v>
      </c>
      <c r="AK4857" s="1">
        <v>337496</v>
      </c>
      <c r="AL4857" t="s">
        <v>117</v>
      </c>
      <c r="AM4857" t="s">
        <v>191</v>
      </c>
      <c r="AN4857">
        <v>12738</v>
      </c>
      <c r="AO4857">
        <v>0.28999999999999998</v>
      </c>
      <c r="AP4857">
        <v>1</v>
      </c>
      <c r="AR4857">
        <v>1</v>
      </c>
      <c r="AS4857" s="1">
        <v>22810</v>
      </c>
      <c r="AT4857" s="1">
        <v>4560</v>
      </c>
      <c r="AU4857" s="1">
        <v>18250</v>
      </c>
      <c r="AV4857">
        <v>80.010000000000005</v>
      </c>
      <c r="AX4857" s="1">
        <v>2768.88</v>
      </c>
      <c r="AY4857" t="s">
        <v>5108</v>
      </c>
      <c r="AZ4857" t="s">
        <v>5108</v>
      </c>
      <c r="BA4857" t="s">
        <v>5109</v>
      </c>
      <c r="BE4857" s="3">
        <v>42514</v>
      </c>
      <c r="BF4857" s="1">
        <v>275000</v>
      </c>
      <c r="BG4857" t="s">
        <v>30281</v>
      </c>
      <c r="BH4857" s="1">
        <v>121.04</v>
      </c>
      <c r="BI4857" s="1">
        <v>275000</v>
      </c>
      <c r="BJ4857" s="3">
        <v>42514</v>
      </c>
      <c r="BK4857" t="s">
        <v>123</v>
      </c>
      <c r="BL4857" t="str">
        <f>"2016.355058"</f>
        <v>2016.355058</v>
      </c>
      <c r="BM4857" t="s">
        <v>8868</v>
      </c>
      <c r="BO4857" t="s">
        <v>30282</v>
      </c>
      <c r="BS4857">
        <v>30</v>
      </c>
      <c r="BW4857" t="str">
        <f>""</f>
        <v/>
      </c>
      <c r="CH4857" t="str">
        <f>""</f>
        <v/>
      </c>
      <c r="CS4857" t="str">
        <f>""</f>
        <v/>
      </c>
    </row>
    <row r="4858" spans="1:97" x14ac:dyDescent="0.25">
      <c r="B4858" t="s">
        <v>30283</v>
      </c>
      <c r="C4858" t="s">
        <v>1995</v>
      </c>
      <c r="E4858" t="s">
        <v>30284</v>
      </c>
      <c r="F4858" t="s">
        <v>108</v>
      </c>
      <c r="H4858" t="s">
        <v>30285</v>
      </c>
      <c r="I4858" t="s">
        <v>2874</v>
      </c>
      <c r="J4858" t="s">
        <v>111</v>
      </c>
      <c r="K4858" t="str">
        <f>"85308"</f>
        <v>85308</v>
      </c>
      <c r="L4858" t="s">
        <v>541</v>
      </c>
      <c r="M4858" t="s">
        <v>30285</v>
      </c>
      <c r="N4858" t="s">
        <v>2874</v>
      </c>
      <c r="O4858" t="s">
        <v>111</v>
      </c>
      <c r="P4858" t="str">
        <f>"85308-9547"</f>
        <v>85308-9547</v>
      </c>
      <c r="Q4858" t="s">
        <v>113</v>
      </c>
      <c r="R4858" t="str">
        <f>"231-23-095"</f>
        <v>231-23-095</v>
      </c>
      <c r="S4858" t="s">
        <v>9024</v>
      </c>
      <c r="T4858" t="s">
        <v>9025</v>
      </c>
      <c r="U4858">
        <v>2788</v>
      </c>
      <c r="V4858">
        <v>0</v>
      </c>
      <c r="W4858">
        <v>4</v>
      </c>
      <c r="X4858">
        <v>1999</v>
      </c>
      <c r="Z4858">
        <v>1</v>
      </c>
      <c r="AA4858" t="s">
        <v>26</v>
      </c>
      <c r="AB4858">
        <v>0</v>
      </c>
      <c r="AC4858" t="s">
        <v>115</v>
      </c>
      <c r="AD4858">
        <v>3</v>
      </c>
      <c r="AE4858" t="s">
        <v>115</v>
      </c>
      <c r="AF4858">
        <v>0</v>
      </c>
      <c r="AG4858">
        <v>0</v>
      </c>
      <c r="AH4858" t="s">
        <v>116</v>
      </c>
      <c r="AI4858" s="1">
        <v>242335</v>
      </c>
      <c r="AJ4858" s="2">
        <v>0.51</v>
      </c>
      <c r="AK4858" s="1">
        <v>474760</v>
      </c>
      <c r="AL4858" t="s">
        <v>117</v>
      </c>
      <c r="AM4858" t="s">
        <v>191</v>
      </c>
      <c r="AN4858">
        <v>11645</v>
      </c>
      <c r="AO4858">
        <v>0.27</v>
      </c>
      <c r="AP4858">
        <v>1</v>
      </c>
      <c r="AR4858">
        <v>1</v>
      </c>
      <c r="AS4858" s="1">
        <v>35730</v>
      </c>
      <c r="AT4858" s="1">
        <v>7140</v>
      </c>
      <c r="AU4858" s="1">
        <v>28590</v>
      </c>
      <c r="AV4858">
        <v>80.02</v>
      </c>
      <c r="AX4858" s="1">
        <v>3616.88</v>
      </c>
      <c r="AY4858" t="s">
        <v>8358</v>
      </c>
      <c r="AZ4858" t="s">
        <v>8358</v>
      </c>
      <c r="BA4858" t="s">
        <v>2223</v>
      </c>
      <c r="BB4858" s="3">
        <v>43775</v>
      </c>
      <c r="BC4858" s="1">
        <v>0</v>
      </c>
      <c r="BD4858" t="s">
        <v>247</v>
      </c>
      <c r="BE4858" s="3">
        <v>42356</v>
      </c>
      <c r="BF4858" s="1">
        <v>389000</v>
      </c>
      <c r="BG4858" t="s">
        <v>30286</v>
      </c>
      <c r="BH4858" s="1">
        <v>139.53</v>
      </c>
      <c r="BI4858" s="1">
        <v>232425</v>
      </c>
      <c r="BJ4858" s="3">
        <v>43292</v>
      </c>
      <c r="BK4858" t="s">
        <v>123</v>
      </c>
      <c r="BL4858" t="str">
        <f>"2018.524993"</f>
        <v>2018.524993</v>
      </c>
      <c r="BM4858" t="s">
        <v>20846</v>
      </c>
      <c r="BN4858" t="s">
        <v>20847</v>
      </c>
      <c r="BO4858" t="s">
        <v>30287</v>
      </c>
      <c r="BP4858" t="s">
        <v>30288</v>
      </c>
      <c r="BR4858" t="s">
        <v>139</v>
      </c>
      <c r="BW4858" t="str">
        <f>""</f>
        <v/>
      </c>
      <c r="CH4858" t="str">
        <f>""</f>
        <v/>
      </c>
      <c r="CS4858" t="str">
        <f>""</f>
        <v/>
      </c>
    </row>
    <row r="4859" spans="1:97" x14ac:dyDescent="0.25">
      <c r="A4859" t="s">
        <v>2374</v>
      </c>
      <c r="B4859" t="s">
        <v>23020</v>
      </c>
      <c r="C4859" t="s">
        <v>327</v>
      </c>
      <c r="D4859" t="s">
        <v>23020</v>
      </c>
      <c r="E4859" t="s">
        <v>30289</v>
      </c>
      <c r="F4859" t="s">
        <v>108</v>
      </c>
      <c r="H4859" t="s">
        <v>30290</v>
      </c>
      <c r="I4859" t="s">
        <v>188</v>
      </c>
      <c r="J4859" t="s">
        <v>111</v>
      </c>
      <c r="K4859" t="str">
        <f>"85142"</f>
        <v>85142</v>
      </c>
      <c r="L4859" t="s">
        <v>3161</v>
      </c>
      <c r="M4859" t="s">
        <v>30290</v>
      </c>
      <c r="N4859" t="s">
        <v>188</v>
      </c>
      <c r="O4859" t="s">
        <v>111</v>
      </c>
      <c r="P4859" t="str">
        <f>"85142-7725"</f>
        <v>85142-7725</v>
      </c>
      <c r="Q4859" t="s">
        <v>113</v>
      </c>
      <c r="R4859" t="str">
        <f>"314-05-937"</f>
        <v>314-05-937</v>
      </c>
      <c r="S4859" t="s">
        <v>13083</v>
      </c>
      <c r="T4859" t="s">
        <v>691</v>
      </c>
      <c r="U4859">
        <v>2712</v>
      </c>
      <c r="V4859">
        <v>0</v>
      </c>
      <c r="W4859">
        <v>5</v>
      </c>
      <c r="X4859">
        <v>2015</v>
      </c>
      <c r="Z4859">
        <v>1</v>
      </c>
      <c r="AB4859">
        <v>0</v>
      </c>
      <c r="AC4859" t="s">
        <v>115</v>
      </c>
      <c r="AD4859">
        <v>2</v>
      </c>
      <c r="AE4859" t="s">
        <v>115</v>
      </c>
      <c r="AF4859">
        <v>0</v>
      </c>
      <c r="AG4859">
        <v>0</v>
      </c>
      <c r="AH4859" t="s">
        <v>116</v>
      </c>
      <c r="AI4859" s="1">
        <v>116244</v>
      </c>
      <c r="AJ4859" s="2">
        <v>0.28000000000000003</v>
      </c>
      <c r="AK4859" s="1">
        <v>421750</v>
      </c>
      <c r="AL4859" t="s">
        <v>117</v>
      </c>
      <c r="AM4859" t="s">
        <v>393</v>
      </c>
      <c r="AN4859">
        <v>9487</v>
      </c>
      <c r="AO4859">
        <v>0.22</v>
      </c>
      <c r="AR4859">
        <v>1</v>
      </c>
      <c r="AS4859" s="1">
        <v>29320</v>
      </c>
      <c r="AT4859" s="1">
        <v>5860</v>
      </c>
      <c r="AU4859" s="1">
        <v>23460</v>
      </c>
      <c r="AV4859">
        <v>80.010000000000005</v>
      </c>
      <c r="AX4859" s="1">
        <v>2959.16</v>
      </c>
      <c r="AY4859" t="s">
        <v>192</v>
      </c>
      <c r="AZ4859" t="s">
        <v>193</v>
      </c>
      <c r="BA4859" t="s">
        <v>194</v>
      </c>
      <c r="BB4859" s="3">
        <v>42227</v>
      </c>
      <c r="BD4859" t="s">
        <v>458</v>
      </c>
      <c r="BE4859" s="3">
        <v>42205</v>
      </c>
      <c r="BF4859" s="1">
        <v>291410</v>
      </c>
      <c r="BG4859" t="s">
        <v>275</v>
      </c>
      <c r="BH4859" s="1">
        <v>107.45</v>
      </c>
      <c r="BI4859" s="1">
        <v>270406</v>
      </c>
      <c r="BJ4859" s="3">
        <v>42205</v>
      </c>
      <c r="BK4859" t="s">
        <v>123</v>
      </c>
      <c r="BL4859" t="str">
        <f>"2015.519753"</f>
        <v>2015.519753</v>
      </c>
      <c r="BM4859" t="s">
        <v>651</v>
      </c>
      <c r="BO4859" t="s">
        <v>30291</v>
      </c>
      <c r="BS4859">
        <v>30</v>
      </c>
      <c r="BT4859" s="1">
        <v>35100</v>
      </c>
      <c r="BU4859" s="3">
        <v>43010</v>
      </c>
      <c r="BV4859" t="s">
        <v>134</v>
      </c>
      <c r="BW4859" t="str">
        <f>"2017.728343"</f>
        <v>2017.728343</v>
      </c>
      <c r="BX4859" t="s">
        <v>4945</v>
      </c>
      <c r="BZ4859" t="s">
        <v>30292</v>
      </c>
      <c r="CD4859">
        <v>15</v>
      </c>
      <c r="CH4859" t="str">
        <f>""</f>
        <v/>
      </c>
      <c r="CS4859" t="str">
        <f>""</f>
        <v/>
      </c>
    </row>
    <row r="4860" spans="1:97" x14ac:dyDescent="0.25">
      <c r="A4860" t="s">
        <v>1421</v>
      </c>
      <c r="B4860" t="s">
        <v>2428</v>
      </c>
      <c r="C4860" t="s">
        <v>30293</v>
      </c>
      <c r="D4860" t="s">
        <v>2428</v>
      </c>
      <c r="E4860" t="s">
        <v>30294</v>
      </c>
      <c r="F4860" t="s">
        <v>108</v>
      </c>
      <c r="H4860" t="s">
        <v>30295</v>
      </c>
      <c r="I4860" t="s">
        <v>225</v>
      </c>
      <c r="J4860" t="s">
        <v>111</v>
      </c>
      <c r="K4860" t="str">
        <f>"85203"</f>
        <v>85203</v>
      </c>
      <c r="L4860" t="s">
        <v>5709</v>
      </c>
      <c r="M4860" t="s">
        <v>30295</v>
      </c>
      <c r="N4860" t="s">
        <v>225</v>
      </c>
      <c r="O4860" t="s">
        <v>111</v>
      </c>
      <c r="P4860" t="str">
        <f>"85203-3842"</f>
        <v>85203-3842</v>
      </c>
      <c r="Q4860" t="s">
        <v>113</v>
      </c>
      <c r="R4860" t="str">
        <f>"136-27-800"</f>
        <v>136-27-800</v>
      </c>
      <c r="S4860" t="s">
        <v>30296</v>
      </c>
      <c r="T4860" t="s">
        <v>15725</v>
      </c>
      <c r="U4860">
        <v>1896</v>
      </c>
      <c r="V4860">
        <v>0</v>
      </c>
      <c r="W4860">
        <v>3</v>
      </c>
      <c r="X4860">
        <v>1978</v>
      </c>
      <c r="Z4860">
        <v>1</v>
      </c>
      <c r="AA4860" t="s">
        <v>26</v>
      </c>
      <c r="AB4860">
        <v>0</v>
      </c>
      <c r="AC4860" t="s">
        <v>115</v>
      </c>
      <c r="AD4860">
        <v>2</v>
      </c>
      <c r="AE4860" t="s">
        <v>115</v>
      </c>
      <c r="AF4860">
        <v>0</v>
      </c>
      <c r="AG4860">
        <v>0</v>
      </c>
      <c r="AH4860" t="s">
        <v>116</v>
      </c>
      <c r="AI4860" s="1">
        <v>69024</v>
      </c>
      <c r="AJ4860" s="2">
        <v>0.2</v>
      </c>
      <c r="AK4860" s="1">
        <v>338336</v>
      </c>
      <c r="AL4860" t="s">
        <v>117</v>
      </c>
      <c r="AM4860" t="s">
        <v>917</v>
      </c>
      <c r="AN4860">
        <v>12036</v>
      </c>
      <c r="AO4860">
        <v>0.28000000000000003</v>
      </c>
      <c r="AP4860">
        <v>1</v>
      </c>
      <c r="AR4860">
        <v>1</v>
      </c>
      <c r="AS4860" s="1">
        <v>24310</v>
      </c>
      <c r="AT4860" s="1">
        <v>4860</v>
      </c>
      <c r="AU4860" s="1">
        <v>19450</v>
      </c>
      <c r="AV4860">
        <v>80.010000000000005</v>
      </c>
      <c r="AX4860" s="1">
        <v>1859.8</v>
      </c>
      <c r="AY4860" t="s">
        <v>6401</v>
      </c>
      <c r="AZ4860" t="s">
        <v>4163</v>
      </c>
      <c r="BA4860" t="s">
        <v>1524</v>
      </c>
      <c r="BE4860" s="3">
        <v>42429</v>
      </c>
      <c r="BF4860" s="1">
        <v>260000</v>
      </c>
      <c r="BG4860" t="s">
        <v>30297</v>
      </c>
      <c r="BH4860" s="1">
        <v>137.13</v>
      </c>
      <c r="BI4860" s="1">
        <v>269312</v>
      </c>
      <c r="BJ4860" s="3">
        <v>42822</v>
      </c>
      <c r="BK4860" t="s">
        <v>123</v>
      </c>
      <c r="BL4860" t="str">
        <f>"2017.215855"</f>
        <v>2017.215855</v>
      </c>
      <c r="BM4860" t="s">
        <v>699</v>
      </c>
      <c r="BO4860" t="s">
        <v>30298</v>
      </c>
      <c r="BS4860">
        <v>30</v>
      </c>
      <c r="BW4860" t="str">
        <f>""</f>
        <v/>
      </c>
      <c r="CH4860" t="str">
        <f>""</f>
        <v/>
      </c>
      <c r="CS4860" t="str">
        <f>""</f>
        <v/>
      </c>
    </row>
    <row r="4861" spans="1:97" x14ac:dyDescent="0.25">
      <c r="A4861" t="s">
        <v>695</v>
      </c>
      <c r="B4861" t="s">
        <v>3333</v>
      </c>
      <c r="E4861" t="s">
        <v>30299</v>
      </c>
      <c r="F4861" t="s">
        <v>108</v>
      </c>
      <c r="H4861" t="s">
        <v>30300</v>
      </c>
      <c r="I4861" t="s">
        <v>225</v>
      </c>
      <c r="J4861" t="s">
        <v>111</v>
      </c>
      <c r="K4861" t="str">
        <f>"85206"</f>
        <v>85206</v>
      </c>
      <c r="L4861" t="s">
        <v>11566</v>
      </c>
      <c r="M4861" t="s">
        <v>30300</v>
      </c>
      <c r="N4861" t="s">
        <v>225</v>
      </c>
      <c r="O4861" t="s">
        <v>111</v>
      </c>
      <c r="P4861" t="str">
        <f>"85206-1123"</f>
        <v>85206-1123</v>
      </c>
      <c r="Q4861" t="s">
        <v>113</v>
      </c>
      <c r="R4861" t="str">
        <f>"140-30-225"</f>
        <v>140-30-225</v>
      </c>
      <c r="S4861" t="s">
        <v>30301</v>
      </c>
      <c r="T4861" t="s">
        <v>30302</v>
      </c>
      <c r="U4861">
        <v>2050</v>
      </c>
      <c r="V4861">
        <v>0</v>
      </c>
      <c r="W4861">
        <v>4</v>
      </c>
      <c r="X4861">
        <v>1992</v>
      </c>
      <c r="Z4861">
        <v>2</v>
      </c>
      <c r="AA4861" t="s">
        <v>26</v>
      </c>
      <c r="AB4861">
        <v>0</v>
      </c>
      <c r="AC4861" t="s">
        <v>115</v>
      </c>
      <c r="AD4861">
        <v>2</v>
      </c>
      <c r="AE4861" t="s">
        <v>115</v>
      </c>
      <c r="AF4861">
        <v>0</v>
      </c>
      <c r="AG4861">
        <v>0</v>
      </c>
      <c r="AH4861" t="s">
        <v>116</v>
      </c>
      <c r="AI4861" s="1">
        <v>71869</v>
      </c>
      <c r="AJ4861" s="2">
        <v>0.22</v>
      </c>
      <c r="AK4861" s="1">
        <v>321216</v>
      </c>
      <c r="AL4861" t="s">
        <v>117</v>
      </c>
      <c r="AM4861" t="s">
        <v>191</v>
      </c>
      <c r="AN4861">
        <v>7592</v>
      </c>
      <c r="AO4861">
        <v>0.17</v>
      </c>
      <c r="AP4861">
        <v>1</v>
      </c>
      <c r="AR4861">
        <v>1</v>
      </c>
      <c r="AS4861" s="1">
        <v>22550</v>
      </c>
      <c r="AT4861" s="1">
        <v>4510</v>
      </c>
      <c r="AU4861" s="1">
        <v>18040</v>
      </c>
      <c r="AV4861">
        <v>80</v>
      </c>
      <c r="AX4861" s="1">
        <v>1591.1</v>
      </c>
      <c r="AY4861" t="s">
        <v>6934</v>
      </c>
      <c r="AZ4861" t="s">
        <v>5158</v>
      </c>
      <c r="BA4861" t="s">
        <v>5159</v>
      </c>
      <c r="BE4861" s="3">
        <v>42241</v>
      </c>
      <c r="BF4861" s="1">
        <v>245000</v>
      </c>
      <c r="BG4861" t="s">
        <v>30303</v>
      </c>
      <c r="BH4861" s="1">
        <v>119.51</v>
      </c>
      <c r="BI4861" s="1">
        <v>249347</v>
      </c>
      <c r="BJ4861" s="3">
        <v>42817</v>
      </c>
      <c r="BK4861" t="s">
        <v>123</v>
      </c>
      <c r="BL4861" t="str">
        <f>"2017.204396"</f>
        <v>2017.204396</v>
      </c>
      <c r="BM4861" t="s">
        <v>402</v>
      </c>
      <c r="BO4861" t="s">
        <v>30304</v>
      </c>
      <c r="BS4861">
        <v>28</v>
      </c>
      <c r="BW4861" t="str">
        <f>""</f>
        <v/>
      </c>
      <c r="CH4861" t="str">
        <f>""</f>
        <v/>
      </c>
      <c r="CS4861" t="str">
        <f>""</f>
        <v/>
      </c>
    </row>
    <row r="4862" spans="1:97" x14ac:dyDescent="0.25">
      <c r="A4862" t="s">
        <v>1009</v>
      </c>
      <c r="B4862" t="s">
        <v>30305</v>
      </c>
      <c r="C4862" t="s">
        <v>817</v>
      </c>
      <c r="D4862" t="s">
        <v>30305</v>
      </c>
      <c r="E4862" t="s">
        <v>30306</v>
      </c>
      <c r="F4862" t="s">
        <v>108</v>
      </c>
      <c r="H4862" t="s">
        <v>30307</v>
      </c>
      <c r="I4862" t="s">
        <v>110</v>
      </c>
      <c r="J4862" t="s">
        <v>111</v>
      </c>
      <c r="K4862" t="str">
        <f>"85249"</f>
        <v>85249</v>
      </c>
      <c r="L4862" t="s">
        <v>7235</v>
      </c>
      <c r="M4862" t="s">
        <v>30307</v>
      </c>
      <c r="N4862" t="s">
        <v>110</v>
      </c>
      <c r="O4862" t="s">
        <v>111</v>
      </c>
      <c r="P4862" t="str">
        <f>"85249-2990"</f>
        <v>85249-2990</v>
      </c>
      <c r="Q4862" t="s">
        <v>113</v>
      </c>
      <c r="R4862" t="str">
        <f>"303-44-356"</f>
        <v>303-44-356</v>
      </c>
      <c r="S4862" t="s">
        <v>30308</v>
      </c>
      <c r="T4862" t="s">
        <v>30308</v>
      </c>
      <c r="U4862">
        <v>3338</v>
      </c>
      <c r="V4862">
        <v>0</v>
      </c>
      <c r="W4862">
        <v>5</v>
      </c>
      <c r="X4862">
        <v>2003</v>
      </c>
      <c r="Z4862">
        <v>2</v>
      </c>
      <c r="AB4862">
        <v>0</v>
      </c>
      <c r="AC4862" t="s">
        <v>115</v>
      </c>
      <c r="AD4862">
        <v>3</v>
      </c>
      <c r="AE4862" t="s">
        <v>115</v>
      </c>
      <c r="AF4862">
        <v>0</v>
      </c>
      <c r="AG4862">
        <v>0</v>
      </c>
      <c r="AH4862" t="s">
        <v>116</v>
      </c>
      <c r="AI4862" s="1">
        <v>100070</v>
      </c>
      <c r="AJ4862" s="2">
        <v>0.19</v>
      </c>
      <c r="AK4862" s="1">
        <v>513266</v>
      </c>
      <c r="AL4862" t="s">
        <v>117</v>
      </c>
      <c r="AM4862" t="s">
        <v>118</v>
      </c>
      <c r="AN4862">
        <v>10462</v>
      </c>
      <c r="AO4862">
        <v>0.24</v>
      </c>
      <c r="AP4862">
        <v>1</v>
      </c>
      <c r="AR4862">
        <v>1</v>
      </c>
      <c r="AS4862" s="1">
        <v>34530</v>
      </c>
      <c r="AT4862" s="1">
        <v>6900</v>
      </c>
      <c r="AU4862" s="1">
        <v>27630</v>
      </c>
      <c r="AV4862">
        <v>80.02</v>
      </c>
      <c r="AX4862" s="1">
        <v>3163.42</v>
      </c>
      <c r="AY4862" t="s">
        <v>3699</v>
      </c>
      <c r="AZ4862" t="s">
        <v>120</v>
      </c>
      <c r="BA4862" t="s">
        <v>303</v>
      </c>
      <c r="BE4862" s="3">
        <v>41933</v>
      </c>
      <c r="BF4862" s="1">
        <v>404500</v>
      </c>
      <c r="BG4862" t="s">
        <v>30309</v>
      </c>
      <c r="BH4862" s="1">
        <v>121.18</v>
      </c>
      <c r="BI4862" s="1">
        <v>413196</v>
      </c>
      <c r="BJ4862" s="3">
        <v>41933</v>
      </c>
      <c r="BK4862" t="s">
        <v>123</v>
      </c>
      <c r="BL4862" t="str">
        <f>"2014.696126"</f>
        <v>2014.696126</v>
      </c>
      <c r="BM4862" t="s">
        <v>6784</v>
      </c>
      <c r="BO4862" t="s">
        <v>30310</v>
      </c>
      <c r="BS4862">
        <v>30</v>
      </c>
      <c r="BW4862" t="str">
        <f>""</f>
        <v/>
      </c>
      <c r="CH4862" t="str">
        <f>""</f>
        <v/>
      </c>
      <c r="CS4862" t="str">
        <f>""</f>
        <v/>
      </c>
    </row>
    <row r="4863" spans="1:97" x14ac:dyDescent="0.25">
      <c r="A4863" t="s">
        <v>894</v>
      </c>
      <c r="B4863" t="s">
        <v>22203</v>
      </c>
      <c r="C4863" t="s">
        <v>13507</v>
      </c>
      <c r="D4863" t="s">
        <v>30311</v>
      </c>
      <c r="E4863" t="s">
        <v>30312</v>
      </c>
      <c r="F4863" t="s">
        <v>108</v>
      </c>
      <c r="H4863" t="s">
        <v>30313</v>
      </c>
      <c r="I4863" t="s">
        <v>390</v>
      </c>
      <c r="J4863" t="s">
        <v>111</v>
      </c>
      <c r="K4863" t="str">
        <f>"85048"</f>
        <v>85048</v>
      </c>
      <c r="L4863" t="s">
        <v>5709</v>
      </c>
      <c r="M4863" t="s">
        <v>30313</v>
      </c>
      <c r="N4863" t="s">
        <v>390</v>
      </c>
      <c r="O4863" t="s">
        <v>111</v>
      </c>
      <c r="P4863" t="str">
        <f>"85048-1975"</f>
        <v>85048-1975</v>
      </c>
      <c r="R4863" t="str">
        <f>"300-96-014"</f>
        <v>300-96-014</v>
      </c>
      <c r="S4863" t="s">
        <v>30314</v>
      </c>
      <c r="U4863">
        <v>3111</v>
      </c>
      <c r="V4863">
        <v>0</v>
      </c>
      <c r="W4863">
        <v>4</v>
      </c>
      <c r="X4863">
        <v>1996</v>
      </c>
      <c r="Z4863">
        <v>2</v>
      </c>
      <c r="AA4863" t="s">
        <v>26</v>
      </c>
      <c r="AB4863">
        <v>0</v>
      </c>
      <c r="AC4863" t="s">
        <v>115</v>
      </c>
      <c r="AD4863">
        <v>3</v>
      </c>
      <c r="AE4863" t="s">
        <v>115</v>
      </c>
      <c r="AF4863">
        <v>0</v>
      </c>
      <c r="AG4863">
        <v>0</v>
      </c>
      <c r="AH4863" t="s">
        <v>116</v>
      </c>
      <c r="AI4863" s="1">
        <v>42134</v>
      </c>
      <c r="AJ4863" s="2">
        <v>0.09</v>
      </c>
      <c r="AK4863" s="1">
        <v>483489</v>
      </c>
      <c r="AL4863" t="s">
        <v>117</v>
      </c>
      <c r="AM4863" t="s">
        <v>1315</v>
      </c>
      <c r="AN4863">
        <v>9392</v>
      </c>
      <c r="AO4863">
        <v>0.22</v>
      </c>
      <c r="AP4863">
        <v>1</v>
      </c>
      <c r="AR4863">
        <v>1</v>
      </c>
      <c r="AS4863" s="1">
        <v>36800</v>
      </c>
      <c r="AT4863" s="1">
        <v>7360</v>
      </c>
      <c r="AU4863" s="1">
        <v>29440</v>
      </c>
      <c r="AV4863">
        <v>80</v>
      </c>
      <c r="AX4863" s="1">
        <v>4004.16</v>
      </c>
      <c r="AY4863" t="s">
        <v>2966</v>
      </c>
      <c r="AZ4863" t="s">
        <v>2967</v>
      </c>
      <c r="BA4863" t="s">
        <v>930</v>
      </c>
      <c r="BB4863" s="3">
        <v>42684</v>
      </c>
      <c r="BD4863" t="s">
        <v>458</v>
      </c>
      <c r="BE4863" s="3">
        <v>42531</v>
      </c>
      <c r="BF4863" s="1">
        <v>380000</v>
      </c>
      <c r="BG4863" t="s">
        <v>30315</v>
      </c>
      <c r="BH4863" s="1">
        <v>122.15</v>
      </c>
      <c r="BI4863" s="1">
        <v>389544</v>
      </c>
      <c r="BJ4863" s="3">
        <v>42684</v>
      </c>
      <c r="BK4863" t="s">
        <v>123</v>
      </c>
      <c r="BL4863" t="str">
        <f>"2016.830434"</f>
        <v>2016.830434</v>
      </c>
      <c r="BM4863" t="s">
        <v>255</v>
      </c>
      <c r="BN4863" t="s">
        <v>2398</v>
      </c>
      <c r="BO4863" t="s">
        <v>30316</v>
      </c>
      <c r="BS4863">
        <v>30</v>
      </c>
      <c r="BT4863" s="1">
        <v>51811</v>
      </c>
      <c r="BU4863" s="3">
        <v>43777</v>
      </c>
      <c r="BV4863" t="s">
        <v>134</v>
      </c>
      <c r="BW4863" t="str">
        <f>"2019.900067"</f>
        <v>2019.900067</v>
      </c>
      <c r="BX4863" t="s">
        <v>1639</v>
      </c>
      <c r="BY4863" t="s">
        <v>1640</v>
      </c>
      <c r="BZ4863" t="s">
        <v>30317</v>
      </c>
      <c r="CA4863" t="s">
        <v>30318</v>
      </c>
      <c r="CC4863" t="s">
        <v>139</v>
      </c>
      <c r="CH4863" t="str">
        <f>""</f>
        <v/>
      </c>
      <c r="CS4863" t="str">
        <f>""</f>
        <v/>
      </c>
    </row>
    <row r="4864" spans="1:97" x14ac:dyDescent="0.25">
      <c r="A4864" t="s">
        <v>962</v>
      </c>
      <c r="B4864" t="s">
        <v>30319</v>
      </c>
      <c r="C4864" t="s">
        <v>767</v>
      </c>
      <c r="D4864" t="s">
        <v>30319</v>
      </c>
      <c r="E4864" t="s">
        <v>30320</v>
      </c>
      <c r="F4864" t="s">
        <v>108</v>
      </c>
      <c r="H4864" t="s">
        <v>30321</v>
      </c>
      <c r="I4864" t="s">
        <v>5387</v>
      </c>
      <c r="J4864" t="s">
        <v>111</v>
      </c>
      <c r="K4864" t="str">
        <f>"85283"</f>
        <v>85283</v>
      </c>
      <c r="L4864" t="s">
        <v>15475</v>
      </c>
      <c r="M4864" t="s">
        <v>30321</v>
      </c>
      <c r="N4864" t="s">
        <v>5387</v>
      </c>
      <c r="O4864" t="s">
        <v>111</v>
      </c>
      <c r="P4864" t="str">
        <f>"85283-3370"</f>
        <v>85283-3370</v>
      </c>
      <c r="Q4864" t="s">
        <v>113</v>
      </c>
      <c r="R4864" t="str">
        <f>"301-49-568"</f>
        <v>301-49-568</v>
      </c>
      <c r="S4864" t="s">
        <v>11351</v>
      </c>
      <c r="T4864" t="s">
        <v>11352</v>
      </c>
      <c r="U4864">
        <v>2696</v>
      </c>
      <c r="V4864">
        <v>0</v>
      </c>
      <c r="W4864">
        <v>3</v>
      </c>
      <c r="X4864">
        <v>1992</v>
      </c>
      <c r="Z4864">
        <v>1</v>
      </c>
      <c r="AA4864" t="s">
        <v>26</v>
      </c>
      <c r="AB4864">
        <v>0</v>
      </c>
      <c r="AC4864" t="s">
        <v>115</v>
      </c>
      <c r="AD4864">
        <v>2</v>
      </c>
      <c r="AE4864" t="s">
        <v>115</v>
      </c>
      <c r="AF4864">
        <v>0</v>
      </c>
      <c r="AG4864">
        <v>0</v>
      </c>
      <c r="AH4864" t="s">
        <v>116</v>
      </c>
      <c r="AI4864" s="1">
        <v>85409</v>
      </c>
      <c r="AJ4864" s="2">
        <v>0.19</v>
      </c>
      <c r="AK4864" s="1">
        <v>459431</v>
      </c>
      <c r="AL4864" t="s">
        <v>117</v>
      </c>
      <c r="AM4864" t="s">
        <v>393</v>
      </c>
      <c r="AN4864">
        <v>9496</v>
      </c>
      <c r="AO4864">
        <v>0.22</v>
      </c>
      <c r="AP4864">
        <v>1</v>
      </c>
      <c r="AR4864">
        <v>1</v>
      </c>
      <c r="AS4864" s="1">
        <v>34610</v>
      </c>
      <c r="AT4864" s="1">
        <v>6920</v>
      </c>
      <c r="AU4864" s="1">
        <v>27690</v>
      </c>
      <c r="AV4864">
        <v>80.010000000000005</v>
      </c>
      <c r="AX4864" s="1">
        <v>3475.82</v>
      </c>
      <c r="AY4864" t="s">
        <v>5390</v>
      </c>
      <c r="AZ4864" t="s">
        <v>5391</v>
      </c>
      <c r="BA4864" t="s">
        <v>5392</v>
      </c>
      <c r="BE4864" s="3">
        <v>42468</v>
      </c>
      <c r="BF4864" s="1">
        <v>381150</v>
      </c>
      <c r="BG4864" t="s">
        <v>30322</v>
      </c>
      <c r="BH4864" s="1">
        <v>141.38</v>
      </c>
      <c r="BI4864" s="1">
        <v>374022</v>
      </c>
      <c r="BJ4864" s="3">
        <v>42468</v>
      </c>
      <c r="BK4864" t="s">
        <v>123</v>
      </c>
      <c r="BL4864" t="str">
        <f>"2016.233235"</f>
        <v>2016.233235</v>
      </c>
      <c r="BM4864" t="s">
        <v>1185</v>
      </c>
      <c r="BO4864" t="s">
        <v>30323</v>
      </c>
      <c r="BS4864">
        <v>30</v>
      </c>
      <c r="BW4864" t="str">
        <f>""</f>
        <v/>
      </c>
      <c r="CH4864" t="str">
        <f>""</f>
        <v/>
      </c>
      <c r="CS4864" t="str">
        <f>""</f>
        <v/>
      </c>
    </row>
    <row r="4865" spans="1:97" x14ac:dyDescent="0.25">
      <c r="A4865" t="s">
        <v>894</v>
      </c>
      <c r="B4865" t="s">
        <v>30324</v>
      </c>
      <c r="C4865" t="s">
        <v>126</v>
      </c>
      <c r="D4865" t="s">
        <v>30324</v>
      </c>
      <c r="E4865" t="s">
        <v>30325</v>
      </c>
      <c r="F4865" t="s">
        <v>108</v>
      </c>
      <c r="H4865" t="s">
        <v>30326</v>
      </c>
      <c r="I4865" t="s">
        <v>203</v>
      </c>
      <c r="J4865" t="s">
        <v>111</v>
      </c>
      <c r="K4865" t="str">
        <f>"85233"</f>
        <v>85233</v>
      </c>
      <c r="L4865" t="s">
        <v>5709</v>
      </c>
      <c r="M4865" t="s">
        <v>30326</v>
      </c>
      <c r="N4865" t="s">
        <v>203</v>
      </c>
      <c r="O4865" t="s">
        <v>111</v>
      </c>
      <c r="P4865" t="str">
        <f>"85233-6348"</f>
        <v>85233-6348</v>
      </c>
      <c r="Q4865" t="s">
        <v>113</v>
      </c>
      <c r="R4865" t="str">
        <f>"302-32-471"</f>
        <v>302-32-471</v>
      </c>
      <c r="S4865" t="s">
        <v>13048</v>
      </c>
      <c r="T4865" t="s">
        <v>13049</v>
      </c>
      <c r="U4865">
        <v>1898</v>
      </c>
      <c r="V4865">
        <v>0</v>
      </c>
      <c r="W4865">
        <v>4</v>
      </c>
      <c r="X4865">
        <v>1988</v>
      </c>
      <c r="Z4865">
        <v>2</v>
      </c>
      <c r="AB4865">
        <v>0</v>
      </c>
      <c r="AC4865" t="s">
        <v>115</v>
      </c>
      <c r="AD4865">
        <v>2</v>
      </c>
      <c r="AE4865" t="s">
        <v>115</v>
      </c>
      <c r="AF4865">
        <v>0</v>
      </c>
      <c r="AG4865">
        <v>0</v>
      </c>
      <c r="AH4865" t="s">
        <v>116</v>
      </c>
      <c r="AI4865" s="1">
        <v>85550</v>
      </c>
      <c r="AJ4865" s="2">
        <v>0.26</v>
      </c>
      <c r="AK4865" s="1">
        <v>330550</v>
      </c>
      <c r="AL4865" t="s">
        <v>117</v>
      </c>
      <c r="AM4865" t="s">
        <v>393</v>
      </c>
      <c r="AN4865">
        <v>5998</v>
      </c>
      <c r="AO4865">
        <v>0.14000000000000001</v>
      </c>
      <c r="AP4865">
        <v>1</v>
      </c>
      <c r="AR4865">
        <v>1</v>
      </c>
      <c r="AS4865" s="1">
        <v>22670</v>
      </c>
      <c r="AT4865" s="1">
        <v>4530</v>
      </c>
      <c r="AU4865" s="1">
        <v>18140</v>
      </c>
      <c r="AV4865">
        <v>80.02</v>
      </c>
      <c r="AX4865" s="1">
        <v>2005.26</v>
      </c>
      <c r="AY4865" t="s">
        <v>5601</v>
      </c>
      <c r="AZ4865" t="s">
        <v>5478</v>
      </c>
      <c r="BA4865" t="s">
        <v>5479</v>
      </c>
      <c r="BE4865" s="3">
        <v>42396</v>
      </c>
      <c r="BF4865" s="1">
        <v>217000</v>
      </c>
      <c r="BG4865" t="s">
        <v>30327</v>
      </c>
      <c r="BH4865" s="1">
        <v>114.33</v>
      </c>
      <c r="BI4865" s="1">
        <v>245000</v>
      </c>
      <c r="BJ4865" s="3">
        <v>42550</v>
      </c>
      <c r="BK4865" t="s">
        <v>123</v>
      </c>
      <c r="BL4865" t="str">
        <f>"2016.454006"</f>
        <v>2016.454006</v>
      </c>
      <c r="BM4865" t="s">
        <v>492</v>
      </c>
      <c r="BO4865" t="s">
        <v>30328</v>
      </c>
      <c r="BS4865">
        <v>30</v>
      </c>
      <c r="BW4865" t="str">
        <f>""</f>
        <v/>
      </c>
      <c r="CH4865" t="str">
        <f>""</f>
        <v/>
      </c>
      <c r="CS4865" t="str">
        <f>""</f>
        <v/>
      </c>
    </row>
    <row r="4866" spans="1:97" x14ac:dyDescent="0.25">
      <c r="A4866" t="s">
        <v>177</v>
      </c>
      <c r="B4866" t="s">
        <v>30329</v>
      </c>
      <c r="C4866" t="s">
        <v>3057</v>
      </c>
      <c r="D4866" t="s">
        <v>30329</v>
      </c>
      <c r="E4866" t="s">
        <v>30330</v>
      </c>
      <c r="F4866" t="s">
        <v>108</v>
      </c>
      <c r="H4866" t="s">
        <v>30331</v>
      </c>
      <c r="I4866" t="s">
        <v>203</v>
      </c>
      <c r="J4866" t="s">
        <v>111</v>
      </c>
      <c r="K4866" t="str">
        <f>"85295"</f>
        <v>85295</v>
      </c>
      <c r="L4866" t="s">
        <v>8435</v>
      </c>
      <c r="M4866" t="s">
        <v>30331</v>
      </c>
      <c r="N4866" t="s">
        <v>203</v>
      </c>
      <c r="O4866" t="s">
        <v>111</v>
      </c>
      <c r="P4866" t="str">
        <f>"85295-3449"</f>
        <v>85295-3449</v>
      </c>
      <c r="Q4866" t="s">
        <v>113</v>
      </c>
      <c r="R4866" t="str">
        <f>"313-11-577"</f>
        <v>313-11-577</v>
      </c>
      <c r="S4866" t="s">
        <v>28747</v>
      </c>
      <c r="U4866">
        <v>1956</v>
      </c>
      <c r="V4866">
        <v>0</v>
      </c>
      <c r="W4866">
        <v>3</v>
      </c>
      <c r="X4866">
        <v>2012</v>
      </c>
      <c r="Z4866">
        <v>2</v>
      </c>
      <c r="AB4866">
        <v>0</v>
      </c>
      <c r="AC4866" t="s">
        <v>115</v>
      </c>
      <c r="AD4866">
        <v>2</v>
      </c>
      <c r="AE4866" t="s">
        <v>115</v>
      </c>
      <c r="AF4866">
        <v>0</v>
      </c>
      <c r="AG4866">
        <v>0</v>
      </c>
      <c r="AH4866" t="s">
        <v>116</v>
      </c>
      <c r="AI4866" s="1">
        <v>11957</v>
      </c>
      <c r="AJ4866" s="2">
        <v>0.04</v>
      </c>
      <c r="AK4866" s="1">
        <v>309537</v>
      </c>
      <c r="AL4866" t="s">
        <v>117</v>
      </c>
      <c r="AM4866" t="s">
        <v>288</v>
      </c>
      <c r="AN4866">
        <v>4398</v>
      </c>
      <c r="AO4866">
        <v>0.1</v>
      </c>
      <c r="AR4866">
        <v>1</v>
      </c>
      <c r="AS4866" s="1">
        <v>21070</v>
      </c>
      <c r="AT4866" s="1">
        <v>4210</v>
      </c>
      <c r="AU4866" s="1">
        <v>16860</v>
      </c>
      <c r="AV4866">
        <v>80.02</v>
      </c>
      <c r="AX4866" s="1">
        <v>1907.96</v>
      </c>
      <c r="AY4866" t="s">
        <v>5094</v>
      </c>
      <c r="AZ4866" t="s">
        <v>5094</v>
      </c>
      <c r="BA4866" t="s">
        <v>473</v>
      </c>
      <c r="BB4866" s="3">
        <v>43509</v>
      </c>
      <c r="BC4866" s="1">
        <v>0</v>
      </c>
      <c r="BD4866" t="s">
        <v>247</v>
      </c>
      <c r="BE4866" s="3">
        <v>42257</v>
      </c>
      <c r="BF4866" s="1">
        <v>238000</v>
      </c>
      <c r="BG4866" t="s">
        <v>30332</v>
      </c>
      <c r="BH4866" s="1">
        <v>121.68</v>
      </c>
      <c r="BI4866" s="1">
        <v>268580</v>
      </c>
      <c r="BJ4866" s="3">
        <v>43056</v>
      </c>
      <c r="BK4866" t="s">
        <v>123</v>
      </c>
      <c r="BL4866" t="str">
        <f>"2017.856377"</f>
        <v>2017.856377</v>
      </c>
      <c r="BM4866" t="s">
        <v>2657</v>
      </c>
      <c r="BN4866">
        <v>92612</v>
      </c>
      <c r="BO4866" t="s">
        <v>30333</v>
      </c>
      <c r="BS4866">
        <v>30</v>
      </c>
      <c r="BT4866" s="1">
        <v>29000</v>
      </c>
      <c r="BU4866" s="3">
        <v>43509</v>
      </c>
      <c r="BV4866" t="s">
        <v>134</v>
      </c>
      <c r="BW4866" t="str">
        <f>"2019.100933"</f>
        <v>2019.100933</v>
      </c>
      <c r="BX4866" t="s">
        <v>1156</v>
      </c>
      <c r="BY4866" t="s">
        <v>1157</v>
      </c>
      <c r="BZ4866" t="s">
        <v>30334</v>
      </c>
      <c r="CA4866" t="s">
        <v>30335</v>
      </c>
      <c r="CC4866" t="s">
        <v>139</v>
      </c>
      <c r="CH4866" t="str">
        <f>""</f>
        <v/>
      </c>
      <c r="CS4866" t="str">
        <f>""</f>
        <v/>
      </c>
    </row>
    <row r="4867" spans="1:97" x14ac:dyDescent="0.25">
      <c r="A4867" t="s">
        <v>30336</v>
      </c>
      <c r="B4867" t="s">
        <v>364</v>
      </c>
      <c r="C4867" t="s">
        <v>1366</v>
      </c>
      <c r="D4867" t="s">
        <v>364</v>
      </c>
      <c r="E4867" t="s">
        <v>30337</v>
      </c>
      <c r="F4867" t="s">
        <v>108</v>
      </c>
      <c r="H4867" t="s">
        <v>30338</v>
      </c>
      <c r="I4867" t="s">
        <v>1788</v>
      </c>
      <c r="J4867" t="s">
        <v>111</v>
      </c>
      <c r="K4867" t="str">
        <f>"85355"</f>
        <v>85355</v>
      </c>
      <c r="L4867" t="s">
        <v>168</v>
      </c>
      <c r="M4867" t="s">
        <v>30338</v>
      </c>
      <c r="N4867" t="s">
        <v>1788</v>
      </c>
      <c r="O4867" t="s">
        <v>111</v>
      </c>
      <c r="P4867" t="str">
        <f>"85355-4339"</f>
        <v>85355-4339</v>
      </c>
      <c r="Q4867" t="s">
        <v>113</v>
      </c>
      <c r="R4867" t="str">
        <f>"502-90-699"</f>
        <v>502-90-699</v>
      </c>
      <c r="S4867" t="s">
        <v>8290</v>
      </c>
      <c r="T4867" t="s">
        <v>8290</v>
      </c>
      <c r="U4867">
        <v>2520</v>
      </c>
      <c r="V4867">
        <v>0</v>
      </c>
      <c r="W4867">
        <v>3</v>
      </c>
      <c r="X4867">
        <v>2014</v>
      </c>
      <c r="Z4867">
        <v>1</v>
      </c>
      <c r="AB4867">
        <v>0</v>
      </c>
      <c r="AC4867" t="s">
        <v>115</v>
      </c>
      <c r="AD4867">
        <v>3</v>
      </c>
      <c r="AE4867" t="s">
        <v>115</v>
      </c>
      <c r="AF4867">
        <v>0</v>
      </c>
      <c r="AG4867">
        <v>0</v>
      </c>
      <c r="AH4867" t="s">
        <v>116</v>
      </c>
      <c r="AI4867" s="1">
        <v>87414</v>
      </c>
      <c r="AJ4867" s="2">
        <v>0.26</v>
      </c>
      <c r="AK4867" s="1">
        <v>331344</v>
      </c>
      <c r="AL4867" t="s">
        <v>117</v>
      </c>
      <c r="AM4867" t="s">
        <v>191</v>
      </c>
      <c r="AN4867">
        <v>8500</v>
      </c>
      <c r="AO4867">
        <v>0.2</v>
      </c>
      <c r="AR4867">
        <v>1</v>
      </c>
      <c r="AS4867" s="1">
        <v>24060</v>
      </c>
      <c r="AT4867" s="1">
        <v>4810</v>
      </c>
      <c r="AU4867" s="1">
        <v>19250</v>
      </c>
      <c r="AV4867">
        <v>80.010000000000005</v>
      </c>
      <c r="AX4867" s="1">
        <v>1698.78</v>
      </c>
      <c r="AY4867" t="s">
        <v>5972</v>
      </c>
      <c r="AZ4867" t="s">
        <v>5972</v>
      </c>
      <c r="BA4867" t="s">
        <v>5061</v>
      </c>
      <c r="BE4867" s="3">
        <v>41773</v>
      </c>
      <c r="BF4867" s="1">
        <v>243930</v>
      </c>
      <c r="BG4867" t="s">
        <v>2289</v>
      </c>
      <c r="BH4867" s="1">
        <v>96.8</v>
      </c>
      <c r="BI4867" s="1">
        <v>243930</v>
      </c>
      <c r="BJ4867" s="3">
        <v>41773</v>
      </c>
      <c r="BK4867" t="s">
        <v>123</v>
      </c>
      <c r="BL4867" t="str">
        <f>"2014.315291"</f>
        <v>2014.315291</v>
      </c>
      <c r="BM4867" t="s">
        <v>475</v>
      </c>
      <c r="BO4867" t="s">
        <v>30339</v>
      </c>
      <c r="BS4867">
        <v>30</v>
      </c>
      <c r="BW4867" t="str">
        <f>""</f>
        <v/>
      </c>
      <c r="CH4867" t="str">
        <f>""</f>
        <v/>
      </c>
      <c r="CS4867" t="str">
        <f>""</f>
        <v/>
      </c>
    </row>
    <row r="4868" spans="1:97" x14ac:dyDescent="0.25">
      <c r="A4868" t="s">
        <v>701</v>
      </c>
      <c r="B4868" t="s">
        <v>30340</v>
      </c>
      <c r="C4868" t="s">
        <v>30341</v>
      </c>
      <c r="D4868" t="s">
        <v>30340</v>
      </c>
      <c r="E4868" t="s">
        <v>30342</v>
      </c>
      <c r="F4868" t="s">
        <v>108</v>
      </c>
      <c r="H4868" t="s">
        <v>30343</v>
      </c>
      <c r="I4868" t="s">
        <v>632</v>
      </c>
      <c r="J4868" t="s">
        <v>111</v>
      </c>
      <c r="K4868" t="str">
        <f>"85388"</f>
        <v>85388</v>
      </c>
      <c r="L4868" t="s">
        <v>5727</v>
      </c>
      <c r="M4868" t="s">
        <v>30343</v>
      </c>
      <c r="N4868" t="s">
        <v>632</v>
      </c>
      <c r="O4868" t="s">
        <v>111</v>
      </c>
      <c r="P4868" t="str">
        <f>"85388-5637"</f>
        <v>85388-5637</v>
      </c>
      <c r="Q4868" t="s">
        <v>113</v>
      </c>
      <c r="R4868" t="str">
        <f>"502-06-179"</f>
        <v>502-06-179</v>
      </c>
      <c r="S4868" t="s">
        <v>5728</v>
      </c>
      <c r="T4868" t="s">
        <v>5167</v>
      </c>
      <c r="U4868">
        <v>2950</v>
      </c>
      <c r="V4868">
        <v>0</v>
      </c>
      <c r="W4868">
        <v>4</v>
      </c>
      <c r="X4868">
        <v>2009</v>
      </c>
      <c r="Z4868">
        <v>2</v>
      </c>
      <c r="AB4868">
        <v>0</v>
      </c>
      <c r="AC4868" t="s">
        <v>115</v>
      </c>
      <c r="AD4868">
        <v>3</v>
      </c>
      <c r="AE4868" t="s">
        <v>115</v>
      </c>
      <c r="AF4868">
        <v>0</v>
      </c>
      <c r="AG4868">
        <v>0</v>
      </c>
      <c r="AH4868" t="s">
        <v>116</v>
      </c>
      <c r="AI4868" s="1">
        <v>81817</v>
      </c>
      <c r="AJ4868" s="2">
        <v>0.25</v>
      </c>
      <c r="AK4868" s="1">
        <v>326874</v>
      </c>
      <c r="AL4868" t="s">
        <v>117</v>
      </c>
      <c r="AM4868" t="s">
        <v>118</v>
      </c>
      <c r="AN4868">
        <v>6904</v>
      </c>
      <c r="AO4868">
        <v>0.16</v>
      </c>
      <c r="AR4868">
        <v>1</v>
      </c>
      <c r="AS4868" s="1">
        <v>22250</v>
      </c>
      <c r="AT4868" s="1">
        <v>4450</v>
      </c>
      <c r="AU4868" s="1">
        <v>17800</v>
      </c>
      <c r="AV4868">
        <v>80</v>
      </c>
      <c r="AX4868" s="1">
        <v>1958.32</v>
      </c>
      <c r="AY4868" t="s">
        <v>5168</v>
      </c>
      <c r="AZ4868" t="s">
        <v>5168</v>
      </c>
      <c r="BA4868" t="s">
        <v>5061</v>
      </c>
      <c r="BE4868" s="3">
        <v>41849</v>
      </c>
      <c r="BF4868" s="1">
        <v>239900</v>
      </c>
      <c r="BG4868" t="s">
        <v>30344</v>
      </c>
      <c r="BH4868" s="1">
        <v>81.319999999999993</v>
      </c>
      <c r="BI4868" s="1">
        <v>245057</v>
      </c>
      <c r="BJ4868" s="3">
        <v>41849</v>
      </c>
      <c r="BK4868" t="s">
        <v>123</v>
      </c>
      <c r="BL4868" t="str">
        <f>"2014.494313"</f>
        <v>2014.494313</v>
      </c>
      <c r="BM4868" t="s">
        <v>1044</v>
      </c>
      <c r="BO4868" t="s">
        <v>30345</v>
      </c>
      <c r="BS4868">
        <v>30</v>
      </c>
      <c r="BW4868" t="str">
        <f>""</f>
        <v/>
      </c>
      <c r="CH4868" t="str">
        <f>""</f>
        <v/>
      </c>
      <c r="CS4868" t="str">
        <f>""</f>
        <v/>
      </c>
    </row>
    <row r="4869" spans="1:97" x14ac:dyDescent="0.25">
      <c r="A4869" t="s">
        <v>894</v>
      </c>
      <c r="B4869" t="s">
        <v>22198</v>
      </c>
      <c r="C4869" t="s">
        <v>2380</v>
      </c>
      <c r="D4869" t="s">
        <v>22198</v>
      </c>
      <c r="E4869" t="s">
        <v>30346</v>
      </c>
      <c r="F4869" t="s">
        <v>108</v>
      </c>
      <c r="H4869" t="s">
        <v>30347</v>
      </c>
      <c r="I4869" t="s">
        <v>188</v>
      </c>
      <c r="J4869" t="s">
        <v>111</v>
      </c>
      <c r="K4869" t="str">
        <f>"85142"</f>
        <v>85142</v>
      </c>
      <c r="L4869" t="s">
        <v>11339</v>
      </c>
      <c r="M4869" t="s">
        <v>30347</v>
      </c>
      <c r="N4869" t="s">
        <v>188</v>
      </c>
      <c r="O4869" t="s">
        <v>111</v>
      </c>
      <c r="P4869" t="str">
        <f>"85142-5961"</f>
        <v>85142-5961</v>
      </c>
      <c r="Q4869" t="s">
        <v>113</v>
      </c>
      <c r="R4869" t="str">
        <f>"304-62-244"</f>
        <v>304-62-244</v>
      </c>
      <c r="S4869" t="s">
        <v>15775</v>
      </c>
      <c r="T4869" t="s">
        <v>15775</v>
      </c>
      <c r="U4869">
        <v>1783</v>
      </c>
      <c r="V4869">
        <v>0</v>
      </c>
      <c r="W4869">
        <v>3</v>
      </c>
      <c r="X4869">
        <v>2010</v>
      </c>
      <c r="Z4869">
        <v>1</v>
      </c>
      <c r="AB4869">
        <v>0</v>
      </c>
      <c r="AC4869" t="s">
        <v>115</v>
      </c>
      <c r="AD4869">
        <v>2</v>
      </c>
      <c r="AE4869" t="s">
        <v>115</v>
      </c>
      <c r="AF4869">
        <v>0</v>
      </c>
      <c r="AG4869">
        <v>0</v>
      </c>
      <c r="AH4869" t="s">
        <v>116</v>
      </c>
      <c r="AI4869" s="1">
        <v>65145</v>
      </c>
      <c r="AJ4869" s="2">
        <v>0.23</v>
      </c>
      <c r="AK4869" s="1">
        <v>278976</v>
      </c>
      <c r="AL4869" t="s">
        <v>117</v>
      </c>
      <c r="AM4869" t="s">
        <v>5379</v>
      </c>
      <c r="AN4869">
        <v>5400</v>
      </c>
      <c r="AO4869">
        <v>0.12</v>
      </c>
      <c r="AR4869">
        <v>1</v>
      </c>
      <c r="AS4869" s="1">
        <v>18570</v>
      </c>
      <c r="AT4869" s="1">
        <v>3710</v>
      </c>
      <c r="AU4869" s="1">
        <v>14860</v>
      </c>
      <c r="AV4869">
        <v>80.02</v>
      </c>
      <c r="AX4869" s="1">
        <v>2106.3000000000002</v>
      </c>
      <c r="AY4869" t="s">
        <v>560</v>
      </c>
      <c r="AZ4869" t="s">
        <v>561</v>
      </c>
      <c r="BA4869" t="s">
        <v>194</v>
      </c>
      <c r="BE4869" s="3">
        <v>42268</v>
      </c>
      <c r="BF4869" s="1">
        <v>207000</v>
      </c>
      <c r="BG4869" t="s">
        <v>30348</v>
      </c>
      <c r="BH4869" s="1">
        <v>116.1</v>
      </c>
      <c r="BI4869" s="1">
        <v>213831</v>
      </c>
      <c r="BJ4869" s="3">
        <v>42268</v>
      </c>
      <c r="BK4869" t="s">
        <v>123</v>
      </c>
      <c r="BL4869" t="str">
        <f>"2015.677248"</f>
        <v>2015.677248</v>
      </c>
      <c r="BM4869" t="s">
        <v>11704</v>
      </c>
      <c r="BO4869" t="s">
        <v>30349</v>
      </c>
      <c r="BS4869">
        <v>30</v>
      </c>
      <c r="BW4869" t="str">
        <f>""</f>
        <v/>
      </c>
      <c r="CH4869" t="str">
        <f>""</f>
        <v/>
      </c>
      <c r="CS4869" t="str">
        <f>""</f>
        <v/>
      </c>
    </row>
    <row r="4870" spans="1:97" x14ac:dyDescent="0.25">
      <c r="B4870" t="s">
        <v>30350</v>
      </c>
      <c r="C4870" t="s">
        <v>2793</v>
      </c>
      <c r="E4870" t="s">
        <v>30351</v>
      </c>
      <c r="F4870" t="s">
        <v>139</v>
      </c>
      <c r="H4870" t="s">
        <v>30352</v>
      </c>
      <c r="I4870" t="s">
        <v>110</v>
      </c>
      <c r="J4870" t="s">
        <v>111</v>
      </c>
      <c r="K4870" t="str">
        <f>"85224"</f>
        <v>85224</v>
      </c>
      <c r="L4870" t="s">
        <v>9597</v>
      </c>
      <c r="M4870" t="s">
        <v>30353</v>
      </c>
      <c r="N4870" t="s">
        <v>110</v>
      </c>
      <c r="O4870" t="s">
        <v>111</v>
      </c>
      <c r="P4870" t="str">
        <f>"85224-1733"</f>
        <v>85224-1733</v>
      </c>
      <c r="Q4870" t="s">
        <v>113</v>
      </c>
      <c r="R4870" t="str">
        <f>"302-79-552"</f>
        <v>302-79-552</v>
      </c>
      <c r="S4870" t="s">
        <v>30354</v>
      </c>
      <c r="T4870" t="s">
        <v>30355</v>
      </c>
      <c r="U4870">
        <v>1468</v>
      </c>
      <c r="V4870">
        <v>0</v>
      </c>
      <c r="W4870">
        <v>2</v>
      </c>
      <c r="X4870">
        <v>1984</v>
      </c>
      <c r="Z4870">
        <v>1</v>
      </c>
      <c r="AA4870" t="s">
        <v>26</v>
      </c>
      <c r="AB4870">
        <v>0</v>
      </c>
      <c r="AC4870" t="s">
        <v>115</v>
      </c>
      <c r="AD4870">
        <v>2</v>
      </c>
      <c r="AE4870" t="s">
        <v>115</v>
      </c>
      <c r="AF4870">
        <v>0</v>
      </c>
      <c r="AG4870">
        <v>0</v>
      </c>
      <c r="AH4870" t="s">
        <v>116</v>
      </c>
      <c r="AI4870" s="1">
        <v>31698</v>
      </c>
      <c r="AJ4870" s="2">
        <v>0.11</v>
      </c>
      <c r="AK4870" s="1">
        <v>283698</v>
      </c>
      <c r="AL4870" t="s">
        <v>117</v>
      </c>
      <c r="AM4870" t="s">
        <v>5077</v>
      </c>
      <c r="AN4870">
        <v>9666</v>
      </c>
      <c r="AO4870">
        <v>0.22</v>
      </c>
      <c r="AP4870">
        <v>1</v>
      </c>
      <c r="AR4870">
        <v>1</v>
      </c>
      <c r="AS4870" s="1">
        <v>19720</v>
      </c>
      <c r="AT4870" s="1">
        <v>3940</v>
      </c>
      <c r="AU4870" s="1">
        <v>15780</v>
      </c>
      <c r="AV4870">
        <v>80.02</v>
      </c>
      <c r="AX4870" s="1">
        <v>1276.58</v>
      </c>
      <c r="AY4870" t="s">
        <v>6879</v>
      </c>
      <c r="AZ4870" t="s">
        <v>6879</v>
      </c>
      <c r="BA4870" t="s">
        <v>5311</v>
      </c>
      <c r="BB4870" s="3">
        <v>43293</v>
      </c>
      <c r="BC4870" s="1">
        <v>0</v>
      </c>
      <c r="BD4870" t="s">
        <v>247</v>
      </c>
      <c r="BE4870" s="3">
        <v>41760</v>
      </c>
      <c r="BF4870" s="1">
        <v>201000</v>
      </c>
      <c r="BG4870" t="s">
        <v>30356</v>
      </c>
      <c r="BH4870" s="1">
        <v>136.91999999999999</v>
      </c>
      <c r="BI4870" s="1">
        <v>252000</v>
      </c>
      <c r="BJ4870" s="3">
        <v>42809</v>
      </c>
      <c r="BK4870" t="s">
        <v>123</v>
      </c>
      <c r="BL4870" t="str">
        <f>"2017.184169"</f>
        <v>2017.184169</v>
      </c>
      <c r="BM4870" t="s">
        <v>1135</v>
      </c>
      <c r="BN4870" t="s">
        <v>1136</v>
      </c>
      <c r="BO4870" t="s">
        <v>30357</v>
      </c>
      <c r="BS4870">
        <v>30</v>
      </c>
      <c r="BW4870" t="str">
        <f>""</f>
        <v/>
      </c>
      <c r="CH4870" t="str">
        <f>""</f>
        <v/>
      </c>
      <c r="CS4870" t="str">
        <f>""</f>
        <v/>
      </c>
    </row>
    <row r="4871" spans="1:97" x14ac:dyDescent="0.25">
      <c r="A4871" t="s">
        <v>1963</v>
      </c>
      <c r="B4871" t="s">
        <v>30358</v>
      </c>
      <c r="C4871" t="s">
        <v>4713</v>
      </c>
      <c r="D4871" t="s">
        <v>30358</v>
      </c>
      <c r="E4871" t="s">
        <v>30359</v>
      </c>
      <c r="F4871" t="s">
        <v>108</v>
      </c>
      <c r="H4871" t="s">
        <v>30360</v>
      </c>
      <c r="I4871" t="s">
        <v>499</v>
      </c>
      <c r="J4871" t="s">
        <v>111</v>
      </c>
      <c r="K4871" t="str">
        <f>"85338"</f>
        <v>85338</v>
      </c>
      <c r="L4871" t="s">
        <v>1244</v>
      </c>
      <c r="M4871" t="s">
        <v>30360</v>
      </c>
      <c r="N4871" t="s">
        <v>499</v>
      </c>
      <c r="O4871" t="s">
        <v>111</v>
      </c>
      <c r="P4871" t="str">
        <f>"85338-5012"</f>
        <v>85338-5012</v>
      </c>
      <c r="Q4871" t="s">
        <v>113</v>
      </c>
      <c r="R4871" t="str">
        <f>"400-52-474"</f>
        <v>400-52-474</v>
      </c>
      <c r="S4871" t="s">
        <v>30361</v>
      </c>
      <c r="U4871">
        <v>3309</v>
      </c>
      <c r="V4871">
        <v>0</v>
      </c>
      <c r="W4871">
        <v>4</v>
      </c>
      <c r="X4871">
        <v>2003</v>
      </c>
      <c r="Z4871">
        <v>1</v>
      </c>
      <c r="AA4871" t="s">
        <v>26</v>
      </c>
      <c r="AB4871">
        <v>0</v>
      </c>
      <c r="AC4871" t="s">
        <v>115</v>
      </c>
      <c r="AD4871">
        <v>3</v>
      </c>
      <c r="AE4871" t="s">
        <v>115</v>
      </c>
      <c r="AF4871">
        <v>0</v>
      </c>
      <c r="AG4871">
        <v>0</v>
      </c>
      <c r="AH4871" t="s">
        <v>116</v>
      </c>
      <c r="AI4871" s="1">
        <v>90877</v>
      </c>
      <c r="AJ4871" s="2">
        <v>0.17</v>
      </c>
      <c r="AK4871" s="1">
        <v>522903</v>
      </c>
      <c r="AL4871" t="s">
        <v>117</v>
      </c>
      <c r="AM4871" t="s">
        <v>118</v>
      </c>
      <c r="AN4871">
        <v>15020</v>
      </c>
      <c r="AO4871">
        <v>0.34</v>
      </c>
      <c r="AP4871">
        <v>1</v>
      </c>
      <c r="AR4871">
        <v>1</v>
      </c>
      <c r="AS4871" s="1">
        <v>44410</v>
      </c>
      <c r="AT4871" s="1">
        <v>8880</v>
      </c>
      <c r="AU4871" s="1">
        <v>35530</v>
      </c>
      <c r="AV4871">
        <v>80</v>
      </c>
      <c r="AX4871" s="1">
        <v>4394.76</v>
      </c>
      <c r="AY4871" t="s">
        <v>4236</v>
      </c>
      <c r="AZ4871" t="s">
        <v>4236</v>
      </c>
      <c r="BA4871" t="s">
        <v>1247</v>
      </c>
      <c r="BE4871" s="3">
        <v>42356</v>
      </c>
      <c r="BF4871" s="1">
        <v>422000</v>
      </c>
      <c r="BG4871" t="s">
        <v>30362</v>
      </c>
      <c r="BH4871" s="1">
        <v>127.53</v>
      </c>
      <c r="BI4871" s="1">
        <v>432026</v>
      </c>
      <c r="BJ4871" s="3">
        <v>42356</v>
      </c>
      <c r="BK4871" t="s">
        <v>123</v>
      </c>
      <c r="BL4871" t="str">
        <f>"2015.895820"</f>
        <v>2015.895820</v>
      </c>
      <c r="BM4871" t="s">
        <v>2489</v>
      </c>
      <c r="BO4871" t="s">
        <v>30363</v>
      </c>
      <c r="BS4871">
        <v>30</v>
      </c>
      <c r="BW4871" t="str">
        <f>""</f>
        <v/>
      </c>
      <c r="CH4871" t="str">
        <f>""</f>
        <v/>
      </c>
      <c r="CS4871" t="str">
        <f>""</f>
        <v/>
      </c>
    </row>
    <row r="4872" spans="1:97" x14ac:dyDescent="0.25">
      <c r="A4872" t="s">
        <v>1647</v>
      </c>
      <c r="B4872" t="s">
        <v>30364</v>
      </c>
      <c r="E4872" t="s">
        <v>30365</v>
      </c>
      <c r="F4872" t="s">
        <v>108</v>
      </c>
      <c r="H4872" t="s">
        <v>30366</v>
      </c>
      <c r="I4872" t="s">
        <v>390</v>
      </c>
      <c r="J4872" t="s">
        <v>111</v>
      </c>
      <c r="K4872" t="str">
        <f>"85028"</f>
        <v>85028</v>
      </c>
      <c r="L4872" t="s">
        <v>8199</v>
      </c>
      <c r="M4872" t="s">
        <v>30366</v>
      </c>
      <c r="N4872" t="s">
        <v>390</v>
      </c>
      <c r="O4872" t="s">
        <v>111</v>
      </c>
      <c r="P4872" t="str">
        <f>"85028-4947"</f>
        <v>85028-4947</v>
      </c>
      <c r="Q4872" t="s">
        <v>113</v>
      </c>
      <c r="R4872" t="str">
        <f>"165-14-131"</f>
        <v>165-14-131</v>
      </c>
      <c r="S4872" t="s">
        <v>30367</v>
      </c>
      <c r="T4872" t="s">
        <v>30368</v>
      </c>
      <c r="U4872">
        <v>2296</v>
      </c>
      <c r="V4872">
        <v>0</v>
      </c>
      <c r="W4872">
        <v>2</v>
      </c>
      <c r="X4872">
        <v>1976</v>
      </c>
      <c r="Z4872">
        <v>1</v>
      </c>
      <c r="AA4872" t="s">
        <v>26</v>
      </c>
      <c r="AB4872">
        <v>0</v>
      </c>
      <c r="AC4872" t="s">
        <v>115</v>
      </c>
      <c r="AD4872">
        <v>2</v>
      </c>
      <c r="AE4872" t="s">
        <v>115</v>
      </c>
      <c r="AF4872">
        <v>0</v>
      </c>
      <c r="AG4872">
        <v>0</v>
      </c>
      <c r="AH4872" t="s">
        <v>116</v>
      </c>
      <c r="AI4872" s="1">
        <v>96914</v>
      </c>
      <c r="AJ4872" s="2">
        <v>0.21</v>
      </c>
      <c r="AK4872" s="1">
        <v>468794</v>
      </c>
      <c r="AL4872" t="s">
        <v>117</v>
      </c>
      <c r="AM4872" t="s">
        <v>1302</v>
      </c>
      <c r="AN4872">
        <v>11842</v>
      </c>
      <c r="AO4872">
        <v>0.27</v>
      </c>
      <c r="AP4872">
        <v>1</v>
      </c>
      <c r="AR4872">
        <v>1</v>
      </c>
      <c r="AS4872" s="1">
        <v>36510</v>
      </c>
      <c r="AT4872" s="1">
        <v>7300</v>
      </c>
      <c r="AU4872" s="1">
        <v>29210</v>
      </c>
      <c r="AV4872">
        <v>80.010000000000005</v>
      </c>
      <c r="AX4872" s="1">
        <v>3344.74</v>
      </c>
      <c r="AY4872" t="s">
        <v>9580</v>
      </c>
      <c r="AZ4872" t="s">
        <v>5489</v>
      </c>
      <c r="BA4872" t="s">
        <v>5232</v>
      </c>
      <c r="BE4872" s="3">
        <v>42317</v>
      </c>
      <c r="BF4872" s="1">
        <v>360000</v>
      </c>
      <c r="BG4872" t="s">
        <v>30369</v>
      </c>
      <c r="BH4872" s="1">
        <v>156.79</v>
      </c>
      <c r="BI4872" s="1">
        <v>371880</v>
      </c>
      <c r="BJ4872" s="3">
        <v>42317</v>
      </c>
      <c r="BK4872" t="s">
        <v>123</v>
      </c>
      <c r="BL4872" t="str">
        <f>"2015.802824"</f>
        <v>2015.802824</v>
      </c>
      <c r="BM4872" t="s">
        <v>2683</v>
      </c>
      <c r="BO4872" t="s">
        <v>30370</v>
      </c>
      <c r="BS4872">
        <v>30</v>
      </c>
      <c r="BW4872" t="str">
        <f>""</f>
        <v/>
      </c>
      <c r="CH4872" t="str">
        <f>""</f>
        <v/>
      </c>
      <c r="CS4872" t="str">
        <f>""</f>
        <v/>
      </c>
    </row>
    <row r="4873" spans="1:97" x14ac:dyDescent="0.25">
      <c r="A4873" t="s">
        <v>140</v>
      </c>
      <c r="B4873" t="s">
        <v>6276</v>
      </c>
      <c r="C4873" t="s">
        <v>2976</v>
      </c>
      <c r="D4873" t="s">
        <v>6276</v>
      </c>
      <c r="E4873" t="s">
        <v>30371</v>
      </c>
      <c r="F4873" t="s">
        <v>108</v>
      </c>
      <c r="H4873" t="s">
        <v>30372</v>
      </c>
      <c r="I4873" t="s">
        <v>110</v>
      </c>
      <c r="J4873" t="s">
        <v>111</v>
      </c>
      <c r="K4873" t="str">
        <f>"85286"</f>
        <v>85286</v>
      </c>
      <c r="L4873" t="s">
        <v>3520</v>
      </c>
      <c r="M4873" t="s">
        <v>30372</v>
      </c>
      <c r="N4873" t="s">
        <v>110</v>
      </c>
      <c r="O4873" t="s">
        <v>111</v>
      </c>
      <c r="P4873" t="str">
        <f>"85286-1639"</f>
        <v>85286-1639</v>
      </c>
      <c r="Q4873" t="s">
        <v>113</v>
      </c>
      <c r="R4873" t="str">
        <f>"303-87-772"</f>
        <v>303-87-772</v>
      </c>
      <c r="S4873" t="s">
        <v>30373</v>
      </c>
      <c r="T4873" t="s">
        <v>30373</v>
      </c>
      <c r="U4873">
        <v>1611</v>
      </c>
      <c r="V4873">
        <v>0</v>
      </c>
      <c r="W4873">
        <v>3</v>
      </c>
      <c r="X4873">
        <v>2013</v>
      </c>
      <c r="Z4873">
        <v>1</v>
      </c>
      <c r="AB4873">
        <v>0</v>
      </c>
      <c r="AC4873" t="s">
        <v>115</v>
      </c>
      <c r="AD4873">
        <v>2</v>
      </c>
      <c r="AE4873" t="s">
        <v>115</v>
      </c>
      <c r="AF4873">
        <v>0</v>
      </c>
      <c r="AG4873">
        <v>0</v>
      </c>
      <c r="AH4873" t="s">
        <v>116</v>
      </c>
      <c r="AI4873" s="1">
        <v>102944</v>
      </c>
      <c r="AJ4873" s="2">
        <v>0.31</v>
      </c>
      <c r="AK4873" s="1">
        <v>336617</v>
      </c>
      <c r="AL4873" t="s">
        <v>117</v>
      </c>
      <c r="AM4873" t="s">
        <v>118</v>
      </c>
      <c r="AN4873">
        <v>4841</v>
      </c>
      <c r="AO4873">
        <v>0.11</v>
      </c>
      <c r="AR4873">
        <v>1</v>
      </c>
      <c r="AS4873" s="1">
        <v>23010</v>
      </c>
      <c r="AT4873" s="1">
        <v>4600</v>
      </c>
      <c r="AU4873" s="1">
        <v>18410</v>
      </c>
      <c r="AV4873">
        <v>80.010000000000005</v>
      </c>
      <c r="AX4873" s="1">
        <v>1769</v>
      </c>
      <c r="AY4873" t="s">
        <v>9063</v>
      </c>
      <c r="AZ4873" t="s">
        <v>120</v>
      </c>
      <c r="BA4873" t="s">
        <v>121</v>
      </c>
      <c r="BE4873" s="3">
        <v>41668</v>
      </c>
      <c r="BF4873" s="1">
        <v>257789</v>
      </c>
      <c r="BG4873" t="s">
        <v>30374</v>
      </c>
      <c r="BH4873" s="1">
        <v>160.02000000000001</v>
      </c>
      <c r="BI4873" s="1">
        <v>233673</v>
      </c>
      <c r="BJ4873" s="3">
        <v>41668</v>
      </c>
      <c r="BK4873" t="s">
        <v>123</v>
      </c>
      <c r="BL4873" t="str">
        <f>"2014.60089"</f>
        <v>2014.60089</v>
      </c>
      <c r="BM4873" t="s">
        <v>8868</v>
      </c>
      <c r="BO4873" t="s">
        <v>30375</v>
      </c>
      <c r="BS4873">
        <v>30</v>
      </c>
      <c r="BW4873" t="str">
        <f>""</f>
        <v/>
      </c>
      <c r="CH4873" t="str">
        <f>""</f>
        <v/>
      </c>
      <c r="CS4873" t="str">
        <f>""</f>
        <v/>
      </c>
    </row>
    <row r="4874" spans="1:97" x14ac:dyDescent="0.25">
      <c r="A4874" t="s">
        <v>30376</v>
      </c>
      <c r="B4874" t="s">
        <v>2294</v>
      </c>
      <c r="C4874" t="s">
        <v>537</v>
      </c>
      <c r="D4874" t="s">
        <v>2294</v>
      </c>
      <c r="E4874" t="s">
        <v>30377</v>
      </c>
      <c r="F4874" t="s">
        <v>108</v>
      </c>
      <c r="H4874" t="s">
        <v>30378</v>
      </c>
      <c r="I4874" t="s">
        <v>5523</v>
      </c>
      <c r="J4874" t="s">
        <v>111</v>
      </c>
      <c r="K4874" t="str">
        <f>"85373"</f>
        <v>85373</v>
      </c>
      <c r="L4874" t="s">
        <v>5524</v>
      </c>
      <c r="M4874" t="s">
        <v>30378</v>
      </c>
      <c r="N4874" t="s">
        <v>5523</v>
      </c>
      <c r="O4874" t="s">
        <v>111</v>
      </c>
      <c r="P4874" t="str">
        <f>"85373-5603"</f>
        <v>85373-5603</v>
      </c>
      <c r="Q4874" t="s">
        <v>113</v>
      </c>
      <c r="R4874" t="str">
        <f>"503-88-497"</f>
        <v>503-88-497</v>
      </c>
      <c r="S4874" t="s">
        <v>19476</v>
      </c>
      <c r="T4874" t="s">
        <v>6818</v>
      </c>
      <c r="U4874">
        <v>2663</v>
      </c>
      <c r="V4874">
        <v>0</v>
      </c>
      <c r="W4874">
        <v>4</v>
      </c>
      <c r="X4874">
        <v>2006</v>
      </c>
      <c r="Z4874">
        <v>1</v>
      </c>
      <c r="AA4874" t="s">
        <v>26</v>
      </c>
      <c r="AB4874">
        <v>0</v>
      </c>
      <c r="AC4874" t="s">
        <v>115</v>
      </c>
      <c r="AD4874">
        <v>3</v>
      </c>
      <c r="AE4874" t="s">
        <v>115</v>
      </c>
      <c r="AF4874">
        <v>0</v>
      </c>
      <c r="AG4874">
        <v>0</v>
      </c>
      <c r="AH4874" t="s">
        <v>116</v>
      </c>
      <c r="AI4874" s="1">
        <v>57197</v>
      </c>
      <c r="AJ4874" s="2">
        <v>0.16</v>
      </c>
      <c r="AK4874" s="1">
        <v>358122</v>
      </c>
      <c r="AL4874" t="s">
        <v>117</v>
      </c>
      <c r="AM4874" t="s">
        <v>393</v>
      </c>
      <c r="AN4874">
        <v>9070</v>
      </c>
      <c r="AO4874">
        <v>0.21</v>
      </c>
      <c r="AR4874">
        <v>1</v>
      </c>
      <c r="AS4874" s="1">
        <v>26560</v>
      </c>
      <c r="AT4874" s="1">
        <v>5310</v>
      </c>
      <c r="AU4874" s="1">
        <v>21250</v>
      </c>
      <c r="AV4874">
        <v>80.010000000000005</v>
      </c>
      <c r="AX4874" s="1">
        <v>2607.2399999999998</v>
      </c>
      <c r="AY4874" t="s">
        <v>3228</v>
      </c>
      <c r="AZ4874" t="s">
        <v>3228</v>
      </c>
      <c r="BA4874" t="s">
        <v>457</v>
      </c>
      <c r="BE4874" s="3">
        <v>41711</v>
      </c>
      <c r="BF4874" s="1">
        <v>263500</v>
      </c>
      <c r="BG4874" t="s">
        <v>30379</v>
      </c>
      <c r="BH4874" s="1">
        <v>98.95</v>
      </c>
      <c r="BI4874" s="1">
        <v>268750</v>
      </c>
      <c r="BJ4874" s="3">
        <v>41950</v>
      </c>
      <c r="BK4874" t="s">
        <v>123</v>
      </c>
      <c r="BL4874" t="str">
        <f>"2014.739143"</f>
        <v>2014.739143</v>
      </c>
      <c r="BM4874" t="s">
        <v>248</v>
      </c>
      <c r="BN4874" t="s">
        <v>249</v>
      </c>
      <c r="BO4874" t="s">
        <v>30380</v>
      </c>
      <c r="BS4874">
        <v>30</v>
      </c>
      <c r="BT4874" s="1">
        <v>32175</v>
      </c>
      <c r="BU4874" s="3">
        <v>43213</v>
      </c>
      <c r="BV4874" t="s">
        <v>134</v>
      </c>
      <c r="BW4874" t="str">
        <f>"2018.303257"</f>
        <v>2018.303257</v>
      </c>
      <c r="BX4874" t="s">
        <v>198</v>
      </c>
      <c r="BY4874" t="s">
        <v>655</v>
      </c>
      <c r="BZ4874" t="s">
        <v>30381</v>
      </c>
      <c r="CA4874" t="s">
        <v>30382</v>
      </c>
      <c r="CC4874" t="s">
        <v>139</v>
      </c>
      <c r="CH4874" t="str">
        <f>""</f>
        <v/>
      </c>
      <c r="CS4874" t="str">
        <f>""</f>
        <v/>
      </c>
    </row>
    <row r="4875" spans="1:97" x14ac:dyDescent="0.25">
      <c r="B4875" t="s">
        <v>30383</v>
      </c>
      <c r="E4875" t="s">
        <v>30384</v>
      </c>
      <c r="F4875" t="s">
        <v>108</v>
      </c>
      <c r="H4875" t="s">
        <v>30385</v>
      </c>
      <c r="I4875" t="s">
        <v>225</v>
      </c>
      <c r="J4875" t="s">
        <v>111</v>
      </c>
      <c r="K4875" t="str">
        <f>"85213"</f>
        <v>85213</v>
      </c>
      <c r="L4875" t="s">
        <v>1300</v>
      </c>
      <c r="M4875" t="s">
        <v>30385</v>
      </c>
      <c r="N4875" t="s">
        <v>225</v>
      </c>
      <c r="O4875" t="s">
        <v>111</v>
      </c>
      <c r="P4875" t="str">
        <f>"85213-4123"</f>
        <v>85213-4123</v>
      </c>
      <c r="Q4875" t="s">
        <v>113</v>
      </c>
      <c r="R4875" t="str">
        <f>"141-79-075-A"</f>
        <v>141-79-075-A</v>
      </c>
      <c r="S4875" t="s">
        <v>30386</v>
      </c>
      <c r="T4875" t="s">
        <v>30387</v>
      </c>
      <c r="U4875">
        <v>1404</v>
      </c>
      <c r="V4875">
        <v>0</v>
      </c>
      <c r="W4875">
        <v>2</v>
      </c>
      <c r="X4875">
        <v>1970</v>
      </c>
      <c r="Z4875">
        <v>1</v>
      </c>
      <c r="AA4875" t="s">
        <v>26</v>
      </c>
      <c r="AB4875">
        <v>0</v>
      </c>
      <c r="AC4875" t="s">
        <v>5188</v>
      </c>
      <c r="AD4875">
        <v>2</v>
      </c>
      <c r="AE4875" t="s">
        <v>5188</v>
      </c>
      <c r="AF4875">
        <v>0</v>
      </c>
      <c r="AG4875">
        <v>0</v>
      </c>
      <c r="AH4875" t="s">
        <v>116</v>
      </c>
      <c r="AI4875" s="1">
        <v>46974</v>
      </c>
      <c r="AJ4875" s="2">
        <v>0.17</v>
      </c>
      <c r="AK4875" s="1">
        <v>273374</v>
      </c>
      <c r="AL4875" t="s">
        <v>117</v>
      </c>
      <c r="AM4875" t="s">
        <v>917</v>
      </c>
      <c r="AN4875">
        <v>9540</v>
      </c>
      <c r="AO4875">
        <v>0.22</v>
      </c>
      <c r="AP4875">
        <v>1</v>
      </c>
      <c r="AR4875">
        <v>1</v>
      </c>
      <c r="AS4875" s="1">
        <v>17370</v>
      </c>
      <c r="AT4875" s="1">
        <v>3470</v>
      </c>
      <c r="AU4875" s="1">
        <v>13900</v>
      </c>
      <c r="AV4875">
        <v>80.02</v>
      </c>
      <c r="AX4875" s="1">
        <v>1259.22</v>
      </c>
      <c r="AY4875" t="s">
        <v>7102</v>
      </c>
      <c r="AZ4875" t="s">
        <v>1523</v>
      </c>
      <c r="BA4875" t="s">
        <v>1524</v>
      </c>
      <c r="BB4875" s="3">
        <v>43784</v>
      </c>
      <c r="BC4875" s="1">
        <v>0</v>
      </c>
      <c r="BD4875" t="s">
        <v>247</v>
      </c>
      <c r="BE4875" s="3">
        <v>42228</v>
      </c>
      <c r="BF4875" s="1">
        <v>226400</v>
      </c>
      <c r="BG4875" t="s">
        <v>30388</v>
      </c>
      <c r="BH4875" s="1">
        <v>161.25</v>
      </c>
      <c r="BI4875" s="1">
        <v>226400</v>
      </c>
      <c r="BJ4875" s="3">
        <v>42228</v>
      </c>
      <c r="BK4875" t="s">
        <v>123</v>
      </c>
      <c r="BL4875" t="str">
        <f>"2015.585457"</f>
        <v>2015.585457</v>
      </c>
      <c r="BM4875" t="s">
        <v>594</v>
      </c>
      <c r="BN4875" t="s">
        <v>595</v>
      </c>
      <c r="BO4875" t="s">
        <v>30389</v>
      </c>
      <c r="BS4875">
        <v>30</v>
      </c>
      <c r="BW4875" t="str">
        <f>""</f>
        <v/>
      </c>
      <c r="CH4875" t="str">
        <f>""</f>
        <v/>
      </c>
      <c r="CS4875" t="str">
        <f>""</f>
        <v/>
      </c>
    </row>
    <row r="4876" spans="1:97" x14ac:dyDescent="0.25">
      <c r="A4876" t="s">
        <v>11273</v>
      </c>
      <c r="B4876" t="s">
        <v>2255</v>
      </c>
      <c r="C4876" t="s">
        <v>3478</v>
      </c>
      <c r="D4876" t="s">
        <v>2255</v>
      </c>
      <c r="E4876" t="s">
        <v>30390</v>
      </c>
      <c r="F4876" t="s">
        <v>282</v>
      </c>
      <c r="H4876" t="s">
        <v>30391</v>
      </c>
      <c r="I4876" t="s">
        <v>110</v>
      </c>
      <c r="J4876" t="s">
        <v>111</v>
      </c>
      <c r="K4876" t="str">
        <f>"85286"</f>
        <v>85286</v>
      </c>
      <c r="L4876" t="s">
        <v>5743</v>
      </c>
      <c r="M4876" t="s">
        <v>30392</v>
      </c>
      <c r="N4876" t="s">
        <v>30393</v>
      </c>
      <c r="O4876" t="s">
        <v>442</v>
      </c>
      <c r="P4876" t="str">
        <f>"84111-2827"</f>
        <v>84111-2827</v>
      </c>
      <c r="Q4876" t="s">
        <v>113</v>
      </c>
      <c r="R4876" t="str">
        <f>"303-43-431"</f>
        <v>303-43-431</v>
      </c>
      <c r="S4876" t="s">
        <v>11430</v>
      </c>
      <c r="T4876" t="s">
        <v>11431</v>
      </c>
      <c r="U4876">
        <v>2926</v>
      </c>
      <c r="V4876">
        <v>0</v>
      </c>
      <c r="W4876">
        <v>4</v>
      </c>
      <c r="X4876">
        <v>2005</v>
      </c>
      <c r="Z4876">
        <v>2</v>
      </c>
      <c r="AA4876" t="s">
        <v>26</v>
      </c>
      <c r="AB4876">
        <v>0</v>
      </c>
      <c r="AC4876" t="s">
        <v>115</v>
      </c>
      <c r="AD4876">
        <v>3</v>
      </c>
      <c r="AE4876" t="s">
        <v>115</v>
      </c>
      <c r="AF4876">
        <v>0</v>
      </c>
      <c r="AG4876">
        <v>0</v>
      </c>
      <c r="AH4876" t="s">
        <v>116</v>
      </c>
      <c r="AI4876" s="1">
        <v>87586</v>
      </c>
      <c r="AJ4876" s="2">
        <v>0.18</v>
      </c>
      <c r="AK4876" s="1">
        <v>486486</v>
      </c>
      <c r="AL4876" t="s">
        <v>117</v>
      </c>
      <c r="AM4876" t="s">
        <v>118</v>
      </c>
      <c r="AN4876">
        <v>7320</v>
      </c>
      <c r="AO4876">
        <v>0.17</v>
      </c>
      <c r="AR4876">
        <v>1</v>
      </c>
      <c r="AS4876" s="1">
        <v>36320</v>
      </c>
      <c r="AT4876" s="1">
        <v>7260</v>
      </c>
      <c r="AU4876" s="1">
        <v>29060</v>
      </c>
      <c r="AV4876">
        <v>80.010000000000005</v>
      </c>
      <c r="AX4876" s="1">
        <v>3237.22</v>
      </c>
      <c r="AY4876" t="s">
        <v>737</v>
      </c>
      <c r="AZ4876" t="s">
        <v>120</v>
      </c>
      <c r="BA4876" t="s">
        <v>303</v>
      </c>
      <c r="BE4876" s="3">
        <v>42447</v>
      </c>
      <c r="BF4876" s="1">
        <v>398900</v>
      </c>
      <c r="BG4876" t="s">
        <v>30394</v>
      </c>
      <c r="BH4876" s="1">
        <v>136.33000000000001</v>
      </c>
      <c r="BI4876" s="1">
        <v>398900</v>
      </c>
      <c r="BJ4876" s="3">
        <v>42447</v>
      </c>
      <c r="BK4876" t="s">
        <v>123</v>
      </c>
      <c r="BL4876" t="str">
        <f>"2016.177948"</f>
        <v>2016.177948</v>
      </c>
      <c r="BM4876" t="s">
        <v>1554</v>
      </c>
      <c r="BO4876" t="s">
        <v>30395</v>
      </c>
      <c r="BS4876">
        <v>30</v>
      </c>
      <c r="BW4876" t="str">
        <f>""</f>
        <v/>
      </c>
      <c r="CH4876" t="str">
        <f>""</f>
        <v/>
      </c>
      <c r="CS4876" t="str">
        <f>""</f>
        <v/>
      </c>
    </row>
    <row r="4877" spans="1:97" x14ac:dyDescent="0.25">
      <c r="A4877" t="s">
        <v>815</v>
      </c>
      <c r="B4877" t="s">
        <v>30396</v>
      </c>
      <c r="C4877" t="s">
        <v>1057</v>
      </c>
      <c r="D4877" t="s">
        <v>30396</v>
      </c>
      <c r="E4877" t="s">
        <v>30397</v>
      </c>
      <c r="F4877" t="s">
        <v>108</v>
      </c>
      <c r="H4877" t="s">
        <v>30398</v>
      </c>
      <c r="I4877" t="s">
        <v>225</v>
      </c>
      <c r="J4877" t="s">
        <v>111</v>
      </c>
      <c r="K4877" t="str">
        <f>"85205"</f>
        <v>85205</v>
      </c>
      <c r="L4877" t="s">
        <v>5408</v>
      </c>
      <c r="M4877" t="s">
        <v>30398</v>
      </c>
      <c r="N4877" t="s">
        <v>225</v>
      </c>
      <c r="O4877" t="s">
        <v>111</v>
      </c>
      <c r="P4877" t="str">
        <f>"85205-5003"</f>
        <v>85205-5003</v>
      </c>
      <c r="Q4877" t="s">
        <v>113</v>
      </c>
      <c r="R4877" t="str">
        <f>"140-13-399"</f>
        <v>140-13-399</v>
      </c>
      <c r="S4877" t="s">
        <v>29696</v>
      </c>
      <c r="T4877" t="s">
        <v>6943</v>
      </c>
      <c r="U4877">
        <v>3173</v>
      </c>
      <c r="V4877">
        <v>0</v>
      </c>
      <c r="W4877">
        <v>3</v>
      </c>
      <c r="X4877">
        <v>1990</v>
      </c>
      <c r="Z4877">
        <v>2</v>
      </c>
      <c r="AA4877" t="s">
        <v>26</v>
      </c>
      <c r="AB4877">
        <v>0</v>
      </c>
      <c r="AC4877" t="s">
        <v>115</v>
      </c>
      <c r="AD4877">
        <v>2</v>
      </c>
      <c r="AE4877" t="s">
        <v>115</v>
      </c>
      <c r="AF4877">
        <v>0</v>
      </c>
      <c r="AG4877">
        <v>0</v>
      </c>
      <c r="AH4877" t="s">
        <v>116</v>
      </c>
      <c r="AI4877" s="1">
        <v>58109</v>
      </c>
      <c r="AJ4877" s="2">
        <v>0.14000000000000001</v>
      </c>
      <c r="AK4877" s="1">
        <v>425746</v>
      </c>
      <c r="AL4877" t="s">
        <v>117</v>
      </c>
      <c r="AM4877" t="s">
        <v>917</v>
      </c>
      <c r="AN4877">
        <v>9267</v>
      </c>
      <c r="AO4877">
        <v>0.21</v>
      </c>
      <c r="AP4877">
        <v>1</v>
      </c>
      <c r="AR4877">
        <v>1</v>
      </c>
      <c r="AS4877" s="1">
        <v>30310</v>
      </c>
      <c r="AT4877" s="1">
        <v>6060</v>
      </c>
      <c r="AU4877" s="1">
        <v>24250</v>
      </c>
      <c r="AV4877">
        <v>80.010000000000005</v>
      </c>
      <c r="AX4877" s="1">
        <v>2440.14</v>
      </c>
      <c r="AY4877" t="s">
        <v>1522</v>
      </c>
      <c r="AZ4877" t="s">
        <v>1523</v>
      </c>
      <c r="BA4877" t="s">
        <v>1524</v>
      </c>
      <c r="BE4877" s="3">
        <v>42548</v>
      </c>
      <c r="BF4877" s="1">
        <v>359900</v>
      </c>
      <c r="BG4877" t="s">
        <v>30399</v>
      </c>
      <c r="BH4877" s="1">
        <v>113.43</v>
      </c>
      <c r="BI4877" s="1">
        <v>367637</v>
      </c>
      <c r="BJ4877" s="3">
        <v>42548</v>
      </c>
      <c r="BK4877" t="s">
        <v>123</v>
      </c>
      <c r="BL4877" t="str">
        <f>"2016.448140"</f>
        <v>2016.448140</v>
      </c>
      <c r="BM4877" t="s">
        <v>820</v>
      </c>
      <c r="BO4877" t="s">
        <v>30400</v>
      </c>
      <c r="BS4877">
        <v>30</v>
      </c>
      <c r="BW4877" t="str">
        <f>""</f>
        <v/>
      </c>
      <c r="CH4877" t="str">
        <f>""</f>
        <v/>
      </c>
      <c r="CS4877" t="str">
        <f>""</f>
        <v/>
      </c>
    </row>
    <row r="4878" spans="1:97" x14ac:dyDescent="0.25">
      <c r="A4878" t="s">
        <v>30401</v>
      </c>
      <c r="B4878" t="s">
        <v>3671</v>
      </c>
      <c r="C4878" t="s">
        <v>511</v>
      </c>
      <c r="D4878" t="s">
        <v>7823</v>
      </c>
      <c r="E4878" t="s">
        <v>30402</v>
      </c>
      <c r="F4878" t="s">
        <v>108</v>
      </c>
      <c r="H4878" t="s">
        <v>30403</v>
      </c>
      <c r="I4878" t="s">
        <v>1936</v>
      </c>
      <c r="J4878" t="s">
        <v>111</v>
      </c>
      <c r="K4878" t="str">
        <f>"85266"</f>
        <v>85266</v>
      </c>
      <c r="L4878" t="s">
        <v>17926</v>
      </c>
      <c r="M4878" t="s">
        <v>30403</v>
      </c>
      <c r="N4878" t="s">
        <v>1936</v>
      </c>
      <c r="O4878" t="s">
        <v>111</v>
      </c>
      <c r="P4878" t="str">
        <f>"85266-8218"</f>
        <v>85266-8218</v>
      </c>
      <c r="Q4878" t="s">
        <v>113</v>
      </c>
      <c r="R4878" t="str">
        <f>"211-61-393"</f>
        <v>211-61-393</v>
      </c>
      <c r="S4878" t="s">
        <v>17927</v>
      </c>
      <c r="T4878" t="s">
        <v>17927</v>
      </c>
      <c r="U4878">
        <v>3424</v>
      </c>
      <c r="V4878">
        <v>0</v>
      </c>
      <c r="W4878">
        <v>4</v>
      </c>
      <c r="X4878">
        <v>1998</v>
      </c>
      <c r="Z4878">
        <v>2</v>
      </c>
      <c r="AA4878" t="s">
        <v>26</v>
      </c>
      <c r="AB4878">
        <v>0</v>
      </c>
      <c r="AC4878" t="s">
        <v>115</v>
      </c>
      <c r="AD4878">
        <v>3</v>
      </c>
      <c r="AE4878" t="s">
        <v>115</v>
      </c>
      <c r="AF4878">
        <v>0</v>
      </c>
      <c r="AG4878">
        <v>0</v>
      </c>
      <c r="AH4878" t="s">
        <v>116</v>
      </c>
      <c r="AI4878" s="1">
        <v>173033</v>
      </c>
      <c r="AJ4878" s="2">
        <v>0.33</v>
      </c>
      <c r="AK4878" s="1">
        <v>527408</v>
      </c>
      <c r="AL4878" t="s">
        <v>117</v>
      </c>
      <c r="AM4878" t="s">
        <v>393</v>
      </c>
      <c r="AN4878">
        <v>9705</v>
      </c>
      <c r="AO4878">
        <v>0.22</v>
      </c>
      <c r="AP4878">
        <v>1</v>
      </c>
      <c r="AR4878">
        <v>1</v>
      </c>
      <c r="AS4878" s="1">
        <v>38950</v>
      </c>
      <c r="AT4878" s="1">
        <v>7790</v>
      </c>
      <c r="AU4878" s="1">
        <v>31160</v>
      </c>
      <c r="AV4878">
        <v>80</v>
      </c>
      <c r="AX4878" s="1">
        <v>2315.04</v>
      </c>
      <c r="AY4878" t="s">
        <v>7359</v>
      </c>
      <c r="AZ4878" t="s">
        <v>1402</v>
      </c>
      <c r="BA4878" t="s">
        <v>1403</v>
      </c>
      <c r="BE4878" s="3">
        <v>42213</v>
      </c>
      <c r="BF4878" s="1">
        <v>450000</v>
      </c>
      <c r="BG4878" t="s">
        <v>30404</v>
      </c>
      <c r="BH4878" s="1">
        <v>131.43</v>
      </c>
      <c r="BI4878" s="1">
        <v>354375</v>
      </c>
      <c r="BJ4878" s="3">
        <v>42213</v>
      </c>
      <c r="BK4878" t="s">
        <v>123</v>
      </c>
      <c r="BL4878" t="str">
        <f>"2015.542694"</f>
        <v>2015.542694</v>
      </c>
      <c r="BM4878" t="s">
        <v>135</v>
      </c>
      <c r="BO4878" t="s">
        <v>30405</v>
      </c>
      <c r="BP4878" t="s">
        <v>30406</v>
      </c>
      <c r="BS4878">
        <v>30</v>
      </c>
      <c r="BW4878" t="str">
        <f>""</f>
        <v/>
      </c>
      <c r="CH4878" t="str">
        <f>""</f>
        <v/>
      </c>
      <c r="CS4878" t="str">
        <f>""</f>
        <v/>
      </c>
    </row>
    <row r="4879" spans="1:97" x14ac:dyDescent="0.25">
      <c r="A4879" t="s">
        <v>13226</v>
      </c>
      <c r="B4879" t="s">
        <v>30407</v>
      </c>
      <c r="C4879" t="s">
        <v>1514</v>
      </c>
      <c r="D4879" t="s">
        <v>30407</v>
      </c>
      <c r="E4879" t="s">
        <v>30408</v>
      </c>
      <c r="F4879" t="s">
        <v>108</v>
      </c>
      <c r="H4879" t="s">
        <v>30409</v>
      </c>
      <c r="I4879" t="s">
        <v>453</v>
      </c>
      <c r="J4879" t="s">
        <v>111</v>
      </c>
      <c r="K4879" t="str">
        <f>"85383"</f>
        <v>85383</v>
      </c>
      <c r="L4879" t="s">
        <v>454</v>
      </c>
      <c r="M4879" t="s">
        <v>30409</v>
      </c>
      <c r="N4879" t="s">
        <v>453</v>
      </c>
      <c r="O4879" t="s">
        <v>111</v>
      </c>
      <c r="P4879" t="str">
        <f>"85383-7995"</f>
        <v>85383-7995</v>
      </c>
      <c r="Q4879" t="s">
        <v>113</v>
      </c>
      <c r="R4879" t="str">
        <f>"503-81-304"</f>
        <v>503-81-304</v>
      </c>
      <c r="S4879" t="s">
        <v>14111</v>
      </c>
      <c r="U4879">
        <v>3486</v>
      </c>
      <c r="V4879">
        <v>0</v>
      </c>
      <c r="W4879">
        <v>4</v>
      </c>
      <c r="X4879">
        <v>2014</v>
      </c>
      <c r="Z4879">
        <v>2</v>
      </c>
      <c r="AA4879" t="s">
        <v>26</v>
      </c>
      <c r="AB4879">
        <v>0</v>
      </c>
      <c r="AC4879" t="s">
        <v>115</v>
      </c>
      <c r="AD4879">
        <v>3</v>
      </c>
      <c r="AE4879" t="s">
        <v>115</v>
      </c>
      <c r="AF4879">
        <v>0</v>
      </c>
      <c r="AG4879">
        <v>0</v>
      </c>
      <c r="AH4879" t="s">
        <v>116</v>
      </c>
      <c r="AI4879" s="1">
        <v>85665</v>
      </c>
      <c r="AJ4879" s="2">
        <v>0.2</v>
      </c>
      <c r="AK4879" s="1">
        <v>435066</v>
      </c>
      <c r="AL4879" t="s">
        <v>117</v>
      </c>
      <c r="AM4879" t="s">
        <v>118</v>
      </c>
      <c r="AN4879">
        <v>7200</v>
      </c>
      <c r="AO4879">
        <v>0.16</v>
      </c>
      <c r="AR4879">
        <v>1</v>
      </c>
      <c r="AS4879" s="1">
        <v>31150</v>
      </c>
      <c r="AT4879" s="1">
        <v>6230</v>
      </c>
      <c r="AU4879" s="1">
        <v>24920</v>
      </c>
      <c r="AV4879">
        <v>80</v>
      </c>
      <c r="AX4879" s="1">
        <v>3024.58</v>
      </c>
      <c r="AY4879" t="s">
        <v>456</v>
      </c>
      <c r="AZ4879" t="s">
        <v>456</v>
      </c>
      <c r="BA4879" t="s">
        <v>457</v>
      </c>
      <c r="BE4879" s="3">
        <v>42163</v>
      </c>
      <c r="BF4879" s="1">
        <v>342047</v>
      </c>
      <c r="BG4879" t="s">
        <v>459</v>
      </c>
      <c r="BH4879" s="1">
        <v>98.12</v>
      </c>
      <c r="BI4879" s="1">
        <v>349401</v>
      </c>
      <c r="BJ4879" s="3">
        <v>42163</v>
      </c>
      <c r="BK4879" t="s">
        <v>123</v>
      </c>
      <c r="BL4879" t="str">
        <f>"2015.407492"</f>
        <v>2015.407492</v>
      </c>
      <c r="BM4879" t="s">
        <v>135</v>
      </c>
      <c r="BO4879" t="s">
        <v>30410</v>
      </c>
      <c r="BS4879">
        <v>30</v>
      </c>
      <c r="BW4879" t="str">
        <f>""</f>
        <v/>
      </c>
      <c r="CH4879" t="str">
        <f>""</f>
        <v/>
      </c>
      <c r="CS4879" t="str">
        <f>""</f>
        <v/>
      </c>
    </row>
    <row r="4880" spans="1:97" x14ac:dyDescent="0.25">
      <c r="A4880" t="s">
        <v>815</v>
      </c>
      <c r="B4880" t="s">
        <v>30411</v>
      </c>
      <c r="C4880" t="s">
        <v>259</v>
      </c>
      <c r="D4880" t="s">
        <v>30411</v>
      </c>
      <c r="E4880" t="s">
        <v>30412</v>
      </c>
      <c r="F4880" t="s">
        <v>108</v>
      </c>
      <c r="H4880" t="s">
        <v>30413</v>
      </c>
      <c r="I4880" t="s">
        <v>1397</v>
      </c>
      <c r="J4880" t="s">
        <v>111</v>
      </c>
      <c r="K4880" t="str">
        <f>"85331"</f>
        <v>85331</v>
      </c>
      <c r="L4880" t="s">
        <v>17926</v>
      </c>
      <c r="M4880" t="s">
        <v>30413</v>
      </c>
      <c r="N4880" t="s">
        <v>1397</v>
      </c>
      <c r="O4880" t="s">
        <v>111</v>
      </c>
      <c r="P4880" t="str">
        <f>"85331-3355"</f>
        <v>85331-3355</v>
      </c>
      <c r="Q4880" t="s">
        <v>113</v>
      </c>
      <c r="R4880" t="str">
        <f>"211-48-122"</f>
        <v>211-48-122</v>
      </c>
      <c r="S4880" t="s">
        <v>30414</v>
      </c>
      <c r="T4880" t="s">
        <v>30414</v>
      </c>
      <c r="U4880">
        <v>3573</v>
      </c>
      <c r="V4880">
        <v>0</v>
      </c>
      <c r="W4880">
        <v>4</v>
      </c>
      <c r="X4880">
        <v>2011</v>
      </c>
      <c r="Z4880">
        <v>2</v>
      </c>
      <c r="AA4880" t="s">
        <v>26</v>
      </c>
      <c r="AB4880">
        <v>0</v>
      </c>
      <c r="AC4880" t="s">
        <v>115</v>
      </c>
      <c r="AD4880">
        <v>4</v>
      </c>
      <c r="AE4880" t="s">
        <v>115</v>
      </c>
      <c r="AF4880">
        <v>0</v>
      </c>
      <c r="AG4880">
        <v>0</v>
      </c>
      <c r="AH4880" t="s">
        <v>116</v>
      </c>
      <c r="AI4880" s="1">
        <v>140491</v>
      </c>
      <c r="AJ4880" s="2">
        <v>0.22</v>
      </c>
      <c r="AK4880" s="1">
        <v>645961</v>
      </c>
      <c r="AL4880" t="s">
        <v>117</v>
      </c>
      <c r="AM4880" t="s">
        <v>30415</v>
      </c>
      <c r="AN4880">
        <v>10002</v>
      </c>
      <c r="AO4880">
        <v>0.23</v>
      </c>
      <c r="AR4880">
        <v>1</v>
      </c>
      <c r="AS4880" s="1">
        <v>46750</v>
      </c>
      <c r="AT4880" s="1">
        <v>9350</v>
      </c>
      <c r="AU4880" s="1">
        <v>37400</v>
      </c>
      <c r="AV4880">
        <v>80</v>
      </c>
      <c r="AX4880" s="1">
        <v>2886.46</v>
      </c>
      <c r="AY4880" t="s">
        <v>6361</v>
      </c>
      <c r="AZ4880" t="s">
        <v>1402</v>
      </c>
      <c r="BA4880" t="s">
        <v>1403</v>
      </c>
      <c r="BE4880" s="3">
        <v>42160</v>
      </c>
      <c r="BF4880" s="1">
        <v>525000</v>
      </c>
      <c r="BG4880" t="s">
        <v>30416</v>
      </c>
      <c r="BH4880" s="1">
        <v>146.94</v>
      </c>
      <c r="BI4880" s="1">
        <v>505470</v>
      </c>
      <c r="BJ4880" s="3">
        <v>42160</v>
      </c>
      <c r="BK4880" t="s">
        <v>123</v>
      </c>
      <c r="BL4880" t="str">
        <f>"2015.403398"</f>
        <v>2015.403398</v>
      </c>
      <c r="BM4880" t="s">
        <v>2748</v>
      </c>
      <c r="BO4880" t="s">
        <v>30417</v>
      </c>
      <c r="BS4880">
        <v>30</v>
      </c>
      <c r="BW4880" t="str">
        <f>""</f>
        <v/>
      </c>
      <c r="CH4880" t="str">
        <f>""</f>
        <v/>
      </c>
      <c r="CS4880" t="str">
        <f>""</f>
        <v/>
      </c>
    </row>
    <row r="4881" spans="1:97" x14ac:dyDescent="0.25">
      <c r="A4881" t="s">
        <v>177</v>
      </c>
      <c r="B4881" t="s">
        <v>30418</v>
      </c>
      <c r="C4881" t="s">
        <v>1119</v>
      </c>
      <c r="D4881" t="s">
        <v>30418</v>
      </c>
      <c r="E4881" t="s">
        <v>30419</v>
      </c>
      <c r="F4881" t="s">
        <v>108</v>
      </c>
      <c r="H4881" t="s">
        <v>30420</v>
      </c>
      <c r="I4881" t="s">
        <v>632</v>
      </c>
      <c r="J4881" t="s">
        <v>111</v>
      </c>
      <c r="K4881" t="str">
        <f>"85379"</f>
        <v>85379</v>
      </c>
      <c r="L4881" t="s">
        <v>5021</v>
      </c>
      <c r="M4881" t="s">
        <v>30420</v>
      </c>
      <c r="N4881" t="s">
        <v>632</v>
      </c>
      <c r="O4881" t="s">
        <v>111</v>
      </c>
      <c r="P4881" t="str">
        <f>"85379-5318"</f>
        <v>85379-5318</v>
      </c>
      <c r="Q4881" t="s">
        <v>113</v>
      </c>
      <c r="R4881" t="str">
        <f>"509-14-595"</f>
        <v>509-14-595</v>
      </c>
      <c r="S4881" t="s">
        <v>19713</v>
      </c>
      <c r="U4881">
        <v>2545</v>
      </c>
      <c r="V4881">
        <v>0</v>
      </c>
      <c r="W4881">
        <v>3</v>
      </c>
      <c r="X4881">
        <v>2003</v>
      </c>
      <c r="Z4881">
        <v>1</v>
      </c>
      <c r="AB4881">
        <v>0</v>
      </c>
      <c r="AC4881" t="s">
        <v>115</v>
      </c>
      <c r="AD4881">
        <v>4</v>
      </c>
      <c r="AE4881" t="s">
        <v>115</v>
      </c>
      <c r="AF4881">
        <v>0</v>
      </c>
      <c r="AG4881">
        <v>0</v>
      </c>
      <c r="AH4881" t="s">
        <v>116</v>
      </c>
      <c r="AI4881" s="1">
        <v>29691</v>
      </c>
      <c r="AJ4881" s="2">
        <v>0.08</v>
      </c>
      <c r="AK4881" s="1">
        <v>365416</v>
      </c>
      <c r="AL4881" t="s">
        <v>117</v>
      </c>
      <c r="AM4881" t="s">
        <v>118</v>
      </c>
      <c r="AN4881">
        <v>15500</v>
      </c>
      <c r="AO4881">
        <v>0.36</v>
      </c>
      <c r="AP4881">
        <v>1</v>
      </c>
      <c r="AR4881">
        <v>1</v>
      </c>
      <c r="AS4881" s="1">
        <v>25930</v>
      </c>
      <c r="AT4881" s="1">
        <v>5180</v>
      </c>
      <c r="AU4881" s="1">
        <v>20750</v>
      </c>
      <c r="AV4881">
        <v>80.02</v>
      </c>
      <c r="AX4881" s="1">
        <v>2193.7399999999998</v>
      </c>
      <c r="AY4881" t="s">
        <v>5615</v>
      </c>
      <c r="AZ4881" t="s">
        <v>5615</v>
      </c>
      <c r="BA4881" t="s">
        <v>635</v>
      </c>
      <c r="BE4881" s="3">
        <v>42485</v>
      </c>
      <c r="BF4881" s="1">
        <v>325000</v>
      </c>
      <c r="BG4881" t="s">
        <v>30421</v>
      </c>
      <c r="BH4881" s="1">
        <v>127.7</v>
      </c>
      <c r="BI4881" s="1">
        <v>335725</v>
      </c>
      <c r="BJ4881" s="3">
        <v>42485</v>
      </c>
      <c r="BK4881" t="s">
        <v>123</v>
      </c>
      <c r="BL4881" t="str">
        <f>"2016.274461"</f>
        <v>2016.274461</v>
      </c>
      <c r="BM4881" t="s">
        <v>724</v>
      </c>
      <c r="BO4881" t="s">
        <v>30422</v>
      </c>
      <c r="BS4881">
        <v>30</v>
      </c>
      <c r="BW4881" t="str">
        <f>""</f>
        <v/>
      </c>
      <c r="CH4881" t="str">
        <f>""</f>
        <v/>
      </c>
      <c r="CS4881" t="str">
        <f>""</f>
        <v/>
      </c>
    </row>
    <row r="4882" spans="1:97" x14ac:dyDescent="0.25">
      <c r="A4882" t="s">
        <v>984</v>
      </c>
      <c r="B4882" t="s">
        <v>30423</v>
      </c>
      <c r="E4882" t="s">
        <v>30424</v>
      </c>
      <c r="F4882" t="s">
        <v>108</v>
      </c>
      <c r="H4882" t="s">
        <v>30425</v>
      </c>
      <c r="I4882" t="s">
        <v>2874</v>
      </c>
      <c r="J4882" t="s">
        <v>111</v>
      </c>
      <c r="K4882" t="str">
        <f>"85310"</f>
        <v>85310</v>
      </c>
      <c r="L4882" t="s">
        <v>3885</v>
      </c>
      <c r="M4882" t="s">
        <v>30425</v>
      </c>
      <c r="N4882" t="s">
        <v>2874</v>
      </c>
      <c r="O4882" t="s">
        <v>111</v>
      </c>
      <c r="P4882" t="str">
        <f>"85310-3644"</f>
        <v>85310-3644</v>
      </c>
      <c r="Q4882" t="s">
        <v>113</v>
      </c>
      <c r="R4882" t="str">
        <f>"201-11-642"</f>
        <v>201-11-642</v>
      </c>
      <c r="S4882" t="s">
        <v>24903</v>
      </c>
      <c r="T4882" t="s">
        <v>24904</v>
      </c>
      <c r="U4882">
        <v>3635</v>
      </c>
      <c r="V4882">
        <v>0</v>
      </c>
      <c r="W4882">
        <v>4</v>
      </c>
      <c r="X4882">
        <v>1994</v>
      </c>
      <c r="Z4882">
        <v>2</v>
      </c>
      <c r="AA4882" t="s">
        <v>26</v>
      </c>
      <c r="AB4882">
        <v>0</v>
      </c>
      <c r="AC4882" t="s">
        <v>115</v>
      </c>
      <c r="AD4882">
        <v>3</v>
      </c>
      <c r="AE4882" t="s">
        <v>115</v>
      </c>
      <c r="AF4882">
        <v>0</v>
      </c>
      <c r="AG4882">
        <v>0</v>
      </c>
      <c r="AH4882" t="s">
        <v>116</v>
      </c>
      <c r="AI4882" s="1">
        <v>70351</v>
      </c>
      <c r="AJ4882" s="2">
        <v>0.15</v>
      </c>
      <c r="AK4882" s="1">
        <v>457726</v>
      </c>
      <c r="AL4882" t="s">
        <v>117</v>
      </c>
      <c r="AM4882" t="s">
        <v>1302</v>
      </c>
      <c r="AN4882">
        <v>9233</v>
      </c>
      <c r="AO4882">
        <v>0.21</v>
      </c>
      <c r="AP4882">
        <v>1</v>
      </c>
      <c r="AR4882">
        <v>1</v>
      </c>
      <c r="AS4882" s="1">
        <v>33330</v>
      </c>
      <c r="AT4882" s="1">
        <v>6660</v>
      </c>
      <c r="AU4882" s="1">
        <v>26670</v>
      </c>
      <c r="AV4882">
        <v>80.02</v>
      </c>
      <c r="AX4882" s="1">
        <v>3330.84</v>
      </c>
      <c r="AY4882" t="s">
        <v>5125</v>
      </c>
      <c r="AZ4882" t="s">
        <v>3049</v>
      </c>
      <c r="BA4882" t="s">
        <v>1386</v>
      </c>
      <c r="BE4882" s="3">
        <v>42545</v>
      </c>
      <c r="BF4882" s="1">
        <v>375000</v>
      </c>
      <c r="BG4882" t="s">
        <v>30426</v>
      </c>
      <c r="BH4882" s="1">
        <v>103.16</v>
      </c>
      <c r="BI4882" s="1">
        <v>387375</v>
      </c>
      <c r="BJ4882" s="3">
        <v>42545</v>
      </c>
      <c r="BK4882" t="s">
        <v>123</v>
      </c>
      <c r="BL4882" t="str">
        <f>"2016.443999"</f>
        <v>2016.443999</v>
      </c>
      <c r="BM4882" t="s">
        <v>135</v>
      </c>
      <c r="BO4882" t="s">
        <v>30427</v>
      </c>
      <c r="BS4882">
        <v>30</v>
      </c>
      <c r="BW4882" t="str">
        <f>""</f>
        <v/>
      </c>
      <c r="CH4882" t="str">
        <f>""</f>
        <v/>
      </c>
      <c r="CS4882" t="str">
        <f>""</f>
        <v/>
      </c>
    </row>
    <row r="4883" spans="1:97" x14ac:dyDescent="0.25">
      <c r="A4883" t="s">
        <v>996</v>
      </c>
      <c r="B4883" t="s">
        <v>22144</v>
      </c>
      <c r="C4883" t="s">
        <v>513</v>
      </c>
      <c r="D4883" t="s">
        <v>22144</v>
      </c>
      <c r="E4883" t="s">
        <v>30428</v>
      </c>
      <c r="F4883" t="s">
        <v>108</v>
      </c>
      <c r="H4883" t="s">
        <v>30429</v>
      </c>
      <c r="I4883" t="s">
        <v>203</v>
      </c>
      <c r="J4883" t="s">
        <v>111</v>
      </c>
      <c r="K4883" t="str">
        <f>"85298"</f>
        <v>85298</v>
      </c>
      <c r="L4883" t="s">
        <v>7243</v>
      </c>
      <c r="M4883" t="s">
        <v>30429</v>
      </c>
      <c r="N4883" t="s">
        <v>203</v>
      </c>
      <c r="O4883" t="s">
        <v>111</v>
      </c>
      <c r="P4883" t="str">
        <f>"85298-4048"</f>
        <v>85298-4048</v>
      </c>
      <c r="Q4883" t="s">
        <v>113</v>
      </c>
      <c r="R4883" t="str">
        <f>"313-04-148"</f>
        <v>313-04-148</v>
      </c>
      <c r="S4883" t="s">
        <v>24767</v>
      </c>
      <c r="T4883" t="s">
        <v>24768</v>
      </c>
      <c r="U4883">
        <v>1693</v>
      </c>
      <c r="V4883">
        <v>0</v>
      </c>
      <c r="W4883">
        <v>3</v>
      </c>
      <c r="X4883">
        <v>2003</v>
      </c>
      <c r="Z4883">
        <v>1</v>
      </c>
      <c r="AB4883">
        <v>0</v>
      </c>
      <c r="AC4883" t="s">
        <v>115</v>
      </c>
      <c r="AD4883">
        <v>2</v>
      </c>
      <c r="AE4883" t="s">
        <v>115</v>
      </c>
      <c r="AF4883">
        <v>0</v>
      </c>
      <c r="AG4883">
        <v>0</v>
      </c>
      <c r="AH4883" t="s">
        <v>116</v>
      </c>
      <c r="AI4883" s="1">
        <v>70942</v>
      </c>
      <c r="AJ4883" s="2">
        <v>0.22</v>
      </c>
      <c r="AK4883" s="1">
        <v>323242</v>
      </c>
      <c r="AL4883" t="s">
        <v>117</v>
      </c>
      <c r="AM4883" t="s">
        <v>191</v>
      </c>
      <c r="AN4883">
        <v>6050</v>
      </c>
      <c r="AO4883">
        <v>0.14000000000000001</v>
      </c>
      <c r="AP4883">
        <v>1</v>
      </c>
      <c r="AR4883">
        <v>1</v>
      </c>
      <c r="AS4883" s="1">
        <v>21000</v>
      </c>
      <c r="AT4883" s="1">
        <v>4200</v>
      </c>
      <c r="AU4883" s="1">
        <v>16800</v>
      </c>
      <c r="AV4883">
        <v>80</v>
      </c>
      <c r="AX4883" s="1">
        <v>1740.02</v>
      </c>
      <c r="AY4883" t="s">
        <v>5875</v>
      </c>
      <c r="AZ4883" t="s">
        <v>1134</v>
      </c>
      <c r="BA4883" t="s">
        <v>1134</v>
      </c>
      <c r="BE4883" s="3">
        <v>42342</v>
      </c>
      <c r="BF4883" s="1">
        <v>247000</v>
      </c>
      <c r="BG4883" t="s">
        <v>30430</v>
      </c>
      <c r="BH4883" s="1">
        <v>145.88999999999999</v>
      </c>
      <c r="BI4883" s="1">
        <v>252300</v>
      </c>
      <c r="BJ4883" s="3">
        <v>42342</v>
      </c>
      <c r="BK4883" t="s">
        <v>123</v>
      </c>
      <c r="BL4883" t="str">
        <f>"2015.860316"</f>
        <v>2015.860316</v>
      </c>
      <c r="BM4883" t="s">
        <v>7531</v>
      </c>
      <c r="BO4883" t="s">
        <v>30431</v>
      </c>
      <c r="BS4883">
        <v>30</v>
      </c>
      <c r="BW4883" t="str">
        <f>""</f>
        <v/>
      </c>
      <c r="CH4883" t="str">
        <f>""</f>
        <v/>
      </c>
      <c r="CS4883" t="str">
        <f>""</f>
        <v/>
      </c>
    </row>
    <row r="4884" spans="1:97" x14ac:dyDescent="0.25">
      <c r="A4884" t="s">
        <v>894</v>
      </c>
      <c r="B4884" t="s">
        <v>30432</v>
      </c>
      <c r="C4884" t="s">
        <v>6510</v>
      </c>
      <c r="D4884" t="s">
        <v>30432</v>
      </c>
      <c r="E4884" t="s">
        <v>30433</v>
      </c>
      <c r="F4884" t="s">
        <v>108</v>
      </c>
      <c r="H4884" t="s">
        <v>30434</v>
      </c>
      <c r="I4884" t="s">
        <v>390</v>
      </c>
      <c r="J4884" t="s">
        <v>111</v>
      </c>
      <c r="K4884" t="str">
        <f>"85032"</f>
        <v>85032</v>
      </c>
      <c r="L4884" t="s">
        <v>1312</v>
      </c>
      <c r="M4884" t="s">
        <v>30434</v>
      </c>
      <c r="N4884" t="s">
        <v>390</v>
      </c>
      <c r="O4884" t="s">
        <v>111</v>
      </c>
      <c r="P4884" t="str">
        <f>"85032-3428"</f>
        <v>85032-3428</v>
      </c>
      <c r="Q4884" t="s">
        <v>113</v>
      </c>
      <c r="R4884" t="str">
        <f>"215-19-244"</f>
        <v>215-19-244</v>
      </c>
      <c r="S4884" t="s">
        <v>30435</v>
      </c>
      <c r="T4884" t="s">
        <v>30436</v>
      </c>
      <c r="U4884">
        <v>1819</v>
      </c>
      <c r="V4884">
        <v>0</v>
      </c>
      <c r="W4884">
        <v>2</v>
      </c>
      <c r="X4884">
        <v>1980</v>
      </c>
      <c r="Z4884">
        <v>1</v>
      </c>
      <c r="AA4884" t="s">
        <v>26</v>
      </c>
      <c r="AB4884">
        <v>0</v>
      </c>
      <c r="AC4884" t="s">
        <v>115</v>
      </c>
      <c r="AD4884">
        <v>2</v>
      </c>
      <c r="AE4884" t="s">
        <v>115</v>
      </c>
      <c r="AF4884">
        <v>0</v>
      </c>
      <c r="AG4884">
        <v>0</v>
      </c>
      <c r="AH4884" t="s">
        <v>116</v>
      </c>
      <c r="AI4884" s="1">
        <v>156113</v>
      </c>
      <c r="AJ4884" s="2">
        <v>0.39</v>
      </c>
      <c r="AK4884" s="1">
        <v>405113</v>
      </c>
      <c r="AL4884" t="s">
        <v>117</v>
      </c>
      <c r="AM4884" t="s">
        <v>1302</v>
      </c>
      <c r="AN4884">
        <v>11151</v>
      </c>
      <c r="AO4884">
        <v>0.26</v>
      </c>
      <c r="AP4884">
        <v>1</v>
      </c>
      <c r="AR4884">
        <v>1</v>
      </c>
      <c r="AS4884" s="1">
        <v>27920</v>
      </c>
      <c r="AT4884" s="1">
        <v>5580</v>
      </c>
      <c r="AU4884" s="1">
        <v>22340</v>
      </c>
      <c r="AV4884">
        <v>80.010000000000005</v>
      </c>
      <c r="AX4884" s="1">
        <v>2569.1999999999998</v>
      </c>
      <c r="AY4884" t="s">
        <v>1316</v>
      </c>
      <c r="AZ4884" t="s">
        <v>1317</v>
      </c>
      <c r="BA4884" t="s">
        <v>1318</v>
      </c>
      <c r="BE4884" s="3">
        <v>42080</v>
      </c>
      <c r="BF4884" s="1">
        <v>339000</v>
      </c>
      <c r="BG4884" t="s">
        <v>30437</v>
      </c>
      <c r="BH4884" s="1">
        <v>186.37</v>
      </c>
      <c r="BI4884" s="1">
        <v>249000</v>
      </c>
      <c r="BJ4884" s="3">
        <v>42080</v>
      </c>
      <c r="BK4884" t="s">
        <v>123</v>
      </c>
      <c r="BL4884" t="str">
        <f>"2015.176843"</f>
        <v>2015.176843</v>
      </c>
      <c r="BM4884" t="s">
        <v>2716</v>
      </c>
      <c r="BO4884" t="s">
        <v>30438</v>
      </c>
      <c r="BS4884">
        <v>30</v>
      </c>
      <c r="BW4884" t="str">
        <f>""</f>
        <v/>
      </c>
      <c r="CH4884" t="str">
        <f>""</f>
        <v/>
      </c>
      <c r="CS4884" t="str">
        <f>""</f>
        <v/>
      </c>
    </row>
    <row r="4885" spans="1:97" x14ac:dyDescent="0.25">
      <c r="A4885" t="s">
        <v>1160</v>
      </c>
      <c r="B4885" t="s">
        <v>30439</v>
      </c>
      <c r="C4885" t="s">
        <v>1845</v>
      </c>
      <c r="D4885" t="s">
        <v>30440</v>
      </c>
      <c r="E4885" t="s">
        <v>30441</v>
      </c>
      <c r="F4885" t="s">
        <v>108</v>
      </c>
      <c r="H4885" t="s">
        <v>30442</v>
      </c>
      <c r="I4885" t="s">
        <v>499</v>
      </c>
      <c r="J4885" t="s">
        <v>111</v>
      </c>
      <c r="K4885" t="str">
        <f>"85338"</f>
        <v>85338</v>
      </c>
      <c r="L4885" t="s">
        <v>5325</v>
      </c>
      <c r="M4885" t="s">
        <v>30442</v>
      </c>
      <c r="N4885" t="s">
        <v>499</v>
      </c>
      <c r="O4885" t="s">
        <v>111</v>
      </c>
      <c r="P4885" t="str">
        <f>"85338-5287"</f>
        <v>85338-5287</v>
      </c>
      <c r="Q4885" t="s">
        <v>113</v>
      </c>
      <c r="R4885" t="str">
        <f>"400-79-693"</f>
        <v>400-79-693</v>
      </c>
      <c r="S4885" t="s">
        <v>30443</v>
      </c>
      <c r="U4885">
        <v>2686</v>
      </c>
      <c r="V4885">
        <v>0</v>
      </c>
      <c r="W4885">
        <v>4</v>
      </c>
      <c r="X4885">
        <v>2003</v>
      </c>
      <c r="Z4885">
        <v>1</v>
      </c>
      <c r="AB4885">
        <v>0</v>
      </c>
      <c r="AC4885" t="s">
        <v>115</v>
      </c>
      <c r="AD4885">
        <v>2</v>
      </c>
      <c r="AE4885" t="s">
        <v>115</v>
      </c>
      <c r="AF4885">
        <v>0</v>
      </c>
      <c r="AG4885">
        <v>0</v>
      </c>
      <c r="AH4885" t="s">
        <v>116</v>
      </c>
      <c r="AI4885" s="1">
        <v>74192</v>
      </c>
      <c r="AJ4885" s="2">
        <v>0.2</v>
      </c>
      <c r="AK4885" s="1">
        <v>363328</v>
      </c>
      <c r="AL4885" t="s">
        <v>117</v>
      </c>
      <c r="AM4885" t="s">
        <v>118</v>
      </c>
      <c r="AN4885">
        <v>11528</v>
      </c>
      <c r="AO4885">
        <v>0.26</v>
      </c>
      <c r="AP4885">
        <v>1</v>
      </c>
      <c r="AR4885">
        <v>1</v>
      </c>
      <c r="AS4885" s="1">
        <v>26560</v>
      </c>
      <c r="AT4885" s="1">
        <v>5310</v>
      </c>
      <c r="AU4885" s="1">
        <v>21250</v>
      </c>
      <c r="AV4885">
        <v>80.010000000000005</v>
      </c>
      <c r="AX4885" s="1">
        <v>2848.74</v>
      </c>
      <c r="AY4885" t="s">
        <v>4236</v>
      </c>
      <c r="AZ4885" t="s">
        <v>4236</v>
      </c>
      <c r="BA4885" t="s">
        <v>1247</v>
      </c>
      <c r="BE4885" s="3">
        <v>41908</v>
      </c>
      <c r="BF4885" s="1">
        <v>279900</v>
      </c>
      <c r="BG4885" t="s">
        <v>30444</v>
      </c>
      <c r="BH4885" s="1">
        <v>104.21</v>
      </c>
      <c r="BI4885" s="1">
        <v>289136</v>
      </c>
      <c r="BJ4885" s="3">
        <v>41908</v>
      </c>
      <c r="BK4885" t="s">
        <v>123</v>
      </c>
      <c r="BL4885" t="str">
        <f>"2014.638919"</f>
        <v>2014.638919</v>
      </c>
      <c r="BM4885" t="s">
        <v>544</v>
      </c>
      <c r="BO4885" t="s">
        <v>30445</v>
      </c>
      <c r="BP4885" t="s">
        <v>30446</v>
      </c>
      <c r="BS4885">
        <v>30</v>
      </c>
      <c r="BW4885" t="str">
        <f>""</f>
        <v/>
      </c>
      <c r="CH4885" t="str">
        <f>""</f>
        <v/>
      </c>
      <c r="CS4885" t="str">
        <f>""</f>
        <v/>
      </c>
    </row>
    <row r="4886" spans="1:97" x14ac:dyDescent="0.25">
      <c r="A4886" t="s">
        <v>1444</v>
      </c>
      <c r="B4886" t="s">
        <v>30447</v>
      </c>
      <c r="C4886" t="s">
        <v>1047</v>
      </c>
      <c r="D4886" t="s">
        <v>30447</v>
      </c>
      <c r="E4886" t="s">
        <v>30448</v>
      </c>
      <c r="F4886" t="s">
        <v>108</v>
      </c>
      <c r="H4886" t="s">
        <v>30449</v>
      </c>
      <c r="I4886" t="s">
        <v>390</v>
      </c>
      <c r="J4886" t="s">
        <v>111</v>
      </c>
      <c r="K4886" t="str">
        <f>"85028"</f>
        <v>85028</v>
      </c>
      <c r="L4886" t="s">
        <v>5485</v>
      </c>
      <c r="M4886" t="s">
        <v>30449</v>
      </c>
      <c r="N4886" t="s">
        <v>390</v>
      </c>
      <c r="O4886" t="s">
        <v>111</v>
      </c>
      <c r="P4886" t="str">
        <f>"85028-1827"</f>
        <v>85028-1827</v>
      </c>
      <c r="Q4886" t="s">
        <v>113</v>
      </c>
      <c r="R4886" t="str">
        <f>"166-39-048"</f>
        <v>166-39-048</v>
      </c>
      <c r="S4886" t="s">
        <v>30450</v>
      </c>
      <c r="T4886" t="s">
        <v>30451</v>
      </c>
      <c r="U4886">
        <v>2151</v>
      </c>
      <c r="V4886">
        <v>0</v>
      </c>
      <c r="W4886">
        <v>3</v>
      </c>
      <c r="X4886">
        <v>1979</v>
      </c>
      <c r="Z4886">
        <v>1</v>
      </c>
      <c r="AA4886" t="s">
        <v>26</v>
      </c>
      <c r="AB4886">
        <v>0</v>
      </c>
      <c r="AC4886" t="s">
        <v>115</v>
      </c>
      <c r="AD4886">
        <v>2</v>
      </c>
      <c r="AE4886" t="s">
        <v>115</v>
      </c>
      <c r="AF4886">
        <v>0</v>
      </c>
      <c r="AG4886">
        <v>0</v>
      </c>
      <c r="AH4886" t="s">
        <v>116</v>
      </c>
      <c r="AI4886" s="1">
        <v>81703</v>
      </c>
      <c r="AJ4886" s="2">
        <v>0.19</v>
      </c>
      <c r="AK4886" s="1">
        <v>438628</v>
      </c>
      <c r="AL4886" t="s">
        <v>117</v>
      </c>
      <c r="AM4886" t="s">
        <v>171</v>
      </c>
      <c r="AN4886">
        <v>12561</v>
      </c>
      <c r="AO4886">
        <v>0.28999999999999998</v>
      </c>
      <c r="AP4886">
        <v>1</v>
      </c>
      <c r="AR4886">
        <v>1</v>
      </c>
      <c r="AS4886" s="1">
        <v>31210</v>
      </c>
      <c r="AT4886" s="1">
        <v>6240</v>
      </c>
      <c r="AU4886" s="1">
        <v>24970</v>
      </c>
      <c r="AV4886">
        <v>80.010000000000005</v>
      </c>
      <c r="AX4886" s="1">
        <v>2803.3</v>
      </c>
      <c r="AY4886" t="s">
        <v>5488</v>
      </c>
      <c r="AZ4886" t="s">
        <v>5489</v>
      </c>
      <c r="BA4886" t="s">
        <v>5232</v>
      </c>
      <c r="BE4886" s="3">
        <v>41768</v>
      </c>
      <c r="BF4886" s="1">
        <v>354900</v>
      </c>
      <c r="BG4886" t="s">
        <v>30452</v>
      </c>
      <c r="BH4886" s="1">
        <v>164.99</v>
      </c>
      <c r="BI4886" s="1">
        <v>356925</v>
      </c>
      <c r="BJ4886" s="3">
        <v>42292</v>
      </c>
      <c r="BK4886" t="s">
        <v>123</v>
      </c>
      <c r="BL4886" t="str">
        <f>"2015.743220"</f>
        <v>2015.743220</v>
      </c>
      <c r="BM4886" t="s">
        <v>1791</v>
      </c>
      <c r="BO4886" t="s">
        <v>30453</v>
      </c>
      <c r="BS4886">
        <v>30</v>
      </c>
      <c r="BW4886" t="str">
        <f>""</f>
        <v/>
      </c>
      <c r="CH4886" t="str">
        <f>""</f>
        <v/>
      </c>
      <c r="CS4886" t="str">
        <f>""</f>
        <v/>
      </c>
    </row>
    <row r="4887" spans="1:97" x14ac:dyDescent="0.25">
      <c r="A4887" t="s">
        <v>701</v>
      </c>
      <c r="B4887" t="s">
        <v>30454</v>
      </c>
      <c r="C4887" t="s">
        <v>489</v>
      </c>
      <c r="D4887" t="s">
        <v>30454</v>
      </c>
      <c r="E4887" t="s">
        <v>30455</v>
      </c>
      <c r="F4887" t="s">
        <v>108</v>
      </c>
      <c r="H4887" t="s">
        <v>30456</v>
      </c>
      <c r="I4887" t="s">
        <v>225</v>
      </c>
      <c r="J4887" t="s">
        <v>111</v>
      </c>
      <c r="K4887" t="str">
        <f>"85207"</f>
        <v>85207</v>
      </c>
      <c r="L4887" t="s">
        <v>1796</v>
      </c>
      <c r="M4887" t="s">
        <v>30456</v>
      </c>
      <c r="N4887" t="s">
        <v>225</v>
      </c>
      <c r="O4887" t="s">
        <v>111</v>
      </c>
      <c r="P4887" t="str">
        <f>"85207-1055"</f>
        <v>85207-1055</v>
      </c>
      <c r="Q4887" t="s">
        <v>113</v>
      </c>
      <c r="R4887" t="str">
        <f>"219-19-033"</f>
        <v>219-19-033</v>
      </c>
      <c r="S4887" t="s">
        <v>30457</v>
      </c>
      <c r="T4887" t="s">
        <v>30458</v>
      </c>
      <c r="U4887">
        <v>2451</v>
      </c>
      <c r="V4887">
        <v>0</v>
      </c>
      <c r="W4887">
        <v>4</v>
      </c>
      <c r="X4887">
        <v>1997</v>
      </c>
      <c r="Z4887">
        <v>2</v>
      </c>
      <c r="AA4887" t="s">
        <v>15127</v>
      </c>
      <c r="AB4887">
        <v>0</v>
      </c>
      <c r="AC4887" t="s">
        <v>115</v>
      </c>
      <c r="AD4887">
        <v>3</v>
      </c>
      <c r="AE4887" t="s">
        <v>115</v>
      </c>
      <c r="AF4887">
        <v>0</v>
      </c>
      <c r="AG4887">
        <v>0</v>
      </c>
      <c r="AH4887" t="s">
        <v>116</v>
      </c>
      <c r="AI4887" s="1">
        <v>83353</v>
      </c>
      <c r="AJ4887" s="2">
        <v>0.21</v>
      </c>
      <c r="AK4887" s="1">
        <v>392809</v>
      </c>
      <c r="AL4887" t="s">
        <v>117</v>
      </c>
      <c r="AM4887" t="s">
        <v>393</v>
      </c>
      <c r="AN4887">
        <v>6304</v>
      </c>
      <c r="AO4887">
        <v>0.14000000000000001</v>
      </c>
      <c r="AP4887">
        <v>1</v>
      </c>
      <c r="AR4887">
        <v>1</v>
      </c>
      <c r="AS4887" s="1">
        <v>27230</v>
      </c>
      <c r="AT4887" s="1">
        <v>5440</v>
      </c>
      <c r="AU4887" s="1">
        <v>21790</v>
      </c>
      <c r="AV4887">
        <v>80.02</v>
      </c>
      <c r="AX4887" s="1">
        <v>2591.48</v>
      </c>
      <c r="AY4887" t="s">
        <v>9337</v>
      </c>
      <c r="AZ4887" t="s">
        <v>231</v>
      </c>
      <c r="BA4887" t="s">
        <v>3119</v>
      </c>
      <c r="BB4887" s="3">
        <v>42216</v>
      </c>
      <c r="BD4887" t="s">
        <v>240</v>
      </c>
      <c r="BE4887" s="3">
        <v>41708</v>
      </c>
      <c r="BF4887" s="1">
        <v>299000</v>
      </c>
      <c r="BG4887" t="s">
        <v>30459</v>
      </c>
      <c r="BH4887" s="1">
        <v>121.99</v>
      </c>
      <c r="BI4887" s="1">
        <v>309456</v>
      </c>
      <c r="BJ4887" s="3">
        <v>42216</v>
      </c>
      <c r="BK4887" t="s">
        <v>123</v>
      </c>
      <c r="BL4887" t="str">
        <f>"2015.558437"</f>
        <v>2015.558437</v>
      </c>
      <c r="BM4887" t="s">
        <v>1325</v>
      </c>
      <c r="BO4887" t="s">
        <v>30460</v>
      </c>
      <c r="BS4887">
        <v>30</v>
      </c>
      <c r="BW4887" t="str">
        <f>""</f>
        <v/>
      </c>
      <c r="CH4887" t="str">
        <f>""</f>
        <v/>
      </c>
      <c r="CS4887" t="str">
        <f>""</f>
        <v/>
      </c>
    </row>
    <row r="4888" spans="1:97" x14ac:dyDescent="0.25">
      <c r="A4888" t="s">
        <v>140</v>
      </c>
      <c r="B4888" t="s">
        <v>1944</v>
      </c>
      <c r="C4888" t="s">
        <v>25633</v>
      </c>
      <c r="D4888" t="s">
        <v>1944</v>
      </c>
      <c r="E4888" t="s">
        <v>30461</v>
      </c>
      <c r="F4888" t="s">
        <v>108</v>
      </c>
      <c r="H4888" t="s">
        <v>30462</v>
      </c>
      <c r="I4888" t="s">
        <v>453</v>
      </c>
      <c r="J4888" t="s">
        <v>111</v>
      </c>
      <c r="K4888" t="str">
        <f>"85383"</f>
        <v>85383</v>
      </c>
      <c r="L4888" t="s">
        <v>7235</v>
      </c>
      <c r="M4888" t="s">
        <v>30462</v>
      </c>
      <c r="N4888" t="s">
        <v>453</v>
      </c>
      <c r="O4888" t="s">
        <v>111</v>
      </c>
      <c r="P4888" t="str">
        <f>"85383-5862"</f>
        <v>85383-5862</v>
      </c>
      <c r="Q4888" t="s">
        <v>113</v>
      </c>
      <c r="R4888" t="str">
        <f>"503-66-436"</f>
        <v>503-66-436</v>
      </c>
      <c r="S4888" t="s">
        <v>9145</v>
      </c>
      <c r="U4888">
        <v>2423</v>
      </c>
      <c r="V4888">
        <v>0</v>
      </c>
      <c r="W4888">
        <v>4</v>
      </c>
      <c r="X4888">
        <v>2014</v>
      </c>
      <c r="Z4888">
        <v>2</v>
      </c>
      <c r="AA4888" t="s">
        <v>26</v>
      </c>
      <c r="AB4888">
        <v>0</v>
      </c>
      <c r="AC4888" t="s">
        <v>115</v>
      </c>
      <c r="AD4888">
        <v>2</v>
      </c>
      <c r="AE4888" t="s">
        <v>115</v>
      </c>
      <c r="AF4888">
        <v>0</v>
      </c>
      <c r="AG4888">
        <v>0</v>
      </c>
      <c r="AH4888" t="s">
        <v>116</v>
      </c>
      <c r="AI4888" s="1">
        <v>77025</v>
      </c>
      <c r="AJ4888" s="2">
        <v>0.24</v>
      </c>
      <c r="AK4888" s="1">
        <v>327262</v>
      </c>
      <c r="AL4888" t="s">
        <v>117</v>
      </c>
      <c r="AM4888" t="s">
        <v>5379</v>
      </c>
      <c r="AN4888">
        <v>4706</v>
      </c>
      <c r="AO4888">
        <v>0.11</v>
      </c>
      <c r="AR4888">
        <v>1</v>
      </c>
      <c r="AS4888" s="1">
        <v>23730</v>
      </c>
      <c r="AT4888" s="1">
        <v>4740</v>
      </c>
      <c r="AU4888" s="1">
        <v>18990</v>
      </c>
      <c r="AV4888">
        <v>80.03</v>
      </c>
      <c r="AX4888" s="1">
        <v>2243.42</v>
      </c>
      <c r="AY4888" t="s">
        <v>456</v>
      </c>
      <c r="AZ4888" t="s">
        <v>456</v>
      </c>
      <c r="BA4888" t="s">
        <v>457</v>
      </c>
      <c r="BE4888" s="3">
        <v>41809</v>
      </c>
      <c r="BF4888" s="1">
        <v>244971</v>
      </c>
      <c r="BG4888" t="s">
        <v>233</v>
      </c>
      <c r="BH4888" s="1">
        <v>101.1</v>
      </c>
      <c r="BI4888" s="1">
        <v>250237</v>
      </c>
      <c r="BJ4888" s="3">
        <v>41809</v>
      </c>
      <c r="BK4888" t="s">
        <v>123</v>
      </c>
      <c r="BL4888" t="str">
        <f>"2014.401742"</f>
        <v>2014.401742</v>
      </c>
      <c r="BM4888" t="s">
        <v>4076</v>
      </c>
      <c r="BO4888" t="s">
        <v>30463</v>
      </c>
      <c r="BS4888">
        <v>30</v>
      </c>
      <c r="BW4888" t="str">
        <f>""</f>
        <v/>
      </c>
      <c r="CH4888" t="str">
        <f>""</f>
        <v/>
      </c>
      <c r="CS4888" t="str">
        <f>""</f>
        <v/>
      </c>
    </row>
    <row r="4889" spans="1:97" x14ac:dyDescent="0.25">
      <c r="A4889" t="s">
        <v>305</v>
      </c>
      <c r="B4889" t="s">
        <v>30464</v>
      </c>
      <c r="E4889" t="s">
        <v>30465</v>
      </c>
      <c r="F4889" t="s">
        <v>108</v>
      </c>
      <c r="H4889" t="s">
        <v>30466</v>
      </c>
      <c r="I4889" t="s">
        <v>203</v>
      </c>
      <c r="J4889" t="s">
        <v>111</v>
      </c>
      <c r="K4889" t="str">
        <f>"85297"</f>
        <v>85297</v>
      </c>
      <c r="L4889" t="s">
        <v>5048</v>
      </c>
      <c r="M4889" t="s">
        <v>30466</v>
      </c>
      <c r="N4889" t="s">
        <v>203</v>
      </c>
      <c r="O4889" t="s">
        <v>111</v>
      </c>
      <c r="P4889" t="str">
        <f>"85297-7770"</f>
        <v>85297-7770</v>
      </c>
      <c r="Q4889" t="s">
        <v>113</v>
      </c>
      <c r="R4889" t="str">
        <f>"304-51-511"</f>
        <v>304-51-511</v>
      </c>
      <c r="S4889" t="s">
        <v>22576</v>
      </c>
      <c r="U4889">
        <v>3094</v>
      </c>
      <c r="V4889">
        <v>0</v>
      </c>
      <c r="W4889">
        <v>3</v>
      </c>
      <c r="X4889">
        <v>2000</v>
      </c>
      <c r="Z4889">
        <v>2</v>
      </c>
      <c r="AA4889" t="s">
        <v>26</v>
      </c>
      <c r="AB4889">
        <v>0</v>
      </c>
      <c r="AC4889" t="s">
        <v>115</v>
      </c>
      <c r="AD4889">
        <v>2</v>
      </c>
      <c r="AE4889" t="s">
        <v>115</v>
      </c>
      <c r="AF4889">
        <v>0</v>
      </c>
      <c r="AG4889">
        <v>0</v>
      </c>
      <c r="AH4889" t="s">
        <v>116</v>
      </c>
      <c r="AI4889" s="1">
        <v>119286</v>
      </c>
      <c r="AJ4889" s="2">
        <v>0.3</v>
      </c>
      <c r="AK4889" s="1">
        <v>397217</v>
      </c>
      <c r="AL4889" t="s">
        <v>117</v>
      </c>
      <c r="AM4889" t="s">
        <v>393</v>
      </c>
      <c r="AN4889">
        <v>7315</v>
      </c>
      <c r="AO4889">
        <v>0.17</v>
      </c>
      <c r="AP4889">
        <v>1</v>
      </c>
      <c r="AR4889">
        <v>1</v>
      </c>
      <c r="AS4889" s="1">
        <v>27380</v>
      </c>
      <c r="AT4889" s="1">
        <v>5470</v>
      </c>
      <c r="AU4889" s="1">
        <v>21910</v>
      </c>
      <c r="AV4889">
        <v>80.02</v>
      </c>
      <c r="AX4889" s="1">
        <v>2221.46</v>
      </c>
      <c r="AY4889" t="s">
        <v>394</v>
      </c>
      <c r="AZ4889" t="s">
        <v>394</v>
      </c>
      <c r="BA4889" t="s">
        <v>290</v>
      </c>
      <c r="BE4889" s="3">
        <v>42495</v>
      </c>
      <c r="BF4889" s="1">
        <v>324500</v>
      </c>
      <c r="BG4889" t="s">
        <v>30467</v>
      </c>
      <c r="BH4889" s="1">
        <v>104.88</v>
      </c>
      <c r="BI4889" s="1">
        <v>277931</v>
      </c>
      <c r="BJ4889" s="3">
        <v>42495</v>
      </c>
      <c r="BK4889" t="s">
        <v>123</v>
      </c>
      <c r="BL4889" t="str">
        <f>"2016.307753"</f>
        <v>2016.307753</v>
      </c>
      <c r="BM4889" t="s">
        <v>5348</v>
      </c>
      <c r="BO4889" t="s">
        <v>30468</v>
      </c>
      <c r="BS4889">
        <v>30</v>
      </c>
      <c r="BW4889" t="str">
        <f>""</f>
        <v/>
      </c>
      <c r="CH4889" t="str">
        <f>""</f>
        <v/>
      </c>
      <c r="CS4889" t="str">
        <f>""</f>
        <v/>
      </c>
    </row>
    <row r="4890" spans="1:97" x14ac:dyDescent="0.25">
      <c r="A4890" t="s">
        <v>464</v>
      </c>
      <c r="B4890" t="s">
        <v>30469</v>
      </c>
      <c r="E4890" t="s">
        <v>30470</v>
      </c>
      <c r="F4890" t="s">
        <v>108</v>
      </c>
      <c r="H4890" t="s">
        <v>30471</v>
      </c>
      <c r="I4890" t="s">
        <v>2874</v>
      </c>
      <c r="J4890" t="s">
        <v>111</v>
      </c>
      <c r="K4890" t="str">
        <f>"85308"</f>
        <v>85308</v>
      </c>
      <c r="L4890" t="s">
        <v>6481</v>
      </c>
      <c r="M4890" t="s">
        <v>30471</v>
      </c>
      <c r="N4890" t="s">
        <v>2874</v>
      </c>
      <c r="O4890" t="s">
        <v>111</v>
      </c>
      <c r="P4890" t="str">
        <f>"85308-4754"</f>
        <v>85308-4754</v>
      </c>
      <c r="Q4890" t="s">
        <v>113</v>
      </c>
      <c r="R4890" t="str">
        <f>"206-18-199"</f>
        <v>206-18-199</v>
      </c>
      <c r="S4890" t="s">
        <v>13103</v>
      </c>
      <c r="T4890" t="s">
        <v>13104</v>
      </c>
      <c r="U4890">
        <v>1500</v>
      </c>
      <c r="V4890">
        <v>0</v>
      </c>
      <c r="W4890">
        <v>3</v>
      </c>
      <c r="X4890">
        <v>1996</v>
      </c>
      <c r="Z4890">
        <v>1</v>
      </c>
      <c r="AA4890" t="s">
        <v>26</v>
      </c>
      <c r="AB4890">
        <v>0</v>
      </c>
      <c r="AC4890" t="s">
        <v>115</v>
      </c>
      <c r="AD4890">
        <v>2</v>
      </c>
      <c r="AE4890" t="s">
        <v>115</v>
      </c>
      <c r="AF4890">
        <v>0</v>
      </c>
      <c r="AG4890">
        <v>0</v>
      </c>
      <c r="AH4890" t="s">
        <v>116</v>
      </c>
      <c r="AI4890" s="1">
        <v>21930</v>
      </c>
      <c r="AJ4890" s="2">
        <v>0.08</v>
      </c>
      <c r="AK4890" s="1">
        <v>272949</v>
      </c>
      <c r="AL4890" t="s">
        <v>117</v>
      </c>
      <c r="AM4890" t="s">
        <v>191</v>
      </c>
      <c r="AN4890">
        <v>6102</v>
      </c>
      <c r="AO4890">
        <v>0.14000000000000001</v>
      </c>
      <c r="AP4890">
        <v>1</v>
      </c>
      <c r="AR4890">
        <v>1</v>
      </c>
      <c r="AS4890" s="1">
        <v>20080</v>
      </c>
      <c r="AT4890" s="1">
        <v>4010</v>
      </c>
      <c r="AU4890" s="1">
        <v>16070</v>
      </c>
      <c r="AV4890">
        <v>80.03</v>
      </c>
      <c r="AX4890" s="1">
        <v>1602.64</v>
      </c>
      <c r="AY4890" t="s">
        <v>9121</v>
      </c>
      <c r="AZ4890" t="s">
        <v>2357</v>
      </c>
      <c r="BA4890" t="s">
        <v>1462</v>
      </c>
      <c r="BE4890" s="3">
        <v>42228</v>
      </c>
      <c r="BF4890" s="1">
        <v>210000</v>
      </c>
      <c r="BG4890" t="s">
        <v>30472</v>
      </c>
      <c r="BH4890" s="1">
        <v>140</v>
      </c>
      <c r="BI4890" s="1">
        <v>251019</v>
      </c>
      <c r="BJ4890" s="3">
        <v>43060</v>
      </c>
      <c r="BK4890" t="s">
        <v>123</v>
      </c>
      <c r="BL4890" t="str">
        <f>"2017.865798"</f>
        <v>2017.865798</v>
      </c>
      <c r="BM4890" t="s">
        <v>1249</v>
      </c>
      <c r="BO4890" t="s">
        <v>30473</v>
      </c>
      <c r="BS4890">
        <v>30</v>
      </c>
      <c r="BW4890" t="str">
        <f>""</f>
        <v/>
      </c>
      <c r="CH4890" t="str">
        <f>""</f>
        <v/>
      </c>
      <c r="CS4890" t="str">
        <f>""</f>
        <v/>
      </c>
    </row>
    <row r="4891" spans="1:97" x14ac:dyDescent="0.25">
      <c r="A4891" t="s">
        <v>815</v>
      </c>
      <c r="B4891" t="s">
        <v>30474</v>
      </c>
      <c r="C4891" t="s">
        <v>11127</v>
      </c>
      <c r="D4891" t="s">
        <v>30474</v>
      </c>
      <c r="E4891" t="s">
        <v>30475</v>
      </c>
      <c r="F4891" t="s">
        <v>108</v>
      </c>
      <c r="H4891" t="s">
        <v>30476</v>
      </c>
      <c r="I4891" t="s">
        <v>5636</v>
      </c>
      <c r="J4891" t="s">
        <v>111</v>
      </c>
      <c r="K4891" t="str">
        <f>"85268"</f>
        <v>85268</v>
      </c>
      <c r="L4891" t="s">
        <v>5910</v>
      </c>
      <c r="M4891" t="s">
        <v>30476</v>
      </c>
      <c r="N4891" t="s">
        <v>5636</v>
      </c>
      <c r="O4891" t="s">
        <v>111</v>
      </c>
      <c r="P4891" t="str">
        <f>"85268-4743"</f>
        <v>85268-4743</v>
      </c>
      <c r="Q4891" t="s">
        <v>113</v>
      </c>
      <c r="R4891" t="str">
        <f>"176-24-614"</f>
        <v>176-24-614</v>
      </c>
      <c r="S4891" t="s">
        <v>30477</v>
      </c>
      <c r="U4891">
        <v>2693</v>
      </c>
      <c r="V4891">
        <v>0</v>
      </c>
      <c r="W4891">
        <v>4</v>
      </c>
      <c r="X4891">
        <v>2013</v>
      </c>
      <c r="Z4891">
        <v>1</v>
      </c>
      <c r="AA4891" t="s">
        <v>26</v>
      </c>
      <c r="AB4891">
        <v>0</v>
      </c>
      <c r="AC4891" t="s">
        <v>115</v>
      </c>
      <c r="AD4891">
        <v>2</v>
      </c>
      <c r="AE4891" t="s">
        <v>115</v>
      </c>
      <c r="AF4891">
        <v>0</v>
      </c>
      <c r="AG4891">
        <v>0</v>
      </c>
      <c r="AH4891" t="s">
        <v>116</v>
      </c>
      <c r="AI4891" s="1">
        <v>265209</v>
      </c>
      <c r="AJ4891" s="2">
        <v>0.36</v>
      </c>
      <c r="AK4891" s="1">
        <v>736021</v>
      </c>
      <c r="AL4891" t="s">
        <v>117</v>
      </c>
      <c r="AM4891" t="s">
        <v>1302</v>
      </c>
      <c r="AN4891">
        <v>61507</v>
      </c>
      <c r="AO4891">
        <v>1.41</v>
      </c>
      <c r="AR4891">
        <v>1</v>
      </c>
      <c r="AS4891" s="1">
        <v>55110</v>
      </c>
      <c r="AT4891" s="1">
        <v>11020</v>
      </c>
      <c r="AU4891" s="1">
        <v>44090</v>
      </c>
      <c r="AV4891">
        <v>80</v>
      </c>
      <c r="AX4891" s="1">
        <v>3222.64</v>
      </c>
      <c r="AY4891" t="s">
        <v>5639</v>
      </c>
      <c r="AZ4891" t="s">
        <v>5640</v>
      </c>
      <c r="BA4891" t="s">
        <v>5641</v>
      </c>
      <c r="BE4891" s="3">
        <v>41752</v>
      </c>
      <c r="BF4891" s="1">
        <v>665000</v>
      </c>
      <c r="BG4891" t="s">
        <v>30478</v>
      </c>
      <c r="BH4891" s="1">
        <v>246.94</v>
      </c>
      <c r="BI4891" s="1">
        <v>470812</v>
      </c>
      <c r="BJ4891" s="3">
        <v>41752</v>
      </c>
      <c r="BK4891" t="s">
        <v>123</v>
      </c>
      <c r="BL4891" t="str">
        <f>"2014.262621"</f>
        <v>2014.262621</v>
      </c>
      <c r="BM4891" t="s">
        <v>135</v>
      </c>
      <c r="BO4891" t="s">
        <v>30479</v>
      </c>
      <c r="BS4891">
        <v>30</v>
      </c>
      <c r="BW4891" t="str">
        <f>""</f>
        <v/>
      </c>
      <c r="CH4891" t="str">
        <f>""</f>
        <v/>
      </c>
      <c r="CS4891" t="str">
        <f>""</f>
        <v/>
      </c>
    </row>
    <row r="4892" spans="1:97" x14ac:dyDescent="0.25">
      <c r="A4892" t="s">
        <v>464</v>
      </c>
      <c r="B4892" t="s">
        <v>30480</v>
      </c>
      <c r="C4892" t="s">
        <v>10325</v>
      </c>
      <c r="D4892" t="s">
        <v>30480</v>
      </c>
      <c r="E4892" t="s">
        <v>30481</v>
      </c>
      <c r="F4892" t="s">
        <v>108</v>
      </c>
      <c r="H4892" t="s">
        <v>30482</v>
      </c>
      <c r="I4892" t="s">
        <v>499</v>
      </c>
      <c r="J4892" t="s">
        <v>111</v>
      </c>
      <c r="K4892" t="str">
        <f>"85395"</f>
        <v>85395</v>
      </c>
      <c r="L4892" t="s">
        <v>500</v>
      </c>
      <c r="M4892" t="s">
        <v>30482</v>
      </c>
      <c r="N4892" t="s">
        <v>499</v>
      </c>
      <c r="O4892" t="s">
        <v>111</v>
      </c>
      <c r="P4892" t="str">
        <f>"85395-5226"</f>
        <v>85395-5226</v>
      </c>
      <c r="Q4892" t="s">
        <v>113</v>
      </c>
      <c r="R4892" t="str">
        <f>"502-30-050"</f>
        <v>502-30-050</v>
      </c>
      <c r="S4892" t="s">
        <v>30483</v>
      </c>
      <c r="T4892" t="s">
        <v>502</v>
      </c>
      <c r="U4892">
        <v>2410</v>
      </c>
      <c r="V4892">
        <v>0</v>
      </c>
      <c r="W4892">
        <v>4</v>
      </c>
      <c r="X4892">
        <v>2013</v>
      </c>
      <c r="Z4892">
        <v>1</v>
      </c>
      <c r="AA4892" t="s">
        <v>26</v>
      </c>
      <c r="AB4892">
        <v>0</v>
      </c>
      <c r="AC4892" t="s">
        <v>115</v>
      </c>
      <c r="AD4892">
        <v>3</v>
      </c>
      <c r="AE4892" t="s">
        <v>115</v>
      </c>
      <c r="AF4892">
        <v>0</v>
      </c>
      <c r="AG4892">
        <v>0</v>
      </c>
      <c r="AH4892" t="s">
        <v>116</v>
      </c>
      <c r="AI4892" s="1">
        <v>56316</v>
      </c>
      <c r="AJ4892" s="2">
        <v>0.15</v>
      </c>
      <c r="AK4892" s="1">
        <v>371316</v>
      </c>
      <c r="AL4892" t="s">
        <v>117</v>
      </c>
      <c r="AM4892" t="s">
        <v>118</v>
      </c>
      <c r="AN4892">
        <v>8686</v>
      </c>
      <c r="AO4892">
        <v>0.2</v>
      </c>
      <c r="AR4892">
        <v>1</v>
      </c>
      <c r="AS4892" s="1">
        <v>26570</v>
      </c>
      <c r="AT4892" s="1">
        <v>5310</v>
      </c>
      <c r="AU4892" s="1">
        <v>21260</v>
      </c>
      <c r="AV4892">
        <v>80.02</v>
      </c>
      <c r="AX4892" s="1">
        <v>2219.2600000000002</v>
      </c>
      <c r="AY4892" t="s">
        <v>503</v>
      </c>
      <c r="AZ4892" t="s">
        <v>504</v>
      </c>
      <c r="BA4892" t="s">
        <v>218</v>
      </c>
      <c r="BE4892" s="3">
        <v>42543</v>
      </c>
      <c r="BF4892" s="1">
        <v>315000</v>
      </c>
      <c r="BG4892" t="s">
        <v>30484</v>
      </c>
      <c r="BH4892" s="1">
        <v>130.71</v>
      </c>
      <c r="BI4892" s="1">
        <v>315000</v>
      </c>
      <c r="BJ4892" s="3">
        <v>42543</v>
      </c>
      <c r="BK4892" t="s">
        <v>123</v>
      </c>
      <c r="BL4892" t="str">
        <f>"2016.436023"</f>
        <v>2016.436023</v>
      </c>
      <c r="BM4892" t="s">
        <v>1287</v>
      </c>
      <c r="BO4892" t="s">
        <v>30485</v>
      </c>
      <c r="BS4892">
        <v>30</v>
      </c>
      <c r="BW4892" t="str">
        <f>""</f>
        <v/>
      </c>
      <c r="CH4892" t="str">
        <f>""</f>
        <v/>
      </c>
      <c r="CS4892" t="str">
        <f>""</f>
        <v/>
      </c>
    </row>
    <row r="4893" spans="1:97" x14ac:dyDescent="0.25">
      <c r="A4893" t="s">
        <v>2045</v>
      </c>
      <c r="B4893" t="s">
        <v>30486</v>
      </c>
      <c r="C4893" t="s">
        <v>3505</v>
      </c>
      <c r="D4893" t="s">
        <v>30487</v>
      </c>
      <c r="E4893" t="s">
        <v>30488</v>
      </c>
      <c r="F4893" t="s">
        <v>108</v>
      </c>
      <c r="H4893" t="s">
        <v>30489</v>
      </c>
      <c r="I4893" t="s">
        <v>110</v>
      </c>
      <c r="J4893" t="s">
        <v>111</v>
      </c>
      <c r="K4893" t="str">
        <f>"85226"</f>
        <v>85226</v>
      </c>
      <c r="L4893" t="s">
        <v>2547</v>
      </c>
      <c r="M4893" t="s">
        <v>30489</v>
      </c>
      <c r="N4893" t="s">
        <v>110</v>
      </c>
      <c r="O4893" t="s">
        <v>111</v>
      </c>
      <c r="P4893" t="str">
        <f>"85226-1318"</f>
        <v>85226-1318</v>
      </c>
      <c r="Q4893" t="s">
        <v>113</v>
      </c>
      <c r="R4893" t="str">
        <f>"308-06-684"</f>
        <v>308-06-684</v>
      </c>
      <c r="S4893" t="s">
        <v>5920</v>
      </c>
      <c r="T4893" t="s">
        <v>5920</v>
      </c>
      <c r="U4893">
        <v>3229</v>
      </c>
      <c r="V4893">
        <v>0</v>
      </c>
      <c r="W4893">
        <v>4</v>
      </c>
      <c r="X4893">
        <v>1990</v>
      </c>
      <c r="Z4893">
        <v>2</v>
      </c>
      <c r="AA4893" t="s">
        <v>26</v>
      </c>
      <c r="AB4893">
        <v>0</v>
      </c>
      <c r="AC4893" t="s">
        <v>115</v>
      </c>
      <c r="AD4893">
        <v>3</v>
      </c>
      <c r="AE4893" t="s">
        <v>115</v>
      </c>
      <c r="AF4893">
        <v>0</v>
      </c>
      <c r="AG4893">
        <v>0</v>
      </c>
      <c r="AH4893" t="s">
        <v>116</v>
      </c>
      <c r="AI4893" s="1">
        <v>118138</v>
      </c>
      <c r="AJ4893" s="2">
        <v>0.22</v>
      </c>
      <c r="AK4893" s="1">
        <v>529264</v>
      </c>
      <c r="AL4893" t="s">
        <v>117</v>
      </c>
      <c r="AM4893" t="s">
        <v>118</v>
      </c>
      <c r="AN4893">
        <v>9243</v>
      </c>
      <c r="AO4893">
        <v>0.21</v>
      </c>
      <c r="AP4893">
        <v>1</v>
      </c>
      <c r="AR4893">
        <v>1</v>
      </c>
      <c r="AS4893" s="1">
        <v>38780</v>
      </c>
      <c r="AT4893" s="1">
        <v>7750</v>
      </c>
      <c r="AU4893" s="1">
        <v>31030</v>
      </c>
      <c r="AV4893">
        <v>80.02</v>
      </c>
      <c r="AX4893" s="1">
        <v>3388.02</v>
      </c>
      <c r="AY4893" t="s">
        <v>5921</v>
      </c>
      <c r="AZ4893" t="s">
        <v>5922</v>
      </c>
      <c r="BA4893" t="s">
        <v>5202</v>
      </c>
      <c r="BB4893" s="3">
        <v>43017</v>
      </c>
      <c r="BD4893" t="s">
        <v>157</v>
      </c>
      <c r="BE4893" s="3">
        <v>41806</v>
      </c>
      <c r="BF4893" s="1">
        <v>425000</v>
      </c>
      <c r="BG4893" t="s">
        <v>30490</v>
      </c>
      <c r="BH4893" s="1">
        <v>131.62</v>
      </c>
      <c r="BI4893" s="1">
        <v>411126</v>
      </c>
      <c r="BJ4893" s="3">
        <v>42881</v>
      </c>
      <c r="BK4893" t="s">
        <v>123</v>
      </c>
      <c r="BL4893" t="str">
        <f>"2017.386018"</f>
        <v>2017.386018</v>
      </c>
      <c r="BM4893" t="s">
        <v>425</v>
      </c>
      <c r="BN4893" t="s">
        <v>426</v>
      </c>
      <c r="BO4893" t="s">
        <v>30491</v>
      </c>
      <c r="BS4893">
        <v>30</v>
      </c>
      <c r="BW4893" t="str">
        <f>""</f>
        <v/>
      </c>
      <c r="CH4893" t="str">
        <f>""</f>
        <v/>
      </c>
      <c r="CS4893" t="str">
        <f>""</f>
        <v/>
      </c>
    </row>
    <row r="4894" spans="1:97" x14ac:dyDescent="0.25">
      <c r="A4894" t="s">
        <v>2435</v>
      </c>
      <c r="B4894" t="s">
        <v>30492</v>
      </c>
      <c r="C4894" t="s">
        <v>482</v>
      </c>
      <c r="D4894" t="s">
        <v>30492</v>
      </c>
      <c r="E4894" t="s">
        <v>30493</v>
      </c>
      <c r="F4894" t="s">
        <v>108</v>
      </c>
      <c r="H4894" t="s">
        <v>30494</v>
      </c>
      <c r="I4894" t="s">
        <v>203</v>
      </c>
      <c r="J4894" t="s">
        <v>111</v>
      </c>
      <c r="K4894" t="str">
        <f>"85296"</f>
        <v>85296</v>
      </c>
      <c r="L4894" t="s">
        <v>7834</v>
      </c>
      <c r="M4894" t="s">
        <v>30494</v>
      </c>
      <c r="N4894" t="s">
        <v>203</v>
      </c>
      <c r="O4894" t="s">
        <v>111</v>
      </c>
      <c r="P4894" t="str">
        <f>"85296-3611"</f>
        <v>85296-3611</v>
      </c>
      <c r="Q4894" t="s">
        <v>113</v>
      </c>
      <c r="R4894" t="str">
        <f>"309-17-783"</f>
        <v>309-17-783</v>
      </c>
      <c r="S4894" t="s">
        <v>7835</v>
      </c>
      <c r="T4894" t="s">
        <v>7836</v>
      </c>
      <c r="U4894">
        <v>2094</v>
      </c>
      <c r="V4894">
        <v>0</v>
      </c>
      <c r="W4894">
        <v>3</v>
      </c>
      <c r="X4894">
        <v>1999</v>
      </c>
      <c r="Z4894">
        <v>1</v>
      </c>
      <c r="AB4894">
        <v>0</v>
      </c>
      <c r="AC4894" t="s">
        <v>115</v>
      </c>
      <c r="AD4894">
        <v>3</v>
      </c>
      <c r="AE4894" t="s">
        <v>115</v>
      </c>
      <c r="AF4894">
        <v>0</v>
      </c>
      <c r="AG4894">
        <v>0</v>
      </c>
      <c r="AH4894" t="s">
        <v>116</v>
      </c>
      <c r="AI4894" s="1">
        <v>122432</v>
      </c>
      <c r="AJ4894" s="2">
        <v>0.33</v>
      </c>
      <c r="AK4894" s="1">
        <v>370982</v>
      </c>
      <c r="AL4894" t="s">
        <v>117</v>
      </c>
      <c r="AM4894" t="s">
        <v>393</v>
      </c>
      <c r="AN4894">
        <v>8030</v>
      </c>
      <c r="AO4894">
        <v>0.18</v>
      </c>
      <c r="AP4894">
        <v>1</v>
      </c>
      <c r="AR4894">
        <v>1</v>
      </c>
      <c r="AS4894" s="1">
        <v>26230</v>
      </c>
      <c r="AT4894" s="1">
        <v>5240</v>
      </c>
      <c r="AU4894" s="1">
        <v>20990</v>
      </c>
      <c r="AV4894">
        <v>80.02</v>
      </c>
      <c r="AX4894" s="1">
        <v>1895.66</v>
      </c>
      <c r="AY4894" t="s">
        <v>7837</v>
      </c>
      <c r="AZ4894" t="s">
        <v>207</v>
      </c>
      <c r="BA4894" t="s">
        <v>208</v>
      </c>
      <c r="BE4894" s="3">
        <v>42423</v>
      </c>
      <c r="BF4894" s="1">
        <v>315500</v>
      </c>
      <c r="BG4894" t="s">
        <v>30495</v>
      </c>
      <c r="BH4894" s="1">
        <v>150.66999999999999</v>
      </c>
      <c r="BI4894" s="1">
        <v>248550</v>
      </c>
      <c r="BJ4894" s="3">
        <v>42423</v>
      </c>
      <c r="BK4894" t="s">
        <v>123</v>
      </c>
      <c r="BL4894" t="str">
        <f>"2016.112429"</f>
        <v>2016.112429</v>
      </c>
      <c r="BM4894" t="s">
        <v>124</v>
      </c>
      <c r="BO4894" t="s">
        <v>30496</v>
      </c>
      <c r="BS4894">
        <v>30</v>
      </c>
      <c r="BW4894" t="str">
        <f>""</f>
        <v/>
      </c>
      <c r="CH4894" t="str">
        <f>""</f>
        <v/>
      </c>
      <c r="CS4894" t="str">
        <f>""</f>
        <v/>
      </c>
    </row>
    <row r="4895" spans="1:97" x14ac:dyDescent="0.25">
      <c r="A4895" t="s">
        <v>713</v>
      </c>
      <c r="B4895" t="s">
        <v>30497</v>
      </c>
      <c r="E4895" t="s">
        <v>30498</v>
      </c>
      <c r="F4895" t="s">
        <v>108</v>
      </c>
      <c r="H4895" t="s">
        <v>30499</v>
      </c>
      <c r="I4895" t="s">
        <v>1936</v>
      </c>
      <c r="J4895" t="s">
        <v>111</v>
      </c>
      <c r="K4895" t="str">
        <f>"85254"</f>
        <v>85254</v>
      </c>
      <c r="L4895" t="s">
        <v>5248</v>
      </c>
      <c r="M4895" t="s">
        <v>30499</v>
      </c>
      <c r="N4895" t="s">
        <v>1936</v>
      </c>
      <c r="O4895" t="s">
        <v>111</v>
      </c>
      <c r="P4895" t="str">
        <f>"85254-3055"</f>
        <v>85254-3055</v>
      </c>
      <c r="Q4895" t="s">
        <v>113</v>
      </c>
      <c r="R4895" t="str">
        <f>"215-78-091"</f>
        <v>215-78-091</v>
      </c>
      <c r="S4895" t="s">
        <v>22630</v>
      </c>
      <c r="T4895" t="s">
        <v>22631</v>
      </c>
      <c r="U4895">
        <v>1660</v>
      </c>
      <c r="V4895">
        <v>0</v>
      </c>
      <c r="W4895">
        <v>3</v>
      </c>
      <c r="X4895">
        <v>1989</v>
      </c>
      <c r="Z4895">
        <v>1</v>
      </c>
      <c r="AB4895">
        <v>0</v>
      </c>
      <c r="AC4895" t="s">
        <v>115</v>
      </c>
      <c r="AD4895">
        <v>3</v>
      </c>
      <c r="AE4895" t="s">
        <v>115</v>
      </c>
      <c r="AF4895">
        <v>0</v>
      </c>
      <c r="AG4895">
        <v>0</v>
      </c>
      <c r="AH4895" t="s">
        <v>116</v>
      </c>
      <c r="AI4895" s="1">
        <v>80531</v>
      </c>
      <c r="AJ4895" s="2">
        <v>0.19</v>
      </c>
      <c r="AK4895" s="1">
        <v>431531</v>
      </c>
      <c r="AL4895" t="s">
        <v>117</v>
      </c>
      <c r="AM4895" t="s">
        <v>1302</v>
      </c>
      <c r="AN4895">
        <v>8948</v>
      </c>
      <c r="AO4895">
        <v>0.2</v>
      </c>
      <c r="AP4895">
        <v>1</v>
      </c>
      <c r="AR4895">
        <v>1</v>
      </c>
      <c r="AS4895" s="1">
        <v>30470</v>
      </c>
      <c r="AT4895" s="1">
        <v>6090</v>
      </c>
      <c r="AU4895" s="1">
        <v>24380</v>
      </c>
      <c r="AV4895">
        <v>80.010000000000005</v>
      </c>
      <c r="AX4895" s="1">
        <v>2812.5</v>
      </c>
      <c r="AY4895" t="s">
        <v>7738</v>
      </c>
      <c r="AZ4895" t="s">
        <v>7739</v>
      </c>
      <c r="BA4895" t="s">
        <v>6302</v>
      </c>
      <c r="BE4895" s="3">
        <v>42307</v>
      </c>
      <c r="BF4895" s="1">
        <v>351000</v>
      </c>
      <c r="BG4895" t="s">
        <v>30500</v>
      </c>
      <c r="BH4895" s="1">
        <v>210.94</v>
      </c>
      <c r="BI4895" s="1">
        <v>351000</v>
      </c>
      <c r="BJ4895" s="3">
        <v>42307</v>
      </c>
      <c r="BK4895" t="s">
        <v>123</v>
      </c>
      <c r="BL4895" t="str">
        <f>"2015.784595"</f>
        <v>2015.784595</v>
      </c>
      <c r="BM4895" t="s">
        <v>475</v>
      </c>
      <c r="BO4895" t="s">
        <v>30501</v>
      </c>
      <c r="BS4895">
        <v>30</v>
      </c>
      <c r="BW4895" t="str">
        <f>""</f>
        <v/>
      </c>
      <c r="CH4895" t="str">
        <f>""</f>
        <v/>
      </c>
      <c r="CS4895" t="str">
        <f>""</f>
        <v/>
      </c>
    </row>
    <row r="4896" spans="1:97" x14ac:dyDescent="0.25">
      <c r="A4896" t="s">
        <v>3580</v>
      </c>
      <c r="B4896" t="s">
        <v>30502</v>
      </c>
      <c r="C4896" t="s">
        <v>817</v>
      </c>
      <c r="D4896" t="s">
        <v>30502</v>
      </c>
      <c r="E4896" t="s">
        <v>30503</v>
      </c>
      <c r="F4896" t="s">
        <v>108</v>
      </c>
      <c r="H4896" t="s">
        <v>30504</v>
      </c>
      <c r="I4896" t="s">
        <v>453</v>
      </c>
      <c r="J4896" t="s">
        <v>111</v>
      </c>
      <c r="K4896" t="str">
        <f>"85383"</f>
        <v>85383</v>
      </c>
      <c r="L4896" t="s">
        <v>7243</v>
      </c>
      <c r="M4896" t="s">
        <v>30504</v>
      </c>
      <c r="N4896" t="s">
        <v>453</v>
      </c>
      <c r="O4896" t="s">
        <v>111</v>
      </c>
      <c r="P4896" t="str">
        <f>"85383-6263"</f>
        <v>85383-6263</v>
      </c>
      <c r="Q4896" t="s">
        <v>113</v>
      </c>
      <c r="R4896" t="str">
        <f>"201-20-423"</f>
        <v>201-20-423</v>
      </c>
      <c r="S4896" t="s">
        <v>8847</v>
      </c>
      <c r="T4896" t="s">
        <v>8847</v>
      </c>
      <c r="U4896">
        <v>2600</v>
      </c>
      <c r="V4896">
        <v>0</v>
      </c>
      <c r="W4896">
        <v>4</v>
      </c>
      <c r="X4896">
        <v>2015</v>
      </c>
      <c r="Z4896">
        <v>1</v>
      </c>
      <c r="AB4896">
        <v>0</v>
      </c>
      <c r="AC4896" t="s">
        <v>115</v>
      </c>
      <c r="AD4896">
        <v>3</v>
      </c>
      <c r="AE4896" t="s">
        <v>115</v>
      </c>
      <c r="AF4896">
        <v>0</v>
      </c>
      <c r="AG4896">
        <v>0</v>
      </c>
      <c r="AH4896" t="s">
        <v>116</v>
      </c>
      <c r="AI4896" s="1">
        <v>47645</v>
      </c>
      <c r="AJ4896" s="2">
        <v>0.11</v>
      </c>
      <c r="AK4896" s="1">
        <v>431318</v>
      </c>
      <c r="AL4896" t="s">
        <v>117</v>
      </c>
      <c r="AM4896" t="s">
        <v>118</v>
      </c>
      <c r="AN4896">
        <v>7850</v>
      </c>
      <c r="AO4896">
        <v>0.18</v>
      </c>
      <c r="AR4896">
        <v>1</v>
      </c>
      <c r="AS4896" s="1">
        <v>32800</v>
      </c>
      <c r="AT4896" s="1">
        <v>6560</v>
      </c>
      <c r="AU4896" s="1">
        <v>26240</v>
      </c>
      <c r="AV4896">
        <v>80</v>
      </c>
      <c r="AX4896" s="1">
        <v>2554.36</v>
      </c>
      <c r="AY4896" t="s">
        <v>1385</v>
      </c>
      <c r="AZ4896" t="s">
        <v>1385</v>
      </c>
      <c r="BA4896" t="s">
        <v>1386</v>
      </c>
      <c r="BE4896" s="3">
        <v>42412</v>
      </c>
      <c r="BF4896" s="1">
        <v>365853</v>
      </c>
      <c r="BG4896" t="s">
        <v>2199</v>
      </c>
      <c r="BH4896" s="1">
        <v>140.71</v>
      </c>
      <c r="BI4896" s="1">
        <v>383673</v>
      </c>
      <c r="BJ4896" s="3">
        <v>42535</v>
      </c>
      <c r="BK4896" t="s">
        <v>123</v>
      </c>
      <c r="BL4896" t="str">
        <f>"2016.410599"</f>
        <v>2016.410599</v>
      </c>
      <c r="BM4896" t="s">
        <v>1695</v>
      </c>
      <c r="BO4896" t="s">
        <v>30505</v>
      </c>
      <c r="BS4896">
        <v>30</v>
      </c>
      <c r="BW4896" t="str">
        <f>""</f>
        <v/>
      </c>
      <c r="CH4896" t="str">
        <f>""</f>
        <v/>
      </c>
      <c r="CS4896" t="str">
        <f>""</f>
        <v/>
      </c>
    </row>
    <row r="4897" spans="1:97" x14ac:dyDescent="0.25">
      <c r="A4897" t="s">
        <v>1021</v>
      </c>
      <c r="B4897" t="s">
        <v>30506</v>
      </c>
      <c r="E4897" t="s">
        <v>30507</v>
      </c>
      <c r="F4897" t="s">
        <v>108</v>
      </c>
      <c r="H4897" t="s">
        <v>30508</v>
      </c>
      <c r="I4897" t="s">
        <v>1936</v>
      </c>
      <c r="J4897" t="s">
        <v>111</v>
      </c>
      <c r="K4897" t="str">
        <f>"85255"</f>
        <v>85255</v>
      </c>
      <c r="L4897" t="s">
        <v>5260</v>
      </c>
      <c r="M4897" t="s">
        <v>30508</v>
      </c>
      <c r="N4897" t="s">
        <v>1936</v>
      </c>
      <c r="O4897" t="s">
        <v>111</v>
      </c>
      <c r="P4897" t="str">
        <f>"85255-4809"</f>
        <v>85255-4809</v>
      </c>
      <c r="Q4897" t="s">
        <v>113</v>
      </c>
      <c r="R4897" t="str">
        <f>"212-02-371"</f>
        <v>212-02-371</v>
      </c>
      <c r="S4897" t="s">
        <v>19071</v>
      </c>
      <c r="T4897" t="s">
        <v>19071</v>
      </c>
      <c r="U4897">
        <v>1453</v>
      </c>
      <c r="V4897">
        <v>0</v>
      </c>
      <c r="W4897">
        <v>3</v>
      </c>
      <c r="X4897">
        <v>1998</v>
      </c>
      <c r="Z4897">
        <v>2</v>
      </c>
      <c r="AB4897">
        <v>0</v>
      </c>
      <c r="AC4897" t="s">
        <v>115</v>
      </c>
      <c r="AD4897">
        <v>2</v>
      </c>
      <c r="AE4897" t="s">
        <v>115</v>
      </c>
      <c r="AF4897">
        <v>0</v>
      </c>
      <c r="AG4897">
        <v>0</v>
      </c>
      <c r="AH4897" t="s">
        <v>116</v>
      </c>
      <c r="AI4897" s="1">
        <v>62056</v>
      </c>
      <c r="AJ4897" s="2">
        <v>0.18</v>
      </c>
      <c r="AK4897" s="1">
        <v>351140</v>
      </c>
      <c r="AL4897" t="s">
        <v>117</v>
      </c>
      <c r="AM4897" t="s">
        <v>6533</v>
      </c>
      <c r="AN4897">
        <v>2301</v>
      </c>
      <c r="AO4897">
        <v>0.53</v>
      </c>
      <c r="AP4897">
        <v>1</v>
      </c>
      <c r="AR4897">
        <v>1</v>
      </c>
      <c r="AS4897" s="1">
        <v>23510</v>
      </c>
      <c r="AT4897" s="1">
        <v>4700</v>
      </c>
      <c r="AU4897" s="1">
        <v>18810</v>
      </c>
      <c r="AV4897">
        <v>80.010000000000005</v>
      </c>
      <c r="AX4897" s="1">
        <v>2192.38</v>
      </c>
      <c r="AY4897" t="s">
        <v>9968</v>
      </c>
      <c r="AZ4897" t="s">
        <v>761</v>
      </c>
      <c r="BA4897" t="s">
        <v>762</v>
      </c>
      <c r="BE4897" s="3">
        <v>42340</v>
      </c>
      <c r="BF4897" s="1">
        <v>283000</v>
      </c>
      <c r="BG4897" t="s">
        <v>30509</v>
      </c>
      <c r="BH4897" s="1">
        <v>194.77</v>
      </c>
      <c r="BI4897" s="1">
        <v>289084</v>
      </c>
      <c r="BJ4897" s="3">
        <v>42340</v>
      </c>
      <c r="BK4897" t="s">
        <v>123</v>
      </c>
      <c r="BL4897" t="str">
        <f>"2015.856853"</f>
        <v>2015.856853</v>
      </c>
      <c r="BM4897" t="s">
        <v>5534</v>
      </c>
      <c r="BO4897" t="s">
        <v>30510</v>
      </c>
      <c r="BS4897">
        <v>30</v>
      </c>
      <c r="BW4897" t="str">
        <f>""</f>
        <v/>
      </c>
      <c r="CH4897" t="str">
        <f>""</f>
        <v/>
      </c>
      <c r="CS4897" t="str">
        <f>""</f>
        <v/>
      </c>
    </row>
    <row r="4898" spans="1:97" x14ac:dyDescent="0.25">
      <c r="A4898" t="s">
        <v>6000</v>
      </c>
      <c r="B4898" t="s">
        <v>30511</v>
      </c>
      <c r="C4898" t="s">
        <v>1451</v>
      </c>
      <c r="D4898" t="s">
        <v>30511</v>
      </c>
      <c r="E4898" t="s">
        <v>30512</v>
      </c>
      <c r="F4898" t="s">
        <v>108</v>
      </c>
      <c r="H4898" t="s">
        <v>30513</v>
      </c>
      <c r="I4898" t="s">
        <v>1788</v>
      </c>
      <c r="J4898" t="s">
        <v>111</v>
      </c>
      <c r="K4898" t="str">
        <f>"85355"</f>
        <v>85355</v>
      </c>
      <c r="L4898" t="s">
        <v>3758</v>
      </c>
      <c r="M4898" t="s">
        <v>30513</v>
      </c>
      <c r="N4898" t="s">
        <v>1788</v>
      </c>
      <c r="O4898" t="s">
        <v>111</v>
      </c>
      <c r="P4898" t="str">
        <f>"85355-7817"</f>
        <v>85355-7817</v>
      </c>
      <c r="Q4898" t="s">
        <v>113</v>
      </c>
      <c r="R4898" t="str">
        <f>"502-10-309"</f>
        <v>502-10-309</v>
      </c>
      <c r="S4898" t="s">
        <v>7537</v>
      </c>
      <c r="T4898" t="s">
        <v>5971</v>
      </c>
      <c r="U4898">
        <v>2144</v>
      </c>
      <c r="V4898">
        <v>0</v>
      </c>
      <c r="W4898">
        <v>3</v>
      </c>
      <c r="X4898">
        <v>2006</v>
      </c>
      <c r="Z4898">
        <v>1</v>
      </c>
      <c r="AA4898" t="s">
        <v>26</v>
      </c>
      <c r="AB4898">
        <v>0</v>
      </c>
      <c r="AC4898" t="s">
        <v>115</v>
      </c>
      <c r="AD4898">
        <v>3</v>
      </c>
      <c r="AE4898" t="s">
        <v>115</v>
      </c>
      <c r="AF4898">
        <v>0</v>
      </c>
      <c r="AG4898">
        <v>0</v>
      </c>
      <c r="AH4898" t="s">
        <v>116</v>
      </c>
      <c r="AI4898" s="1">
        <v>-1716</v>
      </c>
      <c r="AJ4898" s="2">
        <v>-0.01</v>
      </c>
      <c r="AK4898" s="1">
        <v>333492</v>
      </c>
      <c r="AL4898" t="s">
        <v>117</v>
      </c>
      <c r="AM4898" t="s">
        <v>393</v>
      </c>
      <c r="AN4898">
        <v>10514</v>
      </c>
      <c r="AO4898">
        <v>0.24</v>
      </c>
      <c r="AR4898">
        <v>1</v>
      </c>
      <c r="AS4898" s="1">
        <v>24880</v>
      </c>
      <c r="AT4898" s="1">
        <v>4970</v>
      </c>
      <c r="AU4898" s="1">
        <v>19910</v>
      </c>
      <c r="AV4898">
        <v>80.02</v>
      </c>
      <c r="AX4898" s="1">
        <v>1834.6</v>
      </c>
      <c r="AY4898" t="s">
        <v>5972</v>
      </c>
      <c r="AZ4898" t="s">
        <v>5972</v>
      </c>
      <c r="BA4898" t="s">
        <v>5061</v>
      </c>
      <c r="BE4898" s="3">
        <v>41666</v>
      </c>
      <c r="BF4898" s="1">
        <v>256500</v>
      </c>
      <c r="BG4898" t="s">
        <v>30514</v>
      </c>
      <c r="BH4898" s="1">
        <v>119.64</v>
      </c>
      <c r="BI4898" s="1">
        <v>335208</v>
      </c>
      <c r="BJ4898" s="3">
        <v>42942</v>
      </c>
      <c r="BK4898" t="s">
        <v>123</v>
      </c>
      <c r="BL4898" t="str">
        <f>"2017.547333"</f>
        <v>2017.547333</v>
      </c>
      <c r="BM4898" t="s">
        <v>12472</v>
      </c>
      <c r="BO4898" t="s">
        <v>30515</v>
      </c>
      <c r="BS4898">
        <v>30</v>
      </c>
      <c r="BW4898" t="str">
        <f>""</f>
        <v/>
      </c>
      <c r="CH4898" t="str">
        <f>""</f>
        <v/>
      </c>
      <c r="CS4898" t="str">
        <f>""</f>
        <v/>
      </c>
    </row>
    <row r="4899" spans="1:97" x14ac:dyDescent="0.25">
      <c r="A4899" t="s">
        <v>695</v>
      </c>
      <c r="B4899" t="s">
        <v>30516</v>
      </c>
      <c r="E4899" t="s">
        <v>30517</v>
      </c>
      <c r="F4899" t="s">
        <v>108</v>
      </c>
      <c r="H4899" t="s">
        <v>30518</v>
      </c>
      <c r="I4899" t="s">
        <v>453</v>
      </c>
      <c r="J4899" t="s">
        <v>111</v>
      </c>
      <c r="K4899" t="str">
        <f>"85383"</f>
        <v>85383</v>
      </c>
      <c r="L4899" t="s">
        <v>7235</v>
      </c>
      <c r="M4899" t="s">
        <v>30518</v>
      </c>
      <c r="N4899" t="s">
        <v>453</v>
      </c>
      <c r="O4899" t="s">
        <v>111</v>
      </c>
      <c r="P4899" t="str">
        <f>"85383-5862"</f>
        <v>85383-5862</v>
      </c>
      <c r="Q4899" t="s">
        <v>113</v>
      </c>
      <c r="R4899" t="str">
        <f>"503-66-434"</f>
        <v>503-66-434</v>
      </c>
      <c r="S4899" t="s">
        <v>9145</v>
      </c>
      <c r="U4899">
        <v>2423</v>
      </c>
      <c r="V4899">
        <v>0</v>
      </c>
      <c r="W4899">
        <v>3</v>
      </c>
      <c r="X4899">
        <v>2015</v>
      </c>
      <c r="Z4899">
        <v>2</v>
      </c>
      <c r="AB4899">
        <v>0</v>
      </c>
      <c r="AC4899" t="s">
        <v>115</v>
      </c>
      <c r="AD4899">
        <v>2</v>
      </c>
      <c r="AE4899" t="s">
        <v>115</v>
      </c>
      <c r="AF4899">
        <v>0</v>
      </c>
      <c r="AG4899">
        <v>0</v>
      </c>
      <c r="AH4899" t="s">
        <v>116</v>
      </c>
      <c r="AI4899" s="1">
        <v>71647</v>
      </c>
      <c r="AJ4899" s="2">
        <v>0.23</v>
      </c>
      <c r="AK4899" s="1">
        <v>308477</v>
      </c>
      <c r="AL4899" t="s">
        <v>117</v>
      </c>
      <c r="AM4899" t="s">
        <v>5379</v>
      </c>
      <c r="AN4899">
        <v>4275</v>
      </c>
      <c r="AO4899">
        <v>0.98</v>
      </c>
      <c r="AR4899">
        <v>1</v>
      </c>
      <c r="AS4899" s="1">
        <v>22020</v>
      </c>
      <c r="AT4899" s="1">
        <v>4400</v>
      </c>
      <c r="AU4899" s="1">
        <v>17620</v>
      </c>
      <c r="AV4899">
        <v>80.02</v>
      </c>
      <c r="AX4899" s="1">
        <v>2394.14</v>
      </c>
      <c r="AY4899" t="s">
        <v>456</v>
      </c>
      <c r="AZ4899" t="s">
        <v>456</v>
      </c>
      <c r="BA4899" t="s">
        <v>457</v>
      </c>
      <c r="BE4899" s="3">
        <v>42159</v>
      </c>
      <c r="BF4899" s="1">
        <v>231846</v>
      </c>
      <c r="BG4899" t="s">
        <v>233</v>
      </c>
      <c r="BH4899" s="1">
        <v>95.69</v>
      </c>
      <c r="BI4899" s="1">
        <v>236830</v>
      </c>
      <c r="BJ4899" s="3">
        <v>42159</v>
      </c>
      <c r="BK4899" t="s">
        <v>123</v>
      </c>
      <c r="BL4899" t="str">
        <f>"2015.400095"</f>
        <v>2015.400095</v>
      </c>
      <c r="BM4899" t="s">
        <v>2683</v>
      </c>
      <c r="BO4899" t="s">
        <v>30519</v>
      </c>
      <c r="BS4899">
        <v>30</v>
      </c>
      <c r="BW4899" t="str">
        <f>""</f>
        <v/>
      </c>
      <c r="CH4899" t="str">
        <f>""</f>
        <v/>
      </c>
      <c r="CS4899" t="str">
        <f>""</f>
        <v/>
      </c>
    </row>
    <row r="4900" spans="1:97" x14ac:dyDescent="0.25">
      <c r="A4900" t="s">
        <v>894</v>
      </c>
      <c r="B4900" t="s">
        <v>30203</v>
      </c>
      <c r="C4900" t="s">
        <v>888</v>
      </c>
      <c r="D4900" t="s">
        <v>30203</v>
      </c>
      <c r="E4900" t="s">
        <v>30520</v>
      </c>
      <c r="F4900" t="s">
        <v>108</v>
      </c>
      <c r="H4900" t="s">
        <v>30521</v>
      </c>
      <c r="I4900" t="s">
        <v>390</v>
      </c>
      <c r="J4900" t="s">
        <v>111</v>
      </c>
      <c r="K4900" t="str">
        <f>"85018"</f>
        <v>85018</v>
      </c>
      <c r="L4900" t="s">
        <v>6325</v>
      </c>
      <c r="M4900" t="s">
        <v>30521</v>
      </c>
      <c r="N4900" t="s">
        <v>390</v>
      </c>
      <c r="O4900" t="s">
        <v>111</v>
      </c>
      <c r="P4900" t="str">
        <f>"85018-6031"</f>
        <v>85018-6031</v>
      </c>
      <c r="Q4900" t="s">
        <v>113</v>
      </c>
      <c r="R4900" t="str">
        <f>"127-08-054"</f>
        <v>127-08-054</v>
      </c>
      <c r="S4900" t="s">
        <v>30522</v>
      </c>
      <c r="U4900">
        <v>1961</v>
      </c>
      <c r="V4900">
        <v>0</v>
      </c>
      <c r="W4900">
        <v>2</v>
      </c>
      <c r="X4900">
        <v>1955</v>
      </c>
      <c r="Z4900">
        <v>1</v>
      </c>
      <c r="AA4900" t="s">
        <v>26</v>
      </c>
      <c r="AB4900">
        <v>0</v>
      </c>
      <c r="AC4900" t="s">
        <v>115</v>
      </c>
      <c r="AD4900">
        <v>2</v>
      </c>
      <c r="AE4900" t="s">
        <v>115</v>
      </c>
      <c r="AF4900">
        <v>0</v>
      </c>
      <c r="AG4900">
        <v>0</v>
      </c>
      <c r="AH4900" t="s">
        <v>116</v>
      </c>
      <c r="AI4900" s="1">
        <v>80511</v>
      </c>
      <c r="AJ4900" s="2">
        <v>0.14000000000000001</v>
      </c>
      <c r="AK4900" s="1">
        <v>589026</v>
      </c>
      <c r="AL4900" t="s">
        <v>117</v>
      </c>
      <c r="AM4900" t="s">
        <v>1302</v>
      </c>
      <c r="AN4900">
        <v>10690</v>
      </c>
      <c r="AO4900">
        <v>0.24</v>
      </c>
      <c r="AP4900">
        <v>1</v>
      </c>
      <c r="AR4900">
        <v>1</v>
      </c>
      <c r="AS4900" s="1">
        <v>42660</v>
      </c>
      <c r="AT4900" s="1">
        <v>8530</v>
      </c>
      <c r="AU4900" s="1">
        <v>34130</v>
      </c>
      <c r="AV4900">
        <v>80</v>
      </c>
      <c r="AX4900" s="1">
        <v>2259.92</v>
      </c>
      <c r="AY4900" t="s">
        <v>8347</v>
      </c>
      <c r="AZ4900" t="s">
        <v>8348</v>
      </c>
      <c r="BA4900" t="s">
        <v>8349</v>
      </c>
      <c r="BE4900" s="3">
        <v>42543</v>
      </c>
      <c r="BF4900" s="1">
        <v>529000</v>
      </c>
      <c r="BG4900" t="s">
        <v>30523</v>
      </c>
      <c r="BH4900" s="1">
        <v>269.76</v>
      </c>
      <c r="BI4900" s="1">
        <v>508515</v>
      </c>
      <c r="BJ4900" s="3">
        <v>42543</v>
      </c>
      <c r="BK4900" t="s">
        <v>123</v>
      </c>
      <c r="BL4900" t="str">
        <f>"2016.434774"</f>
        <v>2016.434774</v>
      </c>
      <c r="BM4900" t="s">
        <v>14460</v>
      </c>
      <c r="BO4900" t="s">
        <v>30524</v>
      </c>
      <c r="BS4900">
        <v>30</v>
      </c>
      <c r="BW4900" t="str">
        <f>""</f>
        <v/>
      </c>
      <c r="CH4900" t="str">
        <f>""</f>
        <v/>
      </c>
      <c r="CS4900" t="str">
        <f>""</f>
        <v/>
      </c>
    </row>
    <row r="4901" spans="1:97" x14ac:dyDescent="0.25">
      <c r="A4901" t="s">
        <v>6000</v>
      </c>
      <c r="B4901" t="s">
        <v>30525</v>
      </c>
      <c r="C4901" t="s">
        <v>484</v>
      </c>
      <c r="D4901" t="s">
        <v>30525</v>
      </c>
      <c r="E4901" t="s">
        <v>30526</v>
      </c>
      <c r="F4901" t="s">
        <v>108</v>
      </c>
      <c r="H4901" t="s">
        <v>30527</v>
      </c>
      <c r="I4901" t="s">
        <v>390</v>
      </c>
      <c r="J4901" t="s">
        <v>111</v>
      </c>
      <c r="K4901" t="str">
        <f>"85028"</f>
        <v>85028</v>
      </c>
      <c r="L4901" t="s">
        <v>10474</v>
      </c>
      <c r="M4901" t="s">
        <v>30527</v>
      </c>
      <c r="N4901" t="s">
        <v>390</v>
      </c>
      <c r="O4901" t="s">
        <v>111</v>
      </c>
      <c r="P4901" t="str">
        <f>"85028-1715"</f>
        <v>85028-1715</v>
      </c>
      <c r="Q4901" t="s">
        <v>113</v>
      </c>
      <c r="R4901" t="str">
        <f>"166-24-307"</f>
        <v>166-24-307</v>
      </c>
      <c r="S4901" t="s">
        <v>18134</v>
      </c>
      <c r="T4901" t="s">
        <v>15265</v>
      </c>
      <c r="U4901">
        <v>2517</v>
      </c>
      <c r="V4901">
        <v>0</v>
      </c>
      <c r="W4901">
        <v>4</v>
      </c>
      <c r="X4901">
        <v>1978</v>
      </c>
      <c r="Z4901">
        <v>1</v>
      </c>
      <c r="AA4901" t="s">
        <v>26</v>
      </c>
      <c r="AB4901">
        <v>0</v>
      </c>
      <c r="AC4901" t="s">
        <v>115</v>
      </c>
      <c r="AD4901">
        <v>2</v>
      </c>
      <c r="AE4901" t="s">
        <v>115</v>
      </c>
      <c r="AF4901">
        <v>0</v>
      </c>
      <c r="AG4901">
        <v>0</v>
      </c>
      <c r="AH4901" t="s">
        <v>116</v>
      </c>
      <c r="AI4901" s="1">
        <v>139434</v>
      </c>
      <c r="AJ4901" s="2">
        <v>0.28999999999999998</v>
      </c>
      <c r="AK4901" s="1">
        <v>473534</v>
      </c>
      <c r="AL4901" t="s">
        <v>117</v>
      </c>
      <c r="AM4901" t="s">
        <v>1302</v>
      </c>
      <c r="AN4901">
        <v>10226</v>
      </c>
      <c r="AO4901">
        <v>0.24</v>
      </c>
      <c r="AP4901">
        <v>1</v>
      </c>
      <c r="AR4901">
        <v>1</v>
      </c>
      <c r="AS4901" s="1">
        <v>35660</v>
      </c>
      <c r="AT4901" s="1">
        <v>7130</v>
      </c>
      <c r="AU4901" s="1">
        <v>28530</v>
      </c>
      <c r="AV4901">
        <v>80.010000000000005</v>
      </c>
      <c r="AX4901" s="1">
        <v>3136.72</v>
      </c>
      <c r="AY4901" t="s">
        <v>9580</v>
      </c>
      <c r="AZ4901" t="s">
        <v>5489</v>
      </c>
      <c r="BA4901" t="s">
        <v>5232</v>
      </c>
      <c r="BB4901" s="3">
        <v>42989</v>
      </c>
      <c r="BD4901" t="s">
        <v>157</v>
      </c>
      <c r="BE4901" s="3">
        <v>41919</v>
      </c>
      <c r="BF4901" s="1">
        <v>342000</v>
      </c>
      <c r="BG4901" t="s">
        <v>30528</v>
      </c>
      <c r="BH4901" s="1">
        <v>135.77000000000001</v>
      </c>
      <c r="BI4901" s="1">
        <v>334100</v>
      </c>
      <c r="BJ4901" s="3">
        <v>42670</v>
      </c>
      <c r="BK4901" t="s">
        <v>123</v>
      </c>
      <c r="BL4901" t="str">
        <f>"2016.790912"</f>
        <v>2016.790912</v>
      </c>
      <c r="BM4901" t="s">
        <v>361</v>
      </c>
      <c r="BO4901" t="s">
        <v>30529</v>
      </c>
      <c r="BS4901">
        <v>30</v>
      </c>
      <c r="BW4901" t="str">
        <f>""</f>
        <v/>
      </c>
      <c r="CH4901" t="str">
        <f>""</f>
        <v/>
      </c>
      <c r="CS4901" t="str">
        <f>""</f>
        <v/>
      </c>
    </row>
    <row r="4902" spans="1:97" x14ac:dyDescent="0.25">
      <c r="A4902" t="s">
        <v>177</v>
      </c>
      <c r="B4902" t="s">
        <v>30530</v>
      </c>
      <c r="E4902" t="s">
        <v>30531</v>
      </c>
      <c r="F4902" t="s">
        <v>108</v>
      </c>
      <c r="H4902" t="s">
        <v>30532</v>
      </c>
      <c r="I4902" t="s">
        <v>144</v>
      </c>
      <c r="J4902" t="s">
        <v>111</v>
      </c>
      <c r="K4902" t="str">
        <f>"85396"</f>
        <v>85396</v>
      </c>
      <c r="L4902" t="s">
        <v>11339</v>
      </c>
      <c r="M4902" t="s">
        <v>30532</v>
      </c>
      <c r="N4902" t="s">
        <v>144</v>
      </c>
      <c r="O4902" t="s">
        <v>111</v>
      </c>
      <c r="P4902" t="str">
        <f>"85396-7240"</f>
        <v>85396-7240</v>
      </c>
      <c r="Q4902" t="s">
        <v>113</v>
      </c>
      <c r="R4902" t="str">
        <f>"503-85-230"</f>
        <v>503-85-230</v>
      </c>
      <c r="S4902" t="s">
        <v>11340</v>
      </c>
      <c r="U4902">
        <v>2131</v>
      </c>
      <c r="V4902">
        <v>0</v>
      </c>
      <c r="W4902">
        <v>3</v>
      </c>
      <c r="X4902">
        <v>2015</v>
      </c>
      <c r="Z4902">
        <v>1</v>
      </c>
      <c r="AB4902">
        <v>0</v>
      </c>
      <c r="AC4902" t="s">
        <v>115</v>
      </c>
      <c r="AD4902">
        <v>2</v>
      </c>
      <c r="AE4902" t="s">
        <v>115</v>
      </c>
      <c r="AF4902">
        <v>0</v>
      </c>
      <c r="AG4902">
        <v>0</v>
      </c>
      <c r="AH4902" t="s">
        <v>116</v>
      </c>
      <c r="AI4902" s="1">
        <v>98757</v>
      </c>
      <c r="AJ4902" s="2">
        <v>0.33</v>
      </c>
      <c r="AK4902" s="1">
        <v>299257</v>
      </c>
      <c r="AL4902" t="s">
        <v>117</v>
      </c>
      <c r="AM4902" t="s">
        <v>118</v>
      </c>
      <c r="AN4902">
        <v>7076</v>
      </c>
      <c r="AO4902">
        <v>0.16</v>
      </c>
      <c r="AR4902">
        <v>1</v>
      </c>
      <c r="AS4902" s="1">
        <v>19080</v>
      </c>
      <c r="AT4902" s="1">
        <v>3810</v>
      </c>
      <c r="AU4902" s="1">
        <v>15270</v>
      </c>
      <c r="AV4902">
        <v>80.03</v>
      </c>
      <c r="AX4902" s="1">
        <v>1834.98</v>
      </c>
      <c r="AY4902" t="s">
        <v>444</v>
      </c>
      <c r="AZ4902" t="s">
        <v>444</v>
      </c>
      <c r="BA4902" t="s">
        <v>445</v>
      </c>
      <c r="BE4902" s="3">
        <v>42237</v>
      </c>
      <c r="BF4902" s="1">
        <v>196722</v>
      </c>
      <c r="BG4902" t="s">
        <v>446</v>
      </c>
      <c r="BH4902" s="1">
        <v>92.31</v>
      </c>
      <c r="BI4902" s="1">
        <v>200500</v>
      </c>
      <c r="BJ4902" s="3">
        <v>42816</v>
      </c>
      <c r="BK4902" t="s">
        <v>123</v>
      </c>
      <c r="BL4902" t="str">
        <f>"2017.202798"</f>
        <v>2017.202798</v>
      </c>
      <c r="BM4902" t="s">
        <v>7523</v>
      </c>
      <c r="BO4902" t="s">
        <v>30533</v>
      </c>
      <c r="BS4902">
        <v>28</v>
      </c>
      <c r="BW4902" t="str">
        <f>""</f>
        <v/>
      </c>
      <c r="CH4902" t="str">
        <f>""</f>
        <v/>
      </c>
      <c r="CS4902" t="str">
        <f>""</f>
        <v/>
      </c>
    </row>
    <row r="4903" spans="1:97" x14ac:dyDescent="0.25">
      <c r="A4903" t="s">
        <v>30534</v>
      </c>
      <c r="B4903" t="s">
        <v>14122</v>
      </c>
      <c r="E4903" t="s">
        <v>30535</v>
      </c>
      <c r="F4903" t="s">
        <v>108</v>
      </c>
      <c r="H4903" t="s">
        <v>30536</v>
      </c>
      <c r="I4903" t="s">
        <v>225</v>
      </c>
      <c r="J4903" t="s">
        <v>111</v>
      </c>
      <c r="K4903" t="str">
        <f>"85206"</f>
        <v>85206</v>
      </c>
      <c r="L4903" t="s">
        <v>3696</v>
      </c>
      <c r="M4903" t="s">
        <v>30536</v>
      </c>
      <c r="N4903" t="s">
        <v>225</v>
      </c>
      <c r="O4903" t="s">
        <v>111</v>
      </c>
      <c r="P4903" t="str">
        <f>"85206-5531"</f>
        <v>85206-5531</v>
      </c>
      <c r="Q4903" t="s">
        <v>113</v>
      </c>
      <c r="R4903" t="str">
        <f>"141-53-778"</f>
        <v>141-53-778</v>
      </c>
      <c r="S4903" t="s">
        <v>26416</v>
      </c>
      <c r="T4903" t="s">
        <v>26416</v>
      </c>
      <c r="U4903">
        <v>2038</v>
      </c>
      <c r="V4903">
        <v>0</v>
      </c>
      <c r="W4903">
        <v>4</v>
      </c>
      <c r="X4903">
        <v>2005</v>
      </c>
      <c r="Z4903">
        <v>2</v>
      </c>
      <c r="AB4903">
        <v>0</v>
      </c>
      <c r="AC4903" t="s">
        <v>115</v>
      </c>
      <c r="AD4903">
        <v>2</v>
      </c>
      <c r="AE4903" t="s">
        <v>115</v>
      </c>
      <c r="AF4903">
        <v>0</v>
      </c>
      <c r="AG4903">
        <v>0</v>
      </c>
      <c r="AH4903" t="s">
        <v>116</v>
      </c>
      <c r="AI4903" s="1">
        <v>78573</v>
      </c>
      <c r="AJ4903" s="2">
        <v>0.28000000000000003</v>
      </c>
      <c r="AK4903" s="1">
        <v>285573</v>
      </c>
      <c r="AL4903" t="s">
        <v>117</v>
      </c>
      <c r="AM4903" t="s">
        <v>191</v>
      </c>
      <c r="AN4903">
        <v>2586</v>
      </c>
      <c r="AO4903">
        <v>0.59</v>
      </c>
      <c r="AR4903">
        <v>1</v>
      </c>
      <c r="AS4903" s="1">
        <v>17880</v>
      </c>
      <c r="AT4903" s="1">
        <v>3570</v>
      </c>
      <c r="AU4903" s="1">
        <v>14310</v>
      </c>
      <c r="AV4903">
        <v>80.03</v>
      </c>
      <c r="AX4903" s="1">
        <v>1445.8</v>
      </c>
      <c r="AY4903" t="s">
        <v>5157</v>
      </c>
      <c r="AZ4903" t="s">
        <v>5158</v>
      </c>
      <c r="BA4903" t="s">
        <v>5159</v>
      </c>
      <c r="BE4903" s="3">
        <v>41969</v>
      </c>
      <c r="BF4903" s="1">
        <v>210000</v>
      </c>
      <c r="BG4903" t="s">
        <v>30537</v>
      </c>
      <c r="BH4903" s="1">
        <v>103.04</v>
      </c>
      <c r="BI4903" s="1">
        <v>207000</v>
      </c>
      <c r="BJ4903" s="3">
        <v>41969</v>
      </c>
      <c r="BK4903" t="s">
        <v>123</v>
      </c>
      <c r="BL4903" t="str">
        <f>"2014.787728"</f>
        <v>2014.787728</v>
      </c>
      <c r="BM4903" t="s">
        <v>29004</v>
      </c>
      <c r="BO4903" t="s">
        <v>30538</v>
      </c>
      <c r="BS4903">
        <v>30</v>
      </c>
      <c r="BW4903" t="str">
        <f>""</f>
        <v/>
      </c>
      <c r="CH4903" t="str">
        <f>""</f>
        <v/>
      </c>
      <c r="CS4903" t="str">
        <f>""</f>
        <v/>
      </c>
    </row>
    <row r="4904" spans="1:97" x14ac:dyDescent="0.25">
      <c r="A4904" t="s">
        <v>4864</v>
      </c>
      <c r="B4904" t="s">
        <v>27144</v>
      </c>
      <c r="C4904" t="s">
        <v>767</v>
      </c>
      <c r="D4904" t="s">
        <v>27144</v>
      </c>
      <c r="E4904" t="s">
        <v>30539</v>
      </c>
      <c r="F4904" t="s">
        <v>108</v>
      </c>
      <c r="H4904" t="s">
        <v>30540</v>
      </c>
      <c r="I4904" t="s">
        <v>225</v>
      </c>
      <c r="J4904" t="s">
        <v>111</v>
      </c>
      <c r="K4904" t="str">
        <f>"85213"</f>
        <v>85213</v>
      </c>
      <c r="L4904" t="s">
        <v>4159</v>
      </c>
      <c r="M4904" t="s">
        <v>30540</v>
      </c>
      <c r="N4904" t="s">
        <v>225</v>
      </c>
      <c r="O4904" t="s">
        <v>111</v>
      </c>
      <c r="P4904" t="str">
        <f>"85213-2005"</f>
        <v>85213-2005</v>
      </c>
      <c r="Q4904" t="s">
        <v>113</v>
      </c>
      <c r="R4904" t="str">
        <f>"141-16-132"</f>
        <v>141-16-132</v>
      </c>
      <c r="S4904" t="s">
        <v>8861</v>
      </c>
      <c r="U4904">
        <v>2713</v>
      </c>
      <c r="V4904">
        <v>0</v>
      </c>
      <c r="W4904">
        <v>5</v>
      </c>
      <c r="X4904">
        <v>2015</v>
      </c>
      <c r="Z4904">
        <v>1</v>
      </c>
      <c r="AB4904">
        <v>0</v>
      </c>
      <c r="AC4904" t="s">
        <v>115</v>
      </c>
      <c r="AD4904">
        <v>2</v>
      </c>
      <c r="AE4904" t="s">
        <v>115</v>
      </c>
      <c r="AF4904">
        <v>0</v>
      </c>
      <c r="AG4904">
        <v>0</v>
      </c>
      <c r="AH4904" t="s">
        <v>116</v>
      </c>
      <c r="AI4904" s="1">
        <v>-360302</v>
      </c>
      <c r="AJ4904" s="2">
        <v>-0.77</v>
      </c>
      <c r="AK4904" s="1">
        <v>470688</v>
      </c>
      <c r="AL4904" t="s">
        <v>117</v>
      </c>
      <c r="AM4904" t="s">
        <v>1521</v>
      </c>
      <c r="AN4904">
        <v>9000</v>
      </c>
      <c r="AO4904">
        <v>0.21</v>
      </c>
      <c r="AR4904">
        <v>1</v>
      </c>
      <c r="AS4904" s="1">
        <v>34560</v>
      </c>
      <c r="AT4904" s="1">
        <v>6910</v>
      </c>
      <c r="AU4904" s="1">
        <v>27650</v>
      </c>
      <c r="AV4904">
        <v>80.010000000000005</v>
      </c>
      <c r="AX4904" s="1">
        <v>2884.14</v>
      </c>
      <c r="AY4904" t="s">
        <v>4162</v>
      </c>
      <c r="AZ4904" t="s">
        <v>4163</v>
      </c>
      <c r="BA4904" t="s">
        <v>1524</v>
      </c>
      <c r="BE4904" s="3">
        <v>42368</v>
      </c>
      <c r="BF4904" s="1">
        <v>402222</v>
      </c>
      <c r="BG4904" t="s">
        <v>275</v>
      </c>
      <c r="BH4904" s="1">
        <v>148.26</v>
      </c>
      <c r="BI4904" s="1">
        <v>415495</v>
      </c>
      <c r="BJ4904" s="3">
        <v>42368</v>
      </c>
      <c r="BK4904" t="s">
        <v>123</v>
      </c>
      <c r="BL4904" t="str">
        <f>"2015.920058"</f>
        <v>2015.920058</v>
      </c>
      <c r="BM4904" t="s">
        <v>651</v>
      </c>
      <c r="BN4904" t="s">
        <v>652</v>
      </c>
      <c r="BO4904" t="s">
        <v>30541</v>
      </c>
      <c r="BS4904">
        <v>30</v>
      </c>
      <c r="BT4904" s="1">
        <v>415495</v>
      </c>
      <c r="BU4904" s="3">
        <v>42480</v>
      </c>
      <c r="BV4904" t="s">
        <v>123</v>
      </c>
      <c r="BW4904" t="str">
        <f>"2016.264567"</f>
        <v>2016.264567</v>
      </c>
      <c r="BX4904" t="s">
        <v>651</v>
      </c>
      <c r="BY4904" t="s">
        <v>652</v>
      </c>
      <c r="BZ4904" t="s">
        <v>30541</v>
      </c>
      <c r="CD4904">
        <v>30</v>
      </c>
      <c r="CH4904" t="str">
        <f>""</f>
        <v/>
      </c>
      <c r="CS4904" t="str">
        <f>""</f>
        <v/>
      </c>
    </row>
    <row r="4905" spans="1:97" x14ac:dyDescent="0.25">
      <c r="B4905" t="s">
        <v>30542</v>
      </c>
      <c r="E4905" t="s">
        <v>30543</v>
      </c>
      <c r="F4905" t="s">
        <v>108</v>
      </c>
      <c r="H4905" t="s">
        <v>30544</v>
      </c>
      <c r="I4905" t="s">
        <v>1936</v>
      </c>
      <c r="J4905" t="s">
        <v>111</v>
      </c>
      <c r="K4905" t="str">
        <f>"85259"</f>
        <v>85259</v>
      </c>
      <c r="L4905" t="s">
        <v>7339</v>
      </c>
      <c r="M4905" t="s">
        <v>30544</v>
      </c>
      <c r="N4905" t="s">
        <v>1936</v>
      </c>
      <c r="O4905" t="s">
        <v>111</v>
      </c>
      <c r="P4905" t="str">
        <f>"85259-3988"</f>
        <v>85259-3988</v>
      </c>
      <c r="Q4905" t="s">
        <v>113</v>
      </c>
      <c r="R4905" t="str">
        <f>"217-27-618"</f>
        <v>217-27-618</v>
      </c>
      <c r="S4905" t="s">
        <v>19248</v>
      </c>
      <c r="T4905" t="s">
        <v>19249</v>
      </c>
      <c r="U4905">
        <v>1485</v>
      </c>
      <c r="V4905">
        <v>0</v>
      </c>
      <c r="W4905">
        <v>3</v>
      </c>
      <c r="X4905">
        <v>1983</v>
      </c>
      <c r="Z4905">
        <v>1</v>
      </c>
      <c r="AA4905" t="s">
        <v>26</v>
      </c>
      <c r="AB4905">
        <v>0</v>
      </c>
      <c r="AC4905" t="s">
        <v>115</v>
      </c>
      <c r="AD4905">
        <v>2</v>
      </c>
      <c r="AE4905" t="s">
        <v>115</v>
      </c>
      <c r="AF4905">
        <v>0</v>
      </c>
      <c r="AG4905">
        <v>0</v>
      </c>
      <c r="AH4905" t="s">
        <v>116</v>
      </c>
      <c r="AI4905" s="1">
        <v>34475</v>
      </c>
      <c r="AJ4905" s="2">
        <v>0.09</v>
      </c>
      <c r="AK4905" s="1">
        <v>401175</v>
      </c>
      <c r="AL4905" t="s">
        <v>117</v>
      </c>
      <c r="AM4905" t="s">
        <v>393</v>
      </c>
      <c r="AN4905">
        <v>6968</v>
      </c>
      <c r="AO4905">
        <v>0.16</v>
      </c>
      <c r="AP4905">
        <v>1</v>
      </c>
      <c r="AR4905">
        <v>1</v>
      </c>
      <c r="AS4905" s="1">
        <v>27870</v>
      </c>
      <c r="AT4905" s="1">
        <v>5570</v>
      </c>
      <c r="AU4905" s="1">
        <v>22300</v>
      </c>
      <c r="AV4905">
        <v>80.010000000000005</v>
      </c>
      <c r="AX4905" s="1">
        <v>1602.06</v>
      </c>
      <c r="AY4905" t="s">
        <v>6534</v>
      </c>
      <c r="AZ4905" t="s">
        <v>5762</v>
      </c>
      <c r="BA4905" t="s">
        <v>5763</v>
      </c>
      <c r="BB4905" s="3">
        <v>43376</v>
      </c>
      <c r="BC4905" s="1">
        <v>0</v>
      </c>
      <c r="BD4905" t="s">
        <v>247</v>
      </c>
      <c r="BE4905" s="3">
        <v>42391</v>
      </c>
      <c r="BF4905" s="1">
        <v>355000</v>
      </c>
      <c r="BG4905" t="s">
        <v>30545</v>
      </c>
      <c r="BH4905" s="1">
        <v>239.06</v>
      </c>
      <c r="BI4905" s="1">
        <v>366700</v>
      </c>
      <c r="BJ4905" s="3">
        <v>42391</v>
      </c>
      <c r="BK4905" t="s">
        <v>123</v>
      </c>
      <c r="BL4905" t="str">
        <f>"2016.43589"</f>
        <v>2016.43589</v>
      </c>
      <c r="BM4905" t="s">
        <v>124</v>
      </c>
      <c r="BN4905" t="s">
        <v>1575</v>
      </c>
      <c r="BO4905" t="s">
        <v>30546</v>
      </c>
      <c r="BS4905">
        <v>30</v>
      </c>
      <c r="BW4905" t="str">
        <f>""</f>
        <v/>
      </c>
      <c r="CH4905" t="str">
        <f>""</f>
        <v/>
      </c>
      <c r="CS4905" t="str">
        <f>""</f>
        <v/>
      </c>
    </row>
    <row r="4906" spans="1:97" x14ac:dyDescent="0.25">
      <c r="A4906" t="s">
        <v>1272</v>
      </c>
      <c r="B4906" t="s">
        <v>30547</v>
      </c>
      <c r="C4906" t="s">
        <v>30548</v>
      </c>
      <c r="D4906" t="s">
        <v>30547</v>
      </c>
      <c r="E4906" t="s">
        <v>30549</v>
      </c>
      <c r="F4906" t="s">
        <v>108</v>
      </c>
      <c r="H4906" t="s">
        <v>30550</v>
      </c>
      <c r="I4906" t="s">
        <v>2874</v>
      </c>
      <c r="J4906" t="s">
        <v>111</v>
      </c>
      <c r="K4906" t="str">
        <f>"85310"</f>
        <v>85310</v>
      </c>
      <c r="L4906" t="s">
        <v>2765</v>
      </c>
      <c r="M4906" t="s">
        <v>30550</v>
      </c>
      <c r="N4906" t="s">
        <v>2874</v>
      </c>
      <c r="O4906" t="s">
        <v>111</v>
      </c>
      <c r="P4906" t="str">
        <f>"85310-5851"</f>
        <v>85310-5851</v>
      </c>
      <c r="Q4906" t="s">
        <v>113</v>
      </c>
      <c r="R4906" t="str">
        <f>"231-17-591"</f>
        <v>231-17-591</v>
      </c>
      <c r="S4906" t="s">
        <v>14544</v>
      </c>
      <c r="T4906" t="s">
        <v>14544</v>
      </c>
      <c r="U4906">
        <v>2366</v>
      </c>
      <c r="V4906">
        <v>0</v>
      </c>
      <c r="W4906">
        <v>4</v>
      </c>
      <c r="X4906">
        <v>1994</v>
      </c>
      <c r="Z4906">
        <v>1</v>
      </c>
      <c r="AB4906">
        <v>0</v>
      </c>
      <c r="AC4906" t="s">
        <v>115</v>
      </c>
      <c r="AD4906">
        <v>3</v>
      </c>
      <c r="AE4906" t="s">
        <v>115</v>
      </c>
      <c r="AF4906">
        <v>0</v>
      </c>
      <c r="AG4906">
        <v>0</v>
      </c>
      <c r="AH4906" t="s">
        <v>116</v>
      </c>
      <c r="AI4906" s="1">
        <v>95318</v>
      </c>
      <c r="AJ4906" s="2">
        <v>0.24</v>
      </c>
      <c r="AK4906" s="1">
        <v>404602</v>
      </c>
      <c r="AL4906" t="s">
        <v>117</v>
      </c>
      <c r="AM4906" t="s">
        <v>5791</v>
      </c>
      <c r="AN4906">
        <v>11000</v>
      </c>
      <c r="AO4906">
        <v>0.25</v>
      </c>
      <c r="AP4906">
        <v>1</v>
      </c>
      <c r="AR4906">
        <v>1</v>
      </c>
      <c r="AS4906" s="1">
        <v>29500</v>
      </c>
      <c r="AT4906" s="1">
        <v>5900</v>
      </c>
      <c r="AU4906" s="1">
        <v>23600</v>
      </c>
      <c r="AV4906">
        <v>80</v>
      </c>
      <c r="AX4906" s="1">
        <v>2614.2800000000002</v>
      </c>
      <c r="AY4906" t="s">
        <v>3048</v>
      </c>
      <c r="AZ4906" t="s">
        <v>3049</v>
      </c>
      <c r="BA4906" t="s">
        <v>2223</v>
      </c>
      <c r="BE4906" s="3">
        <v>42109</v>
      </c>
      <c r="BF4906" s="1">
        <v>315000</v>
      </c>
      <c r="BG4906" t="s">
        <v>30551</v>
      </c>
      <c r="BH4906" s="1">
        <v>133.13999999999999</v>
      </c>
      <c r="BI4906" s="1">
        <v>309284</v>
      </c>
      <c r="BJ4906" s="3">
        <v>42502</v>
      </c>
      <c r="BK4906" t="s">
        <v>123</v>
      </c>
      <c r="BL4906" t="str">
        <f>"2016.326447"</f>
        <v>2016.326447</v>
      </c>
      <c r="BM4906" t="s">
        <v>724</v>
      </c>
      <c r="BO4906" t="s">
        <v>30552</v>
      </c>
      <c r="BS4906">
        <v>30</v>
      </c>
      <c r="BW4906" t="str">
        <f>""</f>
        <v/>
      </c>
      <c r="CH4906" t="str">
        <f>""</f>
        <v/>
      </c>
      <c r="CS4906" t="str">
        <f>""</f>
        <v/>
      </c>
    </row>
    <row r="4907" spans="1:97" x14ac:dyDescent="0.25">
      <c r="B4907" t="s">
        <v>30553</v>
      </c>
      <c r="C4907" t="s">
        <v>3310</v>
      </c>
      <c r="E4907" t="s">
        <v>30554</v>
      </c>
      <c r="F4907" t="s">
        <v>108</v>
      </c>
      <c r="H4907" t="s">
        <v>30555</v>
      </c>
      <c r="I4907" t="s">
        <v>110</v>
      </c>
      <c r="J4907" t="s">
        <v>111</v>
      </c>
      <c r="K4907" t="str">
        <f>"85248"</f>
        <v>85248</v>
      </c>
      <c r="L4907" t="s">
        <v>2820</v>
      </c>
      <c r="M4907" t="s">
        <v>30555</v>
      </c>
      <c r="N4907" t="s">
        <v>110</v>
      </c>
      <c r="O4907" t="s">
        <v>111</v>
      </c>
      <c r="P4907" t="str">
        <f>"85248-4342"</f>
        <v>85248-4342</v>
      </c>
      <c r="Q4907" t="s">
        <v>113</v>
      </c>
      <c r="R4907" t="str">
        <f>"303-75-389"</f>
        <v>303-75-389</v>
      </c>
      <c r="S4907" t="s">
        <v>30556</v>
      </c>
      <c r="T4907" t="s">
        <v>30556</v>
      </c>
      <c r="U4907">
        <v>1542</v>
      </c>
      <c r="V4907">
        <v>0</v>
      </c>
      <c r="W4907">
        <v>3</v>
      </c>
      <c r="X4907">
        <v>1996</v>
      </c>
      <c r="Z4907">
        <v>1</v>
      </c>
      <c r="AB4907">
        <v>0</v>
      </c>
      <c r="AC4907" t="s">
        <v>115</v>
      </c>
      <c r="AD4907">
        <v>2</v>
      </c>
      <c r="AE4907" t="s">
        <v>115</v>
      </c>
      <c r="AF4907">
        <v>0</v>
      </c>
      <c r="AG4907">
        <v>0</v>
      </c>
      <c r="AH4907" t="s">
        <v>116</v>
      </c>
      <c r="AI4907" s="1">
        <v>67628</v>
      </c>
      <c r="AJ4907" s="2">
        <v>0.21</v>
      </c>
      <c r="AK4907" s="1">
        <v>325878</v>
      </c>
      <c r="AL4907" t="s">
        <v>117</v>
      </c>
      <c r="AM4907" t="s">
        <v>118</v>
      </c>
      <c r="AN4907">
        <v>6177</v>
      </c>
      <c r="AO4907">
        <v>0.14000000000000001</v>
      </c>
      <c r="AP4907">
        <v>1</v>
      </c>
      <c r="AR4907">
        <v>1</v>
      </c>
      <c r="AS4907" s="1">
        <v>21700</v>
      </c>
      <c r="AT4907" s="1">
        <v>4340</v>
      </c>
      <c r="AU4907" s="1">
        <v>17360</v>
      </c>
      <c r="AV4907">
        <v>80</v>
      </c>
      <c r="AX4907" s="1">
        <v>1756.88</v>
      </c>
      <c r="AY4907" t="s">
        <v>9063</v>
      </c>
      <c r="AZ4907" t="s">
        <v>1882</v>
      </c>
      <c r="BA4907" t="s">
        <v>121</v>
      </c>
      <c r="BB4907" s="3">
        <v>43622</v>
      </c>
      <c r="BC4907" s="1">
        <v>0</v>
      </c>
      <c r="BD4907" t="s">
        <v>247</v>
      </c>
      <c r="BE4907" s="3">
        <v>42195</v>
      </c>
      <c r="BF4907" s="1">
        <v>250000</v>
      </c>
      <c r="BG4907" t="s">
        <v>30557</v>
      </c>
      <c r="BH4907" s="1">
        <v>162.13</v>
      </c>
      <c r="BI4907" s="1">
        <v>258250</v>
      </c>
      <c r="BJ4907" s="3">
        <v>42195</v>
      </c>
      <c r="BK4907" t="s">
        <v>123</v>
      </c>
      <c r="BL4907" t="str">
        <f>"2015.499275"</f>
        <v>2015.499275</v>
      </c>
      <c r="BM4907" t="s">
        <v>3453</v>
      </c>
      <c r="BN4907" t="s">
        <v>3763</v>
      </c>
      <c r="BO4907" t="s">
        <v>30558</v>
      </c>
      <c r="BS4907">
        <v>30</v>
      </c>
      <c r="BW4907" t="str">
        <f>""</f>
        <v/>
      </c>
      <c r="CH4907" t="str">
        <f>""</f>
        <v/>
      </c>
      <c r="CS4907" t="str">
        <f>""</f>
        <v/>
      </c>
    </row>
    <row r="4908" spans="1:97" x14ac:dyDescent="0.25">
      <c r="A4908" t="s">
        <v>28019</v>
      </c>
      <c r="B4908" t="s">
        <v>30559</v>
      </c>
      <c r="C4908" t="s">
        <v>6047</v>
      </c>
      <c r="D4908" t="s">
        <v>30559</v>
      </c>
      <c r="E4908" t="s">
        <v>30560</v>
      </c>
      <c r="F4908" t="s">
        <v>108</v>
      </c>
      <c r="H4908" t="s">
        <v>30561</v>
      </c>
      <c r="I4908" t="s">
        <v>203</v>
      </c>
      <c r="J4908" t="s">
        <v>111</v>
      </c>
      <c r="K4908" t="str">
        <f>"85296"</f>
        <v>85296</v>
      </c>
      <c r="L4908" t="s">
        <v>8103</v>
      </c>
      <c r="M4908" t="s">
        <v>30561</v>
      </c>
      <c r="N4908" t="s">
        <v>203</v>
      </c>
      <c r="O4908" t="s">
        <v>111</v>
      </c>
      <c r="P4908" t="str">
        <f>"85296-8629"</f>
        <v>85296-8629</v>
      </c>
      <c r="Q4908" t="s">
        <v>113</v>
      </c>
      <c r="R4908" t="str">
        <f>"304-27-831"</f>
        <v>304-27-831</v>
      </c>
      <c r="S4908" t="s">
        <v>8104</v>
      </c>
      <c r="U4908">
        <v>1593</v>
      </c>
      <c r="V4908">
        <v>0</v>
      </c>
      <c r="W4908">
        <v>3</v>
      </c>
      <c r="X4908">
        <v>1999</v>
      </c>
      <c r="Z4908">
        <v>1</v>
      </c>
      <c r="AA4908" t="s">
        <v>26</v>
      </c>
      <c r="AB4908">
        <v>0</v>
      </c>
      <c r="AC4908" t="s">
        <v>115</v>
      </c>
      <c r="AD4908">
        <v>2</v>
      </c>
      <c r="AE4908" t="s">
        <v>115</v>
      </c>
      <c r="AF4908">
        <v>0</v>
      </c>
      <c r="AG4908">
        <v>0</v>
      </c>
      <c r="AH4908" t="s">
        <v>116</v>
      </c>
      <c r="AI4908" s="1">
        <v>88138</v>
      </c>
      <c r="AJ4908" s="2">
        <v>0.28999999999999998</v>
      </c>
      <c r="AK4908" s="1">
        <v>307938</v>
      </c>
      <c r="AL4908" t="s">
        <v>117</v>
      </c>
      <c r="AM4908" t="s">
        <v>191</v>
      </c>
      <c r="AN4908">
        <v>6368</v>
      </c>
      <c r="AO4908">
        <v>0.15</v>
      </c>
      <c r="AP4908">
        <v>1</v>
      </c>
      <c r="AR4908">
        <v>1</v>
      </c>
      <c r="AS4908" s="1">
        <v>21220</v>
      </c>
      <c r="AT4908" s="1">
        <v>4240</v>
      </c>
      <c r="AU4908" s="1">
        <v>16980</v>
      </c>
      <c r="AV4908">
        <v>80.02</v>
      </c>
      <c r="AX4908" s="1">
        <v>1664</v>
      </c>
      <c r="AY4908" t="s">
        <v>5094</v>
      </c>
      <c r="AZ4908" t="s">
        <v>5094</v>
      </c>
      <c r="BA4908" t="s">
        <v>473</v>
      </c>
      <c r="BE4908" s="3">
        <v>41940</v>
      </c>
      <c r="BF4908" s="1">
        <v>219888</v>
      </c>
      <c r="BG4908" t="s">
        <v>30562</v>
      </c>
      <c r="BH4908" s="1">
        <v>138.03</v>
      </c>
      <c r="BI4908" s="1">
        <v>219800</v>
      </c>
      <c r="BJ4908" s="3">
        <v>42668</v>
      </c>
      <c r="BK4908" t="s">
        <v>123</v>
      </c>
      <c r="BL4908" t="str">
        <f>"2016.780655"</f>
        <v>2016.780655</v>
      </c>
      <c r="BM4908" t="s">
        <v>425</v>
      </c>
      <c r="BN4908" t="s">
        <v>426</v>
      </c>
      <c r="BO4908" t="s">
        <v>30563</v>
      </c>
      <c r="BS4908">
        <v>30</v>
      </c>
      <c r="BW4908" t="str">
        <f>""</f>
        <v/>
      </c>
      <c r="CH4908" t="str">
        <f>""</f>
        <v/>
      </c>
      <c r="CS4908" t="str">
        <f>""</f>
        <v/>
      </c>
    </row>
    <row r="4909" spans="1:97" x14ac:dyDescent="0.25">
      <c r="A4909" t="s">
        <v>976</v>
      </c>
      <c r="B4909" t="s">
        <v>17030</v>
      </c>
      <c r="C4909" t="s">
        <v>1727</v>
      </c>
      <c r="D4909" t="s">
        <v>30564</v>
      </c>
      <c r="E4909" t="s">
        <v>30565</v>
      </c>
      <c r="F4909" t="s">
        <v>108</v>
      </c>
      <c r="H4909" t="s">
        <v>30566</v>
      </c>
      <c r="I4909" t="s">
        <v>390</v>
      </c>
      <c r="J4909" t="s">
        <v>111</v>
      </c>
      <c r="K4909" t="str">
        <f>"85021"</f>
        <v>85021</v>
      </c>
      <c r="L4909" t="s">
        <v>6145</v>
      </c>
      <c r="M4909" t="s">
        <v>30566</v>
      </c>
      <c r="N4909" t="s">
        <v>390</v>
      </c>
      <c r="O4909" t="s">
        <v>111</v>
      </c>
      <c r="P4909" t="str">
        <f>"85021-5658"</f>
        <v>85021-5658</v>
      </c>
      <c r="Q4909" t="s">
        <v>113</v>
      </c>
      <c r="R4909" t="str">
        <f>"158-12-010"</f>
        <v>158-12-010</v>
      </c>
      <c r="S4909" t="s">
        <v>30567</v>
      </c>
      <c r="T4909" t="s">
        <v>30567</v>
      </c>
      <c r="U4909">
        <v>2303</v>
      </c>
      <c r="V4909">
        <v>0</v>
      </c>
      <c r="W4909">
        <v>2</v>
      </c>
      <c r="X4909">
        <v>1964</v>
      </c>
      <c r="Z4909">
        <v>1</v>
      </c>
      <c r="AA4909" t="s">
        <v>26</v>
      </c>
      <c r="AB4909">
        <v>0</v>
      </c>
      <c r="AC4909" t="s">
        <v>115</v>
      </c>
      <c r="AD4909">
        <v>4</v>
      </c>
      <c r="AE4909" t="s">
        <v>115</v>
      </c>
      <c r="AF4909">
        <v>0</v>
      </c>
      <c r="AG4909">
        <v>0</v>
      </c>
      <c r="AH4909" t="s">
        <v>116</v>
      </c>
      <c r="AI4909" s="1">
        <v>73017</v>
      </c>
      <c r="AJ4909" s="2">
        <v>0.13</v>
      </c>
      <c r="AK4909" s="1">
        <v>544065</v>
      </c>
      <c r="AL4909" t="s">
        <v>117</v>
      </c>
      <c r="AM4909" t="s">
        <v>1302</v>
      </c>
      <c r="AN4909">
        <v>14776</v>
      </c>
      <c r="AO4909">
        <v>0.34</v>
      </c>
      <c r="AP4909">
        <v>1</v>
      </c>
      <c r="AR4909">
        <v>1</v>
      </c>
      <c r="AS4909" s="1">
        <v>39980</v>
      </c>
      <c r="AT4909" s="1">
        <v>7990</v>
      </c>
      <c r="AU4909" s="1">
        <v>31990</v>
      </c>
      <c r="AV4909">
        <v>80.02</v>
      </c>
      <c r="AX4909" s="1">
        <v>3516.04</v>
      </c>
      <c r="AY4909" t="s">
        <v>6147</v>
      </c>
      <c r="AZ4909" t="s">
        <v>6148</v>
      </c>
      <c r="BA4909" t="s">
        <v>6149</v>
      </c>
      <c r="BE4909" s="3">
        <v>42255</v>
      </c>
      <c r="BF4909" s="1">
        <v>444650</v>
      </c>
      <c r="BG4909" t="s">
        <v>30568</v>
      </c>
      <c r="BH4909" s="1">
        <v>193.07</v>
      </c>
      <c r="BI4909" s="1">
        <v>471048</v>
      </c>
      <c r="BJ4909" s="3">
        <v>43110</v>
      </c>
      <c r="BK4909" t="s">
        <v>123</v>
      </c>
      <c r="BL4909" t="str">
        <f>"2018.22266"</f>
        <v>2018.22266</v>
      </c>
      <c r="BM4909" t="s">
        <v>7523</v>
      </c>
      <c r="BN4909" t="s">
        <v>18423</v>
      </c>
      <c r="BO4909" t="s">
        <v>30569</v>
      </c>
      <c r="BP4909" t="s">
        <v>30570</v>
      </c>
      <c r="BR4909" t="s">
        <v>139</v>
      </c>
      <c r="BW4909" t="str">
        <f>""</f>
        <v/>
      </c>
      <c r="CH4909" t="str">
        <f>""</f>
        <v/>
      </c>
      <c r="CS4909" t="str">
        <f>""</f>
        <v/>
      </c>
    </row>
    <row r="4910" spans="1:97" x14ac:dyDescent="0.25">
      <c r="A4910" t="s">
        <v>938</v>
      </c>
      <c r="B4910" t="s">
        <v>30571</v>
      </c>
      <c r="C4910" t="s">
        <v>5560</v>
      </c>
      <c r="D4910" t="s">
        <v>30571</v>
      </c>
      <c r="E4910" t="s">
        <v>30572</v>
      </c>
      <c r="F4910" t="s">
        <v>108</v>
      </c>
      <c r="H4910" t="s">
        <v>30573</v>
      </c>
      <c r="I4910" t="s">
        <v>632</v>
      </c>
      <c r="J4910" t="s">
        <v>111</v>
      </c>
      <c r="K4910" t="str">
        <f>"85388"</f>
        <v>85388</v>
      </c>
      <c r="L4910" t="s">
        <v>4467</v>
      </c>
      <c r="M4910" t="s">
        <v>30573</v>
      </c>
      <c r="N4910" t="s">
        <v>632</v>
      </c>
      <c r="O4910" t="s">
        <v>111</v>
      </c>
      <c r="P4910" t="str">
        <f>"85388-2354"</f>
        <v>85388-2354</v>
      </c>
      <c r="Q4910" t="s">
        <v>113</v>
      </c>
      <c r="R4910" t="str">
        <f>"502-09-757"</f>
        <v>502-09-757</v>
      </c>
      <c r="S4910" t="s">
        <v>16913</v>
      </c>
      <c r="T4910" t="s">
        <v>16914</v>
      </c>
      <c r="U4910">
        <v>2525</v>
      </c>
      <c r="V4910">
        <v>0</v>
      </c>
      <c r="W4910">
        <v>3</v>
      </c>
      <c r="X4910">
        <v>2007</v>
      </c>
      <c r="Z4910">
        <v>1</v>
      </c>
      <c r="AA4910" t="s">
        <v>26</v>
      </c>
      <c r="AB4910">
        <v>0</v>
      </c>
      <c r="AC4910" t="s">
        <v>115</v>
      </c>
      <c r="AD4910">
        <v>2</v>
      </c>
      <c r="AE4910" t="s">
        <v>115</v>
      </c>
      <c r="AF4910">
        <v>0</v>
      </c>
      <c r="AG4910">
        <v>0</v>
      </c>
      <c r="AH4910" t="s">
        <v>116</v>
      </c>
      <c r="AI4910" s="1">
        <v>17434</v>
      </c>
      <c r="AJ4910" s="2">
        <v>0.05</v>
      </c>
      <c r="AK4910" s="1">
        <v>333532</v>
      </c>
      <c r="AL4910" t="s">
        <v>117</v>
      </c>
      <c r="AM4910" t="s">
        <v>118</v>
      </c>
      <c r="AN4910">
        <v>9375</v>
      </c>
      <c r="AO4910">
        <v>0.22</v>
      </c>
      <c r="AR4910">
        <v>1</v>
      </c>
      <c r="AS4910" s="1">
        <v>25400</v>
      </c>
      <c r="AT4910" s="1">
        <v>5080</v>
      </c>
      <c r="AU4910" s="1">
        <v>20320</v>
      </c>
      <c r="AV4910">
        <v>80</v>
      </c>
      <c r="AX4910" s="1">
        <v>2152.16</v>
      </c>
      <c r="AY4910" t="s">
        <v>5168</v>
      </c>
      <c r="AZ4910" t="s">
        <v>5168</v>
      </c>
      <c r="BA4910" t="s">
        <v>5109</v>
      </c>
      <c r="BE4910" s="3">
        <v>41915</v>
      </c>
      <c r="BF4910" s="1">
        <v>229900</v>
      </c>
      <c r="BG4910" t="s">
        <v>5716</v>
      </c>
      <c r="BH4910" s="1">
        <v>91.05</v>
      </c>
      <c r="BI4910" s="1">
        <v>316098</v>
      </c>
      <c r="BJ4910" s="3">
        <v>43052</v>
      </c>
      <c r="BK4910" t="s">
        <v>123</v>
      </c>
      <c r="BL4910" t="str">
        <f>"2017.839836"</f>
        <v>2017.839836</v>
      </c>
      <c r="BM4910" t="s">
        <v>2643</v>
      </c>
      <c r="BO4910" t="s">
        <v>30574</v>
      </c>
      <c r="BS4910">
        <v>30</v>
      </c>
      <c r="BW4910" t="str">
        <f>""</f>
        <v/>
      </c>
      <c r="CH4910" t="str">
        <f>""</f>
        <v/>
      </c>
      <c r="CS4910" t="str">
        <f>""</f>
        <v/>
      </c>
    </row>
    <row r="4911" spans="1:97" x14ac:dyDescent="0.25">
      <c r="A4911" t="s">
        <v>668</v>
      </c>
      <c r="B4911" t="s">
        <v>30575</v>
      </c>
      <c r="E4911" t="s">
        <v>30576</v>
      </c>
      <c r="F4911" t="s">
        <v>108</v>
      </c>
      <c r="H4911" t="s">
        <v>30577</v>
      </c>
      <c r="I4911" t="s">
        <v>203</v>
      </c>
      <c r="J4911" t="s">
        <v>111</v>
      </c>
      <c r="K4911" t="str">
        <f>"85296"</f>
        <v>85296</v>
      </c>
      <c r="L4911" t="s">
        <v>8667</v>
      </c>
      <c r="M4911" t="s">
        <v>30577</v>
      </c>
      <c r="N4911" t="s">
        <v>203</v>
      </c>
      <c r="O4911" t="s">
        <v>111</v>
      </c>
      <c r="P4911" t="str">
        <f>"85296-9616"</f>
        <v>85296-9616</v>
      </c>
      <c r="Q4911" t="s">
        <v>113</v>
      </c>
      <c r="R4911" t="str">
        <f>"304-29-252"</f>
        <v>304-29-252</v>
      </c>
      <c r="S4911" t="s">
        <v>17279</v>
      </c>
      <c r="T4911" t="s">
        <v>17280</v>
      </c>
      <c r="U4911">
        <v>1874</v>
      </c>
      <c r="V4911">
        <v>0</v>
      </c>
      <c r="W4911">
        <v>2</v>
      </c>
      <c r="X4911">
        <v>2002</v>
      </c>
      <c r="Z4911">
        <v>2</v>
      </c>
      <c r="AB4911">
        <v>0</v>
      </c>
      <c r="AC4911" t="s">
        <v>115</v>
      </c>
      <c r="AD4911">
        <v>2</v>
      </c>
      <c r="AE4911" t="s">
        <v>115</v>
      </c>
      <c r="AF4911">
        <v>0</v>
      </c>
      <c r="AG4911">
        <v>0</v>
      </c>
      <c r="AH4911" t="s">
        <v>116</v>
      </c>
      <c r="AI4911" s="1">
        <v>65981</v>
      </c>
      <c r="AJ4911" s="2">
        <v>0.24</v>
      </c>
      <c r="AK4911" s="1">
        <v>277431</v>
      </c>
      <c r="AL4911" t="s">
        <v>117</v>
      </c>
      <c r="AM4911" t="s">
        <v>288</v>
      </c>
      <c r="AN4911">
        <v>3375</v>
      </c>
      <c r="AO4911">
        <v>0.77</v>
      </c>
      <c r="AP4911">
        <v>1</v>
      </c>
      <c r="AR4911">
        <v>1</v>
      </c>
      <c r="AS4911" s="1">
        <v>18650</v>
      </c>
      <c r="AT4911" s="1">
        <v>3730</v>
      </c>
      <c r="AU4911" s="1">
        <v>14920</v>
      </c>
      <c r="AV4911">
        <v>80</v>
      </c>
      <c r="AX4911" s="1">
        <v>1434.34</v>
      </c>
      <c r="AY4911" t="s">
        <v>472</v>
      </c>
      <c r="AZ4911" t="s">
        <v>472</v>
      </c>
      <c r="BA4911" t="s">
        <v>473</v>
      </c>
      <c r="BE4911" s="3">
        <v>42096</v>
      </c>
      <c r="BF4911" s="1">
        <v>207000</v>
      </c>
      <c r="BG4911" t="s">
        <v>30578</v>
      </c>
      <c r="BH4911" s="1">
        <v>110.46</v>
      </c>
      <c r="BI4911" s="1">
        <v>211450</v>
      </c>
      <c r="BJ4911" s="3">
        <v>42096</v>
      </c>
      <c r="BK4911" t="s">
        <v>123</v>
      </c>
      <c r="BL4911" t="str">
        <f>"2015.226400"</f>
        <v>2015.226400</v>
      </c>
      <c r="BM4911" t="s">
        <v>594</v>
      </c>
      <c r="BO4911" t="s">
        <v>30579</v>
      </c>
      <c r="BS4911">
        <v>30</v>
      </c>
      <c r="BW4911" t="str">
        <f>""</f>
        <v/>
      </c>
      <c r="CH4911" t="str">
        <f>""</f>
        <v/>
      </c>
      <c r="CS4911" t="str">
        <f>""</f>
        <v/>
      </c>
    </row>
    <row r="4912" spans="1:97" x14ac:dyDescent="0.25">
      <c r="A4912" t="s">
        <v>30580</v>
      </c>
      <c r="B4912" t="s">
        <v>30581</v>
      </c>
      <c r="C4912" t="s">
        <v>524</v>
      </c>
      <c r="D4912" t="s">
        <v>30582</v>
      </c>
      <c r="E4912" t="s">
        <v>30583</v>
      </c>
      <c r="F4912" t="s">
        <v>108</v>
      </c>
      <c r="H4912" t="s">
        <v>30584</v>
      </c>
      <c r="I4912" t="s">
        <v>225</v>
      </c>
      <c r="J4912" t="s">
        <v>111</v>
      </c>
      <c r="K4912" t="str">
        <f>"85207"</f>
        <v>85207</v>
      </c>
      <c r="L4912" t="s">
        <v>21230</v>
      </c>
      <c r="M4912" t="s">
        <v>30584</v>
      </c>
      <c r="N4912" t="s">
        <v>225</v>
      </c>
      <c r="O4912" t="s">
        <v>111</v>
      </c>
      <c r="P4912" t="str">
        <f>"85207-4150"</f>
        <v>85207-4150</v>
      </c>
      <c r="R4912" t="str">
        <f>"220-01-594"</f>
        <v>220-01-594</v>
      </c>
      <c r="S4912" t="s">
        <v>30585</v>
      </c>
      <c r="T4912" t="s">
        <v>30585</v>
      </c>
      <c r="U4912">
        <v>2376</v>
      </c>
      <c r="V4912">
        <v>0</v>
      </c>
      <c r="W4912">
        <v>4</v>
      </c>
      <c r="X4912">
        <v>2010</v>
      </c>
      <c r="Z4912">
        <v>1</v>
      </c>
      <c r="AA4912" t="s">
        <v>26</v>
      </c>
      <c r="AB4912">
        <v>0</v>
      </c>
      <c r="AC4912" t="s">
        <v>115</v>
      </c>
      <c r="AD4912">
        <v>3</v>
      </c>
      <c r="AE4912" t="s">
        <v>115</v>
      </c>
      <c r="AF4912">
        <v>0</v>
      </c>
      <c r="AG4912">
        <v>0</v>
      </c>
      <c r="AH4912" t="s">
        <v>116</v>
      </c>
      <c r="AI4912" s="1">
        <v>141218</v>
      </c>
      <c r="AJ4912" s="2">
        <v>0.26</v>
      </c>
      <c r="AK4912" s="1">
        <v>550622</v>
      </c>
      <c r="AL4912" t="s">
        <v>117</v>
      </c>
      <c r="AM4912" t="s">
        <v>1521</v>
      </c>
      <c r="AN4912">
        <v>21823</v>
      </c>
      <c r="AO4912">
        <v>0.5</v>
      </c>
      <c r="AR4912">
        <v>1</v>
      </c>
      <c r="AS4912" s="1">
        <v>40050</v>
      </c>
      <c r="AT4912" s="1">
        <v>8010</v>
      </c>
      <c r="AU4912" s="1">
        <v>32040</v>
      </c>
      <c r="AV4912">
        <v>80</v>
      </c>
      <c r="AX4912" s="1">
        <v>3585.92</v>
      </c>
      <c r="AY4912" t="s">
        <v>3118</v>
      </c>
      <c r="AZ4912" t="s">
        <v>3761</v>
      </c>
      <c r="BA4912" t="s">
        <v>232</v>
      </c>
      <c r="BE4912" s="3">
        <v>41821</v>
      </c>
      <c r="BF4912" s="1">
        <v>417000</v>
      </c>
      <c r="BG4912" t="s">
        <v>30586</v>
      </c>
      <c r="BH4912" s="1">
        <v>175.51</v>
      </c>
      <c r="BI4912" s="1">
        <v>409404</v>
      </c>
      <c r="BJ4912" s="3">
        <v>42587</v>
      </c>
      <c r="BK4912" t="s">
        <v>123</v>
      </c>
      <c r="BL4912" t="str">
        <f>"2016.556657"</f>
        <v>2016.556657</v>
      </c>
      <c r="BM4912" t="s">
        <v>12558</v>
      </c>
      <c r="BN4912" t="s">
        <v>14084</v>
      </c>
      <c r="BO4912" t="s">
        <v>30587</v>
      </c>
      <c r="BP4912" t="s">
        <v>30588</v>
      </c>
      <c r="BS4912">
        <v>30</v>
      </c>
      <c r="BW4912" t="str">
        <f>""</f>
        <v/>
      </c>
      <c r="CH4912" t="str">
        <f>""</f>
        <v/>
      </c>
      <c r="CS4912" t="str">
        <f>""</f>
        <v/>
      </c>
    </row>
    <row r="4913" spans="1:97" x14ac:dyDescent="0.25">
      <c r="A4913" t="s">
        <v>1963</v>
      </c>
      <c r="B4913" t="s">
        <v>30589</v>
      </c>
      <c r="C4913" t="s">
        <v>29377</v>
      </c>
      <c r="D4913" t="s">
        <v>30589</v>
      </c>
      <c r="E4913" t="s">
        <v>30590</v>
      </c>
      <c r="F4913" t="s">
        <v>108</v>
      </c>
      <c r="H4913" t="s">
        <v>30591</v>
      </c>
      <c r="I4913" t="s">
        <v>499</v>
      </c>
      <c r="J4913" t="s">
        <v>111</v>
      </c>
      <c r="K4913" t="str">
        <f>"85338"</f>
        <v>85338</v>
      </c>
      <c r="L4913" t="s">
        <v>6416</v>
      </c>
      <c r="M4913" t="s">
        <v>30591</v>
      </c>
      <c r="N4913" t="s">
        <v>499</v>
      </c>
      <c r="O4913" t="s">
        <v>111</v>
      </c>
      <c r="P4913" t="str">
        <f>"85338-9767"</f>
        <v>85338-9767</v>
      </c>
      <c r="Q4913" t="s">
        <v>113</v>
      </c>
      <c r="R4913" t="str">
        <f>"500-06-333"</f>
        <v>500-06-333</v>
      </c>
      <c r="S4913" t="s">
        <v>30592</v>
      </c>
      <c r="U4913">
        <v>2302</v>
      </c>
      <c r="V4913">
        <v>0</v>
      </c>
      <c r="W4913">
        <v>4</v>
      </c>
      <c r="X4913">
        <v>1988</v>
      </c>
      <c r="Z4913">
        <v>2</v>
      </c>
      <c r="AA4913" t="s">
        <v>26</v>
      </c>
      <c r="AB4913">
        <v>0</v>
      </c>
      <c r="AC4913" t="s">
        <v>115</v>
      </c>
      <c r="AD4913">
        <v>2</v>
      </c>
      <c r="AE4913" t="s">
        <v>115</v>
      </c>
      <c r="AF4913">
        <v>0</v>
      </c>
      <c r="AG4913">
        <v>0</v>
      </c>
      <c r="AH4913" t="s">
        <v>116</v>
      </c>
      <c r="AI4913" s="1">
        <v>30985</v>
      </c>
      <c r="AJ4913" s="2">
        <v>0.11</v>
      </c>
      <c r="AK4913" s="1">
        <v>280231</v>
      </c>
      <c r="AL4913" t="s">
        <v>117</v>
      </c>
      <c r="AM4913" t="s">
        <v>118</v>
      </c>
      <c r="AN4913">
        <v>6927</v>
      </c>
      <c r="AO4913">
        <v>0.16</v>
      </c>
      <c r="AP4913">
        <v>1</v>
      </c>
      <c r="AR4913">
        <v>1</v>
      </c>
      <c r="AS4913" s="1">
        <v>18470</v>
      </c>
      <c r="AT4913" s="1">
        <v>3690</v>
      </c>
      <c r="AU4913" s="1">
        <v>14780</v>
      </c>
      <c r="AV4913">
        <v>80.02</v>
      </c>
      <c r="AX4913" s="1">
        <v>1372.68</v>
      </c>
      <c r="AY4913" t="s">
        <v>11177</v>
      </c>
      <c r="AZ4913" t="s">
        <v>11177</v>
      </c>
      <c r="BA4913" t="s">
        <v>7186</v>
      </c>
      <c r="BE4913" s="3">
        <v>42545</v>
      </c>
      <c r="BF4913" s="1">
        <v>250000</v>
      </c>
      <c r="BG4913" t="s">
        <v>30593</v>
      </c>
      <c r="BH4913" s="1">
        <v>108.6</v>
      </c>
      <c r="BI4913" s="1">
        <v>249246</v>
      </c>
      <c r="BJ4913" s="3">
        <v>42545</v>
      </c>
      <c r="BK4913" t="s">
        <v>123</v>
      </c>
      <c r="BL4913" t="str">
        <f>"2016.441871"</f>
        <v>2016.441871</v>
      </c>
      <c r="BM4913" t="s">
        <v>709</v>
      </c>
      <c r="BO4913" t="s">
        <v>30594</v>
      </c>
      <c r="BS4913">
        <v>30</v>
      </c>
      <c r="BW4913" t="str">
        <f>""</f>
        <v/>
      </c>
      <c r="CH4913" t="str">
        <f>""</f>
        <v/>
      </c>
      <c r="CS4913" t="str">
        <f>""</f>
        <v/>
      </c>
    </row>
    <row r="4914" spans="1:97" x14ac:dyDescent="0.25">
      <c r="A4914" t="s">
        <v>30595</v>
      </c>
      <c r="B4914" t="s">
        <v>11356</v>
      </c>
      <c r="C4914" t="s">
        <v>16736</v>
      </c>
      <c r="D4914" t="s">
        <v>11356</v>
      </c>
      <c r="E4914" t="s">
        <v>30596</v>
      </c>
      <c r="F4914" t="s">
        <v>108</v>
      </c>
      <c r="H4914" t="s">
        <v>30597</v>
      </c>
      <c r="I4914" t="s">
        <v>632</v>
      </c>
      <c r="J4914" t="s">
        <v>111</v>
      </c>
      <c r="K4914" t="str">
        <f>"85379"</f>
        <v>85379</v>
      </c>
      <c r="L4914" t="s">
        <v>6316</v>
      </c>
      <c r="M4914" t="s">
        <v>30597</v>
      </c>
      <c r="N4914" t="s">
        <v>632</v>
      </c>
      <c r="O4914" t="s">
        <v>111</v>
      </c>
      <c r="P4914" t="str">
        <f>"85379-6489"</f>
        <v>85379-6489</v>
      </c>
      <c r="Q4914" t="s">
        <v>113</v>
      </c>
      <c r="R4914" t="str">
        <f>"501-94-943"</f>
        <v>501-94-943</v>
      </c>
      <c r="S4914" t="s">
        <v>30598</v>
      </c>
      <c r="U4914">
        <v>2102</v>
      </c>
      <c r="V4914">
        <v>0</v>
      </c>
      <c r="W4914">
        <v>4</v>
      </c>
      <c r="X4914">
        <v>2002</v>
      </c>
      <c r="Z4914">
        <v>2</v>
      </c>
      <c r="AB4914">
        <v>0</v>
      </c>
      <c r="AC4914" t="s">
        <v>115</v>
      </c>
      <c r="AD4914">
        <v>2</v>
      </c>
      <c r="AE4914" t="s">
        <v>115</v>
      </c>
      <c r="AF4914">
        <v>0</v>
      </c>
      <c r="AG4914">
        <v>0</v>
      </c>
      <c r="AH4914" t="s">
        <v>116</v>
      </c>
      <c r="AI4914" s="1">
        <v>56910</v>
      </c>
      <c r="AJ4914" s="2">
        <v>0.22</v>
      </c>
      <c r="AK4914" s="1">
        <v>258910</v>
      </c>
      <c r="AL4914" t="s">
        <v>117</v>
      </c>
      <c r="AM4914" t="s">
        <v>118</v>
      </c>
      <c r="AN4914">
        <v>5830</v>
      </c>
      <c r="AO4914">
        <v>0.13</v>
      </c>
      <c r="AP4914">
        <v>1</v>
      </c>
      <c r="AR4914">
        <v>1</v>
      </c>
      <c r="AS4914" s="1">
        <v>17480</v>
      </c>
      <c r="AT4914" s="1">
        <v>3490</v>
      </c>
      <c r="AU4914" s="1">
        <v>13990</v>
      </c>
      <c r="AV4914">
        <v>80.03</v>
      </c>
      <c r="AX4914" s="1">
        <v>1234.72</v>
      </c>
      <c r="AY4914" t="s">
        <v>9749</v>
      </c>
      <c r="AZ4914" t="s">
        <v>9749</v>
      </c>
      <c r="BA4914" t="s">
        <v>321</v>
      </c>
      <c r="BE4914" s="3">
        <v>42544</v>
      </c>
      <c r="BF4914" s="1">
        <v>202000</v>
      </c>
      <c r="BG4914" t="s">
        <v>7720</v>
      </c>
      <c r="BH4914" s="1">
        <v>96.1</v>
      </c>
      <c r="BI4914" s="1">
        <v>202000</v>
      </c>
      <c r="BJ4914" s="3">
        <v>42544</v>
      </c>
      <c r="BK4914" t="s">
        <v>123</v>
      </c>
      <c r="BL4914" t="str">
        <f>"2016.440554"</f>
        <v>2016.440554</v>
      </c>
      <c r="BM4914" t="s">
        <v>1791</v>
      </c>
      <c r="BO4914" t="s">
        <v>30599</v>
      </c>
      <c r="BP4914" t="s">
        <v>30600</v>
      </c>
      <c r="BS4914">
        <v>30</v>
      </c>
      <c r="BW4914" t="str">
        <f>""</f>
        <v/>
      </c>
      <c r="CH4914" t="str">
        <f>""</f>
        <v/>
      </c>
      <c r="CS4914" t="str">
        <f>""</f>
        <v/>
      </c>
    </row>
    <row r="4915" spans="1:97" x14ac:dyDescent="0.25">
      <c r="A4915" t="s">
        <v>140</v>
      </c>
      <c r="B4915" t="s">
        <v>30601</v>
      </c>
      <c r="E4915" t="s">
        <v>30602</v>
      </c>
      <c r="F4915" t="s">
        <v>108</v>
      </c>
      <c r="H4915" t="s">
        <v>30603</v>
      </c>
      <c r="I4915" t="s">
        <v>2874</v>
      </c>
      <c r="J4915" t="s">
        <v>111</v>
      </c>
      <c r="K4915" t="str">
        <f>"85303"</f>
        <v>85303</v>
      </c>
      <c r="L4915" t="s">
        <v>6325</v>
      </c>
      <c r="M4915" t="s">
        <v>30603</v>
      </c>
      <c r="N4915" t="s">
        <v>2874</v>
      </c>
      <c r="O4915" t="s">
        <v>111</v>
      </c>
      <c r="P4915" t="str">
        <f>"85303-3913"</f>
        <v>85303-3913</v>
      </c>
      <c r="Q4915" t="s">
        <v>113</v>
      </c>
      <c r="R4915" t="str">
        <f>"144-02-303"</f>
        <v>144-02-303</v>
      </c>
      <c r="S4915" t="s">
        <v>30604</v>
      </c>
      <c r="T4915" t="s">
        <v>30605</v>
      </c>
      <c r="U4915">
        <v>2112</v>
      </c>
      <c r="V4915">
        <v>0</v>
      </c>
      <c r="W4915">
        <v>3</v>
      </c>
      <c r="X4915">
        <v>2012</v>
      </c>
      <c r="Z4915">
        <v>1</v>
      </c>
      <c r="AB4915">
        <v>0</v>
      </c>
      <c r="AC4915" t="s">
        <v>115</v>
      </c>
      <c r="AD4915">
        <v>3</v>
      </c>
      <c r="AE4915" t="s">
        <v>115</v>
      </c>
      <c r="AF4915">
        <v>0</v>
      </c>
      <c r="AG4915">
        <v>0</v>
      </c>
      <c r="AH4915" t="s">
        <v>116</v>
      </c>
      <c r="AI4915" s="1">
        <v>64958</v>
      </c>
      <c r="AJ4915" s="2">
        <v>0.23</v>
      </c>
      <c r="AK4915" s="1">
        <v>279958</v>
      </c>
      <c r="AL4915" t="s">
        <v>117</v>
      </c>
      <c r="AM4915" t="s">
        <v>191</v>
      </c>
      <c r="AN4915">
        <v>8873</v>
      </c>
      <c r="AO4915">
        <v>0.2</v>
      </c>
      <c r="AR4915">
        <v>1</v>
      </c>
      <c r="AS4915" s="1">
        <v>18830</v>
      </c>
      <c r="AT4915" s="1">
        <v>3760</v>
      </c>
      <c r="AU4915" s="1">
        <v>15070</v>
      </c>
      <c r="AV4915">
        <v>80.03</v>
      </c>
      <c r="AX4915" s="1">
        <v>1777.76</v>
      </c>
      <c r="AY4915" t="s">
        <v>6759</v>
      </c>
      <c r="AZ4915" t="s">
        <v>6759</v>
      </c>
      <c r="BA4915" t="s">
        <v>2878</v>
      </c>
      <c r="BE4915" s="3">
        <v>42179</v>
      </c>
      <c r="BF4915" s="1">
        <v>215000</v>
      </c>
      <c r="BG4915" t="s">
        <v>30606</v>
      </c>
      <c r="BH4915" s="1">
        <v>101.8</v>
      </c>
      <c r="BI4915" s="1">
        <v>215000</v>
      </c>
      <c r="BJ4915" s="3">
        <v>42179</v>
      </c>
      <c r="BK4915" t="s">
        <v>123</v>
      </c>
      <c r="BL4915" t="str">
        <f>"2015.449649"</f>
        <v>2015.449649</v>
      </c>
      <c r="BM4915" t="s">
        <v>709</v>
      </c>
      <c r="BO4915" t="s">
        <v>30607</v>
      </c>
      <c r="BS4915">
        <v>30</v>
      </c>
      <c r="BW4915" t="str">
        <f>""</f>
        <v/>
      </c>
      <c r="CH4915" t="str">
        <f>""</f>
        <v/>
      </c>
      <c r="CS4915" t="str">
        <f>""</f>
        <v/>
      </c>
    </row>
    <row r="4916" spans="1:97" x14ac:dyDescent="0.25">
      <c r="A4916" t="s">
        <v>5044</v>
      </c>
      <c r="B4916" t="s">
        <v>4527</v>
      </c>
      <c r="C4916" t="s">
        <v>933</v>
      </c>
      <c r="D4916" t="s">
        <v>4527</v>
      </c>
      <c r="E4916" t="s">
        <v>30608</v>
      </c>
      <c r="F4916" t="s">
        <v>108</v>
      </c>
      <c r="H4916" t="s">
        <v>30609</v>
      </c>
      <c r="I4916" t="s">
        <v>188</v>
      </c>
      <c r="J4916" t="s">
        <v>111</v>
      </c>
      <c r="K4916" t="str">
        <f>"85142"</f>
        <v>85142</v>
      </c>
      <c r="L4916" t="s">
        <v>5893</v>
      </c>
      <c r="M4916" t="s">
        <v>30609</v>
      </c>
      <c r="N4916" t="s">
        <v>188</v>
      </c>
      <c r="O4916" t="s">
        <v>111</v>
      </c>
      <c r="P4916" t="str">
        <f>"85142-4888"</f>
        <v>85142-4888</v>
      </c>
      <c r="Q4916" t="s">
        <v>113</v>
      </c>
      <c r="R4916" t="str">
        <f>"314-06-599"</f>
        <v>314-06-599</v>
      </c>
      <c r="S4916" t="s">
        <v>28549</v>
      </c>
      <c r="U4916">
        <v>4119</v>
      </c>
      <c r="V4916">
        <v>0</v>
      </c>
      <c r="W4916">
        <v>5</v>
      </c>
      <c r="X4916">
        <v>2006</v>
      </c>
      <c r="Z4916">
        <v>2</v>
      </c>
      <c r="AA4916" t="s">
        <v>26</v>
      </c>
      <c r="AB4916">
        <v>0</v>
      </c>
      <c r="AC4916" t="s">
        <v>115</v>
      </c>
      <c r="AD4916">
        <v>4</v>
      </c>
      <c r="AE4916" t="s">
        <v>115</v>
      </c>
      <c r="AF4916">
        <v>0</v>
      </c>
      <c r="AG4916">
        <v>0</v>
      </c>
      <c r="AH4916" t="s">
        <v>116</v>
      </c>
      <c r="AI4916" s="1">
        <v>-17299</v>
      </c>
      <c r="AJ4916" s="2">
        <v>-0.06</v>
      </c>
      <c r="AK4916" s="1">
        <v>297662</v>
      </c>
      <c r="AL4916" t="s">
        <v>117</v>
      </c>
      <c r="AM4916" t="s">
        <v>393</v>
      </c>
      <c r="AN4916">
        <v>9600</v>
      </c>
      <c r="AO4916">
        <v>0.22</v>
      </c>
      <c r="AR4916">
        <v>1</v>
      </c>
      <c r="AS4916" s="1">
        <v>30410</v>
      </c>
      <c r="AT4916" s="1">
        <v>6080</v>
      </c>
      <c r="AU4916" s="1">
        <v>24330</v>
      </c>
      <c r="AV4916">
        <v>80.010000000000005</v>
      </c>
      <c r="AX4916" s="1">
        <v>3334.32</v>
      </c>
      <c r="AY4916" t="s">
        <v>5895</v>
      </c>
      <c r="AZ4916" t="s">
        <v>561</v>
      </c>
      <c r="BA4916" t="s">
        <v>194</v>
      </c>
      <c r="BE4916" s="3">
        <v>42278</v>
      </c>
      <c r="BF4916" s="1">
        <v>304900</v>
      </c>
      <c r="BG4916" t="s">
        <v>30610</v>
      </c>
      <c r="BH4916" s="1">
        <v>74.02</v>
      </c>
      <c r="BI4916" s="1">
        <v>314961</v>
      </c>
      <c r="BJ4916" s="3">
        <v>42278</v>
      </c>
      <c r="BK4916" t="s">
        <v>123</v>
      </c>
      <c r="BL4916" t="str">
        <f>"2015.708152"</f>
        <v>2015.708152</v>
      </c>
      <c r="BM4916" t="s">
        <v>135</v>
      </c>
      <c r="BO4916" t="s">
        <v>30611</v>
      </c>
      <c r="BS4916">
        <v>30</v>
      </c>
      <c r="BW4916" t="str">
        <f>""</f>
        <v/>
      </c>
      <c r="CH4916" t="str">
        <f>""</f>
        <v/>
      </c>
      <c r="CS4916" t="str">
        <f>""</f>
        <v/>
      </c>
    </row>
    <row r="4917" spans="1:97" x14ac:dyDescent="0.25">
      <c r="B4917" t="s">
        <v>30612</v>
      </c>
      <c r="C4917" t="s">
        <v>365</v>
      </c>
      <c r="E4917" t="s">
        <v>30613</v>
      </c>
      <c r="F4917" t="s">
        <v>282</v>
      </c>
      <c r="H4917" t="s">
        <v>30614</v>
      </c>
      <c r="I4917" t="s">
        <v>144</v>
      </c>
      <c r="J4917" t="s">
        <v>111</v>
      </c>
      <c r="K4917" t="str">
        <f>"85396"</f>
        <v>85396</v>
      </c>
      <c r="L4917" t="s">
        <v>541</v>
      </c>
      <c r="M4917" t="s">
        <v>30614</v>
      </c>
      <c r="N4917" t="s">
        <v>144</v>
      </c>
      <c r="O4917" t="s">
        <v>111</v>
      </c>
      <c r="P4917" t="str">
        <f>"85396-7673"</f>
        <v>85396-7673</v>
      </c>
      <c r="Q4917" t="s">
        <v>113</v>
      </c>
      <c r="R4917" t="str">
        <f>"502-79-150-A"</f>
        <v>502-79-150-A</v>
      </c>
      <c r="S4917" t="s">
        <v>30615</v>
      </c>
      <c r="U4917">
        <v>1531</v>
      </c>
      <c r="V4917">
        <v>0</v>
      </c>
      <c r="W4917">
        <v>3</v>
      </c>
      <c r="X4917">
        <v>2004</v>
      </c>
      <c r="Z4917">
        <v>1</v>
      </c>
      <c r="AB4917">
        <v>0</v>
      </c>
      <c r="AC4917" t="s">
        <v>115</v>
      </c>
      <c r="AD4917">
        <v>2</v>
      </c>
      <c r="AE4917" t="s">
        <v>115</v>
      </c>
      <c r="AF4917">
        <v>0</v>
      </c>
      <c r="AG4917">
        <v>0</v>
      </c>
      <c r="AH4917" t="s">
        <v>116</v>
      </c>
      <c r="AI4917" s="1">
        <v>52420</v>
      </c>
      <c r="AJ4917" s="2">
        <v>0.19</v>
      </c>
      <c r="AK4917" s="1">
        <v>278647</v>
      </c>
      <c r="AL4917" t="s">
        <v>117</v>
      </c>
      <c r="AM4917" t="s">
        <v>118</v>
      </c>
      <c r="AN4917">
        <v>5413</v>
      </c>
      <c r="AO4917">
        <v>0.12</v>
      </c>
      <c r="AP4917">
        <v>1</v>
      </c>
      <c r="AR4917">
        <v>1</v>
      </c>
      <c r="AS4917" s="1">
        <v>19480</v>
      </c>
      <c r="AT4917" s="1">
        <v>3890</v>
      </c>
      <c r="AU4917" s="1">
        <v>15590</v>
      </c>
      <c r="AV4917">
        <v>80.03</v>
      </c>
      <c r="AX4917" s="1">
        <v>2562.58</v>
      </c>
      <c r="AY4917" t="s">
        <v>543</v>
      </c>
      <c r="AZ4917" t="s">
        <v>504</v>
      </c>
      <c r="BA4917" t="s">
        <v>218</v>
      </c>
      <c r="BB4917" s="3">
        <v>43517</v>
      </c>
      <c r="BC4917" s="1">
        <v>0</v>
      </c>
      <c r="BD4917" t="s">
        <v>247</v>
      </c>
      <c r="BE4917" s="3">
        <v>42459</v>
      </c>
      <c r="BF4917" s="1">
        <v>219000</v>
      </c>
      <c r="BG4917" t="s">
        <v>30616</v>
      </c>
      <c r="BH4917" s="1">
        <v>143.04</v>
      </c>
      <c r="BI4917" s="1">
        <v>226227</v>
      </c>
      <c r="BJ4917" s="3">
        <v>42459</v>
      </c>
      <c r="BK4917" t="s">
        <v>123</v>
      </c>
      <c r="BL4917" t="str">
        <f>"2016.207753"</f>
        <v>2016.207753</v>
      </c>
      <c r="BM4917" t="s">
        <v>7967</v>
      </c>
      <c r="BN4917" t="s">
        <v>4706</v>
      </c>
      <c r="BO4917" t="s">
        <v>30617</v>
      </c>
      <c r="BS4917">
        <v>30</v>
      </c>
      <c r="BW4917" t="str">
        <f>""</f>
        <v/>
      </c>
      <c r="CH4917" t="str">
        <f>""</f>
        <v/>
      </c>
      <c r="CS4917" t="str">
        <f>""</f>
        <v/>
      </c>
    </row>
    <row r="4918" spans="1:97" x14ac:dyDescent="0.25">
      <c r="A4918" t="s">
        <v>2374</v>
      </c>
      <c r="B4918" t="s">
        <v>3457</v>
      </c>
      <c r="C4918" t="s">
        <v>3707</v>
      </c>
      <c r="D4918" t="s">
        <v>3457</v>
      </c>
      <c r="E4918" t="s">
        <v>30618</v>
      </c>
      <c r="F4918" t="s">
        <v>108</v>
      </c>
      <c r="H4918" t="s">
        <v>30619</v>
      </c>
      <c r="I4918" t="s">
        <v>632</v>
      </c>
      <c r="J4918" t="s">
        <v>111</v>
      </c>
      <c r="K4918" t="str">
        <f>"85379"</f>
        <v>85379</v>
      </c>
      <c r="L4918" t="s">
        <v>454</v>
      </c>
      <c r="M4918" t="s">
        <v>30619</v>
      </c>
      <c r="N4918" t="s">
        <v>632</v>
      </c>
      <c r="O4918" t="s">
        <v>111</v>
      </c>
      <c r="P4918" t="str">
        <f>"85379-1030"</f>
        <v>85379-1030</v>
      </c>
      <c r="Q4918" t="s">
        <v>113</v>
      </c>
      <c r="R4918" t="str">
        <f>"501-46-623"</f>
        <v>501-46-623</v>
      </c>
      <c r="S4918" t="s">
        <v>5319</v>
      </c>
      <c r="U4918">
        <v>2859</v>
      </c>
      <c r="V4918">
        <v>0</v>
      </c>
      <c r="W4918">
        <v>4</v>
      </c>
      <c r="X4918">
        <v>2014</v>
      </c>
      <c r="Z4918">
        <v>2</v>
      </c>
      <c r="AA4918" t="s">
        <v>26</v>
      </c>
      <c r="AB4918">
        <v>0</v>
      </c>
      <c r="AC4918" t="s">
        <v>115</v>
      </c>
      <c r="AD4918">
        <v>3</v>
      </c>
      <c r="AE4918" t="s">
        <v>115</v>
      </c>
      <c r="AF4918">
        <v>0</v>
      </c>
      <c r="AG4918">
        <v>0</v>
      </c>
      <c r="AH4918" t="s">
        <v>116</v>
      </c>
      <c r="AI4918" s="1">
        <v>33398</v>
      </c>
      <c r="AJ4918" s="2">
        <v>0.1</v>
      </c>
      <c r="AK4918" s="1">
        <v>348398</v>
      </c>
      <c r="AL4918" t="s">
        <v>117</v>
      </c>
      <c r="AM4918" t="s">
        <v>118</v>
      </c>
      <c r="AN4918">
        <v>6095</v>
      </c>
      <c r="AO4918">
        <v>0.14000000000000001</v>
      </c>
      <c r="AR4918">
        <v>1</v>
      </c>
      <c r="AS4918" s="1">
        <v>25050</v>
      </c>
      <c r="AT4918" s="1">
        <v>5010</v>
      </c>
      <c r="AU4918" s="1">
        <v>20040</v>
      </c>
      <c r="AV4918">
        <v>80</v>
      </c>
      <c r="AX4918" s="1">
        <v>1859.1</v>
      </c>
      <c r="AY4918" t="s">
        <v>5060</v>
      </c>
      <c r="AZ4918" t="s">
        <v>5060</v>
      </c>
      <c r="BA4918" t="s">
        <v>5061</v>
      </c>
      <c r="BE4918" s="3">
        <v>42062</v>
      </c>
      <c r="BF4918" s="1">
        <v>260000</v>
      </c>
      <c r="BG4918" t="s">
        <v>158</v>
      </c>
      <c r="BH4918" s="1">
        <v>90.94</v>
      </c>
      <c r="BI4918" s="1">
        <v>315000</v>
      </c>
      <c r="BJ4918" s="3">
        <v>42921</v>
      </c>
      <c r="BK4918" t="s">
        <v>123</v>
      </c>
      <c r="BL4918" t="str">
        <f>"2017.488497"</f>
        <v>2017.488497</v>
      </c>
      <c r="BM4918" t="s">
        <v>3638</v>
      </c>
      <c r="BO4918" t="s">
        <v>30620</v>
      </c>
      <c r="BS4918">
        <v>30</v>
      </c>
      <c r="BW4918" t="str">
        <f>""</f>
        <v/>
      </c>
      <c r="CH4918" t="str">
        <f>""</f>
        <v/>
      </c>
      <c r="CS4918" t="str">
        <f>""</f>
        <v/>
      </c>
    </row>
    <row r="4919" spans="1:97" x14ac:dyDescent="0.25">
      <c r="A4919" t="s">
        <v>610</v>
      </c>
      <c r="B4919" t="s">
        <v>30621</v>
      </c>
      <c r="C4919" t="s">
        <v>507</v>
      </c>
      <c r="D4919" t="s">
        <v>30621</v>
      </c>
      <c r="E4919" t="s">
        <v>30622</v>
      </c>
      <c r="F4919" t="s">
        <v>108</v>
      </c>
      <c r="H4919" t="s">
        <v>30623</v>
      </c>
      <c r="I4919" t="s">
        <v>390</v>
      </c>
      <c r="J4919" t="s">
        <v>111</v>
      </c>
      <c r="K4919" t="str">
        <f>"85086"</f>
        <v>85086</v>
      </c>
      <c r="L4919" t="s">
        <v>15336</v>
      </c>
      <c r="M4919" t="s">
        <v>30623</v>
      </c>
      <c r="N4919" t="s">
        <v>390</v>
      </c>
      <c r="O4919" t="s">
        <v>111</v>
      </c>
      <c r="P4919" t="str">
        <f>"85086-8788"</f>
        <v>85086-8788</v>
      </c>
      <c r="R4919" t="str">
        <f>"203-31-012-K"</f>
        <v>203-31-012-K</v>
      </c>
      <c r="U4919">
        <v>2760</v>
      </c>
      <c r="V4919">
        <v>0</v>
      </c>
      <c r="W4919">
        <v>4</v>
      </c>
      <c r="X4919">
        <v>2015</v>
      </c>
      <c r="Z4919">
        <v>1</v>
      </c>
      <c r="AA4919" t="s">
        <v>26</v>
      </c>
      <c r="AB4919">
        <v>0</v>
      </c>
      <c r="AC4919" t="s">
        <v>115</v>
      </c>
      <c r="AD4919">
        <v>4</v>
      </c>
      <c r="AE4919" t="s">
        <v>115</v>
      </c>
      <c r="AF4919">
        <v>0</v>
      </c>
      <c r="AG4919">
        <v>0</v>
      </c>
      <c r="AH4919" t="s">
        <v>116</v>
      </c>
      <c r="AI4919" s="1">
        <v>135090</v>
      </c>
      <c r="AJ4919" s="2">
        <v>0.25</v>
      </c>
      <c r="AK4919" s="1">
        <v>550215</v>
      </c>
      <c r="AL4919" t="s">
        <v>117</v>
      </c>
      <c r="AM4919" t="s">
        <v>376</v>
      </c>
      <c r="AN4919">
        <v>43725</v>
      </c>
      <c r="AO4919">
        <v>1</v>
      </c>
      <c r="AR4919">
        <v>1</v>
      </c>
      <c r="AS4919" s="1">
        <v>44010</v>
      </c>
      <c r="AT4919" s="1">
        <v>8800</v>
      </c>
      <c r="AU4919" s="1">
        <v>35210</v>
      </c>
      <c r="AV4919">
        <v>80</v>
      </c>
      <c r="AX4919" s="1">
        <v>3662.12</v>
      </c>
      <c r="AY4919" t="s">
        <v>8639</v>
      </c>
      <c r="AZ4919" t="s">
        <v>8639</v>
      </c>
      <c r="BA4919" t="s">
        <v>378</v>
      </c>
      <c r="BE4919" s="3">
        <v>42422</v>
      </c>
      <c r="BF4919" s="1">
        <v>460000</v>
      </c>
      <c r="BG4919" t="s">
        <v>30624</v>
      </c>
      <c r="BH4919" s="1">
        <v>166.67</v>
      </c>
      <c r="BI4919" s="1">
        <v>415125</v>
      </c>
      <c r="BJ4919" s="3">
        <v>42422</v>
      </c>
      <c r="BK4919" t="s">
        <v>123</v>
      </c>
      <c r="BL4919" t="str">
        <f>"2016.109864"</f>
        <v>2016.109864</v>
      </c>
      <c r="BM4919" t="s">
        <v>402</v>
      </c>
      <c r="BN4919" t="s">
        <v>461</v>
      </c>
      <c r="BO4919" t="s">
        <v>30625</v>
      </c>
      <c r="BS4919">
        <v>30</v>
      </c>
      <c r="BW4919" t="str">
        <f>""</f>
        <v/>
      </c>
      <c r="CH4919" t="str">
        <f>""</f>
        <v/>
      </c>
      <c r="CS4919" t="str">
        <f>""</f>
        <v/>
      </c>
    </row>
    <row r="4920" spans="1:97" x14ac:dyDescent="0.25">
      <c r="A4920" t="s">
        <v>30626</v>
      </c>
      <c r="B4920" t="s">
        <v>12310</v>
      </c>
      <c r="C4920" t="s">
        <v>1649</v>
      </c>
      <c r="D4920" t="s">
        <v>12310</v>
      </c>
      <c r="E4920" t="s">
        <v>30627</v>
      </c>
      <c r="F4920" t="s">
        <v>108</v>
      </c>
      <c r="H4920" t="s">
        <v>30628</v>
      </c>
      <c r="I4920" t="s">
        <v>188</v>
      </c>
      <c r="J4920" t="s">
        <v>111</v>
      </c>
      <c r="K4920" t="str">
        <f>"85142"</f>
        <v>85142</v>
      </c>
      <c r="L4920" t="s">
        <v>2197</v>
      </c>
      <c r="M4920" t="s">
        <v>30628</v>
      </c>
      <c r="N4920" t="s">
        <v>188</v>
      </c>
      <c r="O4920" t="s">
        <v>111</v>
      </c>
      <c r="P4920" t="str">
        <f>"85142-6029"</f>
        <v>85142-6029</v>
      </c>
      <c r="R4920" t="str">
        <f>"314-04-176"</f>
        <v>314-04-176</v>
      </c>
      <c r="S4920" t="s">
        <v>30629</v>
      </c>
      <c r="T4920" t="s">
        <v>30630</v>
      </c>
      <c r="U4920">
        <v>5093</v>
      </c>
      <c r="V4920">
        <v>0</v>
      </c>
      <c r="W4920">
        <v>5</v>
      </c>
      <c r="X4920">
        <v>2005</v>
      </c>
      <c r="Z4920">
        <v>2</v>
      </c>
      <c r="AA4920" t="s">
        <v>26</v>
      </c>
      <c r="AB4920">
        <v>0</v>
      </c>
      <c r="AC4920" t="s">
        <v>115</v>
      </c>
      <c r="AD4920">
        <v>3</v>
      </c>
      <c r="AE4920" t="s">
        <v>115</v>
      </c>
      <c r="AF4920">
        <v>0</v>
      </c>
      <c r="AG4920">
        <v>0</v>
      </c>
      <c r="AH4920" t="s">
        <v>116</v>
      </c>
      <c r="AI4920" s="1">
        <v>184390</v>
      </c>
      <c r="AJ4920" s="2">
        <v>0.32</v>
      </c>
      <c r="AK4920" s="1">
        <v>571671</v>
      </c>
      <c r="AL4920" t="s">
        <v>117</v>
      </c>
      <c r="AM4920" t="s">
        <v>616</v>
      </c>
      <c r="AN4920">
        <v>18000</v>
      </c>
      <c r="AO4920">
        <v>0.41</v>
      </c>
      <c r="AR4920">
        <v>1</v>
      </c>
      <c r="AS4920" s="1">
        <v>43010</v>
      </c>
      <c r="AT4920" s="1">
        <v>8600</v>
      </c>
      <c r="AU4920" s="1">
        <v>34410</v>
      </c>
      <c r="AV4920">
        <v>80</v>
      </c>
      <c r="AX4920" s="1">
        <v>4752.62</v>
      </c>
      <c r="AY4920" t="s">
        <v>192</v>
      </c>
      <c r="AZ4920" t="s">
        <v>193</v>
      </c>
      <c r="BA4920" t="s">
        <v>194</v>
      </c>
      <c r="BE4920" s="3">
        <v>42003</v>
      </c>
      <c r="BF4920" s="1">
        <v>427500</v>
      </c>
      <c r="BG4920" t="s">
        <v>30631</v>
      </c>
      <c r="BH4920" s="1">
        <v>83.94</v>
      </c>
      <c r="BI4920" s="1">
        <v>387281</v>
      </c>
      <c r="BJ4920" s="3">
        <v>42003</v>
      </c>
      <c r="BK4920" t="s">
        <v>123</v>
      </c>
      <c r="BL4920" t="str">
        <f>"2014.857829"</f>
        <v>2014.857829</v>
      </c>
      <c r="BM4920" t="s">
        <v>1287</v>
      </c>
      <c r="BN4920" t="s">
        <v>15612</v>
      </c>
      <c r="BO4920" t="s">
        <v>30632</v>
      </c>
      <c r="BS4920">
        <v>30</v>
      </c>
      <c r="BW4920" t="str">
        <f>""</f>
        <v/>
      </c>
      <c r="CH4920" t="str">
        <f>""</f>
        <v/>
      </c>
      <c r="CS4920" t="str">
        <f>""</f>
        <v/>
      </c>
    </row>
    <row r="4921" spans="1:97" x14ac:dyDescent="0.25">
      <c r="A4921" t="s">
        <v>30633</v>
      </c>
      <c r="B4921" t="s">
        <v>30634</v>
      </c>
      <c r="C4921" t="s">
        <v>817</v>
      </c>
      <c r="D4921" t="s">
        <v>30634</v>
      </c>
      <c r="E4921" t="s">
        <v>30635</v>
      </c>
      <c r="F4921" t="s">
        <v>108</v>
      </c>
      <c r="H4921" t="s">
        <v>30636</v>
      </c>
      <c r="I4921" t="s">
        <v>6646</v>
      </c>
      <c r="J4921" t="s">
        <v>111</v>
      </c>
      <c r="K4921" t="str">
        <f>"85086"</f>
        <v>85086</v>
      </c>
      <c r="L4921" t="s">
        <v>3116</v>
      </c>
      <c r="M4921" t="s">
        <v>30636</v>
      </c>
      <c r="N4921" t="s">
        <v>6646</v>
      </c>
      <c r="O4921" t="s">
        <v>111</v>
      </c>
      <c r="P4921" t="str">
        <f>"85086-1815"</f>
        <v>85086-1815</v>
      </c>
      <c r="Q4921" t="s">
        <v>113</v>
      </c>
      <c r="R4921" t="str">
        <f>"203-08-370"</f>
        <v>203-08-370</v>
      </c>
      <c r="S4921" t="s">
        <v>30637</v>
      </c>
      <c r="T4921" t="s">
        <v>6514</v>
      </c>
      <c r="U4921">
        <v>2647</v>
      </c>
      <c r="V4921">
        <v>0</v>
      </c>
      <c r="W4921">
        <v>4</v>
      </c>
      <c r="X4921">
        <v>2003</v>
      </c>
      <c r="Z4921">
        <v>1</v>
      </c>
      <c r="AA4921" t="s">
        <v>26</v>
      </c>
      <c r="AB4921">
        <v>0</v>
      </c>
      <c r="AC4921" t="s">
        <v>115</v>
      </c>
      <c r="AD4921">
        <v>3</v>
      </c>
      <c r="AE4921" t="s">
        <v>115</v>
      </c>
      <c r="AF4921">
        <v>0</v>
      </c>
      <c r="AG4921">
        <v>0</v>
      </c>
      <c r="AH4921" t="s">
        <v>116</v>
      </c>
      <c r="AI4921" s="1">
        <v>60684</v>
      </c>
      <c r="AJ4921" s="2">
        <v>0.13</v>
      </c>
      <c r="AK4921" s="1">
        <v>473370</v>
      </c>
      <c r="AL4921" t="s">
        <v>117</v>
      </c>
      <c r="AM4921" t="s">
        <v>191</v>
      </c>
      <c r="AN4921">
        <v>10625</v>
      </c>
      <c r="AO4921">
        <v>0.24</v>
      </c>
      <c r="AP4921">
        <v>1</v>
      </c>
      <c r="AR4921">
        <v>1</v>
      </c>
      <c r="AS4921" s="1">
        <v>36260</v>
      </c>
      <c r="AT4921" s="1">
        <v>7250</v>
      </c>
      <c r="AU4921" s="1">
        <v>29010</v>
      </c>
      <c r="AV4921">
        <v>80.010000000000005</v>
      </c>
      <c r="AX4921" s="1">
        <v>3783.34</v>
      </c>
      <c r="AY4921" t="s">
        <v>6515</v>
      </c>
      <c r="AZ4921" t="s">
        <v>6515</v>
      </c>
      <c r="BA4921" t="s">
        <v>378</v>
      </c>
      <c r="BE4921" s="3">
        <v>42247</v>
      </c>
      <c r="BF4921" s="1">
        <v>400000</v>
      </c>
      <c r="BG4921" t="s">
        <v>30638</v>
      </c>
      <c r="BH4921" s="1">
        <v>151.11000000000001</v>
      </c>
      <c r="BI4921" s="1">
        <v>412686</v>
      </c>
      <c r="BJ4921" s="3">
        <v>42675</v>
      </c>
      <c r="BK4921" t="s">
        <v>123</v>
      </c>
      <c r="BL4921" t="str">
        <f>"2016.803315"</f>
        <v>2016.803315</v>
      </c>
      <c r="BM4921" t="s">
        <v>724</v>
      </c>
      <c r="BO4921" t="s">
        <v>30639</v>
      </c>
      <c r="BS4921">
        <v>30</v>
      </c>
      <c r="BW4921" t="str">
        <f>""</f>
        <v/>
      </c>
      <c r="CH4921" t="str">
        <f>""</f>
        <v/>
      </c>
      <c r="CS4921" t="str">
        <f>""</f>
        <v/>
      </c>
    </row>
    <row r="4922" spans="1:97" x14ac:dyDescent="0.25">
      <c r="A4922" t="s">
        <v>30640</v>
      </c>
      <c r="B4922" t="s">
        <v>3862</v>
      </c>
      <c r="C4922" t="s">
        <v>507</v>
      </c>
      <c r="D4922" t="s">
        <v>3862</v>
      </c>
      <c r="E4922" t="s">
        <v>30641</v>
      </c>
      <c r="F4922" t="s">
        <v>108</v>
      </c>
      <c r="H4922" t="s">
        <v>30642</v>
      </c>
      <c r="I4922" t="s">
        <v>110</v>
      </c>
      <c r="J4922" t="s">
        <v>111</v>
      </c>
      <c r="K4922" t="str">
        <f>"85249"</f>
        <v>85249</v>
      </c>
      <c r="L4922" t="s">
        <v>7904</v>
      </c>
      <c r="M4922" t="s">
        <v>30642</v>
      </c>
      <c r="N4922" t="s">
        <v>110</v>
      </c>
      <c r="O4922" t="s">
        <v>111</v>
      </c>
      <c r="P4922" t="str">
        <f>"85249-4294"</f>
        <v>85249-4294</v>
      </c>
      <c r="Q4922" t="s">
        <v>113</v>
      </c>
      <c r="R4922" t="str">
        <f>"303-58-704"</f>
        <v>303-58-704</v>
      </c>
      <c r="S4922" t="s">
        <v>30643</v>
      </c>
      <c r="T4922" t="s">
        <v>30644</v>
      </c>
      <c r="U4922">
        <v>4323</v>
      </c>
      <c r="V4922">
        <v>0</v>
      </c>
      <c r="W4922">
        <v>5</v>
      </c>
      <c r="X4922">
        <v>2005</v>
      </c>
      <c r="Z4922">
        <v>1</v>
      </c>
      <c r="AA4922" t="s">
        <v>26</v>
      </c>
      <c r="AB4922">
        <v>0</v>
      </c>
      <c r="AC4922" t="s">
        <v>115</v>
      </c>
      <c r="AD4922">
        <v>3</v>
      </c>
      <c r="AE4922" t="s">
        <v>115</v>
      </c>
      <c r="AF4922">
        <v>0</v>
      </c>
      <c r="AG4922">
        <v>0</v>
      </c>
      <c r="AH4922" t="s">
        <v>116</v>
      </c>
      <c r="AI4922" s="1">
        <v>89604</v>
      </c>
      <c r="AJ4922" s="2">
        <v>0.11</v>
      </c>
      <c r="AK4922" s="1">
        <v>801354</v>
      </c>
      <c r="AL4922" t="s">
        <v>117</v>
      </c>
      <c r="AM4922" t="s">
        <v>616</v>
      </c>
      <c r="AN4922">
        <v>29292</v>
      </c>
      <c r="AO4922">
        <v>0.67</v>
      </c>
      <c r="AR4922">
        <v>1</v>
      </c>
      <c r="AS4922" s="1">
        <v>60150</v>
      </c>
      <c r="AT4922" s="1">
        <v>12030</v>
      </c>
      <c r="AU4922" s="1">
        <v>48120</v>
      </c>
      <c r="AV4922">
        <v>80</v>
      </c>
      <c r="AX4922" s="1">
        <v>7148.28</v>
      </c>
      <c r="AY4922" t="s">
        <v>119</v>
      </c>
      <c r="AZ4922" t="s">
        <v>120</v>
      </c>
      <c r="BA4922" t="s">
        <v>121</v>
      </c>
      <c r="BE4922" s="3">
        <v>42152</v>
      </c>
      <c r="BF4922" s="1">
        <v>765000</v>
      </c>
      <c r="BG4922" t="s">
        <v>30645</v>
      </c>
      <c r="BH4922" s="1">
        <v>176.96</v>
      </c>
      <c r="BI4922" s="1">
        <v>711750</v>
      </c>
      <c r="BJ4922" s="3">
        <v>42733</v>
      </c>
      <c r="BK4922" t="s">
        <v>123</v>
      </c>
      <c r="BL4922" t="str">
        <f>"2016.960122"</f>
        <v>2016.960122</v>
      </c>
      <c r="BM4922" t="s">
        <v>30646</v>
      </c>
      <c r="BO4922" t="s">
        <v>30647</v>
      </c>
      <c r="BS4922">
        <v>30</v>
      </c>
      <c r="BW4922" t="str">
        <f>""</f>
        <v/>
      </c>
      <c r="CH4922" t="str">
        <f>""</f>
        <v/>
      </c>
      <c r="CS4922" t="str">
        <f>""</f>
        <v/>
      </c>
    </row>
    <row r="4923" spans="1:97" x14ac:dyDescent="0.25">
      <c r="A4923" t="s">
        <v>30648</v>
      </c>
      <c r="B4923" t="s">
        <v>30649</v>
      </c>
      <c r="C4923" t="s">
        <v>1027</v>
      </c>
      <c r="D4923" t="s">
        <v>30650</v>
      </c>
      <c r="E4923" t="s">
        <v>30651</v>
      </c>
      <c r="F4923" t="s">
        <v>108</v>
      </c>
      <c r="H4923" t="s">
        <v>30652</v>
      </c>
      <c r="I4923" t="s">
        <v>1936</v>
      </c>
      <c r="J4923" t="s">
        <v>111</v>
      </c>
      <c r="K4923" t="str">
        <f>"85262"</f>
        <v>85262</v>
      </c>
      <c r="L4923" t="s">
        <v>12111</v>
      </c>
      <c r="M4923" t="s">
        <v>30652</v>
      </c>
      <c r="N4923" t="s">
        <v>1936</v>
      </c>
      <c r="O4923" t="s">
        <v>111</v>
      </c>
      <c r="P4923" t="str">
        <f>"85262-4770"</f>
        <v>85262-4770</v>
      </c>
      <c r="Q4923" t="s">
        <v>113</v>
      </c>
      <c r="R4923" t="str">
        <f>"219-39-065-S"</f>
        <v>219-39-065-S</v>
      </c>
      <c r="U4923">
        <v>3922</v>
      </c>
      <c r="V4923">
        <v>0</v>
      </c>
      <c r="W4923">
        <v>5</v>
      </c>
      <c r="X4923">
        <v>2008</v>
      </c>
      <c r="Z4923">
        <v>1</v>
      </c>
      <c r="AB4923">
        <v>0</v>
      </c>
      <c r="AC4923" t="s">
        <v>115</v>
      </c>
      <c r="AD4923">
        <v>3</v>
      </c>
      <c r="AE4923" t="s">
        <v>115</v>
      </c>
      <c r="AF4923">
        <v>0</v>
      </c>
      <c r="AG4923">
        <v>0</v>
      </c>
      <c r="AH4923" t="s">
        <v>116</v>
      </c>
      <c r="AI4923" s="1">
        <v>137108</v>
      </c>
      <c r="AJ4923" s="2">
        <v>0.21</v>
      </c>
      <c r="AK4923" s="1">
        <v>661609</v>
      </c>
      <c r="AL4923" t="s">
        <v>117</v>
      </c>
      <c r="AM4923" t="s">
        <v>376</v>
      </c>
      <c r="AN4923">
        <v>43628</v>
      </c>
      <c r="AO4923">
        <v>1</v>
      </c>
      <c r="AR4923">
        <v>1</v>
      </c>
      <c r="AS4923" s="1">
        <v>49220</v>
      </c>
      <c r="AT4923" s="1">
        <v>9840</v>
      </c>
      <c r="AU4923" s="1">
        <v>39380</v>
      </c>
      <c r="AV4923">
        <v>80.010000000000005</v>
      </c>
      <c r="AX4923" s="1">
        <v>2274.1799999999998</v>
      </c>
      <c r="AY4923" t="s">
        <v>5017</v>
      </c>
      <c r="AZ4923" t="s">
        <v>1402</v>
      </c>
      <c r="BA4923" t="s">
        <v>1403</v>
      </c>
      <c r="BE4923" s="3">
        <v>42139</v>
      </c>
      <c r="BF4923" s="1">
        <v>550000</v>
      </c>
      <c r="BG4923" t="s">
        <v>30653</v>
      </c>
      <c r="BH4923" s="1">
        <v>140.22999999999999</v>
      </c>
      <c r="BI4923" s="1">
        <v>524501</v>
      </c>
      <c r="BJ4923" s="3">
        <v>42139</v>
      </c>
      <c r="BK4923" t="s">
        <v>123</v>
      </c>
      <c r="BL4923" t="str">
        <f>"2015.346271"</f>
        <v>2015.346271</v>
      </c>
      <c r="BM4923" t="s">
        <v>2489</v>
      </c>
      <c r="BO4923" t="s">
        <v>30654</v>
      </c>
      <c r="BP4923" t="s">
        <v>30655</v>
      </c>
      <c r="BS4923">
        <v>30</v>
      </c>
      <c r="BW4923" t="str">
        <f>""</f>
        <v/>
      </c>
      <c r="CH4923" t="str">
        <f>""</f>
        <v/>
      </c>
      <c r="CS4923" t="str">
        <f>""</f>
        <v/>
      </c>
    </row>
    <row r="4924" spans="1:97" x14ac:dyDescent="0.25">
      <c r="A4924" t="s">
        <v>305</v>
      </c>
      <c r="B4924" t="s">
        <v>311</v>
      </c>
      <c r="E4924" t="s">
        <v>30656</v>
      </c>
      <c r="F4924" t="s">
        <v>108</v>
      </c>
      <c r="H4924" t="s">
        <v>30657</v>
      </c>
      <c r="I4924" t="s">
        <v>5387</v>
      </c>
      <c r="J4924" t="s">
        <v>111</v>
      </c>
      <c r="K4924" t="str">
        <f>"85282"</f>
        <v>85282</v>
      </c>
      <c r="L4924" t="s">
        <v>6923</v>
      </c>
      <c r="M4924" t="s">
        <v>30657</v>
      </c>
      <c r="N4924" t="s">
        <v>5387</v>
      </c>
      <c r="O4924" t="s">
        <v>111</v>
      </c>
      <c r="P4924" t="str">
        <f>"85282-7401"</f>
        <v>85282-7401</v>
      </c>
      <c r="Q4924" t="s">
        <v>113</v>
      </c>
      <c r="R4924" t="str">
        <f>"133-36-667"</f>
        <v>133-36-667</v>
      </c>
      <c r="S4924" t="s">
        <v>24646</v>
      </c>
      <c r="T4924" t="s">
        <v>10857</v>
      </c>
      <c r="U4924">
        <v>1496</v>
      </c>
      <c r="V4924">
        <v>0</v>
      </c>
      <c r="W4924">
        <v>2</v>
      </c>
      <c r="X4924">
        <v>1971</v>
      </c>
      <c r="Z4924">
        <v>1</v>
      </c>
      <c r="AA4924" t="s">
        <v>26</v>
      </c>
      <c r="AB4924">
        <v>0</v>
      </c>
      <c r="AC4924" t="s">
        <v>7038</v>
      </c>
      <c r="AD4924">
        <v>0</v>
      </c>
      <c r="AE4924" t="s">
        <v>7038</v>
      </c>
      <c r="AF4924">
        <v>0</v>
      </c>
      <c r="AG4924">
        <v>0</v>
      </c>
      <c r="AH4924" t="s">
        <v>116</v>
      </c>
      <c r="AI4924" s="1">
        <v>1422</v>
      </c>
      <c r="AJ4924" s="2">
        <v>0</v>
      </c>
      <c r="AK4924" s="1">
        <v>292713</v>
      </c>
      <c r="AL4924" t="s">
        <v>117</v>
      </c>
      <c r="AM4924" t="s">
        <v>191</v>
      </c>
      <c r="AN4924">
        <v>6599</v>
      </c>
      <c r="AO4924">
        <v>0.15</v>
      </c>
      <c r="AP4924">
        <v>1</v>
      </c>
      <c r="AR4924">
        <v>1</v>
      </c>
      <c r="AS4924" s="1">
        <v>19550</v>
      </c>
      <c r="AT4924" s="1">
        <v>3910</v>
      </c>
      <c r="AU4924" s="1">
        <v>15640</v>
      </c>
      <c r="AV4924">
        <v>80</v>
      </c>
      <c r="AX4924" s="1">
        <v>1384.34</v>
      </c>
      <c r="AY4924" t="s">
        <v>9740</v>
      </c>
      <c r="AZ4924" t="s">
        <v>6726</v>
      </c>
      <c r="BA4924" t="s">
        <v>10858</v>
      </c>
      <c r="BB4924" s="3">
        <v>43153</v>
      </c>
      <c r="BC4924" s="1">
        <v>0</v>
      </c>
      <c r="BD4924" t="s">
        <v>247</v>
      </c>
      <c r="BE4924" s="3">
        <v>42473</v>
      </c>
      <c r="BF4924" s="1">
        <v>265000</v>
      </c>
      <c r="BG4924" t="s">
        <v>30658</v>
      </c>
      <c r="BH4924" s="1">
        <v>177.14</v>
      </c>
      <c r="BI4924" s="1">
        <v>265000</v>
      </c>
      <c r="BJ4924" s="3">
        <v>42473</v>
      </c>
      <c r="BK4924" t="s">
        <v>123</v>
      </c>
      <c r="BL4924" t="str">
        <f>"2016.244092"</f>
        <v>2016.244092</v>
      </c>
      <c r="BM4924" t="s">
        <v>1325</v>
      </c>
      <c r="BN4924" t="s">
        <v>15523</v>
      </c>
      <c r="BO4924" t="s">
        <v>30659</v>
      </c>
      <c r="BS4924">
        <v>30</v>
      </c>
      <c r="BT4924" s="1">
        <v>26291</v>
      </c>
      <c r="BU4924" s="3">
        <v>43153</v>
      </c>
      <c r="BV4924" t="s">
        <v>134</v>
      </c>
      <c r="BW4924" t="str">
        <f>"2018.132759"</f>
        <v>2018.132759</v>
      </c>
      <c r="BX4924" t="s">
        <v>30660</v>
      </c>
      <c r="BY4924" t="s">
        <v>9882</v>
      </c>
      <c r="BZ4924" t="s">
        <v>30661</v>
      </c>
      <c r="CC4924" t="s">
        <v>139</v>
      </c>
      <c r="CH4924" t="str">
        <f>""</f>
        <v/>
      </c>
      <c r="CS4924" t="str">
        <f>""</f>
        <v/>
      </c>
    </row>
    <row r="4925" spans="1:97" x14ac:dyDescent="0.25">
      <c r="A4925" t="s">
        <v>106</v>
      </c>
      <c r="B4925" t="s">
        <v>3851</v>
      </c>
      <c r="E4925" t="s">
        <v>30662</v>
      </c>
      <c r="F4925" t="s">
        <v>108</v>
      </c>
      <c r="H4925" t="s">
        <v>30663</v>
      </c>
      <c r="I4925" t="s">
        <v>5523</v>
      </c>
      <c r="J4925" t="s">
        <v>111</v>
      </c>
      <c r="K4925" t="str">
        <f>"85351"</f>
        <v>85351</v>
      </c>
      <c r="L4925" t="s">
        <v>9737</v>
      </c>
      <c r="M4925" t="s">
        <v>30663</v>
      </c>
      <c r="N4925" t="s">
        <v>5523</v>
      </c>
      <c r="O4925" t="s">
        <v>111</v>
      </c>
      <c r="P4925" t="str">
        <f>"85351-3226"</f>
        <v>85351-3226</v>
      </c>
      <c r="Q4925" t="s">
        <v>113</v>
      </c>
      <c r="R4925" t="str">
        <f>"230-09-085"</f>
        <v>230-09-085</v>
      </c>
      <c r="S4925" t="s">
        <v>24123</v>
      </c>
      <c r="U4925">
        <v>1827</v>
      </c>
      <c r="V4925">
        <v>0</v>
      </c>
      <c r="W4925">
        <v>2</v>
      </c>
      <c r="X4925">
        <v>1979</v>
      </c>
      <c r="Z4925">
        <v>1</v>
      </c>
      <c r="AB4925">
        <v>0</v>
      </c>
      <c r="AC4925" t="s">
        <v>115</v>
      </c>
      <c r="AD4925">
        <v>2</v>
      </c>
      <c r="AE4925" t="s">
        <v>115</v>
      </c>
      <c r="AF4925">
        <v>0</v>
      </c>
      <c r="AG4925">
        <v>0</v>
      </c>
      <c r="AH4925" t="s">
        <v>116</v>
      </c>
      <c r="AI4925" s="1">
        <v>27345</v>
      </c>
      <c r="AJ4925" s="2">
        <v>0.12</v>
      </c>
      <c r="AK4925" s="1">
        <v>232345</v>
      </c>
      <c r="AL4925" t="s">
        <v>117</v>
      </c>
      <c r="AM4925" t="s">
        <v>191</v>
      </c>
      <c r="AN4925">
        <v>18510</v>
      </c>
      <c r="AO4925">
        <v>0.42</v>
      </c>
      <c r="AP4925">
        <v>1</v>
      </c>
      <c r="AR4925">
        <v>1</v>
      </c>
      <c r="AS4925" s="1">
        <v>15510</v>
      </c>
      <c r="AT4925" s="1">
        <v>3100</v>
      </c>
      <c r="AU4925" s="1">
        <v>12410</v>
      </c>
      <c r="AV4925">
        <v>80.010000000000005</v>
      </c>
      <c r="AX4925" s="1">
        <v>726.4</v>
      </c>
      <c r="AY4925" t="s">
        <v>4006</v>
      </c>
      <c r="AZ4925" t="s">
        <v>4006</v>
      </c>
      <c r="BA4925" t="s">
        <v>3360</v>
      </c>
      <c r="BE4925" s="3">
        <v>42384</v>
      </c>
      <c r="BF4925" s="1">
        <v>169900</v>
      </c>
      <c r="BG4925" t="s">
        <v>30664</v>
      </c>
      <c r="BH4925" s="1">
        <v>92.99</v>
      </c>
      <c r="BI4925" s="1">
        <v>205000</v>
      </c>
      <c r="BJ4925" s="3">
        <v>43405</v>
      </c>
      <c r="BK4925" t="s">
        <v>123</v>
      </c>
      <c r="BL4925" t="str">
        <f>"2018.816946"</f>
        <v>2018.816946</v>
      </c>
      <c r="BM4925" t="s">
        <v>159</v>
      </c>
      <c r="BN4925" t="s">
        <v>160</v>
      </c>
      <c r="BO4925" t="s">
        <v>30665</v>
      </c>
      <c r="BR4925" t="s">
        <v>139</v>
      </c>
      <c r="BW4925" t="str">
        <f>""</f>
        <v/>
      </c>
      <c r="CH4925" t="str">
        <f>""</f>
        <v/>
      </c>
      <c r="CS4925" t="str">
        <f>""</f>
        <v/>
      </c>
    </row>
    <row r="4926" spans="1:97" x14ac:dyDescent="0.25">
      <c r="A4926" t="s">
        <v>1444</v>
      </c>
      <c r="B4926" t="s">
        <v>23176</v>
      </c>
      <c r="E4926" t="s">
        <v>30666</v>
      </c>
      <c r="F4926" t="s">
        <v>108</v>
      </c>
      <c r="H4926" t="s">
        <v>30667</v>
      </c>
      <c r="I4926" t="s">
        <v>225</v>
      </c>
      <c r="J4926" t="s">
        <v>111</v>
      </c>
      <c r="K4926" t="str">
        <f>"85207"</f>
        <v>85207</v>
      </c>
      <c r="L4926" t="s">
        <v>6308</v>
      </c>
      <c r="M4926" t="s">
        <v>30667</v>
      </c>
      <c r="N4926" t="s">
        <v>225</v>
      </c>
      <c r="O4926" t="s">
        <v>111</v>
      </c>
      <c r="P4926" t="str">
        <f>"85207-5721"</f>
        <v>85207-5721</v>
      </c>
      <c r="Q4926" t="s">
        <v>113</v>
      </c>
      <c r="R4926" t="str">
        <f>"218-09-138"</f>
        <v>218-09-138</v>
      </c>
      <c r="S4926" t="s">
        <v>16062</v>
      </c>
      <c r="T4926" t="s">
        <v>8419</v>
      </c>
      <c r="U4926">
        <v>1721</v>
      </c>
      <c r="V4926">
        <v>0</v>
      </c>
      <c r="W4926">
        <v>3</v>
      </c>
      <c r="X4926">
        <v>2002</v>
      </c>
      <c r="Z4926">
        <v>1</v>
      </c>
      <c r="AA4926" t="s">
        <v>26</v>
      </c>
      <c r="AB4926">
        <v>0</v>
      </c>
      <c r="AC4926" t="s">
        <v>115</v>
      </c>
      <c r="AD4926">
        <v>2</v>
      </c>
      <c r="AE4926" t="s">
        <v>115</v>
      </c>
      <c r="AF4926">
        <v>0</v>
      </c>
      <c r="AG4926">
        <v>0</v>
      </c>
      <c r="AH4926" t="s">
        <v>116</v>
      </c>
      <c r="AI4926" s="1">
        <v>79549</v>
      </c>
      <c r="AJ4926" s="2">
        <v>0.26</v>
      </c>
      <c r="AK4926" s="1">
        <v>308578</v>
      </c>
      <c r="AL4926" t="s">
        <v>117</v>
      </c>
      <c r="AM4926" t="s">
        <v>393</v>
      </c>
      <c r="AN4926">
        <v>8710</v>
      </c>
      <c r="AO4926">
        <v>0.2</v>
      </c>
      <c r="AP4926">
        <v>1</v>
      </c>
      <c r="AR4926">
        <v>1</v>
      </c>
      <c r="AS4926" s="1">
        <v>21870</v>
      </c>
      <c r="AT4926" s="1">
        <v>4370</v>
      </c>
      <c r="AU4926" s="1">
        <v>17500</v>
      </c>
      <c r="AV4926">
        <v>80.02</v>
      </c>
      <c r="AX4926" s="1">
        <v>1605.12</v>
      </c>
      <c r="AY4926" t="s">
        <v>4567</v>
      </c>
      <c r="AZ4926" t="s">
        <v>231</v>
      </c>
      <c r="BA4926" t="s">
        <v>3119</v>
      </c>
      <c r="BB4926" s="3">
        <v>43035</v>
      </c>
      <c r="BD4926" t="s">
        <v>157</v>
      </c>
      <c r="BE4926" s="3">
        <v>41983</v>
      </c>
      <c r="BF4926" s="1">
        <v>227000</v>
      </c>
      <c r="BG4926" t="s">
        <v>30668</v>
      </c>
      <c r="BH4926" s="1">
        <v>131.9</v>
      </c>
      <c r="BI4926" s="1">
        <v>229029</v>
      </c>
      <c r="BJ4926" s="3">
        <v>43035</v>
      </c>
      <c r="BK4926" t="s">
        <v>123</v>
      </c>
      <c r="BL4926" t="str">
        <f>"2017.798563"</f>
        <v>2017.798563</v>
      </c>
      <c r="BM4926" t="s">
        <v>30669</v>
      </c>
      <c r="BO4926" t="s">
        <v>30670</v>
      </c>
      <c r="BS4926">
        <v>25</v>
      </c>
      <c r="BW4926" t="str">
        <f>""</f>
        <v/>
      </c>
      <c r="CH4926" t="str">
        <f>""</f>
        <v/>
      </c>
      <c r="CS4926" t="str">
        <f>""</f>
        <v/>
      </c>
    </row>
    <row r="4927" spans="1:97" x14ac:dyDescent="0.25">
      <c r="A4927" t="s">
        <v>589</v>
      </c>
      <c r="B4927" t="s">
        <v>1834</v>
      </c>
      <c r="C4927" t="s">
        <v>1057</v>
      </c>
      <c r="D4927" t="s">
        <v>1834</v>
      </c>
      <c r="E4927" t="s">
        <v>30671</v>
      </c>
      <c r="F4927" t="s">
        <v>108</v>
      </c>
      <c r="H4927" t="s">
        <v>30672</v>
      </c>
      <c r="I4927" t="s">
        <v>499</v>
      </c>
      <c r="J4927" t="s">
        <v>111</v>
      </c>
      <c r="K4927" t="str">
        <f>"85338"</f>
        <v>85338</v>
      </c>
      <c r="L4927" t="s">
        <v>3758</v>
      </c>
      <c r="M4927" t="s">
        <v>30672</v>
      </c>
      <c r="N4927" t="s">
        <v>499</v>
      </c>
      <c r="O4927" t="s">
        <v>111</v>
      </c>
      <c r="P4927" t="str">
        <f>"85338-9612"</f>
        <v>85338-9612</v>
      </c>
      <c r="Q4927" t="s">
        <v>113</v>
      </c>
      <c r="R4927" t="str">
        <f>"400-78-020"</f>
        <v>400-78-020</v>
      </c>
      <c r="S4927" t="s">
        <v>30673</v>
      </c>
      <c r="U4927">
        <v>1869</v>
      </c>
      <c r="V4927">
        <v>0</v>
      </c>
      <c r="W4927">
        <v>3</v>
      </c>
      <c r="X4927">
        <v>1998</v>
      </c>
      <c r="Z4927">
        <v>1</v>
      </c>
      <c r="AA4927" t="s">
        <v>26</v>
      </c>
      <c r="AB4927">
        <v>0</v>
      </c>
      <c r="AC4927" t="s">
        <v>115</v>
      </c>
      <c r="AD4927">
        <v>3</v>
      </c>
      <c r="AE4927" t="s">
        <v>115</v>
      </c>
      <c r="AF4927">
        <v>0</v>
      </c>
      <c r="AG4927">
        <v>0</v>
      </c>
      <c r="AH4927" t="s">
        <v>116</v>
      </c>
      <c r="AI4927" s="1">
        <v>48621</v>
      </c>
      <c r="AJ4927" s="2">
        <v>0.16</v>
      </c>
      <c r="AK4927" s="1">
        <v>308521</v>
      </c>
      <c r="AL4927" t="s">
        <v>117</v>
      </c>
      <c r="AM4927" t="s">
        <v>118</v>
      </c>
      <c r="AN4927">
        <v>8736</v>
      </c>
      <c r="AO4927">
        <v>0.2</v>
      </c>
      <c r="AP4927">
        <v>1</v>
      </c>
      <c r="AR4927">
        <v>1</v>
      </c>
      <c r="AS4927" s="1">
        <v>21200</v>
      </c>
      <c r="AT4927" s="1">
        <v>4240</v>
      </c>
      <c r="AU4927" s="1">
        <v>16960</v>
      </c>
      <c r="AV4927">
        <v>80</v>
      </c>
      <c r="AX4927" s="1">
        <v>1900.76</v>
      </c>
      <c r="AY4927" t="s">
        <v>4236</v>
      </c>
      <c r="AZ4927" t="s">
        <v>4236</v>
      </c>
      <c r="BA4927" t="s">
        <v>1247</v>
      </c>
      <c r="BE4927" s="3">
        <v>42438</v>
      </c>
      <c r="BF4927" s="1">
        <v>259900</v>
      </c>
      <c r="BG4927" t="s">
        <v>30674</v>
      </c>
      <c r="BH4927" s="1">
        <v>139.06</v>
      </c>
      <c r="BI4927" s="1">
        <v>259900</v>
      </c>
      <c r="BJ4927" s="3">
        <v>42438</v>
      </c>
      <c r="BK4927" t="s">
        <v>123</v>
      </c>
      <c r="BL4927" t="str">
        <f>"2016.152189"</f>
        <v>2016.152189</v>
      </c>
      <c r="BM4927" t="s">
        <v>903</v>
      </c>
      <c r="BO4927" t="s">
        <v>30675</v>
      </c>
      <c r="BS4927">
        <v>30</v>
      </c>
      <c r="BW4927" t="str">
        <f>""</f>
        <v/>
      </c>
      <c r="CH4927" t="str">
        <f>""</f>
        <v/>
      </c>
      <c r="CS4927" t="str">
        <f>""</f>
        <v/>
      </c>
    </row>
    <row r="4928" spans="1:97" x14ac:dyDescent="0.25">
      <c r="A4928" t="s">
        <v>370</v>
      </c>
      <c r="B4928" t="s">
        <v>30676</v>
      </c>
      <c r="C4928" t="s">
        <v>4925</v>
      </c>
      <c r="D4928" t="s">
        <v>21811</v>
      </c>
      <c r="E4928" t="s">
        <v>30677</v>
      </c>
      <c r="F4928" t="s">
        <v>108</v>
      </c>
      <c r="H4928" t="s">
        <v>30678</v>
      </c>
      <c r="I4928" t="s">
        <v>390</v>
      </c>
      <c r="J4928" t="s">
        <v>111</v>
      </c>
      <c r="K4928" t="str">
        <f>"85013"</f>
        <v>85013</v>
      </c>
      <c r="L4928" t="s">
        <v>6964</v>
      </c>
      <c r="M4928" t="s">
        <v>30678</v>
      </c>
      <c r="N4928" t="s">
        <v>390</v>
      </c>
      <c r="O4928" t="s">
        <v>111</v>
      </c>
      <c r="P4928" t="str">
        <f>"85013-1721"</f>
        <v>85013-1721</v>
      </c>
      <c r="Q4928" t="s">
        <v>113</v>
      </c>
      <c r="R4928" t="str">
        <f>"156-34-001"</f>
        <v>156-34-001</v>
      </c>
      <c r="S4928" t="s">
        <v>30679</v>
      </c>
      <c r="T4928" t="s">
        <v>30679</v>
      </c>
      <c r="U4928">
        <v>1621</v>
      </c>
      <c r="V4928">
        <v>0</v>
      </c>
      <c r="W4928">
        <v>2</v>
      </c>
      <c r="X4928">
        <v>1950</v>
      </c>
      <c r="Z4928">
        <v>1</v>
      </c>
      <c r="AA4928" t="s">
        <v>26</v>
      </c>
      <c r="AB4928">
        <v>0</v>
      </c>
      <c r="AC4928" t="s">
        <v>7038</v>
      </c>
      <c r="AD4928">
        <v>0</v>
      </c>
      <c r="AE4928" t="s">
        <v>7038</v>
      </c>
      <c r="AF4928">
        <v>0</v>
      </c>
      <c r="AG4928">
        <v>0</v>
      </c>
      <c r="AH4928" t="s">
        <v>116</v>
      </c>
      <c r="AI4928" s="1">
        <v>-617</v>
      </c>
      <c r="AJ4928" s="2">
        <v>0</v>
      </c>
      <c r="AK4928" s="1">
        <v>326383</v>
      </c>
      <c r="AL4928" t="s">
        <v>117</v>
      </c>
      <c r="AM4928" t="s">
        <v>191</v>
      </c>
      <c r="AN4928">
        <v>8205</v>
      </c>
      <c r="AO4928">
        <v>0.19</v>
      </c>
      <c r="AP4928">
        <v>1</v>
      </c>
      <c r="AR4928">
        <v>1</v>
      </c>
      <c r="AS4928" s="1">
        <v>23070</v>
      </c>
      <c r="AT4928" s="1">
        <v>4610</v>
      </c>
      <c r="AU4928" s="1">
        <v>18460</v>
      </c>
      <c r="AV4928">
        <v>80.02</v>
      </c>
      <c r="AX4928" s="1">
        <v>2045.74</v>
      </c>
      <c r="AY4928" t="s">
        <v>16158</v>
      </c>
      <c r="AZ4928" t="s">
        <v>5690</v>
      </c>
      <c r="BA4928" t="s">
        <v>5691</v>
      </c>
      <c r="BB4928" s="3">
        <v>42646</v>
      </c>
      <c r="BD4928" t="s">
        <v>240</v>
      </c>
      <c r="BE4928" s="3">
        <v>41862</v>
      </c>
      <c r="BF4928" s="1">
        <v>227500</v>
      </c>
      <c r="BG4928" t="s">
        <v>30680</v>
      </c>
      <c r="BH4928" s="1">
        <v>140.35</v>
      </c>
      <c r="BI4928" s="1">
        <v>327000</v>
      </c>
      <c r="BJ4928" s="3">
        <v>43234</v>
      </c>
      <c r="BK4928" t="s">
        <v>123</v>
      </c>
      <c r="BL4928" t="str">
        <f>"2018.366024"</f>
        <v>2018.366024</v>
      </c>
      <c r="BM4928" t="s">
        <v>135</v>
      </c>
      <c r="BN4928" t="s">
        <v>136</v>
      </c>
      <c r="BO4928" t="s">
        <v>30681</v>
      </c>
      <c r="BP4928" t="s">
        <v>30682</v>
      </c>
      <c r="BR4928" t="s">
        <v>139</v>
      </c>
      <c r="BW4928" t="str">
        <f>""</f>
        <v/>
      </c>
      <c r="CH4928" t="str">
        <f>""</f>
        <v/>
      </c>
      <c r="CS4928" t="str">
        <f>""</f>
        <v/>
      </c>
    </row>
    <row r="4929" spans="1:97" x14ac:dyDescent="0.25">
      <c r="A4929" t="s">
        <v>3089</v>
      </c>
      <c r="B4929" t="s">
        <v>576</v>
      </c>
      <c r="C4929" t="s">
        <v>30683</v>
      </c>
      <c r="D4929" t="s">
        <v>576</v>
      </c>
      <c r="E4929" t="s">
        <v>30684</v>
      </c>
      <c r="F4929" t="s">
        <v>108</v>
      </c>
      <c r="H4929" t="s">
        <v>30685</v>
      </c>
      <c r="I4929" t="s">
        <v>188</v>
      </c>
      <c r="J4929" t="s">
        <v>111</v>
      </c>
      <c r="K4929" t="str">
        <f>"85142"</f>
        <v>85142</v>
      </c>
      <c r="L4929" t="s">
        <v>5239</v>
      </c>
      <c r="M4929" t="s">
        <v>30685</v>
      </c>
      <c r="N4929" t="s">
        <v>188</v>
      </c>
      <c r="O4929" t="s">
        <v>111</v>
      </c>
      <c r="P4929" t="str">
        <f>"85142-5433"</f>
        <v>85142-5433</v>
      </c>
      <c r="Q4929" t="s">
        <v>113</v>
      </c>
      <c r="R4929" t="str">
        <f>"304-64-008-U"</f>
        <v>304-64-008-U</v>
      </c>
      <c r="U4929">
        <v>1567</v>
      </c>
      <c r="V4929">
        <v>0</v>
      </c>
      <c r="W4929">
        <v>3</v>
      </c>
      <c r="X4929">
        <v>2004</v>
      </c>
      <c r="Z4929">
        <v>1</v>
      </c>
      <c r="AA4929" t="s">
        <v>26</v>
      </c>
      <c r="AB4929">
        <v>0</v>
      </c>
      <c r="AC4929" t="s">
        <v>115</v>
      </c>
      <c r="AD4929">
        <v>3</v>
      </c>
      <c r="AE4929" t="s">
        <v>115</v>
      </c>
      <c r="AF4929">
        <v>0</v>
      </c>
      <c r="AG4929">
        <v>0</v>
      </c>
      <c r="AH4929" t="s">
        <v>116</v>
      </c>
      <c r="AI4929" s="1">
        <v>99138</v>
      </c>
      <c r="AJ4929" s="2">
        <v>0.25</v>
      </c>
      <c r="AK4929" s="1">
        <v>404588</v>
      </c>
      <c r="AL4929" t="s">
        <v>117</v>
      </c>
      <c r="AM4929" t="s">
        <v>376</v>
      </c>
      <c r="AN4929">
        <v>43698</v>
      </c>
      <c r="AO4929">
        <v>1</v>
      </c>
      <c r="AP4929">
        <v>1</v>
      </c>
      <c r="AR4929">
        <v>1</v>
      </c>
      <c r="AS4929" s="1">
        <v>28900</v>
      </c>
      <c r="AT4929" s="1">
        <v>5780</v>
      </c>
      <c r="AU4929" s="1">
        <v>23120</v>
      </c>
      <c r="AV4929">
        <v>80</v>
      </c>
      <c r="AX4929" s="1">
        <v>2356.46</v>
      </c>
      <c r="AY4929" t="s">
        <v>560</v>
      </c>
      <c r="AZ4929" t="s">
        <v>561</v>
      </c>
      <c r="BA4929" t="s">
        <v>194</v>
      </c>
      <c r="BE4929" s="3">
        <v>41880</v>
      </c>
      <c r="BF4929" s="1">
        <v>305000</v>
      </c>
      <c r="BG4929" t="s">
        <v>30686</v>
      </c>
      <c r="BH4929" s="1">
        <v>194.64</v>
      </c>
      <c r="BI4929" s="1">
        <v>305450</v>
      </c>
      <c r="BJ4929" s="3">
        <v>42671</v>
      </c>
      <c r="BK4929" t="s">
        <v>123</v>
      </c>
      <c r="BL4929" t="str">
        <f>"2016.796445"</f>
        <v>2016.796445</v>
      </c>
      <c r="BM4929" t="s">
        <v>4049</v>
      </c>
      <c r="BO4929" t="s">
        <v>30687</v>
      </c>
      <c r="BS4929">
        <v>30</v>
      </c>
      <c r="BW4929" t="str">
        <f>""</f>
        <v/>
      </c>
      <c r="CH4929" t="str">
        <f>""</f>
        <v/>
      </c>
      <c r="CS4929" t="str">
        <f>""</f>
        <v/>
      </c>
    </row>
    <row r="4930" spans="1:97" x14ac:dyDescent="0.25">
      <c r="B4930" t="s">
        <v>30688</v>
      </c>
      <c r="C4930" t="s">
        <v>1845</v>
      </c>
      <c r="E4930" t="s">
        <v>30689</v>
      </c>
      <c r="F4930" t="s">
        <v>282</v>
      </c>
      <c r="H4930" t="s">
        <v>30690</v>
      </c>
      <c r="I4930" t="s">
        <v>203</v>
      </c>
      <c r="J4930" t="s">
        <v>111</v>
      </c>
      <c r="K4930" t="str">
        <f>"85234"</f>
        <v>85234</v>
      </c>
      <c r="L4930" t="s">
        <v>4751</v>
      </c>
      <c r="M4930" t="s">
        <v>30691</v>
      </c>
      <c r="N4930" t="s">
        <v>203</v>
      </c>
      <c r="O4930" t="s">
        <v>111</v>
      </c>
      <c r="P4930" t="str">
        <f>"85296-8677"</f>
        <v>85296-8677</v>
      </c>
      <c r="Q4930" t="s">
        <v>113</v>
      </c>
      <c r="R4930" t="str">
        <f>"309-04-331"</f>
        <v>309-04-331</v>
      </c>
      <c r="S4930" t="s">
        <v>11605</v>
      </c>
      <c r="T4930" t="s">
        <v>11605</v>
      </c>
      <c r="U4930">
        <v>1542</v>
      </c>
      <c r="V4930">
        <v>0</v>
      </c>
      <c r="W4930">
        <v>3</v>
      </c>
      <c r="X4930">
        <v>1995</v>
      </c>
      <c r="Z4930">
        <v>1</v>
      </c>
      <c r="AB4930">
        <v>0</v>
      </c>
      <c r="AC4930" t="s">
        <v>115</v>
      </c>
      <c r="AD4930">
        <v>2</v>
      </c>
      <c r="AE4930" t="s">
        <v>115</v>
      </c>
      <c r="AF4930">
        <v>0</v>
      </c>
      <c r="AG4930">
        <v>0</v>
      </c>
      <c r="AH4930" t="s">
        <v>116</v>
      </c>
      <c r="AI4930" s="1">
        <v>58584</v>
      </c>
      <c r="AJ4930" s="2">
        <v>0.2</v>
      </c>
      <c r="AK4930" s="1">
        <v>295572</v>
      </c>
      <c r="AL4930" t="s">
        <v>117</v>
      </c>
      <c r="AM4930" t="s">
        <v>191</v>
      </c>
      <c r="AN4930">
        <v>6029</v>
      </c>
      <c r="AO4930">
        <v>0.14000000000000001</v>
      </c>
      <c r="AP4930">
        <v>1</v>
      </c>
      <c r="AR4930">
        <v>1</v>
      </c>
      <c r="AS4930" s="1">
        <v>20400</v>
      </c>
      <c r="AT4930" s="1">
        <v>4080</v>
      </c>
      <c r="AU4930" s="1">
        <v>16320</v>
      </c>
      <c r="AV4930">
        <v>80</v>
      </c>
      <c r="AX4930" s="1">
        <v>1651.76</v>
      </c>
      <c r="AY4930" t="s">
        <v>6506</v>
      </c>
      <c r="AZ4930" t="s">
        <v>520</v>
      </c>
      <c r="BA4930" t="s">
        <v>5033</v>
      </c>
      <c r="BB4930" s="3">
        <v>43430</v>
      </c>
      <c r="BC4930" s="1">
        <v>0</v>
      </c>
      <c r="BD4930" t="s">
        <v>247</v>
      </c>
      <c r="BE4930" s="3">
        <v>42341</v>
      </c>
      <c r="BF4930" s="1">
        <v>232000</v>
      </c>
      <c r="BG4930" t="s">
        <v>30692</v>
      </c>
      <c r="BH4930" s="1">
        <v>150.44999999999999</v>
      </c>
      <c r="BI4930" s="1">
        <v>236988</v>
      </c>
      <c r="BJ4930" s="3">
        <v>42341</v>
      </c>
      <c r="BK4930" t="s">
        <v>123</v>
      </c>
      <c r="BL4930" t="str">
        <f>"2015.859775"</f>
        <v>2015.859775</v>
      </c>
      <c r="BM4930" t="s">
        <v>544</v>
      </c>
      <c r="BN4930" t="s">
        <v>545</v>
      </c>
      <c r="BO4930" t="s">
        <v>30693</v>
      </c>
      <c r="BP4930" t="s">
        <v>30694</v>
      </c>
      <c r="BS4930">
        <v>30</v>
      </c>
      <c r="BW4930" t="str">
        <f>""</f>
        <v/>
      </c>
      <c r="CH4930" t="str">
        <f>""</f>
        <v/>
      </c>
      <c r="CS4930" t="str">
        <f>""</f>
        <v/>
      </c>
    </row>
    <row r="4931" spans="1:97" x14ac:dyDescent="0.25">
      <c r="A4931" t="s">
        <v>177</v>
      </c>
      <c r="B4931" t="s">
        <v>371</v>
      </c>
      <c r="E4931" t="s">
        <v>30695</v>
      </c>
      <c r="F4931" t="s">
        <v>108</v>
      </c>
      <c r="H4931" t="s">
        <v>30696</v>
      </c>
      <c r="I4931" t="s">
        <v>225</v>
      </c>
      <c r="J4931" t="s">
        <v>111</v>
      </c>
      <c r="K4931" t="str">
        <f>"85212"</f>
        <v>85212</v>
      </c>
      <c r="L4931" t="s">
        <v>8808</v>
      </c>
      <c r="M4931" t="s">
        <v>30696</v>
      </c>
      <c r="N4931" t="s">
        <v>225</v>
      </c>
      <c r="O4931" t="s">
        <v>111</v>
      </c>
      <c r="P4931" t="str">
        <f>"85212-5201"</f>
        <v>85212-5201</v>
      </c>
      <c r="Q4931" t="s">
        <v>113</v>
      </c>
      <c r="R4931" t="str">
        <f>"312-05-811"</f>
        <v>312-05-811</v>
      </c>
      <c r="S4931" t="s">
        <v>15825</v>
      </c>
      <c r="T4931" t="s">
        <v>8810</v>
      </c>
      <c r="U4931">
        <v>1769</v>
      </c>
      <c r="V4931">
        <v>0</v>
      </c>
      <c r="W4931">
        <v>3</v>
      </c>
      <c r="X4931">
        <v>2008</v>
      </c>
      <c r="Z4931">
        <v>1</v>
      </c>
      <c r="AB4931">
        <v>0</v>
      </c>
      <c r="AC4931" t="s">
        <v>115</v>
      </c>
      <c r="AD4931">
        <v>2</v>
      </c>
      <c r="AE4931" t="s">
        <v>115</v>
      </c>
      <c r="AF4931">
        <v>0</v>
      </c>
      <c r="AG4931">
        <v>0</v>
      </c>
      <c r="AH4931" t="s">
        <v>116</v>
      </c>
      <c r="AI4931" s="1">
        <v>85238</v>
      </c>
      <c r="AJ4931" s="2">
        <v>0.28999999999999998</v>
      </c>
      <c r="AK4931" s="1">
        <v>297142</v>
      </c>
      <c r="AL4931" t="s">
        <v>117</v>
      </c>
      <c r="AM4931" t="s">
        <v>191</v>
      </c>
      <c r="AN4931">
        <v>5750</v>
      </c>
      <c r="AO4931">
        <v>0.13</v>
      </c>
      <c r="AR4931">
        <v>1</v>
      </c>
      <c r="AS4931" s="1">
        <v>20250</v>
      </c>
      <c r="AT4931" s="1">
        <v>4050</v>
      </c>
      <c r="AU4931" s="1">
        <v>16200</v>
      </c>
      <c r="AV4931">
        <v>80</v>
      </c>
      <c r="AX4931" s="1">
        <v>1758.82</v>
      </c>
      <c r="AY4931" t="s">
        <v>560</v>
      </c>
      <c r="AZ4931" t="s">
        <v>561</v>
      </c>
      <c r="BA4931" t="s">
        <v>194</v>
      </c>
      <c r="BE4931" s="3">
        <v>42123</v>
      </c>
      <c r="BF4931" s="1">
        <v>208000</v>
      </c>
      <c r="BG4931" t="s">
        <v>30697</v>
      </c>
      <c r="BH4931" s="1">
        <v>117.58</v>
      </c>
      <c r="BI4931" s="1">
        <v>211904</v>
      </c>
      <c r="BJ4931" s="3">
        <v>42123</v>
      </c>
      <c r="BK4931" t="s">
        <v>123</v>
      </c>
      <c r="BL4931" t="str">
        <f>"2015.295306"</f>
        <v>2015.295306</v>
      </c>
      <c r="BM4931" t="s">
        <v>1185</v>
      </c>
      <c r="BO4931" t="s">
        <v>30698</v>
      </c>
      <c r="BS4931">
        <v>30</v>
      </c>
      <c r="BW4931" t="str">
        <f>""</f>
        <v/>
      </c>
      <c r="CH4931" t="str">
        <f>""</f>
        <v/>
      </c>
      <c r="CS4931" t="str">
        <f>""</f>
        <v/>
      </c>
    </row>
    <row r="4932" spans="1:97" x14ac:dyDescent="0.25">
      <c r="A4932" t="s">
        <v>1109</v>
      </c>
      <c r="B4932" t="s">
        <v>30699</v>
      </c>
      <c r="C4932" t="s">
        <v>30700</v>
      </c>
      <c r="D4932" t="s">
        <v>30699</v>
      </c>
      <c r="E4932" t="s">
        <v>30701</v>
      </c>
      <c r="F4932" t="s">
        <v>108</v>
      </c>
      <c r="H4932" t="s">
        <v>30702</v>
      </c>
      <c r="I4932" t="s">
        <v>203</v>
      </c>
      <c r="J4932" t="s">
        <v>111</v>
      </c>
      <c r="K4932" t="str">
        <f>"85295"</f>
        <v>85295</v>
      </c>
      <c r="L4932" t="s">
        <v>417</v>
      </c>
      <c r="M4932" t="s">
        <v>30702</v>
      </c>
      <c r="N4932" t="s">
        <v>203</v>
      </c>
      <c r="O4932" t="s">
        <v>111</v>
      </c>
      <c r="P4932" t="str">
        <f>"85295-9143"</f>
        <v>85295-9143</v>
      </c>
      <c r="R4932" t="str">
        <f>"304-40-287"</f>
        <v>304-40-287</v>
      </c>
      <c r="S4932" t="s">
        <v>29654</v>
      </c>
      <c r="U4932">
        <v>3328</v>
      </c>
      <c r="V4932">
        <v>0</v>
      </c>
      <c r="W4932">
        <v>4</v>
      </c>
      <c r="X4932">
        <v>2000</v>
      </c>
      <c r="Z4932">
        <v>2</v>
      </c>
      <c r="AA4932" t="s">
        <v>26</v>
      </c>
      <c r="AB4932">
        <v>0</v>
      </c>
      <c r="AC4932" t="s">
        <v>115</v>
      </c>
      <c r="AD4932">
        <v>3</v>
      </c>
      <c r="AE4932" t="s">
        <v>115</v>
      </c>
      <c r="AF4932">
        <v>0</v>
      </c>
      <c r="AG4932">
        <v>0</v>
      </c>
      <c r="AH4932" t="s">
        <v>116</v>
      </c>
      <c r="AI4932" s="1">
        <v>31803</v>
      </c>
      <c r="AJ4932" s="2">
        <v>7.0000000000000007E-2</v>
      </c>
      <c r="AK4932" s="1">
        <v>477431</v>
      </c>
      <c r="AL4932" t="s">
        <v>117</v>
      </c>
      <c r="AM4932" t="s">
        <v>1302</v>
      </c>
      <c r="AN4932">
        <v>13153</v>
      </c>
      <c r="AO4932">
        <v>0.3</v>
      </c>
      <c r="AP4932">
        <v>1</v>
      </c>
      <c r="AR4932">
        <v>1</v>
      </c>
      <c r="AS4932" s="1">
        <v>33710</v>
      </c>
      <c r="AT4932" s="1">
        <v>6740</v>
      </c>
      <c r="AU4932" s="1">
        <v>26970</v>
      </c>
      <c r="AV4932">
        <v>80.010000000000005</v>
      </c>
      <c r="AX4932" s="1">
        <v>2977.18</v>
      </c>
      <c r="AY4932" t="s">
        <v>5087</v>
      </c>
      <c r="AZ4932" t="s">
        <v>5087</v>
      </c>
      <c r="BA4932" t="s">
        <v>473</v>
      </c>
      <c r="BB4932" s="3">
        <v>42481</v>
      </c>
      <c r="BD4932" t="s">
        <v>458</v>
      </c>
      <c r="BE4932" s="3">
        <v>41949</v>
      </c>
      <c r="BF4932" s="1">
        <v>399000</v>
      </c>
      <c r="BG4932" t="s">
        <v>30703</v>
      </c>
      <c r="BH4932" s="1">
        <v>119.89</v>
      </c>
      <c r="BI4932" s="1">
        <v>400720</v>
      </c>
      <c r="BJ4932" s="3">
        <v>42640</v>
      </c>
      <c r="BK4932" t="s">
        <v>123</v>
      </c>
      <c r="BL4932" t="str">
        <f>"2016.704103"</f>
        <v>2016.704103</v>
      </c>
      <c r="BM4932" t="s">
        <v>402</v>
      </c>
      <c r="BN4932" t="s">
        <v>461</v>
      </c>
      <c r="BO4932" t="s">
        <v>30704</v>
      </c>
      <c r="BS4932">
        <v>30</v>
      </c>
      <c r="BT4932" s="1">
        <v>44908</v>
      </c>
      <c r="BU4932" s="3">
        <v>43717</v>
      </c>
      <c r="BW4932" t="str">
        <f>"2019.702589"</f>
        <v>2019.702589</v>
      </c>
      <c r="BX4932" t="s">
        <v>383</v>
      </c>
      <c r="BY4932" t="s">
        <v>384</v>
      </c>
      <c r="BZ4932" t="s">
        <v>30705</v>
      </c>
      <c r="CA4932" t="s">
        <v>30706</v>
      </c>
      <c r="CC4932" t="s">
        <v>346</v>
      </c>
      <c r="CH4932" t="str">
        <f>""</f>
        <v/>
      </c>
      <c r="CS4932" t="str">
        <f>""</f>
        <v/>
      </c>
    </row>
    <row r="4933" spans="1:97" x14ac:dyDescent="0.25">
      <c r="A4933" t="s">
        <v>12396</v>
      </c>
      <c r="B4933" t="s">
        <v>348</v>
      </c>
      <c r="C4933" t="s">
        <v>220</v>
      </c>
      <c r="D4933" t="s">
        <v>348</v>
      </c>
      <c r="E4933" t="s">
        <v>30707</v>
      </c>
      <c r="F4933" t="s">
        <v>108</v>
      </c>
      <c r="H4933" t="s">
        <v>30708</v>
      </c>
      <c r="I4933" t="s">
        <v>188</v>
      </c>
      <c r="J4933" t="s">
        <v>111</v>
      </c>
      <c r="K4933" t="str">
        <f>"85142"</f>
        <v>85142</v>
      </c>
      <c r="L4933" t="s">
        <v>5291</v>
      </c>
      <c r="M4933" t="s">
        <v>30708</v>
      </c>
      <c r="N4933" t="s">
        <v>188</v>
      </c>
      <c r="O4933" t="s">
        <v>111</v>
      </c>
      <c r="P4933" t="str">
        <f>"85142-9388"</f>
        <v>85142-9388</v>
      </c>
      <c r="Q4933" t="s">
        <v>113</v>
      </c>
      <c r="R4933" t="str">
        <f>"304-62-848"</f>
        <v>304-62-848</v>
      </c>
      <c r="S4933" t="s">
        <v>15710</v>
      </c>
      <c r="U4933">
        <v>4002</v>
      </c>
      <c r="V4933">
        <v>0</v>
      </c>
      <c r="W4933">
        <v>6</v>
      </c>
      <c r="X4933">
        <v>2015</v>
      </c>
      <c r="Z4933">
        <v>1</v>
      </c>
      <c r="AA4933" t="s">
        <v>26</v>
      </c>
      <c r="AB4933">
        <v>0</v>
      </c>
      <c r="AC4933" t="s">
        <v>115</v>
      </c>
      <c r="AD4933">
        <v>3</v>
      </c>
      <c r="AE4933" t="s">
        <v>115</v>
      </c>
      <c r="AF4933">
        <v>0</v>
      </c>
      <c r="AG4933">
        <v>0</v>
      </c>
      <c r="AH4933" t="s">
        <v>116</v>
      </c>
      <c r="AI4933" s="1">
        <v>-9152</v>
      </c>
      <c r="AJ4933" s="2">
        <v>-0.01</v>
      </c>
      <c r="AK4933" s="1">
        <v>704651</v>
      </c>
      <c r="AL4933" t="s">
        <v>117</v>
      </c>
      <c r="AM4933" t="s">
        <v>376</v>
      </c>
      <c r="AN4933">
        <v>43947</v>
      </c>
      <c r="AO4933">
        <v>1.01</v>
      </c>
      <c r="AR4933">
        <v>1</v>
      </c>
      <c r="AS4933" s="1">
        <v>55300</v>
      </c>
      <c r="AT4933" s="1">
        <v>11060</v>
      </c>
      <c r="AU4933" s="1">
        <v>44240</v>
      </c>
      <c r="AV4933">
        <v>80</v>
      </c>
      <c r="AX4933" s="1">
        <v>5209.28</v>
      </c>
      <c r="AY4933" t="s">
        <v>560</v>
      </c>
      <c r="AZ4933" t="s">
        <v>561</v>
      </c>
      <c r="BA4933" t="s">
        <v>194</v>
      </c>
      <c r="BE4933" s="3">
        <v>42165</v>
      </c>
      <c r="BF4933" s="1">
        <v>554052</v>
      </c>
      <c r="BG4933" t="s">
        <v>158</v>
      </c>
      <c r="BH4933" s="1">
        <v>138.44</v>
      </c>
      <c r="BI4933" s="1">
        <v>713803</v>
      </c>
      <c r="BJ4933" s="3">
        <v>43588</v>
      </c>
      <c r="BK4933" t="s">
        <v>123</v>
      </c>
      <c r="BL4933" t="str">
        <f>"2019.322677"</f>
        <v>2019.322677</v>
      </c>
      <c r="BM4933" t="s">
        <v>248</v>
      </c>
      <c r="BN4933" t="s">
        <v>249</v>
      </c>
      <c r="BO4933" t="s">
        <v>30709</v>
      </c>
      <c r="BP4933" t="s">
        <v>30710</v>
      </c>
      <c r="BR4933" t="s">
        <v>139</v>
      </c>
      <c r="BW4933" t="str">
        <f>""</f>
        <v/>
      </c>
      <c r="CH4933" t="str">
        <f>""</f>
        <v/>
      </c>
      <c r="CS4933" t="str">
        <f>""</f>
        <v/>
      </c>
    </row>
    <row r="4934" spans="1:97" x14ac:dyDescent="0.25">
      <c r="A4934" t="s">
        <v>489</v>
      </c>
      <c r="B4934" t="s">
        <v>30711</v>
      </c>
      <c r="E4934" t="s">
        <v>30712</v>
      </c>
      <c r="F4934" t="s">
        <v>108</v>
      </c>
      <c r="H4934" t="s">
        <v>30713</v>
      </c>
      <c r="I4934" t="s">
        <v>188</v>
      </c>
      <c r="J4934" t="s">
        <v>111</v>
      </c>
      <c r="K4934" t="str">
        <f>"85142"</f>
        <v>85142</v>
      </c>
      <c r="L4934" t="s">
        <v>5893</v>
      </c>
      <c r="M4934" t="s">
        <v>30713</v>
      </c>
      <c r="N4934" t="s">
        <v>188</v>
      </c>
      <c r="O4934" t="s">
        <v>111</v>
      </c>
      <c r="P4934" t="str">
        <f>"85142-4859"</f>
        <v>85142-4859</v>
      </c>
      <c r="Q4934" t="s">
        <v>113</v>
      </c>
      <c r="R4934" t="str">
        <f>"314-04-769"</f>
        <v>314-04-769</v>
      </c>
      <c r="S4934" t="s">
        <v>5894</v>
      </c>
      <c r="T4934" t="s">
        <v>5894</v>
      </c>
      <c r="U4934">
        <v>1735</v>
      </c>
      <c r="V4934">
        <v>0</v>
      </c>
      <c r="W4934">
        <v>3</v>
      </c>
      <c r="X4934">
        <v>2014</v>
      </c>
      <c r="Z4934">
        <v>1</v>
      </c>
      <c r="AB4934">
        <v>0</v>
      </c>
      <c r="AC4934" t="s">
        <v>115</v>
      </c>
      <c r="AD4934">
        <v>2</v>
      </c>
      <c r="AE4934" t="s">
        <v>115</v>
      </c>
      <c r="AF4934">
        <v>0</v>
      </c>
      <c r="AG4934">
        <v>0</v>
      </c>
      <c r="AH4934" t="s">
        <v>116</v>
      </c>
      <c r="AI4934" s="1">
        <v>67831</v>
      </c>
      <c r="AJ4934" s="2">
        <v>0.22</v>
      </c>
      <c r="AK4934" s="1">
        <v>308905</v>
      </c>
      <c r="AL4934" t="s">
        <v>117</v>
      </c>
      <c r="AM4934" t="str">
        <f>"R1-6"</f>
        <v>R1-6</v>
      </c>
      <c r="AN4934">
        <v>6850</v>
      </c>
      <c r="AO4934">
        <v>0.16</v>
      </c>
      <c r="AR4934">
        <v>1</v>
      </c>
      <c r="AS4934" s="1">
        <v>21550</v>
      </c>
      <c r="AT4934" s="1">
        <v>4310</v>
      </c>
      <c r="AU4934" s="1">
        <v>17240</v>
      </c>
      <c r="AV4934">
        <v>80</v>
      </c>
      <c r="AX4934" s="1">
        <v>1852.3</v>
      </c>
      <c r="AY4934" t="s">
        <v>5895</v>
      </c>
      <c r="AZ4934" t="s">
        <v>561</v>
      </c>
      <c r="BA4934" t="s">
        <v>194</v>
      </c>
      <c r="BE4934" s="3">
        <v>42003</v>
      </c>
      <c r="BF4934" s="1">
        <v>236000</v>
      </c>
      <c r="BG4934" t="s">
        <v>617</v>
      </c>
      <c r="BH4934" s="1">
        <v>136.02000000000001</v>
      </c>
      <c r="BI4934" s="1">
        <v>241074</v>
      </c>
      <c r="BJ4934" s="3">
        <v>42003</v>
      </c>
      <c r="BK4934" t="s">
        <v>123</v>
      </c>
      <c r="BL4934" t="str">
        <f>"2014.857190"</f>
        <v>2014.857190</v>
      </c>
      <c r="BM4934" t="s">
        <v>2980</v>
      </c>
      <c r="BO4934" t="s">
        <v>30714</v>
      </c>
      <c r="BS4934">
        <v>30</v>
      </c>
      <c r="BW4934" t="str">
        <f>""</f>
        <v/>
      </c>
      <c r="CH4934" t="str">
        <f>""</f>
        <v/>
      </c>
      <c r="CS4934" t="str">
        <f>""</f>
        <v/>
      </c>
    </row>
    <row r="4935" spans="1:97" x14ac:dyDescent="0.25">
      <c r="A4935" t="s">
        <v>976</v>
      </c>
      <c r="B4935" t="s">
        <v>30715</v>
      </c>
      <c r="C4935" t="s">
        <v>4306</v>
      </c>
      <c r="D4935" t="s">
        <v>30715</v>
      </c>
      <c r="E4935" t="s">
        <v>30716</v>
      </c>
      <c r="F4935" t="s">
        <v>108</v>
      </c>
      <c r="H4935" t="s">
        <v>30717</v>
      </c>
      <c r="I4935" t="s">
        <v>632</v>
      </c>
      <c r="J4935" t="s">
        <v>111</v>
      </c>
      <c r="K4935" t="str">
        <f>"85388"</f>
        <v>85388</v>
      </c>
      <c r="L4935" t="s">
        <v>5165</v>
      </c>
      <c r="M4935" t="s">
        <v>30717</v>
      </c>
      <c r="N4935" t="s">
        <v>632</v>
      </c>
      <c r="O4935" t="s">
        <v>111</v>
      </c>
      <c r="P4935" t="str">
        <f>"85388-5003"</f>
        <v>85388-5003</v>
      </c>
      <c r="Q4935" t="s">
        <v>113</v>
      </c>
      <c r="R4935" t="str">
        <f>"502-05-511"</f>
        <v>502-05-511</v>
      </c>
      <c r="S4935" t="s">
        <v>5166</v>
      </c>
      <c r="T4935" t="s">
        <v>5167</v>
      </c>
      <c r="U4935">
        <v>3215</v>
      </c>
      <c r="V4935">
        <v>0</v>
      </c>
      <c r="W4935">
        <v>4</v>
      </c>
      <c r="X4935">
        <v>2006</v>
      </c>
      <c r="Z4935">
        <v>2</v>
      </c>
      <c r="AB4935">
        <v>0</v>
      </c>
      <c r="AC4935" t="s">
        <v>115</v>
      </c>
      <c r="AD4935">
        <v>4</v>
      </c>
      <c r="AE4935" t="s">
        <v>115</v>
      </c>
      <c r="AF4935">
        <v>0</v>
      </c>
      <c r="AG4935">
        <v>0</v>
      </c>
      <c r="AH4935" t="s">
        <v>116</v>
      </c>
      <c r="AI4935" s="1">
        <v>75014</v>
      </c>
      <c r="AJ4935" s="2">
        <v>0.21</v>
      </c>
      <c r="AK4935" s="1">
        <v>360418</v>
      </c>
      <c r="AL4935" t="s">
        <v>117</v>
      </c>
      <c r="AM4935" t="s">
        <v>118</v>
      </c>
      <c r="AN4935">
        <v>13306</v>
      </c>
      <c r="AO4935">
        <v>0.3</v>
      </c>
      <c r="AR4935">
        <v>1</v>
      </c>
      <c r="AS4935" s="1">
        <v>25000</v>
      </c>
      <c r="AT4935" s="1">
        <v>5000</v>
      </c>
      <c r="AU4935" s="1">
        <v>20000</v>
      </c>
      <c r="AV4935">
        <v>80</v>
      </c>
      <c r="AX4935" s="1">
        <v>2252.58</v>
      </c>
      <c r="AY4935" t="s">
        <v>5168</v>
      </c>
      <c r="AZ4935" t="s">
        <v>5168</v>
      </c>
      <c r="BA4935" t="s">
        <v>5061</v>
      </c>
      <c r="BE4935" s="3">
        <v>41698</v>
      </c>
      <c r="BF4935" s="1">
        <v>290000</v>
      </c>
      <c r="BG4935" t="s">
        <v>30718</v>
      </c>
      <c r="BH4935" s="1">
        <v>90.2</v>
      </c>
      <c r="BI4935" s="1">
        <v>285404</v>
      </c>
      <c r="BJ4935" s="3">
        <v>42416</v>
      </c>
      <c r="BK4935" t="s">
        <v>123</v>
      </c>
      <c r="BL4935" t="str">
        <f>"2016.96177"</f>
        <v>2016.96177</v>
      </c>
      <c r="BM4935" t="s">
        <v>255</v>
      </c>
      <c r="BO4935" t="s">
        <v>30719</v>
      </c>
      <c r="BS4935">
        <v>30</v>
      </c>
      <c r="BW4935" t="str">
        <f>""</f>
        <v/>
      </c>
      <c r="CH4935" t="str">
        <f>""</f>
        <v/>
      </c>
      <c r="CS4935" t="str">
        <f>""</f>
        <v/>
      </c>
    </row>
    <row r="4936" spans="1:97" x14ac:dyDescent="0.25">
      <c r="A4936" t="s">
        <v>695</v>
      </c>
      <c r="B4936" t="s">
        <v>30720</v>
      </c>
      <c r="C4936" t="s">
        <v>1906</v>
      </c>
      <c r="D4936" t="s">
        <v>30720</v>
      </c>
      <c r="E4936" t="s">
        <v>30721</v>
      </c>
      <c r="F4936" t="s">
        <v>108</v>
      </c>
      <c r="H4936" t="s">
        <v>30722</v>
      </c>
      <c r="I4936" t="s">
        <v>632</v>
      </c>
      <c r="J4936" t="s">
        <v>111</v>
      </c>
      <c r="K4936" t="str">
        <f>"85388"</f>
        <v>85388</v>
      </c>
      <c r="L4936" t="s">
        <v>4159</v>
      </c>
      <c r="M4936" t="s">
        <v>30722</v>
      </c>
      <c r="N4936" t="s">
        <v>632</v>
      </c>
      <c r="O4936" t="s">
        <v>111</v>
      </c>
      <c r="P4936" t="str">
        <f>"85388-1756"</f>
        <v>85388-1756</v>
      </c>
      <c r="Q4936" t="s">
        <v>113</v>
      </c>
      <c r="R4936" t="str">
        <f>"502-84-686"</f>
        <v>502-84-686</v>
      </c>
      <c r="S4936" t="s">
        <v>9278</v>
      </c>
      <c r="T4936" t="s">
        <v>9279</v>
      </c>
      <c r="U4936">
        <v>2800</v>
      </c>
      <c r="V4936">
        <v>0</v>
      </c>
      <c r="W4936">
        <v>4</v>
      </c>
      <c r="X4936">
        <v>2015</v>
      </c>
      <c r="Z4936">
        <v>2</v>
      </c>
      <c r="AA4936" t="s">
        <v>26</v>
      </c>
      <c r="AB4936">
        <v>0</v>
      </c>
      <c r="AC4936" t="s">
        <v>115</v>
      </c>
      <c r="AD4936">
        <v>3</v>
      </c>
      <c r="AE4936" t="s">
        <v>115</v>
      </c>
      <c r="AF4936">
        <v>0</v>
      </c>
      <c r="AG4936">
        <v>0</v>
      </c>
      <c r="AH4936" t="s">
        <v>116</v>
      </c>
      <c r="AI4936" s="1">
        <v>19584</v>
      </c>
      <c r="AJ4936" s="2">
        <v>0.06</v>
      </c>
      <c r="AK4936" s="1">
        <v>348527</v>
      </c>
      <c r="AL4936" t="s">
        <v>117</v>
      </c>
      <c r="AM4936" t="s">
        <v>118</v>
      </c>
      <c r="AN4936">
        <v>11101</v>
      </c>
      <c r="AO4936">
        <v>0.26</v>
      </c>
      <c r="AR4936">
        <v>1</v>
      </c>
      <c r="AS4936" s="1">
        <v>27260</v>
      </c>
      <c r="AT4936" s="1">
        <v>5450</v>
      </c>
      <c r="AU4936" s="1">
        <v>21810</v>
      </c>
      <c r="AV4936">
        <v>80.010000000000005</v>
      </c>
      <c r="AX4936" s="1">
        <v>2121.88</v>
      </c>
      <c r="AY4936" t="s">
        <v>5168</v>
      </c>
      <c r="AZ4936" t="s">
        <v>5168</v>
      </c>
      <c r="BA4936" t="s">
        <v>5109</v>
      </c>
      <c r="BE4936" s="3">
        <v>42325</v>
      </c>
      <c r="BF4936" s="1">
        <v>284971</v>
      </c>
      <c r="BG4936" t="s">
        <v>18903</v>
      </c>
      <c r="BH4936" s="1">
        <v>101.78</v>
      </c>
      <c r="BI4936" s="1">
        <v>290943</v>
      </c>
      <c r="BJ4936" s="3">
        <v>42915</v>
      </c>
      <c r="BK4936" t="s">
        <v>123</v>
      </c>
      <c r="BL4936" t="str">
        <f>"2017.474474"</f>
        <v>2017.474474</v>
      </c>
      <c r="BM4936" t="s">
        <v>3638</v>
      </c>
      <c r="BO4936" t="s">
        <v>30723</v>
      </c>
      <c r="BP4936" t="s">
        <v>30724</v>
      </c>
      <c r="BS4936">
        <v>30</v>
      </c>
      <c r="BT4936" s="1">
        <v>38000</v>
      </c>
      <c r="BU4936" s="3">
        <v>43074</v>
      </c>
      <c r="BV4936" t="s">
        <v>134</v>
      </c>
      <c r="BW4936" t="str">
        <f>"2017.899062"</f>
        <v>2017.899062</v>
      </c>
      <c r="BX4936" t="s">
        <v>4945</v>
      </c>
      <c r="BZ4936" t="s">
        <v>30725</v>
      </c>
      <c r="CD4936">
        <v>10</v>
      </c>
      <c r="CH4936" t="str">
        <f>""</f>
        <v/>
      </c>
      <c r="CS4936" t="str">
        <f>""</f>
        <v/>
      </c>
    </row>
    <row r="4937" spans="1:97" x14ac:dyDescent="0.25">
      <c r="A4937" t="s">
        <v>177</v>
      </c>
      <c r="B4937" t="s">
        <v>30726</v>
      </c>
      <c r="C4937" t="s">
        <v>9803</v>
      </c>
      <c r="D4937" t="s">
        <v>30726</v>
      </c>
      <c r="E4937" t="s">
        <v>30727</v>
      </c>
      <c r="F4937" t="s">
        <v>108</v>
      </c>
      <c r="H4937" t="s">
        <v>30728</v>
      </c>
      <c r="I4937" t="s">
        <v>225</v>
      </c>
      <c r="J4937" t="s">
        <v>111</v>
      </c>
      <c r="K4937" t="str">
        <f>"85212"</f>
        <v>85212</v>
      </c>
      <c r="L4937" t="s">
        <v>17845</v>
      </c>
      <c r="M4937" t="s">
        <v>30728</v>
      </c>
      <c r="N4937" t="s">
        <v>225</v>
      </c>
      <c r="O4937" t="s">
        <v>111</v>
      </c>
      <c r="P4937" t="str">
        <f>"85212-5181"</f>
        <v>85212-5181</v>
      </c>
      <c r="Q4937" t="s">
        <v>113</v>
      </c>
      <c r="R4937" t="str">
        <f>"312-05-670"</f>
        <v>312-05-670</v>
      </c>
      <c r="S4937" t="s">
        <v>29710</v>
      </c>
      <c r="T4937" t="s">
        <v>8810</v>
      </c>
      <c r="U4937">
        <v>3662</v>
      </c>
      <c r="V4937">
        <v>0</v>
      </c>
      <c r="W4937">
        <v>5</v>
      </c>
      <c r="X4937">
        <v>2007</v>
      </c>
      <c r="Z4937">
        <v>2</v>
      </c>
      <c r="AB4937">
        <v>0</v>
      </c>
      <c r="AC4937" t="s">
        <v>115</v>
      </c>
      <c r="AD4937">
        <v>3</v>
      </c>
      <c r="AE4937" t="s">
        <v>115</v>
      </c>
      <c r="AF4937">
        <v>0</v>
      </c>
      <c r="AG4937">
        <v>0</v>
      </c>
      <c r="AH4937" t="s">
        <v>116</v>
      </c>
      <c r="AI4937" s="1">
        <v>85340</v>
      </c>
      <c r="AJ4937" s="2">
        <v>0.21</v>
      </c>
      <c r="AK4937" s="1">
        <v>414773</v>
      </c>
      <c r="AL4937" t="s">
        <v>117</v>
      </c>
      <c r="AM4937" t="s">
        <v>191</v>
      </c>
      <c r="AN4937">
        <v>8882</v>
      </c>
      <c r="AO4937">
        <v>0.2</v>
      </c>
      <c r="AR4937">
        <v>1</v>
      </c>
      <c r="AS4937" s="1">
        <v>29130</v>
      </c>
      <c r="AT4937" s="1">
        <v>5820</v>
      </c>
      <c r="AU4937" s="1">
        <v>23310</v>
      </c>
      <c r="AV4937">
        <v>80.02</v>
      </c>
      <c r="AX4937" s="1">
        <v>2741.66</v>
      </c>
      <c r="AY4937" t="s">
        <v>560</v>
      </c>
      <c r="AZ4937" t="s">
        <v>561</v>
      </c>
      <c r="BA4937" t="s">
        <v>194</v>
      </c>
      <c r="BE4937" s="3">
        <v>41842</v>
      </c>
      <c r="BF4937" s="1">
        <v>322500</v>
      </c>
      <c r="BG4937" t="s">
        <v>30729</v>
      </c>
      <c r="BH4937" s="1">
        <v>88.07</v>
      </c>
      <c r="BI4937" s="1">
        <v>329433</v>
      </c>
      <c r="BJ4937" s="3">
        <v>41842</v>
      </c>
      <c r="BK4937" t="s">
        <v>123</v>
      </c>
      <c r="BL4937" t="str">
        <f>"2014.479272"</f>
        <v>2014.479272</v>
      </c>
      <c r="BM4937" t="s">
        <v>4738</v>
      </c>
      <c r="BO4937" t="s">
        <v>30730</v>
      </c>
      <c r="BS4937">
        <v>30</v>
      </c>
      <c r="BW4937" t="str">
        <f>""</f>
        <v/>
      </c>
      <c r="CH4937" t="str">
        <f>""</f>
        <v/>
      </c>
      <c r="CS4937" t="str">
        <f>""</f>
        <v/>
      </c>
    </row>
    <row r="4938" spans="1:97" x14ac:dyDescent="0.25">
      <c r="A4938" t="s">
        <v>639</v>
      </c>
      <c r="B4938" t="s">
        <v>30731</v>
      </c>
      <c r="C4938" t="s">
        <v>496</v>
      </c>
      <c r="D4938" t="s">
        <v>30731</v>
      </c>
      <c r="E4938" t="s">
        <v>30732</v>
      </c>
      <c r="F4938" t="s">
        <v>108</v>
      </c>
      <c r="H4938" t="s">
        <v>30733</v>
      </c>
      <c r="I4938" t="s">
        <v>188</v>
      </c>
      <c r="J4938" t="s">
        <v>111</v>
      </c>
      <c r="K4938" t="str">
        <f>"85142"</f>
        <v>85142</v>
      </c>
      <c r="L4938" t="s">
        <v>2197</v>
      </c>
      <c r="M4938" t="s">
        <v>30733</v>
      </c>
      <c r="N4938" t="s">
        <v>188</v>
      </c>
      <c r="O4938" t="s">
        <v>111</v>
      </c>
      <c r="P4938" t="str">
        <f>"85142-6253"</f>
        <v>85142-6253</v>
      </c>
      <c r="R4938" t="str">
        <f>"304-89-459"</f>
        <v>304-89-459</v>
      </c>
      <c r="S4938" t="s">
        <v>7403</v>
      </c>
      <c r="T4938" t="s">
        <v>7403</v>
      </c>
      <c r="U4938">
        <v>2596</v>
      </c>
      <c r="V4938">
        <v>0</v>
      </c>
      <c r="W4938">
        <v>4</v>
      </c>
      <c r="X4938">
        <v>2014</v>
      </c>
      <c r="Z4938">
        <v>1</v>
      </c>
      <c r="AB4938">
        <v>0</v>
      </c>
      <c r="AC4938" t="s">
        <v>115</v>
      </c>
      <c r="AD4938">
        <v>3</v>
      </c>
      <c r="AE4938" t="s">
        <v>115</v>
      </c>
      <c r="AF4938">
        <v>0</v>
      </c>
      <c r="AG4938">
        <v>0</v>
      </c>
      <c r="AH4938" t="s">
        <v>116</v>
      </c>
      <c r="AI4938" s="1">
        <v>125562</v>
      </c>
      <c r="AJ4938" s="2">
        <v>0.31</v>
      </c>
      <c r="AK4938" s="1">
        <v>408908</v>
      </c>
      <c r="AL4938" t="s">
        <v>117</v>
      </c>
      <c r="AM4938" t="s">
        <v>393</v>
      </c>
      <c r="AN4938">
        <v>7714</v>
      </c>
      <c r="AO4938">
        <v>0.18</v>
      </c>
      <c r="AR4938">
        <v>1</v>
      </c>
      <c r="AS4938" s="1">
        <v>29150</v>
      </c>
      <c r="AT4938" s="1">
        <v>5830</v>
      </c>
      <c r="AU4938" s="1">
        <v>23320</v>
      </c>
      <c r="AV4938">
        <v>80</v>
      </c>
      <c r="AX4938" s="1">
        <v>2653.72</v>
      </c>
      <c r="AY4938" t="s">
        <v>192</v>
      </c>
      <c r="AZ4938" t="s">
        <v>193</v>
      </c>
      <c r="BA4938" t="s">
        <v>194</v>
      </c>
      <c r="BE4938" s="3">
        <v>41922</v>
      </c>
      <c r="BF4938" s="1">
        <v>343346</v>
      </c>
      <c r="BG4938" t="s">
        <v>562</v>
      </c>
      <c r="BH4938" s="1">
        <v>132.26</v>
      </c>
      <c r="BI4938" s="1">
        <v>283346</v>
      </c>
      <c r="BJ4938" s="3">
        <v>41922</v>
      </c>
      <c r="BK4938" t="s">
        <v>123</v>
      </c>
      <c r="BL4938" t="str">
        <f>"2014.674545"</f>
        <v>2014.674545</v>
      </c>
      <c r="BM4938" t="s">
        <v>124</v>
      </c>
      <c r="BN4938" t="s">
        <v>1575</v>
      </c>
      <c r="BO4938" t="s">
        <v>30734</v>
      </c>
      <c r="BS4938">
        <v>30</v>
      </c>
      <c r="BW4938" t="str">
        <f>""</f>
        <v/>
      </c>
      <c r="CH4938" t="str">
        <f>""</f>
        <v/>
      </c>
      <c r="CS4938" t="str">
        <f>""</f>
        <v/>
      </c>
    </row>
    <row r="4939" spans="1:97" x14ac:dyDescent="0.25">
      <c r="B4939" t="s">
        <v>30735</v>
      </c>
      <c r="E4939" t="s">
        <v>30736</v>
      </c>
      <c r="F4939" t="s">
        <v>108</v>
      </c>
      <c r="H4939" t="s">
        <v>30737</v>
      </c>
      <c r="I4939" t="s">
        <v>499</v>
      </c>
      <c r="J4939" t="s">
        <v>111</v>
      </c>
      <c r="K4939" t="str">
        <f>"85395"</f>
        <v>85395</v>
      </c>
      <c r="L4939" t="s">
        <v>5743</v>
      </c>
      <c r="M4939" t="s">
        <v>30737</v>
      </c>
      <c r="N4939" t="s">
        <v>499</v>
      </c>
      <c r="O4939" t="s">
        <v>111</v>
      </c>
      <c r="P4939" t="str">
        <f>"85395-7700"</f>
        <v>85395-7700</v>
      </c>
      <c r="Q4939" t="s">
        <v>113</v>
      </c>
      <c r="R4939" t="str">
        <f>"508-13-267"</f>
        <v>508-13-267</v>
      </c>
      <c r="S4939" t="s">
        <v>5744</v>
      </c>
      <c r="T4939" t="s">
        <v>5745</v>
      </c>
      <c r="U4939">
        <v>2411</v>
      </c>
      <c r="V4939">
        <v>0</v>
      </c>
      <c r="W4939">
        <v>3</v>
      </c>
      <c r="X4939">
        <v>2006</v>
      </c>
      <c r="Z4939">
        <v>1</v>
      </c>
      <c r="AB4939">
        <v>0</v>
      </c>
      <c r="AC4939" t="s">
        <v>115</v>
      </c>
      <c r="AD4939">
        <v>2</v>
      </c>
      <c r="AE4939" t="s">
        <v>115</v>
      </c>
      <c r="AF4939">
        <v>0</v>
      </c>
      <c r="AG4939">
        <v>0</v>
      </c>
      <c r="AH4939" t="s">
        <v>116</v>
      </c>
      <c r="AI4939" s="1">
        <v>71500</v>
      </c>
      <c r="AJ4939" s="2">
        <v>0.2</v>
      </c>
      <c r="AK4939" s="1">
        <v>359707</v>
      </c>
      <c r="AL4939" t="s">
        <v>117</v>
      </c>
      <c r="AM4939" t="s">
        <v>118</v>
      </c>
      <c r="AN4939">
        <v>9248</v>
      </c>
      <c r="AO4939">
        <v>0.21</v>
      </c>
      <c r="AR4939">
        <v>1</v>
      </c>
      <c r="AS4939" s="1">
        <v>25070</v>
      </c>
      <c r="AT4939" s="1">
        <v>5010</v>
      </c>
      <c r="AU4939" s="1">
        <v>20060</v>
      </c>
      <c r="AV4939">
        <v>80.02</v>
      </c>
      <c r="AX4939" s="1">
        <v>2784.42</v>
      </c>
      <c r="AY4939" t="s">
        <v>3020</v>
      </c>
      <c r="AZ4939" t="s">
        <v>3020</v>
      </c>
      <c r="BA4939" t="s">
        <v>3154</v>
      </c>
      <c r="BB4939" s="3">
        <v>42304</v>
      </c>
      <c r="BD4939" t="s">
        <v>480</v>
      </c>
      <c r="BE4939" s="3">
        <v>41737</v>
      </c>
      <c r="BF4939" s="1">
        <v>279000</v>
      </c>
      <c r="BG4939" t="s">
        <v>30738</v>
      </c>
      <c r="BH4939" s="1">
        <v>115.72</v>
      </c>
      <c r="BI4939" s="1">
        <v>288207</v>
      </c>
      <c r="BJ4939" s="3">
        <v>41737</v>
      </c>
      <c r="BK4939" t="s">
        <v>123</v>
      </c>
      <c r="BL4939" t="str">
        <f>"2014.224324"</f>
        <v>2014.224324</v>
      </c>
      <c r="BM4939" t="s">
        <v>738</v>
      </c>
      <c r="BO4939" t="s">
        <v>30739</v>
      </c>
      <c r="BS4939">
        <v>30</v>
      </c>
      <c r="BW4939" t="str">
        <f>""</f>
        <v/>
      </c>
      <c r="CH4939" t="str">
        <f>""</f>
        <v/>
      </c>
      <c r="CS4939" t="str">
        <f>""</f>
        <v/>
      </c>
    </row>
    <row r="4940" spans="1:97" x14ac:dyDescent="0.25">
      <c r="A4940" t="s">
        <v>140</v>
      </c>
      <c r="B4940" t="s">
        <v>30740</v>
      </c>
      <c r="E4940" t="s">
        <v>30741</v>
      </c>
      <c r="F4940" t="s">
        <v>108</v>
      </c>
      <c r="H4940" t="s">
        <v>30742</v>
      </c>
      <c r="I4940" t="s">
        <v>390</v>
      </c>
      <c r="J4940" t="s">
        <v>111</v>
      </c>
      <c r="K4940" t="str">
        <f>"85045"</f>
        <v>85045</v>
      </c>
      <c r="L4940" t="s">
        <v>3430</v>
      </c>
      <c r="M4940" t="s">
        <v>30742</v>
      </c>
      <c r="N4940" t="s">
        <v>390</v>
      </c>
      <c r="O4940" t="s">
        <v>111</v>
      </c>
      <c r="P4940" t="str">
        <f>"85045-2232"</f>
        <v>85045-2232</v>
      </c>
      <c r="Q4940" t="s">
        <v>113</v>
      </c>
      <c r="R4940" t="str">
        <f>"300-05-285"</f>
        <v>300-05-285</v>
      </c>
      <c r="S4940" t="s">
        <v>30743</v>
      </c>
      <c r="T4940" t="s">
        <v>12019</v>
      </c>
      <c r="U4940">
        <v>1894</v>
      </c>
      <c r="V4940">
        <v>0</v>
      </c>
      <c r="W4940">
        <v>3</v>
      </c>
      <c r="X4940">
        <v>2004</v>
      </c>
      <c r="Z4940">
        <v>1</v>
      </c>
      <c r="AB4940">
        <v>0</v>
      </c>
      <c r="AC4940" t="s">
        <v>115</v>
      </c>
      <c r="AD4940">
        <v>2</v>
      </c>
      <c r="AE4940" t="s">
        <v>115</v>
      </c>
      <c r="AF4940">
        <v>0</v>
      </c>
      <c r="AG4940">
        <v>0</v>
      </c>
      <c r="AH4940" t="s">
        <v>116</v>
      </c>
      <c r="AI4940" s="1">
        <v>56748</v>
      </c>
      <c r="AJ4940" s="2">
        <v>0.17</v>
      </c>
      <c r="AK4940" s="1">
        <v>330309</v>
      </c>
      <c r="AL4940" t="s">
        <v>117</v>
      </c>
      <c r="AM4940" t="s">
        <v>171</v>
      </c>
      <c r="AN4940">
        <v>5653</v>
      </c>
      <c r="AO4940">
        <v>0.13</v>
      </c>
      <c r="AP4940">
        <v>1</v>
      </c>
      <c r="AR4940">
        <v>1</v>
      </c>
      <c r="AS4940" s="1">
        <v>22630</v>
      </c>
      <c r="AT4940" s="1">
        <v>4520</v>
      </c>
      <c r="AU4940" s="1">
        <v>18110</v>
      </c>
      <c r="AV4940">
        <v>80.03</v>
      </c>
      <c r="AX4940" s="1">
        <v>2258.02</v>
      </c>
      <c r="AY4940" t="s">
        <v>6202</v>
      </c>
      <c r="AZ4940" t="s">
        <v>2967</v>
      </c>
      <c r="BA4940" t="s">
        <v>930</v>
      </c>
      <c r="BE4940" s="3">
        <v>42230</v>
      </c>
      <c r="BF4940" s="1">
        <v>260000</v>
      </c>
      <c r="BG4940" t="s">
        <v>30744</v>
      </c>
      <c r="BH4940" s="1">
        <v>137.28</v>
      </c>
      <c r="BI4940" s="1">
        <v>273561</v>
      </c>
      <c r="BJ4940" s="3">
        <v>42843</v>
      </c>
      <c r="BK4940" t="s">
        <v>123</v>
      </c>
      <c r="BL4940" t="str">
        <f>"2017.273489"</f>
        <v>2017.273489</v>
      </c>
      <c r="BM4940" t="s">
        <v>673</v>
      </c>
      <c r="BO4940" t="s">
        <v>30745</v>
      </c>
      <c r="BQ4940" t="str">
        <f>"2.7500%"</f>
        <v>2.7500%</v>
      </c>
      <c r="BR4940" t="s">
        <v>1480</v>
      </c>
      <c r="BS4940">
        <v>30</v>
      </c>
      <c r="BW4940" t="str">
        <f>""</f>
        <v/>
      </c>
      <c r="CH4940" t="str">
        <f>""</f>
        <v/>
      </c>
      <c r="CS4940" t="str">
        <f>""</f>
        <v/>
      </c>
    </row>
    <row r="4941" spans="1:97" x14ac:dyDescent="0.25">
      <c r="A4941" t="s">
        <v>30746</v>
      </c>
      <c r="B4941" t="s">
        <v>2294</v>
      </c>
      <c r="C4941" t="s">
        <v>325</v>
      </c>
      <c r="D4941" t="s">
        <v>2294</v>
      </c>
      <c r="E4941" t="s">
        <v>30747</v>
      </c>
      <c r="F4941" t="s">
        <v>108</v>
      </c>
      <c r="H4941" t="s">
        <v>30748</v>
      </c>
      <c r="I4941" t="s">
        <v>1936</v>
      </c>
      <c r="J4941" t="s">
        <v>111</v>
      </c>
      <c r="K4941" t="str">
        <f>"85255"</f>
        <v>85255</v>
      </c>
      <c r="L4941" t="s">
        <v>337</v>
      </c>
      <c r="M4941" t="s">
        <v>30748</v>
      </c>
      <c r="N4941" t="s">
        <v>1936</v>
      </c>
      <c r="O4941" t="s">
        <v>111</v>
      </c>
      <c r="P4941" t="str">
        <f>"85255-9094"</f>
        <v>85255-9094</v>
      </c>
      <c r="Q4941" t="s">
        <v>113</v>
      </c>
      <c r="R4941" t="str">
        <f>"217-17-363"</f>
        <v>217-17-363</v>
      </c>
      <c r="S4941" t="s">
        <v>30749</v>
      </c>
      <c r="U4941">
        <v>2682</v>
      </c>
      <c r="V4941">
        <v>0</v>
      </c>
      <c r="W4941">
        <v>4</v>
      </c>
      <c r="X4941">
        <v>1995</v>
      </c>
      <c r="Z4941">
        <v>1</v>
      </c>
      <c r="AA4941" t="s">
        <v>26</v>
      </c>
      <c r="AB4941">
        <v>0</v>
      </c>
      <c r="AC4941" t="s">
        <v>115</v>
      </c>
      <c r="AD4941">
        <v>3</v>
      </c>
      <c r="AE4941" t="s">
        <v>115</v>
      </c>
      <c r="AF4941">
        <v>0</v>
      </c>
      <c r="AG4941">
        <v>0</v>
      </c>
      <c r="AH4941" t="s">
        <v>116</v>
      </c>
      <c r="AI4941" s="1">
        <v>138536</v>
      </c>
      <c r="AJ4941" s="2">
        <v>0.21</v>
      </c>
      <c r="AK4941" s="1">
        <v>675378</v>
      </c>
      <c r="AL4941" t="s">
        <v>117</v>
      </c>
      <c r="AM4941" t="s">
        <v>393</v>
      </c>
      <c r="AN4941">
        <v>8928</v>
      </c>
      <c r="AO4941">
        <v>0.2</v>
      </c>
      <c r="AP4941">
        <v>1</v>
      </c>
      <c r="AR4941">
        <v>1</v>
      </c>
      <c r="AS4941" s="1">
        <v>50830</v>
      </c>
      <c r="AT4941" s="1">
        <v>10160</v>
      </c>
      <c r="AU4941" s="1">
        <v>40670</v>
      </c>
      <c r="AV4941">
        <v>80.010000000000005</v>
      </c>
      <c r="AX4941" s="1">
        <v>3722.5</v>
      </c>
      <c r="AY4941" t="s">
        <v>11360</v>
      </c>
      <c r="AZ4941" t="s">
        <v>5420</v>
      </c>
      <c r="BA4941" t="s">
        <v>5763</v>
      </c>
      <c r="BE4941" s="3">
        <v>42086</v>
      </c>
      <c r="BF4941" s="1">
        <v>570000</v>
      </c>
      <c r="BG4941" t="s">
        <v>30750</v>
      </c>
      <c r="BH4941" s="1">
        <v>212.53</v>
      </c>
      <c r="BI4941" s="1">
        <v>536842</v>
      </c>
      <c r="BJ4941" s="3">
        <v>42611</v>
      </c>
      <c r="BK4941" t="s">
        <v>123</v>
      </c>
      <c r="BL4941" t="str">
        <f>"2016.619097"</f>
        <v>2016.619097</v>
      </c>
      <c r="BM4941" t="s">
        <v>402</v>
      </c>
      <c r="BO4941" t="s">
        <v>30751</v>
      </c>
      <c r="BS4941">
        <v>30</v>
      </c>
      <c r="BW4941" t="str">
        <f>""</f>
        <v/>
      </c>
      <c r="CH4941" t="str">
        <f>""</f>
        <v/>
      </c>
      <c r="CS4941" t="str">
        <f>""</f>
        <v/>
      </c>
    </row>
    <row r="4942" spans="1:97" x14ac:dyDescent="0.25">
      <c r="A4942" t="s">
        <v>3613</v>
      </c>
      <c r="B4942" t="s">
        <v>30752</v>
      </c>
      <c r="C4942" t="s">
        <v>4500</v>
      </c>
      <c r="D4942" t="s">
        <v>30752</v>
      </c>
      <c r="E4942" t="s">
        <v>30753</v>
      </c>
      <c r="F4942" t="s">
        <v>108</v>
      </c>
      <c r="H4942" t="s">
        <v>30754</v>
      </c>
      <c r="I4942" t="s">
        <v>1397</v>
      </c>
      <c r="J4942" t="s">
        <v>111</v>
      </c>
      <c r="K4942" t="str">
        <f>"85331"</f>
        <v>85331</v>
      </c>
      <c r="L4942" t="s">
        <v>7816</v>
      </c>
      <c r="M4942" t="s">
        <v>30754</v>
      </c>
      <c r="N4942" t="s">
        <v>1397</v>
      </c>
      <c r="O4942" t="s">
        <v>111</v>
      </c>
      <c r="P4942" t="str">
        <f>"85331-5564"</f>
        <v>85331-5564</v>
      </c>
      <c r="Q4942" t="s">
        <v>113</v>
      </c>
      <c r="R4942" t="str">
        <f>"211-37-231"</f>
        <v>211-37-231</v>
      </c>
      <c r="S4942" t="s">
        <v>7817</v>
      </c>
      <c r="T4942" t="s">
        <v>7818</v>
      </c>
      <c r="U4942">
        <v>2766</v>
      </c>
      <c r="V4942">
        <v>0</v>
      </c>
      <c r="W4942">
        <v>4</v>
      </c>
      <c r="X4942">
        <v>1997</v>
      </c>
      <c r="Z4942">
        <v>1</v>
      </c>
      <c r="AA4942" t="s">
        <v>26</v>
      </c>
      <c r="AB4942">
        <v>0</v>
      </c>
      <c r="AC4942" t="s">
        <v>115</v>
      </c>
      <c r="AD4942">
        <v>3</v>
      </c>
      <c r="AE4942" t="s">
        <v>115</v>
      </c>
      <c r="AF4942">
        <v>0</v>
      </c>
      <c r="AG4942">
        <v>0</v>
      </c>
      <c r="AH4942" t="s">
        <v>116</v>
      </c>
      <c r="AI4942" s="1">
        <v>124250</v>
      </c>
      <c r="AJ4942" s="2">
        <v>0.22</v>
      </c>
      <c r="AK4942" s="1">
        <v>555011</v>
      </c>
      <c r="AL4942" t="s">
        <v>117</v>
      </c>
      <c r="AM4942" t="s">
        <v>616</v>
      </c>
      <c r="AN4942">
        <v>10773</v>
      </c>
      <c r="AO4942">
        <v>0.25</v>
      </c>
      <c r="AP4942">
        <v>1</v>
      </c>
      <c r="AR4942">
        <v>1</v>
      </c>
      <c r="AS4942" s="1">
        <v>38720</v>
      </c>
      <c r="AT4942" s="1">
        <v>7740</v>
      </c>
      <c r="AU4942" s="1">
        <v>30980</v>
      </c>
      <c r="AV4942">
        <v>80.010000000000005</v>
      </c>
      <c r="AX4942" s="1">
        <v>2632.8</v>
      </c>
      <c r="AY4942" t="s">
        <v>1401</v>
      </c>
      <c r="AZ4942" t="s">
        <v>1402</v>
      </c>
      <c r="BA4942" t="s">
        <v>1403</v>
      </c>
      <c r="BE4942" s="3">
        <v>41775</v>
      </c>
      <c r="BF4942" s="1">
        <v>435000</v>
      </c>
      <c r="BG4942" t="s">
        <v>30755</v>
      </c>
      <c r="BH4942" s="1">
        <v>157.27000000000001</v>
      </c>
      <c r="BI4942" s="1">
        <v>430761</v>
      </c>
      <c r="BJ4942" s="3">
        <v>41775</v>
      </c>
      <c r="BK4942" t="s">
        <v>123</v>
      </c>
      <c r="BL4942" t="str">
        <f>"2014.320642"</f>
        <v>2014.320642</v>
      </c>
      <c r="BM4942" t="s">
        <v>2683</v>
      </c>
      <c r="BO4942" t="s">
        <v>30756</v>
      </c>
      <c r="BS4942">
        <v>30</v>
      </c>
      <c r="BW4942" t="str">
        <f>""</f>
        <v/>
      </c>
      <c r="CH4942" t="str">
        <f>""</f>
        <v/>
      </c>
      <c r="CS4942" t="str">
        <f>""</f>
        <v/>
      </c>
    </row>
    <row r="4943" spans="1:97" x14ac:dyDescent="0.25">
      <c r="A4943" t="s">
        <v>2123</v>
      </c>
      <c r="B4943" t="s">
        <v>2280</v>
      </c>
      <c r="C4943" t="s">
        <v>30757</v>
      </c>
      <c r="D4943" t="s">
        <v>2280</v>
      </c>
      <c r="E4943" t="s">
        <v>30758</v>
      </c>
      <c r="F4943" t="s">
        <v>108</v>
      </c>
      <c r="H4943" t="s">
        <v>30759</v>
      </c>
      <c r="I4943" t="s">
        <v>499</v>
      </c>
      <c r="J4943" t="s">
        <v>111</v>
      </c>
      <c r="K4943" t="str">
        <f>"85338"</f>
        <v>85338</v>
      </c>
      <c r="L4943" t="s">
        <v>6431</v>
      </c>
      <c r="M4943" t="s">
        <v>30759</v>
      </c>
      <c r="N4943" t="s">
        <v>499</v>
      </c>
      <c r="O4943" t="s">
        <v>111</v>
      </c>
      <c r="P4943" t="str">
        <f>"85338-7392"</f>
        <v>85338-7392</v>
      </c>
      <c r="Q4943" t="s">
        <v>113</v>
      </c>
      <c r="R4943" t="str">
        <f>"500-97-670"</f>
        <v>500-97-670</v>
      </c>
      <c r="S4943" t="s">
        <v>6432</v>
      </c>
      <c r="U4943">
        <v>2241</v>
      </c>
      <c r="V4943">
        <v>0</v>
      </c>
      <c r="W4943">
        <v>3</v>
      </c>
      <c r="X4943">
        <v>2010</v>
      </c>
      <c r="Z4943">
        <v>1</v>
      </c>
      <c r="AB4943">
        <v>0</v>
      </c>
      <c r="AC4943" t="s">
        <v>115</v>
      </c>
      <c r="AD4943">
        <v>3</v>
      </c>
      <c r="AE4943" t="s">
        <v>115</v>
      </c>
      <c r="AF4943">
        <v>0</v>
      </c>
      <c r="AG4943">
        <v>0</v>
      </c>
      <c r="AH4943" t="s">
        <v>116</v>
      </c>
      <c r="AI4943" s="1">
        <v>48049</v>
      </c>
      <c r="AJ4943" s="2">
        <v>0.15</v>
      </c>
      <c r="AK4943" s="1">
        <v>316629</v>
      </c>
      <c r="AL4943" t="s">
        <v>117</v>
      </c>
      <c r="AM4943" t="s">
        <v>118</v>
      </c>
      <c r="AN4943">
        <v>9610</v>
      </c>
      <c r="AO4943">
        <v>0.22</v>
      </c>
      <c r="AR4943">
        <v>1</v>
      </c>
      <c r="AS4943" s="1">
        <v>22870</v>
      </c>
      <c r="AT4943" s="1">
        <v>4570</v>
      </c>
      <c r="AU4943" s="1">
        <v>18300</v>
      </c>
      <c r="AV4943">
        <v>80.02</v>
      </c>
      <c r="AX4943" s="1">
        <v>2303.64</v>
      </c>
      <c r="AY4943" t="s">
        <v>6319</v>
      </c>
      <c r="AZ4943" t="s">
        <v>6319</v>
      </c>
      <c r="BA4943" t="s">
        <v>218</v>
      </c>
      <c r="BE4943" s="3">
        <v>41974</v>
      </c>
      <c r="BF4943" s="1">
        <v>227000</v>
      </c>
      <c r="BG4943" t="s">
        <v>30760</v>
      </c>
      <c r="BH4943" s="1">
        <v>101.29</v>
      </c>
      <c r="BI4943" s="1">
        <v>268580</v>
      </c>
      <c r="BJ4943" s="3">
        <v>43551</v>
      </c>
      <c r="BK4943" t="s">
        <v>123</v>
      </c>
      <c r="BL4943" t="str">
        <f>"2019.210414"</f>
        <v>2019.210414</v>
      </c>
      <c r="BM4943" t="s">
        <v>2042</v>
      </c>
      <c r="BN4943" t="s">
        <v>1575</v>
      </c>
      <c r="BO4943" t="s">
        <v>30761</v>
      </c>
      <c r="BP4943" t="s">
        <v>30762</v>
      </c>
      <c r="BR4943" t="s">
        <v>139</v>
      </c>
      <c r="BW4943" t="str">
        <f>""</f>
        <v/>
      </c>
      <c r="CH4943" t="str">
        <f>""</f>
        <v/>
      </c>
      <c r="CS4943" t="str">
        <f>""</f>
        <v/>
      </c>
    </row>
    <row r="4944" spans="1:97" x14ac:dyDescent="0.25">
      <c r="A4944" t="s">
        <v>1083</v>
      </c>
      <c r="B4944" t="s">
        <v>4378</v>
      </c>
      <c r="C4944" t="s">
        <v>30763</v>
      </c>
      <c r="D4944" t="s">
        <v>4378</v>
      </c>
      <c r="E4944" t="s">
        <v>30764</v>
      </c>
      <c r="F4944" t="s">
        <v>108</v>
      </c>
      <c r="H4944" t="s">
        <v>30765</v>
      </c>
      <c r="I4944" t="s">
        <v>390</v>
      </c>
      <c r="J4944" t="s">
        <v>111</v>
      </c>
      <c r="K4944" t="str">
        <f>"85048"</f>
        <v>85048</v>
      </c>
      <c r="L4944" t="s">
        <v>6691</v>
      </c>
      <c r="M4944" t="s">
        <v>30765</v>
      </c>
      <c r="N4944" t="s">
        <v>390</v>
      </c>
      <c r="O4944" t="s">
        <v>111</v>
      </c>
      <c r="P4944" t="str">
        <f>"85048-6316"</f>
        <v>85048-6316</v>
      </c>
      <c r="Q4944" t="s">
        <v>113</v>
      </c>
      <c r="R4944" t="str">
        <f>"300-94-698"</f>
        <v>300-94-698</v>
      </c>
      <c r="S4944" t="s">
        <v>30216</v>
      </c>
      <c r="U4944">
        <v>1996</v>
      </c>
      <c r="V4944">
        <v>0</v>
      </c>
      <c r="W4944">
        <v>3</v>
      </c>
      <c r="X4944">
        <v>1994</v>
      </c>
      <c r="Z4944">
        <v>1</v>
      </c>
      <c r="AB4944">
        <v>0</v>
      </c>
      <c r="AC4944" t="s">
        <v>115</v>
      </c>
      <c r="AD4944">
        <v>2</v>
      </c>
      <c r="AE4944" t="s">
        <v>115</v>
      </c>
      <c r="AF4944">
        <v>0</v>
      </c>
      <c r="AG4944">
        <v>0</v>
      </c>
      <c r="AH4944" t="s">
        <v>116</v>
      </c>
      <c r="AI4944" s="1">
        <v>40562</v>
      </c>
      <c r="AJ4944" s="2">
        <v>0.11</v>
      </c>
      <c r="AK4944" s="1">
        <v>365562</v>
      </c>
      <c r="AL4944" t="s">
        <v>117</v>
      </c>
      <c r="AM4944" t="s">
        <v>191</v>
      </c>
      <c r="AN4944">
        <v>9383</v>
      </c>
      <c r="AO4944">
        <v>0.22</v>
      </c>
      <c r="AP4944">
        <v>1</v>
      </c>
      <c r="AR4944">
        <v>1</v>
      </c>
      <c r="AS4944" s="1">
        <v>25870</v>
      </c>
      <c r="AT4944" s="1">
        <v>5170</v>
      </c>
      <c r="AU4944" s="1">
        <v>20700</v>
      </c>
      <c r="AV4944">
        <v>80.02</v>
      </c>
      <c r="AX4944" s="1">
        <v>2607.3000000000002</v>
      </c>
      <c r="AY4944" t="s">
        <v>2966</v>
      </c>
      <c r="AZ4944" t="s">
        <v>2967</v>
      </c>
      <c r="BA4944" t="s">
        <v>930</v>
      </c>
      <c r="BB4944" s="3">
        <v>43244</v>
      </c>
      <c r="BC4944" s="1">
        <v>0</v>
      </c>
      <c r="BD4944" t="s">
        <v>247</v>
      </c>
      <c r="BE4944" s="3">
        <v>41663</v>
      </c>
      <c r="BF4944" s="1">
        <v>270000</v>
      </c>
      <c r="BG4944" t="s">
        <v>30766</v>
      </c>
      <c r="BH4944" s="1">
        <v>135.27000000000001</v>
      </c>
      <c r="BI4944" s="1">
        <v>325000</v>
      </c>
      <c r="BJ4944" s="3">
        <v>43244</v>
      </c>
      <c r="BK4944" t="s">
        <v>123</v>
      </c>
      <c r="BL4944" t="str">
        <f>"2018.396625"</f>
        <v>2018.396625</v>
      </c>
      <c r="BM4944" t="s">
        <v>30767</v>
      </c>
      <c r="BN4944" t="s">
        <v>30768</v>
      </c>
      <c r="BO4944" t="s">
        <v>30769</v>
      </c>
      <c r="BP4944" t="s">
        <v>30770</v>
      </c>
      <c r="BR4944" t="s">
        <v>139</v>
      </c>
      <c r="BW4944" t="str">
        <f>""</f>
        <v/>
      </c>
      <c r="CH4944" t="str">
        <f>""</f>
        <v/>
      </c>
      <c r="CS4944" t="str">
        <f>""</f>
        <v/>
      </c>
    </row>
    <row r="4945" spans="1:97" x14ac:dyDescent="0.25">
      <c r="A4945" t="s">
        <v>30771</v>
      </c>
      <c r="B4945" t="s">
        <v>364</v>
      </c>
      <c r="C4945" t="s">
        <v>2168</v>
      </c>
      <c r="D4945" t="s">
        <v>364</v>
      </c>
      <c r="E4945" t="s">
        <v>30772</v>
      </c>
      <c r="F4945" t="s">
        <v>108</v>
      </c>
      <c r="H4945" t="s">
        <v>30773</v>
      </c>
      <c r="I4945" t="s">
        <v>390</v>
      </c>
      <c r="J4945" t="s">
        <v>111</v>
      </c>
      <c r="K4945" t="str">
        <f>"85032"</f>
        <v>85032</v>
      </c>
      <c r="L4945" t="s">
        <v>4003</v>
      </c>
      <c r="M4945" t="s">
        <v>30773</v>
      </c>
      <c r="N4945" t="s">
        <v>390</v>
      </c>
      <c r="O4945" t="s">
        <v>111</v>
      </c>
      <c r="P4945" t="str">
        <f>"85032-5448"</f>
        <v>85032-5448</v>
      </c>
      <c r="Q4945" t="s">
        <v>113</v>
      </c>
      <c r="R4945" t="str">
        <f>"215-72-406"</f>
        <v>215-72-406</v>
      </c>
      <c r="S4945" t="s">
        <v>14299</v>
      </c>
      <c r="T4945" t="s">
        <v>14300</v>
      </c>
      <c r="U4945">
        <v>1998</v>
      </c>
      <c r="V4945">
        <v>0</v>
      </c>
      <c r="W4945">
        <v>3</v>
      </c>
      <c r="X4945">
        <v>1984</v>
      </c>
      <c r="Z4945">
        <v>1</v>
      </c>
      <c r="AA4945" t="s">
        <v>26</v>
      </c>
      <c r="AB4945">
        <v>0</v>
      </c>
      <c r="AC4945" t="s">
        <v>115</v>
      </c>
      <c r="AD4945">
        <v>2</v>
      </c>
      <c r="AE4945" t="s">
        <v>115</v>
      </c>
      <c r="AF4945">
        <v>0</v>
      </c>
      <c r="AG4945">
        <v>0</v>
      </c>
      <c r="AH4945" t="s">
        <v>116</v>
      </c>
      <c r="AI4945" s="1">
        <v>41386</v>
      </c>
      <c r="AJ4945" s="2">
        <v>0.1</v>
      </c>
      <c r="AK4945" s="1">
        <v>435386</v>
      </c>
      <c r="AL4945" t="s">
        <v>117</v>
      </c>
      <c r="AM4945" t="s">
        <v>1302</v>
      </c>
      <c r="AN4945">
        <v>10421</v>
      </c>
      <c r="AO4945">
        <v>0.24</v>
      </c>
      <c r="AP4945">
        <v>1</v>
      </c>
      <c r="AR4945">
        <v>1</v>
      </c>
      <c r="AS4945" s="1">
        <v>30370</v>
      </c>
      <c r="AT4945" s="1">
        <v>6070</v>
      </c>
      <c r="AU4945" s="1">
        <v>24300</v>
      </c>
      <c r="AV4945">
        <v>80.010000000000005</v>
      </c>
      <c r="AX4945" s="1">
        <v>2720.76</v>
      </c>
      <c r="AY4945" t="s">
        <v>5230</v>
      </c>
      <c r="AZ4945" t="s">
        <v>1317</v>
      </c>
      <c r="BA4945" t="s">
        <v>1318</v>
      </c>
      <c r="BE4945" s="3">
        <v>42529</v>
      </c>
      <c r="BF4945" s="1">
        <v>394000</v>
      </c>
      <c r="BG4945" t="s">
        <v>30774</v>
      </c>
      <c r="BH4945" s="1">
        <v>197.2</v>
      </c>
      <c r="BI4945" s="1">
        <v>394000</v>
      </c>
      <c r="BJ4945" s="3">
        <v>42529</v>
      </c>
      <c r="BK4945" t="s">
        <v>123</v>
      </c>
      <c r="BL4945" t="str">
        <f>"2016.395839"</f>
        <v>2016.395839</v>
      </c>
      <c r="BM4945" t="s">
        <v>724</v>
      </c>
      <c r="BO4945" t="s">
        <v>30775</v>
      </c>
      <c r="BS4945">
        <v>30</v>
      </c>
      <c r="BW4945" t="str">
        <f>""</f>
        <v/>
      </c>
      <c r="CH4945" t="str">
        <f>""</f>
        <v/>
      </c>
      <c r="CS4945" t="str">
        <f>""</f>
        <v/>
      </c>
    </row>
    <row r="4946" spans="1:97" x14ac:dyDescent="0.25">
      <c r="A4946" t="s">
        <v>14002</v>
      </c>
      <c r="B4946" t="s">
        <v>10412</v>
      </c>
      <c r="C4946" t="s">
        <v>1769</v>
      </c>
      <c r="D4946" t="s">
        <v>30776</v>
      </c>
      <c r="E4946" t="s">
        <v>30777</v>
      </c>
      <c r="F4946" t="s">
        <v>108</v>
      </c>
      <c r="H4946" t="s">
        <v>30778</v>
      </c>
      <c r="I4946" t="s">
        <v>225</v>
      </c>
      <c r="J4946" t="s">
        <v>111</v>
      </c>
      <c r="K4946" t="str">
        <f>"85209"</f>
        <v>85209</v>
      </c>
      <c r="L4946" t="s">
        <v>3530</v>
      </c>
      <c r="M4946" t="s">
        <v>30778</v>
      </c>
      <c r="N4946" t="s">
        <v>225</v>
      </c>
      <c r="O4946" t="s">
        <v>111</v>
      </c>
      <c r="P4946" t="str">
        <f>"85209-1547"</f>
        <v>85209-1547</v>
      </c>
      <c r="Q4946" t="s">
        <v>113</v>
      </c>
      <c r="R4946" t="str">
        <f>"312-11-441"</f>
        <v>312-11-441</v>
      </c>
      <c r="S4946" t="s">
        <v>30779</v>
      </c>
      <c r="U4946">
        <v>3408</v>
      </c>
      <c r="V4946">
        <v>0</v>
      </c>
      <c r="W4946">
        <v>4</v>
      </c>
      <c r="X4946">
        <v>2004</v>
      </c>
      <c r="Z4946">
        <v>2</v>
      </c>
      <c r="AA4946" t="s">
        <v>26</v>
      </c>
      <c r="AB4946">
        <v>0</v>
      </c>
      <c r="AC4946" t="s">
        <v>115</v>
      </c>
      <c r="AD4946">
        <v>3</v>
      </c>
      <c r="AE4946" t="s">
        <v>115</v>
      </c>
      <c r="AF4946">
        <v>0</v>
      </c>
      <c r="AG4946">
        <v>0</v>
      </c>
      <c r="AH4946" t="s">
        <v>116</v>
      </c>
      <c r="AI4946" s="1">
        <v>108305</v>
      </c>
      <c r="AJ4946" s="2">
        <v>0.25</v>
      </c>
      <c r="AK4946" s="1">
        <v>435155</v>
      </c>
      <c r="AL4946" t="s">
        <v>117</v>
      </c>
      <c r="AM4946" t="s">
        <v>393</v>
      </c>
      <c r="AN4946">
        <v>9103</v>
      </c>
      <c r="AO4946">
        <v>0.21</v>
      </c>
      <c r="AP4946">
        <v>1</v>
      </c>
      <c r="AR4946">
        <v>1</v>
      </c>
      <c r="AS4946" s="1">
        <v>31350</v>
      </c>
      <c r="AT4946" s="1">
        <v>6270</v>
      </c>
      <c r="AU4946" s="1">
        <v>25080</v>
      </c>
      <c r="AV4946">
        <v>80</v>
      </c>
      <c r="AX4946" s="1">
        <v>2436.94</v>
      </c>
      <c r="AY4946" t="s">
        <v>4370</v>
      </c>
      <c r="AZ4946" t="s">
        <v>777</v>
      </c>
      <c r="BA4946" t="s">
        <v>572</v>
      </c>
      <c r="BE4946" s="3">
        <v>41810</v>
      </c>
      <c r="BF4946" s="1">
        <v>328800</v>
      </c>
      <c r="BG4946" t="s">
        <v>30780</v>
      </c>
      <c r="BH4946" s="1">
        <v>96.48</v>
      </c>
      <c r="BI4946" s="1">
        <v>326850</v>
      </c>
      <c r="BJ4946" s="3">
        <v>42643</v>
      </c>
      <c r="BK4946" t="s">
        <v>123</v>
      </c>
      <c r="BL4946" t="str">
        <f>"2016.715873"</f>
        <v>2016.715873</v>
      </c>
      <c r="BM4946" t="s">
        <v>124</v>
      </c>
      <c r="BO4946" t="s">
        <v>30781</v>
      </c>
      <c r="BP4946" t="s">
        <v>30782</v>
      </c>
      <c r="BS4946">
        <v>30</v>
      </c>
      <c r="BW4946" t="str">
        <f>""</f>
        <v/>
      </c>
      <c r="CH4946" t="str">
        <f>""</f>
        <v/>
      </c>
      <c r="CS4946" t="str">
        <f>""</f>
        <v/>
      </c>
    </row>
    <row r="4947" spans="1:97" x14ac:dyDescent="0.25">
      <c r="A4947" t="s">
        <v>243</v>
      </c>
      <c r="B4947" t="s">
        <v>3187</v>
      </c>
      <c r="C4947" t="s">
        <v>1995</v>
      </c>
      <c r="D4947" t="s">
        <v>3187</v>
      </c>
      <c r="E4947" t="s">
        <v>30783</v>
      </c>
      <c r="F4947" t="s">
        <v>108</v>
      </c>
      <c r="H4947" t="s">
        <v>30784</v>
      </c>
      <c r="I4947" t="s">
        <v>203</v>
      </c>
      <c r="J4947" t="s">
        <v>111</v>
      </c>
      <c r="K4947" t="str">
        <f>"85234"</f>
        <v>85234</v>
      </c>
      <c r="L4947" t="s">
        <v>30785</v>
      </c>
      <c r="M4947" t="s">
        <v>30784</v>
      </c>
      <c r="N4947" t="s">
        <v>203</v>
      </c>
      <c r="O4947" t="s">
        <v>111</v>
      </c>
      <c r="P4947" t="str">
        <f>"85234"</f>
        <v>85234</v>
      </c>
      <c r="Q4947" t="s">
        <v>113</v>
      </c>
      <c r="R4947" t="str">
        <f>"304-06-972"</f>
        <v>304-06-972</v>
      </c>
      <c r="S4947" t="s">
        <v>30786</v>
      </c>
      <c r="U4947">
        <v>2957</v>
      </c>
      <c r="V4947">
        <v>0</v>
      </c>
      <c r="W4947">
        <v>4</v>
      </c>
      <c r="X4947">
        <v>1995</v>
      </c>
      <c r="Z4947">
        <v>2</v>
      </c>
      <c r="AA4947" t="s">
        <v>26</v>
      </c>
      <c r="AB4947">
        <v>0</v>
      </c>
      <c r="AC4947" t="s">
        <v>115</v>
      </c>
      <c r="AD4947">
        <v>3</v>
      </c>
      <c r="AE4947" t="s">
        <v>115</v>
      </c>
      <c r="AF4947">
        <v>0</v>
      </c>
      <c r="AG4947">
        <v>0</v>
      </c>
      <c r="AH4947" t="s">
        <v>116</v>
      </c>
      <c r="AI4947" s="1">
        <v>56338</v>
      </c>
      <c r="AJ4947" s="2">
        <v>0.12</v>
      </c>
      <c r="AK4947" s="1">
        <v>461790</v>
      </c>
      <c r="AL4947" t="s">
        <v>117</v>
      </c>
      <c r="AM4947" t="s">
        <v>393</v>
      </c>
      <c r="AN4947">
        <v>10594</v>
      </c>
      <c r="AO4947">
        <v>0.24</v>
      </c>
      <c r="AP4947">
        <v>1</v>
      </c>
      <c r="AR4947">
        <v>1</v>
      </c>
      <c r="AS4947" s="1">
        <v>33320</v>
      </c>
      <c r="AT4947" s="1">
        <v>6660</v>
      </c>
      <c r="AU4947" s="1">
        <v>26660</v>
      </c>
      <c r="AV4947">
        <v>80.010000000000005</v>
      </c>
      <c r="AX4947" s="1">
        <v>2242.2199999999998</v>
      </c>
      <c r="AY4947" t="s">
        <v>7213</v>
      </c>
      <c r="AZ4947" t="s">
        <v>571</v>
      </c>
      <c r="BA4947" t="s">
        <v>521</v>
      </c>
      <c r="BE4947" s="3">
        <v>42089</v>
      </c>
      <c r="BF4947" s="1">
        <v>392500</v>
      </c>
      <c r="BG4947" t="s">
        <v>30787</v>
      </c>
      <c r="BH4947" s="1">
        <v>132.74</v>
      </c>
      <c r="BI4947" s="1">
        <v>405452</v>
      </c>
      <c r="BJ4947" s="3">
        <v>42089</v>
      </c>
      <c r="BK4947" t="s">
        <v>123</v>
      </c>
      <c r="BL4947" t="str">
        <f>"2015.202818"</f>
        <v>2015.202818</v>
      </c>
      <c r="BM4947" t="s">
        <v>1325</v>
      </c>
      <c r="BO4947" t="s">
        <v>30788</v>
      </c>
      <c r="BS4947">
        <v>30</v>
      </c>
      <c r="BW4947" t="str">
        <f>""</f>
        <v/>
      </c>
      <c r="CH4947" t="str">
        <f>""</f>
        <v/>
      </c>
      <c r="CS4947" t="str">
        <f>""</f>
        <v/>
      </c>
    </row>
    <row r="4948" spans="1:97" x14ac:dyDescent="0.25">
      <c r="A4948" t="s">
        <v>1366</v>
      </c>
      <c r="B4948" t="s">
        <v>30789</v>
      </c>
      <c r="C4948" t="s">
        <v>767</v>
      </c>
      <c r="D4948" t="s">
        <v>30789</v>
      </c>
      <c r="E4948" t="s">
        <v>30790</v>
      </c>
      <c r="F4948" t="s">
        <v>108</v>
      </c>
      <c r="H4948" t="s">
        <v>30791</v>
      </c>
      <c r="I4948" t="s">
        <v>203</v>
      </c>
      <c r="J4948" t="s">
        <v>111</v>
      </c>
      <c r="K4948" t="str">
        <f>"85297"</f>
        <v>85297</v>
      </c>
      <c r="L4948" t="s">
        <v>26167</v>
      </c>
      <c r="M4948" t="s">
        <v>30791</v>
      </c>
      <c r="N4948" t="s">
        <v>203</v>
      </c>
      <c r="O4948" t="s">
        <v>111</v>
      </c>
      <c r="P4948" t="str">
        <f>"85297-4906"</f>
        <v>85297-4906</v>
      </c>
      <c r="Q4948" t="s">
        <v>113</v>
      </c>
      <c r="R4948" t="str">
        <f>"313-06-526"</f>
        <v>313-06-526</v>
      </c>
      <c r="S4948" t="s">
        <v>26168</v>
      </c>
      <c r="T4948" t="s">
        <v>26169</v>
      </c>
      <c r="U4948">
        <v>4068</v>
      </c>
      <c r="V4948">
        <v>0</v>
      </c>
      <c r="W4948">
        <v>4</v>
      </c>
      <c r="X4948">
        <v>2004</v>
      </c>
      <c r="Z4948">
        <v>2</v>
      </c>
      <c r="AA4948" t="s">
        <v>26</v>
      </c>
      <c r="AB4948">
        <v>0</v>
      </c>
      <c r="AC4948" t="s">
        <v>115</v>
      </c>
      <c r="AD4948">
        <v>2</v>
      </c>
      <c r="AE4948" t="s">
        <v>115</v>
      </c>
      <c r="AF4948">
        <v>0</v>
      </c>
      <c r="AG4948">
        <v>0</v>
      </c>
      <c r="AH4948" t="s">
        <v>116</v>
      </c>
      <c r="AI4948" s="1">
        <v>14299</v>
      </c>
      <c r="AJ4948" s="2">
        <v>0.03</v>
      </c>
      <c r="AK4948" s="1">
        <v>490166</v>
      </c>
      <c r="AL4948" t="s">
        <v>117</v>
      </c>
      <c r="AM4948" t="s">
        <v>191</v>
      </c>
      <c r="AN4948">
        <v>9498</v>
      </c>
      <c r="AO4948">
        <v>0.22</v>
      </c>
      <c r="AP4948">
        <v>1</v>
      </c>
      <c r="AR4948">
        <v>1</v>
      </c>
      <c r="AS4948" s="1">
        <v>36410</v>
      </c>
      <c r="AT4948" s="1">
        <v>7280</v>
      </c>
      <c r="AU4948" s="1">
        <v>29130</v>
      </c>
      <c r="AV4948">
        <v>80.010000000000005</v>
      </c>
      <c r="AX4948" s="1">
        <v>2985.58</v>
      </c>
      <c r="AY4948" t="s">
        <v>8338</v>
      </c>
      <c r="AZ4948" t="s">
        <v>8338</v>
      </c>
      <c r="BA4948" t="s">
        <v>290</v>
      </c>
      <c r="BB4948" s="3">
        <v>43298</v>
      </c>
      <c r="BC4948" s="1">
        <v>0</v>
      </c>
      <c r="BD4948" t="s">
        <v>247</v>
      </c>
      <c r="BE4948" s="3">
        <v>41817</v>
      </c>
      <c r="BF4948" s="1">
        <v>372500</v>
      </c>
      <c r="BG4948" t="s">
        <v>30792</v>
      </c>
      <c r="BH4948" s="1">
        <v>91.57</v>
      </c>
      <c r="BI4948" s="1">
        <v>475867</v>
      </c>
      <c r="BJ4948" s="3">
        <v>43605</v>
      </c>
      <c r="BK4948" t="s">
        <v>123</v>
      </c>
      <c r="BL4948" t="str">
        <f>"2019.368030"</f>
        <v>2019.368030</v>
      </c>
      <c r="BM4948" t="s">
        <v>4041</v>
      </c>
      <c r="BN4948" t="s">
        <v>4042</v>
      </c>
      <c r="BO4948" t="s">
        <v>30793</v>
      </c>
      <c r="BP4948" t="s">
        <v>30794</v>
      </c>
      <c r="BR4948" t="s">
        <v>139</v>
      </c>
      <c r="BW4948" t="str">
        <f>""</f>
        <v/>
      </c>
      <c r="CH4948" t="str">
        <f>""</f>
        <v/>
      </c>
      <c r="CS4948" t="str">
        <f>""</f>
        <v/>
      </c>
    </row>
    <row r="4949" spans="1:97" x14ac:dyDescent="0.25">
      <c r="B4949" t="s">
        <v>30795</v>
      </c>
      <c r="E4949" t="s">
        <v>30796</v>
      </c>
      <c r="F4949" t="s">
        <v>139</v>
      </c>
      <c r="H4949" t="s">
        <v>30797</v>
      </c>
      <c r="I4949" t="s">
        <v>390</v>
      </c>
      <c r="J4949" t="s">
        <v>111</v>
      </c>
      <c r="K4949" t="str">
        <f>"85018"</f>
        <v>85018</v>
      </c>
      <c r="L4949" t="s">
        <v>5209</v>
      </c>
      <c r="M4949" t="s">
        <v>30797</v>
      </c>
      <c r="N4949" t="s">
        <v>390</v>
      </c>
      <c r="O4949" t="s">
        <v>111</v>
      </c>
      <c r="P4949" t="str">
        <f>"85018-1523"</f>
        <v>85018-1523</v>
      </c>
      <c r="Q4949" t="s">
        <v>113</v>
      </c>
      <c r="R4949" t="str">
        <f>"170-14-052"</f>
        <v>170-14-052</v>
      </c>
      <c r="S4949" t="s">
        <v>30798</v>
      </c>
      <c r="T4949" t="s">
        <v>30798</v>
      </c>
      <c r="U4949">
        <v>3996</v>
      </c>
      <c r="V4949">
        <v>0</v>
      </c>
      <c r="W4949">
        <v>6</v>
      </c>
      <c r="X4949">
        <v>1978</v>
      </c>
      <c r="Z4949">
        <v>1</v>
      </c>
      <c r="AA4949" t="s">
        <v>26</v>
      </c>
      <c r="AB4949">
        <v>0</v>
      </c>
      <c r="AC4949" t="s">
        <v>115</v>
      </c>
      <c r="AD4949">
        <v>2</v>
      </c>
      <c r="AE4949" t="s">
        <v>115</v>
      </c>
      <c r="AF4949">
        <v>0</v>
      </c>
      <c r="AG4949">
        <v>0</v>
      </c>
      <c r="AH4949" t="s">
        <v>116</v>
      </c>
      <c r="AI4949" s="1">
        <v>228238</v>
      </c>
      <c r="AJ4949" s="2">
        <v>0.23</v>
      </c>
      <c r="AK4949" s="1">
        <v>984988</v>
      </c>
      <c r="AL4949" t="s">
        <v>117</v>
      </c>
      <c r="AM4949" t="s">
        <v>1302</v>
      </c>
      <c r="AN4949">
        <v>11169</v>
      </c>
      <c r="AO4949">
        <v>0.26</v>
      </c>
      <c r="AP4949">
        <v>1</v>
      </c>
      <c r="AR4949">
        <v>1</v>
      </c>
      <c r="AS4949" s="1">
        <v>81470</v>
      </c>
      <c r="AT4949" s="1">
        <v>16290</v>
      </c>
      <c r="AU4949" s="1">
        <v>65180</v>
      </c>
      <c r="AV4949">
        <v>80</v>
      </c>
      <c r="AX4949" s="1">
        <v>11796.66</v>
      </c>
      <c r="AY4949" t="s">
        <v>14363</v>
      </c>
      <c r="AZ4949" t="s">
        <v>14363</v>
      </c>
      <c r="BA4949" t="s">
        <v>6255</v>
      </c>
      <c r="BB4949" s="3">
        <v>43122</v>
      </c>
      <c r="BC4949" s="1">
        <v>0</v>
      </c>
      <c r="BD4949" t="s">
        <v>247</v>
      </c>
      <c r="BE4949" s="3">
        <v>41787</v>
      </c>
      <c r="BF4949" s="1">
        <v>775000</v>
      </c>
      <c r="BG4949" t="s">
        <v>30799</v>
      </c>
      <c r="BH4949" s="1">
        <v>193.94</v>
      </c>
      <c r="BI4949" s="1">
        <v>756750</v>
      </c>
      <c r="BJ4949" s="3">
        <v>42411</v>
      </c>
      <c r="BK4949" t="s">
        <v>123</v>
      </c>
      <c r="BL4949" t="str">
        <f>"2016.89175"</f>
        <v>2016.89175</v>
      </c>
      <c r="BM4949" t="s">
        <v>309</v>
      </c>
      <c r="BN4949" t="s">
        <v>24042</v>
      </c>
      <c r="BO4949" t="s">
        <v>30800</v>
      </c>
      <c r="BS4949">
        <v>30</v>
      </c>
      <c r="BW4949" t="str">
        <f>""</f>
        <v/>
      </c>
      <c r="CH4949" t="str">
        <f>""</f>
        <v/>
      </c>
      <c r="CS4949" t="str">
        <f>""</f>
        <v/>
      </c>
    </row>
    <row r="4950" spans="1:97" x14ac:dyDescent="0.25">
      <c r="A4950" t="s">
        <v>30801</v>
      </c>
      <c r="B4950" t="s">
        <v>21379</v>
      </c>
      <c r="C4950" t="s">
        <v>14417</v>
      </c>
      <c r="D4950" t="s">
        <v>21379</v>
      </c>
      <c r="E4950" t="s">
        <v>30802</v>
      </c>
      <c r="F4950" t="s">
        <v>108</v>
      </c>
      <c r="H4950" t="s">
        <v>30803</v>
      </c>
      <c r="I4950" t="s">
        <v>632</v>
      </c>
      <c r="J4950" t="s">
        <v>111</v>
      </c>
      <c r="K4950" t="str">
        <f>"85379"</f>
        <v>85379</v>
      </c>
      <c r="L4950" t="s">
        <v>269</v>
      </c>
      <c r="M4950" t="s">
        <v>30803</v>
      </c>
      <c r="N4950" t="s">
        <v>632</v>
      </c>
      <c r="O4950" t="s">
        <v>111</v>
      </c>
      <c r="P4950" t="str">
        <f>"85379-4617"</f>
        <v>85379-4617</v>
      </c>
      <c r="Q4950" t="s">
        <v>113</v>
      </c>
      <c r="R4950" t="str">
        <f>"501-40-567"</f>
        <v>501-40-567</v>
      </c>
      <c r="S4950" t="s">
        <v>21126</v>
      </c>
      <c r="U4950">
        <v>2257</v>
      </c>
      <c r="V4950">
        <v>0</v>
      </c>
      <c r="W4950">
        <v>3</v>
      </c>
      <c r="X4950">
        <v>2005</v>
      </c>
      <c r="Z4950">
        <v>1</v>
      </c>
      <c r="AB4950">
        <v>0</v>
      </c>
      <c r="AC4950" t="s">
        <v>115</v>
      </c>
      <c r="AD4950">
        <v>3</v>
      </c>
      <c r="AE4950" t="s">
        <v>115</v>
      </c>
      <c r="AF4950">
        <v>0</v>
      </c>
      <c r="AG4950">
        <v>0</v>
      </c>
      <c r="AH4950" t="s">
        <v>116</v>
      </c>
      <c r="AI4950" s="1">
        <v>73874</v>
      </c>
      <c r="AJ4950" s="2">
        <v>0.26</v>
      </c>
      <c r="AK4950" s="1">
        <v>288389</v>
      </c>
      <c r="AL4950" t="s">
        <v>117</v>
      </c>
      <c r="AM4950" t="s">
        <v>118</v>
      </c>
      <c r="AN4950">
        <v>6929</v>
      </c>
      <c r="AO4950">
        <v>0.16</v>
      </c>
      <c r="AR4950">
        <v>1</v>
      </c>
      <c r="AS4950" s="1">
        <v>20400</v>
      </c>
      <c r="AT4950" s="1">
        <v>4080</v>
      </c>
      <c r="AU4950" s="1">
        <v>16320</v>
      </c>
      <c r="AV4950">
        <v>80</v>
      </c>
      <c r="AX4950" s="1">
        <v>1614.18</v>
      </c>
      <c r="AY4950" t="s">
        <v>5060</v>
      </c>
      <c r="AZ4950" t="s">
        <v>5060</v>
      </c>
      <c r="BA4950" t="s">
        <v>5061</v>
      </c>
      <c r="BE4950" s="3">
        <v>42202</v>
      </c>
      <c r="BF4950" s="1">
        <v>210000</v>
      </c>
      <c r="BG4950" t="s">
        <v>30804</v>
      </c>
      <c r="BH4950" s="1">
        <v>93.04</v>
      </c>
      <c r="BI4950" s="1">
        <v>214515</v>
      </c>
      <c r="BJ4950" s="3">
        <v>42202</v>
      </c>
      <c r="BK4950" t="s">
        <v>123</v>
      </c>
      <c r="BL4950" t="str">
        <f>"2015.516242"</f>
        <v>2015.516242</v>
      </c>
      <c r="BM4950" t="s">
        <v>1287</v>
      </c>
      <c r="BO4950" t="s">
        <v>30805</v>
      </c>
      <c r="BS4950">
        <v>30</v>
      </c>
      <c r="BW4950" t="str">
        <f>""</f>
        <v/>
      </c>
      <c r="CH4950" t="str">
        <f>""</f>
        <v/>
      </c>
      <c r="CS4950" t="str">
        <f>""</f>
        <v/>
      </c>
    </row>
    <row r="4951" spans="1:97" x14ac:dyDescent="0.25">
      <c r="A4951" t="s">
        <v>2184</v>
      </c>
      <c r="B4951" t="s">
        <v>24135</v>
      </c>
      <c r="C4951" t="s">
        <v>610</v>
      </c>
      <c r="D4951" t="s">
        <v>24135</v>
      </c>
      <c r="E4951" t="s">
        <v>30806</v>
      </c>
      <c r="F4951" t="s">
        <v>108</v>
      </c>
      <c r="H4951" t="s">
        <v>30807</v>
      </c>
      <c r="I4951" t="s">
        <v>390</v>
      </c>
      <c r="J4951" t="s">
        <v>111</v>
      </c>
      <c r="K4951" t="str">
        <f>"85086"</f>
        <v>85086</v>
      </c>
      <c r="L4951" t="s">
        <v>14027</v>
      </c>
      <c r="M4951" t="s">
        <v>30807</v>
      </c>
      <c r="N4951" t="s">
        <v>390</v>
      </c>
      <c r="O4951" t="s">
        <v>111</v>
      </c>
      <c r="P4951" t="str">
        <f>"85086-6347"</f>
        <v>85086-6347</v>
      </c>
      <c r="Q4951" t="s">
        <v>113</v>
      </c>
      <c r="R4951" t="str">
        <f>"211-73-080-C"</f>
        <v>211-73-080-C</v>
      </c>
      <c r="U4951">
        <v>2230</v>
      </c>
      <c r="V4951">
        <v>0</v>
      </c>
      <c r="W4951">
        <v>4</v>
      </c>
      <c r="X4951">
        <v>2001</v>
      </c>
      <c r="Z4951">
        <v>1</v>
      </c>
      <c r="AB4951">
        <v>0</v>
      </c>
      <c r="AC4951" t="s">
        <v>115</v>
      </c>
      <c r="AD4951">
        <v>3</v>
      </c>
      <c r="AE4951" t="s">
        <v>115</v>
      </c>
      <c r="AF4951">
        <v>0</v>
      </c>
      <c r="AG4951">
        <v>0</v>
      </c>
      <c r="AH4951" t="s">
        <v>116</v>
      </c>
      <c r="AI4951" s="1">
        <v>44134</v>
      </c>
      <c r="AJ4951" s="2">
        <v>0.1</v>
      </c>
      <c r="AK4951" s="1">
        <v>424534</v>
      </c>
      <c r="AL4951" t="s">
        <v>117</v>
      </c>
      <c r="AM4951" t="s">
        <v>376</v>
      </c>
      <c r="AN4951">
        <v>67661</v>
      </c>
      <c r="AO4951">
        <v>1.55</v>
      </c>
      <c r="AP4951">
        <v>1</v>
      </c>
      <c r="AR4951">
        <v>1</v>
      </c>
      <c r="AS4951" s="1">
        <v>42620</v>
      </c>
      <c r="AT4951" s="1">
        <v>8520</v>
      </c>
      <c r="AU4951" s="1">
        <v>34100</v>
      </c>
      <c r="AV4951">
        <v>80.010000000000005</v>
      </c>
      <c r="AX4951" s="1">
        <v>3865.48</v>
      </c>
      <c r="AY4951" t="s">
        <v>1587</v>
      </c>
      <c r="AZ4951" t="s">
        <v>1587</v>
      </c>
      <c r="BA4951" t="s">
        <v>378</v>
      </c>
      <c r="BB4951" s="3">
        <v>43451</v>
      </c>
      <c r="BC4951" s="1">
        <v>0</v>
      </c>
      <c r="BD4951" t="s">
        <v>247</v>
      </c>
      <c r="BE4951" s="3">
        <v>41758</v>
      </c>
      <c r="BF4951" s="1">
        <v>342000</v>
      </c>
      <c r="BG4951" t="s">
        <v>26921</v>
      </c>
      <c r="BH4951" s="1">
        <v>153.36000000000001</v>
      </c>
      <c r="BI4951" s="1">
        <v>350400</v>
      </c>
      <c r="BJ4951" s="3">
        <v>42422</v>
      </c>
      <c r="BK4951" t="s">
        <v>123</v>
      </c>
      <c r="BL4951" t="str">
        <f>"2016.110341"</f>
        <v>2016.110341</v>
      </c>
      <c r="BM4951" t="s">
        <v>255</v>
      </c>
      <c r="BN4951" t="s">
        <v>2398</v>
      </c>
      <c r="BO4951" t="s">
        <v>30808</v>
      </c>
      <c r="BS4951">
        <v>30</v>
      </c>
      <c r="BT4951" s="1">
        <v>30000</v>
      </c>
      <c r="BU4951" s="3">
        <v>43087</v>
      </c>
      <c r="BW4951" t="str">
        <f>"2017.932337"</f>
        <v>2017.932337</v>
      </c>
      <c r="BX4951" t="s">
        <v>1632</v>
      </c>
      <c r="BY4951">
        <v>73162</v>
      </c>
      <c r="BZ4951" t="s">
        <v>30809</v>
      </c>
      <c r="CA4951" t="s">
        <v>30810</v>
      </c>
      <c r="CC4951" t="s">
        <v>1633</v>
      </c>
      <c r="CD4951">
        <v>7</v>
      </c>
      <c r="CH4951" t="str">
        <f>""</f>
        <v/>
      </c>
      <c r="CS4951" t="str">
        <f>""</f>
        <v/>
      </c>
    </row>
    <row r="4952" spans="1:97" x14ac:dyDescent="0.25">
      <c r="A4952" t="s">
        <v>894</v>
      </c>
      <c r="B4952" t="s">
        <v>10667</v>
      </c>
      <c r="C4952" t="s">
        <v>1925</v>
      </c>
      <c r="D4952" t="s">
        <v>10667</v>
      </c>
      <c r="E4952" t="s">
        <v>30811</v>
      </c>
      <c r="F4952" t="s">
        <v>108</v>
      </c>
      <c r="H4952" t="s">
        <v>30812</v>
      </c>
      <c r="I4952" t="s">
        <v>632</v>
      </c>
      <c r="J4952" t="s">
        <v>111</v>
      </c>
      <c r="K4952" t="str">
        <f>"85388"</f>
        <v>85388</v>
      </c>
      <c r="L4952" t="s">
        <v>4159</v>
      </c>
      <c r="M4952" t="s">
        <v>30812</v>
      </c>
      <c r="N4952" t="s">
        <v>632</v>
      </c>
      <c r="O4952" t="s">
        <v>111</v>
      </c>
      <c r="P4952" t="str">
        <f>"85388-1780"</f>
        <v>85388-1780</v>
      </c>
      <c r="Q4952" t="s">
        <v>113</v>
      </c>
      <c r="R4952" t="str">
        <f>"502-89-047"</f>
        <v>502-89-047</v>
      </c>
      <c r="S4952" t="s">
        <v>30813</v>
      </c>
      <c r="T4952" t="s">
        <v>3061</v>
      </c>
      <c r="U4952">
        <v>2379</v>
      </c>
      <c r="V4952">
        <v>0</v>
      </c>
      <c r="W4952">
        <v>3</v>
      </c>
      <c r="X4952">
        <v>2006</v>
      </c>
      <c r="Z4952">
        <v>1</v>
      </c>
      <c r="AB4952">
        <v>0</v>
      </c>
      <c r="AC4952" t="s">
        <v>115</v>
      </c>
      <c r="AD4952">
        <v>2</v>
      </c>
      <c r="AE4952" t="s">
        <v>115</v>
      </c>
      <c r="AF4952">
        <v>0</v>
      </c>
      <c r="AG4952">
        <v>0</v>
      </c>
      <c r="AH4952" t="s">
        <v>116</v>
      </c>
      <c r="AI4952" s="1">
        <v>80454</v>
      </c>
      <c r="AJ4952" s="2">
        <v>0.28999999999999998</v>
      </c>
      <c r="AK4952" s="1">
        <v>280454</v>
      </c>
      <c r="AL4952" t="s">
        <v>117</v>
      </c>
      <c r="AM4952" t="s">
        <v>118</v>
      </c>
      <c r="AN4952">
        <v>6900</v>
      </c>
      <c r="AO4952">
        <v>0.16</v>
      </c>
      <c r="AR4952">
        <v>1</v>
      </c>
      <c r="AS4952" s="1">
        <v>20230</v>
      </c>
      <c r="AT4952" s="1">
        <v>4040</v>
      </c>
      <c r="AU4952" s="1">
        <v>16190</v>
      </c>
      <c r="AV4952">
        <v>80.03</v>
      </c>
      <c r="AX4952" s="1">
        <v>1632.32</v>
      </c>
      <c r="AY4952" t="s">
        <v>5168</v>
      </c>
      <c r="AZ4952" t="s">
        <v>5168</v>
      </c>
      <c r="BA4952" t="s">
        <v>5109</v>
      </c>
      <c r="BE4952" s="3">
        <v>42116</v>
      </c>
      <c r="BF4952" s="1">
        <v>200000</v>
      </c>
      <c r="BG4952" t="s">
        <v>30814</v>
      </c>
      <c r="BH4952" s="1">
        <v>84.07</v>
      </c>
      <c r="BI4952" s="1">
        <v>200000</v>
      </c>
      <c r="BJ4952" s="3">
        <v>42116</v>
      </c>
      <c r="BK4952" t="s">
        <v>123</v>
      </c>
      <c r="BL4952" t="str">
        <f>"2015.275625"</f>
        <v>2015.275625</v>
      </c>
      <c r="BM4952" t="s">
        <v>9499</v>
      </c>
      <c r="BO4952" t="s">
        <v>30815</v>
      </c>
      <c r="BS4952">
        <v>30</v>
      </c>
      <c r="BW4952" t="str">
        <f>""</f>
        <v/>
      </c>
      <c r="CH4952" t="str">
        <f>""</f>
        <v/>
      </c>
      <c r="CS4952" t="str">
        <f>""</f>
        <v/>
      </c>
    </row>
    <row r="4953" spans="1:97" x14ac:dyDescent="0.25">
      <c r="A4953" t="s">
        <v>30816</v>
      </c>
      <c r="B4953" t="s">
        <v>1704</v>
      </c>
      <c r="C4953" t="s">
        <v>30817</v>
      </c>
      <c r="D4953" t="s">
        <v>1704</v>
      </c>
      <c r="E4953" t="s">
        <v>30818</v>
      </c>
      <c r="F4953" t="s">
        <v>108</v>
      </c>
      <c r="H4953" t="s">
        <v>30819</v>
      </c>
      <c r="I4953" t="s">
        <v>6844</v>
      </c>
      <c r="J4953" t="s">
        <v>111</v>
      </c>
      <c r="K4953" t="str">
        <f>"85361"</f>
        <v>85361</v>
      </c>
      <c r="L4953" t="s">
        <v>1789</v>
      </c>
      <c r="M4953" t="s">
        <v>30819</v>
      </c>
      <c r="N4953" t="s">
        <v>6844</v>
      </c>
      <c r="O4953" t="s">
        <v>111</v>
      </c>
      <c r="P4953" t="str">
        <f>"85361-8779"</f>
        <v>85361-8779</v>
      </c>
      <c r="Q4953" t="s">
        <v>113</v>
      </c>
      <c r="R4953" t="str">
        <f>"503-32-376"</f>
        <v>503-32-376</v>
      </c>
      <c r="S4953" t="s">
        <v>6845</v>
      </c>
      <c r="T4953" t="s">
        <v>6846</v>
      </c>
      <c r="U4953">
        <v>3056</v>
      </c>
      <c r="V4953">
        <v>0</v>
      </c>
      <c r="W4953">
        <v>3</v>
      </c>
      <c r="X4953">
        <v>2005</v>
      </c>
      <c r="Z4953">
        <v>1</v>
      </c>
      <c r="AA4953" t="s">
        <v>26</v>
      </c>
      <c r="AB4953">
        <v>0</v>
      </c>
      <c r="AC4953" t="s">
        <v>115</v>
      </c>
      <c r="AD4953">
        <v>7</v>
      </c>
      <c r="AE4953" t="s">
        <v>115</v>
      </c>
      <c r="AF4953">
        <v>0</v>
      </c>
      <c r="AG4953">
        <v>0</v>
      </c>
      <c r="AH4953" t="s">
        <v>116</v>
      </c>
      <c r="AI4953" s="1">
        <v>115963</v>
      </c>
      <c r="AJ4953" s="2">
        <v>0.24</v>
      </c>
      <c r="AK4953" s="1">
        <v>480963</v>
      </c>
      <c r="AL4953" t="s">
        <v>117</v>
      </c>
      <c r="AM4953" t="s">
        <v>376</v>
      </c>
      <c r="AN4953">
        <v>49180</v>
      </c>
      <c r="AO4953">
        <v>1.1299999999999999</v>
      </c>
      <c r="AR4953">
        <v>1</v>
      </c>
      <c r="AS4953" s="1">
        <v>36480</v>
      </c>
      <c r="AT4953" s="1">
        <v>7290</v>
      </c>
      <c r="AU4953" s="1">
        <v>29190</v>
      </c>
      <c r="AV4953">
        <v>80.02</v>
      </c>
      <c r="AX4953" s="1">
        <v>2621.94</v>
      </c>
      <c r="AY4953" t="s">
        <v>6847</v>
      </c>
      <c r="AZ4953" t="s">
        <v>6847</v>
      </c>
      <c r="BE4953" s="3">
        <v>42517</v>
      </c>
      <c r="BF4953" s="1">
        <v>365000</v>
      </c>
      <c r="BG4953" t="s">
        <v>30820</v>
      </c>
      <c r="BH4953" s="1">
        <v>119.44</v>
      </c>
      <c r="BI4953" s="1">
        <v>365000</v>
      </c>
      <c r="BJ4953" s="3">
        <v>42517</v>
      </c>
      <c r="BK4953" t="s">
        <v>123</v>
      </c>
      <c r="BL4953" t="str">
        <f>"2016.370069"</f>
        <v>2016.370069</v>
      </c>
      <c r="BM4953" t="s">
        <v>903</v>
      </c>
      <c r="BO4953" t="s">
        <v>30821</v>
      </c>
      <c r="BS4953">
        <v>30</v>
      </c>
      <c r="BW4953" t="str">
        <f>""</f>
        <v/>
      </c>
      <c r="CH4953" t="str">
        <f>""</f>
        <v/>
      </c>
      <c r="CS4953" t="str">
        <f>""</f>
        <v/>
      </c>
    </row>
    <row r="4954" spans="1:97" x14ac:dyDescent="0.25">
      <c r="A4954" t="s">
        <v>2123</v>
      </c>
      <c r="B4954" t="s">
        <v>2537</v>
      </c>
      <c r="C4954" t="s">
        <v>1821</v>
      </c>
      <c r="D4954" t="s">
        <v>24465</v>
      </c>
      <c r="E4954" t="s">
        <v>30822</v>
      </c>
      <c r="F4954" t="s">
        <v>108</v>
      </c>
      <c r="H4954" t="s">
        <v>30823</v>
      </c>
      <c r="I4954" t="s">
        <v>390</v>
      </c>
      <c r="J4954" t="s">
        <v>111</v>
      </c>
      <c r="K4954" t="str">
        <f>"85027"</f>
        <v>85027</v>
      </c>
      <c r="L4954" t="s">
        <v>5900</v>
      </c>
      <c r="M4954" t="s">
        <v>30823</v>
      </c>
      <c r="N4954" t="s">
        <v>390</v>
      </c>
      <c r="O4954" t="s">
        <v>111</v>
      </c>
      <c r="P4954" t="str">
        <f>"85027-4448"</f>
        <v>85027-4448</v>
      </c>
      <c r="Q4954" t="s">
        <v>113</v>
      </c>
      <c r="R4954" t="str">
        <f>"209-24-719"</f>
        <v>209-24-719</v>
      </c>
      <c r="S4954" t="s">
        <v>12569</v>
      </c>
      <c r="T4954" t="s">
        <v>12570</v>
      </c>
      <c r="U4954">
        <v>1962</v>
      </c>
      <c r="V4954">
        <v>0</v>
      </c>
      <c r="W4954">
        <v>3</v>
      </c>
      <c r="X4954">
        <v>1993</v>
      </c>
      <c r="Z4954">
        <v>1</v>
      </c>
      <c r="AB4954">
        <v>0</v>
      </c>
      <c r="AC4954" t="s">
        <v>115</v>
      </c>
      <c r="AD4954">
        <v>2</v>
      </c>
      <c r="AE4954" t="s">
        <v>115</v>
      </c>
      <c r="AF4954">
        <v>0</v>
      </c>
      <c r="AG4954">
        <v>0</v>
      </c>
      <c r="AH4954" t="s">
        <v>116</v>
      </c>
      <c r="AI4954" s="1">
        <v>61792</v>
      </c>
      <c r="AJ4954" s="2">
        <v>0.2</v>
      </c>
      <c r="AK4954" s="1">
        <v>312059</v>
      </c>
      <c r="AL4954" t="s">
        <v>117</v>
      </c>
      <c r="AM4954" t="s">
        <v>191</v>
      </c>
      <c r="AN4954">
        <v>6635</v>
      </c>
      <c r="AO4954">
        <v>0.15</v>
      </c>
      <c r="AP4954">
        <v>1</v>
      </c>
      <c r="AR4954">
        <v>1</v>
      </c>
      <c r="AS4954" s="1">
        <v>21650</v>
      </c>
      <c r="AT4954" s="1">
        <v>4330</v>
      </c>
      <c r="AU4954" s="1">
        <v>17320</v>
      </c>
      <c r="AV4954">
        <v>80</v>
      </c>
      <c r="AX4954" s="1">
        <v>1826.68</v>
      </c>
      <c r="AY4954" t="s">
        <v>12571</v>
      </c>
      <c r="AZ4954" t="s">
        <v>2550</v>
      </c>
      <c r="BA4954" t="s">
        <v>2551</v>
      </c>
      <c r="BE4954" s="3">
        <v>42241</v>
      </c>
      <c r="BF4954" s="1">
        <v>245000</v>
      </c>
      <c r="BG4954" t="s">
        <v>30824</v>
      </c>
      <c r="BH4954" s="1">
        <v>124.87</v>
      </c>
      <c r="BI4954" s="1">
        <v>250267</v>
      </c>
      <c r="BJ4954" s="3">
        <v>42241</v>
      </c>
      <c r="BK4954" t="s">
        <v>123</v>
      </c>
      <c r="BL4954" t="str">
        <f>"2015.615483"</f>
        <v>2015.615483</v>
      </c>
      <c r="BM4954" t="s">
        <v>8167</v>
      </c>
      <c r="BO4954" t="s">
        <v>30825</v>
      </c>
      <c r="BP4954" t="s">
        <v>30826</v>
      </c>
      <c r="BS4954">
        <v>30</v>
      </c>
      <c r="BW4954" t="str">
        <f>""</f>
        <v/>
      </c>
      <c r="CH4954" t="str">
        <f>""</f>
        <v/>
      </c>
      <c r="CS4954" t="str">
        <f>""</f>
        <v/>
      </c>
    </row>
    <row r="4955" spans="1:97" x14ac:dyDescent="0.25">
      <c r="A4955" t="s">
        <v>996</v>
      </c>
      <c r="B4955" t="s">
        <v>16589</v>
      </c>
      <c r="C4955" t="s">
        <v>2762</v>
      </c>
      <c r="D4955" t="s">
        <v>16589</v>
      </c>
      <c r="E4955" t="s">
        <v>30827</v>
      </c>
      <c r="F4955" t="s">
        <v>108</v>
      </c>
      <c r="H4955" t="s">
        <v>30828</v>
      </c>
      <c r="I4955" t="s">
        <v>499</v>
      </c>
      <c r="J4955" t="s">
        <v>111</v>
      </c>
      <c r="K4955" t="str">
        <f>"85338"</f>
        <v>85338</v>
      </c>
      <c r="L4955" t="s">
        <v>2197</v>
      </c>
      <c r="M4955" t="s">
        <v>30828</v>
      </c>
      <c r="N4955" t="s">
        <v>499</v>
      </c>
      <c r="O4955" t="s">
        <v>111</v>
      </c>
      <c r="P4955" t="str">
        <f>"85338-3587"</f>
        <v>85338-3587</v>
      </c>
      <c r="Q4955" t="s">
        <v>113</v>
      </c>
      <c r="R4955" t="str">
        <f>"500-07-376"</f>
        <v>500-07-376</v>
      </c>
      <c r="S4955" t="s">
        <v>23114</v>
      </c>
      <c r="U4955">
        <v>2212</v>
      </c>
      <c r="V4955">
        <v>0</v>
      </c>
      <c r="W4955">
        <v>3</v>
      </c>
      <c r="X4955">
        <v>2006</v>
      </c>
      <c r="Z4955">
        <v>2</v>
      </c>
      <c r="AB4955">
        <v>0</v>
      </c>
      <c r="AC4955" t="s">
        <v>115</v>
      </c>
      <c r="AD4955">
        <v>2</v>
      </c>
      <c r="AE4955" t="s">
        <v>115</v>
      </c>
      <c r="AF4955">
        <v>0</v>
      </c>
      <c r="AG4955">
        <v>0</v>
      </c>
      <c r="AH4955" t="s">
        <v>116</v>
      </c>
      <c r="AI4955" s="1">
        <v>47942</v>
      </c>
      <c r="AJ4955" s="2">
        <v>0.18</v>
      </c>
      <c r="AK4955" s="1">
        <v>259903</v>
      </c>
      <c r="AL4955" t="s">
        <v>117</v>
      </c>
      <c r="AM4955" t="s">
        <v>30829</v>
      </c>
      <c r="AN4955">
        <v>6488</v>
      </c>
      <c r="AO4955">
        <v>0.15</v>
      </c>
      <c r="AR4955">
        <v>1</v>
      </c>
      <c r="AS4955" s="1">
        <v>16920</v>
      </c>
      <c r="AT4955" s="1">
        <v>3380</v>
      </c>
      <c r="AU4955" s="1">
        <v>13540</v>
      </c>
      <c r="AV4955">
        <v>80.02</v>
      </c>
      <c r="AX4955" s="1">
        <v>1583.3</v>
      </c>
      <c r="AY4955" t="s">
        <v>11177</v>
      </c>
      <c r="AZ4955" t="s">
        <v>11177</v>
      </c>
      <c r="BA4955" t="s">
        <v>7186</v>
      </c>
      <c r="BB4955" s="3">
        <v>42472</v>
      </c>
      <c r="BD4955" t="s">
        <v>240</v>
      </c>
      <c r="BE4955" s="3">
        <v>42472</v>
      </c>
      <c r="BF4955" s="1">
        <v>212000</v>
      </c>
      <c r="BG4955" t="s">
        <v>30830</v>
      </c>
      <c r="BH4955" s="1">
        <v>95.84</v>
      </c>
      <c r="BI4955" s="1">
        <v>211961</v>
      </c>
      <c r="BJ4955" s="3">
        <v>42472</v>
      </c>
      <c r="BK4955" t="s">
        <v>123</v>
      </c>
      <c r="BL4955" t="str">
        <f>"2016.240198"</f>
        <v>2016.240198</v>
      </c>
      <c r="BM4955" t="s">
        <v>1325</v>
      </c>
      <c r="BO4955" t="s">
        <v>30831</v>
      </c>
      <c r="BS4955">
        <v>30</v>
      </c>
      <c r="BW4955" t="str">
        <f>""</f>
        <v/>
      </c>
      <c r="CH4955" t="str">
        <f>""</f>
        <v/>
      </c>
      <c r="CS4955" t="str">
        <f>""</f>
        <v/>
      </c>
    </row>
    <row r="4956" spans="1:97" x14ac:dyDescent="0.25">
      <c r="A4956" t="s">
        <v>30832</v>
      </c>
      <c r="B4956" t="s">
        <v>3258</v>
      </c>
      <c r="E4956" t="s">
        <v>30833</v>
      </c>
      <c r="F4956" t="s">
        <v>108</v>
      </c>
      <c r="H4956" t="s">
        <v>30834</v>
      </c>
      <c r="I4956" t="s">
        <v>5387</v>
      </c>
      <c r="J4956" t="s">
        <v>111</v>
      </c>
      <c r="K4956" t="str">
        <f>"85283"</f>
        <v>85283</v>
      </c>
      <c r="L4956" t="s">
        <v>5799</v>
      </c>
      <c r="M4956" t="s">
        <v>30834</v>
      </c>
      <c r="N4956" t="s">
        <v>5387</v>
      </c>
      <c r="O4956" t="s">
        <v>111</v>
      </c>
      <c r="P4956" t="str">
        <f>"85283-2782"</f>
        <v>85283-2782</v>
      </c>
      <c r="Q4956" t="s">
        <v>113</v>
      </c>
      <c r="R4956" t="str">
        <f>"301-05-436"</f>
        <v>301-05-436</v>
      </c>
      <c r="S4956" t="s">
        <v>30835</v>
      </c>
      <c r="T4956" t="s">
        <v>30835</v>
      </c>
      <c r="U4956">
        <v>1277</v>
      </c>
      <c r="V4956">
        <v>0</v>
      </c>
      <c r="W4956">
        <v>3</v>
      </c>
      <c r="X4956">
        <v>1996</v>
      </c>
      <c r="Z4956">
        <v>1</v>
      </c>
      <c r="AA4956" t="s">
        <v>26</v>
      </c>
      <c r="AB4956">
        <v>0</v>
      </c>
      <c r="AC4956" t="s">
        <v>115</v>
      </c>
      <c r="AD4956">
        <v>2</v>
      </c>
      <c r="AE4956" t="s">
        <v>115</v>
      </c>
      <c r="AF4956">
        <v>0</v>
      </c>
      <c r="AG4956">
        <v>0</v>
      </c>
      <c r="AH4956" t="s">
        <v>116</v>
      </c>
      <c r="AI4956" s="1">
        <v>48590</v>
      </c>
      <c r="AJ4956" s="2">
        <v>0.17</v>
      </c>
      <c r="AK4956" s="1">
        <v>283590</v>
      </c>
      <c r="AL4956" t="s">
        <v>117</v>
      </c>
      <c r="AM4956" t="s">
        <v>288</v>
      </c>
      <c r="AN4956">
        <v>5990</v>
      </c>
      <c r="AO4956">
        <v>0.14000000000000001</v>
      </c>
      <c r="AP4956">
        <v>1</v>
      </c>
      <c r="AR4956">
        <v>1</v>
      </c>
      <c r="AS4956" s="1">
        <v>19570</v>
      </c>
      <c r="AT4956" s="1">
        <v>3910</v>
      </c>
      <c r="AU4956" s="1">
        <v>15660</v>
      </c>
      <c r="AV4956">
        <v>80.02</v>
      </c>
      <c r="AX4956" s="1">
        <v>1358.66</v>
      </c>
      <c r="AY4956" t="s">
        <v>12354</v>
      </c>
      <c r="AZ4956" t="s">
        <v>6726</v>
      </c>
      <c r="BA4956" t="s">
        <v>5392</v>
      </c>
      <c r="BE4956" s="3">
        <v>42417</v>
      </c>
      <c r="BF4956" s="1">
        <v>235000</v>
      </c>
      <c r="BG4956" t="s">
        <v>5252</v>
      </c>
      <c r="BH4956" s="1">
        <v>184.03</v>
      </c>
      <c r="BI4956" s="1">
        <v>235000</v>
      </c>
      <c r="BJ4956" s="3">
        <v>42417</v>
      </c>
      <c r="BK4956" t="s">
        <v>123</v>
      </c>
      <c r="BL4956" t="str">
        <f>"2016.99947"</f>
        <v>2016.99947</v>
      </c>
      <c r="BM4956" t="s">
        <v>1791</v>
      </c>
      <c r="BO4956" t="s">
        <v>30836</v>
      </c>
      <c r="BS4956">
        <v>30</v>
      </c>
      <c r="BW4956" t="str">
        <f>""</f>
        <v/>
      </c>
      <c r="CH4956" t="str">
        <f>""</f>
        <v/>
      </c>
      <c r="CS4956" t="str">
        <f>""</f>
        <v/>
      </c>
    </row>
    <row r="4957" spans="1:97" x14ac:dyDescent="0.25">
      <c r="A4957" t="s">
        <v>13735</v>
      </c>
      <c r="B4957" t="s">
        <v>30837</v>
      </c>
      <c r="C4957" t="s">
        <v>30838</v>
      </c>
      <c r="D4957" t="s">
        <v>30837</v>
      </c>
      <c r="E4957" t="s">
        <v>30839</v>
      </c>
      <c r="F4957" t="s">
        <v>108</v>
      </c>
      <c r="H4957" t="s">
        <v>30840</v>
      </c>
      <c r="I4957" t="s">
        <v>632</v>
      </c>
      <c r="J4957" t="s">
        <v>111</v>
      </c>
      <c r="K4957" t="str">
        <f>"85379"</f>
        <v>85379</v>
      </c>
      <c r="L4957" t="s">
        <v>5058</v>
      </c>
      <c r="M4957" t="s">
        <v>30840</v>
      </c>
      <c r="N4957" t="s">
        <v>632</v>
      </c>
      <c r="O4957" t="s">
        <v>111</v>
      </c>
      <c r="P4957" t="str">
        <f>"85379-1192"</f>
        <v>85379-1192</v>
      </c>
      <c r="Q4957" t="s">
        <v>113</v>
      </c>
      <c r="R4957" t="str">
        <f>"501-79-422"</f>
        <v>501-79-422</v>
      </c>
      <c r="S4957" t="s">
        <v>5059</v>
      </c>
      <c r="U4957">
        <v>2764</v>
      </c>
      <c r="V4957">
        <v>0</v>
      </c>
      <c r="W4957">
        <v>4</v>
      </c>
      <c r="X4957">
        <v>2015</v>
      </c>
      <c r="Z4957">
        <v>2</v>
      </c>
      <c r="AA4957" t="s">
        <v>26</v>
      </c>
      <c r="AB4957">
        <v>0</v>
      </c>
      <c r="AC4957" t="s">
        <v>115</v>
      </c>
      <c r="AD4957">
        <v>2</v>
      </c>
      <c r="AE4957" t="s">
        <v>115</v>
      </c>
      <c r="AF4957">
        <v>0</v>
      </c>
      <c r="AG4957">
        <v>0</v>
      </c>
      <c r="AH4957" t="s">
        <v>116</v>
      </c>
      <c r="AI4957" s="1">
        <v>62135</v>
      </c>
      <c r="AJ4957" s="2">
        <v>0.18</v>
      </c>
      <c r="AK4957" s="1">
        <v>339928</v>
      </c>
      <c r="AL4957" t="s">
        <v>117</v>
      </c>
      <c r="AM4957" t="s">
        <v>118</v>
      </c>
      <c r="AN4957">
        <v>6670</v>
      </c>
      <c r="AO4957">
        <v>0.15</v>
      </c>
      <c r="AR4957">
        <v>1</v>
      </c>
      <c r="AS4957" s="1">
        <v>27770</v>
      </c>
      <c r="AT4957" s="1">
        <v>5550</v>
      </c>
      <c r="AU4957" s="1">
        <v>22220</v>
      </c>
      <c r="AV4957">
        <v>80.010000000000005</v>
      </c>
      <c r="AX4957" s="1">
        <v>2051.38</v>
      </c>
      <c r="AY4957" t="s">
        <v>5060</v>
      </c>
      <c r="AZ4957" t="s">
        <v>5060</v>
      </c>
      <c r="BA4957" t="s">
        <v>5061</v>
      </c>
      <c r="BE4957" s="3">
        <v>42544</v>
      </c>
      <c r="BF4957" s="1">
        <v>277793</v>
      </c>
      <c r="BG4957" t="s">
        <v>292</v>
      </c>
      <c r="BH4957" s="1">
        <v>100.5</v>
      </c>
      <c r="BI4957" s="1">
        <v>277793</v>
      </c>
      <c r="BJ4957" s="3">
        <v>42544</v>
      </c>
      <c r="BK4957" t="s">
        <v>123</v>
      </c>
      <c r="BL4957" t="str">
        <f>"2016.441020"</f>
        <v>2016.441020</v>
      </c>
      <c r="BM4957" t="s">
        <v>1831</v>
      </c>
      <c r="BO4957" t="s">
        <v>30841</v>
      </c>
      <c r="BS4957">
        <v>30</v>
      </c>
      <c r="BW4957" t="str">
        <f>""</f>
        <v/>
      </c>
      <c r="CH4957" t="str">
        <f>""</f>
        <v/>
      </c>
      <c r="CS4957" t="str">
        <f>""</f>
        <v/>
      </c>
    </row>
    <row r="4958" spans="1:97" x14ac:dyDescent="0.25">
      <c r="A4958" t="s">
        <v>211</v>
      </c>
      <c r="B4958" t="s">
        <v>28709</v>
      </c>
      <c r="E4958" t="s">
        <v>30842</v>
      </c>
      <c r="F4958" t="s">
        <v>108</v>
      </c>
      <c r="H4958" t="s">
        <v>30843</v>
      </c>
      <c r="I4958" t="s">
        <v>110</v>
      </c>
      <c r="J4958" t="s">
        <v>111</v>
      </c>
      <c r="K4958" t="str">
        <f>"85225"</f>
        <v>85225</v>
      </c>
      <c r="L4958" t="s">
        <v>8199</v>
      </c>
      <c r="M4958" t="s">
        <v>30843</v>
      </c>
      <c r="N4958" t="s">
        <v>110</v>
      </c>
      <c r="O4958" t="s">
        <v>111</v>
      </c>
      <c r="P4958" t="str">
        <f>"85225-4867"</f>
        <v>85225-4867</v>
      </c>
      <c r="Q4958" t="s">
        <v>113</v>
      </c>
      <c r="R4958" t="str">
        <f>"310-07-412"</f>
        <v>310-07-412</v>
      </c>
      <c r="S4958" t="s">
        <v>30844</v>
      </c>
      <c r="T4958" t="s">
        <v>19515</v>
      </c>
      <c r="U4958">
        <v>1208</v>
      </c>
      <c r="V4958">
        <v>0</v>
      </c>
      <c r="W4958">
        <v>2</v>
      </c>
      <c r="X4958">
        <v>1997</v>
      </c>
      <c r="Z4958">
        <v>1</v>
      </c>
      <c r="AA4958" t="s">
        <v>26</v>
      </c>
      <c r="AB4958">
        <v>0</v>
      </c>
      <c r="AC4958" t="s">
        <v>115</v>
      </c>
      <c r="AD4958">
        <v>2</v>
      </c>
      <c r="AE4958" t="s">
        <v>115</v>
      </c>
      <c r="AF4958">
        <v>0</v>
      </c>
      <c r="AG4958">
        <v>0</v>
      </c>
      <c r="AH4958" t="s">
        <v>116</v>
      </c>
      <c r="AI4958" s="1">
        <v>30518</v>
      </c>
      <c r="AJ4958" s="2">
        <v>0.12</v>
      </c>
      <c r="AK4958" s="1">
        <v>255644</v>
      </c>
      <c r="AL4958" t="s">
        <v>117</v>
      </c>
      <c r="AM4958" t="s">
        <v>118</v>
      </c>
      <c r="AN4958">
        <v>4792</v>
      </c>
      <c r="AO4958">
        <v>0.11</v>
      </c>
      <c r="AP4958">
        <v>1</v>
      </c>
      <c r="AR4958">
        <v>1</v>
      </c>
      <c r="AS4958" s="1">
        <v>17360</v>
      </c>
      <c r="AT4958" s="1">
        <v>3470</v>
      </c>
      <c r="AU4958" s="1">
        <v>13890</v>
      </c>
      <c r="AV4958">
        <v>80.010000000000005</v>
      </c>
      <c r="AX4958" s="1">
        <v>1188.32</v>
      </c>
      <c r="AY4958" t="s">
        <v>2956</v>
      </c>
      <c r="AZ4958" t="s">
        <v>2906</v>
      </c>
      <c r="BA4958" t="s">
        <v>2957</v>
      </c>
      <c r="BE4958" s="3">
        <v>41880</v>
      </c>
      <c r="BF4958" s="1">
        <v>219850</v>
      </c>
      <c r="BG4958" t="s">
        <v>30845</v>
      </c>
      <c r="BH4958" s="1">
        <v>182</v>
      </c>
      <c r="BI4958" s="1">
        <v>225126</v>
      </c>
      <c r="BJ4958" s="3">
        <v>41880</v>
      </c>
      <c r="BK4958" t="s">
        <v>123</v>
      </c>
      <c r="BL4958" t="str">
        <f>"2014.577369"</f>
        <v>2014.577369</v>
      </c>
      <c r="BM4958" t="s">
        <v>544</v>
      </c>
      <c r="BO4958" t="s">
        <v>30846</v>
      </c>
      <c r="BS4958">
        <v>30</v>
      </c>
      <c r="BW4958" t="str">
        <f>""</f>
        <v/>
      </c>
      <c r="CH4958" t="str">
        <f>""</f>
        <v/>
      </c>
      <c r="CS4958" t="str">
        <f>""</f>
        <v/>
      </c>
    </row>
    <row r="4959" spans="1:97" x14ac:dyDescent="0.25">
      <c r="A4959" t="s">
        <v>30847</v>
      </c>
      <c r="B4959" t="s">
        <v>30848</v>
      </c>
      <c r="C4959" t="s">
        <v>30849</v>
      </c>
      <c r="D4959" t="s">
        <v>30848</v>
      </c>
      <c r="E4959" t="s">
        <v>30850</v>
      </c>
      <c r="F4959" t="s">
        <v>108</v>
      </c>
      <c r="H4959" t="s">
        <v>30851</v>
      </c>
      <c r="I4959" t="s">
        <v>5114</v>
      </c>
      <c r="J4959" t="s">
        <v>111</v>
      </c>
      <c r="K4959" t="str">
        <f>"85392"</f>
        <v>85392</v>
      </c>
      <c r="L4959" t="s">
        <v>926</v>
      </c>
      <c r="M4959" t="s">
        <v>30851</v>
      </c>
      <c r="N4959" t="s">
        <v>5114</v>
      </c>
      <c r="O4959" t="s">
        <v>111</v>
      </c>
      <c r="P4959" t="str">
        <f>"85392-7065"</f>
        <v>85392-7065</v>
      </c>
      <c r="Q4959" t="s">
        <v>113</v>
      </c>
      <c r="R4959" t="str">
        <f>"501-89-559"</f>
        <v>501-89-559</v>
      </c>
      <c r="S4959" t="s">
        <v>17333</v>
      </c>
      <c r="T4959" t="s">
        <v>13354</v>
      </c>
      <c r="U4959">
        <v>2335</v>
      </c>
      <c r="V4959">
        <v>0</v>
      </c>
      <c r="W4959">
        <v>3</v>
      </c>
      <c r="X4959">
        <v>1998</v>
      </c>
      <c r="Z4959">
        <v>1</v>
      </c>
      <c r="AB4959">
        <v>0</v>
      </c>
      <c r="AC4959" t="s">
        <v>115</v>
      </c>
      <c r="AD4959">
        <v>3</v>
      </c>
      <c r="AE4959" t="s">
        <v>115</v>
      </c>
      <c r="AF4959">
        <v>0</v>
      </c>
      <c r="AG4959">
        <v>0</v>
      </c>
      <c r="AH4959" t="s">
        <v>116</v>
      </c>
      <c r="AI4959" s="1">
        <v>68890</v>
      </c>
      <c r="AJ4959" s="2">
        <v>0.22</v>
      </c>
      <c r="AK4959" s="1">
        <v>311834</v>
      </c>
      <c r="AL4959" t="s">
        <v>117</v>
      </c>
      <c r="AM4959" t="s">
        <v>118</v>
      </c>
      <c r="AN4959">
        <v>8348</v>
      </c>
      <c r="AO4959">
        <v>0.19</v>
      </c>
      <c r="AP4959">
        <v>1</v>
      </c>
      <c r="AR4959">
        <v>1</v>
      </c>
      <c r="AS4959" s="1">
        <v>21450</v>
      </c>
      <c r="AT4959" s="1">
        <v>4290</v>
      </c>
      <c r="AU4959" s="1">
        <v>17160</v>
      </c>
      <c r="AV4959">
        <v>80</v>
      </c>
      <c r="AX4959" s="1">
        <v>1611.78</v>
      </c>
      <c r="AY4959" t="s">
        <v>7636</v>
      </c>
      <c r="AZ4959" t="s">
        <v>6701</v>
      </c>
      <c r="BA4959" t="s">
        <v>6702</v>
      </c>
      <c r="BE4959" s="3">
        <v>42278</v>
      </c>
      <c r="BF4959" s="1">
        <v>235000</v>
      </c>
      <c r="BG4959" t="s">
        <v>30852</v>
      </c>
      <c r="BH4959" s="1">
        <v>100.64</v>
      </c>
      <c r="BI4959" s="1">
        <v>242944</v>
      </c>
      <c r="BJ4959" s="3">
        <v>42583</v>
      </c>
      <c r="BK4959" t="s">
        <v>123</v>
      </c>
      <c r="BL4959" t="str">
        <f>"2016.542866"</f>
        <v>2016.542866</v>
      </c>
      <c r="BM4959" t="s">
        <v>28468</v>
      </c>
      <c r="BO4959" t="s">
        <v>30853</v>
      </c>
      <c r="BS4959">
        <v>30</v>
      </c>
      <c r="BW4959" t="str">
        <f>""</f>
        <v/>
      </c>
      <c r="CH4959" t="str">
        <f>""</f>
        <v/>
      </c>
      <c r="CS4959" t="str">
        <f>""</f>
        <v/>
      </c>
    </row>
    <row r="4960" spans="1:97" x14ac:dyDescent="0.25">
      <c r="A4960" t="s">
        <v>30854</v>
      </c>
      <c r="B4960" t="s">
        <v>30855</v>
      </c>
      <c r="E4960" t="s">
        <v>30856</v>
      </c>
      <c r="F4960" t="s">
        <v>282</v>
      </c>
      <c r="H4960" t="s">
        <v>30857</v>
      </c>
      <c r="I4960" t="s">
        <v>5114</v>
      </c>
      <c r="J4960" t="s">
        <v>111</v>
      </c>
      <c r="K4960" t="str">
        <f>"85392"</f>
        <v>85392</v>
      </c>
      <c r="L4960" t="s">
        <v>2547</v>
      </c>
      <c r="M4960" t="s">
        <v>30858</v>
      </c>
      <c r="N4960" t="s">
        <v>5114</v>
      </c>
      <c r="O4960" t="s">
        <v>111</v>
      </c>
      <c r="P4960" t="str">
        <f>"85323-6244"</f>
        <v>85323-6244</v>
      </c>
      <c r="Q4960" t="s">
        <v>113</v>
      </c>
      <c r="R4960" t="str">
        <f>"102-29-798"</f>
        <v>102-29-798</v>
      </c>
      <c r="S4960" t="s">
        <v>5115</v>
      </c>
      <c r="T4960" t="s">
        <v>5116</v>
      </c>
      <c r="U4960">
        <v>2232</v>
      </c>
      <c r="V4960">
        <v>0</v>
      </c>
      <c r="W4960">
        <v>4</v>
      </c>
      <c r="X4960">
        <v>2001</v>
      </c>
      <c r="Z4960">
        <v>2</v>
      </c>
      <c r="AA4960" t="s">
        <v>26</v>
      </c>
      <c r="AB4960">
        <v>0</v>
      </c>
      <c r="AC4960" t="s">
        <v>115</v>
      </c>
      <c r="AD4960">
        <v>2</v>
      </c>
      <c r="AE4960" t="s">
        <v>115</v>
      </c>
      <c r="AF4960">
        <v>0</v>
      </c>
      <c r="AG4960">
        <v>0</v>
      </c>
      <c r="AH4960" t="s">
        <v>116</v>
      </c>
      <c r="AI4960" s="1">
        <v>-19543</v>
      </c>
      <c r="AJ4960" s="2">
        <v>-0.08</v>
      </c>
      <c r="AK4960" s="1">
        <v>239740</v>
      </c>
      <c r="AL4960" t="s">
        <v>117</v>
      </c>
      <c r="AM4960" t="s">
        <v>118</v>
      </c>
      <c r="AN4960">
        <v>9536</v>
      </c>
      <c r="AO4960">
        <v>0.22</v>
      </c>
      <c r="AP4960">
        <v>1</v>
      </c>
      <c r="AR4960">
        <v>1</v>
      </c>
      <c r="AS4960" s="1">
        <v>20250</v>
      </c>
      <c r="AT4960" s="1">
        <v>4050</v>
      </c>
      <c r="AU4960" s="1">
        <v>16200</v>
      </c>
      <c r="AV4960">
        <v>80</v>
      </c>
      <c r="AX4960" s="1">
        <v>2462.4</v>
      </c>
      <c r="AY4960" t="s">
        <v>5117</v>
      </c>
      <c r="AZ4960" t="s">
        <v>5117</v>
      </c>
      <c r="BA4960" t="s">
        <v>5118</v>
      </c>
      <c r="BE4960" s="3">
        <v>42234</v>
      </c>
      <c r="BF4960" s="1">
        <v>228000</v>
      </c>
      <c r="BG4960" t="s">
        <v>30859</v>
      </c>
      <c r="BH4960" s="1">
        <v>102.15</v>
      </c>
      <c r="BI4960" s="1">
        <v>259283</v>
      </c>
      <c r="BJ4960" s="3">
        <v>43369</v>
      </c>
      <c r="BK4960" t="s">
        <v>123</v>
      </c>
      <c r="BL4960" t="str">
        <f>"2018.722793"</f>
        <v>2018.722793</v>
      </c>
      <c r="BM4960" t="s">
        <v>30860</v>
      </c>
      <c r="BN4960" t="s">
        <v>9181</v>
      </c>
      <c r="BO4960" t="s">
        <v>30861</v>
      </c>
      <c r="BR4960" t="s">
        <v>139</v>
      </c>
      <c r="BW4960" t="str">
        <f>""</f>
        <v/>
      </c>
      <c r="CH4960" t="str">
        <f>""</f>
        <v/>
      </c>
      <c r="CS4960" t="str">
        <f>""</f>
        <v/>
      </c>
    </row>
    <row r="4961" spans="1:97" x14ac:dyDescent="0.25">
      <c r="B4961" t="s">
        <v>30862</v>
      </c>
      <c r="E4961" t="s">
        <v>30863</v>
      </c>
      <c r="F4961" t="s">
        <v>108</v>
      </c>
      <c r="H4961" t="s">
        <v>30864</v>
      </c>
      <c r="I4961" t="s">
        <v>453</v>
      </c>
      <c r="J4961" t="s">
        <v>111</v>
      </c>
      <c r="K4961" t="str">
        <f>"85381"</f>
        <v>85381</v>
      </c>
      <c r="L4961" t="s">
        <v>5606</v>
      </c>
      <c r="M4961" t="s">
        <v>30864</v>
      </c>
      <c r="N4961" t="s">
        <v>453</v>
      </c>
      <c r="O4961" t="s">
        <v>111</v>
      </c>
      <c r="P4961" t="str">
        <f>"85381-3542"</f>
        <v>85381-3542</v>
      </c>
      <c r="Q4961" t="s">
        <v>113</v>
      </c>
      <c r="R4961" t="str">
        <f>"200-61-912"</f>
        <v>200-61-912</v>
      </c>
      <c r="S4961" t="s">
        <v>30865</v>
      </c>
      <c r="T4961" t="s">
        <v>30866</v>
      </c>
      <c r="U4961">
        <v>2018</v>
      </c>
      <c r="V4961">
        <v>0</v>
      </c>
      <c r="W4961">
        <v>4</v>
      </c>
      <c r="X4961">
        <v>1994</v>
      </c>
      <c r="Z4961">
        <v>2</v>
      </c>
      <c r="AB4961">
        <v>0</v>
      </c>
      <c r="AC4961" t="s">
        <v>115</v>
      </c>
      <c r="AD4961">
        <v>2</v>
      </c>
      <c r="AE4961" t="s">
        <v>115</v>
      </c>
      <c r="AF4961">
        <v>0</v>
      </c>
      <c r="AG4961">
        <v>0</v>
      </c>
      <c r="AH4961" t="s">
        <v>116</v>
      </c>
      <c r="AI4961" s="1">
        <v>62452</v>
      </c>
      <c r="AJ4961" s="2">
        <v>0.18</v>
      </c>
      <c r="AK4961" s="1">
        <v>341897</v>
      </c>
      <c r="AL4961" t="s">
        <v>117</v>
      </c>
      <c r="AM4961" t="s">
        <v>3345</v>
      </c>
      <c r="AN4961">
        <v>4970</v>
      </c>
      <c r="AO4961">
        <v>0.11</v>
      </c>
      <c r="AP4961">
        <v>1</v>
      </c>
      <c r="AR4961">
        <v>1</v>
      </c>
      <c r="AS4961" s="1">
        <v>24050</v>
      </c>
      <c r="AT4961" s="1">
        <v>4810</v>
      </c>
      <c r="AU4961" s="1">
        <v>19240</v>
      </c>
      <c r="AV4961">
        <v>80</v>
      </c>
      <c r="AX4961" s="1">
        <v>2067.7399999999998</v>
      </c>
      <c r="AY4961" t="s">
        <v>5573</v>
      </c>
      <c r="AZ4961" t="s">
        <v>5573</v>
      </c>
      <c r="BA4961" t="s">
        <v>1800</v>
      </c>
      <c r="BB4961" s="3">
        <v>42396</v>
      </c>
      <c r="BD4961" t="s">
        <v>240</v>
      </c>
      <c r="BE4961" s="3">
        <v>41995</v>
      </c>
      <c r="BF4961" s="1">
        <v>285000</v>
      </c>
      <c r="BG4961" t="s">
        <v>30867</v>
      </c>
      <c r="BH4961" s="1">
        <v>141.22999999999999</v>
      </c>
      <c r="BI4961" s="1">
        <v>279445</v>
      </c>
      <c r="BJ4961" s="3">
        <v>42754</v>
      </c>
      <c r="BK4961" t="s">
        <v>123</v>
      </c>
      <c r="BL4961" t="str">
        <f>"2017.43648"</f>
        <v>2017.43648</v>
      </c>
      <c r="BM4961" t="s">
        <v>402</v>
      </c>
      <c r="BO4961" t="s">
        <v>30868</v>
      </c>
      <c r="BP4961" t="s">
        <v>30869</v>
      </c>
      <c r="BS4961">
        <v>30</v>
      </c>
      <c r="BW4961" t="str">
        <f>""</f>
        <v/>
      </c>
      <c r="CH4961" t="str">
        <f>""</f>
        <v/>
      </c>
      <c r="CS4961" t="str">
        <f>""</f>
        <v/>
      </c>
    </row>
    <row r="4962" spans="1:97" x14ac:dyDescent="0.25">
      <c r="B4962" t="s">
        <v>30870</v>
      </c>
      <c r="E4962" t="s">
        <v>30870</v>
      </c>
      <c r="F4962" t="s">
        <v>108</v>
      </c>
      <c r="H4962" t="s">
        <v>30871</v>
      </c>
      <c r="I4962" t="s">
        <v>499</v>
      </c>
      <c r="J4962" t="s">
        <v>111</v>
      </c>
      <c r="K4962" t="str">
        <f>"85338"</f>
        <v>85338</v>
      </c>
      <c r="L4962" t="s">
        <v>6308</v>
      </c>
      <c r="M4962" t="s">
        <v>30871</v>
      </c>
      <c r="N4962" t="s">
        <v>499</v>
      </c>
      <c r="O4962" t="s">
        <v>111</v>
      </c>
      <c r="P4962" t="str">
        <f>"85338-8103"</f>
        <v>85338-8103</v>
      </c>
      <c r="Q4962" t="s">
        <v>113</v>
      </c>
      <c r="R4962" t="str">
        <f>"400-83-288"</f>
        <v>400-83-288</v>
      </c>
      <c r="S4962" t="s">
        <v>6774</v>
      </c>
      <c r="T4962" t="s">
        <v>6775</v>
      </c>
      <c r="U4962">
        <v>2601</v>
      </c>
      <c r="V4962">
        <v>0</v>
      </c>
      <c r="W4962">
        <v>4</v>
      </c>
      <c r="X4962">
        <v>2016</v>
      </c>
      <c r="Z4962">
        <v>1</v>
      </c>
      <c r="AB4962">
        <v>0</v>
      </c>
      <c r="AC4962" t="s">
        <v>115</v>
      </c>
      <c r="AD4962">
        <v>3</v>
      </c>
      <c r="AE4962" t="s">
        <v>115</v>
      </c>
      <c r="AF4962">
        <v>0</v>
      </c>
      <c r="AG4962">
        <v>0</v>
      </c>
      <c r="AH4962" t="s">
        <v>116</v>
      </c>
      <c r="AI4962" s="1">
        <v>229437</v>
      </c>
      <c r="AJ4962" s="2">
        <v>0.48</v>
      </c>
      <c r="AK4962" s="1">
        <v>482562</v>
      </c>
      <c r="AL4962" t="s">
        <v>117</v>
      </c>
      <c r="AM4962" t="s">
        <v>118</v>
      </c>
      <c r="AN4962">
        <v>9397</v>
      </c>
      <c r="AO4962">
        <v>0.22</v>
      </c>
      <c r="AR4962">
        <v>1</v>
      </c>
      <c r="AS4962" s="1">
        <v>35650</v>
      </c>
      <c r="AT4962" s="1">
        <v>7130</v>
      </c>
      <c r="AU4962" s="1">
        <v>28520</v>
      </c>
      <c r="AV4962">
        <v>80</v>
      </c>
      <c r="AX4962" s="1">
        <v>3842.36</v>
      </c>
      <c r="AY4962" t="s">
        <v>1246</v>
      </c>
      <c r="AZ4962" t="s">
        <v>1246</v>
      </c>
      <c r="BA4962" t="s">
        <v>1247</v>
      </c>
      <c r="BB4962" s="3">
        <v>42615</v>
      </c>
      <c r="BD4962" t="s">
        <v>28310</v>
      </c>
      <c r="BE4962" s="3">
        <v>42494</v>
      </c>
      <c r="BF4962" s="1">
        <v>404229</v>
      </c>
      <c r="BG4962" t="s">
        <v>2780</v>
      </c>
      <c r="BH4962" s="1">
        <v>155.41</v>
      </c>
      <c r="BI4962" s="1">
        <v>253125</v>
      </c>
      <c r="BJ4962" s="3">
        <v>42494</v>
      </c>
      <c r="BK4962" t="s">
        <v>123</v>
      </c>
      <c r="BL4962" t="str">
        <f>"2016.303946"</f>
        <v>2016.303946</v>
      </c>
      <c r="BM4962" t="s">
        <v>175</v>
      </c>
      <c r="BO4962" t="s">
        <v>30872</v>
      </c>
      <c r="BS4962">
        <v>30</v>
      </c>
      <c r="BW4962" t="str">
        <f>""</f>
        <v/>
      </c>
      <c r="CH4962" t="str">
        <f>""</f>
        <v/>
      </c>
      <c r="CS4962" t="str">
        <f>""</f>
        <v/>
      </c>
    </row>
    <row r="4963" spans="1:97" x14ac:dyDescent="0.25">
      <c r="B4963" t="s">
        <v>30873</v>
      </c>
      <c r="E4963" t="s">
        <v>30874</v>
      </c>
      <c r="F4963" t="s">
        <v>108</v>
      </c>
      <c r="H4963" t="s">
        <v>30875</v>
      </c>
      <c r="I4963" t="s">
        <v>5551</v>
      </c>
      <c r="J4963" t="s">
        <v>111</v>
      </c>
      <c r="K4963" t="str">
        <f>"85248"</f>
        <v>85248</v>
      </c>
      <c r="L4963" t="s">
        <v>3151</v>
      </c>
      <c r="M4963" t="s">
        <v>30875</v>
      </c>
      <c r="N4963" t="s">
        <v>5551</v>
      </c>
      <c r="O4963" t="s">
        <v>111</v>
      </c>
      <c r="P4963" t="str">
        <f>"85248-8843"</f>
        <v>85248-8843</v>
      </c>
      <c r="Q4963" t="s">
        <v>113</v>
      </c>
      <c r="R4963" t="str">
        <f>"303-59-560"</f>
        <v>303-59-560</v>
      </c>
      <c r="S4963" t="s">
        <v>11130</v>
      </c>
      <c r="U4963">
        <v>2050</v>
      </c>
      <c r="V4963">
        <v>0</v>
      </c>
      <c r="W4963">
        <v>3</v>
      </c>
      <c r="X4963">
        <v>1990</v>
      </c>
      <c r="Z4963">
        <v>1</v>
      </c>
      <c r="AB4963">
        <v>0</v>
      </c>
      <c r="AC4963" t="s">
        <v>115</v>
      </c>
      <c r="AD4963">
        <v>2</v>
      </c>
      <c r="AE4963" t="s">
        <v>115</v>
      </c>
      <c r="AF4963">
        <v>0</v>
      </c>
      <c r="AG4963">
        <v>0</v>
      </c>
      <c r="AH4963" t="s">
        <v>116</v>
      </c>
      <c r="AI4963" s="1">
        <v>170897</v>
      </c>
      <c r="AJ4963" s="2">
        <v>0.43</v>
      </c>
      <c r="AK4963" s="1">
        <v>393647</v>
      </c>
      <c r="AL4963" t="s">
        <v>117</v>
      </c>
      <c r="AM4963" t="s">
        <v>191</v>
      </c>
      <c r="AN4963">
        <v>5720</v>
      </c>
      <c r="AO4963">
        <v>0.13</v>
      </c>
      <c r="AP4963">
        <v>1</v>
      </c>
      <c r="AR4963">
        <v>1</v>
      </c>
      <c r="AS4963" s="1">
        <v>27360</v>
      </c>
      <c r="AT4963" s="1">
        <v>5470</v>
      </c>
      <c r="AU4963" s="1">
        <v>21890</v>
      </c>
      <c r="AV4963">
        <v>80.010000000000005</v>
      </c>
      <c r="AX4963" s="1">
        <v>3127.76</v>
      </c>
      <c r="AY4963" t="s">
        <v>1881</v>
      </c>
      <c r="AZ4963" t="s">
        <v>1882</v>
      </c>
      <c r="BA4963" t="s">
        <v>121</v>
      </c>
      <c r="BB4963" s="3">
        <v>43454</v>
      </c>
      <c r="BC4963" s="1">
        <v>0</v>
      </c>
      <c r="BD4963" t="s">
        <v>247</v>
      </c>
      <c r="BE4963" s="3">
        <v>41968</v>
      </c>
      <c r="BF4963" s="1">
        <v>323000</v>
      </c>
      <c r="BG4963" t="s">
        <v>30876</v>
      </c>
      <c r="BH4963" s="1">
        <v>157.56</v>
      </c>
      <c r="BI4963" s="1">
        <v>222750</v>
      </c>
      <c r="BJ4963" s="3">
        <v>41968</v>
      </c>
      <c r="BK4963" t="s">
        <v>123</v>
      </c>
      <c r="BL4963" t="str">
        <f>"2014.781800"</f>
        <v>2014.781800</v>
      </c>
      <c r="BM4963" t="s">
        <v>30877</v>
      </c>
      <c r="BN4963" t="s">
        <v>30878</v>
      </c>
      <c r="BO4963" t="s">
        <v>30879</v>
      </c>
      <c r="BS4963">
        <v>30</v>
      </c>
      <c r="BW4963" t="str">
        <f>""</f>
        <v/>
      </c>
      <c r="CH4963" t="str">
        <f>""</f>
        <v/>
      </c>
      <c r="CS4963" t="str">
        <f>""</f>
        <v/>
      </c>
    </row>
    <row r="4964" spans="1:97" x14ac:dyDescent="0.25">
      <c r="B4964" t="s">
        <v>30880</v>
      </c>
      <c r="E4964" t="s">
        <v>30881</v>
      </c>
      <c r="F4964" t="s">
        <v>108</v>
      </c>
      <c r="H4964" t="s">
        <v>30882</v>
      </c>
      <c r="I4964" t="s">
        <v>225</v>
      </c>
      <c r="J4964" t="s">
        <v>111</v>
      </c>
      <c r="K4964" t="str">
        <f>"85208"</f>
        <v>85208</v>
      </c>
      <c r="L4964" t="s">
        <v>5218</v>
      </c>
      <c r="M4964" t="s">
        <v>30882</v>
      </c>
      <c r="N4964" t="s">
        <v>225</v>
      </c>
      <c r="O4964" t="s">
        <v>111</v>
      </c>
      <c r="P4964" t="str">
        <f>"85208-6029"</f>
        <v>85208-6029</v>
      </c>
      <c r="Q4964" t="s">
        <v>113</v>
      </c>
      <c r="R4964" t="str">
        <f>"218-67-913"</f>
        <v>218-67-913</v>
      </c>
      <c r="S4964" t="s">
        <v>30883</v>
      </c>
      <c r="U4964">
        <v>2136</v>
      </c>
      <c r="V4964">
        <v>0</v>
      </c>
      <c r="W4964">
        <v>3</v>
      </c>
      <c r="X4964">
        <v>1984</v>
      </c>
      <c r="Z4964">
        <v>1</v>
      </c>
      <c r="AB4964">
        <v>0</v>
      </c>
      <c r="AC4964" t="s">
        <v>115</v>
      </c>
      <c r="AD4964">
        <v>2</v>
      </c>
      <c r="AE4964" t="s">
        <v>115</v>
      </c>
      <c r="AF4964">
        <v>0</v>
      </c>
      <c r="AG4964">
        <v>0</v>
      </c>
      <c r="AH4964" t="s">
        <v>116</v>
      </c>
      <c r="AI4964" s="1">
        <v>95163</v>
      </c>
      <c r="AJ4964" s="2">
        <v>0.32</v>
      </c>
      <c r="AK4964" s="1">
        <v>296163</v>
      </c>
      <c r="AL4964" t="s">
        <v>117</v>
      </c>
      <c r="AM4964" t="s">
        <v>191</v>
      </c>
      <c r="AN4964">
        <v>7118</v>
      </c>
      <c r="AO4964">
        <v>0.16</v>
      </c>
      <c r="AP4964">
        <v>1</v>
      </c>
      <c r="AR4964">
        <v>1</v>
      </c>
      <c r="AS4964" s="1">
        <v>20480</v>
      </c>
      <c r="AT4964" s="1">
        <v>4090</v>
      </c>
      <c r="AU4964" s="1">
        <v>16390</v>
      </c>
      <c r="AV4964">
        <v>80.03</v>
      </c>
      <c r="AX4964" s="1">
        <v>2073.96</v>
      </c>
      <c r="AY4964" t="s">
        <v>12506</v>
      </c>
      <c r="AZ4964" t="s">
        <v>231</v>
      </c>
      <c r="BA4964" t="s">
        <v>232</v>
      </c>
      <c r="BB4964" s="3">
        <v>43643</v>
      </c>
      <c r="BC4964" s="1">
        <v>0</v>
      </c>
      <c r="BD4964" t="s">
        <v>247</v>
      </c>
      <c r="BE4964" s="3">
        <v>42174</v>
      </c>
      <c r="BF4964" s="1">
        <v>217000</v>
      </c>
      <c r="BG4964" t="s">
        <v>30884</v>
      </c>
      <c r="BH4964" s="1">
        <v>101.59</v>
      </c>
      <c r="BI4964" s="1">
        <v>201000</v>
      </c>
      <c r="BJ4964" s="3">
        <v>43643</v>
      </c>
      <c r="BK4964" t="s">
        <v>123</v>
      </c>
      <c r="BL4964" t="str">
        <f>"2019.489031"</f>
        <v>2019.489031</v>
      </c>
      <c r="BM4964" t="s">
        <v>13076</v>
      </c>
      <c r="BN4964" t="s">
        <v>674</v>
      </c>
      <c r="BO4964" t="s">
        <v>30885</v>
      </c>
      <c r="BR4964" t="s">
        <v>139</v>
      </c>
      <c r="BW4964" t="str">
        <f>""</f>
        <v/>
      </c>
      <c r="CH4964" t="str">
        <f>""</f>
        <v/>
      </c>
      <c r="CS4964" t="str">
        <f>""</f>
        <v/>
      </c>
    </row>
    <row r="4965" spans="1:97" x14ac:dyDescent="0.25">
      <c r="A4965" t="s">
        <v>305</v>
      </c>
      <c r="B4965" t="s">
        <v>28014</v>
      </c>
      <c r="C4965" t="s">
        <v>2427</v>
      </c>
      <c r="D4965" t="s">
        <v>28014</v>
      </c>
      <c r="E4965" t="s">
        <v>30886</v>
      </c>
      <c r="F4965" t="s">
        <v>108</v>
      </c>
      <c r="H4965" t="s">
        <v>30887</v>
      </c>
      <c r="I4965" t="s">
        <v>390</v>
      </c>
      <c r="J4965" t="s">
        <v>111</v>
      </c>
      <c r="K4965" t="str">
        <f>"85086"</f>
        <v>85086</v>
      </c>
      <c r="L4965" t="s">
        <v>3225</v>
      </c>
      <c r="M4965" t="s">
        <v>30887</v>
      </c>
      <c r="N4965" t="s">
        <v>390</v>
      </c>
      <c r="O4965" t="s">
        <v>111</v>
      </c>
      <c r="P4965" t="str">
        <f>"85086-2390"</f>
        <v>85086-2390</v>
      </c>
      <c r="Q4965" t="s">
        <v>113</v>
      </c>
      <c r="R4965" t="str">
        <f>"203-40-499"</f>
        <v>203-40-499</v>
      </c>
      <c r="S4965" t="s">
        <v>9456</v>
      </c>
      <c r="U4965">
        <v>1638</v>
      </c>
      <c r="V4965">
        <v>0</v>
      </c>
      <c r="W4965">
        <v>3</v>
      </c>
      <c r="X4965">
        <v>2003</v>
      </c>
      <c r="Z4965">
        <v>1</v>
      </c>
      <c r="AB4965">
        <v>0</v>
      </c>
      <c r="AC4965" t="s">
        <v>115</v>
      </c>
      <c r="AD4965">
        <v>2</v>
      </c>
      <c r="AE4965" t="s">
        <v>115</v>
      </c>
      <c r="AF4965">
        <v>0</v>
      </c>
      <c r="AG4965">
        <v>0</v>
      </c>
      <c r="AH4965" t="s">
        <v>116</v>
      </c>
      <c r="AI4965" s="1">
        <v>68733</v>
      </c>
      <c r="AJ4965" s="2">
        <v>0.25</v>
      </c>
      <c r="AK4965" s="1">
        <v>280278</v>
      </c>
      <c r="AL4965" t="s">
        <v>117</v>
      </c>
      <c r="AM4965" t="s">
        <v>191</v>
      </c>
      <c r="AN4965">
        <v>5312</v>
      </c>
      <c r="AO4965">
        <v>0.12</v>
      </c>
      <c r="AP4965">
        <v>1</v>
      </c>
      <c r="AR4965">
        <v>1</v>
      </c>
      <c r="AS4965" s="1">
        <v>19320</v>
      </c>
      <c r="AT4965" s="1">
        <v>3860</v>
      </c>
      <c r="AU4965" s="1">
        <v>15460</v>
      </c>
      <c r="AV4965">
        <v>80.02</v>
      </c>
      <c r="AX4965" s="1">
        <v>2111.88</v>
      </c>
      <c r="AY4965" t="s">
        <v>6515</v>
      </c>
      <c r="AZ4965" t="s">
        <v>6515</v>
      </c>
      <c r="BA4965" t="s">
        <v>378</v>
      </c>
      <c r="BE4965" s="3">
        <v>42311</v>
      </c>
      <c r="BF4965" s="1">
        <v>219388</v>
      </c>
      <c r="BG4965" t="s">
        <v>30888</v>
      </c>
      <c r="BH4965" s="1">
        <v>133.94</v>
      </c>
      <c r="BI4965" s="1">
        <v>211545</v>
      </c>
      <c r="BJ4965" s="3">
        <v>42311</v>
      </c>
      <c r="BK4965" t="s">
        <v>123</v>
      </c>
      <c r="BL4965" t="str">
        <f>"2015.790620"</f>
        <v>2015.790620</v>
      </c>
      <c r="BM4965" t="s">
        <v>475</v>
      </c>
      <c r="BO4965" t="s">
        <v>30889</v>
      </c>
      <c r="BS4965">
        <v>30</v>
      </c>
      <c r="BW4965" t="str">
        <f>""</f>
        <v/>
      </c>
      <c r="CH4965" t="str">
        <f>""</f>
        <v/>
      </c>
      <c r="CS4965" t="str">
        <f>""</f>
        <v/>
      </c>
    </row>
    <row r="4966" spans="1:97" x14ac:dyDescent="0.25">
      <c r="A4966" t="s">
        <v>370</v>
      </c>
      <c r="B4966" t="s">
        <v>30890</v>
      </c>
      <c r="E4966" t="s">
        <v>30891</v>
      </c>
      <c r="F4966" t="s">
        <v>108</v>
      </c>
      <c r="H4966" t="s">
        <v>30892</v>
      </c>
      <c r="I4966" t="s">
        <v>453</v>
      </c>
      <c r="J4966" t="s">
        <v>111</v>
      </c>
      <c r="K4966" t="str">
        <f>"85382"</f>
        <v>85382</v>
      </c>
      <c r="L4966" t="s">
        <v>7339</v>
      </c>
      <c r="M4966" t="s">
        <v>30892</v>
      </c>
      <c r="N4966" t="s">
        <v>453</v>
      </c>
      <c r="O4966" t="s">
        <v>111</v>
      </c>
      <c r="P4966" t="str">
        <f>"85382-8081"</f>
        <v>85382-8081</v>
      </c>
      <c r="Q4966" t="s">
        <v>113</v>
      </c>
      <c r="R4966" t="str">
        <f>"233-04-345"</f>
        <v>233-04-345</v>
      </c>
      <c r="S4966" t="s">
        <v>21365</v>
      </c>
      <c r="T4966" t="s">
        <v>10958</v>
      </c>
      <c r="U4966">
        <v>1955</v>
      </c>
      <c r="V4966">
        <v>0</v>
      </c>
      <c r="W4966">
        <v>4</v>
      </c>
      <c r="X4966">
        <v>1994</v>
      </c>
      <c r="Z4966">
        <v>2</v>
      </c>
      <c r="AB4966">
        <v>0</v>
      </c>
      <c r="AC4966" t="s">
        <v>115</v>
      </c>
      <c r="AD4966">
        <v>2</v>
      </c>
      <c r="AE4966" t="s">
        <v>115</v>
      </c>
      <c r="AF4966">
        <v>0</v>
      </c>
      <c r="AG4966">
        <v>0</v>
      </c>
      <c r="AH4966" t="s">
        <v>116</v>
      </c>
      <c r="AI4966" s="1">
        <v>50248</v>
      </c>
      <c r="AJ4966" s="2">
        <v>0.17</v>
      </c>
      <c r="AK4966" s="1">
        <v>298168</v>
      </c>
      <c r="AL4966" t="s">
        <v>117</v>
      </c>
      <c r="AM4966" t="s">
        <v>118</v>
      </c>
      <c r="AN4966">
        <v>6400</v>
      </c>
      <c r="AO4966">
        <v>0.15</v>
      </c>
      <c r="AP4966">
        <v>1</v>
      </c>
      <c r="AR4966">
        <v>1</v>
      </c>
      <c r="AS4966" s="1">
        <v>20710</v>
      </c>
      <c r="AT4966" s="1">
        <v>4140</v>
      </c>
      <c r="AU4966" s="1">
        <v>16570</v>
      </c>
      <c r="AV4966">
        <v>80.010000000000005</v>
      </c>
      <c r="AX4966" s="1">
        <v>1672.18</v>
      </c>
      <c r="AY4966" t="s">
        <v>7828</v>
      </c>
      <c r="AZ4966" t="s">
        <v>7828</v>
      </c>
      <c r="BA4966" t="s">
        <v>4219</v>
      </c>
      <c r="BE4966" s="3">
        <v>42499</v>
      </c>
      <c r="BF4966" s="1">
        <v>240000</v>
      </c>
      <c r="BG4966" t="s">
        <v>30893</v>
      </c>
      <c r="BH4966" s="1">
        <v>122.76</v>
      </c>
      <c r="BI4966" s="1">
        <v>247920</v>
      </c>
      <c r="BJ4966" s="3">
        <v>42499</v>
      </c>
      <c r="BK4966" t="s">
        <v>123</v>
      </c>
      <c r="BL4966" t="str">
        <f>"2016.316020"</f>
        <v>2016.316020</v>
      </c>
      <c r="BM4966" t="s">
        <v>544</v>
      </c>
      <c r="BO4966" t="s">
        <v>30894</v>
      </c>
      <c r="BS4966">
        <v>30</v>
      </c>
      <c r="BW4966" t="str">
        <f>""</f>
        <v/>
      </c>
      <c r="CH4966" t="str">
        <f>""</f>
        <v/>
      </c>
      <c r="CS4966" t="str">
        <f>""</f>
        <v/>
      </c>
    </row>
    <row r="4967" spans="1:97" x14ac:dyDescent="0.25">
      <c r="A4967" t="s">
        <v>30895</v>
      </c>
      <c r="B4967" t="s">
        <v>30896</v>
      </c>
      <c r="C4967" t="s">
        <v>14069</v>
      </c>
      <c r="D4967" t="s">
        <v>30896</v>
      </c>
      <c r="E4967" t="s">
        <v>30897</v>
      </c>
      <c r="F4967" t="s">
        <v>108</v>
      </c>
      <c r="H4967" t="s">
        <v>30898</v>
      </c>
      <c r="I4967" t="s">
        <v>390</v>
      </c>
      <c r="J4967" t="s">
        <v>111</v>
      </c>
      <c r="K4967" t="str">
        <f>"85041"</f>
        <v>85041</v>
      </c>
      <c r="L4967" t="s">
        <v>375</v>
      </c>
      <c r="M4967" t="s">
        <v>30898</v>
      </c>
      <c r="N4967" t="s">
        <v>390</v>
      </c>
      <c r="O4967" t="s">
        <v>111</v>
      </c>
      <c r="P4967" t="str">
        <f>"85041-7746"</f>
        <v>85041-7746</v>
      </c>
      <c r="Q4967" t="s">
        <v>113</v>
      </c>
      <c r="R4967" t="str">
        <f>"300-17-689"</f>
        <v>300-17-689</v>
      </c>
      <c r="S4967" t="s">
        <v>11150</v>
      </c>
      <c r="T4967" t="s">
        <v>7014</v>
      </c>
      <c r="U4967">
        <v>2903</v>
      </c>
      <c r="V4967">
        <v>0</v>
      </c>
      <c r="W4967">
        <v>3</v>
      </c>
      <c r="X4967">
        <v>2014</v>
      </c>
      <c r="Z4967">
        <v>2</v>
      </c>
      <c r="AB4967">
        <v>0</v>
      </c>
      <c r="AC4967" t="s">
        <v>115</v>
      </c>
      <c r="AD4967">
        <v>2</v>
      </c>
      <c r="AE4967" t="s">
        <v>115</v>
      </c>
      <c r="AF4967">
        <v>0</v>
      </c>
      <c r="AG4967">
        <v>0</v>
      </c>
      <c r="AH4967" t="s">
        <v>116</v>
      </c>
      <c r="AI4967" s="1">
        <v>50760</v>
      </c>
      <c r="AJ4967" s="2">
        <v>0.16</v>
      </c>
      <c r="AK4967" s="1">
        <v>317921</v>
      </c>
      <c r="AL4967" t="s">
        <v>117</v>
      </c>
      <c r="AM4967" t="s">
        <v>760</v>
      </c>
      <c r="AN4967">
        <v>7427</v>
      </c>
      <c r="AO4967">
        <v>0.17</v>
      </c>
      <c r="AR4967">
        <v>1</v>
      </c>
      <c r="AS4967" s="1">
        <v>23060</v>
      </c>
      <c r="AT4967" s="1">
        <v>4610</v>
      </c>
      <c r="AU4967" s="1">
        <v>18450</v>
      </c>
      <c r="AV4967">
        <v>80.010000000000005</v>
      </c>
      <c r="AX4967" s="1">
        <v>2885.48</v>
      </c>
      <c r="AY4967" t="s">
        <v>7015</v>
      </c>
      <c r="AZ4967" t="s">
        <v>7015</v>
      </c>
      <c r="BA4967" t="s">
        <v>1661</v>
      </c>
      <c r="BE4967" s="3">
        <v>41788</v>
      </c>
      <c r="BF4967" s="1">
        <v>265681</v>
      </c>
      <c r="BG4967" t="s">
        <v>2289</v>
      </c>
      <c r="BH4967" s="1">
        <v>91.52</v>
      </c>
      <c r="BI4967" s="1">
        <v>267161</v>
      </c>
      <c r="BJ4967" s="3">
        <v>42663</v>
      </c>
      <c r="BK4967" t="s">
        <v>123</v>
      </c>
      <c r="BL4967" t="str">
        <f>"2016.770546"</f>
        <v>2016.770546</v>
      </c>
      <c r="BM4967" t="s">
        <v>7523</v>
      </c>
      <c r="BO4967" t="s">
        <v>30899</v>
      </c>
      <c r="BS4967">
        <v>30</v>
      </c>
      <c r="BW4967" t="str">
        <f>""</f>
        <v/>
      </c>
      <c r="CH4967" t="str">
        <f>""</f>
        <v/>
      </c>
      <c r="CS4967" t="str">
        <f>""</f>
        <v/>
      </c>
    </row>
    <row r="4968" spans="1:97" x14ac:dyDescent="0.25">
      <c r="A4968" t="s">
        <v>30900</v>
      </c>
      <c r="B4968" t="s">
        <v>364</v>
      </c>
      <c r="C4968" t="s">
        <v>30901</v>
      </c>
      <c r="D4968" t="s">
        <v>364</v>
      </c>
      <c r="E4968" t="s">
        <v>30902</v>
      </c>
      <c r="F4968" t="s">
        <v>108</v>
      </c>
      <c r="H4968" t="s">
        <v>30903</v>
      </c>
      <c r="I4968" t="s">
        <v>5114</v>
      </c>
      <c r="J4968" t="s">
        <v>111</v>
      </c>
      <c r="K4968" t="str">
        <f>"85392"</f>
        <v>85392</v>
      </c>
      <c r="L4968" t="s">
        <v>8199</v>
      </c>
      <c r="M4968" t="s">
        <v>30903</v>
      </c>
      <c r="N4968" t="s">
        <v>5114</v>
      </c>
      <c r="O4968" t="s">
        <v>111</v>
      </c>
      <c r="P4968" t="str">
        <f>"85392-3510"</f>
        <v>85392-3510</v>
      </c>
      <c r="Q4968" t="s">
        <v>113</v>
      </c>
      <c r="R4968" t="str">
        <f>"102-28-143"</f>
        <v>102-28-143</v>
      </c>
      <c r="S4968" t="s">
        <v>23406</v>
      </c>
      <c r="T4968" t="s">
        <v>11509</v>
      </c>
      <c r="U4968">
        <v>2257</v>
      </c>
      <c r="V4968">
        <v>0</v>
      </c>
      <c r="W4968">
        <v>4</v>
      </c>
      <c r="X4968">
        <v>1986</v>
      </c>
      <c r="Z4968">
        <v>1</v>
      </c>
      <c r="AA4968" t="s">
        <v>26</v>
      </c>
      <c r="AB4968">
        <v>0</v>
      </c>
      <c r="AC4968" t="s">
        <v>115</v>
      </c>
      <c r="AD4968">
        <v>2</v>
      </c>
      <c r="AE4968" t="s">
        <v>115</v>
      </c>
      <c r="AF4968">
        <v>0</v>
      </c>
      <c r="AG4968">
        <v>0</v>
      </c>
      <c r="AH4968" t="s">
        <v>116</v>
      </c>
      <c r="AI4968" s="1">
        <v>-16958</v>
      </c>
      <c r="AJ4968" s="2">
        <v>-7.0000000000000007E-2</v>
      </c>
      <c r="AK4968" s="1">
        <v>257725</v>
      </c>
      <c r="AL4968" t="s">
        <v>117</v>
      </c>
      <c r="AM4968" t="s">
        <v>118</v>
      </c>
      <c r="AN4968">
        <v>8960</v>
      </c>
      <c r="AO4968">
        <v>0.21</v>
      </c>
      <c r="AP4968">
        <v>1</v>
      </c>
      <c r="AR4968">
        <v>1</v>
      </c>
      <c r="AS4968" s="1">
        <v>21380</v>
      </c>
      <c r="AT4968" s="1">
        <v>4270</v>
      </c>
      <c r="AU4968" s="1">
        <v>17110</v>
      </c>
      <c r="AV4968">
        <v>80.03</v>
      </c>
      <c r="AX4968" s="1">
        <v>2208.5</v>
      </c>
      <c r="AY4968" t="s">
        <v>8084</v>
      </c>
      <c r="AZ4968" t="s">
        <v>8084</v>
      </c>
      <c r="BA4968" t="s">
        <v>5118</v>
      </c>
      <c r="BE4968" s="3">
        <v>42303</v>
      </c>
      <c r="BF4968" s="1">
        <v>250000</v>
      </c>
      <c r="BG4968" t="s">
        <v>30904</v>
      </c>
      <c r="BH4968" s="1">
        <v>110.77</v>
      </c>
      <c r="BI4968" s="1">
        <v>274683</v>
      </c>
      <c r="BJ4968" s="3">
        <v>43494</v>
      </c>
      <c r="BK4968" t="s">
        <v>123</v>
      </c>
      <c r="BL4968" t="str">
        <f>"2019.62019"</f>
        <v>2019.62019</v>
      </c>
      <c r="BM4968" t="s">
        <v>460</v>
      </c>
      <c r="BN4968" t="s">
        <v>461</v>
      </c>
      <c r="BO4968" t="s">
        <v>30905</v>
      </c>
      <c r="BP4968" t="s">
        <v>30906</v>
      </c>
      <c r="BR4968" t="s">
        <v>139</v>
      </c>
      <c r="BW4968" t="str">
        <f>""</f>
        <v/>
      </c>
      <c r="CH4968" t="str">
        <f>""</f>
        <v/>
      </c>
      <c r="CS4968" t="str">
        <f>""</f>
        <v/>
      </c>
    </row>
    <row r="4969" spans="1:97" x14ac:dyDescent="0.25">
      <c r="A4969" t="s">
        <v>211</v>
      </c>
      <c r="B4969" t="s">
        <v>1577</v>
      </c>
      <c r="C4969" t="s">
        <v>179</v>
      </c>
      <c r="D4969" t="s">
        <v>1577</v>
      </c>
      <c r="E4969" t="s">
        <v>30907</v>
      </c>
      <c r="F4969" t="s">
        <v>108</v>
      </c>
      <c r="H4969" t="s">
        <v>30908</v>
      </c>
      <c r="I4969" t="s">
        <v>5114</v>
      </c>
      <c r="J4969" t="s">
        <v>111</v>
      </c>
      <c r="K4969" t="str">
        <f>"85392"</f>
        <v>85392</v>
      </c>
      <c r="L4969" t="s">
        <v>926</v>
      </c>
      <c r="M4969" t="s">
        <v>30908</v>
      </c>
      <c r="N4969" t="s">
        <v>5114</v>
      </c>
      <c r="O4969" t="s">
        <v>111</v>
      </c>
      <c r="P4969" t="str">
        <f>"85392-6634"</f>
        <v>85392-6634</v>
      </c>
      <c r="Q4969" t="s">
        <v>113</v>
      </c>
      <c r="R4969" t="str">
        <f>"501-72-318"</f>
        <v>501-72-318</v>
      </c>
      <c r="S4969" t="s">
        <v>11216</v>
      </c>
      <c r="T4969" t="s">
        <v>11217</v>
      </c>
      <c r="U4969">
        <v>1948</v>
      </c>
      <c r="V4969">
        <v>0</v>
      </c>
      <c r="W4969">
        <v>3</v>
      </c>
      <c r="X4969">
        <v>2000</v>
      </c>
      <c r="Z4969">
        <v>1</v>
      </c>
      <c r="AA4969" t="s">
        <v>26</v>
      </c>
      <c r="AB4969">
        <v>0</v>
      </c>
      <c r="AC4969" t="s">
        <v>115</v>
      </c>
      <c r="AD4969">
        <v>2</v>
      </c>
      <c r="AE4969" t="s">
        <v>115</v>
      </c>
      <c r="AF4969">
        <v>0</v>
      </c>
      <c r="AG4969">
        <v>0</v>
      </c>
      <c r="AH4969" t="s">
        <v>116</v>
      </c>
      <c r="AI4969" s="1">
        <v>53719</v>
      </c>
      <c r="AJ4969" s="2">
        <v>0.19</v>
      </c>
      <c r="AK4969" s="1">
        <v>285599</v>
      </c>
      <c r="AL4969" t="s">
        <v>117</v>
      </c>
      <c r="AM4969" t="s">
        <v>118</v>
      </c>
      <c r="AN4969">
        <v>7674</v>
      </c>
      <c r="AO4969">
        <v>0.18</v>
      </c>
      <c r="AP4969">
        <v>1</v>
      </c>
      <c r="AR4969">
        <v>1</v>
      </c>
      <c r="AS4969" s="1">
        <v>20080</v>
      </c>
      <c r="AT4969" s="1">
        <v>4010</v>
      </c>
      <c r="AU4969" s="1">
        <v>16070</v>
      </c>
      <c r="AV4969">
        <v>80.03</v>
      </c>
      <c r="AX4969" s="1">
        <v>1489</v>
      </c>
      <c r="AY4969" t="s">
        <v>6700</v>
      </c>
      <c r="AZ4969" t="s">
        <v>6701</v>
      </c>
      <c r="BA4969" t="s">
        <v>6702</v>
      </c>
      <c r="BE4969" s="3">
        <v>42348</v>
      </c>
      <c r="BF4969" s="1">
        <v>227000</v>
      </c>
      <c r="BG4969" t="s">
        <v>30909</v>
      </c>
      <c r="BH4969" s="1">
        <v>116.53</v>
      </c>
      <c r="BI4969" s="1">
        <v>231880</v>
      </c>
      <c r="BJ4969" s="3">
        <v>42348</v>
      </c>
      <c r="BK4969" t="s">
        <v>123</v>
      </c>
      <c r="BL4969" t="str">
        <f>"2015.873401"</f>
        <v>2015.873401</v>
      </c>
      <c r="BM4969" t="s">
        <v>1044</v>
      </c>
      <c r="BO4969" t="s">
        <v>30910</v>
      </c>
      <c r="BS4969">
        <v>30</v>
      </c>
      <c r="BW4969" t="str">
        <f>""</f>
        <v/>
      </c>
      <c r="CH4969" t="str">
        <f>""</f>
        <v/>
      </c>
      <c r="CS4969" t="str">
        <f>""</f>
        <v/>
      </c>
    </row>
    <row r="4970" spans="1:97" x14ac:dyDescent="0.25">
      <c r="A4970" t="s">
        <v>1755</v>
      </c>
      <c r="B4970" t="s">
        <v>30911</v>
      </c>
      <c r="E4970" t="s">
        <v>30912</v>
      </c>
      <c r="F4970" t="s">
        <v>108</v>
      </c>
      <c r="H4970" t="s">
        <v>30913</v>
      </c>
      <c r="I4970" t="s">
        <v>144</v>
      </c>
      <c r="J4970" t="s">
        <v>111</v>
      </c>
      <c r="K4970" t="str">
        <f>"85326"</f>
        <v>85326</v>
      </c>
      <c r="L4970" t="s">
        <v>8146</v>
      </c>
      <c r="M4970" t="s">
        <v>30913</v>
      </c>
      <c r="N4970" t="s">
        <v>144</v>
      </c>
      <c r="O4970" t="s">
        <v>111</v>
      </c>
      <c r="P4970" t="str">
        <f>"85326-6625"</f>
        <v>85326-6625</v>
      </c>
      <c r="Q4970" t="s">
        <v>113</v>
      </c>
      <c r="R4970" t="str">
        <f>"502-35-385"</f>
        <v>502-35-385</v>
      </c>
      <c r="S4970" t="s">
        <v>10984</v>
      </c>
      <c r="U4970">
        <v>1967</v>
      </c>
      <c r="V4970">
        <v>0</v>
      </c>
      <c r="W4970">
        <v>4</v>
      </c>
      <c r="X4970">
        <v>2014</v>
      </c>
      <c r="Z4970">
        <v>1</v>
      </c>
      <c r="AB4970">
        <v>0</v>
      </c>
      <c r="AC4970" t="s">
        <v>115</v>
      </c>
      <c r="AD4970">
        <v>2</v>
      </c>
      <c r="AE4970" t="s">
        <v>115</v>
      </c>
      <c r="AF4970">
        <v>0</v>
      </c>
      <c r="AG4970">
        <v>0</v>
      </c>
      <c r="AH4970" t="s">
        <v>116</v>
      </c>
      <c r="AI4970" s="1">
        <v>70076</v>
      </c>
      <c r="AJ4970" s="2">
        <v>0.25</v>
      </c>
      <c r="AK4970" s="1">
        <v>278236</v>
      </c>
      <c r="AL4970" t="s">
        <v>117</v>
      </c>
      <c r="AM4970" t="s">
        <v>118</v>
      </c>
      <c r="AN4970">
        <v>7579</v>
      </c>
      <c r="AO4970">
        <v>0.17</v>
      </c>
      <c r="AR4970">
        <v>1</v>
      </c>
      <c r="AS4970" s="1">
        <v>19230</v>
      </c>
      <c r="AT4970" s="1">
        <v>3840</v>
      </c>
      <c r="AU4970" s="1">
        <v>15390</v>
      </c>
      <c r="AV4970">
        <v>80.03</v>
      </c>
      <c r="AX4970" s="1">
        <v>1913.98</v>
      </c>
      <c r="AY4970" t="s">
        <v>2767</v>
      </c>
      <c r="AZ4970" t="s">
        <v>2767</v>
      </c>
      <c r="BA4970" t="s">
        <v>5025</v>
      </c>
      <c r="BB4970" s="3">
        <v>42671</v>
      </c>
      <c r="BD4970" t="s">
        <v>240</v>
      </c>
      <c r="BE4970" s="3">
        <v>42013</v>
      </c>
      <c r="BF4970" s="1">
        <v>203220</v>
      </c>
      <c r="BG4970" t="s">
        <v>749</v>
      </c>
      <c r="BH4970" s="1">
        <v>103.31</v>
      </c>
      <c r="BI4970" s="1">
        <v>208160</v>
      </c>
      <c r="BJ4970" s="3">
        <v>42671</v>
      </c>
      <c r="BK4970" t="s">
        <v>123</v>
      </c>
      <c r="BL4970" t="str">
        <f>"2016.795833"</f>
        <v>2016.795833</v>
      </c>
      <c r="BM4970" t="s">
        <v>2051</v>
      </c>
      <c r="BO4970" t="s">
        <v>30914</v>
      </c>
      <c r="BS4970">
        <v>30</v>
      </c>
      <c r="BW4970" t="str">
        <f>""</f>
        <v/>
      </c>
      <c r="CH4970" t="str">
        <f>""</f>
        <v/>
      </c>
      <c r="CS4970" t="str">
        <f>""</f>
        <v/>
      </c>
    </row>
    <row r="4971" spans="1:97" x14ac:dyDescent="0.25">
      <c r="A4971" t="s">
        <v>1109</v>
      </c>
      <c r="B4971" t="s">
        <v>30915</v>
      </c>
      <c r="E4971" t="s">
        <v>30916</v>
      </c>
      <c r="F4971" t="s">
        <v>108</v>
      </c>
      <c r="H4971" t="s">
        <v>30917</v>
      </c>
      <c r="I4971" t="s">
        <v>144</v>
      </c>
      <c r="J4971" t="s">
        <v>111</v>
      </c>
      <c r="K4971" t="str">
        <f>"85396"</f>
        <v>85396</v>
      </c>
      <c r="L4971" t="s">
        <v>299</v>
      </c>
      <c r="M4971" t="s">
        <v>30917</v>
      </c>
      <c r="N4971" t="s">
        <v>144</v>
      </c>
      <c r="O4971" t="s">
        <v>111</v>
      </c>
      <c r="P4971" t="str">
        <f>"85396-7341"</f>
        <v>85396-7341</v>
      </c>
      <c r="Q4971" t="s">
        <v>113</v>
      </c>
      <c r="R4971" t="str">
        <f>"504-74-938"</f>
        <v>504-74-938</v>
      </c>
      <c r="S4971" t="s">
        <v>23353</v>
      </c>
      <c r="U4971">
        <v>4072</v>
      </c>
      <c r="V4971">
        <v>0</v>
      </c>
      <c r="W4971">
        <v>5</v>
      </c>
      <c r="X4971">
        <v>2008</v>
      </c>
      <c r="Z4971">
        <v>2</v>
      </c>
      <c r="AA4971" t="s">
        <v>26</v>
      </c>
      <c r="AB4971">
        <v>0</v>
      </c>
      <c r="AC4971" t="s">
        <v>115</v>
      </c>
      <c r="AD4971">
        <v>3</v>
      </c>
      <c r="AE4971" t="s">
        <v>115</v>
      </c>
      <c r="AF4971">
        <v>0</v>
      </c>
      <c r="AG4971">
        <v>0</v>
      </c>
      <c r="AH4971" t="s">
        <v>116</v>
      </c>
      <c r="AI4971" s="1">
        <v>43558</v>
      </c>
      <c r="AJ4971" s="2">
        <v>0.14000000000000001</v>
      </c>
      <c r="AK4971" s="1">
        <v>322468</v>
      </c>
      <c r="AL4971" t="s">
        <v>117</v>
      </c>
      <c r="AM4971" t="s">
        <v>118</v>
      </c>
      <c r="AN4971">
        <v>7448</v>
      </c>
      <c r="AO4971">
        <v>0.17</v>
      </c>
      <c r="AR4971">
        <v>1</v>
      </c>
      <c r="AS4971" s="1">
        <v>22450</v>
      </c>
      <c r="AT4971" s="1">
        <v>4490</v>
      </c>
      <c r="AU4971" s="1">
        <v>17960</v>
      </c>
      <c r="AV4971">
        <v>80</v>
      </c>
      <c r="AX4971" s="1">
        <v>1809.42</v>
      </c>
      <c r="AY4971" t="s">
        <v>147</v>
      </c>
      <c r="AZ4971" t="s">
        <v>147</v>
      </c>
      <c r="BA4971" t="s">
        <v>148</v>
      </c>
      <c r="BE4971" s="3">
        <v>42545</v>
      </c>
      <c r="BF4971" s="1">
        <v>270000</v>
      </c>
      <c r="BG4971" t="s">
        <v>30918</v>
      </c>
      <c r="BH4971" s="1">
        <v>66.31</v>
      </c>
      <c r="BI4971" s="1">
        <v>278910</v>
      </c>
      <c r="BJ4971" s="3">
        <v>42545</v>
      </c>
      <c r="BK4971" t="s">
        <v>123</v>
      </c>
      <c r="BL4971" t="str">
        <f>"2016.442133"</f>
        <v>2016.442133</v>
      </c>
      <c r="BM4971" t="s">
        <v>1154</v>
      </c>
      <c r="BO4971" t="s">
        <v>30919</v>
      </c>
      <c r="BS4971">
        <v>30</v>
      </c>
      <c r="BW4971" t="str">
        <f>""</f>
        <v/>
      </c>
      <c r="CH4971" t="str">
        <f>""</f>
        <v/>
      </c>
      <c r="CS4971" t="str">
        <f>""</f>
        <v/>
      </c>
    </row>
    <row r="4972" spans="1:97" x14ac:dyDescent="0.25">
      <c r="A4972" t="s">
        <v>30920</v>
      </c>
      <c r="B4972" t="s">
        <v>2104</v>
      </c>
      <c r="C4972" t="s">
        <v>30921</v>
      </c>
      <c r="D4972" t="s">
        <v>2104</v>
      </c>
      <c r="E4972" t="s">
        <v>30922</v>
      </c>
      <c r="F4972" t="s">
        <v>108</v>
      </c>
      <c r="H4972" t="s">
        <v>30923</v>
      </c>
      <c r="I4972" t="s">
        <v>499</v>
      </c>
      <c r="J4972" t="s">
        <v>111</v>
      </c>
      <c r="K4972" t="str">
        <f>"85338"</f>
        <v>85338</v>
      </c>
      <c r="L4972" t="s">
        <v>6431</v>
      </c>
      <c r="M4972" t="s">
        <v>30923</v>
      </c>
      <c r="N4972" t="s">
        <v>499</v>
      </c>
      <c r="O4972" t="s">
        <v>111</v>
      </c>
      <c r="P4972" t="str">
        <f>"85338-7343"</f>
        <v>85338-7343</v>
      </c>
      <c r="Q4972" t="s">
        <v>113</v>
      </c>
      <c r="R4972" t="str">
        <f>"500-96-937"</f>
        <v>500-96-937</v>
      </c>
      <c r="S4972" t="s">
        <v>14788</v>
      </c>
      <c r="U4972">
        <v>2431</v>
      </c>
      <c r="V4972">
        <v>0</v>
      </c>
      <c r="W4972">
        <v>4</v>
      </c>
      <c r="X4972">
        <v>2008</v>
      </c>
      <c r="Z4972">
        <v>1</v>
      </c>
      <c r="AB4972">
        <v>0</v>
      </c>
      <c r="AC4972" t="s">
        <v>115</v>
      </c>
      <c r="AD4972">
        <v>3</v>
      </c>
      <c r="AE4972" t="s">
        <v>115</v>
      </c>
      <c r="AF4972">
        <v>0</v>
      </c>
      <c r="AG4972">
        <v>0</v>
      </c>
      <c r="AH4972" t="s">
        <v>116</v>
      </c>
      <c r="AI4972" s="1">
        <v>52138</v>
      </c>
      <c r="AJ4972" s="2">
        <v>0.17</v>
      </c>
      <c r="AK4972" s="1">
        <v>315174</v>
      </c>
      <c r="AL4972" t="s">
        <v>117</v>
      </c>
      <c r="AM4972" t="s">
        <v>118</v>
      </c>
      <c r="AN4972">
        <v>9570</v>
      </c>
      <c r="AO4972">
        <v>0.22</v>
      </c>
      <c r="AR4972">
        <v>1</v>
      </c>
      <c r="AS4972" s="1">
        <v>22560</v>
      </c>
      <c r="AT4972" s="1">
        <v>4510</v>
      </c>
      <c r="AU4972" s="1">
        <v>18050</v>
      </c>
      <c r="AV4972">
        <v>80.010000000000005</v>
      </c>
      <c r="AX4972" s="1">
        <v>2353.66</v>
      </c>
      <c r="AY4972" t="s">
        <v>6319</v>
      </c>
      <c r="AZ4972" t="s">
        <v>6319</v>
      </c>
      <c r="BA4972" t="s">
        <v>218</v>
      </c>
      <c r="BE4972" s="3">
        <v>41730</v>
      </c>
      <c r="BF4972" s="1">
        <v>257500</v>
      </c>
      <c r="BG4972" t="s">
        <v>30924</v>
      </c>
      <c r="BH4972" s="1">
        <v>105.92</v>
      </c>
      <c r="BI4972" s="1">
        <v>263036</v>
      </c>
      <c r="BJ4972" s="3">
        <v>41730</v>
      </c>
      <c r="BK4972" t="s">
        <v>123</v>
      </c>
      <c r="BL4972" t="str">
        <f>"2014.208675"</f>
        <v>2014.208675</v>
      </c>
      <c r="BM4972" t="s">
        <v>6761</v>
      </c>
      <c r="BO4972" t="s">
        <v>30925</v>
      </c>
      <c r="BS4972">
        <v>30</v>
      </c>
      <c r="BW4972" t="str">
        <f>""</f>
        <v/>
      </c>
      <c r="CH4972" t="str">
        <f>""</f>
        <v/>
      </c>
      <c r="CS4972" t="str">
        <f>""</f>
        <v/>
      </c>
    </row>
    <row r="4973" spans="1:97" x14ac:dyDescent="0.25">
      <c r="A4973" t="s">
        <v>1344</v>
      </c>
      <c r="B4973" t="s">
        <v>30926</v>
      </c>
      <c r="E4973" t="s">
        <v>30927</v>
      </c>
      <c r="F4973" t="s">
        <v>108</v>
      </c>
      <c r="H4973" t="s">
        <v>30928</v>
      </c>
      <c r="I4973" t="s">
        <v>110</v>
      </c>
      <c r="J4973" t="s">
        <v>111</v>
      </c>
      <c r="K4973" t="str">
        <f>"85224"</f>
        <v>85224</v>
      </c>
      <c r="L4973" t="s">
        <v>8034</v>
      </c>
      <c r="M4973" t="s">
        <v>30928</v>
      </c>
      <c r="N4973" t="s">
        <v>110</v>
      </c>
      <c r="O4973" t="s">
        <v>111</v>
      </c>
      <c r="P4973" t="str">
        <f>"85224-9037"</f>
        <v>85224-9037</v>
      </c>
      <c r="Q4973" t="s">
        <v>113</v>
      </c>
      <c r="R4973" t="str">
        <f>"302-97-716"</f>
        <v>302-97-716</v>
      </c>
      <c r="S4973" t="s">
        <v>30929</v>
      </c>
      <c r="T4973" t="s">
        <v>30929</v>
      </c>
      <c r="U4973">
        <v>1765</v>
      </c>
      <c r="V4973">
        <v>0</v>
      </c>
      <c r="W4973">
        <v>4</v>
      </c>
      <c r="X4973">
        <v>1999</v>
      </c>
      <c r="Z4973">
        <v>2</v>
      </c>
      <c r="AB4973">
        <v>0</v>
      </c>
      <c r="AC4973" t="s">
        <v>115</v>
      </c>
      <c r="AD4973">
        <v>2</v>
      </c>
      <c r="AE4973" t="s">
        <v>115</v>
      </c>
      <c r="AF4973">
        <v>0</v>
      </c>
      <c r="AG4973">
        <v>0</v>
      </c>
      <c r="AH4973" t="s">
        <v>116</v>
      </c>
      <c r="AI4973" s="1">
        <v>67276</v>
      </c>
      <c r="AJ4973" s="2">
        <v>0.2</v>
      </c>
      <c r="AK4973" s="1">
        <v>337973</v>
      </c>
      <c r="AL4973" t="s">
        <v>117</v>
      </c>
      <c r="AM4973" t="s">
        <v>118</v>
      </c>
      <c r="AN4973">
        <v>3765</v>
      </c>
      <c r="AO4973">
        <v>0.86</v>
      </c>
      <c r="AP4973">
        <v>1</v>
      </c>
      <c r="AR4973">
        <v>1</v>
      </c>
      <c r="AS4973" s="1">
        <v>23450</v>
      </c>
      <c r="AT4973" s="1">
        <v>4690</v>
      </c>
      <c r="AU4973" s="1">
        <v>18760</v>
      </c>
      <c r="AV4973">
        <v>80</v>
      </c>
      <c r="AX4973" s="1">
        <v>1785.9</v>
      </c>
      <c r="AY4973" t="s">
        <v>5722</v>
      </c>
      <c r="AZ4973" t="s">
        <v>5078</v>
      </c>
      <c r="BA4973" t="s">
        <v>2957</v>
      </c>
      <c r="BE4973" s="3">
        <v>42062</v>
      </c>
      <c r="BF4973" s="1">
        <v>265000</v>
      </c>
      <c r="BG4973" t="s">
        <v>30930</v>
      </c>
      <c r="BH4973" s="1">
        <v>150.13999999999999</v>
      </c>
      <c r="BI4973" s="1">
        <v>270697</v>
      </c>
      <c r="BJ4973" s="3">
        <v>42062</v>
      </c>
      <c r="BK4973" t="s">
        <v>123</v>
      </c>
      <c r="BL4973" t="str">
        <f>"2015.134288"</f>
        <v>2015.134288</v>
      </c>
      <c r="BM4973" t="s">
        <v>150</v>
      </c>
      <c r="BO4973" t="s">
        <v>30931</v>
      </c>
      <c r="BS4973">
        <v>30</v>
      </c>
      <c r="BW4973" t="str">
        <f>""</f>
        <v/>
      </c>
      <c r="CH4973" t="str">
        <f>""</f>
        <v/>
      </c>
      <c r="CS4973" t="str">
        <f>""</f>
        <v/>
      </c>
    </row>
    <row r="4974" spans="1:97" x14ac:dyDescent="0.25">
      <c r="A4974" t="s">
        <v>1850</v>
      </c>
      <c r="B4974" t="s">
        <v>30932</v>
      </c>
      <c r="C4974" t="s">
        <v>11851</v>
      </c>
      <c r="D4974" t="s">
        <v>30650</v>
      </c>
      <c r="E4974" t="s">
        <v>30933</v>
      </c>
      <c r="F4974" t="s">
        <v>108</v>
      </c>
      <c r="H4974" t="s">
        <v>30934</v>
      </c>
      <c r="I4974" t="s">
        <v>632</v>
      </c>
      <c r="J4974" t="s">
        <v>111</v>
      </c>
      <c r="K4974" t="str">
        <f>"85379"</f>
        <v>85379</v>
      </c>
      <c r="L4974" t="s">
        <v>5058</v>
      </c>
      <c r="M4974" t="s">
        <v>30934</v>
      </c>
      <c r="N4974" t="s">
        <v>632</v>
      </c>
      <c r="O4974" t="s">
        <v>111</v>
      </c>
      <c r="P4974" t="str">
        <f>"85379-1161"</f>
        <v>85379-1161</v>
      </c>
      <c r="Q4974" t="s">
        <v>113</v>
      </c>
      <c r="R4974" t="str">
        <f>"501-79-303"</f>
        <v>501-79-303</v>
      </c>
      <c r="S4974" t="s">
        <v>5059</v>
      </c>
      <c r="U4974">
        <v>2467</v>
      </c>
      <c r="V4974">
        <v>0</v>
      </c>
      <c r="W4974">
        <v>3</v>
      </c>
      <c r="X4974">
        <v>2015</v>
      </c>
      <c r="Z4974">
        <v>1</v>
      </c>
      <c r="AB4974">
        <v>0</v>
      </c>
      <c r="AC4974" t="s">
        <v>115</v>
      </c>
      <c r="AD4974">
        <v>2</v>
      </c>
      <c r="AE4974" t="s">
        <v>115</v>
      </c>
      <c r="AF4974">
        <v>0</v>
      </c>
      <c r="AG4974">
        <v>0</v>
      </c>
      <c r="AH4974" t="s">
        <v>116</v>
      </c>
      <c r="AI4974" s="1">
        <v>44515</v>
      </c>
      <c r="AJ4974" s="2">
        <v>0.13</v>
      </c>
      <c r="AK4974" s="1">
        <v>351341</v>
      </c>
      <c r="AL4974" t="s">
        <v>117</v>
      </c>
      <c r="AM4974" t="s">
        <v>118</v>
      </c>
      <c r="AN4974">
        <v>7659</v>
      </c>
      <c r="AO4974">
        <v>0.18</v>
      </c>
      <c r="AR4974">
        <v>1</v>
      </c>
      <c r="AS4974" s="1">
        <v>24780</v>
      </c>
      <c r="AT4974" s="1">
        <v>4950</v>
      </c>
      <c r="AU4974" s="1">
        <v>19830</v>
      </c>
      <c r="AV4974">
        <v>80.02</v>
      </c>
      <c r="AX4974" s="1">
        <v>2026.92</v>
      </c>
      <c r="AY4974" t="s">
        <v>5060</v>
      </c>
      <c r="AZ4974" t="s">
        <v>5060</v>
      </c>
      <c r="BA4974" t="s">
        <v>5061</v>
      </c>
      <c r="BE4974" s="3">
        <v>42430</v>
      </c>
      <c r="BF4974" s="1">
        <v>293000</v>
      </c>
      <c r="BG4974" t="s">
        <v>292</v>
      </c>
      <c r="BH4974" s="1">
        <v>118.77</v>
      </c>
      <c r="BI4974" s="1">
        <v>306826</v>
      </c>
      <c r="BJ4974" s="3">
        <v>42522</v>
      </c>
      <c r="BK4974" t="s">
        <v>123</v>
      </c>
      <c r="BL4974" t="str">
        <f>"2016.377348"</f>
        <v>2016.377348</v>
      </c>
      <c r="BM4974" t="s">
        <v>673</v>
      </c>
      <c r="BO4974" t="s">
        <v>30935</v>
      </c>
      <c r="BP4974" t="s">
        <v>30936</v>
      </c>
      <c r="BS4974">
        <v>30</v>
      </c>
      <c r="BW4974" t="str">
        <f>""</f>
        <v/>
      </c>
      <c r="CH4974" t="str">
        <f>""</f>
        <v/>
      </c>
      <c r="CS4974" t="str">
        <f>""</f>
        <v/>
      </c>
    </row>
    <row r="4975" spans="1:97" x14ac:dyDescent="0.25">
      <c r="A4975" t="s">
        <v>30937</v>
      </c>
      <c r="B4975" t="s">
        <v>30938</v>
      </c>
      <c r="C4975" t="s">
        <v>30939</v>
      </c>
      <c r="D4975" t="s">
        <v>30938</v>
      </c>
      <c r="E4975" t="s">
        <v>30940</v>
      </c>
      <c r="F4975" t="s">
        <v>108</v>
      </c>
      <c r="H4975" t="s">
        <v>30941</v>
      </c>
      <c r="I4975" t="s">
        <v>188</v>
      </c>
      <c r="J4975" t="s">
        <v>111</v>
      </c>
      <c r="K4975" t="str">
        <f>"85142"</f>
        <v>85142</v>
      </c>
      <c r="L4975" t="s">
        <v>5893</v>
      </c>
      <c r="M4975" t="s">
        <v>30941</v>
      </c>
      <c r="N4975" t="s">
        <v>188</v>
      </c>
      <c r="O4975" t="s">
        <v>111</v>
      </c>
      <c r="P4975" t="str">
        <f>"85142-6238"</f>
        <v>85142-6238</v>
      </c>
      <c r="Q4975" t="s">
        <v>113</v>
      </c>
      <c r="R4975" t="str">
        <f>"314-03-861"</f>
        <v>314-03-861</v>
      </c>
      <c r="S4975" t="s">
        <v>30942</v>
      </c>
      <c r="U4975">
        <v>2702</v>
      </c>
      <c r="V4975">
        <v>0</v>
      </c>
      <c r="W4975">
        <v>4</v>
      </c>
      <c r="X4975">
        <v>2005</v>
      </c>
      <c r="Z4975">
        <v>2</v>
      </c>
      <c r="AB4975">
        <v>0</v>
      </c>
      <c r="AC4975" t="s">
        <v>115</v>
      </c>
      <c r="AD4975">
        <v>2</v>
      </c>
      <c r="AE4975" t="s">
        <v>115</v>
      </c>
      <c r="AF4975">
        <v>0</v>
      </c>
      <c r="AG4975">
        <v>0</v>
      </c>
      <c r="AH4975" t="s">
        <v>116</v>
      </c>
      <c r="AI4975" s="1">
        <v>6472</v>
      </c>
      <c r="AJ4975" s="2">
        <v>0.02</v>
      </c>
      <c r="AK4975" s="1">
        <v>324472</v>
      </c>
      <c r="AL4975" t="s">
        <v>117</v>
      </c>
      <c r="AM4975" t="s">
        <v>191</v>
      </c>
      <c r="AN4975">
        <v>5500</v>
      </c>
      <c r="AO4975">
        <v>0.13</v>
      </c>
      <c r="AR4975">
        <v>1</v>
      </c>
      <c r="AS4975" s="1">
        <v>22160</v>
      </c>
      <c r="AT4975" s="1">
        <v>4430</v>
      </c>
      <c r="AU4975" s="1">
        <v>17730</v>
      </c>
      <c r="AV4975">
        <v>80.010000000000005</v>
      </c>
      <c r="AX4975" s="1">
        <v>2005.18</v>
      </c>
      <c r="AY4975" t="s">
        <v>5895</v>
      </c>
      <c r="AZ4975" t="s">
        <v>561</v>
      </c>
      <c r="BA4975" t="s">
        <v>194</v>
      </c>
      <c r="BE4975" s="3">
        <v>42229</v>
      </c>
      <c r="BF4975" s="1">
        <v>245000</v>
      </c>
      <c r="BG4975" t="s">
        <v>30943</v>
      </c>
      <c r="BH4975" s="1">
        <v>90.67</v>
      </c>
      <c r="BI4975" s="1">
        <v>318000</v>
      </c>
      <c r="BJ4975" s="3">
        <v>43640</v>
      </c>
      <c r="BK4975" t="s">
        <v>123</v>
      </c>
      <c r="BL4975" t="str">
        <f>"2019.470376"</f>
        <v>2019.470376</v>
      </c>
      <c r="BM4975" t="s">
        <v>460</v>
      </c>
      <c r="BN4975" t="s">
        <v>461</v>
      </c>
      <c r="BO4975" t="s">
        <v>30944</v>
      </c>
      <c r="BP4975" t="s">
        <v>30945</v>
      </c>
      <c r="BR4975" t="s">
        <v>139</v>
      </c>
      <c r="BW4975" t="str">
        <f>""</f>
        <v/>
      </c>
      <c r="CH4975" t="str">
        <f>""</f>
        <v/>
      </c>
      <c r="CS4975" t="str">
        <f>""</f>
        <v/>
      </c>
    </row>
    <row r="4976" spans="1:97" x14ac:dyDescent="0.25">
      <c r="A4976" t="s">
        <v>2045</v>
      </c>
      <c r="B4976" t="s">
        <v>1655</v>
      </c>
      <c r="C4976" t="s">
        <v>817</v>
      </c>
      <c r="D4976" t="s">
        <v>1655</v>
      </c>
      <c r="E4976" t="s">
        <v>30946</v>
      </c>
      <c r="F4976" t="s">
        <v>108</v>
      </c>
      <c r="H4976" t="s">
        <v>30947</v>
      </c>
      <c r="I4976" t="s">
        <v>225</v>
      </c>
      <c r="J4976" t="s">
        <v>111</v>
      </c>
      <c r="K4976" t="str">
        <f>"85207"</f>
        <v>85207</v>
      </c>
      <c r="L4976" t="s">
        <v>688</v>
      </c>
      <c r="M4976" t="s">
        <v>30947</v>
      </c>
      <c r="N4976" t="s">
        <v>225</v>
      </c>
      <c r="O4976" t="s">
        <v>111</v>
      </c>
      <c r="P4976" t="str">
        <f>"85207-5119"</f>
        <v>85207-5119</v>
      </c>
      <c r="R4976" t="str">
        <f>"218-07-596"</f>
        <v>218-07-596</v>
      </c>
      <c r="S4976" t="s">
        <v>13957</v>
      </c>
      <c r="T4976" t="s">
        <v>13957</v>
      </c>
      <c r="U4976">
        <v>1850</v>
      </c>
      <c r="V4976">
        <v>0</v>
      </c>
      <c r="W4976">
        <v>3</v>
      </c>
      <c r="X4976">
        <v>2000</v>
      </c>
      <c r="Z4976">
        <v>1</v>
      </c>
      <c r="AA4976" t="s">
        <v>26</v>
      </c>
      <c r="AB4976">
        <v>0</v>
      </c>
      <c r="AC4976" t="s">
        <v>115</v>
      </c>
      <c r="AD4976">
        <v>2</v>
      </c>
      <c r="AE4976" t="s">
        <v>115</v>
      </c>
      <c r="AF4976">
        <v>0</v>
      </c>
      <c r="AG4976">
        <v>0</v>
      </c>
      <c r="AH4976" t="s">
        <v>116</v>
      </c>
      <c r="AI4976" s="1">
        <v>58749</v>
      </c>
      <c r="AJ4976" s="2">
        <v>0.19</v>
      </c>
      <c r="AK4976" s="1">
        <v>305649</v>
      </c>
      <c r="AL4976" t="s">
        <v>117</v>
      </c>
      <c r="AM4976" t="s">
        <v>191</v>
      </c>
      <c r="AN4976">
        <v>5940</v>
      </c>
      <c r="AO4976">
        <v>0.14000000000000001</v>
      </c>
      <c r="AP4976">
        <v>1</v>
      </c>
      <c r="AR4976">
        <v>1</v>
      </c>
      <c r="AS4976" s="1">
        <v>20400</v>
      </c>
      <c r="AT4976" s="1">
        <v>4080</v>
      </c>
      <c r="AU4976" s="1">
        <v>16320</v>
      </c>
      <c r="AV4976">
        <v>80</v>
      </c>
      <c r="AX4976" s="1">
        <v>1375.64</v>
      </c>
      <c r="AY4976" t="s">
        <v>3118</v>
      </c>
      <c r="AZ4976" t="s">
        <v>231</v>
      </c>
      <c r="BA4976" t="s">
        <v>3119</v>
      </c>
      <c r="BE4976" s="3">
        <v>41989</v>
      </c>
      <c r="BF4976" s="1">
        <v>210000</v>
      </c>
      <c r="BG4976" t="s">
        <v>30948</v>
      </c>
      <c r="BH4976" s="1">
        <v>113.51</v>
      </c>
      <c r="BI4976" s="1">
        <v>246900</v>
      </c>
      <c r="BJ4976" s="3">
        <v>43220</v>
      </c>
      <c r="BK4976" t="s">
        <v>123</v>
      </c>
      <c r="BL4976" t="str">
        <f>"2018.325602"</f>
        <v>2018.325602</v>
      </c>
      <c r="BM4976" t="s">
        <v>2042</v>
      </c>
      <c r="BN4976" t="s">
        <v>1575</v>
      </c>
      <c r="BO4976" t="s">
        <v>30949</v>
      </c>
      <c r="BP4976" t="s">
        <v>30950</v>
      </c>
      <c r="BR4976" t="s">
        <v>139</v>
      </c>
      <c r="BW4976" t="str">
        <f>""</f>
        <v/>
      </c>
      <c r="CH4976" t="str">
        <f>""</f>
        <v/>
      </c>
      <c r="CS4976" t="str">
        <f>""</f>
        <v/>
      </c>
    </row>
    <row r="4977" spans="1:97" x14ac:dyDescent="0.25">
      <c r="A4977" t="s">
        <v>7757</v>
      </c>
      <c r="B4977" t="s">
        <v>3333</v>
      </c>
      <c r="C4977" t="s">
        <v>1995</v>
      </c>
      <c r="D4977" t="s">
        <v>3333</v>
      </c>
      <c r="E4977" t="s">
        <v>30951</v>
      </c>
      <c r="F4977" t="s">
        <v>108</v>
      </c>
      <c r="H4977" t="s">
        <v>30952</v>
      </c>
      <c r="I4977" t="s">
        <v>632</v>
      </c>
      <c r="J4977" t="s">
        <v>111</v>
      </c>
      <c r="K4977" t="str">
        <f>"85379"</f>
        <v>85379</v>
      </c>
      <c r="L4977" t="s">
        <v>4751</v>
      </c>
      <c r="M4977" t="s">
        <v>30952</v>
      </c>
      <c r="N4977" t="s">
        <v>632</v>
      </c>
      <c r="O4977" t="s">
        <v>111</v>
      </c>
      <c r="P4977" t="str">
        <f>"85379-5134"</f>
        <v>85379-5134</v>
      </c>
      <c r="Q4977" t="s">
        <v>113</v>
      </c>
      <c r="R4977" t="str">
        <f>"501-97-159"</f>
        <v>501-97-159</v>
      </c>
      <c r="S4977" t="s">
        <v>30953</v>
      </c>
      <c r="U4977">
        <v>1716</v>
      </c>
      <c r="V4977">
        <v>0</v>
      </c>
      <c r="W4977">
        <v>2</v>
      </c>
      <c r="X4977">
        <v>2003</v>
      </c>
      <c r="Z4977">
        <v>1</v>
      </c>
      <c r="AB4977">
        <v>0</v>
      </c>
      <c r="AC4977" t="s">
        <v>115</v>
      </c>
      <c r="AD4977">
        <v>2</v>
      </c>
      <c r="AE4977" t="s">
        <v>115</v>
      </c>
      <c r="AF4977">
        <v>0</v>
      </c>
      <c r="AG4977">
        <v>0</v>
      </c>
      <c r="AH4977" t="s">
        <v>116</v>
      </c>
      <c r="AI4977" s="1">
        <v>35521</v>
      </c>
      <c r="AJ4977" s="2">
        <v>0.15</v>
      </c>
      <c r="AK4977" s="1">
        <v>242121</v>
      </c>
      <c r="AL4977" t="s">
        <v>117</v>
      </c>
      <c r="AM4977" t="s">
        <v>118</v>
      </c>
      <c r="AN4977">
        <v>6418</v>
      </c>
      <c r="AO4977">
        <v>0.15</v>
      </c>
      <c r="AP4977">
        <v>1</v>
      </c>
      <c r="AR4977">
        <v>1</v>
      </c>
      <c r="AS4977" s="1">
        <v>16330</v>
      </c>
      <c r="AT4977" s="1">
        <v>3260</v>
      </c>
      <c r="AU4977" s="1">
        <v>13070</v>
      </c>
      <c r="AV4977">
        <v>80.040000000000006</v>
      </c>
      <c r="AX4977" s="1">
        <v>1163.8</v>
      </c>
      <c r="AY4977" t="s">
        <v>6615</v>
      </c>
      <c r="AZ4977" t="s">
        <v>6615</v>
      </c>
      <c r="BA4977" t="s">
        <v>5061</v>
      </c>
      <c r="BB4977" s="3">
        <v>43244</v>
      </c>
      <c r="BC4977" s="1">
        <v>0</v>
      </c>
      <c r="BD4977" t="s">
        <v>247</v>
      </c>
      <c r="BE4977" s="3">
        <v>41822</v>
      </c>
      <c r="BF4977" s="1">
        <v>158000</v>
      </c>
      <c r="BG4977" t="s">
        <v>30954</v>
      </c>
      <c r="BH4977" s="1">
        <v>92.07</v>
      </c>
      <c r="BI4977" s="1">
        <v>206600</v>
      </c>
      <c r="BJ4977" s="3">
        <v>43244</v>
      </c>
      <c r="BK4977" t="s">
        <v>123</v>
      </c>
      <c r="BL4977" t="str">
        <f>"2018.396868"</f>
        <v>2018.396868</v>
      </c>
      <c r="BM4977" t="s">
        <v>6896</v>
      </c>
      <c r="BN4977" t="s">
        <v>6128</v>
      </c>
      <c r="BO4977" t="s">
        <v>30955</v>
      </c>
      <c r="BP4977" t="s">
        <v>30956</v>
      </c>
      <c r="BR4977" t="s">
        <v>139</v>
      </c>
      <c r="BW4977" t="str">
        <f>""</f>
        <v/>
      </c>
      <c r="CH4977" t="str">
        <f>""</f>
        <v/>
      </c>
      <c r="CS4977" t="str">
        <f>""</f>
        <v/>
      </c>
    </row>
    <row r="4978" spans="1:97" x14ac:dyDescent="0.25">
      <c r="A4978" t="s">
        <v>30957</v>
      </c>
      <c r="B4978" t="s">
        <v>30958</v>
      </c>
      <c r="E4978" t="s">
        <v>30959</v>
      </c>
      <c r="F4978" t="s">
        <v>108</v>
      </c>
      <c r="H4978" t="s">
        <v>30960</v>
      </c>
      <c r="I4978" t="s">
        <v>453</v>
      </c>
      <c r="J4978" t="s">
        <v>111</v>
      </c>
      <c r="K4978" t="str">
        <f>"85382"</f>
        <v>85382</v>
      </c>
      <c r="L4978" t="s">
        <v>7147</v>
      </c>
      <c r="M4978" t="s">
        <v>30960</v>
      </c>
      <c r="N4978" t="s">
        <v>453</v>
      </c>
      <c r="O4978" t="s">
        <v>111</v>
      </c>
      <c r="P4978" t="str">
        <f>"85382-8214"</f>
        <v>85382-8214</v>
      </c>
      <c r="Q4978" t="s">
        <v>113</v>
      </c>
      <c r="R4978" t="str">
        <f>"200-43-518"</f>
        <v>200-43-518</v>
      </c>
      <c r="S4978" t="s">
        <v>8285</v>
      </c>
      <c r="T4978" t="s">
        <v>8285</v>
      </c>
      <c r="U4978">
        <v>1883</v>
      </c>
      <c r="V4978">
        <v>0</v>
      </c>
      <c r="W4978">
        <v>3</v>
      </c>
      <c r="X4978">
        <v>2014</v>
      </c>
      <c r="Z4978">
        <v>2</v>
      </c>
      <c r="AB4978">
        <v>0</v>
      </c>
      <c r="AC4978" t="s">
        <v>115</v>
      </c>
      <c r="AD4978">
        <v>2</v>
      </c>
      <c r="AE4978" t="s">
        <v>115</v>
      </c>
      <c r="AF4978">
        <v>0</v>
      </c>
      <c r="AG4978">
        <v>0</v>
      </c>
      <c r="AH4978" t="s">
        <v>116</v>
      </c>
      <c r="AI4978" s="1">
        <v>61513</v>
      </c>
      <c r="AJ4978" s="2">
        <v>0.21</v>
      </c>
      <c r="AK4978" s="1">
        <v>286455</v>
      </c>
      <c r="AL4978" t="s">
        <v>117</v>
      </c>
      <c r="AM4978" t="s">
        <v>118</v>
      </c>
      <c r="AN4978">
        <v>2851</v>
      </c>
      <c r="AO4978">
        <v>0.65</v>
      </c>
      <c r="AR4978">
        <v>1</v>
      </c>
      <c r="AS4978" s="1">
        <v>20430</v>
      </c>
      <c r="AT4978" s="1">
        <v>4080</v>
      </c>
      <c r="AU4978" s="1">
        <v>16350</v>
      </c>
      <c r="AV4978">
        <v>80.03</v>
      </c>
      <c r="AX4978" s="1">
        <v>1650.84</v>
      </c>
      <c r="AY4978" t="s">
        <v>7828</v>
      </c>
      <c r="AZ4978" t="s">
        <v>7828</v>
      </c>
      <c r="BA4978" t="s">
        <v>4219</v>
      </c>
      <c r="BE4978" s="3">
        <v>42004</v>
      </c>
      <c r="BF4978" s="1">
        <v>224942</v>
      </c>
      <c r="BG4978" t="s">
        <v>30961</v>
      </c>
      <c r="BH4978" s="1">
        <v>119.46</v>
      </c>
      <c r="BI4978" s="1">
        <v>224942</v>
      </c>
      <c r="BJ4978" s="3">
        <v>42004</v>
      </c>
      <c r="BK4978" t="s">
        <v>123</v>
      </c>
      <c r="BL4978" t="str">
        <f>"2014.860595"</f>
        <v>2014.860595</v>
      </c>
      <c r="BM4978" t="s">
        <v>2245</v>
      </c>
      <c r="BO4978" t="s">
        <v>30962</v>
      </c>
      <c r="BS4978">
        <v>30</v>
      </c>
      <c r="BW4978" t="str">
        <f>""</f>
        <v/>
      </c>
      <c r="CH4978" t="str">
        <f>""</f>
        <v/>
      </c>
      <c r="CS4978" t="str">
        <f>""</f>
        <v/>
      </c>
    </row>
    <row r="4979" spans="1:97" x14ac:dyDescent="0.25">
      <c r="A4979" t="s">
        <v>2537</v>
      </c>
      <c r="B4979" t="s">
        <v>30963</v>
      </c>
      <c r="C4979" t="s">
        <v>3470</v>
      </c>
      <c r="D4979" t="s">
        <v>30963</v>
      </c>
      <c r="E4979" t="s">
        <v>30964</v>
      </c>
      <c r="F4979" t="s">
        <v>108</v>
      </c>
      <c r="H4979" t="s">
        <v>30965</v>
      </c>
      <c r="I4979" t="s">
        <v>225</v>
      </c>
      <c r="J4979" t="s">
        <v>111</v>
      </c>
      <c r="K4979" t="str">
        <f>"85208"</f>
        <v>85208</v>
      </c>
      <c r="L4979" t="s">
        <v>5218</v>
      </c>
      <c r="M4979" t="s">
        <v>30965</v>
      </c>
      <c r="N4979" t="s">
        <v>225</v>
      </c>
      <c r="O4979" t="s">
        <v>111</v>
      </c>
      <c r="P4979" t="str">
        <f>"85208-4660"</f>
        <v>85208-4660</v>
      </c>
      <c r="Q4979" t="s">
        <v>113</v>
      </c>
      <c r="R4979" t="str">
        <f>"218-54-548"</f>
        <v>218-54-548</v>
      </c>
      <c r="S4979" t="s">
        <v>30966</v>
      </c>
      <c r="U4979">
        <v>1528</v>
      </c>
      <c r="V4979">
        <v>0</v>
      </c>
      <c r="W4979">
        <v>2</v>
      </c>
      <c r="X4979">
        <v>1982</v>
      </c>
      <c r="Z4979">
        <v>1</v>
      </c>
      <c r="AB4979">
        <v>0</v>
      </c>
      <c r="AC4979" t="s">
        <v>115</v>
      </c>
      <c r="AD4979">
        <v>2</v>
      </c>
      <c r="AE4979" t="s">
        <v>115</v>
      </c>
      <c r="AF4979">
        <v>0</v>
      </c>
      <c r="AG4979">
        <v>0</v>
      </c>
      <c r="AH4979" t="s">
        <v>116</v>
      </c>
      <c r="AI4979" s="1">
        <v>-9828</v>
      </c>
      <c r="AJ4979" s="2">
        <v>-0.04</v>
      </c>
      <c r="AK4979" s="1">
        <v>240171</v>
      </c>
      <c r="AL4979" t="s">
        <v>117</v>
      </c>
      <c r="AM4979" t="s">
        <v>191</v>
      </c>
      <c r="AN4979">
        <v>7270</v>
      </c>
      <c r="AO4979">
        <v>0.17</v>
      </c>
      <c r="AP4979">
        <v>1</v>
      </c>
      <c r="AR4979">
        <v>1</v>
      </c>
      <c r="AS4979" s="1">
        <v>16080</v>
      </c>
      <c r="AT4979" s="1">
        <v>3210</v>
      </c>
      <c r="AU4979" s="1">
        <v>12870</v>
      </c>
      <c r="AV4979">
        <v>80.040000000000006</v>
      </c>
      <c r="AX4979" s="1">
        <v>1470.12</v>
      </c>
      <c r="AY4979" t="s">
        <v>12506</v>
      </c>
      <c r="AZ4979" t="s">
        <v>231</v>
      </c>
      <c r="BA4979" t="s">
        <v>232</v>
      </c>
      <c r="BE4979" s="3">
        <v>42174</v>
      </c>
      <c r="BF4979" s="1">
        <v>172500</v>
      </c>
      <c r="BG4979" t="s">
        <v>30967</v>
      </c>
      <c r="BH4979" s="1">
        <v>112.89</v>
      </c>
      <c r="BI4979" s="1">
        <v>249999</v>
      </c>
      <c r="BJ4979" s="3">
        <v>43585</v>
      </c>
      <c r="BK4979" t="s">
        <v>123</v>
      </c>
      <c r="BL4979" t="str">
        <f>"2019.309842"</f>
        <v>2019.309842</v>
      </c>
      <c r="BM4979" t="s">
        <v>3040</v>
      </c>
      <c r="BN4979" t="s">
        <v>3041</v>
      </c>
      <c r="BO4979" t="s">
        <v>30968</v>
      </c>
      <c r="BP4979" t="s">
        <v>30969</v>
      </c>
      <c r="BR4979" t="s">
        <v>139</v>
      </c>
      <c r="BW4979" t="str">
        <f>""</f>
        <v/>
      </c>
      <c r="CH4979" t="str">
        <f>""</f>
        <v/>
      </c>
      <c r="CS4979" t="str">
        <f>""</f>
        <v/>
      </c>
    </row>
    <row r="4980" spans="1:97" x14ac:dyDescent="0.25">
      <c r="A4980" t="s">
        <v>6000</v>
      </c>
      <c r="B4980" t="s">
        <v>30970</v>
      </c>
      <c r="C4980" t="s">
        <v>5014</v>
      </c>
      <c r="D4980" t="s">
        <v>30970</v>
      </c>
      <c r="E4980" t="s">
        <v>30971</v>
      </c>
      <c r="F4980" t="s">
        <v>108</v>
      </c>
      <c r="H4980" t="s">
        <v>30972</v>
      </c>
      <c r="I4980" t="s">
        <v>453</v>
      </c>
      <c r="J4980" t="s">
        <v>111</v>
      </c>
      <c r="K4980" t="str">
        <f>"85345"</f>
        <v>85345</v>
      </c>
      <c r="L4980" t="s">
        <v>5176</v>
      </c>
      <c r="M4980" t="s">
        <v>30972</v>
      </c>
      <c r="N4980" t="s">
        <v>453</v>
      </c>
      <c r="O4980" t="s">
        <v>111</v>
      </c>
      <c r="P4980" t="str">
        <f>"85345-7985"</f>
        <v>85345-7985</v>
      </c>
      <c r="Q4980" t="s">
        <v>113</v>
      </c>
      <c r="R4980" t="str">
        <f>"142-35-476"</f>
        <v>142-35-476</v>
      </c>
      <c r="S4980" t="s">
        <v>6942</v>
      </c>
      <c r="T4980" t="s">
        <v>6943</v>
      </c>
      <c r="U4980">
        <v>2437</v>
      </c>
      <c r="V4980">
        <v>0</v>
      </c>
      <c r="W4980">
        <v>3</v>
      </c>
      <c r="X4980">
        <v>2014</v>
      </c>
      <c r="Z4980">
        <v>1</v>
      </c>
      <c r="AB4980">
        <v>0</v>
      </c>
      <c r="AC4980" t="s">
        <v>115</v>
      </c>
      <c r="AD4980">
        <v>3</v>
      </c>
      <c r="AE4980" t="s">
        <v>115</v>
      </c>
      <c r="AF4980">
        <v>0</v>
      </c>
      <c r="AG4980">
        <v>0</v>
      </c>
      <c r="AH4980" t="s">
        <v>116</v>
      </c>
      <c r="AI4980" s="1">
        <v>18864</v>
      </c>
      <c r="AJ4980" s="2">
        <v>0.05</v>
      </c>
      <c r="AK4980" s="1">
        <v>349710</v>
      </c>
      <c r="AL4980" t="s">
        <v>117</v>
      </c>
      <c r="AM4980" t="s">
        <v>118</v>
      </c>
      <c r="AN4980">
        <v>7690</v>
      </c>
      <c r="AO4980">
        <v>0.18</v>
      </c>
      <c r="AR4980">
        <v>1</v>
      </c>
      <c r="AS4980" s="1">
        <v>24510</v>
      </c>
      <c r="AT4980" s="1">
        <v>4900</v>
      </c>
      <c r="AU4980" s="1">
        <v>19610</v>
      </c>
      <c r="AV4980">
        <v>80.010000000000005</v>
      </c>
      <c r="AX4980" s="1">
        <v>1940.84</v>
      </c>
      <c r="AY4980" t="s">
        <v>6944</v>
      </c>
      <c r="AZ4980" t="s">
        <v>6944</v>
      </c>
      <c r="BA4980" t="s">
        <v>6945</v>
      </c>
      <c r="BE4980" s="3">
        <v>41918</v>
      </c>
      <c r="BF4980" s="1">
        <v>337364</v>
      </c>
      <c r="BG4980" t="s">
        <v>636</v>
      </c>
      <c r="BH4980" s="1">
        <v>138.43</v>
      </c>
      <c r="BI4980" s="1">
        <v>330846</v>
      </c>
      <c r="BJ4980" s="3">
        <v>42291</v>
      </c>
      <c r="BK4980" t="s">
        <v>123</v>
      </c>
      <c r="BL4980" t="str">
        <f>"2015.739109"</f>
        <v>2015.739109</v>
      </c>
      <c r="BM4980" t="s">
        <v>475</v>
      </c>
      <c r="BO4980" t="s">
        <v>30973</v>
      </c>
      <c r="BS4980">
        <v>30</v>
      </c>
      <c r="BW4980" t="str">
        <f>""</f>
        <v/>
      </c>
      <c r="CH4980" t="str">
        <f>""</f>
        <v/>
      </c>
      <c r="CS4980" t="str">
        <f>""</f>
        <v/>
      </c>
    </row>
    <row r="4981" spans="1:97" x14ac:dyDescent="0.25">
      <c r="A4981" t="s">
        <v>3258</v>
      </c>
      <c r="B4981" t="s">
        <v>141</v>
      </c>
      <c r="E4981" t="s">
        <v>30974</v>
      </c>
      <c r="F4981" t="s">
        <v>108</v>
      </c>
      <c r="H4981" t="s">
        <v>30975</v>
      </c>
      <c r="I4981" t="s">
        <v>453</v>
      </c>
      <c r="J4981" t="s">
        <v>111</v>
      </c>
      <c r="K4981" t="str">
        <f>"85382"</f>
        <v>85382</v>
      </c>
      <c r="L4981" t="s">
        <v>5524</v>
      </c>
      <c r="M4981" t="s">
        <v>30975</v>
      </c>
      <c r="N4981" t="s">
        <v>453</v>
      </c>
      <c r="O4981" t="s">
        <v>111</v>
      </c>
      <c r="P4981" t="str">
        <f>"85382"</f>
        <v>85382</v>
      </c>
      <c r="Q4981" t="s">
        <v>113</v>
      </c>
      <c r="R4981" t="str">
        <f>"200-42-620"</f>
        <v>200-42-620</v>
      </c>
      <c r="S4981" t="s">
        <v>30976</v>
      </c>
      <c r="T4981" t="s">
        <v>10958</v>
      </c>
      <c r="U4981">
        <v>1707</v>
      </c>
      <c r="V4981">
        <v>0</v>
      </c>
      <c r="W4981">
        <v>3</v>
      </c>
      <c r="X4981">
        <v>1991</v>
      </c>
      <c r="Z4981">
        <v>1</v>
      </c>
      <c r="AA4981" t="s">
        <v>26</v>
      </c>
      <c r="AB4981">
        <v>0</v>
      </c>
      <c r="AC4981" t="s">
        <v>115</v>
      </c>
      <c r="AD4981">
        <v>2</v>
      </c>
      <c r="AE4981" t="s">
        <v>115</v>
      </c>
      <c r="AF4981">
        <v>0</v>
      </c>
      <c r="AG4981">
        <v>0</v>
      </c>
      <c r="AH4981" t="s">
        <v>116</v>
      </c>
      <c r="AI4981" s="1">
        <v>63735</v>
      </c>
      <c r="AJ4981" s="2">
        <v>0.22</v>
      </c>
      <c r="AK4981" s="1">
        <v>293735</v>
      </c>
      <c r="AL4981" t="s">
        <v>117</v>
      </c>
      <c r="AM4981" t="s">
        <v>3345</v>
      </c>
      <c r="AN4981">
        <v>8900</v>
      </c>
      <c r="AO4981">
        <v>0.2</v>
      </c>
      <c r="AP4981">
        <v>1</v>
      </c>
      <c r="AR4981">
        <v>1</v>
      </c>
      <c r="AS4981" s="1">
        <v>20570</v>
      </c>
      <c r="AT4981" s="1">
        <v>4110</v>
      </c>
      <c r="AU4981" s="1">
        <v>16460</v>
      </c>
      <c r="AV4981">
        <v>80.02</v>
      </c>
      <c r="AX4981" s="1">
        <v>1606.82</v>
      </c>
      <c r="AY4981" t="s">
        <v>7828</v>
      </c>
      <c r="AZ4981" t="s">
        <v>7828</v>
      </c>
      <c r="BA4981" t="s">
        <v>4219</v>
      </c>
      <c r="BE4981" s="3">
        <v>42152</v>
      </c>
      <c r="BF4981" s="1">
        <v>230000</v>
      </c>
      <c r="BG4981" t="s">
        <v>30977</v>
      </c>
      <c r="BH4981" s="1">
        <v>134.74</v>
      </c>
      <c r="BI4981" s="1">
        <v>230000</v>
      </c>
      <c r="BJ4981" s="3">
        <v>42152</v>
      </c>
      <c r="BK4981" t="s">
        <v>123</v>
      </c>
      <c r="BL4981" t="str">
        <f>"2015.379463"</f>
        <v>2015.379463</v>
      </c>
      <c r="BM4981" t="s">
        <v>1325</v>
      </c>
      <c r="BO4981" t="s">
        <v>30978</v>
      </c>
      <c r="BS4981">
        <v>30</v>
      </c>
      <c r="BW4981" t="str">
        <f>""</f>
        <v/>
      </c>
      <c r="CH4981" t="str">
        <f>""</f>
        <v/>
      </c>
      <c r="CS4981" t="str">
        <f>""</f>
        <v/>
      </c>
    </row>
    <row r="4982" spans="1:97" x14ac:dyDescent="0.25">
      <c r="A4982" t="s">
        <v>1272</v>
      </c>
      <c r="B4982" t="s">
        <v>30979</v>
      </c>
      <c r="E4982" t="s">
        <v>30980</v>
      </c>
      <c r="F4982" t="s">
        <v>108</v>
      </c>
      <c r="H4982" t="s">
        <v>30981</v>
      </c>
      <c r="I4982" t="s">
        <v>632</v>
      </c>
      <c r="J4982" t="s">
        <v>111</v>
      </c>
      <c r="K4982" t="str">
        <f>"85379"</f>
        <v>85379</v>
      </c>
      <c r="L4982" t="s">
        <v>558</v>
      </c>
      <c r="M4982" t="s">
        <v>30981</v>
      </c>
      <c r="N4982" t="s">
        <v>632</v>
      </c>
      <c r="O4982" t="s">
        <v>111</v>
      </c>
      <c r="P4982" t="str">
        <f>"85379-4446"</f>
        <v>85379-4446</v>
      </c>
      <c r="Q4982" t="s">
        <v>113</v>
      </c>
      <c r="R4982" t="str">
        <f>"509-15-202"</f>
        <v>509-15-202</v>
      </c>
      <c r="S4982" t="s">
        <v>7110</v>
      </c>
      <c r="U4982">
        <v>1909</v>
      </c>
      <c r="V4982">
        <v>0</v>
      </c>
      <c r="W4982">
        <v>3</v>
      </c>
      <c r="X4982">
        <v>2004</v>
      </c>
      <c r="Z4982">
        <v>1</v>
      </c>
      <c r="AB4982">
        <v>0</v>
      </c>
      <c r="AC4982" t="s">
        <v>115</v>
      </c>
      <c r="AD4982">
        <v>2</v>
      </c>
      <c r="AE4982" t="s">
        <v>115</v>
      </c>
      <c r="AF4982">
        <v>0</v>
      </c>
      <c r="AG4982">
        <v>0</v>
      </c>
      <c r="AH4982" t="s">
        <v>116</v>
      </c>
      <c r="AI4982" s="1">
        <v>67308</v>
      </c>
      <c r="AJ4982" s="2">
        <v>0.25</v>
      </c>
      <c r="AK4982" s="1">
        <v>272308</v>
      </c>
      <c r="AL4982" t="s">
        <v>117</v>
      </c>
      <c r="AM4982" t="s">
        <v>118</v>
      </c>
      <c r="AN4982">
        <v>7800</v>
      </c>
      <c r="AO4982">
        <v>0.18</v>
      </c>
      <c r="AP4982">
        <v>1</v>
      </c>
      <c r="AR4982">
        <v>1</v>
      </c>
      <c r="AS4982" s="1">
        <v>18330</v>
      </c>
      <c r="AT4982" s="1">
        <v>3660</v>
      </c>
      <c r="AU4982" s="1">
        <v>14670</v>
      </c>
      <c r="AV4982">
        <v>80.03</v>
      </c>
      <c r="AX4982" s="1">
        <v>1457.98</v>
      </c>
      <c r="AY4982" t="s">
        <v>5615</v>
      </c>
      <c r="AZ4982" t="s">
        <v>5615</v>
      </c>
      <c r="BA4982" t="s">
        <v>635</v>
      </c>
      <c r="BE4982" s="3">
        <v>41912</v>
      </c>
      <c r="BF4982" s="1">
        <v>176000</v>
      </c>
      <c r="BG4982" t="s">
        <v>30982</v>
      </c>
      <c r="BH4982" s="1">
        <v>92.19</v>
      </c>
      <c r="BI4982" s="1">
        <v>205000</v>
      </c>
      <c r="BJ4982" s="3">
        <v>43154</v>
      </c>
      <c r="BK4982" t="s">
        <v>123</v>
      </c>
      <c r="BL4982" t="str">
        <f>"2018.135766"</f>
        <v>2018.135766</v>
      </c>
      <c r="BM4982" t="s">
        <v>5842</v>
      </c>
      <c r="BN4982" t="s">
        <v>5843</v>
      </c>
      <c r="BO4982" t="s">
        <v>30980</v>
      </c>
      <c r="BR4982" t="s">
        <v>139</v>
      </c>
      <c r="BW4982" t="str">
        <f>""</f>
        <v/>
      </c>
      <c r="CH4982" t="str">
        <f>""</f>
        <v/>
      </c>
      <c r="CS4982" t="str">
        <f>""</f>
        <v/>
      </c>
    </row>
    <row r="4983" spans="1:97" x14ac:dyDescent="0.25">
      <c r="A4983" t="s">
        <v>305</v>
      </c>
      <c r="B4983" t="s">
        <v>212</v>
      </c>
      <c r="C4983" t="s">
        <v>2761</v>
      </c>
      <c r="D4983" t="s">
        <v>212</v>
      </c>
      <c r="E4983" t="s">
        <v>30983</v>
      </c>
      <c r="F4983" t="s">
        <v>108</v>
      </c>
      <c r="H4983" t="s">
        <v>30984</v>
      </c>
      <c r="I4983" t="s">
        <v>632</v>
      </c>
      <c r="J4983" t="s">
        <v>111</v>
      </c>
      <c r="K4983" t="str">
        <f>"85387"</f>
        <v>85387</v>
      </c>
      <c r="L4983" t="s">
        <v>6529</v>
      </c>
      <c r="M4983" t="s">
        <v>30984</v>
      </c>
      <c r="N4983" t="s">
        <v>632</v>
      </c>
      <c r="O4983" t="s">
        <v>111</v>
      </c>
      <c r="P4983" t="str">
        <f>"85387-1087"</f>
        <v>85387-1087</v>
      </c>
      <c r="R4983" t="str">
        <f>"503-51-730"</f>
        <v>503-51-730</v>
      </c>
      <c r="S4983" t="s">
        <v>17661</v>
      </c>
      <c r="T4983" t="s">
        <v>5498</v>
      </c>
      <c r="U4983">
        <v>2401</v>
      </c>
      <c r="V4983">
        <v>0</v>
      </c>
      <c r="W4983">
        <v>4</v>
      </c>
      <c r="X4983">
        <v>2007</v>
      </c>
      <c r="Z4983">
        <v>2</v>
      </c>
      <c r="AB4983">
        <v>0</v>
      </c>
      <c r="AC4983" t="s">
        <v>115</v>
      </c>
      <c r="AD4983">
        <v>2</v>
      </c>
      <c r="AE4983" t="s">
        <v>115</v>
      </c>
      <c r="AF4983">
        <v>0</v>
      </c>
      <c r="AG4983">
        <v>0</v>
      </c>
      <c r="AH4983" t="s">
        <v>116</v>
      </c>
      <c r="AI4983" s="1">
        <v>47372</v>
      </c>
      <c r="AJ4983" s="2">
        <v>0.17</v>
      </c>
      <c r="AK4983" s="1">
        <v>273372</v>
      </c>
      <c r="AL4983" t="s">
        <v>117</v>
      </c>
      <c r="AM4983" t="s">
        <v>118</v>
      </c>
      <c r="AN4983">
        <v>7283</v>
      </c>
      <c r="AO4983">
        <v>0.17</v>
      </c>
      <c r="AR4983">
        <v>1</v>
      </c>
      <c r="AS4983" s="1">
        <v>17810</v>
      </c>
      <c r="AT4983" s="1">
        <v>3560</v>
      </c>
      <c r="AU4983" s="1">
        <v>14250</v>
      </c>
      <c r="AV4983">
        <v>80.010000000000005</v>
      </c>
      <c r="AX4983" s="1">
        <v>1018.96</v>
      </c>
      <c r="AY4983" t="s">
        <v>5499</v>
      </c>
      <c r="AZ4983" t="s">
        <v>5499</v>
      </c>
      <c r="BE4983" s="3">
        <v>42543</v>
      </c>
      <c r="BF4983" s="1">
        <v>226000</v>
      </c>
      <c r="BG4983" t="s">
        <v>30985</v>
      </c>
      <c r="BH4983" s="1">
        <v>94.13</v>
      </c>
      <c r="BI4983" s="1">
        <v>226000</v>
      </c>
      <c r="BJ4983" s="3">
        <v>42543</v>
      </c>
      <c r="BK4983" t="s">
        <v>123</v>
      </c>
      <c r="BL4983" t="str">
        <f>"2016.434763"</f>
        <v>2016.434763</v>
      </c>
      <c r="BM4983" t="s">
        <v>135</v>
      </c>
      <c r="BN4983" t="s">
        <v>136</v>
      </c>
      <c r="BO4983" t="s">
        <v>30986</v>
      </c>
      <c r="BS4983">
        <v>30</v>
      </c>
      <c r="BW4983" t="str">
        <f>""</f>
        <v/>
      </c>
      <c r="CH4983" t="str">
        <f>""</f>
        <v/>
      </c>
      <c r="CS4983" t="str">
        <f>""</f>
        <v/>
      </c>
    </row>
    <row r="4984" spans="1:97" x14ac:dyDescent="0.25">
      <c r="A4984" t="s">
        <v>3534</v>
      </c>
      <c r="B4984" t="s">
        <v>22198</v>
      </c>
      <c r="E4984" t="s">
        <v>30987</v>
      </c>
      <c r="F4984" t="s">
        <v>108</v>
      </c>
      <c r="H4984" t="s">
        <v>30988</v>
      </c>
      <c r="I4984" t="s">
        <v>203</v>
      </c>
      <c r="J4984" t="s">
        <v>111</v>
      </c>
      <c r="K4984" t="str">
        <f>"85234"</f>
        <v>85234</v>
      </c>
      <c r="L4984" t="s">
        <v>7626</v>
      </c>
      <c r="M4984" t="s">
        <v>30988</v>
      </c>
      <c r="N4984" t="s">
        <v>203</v>
      </c>
      <c r="O4984" t="s">
        <v>111</v>
      </c>
      <c r="P4984" t="str">
        <f>"85234-4580"</f>
        <v>85234-4580</v>
      </c>
      <c r="Q4984" t="s">
        <v>113</v>
      </c>
      <c r="R4984" t="str">
        <f>"304-12-683"</f>
        <v>304-12-683</v>
      </c>
      <c r="S4984" t="s">
        <v>30989</v>
      </c>
      <c r="T4984" t="s">
        <v>16148</v>
      </c>
      <c r="U4984">
        <v>2302</v>
      </c>
      <c r="V4984">
        <v>0</v>
      </c>
      <c r="W4984">
        <v>3</v>
      </c>
      <c r="X4984">
        <v>1985</v>
      </c>
      <c r="Z4984">
        <v>2</v>
      </c>
      <c r="AA4984" t="s">
        <v>26</v>
      </c>
      <c r="AB4984">
        <v>0</v>
      </c>
      <c r="AC4984" t="s">
        <v>115</v>
      </c>
      <c r="AD4984">
        <v>2</v>
      </c>
      <c r="AE4984" t="s">
        <v>115</v>
      </c>
      <c r="AF4984">
        <v>0</v>
      </c>
      <c r="AG4984">
        <v>0</v>
      </c>
      <c r="AH4984" t="s">
        <v>116</v>
      </c>
      <c r="AI4984" s="1">
        <v>77513</v>
      </c>
      <c r="AJ4984" s="2">
        <v>0.23</v>
      </c>
      <c r="AK4984" s="1">
        <v>339017</v>
      </c>
      <c r="AL4984" t="s">
        <v>117</v>
      </c>
      <c r="AM4984" t="s">
        <v>288</v>
      </c>
      <c r="AN4984">
        <v>5114</v>
      </c>
      <c r="AO4984">
        <v>0.12</v>
      </c>
      <c r="AP4984">
        <v>1</v>
      </c>
      <c r="AR4984">
        <v>1</v>
      </c>
      <c r="AS4984" s="1">
        <v>22420</v>
      </c>
      <c r="AT4984" s="1">
        <v>4480</v>
      </c>
      <c r="AU4984" s="1">
        <v>17940</v>
      </c>
      <c r="AV4984">
        <v>80.02</v>
      </c>
      <c r="AX4984" s="1">
        <v>1615.82</v>
      </c>
      <c r="AY4984" t="s">
        <v>9115</v>
      </c>
      <c r="AZ4984" t="s">
        <v>5478</v>
      </c>
      <c r="BA4984" t="s">
        <v>5033</v>
      </c>
      <c r="BE4984" s="3">
        <v>42191</v>
      </c>
      <c r="BF4984" s="1">
        <v>256000</v>
      </c>
      <c r="BG4984" t="s">
        <v>30990</v>
      </c>
      <c r="BH4984" s="1">
        <v>111.21</v>
      </c>
      <c r="BI4984" s="1">
        <v>261504</v>
      </c>
      <c r="BJ4984" s="3">
        <v>42191</v>
      </c>
      <c r="BK4984" t="s">
        <v>123</v>
      </c>
      <c r="BL4984" t="str">
        <f>"2015.481826"</f>
        <v>2015.481826</v>
      </c>
      <c r="BM4984" t="s">
        <v>1185</v>
      </c>
      <c r="BO4984" t="s">
        <v>30991</v>
      </c>
      <c r="BS4984">
        <v>30</v>
      </c>
      <c r="BW4984" t="str">
        <f>""</f>
        <v/>
      </c>
      <c r="CH4984" t="str">
        <f>""</f>
        <v/>
      </c>
      <c r="CS4984" t="str">
        <f>""</f>
        <v/>
      </c>
    </row>
    <row r="4985" spans="1:97" x14ac:dyDescent="0.25">
      <c r="A4985" t="s">
        <v>140</v>
      </c>
      <c r="B4985" t="s">
        <v>16775</v>
      </c>
      <c r="E4985" t="s">
        <v>30992</v>
      </c>
      <c r="F4985" t="s">
        <v>108</v>
      </c>
      <c r="H4985" t="s">
        <v>30993</v>
      </c>
      <c r="I4985" t="s">
        <v>390</v>
      </c>
      <c r="J4985" t="s">
        <v>111</v>
      </c>
      <c r="K4985" t="str">
        <f>"85037"</f>
        <v>85037</v>
      </c>
      <c r="L4985" t="s">
        <v>5910</v>
      </c>
      <c r="M4985" t="s">
        <v>30993</v>
      </c>
      <c r="N4985" t="s">
        <v>390</v>
      </c>
      <c r="O4985" t="s">
        <v>111</v>
      </c>
      <c r="P4985" t="str">
        <f>"85037-6304"</f>
        <v>85037-6304</v>
      </c>
      <c r="Q4985" t="s">
        <v>113</v>
      </c>
      <c r="R4985" t="str">
        <f>"102-34-178"</f>
        <v>102-34-178</v>
      </c>
      <c r="S4985" t="s">
        <v>11277</v>
      </c>
      <c r="T4985" t="s">
        <v>11278</v>
      </c>
      <c r="U4985">
        <v>2308</v>
      </c>
      <c r="V4985">
        <v>0</v>
      </c>
      <c r="W4985">
        <v>4</v>
      </c>
      <c r="X4985">
        <v>2003</v>
      </c>
      <c r="Z4985">
        <v>1</v>
      </c>
      <c r="AB4985">
        <v>0</v>
      </c>
      <c r="AC4985" t="s">
        <v>115</v>
      </c>
      <c r="AD4985">
        <v>3</v>
      </c>
      <c r="AE4985" t="s">
        <v>115</v>
      </c>
      <c r="AF4985">
        <v>0</v>
      </c>
      <c r="AG4985">
        <v>0</v>
      </c>
      <c r="AH4985" t="s">
        <v>116</v>
      </c>
      <c r="AI4985" s="1">
        <v>50036</v>
      </c>
      <c r="AJ4985" s="2">
        <v>0.18</v>
      </c>
      <c r="AK4985" s="1">
        <v>274936</v>
      </c>
      <c r="AL4985" t="s">
        <v>117</v>
      </c>
      <c r="AM4985" t="s">
        <v>171</v>
      </c>
      <c r="AN4985">
        <v>9096</v>
      </c>
      <c r="AO4985">
        <v>0.21</v>
      </c>
      <c r="AP4985">
        <v>1</v>
      </c>
      <c r="AR4985">
        <v>1</v>
      </c>
      <c r="AS4985" s="1">
        <v>19110</v>
      </c>
      <c r="AT4985" s="1">
        <v>3820</v>
      </c>
      <c r="AU4985" s="1">
        <v>15290</v>
      </c>
      <c r="AV4985">
        <v>80.010000000000005</v>
      </c>
      <c r="AX4985" s="1">
        <v>1756.26</v>
      </c>
      <c r="AY4985" t="s">
        <v>11279</v>
      </c>
      <c r="AZ4985" t="s">
        <v>11279</v>
      </c>
      <c r="BA4985" t="s">
        <v>11280</v>
      </c>
      <c r="BE4985" s="3">
        <v>42417</v>
      </c>
      <c r="BF4985" s="1">
        <v>218000</v>
      </c>
      <c r="BG4985" t="s">
        <v>30994</v>
      </c>
      <c r="BH4985" s="1">
        <v>94.45</v>
      </c>
      <c r="BI4985" s="1">
        <v>224900</v>
      </c>
      <c r="BJ4985" s="3">
        <v>42578</v>
      </c>
      <c r="BK4985" t="s">
        <v>123</v>
      </c>
      <c r="BL4985" t="str">
        <f>"2016.531594"</f>
        <v>2016.531594</v>
      </c>
      <c r="BM4985" t="s">
        <v>248</v>
      </c>
      <c r="BO4985" t="s">
        <v>30995</v>
      </c>
      <c r="BS4985">
        <v>30</v>
      </c>
      <c r="BW4985" t="str">
        <f>""</f>
        <v/>
      </c>
      <c r="CH4985" t="str">
        <f>""</f>
        <v/>
      </c>
      <c r="CS4985" t="str">
        <f>""</f>
        <v/>
      </c>
    </row>
    <row r="4986" spans="1:97" x14ac:dyDescent="0.25">
      <c r="A4986" t="s">
        <v>464</v>
      </c>
      <c r="B4986" t="s">
        <v>30996</v>
      </c>
      <c r="E4986" t="s">
        <v>30997</v>
      </c>
      <c r="F4986" t="s">
        <v>108</v>
      </c>
      <c r="H4986" t="s">
        <v>30998</v>
      </c>
      <c r="I4986" t="s">
        <v>5114</v>
      </c>
      <c r="J4986" t="s">
        <v>111</v>
      </c>
      <c r="K4986" t="str">
        <f>"85392"</f>
        <v>85392</v>
      </c>
      <c r="L4986" t="s">
        <v>926</v>
      </c>
      <c r="M4986" t="s">
        <v>30998</v>
      </c>
      <c r="N4986" t="s">
        <v>5114</v>
      </c>
      <c r="O4986" t="s">
        <v>111</v>
      </c>
      <c r="P4986" t="str">
        <f>"85392-6643"</f>
        <v>85392-6643</v>
      </c>
      <c r="Q4986" t="s">
        <v>113</v>
      </c>
      <c r="R4986" t="str">
        <f>"501-72-419"</f>
        <v>501-72-419</v>
      </c>
      <c r="S4986" t="s">
        <v>11216</v>
      </c>
      <c r="T4986" t="s">
        <v>11217</v>
      </c>
      <c r="U4986">
        <v>1902</v>
      </c>
      <c r="V4986">
        <v>0</v>
      </c>
      <c r="W4986">
        <v>3</v>
      </c>
      <c r="X4986">
        <v>2002</v>
      </c>
      <c r="Z4986">
        <v>1</v>
      </c>
      <c r="AA4986" t="s">
        <v>26</v>
      </c>
      <c r="AB4986">
        <v>0</v>
      </c>
      <c r="AC4986" t="s">
        <v>115</v>
      </c>
      <c r="AD4986">
        <v>2</v>
      </c>
      <c r="AE4986" t="s">
        <v>115</v>
      </c>
      <c r="AF4986">
        <v>0</v>
      </c>
      <c r="AG4986">
        <v>0</v>
      </c>
      <c r="AH4986" t="s">
        <v>116</v>
      </c>
      <c r="AI4986" s="1">
        <v>66403</v>
      </c>
      <c r="AJ4986" s="2">
        <v>0.24</v>
      </c>
      <c r="AK4986" s="1">
        <v>278168</v>
      </c>
      <c r="AL4986" t="s">
        <v>117</v>
      </c>
      <c r="AM4986" t="s">
        <v>118</v>
      </c>
      <c r="AN4986">
        <v>6900</v>
      </c>
      <c r="AO4986">
        <v>0.16</v>
      </c>
      <c r="AP4986">
        <v>1</v>
      </c>
      <c r="AR4986">
        <v>1</v>
      </c>
      <c r="AS4986" s="1">
        <v>20030</v>
      </c>
      <c r="AT4986" s="1">
        <v>4000</v>
      </c>
      <c r="AU4986" s="1">
        <v>16030</v>
      </c>
      <c r="AV4986">
        <v>80.03</v>
      </c>
      <c r="AX4986" s="1">
        <v>1527.34</v>
      </c>
      <c r="AY4986" t="s">
        <v>6700</v>
      </c>
      <c r="AZ4986" t="s">
        <v>6701</v>
      </c>
      <c r="BA4986" t="s">
        <v>6702</v>
      </c>
      <c r="BE4986" s="3">
        <v>42201</v>
      </c>
      <c r="BF4986" s="1">
        <v>205000</v>
      </c>
      <c r="BG4986" t="s">
        <v>30999</v>
      </c>
      <c r="BH4986" s="1">
        <v>107.78</v>
      </c>
      <c r="BI4986" s="1">
        <v>211765</v>
      </c>
      <c r="BJ4986" s="3">
        <v>42201</v>
      </c>
      <c r="BK4986" t="s">
        <v>123</v>
      </c>
      <c r="BL4986" t="str">
        <f>"2015.512786"</f>
        <v>2015.512786</v>
      </c>
      <c r="BM4986" t="s">
        <v>1998</v>
      </c>
      <c r="BO4986" t="s">
        <v>31000</v>
      </c>
      <c r="BS4986">
        <v>30</v>
      </c>
      <c r="BW4986" t="str">
        <f>""</f>
        <v/>
      </c>
      <c r="CH4986" t="str">
        <f>""</f>
        <v/>
      </c>
      <c r="CS4986" t="str">
        <f>""</f>
        <v/>
      </c>
    </row>
    <row r="4987" spans="1:97" x14ac:dyDescent="0.25">
      <c r="A4987" t="s">
        <v>494</v>
      </c>
      <c r="B4987" t="s">
        <v>31001</v>
      </c>
      <c r="C4987" t="s">
        <v>703</v>
      </c>
      <c r="D4987" t="s">
        <v>31001</v>
      </c>
      <c r="E4987" t="s">
        <v>31002</v>
      </c>
      <c r="F4987" t="s">
        <v>108</v>
      </c>
      <c r="H4987" t="s">
        <v>31003</v>
      </c>
      <c r="I4987" t="s">
        <v>225</v>
      </c>
      <c r="J4987" t="s">
        <v>111</v>
      </c>
      <c r="K4987" t="str">
        <f>"85215"</f>
        <v>85215</v>
      </c>
      <c r="L4987" t="s">
        <v>8255</v>
      </c>
      <c r="M4987" t="s">
        <v>31003</v>
      </c>
      <c r="N4987" t="s">
        <v>225</v>
      </c>
      <c r="O4987" t="s">
        <v>111</v>
      </c>
      <c r="P4987" t="str">
        <f>"85215"</f>
        <v>85215</v>
      </c>
      <c r="Q4987" t="s">
        <v>113</v>
      </c>
      <c r="R4987" t="str">
        <f>"141-69-978"</f>
        <v>141-69-978</v>
      </c>
      <c r="S4987" t="s">
        <v>31004</v>
      </c>
      <c r="T4987" t="s">
        <v>758</v>
      </c>
      <c r="U4987">
        <v>1954</v>
      </c>
      <c r="V4987">
        <v>0</v>
      </c>
      <c r="W4987">
        <v>3</v>
      </c>
      <c r="X4987">
        <v>1993</v>
      </c>
      <c r="Z4987">
        <v>1</v>
      </c>
      <c r="AB4987">
        <v>0</v>
      </c>
      <c r="AC4987" t="s">
        <v>115</v>
      </c>
      <c r="AD4987">
        <v>2</v>
      </c>
      <c r="AE4987" t="s">
        <v>115</v>
      </c>
      <c r="AF4987">
        <v>0</v>
      </c>
      <c r="AG4987">
        <v>0</v>
      </c>
      <c r="AH4987" t="s">
        <v>116</v>
      </c>
      <c r="AI4987" s="1">
        <v>77234</v>
      </c>
      <c r="AJ4987" s="2">
        <v>0.24</v>
      </c>
      <c r="AK4987" s="1">
        <v>327134</v>
      </c>
      <c r="AL4987" t="s">
        <v>117</v>
      </c>
      <c r="AM4987" t="s">
        <v>393</v>
      </c>
      <c r="AN4987">
        <v>9434</v>
      </c>
      <c r="AO4987">
        <v>0.22</v>
      </c>
      <c r="AP4987">
        <v>1</v>
      </c>
      <c r="AR4987">
        <v>1</v>
      </c>
      <c r="AS4987" s="1">
        <v>23030</v>
      </c>
      <c r="AT4987" s="1">
        <v>4600</v>
      </c>
      <c r="AU4987" s="1">
        <v>18430</v>
      </c>
      <c r="AV4987">
        <v>80.03</v>
      </c>
      <c r="AX4987" s="1">
        <v>1843.86</v>
      </c>
      <c r="AY4987" t="s">
        <v>6662</v>
      </c>
      <c r="AZ4987" t="s">
        <v>5275</v>
      </c>
      <c r="BA4987" t="s">
        <v>3119</v>
      </c>
      <c r="BE4987" s="3">
        <v>42530</v>
      </c>
      <c r="BF4987" s="1">
        <v>249900</v>
      </c>
      <c r="BG4987" t="s">
        <v>31005</v>
      </c>
      <c r="BH4987" s="1">
        <v>127.89</v>
      </c>
      <c r="BI4987" s="1">
        <v>249900</v>
      </c>
      <c r="BJ4987" s="3">
        <v>42530</v>
      </c>
      <c r="BK4987" t="s">
        <v>123</v>
      </c>
      <c r="BL4987" t="str">
        <f>"2016.401612"</f>
        <v>2016.401612</v>
      </c>
      <c r="BM4987" t="s">
        <v>2472</v>
      </c>
      <c r="BO4987" t="s">
        <v>31006</v>
      </c>
      <c r="BS4987">
        <v>30</v>
      </c>
      <c r="BW4987" t="str">
        <f>""</f>
        <v/>
      </c>
      <c r="CH4987" t="str">
        <f>""</f>
        <v/>
      </c>
      <c r="CS4987" t="str">
        <f>""</f>
        <v/>
      </c>
    </row>
    <row r="4988" spans="1:97" x14ac:dyDescent="0.25">
      <c r="A4988" t="s">
        <v>3212</v>
      </c>
      <c r="B4988" t="s">
        <v>21811</v>
      </c>
      <c r="E4988" t="s">
        <v>31007</v>
      </c>
      <c r="F4988" t="s">
        <v>108</v>
      </c>
      <c r="H4988" t="s">
        <v>31008</v>
      </c>
      <c r="I4988" t="s">
        <v>2874</v>
      </c>
      <c r="J4988" t="s">
        <v>111</v>
      </c>
      <c r="K4988" t="str">
        <f>"85310"</f>
        <v>85310</v>
      </c>
      <c r="L4988" t="s">
        <v>1244</v>
      </c>
      <c r="M4988" t="s">
        <v>31008</v>
      </c>
      <c r="N4988" t="s">
        <v>2874</v>
      </c>
      <c r="O4988" t="s">
        <v>111</v>
      </c>
      <c r="P4988" t="str">
        <f>"85310-5166"</f>
        <v>85310-5166</v>
      </c>
      <c r="Q4988" t="s">
        <v>113</v>
      </c>
      <c r="R4988" t="str">
        <f>"205-12-719"</f>
        <v>205-12-719</v>
      </c>
      <c r="S4988" t="s">
        <v>31009</v>
      </c>
      <c r="T4988" t="s">
        <v>31009</v>
      </c>
      <c r="U4988">
        <v>1832</v>
      </c>
      <c r="V4988">
        <v>0</v>
      </c>
      <c r="W4988">
        <v>3</v>
      </c>
      <c r="X4988">
        <v>1991</v>
      </c>
      <c r="Z4988">
        <v>2</v>
      </c>
      <c r="AB4988">
        <v>0</v>
      </c>
      <c r="AC4988" t="s">
        <v>115</v>
      </c>
      <c r="AD4988">
        <v>2</v>
      </c>
      <c r="AE4988" t="s">
        <v>115</v>
      </c>
      <c r="AF4988">
        <v>0</v>
      </c>
      <c r="AG4988">
        <v>0</v>
      </c>
      <c r="AH4988" t="s">
        <v>116</v>
      </c>
      <c r="AI4988" s="1">
        <v>8420</v>
      </c>
      <c r="AJ4988" s="2">
        <v>0.03</v>
      </c>
      <c r="AK4988" s="1">
        <v>291255</v>
      </c>
      <c r="AL4988" t="s">
        <v>117</v>
      </c>
      <c r="AM4988" t="s">
        <v>1302</v>
      </c>
      <c r="AN4988">
        <v>6048</v>
      </c>
      <c r="AO4988">
        <v>0.14000000000000001</v>
      </c>
      <c r="AP4988">
        <v>1</v>
      </c>
      <c r="AR4988">
        <v>1</v>
      </c>
      <c r="AS4988" s="1">
        <v>19410</v>
      </c>
      <c r="AT4988" s="1">
        <v>3880</v>
      </c>
      <c r="AU4988" s="1">
        <v>15530</v>
      </c>
      <c r="AV4988">
        <v>80.010000000000005</v>
      </c>
      <c r="AX4988" s="1">
        <v>1637.68</v>
      </c>
      <c r="AY4988" t="s">
        <v>5701</v>
      </c>
      <c r="AZ4988" t="s">
        <v>3049</v>
      </c>
      <c r="BA4988" t="s">
        <v>1386</v>
      </c>
      <c r="BE4988" s="3">
        <v>42237</v>
      </c>
      <c r="BF4988" s="1">
        <v>230000</v>
      </c>
      <c r="BG4988" t="s">
        <v>31010</v>
      </c>
      <c r="BH4988" s="1">
        <v>125.55</v>
      </c>
      <c r="BI4988" s="1">
        <v>282835</v>
      </c>
      <c r="BJ4988" s="3">
        <v>43385</v>
      </c>
      <c r="BK4988" t="s">
        <v>123</v>
      </c>
      <c r="BL4988" t="str">
        <f>"2018.765148"</f>
        <v>2018.765148</v>
      </c>
      <c r="BM4988" t="s">
        <v>460</v>
      </c>
      <c r="BN4988" t="s">
        <v>461</v>
      </c>
      <c r="BO4988" t="s">
        <v>31011</v>
      </c>
      <c r="BR4988" t="s">
        <v>139</v>
      </c>
      <c r="BT4988" s="1">
        <v>282835</v>
      </c>
      <c r="BU4988" s="3">
        <v>43385</v>
      </c>
      <c r="BV4988" t="s">
        <v>123</v>
      </c>
      <c r="BW4988" t="str">
        <f>"2018.765148"</f>
        <v>2018.765148</v>
      </c>
      <c r="BX4988" t="s">
        <v>460</v>
      </c>
      <c r="BY4988" t="s">
        <v>461</v>
      </c>
      <c r="BZ4988" t="s">
        <v>31011</v>
      </c>
      <c r="CC4988" t="s">
        <v>139</v>
      </c>
      <c r="CH4988" t="str">
        <f>""</f>
        <v/>
      </c>
      <c r="CS4988" t="str">
        <f>""</f>
        <v/>
      </c>
    </row>
    <row r="4989" spans="1:97" x14ac:dyDescent="0.25">
      <c r="A4989" t="s">
        <v>2374</v>
      </c>
      <c r="B4989" t="s">
        <v>412</v>
      </c>
      <c r="C4989" t="s">
        <v>976</v>
      </c>
      <c r="D4989" t="s">
        <v>412</v>
      </c>
      <c r="E4989" t="s">
        <v>31012</v>
      </c>
      <c r="F4989" t="s">
        <v>108</v>
      </c>
      <c r="H4989" t="s">
        <v>31013</v>
      </c>
      <c r="I4989" t="s">
        <v>632</v>
      </c>
      <c r="J4989" t="s">
        <v>111</v>
      </c>
      <c r="K4989" t="str">
        <f>"85388"</f>
        <v>85388</v>
      </c>
      <c r="L4989" t="s">
        <v>4467</v>
      </c>
      <c r="M4989" t="s">
        <v>31013</v>
      </c>
      <c r="N4989" t="s">
        <v>632</v>
      </c>
      <c r="O4989" t="s">
        <v>111</v>
      </c>
      <c r="P4989" t="str">
        <f>"85388-2352"</f>
        <v>85388-2352</v>
      </c>
      <c r="Q4989" t="s">
        <v>113</v>
      </c>
      <c r="R4989" t="str">
        <f>"502-09-652"</f>
        <v>502-09-652</v>
      </c>
      <c r="S4989" t="s">
        <v>5359</v>
      </c>
      <c r="T4989" t="s">
        <v>5360</v>
      </c>
      <c r="U4989">
        <v>3296</v>
      </c>
      <c r="V4989">
        <v>0</v>
      </c>
      <c r="W4989">
        <v>4</v>
      </c>
      <c r="X4989">
        <v>2014</v>
      </c>
      <c r="Z4989">
        <v>2</v>
      </c>
      <c r="AB4989">
        <v>0</v>
      </c>
      <c r="AC4989" t="s">
        <v>115</v>
      </c>
      <c r="AD4989">
        <v>3</v>
      </c>
      <c r="AE4989" t="s">
        <v>115</v>
      </c>
      <c r="AF4989">
        <v>0</v>
      </c>
      <c r="AG4989">
        <v>0</v>
      </c>
      <c r="AH4989" t="s">
        <v>116</v>
      </c>
      <c r="AI4989" s="1">
        <v>62208</v>
      </c>
      <c r="AJ4989" s="2">
        <v>0.18</v>
      </c>
      <c r="AK4989" s="1">
        <v>348708</v>
      </c>
      <c r="AL4989" t="s">
        <v>117</v>
      </c>
      <c r="AM4989" t="s">
        <v>118</v>
      </c>
      <c r="AN4989">
        <v>7200</v>
      </c>
      <c r="AO4989">
        <v>0.16</v>
      </c>
      <c r="AR4989">
        <v>1</v>
      </c>
      <c r="AS4989" s="1">
        <v>25200</v>
      </c>
      <c r="AT4989" s="1">
        <v>5040</v>
      </c>
      <c r="AU4989" s="1">
        <v>20160</v>
      </c>
      <c r="AV4989">
        <v>80</v>
      </c>
      <c r="AX4989" s="1">
        <v>2242.88</v>
      </c>
      <c r="AY4989" t="s">
        <v>5168</v>
      </c>
      <c r="AZ4989" t="s">
        <v>5168</v>
      </c>
      <c r="BA4989" t="s">
        <v>5109</v>
      </c>
      <c r="BE4989" s="3">
        <v>41901</v>
      </c>
      <c r="BF4989" s="1">
        <v>285781</v>
      </c>
      <c r="BG4989" t="s">
        <v>2289</v>
      </c>
      <c r="BH4989" s="1">
        <v>86.71</v>
      </c>
      <c r="BI4989" s="1">
        <v>286500</v>
      </c>
      <c r="BJ4989" s="3">
        <v>42422</v>
      </c>
      <c r="BK4989" t="s">
        <v>123</v>
      </c>
      <c r="BL4989" t="str">
        <f>"2016.110045"</f>
        <v>2016.110045</v>
      </c>
      <c r="BM4989" t="s">
        <v>255</v>
      </c>
      <c r="BN4989" t="s">
        <v>2398</v>
      </c>
      <c r="BO4989" t="s">
        <v>31014</v>
      </c>
      <c r="BS4989">
        <v>30</v>
      </c>
      <c r="BW4989" t="str">
        <f>""</f>
        <v/>
      </c>
      <c r="CH4989" t="str">
        <f>""</f>
        <v/>
      </c>
      <c r="CS4989" t="str">
        <f>""</f>
        <v/>
      </c>
    </row>
    <row r="4990" spans="1:97" x14ac:dyDescent="0.25">
      <c r="A4990" t="s">
        <v>1774</v>
      </c>
      <c r="B4990" t="s">
        <v>31015</v>
      </c>
      <c r="C4990" t="s">
        <v>4900</v>
      </c>
      <c r="D4990" t="s">
        <v>31015</v>
      </c>
      <c r="E4990" t="s">
        <v>31016</v>
      </c>
      <c r="F4990" t="s">
        <v>108</v>
      </c>
      <c r="H4990" t="s">
        <v>31017</v>
      </c>
      <c r="I4990" t="s">
        <v>374</v>
      </c>
      <c r="J4990" t="s">
        <v>111</v>
      </c>
      <c r="K4990" t="str">
        <f>"85087"</f>
        <v>85087</v>
      </c>
      <c r="L4990" t="s">
        <v>375</v>
      </c>
      <c r="M4990" t="s">
        <v>31017</v>
      </c>
      <c r="N4990" t="s">
        <v>374</v>
      </c>
      <c r="O4990" t="s">
        <v>111</v>
      </c>
      <c r="P4990" t="str">
        <f>"85087-5938"</f>
        <v>85087-5938</v>
      </c>
      <c r="Q4990" t="s">
        <v>113</v>
      </c>
      <c r="R4990" t="str">
        <f>"202-30-206"</f>
        <v>202-30-206</v>
      </c>
      <c r="S4990" t="s">
        <v>7317</v>
      </c>
      <c r="T4990" t="s">
        <v>7096</v>
      </c>
      <c r="U4990">
        <v>2160</v>
      </c>
      <c r="V4990">
        <v>0</v>
      </c>
      <c r="W4990">
        <v>4</v>
      </c>
      <c r="X4990">
        <v>2005</v>
      </c>
      <c r="Z4990">
        <v>1</v>
      </c>
      <c r="AB4990">
        <v>0</v>
      </c>
      <c r="AC4990" t="s">
        <v>115</v>
      </c>
      <c r="AD4990">
        <v>2</v>
      </c>
      <c r="AE4990" t="s">
        <v>115</v>
      </c>
      <c r="AF4990">
        <v>0</v>
      </c>
      <c r="AG4990">
        <v>0</v>
      </c>
      <c r="AH4990" t="s">
        <v>116</v>
      </c>
      <c r="AI4990" s="1">
        <v>112183</v>
      </c>
      <c r="AJ4990" s="2">
        <v>0.35</v>
      </c>
      <c r="AK4990" s="1">
        <v>317083</v>
      </c>
      <c r="AL4990" t="s">
        <v>117</v>
      </c>
      <c r="AM4990" t="s">
        <v>191</v>
      </c>
      <c r="AN4990">
        <v>5175</v>
      </c>
      <c r="AO4990">
        <v>0.12</v>
      </c>
      <c r="AR4990">
        <v>1</v>
      </c>
      <c r="AS4990" s="1">
        <v>21920</v>
      </c>
      <c r="AT4990" s="1">
        <v>4380</v>
      </c>
      <c r="AU4990" s="1">
        <v>17540</v>
      </c>
      <c r="AV4990">
        <v>80.02</v>
      </c>
      <c r="AX4990" s="1">
        <v>1969.84</v>
      </c>
      <c r="AY4990" t="s">
        <v>5380</v>
      </c>
      <c r="AZ4990" t="s">
        <v>5380</v>
      </c>
      <c r="BA4990" t="s">
        <v>378</v>
      </c>
      <c r="BE4990" s="3">
        <v>42307</v>
      </c>
      <c r="BF4990" s="1">
        <v>239900</v>
      </c>
      <c r="BG4990" t="s">
        <v>31018</v>
      </c>
      <c r="BH4990" s="1">
        <v>111.06</v>
      </c>
      <c r="BI4990" s="1">
        <v>204900</v>
      </c>
      <c r="BJ4990" s="3">
        <v>42307</v>
      </c>
      <c r="BK4990" t="s">
        <v>123</v>
      </c>
      <c r="BL4990" t="str">
        <f>"2015.782987"</f>
        <v>2015.782987</v>
      </c>
      <c r="BM4990" t="s">
        <v>544</v>
      </c>
      <c r="BO4990" t="s">
        <v>31019</v>
      </c>
      <c r="BS4990">
        <v>30</v>
      </c>
      <c r="BW4990" t="str">
        <f>""</f>
        <v/>
      </c>
      <c r="CH4990" t="str">
        <f>""</f>
        <v/>
      </c>
      <c r="CS4990" t="str">
        <f>""</f>
        <v/>
      </c>
    </row>
    <row r="4991" spans="1:97" x14ac:dyDescent="0.25">
      <c r="A4991" t="s">
        <v>1340</v>
      </c>
      <c r="B4991" t="s">
        <v>31020</v>
      </c>
      <c r="C4991" t="s">
        <v>3258</v>
      </c>
      <c r="D4991" t="s">
        <v>31021</v>
      </c>
      <c r="E4991" t="s">
        <v>31022</v>
      </c>
      <c r="F4991" t="s">
        <v>108</v>
      </c>
      <c r="H4991" t="s">
        <v>31023</v>
      </c>
      <c r="I4991" t="s">
        <v>390</v>
      </c>
      <c r="J4991" t="s">
        <v>111</v>
      </c>
      <c r="K4991" t="str">
        <f>"85020"</f>
        <v>85020</v>
      </c>
      <c r="L4991" t="s">
        <v>3982</v>
      </c>
      <c r="M4991" t="s">
        <v>31023</v>
      </c>
      <c r="N4991" t="s">
        <v>390</v>
      </c>
      <c r="O4991" t="s">
        <v>111</v>
      </c>
      <c r="P4991" t="str">
        <f>"85020-4134"</f>
        <v>85020-4134</v>
      </c>
      <c r="Q4991" t="s">
        <v>113</v>
      </c>
      <c r="R4991" t="str">
        <f>"160-18-069"</f>
        <v>160-18-069</v>
      </c>
      <c r="S4991" t="s">
        <v>31024</v>
      </c>
      <c r="T4991" t="s">
        <v>31024</v>
      </c>
      <c r="U4991">
        <v>2840</v>
      </c>
      <c r="V4991">
        <v>0</v>
      </c>
      <c r="W4991">
        <v>3</v>
      </c>
      <c r="X4991">
        <v>1973</v>
      </c>
      <c r="Z4991">
        <v>1</v>
      </c>
      <c r="AA4991" t="s">
        <v>26</v>
      </c>
      <c r="AB4991">
        <v>0</v>
      </c>
      <c r="AC4991" t="s">
        <v>115</v>
      </c>
      <c r="AD4991">
        <v>2</v>
      </c>
      <c r="AE4991" t="s">
        <v>115</v>
      </c>
      <c r="AF4991">
        <v>0</v>
      </c>
      <c r="AG4991">
        <v>0</v>
      </c>
      <c r="AH4991" t="s">
        <v>116</v>
      </c>
      <c r="AI4991" s="1">
        <v>157747</v>
      </c>
      <c r="AJ4991" s="2">
        <v>0.26</v>
      </c>
      <c r="AK4991" s="1">
        <v>604247</v>
      </c>
      <c r="AL4991" t="s">
        <v>117</v>
      </c>
      <c r="AM4991" t="s">
        <v>1302</v>
      </c>
      <c r="AN4991">
        <v>12711</v>
      </c>
      <c r="AO4991">
        <v>0.28999999999999998</v>
      </c>
      <c r="AP4991">
        <v>1</v>
      </c>
      <c r="AR4991">
        <v>1</v>
      </c>
      <c r="AS4991" s="1">
        <v>43480</v>
      </c>
      <c r="AT4991" s="1">
        <v>8690</v>
      </c>
      <c r="AU4991" s="1">
        <v>34790</v>
      </c>
      <c r="AV4991">
        <v>80.010000000000005</v>
      </c>
      <c r="AX4991" s="1">
        <v>4452.22</v>
      </c>
      <c r="AY4991" t="s">
        <v>5734</v>
      </c>
      <c r="AZ4991" t="s">
        <v>5735</v>
      </c>
      <c r="BA4991" t="s">
        <v>5469</v>
      </c>
      <c r="BE4991" s="3">
        <v>42167</v>
      </c>
      <c r="BF4991" s="1">
        <v>456500</v>
      </c>
      <c r="BG4991" t="s">
        <v>31025</v>
      </c>
      <c r="BH4991" s="1">
        <v>160.74</v>
      </c>
      <c r="BI4991" s="1">
        <v>446500</v>
      </c>
      <c r="BJ4991" s="3">
        <v>42464</v>
      </c>
      <c r="BK4991" t="s">
        <v>123</v>
      </c>
      <c r="BL4991" t="str">
        <f>"2016.220317"</f>
        <v>2016.220317</v>
      </c>
      <c r="BM4991" t="s">
        <v>1038</v>
      </c>
      <c r="BO4991" t="s">
        <v>31026</v>
      </c>
      <c r="BP4991" t="s">
        <v>31027</v>
      </c>
      <c r="BS4991">
        <v>30</v>
      </c>
      <c r="BW4991" t="str">
        <f>""</f>
        <v/>
      </c>
      <c r="CH4991" t="str">
        <f>""</f>
        <v/>
      </c>
      <c r="CS4991" t="str">
        <f>""</f>
        <v/>
      </c>
    </row>
    <row r="4992" spans="1:97" x14ac:dyDescent="0.25">
      <c r="A4992" t="s">
        <v>31028</v>
      </c>
      <c r="B4992" t="s">
        <v>1607</v>
      </c>
      <c r="E4992" t="s">
        <v>31029</v>
      </c>
      <c r="F4992" t="s">
        <v>108</v>
      </c>
      <c r="H4992" t="s">
        <v>31030</v>
      </c>
      <c r="I4992" t="s">
        <v>167</v>
      </c>
      <c r="J4992" t="s">
        <v>111</v>
      </c>
      <c r="K4992" t="str">
        <f>"85339"</f>
        <v>85339</v>
      </c>
      <c r="L4992" t="s">
        <v>316</v>
      </c>
      <c r="M4992" t="s">
        <v>31030</v>
      </c>
      <c r="N4992" t="s">
        <v>167</v>
      </c>
      <c r="O4992" t="s">
        <v>111</v>
      </c>
      <c r="P4992" t="str">
        <f>"85339-6929"</f>
        <v>85339-6929</v>
      </c>
      <c r="Q4992" t="s">
        <v>113</v>
      </c>
      <c r="R4992" t="str">
        <f>"104-88-021"</f>
        <v>104-88-021</v>
      </c>
      <c r="S4992" t="s">
        <v>31031</v>
      </c>
      <c r="T4992" t="s">
        <v>31032</v>
      </c>
      <c r="U4992">
        <v>4040</v>
      </c>
      <c r="V4992">
        <v>0</v>
      </c>
      <c r="W4992">
        <v>3</v>
      </c>
      <c r="X4992">
        <v>2005</v>
      </c>
      <c r="Z4992">
        <v>2</v>
      </c>
      <c r="AB4992">
        <v>0</v>
      </c>
      <c r="AC4992" t="s">
        <v>115</v>
      </c>
      <c r="AD4992">
        <v>3</v>
      </c>
      <c r="AE4992" t="s">
        <v>115</v>
      </c>
      <c r="AF4992">
        <v>0</v>
      </c>
      <c r="AG4992">
        <v>0</v>
      </c>
      <c r="AH4992" t="s">
        <v>116</v>
      </c>
      <c r="AI4992" s="1">
        <v>99669</v>
      </c>
      <c r="AJ4992" s="2">
        <v>0.31</v>
      </c>
      <c r="AK4992" s="1">
        <v>324669</v>
      </c>
      <c r="AL4992" t="s">
        <v>117</v>
      </c>
      <c r="AM4992" t="s">
        <v>171</v>
      </c>
      <c r="AN4992">
        <v>6600</v>
      </c>
      <c r="AO4992">
        <v>0.15</v>
      </c>
      <c r="AR4992">
        <v>1</v>
      </c>
      <c r="AS4992" s="1">
        <v>22080</v>
      </c>
      <c r="AT4992" s="1">
        <v>4410</v>
      </c>
      <c r="AU4992" s="1">
        <v>17670</v>
      </c>
      <c r="AV4992">
        <v>80.03</v>
      </c>
      <c r="AX4992" s="1">
        <v>2683.86</v>
      </c>
      <c r="AY4992" t="s">
        <v>5777</v>
      </c>
      <c r="AZ4992" t="s">
        <v>5777</v>
      </c>
      <c r="BA4992" t="s">
        <v>173</v>
      </c>
      <c r="BE4992" s="3">
        <v>42355</v>
      </c>
      <c r="BF4992" s="1">
        <v>225000</v>
      </c>
      <c r="BG4992" t="s">
        <v>31033</v>
      </c>
      <c r="BH4992" s="1">
        <v>55.69</v>
      </c>
      <c r="BI4992" s="1">
        <v>225000</v>
      </c>
      <c r="BJ4992" s="3">
        <v>42355</v>
      </c>
      <c r="BK4992" t="s">
        <v>123</v>
      </c>
      <c r="BL4992" t="str">
        <f>"2015.891125"</f>
        <v>2015.891125</v>
      </c>
      <c r="BM4992" t="s">
        <v>475</v>
      </c>
      <c r="BO4992" t="s">
        <v>31034</v>
      </c>
      <c r="BS4992">
        <v>30</v>
      </c>
      <c r="BW4992" t="str">
        <f>""</f>
        <v/>
      </c>
      <c r="CH4992" t="str">
        <f>""</f>
        <v/>
      </c>
      <c r="CS4992" t="str">
        <f>""</f>
        <v/>
      </c>
    </row>
    <row r="4993" spans="1:97" x14ac:dyDescent="0.25">
      <c r="A4993" t="s">
        <v>31035</v>
      </c>
      <c r="B4993" t="s">
        <v>31036</v>
      </c>
      <c r="C4993" t="s">
        <v>4364</v>
      </c>
      <c r="D4993" t="s">
        <v>31036</v>
      </c>
      <c r="E4993" t="s">
        <v>31037</v>
      </c>
      <c r="F4993" t="s">
        <v>108</v>
      </c>
      <c r="H4993" t="s">
        <v>31038</v>
      </c>
      <c r="I4993" t="s">
        <v>110</v>
      </c>
      <c r="J4993" t="s">
        <v>111</v>
      </c>
      <c r="K4993" t="str">
        <f>"85286"</f>
        <v>85286</v>
      </c>
      <c r="L4993" t="s">
        <v>1796</v>
      </c>
      <c r="M4993" t="s">
        <v>31038</v>
      </c>
      <c r="N4993" t="s">
        <v>110</v>
      </c>
      <c r="O4993" t="s">
        <v>111</v>
      </c>
      <c r="P4993" t="str">
        <f>"85286-7948"</f>
        <v>85286-7948</v>
      </c>
      <c r="Q4993" t="s">
        <v>113</v>
      </c>
      <c r="R4993" t="str">
        <f>"303-36-075"</f>
        <v>303-36-075</v>
      </c>
      <c r="S4993" t="s">
        <v>14765</v>
      </c>
      <c r="U4993">
        <v>1952</v>
      </c>
      <c r="V4993">
        <v>0</v>
      </c>
      <c r="W4993">
        <v>4</v>
      </c>
      <c r="X4993">
        <v>1996</v>
      </c>
      <c r="Z4993">
        <v>2</v>
      </c>
      <c r="AA4993" t="s">
        <v>26</v>
      </c>
      <c r="AB4993">
        <v>0</v>
      </c>
      <c r="AC4993" t="s">
        <v>115</v>
      </c>
      <c r="AD4993">
        <v>2</v>
      </c>
      <c r="AE4993" t="s">
        <v>115</v>
      </c>
      <c r="AF4993">
        <v>0</v>
      </c>
      <c r="AG4993">
        <v>0</v>
      </c>
      <c r="AH4993" t="s">
        <v>116</v>
      </c>
      <c r="AI4993" s="1">
        <v>67923</v>
      </c>
      <c r="AJ4993" s="2">
        <v>0.18</v>
      </c>
      <c r="AK4993" s="1">
        <v>372051</v>
      </c>
      <c r="AL4993" t="s">
        <v>117</v>
      </c>
      <c r="AM4993" t="s">
        <v>118</v>
      </c>
      <c r="AN4993">
        <v>9100</v>
      </c>
      <c r="AO4993">
        <v>0.21</v>
      </c>
      <c r="AP4993">
        <v>1</v>
      </c>
      <c r="AR4993">
        <v>1</v>
      </c>
      <c r="AS4993" s="1">
        <v>25410</v>
      </c>
      <c r="AT4993" s="1">
        <v>5080</v>
      </c>
      <c r="AU4993" s="1">
        <v>20330</v>
      </c>
      <c r="AV4993">
        <v>80.010000000000005</v>
      </c>
      <c r="AX4993" s="1">
        <v>2038.4</v>
      </c>
      <c r="AY4993" t="s">
        <v>10718</v>
      </c>
      <c r="AZ4993" t="s">
        <v>1882</v>
      </c>
      <c r="BA4993" t="s">
        <v>121</v>
      </c>
      <c r="BE4993" s="3">
        <v>42075</v>
      </c>
      <c r="BF4993" s="1">
        <v>297000</v>
      </c>
      <c r="BG4993" t="s">
        <v>31039</v>
      </c>
      <c r="BH4993" s="1">
        <v>152.15</v>
      </c>
      <c r="BI4993" s="1">
        <v>304128</v>
      </c>
      <c r="BJ4993" s="3">
        <v>42075</v>
      </c>
      <c r="BK4993" t="s">
        <v>123</v>
      </c>
      <c r="BL4993" t="str">
        <f>"2015.165496"</f>
        <v>2015.165496</v>
      </c>
      <c r="BM4993" t="s">
        <v>1038</v>
      </c>
      <c r="BO4993" t="s">
        <v>31040</v>
      </c>
      <c r="BS4993">
        <v>30</v>
      </c>
      <c r="BW4993" t="str">
        <f>""</f>
        <v/>
      </c>
      <c r="CH4993" t="str">
        <f>""</f>
        <v/>
      </c>
      <c r="CS4993" t="str">
        <f>""</f>
        <v/>
      </c>
    </row>
    <row r="4994" spans="1:97" x14ac:dyDescent="0.25">
      <c r="A4994" t="s">
        <v>328</v>
      </c>
      <c r="B4994" t="s">
        <v>31041</v>
      </c>
      <c r="C4994" t="s">
        <v>19511</v>
      </c>
      <c r="D4994" t="s">
        <v>31041</v>
      </c>
      <c r="E4994" t="s">
        <v>31042</v>
      </c>
      <c r="F4994" t="s">
        <v>108</v>
      </c>
      <c r="H4994" t="s">
        <v>31043</v>
      </c>
      <c r="I4994" t="s">
        <v>5114</v>
      </c>
      <c r="J4994" t="s">
        <v>111</v>
      </c>
      <c r="K4994" t="str">
        <f>"85392"</f>
        <v>85392</v>
      </c>
      <c r="L4994" t="s">
        <v>2547</v>
      </c>
      <c r="M4994" t="s">
        <v>31043</v>
      </c>
      <c r="N4994" t="s">
        <v>5114</v>
      </c>
      <c r="O4994" t="s">
        <v>111</v>
      </c>
      <c r="P4994" t="str">
        <f>"85392-4200"</f>
        <v>85392-4200</v>
      </c>
      <c r="Q4994" t="s">
        <v>113</v>
      </c>
      <c r="R4994" t="str">
        <f>"102-28-239"</f>
        <v>102-28-239</v>
      </c>
      <c r="S4994" t="s">
        <v>23149</v>
      </c>
      <c r="T4994" t="s">
        <v>11509</v>
      </c>
      <c r="U4994">
        <v>3431</v>
      </c>
      <c r="W4994">
        <v>5</v>
      </c>
      <c r="X4994">
        <v>1989</v>
      </c>
      <c r="Z4994">
        <v>2</v>
      </c>
      <c r="AA4994" t="s">
        <v>26</v>
      </c>
      <c r="AC4994" t="s">
        <v>115</v>
      </c>
      <c r="AD4994">
        <v>3</v>
      </c>
      <c r="AE4994" t="s">
        <v>115</v>
      </c>
      <c r="AH4994" t="s">
        <v>116</v>
      </c>
      <c r="AI4994" s="1">
        <v>70600</v>
      </c>
      <c r="AJ4994" s="2">
        <v>0.2</v>
      </c>
      <c r="AK4994" s="1">
        <v>360600</v>
      </c>
      <c r="AL4994" t="s">
        <v>117</v>
      </c>
      <c r="AM4994" t="s">
        <v>118</v>
      </c>
      <c r="AN4994">
        <v>10742</v>
      </c>
      <c r="AO4994">
        <v>0.25</v>
      </c>
      <c r="AS4994" s="1">
        <v>27330</v>
      </c>
      <c r="AT4994" s="1">
        <v>5460</v>
      </c>
      <c r="AU4994" s="1">
        <v>21870</v>
      </c>
      <c r="AV4994">
        <v>80.02</v>
      </c>
      <c r="AX4994" s="1">
        <v>2928.94</v>
      </c>
      <c r="AY4994" t="s">
        <v>8084</v>
      </c>
      <c r="AZ4994" t="s">
        <v>8084</v>
      </c>
      <c r="BA4994" t="s">
        <v>5118</v>
      </c>
      <c r="BE4994" s="3">
        <v>42235</v>
      </c>
      <c r="BF4994" s="1">
        <v>290000</v>
      </c>
      <c r="BG4994" t="s">
        <v>31044</v>
      </c>
      <c r="BI4994" s="1">
        <v>290000</v>
      </c>
      <c r="BJ4994" s="3">
        <v>42235</v>
      </c>
      <c r="BK4994" t="s">
        <v>123</v>
      </c>
      <c r="BL4994" t="str">
        <f>"2015.602053"</f>
        <v>2015.602053</v>
      </c>
      <c r="BM4994" t="s">
        <v>544</v>
      </c>
      <c r="BO4994" t="s">
        <v>31045</v>
      </c>
      <c r="BS4994">
        <v>30</v>
      </c>
      <c r="BW4994" t="str">
        <f>""</f>
        <v/>
      </c>
      <c r="CH4994" t="str">
        <f>""</f>
        <v/>
      </c>
      <c r="CS4994" t="str">
        <f>""</f>
        <v/>
      </c>
    </row>
    <row r="4995" spans="1:97" x14ac:dyDescent="0.25">
      <c r="A4995" t="s">
        <v>140</v>
      </c>
      <c r="B4995" t="s">
        <v>31046</v>
      </c>
      <c r="C4995" t="s">
        <v>31047</v>
      </c>
      <c r="D4995" t="s">
        <v>31048</v>
      </c>
      <c r="E4995" t="s">
        <v>31049</v>
      </c>
      <c r="F4995" t="s">
        <v>108</v>
      </c>
      <c r="H4995" t="s">
        <v>31050</v>
      </c>
      <c r="I4995" t="s">
        <v>203</v>
      </c>
      <c r="J4995" t="s">
        <v>111</v>
      </c>
      <c r="K4995" t="str">
        <f>"85296"</f>
        <v>85296</v>
      </c>
      <c r="L4995" t="s">
        <v>9293</v>
      </c>
      <c r="M4995" t="s">
        <v>31050</v>
      </c>
      <c r="N4995" t="s">
        <v>203</v>
      </c>
      <c r="O4995" t="s">
        <v>111</v>
      </c>
      <c r="P4995" t="str">
        <f>"85296-3977"</f>
        <v>85296-3977</v>
      </c>
      <c r="Q4995" t="s">
        <v>113</v>
      </c>
      <c r="R4995" t="str">
        <f>"304-26-589"</f>
        <v>304-26-589</v>
      </c>
      <c r="S4995" t="s">
        <v>31051</v>
      </c>
      <c r="T4995" t="s">
        <v>31052</v>
      </c>
      <c r="U4995">
        <v>1561</v>
      </c>
      <c r="V4995">
        <v>0</v>
      </c>
      <c r="W4995">
        <v>3</v>
      </c>
      <c r="X4995">
        <v>1997</v>
      </c>
      <c r="Z4995">
        <v>1</v>
      </c>
      <c r="AA4995" t="s">
        <v>26</v>
      </c>
      <c r="AB4995">
        <v>0</v>
      </c>
      <c r="AC4995" t="s">
        <v>115</v>
      </c>
      <c r="AD4995">
        <v>3</v>
      </c>
      <c r="AE4995" t="s">
        <v>115</v>
      </c>
      <c r="AF4995">
        <v>0</v>
      </c>
      <c r="AG4995">
        <v>0</v>
      </c>
      <c r="AH4995" t="s">
        <v>116</v>
      </c>
      <c r="AI4995" s="1">
        <v>84534</v>
      </c>
      <c r="AJ4995" s="2">
        <v>0.26</v>
      </c>
      <c r="AK4995" s="1">
        <v>321522</v>
      </c>
      <c r="AL4995" t="s">
        <v>117</v>
      </c>
      <c r="AM4995" t="s">
        <v>393</v>
      </c>
      <c r="AN4995">
        <v>8063</v>
      </c>
      <c r="AO4995">
        <v>0.18</v>
      </c>
      <c r="AP4995">
        <v>1</v>
      </c>
      <c r="AR4995">
        <v>1</v>
      </c>
      <c r="AS4995" s="1">
        <v>23080</v>
      </c>
      <c r="AT4995" s="1">
        <v>4610</v>
      </c>
      <c r="AU4995" s="1">
        <v>18470</v>
      </c>
      <c r="AV4995">
        <v>80.03</v>
      </c>
      <c r="AX4995" s="1">
        <v>1555.8</v>
      </c>
      <c r="AY4995" t="s">
        <v>5032</v>
      </c>
      <c r="AZ4995" t="s">
        <v>520</v>
      </c>
      <c r="BA4995" t="s">
        <v>5033</v>
      </c>
      <c r="BE4995" s="3">
        <v>42061</v>
      </c>
      <c r="BF4995" s="1">
        <v>232000</v>
      </c>
      <c r="BG4995" t="s">
        <v>31053</v>
      </c>
      <c r="BH4995" s="1">
        <v>148.62</v>
      </c>
      <c r="BI4995" s="1">
        <v>236988</v>
      </c>
      <c r="BJ4995" s="3">
        <v>42061</v>
      </c>
      <c r="BK4995" t="s">
        <v>123</v>
      </c>
      <c r="BL4995" t="str">
        <f>"2015.126970"</f>
        <v>2015.126970</v>
      </c>
      <c r="BM4995" t="s">
        <v>5867</v>
      </c>
      <c r="BO4995" t="s">
        <v>31054</v>
      </c>
      <c r="BP4995" t="s">
        <v>31055</v>
      </c>
      <c r="BS4995">
        <v>30</v>
      </c>
      <c r="BW4995" t="str">
        <f>""</f>
        <v/>
      </c>
      <c r="CH4995" t="str">
        <f>""</f>
        <v/>
      </c>
      <c r="CS4995" t="str">
        <f>""</f>
        <v/>
      </c>
    </row>
    <row r="4996" spans="1:97" x14ac:dyDescent="0.25">
      <c r="A4996" t="s">
        <v>3444</v>
      </c>
      <c r="B4996" t="s">
        <v>31056</v>
      </c>
      <c r="C4996" t="s">
        <v>31057</v>
      </c>
      <c r="D4996" t="s">
        <v>31056</v>
      </c>
      <c r="E4996" t="s">
        <v>31058</v>
      </c>
      <c r="F4996" t="s">
        <v>108</v>
      </c>
      <c r="H4996" t="s">
        <v>31059</v>
      </c>
      <c r="I4996" t="s">
        <v>5387</v>
      </c>
      <c r="J4996" t="s">
        <v>111</v>
      </c>
      <c r="K4996" t="str">
        <f>"85282"</f>
        <v>85282</v>
      </c>
      <c r="L4996" t="s">
        <v>12359</v>
      </c>
      <c r="M4996" t="s">
        <v>31059</v>
      </c>
      <c r="N4996" t="s">
        <v>5387</v>
      </c>
      <c r="O4996" t="s">
        <v>111</v>
      </c>
      <c r="P4996" t="str">
        <f>"85282-5913"</f>
        <v>85282-5913</v>
      </c>
      <c r="Q4996" t="s">
        <v>113</v>
      </c>
      <c r="R4996" t="str">
        <f>"133-36-089"</f>
        <v>133-36-089</v>
      </c>
      <c r="S4996" t="s">
        <v>16256</v>
      </c>
      <c r="U4996">
        <v>2243</v>
      </c>
      <c r="V4996">
        <v>0</v>
      </c>
      <c r="W4996">
        <v>3</v>
      </c>
      <c r="X4996">
        <v>1969</v>
      </c>
      <c r="Z4996">
        <v>1</v>
      </c>
      <c r="AA4996" t="s">
        <v>26</v>
      </c>
      <c r="AB4996">
        <v>0</v>
      </c>
      <c r="AC4996" t="s">
        <v>115</v>
      </c>
      <c r="AD4996">
        <v>2</v>
      </c>
      <c r="AE4996" t="s">
        <v>115</v>
      </c>
      <c r="AF4996">
        <v>0</v>
      </c>
      <c r="AG4996">
        <v>0</v>
      </c>
      <c r="AH4996" t="s">
        <v>116</v>
      </c>
      <c r="AI4996" s="1">
        <v>44960</v>
      </c>
      <c r="AJ4996" s="2">
        <v>0.11</v>
      </c>
      <c r="AK4996" s="1">
        <v>398762</v>
      </c>
      <c r="AL4996" t="s">
        <v>117</v>
      </c>
      <c r="AM4996" t="s">
        <v>191</v>
      </c>
      <c r="AN4996">
        <v>9283</v>
      </c>
      <c r="AO4996">
        <v>0.21</v>
      </c>
      <c r="AP4996">
        <v>1</v>
      </c>
      <c r="AR4996">
        <v>1</v>
      </c>
      <c r="AS4996" s="1">
        <v>27710</v>
      </c>
      <c r="AT4996" s="1">
        <v>5540</v>
      </c>
      <c r="AU4996" s="1">
        <v>22170</v>
      </c>
      <c r="AV4996">
        <v>80.010000000000005</v>
      </c>
      <c r="AX4996" s="1">
        <v>2384.7199999999998</v>
      </c>
      <c r="AY4996" t="s">
        <v>16257</v>
      </c>
      <c r="AZ4996" t="s">
        <v>11073</v>
      </c>
      <c r="BA4996" t="s">
        <v>10858</v>
      </c>
      <c r="BE4996" s="3">
        <v>42482</v>
      </c>
      <c r="BF4996" s="1">
        <v>342500</v>
      </c>
      <c r="BG4996" t="s">
        <v>31060</v>
      </c>
      <c r="BH4996" s="1">
        <v>152.69999999999999</v>
      </c>
      <c r="BI4996" s="1">
        <v>353802</v>
      </c>
      <c r="BJ4996" s="3">
        <v>42482</v>
      </c>
      <c r="BK4996" t="s">
        <v>123</v>
      </c>
      <c r="BL4996" t="str">
        <f>"2016.269853"</f>
        <v>2016.269853</v>
      </c>
      <c r="BM4996" t="s">
        <v>544</v>
      </c>
      <c r="BN4996" t="s">
        <v>545</v>
      </c>
      <c r="BO4996" t="s">
        <v>31061</v>
      </c>
      <c r="BS4996">
        <v>30</v>
      </c>
      <c r="BW4996" t="str">
        <f>""</f>
        <v/>
      </c>
      <c r="CH4996" t="str">
        <f>""</f>
        <v/>
      </c>
      <c r="CS4996" t="str">
        <f>""</f>
        <v/>
      </c>
    </row>
    <row r="4997" spans="1:97" x14ac:dyDescent="0.25">
      <c r="A4997" t="s">
        <v>31062</v>
      </c>
      <c r="B4997" t="s">
        <v>6979</v>
      </c>
      <c r="E4997" t="s">
        <v>31063</v>
      </c>
      <c r="F4997" t="s">
        <v>108</v>
      </c>
      <c r="H4997" t="s">
        <v>31064</v>
      </c>
      <c r="I4997" t="s">
        <v>203</v>
      </c>
      <c r="J4997" t="s">
        <v>111</v>
      </c>
      <c r="K4997" t="str">
        <f>"85234"</f>
        <v>85234</v>
      </c>
      <c r="L4997" t="s">
        <v>3108</v>
      </c>
      <c r="M4997" t="s">
        <v>31064</v>
      </c>
      <c r="N4997" t="s">
        <v>203</v>
      </c>
      <c r="O4997" t="s">
        <v>111</v>
      </c>
      <c r="P4997" t="str">
        <f>"85234"</f>
        <v>85234</v>
      </c>
      <c r="Q4997" t="s">
        <v>113</v>
      </c>
      <c r="R4997" t="str">
        <f>"304-06-241"</f>
        <v>304-06-241</v>
      </c>
      <c r="S4997" t="s">
        <v>7211</v>
      </c>
      <c r="T4997" t="s">
        <v>7212</v>
      </c>
      <c r="U4997">
        <v>2145</v>
      </c>
      <c r="V4997">
        <v>0</v>
      </c>
      <c r="W4997">
        <v>3</v>
      </c>
      <c r="X4997">
        <v>1994</v>
      </c>
      <c r="Z4997">
        <v>1</v>
      </c>
      <c r="AB4997">
        <v>0</v>
      </c>
      <c r="AC4997" t="s">
        <v>115</v>
      </c>
      <c r="AD4997">
        <v>2</v>
      </c>
      <c r="AE4997" t="s">
        <v>115</v>
      </c>
      <c r="AF4997">
        <v>0</v>
      </c>
      <c r="AG4997">
        <v>0</v>
      </c>
      <c r="AH4997" t="s">
        <v>116</v>
      </c>
      <c r="AI4997" s="1">
        <v>112414</v>
      </c>
      <c r="AJ4997" s="2">
        <v>0.32</v>
      </c>
      <c r="AK4997" s="1">
        <v>347314</v>
      </c>
      <c r="AL4997" t="s">
        <v>117</v>
      </c>
      <c r="AM4997" t="s">
        <v>393</v>
      </c>
      <c r="AN4997">
        <v>8815</v>
      </c>
      <c r="AO4997">
        <v>0.2</v>
      </c>
      <c r="AP4997">
        <v>1</v>
      </c>
      <c r="AR4997">
        <v>1</v>
      </c>
      <c r="AS4997" s="1">
        <v>24310</v>
      </c>
      <c r="AT4997" s="1">
        <v>4860</v>
      </c>
      <c r="AU4997" s="1">
        <v>19450</v>
      </c>
      <c r="AV4997">
        <v>80.010000000000005</v>
      </c>
      <c r="AX4997" s="1">
        <v>1638.4</v>
      </c>
      <c r="AY4997" t="s">
        <v>7213</v>
      </c>
      <c r="AZ4997" t="s">
        <v>571</v>
      </c>
      <c r="BA4997" t="s">
        <v>521</v>
      </c>
      <c r="BE4997" s="3">
        <v>41694</v>
      </c>
      <c r="BF4997" s="1">
        <v>236500</v>
      </c>
      <c r="BG4997" t="s">
        <v>31065</v>
      </c>
      <c r="BH4997" s="1">
        <v>110.26</v>
      </c>
      <c r="BI4997" s="1">
        <v>234900</v>
      </c>
      <c r="BJ4997" s="3">
        <v>42587</v>
      </c>
      <c r="BK4997" t="s">
        <v>123</v>
      </c>
      <c r="BL4997" t="str">
        <f>"2016.560046"</f>
        <v>2016.560046</v>
      </c>
      <c r="BM4997" t="s">
        <v>124</v>
      </c>
      <c r="BO4997" t="s">
        <v>31066</v>
      </c>
      <c r="BS4997">
        <v>30</v>
      </c>
      <c r="BW4997" t="str">
        <f>""</f>
        <v/>
      </c>
      <c r="CH4997" t="str">
        <f>""</f>
        <v/>
      </c>
      <c r="CS4997" t="str">
        <f>""</f>
        <v/>
      </c>
    </row>
    <row r="4998" spans="1:97" x14ac:dyDescent="0.25">
      <c r="A4998" t="s">
        <v>222</v>
      </c>
      <c r="B4998" t="s">
        <v>1388</v>
      </c>
      <c r="C4998" t="s">
        <v>2710</v>
      </c>
      <c r="D4998" t="s">
        <v>1388</v>
      </c>
      <c r="E4998" t="s">
        <v>31067</v>
      </c>
      <c r="F4998" t="s">
        <v>108</v>
      </c>
      <c r="H4998" t="s">
        <v>31068</v>
      </c>
      <c r="I4998" t="s">
        <v>499</v>
      </c>
      <c r="J4998" t="s">
        <v>111</v>
      </c>
      <c r="K4998" t="str">
        <f>"85395"</f>
        <v>85395</v>
      </c>
      <c r="L4998" t="s">
        <v>5743</v>
      </c>
      <c r="M4998" t="s">
        <v>31068</v>
      </c>
      <c r="N4998" t="s">
        <v>499</v>
      </c>
      <c r="O4998" t="s">
        <v>111</v>
      </c>
      <c r="P4998" t="str">
        <f>"85395-6338"</f>
        <v>85395-6338</v>
      </c>
      <c r="Q4998" t="s">
        <v>113</v>
      </c>
      <c r="R4998" t="str">
        <f>"508-13-347"</f>
        <v>508-13-347</v>
      </c>
      <c r="S4998" t="s">
        <v>5744</v>
      </c>
      <c r="T4998" t="s">
        <v>5745</v>
      </c>
      <c r="U4998">
        <v>1682</v>
      </c>
      <c r="V4998">
        <v>0</v>
      </c>
      <c r="W4998">
        <v>3</v>
      </c>
      <c r="X4998">
        <v>2010</v>
      </c>
      <c r="Z4998">
        <v>1</v>
      </c>
      <c r="AB4998">
        <v>0</v>
      </c>
      <c r="AC4998" t="s">
        <v>115</v>
      </c>
      <c r="AD4998">
        <v>2</v>
      </c>
      <c r="AE4998" t="s">
        <v>115</v>
      </c>
      <c r="AF4998">
        <v>0</v>
      </c>
      <c r="AG4998">
        <v>0</v>
      </c>
      <c r="AH4998" t="s">
        <v>116</v>
      </c>
      <c r="AI4998" s="1">
        <v>75558</v>
      </c>
      <c r="AJ4998" s="2">
        <v>0.27</v>
      </c>
      <c r="AK4998" s="1">
        <v>279347</v>
      </c>
      <c r="AL4998" t="s">
        <v>117</v>
      </c>
      <c r="AM4998" t="s">
        <v>118</v>
      </c>
      <c r="AN4998">
        <v>7544</v>
      </c>
      <c r="AO4998">
        <v>0.17</v>
      </c>
      <c r="AR4998">
        <v>1</v>
      </c>
      <c r="AS4998" s="1">
        <v>19230</v>
      </c>
      <c r="AT4998" s="1">
        <v>3840</v>
      </c>
      <c r="AU4998" s="1">
        <v>15390</v>
      </c>
      <c r="AV4998">
        <v>80.03</v>
      </c>
      <c r="AX4998" s="1">
        <v>1896.26</v>
      </c>
      <c r="AY4998" t="s">
        <v>3020</v>
      </c>
      <c r="AZ4998" t="s">
        <v>3020</v>
      </c>
      <c r="BA4998" t="s">
        <v>3154</v>
      </c>
      <c r="BE4998" s="3">
        <v>42052</v>
      </c>
      <c r="BF4998" s="1">
        <v>199500</v>
      </c>
      <c r="BG4998" t="s">
        <v>31069</v>
      </c>
      <c r="BH4998" s="1">
        <v>118.61</v>
      </c>
      <c r="BI4998" s="1">
        <v>203789</v>
      </c>
      <c r="BJ4998" s="3">
        <v>42052</v>
      </c>
      <c r="BK4998" t="s">
        <v>123</v>
      </c>
      <c r="BL4998" t="str">
        <f>"2015.99847"</f>
        <v>2015.99847</v>
      </c>
      <c r="BM4998" t="s">
        <v>1325</v>
      </c>
      <c r="BO4998" t="s">
        <v>31070</v>
      </c>
      <c r="BS4998">
        <v>30</v>
      </c>
      <c r="BW4998" t="str">
        <f>""</f>
        <v/>
      </c>
      <c r="CH4998" t="str">
        <f>""</f>
        <v/>
      </c>
      <c r="CS4998" t="str">
        <f>""</f>
        <v/>
      </c>
    </row>
    <row r="4999" spans="1:97" x14ac:dyDescent="0.25">
      <c r="A4999" t="s">
        <v>31071</v>
      </c>
      <c r="B4999" t="s">
        <v>31072</v>
      </c>
      <c r="E4999" t="s">
        <v>31073</v>
      </c>
      <c r="F4999" t="s">
        <v>108</v>
      </c>
      <c r="H4999" t="s">
        <v>31074</v>
      </c>
      <c r="I4999" t="s">
        <v>225</v>
      </c>
      <c r="J4999" t="s">
        <v>111</v>
      </c>
      <c r="K4999" t="str">
        <f>"85207"</f>
        <v>85207</v>
      </c>
      <c r="L4999" t="s">
        <v>299</v>
      </c>
      <c r="M4999" t="s">
        <v>31074</v>
      </c>
      <c r="N4999" t="s">
        <v>225</v>
      </c>
      <c r="O4999" t="s">
        <v>111</v>
      </c>
      <c r="P4999" t="str">
        <f>"85207-6729"</f>
        <v>85207-6729</v>
      </c>
      <c r="Q4999" t="s">
        <v>113</v>
      </c>
      <c r="R4999" t="str">
        <f>"218-08-046"</f>
        <v>218-08-046</v>
      </c>
      <c r="S4999" t="s">
        <v>31075</v>
      </c>
      <c r="T4999" t="s">
        <v>31076</v>
      </c>
      <c r="U4999">
        <v>1602</v>
      </c>
      <c r="V4999">
        <v>0</v>
      </c>
      <c r="W4999">
        <v>3</v>
      </c>
      <c r="X4999">
        <v>1988</v>
      </c>
      <c r="Z4999">
        <v>1</v>
      </c>
      <c r="AB4999">
        <v>0</v>
      </c>
      <c r="AC4999" t="s">
        <v>115</v>
      </c>
      <c r="AD4999">
        <v>2</v>
      </c>
      <c r="AE4999" t="s">
        <v>115</v>
      </c>
      <c r="AF4999">
        <v>0</v>
      </c>
      <c r="AG4999">
        <v>0</v>
      </c>
      <c r="AH4999" t="s">
        <v>116</v>
      </c>
      <c r="AI4999" s="1">
        <v>67748</v>
      </c>
      <c r="AJ4999" s="2">
        <v>0.25</v>
      </c>
      <c r="AK4999" s="1">
        <v>271945</v>
      </c>
      <c r="AL4999" t="s">
        <v>117</v>
      </c>
      <c r="AM4999" t="s">
        <v>393</v>
      </c>
      <c r="AN4999">
        <v>7135</v>
      </c>
      <c r="AO4999">
        <v>0.16</v>
      </c>
      <c r="AP4999">
        <v>1</v>
      </c>
      <c r="AR4999">
        <v>1</v>
      </c>
      <c r="AS4999" s="1">
        <v>18510</v>
      </c>
      <c r="AT4999" s="1">
        <v>3700</v>
      </c>
      <c r="AU4999" s="1">
        <v>14810</v>
      </c>
      <c r="AV4999">
        <v>80.010000000000005</v>
      </c>
      <c r="AX4999" s="1">
        <v>1257.98</v>
      </c>
      <c r="AY4999" t="s">
        <v>4567</v>
      </c>
      <c r="AZ4999" t="s">
        <v>231</v>
      </c>
      <c r="BA4999" t="s">
        <v>3119</v>
      </c>
      <c r="BE4999" s="3">
        <v>42310</v>
      </c>
      <c r="BF4999" s="1">
        <v>199900</v>
      </c>
      <c r="BG4999" t="s">
        <v>31077</v>
      </c>
      <c r="BH4999" s="1">
        <v>124.78</v>
      </c>
      <c r="BI4999" s="1">
        <v>204197</v>
      </c>
      <c r="BJ4999" s="3">
        <v>42310</v>
      </c>
      <c r="BK4999" t="s">
        <v>123</v>
      </c>
      <c r="BL4999" t="str">
        <f>"2015.788715"</f>
        <v>2015.788715</v>
      </c>
      <c r="BM4999" t="s">
        <v>175</v>
      </c>
      <c r="BO4999" t="s">
        <v>31078</v>
      </c>
      <c r="BS4999">
        <v>30</v>
      </c>
      <c r="BW4999" t="str">
        <f>""</f>
        <v/>
      </c>
      <c r="CH4999" t="str">
        <f>""</f>
        <v/>
      </c>
      <c r="CS4999" t="str">
        <f>""</f>
        <v/>
      </c>
    </row>
    <row r="5000" spans="1:97" x14ac:dyDescent="0.25">
      <c r="A5000" t="s">
        <v>1850</v>
      </c>
      <c r="B5000" t="s">
        <v>27108</v>
      </c>
      <c r="C5000" t="s">
        <v>2184</v>
      </c>
      <c r="D5000" t="s">
        <v>27108</v>
      </c>
      <c r="E5000" t="s">
        <v>31079</v>
      </c>
      <c r="F5000" t="s">
        <v>108</v>
      </c>
      <c r="H5000" t="s">
        <v>31080</v>
      </c>
      <c r="I5000" t="s">
        <v>499</v>
      </c>
      <c r="J5000" t="s">
        <v>111</v>
      </c>
      <c r="K5000" t="str">
        <f>"85395"</f>
        <v>85395</v>
      </c>
      <c r="L5000" t="s">
        <v>1312</v>
      </c>
      <c r="M5000" t="s">
        <v>31080</v>
      </c>
      <c r="N5000" t="s">
        <v>499</v>
      </c>
      <c r="O5000" t="s">
        <v>111</v>
      </c>
      <c r="P5000" t="str">
        <f>"85395-2042"</f>
        <v>85395-2042</v>
      </c>
      <c r="Q5000" t="s">
        <v>113</v>
      </c>
      <c r="R5000" t="str">
        <f>"501-76-487"</f>
        <v>501-76-487</v>
      </c>
      <c r="S5000" t="s">
        <v>20930</v>
      </c>
      <c r="T5000" t="s">
        <v>20931</v>
      </c>
      <c r="U5000">
        <v>2813</v>
      </c>
      <c r="V5000">
        <v>0</v>
      </c>
      <c r="W5000">
        <v>4</v>
      </c>
      <c r="X5000">
        <v>2002</v>
      </c>
      <c r="Z5000">
        <v>1</v>
      </c>
      <c r="AA5000" t="s">
        <v>26</v>
      </c>
      <c r="AB5000">
        <v>0</v>
      </c>
      <c r="AC5000" t="s">
        <v>115</v>
      </c>
      <c r="AD5000">
        <v>3</v>
      </c>
      <c r="AE5000" t="s">
        <v>115</v>
      </c>
      <c r="AF5000">
        <v>0</v>
      </c>
      <c r="AG5000">
        <v>0</v>
      </c>
      <c r="AH5000" t="s">
        <v>116</v>
      </c>
      <c r="AI5000" s="1">
        <v>125589</v>
      </c>
      <c r="AJ5000" s="2">
        <v>0.3</v>
      </c>
      <c r="AK5000" s="1">
        <v>424276</v>
      </c>
      <c r="AL5000" t="s">
        <v>117</v>
      </c>
      <c r="AM5000" t="s">
        <v>118</v>
      </c>
      <c r="AN5000">
        <v>16039</v>
      </c>
      <c r="AO5000">
        <v>0.37</v>
      </c>
      <c r="AP5000">
        <v>1</v>
      </c>
      <c r="AR5000">
        <v>1</v>
      </c>
      <c r="AS5000" s="1">
        <v>31150</v>
      </c>
      <c r="AT5000" s="1">
        <v>6230</v>
      </c>
      <c r="AU5000" s="1">
        <v>24920</v>
      </c>
      <c r="AV5000">
        <v>80</v>
      </c>
      <c r="AX5000" s="1">
        <v>3914.36</v>
      </c>
      <c r="AY5000" t="s">
        <v>3020</v>
      </c>
      <c r="AZ5000" t="s">
        <v>3020</v>
      </c>
      <c r="BA5000" t="s">
        <v>7186</v>
      </c>
      <c r="BE5000" s="3">
        <v>42452</v>
      </c>
      <c r="BF5000" s="1">
        <v>365000</v>
      </c>
      <c r="BG5000" t="s">
        <v>31081</v>
      </c>
      <c r="BH5000" s="1">
        <v>129.75</v>
      </c>
      <c r="BI5000" s="1">
        <v>298687</v>
      </c>
      <c r="BJ5000" s="3">
        <v>42452</v>
      </c>
      <c r="BK5000" t="s">
        <v>123</v>
      </c>
      <c r="BL5000" t="str">
        <f>"2016.186331"</f>
        <v>2016.186331</v>
      </c>
      <c r="BM5000" t="s">
        <v>2383</v>
      </c>
      <c r="BO5000" t="s">
        <v>31082</v>
      </c>
      <c r="BS5000">
        <v>30</v>
      </c>
      <c r="BW5000" t="str">
        <f>""</f>
        <v/>
      </c>
      <c r="CH5000" t="str">
        <f>""</f>
        <v/>
      </c>
      <c r="CS5000" t="str">
        <f>""</f>
        <v/>
      </c>
    </row>
    <row r="5001" spans="1:97" x14ac:dyDescent="0.25">
      <c r="A5001" t="s">
        <v>31083</v>
      </c>
      <c r="B5001" t="s">
        <v>1697</v>
      </c>
      <c r="E5001" t="s">
        <v>31084</v>
      </c>
      <c r="F5001" t="s">
        <v>108</v>
      </c>
      <c r="H5001" t="s">
        <v>31085</v>
      </c>
      <c r="I5001" t="s">
        <v>390</v>
      </c>
      <c r="J5001" t="s">
        <v>111</v>
      </c>
      <c r="K5001" t="str">
        <f>"85029"</f>
        <v>85029</v>
      </c>
      <c r="L5001" t="s">
        <v>5074</v>
      </c>
      <c r="M5001" t="s">
        <v>31085</v>
      </c>
      <c r="N5001" t="s">
        <v>390</v>
      </c>
      <c r="O5001" t="s">
        <v>111</v>
      </c>
      <c r="P5001" t="str">
        <f>"85029-1330"</f>
        <v>85029-1330</v>
      </c>
      <c r="Q5001" t="s">
        <v>113</v>
      </c>
      <c r="R5001" t="str">
        <f>"149-43-030"</f>
        <v>149-43-030</v>
      </c>
      <c r="S5001" t="s">
        <v>31086</v>
      </c>
      <c r="T5001" t="s">
        <v>31087</v>
      </c>
      <c r="U5001">
        <v>2087</v>
      </c>
      <c r="V5001">
        <v>0</v>
      </c>
      <c r="W5001">
        <v>3</v>
      </c>
      <c r="X5001">
        <v>1960</v>
      </c>
      <c r="Z5001">
        <v>1</v>
      </c>
      <c r="AB5001">
        <v>0</v>
      </c>
      <c r="AC5001" t="s">
        <v>7038</v>
      </c>
      <c r="AD5001">
        <v>0</v>
      </c>
      <c r="AE5001" t="s">
        <v>7038</v>
      </c>
      <c r="AF5001">
        <v>0</v>
      </c>
      <c r="AG5001">
        <v>0</v>
      </c>
      <c r="AH5001" t="s">
        <v>116</v>
      </c>
      <c r="AI5001" s="1">
        <v>54138</v>
      </c>
      <c r="AJ5001" s="2">
        <v>0.21</v>
      </c>
      <c r="AK5001" s="1">
        <v>260080</v>
      </c>
      <c r="AL5001" t="s">
        <v>117</v>
      </c>
      <c r="AM5001" t="s">
        <v>191</v>
      </c>
      <c r="AN5001">
        <v>12509</v>
      </c>
      <c r="AO5001">
        <v>0.28999999999999998</v>
      </c>
      <c r="AP5001">
        <v>1</v>
      </c>
      <c r="AR5001">
        <v>1</v>
      </c>
      <c r="AS5001" s="1">
        <v>20350</v>
      </c>
      <c r="AT5001" s="1">
        <v>4070</v>
      </c>
      <c r="AU5001" s="1">
        <v>16280</v>
      </c>
      <c r="AV5001">
        <v>80</v>
      </c>
      <c r="AX5001" s="1">
        <v>1328.06</v>
      </c>
      <c r="AY5001" t="s">
        <v>31088</v>
      </c>
      <c r="AZ5001" t="s">
        <v>6986</v>
      </c>
      <c r="BA5001" t="s">
        <v>10888</v>
      </c>
      <c r="BE5001" s="3">
        <v>42508</v>
      </c>
      <c r="BF5001" s="1">
        <v>200000</v>
      </c>
      <c r="BG5001" t="s">
        <v>31089</v>
      </c>
      <c r="BH5001" s="1">
        <v>95.83</v>
      </c>
      <c r="BI5001" s="1">
        <v>205942</v>
      </c>
      <c r="BJ5001" s="3">
        <v>42628</v>
      </c>
      <c r="BK5001" t="s">
        <v>123</v>
      </c>
      <c r="BL5001" t="str">
        <f>"2016.671243"</f>
        <v>2016.671243</v>
      </c>
      <c r="BM5001" t="s">
        <v>402</v>
      </c>
      <c r="BO5001" t="s">
        <v>31090</v>
      </c>
      <c r="BS5001">
        <v>30</v>
      </c>
      <c r="BW5001" t="str">
        <f>""</f>
        <v/>
      </c>
      <c r="CH5001" t="str">
        <f>""</f>
        <v/>
      </c>
      <c r="CS5001" t="str">
        <f>""</f>
        <v/>
      </c>
    </row>
    <row r="5002" spans="1:97" x14ac:dyDescent="0.25">
      <c r="A5002" t="s">
        <v>370</v>
      </c>
      <c r="B5002" t="s">
        <v>31091</v>
      </c>
      <c r="C5002" t="s">
        <v>4124</v>
      </c>
      <c r="D5002" t="s">
        <v>31091</v>
      </c>
      <c r="E5002" t="s">
        <v>31092</v>
      </c>
      <c r="F5002" t="s">
        <v>108</v>
      </c>
      <c r="H5002" t="s">
        <v>31093</v>
      </c>
      <c r="I5002" t="s">
        <v>1936</v>
      </c>
      <c r="J5002" t="s">
        <v>111</v>
      </c>
      <c r="K5002" t="str">
        <f>"85257"</f>
        <v>85257</v>
      </c>
      <c r="L5002" t="s">
        <v>6145</v>
      </c>
      <c r="M5002" t="s">
        <v>31093</v>
      </c>
      <c r="N5002" t="s">
        <v>1936</v>
      </c>
      <c r="O5002" t="s">
        <v>111</v>
      </c>
      <c r="P5002" t="str">
        <f>"85257-4007"</f>
        <v>85257-4007</v>
      </c>
      <c r="Q5002" t="s">
        <v>113</v>
      </c>
      <c r="R5002" t="str">
        <f>"131-38-123"</f>
        <v>131-38-123</v>
      </c>
      <c r="S5002" t="s">
        <v>27130</v>
      </c>
      <c r="T5002" t="s">
        <v>8391</v>
      </c>
      <c r="U5002">
        <v>1702</v>
      </c>
      <c r="V5002">
        <v>0</v>
      </c>
      <c r="W5002">
        <v>2</v>
      </c>
      <c r="X5002">
        <v>1960</v>
      </c>
      <c r="Z5002">
        <v>1</v>
      </c>
      <c r="AA5002" t="s">
        <v>26</v>
      </c>
      <c r="AB5002">
        <v>0</v>
      </c>
      <c r="AC5002" t="s">
        <v>5188</v>
      </c>
      <c r="AD5002">
        <v>2</v>
      </c>
      <c r="AE5002" t="s">
        <v>5188</v>
      </c>
      <c r="AF5002">
        <v>0</v>
      </c>
      <c r="AG5002">
        <v>0</v>
      </c>
      <c r="AH5002" t="s">
        <v>5467</v>
      </c>
      <c r="AI5002" s="1">
        <v>76541</v>
      </c>
      <c r="AJ5002" s="2">
        <v>0.21</v>
      </c>
      <c r="AK5002" s="1">
        <v>368690</v>
      </c>
      <c r="AL5002" t="s">
        <v>117</v>
      </c>
      <c r="AM5002" t="s">
        <v>393</v>
      </c>
      <c r="AN5002">
        <v>6963</v>
      </c>
      <c r="AO5002">
        <v>0.16</v>
      </c>
      <c r="AP5002">
        <v>1</v>
      </c>
      <c r="AR5002">
        <v>1</v>
      </c>
      <c r="AS5002" s="1">
        <v>25010</v>
      </c>
      <c r="AT5002" s="1">
        <v>5000</v>
      </c>
      <c r="AU5002" s="1">
        <v>20010</v>
      </c>
      <c r="AV5002">
        <v>80.010000000000005</v>
      </c>
      <c r="AX5002" s="1">
        <v>1125.32</v>
      </c>
      <c r="AY5002" t="s">
        <v>8392</v>
      </c>
      <c r="AZ5002" t="s">
        <v>5420</v>
      </c>
      <c r="BA5002" t="s">
        <v>5421</v>
      </c>
      <c r="BE5002" s="3">
        <v>42215</v>
      </c>
      <c r="BF5002" s="1">
        <v>286000</v>
      </c>
      <c r="BG5002" t="s">
        <v>31094</v>
      </c>
      <c r="BH5002" s="1">
        <v>168.04</v>
      </c>
      <c r="BI5002" s="1">
        <v>292149</v>
      </c>
      <c r="BJ5002" s="3">
        <v>42215</v>
      </c>
      <c r="BK5002" t="s">
        <v>123</v>
      </c>
      <c r="BL5002" t="str">
        <f>"2015.551720"</f>
        <v>2015.551720</v>
      </c>
      <c r="BM5002" t="s">
        <v>1214</v>
      </c>
      <c r="BO5002" t="s">
        <v>31095</v>
      </c>
      <c r="BS5002">
        <v>30</v>
      </c>
      <c r="BW5002" t="str">
        <f>""</f>
        <v/>
      </c>
      <c r="CH5002" t="str">
        <f>""</f>
        <v/>
      </c>
      <c r="CS5002" t="str">
        <f>""</f>
        <v/>
      </c>
    </row>
    <row r="5003" spans="1:97" x14ac:dyDescent="0.25">
      <c r="A5003" t="s">
        <v>996</v>
      </c>
      <c r="B5003" t="s">
        <v>31096</v>
      </c>
      <c r="C5003" t="s">
        <v>22924</v>
      </c>
      <c r="D5003" t="s">
        <v>31096</v>
      </c>
      <c r="E5003" t="s">
        <v>31097</v>
      </c>
      <c r="F5003" t="s">
        <v>108</v>
      </c>
      <c r="H5003" t="s">
        <v>31098</v>
      </c>
      <c r="I5003" t="s">
        <v>453</v>
      </c>
      <c r="J5003" t="s">
        <v>111</v>
      </c>
      <c r="K5003" t="str">
        <f>"85381"</f>
        <v>85381</v>
      </c>
      <c r="L5003" t="s">
        <v>8543</v>
      </c>
      <c r="M5003" t="s">
        <v>31098</v>
      </c>
      <c r="N5003" t="s">
        <v>453</v>
      </c>
      <c r="O5003" t="s">
        <v>111</v>
      </c>
      <c r="P5003" t="str">
        <f>"85381-4662"</f>
        <v>85381-4662</v>
      </c>
      <c r="Q5003" t="s">
        <v>113</v>
      </c>
      <c r="R5003" t="str">
        <f>"200-62-326"</f>
        <v>200-62-326</v>
      </c>
      <c r="S5003" t="s">
        <v>31099</v>
      </c>
      <c r="T5003" t="s">
        <v>31100</v>
      </c>
      <c r="U5003">
        <v>2094</v>
      </c>
      <c r="V5003">
        <v>0</v>
      </c>
      <c r="W5003">
        <v>3</v>
      </c>
      <c r="X5003">
        <v>1988</v>
      </c>
      <c r="Z5003">
        <v>2</v>
      </c>
      <c r="AB5003">
        <v>0</v>
      </c>
      <c r="AC5003" t="s">
        <v>115</v>
      </c>
      <c r="AD5003">
        <v>3</v>
      </c>
      <c r="AE5003" t="s">
        <v>115</v>
      </c>
      <c r="AF5003">
        <v>0</v>
      </c>
      <c r="AG5003">
        <v>0</v>
      </c>
      <c r="AH5003" t="s">
        <v>116</v>
      </c>
      <c r="AI5003" s="1">
        <v>72424</v>
      </c>
      <c r="AJ5003" s="2">
        <v>0.22</v>
      </c>
      <c r="AK5003" s="1">
        <v>330674</v>
      </c>
      <c r="AL5003" t="s">
        <v>117</v>
      </c>
      <c r="AM5003" t="s">
        <v>171</v>
      </c>
      <c r="AN5003">
        <v>8276</v>
      </c>
      <c r="AO5003">
        <v>0.19</v>
      </c>
      <c r="AP5003">
        <v>1</v>
      </c>
      <c r="AR5003">
        <v>1</v>
      </c>
      <c r="AS5003" s="1">
        <v>20480</v>
      </c>
      <c r="AT5003" s="1">
        <v>4090</v>
      </c>
      <c r="AU5003" s="1">
        <v>16390</v>
      </c>
      <c r="AV5003">
        <v>80.03</v>
      </c>
      <c r="AX5003" s="1">
        <v>1628.94</v>
      </c>
      <c r="AY5003" t="s">
        <v>1799</v>
      </c>
      <c r="AZ5003" t="s">
        <v>1799</v>
      </c>
      <c r="BA5003" t="s">
        <v>1800</v>
      </c>
      <c r="BB5003" s="3">
        <v>42153</v>
      </c>
      <c r="BD5003" t="s">
        <v>240</v>
      </c>
      <c r="BE5003" s="3">
        <v>42145</v>
      </c>
      <c r="BF5003" s="1">
        <v>250000</v>
      </c>
      <c r="BG5003" t="s">
        <v>31101</v>
      </c>
      <c r="BH5003" s="1">
        <v>119.39</v>
      </c>
      <c r="BI5003" s="1">
        <v>258250</v>
      </c>
      <c r="BJ5003" s="3">
        <v>42145</v>
      </c>
      <c r="BK5003" t="s">
        <v>123</v>
      </c>
      <c r="BL5003" t="str">
        <f>"2015.359345"</f>
        <v>2015.359345</v>
      </c>
      <c r="BM5003" t="s">
        <v>594</v>
      </c>
      <c r="BO5003" t="s">
        <v>31102</v>
      </c>
      <c r="BS5003">
        <v>30</v>
      </c>
      <c r="BW5003" t="str">
        <f>""</f>
        <v/>
      </c>
      <c r="CH5003" t="str">
        <f>""</f>
        <v/>
      </c>
      <c r="CS5003" t="str">
        <f>""</f>
        <v/>
      </c>
    </row>
    <row r="5004" spans="1:97" x14ac:dyDescent="0.25">
      <c r="A5004" t="s">
        <v>15233</v>
      </c>
      <c r="B5004" t="s">
        <v>5869</v>
      </c>
      <c r="C5004" t="s">
        <v>537</v>
      </c>
      <c r="D5004" t="s">
        <v>5869</v>
      </c>
      <c r="E5004" t="s">
        <v>31103</v>
      </c>
      <c r="F5004" t="s">
        <v>108</v>
      </c>
      <c r="H5004" t="s">
        <v>31104</v>
      </c>
      <c r="I5004" t="s">
        <v>632</v>
      </c>
      <c r="J5004" t="s">
        <v>111</v>
      </c>
      <c r="K5004" t="str">
        <f>"85388"</f>
        <v>85388</v>
      </c>
      <c r="L5004" t="s">
        <v>5165</v>
      </c>
      <c r="M5004" t="s">
        <v>31104</v>
      </c>
      <c r="N5004" t="s">
        <v>632</v>
      </c>
      <c r="O5004" t="s">
        <v>111</v>
      </c>
      <c r="P5004" t="str">
        <f>"85388-5038"</f>
        <v>85388-5038</v>
      </c>
      <c r="Q5004" t="s">
        <v>113</v>
      </c>
      <c r="R5004" t="str">
        <f>"502-05-387"</f>
        <v>502-05-387</v>
      </c>
      <c r="S5004" t="s">
        <v>5166</v>
      </c>
      <c r="T5004" t="s">
        <v>5167</v>
      </c>
      <c r="U5004">
        <v>2950</v>
      </c>
      <c r="V5004">
        <v>0</v>
      </c>
      <c r="W5004">
        <v>4</v>
      </c>
      <c r="X5004">
        <v>2006</v>
      </c>
      <c r="Z5004">
        <v>2</v>
      </c>
      <c r="AA5004" t="s">
        <v>26</v>
      </c>
      <c r="AB5004">
        <v>0</v>
      </c>
      <c r="AC5004" t="s">
        <v>115</v>
      </c>
      <c r="AD5004">
        <v>3</v>
      </c>
      <c r="AE5004" t="s">
        <v>115</v>
      </c>
      <c r="AF5004">
        <v>0</v>
      </c>
      <c r="AG5004">
        <v>0</v>
      </c>
      <c r="AH5004" t="s">
        <v>116</v>
      </c>
      <c r="AI5004" s="1">
        <v>70510</v>
      </c>
      <c r="AJ5004" s="2">
        <v>0.2</v>
      </c>
      <c r="AK5004" s="1">
        <v>352510</v>
      </c>
      <c r="AL5004" t="s">
        <v>117</v>
      </c>
      <c r="AM5004" t="s">
        <v>118</v>
      </c>
      <c r="AN5004">
        <v>8691</v>
      </c>
      <c r="AO5004">
        <v>0.2</v>
      </c>
      <c r="AR5004">
        <v>1</v>
      </c>
      <c r="AS5004" s="1">
        <v>24280</v>
      </c>
      <c r="AT5004" s="1">
        <v>4850</v>
      </c>
      <c r="AU5004" s="1">
        <v>19430</v>
      </c>
      <c r="AV5004">
        <v>80.02</v>
      </c>
      <c r="AX5004" s="1">
        <v>2151.52</v>
      </c>
      <c r="AY5004" t="s">
        <v>5168</v>
      </c>
      <c r="AZ5004" t="s">
        <v>5168</v>
      </c>
      <c r="BA5004" t="s">
        <v>5061</v>
      </c>
      <c r="BE5004" s="3">
        <v>42466</v>
      </c>
      <c r="BF5004" s="1">
        <v>285000</v>
      </c>
      <c r="BG5004" t="s">
        <v>31105</v>
      </c>
      <c r="BH5004" s="1">
        <v>96.61</v>
      </c>
      <c r="BI5004" s="1">
        <v>282000</v>
      </c>
      <c r="BJ5004" s="3">
        <v>42466</v>
      </c>
      <c r="BK5004" t="s">
        <v>123</v>
      </c>
      <c r="BL5004" t="str">
        <f>"2016.226751"</f>
        <v>2016.226751</v>
      </c>
      <c r="BM5004" t="s">
        <v>2885</v>
      </c>
      <c r="BO5004" t="s">
        <v>31106</v>
      </c>
      <c r="BS5004">
        <v>30</v>
      </c>
      <c r="BW5004" t="str">
        <f>""</f>
        <v/>
      </c>
      <c r="CH5004" t="str">
        <f>""</f>
        <v/>
      </c>
      <c r="CS5004" t="str">
        <f>""</f>
        <v/>
      </c>
    </row>
    <row r="5005" spans="1:97" x14ac:dyDescent="0.25">
      <c r="A5005" t="s">
        <v>1344</v>
      </c>
      <c r="B5005" t="s">
        <v>31107</v>
      </c>
      <c r="C5005" t="s">
        <v>2271</v>
      </c>
      <c r="D5005" t="s">
        <v>31107</v>
      </c>
      <c r="E5005" t="s">
        <v>31108</v>
      </c>
      <c r="F5005" t="s">
        <v>108</v>
      </c>
      <c r="H5005" t="s">
        <v>31109</v>
      </c>
      <c r="I5005" t="s">
        <v>1788</v>
      </c>
      <c r="J5005" t="s">
        <v>111</v>
      </c>
      <c r="K5005" t="str">
        <f>"85355"</f>
        <v>85355</v>
      </c>
      <c r="L5005" t="s">
        <v>168</v>
      </c>
      <c r="M5005" t="s">
        <v>31109</v>
      </c>
      <c r="N5005" t="s">
        <v>1788</v>
      </c>
      <c r="O5005" t="s">
        <v>111</v>
      </c>
      <c r="P5005" t="str">
        <f>"85355-4334"</f>
        <v>85355-4334</v>
      </c>
      <c r="Q5005" t="s">
        <v>113</v>
      </c>
      <c r="R5005" t="str">
        <f>"502-90-715"</f>
        <v>502-90-715</v>
      </c>
      <c r="S5005" t="s">
        <v>8290</v>
      </c>
      <c r="T5005" t="s">
        <v>8290</v>
      </c>
      <c r="U5005">
        <v>2520</v>
      </c>
      <c r="V5005">
        <v>0</v>
      </c>
      <c r="W5005">
        <v>3</v>
      </c>
      <c r="X5005">
        <v>2014</v>
      </c>
      <c r="Z5005">
        <v>1</v>
      </c>
      <c r="AB5005">
        <v>0</v>
      </c>
      <c r="AC5005" t="s">
        <v>115</v>
      </c>
      <c r="AD5005">
        <v>3</v>
      </c>
      <c r="AE5005" t="s">
        <v>115</v>
      </c>
      <c r="AF5005">
        <v>0</v>
      </c>
      <c r="AG5005">
        <v>0</v>
      </c>
      <c r="AH5005" t="s">
        <v>116</v>
      </c>
      <c r="AI5005" s="1">
        <v>72030</v>
      </c>
      <c r="AJ5005" s="2">
        <v>0.22</v>
      </c>
      <c r="AK5005" s="1">
        <v>331347</v>
      </c>
      <c r="AL5005" t="s">
        <v>117</v>
      </c>
      <c r="AM5005" t="s">
        <v>191</v>
      </c>
      <c r="AN5005">
        <v>8500</v>
      </c>
      <c r="AO5005">
        <v>0.2</v>
      </c>
      <c r="AR5005">
        <v>1</v>
      </c>
      <c r="AS5005" s="1">
        <v>24060</v>
      </c>
      <c r="AT5005" s="1">
        <v>4810</v>
      </c>
      <c r="AU5005" s="1">
        <v>19250</v>
      </c>
      <c r="AV5005">
        <v>80.010000000000005</v>
      </c>
      <c r="AX5005" s="1">
        <v>1618.82</v>
      </c>
      <c r="AY5005" t="s">
        <v>5972</v>
      </c>
      <c r="AZ5005" t="s">
        <v>5972</v>
      </c>
      <c r="BA5005" t="s">
        <v>5061</v>
      </c>
      <c r="BE5005" s="3">
        <v>41849</v>
      </c>
      <c r="BF5005" s="1">
        <v>251033</v>
      </c>
      <c r="BG5005" t="s">
        <v>2289</v>
      </c>
      <c r="BH5005" s="1">
        <v>99.62</v>
      </c>
      <c r="BI5005" s="1">
        <v>259317</v>
      </c>
      <c r="BJ5005" s="3">
        <v>41849</v>
      </c>
      <c r="BK5005" t="s">
        <v>123</v>
      </c>
      <c r="BL5005" t="str">
        <f>"2014.494211"</f>
        <v>2014.494211</v>
      </c>
      <c r="BM5005" t="s">
        <v>1038</v>
      </c>
      <c r="BO5005" t="s">
        <v>31110</v>
      </c>
      <c r="BS5005">
        <v>30</v>
      </c>
      <c r="BW5005" t="str">
        <f>""</f>
        <v/>
      </c>
      <c r="CH5005" t="str">
        <f>""</f>
        <v/>
      </c>
      <c r="CS5005" t="str">
        <f>""</f>
        <v/>
      </c>
    </row>
    <row r="5006" spans="1:97" x14ac:dyDescent="0.25">
      <c r="A5006" t="s">
        <v>12813</v>
      </c>
      <c r="B5006" t="s">
        <v>4864</v>
      </c>
      <c r="C5006" t="s">
        <v>1009</v>
      </c>
      <c r="D5006" t="s">
        <v>4864</v>
      </c>
      <c r="E5006" t="s">
        <v>31111</v>
      </c>
      <c r="F5006" t="s">
        <v>108</v>
      </c>
      <c r="H5006" t="s">
        <v>31112</v>
      </c>
      <c r="I5006" t="s">
        <v>390</v>
      </c>
      <c r="J5006" t="s">
        <v>111</v>
      </c>
      <c r="K5006" t="str">
        <f>"85023"</f>
        <v>85023</v>
      </c>
      <c r="L5006" t="s">
        <v>1518</v>
      </c>
      <c r="M5006" t="s">
        <v>31112</v>
      </c>
      <c r="N5006" t="s">
        <v>390</v>
      </c>
      <c r="O5006" t="s">
        <v>111</v>
      </c>
      <c r="P5006" t="str">
        <f>"85023-5170"</f>
        <v>85023-5170</v>
      </c>
      <c r="Q5006" t="s">
        <v>113</v>
      </c>
      <c r="R5006" t="str">
        <f>"208-16-317"</f>
        <v>208-16-317</v>
      </c>
      <c r="S5006" t="s">
        <v>31113</v>
      </c>
      <c r="T5006" t="s">
        <v>31114</v>
      </c>
      <c r="U5006">
        <v>2045</v>
      </c>
      <c r="V5006">
        <v>0</v>
      </c>
      <c r="W5006">
        <v>2</v>
      </c>
      <c r="X5006">
        <v>1979</v>
      </c>
      <c r="Z5006">
        <v>1</v>
      </c>
      <c r="AA5006" t="s">
        <v>26</v>
      </c>
      <c r="AB5006">
        <v>0</v>
      </c>
      <c r="AC5006" t="s">
        <v>115</v>
      </c>
      <c r="AD5006">
        <v>2</v>
      </c>
      <c r="AE5006" t="s">
        <v>115</v>
      </c>
      <c r="AF5006">
        <v>0</v>
      </c>
      <c r="AG5006">
        <v>0</v>
      </c>
      <c r="AH5006" t="s">
        <v>116</v>
      </c>
      <c r="AI5006" s="1">
        <v>61555</v>
      </c>
      <c r="AJ5006" s="2">
        <v>0.18</v>
      </c>
      <c r="AK5006" s="1">
        <v>332812</v>
      </c>
      <c r="AL5006" t="s">
        <v>117</v>
      </c>
      <c r="AM5006" t="s">
        <v>171</v>
      </c>
      <c r="AN5006">
        <v>8868</v>
      </c>
      <c r="AO5006">
        <v>0.2</v>
      </c>
      <c r="AP5006">
        <v>1</v>
      </c>
      <c r="AR5006">
        <v>1</v>
      </c>
      <c r="AS5006" s="1">
        <v>22900</v>
      </c>
      <c r="AT5006" s="1">
        <v>4580</v>
      </c>
      <c r="AU5006" s="1">
        <v>18320</v>
      </c>
      <c r="AV5006">
        <v>80</v>
      </c>
      <c r="AX5006" s="1">
        <v>2150.2600000000002</v>
      </c>
      <c r="AY5006" t="s">
        <v>8647</v>
      </c>
      <c r="AZ5006" t="s">
        <v>8648</v>
      </c>
      <c r="BA5006" t="s">
        <v>8649</v>
      </c>
      <c r="BE5006" s="3">
        <v>42475</v>
      </c>
      <c r="BF5006" s="1">
        <v>264900</v>
      </c>
      <c r="BG5006" t="s">
        <v>10840</v>
      </c>
      <c r="BH5006" s="1">
        <v>155</v>
      </c>
      <c r="BI5006" s="1">
        <v>271257</v>
      </c>
      <c r="BJ5006" s="3">
        <v>42475</v>
      </c>
      <c r="BK5006" t="s">
        <v>123</v>
      </c>
      <c r="BL5006" t="str">
        <f>"2016.251228"</f>
        <v>2016.251228</v>
      </c>
      <c r="BM5006" t="s">
        <v>2980</v>
      </c>
      <c r="BO5006" t="s">
        <v>31115</v>
      </c>
      <c r="BS5006">
        <v>30</v>
      </c>
      <c r="BW5006" t="str">
        <f>""</f>
        <v/>
      </c>
      <c r="CH5006" t="str">
        <f>""</f>
        <v/>
      </c>
      <c r="CS5006" t="str">
        <f>""</f>
        <v/>
      </c>
    </row>
    <row r="5007" spans="1:97" x14ac:dyDescent="0.25">
      <c r="A5007" t="s">
        <v>1083</v>
      </c>
      <c r="B5007" t="s">
        <v>1422</v>
      </c>
      <c r="C5007" t="s">
        <v>998</v>
      </c>
      <c r="D5007" t="s">
        <v>1422</v>
      </c>
      <c r="E5007" t="s">
        <v>31116</v>
      </c>
      <c r="F5007" t="s">
        <v>108</v>
      </c>
      <c r="H5007" t="s">
        <v>31117</v>
      </c>
      <c r="I5007" t="s">
        <v>110</v>
      </c>
      <c r="J5007" t="s">
        <v>111</v>
      </c>
      <c r="K5007" t="str">
        <f>"85286"</f>
        <v>85286</v>
      </c>
      <c r="L5007" t="s">
        <v>3108</v>
      </c>
      <c r="M5007" t="s">
        <v>31117</v>
      </c>
      <c r="N5007" t="s">
        <v>110</v>
      </c>
      <c r="O5007" t="s">
        <v>111</v>
      </c>
      <c r="P5007" t="str">
        <f>"85286-7040"</f>
        <v>85286-7040</v>
      </c>
      <c r="Q5007" t="s">
        <v>113</v>
      </c>
      <c r="R5007" t="str">
        <f>"303-27-134"</f>
        <v>303-27-134</v>
      </c>
      <c r="S5007" t="s">
        <v>31118</v>
      </c>
      <c r="T5007" t="s">
        <v>31118</v>
      </c>
      <c r="U5007">
        <v>2004</v>
      </c>
      <c r="V5007">
        <v>0</v>
      </c>
      <c r="W5007">
        <v>3</v>
      </c>
      <c r="X5007">
        <v>2001</v>
      </c>
      <c r="Z5007">
        <v>1</v>
      </c>
      <c r="AA5007" t="s">
        <v>26</v>
      </c>
      <c r="AB5007">
        <v>0</v>
      </c>
      <c r="AC5007" t="s">
        <v>115</v>
      </c>
      <c r="AD5007">
        <v>3</v>
      </c>
      <c r="AE5007" t="s">
        <v>115</v>
      </c>
      <c r="AF5007">
        <v>0</v>
      </c>
      <c r="AG5007">
        <v>0</v>
      </c>
      <c r="AH5007" t="s">
        <v>116</v>
      </c>
      <c r="AI5007" s="1">
        <v>57026</v>
      </c>
      <c r="AJ5007" s="2">
        <v>0.15</v>
      </c>
      <c r="AK5007" s="1">
        <v>380312</v>
      </c>
      <c r="AL5007" t="s">
        <v>117</v>
      </c>
      <c r="AM5007" t="s">
        <v>118</v>
      </c>
      <c r="AN5007">
        <v>7500</v>
      </c>
      <c r="AO5007">
        <v>0.17</v>
      </c>
      <c r="AP5007">
        <v>1</v>
      </c>
      <c r="AR5007">
        <v>1</v>
      </c>
      <c r="AS5007" s="1">
        <v>28270</v>
      </c>
      <c r="AT5007" s="1">
        <v>5650</v>
      </c>
      <c r="AU5007" s="1">
        <v>22620</v>
      </c>
      <c r="AV5007">
        <v>80.010000000000005</v>
      </c>
      <c r="AX5007" s="1">
        <v>2262.86</v>
      </c>
      <c r="AY5007" t="s">
        <v>14037</v>
      </c>
      <c r="AZ5007" t="s">
        <v>1882</v>
      </c>
      <c r="BA5007" t="s">
        <v>121</v>
      </c>
      <c r="BB5007" s="3">
        <v>42684</v>
      </c>
      <c r="BD5007" t="s">
        <v>458</v>
      </c>
      <c r="BE5007" s="3">
        <v>42503</v>
      </c>
      <c r="BF5007" s="1">
        <v>316000</v>
      </c>
      <c r="BG5007" t="s">
        <v>31119</v>
      </c>
      <c r="BH5007" s="1">
        <v>157.68</v>
      </c>
      <c r="BI5007" s="1">
        <v>323286</v>
      </c>
      <c r="BJ5007" s="3">
        <v>42684</v>
      </c>
      <c r="BK5007" t="s">
        <v>123</v>
      </c>
      <c r="BL5007" t="str">
        <f>"2016.830340"</f>
        <v>2016.830340</v>
      </c>
      <c r="BM5007" t="s">
        <v>248</v>
      </c>
      <c r="BO5007" t="s">
        <v>31120</v>
      </c>
      <c r="BS5007">
        <v>30</v>
      </c>
      <c r="BW5007" t="str">
        <f>""</f>
        <v/>
      </c>
      <c r="CH5007" t="str">
        <f>""</f>
        <v/>
      </c>
      <c r="CS5007" t="str">
        <f>""</f>
        <v/>
      </c>
    </row>
    <row r="5008" spans="1:97" x14ac:dyDescent="0.25">
      <c r="A5008" t="s">
        <v>1774</v>
      </c>
      <c r="B5008" t="s">
        <v>31121</v>
      </c>
      <c r="C5008" t="s">
        <v>1826</v>
      </c>
      <c r="D5008" t="s">
        <v>31121</v>
      </c>
      <c r="E5008" t="s">
        <v>31122</v>
      </c>
      <c r="F5008" t="s">
        <v>108</v>
      </c>
      <c r="H5008" t="s">
        <v>31123</v>
      </c>
      <c r="I5008" t="s">
        <v>390</v>
      </c>
      <c r="J5008" t="s">
        <v>111</v>
      </c>
      <c r="K5008" t="str">
        <f>"85027"</f>
        <v>85027</v>
      </c>
      <c r="L5008" t="s">
        <v>5900</v>
      </c>
      <c r="M5008" t="s">
        <v>31123</v>
      </c>
      <c r="N5008" t="s">
        <v>390</v>
      </c>
      <c r="O5008" t="s">
        <v>111</v>
      </c>
      <c r="P5008" t="str">
        <f>"85027-4438"</f>
        <v>85027-4438</v>
      </c>
      <c r="Q5008" t="s">
        <v>113</v>
      </c>
      <c r="R5008" t="str">
        <f>"209-24-735"</f>
        <v>209-24-735</v>
      </c>
      <c r="S5008" t="s">
        <v>12569</v>
      </c>
      <c r="T5008" t="s">
        <v>12570</v>
      </c>
      <c r="U5008">
        <v>1451</v>
      </c>
      <c r="V5008">
        <v>0</v>
      </c>
      <c r="W5008">
        <v>3</v>
      </c>
      <c r="X5008">
        <v>1992</v>
      </c>
      <c r="Z5008">
        <v>1</v>
      </c>
      <c r="AB5008">
        <v>0</v>
      </c>
      <c r="AC5008" t="s">
        <v>115</v>
      </c>
      <c r="AD5008">
        <v>2</v>
      </c>
      <c r="AE5008" t="s">
        <v>115</v>
      </c>
      <c r="AF5008">
        <v>0</v>
      </c>
      <c r="AG5008">
        <v>0</v>
      </c>
      <c r="AH5008" t="s">
        <v>116</v>
      </c>
      <c r="AI5008" s="1">
        <v>46227</v>
      </c>
      <c r="AJ5008" s="2">
        <v>0.17</v>
      </c>
      <c r="AK5008" s="1">
        <v>271978</v>
      </c>
      <c r="AL5008" t="s">
        <v>117</v>
      </c>
      <c r="AM5008" t="s">
        <v>191</v>
      </c>
      <c r="AN5008">
        <v>7031</v>
      </c>
      <c r="AO5008">
        <v>0.16</v>
      </c>
      <c r="AP5008">
        <v>1</v>
      </c>
      <c r="AR5008">
        <v>1</v>
      </c>
      <c r="AS5008" s="1">
        <v>18680</v>
      </c>
      <c r="AT5008" s="1">
        <v>3730</v>
      </c>
      <c r="AU5008" s="1">
        <v>14950</v>
      </c>
      <c r="AV5008">
        <v>80.03</v>
      </c>
      <c r="AX5008" s="1">
        <v>1475.4</v>
      </c>
      <c r="AY5008" t="s">
        <v>12571</v>
      </c>
      <c r="AZ5008" t="s">
        <v>2550</v>
      </c>
      <c r="BA5008" t="s">
        <v>2551</v>
      </c>
      <c r="BE5008" s="3">
        <v>42383</v>
      </c>
      <c r="BF5008" s="1">
        <v>221000</v>
      </c>
      <c r="BG5008" t="s">
        <v>31124</v>
      </c>
      <c r="BH5008" s="1">
        <v>152.31</v>
      </c>
      <c r="BI5008" s="1">
        <v>225751</v>
      </c>
      <c r="BJ5008" s="3">
        <v>42383</v>
      </c>
      <c r="BK5008" t="s">
        <v>123</v>
      </c>
      <c r="BL5008" t="str">
        <f>"2016.27000"</f>
        <v>2016.27000</v>
      </c>
      <c r="BM5008" t="s">
        <v>255</v>
      </c>
      <c r="BO5008" t="s">
        <v>31125</v>
      </c>
      <c r="BS5008">
        <v>30</v>
      </c>
      <c r="BW5008" t="str">
        <f>""</f>
        <v/>
      </c>
      <c r="CH5008" t="str">
        <f>""</f>
        <v/>
      </c>
      <c r="CS5008" t="str">
        <f>""</f>
        <v/>
      </c>
    </row>
    <row r="5009" spans="1:97" x14ac:dyDescent="0.25">
      <c r="A5009" t="s">
        <v>996</v>
      </c>
      <c r="B5009" t="s">
        <v>1768</v>
      </c>
      <c r="C5009" t="s">
        <v>2002</v>
      </c>
      <c r="D5009" t="s">
        <v>1768</v>
      </c>
      <c r="E5009" t="s">
        <v>31126</v>
      </c>
      <c r="F5009" t="s">
        <v>108</v>
      </c>
      <c r="H5009" t="s">
        <v>31127</v>
      </c>
      <c r="I5009" t="s">
        <v>390</v>
      </c>
      <c r="J5009" t="s">
        <v>111</v>
      </c>
      <c r="K5009" t="str">
        <f>"85023"</f>
        <v>85023</v>
      </c>
      <c r="L5009" t="s">
        <v>10491</v>
      </c>
      <c r="M5009" t="s">
        <v>31127</v>
      </c>
      <c r="N5009" t="s">
        <v>390</v>
      </c>
      <c r="O5009" t="s">
        <v>111</v>
      </c>
      <c r="P5009" t="str">
        <f>"85023-6481"</f>
        <v>85023-6481</v>
      </c>
      <c r="Q5009" t="s">
        <v>113</v>
      </c>
      <c r="R5009" t="str">
        <f>"208-02-499"</f>
        <v>208-02-499</v>
      </c>
      <c r="S5009" t="s">
        <v>16512</v>
      </c>
      <c r="T5009" t="s">
        <v>16512</v>
      </c>
      <c r="U5009">
        <v>1712</v>
      </c>
      <c r="V5009">
        <v>0</v>
      </c>
      <c r="W5009">
        <v>3</v>
      </c>
      <c r="X5009">
        <v>1996</v>
      </c>
      <c r="Z5009">
        <v>1</v>
      </c>
      <c r="AB5009">
        <v>0</v>
      </c>
      <c r="AC5009" t="s">
        <v>115</v>
      </c>
      <c r="AD5009">
        <v>2</v>
      </c>
      <c r="AE5009" t="s">
        <v>115</v>
      </c>
      <c r="AF5009">
        <v>0</v>
      </c>
      <c r="AG5009">
        <v>0</v>
      </c>
      <c r="AH5009" t="s">
        <v>116</v>
      </c>
      <c r="AI5009" s="1">
        <v>63678</v>
      </c>
      <c r="AJ5009" s="2">
        <v>0.22</v>
      </c>
      <c r="AK5009" s="1">
        <v>294678</v>
      </c>
      <c r="AL5009" t="s">
        <v>117</v>
      </c>
      <c r="AM5009" t="s">
        <v>3345</v>
      </c>
      <c r="AN5009">
        <v>6976</v>
      </c>
      <c r="AO5009">
        <v>0.16</v>
      </c>
      <c r="AP5009">
        <v>1</v>
      </c>
      <c r="AR5009">
        <v>1</v>
      </c>
      <c r="AS5009" s="1">
        <v>20910</v>
      </c>
      <c r="AT5009" s="1">
        <v>4180</v>
      </c>
      <c r="AU5009" s="1">
        <v>16730</v>
      </c>
      <c r="AV5009">
        <v>80.010000000000005</v>
      </c>
      <c r="AX5009" s="1">
        <v>1774.36</v>
      </c>
      <c r="AY5009" t="s">
        <v>12571</v>
      </c>
      <c r="AZ5009" t="s">
        <v>2550</v>
      </c>
      <c r="BA5009" t="s">
        <v>2551</v>
      </c>
      <c r="BE5009" s="3">
        <v>41978</v>
      </c>
      <c r="BF5009" s="1">
        <v>222750</v>
      </c>
      <c r="BG5009" t="s">
        <v>31128</v>
      </c>
      <c r="BH5009" s="1">
        <v>130.11000000000001</v>
      </c>
      <c r="BI5009" s="1">
        <v>206000</v>
      </c>
      <c r="BJ5009" s="3">
        <v>42445</v>
      </c>
      <c r="BK5009" t="s">
        <v>123</v>
      </c>
      <c r="BL5009" t="str">
        <f>"2016.167860"</f>
        <v>2016.167860</v>
      </c>
      <c r="BM5009" t="s">
        <v>1695</v>
      </c>
      <c r="BN5009" t="s">
        <v>9191</v>
      </c>
      <c r="BO5009" t="s">
        <v>31129</v>
      </c>
      <c r="BS5009">
        <v>30</v>
      </c>
      <c r="BT5009" s="1">
        <v>25000</v>
      </c>
      <c r="BU5009" s="3">
        <v>43278</v>
      </c>
      <c r="BW5009" t="str">
        <f>"2018.488452"</f>
        <v>2018.488452</v>
      </c>
      <c r="BX5009" t="s">
        <v>31130</v>
      </c>
      <c r="BY5009" t="s">
        <v>1052</v>
      </c>
      <c r="BZ5009" t="s">
        <v>31131</v>
      </c>
      <c r="CA5009" t="s">
        <v>31132</v>
      </c>
      <c r="CC5009" t="s">
        <v>346</v>
      </c>
      <c r="CH5009" t="str">
        <f>""</f>
        <v/>
      </c>
      <c r="CS5009" t="str">
        <f>""</f>
        <v/>
      </c>
    </row>
    <row r="5010" spans="1:97" x14ac:dyDescent="0.25">
      <c r="A5010" t="s">
        <v>1393</v>
      </c>
      <c r="B5010" t="s">
        <v>8100</v>
      </c>
      <c r="C5010" t="s">
        <v>4515</v>
      </c>
      <c r="D5010" t="s">
        <v>31133</v>
      </c>
      <c r="E5010" t="s">
        <v>31134</v>
      </c>
      <c r="F5010" t="s">
        <v>108</v>
      </c>
      <c r="H5010" t="s">
        <v>31135</v>
      </c>
      <c r="I5010" t="s">
        <v>632</v>
      </c>
      <c r="J5010" t="s">
        <v>111</v>
      </c>
      <c r="K5010" t="str">
        <f>"85374"</f>
        <v>85374</v>
      </c>
      <c r="L5010" t="s">
        <v>6481</v>
      </c>
      <c r="M5010" t="s">
        <v>31135</v>
      </c>
      <c r="N5010" t="s">
        <v>632</v>
      </c>
      <c r="O5010" t="s">
        <v>111</v>
      </c>
      <c r="P5010" t="str">
        <f>"85374-1429"</f>
        <v>85374-1429</v>
      </c>
      <c r="Q5010" t="s">
        <v>113</v>
      </c>
      <c r="R5010" t="str">
        <f>"509-12-380"</f>
        <v>509-12-380</v>
      </c>
      <c r="S5010" t="s">
        <v>31136</v>
      </c>
      <c r="U5010">
        <v>2073</v>
      </c>
      <c r="V5010">
        <v>0</v>
      </c>
      <c r="W5010">
        <v>3</v>
      </c>
      <c r="X5010">
        <v>2004</v>
      </c>
      <c r="Z5010">
        <v>1</v>
      </c>
      <c r="AB5010">
        <v>0</v>
      </c>
      <c r="AC5010" t="s">
        <v>115</v>
      </c>
      <c r="AD5010">
        <v>2</v>
      </c>
      <c r="AE5010" t="s">
        <v>115</v>
      </c>
      <c r="AF5010">
        <v>0</v>
      </c>
      <c r="AG5010">
        <v>0</v>
      </c>
      <c r="AH5010" t="s">
        <v>116</v>
      </c>
      <c r="AI5010" s="1">
        <v>52429</v>
      </c>
      <c r="AJ5010" s="2">
        <v>0.19</v>
      </c>
      <c r="AK5010" s="1">
        <v>277697</v>
      </c>
      <c r="AL5010" t="s">
        <v>117</v>
      </c>
      <c r="AM5010" t="s">
        <v>118</v>
      </c>
      <c r="AN5010">
        <v>6454</v>
      </c>
      <c r="AO5010">
        <v>0.15</v>
      </c>
      <c r="AP5010">
        <v>1</v>
      </c>
      <c r="AR5010">
        <v>1</v>
      </c>
      <c r="AS5010" s="1">
        <v>19320</v>
      </c>
      <c r="AT5010" s="1">
        <v>3860</v>
      </c>
      <c r="AU5010" s="1">
        <v>15460</v>
      </c>
      <c r="AV5010">
        <v>80.02</v>
      </c>
      <c r="AX5010" s="1">
        <v>1363.04</v>
      </c>
      <c r="AY5010" t="s">
        <v>5983</v>
      </c>
      <c r="AZ5010" t="s">
        <v>5983</v>
      </c>
      <c r="BA5010" t="s">
        <v>321</v>
      </c>
      <c r="BE5010" s="3">
        <v>42249</v>
      </c>
      <c r="BF5010" s="1">
        <v>216000</v>
      </c>
      <c r="BG5010" t="s">
        <v>31137</v>
      </c>
      <c r="BH5010" s="1">
        <v>104.2</v>
      </c>
      <c r="BI5010" s="1">
        <v>225268</v>
      </c>
      <c r="BJ5010" s="3">
        <v>42508</v>
      </c>
      <c r="BK5010" t="s">
        <v>123</v>
      </c>
      <c r="BL5010" t="str">
        <f>"2016.341124"</f>
        <v>2016.341124</v>
      </c>
      <c r="BM5010" t="s">
        <v>843</v>
      </c>
      <c r="BO5010" t="s">
        <v>31138</v>
      </c>
      <c r="BP5010" t="s">
        <v>31139</v>
      </c>
      <c r="BS5010">
        <v>30</v>
      </c>
      <c r="BW5010" t="str">
        <f>""</f>
        <v/>
      </c>
      <c r="CH5010" t="str">
        <f>""</f>
        <v/>
      </c>
      <c r="CS5010" t="str">
        <f>""</f>
        <v/>
      </c>
    </row>
    <row r="5011" spans="1:97" x14ac:dyDescent="0.25">
      <c r="A5011" t="s">
        <v>1407</v>
      </c>
      <c r="B5011" t="s">
        <v>31140</v>
      </c>
      <c r="E5011" t="s">
        <v>31141</v>
      </c>
      <c r="F5011" t="s">
        <v>108</v>
      </c>
      <c r="H5011" t="s">
        <v>31142</v>
      </c>
      <c r="I5011" t="s">
        <v>225</v>
      </c>
      <c r="J5011" t="s">
        <v>111</v>
      </c>
      <c r="K5011" t="str">
        <f>"85205"</f>
        <v>85205</v>
      </c>
      <c r="L5011" t="s">
        <v>5218</v>
      </c>
      <c r="M5011" t="s">
        <v>31142</v>
      </c>
      <c r="N5011" t="s">
        <v>225</v>
      </c>
      <c r="O5011" t="s">
        <v>111</v>
      </c>
      <c r="P5011" t="str">
        <f>"85205-7139"</f>
        <v>85205-7139</v>
      </c>
      <c r="Q5011" t="s">
        <v>113</v>
      </c>
      <c r="R5011" t="str">
        <f>"140-15-242"</f>
        <v>140-15-242</v>
      </c>
      <c r="S5011" t="s">
        <v>31143</v>
      </c>
      <c r="T5011" t="s">
        <v>31144</v>
      </c>
      <c r="U5011">
        <v>1871</v>
      </c>
      <c r="V5011">
        <v>0</v>
      </c>
      <c r="W5011">
        <v>2</v>
      </c>
      <c r="X5011">
        <v>1983</v>
      </c>
      <c r="Z5011">
        <v>1</v>
      </c>
      <c r="AB5011">
        <v>0</v>
      </c>
      <c r="AC5011" t="s">
        <v>115</v>
      </c>
      <c r="AD5011">
        <v>2</v>
      </c>
      <c r="AE5011" t="s">
        <v>115</v>
      </c>
      <c r="AF5011">
        <v>0</v>
      </c>
      <c r="AG5011">
        <v>0</v>
      </c>
      <c r="AH5011" t="s">
        <v>116</v>
      </c>
      <c r="AI5011" s="1">
        <v>62032</v>
      </c>
      <c r="AJ5011" s="2">
        <v>0.24</v>
      </c>
      <c r="AK5011" s="1">
        <v>263603</v>
      </c>
      <c r="AL5011" t="s">
        <v>117</v>
      </c>
      <c r="AM5011" t="s">
        <v>191</v>
      </c>
      <c r="AN5011">
        <v>6752</v>
      </c>
      <c r="AO5011">
        <v>0.16</v>
      </c>
      <c r="AP5011">
        <v>1</v>
      </c>
      <c r="AR5011">
        <v>1</v>
      </c>
      <c r="AS5011" s="1">
        <v>18770</v>
      </c>
      <c r="AT5011" s="1">
        <v>3750</v>
      </c>
      <c r="AU5011" s="1">
        <v>15020</v>
      </c>
      <c r="AV5011">
        <v>80.02</v>
      </c>
      <c r="AX5011" s="1">
        <v>1031</v>
      </c>
      <c r="AY5011" t="s">
        <v>7054</v>
      </c>
      <c r="AZ5011" t="s">
        <v>5275</v>
      </c>
      <c r="BA5011" t="s">
        <v>3119</v>
      </c>
      <c r="BE5011" s="3">
        <v>42486</v>
      </c>
      <c r="BF5011" s="1">
        <v>210000</v>
      </c>
      <c r="BG5011" t="s">
        <v>31145</v>
      </c>
      <c r="BH5011" s="1">
        <v>112.24</v>
      </c>
      <c r="BI5011" s="1">
        <v>201571</v>
      </c>
      <c r="BJ5011" s="3">
        <v>42664</v>
      </c>
      <c r="BK5011" t="s">
        <v>123</v>
      </c>
      <c r="BL5011" t="str">
        <f>"2016.776778"</f>
        <v>2016.776778</v>
      </c>
      <c r="BM5011" t="s">
        <v>402</v>
      </c>
      <c r="BO5011" t="s">
        <v>31146</v>
      </c>
      <c r="BS5011">
        <v>30</v>
      </c>
      <c r="BW5011" t="str">
        <f>""</f>
        <v/>
      </c>
      <c r="CH5011" t="str">
        <f>""</f>
        <v/>
      </c>
      <c r="CS5011" t="str">
        <f>""</f>
        <v/>
      </c>
    </row>
    <row r="5012" spans="1:97" x14ac:dyDescent="0.25">
      <c r="A5012" t="s">
        <v>5528</v>
      </c>
      <c r="B5012" t="s">
        <v>1552</v>
      </c>
      <c r="C5012" t="s">
        <v>31147</v>
      </c>
      <c r="D5012" t="s">
        <v>1552</v>
      </c>
      <c r="E5012" t="s">
        <v>31148</v>
      </c>
      <c r="F5012" t="s">
        <v>108</v>
      </c>
      <c r="H5012" t="s">
        <v>31149</v>
      </c>
      <c r="I5012" t="s">
        <v>499</v>
      </c>
      <c r="J5012" t="s">
        <v>111</v>
      </c>
      <c r="K5012" t="str">
        <f>"85395"</f>
        <v>85395</v>
      </c>
      <c r="L5012" t="s">
        <v>7005</v>
      </c>
      <c r="M5012" t="s">
        <v>31149</v>
      </c>
      <c r="N5012" t="s">
        <v>499</v>
      </c>
      <c r="O5012" t="s">
        <v>111</v>
      </c>
      <c r="P5012" t="str">
        <f>"85395-8973"</f>
        <v>85395-8973</v>
      </c>
      <c r="Q5012" t="s">
        <v>113</v>
      </c>
      <c r="R5012" t="str">
        <f>"508-14-103"</f>
        <v>508-14-103</v>
      </c>
      <c r="S5012" t="s">
        <v>14773</v>
      </c>
      <c r="T5012" t="s">
        <v>14987</v>
      </c>
      <c r="U5012">
        <v>3038</v>
      </c>
      <c r="V5012">
        <v>0</v>
      </c>
      <c r="W5012">
        <v>4</v>
      </c>
      <c r="X5012">
        <v>2005</v>
      </c>
      <c r="Z5012">
        <v>2</v>
      </c>
      <c r="AA5012" t="s">
        <v>26</v>
      </c>
      <c r="AB5012">
        <v>0</v>
      </c>
      <c r="AC5012" t="s">
        <v>115</v>
      </c>
      <c r="AD5012">
        <v>3</v>
      </c>
      <c r="AE5012" t="s">
        <v>115</v>
      </c>
      <c r="AF5012">
        <v>0</v>
      </c>
      <c r="AG5012">
        <v>0</v>
      </c>
      <c r="AH5012" t="s">
        <v>116</v>
      </c>
      <c r="AI5012" s="1">
        <v>25321</v>
      </c>
      <c r="AJ5012" s="2">
        <v>7.0000000000000007E-2</v>
      </c>
      <c r="AK5012" s="1">
        <v>375321</v>
      </c>
      <c r="AL5012" t="s">
        <v>117</v>
      </c>
      <c r="AM5012" t="s">
        <v>118</v>
      </c>
      <c r="AN5012">
        <v>8221</v>
      </c>
      <c r="AO5012">
        <v>0.19</v>
      </c>
      <c r="AR5012">
        <v>1</v>
      </c>
      <c r="AS5012" s="1">
        <v>27200</v>
      </c>
      <c r="AT5012" s="1">
        <v>5440</v>
      </c>
      <c r="AU5012" s="1">
        <v>21760</v>
      </c>
      <c r="AV5012">
        <v>80</v>
      </c>
      <c r="AX5012" s="1">
        <v>2712.78</v>
      </c>
      <c r="AY5012" t="s">
        <v>3020</v>
      </c>
      <c r="AZ5012" t="s">
        <v>3020</v>
      </c>
      <c r="BA5012" t="s">
        <v>7186</v>
      </c>
      <c r="BE5012" s="3">
        <v>42234</v>
      </c>
      <c r="BF5012" s="1">
        <v>304900</v>
      </c>
      <c r="BG5012" t="s">
        <v>31150</v>
      </c>
      <c r="BH5012" s="1">
        <v>100.36</v>
      </c>
      <c r="BI5012" s="1">
        <v>350000</v>
      </c>
      <c r="BJ5012" s="3">
        <v>42986</v>
      </c>
      <c r="BK5012" t="s">
        <v>123</v>
      </c>
      <c r="BL5012" t="str">
        <f>"2017.665637"</f>
        <v>2017.665637</v>
      </c>
      <c r="BM5012" t="s">
        <v>361</v>
      </c>
      <c r="BN5012">
        <v>92610</v>
      </c>
      <c r="BO5012" t="s">
        <v>31151</v>
      </c>
      <c r="BS5012">
        <v>30</v>
      </c>
      <c r="BT5012" s="1">
        <v>350000</v>
      </c>
      <c r="BU5012" s="3">
        <v>42986</v>
      </c>
      <c r="BV5012" t="s">
        <v>123</v>
      </c>
      <c r="BW5012" t="str">
        <f>"2017.665637"</f>
        <v>2017.665637</v>
      </c>
      <c r="BX5012" t="s">
        <v>361</v>
      </c>
      <c r="BZ5012" t="s">
        <v>31151</v>
      </c>
      <c r="CD5012">
        <v>30</v>
      </c>
      <c r="CH5012" t="str">
        <f>""</f>
        <v/>
      </c>
      <c r="CS5012" t="str">
        <f>""</f>
        <v/>
      </c>
    </row>
    <row r="5013" spans="1:97" x14ac:dyDescent="0.25">
      <c r="A5013" t="s">
        <v>1009</v>
      </c>
      <c r="B5013" t="s">
        <v>565</v>
      </c>
      <c r="E5013" t="s">
        <v>31152</v>
      </c>
      <c r="F5013" t="s">
        <v>108</v>
      </c>
      <c r="H5013" t="s">
        <v>31153</v>
      </c>
      <c r="I5013" t="s">
        <v>203</v>
      </c>
      <c r="J5013" t="s">
        <v>111</v>
      </c>
      <c r="K5013" t="str">
        <f>"85295"</f>
        <v>85295</v>
      </c>
      <c r="L5013" t="s">
        <v>3520</v>
      </c>
      <c r="M5013" t="s">
        <v>31153</v>
      </c>
      <c r="N5013" t="s">
        <v>203</v>
      </c>
      <c r="O5013" t="s">
        <v>111</v>
      </c>
      <c r="P5013" t="str">
        <f>"85295-3611"</f>
        <v>85295-3611</v>
      </c>
      <c r="Q5013" t="s">
        <v>113</v>
      </c>
      <c r="R5013" t="str">
        <f>"313-10-083"</f>
        <v>313-10-083</v>
      </c>
      <c r="S5013" t="s">
        <v>8655</v>
      </c>
      <c r="T5013" t="s">
        <v>8655</v>
      </c>
      <c r="U5013">
        <v>3080</v>
      </c>
      <c r="V5013">
        <v>0</v>
      </c>
      <c r="W5013">
        <v>4</v>
      </c>
      <c r="X5013">
        <v>2005</v>
      </c>
      <c r="Z5013">
        <v>2</v>
      </c>
      <c r="AB5013">
        <v>0</v>
      </c>
      <c r="AC5013" t="s">
        <v>115</v>
      </c>
      <c r="AD5013">
        <v>2</v>
      </c>
      <c r="AE5013" t="s">
        <v>115</v>
      </c>
      <c r="AF5013">
        <v>0</v>
      </c>
      <c r="AG5013">
        <v>0</v>
      </c>
      <c r="AH5013" t="s">
        <v>116</v>
      </c>
      <c r="AI5013" s="1">
        <v>89028</v>
      </c>
      <c r="AJ5013" s="2">
        <v>0.25</v>
      </c>
      <c r="AK5013" s="1">
        <v>357578</v>
      </c>
      <c r="AL5013" t="s">
        <v>117</v>
      </c>
      <c r="AM5013" t="s">
        <v>191</v>
      </c>
      <c r="AN5013">
        <v>4493</v>
      </c>
      <c r="AO5013">
        <v>0.1</v>
      </c>
      <c r="AR5013">
        <v>1</v>
      </c>
      <c r="AS5013" s="1">
        <v>23970</v>
      </c>
      <c r="AT5013" s="1">
        <v>4790</v>
      </c>
      <c r="AU5013" s="1">
        <v>19180</v>
      </c>
      <c r="AV5013">
        <v>80.02</v>
      </c>
      <c r="AX5013" s="1">
        <v>2014.76</v>
      </c>
      <c r="AY5013" t="s">
        <v>5087</v>
      </c>
      <c r="AZ5013" t="s">
        <v>5087</v>
      </c>
      <c r="BA5013" t="s">
        <v>473</v>
      </c>
      <c r="BE5013" s="3">
        <v>41963</v>
      </c>
      <c r="BF5013" s="1">
        <v>260000</v>
      </c>
      <c r="BG5013" t="s">
        <v>7202</v>
      </c>
      <c r="BH5013" s="1">
        <v>84.42</v>
      </c>
      <c r="BI5013" s="1">
        <v>268550</v>
      </c>
      <c r="BJ5013" s="3">
        <v>41963</v>
      </c>
      <c r="BK5013" t="s">
        <v>123</v>
      </c>
      <c r="BL5013" t="str">
        <f>"2014.769401"</f>
        <v>2014.769401</v>
      </c>
      <c r="BM5013" t="s">
        <v>1192</v>
      </c>
      <c r="BO5013" t="s">
        <v>31154</v>
      </c>
      <c r="BS5013">
        <v>30</v>
      </c>
      <c r="BW5013" t="str">
        <f>""</f>
        <v/>
      </c>
      <c r="CH5013" t="str">
        <f>""</f>
        <v/>
      </c>
      <c r="CS5013" t="str">
        <f>""</f>
        <v/>
      </c>
    </row>
    <row r="5014" spans="1:97" x14ac:dyDescent="0.25">
      <c r="A5014" t="s">
        <v>1009</v>
      </c>
      <c r="B5014" t="s">
        <v>3548</v>
      </c>
      <c r="C5014" t="s">
        <v>31155</v>
      </c>
      <c r="D5014" t="s">
        <v>3548</v>
      </c>
      <c r="E5014" t="s">
        <v>31156</v>
      </c>
      <c r="F5014" t="s">
        <v>108</v>
      </c>
      <c r="H5014" t="s">
        <v>31157</v>
      </c>
      <c r="I5014" t="s">
        <v>5523</v>
      </c>
      <c r="J5014" t="s">
        <v>111</v>
      </c>
      <c r="K5014" t="str">
        <f>"85373"</f>
        <v>85373</v>
      </c>
      <c r="L5014" t="s">
        <v>5524</v>
      </c>
      <c r="M5014" t="s">
        <v>31157</v>
      </c>
      <c r="N5014" t="s">
        <v>5523</v>
      </c>
      <c r="O5014" t="s">
        <v>111</v>
      </c>
      <c r="P5014" t="str">
        <f>"85373-5657"</f>
        <v>85373-5657</v>
      </c>
      <c r="Q5014" t="s">
        <v>113</v>
      </c>
      <c r="R5014" t="str">
        <f>"503-88-688"</f>
        <v>503-88-688</v>
      </c>
      <c r="S5014" t="s">
        <v>5525</v>
      </c>
      <c r="T5014" t="s">
        <v>5526</v>
      </c>
      <c r="U5014">
        <v>2466</v>
      </c>
      <c r="V5014">
        <v>0</v>
      </c>
      <c r="W5014">
        <v>3</v>
      </c>
      <c r="X5014">
        <v>2008</v>
      </c>
      <c r="Z5014">
        <v>2</v>
      </c>
      <c r="AB5014">
        <v>0</v>
      </c>
      <c r="AC5014" t="s">
        <v>115</v>
      </c>
      <c r="AD5014">
        <v>2</v>
      </c>
      <c r="AE5014" t="s">
        <v>115</v>
      </c>
      <c r="AF5014">
        <v>0</v>
      </c>
      <c r="AG5014">
        <v>0</v>
      </c>
      <c r="AH5014" t="s">
        <v>116</v>
      </c>
      <c r="AI5014" s="1">
        <v>78396</v>
      </c>
      <c r="AJ5014" s="2">
        <v>0.27</v>
      </c>
      <c r="AK5014" s="1">
        <v>288490</v>
      </c>
      <c r="AL5014" t="s">
        <v>117</v>
      </c>
      <c r="AM5014" t="s">
        <v>191</v>
      </c>
      <c r="AN5014">
        <v>5750</v>
      </c>
      <c r="AO5014">
        <v>0.13</v>
      </c>
      <c r="AR5014">
        <v>1</v>
      </c>
      <c r="AS5014" s="1">
        <v>20700</v>
      </c>
      <c r="AT5014" s="1">
        <v>4140</v>
      </c>
      <c r="AU5014" s="1">
        <v>16560</v>
      </c>
      <c r="AV5014">
        <v>80</v>
      </c>
      <c r="AX5014" s="1">
        <v>2187.5</v>
      </c>
      <c r="AY5014" t="s">
        <v>3228</v>
      </c>
      <c r="AZ5014" t="s">
        <v>3228</v>
      </c>
      <c r="BA5014" t="s">
        <v>457</v>
      </c>
      <c r="BE5014" s="3">
        <v>42237</v>
      </c>
      <c r="BF5014" s="1">
        <v>208000</v>
      </c>
      <c r="BG5014" t="s">
        <v>31158</v>
      </c>
      <c r="BH5014" s="1">
        <v>84.35</v>
      </c>
      <c r="BI5014" s="1">
        <v>210094</v>
      </c>
      <c r="BJ5014" s="3">
        <v>42594</v>
      </c>
      <c r="BK5014" t="s">
        <v>123</v>
      </c>
      <c r="BL5014" t="str">
        <f>"2016.576413"</f>
        <v>2016.576413</v>
      </c>
      <c r="BM5014" t="s">
        <v>2378</v>
      </c>
      <c r="BO5014" t="s">
        <v>31159</v>
      </c>
      <c r="BS5014">
        <v>30</v>
      </c>
      <c r="BW5014" t="str">
        <f>""</f>
        <v/>
      </c>
      <c r="CH5014" t="str">
        <f>""</f>
        <v/>
      </c>
      <c r="CS5014" t="str">
        <f>""</f>
        <v/>
      </c>
    </row>
    <row r="5015" spans="1:97" x14ac:dyDescent="0.25">
      <c r="A5015" t="s">
        <v>2374</v>
      </c>
      <c r="B5015" t="s">
        <v>31160</v>
      </c>
      <c r="C5015" t="s">
        <v>11735</v>
      </c>
      <c r="D5015" t="s">
        <v>3333</v>
      </c>
      <c r="E5015" t="s">
        <v>31161</v>
      </c>
      <c r="F5015" t="s">
        <v>108</v>
      </c>
      <c r="H5015" t="s">
        <v>31162</v>
      </c>
      <c r="I5015" t="s">
        <v>144</v>
      </c>
      <c r="J5015" t="s">
        <v>111</v>
      </c>
      <c r="K5015" t="str">
        <f>"85396"</f>
        <v>85396</v>
      </c>
      <c r="L5015" t="s">
        <v>299</v>
      </c>
      <c r="M5015" t="s">
        <v>31162</v>
      </c>
      <c r="N5015" t="s">
        <v>144</v>
      </c>
      <c r="O5015" t="s">
        <v>111</v>
      </c>
      <c r="P5015" t="str">
        <f>"85396-7342"</f>
        <v>85396-7342</v>
      </c>
      <c r="Q5015" t="s">
        <v>113</v>
      </c>
      <c r="R5015" t="str">
        <f>"504-74-980"</f>
        <v>504-74-980</v>
      </c>
      <c r="S5015" t="s">
        <v>23353</v>
      </c>
      <c r="U5015">
        <v>3548</v>
      </c>
      <c r="V5015">
        <v>0</v>
      </c>
      <c r="W5015">
        <v>5</v>
      </c>
      <c r="X5015">
        <v>2008</v>
      </c>
      <c r="Z5015">
        <v>2</v>
      </c>
      <c r="AB5015">
        <v>0</v>
      </c>
      <c r="AC5015" t="s">
        <v>115</v>
      </c>
      <c r="AD5015">
        <v>3</v>
      </c>
      <c r="AE5015" t="s">
        <v>115</v>
      </c>
      <c r="AF5015">
        <v>0</v>
      </c>
      <c r="AG5015">
        <v>0</v>
      </c>
      <c r="AH5015" t="s">
        <v>116</v>
      </c>
      <c r="AI5015" s="1">
        <v>78173</v>
      </c>
      <c r="AJ5015" s="2">
        <v>0.28000000000000003</v>
      </c>
      <c r="AK5015" s="1">
        <v>282473</v>
      </c>
      <c r="AL5015" t="s">
        <v>117</v>
      </c>
      <c r="AM5015" t="s">
        <v>118</v>
      </c>
      <c r="AN5015">
        <v>6960</v>
      </c>
      <c r="AO5015">
        <v>0.16</v>
      </c>
      <c r="AR5015">
        <v>1</v>
      </c>
      <c r="AS5015" s="1">
        <v>19320</v>
      </c>
      <c r="AT5015" s="1">
        <v>3860</v>
      </c>
      <c r="AU5015" s="1">
        <v>15460</v>
      </c>
      <c r="AV5015">
        <v>80.02</v>
      </c>
      <c r="AX5015" s="1">
        <v>1524.96</v>
      </c>
      <c r="AY5015" t="s">
        <v>147</v>
      </c>
      <c r="AZ5015" t="s">
        <v>147</v>
      </c>
      <c r="BA5015" t="s">
        <v>148</v>
      </c>
      <c r="BE5015" s="3">
        <v>42447</v>
      </c>
      <c r="BF5015" s="1">
        <v>200000</v>
      </c>
      <c r="BG5015" t="s">
        <v>31163</v>
      </c>
      <c r="BH5015" s="1">
        <v>56.37</v>
      </c>
      <c r="BI5015" s="1">
        <v>204300</v>
      </c>
      <c r="BJ5015" s="3">
        <v>42447</v>
      </c>
      <c r="BK5015" t="s">
        <v>123</v>
      </c>
      <c r="BL5015" t="str">
        <f>"2016.177208"</f>
        <v>2016.177208</v>
      </c>
      <c r="BM5015" t="s">
        <v>1287</v>
      </c>
      <c r="BO5015" t="s">
        <v>31164</v>
      </c>
      <c r="BS5015">
        <v>30</v>
      </c>
      <c r="BW5015" t="str">
        <f>""</f>
        <v/>
      </c>
      <c r="CH5015" t="str">
        <f>""</f>
        <v/>
      </c>
      <c r="CS5015" t="str">
        <f>""</f>
        <v/>
      </c>
    </row>
    <row r="5016" spans="1:97" x14ac:dyDescent="0.25">
      <c r="A5016" t="s">
        <v>140</v>
      </c>
      <c r="B5016" t="s">
        <v>31165</v>
      </c>
      <c r="E5016" t="s">
        <v>31166</v>
      </c>
      <c r="F5016" t="s">
        <v>108</v>
      </c>
      <c r="H5016" t="s">
        <v>31167</v>
      </c>
      <c r="I5016" t="s">
        <v>5387</v>
      </c>
      <c r="J5016" t="s">
        <v>111</v>
      </c>
      <c r="K5016" t="str">
        <f>"85283"</f>
        <v>85283</v>
      </c>
      <c r="L5016" t="s">
        <v>7847</v>
      </c>
      <c r="M5016" t="s">
        <v>31167</v>
      </c>
      <c r="N5016" t="s">
        <v>5387</v>
      </c>
      <c r="O5016" t="s">
        <v>111</v>
      </c>
      <c r="P5016" t="str">
        <f>"85283-1913"</f>
        <v>85283-1913</v>
      </c>
      <c r="Q5016" t="s">
        <v>113</v>
      </c>
      <c r="R5016" t="str">
        <f>"301-80-296"</f>
        <v>301-80-296</v>
      </c>
      <c r="S5016" t="s">
        <v>31168</v>
      </c>
      <c r="T5016" t="s">
        <v>31169</v>
      </c>
      <c r="U5016">
        <v>1308</v>
      </c>
      <c r="V5016">
        <v>0</v>
      </c>
      <c r="W5016">
        <v>2</v>
      </c>
      <c r="X5016">
        <v>1973</v>
      </c>
      <c r="Z5016">
        <v>1</v>
      </c>
      <c r="AA5016" t="s">
        <v>26</v>
      </c>
      <c r="AB5016">
        <v>0</v>
      </c>
      <c r="AC5016" t="s">
        <v>5188</v>
      </c>
      <c r="AD5016">
        <v>1</v>
      </c>
      <c r="AE5016" t="s">
        <v>5188</v>
      </c>
      <c r="AF5016">
        <v>0</v>
      </c>
      <c r="AG5016">
        <v>0</v>
      </c>
      <c r="AH5016" t="s">
        <v>116</v>
      </c>
      <c r="AI5016" s="1">
        <v>48920</v>
      </c>
      <c r="AJ5016" s="2">
        <v>0.18</v>
      </c>
      <c r="AK5016" s="1">
        <v>278655</v>
      </c>
      <c r="AL5016" t="s">
        <v>117</v>
      </c>
      <c r="AM5016" t="s">
        <v>191</v>
      </c>
      <c r="AN5016">
        <v>6791</v>
      </c>
      <c r="AO5016">
        <v>0.16</v>
      </c>
      <c r="AP5016">
        <v>1</v>
      </c>
      <c r="AR5016">
        <v>1</v>
      </c>
      <c r="AS5016" s="1">
        <v>18800</v>
      </c>
      <c r="AT5016" s="1">
        <v>3760</v>
      </c>
      <c r="AU5016" s="1">
        <v>15040</v>
      </c>
      <c r="AV5016">
        <v>80</v>
      </c>
      <c r="AX5016" s="1">
        <v>1616.96</v>
      </c>
      <c r="AY5016" t="s">
        <v>31170</v>
      </c>
      <c r="AZ5016" t="s">
        <v>6726</v>
      </c>
      <c r="BA5016" t="s">
        <v>5392</v>
      </c>
      <c r="BE5016" s="3">
        <v>42275</v>
      </c>
      <c r="BF5016" s="1">
        <v>224900</v>
      </c>
      <c r="BG5016" t="s">
        <v>31171</v>
      </c>
      <c r="BH5016" s="1">
        <v>171.94</v>
      </c>
      <c r="BI5016" s="1">
        <v>229735</v>
      </c>
      <c r="BJ5016" s="3">
        <v>42275</v>
      </c>
      <c r="BK5016" t="s">
        <v>123</v>
      </c>
      <c r="BL5016" t="str">
        <f>"2015.694588"</f>
        <v>2015.694588</v>
      </c>
      <c r="BM5016" t="s">
        <v>135</v>
      </c>
      <c r="BO5016" t="s">
        <v>31172</v>
      </c>
      <c r="BS5016">
        <v>30</v>
      </c>
      <c r="BW5016" t="str">
        <f>""</f>
        <v/>
      </c>
      <c r="CH5016" t="str">
        <f>""</f>
        <v/>
      </c>
      <c r="CS5016" t="str">
        <f>""</f>
        <v/>
      </c>
    </row>
    <row r="5017" spans="1:97" x14ac:dyDescent="0.25">
      <c r="A5017" t="s">
        <v>4396</v>
      </c>
      <c r="B5017" t="s">
        <v>31173</v>
      </c>
      <c r="E5017" t="s">
        <v>31174</v>
      </c>
      <c r="F5017" t="s">
        <v>108</v>
      </c>
      <c r="H5017" t="s">
        <v>31175</v>
      </c>
      <c r="I5017" t="s">
        <v>499</v>
      </c>
      <c r="J5017" t="s">
        <v>111</v>
      </c>
      <c r="K5017" t="str">
        <f>"85338"</f>
        <v>85338</v>
      </c>
      <c r="L5017" t="s">
        <v>316</v>
      </c>
      <c r="M5017" t="s">
        <v>31175</v>
      </c>
      <c r="N5017" t="s">
        <v>499</v>
      </c>
      <c r="O5017" t="s">
        <v>111</v>
      </c>
      <c r="P5017" t="str">
        <f>"85338-7046"</f>
        <v>85338-7046</v>
      </c>
      <c r="Q5017" t="s">
        <v>113</v>
      </c>
      <c r="R5017" t="str">
        <f>"500-89-650"</f>
        <v>500-89-650</v>
      </c>
      <c r="S5017" t="s">
        <v>5041</v>
      </c>
      <c r="T5017" t="s">
        <v>5042</v>
      </c>
      <c r="U5017">
        <v>1717</v>
      </c>
      <c r="V5017">
        <v>0</v>
      </c>
      <c r="W5017">
        <v>3</v>
      </c>
      <c r="X5017">
        <v>2016</v>
      </c>
      <c r="Z5017">
        <v>1</v>
      </c>
      <c r="AB5017">
        <v>0</v>
      </c>
      <c r="AC5017" t="s">
        <v>115</v>
      </c>
      <c r="AD5017">
        <v>2</v>
      </c>
      <c r="AE5017" t="s">
        <v>115</v>
      </c>
      <c r="AF5017">
        <v>0</v>
      </c>
      <c r="AG5017">
        <v>0</v>
      </c>
      <c r="AH5017" t="s">
        <v>116</v>
      </c>
      <c r="AI5017" s="1">
        <v>21805</v>
      </c>
      <c r="AJ5017" s="2">
        <v>0.09</v>
      </c>
      <c r="AK5017" s="1">
        <v>256171</v>
      </c>
      <c r="AL5017" t="s">
        <v>117</v>
      </c>
      <c r="AM5017" t="s">
        <v>118</v>
      </c>
      <c r="AN5017">
        <v>6771</v>
      </c>
      <c r="AO5017">
        <v>0.16</v>
      </c>
      <c r="AR5017">
        <v>1</v>
      </c>
      <c r="AS5017" s="1">
        <v>17510</v>
      </c>
      <c r="AT5017" s="1">
        <v>3500</v>
      </c>
      <c r="AU5017" s="1">
        <v>14010</v>
      </c>
      <c r="AV5017">
        <v>80.010000000000005</v>
      </c>
      <c r="AX5017" s="1">
        <v>1440.76</v>
      </c>
      <c r="AY5017" t="s">
        <v>4311</v>
      </c>
      <c r="AZ5017" t="s">
        <v>4311</v>
      </c>
      <c r="BA5017" t="s">
        <v>218</v>
      </c>
      <c r="BE5017" s="3">
        <v>42481</v>
      </c>
      <c r="BF5017" s="1">
        <v>222835</v>
      </c>
      <c r="BG5017" t="s">
        <v>2780</v>
      </c>
      <c r="BH5017" s="1">
        <v>129.78</v>
      </c>
      <c r="BI5017" s="1">
        <v>234366</v>
      </c>
      <c r="BJ5017" s="3">
        <v>42549</v>
      </c>
      <c r="BK5017" t="s">
        <v>123</v>
      </c>
      <c r="BL5017" t="str">
        <f>"2016.452652"</f>
        <v>2016.452652</v>
      </c>
      <c r="BM5017" t="s">
        <v>673</v>
      </c>
      <c r="BO5017" t="s">
        <v>31176</v>
      </c>
      <c r="BS5017">
        <v>30</v>
      </c>
      <c r="BW5017" t="str">
        <f>""</f>
        <v/>
      </c>
      <c r="CH5017" t="str">
        <f>""</f>
        <v/>
      </c>
      <c r="CS5017" t="str">
        <f>""</f>
        <v/>
      </c>
    </row>
    <row r="5018" spans="1:97" x14ac:dyDescent="0.25">
      <c r="A5018" t="s">
        <v>10055</v>
      </c>
      <c r="B5018" t="s">
        <v>31177</v>
      </c>
      <c r="C5018" t="s">
        <v>2793</v>
      </c>
      <c r="D5018" t="s">
        <v>31177</v>
      </c>
      <c r="E5018" t="s">
        <v>31178</v>
      </c>
      <c r="F5018" t="s">
        <v>108</v>
      </c>
      <c r="H5018" t="s">
        <v>31179</v>
      </c>
      <c r="I5018" t="s">
        <v>632</v>
      </c>
      <c r="J5018" t="s">
        <v>111</v>
      </c>
      <c r="K5018" t="str">
        <f>"85388"</f>
        <v>85388</v>
      </c>
      <c r="L5018" t="s">
        <v>4159</v>
      </c>
      <c r="M5018" t="s">
        <v>31179</v>
      </c>
      <c r="N5018" t="s">
        <v>632</v>
      </c>
      <c r="O5018" t="s">
        <v>111</v>
      </c>
      <c r="P5018" t="str">
        <f>"85388-1738"</f>
        <v>85388-1738</v>
      </c>
      <c r="Q5018" t="s">
        <v>113</v>
      </c>
      <c r="R5018" t="str">
        <f>"502-89-003"</f>
        <v>502-89-003</v>
      </c>
      <c r="S5018" t="s">
        <v>30813</v>
      </c>
      <c r="T5018" t="s">
        <v>3061</v>
      </c>
      <c r="U5018">
        <v>2873</v>
      </c>
      <c r="V5018">
        <v>0</v>
      </c>
      <c r="W5018">
        <v>4</v>
      </c>
      <c r="X5018">
        <v>2005</v>
      </c>
      <c r="Z5018">
        <v>2</v>
      </c>
      <c r="AA5018" t="s">
        <v>26</v>
      </c>
      <c r="AB5018">
        <v>0</v>
      </c>
      <c r="AC5018" t="s">
        <v>115</v>
      </c>
      <c r="AD5018">
        <v>3</v>
      </c>
      <c r="AE5018" t="s">
        <v>115</v>
      </c>
      <c r="AF5018">
        <v>0</v>
      </c>
      <c r="AG5018">
        <v>0</v>
      </c>
      <c r="AH5018" t="s">
        <v>116</v>
      </c>
      <c r="AI5018" s="1">
        <v>83818</v>
      </c>
      <c r="AJ5018" s="2">
        <v>0.25</v>
      </c>
      <c r="AK5018" s="1">
        <v>330018</v>
      </c>
      <c r="AL5018" t="s">
        <v>117</v>
      </c>
      <c r="AM5018" t="s">
        <v>118</v>
      </c>
      <c r="AN5018">
        <v>6900</v>
      </c>
      <c r="AO5018">
        <v>0.16</v>
      </c>
      <c r="AR5018">
        <v>1</v>
      </c>
      <c r="AS5018" s="1">
        <v>23270</v>
      </c>
      <c r="AT5018" s="1">
        <v>4650</v>
      </c>
      <c r="AU5018" s="1">
        <v>18620</v>
      </c>
      <c r="AV5018">
        <v>80.02</v>
      </c>
      <c r="AX5018" s="1">
        <v>2059.7600000000002</v>
      </c>
      <c r="AY5018" t="s">
        <v>5168</v>
      </c>
      <c r="AZ5018" t="s">
        <v>5168</v>
      </c>
      <c r="BA5018" t="s">
        <v>5109</v>
      </c>
      <c r="BE5018" s="3">
        <v>41771</v>
      </c>
      <c r="BF5018" s="1">
        <v>249000</v>
      </c>
      <c r="BG5018" t="s">
        <v>14154</v>
      </c>
      <c r="BH5018" s="1">
        <v>86.67</v>
      </c>
      <c r="BI5018" s="1">
        <v>246200</v>
      </c>
      <c r="BJ5018" s="3">
        <v>42452</v>
      </c>
      <c r="BK5018" t="s">
        <v>123</v>
      </c>
      <c r="BL5018" t="str">
        <f>"2016.187736"</f>
        <v>2016.187736</v>
      </c>
      <c r="BM5018" t="s">
        <v>255</v>
      </c>
      <c r="BO5018" t="s">
        <v>31180</v>
      </c>
      <c r="BS5018">
        <v>30</v>
      </c>
      <c r="BW5018" t="str">
        <f>""</f>
        <v/>
      </c>
      <c r="CH5018" t="str">
        <f>""</f>
        <v/>
      </c>
      <c r="CS5018" t="str">
        <f>""</f>
        <v/>
      </c>
    </row>
    <row r="5019" spans="1:97" x14ac:dyDescent="0.25">
      <c r="A5019" t="s">
        <v>2537</v>
      </c>
      <c r="B5019" t="s">
        <v>31181</v>
      </c>
      <c r="E5019" t="s">
        <v>31182</v>
      </c>
      <c r="F5019" t="s">
        <v>108</v>
      </c>
      <c r="H5019" t="s">
        <v>31183</v>
      </c>
      <c r="I5019" t="s">
        <v>144</v>
      </c>
      <c r="J5019" t="s">
        <v>111</v>
      </c>
      <c r="K5019" t="str">
        <f>"85396"</f>
        <v>85396</v>
      </c>
      <c r="L5019" t="s">
        <v>6667</v>
      </c>
      <c r="M5019" t="s">
        <v>31183</v>
      </c>
      <c r="N5019" t="s">
        <v>144</v>
      </c>
      <c r="O5019" t="s">
        <v>111</v>
      </c>
      <c r="P5019" t="str">
        <f>"85396-1588"</f>
        <v>85396-1588</v>
      </c>
      <c r="Q5019" t="s">
        <v>113</v>
      </c>
      <c r="R5019" t="str">
        <f>"502-80-767"</f>
        <v>502-80-767</v>
      </c>
      <c r="S5019" t="s">
        <v>31184</v>
      </c>
      <c r="U5019">
        <v>1541</v>
      </c>
      <c r="V5019">
        <v>0</v>
      </c>
      <c r="W5019">
        <v>3</v>
      </c>
      <c r="X5019">
        <v>2008</v>
      </c>
      <c r="Z5019">
        <v>1</v>
      </c>
      <c r="AB5019">
        <v>0</v>
      </c>
      <c r="AC5019" t="s">
        <v>115</v>
      </c>
      <c r="AD5019">
        <v>2</v>
      </c>
      <c r="AE5019" t="s">
        <v>115</v>
      </c>
      <c r="AF5019">
        <v>0</v>
      </c>
      <c r="AG5019">
        <v>0</v>
      </c>
      <c r="AH5019" t="s">
        <v>116</v>
      </c>
      <c r="AI5019" s="1">
        <v>17318</v>
      </c>
      <c r="AJ5019" s="2">
        <v>7.0000000000000007E-2</v>
      </c>
      <c r="AK5019" s="1">
        <v>250220</v>
      </c>
      <c r="AL5019" t="s">
        <v>117</v>
      </c>
      <c r="AM5019" t="s">
        <v>118</v>
      </c>
      <c r="AN5019">
        <v>5610</v>
      </c>
      <c r="AO5019">
        <v>0.13</v>
      </c>
      <c r="AR5019">
        <v>1</v>
      </c>
      <c r="AS5019" s="1">
        <v>17320</v>
      </c>
      <c r="AT5019" s="1">
        <v>3460</v>
      </c>
      <c r="AU5019" s="1">
        <v>13860</v>
      </c>
      <c r="AV5019">
        <v>80.02</v>
      </c>
      <c r="AX5019" s="1">
        <v>2285.7399999999998</v>
      </c>
      <c r="AY5019" t="s">
        <v>217</v>
      </c>
      <c r="AZ5019" t="s">
        <v>217</v>
      </c>
      <c r="BA5019" t="s">
        <v>218</v>
      </c>
      <c r="BE5019" s="3">
        <v>42531</v>
      </c>
      <c r="BF5019" s="1">
        <v>228000</v>
      </c>
      <c r="BG5019" t="s">
        <v>31185</v>
      </c>
      <c r="BH5019" s="1">
        <v>147.96</v>
      </c>
      <c r="BI5019" s="1">
        <v>232902</v>
      </c>
      <c r="BJ5019" s="3">
        <v>42531</v>
      </c>
      <c r="BK5019" t="s">
        <v>123</v>
      </c>
      <c r="BL5019" t="str">
        <f>"2016.404714"</f>
        <v>2016.404714</v>
      </c>
      <c r="BM5019" t="s">
        <v>8916</v>
      </c>
      <c r="BO5019" t="s">
        <v>31186</v>
      </c>
      <c r="BS5019">
        <v>30</v>
      </c>
      <c r="BW5019" t="str">
        <f>""</f>
        <v/>
      </c>
      <c r="CH5019" t="str">
        <f>""</f>
        <v/>
      </c>
      <c r="CS5019" t="str">
        <f>""</f>
        <v/>
      </c>
    </row>
    <row r="5020" spans="1:97" x14ac:dyDescent="0.25">
      <c r="A5020" t="s">
        <v>31187</v>
      </c>
      <c r="B5020" t="s">
        <v>31188</v>
      </c>
      <c r="C5020" t="s">
        <v>4987</v>
      </c>
      <c r="D5020" t="s">
        <v>31188</v>
      </c>
      <c r="E5020" t="s">
        <v>31189</v>
      </c>
      <c r="F5020" t="s">
        <v>108</v>
      </c>
      <c r="H5020" t="s">
        <v>31190</v>
      </c>
      <c r="I5020" t="s">
        <v>390</v>
      </c>
      <c r="J5020" t="s">
        <v>111</v>
      </c>
      <c r="K5020" t="str">
        <f>"85022"</f>
        <v>85022</v>
      </c>
      <c r="L5020" t="s">
        <v>5416</v>
      </c>
      <c r="M5020" t="s">
        <v>31190</v>
      </c>
      <c r="N5020" t="s">
        <v>390</v>
      </c>
      <c r="O5020" t="s">
        <v>111</v>
      </c>
      <c r="P5020" t="str">
        <f>"85022-3114"</f>
        <v>85022-3114</v>
      </c>
      <c r="Q5020" t="s">
        <v>113</v>
      </c>
      <c r="R5020" t="str">
        <f>"214-17-123"</f>
        <v>214-17-123</v>
      </c>
      <c r="S5020" t="s">
        <v>31191</v>
      </c>
      <c r="T5020" t="s">
        <v>31192</v>
      </c>
      <c r="U5020">
        <v>1750</v>
      </c>
      <c r="V5020">
        <v>0</v>
      </c>
      <c r="W5020">
        <v>2</v>
      </c>
      <c r="X5020">
        <v>1979</v>
      </c>
      <c r="Z5020">
        <v>1</v>
      </c>
      <c r="AA5020" t="s">
        <v>26</v>
      </c>
      <c r="AB5020">
        <v>0</v>
      </c>
      <c r="AC5020" t="s">
        <v>115</v>
      </c>
      <c r="AD5020">
        <v>2</v>
      </c>
      <c r="AE5020" t="s">
        <v>115</v>
      </c>
      <c r="AF5020">
        <v>0</v>
      </c>
      <c r="AG5020">
        <v>0</v>
      </c>
      <c r="AH5020" t="s">
        <v>116</v>
      </c>
      <c r="AI5020" s="1">
        <v>64587</v>
      </c>
      <c r="AJ5020" s="2">
        <v>0.19</v>
      </c>
      <c r="AK5020" s="1">
        <v>340398</v>
      </c>
      <c r="AL5020" t="s">
        <v>117</v>
      </c>
      <c r="AM5020" t="s">
        <v>1302</v>
      </c>
      <c r="AN5020">
        <v>10090</v>
      </c>
      <c r="AO5020">
        <v>0.23</v>
      </c>
      <c r="AP5020">
        <v>1</v>
      </c>
      <c r="AR5020">
        <v>1</v>
      </c>
      <c r="AS5020" s="1">
        <v>23010</v>
      </c>
      <c r="AT5020" s="1">
        <v>4600</v>
      </c>
      <c r="AU5020" s="1">
        <v>18410</v>
      </c>
      <c r="AV5020">
        <v>80.010000000000005</v>
      </c>
      <c r="AX5020" s="1">
        <v>2151.84</v>
      </c>
      <c r="AY5020" t="s">
        <v>5442</v>
      </c>
      <c r="AZ5020" t="s">
        <v>5231</v>
      </c>
      <c r="BA5020" t="s">
        <v>2551</v>
      </c>
      <c r="BE5020" s="3">
        <v>42172</v>
      </c>
      <c r="BF5020" s="1">
        <v>267000</v>
      </c>
      <c r="BG5020" t="s">
        <v>31193</v>
      </c>
      <c r="BH5020" s="1">
        <v>152.57</v>
      </c>
      <c r="BI5020" s="1">
        <v>275811</v>
      </c>
      <c r="BJ5020" s="3">
        <v>42172</v>
      </c>
      <c r="BK5020" t="s">
        <v>123</v>
      </c>
      <c r="BL5020" t="str">
        <f>"2015.433407"</f>
        <v>2015.433407</v>
      </c>
      <c r="BM5020" t="s">
        <v>5253</v>
      </c>
      <c r="BN5020" t="s">
        <v>14934</v>
      </c>
      <c r="BO5020" t="s">
        <v>31194</v>
      </c>
      <c r="BS5020">
        <v>30</v>
      </c>
      <c r="BW5020" t="str">
        <f>""</f>
        <v/>
      </c>
      <c r="CH5020" t="str">
        <f>""</f>
        <v/>
      </c>
      <c r="CS5020" t="str">
        <f>""</f>
        <v/>
      </c>
    </row>
    <row r="5021" spans="1:97" x14ac:dyDescent="0.25">
      <c r="A5021" t="s">
        <v>10722</v>
      </c>
      <c r="B5021" t="s">
        <v>31195</v>
      </c>
      <c r="C5021" t="s">
        <v>265</v>
      </c>
      <c r="D5021" t="s">
        <v>31195</v>
      </c>
      <c r="E5021" t="s">
        <v>31196</v>
      </c>
      <c r="F5021" t="s">
        <v>108</v>
      </c>
      <c r="H5021" t="s">
        <v>31197</v>
      </c>
      <c r="I5021" t="s">
        <v>390</v>
      </c>
      <c r="J5021" t="s">
        <v>111</v>
      </c>
      <c r="K5021" t="str">
        <f>"85027"</f>
        <v>85027</v>
      </c>
      <c r="L5021" t="s">
        <v>11136</v>
      </c>
      <c r="M5021" t="s">
        <v>31197</v>
      </c>
      <c r="N5021" t="s">
        <v>390</v>
      </c>
      <c r="O5021" t="s">
        <v>111</v>
      </c>
      <c r="P5021" t="str">
        <f>"85027-6613"</f>
        <v>85027-6613</v>
      </c>
      <c r="Q5021" t="s">
        <v>113</v>
      </c>
      <c r="R5021" t="str">
        <f>"209-24-806"</f>
        <v>209-24-806</v>
      </c>
      <c r="S5021" t="s">
        <v>31198</v>
      </c>
      <c r="T5021" t="s">
        <v>31198</v>
      </c>
      <c r="U5021">
        <v>1813</v>
      </c>
      <c r="V5021">
        <v>0</v>
      </c>
      <c r="W5021">
        <v>3</v>
      </c>
      <c r="X5021">
        <v>1995</v>
      </c>
      <c r="Z5021">
        <v>1</v>
      </c>
      <c r="AB5021">
        <v>0</v>
      </c>
      <c r="AC5021" t="s">
        <v>115</v>
      </c>
      <c r="AD5021">
        <v>3</v>
      </c>
      <c r="AE5021" t="s">
        <v>115</v>
      </c>
      <c r="AF5021">
        <v>0</v>
      </c>
      <c r="AG5021">
        <v>0</v>
      </c>
      <c r="AH5021" t="s">
        <v>116</v>
      </c>
      <c r="AI5021" s="1">
        <v>52460</v>
      </c>
      <c r="AJ5021" s="2">
        <v>0.17</v>
      </c>
      <c r="AK5021" s="1">
        <v>304060</v>
      </c>
      <c r="AL5021" t="s">
        <v>117</v>
      </c>
      <c r="AM5021" t="s">
        <v>3345</v>
      </c>
      <c r="AN5021">
        <v>5605</v>
      </c>
      <c r="AO5021">
        <v>0.13</v>
      </c>
      <c r="AP5021">
        <v>1</v>
      </c>
      <c r="AR5021">
        <v>1</v>
      </c>
      <c r="AS5021" s="1">
        <v>21850</v>
      </c>
      <c r="AT5021" s="1">
        <v>4370</v>
      </c>
      <c r="AU5021" s="1">
        <v>17480</v>
      </c>
      <c r="AV5021">
        <v>80</v>
      </c>
      <c r="AX5021" s="1">
        <v>1518.34</v>
      </c>
      <c r="AY5021" t="s">
        <v>12571</v>
      </c>
      <c r="AZ5021" t="s">
        <v>2550</v>
      </c>
      <c r="BA5021" t="s">
        <v>2551</v>
      </c>
      <c r="BE5021" s="3">
        <v>42544</v>
      </c>
      <c r="BF5021" s="1">
        <v>252000</v>
      </c>
      <c r="BG5021" t="s">
        <v>31199</v>
      </c>
      <c r="BH5021" s="1">
        <v>139</v>
      </c>
      <c r="BI5021" s="1">
        <v>251600</v>
      </c>
      <c r="BJ5021" s="3">
        <v>42608</v>
      </c>
      <c r="BK5021" t="s">
        <v>123</v>
      </c>
      <c r="BL5021" t="str">
        <f>"2016.615879"</f>
        <v>2016.615879</v>
      </c>
      <c r="BM5021" t="s">
        <v>1122</v>
      </c>
      <c r="BO5021" t="s">
        <v>31200</v>
      </c>
      <c r="BS5021">
        <v>30</v>
      </c>
      <c r="BW5021" t="str">
        <f>""</f>
        <v/>
      </c>
      <c r="CH5021" t="str">
        <f>""</f>
        <v/>
      </c>
      <c r="CS5021" t="str">
        <f>""</f>
        <v/>
      </c>
    </row>
    <row r="5022" spans="1:97" x14ac:dyDescent="0.25">
      <c r="A5022" t="s">
        <v>31201</v>
      </c>
      <c r="B5022" t="s">
        <v>31202</v>
      </c>
      <c r="E5022" t="s">
        <v>31203</v>
      </c>
      <c r="F5022" t="s">
        <v>108</v>
      </c>
      <c r="H5022" t="s">
        <v>31204</v>
      </c>
      <c r="I5022" t="s">
        <v>390</v>
      </c>
      <c r="J5022" t="s">
        <v>111</v>
      </c>
      <c r="K5022" t="str">
        <f>"85023"</f>
        <v>85023</v>
      </c>
      <c r="L5022" t="s">
        <v>1518</v>
      </c>
      <c r="M5022" t="s">
        <v>31204</v>
      </c>
      <c r="N5022" t="s">
        <v>390</v>
      </c>
      <c r="O5022" t="s">
        <v>111</v>
      </c>
      <c r="P5022" t="str">
        <f>"85023-5128"</f>
        <v>85023-5128</v>
      </c>
      <c r="Q5022" t="s">
        <v>113</v>
      </c>
      <c r="R5022" t="str">
        <f>"208-16-321"</f>
        <v>208-16-321</v>
      </c>
      <c r="S5022" t="s">
        <v>31113</v>
      </c>
      <c r="T5022" t="s">
        <v>31114</v>
      </c>
      <c r="U5022">
        <v>2002</v>
      </c>
      <c r="V5022">
        <v>0</v>
      </c>
      <c r="W5022">
        <v>3</v>
      </c>
      <c r="X5022">
        <v>1979</v>
      </c>
      <c r="Z5022">
        <v>1</v>
      </c>
      <c r="AA5022" t="s">
        <v>26</v>
      </c>
      <c r="AB5022">
        <v>0</v>
      </c>
      <c r="AC5022" t="s">
        <v>115</v>
      </c>
      <c r="AD5022">
        <v>2</v>
      </c>
      <c r="AE5022" t="s">
        <v>115</v>
      </c>
      <c r="AF5022">
        <v>0</v>
      </c>
      <c r="AG5022">
        <v>0</v>
      </c>
      <c r="AH5022" t="s">
        <v>116</v>
      </c>
      <c r="AI5022" s="1">
        <v>51168</v>
      </c>
      <c r="AJ5022" s="2">
        <v>0.16</v>
      </c>
      <c r="AK5022" s="1">
        <v>328528</v>
      </c>
      <c r="AL5022" t="s">
        <v>117</v>
      </c>
      <c r="AM5022" t="s">
        <v>171</v>
      </c>
      <c r="AN5022">
        <v>8897</v>
      </c>
      <c r="AO5022">
        <v>0.2</v>
      </c>
      <c r="AP5022">
        <v>1</v>
      </c>
      <c r="AR5022">
        <v>1</v>
      </c>
      <c r="AS5022" s="1">
        <v>22260</v>
      </c>
      <c r="AT5022" s="1">
        <v>4450</v>
      </c>
      <c r="AU5022" s="1">
        <v>17810</v>
      </c>
      <c r="AV5022">
        <v>80.010000000000005</v>
      </c>
      <c r="AX5022" s="1">
        <v>2120.12</v>
      </c>
      <c r="AY5022" t="s">
        <v>8647</v>
      </c>
      <c r="AZ5022" t="s">
        <v>8648</v>
      </c>
      <c r="BA5022" t="s">
        <v>8649</v>
      </c>
      <c r="BE5022" s="3">
        <v>42088</v>
      </c>
      <c r="BF5022" s="1">
        <v>235000</v>
      </c>
      <c r="BG5022" t="s">
        <v>31205</v>
      </c>
      <c r="BH5022" s="1">
        <v>117.38</v>
      </c>
      <c r="BI5022" s="1">
        <v>277360</v>
      </c>
      <c r="BJ5022" s="3">
        <v>42410</v>
      </c>
      <c r="BK5022" t="s">
        <v>123</v>
      </c>
      <c r="BL5022" t="str">
        <f>"2016.87141"</f>
        <v>2016.87141</v>
      </c>
      <c r="BM5022" t="s">
        <v>14857</v>
      </c>
      <c r="BO5022" t="s">
        <v>31206</v>
      </c>
      <c r="BS5022">
        <v>30</v>
      </c>
      <c r="BW5022" t="str">
        <f>""</f>
        <v/>
      </c>
      <c r="CH5022" t="str">
        <f>""</f>
        <v/>
      </c>
      <c r="CS5022" t="str">
        <f>""</f>
        <v/>
      </c>
    </row>
    <row r="5023" spans="1:97" x14ac:dyDescent="0.25">
      <c r="A5023" t="s">
        <v>1034</v>
      </c>
      <c r="B5023" t="s">
        <v>2894</v>
      </c>
      <c r="E5023" t="s">
        <v>31207</v>
      </c>
      <c r="F5023" t="s">
        <v>108</v>
      </c>
      <c r="H5023" t="s">
        <v>31208</v>
      </c>
      <c r="I5023" t="s">
        <v>499</v>
      </c>
      <c r="J5023" t="s">
        <v>111</v>
      </c>
      <c r="K5023" t="str">
        <f>"85395"</f>
        <v>85395</v>
      </c>
      <c r="L5023" t="s">
        <v>3151</v>
      </c>
      <c r="M5023" t="s">
        <v>31208</v>
      </c>
      <c r="N5023" t="s">
        <v>499</v>
      </c>
      <c r="O5023" t="s">
        <v>111</v>
      </c>
      <c r="P5023" t="str">
        <f>"85395-8723"</f>
        <v>85395-8723</v>
      </c>
      <c r="R5023" t="str">
        <f>"501-69-483"</f>
        <v>501-69-483</v>
      </c>
      <c r="S5023" t="s">
        <v>31209</v>
      </c>
      <c r="U5023">
        <v>1445</v>
      </c>
      <c r="V5023">
        <v>0</v>
      </c>
      <c r="W5023">
        <v>3</v>
      </c>
      <c r="X5023">
        <v>1994</v>
      </c>
      <c r="Z5023">
        <v>1</v>
      </c>
      <c r="AB5023">
        <v>0</v>
      </c>
      <c r="AC5023" t="s">
        <v>115</v>
      </c>
      <c r="AD5023">
        <v>2</v>
      </c>
      <c r="AE5023" t="s">
        <v>115</v>
      </c>
      <c r="AF5023">
        <v>0</v>
      </c>
      <c r="AG5023">
        <v>0</v>
      </c>
      <c r="AH5023" t="s">
        <v>116</v>
      </c>
      <c r="AI5023" s="1">
        <v>36934</v>
      </c>
      <c r="AJ5023" s="2">
        <v>0.13</v>
      </c>
      <c r="AK5023" s="1">
        <v>274007</v>
      </c>
      <c r="AL5023" t="s">
        <v>117</v>
      </c>
      <c r="AM5023" t="s">
        <v>118</v>
      </c>
      <c r="AN5023">
        <v>4363</v>
      </c>
      <c r="AO5023">
        <v>0.1</v>
      </c>
      <c r="AP5023">
        <v>1</v>
      </c>
      <c r="AR5023">
        <v>1</v>
      </c>
      <c r="AS5023" s="1">
        <v>18780</v>
      </c>
      <c r="AT5023" s="1">
        <v>3750</v>
      </c>
      <c r="AU5023" s="1">
        <v>15030</v>
      </c>
      <c r="AV5023">
        <v>80.03</v>
      </c>
      <c r="AX5023" s="1">
        <v>1941.78</v>
      </c>
      <c r="AY5023" t="s">
        <v>3020</v>
      </c>
      <c r="AZ5023" t="s">
        <v>3020</v>
      </c>
      <c r="BA5023" t="s">
        <v>3154</v>
      </c>
      <c r="BE5023" s="3">
        <v>42461</v>
      </c>
      <c r="BF5023" s="1">
        <v>229500</v>
      </c>
      <c r="BG5023" t="s">
        <v>31210</v>
      </c>
      <c r="BH5023" s="1">
        <v>158.82</v>
      </c>
      <c r="BI5023" s="1">
        <v>237073</v>
      </c>
      <c r="BJ5023" s="3">
        <v>42461</v>
      </c>
      <c r="BK5023" t="s">
        <v>123</v>
      </c>
      <c r="BL5023" t="str">
        <f>"2016.217609"</f>
        <v>2016.217609</v>
      </c>
      <c r="BM5023" t="s">
        <v>475</v>
      </c>
      <c r="BN5023" t="s">
        <v>1282</v>
      </c>
      <c r="BO5023" t="s">
        <v>31211</v>
      </c>
      <c r="BS5023">
        <v>30</v>
      </c>
      <c r="BW5023" t="str">
        <f>""</f>
        <v/>
      </c>
      <c r="CH5023" t="str">
        <f>""</f>
        <v/>
      </c>
      <c r="CS5023" t="str">
        <f>""</f>
        <v/>
      </c>
    </row>
    <row r="5024" spans="1:97" x14ac:dyDescent="0.25">
      <c r="A5024" t="s">
        <v>996</v>
      </c>
      <c r="B5024" t="s">
        <v>1169</v>
      </c>
      <c r="E5024" t="s">
        <v>31212</v>
      </c>
      <c r="F5024" t="s">
        <v>108</v>
      </c>
      <c r="H5024" t="s">
        <v>31213</v>
      </c>
      <c r="I5024" t="s">
        <v>315</v>
      </c>
      <c r="J5024" t="s">
        <v>111</v>
      </c>
      <c r="K5024" t="str">
        <f>"85335"</f>
        <v>85335</v>
      </c>
      <c r="L5024" t="s">
        <v>5367</v>
      </c>
      <c r="M5024" t="s">
        <v>31213</v>
      </c>
      <c r="N5024" t="s">
        <v>315</v>
      </c>
      <c r="O5024" t="s">
        <v>111</v>
      </c>
      <c r="P5024" t="str">
        <f>"85335-3427"</f>
        <v>85335-3427</v>
      </c>
      <c r="Q5024" t="s">
        <v>113</v>
      </c>
      <c r="R5024" t="str">
        <f>"509-13-596"</f>
        <v>509-13-596</v>
      </c>
      <c r="S5024" t="s">
        <v>24105</v>
      </c>
      <c r="T5024" t="s">
        <v>24106</v>
      </c>
      <c r="U5024">
        <v>1949</v>
      </c>
      <c r="V5024">
        <v>0</v>
      </c>
      <c r="W5024">
        <v>2</v>
      </c>
      <c r="X5024">
        <v>2005</v>
      </c>
      <c r="Z5024">
        <v>2</v>
      </c>
      <c r="AB5024">
        <v>0</v>
      </c>
      <c r="AC5024" t="s">
        <v>115</v>
      </c>
      <c r="AD5024">
        <v>2</v>
      </c>
      <c r="AE5024" t="s">
        <v>115</v>
      </c>
      <c r="AF5024">
        <v>0</v>
      </c>
      <c r="AG5024">
        <v>0</v>
      </c>
      <c r="AH5024" t="s">
        <v>116</v>
      </c>
      <c r="AI5024" s="1">
        <v>22974</v>
      </c>
      <c r="AJ5024" s="2">
        <v>0.09</v>
      </c>
      <c r="AK5024" s="1">
        <v>246876</v>
      </c>
      <c r="AL5024" t="s">
        <v>117</v>
      </c>
      <c r="AM5024" t="s">
        <v>319</v>
      </c>
      <c r="AN5024">
        <v>5269</v>
      </c>
      <c r="AO5024">
        <v>0.12</v>
      </c>
      <c r="AR5024">
        <v>1</v>
      </c>
      <c r="AS5024" s="1">
        <v>14910</v>
      </c>
      <c r="AT5024" s="1">
        <v>2980</v>
      </c>
      <c r="AU5024" s="1">
        <v>11930</v>
      </c>
      <c r="AV5024">
        <v>80.010000000000005</v>
      </c>
      <c r="AX5024" s="1">
        <v>1049.78</v>
      </c>
      <c r="AY5024" t="s">
        <v>24107</v>
      </c>
      <c r="AZ5024" t="s">
        <v>24107</v>
      </c>
      <c r="BA5024" t="s">
        <v>321</v>
      </c>
      <c r="BE5024" s="3">
        <v>42123</v>
      </c>
      <c r="BF5024" s="1">
        <v>159900</v>
      </c>
      <c r="BG5024" t="s">
        <v>31214</v>
      </c>
      <c r="BH5024" s="1">
        <v>82.04</v>
      </c>
      <c r="BI5024" s="1">
        <v>223902</v>
      </c>
      <c r="BJ5024" s="3">
        <v>43637</v>
      </c>
      <c r="BK5024" t="s">
        <v>123</v>
      </c>
      <c r="BL5024" t="str">
        <f>"2019.465325"</f>
        <v>2019.465325</v>
      </c>
      <c r="BM5024" t="s">
        <v>248</v>
      </c>
      <c r="BN5024" t="s">
        <v>249</v>
      </c>
      <c r="BO5024" t="s">
        <v>31215</v>
      </c>
      <c r="BR5024" t="s">
        <v>139</v>
      </c>
      <c r="BW5024" t="str">
        <f>""</f>
        <v/>
      </c>
      <c r="CH5024" t="str">
        <f>""</f>
        <v/>
      </c>
      <c r="CS5024" t="str">
        <f>""</f>
        <v/>
      </c>
    </row>
    <row r="5025" spans="1:97" x14ac:dyDescent="0.25">
      <c r="A5025" t="s">
        <v>2045</v>
      </c>
      <c r="B5025" t="s">
        <v>2337</v>
      </c>
      <c r="C5025" t="s">
        <v>4364</v>
      </c>
      <c r="D5025" t="s">
        <v>11985</v>
      </c>
      <c r="E5025" t="s">
        <v>31216</v>
      </c>
      <c r="F5025" t="s">
        <v>108</v>
      </c>
      <c r="H5025" t="s">
        <v>31217</v>
      </c>
      <c r="I5025" t="s">
        <v>3150</v>
      </c>
      <c r="J5025" t="s">
        <v>111</v>
      </c>
      <c r="K5025" t="str">
        <f>"85340"</f>
        <v>85340</v>
      </c>
      <c r="L5025" t="s">
        <v>5239</v>
      </c>
      <c r="M5025" t="s">
        <v>31217</v>
      </c>
      <c r="N5025" t="s">
        <v>3150</v>
      </c>
      <c r="O5025" t="s">
        <v>111</v>
      </c>
      <c r="P5025" t="str">
        <f>"85340-3816"</f>
        <v>85340-3816</v>
      </c>
      <c r="Q5025" t="s">
        <v>113</v>
      </c>
      <c r="R5025" t="str">
        <f>"508-12-171"</f>
        <v>508-12-171</v>
      </c>
      <c r="S5025" t="s">
        <v>5240</v>
      </c>
      <c r="U5025">
        <v>3222</v>
      </c>
      <c r="V5025">
        <v>0</v>
      </c>
      <c r="W5025">
        <v>4</v>
      </c>
      <c r="X5025">
        <v>2003</v>
      </c>
      <c r="Z5025">
        <v>2</v>
      </c>
      <c r="AA5025" t="s">
        <v>26</v>
      </c>
      <c r="AB5025">
        <v>0</v>
      </c>
      <c r="AC5025" t="s">
        <v>115</v>
      </c>
      <c r="AD5025">
        <v>3</v>
      </c>
      <c r="AE5025" t="s">
        <v>115</v>
      </c>
      <c r="AF5025">
        <v>0</v>
      </c>
      <c r="AG5025">
        <v>0</v>
      </c>
      <c r="AH5025" t="s">
        <v>116</v>
      </c>
      <c r="AI5025" s="1">
        <v>59175</v>
      </c>
      <c r="AJ5025" s="2">
        <v>0.15</v>
      </c>
      <c r="AK5025" s="1">
        <v>398313</v>
      </c>
      <c r="AL5025" t="s">
        <v>117</v>
      </c>
      <c r="AM5025" t="s">
        <v>393</v>
      </c>
      <c r="AN5025">
        <v>10974</v>
      </c>
      <c r="AO5025">
        <v>0.25</v>
      </c>
      <c r="AP5025">
        <v>1</v>
      </c>
      <c r="AR5025">
        <v>1</v>
      </c>
      <c r="AS5025" s="1">
        <v>25850</v>
      </c>
      <c r="AT5025" s="1">
        <v>5170</v>
      </c>
      <c r="AU5025" s="1">
        <v>20680</v>
      </c>
      <c r="AV5025">
        <v>80</v>
      </c>
      <c r="AX5025" s="1">
        <v>2088.88</v>
      </c>
      <c r="AY5025" t="s">
        <v>5241</v>
      </c>
      <c r="AZ5025" t="s">
        <v>3153</v>
      </c>
      <c r="BA5025" t="s">
        <v>3154</v>
      </c>
      <c r="BE5025" s="3">
        <v>42314</v>
      </c>
      <c r="BF5025" s="1">
        <v>320000</v>
      </c>
      <c r="BG5025" t="s">
        <v>31218</v>
      </c>
      <c r="BH5025" s="1">
        <v>99.32</v>
      </c>
      <c r="BI5025" s="1">
        <v>339138</v>
      </c>
      <c r="BJ5025" s="3">
        <v>42314</v>
      </c>
      <c r="BK5025" t="s">
        <v>123</v>
      </c>
      <c r="BL5025" t="str">
        <f>"2015.799355"</f>
        <v>2015.799355</v>
      </c>
      <c r="BM5025" t="s">
        <v>135</v>
      </c>
      <c r="BO5025" t="s">
        <v>31219</v>
      </c>
      <c r="BP5025" t="s">
        <v>31220</v>
      </c>
      <c r="BS5025">
        <v>30</v>
      </c>
      <c r="BW5025" t="str">
        <f>""</f>
        <v/>
      </c>
      <c r="CH5025" t="str">
        <f>""</f>
        <v/>
      </c>
      <c r="CS5025" t="str">
        <f>""</f>
        <v/>
      </c>
    </row>
    <row r="5026" spans="1:97" x14ac:dyDescent="0.25">
      <c r="A5026" t="s">
        <v>3023</v>
      </c>
      <c r="B5026" t="s">
        <v>31221</v>
      </c>
      <c r="C5026" t="s">
        <v>13625</v>
      </c>
      <c r="D5026" t="s">
        <v>31221</v>
      </c>
      <c r="E5026" t="s">
        <v>31222</v>
      </c>
      <c r="F5026" t="s">
        <v>108</v>
      </c>
      <c r="H5026" t="s">
        <v>31223</v>
      </c>
      <c r="I5026" t="s">
        <v>5114</v>
      </c>
      <c r="J5026" t="s">
        <v>111</v>
      </c>
      <c r="K5026" t="str">
        <f>"85392"</f>
        <v>85392</v>
      </c>
      <c r="L5026" t="s">
        <v>3430</v>
      </c>
      <c r="M5026" t="s">
        <v>31223</v>
      </c>
      <c r="N5026" t="s">
        <v>5114</v>
      </c>
      <c r="O5026" t="s">
        <v>111</v>
      </c>
      <c r="P5026" t="str">
        <f>"85392-4349"</f>
        <v>85392-4349</v>
      </c>
      <c r="Q5026" t="s">
        <v>113</v>
      </c>
      <c r="R5026" t="str">
        <f>"102-86-816"</f>
        <v>102-86-816</v>
      </c>
      <c r="S5026" t="s">
        <v>11286</v>
      </c>
      <c r="T5026" t="s">
        <v>11287</v>
      </c>
      <c r="U5026">
        <v>2305</v>
      </c>
      <c r="V5026">
        <v>0</v>
      </c>
      <c r="W5026">
        <v>4</v>
      </c>
      <c r="X5026">
        <v>1996</v>
      </c>
      <c r="Z5026">
        <v>2</v>
      </c>
      <c r="AA5026" t="s">
        <v>26</v>
      </c>
      <c r="AB5026">
        <v>0</v>
      </c>
      <c r="AC5026" t="s">
        <v>115</v>
      </c>
      <c r="AD5026">
        <v>2</v>
      </c>
      <c r="AE5026" t="s">
        <v>115</v>
      </c>
      <c r="AF5026">
        <v>0</v>
      </c>
      <c r="AG5026">
        <v>0</v>
      </c>
      <c r="AH5026" t="s">
        <v>116</v>
      </c>
      <c r="AI5026" s="1">
        <v>57724</v>
      </c>
      <c r="AJ5026" s="2">
        <v>0.2</v>
      </c>
      <c r="AK5026" s="1">
        <v>287724</v>
      </c>
      <c r="AL5026" t="s">
        <v>117</v>
      </c>
      <c r="AM5026" t="s">
        <v>118</v>
      </c>
      <c r="AN5026">
        <v>6500</v>
      </c>
      <c r="AO5026">
        <v>0.15</v>
      </c>
      <c r="AP5026">
        <v>1</v>
      </c>
      <c r="AR5026">
        <v>1</v>
      </c>
      <c r="AS5026" s="1">
        <v>20060</v>
      </c>
      <c r="AT5026" s="1">
        <v>4010</v>
      </c>
      <c r="AU5026" s="1">
        <v>16050</v>
      </c>
      <c r="AV5026">
        <v>80.010000000000005</v>
      </c>
      <c r="AX5026" s="1">
        <v>1972.68</v>
      </c>
      <c r="AY5026" t="s">
        <v>8084</v>
      </c>
      <c r="AZ5026" t="s">
        <v>8084</v>
      </c>
      <c r="BA5026" t="s">
        <v>5118</v>
      </c>
      <c r="BB5026" s="3">
        <v>42320</v>
      </c>
      <c r="BD5026" t="s">
        <v>458</v>
      </c>
      <c r="BE5026" s="3">
        <v>41845</v>
      </c>
      <c r="BF5026" s="1">
        <v>206500</v>
      </c>
      <c r="BG5026" t="s">
        <v>31224</v>
      </c>
      <c r="BH5026" s="1">
        <v>89.59</v>
      </c>
      <c r="BI5026" s="1">
        <v>230000</v>
      </c>
      <c r="BJ5026" s="3">
        <v>43608</v>
      </c>
      <c r="BK5026" t="s">
        <v>123</v>
      </c>
      <c r="BL5026" t="str">
        <f>"2019.378262"</f>
        <v>2019.378262</v>
      </c>
      <c r="BM5026" t="s">
        <v>13966</v>
      </c>
      <c r="BN5026" t="s">
        <v>13967</v>
      </c>
      <c r="BO5026" t="s">
        <v>31225</v>
      </c>
      <c r="BP5026" t="s">
        <v>31226</v>
      </c>
      <c r="BR5026" t="s">
        <v>139</v>
      </c>
      <c r="BW5026" t="str">
        <f>""</f>
        <v/>
      </c>
      <c r="CH5026" t="str">
        <f>""</f>
        <v/>
      </c>
      <c r="CS5026" t="str">
        <f>""</f>
        <v/>
      </c>
    </row>
    <row r="5027" spans="1:97" x14ac:dyDescent="0.25">
      <c r="A5027" t="s">
        <v>2852</v>
      </c>
      <c r="B5027" t="s">
        <v>603</v>
      </c>
      <c r="E5027" t="s">
        <v>31227</v>
      </c>
      <c r="F5027" t="s">
        <v>108</v>
      </c>
      <c r="H5027" t="s">
        <v>31228</v>
      </c>
      <c r="I5027" t="s">
        <v>632</v>
      </c>
      <c r="J5027" t="s">
        <v>111</v>
      </c>
      <c r="K5027" t="str">
        <f>"85379"</f>
        <v>85379</v>
      </c>
      <c r="L5027" t="s">
        <v>269</v>
      </c>
      <c r="M5027" t="s">
        <v>31228</v>
      </c>
      <c r="N5027" t="s">
        <v>632</v>
      </c>
      <c r="O5027" t="s">
        <v>111</v>
      </c>
      <c r="P5027" t="str">
        <f>"85379-4634"</f>
        <v>85379-4634</v>
      </c>
      <c r="Q5027" t="s">
        <v>113</v>
      </c>
      <c r="R5027" t="str">
        <f>"501-40-387"</f>
        <v>501-40-387</v>
      </c>
      <c r="S5027" t="s">
        <v>9607</v>
      </c>
      <c r="U5027">
        <v>2175</v>
      </c>
      <c r="V5027">
        <v>0</v>
      </c>
      <c r="W5027">
        <v>4</v>
      </c>
      <c r="X5027">
        <v>2005</v>
      </c>
      <c r="Z5027">
        <v>2</v>
      </c>
      <c r="AB5027">
        <v>0</v>
      </c>
      <c r="AC5027" t="s">
        <v>115</v>
      </c>
      <c r="AD5027">
        <v>2</v>
      </c>
      <c r="AE5027" t="s">
        <v>115</v>
      </c>
      <c r="AF5027">
        <v>0</v>
      </c>
      <c r="AG5027">
        <v>0</v>
      </c>
      <c r="AH5027" t="s">
        <v>116</v>
      </c>
      <c r="AI5027" s="1">
        <v>57376</v>
      </c>
      <c r="AJ5027" s="2">
        <v>0.21</v>
      </c>
      <c r="AK5027" s="1">
        <v>268108</v>
      </c>
      <c r="AL5027" t="s">
        <v>117</v>
      </c>
      <c r="AM5027" t="s">
        <v>118</v>
      </c>
      <c r="AN5027">
        <v>6379</v>
      </c>
      <c r="AO5027">
        <v>0.15</v>
      </c>
      <c r="AR5027">
        <v>1</v>
      </c>
      <c r="AS5027" s="1">
        <v>18330</v>
      </c>
      <c r="AT5027" s="1">
        <v>3660</v>
      </c>
      <c r="AU5027" s="1">
        <v>14670</v>
      </c>
      <c r="AV5027">
        <v>80.03</v>
      </c>
      <c r="AX5027" s="1">
        <v>1426.68</v>
      </c>
      <c r="AY5027" t="s">
        <v>5060</v>
      </c>
      <c r="AZ5027" t="s">
        <v>5060</v>
      </c>
      <c r="BA5027" t="s">
        <v>5061</v>
      </c>
      <c r="BE5027" s="3">
        <v>41989</v>
      </c>
      <c r="BF5027" s="1">
        <v>160000</v>
      </c>
      <c r="BG5027" t="s">
        <v>31229</v>
      </c>
      <c r="BH5027" s="1">
        <v>73.56</v>
      </c>
      <c r="BI5027" s="1">
        <v>210732</v>
      </c>
      <c r="BJ5027" s="3">
        <v>42634</v>
      </c>
      <c r="BK5027" t="s">
        <v>123</v>
      </c>
      <c r="BL5027" t="str">
        <f>"2016.686644"</f>
        <v>2016.686644</v>
      </c>
      <c r="BM5027" t="s">
        <v>673</v>
      </c>
      <c r="BO5027" t="s">
        <v>31230</v>
      </c>
      <c r="BS5027">
        <v>30</v>
      </c>
      <c r="BW5027" t="str">
        <f>""</f>
        <v/>
      </c>
      <c r="CH5027" t="str">
        <f>""</f>
        <v/>
      </c>
      <c r="CS5027" t="str">
        <f>""</f>
        <v/>
      </c>
    </row>
    <row r="5028" spans="1:97" x14ac:dyDescent="0.25">
      <c r="A5028" t="s">
        <v>1743</v>
      </c>
      <c r="B5028" t="s">
        <v>31231</v>
      </c>
      <c r="C5028" t="s">
        <v>31232</v>
      </c>
      <c r="D5028" t="s">
        <v>31231</v>
      </c>
      <c r="E5028" t="s">
        <v>31233</v>
      </c>
      <c r="F5028" t="s">
        <v>108</v>
      </c>
      <c r="H5028" t="s">
        <v>31234</v>
      </c>
      <c r="I5028" t="s">
        <v>3150</v>
      </c>
      <c r="J5028" t="s">
        <v>111</v>
      </c>
      <c r="K5028" t="str">
        <f>"85340"</f>
        <v>85340</v>
      </c>
      <c r="L5028" t="s">
        <v>2765</v>
      </c>
      <c r="M5028" t="s">
        <v>31234</v>
      </c>
      <c r="N5028" t="s">
        <v>3150</v>
      </c>
      <c r="O5028" t="s">
        <v>111</v>
      </c>
      <c r="P5028" t="str">
        <f>"85340-6254"</f>
        <v>85340-6254</v>
      </c>
      <c r="Q5028" t="s">
        <v>113</v>
      </c>
      <c r="R5028" t="str">
        <f>"502-27-565"</f>
        <v>502-27-565</v>
      </c>
      <c r="S5028" t="s">
        <v>7560</v>
      </c>
      <c r="T5028" t="s">
        <v>7560</v>
      </c>
      <c r="U5028">
        <v>2342</v>
      </c>
      <c r="V5028">
        <v>0</v>
      </c>
      <c r="W5028">
        <v>3</v>
      </c>
      <c r="X5028">
        <v>2007</v>
      </c>
      <c r="Z5028">
        <v>1</v>
      </c>
      <c r="AA5028" t="s">
        <v>26</v>
      </c>
      <c r="AB5028">
        <v>0</v>
      </c>
      <c r="AC5028" t="s">
        <v>115</v>
      </c>
      <c r="AD5028">
        <v>2</v>
      </c>
      <c r="AE5028" t="s">
        <v>115</v>
      </c>
      <c r="AF5028">
        <v>0</v>
      </c>
      <c r="AG5028">
        <v>0</v>
      </c>
      <c r="AH5028" t="s">
        <v>116</v>
      </c>
      <c r="AI5028" s="1">
        <v>51320</v>
      </c>
      <c r="AJ5028" s="2">
        <v>0.13</v>
      </c>
      <c r="AK5028" s="1">
        <v>397375</v>
      </c>
      <c r="AL5028" t="s">
        <v>117</v>
      </c>
      <c r="AM5028" t="s">
        <v>1302</v>
      </c>
      <c r="AN5028">
        <v>15433</v>
      </c>
      <c r="AO5028">
        <v>0.35</v>
      </c>
      <c r="AR5028">
        <v>1</v>
      </c>
      <c r="AS5028" s="1">
        <v>26550</v>
      </c>
      <c r="AT5028" s="1">
        <v>5310</v>
      </c>
      <c r="AU5028" s="1">
        <v>21240</v>
      </c>
      <c r="AV5028">
        <v>80</v>
      </c>
      <c r="AX5028" s="1">
        <v>2956.98</v>
      </c>
      <c r="AY5028" t="s">
        <v>503</v>
      </c>
      <c r="AZ5028" t="s">
        <v>504</v>
      </c>
      <c r="BA5028" t="s">
        <v>218</v>
      </c>
      <c r="BE5028" s="3">
        <v>42485</v>
      </c>
      <c r="BF5028" s="1">
        <v>335000</v>
      </c>
      <c r="BG5028" t="s">
        <v>31235</v>
      </c>
      <c r="BH5028" s="1">
        <v>143.04</v>
      </c>
      <c r="BI5028" s="1">
        <v>346055</v>
      </c>
      <c r="BJ5028" s="3">
        <v>42485</v>
      </c>
      <c r="BK5028" t="s">
        <v>123</v>
      </c>
      <c r="BL5028" t="str">
        <f>"2016.275173"</f>
        <v>2016.275173</v>
      </c>
      <c r="BM5028" t="s">
        <v>2489</v>
      </c>
      <c r="BO5028" t="s">
        <v>31236</v>
      </c>
      <c r="BS5028">
        <v>30</v>
      </c>
      <c r="BW5028" t="str">
        <f>""</f>
        <v/>
      </c>
      <c r="CH5028" t="str">
        <f>""</f>
        <v/>
      </c>
      <c r="CS5028" t="str">
        <f>""</f>
        <v/>
      </c>
    </row>
    <row r="5029" spans="1:97" x14ac:dyDescent="0.25">
      <c r="A5029" t="s">
        <v>1067</v>
      </c>
      <c r="B5029" t="s">
        <v>1374</v>
      </c>
      <c r="C5029" t="s">
        <v>933</v>
      </c>
      <c r="D5029" t="s">
        <v>1374</v>
      </c>
      <c r="E5029" t="s">
        <v>31237</v>
      </c>
      <c r="F5029" t="s">
        <v>108</v>
      </c>
      <c r="H5029" t="s">
        <v>31238</v>
      </c>
      <c r="I5029" t="s">
        <v>225</v>
      </c>
      <c r="J5029" t="s">
        <v>111</v>
      </c>
      <c r="K5029" t="str">
        <f>"85208"</f>
        <v>85208</v>
      </c>
      <c r="L5029" t="s">
        <v>5218</v>
      </c>
      <c r="M5029" t="s">
        <v>31238</v>
      </c>
      <c r="N5029" t="s">
        <v>225</v>
      </c>
      <c r="O5029" t="s">
        <v>111</v>
      </c>
      <c r="P5029" t="str">
        <f>"85208-4794"</f>
        <v>85208-4794</v>
      </c>
      <c r="Q5029" t="s">
        <v>113</v>
      </c>
      <c r="R5029" t="str">
        <f>"218-54-512"</f>
        <v>218-54-512</v>
      </c>
      <c r="S5029" t="s">
        <v>30966</v>
      </c>
      <c r="U5029">
        <v>1422</v>
      </c>
      <c r="V5029">
        <v>0</v>
      </c>
      <c r="W5029">
        <v>2</v>
      </c>
      <c r="X5029">
        <v>1982</v>
      </c>
      <c r="Z5029">
        <v>1</v>
      </c>
      <c r="AB5029">
        <v>0</v>
      </c>
      <c r="AC5029" t="s">
        <v>115</v>
      </c>
      <c r="AD5029">
        <v>2</v>
      </c>
      <c r="AE5029" t="s">
        <v>115</v>
      </c>
      <c r="AF5029">
        <v>0</v>
      </c>
      <c r="AG5029">
        <v>0</v>
      </c>
      <c r="AH5029" t="s">
        <v>116</v>
      </c>
      <c r="AI5029" s="1">
        <v>28732</v>
      </c>
      <c r="AJ5029" s="2">
        <v>0.12</v>
      </c>
      <c r="AK5029" s="1">
        <v>230989</v>
      </c>
      <c r="AL5029" t="s">
        <v>117</v>
      </c>
      <c r="AM5029" t="s">
        <v>191</v>
      </c>
      <c r="AN5029">
        <v>6652</v>
      </c>
      <c r="AO5029">
        <v>0.15</v>
      </c>
      <c r="AP5029">
        <v>1</v>
      </c>
      <c r="AR5029">
        <v>1</v>
      </c>
      <c r="AS5029" s="1">
        <v>15470</v>
      </c>
      <c r="AT5029" s="1">
        <v>3090</v>
      </c>
      <c r="AU5029" s="1">
        <v>12380</v>
      </c>
      <c r="AV5029">
        <v>80.03</v>
      </c>
      <c r="AX5029" s="1">
        <v>1413.44</v>
      </c>
      <c r="AY5029" t="s">
        <v>12506</v>
      </c>
      <c r="AZ5029" t="s">
        <v>231</v>
      </c>
      <c r="BA5029" t="s">
        <v>232</v>
      </c>
      <c r="BE5029" s="3">
        <v>42426</v>
      </c>
      <c r="BF5029" s="1">
        <v>198000</v>
      </c>
      <c r="BG5029" t="s">
        <v>31239</v>
      </c>
      <c r="BH5029" s="1">
        <v>139.24</v>
      </c>
      <c r="BI5029" s="1">
        <v>202257</v>
      </c>
      <c r="BJ5029" s="3">
        <v>42426</v>
      </c>
      <c r="BK5029" t="s">
        <v>123</v>
      </c>
      <c r="BL5029" t="str">
        <f>"2016.121893"</f>
        <v>2016.121893</v>
      </c>
      <c r="BM5029" t="s">
        <v>31240</v>
      </c>
      <c r="BO5029" t="s">
        <v>31241</v>
      </c>
      <c r="BS5029">
        <v>30</v>
      </c>
      <c r="BW5029" t="str">
        <f>""</f>
        <v/>
      </c>
      <c r="CH5029" t="str">
        <f>""</f>
        <v/>
      </c>
      <c r="CS5029" t="str">
        <f>""</f>
        <v/>
      </c>
    </row>
    <row r="5030" spans="1:97" x14ac:dyDescent="0.25">
      <c r="A5030" t="s">
        <v>589</v>
      </c>
      <c r="B5030" t="s">
        <v>371</v>
      </c>
      <c r="C5030" t="s">
        <v>31242</v>
      </c>
      <c r="D5030" t="s">
        <v>371</v>
      </c>
      <c r="E5030" t="s">
        <v>31243</v>
      </c>
      <c r="F5030" t="s">
        <v>108</v>
      </c>
      <c r="H5030" t="s">
        <v>31244</v>
      </c>
      <c r="I5030" t="s">
        <v>632</v>
      </c>
      <c r="J5030" t="s">
        <v>111</v>
      </c>
      <c r="K5030" t="str">
        <f>"85379"</f>
        <v>85379</v>
      </c>
      <c r="L5030" t="s">
        <v>5058</v>
      </c>
      <c r="M5030" t="s">
        <v>31244</v>
      </c>
      <c r="N5030" t="s">
        <v>632</v>
      </c>
      <c r="O5030" t="s">
        <v>111</v>
      </c>
      <c r="P5030" t="str">
        <f>"85379-1166"</f>
        <v>85379-1166</v>
      </c>
      <c r="Q5030" t="s">
        <v>113</v>
      </c>
      <c r="R5030" t="str">
        <f>"501-79-301"</f>
        <v>501-79-301</v>
      </c>
      <c r="S5030" t="s">
        <v>5059</v>
      </c>
      <c r="U5030">
        <v>2467</v>
      </c>
      <c r="V5030">
        <v>0</v>
      </c>
      <c r="W5030">
        <v>3</v>
      </c>
      <c r="X5030">
        <v>2015</v>
      </c>
      <c r="Z5030">
        <v>1</v>
      </c>
      <c r="AB5030">
        <v>0</v>
      </c>
      <c r="AC5030" t="s">
        <v>115</v>
      </c>
      <c r="AD5030">
        <v>2</v>
      </c>
      <c r="AE5030" t="s">
        <v>115</v>
      </c>
      <c r="AF5030">
        <v>0</v>
      </c>
      <c r="AG5030">
        <v>0</v>
      </c>
      <c r="AH5030" t="s">
        <v>116</v>
      </c>
      <c r="AI5030" s="1">
        <v>88552</v>
      </c>
      <c r="AJ5030" s="2">
        <v>0.25</v>
      </c>
      <c r="AK5030" s="1">
        <v>351944</v>
      </c>
      <c r="AL5030" t="s">
        <v>117</v>
      </c>
      <c r="AM5030" t="s">
        <v>118</v>
      </c>
      <c r="AN5030">
        <v>7245</v>
      </c>
      <c r="AO5030">
        <v>0.17</v>
      </c>
      <c r="AR5030">
        <v>1</v>
      </c>
      <c r="AS5030" s="1">
        <v>24650</v>
      </c>
      <c r="AT5030" s="1">
        <v>4930</v>
      </c>
      <c r="AU5030" s="1">
        <v>19720</v>
      </c>
      <c r="AV5030">
        <v>80</v>
      </c>
      <c r="AX5030" s="1">
        <v>2020.46</v>
      </c>
      <c r="AY5030" t="s">
        <v>5060</v>
      </c>
      <c r="AZ5030" t="s">
        <v>5060</v>
      </c>
      <c r="BA5030" t="s">
        <v>5061</v>
      </c>
      <c r="BE5030" s="3">
        <v>42510</v>
      </c>
      <c r="BF5030" s="1">
        <v>288392</v>
      </c>
      <c r="BG5030" t="s">
        <v>292</v>
      </c>
      <c r="BH5030" s="1">
        <v>116.9</v>
      </c>
      <c r="BI5030" s="1">
        <v>213392</v>
      </c>
      <c r="BJ5030" s="3">
        <v>42510</v>
      </c>
      <c r="BK5030" t="s">
        <v>123</v>
      </c>
      <c r="BL5030" t="str">
        <f>"2016.349776"</f>
        <v>2016.349776</v>
      </c>
      <c r="BM5030" t="s">
        <v>1154</v>
      </c>
      <c r="BN5030" t="s">
        <v>1136</v>
      </c>
      <c r="BO5030" t="s">
        <v>31245</v>
      </c>
      <c r="BS5030">
        <v>30</v>
      </c>
      <c r="BT5030" s="1">
        <v>50000</v>
      </c>
      <c r="BU5030" s="3">
        <v>43616</v>
      </c>
      <c r="BW5030" t="str">
        <f>"2019.406011"</f>
        <v>2019.406011</v>
      </c>
      <c r="BX5030" t="s">
        <v>3538</v>
      </c>
      <c r="BY5030" t="s">
        <v>3539</v>
      </c>
      <c r="BZ5030" t="s">
        <v>31246</v>
      </c>
      <c r="CA5030" t="s">
        <v>31247</v>
      </c>
      <c r="CC5030" t="s">
        <v>346</v>
      </c>
      <c r="CH5030" t="str">
        <f>""</f>
        <v/>
      </c>
      <c r="CS5030" t="str">
        <f>""</f>
        <v/>
      </c>
    </row>
    <row r="5031" spans="1:97" x14ac:dyDescent="0.25">
      <c r="A5031" t="s">
        <v>1514</v>
      </c>
      <c r="B5031" t="s">
        <v>603</v>
      </c>
      <c r="C5031" t="s">
        <v>29356</v>
      </c>
      <c r="D5031" t="s">
        <v>603</v>
      </c>
      <c r="E5031" t="s">
        <v>31248</v>
      </c>
      <c r="F5031" t="s">
        <v>108</v>
      </c>
      <c r="H5031" t="s">
        <v>31249</v>
      </c>
      <c r="I5031" t="s">
        <v>110</v>
      </c>
      <c r="J5031" t="s">
        <v>111</v>
      </c>
      <c r="K5031" t="str">
        <f>"85224"</f>
        <v>85224</v>
      </c>
      <c r="L5031" t="s">
        <v>6438</v>
      </c>
      <c r="M5031" t="s">
        <v>31249</v>
      </c>
      <c r="N5031" t="s">
        <v>110</v>
      </c>
      <c r="O5031" t="s">
        <v>111</v>
      </c>
      <c r="P5031" t="str">
        <f>"85224-3946"</f>
        <v>85224-3946</v>
      </c>
      <c r="Q5031" t="s">
        <v>113</v>
      </c>
      <c r="R5031" t="str">
        <f>"310-01-284"</f>
        <v>310-01-284</v>
      </c>
      <c r="S5031" t="s">
        <v>13678</v>
      </c>
      <c r="T5031" t="s">
        <v>13679</v>
      </c>
      <c r="U5031">
        <v>1501</v>
      </c>
      <c r="V5031">
        <v>0</v>
      </c>
      <c r="W5031">
        <v>3</v>
      </c>
      <c r="X5031">
        <v>1990</v>
      </c>
      <c r="Z5031">
        <v>1</v>
      </c>
      <c r="AB5031">
        <v>0</v>
      </c>
      <c r="AC5031" t="s">
        <v>115</v>
      </c>
      <c r="AD5031">
        <v>2</v>
      </c>
      <c r="AE5031" t="s">
        <v>115</v>
      </c>
      <c r="AF5031">
        <v>0</v>
      </c>
      <c r="AG5031">
        <v>0</v>
      </c>
      <c r="AH5031" t="s">
        <v>116</v>
      </c>
      <c r="AI5031" s="1">
        <v>50051</v>
      </c>
      <c r="AJ5031" s="2">
        <v>0.17</v>
      </c>
      <c r="AK5031" s="1">
        <v>297971</v>
      </c>
      <c r="AL5031" t="s">
        <v>117</v>
      </c>
      <c r="AM5031" t="s">
        <v>118</v>
      </c>
      <c r="AN5031">
        <v>5245</v>
      </c>
      <c r="AO5031">
        <v>0.12</v>
      </c>
      <c r="AP5031">
        <v>1</v>
      </c>
      <c r="AR5031">
        <v>1</v>
      </c>
      <c r="AS5031" s="1">
        <v>19860</v>
      </c>
      <c r="AT5031" s="1">
        <v>3970</v>
      </c>
      <c r="AU5031" s="1">
        <v>15890</v>
      </c>
      <c r="AV5031">
        <v>80.010000000000005</v>
      </c>
      <c r="AX5031" s="1">
        <v>1481.56</v>
      </c>
      <c r="AY5031" t="s">
        <v>7749</v>
      </c>
      <c r="AZ5031" t="s">
        <v>5078</v>
      </c>
      <c r="BA5031" t="s">
        <v>2957</v>
      </c>
      <c r="BB5031" s="3">
        <v>43040</v>
      </c>
      <c r="BD5031" t="s">
        <v>157</v>
      </c>
      <c r="BE5031" s="3">
        <v>42338</v>
      </c>
      <c r="BF5031" s="1">
        <v>247000</v>
      </c>
      <c r="BG5031" t="s">
        <v>31250</v>
      </c>
      <c r="BH5031" s="1">
        <v>164.56</v>
      </c>
      <c r="BI5031" s="1">
        <v>247920</v>
      </c>
      <c r="BJ5031" s="3">
        <v>42338</v>
      </c>
      <c r="BK5031" t="s">
        <v>123</v>
      </c>
      <c r="BL5031" t="str">
        <f>"2015.849506"</f>
        <v>2015.849506</v>
      </c>
      <c r="BM5031" t="s">
        <v>1998</v>
      </c>
      <c r="BN5031" t="s">
        <v>2672</v>
      </c>
      <c r="BO5031" t="s">
        <v>31251</v>
      </c>
      <c r="BS5031">
        <v>30</v>
      </c>
      <c r="BW5031" t="str">
        <f>""</f>
        <v/>
      </c>
      <c r="CH5031" t="str">
        <f>""</f>
        <v/>
      </c>
      <c r="CS5031" t="str">
        <f>""</f>
        <v/>
      </c>
    </row>
    <row r="5032" spans="1:97" x14ac:dyDescent="0.25">
      <c r="A5032" t="s">
        <v>31252</v>
      </c>
      <c r="B5032" t="s">
        <v>31253</v>
      </c>
      <c r="C5032" t="s">
        <v>589</v>
      </c>
      <c r="D5032" t="s">
        <v>31253</v>
      </c>
      <c r="E5032" t="s">
        <v>31254</v>
      </c>
      <c r="F5032" t="s">
        <v>282</v>
      </c>
      <c r="H5032" t="s">
        <v>31255</v>
      </c>
      <c r="I5032" t="s">
        <v>453</v>
      </c>
      <c r="J5032" t="s">
        <v>111</v>
      </c>
      <c r="K5032" t="str">
        <f>"85345"</f>
        <v>85345</v>
      </c>
      <c r="L5032" t="s">
        <v>5308</v>
      </c>
      <c r="M5032" t="s">
        <v>31255</v>
      </c>
      <c r="N5032" t="s">
        <v>453</v>
      </c>
      <c r="O5032" t="s">
        <v>111</v>
      </c>
      <c r="P5032" t="str">
        <f>"85345-6674"</f>
        <v>85345-6674</v>
      </c>
      <c r="Q5032" t="s">
        <v>113</v>
      </c>
      <c r="R5032" t="str">
        <f>"142-12-079"</f>
        <v>142-12-079</v>
      </c>
      <c r="S5032" t="s">
        <v>27747</v>
      </c>
      <c r="T5032" t="s">
        <v>27748</v>
      </c>
      <c r="U5032">
        <v>2258</v>
      </c>
      <c r="V5032">
        <v>0</v>
      </c>
      <c r="W5032">
        <v>4</v>
      </c>
      <c r="X5032">
        <v>1988</v>
      </c>
      <c r="Z5032">
        <v>2</v>
      </c>
      <c r="AB5032">
        <v>0</v>
      </c>
      <c r="AC5032" t="s">
        <v>115</v>
      </c>
      <c r="AD5032">
        <v>3</v>
      </c>
      <c r="AE5032" t="s">
        <v>115</v>
      </c>
      <c r="AF5032">
        <v>0</v>
      </c>
      <c r="AG5032">
        <v>0</v>
      </c>
      <c r="AH5032" t="s">
        <v>116</v>
      </c>
      <c r="AI5032" s="1">
        <v>28350</v>
      </c>
      <c r="AJ5032" s="2">
        <v>0.09</v>
      </c>
      <c r="AK5032" s="1">
        <v>317590</v>
      </c>
      <c r="AL5032" t="s">
        <v>117</v>
      </c>
      <c r="AM5032" t="s">
        <v>171</v>
      </c>
      <c r="AN5032">
        <v>8041</v>
      </c>
      <c r="AO5032">
        <v>0.18</v>
      </c>
      <c r="AP5032">
        <v>1</v>
      </c>
      <c r="AR5032">
        <v>1</v>
      </c>
      <c r="AS5032" s="1">
        <v>18680</v>
      </c>
      <c r="AT5032" s="1">
        <v>3730</v>
      </c>
      <c r="AU5032" s="1">
        <v>14950</v>
      </c>
      <c r="AV5032">
        <v>80.03</v>
      </c>
      <c r="AX5032" s="1">
        <v>1244.96</v>
      </c>
      <c r="AY5032" t="s">
        <v>10781</v>
      </c>
      <c r="AZ5032" t="s">
        <v>10781</v>
      </c>
      <c r="BA5032" t="s">
        <v>4007</v>
      </c>
      <c r="BB5032" s="3">
        <v>43388</v>
      </c>
      <c r="BC5032" s="1">
        <v>0</v>
      </c>
      <c r="BD5032" t="s">
        <v>247</v>
      </c>
      <c r="BE5032" s="3">
        <v>41774</v>
      </c>
      <c r="BF5032" s="1">
        <v>226000</v>
      </c>
      <c r="BG5032" t="s">
        <v>31256</v>
      </c>
      <c r="BH5032" s="1">
        <v>100.09</v>
      </c>
      <c r="BI5032" s="1">
        <v>289240</v>
      </c>
      <c r="BJ5032" s="3">
        <v>43388</v>
      </c>
      <c r="BK5032" t="s">
        <v>123</v>
      </c>
      <c r="BL5032" t="str">
        <f>"2018.769268"</f>
        <v>2018.769268</v>
      </c>
      <c r="BM5032" t="s">
        <v>1185</v>
      </c>
      <c r="BN5032" t="s">
        <v>6728</v>
      </c>
      <c r="BO5032" t="s">
        <v>31257</v>
      </c>
      <c r="BP5032" t="s">
        <v>31258</v>
      </c>
      <c r="BR5032" t="s">
        <v>139</v>
      </c>
      <c r="BW5032" t="str">
        <f>""</f>
        <v/>
      </c>
      <c r="CH5032" t="str">
        <f>""</f>
        <v/>
      </c>
      <c r="CS5032" t="str">
        <f>""</f>
        <v/>
      </c>
    </row>
    <row r="5033" spans="1:97" x14ac:dyDescent="0.25">
      <c r="A5033" t="s">
        <v>996</v>
      </c>
      <c r="B5033" t="s">
        <v>31259</v>
      </c>
      <c r="C5033" t="s">
        <v>31260</v>
      </c>
      <c r="D5033" t="s">
        <v>31259</v>
      </c>
      <c r="E5033" t="s">
        <v>31261</v>
      </c>
      <c r="F5033" t="s">
        <v>108</v>
      </c>
      <c r="H5033" t="s">
        <v>31262</v>
      </c>
      <c r="I5033" t="s">
        <v>390</v>
      </c>
      <c r="J5033" t="s">
        <v>111</v>
      </c>
      <c r="K5033" t="str">
        <f>"85053"</f>
        <v>85053</v>
      </c>
      <c r="L5033" t="s">
        <v>6631</v>
      </c>
      <c r="M5033" t="s">
        <v>31262</v>
      </c>
      <c r="N5033" t="s">
        <v>390</v>
      </c>
      <c r="O5033" t="s">
        <v>111</v>
      </c>
      <c r="P5033" t="str">
        <f>"85053-5314"</f>
        <v>85053-5314</v>
      </c>
      <c r="Q5033" t="s">
        <v>113</v>
      </c>
      <c r="R5033" t="str">
        <f>"207-12-043"</f>
        <v>207-12-043</v>
      </c>
      <c r="S5033" t="s">
        <v>31263</v>
      </c>
      <c r="T5033" t="s">
        <v>31264</v>
      </c>
      <c r="U5033">
        <v>1806</v>
      </c>
      <c r="V5033">
        <v>0</v>
      </c>
      <c r="W5033">
        <v>2</v>
      </c>
      <c r="X5033">
        <v>1973</v>
      </c>
      <c r="Z5033">
        <v>1</v>
      </c>
      <c r="AA5033" t="s">
        <v>26</v>
      </c>
      <c r="AB5033">
        <v>0</v>
      </c>
      <c r="AC5033" t="s">
        <v>115</v>
      </c>
      <c r="AD5033">
        <v>2</v>
      </c>
      <c r="AE5033" t="s">
        <v>115</v>
      </c>
      <c r="AF5033">
        <v>0</v>
      </c>
      <c r="AG5033">
        <v>0</v>
      </c>
      <c r="AH5033" t="s">
        <v>116</v>
      </c>
      <c r="AI5033" s="1">
        <v>43636</v>
      </c>
      <c r="AJ5033" s="2">
        <v>0.16</v>
      </c>
      <c r="AK5033" s="1">
        <v>278478</v>
      </c>
      <c r="AL5033" t="s">
        <v>117</v>
      </c>
      <c r="AM5033" t="s">
        <v>171</v>
      </c>
      <c r="AN5033">
        <v>8119</v>
      </c>
      <c r="AO5033">
        <v>0.19</v>
      </c>
      <c r="AP5033">
        <v>1</v>
      </c>
      <c r="AR5033">
        <v>1</v>
      </c>
      <c r="AS5033" s="1">
        <v>18030</v>
      </c>
      <c r="AT5033" s="1">
        <v>3600</v>
      </c>
      <c r="AU5033" s="1">
        <v>14430</v>
      </c>
      <c r="AV5033">
        <v>80.03</v>
      </c>
      <c r="AX5033" s="1">
        <v>1378.5</v>
      </c>
      <c r="AY5033" t="s">
        <v>8546</v>
      </c>
      <c r="AZ5033" t="s">
        <v>2997</v>
      </c>
      <c r="BA5033" t="s">
        <v>2998</v>
      </c>
      <c r="BE5033" s="3">
        <v>42041</v>
      </c>
      <c r="BF5033" s="1">
        <v>229900</v>
      </c>
      <c r="BG5033" t="s">
        <v>31265</v>
      </c>
      <c r="BH5033" s="1">
        <v>127.3</v>
      </c>
      <c r="BI5033" s="1">
        <v>234842</v>
      </c>
      <c r="BJ5033" s="3">
        <v>42041</v>
      </c>
      <c r="BK5033" t="s">
        <v>123</v>
      </c>
      <c r="BL5033" t="str">
        <f>"2015.78231"</f>
        <v>2015.78231</v>
      </c>
      <c r="BM5033" t="s">
        <v>131</v>
      </c>
      <c r="BO5033" t="s">
        <v>31266</v>
      </c>
      <c r="BS5033">
        <v>30</v>
      </c>
      <c r="BW5033" t="str">
        <f>""</f>
        <v/>
      </c>
      <c r="CH5033" t="str">
        <f>""</f>
        <v/>
      </c>
      <c r="CS5033" t="str">
        <f>""</f>
        <v/>
      </c>
    </row>
    <row r="5034" spans="1:97" x14ac:dyDescent="0.25">
      <c r="A5034" t="s">
        <v>2743</v>
      </c>
      <c r="B5034" t="s">
        <v>371</v>
      </c>
      <c r="C5034" t="s">
        <v>16694</v>
      </c>
      <c r="D5034" t="s">
        <v>371</v>
      </c>
      <c r="E5034" t="s">
        <v>31267</v>
      </c>
      <c r="F5034" t="s">
        <v>108</v>
      </c>
      <c r="H5034" t="s">
        <v>31268</v>
      </c>
      <c r="I5034" t="s">
        <v>390</v>
      </c>
      <c r="J5034" t="s">
        <v>111</v>
      </c>
      <c r="K5034" t="str">
        <f>"85013"</f>
        <v>85013</v>
      </c>
      <c r="L5034" t="s">
        <v>5228</v>
      </c>
      <c r="M5034" t="s">
        <v>31268</v>
      </c>
      <c r="N5034" t="s">
        <v>390</v>
      </c>
      <c r="O5034" t="s">
        <v>111</v>
      </c>
      <c r="P5034" t="str">
        <f>"85013-1936"</f>
        <v>85013-1936</v>
      </c>
      <c r="Q5034" t="s">
        <v>113</v>
      </c>
      <c r="R5034" t="str">
        <f>"156-42-047"</f>
        <v>156-42-047</v>
      </c>
      <c r="S5034" t="s">
        <v>31269</v>
      </c>
      <c r="T5034" t="s">
        <v>16157</v>
      </c>
      <c r="U5034">
        <v>2064</v>
      </c>
      <c r="V5034">
        <v>0</v>
      </c>
      <c r="W5034">
        <v>2</v>
      </c>
      <c r="X5034">
        <v>1956</v>
      </c>
      <c r="Z5034">
        <v>1</v>
      </c>
      <c r="AB5034">
        <v>0</v>
      </c>
      <c r="AC5034" t="s">
        <v>5188</v>
      </c>
      <c r="AD5034">
        <v>2</v>
      </c>
      <c r="AE5034" t="s">
        <v>5188</v>
      </c>
      <c r="AF5034">
        <v>0</v>
      </c>
      <c r="AG5034">
        <v>0</v>
      </c>
      <c r="AH5034" t="s">
        <v>116</v>
      </c>
      <c r="AI5034" s="1">
        <v>109566</v>
      </c>
      <c r="AJ5034" s="2">
        <v>0.28000000000000003</v>
      </c>
      <c r="AK5034" s="1">
        <v>394566</v>
      </c>
      <c r="AL5034" t="s">
        <v>117</v>
      </c>
      <c r="AM5034" t="s">
        <v>191</v>
      </c>
      <c r="AN5034">
        <v>8551</v>
      </c>
      <c r="AO5034">
        <v>0.2</v>
      </c>
      <c r="AP5034">
        <v>1</v>
      </c>
      <c r="AR5034">
        <v>1</v>
      </c>
      <c r="AS5034" s="1">
        <v>28150</v>
      </c>
      <c r="AT5034" s="1">
        <v>5630</v>
      </c>
      <c r="AU5034" s="1">
        <v>22520</v>
      </c>
      <c r="AV5034">
        <v>80</v>
      </c>
      <c r="AX5034" s="1">
        <v>2766.24</v>
      </c>
      <c r="AY5034" t="s">
        <v>16158</v>
      </c>
      <c r="AZ5034" t="s">
        <v>5690</v>
      </c>
      <c r="BA5034" t="s">
        <v>5691</v>
      </c>
      <c r="BE5034" s="3">
        <v>41831</v>
      </c>
      <c r="BF5034" s="1">
        <v>265000</v>
      </c>
      <c r="BG5034" t="s">
        <v>31270</v>
      </c>
      <c r="BH5034" s="1">
        <v>128.38999999999999</v>
      </c>
      <c r="BI5034" s="1">
        <v>285000</v>
      </c>
      <c r="BJ5034" s="3">
        <v>43537</v>
      </c>
      <c r="BK5034" t="s">
        <v>123</v>
      </c>
      <c r="BL5034" t="str">
        <f>"2019.173817"</f>
        <v>2019.173817</v>
      </c>
      <c r="BM5034" t="s">
        <v>1915</v>
      </c>
      <c r="BN5034" t="s">
        <v>1916</v>
      </c>
      <c r="BO5034" t="s">
        <v>31271</v>
      </c>
      <c r="BP5034" t="s">
        <v>31272</v>
      </c>
      <c r="BR5034" t="s">
        <v>139</v>
      </c>
      <c r="BW5034" t="str">
        <f>""</f>
        <v/>
      </c>
      <c r="CH5034" t="str">
        <f>""</f>
        <v/>
      </c>
      <c r="CS5034" t="str">
        <f>""</f>
        <v/>
      </c>
    </row>
    <row r="5035" spans="1:97" x14ac:dyDescent="0.25">
      <c r="A5035" t="s">
        <v>1755</v>
      </c>
      <c r="B5035" t="s">
        <v>3145</v>
      </c>
      <c r="C5035" t="s">
        <v>852</v>
      </c>
      <c r="D5035" t="s">
        <v>3145</v>
      </c>
      <c r="E5035" t="s">
        <v>31273</v>
      </c>
      <c r="F5035" t="s">
        <v>108</v>
      </c>
      <c r="H5035" t="s">
        <v>31274</v>
      </c>
      <c r="I5035" t="s">
        <v>3150</v>
      </c>
      <c r="J5035" t="s">
        <v>111</v>
      </c>
      <c r="K5035" t="str">
        <f>"85340"</f>
        <v>85340</v>
      </c>
      <c r="L5035" t="s">
        <v>1789</v>
      </c>
      <c r="M5035" t="s">
        <v>31274</v>
      </c>
      <c r="N5035" t="s">
        <v>3150</v>
      </c>
      <c r="O5035" t="s">
        <v>111</v>
      </c>
      <c r="P5035" t="str">
        <f>"85340-7312"</f>
        <v>85340-7312</v>
      </c>
      <c r="Q5035" t="s">
        <v>113</v>
      </c>
      <c r="R5035" t="str">
        <f>"508-06-389"</f>
        <v>508-06-389</v>
      </c>
      <c r="S5035" t="s">
        <v>6579</v>
      </c>
      <c r="U5035">
        <v>3499</v>
      </c>
      <c r="V5035">
        <v>0</v>
      </c>
      <c r="W5035">
        <v>4</v>
      </c>
      <c r="X5035">
        <v>2003</v>
      </c>
      <c r="Z5035">
        <v>2</v>
      </c>
      <c r="AA5035" t="s">
        <v>26</v>
      </c>
      <c r="AB5035">
        <v>0</v>
      </c>
      <c r="AC5035" t="s">
        <v>115</v>
      </c>
      <c r="AD5035">
        <v>3</v>
      </c>
      <c r="AE5035" t="s">
        <v>115</v>
      </c>
      <c r="AF5035">
        <v>0</v>
      </c>
      <c r="AG5035">
        <v>0</v>
      </c>
      <c r="AH5035" t="s">
        <v>116</v>
      </c>
      <c r="AI5035" s="1">
        <v>59344</v>
      </c>
      <c r="AJ5035" s="2">
        <v>0.16</v>
      </c>
      <c r="AK5035" s="1">
        <v>381116</v>
      </c>
      <c r="AL5035" t="s">
        <v>117</v>
      </c>
      <c r="AM5035" t="s">
        <v>1302</v>
      </c>
      <c r="AN5035">
        <v>10425</v>
      </c>
      <c r="AO5035">
        <v>0.24</v>
      </c>
      <c r="AP5035">
        <v>1</v>
      </c>
      <c r="AR5035">
        <v>1</v>
      </c>
      <c r="AS5035" s="1">
        <v>27860</v>
      </c>
      <c r="AT5035" s="1">
        <v>5570</v>
      </c>
      <c r="AU5035" s="1">
        <v>22290</v>
      </c>
      <c r="AV5035">
        <v>80.010000000000005</v>
      </c>
      <c r="AX5035" s="1">
        <v>2467.98</v>
      </c>
      <c r="AY5035" t="s">
        <v>6580</v>
      </c>
      <c r="AZ5035" t="s">
        <v>3153</v>
      </c>
      <c r="BA5035" t="s">
        <v>3154</v>
      </c>
      <c r="BE5035" s="3">
        <v>42440</v>
      </c>
      <c r="BF5035" s="1">
        <v>315000</v>
      </c>
      <c r="BG5035" t="s">
        <v>31275</v>
      </c>
      <c r="BH5035" s="1">
        <v>90.03</v>
      </c>
      <c r="BI5035" s="1">
        <v>321772</v>
      </c>
      <c r="BJ5035" s="3">
        <v>42440</v>
      </c>
      <c r="BK5035" t="s">
        <v>123</v>
      </c>
      <c r="BL5035" t="str">
        <f>"2016.158325"</f>
        <v>2016.158325</v>
      </c>
      <c r="BM5035" t="s">
        <v>544</v>
      </c>
      <c r="BO5035" t="s">
        <v>31276</v>
      </c>
      <c r="BS5035">
        <v>30</v>
      </c>
      <c r="BW5035" t="str">
        <f>""</f>
        <v/>
      </c>
      <c r="CH5035" t="str">
        <f>""</f>
        <v/>
      </c>
      <c r="CS5035" t="str">
        <f>""</f>
        <v/>
      </c>
    </row>
    <row r="5036" spans="1:97" x14ac:dyDescent="0.25">
      <c r="A5036" t="s">
        <v>28019</v>
      </c>
      <c r="B5036" t="s">
        <v>31277</v>
      </c>
      <c r="C5036" t="s">
        <v>2281</v>
      </c>
      <c r="D5036" t="s">
        <v>31277</v>
      </c>
      <c r="E5036" t="s">
        <v>31278</v>
      </c>
      <c r="F5036" t="s">
        <v>108</v>
      </c>
      <c r="H5036" t="s">
        <v>31279</v>
      </c>
      <c r="I5036" t="s">
        <v>203</v>
      </c>
      <c r="J5036" t="s">
        <v>111</v>
      </c>
      <c r="K5036" t="str">
        <f>"85233"</f>
        <v>85233</v>
      </c>
      <c r="L5036" t="s">
        <v>6145</v>
      </c>
      <c r="M5036" t="s">
        <v>31279</v>
      </c>
      <c r="N5036" t="s">
        <v>203</v>
      </c>
      <c r="O5036" t="s">
        <v>111</v>
      </c>
      <c r="P5036" t="str">
        <f>"85233-1500"</f>
        <v>85233-1500</v>
      </c>
      <c r="Q5036" t="s">
        <v>113</v>
      </c>
      <c r="R5036" t="str">
        <f>"302-13-949"</f>
        <v>302-13-949</v>
      </c>
      <c r="S5036" t="s">
        <v>31280</v>
      </c>
      <c r="U5036">
        <v>1349</v>
      </c>
      <c r="V5036">
        <v>0</v>
      </c>
      <c r="W5036">
        <v>3</v>
      </c>
      <c r="X5036">
        <v>1991</v>
      </c>
      <c r="Z5036">
        <v>1</v>
      </c>
      <c r="AB5036">
        <v>0</v>
      </c>
      <c r="AC5036" t="s">
        <v>115</v>
      </c>
      <c r="AD5036">
        <v>2</v>
      </c>
      <c r="AE5036" t="s">
        <v>115</v>
      </c>
      <c r="AF5036">
        <v>0</v>
      </c>
      <c r="AG5036">
        <v>0</v>
      </c>
      <c r="AH5036" t="s">
        <v>116</v>
      </c>
      <c r="AI5036" s="1">
        <v>19239</v>
      </c>
      <c r="AJ5036" s="2">
        <v>7.0000000000000007E-2</v>
      </c>
      <c r="AK5036" s="1">
        <v>266857</v>
      </c>
      <c r="AL5036" t="s">
        <v>117</v>
      </c>
      <c r="AM5036" t="s">
        <v>288</v>
      </c>
      <c r="AN5036">
        <v>4731</v>
      </c>
      <c r="AO5036">
        <v>0.11</v>
      </c>
      <c r="AP5036">
        <v>1</v>
      </c>
      <c r="AR5036">
        <v>1</v>
      </c>
      <c r="AS5036" s="1">
        <v>17980</v>
      </c>
      <c r="AT5036" s="1">
        <v>3590</v>
      </c>
      <c r="AU5036" s="1">
        <v>14390</v>
      </c>
      <c r="AV5036">
        <v>80.03</v>
      </c>
      <c r="AX5036" s="1">
        <v>1084.04</v>
      </c>
      <c r="AY5036" t="s">
        <v>8604</v>
      </c>
      <c r="AZ5036" t="s">
        <v>5478</v>
      </c>
      <c r="BA5036" t="s">
        <v>5479</v>
      </c>
      <c r="BE5036" s="3">
        <v>42137</v>
      </c>
      <c r="BF5036" s="1">
        <v>200000</v>
      </c>
      <c r="BG5036" t="s">
        <v>31281</v>
      </c>
      <c r="BH5036" s="1">
        <v>148.26</v>
      </c>
      <c r="BI5036" s="1">
        <v>247618</v>
      </c>
      <c r="BJ5036" s="3">
        <v>43157</v>
      </c>
      <c r="BK5036" t="s">
        <v>123</v>
      </c>
      <c r="BL5036" t="str">
        <f>"2018.141329"</f>
        <v>2018.141329</v>
      </c>
      <c r="BM5036" t="s">
        <v>2080</v>
      </c>
      <c r="BN5036" t="s">
        <v>426</v>
      </c>
      <c r="BO5036" t="s">
        <v>31282</v>
      </c>
      <c r="BP5036" t="s">
        <v>31283</v>
      </c>
      <c r="BR5036" t="s">
        <v>139</v>
      </c>
      <c r="BW5036" t="str">
        <f>""</f>
        <v/>
      </c>
      <c r="CH5036" t="str">
        <f>""</f>
        <v/>
      </c>
      <c r="CS5036" t="str">
        <f>""</f>
        <v/>
      </c>
    </row>
    <row r="5037" spans="1:97" x14ac:dyDescent="0.25">
      <c r="A5037" t="s">
        <v>1871</v>
      </c>
      <c r="B5037" t="s">
        <v>371</v>
      </c>
      <c r="E5037" t="s">
        <v>31284</v>
      </c>
      <c r="F5037" t="s">
        <v>108</v>
      </c>
      <c r="H5037" t="s">
        <v>31285</v>
      </c>
      <c r="I5037" t="s">
        <v>167</v>
      </c>
      <c r="J5037" t="s">
        <v>111</v>
      </c>
      <c r="K5037" t="str">
        <f>"85339"</f>
        <v>85339</v>
      </c>
      <c r="L5037" t="s">
        <v>2765</v>
      </c>
      <c r="M5037" t="s">
        <v>31285</v>
      </c>
      <c r="N5037" t="s">
        <v>167</v>
      </c>
      <c r="O5037" t="s">
        <v>111</v>
      </c>
      <c r="P5037" t="str">
        <f>"85339-2535"</f>
        <v>85339-2535</v>
      </c>
      <c r="Q5037" t="s">
        <v>113</v>
      </c>
      <c r="R5037" t="str">
        <f>"300-14-799"</f>
        <v>300-14-799</v>
      </c>
      <c r="S5037" t="s">
        <v>8158</v>
      </c>
      <c r="T5037" t="s">
        <v>8158</v>
      </c>
      <c r="U5037">
        <v>3288</v>
      </c>
      <c r="V5037">
        <v>0</v>
      </c>
      <c r="W5037">
        <v>4</v>
      </c>
      <c r="X5037">
        <v>2016</v>
      </c>
      <c r="Z5037">
        <v>2</v>
      </c>
      <c r="AB5037">
        <v>0</v>
      </c>
      <c r="AC5037" t="s">
        <v>115</v>
      </c>
      <c r="AD5037">
        <v>3</v>
      </c>
      <c r="AE5037" t="s">
        <v>115</v>
      </c>
      <c r="AF5037">
        <v>0</v>
      </c>
      <c r="AG5037">
        <v>0</v>
      </c>
      <c r="AH5037" t="s">
        <v>116</v>
      </c>
      <c r="AI5037" s="1">
        <v>79444</v>
      </c>
      <c r="AJ5037" s="2">
        <v>0.22</v>
      </c>
      <c r="AK5037" s="1">
        <v>358028</v>
      </c>
      <c r="AL5037" t="s">
        <v>117</v>
      </c>
      <c r="AM5037" t="s">
        <v>191</v>
      </c>
      <c r="AN5037">
        <v>7150</v>
      </c>
      <c r="AO5037">
        <v>0.16</v>
      </c>
      <c r="AR5037">
        <v>1</v>
      </c>
      <c r="AS5037" s="1">
        <v>27100</v>
      </c>
      <c r="AT5037" s="1">
        <v>5420</v>
      </c>
      <c r="AU5037" s="1">
        <v>21680</v>
      </c>
      <c r="AV5037">
        <v>80</v>
      </c>
      <c r="AX5037" s="1">
        <v>3650.84</v>
      </c>
      <c r="AY5037" t="s">
        <v>8159</v>
      </c>
      <c r="AZ5037" t="s">
        <v>8159</v>
      </c>
      <c r="BA5037" t="s">
        <v>1661</v>
      </c>
      <c r="BE5037" s="3">
        <v>42461</v>
      </c>
      <c r="BF5037" s="1">
        <v>269685</v>
      </c>
      <c r="BG5037" t="s">
        <v>2289</v>
      </c>
      <c r="BH5037" s="1">
        <v>82.02</v>
      </c>
      <c r="BI5037" s="1">
        <v>278584</v>
      </c>
      <c r="BJ5037" s="3">
        <v>42461</v>
      </c>
      <c r="BK5037" t="s">
        <v>123</v>
      </c>
      <c r="BL5037" t="str">
        <f>"2016.214655"</f>
        <v>2016.214655</v>
      </c>
      <c r="BM5037" t="s">
        <v>150</v>
      </c>
      <c r="BO5037" t="s">
        <v>31286</v>
      </c>
      <c r="BS5037">
        <v>30</v>
      </c>
      <c r="BW5037" t="str">
        <f>""</f>
        <v/>
      </c>
      <c r="CH5037" t="str">
        <f>""</f>
        <v/>
      </c>
      <c r="CS5037" t="str">
        <f>""</f>
        <v/>
      </c>
    </row>
    <row r="5038" spans="1:97" x14ac:dyDescent="0.25">
      <c r="A5038" t="s">
        <v>2206</v>
      </c>
      <c r="B5038" t="s">
        <v>31287</v>
      </c>
      <c r="C5038" t="s">
        <v>18660</v>
      </c>
      <c r="D5038" t="s">
        <v>31287</v>
      </c>
      <c r="E5038" t="s">
        <v>31288</v>
      </c>
      <c r="F5038" t="s">
        <v>108</v>
      </c>
      <c r="H5038" t="s">
        <v>31289</v>
      </c>
      <c r="I5038" t="s">
        <v>499</v>
      </c>
      <c r="J5038" t="s">
        <v>111</v>
      </c>
      <c r="K5038" t="str">
        <f>"85338"</f>
        <v>85338</v>
      </c>
      <c r="L5038" t="s">
        <v>2197</v>
      </c>
      <c r="M5038" t="s">
        <v>31289</v>
      </c>
      <c r="N5038" t="s">
        <v>499</v>
      </c>
      <c r="O5038" t="s">
        <v>111</v>
      </c>
      <c r="P5038" t="str">
        <f>"85338-3551"</f>
        <v>85338-3551</v>
      </c>
      <c r="Q5038" t="s">
        <v>113</v>
      </c>
      <c r="R5038" t="str">
        <f>"500-94-022"</f>
        <v>500-94-022</v>
      </c>
      <c r="S5038" t="s">
        <v>31290</v>
      </c>
      <c r="U5038">
        <v>2226</v>
      </c>
      <c r="V5038">
        <v>0</v>
      </c>
      <c r="W5038">
        <v>2</v>
      </c>
      <c r="X5038">
        <v>2003</v>
      </c>
      <c r="Z5038">
        <v>2</v>
      </c>
      <c r="AB5038">
        <v>0</v>
      </c>
      <c r="AC5038" t="s">
        <v>115</v>
      </c>
      <c r="AD5038">
        <v>2</v>
      </c>
      <c r="AE5038" t="s">
        <v>115</v>
      </c>
      <c r="AF5038">
        <v>0</v>
      </c>
      <c r="AG5038">
        <v>0</v>
      </c>
      <c r="AH5038" t="s">
        <v>116</v>
      </c>
      <c r="AI5038" s="1">
        <v>19067</v>
      </c>
      <c r="AJ5038" s="2">
        <v>0.08</v>
      </c>
      <c r="AK5038" s="1">
        <v>251492</v>
      </c>
      <c r="AL5038" t="s">
        <v>117</v>
      </c>
      <c r="AM5038" t="s">
        <v>118</v>
      </c>
      <c r="AN5038">
        <v>5761</v>
      </c>
      <c r="AO5038">
        <v>0.13</v>
      </c>
      <c r="AP5038">
        <v>1</v>
      </c>
      <c r="AR5038">
        <v>1</v>
      </c>
      <c r="AS5038" s="1">
        <v>16480</v>
      </c>
      <c r="AT5038" s="1">
        <v>3290</v>
      </c>
      <c r="AU5038" s="1">
        <v>13190</v>
      </c>
      <c r="AV5038">
        <v>80.040000000000006</v>
      </c>
      <c r="AX5038" s="1">
        <v>1501.38</v>
      </c>
      <c r="AY5038" t="s">
        <v>11177</v>
      </c>
      <c r="AZ5038" t="s">
        <v>11177</v>
      </c>
      <c r="BA5038" t="s">
        <v>7186</v>
      </c>
      <c r="BE5038" s="3">
        <v>42118</v>
      </c>
      <c r="BF5038" s="1">
        <v>190000</v>
      </c>
      <c r="BG5038" t="s">
        <v>5034</v>
      </c>
      <c r="BH5038" s="1">
        <v>85.35</v>
      </c>
      <c r="BI5038" s="1">
        <v>232425</v>
      </c>
      <c r="BJ5038" s="3">
        <v>43108</v>
      </c>
      <c r="BK5038" t="s">
        <v>123</v>
      </c>
      <c r="BL5038" t="str">
        <f>"2018.14259"</f>
        <v>2018.14259</v>
      </c>
      <c r="BM5038" t="s">
        <v>460</v>
      </c>
      <c r="BN5038" t="s">
        <v>461</v>
      </c>
      <c r="BO5038" t="s">
        <v>31291</v>
      </c>
      <c r="BP5038" t="s">
        <v>31292</v>
      </c>
      <c r="BR5038" t="s">
        <v>139</v>
      </c>
      <c r="BW5038" t="str">
        <f>""</f>
        <v/>
      </c>
      <c r="CH5038" t="str">
        <f>""</f>
        <v/>
      </c>
      <c r="CS5038" t="str">
        <f>""</f>
        <v/>
      </c>
    </row>
    <row r="5039" spans="1:97" x14ac:dyDescent="0.25">
      <c r="A5039" t="s">
        <v>31293</v>
      </c>
      <c r="B5039" t="s">
        <v>31294</v>
      </c>
      <c r="E5039" t="s">
        <v>31295</v>
      </c>
      <c r="F5039" t="s">
        <v>108</v>
      </c>
      <c r="H5039" t="s">
        <v>31296</v>
      </c>
      <c r="I5039" t="s">
        <v>1936</v>
      </c>
      <c r="J5039" t="s">
        <v>111</v>
      </c>
      <c r="K5039" t="str">
        <f>"85251"</f>
        <v>85251</v>
      </c>
      <c r="L5039" t="s">
        <v>4565</v>
      </c>
      <c r="M5039" t="s">
        <v>31296</v>
      </c>
      <c r="N5039" t="s">
        <v>1936</v>
      </c>
      <c r="O5039" t="s">
        <v>111</v>
      </c>
      <c r="P5039" t="str">
        <f>"85251-5066"</f>
        <v>85251-5066</v>
      </c>
      <c r="Q5039" t="s">
        <v>113</v>
      </c>
      <c r="R5039" t="str">
        <f>"130-41-029"</f>
        <v>130-41-029</v>
      </c>
      <c r="S5039" t="s">
        <v>7029</v>
      </c>
      <c r="T5039" t="s">
        <v>7030</v>
      </c>
      <c r="U5039">
        <v>1630</v>
      </c>
      <c r="V5039">
        <v>0</v>
      </c>
      <c r="W5039">
        <v>2</v>
      </c>
      <c r="X5039">
        <v>1971</v>
      </c>
      <c r="Z5039">
        <v>1</v>
      </c>
      <c r="AA5039" t="s">
        <v>26</v>
      </c>
      <c r="AB5039">
        <v>0</v>
      </c>
      <c r="AC5039" t="s">
        <v>5188</v>
      </c>
      <c r="AD5039">
        <v>2</v>
      </c>
      <c r="AE5039" t="s">
        <v>5188</v>
      </c>
      <c r="AF5039">
        <v>0</v>
      </c>
      <c r="AG5039">
        <v>0</v>
      </c>
      <c r="AH5039" t="s">
        <v>116</v>
      </c>
      <c r="AI5039" s="1">
        <v>114444</v>
      </c>
      <c r="AJ5039" s="2">
        <v>0.27</v>
      </c>
      <c r="AK5039" s="1">
        <v>420811</v>
      </c>
      <c r="AL5039" t="s">
        <v>117</v>
      </c>
      <c r="AM5039" t="s">
        <v>393</v>
      </c>
      <c r="AN5039">
        <v>9330</v>
      </c>
      <c r="AO5039">
        <v>0.21</v>
      </c>
      <c r="AP5039">
        <v>1</v>
      </c>
      <c r="AR5039">
        <v>1</v>
      </c>
      <c r="AS5039" s="1">
        <v>28780</v>
      </c>
      <c r="AT5039" s="1">
        <v>5750</v>
      </c>
      <c r="AU5039" s="1">
        <v>23030</v>
      </c>
      <c r="AV5039">
        <v>80.02</v>
      </c>
      <c r="AX5039" s="1">
        <v>1730.54</v>
      </c>
      <c r="AY5039" t="s">
        <v>7031</v>
      </c>
      <c r="AZ5039" t="s">
        <v>5420</v>
      </c>
      <c r="BA5039" t="s">
        <v>5421</v>
      </c>
      <c r="BE5039" s="3">
        <v>41822</v>
      </c>
      <c r="BF5039" s="1">
        <v>315000</v>
      </c>
      <c r="BG5039" t="s">
        <v>31297</v>
      </c>
      <c r="BH5039" s="1">
        <v>193.25</v>
      </c>
      <c r="BI5039" s="1">
        <v>306367</v>
      </c>
      <c r="BJ5039" s="3">
        <v>42612</v>
      </c>
      <c r="BK5039" t="s">
        <v>123</v>
      </c>
      <c r="BL5039" t="str">
        <f>"2016.626498"</f>
        <v>2016.626498</v>
      </c>
      <c r="BM5039" t="s">
        <v>14113</v>
      </c>
      <c r="BO5039" t="s">
        <v>31298</v>
      </c>
      <c r="BS5039">
        <v>30</v>
      </c>
      <c r="BW5039" t="str">
        <f>""</f>
        <v/>
      </c>
      <c r="CH5039" t="str">
        <f>""</f>
        <v/>
      </c>
      <c r="CS5039" t="str">
        <f>""</f>
        <v/>
      </c>
    </row>
    <row r="5040" spans="1:97" x14ac:dyDescent="0.25">
      <c r="A5040" t="s">
        <v>639</v>
      </c>
      <c r="B5040" t="s">
        <v>141</v>
      </c>
      <c r="C5040" t="s">
        <v>2852</v>
      </c>
      <c r="D5040" t="s">
        <v>141</v>
      </c>
      <c r="E5040" t="s">
        <v>31299</v>
      </c>
      <c r="F5040" t="s">
        <v>108</v>
      </c>
      <c r="H5040" t="s">
        <v>31300</v>
      </c>
      <c r="I5040" t="s">
        <v>225</v>
      </c>
      <c r="J5040" t="s">
        <v>111</v>
      </c>
      <c r="K5040" t="str">
        <f>"85209"</f>
        <v>85209</v>
      </c>
      <c r="L5040" t="s">
        <v>2820</v>
      </c>
      <c r="M5040" t="s">
        <v>31300</v>
      </c>
      <c r="N5040" t="s">
        <v>225</v>
      </c>
      <c r="O5040" t="s">
        <v>111</v>
      </c>
      <c r="P5040" t="str">
        <f>"85209-6254"</f>
        <v>85209-6254</v>
      </c>
      <c r="Q5040" t="s">
        <v>113</v>
      </c>
      <c r="R5040" t="str">
        <f>"309-09-217"</f>
        <v>309-09-217</v>
      </c>
      <c r="S5040" t="s">
        <v>25678</v>
      </c>
      <c r="T5040" t="s">
        <v>6551</v>
      </c>
      <c r="U5040">
        <v>1544</v>
      </c>
      <c r="V5040">
        <v>0</v>
      </c>
      <c r="W5040">
        <v>3</v>
      </c>
      <c r="X5040">
        <v>1995</v>
      </c>
      <c r="Z5040">
        <v>2</v>
      </c>
      <c r="AA5040" t="s">
        <v>26</v>
      </c>
      <c r="AB5040">
        <v>0</v>
      </c>
      <c r="AC5040" t="s">
        <v>115</v>
      </c>
      <c r="AD5040">
        <v>2</v>
      </c>
      <c r="AE5040" t="s">
        <v>115</v>
      </c>
      <c r="AF5040">
        <v>0</v>
      </c>
      <c r="AG5040">
        <v>0</v>
      </c>
      <c r="AH5040" t="s">
        <v>116</v>
      </c>
      <c r="AI5040" s="1">
        <v>18668</v>
      </c>
      <c r="AJ5040" s="2">
        <v>7.0000000000000007E-2</v>
      </c>
      <c r="AK5040" s="1">
        <v>262456</v>
      </c>
      <c r="AL5040" t="s">
        <v>117</v>
      </c>
      <c r="AM5040" t="s">
        <v>191</v>
      </c>
      <c r="AN5040">
        <v>5245</v>
      </c>
      <c r="AO5040">
        <v>0.12</v>
      </c>
      <c r="AP5040">
        <v>1</v>
      </c>
      <c r="AR5040">
        <v>1</v>
      </c>
      <c r="AS5040" s="1">
        <v>17520</v>
      </c>
      <c r="AT5040" s="1">
        <v>3500</v>
      </c>
      <c r="AU5040" s="1">
        <v>14020</v>
      </c>
      <c r="AV5040">
        <v>80.02</v>
      </c>
      <c r="AX5040" s="1">
        <v>1152.82</v>
      </c>
      <c r="AY5040" t="s">
        <v>6552</v>
      </c>
      <c r="AZ5040" t="s">
        <v>571</v>
      </c>
      <c r="BA5040" t="s">
        <v>572</v>
      </c>
      <c r="BE5040" s="3">
        <v>41830</v>
      </c>
      <c r="BF5040" s="1">
        <v>170000</v>
      </c>
      <c r="BG5040" t="s">
        <v>31301</v>
      </c>
      <c r="BH5040" s="1">
        <v>110.1</v>
      </c>
      <c r="BI5040" s="1">
        <v>243788</v>
      </c>
      <c r="BJ5040" s="3">
        <v>43642</v>
      </c>
      <c r="BK5040" t="s">
        <v>123</v>
      </c>
      <c r="BL5040" t="str">
        <f>"2019.481819"</f>
        <v>2019.481819</v>
      </c>
      <c r="BM5040" t="s">
        <v>31302</v>
      </c>
      <c r="BN5040" t="s">
        <v>3440</v>
      </c>
      <c r="BO5040" t="s">
        <v>31303</v>
      </c>
      <c r="BP5040" t="s">
        <v>31304</v>
      </c>
      <c r="BR5040" t="s">
        <v>139</v>
      </c>
      <c r="BW5040" t="str">
        <f>""</f>
        <v/>
      </c>
      <c r="CH5040" t="str">
        <f>""</f>
        <v/>
      </c>
      <c r="CS5040" t="str">
        <f>""</f>
        <v/>
      </c>
    </row>
    <row r="5041" spans="1:97" x14ac:dyDescent="0.25">
      <c r="A5041" t="s">
        <v>494</v>
      </c>
      <c r="B5041" t="s">
        <v>31305</v>
      </c>
      <c r="E5041" t="s">
        <v>31306</v>
      </c>
      <c r="F5041" t="s">
        <v>108</v>
      </c>
      <c r="H5041" t="s">
        <v>31307</v>
      </c>
      <c r="I5041" t="s">
        <v>1936</v>
      </c>
      <c r="J5041" t="s">
        <v>111</v>
      </c>
      <c r="K5041" t="str">
        <f>"85257"</f>
        <v>85257</v>
      </c>
      <c r="L5041" t="s">
        <v>226</v>
      </c>
      <c r="M5041" t="s">
        <v>31307</v>
      </c>
      <c r="N5041" t="s">
        <v>1936</v>
      </c>
      <c r="O5041" t="s">
        <v>111</v>
      </c>
      <c r="P5041" t="str">
        <f>"85257-2618"</f>
        <v>85257-2618</v>
      </c>
      <c r="Q5041" t="s">
        <v>113</v>
      </c>
      <c r="R5041" t="str">
        <f>"129-08-038"</f>
        <v>129-08-038</v>
      </c>
      <c r="S5041" t="s">
        <v>31308</v>
      </c>
      <c r="T5041" t="s">
        <v>31308</v>
      </c>
      <c r="U5041">
        <v>1996</v>
      </c>
      <c r="V5041">
        <v>0</v>
      </c>
      <c r="W5041">
        <v>2</v>
      </c>
      <c r="X5041">
        <v>1957</v>
      </c>
      <c r="Z5041">
        <v>1</v>
      </c>
      <c r="AA5041" t="s">
        <v>26</v>
      </c>
      <c r="AB5041">
        <v>0</v>
      </c>
      <c r="AC5041" t="s">
        <v>115</v>
      </c>
      <c r="AD5041">
        <v>1</v>
      </c>
      <c r="AE5041" t="s">
        <v>115</v>
      </c>
      <c r="AF5041">
        <v>0</v>
      </c>
      <c r="AG5041">
        <v>0</v>
      </c>
      <c r="AH5041" t="s">
        <v>116</v>
      </c>
      <c r="AI5041" s="1">
        <v>115916</v>
      </c>
      <c r="AJ5041" s="2">
        <v>0.25</v>
      </c>
      <c r="AK5041" s="1">
        <v>455103</v>
      </c>
      <c r="AL5041" t="s">
        <v>117</v>
      </c>
      <c r="AM5041" t="s">
        <v>393</v>
      </c>
      <c r="AN5041">
        <v>7002</v>
      </c>
      <c r="AO5041">
        <v>0.16</v>
      </c>
      <c r="AP5041">
        <v>1</v>
      </c>
      <c r="AR5041">
        <v>1</v>
      </c>
      <c r="AS5041" s="1">
        <v>30860</v>
      </c>
      <c r="AT5041" s="1">
        <v>6170</v>
      </c>
      <c r="AU5041" s="1">
        <v>24690</v>
      </c>
      <c r="AV5041">
        <v>80.010000000000005</v>
      </c>
      <c r="AX5041" s="1">
        <v>1605.7</v>
      </c>
      <c r="AY5041" t="s">
        <v>6894</v>
      </c>
      <c r="AZ5041" t="s">
        <v>6894</v>
      </c>
      <c r="BA5041" t="s">
        <v>5421</v>
      </c>
      <c r="BE5041" s="3">
        <v>42293</v>
      </c>
      <c r="BF5041" s="1">
        <v>385000</v>
      </c>
      <c r="BG5041" t="s">
        <v>11842</v>
      </c>
      <c r="BH5041" s="1">
        <v>192.89</v>
      </c>
      <c r="BI5041" s="1">
        <v>339187</v>
      </c>
      <c r="BJ5041" s="3">
        <v>42293</v>
      </c>
      <c r="BK5041" t="s">
        <v>123</v>
      </c>
      <c r="BL5041" t="str">
        <f>"2015.747266"</f>
        <v>2015.747266</v>
      </c>
      <c r="BM5041" t="s">
        <v>2683</v>
      </c>
      <c r="BO5041" t="s">
        <v>31309</v>
      </c>
      <c r="BS5041">
        <v>30</v>
      </c>
      <c r="BW5041" t="str">
        <f>""</f>
        <v/>
      </c>
      <c r="CH5041" t="str">
        <f>""</f>
        <v/>
      </c>
      <c r="CS5041" t="str">
        <f>""</f>
        <v/>
      </c>
    </row>
    <row r="5042" spans="1:97" x14ac:dyDescent="0.25">
      <c r="A5042" t="s">
        <v>1393</v>
      </c>
      <c r="B5042" t="s">
        <v>31310</v>
      </c>
      <c r="E5042" t="s">
        <v>31311</v>
      </c>
      <c r="F5042" t="s">
        <v>108</v>
      </c>
      <c r="H5042" t="s">
        <v>31312</v>
      </c>
      <c r="I5042" t="s">
        <v>203</v>
      </c>
      <c r="J5042" t="s">
        <v>111</v>
      </c>
      <c r="K5042" t="str">
        <f>"85234"</f>
        <v>85234</v>
      </c>
      <c r="L5042" t="s">
        <v>688</v>
      </c>
      <c r="M5042" t="s">
        <v>31312</v>
      </c>
      <c r="N5042" t="s">
        <v>203</v>
      </c>
      <c r="O5042" t="s">
        <v>111</v>
      </c>
      <c r="P5042" t="str">
        <f>"85234-2929"</f>
        <v>85234-2929</v>
      </c>
      <c r="Q5042" t="s">
        <v>113</v>
      </c>
      <c r="R5042" t="str">
        <f>"304-07-221"</f>
        <v>304-07-221</v>
      </c>
      <c r="S5042" t="s">
        <v>10653</v>
      </c>
      <c r="T5042" t="s">
        <v>10653</v>
      </c>
      <c r="U5042">
        <v>1884</v>
      </c>
      <c r="V5042">
        <v>0</v>
      </c>
      <c r="W5042">
        <v>3</v>
      </c>
      <c r="X5042">
        <v>1997</v>
      </c>
      <c r="Z5042">
        <v>1</v>
      </c>
      <c r="AA5042" t="s">
        <v>26</v>
      </c>
      <c r="AB5042">
        <v>0</v>
      </c>
      <c r="AC5042" t="s">
        <v>115</v>
      </c>
      <c r="AD5042">
        <v>2</v>
      </c>
      <c r="AE5042" t="s">
        <v>115</v>
      </c>
      <c r="AF5042">
        <v>0</v>
      </c>
      <c r="AG5042">
        <v>0</v>
      </c>
      <c r="AH5042" t="s">
        <v>116</v>
      </c>
      <c r="AI5042" s="1">
        <v>88395</v>
      </c>
      <c r="AJ5042" s="2">
        <v>0.27</v>
      </c>
      <c r="AK5042" s="1">
        <v>332495</v>
      </c>
      <c r="AL5042" t="s">
        <v>117</v>
      </c>
      <c r="AM5042" t="s">
        <v>393</v>
      </c>
      <c r="AN5042">
        <v>7414</v>
      </c>
      <c r="AO5042">
        <v>0.17</v>
      </c>
      <c r="AP5042">
        <v>1</v>
      </c>
      <c r="AR5042">
        <v>1</v>
      </c>
      <c r="AS5042" s="1">
        <v>23910</v>
      </c>
      <c r="AT5042" s="1">
        <v>4780</v>
      </c>
      <c r="AU5042" s="1">
        <v>19130</v>
      </c>
      <c r="AV5042">
        <v>80.010000000000005</v>
      </c>
      <c r="AX5042" s="1">
        <v>1710.98</v>
      </c>
      <c r="AY5042" t="s">
        <v>10654</v>
      </c>
      <c r="AZ5042" t="s">
        <v>571</v>
      </c>
      <c r="BA5042" t="s">
        <v>521</v>
      </c>
      <c r="BE5042" s="3">
        <v>41820</v>
      </c>
      <c r="BF5042" s="1">
        <v>239000</v>
      </c>
      <c r="BG5042" t="s">
        <v>31313</v>
      </c>
      <c r="BH5042" s="1">
        <v>126.86</v>
      </c>
      <c r="BI5042" s="1">
        <v>244100</v>
      </c>
      <c r="BJ5042" s="3">
        <v>41820</v>
      </c>
      <c r="BK5042" t="s">
        <v>123</v>
      </c>
      <c r="BL5042" t="str">
        <f>"2014.426014"</f>
        <v>2014.426014</v>
      </c>
      <c r="BM5042" t="s">
        <v>1192</v>
      </c>
      <c r="BO5042" t="s">
        <v>31314</v>
      </c>
      <c r="BS5042">
        <v>30</v>
      </c>
      <c r="BW5042" t="str">
        <f>""</f>
        <v/>
      </c>
      <c r="CH5042" t="str">
        <f>""</f>
        <v/>
      </c>
      <c r="CS5042" t="str">
        <f>""</f>
        <v/>
      </c>
    </row>
    <row r="5043" spans="1:97" x14ac:dyDescent="0.25">
      <c r="A5043" t="s">
        <v>2045</v>
      </c>
      <c r="B5043" t="s">
        <v>31315</v>
      </c>
      <c r="E5043" t="s">
        <v>31316</v>
      </c>
      <c r="F5043" t="s">
        <v>108</v>
      </c>
      <c r="H5043" t="s">
        <v>31317</v>
      </c>
      <c r="I5043" t="s">
        <v>1936</v>
      </c>
      <c r="J5043" t="s">
        <v>111</v>
      </c>
      <c r="K5043" t="str">
        <f>"85254"</f>
        <v>85254</v>
      </c>
      <c r="L5043" t="s">
        <v>7626</v>
      </c>
      <c r="M5043" t="s">
        <v>31317</v>
      </c>
      <c r="N5043" t="s">
        <v>1936</v>
      </c>
      <c r="O5043" t="s">
        <v>111</v>
      </c>
      <c r="P5043" t="str">
        <f>"85254-1540"</f>
        <v>85254-1540</v>
      </c>
      <c r="Q5043" t="s">
        <v>113</v>
      </c>
      <c r="R5043" t="str">
        <f>"215-43-079"</f>
        <v>215-43-079</v>
      </c>
      <c r="S5043" t="s">
        <v>19770</v>
      </c>
      <c r="T5043" t="s">
        <v>19771</v>
      </c>
      <c r="U5043">
        <v>1174</v>
      </c>
      <c r="V5043">
        <v>0</v>
      </c>
      <c r="W5043">
        <v>3</v>
      </c>
      <c r="X5043">
        <v>1983</v>
      </c>
      <c r="Z5043">
        <v>1</v>
      </c>
      <c r="AA5043" t="s">
        <v>26</v>
      </c>
      <c r="AB5043">
        <v>0</v>
      </c>
      <c r="AC5043" t="s">
        <v>115</v>
      </c>
      <c r="AD5043">
        <v>2</v>
      </c>
      <c r="AE5043" t="s">
        <v>115</v>
      </c>
      <c r="AF5043">
        <v>0</v>
      </c>
      <c r="AG5043">
        <v>0</v>
      </c>
      <c r="AH5043" t="s">
        <v>116</v>
      </c>
      <c r="AI5043" s="1">
        <v>60801</v>
      </c>
      <c r="AJ5043" s="2">
        <v>0.18</v>
      </c>
      <c r="AK5043" s="1">
        <v>346821</v>
      </c>
      <c r="AL5043" t="s">
        <v>117</v>
      </c>
      <c r="AM5043" t="s">
        <v>171</v>
      </c>
      <c r="AN5043">
        <v>6895</v>
      </c>
      <c r="AO5043">
        <v>0.16</v>
      </c>
      <c r="AP5043">
        <v>1</v>
      </c>
      <c r="AR5043">
        <v>1</v>
      </c>
      <c r="AS5043" s="1">
        <v>23650</v>
      </c>
      <c r="AT5043" s="1">
        <v>4730</v>
      </c>
      <c r="AU5043" s="1">
        <v>18920</v>
      </c>
      <c r="AV5043">
        <v>80</v>
      </c>
      <c r="AX5043" s="1">
        <v>2048.7600000000002</v>
      </c>
      <c r="AY5043" t="s">
        <v>19772</v>
      </c>
      <c r="AZ5043" t="s">
        <v>7739</v>
      </c>
      <c r="BA5043" t="s">
        <v>6302</v>
      </c>
      <c r="BE5043" s="3">
        <v>42454</v>
      </c>
      <c r="BF5043" s="1">
        <v>280000</v>
      </c>
      <c r="BG5043" t="s">
        <v>5716</v>
      </c>
      <c r="BH5043" s="1">
        <v>238.5</v>
      </c>
      <c r="BI5043" s="1">
        <v>286020</v>
      </c>
      <c r="BJ5043" s="3">
        <v>42454</v>
      </c>
      <c r="BK5043" t="s">
        <v>123</v>
      </c>
      <c r="BL5043" t="str">
        <f>"2016.196394"</f>
        <v>2016.196394</v>
      </c>
      <c r="BM5043" t="s">
        <v>12154</v>
      </c>
      <c r="BO5043" t="s">
        <v>31318</v>
      </c>
      <c r="BS5043">
        <v>30</v>
      </c>
      <c r="BW5043" t="str">
        <f>""</f>
        <v/>
      </c>
      <c r="CH5043" t="str">
        <f>""</f>
        <v/>
      </c>
      <c r="CS5043" t="str">
        <f>""</f>
        <v/>
      </c>
    </row>
    <row r="5044" spans="1:97" x14ac:dyDescent="0.25">
      <c r="A5044" t="s">
        <v>996</v>
      </c>
      <c r="B5044" t="s">
        <v>18313</v>
      </c>
      <c r="C5044" t="s">
        <v>3306</v>
      </c>
      <c r="D5044" t="s">
        <v>18313</v>
      </c>
      <c r="E5044" t="s">
        <v>31319</v>
      </c>
      <c r="F5044" t="s">
        <v>108</v>
      </c>
      <c r="H5044" t="s">
        <v>31320</v>
      </c>
      <c r="I5044" t="s">
        <v>390</v>
      </c>
      <c r="J5044" t="s">
        <v>111</v>
      </c>
      <c r="K5044" t="str">
        <f>"85023"</f>
        <v>85023</v>
      </c>
      <c r="L5044" t="s">
        <v>15732</v>
      </c>
      <c r="M5044" t="s">
        <v>31320</v>
      </c>
      <c r="N5044" t="s">
        <v>390</v>
      </c>
      <c r="O5044" t="s">
        <v>111</v>
      </c>
      <c r="P5044" t="str">
        <f>"85023-2203"</f>
        <v>85023-2203</v>
      </c>
      <c r="Q5044" t="s">
        <v>113</v>
      </c>
      <c r="R5044" t="str">
        <f>"208-21-003"</f>
        <v>208-21-003</v>
      </c>
      <c r="S5044" t="s">
        <v>31321</v>
      </c>
      <c r="T5044" t="s">
        <v>23316</v>
      </c>
      <c r="U5044">
        <v>1814</v>
      </c>
      <c r="V5044">
        <v>0</v>
      </c>
      <c r="W5044">
        <v>2</v>
      </c>
      <c r="X5044">
        <v>1959</v>
      </c>
      <c r="Z5044">
        <v>1</v>
      </c>
      <c r="AB5044">
        <v>0</v>
      </c>
      <c r="AC5044" t="s">
        <v>5188</v>
      </c>
      <c r="AD5044">
        <v>1</v>
      </c>
      <c r="AE5044" t="s">
        <v>5188</v>
      </c>
      <c r="AF5044">
        <v>0</v>
      </c>
      <c r="AG5044">
        <v>0</v>
      </c>
      <c r="AH5044" t="s">
        <v>5467</v>
      </c>
      <c r="AI5044" s="1">
        <v>15330</v>
      </c>
      <c r="AJ5044" s="2">
        <v>0.06</v>
      </c>
      <c r="AK5044" s="1">
        <v>257424</v>
      </c>
      <c r="AL5044" t="s">
        <v>117</v>
      </c>
      <c r="AM5044" t="s">
        <v>171</v>
      </c>
      <c r="AN5044">
        <v>8520</v>
      </c>
      <c r="AO5044">
        <v>0.2</v>
      </c>
      <c r="AP5044">
        <v>1</v>
      </c>
      <c r="AR5044">
        <v>1</v>
      </c>
      <c r="AS5044" s="1">
        <v>15800</v>
      </c>
      <c r="AT5044" s="1">
        <v>3160</v>
      </c>
      <c r="AU5044" s="1">
        <v>12640</v>
      </c>
      <c r="AV5044">
        <v>80</v>
      </c>
      <c r="AX5044" s="1">
        <v>1025.24</v>
      </c>
      <c r="AY5044" t="s">
        <v>9648</v>
      </c>
      <c r="AZ5044" t="s">
        <v>2357</v>
      </c>
      <c r="BA5044" t="s">
        <v>1462</v>
      </c>
      <c r="BE5044" s="3">
        <v>42328</v>
      </c>
      <c r="BF5044" s="1">
        <v>234500</v>
      </c>
      <c r="BG5044" t="s">
        <v>31322</v>
      </c>
      <c r="BH5044" s="1">
        <v>129.27000000000001</v>
      </c>
      <c r="BI5044" s="1">
        <v>242094</v>
      </c>
      <c r="BJ5044" s="3">
        <v>42662</v>
      </c>
      <c r="BK5044" t="s">
        <v>123</v>
      </c>
      <c r="BL5044" t="str">
        <f>"2016.769069"</f>
        <v>2016.769069</v>
      </c>
      <c r="BM5044" t="s">
        <v>2458</v>
      </c>
      <c r="BO5044" t="s">
        <v>31323</v>
      </c>
      <c r="BS5044">
        <v>30</v>
      </c>
      <c r="BW5044" t="str">
        <f>""</f>
        <v/>
      </c>
      <c r="CH5044" t="str">
        <f>""</f>
        <v/>
      </c>
      <c r="CS5044" t="str">
        <f>""</f>
        <v/>
      </c>
    </row>
    <row r="5045" spans="1:97" x14ac:dyDescent="0.25">
      <c r="A5045" t="s">
        <v>9094</v>
      </c>
      <c r="B5045" t="s">
        <v>31324</v>
      </c>
      <c r="C5045" t="s">
        <v>2217</v>
      </c>
      <c r="D5045" t="s">
        <v>31324</v>
      </c>
      <c r="E5045" t="s">
        <v>31325</v>
      </c>
      <c r="F5045" t="s">
        <v>108</v>
      </c>
      <c r="H5045" t="s">
        <v>31326</v>
      </c>
      <c r="I5045" t="s">
        <v>632</v>
      </c>
      <c r="J5045" t="s">
        <v>111</v>
      </c>
      <c r="K5045" t="str">
        <f>"85374"</f>
        <v>85374</v>
      </c>
      <c r="L5045" t="s">
        <v>10491</v>
      </c>
      <c r="M5045" t="s">
        <v>31326</v>
      </c>
      <c r="N5045" t="s">
        <v>632</v>
      </c>
      <c r="O5045" t="s">
        <v>111</v>
      </c>
      <c r="P5045" t="str">
        <f>"85374-5482"</f>
        <v>85374-5482</v>
      </c>
      <c r="Q5045" t="s">
        <v>113</v>
      </c>
      <c r="R5045" t="str">
        <f>"232-38-425"</f>
        <v>232-38-425</v>
      </c>
      <c r="S5045" t="s">
        <v>31327</v>
      </c>
      <c r="T5045" t="s">
        <v>31327</v>
      </c>
      <c r="U5045">
        <v>1627</v>
      </c>
      <c r="V5045">
        <v>0</v>
      </c>
      <c r="W5045">
        <v>3</v>
      </c>
      <c r="X5045">
        <v>1999</v>
      </c>
      <c r="Z5045">
        <v>1</v>
      </c>
      <c r="AB5045">
        <v>0</v>
      </c>
      <c r="AC5045" t="s">
        <v>115</v>
      </c>
      <c r="AD5045">
        <v>2</v>
      </c>
      <c r="AE5045" t="s">
        <v>115</v>
      </c>
      <c r="AF5045">
        <v>0</v>
      </c>
      <c r="AG5045">
        <v>0</v>
      </c>
      <c r="AH5045" t="s">
        <v>116</v>
      </c>
      <c r="AI5045" s="1">
        <v>55032</v>
      </c>
      <c r="AJ5045" s="2">
        <v>0.19</v>
      </c>
      <c r="AK5045" s="1">
        <v>297127</v>
      </c>
      <c r="AL5045" t="s">
        <v>117</v>
      </c>
      <c r="AM5045" t="s">
        <v>118</v>
      </c>
      <c r="AN5045">
        <v>11901</v>
      </c>
      <c r="AO5045">
        <v>0.27</v>
      </c>
      <c r="AP5045">
        <v>1</v>
      </c>
      <c r="AR5045">
        <v>1</v>
      </c>
      <c r="AS5045" s="1">
        <v>19900</v>
      </c>
      <c r="AT5045" s="1">
        <v>3980</v>
      </c>
      <c r="AU5045" s="1">
        <v>15920</v>
      </c>
      <c r="AV5045">
        <v>80</v>
      </c>
      <c r="AX5045" s="1">
        <v>2029.04</v>
      </c>
      <c r="AY5045" t="s">
        <v>5108</v>
      </c>
      <c r="AZ5045" t="s">
        <v>5108</v>
      </c>
      <c r="BA5045" t="s">
        <v>5109</v>
      </c>
      <c r="BE5045" s="3">
        <v>42223</v>
      </c>
      <c r="BF5045" s="1">
        <v>237000</v>
      </c>
      <c r="BG5045" t="s">
        <v>31328</v>
      </c>
      <c r="BH5045" s="1">
        <v>145.66999999999999</v>
      </c>
      <c r="BI5045" s="1">
        <v>242095</v>
      </c>
      <c r="BJ5045" s="3">
        <v>42223</v>
      </c>
      <c r="BK5045" t="s">
        <v>123</v>
      </c>
      <c r="BL5045" t="str">
        <f>"2015.574132"</f>
        <v>2015.574132</v>
      </c>
      <c r="BM5045" t="s">
        <v>1033</v>
      </c>
      <c r="BO5045" t="s">
        <v>31329</v>
      </c>
      <c r="BS5045">
        <v>30</v>
      </c>
      <c r="BW5045" t="str">
        <f>""</f>
        <v/>
      </c>
      <c r="CH5045" t="str">
        <f>""</f>
        <v/>
      </c>
      <c r="CS5045" t="str">
        <f>""</f>
        <v/>
      </c>
    </row>
    <row r="5046" spans="1:97" x14ac:dyDescent="0.25">
      <c r="A5046" t="s">
        <v>211</v>
      </c>
      <c r="B5046" t="s">
        <v>31330</v>
      </c>
      <c r="E5046" t="s">
        <v>31331</v>
      </c>
      <c r="F5046" t="s">
        <v>139</v>
      </c>
      <c r="H5046" t="s">
        <v>31332</v>
      </c>
      <c r="I5046" t="s">
        <v>225</v>
      </c>
      <c r="J5046" t="s">
        <v>111</v>
      </c>
      <c r="K5046" t="str">
        <f>"85212"</f>
        <v>85212</v>
      </c>
      <c r="L5046" t="s">
        <v>4035</v>
      </c>
      <c r="M5046" t="s">
        <v>31333</v>
      </c>
      <c r="N5046" t="s">
        <v>225</v>
      </c>
      <c r="O5046" t="s">
        <v>111</v>
      </c>
      <c r="P5046" t="str">
        <f>"85208"</f>
        <v>85208</v>
      </c>
      <c r="Q5046" t="s">
        <v>113</v>
      </c>
      <c r="R5046" t="str">
        <f>"304-02-268"</f>
        <v>304-02-268</v>
      </c>
      <c r="S5046" t="s">
        <v>7300</v>
      </c>
      <c r="T5046" t="s">
        <v>7301</v>
      </c>
      <c r="U5046">
        <v>1527</v>
      </c>
      <c r="V5046">
        <v>0</v>
      </c>
      <c r="W5046">
        <v>3</v>
      </c>
      <c r="X5046">
        <v>1999</v>
      </c>
      <c r="Z5046">
        <v>1</v>
      </c>
      <c r="AB5046">
        <v>0</v>
      </c>
      <c r="AC5046" t="s">
        <v>115</v>
      </c>
      <c r="AD5046">
        <v>2</v>
      </c>
      <c r="AE5046" t="s">
        <v>115</v>
      </c>
      <c r="AF5046">
        <v>0</v>
      </c>
      <c r="AG5046">
        <v>0</v>
      </c>
      <c r="AH5046" t="s">
        <v>116</v>
      </c>
      <c r="AI5046" s="1">
        <v>43573</v>
      </c>
      <c r="AJ5046" s="2">
        <v>0.16</v>
      </c>
      <c r="AK5046" s="1">
        <v>270833</v>
      </c>
      <c r="AL5046" t="s">
        <v>117</v>
      </c>
      <c r="AM5046" t="s">
        <v>191</v>
      </c>
      <c r="AN5046">
        <v>5729</v>
      </c>
      <c r="AO5046">
        <v>0.13</v>
      </c>
      <c r="AP5046">
        <v>1</v>
      </c>
      <c r="AR5046">
        <v>1</v>
      </c>
      <c r="AS5046" s="1">
        <v>18170</v>
      </c>
      <c r="AT5046" s="1">
        <v>3630</v>
      </c>
      <c r="AU5046" s="1">
        <v>14540</v>
      </c>
      <c r="AV5046">
        <v>80.02</v>
      </c>
      <c r="AX5046" s="1">
        <v>1185.3800000000001</v>
      </c>
      <c r="AY5046" t="s">
        <v>7302</v>
      </c>
      <c r="AZ5046" t="s">
        <v>777</v>
      </c>
      <c r="BA5046" t="s">
        <v>572</v>
      </c>
      <c r="BE5046" s="3">
        <v>41908</v>
      </c>
      <c r="BF5046" s="1">
        <v>192750</v>
      </c>
      <c r="BG5046" t="s">
        <v>31334</v>
      </c>
      <c r="BH5046" s="1">
        <v>126.23</v>
      </c>
      <c r="BI5046" s="1">
        <v>227260</v>
      </c>
      <c r="BJ5046" s="3">
        <v>42747</v>
      </c>
      <c r="BK5046" t="s">
        <v>123</v>
      </c>
      <c r="BL5046" t="str">
        <f>"2017.27456"</f>
        <v>2017.27456</v>
      </c>
      <c r="BM5046" t="s">
        <v>1135</v>
      </c>
      <c r="BO5046" t="s">
        <v>31335</v>
      </c>
      <c r="BS5046">
        <v>30</v>
      </c>
      <c r="BW5046" t="str">
        <f>""</f>
        <v/>
      </c>
      <c r="CH5046" t="str">
        <f>""</f>
        <v/>
      </c>
      <c r="CS5046" t="str">
        <f>""</f>
        <v/>
      </c>
    </row>
    <row r="5047" spans="1:97" x14ac:dyDescent="0.25">
      <c r="A5047" t="s">
        <v>494</v>
      </c>
      <c r="B5047" t="s">
        <v>31336</v>
      </c>
      <c r="E5047" t="s">
        <v>31337</v>
      </c>
      <c r="F5047" t="s">
        <v>282</v>
      </c>
      <c r="H5047" t="s">
        <v>31338</v>
      </c>
      <c r="I5047" t="s">
        <v>1936</v>
      </c>
      <c r="J5047" t="s">
        <v>111</v>
      </c>
      <c r="K5047" t="str">
        <f>"85250"</f>
        <v>85250</v>
      </c>
      <c r="L5047" t="s">
        <v>926</v>
      </c>
      <c r="M5047" t="s">
        <v>31339</v>
      </c>
      <c r="N5047" t="s">
        <v>1936</v>
      </c>
      <c r="O5047" t="s">
        <v>111</v>
      </c>
      <c r="P5047" t="str">
        <f>"85250-5615"</f>
        <v>85250-5615</v>
      </c>
      <c r="Q5047" t="s">
        <v>113</v>
      </c>
      <c r="R5047" t="str">
        <f>"173-02-265"</f>
        <v>173-02-265</v>
      </c>
      <c r="S5047" t="s">
        <v>31340</v>
      </c>
      <c r="U5047">
        <v>1488</v>
      </c>
      <c r="V5047">
        <v>0</v>
      </c>
      <c r="W5047">
        <v>2</v>
      </c>
      <c r="X5047">
        <v>1972</v>
      </c>
      <c r="Z5047">
        <v>1</v>
      </c>
      <c r="AA5047" t="s">
        <v>26</v>
      </c>
      <c r="AB5047">
        <v>0</v>
      </c>
      <c r="AC5047" t="s">
        <v>115</v>
      </c>
      <c r="AD5047">
        <v>2</v>
      </c>
      <c r="AE5047" t="s">
        <v>115</v>
      </c>
      <c r="AF5047">
        <v>0</v>
      </c>
      <c r="AG5047">
        <v>0</v>
      </c>
      <c r="AH5047" t="s">
        <v>116</v>
      </c>
      <c r="AI5047" s="1">
        <v>78881</v>
      </c>
      <c r="AJ5047" s="2">
        <v>0.23</v>
      </c>
      <c r="AK5047" s="1">
        <v>346180</v>
      </c>
      <c r="AL5047" t="s">
        <v>117</v>
      </c>
      <c r="AM5047" t="s">
        <v>393</v>
      </c>
      <c r="AN5047">
        <v>7787</v>
      </c>
      <c r="AO5047">
        <v>0.18</v>
      </c>
      <c r="AP5047">
        <v>1</v>
      </c>
      <c r="AR5047">
        <v>1</v>
      </c>
      <c r="AS5047" s="1">
        <v>28560</v>
      </c>
      <c r="AT5047" s="1">
        <v>5710</v>
      </c>
      <c r="AU5047" s="1">
        <v>22850</v>
      </c>
      <c r="AV5047">
        <v>80.010000000000005</v>
      </c>
      <c r="AX5047" s="1">
        <v>1804.98</v>
      </c>
      <c r="AY5047" t="s">
        <v>6974</v>
      </c>
      <c r="AZ5047" t="s">
        <v>6975</v>
      </c>
      <c r="BA5047" t="s">
        <v>6976</v>
      </c>
      <c r="BB5047" s="3">
        <v>42429</v>
      </c>
      <c r="BD5047" t="s">
        <v>458</v>
      </c>
      <c r="BE5047" s="3">
        <v>41990</v>
      </c>
      <c r="BF5047" s="1">
        <v>263900</v>
      </c>
      <c r="BG5047" t="s">
        <v>31341</v>
      </c>
      <c r="BH5047" s="1">
        <v>177.35</v>
      </c>
      <c r="BI5047" s="1">
        <v>267299</v>
      </c>
      <c r="BJ5047" s="3">
        <v>42429</v>
      </c>
      <c r="BK5047" t="s">
        <v>123</v>
      </c>
      <c r="BL5047" t="str">
        <f>"2016.128801"</f>
        <v>2016.128801</v>
      </c>
      <c r="BM5047" t="s">
        <v>255</v>
      </c>
      <c r="BO5047" t="s">
        <v>31342</v>
      </c>
      <c r="BS5047">
        <v>30</v>
      </c>
      <c r="BW5047" t="str">
        <f>""</f>
        <v/>
      </c>
      <c r="CH5047" t="str">
        <f>""</f>
        <v/>
      </c>
      <c r="CS5047" t="str">
        <f>""</f>
        <v/>
      </c>
    </row>
    <row r="5048" spans="1:97" x14ac:dyDescent="0.25">
      <c r="A5048" t="s">
        <v>2206</v>
      </c>
      <c r="B5048" t="s">
        <v>9904</v>
      </c>
      <c r="C5048" t="s">
        <v>220</v>
      </c>
      <c r="D5048" t="s">
        <v>31343</v>
      </c>
      <c r="E5048" t="s">
        <v>31344</v>
      </c>
      <c r="F5048" t="s">
        <v>108</v>
      </c>
      <c r="H5048" t="s">
        <v>31345</v>
      </c>
      <c r="I5048" t="s">
        <v>390</v>
      </c>
      <c r="J5048" t="s">
        <v>111</v>
      </c>
      <c r="K5048" t="str">
        <f>"85041"</f>
        <v>85041</v>
      </c>
      <c r="L5048" t="s">
        <v>6891</v>
      </c>
      <c r="M5048" t="s">
        <v>31345</v>
      </c>
      <c r="N5048" t="s">
        <v>390</v>
      </c>
      <c r="O5048" t="s">
        <v>111</v>
      </c>
      <c r="P5048" t="str">
        <f>"85041-6204"</f>
        <v>85041-6204</v>
      </c>
      <c r="Q5048" t="s">
        <v>113</v>
      </c>
      <c r="R5048" t="str">
        <f>"105-88-851"</f>
        <v>105-88-851</v>
      </c>
      <c r="S5048" t="s">
        <v>16123</v>
      </c>
      <c r="T5048" t="s">
        <v>15660</v>
      </c>
      <c r="U5048">
        <v>2357</v>
      </c>
      <c r="V5048">
        <v>0</v>
      </c>
      <c r="W5048">
        <v>4</v>
      </c>
      <c r="X5048">
        <v>2016</v>
      </c>
      <c r="Z5048">
        <v>1</v>
      </c>
      <c r="AB5048">
        <v>0</v>
      </c>
      <c r="AC5048" t="s">
        <v>115</v>
      </c>
      <c r="AD5048">
        <v>2</v>
      </c>
      <c r="AE5048" t="s">
        <v>115</v>
      </c>
      <c r="AF5048">
        <v>0</v>
      </c>
      <c r="AG5048">
        <v>0</v>
      </c>
      <c r="AH5048" t="s">
        <v>116</v>
      </c>
      <c r="AI5048" s="1">
        <v>39770</v>
      </c>
      <c r="AJ5048" s="2">
        <v>0.13</v>
      </c>
      <c r="AK5048" s="1">
        <v>313283</v>
      </c>
      <c r="AL5048" t="s">
        <v>117</v>
      </c>
      <c r="AM5048" t="s">
        <v>760</v>
      </c>
      <c r="AN5048">
        <v>6980</v>
      </c>
      <c r="AO5048">
        <v>0.16</v>
      </c>
      <c r="AR5048">
        <v>1</v>
      </c>
      <c r="AS5048" s="1">
        <v>22680</v>
      </c>
      <c r="AT5048" s="1">
        <v>4530</v>
      </c>
      <c r="AU5048" s="1">
        <v>18150</v>
      </c>
      <c r="AV5048">
        <v>80.03</v>
      </c>
      <c r="AX5048" s="1">
        <v>3015.56</v>
      </c>
      <c r="AY5048" t="s">
        <v>5220</v>
      </c>
      <c r="AZ5048" t="s">
        <v>5220</v>
      </c>
      <c r="BA5048" t="s">
        <v>1661</v>
      </c>
      <c r="BE5048" s="3">
        <v>42489</v>
      </c>
      <c r="BF5048" s="1">
        <v>273513</v>
      </c>
      <c r="BG5048" t="s">
        <v>158</v>
      </c>
      <c r="BH5048" s="1">
        <v>116.04</v>
      </c>
      <c r="BI5048" s="1">
        <v>273513</v>
      </c>
      <c r="BJ5048" s="3">
        <v>42489</v>
      </c>
      <c r="BK5048" t="s">
        <v>123</v>
      </c>
      <c r="BL5048" t="str">
        <f>"2016.292571"</f>
        <v>2016.292571</v>
      </c>
      <c r="BM5048" t="s">
        <v>241</v>
      </c>
      <c r="BO5048" t="s">
        <v>31346</v>
      </c>
      <c r="BP5048" t="s">
        <v>31347</v>
      </c>
      <c r="BS5048">
        <v>30</v>
      </c>
      <c r="BW5048" t="str">
        <f>""</f>
        <v/>
      </c>
      <c r="CH5048" t="str">
        <f>""</f>
        <v/>
      </c>
      <c r="CS5048" t="str">
        <f>""</f>
        <v/>
      </c>
    </row>
    <row r="5049" spans="1:97" x14ac:dyDescent="0.25">
      <c r="A5049" t="s">
        <v>4888</v>
      </c>
      <c r="B5049" t="s">
        <v>31348</v>
      </c>
      <c r="C5049" t="s">
        <v>27157</v>
      </c>
      <c r="D5049" t="s">
        <v>31348</v>
      </c>
      <c r="E5049" t="s">
        <v>31349</v>
      </c>
      <c r="F5049" t="s">
        <v>108</v>
      </c>
      <c r="H5049" t="s">
        <v>31350</v>
      </c>
      <c r="I5049" t="s">
        <v>499</v>
      </c>
      <c r="J5049" t="s">
        <v>111</v>
      </c>
      <c r="K5049" t="str">
        <f>"85395"</f>
        <v>85395</v>
      </c>
      <c r="L5049" t="s">
        <v>6145</v>
      </c>
      <c r="M5049" t="s">
        <v>31350</v>
      </c>
      <c r="N5049" t="s">
        <v>499</v>
      </c>
      <c r="O5049" t="s">
        <v>111</v>
      </c>
      <c r="P5049" t="str">
        <f>"85395-2211"</f>
        <v>85395-2211</v>
      </c>
      <c r="Q5049" t="s">
        <v>113</v>
      </c>
      <c r="R5049" t="str">
        <f>"501-89-357"</f>
        <v>501-89-357</v>
      </c>
      <c r="S5049" t="s">
        <v>31351</v>
      </c>
      <c r="T5049" t="s">
        <v>31352</v>
      </c>
      <c r="U5049">
        <v>2274</v>
      </c>
      <c r="V5049">
        <v>0</v>
      </c>
      <c r="W5049">
        <v>3</v>
      </c>
      <c r="X5049">
        <v>1998</v>
      </c>
      <c r="Z5049">
        <v>1</v>
      </c>
      <c r="AA5049" t="s">
        <v>26</v>
      </c>
      <c r="AB5049">
        <v>0</v>
      </c>
      <c r="AC5049" t="s">
        <v>115</v>
      </c>
      <c r="AD5049">
        <v>2</v>
      </c>
      <c r="AE5049" t="s">
        <v>115</v>
      </c>
      <c r="AF5049">
        <v>0</v>
      </c>
      <c r="AG5049">
        <v>0</v>
      </c>
      <c r="AH5049" t="s">
        <v>116</v>
      </c>
      <c r="AI5049" s="1">
        <v>85395</v>
      </c>
      <c r="AJ5049" s="2">
        <v>0.25</v>
      </c>
      <c r="AK5049" s="1">
        <v>335395</v>
      </c>
      <c r="AL5049" t="s">
        <v>117</v>
      </c>
      <c r="AM5049" t="s">
        <v>118</v>
      </c>
      <c r="AN5049">
        <v>11758</v>
      </c>
      <c r="AO5049">
        <v>0.27</v>
      </c>
      <c r="AP5049">
        <v>1</v>
      </c>
      <c r="AR5049">
        <v>1</v>
      </c>
      <c r="AS5049" s="1">
        <v>24800</v>
      </c>
      <c r="AT5049" s="1">
        <v>4960</v>
      </c>
      <c r="AU5049" s="1">
        <v>19840</v>
      </c>
      <c r="AV5049">
        <v>80</v>
      </c>
      <c r="AX5049" s="1">
        <v>2494.96</v>
      </c>
      <c r="AY5049" t="s">
        <v>6796</v>
      </c>
      <c r="AZ5049" t="s">
        <v>6796</v>
      </c>
      <c r="BA5049" t="s">
        <v>3154</v>
      </c>
      <c r="BE5049" s="3">
        <v>42151</v>
      </c>
      <c r="BF5049" s="1">
        <v>250000</v>
      </c>
      <c r="BG5049" t="s">
        <v>31353</v>
      </c>
      <c r="BH5049" s="1">
        <v>109.94</v>
      </c>
      <c r="BI5049" s="1">
        <v>250000</v>
      </c>
      <c r="BJ5049" s="3">
        <v>42151</v>
      </c>
      <c r="BK5049" t="s">
        <v>123</v>
      </c>
      <c r="BL5049" t="str">
        <f>"2015.374643"</f>
        <v>2015.374643</v>
      </c>
      <c r="BM5049" t="s">
        <v>1185</v>
      </c>
      <c r="BO5049" t="s">
        <v>31354</v>
      </c>
      <c r="BS5049">
        <v>30</v>
      </c>
      <c r="BW5049" t="str">
        <f>""</f>
        <v/>
      </c>
      <c r="CH5049" t="str">
        <f>""</f>
        <v/>
      </c>
      <c r="CS5049" t="str">
        <f>""</f>
        <v/>
      </c>
    </row>
    <row r="5050" spans="1:97" x14ac:dyDescent="0.25">
      <c r="A5050" t="s">
        <v>464</v>
      </c>
      <c r="B5050" t="s">
        <v>31355</v>
      </c>
      <c r="C5050" t="s">
        <v>3405</v>
      </c>
      <c r="D5050" t="s">
        <v>31355</v>
      </c>
      <c r="E5050" t="s">
        <v>31356</v>
      </c>
      <c r="F5050" t="s">
        <v>282</v>
      </c>
      <c r="H5050" t="s">
        <v>31357</v>
      </c>
      <c r="I5050" t="s">
        <v>225</v>
      </c>
      <c r="J5050" t="s">
        <v>111</v>
      </c>
      <c r="K5050" t="str">
        <f>"85210"</f>
        <v>85210</v>
      </c>
      <c r="L5050" t="s">
        <v>6325</v>
      </c>
      <c r="M5050" t="s">
        <v>31358</v>
      </c>
      <c r="N5050" t="s">
        <v>225</v>
      </c>
      <c r="O5050" t="s">
        <v>111</v>
      </c>
      <c r="P5050" t="str">
        <f>"85204-5132"</f>
        <v>85204-5132</v>
      </c>
      <c r="Q5050" t="s">
        <v>113</v>
      </c>
      <c r="R5050" t="str">
        <f>"302-04-644"</f>
        <v>302-04-644</v>
      </c>
      <c r="S5050" t="s">
        <v>17389</v>
      </c>
      <c r="T5050" t="s">
        <v>7140</v>
      </c>
      <c r="U5050">
        <v>1896</v>
      </c>
      <c r="V5050">
        <v>0</v>
      </c>
      <c r="W5050">
        <v>2</v>
      </c>
      <c r="X5050">
        <v>1979</v>
      </c>
      <c r="Z5050">
        <v>1</v>
      </c>
      <c r="AB5050">
        <v>0</v>
      </c>
      <c r="AC5050" t="s">
        <v>115</v>
      </c>
      <c r="AD5050">
        <v>2</v>
      </c>
      <c r="AE5050" t="s">
        <v>115</v>
      </c>
      <c r="AF5050">
        <v>0</v>
      </c>
      <c r="AG5050">
        <v>0</v>
      </c>
      <c r="AH5050" t="s">
        <v>116</v>
      </c>
      <c r="AI5050" s="1">
        <v>57296</v>
      </c>
      <c r="AJ5050" s="2">
        <v>0.2</v>
      </c>
      <c r="AK5050" s="1">
        <v>292820</v>
      </c>
      <c r="AL5050" t="s">
        <v>117</v>
      </c>
      <c r="AM5050" t="s">
        <v>191</v>
      </c>
      <c r="AN5050">
        <v>8006</v>
      </c>
      <c r="AO5050">
        <v>0.18</v>
      </c>
      <c r="AP5050">
        <v>1</v>
      </c>
      <c r="AR5050">
        <v>1</v>
      </c>
      <c r="AS5050" s="1">
        <v>20870</v>
      </c>
      <c r="AT5050" s="1">
        <v>4170</v>
      </c>
      <c r="AU5050" s="1">
        <v>16700</v>
      </c>
      <c r="AV5050">
        <v>80.02</v>
      </c>
      <c r="AX5050" s="1">
        <v>1505.84</v>
      </c>
      <c r="AY5050" t="s">
        <v>8076</v>
      </c>
      <c r="AZ5050" t="s">
        <v>7295</v>
      </c>
      <c r="BA5050" t="s">
        <v>5311</v>
      </c>
      <c r="BE5050" s="3">
        <v>42410</v>
      </c>
      <c r="BF5050" s="1">
        <v>228000</v>
      </c>
      <c r="BG5050" t="s">
        <v>31359</v>
      </c>
      <c r="BH5050" s="1">
        <v>120.25</v>
      </c>
      <c r="BI5050" s="1">
        <v>235524</v>
      </c>
      <c r="BJ5050" s="3">
        <v>42410</v>
      </c>
      <c r="BK5050" t="s">
        <v>123</v>
      </c>
      <c r="BL5050" t="str">
        <f>"2016.86108"</f>
        <v>2016.86108</v>
      </c>
      <c r="BM5050" t="s">
        <v>2472</v>
      </c>
      <c r="BO5050" t="s">
        <v>31360</v>
      </c>
      <c r="BS5050">
        <v>30</v>
      </c>
      <c r="BW5050" t="str">
        <f>""</f>
        <v/>
      </c>
      <c r="CH5050" t="str">
        <f>""</f>
        <v/>
      </c>
      <c r="CS5050" t="str">
        <f>""</f>
        <v/>
      </c>
    </row>
    <row r="5051" spans="1:97" x14ac:dyDescent="0.25">
      <c r="A5051" t="s">
        <v>3212</v>
      </c>
      <c r="B5051" t="s">
        <v>31361</v>
      </c>
      <c r="C5051" t="s">
        <v>852</v>
      </c>
      <c r="D5051" t="s">
        <v>31361</v>
      </c>
      <c r="E5051" t="s">
        <v>31362</v>
      </c>
      <c r="F5051" t="s">
        <v>108</v>
      </c>
      <c r="H5051" t="s">
        <v>31363</v>
      </c>
      <c r="I5051" t="s">
        <v>632</v>
      </c>
      <c r="J5051" t="s">
        <v>111</v>
      </c>
      <c r="K5051" t="str">
        <f>"85388"</f>
        <v>85388</v>
      </c>
      <c r="L5051" t="s">
        <v>417</v>
      </c>
      <c r="M5051" t="s">
        <v>31363</v>
      </c>
      <c r="N5051" t="s">
        <v>632</v>
      </c>
      <c r="O5051" t="s">
        <v>111</v>
      </c>
      <c r="P5051" t="str">
        <f>"85388-1391"</f>
        <v>85388-1391</v>
      </c>
      <c r="Q5051" t="s">
        <v>113</v>
      </c>
      <c r="R5051" t="str">
        <f>"501-12-848"</f>
        <v>501-12-848</v>
      </c>
      <c r="S5051" t="s">
        <v>13998</v>
      </c>
      <c r="T5051" t="s">
        <v>12219</v>
      </c>
      <c r="U5051">
        <v>2567</v>
      </c>
      <c r="V5051">
        <v>0</v>
      </c>
      <c r="W5051">
        <v>4</v>
      </c>
      <c r="X5051">
        <v>2004</v>
      </c>
      <c r="Z5051">
        <v>2</v>
      </c>
      <c r="AA5051" t="s">
        <v>26</v>
      </c>
      <c r="AB5051">
        <v>0</v>
      </c>
      <c r="AC5051" t="s">
        <v>115</v>
      </c>
      <c r="AD5051">
        <v>3</v>
      </c>
      <c r="AE5051" t="s">
        <v>115</v>
      </c>
      <c r="AF5051">
        <v>0</v>
      </c>
      <c r="AG5051">
        <v>0</v>
      </c>
      <c r="AH5051" t="s">
        <v>116</v>
      </c>
      <c r="AI5051" s="1">
        <v>43684</v>
      </c>
      <c r="AJ5051" s="2">
        <v>0.14000000000000001</v>
      </c>
      <c r="AK5051" s="1">
        <v>320528</v>
      </c>
      <c r="AL5051" t="s">
        <v>117</v>
      </c>
      <c r="AM5051" t="s">
        <v>118</v>
      </c>
      <c r="AN5051">
        <v>6903</v>
      </c>
      <c r="AO5051">
        <v>0.16</v>
      </c>
      <c r="AR5051">
        <v>1</v>
      </c>
      <c r="AS5051" s="1">
        <v>21380</v>
      </c>
      <c r="AT5051" s="1">
        <v>4270</v>
      </c>
      <c r="AU5051" s="1">
        <v>17110</v>
      </c>
      <c r="AV5051">
        <v>80.03</v>
      </c>
      <c r="AX5051" s="1">
        <v>1665.76</v>
      </c>
      <c r="AY5051" t="s">
        <v>5517</v>
      </c>
      <c r="AZ5051" t="s">
        <v>5517</v>
      </c>
      <c r="BA5051" t="s">
        <v>5109</v>
      </c>
      <c r="BE5051" s="3">
        <v>42187</v>
      </c>
      <c r="BF5051" s="1">
        <v>268000</v>
      </c>
      <c r="BG5051" t="s">
        <v>31364</v>
      </c>
      <c r="BH5051" s="1">
        <v>104.4</v>
      </c>
      <c r="BI5051" s="1">
        <v>276844</v>
      </c>
      <c r="BJ5051" s="3">
        <v>42187</v>
      </c>
      <c r="BK5051" t="s">
        <v>123</v>
      </c>
      <c r="BL5051" t="str">
        <f>"2015.480913"</f>
        <v>2015.480913</v>
      </c>
      <c r="BM5051" t="s">
        <v>544</v>
      </c>
      <c r="BO5051" t="s">
        <v>31365</v>
      </c>
      <c r="BS5051">
        <v>30</v>
      </c>
      <c r="BW5051" t="str">
        <f>""</f>
        <v/>
      </c>
      <c r="CH5051" t="str">
        <f>""</f>
        <v/>
      </c>
      <c r="CS5051" t="str">
        <f>""</f>
        <v/>
      </c>
    </row>
    <row r="5052" spans="1:97" x14ac:dyDescent="0.25">
      <c r="A5052" t="s">
        <v>31366</v>
      </c>
      <c r="B5052" t="s">
        <v>31367</v>
      </c>
      <c r="C5052" t="s">
        <v>2530</v>
      </c>
      <c r="D5052" t="s">
        <v>31367</v>
      </c>
      <c r="E5052" t="s">
        <v>31368</v>
      </c>
      <c r="F5052" t="s">
        <v>108</v>
      </c>
      <c r="H5052" t="s">
        <v>31369</v>
      </c>
      <c r="I5052" t="s">
        <v>5114</v>
      </c>
      <c r="J5052" t="s">
        <v>111</v>
      </c>
      <c r="K5052" t="str">
        <f>"85392"</f>
        <v>85392</v>
      </c>
      <c r="L5052" t="s">
        <v>9597</v>
      </c>
      <c r="M5052" t="s">
        <v>31369</v>
      </c>
      <c r="N5052" t="s">
        <v>5114</v>
      </c>
      <c r="O5052" t="s">
        <v>111</v>
      </c>
      <c r="P5052" t="str">
        <f>"85392-4282"</f>
        <v>85392-4282</v>
      </c>
      <c r="Q5052" t="s">
        <v>113</v>
      </c>
      <c r="R5052" t="str">
        <f>"501-63-534"</f>
        <v>501-63-534</v>
      </c>
      <c r="S5052" t="s">
        <v>31370</v>
      </c>
      <c r="T5052" t="s">
        <v>31370</v>
      </c>
      <c r="U5052">
        <v>2226</v>
      </c>
      <c r="V5052">
        <v>0</v>
      </c>
      <c r="W5052">
        <v>3</v>
      </c>
      <c r="X5052">
        <v>2005</v>
      </c>
      <c r="Z5052">
        <v>2</v>
      </c>
      <c r="AB5052">
        <v>0</v>
      </c>
      <c r="AC5052" t="s">
        <v>115</v>
      </c>
      <c r="AD5052">
        <v>2</v>
      </c>
      <c r="AE5052" t="s">
        <v>115</v>
      </c>
      <c r="AF5052">
        <v>0</v>
      </c>
      <c r="AG5052">
        <v>0</v>
      </c>
      <c r="AH5052" t="s">
        <v>116</v>
      </c>
      <c r="AI5052" s="1">
        <v>49498</v>
      </c>
      <c r="AJ5052" s="2">
        <v>0.2</v>
      </c>
      <c r="AK5052" s="1">
        <v>250933</v>
      </c>
      <c r="AL5052" t="s">
        <v>117</v>
      </c>
      <c r="AM5052" t="s">
        <v>118</v>
      </c>
      <c r="AN5052">
        <v>6559</v>
      </c>
      <c r="AO5052">
        <v>0.15</v>
      </c>
      <c r="AR5052">
        <v>1</v>
      </c>
      <c r="AS5052" s="1">
        <v>17110</v>
      </c>
      <c r="AT5052" s="1">
        <v>3420</v>
      </c>
      <c r="AU5052" s="1">
        <v>13690</v>
      </c>
      <c r="AV5052">
        <v>80.010000000000005</v>
      </c>
      <c r="AX5052" s="1">
        <v>1270.98</v>
      </c>
      <c r="AY5052" t="s">
        <v>5241</v>
      </c>
      <c r="AZ5052" t="s">
        <v>6701</v>
      </c>
      <c r="BA5052" t="s">
        <v>6702</v>
      </c>
      <c r="BE5052" s="3">
        <v>42285</v>
      </c>
      <c r="BF5052" s="1">
        <v>195000</v>
      </c>
      <c r="BG5052" t="s">
        <v>31371</v>
      </c>
      <c r="BH5052" s="1">
        <v>87.6</v>
      </c>
      <c r="BI5052" s="1">
        <v>201435</v>
      </c>
      <c r="BJ5052" s="3">
        <v>42285</v>
      </c>
      <c r="BK5052" t="s">
        <v>123</v>
      </c>
      <c r="BL5052" t="str">
        <f>"2015.725733"</f>
        <v>2015.725733</v>
      </c>
      <c r="BM5052" t="s">
        <v>135</v>
      </c>
      <c r="BO5052" t="s">
        <v>31372</v>
      </c>
      <c r="BS5052">
        <v>30</v>
      </c>
      <c r="BW5052" t="str">
        <f>""</f>
        <v/>
      </c>
      <c r="CH5052" t="str">
        <f>""</f>
        <v/>
      </c>
      <c r="CS5052" t="str">
        <f>""</f>
        <v/>
      </c>
    </row>
    <row r="5053" spans="1:97" x14ac:dyDescent="0.25">
      <c r="A5053" t="s">
        <v>996</v>
      </c>
      <c r="B5053" t="s">
        <v>31373</v>
      </c>
      <c r="C5053" t="s">
        <v>12397</v>
      </c>
      <c r="D5053" t="s">
        <v>31373</v>
      </c>
      <c r="E5053" t="s">
        <v>31374</v>
      </c>
      <c r="F5053" t="s">
        <v>108</v>
      </c>
      <c r="H5053" t="s">
        <v>31375</v>
      </c>
      <c r="I5053" t="s">
        <v>144</v>
      </c>
      <c r="J5053" t="s">
        <v>111</v>
      </c>
      <c r="K5053" t="str">
        <f>"85396"</f>
        <v>85396</v>
      </c>
      <c r="L5053" t="s">
        <v>9496</v>
      </c>
      <c r="M5053" t="s">
        <v>31375</v>
      </c>
      <c r="N5053" t="s">
        <v>144</v>
      </c>
      <c r="O5053" t="s">
        <v>111</v>
      </c>
      <c r="P5053" t="str">
        <f>"85396-9214"</f>
        <v>85396-9214</v>
      </c>
      <c r="R5053" t="str">
        <f>"503-96-060"</f>
        <v>503-96-060</v>
      </c>
      <c r="S5053" t="s">
        <v>25548</v>
      </c>
      <c r="U5053">
        <v>1819</v>
      </c>
      <c r="V5053">
        <v>0</v>
      </c>
      <c r="W5053">
        <v>3</v>
      </c>
      <c r="X5053">
        <v>2007</v>
      </c>
      <c r="Z5053">
        <v>1</v>
      </c>
      <c r="AB5053">
        <v>0</v>
      </c>
      <c r="AC5053" t="s">
        <v>115</v>
      </c>
      <c r="AD5053">
        <v>2</v>
      </c>
      <c r="AE5053" t="s">
        <v>115</v>
      </c>
      <c r="AF5053">
        <v>0</v>
      </c>
      <c r="AG5053">
        <v>0</v>
      </c>
      <c r="AH5053" t="s">
        <v>116</v>
      </c>
      <c r="AI5053" s="1">
        <v>33083</v>
      </c>
      <c r="AJ5053" s="2">
        <v>0.11</v>
      </c>
      <c r="AK5053" s="1">
        <v>297983</v>
      </c>
      <c r="AL5053" t="s">
        <v>117</v>
      </c>
      <c r="AM5053" t="s">
        <v>118</v>
      </c>
      <c r="AN5053">
        <v>6600</v>
      </c>
      <c r="AO5053">
        <v>0.15</v>
      </c>
      <c r="AR5053">
        <v>1</v>
      </c>
      <c r="AS5053" s="1">
        <v>19760</v>
      </c>
      <c r="AT5053" s="1">
        <v>3950</v>
      </c>
      <c r="AU5053" s="1">
        <v>15810</v>
      </c>
      <c r="AV5053">
        <v>80.010000000000005</v>
      </c>
      <c r="AX5053" s="1">
        <v>2428.2800000000002</v>
      </c>
      <c r="AY5053" t="s">
        <v>444</v>
      </c>
      <c r="AZ5053" t="s">
        <v>444</v>
      </c>
      <c r="BA5053" t="s">
        <v>445</v>
      </c>
      <c r="BE5053" s="3">
        <v>42551</v>
      </c>
      <c r="BF5053" s="1">
        <v>264900</v>
      </c>
      <c r="BG5053" t="s">
        <v>31376</v>
      </c>
      <c r="BH5053" s="1">
        <v>145.63</v>
      </c>
      <c r="BI5053" s="1">
        <v>264900</v>
      </c>
      <c r="BJ5053" s="3">
        <v>42551</v>
      </c>
      <c r="BK5053" t="s">
        <v>123</v>
      </c>
      <c r="BL5053" t="str">
        <f>"2016.463546"</f>
        <v>2016.463546</v>
      </c>
      <c r="BM5053" t="s">
        <v>594</v>
      </c>
      <c r="BN5053" t="s">
        <v>595</v>
      </c>
      <c r="BO5053" t="s">
        <v>31377</v>
      </c>
      <c r="BS5053">
        <v>30</v>
      </c>
      <c r="BW5053" t="str">
        <f>""</f>
        <v/>
      </c>
      <c r="CH5053" t="str">
        <f>""</f>
        <v/>
      </c>
      <c r="CS5053" t="str">
        <f>""</f>
        <v/>
      </c>
    </row>
    <row r="5054" spans="1:97" x14ac:dyDescent="0.25">
      <c r="A5054" t="s">
        <v>2668</v>
      </c>
      <c r="B5054" t="s">
        <v>31378</v>
      </c>
      <c r="C5054" t="s">
        <v>484</v>
      </c>
      <c r="D5054" t="s">
        <v>31378</v>
      </c>
      <c r="E5054" t="s">
        <v>31379</v>
      </c>
      <c r="F5054" t="s">
        <v>108</v>
      </c>
      <c r="H5054" t="s">
        <v>31380</v>
      </c>
      <c r="I5054" t="s">
        <v>144</v>
      </c>
      <c r="J5054" t="s">
        <v>111</v>
      </c>
      <c r="K5054" t="str">
        <f>"85396"</f>
        <v>85396</v>
      </c>
      <c r="L5054" t="s">
        <v>299</v>
      </c>
      <c r="M5054" t="s">
        <v>31380</v>
      </c>
      <c r="N5054" t="s">
        <v>144</v>
      </c>
      <c r="O5054" t="s">
        <v>111</v>
      </c>
      <c r="P5054" t="str">
        <f>"85396-7348"</f>
        <v>85396-7348</v>
      </c>
      <c r="Q5054" t="s">
        <v>113</v>
      </c>
      <c r="R5054" t="str">
        <f>"504-74-848"</f>
        <v>504-74-848</v>
      </c>
      <c r="S5054" t="s">
        <v>23353</v>
      </c>
      <c r="U5054">
        <v>2455</v>
      </c>
      <c r="V5054">
        <v>0</v>
      </c>
      <c r="W5054">
        <v>4</v>
      </c>
      <c r="X5054">
        <v>2008</v>
      </c>
      <c r="Z5054">
        <v>1</v>
      </c>
      <c r="AB5054">
        <v>0</v>
      </c>
      <c r="AC5054" t="s">
        <v>115</v>
      </c>
      <c r="AD5054">
        <v>3</v>
      </c>
      <c r="AE5054" t="s">
        <v>115</v>
      </c>
      <c r="AF5054">
        <v>0</v>
      </c>
      <c r="AG5054">
        <v>0</v>
      </c>
      <c r="AH5054" t="s">
        <v>116</v>
      </c>
      <c r="AI5054" s="1">
        <v>55951</v>
      </c>
      <c r="AJ5054" s="2">
        <v>0.21</v>
      </c>
      <c r="AK5054" s="1">
        <v>272881</v>
      </c>
      <c r="AL5054" t="s">
        <v>117</v>
      </c>
      <c r="AM5054" t="s">
        <v>118</v>
      </c>
      <c r="AN5054">
        <v>9285</v>
      </c>
      <c r="AO5054">
        <v>0.21</v>
      </c>
      <c r="AR5054">
        <v>1</v>
      </c>
      <c r="AS5054" s="1">
        <v>18470</v>
      </c>
      <c r="AT5054" s="1">
        <v>3690</v>
      </c>
      <c r="AU5054" s="1">
        <v>14780</v>
      </c>
      <c r="AV5054">
        <v>80.02</v>
      </c>
      <c r="AX5054" s="1">
        <v>1671.06</v>
      </c>
      <c r="AY5054" t="s">
        <v>147</v>
      </c>
      <c r="AZ5054" t="s">
        <v>147</v>
      </c>
      <c r="BA5054" t="s">
        <v>148</v>
      </c>
      <c r="BE5054" s="3">
        <v>42184</v>
      </c>
      <c r="BF5054" s="1">
        <v>210000</v>
      </c>
      <c r="BG5054" t="s">
        <v>25584</v>
      </c>
      <c r="BH5054" s="1">
        <v>85.54</v>
      </c>
      <c r="BI5054" s="1">
        <v>216930</v>
      </c>
      <c r="BJ5054" s="3">
        <v>42184</v>
      </c>
      <c r="BK5054" t="s">
        <v>123</v>
      </c>
      <c r="BL5054" t="str">
        <f>"2015.466368"</f>
        <v>2015.466368</v>
      </c>
      <c r="BM5054" t="s">
        <v>1287</v>
      </c>
      <c r="BO5054" t="s">
        <v>31381</v>
      </c>
      <c r="BS5054">
        <v>30</v>
      </c>
      <c r="BW5054" t="str">
        <f>""</f>
        <v/>
      </c>
      <c r="CH5054" t="str">
        <f>""</f>
        <v/>
      </c>
      <c r="CS5054" t="str">
        <f>""</f>
        <v/>
      </c>
    </row>
    <row r="5055" spans="1:97" x14ac:dyDescent="0.25">
      <c r="A5055" t="s">
        <v>2045</v>
      </c>
      <c r="B5055" t="s">
        <v>9575</v>
      </c>
      <c r="E5055" t="s">
        <v>31382</v>
      </c>
      <c r="F5055" t="s">
        <v>108</v>
      </c>
      <c r="H5055" t="s">
        <v>31383</v>
      </c>
      <c r="I5055" t="s">
        <v>390</v>
      </c>
      <c r="J5055" t="s">
        <v>111</v>
      </c>
      <c r="K5055" t="str">
        <f>"85032"</f>
        <v>85032</v>
      </c>
      <c r="L5055" t="s">
        <v>7847</v>
      </c>
      <c r="M5055" t="s">
        <v>31383</v>
      </c>
      <c r="N5055" t="s">
        <v>390</v>
      </c>
      <c r="O5055" t="s">
        <v>111</v>
      </c>
      <c r="P5055" t="str">
        <f>"85032-5356"</f>
        <v>85032-5356</v>
      </c>
      <c r="Q5055" t="s">
        <v>113</v>
      </c>
      <c r="R5055" t="str">
        <f>"214-61-658"</f>
        <v>214-61-658</v>
      </c>
      <c r="S5055" t="s">
        <v>31384</v>
      </c>
      <c r="U5055">
        <v>1417</v>
      </c>
      <c r="V5055">
        <v>0</v>
      </c>
      <c r="W5055">
        <v>3</v>
      </c>
      <c r="X5055">
        <v>1979</v>
      </c>
      <c r="Z5055">
        <v>1</v>
      </c>
      <c r="AB5055">
        <v>0</v>
      </c>
      <c r="AC5055" t="s">
        <v>115</v>
      </c>
      <c r="AD5055">
        <v>2</v>
      </c>
      <c r="AE5055" t="s">
        <v>115</v>
      </c>
      <c r="AF5055">
        <v>0</v>
      </c>
      <c r="AG5055">
        <v>0</v>
      </c>
      <c r="AH5055" t="s">
        <v>116</v>
      </c>
      <c r="AI5055" s="1">
        <v>48817</v>
      </c>
      <c r="AJ5055" s="2">
        <v>0.18</v>
      </c>
      <c r="AK5055" s="1">
        <v>278817</v>
      </c>
      <c r="AL5055" t="s">
        <v>117</v>
      </c>
      <c r="AM5055" t="s">
        <v>191</v>
      </c>
      <c r="AN5055">
        <v>7745</v>
      </c>
      <c r="AO5055">
        <v>0.18</v>
      </c>
      <c r="AP5055">
        <v>1</v>
      </c>
      <c r="AR5055">
        <v>1</v>
      </c>
      <c r="AS5055" s="1">
        <v>19580</v>
      </c>
      <c r="AT5055" s="1">
        <v>3910</v>
      </c>
      <c r="AU5055" s="1">
        <v>15670</v>
      </c>
      <c r="AV5055">
        <v>80.03</v>
      </c>
      <c r="AX5055" s="1">
        <v>1153.18</v>
      </c>
      <c r="AY5055" t="s">
        <v>5230</v>
      </c>
      <c r="AZ5055" t="s">
        <v>5231</v>
      </c>
      <c r="BA5055" t="s">
        <v>5232</v>
      </c>
      <c r="BE5055" s="3">
        <v>42012</v>
      </c>
      <c r="BF5055" s="1">
        <v>188500</v>
      </c>
      <c r="BG5055" t="s">
        <v>31385</v>
      </c>
      <c r="BH5055" s="1">
        <v>133.03</v>
      </c>
      <c r="BI5055" s="1">
        <v>230000</v>
      </c>
      <c r="BJ5055" s="3">
        <v>43077</v>
      </c>
      <c r="BK5055" t="s">
        <v>123</v>
      </c>
      <c r="BL5055" t="str">
        <f>"2017.908628"</f>
        <v>2017.908628</v>
      </c>
      <c r="BM5055" t="s">
        <v>1493</v>
      </c>
      <c r="BO5055" t="s">
        <v>31386</v>
      </c>
      <c r="BS5055">
        <v>31</v>
      </c>
      <c r="BW5055" t="str">
        <f>""</f>
        <v/>
      </c>
      <c r="CH5055" t="str">
        <f>""</f>
        <v/>
      </c>
      <c r="CS5055" t="str">
        <f>""</f>
        <v/>
      </c>
    </row>
    <row r="5056" spans="1:97" x14ac:dyDescent="0.25">
      <c r="A5056" t="s">
        <v>3395</v>
      </c>
      <c r="B5056" t="s">
        <v>31387</v>
      </c>
      <c r="C5056" t="s">
        <v>179</v>
      </c>
      <c r="D5056" t="s">
        <v>31387</v>
      </c>
      <c r="E5056" t="s">
        <v>31388</v>
      </c>
      <c r="F5056" t="s">
        <v>108</v>
      </c>
      <c r="H5056" t="s">
        <v>31389</v>
      </c>
      <c r="I5056" t="s">
        <v>5114</v>
      </c>
      <c r="J5056" t="s">
        <v>111</v>
      </c>
      <c r="K5056" t="str">
        <f>"85392"</f>
        <v>85392</v>
      </c>
      <c r="L5056" t="s">
        <v>6333</v>
      </c>
      <c r="M5056" t="s">
        <v>31389</v>
      </c>
      <c r="N5056" t="s">
        <v>5114</v>
      </c>
      <c r="O5056" t="s">
        <v>111</v>
      </c>
      <c r="P5056" t="str">
        <f>"85392-6658"</f>
        <v>85392-6658</v>
      </c>
      <c r="Q5056" t="s">
        <v>113</v>
      </c>
      <c r="R5056" t="str">
        <f>"508-03-433"</f>
        <v>508-03-433</v>
      </c>
      <c r="S5056" t="s">
        <v>11789</v>
      </c>
      <c r="T5056" t="s">
        <v>11789</v>
      </c>
      <c r="U5056">
        <v>2832</v>
      </c>
      <c r="V5056">
        <v>0</v>
      </c>
      <c r="W5056">
        <v>4</v>
      </c>
      <c r="X5056">
        <v>2001</v>
      </c>
      <c r="Z5056">
        <v>2</v>
      </c>
      <c r="AA5056" t="s">
        <v>26</v>
      </c>
      <c r="AB5056">
        <v>0</v>
      </c>
      <c r="AC5056" t="s">
        <v>115</v>
      </c>
      <c r="AD5056">
        <v>3</v>
      </c>
      <c r="AE5056" t="s">
        <v>115</v>
      </c>
      <c r="AF5056">
        <v>0</v>
      </c>
      <c r="AG5056">
        <v>0</v>
      </c>
      <c r="AH5056" t="s">
        <v>116</v>
      </c>
      <c r="AI5056" s="1">
        <v>84718</v>
      </c>
      <c r="AJ5056" s="2">
        <v>0.25</v>
      </c>
      <c r="AK5056" s="1">
        <v>338218</v>
      </c>
      <c r="AL5056" t="s">
        <v>117</v>
      </c>
      <c r="AM5056" t="s">
        <v>118</v>
      </c>
      <c r="AN5056">
        <v>6600</v>
      </c>
      <c r="AO5056">
        <v>0.15</v>
      </c>
      <c r="AP5056">
        <v>1</v>
      </c>
      <c r="AR5056">
        <v>1</v>
      </c>
      <c r="AS5056" s="1">
        <v>23910</v>
      </c>
      <c r="AT5056" s="1">
        <v>4780</v>
      </c>
      <c r="AU5056" s="1">
        <v>19130</v>
      </c>
      <c r="AV5056">
        <v>80.010000000000005</v>
      </c>
      <c r="AX5056" s="1">
        <v>1891.14</v>
      </c>
      <c r="AY5056" t="s">
        <v>6700</v>
      </c>
      <c r="AZ5056" t="s">
        <v>6701</v>
      </c>
      <c r="BA5056" t="s">
        <v>6702</v>
      </c>
      <c r="BE5056" s="3">
        <v>41872</v>
      </c>
      <c r="BF5056" s="1">
        <v>253500</v>
      </c>
      <c r="BG5056" t="s">
        <v>31390</v>
      </c>
      <c r="BH5056" s="1">
        <v>89.51</v>
      </c>
      <c r="BI5056" s="1">
        <v>253500</v>
      </c>
      <c r="BJ5056" s="3">
        <v>41872</v>
      </c>
      <c r="BK5056" t="s">
        <v>123</v>
      </c>
      <c r="BL5056" t="str">
        <f>"2014.555665"</f>
        <v>2014.555665</v>
      </c>
      <c r="BM5056" t="s">
        <v>2589</v>
      </c>
      <c r="BO5056" t="s">
        <v>31391</v>
      </c>
      <c r="BS5056">
        <v>30</v>
      </c>
      <c r="BW5056" t="str">
        <f>""</f>
        <v/>
      </c>
      <c r="CH5056" t="str">
        <f>""</f>
        <v/>
      </c>
      <c r="CS5056" t="str">
        <f>""</f>
        <v/>
      </c>
    </row>
    <row r="5057" spans="1:97" x14ac:dyDescent="0.25">
      <c r="A5057" t="s">
        <v>4543</v>
      </c>
      <c r="B5057" t="s">
        <v>9110</v>
      </c>
      <c r="C5057" t="s">
        <v>6072</v>
      </c>
      <c r="D5057" t="s">
        <v>9110</v>
      </c>
      <c r="E5057" t="s">
        <v>31392</v>
      </c>
      <c r="F5057" t="s">
        <v>108</v>
      </c>
      <c r="H5057" t="s">
        <v>31393</v>
      </c>
      <c r="I5057" t="s">
        <v>390</v>
      </c>
      <c r="J5057" t="s">
        <v>111</v>
      </c>
      <c r="K5057" t="str">
        <f>"85029"</f>
        <v>85029</v>
      </c>
      <c r="L5057" t="s">
        <v>9764</v>
      </c>
      <c r="M5057" t="s">
        <v>31393</v>
      </c>
      <c r="N5057" t="s">
        <v>390</v>
      </c>
      <c r="O5057" t="s">
        <v>111</v>
      </c>
      <c r="P5057" t="str">
        <f>"85029-3813"</f>
        <v>85029-3813</v>
      </c>
      <c r="Q5057" t="s">
        <v>113</v>
      </c>
      <c r="R5057" t="str">
        <f>"149-34-200"</f>
        <v>149-34-200</v>
      </c>
      <c r="S5057" t="s">
        <v>31394</v>
      </c>
      <c r="T5057" t="s">
        <v>31395</v>
      </c>
      <c r="U5057">
        <v>1871</v>
      </c>
      <c r="V5057">
        <v>0</v>
      </c>
      <c r="W5057">
        <v>2</v>
      </c>
      <c r="X5057">
        <v>1973</v>
      </c>
      <c r="Z5057">
        <v>1</v>
      </c>
      <c r="AA5057" t="s">
        <v>26</v>
      </c>
      <c r="AB5057">
        <v>0</v>
      </c>
      <c r="AC5057" t="s">
        <v>115</v>
      </c>
      <c r="AD5057">
        <v>2</v>
      </c>
      <c r="AE5057" t="s">
        <v>115</v>
      </c>
      <c r="AF5057">
        <v>0</v>
      </c>
      <c r="AG5057">
        <v>0</v>
      </c>
      <c r="AH5057" t="s">
        <v>116</v>
      </c>
      <c r="AI5057" s="1">
        <v>50531</v>
      </c>
      <c r="AJ5057" s="2">
        <v>0.2</v>
      </c>
      <c r="AK5057" s="1">
        <v>252531</v>
      </c>
      <c r="AL5057" t="s">
        <v>117</v>
      </c>
      <c r="AM5057" t="s">
        <v>191</v>
      </c>
      <c r="AN5057">
        <v>8065</v>
      </c>
      <c r="AO5057">
        <v>0.18</v>
      </c>
      <c r="AP5057">
        <v>1</v>
      </c>
      <c r="AR5057">
        <v>1</v>
      </c>
      <c r="AS5057" s="1">
        <v>16770</v>
      </c>
      <c r="AT5057" s="1">
        <v>3350</v>
      </c>
      <c r="AU5057" s="1">
        <v>13420</v>
      </c>
      <c r="AV5057">
        <v>80.02</v>
      </c>
      <c r="AX5057" s="1">
        <v>1210.3399999999999</v>
      </c>
      <c r="AY5057" t="s">
        <v>21334</v>
      </c>
      <c r="AZ5057" t="s">
        <v>6986</v>
      </c>
      <c r="BA5057" t="s">
        <v>10888</v>
      </c>
      <c r="BE5057" s="3">
        <v>42214</v>
      </c>
      <c r="BF5057" s="1">
        <v>198900</v>
      </c>
      <c r="BG5057" t="s">
        <v>31396</v>
      </c>
      <c r="BH5057" s="1">
        <v>106.31</v>
      </c>
      <c r="BI5057" s="1">
        <v>202000</v>
      </c>
      <c r="BJ5057" s="3">
        <v>42640</v>
      </c>
      <c r="BK5057" t="s">
        <v>123</v>
      </c>
      <c r="BL5057" t="str">
        <f>"2016.700908"</f>
        <v>2016.700908</v>
      </c>
      <c r="BM5057" t="s">
        <v>322</v>
      </c>
      <c r="BO5057" t="s">
        <v>31397</v>
      </c>
      <c r="BS5057">
        <v>30</v>
      </c>
      <c r="BW5057" t="str">
        <f>""</f>
        <v/>
      </c>
      <c r="CH5057" t="str">
        <f>""</f>
        <v/>
      </c>
      <c r="CS5057" t="str">
        <f>""</f>
        <v/>
      </c>
    </row>
    <row r="5058" spans="1:97" x14ac:dyDescent="0.25">
      <c r="B5058" t="s">
        <v>31398</v>
      </c>
      <c r="E5058" t="s">
        <v>31399</v>
      </c>
      <c r="F5058" t="s">
        <v>108</v>
      </c>
      <c r="H5058" t="s">
        <v>31400</v>
      </c>
      <c r="I5058" t="s">
        <v>632</v>
      </c>
      <c r="J5058" t="s">
        <v>111</v>
      </c>
      <c r="K5058" t="str">
        <f>"85374"</f>
        <v>85374</v>
      </c>
      <c r="L5058" t="s">
        <v>5990</v>
      </c>
      <c r="M5058" t="s">
        <v>31400</v>
      </c>
      <c r="N5058" t="s">
        <v>632</v>
      </c>
      <c r="O5058" t="s">
        <v>111</v>
      </c>
      <c r="P5058" t="str">
        <f>"85374-5860"</f>
        <v>85374-5860</v>
      </c>
      <c r="Q5058" t="s">
        <v>113</v>
      </c>
      <c r="R5058" t="str">
        <f>"501-93-179"</f>
        <v>501-93-179</v>
      </c>
      <c r="S5058" t="s">
        <v>23086</v>
      </c>
      <c r="U5058">
        <v>2174</v>
      </c>
      <c r="V5058">
        <v>0</v>
      </c>
      <c r="W5058">
        <v>3</v>
      </c>
      <c r="X5058">
        <v>2000</v>
      </c>
      <c r="Z5058">
        <v>1</v>
      </c>
      <c r="AB5058">
        <v>0</v>
      </c>
      <c r="AC5058" t="s">
        <v>115</v>
      </c>
      <c r="AD5058">
        <v>2</v>
      </c>
      <c r="AE5058" t="s">
        <v>115</v>
      </c>
      <c r="AF5058">
        <v>0</v>
      </c>
      <c r="AG5058">
        <v>0</v>
      </c>
      <c r="AH5058" t="s">
        <v>116</v>
      </c>
      <c r="AI5058" s="1">
        <v>57075</v>
      </c>
      <c r="AJ5058" s="2">
        <v>0.21</v>
      </c>
      <c r="AK5058" s="1">
        <v>273265</v>
      </c>
      <c r="AL5058" t="s">
        <v>117</v>
      </c>
      <c r="AM5058" t="s">
        <v>118</v>
      </c>
      <c r="AN5058">
        <v>6600</v>
      </c>
      <c r="AO5058">
        <v>0.15</v>
      </c>
      <c r="AP5058">
        <v>1</v>
      </c>
      <c r="AR5058">
        <v>1</v>
      </c>
      <c r="AS5058" s="1">
        <v>18950</v>
      </c>
      <c r="AT5058" s="1">
        <v>3790</v>
      </c>
      <c r="AU5058" s="1">
        <v>15160</v>
      </c>
      <c r="AV5058">
        <v>80</v>
      </c>
      <c r="AX5058" s="1">
        <v>1318.56</v>
      </c>
      <c r="AY5058" t="s">
        <v>5983</v>
      </c>
      <c r="AZ5058" t="s">
        <v>5983</v>
      </c>
      <c r="BA5058" t="s">
        <v>5109</v>
      </c>
      <c r="BB5058" s="3">
        <v>43159</v>
      </c>
      <c r="BC5058" s="1">
        <v>0</v>
      </c>
      <c r="BD5058" t="s">
        <v>247</v>
      </c>
      <c r="BE5058" s="3">
        <v>42417</v>
      </c>
      <c r="BF5058" s="1">
        <v>207000</v>
      </c>
      <c r="BG5058" t="s">
        <v>31401</v>
      </c>
      <c r="BH5058" s="1">
        <v>95.22</v>
      </c>
      <c r="BI5058" s="1">
        <v>216190</v>
      </c>
      <c r="BJ5058" s="3">
        <v>42726</v>
      </c>
      <c r="BK5058" t="s">
        <v>123</v>
      </c>
      <c r="BL5058" t="str">
        <f>"2016.945116"</f>
        <v>2016.945116</v>
      </c>
      <c r="BM5058" t="s">
        <v>724</v>
      </c>
      <c r="BN5058" t="s">
        <v>5423</v>
      </c>
      <c r="BO5058" t="s">
        <v>31402</v>
      </c>
      <c r="BS5058">
        <v>30</v>
      </c>
      <c r="BW5058" t="str">
        <f>""</f>
        <v/>
      </c>
      <c r="CH5058" t="str">
        <f>""</f>
        <v/>
      </c>
      <c r="CS5058" t="str">
        <f>""</f>
        <v/>
      </c>
    </row>
    <row r="5059" spans="1:97" x14ac:dyDescent="0.25">
      <c r="A5059" t="s">
        <v>589</v>
      </c>
      <c r="B5059" t="s">
        <v>31403</v>
      </c>
      <c r="E5059" t="s">
        <v>31404</v>
      </c>
      <c r="F5059" t="s">
        <v>108</v>
      </c>
      <c r="H5059" t="s">
        <v>31405</v>
      </c>
      <c r="I5059" t="s">
        <v>374</v>
      </c>
      <c r="J5059" t="s">
        <v>111</v>
      </c>
      <c r="K5059" t="str">
        <f>"85087"</f>
        <v>85087</v>
      </c>
      <c r="L5059" t="s">
        <v>20194</v>
      </c>
      <c r="M5059" t="s">
        <v>31405</v>
      </c>
      <c r="N5059" t="s">
        <v>374</v>
      </c>
      <c r="O5059" t="s">
        <v>111</v>
      </c>
      <c r="P5059" t="str">
        <f>"85087-7119"</f>
        <v>85087-7119</v>
      </c>
      <c r="Q5059" t="s">
        <v>113</v>
      </c>
      <c r="R5059" t="str">
        <f>"202-21-046-J"</f>
        <v>202-21-046-J</v>
      </c>
      <c r="U5059">
        <v>1146</v>
      </c>
      <c r="V5059">
        <v>0</v>
      </c>
      <c r="W5059">
        <v>2</v>
      </c>
      <c r="X5059">
        <v>1984</v>
      </c>
      <c r="Z5059">
        <v>1</v>
      </c>
      <c r="AB5059">
        <v>0</v>
      </c>
      <c r="AC5059" t="s">
        <v>7038</v>
      </c>
      <c r="AD5059">
        <v>0</v>
      </c>
      <c r="AE5059" t="s">
        <v>7038</v>
      </c>
      <c r="AF5059">
        <v>0</v>
      </c>
      <c r="AG5059">
        <v>0</v>
      </c>
      <c r="AH5059" t="s">
        <v>116</v>
      </c>
      <c r="AI5059" s="1">
        <v>56690</v>
      </c>
      <c r="AJ5059" s="2">
        <v>0.2</v>
      </c>
      <c r="AK5059" s="1">
        <v>278866</v>
      </c>
      <c r="AL5059" t="s">
        <v>117</v>
      </c>
      <c r="AM5059" t="s">
        <v>376</v>
      </c>
      <c r="AN5059">
        <v>48003</v>
      </c>
      <c r="AO5059">
        <v>1.1000000000000001</v>
      </c>
      <c r="AP5059">
        <v>1</v>
      </c>
      <c r="AR5059">
        <v>1</v>
      </c>
      <c r="AS5059" s="1">
        <v>17520</v>
      </c>
      <c r="AT5059" s="1">
        <v>3500</v>
      </c>
      <c r="AU5059" s="1">
        <v>14020</v>
      </c>
      <c r="AV5059">
        <v>80.02</v>
      </c>
      <c r="AX5059" s="1">
        <v>1499.28</v>
      </c>
      <c r="AY5059" t="s">
        <v>665</v>
      </c>
      <c r="AZ5059" t="s">
        <v>665</v>
      </c>
      <c r="BA5059" t="s">
        <v>378</v>
      </c>
      <c r="BE5059" s="3">
        <v>41774</v>
      </c>
      <c r="BF5059" s="1">
        <v>217500</v>
      </c>
      <c r="BG5059" t="s">
        <v>31406</v>
      </c>
      <c r="BH5059" s="1">
        <v>189.79</v>
      </c>
      <c r="BI5059" s="1">
        <v>222176</v>
      </c>
      <c r="BJ5059" s="3">
        <v>41774</v>
      </c>
      <c r="BK5059" t="s">
        <v>123</v>
      </c>
      <c r="BL5059" t="str">
        <f>"2014.317808"</f>
        <v>2014.317808</v>
      </c>
      <c r="BM5059" t="s">
        <v>3453</v>
      </c>
      <c r="BO5059" t="s">
        <v>31407</v>
      </c>
      <c r="BS5059">
        <v>30</v>
      </c>
      <c r="BW5059" t="str">
        <f>""</f>
        <v/>
      </c>
      <c r="CH5059" t="str">
        <f>""</f>
        <v/>
      </c>
      <c r="CS5059" t="str">
        <f>""</f>
        <v/>
      </c>
    </row>
    <row r="5060" spans="1:97" x14ac:dyDescent="0.25">
      <c r="A5060" t="s">
        <v>464</v>
      </c>
      <c r="B5060" t="s">
        <v>31408</v>
      </c>
      <c r="E5060" t="s">
        <v>31409</v>
      </c>
      <c r="F5060" t="s">
        <v>108</v>
      </c>
      <c r="H5060" t="s">
        <v>31410</v>
      </c>
      <c r="I5060" t="s">
        <v>390</v>
      </c>
      <c r="J5060" t="s">
        <v>111</v>
      </c>
      <c r="K5060" t="str">
        <f>"85086"</f>
        <v>85086</v>
      </c>
      <c r="L5060" t="s">
        <v>15336</v>
      </c>
      <c r="M5060" t="s">
        <v>31410</v>
      </c>
      <c r="N5060" t="s">
        <v>390</v>
      </c>
      <c r="O5060" t="s">
        <v>111</v>
      </c>
      <c r="P5060" t="str">
        <f>"85086-9110"</f>
        <v>85086-9110</v>
      </c>
      <c r="Q5060" t="s">
        <v>113</v>
      </c>
      <c r="R5060" t="str">
        <f>"203-32-008-Q"</f>
        <v>203-32-008-Q</v>
      </c>
      <c r="U5060">
        <v>1780</v>
      </c>
      <c r="V5060">
        <v>0</v>
      </c>
      <c r="W5060">
        <v>3</v>
      </c>
      <c r="X5060">
        <v>1996</v>
      </c>
      <c r="Z5060">
        <v>1</v>
      </c>
      <c r="AB5060">
        <v>0</v>
      </c>
      <c r="AC5060" t="s">
        <v>115</v>
      </c>
      <c r="AD5060">
        <v>4</v>
      </c>
      <c r="AE5060" t="s">
        <v>115</v>
      </c>
      <c r="AF5060">
        <v>0</v>
      </c>
      <c r="AG5060">
        <v>0</v>
      </c>
      <c r="AH5060" t="s">
        <v>116</v>
      </c>
      <c r="AI5060" s="1">
        <v>97647</v>
      </c>
      <c r="AJ5060" s="2">
        <v>0.21</v>
      </c>
      <c r="AK5060" s="1">
        <v>462429</v>
      </c>
      <c r="AL5060" t="s">
        <v>117</v>
      </c>
      <c r="AM5060" t="s">
        <v>376</v>
      </c>
      <c r="AN5060">
        <v>46400</v>
      </c>
      <c r="AO5060">
        <v>1.06</v>
      </c>
      <c r="AP5060">
        <v>1</v>
      </c>
      <c r="AR5060">
        <v>1</v>
      </c>
      <c r="AS5060" s="1">
        <v>37980</v>
      </c>
      <c r="AT5060" s="1">
        <v>7590</v>
      </c>
      <c r="AU5060" s="1">
        <v>30390</v>
      </c>
      <c r="AV5060">
        <v>80.02</v>
      </c>
      <c r="AX5060" s="1">
        <v>3490.4</v>
      </c>
      <c r="AY5060" t="s">
        <v>8639</v>
      </c>
      <c r="AZ5060" t="s">
        <v>8639</v>
      </c>
      <c r="BA5060" t="s">
        <v>378</v>
      </c>
      <c r="BE5060" s="3">
        <v>41750</v>
      </c>
      <c r="BF5060" s="1">
        <v>355000</v>
      </c>
      <c r="BG5060" t="s">
        <v>31411</v>
      </c>
      <c r="BH5060" s="1">
        <v>199.44</v>
      </c>
      <c r="BI5060" s="1">
        <v>364782</v>
      </c>
      <c r="BJ5060" s="3">
        <v>42135</v>
      </c>
      <c r="BK5060" t="s">
        <v>123</v>
      </c>
      <c r="BL5060" t="str">
        <f>"2015.328601"</f>
        <v>2015.328601</v>
      </c>
      <c r="BM5060" t="s">
        <v>2683</v>
      </c>
      <c r="BO5060" t="s">
        <v>31412</v>
      </c>
      <c r="BS5060">
        <v>30</v>
      </c>
      <c r="BW5060" t="str">
        <f>""</f>
        <v/>
      </c>
      <c r="CH5060" t="str">
        <f>""</f>
        <v/>
      </c>
      <c r="CS5060" t="str">
        <f>""</f>
        <v/>
      </c>
    </row>
    <row r="5061" spans="1:97" x14ac:dyDescent="0.25">
      <c r="A5061" t="s">
        <v>5224</v>
      </c>
      <c r="B5061" t="s">
        <v>31413</v>
      </c>
      <c r="C5061" t="s">
        <v>3416</v>
      </c>
      <c r="D5061" t="s">
        <v>31413</v>
      </c>
      <c r="E5061" t="s">
        <v>31414</v>
      </c>
      <c r="F5061" t="s">
        <v>108</v>
      </c>
      <c r="H5061" t="s">
        <v>31415</v>
      </c>
      <c r="I5061" t="s">
        <v>374</v>
      </c>
      <c r="J5061" t="s">
        <v>111</v>
      </c>
      <c r="K5061" t="str">
        <f>"85087"</f>
        <v>85087</v>
      </c>
      <c r="L5061" t="s">
        <v>11846</v>
      </c>
      <c r="M5061" t="s">
        <v>31415</v>
      </c>
      <c r="N5061" t="s">
        <v>374</v>
      </c>
      <c r="O5061" t="s">
        <v>111</v>
      </c>
      <c r="P5061" t="str">
        <f>"85087-6525"</f>
        <v>85087-6525</v>
      </c>
      <c r="Q5061" t="s">
        <v>113</v>
      </c>
      <c r="R5061" t="str">
        <f>"202-20-078-C"</f>
        <v>202-20-078-C</v>
      </c>
      <c r="U5061">
        <v>1711</v>
      </c>
      <c r="V5061">
        <v>0</v>
      </c>
      <c r="W5061">
        <v>3</v>
      </c>
      <c r="X5061">
        <v>2000</v>
      </c>
      <c r="Z5061">
        <v>1</v>
      </c>
      <c r="AA5061" t="s">
        <v>26</v>
      </c>
      <c r="AB5061">
        <v>0</v>
      </c>
      <c r="AC5061" t="s">
        <v>115</v>
      </c>
      <c r="AD5061">
        <v>3</v>
      </c>
      <c r="AE5061" t="s">
        <v>115</v>
      </c>
      <c r="AF5061">
        <v>0</v>
      </c>
      <c r="AG5061">
        <v>0</v>
      </c>
      <c r="AH5061" t="s">
        <v>116</v>
      </c>
      <c r="AI5061" s="1">
        <v>25411</v>
      </c>
      <c r="AJ5061" s="2">
        <v>7.0000000000000007E-2</v>
      </c>
      <c r="AK5061" s="1">
        <v>385411</v>
      </c>
      <c r="AL5061" t="s">
        <v>117</v>
      </c>
      <c r="AM5061" t="s">
        <v>376</v>
      </c>
      <c r="AN5061">
        <v>51975</v>
      </c>
      <c r="AO5061">
        <v>1.19</v>
      </c>
      <c r="AP5061">
        <v>1</v>
      </c>
      <c r="AR5061">
        <v>1</v>
      </c>
      <c r="AS5061" s="1">
        <v>29060</v>
      </c>
      <c r="AT5061" s="1">
        <v>5810</v>
      </c>
      <c r="AU5061" s="1">
        <v>23250</v>
      </c>
      <c r="AV5061">
        <v>80.010000000000005</v>
      </c>
      <c r="AX5061" s="1">
        <v>2755.3</v>
      </c>
      <c r="AY5061" t="s">
        <v>665</v>
      </c>
      <c r="AZ5061" t="s">
        <v>665</v>
      </c>
      <c r="BA5061" t="s">
        <v>378</v>
      </c>
      <c r="BE5061" s="3">
        <v>41869</v>
      </c>
      <c r="BF5061" s="1">
        <v>285050</v>
      </c>
      <c r="BG5061" t="s">
        <v>31416</v>
      </c>
      <c r="BH5061" s="1">
        <v>166.6</v>
      </c>
      <c r="BI5061" s="1">
        <v>360000</v>
      </c>
      <c r="BJ5061" s="3">
        <v>43530</v>
      </c>
      <c r="BK5061" t="s">
        <v>123</v>
      </c>
      <c r="BL5061" t="str">
        <f>"2019.153703"</f>
        <v>2019.153703</v>
      </c>
      <c r="BM5061" t="s">
        <v>23724</v>
      </c>
      <c r="BN5061" t="s">
        <v>29675</v>
      </c>
      <c r="BO5061" t="s">
        <v>31417</v>
      </c>
      <c r="BP5061" t="s">
        <v>31418</v>
      </c>
      <c r="BR5061" t="s">
        <v>139</v>
      </c>
      <c r="BT5061" s="1">
        <v>360000</v>
      </c>
      <c r="BU5061" s="3">
        <v>43530</v>
      </c>
      <c r="BV5061" t="s">
        <v>123</v>
      </c>
      <c r="BW5061" t="str">
        <f>"2019.153703"</f>
        <v>2019.153703</v>
      </c>
      <c r="BX5061" t="s">
        <v>23724</v>
      </c>
      <c r="BY5061" t="s">
        <v>29675</v>
      </c>
      <c r="BZ5061" t="s">
        <v>31417</v>
      </c>
      <c r="CA5061" t="s">
        <v>31418</v>
      </c>
      <c r="CC5061" t="s">
        <v>139</v>
      </c>
      <c r="CH5061" t="str">
        <f>""</f>
        <v/>
      </c>
      <c r="CS5061" t="str">
        <f>""</f>
        <v/>
      </c>
    </row>
    <row r="5062" spans="1:97" x14ac:dyDescent="0.25">
      <c r="A5062" t="s">
        <v>211</v>
      </c>
      <c r="B5062" t="s">
        <v>31419</v>
      </c>
      <c r="C5062" t="s">
        <v>2104</v>
      </c>
      <c r="D5062" t="s">
        <v>31420</v>
      </c>
      <c r="E5062" t="s">
        <v>31421</v>
      </c>
      <c r="F5062" t="s">
        <v>108</v>
      </c>
      <c r="H5062" t="s">
        <v>31422</v>
      </c>
      <c r="I5062" t="s">
        <v>203</v>
      </c>
      <c r="J5062" t="s">
        <v>111</v>
      </c>
      <c r="K5062" t="str">
        <f>"85297"</f>
        <v>85297</v>
      </c>
      <c r="L5062" t="s">
        <v>3696</v>
      </c>
      <c r="M5062" t="s">
        <v>31422</v>
      </c>
      <c r="N5062" t="s">
        <v>203</v>
      </c>
      <c r="O5062" t="s">
        <v>111</v>
      </c>
      <c r="P5062" t="str">
        <f>"85297-7429"</f>
        <v>85297-7429</v>
      </c>
      <c r="Q5062" t="s">
        <v>113</v>
      </c>
      <c r="R5062" t="str">
        <f>"309-24-793"</f>
        <v>309-24-793</v>
      </c>
      <c r="S5062" t="s">
        <v>18095</v>
      </c>
      <c r="U5062">
        <v>3474</v>
      </c>
      <c r="V5062">
        <v>0</v>
      </c>
      <c r="W5062">
        <v>4</v>
      </c>
      <c r="X5062">
        <v>2003</v>
      </c>
      <c r="Z5062">
        <v>2</v>
      </c>
      <c r="AA5062" t="s">
        <v>26</v>
      </c>
      <c r="AB5062">
        <v>0</v>
      </c>
      <c r="AC5062" t="s">
        <v>115</v>
      </c>
      <c r="AD5062">
        <v>3</v>
      </c>
      <c r="AE5062" t="s">
        <v>115</v>
      </c>
      <c r="AF5062">
        <v>0</v>
      </c>
      <c r="AG5062">
        <v>0</v>
      </c>
      <c r="AH5062" t="s">
        <v>116</v>
      </c>
      <c r="AI5062" s="1">
        <v>60512</v>
      </c>
      <c r="AJ5062" s="2">
        <v>0.13</v>
      </c>
      <c r="AK5062" s="1">
        <v>473608</v>
      </c>
      <c r="AL5062" t="s">
        <v>117</v>
      </c>
      <c r="AM5062" t="s">
        <v>1302</v>
      </c>
      <c r="AN5062">
        <v>8800</v>
      </c>
      <c r="AO5062">
        <v>0.2</v>
      </c>
      <c r="AP5062">
        <v>1</v>
      </c>
      <c r="AR5062">
        <v>1</v>
      </c>
      <c r="AS5062" s="1">
        <v>31060</v>
      </c>
      <c r="AT5062" s="1">
        <v>6210</v>
      </c>
      <c r="AU5062" s="1">
        <v>24850</v>
      </c>
      <c r="AV5062">
        <v>80.010000000000005</v>
      </c>
      <c r="AX5062" s="1">
        <v>2767.26</v>
      </c>
      <c r="AY5062" t="s">
        <v>394</v>
      </c>
      <c r="AZ5062" t="s">
        <v>394</v>
      </c>
      <c r="BA5062" t="s">
        <v>290</v>
      </c>
      <c r="BE5062" s="3">
        <v>42489</v>
      </c>
      <c r="BF5062" s="1">
        <v>399900</v>
      </c>
      <c r="BG5062" t="s">
        <v>31423</v>
      </c>
      <c r="BH5062" s="1">
        <v>115.11</v>
      </c>
      <c r="BI5062" s="1">
        <v>413096</v>
      </c>
      <c r="BJ5062" s="3">
        <v>42489</v>
      </c>
      <c r="BK5062" t="s">
        <v>123</v>
      </c>
      <c r="BL5062" t="str">
        <f>"2016.290091"</f>
        <v>2016.290091</v>
      </c>
      <c r="BM5062" t="s">
        <v>2716</v>
      </c>
      <c r="BO5062" t="s">
        <v>31424</v>
      </c>
      <c r="BS5062">
        <v>30</v>
      </c>
      <c r="BW5062" t="str">
        <f>""</f>
        <v/>
      </c>
      <c r="CH5062" t="str">
        <f>""</f>
        <v/>
      </c>
      <c r="CS5062" t="str">
        <f>""</f>
        <v/>
      </c>
    </row>
    <row r="5063" spans="1:97" x14ac:dyDescent="0.25">
      <c r="A5063" t="s">
        <v>31425</v>
      </c>
      <c r="B5063" t="s">
        <v>327</v>
      </c>
      <c r="C5063" t="s">
        <v>1547</v>
      </c>
      <c r="D5063" t="s">
        <v>327</v>
      </c>
      <c r="E5063" t="s">
        <v>31426</v>
      </c>
      <c r="F5063" t="s">
        <v>108</v>
      </c>
      <c r="H5063" t="s">
        <v>31427</v>
      </c>
      <c r="I5063" t="s">
        <v>390</v>
      </c>
      <c r="J5063" t="s">
        <v>111</v>
      </c>
      <c r="K5063" t="str">
        <f>"85020"</f>
        <v>85020</v>
      </c>
      <c r="L5063" t="s">
        <v>4003</v>
      </c>
      <c r="M5063" t="s">
        <v>31427</v>
      </c>
      <c r="N5063" t="s">
        <v>390</v>
      </c>
      <c r="O5063" t="s">
        <v>111</v>
      </c>
      <c r="P5063" t="str">
        <f>"85020-3747"</f>
        <v>85020-3747</v>
      </c>
      <c r="R5063" t="str">
        <f>"160-08-024"</f>
        <v>160-08-024</v>
      </c>
      <c r="S5063" t="s">
        <v>31428</v>
      </c>
      <c r="T5063" t="s">
        <v>31429</v>
      </c>
      <c r="U5063">
        <v>3930</v>
      </c>
      <c r="V5063">
        <v>0</v>
      </c>
      <c r="W5063">
        <v>5</v>
      </c>
      <c r="X5063">
        <v>2012</v>
      </c>
      <c r="Z5063">
        <v>2</v>
      </c>
      <c r="AA5063" t="s">
        <v>15127</v>
      </c>
      <c r="AB5063">
        <v>0</v>
      </c>
      <c r="AC5063" t="s">
        <v>115</v>
      </c>
      <c r="AD5063">
        <v>2</v>
      </c>
      <c r="AE5063" t="s">
        <v>115</v>
      </c>
      <c r="AF5063">
        <v>0</v>
      </c>
      <c r="AG5063">
        <v>0</v>
      </c>
      <c r="AH5063" t="s">
        <v>116</v>
      </c>
      <c r="AI5063" s="1">
        <v>128308</v>
      </c>
      <c r="AJ5063" s="2">
        <v>0.18</v>
      </c>
      <c r="AK5063" s="1">
        <v>704608</v>
      </c>
      <c r="AL5063" t="s">
        <v>117</v>
      </c>
      <c r="AM5063" t="s">
        <v>1302</v>
      </c>
      <c r="AN5063">
        <v>10401</v>
      </c>
      <c r="AO5063">
        <v>0.24</v>
      </c>
      <c r="AP5063">
        <v>1</v>
      </c>
      <c r="AR5063">
        <v>1</v>
      </c>
      <c r="AS5063" s="1">
        <v>53870</v>
      </c>
      <c r="AT5063" s="1">
        <v>10770</v>
      </c>
      <c r="AU5063" s="1">
        <v>43100</v>
      </c>
      <c r="AV5063">
        <v>80.010000000000005</v>
      </c>
      <c r="AX5063" s="1">
        <v>4832</v>
      </c>
      <c r="AY5063" t="s">
        <v>6147</v>
      </c>
      <c r="AZ5063" t="s">
        <v>6148</v>
      </c>
      <c r="BA5063" t="s">
        <v>6149</v>
      </c>
      <c r="BE5063" s="3">
        <v>41838</v>
      </c>
      <c r="BF5063" s="1">
        <v>539500</v>
      </c>
      <c r="BG5063" t="s">
        <v>31430</v>
      </c>
      <c r="BH5063" s="1">
        <v>137.28</v>
      </c>
      <c r="BI5063" s="1">
        <v>508300</v>
      </c>
      <c r="BJ5063" s="3">
        <v>42298</v>
      </c>
      <c r="BK5063" t="s">
        <v>123</v>
      </c>
      <c r="BL5063" t="str">
        <f>"2015.757677"</f>
        <v>2015.757677</v>
      </c>
      <c r="BM5063" t="s">
        <v>1038</v>
      </c>
      <c r="BN5063" t="s">
        <v>31431</v>
      </c>
      <c r="BO5063" t="s">
        <v>31432</v>
      </c>
      <c r="BS5063">
        <v>30</v>
      </c>
      <c r="BT5063" s="1">
        <v>68000</v>
      </c>
      <c r="BU5063" s="3">
        <v>43752</v>
      </c>
      <c r="BW5063" t="str">
        <f>"2019.817682"</f>
        <v>2019.817682</v>
      </c>
      <c r="BX5063" t="s">
        <v>2042</v>
      </c>
      <c r="BY5063" t="s">
        <v>1575</v>
      </c>
      <c r="BZ5063" t="s">
        <v>31433</v>
      </c>
      <c r="CA5063" t="s">
        <v>31434</v>
      </c>
      <c r="CC5063" t="s">
        <v>346</v>
      </c>
      <c r="CH5063" t="str">
        <f>""</f>
        <v/>
      </c>
      <c r="CS5063" t="str">
        <f>""</f>
        <v/>
      </c>
    </row>
    <row r="5064" spans="1:97" x14ac:dyDescent="0.25">
      <c r="A5064" t="s">
        <v>996</v>
      </c>
      <c r="B5064" t="s">
        <v>31435</v>
      </c>
      <c r="C5064" t="s">
        <v>2575</v>
      </c>
      <c r="D5064" t="s">
        <v>31435</v>
      </c>
      <c r="E5064" t="s">
        <v>31436</v>
      </c>
      <c r="F5064" t="s">
        <v>108</v>
      </c>
      <c r="H5064" t="s">
        <v>31437</v>
      </c>
      <c r="I5064" t="s">
        <v>203</v>
      </c>
      <c r="J5064" t="s">
        <v>111</v>
      </c>
      <c r="K5064" t="str">
        <f>"85234"</f>
        <v>85234</v>
      </c>
      <c r="L5064" t="s">
        <v>5990</v>
      </c>
      <c r="M5064" t="s">
        <v>31437</v>
      </c>
      <c r="N5064" t="s">
        <v>203</v>
      </c>
      <c r="O5064" t="s">
        <v>111</v>
      </c>
      <c r="P5064" t="str">
        <f>"85234-6383"</f>
        <v>85234-6383</v>
      </c>
      <c r="Q5064" t="s">
        <v>113</v>
      </c>
      <c r="R5064" t="str">
        <f>"304-14-883"</f>
        <v>304-14-883</v>
      </c>
      <c r="S5064" t="s">
        <v>31438</v>
      </c>
      <c r="T5064" t="s">
        <v>31438</v>
      </c>
      <c r="U5064">
        <v>2266</v>
      </c>
      <c r="V5064">
        <v>0</v>
      </c>
      <c r="W5064">
        <v>3</v>
      </c>
      <c r="X5064">
        <v>2000</v>
      </c>
      <c r="Z5064">
        <v>1</v>
      </c>
      <c r="AA5064" t="s">
        <v>26</v>
      </c>
      <c r="AB5064">
        <v>0</v>
      </c>
      <c r="AC5064" t="s">
        <v>115</v>
      </c>
      <c r="AD5064">
        <v>3</v>
      </c>
      <c r="AE5064" t="s">
        <v>115</v>
      </c>
      <c r="AF5064">
        <v>0</v>
      </c>
      <c r="AG5064">
        <v>0</v>
      </c>
      <c r="AH5064" t="s">
        <v>116</v>
      </c>
      <c r="AI5064" s="1">
        <v>97209</v>
      </c>
      <c r="AJ5064" s="2">
        <v>0.21</v>
      </c>
      <c r="AK5064" s="1">
        <v>468900</v>
      </c>
      <c r="AL5064" t="s">
        <v>117</v>
      </c>
      <c r="AM5064" t="s">
        <v>1302</v>
      </c>
      <c r="AN5064">
        <v>10200</v>
      </c>
      <c r="AO5064">
        <v>0.23</v>
      </c>
      <c r="AP5064">
        <v>1</v>
      </c>
      <c r="AR5064">
        <v>1</v>
      </c>
      <c r="AS5064" s="1">
        <v>35330</v>
      </c>
      <c r="AT5064" s="1">
        <v>7060</v>
      </c>
      <c r="AU5064" s="1">
        <v>28270</v>
      </c>
      <c r="AV5064">
        <v>80.02</v>
      </c>
      <c r="AX5064" s="1">
        <v>2623.04</v>
      </c>
      <c r="AY5064" t="s">
        <v>519</v>
      </c>
      <c r="AZ5064" t="s">
        <v>520</v>
      </c>
      <c r="BA5064" t="s">
        <v>521</v>
      </c>
      <c r="BB5064" s="3">
        <v>42629</v>
      </c>
      <c r="BD5064" t="s">
        <v>240</v>
      </c>
      <c r="BE5064" s="3">
        <v>42355</v>
      </c>
      <c r="BF5064" s="1">
        <v>379000</v>
      </c>
      <c r="BG5064" t="s">
        <v>31439</v>
      </c>
      <c r="BH5064" s="1">
        <v>167.26</v>
      </c>
      <c r="BI5064" s="1">
        <v>371691</v>
      </c>
      <c r="BJ5064" s="3">
        <v>42629</v>
      </c>
      <c r="BK5064" t="s">
        <v>123</v>
      </c>
      <c r="BL5064" t="str">
        <f>"2016.673927"</f>
        <v>2016.673927</v>
      </c>
      <c r="BM5064" t="s">
        <v>544</v>
      </c>
      <c r="BO5064" t="s">
        <v>31440</v>
      </c>
      <c r="BS5064">
        <v>30</v>
      </c>
      <c r="BW5064" t="str">
        <f>""</f>
        <v/>
      </c>
      <c r="CH5064" t="str">
        <f>""</f>
        <v/>
      </c>
      <c r="CS5064" t="str">
        <f>""</f>
        <v/>
      </c>
    </row>
    <row r="5065" spans="1:97" x14ac:dyDescent="0.25">
      <c r="A5065" t="s">
        <v>865</v>
      </c>
      <c r="B5065" t="s">
        <v>31441</v>
      </c>
      <c r="E5065" t="s">
        <v>31442</v>
      </c>
      <c r="F5065" t="s">
        <v>108</v>
      </c>
      <c r="H5065" t="s">
        <v>31443</v>
      </c>
      <c r="I5065" t="s">
        <v>188</v>
      </c>
      <c r="J5065" t="s">
        <v>111</v>
      </c>
      <c r="K5065" t="str">
        <f>"85142"</f>
        <v>85142</v>
      </c>
      <c r="L5065" t="s">
        <v>3645</v>
      </c>
      <c r="M5065" t="s">
        <v>31443</v>
      </c>
      <c r="N5065" t="s">
        <v>188</v>
      </c>
      <c r="O5065" t="s">
        <v>111</v>
      </c>
      <c r="P5065" t="str">
        <f>"85142-7441"</f>
        <v>85142-7441</v>
      </c>
      <c r="Q5065" t="s">
        <v>113</v>
      </c>
      <c r="R5065" t="str">
        <f>"314-08-606"</f>
        <v>314-08-606</v>
      </c>
      <c r="S5065" t="s">
        <v>9258</v>
      </c>
      <c r="T5065" t="s">
        <v>4400</v>
      </c>
      <c r="U5065">
        <v>3416</v>
      </c>
      <c r="V5065">
        <v>0</v>
      </c>
      <c r="W5065">
        <v>6</v>
      </c>
      <c r="X5065">
        <v>2014</v>
      </c>
      <c r="Z5065">
        <v>1</v>
      </c>
      <c r="AB5065">
        <v>0</v>
      </c>
      <c r="AC5065" t="s">
        <v>115</v>
      </c>
      <c r="AD5065">
        <v>3</v>
      </c>
      <c r="AE5065" t="s">
        <v>115</v>
      </c>
      <c r="AF5065">
        <v>0</v>
      </c>
      <c r="AG5065">
        <v>0</v>
      </c>
      <c r="AH5065" t="s">
        <v>116</v>
      </c>
      <c r="AI5065" s="1">
        <v>53537</v>
      </c>
      <c r="AJ5065" s="2">
        <v>0.11</v>
      </c>
      <c r="AK5065" s="1">
        <v>481476</v>
      </c>
      <c r="AL5065" t="s">
        <v>117</v>
      </c>
      <c r="AM5065" t="s">
        <v>917</v>
      </c>
      <c r="AN5065">
        <v>12603</v>
      </c>
      <c r="AO5065">
        <v>0.28999999999999998</v>
      </c>
      <c r="AR5065">
        <v>1</v>
      </c>
      <c r="AS5065" s="1">
        <v>34980</v>
      </c>
      <c r="AT5065" s="1">
        <v>6990</v>
      </c>
      <c r="AU5065" s="1">
        <v>27990</v>
      </c>
      <c r="AV5065">
        <v>80.02</v>
      </c>
      <c r="AX5065" s="1">
        <v>3619.36</v>
      </c>
      <c r="AY5065" t="s">
        <v>560</v>
      </c>
      <c r="AZ5065" t="s">
        <v>561</v>
      </c>
      <c r="BA5065" t="s">
        <v>194</v>
      </c>
      <c r="BE5065" s="3">
        <v>42086</v>
      </c>
      <c r="BF5065" s="1">
        <v>425711</v>
      </c>
      <c r="BG5065" t="s">
        <v>749</v>
      </c>
      <c r="BH5065" s="1">
        <v>124.62</v>
      </c>
      <c r="BI5065" s="1">
        <v>427939</v>
      </c>
      <c r="BJ5065" s="3">
        <v>42086</v>
      </c>
      <c r="BK5065" t="s">
        <v>123</v>
      </c>
      <c r="BL5065" t="str">
        <f>"2015.193228"</f>
        <v>2015.193228</v>
      </c>
      <c r="BM5065" t="s">
        <v>475</v>
      </c>
      <c r="BO5065" t="s">
        <v>31444</v>
      </c>
      <c r="BS5065">
        <v>30</v>
      </c>
      <c r="BW5065" t="str">
        <f>""</f>
        <v/>
      </c>
      <c r="CH5065" t="str">
        <f>""</f>
        <v/>
      </c>
      <c r="CS5065" t="str">
        <f>""</f>
        <v/>
      </c>
    </row>
    <row r="5066" spans="1:97" x14ac:dyDescent="0.25">
      <c r="A5066" t="s">
        <v>4098</v>
      </c>
      <c r="B5066" t="s">
        <v>31445</v>
      </c>
      <c r="C5066" t="s">
        <v>1572</v>
      </c>
      <c r="D5066" t="s">
        <v>31445</v>
      </c>
      <c r="E5066" t="s">
        <v>31446</v>
      </c>
      <c r="F5066" t="s">
        <v>108</v>
      </c>
      <c r="H5066" t="s">
        <v>31447</v>
      </c>
      <c r="I5066" t="s">
        <v>225</v>
      </c>
      <c r="J5066" t="s">
        <v>111</v>
      </c>
      <c r="K5066" t="str">
        <f>"85207"</f>
        <v>85207</v>
      </c>
      <c r="L5066" t="s">
        <v>21230</v>
      </c>
      <c r="M5066" t="s">
        <v>31447</v>
      </c>
      <c r="N5066" t="s">
        <v>225</v>
      </c>
      <c r="O5066" t="s">
        <v>111</v>
      </c>
      <c r="P5066" t="str">
        <f>"85207-4124"</f>
        <v>85207-4124</v>
      </c>
      <c r="Q5066" t="s">
        <v>113</v>
      </c>
      <c r="R5066" t="str">
        <f>"218-06-458"</f>
        <v>218-06-458</v>
      </c>
      <c r="S5066" t="s">
        <v>29214</v>
      </c>
      <c r="T5066" t="s">
        <v>29214</v>
      </c>
      <c r="U5066">
        <v>3239</v>
      </c>
      <c r="V5066">
        <v>0</v>
      </c>
      <c r="W5066">
        <v>4</v>
      </c>
      <c r="X5066">
        <v>2001</v>
      </c>
      <c r="Z5066">
        <v>2</v>
      </c>
      <c r="AA5066" t="s">
        <v>26</v>
      </c>
      <c r="AB5066">
        <v>0</v>
      </c>
      <c r="AC5066" t="s">
        <v>115</v>
      </c>
      <c r="AD5066">
        <v>3</v>
      </c>
      <c r="AE5066" t="s">
        <v>115</v>
      </c>
      <c r="AF5066">
        <v>0</v>
      </c>
      <c r="AG5066">
        <v>0</v>
      </c>
      <c r="AH5066" t="s">
        <v>116</v>
      </c>
      <c r="AI5066" s="1">
        <v>79643</v>
      </c>
      <c r="AJ5066" s="2">
        <v>0.18</v>
      </c>
      <c r="AK5066" s="1">
        <v>435614</v>
      </c>
      <c r="AL5066" t="s">
        <v>117</v>
      </c>
      <c r="AM5066" t="s">
        <v>917</v>
      </c>
      <c r="AN5066">
        <v>10187</v>
      </c>
      <c r="AO5066">
        <v>0.23</v>
      </c>
      <c r="AP5066">
        <v>1</v>
      </c>
      <c r="AR5066">
        <v>1</v>
      </c>
      <c r="AS5066" s="1">
        <v>32030</v>
      </c>
      <c r="AT5066" s="1">
        <v>6400</v>
      </c>
      <c r="AU5066" s="1">
        <v>25630</v>
      </c>
      <c r="AV5066">
        <v>80.02</v>
      </c>
      <c r="AX5066" s="1">
        <v>3050.78</v>
      </c>
      <c r="AY5066" t="s">
        <v>3118</v>
      </c>
      <c r="AZ5066" t="s">
        <v>231</v>
      </c>
      <c r="BA5066" t="s">
        <v>3119</v>
      </c>
      <c r="BE5066" s="3">
        <v>41799</v>
      </c>
      <c r="BF5066" s="1">
        <v>345000</v>
      </c>
      <c r="BG5066" t="s">
        <v>31448</v>
      </c>
      <c r="BH5066" s="1">
        <v>106.51</v>
      </c>
      <c r="BI5066" s="1">
        <v>355971</v>
      </c>
      <c r="BJ5066" s="3">
        <v>42668</v>
      </c>
      <c r="BK5066" t="s">
        <v>123</v>
      </c>
      <c r="BL5066" t="str">
        <f>"2016.780700"</f>
        <v>2016.780700</v>
      </c>
      <c r="BM5066" t="s">
        <v>322</v>
      </c>
      <c r="BO5066" t="s">
        <v>31449</v>
      </c>
      <c r="BS5066">
        <v>30</v>
      </c>
      <c r="BW5066" t="str">
        <f>""</f>
        <v/>
      </c>
      <c r="CH5066" t="str">
        <f>""</f>
        <v/>
      </c>
      <c r="CS5066" t="str">
        <f>""</f>
        <v/>
      </c>
    </row>
    <row r="5067" spans="1:97" x14ac:dyDescent="0.25">
      <c r="A5067" t="s">
        <v>7969</v>
      </c>
      <c r="B5067" t="s">
        <v>31450</v>
      </c>
      <c r="C5067" t="s">
        <v>31451</v>
      </c>
      <c r="D5067" t="s">
        <v>31450</v>
      </c>
      <c r="E5067" t="s">
        <v>31452</v>
      </c>
      <c r="F5067" t="s">
        <v>108</v>
      </c>
      <c r="H5067" t="s">
        <v>31453</v>
      </c>
      <c r="I5067" t="s">
        <v>203</v>
      </c>
      <c r="J5067" t="s">
        <v>111</v>
      </c>
      <c r="K5067" t="str">
        <f>"85295"</f>
        <v>85295</v>
      </c>
      <c r="L5067" t="s">
        <v>8747</v>
      </c>
      <c r="M5067" t="s">
        <v>31453</v>
      </c>
      <c r="N5067" t="s">
        <v>203</v>
      </c>
      <c r="O5067" t="s">
        <v>111</v>
      </c>
      <c r="P5067" t="str">
        <f>"85295-4968"</f>
        <v>85295-4968</v>
      </c>
      <c r="Q5067" t="s">
        <v>113</v>
      </c>
      <c r="R5067" t="str">
        <f>"309-20-625"</f>
        <v>309-20-625</v>
      </c>
      <c r="S5067" t="s">
        <v>9211</v>
      </c>
      <c r="U5067">
        <v>2374</v>
      </c>
      <c r="V5067">
        <v>0</v>
      </c>
      <c r="W5067">
        <v>3</v>
      </c>
      <c r="X5067">
        <v>2001</v>
      </c>
      <c r="Z5067">
        <v>1</v>
      </c>
      <c r="AB5067">
        <v>0</v>
      </c>
      <c r="AC5067" t="s">
        <v>115</v>
      </c>
      <c r="AD5067">
        <v>3</v>
      </c>
      <c r="AE5067" t="s">
        <v>115</v>
      </c>
      <c r="AF5067">
        <v>0</v>
      </c>
      <c r="AG5067">
        <v>0</v>
      </c>
      <c r="AH5067" t="s">
        <v>116</v>
      </c>
      <c r="AI5067" s="1">
        <v>153840</v>
      </c>
      <c r="AJ5067" s="2">
        <v>0.38</v>
      </c>
      <c r="AK5067" s="1">
        <v>401243</v>
      </c>
      <c r="AL5067" t="s">
        <v>117</v>
      </c>
      <c r="AM5067" t="s">
        <v>171</v>
      </c>
      <c r="AN5067">
        <v>9020</v>
      </c>
      <c r="AO5067">
        <v>0.21</v>
      </c>
      <c r="AP5067">
        <v>1</v>
      </c>
      <c r="AR5067">
        <v>1</v>
      </c>
      <c r="AS5067" s="1">
        <v>28950</v>
      </c>
      <c r="AT5067" s="1">
        <v>5790</v>
      </c>
      <c r="AU5067" s="1">
        <v>23160</v>
      </c>
      <c r="AV5067">
        <v>80</v>
      </c>
      <c r="AX5067" s="1">
        <v>2055.1</v>
      </c>
      <c r="AY5067" t="s">
        <v>9212</v>
      </c>
      <c r="AZ5067" t="s">
        <v>207</v>
      </c>
      <c r="BA5067" t="s">
        <v>208</v>
      </c>
      <c r="BE5067" s="3">
        <v>42277</v>
      </c>
      <c r="BF5067" s="1">
        <v>178000</v>
      </c>
      <c r="BG5067" t="s">
        <v>31454</v>
      </c>
      <c r="BH5067" s="1">
        <v>74.98</v>
      </c>
      <c r="BI5067" s="1">
        <v>247403</v>
      </c>
      <c r="BJ5067" s="3">
        <v>42536</v>
      </c>
      <c r="BK5067" t="s">
        <v>123</v>
      </c>
      <c r="BL5067" t="str">
        <f>"2016.414277"</f>
        <v>2016.414277</v>
      </c>
      <c r="BM5067" t="s">
        <v>361</v>
      </c>
      <c r="BO5067" t="s">
        <v>31455</v>
      </c>
      <c r="BS5067">
        <v>30</v>
      </c>
      <c r="BW5067" t="str">
        <f>""</f>
        <v/>
      </c>
      <c r="CH5067" t="str">
        <f>""</f>
        <v/>
      </c>
      <c r="CS5067" t="str">
        <f>""</f>
        <v/>
      </c>
    </row>
    <row r="5068" spans="1:97" x14ac:dyDescent="0.25">
      <c r="A5068" t="s">
        <v>325</v>
      </c>
      <c r="B5068" t="s">
        <v>2611</v>
      </c>
      <c r="C5068" t="s">
        <v>2002</v>
      </c>
      <c r="D5068" t="s">
        <v>2611</v>
      </c>
      <c r="E5068" t="s">
        <v>31456</v>
      </c>
      <c r="F5068" t="s">
        <v>108</v>
      </c>
      <c r="H5068" t="s">
        <v>31457</v>
      </c>
      <c r="I5068" t="s">
        <v>453</v>
      </c>
      <c r="J5068" t="s">
        <v>111</v>
      </c>
      <c r="K5068" t="str">
        <f>"85383"</f>
        <v>85383</v>
      </c>
      <c r="L5068" t="s">
        <v>454</v>
      </c>
      <c r="M5068" t="s">
        <v>31457</v>
      </c>
      <c r="N5068" t="s">
        <v>453</v>
      </c>
      <c r="O5068" t="s">
        <v>111</v>
      </c>
      <c r="P5068" t="str">
        <f>"85383-7951"</f>
        <v>85383-7951</v>
      </c>
      <c r="Q5068" t="s">
        <v>113</v>
      </c>
      <c r="R5068" t="str">
        <f>"503-85-830"</f>
        <v>503-85-830</v>
      </c>
      <c r="S5068" t="s">
        <v>31458</v>
      </c>
      <c r="U5068">
        <v>3183</v>
      </c>
      <c r="V5068">
        <v>0</v>
      </c>
      <c r="W5068">
        <v>5</v>
      </c>
      <c r="X5068">
        <v>2013</v>
      </c>
      <c r="Z5068">
        <v>2</v>
      </c>
      <c r="AB5068">
        <v>0</v>
      </c>
      <c r="AC5068" t="s">
        <v>115</v>
      </c>
      <c r="AD5068">
        <v>3</v>
      </c>
      <c r="AE5068" t="s">
        <v>115</v>
      </c>
      <c r="AF5068">
        <v>0</v>
      </c>
      <c r="AG5068">
        <v>0</v>
      </c>
      <c r="AH5068" t="s">
        <v>116</v>
      </c>
      <c r="AI5068" s="1">
        <v>71597</v>
      </c>
      <c r="AJ5068" s="2">
        <v>0.15</v>
      </c>
      <c r="AK5068" s="1">
        <v>484297</v>
      </c>
      <c r="AL5068" t="s">
        <v>117</v>
      </c>
      <c r="AM5068" t="s">
        <v>118</v>
      </c>
      <c r="AN5068">
        <v>8171</v>
      </c>
      <c r="AO5068">
        <v>0.19</v>
      </c>
      <c r="AR5068">
        <v>1</v>
      </c>
      <c r="AS5068" s="1">
        <v>34000</v>
      </c>
      <c r="AT5068" s="1">
        <v>6800</v>
      </c>
      <c r="AU5068" s="1">
        <v>27200</v>
      </c>
      <c r="AV5068">
        <v>80</v>
      </c>
      <c r="AX5068" s="1">
        <v>3751.92</v>
      </c>
      <c r="AY5068" t="s">
        <v>456</v>
      </c>
      <c r="AZ5068" t="s">
        <v>456</v>
      </c>
      <c r="BA5068" t="s">
        <v>457</v>
      </c>
      <c r="BE5068" s="3">
        <v>41691</v>
      </c>
      <c r="BF5068" s="1">
        <v>417282</v>
      </c>
      <c r="BG5068" t="s">
        <v>275</v>
      </c>
      <c r="BH5068" s="1">
        <v>131.1</v>
      </c>
      <c r="BI5068" s="1">
        <v>412700</v>
      </c>
      <c r="BJ5068" s="3">
        <v>42536</v>
      </c>
      <c r="BK5068" t="s">
        <v>123</v>
      </c>
      <c r="BL5068" t="str">
        <f>"2016.416479"</f>
        <v>2016.416479</v>
      </c>
      <c r="BM5068" t="s">
        <v>1122</v>
      </c>
      <c r="BO5068" t="s">
        <v>31459</v>
      </c>
      <c r="BS5068">
        <v>30</v>
      </c>
      <c r="BW5068" t="str">
        <f>""</f>
        <v/>
      </c>
      <c r="CH5068" t="str">
        <f>""</f>
        <v/>
      </c>
      <c r="CS5068" t="str">
        <f>""</f>
        <v/>
      </c>
    </row>
    <row r="5069" spans="1:97" x14ac:dyDescent="0.25">
      <c r="A5069" t="s">
        <v>3274</v>
      </c>
      <c r="B5069" t="s">
        <v>2611</v>
      </c>
      <c r="E5069" t="s">
        <v>31460</v>
      </c>
      <c r="F5069" t="s">
        <v>108</v>
      </c>
      <c r="H5069" t="s">
        <v>31461</v>
      </c>
      <c r="I5069" t="s">
        <v>390</v>
      </c>
      <c r="J5069" t="s">
        <v>111</v>
      </c>
      <c r="K5069" t="str">
        <f>"85042"</f>
        <v>85042</v>
      </c>
      <c r="L5069" t="s">
        <v>6996</v>
      </c>
      <c r="M5069" t="s">
        <v>31461</v>
      </c>
      <c r="N5069" t="s">
        <v>390</v>
      </c>
      <c r="O5069" t="s">
        <v>111</v>
      </c>
      <c r="P5069" t="str">
        <f>"85042-8105"</f>
        <v>85042-8105</v>
      </c>
      <c r="Q5069" t="s">
        <v>113</v>
      </c>
      <c r="R5069" t="str">
        <f>"301-36-219"</f>
        <v>301-36-219</v>
      </c>
      <c r="S5069" t="s">
        <v>16644</v>
      </c>
      <c r="T5069" t="s">
        <v>16645</v>
      </c>
      <c r="U5069">
        <v>2951</v>
      </c>
      <c r="V5069">
        <v>0</v>
      </c>
      <c r="W5069">
        <v>4</v>
      </c>
      <c r="X5069">
        <v>2007</v>
      </c>
      <c r="Z5069">
        <v>2</v>
      </c>
      <c r="AB5069">
        <v>0</v>
      </c>
      <c r="AC5069" t="s">
        <v>115</v>
      </c>
      <c r="AD5069">
        <v>3</v>
      </c>
      <c r="AE5069" t="s">
        <v>115</v>
      </c>
      <c r="AF5069">
        <v>0</v>
      </c>
      <c r="AG5069">
        <v>0</v>
      </c>
      <c r="AH5069" t="s">
        <v>116</v>
      </c>
      <c r="AI5069" s="1">
        <v>30731</v>
      </c>
      <c r="AJ5069" s="2">
        <v>7.0000000000000007E-2</v>
      </c>
      <c r="AK5069" s="1">
        <v>447481</v>
      </c>
      <c r="AL5069" t="s">
        <v>117</v>
      </c>
      <c r="AM5069" t="s">
        <v>191</v>
      </c>
      <c r="AN5069">
        <v>9011</v>
      </c>
      <c r="AO5069">
        <v>0.21</v>
      </c>
      <c r="AR5069">
        <v>1</v>
      </c>
      <c r="AS5069" s="1">
        <v>32850</v>
      </c>
      <c r="AT5069" s="1">
        <v>6570</v>
      </c>
      <c r="AU5069" s="1">
        <v>26280</v>
      </c>
      <c r="AV5069">
        <v>80</v>
      </c>
      <c r="AX5069" s="1">
        <v>4811.9399999999996</v>
      </c>
      <c r="AY5069" t="s">
        <v>6115</v>
      </c>
      <c r="AZ5069" t="s">
        <v>6115</v>
      </c>
      <c r="BA5069" t="s">
        <v>2860</v>
      </c>
      <c r="BB5069" s="3">
        <v>43334</v>
      </c>
      <c r="BC5069" s="1">
        <v>0</v>
      </c>
      <c r="BD5069" t="s">
        <v>247</v>
      </c>
      <c r="BE5069" s="3">
        <v>42513</v>
      </c>
      <c r="BF5069" s="1">
        <v>420000</v>
      </c>
      <c r="BG5069" t="s">
        <v>31462</v>
      </c>
      <c r="BH5069" s="1">
        <v>142.32</v>
      </c>
      <c r="BI5069" s="1">
        <v>416750</v>
      </c>
      <c r="BJ5069" s="3">
        <v>42513</v>
      </c>
      <c r="BK5069" t="s">
        <v>123</v>
      </c>
      <c r="BL5069" t="str">
        <f>"2016.353367"</f>
        <v>2016.353367</v>
      </c>
      <c r="BM5069" t="s">
        <v>124</v>
      </c>
      <c r="BN5069" t="s">
        <v>1575</v>
      </c>
      <c r="BO5069" t="s">
        <v>31463</v>
      </c>
      <c r="BS5069">
        <v>30</v>
      </c>
      <c r="BW5069" t="str">
        <f>""</f>
        <v/>
      </c>
      <c r="CH5069" t="str">
        <f>""</f>
        <v/>
      </c>
      <c r="CS5069" t="str">
        <f>""</f>
        <v/>
      </c>
    </row>
    <row r="5070" spans="1:97" x14ac:dyDescent="0.25">
      <c r="A5070" t="s">
        <v>183</v>
      </c>
      <c r="B5070" t="s">
        <v>31464</v>
      </c>
      <c r="C5070" t="s">
        <v>31465</v>
      </c>
      <c r="D5070" t="s">
        <v>31464</v>
      </c>
      <c r="E5070" t="s">
        <v>31466</v>
      </c>
      <c r="F5070" t="s">
        <v>108</v>
      </c>
      <c r="H5070" t="s">
        <v>31467</v>
      </c>
      <c r="I5070" t="s">
        <v>499</v>
      </c>
      <c r="J5070" t="s">
        <v>111</v>
      </c>
      <c r="K5070" t="str">
        <f>"85395"</f>
        <v>85395</v>
      </c>
      <c r="L5070" t="s">
        <v>500</v>
      </c>
      <c r="M5070" t="s">
        <v>31467</v>
      </c>
      <c r="N5070" t="s">
        <v>499</v>
      </c>
      <c r="O5070" t="s">
        <v>111</v>
      </c>
      <c r="P5070" t="str">
        <f>"85395-7628"</f>
        <v>85395-7628</v>
      </c>
      <c r="Q5070" t="s">
        <v>113</v>
      </c>
      <c r="R5070" t="str">
        <f>"502-30-326"</f>
        <v>502-30-326</v>
      </c>
      <c r="S5070" t="s">
        <v>11404</v>
      </c>
      <c r="T5070" t="s">
        <v>502</v>
      </c>
      <c r="U5070">
        <v>3050</v>
      </c>
      <c r="V5070">
        <v>0</v>
      </c>
      <c r="W5070">
        <v>4</v>
      </c>
      <c r="X5070">
        <v>2015</v>
      </c>
      <c r="Z5070">
        <v>1</v>
      </c>
      <c r="AA5070" t="s">
        <v>26</v>
      </c>
      <c r="AB5070">
        <v>0</v>
      </c>
      <c r="AC5070" t="s">
        <v>115</v>
      </c>
      <c r="AD5070">
        <v>3</v>
      </c>
      <c r="AE5070" t="s">
        <v>115</v>
      </c>
      <c r="AF5070">
        <v>0</v>
      </c>
      <c r="AG5070">
        <v>0</v>
      </c>
      <c r="AH5070" t="s">
        <v>116</v>
      </c>
      <c r="AI5070" s="1">
        <v>12392</v>
      </c>
      <c r="AJ5070" s="2">
        <v>0.03</v>
      </c>
      <c r="AK5070" s="1">
        <v>469142</v>
      </c>
      <c r="AL5070" t="s">
        <v>117</v>
      </c>
      <c r="AM5070" t="s">
        <v>118</v>
      </c>
      <c r="AN5070">
        <v>15998</v>
      </c>
      <c r="AO5070">
        <v>0.37</v>
      </c>
      <c r="AR5070">
        <v>1</v>
      </c>
      <c r="AS5070" s="1">
        <v>36060</v>
      </c>
      <c r="AT5070" s="1">
        <v>7210</v>
      </c>
      <c r="AU5070" s="1">
        <v>28850</v>
      </c>
      <c r="AV5070">
        <v>80.010000000000005</v>
      </c>
      <c r="AX5070" s="1">
        <v>3238.06</v>
      </c>
      <c r="AY5070" t="s">
        <v>503</v>
      </c>
      <c r="AZ5070" t="s">
        <v>504</v>
      </c>
      <c r="BA5070" t="s">
        <v>218</v>
      </c>
      <c r="BE5070" s="3">
        <v>42150</v>
      </c>
      <c r="BF5070" s="1">
        <v>422640</v>
      </c>
      <c r="BG5070" t="s">
        <v>209</v>
      </c>
      <c r="BH5070" s="1">
        <v>138.57</v>
      </c>
      <c r="BI5070" s="1">
        <v>456750</v>
      </c>
      <c r="BJ5070" s="3">
        <v>42150</v>
      </c>
      <c r="BK5070" t="s">
        <v>123</v>
      </c>
      <c r="BL5070" t="str">
        <f>"2015.370090"</f>
        <v>2015.370090</v>
      </c>
      <c r="BM5070" t="s">
        <v>175</v>
      </c>
      <c r="BO5070" t="s">
        <v>31468</v>
      </c>
      <c r="BS5070">
        <v>30</v>
      </c>
      <c r="BW5070" t="str">
        <f>""</f>
        <v/>
      </c>
      <c r="CH5070" t="str">
        <f>""</f>
        <v/>
      </c>
      <c r="CS5070" t="str">
        <f>""</f>
        <v/>
      </c>
    </row>
    <row r="5071" spans="1:97" x14ac:dyDescent="0.25">
      <c r="A5071" t="s">
        <v>31469</v>
      </c>
      <c r="B5071" t="s">
        <v>1099</v>
      </c>
      <c r="C5071" t="s">
        <v>5375</v>
      </c>
      <c r="D5071" t="s">
        <v>1099</v>
      </c>
      <c r="E5071" t="s">
        <v>31470</v>
      </c>
      <c r="F5071" t="s">
        <v>108</v>
      </c>
      <c r="H5071" t="s">
        <v>31471</v>
      </c>
      <c r="I5071" t="s">
        <v>188</v>
      </c>
      <c r="J5071" t="s">
        <v>111</v>
      </c>
      <c r="K5071" t="str">
        <f>"85142"</f>
        <v>85142</v>
      </c>
      <c r="L5071" t="s">
        <v>5456</v>
      </c>
      <c r="M5071" t="s">
        <v>31471</v>
      </c>
      <c r="N5071" t="s">
        <v>188</v>
      </c>
      <c r="O5071" t="s">
        <v>111</v>
      </c>
      <c r="P5071" t="str">
        <f>"85142-7135"</f>
        <v>85142-7135</v>
      </c>
      <c r="Q5071" t="s">
        <v>113</v>
      </c>
      <c r="R5071" t="str">
        <f>"304-67-177"</f>
        <v>304-67-177</v>
      </c>
      <c r="S5071" t="s">
        <v>26952</v>
      </c>
      <c r="T5071" t="s">
        <v>7391</v>
      </c>
      <c r="U5071">
        <v>2150</v>
      </c>
      <c r="V5071">
        <v>0</v>
      </c>
      <c r="W5071">
        <v>3</v>
      </c>
      <c r="X5071">
        <v>2003</v>
      </c>
      <c r="Z5071">
        <v>1</v>
      </c>
      <c r="AB5071">
        <v>0</v>
      </c>
      <c r="AC5071" t="s">
        <v>115</v>
      </c>
      <c r="AD5071">
        <v>2</v>
      </c>
      <c r="AE5071" t="s">
        <v>115</v>
      </c>
      <c r="AF5071">
        <v>0</v>
      </c>
      <c r="AG5071">
        <v>0</v>
      </c>
      <c r="AH5071" t="s">
        <v>116</v>
      </c>
      <c r="AI5071" s="1">
        <v>30417</v>
      </c>
      <c r="AJ5071" s="2">
        <v>7.0000000000000007E-2</v>
      </c>
      <c r="AK5071" s="1">
        <v>419950</v>
      </c>
      <c r="AL5071" t="s">
        <v>117</v>
      </c>
      <c r="AM5071" t="s">
        <v>171</v>
      </c>
      <c r="AN5071">
        <v>14487</v>
      </c>
      <c r="AO5071">
        <v>0.33</v>
      </c>
      <c r="AP5071">
        <v>1</v>
      </c>
      <c r="AR5071">
        <v>1</v>
      </c>
      <c r="AS5071" s="1">
        <v>28100</v>
      </c>
      <c r="AT5071" s="1">
        <v>5620</v>
      </c>
      <c r="AU5071" s="1">
        <v>22480</v>
      </c>
      <c r="AV5071">
        <v>80</v>
      </c>
      <c r="AX5071" s="1">
        <v>2872.48</v>
      </c>
      <c r="AY5071" t="s">
        <v>192</v>
      </c>
      <c r="AZ5071" t="s">
        <v>193</v>
      </c>
      <c r="BA5071" t="s">
        <v>194</v>
      </c>
      <c r="BE5071" s="3">
        <v>42522</v>
      </c>
      <c r="BF5071" s="1">
        <v>390000</v>
      </c>
      <c r="BG5071" t="s">
        <v>31472</v>
      </c>
      <c r="BH5071" s="1">
        <v>181.4</v>
      </c>
      <c r="BI5071" s="1">
        <v>389533</v>
      </c>
      <c r="BJ5071" s="3">
        <v>42744</v>
      </c>
      <c r="BK5071" t="s">
        <v>123</v>
      </c>
      <c r="BL5071" t="str">
        <f>"2017.14546"</f>
        <v>2017.14546</v>
      </c>
      <c r="BM5071" t="s">
        <v>309</v>
      </c>
      <c r="BO5071" t="s">
        <v>31473</v>
      </c>
      <c r="BS5071">
        <v>30</v>
      </c>
      <c r="BW5071" t="str">
        <f>""</f>
        <v/>
      </c>
      <c r="CH5071" t="str">
        <f>""</f>
        <v/>
      </c>
      <c r="CS5071" t="str">
        <f>""</f>
        <v/>
      </c>
    </row>
    <row r="5072" spans="1:97" x14ac:dyDescent="0.25">
      <c r="A5072" t="s">
        <v>31474</v>
      </c>
      <c r="B5072" t="s">
        <v>5280</v>
      </c>
      <c r="C5072" t="s">
        <v>31475</v>
      </c>
      <c r="D5072" t="s">
        <v>5280</v>
      </c>
      <c r="E5072" t="s">
        <v>31476</v>
      </c>
      <c r="F5072" t="s">
        <v>108</v>
      </c>
      <c r="H5072" t="s">
        <v>31477</v>
      </c>
      <c r="I5072" t="s">
        <v>5636</v>
      </c>
      <c r="J5072" t="s">
        <v>111</v>
      </c>
      <c r="K5072" t="str">
        <f>"85268"</f>
        <v>85268</v>
      </c>
      <c r="L5072" t="s">
        <v>8103</v>
      </c>
      <c r="M5072" t="s">
        <v>31477</v>
      </c>
      <c r="N5072" t="s">
        <v>5636</v>
      </c>
      <c r="O5072" t="s">
        <v>111</v>
      </c>
      <c r="P5072" t="str">
        <f>"85268-4831"</f>
        <v>85268-4831</v>
      </c>
      <c r="Q5072" t="s">
        <v>113</v>
      </c>
      <c r="R5072" t="str">
        <f>"176-13-002"</f>
        <v>176-13-002</v>
      </c>
      <c r="S5072" t="s">
        <v>31478</v>
      </c>
      <c r="U5072">
        <v>2221</v>
      </c>
      <c r="V5072">
        <v>0</v>
      </c>
      <c r="W5072">
        <v>3</v>
      </c>
      <c r="X5072">
        <v>1985</v>
      </c>
      <c r="Z5072">
        <v>1</v>
      </c>
      <c r="AB5072">
        <v>0</v>
      </c>
      <c r="AC5072" t="s">
        <v>115</v>
      </c>
      <c r="AD5072">
        <v>2</v>
      </c>
      <c r="AE5072" t="s">
        <v>115</v>
      </c>
      <c r="AF5072">
        <v>0</v>
      </c>
      <c r="AG5072">
        <v>0</v>
      </c>
      <c r="AH5072" t="s">
        <v>116</v>
      </c>
      <c r="AI5072" s="1">
        <v>39333</v>
      </c>
      <c r="AJ5072" s="2">
        <v>0.09</v>
      </c>
      <c r="AK5072" s="1">
        <v>450933</v>
      </c>
      <c r="AL5072" t="s">
        <v>117</v>
      </c>
      <c r="AM5072" t="s">
        <v>171</v>
      </c>
      <c r="AN5072">
        <v>10449</v>
      </c>
      <c r="AO5072">
        <v>0.24</v>
      </c>
      <c r="AP5072">
        <v>1</v>
      </c>
      <c r="AR5072">
        <v>1</v>
      </c>
      <c r="AS5072" s="1">
        <v>32210</v>
      </c>
      <c r="AT5072" s="1">
        <v>6440</v>
      </c>
      <c r="AU5072" s="1">
        <v>25770</v>
      </c>
      <c r="AV5072">
        <v>80.010000000000005</v>
      </c>
      <c r="AX5072" s="1">
        <v>2093.92</v>
      </c>
      <c r="AY5072" t="s">
        <v>5639</v>
      </c>
      <c r="AZ5072" t="s">
        <v>5640</v>
      </c>
      <c r="BA5072" t="s">
        <v>5641</v>
      </c>
      <c r="BB5072" s="3">
        <v>42522</v>
      </c>
      <c r="BD5072" t="s">
        <v>240</v>
      </c>
      <c r="BE5072" s="3">
        <v>41729</v>
      </c>
      <c r="BF5072" s="1">
        <v>345000</v>
      </c>
      <c r="BG5072" t="s">
        <v>31479</v>
      </c>
      <c r="BH5072" s="1">
        <v>155.34</v>
      </c>
      <c r="BI5072" s="1">
        <v>356600</v>
      </c>
      <c r="BJ5072" s="3">
        <v>42522</v>
      </c>
      <c r="BK5072" t="s">
        <v>123</v>
      </c>
      <c r="BL5072" t="str">
        <f>"2016.379695"</f>
        <v>2016.379695</v>
      </c>
      <c r="BM5072" t="s">
        <v>255</v>
      </c>
      <c r="BN5072" t="s">
        <v>2398</v>
      </c>
      <c r="BO5072" t="s">
        <v>31480</v>
      </c>
      <c r="BS5072">
        <v>30</v>
      </c>
      <c r="BT5072" s="1">
        <v>55000</v>
      </c>
      <c r="BU5072" s="3">
        <v>43668</v>
      </c>
      <c r="BW5072" t="str">
        <f>"2019.551072"</f>
        <v>2019.551072</v>
      </c>
      <c r="BX5072" t="s">
        <v>20097</v>
      </c>
      <c r="BY5072" t="s">
        <v>20098</v>
      </c>
      <c r="BZ5072" t="s">
        <v>31481</v>
      </c>
      <c r="CA5072" t="s">
        <v>31482</v>
      </c>
      <c r="CC5072" t="s">
        <v>346</v>
      </c>
      <c r="CH5072" t="str">
        <f>""</f>
        <v/>
      </c>
      <c r="CS5072" t="str">
        <f>""</f>
        <v/>
      </c>
    </row>
    <row r="5073" spans="1:97" x14ac:dyDescent="0.25">
      <c r="A5073" t="s">
        <v>1938</v>
      </c>
      <c r="B5073" t="s">
        <v>31483</v>
      </c>
      <c r="C5073" t="s">
        <v>933</v>
      </c>
      <c r="D5073" t="s">
        <v>31483</v>
      </c>
      <c r="E5073" t="s">
        <v>31484</v>
      </c>
      <c r="F5073" t="s">
        <v>108</v>
      </c>
      <c r="H5073" t="s">
        <v>31485</v>
      </c>
      <c r="I5073" t="s">
        <v>203</v>
      </c>
      <c r="J5073" t="s">
        <v>111</v>
      </c>
      <c r="K5073" t="str">
        <f>"85298"</f>
        <v>85298</v>
      </c>
      <c r="L5073" t="s">
        <v>6416</v>
      </c>
      <c r="M5073" t="s">
        <v>31485</v>
      </c>
      <c r="N5073" t="s">
        <v>203</v>
      </c>
      <c r="O5073" t="s">
        <v>111</v>
      </c>
      <c r="P5073" t="str">
        <f>"85298-8676"</f>
        <v>85298-8676</v>
      </c>
      <c r="Q5073" t="s">
        <v>113</v>
      </c>
      <c r="R5073" t="str">
        <f>"313-05-538"</f>
        <v>313-05-538</v>
      </c>
      <c r="S5073" t="s">
        <v>31486</v>
      </c>
      <c r="U5073">
        <v>2404</v>
      </c>
      <c r="V5073">
        <v>0</v>
      </c>
      <c r="W5073">
        <v>3</v>
      </c>
      <c r="X5073">
        <v>2005</v>
      </c>
      <c r="Z5073">
        <v>1</v>
      </c>
      <c r="AB5073">
        <v>0</v>
      </c>
      <c r="AC5073" t="s">
        <v>115</v>
      </c>
      <c r="AD5073">
        <v>2</v>
      </c>
      <c r="AE5073" t="s">
        <v>115</v>
      </c>
      <c r="AF5073">
        <v>0</v>
      </c>
      <c r="AG5073">
        <v>0</v>
      </c>
      <c r="AH5073" t="s">
        <v>116</v>
      </c>
      <c r="AI5073" s="1">
        <v>109941</v>
      </c>
      <c r="AJ5073" s="2">
        <v>0.26</v>
      </c>
      <c r="AK5073" s="1">
        <v>424322</v>
      </c>
      <c r="AL5073" t="s">
        <v>117</v>
      </c>
      <c r="AM5073" t="s">
        <v>191</v>
      </c>
      <c r="AN5073">
        <v>8397</v>
      </c>
      <c r="AO5073">
        <v>0.19</v>
      </c>
      <c r="AR5073">
        <v>1</v>
      </c>
      <c r="AS5073" s="1">
        <v>30150</v>
      </c>
      <c r="AT5073" s="1">
        <v>6030</v>
      </c>
      <c r="AU5073" s="1">
        <v>24120</v>
      </c>
      <c r="AV5073">
        <v>80</v>
      </c>
      <c r="AX5073" s="1">
        <v>2800.84</v>
      </c>
      <c r="AY5073" t="s">
        <v>5792</v>
      </c>
      <c r="AZ5073" t="s">
        <v>5792</v>
      </c>
      <c r="BA5073" t="s">
        <v>290</v>
      </c>
      <c r="BE5073" s="3">
        <v>42517</v>
      </c>
      <c r="BF5073" s="1">
        <v>345000</v>
      </c>
      <c r="BG5073" t="s">
        <v>31487</v>
      </c>
      <c r="BH5073" s="1">
        <v>143.51</v>
      </c>
      <c r="BI5073" s="1">
        <v>314381</v>
      </c>
      <c r="BJ5073" s="3">
        <v>42517</v>
      </c>
      <c r="BK5073" t="s">
        <v>123</v>
      </c>
      <c r="BL5073" t="str">
        <f>"2016.368219"</f>
        <v>2016.368219</v>
      </c>
      <c r="BM5073" t="s">
        <v>1038</v>
      </c>
      <c r="BO5073" t="s">
        <v>31488</v>
      </c>
      <c r="BS5073">
        <v>30</v>
      </c>
      <c r="BW5073" t="str">
        <f>""</f>
        <v/>
      </c>
      <c r="CH5073" t="str">
        <f>""</f>
        <v/>
      </c>
      <c r="CS5073" t="str">
        <f>""</f>
        <v/>
      </c>
    </row>
    <row r="5074" spans="1:97" x14ac:dyDescent="0.25">
      <c r="A5074" t="s">
        <v>464</v>
      </c>
      <c r="B5074" t="s">
        <v>31489</v>
      </c>
      <c r="C5074" t="s">
        <v>703</v>
      </c>
      <c r="D5074" t="s">
        <v>31489</v>
      </c>
      <c r="E5074" t="s">
        <v>31490</v>
      </c>
      <c r="F5074" t="s">
        <v>108</v>
      </c>
      <c r="H5074" t="s">
        <v>31491</v>
      </c>
      <c r="I5074" t="s">
        <v>203</v>
      </c>
      <c r="J5074" t="s">
        <v>111</v>
      </c>
      <c r="K5074" t="str">
        <f>"85298"</f>
        <v>85298</v>
      </c>
      <c r="L5074" t="s">
        <v>2211</v>
      </c>
      <c r="M5074" t="s">
        <v>31491</v>
      </c>
      <c r="N5074" t="s">
        <v>203</v>
      </c>
      <c r="O5074" t="s">
        <v>111</v>
      </c>
      <c r="P5074" t="str">
        <f>"85298-2309"</f>
        <v>85298-2309</v>
      </c>
      <c r="Q5074" t="s">
        <v>113</v>
      </c>
      <c r="R5074" t="str">
        <f>"304-81-742"</f>
        <v>304-81-742</v>
      </c>
      <c r="S5074" t="s">
        <v>7566</v>
      </c>
      <c r="T5074" t="s">
        <v>2213</v>
      </c>
      <c r="U5074">
        <v>2432</v>
      </c>
      <c r="V5074">
        <v>0</v>
      </c>
      <c r="W5074">
        <v>4</v>
      </c>
      <c r="X5074">
        <v>2013</v>
      </c>
      <c r="Z5074">
        <v>1</v>
      </c>
      <c r="AA5074" t="s">
        <v>26</v>
      </c>
      <c r="AB5074">
        <v>0</v>
      </c>
      <c r="AC5074" t="s">
        <v>115</v>
      </c>
      <c r="AD5074">
        <v>3</v>
      </c>
      <c r="AE5074" t="s">
        <v>115</v>
      </c>
      <c r="AF5074">
        <v>0</v>
      </c>
      <c r="AG5074">
        <v>0</v>
      </c>
      <c r="AH5074" t="s">
        <v>116</v>
      </c>
      <c r="AI5074" s="1">
        <v>60441</v>
      </c>
      <c r="AJ5074" s="2">
        <v>0.13</v>
      </c>
      <c r="AK5074" s="1">
        <v>458042</v>
      </c>
      <c r="AL5074" t="s">
        <v>117</v>
      </c>
      <c r="AM5074" t="s">
        <v>1293</v>
      </c>
      <c r="AN5074">
        <v>8400</v>
      </c>
      <c r="AO5074">
        <v>0.19</v>
      </c>
      <c r="AR5074">
        <v>1</v>
      </c>
      <c r="AS5074" s="1">
        <v>32680</v>
      </c>
      <c r="AT5074" s="1">
        <v>6530</v>
      </c>
      <c r="AU5074" s="1">
        <v>26150</v>
      </c>
      <c r="AV5074">
        <v>80.02</v>
      </c>
      <c r="AX5074" s="1">
        <v>2842.42</v>
      </c>
      <c r="AY5074" t="s">
        <v>2214</v>
      </c>
      <c r="AZ5074" t="s">
        <v>1134</v>
      </c>
      <c r="BA5074" t="s">
        <v>1134</v>
      </c>
      <c r="BE5074" s="3">
        <v>42460</v>
      </c>
      <c r="BF5074" s="1">
        <v>384900</v>
      </c>
      <c r="BG5074" t="s">
        <v>31492</v>
      </c>
      <c r="BH5074" s="1">
        <v>158.26</v>
      </c>
      <c r="BI5074" s="1">
        <v>397601</v>
      </c>
      <c r="BJ5074" s="3">
        <v>42460</v>
      </c>
      <c r="BK5074" t="s">
        <v>123</v>
      </c>
      <c r="BL5074" t="str">
        <f>"2016.209234"</f>
        <v>2016.209234</v>
      </c>
      <c r="BM5074" t="s">
        <v>1791</v>
      </c>
      <c r="BO5074" t="s">
        <v>31493</v>
      </c>
      <c r="BS5074">
        <v>30</v>
      </c>
      <c r="BW5074" t="str">
        <f>""</f>
        <v/>
      </c>
      <c r="CH5074" t="str">
        <f>""</f>
        <v/>
      </c>
      <c r="CS5074" t="str">
        <f>""</f>
        <v/>
      </c>
    </row>
    <row r="5075" spans="1:97" x14ac:dyDescent="0.25">
      <c r="A5075" t="s">
        <v>31494</v>
      </c>
      <c r="B5075" t="s">
        <v>31495</v>
      </c>
      <c r="C5075" t="s">
        <v>2762</v>
      </c>
      <c r="D5075" t="s">
        <v>31495</v>
      </c>
      <c r="E5075" t="s">
        <v>31496</v>
      </c>
      <c r="F5075" t="s">
        <v>108</v>
      </c>
      <c r="H5075" t="s">
        <v>31497</v>
      </c>
      <c r="I5075" t="s">
        <v>225</v>
      </c>
      <c r="J5075" t="s">
        <v>111</v>
      </c>
      <c r="K5075" t="str">
        <f>"85205"</f>
        <v>85205</v>
      </c>
      <c r="L5075" t="s">
        <v>1518</v>
      </c>
      <c r="M5075" t="s">
        <v>31497</v>
      </c>
      <c r="N5075" t="s">
        <v>225</v>
      </c>
      <c r="O5075" t="s">
        <v>111</v>
      </c>
      <c r="P5075" t="str">
        <f>"85205-5111"</f>
        <v>85205-5111</v>
      </c>
      <c r="Q5075" t="s">
        <v>113</v>
      </c>
      <c r="R5075" t="str">
        <f>"140-04-033"</f>
        <v>140-04-033</v>
      </c>
      <c r="S5075" t="s">
        <v>31498</v>
      </c>
      <c r="T5075" t="s">
        <v>31498</v>
      </c>
      <c r="U5075">
        <v>3850</v>
      </c>
      <c r="V5075">
        <v>0</v>
      </c>
      <c r="W5075">
        <v>4</v>
      </c>
      <c r="X5075">
        <v>1999</v>
      </c>
      <c r="Z5075">
        <v>2</v>
      </c>
      <c r="AB5075">
        <v>0</v>
      </c>
      <c r="AC5075" t="s">
        <v>115</v>
      </c>
      <c r="AD5075">
        <v>3</v>
      </c>
      <c r="AE5075" t="s">
        <v>115</v>
      </c>
      <c r="AF5075">
        <v>0</v>
      </c>
      <c r="AG5075">
        <v>0</v>
      </c>
      <c r="AH5075" t="s">
        <v>116</v>
      </c>
      <c r="AI5075" s="1">
        <v>202913</v>
      </c>
      <c r="AJ5075" s="2">
        <v>0.34</v>
      </c>
      <c r="AK5075" s="1">
        <v>602850</v>
      </c>
      <c r="AL5075" t="s">
        <v>117</v>
      </c>
      <c r="AM5075" t="s">
        <v>1521</v>
      </c>
      <c r="AN5075">
        <v>21566</v>
      </c>
      <c r="AO5075">
        <v>0.5</v>
      </c>
      <c r="AP5075">
        <v>1</v>
      </c>
      <c r="AR5075">
        <v>1</v>
      </c>
      <c r="AS5075" s="1">
        <v>40110</v>
      </c>
      <c r="AT5075" s="1">
        <v>8020</v>
      </c>
      <c r="AU5075" s="1">
        <v>32090</v>
      </c>
      <c r="AV5075">
        <v>80</v>
      </c>
      <c r="AX5075" s="1">
        <v>3787.6</v>
      </c>
      <c r="AY5075" t="s">
        <v>1522</v>
      </c>
      <c r="AZ5075" t="s">
        <v>4163</v>
      </c>
      <c r="BA5075" t="s">
        <v>1524</v>
      </c>
      <c r="BE5075" s="3">
        <v>42438</v>
      </c>
      <c r="BF5075" s="1">
        <v>495000</v>
      </c>
      <c r="BG5075" t="s">
        <v>31499</v>
      </c>
      <c r="BH5075" s="1">
        <v>128.57</v>
      </c>
      <c r="BI5075" s="1">
        <v>399937</v>
      </c>
      <c r="BJ5075" s="3">
        <v>42438</v>
      </c>
      <c r="BK5075" t="s">
        <v>123</v>
      </c>
      <c r="BL5075" t="str">
        <f>"2016.151979"</f>
        <v>2016.151979</v>
      </c>
      <c r="BM5075" t="s">
        <v>1287</v>
      </c>
      <c r="BO5075" t="s">
        <v>31500</v>
      </c>
      <c r="BS5075">
        <v>30</v>
      </c>
      <c r="BW5075" t="str">
        <f>""</f>
        <v/>
      </c>
      <c r="CH5075" t="str">
        <f>""</f>
        <v/>
      </c>
      <c r="CS5075" t="str">
        <f>""</f>
        <v/>
      </c>
    </row>
    <row r="5076" spans="1:97" x14ac:dyDescent="0.25">
      <c r="A5076" t="s">
        <v>1455</v>
      </c>
      <c r="B5076" t="s">
        <v>31501</v>
      </c>
      <c r="E5076" t="s">
        <v>31502</v>
      </c>
      <c r="F5076" t="s">
        <v>108</v>
      </c>
      <c r="H5076" t="s">
        <v>31503</v>
      </c>
      <c r="I5076" t="s">
        <v>167</v>
      </c>
      <c r="J5076" t="s">
        <v>111</v>
      </c>
      <c r="K5076" t="str">
        <f>"85339"</f>
        <v>85339</v>
      </c>
      <c r="L5076" t="s">
        <v>3885</v>
      </c>
      <c r="M5076" t="s">
        <v>31503</v>
      </c>
      <c r="N5076" t="s">
        <v>167</v>
      </c>
      <c r="O5076" t="s">
        <v>111</v>
      </c>
      <c r="P5076" t="str">
        <f>"85339-2088"</f>
        <v>85339-2088</v>
      </c>
      <c r="Q5076" t="s">
        <v>113</v>
      </c>
      <c r="R5076" t="str">
        <f>"300-10-419"</f>
        <v>300-10-419</v>
      </c>
      <c r="S5076" t="s">
        <v>12928</v>
      </c>
      <c r="T5076" t="s">
        <v>12928</v>
      </c>
      <c r="U5076">
        <v>3566</v>
      </c>
      <c r="V5076">
        <v>0</v>
      </c>
      <c r="W5076">
        <v>4</v>
      </c>
      <c r="X5076">
        <v>2006</v>
      </c>
      <c r="Z5076">
        <v>2</v>
      </c>
      <c r="AA5076" t="s">
        <v>26</v>
      </c>
      <c r="AB5076">
        <v>0</v>
      </c>
      <c r="AC5076" t="s">
        <v>115</v>
      </c>
      <c r="AD5076">
        <v>3</v>
      </c>
      <c r="AE5076" t="s">
        <v>115</v>
      </c>
      <c r="AF5076">
        <v>0</v>
      </c>
      <c r="AG5076">
        <v>0</v>
      </c>
      <c r="AH5076" t="s">
        <v>116</v>
      </c>
      <c r="AI5076" s="1">
        <v>111450</v>
      </c>
      <c r="AJ5076" s="2">
        <v>0.28999999999999998</v>
      </c>
      <c r="AK5076" s="1">
        <v>390431</v>
      </c>
      <c r="AL5076" t="s">
        <v>117</v>
      </c>
      <c r="AM5076" t="s">
        <v>1302</v>
      </c>
      <c r="AN5076">
        <v>9817</v>
      </c>
      <c r="AO5076">
        <v>0.22</v>
      </c>
      <c r="AR5076">
        <v>1</v>
      </c>
      <c r="AS5076" s="1">
        <v>27780</v>
      </c>
      <c r="AT5076" s="1">
        <v>5550</v>
      </c>
      <c r="AU5076" s="1">
        <v>22230</v>
      </c>
      <c r="AV5076">
        <v>80.02</v>
      </c>
      <c r="AX5076" s="1">
        <v>3869.06</v>
      </c>
      <c r="AY5076" t="s">
        <v>5777</v>
      </c>
      <c r="AZ5076" t="s">
        <v>5777</v>
      </c>
      <c r="BA5076" t="s">
        <v>173</v>
      </c>
      <c r="BE5076" s="3">
        <v>41768</v>
      </c>
      <c r="BF5076" s="1">
        <v>296000</v>
      </c>
      <c r="BG5076" t="s">
        <v>31504</v>
      </c>
      <c r="BH5076" s="1">
        <v>83.01</v>
      </c>
      <c r="BI5076" s="1">
        <v>278981</v>
      </c>
      <c r="BJ5076" s="3">
        <v>41768</v>
      </c>
      <c r="BK5076" t="s">
        <v>123</v>
      </c>
      <c r="BL5076" t="str">
        <f>"2014.304960"</f>
        <v>2014.304960</v>
      </c>
      <c r="BM5076" t="s">
        <v>1791</v>
      </c>
      <c r="BO5076" t="s">
        <v>31505</v>
      </c>
      <c r="BS5076">
        <v>30</v>
      </c>
      <c r="BW5076" t="str">
        <f>""</f>
        <v/>
      </c>
      <c r="CH5076" t="str">
        <f>""</f>
        <v/>
      </c>
      <c r="CS5076" t="str">
        <f>""</f>
        <v/>
      </c>
    </row>
    <row r="5077" spans="1:97" x14ac:dyDescent="0.25">
      <c r="A5077" t="s">
        <v>1109</v>
      </c>
      <c r="B5077" t="s">
        <v>16775</v>
      </c>
      <c r="E5077" t="s">
        <v>31506</v>
      </c>
      <c r="F5077" t="s">
        <v>108</v>
      </c>
      <c r="H5077" t="s">
        <v>31507</v>
      </c>
      <c r="I5077" t="s">
        <v>2874</v>
      </c>
      <c r="J5077" t="s">
        <v>111</v>
      </c>
      <c r="K5077" t="str">
        <f>"85308"</f>
        <v>85308</v>
      </c>
      <c r="L5077" t="s">
        <v>5239</v>
      </c>
      <c r="M5077" t="s">
        <v>31507</v>
      </c>
      <c r="N5077" t="s">
        <v>2874</v>
      </c>
      <c r="O5077" t="s">
        <v>111</v>
      </c>
      <c r="P5077" t="str">
        <f>"85308-5614"</f>
        <v>85308-5614</v>
      </c>
      <c r="Q5077" t="s">
        <v>113</v>
      </c>
      <c r="R5077" t="str">
        <f>"200-29-161"</f>
        <v>200-29-161</v>
      </c>
      <c r="S5077" t="s">
        <v>13241</v>
      </c>
      <c r="T5077" t="s">
        <v>13242</v>
      </c>
      <c r="U5077">
        <v>1770</v>
      </c>
      <c r="V5077">
        <v>0</v>
      </c>
      <c r="W5077">
        <v>3</v>
      </c>
      <c r="X5077">
        <v>1986</v>
      </c>
      <c r="Z5077">
        <v>1</v>
      </c>
      <c r="AA5077" t="s">
        <v>26</v>
      </c>
      <c r="AB5077">
        <v>0</v>
      </c>
      <c r="AC5077" t="s">
        <v>115</v>
      </c>
      <c r="AD5077">
        <v>2</v>
      </c>
      <c r="AE5077" t="s">
        <v>115</v>
      </c>
      <c r="AF5077">
        <v>0</v>
      </c>
      <c r="AG5077">
        <v>0</v>
      </c>
      <c r="AH5077" t="s">
        <v>116</v>
      </c>
      <c r="AI5077" s="1">
        <v>43438</v>
      </c>
      <c r="AJ5077" s="2">
        <v>0.13</v>
      </c>
      <c r="AK5077" s="1">
        <v>340315</v>
      </c>
      <c r="AL5077" t="s">
        <v>117</v>
      </c>
      <c r="AM5077" t="s">
        <v>191</v>
      </c>
      <c r="AN5077">
        <v>7455</v>
      </c>
      <c r="AO5077">
        <v>0.17</v>
      </c>
      <c r="AP5077">
        <v>1</v>
      </c>
      <c r="AR5077">
        <v>1</v>
      </c>
      <c r="AS5077" s="1">
        <v>23980</v>
      </c>
      <c r="AT5077" s="1">
        <v>4790</v>
      </c>
      <c r="AU5077" s="1">
        <v>19190</v>
      </c>
      <c r="AV5077">
        <v>80.03</v>
      </c>
      <c r="AX5077" s="1">
        <v>2296.3000000000002</v>
      </c>
      <c r="AY5077" t="s">
        <v>8400</v>
      </c>
      <c r="AZ5077" t="s">
        <v>8400</v>
      </c>
      <c r="BA5077" t="s">
        <v>2223</v>
      </c>
      <c r="BE5077" s="3">
        <v>42153</v>
      </c>
      <c r="BF5077" s="1">
        <v>285000</v>
      </c>
      <c r="BG5077" t="s">
        <v>31508</v>
      </c>
      <c r="BH5077" s="1">
        <v>161.02000000000001</v>
      </c>
      <c r="BI5077" s="1">
        <v>296877</v>
      </c>
      <c r="BJ5077" s="3">
        <v>42544</v>
      </c>
      <c r="BK5077" t="s">
        <v>123</v>
      </c>
      <c r="BL5077" t="str">
        <f>"2016.439918"</f>
        <v>2016.439918</v>
      </c>
      <c r="BM5077" t="s">
        <v>673</v>
      </c>
      <c r="BO5077" t="s">
        <v>31509</v>
      </c>
      <c r="BS5077">
        <v>30</v>
      </c>
      <c r="BW5077" t="str">
        <f>""</f>
        <v/>
      </c>
      <c r="CH5077" t="str">
        <f>""</f>
        <v/>
      </c>
      <c r="CS5077" t="str">
        <f>""</f>
        <v/>
      </c>
    </row>
    <row r="5078" spans="1:97" x14ac:dyDescent="0.25">
      <c r="A5078" t="s">
        <v>31510</v>
      </c>
      <c r="B5078" t="s">
        <v>31511</v>
      </c>
      <c r="C5078" t="s">
        <v>220</v>
      </c>
      <c r="D5078" t="s">
        <v>31511</v>
      </c>
      <c r="E5078" t="s">
        <v>31512</v>
      </c>
      <c r="F5078" t="s">
        <v>108</v>
      </c>
      <c r="H5078" t="s">
        <v>31513</v>
      </c>
      <c r="I5078" t="s">
        <v>225</v>
      </c>
      <c r="J5078" t="s">
        <v>111</v>
      </c>
      <c r="K5078" t="str">
        <f>"85209"</f>
        <v>85209</v>
      </c>
      <c r="L5078" t="s">
        <v>6316</v>
      </c>
      <c r="M5078" t="s">
        <v>31513</v>
      </c>
      <c r="N5078" t="s">
        <v>225</v>
      </c>
      <c r="O5078" t="s">
        <v>111</v>
      </c>
      <c r="P5078" t="str">
        <f>"85209-2235"</f>
        <v>85209-2235</v>
      </c>
      <c r="Q5078" t="s">
        <v>113</v>
      </c>
      <c r="R5078" t="str">
        <f>"312-01-635"</f>
        <v>312-01-635</v>
      </c>
      <c r="S5078" t="s">
        <v>25143</v>
      </c>
      <c r="U5078">
        <v>3389</v>
      </c>
      <c r="V5078">
        <v>0</v>
      </c>
      <c r="W5078">
        <v>3</v>
      </c>
      <c r="X5078">
        <v>2001</v>
      </c>
      <c r="Z5078">
        <v>2</v>
      </c>
      <c r="AA5078" t="s">
        <v>26</v>
      </c>
      <c r="AB5078">
        <v>0</v>
      </c>
      <c r="AC5078" t="s">
        <v>115</v>
      </c>
      <c r="AD5078">
        <v>3</v>
      </c>
      <c r="AE5078" t="s">
        <v>115</v>
      </c>
      <c r="AF5078">
        <v>0</v>
      </c>
      <c r="AG5078">
        <v>0</v>
      </c>
      <c r="AH5078" t="s">
        <v>116</v>
      </c>
      <c r="AI5078" s="1">
        <v>151873</v>
      </c>
      <c r="AJ5078" s="2">
        <v>0.35</v>
      </c>
      <c r="AK5078" s="1">
        <v>435373</v>
      </c>
      <c r="AL5078" t="s">
        <v>117</v>
      </c>
      <c r="AM5078" t="s">
        <v>191</v>
      </c>
      <c r="AN5078">
        <v>6900</v>
      </c>
      <c r="AO5078">
        <v>0.16</v>
      </c>
      <c r="AP5078">
        <v>1</v>
      </c>
      <c r="AR5078">
        <v>1</v>
      </c>
      <c r="AS5078" s="1">
        <v>31020</v>
      </c>
      <c r="AT5078" s="1">
        <v>6200</v>
      </c>
      <c r="AU5078" s="1">
        <v>24820</v>
      </c>
      <c r="AV5078">
        <v>80.010000000000005</v>
      </c>
      <c r="AX5078" s="1">
        <v>2511.1999999999998</v>
      </c>
      <c r="AY5078" t="s">
        <v>4370</v>
      </c>
      <c r="AZ5078" t="s">
        <v>777</v>
      </c>
      <c r="BA5078" t="s">
        <v>572</v>
      </c>
      <c r="BE5078" s="3">
        <v>42465</v>
      </c>
      <c r="BF5078" s="1">
        <v>350000</v>
      </c>
      <c r="BG5078" t="s">
        <v>31514</v>
      </c>
      <c r="BH5078" s="1">
        <v>103.28</v>
      </c>
      <c r="BI5078" s="1">
        <v>283500</v>
      </c>
      <c r="BJ5078" s="3">
        <v>42465</v>
      </c>
      <c r="BK5078" t="s">
        <v>123</v>
      </c>
      <c r="BL5078" t="str">
        <f>"2016.223353"</f>
        <v>2016.223353</v>
      </c>
      <c r="BM5078" t="s">
        <v>2472</v>
      </c>
      <c r="BO5078" t="s">
        <v>31515</v>
      </c>
      <c r="BS5078">
        <v>30</v>
      </c>
      <c r="BW5078" t="str">
        <f>""</f>
        <v/>
      </c>
      <c r="CH5078" t="str">
        <f>""</f>
        <v/>
      </c>
      <c r="CS5078" t="str">
        <f>""</f>
        <v/>
      </c>
    </row>
    <row r="5079" spans="1:97" x14ac:dyDescent="0.25">
      <c r="A5079" t="s">
        <v>4864</v>
      </c>
      <c r="B5079" t="s">
        <v>31516</v>
      </c>
      <c r="C5079" t="s">
        <v>31517</v>
      </c>
      <c r="D5079" t="s">
        <v>31516</v>
      </c>
      <c r="E5079" t="s">
        <v>31518</v>
      </c>
      <c r="F5079" t="s">
        <v>108</v>
      </c>
      <c r="H5079" t="s">
        <v>31519</v>
      </c>
      <c r="I5079" t="s">
        <v>1936</v>
      </c>
      <c r="J5079" t="s">
        <v>111</v>
      </c>
      <c r="K5079" t="str">
        <f>"85251"</f>
        <v>85251</v>
      </c>
      <c r="L5079" t="s">
        <v>8199</v>
      </c>
      <c r="M5079" t="s">
        <v>31519</v>
      </c>
      <c r="N5079" t="s">
        <v>1936</v>
      </c>
      <c r="O5079" t="s">
        <v>111</v>
      </c>
      <c r="P5079" t="str">
        <f>"85251-1836"</f>
        <v>85251-1836</v>
      </c>
      <c r="Q5079" t="s">
        <v>113</v>
      </c>
      <c r="R5079" t="str">
        <f>"173-67-051"</f>
        <v>173-67-051</v>
      </c>
      <c r="S5079" t="s">
        <v>31520</v>
      </c>
      <c r="U5079">
        <v>2480</v>
      </c>
      <c r="V5079">
        <v>0</v>
      </c>
      <c r="W5079">
        <v>2</v>
      </c>
      <c r="X5079">
        <v>1962</v>
      </c>
      <c r="Z5079">
        <v>1</v>
      </c>
      <c r="AA5079" t="s">
        <v>15127</v>
      </c>
      <c r="AB5079">
        <v>0</v>
      </c>
      <c r="AC5079" t="s">
        <v>115</v>
      </c>
      <c r="AD5079">
        <v>2</v>
      </c>
      <c r="AE5079" t="s">
        <v>115</v>
      </c>
      <c r="AF5079">
        <v>0</v>
      </c>
      <c r="AG5079">
        <v>0</v>
      </c>
      <c r="AH5079" t="s">
        <v>116</v>
      </c>
      <c r="AI5079" s="1">
        <v>94174</v>
      </c>
      <c r="AJ5079" s="2">
        <v>0.19</v>
      </c>
      <c r="AK5079" s="1">
        <v>499174</v>
      </c>
      <c r="AL5079" t="s">
        <v>117</v>
      </c>
      <c r="AM5079" t="s">
        <v>393</v>
      </c>
      <c r="AN5079">
        <v>10272</v>
      </c>
      <c r="AO5079">
        <v>0.24</v>
      </c>
      <c r="AP5079">
        <v>1</v>
      </c>
      <c r="AR5079">
        <v>1</v>
      </c>
      <c r="AS5079" s="1">
        <v>35910</v>
      </c>
      <c r="AT5079" s="1">
        <v>7180</v>
      </c>
      <c r="AU5079" s="1">
        <v>28730</v>
      </c>
      <c r="AV5079">
        <v>80.010000000000005</v>
      </c>
      <c r="AX5079" s="1">
        <v>2098.3000000000002</v>
      </c>
      <c r="AY5079" t="s">
        <v>11099</v>
      </c>
      <c r="AZ5079" t="s">
        <v>6975</v>
      </c>
      <c r="BA5079" t="s">
        <v>6976</v>
      </c>
      <c r="BE5079" s="3">
        <v>42423</v>
      </c>
      <c r="BF5079" s="1">
        <v>405000</v>
      </c>
      <c r="BG5079" t="s">
        <v>31521</v>
      </c>
      <c r="BH5079" s="1">
        <v>163.31</v>
      </c>
      <c r="BI5079" s="1">
        <v>405000</v>
      </c>
      <c r="BJ5079" s="3">
        <v>42423</v>
      </c>
      <c r="BK5079" t="s">
        <v>123</v>
      </c>
      <c r="BL5079" t="str">
        <f>"2016.111033"</f>
        <v>2016.111033</v>
      </c>
      <c r="BM5079" t="s">
        <v>5702</v>
      </c>
      <c r="BO5079" t="s">
        <v>31522</v>
      </c>
      <c r="BS5079">
        <v>30</v>
      </c>
      <c r="BW5079" t="str">
        <f>""</f>
        <v/>
      </c>
      <c r="CH5079" t="str">
        <f>""</f>
        <v/>
      </c>
      <c r="CS5079" t="str">
        <f>""</f>
        <v/>
      </c>
    </row>
    <row r="5080" spans="1:97" x14ac:dyDescent="0.25">
      <c r="A5080" t="s">
        <v>3844</v>
      </c>
      <c r="B5080" t="s">
        <v>4845</v>
      </c>
      <c r="C5080" t="s">
        <v>996</v>
      </c>
      <c r="D5080" t="s">
        <v>31523</v>
      </c>
      <c r="E5080" t="s">
        <v>31524</v>
      </c>
      <c r="F5080" t="s">
        <v>139</v>
      </c>
      <c r="H5080" t="s">
        <v>31525</v>
      </c>
      <c r="I5080" t="s">
        <v>5387</v>
      </c>
      <c r="J5080" t="s">
        <v>111</v>
      </c>
      <c r="K5080" t="str">
        <f>"85283"</f>
        <v>85283</v>
      </c>
      <c r="L5080" t="s">
        <v>6460</v>
      </c>
      <c r="M5080" t="s">
        <v>31525</v>
      </c>
      <c r="N5080" t="s">
        <v>5387</v>
      </c>
      <c r="O5080" t="s">
        <v>111</v>
      </c>
      <c r="P5080" t="str">
        <f>"85283-4101"</f>
        <v>85283-4101</v>
      </c>
      <c r="Q5080" t="s">
        <v>113</v>
      </c>
      <c r="R5080" t="str">
        <f>"301-48-966"</f>
        <v>301-48-966</v>
      </c>
      <c r="S5080" t="s">
        <v>13005</v>
      </c>
      <c r="T5080" t="s">
        <v>13006</v>
      </c>
      <c r="U5080">
        <v>2163</v>
      </c>
      <c r="V5080">
        <v>0</v>
      </c>
      <c r="W5080">
        <v>3</v>
      </c>
      <c r="X5080">
        <v>1981</v>
      </c>
      <c r="Z5080">
        <v>1</v>
      </c>
      <c r="AA5080" t="s">
        <v>26</v>
      </c>
      <c r="AB5080">
        <v>0</v>
      </c>
      <c r="AC5080" t="s">
        <v>115</v>
      </c>
      <c r="AD5080">
        <v>3</v>
      </c>
      <c r="AE5080" t="s">
        <v>115</v>
      </c>
      <c r="AF5080">
        <v>0</v>
      </c>
      <c r="AG5080">
        <v>0</v>
      </c>
      <c r="AH5080" t="s">
        <v>116</v>
      </c>
      <c r="AI5080" s="1">
        <v>60361</v>
      </c>
      <c r="AJ5080" s="2">
        <v>0.16</v>
      </c>
      <c r="AK5080" s="1">
        <v>380591</v>
      </c>
      <c r="AL5080" t="s">
        <v>117</v>
      </c>
      <c r="AM5080" t="s">
        <v>191</v>
      </c>
      <c r="AN5080">
        <v>9444</v>
      </c>
      <c r="AO5080">
        <v>0.22</v>
      </c>
      <c r="AP5080">
        <v>1</v>
      </c>
      <c r="AR5080">
        <v>1</v>
      </c>
      <c r="AS5080" s="1">
        <v>27430</v>
      </c>
      <c r="AT5080" s="1">
        <v>5480</v>
      </c>
      <c r="AU5080" s="1">
        <v>21950</v>
      </c>
      <c r="AV5080">
        <v>80.02</v>
      </c>
      <c r="AX5080" s="1">
        <v>2483.7399999999998</v>
      </c>
      <c r="AY5080" t="s">
        <v>5390</v>
      </c>
      <c r="AZ5080" t="s">
        <v>5391</v>
      </c>
      <c r="BA5080" t="s">
        <v>5392</v>
      </c>
      <c r="BB5080" s="3">
        <v>43269</v>
      </c>
      <c r="BC5080" s="1">
        <v>0</v>
      </c>
      <c r="BD5080" t="s">
        <v>247</v>
      </c>
      <c r="BE5080" s="3">
        <v>42230</v>
      </c>
      <c r="BF5080" s="1">
        <v>310000</v>
      </c>
      <c r="BG5080" t="s">
        <v>6855</v>
      </c>
      <c r="BH5080" s="1">
        <v>143.32</v>
      </c>
      <c r="BI5080" s="1">
        <v>320230</v>
      </c>
      <c r="BJ5080" s="3">
        <v>42230</v>
      </c>
      <c r="BK5080" t="s">
        <v>123</v>
      </c>
      <c r="BL5080" t="str">
        <f>"2015.592522"</f>
        <v>2015.592522</v>
      </c>
      <c r="BM5080" t="s">
        <v>2683</v>
      </c>
      <c r="BN5080" t="s">
        <v>5052</v>
      </c>
      <c r="BO5080" t="s">
        <v>31526</v>
      </c>
      <c r="BS5080">
        <v>30</v>
      </c>
      <c r="BW5080" t="str">
        <f>""</f>
        <v/>
      </c>
      <c r="CH5080" t="str">
        <f>""</f>
        <v/>
      </c>
      <c r="CS5080" t="str">
        <f>""</f>
        <v/>
      </c>
    </row>
    <row r="5081" spans="1:97" x14ac:dyDescent="0.25">
      <c r="A5081" t="s">
        <v>1421</v>
      </c>
      <c r="B5081" t="s">
        <v>31527</v>
      </c>
      <c r="C5081" t="s">
        <v>3306</v>
      </c>
      <c r="D5081" t="s">
        <v>31527</v>
      </c>
      <c r="E5081" t="s">
        <v>31528</v>
      </c>
      <c r="F5081" t="s">
        <v>108</v>
      </c>
      <c r="H5081" t="s">
        <v>31529</v>
      </c>
      <c r="I5081" t="s">
        <v>453</v>
      </c>
      <c r="J5081" t="s">
        <v>111</v>
      </c>
      <c r="K5081" t="str">
        <f>"85383"</f>
        <v>85383</v>
      </c>
      <c r="L5081" t="s">
        <v>500</v>
      </c>
      <c r="M5081" t="s">
        <v>31529</v>
      </c>
      <c r="N5081" t="s">
        <v>453</v>
      </c>
      <c r="O5081" t="s">
        <v>111</v>
      </c>
      <c r="P5081" t="str">
        <f>"85383-4605"</f>
        <v>85383-4605</v>
      </c>
      <c r="Q5081" t="s">
        <v>113</v>
      </c>
      <c r="R5081" t="str">
        <f>"201-06-191"</f>
        <v>201-06-191</v>
      </c>
      <c r="S5081" t="s">
        <v>31530</v>
      </c>
      <c r="U5081">
        <v>2295</v>
      </c>
      <c r="V5081">
        <v>0</v>
      </c>
      <c r="W5081">
        <v>4</v>
      </c>
      <c r="X5081">
        <v>2003</v>
      </c>
      <c r="Z5081">
        <v>1</v>
      </c>
      <c r="AB5081">
        <v>0</v>
      </c>
      <c r="AC5081" t="s">
        <v>115</v>
      </c>
      <c r="AD5081">
        <v>3</v>
      </c>
      <c r="AE5081" t="s">
        <v>115</v>
      </c>
      <c r="AF5081">
        <v>0</v>
      </c>
      <c r="AG5081">
        <v>0</v>
      </c>
      <c r="AH5081" t="s">
        <v>116</v>
      </c>
      <c r="AI5081" s="1">
        <v>90138</v>
      </c>
      <c r="AJ5081" s="2">
        <v>0.24</v>
      </c>
      <c r="AK5081" s="1">
        <v>374591</v>
      </c>
      <c r="AL5081" t="s">
        <v>117</v>
      </c>
      <c r="AM5081" t="s">
        <v>118</v>
      </c>
      <c r="AN5081">
        <v>9308</v>
      </c>
      <c r="AO5081">
        <v>0.21</v>
      </c>
      <c r="AP5081">
        <v>1</v>
      </c>
      <c r="AR5081">
        <v>1</v>
      </c>
      <c r="AS5081" s="1">
        <v>27870</v>
      </c>
      <c r="AT5081" s="1">
        <v>5570</v>
      </c>
      <c r="AU5081" s="1">
        <v>22300</v>
      </c>
      <c r="AV5081">
        <v>80.010000000000005</v>
      </c>
      <c r="AX5081" s="1">
        <v>2443.1799999999998</v>
      </c>
      <c r="AY5081" t="s">
        <v>8323</v>
      </c>
      <c r="AZ5081" t="s">
        <v>8323</v>
      </c>
      <c r="BA5081" t="s">
        <v>1386</v>
      </c>
      <c r="BE5081" s="3">
        <v>42359</v>
      </c>
      <c r="BF5081" s="1">
        <v>295000</v>
      </c>
      <c r="BG5081" t="s">
        <v>3303</v>
      </c>
      <c r="BH5081" s="1">
        <v>128.54</v>
      </c>
      <c r="BI5081" s="1">
        <v>284453</v>
      </c>
      <c r="BJ5081" s="3">
        <v>42359</v>
      </c>
      <c r="BK5081" t="s">
        <v>123</v>
      </c>
      <c r="BL5081" t="str">
        <f>"2015.898554"</f>
        <v>2015.898554</v>
      </c>
      <c r="BM5081" t="s">
        <v>1185</v>
      </c>
      <c r="BO5081" t="s">
        <v>31531</v>
      </c>
      <c r="BS5081">
        <v>30</v>
      </c>
      <c r="BW5081" t="str">
        <f>""</f>
        <v/>
      </c>
      <c r="CH5081" t="str">
        <f>""</f>
        <v/>
      </c>
      <c r="CS5081" t="str">
        <f>""</f>
        <v/>
      </c>
    </row>
    <row r="5082" spans="1:97" x14ac:dyDescent="0.25">
      <c r="B5082" t="s">
        <v>31532</v>
      </c>
      <c r="C5082" t="s">
        <v>2256</v>
      </c>
      <c r="D5082" t="s">
        <v>31533</v>
      </c>
      <c r="E5082" t="s">
        <v>31534</v>
      </c>
      <c r="F5082" t="s">
        <v>139</v>
      </c>
      <c r="H5082" t="s">
        <v>31535</v>
      </c>
      <c r="I5082" t="s">
        <v>203</v>
      </c>
      <c r="J5082" t="s">
        <v>111</v>
      </c>
      <c r="K5082" t="str">
        <f>"85233"</f>
        <v>85233</v>
      </c>
      <c r="L5082" t="s">
        <v>1244</v>
      </c>
      <c r="M5082" t="s">
        <v>31535</v>
      </c>
      <c r="N5082" t="s">
        <v>203</v>
      </c>
      <c r="O5082" t="s">
        <v>111</v>
      </c>
      <c r="P5082" t="str">
        <f>"85233-5288"</f>
        <v>85233-5288</v>
      </c>
      <c r="Q5082" t="s">
        <v>113</v>
      </c>
      <c r="R5082" t="str">
        <f>"310-04-474"</f>
        <v>310-04-474</v>
      </c>
      <c r="S5082" t="s">
        <v>5929</v>
      </c>
      <c r="T5082" t="s">
        <v>5929</v>
      </c>
      <c r="U5082">
        <v>2198</v>
      </c>
      <c r="V5082">
        <v>0</v>
      </c>
      <c r="W5082">
        <v>3</v>
      </c>
      <c r="X5082">
        <v>2002</v>
      </c>
      <c r="Z5082">
        <v>1</v>
      </c>
      <c r="AA5082" t="s">
        <v>26</v>
      </c>
      <c r="AB5082">
        <v>0</v>
      </c>
      <c r="AC5082" t="s">
        <v>115</v>
      </c>
      <c r="AD5082">
        <v>3</v>
      </c>
      <c r="AE5082" t="s">
        <v>115</v>
      </c>
      <c r="AF5082">
        <v>0</v>
      </c>
      <c r="AG5082">
        <v>0</v>
      </c>
      <c r="AH5082" t="s">
        <v>116</v>
      </c>
      <c r="AI5082" s="1">
        <v>54107</v>
      </c>
      <c r="AJ5082" s="2">
        <v>0.14000000000000001</v>
      </c>
      <c r="AK5082" s="1">
        <v>375168</v>
      </c>
      <c r="AL5082" t="s">
        <v>117</v>
      </c>
      <c r="AM5082" t="s">
        <v>191</v>
      </c>
      <c r="AN5082">
        <v>7187</v>
      </c>
      <c r="AO5082">
        <v>0.16</v>
      </c>
      <c r="AP5082">
        <v>1</v>
      </c>
      <c r="AR5082">
        <v>1</v>
      </c>
      <c r="AS5082" s="1">
        <v>30630</v>
      </c>
      <c r="AT5082" s="1">
        <v>6120</v>
      </c>
      <c r="AU5082" s="1">
        <v>24510</v>
      </c>
      <c r="AV5082">
        <v>80.02</v>
      </c>
      <c r="AX5082" s="1">
        <v>2455.8200000000002</v>
      </c>
      <c r="AY5082" t="s">
        <v>5477</v>
      </c>
      <c r="AZ5082" t="s">
        <v>5478</v>
      </c>
      <c r="BA5082" t="s">
        <v>5479</v>
      </c>
      <c r="BB5082" s="3">
        <v>43192</v>
      </c>
      <c r="BC5082" s="1">
        <v>0</v>
      </c>
      <c r="BD5082" t="s">
        <v>247</v>
      </c>
      <c r="BE5082" s="3">
        <v>42152</v>
      </c>
      <c r="BF5082" s="1">
        <v>287500</v>
      </c>
      <c r="BG5082" t="s">
        <v>31536</v>
      </c>
      <c r="BH5082" s="1">
        <v>130.80000000000001</v>
      </c>
      <c r="BI5082" s="1">
        <v>287500</v>
      </c>
      <c r="BJ5082" s="3">
        <v>42152</v>
      </c>
      <c r="BK5082" t="s">
        <v>123</v>
      </c>
      <c r="BL5082" t="str">
        <f>"2015.377525"</f>
        <v>2015.377525</v>
      </c>
      <c r="BM5082" t="s">
        <v>1287</v>
      </c>
      <c r="BN5082" t="s">
        <v>31537</v>
      </c>
      <c r="BO5082" t="s">
        <v>31538</v>
      </c>
      <c r="BS5082">
        <v>30</v>
      </c>
      <c r="BT5082" s="1">
        <v>33561</v>
      </c>
      <c r="BU5082" s="3">
        <v>43192</v>
      </c>
      <c r="BV5082" t="s">
        <v>134</v>
      </c>
      <c r="BW5082" t="str">
        <f>"2018.245423"</f>
        <v>2018.245423</v>
      </c>
      <c r="BX5082" t="s">
        <v>198</v>
      </c>
      <c r="BY5082" t="s">
        <v>655</v>
      </c>
      <c r="BZ5082" t="s">
        <v>31539</v>
      </c>
      <c r="CA5082" t="s">
        <v>31540</v>
      </c>
      <c r="CC5082" t="s">
        <v>139</v>
      </c>
      <c r="CH5082" t="str">
        <f>""</f>
        <v/>
      </c>
      <c r="CS5082" t="str">
        <f>""</f>
        <v/>
      </c>
    </row>
    <row r="5083" spans="1:97" x14ac:dyDescent="0.25">
      <c r="A5083" t="s">
        <v>4141</v>
      </c>
      <c r="B5083" t="s">
        <v>18293</v>
      </c>
      <c r="E5083" t="s">
        <v>31541</v>
      </c>
      <c r="F5083" t="s">
        <v>108</v>
      </c>
      <c r="H5083" t="s">
        <v>31542</v>
      </c>
      <c r="I5083" t="s">
        <v>390</v>
      </c>
      <c r="J5083" t="s">
        <v>111</v>
      </c>
      <c r="K5083" t="str">
        <f>"85042"</f>
        <v>85042</v>
      </c>
      <c r="L5083" t="s">
        <v>5799</v>
      </c>
      <c r="M5083" t="s">
        <v>31542</v>
      </c>
      <c r="N5083" t="s">
        <v>390</v>
      </c>
      <c r="O5083" t="s">
        <v>111</v>
      </c>
      <c r="P5083" t="str">
        <f>"85042-7941"</f>
        <v>85042-7941</v>
      </c>
      <c r="Q5083" t="s">
        <v>113</v>
      </c>
      <c r="R5083" t="str">
        <f>"300-37-318"</f>
        <v>300-37-318</v>
      </c>
      <c r="S5083" t="s">
        <v>14132</v>
      </c>
      <c r="T5083" t="s">
        <v>14132</v>
      </c>
      <c r="U5083">
        <v>3079</v>
      </c>
      <c r="V5083">
        <v>0</v>
      </c>
      <c r="W5083">
        <v>3</v>
      </c>
      <c r="X5083">
        <v>2002</v>
      </c>
      <c r="Z5083">
        <v>2</v>
      </c>
      <c r="AA5083" t="s">
        <v>26</v>
      </c>
      <c r="AB5083">
        <v>0</v>
      </c>
      <c r="AC5083" t="s">
        <v>115</v>
      </c>
      <c r="AD5083">
        <v>2</v>
      </c>
      <c r="AE5083" t="s">
        <v>115</v>
      </c>
      <c r="AF5083">
        <v>0</v>
      </c>
      <c r="AG5083">
        <v>0</v>
      </c>
      <c r="AH5083" t="s">
        <v>116</v>
      </c>
      <c r="AI5083" s="1">
        <v>65754</v>
      </c>
      <c r="AJ5083" s="2">
        <v>0.2</v>
      </c>
      <c r="AK5083" s="1">
        <v>336400</v>
      </c>
      <c r="AL5083" t="s">
        <v>117</v>
      </c>
      <c r="AM5083" t="s">
        <v>1302</v>
      </c>
      <c r="AN5083">
        <v>9861</v>
      </c>
      <c r="AO5083">
        <v>0.23</v>
      </c>
      <c r="AP5083">
        <v>1</v>
      </c>
      <c r="AR5083">
        <v>1</v>
      </c>
      <c r="AS5083" s="1">
        <v>23150</v>
      </c>
      <c r="AT5083" s="1">
        <v>4630</v>
      </c>
      <c r="AU5083" s="1">
        <v>18520</v>
      </c>
      <c r="AV5083">
        <v>80</v>
      </c>
      <c r="AX5083" s="1">
        <v>3291.38</v>
      </c>
      <c r="AY5083" t="s">
        <v>2859</v>
      </c>
      <c r="AZ5083" t="s">
        <v>2859</v>
      </c>
      <c r="BA5083" t="s">
        <v>2860</v>
      </c>
      <c r="BE5083" s="3">
        <v>42234</v>
      </c>
      <c r="BF5083" s="1">
        <v>262000</v>
      </c>
      <c r="BG5083" t="s">
        <v>31543</v>
      </c>
      <c r="BH5083" s="1">
        <v>85.09</v>
      </c>
      <c r="BI5083" s="1">
        <v>270646</v>
      </c>
      <c r="BJ5083" s="3">
        <v>42234</v>
      </c>
      <c r="BK5083" t="s">
        <v>123</v>
      </c>
      <c r="BL5083" t="str">
        <f>"2015.598037"</f>
        <v>2015.598037</v>
      </c>
      <c r="BM5083" t="s">
        <v>3453</v>
      </c>
      <c r="BO5083" t="s">
        <v>31544</v>
      </c>
      <c r="BS5083">
        <v>30</v>
      </c>
      <c r="BW5083" t="str">
        <f>""</f>
        <v/>
      </c>
      <c r="CH5083" t="str">
        <f>""</f>
        <v/>
      </c>
      <c r="CS5083" t="str">
        <f>""</f>
        <v/>
      </c>
    </row>
    <row r="5084" spans="1:97" x14ac:dyDescent="0.25">
      <c r="A5084" t="s">
        <v>251</v>
      </c>
      <c r="B5084" t="s">
        <v>31545</v>
      </c>
      <c r="C5084" t="s">
        <v>513</v>
      </c>
      <c r="D5084" t="s">
        <v>31545</v>
      </c>
      <c r="E5084" t="s">
        <v>31546</v>
      </c>
      <c r="F5084" t="s">
        <v>108</v>
      </c>
      <c r="H5084" t="s">
        <v>31547</v>
      </c>
      <c r="I5084" t="s">
        <v>2874</v>
      </c>
      <c r="J5084" t="s">
        <v>111</v>
      </c>
      <c r="K5084" t="str">
        <f>"85308"</f>
        <v>85308</v>
      </c>
      <c r="L5084" t="s">
        <v>316</v>
      </c>
      <c r="M5084" t="s">
        <v>31547</v>
      </c>
      <c r="N5084" t="s">
        <v>2874</v>
      </c>
      <c r="O5084" t="s">
        <v>111</v>
      </c>
      <c r="P5084" t="str">
        <f>"85308-5758"</f>
        <v>85308-5758</v>
      </c>
      <c r="Q5084" t="s">
        <v>113</v>
      </c>
      <c r="R5084" t="str">
        <f>"200-29-621"</f>
        <v>200-29-621</v>
      </c>
      <c r="S5084" t="s">
        <v>31548</v>
      </c>
      <c r="U5084">
        <v>3377</v>
      </c>
      <c r="V5084">
        <v>0</v>
      </c>
      <c r="W5084">
        <v>4</v>
      </c>
      <c r="X5084">
        <v>1990</v>
      </c>
      <c r="Z5084">
        <v>2</v>
      </c>
      <c r="AA5084" t="s">
        <v>26</v>
      </c>
      <c r="AB5084">
        <v>0</v>
      </c>
      <c r="AC5084" t="s">
        <v>115</v>
      </c>
      <c r="AD5084">
        <v>3</v>
      </c>
      <c r="AE5084" t="s">
        <v>115</v>
      </c>
      <c r="AF5084">
        <v>0</v>
      </c>
      <c r="AG5084">
        <v>0</v>
      </c>
      <c r="AH5084" t="s">
        <v>116</v>
      </c>
      <c r="AI5084" s="1">
        <v>58894</v>
      </c>
      <c r="AJ5084" s="2">
        <v>0.12</v>
      </c>
      <c r="AK5084" s="1">
        <v>491686</v>
      </c>
      <c r="AL5084" t="s">
        <v>117</v>
      </c>
      <c r="AM5084" t="s">
        <v>191</v>
      </c>
      <c r="AN5084">
        <v>10196</v>
      </c>
      <c r="AO5084">
        <v>0.23</v>
      </c>
      <c r="AP5084">
        <v>1</v>
      </c>
      <c r="AR5084">
        <v>1</v>
      </c>
      <c r="AS5084" s="1">
        <v>37570</v>
      </c>
      <c r="AT5084" s="1">
        <v>7510</v>
      </c>
      <c r="AU5084" s="1">
        <v>30060</v>
      </c>
      <c r="AV5084">
        <v>80.010000000000005</v>
      </c>
      <c r="AX5084" s="1">
        <v>3786.44</v>
      </c>
      <c r="AY5084" t="s">
        <v>8400</v>
      </c>
      <c r="AZ5084" t="s">
        <v>8400</v>
      </c>
      <c r="BA5084" t="s">
        <v>2223</v>
      </c>
      <c r="BE5084" s="3">
        <v>42122</v>
      </c>
      <c r="BF5084" s="1">
        <v>392500</v>
      </c>
      <c r="BG5084" t="s">
        <v>31549</v>
      </c>
      <c r="BH5084" s="1">
        <v>116.23</v>
      </c>
      <c r="BI5084" s="1">
        <v>432792</v>
      </c>
      <c r="BJ5084" s="3">
        <v>43496</v>
      </c>
      <c r="BK5084" t="s">
        <v>123</v>
      </c>
      <c r="BL5084" t="str">
        <f>"2019.69115"</f>
        <v>2019.69115</v>
      </c>
      <c r="BM5084" t="s">
        <v>533</v>
      </c>
      <c r="BN5084" t="s">
        <v>534</v>
      </c>
      <c r="BO5084" t="s">
        <v>31550</v>
      </c>
      <c r="BP5084" t="s">
        <v>31551</v>
      </c>
      <c r="BR5084" t="s">
        <v>139</v>
      </c>
      <c r="BW5084" t="str">
        <f>""</f>
        <v/>
      </c>
      <c r="CH5084" t="str">
        <f>""</f>
        <v/>
      </c>
      <c r="CS5084" t="str">
        <f>""</f>
        <v/>
      </c>
    </row>
    <row r="5085" spans="1:97" x14ac:dyDescent="0.25">
      <c r="A5085" t="s">
        <v>1344</v>
      </c>
      <c r="B5085" t="s">
        <v>31552</v>
      </c>
      <c r="C5085" t="s">
        <v>2168</v>
      </c>
      <c r="D5085" t="s">
        <v>31552</v>
      </c>
      <c r="E5085" t="s">
        <v>31553</v>
      </c>
      <c r="F5085" t="s">
        <v>108</v>
      </c>
      <c r="H5085" t="s">
        <v>31554</v>
      </c>
      <c r="I5085" t="s">
        <v>2874</v>
      </c>
      <c r="J5085" t="s">
        <v>111</v>
      </c>
      <c r="K5085" t="str">
        <f>"85310"</f>
        <v>85310</v>
      </c>
      <c r="L5085" t="s">
        <v>3885</v>
      </c>
      <c r="M5085" t="s">
        <v>31554</v>
      </c>
      <c r="N5085" t="s">
        <v>2874</v>
      </c>
      <c r="O5085" t="s">
        <v>111</v>
      </c>
      <c r="P5085" t="str">
        <f>"85310-3813"</f>
        <v>85310-3813</v>
      </c>
      <c r="Q5085" t="s">
        <v>113</v>
      </c>
      <c r="R5085" t="str">
        <f>"205-12-043"</f>
        <v>205-12-043</v>
      </c>
      <c r="S5085" t="s">
        <v>31555</v>
      </c>
      <c r="T5085" t="s">
        <v>31556</v>
      </c>
      <c r="U5085">
        <v>2642</v>
      </c>
      <c r="V5085">
        <v>0</v>
      </c>
      <c r="W5085">
        <v>2</v>
      </c>
      <c r="X5085">
        <v>1973</v>
      </c>
      <c r="Z5085">
        <v>1</v>
      </c>
      <c r="AA5085" t="s">
        <v>26</v>
      </c>
      <c r="AB5085">
        <v>0</v>
      </c>
      <c r="AC5085" t="s">
        <v>115</v>
      </c>
      <c r="AD5085">
        <v>2</v>
      </c>
      <c r="AE5085" t="s">
        <v>115</v>
      </c>
      <c r="AF5085">
        <v>0</v>
      </c>
      <c r="AG5085">
        <v>0</v>
      </c>
      <c r="AH5085" t="s">
        <v>116</v>
      </c>
      <c r="AI5085" s="1">
        <v>71177</v>
      </c>
      <c r="AJ5085" s="2">
        <v>0.14000000000000001</v>
      </c>
      <c r="AK5085" s="1">
        <v>498383</v>
      </c>
      <c r="AL5085" t="s">
        <v>117</v>
      </c>
      <c r="AM5085" t="s">
        <v>3973</v>
      </c>
      <c r="AN5085">
        <v>48151</v>
      </c>
      <c r="AO5085">
        <v>1.1000000000000001</v>
      </c>
      <c r="AP5085">
        <v>1</v>
      </c>
      <c r="AR5085">
        <v>1</v>
      </c>
      <c r="AS5085" s="1">
        <v>35180</v>
      </c>
      <c r="AT5085" s="1">
        <v>7030</v>
      </c>
      <c r="AU5085" s="1">
        <v>28150</v>
      </c>
      <c r="AV5085">
        <v>80.02</v>
      </c>
      <c r="AX5085" s="1">
        <v>2804.64</v>
      </c>
      <c r="AY5085" t="s">
        <v>5125</v>
      </c>
      <c r="AZ5085" t="s">
        <v>3049</v>
      </c>
      <c r="BA5085" t="s">
        <v>1386</v>
      </c>
      <c r="BE5085" s="3">
        <v>42145</v>
      </c>
      <c r="BF5085" s="1">
        <v>417000</v>
      </c>
      <c r="BG5085" t="s">
        <v>31557</v>
      </c>
      <c r="BH5085" s="1">
        <v>157.83000000000001</v>
      </c>
      <c r="BI5085" s="1">
        <v>427206</v>
      </c>
      <c r="BJ5085" s="3">
        <v>42145</v>
      </c>
      <c r="BK5085" t="s">
        <v>123</v>
      </c>
      <c r="BL5085" t="str">
        <f>"2015.359050"</f>
        <v>2015.359050</v>
      </c>
      <c r="BM5085" t="s">
        <v>5867</v>
      </c>
      <c r="BO5085" t="s">
        <v>31558</v>
      </c>
      <c r="BS5085">
        <v>30</v>
      </c>
      <c r="BW5085" t="str">
        <f>""</f>
        <v/>
      </c>
      <c r="CH5085" t="str">
        <f>""</f>
        <v/>
      </c>
      <c r="CS5085" t="str">
        <f>""</f>
        <v/>
      </c>
    </row>
    <row r="5086" spans="1:97" x14ac:dyDescent="0.25">
      <c r="A5086" t="s">
        <v>21227</v>
      </c>
      <c r="B5086" t="s">
        <v>31559</v>
      </c>
      <c r="C5086" t="s">
        <v>13108</v>
      </c>
      <c r="D5086" t="s">
        <v>31559</v>
      </c>
      <c r="E5086" t="s">
        <v>31560</v>
      </c>
      <c r="F5086" t="s">
        <v>108</v>
      </c>
      <c r="H5086" t="s">
        <v>31561</v>
      </c>
      <c r="I5086" t="s">
        <v>632</v>
      </c>
      <c r="J5086" t="s">
        <v>111</v>
      </c>
      <c r="K5086" t="str">
        <f>"85388"</f>
        <v>85388</v>
      </c>
      <c r="L5086" t="s">
        <v>4467</v>
      </c>
      <c r="M5086" t="s">
        <v>31561</v>
      </c>
      <c r="N5086" t="s">
        <v>632</v>
      </c>
      <c r="O5086" t="s">
        <v>111</v>
      </c>
      <c r="P5086" t="str">
        <f>"85388-2349"</f>
        <v>85388-2349</v>
      </c>
      <c r="Q5086" t="s">
        <v>113</v>
      </c>
      <c r="R5086" t="str">
        <f>"502-09-567"</f>
        <v>502-09-567</v>
      </c>
      <c r="S5086" t="s">
        <v>27452</v>
      </c>
      <c r="T5086" t="s">
        <v>27453</v>
      </c>
      <c r="U5086">
        <v>3089</v>
      </c>
      <c r="V5086">
        <v>0</v>
      </c>
      <c r="W5086">
        <v>4</v>
      </c>
      <c r="X5086">
        <v>2006</v>
      </c>
      <c r="Z5086">
        <v>1</v>
      </c>
      <c r="AB5086">
        <v>0</v>
      </c>
      <c r="AC5086" t="s">
        <v>115</v>
      </c>
      <c r="AD5086">
        <v>3</v>
      </c>
      <c r="AE5086" t="s">
        <v>115</v>
      </c>
      <c r="AF5086">
        <v>0</v>
      </c>
      <c r="AG5086">
        <v>0</v>
      </c>
      <c r="AH5086" t="s">
        <v>116</v>
      </c>
      <c r="AI5086" s="1">
        <v>75432</v>
      </c>
      <c r="AJ5086" s="2">
        <v>0.21</v>
      </c>
      <c r="AK5086" s="1">
        <v>354342</v>
      </c>
      <c r="AL5086" t="s">
        <v>117</v>
      </c>
      <c r="AM5086" t="s">
        <v>118</v>
      </c>
      <c r="AN5086">
        <v>9375</v>
      </c>
      <c r="AO5086">
        <v>0.22</v>
      </c>
      <c r="AR5086">
        <v>1</v>
      </c>
      <c r="AS5086" s="1">
        <v>25860</v>
      </c>
      <c r="AT5086" s="1">
        <v>5170</v>
      </c>
      <c r="AU5086" s="1">
        <v>20690</v>
      </c>
      <c r="AV5086">
        <v>80.010000000000005</v>
      </c>
      <c r="AX5086" s="1">
        <v>2652.12</v>
      </c>
      <c r="AY5086" t="s">
        <v>5168</v>
      </c>
      <c r="AZ5086" t="s">
        <v>5168</v>
      </c>
      <c r="BA5086" t="s">
        <v>5109</v>
      </c>
      <c r="BE5086" s="3">
        <v>42475</v>
      </c>
      <c r="BF5086" s="1">
        <v>280000</v>
      </c>
      <c r="BG5086" t="s">
        <v>31562</v>
      </c>
      <c r="BH5086" s="1">
        <v>90.64</v>
      </c>
      <c r="BI5086" s="1">
        <v>278910</v>
      </c>
      <c r="BJ5086" s="3">
        <v>43495</v>
      </c>
      <c r="BK5086" t="s">
        <v>123</v>
      </c>
      <c r="BL5086" t="str">
        <f>"2019.63694"</f>
        <v>2019.63694</v>
      </c>
      <c r="BM5086" t="s">
        <v>9590</v>
      </c>
      <c r="BN5086" t="s">
        <v>9591</v>
      </c>
      <c r="BO5086" t="s">
        <v>31563</v>
      </c>
      <c r="BP5086" t="s">
        <v>31564</v>
      </c>
      <c r="BR5086" t="s">
        <v>139</v>
      </c>
      <c r="BW5086" t="str">
        <f>""</f>
        <v/>
      </c>
      <c r="CH5086" t="str">
        <f>""</f>
        <v/>
      </c>
      <c r="CS5086" t="str">
        <f>""</f>
        <v/>
      </c>
    </row>
    <row r="5087" spans="1:97" x14ac:dyDescent="0.25">
      <c r="A5087" t="s">
        <v>8500</v>
      </c>
      <c r="B5087" t="s">
        <v>22113</v>
      </c>
      <c r="C5087" t="s">
        <v>31565</v>
      </c>
      <c r="D5087" t="s">
        <v>22113</v>
      </c>
      <c r="E5087" t="s">
        <v>31566</v>
      </c>
      <c r="F5087" t="s">
        <v>108</v>
      </c>
      <c r="H5087" t="s">
        <v>31567</v>
      </c>
      <c r="I5087" t="s">
        <v>188</v>
      </c>
      <c r="J5087" t="s">
        <v>111</v>
      </c>
      <c r="K5087" t="str">
        <f>"85142"</f>
        <v>85142</v>
      </c>
      <c r="L5087" t="s">
        <v>5239</v>
      </c>
      <c r="M5087" t="s">
        <v>31567</v>
      </c>
      <c r="N5087" t="s">
        <v>188</v>
      </c>
      <c r="O5087" t="s">
        <v>111</v>
      </c>
      <c r="P5087" t="str">
        <f>"85142-3285"</f>
        <v>85142-3285</v>
      </c>
      <c r="Q5087" t="s">
        <v>113</v>
      </c>
      <c r="R5087" t="str">
        <f>"304-66-518"</f>
        <v>304-66-518</v>
      </c>
      <c r="S5087" t="s">
        <v>15502</v>
      </c>
      <c r="T5087" t="s">
        <v>15503</v>
      </c>
      <c r="U5087">
        <v>3080</v>
      </c>
      <c r="V5087">
        <v>0</v>
      </c>
      <c r="W5087">
        <v>4</v>
      </c>
      <c r="X5087">
        <v>2007</v>
      </c>
      <c r="Z5087">
        <v>2</v>
      </c>
      <c r="AB5087">
        <v>0</v>
      </c>
      <c r="AC5087" t="s">
        <v>115</v>
      </c>
      <c r="AD5087">
        <v>2</v>
      </c>
      <c r="AE5087" t="s">
        <v>115</v>
      </c>
      <c r="AF5087">
        <v>0</v>
      </c>
      <c r="AG5087">
        <v>0</v>
      </c>
      <c r="AH5087" t="s">
        <v>116</v>
      </c>
      <c r="AI5087" s="1">
        <v>118114</v>
      </c>
      <c r="AJ5087" s="2">
        <v>0.32</v>
      </c>
      <c r="AK5087" s="1">
        <v>369436</v>
      </c>
      <c r="AL5087" t="s">
        <v>117</v>
      </c>
      <c r="AM5087" t="s">
        <v>171</v>
      </c>
      <c r="AN5087">
        <v>8683</v>
      </c>
      <c r="AO5087">
        <v>0.2</v>
      </c>
      <c r="AR5087">
        <v>1</v>
      </c>
      <c r="AS5087" s="1">
        <v>24780</v>
      </c>
      <c r="AT5087" s="1">
        <v>4950</v>
      </c>
      <c r="AU5087" s="1">
        <v>19830</v>
      </c>
      <c r="AV5087">
        <v>80.02</v>
      </c>
      <c r="AX5087" s="1">
        <v>2518.1999999999998</v>
      </c>
      <c r="AY5087" t="s">
        <v>560</v>
      </c>
      <c r="AZ5087" t="s">
        <v>561</v>
      </c>
      <c r="BA5087" t="s">
        <v>194</v>
      </c>
      <c r="BE5087" s="3">
        <v>42426</v>
      </c>
      <c r="BF5087" s="1">
        <v>260000</v>
      </c>
      <c r="BG5087" t="s">
        <v>31568</v>
      </c>
      <c r="BH5087" s="1">
        <v>84.42</v>
      </c>
      <c r="BI5087" s="1">
        <v>251322</v>
      </c>
      <c r="BJ5087" s="3">
        <v>42426</v>
      </c>
      <c r="BK5087" t="s">
        <v>123</v>
      </c>
      <c r="BL5087" t="str">
        <f>"2016.122481"</f>
        <v>2016.122481</v>
      </c>
      <c r="BM5087" t="s">
        <v>724</v>
      </c>
      <c r="BO5087" t="s">
        <v>31569</v>
      </c>
      <c r="BS5087">
        <v>30</v>
      </c>
      <c r="BW5087" t="str">
        <f>""</f>
        <v/>
      </c>
      <c r="CH5087" t="str">
        <f>""</f>
        <v/>
      </c>
      <c r="CS5087" t="str">
        <f>""</f>
        <v/>
      </c>
    </row>
    <row r="5088" spans="1:97" x14ac:dyDescent="0.25">
      <c r="A5088" t="s">
        <v>305</v>
      </c>
      <c r="B5088" t="s">
        <v>2007</v>
      </c>
      <c r="E5088" t="s">
        <v>31570</v>
      </c>
      <c r="F5088" t="s">
        <v>108</v>
      </c>
      <c r="H5088" t="s">
        <v>31571</v>
      </c>
      <c r="I5088" t="s">
        <v>499</v>
      </c>
      <c r="J5088" t="s">
        <v>111</v>
      </c>
      <c r="K5088" t="str">
        <f>"85395"</f>
        <v>85395</v>
      </c>
      <c r="L5088" t="s">
        <v>168</v>
      </c>
      <c r="M5088" t="s">
        <v>31571</v>
      </c>
      <c r="N5088" t="s">
        <v>499</v>
      </c>
      <c r="O5088" t="s">
        <v>111</v>
      </c>
      <c r="P5088" t="str">
        <f>"85395-7777"</f>
        <v>85395-7777</v>
      </c>
      <c r="Q5088" t="s">
        <v>113</v>
      </c>
      <c r="R5088" t="str">
        <f>"501-62-828"</f>
        <v>501-62-828</v>
      </c>
      <c r="S5088" t="s">
        <v>10001</v>
      </c>
      <c r="T5088" t="s">
        <v>10002</v>
      </c>
      <c r="U5088">
        <v>1679</v>
      </c>
      <c r="V5088">
        <v>0</v>
      </c>
      <c r="W5088">
        <v>3</v>
      </c>
      <c r="X5088">
        <v>2008</v>
      </c>
      <c r="Z5088">
        <v>1</v>
      </c>
      <c r="AB5088">
        <v>0</v>
      </c>
      <c r="AC5088" t="s">
        <v>115</v>
      </c>
      <c r="AD5088">
        <v>2</v>
      </c>
      <c r="AE5088" t="s">
        <v>115</v>
      </c>
      <c r="AF5088">
        <v>0</v>
      </c>
      <c r="AG5088">
        <v>0</v>
      </c>
      <c r="AH5088" t="s">
        <v>116</v>
      </c>
      <c r="AI5088" s="1">
        <v>58032</v>
      </c>
      <c r="AJ5088" s="2">
        <v>0.2</v>
      </c>
      <c r="AK5088" s="1">
        <v>291490</v>
      </c>
      <c r="AL5088" t="s">
        <v>117</v>
      </c>
      <c r="AM5088" t="s">
        <v>118</v>
      </c>
      <c r="AN5088">
        <v>7734</v>
      </c>
      <c r="AO5088">
        <v>0.18</v>
      </c>
      <c r="AR5088">
        <v>1</v>
      </c>
      <c r="AS5088" s="1">
        <v>19920</v>
      </c>
      <c r="AT5088" s="1">
        <v>3980</v>
      </c>
      <c r="AU5088" s="1">
        <v>15940</v>
      </c>
      <c r="AV5088">
        <v>80.02</v>
      </c>
      <c r="AX5088" s="1">
        <v>2093.5</v>
      </c>
      <c r="AY5088" t="s">
        <v>3019</v>
      </c>
      <c r="AZ5088" t="s">
        <v>504</v>
      </c>
      <c r="BA5088" t="s">
        <v>3154</v>
      </c>
      <c r="BE5088" s="3">
        <v>42466</v>
      </c>
      <c r="BF5088" s="1">
        <v>226000</v>
      </c>
      <c r="BG5088" t="s">
        <v>31572</v>
      </c>
      <c r="BH5088" s="1">
        <v>134.6</v>
      </c>
      <c r="BI5088" s="1">
        <v>233458</v>
      </c>
      <c r="BJ5088" s="3">
        <v>42466</v>
      </c>
      <c r="BK5088" t="s">
        <v>123</v>
      </c>
      <c r="BL5088" t="str">
        <f>"2016.228081"</f>
        <v>2016.228081</v>
      </c>
      <c r="BM5088" t="s">
        <v>1544</v>
      </c>
      <c r="BO5088" t="s">
        <v>31573</v>
      </c>
      <c r="BS5088">
        <v>30</v>
      </c>
      <c r="BW5088" t="str">
        <f>""</f>
        <v/>
      </c>
      <c r="CH5088" t="str">
        <f>""</f>
        <v/>
      </c>
      <c r="CS5088" t="str">
        <f>""</f>
        <v/>
      </c>
    </row>
    <row r="5089" spans="1:97" x14ac:dyDescent="0.25">
      <c r="A5089" t="s">
        <v>753</v>
      </c>
      <c r="B5089" t="s">
        <v>11574</v>
      </c>
      <c r="C5089" t="s">
        <v>1335</v>
      </c>
      <c r="D5089" t="s">
        <v>11574</v>
      </c>
      <c r="E5089" t="s">
        <v>31574</v>
      </c>
      <c r="F5089" t="s">
        <v>108</v>
      </c>
      <c r="H5089" t="s">
        <v>31575</v>
      </c>
      <c r="I5089" t="s">
        <v>2874</v>
      </c>
      <c r="J5089" t="s">
        <v>111</v>
      </c>
      <c r="K5089" t="str">
        <f>"85302"</f>
        <v>85302</v>
      </c>
      <c r="L5089" t="s">
        <v>6325</v>
      </c>
      <c r="M5089" t="s">
        <v>31575</v>
      </c>
      <c r="N5089" t="s">
        <v>2874</v>
      </c>
      <c r="O5089" t="s">
        <v>111</v>
      </c>
      <c r="P5089" t="str">
        <f>"85302-6430"</f>
        <v>85302-6430</v>
      </c>
      <c r="Q5089" t="s">
        <v>113</v>
      </c>
      <c r="R5089" t="str">
        <f>"148-12-204"</f>
        <v>148-12-204</v>
      </c>
      <c r="S5089" t="s">
        <v>31576</v>
      </c>
      <c r="T5089" t="s">
        <v>31577</v>
      </c>
      <c r="U5089">
        <v>1752</v>
      </c>
      <c r="V5089">
        <v>0</v>
      </c>
      <c r="W5089">
        <v>3</v>
      </c>
      <c r="X5089">
        <v>1974</v>
      </c>
      <c r="Z5089">
        <v>1</v>
      </c>
      <c r="AA5089" t="s">
        <v>26</v>
      </c>
      <c r="AB5089">
        <v>0</v>
      </c>
      <c r="AC5089" t="s">
        <v>115</v>
      </c>
      <c r="AD5089">
        <v>2</v>
      </c>
      <c r="AE5089" t="s">
        <v>115</v>
      </c>
      <c r="AF5089">
        <v>0</v>
      </c>
      <c r="AG5089">
        <v>0</v>
      </c>
      <c r="AH5089" t="s">
        <v>116</v>
      </c>
      <c r="AI5089" s="1">
        <v>61554</v>
      </c>
      <c r="AJ5089" s="2">
        <v>0.22</v>
      </c>
      <c r="AK5089" s="1">
        <v>278554</v>
      </c>
      <c r="AL5089" t="s">
        <v>117</v>
      </c>
      <c r="AM5089" t="s">
        <v>191</v>
      </c>
      <c r="AN5089">
        <v>8795</v>
      </c>
      <c r="AO5089">
        <v>0.2</v>
      </c>
      <c r="AP5089">
        <v>1</v>
      </c>
      <c r="AR5089">
        <v>1</v>
      </c>
      <c r="AS5089" s="1">
        <v>19610</v>
      </c>
      <c r="AT5089" s="1">
        <v>3920</v>
      </c>
      <c r="AU5089" s="1">
        <v>15690</v>
      </c>
      <c r="AV5089">
        <v>80.010000000000005</v>
      </c>
      <c r="AX5089" s="1">
        <v>1453.8</v>
      </c>
      <c r="AY5089" t="s">
        <v>17858</v>
      </c>
      <c r="AZ5089" t="s">
        <v>17858</v>
      </c>
      <c r="BA5089" t="s">
        <v>6987</v>
      </c>
      <c r="BE5089" s="3">
        <v>42111</v>
      </c>
      <c r="BF5089" s="1">
        <v>203000</v>
      </c>
      <c r="BG5089" t="s">
        <v>31578</v>
      </c>
      <c r="BH5089" s="1">
        <v>115.87</v>
      </c>
      <c r="BI5089" s="1">
        <v>217000</v>
      </c>
      <c r="BJ5089" s="3">
        <v>42704</v>
      </c>
      <c r="BK5089" t="s">
        <v>123</v>
      </c>
      <c r="BL5089" t="str">
        <f>"2016.883002"</f>
        <v>2016.883002</v>
      </c>
      <c r="BM5089" t="s">
        <v>18621</v>
      </c>
      <c r="BO5089" t="s">
        <v>31579</v>
      </c>
      <c r="BS5089">
        <v>30</v>
      </c>
      <c r="BW5089" t="str">
        <f>""</f>
        <v/>
      </c>
      <c r="CH5089" t="str">
        <f>""</f>
        <v/>
      </c>
      <c r="CS5089" t="str">
        <f>""</f>
        <v/>
      </c>
    </row>
    <row r="5090" spans="1:97" x14ac:dyDescent="0.25">
      <c r="A5090" t="s">
        <v>31580</v>
      </c>
      <c r="B5090" t="s">
        <v>31581</v>
      </c>
      <c r="C5090" t="s">
        <v>6281</v>
      </c>
      <c r="D5090" t="s">
        <v>31581</v>
      </c>
      <c r="E5090" t="s">
        <v>31582</v>
      </c>
      <c r="F5090" t="s">
        <v>108</v>
      </c>
      <c r="H5090" t="s">
        <v>31583</v>
      </c>
      <c r="I5090" t="s">
        <v>390</v>
      </c>
      <c r="J5090" t="s">
        <v>111</v>
      </c>
      <c r="K5090" t="str">
        <f>"85028"</f>
        <v>85028</v>
      </c>
      <c r="L5090" t="s">
        <v>8543</v>
      </c>
      <c r="M5090" t="s">
        <v>31583</v>
      </c>
      <c r="N5090" t="s">
        <v>390</v>
      </c>
      <c r="O5090" t="s">
        <v>111</v>
      </c>
      <c r="P5090" t="str">
        <f>"85028-4817"</f>
        <v>85028-4817</v>
      </c>
      <c r="Q5090" t="s">
        <v>113</v>
      </c>
      <c r="R5090" t="str">
        <f>"165-13-038"</f>
        <v>165-13-038</v>
      </c>
      <c r="S5090" t="s">
        <v>31584</v>
      </c>
      <c r="T5090" t="s">
        <v>20316</v>
      </c>
      <c r="U5090">
        <v>2572</v>
      </c>
      <c r="V5090">
        <v>0</v>
      </c>
      <c r="W5090">
        <v>4</v>
      </c>
      <c r="X5090">
        <v>1971</v>
      </c>
      <c r="Z5090">
        <v>1</v>
      </c>
      <c r="AB5090">
        <v>0</v>
      </c>
      <c r="AC5090" t="s">
        <v>115</v>
      </c>
      <c r="AD5090">
        <v>2</v>
      </c>
      <c r="AE5090" t="s">
        <v>115</v>
      </c>
      <c r="AF5090">
        <v>0</v>
      </c>
      <c r="AG5090">
        <v>0</v>
      </c>
      <c r="AH5090" t="s">
        <v>116</v>
      </c>
      <c r="AI5090" s="1">
        <v>122101</v>
      </c>
      <c r="AJ5090" s="2">
        <v>0.24</v>
      </c>
      <c r="AK5090" s="1">
        <v>505751</v>
      </c>
      <c r="AL5090" t="s">
        <v>117</v>
      </c>
      <c r="AM5090" t="s">
        <v>1302</v>
      </c>
      <c r="AN5090">
        <v>9276</v>
      </c>
      <c r="AO5090">
        <v>0.21</v>
      </c>
      <c r="AP5090">
        <v>1</v>
      </c>
      <c r="AR5090">
        <v>1</v>
      </c>
      <c r="AS5090" s="1">
        <v>35310</v>
      </c>
      <c r="AT5090" s="1">
        <v>7060</v>
      </c>
      <c r="AU5090" s="1">
        <v>28250</v>
      </c>
      <c r="AV5090">
        <v>80.010000000000005</v>
      </c>
      <c r="AX5090" s="1">
        <v>3431.5</v>
      </c>
      <c r="AY5090" t="s">
        <v>9580</v>
      </c>
      <c r="AZ5090" t="s">
        <v>5489</v>
      </c>
      <c r="BA5090" t="s">
        <v>5232</v>
      </c>
      <c r="BE5090" s="3">
        <v>41953</v>
      </c>
      <c r="BF5090" s="1">
        <v>390000</v>
      </c>
      <c r="BG5090" t="s">
        <v>31585</v>
      </c>
      <c r="BH5090" s="1">
        <v>151.63</v>
      </c>
      <c r="BI5090" s="1">
        <v>383650</v>
      </c>
      <c r="BJ5090" s="3">
        <v>42697</v>
      </c>
      <c r="BK5090" t="s">
        <v>123</v>
      </c>
      <c r="BL5090" t="str">
        <f>"2016.867625"</f>
        <v>2016.867625</v>
      </c>
      <c r="BM5090" t="s">
        <v>2472</v>
      </c>
      <c r="BO5090" t="s">
        <v>31586</v>
      </c>
      <c r="BS5090">
        <v>30</v>
      </c>
      <c r="BW5090" t="str">
        <f>""</f>
        <v/>
      </c>
      <c r="CH5090" t="str">
        <f>""</f>
        <v/>
      </c>
      <c r="CS5090" t="str">
        <f>""</f>
        <v/>
      </c>
    </row>
    <row r="5091" spans="1:97" x14ac:dyDescent="0.25">
      <c r="A5091" t="s">
        <v>3580</v>
      </c>
      <c r="B5091" t="s">
        <v>4593</v>
      </c>
      <c r="E5091" t="s">
        <v>31587</v>
      </c>
      <c r="F5091" t="s">
        <v>108</v>
      </c>
      <c r="H5091" t="s">
        <v>31588</v>
      </c>
      <c r="I5091" t="s">
        <v>390</v>
      </c>
      <c r="J5091" t="s">
        <v>111</v>
      </c>
      <c r="K5091" t="str">
        <f>"85022"</f>
        <v>85022</v>
      </c>
      <c r="L5091" t="s">
        <v>5539</v>
      </c>
      <c r="M5091" t="s">
        <v>31588</v>
      </c>
      <c r="N5091" t="s">
        <v>390</v>
      </c>
      <c r="O5091" t="s">
        <v>111</v>
      </c>
      <c r="P5091" t="str">
        <f>"85022-4543"</f>
        <v>85022-4543</v>
      </c>
      <c r="Q5091" t="s">
        <v>113</v>
      </c>
      <c r="R5091" t="str">
        <f>"214-50-248"</f>
        <v>214-50-248</v>
      </c>
      <c r="S5091" t="s">
        <v>31589</v>
      </c>
      <c r="T5091" t="s">
        <v>31590</v>
      </c>
      <c r="U5091">
        <v>2445</v>
      </c>
      <c r="V5091">
        <v>0</v>
      </c>
      <c r="W5091">
        <v>4</v>
      </c>
      <c r="X5091">
        <v>1994</v>
      </c>
      <c r="Z5091">
        <v>2</v>
      </c>
      <c r="AA5091" t="s">
        <v>26</v>
      </c>
      <c r="AB5091">
        <v>0</v>
      </c>
      <c r="AC5091" t="s">
        <v>115</v>
      </c>
      <c r="AD5091">
        <v>2</v>
      </c>
      <c r="AE5091" t="s">
        <v>115</v>
      </c>
      <c r="AF5091">
        <v>0</v>
      </c>
      <c r="AG5091">
        <v>0</v>
      </c>
      <c r="AH5091" t="s">
        <v>116</v>
      </c>
      <c r="AI5091" s="1">
        <v>91412</v>
      </c>
      <c r="AJ5091" s="2">
        <v>0.21</v>
      </c>
      <c r="AK5091" s="1">
        <v>435926</v>
      </c>
      <c r="AL5091" t="s">
        <v>117</v>
      </c>
      <c r="AM5091" t="s">
        <v>191</v>
      </c>
      <c r="AN5091">
        <v>5025</v>
      </c>
      <c r="AO5091">
        <v>0.12</v>
      </c>
      <c r="AP5091">
        <v>1</v>
      </c>
      <c r="AR5091">
        <v>1</v>
      </c>
      <c r="AS5091" s="1">
        <v>29950</v>
      </c>
      <c r="AT5091" s="1">
        <v>5990</v>
      </c>
      <c r="AU5091" s="1">
        <v>23960</v>
      </c>
      <c r="AV5091">
        <v>80</v>
      </c>
      <c r="AX5091" s="1">
        <v>2465.6799999999998</v>
      </c>
      <c r="AY5091" t="s">
        <v>5802</v>
      </c>
      <c r="AZ5091" t="s">
        <v>5489</v>
      </c>
      <c r="BA5091" t="s">
        <v>5232</v>
      </c>
      <c r="BE5091" s="3">
        <v>42054</v>
      </c>
      <c r="BF5091" s="1">
        <v>340000</v>
      </c>
      <c r="BG5091" t="s">
        <v>31591</v>
      </c>
      <c r="BH5091" s="1">
        <v>150.91</v>
      </c>
      <c r="BI5091" s="1">
        <v>344514</v>
      </c>
      <c r="BJ5091" s="3">
        <v>42657</v>
      </c>
      <c r="BK5091" t="s">
        <v>123</v>
      </c>
      <c r="BL5091" t="str">
        <f>"2016.753349"</f>
        <v>2016.753349</v>
      </c>
      <c r="BM5091" t="s">
        <v>1707</v>
      </c>
      <c r="BO5091" t="s">
        <v>31592</v>
      </c>
      <c r="BS5091">
        <v>30</v>
      </c>
      <c r="BW5091" t="str">
        <f>""</f>
        <v/>
      </c>
      <c r="CH5091" t="str">
        <f>""</f>
        <v/>
      </c>
      <c r="CS5091" t="str">
        <f>""</f>
        <v/>
      </c>
    </row>
    <row r="5092" spans="1:97" x14ac:dyDescent="0.25">
      <c r="A5092" t="s">
        <v>211</v>
      </c>
      <c r="B5092" t="s">
        <v>7665</v>
      </c>
      <c r="E5092" t="s">
        <v>31593</v>
      </c>
      <c r="F5092" t="s">
        <v>108</v>
      </c>
      <c r="H5092" t="s">
        <v>31594</v>
      </c>
      <c r="I5092" t="s">
        <v>225</v>
      </c>
      <c r="J5092" t="s">
        <v>111</v>
      </c>
      <c r="K5092" t="str">
        <f>"85205"</f>
        <v>85205</v>
      </c>
      <c r="L5092" t="s">
        <v>6169</v>
      </c>
      <c r="M5092" t="s">
        <v>31594</v>
      </c>
      <c r="N5092" t="s">
        <v>225</v>
      </c>
      <c r="O5092" t="s">
        <v>111</v>
      </c>
      <c r="P5092" t="str">
        <f>"85205-3573"</f>
        <v>85205-3573</v>
      </c>
      <c r="Q5092" t="s">
        <v>113</v>
      </c>
      <c r="R5092" t="str">
        <f>"141-89-196"</f>
        <v>141-89-196</v>
      </c>
      <c r="S5092" t="s">
        <v>12884</v>
      </c>
      <c r="T5092" t="s">
        <v>8803</v>
      </c>
      <c r="U5092">
        <v>2413</v>
      </c>
      <c r="V5092">
        <v>0</v>
      </c>
      <c r="W5092">
        <v>4</v>
      </c>
      <c r="X5092">
        <v>1992</v>
      </c>
      <c r="Z5092">
        <v>2</v>
      </c>
      <c r="AB5092">
        <v>0</v>
      </c>
      <c r="AC5092" t="s">
        <v>115</v>
      </c>
      <c r="AD5092">
        <v>3</v>
      </c>
      <c r="AE5092" t="s">
        <v>115</v>
      </c>
      <c r="AF5092">
        <v>0</v>
      </c>
      <c r="AG5092">
        <v>0</v>
      </c>
      <c r="AH5092" t="s">
        <v>116</v>
      </c>
      <c r="AI5092" s="1">
        <v>71065</v>
      </c>
      <c r="AJ5092" s="2">
        <v>0.2</v>
      </c>
      <c r="AK5092" s="1">
        <v>355115</v>
      </c>
      <c r="AL5092" t="s">
        <v>117</v>
      </c>
      <c r="AM5092" t="s">
        <v>191</v>
      </c>
      <c r="AN5092">
        <v>8536</v>
      </c>
      <c r="AO5092">
        <v>0.2</v>
      </c>
      <c r="AP5092">
        <v>1</v>
      </c>
      <c r="AR5092">
        <v>1</v>
      </c>
      <c r="AS5092" s="1">
        <v>24680</v>
      </c>
      <c r="AT5092" s="1">
        <v>4930</v>
      </c>
      <c r="AU5092" s="1">
        <v>19750</v>
      </c>
      <c r="AV5092">
        <v>80.02</v>
      </c>
      <c r="AX5092" s="1">
        <v>2135.5</v>
      </c>
      <c r="AY5092" t="s">
        <v>5274</v>
      </c>
      <c r="AZ5092" t="s">
        <v>5275</v>
      </c>
      <c r="BA5092" t="s">
        <v>3119</v>
      </c>
      <c r="BE5092" s="3">
        <v>42062</v>
      </c>
      <c r="BF5092" s="1">
        <v>275000</v>
      </c>
      <c r="BG5092" t="s">
        <v>31595</v>
      </c>
      <c r="BH5092" s="1">
        <v>113.97</v>
      </c>
      <c r="BI5092" s="1">
        <v>284050</v>
      </c>
      <c r="BJ5092" s="3">
        <v>42062</v>
      </c>
      <c r="BK5092" t="s">
        <v>123</v>
      </c>
      <c r="BL5092" t="str">
        <f>"2015.134894"</f>
        <v>2015.134894</v>
      </c>
      <c r="BM5092" t="s">
        <v>124</v>
      </c>
      <c r="BO5092" t="s">
        <v>31596</v>
      </c>
      <c r="BS5092">
        <v>30</v>
      </c>
      <c r="BW5092" t="str">
        <f>""</f>
        <v/>
      </c>
      <c r="CH5092" t="str">
        <f>""</f>
        <v/>
      </c>
      <c r="CS5092" t="str">
        <f>""</f>
        <v/>
      </c>
    </row>
    <row r="5093" spans="1:97" x14ac:dyDescent="0.25">
      <c r="A5093" t="s">
        <v>3831</v>
      </c>
      <c r="B5093" t="s">
        <v>31597</v>
      </c>
      <c r="C5093" t="s">
        <v>894</v>
      </c>
      <c r="D5093" t="s">
        <v>31598</v>
      </c>
      <c r="E5093" t="s">
        <v>31599</v>
      </c>
      <c r="F5093" t="s">
        <v>108</v>
      </c>
      <c r="H5093" t="s">
        <v>31600</v>
      </c>
      <c r="I5093" t="s">
        <v>390</v>
      </c>
      <c r="J5093" t="s">
        <v>111</v>
      </c>
      <c r="K5093" t="str">
        <f>"85018"</f>
        <v>85018</v>
      </c>
      <c r="L5093" t="s">
        <v>9069</v>
      </c>
      <c r="M5093" t="s">
        <v>31600</v>
      </c>
      <c r="N5093" t="s">
        <v>390</v>
      </c>
      <c r="O5093" t="s">
        <v>111</v>
      </c>
      <c r="P5093" t="str">
        <f>"85018-1438"</f>
        <v>85018-1438</v>
      </c>
      <c r="Q5093" t="s">
        <v>113</v>
      </c>
      <c r="R5093" t="str">
        <f>"170-12-102"</f>
        <v>170-12-102</v>
      </c>
      <c r="S5093" t="s">
        <v>14361</v>
      </c>
      <c r="T5093" t="s">
        <v>14362</v>
      </c>
      <c r="U5093">
        <v>2233</v>
      </c>
      <c r="V5093">
        <v>0</v>
      </c>
      <c r="W5093">
        <v>4</v>
      </c>
      <c r="X5093">
        <v>1953</v>
      </c>
      <c r="Z5093">
        <v>1</v>
      </c>
      <c r="AA5093" t="s">
        <v>26</v>
      </c>
      <c r="AB5093">
        <v>0</v>
      </c>
      <c r="AC5093" t="s">
        <v>115</v>
      </c>
      <c r="AD5093">
        <v>2</v>
      </c>
      <c r="AE5093" t="s">
        <v>115</v>
      </c>
      <c r="AF5093">
        <v>0</v>
      </c>
      <c r="AG5093">
        <v>0</v>
      </c>
      <c r="AH5093" t="s">
        <v>116</v>
      </c>
      <c r="AI5093" s="1">
        <v>121335</v>
      </c>
      <c r="AJ5093" s="2">
        <v>0.17</v>
      </c>
      <c r="AK5093" s="1">
        <v>704452</v>
      </c>
      <c r="AL5093" t="s">
        <v>117</v>
      </c>
      <c r="AM5093" t="s">
        <v>191</v>
      </c>
      <c r="AN5093">
        <v>9169</v>
      </c>
      <c r="AO5093">
        <v>0.21</v>
      </c>
      <c r="AP5093">
        <v>1</v>
      </c>
      <c r="AR5093">
        <v>1</v>
      </c>
      <c r="AS5093" s="1">
        <v>52630</v>
      </c>
      <c r="AT5093" s="1">
        <v>10520</v>
      </c>
      <c r="AU5093" s="1">
        <v>42110</v>
      </c>
      <c r="AV5093">
        <v>80.010000000000005</v>
      </c>
      <c r="AX5093" s="1">
        <v>6729.76</v>
      </c>
      <c r="AY5093" t="s">
        <v>14363</v>
      </c>
      <c r="AZ5093" t="s">
        <v>14363</v>
      </c>
      <c r="BA5093" t="s">
        <v>6255</v>
      </c>
      <c r="BE5093" s="3">
        <v>42367</v>
      </c>
      <c r="BF5093" s="1">
        <v>627000</v>
      </c>
      <c r="BG5093" t="s">
        <v>31601</v>
      </c>
      <c r="BH5093" s="1">
        <v>280.79000000000002</v>
      </c>
      <c r="BI5093" s="1">
        <v>583117</v>
      </c>
      <c r="BJ5093" s="3">
        <v>42367</v>
      </c>
      <c r="BK5093" t="s">
        <v>123</v>
      </c>
      <c r="BL5093" t="str">
        <f>"2015.914151"</f>
        <v>2015.914151</v>
      </c>
      <c r="BM5093" t="s">
        <v>544</v>
      </c>
      <c r="BO5093" t="s">
        <v>31602</v>
      </c>
      <c r="BP5093" t="s">
        <v>31603</v>
      </c>
      <c r="BS5093">
        <v>30</v>
      </c>
      <c r="BW5093" t="str">
        <f>""</f>
        <v/>
      </c>
      <c r="CH5093" t="str">
        <f>""</f>
        <v/>
      </c>
      <c r="CS5093" t="str">
        <f>""</f>
        <v/>
      </c>
    </row>
    <row r="5094" spans="1:97" x14ac:dyDescent="0.25">
      <c r="A5094" t="s">
        <v>489</v>
      </c>
      <c r="B5094" t="s">
        <v>31604</v>
      </c>
      <c r="E5094" t="s">
        <v>31605</v>
      </c>
      <c r="F5094" t="s">
        <v>108</v>
      </c>
      <c r="H5094" t="s">
        <v>31606</v>
      </c>
      <c r="I5094" t="s">
        <v>110</v>
      </c>
      <c r="J5094" t="s">
        <v>111</v>
      </c>
      <c r="K5094" t="str">
        <f>"85286"</f>
        <v>85286</v>
      </c>
      <c r="L5094" t="s">
        <v>6481</v>
      </c>
      <c r="M5094" t="s">
        <v>31606</v>
      </c>
      <c r="N5094" t="s">
        <v>110</v>
      </c>
      <c r="O5094" t="s">
        <v>111</v>
      </c>
      <c r="P5094" t="str">
        <f>"85286-7126"</f>
        <v>85286-7126</v>
      </c>
      <c r="Q5094" t="s">
        <v>113</v>
      </c>
      <c r="R5094" t="str">
        <f>"303-27-418"</f>
        <v>303-27-418</v>
      </c>
      <c r="S5094" t="s">
        <v>31607</v>
      </c>
      <c r="T5094" t="s">
        <v>31607</v>
      </c>
      <c r="U5094">
        <v>3039</v>
      </c>
      <c r="V5094">
        <v>0</v>
      </c>
      <c r="W5094">
        <v>3</v>
      </c>
      <c r="X5094">
        <v>1976</v>
      </c>
      <c r="Z5094">
        <v>2</v>
      </c>
      <c r="AA5094" t="s">
        <v>26</v>
      </c>
      <c r="AB5094">
        <v>0</v>
      </c>
      <c r="AC5094" t="s">
        <v>5188</v>
      </c>
      <c r="AD5094">
        <v>2</v>
      </c>
      <c r="AE5094" t="s">
        <v>5188</v>
      </c>
      <c r="AF5094">
        <v>0</v>
      </c>
      <c r="AG5094">
        <v>0</v>
      </c>
      <c r="AH5094" t="s">
        <v>116</v>
      </c>
      <c r="AI5094" s="1">
        <v>75395</v>
      </c>
      <c r="AJ5094" s="2">
        <v>0.16</v>
      </c>
      <c r="AK5094" s="1">
        <v>463565</v>
      </c>
      <c r="AL5094" t="s">
        <v>117</v>
      </c>
      <c r="AM5094" t="s">
        <v>1302</v>
      </c>
      <c r="AN5094">
        <v>21343</v>
      </c>
      <c r="AO5094">
        <v>0.49</v>
      </c>
      <c r="AR5094">
        <v>1</v>
      </c>
      <c r="AS5094" s="1">
        <v>34860</v>
      </c>
      <c r="AT5094" s="1">
        <v>6970</v>
      </c>
      <c r="AU5094" s="1">
        <v>27890</v>
      </c>
      <c r="AV5094">
        <v>80.010000000000005</v>
      </c>
      <c r="AX5094" s="1">
        <v>2727.48</v>
      </c>
      <c r="AY5094" t="s">
        <v>14037</v>
      </c>
      <c r="AZ5094" t="s">
        <v>1882</v>
      </c>
      <c r="BA5094" t="s">
        <v>121</v>
      </c>
      <c r="BE5094" s="3">
        <v>42304</v>
      </c>
      <c r="BF5094" s="1">
        <v>380000</v>
      </c>
      <c r="BG5094" t="s">
        <v>31608</v>
      </c>
      <c r="BH5094" s="1">
        <v>125.04</v>
      </c>
      <c r="BI5094" s="1">
        <v>388170</v>
      </c>
      <c r="BJ5094" s="3">
        <v>42304</v>
      </c>
      <c r="BK5094" t="s">
        <v>123</v>
      </c>
      <c r="BL5094" t="str">
        <f>"2015.771575"</f>
        <v>2015.771575</v>
      </c>
      <c r="BM5094" t="s">
        <v>1554</v>
      </c>
      <c r="BO5094" t="s">
        <v>31609</v>
      </c>
      <c r="BS5094">
        <v>30</v>
      </c>
      <c r="BW5094" t="str">
        <f>""</f>
        <v/>
      </c>
      <c r="CH5094" t="str">
        <f>""</f>
        <v/>
      </c>
      <c r="CS5094" t="str">
        <f>""</f>
        <v/>
      </c>
    </row>
    <row r="5095" spans="1:97" x14ac:dyDescent="0.25">
      <c r="A5095" t="s">
        <v>31610</v>
      </c>
      <c r="B5095" t="s">
        <v>31611</v>
      </c>
      <c r="E5095" t="s">
        <v>31612</v>
      </c>
      <c r="F5095" t="s">
        <v>108</v>
      </c>
      <c r="H5095" t="s">
        <v>31613</v>
      </c>
      <c r="I5095" t="s">
        <v>390</v>
      </c>
      <c r="J5095" t="s">
        <v>111</v>
      </c>
      <c r="K5095" t="str">
        <f>"85048"</f>
        <v>85048</v>
      </c>
      <c r="L5095" t="s">
        <v>6691</v>
      </c>
      <c r="M5095" t="s">
        <v>31613</v>
      </c>
      <c r="N5095" t="s">
        <v>390</v>
      </c>
      <c r="O5095" t="s">
        <v>111</v>
      </c>
      <c r="P5095" t="str">
        <f>"85048-6345"</f>
        <v>85048-6345</v>
      </c>
      <c r="Q5095" t="s">
        <v>113</v>
      </c>
      <c r="R5095" t="str">
        <f>"300-94-386"</f>
        <v>300-94-386</v>
      </c>
      <c r="S5095" t="s">
        <v>31614</v>
      </c>
      <c r="T5095" t="s">
        <v>26219</v>
      </c>
      <c r="U5095">
        <v>2347</v>
      </c>
      <c r="V5095">
        <v>0</v>
      </c>
      <c r="W5095">
        <v>3</v>
      </c>
      <c r="X5095">
        <v>1993</v>
      </c>
      <c r="Z5095">
        <v>1</v>
      </c>
      <c r="AA5095" t="s">
        <v>26</v>
      </c>
      <c r="AB5095">
        <v>0</v>
      </c>
      <c r="AC5095" t="s">
        <v>115</v>
      </c>
      <c r="AD5095">
        <v>3</v>
      </c>
      <c r="AE5095" t="s">
        <v>115</v>
      </c>
      <c r="AF5095">
        <v>0</v>
      </c>
      <c r="AG5095">
        <v>0</v>
      </c>
      <c r="AH5095" t="s">
        <v>116</v>
      </c>
      <c r="AI5095" s="1">
        <v>62798</v>
      </c>
      <c r="AJ5095" s="2">
        <v>0.14000000000000001</v>
      </c>
      <c r="AK5095" s="1">
        <v>435442</v>
      </c>
      <c r="AL5095" t="s">
        <v>117</v>
      </c>
      <c r="AM5095" t="s">
        <v>191</v>
      </c>
      <c r="AN5095">
        <v>7466</v>
      </c>
      <c r="AO5095">
        <v>0.17</v>
      </c>
      <c r="AP5095">
        <v>1</v>
      </c>
      <c r="AR5095">
        <v>1</v>
      </c>
      <c r="AS5095" s="1">
        <v>31360</v>
      </c>
      <c r="AT5095" s="1">
        <v>6270</v>
      </c>
      <c r="AU5095" s="1">
        <v>25090</v>
      </c>
      <c r="AV5095">
        <v>80.010000000000005</v>
      </c>
      <c r="AX5095" s="1">
        <v>3362.58</v>
      </c>
      <c r="AY5095" t="s">
        <v>6202</v>
      </c>
      <c r="AZ5095" t="s">
        <v>2967</v>
      </c>
      <c r="BA5095" t="s">
        <v>930</v>
      </c>
      <c r="BE5095" s="3">
        <v>41649</v>
      </c>
      <c r="BF5095" s="1">
        <v>364900</v>
      </c>
      <c r="BG5095" t="s">
        <v>31615</v>
      </c>
      <c r="BH5095" s="1">
        <v>155.47999999999999</v>
      </c>
      <c r="BI5095" s="1">
        <v>372644</v>
      </c>
      <c r="BJ5095" s="3">
        <v>42107</v>
      </c>
      <c r="BK5095" t="s">
        <v>123</v>
      </c>
      <c r="BL5095" t="str">
        <f>"2015.249609"</f>
        <v>2015.249609</v>
      </c>
      <c r="BM5095" t="s">
        <v>402</v>
      </c>
      <c r="BO5095" t="s">
        <v>31616</v>
      </c>
      <c r="BS5095">
        <v>30</v>
      </c>
      <c r="BW5095" t="str">
        <f>""</f>
        <v/>
      </c>
      <c r="CH5095" t="str">
        <f>""</f>
        <v/>
      </c>
      <c r="CS5095" t="str">
        <f>""</f>
        <v/>
      </c>
    </row>
    <row r="5096" spans="1:97" x14ac:dyDescent="0.25">
      <c r="A5096" t="s">
        <v>3296</v>
      </c>
      <c r="B5096" t="s">
        <v>31617</v>
      </c>
      <c r="C5096" t="s">
        <v>933</v>
      </c>
      <c r="D5096" t="s">
        <v>31617</v>
      </c>
      <c r="E5096" t="s">
        <v>31618</v>
      </c>
      <c r="F5096" t="s">
        <v>108</v>
      </c>
      <c r="H5096" t="s">
        <v>31619</v>
      </c>
      <c r="I5096" t="s">
        <v>632</v>
      </c>
      <c r="J5096" t="s">
        <v>111</v>
      </c>
      <c r="K5096" t="str">
        <f>"85387"</f>
        <v>85387</v>
      </c>
      <c r="L5096" t="s">
        <v>11709</v>
      </c>
      <c r="M5096" t="s">
        <v>31619</v>
      </c>
      <c r="N5096" t="s">
        <v>632</v>
      </c>
      <c r="O5096" t="s">
        <v>111</v>
      </c>
      <c r="P5096" t="str">
        <f>"85387-7269"</f>
        <v>85387-7269</v>
      </c>
      <c r="Q5096" t="s">
        <v>113</v>
      </c>
      <c r="R5096" t="str">
        <f>"232-45-338"</f>
        <v>232-45-338</v>
      </c>
      <c r="S5096" t="s">
        <v>31620</v>
      </c>
      <c r="T5096" t="s">
        <v>31620</v>
      </c>
      <c r="U5096">
        <v>2483</v>
      </c>
      <c r="V5096">
        <v>0</v>
      </c>
      <c r="W5096">
        <v>4</v>
      </c>
      <c r="X5096">
        <v>2003</v>
      </c>
      <c r="Z5096">
        <v>1</v>
      </c>
      <c r="AB5096">
        <v>0</v>
      </c>
      <c r="AC5096" t="s">
        <v>115</v>
      </c>
      <c r="AD5096">
        <v>3</v>
      </c>
      <c r="AE5096" t="s">
        <v>115</v>
      </c>
      <c r="AF5096">
        <v>0</v>
      </c>
      <c r="AG5096">
        <v>0</v>
      </c>
      <c r="AH5096" t="s">
        <v>116</v>
      </c>
      <c r="AI5096" s="1">
        <v>60345</v>
      </c>
      <c r="AJ5096" s="2">
        <v>0.13</v>
      </c>
      <c r="AK5096" s="1">
        <v>451345</v>
      </c>
      <c r="AL5096" t="s">
        <v>117</v>
      </c>
      <c r="AM5096" t="s">
        <v>118</v>
      </c>
      <c r="AN5096">
        <v>10438</v>
      </c>
      <c r="AO5096">
        <v>0.24</v>
      </c>
      <c r="AP5096">
        <v>1</v>
      </c>
      <c r="AR5096">
        <v>1</v>
      </c>
      <c r="AS5096" s="1">
        <v>30610</v>
      </c>
      <c r="AT5096" s="1">
        <v>6120</v>
      </c>
      <c r="AU5096" s="1">
        <v>24490</v>
      </c>
      <c r="AV5096">
        <v>80.010000000000005</v>
      </c>
      <c r="AX5096" s="1">
        <v>3116.8</v>
      </c>
      <c r="AY5096" t="s">
        <v>5108</v>
      </c>
      <c r="AZ5096" t="s">
        <v>5108</v>
      </c>
      <c r="BA5096" t="s">
        <v>5109</v>
      </c>
      <c r="BE5096" s="3">
        <v>42158</v>
      </c>
      <c r="BF5096" s="1">
        <v>391000</v>
      </c>
      <c r="BG5096" t="s">
        <v>31621</v>
      </c>
      <c r="BH5096" s="1">
        <v>157.47</v>
      </c>
      <c r="BI5096" s="1">
        <v>391000</v>
      </c>
      <c r="BJ5096" s="3">
        <v>42158</v>
      </c>
      <c r="BK5096" t="s">
        <v>123</v>
      </c>
      <c r="BL5096" t="str">
        <f>"2015.396426"</f>
        <v>2015.396426</v>
      </c>
      <c r="BM5096" t="s">
        <v>544</v>
      </c>
      <c r="BO5096" t="s">
        <v>31622</v>
      </c>
      <c r="BS5096">
        <v>30</v>
      </c>
      <c r="BW5096" t="str">
        <f>""</f>
        <v/>
      </c>
      <c r="CH5096" t="str">
        <f>""</f>
        <v/>
      </c>
      <c r="CS5096" t="str">
        <f>""</f>
        <v/>
      </c>
    </row>
    <row r="5097" spans="1:97" x14ac:dyDescent="0.25">
      <c r="A5097" t="s">
        <v>1109</v>
      </c>
      <c r="B5097" t="s">
        <v>31623</v>
      </c>
      <c r="E5097" t="s">
        <v>31624</v>
      </c>
      <c r="F5097" t="s">
        <v>108</v>
      </c>
      <c r="H5097" t="s">
        <v>31625</v>
      </c>
      <c r="I5097" t="s">
        <v>225</v>
      </c>
      <c r="J5097" t="s">
        <v>111</v>
      </c>
      <c r="K5097" t="str">
        <f>"85203"</f>
        <v>85203</v>
      </c>
      <c r="L5097" t="s">
        <v>4003</v>
      </c>
      <c r="M5097" t="s">
        <v>31625</v>
      </c>
      <c r="N5097" t="s">
        <v>225</v>
      </c>
      <c r="O5097" t="s">
        <v>111</v>
      </c>
      <c r="P5097" t="str">
        <f>"85203-5022"</f>
        <v>85203-5022</v>
      </c>
      <c r="Q5097" t="s">
        <v>113</v>
      </c>
      <c r="R5097" t="str">
        <f>"137-03-057"</f>
        <v>137-03-057</v>
      </c>
      <c r="S5097" t="s">
        <v>10313</v>
      </c>
      <c r="T5097" t="s">
        <v>10314</v>
      </c>
      <c r="U5097">
        <v>2109</v>
      </c>
      <c r="V5097">
        <v>0</v>
      </c>
      <c r="W5097">
        <v>2</v>
      </c>
      <c r="X5097">
        <v>1971</v>
      </c>
      <c r="Z5097">
        <v>1</v>
      </c>
      <c r="AB5097">
        <v>0</v>
      </c>
      <c r="AC5097" t="s">
        <v>115</v>
      </c>
      <c r="AD5097">
        <v>2</v>
      </c>
      <c r="AE5097" t="s">
        <v>115</v>
      </c>
      <c r="AF5097">
        <v>0</v>
      </c>
      <c r="AG5097">
        <v>0</v>
      </c>
      <c r="AH5097" t="s">
        <v>116</v>
      </c>
      <c r="AI5097" s="1">
        <v>99479</v>
      </c>
      <c r="AJ5097" s="2">
        <v>0.3</v>
      </c>
      <c r="AK5097" s="1">
        <v>331904</v>
      </c>
      <c r="AL5097" t="s">
        <v>117</v>
      </c>
      <c r="AM5097" t="s">
        <v>917</v>
      </c>
      <c r="AN5097">
        <v>15886</v>
      </c>
      <c r="AO5097">
        <v>0.36</v>
      </c>
      <c r="AP5097">
        <v>1</v>
      </c>
      <c r="AR5097">
        <v>1</v>
      </c>
      <c r="AS5097" s="1">
        <v>22000</v>
      </c>
      <c r="AT5097" s="1">
        <v>4400</v>
      </c>
      <c r="AU5097" s="1">
        <v>17600</v>
      </c>
      <c r="AV5097">
        <v>80</v>
      </c>
      <c r="AX5097" s="1">
        <v>1605.88</v>
      </c>
      <c r="AY5097" t="s">
        <v>7578</v>
      </c>
      <c r="AZ5097" t="s">
        <v>1523</v>
      </c>
      <c r="BA5097" t="s">
        <v>1524</v>
      </c>
      <c r="BE5097" s="3">
        <v>41803</v>
      </c>
      <c r="BF5097" s="1">
        <v>245900</v>
      </c>
      <c r="BG5097" t="s">
        <v>31626</v>
      </c>
      <c r="BH5097" s="1">
        <v>116.6</v>
      </c>
      <c r="BI5097" s="1">
        <v>232425</v>
      </c>
      <c r="BJ5097" s="3">
        <v>42123</v>
      </c>
      <c r="BK5097" t="s">
        <v>123</v>
      </c>
      <c r="BL5097" t="str">
        <f>"2015.294806"</f>
        <v>2015.294806</v>
      </c>
      <c r="BM5097" t="s">
        <v>2127</v>
      </c>
      <c r="BO5097" t="s">
        <v>31627</v>
      </c>
      <c r="BS5097">
        <v>30</v>
      </c>
      <c r="BW5097" t="str">
        <f>""</f>
        <v/>
      </c>
      <c r="CH5097" t="str">
        <f>""</f>
        <v/>
      </c>
      <c r="CS5097" t="str">
        <f>""</f>
        <v/>
      </c>
    </row>
    <row r="5098" spans="1:97" x14ac:dyDescent="0.25">
      <c r="B5098" t="s">
        <v>31628</v>
      </c>
      <c r="C5098" t="s">
        <v>1845</v>
      </c>
      <c r="E5098" t="s">
        <v>31629</v>
      </c>
      <c r="F5098" t="s">
        <v>108</v>
      </c>
      <c r="H5098" t="s">
        <v>31630</v>
      </c>
      <c r="I5098" t="s">
        <v>1397</v>
      </c>
      <c r="J5098" t="s">
        <v>111</v>
      </c>
      <c r="K5098" t="str">
        <f>"85331"</f>
        <v>85331</v>
      </c>
      <c r="L5098" t="s">
        <v>17926</v>
      </c>
      <c r="M5098" t="s">
        <v>31631</v>
      </c>
      <c r="N5098" t="s">
        <v>1397</v>
      </c>
      <c r="O5098" t="s">
        <v>111</v>
      </c>
      <c r="P5098" t="str">
        <f>"85331-3370"</f>
        <v>85331-3370</v>
      </c>
      <c r="Q5098" t="s">
        <v>113</v>
      </c>
      <c r="R5098" t="str">
        <f>"211-42-659-B"</f>
        <v>211-42-659-B</v>
      </c>
      <c r="S5098" t="s">
        <v>31632</v>
      </c>
      <c r="U5098">
        <v>1656</v>
      </c>
      <c r="V5098">
        <v>0</v>
      </c>
      <c r="W5098">
        <v>2</v>
      </c>
      <c r="X5098">
        <v>2000</v>
      </c>
      <c r="Z5098">
        <v>1</v>
      </c>
      <c r="AB5098">
        <v>0</v>
      </c>
      <c r="AC5098" t="s">
        <v>115</v>
      </c>
      <c r="AD5098">
        <v>2</v>
      </c>
      <c r="AE5098" t="s">
        <v>115</v>
      </c>
      <c r="AF5098">
        <v>0</v>
      </c>
      <c r="AG5098">
        <v>0</v>
      </c>
      <c r="AH5098" t="s">
        <v>116</v>
      </c>
      <c r="AI5098" s="1">
        <v>-20425</v>
      </c>
      <c r="AJ5098" s="2">
        <v>-0.06</v>
      </c>
      <c r="AK5098" s="1">
        <v>315300</v>
      </c>
      <c r="AL5098" t="s">
        <v>117</v>
      </c>
      <c r="AM5098" t="s">
        <v>191</v>
      </c>
      <c r="AN5098">
        <v>5135</v>
      </c>
      <c r="AO5098">
        <v>0.12</v>
      </c>
      <c r="AP5098">
        <v>1</v>
      </c>
      <c r="AR5098">
        <v>1</v>
      </c>
      <c r="AS5098" s="1">
        <v>24110</v>
      </c>
      <c r="AT5098" s="1">
        <v>4410</v>
      </c>
      <c r="AU5098" s="1">
        <v>19700</v>
      </c>
      <c r="AV5098">
        <v>81.709999999999994</v>
      </c>
      <c r="AX5098" s="1">
        <v>1494.5</v>
      </c>
      <c r="AY5098" t="s">
        <v>6361</v>
      </c>
      <c r="AZ5098" t="s">
        <v>1402</v>
      </c>
      <c r="BA5098" t="s">
        <v>1403</v>
      </c>
      <c r="BB5098" s="3">
        <v>43706</v>
      </c>
      <c r="BC5098" s="1">
        <v>0</v>
      </c>
      <c r="BD5098" t="s">
        <v>247</v>
      </c>
      <c r="BE5098" s="3">
        <v>42317</v>
      </c>
      <c r="BF5098" s="1">
        <v>325000</v>
      </c>
      <c r="BG5098" t="s">
        <v>31633</v>
      </c>
      <c r="BH5098" s="1">
        <v>196.26</v>
      </c>
      <c r="BI5098" s="1">
        <v>335725</v>
      </c>
      <c r="BJ5098" s="3">
        <v>42317</v>
      </c>
      <c r="BK5098" t="s">
        <v>123</v>
      </c>
      <c r="BL5098" t="str">
        <f>"2015.801793"</f>
        <v>2015.801793</v>
      </c>
      <c r="BM5098" t="s">
        <v>5747</v>
      </c>
      <c r="BN5098" t="s">
        <v>18284</v>
      </c>
      <c r="BO5098" t="s">
        <v>31634</v>
      </c>
      <c r="BP5098" t="s">
        <v>31635</v>
      </c>
      <c r="BS5098">
        <v>30</v>
      </c>
      <c r="BW5098" t="str">
        <f>""</f>
        <v/>
      </c>
      <c r="CH5098" t="str">
        <f>""</f>
        <v/>
      </c>
      <c r="CS5098" t="str">
        <f>""</f>
        <v/>
      </c>
    </row>
    <row r="5099" spans="1:97" x14ac:dyDescent="0.25">
      <c r="A5099" t="s">
        <v>211</v>
      </c>
      <c r="B5099" t="s">
        <v>1089</v>
      </c>
      <c r="E5099" t="s">
        <v>31636</v>
      </c>
      <c r="F5099" t="s">
        <v>108</v>
      </c>
      <c r="H5099" t="s">
        <v>31637</v>
      </c>
      <c r="I5099" t="s">
        <v>632</v>
      </c>
      <c r="J5099" t="s">
        <v>111</v>
      </c>
      <c r="K5099" t="str">
        <f>"85388"</f>
        <v>85388</v>
      </c>
      <c r="L5099" t="s">
        <v>4159</v>
      </c>
      <c r="M5099" t="s">
        <v>31637</v>
      </c>
      <c r="N5099" t="s">
        <v>632</v>
      </c>
      <c r="O5099" t="s">
        <v>111</v>
      </c>
      <c r="P5099" t="str">
        <f>"85388-1791"</f>
        <v>85388-1791</v>
      </c>
      <c r="Q5099" t="s">
        <v>113</v>
      </c>
      <c r="R5099" t="str">
        <f>"502-84-331"</f>
        <v>502-84-331</v>
      </c>
      <c r="S5099" t="s">
        <v>31638</v>
      </c>
      <c r="T5099" t="s">
        <v>28263</v>
      </c>
      <c r="U5099">
        <v>2705</v>
      </c>
      <c r="V5099">
        <v>0</v>
      </c>
      <c r="W5099">
        <v>4</v>
      </c>
      <c r="X5099">
        <v>2005</v>
      </c>
      <c r="Z5099">
        <v>1</v>
      </c>
      <c r="AA5099" t="s">
        <v>26</v>
      </c>
      <c r="AB5099">
        <v>0</v>
      </c>
      <c r="AC5099" t="s">
        <v>115</v>
      </c>
      <c r="AD5099">
        <v>3</v>
      </c>
      <c r="AE5099" t="s">
        <v>115</v>
      </c>
      <c r="AF5099">
        <v>0</v>
      </c>
      <c r="AG5099">
        <v>0</v>
      </c>
      <c r="AH5099" t="s">
        <v>116</v>
      </c>
      <c r="AI5099" s="1">
        <v>53892</v>
      </c>
      <c r="AJ5099" s="2">
        <v>0.15</v>
      </c>
      <c r="AK5099" s="1">
        <v>355377</v>
      </c>
      <c r="AL5099" t="s">
        <v>117</v>
      </c>
      <c r="AM5099" t="s">
        <v>118</v>
      </c>
      <c r="AN5099">
        <v>9500</v>
      </c>
      <c r="AO5099">
        <v>0.22</v>
      </c>
      <c r="AR5099">
        <v>1</v>
      </c>
      <c r="AS5099" s="1">
        <v>26160</v>
      </c>
      <c r="AT5099" s="1">
        <v>5230</v>
      </c>
      <c r="AU5099" s="1">
        <v>20930</v>
      </c>
      <c r="AV5099">
        <v>80.010000000000005</v>
      </c>
      <c r="AX5099" s="1">
        <v>2277.7399999999998</v>
      </c>
      <c r="AY5099" t="s">
        <v>5168</v>
      </c>
      <c r="AZ5099" t="s">
        <v>5168</v>
      </c>
      <c r="BA5099" t="s">
        <v>5109</v>
      </c>
      <c r="BE5099" s="3">
        <v>42228</v>
      </c>
      <c r="BF5099" s="1">
        <v>299000</v>
      </c>
      <c r="BG5099" t="s">
        <v>31639</v>
      </c>
      <c r="BH5099" s="1">
        <v>110.54</v>
      </c>
      <c r="BI5099" s="1">
        <v>301485</v>
      </c>
      <c r="BJ5099" s="3">
        <v>42475</v>
      </c>
      <c r="BK5099" t="s">
        <v>123</v>
      </c>
      <c r="BL5099" t="str">
        <f>"2016.251690"</f>
        <v>2016.251690</v>
      </c>
      <c r="BM5099" t="s">
        <v>402</v>
      </c>
      <c r="BO5099" t="s">
        <v>31640</v>
      </c>
      <c r="BS5099">
        <v>30</v>
      </c>
      <c r="BW5099" t="str">
        <f>""</f>
        <v/>
      </c>
      <c r="CH5099" t="str">
        <f>""</f>
        <v/>
      </c>
      <c r="CS5099" t="str">
        <f>""</f>
        <v/>
      </c>
    </row>
    <row r="5100" spans="1:97" x14ac:dyDescent="0.25">
      <c r="A5100" t="s">
        <v>815</v>
      </c>
      <c r="B5100" t="s">
        <v>603</v>
      </c>
      <c r="C5100" t="s">
        <v>31641</v>
      </c>
      <c r="D5100" t="s">
        <v>603</v>
      </c>
      <c r="E5100" t="s">
        <v>31642</v>
      </c>
      <c r="F5100" t="s">
        <v>108</v>
      </c>
      <c r="H5100" t="s">
        <v>31643</v>
      </c>
      <c r="I5100" t="s">
        <v>390</v>
      </c>
      <c r="J5100" t="s">
        <v>111</v>
      </c>
      <c r="K5100" t="str">
        <f>"85022"</f>
        <v>85022</v>
      </c>
      <c r="L5100" t="s">
        <v>9168</v>
      </c>
      <c r="M5100" t="s">
        <v>31643</v>
      </c>
      <c r="N5100" t="s">
        <v>390</v>
      </c>
      <c r="O5100" t="s">
        <v>111</v>
      </c>
      <c r="P5100" t="str">
        <f>"85022-3681"</f>
        <v>85022-3681</v>
      </c>
      <c r="Q5100" t="s">
        <v>113</v>
      </c>
      <c r="R5100" t="str">
        <f>"208-17-433"</f>
        <v>208-17-433</v>
      </c>
      <c r="S5100" t="s">
        <v>31644</v>
      </c>
      <c r="T5100" t="s">
        <v>27257</v>
      </c>
      <c r="U5100">
        <v>3703</v>
      </c>
      <c r="V5100">
        <v>0</v>
      </c>
      <c r="W5100">
        <v>4</v>
      </c>
      <c r="X5100">
        <v>1978</v>
      </c>
      <c r="Z5100">
        <v>1</v>
      </c>
      <c r="AA5100" t="s">
        <v>26</v>
      </c>
      <c r="AB5100">
        <v>0</v>
      </c>
      <c r="AC5100" t="s">
        <v>115</v>
      </c>
      <c r="AD5100">
        <v>5</v>
      </c>
      <c r="AE5100" t="s">
        <v>115</v>
      </c>
      <c r="AF5100">
        <v>0</v>
      </c>
      <c r="AG5100">
        <v>0</v>
      </c>
      <c r="AH5100" t="s">
        <v>116</v>
      </c>
      <c r="AI5100" s="1">
        <v>172785</v>
      </c>
      <c r="AJ5100" s="2">
        <v>0.28000000000000003</v>
      </c>
      <c r="AK5100" s="1">
        <v>620582</v>
      </c>
      <c r="AL5100" t="s">
        <v>117</v>
      </c>
      <c r="AM5100" t="s">
        <v>1302</v>
      </c>
      <c r="AN5100">
        <v>18321</v>
      </c>
      <c r="AO5100">
        <v>0.42</v>
      </c>
      <c r="AP5100">
        <v>1</v>
      </c>
      <c r="AR5100">
        <v>1</v>
      </c>
      <c r="AS5100" s="1">
        <v>45650</v>
      </c>
      <c r="AT5100" s="1">
        <v>9130</v>
      </c>
      <c r="AU5100" s="1">
        <v>36520</v>
      </c>
      <c r="AV5100">
        <v>80</v>
      </c>
      <c r="AX5100" s="1">
        <v>5483.1</v>
      </c>
      <c r="AY5100" t="s">
        <v>9170</v>
      </c>
      <c r="AZ5100" t="s">
        <v>8648</v>
      </c>
      <c r="BA5100" t="s">
        <v>8649</v>
      </c>
      <c r="BE5100" s="3">
        <v>41723</v>
      </c>
      <c r="BF5100" s="1">
        <v>555000</v>
      </c>
      <c r="BG5100" t="s">
        <v>31645</v>
      </c>
      <c r="BH5100" s="1">
        <v>149.88</v>
      </c>
      <c r="BI5100" s="1">
        <v>447797</v>
      </c>
      <c r="BJ5100" s="3">
        <v>41943</v>
      </c>
      <c r="BK5100" t="s">
        <v>123</v>
      </c>
      <c r="BL5100" t="str">
        <f>"2014.726698"</f>
        <v>2014.726698</v>
      </c>
      <c r="BM5100" t="s">
        <v>843</v>
      </c>
      <c r="BO5100" t="s">
        <v>31646</v>
      </c>
      <c r="BS5100">
        <v>30</v>
      </c>
      <c r="BW5100" t="str">
        <f>""</f>
        <v/>
      </c>
      <c r="CH5100" t="str">
        <f>""</f>
        <v/>
      </c>
      <c r="CS5100" t="str">
        <f>""</f>
        <v/>
      </c>
    </row>
    <row r="5101" spans="1:97" x14ac:dyDescent="0.25">
      <c r="A5101" t="s">
        <v>177</v>
      </c>
      <c r="B5101" t="s">
        <v>31647</v>
      </c>
      <c r="C5101" t="s">
        <v>1021</v>
      </c>
      <c r="D5101" t="s">
        <v>31647</v>
      </c>
      <c r="E5101" t="s">
        <v>31648</v>
      </c>
      <c r="F5101" t="s">
        <v>108</v>
      </c>
      <c r="H5101" t="s">
        <v>31649</v>
      </c>
      <c r="I5101" t="s">
        <v>453</v>
      </c>
      <c r="J5101" t="s">
        <v>111</v>
      </c>
      <c r="K5101" t="str">
        <f>"85383"</f>
        <v>85383</v>
      </c>
      <c r="L5101" t="s">
        <v>337</v>
      </c>
      <c r="M5101" t="s">
        <v>31649</v>
      </c>
      <c r="N5101" t="s">
        <v>453</v>
      </c>
      <c r="O5101" t="s">
        <v>111</v>
      </c>
      <c r="P5101" t="str">
        <f>"85383-5378"</f>
        <v>85383-5378</v>
      </c>
      <c r="Q5101" t="s">
        <v>113</v>
      </c>
      <c r="R5101" t="str">
        <f>"510-07-112"</f>
        <v>510-07-112</v>
      </c>
      <c r="S5101" t="s">
        <v>31650</v>
      </c>
      <c r="U5101">
        <v>1778</v>
      </c>
      <c r="V5101">
        <v>0</v>
      </c>
      <c r="W5101">
        <v>3</v>
      </c>
      <c r="X5101">
        <v>2014</v>
      </c>
      <c r="Z5101">
        <v>1</v>
      </c>
      <c r="AB5101">
        <v>0</v>
      </c>
      <c r="AC5101" t="s">
        <v>115</v>
      </c>
      <c r="AD5101">
        <v>2</v>
      </c>
      <c r="AE5101" t="s">
        <v>115</v>
      </c>
      <c r="AF5101">
        <v>0</v>
      </c>
      <c r="AG5101">
        <v>0</v>
      </c>
      <c r="AH5101" t="s">
        <v>116</v>
      </c>
      <c r="AI5101" s="1">
        <v>108089</v>
      </c>
      <c r="AJ5101" s="2">
        <v>0.26</v>
      </c>
      <c r="AK5101" s="1">
        <v>420836</v>
      </c>
      <c r="AL5101" t="s">
        <v>117</v>
      </c>
      <c r="AM5101" t="s">
        <v>118</v>
      </c>
      <c r="AN5101">
        <v>6147</v>
      </c>
      <c r="AO5101">
        <v>0.14000000000000001</v>
      </c>
      <c r="AR5101">
        <v>1</v>
      </c>
      <c r="AS5101" s="1">
        <v>32410</v>
      </c>
      <c r="AT5101" s="1">
        <v>6480</v>
      </c>
      <c r="AU5101" s="1">
        <v>25930</v>
      </c>
      <c r="AV5101">
        <v>80.010000000000005</v>
      </c>
      <c r="AX5101" s="1">
        <v>2823.62</v>
      </c>
      <c r="AY5101" t="s">
        <v>456</v>
      </c>
      <c r="AZ5101" t="s">
        <v>456</v>
      </c>
      <c r="BA5101" t="s">
        <v>457</v>
      </c>
      <c r="BE5101" s="3">
        <v>41876</v>
      </c>
      <c r="BF5101" s="1">
        <v>354201</v>
      </c>
      <c r="BG5101" t="s">
        <v>292</v>
      </c>
      <c r="BH5101" s="1">
        <v>199.21</v>
      </c>
      <c r="BI5101" s="1">
        <v>312747</v>
      </c>
      <c r="BJ5101" s="3">
        <v>42151</v>
      </c>
      <c r="BK5101" t="s">
        <v>123</v>
      </c>
      <c r="BL5101" t="str">
        <f>"2015.371057"</f>
        <v>2015.371057</v>
      </c>
      <c r="BM5101" t="s">
        <v>724</v>
      </c>
      <c r="BO5101" t="s">
        <v>31651</v>
      </c>
      <c r="BS5101">
        <v>30</v>
      </c>
      <c r="BW5101" t="str">
        <f>""</f>
        <v/>
      </c>
      <c r="CH5101" t="str">
        <f>""</f>
        <v/>
      </c>
      <c r="CS5101" t="str">
        <f>""</f>
        <v/>
      </c>
    </row>
    <row r="5102" spans="1:97" x14ac:dyDescent="0.25">
      <c r="A5102" t="s">
        <v>4930</v>
      </c>
      <c r="B5102" t="s">
        <v>14296</v>
      </c>
      <c r="C5102" t="s">
        <v>334</v>
      </c>
      <c r="D5102" t="s">
        <v>14296</v>
      </c>
      <c r="E5102" t="s">
        <v>31652</v>
      </c>
      <c r="F5102" t="s">
        <v>108</v>
      </c>
      <c r="H5102" t="s">
        <v>31653</v>
      </c>
      <c r="I5102" t="s">
        <v>453</v>
      </c>
      <c r="J5102" t="s">
        <v>111</v>
      </c>
      <c r="K5102" t="str">
        <f>"85383"</f>
        <v>85383</v>
      </c>
      <c r="L5102" t="s">
        <v>3161</v>
      </c>
      <c r="M5102" t="s">
        <v>31653</v>
      </c>
      <c r="N5102" t="s">
        <v>453</v>
      </c>
      <c r="O5102" t="s">
        <v>111</v>
      </c>
      <c r="P5102" t="str">
        <f>"85383-2415"</f>
        <v>85383-2415</v>
      </c>
      <c r="Q5102" t="s">
        <v>113</v>
      </c>
      <c r="R5102" t="str">
        <f>"510-01-130"</f>
        <v>510-01-130</v>
      </c>
      <c r="S5102" t="s">
        <v>27402</v>
      </c>
      <c r="T5102" t="s">
        <v>17301</v>
      </c>
      <c r="U5102">
        <v>4665</v>
      </c>
      <c r="V5102">
        <v>0</v>
      </c>
      <c r="W5102">
        <v>5</v>
      </c>
      <c r="X5102">
        <v>2005</v>
      </c>
      <c r="Z5102">
        <v>2</v>
      </c>
      <c r="AA5102" t="s">
        <v>26</v>
      </c>
      <c r="AB5102">
        <v>0</v>
      </c>
      <c r="AC5102" t="s">
        <v>115</v>
      </c>
      <c r="AD5102">
        <v>4</v>
      </c>
      <c r="AE5102" t="s">
        <v>115</v>
      </c>
      <c r="AF5102">
        <v>0</v>
      </c>
      <c r="AG5102">
        <v>0</v>
      </c>
      <c r="AH5102" t="s">
        <v>116</v>
      </c>
      <c r="AI5102" s="1">
        <v>123955</v>
      </c>
      <c r="AJ5102" s="2">
        <v>0.22</v>
      </c>
      <c r="AK5102" s="1">
        <v>558124</v>
      </c>
      <c r="AL5102" t="s">
        <v>117</v>
      </c>
      <c r="AM5102" t="s">
        <v>118</v>
      </c>
      <c r="AN5102">
        <v>10845</v>
      </c>
      <c r="AO5102">
        <v>0.25</v>
      </c>
      <c r="AR5102">
        <v>1</v>
      </c>
      <c r="AS5102" s="1">
        <v>42410</v>
      </c>
      <c r="AT5102" s="1">
        <v>8480</v>
      </c>
      <c r="AU5102" s="1">
        <v>33930</v>
      </c>
      <c r="AV5102">
        <v>80</v>
      </c>
      <c r="AX5102" s="1">
        <v>4479.1000000000004</v>
      </c>
      <c r="AY5102" t="s">
        <v>627</v>
      </c>
      <c r="AZ5102" t="s">
        <v>627</v>
      </c>
      <c r="BA5102" t="s">
        <v>457</v>
      </c>
      <c r="BE5102" s="3">
        <v>42024</v>
      </c>
      <c r="BF5102" s="1">
        <v>425000</v>
      </c>
      <c r="BG5102" t="s">
        <v>31654</v>
      </c>
      <c r="BH5102" s="1">
        <v>91.1</v>
      </c>
      <c r="BI5102" s="1">
        <v>434169</v>
      </c>
      <c r="BJ5102" s="3">
        <v>42024</v>
      </c>
      <c r="BK5102" t="s">
        <v>123</v>
      </c>
      <c r="BL5102" t="str">
        <f>"2015.37424"</f>
        <v>2015.37424</v>
      </c>
      <c r="BM5102" t="s">
        <v>903</v>
      </c>
      <c r="BN5102" t="s">
        <v>904</v>
      </c>
      <c r="BO5102" t="s">
        <v>31655</v>
      </c>
      <c r="BS5102">
        <v>30</v>
      </c>
      <c r="BW5102" t="str">
        <f>""</f>
        <v/>
      </c>
      <c r="CH5102" t="str">
        <f>""</f>
        <v/>
      </c>
      <c r="CS5102" t="str">
        <f>""</f>
        <v/>
      </c>
    </row>
    <row r="5103" spans="1:97" x14ac:dyDescent="0.25">
      <c r="A5103" t="s">
        <v>31656</v>
      </c>
      <c r="B5103" t="s">
        <v>31657</v>
      </c>
      <c r="C5103" t="s">
        <v>1995</v>
      </c>
      <c r="D5103" t="s">
        <v>31657</v>
      </c>
      <c r="E5103" t="s">
        <v>31658</v>
      </c>
      <c r="F5103" t="s">
        <v>108</v>
      </c>
      <c r="H5103" t="s">
        <v>31659</v>
      </c>
      <c r="I5103" t="s">
        <v>1936</v>
      </c>
      <c r="J5103" t="s">
        <v>111</v>
      </c>
      <c r="K5103" t="str">
        <f>"85258"</f>
        <v>85258</v>
      </c>
      <c r="L5103" t="s">
        <v>6169</v>
      </c>
      <c r="M5103" t="s">
        <v>31659</v>
      </c>
      <c r="N5103" t="s">
        <v>1936</v>
      </c>
      <c r="O5103" t="s">
        <v>111</v>
      </c>
      <c r="P5103" t="str">
        <f>"85258-1840"</f>
        <v>85258-1840</v>
      </c>
      <c r="Q5103" t="s">
        <v>113</v>
      </c>
      <c r="R5103" t="str">
        <f>"175-58-076"</f>
        <v>175-58-076</v>
      </c>
      <c r="S5103" t="s">
        <v>31660</v>
      </c>
      <c r="T5103" t="s">
        <v>31661</v>
      </c>
      <c r="U5103">
        <v>1865</v>
      </c>
      <c r="V5103">
        <v>0</v>
      </c>
      <c r="W5103">
        <v>3</v>
      </c>
      <c r="X5103">
        <v>1979</v>
      </c>
      <c r="Z5103">
        <v>1</v>
      </c>
      <c r="AA5103" t="s">
        <v>26</v>
      </c>
      <c r="AB5103">
        <v>0</v>
      </c>
      <c r="AC5103" t="s">
        <v>115</v>
      </c>
      <c r="AD5103">
        <v>2</v>
      </c>
      <c r="AE5103" t="s">
        <v>115</v>
      </c>
      <c r="AF5103">
        <v>0</v>
      </c>
      <c r="AG5103">
        <v>0</v>
      </c>
      <c r="AH5103" t="s">
        <v>116</v>
      </c>
      <c r="AI5103" s="1">
        <v>150892</v>
      </c>
      <c r="AJ5103" s="2">
        <v>0.28000000000000003</v>
      </c>
      <c r="AK5103" s="1">
        <v>536084</v>
      </c>
      <c r="AL5103" t="s">
        <v>117</v>
      </c>
      <c r="AM5103" t="s">
        <v>393</v>
      </c>
      <c r="AN5103">
        <v>8968</v>
      </c>
      <c r="AO5103">
        <v>0.21</v>
      </c>
      <c r="AP5103">
        <v>1</v>
      </c>
      <c r="AR5103">
        <v>1</v>
      </c>
      <c r="AS5103" s="1">
        <v>38270</v>
      </c>
      <c r="AT5103" s="1">
        <v>7650</v>
      </c>
      <c r="AU5103" s="1">
        <v>30620</v>
      </c>
      <c r="AV5103">
        <v>80.010000000000005</v>
      </c>
      <c r="AX5103" s="1">
        <v>2540.94</v>
      </c>
      <c r="AY5103" t="s">
        <v>14284</v>
      </c>
      <c r="AZ5103" t="s">
        <v>8949</v>
      </c>
      <c r="BA5103" t="s">
        <v>7868</v>
      </c>
      <c r="BE5103" s="3">
        <v>42291</v>
      </c>
      <c r="BF5103" s="1">
        <v>415000</v>
      </c>
      <c r="BG5103" t="s">
        <v>31662</v>
      </c>
      <c r="BH5103" s="1">
        <v>222.52</v>
      </c>
      <c r="BI5103" s="1">
        <v>385192</v>
      </c>
      <c r="BJ5103" s="3">
        <v>42291</v>
      </c>
      <c r="BK5103" t="s">
        <v>123</v>
      </c>
      <c r="BL5103" t="str">
        <f>"2015.740391"</f>
        <v>2015.740391</v>
      </c>
      <c r="BM5103" t="s">
        <v>709</v>
      </c>
      <c r="BO5103" t="s">
        <v>31663</v>
      </c>
      <c r="BS5103">
        <v>30</v>
      </c>
      <c r="BW5103" t="str">
        <f>""</f>
        <v/>
      </c>
      <c r="CH5103" t="str">
        <f>""</f>
        <v/>
      </c>
      <c r="CS5103" t="str">
        <f>""</f>
        <v/>
      </c>
    </row>
    <row r="5104" spans="1:97" x14ac:dyDescent="0.25">
      <c r="A5104" t="s">
        <v>1465</v>
      </c>
      <c r="B5104" t="s">
        <v>31664</v>
      </c>
      <c r="E5104" t="s">
        <v>31665</v>
      </c>
      <c r="F5104" t="s">
        <v>139</v>
      </c>
      <c r="H5104" t="s">
        <v>31666</v>
      </c>
      <c r="I5104" t="s">
        <v>203</v>
      </c>
      <c r="J5104" t="s">
        <v>111</v>
      </c>
      <c r="K5104" t="str">
        <f>"85297"</f>
        <v>85297</v>
      </c>
      <c r="L5104" t="s">
        <v>26167</v>
      </c>
      <c r="M5104" t="s">
        <v>31667</v>
      </c>
      <c r="N5104" t="s">
        <v>203</v>
      </c>
      <c r="O5104" t="s">
        <v>111</v>
      </c>
      <c r="P5104" t="str">
        <f>"85297-3519"</f>
        <v>85297-3519</v>
      </c>
      <c r="Q5104" t="s">
        <v>113</v>
      </c>
      <c r="R5104" t="str">
        <f>"313-16-108"</f>
        <v>313-16-108</v>
      </c>
      <c r="S5104" t="s">
        <v>31668</v>
      </c>
      <c r="T5104" t="s">
        <v>31669</v>
      </c>
      <c r="U5104">
        <v>2042</v>
      </c>
      <c r="V5104">
        <v>0</v>
      </c>
      <c r="W5104">
        <v>4</v>
      </c>
      <c r="X5104">
        <v>2006</v>
      </c>
      <c r="Z5104">
        <v>2</v>
      </c>
      <c r="AA5104" t="s">
        <v>26</v>
      </c>
      <c r="AB5104">
        <v>0</v>
      </c>
      <c r="AC5104" t="s">
        <v>115</v>
      </c>
      <c r="AD5104">
        <v>2</v>
      </c>
      <c r="AE5104" t="s">
        <v>115</v>
      </c>
      <c r="AF5104">
        <v>0</v>
      </c>
      <c r="AG5104">
        <v>0</v>
      </c>
      <c r="AH5104" t="s">
        <v>116</v>
      </c>
      <c r="AI5104" s="1">
        <v>52986</v>
      </c>
      <c r="AJ5104" s="2">
        <v>0.16</v>
      </c>
      <c r="AK5104" s="1">
        <v>333796</v>
      </c>
      <c r="AL5104" t="s">
        <v>117</v>
      </c>
      <c r="AM5104" t="s">
        <v>288</v>
      </c>
      <c r="AN5104">
        <v>4420</v>
      </c>
      <c r="AO5104">
        <v>0.1</v>
      </c>
      <c r="AP5104">
        <v>1</v>
      </c>
      <c r="AR5104">
        <v>1</v>
      </c>
      <c r="AS5104" s="1">
        <v>22840</v>
      </c>
      <c r="AT5104" s="1">
        <v>3880</v>
      </c>
      <c r="AU5104" s="1">
        <v>18960</v>
      </c>
      <c r="AV5104">
        <v>83.01</v>
      </c>
      <c r="AX5104" s="1">
        <v>1933.42</v>
      </c>
      <c r="AY5104" t="s">
        <v>8338</v>
      </c>
      <c r="AZ5104" t="s">
        <v>8338</v>
      </c>
      <c r="BA5104" t="s">
        <v>290</v>
      </c>
      <c r="BE5104" s="3">
        <v>42094</v>
      </c>
      <c r="BF5104" s="1">
        <v>274900</v>
      </c>
      <c r="BG5104" t="s">
        <v>31670</v>
      </c>
      <c r="BH5104" s="1">
        <v>134.62</v>
      </c>
      <c r="BI5104" s="1">
        <v>280810</v>
      </c>
      <c r="BJ5104" s="3">
        <v>42094</v>
      </c>
      <c r="BK5104" t="s">
        <v>123</v>
      </c>
      <c r="BL5104" t="str">
        <f>"2015.215150"</f>
        <v>2015.215150</v>
      </c>
      <c r="BM5104" t="s">
        <v>131</v>
      </c>
      <c r="BO5104" t="s">
        <v>31671</v>
      </c>
      <c r="BS5104">
        <v>30</v>
      </c>
      <c r="BW5104" t="str">
        <f>""</f>
        <v/>
      </c>
      <c r="CH5104" t="str">
        <f>""</f>
        <v/>
      </c>
      <c r="CS5104" t="str">
        <f>""</f>
        <v/>
      </c>
    </row>
    <row r="5105" spans="1:97" x14ac:dyDescent="0.25">
      <c r="A5105" t="s">
        <v>15105</v>
      </c>
      <c r="B5105" t="s">
        <v>31672</v>
      </c>
      <c r="E5105" t="s">
        <v>31673</v>
      </c>
      <c r="F5105" t="s">
        <v>108</v>
      </c>
      <c r="H5105" t="s">
        <v>31674</v>
      </c>
      <c r="I5105" t="s">
        <v>453</v>
      </c>
      <c r="J5105" t="s">
        <v>111</v>
      </c>
      <c r="K5105" t="str">
        <f>"85383"</f>
        <v>85383</v>
      </c>
      <c r="L5105" t="s">
        <v>4467</v>
      </c>
      <c r="M5105" t="s">
        <v>31674</v>
      </c>
      <c r="N5105" t="s">
        <v>453</v>
      </c>
      <c r="O5105" t="s">
        <v>111</v>
      </c>
      <c r="P5105" t="str">
        <f>"85383-3464"</f>
        <v>85383-3464</v>
      </c>
      <c r="Q5105" t="s">
        <v>113</v>
      </c>
      <c r="R5105" t="str">
        <f>"503-89-911"</f>
        <v>503-89-911</v>
      </c>
      <c r="S5105" t="s">
        <v>29733</v>
      </c>
      <c r="T5105" t="s">
        <v>3592</v>
      </c>
      <c r="U5105">
        <v>3841</v>
      </c>
      <c r="V5105">
        <v>0</v>
      </c>
      <c r="W5105">
        <v>5</v>
      </c>
      <c r="X5105">
        <v>2005</v>
      </c>
      <c r="Z5105">
        <v>2</v>
      </c>
      <c r="AA5105" t="s">
        <v>26</v>
      </c>
      <c r="AB5105">
        <v>0</v>
      </c>
      <c r="AC5105" t="s">
        <v>115</v>
      </c>
      <c r="AD5105">
        <v>4</v>
      </c>
      <c r="AE5105" t="s">
        <v>115</v>
      </c>
      <c r="AF5105">
        <v>0</v>
      </c>
      <c r="AG5105">
        <v>0</v>
      </c>
      <c r="AH5105" t="s">
        <v>116</v>
      </c>
      <c r="AI5105" s="1">
        <v>152586</v>
      </c>
      <c r="AJ5105" s="2">
        <v>0.33</v>
      </c>
      <c r="AK5105" s="1">
        <v>457399</v>
      </c>
      <c r="AL5105" t="s">
        <v>117</v>
      </c>
      <c r="AM5105" t="s">
        <v>118</v>
      </c>
      <c r="AN5105">
        <v>8400</v>
      </c>
      <c r="AO5105">
        <v>0.19</v>
      </c>
      <c r="AR5105">
        <v>1</v>
      </c>
      <c r="AS5105" s="1">
        <v>33280</v>
      </c>
      <c r="AT5105" s="1">
        <v>6650</v>
      </c>
      <c r="AU5105" s="1">
        <v>26630</v>
      </c>
      <c r="AV5105">
        <v>80.02</v>
      </c>
      <c r="AX5105" s="1">
        <v>3486.2</v>
      </c>
      <c r="AY5105" t="s">
        <v>627</v>
      </c>
      <c r="AZ5105" t="s">
        <v>627</v>
      </c>
      <c r="BA5105" t="s">
        <v>457</v>
      </c>
      <c r="BE5105" s="3">
        <v>42095</v>
      </c>
      <c r="BF5105" s="1">
        <v>334500</v>
      </c>
      <c r="BG5105" t="s">
        <v>31675</v>
      </c>
      <c r="BH5105" s="1">
        <v>87.09</v>
      </c>
      <c r="BI5105" s="1">
        <v>304813</v>
      </c>
      <c r="BJ5105" s="3">
        <v>42095</v>
      </c>
      <c r="BK5105" t="s">
        <v>123</v>
      </c>
      <c r="BL5105" t="str">
        <f>"2015.221524"</f>
        <v>2015.221524</v>
      </c>
      <c r="BM5105" t="s">
        <v>475</v>
      </c>
      <c r="BO5105" t="s">
        <v>31676</v>
      </c>
      <c r="BS5105">
        <v>30</v>
      </c>
      <c r="BW5105" t="str">
        <f>""</f>
        <v/>
      </c>
      <c r="CH5105" t="str">
        <f>""</f>
        <v/>
      </c>
      <c r="CS5105" t="str">
        <f>""</f>
        <v/>
      </c>
    </row>
    <row r="5106" spans="1:97" x14ac:dyDescent="0.25">
      <c r="A5106" t="s">
        <v>639</v>
      </c>
      <c r="B5106" t="s">
        <v>1365</v>
      </c>
      <c r="E5106" t="s">
        <v>31677</v>
      </c>
      <c r="F5106" t="s">
        <v>108</v>
      </c>
      <c r="H5106" t="s">
        <v>31678</v>
      </c>
      <c r="I5106" t="s">
        <v>2874</v>
      </c>
      <c r="J5106" t="s">
        <v>111</v>
      </c>
      <c r="K5106" t="str">
        <f>"85308"</f>
        <v>85308</v>
      </c>
      <c r="L5106" t="s">
        <v>4282</v>
      </c>
      <c r="M5106" t="s">
        <v>31678</v>
      </c>
      <c r="N5106" t="s">
        <v>2874</v>
      </c>
      <c r="O5106" t="s">
        <v>111</v>
      </c>
      <c r="P5106" t="str">
        <f>"85308-7695"</f>
        <v>85308-7695</v>
      </c>
      <c r="Q5106" t="s">
        <v>113</v>
      </c>
      <c r="R5106" t="str">
        <f>"200-28-550"</f>
        <v>200-28-550</v>
      </c>
      <c r="S5106" t="s">
        <v>9158</v>
      </c>
      <c r="T5106" t="s">
        <v>7669</v>
      </c>
      <c r="U5106">
        <v>2259</v>
      </c>
      <c r="V5106">
        <v>0</v>
      </c>
      <c r="W5106">
        <v>4</v>
      </c>
      <c r="X5106">
        <v>1998</v>
      </c>
      <c r="Z5106">
        <v>2</v>
      </c>
      <c r="AA5106" t="s">
        <v>26</v>
      </c>
      <c r="AB5106">
        <v>0</v>
      </c>
      <c r="AC5106" t="s">
        <v>115</v>
      </c>
      <c r="AD5106">
        <v>3</v>
      </c>
      <c r="AE5106" t="s">
        <v>115</v>
      </c>
      <c r="AF5106">
        <v>0</v>
      </c>
      <c r="AG5106">
        <v>0</v>
      </c>
      <c r="AH5106" t="s">
        <v>116</v>
      </c>
      <c r="AI5106" s="1">
        <v>45363</v>
      </c>
      <c r="AJ5106" s="2">
        <v>0.12</v>
      </c>
      <c r="AK5106" s="1">
        <v>366114</v>
      </c>
      <c r="AL5106" t="s">
        <v>117</v>
      </c>
      <c r="AM5106" t="s">
        <v>393</v>
      </c>
      <c r="AN5106">
        <v>7700</v>
      </c>
      <c r="AO5106">
        <v>0.18</v>
      </c>
      <c r="AP5106">
        <v>1</v>
      </c>
      <c r="AR5106">
        <v>1</v>
      </c>
      <c r="AS5106" s="1">
        <v>26350</v>
      </c>
      <c r="AT5106" s="1">
        <v>5270</v>
      </c>
      <c r="AU5106" s="1">
        <v>21080</v>
      </c>
      <c r="AV5106">
        <v>80</v>
      </c>
      <c r="AX5106" s="1">
        <v>2718.24</v>
      </c>
      <c r="AY5106" t="s">
        <v>6740</v>
      </c>
      <c r="AZ5106" t="s">
        <v>6740</v>
      </c>
      <c r="BA5106" t="s">
        <v>5143</v>
      </c>
      <c r="BE5106" s="3">
        <v>42265</v>
      </c>
      <c r="BF5106" s="1">
        <v>314000</v>
      </c>
      <c r="BG5106" t="s">
        <v>31679</v>
      </c>
      <c r="BH5106" s="1">
        <v>139</v>
      </c>
      <c r="BI5106" s="1">
        <v>320751</v>
      </c>
      <c r="BJ5106" s="3">
        <v>42265</v>
      </c>
      <c r="BK5106" t="s">
        <v>123</v>
      </c>
      <c r="BL5106" t="str">
        <f>"2015.675339"</f>
        <v>2015.675339</v>
      </c>
      <c r="BM5106" t="s">
        <v>12498</v>
      </c>
      <c r="BO5106" t="s">
        <v>31680</v>
      </c>
      <c r="BS5106">
        <v>30</v>
      </c>
      <c r="BW5106" t="str">
        <f>""</f>
        <v/>
      </c>
      <c r="CH5106" t="str">
        <f>""</f>
        <v/>
      </c>
      <c r="CS5106" t="str">
        <f>""</f>
        <v/>
      </c>
    </row>
    <row r="5107" spans="1:97" x14ac:dyDescent="0.25">
      <c r="A5107" t="s">
        <v>701</v>
      </c>
      <c r="B5107" t="s">
        <v>1552</v>
      </c>
      <c r="C5107" t="s">
        <v>1486</v>
      </c>
      <c r="D5107" t="s">
        <v>1552</v>
      </c>
      <c r="E5107" t="s">
        <v>31681</v>
      </c>
      <c r="F5107" t="s">
        <v>108</v>
      </c>
      <c r="H5107" t="s">
        <v>31682</v>
      </c>
      <c r="I5107" t="s">
        <v>1936</v>
      </c>
      <c r="J5107" t="s">
        <v>111</v>
      </c>
      <c r="K5107" t="str">
        <f>"85254"</f>
        <v>85254</v>
      </c>
      <c r="L5107" t="s">
        <v>1518</v>
      </c>
      <c r="M5107" t="s">
        <v>31682</v>
      </c>
      <c r="N5107" t="s">
        <v>1936</v>
      </c>
      <c r="O5107" t="s">
        <v>111</v>
      </c>
      <c r="P5107" t="str">
        <f>"85254-5893"</f>
        <v>85254-5893</v>
      </c>
      <c r="Q5107" t="s">
        <v>113</v>
      </c>
      <c r="R5107" t="str">
        <f>"215-11-418"</f>
        <v>215-11-418</v>
      </c>
      <c r="S5107" t="s">
        <v>31683</v>
      </c>
      <c r="T5107" t="s">
        <v>31684</v>
      </c>
      <c r="U5107">
        <v>3064</v>
      </c>
      <c r="V5107">
        <v>0</v>
      </c>
      <c r="W5107">
        <v>5</v>
      </c>
      <c r="X5107">
        <v>1998</v>
      </c>
      <c r="Z5107">
        <v>2</v>
      </c>
      <c r="AA5107" t="s">
        <v>26</v>
      </c>
      <c r="AB5107">
        <v>0</v>
      </c>
      <c r="AC5107" t="s">
        <v>115</v>
      </c>
      <c r="AD5107">
        <v>2</v>
      </c>
      <c r="AE5107" t="s">
        <v>115</v>
      </c>
      <c r="AF5107">
        <v>0</v>
      </c>
      <c r="AG5107">
        <v>0</v>
      </c>
      <c r="AH5107" t="s">
        <v>116</v>
      </c>
      <c r="AI5107" s="1">
        <v>148394</v>
      </c>
      <c r="AJ5107" s="2">
        <v>0.24</v>
      </c>
      <c r="AK5107" s="1">
        <v>631394</v>
      </c>
      <c r="AL5107" t="s">
        <v>117</v>
      </c>
      <c r="AM5107" t="s">
        <v>1302</v>
      </c>
      <c r="AN5107">
        <v>8874</v>
      </c>
      <c r="AO5107">
        <v>0.2</v>
      </c>
      <c r="AP5107">
        <v>1</v>
      </c>
      <c r="AR5107">
        <v>1</v>
      </c>
      <c r="AS5107" s="1">
        <v>46070</v>
      </c>
      <c r="AT5107" s="1">
        <v>9210</v>
      </c>
      <c r="AU5107" s="1">
        <v>36860</v>
      </c>
      <c r="AV5107">
        <v>80.010000000000005</v>
      </c>
      <c r="AX5107" s="1">
        <v>4147.74</v>
      </c>
      <c r="AY5107" t="s">
        <v>16792</v>
      </c>
      <c r="AZ5107" t="s">
        <v>1317</v>
      </c>
      <c r="BA5107" t="s">
        <v>6302</v>
      </c>
      <c r="BE5107" s="3">
        <v>41817</v>
      </c>
      <c r="BF5107" s="1">
        <v>505000</v>
      </c>
      <c r="BG5107" t="s">
        <v>31685</v>
      </c>
      <c r="BH5107" s="1">
        <v>164.82</v>
      </c>
      <c r="BI5107" s="1">
        <v>483000</v>
      </c>
      <c r="BJ5107" s="3">
        <v>41817</v>
      </c>
      <c r="BK5107" t="s">
        <v>123</v>
      </c>
      <c r="BL5107" t="str">
        <f>"2014.422615"</f>
        <v>2014.422615</v>
      </c>
      <c r="BM5107" t="s">
        <v>475</v>
      </c>
      <c r="BO5107" t="s">
        <v>31686</v>
      </c>
      <c r="BS5107">
        <v>30</v>
      </c>
      <c r="BW5107" t="str">
        <f>""</f>
        <v/>
      </c>
      <c r="CH5107" t="str">
        <f>""</f>
        <v/>
      </c>
      <c r="CS5107" t="str">
        <f>""</f>
        <v/>
      </c>
    </row>
    <row r="5108" spans="1:97" x14ac:dyDescent="0.25">
      <c r="A5108" t="s">
        <v>7969</v>
      </c>
      <c r="B5108" t="s">
        <v>31687</v>
      </c>
      <c r="C5108" t="s">
        <v>703</v>
      </c>
      <c r="D5108" t="s">
        <v>31687</v>
      </c>
      <c r="E5108" t="s">
        <v>31688</v>
      </c>
      <c r="F5108" t="s">
        <v>108</v>
      </c>
      <c r="H5108" t="s">
        <v>31689</v>
      </c>
      <c r="I5108" t="s">
        <v>1936</v>
      </c>
      <c r="J5108" t="s">
        <v>111</v>
      </c>
      <c r="K5108" t="str">
        <f>"85255"</f>
        <v>85255</v>
      </c>
      <c r="L5108" t="s">
        <v>5816</v>
      </c>
      <c r="M5108" t="s">
        <v>31689</v>
      </c>
      <c r="N5108" t="s">
        <v>1936</v>
      </c>
      <c r="O5108" t="s">
        <v>111</v>
      </c>
      <c r="P5108" t="str">
        <f>"85255-8371"</f>
        <v>85255-8371</v>
      </c>
      <c r="Q5108" t="s">
        <v>113</v>
      </c>
      <c r="R5108" t="str">
        <f>"217-07-882"</f>
        <v>217-07-882</v>
      </c>
      <c r="S5108" t="s">
        <v>31690</v>
      </c>
      <c r="T5108" t="s">
        <v>31690</v>
      </c>
      <c r="U5108">
        <v>1606</v>
      </c>
      <c r="V5108">
        <v>0</v>
      </c>
      <c r="W5108">
        <v>3</v>
      </c>
      <c r="X5108">
        <v>1998</v>
      </c>
      <c r="Z5108">
        <v>1</v>
      </c>
      <c r="AB5108">
        <v>0</v>
      </c>
      <c r="AC5108" t="s">
        <v>115</v>
      </c>
      <c r="AD5108">
        <v>2</v>
      </c>
      <c r="AE5108" t="s">
        <v>115</v>
      </c>
      <c r="AF5108">
        <v>0</v>
      </c>
      <c r="AG5108">
        <v>0</v>
      </c>
      <c r="AH5108" t="s">
        <v>116</v>
      </c>
      <c r="AI5108" s="1">
        <v>104332</v>
      </c>
      <c r="AJ5108" s="2">
        <v>0.24</v>
      </c>
      <c r="AK5108" s="1">
        <v>439862</v>
      </c>
      <c r="AL5108" t="s">
        <v>117</v>
      </c>
      <c r="AM5108" t="s">
        <v>6533</v>
      </c>
      <c r="AN5108">
        <v>5175</v>
      </c>
      <c r="AO5108">
        <v>0.12</v>
      </c>
      <c r="AP5108">
        <v>1</v>
      </c>
      <c r="AR5108">
        <v>1</v>
      </c>
      <c r="AS5108" s="1">
        <v>29580</v>
      </c>
      <c r="AT5108" s="1">
        <v>5910</v>
      </c>
      <c r="AU5108" s="1">
        <v>23670</v>
      </c>
      <c r="AV5108">
        <v>80.02</v>
      </c>
      <c r="AX5108" s="1">
        <v>2131.62</v>
      </c>
      <c r="AY5108" t="s">
        <v>7867</v>
      </c>
      <c r="AZ5108" t="s">
        <v>7867</v>
      </c>
      <c r="BA5108" t="s">
        <v>7868</v>
      </c>
      <c r="BE5108" s="3">
        <v>41814</v>
      </c>
      <c r="BF5108" s="1">
        <v>327500</v>
      </c>
      <c r="BG5108" t="s">
        <v>31691</v>
      </c>
      <c r="BH5108" s="1">
        <v>203.92</v>
      </c>
      <c r="BI5108" s="1">
        <v>335530</v>
      </c>
      <c r="BJ5108" s="3">
        <v>42145</v>
      </c>
      <c r="BK5108" t="s">
        <v>123</v>
      </c>
      <c r="BL5108" t="str">
        <f>"2015.358889"</f>
        <v>2015.358889</v>
      </c>
      <c r="BM5108" t="s">
        <v>4014</v>
      </c>
      <c r="BN5108" t="s">
        <v>2081</v>
      </c>
      <c r="BO5108" t="s">
        <v>31692</v>
      </c>
      <c r="BS5108">
        <v>30</v>
      </c>
      <c r="BW5108" t="str">
        <f>""</f>
        <v/>
      </c>
      <c r="CH5108" t="str">
        <f>""</f>
        <v/>
      </c>
      <c r="CS5108" t="str">
        <f>""</f>
        <v/>
      </c>
    </row>
    <row r="5109" spans="1:97" x14ac:dyDescent="0.25">
      <c r="A5109" t="s">
        <v>325</v>
      </c>
      <c r="B5109" t="s">
        <v>31693</v>
      </c>
      <c r="E5109" t="s">
        <v>31694</v>
      </c>
      <c r="F5109" t="s">
        <v>108</v>
      </c>
      <c r="H5109" t="s">
        <v>31695</v>
      </c>
      <c r="I5109" t="s">
        <v>390</v>
      </c>
      <c r="J5109" t="s">
        <v>111</v>
      </c>
      <c r="K5109" t="str">
        <f>"85032"</f>
        <v>85032</v>
      </c>
      <c r="L5109" t="s">
        <v>9871</v>
      </c>
      <c r="M5109" t="s">
        <v>31695</v>
      </c>
      <c r="N5109" t="s">
        <v>390</v>
      </c>
      <c r="O5109" t="s">
        <v>111</v>
      </c>
      <c r="P5109" t="str">
        <f>"85032-4267"</f>
        <v>85032-4267</v>
      </c>
      <c r="Q5109" t="s">
        <v>113</v>
      </c>
      <c r="R5109" t="str">
        <f>"215-29-071"</f>
        <v>215-29-071</v>
      </c>
      <c r="S5109" t="s">
        <v>31696</v>
      </c>
      <c r="T5109" t="s">
        <v>31697</v>
      </c>
      <c r="U5109">
        <v>2229</v>
      </c>
      <c r="V5109">
        <v>0</v>
      </c>
      <c r="W5109">
        <v>3</v>
      </c>
      <c r="X5109">
        <v>1987</v>
      </c>
      <c r="Z5109">
        <v>1</v>
      </c>
      <c r="AA5109" t="s">
        <v>26</v>
      </c>
      <c r="AB5109">
        <v>0</v>
      </c>
      <c r="AC5109" t="s">
        <v>115</v>
      </c>
      <c r="AD5109">
        <v>2</v>
      </c>
      <c r="AE5109" t="s">
        <v>115</v>
      </c>
      <c r="AF5109">
        <v>0</v>
      </c>
      <c r="AG5109">
        <v>0</v>
      </c>
      <c r="AH5109" t="s">
        <v>116</v>
      </c>
      <c r="AI5109" s="1">
        <v>114958</v>
      </c>
      <c r="AJ5109" s="2">
        <v>0.26</v>
      </c>
      <c r="AK5109" s="1">
        <v>444391</v>
      </c>
      <c r="AL5109" t="s">
        <v>117</v>
      </c>
      <c r="AM5109" t="s">
        <v>1302</v>
      </c>
      <c r="AN5109">
        <v>10337</v>
      </c>
      <c r="AO5109">
        <v>0.24</v>
      </c>
      <c r="AP5109">
        <v>1</v>
      </c>
      <c r="AR5109">
        <v>1</v>
      </c>
      <c r="AS5109" s="1">
        <v>32080</v>
      </c>
      <c r="AT5109" s="1">
        <v>6410</v>
      </c>
      <c r="AU5109" s="1">
        <v>25670</v>
      </c>
      <c r="AV5109">
        <v>80.02</v>
      </c>
      <c r="AX5109" s="1">
        <v>3494.4</v>
      </c>
      <c r="AY5109" t="s">
        <v>1316</v>
      </c>
      <c r="AZ5109" t="s">
        <v>1317</v>
      </c>
      <c r="BA5109" t="s">
        <v>1318</v>
      </c>
      <c r="BE5109" s="3">
        <v>41921</v>
      </c>
      <c r="BF5109" s="1">
        <v>322500</v>
      </c>
      <c r="BG5109" t="s">
        <v>31698</v>
      </c>
      <c r="BH5109" s="1">
        <v>144.68</v>
      </c>
      <c r="BI5109" s="1">
        <v>329433</v>
      </c>
      <c r="BJ5109" s="3">
        <v>41921</v>
      </c>
      <c r="BK5109" t="s">
        <v>123</v>
      </c>
      <c r="BL5109" t="str">
        <f>"2014.670522"</f>
        <v>2014.670522</v>
      </c>
      <c r="BM5109" t="s">
        <v>31699</v>
      </c>
      <c r="BO5109" t="s">
        <v>31700</v>
      </c>
      <c r="BS5109">
        <v>30</v>
      </c>
      <c r="BW5109" t="str">
        <f>""</f>
        <v/>
      </c>
      <c r="CH5109" t="str">
        <f>""</f>
        <v/>
      </c>
      <c r="CS5109" t="str">
        <f>""</f>
        <v/>
      </c>
    </row>
    <row r="5110" spans="1:97" x14ac:dyDescent="0.25">
      <c r="A5110" t="s">
        <v>1490</v>
      </c>
      <c r="B5110" t="s">
        <v>25442</v>
      </c>
      <c r="E5110" t="s">
        <v>31701</v>
      </c>
      <c r="F5110" t="s">
        <v>108</v>
      </c>
      <c r="H5110" t="s">
        <v>31702</v>
      </c>
      <c r="I5110" t="s">
        <v>203</v>
      </c>
      <c r="J5110" t="s">
        <v>111</v>
      </c>
      <c r="K5110" t="str">
        <f>"85233"</f>
        <v>85233</v>
      </c>
      <c r="L5110" t="s">
        <v>5429</v>
      </c>
      <c r="M5110" t="s">
        <v>31702</v>
      </c>
      <c r="N5110" t="s">
        <v>203</v>
      </c>
      <c r="O5110" t="s">
        <v>111</v>
      </c>
      <c r="P5110" t="str">
        <f>"85233-7962"</f>
        <v>85233-7962</v>
      </c>
      <c r="Q5110" t="s">
        <v>113</v>
      </c>
      <c r="R5110" t="str">
        <f>"302-37-725"</f>
        <v>302-37-725</v>
      </c>
      <c r="S5110" t="s">
        <v>7444</v>
      </c>
      <c r="T5110" t="s">
        <v>7445</v>
      </c>
      <c r="U5110">
        <v>3025</v>
      </c>
      <c r="V5110">
        <v>0</v>
      </c>
      <c r="W5110">
        <v>4</v>
      </c>
      <c r="X5110">
        <v>1987</v>
      </c>
      <c r="Z5110">
        <v>2</v>
      </c>
      <c r="AA5110" t="s">
        <v>26</v>
      </c>
      <c r="AB5110">
        <v>0</v>
      </c>
      <c r="AC5110" t="s">
        <v>115</v>
      </c>
      <c r="AD5110">
        <v>3</v>
      </c>
      <c r="AE5110" t="s">
        <v>115</v>
      </c>
      <c r="AF5110">
        <v>0</v>
      </c>
      <c r="AG5110">
        <v>0</v>
      </c>
      <c r="AH5110" t="s">
        <v>116</v>
      </c>
      <c r="AI5110" s="1">
        <v>69254</v>
      </c>
      <c r="AJ5110" s="2">
        <v>0.15</v>
      </c>
      <c r="AK5110" s="1">
        <v>463181</v>
      </c>
      <c r="AL5110" t="s">
        <v>117</v>
      </c>
      <c r="AM5110" t="s">
        <v>393</v>
      </c>
      <c r="AN5110">
        <v>16187</v>
      </c>
      <c r="AO5110">
        <v>0.37</v>
      </c>
      <c r="AP5110">
        <v>1</v>
      </c>
      <c r="AR5110">
        <v>1</v>
      </c>
      <c r="AS5110" s="1">
        <v>33450</v>
      </c>
      <c r="AT5110" s="1">
        <v>6690</v>
      </c>
      <c r="AU5110" s="1">
        <v>26760</v>
      </c>
      <c r="AV5110">
        <v>80</v>
      </c>
      <c r="AX5110" s="1">
        <v>3629.28</v>
      </c>
      <c r="AY5110" t="s">
        <v>6163</v>
      </c>
      <c r="AZ5110" t="s">
        <v>2906</v>
      </c>
      <c r="BA5110" t="s">
        <v>2957</v>
      </c>
      <c r="BE5110" s="3">
        <v>41872</v>
      </c>
      <c r="BF5110" s="1">
        <v>399900</v>
      </c>
      <c r="BG5110" t="s">
        <v>31703</v>
      </c>
      <c r="BH5110" s="1">
        <v>132.19999999999999</v>
      </c>
      <c r="BI5110" s="1">
        <v>393927</v>
      </c>
      <c r="BJ5110" s="3">
        <v>42454</v>
      </c>
      <c r="BK5110" t="s">
        <v>123</v>
      </c>
      <c r="BL5110" t="str">
        <f>"2016.194696"</f>
        <v>2016.194696</v>
      </c>
      <c r="BM5110" t="s">
        <v>544</v>
      </c>
      <c r="BO5110" t="s">
        <v>31704</v>
      </c>
      <c r="BS5110">
        <v>30</v>
      </c>
      <c r="BW5110" t="str">
        <f>""</f>
        <v/>
      </c>
      <c r="CH5110" t="str">
        <f>""</f>
        <v/>
      </c>
      <c r="CS5110" t="str">
        <f>""</f>
        <v/>
      </c>
    </row>
    <row r="5111" spans="1:97" x14ac:dyDescent="0.25">
      <c r="A5111" t="s">
        <v>1109</v>
      </c>
      <c r="B5111" t="s">
        <v>31705</v>
      </c>
      <c r="E5111" t="s">
        <v>31706</v>
      </c>
      <c r="F5111" t="s">
        <v>108</v>
      </c>
      <c r="H5111" t="s">
        <v>31707</v>
      </c>
      <c r="I5111" t="s">
        <v>499</v>
      </c>
      <c r="J5111" t="s">
        <v>111</v>
      </c>
      <c r="K5111" t="str">
        <f>"85338"</f>
        <v>85338</v>
      </c>
      <c r="L5111" t="s">
        <v>6481</v>
      </c>
      <c r="M5111" t="s">
        <v>31707</v>
      </c>
      <c r="N5111" t="s">
        <v>499</v>
      </c>
      <c r="O5111" t="s">
        <v>111</v>
      </c>
      <c r="P5111" t="str">
        <f>"85338-4651"</f>
        <v>85338-4651</v>
      </c>
      <c r="Q5111" t="s">
        <v>113</v>
      </c>
      <c r="R5111" t="str">
        <f>"500-05-882"</f>
        <v>500-05-882</v>
      </c>
      <c r="S5111" t="s">
        <v>28432</v>
      </c>
      <c r="T5111" t="s">
        <v>28432</v>
      </c>
      <c r="U5111">
        <v>2173</v>
      </c>
      <c r="V5111">
        <v>0</v>
      </c>
      <c r="W5111">
        <v>4</v>
      </c>
      <c r="X5111">
        <v>2015</v>
      </c>
      <c r="Z5111">
        <v>1</v>
      </c>
      <c r="AB5111">
        <v>0</v>
      </c>
      <c r="AC5111" t="s">
        <v>115</v>
      </c>
      <c r="AD5111">
        <v>2</v>
      </c>
      <c r="AE5111" t="s">
        <v>115</v>
      </c>
      <c r="AF5111">
        <v>0</v>
      </c>
      <c r="AG5111">
        <v>0</v>
      </c>
      <c r="AH5111" t="s">
        <v>116</v>
      </c>
      <c r="AI5111" s="1">
        <v>49922</v>
      </c>
      <c r="AJ5111" s="2">
        <v>0.16</v>
      </c>
      <c r="AK5111" s="1">
        <v>308622</v>
      </c>
      <c r="AL5111" t="s">
        <v>117</v>
      </c>
      <c r="AM5111" t="s">
        <v>393</v>
      </c>
      <c r="AN5111">
        <v>9479</v>
      </c>
      <c r="AO5111">
        <v>0.22</v>
      </c>
      <c r="AR5111">
        <v>1</v>
      </c>
      <c r="AS5111" s="1">
        <v>22160</v>
      </c>
      <c r="AT5111" s="1">
        <v>4430</v>
      </c>
      <c r="AU5111" s="1">
        <v>17730</v>
      </c>
      <c r="AV5111">
        <v>80.010000000000005</v>
      </c>
      <c r="AX5111" s="1">
        <v>1886.22</v>
      </c>
      <c r="AY5111" t="s">
        <v>6319</v>
      </c>
      <c r="AZ5111" t="s">
        <v>6319</v>
      </c>
      <c r="BA5111" t="s">
        <v>7186</v>
      </c>
      <c r="BB5111" s="3">
        <v>43726</v>
      </c>
      <c r="BC5111" s="1">
        <v>0</v>
      </c>
      <c r="BD5111" t="s">
        <v>247</v>
      </c>
      <c r="BE5111" s="3">
        <v>42237</v>
      </c>
      <c r="BF5111" s="1">
        <v>256640</v>
      </c>
      <c r="BG5111" t="s">
        <v>2289</v>
      </c>
      <c r="BH5111" s="1">
        <v>118.1</v>
      </c>
      <c r="BI5111" s="1">
        <v>258700</v>
      </c>
      <c r="BJ5111" s="3">
        <v>42486</v>
      </c>
      <c r="BK5111" t="s">
        <v>123</v>
      </c>
      <c r="BL5111" t="str">
        <f>"2016.277094"</f>
        <v>2016.277094</v>
      </c>
      <c r="BM5111" t="s">
        <v>402</v>
      </c>
      <c r="BN5111" t="s">
        <v>461</v>
      </c>
      <c r="BO5111" t="s">
        <v>31708</v>
      </c>
      <c r="BS5111">
        <v>30</v>
      </c>
      <c r="BW5111" t="str">
        <f>""</f>
        <v/>
      </c>
      <c r="CH5111" t="str">
        <f>""</f>
        <v/>
      </c>
      <c r="CS5111" t="str">
        <f>""</f>
        <v/>
      </c>
    </row>
    <row r="5112" spans="1:97" x14ac:dyDescent="0.25">
      <c r="A5112" t="s">
        <v>464</v>
      </c>
      <c r="B5112" t="s">
        <v>23566</v>
      </c>
      <c r="C5112" t="s">
        <v>4325</v>
      </c>
      <c r="D5112" t="s">
        <v>23566</v>
      </c>
      <c r="E5112" t="s">
        <v>31709</v>
      </c>
      <c r="F5112" t="s">
        <v>108</v>
      </c>
      <c r="H5112" t="s">
        <v>31710</v>
      </c>
      <c r="I5112" t="s">
        <v>3150</v>
      </c>
      <c r="J5112" t="s">
        <v>111</v>
      </c>
      <c r="K5112" t="str">
        <f>"85340"</f>
        <v>85340</v>
      </c>
      <c r="L5112" t="s">
        <v>5074</v>
      </c>
      <c r="M5112" t="s">
        <v>31710</v>
      </c>
      <c r="N5112" t="s">
        <v>3150</v>
      </c>
      <c r="O5112" t="s">
        <v>111</v>
      </c>
      <c r="P5112" t="str">
        <f>"85340-5099"</f>
        <v>85340-5099</v>
      </c>
      <c r="Q5112" t="s">
        <v>113</v>
      </c>
      <c r="R5112" t="str">
        <f>"501-68-548"</f>
        <v>501-68-548</v>
      </c>
      <c r="S5112" t="s">
        <v>28145</v>
      </c>
      <c r="T5112" t="s">
        <v>5178</v>
      </c>
      <c r="U5112">
        <v>2924</v>
      </c>
      <c r="V5112">
        <v>0</v>
      </c>
      <c r="W5112">
        <v>4</v>
      </c>
      <c r="X5112">
        <v>2005</v>
      </c>
      <c r="Z5112">
        <v>1</v>
      </c>
      <c r="AA5112" t="s">
        <v>26</v>
      </c>
      <c r="AB5112">
        <v>0</v>
      </c>
      <c r="AC5112" t="s">
        <v>115</v>
      </c>
      <c r="AD5112">
        <v>4</v>
      </c>
      <c r="AE5112" t="s">
        <v>115</v>
      </c>
      <c r="AF5112">
        <v>0</v>
      </c>
      <c r="AG5112">
        <v>0</v>
      </c>
      <c r="AH5112" t="s">
        <v>116</v>
      </c>
      <c r="AI5112" s="1">
        <v>155093</v>
      </c>
      <c r="AJ5112" s="2">
        <v>0.34</v>
      </c>
      <c r="AK5112" s="1">
        <v>452824</v>
      </c>
      <c r="AL5112" t="s">
        <v>117</v>
      </c>
      <c r="AM5112" t="s">
        <v>171</v>
      </c>
      <c r="AN5112">
        <v>10383</v>
      </c>
      <c r="AO5112">
        <v>0.24</v>
      </c>
      <c r="AR5112">
        <v>1</v>
      </c>
      <c r="AS5112" s="1">
        <v>37810</v>
      </c>
      <c r="AT5112" s="1">
        <v>7560</v>
      </c>
      <c r="AU5112" s="1">
        <v>30250</v>
      </c>
      <c r="AV5112">
        <v>80.010000000000005</v>
      </c>
      <c r="AX5112" s="1">
        <v>3777.12</v>
      </c>
      <c r="AY5112" t="s">
        <v>3020</v>
      </c>
      <c r="AZ5112" t="s">
        <v>3020</v>
      </c>
      <c r="BA5112" t="s">
        <v>3154</v>
      </c>
      <c r="BE5112" s="3">
        <v>42331</v>
      </c>
      <c r="BF5112" s="1">
        <v>364900</v>
      </c>
      <c r="BG5112" t="s">
        <v>31711</v>
      </c>
      <c r="BH5112" s="1">
        <v>124.79</v>
      </c>
      <c r="BI5112" s="1">
        <v>297731</v>
      </c>
      <c r="BJ5112" s="3">
        <v>42639</v>
      </c>
      <c r="BK5112" t="s">
        <v>123</v>
      </c>
      <c r="BL5112" t="str">
        <f>"2016.697655"</f>
        <v>2016.697655</v>
      </c>
      <c r="BM5112" t="s">
        <v>7311</v>
      </c>
      <c r="BO5112" t="s">
        <v>31712</v>
      </c>
      <c r="BS5112">
        <v>30</v>
      </c>
      <c r="BW5112" t="str">
        <f>""</f>
        <v/>
      </c>
      <c r="CH5112" t="str">
        <f>""</f>
        <v/>
      </c>
      <c r="CS5112" t="str">
        <f>""</f>
        <v/>
      </c>
    </row>
    <row r="5113" spans="1:97" x14ac:dyDescent="0.25">
      <c r="A5113" t="s">
        <v>815</v>
      </c>
      <c r="B5113" t="s">
        <v>31713</v>
      </c>
      <c r="C5113" t="s">
        <v>2852</v>
      </c>
      <c r="D5113" t="s">
        <v>31713</v>
      </c>
      <c r="E5113" t="s">
        <v>31714</v>
      </c>
      <c r="F5113" t="s">
        <v>108</v>
      </c>
      <c r="H5113" t="s">
        <v>31715</v>
      </c>
      <c r="I5113" t="s">
        <v>203</v>
      </c>
      <c r="J5113" t="s">
        <v>111</v>
      </c>
      <c r="K5113" t="str">
        <f>"85295"</f>
        <v>85295</v>
      </c>
      <c r="L5113" t="s">
        <v>5084</v>
      </c>
      <c r="M5113" t="s">
        <v>31715</v>
      </c>
      <c r="N5113" t="s">
        <v>203</v>
      </c>
      <c r="O5113" t="s">
        <v>111</v>
      </c>
      <c r="P5113" t="str">
        <f>"85295-2001"</f>
        <v>85295-2001</v>
      </c>
      <c r="Q5113" t="s">
        <v>113</v>
      </c>
      <c r="R5113" t="str">
        <f>"304-47-023-Y"</f>
        <v>304-47-023-Y</v>
      </c>
      <c r="U5113">
        <v>2836</v>
      </c>
      <c r="V5113">
        <v>0</v>
      </c>
      <c r="W5113">
        <v>2</v>
      </c>
      <c r="X5113">
        <v>1981</v>
      </c>
      <c r="Z5113">
        <v>1</v>
      </c>
      <c r="AA5113" t="s">
        <v>26</v>
      </c>
      <c r="AB5113">
        <v>0</v>
      </c>
      <c r="AC5113" t="s">
        <v>115</v>
      </c>
      <c r="AD5113">
        <v>3</v>
      </c>
      <c r="AE5113" t="s">
        <v>115</v>
      </c>
      <c r="AF5113">
        <v>0</v>
      </c>
      <c r="AG5113">
        <v>0</v>
      </c>
      <c r="AH5113" t="s">
        <v>116</v>
      </c>
      <c r="AI5113" s="1">
        <v>75310</v>
      </c>
      <c r="AJ5113" s="2">
        <v>0.13</v>
      </c>
      <c r="AK5113" s="1">
        <v>564177</v>
      </c>
      <c r="AL5113" t="s">
        <v>117</v>
      </c>
      <c r="AM5113" t="s">
        <v>376</v>
      </c>
      <c r="AN5113">
        <v>52795</v>
      </c>
      <c r="AO5113">
        <v>1.21</v>
      </c>
      <c r="AP5113">
        <v>1</v>
      </c>
      <c r="AR5113">
        <v>1</v>
      </c>
      <c r="AS5113" s="1">
        <v>39860</v>
      </c>
      <c r="AT5113" s="1">
        <v>7970</v>
      </c>
      <c r="AU5113" s="1">
        <v>31890</v>
      </c>
      <c r="AV5113">
        <v>80.010000000000005</v>
      </c>
      <c r="AX5113" s="1">
        <v>3661.1</v>
      </c>
      <c r="AY5113" t="s">
        <v>5087</v>
      </c>
      <c r="AZ5113" t="s">
        <v>5087</v>
      </c>
      <c r="BA5113" t="s">
        <v>473</v>
      </c>
      <c r="BE5113" s="3">
        <v>42230</v>
      </c>
      <c r="BF5113" s="1">
        <v>492000</v>
      </c>
      <c r="BG5113" t="s">
        <v>564</v>
      </c>
      <c r="BH5113" s="1">
        <v>173.48</v>
      </c>
      <c r="BI5113" s="1">
        <v>488867</v>
      </c>
      <c r="BJ5113" s="3">
        <v>42230</v>
      </c>
      <c r="BK5113" t="s">
        <v>123</v>
      </c>
      <c r="BL5113" t="str">
        <f>"2015.592444"</f>
        <v>2015.592444</v>
      </c>
      <c r="BM5113" t="s">
        <v>2489</v>
      </c>
      <c r="BO5113" t="s">
        <v>31716</v>
      </c>
      <c r="BS5113">
        <v>30</v>
      </c>
      <c r="BW5113" t="str">
        <f>""</f>
        <v/>
      </c>
      <c r="CH5113" t="str">
        <f>""</f>
        <v/>
      </c>
      <c r="CS5113" t="str">
        <f>""</f>
        <v/>
      </c>
    </row>
    <row r="5114" spans="1:97" x14ac:dyDescent="0.25">
      <c r="A5114" t="s">
        <v>370</v>
      </c>
      <c r="B5114" t="s">
        <v>11167</v>
      </c>
      <c r="C5114" t="s">
        <v>4026</v>
      </c>
      <c r="D5114" t="s">
        <v>11167</v>
      </c>
      <c r="E5114" t="s">
        <v>31717</v>
      </c>
      <c r="F5114" t="s">
        <v>108</v>
      </c>
      <c r="H5114" t="s">
        <v>31718</v>
      </c>
      <c r="I5114" t="s">
        <v>3150</v>
      </c>
      <c r="J5114" t="s">
        <v>111</v>
      </c>
      <c r="K5114" t="str">
        <f>"85340"</f>
        <v>85340</v>
      </c>
      <c r="L5114" t="s">
        <v>5138</v>
      </c>
      <c r="M5114" t="s">
        <v>31718</v>
      </c>
      <c r="N5114" t="s">
        <v>3150</v>
      </c>
      <c r="O5114" t="s">
        <v>111</v>
      </c>
      <c r="P5114" t="str">
        <f>"85340-4548"</f>
        <v>85340-4548</v>
      </c>
      <c r="R5114" t="str">
        <f>"501-64-407"</f>
        <v>501-64-407</v>
      </c>
      <c r="S5114" t="s">
        <v>31719</v>
      </c>
      <c r="U5114">
        <v>2515</v>
      </c>
      <c r="V5114">
        <v>0</v>
      </c>
      <c r="W5114">
        <v>3</v>
      </c>
      <c r="X5114">
        <v>1979</v>
      </c>
      <c r="Z5114">
        <v>1</v>
      </c>
      <c r="AA5114" t="s">
        <v>26</v>
      </c>
      <c r="AB5114">
        <v>0</v>
      </c>
      <c r="AC5114" t="s">
        <v>115</v>
      </c>
      <c r="AD5114">
        <v>2</v>
      </c>
      <c r="AE5114" t="s">
        <v>115</v>
      </c>
      <c r="AF5114">
        <v>0</v>
      </c>
      <c r="AG5114">
        <v>0</v>
      </c>
      <c r="AH5114" t="s">
        <v>116</v>
      </c>
      <c r="AI5114" s="1">
        <v>-83960</v>
      </c>
      <c r="AJ5114" s="2">
        <v>-0.17</v>
      </c>
      <c r="AK5114" s="1">
        <v>483415</v>
      </c>
      <c r="AL5114" t="s">
        <v>117</v>
      </c>
      <c r="AM5114" t="s">
        <v>31720</v>
      </c>
      <c r="AN5114">
        <v>18414</v>
      </c>
      <c r="AO5114">
        <v>0.42</v>
      </c>
      <c r="AP5114">
        <v>1</v>
      </c>
      <c r="AR5114">
        <v>1</v>
      </c>
      <c r="AS5114" s="1">
        <v>33380</v>
      </c>
      <c r="AT5114" s="1">
        <v>6670</v>
      </c>
      <c r="AU5114" s="1">
        <v>26710</v>
      </c>
      <c r="AV5114">
        <v>80.02</v>
      </c>
      <c r="AX5114" s="1">
        <v>2547.44</v>
      </c>
      <c r="AY5114" t="s">
        <v>11553</v>
      </c>
      <c r="AZ5114" t="s">
        <v>11553</v>
      </c>
      <c r="BA5114" t="s">
        <v>3154</v>
      </c>
      <c r="BE5114" s="3">
        <v>42398</v>
      </c>
      <c r="BF5114" s="1">
        <v>375000</v>
      </c>
      <c r="BG5114" t="s">
        <v>17736</v>
      </c>
      <c r="BH5114" s="1">
        <v>149.11000000000001</v>
      </c>
      <c r="BI5114" s="1">
        <v>387375</v>
      </c>
      <c r="BJ5114" s="3">
        <v>42398</v>
      </c>
      <c r="BK5114" t="s">
        <v>123</v>
      </c>
      <c r="BL5114" t="str">
        <f>"2016.60781"</f>
        <v>2016.60781</v>
      </c>
      <c r="BM5114" t="s">
        <v>8916</v>
      </c>
      <c r="BN5114" t="s">
        <v>8917</v>
      </c>
      <c r="BO5114" t="s">
        <v>31721</v>
      </c>
      <c r="BS5114">
        <v>30</v>
      </c>
      <c r="BT5114" s="1">
        <v>180000</v>
      </c>
      <c r="BU5114" s="3">
        <v>43714</v>
      </c>
      <c r="BW5114" t="str">
        <f>"2019.698090"</f>
        <v>2019.698090</v>
      </c>
      <c r="BX5114" t="s">
        <v>699</v>
      </c>
      <c r="BY5114" t="s">
        <v>31722</v>
      </c>
      <c r="BZ5114" t="s">
        <v>11168</v>
      </c>
      <c r="CA5114" t="s">
        <v>31723</v>
      </c>
      <c r="CC5114" t="s">
        <v>346</v>
      </c>
      <c r="CH5114" t="str">
        <f>""</f>
        <v/>
      </c>
      <c r="CS5114" t="str">
        <f>""</f>
        <v/>
      </c>
    </row>
    <row r="5115" spans="1:97" x14ac:dyDescent="0.25">
      <c r="A5115" t="s">
        <v>177</v>
      </c>
      <c r="B5115" t="s">
        <v>31724</v>
      </c>
      <c r="E5115" t="s">
        <v>31725</v>
      </c>
      <c r="F5115" t="s">
        <v>139</v>
      </c>
      <c r="H5115" t="s">
        <v>31726</v>
      </c>
      <c r="I5115" t="s">
        <v>203</v>
      </c>
      <c r="J5115" t="s">
        <v>111</v>
      </c>
      <c r="K5115" t="str">
        <f>"85298"</f>
        <v>85298</v>
      </c>
      <c r="L5115" t="s">
        <v>337</v>
      </c>
      <c r="M5115" t="s">
        <v>31727</v>
      </c>
      <c r="N5115" t="s">
        <v>203</v>
      </c>
      <c r="O5115" t="s">
        <v>111</v>
      </c>
      <c r="P5115" t="str">
        <f>"85298-9740"</f>
        <v>85298-9740</v>
      </c>
      <c r="Q5115" t="s">
        <v>113</v>
      </c>
      <c r="R5115" t="str">
        <f>"304-85-196"</f>
        <v>304-85-196</v>
      </c>
      <c r="S5115" t="s">
        <v>10247</v>
      </c>
      <c r="T5115" t="s">
        <v>271</v>
      </c>
      <c r="U5115">
        <v>2242</v>
      </c>
      <c r="V5115">
        <v>0</v>
      </c>
      <c r="W5115">
        <v>4</v>
      </c>
      <c r="X5115">
        <v>2016</v>
      </c>
      <c r="Z5115">
        <v>1</v>
      </c>
      <c r="AA5115" t="s">
        <v>26</v>
      </c>
      <c r="AB5115">
        <v>0</v>
      </c>
      <c r="AC5115" t="s">
        <v>115</v>
      </c>
      <c r="AD5115">
        <v>3</v>
      </c>
      <c r="AE5115" t="s">
        <v>115</v>
      </c>
      <c r="AF5115">
        <v>0</v>
      </c>
      <c r="AG5115">
        <v>0</v>
      </c>
      <c r="AH5115" t="s">
        <v>116</v>
      </c>
      <c r="AI5115" s="1">
        <v>61194</v>
      </c>
      <c r="AJ5115" s="2">
        <v>0.15</v>
      </c>
      <c r="AK5115" s="1">
        <v>405254</v>
      </c>
      <c r="AL5115" t="s">
        <v>117</v>
      </c>
      <c r="AM5115" t="s">
        <v>393</v>
      </c>
      <c r="AN5115">
        <v>7855</v>
      </c>
      <c r="AO5115">
        <v>0.18</v>
      </c>
      <c r="AR5115">
        <v>1</v>
      </c>
      <c r="AS5115" s="1">
        <v>29680</v>
      </c>
      <c r="AT5115" s="1">
        <v>5930</v>
      </c>
      <c r="AU5115" s="1">
        <v>23750</v>
      </c>
      <c r="AV5115">
        <v>80.02</v>
      </c>
      <c r="AX5115" s="1">
        <v>2241.6</v>
      </c>
      <c r="AY5115" t="s">
        <v>272</v>
      </c>
      <c r="AZ5115" t="s">
        <v>273</v>
      </c>
      <c r="BA5115" t="s">
        <v>274</v>
      </c>
      <c r="BE5115" s="3">
        <v>42417</v>
      </c>
      <c r="BF5115" s="1">
        <v>315721</v>
      </c>
      <c r="BG5115" t="s">
        <v>275</v>
      </c>
      <c r="BH5115" s="1">
        <v>140.82</v>
      </c>
      <c r="BI5115" s="1">
        <v>315721</v>
      </c>
      <c r="BJ5115" s="3">
        <v>42417</v>
      </c>
      <c r="BK5115" t="s">
        <v>123</v>
      </c>
      <c r="BL5115" t="str">
        <f>"2016.101289"</f>
        <v>2016.101289</v>
      </c>
      <c r="BM5115" t="s">
        <v>651</v>
      </c>
      <c r="BN5115" t="s">
        <v>652</v>
      </c>
      <c r="BO5115" t="s">
        <v>31728</v>
      </c>
      <c r="BS5115">
        <v>30</v>
      </c>
      <c r="BT5115" s="1">
        <v>28339</v>
      </c>
      <c r="BU5115" s="3">
        <v>43236</v>
      </c>
      <c r="BW5115" t="str">
        <f>"2018.372706"</f>
        <v>2018.372706</v>
      </c>
      <c r="BX5115" t="s">
        <v>135</v>
      </c>
      <c r="BY5115" t="s">
        <v>136</v>
      </c>
      <c r="BZ5115" t="s">
        <v>31729</v>
      </c>
      <c r="CC5115" t="s">
        <v>346</v>
      </c>
      <c r="CH5115" t="str">
        <f>""</f>
        <v/>
      </c>
      <c r="CS5115" t="str">
        <f>""</f>
        <v/>
      </c>
    </row>
    <row r="5116" spans="1:97" x14ac:dyDescent="0.25">
      <c r="A5116" t="s">
        <v>7562</v>
      </c>
      <c r="B5116" t="s">
        <v>31730</v>
      </c>
      <c r="C5116" t="s">
        <v>1769</v>
      </c>
      <c r="D5116" t="s">
        <v>31730</v>
      </c>
      <c r="E5116" t="s">
        <v>31731</v>
      </c>
      <c r="F5116" t="s">
        <v>108</v>
      </c>
      <c r="H5116" t="s">
        <v>31732</v>
      </c>
      <c r="I5116" t="s">
        <v>188</v>
      </c>
      <c r="J5116" t="s">
        <v>111</v>
      </c>
      <c r="K5116" t="str">
        <f>"85142"</f>
        <v>85142</v>
      </c>
      <c r="L5116" t="s">
        <v>3645</v>
      </c>
      <c r="M5116" t="s">
        <v>31732</v>
      </c>
      <c r="N5116" t="s">
        <v>188</v>
      </c>
      <c r="O5116" t="s">
        <v>111</v>
      </c>
      <c r="P5116" t="str">
        <f>"85142-5946"</f>
        <v>85142-5946</v>
      </c>
      <c r="Q5116" t="s">
        <v>113</v>
      </c>
      <c r="R5116" t="str">
        <f>"314-08-544"</f>
        <v>314-08-544</v>
      </c>
      <c r="S5116" t="s">
        <v>9258</v>
      </c>
      <c r="T5116" t="s">
        <v>4811</v>
      </c>
      <c r="U5116">
        <v>2707</v>
      </c>
      <c r="V5116">
        <v>0</v>
      </c>
      <c r="W5116">
        <v>4</v>
      </c>
      <c r="X5116">
        <v>2014</v>
      </c>
      <c r="Z5116">
        <v>1</v>
      </c>
      <c r="AB5116">
        <v>0</v>
      </c>
      <c r="AC5116" t="s">
        <v>115</v>
      </c>
      <c r="AD5116">
        <v>3</v>
      </c>
      <c r="AE5116" t="s">
        <v>115</v>
      </c>
      <c r="AF5116">
        <v>0</v>
      </c>
      <c r="AG5116">
        <v>0</v>
      </c>
      <c r="AH5116" t="s">
        <v>116</v>
      </c>
      <c r="AI5116" s="1">
        <v>111860</v>
      </c>
      <c r="AJ5116" s="2">
        <v>0.28000000000000003</v>
      </c>
      <c r="AK5116" s="1">
        <v>396924</v>
      </c>
      <c r="AL5116" t="s">
        <v>117</v>
      </c>
      <c r="AM5116" t="s">
        <v>393</v>
      </c>
      <c r="AN5116">
        <v>8125</v>
      </c>
      <c r="AO5116">
        <v>0.19</v>
      </c>
      <c r="AR5116">
        <v>1</v>
      </c>
      <c r="AS5116" s="1">
        <v>28410</v>
      </c>
      <c r="AT5116" s="1">
        <v>5680</v>
      </c>
      <c r="AU5116" s="1">
        <v>22730</v>
      </c>
      <c r="AV5116">
        <v>80.010000000000005</v>
      </c>
      <c r="AX5116" s="1">
        <v>3058.54</v>
      </c>
      <c r="AY5116" t="s">
        <v>560</v>
      </c>
      <c r="AZ5116" t="s">
        <v>561</v>
      </c>
      <c r="BA5116" t="s">
        <v>194</v>
      </c>
      <c r="BE5116" s="3">
        <v>41670</v>
      </c>
      <c r="BF5116" s="1">
        <v>285064</v>
      </c>
      <c r="BG5116" t="s">
        <v>749</v>
      </c>
      <c r="BH5116" s="1">
        <v>105.31</v>
      </c>
      <c r="BI5116" s="1">
        <v>285064</v>
      </c>
      <c r="BJ5116" s="3">
        <v>41670</v>
      </c>
      <c r="BK5116" t="s">
        <v>123</v>
      </c>
      <c r="BL5116" t="str">
        <f>"2014.68923"</f>
        <v>2014.68923</v>
      </c>
      <c r="BM5116" t="s">
        <v>29785</v>
      </c>
      <c r="BO5116" t="s">
        <v>31733</v>
      </c>
      <c r="BS5116">
        <v>30</v>
      </c>
      <c r="BW5116" t="str">
        <f>""</f>
        <v/>
      </c>
      <c r="CH5116" t="str">
        <f>""</f>
        <v/>
      </c>
      <c r="CS5116" t="str">
        <f>""</f>
        <v/>
      </c>
    </row>
    <row r="5117" spans="1:97" x14ac:dyDescent="0.25">
      <c r="A5117" t="s">
        <v>177</v>
      </c>
      <c r="B5117" t="s">
        <v>31734</v>
      </c>
      <c r="C5117" t="s">
        <v>31735</v>
      </c>
      <c r="D5117" t="s">
        <v>31734</v>
      </c>
      <c r="E5117" t="s">
        <v>31736</v>
      </c>
      <c r="F5117" t="s">
        <v>108</v>
      </c>
      <c r="H5117" t="s">
        <v>31737</v>
      </c>
      <c r="I5117" t="s">
        <v>167</v>
      </c>
      <c r="J5117" t="s">
        <v>111</v>
      </c>
      <c r="K5117" t="str">
        <f>"85339"</f>
        <v>85339</v>
      </c>
      <c r="L5117" t="s">
        <v>5637</v>
      </c>
      <c r="M5117" t="s">
        <v>31737</v>
      </c>
      <c r="N5117" t="s">
        <v>167</v>
      </c>
      <c r="O5117" t="s">
        <v>111</v>
      </c>
      <c r="P5117" t="str">
        <f>"85339-5207"</f>
        <v>85339-5207</v>
      </c>
      <c r="Q5117" t="s">
        <v>113</v>
      </c>
      <c r="R5117" t="str">
        <f>"300-15-517"</f>
        <v>300-15-517</v>
      </c>
      <c r="S5117" t="s">
        <v>14428</v>
      </c>
      <c r="T5117" t="s">
        <v>14429</v>
      </c>
      <c r="U5117">
        <v>2357</v>
      </c>
      <c r="V5117">
        <v>0</v>
      </c>
      <c r="W5117">
        <v>4</v>
      </c>
      <c r="X5117">
        <v>2015</v>
      </c>
      <c r="Z5117">
        <v>1</v>
      </c>
      <c r="AB5117">
        <v>0</v>
      </c>
      <c r="AC5117" t="s">
        <v>115</v>
      </c>
      <c r="AD5117">
        <v>2</v>
      </c>
      <c r="AE5117" t="s">
        <v>115</v>
      </c>
      <c r="AF5117">
        <v>0</v>
      </c>
      <c r="AG5117">
        <v>0</v>
      </c>
      <c r="AH5117" t="s">
        <v>116</v>
      </c>
      <c r="AI5117" s="1">
        <v>90920</v>
      </c>
      <c r="AJ5117" s="2">
        <v>0.27</v>
      </c>
      <c r="AK5117" s="1">
        <v>335319</v>
      </c>
      <c r="AL5117" t="s">
        <v>117</v>
      </c>
      <c r="AM5117" t="s">
        <v>171</v>
      </c>
      <c r="AN5117">
        <v>10030</v>
      </c>
      <c r="AO5117">
        <v>0.23</v>
      </c>
      <c r="AR5117">
        <v>1</v>
      </c>
      <c r="AS5117" s="1">
        <v>25630</v>
      </c>
      <c r="AT5117" s="1">
        <v>5120</v>
      </c>
      <c r="AU5117" s="1">
        <v>20510</v>
      </c>
      <c r="AV5117">
        <v>80.02</v>
      </c>
      <c r="AX5117" s="1">
        <v>1972.88</v>
      </c>
      <c r="AY5117" t="s">
        <v>805</v>
      </c>
      <c r="AZ5117" t="s">
        <v>806</v>
      </c>
      <c r="BA5117" t="s">
        <v>173</v>
      </c>
      <c r="BE5117" s="3">
        <v>42457</v>
      </c>
      <c r="BF5117" s="1">
        <v>309381</v>
      </c>
      <c r="BG5117" t="s">
        <v>158</v>
      </c>
      <c r="BH5117" s="1">
        <v>131.26</v>
      </c>
      <c r="BI5117" s="1">
        <v>244399</v>
      </c>
      <c r="BJ5117" s="3">
        <v>42598</v>
      </c>
      <c r="BK5117" t="s">
        <v>123</v>
      </c>
      <c r="BL5117" t="str">
        <f>"2016.583155"</f>
        <v>2016.583155</v>
      </c>
      <c r="BM5117" t="s">
        <v>1695</v>
      </c>
      <c r="BO5117" t="s">
        <v>31738</v>
      </c>
      <c r="BS5117">
        <v>30</v>
      </c>
      <c r="BW5117" t="str">
        <f>""</f>
        <v/>
      </c>
      <c r="CH5117" t="str">
        <f>""</f>
        <v/>
      </c>
      <c r="CS5117" t="str">
        <f>""</f>
        <v/>
      </c>
    </row>
    <row r="5118" spans="1:97" x14ac:dyDescent="0.25">
      <c r="A5118" t="s">
        <v>20339</v>
      </c>
      <c r="B5118" t="s">
        <v>2103</v>
      </c>
      <c r="C5118" t="s">
        <v>140</v>
      </c>
      <c r="D5118" t="s">
        <v>2103</v>
      </c>
      <c r="E5118" t="s">
        <v>31739</v>
      </c>
      <c r="F5118" t="s">
        <v>108</v>
      </c>
      <c r="H5118" t="s">
        <v>31740</v>
      </c>
      <c r="I5118" t="s">
        <v>188</v>
      </c>
      <c r="J5118" t="s">
        <v>111</v>
      </c>
      <c r="K5118" t="str">
        <f>"85142"</f>
        <v>85142</v>
      </c>
      <c r="L5118" t="s">
        <v>1070</v>
      </c>
      <c r="M5118" t="s">
        <v>31740</v>
      </c>
      <c r="N5118" t="s">
        <v>188</v>
      </c>
      <c r="O5118" t="s">
        <v>111</v>
      </c>
      <c r="P5118" t="str">
        <f>"85142-5190"</f>
        <v>85142-5190</v>
      </c>
      <c r="Q5118" t="s">
        <v>113</v>
      </c>
      <c r="R5118" t="str">
        <f>"314-09-280"</f>
        <v>314-09-280</v>
      </c>
      <c r="S5118" t="s">
        <v>31741</v>
      </c>
      <c r="T5118" t="s">
        <v>17034</v>
      </c>
      <c r="U5118">
        <v>3626</v>
      </c>
      <c r="V5118">
        <v>0</v>
      </c>
      <c r="W5118">
        <v>5</v>
      </c>
      <c r="X5118">
        <v>2014</v>
      </c>
      <c r="Z5118">
        <v>1</v>
      </c>
      <c r="AB5118">
        <v>0</v>
      </c>
      <c r="AC5118" t="s">
        <v>115</v>
      </c>
      <c r="AD5118">
        <v>3</v>
      </c>
      <c r="AE5118" t="s">
        <v>115</v>
      </c>
      <c r="AF5118">
        <v>0</v>
      </c>
      <c r="AG5118">
        <v>0</v>
      </c>
      <c r="AH5118" t="s">
        <v>116</v>
      </c>
      <c r="AI5118" s="1">
        <v>86809</v>
      </c>
      <c r="AJ5118" s="2">
        <v>0.19</v>
      </c>
      <c r="AK5118" s="1">
        <v>455309</v>
      </c>
      <c r="AL5118" t="s">
        <v>117</v>
      </c>
      <c r="AM5118" t="s">
        <v>5791</v>
      </c>
      <c r="AN5118">
        <v>13950</v>
      </c>
      <c r="AO5118">
        <v>0.32</v>
      </c>
      <c r="AR5118">
        <v>1</v>
      </c>
      <c r="AS5118" s="1">
        <v>32320</v>
      </c>
      <c r="AT5118" s="1">
        <v>6460</v>
      </c>
      <c r="AU5118" s="1">
        <v>25860</v>
      </c>
      <c r="AV5118">
        <v>80.010000000000005</v>
      </c>
      <c r="AX5118" s="1">
        <v>3078.98</v>
      </c>
      <c r="AY5118" t="s">
        <v>1074</v>
      </c>
      <c r="AZ5118" t="s">
        <v>193</v>
      </c>
      <c r="BA5118" t="s">
        <v>194</v>
      </c>
      <c r="BB5118" s="3">
        <v>43734</v>
      </c>
      <c r="BC5118" s="1">
        <v>0</v>
      </c>
      <c r="BD5118" t="s">
        <v>247</v>
      </c>
      <c r="BE5118" s="3">
        <v>42206</v>
      </c>
      <c r="BF5118" s="1">
        <v>345500</v>
      </c>
      <c r="BG5118" t="s">
        <v>2842</v>
      </c>
      <c r="BH5118" s="1">
        <v>95.28</v>
      </c>
      <c r="BI5118" s="1">
        <v>368500</v>
      </c>
      <c r="BJ5118" s="3">
        <v>42529</v>
      </c>
      <c r="BK5118" t="s">
        <v>123</v>
      </c>
      <c r="BL5118" t="str">
        <f>"2016.397505"</f>
        <v>2016.397505</v>
      </c>
      <c r="BM5118" t="s">
        <v>2117</v>
      </c>
      <c r="BN5118" t="s">
        <v>2118</v>
      </c>
      <c r="BO5118" t="s">
        <v>31742</v>
      </c>
      <c r="BS5118">
        <v>30</v>
      </c>
      <c r="BW5118" t="str">
        <f>""</f>
        <v/>
      </c>
      <c r="CH5118" t="str">
        <f>""</f>
        <v/>
      </c>
      <c r="CS5118" t="str">
        <f>""</f>
        <v/>
      </c>
    </row>
    <row r="5119" spans="1:97" x14ac:dyDescent="0.25">
      <c r="A5119" t="s">
        <v>2402</v>
      </c>
      <c r="B5119" t="s">
        <v>31743</v>
      </c>
      <c r="C5119" t="s">
        <v>12901</v>
      </c>
      <c r="D5119" t="s">
        <v>31743</v>
      </c>
      <c r="E5119" t="s">
        <v>31744</v>
      </c>
      <c r="F5119" t="s">
        <v>108</v>
      </c>
      <c r="H5119" t="s">
        <v>31745</v>
      </c>
      <c r="I5119" t="s">
        <v>1788</v>
      </c>
      <c r="J5119" t="s">
        <v>111</v>
      </c>
      <c r="K5119" t="str">
        <f>"85355"</f>
        <v>85355</v>
      </c>
      <c r="L5119" t="s">
        <v>3758</v>
      </c>
      <c r="M5119" t="s">
        <v>31745</v>
      </c>
      <c r="N5119" t="s">
        <v>1788</v>
      </c>
      <c r="O5119" t="s">
        <v>111</v>
      </c>
      <c r="P5119" t="str">
        <f>"85355-7530"</f>
        <v>85355-7530</v>
      </c>
      <c r="Q5119" t="s">
        <v>113</v>
      </c>
      <c r="R5119" t="str">
        <f>"502-09-852"</f>
        <v>502-09-852</v>
      </c>
      <c r="S5119" t="s">
        <v>31746</v>
      </c>
      <c r="T5119" t="s">
        <v>5971</v>
      </c>
      <c r="U5119">
        <v>3396</v>
      </c>
      <c r="V5119">
        <v>0</v>
      </c>
      <c r="W5119">
        <v>4</v>
      </c>
      <c r="X5119">
        <v>2010</v>
      </c>
      <c r="Z5119">
        <v>2</v>
      </c>
      <c r="AB5119">
        <v>0</v>
      </c>
      <c r="AC5119" t="s">
        <v>115</v>
      </c>
      <c r="AD5119">
        <v>3</v>
      </c>
      <c r="AE5119" t="s">
        <v>115</v>
      </c>
      <c r="AF5119">
        <v>0</v>
      </c>
      <c r="AG5119">
        <v>0</v>
      </c>
      <c r="AH5119" t="s">
        <v>116</v>
      </c>
      <c r="AI5119" s="1">
        <v>38789</v>
      </c>
      <c r="AJ5119" s="2">
        <v>0.11</v>
      </c>
      <c r="AK5119" s="1">
        <v>354789</v>
      </c>
      <c r="AL5119" t="s">
        <v>117</v>
      </c>
      <c r="AM5119" t="s">
        <v>171</v>
      </c>
      <c r="AN5119">
        <v>10485</v>
      </c>
      <c r="AO5119">
        <v>0.24</v>
      </c>
      <c r="AR5119">
        <v>1</v>
      </c>
      <c r="AS5119" s="1">
        <v>25250</v>
      </c>
      <c r="AT5119" s="1">
        <v>5050</v>
      </c>
      <c r="AU5119" s="1">
        <v>20200</v>
      </c>
      <c r="AV5119">
        <v>80</v>
      </c>
      <c r="AX5119" s="1">
        <v>2143.02</v>
      </c>
      <c r="AY5119" t="s">
        <v>5972</v>
      </c>
      <c r="AZ5119" t="s">
        <v>5972</v>
      </c>
      <c r="BA5119" t="s">
        <v>5061</v>
      </c>
      <c r="BE5119" s="3">
        <v>42508</v>
      </c>
      <c r="BF5119" s="1">
        <v>316000</v>
      </c>
      <c r="BG5119" t="s">
        <v>31747</v>
      </c>
      <c r="BH5119" s="1">
        <v>93.05</v>
      </c>
      <c r="BI5119" s="1">
        <v>316000</v>
      </c>
      <c r="BJ5119" s="3">
        <v>42508</v>
      </c>
      <c r="BK5119" t="s">
        <v>123</v>
      </c>
      <c r="BL5119" t="str">
        <f>"2016.341796"</f>
        <v>2016.341796</v>
      </c>
      <c r="BM5119" t="s">
        <v>1033</v>
      </c>
      <c r="BO5119" t="s">
        <v>31748</v>
      </c>
      <c r="BS5119">
        <v>30</v>
      </c>
      <c r="BW5119" t="str">
        <f>""</f>
        <v/>
      </c>
      <c r="CH5119" t="str">
        <f>""</f>
        <v/>
      </c>
      <c r="CS5119" t="str">
        <f>""</f>
        <v/>
      </c>
    </row>
    <row r="5120" spans="1:97" x14ac:dyDescent="0.25">
      <c r="A5120" t="s">
        <v>852</v>
      </c>
      <c r="B5120" t="s">
        <v>31749</v>
      </c>
      <c r="C5120" t="s">
        <v>211</v>
      </c>
      <c r="D5120" t="s">
        <v>31749</v>
      </c>
      <c r="E5120" t="s">
        <v>31750</v>
      </c>
      <c r="F5120" t="s">
        <v>108</v>
      </c>
      <c r="H5120" t="s">
        <v>31751</v>
      </c>
      <c r="I5120" t="s">
        <v>110</v>
      </c>
      <c r="J5120" t="s">
        <v>111</v>
      </c>
      <c r="K5120" t="str">
        <f>"85249"</f>
        <v>85249</v>
      </c>
      <c r="L5120" t="s">
        <v>4035</v>
      </c>
      <c r="M5120" t="s">
        <v>31751</v>
      </c>
      <c r="N5120" t="s">
        <v>110</v>
      </c>
      <c r="O5120" t="s">
        <v>111</v>
      </c>
      <c r="P5120" t="str">
        <f>"85249-5994"</f>
        <v>85249-5994</v>
      </c>
      <c r="R5120" t="str">
        <f>"304-74-523"</f>
        <v>304-74-523</v>
      </c>
      <c r="S5120" t="s">
        <v>26149</v>
      </c>
      <c r="T5120" t="s">
        <v>11438</v>
      </c>
      <c r="U5120">
        <v>2471</v>
      </c>
      <c r="V5120">
        <v>0</v>
      </c>
      <c r="W5120">
        <v>4</v>
      </c>
      <c r="X5120">
        <v>2006</v>
      </c>
      <c r="Z5120">
        <v>1</v>
      </c>
      <c r="AA5120" t="s">
        <v>26</v>
      </c>
      <c r="AB5120">
        <v>0</v>
      </c>
      <c r="AC5120" t="s">
        <v>115</v>
      </c>
      <c r="AD5120">
        <v>4</v>
      </c>
      <c r="AE5120" t="s">
        <v>115</v>
      </c>
      <c r="AF5120">
        <v>0</v>
      </c>
      <c r="AG5120">
        <v>0</v>
      </c>
      <c r="AH5120" t="s">
        <v>116</v>
      </c>
      <c r="AI5120" s="1">
        <v>-1030</v>
      </c>
      <c r="AJ5120" s="2">
        <v>0</v>
      </c>
      <c r="AK5120" s="1">
        <v>493733</v>
      </c>
      <c r="AL5120" t="s">
        <v>117</v>
      </c>
      <c r="AM5120" t="s">
        <v>118</v>
      </c>
      <c r="AN5120">
        <v>8750</v>
      </c>
      <c r="AO5120">
        <v>0.2</v>
      </c>
      <c r="AR5120">
        <v>1</v>
      </c>
      <c r="AS5120" s="1">
        <v>35420</v>
      </c>
      <c r="AT5120" s="1">
        <v>7080</v>
      </c>
      <c r="AU5120" s="1">
        <v>28340</v>
      </c>
      <c r="AV5120">
        <v>80.010000000000005</v>
      </c>
      <c r="AX5120" s="1">
        <v>3374.5</v>
      </c>
      <c r="AY5120" t="s">
        <v>419</v>
      </c>
      <c r="AZ5120" t="s">
        <v>273</v>
      </c>
      <c r="BA5120" t="s">
        <v>303</v>
      </c>
      <c r="BE5120" s="3">
        <v>42550</v>
      </c>
      <c r="BF5120" s="1">
        <v>420000</v>
      </c>
      <c r="BG5120" t="s">
        <v>31752</v>
      </c>
      <c r="BH5120" s="1">
        <v>169.97</v>
      </c>
      <c r="BI5120" s="1">
        <v>494763</v>
      </c>
      <c r="BJ5120" s="3">
        <v>43567</v>
      </c>
      <c r="BK5120" t="s">
        <v>123</v>
      </c>
      <c r="BL5120" t="str">
        <f>"2019.256523"</f>
        <v>2019.256523</v>
      </c>
      <c r="BM5120" t="s">
        <v>21948</v>
      </c>
      <c r="BN5120" t="s">
        <v>21949</v>
      </c>
      <c r="BO5120" t="s">
        <v>31753</v>
      </c>
      <c r="BP5120" t="s">
        <v>31754</v>
      </c>
      <c r="BR5120" t="s">
        <v>139</v>
      </c>
      <c r="BW5120" t="str">
        <f>""</f>
        <v/>
      </c>
      <c r="CH5120" t="str">
        <f>""</f>
        <v/>
      </c>
      <c r="CS5120" t="str">
        <f>""</f>
        <v/>
      </c>
    </row>
    <row r="5121" spans="1:97" x14ac:dyDescent="0.25">
      <c r="B5121" t="s">
        <v>31755</v>
      </c>
      <c r="E5121" t="s">
        <v>31756</v>
      </c>
      <c r="F5121" t="s">
        <v>108</v>
      </c>
      <c r="H5121" t="s">
        <v>31757</v>
      </c>
      <c r="I5121" t="s">
        <v>453</v>
      </c>
      <c r="J5121" t="s">
        <v>111</v>
      </c>
      <c r="K5121" t="str">
        <f>"85383"</f>
        <v>85383</v>
      </c>
      <c r="L5121" t="s">
        <v>189</v>
      </c>
      <c r="M5121" t="s">
        <v>31757</v>
      </c>
      <c r="N5121" t="s">
        <v>453</v>
      </c>
      <c r="O5121" t="s">
        <v>111</v>
      </c>
      <c r="P5121" t="str">
        <f>"85383-5065"</f>
        <v>85383-5065</v>
      </c>
      <c r="Q5121" t="s">
        <v>113</v>
      </c>
      <c r="R5121" t="str">
        <f>"503-97-822"</f>
        <v>503-97-822</v>
      </c>
      <c r="S5121" t="s">
        <v>31758</v>
      </c>
      <c r="U5121">
        <v>2784</v>
      </c>
      <c r="V5121">
        <v>0</v>
      </c>
      <c r="W5121">
        <v>5</v>
      </c>
      <c r="X5121">
        <v>2013</v>
      </c>
      <c r="Z5121">
        <v>1</v>
      </c>
      <c r="AB5121">
        <v>0</v>
      </c>
      <c r="AC5121" t="s">
        <v>115</v>
      </c>
      <c r="AD5121">
        <v>4</v>
      </c>
      <c r="AE5121" t="s">
        <v>115</v>
      </c>
      <c r="AF5121">
        <v>0</v>
      </c>
      <c r="AG5121">
        <v>0</v>
      </c>
      <c r="AH5121" t="s">
        <v>116</v>
      </c>
      <c r="AI5121" s="1">
        <v>101955</v>
      </c>
      <c r="AJ5121" s="2">
        <v>0.17</v>
      </c>
      <c r="AK5121" s="1">
        <v>610275</v>
      </c>
      <c r="AL5121" t="s">
        <v>117</v>
      </c>
      <c r="AM5121" t="s">
        <v>118</v>
      </c>
      <c r="AN5121">
        <v>11501</v>
      </c>
      <c r="AO5121">
        <v>0.26</v>
      </c>
      <c r="AR5121">
        <v>1</v>
      </c>
      <c r="AS5121" s="1">
        <v>44350</v>
      </c>
      <c r="AT5121" s="1">
        <v>8870</v>
      </c>
      <c r="AU5121" s="1">
        <v>35480</v>
      </c>
      <c r="AV5121">
        <v>80</v>
      </c>
      <c r="AX5121" s="1">
        <v>3459</v>
      </c>
      <c r="AY5121" t="s">
        <v>456</v>
      </c>
      <c r="AZ5121" t="s">
        <v>456</v>
      </c>
      <c r="BA5121" t="s">
        <v>457</v>
      </c>
      <c r="BB5121" s="3">
        <v>42740</v>
      </c>
      <c r="BD5121" t="s">
        <v>480</v>
      </c>
      <c r="BE5121" s="3">
        <v>41726</v>
      </c>
      <c r="BF5121" s="1">
        <v>629467</v>
      </c>
      <c r="BG5121" t="s">
        <v>2342</v>
      </c>
      <c r="BH5121" s="1">
        <v>226.1</v>
      </c>
      <c r="BI5121" s="1">
        <v>508320</v>
      </c>
      <c r="BJ5121" s="3">
        <v>42436</v>
      </c>
      <c r="BK5121" t="s">
        <v>123</v>
      </c>
      <c r="BL5121" t="str">
        <f>"2016.145870"</f>
        <v>2016.145870</v>
      </c>
      <c r="BM5121" t="s">
        <v>361</v>
      </c>
      <c r="BO5121" t="s">
        <v>31759</v>
      </c>
      <c r="BS5121">
        <v>15</v>
      </c>
      <c r="BW5121" t="str">
        <f>""</f>
        <v/>
      </c>
      <c r="CH5121" t="str">
        <f>""</f>
        <v/>
      </c>
      <c r="CS5121" t="str">
        <f>""</f>
        <v/>
      </c>
    </row>
    <row r="5122" spans="1:97" x14ac:dyDescent="0.25">
      <c r="A5122" t="s">
        <v>1344</v>
      </c>
      <c r="B5122" t="s">
        <v>31760</v>
      </c>
      <c r="C5122" t="s">
        <v>3306</v>
      </c>
      <c r="D5122" t="s">
        <v>31761</v>
      </c>
      <c r="E5122" t="s">
        <v>31762</v>
      </c>
      <c r="F5122" t="s">
        <v>108</v>
      </c>
      <c r="H5122" t="s">
        <v>31763</v>
      </c>
      <c r="I5122" t="s">
        <v>203</v>
      </c>
      <c r="J5122" t="s">
        <v>111</v>
      </c>
      <c r="K5122" t="str">
        <f>"85297"</f>
        <v>85297</v>
      </c>
      <c r="L5122" t="s">
        <v>5021</v>
      </c>
      <c r="M5122" t="s">
        <v>31763</v>
      </c>
      <c r="N5122" t="s">
        <v>203</v>
      </c>
      <c r="O5122" t="s">
        <v>111</v>
      </c>
      <c r="P5122" t="str">
        <f>"85297-1181"</f>
        <v>85297-1181</v>
      </c>
      <c r="Q5122" t="s">
        <v>113</v>
      </c>
      <c r="R5122" t="str">
        <f>"304-58-367"</f>
        <v>304-58-367</v>
      </c>
      <c r="S5122" t="s">
        <v>31764</v>
      </c>
      <c r="T5122" t="s">
        <v>16883</v>
      </c>
      <c r="U5122">
        <v>2762</v>
      </c>
      <c r="V5122">
        <v>0</v>
      </c>
      <c r="W5122">
        <v>4</v>
      </c>
      <c r="X5122">
        <v>2010</v>
      </c>
      <c r="Z5122">
        <v>2</v>
      </c>
      <c r="AB5122">
        <v>0</v>
      </c>
      <c r="AC5122" t="s">
        <v>115</v>
      </c>
      <c r="AD5122">
        <v>3</v>
      </c>
      <c r="AE5122" t="s">
        <v>115</v>
      </c>
      <c r="AF5122">
        <v>0</v>
      </c>
      <c r="AG5122">
        <v>0</v>
      </c>
      <c r="AH5122" t="s">
        <v>116</v>
      </c>
      <c r="AI5122" s="1">
        <v>76292</v>
      </c>
      <c r="AJ5122" s="2">
        <v>0.18</v>
      </c>
      <c r="AK5122" s="1">
        <v>426292</v>
      </c>
      <c r="AL5122" t="s">
        <v>117</v>
      </c>
      <c r="AM5122" t="s">
        <v>171</v>
      </c>
      <c r="AN5122">
        <v>8320</v>
      </c>
      <c r="AO5122">
        <v>0.19</v>
      </c>
      <c r="AR5122">
        <v>1</v>
      </c>
      <c r="AS5122" s="1">
        <v>29730</v>
      </c>
      <c r="AT5122" s="1">
        <v>5940</v>
      </c>
      <c r="AU5122" s="1">
        <v>23790</v>
      </c>
      <c r="AV5122">
        <v>80.02</v>
      </c>
      <c r="AX5122" s="1">
        <v>2669.56</v>
      </c>
      <c r="AY5122" t="s">
        <v>302</v>
      </c>
      <c r="AZ5122" t="s">
        <v>273</v>
      </c>
      <c r="BA5122" t="s">
        <v>303</v>
      </c>
      <c r="BE5122" s="3">
        <v>42244</v>
      </c>
      <c r="BF5122" s="1">
        <v>350000</v>
      </c>
      <c r="BG5122" t="s">
        <v>195</v>
      </c>
      <c r="BH5122" s="1">
        <v>126.72</v>
      </c>
      <c r="BI5122" s="1">
        <v>350000</v>
      </c>
      <c r="BJ5122" s="3">
        <v>42244</v>
      </c>
      <c r="BK5122" t="s">
        <v>123</v>
      </c>
      <c r="BL5122" t="str">
        <f>"2015.627117"</f>
        <v>2015.627117</v>
      </c>
      <c r="BM5122" t="s">
        <v>196</v>
      </c>
      <c r="BO5122" t="s">
        <v>31765</v>
      </c>
      <c r="BP5122" t="s">
        <v>31766</v>
      </c>
      <c r="BS5122">
        <v>30</v>
      </c>
      <c r="BW5122" t="str">
        <f>""</f>
        <v/>
      </c>
      <c r="CH5122" t="str">
        <f>""</f>
        <v/>
      </c>
      <c r="CS5122" t="str">
        <f>""</f>
        <v/>
      </c>
    </row>
    <row r="5123" spans="1:97" x14ac:dyDescent="0.25">
      <c r="A5123" t="s">
        <v>488</v>
      </c>
      <c r="B5123" t="s">
        <v>1388</v>
      </c>
      <c r="C5123" t="s">
        <v>7313</v>
      </c>
      <c r="D5123" t="s">
        <v>1388</v>
      </c>
      <c r="E5123" t="s">
        <v>31767</v>
      </c>
      <c r="F5123" t="s">
        <v>108</v>
      </c>
      <c r="H5123" t="s">
        <v>31768</v>
      </c>
      <c r="I5123" t="s">
        <v>632</v>
      </c>
      <c r="J5123" t="s">
        <v>111</v>
      </c>
      <c r="K5123" t="str">
        <f>"85387"</f>
        <v>85387</v>
      </c>
      <c r="L5123" t="s">
        <v>6529</v>
      </c>
      <c r="M5123" t="s">
        <v>31768</v>
      </c>
      <c r="N5123" t="s">
        <v>632</v>
      </c>
      <c r="O5123" t="s">
        <v>111</v>
      </c>
      <c r="P5123" t="str">
        <f>"85387-1026"</f>
        <v>85387-1026</v>
      </c>
      <c r="Q5123" t="s">
        <v>113</v>
      </c>
      <c r="R5123" t="str">
        <f>"510-04-817"</f>
        <v>510-04-817</v>
      </c>
      <c r="S5123" t="s">
        <v>8907</v>
      </c>
      <c r="T5123" t="s">
        <v>5498</v>
      </c>
      <c r="U5123">
        <v>2032</v>
      </c>
      <c r="V5123">
        <v>0</v>
      </c>
      <c r="W5123">
        <v>3</v>
      </c>
      <c r="X5123">
        <v>2015</v>
      </c>
      <c r="Z5123">
        <v>1</v>
      </c>
      <c r="AA5123" t="s">
        <v>26</v>
      </c>
      <c r="AB5123">
        <v>0</v>
      </c>
      <c r="AC5123" t="s">
        <v>115</v>
      </c>
      <c r="AD5123">
        <v>2</v>
      </c>
      <c r="AE5123" t="s">
        <v>115</v>
      </c>
      <c r="AF5123">
        <v>0</v>
      </c>
      <c r="AG5123">
        <v>0</v>
      </c>
      <c r="AH5123" t="s">
        <v>116</v>
      </c>
      <c r="AI5123" s="1">
        <v>73679</v>
      </c>
      <c r="AJ5123" s="2">
        <v>0.23</v>
      </c>
      <c r="AK5123" s="1">
        <v>313711</v>
      </c>
      <c r="AL5123" t="s">
        <v>117</v>
      </c>
      <c r="AM5123" t="s">
        <v>118</v>
      </c>
      <c r="AN5123">
        <v>8832</v>
      </c>
      <c r="AO5123">
        <v>0.2</v>
      </c>
      <c r="AR5123">
        <v>1</v>
      </c>
      <c r="AS5123" s="1">
        <v>23310</v>
      </c>
      <c r="AT5123" s="1">
        <v>4660</v>
      </c>
      <c r="AU5123" s="1">
        <v>18650</v>
      </c>
      <c r="AV5123">
        <v>80.010000000000005</v>
      </c>
      <c r="AX5123" s="1">
        <v>1191.56</v>
      </c>
      <c r="AY5123" t="s">
        <v>5499</v>
      </c>
      <c r="AZ5123" t="s">
        <v>5499</v>
      </c>
      <c r="BE5123" s="3">
        <v>42293</v>
      </c>
      <c r="BF5123" s="1">
        <v>232364</v>
      </c>
      <c r="BG5123" t="s">
        <v>6320</v>
      </c>
      <c r="BH5123" s="1">
        <v>114.35</v>
      </c>
      <c r="BI5123" s="1">
        <v>240032</v>
      </c>
      <c r="BJ5123" s="3">
        <v>42293</v>
      </c>
      <c r="BK5123" t="s">
        <v>123</v>
      </c>
      <c r="BL5123" t="str">
        <f>"2015.745222"</f>
        <v>2015.745222</v>
      </c>
      <c r="BM5123" t="s">
        <v>573</v>
      </c>
      <c r="BO5123" t="s">
        <v>31769</v>
      </c>
      <c r="BS5123">
        <v>30</v>
      </c>
      <c r="BW5123" t="str">
        <f>""</f>
        <v/>
      </c>
      <c r="CH5123" t="str">
        <f>""</f>
        <v/>
      </c>
      <c r="CS5123" t="str">
        <f>""</f>
        <v/>
      </c>
    </row>
    <row r="5124" spans="1:97" x14ac:dyDescent="0.25">
      <c r="A5124" t="s">
        <v>701</v>
      </c>
      <c r="B5124" t="s">
        <v>1035</v>
      </c>
      <c r="C5124" t="s">
        <v>4515</v>
      </c>
      <c r="D5124" t="s">
        <v>1035</v>
      </c>
      <c r="E5124" t="s">
        <v>31770</v>
      </c>
      <c r="F5124" t="s">
        <v>108</v>
      </c>
      <c r="H5124" t="s">
        <v>31771</v>
      </c>
      <c r="I5124" t="s">
        <v>203</v>
      </c>
      <c r="J5124" t="s">
        <v>111</v>
      </c>
      <c r="K5124" t="str">
        <f>"85234"</f>
        <v>85234</v>
      </c>
      <c r="L5124" t="s">
        <v>375</v>
      </c>
      <c r="M5124" t="s">
        <v>31771</v>
      </c>
      <c r="N5124" t="s">
        <v>203</v>
      </c>
      <c r="O5124" t="s">
        <v>111</v>
      </c>
      <c r="P5124" t="str">
        <f>"85234-4712"</f>
        <v>85234-4712</v>
      </c>
      <c r="Q5124" t="s">
        <v>113</v>
      </c>
      <c r="R5124" t="str">
        <f>"304-13-723"</f>
        <v>304-13-723</v>
      </c>
      <c r="S5124" t="s">
        <v>9016</v>
      </c>
      <c r="T5124" t="s">
        <v>9017</v>
      </c>
      <c r="U5124">
        <v>2060</v>
      </c>
      <c r="V5124">
        <v>0</v>
      </c>
      <c r="W5124">
        <v>3</v>
      </c>
      <c r="X5124">
        <v>1987</v>
      </c>
      <c r="Z5124">
        <v>1</v>
      </c>
      <c r="AB5124">
        <v>0</v>
      </c>
      <c r="AC5124" t="s">
        <v>115</v>
      </c>
      <c r="AD5124">
        <v>2</v>
      </c>
      <c r="AE5124" t="s">
        <v>115</v>
      </c>
      <c r="AF5124">
        <v>0</v>
      </c>
      <c r="AG5124">
        <v>0</v>
      </c>
      <c r="AH5124" t="s">
        <v>116</v>
      </c>
      <c r="AI5124" s="1">
        <v>64783</v>
      </c>
      <c r="AJ5124" s="2">
        <v>0.19</v>
      </c>
      <c r="AK5124" s="1">
        <v>338034</v>
      </c>
      <c r="AL5124" t="s">
        <v>117</v>
      </c>
      <c r="AM5124" t="s">
        <v>393</v>
      </c>
      <c r="AN5124">
        <v>7360</v>
      </c>
      <c r="AO5124">
        <v>0.17</v>
      </c>
      <c r="AP5124">
        <v>1</v>
      </c>
      <c r="AR5124">
        <v>1</v>
      </c>
      <c r="AS5124" s="1">
        <v>23330</v>
      </c>
      <c r="AT5124" s="1">
        <v>4660</v>
      </c>
      <c r="AU5124" s="1">
        <v>18670</v>
      </c>
      <c r="AV5124">
        <v>80.03</v>
      </c>
      <c r="AX5124" s="1">
        <v>1617.18</v>
      </c>
      <c r="AY5124" t="s">
        <v>272</v>
      </c>
      <c r="AZ5124" t="s">
        <v>5478</v>
      </c>
      <c r="BA5124" t="s">
        <v>5033</v>
      </c>
      <c r="BE5124" s="3">
        <v>42171</v>
      </c>
      <c r="BF5124" s="1">
        <v>267500</v>
      </c>
      <c r="BG5124" t="s">
        <v>31772</v>
      </c>
      <c r="BH5124" s="1">
        <v>129.85</v>
      </c>
      <c r="BI5124" s="1">
        <v>273251</v>
      </c>
      <c r="BJ5124" s="3">
        <v>42171</v>
      </c>
      <c r="BK5124" t="s">
        <v>123</v>
      </c>
      <c r="BL5124" t="str">
        <f>"2015.428035"</f>
        <v>2015.428035</v>
      </c>
      <c r="BM5124" t="s">
        <v>135</v>
      </c>
      <c r="BO5124" t="s">
        <v>31773</v>
      </c>
      <c r="BS5124">
        <v>30</v>
      </c>
      <c r="BW5124" t="str">
        <f>""</f>
        <v/>
      </c>
      <c r="CH5124" t="str">
        <f>""</f>
        <v/>
      </c>
      <c r="CS5124" t="str">
        <f>""</f>
        <v/>
      </c>
    </row>
    <row r="5125" spans="1:97" x14ac:dyDescent="0.25">
      <c r="A5125" t="s">
        <v>21227</v>
      </c>
      <c r="B5125" t="s">
        <v>31774</v>
      </c>
      <c r="C5125" t="s">
        <v>31775</v>
      </c>
      <c r="D5125" t="s">
        <v>31774</v>
      </c>
      <c r="E5125" t="s">
        <v>31776</v>
      </c>
      <c r="F5125" t="s">
        <v>108</v>
      </c>
      <c r="H5125" t="s">
        <v>31777</v>
      </c>
      <c r="I5125" t="s">
        <v>390</v>
      </c>
      <c r="J5125" t="s">
        <v>111</v>
      </c>
      <c r="K5125" t="str">
        <f>"85086"</f>
        <v>85086</v>
      </c>
      <c r="L5125" t="s">
        <v>516</v>
      </c>
      <c r="M5125" t="s">
        <v>31777</v>
      </c>
      <c r="N5125" t="s">
        <v>390</v>
      </c>
      <c r="O5125" t="s">
        <v>111</v>
      </c>
      <c r="P5125" t="str">
        <f>"85086-6632"</f>
        <v>85086-6632</v>
      </c>
      <c r="Q5125" t="s">
        <v>113</v>
      </c>
      <c r="R5125" t="str">
        <f>"203-25-077"</f>
        <v>203-25-077</v>
      </c>
      <c r="S5125" t="s">
        <v>31778</v>
      </c>
      <c r="U5125">
        <v>3912</v>
      </c>
      <c r="V5125">
        <v>0</v>
      </c>
      <c r="W5125">
        <v>6</v>
      </c>
      <c r="X5125">
        <v>2004</v>
      </c>
      <c r="Z5125">
        <v>2</v>
      </c>
      <c r="AB5125">
        <v>0</v>
      </c>
      <c r="AC5125" t="s">
        <v>115</v>
      </c>
      <c r="AD5125">
        <v>3</v>
      </c>
      <c r="AE5125" t="s">
        <v>115</v>
      </c>
      <c r="AF5125">
        <v>0</v>
      </c>
      <c r="AG5125">
        <v>0</v>
      </c>
      <c r="AH5125" t="s">
        <v>116</v>
      </c>
      <c r="AI5125" s="1">
        <v>58019</v>
      </c>
      <c r="AJ5125" s="2">
        <v>0.13</v>
      </c>
      <c r="AK5125" s="1">
        <v>451019</v>
      </c>
      <c r="AL5125" t="s">
        <v>117</v>
      </c>
      <c r="AM5125" t="s">
        <v>171</v>
      </c>
      <c r="AN5125">
        <v>9052</v>
      </c>
      <c r="AO5125">
        <v>0.21</v>
      </c>
      <c r="AR5125">
        <v>1</v>
      </c>
      <c r="AS5125" s="1">
        <v>34060</v>
      </c>
      <c r="AT5125" s="1">
        <v>6810</v>
      </c>
      <c r="AU5125" s="1">
        <v>27250</v>
      </c>
      <c r="AV5125">
        <v>80.010000000000005</v>
      </c>
      <c r="AX5125" s="1">
        <v>3389.62</v>
      </c>
      <c r="AY5125" t="s">
        <v>8639</v>
      </c>
      <c r="AZ5125" t="s">
        <v>8639</v>
      </c>
      <c r="BA5125" t="s">
        <v>378</v>
      </c>
      <c r="BE5125" s="3">
        <v>41957</v>
      </c>
      <c r="BF5125" s="1">
        <v>393000</v>
      </c>
      <c r="BG5125" t="s">
        <v>31779</v>
      </c>
      <c r="BH5125" s="1">
        <v>100.46</v>
      </c>
      <c r="BI5125" s="1">
        <v>393000</v>
      </c>
      <c r="BJ5125" s="3">
        <v>41957</v>
      </c>
      <c r="BK5125" t="s">
        <v>123</v>
      </c>
      <c r="BL5125" t="str">
        <f>"2014.753375"</f>
        <v>2014.753375</v>
      </c>
      <c r="BM5125" t="s">
        <v>131</v>
      </c>
      <c r="BO5125" t="s">
        <v>31780</v>
      </c>
      <c r="BS5125">
        <v>30</v>
      </c>
      <c r="BW5125" t="str">
        <f>""</f>
        <v/>
      </c>
      <c r="CH5125" t="str">
        <f>""</f>
        <v/>
      </c>
      <c r="CS5125" t="str">
        <f>""</f>
        <v/>
      </c>
    </row>
    <row r="5126" spans="1:97" x14ac:dyDescent="0.25">
      <c r="A5126" t="s">
        <v>996</v>
      </c>
      <c r="B5126" t="s">
        <v>31781</v>
      </c>
      <c r="C5126" t="s">
        <v>2294</v>
      </c>
      <c r="D5126" t="s">
        <v>31781</v>
      </c>
      <c r="E5126" t="s">
        <v>31782</v>
      </c>
      <c r="F5126" t="s">
        <v>108</v>
      </c>
      <c r="H5126" t="s">
        <v>31783</v>
      </c>
      <c r="I5126" t="s">
        <v>110</v>
      </c>
      <c r="J5126" t="s">
        <v>111</v>
      </c>
      <c r="K5126" t="str">
        <f>"85249"</f>
        <v>85249</v>
      </c>
      <c r="L5126" t="s">
        <v>6529</v>
      </c>
      <c r="M5126" t="s">
        <v>31783</v>
      </c>
      <c r="N5126" t="s">
        <v>110</v>
      </c>
      <c r="O5126" t="s">
        <v>111</v>
      </c>
      <c r="P5126" t="str">
        <f>"85249-4616"</f>
        <v>85249-4616</v>
      </c>
      <c r="Q5126" t="s">
        <v>113</v>
      </c>
      <c r="R5126" t="str">
        <f>"303-84-561"</f>
        <v>303-84-561</v>
      </c>
      <c r="S5126" t="s">
        <v>31784</v>
      </c>
      <c r="U5126">
        <v>3281</v>
      </c>
      <c r="V5126">
        <v>0</v>
      </c>
      <c r="W5126">
        <v>4</v>
      </c>
      <c r="X5126">
        <v>2003</v>
      </c>
      <c r="Z5126">
        <v>2</v>
      </c>
      <c r="AA5126" t="s">
        <v>26</v>
      </c>
      <c r="AB5126">
        <v>0</v>
      </c>
      <c r="AC5126" t="s">
        <v>115</v>
      </c>
      <c r="AD5126">
        <v>3</v>
      </c>
      <c r="AE5126" t="s">
        <v>115</v>
      </c>
      <c r="AF5126">
        <v>0</v>
      </c>
      <c r="AG5126">
        <v>0</v>
      </c>
      <c r="AH5126" t="s">
        <v>116</v>
      </c>
      <c r="AI5126" s="1">
        <v>71830</v>
      </c>
      <c r="AJ5126" s="2">
        <v>0.17</v>
      </c>
      <c r="AK5126" s="1">
        <v>422130</v>
      </c>
      <c r="AL5126" t="s">
        <v>117</v>
      </c>
      <c r="AM5126" t="s">
        <v>118</v>
      </c>
      <c r="AN5126">
        <v>10772</v>
      </c>
      <c r="AO5126">
        <v>0.25</v>
      </c>
      <c r="AP5126">
        <v>1</v>
      </c>
      <c r="AR5126">
        <v>1</v>
      </c>
      <c r="AS5126" s="1">
        <v>33780</v>
      </c>
      <c r="AT5126" s="1">
        <v>6750</v>
      </c>
      <c r="AU5126" s="1">
        <v>27030</v>
      </c>
      <c r="AV5126">
        <v>80.02</v>
      </c>
      <c r="AX5126" s="1">
        <v>2797.74</v>
      </c>
      <c r="AY5126" t="s">
        <v>5050</v>
      </c>
      <c r="AZ5126" t="s">
        <v>120</v>
      </c>
      <c r="BA5126" t="s">
        <v>274</v>
      </c>
      <c r="BE5126" s="3">
        <v>42094</v>
      </c>
      <c r="BF5126" s="1">
        <v>352000</v>
      </c>
      <c r="BG5126" t="s">
        <v>31785</v>
      </c>
      <c r="BH5126" s="1">
        <v>107.28</v>
      </c>
      <c r="BI5126" s="1">
        <v>350300</v>
      </c>
      <c r="BJ5126" s="3">
        <v>42615</v>
      </c>
      <c r="BK5126" t="s">
        <v>123</v>
      </c>
      <c r="BL5126" t="str">
        <f>"2016.640079"</f>
        <v>2016.640079</v>
      </c>
      <c r="BM5126" t="s">
        <v>1135</v>
      </c>
      <c r="BO5126" t="s">
        <v>31786</v>
      </c>
      <c r="BS5126">
        <v>30</v>
      </c>
      <c r="BW5126" t="str">
        <f>""</f>
        <v/>
      </c>
      <c r="CH5126" t="str">
        <f>""</f>
        <v/>
      </c>
      <c r="CS5126" t="str">
        <f>""</f>
        <v/>
      </c>
    </row>
    <row r="5127" spans="1:97" x14ac:dyDescent="0.25">
      <c r="A5127" t="s">
        <v>31787</v>
      </c>
      <c r="B5127" t="s">
        <v>327</v>
      </c>
      <c r="C5127" t="s">
        <v>1995</v>
      </c>
      <c r="D5127" t="s">
        <v>327</v>
      </c>
      <c r="E5127" t="s">
        <v>31788</v>
      </c>
      <c r="F5127" t="s">
        <v>108</v>
      </c>
      <c r="H5127" t="s">
        <v>31789</v>
      </c>
      <c r="I5127" t="s">
        <v>110</v>
      </c>
      <c r="J5127" t="s">
        <v>111</v>
      </c>
      <c r="K5127" t="str">
        <f>"85286"</f>
        <v>85286</v>
      </c>
      <c r="L5127" t="s">
        <v>2220</v>
      </c>
      <c r="M5127" t="s">
        <v>31789</v>
      </c>
      <c r="N5127" t="s">
        <v>110</v>
      </c>
      <c r="O5127" t="s">
        <v>111</v>
      </c>
      <c r="P5127" t="str">
        <f>"85286-4485"</f>
        <v>85286-4485</v>
      </c>
      <c r="Q5127" t="s">
        <v>113</v>
      </c>
      <c r="R5127" t="str">
        <f>"303-34-634"</f>
        <v>303-34-634</v>
      </c>
      <c r="S5127" t="s">
        <v>31790</v>
      </c>
      <c r="T5127" t="s">
        <v>14036</v>
      </c>
      <c r="U5127">
        <v>1860</v>
      </c>
      <c r="V5127">
        <v>0</v>
      </c>
      <c r="W5127">
        <v>3</v>
      </c>
      <c r="X5127">
        <v>1999</v>
      </c>
      <c r="Z5127">
        <v>1</v>
      </c>
      <c r="AA5127" t="s">
        <v>26</v>
      </c>
      <c r="AB5127">
        <v>0</v>
      </c>
      <c r="AC5127" t="s">
        <v>115</v>
      </c>
      <c r="AD5127">
        <v>2</v>
      </c>
      <c r="AE5127" t="s">
        <v>115</v>
      </c>
      <c r="AF5127">
        <v>0</v>
      </c>
      <c r="AG5127">
        <v>0</v>
      </c>
      <c r="AH5127" t="s">
        <v>116</v>
      </c>
      <c r="AI5127" s="1">
        <v>69527</v>
      </c>
      <c r="AJ5127" s="2">
        <v>0.19</v>
      </c>
      <c r="AK5127" s="1">
        <v>372635</v>
      </c>
      <c r="AL5127" t="s">
        <v>117</v>
      </c>
      <c r="AM5127" t="s">
        <v>118</v>
      </c>
      <c r="AN5127">
        <v>9713</v>
      </c>
      <c r="AO5127">
        <v>0.22</v>
      </c>
      <c r="AP5127">
        <v>1</v>
      </c>
      <c r="AR5127">
        <v>1</v>
      </c>
      <c r="AS5127" s="1">
        <v>27720</v>
      </c>
      <c r="AT5127" s="1">
        <v>5540</v>
      </c>
      <c r="AU5127" s="1">
        <v>22180</v>
      </c>
      <c r="AV5127">
        <v>80.010000000000005</v>
      </c>
      <c r="AX5127" s="1">
        <v>2516.92</v>
      </c>
      <c r="AY5127" t="s">
        <v>14037</v>
      </c>
      <c r="AZ5127" t="s">
        <v>1882</v>
      </c>
      <c r="BA5127" t="s">
        <v>121</v>
      </c>
      <c r="BE5127" s="3">
        <v>41754</v>
      </c>
      <c r="BF5127" s="1">
        <v>290000</v>
      </c>
      <c r="BG5127" t="s">
        <v>31791</v>
      </c>
      <c r="BH5127" s="1">
        <v>155.91</v>
      </c>
      <c r="BI5127" s="1">
        <v>303108</v>
      </c>
      <c r="BJ5127" s="3">
        <v>42012</v>
      </c>
      <c r="BK5127" t="s">
        <v>123</v>
      </c>
      <c r="BL5127" t="str">
        <f>"2015.11265"</f>
        <v>2015.11265</v>
      </c>
      <c r="BM5127" t="s">
        <v>1695</v>
      </c>
      <c r="BO5127" t="s">
        <v>31792</v>
      </c>
      <c r="BS5127">
        <v>30</v>
      </c>
      <c r="BW5127" t="str">
        <f>""</f>
        <v/>
      </c>
      <c r="CH5127" t="str">
        <f>""</f>
        <v/>
      </c>
      <c r="CS5127" t="str">
        <f>""</f>
        <v/>
      </c>
    </row>
    <row r="5128" spans="1:97" x14ac:dyDescent="0.25">
      <c r="A5128" t="s">
        <v>140</v>
      </c>
      <c r="B5128" t="s">
        <v>578</v>
      </c>
      <c r="C5128" t="s">
        <v>15655</v>
      </c>
      <c r="D5128" t="s">
        <v>578</v>
      </c>
      <c r="E5128" t="s">
        <v>31793</v>
      </c>
      <c r="F5128" t="s">
        <v>108</v>
      </c>
      <c r="H5128" t="s">
        <v>31794</v>
      </c>
      <c r="I5128" t="s">
        <v>225</v>
      </c>
      <c r="J5128" t="s">
        <v>111</v>
      </c>
      <c r="K5128" t="str">
        <f>"85206"</f>
        <v>85206</v>
      </c>
      <c r="L5128" t="s">
        <v>1789</v>
      </c>
      <c r="M5128" t="s">
        <v>31794</v>
      </c>
      <c r="N5128" t="s">
        <v>225</v>
      </c>
      <c r="O5128" t="s">
        <v>111</v>
      </c>
      <c r="P5128" t="str">
        <f>"85206-3206"</f>
        <v>85206-3206</v>
      </c>
      <c r="Q5128" t="s">
        <v>113</v>
      </c>
      <c r="R5128" t="str">
        <f>"140-56-036"</f>
        <v>140-56-036</v>
      </c>
      <c r="S5128" t="s">
        <v>31795</v>
      </c>
      <c r="T5128" t="s">
        <v>31796</v>
      </c>
      <c r="U5128">
        <v>3395</v>
      </c>
      <c r="V5128">
        <v>0</v>
      </c>
      <c r="W5128">
        <v>5</v>
      </c>
      <c r="X5128">
        <v>1980</v>
      </c>
      <c r="Z5128">
        <v>2</v>
      </c>
      <c r="AA5128" t="s">
        <v>26</v>
      </c>
      <c r="AB5128">
        <v>0</v>
      </c>
      <c r="AC5128" t="s">
        <v>115</v>
      </c>
      <c r="AD5128">
        <v>2</v>
      </c>
      <c r="AE5128" t="s">
        <v>115</v>
      </c>
      <c r="AF5128">
        <v>0</v>
      </c>
      <c r="AG5128">
        <v>0</v>
      </c>
      <c r="AH5128" t="s">
        <v>116</v>
      </c>
      <c r="AI5128" s="1">
        <v>73855</v>
      </c>
      <c r="AJ5128" s="2">
        <v>0.15</v>
      </c>
      <c r="AK5128" s="1">
        <v>499451</v>
      </c>
      <c r="AL5128" t="s">
        <v>117</v>
      </c>
      <c r="AM5128" t="s">
        <v>1521</v>
      </c>
      <c r="AN5128">
        <v>18207</v>
      </c>
      <c r="AO5128">
        <v>0.42</v>
      </c>
      <c r="AP5128">
        <v>1</v>
      </c>
      <c r="AR5128">
        <v>1</v>
      </c>
      <c r="AS5128" s="1">
        <v>37550</v>
      </c>
      <c r="AT5128" s="1">
        <v>7510</v>
      </c>
      <c r="AU5128" s="1">
        <v>30040</v>
      </c>
      <c r="AV5128">
        <v>80</v>
      </c>
      <c r="AX5128" s="1">
        <v>2570.6</v>
      </c>
      <c r="AY5128" t="s">
        <v>6934</v>
      </c>
      <c r="AZ5128" t="s">
        <v>5158</v>
      </c>
      <c r="BA5128" t="s">
        <v>5159</v>
      </c>
      <c r="BE5128" s="3">
        <v>42436</v>
      </c>
      <c r="BF5128" s="1">
        <v>412000</v>
      </c>
      <c r="BG5128" t="s">
        <v>31797</v>
      </c>
      <c r="BH5128" s="1">
        <v>121.35</v>
      </c>
      <c r="BI5128" s="1">
        <v>425596</v>
      </c>
      <c r="BJ5128" s="3">
        <v>42436</v>
      </c>
      <c r="BK5128" t="s">
        <v>123</v>
      </c>
      <c r="BL5128" t="str">
        <f>"2016.146101"</f>
        <v>2016.146101</v>
      </c>
      <c r="BM5128" t="s">
        <v>6116</v>
      </c>
      <c r="BO5128" t="s">
        <v>31798</v>
      </c>
      <c r="BS5128">
        <v>30</v>
      </c>
      <c r="BW5128" t="str">
        <f>""</f>
        <v/>
      </c>
      <c r="CH5128" t="str">
        <f>""</f>
        <v/>
      </c>
      <c r="CS5128" t="str">
        <f>""</f>
        <v/>
      </c>
    </row>
    <row r="5129" spans="1:97" x14ac:dyDescent="0.25">
      <c r="A5129" t="s">
        <v>1067</v>
      </c>
      <c r="B5129" t="s">
        <v>2018</v>
      </c>
      <c r="C5129" t="s">
        <v>31799</v>
      </c>
      <c r="D5129" t="s">
        <v>2018</v>
      </c>
      <c r="E5129" t="s">
        <v>31800</v>
      </c>
      <c r="F5129" t="s">
        <v>108</v>
      </c>
      <c r="H5129" t="s">
        <v>31801</v>
      </c>
      <c r="I5129" t="s">
        <v>1936</v>
      </c>
      <c r="J5129" t="s">
        <v>111</v>
      </c>
      <c r="K5129" t="str">
        <f>"85254"</f>
        <v>85254</v>
      </c>
      <c r="L5129" t="s">
        <v>3982</v>
      </c>
      <c r="M5129" t="s">
        <v>31801</v>
      </c>
      <c r="N5129" t="s">
        <v>1936</v>
      </c>
      <c r="O5129" t="s">
        <v>111</v>
      </c>
      <c r="P5129" t="str">
        <f>"85254-2448"</f>
        <v>85254-2448</v>
      </c>
      <c r="Q5129" t="s">
        <v>113</v>
      </c>
      <c r="R5129" t="str">
        <f>"215-63-304"</f>
        <v>215-63-304</v>
      </c>
      <c r="S5129" t="s">
        <v>31802</v>
      </c>
      <c r="T5129" t="s">
        <v>31803</v>
      </c>
      <c r="U5129">
        <v>2889</v>
      </c>
      <c r="V5129">
        <v>0</v>
      </c>
      <c r="W5129">
        <v>4</v>
      </c>
      <c r="X5129">
        <v>1989</v>
      </c>
      <c r="Z5129">
        <v>2</v>
      </c>
      <c r="AA5129" t="s">
        <v>26</v>
      </c>
      <c r="AB5129">
        <v>0</v>
      </c>
      <c r="AC5129" t="s">
        <v>115</v>
      </c>
      <c r="AD5129">
        <v>3</v>
      </c>
      <c r="AE5129" t="s">
        <v>115</v>
      </c>
      <c r="AF5129">
        <v>0</v>
      </c>
      <c r="AG5129">
        <v>0</v>
      </c>
      <c r="AH5129" t="s">
        <v>116</v>
      </c>
      <c r="AI5129" s="1">
        <v>36888</v>
      </c>
      <c r="AJ5129" s="2">
        <v>7.0000000000000007E-2</v>
      </c>
      <c r="AK5129" s="1">
        <v>529170</v>
      </c>
      <c r="AL5129" t="s">
        <v>117</v>
      </c>
      <c r="AM5129" t="s">
        <v>1302</v>
      </c>
      <c r="AN5129">
        <v>11789</v>
      </c>
      <c r="AO5129">
        <v>0.27</v>
      </c>
      <c r="AP5129">
        <v>1</v>
      </c>
      <c r="AR5129">
        <v>1</v>
      </c>
      <c r="AS5129" s="1">
        <v>39010</v>
      </c>
      <c r="AT5129" s="1">
        <v>7800</v>
      </c>
      <c r="AU5129" s="1">
        <v>31210</v>
      </c>
      <c r="AV5129">
        <v>80.010000000000005</v>
      </c>
      <c r="AX5129" s="1">
        <v>3539.78</v>
      </c>
      <c r="AY5129" t="s">
        <v>7738</v>
      </c>
      <c r="AZ5129" t="s">
        <v>7739</v>
      </c>
      <c r="BA5129" t="s">
        <v>6302</v>
      </c>
      <c r="BE5129" s="3">
        <v>42433</v>
      </c>
      <c r="BF5129" s="1">
        <v>432000</v>
      </c>
      <c r="BG5129" t="s">
        <v>31804</v>
      </c>
      <c r="BH5129" s="1">
        <v>149.53</v>
      </c>
      <c r="BI5129" s="1">
        <v>442382</v>
      </c>
      <c r="BJ5129" s="3">
        <v>42433</v>
      </c>
      <c r="BK5129" t="s">
        <v>123</v>
      </c>
      <c r="BL5129" t="str">
        <f>"2016.141628"</f>
        <v>2016.141628</v>
      </c>
      <c r="BM5129" t="s">
        <v>820</v>
      </c>
      <c r="BO5129" t="s">
        <v>31805</v>
      </c>
      <c r="BS5129">
        <v>30</v>
      </c>
      <c r="BT5129" s="1">
        <v>49900</v>
      </c>
      <c r="BU5129" s="3">
        <v>42892</v>
      </c>
      <c r="BW5129" t="str">
        <f>"2017.409945"</f>
        <v>2017.409945</v>
      </c>
      <c r="BX5129" t="s">
        <v>7916</v>
      </c>
      <c r="BZ5129" t="s">
        <v>31806</v>
      </c>
      <c r="CD5129">
        <v>15</v>
      </c>
      <c r="CH5129" t="str">
        <f>""</f>
        <v/>
      </c>
      <c r="CS5129" t="str">
        <f>""</f>
        <v/>
      </c>
    </row>
    <row r="5130" spans="1:97" x14ac:dyDescent="0.25">
      <c r="A5130" t="s">
        <v>1514</v>
      </c>
      <c r="B5130" t="s">
        <v>31807</v>
      </c>
      <c r="C5130" t="s">
        <v>28531</v>
      </c>
      <c r="D5130" t="s">
        <v>31807</v>
      </c>
      <c r="E5130" t="s">
        <v>31808</v>
      </c>
      <c r="F5130" t="s">
        <v>108</v>
      </c>
      <c r="H5130" t="s">
        <v>31809</v>
      </c>
      <c r="I5130" t="s">
        <v>110</v>
      </c>
      <c r="J5130" t="s">
        <v>111</v>
      </c>
      <c r="K5130" t="str">
        <f>"85249"</f>
        <v>85249</v>
      </c>
      <c r="L5130" t="s">
        <v>681</v>
      </c>
      <c r="M5130" t="s">
        <v>31809</v>
      </c>
      <c r="N5130" t="s">
        <v>110</v>
      </c>
      <c r="O5130" t="s">
        <v>111</v>
      </c>
      <c r="P5130" t="str">
        <f>"85249-3188"</f>
        <v>85249-3188</v>
      </c>
      <c r="Q5130" t="s">
        <v>113</v>
      </c>
      <c r="R5130" t="str">
        <f>"303-45-305"</f>
        <v>303-45-305</v>
      </c>
      <c r="S5130" t="s">
        <v>31810</v>
      </c>
      <c r="T5130" t="s">
        <v>31811</v>
      </c>
      <c r="U5130">
        <v>3925</v>
      </c>
      <c r="V5130">
        <v>0</v>
      </c>
      <c r="W5130">
        <v>5</v>
      </c>
      <c r="X5130">
        <v>2000</v>
      </c>
      <c r="Z5130">
        <v>2</v>
      </c>
      <c r="AA5130" t="s">
        <v>26</v>
      </c>
      <c r="AB5130">
        <v>0</v>
      </c>
      <c r="AC5130" t="s">
        <v>115</v>
      </c>
      <c r="AD5130">
        <v>3</v>
      </c>
      <c r="AE5130" t="s">
        <v>115</v>
      </c>
      <c r="AF5130">
        <v>0</v>
      </c>
      <c r="AG5130">
        <v>0</v>
      </c>
      <c r="AH5130" t="s">
        <v>116</v>
      </c>
      <c r="AI5130" s="1">
        <v>111956</v>
      </c>
      <c r="AJ5130" s="2">
        <v>0.22</v>
      </c>
      <c r="AK5130" s="1">
        <v>507956</v>
      </c>
      <c r="AL5130" t="s">
        <v>117</v>
      </c>
      <c r="AM5130" t="s">
        <v>1302</v>
      </c>
      <c r="AN5130">
        <v>9995</v>
      </c>
      <c r="AO5130">
        <v>0.23</v>
      </c>
      <c r="AP5130">
        <v>1</v>
      </c>
      <c r="AR5130">
        <v>1</v>
      </c>
      <c r="AS5130" s="1">
        <v>35230</v>
      </c>
      <c r="AT5130" s="1">
        <v>7040</v>
      </c>
      <c r="AU5130" s="1">
        <v>28190</v>
      </c>
      <c r="AV5130">
        <v>80.02</v>
      </c>
      <c r="AX5130" s="1">
        <v>3506.48</v>
      </c>
      <c r="AY5130" t="s">
        <v>6854</v>
      </c>
      <c r="AZ5130" t="s">
        <v>120</v>
      </c>
      <c r="BA5130" t="s">
        <v>274</v>
      </c>
      <c r="BE5130" s="3">
        <v>42485</v>
      </c>
      <c r="BF5130" s="1">
        <v>396000</v>
      </c>
      <c r="BG5130" t="s">
        <v>31812</v>
      </c>
      <c r="BH5130" s="1">
        <v>100.89</v>
      </c>
      <c r="BI5130" s="1">
        <v>396000</v>
      </c>
      <c r="BJ5130" s="3">
        <v>42485</v>
      </c>
      <c r="BK5130" t="s">
        <v>123</v>
      </c>
      <c r="BL5130" t="str">
        <f>"2016.276406"</f>
        <v>2016.276406</v>
      </c>
      <c r="BM5130" t="s">
        <v>5348</v>
      </c>
      <c r="BO5130" t="s">
        <v>31813</v>
      </c>
      <c r="BS5130">
        <v>30</v>
      </c>
      <c r="BW5130" t="str">
        <f>""</f>
        <v/>
      </c>
      <c r="CH5130" t="str">
        <f>""</f>
        <v/>
      </c>
      <c r="CS5130" t="str">
        <f>""</f>
        <v/>
      </c>
    </row>
    <row r="5131" spans="1:97" x14ac:dyDescent="0.25">
      <c r="B5131" t="s">
        <v>31814</v>
      </c>
      <c r="C5131" t="s">
        <v>3543</v>
      </c>
      <c r="E5131" t="s">
        <v>31815</v>
      </c>
      <c r="F5131" t="s">
        <v>108</v>
      </c>
      <c r="H5131" t="s">
        <v>31816</v>
      </c>
      <c r="I5131" t="s">
        <v>390</v>
      </c>
      <c r="J5131" t="s">
        <v>111</v>
      </c>
      <c r="K5131" t="str">
        <f>"85022"</f>
        <v>85022</v>
      </c>
      <c r="L5131" t="s">
        <v>2903</v>
      </c>
      <c r="M5131" t="s">
        <v>31816</v>
      </c>
      <c r="N5131" t="s">
        <v>390</v>
      </c>
      <c r="O5131" t="s">
        <v>111</v>
      </c>
      <c r="P5131" t="str">
        <f>"85022-3384"</f>
        <v>85022-3384</v>
      </c>
      <c r="Q5131" t="s">
        <v>113</v>
      </c>
      <c r="R5131" t="str">
        <f>"214-19-344"</f>
        <v>214-19-344</v>
      </c>
      <c r="S5131" t="s">
        <v>31817</v>
      </c>
      <c r="T5131" t="s">
        <v>31818</v>
      </c>
      <c r="U5131">
        <v>2383</v>
      </c>
      <c r="V5131">
        <v>0</v>
      </c>
      <c r="W5131">
        <v>3</v>
      </c>
      <c r="X5131">
        <v>1995</v>
      </c>
      <c r="Z5131">
        <v>1</v>
      </c>
      <c r="AB5131">
        <v>0</v>
      </c>
      <c r="AC5131" t="s">
        <v>115</v>
      </c>
      <c r="AD5131">
        <v>3</v>
      </c>
      <c r="AE5131" t="s">
        <v>115</v>
      </c>
      <c r="AF5131">
        <v>0</v>
      </c>
      <c r="AG5131">
        <v>0</v>
      </c>
      <c r="AH5131" t="s">
        <v>116</v>
      </c>
      <c r="AI5131" s="1">
        <v>52314</v>
      </c>
      <c r="AJ5131" s="2">
        <v>0.12</v>
      </c>
      <c r="AK5131" s="1">
        <v>439814</v>
      </c>
      <c r="AL5131" t="s">
        <v>117</v>
      </c>
      <c r="AM5131" t="s">
        <v>171</v>
      </c>
      <c r="AN5131">
        <v>7803</v>
      </c>
      <c r="AO5131">
        <v>0.18</v>
      </c>
      <c r="AP5131">
        <v>1</v>
      </c>
      <c r="AR5131">
        <v>1</v>
      </c>
      <c r="AS5131" s="1">
        <v>31910</v>
      </c>
      <c r="AT5131" s="1">
        <v>6380</v>
      </c>
      <c r="AU5131" s="1">
        <v>25530</v>
      </c>
      <c r="AV5131">
        <v>80.010000000000005</v>
      </c>
      <c r="AX5131" s="1">
        <v>3026.54</v>
      </c>
      <c r="AY5131" t="s">
        <v>5442</v>
      </c>
      <c r="AZ5131" t="s">
        <v>5231</v>
      </c>
      <c r="BA5131" t="s">
        <v>2551</v>
      </c>
      <c r="BB5131" s="3">
        <v>43550</v>
      </c>
      <c r="BC5131" s="1">
        <v>0</v>
      </c>
      <c r="BD5131" t="s">
        <v>247</v>
      </c>
      <c r="BE5131" s="3">
        <v>42459</v>
      </c>
      <c r="BF5131" s="1">
        <v>387500</v>
      </c>
      <c r="BG5131" t="s">
        <v>31819</v>
      </c>
      <c r="BH5131" s="1">
        <v>162.61000000000001</v>
      </c>
      <c r="BI5131" s="1">
        <v>387500</v>
      </c>
      <c r="BJ5131" s="3">
        <v>42459</v>
      </c>
      <c r="BK5131" t="s">
        <v>123</v>
      </c>
      <c r="BL5131" t="str">
        <f>"2016.207008"</f>
        <v>2016.207008</v>
      </c>
      <c r="BM5131" t="s">
        <v>724</v>
      </c>
      <c r="BN5131" t="s">
        <v>5423</v>
      </c>
      <c r="BO5131" t="s">
        <v>31820</v>
      </c>
      <c r="BP5131" t="s">
        <v>31821</v>
      </c>
      <c r="BS5131">
        <v>30</v>
      </c>
      <c r="BW5131" t="str">
        <f>""</f>
        <v/>
      </c>
      <c r="CH5131" t="str">
        <f>""</f>
        <v/>
      </c>
      <c r="CS5131" t="str">
        <f>""</f>
        <v/>
      </c>
    </row>
    <row r="5132" spans="1:97" x14ac:dyDescent="0.25">
      <c r="A5132" t="s">
        <v>31822</v>
      </c>
      <c r="B5132" t="s">
        <v>31823</v>
      </c>
      <c r="C5132" t="s">
        <v>4026</v>
      </c>
      <c r="D5132" t="s">
        <v>31823</v>
      </c>
      <c r="E5132" t="s">
        <v>31824</v>
      </c>
      <c r="F5132" t="s">
        <v>108</v>
      </c>
      <c r="H5132" t="s">
        <v>31825</v>
      </c>
      <c r="I5132" t="s">
        <v>499</v>
      </c>
      <c r="J5132" t="s">
        <v>111</v>
      </c>
      <c r="K5132" t="str">
        <f>"85395"</f>
        <v>85395</v>
      </c>
      <c r="L5132" t="s">
        <v>541</v>
      </c>
      <c r="M5132" t="s">
        <v>31825</v>
      </c>
      <c r="N5132" t="s">
        <v>499</v>
      </c>
      <c r="O5132" t="s">
        <v>111</v>
      </c>
      <c r="P5132" t="str">
        <f>"85395-7640"</f>
        <v>85395-7640</v>
      </c>
      <c r="Q5132" t="s">
        <v>113</v>
      </c>
      <c r="R5132" t="str">
        <f>"508-11-538"</f>
        <v>508-11-538</v>
      </c>
      <c r="S5132" t="s">
        <v>5752</v>
      </c>
      <c r="T5132" t="s">
        <v>5753</v>
      </c>
      <c r="U5132">
        <v>3634</v>
      </c>
      <c r="V5132">
        <v>0</v>
      </c>
      <c r="W5132">
        <v>5</v>
      </c>
      <c r="X5132">
        <v>2013</v>
      </c>
      <c r="Z5132">
        <v>1</v>
      </c>
      <c r="AA5132" t="s">
        <v>26</v>
      </c>
      <c r="AB5132">
        <v>0</v>
      </c>
      <c r="AC5132" t="s">
        <v>115</v>
      </c>
      <c r="AD5132">
        <v>3</v>
      </c>
      <c r="AE5132" t="s">
        <v>115</v>
      </c>
      <c r="AF5132">
        <v>0</v>
      </c>
      <c r="AG5132">
        <v>0</v>
      </c>
      <c r="AH5132" t="s">
        <v>116</v>
      </c>
      <c r="AI5132" s="1">
        <v>84597</v>
      </c>
      <c r="AJ5132" s="2">
        <v>0.16</v>
      </c>
      <c r="AK5132" s="1">
        <v>536830</v>
      </c>
      <c r="AL5132" t="s">
        <v>117</v>
      </c>
      <c r="AM5132" t="s">
        <v>118</v>
      </c>
      <c r="AN5132">
        <v>12000</v>
      </c>
      <c r="AO5132">
        <v>0.28000000000000003</v>
      </c>
      <c r="AR5132">
        <v>1</v>
      </c>
      <c r="AS5132" s="1">
        <v>41830</v>
      </c>
      <c r="AT5132" s="1">
        <v>8360</v>
      </c>
      <c r="AU5132" s="1">
        <v>33470</v>
      </c>
      <c r="AV5132">
        <v>80.010000000000005</v>
      </c>
      <c r="AX5132" s="1">
        <v>4639.68</v>
      </c>
      <c r="AY5132" t="s">
        <v>3019</v>
      </c>
      <c r="AZ5132" t="s">
        <v>3020</v>
      </c>
      <c r="BA5132" t="s">
        <v>218</v>
      </c>
      <c r="BE5132" s="3">
        <v>42509</v>
      </c>
      <c r="BF5132" s="1">
        <v>469000</v>
      </c>
      <c r="BG5132" t="s">
        <v>17736</v>
      </c>
      <c r="BH5132" s="1">
        <v>129.06</v>
      </c>
      <c r="BI5132" s="1">
        <v>452233</v>
      </c>
      <c r="BJ5132" s="3">
        <v>42509</v>
      </c>
      <c r="BK5132" t="s">
        <v>123</v>
      </c>
      <c r="BL5132" t="str">
        <f>"2016.345191"</f>
        <v>2016.345191</v>
      </c>
      <c r="BM5132" t="s">
        <v>131</v>
      </c>
      <c r="BO5132" t="s">
        <v>31826</v>
      </c>
      <c r="BS5132">
        <v>30</v>
      </c>
      <c r="BW5132" t="str">
        <f>""</f>
        <v/>
      </c>
      <c r="CH5132" t="str">
        <f>""</f>
        <v/>
      </c>
      <c r="CS5132" t="str">
        <f>""</f>
        <v/>
      </c>
    </row>
    <row r="5133" spans="1:97" x14ac:dyDescent="0.25">
      <c r="A5133" t="s">
        <v>6488</v>
      </c>
      <c r="B5133" t="s">
        <v>31827</v>
      </c>
      <c r="C5133" t="s">
        <v>496</v>
      </c>
      <c r="D5133" t="s">
        <v>31827</v>
      </c>
      <c r="E5133" t="s">
        <v>31828</v>
      </c>
      <c r="F5133" t="s">
        <v>108</v>
      </c>
      <c r="H5133" t="s">
        <v>31829</v>
      </c>
      <c r="I5133" t="s">
        <v>390</v>
      </c>
      <c r="J5133" t="s">
        <v>111</v>
      </c>
      <c r="K5133" t="str">
        <f>"85016"</f>
        <v>85016</v>
      </c>
      <c r="L5133" t="s">
        <v>2963</v>
      </c>
      <c r="M5133" t="s">
        <v>31829</v>
      </c>
      <c r="N5133" t="s">
        <v>390</v>
      </c>
      <c r="O5133" t="s">
        <v>111</v>
      </c>
      <c r="P5133" t="str">
        <f>"85016-1518"</f>
        <v>85016-1518</v>
      </c>
      <c r="Q5133" t="s">
        <v>113</v>
      </c>
      <c r="R5133" t="str">
        <f>"164-38-024"</f>
        <v>164-38-024</v>
      </c>
      <c r="S5133" t="s">
        <v>31830</v>
      </c>
      <c r="T5133" t="s">
        <v>31831</v>
      </c>
      <c r="U5133">
        <v>2200</v>
      </c>
      <c r="V5133">
        <v>0</v>
      </c>
      <c r="W5133">
        <v>2</v>
      </c>
      <c r="X5133">
        <v>1959</v>
      </c>
      <c r="Z5133">
        <v>1</v>
      </c>
      <c r="AA5133" t="s">
        <v>26</v>
      </c>
      <c r="AB5133">
        <v>0</v>
      </c>
      <c r="AC5133" t="s">
        <v>115</v>
      </c>
      <c r="AD5133">
        <v>4</v>
      </c>
      <c r="AE5133" t="s">
        <v>115</v>
      </c>
      <c r="AF5133">
        <v>0</v>
      </c>
      <c r="AG5133">
        <v>0</v>
      </c>
      <c r="AH5133" t="s">
        <v>116</v>
      </c>
      <c r="AI5133" s="1">
        <v>141243</v>
      </c>
      <c r="AJ5133" s="2">
        <v>0.25</v>
      </c>
      <c r="AK5133" s="1">
        <v>554778</v>
      </c>
      <c r="AL5133" t="s">
        <v>117</v>
      </c>
      <c r="AM5133" t="s">
        <v>1302</v>
      </c>
      <c r="AN5133">
        <v>15625</v>
      </c>
      <c r="AO5133">
        <v>0.36</v>
      </c>
      <c r="AP5133">
        <v>1</v>
      </c>
      <c r="AR5133">
        <v>1</v>
      </c>
      <c r="AS5133" s="1">
        <v>40780</v>
      </c>
      <c r="AT5133" s="1">
        <v>8150</v>
      </c>
      <c r="AU5133" s="1">
        <v>32630</v>
      </c>
      <c r="AV5133">
        <v>80.010000000000005</v>
      </c>
      <c r="AX5133" s="1">
        <v>4023.4</v>
      </c>
      <c r="AY5133" t="s">
        <v>6253</v>
      </c>
      <c r="AZ5133" t="s">
        <v>6254</v>
      </c>
      <c r="BA5133" t="s">
        <v>5469</v>
      </c>
      <c r="BE5133" s="3">
        <v>41849</v>
      </c>
      <c r="BF5133" s="1">
        <v>425000</v>
      </c>
      <c r="BG5133" t="s">
        <v>31832</v>
      </c>
      <c r="BH5133" s="1">
        <v>193.18</v>
      </c>
      <c r="BI5133" s="1">
        <v>413535</v>
      </c>
      <c r="BJ5133" s="3">
        <v>42583</v>
      </c>
      <c r="BK5133" t="s">
        <v>123</v>
      </c>
      <c r="BL5133" t="str">
        <f>"2016.542668"</f>
        <v>2016.542668</v>
      </c>
      <c r="BM5133" t="s">
        <v>1695</v>
      </c>
      <c r="BO5133" t="s">
        <v>31833</v>
      </c>
      <c r="BS5133">
        <v>20</v>
      </c>
      <c r="BW5133" t="str">
        <f>""</f>
        <v/>
      </c>
      <c r="CH5133" t="str">
        <f>""</f>
        <v/>
      </c>
      <c r="CS5133" t="str">
        <f>""</f>
        <v/>
      </c>
    </row>
    <row r="5134" spans="1:97" x14ac:dyDescent="0.25">
      <c r="A5134" t="s">
        <v>31834</v>
      </c>
      <c r="B5134" t="s">
        <v>585</v>
      </c>
      <c r="C5134" t="s">
        <v>484</v>
      </c>
      <c r="D5134" t="s">
        <v>585</v>
      </c>
      <c r="E5134" t="s">
        <v>31835</v>
      </c>
      <c r="F5134" t="s">
        <v>108</v>
      </c>
      <c r="H5134" t="s">
        <v>31836</v>
      </c>
      <c r="I5134" t="s">
        <v>225</v>
      </c>
      <c r="J5134" t="s">
        <v>111</v>
      </c>
      <c r="K5134" t="str">
        <f>"85212"</f>
        <v>85212</v>
      </c>
      <c r="L5134" t="s">
        <v>567</v>
      </c>
      <c r="M5134" t="s">
        <v>31836</v>
      </c>
      <c r="N5134" t="s">
        <v>225</v>
      </c>
      <c r="O5134" t="s">
        <v>111</v>
      </c>
      <c r="P5134" t="str">
        <f>"85212-1520"</f>
        <v>85212-1520</v>
      </c>
      <c r="Q5134" t="s">
        <v>113</v>
      </c>
      <c r="R5134" t="str">
        <f>"304-04-316"</f>
        <v>304-04-316</v>
      </c>
      <c r="S5134" t="s">
        <v>31837</v>
      </c>
      <c r="U5134">
        <v>1948</v>
      </c>
      <c r="V5134">
        <v>0</v>
      </c>
      <c r="W5134">
        <v>3</v>
      </c>
      <c r="X5134">
        <v>1997</v>
      </c>
      <c r="Z5134">
        <v>1</v>
      </c>
      <c r="AA5134" t="s">
        <v>26</v>
      </c>
      <c r="AB5134">
        <v>0</v>
      </c>
      <c r="AC5134" t="s">
        <v>115</v>
      </c>
      <c r="AD5134">
        <v>3</v>
      </c>
      <c r="AE5134" t="s">
        <v>115</v>
      </c>
      <c r="AF5134">
        <v>0</v>
      </c>
      <c r="AG5134">
        <v>0</v>
      </c>
      <c r="AH5134" t="s">
        <v>116</v>
      </c>
      <c r="AI5134" s="1">
        <v>71777</v>
      </c>
      <c r="AJ5134" s="2">
        <v>0.21</v>
      </c>
      <c r="AK5134" s="1">
        <v>344517</v>
      </c>
      <c r="AL5134" t="s">
        <v>117</v>
      </c>
      <c r="AM5134" t="s">
        <v>393</v>
      </c>
      <c r="AN5134">
        <v>8268</v>
      </c>
      <c r="AO5134">
        <v>0.19</v>
      </c>
      <c r="AP5134">
        <v>1</v>
      </c>
      <c r="AR5134">
        <v>1</v>
      </c>
      <c r="AS5134" s="1">
        <v>23050</v>
      </c>
      <c r="AT5134" s="1">
        <v>4610</v>
      </c>
      <c r="AU5134" s="1">
        <v>18440</v>
      </c>
      <c r="AV5134">
        <v>80</v>
      </c>
      <c r="AX5134" s="1">
        <v>1662.84</v>
      </c>
      <c r="AY5134" t="s">
        <v>570</v>
      </c>
      <c r="AZ5134" t="s">
        <v>777</v>
      </c>
      <c r="BA5134" t="s">
        <v>572</v>
      </c>
      <c r="BE5134" s="3">
        <v>42297</v>
      </c>
      <c r="BF5134" s="1">
        <v>267000</v>
      </c>
      <c r="BG5134" t="s">
        <v>31838</v>
      </c>
      <c r="BH5134" s="1">
        <v>137.06</v>
      </c>
      <c r="BI5134" s="1">
        <v>272740</v>
      </c>
      <c r="BJ5134" s="3">
        <v>42297</v>
      </c>
      <c r="BK5134" t="s">
        <v>123</v>
      </c>
      <c r="BL5134" t="str">
        <f>"2015.753841"</f>
        <v>2015.753841</v>
      </c>
      <c r="BM5134" t="s">
        <v>31839</v>
      </c>
      <c r="BO5134" t="s">
        <v>31840</v>
      </c>
      <c r="BS5134">
        <v>30</v>
      </c>
      <c r="BW5134" t="str">
        <f>""</f>
        <v/>
      </c>
      <c r="CH5134" t="str">
        <f>""</f>
        <v/>
      </c>
      <c r="CS5134" t="str">
        <f>""</f>
        <v/>
      </c>
    </row>
    <row r="5135" spans="1:97" x14ac:dyDescent="0.25">
      <c r="A5135" t="s">
        <v>370</v>
      </c>
      <c r="B5135" t="s">
        <v>464</v>
      </c>
      <c r="C5135" t="s">
        <v>1181</v>
      </c>
      <c r="D5135" t="s">
        <v>464</v>
      </c>
      <c r="E5135" t="s">
        <v>31841</v>
      </c>
      <c r="F5135" t="s">
        <v>108</v>
      </c>
      <c r="H5135" t="s">
        <v>31842</v>
      </c>
      <c r="I5135" t="s">
        <v>2874</v>
      </c>
      <c r="J5135" t="s">
        <v>111</v>
      </c>
      <c r="K5135" t="str">
        <f>"85310"</f>
        <v>85310</v>
      </c>
      <c r="L5135" t="s">
        <v>5910</v>
      </c>
      <c r="M5135" t="s">
        <v>31842</v>
      </c>
      <c r="N5135" t="s">
        <v>2874</v>
      </c>
      <c r="O5135" t="s">
        <v>111</v>
      </c>
      <c r="P5135" t="str">
        <f>"85310-2771"</f>
        <v>85310-2771</v>
      </c>
      <c r="Q5135" t="s">
        <v>113</v>
      </c>
      <c r="R5135" t="str">
        <f>"201-12-706"</f>
        <v>201-12-706</v>
      </c>
      <c r="S5135" t="s">
        <v>19396</v>
      </c>
      <c r="T5135" t="s">
        <v>19396</v>
      </c>
      <c r="U5135">
        <v>3120</v>
      </c>
      <c r="V5135">
        <v>0</v>
      </c>
      <c r="W5135">
        <v>4</v>
      </c>
      <c r="X5135">
        <v>2003</v>
      </c>
      <c r="Z5135">
        <v>2</v>
      </c>
      <c r="AA5135" t="s">
        <v>26</v>
      </c>
      <c r="AB5135">
        <v>0</v>
      </c>
      <c r="AC5135" t="s">
        <v>115</v>
      </c>
      <c r="AD5135">
        <v>2</v>
      </c>
      <c r="AE5135" t="s">
        <v>115</v>
      </c>
      <c r="AF5135">
        <v>0</v>
      </c>
      <c r="AG5135">
        <v>0</v>
      </c>
      <c r="AH5135" t="s">
        <v>116</v>
      </c>
      <c r="AI5135" s="1">
        <v>120617</v>
      </c>
      <c r="AJ5135" s="2">
        <v>0.28000000000000003</v>
      </c>
      <c r="AK5135" s="1">
        <v>430442</v>
      </c>
      <c r="AL5135" t="s">
        <v>117</v>
      </c>
      <c r="AM5135" t="s">
        <v>760</v>
      </c>
      <c r="AN5135">
        <v>7500</v>
      </c>
      <c r="AO5135">
        <v>0.17</v>
      </c>
      <c r="AP5135">
        <v>1</v>
      </c>
      <c r="AR5135">
        <v>1</v>
      </c>
      <c r="AS5135" s="1">
        <v>31170</v>
      </c>
      <c r="AT5135" s="1">
        <v>6230</v>
      </c>
      <c r="AU5135" s="1">
        <v>24940</v>
      </c>
      <c r="AV5135">
        <v>80.010000000000005</v>
      </c>
      <c r="AX5135" s="1">
        <v>2865.58</v>
      </c>
      <c r="AY5135" t="s">
        <v>5125</v>
      </c>
      <c r="AZ5135" t="s">
        <v>3049</v>
      </c>
      <c r="BA5135" t="s">
        <v>1386</v>
      </c>
      <c r="BE5135" s="3">
        <v>42432</v>
      </c>
      <c r="BF5135" s="1">
        <v>340000</v>
      </c>
      <c r="BG5135" t="s">
        <v>31843</v>
      </c>
      <c r="BH5135" s="1">
        <v>108.97</v>
      </c>
      <c r="BI5135" s="1">
        <v>309825</v>
      </c>
      <c r="BJ5135" s="3">
        <v>42432</v>
      </c>
      <c r="BK5135" t="s">
        <v>123</v>
      </c>
      <c r="BL5135" t="str">
        <f>"2016.139472"</f>
        <v>2016.139472</v>
      </c>
      <c r="BM5135" t="s">
        <v>724</v>
      </c>
      <c r="BO5135" t="s">
        <v>31844</v>
      </c>
      <c r="BS5135">
        <v>30</v>
      </c>
      <c r="BW5135" t="str">
        <f>""</f>
        <v/>
      </c>
      <c r="CH5135" t="str">
        <f>""</f>
        <v/>
      </c>
      <c r="CS5135" t="str">
        <f>""</f>
        <v/>
      </c>
    </row>
    <row r="5136" spans="1:97" x14ac:dyDescent="0.25">
      <c r="A5136" t="s">
        <v>3089</v>
      </c>
      <c r="B5136" t="s">
        <v>15598</v>
      </c>
      <c r="C5136" t="s">
        <v>1496</v>
      </c>
      <c r="D5136" t="s">
        <v>15598</v>
      </c>
      <c r="E5136" t="s">
        <v>31845</v>
      </c>
      <c r="F5136" t="s">
        <v>108</v>
      </c>
      <c r="H5136" t="s">
        <v>31846</v>
      </c>
      <c r="I5136" t="s">
        <v>144</v>
      </c>
      <c r="J5136" t="s">
        <v>111</v>
      </c>
      <c r="K5136" t="str">
        <f>"85396"</f>
        <v>85396</v>
      </c>
      <c r="L5136" t="s">
        <v>1244</v>
      </c>
      <c r="M5136" t="s">
        <v>31846</v>
      </c>
      <c r="N5136" t="s">
        <v>144</v>
      </c>
      <c r="O5136" t="s">
        <v>111</v>
      </c>
      <c r="P5136" t="str">
        <f>"85396-7791"</f>
        <v>85396-7791</v>
      </c>
      <c r="Q5136" t="s">
        <v>113</v>
      </c>
      <c r="R5136" t="str">
        <f>"502-81-084"</f>
        <v>502-81-084</v>
      </c>
      <c r="S5136" t="s">
        <v>15535</v>
      </c>
      <c r="U5136">
        <v>3045</v>
      </c>
      <c r="V5136">
        <v>0</v>
      </c>
      <c r="W5136">
        <v>4</v>
      </c>
      <c r="X5136">
        <v>2012</v>
      </c>
      <c r="Z5136">
        <v>1</v>
      </c>
      <c r="AB5136">
        <v>0</v>
      </c>
      <c r="AC5136" t="s">
        <v>115</v>
      </c>
      <c r="AD5136">
        <v>3</v>
      </c>
      <c r="AE5136" t="s">
        <v>115</v>
      </c>
      <c r="AF5136">
        <v>0</v>
      </c>
      <c r="AG5136">
        <v>0</v>
      </c>
      <c r="AH5136" t="s">
        <v>116</v>
      </c>
      <c r="AI5136" s="1">
        <v>194113</v>
      </c>
      <c r="AJ5136" s="2">
        <v>0.42</v>
      </c>
      <c r="AK5136" s="1">
        <v>460513</v>
      </c>
      <c r="AL5136" t="s">
        <v>117</v>
      </c>
      <c r="AM5136" t="s">
        <v>118</v>
      </c>
      <c r="AN5136">
        <v>11184</v>
      </c>
      <c r="AO5136">
        <v>0.26</v>
      </c>
      <c r="AR5136">
        <v>1</v>
      </c>
      <c r="AS5136" s="1">
        <v>35030</v>
      </c>
      <c r="AT5136" s="1">
        <v>7000</v>
      </c>
      <c r="AU5136" s="1">
        <v>28030</v>
      </c>
      <c r="AV5136">
        <v>80.02</v>
      </c>
      <c r="AX5136" s="1">
        <v>5085.62</v>
      </c>
      <c r="AY5136" t="s">
        <v>217</v>
      </c>
      <c r="AZ5136" t="s">
        <v>217</v>
      </c>
      <c r="BA5136" t="s">
        <v>218</v>
      </c>
      <c r="BE5136" s="3">
        <v>42307</v>
      </c>
      <c r="BF5136" s="1">
        <v>368000</v>
      </c>
      <c r="BG5136" t="s">
        <v>17736</v>
      </c>
      <c r="BH5136" s="1">
        <v>123.45</v>
      </c>
      <c r="BI5136" s="1">
        <v>266400</v>
      </c>
      <c r="BJ5136" s="3">
        <v>42510</v>
      </c>
      <c r="BK5136" t="s">
        <v>123</v>
      </c>
      <c r="BL5136" t="str">
        <f>"2016.346996"</f>
        <v>2016.346996</v>
      </c>
      <c r="BM5136" t="s">
        <v>8797</v>
      </c>
      <c r="BO5136" t="s">
        <v>31847</v>
      </c>
      <c r="BS5136">
        <v>30</v>
      </c>
      <c r="BW5136" t="str">
        <f>""</f>
        <v/>
      </c>
      <c r="CH5136" t="str">
        <f>""</f>
        <v/>
      </c>
      <c r="CS5136" t="str">
        <f>""</f>
        <v/>
      </c>
    </row>
    <row r="5137" spans="1:97" x14ac:dyDescent="0.25">
      <c r="A5137" t="s">
        <v>464</v>
      </c>
      <c r="B5137" t="s">
        <v>3851</v>
      </c>
      <c r="C5137" t="s">
        <v>976</v>
      </c>
      <c r="D5137" t="s">
        <v>3851</v>
      </c>
      <c r="E5137" t="s">
        <v>31848</v>
      </c>
      <c r="F5137" t="s">
        <v>108</v>
      </c>
      <c r="H5137" t="s">
        <v>31849</v>
      </c>
      <c r="I5137" t="s">
        <v>390</v>
      </c>
      <c r="J5137" t="s">
        <v>111</v>
      </c>
      <c r="K5137" t="str">
        <f>"85048"</f>
        <v>85048</v>
      </c>
      <c r="L5137" t="s">
        <v>8034</v>
      </c>
      <c r="M5137" t="s">
        <v>31849</v>
      </c>
      <c r="N5137" t="s">
        <v>390</v>
      </c>
      <c r="O5137" t="s">
        <v>111</v>
      </c>
      <c r="P5137" t="str">
        <f>"85048-9519"</f>
        <v>85048-9519</v>
      </c>
      <c r="Q5137" t="s">
        <v>113</v>
      </c>
      <c r="R5137" t="str">
        <f>"301-76-912"</f>
        <v>301-76-912</v>
      </c>
      <c r="S5137" t="s">
        <v>31850</v>
      </c>
      <c r="T5137" t="s">
        <v>31851</v>
      </c>
      <c r="U5137">
        <v>3090</v>
      </c>
      <c r="V5137">
        <v>0</v>
      </c>
      <c r="W5137">
        <v>4</v>
      </c>
      <c r="X5137">
        <v>1991</v>
      </c>
      <c r="Z5137">
        <v>1</v>
      </c>
      <c r="AB5137">
        <v>0</v>
      </c>
      <c r="AC5137" t="s">
        <v>115</v>
      </c>
      <c r="AD5137">
        <v>3</v>
      </c>
      <c r="AE5137" t="s">
        <v>115</v>
      </c>
      <c r="AF5137">
        <v>0</v>
      </c>
      <c r="AG5137">
        <v>0</v>
      </c>
      <c r="AH5137" t="s">
        <v>116</v>
      </c>
      <c r="AI5137" s="1">
        <v>72087</v>
      </c>
      <c r="AJ5137" s="2">
        <v>0.15</v>
      </c>
      <c r="AK5137" s="1">
        <v>490087</v>
      </c>
      <c r="AL5137" t="s">
        <v>117</v>
      </c>
      <c r="AM5137" t="s">
        <v>1302</v>
      </c>
      <c r="AN5137">
        <v>9222</v>
      </c>
      <c r="AO5137">
        <v>0.21</v>
      </c>
      <c r="AP5137">
        <v>1</v>
      </c>
      <c r="AR5137">
        <v>1</v>
      </c>
      <c r="AS5137" s="1">
        <v>37460</v>
      </c>
      <c r="AT5137" s="1">
        <v>7490</v>
      </c>
      <c r="AU5137" s="1">
        <v>29970</v>
      </c>
      <c r="AV5137">
        <v>80.010000000000005</v>
      </c>
      <c r="AX5137" s="1">
        <v>3872.08</v>
      </c>
      <c r="AY5137" t="s">
        <v>10121</v>
      </c>
      <c r="AZ5137" t="s">
        <v>2967</v>
      </c>
      <c r="BA5137" t="s">
        <v>930</v>
      </c>
      <c r="BE5137" s="3">
        <v>41922</v>
      </c>
      <c r="BF5137" s="1">
        <v>390000</v>
      </c>
      <c r="BG5137" t="s">
        <v>31852</v>
      </c>
      <c r="BH5137" s="1">
        <v>126.21</v>
      </c>
      <c r="BI5137" s="1">
        <v>418000</v>
      </c>
      <c r="BJ5137" s="3">
        <v>42956</v>
      </c>
      <c r="BK5137" t="s">
        <v>123</v>
      </c>
      <c r="BL5137" t="str">
        <f>"2017.586564"</f>
        <v>2017.586564</v>
      </c>
      <c r="BM5137" t="s">
        <v>4603</v>
      </c>
      <c r="BO5137" t="s">
        <v>31853</v>
      </c>
      <c r="BS5137">
        <v>30</v>
      </c>
      <c r="BW5137" t="str">
        <f>""</f>
        <v/>
      </c>
      <c r="CH5137" t="str">
        <f>""</f>
        <v/>
      </c>
      <c r="CS5137" t="str">
        <f>""</f>
        <v/>
      </c>
    </row>
    <row r="5138" spans="1:97" x14ac:dyDescent="0.25">
      <c r="A5138" t="s">
        <v>3641</v>
      </c>
      <c r="B5138" t="s">
        <v>212</v>
      </c>
      <c r="C5138" t="s">
        <v>1769</v>
      </c>
      <c r="D5138" t="s">
        <v>212</v>
      </c>
      <c r="E5138" t="s">
        <v>31854</v>
      </c>
      <c r="F5138" t="s">
        <v>108</v>
      </c>
      <c r="H5138" t="s">
        <v>31855</v>
      </c>
      <c r="I5138" t="s">
        <v>390</v>
      </c>
      <c r="J5138" t="s">
        <v>111</v>
      </c>
      <c r="K5138" t="str">
        <f>"85024"</f>
        <v>85024</v>
      </c>
      <c r="L5138" t="s">
        <v>6035</v>
      </c>
      <c r="M5138" t="s">
        <v>31855</v>
      </c>
      <c r="N5138" t="s">
        <v>390</v>
      </c>
      <c r="O5138" t="s">
        <v>111</v>
      </c>
      <c r="P5138" t="str">
        <f>"85024-5283"</f>
        <v>85024-5283</v>
      </c>
      <c r="Q5138" t="s">
        <v>113</v>
      </c>
      <c r="R5138" t="str">
        <f>"212-42-736"</f>
        <v>212-42-736</v>
      </c>
      <c r="S5138" t="s">
        <v>31856</v>
      </c>
      <c r="T5138" t="s">
        <v>31857</v>
      </c>
      <c r="U5138">
        <v>3526</v>
      </c>
      <c r="V5138">
        <v>0</v>
      </c>
      <c r="W5138">
        <v>4</v>
      </c>
      <c r="X5138">
        <v>2007</v>
      </c>
      <c r="Z5138">
        <v>2</v>
      </c>
      <c r="AA5138" t="s">
        <v>26</v>
      </c>
      <c r="AB5138">
        <v>0</v>
      </c>
      <c r="AC5138" t="s">
        <v>115</v>
      </c>
      <c r="AD5138">
        <v>3</v>
      </c>
      <c r="AE5138" t="s">
        <v>115</v>
      </c>
      <c r="AF5138">
        <v>0</v>
      </c>
      <c r="AG5138">
        <v>0</v>
      </c>
      <c r="AH5138" t="s">
        <v>116</v>
      </c>
      <c r="AI5138" s="1">
        <v>130672</v>
      </c>
      <c r="AJ5138" s="2">
        <v>0.26</v>
      </c>
      <c r="AK5138" s="1">
        <v>505572</v>
      </c>
      <c r="AL5138" t="s">
        <v>117</v>
      </c>
      <c r="AM5138" t="s">
        <v>171</v>
      </c>
      <c r="AN5138">
        <v>6780</v>
      </c>
      <c r="AO5138">
        <v>0.16</v>
      </c>
      <c r="AR5138">
        <v>1</v>
      </c>
      <c r="AS5138" s="1">
        <v>39120</v>
      </c>
      <c r="AT5138" s="1">
        <v>7820</v>
      </c>
      <c r="AU5138" s="1">
        <v>31300</v>
      </c>
      <c r="AV5138">
        <v>80.010000000000005</v>
      </c>
      <c r="AX5138" s="1">
        <v>3192.74</v>
      </c>
      <c r="AY5138" t="s">
        <v>570</v>
      </c>
      <c r="AZ5138" t="s">
        <v>761</v>
      </c>
      <c r="BA5138" t="s">
        <v>762</v>
      </c>
      <c r="BE5138" s="3">
        <v>42258</v>
      </c>
      <c r="BF5138" s="1">
        <v>374900</v>
      </c>
      <c r="BG5138" t="s">
        <v>31858</v>
      </c>
      <c r="BH5138" s="1">
        <v>106.32</v>
      </c>
      <c r="BI5138" s="1">
        <v>374900</v>
      </c>
      <c r="BJ5138" s="3">
        <v>42258</v>
      </c>
      <c r="BK5138" t="s">
        <v>123</v>
      </c>
      <c r="BL5138" t="str">
        <f>"2015.658452"</f>
        <v>2015.658452</v>
      </c>
      <c r="BM5138" t="s">
        <v>135</v>
      </c>
      <c r="BO5138" t="s">
        <v>31859</v>
      </c>
      <c r="BS5138">
        <v>30</v>
      </c>
      <c r="BW5138" t="str">
        <f>""</f>
        <v/>
      </c>
      <c r="CH5138" t="str">
        <f>""</f>
        <v/>
      </c>
      <c r="CS5138" t="str">
        <f>""</f>
        <v/>
      </c>
    </row>
    <row r="5139" spans="1:97" x14ac:dyDescent="0.25">
      <c r="A5139" t="s">
        <v>370</v>
      </c>
      <c r="B5139" t="s">
        <v>1820</v>
      </c>
      <c r="C5139" t="s">
        <v>986</v>
      </c>
      <c r="D5139" t="s">
        <v>1820</v>
      </c>
      <c r="E5139" t="s">
        <v>31860</v>
      </c>
      <c r="F5139" t="s">
        <v>108</v>
      </c>
      <c r="H5139" t="s">
        <v>31861</v>
      </c>
      <c r="I5139" t="s">
        <v>188</v>
      </c>
      <c r="J5139" t="s">
        <v>111</v>
      </c>
      <c r="K5139" t="str">
        <f>"85142"</f>
        <v>85142</v>
      </c>
      <c r="L5139" t="s">
        <v>3151</v>
      </c>
      <c r="M5139" t="s">
        <v>31861</v>
      </c>
      <c r="N5139" t="s">
        <v>188</v>
      </c>
      <c r="O5139" t="s">
        <v>111</v>
      </c>
      <c r="P5139" t="str">
        <f>"85142-7504"</f>
        <v>85142-7504</v>
      </c>
      <c r="Q5139" t="s">
        <v>113</v>
      </c>
      <c r="R5139" t="str">
        <f>"304-91-055-N"</f>
        <v>304-91-055-N</v>
      </c>
      <c r="U5139">
        <v>3339</v>
      </c>
      <c r="V5139">
        <v>0</v>
      </c>
      <c r="W5139">
        <v>5</v>
      </c>
      <c r="X5139">
        <v>2006</v>
      </c>
      <c r="Z5139">
        <v>1</v>
      </c>
      <c r="AB5139">
        <v>0</v>
      </c>
      <c r="AC5139" t="s">
        <v>115</v>
      </c>
      <c r="AD5139">
        <v>3</v>
      </c>
      <c r="AE5139" t="s">
        <v>115</v>
      </c>
      <c r="AF5139">
        <v>0</v>
      </c>
      <c r="AG5139">
        <v>0</v>
      </c>
      <c r="AH5139" t="s">
        <v>116</v>
      </c>
      <c r="AI5139" s="1">
        <v>69223</v>
      </c>
      <c r="AJ5139" s="2">
        <v>0.12</v>
      </c>
      <c r="AK5139" s="1">
        <v>580558</v>
      </c>
      <c r="AL5139" t="s">
        <v>117</v>
      </c>
      <c r="AM5139" t="s">
        <v>376</v>
      </c>
      <c r="AN5139">
        <v>43775</v>
      </c>
      <c r="AO5139">
        <v>1</v>
      </c>
      <c r="AP5139">
        <v>1</v>
      </c>
      <c r="AR5139">
        <v>1</v>
      </c>
      <c r="AS5139" s="1">
        <v>37830</v>
      </c>
      <c r="AT5139" s="1">
        <v>7090</v>
      </c>
      <c r="AU5139" s="1">
        <v>30740</v>
      </c>
      <c r="AV5139">
        <v>81.260000000000005</v>
      </c>
      <c r="AX5139" s="1">
        <v>4519.34</v>
      </c>
      <c r="AY5139" t="s">
        <v>1074</v>
      </c>
      <c r="AZ5139" t="s">
        <v>193</v>
      </c>
      <c r="BA5139" t="s">
        <v>194</v>
      </c>
      <c r="BB5139" s="3">
        <v>42774</v>
      </c>
      <c r="BD5139" t="s">
        <v>240</v>
      </c>
      <c r="BE5139" s="3">
        <v>41656</v>
      </c>
      <c r="BF5139" s="1">
        <v>317000</v>
      </c>
      <c r="BG5139" t="s">
        <v>31862</v>
      </c>
      <c r="BH5139" s="1">
        <v>94.94</v>
      </c>
      <c r="BI5139" s="1">
        <v>511335</v>
      </c>
      <c r="BJ5139" s="3">
        <v>43199</v>
      </c>
      <c r="BK5139" t="s">
        <v>123</v>
      </c>
      <c r="BL5139" t="str">
        <f>"2018.263034"</f>
        <v>2018.263034</v>
      </c>
      <c r="BM5139" t="s">
        <v>699</v>
      </c>
      <c r="BN5139" t="s">
        <v>1590</v>
      </c>
      <c r="BO5139" t="s">
        <v>31863</v>
      </c>
      <c r="BP5139" t="s">
        <v>31864</v>
      </c>
      <c r="BR5139" t="s">
        <v>139</v>
      </c>
      <c r="BT5139" s="1">
        <v>511335</v>
      </c>
      <c r="BU5139" s="3">
        <v>43199</v>
      </c>
      <c r="BV5139" t="s">
        <v>123</v>
      </c>
      <c r="BW5139" t="str">
        <f>"2018.263034"</f>
        <v>2018.263034</v>
      </c>
      <c r="BX5139" t="s">
        <v>699</v>
      </c>
      <c r="BY5139" t="s">
        <v>1590</v>
      </c>
      <c r="BZ5139" t="s">
        <v>31863</v>
      </c>
      <c r="CA5139" t="s">
        <v>31864</v>
      </c>
      <c r="CC5139" t="s">
        <v>139</v>
      </c>
      <c r="CH5139" t="str">
        <f>""</f>
        <v/>
      </c>
      <c r="CS5139" t="str">
        <f>""</f>
        <v/>
      </c>
    </row>
    <row r="5140" spans="1:97" x14ac:dyDescent="0.25">
      <c r="A5140" t="s">
        <v>996</v>
      </c>
      <c r="B5140" t="s">
        <v>3333</v>
      </c>
      <c r="E5140" t="s">
        <v>31865</v>
      </c>
      <c r="F5140" t="s">
        <v>108</v>
      </c>
      <c r="H5140" t="s">
        <v>31866</v>
      </c>
      <c r="I5140" t="s">
        <v>144</v>
      </c>
      <c r="J5140" t="s">
        <v>111</v>
      </c>
      <c r="K5140" t="str">
        <f>"85396"</f>
        <v>85396</v>
      </c>
      <c r="L5140" t="s">
        <v>1789</v>
      </c>
      <c r="M5140" t="s">
        <v>31866</v>
      </c>
      <c r="N5140" t="s">
        <v>144</v>
      </c>
      <c r="O5140" t="s">
        <v>111</v>
      </c>
      <c r="P5140" t="str">
        <f>"85396-7601"</f>
        <v>85396-7601</v>
      </c>
      <c r="Q5140" t="s">
        <v>113</v>
      </c>
      <c r="R5140" t="str">
        <f>"502-78-659"</f>
        <v>502-78-659</v>
      </c>
      <c r="S5140" t="s">
        <v>31867</v>
      </c>
      <c r="U5140">
        <v>2600</v>
      </c>
      <c r="V5140">
        <v>0</v>
      </c>
      <c r="W5140">
        <v>3</v>
      </c>
      <c r="X5140">
        <v>2004</v>
      </c>
      <c r="Z5140">
        <v>1</v>
      </c>
      <c r="AB5140">
        <v>0</v>
      </c>
      <c r="AC5140" t="s">
        <v>115</v>
      </c>
      <c r="AD5140">
        <v>2</v>
      </c>
      <c r="AE5140" t="s">
        <v>115</v>
      </c>
      <c r="AF5140">
        <v>0</v>
      </c>
      <c r="AG5140">
        <v>0</v>
      </c>
      <c r="AH5140" t="s">
        <v>116</v>
      </c>
      <c r="AI5140" s="1">
        <v>78846</v>
      </c>
      <c r="AJ5140" s="2">
        <v>0.2</v>
      </c>
      <c r="AK5140" s="1">
        <v>395120</v>
      </c>
      <c r="AL5140" t="s">
        <v>117</v>
      </c>
      <c r="AM5140" t="s">
        <v>118</v>
      </c>
      <c r="AN5140">
        <v>11309</v>
      </c>
      <c r="AO5140">
        <v>0.26</v>
      </c>
      <c r="AP5140">
        <v>1</v>
      </c>
      <c r="AR5140">
        <v>1</v>
      </c>
      <c r="AS5140" s="1">
        <v>28570</v>
      </c>
      <c r="AT5140" s="1">
        <v>5710</v>
      </c>
      <c r="AU5140" s="1">
        <v>22860</v>
      </c>
      <c r="AV5140">
        <v>80.010000000000005</v>
      </c>
      <c r="AX5140" s="1">
        <v>3403.34</v>
      </c>
      <c r="AY5140" t="s">
        <v>543</v>
      </c>
      <c r="AZ5140" t="s">
        <v>504</v>
      </c>
      <c r="BA5140" t="s">
        <v>218</v>
      </c>
      <c r="BE5140" s="3">
        <v>42503</v>
      </c>
      <c r="BF5140" s="1">
        <v>328000</v>
      </c>
      <c r="BG5140" t="s">
        <v>31868</v>
      </c>
      <c r="BH5140" s="1">
        <v>126.15</v>
      </c>
      <c r="BI5140" s="1">
        <v>316274</v>
      </c>
      <c r="BJ5140" s="3">
        <v>42503</v>
      </c>
      <c r="BK5140" t="s">
        <v>123</v>
      </c>
      <c r="BL5140" t="str">
        <f>"2016.328907"</f>
        <v>2016.328907</v>
      </c>
      <c r="BM5140" t="s">
        <v>2885</v>
      </c>
      <c r="BO5140" t="s">
        <v>31869</v>
      </c>
      <c r="BS5140">
        <v>30</v>
      </c>
      <c r="BW5140" t="str">
        <f>""</f>
        <v/>
      </c>
      <c r="CH5140" t="str">
        <f>""</f>
        <v/>
      </c>
      <c r="CS5140" t="str">
        <f>""</f>
        <v/>
      </c>
    </row>
    <row r="5141" spans="1:97" x14ac:dyDescent="0.25">
      <c r="A5141" t="s">
        <v>7743</v>
      </c>
      <c r="B5141" t="s">
        <v>31870</v>
      </c>
      <c r="C5141" t="s">
        <v>4145</v>
      </c>
      <c r="D5141" t="s">
        <v>31870</v>
      </c>
      <c r="E5141" t="s">
        <v>31871</v>
      </c>
      <c r="F5141" t="s">
        <v>108</v>
      </c>
      <c r="H5141" t="s">
        <v>31872</v>
      </c>
      <c r="I5141" t="s">
        <v>499</v>
      </c>
      <c r="J5141" t="s">
        <v>111</v>
      </c>
      <c r="K5141" t="str">
        <f>"85338"</f>
        <v>85338</v>
      </c>
      <c r="L5141" t="s">
        <v>1244</v>
      </c>
      <c r="M5141" t="s">
        <v>31872</v>
      </c>
      <c r="N5141" t="s">
        <v>499</v>
      </c>
      <c r="O5141" t="s">
        <v>111</v>
      </c>
      <c r="P5141" t="str">
        <f>"85338-5028"</f>
        <v>85338-5028</v>
      </c>
      <c r="R5141" t="str">
        <f>"400-52-385"</f>
        <v>400-52-385</v>
      </c>
      <c r="S5141" t="s">
        <v>31873</v>
      </c>
      <c r="U5141">
        <v>4026</v>
      </c>
      <c r="V5141">
        <v>0</v>
      </c>
      <c r="W5141">
        <v>4</v>
      </c>
      <c r="X5141">
        <v>1993</v>
      </c>
      <c r="Z5141">
        <v>2</v>
      </c>
      <c r="AA5141" t="s">
        <v>26</v>
      </c>
      <c r="AB5141">
        <v>0</v>
      </c>
      <c r="AC5141" t="s">
        <v>115</v>
      </c>
      <c r="AD5141">
        <v>2</v>
      </c>
      <c r="AE5141" t="s">
        <v>115</v>
      </c>
      <c r="AF5141">
        <v>0</v>
      </c>
      <c r="AG5141">
        <v>0</v>
      </c>
      <c r="AH5141" t="s">
        <v>116</v>
      </c>
      <c r="AI5141" s="1">
        <v>155175</v>
      </c>
      <c r="AJ5141" s="2">
        <v>0.26</v>
      </c>
      <c r="AK5141" s="1">
        <v>590875</v>
      </c>
      <c r="AL5141" t="s">
        <v>117</v>
      </c>
      <c r="AM5141" t="s">
        <v>118</v>
      </c>
      <c r="AN5141">
        <v>34118</v>
      </c>
      <c r="AO5141">
        <v>0.78</v>
      </c>
      <c r="AP5141">
        <v>1</v>
      </c>
      <c r="AR5141">
        <v>1</v>
      </c>
      <c r="AS5141" s="1">
        <v>46330</v>
      </c>
      <c r="AT5141" s="1">
        <v>9260</v>
      </c>
      <c r="AU5141" s="1">
        <v>37070</v>
      </c>
      <c r="AV5141">
        <v>80.010000000000005</v>
      </c>
      <c r="AX5141" s="1">
        <v>3949.9</v>
      </c>
      <c r="AY5141" t="s">
        <v>4236</v>
      </c>
      <c r="AZ5141" t="s">
        <v>4236</v>
      </c>
      <c r="BA5141" t="s">
        <v>1247</v>
      </c>
      <c r="BB5141" s="3">
        <v>42003</v>
      </c>
      <c r="BD5141" t="s">
        <v>1830</v>
      </c>
      <c r="BE5141" s="3">
        <v>41988</v>
      </c>
      <c r="BF5141" s="1">
        <v>415000</v>
      </c>
      <c r="BG5141" t="s">
        <v>31874</v>
      </c>
      <c r="BH5141" s="1">
        <v>103.08</v>
      </c>
      <c r="BI5141" s="1">
        <v>403200</v>
      </c>
      <c r="BJ5141" s="3">
        <v>42150</v>
      </c>
      <c r="BK5141" t="s">
        <v>123</v>
      </c>
      <c r="BL5141" t="str">
        <f>"2015.366569"</f>
        <v>2015.366569</v>
      </c>
      <c r="BM5141" t="s">
        <v>1033</v>
      </c>
      <c r="BN5141" t="s">
        <v>1052</v>
      </c>
      <c r="BO5141" t="s">
        <v>31875</v>
      </c>
      <c r="BP5141" t="s">
        <v>31876</v>
      </c>
      <c r="BS5141">
        <v>30</v>
      </c>
      <c r="BT5141" s="1">
        <v>32500</v>
      </c>
      <c r="BU5141" s="3">
        <v>43767</v>
      </c>
      <c r="BW5141" t="str">
        <f>"2019.867388"</f>
        <v>2019.867388</v>
      </c>
      <c r="BX5141" t="s">
        <v>18753</v>
      </c>
      <c r="BY5141" t="s">
        <v>31877</v>
      </c>
      <c r="BZ5141" t="s">
        <v>31878</v>
      </c>
      <c r="CA5141" t="s">
        <v>31879</v>
      </c>
      <c r="CC5141" t="s">
        <v>346</v>
      </c>
      <c r="CH5141" t="str">
        <f>""</f>
        <v/>
      </c>
      <c r="CS5141" t="str">
        <f>""</f>
        <v/>
      </c>
    </row>
    <row r="5142" spans="1:97" x14ac:dyDescent="0.25">
      <c r="A5142" t="s">
        <v>996</v>
      </c>
      <c r="B5142" t="s">
        <v>4378</v>
      </c>
      <c r="C5142" t="s">
        <v>31880</v>
      </c>
      <c r="D5142" t="s">
        <v>4378</v>
      </c>
      <c r="E5142" t="s">
        <v>31881</v>
      </c>
      <c r="F5142" t="s">
        <v>108</v>
      </c>
      <c r="H5142" t="s">
        <v>31882</v>
      </c>
      <c r="I5142" t="s">
        <v>499</v>
      </c>
      <c r="J5142" t="s">
        <v>111</v>
      </c>
      <c r="K5142" t="str">
        <f>"85338"</f>
        <v>85338</v>
      </c>
      <c r="L5142" t="s">
        <v>5291</v>
      </c>
      <c r="M5142" t="s">
        <v>31882</v>
      </c>
      <c r="N5142" t="s">
        <v>499</v>
      </c>
      <c r="O5142" t="s">
        <v>111</v>
      </c>
      <c r="P5142" t="str">
        <f>"85338-9117"</f>
        <v>85338-9117</v>
      </c>
      <c r="R5142" t="str">
        <f>"400-03-292"</f>
        <v>400-03-292</v>
      </c>
      <c r="S5142" t="s">
        <v>15855</v>
      </c>
      <c r="U5142">
        <v>1995</v>
      </c>
      <c r="V5142">
        <v>0</v>
      </c>
      <c r="W5142">
        <v>3</v>
      </c>
      <c r="X5142">
        <v>1997</v>
      </c>
      <c r="Z5142">
        <v>1</v>
      </c>
      <c r="AB5142">
        <v>0</v>
      </c>
      <c r="AC5142" t="s">
        <v>115</v>
      </c>
      <c r="AD5142">
        <v>2</v>
      </c>
      <c r="AE5142" t="s">
        <v>115</v>
      </c>
      <c r="AF5142">
        <v>0</v>
      </c>
      <c r="AG5142">
        <v>0</v>
      </c>
      <c r="AH5142" t="s">
        <v>116</v>
      </c>
      <c r="AI5142" s="1">
        <v>55396</v>
      </c>
      <c r="AJ5142" s="2">
        <v>0.18</v>
      </c>
      <c r="AK5142" s="1">
        <v>307396</v>
      </c>
      <c r="AL5142" t="s">
        <v>117</v>
      </c>
      <c r="AM5142" t="s">
        <v>118</v>
      </c>
      <c r="AN5142">
        <v>9099</v>
      </c>
      <c r="AO5142">
        <v>0.21</v>
      </c>
      <c r="AP5142">
        <v>1</v>
      </c>
      <c r="AR5142">
        <v>1</v>
      </c>
      <c r="AS5142" s="1">
        <v>21030</v>
      </c>
      <c r="AT5142" s="1">
        <v>4200</v>
      </c>
      <c r="AU5142" s="1">
        <v>16830</v>
      </c>
      <c r="AV5142">
        <v>80.03</v>
      </c>
      <c r="AX5142" s="1">
        <v>1867.72</v>
      </c>
      <c r="AY5142" t="s">
        <v>4236</v>
      </c>
      <c r="AZ5142" t="s">
        <v>4236</v>
      </c>
      <c r="BA5142" t="s">
        <v>1247</v>
      </c>
      <c r="BE5142" s="3">
        <v>42325</v>
      </c>
      <c r="BF5142" s="1">
        <v>252000</v>
      </c>
      <c r="BG5142" t="s">
        <v>31883</v>
      </c>
      <c r="BH5142" s="1">
        <v>126.32</v>
      </c>
      <c r="BI5142" s="1">
        <v>252000</v>
      </c>
      <c r="BJ5142" s="3">
        <v>42325</v>
      </c>
      <c r="BK5142" t="s">
        <v>123</v>
      </c>
      <c r="BL5142" t="str">
        <f>"2015.821627"</f>
        <v>2015.821627</v>
      </c>
      <c r="BM5142" t="s">
        <v>820</v>
      </c>
      <c r="BN5142" t="s">
        <v>2188</v>
      </c>
      <c r="BO5142" t="s">
        <v>31884</v>
      </c>
      <c r="BS5142">
        <v>30</v>
      </c>
      <c r="BW5142" t="str">
        <f>""</f>
        <v/>
      </c>
      <c r="CH5142" t="str">
        <f>""</f>
        <v/>
      </c>
      <c r="CS5142" t="str">
        <f>""</f>
        <v/>
      </c>
    </row>
    <row r="5143" spans="1:97" x14ac:dyDescent="0.25">
      <c r="A5143" t="s">
        <v>265</v>
      </c>
      <c r="B5143" t="s">
        <v>31885</v>
      </c>
      <c r="C5143" t="s">
        <v>17672</v>
      </c>
      <c r="D5143" t="s">
        <v>31886</v>
      </c>
      <c r="E5143" t="s">
        <v>31887</v>
      </c>
      <c r="F5143" t="s">
        <v>108</v>
      </c>
      <c r="H5143" t="s">
        <v>31888</v>
      </c>
      <c r="I5143" t="s">
        <v>6844</v>
      </c>
      <c r="J5143" t="s">
        <v>111</v>
      </c>
      <c r="K5143" t="str">
        <f>"85361"</f>
        <v>85361</v>
      </c>
      <c r="L5143" t="s">
        <v>1789</v>
      </c>
      <c r="M5143" t="s">
        <v>31888</v>
      </c>
      <c r="N5143" t="s">
        <v>6844</v>
      </c>
      <c r="O5143" t="s">
        <v>111</v>
      </c>
      <c r="P5143" t="str">
        <f>"85361-9444"</f>
        <v>85361-9444</v>
      </c>
      <c r="Q5143" t="s">
        <v>113</v>
      </c>
      <c r="R5143" t="str">
        <f>"503-17-011-K"</f>
        <v>503-17-011-K</v>
      </c>
      <c r="U5143">
        <v>3199</v>
      </c>
      <c r="V5143">
        <v>0</v>
      </c>
      <c r="W5143">
        <v>4</v>
      </c>
      <c r="X5143">
        <v>2005</v>
      </c>
      <c r="Z5143">
        <v>2</v>
      </c>
      <c r="AB5143">
        <v>0</v>
      </c>
      <c r="AC5143" t="s">
        <v>115</v>
      </c>
      <c r="AD5143">
        <v>2</v>
      </c>
      <c r="AE5143" t="s">
        <v>115</v>
      </c>
      <c r="AF5143">
        <v>0</v>
      </c>
      <c r="AG5143">
        <v>0</v>
      </c>
      <c r="AH5143" t="s">
        <v>116</v>
      </c>
      <c r="AI5143" s="1">
        <v>113977</v>
      </c>
      <c r="AJ5143" s="2">
        <v>0.27</v>
      </c>
      <c r="AK5143" s="1">
        <v>428977</v>
      </c>
      <c r="AL5143" t="s">
        <v>117</v>
      </c>
      <c r="AM5143" t="s">
        <v>376</v>
      </c>
      <c r="AN5143">
        <v>43560</v>
      </c>
      <c r="AO5143">
        <v>1</v>
      </c>
      <c r="AR5143">
        <v>1</v>
      </c>
      <c r="AS5143" s="1">
        <v>36270</v>
      </c>
      <c r="AT5143" s="1">
        <v>7250</v>
      </c>
      <c r="AU5143" s="1">
        <v>29020</v>
      </c>
      <c r="AV5143">
        <v>80.010000000000005</v>
      </c>
      <c r="AX5143" s="1">
        <v>1778.06</v>
      </c>
      <c r="AY5143" t="s">
        <v>24088</v>
      </c>
      <c r="AZ5143" t="s">
        <v>24088</v>
      </c>
      <c r="BB5143" s="3">
        <v>43068</v>
      </c>
      <c r="BD5143" t="s">
        <v>157</v>
      </c>
      <c r="BE5143" s="3">
        <v>42153</v>
      </c>
      <c r="BF5143" s="1">
        <v>180000</v>
      </c>
      <c r="BG5143" t="s">
        <v>11685</v>
      </c>
      <c r="BH5143" s="1">
        <v>56.27</v>
      </c>
      <c r="BI5143" s="1">
        <v>315000</v>
      </c>
      <c r="BJ5143" s="3">
        <v>43068</v>
      </c>
      <c r="BK5143" t="s">
        <v>123</v>
      </c>
      <c r="BL5143" t="str">
        <f>"2017.881151"</f>
        <v>2017.881151</v>
      </c>
      <c r="BM5143" t="s">
        <v>31889</v>
      </c>
      <c r="BO5143" t="s">
        <v>31890</v>
      </c>
      <c r="BP5143" t="s">
        <v>31891</v>
      </c>
      <c r="BS5143">
        <v>30</v>
      </c>
      <c r="BW5143" t="str">
        <f>""</f>
        <v/>
      </c>
      <c r="CH5143" t="str">
        <f>""</f>
        <v/>
      </c>
      <c r="CS5143" t="str">
        <f>""</f>
        <v/>
      </c>
    </row>
    <row r="5144" spans="1:97" x14ac:dyDescent="0.25">
      <c r="B5144" t="s">
        <v>31892</v>
      </c>
      <c r="E5144" t="s">
        <v>31893</v>
      </c>
      <c r="F5144" t="s">
        <v>108</v>
      </c>
      <c r="H5144" t="s">
        <v>31894</v>
      </c>
      <c r="I5144" t="s">
        <v>390</v>
      </c>
      <c r="J5144" t="s">
        <v>111</v>
      </c>
      <c r="K5144" t="str">
        <f>"85086"</f>
        <v>85086</v>
      </c>
      <c r="L5144" t="s">
        <v>15336</v>
      </c>
      <c r="M5144" t="s">
        <v>31894</v>
      </c>
      <c r="N5144" t="s">
        <v>390</v>
      </c>
      <c r="O5144" t="s">
        <v>111</v>
      </c>
      <c r="P5144" t="str">
        <f>"85086-4354"</f>
        <v>85086-4354</v>
      </c>
      <c r="Q5144" t="s">
        <v>113</v>
      </c>
      <c r="R5144" t="str">
        <f>"203-36-002-D"</f>
        <v>203-36-002-D</v>
      </c>
      <c r="T5144" t="s">
        <v>15337</v>
      </c>
      <c r="U5144">
        <v>2850</v>
      </c>
      <c r="V5144">
        <v>0</v>
      </c>
      <c r="W5144">
        <v>4</v>
      </c>
      <c r="X5144">
        <v>2005</v>
      </c>
      <c r="Z5144">
        <v>1</v>
      </c>
      <c r="AB5144">
        <v>0</v>
      </c>
      <c r="AC5144" t="s">
        <v>115</v>
      </c>
      <c r="AD5144">
        <v>3</v>
      </c>
      <c r="AE5144" t="s">
        <v>115</v>
      </c>
      <c r="AF5144">
        <v>0</v>
      </c>
      <c r="AG5144">
        <v>0</v>
      </c>
      <c r="AH5144" t="s">
        <v>116</v>
      </c>
      <c r="AI5144" s="1">
        <v>75255</v>
      </c>
      <c r="AJ5144" s="2">
        <v>0.14000000000000001</v>
      </c>
      <c r="AK5144" s="1">
        <v>557380</v>
      </c>
      <c r="AL5144" t="s">
        <v>117</v>
      </c>
      <c r="AM5144" t="s">
        <v>376</v>
      </c>
      <c r="AN5144">
        <v>43490</v>
      </c>
      <c r="AO5144">
        <v>1</v>
      </c>
      <c r="AR5144">
        <v>1</v>
      </c>
      <c r="AS5144" s="1">
        <v>39420</v>
      </c>
      <c r="AT5144" s="1">
        <v>7880</v>
      </c>
      <c r="AU5144" s="1">
        <v>31540</v>
      </c>
      <c r="AV5144">
        <v>80.010000000000005</v>
      </c>
      <c r="AX5144" s="1">
        <v>3644.56</v>
      </c>
      <c r="AY5144" t="s">
        <v>8639</v>
      </c>
      <c r="AZ5144" t="s">
        <v>8639</v>
      </c>
      <c r="BA5144" t="s">
        <v>378</v>
      </c>
      <c r="BB5144" s="3">
        <v>41831</v>
      </c>
      <c r="BD5144" t="s">
        <v>458</v>
      </c>
      <c r="BE5144" s="3">
        <v>41787</v>
      </c>
      <c r="BF5144" s="1">
        <v>500000</v>
      </c>
      <c r="BG5144" t="s">
        <v>31895</v>
      </c>
      <c r="BH5144" s="1">
        <v>175.44</v>
      </c>
      <c r="BI5144" s="1">
        <v>482125</v>
      </c>
      <c r="BJ5144" s="3">
        <v>41787</v>
      </c>
      <c r="BK5144" t="s">
        <v>123</v>
      </c>
      <c r="BL5144" t="str">
        <f>"2014.344528"</f>
        <v>2014.344528</v>
      </c>
      <c r="BM5144" t="s">
        <v>10728</v>
      </c>
      <c r="BO5144" t="s">
        <v>31896</v>
      </c>
      <c r="BS5144">
        <v>30</v>
      </c>
      <c r="BW5144" t="str">
        <f>""</f>
        <v/>
      </c>
      <c r="CH5144" t="str">
        <f>""</f>
        <v/>
      </c>
      <c r="CS5144" t="str">
        <f>""</f>
        <v/>
      </c>
    </row>
    <row r="5145" spans="1:97" x14ac:dyDescent="0.25">
      <c r="A5145" t="s">
        <v>3221</v>
      </c>
      <c r="B5145" t="s">
        <v>31897</v>
      </c>
      <c r="C5145" t="s">
        <v>488</v>
      </c>
      <c r="D5145" t="s">
        <v>31897</v>
      </c>
      <c r="E5145" t="s">
        <v>31898</v>
      </c>
      <c r="F5145" t="s">
        <v>108</v>
      </c>
      <c r="H5145" t="s">
        <v>31899</v>
      </c>
      <c r="I5145" t="s">
        <v>390</v>
      </c>
      <c r="J5145" t="s">
        <v>111</v>
      </c>
      <c r="K5145" t="str">
        <f>"85086"</f>
        <v>85086</v>
      </c>
      <c r="L5145" t="s">
        <v>5009</v>
      </c>
      <c r="M5145" t="s">
        <v>31899</v>
      </c>
      <c r="N5145" t="s">
        <v>390</v>
      </c>
      <c r="O5145" t="s">
        <v>111</v>
      </c>
      <c r="P5145" t="str">
        <f>"85086-3423"</f>
        <v>85086-3423</v>
      </c>
      <c r="Q5145" t="s">
        <v>113</v>
      </c>
      <c r="R5145" t="str">
        <f>"211-73-020-H"</f>
        <v>211-73-020-H</v>
      </c>
      <c r="U5145">
        <v>2226</v>
      </c>
      <c r="V5145">
        <v>0</v>
      </c>
      <c r="W5145">
        <v>3</v>
      </c>
      <c r="X5145">
        <v>2004</v>
      </c>
      <c r="Z5145">
        <v>1</v>
      </c>
      <c r="AB5145">
        <v>0</v>
      </c>
      <c r="AC5145" t="s">
        <v>115</v>
      </c>
      <c r="AD5145">
        <v>3</v>
      </c>
      <c r="AE5145" t="s">
        <v>115</v>
      </c>
      <c r="AF5145">
        <v>0</v>
      </c>
      <c r="AG5145">
        <v>0</v>
      </c>
      <c r="AH5145" t="s">
        <v>116</v>
      </c>
      <c r="AI5145" s="1">
        <v>62823</v>
      </c>
      <c r="AJ5145" s="2">
        <v>0.14000000000000001</v>
      </c>
      <c r="AK5145" s="1">
        <v>454330</v>
      </c>
      <c r="AL5145" t="s">
        <v>117</v>
      </c>
      <c r="AM5145" t="s">
        <v>376</v>
      </c>
      <c r="AN5145">
        <v>43443</v>
      </c>
      <c r="AO5145">
        <v>1</v>
      </c>
      <c r="AP5145">
        <v>1</v>
      </c>
      <c r="AR5145">
        <v>1</v>
      </c>
      <c r="AS5145" s="1">
        <v>32850</v>
      </c>
      <c r="AT5145" s="1">
        <v>6570</v>
      </c>
      <c r="AU5145" s="1">
        <v>26280</v>
      </c>
      <c r="AV5145">
        <v>80</v>
      </c>
      <c r="AX5145" s="1">
        <v>3320.76</v>
      </c>
      <c r="AY5145" t="s">
        <v>1587</v>
      </c>
      <c r="AZ5145" t="s">
        <v>1587</v>
      </c>
      <c r="BA5145" t="s">
        <v>378</v>
      </c>
      <c r="BE5145" s="3">
        <v>41765</v>
      </c>
      <c r="BF5145" s="1">
        <v>379000</v>
      </c>
      <c r="BG5145" t="s">
        <v>31900</v>
      </c>
      <c r="BH5145" s="1">
        <v>170.26</v>
      </c>
      <c r="BI5145" s="1">
        <v>391507</v>
      </c>
      <c r="BJ5145" s="3">
        <v>41765</v>
      </c>
      <c r="BK5145" t="s">
        <v>123</v>
      </c>
      <c r="BL5145" t="str">
        <f>"2014.294286"</f>
        <v>2014.294286</v>
      </c>
      <c r="BM5145" t="s">
        <v>9928</v>
      </c>
      <c r="BO5145" t="s">
        <v>31901</v>
      </c>
      <c r="BS5145">
        <v>30</v>
      </c>
      <c r="BW5145" t="str">
        <f>""</f>
        <v/>
      </c>
      <c r="CH5145" t="str">
        <f>""</f>
        <v/>
      </c>
      <c r="CS5145" t="str">
        <f>""</f>
        <v/>
      </c>
    </row>
    <row r="5146" spans="1:97" x14ac:dyDescent="0.25">
      <c r="A5146" t="s">
        <v>2099</v>
      </c>
      <c r="B5146" t="s">
        <v>31902</v>
      </c>
      <c r="C5146" t="s">
        <v>31903</v>
      </c>
      <c r="D5146" t="s">
        <v>31902</v>
      </c>
      <c r="E5146" t="s">
        <v>31904</v>
      </c>
      <c r="F5146" t="s">
        <v>282</v>
      </c>
      <c r="H5146" t="s">
        <v>31905</v>
      </c>
      <c r="I5146" t="s">
        <v>390</v>
      </c>
      <c r="J5146" t="s">
        <v>111</v>
      </c>
      <c r="K5146" t="str">
        <f>"85086"</f>
        <v>85086</v>
      </c>
      <c r="L5146" t="s">
        <v>7351</v>
      </c>
      <c r="M5146" t="s">
        <v>31906</v>
      </c>
      <c r="N5146" t="s">
        <v>31907</v>
      </c>
      <c r="O5146" t="s">
        <v>15953</v>
      </c>
      <c r="P5146" t="str">
        <f>"98374-6473"</f>
        <v>98374-6473</v>
      </c>
      <c r="Q5146" t="s">
        <v>113</v>
      </c>
      <c r="R5146" t="str">
        <f>"211-52-010-Q"</f>
        <v>211-52-010-Q</v>
      </c>
      <c r="U5146">
        <v>2618</v>
      </c>
      <c r="V5146">
        <v>0</v>
      </c>
      <c r="W5146">
        <v>0</v>
      </c>
      <c r="X5146">
        <v>2017</v>
      </c>
      <c r="Z5146">
        <v>0</v>
      </c>
      <c r="AB5146">
        <v>0</v>
      </c>
      <c r="AD5146">
        <v>0</v>
      </c>
      <c r="AF5146">
        <v>0</v>
      </c>
      <c r="AG5146">
        <v>0</v>
      </c>
      <c r="AI5146" s="1">
        <v>50881</v>
      </c>
      <c r="AJ5146" s="2">
        <v>0.1</v>
      </c>
      <c r="AK5146" s="1">
        <v>525268</v>
      </c>
      <c r="AL5146" t="s">
        <v>117</v>
      </c>
      <c r="AM5146" t="s">
        <v>376</v>
      </c>
      <c r="AN5146">
        <v>50355</v>
      </c>
      <c r="AO5146">
        <v>1.1599999999999999</v>
      </c>
      <c r="AS5146" s="1">
        <v>39910</v>
      </c>
      <c r="AT5146" s="1">
        <v>7980</v>
      </c>
      <c r="AU5146" s="1">
        <v>31930</v>
      </c>
      <c r="AV5146">
        <v>80.010000000000005</v>
      </c>
      <c r="AX5146" s="1">
        <v>4021.18</v>
      </c>
      <c r="AY5146" t="s">
        <v>1587</v>
      </c>
      <c r="AZ5146" t="s">
        <v>1587</v>
      </c>
      <c r="BA5146" t="s">
        <v>378</v>
      </c>
      <c r="BE5146" s="3">
        <v>42489</v>
      </c>
      <c r="BF5146" s="1">
        <v>79500</v>
      </c>
      <c r="BG5146" t="s">
        <v>31908</v>
      </c>
      <c r="BI5146" s="1">
        <v>474387</v>
      </c>
      <c r="BJ5146" s="3">
        <v>43644</v>
      </c>
      <c r="BK5146" t="s">
        <v>123</v>
      </c>
      <c r="BL5146" t="str">
        <f>"2019.490729"</f>
        <v>2019.490729</v>
      </c>
      <c r="BM5146" t="s">
        <v>28485</v>
      </c>
      <c r="BN5146" t="s">
        <v>28486</v>
      </c>
      <c r="BO5146" t="s">
        <v>31909</v>
      </c>
      <c r="BP5146" t="s">
        <v>31910</v>
      </c>
      <c r="BR5146" t="s">
        <v>139</v>
      </c>
      <c r="BT5146" s="1">
        <v>474387</v>
      </c>
      <c r="BU5146" s="3">
        <v>43644</v>
      </c>
      <c r="BV5146" t="s">
        <v>123</v>
      </c>
      <c r="BW5146" t="str">
        <f>"2019.490729"</f>
        <v>2019.490729</v>
      </c>
      <c r="BX5146" t="s">
        <v>28485</v>
      </c>
      <c r="BY5146" t="s">
        <v>28486</v>
      </c>
      <c r="BZ5146" t="s">
        <v>31909</v>
      </c>
      <c r="CA5146" t="s">
        <v>31910</v>
      </c>
      <c r="CC5146" t="s">
        <v>139</v>
      </c>
      <c r="CH5146" t="str">
        <f>""</f>
        <v/>
      </c>
      <c r="CS5146" t="str">
        <f>""</f>
        <v/>
      </c>
    </row>
    <row r="5147" spans="1:97" x14ac:dyDescent="0.25">
      <c r="B5147" t="s">
        <v>31911</v>
      </c>
      <c r="E5147" t="s">
        <v>31912</v>
      </c>
      <c r="F5147" t="s">
        <v>108</v>
      </c>
      <c r="H5147" t="s">
        <v>31913</v>
      </c>
      <c r="I5147" t="s">
        <v>390</v>
      </c>
      <c r="J5147" t="s">
        <v>111</v>
      </c>
      <c r="K5147" t="str">
        <f>"85083"</f>
        <v>85083</v>
      </c>
      <c r="L5147" t="s">
        <v>5743</v>
      </c>
      <c r="M5147" t="s">
        <v>31913</v>
      </c>
      <c r="N5147" t="s">
        <v>390</v>
      </c>
      <c r="O5147" t="s">
        <v>111</v>
      </c>
      <c r="P5147" t="str">
        <f>"85083-5401"</f>
        <v>85083-5401</v>
      </c>
      <c r="Q5147" t="s">
        <v>113</v>
      </c>
      <c r="R5147" t="str">
        <f>"201-38-392"</f>
        <v>201-38-392</v>
      </c>
      <c r="S5147" t="s">
        <v>17969</v>
      </c>
      <c r="U5147">
        <v>3798</v>
      </c>
      <c r="V5147">
        <v>0</v>
      </c>
      <c r="W5147">
        <v>6</v>
      </c>
      <c r="X5147">
        <v>2005</v>
      </c>
      <c r="Z5147">
        <v>1</v>
      </c>
      <c r="AA5147" t="s">
        <v>26</v>
      </c>
      <c r="AB5147">
        <v>0</v>
      </c>
      <c r="AC5147" t="s">
        <v>115</v>
      </c>
      <c r="AD5147">
        <v>3</v>
      </c>
      <c r="AE5147" t="s">
        <v>115</v>
      </c>
      <c r="AF5147">
        <v>0</v>
      </c>
      <c r="AG5147">
        <v>0</v>
      </c>
      <c r="AH5147" t="s">
        <v>116</v>
      </c>
      <c r="AI5147" s="1">
        <v>115854</v>
      </c>
      <c r="AJ5147" s="2">
        <v>0.19</v>
      </c>
      <c r="AK5147" s="1">
        <v>614854</v>
      </c>
      <c r="AL5147" t="s">
        <v>117</v>
      </c>
      <c r="AM5147" t="s">
        <v>171</v>
      </c>
      <c r="AN5147">
        <v>12836</v>
      </c>
      <c r="AO5147">
        <v>0.3</v>
      </c>
      <c r="AR5147">
        <v>1</v>
      </c>
      <c r="AS5147" s="1">
        <v>46210</v>
      </c>
      <c r="AT5147" s="1">
        <v>9240</v>
      </c>
      <c r="AU5147" s="1">
        <v>36970</v>
      </c>
      <c r="AV5147">
        <v>80</v>
      </c>
      <c r="AX5147" s="1">
        <v>4938.32</v>
      </c>
      <c r="AY5147" t="s">
        <v>5125</v>
      </c>
      <c r="AZ5147" t="s">
        <v>3049</v>
      </c>
      <c r="BA5147" t="s">
        <v>1386</v>
      </c>
      <c r="BB5147" s="3">
        <v>42566</v>
      </c>
      <c r="BD5147" t="s">
        <v>458</v>
      </c>
      <c r="BE5147" s="3">
        <v>42331</v>
      </c>
      <c r="BF5147" s="1">
        <v>594000</v>
      </c>
      <c r="BG5147" t="s">
        <v>31914</v>
      </c>
      <c r="BH5147" s="1">
        <v>156.4</v>
      </c>
      <c r="BI5147" s="1">
        <v>499000</v>
      </c>
      <c r="BJ5147" s="3">
        <v>42566</v>
      </c>
      <c r="BK5147" t="s">
        <v>123</v>
      </c>
      <c r="BL5147" t="str">
        <f>"2016.500643"</f>
        <v>2016.500643</v>
      </c>
      <c r="BM5147" t="s">
        <v>1122</v>
      </c>
      <c r="BO5147" t="s">
        <v>31915</v>
      </c>
      <c r="BS5147">
        <v>30</v>
      </c>
      <c r="BW5147" t="str">
        <f>""</f>
        <v/>
      </c>
      <c r="CH5147" t="str">
        <f>""</f>
        <v/>
      </c>
      <c r="CS5147" t="str">
        <f>""</f>
        <v/>
      </c>
    </row>
    <row r="5148" spans="1:97" x14ac:dyDescent="0.25">
      <c r="A5148" t="s">
        <v>5749</v>
      </c>
      <c r="B5148" t="s">
        <v>12491</v>
      </c>
      <c r="C5148" t="s">
        <v>817</v>
      </c>
      <c r="D5148" t="s">
        <v>12491</v>
      </c>
      <c r="E5148" t="s">
        <v>31916</v>
      </c>
      <c r="F5148" t="s">
        <v>108</v>
      </c>
      <c r="H5148" t="s">
        <v>31917</v>
      </c>
      <c r="I5148" t="s">
        <v>203</v>
      </c>
      <c r="J5148" t="s">
        <v>111</v>
      </c>
      <c r="K5148" t="str">
        <f>"85297"</f>
        <v>85297</v>
      </c>
      <c r="L5148" t="s">
        <v>7904</v>
      </c>
      <c r="M5148" t="s">
        <v>31917</v>
      </c>
      <c r="N5148" t="s">
        <v>203</v>
      </c>
      <c r="O5148" t="s">
        <v>111</v>
      </c>
      <c r="P5148" t="str">
        <f>"85297-9614"</f>
        <v>85297-9614</v>
      </c>
      <c r="Q5148" t="s">
        <v>113</v>
      </c>
      <c r="R5148" t="str">
        <f>"313-02-792"</f>
        <v>313-02-792</v>
      </c>
      <c r="S5148" t="s">
        <v>7905</v>
      </c>
      <c r="T5148" t="s">
        <v>7906</v>
      </c>
      <c r="U5148">
        <v>3698</v>
      </c>
      <c r="V5148">
        <v>0</v>
      </c>
      <c r="W5148">
        <v>6</v>
      </c>
      <c r="X5148">
        <v>2001</v>
      </c>
      <c r="Z5148">
        <v>1</v>
      </c>
      <c r="AA5148" t="s">
        <v>26</v>
      </c>
      <c r="AB5148">
        <v>0</v>
      </c>
      <c r="AC5148" t="s">
        <v>115</v>
      </c>
      <c r="AD5148">
        <v>2</v>
      </c>
      <c r="AE5148" t="s">
        <v>115</v>
      </c>
      <c r="AF5148">
        <v>0</v>
      </c>
      <c r="AG5148">
        <v>0</v>
      </c>
      <c r="AH5148" t="s">
        <v>116</v>
      </c>
      <c r="AI5148" s="1">
        <v>136288</v>
      </c>
      <c r="AJ5148" s="2">
        <v>0.25</v>
      </c>
      <c r="AK5148" s="1">
        <v>547558</v>
      </c>
      <c r="AL5148" t="s">
        <v>117</v>
      </c>
      <c r="AM5148" t="s">
        <v>171</v>
      </c>
      <c r="AN5148">
        <v>10731</v>
      </c>
      <c r="AO5148">
        <v>0.25</v>
      </c>
      <c r="AP5148">
        <v>1</v>
      </c>
      <c r="AR5148">
        <v>1</v>
      </c>
      <c r="AS5148" s="1">
        <v>38730</v>
      </c>
      <c r="AT5148" s="1">
        <v>7740</v>
      </c>
      <c r="AU5148" s="1">
        <v>30990</v>
      </c>
      <c r="AV5148">
        <v>80.02</v>
      </c>
      <c r="AX5148" s="1">
        <v>3117.82</v>
      </c>
      <c r="AY5148" t="s">
        <v>289</v>
      </c>
      <c r="AZ5148" t="s">
        <v>289</v>
      </c>
      <c r="BA5148" t="s">
        <v>290</v>
      </c>
      <c r="BE5148" s="3">
        <v>42170</v>
      </c>
      <c r="BF5148" s="1">
        <v>500000</v>
      </c>
      <c r="BG5148" t="s">
        <v>31918</v>
      </c>
      <c r="BH5148" s="1">
        <v>135.21</v>
      </c>
      <c r="BI5148" s="1">
        <v>411270</v>
      </c>
      <c r="BJ5148" s="3">
        <v>42669</v>
      </c>
      <c r="BK5148" t="s">
        <v>123</v>
      </c>
      <c r="BL5148" t="str">
        <f>"2016.785845"</f>
        <v>2016.785845</v>
      </c>
      <c r="BM5148" t="s">
        <v>724</v>
      </c>
      <c r="BO5148" t="s">
        <v>31919</v>
      </c>
      <c r="BS5148">
        <v>30</v>
      </c>
      <c r="BW5148" t="str">
        <f>""</f>
        <v/>
      </c>
      <c r="CH5148" t="str">
        <f>""</f>
        <v/>
      </c>
      <c r="CS5148" t="str">
        <f>""</f>
        <v/>
      </c>
    </row>
    <row r="5149" spans="1:97" x14ac:dyDescent="0.25">
      <c r="A5149" t="s">
        <v>31920</v>
      </c>
      <c r="B5149" t="s">
        <v>2104</v>
      </c>
      <c r="C5149" t="s">
        <v>970</v>
      </c>
      <c r="D5149" t="s">
        <v>2104</v>
      </c>
      <c r="E5149" t="s">
        <v>31921</v>
      </c>
      <c r="F5149" t="s">
        <v>108</v>
      </c>
      <c r="H5149" t="s">
        <v>31922</v>
      </c>
      <c r="I5149" t="s">
        <v>188</v>
      </c>
      <c r="J5149" t="s">
        <v>111</v>
      </c>
      <c r="K5149" t="str">
        <f>"85142"</f>
        <v>85142</v>
      </c>
      <c r="L5149" t="s">
        <v>5456</v>
      </c>
      <c r="M5149" t="s">
        <v>31922</v>
      </c>
      <c r="N5149" t="s">
        <v>188</v>
      </c>
      <c r="O5149" t="s">
        <v>111</v>
      </c>
      <c r="P5149" t="str">
        <f>"85142-5107"</f>
        <v>85142-5107</v>
      </c>
      <c r="Q5149" t="s">
        <v>113</v>
      </c>
      <c r="R5149" t="str">
        <f>"304-67-257"</f>
        <v>304-67-257</v>
      </c>
      <c r="S5149" t="s">
        <v>31923</v>
      </c>
      <c r="T5149" t="s">
        <v>31924</v>
      </c>
      <c r="U5149">
        <v>2870</v>
      </c>
      <c r="V5149">
        <v>0</v>
      </c>
      <c r="W5149">
        <v>5</v>
      </c>
      <c r="X5149">
        <v>2005</v>
      </c>
      <c r="Z5149">
        <v>1</v>
      </c>
      <c r="AA5149" t="s">
        <v>26</v>
      </c>
      <c r="AB5149">
        <v>0</v>
      </c>
      <c r="AC5149" t="s">
        <v>115</v>
      </c>
      <c r="AD5149">
        <v>4</v>
      </c>
      <c r="AE5149" t="s">
        <v>115</v>
      </c>
      <c r="AF5149">
        <v>0</v>
      </c>
      <c r="AG5149">
        <v>0</v>
      </c>
      <c r="AH5149" t="s">
        <v>116</v>
      </c>
      <c r="AI5149" s="1">
        <v>132058</v>
      </c>
      <c r="AJ5149" s="2">
        <v>0.24</v>
      </c>
      <c r="AK5149" s="1">
        <v>549635</v>
      </c>
      <c r="AL5149" t="s">
        <v>117</v>
      </c>
      <c r="AM5149" t="s">
        <v>616</v>
      </c>
      <c r="AN5149">
        <v>27068</v>
      </c>
      <c r="AO5149">
        <v>0.62</v>
      </c>
      <c r="AR5149">
        <v>1</v>
      </c>
      <c r="AS5149" s="1">
        <v>40510</v>
      </c>
      <c r="AT5149" s="1">
        <v>8100</v>
      </c>
      <c r="AU5149" s="1">
        <v>32410</v>
      </c>
      <c r="AV5149">
        <v>80</v>
      </c>
      <c r="AX5149" s="1">
        <v>3957.34</v>
      </c>
      <c r="AY5149" t="s">
        <v>192</v>
      </c>
      <c r="AZ5149" t="s">
        <v>193</v>
      </c>
      <c r="BA5149" t="s">
        <v>194</v>
      </c>
      <c r="BE5149" s="3">
        <v>42027</v>
      </c>
      <c r="BF5149" s="1">
        <v>407500</v>
      </c>
      <c r="BG5149" t="s">
        <v>31925</v>
      </c>
      <c r="BH5149" s="1">
        <v>141.99</v>
      </c>
      <c r="BI5149" s="1">
        <v>417577</v>
      </c>
      <c r="BJ5149" s="3">
        <v>42339</v>
      </c>
      <c r="BK5149" t="s">
        <v>123</v>
      </c>
      <c r="BL5149" t="str">
        <f>"2015.852338"</f>
        <v>2015.852338</v>
      </c>
      <c r="BM5149" t="s">
        <v>5534</v>
      </c>
      <c r="BO5149" t="s">
        <v>31926</v>
      </c>
      <c r="BS5149">
        <v>30</v>
      </c>
      <c r="BW5149" t="str">
        <f>""</f>
        <v/>
      </c>
      <c r="CH5149" t="str">
        <f>""</f>
        <v/>
      </c>
      <c r="CS5149" t="str">
        <f>""</f>
        <v/>
      </c>
    </row>
    <row r="5150" spans="1:97" x14ac:dyDescent="0.25">
      <c r="A5150" t="s">
        <v>4491</v>
      </c>
      <c r="B5150" t="s">
        <v>15875</v>
      </c>
      <c r="C5150" t="s">
        <v>2319</v>
      </c>
      <c r="D5150" t="s">
        <v>15875</v>
      </c>
      <c r="E5150" t="s">
        <v>31927</v>
      </c>
      <c r="F5150" t="s">
        <v>108</v>
      </c>
      <c r="H5150" t="s">
        <v>31928</v>
      </c>
      <c r="I5150" t="s">
        <v>225</v>
      </c>
      <c r="J5150" t="s">
        <v>111</v>
      </c>
      <c r="K5150" t="str">
        <f>"85213"</f>
        <v>85213</v>
      </c>
      <c r="L5150" t="s">
        <v>7607</v>
      </c>
      <c r="M5150" t="s">
        <v>31928</v>
      </c>
      <c r="N5150" t="s">
        <v>225</v>
      </c>
      <c r="O5150" t="s">
        <v>111</v>
      </c>
      <c r="P5150" t="str">
        <f>"85213-1464"</f>
        <v>85213-1464</v>
      </c>
      <c r="Q5150" t="s">
        <v>113</v>
      </c>
      <c r="R5150" t="str">
        <f>"141-06-120"</f>
        <v>141-06-120</v>
      </c>
      <c r="S5150" t="s">
        <v>31929</v>
      </c>
      <c r="T5150" t="s">
        <v>31929</v>
      </c>
      <c r="U5150">
        <v>3396</v>
      </c>
      <c r="V5150">
        <v>0</v>
      </c>
      <c r="W5150">
        <v>5</v>
      </c>
      <c r="X5150">
        <v>2006</v>
      </c>
      <c r="Z5150">
        <v>1</v>
      </c>
      <c r="AA5150" t="s">
        <v>26</v>
      </c>
      <c r="AB5150">
        <v>0</v>
      </c>
      <c r="AC5150" t="s">
        <v>115</v>
      </c>
      <c r="AD5150">
        <v>3</v>
      </c>
      <c r="AE5150" t="s">
        <v>115</v>
      </c>
      <c r="AF5150">
        <v>0</v>
      </c>
      <c r="AG5150">
        <v>0</v>
      </c>
      <c r="AH5150" t="s">
        <v>116</v>
      </c>
      <c r="AI5150" s="1">
        <v>118977</v>
      </c>
      <c r="AJ5150" s="2">
        <v>0.18</v>
      </c>
      <c r="AK5150" s="1">
        <v>654447</v>
      </c>
      <c r="AL5150" t="s">
        <v>117</v>
      </c>
      <c r="AM5150" t="s">
        <v>1521</v>
      </c>
      <c r="AN5150">
        <v>15639</v>
      </c>
      <c r="AO5150">
        <v>0.36</v>
      </c>
      <c r="AR5150">
        <v>1</v>
      </c>
      <c r="AS5150" s="1">
        <v>49950</v>
      </c>
      <c r="AT5150" s="1">
        <v>9990</v>
      </c>
      <c r="AU5150" s="1">
        <v>39960</v>
      </c>
      <c r="AV5150">
        <v>80</v>
      </c>
      <c r="AX5150" s="1">
        <v>4480.68</v>
      </c>
      <c r="AY5150" t="s">
        <v>11944</v>
      </c>
      <c r="AZ5150" t="s">
        <v>4163</v>
      </c>
      <c r="BA5150" t="s">
        <v>1524</v>
      </c>
      <c r="BB5150" s="3">
        <v>42234</v>
      </c>
      <c r="BD5150" t="s">
        <v>480</v>
      </c>
      <c r="BE5150" s="3">
        <v>42208</v>
      </c>
      <c r="BF5150" s="1">
        <v>610000</v>
      </c>
      <c r="BG5150" t="s">
        <v>31930</v>
      </c>
      <c r="BH5150" s="1">
        <v>179.62</v>
      </c>
      <c r="BI5150" s="1">
        <v>535470</v>
      </c>
      <c r="BJ5150" s="3">
        <v>42412</v>
      </c>
      <c r="BK5150" t="s">
        <v>123</v>
      </c>
      <c r="BL5150" t="str">
        <f>"2016.93176"</f>
        <v>2016.93176</v>
      </c>
      <c r="BM5150" t="s">
        <v>150</v>
      </c>
      <c r="BO5150" t="s">
        <v>31931</v>
      </c>
      <c r="BS5150">
        <v>30</v>
      </c>
      <c r="BW5150" t="str">
        <f>""</f>
        <v/>
      </c>
      <c r="CH5150" t="str">
        <f>""</f>
        <v/>
      </c>
      <c r="CS5150" t="str">
        <f>""</f>
        <v/>
      </c>
    </row>
    <row r="5151" spans="1:97" x14ac:dyDescent="0.25">
      <c r="B5151" t="s">
        <v>31932</v>
      </c>
      <c r="E5151" t="s">
        <v>31933</v>
      </c>
      <c r="F5151" t="s">
        <v>108</v>
      </c>
      <c r="H5151" t="s">
        <v>31934</v>
      </c>
      <c r="I5151" t="s">
        <v>203</v>
      </c>
      <c r="J5151" t="s">
        <v>111</v>
      </c>
      <c r="K5151" t="str">
        <f>"85298"</f>
        <v>85298</v>
      </c>
      <c r="L5151" t="s">
        <v>7243</v>
      </c>
      <c r="M5151" t="s">
        <v>31934</v>
      </c>
      <c r="N5151" t="s">
        <v>203</v>
      </c>
      <c r="O5151" t="s">
        <v>111</v>
      </c>
      <c r="P5151" t="str">
        <f>"85298-5804"</f>
        <v>85298-5804</v>
      </c>
      <c r="Q5151" t="s">
        <v>113</v>
      </c>
      <c r="R5151" t="str">
        <f>"304-78-014-P"</f>
        <v>304-78-014-P</v>
      </c>
      <c r="S5151" t="s">
        <v>27293</v>
      </c>
      <c r="T5151" t="s">
        <v>27293</v>
      </c>
      <c r="U5151">
        <v>3831</v>
      </c>
      <c r="V5151">
        <v>0</v>
      </c>
      <c r="W5151">
        <v>5</v>
      </c>
      <c r="X5151">
        <v>2005</v>
      </c>
      <c r="Z5151">
        <v>1</v>
      </c>
      <c r="AB5151">
        <v>0</v>
      </c>
      <c r="AC5151" t="s">
        <v>115</v>
      </c>
      <c r="AD5151">
        <v>3</v>
      </c>
      <c r="AE5151" t="s">
        <v>115</v>
      </c>
      <c r="AF5151">
        <v>0</v>
      </c>
      <c r="AG5151">
        <v>0</v>
      </c>
      <c r="AH5151" t="s">
        <v>116</v>
      </c>
      <c r="AI5151" s="1">
        <v>182267</v>
      </c>
      <c r="AJ5151" s="2">
        <v>0.27</v>
      </c>
      <c r="AK5151" s="1">
        <v>669522</v>
      </c>
      <c r="AL5151" t="s">
        <v>117</v>
      </c>
      <c r="AM5151" t="s">
        <v>376</v>
      </c>
      <c r="AN5151">
        <v>46848</v>
      </c>
      <c r="AO5151">
        <v>1.08</v>
      </c>
      <c r="AP5151">
        <v>1</v>
      </c>
      <c r="AR5151">
        <v>1</v>
      </c>
      <c r="AS5151" s="1">
        <v>49160</v>
      </c>
      <c r="AT5151" s="1">
        <v>9830</v>
      </c>
      <c r="AU5151" s="1">
        <v>39330</v>
      </c>
      <c r="AV5151">
        <v>80</v>
      </c>
      <c r="AX5151" s="1">
        <v>4821.8</v>
      </c>
      <c r="AY5151" t="s">
        <v>5875</v>
      </c>
      <c r="AZ5151" t="s">
        <v>1134</v>
      </c>
      <c r="BA5151" t="s">
        <v>1134</v>
      </c>
      <c r="BB5151" s="3">
        <v>42760</v>
      </c>
      <c r="BD5151" t="s">
        <v>240</v>
      </c>
      <c r="BE5151" s="3">
        <v>42111</v>
      </c>
      <c r="BF5151" s="1">
        <v>497000</v>
      </c>
      <c r="BG5151" t="s">
        <v>31935</v>
      </c>
      <c r="BH5151" s="1">
        <v>129.72999999999999</v>
      </c>
      <c r="BI5151" s="1">
        <v>487255</v>
      </c>
      <c r="BJ5151" s="3">
        <v>42111</v>
      </c>
      <c r="BK5151" t="s">
        <v>123</v>
      </c>
      <c r="BL5151" t="str">
        <f>"2015.265364"</f>
        <v>2015.265364</v>
      </c>
      <c r="BM5151" t="s">
        <v>2683</v>
      </c>
      <c r="BO5151" t="s">
        <v>31936</v>
      </c>
      <c r="BS5151">
        <v>30</v>
      </c>
      <c r="BW5151" t="str">
        <f>""</f>
        <v/>
      </c>
      <c r="CH5151" t="str">
        <f>""</f>
        <v/>
      </c>
      <c r="CS5151" t="str">
        <f>""</f>
        <v/>
      </c>
    </row>
    <row r="5152" spans="1:97" x14ac:dyDescent="0.25">
      <c r="A5152" t="s">
        <v>1979</v>
      </c>
      <c r="B5152" t="s">
        <v>1665</v>
      </c>
      <c r="E5152" t="s">
        <v>31937</v>
      </c>
      <c r="F5152" t="s">
        <v>108</v>
      </c>
      <c r="H5152" t="s">
        <v>31938</v>
      </c>
      <c r="I5152" t="s">
        <v>390</v>
      </c>
      <c r="J5152" t="s">
        <v>111</v>
      </c>
      <c r="K5152" t="str">
        <f>"85041"</f>
        <v>85041</v>
      </c>
      <c r="L5152" t="s">
        <v>5209</v>
      </c>
      <c r="M5152" t="s">
        <v>31938</v>
      </c>
      <c r="N5152" t="s">
        <v>390</v>
      </c>
      <c r="O5152" t="s">
        <v>111</v>
      </c>
      <c r="P5152" t="str">
        <f>"85041-6638"</f>
        <v>85041-6638</v>
      </c>
      <c r="Q5152" t="s">
        <v>113</v>
      </c>
      <c r="R5152" t="str">
        <f>"105-88-953"</f>
        <v>105-88-953</v>
      </c>
      <c r="S5152" t="s">
        <v>10850</v>
      </c>
      <c r="T5152" t="s">
        <v>10850</v>
      </c>
      <c r="U5152">
        <v>1700</v>
      </c>
      <c r="V5152">
        <v>0</v>
      </c>
      <c r="W5152">
        <v>3</v>
      </c>
      <c r="X5152">
        <v>2014</v>
      </c>
      <c r="Z5152">
        <v>1</v>
      </c>
      <c r="AB5152">
        <v>0</v>
      </c>
      <c r="AC5152" t="s">
        <v>115</v>
      </c>
      <c r="AD5152">
        <v>2</v>
      </c>
      <c r="AE5152" t="s">
        <v>115</v>
      </c>
      <c r="AF5152">
        <v>0</v>
      </c>
      <c r="AG5152">
        <v>0</v>
      </c>
      <c r="AH5152" t="s">
        <v>116</v>
      </c>
      <c r="AI5152" s="1">
        <v>66162</v>
      </c>
      <c r="AJ5152" s="2">
        <v>0.24</v>
      </c>
      <c r="AK5152" s="1">
        <v>280812</v>
      </c>
      <c r="AL5152" t="s">
        <v>117</v>
      </c>
      <c r="AM5152" t="s">
        <v>760</v>
      </c>
      <c r="AN5152">
        <v>9984</v>
      </c>
      <c r="AO5152">
        <v>0.23</v>
      </c>
      <c r="AR5152">
        <v>1</v>
      </c>
      <c r="AS5152" s="1">
        <v>20660</v>
      </c>
      <c r="AT5152" s="1">
        <v>4130</v>
      </c>
      <c r="AU5152" s="1">
        <v>16530</v>
      </c>
      <c r="AV5152">
        <v>80.010000000000005</v>
      </c>
      <c r="AX5152" s="1">
        <v>1894.82</v>
      </c>
      <c r="AY5152" t="s">
        <v>5211</v>
      </c>
      <c r="AZ5152" t="s">
        <v>5211</v>
      </c>
      <c r="BA5152" t="s">
        <v>1661</v>
      </c>
      <c r="BE5152" s="3">
        <v>41754</v>
      </c>
      <c r="BF5152" s="1">
        <v>210000</v>
      </c>
      <c r="BG5152" t="s">
        <v>3062</v>
      </c>
      <c r="BH5152" s="1">
        <v>123.53</v>
      </c>
      <c r="BI5152" s="1">
        <v>214650</v>
      </c>
      <c r="BJ5152" s="3">
        <v>42153</v>
      </c>
      <c r="BK5152" t="s">
        <v>123</v>
      </c>
      <c r="BL5152" t="str">
        <f>"2015.381285"</f>
        <v>2015.381285</v>
      </c>
      <c r="BM5152" t="s">
        <v>124</v>
      </c>
      <c r="BO5152" t="s">
        <v>31939</v>
      </c>
      <c r="BS5152">
        <v>30</v>
      </c>
      <c r="BW5152" t="str">
        <f>""</f>
        <v/>
      </c>
      <c r="CH5152" t="str">
        <f>""</f>
        <v/>
      </c>
      <c r="CS5152" t="str">
        <f>""</f>
        <v/>
      </c>
    </row>
    <row r="5153" spans="1:97" x14ac:dyDescent="0.25">
      <c r="B5153" t="s">
        <v>31940</v>
      </c>
      <c r="E5153" t="s">
        <v>31941</v>
      </c>
      <c r="F5153" t="s">
        <v>108</v>
      </c>
      <c r="H5153" t="s">
        <v>31942</v>
      </c>
      <c r="I5153" t="s">
        <v>5636</v>
      </c>
      <c r="J5153" t="s">
        <v>111</v>
      </c>
      <c r="K5153" t="str">
        <f>"85268"</f>
        <v>85268</v>
      </c>
      <c r="L5153" t="s">
        <v>5637</v>
      </c>
      <c r="M5153" t="s">
        <v>31942</v>
      </c>
      <c r="N5153" t="s">
        <v>5636</v>
      </c>
      <c r="O5153" t="s">
        <v>111</v>
      </c>
      <c r="P5153" t="str">
        <f>"85268-2249"</f>
        <v>85268-2249</v>
      </c>
      <c r="Q5153" t="s">
        <v>113</v>
      </c>
      <c r="R5153" t="str">
        <f>"176-02-547"</f>
        <v>176-02-547</v>
      </c>
      <c r="S5153" t="s">
        <v>31943</v>
      </c>
      <c r="U5153">
        <v>2410</v>
      </c>
      <c r="V5153">
        <v>0</v>
      </c>
      <c r="W5153">
        <v>4</v>
      </c>
      <c r="X5153">
        <v>1983</v>
      </c>
      <c r="Z5153">
        <v>1</v>
      </c>
      <c r="AA5153" t="s">
        <v>26</v>
      </c>
      <c r="AB5153">
        <v>0</v>
      </c>
      <c r="AC5153" t="s">
        <v>115</v>
      </c>
      <c r="AD5153">
        <v>2</v>
      </c>
      <c r="AE5153" t="s">
        <v>115</v>
      </c>
      <c r="AF5153">
        <v>0</v>
      </c>
      <c r="AG5153">
        <v>0</v>
      </c>
      <c r="AH5153" t="s">
        <v>116</v>
      </c>
      <c r="AI5153" s="1">
        <v>73364</v>
      </c>
      <c r="AJ5153" s="2">
        <v>0.15</v>
      </c>
      <c r="AK5153" s="1">
        <v>497634</v>
      </c>
      <c r="AL5153" t="s">
        <v>117</v>
      </c>
      <c r="AM5153" t="s">
        <v>171</v>
      </c>
      <c r="AN5153">
        <v>16692</v>
      </c>
      <c r="AO5153">
        <v>0.38</v>
      </c>
      <c r="AP5153">
        <v>1</v>
      </c>
      <c r="AR5153">
        <v>1</v>
      </c>
      <c r="AS5153" s="1">
        <v>32650</v>
      </c>
      <c r="AT5153" s="1">
        <v>6190</v>
      </c>
      <c r="AU5153" s="1">
        <v>26460</v>
      </c>
      <c r="AV5153">
        <v>81.040000000000006</v>
      </c>
      <c r="AX5153" s="1">
        <v>1948.5</v>
      </c>
      <c r="AY5153" t="s">
        <v>5639</v>
      </c>
      <c r="AZ5153" t="s">
        <v>5640</v>
      </c>
      <c r="BA5153" t="s">
        <v>5641</v>
      </c>
      <c r="BB5153" s="3">
        <v>42090</v>
      </c>
      <c r="BD5153" t="s">
        <v>458</v>
      </c>
      <c r="BE5153" s="3">
        <v>42054</v>
      </c>
      <c r="BF5153" s="1">
        <v>449500</v>
      </c>
      <c r="BG5153" t="s">
        <v>31944</v>
      </c>
      <c r="BH5153" s="1">
        <v>186.51</v>
      </c>
      <c r="BI5153" s="1">
        <v>424270</v>
      </c>
      <c r="BJ5153" s="3">
        <v>42054</v>
      </c>
      <c r="BK5153" t="s">
        <v>123</v>
      </c>
      <c r="BL5153" t="str">
        <f>"2015.109060"</f>
        <v>2015.109060</v>
      </c>
      <c r="BM5153" t="s">
        <v>544</v>
      </c>
      <c r="BO5153" t="s">
        <v>31945</v>
      </c>
      <c r="BS5153">
        <v>30</v>
      </c>
      <c r="BW5153" t="str">
        <f>""</f>
        <v/>
      </c>
      <c r="CH5153" t="str">
        <f>""</f>
        <v/>
      </c>
      <c r="CS5153" t="str">
        <f>""</f>
        <v/>
      </c>
    </row>
    <row r="5154" spans="1:97" x14ac:dyDescent="0.25">
      <c r="B5154" t="s">
        <v>31946</v>
      </c>
      <c r="E5154" t="s">
        <v>31947</v>
      </c>
      <c r="F5154" t="s">
        <v>108</v>
      </c>
      <c r="H5154" t="s">
        <v>31948</v>
      </c>
      <c r="I5154" t="s">
        <v>5863</v>
      </c>
      <c r="J5154" t="s">
        <v>111</v>
      </c>
      <c r="K5154" t="str">
        <f>"85375"</f>
        <v>85375</v>
      </c>
      <c r="L5154" t="s">
        <v>8199</v>
      </c>
      <c r="M5154" t="s">
        <v>31948</v>
      </c>
      <c r="N5154" t="s">
        <v>5863</v>
      </c>
      <c r="O5154" t="s">
        <v>111</v>
      </c>
      <c r="P5154" t="str">
        <f>"85375-3339"</f>
        <v>85375-3339</v>
      </c>
      <c r="Q5154" t="s">
        <v>113</v>
      </c>
      <c r="R5154" t="str">
        <f>"232-09-123"</f>
        <v>232-09-123</v>
      </c>
      <c r="S5154" t="s">
        <v>16518</v>
      </c>
      <c r="U5154">
        <v>2045</v>
      </c>
      <c r="V5154">
        <v>0</v>
      </c>
      <c r="W5154">
        <v>2</v>
      </c>
      <c r="X5154">
        <v>1980</v>
      </c>
      <c r="Z5154">
        <v>1</v>
      </c>
      <c r="AB5154">
        <v>0</v>
      </c>
      <c r="AC5154" t="s">
        <v>115</v>
      </c>
      <c r="AD5154">
        <v>2</v>
      </c>
      <c r="AE5154" t="s">
        <v>115</v>
      </c>
      <c r="AF5154">
        <v>0</v>
      </c>
      <c r="AG5154">
        <v>0</v>
      </c>
      <c r="AH5154" t="s">
        <v>116</v>
      </c>
      <c r="AI5154" s="1">
        <v>65985</v>
      </c>
      <c r="AJ5154" s="2">
        <v>0.21</v>
      </c>
      <c r="AK5154" s="1">
        <v>318136</v>
      </c>
      <c r="AL5154" t="s">
        <v>117</v>
      </c>
      <c r="AM5154" t="s">
        <v>393</v>
      </c>
      <c r="AN5154">
        <v>11482</v>
      </c>
      <c r="AO5154">
        <v>0.26</v>
      </c>
      <c r="AP5154">
        <v>1</v>
      </c>
      <c r="AR5154">
        <v>1</v>
      </c>
      <c r="AS5154" s="1">
        <v>21530</v>
      </c>
      <c r="AT5154" s="1">
        <v>4300</v>
      </c>
      <c r="AU5154" s="1">
        <v>17230</v>
      </c>
      <c r="AV5154">
        <v>80.03</v>
      </c>
      <c r="AX5154" s="1">
        <v>1485.4</v>
      </c>
      <c r="AY5154" t="s">
        <v>320</v>
      </c>
      <c r="AZ5154" t="s">
        <v>320</v>
      </c>
      <c r="BA5154" t="s">
        <v>321</v>
      </c>
      <c r="BB5154" s="3">
        <v>42073</v>
      </c>
      <c r="BD5154" t="s">
        <v>480</v>
      </c>
      <c r="BE5154" s="3">
        <v>42006</v>
      </c>
      <c r="BF5154" s="1">
        <v>261500</v>
      </c>
      <c r="BG5154" t="s">
        <v>31949</v>
      </c>
      <c r="BH5154" s="1">
        <v>127.87</v>
      </c>
      <c r="BI5154" s="1">
        <v>252151</v>
      </c>
      <c r="BJ5154" s="3">
        <v>42006</v>
      </c>
      <c r="BK5154" t="s">
        <v>123</v>
      </c>
      <c r="BL5154" t="str">
        <f>"2015.1689"</f>
        <v>2015.1689</v>
      </c>
      <c r="BM5154" t="s">
        <v>475</v>
      </c>
      <c r="BO5154" t="s">
        <v>31950</v>
      </c>
      <c r="BS5154">
        <v>30</v>
      </c>
      <c r="BW5154" t="str">
        <f>""</f>
        <v/>
      </c>
      <c r="CH5154" t="str">
        <f>""</f>
        <v/>
      </c>
      <c r="CS5154" t="str">
        <f>""</f>
        <v/>
      </c>
    </row>
    <row r="5155" spans="1:97" x14ac:dyDescent="0.25">
      <c r="A5155" t="s">
        <v>265</v>
      </c>
      <c r="B5155" t="s">
        <v>529</v>
      </c>
      <c r="C5155" t="s">
        <v>31951</v>
      </c>
      <c r="D5155" t="s">
        <v>529</v>
      </c>
      <c r="E5155" t="s">
        <v>31952</v>
      </c>
      <c r="F5155" t="s">
        <v>108</v>
      </c>
      <c r="H5155" t="s">
        <v>31953</v>
      </c>
      <c r="I5155" t="s">
        <v>632</v>
      </c>
      <c r="J5155" t="s">
        <v>111</v>
      </c>
      <c r="K5155" t="str">
        <f>"85374"</f>
        <v>85374</v>
      </c>
      <c r="L5155" t="s">
        <v>5514</v>
      </c>
      <c r="M5155" t="s">
        <v>31953</v>
      </c>
      <c r="N5155" t="s">
        <v>632</v>
      </c>
      <c r="O5155" t="s">
        <v>111</v>
      </c>
      <c r="P5155" t="str">
        <f>"85374-1800"</f>
        <v>85374-1800</v>
      </c>
      <c r="Q5155" t="s">
        <v>113</v>
      </c>
      <c r="R5155" t="str">
        <f>"232-39-894"</f>
        <v>232-39-894</v>
      </c>
      <c r="S5155" t="s">
        <v>14722</v>
      </c>
      <c r="U5155">
        <v>2047</v>
      </c>
      <c r="V5155">
        <v>0</v>
      </c>
      <c r="W5155">
        <v>3</v>
      </c>
      <c r="X5155">
        <v>2005</v>
      </c>
      <c r="Z5155">
        <v>1</v>
      </c>
      <c r="AA5155" t="s">
        <v>26</v>
      </c>
      <c r="AB5155">
        <v>0</v>
      </c>
      <c r="AC5155" t="s">
        <v>115</v>
      </c>
      <c r="AD5155">
        <v>2</v>
      </c>
      <c r="AE5155" t="s">
        <v>115</v>
      </c>
      <c r="AF5155">
        <v>0</v>
      </c>
      <c r="AG5155">
        <v>0</v>
      </c>
      <c r="AH5155" t="s">
        <v>116</v>
      </c>
      <c r="AI5155" s="1">
        <v>30782</v>
      </c>
      <c r="AJ5155" s="2">
        <v>0.1</v>
      </c>
      <c r="AK5155" s="1">
        <v>303782</v>
      </c>
      <c r="AL5155" t="s">
        <v>117</v>
      </c>
      <c r="AM5155" t="s">
        <v>5516</v>
      </c>
      <c r="AN5155">
        <v>10367</v>
      </c>
      <c r="AO5155">
        <v>0.24</v>
      </c>
      <c r="AR5155">
        <v>1</v>
      </c>
      <c r="AS5155" s="1">
        <v>22500</v>
      </c>
      <c r="AT5155" s="1">
        <v>4500</v>
      </c>
      <c r="AU5155" s="1">
        <v>18000</v>
      </c>
      <c r="AV5155">
        <v>80</v>
      </c>
      <c r="AX5155" s="1">
        <v>1414.82</v>
      </c>
      <c r="AY5155" t="s">
        <v>5517</v>
      </c>
      <c r="AZ5155" t="s">
        <v>5517</v>
      </c>
      <c r="BA5155" t="s">
        <v>5109</v>
      </c>
      <c r="BE5155" s="3">
        <v>42202</v>
      </c>
      <c r="BF5155" s="1">
        <v>212000</v>
      </c>
      <c r="BG5155" t="s">
        <v>31954</v>
      </c>
      <c r="BH5155" s="1">
        <v>103.57</v>
      </c>
      <c r="BI5155" s="1">
        <v>273000</v>
      </c>
      <c r="BJ5155" s="3">
        <v>43601</v>
      </c>
      <c r="BK5155" t="s">
        <v>123</v>
      </c>
      <c r="BL5155" t="str">
        <f>"2019.360667"</f>
        <v>2019.360667</v>
      </c>
      <c r="BM5155" t="s">
        <v>248</v>
      </c>
      <c r="BN5155" t="s">
        <v>249</v>
      </c>
      <c r="BO5155" t="s">
        <v>31955</v>
      </c>
      <c r="BP5155" t="s">
        <v>31956</v>
      </c>
      <c r="BR5155" t="s">
        <v>139</v>
      </c>
      <c r="BW5155" t="str">
        <f>""</f>
        <v/>
      </c>
      <c r="CH5155" t="str">
        <f>""</f>
        <v/>
      </c>
      <c r="CS5155" t="str">
        <f>""</f>
        <v/>
      </c>
    </row>
    <row r="5156" spans="1:97" x14ac:dyDescent="0.25">
      <c r="A5156" t="s">
        <v>938</v>
      </c>
      <c r="B5156" t="s">
        <v>19436</v>
      </c>
      <c r="E5156" t="s">
        <v>31957</v>
      </c>
      <c r="F5156" t="s">
        <v>108</v>
      </c>
      <c r="H5156" t="s">
        <v>31958</v>
      </c>
      <c r="I5156" t="s">
        <v>2874</v>
      </c>
      <c r="J5156" t="s">
        <v>111</v>
      </c>
      <c r="K5156" t="str">
        <f>"85308"</f>
        <v>85308</v>
      </c>
      <c r="L5156" t="s">
        <v>5291</v>
      </c>
      <c r="M5156" t="s">
        <v>31958</v>
      </c>
      <c r="N5156" t="s">
        <v>2874</v>
      </c>
      <c r="O5156" t="s">
        <v>111</v>
      </c>
      <c r="P5156" t="str">
        <f>"85308-5940"</f>
        <v>85308-5940</v>
      </c>
      <c r="Q5156" t="s">
        <v>113</v>
      </c>
      <c r="R5156" t="str">
        <f>"200-30-398"</f>
        <v>200-30-398</v>
      </c>
      <c r="S5156" t="s">
        <v>17263</v>
      </c>
      <c r="U5156">
        <v>1680</v>
      </c>
      <c r="V5156">
        <v>0</v>
      </c>
      <c r="W5156">
        <v>3</v>
      </c>
      <c r="X5156">
        <v>1987</v>
      </c>
      <c r="Z5156">
        <v>1</v>
      </c>
      <c r="AB5156">
        <v>0</v>
      </c>
      <c r="AC5156" t="s">
        <v>115</v>
      </c>
      <c r="AD5156">
        <v>2</v>
      </c>
      <c r="AE5156" t="s">
        <v>115</v>
      </c>
      <c r="AF5156">
        <v>0</v>
      </c>
      <c r="AG5156">
        <v>0</v>
      </c>
      <c r="AH5156" t="s">
        <v>116</v>
      </c>
      <c r="AI5156" s="1">
        <v>87281</v>
      </c>
      <c r="AJ5156" s="2">
        <v>0.3</v>
      </c>
      <c r="AK5156" s="1">
        <v>292281</v>
      </c>
      <c r="AL5156" t="s">
        <v>117</v>
      </c>
      <c r="AM5156" t="s">
        <v>191</v>
      </c>
      <c r="AN5156">
        <v>7598</v>
      </c>
      <c r="AO5156">
        <v>0.17</v>
      </c>
      <c r="AP5156">
        <v>1</v>
      </c>
      <c r="AR5156">
        <v>1</v>
      </c>
      <c r="AS5156" s="1">
        <v>18330</v>
      </c>
      <c r="AT5156" s="1">
        <v>3660</v>
      </c>
      <c r="AU5156" s="1">
        <v>14670</v>
      </c>
      <c r="AV5156">
        <v>80.03</v>
      </c>
      <c r="AX5156" s="1">
        <v>1638.32</v>
      </c>
      <c r="AY5156" t="s">
        <v>8400</v>
      </c>
      <c r="AZ5156" t="s">
        <v>8400</v>
      </c>
      <c r="BA5156" t="s">
        <v>2223</v>
      </c>
      <c r="BE5156" s="3">
        <v>41739</v>
      </c>
      <c r="BF5156" s="1">
        <v>207900</v>
      </c>
      <c r="BG5156" t="s">
        <v>31959</v>
      </c>
      <c r="BH5156" s="1">
        <v>123.75</v>
      </c>
      <c r="BI5156" s="1">
        <v>205000</v>
      </c>
      <c r="BJ5156" s="3">
        <v>42661</v>
      </c>
      <c r="BK5156" t="s">
        <v>123</v>
      </c>
      <c r="BL5156" t="str">
        <f>"2016.763946"</f>
        <v>2016.763946</v>
      </c>
      <c r="BM5156" t="s">
        <v>6517</v>
      </c>
      <c r="BO5156" t="s">
        <v>31960</v>
      </c>
      <c r="BS5156">
        <v>30</v>
      </c>
      <c r="BW5156" t="str">
        <f>""</f>
        <v/>
      </c>
      <c r="CH5156" t="str">
        <f>""</f>
        <v/>
      </c>
      <c r="CS5156" t="str">
        <f>""</f>
        <v/>
      </c>
    </row>
    <row r="5157" spans="1:97" x14ac:dyDescent="0.25">
      <c r="A5157" t="s">
        <v>370</v>
      </c>
      <c r="B5157" t="s">
        <v>18439</v>
      </c>
      <c r="C5157" t="s">
        <v>3505</v>
      </c>
      <c r="D5157" t="s">
        <v>18439</v>
      </c>
      <c r="E5157" t="s">
        <v>31961</v>
      </c>
      <c r="F5157" t="s">
        <v>108</v>
      </c>
      <c r="H5157" t="s">
        <v>31962</v>
      </c>
      <c r="I5157" t="s">
        <v>203</v>
      </c>
      <c r="J5157" t="s">
        <v>111</v>
      </c>
      <c r="K5157" t="str">
        <f>"85297"</f>
        <v>85297</v>
      </c>
      <c r="L5157" t="s">
        <v>26167</v>
      </c>
      <c r="M5157" t="s">
        <v>31962</v>
      </c>
      <c r="N5157" t="s">
        <v>203</v>
      </c>
      <c r="O5157" t="s">
        <v>111</v>
      </c>
      <c r="P5157" t="str">
        <f>"85297-3543"</f>
        <v>85297-3543</v>
      </c>
      <c r="Q5157" t="s">
        <v>113</v>
      </c>
      <c r="R5157" t="str">
        <f>"304-59-343"</f>
        <v>304-59-343</v>
      </c>
      <c r="S5157" t="s">
        <v>31963</v>
      </c>
      <c r="T5157" t="s">
        <v>14324</v>
      </c>
      <c r="U5157">
        <v>1738</v>
      </c>
      <c r="V5157">
        <v>0</v>
      </c>
      <c r="W5157">
        <v>4</v>
      </c>
      <c r="X5157">
        <v>2007</v>
      </c>
      <c r="Z5157">
        <v>2</v>
      </c>
      <c r="AB5157">
        <v>0</v>
      </c>
      <c r="AC5157" t="s">
        <v>115</v>
      </c>
      <c r="AD5157">
        <v>2</v>
      </c>
      <c r="AE5157" t="s">
        <v>115</v>
      </c>
      <c r="AF5157">
        <v>0</v>
      </c>
      <c r="AG5157">
        <v>0</v>
      </c>
      <c r="AH5157" t="s">
        <v>116</v>
      </c>
      <c r="AI5157" s="1">
        <v>82940</v>
      </c>
      <c r="AJ5157" s="2">
        <v>0.27</v>
      </c>
      <c r="AK5157" s="1">
        <v>304104</v>
      </c>
      <c r="AL5157" t="s">
        <v>117</v>
      </c>
      <c r="AM5157" t="s">
        <v>288</v>
      </c>
      <c r="AN5157">
        <v>4077</v>
      </c>
      <c r="AO5157">
        <v>0.94</v>
      </c>
      <c r="AP5157">
        <v>1</v>
      </c>
      <c r="AR5157">
        <v>1</v>
      </c>
      <c r="AS5157" s="1">
        <v>20730</v>
      </c>
      <c r="AT5157" s="1">
        <v>4140</v>
      </c>
      <c r="AU5157" s="1">
        <v>16590</v>
      </c>
      <c r="AV5157">
        <v>80.03</v>
      </c>
      <c r="AX5157" s="1">
        <v>1731.72</v>
      </c>
      <c r="AY5157" t="s">
        <v>8338</v>
      </c>
      <c r="AZ5157" t="s">
        <v>8338</v>
      </c>
      <c r="BA5157" t="s">
        <v>290</v>
      </c>
      <c r="BE5157" s="3">
        <v>41647</v>
      </c>
      <c r="BF5157" s="1">
        <v>204000</v>
      </c>
      <c r="BG5157" t="s">
        <v>31964</v>
      </c>
      <c r="BH5157" s="1">
        <v>117.38</v>
      </c>
      <c r="BI5157" s="1">
        <v>221164</v>
      </c>
      <c r="BJ5157" s="3">
        <v>43516</v>
      </c>
      <c r="BK5157" t="s">
        <v>123</v>
      </c>
      <c r="BL5157" t="str">
        <f>"2019.114245"</f>
        <v>2019.114245</v>
      </c>
      <c r="BM5157" t="s">
        <v>20709</v>
      </c>
      <c r="BN5157" t="s">
        <v>31965</v>
      </c>
      <c r="BO5157" t="s">
        <v>31966</v>
      </c>
      <c r="BP5157" t="s">
        <v>31967</v>
      </c>
      <c r="BR5157" t="s">
        <v>139</v>
      </c>
      <c r="BW5157" t="str">
        <f>""</f>
        <v/>
      </c>
      <c r="CH5157" t="str">
        <f>""</f>
        <v/>
      </c>
      <c r="CS5157" t="str">
        <f>""</f>
        <v/>
      </c>
    </row>
    <row r="5158" spans="1:97" x14ac:dyDescent="0.25">
      <c r="A5158" t="s">
        <v>701</v>
      </c>
      <c r="B5158" t="s">
        <v>20802</v>
      </c>
      <c r="C5158" t="s">
        <v>1119</v>
      </c>
      <c r="D5158" t="s">
        <v>20802</v>
      </c>
      <c r="E5158" t="s">
        <v>31968</v>
      </c>
      <c r="F5158" t="s">
        <v>108</v>
      </c>
      <c r="H5158" t="s">
        <v>31969</v>
      </c>
      <c r="I5158" t="s">
        <v>1788</v>
      </c>
      <c r="J5158" t="s">
        <v>111</v>
      </c>
      <c r="K5158" t="str">
        <f>"85355"</f>
        <v>85355</v>
      </c>
      <c r="L5158" t="s">
        <v>168</v>
      </c>
      <c r="M5158" t="s">
        <v>31969</v>
      </c>
      <c r="N5158" t="s">
        <v>1788</v>
      </c>
      <c r="O5158" t="s">
        <v>111</v>
      </c>
      <c r="P5158" t="str">
        <f>"85355-4453"</f>
        <v>85355-4453</v>
      </c>
      <c r="Q5158" t="s">
        <v>113</v>
      </c>
      <c r="R5158" t="str">
        <f>"502-90-526"</f>
        <v>502-90-526</v>
      </c>
      <c r="S5158" t="s">
        <v>8290</v>
      </c>
      <c r="T5158" t="s">
        <v>8290</v>
      </c>
      <c r="U5158">
        <v>2351</v>
      </c>
      <c r="V5158">
        <v>0</v>
      </c>
      <c r="W5158">
        <v>4</v>
      </c>
      <c r="X5158">
        <v>2014</v>
      </c>
      <c r="Z5158">
        <v>1</v>
      </c>
      <c r="AB5158">
        <v>0</v>
      </c>
      <c r="AC5158" t="s">
        <v>115</v>
      </c>
      <c r="AD5158">
        <v>2</v>
      </c>
      <c r="AE5158" t="s">
        <v>115</v>
      </c>
      <c r="AF5158">
        <v>0</v>
      </c>
      <c r="AG5158">
        <v>0</v>
      </c>
      <c r="AH5158" t="s">
        <v>116</v>
      </c>
      <c r="AI5158" s="1">
        <v>65065</v>
      </c>
      <c r="AJ5158" s="2">
        <v>0.21</v>
      </c>
      <c r="AK5158" s="1">
        <v>315934</v>
      </c>
      <c r="AL5158" t="s">
        <v>117</v>
      </c>
      <c r="AM5158" t="s">
        <v>171</v>
      </c>
      <c r="AN5158">
        <v>8750</v>
      </c>
      <c r="AO5158">
        <v>0.2</v>
      </c>
      <c r="AR5158">
        <v>1</v>
      </c>
      <c r="AS5158" s="1">
        <v>23380</v>
      </c>
      <c r="AT5158" s="1">
        <v>4670</v>
      </c>
      <c r="AU5158" s="1">
        <v>18710</v>
      </c>
      <c r="AV5158">
        <v>80.03</v>
      </c>
      <c r="AX5158" s="1">
        <v>1542.12</v>
      </c>
      <c r="AY5158" t="s">
        <v>5972</v>
      </c>
      <c r="AZ5158" t="s">
        <v>5972</v>
      </c>
      <c r="BA5158" t="s">
        <v>5061</v>
      </c>
      <c r="BE5158" s="3">
        <v>41851</v>
      </c>
      <c r="BF5158" s="1">
        <v>244990</v>
      </c>
      <c r="BG5158" t="s">
        <v>158</v>
      </c>
      <c r="BH5158" s="1">
        <v>104.21</v>
      </c>
      <c r="BI5158" s="1">
        <v>250869</v>
      </c>
      <c r="BJ5158" s="3">
        <v>41851</v>
      </c>
      <c r="BK5158" t="s">
        <v>123</v>
      </c>
      <c r="BL5158" t="str">
        <f>"2014.500589"</f>
        <v>2014.500589</v>
      </c>
      <c r="BM5158" t="s">
        <v>11327</v>
      </c>
      <c r="BO5158" t="s">
        <v>31970</v>
      </c>
      <c r="BS5158">
        <v>30</v>
      </c>
      <c r="BW5158" t="str">
        <f>""</f>
        <v/>
      </c>
      <c r="CH5158" t="str">
        <f>""</f>
        <v/>
      </c>
      <c r="CS5158" t="str">
        <f>""</f>
        <v/>
      </c>
    </row>
    <row r="5159" spans="1:97" x14ac:dyDescent="0.25">
      <c r="A5159" t="s">
        <v>894</v>
      </c>
      <c r="B5159" t="s">
        <v>31971</v>
      </c>
      <c r="C5159" t="s">
        <v>31972</v>
      </c>
      <c r="D5159" t="s">
        <v>31971</v>
      </c>
      <c r="E5159" t="s">
        <v>31973</v>
      </c>
      <c r="F5159" t="s">
        <v>108</v>
      </c>
      <c r="H5159" t="s">
        <v>31974</v>
      </c>
      <c r="I5159" t="s">
        <v>499</v>
      </c>
      <c r="J5159" t="s">
        <v>111</v>
      </c>
      <c r="K5159" t="str">
        <f>"85395"</f>
        <v>85395</v>
      </c>
      <c r="L5159" t="s">
        <v>5131</v>
      </c>
      <c r="M5159" t="s">
        <v>31974</v>
      </c>
      <c r="N5159" t="s">
        <v>499</v>
      </c>
      <c r="O5159" t="s">
        <v>111</v>
      </c>
      <c r="P5159" t="str">
        <f>"85395-6413"</f>
        <v>85395-6413</v>
      </c>
      <c r="Q5159" t="s">
        <v>113</v>
      </c>
      <c r="R5159" t="str">
        <f>"508-09-360"</f>
        <v>508-09-360</v>
      </c>
      <c r="S5159" t="s">
        <v>5132</v>
      </c>
      <c r="U5159">
        <v>1445</v>
      </c>
      <c r="V5159">
        <v>0</v>
      </c>
      <c r="W5159">
        <v>3</v>
      </c>
      <c r="X5159">
        <v>2005</v>
      </c>
      <c r="Z5159">
        <v>1</v>
      </c>
      <c r="AB5159">
        <v>0</v>
      </c>
      <c r="AC5159" t="s">
        <v>115</v>
      </c>
      <c r="AD5159">
        <v>2</v>
      </c>
      <c r="AE5159" t="s">
        <v>115</v>
      </c>
      <c r="AF5159">
        <v>0</v>
      </c>
      <c r="AG5159">
        <v>0</v>
      </c>
      <c r="AH5159" t="s">
        <v>116</v>
      </c>
      <c r="AI5159" s="1">
        <v>95109</v>
      </c>
      <c r="AJ5159" s="2">
        <v>0.31</v>
      </c>
      <c r="AK5159" s="1">
        <v>309109</v>
      </c>
      <c r="AL5159" t="s">
        <v>117</v>
      </c>
      <c r="AM5159" t="s">
        <v>118</v>
      </c>
      <c r="AN5159">
        <v>7169</v>
      </c>
      <c r="AO5159">
        <v>0.16</v>
      </c>
      <c r="AP5159">
        <v>1</v>
      </c>
      <c r="AR5159">
        <v>1</v>
      </c>
      <c r="AS5159" s="1">
        <v>22300</v>
      </c>
      <c r="AT5159" s="1">
        <v>4460</v>
      </c>
      <c r="AU5159" s="1">
        <v>17840</v>
      </c>
      <c r="AV5159">
        <v>80</v>
      </c>
      <c r="AX5159" s="1">
        <v>2647.54</v>
      </c>
      <c r="AY5159" t="s">
        <v>3020</v>
      </c>
      <c r="AZ5159" t="s">
        <v>3020</v>
      </c>
      <c r="BA5159" t="s">
        <v>218</v>
      </c>
      <c r="BE5159" s="3">
        <v>42439</v>
      </c>
      <c r="BF5159" s="1">
        <v>264000</v>
      </c>
      <c r="BG5159" t="s">
        <v>31975</v>
      </c>
      <c r="BH5159" s="1">
        <v>182.7</v>
      </c>
      <c r="BI5159" s="1">
        <v>214000</v>
      </c>
      <c r="BJ5159" s="3">
        <v>42439</v>
      </c>
      <c r="BK5159" t="s">
        <v>123</v>
      </c>
      <c r="BL5159" t="str">
        <f>"2016.155165"</f>
        <v>2016.155165</v>
      </c>
      <c r="BM5159" t="s">
        <v>131</v>
      </c>
      <c r="BO5159" t="s">
        <v>31976</v>
      </c>
      <c r="BS5159">
        <v>30</v>
      </c>
      <c r="BW5159" t="str">
        <f>""</f>
        <v/>
      </c>
      <c r="CH5159" t="str">
        <f>""</f>
        <v/>
      </c>
      <c r="CS5159" t="str">
        <f>""</f>
        <v/>
      </c>
    </row>
    <row r="5160" spans="1:97" x14ac:dyDescent="0.25">
      <c r="A5160" t="s">
        <v>1755</v>
      </c>
      <c r="B5160" t="s">
        <v>2522</v>
      </c>
      <c r="E5160" t="s">
        <v>31977</v>
      </c>
      <c r="F5160" t="s">
        <v>108</v>
      </c>
      <c r="H5160" t="s">
        <v>31978</v>
      </c>
      <c r="I5160" t="s">
        <v>390</v>
      </c>
      <c r="J5160" t="s">
        <v>111</v>
      </c>
      <c r="K5160" t="str">
        <f>"85032"</f>
        <v>85032</v>
      </c>
      <c r="L5160" t="s">
        <v>757</v>
      </c>
      <c r="M5160" t="s">
        <v>31978</v>
      </c>
      <c r="N5160" t="s">
        <v>390</v>
      </c>
      <c r="O5160" t="s">
        <v>111</v>
      </c>
      <c r="P5160" t="str">
        <f>"85032-5429"</f>
        <v>85032-5429</v>
      </c>
      <c r="Q5160" t="s">
        <v>113</v>
      </c>
      <c r="R5160" t="str">
        <f>"215-72-042"</f>
        <v>215-72-042</v>
      </c>
      <c r="S5160" t="s">
        <v>5298</v>
      </c>
      <c r="U5160">
        <v>1370</v>
      </c>
      <c r="V5160">
        <v>0</v>
      </c>
      <c r="W5160">
        <v>3</v>
      </c>
      <c r="X5160">
        <v>1975</v>
      </c>
      <c r="Z5160">
        <v>1</v>
      </c>
      <c r="AB5160">
        <v>0</v>
      </c>
      <c r="AC5160" t="s">
        <v>115</v>
      </c>
      <c r="AD5160">
        <v>2</v>
      </c>
      <c r="AE5160" t="s">
        <v>115</v>
      </c>
      <c r="AF5160">
        <v>0</v>
      </c>
      <c r="AG5160">
        <v>0</v>
      </c>
      <c r="AH5160" t="s">
        <v>116</v>
      </c>
      <c r="AI5160" s="1">
        <v>64458</v>
      </c>
      <c r="AJ5160" s="2">
        <v>0.22</v>
      </c>
      <c r="AK5160" s="1">
        <v>289188</v>
      </c>
      <c r="AL5160" t="s">
        <v>117</v>
      </c>
      <c r="AM5160" t="s">
        <v>171</v>
      </c>
      <c r="AN5160">
        <v>8475</v>
      </c>
      <c r="AO5160">
        <v>0.2</v>
      </c>
      <c r="AP5160">
        <v>1</v>
      </c>
      <c r="AR5160">
        <v>1</v>
      </c>
      <c r="AS5160" s="1">
        <v>19160</v>
      </c>
      <c r="AT5160" s="1">
        <v>3830</v>
      </c>
      <c r="AU5160" s="1">
        <v>15330</v>
      </c>
      <c r="AV5160">
        <v>80.010000000000005</v>
      </c>
      <c r="AX5160" s="1">
        <v>1427.46</v>
      </c>
      <c r="AY5160" t="s">
        <v>5230</v>
      </c>
      <c r="AZ5160" t="s">
        <v>1317</v>
      </c>
      <c r="BA5160" t="s">
        <v>1318</v>
      </c>
      <c r="BE5160" s="3">
        <v>42240</v>
      </c>
      <c r="BF5160" s="1">
        <v>220000</v>
      </c>
      <c r="BG5160" t="s">
        <v>31979</v>
      </c>
      <c r="BH5160" s="1">
        <v>206.77</v>
      </c>
      <c r="BI5160" s="1">
        <v>224730</v>
      </c>
      <c r="BJ5160" s="3">
        <v>42240</v>
      </c>
      <c r="BK5160" t="s">
        <v>123</v>
      </c>
      <c r="BL5160" t="str">
        <f>"2015.612661"</f>
        <v>2015.612661</v>
      </c>
      <c r="BM5160" t="s">
        <v>1038</v>
      </c>
      <c r="BO5160" t="s">
        <v>31980</v>
      </c>
      <c r="BS5160">
        <v>30</v>
      </c>
      <c r="BW5160" t="str">
        <f>""</f>
        <v/>
      </c>
      <c r="CH5160" t="str">
        <f>""</f>
        <v/>
      </c>
      <c r="CS5160" t="str">
        <f>""</f>
        <v/>
      </c>
    </row>
    <row r="5161" spans="1:97" x14ac:dyDescent="0.25">
      <c r="A5161" t="s">
        <v>11648</v>
      </c>
      <c r="B5161" t="s">
        <v>22697</v>
      </c>
      <c r="C5161" t="s">
        <v>852</v>
      </c>
      <c r="D5161" t="s">
        <v>22697</v>
      </c>
      <c r="E5161" t="s">
        <v>31981</v>
      </c>
      <c r="F5161" t="s">
        <v>108</v>
      </c>
      <c r="H5161" t="s">
        <v>31982</v>
      </c>
      <c r="I5161" t="s">
        <v>390</v>
      </c>
      <c r="J5161" t="s">
        <v>111</v>
      </c>
      <c r="K5161" t="str">
        <f>"85086"</f>
        <v>85086</v>
      </c>
      <c r="L5161" t="s">
        <v>4698</v>
      </c>
      <c r="M5161" t="s">
        <v>31982</v>
      </c>
      <c r="N5161" t="s">
        <v>390</v>
      </c>
      <c r="O5161" t="s">
        <v>111</v>
      </c>
      <c r="P5161" t="str">
        <f>"85086-2173"</f>
        <v>85086-2173</v>
      </c>
      <c r="Q5161" t="s">
        <v>113</v>
      </c>
      <c r="R5161" t="str">
        <f>"203-27-637"</f>
        <v>203-27-637</v>
      </c>
      <c r="S5161" t="s">
        <v>25554</v>
      </c>
      <c r="T5161" t="s">
        <v>25555</v>
      </c>
      <c r="U5161">
        <v>1416</v>
      </c>
      <c r="V5161">
        <v>0</v>
      </c>
      <c r="W5161">
        <v>3</v>
      </c>
      <c r="X5161">
        <v>2005</v>
      </c>
      <c r="Z5161">
        <v>1</v>
      </c>
      <c r="AB5161">
        <v>0</v>
      </c>
      <c r="AC5161" t="s">
        <v>115</v>
      </c>
      <c r="AD5161">
        <v>2</v>
      </c>
      <c r="AE5161" t="s">
        <v>115</v>
      </c>
      <c r="AF5161">
        <v>0</v>
      </c>
      <c r="AG5161">
        <v>0</v>
      </c>
      <c r="AH5161" t="s">
        <v>116</v>
      </c>
      <c r="AI5161" s="1">
        <v>32642</v>
      </c>
      <c r="AJ5161" s="2">
        <v>0.12</v>
      </c>
      <c r="AK5161" s="1">
        <v>266100</v>
      </c>
      <c r="AL5161" t="s">
        <v>117</v>
      </c>
      <c r="AM5161" t="s">
        <v>1315</v>
      </c>
      <c r="AN5161">
        <v>4286</v>
      </c>
      <c r="AO5161">
        <v>0.98</v>
      </c>
      <c r="AR5161">
        <v>1</v>
      </c>
      <c r="AS5161" s="1">
        <v>18530</v>
      </c>
      <c r="AT5161" s="1">
        <v>3700</v>
      </c>
      <c r="AU5161" s="1">
        <v>14830</v>
      </c>
      <c r="AV5161">
        <v>80.03</v>
      </c>
      <c r="AX5161" s="1">
        <v>1721.42</v>
      </c>
      <c r="AY5161" t="s">
        <v>8639</v>
      </c>
      <c r="AZ5161" t="s">
        <v>8639</v>
      </c>
      <c r="BA5161" t="s">
        <v>378</v>
      </c>
      <c r="BE5161" s="3">
        <v>42290</v>
      </c>
      <c r="BF5161" s="1">
        <v>226000</v>
      </c>
      <c r="BG5161" t="s">
        <v>31983</v>
      </c>
      <c r="BH5161" s="1">
        <v>159.6</v>
      </c>
      <c r="BI5161" s="1">
        <v>233458</v>
      </c>
      <c r="BJ5161" s="3">
        <v>42290</v>
      </c>
      <c r="BK5161" t="s">
        <v>123</v>
      </c>
      <c r="BL5161" t="str">
        <f>"2015.734349"</f>
        <v>2015.734349</v>
      </c>
      <c r="BM5161" t="s">
        <v>1760</v>
      </c>
      <c r="BO5161" t="s">
        <v>31984</v>
      </c>
      <c r="BS5161">
        <v>30</v>
      </c>
      <c r="BW5161" t="str">
        <f>""</f>
        <v/>
      </c>
      <c r="CH5161" t="str">
        <f>""</f>
        <v/>
      </c>
      <c r="CS5161" t="str">
        <f>""</f>
        <v/>
      </c>
    </row>
    <row r="5162" spans="1:97" x14ac:dyDescent="0.25">
      <c r="A5162" t="s">
        <v>31985</v>
      </c>
      <c r="B5162" t="s">
        <v>31986</v>
      </c>
      <c r="E5162" t="s">
        <v>31987</v>
      </c>
      <c r="F5162" t="s">
        <v>108</v>
      </c>
      <c r="H5162" t="s">
        <v>31988</v>
      </c>
      <c r="I5162" t="s">
        <v>203</v>
      </c>
      <c r="J5162" t="s">
        <v>111</v>
      </c>
      <c r="K5162" t="str">
        <f>"85296"</f>
        <v>85296</v>
      </c>
      <c r="L5162" t="s">
        <v>774</v>
      </c>
      <c r="M5162" t="s">
        <v>31988</v>
      </c>
      <c r="N5162" t="s">
        <v>203</v>
      </c>
      <c r="O5162" t="s">
        <v>111</v>
      </c>
      <c r="P5162" t="str">
        <f>"85296-3005"</f>
        <v>85296-3005</v>
      </c>
      <c r="Q5162" t="s">
        <v>113</v>
      </c>
      <c r="R5162" t="str">
        <f>"309-18-091"</f>
        <v>309-18-091</v>
      </c>
      <c r="S5162" t="s">
        <v>31989</v>
      </c>
      <c r="T5162" t="s">
        <v>31990</v>
      </c>
      <c r="U5162">
        <v>1544</v>
      </c>
      <c r="V5162">
        <v>0</v>
      </c>
      <c r="W5162">
        <v>2</v>
      </c>
      <c r="X5162">
        <v>1999</v>
      </c>
      <c r="Z5162">
        <v>1</v>
      </c>
      <c r="AB5162">
        <v>0</v>
      </c>
      <c r="AC5162" t="s">
        <v>115</v>
      </c>
      <c r="AD5162">
        <v>2</v>
      </c>
      <c r="AE5162" t="s">
        <v>115</v>
      </c>
      <c r="AF5162">
        <v>0</v>
      </c>
      <c r="AG5162">
        <v>0</v>
      </c>
      <c r="AH5162" t="s">
        <v>116</v>
      </c>
      <c r="AI5162" s="1">
        <v>42350</v>
      </c>
      <c r="AJ5162" s="2">
        <v>0.15</v>
      </c>
      <c r="AK5162" s="1">
        <v>287050</v>
      </c>
      <c r="AL5162" t="s">
        <v>117</v>
      </c>
      <c r="AM5162" t="s">
        <v>191</v>
      </c>
      <c r="AN5162">
        <v>5279</v>
      </c>
      <c r="AO5162">
        <v>0.12</v>
      </c>
      <c r="AP5162">
        <v>1</v>
      </c>
      <c r="AR5162">
        <v>1</v>
      </c>
      <c r="AS5162" s="1">
        <v>19230</v>
      </c>
      <c r="AT5162" s="1">
        <v>3840</v>
      </c>
      <c r="AU5162" s="1">
        <v>15390</v>
      </c>
      <c r="AV5162">
        <v>80.03</v>
      </c>
      <c r="AX5162" s="1">
        <v>1277.68</v>
      </c>
      <c r="AY5162" t="s">
        <v>7837</v>
      </c>
      <c r="AZ5162" t="s">
        <v>520</v>
      </c>
      <c r="BA5162" t="s">
        <v>5033</v>
      </c>
      <c r="BE5162" s="3">
        <v>41984</v>
      </c>
      <c r="BF5162" s="1">
        <v>199900</v>
      </c>
      <c r="BG5162" t="s">
        <v>12224</v>
      </c>
      <c r="BH5162" s="1">
        <v>129.47</v>
      </c>
      <c r="BI5162" s="1">
        <v>209700</v>
      </c>
      <c r="BJ5162" s="3">
        <v>42464</v>
      </c>
      <c r="BK5162" t="s">
        <v>123</v>
      </c>
      <c r="BL5162" t="str">
        <f>"2016.218431"</f>
        <v>2016.218431</v>
      </c>
      <c r="BM5162" t="s">
        <v>1707</v>
      </c>
      <c r="BN5162" t="s">
        <v>1922</v>
      </c>
      <c r="BO5162" t="s">
        <v>31991</v>
      </c>
      <c r="BS5162">
        <v>30</v>
      </c>
      <c r="BT5162" s="1">
        <v>35000</v>
      </c>
      <c r="BU5162" s="3">
        <v>43453</v>
      </c>
      <c r="BW5162" t="str">
        <f>"2018.927790"</f>
        <v>2018.927790</v>
      </c>
      <c r="BX5162" t="s">
        <v>1639</v>
      </c>
      <c r="BY5162" t="s">
        <v>1640</v>
      </c>
      <c r="BZ5162" t="s">
        <v>31987</v>
      </c>
      <c r="CC5162" t="s">
        <v>346</v>
      </c>
      <c r="CH5162" t="str">
        <f>""</f>
        <v/>
      </c>
      <c r="CS5162" t="str">
        <f>""</f>
        <v/>
      </c>
    </row>
    <row r="5163" spans="1:97" x14ac:dyDescent="0.25">
      <c r="A5163" t="s">
        <v>4515</v>
      </c>
      <c r="B5163" t="s">
        <v>31992</v>
      </c>
      <c r="C5163" t="s">
        <v>6039</v>
      </c>
      <c r="D5163" t="s">
        <v>31993</v>
      </c>
      <c r="E5163" t="s">
        <v>31994</v>
      </c>
      <c r="F5163" t="s">
        <v>108</v>
      </c>
      <c r="H5163" t="s">
        <v>31995</v>
      </c>
      <c r="I5163" t="s">
        <v>225</v>
      </c>
      <c r="J5163" t="s">
        <v>111</v>
      </c>
      <c r="K5163" t="str">
        <f>"85203"</f>
        <v>85203</v>
      </c>
      <c r="L5163" t="s">
        <v>2903</v>
      </c>
      <c r="M5163" t="s">
        <v>31995</v>
      </c>
      <c r="N5163" t="s">
        <v>225</v>
      </c>
      <c r="O5163" t="s">
        <v>111</v>
      </c>
      <c r="P5163" t="str">
        <f>"85203-4320"</f>
        <v>85203-4320</v>
      </c>
      <c r="Q5163" t="s">
        <v>113</v>
      </c>
      <c r="R5163" t="str">
        <f>"136-26-345"</f>
        <v>136-26-345</v>
      </c>
      <c r="S5163" t="s">
        <v>31996</v>
      </c>
      <c r="U5163">
        <v>1794</v>
      </c>
      <c r="V5163">
        <v>0</v>
      </c>
      <c r="W5163">
        <v>2</v>
      </c>
      <c r="X5163">
        <v>1980</v>
      </c>
      <c r="Z5163">
        <v>1</v>
      </c>
      <c r="AB5163">
        <v>0</v>
      </c>
      <c r="AC5163" t="s">
        <v>115</v>
      </c>
      <c r="AD5163">
        <v>2</v>
      </c>
      <c r="AE5163" t="s">
        <v>115</v>
      </c>
      <c r="AF5163">
        <v>0</v>
      </c>
      <c r="AG5163">
        <v>0</v>
      </c>
      <c r="AH5163" t="s">
        <v>116</v>
      </c>
      <c r="AI5163" s="1">
        <v>50487</v>
      </c>
      <c r="AJ5163" s="2">
        <v>0.17</v>
      </c>
      <c r="AK5163" s="1">
        <v>290539</v>
      </c>
      <c r="AL5163" t="s">
        <v>117</v>
      </c>
      <c r="AM5163" t="s">
        <v>393</v>
      </c>
      <c r="AN5163">
        <v>8546</v>
      </c>
      <c r="AO5163">
        <v>0.2</v>
      </c>
      <c r="AP5163">
        <v>1</v>
      </c>
      <c r="AR5163">
        <v>1</v>
      </c>
      <c r="AS5163" s="1">
        <v>18670</v>
      </c>
      <c r="AT5163" s="1">
        <v>3730</v>
      </c>
      <c r="AU5163" s="1">
        <v>14940</v>
      </c>
      <c r="AV5163">
        <v>80.02</v>
      </c>
      <c r="AX5163" s="1">
        <v>1349.12</v>
      </c>
      <c r="AY5163" t="s">
        <v>8876</v>
      </c>
      <c r="AZ5163" t="s">
        <v>5190</v>
      </c>
      <c r="BA5163" t="s">
        <v>5191</v>
      </c>
      <c r="BE5163" s="3">
        <v>42515</v>
      </c>
      <c r="BF5163" s="1">
        <v>235000</v>
      </c>
      <c r="BG5163" t="s">
        <v>31997</v>
      </c>
      <c r="BH5163" s="1">
        <v>130.99</v>
      </c>
      <c r="BI5163" s="1">
        <v>240052</v>
      </c>
      <c r="BJ5163" s="3">
        <v>42515</v>
      </c>
      <c r="BK5163" t="s">
        <v>123</v>
      </c>
      <c r="BL5163" t="str">
        <f>"2016.360684"</f>
        <v>2016.360684</v>
      </c>
      <c r="BM5163" t="s">
        <v>1544</v>
      </c>
      <c r="BO5163" t="s">
        <v>31998</v>
      </c>
      <c r="BP5163" t="s">
        <v>31999</v>
      </c>
      <c r="BS5163">
        <v>30</v>
      </c>
      <c r="BW5163" t="str">
        <f>""</f>
        <v/>
      </c>
      <c r="CH5163" t="str">
        <f>""</f>
        <v/>
      </c>
      <c r="CS5163" t="str">
        <f>""</f>
        <v/>
      </c>
    </row>
    <row r="5164" spans="1:97" x14ac:dyDescent="0.25">
      <c r="A5164" t="s">
        <v>13079</v>
      </c>
      <c r="B5164" t="s">
        <v>32000</v>
      </c>
      <c r="C5164" t="s">
        <v>32001</v>
      </c>
      <c r="D5164" t="s">
        <v>32000</v>
      </c>
      <c r="E5164" t="s">
        <v>32002</v>
      </c>
      <c r="F5164" t="s">
        <v>108</v>
      </c>
      <c r="H5164" t="s">
        <v>32003</v>
      </c>
      <c r="I5164" t="s">
        <v>5523</v>
      </c>
      <c r="J5164" t="s">
        <v>111</v>
      </c>
      <c r="K5164" t="str">
        <f>"85373"</f>
        <v>85373</v>
      </c>
      <c r="L5164" t="s">
        <v>734</v>
      </c>
      <c r="M5164" t="s">
        <v>32003</v>
      </c>
      <c r="N5164" t="s">
        <v>5523</v>
      </c>
      <c r="O5164" t="s">
        <v>111</v>
      </c>
      <c r="P5164" t="str">
        <f>"85373-8704"</f>
        <v>85373-8704</v>
      </c>
      <c r="Q5164" t="s">
        <v>113</v>
      </c>
      <c r="R5164" t="str">
        <f>"200-12-643"</f>
        <v>200-12-643</v>
      </c>
      <c r="S5164" t="s">
        <v>28951</v>
      </c>
      <c r="T5164" t="s">
        <v>24195</v>
      </c>
      <c r="U5164">
        <v>2347</v>
      </c>
      <c r="V5164">
        <v>0</v>
      </c>
      <c r="W5164">
        <v>4</v>
      </c>
      <c r="X5164">
        <v>1999</v>
      </c>
      <c r="Z5164">
        <v>2</v>
      </c>
      <c r="AB5164">
        <v>0</v>
      </c>
      <c r="AC5164" t="s">
        <v>115</v>
      </c>
      <c r="AD5164">
        <v>2</v>
      </c>
      <c r="AE5164" t="s">
        <v>115</v>
      </c>
      <c r="AF5164">
        <v>0</v>
      </c>
      <c r="AG5164">
        <v>0</v>
      </c>
      <c r="AH5164" t="s">
        <v>116</v>
      </c>
      <c r="AI5164" s="1">
        <v>86305</v>
      </c>
      <c r="AJ5164" s="2">
        <v>0.28000000000000003</v>
      </c>
      <c r="AK5164" s="1">
        <v>313555</v>
      </c>
      <c r="AL5164" t="s">
        <v>117</v>
      </c>
      <c r="AM5164" t="s">
        <v>191</v>
      </c>
      <c r="AN5164">
        <v>6930</v>
      </c>
      <c r="AO5164">
        <v>0.16</v>
      </c>
      <c r="AP5164">
        <v>1</v>
      </c>
      <c r="AR5164">
        <v>1</v>
      </c>
      <c r="AS5164" s="1">
        <v>21000</v>
      </c>
      <c r="AT5164" s="1">
        <v>4200</v>
      </c>
      <c r="AU5164" s="1">
        <v>16800</v>
      </c>
      <c r="AV5164">
        <v>80</v>
      </c>
      <c r="AX5164" s="1">
        <v>1629.76</v>
      </c>
      <c r="AY5164" t="s">
        <v>4520</v>
      </c>
      <c r="AZ5164" t="s">
        <v>4520</v>
      </c>
      <c r="BA5164" t="s">
        <v>4219</v>
      </c>
      <c r="BE5164" s="3">
        <v>42074</v>
      </c>
      <c r="BF5164" s="1">
        <v>225000</v>
      </c>
      <c r="BG5164" t="s">
        <v>32004</v>
      </c>
      <c r="BH5164" s="1">
        <v>95.87</v>
      </c>
      <c r="BI5164" s="1">
        <v>227250</v>
      </c>
      <c r="BJ5164" s="3">
        <v>42521</v>
      </c>
      <c r="BK5164" t="s">
        <v>123</v>
      </c>
      <c r="BL5164" t="str">
        <f>"2016.375781"</f>
        <v>2016.375781</v>
      </c>
      <c r="BM5164" t="s">
        <v>1791</v>
      </c>
      <c r="BO5164" t="s">
        <v>32005</v>
      </c>
      <c r="BS5164">
        <v>25</v>
      </c>
      <c r="BW5164" t="str">
        <f>""</f>
        <v/>
      </c>
      <c r="CH5164" t="str">
        <f>""</f>
        <v/>
      </c>
      <c r="CS5164" t="str">
        <f>""</f>
        <v/>
      </c>
    </row>
    <row r="5165" spans="1:97" x14ac:dyDescent="0.25">
      <c r="A5165" t="s">
        <v>126</v>
      </c>
      <c r="B5165" t="s">
        <v>32006</v>
      </c>
      <c r="E5165" t="s">
        <v>32007</v>
      </c>
      <c r="F5165" t="s">
        <v>108</v>
      </c>
      <c r="H5165" t="s">
        <v>32008</v>
      </c>
      <c r="I5165" t="s">
        <v>203</v>
      </c>
      <c r="J5165" t="s">
        <v>111</v>
      </c>
      <c r="K5165" t="str">
        <f>"85297"</f>
        <v>85297</v>
      </c>
      <c r="L5165" t="s">
        <v>1383</v>
      </c>
      <c r="M5165" t="s">
        <v>32008</v>
      </c>
      <c r="N5165" t="s">
        <v>203</v>
      </c>
      <c r="O5165" t="s">
        <v>111</v>
      </c>
      <c r="P5165" t="str">
        <f>"85297-5228"</f>
        <v>85297-5228</v>
      </c>
      <c r="Q5165" t="s">
        <v>113</v>
      </c>
      <c r="R5165" t="str">
        <f>"313-03-790"</f>
        <v>313-03-790</v>
      </c>
      <c r="S5165" t="s">
        <v>32009</v>
      </c>
      <c r="T5165" t="s">
        <v>23833</v>
      </c>
      <c r="U5165">
        <v>2006</v>
      </c>
      <c r="V5165">
        <v>0</v>
      </c>
      <c r="W5165">
        <v>4</v>
      </c>
      <c r="X5165">
        <v>2004</v>
      </c>
      <c r="Z5165">
        <v>2</v>
      </c>
      <c r="AB5165">
        <v>0</v>
      </c>
      <c r="AC5165" t="s">
        <v>115</v>
      </c>
      <c r="AD5165">
        <v>2</v>
      </c>
      <c r="AE5165" t="s">
        <v>115</v>
      </c>
      <c r="AF5165">
        <v>0</v>
      </c>
      <c r="AG5165">
        <v>0</v>
      </c>
      <c r="AH5165" t="s">
        <v>116</v>
      </c>
      <c r="AI5165" s="1">
        <v>80088</v>
      </c>
      <c r="AJ5165" s="2">
        <v>0.26</v>
      </c>
      <c r="AK5165" s="1">
        <v>308988</v>
      </c>
      <c r="AL5165" t="s">
        <v>117</v>
      </c>
      <c r="AM5165" t="s">
        <v>288</v>
      </c>
      <c r="AN5165">
        <v>4050</v>
      </c>
      <c r="AO5165">
        <v>0.93</v>
      </c>
      <c r="AP5165">
        <v>1</v>
      </c>
      <c r="AR5165">
        <v>1</v>
      </c>
      <c r="AS5165" s="1">
        <v>20420</v>
      </c>
      <c r="AT5165" s="1">
        <v>4080</v>
      </c>
      <c r="AU5165" s="1">
        <v>16340</v>
      </c>
      <c r="AV5165">
        <v>80.02</v>
      </c>
      <c r="AX5165" s="1">
        <v>1541.56</v>
      </c>
      <c r="AY5165" t="s">
        <v>8338</v>
      </c>
      <c r="AZ5165" t="s">
        <v>8338</v>
      </c>
      <c r="BA5165" t="s">
        <v>290</v>
      </c>
      <c r="BE5165" s="3">
        <v>42046</v>
      </c>
      <c r="BF5165" s="1">
        <v>229000</v>
      </c>
      <c r="BG5165" t="s">
        <v>32010</v>
      </c>
      <c r="BH5165" s="1">
        <v>114.16</v>
      </c>
      <c r="BI5165" s="1">
        <v>228900</v>
      </c>
      <c r="BJ5165" s="3">
        <v>42464</v>
      </c>
      <c r="BK5165" t="s">
        <v>123</v>
      </c>
      <c r="BL5165" t="str">
        <f>"2016.218220"</f>
        <v>2016.218220</v>
      </c>
      <c r="BM5165" t="s">
        <v>843</v>
      </c>
      <c r="BO5165" t="s">
        <v>32011</v>
      </c>
      <c r="BS5165">
        <v>30</v>
      </c>
      <c r="BW5165" t="str">
        <f>""</f>
        <v/>
      </c>
      <c r="CH5165" t="str">
        <f>""</f>
        <v/>
      </c>
      <c r="CS5165" t="str">
        <f>""</f>
        <v/>
      </c>
    </row>
    <row r="5166" spans="1:97" x14ac:dyDescent="0.25">
      <c r="A5166" t="s">
        <v>765</v>
      </c>
      <c r="B5166" t="s">
        <v>6443</v>
      </c>
      <c r="E5166" t="s">
        <v>32012</v>
      </c>
      <c r="F5166" t="s">
        <v>108</v>
      </c>
      <c r="H5166" t="s">
        <v>32013</v>
      </c>
      <c r="I5166" t="s">
        <v>4251</v>
      </c>
      <c r="J5166" t="s">
        <v>111</v>
      </c>
      <c r="K5166" t="str">
        <f>"85353"</f>
        <v>85353</v>
      </c>
      <c r="L5166" t="s">
        <v>3758</v>
      </c>
      <c r="M5166" t="s">
        <v>32013</v>
      </c>
      <c r="N5166" t="s">
        <v>4251</v>
      </c>
      <c r="O5166" t="s">
        <v>111</v>
      </c>
      <c r="P5166" t="str">
        <f>"85353-7663"</f>
        <v>85353-7663</v>
      </c>
      <c r="Q5166" t="s">
        <v>113</v>
      </c>
      <c r="R5166" t="str">
        <f>"101-25-771"</f>
        <v>101-25-771</v>
      </c>
      <c r="S5166" t="s">
        <v>5149</v>
      </c>
      <c r="T5166" t="s">
        <v>5149</v>
      </c>
      <c r="U5166">
        <v>2614</v>
      </c>
      <c r="V5166">
        <v>0</v>
      </c>
      <c r="W5166">
        <v>3</v>
      </c>
      <c r="X5166">
        <v>2014</v>
      </c>
      <c r="Z5166">
        <v>1</v>
      </c>
      <c r="AB5166">
        <v>0</v>
      </c>
      <c r="AC5166" t="s">
        <v>115</v>
      </c>
      <c r="AD5166">
        <v>3</v>
      </c>
      <c r="AE5166" t="s">
        <v>115</v>
      </c>
      <c r="AF5166">
        <v>0</v>
      </c>
      <c r="AG5166">
        <v>0</v>
      </c>
      <c r="AH5166" t="s">
        <v>116</v>
      </c>
      <c r="AI5166" s="1">
        <v>50712</v>
      </c>
      <c r="AJ5166" s="2">
        <v>0.16</v>
      </c>
      <c r="AK5166" s="1">
        <v>315160</v>
      </c>
      <c r="AL5166" t="s">
        <v>117</v>
      </c>
      <c r="AM5166" t="s">
        <v>1302</v>
      </c>
      <c r="AN5166">
        <v>9000</v>
      </c>
      <c r="AO5166">
        <v>0.21</v>
      </c>
      <c r="AR5166">
        <v>1</v>
      </c>
      <c r="AS5166" s="1">
        <v>23660</v>
      </c>
      <c r="AT5166" s="1">
        <v>4730</v>
      </c>
      <c r="AU5166" s="1">
        <v>18930</v>
      </c>
      <c r="AV5166">
        <v>80.010000000000005</v>
      </c>
      <c r="AX5166" s="1">
        <v>2785.04</v>
      </c>
      <c r="AY5166" t="s">
        <v>5150</v>
      </c>
      <c r="AZ5166" t="s">
        <v>5150</v>
      </c>
      <c r="BA5166" t="s">
        <v>4254</v>
      </c>
      <c r="BE5166" s="3">
        <v>42004</v>
      </c>
      <c r="BF5166" s="1">
        <v>256000</v>
      </c>
      <c r="BG5166" t="s">
        <v>209</v>
      </c>
      <c r="BH5166" s="1">
        <v>97.93</v>
      </c>
      <c r="BI5166" s="1">
        <v>264448</v>
      </c>
      <c r="BJ5166" s="3">
        <v>42004</v>
      </c>
      <c r="BK5166" t="s">
        <v>123</v>
      </c>
      <c r="BL5166" t="str">
        <f>"2014.861735"</f>
        <v>2014.861735</v>
      </c>
      <c r="BM5166" t="s">
        <v>175</v>
      </c>
      <c r="BO5166" t="s">
        <v>32014</v>
      </c>
      <c r="BS5166">
        <v>30</v>
      </c>
      <c r="BW5166" t="str">
        <f>""</f>
        <v/>
      </c>
      <c r="CH5166" t="str">
        <f>""</f>
        <v/>
      </c>
      <c r="CS5166" t="str">
        <f>""</f>
        <v/>
      </c>
    </row>
    <row r="5167" spans="1:97" x14ac:dyDescent="0.25">
      <c r="A5167" t="s">
        <v>565</v>
      </c>
      <c r="B5167" t="s">
        <v>32015</v>
      </c>
      <c r="C5167" t="s">
        <v>5847</v>
      </c>
      <c r="D5167" t="s">
        <v>32015</v>
      </c>
      <c r="E5167" t="s">
        <v>32016</v>
      </c>
      <c r="F5167" t="s">
        <v>108</v>
      </c>
      <c r="H5167" t="s">
        <v>32017</v>
      </c>
      <c r="I5167" t="s">
        <v>203</v>
      </c>
      <c r="J5167" t="s">
        <v>111</v>
      </c>
      <c r="K5167" t="str">
        <f>"85296"</f>
        <v>85296</v>
      </c>
      <c r="L5167" t="s">
        <v>625</v>
      </c>
      <c r="M5167" t="s">
        <v>32017</v>
      </c>
      <c r="N5167" t="s">
        <v>203</v>
      </c>
      <c r="O5167" t="s">
        <v>111</v>
      </c>
      <c r="P5167" t="str">
        <f>"85296-3692"</f>
        <v>85296-3692</v>
      </c>
      <c r="Q5167" t="s">
        <v>113</v>
      </c>
      <c r="R5167" t="str">
        <f>"309-14-299"</f>
        <v>309-14-299</v>
      </c>
      <c r="S5167" t="s">
        <v>8532</v>
      </c>
      <c r="T5167" t="s">
        <v>8533</v>
      </c>
      <c r="U5167">
        <v>2039</v>
      </c>
      <c r="V5167">
        <v>0</v>
      </c>
      <c r="W5167">
        <v>4</v>
      </c>
      <c r="X5167">
        <v>1997</v>
      </c>
      <c r="Z5167">
        <v>2</v>
      </c>
      <c r="AA5167" t="s">
        <v>26</v>
      </c>
      <c r="AB5167">
        <v>0</v>
      </c>
      <c r="AC5167" t="s">
        <v>115</v>
      </c>
      <c r="AD5167">
        <v>2</v>
      </c>
      <c r="AE5167" t="s">
        <v>115</v>
      </c>
      <c r="AF5167">
        <v>0</v>
      </c>
      <c r="AG5167">
        <v>0</v>
      </c>
      <c r="AH5167" t="s">
        <v>116</v>
      </c>
      <c r="AI5167" s="1">
        <v>104986</v>
      </c>
      <c r="AJ5167" s="2">
        <v>0.3</v>
      </c>
      <c r="AK5167" s="1">
        <v>344581</v>
      </c>
      <c r="AL5167" t="s">
        <v>117</v>
      </c>
      <c r="AM5167" t="s">
        <v>191</v>
      </c>
      <c r="AN5167">
        <v>6395</v>
      </c>
      <c r="AO5167">
        <v>0.15</v>
      </c>
      <c r="AP5167">
        <v>1</v>
      </c>
      <c r="AR5167">
        <v>1</v>
      </c>
      <c r="AS5167" s="1">
        <v>24020</v>
      </c>
      <c r="AT5167" s="1">
        <v>4800</v>
      </c>
      <c r="AU5167" s="1">
        <v>19220</v>
      </c>
      <c r="AV5167">
        <v>80.02</v>
      </c>
      <c r="AX5167" s="1">
        <v>1695.94</v>
      </c>
      <c r="AY5167" t="s">
        <v>7046</v>
      </c>
      <c r="AZ5167" t="s">
        <v>207</v>
      </c>
      <c r="BA5167" t="s">
        <v>208</v>
      </c>
      <c r="BE5167" s="3">
        <v>42090</v>
      </c>
      <c r="BF5167" s="1">
        <v>245000</v>
      </c>
      <c r="BG5167" t="s">
        <v>32018</v>
      </c>
      <c r="BH5167" s="1">
        <v>120.16</v>
      </c>
      <c r="BI5167" s="1">
        <v>239595</v>
      </c>
      <c r="BJ5167" s="3">
        <v>42620</v>
      </c>
      <c r="BK5167" t="s">
        <v>123</v>
      </c>
      <c r="BL5167" t="str">
        <f>"2016.648700"</f>
        <v>2016.648700</v>
      </c>
      <c r="BM5167" t="s">
        <v>402</v>
      </c>
      <c r="BO5167" t="s">
        <v>32019</v>
      </c>
      <c r="BS5167">
        <v>30</v>
      </c>
      <c r="BW5167" t="str">
        <f>""</f>
        <v/>
      </c>
      <c r="CH5167" t="str">
        <f>""</f>
        <v/>
      </c>
      <c r="CS5167" t="str">
        <f>""</f>
        <v/>
      </c>
    </row>
    <row r="5168" spans="1:97" x14ac:dyDescent="0.25">
      <c r="A5168" t="s">
        <v>177</v>
      </c>
      <c r="B5168" t="s">
        <v>32020</v>
      </c>
      <c r="C5168" t="s">
        <v>32021</v>
      </c>
      <c r="D5168" t="s">
        <v>32022</v>
      </c>
      <c r="E5168" t="s">
        <v>32023</v>
      </c>
      <c r="F5168" t="s">
        <v>108</v>
      </c>
      <c r="H5168" t="s">
        <v>32024</v>
      </c>
      <c r="I5168" t="s">
        <v>499</v>
      </c>
      <c r="J5168" t="s">
        <v>111</v>
      </c>
      <c r="K5168" t="str">
        <f>"85395"</f>
        <v>85395</v>
      </c>
      <c r="L5168" t="s">
        <v>9069</v>
      </c>
      <c r="M5168" t="s">
        <v>32024</v>
      </c>
      <c r="N5168" t="s">
        <v>499</v>
      </c>
      <c r="O5168" t="s">
        <v>111</v>
      </c>
      <c r="P5168" t="str">
        <f>"85395-3149"</f>
        <v>85395-3149</v>
      </c>
      <c r="Q5168" t="s">
        <v>113</v>
      </c>
      <c r="R5168" t="str">
        <f>"501-75-397"</f>
        <v>501-75-397</v>
      </c>
      <c r="S5168" t="s">
        <v>28756</v>
      </c>
      <c r="T5168" t="s">
        <v>28757</v>
      </c>
      <c r="U5168">
        <v>2879</v>
      </c>
      <c r="V5168">
        <v>0</v>
      </c>
      <c r="W5168">
        <v>4</v>
      </c>
      <c r="X5168">
        <v>1996</v>
      </c>
      <c r="Z5168">
        <v>2</v>
      </c>
      <c r="AA5168" t="s">
        <v>26</v>
      </c>
      <c r="AB5168">
        <v>0</v>
      </c>
      <c r="AC5168" t="s">
        <v>115</v>
      </c>
      <c r="AD5168">
        <v>3</v>
      </c>
      <c r="AE5168" t="s">
        <v>115</v>
      </c>
      <c r="AF5168">
        <v>0</v>
      </c>
      <c r="AG5168">
        <v>0</v>
      </c>
      <c r="AH5168" t="s">
        <v>116</v>
      </c>
      <c r="AI5168" s="1">
        <v>36685</v>
      </c>
      <c r="AJ5168" s="2">
        <v>0.1</v>
      </c>
      <c r="AK5168" s="1">
        <v>356685</v>
      </c>
      <c r="AL5168" t="s">
        <v>117</v>
      </c>
      <c r="AM5168" t="s">
        <v>118</v>
      </c>
      <c r="AN5168">
        <v>7005</v>
      </c>
      <c r="AO5168">
        <v>0.16</v>
      </c>
      <c r="AP5168">
        <v>1</v>
      </c>
      <c r="AR5168">
        <v>1</v>
      </c>
      <c r="AS5168" s="1">
        <v>25030</v>
      </c>
      <c r="AT5168" s="1">
        <v>5000</v>
      </c>
      <c r="AU5168" s="1">
        <v>20030</v>
      </c>
      <c r="AV5168">
        <v>80.02</v>
      </c>
      <c r="AX5168" s="1">
        <v>2646.76</v>
      </c>
      <c r="AY5168" t="s">
        <v>6796</v>
      </c>
      <c r="AZ5168" t="s">
        <v>6796</v>
      </c>
      <c r="BA5168" t="s">
        <v>3154</v>
      </c>
      <c r="BB5168" s="3">
        <v>41876</v>
      </c>
      <c r="BD5168" t="s">
        <v>480</v>
      </c>
      <c r="BE5168" s="3">
        <v>41862</v>
      </c>
      <c r="BF5168" s="1">
        <v>266000</v>
      </c>
      <c r="BG5168" t="s">
        <v>9873</v>
      </c>
      <c r="BH5168" s="1">
        <v>92.39</v>
      </c>
      <c r="BI5168" s="1">
        <v>320000</v>
      </c>
      <c r="BJ5168" s="3">
        <v>43642</v>
      </c>
      <c r="BK5168" t="s">
        <v>123</v>
      </c>
      <c r="BL5168" t="str">
        <f>"2019.480563"</f>
        <v>2019.480563</v>
      </c>
      <c r="BM5168" t="s">
        <v>1038</v>
      </c>
      <c r="BN5168" t="s">
        <v>1624</v>
      </c>
      <c r="BO5168" t="s">
        <v>32025</v>
      </c>
      <c r="BP5168" t="s">
        <v>32026</v>
      </c>
      <c r="BR5168" t="s">
        <v>139</v>
      </c>
      <c r="BW5168" t="str">
        <f>""</f>
        <v/>
      </c>
      <c r="CH5168" t="str">
        <f>""</f>
        <v/>
      </c>
      <c r="CS5168" t="str">
        <f>""</f>
        <v/>
      </c>
    </row>
    <row r="5169" spans="1:97" x14ac:dyDescent="0.25">
      <c r="A5169" t="s">
        <v>3089</v>
      </c>
      <c r="B5169" t="s">
        <v>32027</v>
      </c>
      <c r="C5169" t="s">
        <v>4702</v>
      </c>
      <c r="D5169" t="s">
        <v>32027</v>
      </c>
      <c r="E5169" t="s">
        <v>32028</v>
      </c>
      <c r="F5169" t="s">
        <v>282</v>
      </c>
      <c r="H5169" t="s">
        <v>32029</v>
      </c>
      <c r="I5169" t="s">
        <v>110</v>
      </c>
      <c r="J5169" t="s">
        <v>111</v>
      </c>
      <c r="K5169" t="str">
        <f>"85249"</f>
        <v>85249</v>
      </c>
      <c r="L5169" t="s">
        <v>7235</v>
      </c>
      <c r="M5169" t="s">
        <v>32030</v>
      </c>
      <c r="N5169" t="s">
        <v>110</v>
      </c>
      <c r="O5169" t="s">
        <v>111</v>
      </c>
      <c r="P5169" t="str">
        <f>"85225-6982"</f>
        <v>85225-6982</v>
      </c>
      <c r="Q5169" t="s">
        <v>113</v>
      </c>
      <c r="R5169" t="str">
        <f>"303-44-710"</f>
        <v>303-44-710</v>
      </c>
      <c r="S5169" t="s">
        <v>27913</v>
      </c>
      <c r="T5169" t="s">
        <v>27913</v>
      </c>
      <c r="U5169">
        <v>1723</v>
      </c>
      <c r="V5169">
        <v>0</v>
      </c>
      <c r="W5169">
        <v>3</v>
      </c>
      <c r="X5169">
        <v>2004</v>
      </c>
      <c r="Z5169">
        <v>1</v>
      </c>
      <c r="AA5169" t="s">
        <v>26</v>
      </c>
      <c r="AB5169">
        <v>0</v>
      </c>
      <c r="AC5169" t="s">
        <v>115</v>
      </c>
      <c r="AD5169">
        <v>2</v>
      </c>
      <c r="AE5169" t="s">
        <v>115</v>
      </c>
      <c r="AF5169">
        <v>0</v>
      </c>
      <c r="AG5169">
        <v>0</v>
      </c>
      <c r="AH5169" t="s">
        <v>116</v>
      </c>
      <c r="AI5169" s="1">
        <v>56338</v>
      </c>
      <c r="AJ5169" s="2">
        <v>0.15</v>
      </c>
      <c r="AK5169" s="1">
        <v>366238</v>
      </c>
      <c r="AL5169" t="s">
        <v>117</v>
      </c>
      <c r="AM5169" t="s">
        <v>118</v>
      </c>
      <c r="AN5169">
        <v>10030</v>
      </c>
      <c r="AO5169">
        <v>0.23</v>
      </c>
      <c r="AP5169">
        <v>1</v>
      </c>
      <c r="AR5169">
        <v>1</v>
      </c>
      <c r="AS5169" s="1">
        <v>26100</v>
      </c>
      <c r="AT5169" s="1">
        <v>5220</v>
      </c>
      <c r="AU5169" s="1">
        <v>20880</v>
      </c>
      <c r="AV5169">
        <v>80</v>
      </c>
      <c r="AX5169" s="1">
        <v>2181.8200000000002</v>
      </c>
      <c r="AY5169" t="s">
        <v>3699</v>
      </c>
      <c r="AZ5169" t="s">
        <v>120</v>
      </c>
      <c r="BA5169" t="s">
        <v>303</v>
      </c>
      <c r="BE5169" s="3">
        <v>42536</v>
      </c>
      <c r="BF5169" s="1">
        <v>300000</v>
      </c>
      <c r="BG5169" t="s">
        <v>32031</v>
      </c>
      <c r="BH5169" s="1">
        <v>174.11</v>
      </c>
      <c r="BI5169" s="1">
        <v>309900</v>
      </c>
      <c r="BJ5169" s="3">
        <v>42536</v>
      </c>
      <c r="BK5169" t="s">
        <v>123</v>
      </c>
      <c r="BL5169" t="str">
        <f>"2016.417412"</f>
        <v>2016.417412</v>
      </c>
      <c r="BM5169" t="s">
        <v>2368</v>
      </c>
      <c r="BO5169" t="s">
        <v>32032</v>
      </c>
      <c r="BS5169">
        <v>30</v>
      </c>
      <c r="BW5169" t="str">
        <f>""</f>
        <v/>
      </c>
      <c r="CH5169" t="str">
        <f>""</f>
        <v/>
      </c>
      <c r="CS5169" t="str">
        <f>""</f>
        <v/>
      </c>
    </row>
    <row r="5170" spans="1:97" x14ac:dyDescent="0.25">
      <c r="A5170" t="s">
        <v>265</v>
      </c>
      <c r="B5170" t="s">
        <v>32033</v>
      </c>
      <c r="C5170" t="s">
        <v>1057</v>
      </c>
      <c r="D5170" t="s">
        <v>32033</v>
      </c>
      <c r="E5170" t="s">
        <v>32034</v>
      </c>
      <c r="F5170" t="s">
        <v>108</v>
      </c>
      <c r="H5170" t="s">
        <v>32035</v>
      </c>
      <c r="I5170" t="s">
        <v>5114</v>
      </c>
      <c r="J5170" t="s">
        <v>111</v>
      </c>
      <c r="K5170" t="str">
        <f>"85323"</f>
        <v>85323</v>
      </c>
      <c r="L5170" t="s">
        <v>5456</v>
      </c>
      <c r="M5170" t="s">
        <v>32035</v>
      </c>
      <c r="N5170" t="s">
        <v>5114</v>
      </c>
      <c r="O5170" t="s">
        <v>111</v>
      </c>
      <c r="P5170" t="str">
        <f>"85323-7704"</f>
        <v>85323-7704</v>
      </c>
      <c r="Q5170" t="s">
        <v>113</v>
      </c>
      <c r="R5170" t="str">
        <f>"500-32-795"</f>
        <v>500-32-795</v>
      </c>
      <c r="S5170" t="s">
        <v>5457</v>
      </c>
      <c r="U5170">
        <v>2949</v>
      </c>
      <c r="V5170">
        <v>0</v>
      </c>
      <c r="W5170">
        <v>4</v>
      </c>
      <c r="X5170">
        <v>2014</v>
      </c>
      <c r="Z5170">
        <v>2</v>
      </c>
      <c r="AB5170">
        <v>0</v>
      </c>
      <c r="AC5170" t="s">
        <v>115</v>
      </c>
      <c r="AD5170">
        <v>2</v>
      </c>
      <c r="AE5170" t="s">
        <v>115</v>
      </c>
      <c r="AF5170">
        <v>0</v>
      </c>
      <c r="AG5170">
        <v>0</v>
      </c>
      <c r="AH5170" t="s">
        <v>116</v>
      </c>
      <c r="AI5170" s="1">
        <v>47655</v>
      </c>
      <c r="AJ5170" s="2">
        <v>0.15</v>
      </c>
      <c r="AK5170" s="1">
        <v>307503</v>
      </c>
      <c r="AL5170" t="s">
        <v>117</v>
      </c>
      <c r="AM5170" t="s">
        <v>118</v>
      </c>
      <c r="AN5170">
        <v>6915</v>
      </c>
      <c r="AO5170">
        <v>0.16</v>
      </c>
      <c r="AR5170">
        <v>1</v>
      </c>
      <c r="AS5170" s="1">
        <v>21650</v>
      </c>
      <c r="AT5170" s="1">
        <v>4330</v>
      </c>
      <c r="AU5170" s="1">
        <v>17320</v>
      </c>
      <c r="AV5170">
        <v>80</v>
      </c>
      <c r="AX5170" s="1">
        <v>2238.96</v>
      </c>
      <c r="AY5170" t="s">
        <v>5458</v>
      </c>
      <c r="AZ5170" t="s">
        <v>5458</v>
      </c>
      <c r="BA5170" t="s">
        <v>4254</v>
      </c>
      <c r="BE5170" s="3">
        <v>42167</v>
      </c>
      <c r="BF5170" s="1">
        <v>259848</v>
      </c>
      <c r="BG5170" t="s">
        <v>158</v>
      </c>
      <c r="BH5170" s="1">
        <v>88.11</v>
      </c>
      <c r="BI5170" s="1">
        <v>259848</v>
      </c>
      <c r="BJ5170" s="3">
        <v>42167</v>
      </c>
      <c r="BK5170" t="s">
        <v>123</v>
      </c>
      <c r="BL5170" t="str">
        <f>"2015.421153"</f>
        <v>2015.421153</v>
      </c>
      <c r="BM5170" t="s">
        <v>5567</v>
      </c>
      <c r="BO5170" t="s">
        <v>32036</v>
      </c>
      <c r="BS5170">
        <v>30</v>
      </c>
      <c r="BW5170" t="str">
        <f>""</f>
        <v/>
      </c>
      <c r="CH5170" t="str">
        <f>""</f>
        <v/>
      </c>
      <c r="CS5170" t="str">
        <f>""</f>
        <v/>
      </c>
    </row>
    <row r="5171" spans="1:97" x14ac:dyDescent="0.25">
      <c r="A5171" t="s">
        <v>12368</v>
      </c>
      <c r="B5171" t="s">
        <v>32037</v>
      </c>
      <c r="C5171" t="s">
        <v>220</v>
      </c>
      <c r="D5171" t="s">
        <v>32037</v>
      </c>
      <c r="E5171" t="s">
        <v>32038</v>
      </c>
      <c r="F5171" t="s">
        <v>108</v>
      </c>
      <c r="H5171" t="s">
        <v>32039</v>
      </c>
      <c r="I5171" t="s">
        <v>390</v>
      </c>
      <c r="J5171" t="s">
        <v>111</v>
      </c>
      <c r="K5171" t="str">
        <f>"85032"</f>
        <v>85032</v>
      </c>
      <c r="L5171" t="s">
        <v>10238</v>
      </c>
      <c r="M5171" t="s">
        <v>32039</v>
      </c>
      <c r="N5171" t="s">
        <v>390</v>
      </c>
      <c r="O5171" t="s">
        <v>111</v>
      </c>
      <c r="P5171" t="str">
        <f>"85032-3156"</f>
        <v>85032-3156</v>
      </c>
      <c r="Q5171" t="s">
        <v>113</v>
      </c>
      <c r="R5171" t="str">
        <f>"214-31-329"</f>
        <v>214-31-329</v>
      </c>
      <c r="S5171" t="s">
        <v>32040</v>
      </c>
      <c r="T5171" t="s">
        <v>32041</v>
      </c>
      <c r="U5171">
        <v>1619</v>
      </c>
      <c r="V5171">
        <v>0</v>
      </c>
      <c r="W5171">
        <v>2</v>
      </c>
      <c r="X5171">
        <v>2004</v>
      </c>
      <c r="Z5171">
        <v>2</v>
      </c>
      <c r="AB5171">
        <v>0</v>
      </c>
      <c r="AC5171" t="s">
        <v>115</v>
      </c>
      <c r="AD5171">
        <v>2</v>
      </c>
      <c r="AE5171" t="s">
        <v>115</v>
      </c>
      <c r="AF5171">
        <v>0</v>
      </c>
      <c r="AG5171">
        <v>0</v>
      </c>
      <c r="AH5171" t="s">
        <v>116</v>
      </c>
      <c r="AI5171" s="1">
        <v>25492</v>
      </c>
      <c r="AJ5171" s="2">
        <v>0.1</v>
      </c>
      <c r="AK5171" s="1">
        <v>252492</v>
      </c>
      <c r="AL5171" t="s">
        <v>117</v>
      </c>
      <c r="AM5171" t="s">
        <v>3345</v>
      </c>
      <c r="AN5171">
        <v>4254</v>
      </c>
      <c r="AO5171">
        <v>0.98</v>
      </c>
      <c r="AP5171">
        <v>1</v>
      </c>
      <c r="AR5171">
        <v>1</v>
      </c>
      <c r="AS5171" s="1">
        <v>16760</v>
      </c>
      <c r="AT5171" s="1">
        <v>3350</v>
      </c>
      <c r="AU5171" s="1">
        <v>13410</v>
      </c>
      <c r="AV5171">
        <v>80.010000000000005</v>
      </c>
      <c r="AX5171" s="1">
        <v>1088.32</v>
      </c>
      <c r="AY5171" t="s">
        <v>13914</v>
      </c>
      <c r="AZ5171" t="s">
        <v>5231</v>
      </c>
      <c r="BA5171" t="s">
        <v>1318</v>
      </c>
      <c r="BB5171" s="3">
        <v>43213</v>
      </c>
      <c r="BC5171" s="1">
        <v>0</v>
      </c>
      <c r="BD5171" t="s">
        <v>247</v>
      </c>
      <c r="BE5171" s="3">
        <v>42446</v>
      </c>
      <c r="BF5171" s="1">
        <v>198888</v>
      </c>
      <c r="BG5171" t="s">
        <v>32042</v>
      </c>
      <c r="BH5171" s="1">
        <v>122.85</v>
      </c>
      <c r="BI5171" s="1">
        <v>227000</v>
      </c>
      <c r="BJ5171" s="3">
        <v>43213</v>
      </c>
      <c r="BK5171" t="s">
        <v>123</v>
      </c>
      <c r="BL5171" t="str">
        <f>"2018.305176"</f>
        <v>2018.305176</v>
      </c>
      <c r="BM5171" t="s">
        <v>2891</v>
      </c>
      <c r="BN5171" t="s">
        <v>381</v>
      </c>
      <c r="BO5171" t="s">
        <v>32043</v>
      </c>
      <c r="BP5171" t="s">
        <v>32044</v>
      </c>
      <c r="BR5171" t="s">
        <v>139</v>
      </c>
      <c r="BW5171" t="str">
        <f>""</f>
        <v/>
      </c>
      <c r="CH5171" t="str">
        <f>""</f>
        <v/>
      </c>
      <c r="CS5171" t="str">
        <f>""</f>
        <v/>
      </c>
    </row>
    <row r="5172" spans="1:97" x14ac:dyDescent="0.25">
      <c r="A5172" t="s">
        <v>6821</v>
      </c>
      <c r="B5172" t="s">
        <v>32045</v>
      </c>
      <c r="C5172" t="s">
        <v>2008</v>
      </c>
      <c r="D5172" t="s">
        <v>32045</v>
      </c>
      <c r="E5172" t="s">
        <v>32046</v>
      </c>
      <c r="F5172" t="s">
        <v>108</v>
      </c>
      <c r="H5172" t="s">
        <v>32047</v>
      </c>
      <c r="I5172" t="s">
        <v>390</v>
      </c>
      <c r="J5172" t="s">
        <v>111</v>
      </c>
      <c r="K5172" t="str">
        <f>"85024"</f>
        <v>85024</v>
      </c>
      <c r="L5172" t="s">
        <v>9597</v>
      </c>
      <c r="M5172" t="s">
        <v>32047</v>
      </c>
      <c r="N5172" t="s">
        <v>390</v>
      </c>
      <c r="O5172" t="s">
        <v>111</v>
      </c>
      <c r="P5172" t="str">
        <f>"85024-1029"</f>
        <v>85024-1029</v>
      </c>
      <c r="Q5172" t="s">
        <v>113</v>
      </c>
      <c r="R5172" t="str">
        <f>"209-11-256"</f>
        <v>209-11-256</v>
      </c>
      <c r="S5172" t="s">
        <v>32048</v>
      </c>
      <c r="T5172" t="s">
        <v>32049</v>
      </c>
      <c r="U5172">
        <v>1168</v>
      </c>
      <c r="V5172">
        <v>0</v>
      </c>
      <c r="W5172">
        <v>2</v>
      </c>
      <c r="X5172">
        <v>1986</v>
      </c>
      <c r="Z5172">
        <v>1</v>
      </c>
      <c r="AB5172">
        <v>0</v>
      </c>
      <c r="AC5172" t="s">
        <v>115</v>
      </c>
      <c r="AD5172">
        <v>2</v>
      </c>
      <c r="AE5172" t="s">
        <v>115</v>
      </c>
      <c r="AF5172">
        <v>0</v>
      </c>
      <c r="AG5172">
        <v>0</v>
      </c>
      <c r="AH5172" t="s">
        <v>116</v>
      </c>
      <c r="AI5172" s="1">
        <v>27094</v>
      </c>
      <c r="AJ5172" s="2">
        <v>0.11</v>
      </c>
      <c r="AK5172" s="1">
        <v>236094</v>
      </c>
      <c r="AL5172" t="s">
        <v>117</v>
      </c>
      <c r="AM5172" t="s">
        <v>1315</v>
      </c>
      <c r="AN5172">
        <v>4270</v>
      </c>
      <c r="AO5172">
        <v>0.98</v>
      </c>
      <c r="AP5172">
        <v>1</v>
      </c>
      <c r="AR5172">
        <v>1</v>
      </c>
      <c r="AS5172" s="1">
        <v>16560</v>
      </c>
      <c r="AT5172" s="1">
        <v>3310</v>
      </c>
      <c r="AU5172" s="1">
        <v>13250</v>
      </c>
      <c r="AV5172">
        <v>80.010000000000005</v>
      </c>
      <c r="AX5172" s="1">
        <v>1013.86</v>
      </c>
      <c r="AY5172" t="s">
        <v>8613</v>
      </c>
      <c r="AZ5172" t="s">
        <v>761</v>
      </c>
      <c r="BA5172" t="s">
        <v>2551</v>
      </c>
      <c r="BB5172" s="3">
        <v>43383</v>
      </c>
      <c r="BC5172" s="1">
        <v>0</v>
      </c>
      <c r="BD5172" t="s">
        <v>247</v>
      </c>
      <c r="BE5172" s="3">
        <v>42318</v>
      </c>
      <c r="BF5172" s="1">
        <v>174900</v>
      </c>
      <c r="BG5172" t="s">
        <v>32050</v>
      </c>
      <c r="BH5172" s="1">
        <v>149.74</v>
      </c>
      <c r="BI5172" s="1">
        <v>209000</v>
      </c>
      <c r="BJ5172" s="3">
        <v>43383</v>
      </c>
      <c r="BK5172" t="s">
        <v>123</v>
      </c>
      <c r="BL5172" t="str">
        <f>"2018.758748"</f>
        <v>2018.758748</v>
      </c>
      <c r="BM5172" t="s">
        <v>32051</v>
      </c>
      <c r="BN5172" t="s">
        <v>10003</v>
      </c>
      <c r="BO5172" t="s">
        <v>32052</v>
      </c>
      <c r="BP5172" t="s">
        <v>32053</v>
      </c>
      <c r="BR5172" t="s">
        <v>139</v>
      </c>
      <c r="BW5172" t="str">
        <f>""</f>
        <v/>
      </c>
      <c r="CH5172" t="str">
        <f>""</f>
        <v/>
      </c>
      <c r="CS5172" t="str">
        <f>""</f>
        <v/>
      </c>
    </row>
    <row r="5173" spans="1:97" x14ac:dyDescent="0.25">
      <c r="A5173" t="s">
        <v>15865</v>
      </c>
      <c r="B5173" t="s">
        <v>32054</v>
      </c>
      <c r="C5173" t="s">
        <v>32055</v>
      </c>
      <c r="D5173" t="s">
        <v>32054</v>
      </c>
      <c r="E5173" t="s">
        <v>32056</v>
      </c>
      <c r="F5173" t="s">
        <v>108</v>
      </c>
      <c r="H5173" t="s">
        <v>32057</v>
      </c>
      <c r="I5173" t="s">
        <v>390</v>
      </c>
      <c r="J5173" t="s">
        <v>111</v>
      </c>
      <c r="K5173" t="str">
        <f>"85020"</f>
        <v>85020</v>
      </c>
      <c r="L5173" t="s">
        <v>5248</v>
      </c>
      <c r="M5173" t="s">
        <v>32057</v>
      </c>
      <c r="N5173" t="s">
        <v>390</v>
      </c>
      <c r="O5173" t="s">
        <v>111</v>
      </c>
      <c r="P5173" t="str">
        <f>"85020-5308"</f>
        <v>85020-5308</v>
      </c>
      <c r="Q5173" t="s">
        <v>113</v>
      </c>
      <c r="R5173" t="str">
        <f>"160-28-006"</f>
        <v>160-28-006</v>
      </c>
      <c r="S5173" t="s">
        <v>32058</v>
      </c>
      <c r="T5173" t="s">
        <v>32058</v>
      </c>
      <c r="U5173">
        <v>1582</v>
      </c>
      <c r="V5173">
        <v>0</v>
      </c>
      <c r="W5173">
        <v>2</v>
      </c>
      <c r="X5173">
        <v>1953</v>
      </c>
      <c r="Z5173">
        <v>1</v>
      </c>
      <c r="AA5173" t="s">
        <v>26</v>
      </c>
      <c r="AB5173">
        <v>0</v>
      </c>
      <c r="AC5173" t="s">
        <v>7038</v>
      </c>
      <c r="AD5173">
        <v>1</v>
      </c>
      <c r="AE5173" t="s">
        <v>7038</v>
      </c>
      <c r="AF5173">
        <v>0</v>
      </c>
      <c r="AG5173">
        <v>0</v>
      </c>
      <c r="AH5173" t="s">
        <v>116</v>
      </c>
      <c r="AI5173" s="1">
        <v>140410</v>
      </c>
      <c r="AJ5173" s="2">
        <v>0.36</v>
      </c>
      <c r="AK5173" s="1">
        <v>391310</v>
      </c>
      <c r="AL5173" t="s">
        <v>117</v>
      </c>
      <c r="AM5173" t="s">
        <v>191</v>
      </c>
      <c r="AN5173">
        <v>7636</v>
      </c>
      <c r="AO5173">
        <v>0.18</v>
      </c>
      <c r="AP5173">
        <v>1</v>
      </c>
      <c r="AR5173">
        <v>1</v>
      </c>
      <c r="AS5173" s="1">
        <v>28550</v>
      </c>
      <c r="AT5173" s="1">
        <v>5710</v>
      </c>
      <c r="AU5173" s="1">
        <v>22840</v>
      </c>
      <c r="AV5173">
        <v>80</v>
      </c>
      <c r="AX5173" s="1">
        <v>1792.96</v>
      </c>
      <c r="AY5173" t="s">
        <v>5734</v>
      </c>
      <c r="AZ5173" t="s">
        <v>5735</v>
      </c>
      <c r="BA5173" t="s">
        <v>5469</v>
      </c>
      <c r="BE5173" s="3">
        <v>41922</v>
      </c>
      <c r="BF5173" s="1">
        <v>254900</v>
      </c>
      <c r="BG5173" t="s">
        <v>32059</v>
      </c>
      <c r="BH5173" s="1">
        <v>161.13</v>
      </c>
      <c r="BI5173" s="1">
        <v>250900</v>
      </c>
      <c r="BJ5173" s="3">
        <v>42549</v>
      </c>
      <c r="BK5173" t="s">
        <v>123</v>
      </c>
      <c r="BL5173" t="str">
        <f>"2016.452058"</f>
        <v>2016.452058</v>
      </c>
      <c r="BM5173" t="s">
        <v>1201</v>
      </c>
      <c r="BO5173" t="s">
        <v>32060</v>
      </c>
      <c r="BS5173">
        <v>30</v>
      </c>
      <c r="BW5173" t="str">
        <f>""</f>
        <v/>
      </c>
      <c r="CH5173" t="str">
        <f>""</f>
        <v/>
      </c>
      <c r="CS5173" t="str">
        <f>""</f>
        <v/>
      </c>
    </row>
    <row r="5174" spans="1:97" x14ac:dyDescent="0.25">
      <c r="A5174" t="s">
        <v>370</v>
      </c>
      <c r="B5174" t="s">
        <v>18160</v>
      </c>
      <c r="E5174" t="s">
        <v>21082</v>
      </c>
      <c r="F5174" t="s">
        <v>108</v>
      </c>
      <c r="H5174" t="s">
        <v>32061</v>
      </c>
      <c r="I5174" t="s">
        <v>453</v>
      </c>
      <c r="J5174" t="s">
        <v>111</v>
      </c>
      <c r="K5174" t="str">
        <f>"85382"</f>
        <v>85382</v>
      </c>
      <c r="L5174" t="s">
        <v>5524</v>
      </c>
      <c r="M5174" t="s">
        <v>32061</v>
      </c>
      <c r="N5174" t="s">
        <v>453</v>
      </c>
      <c r="O5174" t="s">
        <v>111</v>
      </c>
      <c r="P5174" t="str">
        <f>"85382-3090"</f>
        <v>85382-3090</v>
      </c>
      <c r="Q5174" t="s">
        <v>113</v>
      </c>
      <c r="R5174" t="str">
        <f>"200-42-273"</f>
        <v>200-42-273</v>
      </c>
      <c r="S5174" t="s">
        <v>32062</v>
      </c>
      <c r="T5174" t="s">
        <v>32063</v>
      </c>
      <c r="U5174">
        <v>1926</v>
      </c>
      <c r="V5174">
        <v>0</v>
      </c>
      <c r="W5174">
        <v>3</v>
      </c>
      <c r="X5174">
        <v>1986</v>
      </c>
      <c r="Z5174">
        <v>1</v>
      </c>
      <c r="AB5174">
        <v>0</v>
      </c>
      <c r="AC5174" t="s">
        <v>115</v>
      </c>
      <c r="AD5174">
        <v>2</v>
      </c>
      <c r="AE5174" t="s">
        <v>115</v>
      </c>
      <c r="AF5174">
        <v>0</v>
      </c>
      <c r="AG5174">
        <v>0</v>
      </c>
      <c r="AH5174" t="s">
        <v>116</v>
      </c>
      <c r="AI5174" s="1">
        <v>48042</v>
      </c>
      <c r="AJ5174" s="2">
        <v>0.16</v>
      </c>
      <c r="AK5174" s="1">
        <v>298309</v>
      </c>
      <c r="AL5174" t="s">
        <v>117</v>
      </c>
      <c r="AM5174" t="s">
        <v>3345</v>
      </c>
      <c r="AN5174">
        <v>7170</v>
      </c>
      <c r="AO5174">
        <v>0.16</v>
      </c>
      <c r="AP5174">
        <v>1</v>
      </c>
      <c r="AR5174">
        <v>1</v>
      </c>
      <c r="AS5174" s="1">
        <v>20660</v>
      </c>
      <c r="AT5174" s="1">
        <v>4130</v>
      </c>
      <c r="AU5174" s="1">
        <v>16530</v>
      </c>
      <c r="AV5174">
        <v>80.010000000000005</v>
      </c>
      <c r="AX5174" s="1">
        <v>1540.26</v>
      </c>
      <c r="AY5174" t="s">
        <v>7828</v>
      </c>
      <c r="AZ5174" t="s">
        <v>7828</v>
      </c>
      <c r="BA5174" t="s">
        <v>4219</v>
      </c>
      <c r="BE5174" s="3">
        <v>42453</v>
      </c>
      <c r="BF5174" s="1">
        <v>245000</v>
      </c>
      <c r="BG5174" t="s">
        <v>32064</v>
      </c>
      <c r="BH5174" s="1">
        <v>127.21</v>
      </c>
      <c r="BI5174" s="1">
        <v>250267</v>
      </c>
      <c r="BJ5174" s="3">
        <v>42453</v>
      </c>
      <c r="BK5174" t="s">
        <v>123</v>
      </c>
      <c r="BL5174" t="str">
        <f>"2016.191614"</f>
        <v>2016.191614</v>
      </c>
      <c r="BM5174" t="s">
        <v>1791</v>
      </c>
      <c r="BO5174" t="s">
        <v>21079</v>
      </c>
      <c r="BS5174">
        <v>30</v>
      </c>
      <c r="BW5174" t="str">
        <f>""</f>
        <v/>
      </c>
      <c r="CH5174" t="str">
        <f>""</f>
        <v/>
      </c>
      <c r="CS5174" t="str">
        <f>""</f>
        <v/>
      </c>
    </row>
    <row r="5175" spans="1:97" x14ac:dyDescent="0.25">
      <c r="A5175" t="s">
        <v>23421</v>
      </c>
      <c r="B5175" t="s">
        <v>16437</v>
      </c>
      <c r="C5175" t="s">
        <v>32065</v>
      </c>
      <c r="D5175" t="s">
        <v>2692</v>
      </c>
      <c r="E5175" t="s">
        <v>32066</v>
      </c>
      <c r="F5175" t="s">
        <v>108</v>
      </c>
      <c r="H5175" t="s">
        <v>32067</v>
      </c>
      <c r="I5175" t="s">
        <v>5114</v>
      </c>
      <c r="J5175" t="s">
        <v>111</v>
      </c>
      <c r="K5175" t="str">
        <f>"85323"</f>
        <v>85323</v>
      </c>
      <c r="L5175" t="s">
        <v>2220</v>
      </c>
      <c r="M5175" t="s">
        <v>32067</v>
      </c>
      <c r="N5175" t="s">
        <v>5114</v>
      </c>
      <c r="O5175" t="s">
        <v>111</v>
      </c>
      <c r="P5175" t="str">
        <f>"85323-7642"</f>
        <v>85323-7642</v>
      </c>
      <c r="Q5175" t="s">
        <v>113</v>
      </c>
      <c r="R5175" t="str">
        <f>"500-32-406"</f>
        <v>500-32-406</v>
      </c>
      <c r="S5175" t="s">
        <v>32068</v>
      </c>
      <c r="U5175">
        <v>2348</v>
      </c>
      <c r="V5175">
        <v>0</v>
      </c>
      <c r="W5175">
        <v>3</v>
      </c>
      <c r="X5175">
        <v>2008</v>
      </c>
      <c r="Z5175">
        <v>1</v>
      </c>
      <c r="AB5175">
        <v>0</v>
      </c>
      <c r="AC5175" t="s">
        <v>115</v>
      </c>
      <c r="AD5175">
        <v>2</v>
      </c>
      <c r="AE5175" t="s">
        <v>115</v>
      </c>
      <c r="AF5175">
        <v>0</v>
      </c>
      <c r="AG5175">
        <v>0</v>
      </c>
      <c r="AH5175" t="s">
        <v>116</v>
      </c>
      <c r="AI5175" s="1">
        <v>65951</v>
      </c>
      <c r="AJ5175" s="2">
        <v>0.23</v>
      </c>
      <c r="AK5175" s="1">
        <v>289659</v>
      </c>
      <c r="AL5175" t="s">
        <v>117</v>
      </c>
      <c r="AM5175" t="s">
        <v>118</v>
      </c>
      <c r="AN5175">
        <v>8445</v>
      </c>
      <c r="AO5175">
        <v>0.19</v>
      </c>
      <c r="AR5175">
        <v>1</v>
      </c>
      <c r="AS5175" s="1">
        <v>20350</v>
      </c>
      <c r="AT5175" s="1">
        <v>4070</v>
      </c>
      <c r="AU5175" s="1">
        <v>16280</v>
      </c>
      <c r="AV5175">
        <v>80</v>
      </c>
      <c r="AX5175" s="1">
        <v>2486.94</v>
      </c>
      <c r="AY5175" t="s">
        <v>5458</v>
      </c>
      <c r="AZ5175" t="s">
        <v>5458</v>
      </c>
      <c r="BA5175" t="s">
        <v>4254</v>
      </c>
      <c r="BE5175" s="3">
        <v>42275</v>
      </c>
      <c r="BF5175" s="1">
        <v>219000</v>
      </c>
      <c r="BG5175" t="s">
        <v>5252</v>
      </c>
      <c r="BH5175" s="1">
        <v>93.27</v>
      </c>
      <c r="BI5175" s="1">
        <v>223708</v>
      </c>
      <c r="BJ5175" s="3">
        <v>42275</v>
      </c>
      <c r="BK5175" t="s">
        <v>123</v>
      </c>
      <c r="BL5175" t="str">
        <f>"2015.697536"</f>
        <v>2015.697536</v>
      </c>
      <c r="BM5175" t="s">
        <v>1038</v>
      </c>
      <c r="BO5175" t="s">
        <v>32069</v>
      </c>
      <c r="BP5175" t="s">
        <v>32070</v>
      </c>
      <c r="BS5175">
        <v>30</v>
      </c>
      <c r="BW5175" t="str">
        <f>""</f>
        <v/>
      </c>
      <c r="CH5175" t="str">
        <f>""</f>
        <v/>
      </c>
      <c r="CS5175" t="str">
        <f>""</f>
        <v/>
      </c>
    </row>
    <row r="5176" spans="1:97" x14ac:dyDescent="0.25">
      <c r="A5176" t="s">
        <v>2776</v>
      </c>
      <c r="B5176" t="s">
        <v>7487</v>
      </c>
      <c r="E5176" t="s">
        <v>32071</v>
      </c>
      <c r="F5176" t="s">
        <v>108</v>
      </c>
      <c r="H5176" t="s">
        <v>32072</v>
      </c>
      <c r="I5176" t="s">
        <v>225</v>
      </c>
      <c r="J5176" t="s">
        <v>111</v>
      </c>
      <c r="K5176" t="str">
        <f>"85213"</f>
        <v>85213</v>
      </c>
      <c r="L5176" t="s">
        <v>15475</v>
      </c>
      <c r="M5176" t="s">
        <v>32072</v>
      </c>
      <c r="N5176" t="s">
        <v>225</v>
      </c>
      <c r="O5176" t="s">
        <v>111</v>
      </c>
      <c r="P5176" t="str">
        <f>"85213-3115"</f>
        <v>85213-3115</v>
      </c>
      <c r="Q5176" t="s">
        <v>113</v>
      </c>
      <c r="R5176" t="str">
        <f>"141-14-023"</f>
        <v>141-14-023</v>
      </c>
      <c r="S5176" t="s">
        <v>32073</v>
      </c>
      <c r="T5176" t="s">
        <v>32073</v>
      </c>
      <c r="U5176">
        <v>2128</v>
      </c>
      <c r="V5176">
        <v>0</v>
      </c>
      <c r="W5176">
        <v>2</v>
      </c>
      <c r="X5176">
        <v>1980</v>
      </c>
      <c r="Z5176">
        <v>1</v>
      </c>
      <c r="AB5176">
        <v>0</v>
      </c>
      <c r="AC5176" t="s">
        <v>115</v>
      </c>
      <c r="AD5176">
        <v>2</v>
      </c>
      <c r="AE5176" t="s">
        <v>115</v>
      </c>
      <c r="AF5176">
        <v>0</v>
      </c>
      <c r="AG5176">
        <v>0</v>
      </c>
      <c r="AH5176" t="s">
        <v>116</v>
      </c>
      <c r="AI5176" s="1">
        <v>68985</v>
      </c>
      <c r="AJ5176" s="2">
        <v>0.15</v>
      </c>
      <c r="AK5176" s="1">
        <v>469779</v>
      </c>
      <c r="AL5176" t="s">
        <v>117</v>
      </c>
      <c r="AM5176" t="s">
        <v>376</v>
      </c>
      <c r="AN5176">
        <v>34752</v>
      </c>
      <c r="AO5176">
        <v>0.8</v>
      </c>
      <c r="AP5176">
        <v>1</v>
      </c>
      <c r="AR5176">
        <v>1</v>
      </c>
      <c r="AS5176" s="1">
        <v>32680</v>
      </c>
      <c r="AT5176" s="1">
        <v>6530</v>
      </c>
      <c r="AU5176" s="1">
        <v>26150</v>
      </c>
      <c r="AV5176">
        <v>80.02</v>
      </c>
      <c r="AX5176" s="1">
        <v>2688.14</v>
      </c>
      <c r="AY5176" t="s">
        <v>7102</v>
      </c>
      <c r="AZ5176" t="s">
        <v>4163</v>
      </c>
      <c r="BA5176" t="s">
        <v>1524</v>
      </c>
      <c r="BE5176" s="3">
        <v>42174</v>
      </c>
      <c r="BF5176" s="1">
        <v>387000</v>
      </c>
      <c r="BG5176" t="s">
        <v>32074</v>
      </c>
      <c r="BH5176" s="1">
        <v>181.86</v>
      </c>
      <c r="BI5176" s="1">
        <v>400794</v>
      </c>
      <c r="BJ5176" s="3">
        <v>42620</v>
      </c>
      <c r="BK5176" t="s">
        <v>123</v>
      </c>
      <c r="BL5176" t="str">
        <f>"2016.648300"</f>
        <v>2016.648300</v>
      </c>
      <c r="BM5176" t="s">
        <v>673</v>
      </c>
      <c r="BO5176" t="s">
        <v>32075</v>
      </c>
      <c r="BS5176">
        <v>30</v>
      </c>
      <c r="BW5176" t="str">
        <f>""</f>
        <v/>
      </c>
      <c r="CH5176" t="str">
        <f>""</f>
        <v/>
      </c>
      <c r="CS5176" t="str">
        <f>""</f>
        <v/>
      </c>
    </row>
    <row r="5177" spans="1:97" x14ac:dyDescent="0.25">
      <c r="A5177" t="s">
        <v>2729</v>
      </c>
      <c r="B5177" t="s">
        <v>32076</v>
      </c>
      <c r="C5177" t="s">
        <v>10722</v>
      </c>
      <c r="D5177" t="s">
        <v>32076</v>
      </c>
      <c r="E5177" t="s">
        <v>32077</v>
      </c>
      <c r="F5177" t="s">
        <v>108</v>
      </c>
      <c r="H5177" t="s">
        <v>32078</v>
      </c>
      <c r="I5177" t="s">
        <v>632</v>
      </c>
      <c r="J5177" t="s">
        <v>111</v>
      </c>
      <c r="K5177" t="str">
        <f>"85379"</f>
        <v>85379</v>
      </c>
      <c r="L5177" t="s">
        <v>2820</v>
      </c>
      <c r="M5177" t="s">
        <v>32078</v>
      </c>
      <c r="N5177" t="s">
        <v>632</v>
      </c>
      <c r="O5177" t="s">
        <v>111</v>
      </c>
      <c r="P5177" t="str">
        <f>"85379-8375"</f>
        <v>85379-8375</v>
      </c>
      <c r="Q5177" t="s">
        <v>113</v>
      </c>
      <c r="R5177" t="str">
        <f>"501-15-633"</f>
        <v>501-15-633</v>
      </c>
      <c r="S5177" t="s">
        <v>16198</v>
      </c>
      <c r="U5177">
        <v>1407</v>
      </c>
      <c r="V5177">
        <v>0</v>
      </c>
      <c r="W5177">
        <v>3</v>
      </c>
      <c r="X5177">
        <v>2004</v>
      </c>
      <c r="Z5177">
        <v>1</v>
      </c>
      <c r="AB5177">
        <v>0</v>
      </c>
      <c r="AC5177" t="s">
        <v>115</v>
      </c>
      <c r="AD5177">
        <v>2</v>
      </c>
      <c r="AE5177" t="s">
        <v>115</v>
      </c>
      <c r="AF5177">
        <v>0</v>
      </c>
      <c r="AG5177">
        <v>0</v>
      </c>
      <c r="AH5177" t="s">
        <v>116</v>
      </c>
      <c r="AI5177" s="1">
        <v>-4792</v>
      </c>
      <c r="AJ5177" s="2">
        <v>-0.02</v>
      </c>
      <c r="AK5177" s="1">
        <v>225208</v>
      </c>
      <c r="AL5177" t="s">
        <v>117</v>
      </c>
      <c r="AM5177" t="s">
        <v>5516</v>
      </c>
      <c r="AN5177">
        <v>5748</v>
      </c>
      <c r="AO5177">
        <v>0.13</v>
      </c>
      <c r="AP5177">
        <v>1</v>
      </c>
      <c r="AR5177">
        <v>1</v>
      </c>
      <c r="AS5177" s="1">
        <v>15210</v>
      </c>
      <c r="AT5177" s="1">
        <v>3040</v>
      </c>
      <c r="AU5177" s="1">
        <v>12170</v>
      </c>
      <c r="AV5177">
        <v>80.010000000000005</v>
      </c>
      <c r="AX5177" s="1">
        <v>989.62</v>
      </c>
      <c r="AY5177" t="s">
        <v>5983</v>
      </c>
      <c r="AZ5177" t="s">
        <v>5983</v>
      </c>
      <c r="BA5177" t="s">
        <v>321</v>
      </c>
      <c r="BB5177" s="3">
        <v>42544</v>
      </c>
      <c r="BD5177" t="s">
        <v>240</v>
      </c>
      <c r="BE5177" s="3">
        <v>41779</v>
      </c>
      <c r="BF5177" s="1">
        <v>143000</v>
      </c>
      <c r="BG5177" t="s">
        <v>32079</v>
      </c>
      <c r="BH5177" s="1">
        <v>101.63</v>
      </c>
      <c r="BI5177" s="1">
        <v>230000</v>
      </c>
      <c r="BJ5177" s="3">
        <v>43587</v>
      </c>
      <c r="BK5177" t="s">
        <v>123</v>
      </c>
      <c r="BL5177" t="str">
        <f>"2019.318676"</f>
        <v>2019.318676</v>
      </c>
      <c r="BM5177" t="s">
        <v>492</v>
      </c>
      <c r="BN5177" t="s">
        <v>4706</v>
      </c>
      <c r="BO5177" t="s">
        <v>32080</v>
      </c>
      <c r="BP5177" t="s">
        <v>32081</v>
      </c>
      <c r="BR5177" t="s">
        <v>139</v>
      </c>
      <c r="BW5177" t="str">
        <f>""</f>
        <v/>
      </c>
      <c r="CH5177" t="str">
        <f>""</f>
        <v/>
      </c>
      <c r="CS5177" t="str">
        <f>""</f>
        <v/>
      </c>
    </row>
    <row r="5178" spans="1:97" x14ac:dyDescent="0.25">
      <c r="A5178" t="s">
        <v>177</v>
      </c>
      <c r="B5178" t="s">
        <v>32082</v>
      </c>
      <c r="C5178" t="s">
        <v>1821</v>
      </c>
      <c r="D5178" t="s">
        <v>32083</v>
      </c>
      <c r="E5178" t="s">
        <v>32084</v>
      </c>
      <c r="F5178" t="s">
        <v>139</v>
      </c>
      <c r="H5178" t="s">
        <v>32085</v>
      </c>
      <c r="I5178" t="s">
        <v>390</v>
      </c>
      <c r="J5178" t="s">
        <v>111</v>
      </c>
      <c r="K5178" t="str">
        <f>"85044"</f>
        <v>85044</v>
      </c>
      <c r="L5178" t="s">
        <v>8034</v>
      </c>
      <c r="M5178" t="s">
        <v>32086</v>
      </c>
      <c r="N5178" t="s">
        <v>390</v>
      </c>
      <c r="O5178" t="s">
        <v>111</v>
      </c>
      <c r="P5178" t="str">
        <f>"85076-1101"</f>
        <v>85076-1101</v>
      </c>
      <c r="Q5178" t="s">
        <v>113</v>
      </c>
      <c r="R5178" t="str">
        <f>"301-55-152"</f>
        <v>301-55-152</v>
      </c>
      <c r="S5178" t="s">
        <v>27492</v>
      </c>
      <c r="T5178" t="s">
        <v>27493</v>
      </c>
      <c r="U5178">
        <v>1461</v>
      </c>
      <c r="V5178">
        <v>0</v>
      </c>
      <c r="W5178">
        <v>1</v>
      </c>
      <c r="X5178">
        <v>1980</v>
      </c>
      <c r="Z5178">
        <v>1</v>
      </c>
      <c r="AB5178">
        <v>0</v>
      </c>
      <c r="AC5178" t="s">
        <v>115</v>
      </c>
      <c r="AD5178">
        <v>2</v>
      </c>
      <c r="AE5178" t="s">
        <v>115</v>
      </c>
      <c r="AF5178">
        <v>0</v>
      </c>
      <c r="AG5178">
        <v>0</v>
      </c>
      <c r="AH5178" t="s">
        <v>116</v>
      </c>
      <c r="AI5178" s="1">
        <v>59772</v>
      </c>
      <c r="AJ5178" s="2">
        <v>0.21</v>
      </c>
      <c r="AK5178" s="1">
        <v>289609</v>
      </c>
      <c r="AL5178" t="s">
        <v>117</v>
      </c>
      <c r="AM5178" t="s">
        <v>191</v>
      </c>
      <c r="AN5178">
        <v>9243</v>
      </c>
      <c r="AO5178">
        <v>0.21</v>
      </c>
      <c r="AP5178">
        <v>1</v>
      </c>
      <c r="AR5178">
        <v>1</v>
      </c>
      <c r="AS5178" s="1">
        <v>20220</v>
      </c>
      <c r="AT5178" s="1">
        <v>4040</v>
      </c>
      <c r="AU5178" s="1">
        <v>16180</v>
      </c>
      <c r="AV5178">
        <v>80.02</v>
      </c>
      <c r="AX5178" s="1">
        <v>1664.88</v>
      </c>
      <c r="AY5178" t="s">
        <v>11872</v>
      </c>
      <c r="AZ5178" t="s">
        <v>7255</v>
      </c>
      <c r="BA5178" t="s">
        <v>5328</v>
      </c>
      <c r="BB5178" s="3">
        <v>42331</v>
      </c>
      <c r="BD5178" t="s">
        <v>458</v>
      </c>
      <c r="BE5178" s="3">
        <v>41941</v>
      </c>
      <c r="BF5178" s="1">
        <v>225000</v>
      </c>
      <c r="BG5178" t="s">
        <v>32087</v>
      </c>
      <c r="BH5178" s="1">
        <v>154</v>
      </c>
      <c r="BI5178" s="1">
        <v>229837</v>
      </c>
      <c r="BJ5178" s="3">
        <v>41941</v>
      </c>
      <c r="BK5178" t="s">
        <v>123</v>
      </c>
      <c r="BL5178" t="str">
        <f>"2014.717117"</f>
        <v>2014.717117</v>
      </c>
      <c r="BM5178" t="s">
        <v>9665</v>
      </c>
      <c r="BO5178" t="s">
        <v>32088</v>
      </c>
      <c r="BS5178">
        <v>30</v>
      </c>
      <c r="BW5178" t="str">
        <f>""</f>
        <v/>
      </c>
      <c r="CH5178" t="str">
        <f>""</f>
        <v/>
      </c>
      <c r="CS5178" t="str">
        <f>""</f>
        <v/>
      </c>
    </row>
    <row r="5179" spans="1:97" x14ac:dyDescent="0.25">
      <c r="A5179" t="s">
        <v>4221</v>
      </c>
      <c r="B5179" t="s">
        <v>32089</v>
      </c>
      <c r="E5179" t="s">
        <v>32090</v>
      </c>
      <c r="F5179" t="s">
        <v>108</v>
      </c>
      <c r="H5179" t="s">
        <v>32091</v>
      </c>
      <c r="I5179" t="s">
        <v>203</v>
      </c>
      <c r="J5179" t="s">
        <v>111</v>
      </c>
      <c r="K5179" t="str">
        <f>"85296"</f>
        <v>85296</v>
      </c>
      <c r="L5179" t="s">
        <v>3326</v>
      </c>
      <c r="M5179" t="s">
        <v>32091</v>
      </c>
      <c r="N5179" t="s">
        <v>203</v>
      </c>
      <c r="O5179" t="s">
        <v>111</v>
      </c>
      <c r="P5179" t="str">
        <f>"85296-2057"</f>
        <v>85296-2057</v>
      </c>
      <c r="Q5179" t="s">
        <v>113</v>
      </c>
      <c r="R5179" t="str">
        <f>"309-11-671"</f>
        <v>309-11-671</v>
      </c>
      <c r="S5179" t="s">
        <v>11050</v>
      </c>
      <c r="T5179" t="s">
        <v>11050</v>
      </c>
      <c r="U5179">
        <v>1805</v>
      </c>
      <c r="V5179">
        <v>0</v>
      </c>
      <c r="W5179">
        <v>3</v>
      </c>
      <c r="X5179">
        <v>1997</v>
      </c>
      <c r="Z5179">
        <v>1</v>
      </c>
      <c r="AB5179">
        <v>0</v>
      </c>
      <c r="AC5179" t="s">
        <v>115</v>
      </c>
      <c r="AD5179">
        <v>2</v>
      </c>
      <c r="AE5179" t="s">
        <v>115</v>
      </c>
      <c r="AF5179">
        <v>0</v>
      </c>
      <c r="AG5179">
        <v>0</v>
      </c>
      <c r="AH5179" t="s">
        <v>116</v>
      </c>
      <c r="AI5179" s="1">
        <v>92777</v>
      </c>
      <c r="AJ5179" s="2">
        <v>0.28999999999999998</v>
      </c>
      <c r="AK5179" s="1">
        <v>317777</v>
      </c>
      <c r="AL5179" t="s">
        <v>117</v>
      </c>
      <c r="AM5179" t="s">
        <v>191</v>
      </c>
      <c r="AN5179">
        <v>6460</v>
      </c>
      <c r="AO5179">
        <v>0.15</v>
      </c>
      <c r="AP5179">
        <v>1</v>
      </c>
      <c r="AR5179">
        <v>1</v>
      </c>
      <c r="AS5179" s="1">
        <v>21970</v>
      </c>
      <c r="AT5179" s="1">
        <v>4390</v>
      </c>
      <c r="AU5179" s="1">
        <v>17580</v>
      </c>
      <c r="AV5179">
        <v>80.02</v>
      </c>
      <c r="AX5179" s="1">
        <v>1787.54</v>
      </c>
      <c r="AY5179" t="s">
        <v>5032</v>
      </c>
      <c r="AZ5179" t="s">
        <v>520</v>
      </c>
      <c r="BA5179" t="s">
        <v>5033</v>
      </c>
      <c r="BE5179" s="3">
        <v>42058</v>
      </c>
      <c r="BF5179" s="1">
        <v>225000</v>
      </c>
      <c r="BG5179" t="s">
        <v>32092</v>
      </c>
      <c r="BH5179" s="1">
        <v>124.65</v>
      </c>
      <c r="BI5179" s="1">
        <v>225000</v>
      </c>
      <c r="BJ5179" s="3">
        <v>42058</v>
      </c>
      <c r="BK5179" t="s">
        <v>123</v>
      </c>
      <c r="BL5179" t="str">
        <f>"2015.113204"</f>
        <v>2015.113204</v>
      </c>
      <c r="BM5179" t="s">
        <v>2683</v>
      </c>
      <c r="BO5179" t="s">
        <v>32093</v>
      </c>
      <c r="BS5179">
        <v>30</v>
      </c>
      <c r="BW5179" t="str">
        <f>""</f>
        <v/>
      </c>
      <c r="CH5179" t="str">
        <f>""</f>
        <v/>
      </c>
      <c r="CS5179" t="str">
        <f>""</f>
        <v/>
      </c>
    </row>
    <row r="5180" spans="1:97" x14ac:dyDescent="0.25">
      <c r="B5180" t="s">
        <v>32094</v>
      </c>
      <c r="E5180" t="s">
        <v>32095</v>
      </c>
      <c r="F5180" t="s">
        <v>108</v>
      </c>
      <c r="H5180" t="s">
        <v>32096</v>
      </c>
      <c r="I5180" t="s">
        <v>632</v>
      </c>
      <c r="J5180" t="s">
        <v>111</v>
      </c>
      <c r="K5180" t="str">
        <f>"85374"</f>
        <v>85374</v>
      </c>
      <c r="L5180" t="s">
        <v>2765</v>
      </c>
      <c r="M5180" t="s">
        <v>32096</v>
      </c>
      <c r="N5180" t="s">
        <v>632</v>
      </c>
      <c r="O5180" t="s">
        <v>111</v>
      </c>
      <c r="P5180" t="str">
        <f>"85374-6142"</f>
        <v>85374-6142</v>
      </c>
      <c r="Q5180" t="s">
        <v>113</v>
      </c>
      <c r="R5180" t="str">
        <f>"232-37-244"</f>
        <v>232-37-244</v>
      </c>
      <c r="S5180" t="s">
        <v>7468</v>
      </c>
      <c r="T5180" t="s">
        <v>7469</v>
      </c>
      <c r="U5180">
        <v>1322</v>
      </c>
      <c r="V5180">
        <v>0</v>
      </c>
      <c r="W5180">
        <v>3</v>
      </c>
      <c r="X5180">
        <v>2000</v>
      </c>
      <c r="Z5180">
        <v>1</v>
      </c>
      <c r="AB5180">
        <v>0</v>
      </c>
      <c r="AC5180" t="s">
        <v>115</v>
      </c>
      <c r="AD5180">
        <v>2</v>
      </c>
      <c r="AE5180" t="s">
        <v>115</v>
      </c>
      <c r="AF5180">
        <v>0</v>
      </c>
      <c r="AG5180">
        <v>0</v>
      </c>
      <c r="AH5180" t="s">
        <v>116</v>
      </c>
      <c r="AI5180" s="1">
        <v>47440</v>
      </c>
      <c r="AJ5180" s="2">
        <v>0.19</v>
      </c>
      <c r="AK5180" s="1">
        <v>253007</v>
      </c>
      <c r="AL5180" t="s">
        <v>117</v>
      </c>
      <c r="AM5180" t="s">
        <v>118</v>
      </c>
      <c r="AN5180">
        <v>7540</v>
      </c>
      <c r="AO5180">
        <v>0.17</v>
      </c>
      <c r="AP5180">
        <v>1</v>
      </c>
      <c r="AR5180">
        <v>1</v>
      </c>
      <c r="AS5180" s="1">
        <v>16380</v>
      </c>
      <c r="AT5180" s="1">
        <v>3270</v>
      </c>
      <c r="AU5180" s="1">
        <v>13110</v>
      </c>
      <c r="AV5180">
        <v>80.040000000000006</v>
      </c>
      <c r="AX5180" s="1">
        <v>1631.9</v>
      </c>
      <c r="AY5180" t="s">
        <v>5108</v>
      </c>
      <c r="AZ5180" t="s">
        <v>5108</v>
      </c>
      <c r="BA5180" t="s">
        <v>5109</v>
      </c>
      <c r="BB5180" s="3">
        <v>43504</v>
      </c>
      <c r="BC5180" s="1">
        <v>0</v>
      </c>
      <c r="BD5180" t="s">
        <v>247</v>
      </c>
      <c r="BE5180" s="3">
        <v>42535</v>
      </c>
      <c r="BF5180" s="1">
        <v>199000</v>
      </c>
      <c r="BG5180" t="s">
        <v>32097</v>
      </c>
      <c r="BH5180" s="1">
        <v>150.53</v>
      </c>
      <c r="BI5180" s="1">
        <v>205567</v>
      </c>
      <c r="BJ5180" s="3">
        <v>42535</v>
      </c>
      <c r="BK5180" t="s">
        <v>123</v>
      </c>
      <c r="BL5180" t="str">
        <f>"2016.411657"</f>
        <v>2016.411657</v>
      </c>
      <c r="BM5180" t="s">
        <v>8868</v>
      </c>
      <c r="BN5180" t="s">
        <v>18904</v>
      </c>
      <c r="BO5180" t="s">
        <v>32098</v>
      </c>
      <c r="BS5180">
        <v>30</v>
      </c>
      <c r="BW5180" t="str">
        <f>""</f>
        <v/>
      </c>
      <c r="CH5180" t="str">
        <f>""</f>
        <v/>
      </c>
      <c r="CS5180" t="str">
        <f>""</f>
        <v/>
      </c>
    </row>
    <row r="5181" spans="1:97" x14ac:dyDescent="0.25">
      <c r="A5181" t="s">
        <v>32099</v>
      </c>
      <c r="B5181" t="s">
        <v>32100</v>
      </c>
      <c r="C5181" t="s">
        <v>19520</v>
      </c>
      <c r="D5181" t="s">
        <v>32100</v>
      </c>
      <c r="E5181" t="s">
        <v>32101</v>
      </c>
      <c r="F5181" t="s">
        <v>108</v>
      </c>
      <c r="H5181" t="s">
        <v>32102</v>
      </c>
      <c r="I5181" t="s">
        <v>110</v>
      </c>
      <c r="J5181" t="s">
        <v>111</v>
      </c>
      <c r="K5181" t="str">
        <f>"85286"</f>
        <v>85286</v>
      </c>
      <c r="L5181" t="s">
        <v>1796</v>
      </c>
      <c r="M5181" t="s">
        <v>32102</v>
      </c>
      <c r="N5181" t="s">
        <v>110</v>
      </c>
      <c r="O5181" t="s">
        <v>111</v>
      </c>
      <c r="P5181" t="str">
        <f>"85286-7472"</f>
        <v>85286-7472</v>
      </c>
      <c r="Q5181" t="s">
        <v>113</v>
      </c>
      <c r="R5181" t="str">
        <f>"303-77-353"</f>
        <v>303-77-353</v>
      </c>
      <c r="S5181" t="s">
        <v>17774</v>
      </c>
      <c r="U5181">
        <v>2337</v>
      </c>
      <c r="V5181">
        <v>0</v>
      </c>
      <c r="W5181">
        <v>4</v>
      </c>
      <c r="X5181">
        <v>1997</v>
      </c>
      <c r="Z5181">
        <v>2</v>
      </c>
      <c r="AA5181" t="s">
        <v>26</v>
      </c>
      <c r="AB5181">
        <v>0</v>
      </c>
      <c r="AC5181" t="s">
        <v>115</v>
      </c>
      <c r="AD5181">
        <v>2</v>
      </c>
      <c r="AE5181" t="s">
        <v>115</v>
      </c>
      <c r="AF5181">
        <v>0</v>
      </c>
      <c r="AG5181">
        <v>0</v>
      </c>
      <c r="AH5181" t="s">
        <v>116</v>
      </c>
      <c r="AI5181" s="1">
        <v>87673</v>
      </c>
      <c r="AJ5181" s="2">
        <v>0.22</v>
      </c>
      <c r="AK5181" s="1">
        <v>405635</v>
      </c>
      <c r="AL5181" t="s">
        <v>117</v>
      </c>
      <c r="AM5181" t="s">
        <v>118</v>
      </c>
      <c r="AN5181">
        <v>10669</v>
      </c>
      <c r="AO5181">
        <v>0.24</v>
      </c>
      <c r="AP5181">
        <v>1</v>
      </c>
      <c r="AR5181">
        <v>1</v>
      </c>
      <c r="AS5181" s="1">
        <v>30110</v>
      </c>
      <c r="AT5181" s="1">
        <v>6020</v>
      </c>
      <c r="AU5181" s="1">
        <v>24090</v>
      </c>
      <c r="AV5181">
        <v>80.010000000000005</v>
      </c>
      <c r="AX5181" s="1">
        <v>2519.4</v>
      </c>
      <c r="AY5181" t="s">
        <v>10718</v>
      </c>
      <c r="AZ5181" t="s">
        <v>1882</v>
      </c>
      <c r="BA5181" t="s">
        <v>121</v>
      </c>
      <c r="BE5181" s="3">
        <v>42185</v>
      </c>
      <c r="BF5181" s="1">
        <v>326000</v>
      </c>
      <c r="BG5181" t="s">
        <v>32103</v>
      </c>
      <c r="BH5181" s="1">
        <v>139.5</v>
      </c>
      <c r="BI5181" s="1">
        <v>317962</v>
      </c>
      <c r="BJ5181" s="3">
        <v>42611</v>
      </c>
      <c r="BK5181" t="s">
        <v>123</v>
      </c>
      <c r="BL5181" t="str">
        <f>"2016.621048"</f>
        <v>2016.621048</v>
      </c>
      <c r="BM5181" t="s">
        <v>709</v>
      </c>
      <c r="BO5181" t="s">
        <v>32104</v>
      </c>
      <c r="BS5181">
        <v>30</v>
      </c>
      <c r="BW5181" t="str">
        <f>""</f>
        <v/>
      </c>
      <c r="CH5181" t="str">
        <f>""</f>
        <v/>
      </c>
      <c r="CS5181" t="str">
        <f>""</f>
        <v/>
      </c>
    </row>
    <row r="5182" spans="1:97" x14ac:dyDescent="0.25">
      <c r="B5182" t="s">
        <v>32105</v>
      </c>
      <c r="E5182" t="s">
        <v>32105</v>
      </c>
      <c r="F5182" t="s">
        <v>108</v>
      </c>
      <c r="H5182" t="s">
        <v>32106</v>
      </c>
      <c r="I5182" t="s">
        <v>499</v>
      </c>
      <c r="J5182" t="s">
        <v>111</v>
      </c>
      <c r="K5182" t="str">
        <f>"85395"</f>
        <v>85395</v>
      </c>
      <c r="L5182" t="s">
        <v>4003</v>
      </c>
      <c r="M5182" t="s">
        <v>32106</v>
      </c>
      <c r="N5182" t="s">
        <v>499</v>
      </c>
      <c r="O5182" t="s">
        <v>111</v>
      </c>
      <c r="P5182" t="str">
        <f>"85395-2401"</f>
        <v>85395-2401</v>
      </c>
      <c r="Q5182" t="s">
        <v>113</v>
      </c>
      <c r="R5182" t="str">
        <f>"501-98-321"</f>
        <v>501-98-321</v>
      </c>
      <c r="S5182" t="s">
        <v>32107</v>
      </c>
      <c r="T5182" t="s">
        <v>14682</v>
      </c>
      <c r="U5182">
        <v>3117</v>
      </c>
      <c r="V5182">
        <v>0</v>
      </c>
      <c r="W5182">
        <v>4</v>
      </c>
      <c r="X5182">
        <v>2002</v>
      </c>
      <c r="Z5182">
        <v>2</v>
      </c>
      <c r="AB5182">
        <v>0</v>
      </c>
      <c r="AC5182" t="s">
        <v>115</v>
      </c>
      <c r="AD5182">
        <v>3</v>
      </c>
      <c r="AE5182" t="s">
        <v>115</v>
      </c>
      <c r="AF5182">
        <v>0</v>
      </c>
      <c r="AG5182">
        <v>0</v>
      </c>
      <c r="AH5182" t="s">
        <v>116</v>
      </c>
      <c r="AI5182" s="1">
        <v>72232</v>
      </c>
      <c r="AJ5182" s="2">
        <v>0.19</v>
      </c>
      <c r="AK5182" s="1">
        <v>371929</v>
      </c>
      <c r="AL5182" t="s">
        <v>117</v>
      </c>
      <c r="AM5182" t="s">
        <v>118</v>
      </c>
      <c r="AN5182">
        <v>7558</v>
      </c>
      <c r="AO5182">
        <v>0.17</v>
      </c>
      <c r="AP5182">
        <v>1</v>
      </c>
      <c r="AR5182">
        <v>1</v>
      </c>
      <c r="AS5182" s="1">
        <v>25920</v>
      </c>
      <c r="AT5182" s="1">
        <v>5180</v>
      </c>
      <c r="AU5182" s="1">
        <v>20740</v>
      </c>
      <c r="AV5182">
        <v>80.02</v>
      </c>
      <c r="AX5182" s="1">
        <v>2907.36</v>
      </c>
      <c r="AY5182" t="s">
        <v>6796</v>
      </c>
      <c r="AZ5182" t="s">
        <v>6796</v>
      </c>
      <c r="BA5182" t="s">
        <v>3154</v>
      </c>
      <c r="BB5182" s="3">
        <v>42327</v>
      </c>
      <c r="BD5182" t="s">
        <v>240</v>
      </c>
      <c r="BE5182" s="3">
        <v>41858</v>
      </c>
      <c r="BF5182" s="1">
        <v>292400</v>
      </c>
      <c r="BG5182" t="s">
        <v>32108</v>
      </c>
      <c r="BH5182" s="1">
        <v>93.81</v>
      </c>
      <c r="BI5182" s="1">
        <v>299697</v>
      </c>
      <c r="BJ5182" s="3">
        <v>42327</v>
      </c>
      <c r="BK5182" t="s">
        <v>123</v>
      </c>
      <c r="BL5182" t="str">
        <f>"2015.827636"</f>
        <v>2015.827636</v>
      </c>
      <c r="BM5182" t="s">
        <v>255</v>
      </c>
      <c r="BO5182" t="s">
        <v>32109</v>
      </c>
      <c r="BS5182">
        <v>30</v>
      </c>
      <c r="BW5182" t="str">
        <f>""</f>
        <v/>
      </c>
      <c r="CH5182" t="str">
        <f>""</f>
        <v/>
      </c>
      <c r="CS5182" t="str">
        <f>""</f>
        <v/>
      </c>
    </row>
    <row r="5183" spans="1:97" x14ac:dyDescent="0.25">
      <c r="B5183" t="s">
        <v>32110</v>
      </c>
      <c r="E5183" t="s">
        <v>32110</v>
      </c>
      <c r="F5183" t="s">
        <v>282</v>
      </c>
      <c r="H5183" t="s">
        <v>32111</v>
      </c>
      <c r="I5183" t="s">
        <v>390</v>
      </c>
      <c r="J5183" t="s">
        <v>111</v>
      </c>
      <c r="K5183" t="str">
        <f>"85028"</f>
        <v>85028</v>
      </c>
      <c r="L5183" t="s">
        <v>5485</v>
      </c>
      <c r="M5183" t="s">
        <v>32112</v>
      </c>
      <c r="N5183" t="s">
        <v>32113</v>
      </c>
      <c r="O5183" t="s">
        <v>360</v>
      </c>
      <c r="P5183" t="str">
        <f>"95123-3208"</f>
        <v>95123-3208</v>
      </c>
      <c r="Q5183" t="s">
        <v>113</v>
      </c>
      <c r="R5183" t="str">
        <f>"166-29-136-A"</f>
        <v>166-29-136-A</v>
      </c>
      <c r="S5183" t="s">
        <v>32114</v>
      </c>
      <c r="T5183" t="s">
        <v>32115</v>
      </c>
      <c r="U5183">
        <v>1956</v>
      </c>
      <c r="V5183">
        <v>0</v>
      </c>
      <c r="W5183">
        <v>2</v>
      </c>
      <c r="X5183">
        <v>1971</v>
      </c>
      <c r="Z5183">
        <v>1</v>
      </c>
      <c r="AB5183">
        <v>0</v>
      </c>
      <c r="AC5183" t="s">
        <v>115</v>
      </c>
      <c r="AD5183">
        <v>2</v>
      </c>
      <c r="AE5183" t="s">
        <v>115</v>
      </c>
      <c r="AF5183">
        <v>0</v>
      </c>
      <c r="AG5183">
        <v>0</v>
      </c>
      <c r="AH5183" t="s">
        <v>116</v>
      </c>
      <c r="AI5183" s="1">
        <v>125637</v>
      </c>
      <c r="AJ5183" s="2">
        <v>0.38</v>
      </c>
      <c r="AK5183" s="1">
        <v>327894</v>
      </c>
      <c r="AL5183" t="s">
        <v>117</v>
      </c>
      <c r="AM5183" t="s">
        <v>171</v>
      </c>
      <c r="AN5183">
        <v>9865</v>
      </c>
      <c r="AO5183">
        <v>0.23</v>
      </c>
      <c r="AP5183">
        <v>1</v>
      </c>
      <c r="AR5183">
        <v>1</v>
      </c>
      <c r="AS5183" s="1">
        <v>23420</v>
      </c>
      <c r="AT5183" s="1">
        <v>4680</v>
      </c>
      <c r="AU5183" s="1">
        <v>18740</v>
      </c>
      <c r="AV5183">
        <v>80.02</v>
      </c>
      <c r="AX5183" s="1">
        <v>1762.96</v>
      </c>
      <c r="AY5183" t="s">
        <v>5488</v>
      </c>
      <c r="AZ5183" t="s">
        <v>5489</v>
      </c>
      <c r="BA5183" t="s">
        <v>5232</v>
      </c>
      <c r="BB5183" s="3">
        <v>42579</v>
      </c>
      <c r="BD5183" t="s">
        <v>240</v>
      </c>
      <c r="BE5183" s="3">
        <v>41820</v>
      </c>
      <c r="BF5183" s="1">
        <v>207000</v>
      </c>
      <c r="BG5183" t="s">
        <v>32116</v>
      </c>
      <c r="BH5183" s="1">
        <v>105.83</v>
      </c>
      <c r="BI5183" s="1">
        <v>202257</v>
      </c>
      <c r="BJ5183" s="3">
        <v>42184</v>
      </c>
      <c r="BK5183" t="s">
        <v>123</v>
      </c>
      <c r="BL5183" t="str">
        <f>"2015.464420"</f>
        <v>2015.464420</v>
      </c>
      <c r="BM5183" t="s">
        <v>820</v>
      </c>
      <c r="BO5183" t="s">
        <v>32117</v>
      </c>
      <c r="BS5183">
        <v>30</v>
      </c>
      <c r="BW5183" t="str">
        <f>""</f>
        <v/>
      </c>
      <c r="CH5183" t="str">
        <f>""</f>
        <v/>
      </c>
      <c r="CS5183" t="str">
        <f>""</f>
        <v/>
      </c>
    </row>
    <row r="5184" spans="1:97" x14ac:dyDescent="0.25">
      <c r="A5184" t="s">
        <v>3718</v>
      </c>
      <c r="B5184" t="s">
        <v>32118</v>
      </c>
      <c r="E5184" t="s">
        <v>32119</v>
      </c>
      <c r="F5184" t="s">
        <v>108</v>
      </c>
      <c r="H5184" t="s">
        <v>32120</v>
      </c>
      <c r="I5184" t="s">
        <v>632</v>
      </c>
      <c r="J5184" t="s">
        <v>111</v>
      </c>
      <c r="K5184" t="str">
        <f>"85379"</f>
        <v>85379</v>
      </c>
      <c r="L5184" t="s">
        <v>269</v>
      </c>
      <c r="M5184" t="s">
        <v>32120</v>
      </c>
      <c r="N5184" t="s">
        <v>632</v>
      </c>
      <c r="O5184" t="s">
        <v>111</v>
      </c>
      <c r="P5184" t="str">
        <f>"85379-4749"</f>
        <v>85379-4749</v>
      </c>
      <c r="Q5184" t="s">
        <v>113</v>
      </c>
      <c r="R5184" t="str">
        <f>"501-40-708"</f>
        <v>501-40-708</v>
      </c>
      <c r="S5184" t="s">
        <v>32121</v>
      </c>
      <c r="U5184">
        <v>2896</v>
      </c>
      <c r="V5184">
        <v>0</v>
      </c>
      <c r="W5184">
        <v>4</v>
      </c>
      <c r="X5184">
        <v>2006</v>
      </c>
      <c r="Z5184">
        <v>2</v>
      </c>
      <c r="AB5184">
        <v>0</v>
      </c>
      <c r="AC5184" t="s">
        <v>115</v>
      </c>
      <c r="AD5184">
        <v>2</v>
      </c>
      <c r="AE5184" t="s">
        <v>115</v>
      </c>
      <c r="AF5184">
        <v>0</v>
      </c>
      <c r="AG5184">
        <v>0</v>
      </c>
      <c r="AH5184" t="s">
        <v>116</v>
      </c>
      <c r="AI5184" s="1">
        <v>69171</v>
      </c>
      <c r="AJ5184" s="2">
        <v>0.24</v>
      </c>
      <c r="AK5184" s="1">
        <v>292688</v>
      </c>
      <c r="AL5184" t="s">
        <v>117</v>
      </c>
      <c r="AM5184" t="s">
        <v>118</v>
      </c>
      <c r="AN5184">
        <v>5882</v>
      </c>
      <c r="AO5184">
        <v>0.14000000000000001</v>
      </c>
      <c r="AR5184">
        <v>1</v>
      </c>
      <c r="AS5184" s="1">
        <v>20450</v>
      </c>
      <c r="AT5184" s="1">
        <v>4090</v>
      </c>
      <c r="AU5184" s="1">
        <v>16360</v>
      </c>
      <c r="AV5184">
        <v>80</v>
      </c>
      <c r="AX5184" s="1">
        <v>1622.9</v>
      </c>
      <c r="AY5184" t="s">
        <v>5060</v>
      </c>
      <c r="AZ5184" t="s">
        <v>5060</v>
      </c>
      <c r="BA5184" t="s">
        <v>5061</v>
      </c>
      <c r="BE5184" s="3">
        <v>42216</v>
      </c>
      <c r="BF5184" s="1">
        <v>223000</v>
      </c>
      <c r="BG5184" t="s">
        <v>32122</v>
      </c>
      <c r="BH5184" s="1">
        <v>77</v>
      </c>
      <c r="BI5184" s="1">
        <v>223517</v>
      </c>
      <c r="BJ5184" s="3">
        <v>42436</v>
      </c>
      <c r="BK5184" t="s">
        <v>123</v>
      </c>
      <c r="BL5184" t="str">
        <f>"2016.146097"</f>
        <v>2016.146097</v>
      </c>
      <c r="BM5184" t="s">
        <v>32123</v>
      </c>
      <c r="BO5184" t="s">
        <v>32124</v>
      </c>
      <c r="BS5184">
        <v>30</v>
      </c>
      <c r="BW5184" t="str">
        <f>""</f>
        <v/>
      </c>
      <c r="CH5184" t="str">
        <f>""</f>
        <v/>
      </c>
      <c r="CS5184" t="str">
        <f>""</f>
        <v/>
      </c>
    </row>
    <row r="5185" spans="1:97" x14ac:dyDescent="0.25">
      <c r="A5185" t="s">
        <v>1109</v>
      </c>
      <c r="B5185" t="s">
        <v>32125</v>
      </c>
      <c r="C5185" t="s">
        <v>1289</v>
      </c>
      <c r="D5185" t="s">
        <v>32125</v>
      </c>
      <c r="E5185" t="s">
        <v>32126</v>
      </c>
      <c r="F5185" t="s">
        <v>108</v>
      </c>
      <c r="H5185" t="s">
        <v>32127</v>
      </c>
      <c r="I5185" t="s">
        <v>2874</v>
      </c>
      <c r="J5185" t="s">
        <v>111</v>
      </c>
      <c r="K5185" t="str">
        <f>"85308"</f>
        <v>85308</v>
      </c>
      <c r="L5185" t="s">
        <v>3982</v>
      </c>
      <c r="M5185" t="s">
        <v>32127</v>
      </c>
      <c r="N5185" t="s">
        <v>2874</v>
      </c>
      <c r="O5185" t="s">
        <v>111</v>
      </c>
      <c r="P5185" t="str">
        <f>"85308-1100"</f>
        <v>85308-1100</v>
      </c>
      <c r="Q5185" t="s">
        <v>113</v>
      </c>
      <c r="R5185" t="str">
        <f>"200-47-094"</f>
        <v>200-47-094</v>
      </c>
      <c r="S5185" t="s">
        <v>32128</v>
      </c>
      <c r="U5185">
        <v>2195</v>
      </c>
      <c r="V5185">
        <v>0</v>
      </c>
      <c r="W5185">
        <v>4</v>
      </c>
      <c r="X5185">
        <v>1988</v>
      </c>
      <c r="Z5185">
        <v>2</v>
      </c>
      <c r="AA5185" t="s">
        <v>26</v>
      </c>
      <c r="AB5185">
        <v>0</v>
      </c>
      <c r="AC5185" t="s">
        <v>115</v>
      </c>
      <c r="AD5185">
        <v>2</v>
      </c>
      <c r="AE5185" t="s">
        <v>115</v>
      </c>
      <c r="AF5185">
        <v>0</v>
      </c>
      <c r="AG5185">
        <v>0</v>
      </c>
      <c r="AH5185" t="s">
        <v>116</v>
      </c>
      <c r="AI5185" s="1">
        <v>104091</v>
      </c>
      <c r="AJ5185" s="2">
        <v>0.3</v>
      </c>
      <c r="AK5185" s="1">
        <v>342684</v>
      </c>
      <c r="AL5185" t="s">
        <v>117</v>
      </c>
      <c r="AM5185" t="s">
        <v>191</v>
      </c>
      <c r="AN5185">
        <v>9538</v>
      </c>
      <c r="AO5185">
        <v>0.22</v>
      </c>
      <c r="AP5185">
        <v>1</v>
      </c>
      <c r="AR5185">
        <v>1</v>
      </c>
      <c r="AS5185" s="1">
        <v>23870</v>
      </c>
      <c r="AT5185" s="1">
        <v>4770</v>
      </c>
      <c r="AU5185" s="1">
        <v>19100</v>
      </c>
      <c r="AV5185">
        <v>80.02</v>
      </c>
      <c r="AX5185" s="1">
        <v>1962.02</v>
      </c>
      <c r="AY5185" t="s">
        <v>7283</v>
      </c>
      <c r="AZ5185" t="s">
        <v>7283</v>
      </c>
      <c r="BA5185" t="s">
        <v>5143</v>
      </c>
      <c r="BE5185" s="3">
        <v>41683</v>
      </c>
      <c r="BF5185" s="1">
        <v>249000</v>
      </c>
      <c r="BG5185" t="s">
        <v>32129</v>
      </c>
      <c r="BH5185" s="1">
        <v>113.44</v>
      </c>
      <c r="BI5185" s="1">
        <v>238593</v>
      </c>
      <c r="BJ5185" s="3">
        <v>42509</v>
      </c>
      <c r="BK5185" t="s">
        <v>123</v>
      </c>
      <c r="BL5185" t="str">
        <f>"2016.345247"</f>
        <v>2016.345247</v>
      </c>
      <c r="BM5185" t="s">
        <v>544</v>
      </c>
      <c r="BO5185" t="s">
        <v>32130</v>
      </c>
      <c r="BS5185">
        <v>30</v>
      </c>
      <c r="BW5185" t="str">
        <f>""</f>
        <v/>
      </c>
      <c r="CH5185" t="str">
        <f>""</f>
        <v/>
      </c>
      <c r="CS5185" t="str">
        <f>""</f>
        <v/>
      </c>
    </row>
    <row r="5186" spans="1:97" x14ac:dyDescent="0.25">
      <c r="A5186" t="s">
        <v>177</v>
      </c>
      <c r="B5186" t="s">
        <v>18160</v>
      </c>
      <c r="C5186" t="s">
        <v>32131</v>
      </c>
      <c r="D5186" t="s">
        <v>18160</v>
      </c>
      <c r="E5186" t="s">
        <v>32132</v>
      </c>
      <c r="F5186" t="s">
        <v>108</v>
      </c>
      <c r="H5186" t="s">
        <v>32133</v>
      </c>
      <c r="I5186" t="s">
        <v>2874</v>
      </c>
      <c r="J5186" t="s">
        <v>111</v>
      </c>
      <c r="K5186" t="str">
        <f>"85301"</f>
        <v>85301</v>
      </c>
      <c r="L5186" t="s">
        <v>9764</v>
      </c>
      <c r="M5186" t="s">
        <v>32133</v>
      </c>
      <c r="N5186" t="s">
        <v>2874</v>
      </c>
      <c r="O5186" t="s">
        <v>111</v>
      </c>
      <c r="P5186" t="str">
        <f>"85301-1533"</f>
        <v>85301-1533</v>
      </c>
      <c r="Q5186" t="s">
        <v>113</v>
      </c>
      <c r="R5186" t="str">
        <f>"147-03-459"</f>
        <v>147-03-459</v>
      </c>
      <c r="S5186" t="s">
        <v>32134</v>
      </c>
      <c r="U5186">
        <v>2269</v>
      </c>
      <c r="V5186">
        <v>0</v>
      </c>
      <c r="W5186">
        <v>3</v>
      </c>
      <c r="X5186">
        <v>1970</v>
      </c>
      <c r="Z5186">
        <v>1</v>
      </c>
      <c r="AA5186" t="s">
        <v>26</v>
      </c>
      <c r="AB5186">
        <v>0</v>
      </c>
      <c r="AC5186" t="s">
        <v>115</v>
      </c>
      <c r="AD5186">
        <v>2</v>
      </c>
      <c r="AE5186" t="s">
        <v>115</v>
      </c>
      <c r="AF5186">
        <v>0</v>
      </c>
      <c r="AG5186">
        <v>0</v>
      </c>
      <c r="AH5186" t="s">
        <v>116</v>
      </c>
      <c r="AI5186" s="1">
        <v>39042</v>
      </c>
      <c r="AJ5186" s="2">
        <v>0.14000000000000001</v>
      </c>
      <c r="AK5186" s="1">
        <v>289042</v>
      </c>
      <c r="AL5186" t="s">
        <v>117</v>
      </c>
      <c r="AM5186" t="s">
        <v>191</v>
      </c>
      <c r="AN5186">
        <v>7462</v>
      </c>
      <c r="AO5186">
        <v>0.17</v>
      </c>
      <c r="AP5186">
        <v>1</v>
      </c>
      <c r="AR5186">
        <v>1</v>
      </c>
      <c r="AS5186" s="1">
        <v>15350</v>
      </c>
      <c r="AT5186" s="1">
        <v>3070</v>
      </c>
      <c r="AU5186" s="1">
        <v>12280</v>
      </c>
      <c r="AV5186">
        <v>80</v>
      </c>
      <c r="AX5186" s="1">
        <v>1367.8</v>
      </c>
      <c r="AY5186" t="s">
        <v>11164</v>
      </c>
      <c r="AZ5186" t="s">
        <v>11164</v>
      </c>
      <c r="BA5186" t="s">
        <v>6987</v>
      </c>
      <c r="BE5186" s="3">
        <v>42489</v>
      </c>
      <c r="BF5186" s="1">
        <v>226947</v>
      </c>
      <c r="BG5186" t="s">
        <v>32135</v>
      </c>
      <c r="BH5186" s="1">
        <v>104.97</v>
      </c>
      <c r="BI5186" s="1">
        <v>250000</v>
      </c>
      <c r="BJ5186" s="3">
        <v>43626</v>
      </c>
      <c r="BK5186" t="s">
        <v>123</v>
      </c>
      <c r="BL5186" t="str">
        <f>"2019.428031"</f>
        <v>2019.428031</v>
      </c>
      <c r="BM5186" t="s">
        <v>460</v>
      </c>
      <c r="BN5186" t="s">
        <v>461</v>
      </c>
      <c r="BO5186" t="s">
        <v>32136</v>
      </c>
      <c r="BP5186" t="s">
        <v>32137</v>
      </c>
      <c r="BR5186" t="s">
        <v>139</v>
      </c>
      <c r="BW5186" t="str">
        <f>""</f>
        <v/>
      </c>
      <c r="CH5186" t="str">
        <f>""</f>
        <v/>
      </c>
      <c r="CS5186" t="str">
        <f>""</f>
        <v/>
      </c>
    </row>
    <row r="5187" spans="1:97" x14ac:dyDescent="0.25">
      <c r="A5187" t="s">
        <v>177</v>
      </c>
      <c r="B5187" t="s">
        <v>32138</v>
      </c>
      <c r="C5187" t="s">
        <v>817</v>
      </c>
      <c r="D5187" t="s">
        <v>32138</v>
      </c>
      <c r="E5187" t="s">
        <v>32139</v>
      </c>
      <c r="F5187" t="s">
        <v>108</v>
      </c>
      <c r="H5187" t="s">
        <v>32140</v>
      </c>
      <c r="I5187" t="s">
        <v>390</v>
      </c>
      <c r="J5187" t="s">
        <v>111</v>
      </c>
      <c r="K5187" t="str">
        <f>"85029"</f>
        <v>85029</v>
      </c>
      <c r="L5187" t="s">
        <v>6460</v>
      </c>
      <c r="M5187" t="s">
        <v>32140</v>
      </c>
      <c r="N5187" t="s">
        <v>390</v>
      </c>
      <c r="O5187" t="s">
        <v>111</v>
      </c>
      <c r="P5187" t="str">
        <f>"85029-1145"</f>
        <v>85029-1145</v>
      </c>
      <c r="Q5187" t="s">
        <v>113</v>
      </c>
      <c r="R5187" t="str">
        <f>"149-25-306"</f>
        <v>149-25-306</v>
      </c>
      <c r="S5187" t="s">
        <v>32141</v>
      </c>
      <c r="T5187" t="s">
        <v>16028</v>
      </c>
      <c r="U5187">
        <v>1467</v>
      </c>
      <c r="V5187">
        <v>0</v>
      </c>
      <c r="W5187">
        <v>3</v>
      </c>
      <c r="X5187">
        <v>1980</v>
      </c>
      <c r="Z5187">
        <v>1</v>
      </c>
      <c r="AA5187" t="s">
        <v>26</v>
      </c>
      <c r="AB5187">
        <v>0</v>
      </c>
      <c r="AC5187" t="s">
        <v>115</v>
      </c>
      <c r="AD5187">
        <v>2</v>
      </c>
      <c r="AE5187" t="s">
        <v>115</v>
      </c>
      <c r="AF5187">
        <v>0</v>
      </c>
      <c r="AG5187">
        <v>0</v>
      </c>
      <c r="AH5187" t="s">
        <v>116</v>
      </c>
      <c r="AI5187" s="1">
        <v>34337</v>
      </c>
      <c r="AJ5187" s="2">
        <v>0.13</v>
      </c>
      <c r="AK5187" s="1">
        <v>262337</v>
      </c>
      <c r="AL5187" t="s">
        <v>117</v>
      </c>
      <c r="AM5187" t="s">
        <v>171</v>
      </c>
      <c r="AN5187">
        <v>12321</v>
      </c>
      <c r="AO5187">
        <v>0.28000000000000003</v>
      </c>
      <c r="AP5187">
        <v>1</v>
      </c>
      <c r="AR5187">
        <v>1</v>
      </c>
      <c r="AS5187" s="1">
        <v>18750</v>
      </c>
      <c r="AT5187" s="1">
        <v>3750</v>
      </c>
      <c r="AU5187" s="1">
        <v>15000</v>
      </c>
      <c r="AV5187">
        <v>80</v>
      </c>
      <c r="AX5187" s="1">
        <v>1430.8</v>
      </c>
      <c r="AY5187" t="s">
        <v>5087</v>
      </c>
      <c r="AZ5187" t="s">
        <v>2997</v>
      </c>
      <c r="BA5187" t="s">
        <v>10888</v>
      </c>
      <c r="BE5187" s="3">
        <v>42271</v>
      </c>
      <c r="BF5187" s="1">
        <v>189000</v>
      </c>
      <c r="BG5187" t="s">
        <v>32142</v>
      </c>
      <c r="BH5187" s="1">
        <v>128.83000000000001</v>
      </c>
      <c r="BI5187" s="1">
        <v>228000</v>
      </c>
      <c r="BJ5187" s="3">
        <v>43066</v>
      </c>
      <c r="BK5187" t="s">
        <v>123</v>
      </c>
      <c r="BL5187" t="str">
        <f>"2017.872778"</f>
        <v>2017.872778</v>
      </c>
      <c r="BM5187" t="s">
        <v>7842</v>
      </c>
      <c r="BO5187" t="s">
        <v>32143</v>
      </c>
      <c r="BS5187">
        <v>30</v>
      </c>
      <c r="BW5187" t="str">
        <f>""</f>
        <v/>
      </c>
      <c r="CH5187" t="str">
        <f>""</f>
        <v/>
      </c>
      <c r="CS5187" t="str">
        <f>""</f>
        <v/>
      </c>
    </row>
    <row r="5188" spans="1:97" x14ac:dyDescent="0.25">
      <c r="A5188" t="s">
        <v>1181</v>
      </c>
      <c r="B5188" t="s">
        <v>4760</v>
      </c>
      <c r="C5188" t="s">
        <v>2776</v>
      </c>
      <c r="D5188" t="s">
        <v>4760</v>
      </c>
      <c r="E5188" t="s">
        <v>32144</v>
      </c>
      <c r="F5188" t="s">
        <v>139</v>
      </c>
      <c r="H5188" t="s">
        <v>32145</v>
      </c>
      <c r="I5188" t="s">
        <v>225</v>
      </c>
      <c r="J5188" t="s">
        <v>111</v>
      </c>
      <c r="K5188" t="str">
        <f>"85213"</f>
        <v>85213</v>
      </c>
      <c r="L5188" t="s">
        <v>5291</v>
      </c>
      <c r="M5188" t="s">
        <v>32146</v>
      </c>
      <c r="N5188" t="s">
        <v>390</v>
      </c>
      <c r="O5188" t="s">
        <v>111</v>
      </c>
      <c r="P5188" t="str">
        <f>"85080-1932"</f>
        <v>85080-1932</v>
      </c>
      <c r="Q5188" t="s">
        <v>113</v>
      </c>
      <c r="R5188" t="str">
        <f>"141-87-072"</f>
        <v>141-87-072</v>
      </c>
      <c r="S5188" t="s">
        <v>32147</v>
      </c>
      <c r="T5188" t="s">
        <v>32148</v>
      </c>
      <c r="U5188">
        <v>1402</v>
      </c>
      <c r="V5188">
        <v>0</v>
      </c>
      <c r="W5188">
        <v>2</v>
      </c>
      <c r="X5188">
        <v>1988</v>
      </c>
      <c r="Z5188">
        <v>1</v>
      </c>
      <c r="AB5188">
        <v>0</v>
      </c>
      <c r="AC5188" t="s">
        <v>115</v>
      </c>
      <c r="AD5188">
        <v>2</v>
      </c>
      <c r="AE5188" t="s">
        <v>115</v>
      </c>
      <c r="AF5188">
        <v>0</v>
      </c>
      <c r="AG5188">
        <v>0</v>
      </c>
      <c r="AH5188" t="s">
        <v>116</v>
      </c>
      <c r="AI5188" s="1">
        <v>29124</v>
      </c>
      <c r="AJ5188" s="2">
        <v>0.11</v>
      </c>
      <c r="AK5188" s="1">
        <v>271362</v>
      </c>
      <c r="AL5188" t="s">
        <v>117</v>
      </c>
      <c r="AM5188" t="s">
        <v>917</v>
      </c>
      <c r="AN5188">
        <v>9249</v>
      </c>
      <c r="AO5188">
        <v>0.21</v>
      </c>
      <c r="AP5188">
        <v>1</v>
      </c>
      <c r="AR5188">
        <v>1</v>
      </c>
      <c r="AS5188" s="1">
        <v>18660</v>
      </c>
      <c r="AT5188" s="1">
        <v>3730</v>
      </c>
      <c r="AU5188" s="1">
        <v>14930</v>
      </c>
      <c r="AV5188">
        <v>80.010000000000005</v>
      </c>
      <c r="AX5188" s="1">
        <v>1471.4</v>
      </c>
      <c r="AY5188" t="s">
        <v>4162</v>
      </c>
      <c r="AZ5188" t="s">
        <v>4163</v>
      </c>
      <c r="BA5188" t="s">
        <v>1524</v>
      </c>
      <c r="BE5188" s="3">
        <v>42509</v>
      </c>
      <c r="BF5188" s="1">
        <v>234500</v>
      </c>
      <c r="BG5188" t="s">
        <v>32149</v>
      </c>
      <c r="BH5188" s="1">
        <v>167.26</v>
      </c>
      <c r="BI5188" s="1">
        <v>242238</v>
      </c>
      <c r="BJ5188" s="3">
        <v>42509</v>
      </c>
      <c r="BK5188" t="s">
        <v>123</v>
      </c>
      <c r="BL5188" t="str">
        <f>"2016.345598"</f>
        <v>2016.345598</v>
      </c>
      <c r="BM5188" t="s">
        <v>709</v>
      </c>
      <c r="BO5188" t="s">
        <v>32150</v>
      </c>
      <c r="BS5188">
        <v>30</v>
      </c>
      <c r="BW5188" t="str">
        <f>""</f>
        <v/>
      </c>
      <c r="CH5188" t="str">
        <f>""</f>
        <v/>
      </c>
      <c r="CS5188" t="str">
        <f>""</f>
        <v/>
      </c>
    </row>
    <row r="5189" spans="1:97" x14ac:dyDescent="0.25">
      <c r="A5189" t="s">
        <v>464</v>
      </c>
      <c r="B5189" t="s">
        <v>32151</v>
      </c>
      <c r="C5189" t="s">
        <v>1888</v>
      </c>
      <c r="D5189" t="s">
        <v>32151</v>
      </c>
      <c r="E5189" t="s">
        <v>32152</v>
      </c>
      <c r="F5189" t="s">
        <v>108</v>
      </c>
      <c r="H5189" t="s">
        <v>32153</v>
      </c>
      <c r="I5189" t="s">
        <v>453</v>
      </c>
      <c r="J5189" t="s">
        <v>111</v>
      </c>
      <c r="K5189" t="str">
        <f>"85383"</f>
        <v>85383</v>
      </c>
      <c r="L5189" t="s">
        <v>5456</v>
      </c>
      <c r="M5189" t="s">
        <v>32153</v>
      </c>
      <c r="N5189" t="s">
        <v>453</v>
      </c>
      <c r="O5189" t="s">
        <v>111</v>
      </c>
      <c r="P5189" t="str">
        <f>"85383-6616"</f>
        <v>85383-6616</v>
      </c>
      <c r="Q5189" t="s">
        <v>113</v>
      </c>
      <c r="R5189" t="str">
        <f>"201-03-058"</f>
        <v>201-03-058</v>
      </c>
      <c r="S5189" t="s">
        <v>20845</v>
      </c>
      <c r="T5189" t="s">
        <v>6734</v>
      </c>
      <c r="U5189">
        <v>2172</v>
      </c>
      <c r="V5189">
        <v>0</v>
      </c>
      <c r="W5189">
        <v>4</v>
      </c>
      <c r="X5189">
        <v>2014</v>
      </c>
      <c r="Z5189">
        <v>1</v>
      </c>
      <c r="AB5189">
        <v>0</v>
      </c>
      <c r="AC5189" t="s">
        <v>115</v>
      </c>
      <c r="AD5189">
        <v>3</v>
      </c>
      <c r="AE5189" t="s">
        <v>115</v>
      </c>
      <c r="AF5189">
        <v>0</v>
      </c>
      <c r="AG5189">
        <v>0</v>
      </c>
      <c r="AH5189" t="s">
        <v>116</v>
      </c>
      <c r="AI5189" s="1">
        <v>8787</v>
      </c>
      <c r="AJ5189" s="2">
        <v>0.02</v>
      </c>
      <c r="AK5189" s="1">
        <v>426031</v>
      </c>
      <c r="AL5189" t="s">
        <v>117</v>
      </c>
      <c r="AM5189" t="s">
        <v>118</v>
      </c>
      <c r="AN5189">
        <v>9085</v>
      </c>
      <c r="AO5189">
        <v>0.21</v>
      </c>
      <c r="AR5189">
        <v>1</v>
      </c>
      <c r="AS5189" s="1">
        <v>34920</v>
      </c>
      <c r="AT5189" s="1">
        <v>6980</v>
      </c>
      <c r="AU5189" s="1">
        <v>27940</v>
      </c>
      <c r="AV5189">
        <v>80.010000000000005</v>
      </c>
      <c r="AX5189" s="1">
        <v>2462.84</v>
      </c>
      <c r="AY5189" t="s">
        <v>3048</v>
      </c>
      <c r="AZ5189" t="s">
        <v>3049</v>
      </c>
      <c r="BA5189" t="s">
        <v>1386</v>
      </c>
      <c r="BE5189" s="3">
        <v>41927</v>
      </c>
      <c r="BF5189" s="1">
        <v>414931</v>
      </c>
      <c r="BG5189" t="s">
        <v>19159</v>
      </c>
      <c r="BH5189" s="1">
        <v>191.04</v>
      </c>
      <c r="BI5189" s="1">
        <v>417244</v>
      </c>
      <c r="BJ5189" s="3">
        <v>42671</v>
      </c>
      <c r="BK5189" t="s">
        <v>123</v>
      </c>
      <c r="BL5189" t="str">
        <f>"2016.793409"</f>
        <v>2016.793409</v>
      </c>
      <c r="BM5189" t="s">
        <v>3810</v>
      </c>
      <c r="BO5189" t="s">
        <v>32154</v>
      </c>
      <c r="BS5189">
        <v>30</v>
      </c>
      <c r="BW5189" t="str">
        <f>""</f>
        <v/>
      </c>
      <c r="CH5189" t="str">
        <f>""</f>
        <v/>
      </c>
      <c r="CS5189" t="str">
        <f>""</f>
        <v/>
      </c>
    </row>
    <row r="5190" spans="1:97" x14ac:dyDescent="0.25">
      <c r="A5190" t="s">
        <v>767</v>
      </c>
      <c r="B5190" t="s">
        <v>20199</v>
      </c>
      <c r="E5190" t="s">
        <v>32155</v>
      </c>
      <c r="F5190" t="s">
        <v>108</v>
      </c>
      <c r="H5190" t="s">
        <v>32156</v>
      </c>
      <c r="I5190" t="s">
        <v>499</v>
      </c>
      <c r="J5190" t="s">
        <v>111</v>
      </c>
      <c r="K5190" t="str">
        <f>"85395"</f>
        <v>85395</v>
      </c>
      <c r="L5190" t="s">
        <v>9069</v>
      </c>
      <c r="M5190" t="s">
        <v>32156</v>
      </c>
      <c r="N5190" t="s">
        <v>499</v>
      </c>
      <c r="O5190" t="s">
        <v>111</v>
      </c>
      <c r="P5190" t="str">
        <f>"85395-2165"</f>
        <v>85395-2165</v>
      </c>
      <c r="Q5190" t="s">
        <v>113</v>
      </c>
      <c r="R5190" t="str">
        <f>"501-75-306"</f>
        <v>501-75-306</v>
      </c>
      <c r="S5190" t="s">
        <v>32157</v>
      </c>
      <c r="T5190" t="s">
        <v>28757</v>
      </c>
      <c r="U5190">
        <v>3079</v>
      </c>
      <c r="V5190">
        <v>0</v>
      </c>
      <c r="W5190">
        <v>4</v>
      </c>
      <c r="X5190">
        <v>1997</v>
      </c>
      <c r="Z5190">
        <v>2</v>
      </c>
      <c r="AA5190" t="s">
        <v>26</v>
      </c>
      <c r="AB5190">
        <v>0</v>
      </c>
      <c r="AC5190" t="s">
        <v>115</v>
      </c>
      <c r="AD5190">
        <v>2</v>
      </c>
      <c r="AE5190" t="s">
        <v>115</v>
      </c>
      <c r="AF5190">
        <v>0</v>
      </c>
      <c r="AG5190">
        <v>0</v>
      </c>
      <c r="AH5190" t="s">
        <v>116</v>
      </c>
      <c r="AI5190" s="1">
        <v>40479</v>
      </c>
      <c r="AJ5190" s="2">
        <v>0.11</v>
      </c>
      <c r="AK5190" s="1">
        <v>370423</v>
      </c>
      <c r="AL5190" t="s">
        <v>117</v>
      </c>
      <c r="AM5190" t="s">
        <v>118</v>
      </c>
      <c r="AN5190">
        <v>6991</v>
      </c>
      <c r="AO5190">
        <v>0.16</v>
      </c>
      <c r="AP5190">
        <v>1</v>
      </c>
      <c r="AR5190">
        <v>1</v>
      </c>
      <c r="AS5190" s="1">
        <v>24850</v>
      </c>
      <c r="AT5190" s="1">
        <v>4970</v>
      </c>
      <c r="AU5190" s="1">
        <v>19880</v>
      </c>
      <c r="AV5190">
        <v>80</v>
      </c>
      <c r="AX5190" s="1">
        <v>2632.26</v>
      </c>
      <c r="AY5190" t="s">
        <v>6796</v>
      </c>
      <c r="AZ5190" t="s">
        <v>6796</v>
      </c>
      <c r="BA5190" t="s">
        <v>3154</v>
      </c>
      <c r="BE5190" s="3">
        <v>42460</v>
      </c>
      <c r="BF5190" s="1">
        <v>323000</v>
      </c>
      <c r="BG5190" t="s">
        <v>32158</v>
      </c>
      <c r="BH5190" s="1">
        <v>104.9</v>
      </c>
      <c r="BI5190" s="1">
        <v>329944</v>
      </c>
      <c r="BJ5190" s="3">
        <v>42460</v>
      </c>
      <c r="BK5190" t="s">
        <v>123</v>
      </c>
      <c r="BL5190" t="str">
        <f>"2016.214068"</f>
        <v>2016.214068</v>
      </c>
      <c r="BM5190" t="s">
        <v>1038</v>
      </c>
      <c r="BO5190" t="s">
        <v>32159</v>
      </c>
      <c r="BS5190">
        <v>30</v>
      </c>
      <c r="BW5190" t="str">
        <f>""</f>
        <v/>
      </c>
      <c r="CH5190" t="str">
        <f>""</f>
        <v/>
      </c>
      <c r="CS5190" t="str">
        <f>""</f>
        <v/>
      </c>
    </row>
    <row r="5191" spans="1:97" x14ac:dyDescent="0.25">
      <c r="A5191" t="s">
        <v>6821</v>
      </c>
      <c r="B5191" t="s">
        <v>17714</v>
      </c>
      <c r="C5191" t="s">
        <v>25585</v>
      </c>
      <c r="D5191" t="s">
        <v>17714</v>
      </c>
      <c r="E5191" t="s">
        <v>32160</v>
      </c>
      <c r="F5191" t="s">
        <v>108</v>
      </c>
      <c r="H5191" t="s">
        <v>32161</v>
      </c>
      <c r="I5191" t="s">
        <v>632</v>
      </c>
      <c r="J5191" t="s">
        <v>111</v>
      </c>
      <c r="K5191" t="str">
        <f>"85388"</f>
        <v>85388</v>
      </c>
      <c r="L5191" t="s">
        <v>3094</v>
      </c>
      <c r="M5191" t="s">
        <v>32161</v>
      </c>
      <c r="N5191" t="s">
        <v>632</v>
      </c>
      <c r="O5191" t="s">
        <v>111</v>
      </c>
      <c r="P5191" t="str">
        <f>"85388-7741"</f>
        <v>85388-7741</v>
      </c>
      <c r="Q5191" t="s">
        <v>113</v>
      </c>
      <c r="R5191" t="str">
        <f>"502-87-777"</f>
        <v>502-87-777</v>
      </c>
      <c r="S5191" t="s">
        <v>13840</v>
      </c>
      <c r="T5191" t="s">
        <v>12131</v>
      </c>
      <c r="U5191">
        <v>2291</v>
      </c>
      <c r="V5191">
        <v>0</v>
      </c>
      <c r="W5191">
        <v>4</v>
      </c>
      <c r="X5191">
        <v>2004</v>
      </c>
      <c r="Z5191">
        <v>2</v>
      </c>
      <c r="AA5191" t="s">
        <v>26</v>
      </c>
      <c r="AB5191">
        <v>0</v>
      </c>
      <c r="AC5191" t="s">
        <v>115</v>
      </c>
      <c r="AD5191">
        <v>2</v>
      </c>
      <c r="AE5191" t="s">
        <v>115</v>
      </c>
      <c r="AF5191">
        <v>0</v>
      </c>
      <c r="AG5191">
        <v>0</v>
      </c>
      <c r="AH5191" t="s">
        <v>116</v>
      </c>
      <c r="AI5191" s="1">
        <v>76766</v>
      </c>
      <c r="AJ5191" s="2">
        <v>0.27</v>
      </c>
      <c r="AK5191" s="1">
        <v>280963</v>
      </c>
      <c r="AL5191" t="s">
        <v>117</v>
      </c>
      <c r="AM5191" t="s">
        <v>118</v>
      </c>
      <c r="AN5191">
        <v>5500</v>
      </c>
      <c r="AO5191">
        <v>0.13</v>
      </c>
      <c r="AP5191">
        <v>1</v>
      </c>
      <c r="AR5191">
        <v>1</v>
      </c>
      <c r="AS5191" s="1">
        <v>19580</v>
      </c>
      <c r="AT5191" s="1">
        <v>3910</v>
      </c>
      <c r="AU5191" s="1">
        <v>15670</v>
      </c>
      <c r="AV5191">
        <v>80.03</v>
      </c>
      <c r="AX5191" s="1">
        <v>1507.06</v>
      </c>
      <c r="AY5191" t="s">
        <v>6262</v>
      </c>
      <c r="AZ5191" t="s">
        <v>6262</v>
      </c>
      <c r="BA5191" t="s">
        <v>5061</v>
      </c>
      <c r="BE5191" s="3">
        <v>42016</v>
      </c>
      <c r="BF5191" s="1">
        <v>199900</v>
      </c>
      <c r="BG5191" t="s">
        <v>32162</v>
      </c>
      <c r="BH5191" s="1">
        <v>87.25</v>
      </c>
      <c r="BI5191" s="1">
        <v>204197</v>
      </c>
      <c r="BJ5191" s="3">
        <v>42016</v>
      </c>
      <c r="BK5191" t="s">
        <v>123</v>
      </c>
      <c r="BL5191" t="str">
        <f>"2015.17423"</f>
        <v>2015.17423</v>
      </c>
      <c r="BM5191" t="s">
        <v>135</v>
      </c>
      <c r="BO5191" t="s">
        <v>32163</v>
      </c>
      <c r="BS5191">
        <v>30</v>
      </c>
      <c r="BW5191" t="str">
        <f>""</f>
        <v/>
      </c>
      <c r="CH5191" t="str">
        <f>""</f>
        <v/>
      </c>
      <c r="CS5191" t="str">
        <f>""</f>
        <v/>
      </c>
    </row>
    <row r="5192" spans="1:97" x14ac:dyDescent="0.25">
      <c r="A5192" t="s">
        <v>32164</v>
      </c>
      <c r="B5192" t="s">
        <v>5256</v>
      </c>
      <c r="E5192" t="s">
        <v>32165</v>
      </c>
      <c r="F5192" t="s">
        <v>108</v>
      </c>
      <c r="H5192" t="s">
        <v>32166</v>
      </c>
      <c r="I5192" t="s">
        <v>5114</v>
      </c>
      <c r="J5192" t="s">
        <v>111</v>
      </c>
      <c r="K5192" t="str">
        <f>"85392"</f>
        <v>85392</v>
      </c>
      <c r="L5192" t="s">
        <v>6333</v>
      </c>
      <c r="M5192" t="s">
        <v>32166</v>
      </c>
      <c r="N5192" t="s">
        <v>5114</v>
      </c>
      <c r="O5192" t="s">
        <v>111</v>
      </c>
      <c r="P5192" t="str">
        <f>"85392-6657"</f>
        <v>85392-6657</v>
      </c>
      <c r="Q5192" t="s">
        <v>113</v>
      </c>
      <c r="R5192" t="str">
        <f>"508-03-376"</f>
        <v>508-03-376</v>
      </c>
      <c r="S5192" t="s">
        <v>11789</v>
      </c>
      <c r="T5192" t="s">
        <v>11789</v>
      </c>
      <c r="U5192">
        <v>2288</v>
      </c>
      <c r="V5192">
        <v>0</v>
      </c>
      <c r="W5192">
        <v>3</v>
      </c>
      <c r="X5192">
        <v>2001</v>
      </c>
      <c r="Z5192">
        <v>1</v>
      </c>
      <c r="AB5192">
        <v>0</v>
      </c>
      <c r="AC5192" t="s">
        <v>115</v>
      </c>
      <c r="AD5192">
        <v>3</v>
      </c>
      <c r="AE5192" t="s">
        <v>115</v>
      </c>
      <c r="AF5192">
        <v>0</v>
      </c>
      <c r="AG5192">
        <v>0</v>
      </c>
      <c r="AH5192" t="s">
        <v>116</v>
      </c>
      <c r="AI5192" s="1">
        <v>61358</v>
      </c>
      <c r="AJ5192" s="2">
        <v>0.21</v>
      </c>
      <c r="AK5192" s="1">
        <v>286880</v>
      </c>
      <c r="AL5192" t="s">
        <v>117</v>
      </c>
      <c r="AM5192" t="s">
        <v>118</v>
      </c>
      <c r="AN5192">
        <v>6959</v>
      </c>
      <c r="AO5192">
        <v>0.16</v>
      </c>
      <c r="AP5192">
        <v>1</v>
      </c>
      <c r="AR5192">
        <v>1</v>
      </c>
      <c r="AS5192" s="1">
        <v>20920</v>
      </c>
      <c r="AT5192" s="1">
        <v>4180</v>
      </c>
      <c r="AU5192" s="1">
        <v>16740</v>
      </c>
      <c r="AV5192">
        <v>80.02</v>
      </c>
      <c r="AX5192" s="1">
        <v>1620.92</v>
      </c>
      <c r="AY5192" t="s">
        <v>6700</v>
      </c>
      <c r="AZ5192" t="s">
        <v>6701</v>
      </c>
      <c r="BA5192" t="s">
        <v>6702</v>
      </c>
      <c r="BE5192" s="3">
        <v>42545</v>
      </c>
      <c r="BF5192" s="1">
        <v>225100</v>
      </c>
      <c r="BG5192" t="s">
        <v>32167</v>
      </c>
      <c r="BH5192" s="1">
        <v>98.38</v>
      </c>
      <c r="BI5192" s="1">
        <v>225522</v>
      </c>
      <c r="BJ5192" s="3">
        <v>42654</v>
      </c>
      <c r="BK5192" t="s">
        <v>123</v>
      </c>
      <c r="BL5192" t="str">
        <f>"2016.744842"</f>
        <v>2016.744842</v>
      </c>
      <c r="BM5192" t="s">
        <v>1695</v>
      </c>
      <c r="BO5192" t="s">
        <v>32168</v>
      </c>
      <c r="BS5192">
        <v>30</v>
      </c>
      <c r="BW5192" t="str">
        <f>""</f>
        <v/>
      </c>
      <c r="CH5192" t="str">
        <f>""</f>
        <v/>
      </c>
      <c r="CS5192" t="str">
        <f>""</f>
        <v/>
      </c>
    </row>
    <row r="5193" spans="1:97" x14ac:dyDescent="0.25">
      <c r="A5193" t="s">
        <v>3718</v>
      </c>
      <c r="B5193" t="s">
        <v>32169</v>
      </c>
      <c r="C5193" t="s">
        <v>220</v>
      </c>
      <c r="D5193" t="s">
        <v>32169</v>
      </c>
      <c r="E5193" t="s">
        <v>32170</v>
      </c>
      <c r="F5193" t="s">
        <v>108</v>
      </c>
      <c r="H5193" t="s">
        <v>32171</v>
      </c>
      <c r="I5193" t="s">
        <v>225</v>
      </c>
      <c r="J5193" t="s">
        <v>111</v>
      </c>
      <c r="K5193" t="str">
        <f>"85207"</f>
        <v>85207</v>
      </c>
      <c r="L5193" t="s">
        <v>8151</v>
      </c>
      <c r="M5193" t="s">
        <v>32171</v>
      </c>
      <c r="N5193" t="s">
        <v>225</v>
      </c>
      <c r="O5193" t="s">
        <v>111</v>
      </c>
      <c r="P5193" t="str">
        <f>"85207-1732"</f>
        <v>85207-1732</v>
      </c>
      <c r="Q5193" t="s">
        <v>113</v>
      </c>
      <c r="R5193" t="str">
        <f>"220-11-520"</f>
        <v>220-11-520</v>
      </c>
      <c r="S5193" t="s">
        <v>25616</v>
      </c>
      <c r="T5193" t="s">
        <v>25617</v>
      </c>
      <c r="U5193">
        <v>2104</v>
      </c>
      <c r="V5193">
        <v>0</v>
      </c>
      <c r="W5193">
        <v>3</v>
      </c>
      <c r="X5193">
        <v>1999</v>
      </c>
      <c r="Z5193">
        <v>2</v>
      </c>
      <c r="AB5193">
        <v>0</v>
      </c>
      <c r="AC5193" t="s">
        <v>115</v>
      </c>
      <c r="AD5193">
        <v>2</v>
      </c>
      <c r="AE5193" t="s">
        <v>115</v>
      </c>
      <c r="AF5193">
        <v>0</v>
      </c>
      <c r="AG5193">
        <v>0</v>
      </c>
      <c r="AH5193" t="s">
        <v>116</v>
      </c>
      <c r="AI5193" s="1">
        <v>50156</v>
      </c>
      <c r="AJ5193" s="2">
        <v>0.17</v>
      </c>
      <c r="AK5193" s="1">
        <v>301175</v>
      </c>
      <c r="AL5193" t="s">
        <v>117</v>
      </c>
      <c r="AM5193" t="s">
        <v>191</v>
      </c>
      <c r="AN5193">
        <v>8292</v>
      </c>
      <c r="AO5193">
        <v>0.19</v>
      </c>
      <c r="AP5193">
        <v>1</v>
      </c>
      <c r="AR5193">
        <v>1</v>
      </c>
      <c r="AS5193" s="1">
        <v>20110</v>
      </c>
      <c r="AT5193" s="1">
        <v>4020</v>
      </c>
      <c r="AU5193" s="1">
        <v>16090</v>
      </c>
      <c r="AV5193">
        <v>80.010000000000005</v>
      </c>
      <c r="AX5193" s="1">
        <v>1562.46</v>
      </c>
      <c r="AY5193" t="s">
        <v>6572</v>
      </c>
      <c r="AZ5193" t="s">
        <v>3761</v>
      </c>
      <c r="BA5193" t="s">
        <v>232</v>
      </c>
      <c r="BE5193" s="3">
        <v>42250</v>
      </c>
      <c r="BF5193" s="1">
        <v>231400</v>
      </c>
      <c r="BG5193" t="s">
        <v>3762</v>
      </c>
      <c r="BH5193" s="1">
        <v>109.98</v>
      </c>
      <c r="BI5193" s="1">
        <v>251019</v>
      </c>
      <c r="BJ5193" s="3">
        <v>43521</v>
      </c>
      <c r="BK5193" t="s">
        <v>123</v>
      </c>
      <c r="BL5193" t="str">
        <f>"2019.125549"</f>
        <v>2019.125549</v>
      </c>
      <c r="BM5193" t="s">
        <v>3562</v>
      </c>
      <c r="BN5193" t="s">
        <v>3686</v>
      </c>
      <c r="BO5193" t="s">
        <v>32172</v>
      </c>
      <c r="BP5193" t="s">
        <v>32173</v>
      </c>
      <c r="BR5193" t="s">
        <v>139</v>
      </c>
      <c r="BW5193" t="str">
        <f>""</f>
        <v/>
      </c>
      <c r="CH5193" t="str">
        <f>""</f>
        <v/>
      </c>
      <c r="CS5193" t="str">
        <f>""</f>
        <v/>
      </c>
    </row>
    <row r="5194" spans="1:97" x14ac:dyDescent="0.25">
      <c r="A5194" t="s">
        <v>1666</v>
      </c>
      <c r="B5194" t="s">
        <v>482</v>
      </c>
      <c r="C5194" t="s">
        <v>11384</v>
      </c>
      <c r="D5194" t="s">
        <v>482</v>
      </c>
      <c r="E5194" t="s">
        <v>32174</v>
      </c>
      <c r="F5194" t="s">
        <v>108</v>
      </c>
      <c r="H5194" t="s">
        <v>32175</v>
      </c>
      <c r="I5194" t="s">
        <v>499</v>
      </c>
      <c r="J5194" t="s">
        <v>111</v>
      </c>
      <c r="K5194" t="str">
        <f>"85338"</f>
        <v>85338</v>
      </c>
      <c r="L5194" t="s">
        <v>316</v>
      </c>
      <c r="M5194" t="s">
        <v>32175</v>
      </c>
      <c r="N5194" t="s">
        <v>499</v>
      </c>
      <c r="O5194" t="s">
        <v>111</v>
      </c>
      <c r="P5194" t="str">
        <f>"85338-7027"</f>
        <v>85338-7027</v>
      </c>
      <c r="Q5194" t="s">
        <v>113</v>
      </c>
      <c r="R5194" t="str">
        <f>"500-89-700"</f>
        <v>500-89-700</v>
      </c>
      <c r="S5194" t="s">
        <v>5041</v>
      </c>
      <c r="T5194" t="s">
        <v>5042</v>
      </c>
      <c r="U5194">
        <v>1717</v>
      </c>
      <c r="V5194">
        <v>0</v>
      </c>
      <c r="W5194">
        <v>3</v>
      </c>
      <c r="X5194">
        <v>2015</v>
      </c>
      <c r="Z5194">
        <v>1</v>
      </c>
      <c r="AB5194">
        <v>0</v>
      </c>
      <c r="AC5194" t="s">
        <v>115</v>
      </c>
      <c r="AD5194">
        <v>2</v>
      </c>
      <c r="AE5194" t="s">
        <v>115</v>
      </c>
      <c r="AF5194">
        <v>0</v>
      </c>
      <c r="AG5194">
        <v>0</v>
      </c>
      <c r="AH5194" t="s">
        <v>116</v>
      </c>
      <c r="AI5194" s="1">
        <v>55427</v>
      </c>
      <c r="AJ5194" s="2">
        <v>0.22</v>
      </c>
      <c r="AK5194" s="1">
        <v>257083</v>
      </c>
      <c r="AL5194" t="s">
        <v>117</v>
      </c>
      <c r="AM5194" t="s">
        <v>118</v>
      </c>
      <c r="AN5194">
        <v>6342</v>
      </c>
      <c r="AO5194">
        <v>0.15</v>
      </c>
      <c r="AR5194">
        <v>1</v>
      </c>
      <c r="AS5194" s="1">
        <v>17460</v>
      </c>
      <c r="AT5194" s="1">
        <v>3490</v>
      </c>
      <c r="AU5194" s="1">
        <v>13970</v>
      </c>
      <c r="AV5194">
        <v>80.010000000000005</v>
      </c>
      <c r="AX5194" s="1">
        <v>1435.72</v>
      </c>
      <c r="AY5194" t="s">
        <v>4311</v>
      </c>
      <c r="AZ5194" t="s">
        <v>4311</v>
      </c>
      <c r="BA5194" t="s">
        <v>218</v>
      </c>
      <c r="BE5194" s="3">
        <v>42356</v>
      </c>
      <c r="BF5194" s="1">
        <v>201656</v>
      </c>
      <c r="BG5194" t="s">
        <v>2780</v>
      </c>
      <c r="BH5194" s="1">
        <v>117.45</v>
      </c>
      <c r="BI5194" s="1">
        <v>201656</v>
      </c>
      <c r="BJ5194" s="3">
        <v>42356</v>
      </c>
      <c r="BK5194" t="s">
        <v>123</v>
      </c>
      <c r="BL5194" t="str">
        <f>"2015.894057"</f>
        <v>2015.894057</v>
      </c>
      <c r="BM5194" t="s">
        <v>175</v>
      </c>
      <c r="BO5194" t="s">
        <v>32176</v>
      </c>
      <c r="BS5194">
        <v>30</v>
      </c>
      <c r="BW5194" t="str">
        <f>""</f>
        <v/>
      </c>
      <c r="CH5194" t="str">
        <f>""</f>
        <v/>
      </c>
      <c r="CS5194" t="str">
        <f>""</f>
        <v/>
      </c>
    </row>
    <row r="5195" spans="1:97" x14ac:dyDescent="0.25">
      <c r="A5195" t="s">
        <v>1444</v>
      </c>
      <c r="B5195" t="s">
        <v>32177</v>
      </c>
      <c r="C5195" t="s">
        <v>32178</v>
      </c>
      <c r="D5195" t="s">
        <v>32177</v>
      </c>
      <c r="E5195" t="s">
        <v>32179</v>
      </c>
      <c r="F5195" t="s">
        <v>108</v>
      </c>
      <c r="H5195" t="s">
        <v>32180</v>
      </c>
      <c r="I5195" t="s">
        <v>499</v>
      </c>
      <c r="J5195" t="s">
        <v>111</v>
      </c>
      <c r="K5195" t="str">
        <f>"85395"</f>
        <v>85395</v>
      </c>
      <c r="L5195" t="s">
        <v>541</v>
      </c>
      <c r="M5195" t="s">
        <v>32180</v>
      </c>
      <c r="N5195" t="s">
        <v>499</v>
      </c>
      <c r="O5195" t="s">
        <v>111</v>
      </c>
      <c r="P5195" t="str">
        <f>"85395-7178"</f>
        <v>85395-7178</v>
      </c>
      <c r="Q5195" t="s">
        <v>113</v>
      </c>
      <c r="R5195" t="str">
        <f>"508-14-852"</f>
        <v>508-14-852</v>
      </c>
      <c r="S5195" t="s">
        <v>7193</v>
      </c>
      <c r="T5195" t="s">
        <v>3018</v>
      </c>
      <c r="U5195">
        <v>2102</v>
      </c>
      <c r="V5195">
        <v>0</v>
      </c>
      <c r="W5195">
        <v>3</v>
      </c>
      <c r="X5195">
        <v>2008</v>
      </c>
      <c r="Z5195">
        <v>1</v>
      </c>
      <c r="AB5195">
        <v>0</v>
      </c>
      <c r="AC5195" t="s">
        <v>115</v>
      </c>
      <c r="AD5195">
        <v>2</v>
      </c>
      <c r="AE5195" t="s">
        <v>115</v>
      </c>
      <c r="AF5195">
        <v>0</v>
      </c>
      <c r="AG5195">
        <v>0</v>
      </c>
      <c r="AH5195" t="s">
        <v>116</v>
      </c>
      <c r="AI5195" s="1">
        <v>100727</v>
      </c>
      <c r="AJ5195" s="2">
        <v>0.3</v>
      </c>
      <c r="AK5195" s="1">
        <v>340167</v>
      </c>
      <c r="AL5195" t="s">
        <v>117</v>
      </c>
      <c r="AM5195" t="s">
        <v>118</v>
      </c>
      <c r="AN5195">
        <v>8783</v>
      </c>
      <c r="AO5195">
        <v>0.2</v>
      </c>
      <c r="AR5195">
        <v>1</v>
      </c>
      <c r="AS5195" s="1">
        <v>24100</v>
      </c>
      <c r="AT5195" s="1">
        <v>4820</v>
      </c>
      <c r="AU5195" s="1">
        <v>19280</v>
      </c>
      <c r="AV5195">
        <v>80</v>
      </c>
      <c r="AX5195" s="1">
        <v>2838.76</v>
      </c>
      <c r="AY5195" t="s">
        <v>3019</v>
      </c>
      <c r="AZ5195" t="s">
        <v>3020</v>
      </c>
      <c r="BA5195" t="s">
        <v>218</v>
      </c>
      <c r="BE5195" s="3">
        <v>41919</v>
      </c>
      <c r="BF5195" s="1">
        <v>239200</v>
      </c>
      <c r="BG5195" t="s">
        <v>32181</v>
      </c>
      <c r="BH5195" s="1">
        <v>113.8</v>
      </c>
      <c r="BI5195" s="1">
        <v>239440</v>
      </c>
      <c r="BJ5195" s="3">
        <v>42493</v>
      </c>
      <c r="BK5195" t="s">
        <v>123</v>
      </c>
      <c r="BL5195" t="str">
        <f>"2016.300448"</f>
        <v>2016.300448</v>
      </c>
      <c r="BM5195" t="s">
        <v>402</v>
      </c>
      <c r="BO5195" t="s">
        <v>32182</v>
      </c>
      <c r="BS5195">
        <v>25</v>
      </c>
      <c r="BW5195" t="str">
        <f>""</f>
        <v/>
      </c>
      <c r="CH5195" t="str">
        <f>""</f>
        <v/>
      </c>
      <c r="CS5195" t="str">
        <f>""</f>
        <v/>
      </c>
    </row>
    <row r="5196" spans="1:97" x14ac:dyDescent="0.25">
      <c r="A5196" t="s">
        <v>1040</v>
      </c>
      <c r="B5196" t="s">
        <v>6799</v>
      </c>
      <c r="E5196" t="s">
        <v>32183</v>
      </c>
      <c r="F5196" t="s">
        <v>108</v>
      </c>
      <c r="H5196" t="s">
        <v>32184</v>
      </c>
      <c r="I5196" t="s">
        <v>390</v>
      </c>
      <c r="J5196" t="s">
        <v>111</v>
      </c>
      <c r="K5196" t="str">
        <f>"85048"</f>
        <v>85048</v>
      </c>
      <c r="L5196" t="s">
        <v>6631</v>
      </c>
      <c r="M5196" t="s">
        <v>32184</v>
      </c>
      <c r="N5196" t="s">
        <v>390</v>
      </c>
      <c r="O5196" t="s">
        <v>111</v>
      </c>
      <c r="P5196" t="str">
        <f>"85048"</f>
        <v>85048</v>
      </c>
      <c r="Q5196" t="s">
        <v>113</v>
      </c>
      <c r="R5196" t="str">
        <f>"301-69-538"</f>
        <v>301-69-538</v>
      </c>
      <c r="S5196" t="s">
        <v>10128</v>
      </c>
      <c r="T5196" t="s">
        <v>10129</v>
      </c>
      <c r="U5196">
        <v>1572</v>
      </c>
      <c r="V5196">
        <v>0</v>
      </c>
      <c r="W5196">
        <v>3</v>
      </c>
      <c r="X5196">
        <v>1987</v>
      </c>
      <c r="Z5196">
        <v>1</v>
      </c>
      <c r="AB5196">
        <v>0</v>
      </c>
      <c r="AC5196" t="s">
        <v>115</v>
      </c>
      <c r="AD5196">
        <v>2</v>
      </c>
      <c r="AE5196" t="s">
        <v>115</v>
      </c>
      <c r="AF5196">
        <v>0</v>
      </c>
      <c r="AG5196">
        <v>0</v>
      </c>
      <c r="AH5196" t="s">
        <v>116</v>
      </c>
      <c r="AI5196" s="1">
        <v>60311</v>
      </c>
      <c r="AJ5196" s="2">
        <v>0.21</v>
      </c>
      <c r="AK5196" s="1">
        <v>282140</v>
      </c>
      <c r="AL5196" t="s">
        <v>117</v>
      </c>
      <c r="AM5196" t="s">
        <v>191</v>
      </c>
      <c r="AN5196">
        <v>6251</v>
      </c>
      <c r="AO5196">
        <v>0.14000000000000001</v>
      </c>
      <c r="AP5196">
        <v>1</v>
      </c>
      <c r="AR5196">
        <v>1</v>
      </c>
      <c r="AS5196" s="1">
        <v>19430</v>
      </c>
      <c r="AT5196" s="1">
        <v>3880</v>
      </c>
      <c r="AU5196" s="1">
        <v>15550</v>
      </c>
      <c r="AV5196">
        <v>80.03</v>
      </c>
      <c r="AX5196" s="1">
        <v>1625.76</v>
      </c>
      <c r="AY5196" t="s">
        <v>6633</v>
      </c>
      <c r="AZ5196" t="s">
        <v>929</v>
      </c>
      <c r="BA5196" t="s">
        <v>930</v>
      </c>
      <c r="BE5196" s="3">
        <v>42199</v>
      </c>
      <c r="BF5196" s="1">
        <v>210000</v>
      </c>
      <c r="BG5196" t="s">
        <v>32185</v>
      </c>
      <c r="BH5196" s="1">
        <v>133.59</v>
      </c>
      <c r="BI5196" s="1">
        <v>221829</v>
      </c>
      <c r="BJ5196" s="3">
        <v>42458</v>
      </c>
      <c r="BK5196" t="s">
        <v>123</v>
      </c>
      <c r="BL5196" t="str">
        <f>"2016.203408"</f>
        <v>2016.203408</v>
      </c>
      <c r="BM5196" t="s">
        <v>1695</v>
      </c>
      <c r="BO5196" t="s">
        <v>32186</v>
      </c>
      <c r="BS5196">
        <v>30</v>
      </c>
      <c r="BW5196" t="str">
        <f>""</f>
        <v/>
      </c>
      <c r="CH5196" t="str">
        <f>""</f>
        <v/>
      </c>
      <c r="CS5196" t="str">
        <f>""</f>
        <v/>
      </c>
    </row>
    <row r="5197" spans="1:97" x14ac:dyDescent="0.25">
      <c r="A5197" t="s">
        <v>24515</v>
      </c>
      <c r="B5197" t="s">
        <v>32187</v>
      </c>
      <c r="C5197" t="s">
        <v>32188</v>
      </c>
      <c r="D5197" t="s">
        <v>32187</v>
      </c>
      <c r="E5197" t="s">
        <v>32189</v>
      </c>
      <c r="F5197" t="s">
        <v>108</v>
      </c>
      <c r="H5197" t="s">
        <v>32190</v>
      </c>
      <c r="I5197" t="s">
        <v>110</v>
      </c>
      <c r="J5197" t="s">
        <v>111</v>
      </c>
      <c r="K5197" t="str">
        <f>"85286"</f>
        <v>85286</v>
      </c>
      <c r="L5197" t="s">
        <v>1569</v>
      </c>
      <c r="M5197" t="s">
        <v>32190</v>
      </c>
      <c r="N5197" t="s">
        <v>110</v>
      </c>
      <c r="O5197" t="s">
        <v>111</v>
      </c>
      <c r="P5197" t="str">
        <f>"85286-1505"</f>
        <v>85286-1505</v>
      </c>
      <c r="Q5197" t="s">
        <v>113</v>
      </c>
      <c r="R5197" t="str">
        <f>"303-30-285"</f>
        <v>303-30-285</v>
      </c>
      <c r="S5197" t="s">
        <v>32191</v>
      </c>
      <c r="T5197" t="s">
        <v>5649</v>
      </c>
      <c r="U5197">
        <v>1627</v>
      </c>
      <c r="V5197">
        <v>0</v>
      </c>
      <c r="W5197">
        <v>3</v>
      </c>
      <c r="X5197">
        <v>1998</v>
      </c>
      <c r="Z5197">
        <v>1</v>
      </c>
      <c r="AA5197" t="s">
        <v>26</v>
      </c>
      <c r="AB5197">
        <v>0</v>
      </c>
      <c r="AC5197" t="s">
        <v>115</v>
      </c>
      <c r="AD5197">
        <v>2</v>
      </c>
      <c r="AE5197" t="s">
        <v>115</v>
      </c>
      <c r="AF5197">
        <v>0</v>
      </c>
      <c r="AG5197">
        <v>0</v>
      </c>
      <c r="AH5197" t="s">
        <v>116</v>
      </c>
      <c r="AI5197" s="1">
        <v>89543</v>
      </c>
      <c r="AJ5197" s="2">
        <v>0.28000000000000003</v>
      </c>
      <c r="AK5197" s="1">
        <v>319543</v>
      </c>
      <c r="AL5197" t="s">
        <v>117</v>
      </c>
      <c r="AM5197" t="s">
        <v>118</v>
      </c>
      <c r="AN5197">
        <v>6930</v>
      </c>
      <c r="AO5197">
        <v>0.16</v>
      </c>
      <c r="AP5197">
        <v>1</v>
      </c>
      <c r="AR5197">
        <v>1</v>
      </c>
      <c r="AS5197" s="1">
        <v>22050</v>
      </c>
      <c r="AT5197" s="1">
        <v>4410</v>
      </c>
      <c r="AU5197" s="1">
        <v>17640</v>
      </c>
      <c r="AV5197">
        <v>80</v>
      </c>
      <c r="AX5197" s="1">
        <v>1598.14</v>
      </c>
      <c r="AY5197" t="s">
        <v>5650</v>
      </c>
      <c r="AZ5197" t="s">
        <v>120</v>
      </c>
      <c r="BA5197" t="s">
        <v>303</v>
      </c>
      <c r="BB5197" s="3">
        <v>42549</v>
      </c>
      <c r="BD5197" t="s">
        <v>240</v>
      </c>
      <c r="BE5197" s="3">
        <v>41698</v>
      </c>
      <c r="BF5197" s="1">
        <v>231000</v>
      </c>
      <c r="BG5197" t="s">
        <v>32192</v>
      </c>
      <c r="BH5197" s="1">
        <v>141.97999999999999</v>
      </c>
      <c r="BI5197" s="1">
        <v>230000</v>
      </c>
      <c r="BJ5197" s="3">
        <v>42549</v>
      </c>
      <c r="BK5197" t="s">
        <v>123</v>
      </c>
      <c r="BL5197" t="str">
        <f>"2016.451962"</f>
        <v>2016.451962</v>
      </c>
      <c r="BM5197" t="s">
        <v>654</v>
      </c>
      <c r="BO5197" t="s">
        <v>32193</v>
      </c>
      <c r="BS5197">
        <v>30</v>
      </c>
      <c r="BW5197" t="str">
        <f>""</f>
        <v/>
      </c>
      <c r="CH5197" t="str">
        <f>""</f>
        <v/>
      </c>
      <c r="CS5197" t="str">
        <f>""</f>
        <v/>
      </c>
    </row>
    <row r="5198" spans="1:97" x14ac:dyDescent="0.25">
      <c r="A5198" t="s">
        <v>370</v>
      </c>
      <c r="B5198" t="s">
        <v>15790</v>
      </c>
      <c r="E5198" t="s">
        <v>32194</v>
      </c>
      <c r="F5198" t="s">
        <v>108</v>
      </c>
      <c r="H5198" t="s">
        <v>32195</v>
      </c>
      <c r="I5198" t="s">
        <v>390</v>
      </c>
      <c r="J5198" t="s">
        <v>111</v>
      </c>
      <c r="K5198" t="str">
        <f>"85051"</f>
        <v>85051</v>
      </c>
      <c r="L5198" t="s">
        <v>12529</v>
      </c>
      <c r="M5198" t="s">
        <v>32195</v>
      </c>
      <c r="N5198" t="s">
        <v>390</v>
      </c>
      <c r="O5198" t="s">
        <v>111</v>
      </c>
      <c r="P5198" t="str">
        <f>"85051-7597"</f>
        <v>85051-7597</v>
      </c>
      <c r="Q5198" t="s">
        <v>113</v>
      </c>
      <c r="R5198" t="str">
        <f>"151-11-026"</f>
        <v>151-11-026</v>
      </c>
      <c r="S5198" t="s">
        <v>32196</v>
      </c>
      <c r="T5198" t="s">
        <v>32197</v>
      </c>
      <c r="U5198">
        <v>1881</v>
      </c>
      <c r="V5198">
        <v>0</v>
      </c>
      <c r="W5198">
        <v>4</v>
      </c>
      <c r="X5198">
        <v>2016</v>
      </c>
      <c r="Z5198">
        <v>2</v>
      </c>
      <c r="AB5198">
        <v>0</v>
      </c>
      <c r="AC5198" t="s">
        <v>115</v>
      </c>
      <c r="AD5198">
        <v>2</v>
      </c>
      <c r="AE5198" t="s">
        <v>115</v>
      </c>
      <c r="AF5198">
        <v>0</v>
      </c>
      <c r="AG5198">
        <v>0</v>
      </c>
      <c r="AH5198" t="s">
        <v>116</v>
      </c>
      <c r="AI5198" s="1">
        <v>58696</v>
      </c>
      <c r="AJ5198" s="2">
        <v>0.21</v>
      </c>
      <c r="AK5198" s="1">
        <v>285956</v>
      </c>
      <c r="AL5198" t="s">
        <v>117</v>
      </c>
      <c r="AM5198" t="s">
        <v>191</v>
      </c>
      <c r="AN5198">
        <v>4071</v>
      </c>
      <c r="AO5198">
        <v>0.93</v>
      </c>
      <c r="AR5198">
        <v>1</v>
      </c>
      <c r="AS5198" s="1">
        <v>19720</v>
      </c>
      <c r="AT5198" s="1">
        <v>3940</v>
      </c>
      <c r="AU5198" s="1">
        <v>15780</v>
      </c>
      <c r="AV5198">
        <v>80.02</v>
      </c>
      <c r="AX5198" s="1">
        <v>1975.48</v>
      </c>
      <c r="AY5198" t="s">
        <v>7431</v>
      </c>
      <c r="AZ5198" t="s">
        <v>19791</v>
      </c>
      <c r="BA5198" t="s">
        <v>21687</v>
      </c>
      <c r="BE5198" s="3">
        <v>42517</v>
      </c>
      <c r="BF5198" s="1">
        <v>220000</v>
      </c>
      <c r="BG5198" t="s">
        <v>32198</v>
      </c>
      <c r="BH5198" s="1">
        <v>116.96</v>
      </c>
      <c r="BI5198" s="1">
        <v>227260</v>
      </c>
      <c r="BJ5198" s="3">
        <v>42517</v>
      </c>
      <c r="BK5198" t="s">
        <v>123</v>
      </c>
      <c r="BL5198" t="str">
        <f>"2016.369948"</f>
        <v>2016.369948</v>
      </c>
      <c r="BM5198" t="s">
        <v>3810</v>
      </c>
      <c r="BO5198" t="s">
        <v>32199</v>
      </c>
      <c r="BS5198">
        <v>30</v>
      </c>
      <c r="BW5198" t="str">
        <f>""</f>
        <v/>
      </c>
      <c r="CH5198" t="str">
        <f>""</f>
        <v/>
      </c>
      <c r="CS5198" t="str">
        <f>""</f>
        <v/>
      </c>
    </row>
    <row r="5199" spans="1:97" x14ac:dyDescent="0.25">
      <c r="A5199" t="s">
        <v>2915</v>
      </c>
      <c r="B5199" t="s">
        <v>10458</v>
      </c>
      <c r="C5199" t="s">
        <v>32200</v>
      </c>
      <c r="D5199" t="s">
        <v>10458</v>
      </c>
      <c r="E5199" t="s">
        <v>32201</v>
      </c>
      <c r="F5199" t="s">
        <v>108</v>
      </c>
      <c r="H5199" t="s">
        <v>32202</v>
      </c>
      <c r="I5199" t="s">
        <v>225</v>
      </c>
      <c r="J5199" t="s">
        <v>111</v>
      </c>
      <c r="K5199" t="str">
        <f>"85215"</f>
        <v>85215</v>
      </c>
      <c r="L5199" t="s">
        <v>8747</v>
      </c>
      <c r="M5199" t="s">
        <v>32202</v>
      </c>
      <c r="N5199" t="s">
        <v>225</v>
      </c>
      <c r="O5199" t="s">
        <v>111</v>
      </c>
      <c r="P5199" t="str">
        <f>"85215-4334"</f>
        <v>85215-4334</v>
      </c>
      <c r="Q5199" t="s">
        <v>113</v>
      </c>
      <c r="R5199" t="str">
        <f>"141-93-872"</f>
        <v>141-93-872</v>
      </c>
      <c r="S5199" t="s">
        <v>7727</v>
      </c>
      <c r="T5199" t="s">
        <v>32203</v>
      </c>
      <c r="U5199">
        <v>1656</v>
      </c>
      <c r="V5199">
        <v>0</v>
      </c>
      <c r="W5199">
        <v>3</v>
      </c>
      <c r="X5199">
        <v>1999</v>
      </c>
      <c r="Z5199">
        <v>2</v>
      </c>
      <c r="AB5199">
        <v>0</v>
      </c>
      <c r="AC5199" t="s">
        <v>115</v>
      </c>
      <c r="AD5199">
        <v>2</v>
      </c>
      <c r="AE5199" t="s">
        <v>115</v>
      </c>
      <c r="AF5199">
        <v>0</v>
      </c>
      <c r="AG5199">
        <v>0</v>
      </c>
      <c r="AH5199" t="s">
        <v>116</v>
      </c>
      <c r="AI5199" s="1">
        <v>45826</v>
      </c>
      <c r="AJ5199" s="2">
        <v>0.17</v>
      </c>
      <c r="AK5199" s="1">
        <v>273157</v>
      </c>
      <c r="AL5199" t="s">
        <v>117</v>
      </c>
      <c r="AM5199" t="s">
        <v>191</v>
      </c>
      <c r="AN5199">
        <v>3340</v>
      </c>
      <c r="AO5199">
        <v>0.77</v>
      </c>
      <c r="AP5199">
        <v>1</v>
      </c>
      <c r="AR5199">
        <v>1</v>
      </c>
      <c r="AS5199" s="1">
        <v>17820</v>
      </c>
      <c r="AT5199" s="1">
        <v>3560</v>
      </c>
      <c r="AU5199" s="1">
        <v>14260</v>
      </c>
      <c r="AV5199">
        <v>80.02</v>
      </c>
      <c r="AX5199" s="1">
        <v>1404.3</v>
      </c>
      <c r="AY5199" t="s">
        <v>6662</v>
      </c>
      <c r="AZ5199" t="s">
        <v>5275</v>
      </c>
      <c r="BA5199" t="s">
        <v>3119</v>
      </c>
      <c r="BE5199" s="3">
        <v>41752</v>
      </c>
      <c r="BF5199" s="1">
        <v>198000</v>
      </c>
      <c r="BG5199" t="s">
        <v>32204</v>
      </c>
      <c r="BH5199" s="1">
        <v>119.57</v>
      </c>
      <c r="BI5199" s="1">
        <v>227331</v>
      </c>
      <c r="BJ5199" s="3">
        <v>43566</v>
      </c>
      <c r="BK5199" t="s">
        <v>123</v>
      </c>
      <c r="BL5199" t="str">
        <f>"2019.254853"</f>
        <v>2019.254853</v>
      </c>
      <c r="BM5199" t="s">
        <v>1370</v>
      </c>
      <c r="BN5199" t="s">
        <v>4077</v>
      </c>
      <c r="BO5199" t="s">
        <v>32205</v>
      </c>
      <c r="BP5199" t="s">
        <v>32206</v>
      </c>
      <c r="BR5199" t="s">
        <v>139</v>
      </c>
      <c r="BW5199" t="str">
        <f>""</f>
        <v/>
      </c>
      <c r="CH5199" t="str">
        <f>""</f>
        <v/>
      </c>
      <c r="CS5199" t="str">
        <f>""</f>
        <v/>
      </c>
    </row>
    <row r="5200" spans="1:97" x14ac:dyDescent="0.25">
      <c r="A5200" t="s">
        <v>1034</v>
      </c>
      <c r="B5200" t="s">
        <v>7143</v>
      </c>
      <c r="E5200" t="s">
        <v>32207</v>
      </c>
      <c r="F5200" t="s">
        <v>108</v>
      </c>
      <c r="H5200" t="s">
        <v>32208</v>
      </c>
      <c r="I5200" t="s">
        <v>167</v>
      </c>
      <c r="J5200" t="s">
        <v>111</v>
      </c>
      <c r="K5200" t="str">
        <f>"85339"</f>
        <v>85339</v>
      </c>
      <c r="L5200" t="s">
        <v>5367</v>
      </c>
      <c r="M5200" t="s">
        <v>32208</v>
      </c>
      <c r="N5200" t="s">
        <v>167</v>
      </c>
      <c r="O5200" t="s">
        <v>111</v>
      </c>
      <c r="P5200" t="str">
        <f>"85339-7097"</f>
        <v>85339-7097</v>
      </c>
      <c r="Q5200" t="s">
        <v>113</v>
      </c>
      <c r="R5200" t="str">
        <f>"104-87-302"</f>
        <v>104-87-302</v>
      </c>
      <c r="S5200" t="s">
        <v>12188</v>
      </c>
      <c r="U5200">
        <v>2046</v>
      </c>
      <c r="V5200">
        <v>0</v>
      </c>
      <c r="W5200">
        <v>4</v>
      </c>
      <c r="X5200">
        <v>2015</v>
      </c>
      <c r="Z5200">
        <v>2</v>
      </c>
      <c r="AA5200" t="s">
        <v>26</v>
      </c>
      <c r="AB5200">
        <v>0</v>
      </c>
      <c r="AC5200" t="s">
        <v>115</v>
      </c>
      <c r="AD5200">
        <v>2</v>
      </c>
      <c r="AE5200" t="s">
        <v>115</v>
      </c>
      <c r="AF5200">
        <v>0</v>
      </c>
      <c r="AG5200">
        <v>0</v>
      </c>
      <c r="AH5200" t="s">
        <v>116</v>
      </c>
      <c r="AI5200" s="1">
        <v>80766</v>
      </c>
      <c r="AJ5200" s="2">
        <v>0.28000000000000003</v>
      </c>
      <c r="AK5200" s="1">
        <v>288366</v>
      </c>
      <c r="AL5200" t="s">
        <v>117</v>
      </c>
      <c r="AM5200" t="s">
        <v>760</v>
      </c>
      <c r="AN5200">
        <v>9844</v>
      </c>
      <c r="AO5200">
        <v>0.23</v>
      </c>
      <c r="AR5200">
        <v>1</v>
      </c>
      <c r="AS5200" s="1">
        <v>22180</v>
      </c>
      <c r="AT5200" s="1">
        <v>4430</v>
      </c>
      <c r="AU5200" s="1">
        <v>17750</v>
      </c>
      <c r="AV5200">
        <v>80.03</v>
      </c>
      <c r="AX5200" s="1">
        <v>2594.1999999999998</v>
      </c>
      <c r="AY5200" t="s">
        <v>172</v>
      </c>
      <c r="AZ5200" t="s">
        <v>172</v>
      </c>
      <c r="BA5200" t="s">
        <v>173</v>
      </c>
      <c r="BE5200" s="3">
        <v>42412</v>
      </c>
      <c r="BF5200" s="1">
        <v>214900</v>
      </c>
      <c r="BG5200" t="s">
        <v>9623</v>
      </c>
      <c r="BH5200" s="1">
        <v>105.03</v>
      </c>
      <c r="BI5200" s="1">
        <v>207600</v>
      </c>
      <c r="BJ5200" s="3">
        <v>42941</v>
      </c>
      <c r="BK5200" t="s">
        <v>123</v>
      </c>
      <c r="BL5200" t="str">
        <f>"2017.541121"</f>
        <v>2017.541121</v>
      </c>
      <c r="BM5200" t="s">
        <v>8621</v>
      </c>
      <c r="BO5200" t="s">
        <v>32209</v>
      </c>
      <c r="BS5200">
        <v>30</v>
      </c>
      <c r="BW5200" t="str">
        <f>""</f>
        <v/>
      </c>
      <c r="CH5200" t="str">
        <f>""</f>
        <v/>
      </c>
      <c r="CS5200" t="str">
        <f>""</f>
        <v/>
      </c>
    </row>
    <row r="5201" spans="1:97" x14ac:dyDescent="0.25">
      <c r="A5201" t="s">
        <v>32210</v>
      </c>
      <c r="B5201" t="s">
        <v>7705</v>
      </c>
      <c r="C5201" t="s">
        <v>364</v>
      </c>
      <c r="D5201" t="s">
        <v>7705</v>
      </c>
      <c r="E5201" t="s">
        <v>32211</v>
      </c>
      <c r="F5201" t="s">
        <v>108</v>
      </c>
      <c r="H5201" t="s">
        <v>32212</v>
      </c>
      <c r="I5201" t="s">
        <v>225</v>
      </c>
      <c r="J5201" t="s">
        <v>111</v>
      </c>
      <c r="K5201" t="str">
        <f>"85212"</f>
        <v>85212</v>
      </c>
      <c r="L5201" t="s">
        <v>1569</v>
      </c>
      <c r="M5201" t="s">
        <v>32212</v>
      </c>
      <c r="N5201" t="s">
        <v>225</v>
      </c>
      <c r="O5201" t="s">
        <v>111</v>
      </c>
      <c r="P5201" t="str">
        <f>"85212-4116"</f>
        <v>85212-4116</v>
      </c>
      <c r="Q5201" t="s">
        <v>113</v>
      </c>
      <c r="R5201" t="str">
        <f>"304-33-452"</f>
        <v>304-33-452</v>
      </c>
      <c r="S5201" t="s">
        <v>17735</v>
      </c>
      <c r="T5201" t="s">
        <v>13511</v>
      </c>
      <c r="U5201">
        <v>3691</v>
      </c>
      <c r="V5201">
        <v>0</v>
      </c>
      <c r="W5201">
        <v>4</v>
      </c>
      <c r="X5201">
        <v>2002</v>
      </c>
      <c r="Z5201">
        <v>2</v>
      </c>
      <c r="AA5201" t="s">
        <v>26</v>
      </c>
      <c r="AB5201">
        <v>0</v>
      </c>
      <c r="AC5201" t="s">
        <v>115</v>
      </c>
      <c r="AD5201">
        <v>3</v>
      </c>
      <c r="AE5201" t="s">
        <v>115</v>
      </c>
      <c r="AF5201">
        <v>0</v>
      </c>
      <c r="AG5201">
        <v>0</v>
      </c>
      <c r="AH5201" t="s">
        <v>116</v>
      </c>
      <c r="AI5201" s="1">
        <v>59889</v>
      </c>
      <c r="AJ5201" s="2">
        <v>0.16</v>
      </c>
      <c r="AK5201" s="1">
        <v>383667</v>
      </c>
      <c r="AL5201" t="s">
        <v>117</v>
      </c>
      <c r="AM5201" t="s">
        <v>393</v>
      </c>
      <c r="AN5201">
        <v>8000</v>
      </c>
      <c r="AO5201">
        <v>0.18</v>
      </c>
      <c r="AP5201">
        <v>1</v>
      </c>
      <c r="AR5201">
        <v>1</v>
      </c>
      <c r="AS5201" s="1">
        <v>26720</v>
      </c>
      <c r="AT5201" s="1">
        <v>5340</v>
      </c>
      <c r="AU5201" s="1">
        <v>21380</v>
      </c>
      <c r="AV5201">
        <v>80.010000000000005</v>
      </c>
      <c r="AX5201" s="1">
        <v>2001.08</v>
      </c>
      <c r="AY5201" t="s">
        <v>776</v>
      </c>
      <c r="AZ5201" t="s">
        <v>777</v>
      </c>
      <c r="BA5201" t="s">
        <v>572</v>
      </c>
      <c r="BE5201" s="3">
        <v>42313</v>
      </c>
      <c r="BF5201" s="1">
        <v>310700</v>
      </c>
      <c r="BG5201" t="s">
        <v>32213</v>
      </c>
      <c r="BH5201" s="1">
        <v>84.18</v>
      </c>
      <c r="BI5201" s="1">
        <v>323778</v>
      </c>
      <c r="BJ5201" s="3">
        <v>42592</v>
      </c>
      <c r="BK5201" t="s">
        <v>123</v>
      </c>
      <c r="BL5201" t="str">
        <f>"2016.569325"</f>
        <v>2016.569325</v>
      </c>
      <c r="BM5201" t="s">
        <v>248</v>
      </c>
      <c r="BO5201" t="s">
        <v>32214</v>
      </c>
      <c r="BS5201">
        <v>30</v>
      </c>
      <c r="BW5201" t="str">
        <f>""</f>
        <v/>
      </c>
      <c r="CH5201" t="str">
        <f>""</f>
        <v/>
      </c>
      <c r="CS5201" t="str">
        <f>""</f>
        <v/>
      </c>
    </row>
    <row r="5202" spans="1:97" x14ac:dyDescent="0.25">
      <c r="A5202" t="s">
        <v>3221</v>
      </c>
      <c r="B5202" t="s">
        <v>32215</v>
      </c>
      <c r="E5202" t="s">
        <v>32216</v>
      </c>
      <c r="F5202" t="s">
        <v>108</v>
      </c>
      <c r="H5202" t="s">
        <v>32217</v>
      </c>
      <c r="I5202" t="s">
        <v>110</v>
      </c>
      <c r="J5202" t="s">
        <v>111</v>
      </c>
      <c r="K5202" t="str">
        <f>"85249"</f>
        <v>85249</v>
      </c>
      <c r="L5202" t="s">
        <v>6595</v>
      </c>
      <c r="M5202" t="s">
        <v>32217</v>
      </c>
      <c r="N5202" t="s">
        <v>110</v>
      </c>
      <c r="O5202" t="s">
        <v>111</v>
      </c>
      <c r="P5202" t="str">
        <f>"85249-7144"</f>
        <v>85249-7144</v>
      </c>
      <c r="Q5202" t="s">
        <v>113</v>
      </c>
      <c r="R5202" t="str">
        <f>"304-84-714"</f>
        <v>304-84-714</v>
      </c>
      <c r="S5202" t="s">
        <v>32218</v>
      </c>
      <c r="U5202">
        <v>2052</v>
      </c>
      <c r="V5202">
        <v>0</v>
      </c>
      <c r="W5202">
        <v>3</v>
      </c>
      <c r="X5202">
        <v>2002</v>
      </c>
      <c r="Z5202">
        <v>1</v>
      </c>
      <c r="AA5202" t="s">
        <v>26</v>
      </c>
      <c r="AB5202">
        <v>0</v>
      </c>
      <c r="AC5202" t="s">
        <v>115</v>
      </c>
      <c r="AD5202">
        <v>2</v>
      </c>
      <c r="AE5202" t="s">
        <v>115</v>
      </c>
      <c r="AF5202">
        <v>0</v>
      </c>
      <c r="AG5202">
        <v>0</v>
      </c>
      <c r="AH5202" t="s">
        <v>116</v>
      </c>
      <c r="AI5202" s="1">
        <v>83381</v>
      </c>
      <c r="AJ5202" s="2">
        <v>0.25</v>
      </c>
      <c r="AK5202" s="1">
        <v>332319</v>
      </c>
      <c r="AL5202" t="s">
        <v>117</v>
      </c>
      <c r="AM5202" t="s">
        <v>118</v>
      </c>
      <c r="AN5202">
        <v>7620</v>
      </c>
      <c r="AO5202">
        <v>0.18</v>
      </c>
      <c r="AP5202">
        <v>1</v>
      </c>
      <c r="AR5202">
        <v>1</v>
      </c>
      <c r="AS5202" s="1">
        <v>22680</v>
      </c>
      <c r="AT5202" s="1">
        <v>4530</v>
      </c>
      <c r="AU5202" s="1">
        <v>18150</v>
      </c>
      <c r="AV5202">
        <v>80.03</v>
      </c>
      <c r="AX5202" s="1">
        <v>1806.54</v>
      </c>
      <c r="AY5202" t="s">
        <v>6269</v>
      </c>
      <c r="AZ5202" t="s">
        <v>273</v>
      </c>
      <c r="BA5202" t="s">
        <v>274</v>
      </c>
      <c r="BE5202" s="3">
        <v>41796</v>
      </c>
      <c r="BF5202" s="1">
        <v>246500</v>
      </c>
      <c r="BG5202" t="s">
        <v>32219</v>
      </c>
      <c r="BH5202" s="1">
        <v>120.13</v>
      </c>
      <c r="BI5202" s="1">
        <v>248938</v>
      </c>
      <c r="BJ5202" s="3">
        <v>42390</v>
      </c>
      <c r="BK5202" t="s">
        <v>123</v>
      </c>
      <c r="BL5202" t="str">
        <f>"2016.39793"</f>
        <v>2016.39793</v>
      </c>
      <c r="BM5202" t="s">
        <v>425</v>
      </c>
      <c r="BO5202" t="s">
        <v>32220</v>
      </c>
      <c r="BS5202">
        <v>30</v>
      </c>
      <c r="BW5202" t="str">
        <f>""</f>
        <v/>
      </c>
      <c r="CH5202" t="str">
        <f>""</f>
        <v/>
      </c>
      <c r="CS5202" t="str">
        <f>""</f>
        <v/>
      </c>
    </row>
    <row r="5203" spans="1:97" x14ac:dyDescent="0.25">
      <c r="A5203" t="s">
        <v>1938</v>
      </c>
      <c r="B5203" t="s">
        <v>16719</v>
      </c>
      <c r="E5203" t="s">
        <v>32221</v>
      </c>
      <c r="F5203" t="s">
        <v>108</v>
      </c>
      <c r="H5203" t="s">
        <v>32222</v>
      </c>
      <c r="I5203" t="s">
        <v>188</v>
      </c>
      <c r="J5203" t="s">
        <v>111</v>
      </c>
      <c r="K5203" t="str">
        <f>"85142"</f>
        <v>85142</v>
      </c>
      <c r="L5203" t="s">
        <v>5893</v>
      </c>
      <c r="M5203" t="s">
        <v>32222</v>
      </c>
      <c r="N5203" t="s">
        <v>188</v>
      </c>
      <c r="O5203" t="s">
        <v>111</v>
      </c>
      <c r="P5203" t="str">
        <f>"85142-5363"</f>
        <v>85142-5363</v>
      </c>
      <c r="Q5203" t="s">
        <v>113</v>
      </c>
      <c r="R5203" t="str">
        <f>"314-03-447"</f>
        <v>314-03-447</v>
      </c>
      <c r="S5203" t="s">
        <v>32223</v>
      </c>
      <c r="U5203">
        <v>1557</v>
      </c>
      <c r="V5203">
        <v>0</v>
      </c>
      <c r="W5203">
        <v>2</v>
      </c>
      <c r="X5203">
        <v>2004</v>
      </c>
      <c r="Z5203">
        <v>1</v>
      </c>
      <c r="AB5203">
        <v>0</v>
      </c>
      <c r="AC5203" t="s">
        <v>115</v>
      </c>
      <c r="AD5203">
        <v>2</v>
      </c>
      <c r="AE5203" t="s">
        <v>115</v>
      </c>
      <c r="AF5203">
        <v>0</v>
      </c>
      <c r="AG5203">
        <v>0</v>
      </c>
      <c r="AH5203" t="s">
        <v>116</v>
      </c>
      <c r="AI5203" s="1">
        <v>58303</v>
      </c>
      <c r="AJ5203" s="2">
        <v>0.22</v>
      </c>
      <c r="AK5203" s="1">
        <v>264803</v>
      </c>
      <c r="AL5203" t="s">
        <v>117</v>
      </c>
      <c r="AM5203" t="s">
        <v>191</v>
      </c>
      <c r="AN5203">
        <v>6050</v>
      </c>
      <c r="AO5203">
        <v>0.14000000000000001</v>
      </c>
      <c r="AP5203">
        <v>1</v>
      </c>
      <c r="AR5203">
        <v>1</v>
      </c>
      <c r="AS5203" s="1">
        <v>17730</v>
      </c>
      <c r="AT5203" s="1">
        <v>3540</v>
      </c>
      <c r="AU5203" s="1">
        <v>14190</v>
      </c>
      <c r="AV5203">
        <v>80.03</v>
      </c>
      <c r="AX5203" s="1">
        <v>1511.28</v>
      </c>
      <c r="AY5203" t="s">
        <v>5895</v>
      </c>
      <c r="AZ5203" t="s">
        <v>561</v>
      </c>
      <c r="BA5203" t="s">
        <v>194</v>
      </c>
      <c r="BE5203" s="3">
        <v>42466</v>
      </c>
      <c r="BF5203" s="1">
        <v>207500</v>
      </c>
      <c r="BG5203" t="s">
        <v>32224</v>
      </c>
      <c r="BH5203" s="1">
        <v>133.27000000000001</v>
      </c>
      <c r="BI5203" s="1">
        <v>206500</v>
      </c>
      <c r="BJ5203" s="3">
        <v>42620</v>
      </c>
      <c r="BK5203" t="s">
        <v>123</v>
      </c>
      <c r="BL5203" t="str">
        <f>"2016.648335"</f>
        <v>2016.648335</v>
      </c>
      <c r="BM5203" t="s">
        <v>673</v>
      </c>
      <c r="BO5203" t="s">
        <v>32225</v>
      </c>
      <c r="BS5203">
        <v>30</v>
      </c>
      <c r="BW5203" t="str">
        <f>""</f>
        <v/>
      </c>
      <c r="CH5203" t="str">
        <f>""</f>
        <v/>
      </c>
      <c r="CS5203" t="str">
        <f>""</f>
        <v/>
      </c>
    </row>
    <row r="5204" spans="1:97" x14ac:dyDescent="0.25">
      <c r="A5204" t="s">
        <v>1344</v>
      </c>
      <c r="B5204" t="s">
        <v>32226</v>
      </c>
      <c r="C5204" t="s">
        <v>1181</v>
      </c>
      <c r="D5204" t="s">
        <v>32226</v>
      </c>
      <c r="E5204" t="s">
        <v>32227</v>
      </c>
      <c r="F5204" t="s">
        <v>108</v>
      </c>
      <c r="H5204" t="s">
        <v>32228</v>
      </c>
      <c r="I5204" t="s">
        <v>5387</v>
      </c>
      <c r="J5204" t="s">
        <v>111</v>
      </c>
      <c r="K5204" t="str">
        <f>"85281"</f>
        <v>85281</v>
      </c>
      <c r="L5204" t="s">
        <v>8199</v>
      </c>
      <c r="M5204" t="s">
        <v>32228</v>
      </c>
      <c r="N5204" t="s">
        <v>5387</v>
      </c>
      <c r="O5204" t="s">
        <v>111</v>
      </c>
      <c r="P5204" t="str">
        <f>"85281-3303"</f>
        <v>85281-3303</v>
      </c>
      <c r="Q5204" t="s">
        <v>113</v>
      </c>
      <c r="R5204" t="str">
        <f>"124-37-079"</f>
        <v>124-37-079</v>
      </c>
      <c r="S5204" t="s">
        <v>32229</v>
      </c>
      <c r="T5204" t="s">
        <v>32230</v>
      </c>
      <c r="U5204">
        <v>1478</v>
      </c>
      <c r="V5204">
        <v>0</v>
      </c>
      <c r="W5204">
        <v>2</v>
      </c>
      <c r="X5204">
        <v>1959</v>
      </c>
      <c r="Z5204">
        <v>1</v>
      </c>
      <c r="AB5204">
        <v>0</v>
      </c>
      <c r="AC5204" t="s">
        <v>5188</v>
      </c>
      <c r="AD5204">
        <v>1</v>
      </c>
      <c r="AE5204" t="s">
        <v>5188</v>
      </c>
      <c r="AF5204">
        <v>0</v>
      </c>
      <c r="AG5204">
        <v>0</v>
      </c>
      <c r="AH5204" t="s">
        <v>5467</v>
      </c>
      <c r="AI5204" s="1">
        <v>76256</v>
      </c>
      <c r="AJ5204" s="2">
        <v>0.26</v>
      </c>
      <c r="AK5204" s="1">
        <v>294596</v>
      </c>
      <c r="AL5204" t="s">
        <v>117</v>
      </c>
      <c r="AM5204" t="s">
        <v>191</v>
      </c>
      <c r="AN5204">
        <v>8700</v>
      </c>
      <c r="AO5204">
        <v>0.2</v>
      </c>
      <c r="AP5204">
        <v>1</v>
      </c>
      <c r="AR5204">
        <v>1</v>
      </c>
      <c r="AS5204" s="1">
        <v>19530</v>
      </c>
      <c r="AT5204" s="1">
        <v>3900</v>
      </c>
      <c r="AU5204" s="1">
        <v>15630</v>
      </c>
      <c r="AV5204">
        <v>80.03</v>
      </c>
      <c r="AX5204" s="1">
        <v>1382.68</v>
      </c>
      <c r="AY5204" t="s">
        <v>32231</v>
      </c>
      <c r="AZ5204" t="s">
        <v>9518</v>
      </c>
      <c r="BA5204" t="s">
        <v>9519</v>
      </c>
      <c r="BE5204" s="3">
        <v>41906</v>
      </c>
      <c r="BF5204" s="1">
        <v>215000</v>
      </c>
      <c r="BG5204" t="s">
        <v>32232</v>
      </c>
      <c r="BH5204" s="1">
        <v>145.47</v>
      </c>
      <c r="BI5204" s="1">
        <v>218340</v>
      </c>
      <c r="BJ5204" s="3">
        <v>42285</v>
      </c>
      <c r="BK5204" t="s">
        <v>123</v>
      </c>
      <c r="BL5204" t="str">
        <f>"2015.724210"</f>
        <v>2015.724210</v>
      </c>
      <c r="BM5204" t="s">
        <v>402</v>
      </c>
      <c r="BO5204" t="s">
        <v>32233</v>
      </c>
      <c r="BS5204">
        <v>30</v>
      </c>
      <c r="BW5204" t="str">
        <f>""</f>
        <v/>
      </c>
      <c r="CH5204" t="str">
        <f>""</f>
        <v/>
      </c>
      <c r="CS5204" t="str">
        <f>""</f>
        <v/>
      </c>
    </row>
    <row r="5205" spans="1:97" x14ac:dyDescent="0.25">
      <c r="A5205" t="s">
        <v>620</v>
      </c>
      <c r="B5205" t="s">
        <v>32234</v>
      </c>
      <c r="C5205" t="s">
        <v>32235</v>
      </c>
      <c r="D5205" t="s">
        <v>32234</v>
      </c>
      <c r="E5205" t="s">
        <v>32236</v>
      </c>
      <c r="F5205" t="s">
        <v>108</v>
      </c>
      <c r="H5205" t="s">
        <v>32237</v>
      </c>
      <c r="I5205" t="s">
        <v>390</v>
      </c>
      <c r="J5205" t="s">
        <v>111</v>
      </c>
      <c r="K5205" t="str">
        <f>"85041"</f>
        <v>85041</v>
      </c>
      <c r="L5205" t="s">
        <v>5416</v>
      </c>
      <c r="M5205" t="s">
        <v>32237</v>
      </c>
      <c r="N5205" t="s">
        <v>390</v>
      </c>
      <c r="O5205" t="s">
        <v>111</v>
      </c>
      <c r="P5205" t="str">
        <f>"85041-8014"</f>
        <v>85041-8014</v>
      </c>
      <c r="Q5205" t="s">
        <v>113</v>
      </c>
      <c r="R5205" t="str">
        <f>"300-40-455"</f>
        <v>300-40-455</v>
      </c>
      <c r="S5205" t="s">
        <v>23377</v>
      </c>
      <c r="T5205" t="s">
        <v>23377</v>
      </c>
      <c r="U5205">
        <v>3073</v>
      </c>
      <c r="V5205">
        <v>0</v>
      </c>
      <c r="W5205">
        <v>4</v>
      </c>
      <c r="X5205">
        <v>2014</v>
      </c>
      <c r="Z5205">
        <v>2</v>
      </c>
      <c r="AA5205" t="s">
        <v>26</v>
      </c>
      <c r="AB5205">
        <v>0</v>
      </c>
      <c r="AC5205" t="s">
        <v>115</v>
      </c>
      <c r="AD5205">
        <v>3</v>
      </c>
      <c r="AE5205" t="s">
        <v>115</v>
      </c>
      <c r="AF5205">
        <v>0</v>
      </c>
      <c r="AG5205">
        <v>0</v>
      </c>
      <c r="AH5205" t="s">
        <v>116</v>
      </c>
      <c r="AI5205" s="1">
        <v>39286</v>
      </c>
      <c r="AJ5205" s="2">
        <v>0.1</v>
      </c>
      <c r="AK5205" s="1">
        <v>388639</v>
      </c>
      <c r="AL5205" t="s">
        <v>117</v>
      </c>
      <c r="AM5205" t="s">
        <v>191</v>
      </c>
      <c r="AN5205">
        <v>6044</v>
      </c>
      <c r="AO5205">
        <v>0.14000000000000001</v>
      </c>
      <c r="AR5205">
        <v>1</v>
      </c>
      <c r="AS5205" s="1">
        <v>26530</v>
      </c>
      <c r="AT5205" s="1">
        <v>5300</v>
      </c>
      <c r="AU5205" s="1">
        <v>21230</v>
      </c>
      <c r="AV5205">
        <v>80.02</v>
      </c>
      <c r="AX5205" s="1">
        <v>3418.14</v>
      </c>
      <c r="AY5205" t="s">
        <v>23378</v>
      </c>
      <c r="AZ5205" t="s">
        <v>23378</v>
      </c>
      <c r="BA5205" t="s">
        <v>1661</v>
      </c>
      <c r="BE5205" s="3">
        <v>42093</v>
      </c>
      <c r="BF5205" s="1">
        <v>350000</v>
      </c>
      <c r="BG5205" t="s">
        <v>23379</v>
      </c>
      <c r="BH5205" s="1">
        <v>113.9</v>
      </c>
      <c r="BI5205" s="1">
        <v>349353</v>
      </c>
      <c r="BJ5205" s="3">
        <v>42093</v>
      </c>
      <c r="BK5205" t="s">
        <v>123</v>
      </c>
      <c r="BL5205" t="str">
        <f>"2015.213166"</f>
        <v>2015.213166</v>
      </c>
      <c r="BM5205" t="s">
        <v>544</v>
      </c>
      <c r="BO5205" t="s">
        <v>32238</v>
      </c>
      <c r="BS5205">
        <v>30</v>
      </c>
      <c r="BW5205" t="str">
        <f>""</f>
        <v/>
      </c>
      <c r="CH5205" t="str">
        <f>""</f>
        <v/>
      </c>
      <c r="CS5205" t="str">
        <f>""</f>
        <v/>
      </c>
    </row>
    <row r="5206" spans="1:97" x14ac:dyDescent="0.25">
      <c r="A5206" t="s">
        <v>13060</v>
      </c>
      <c r="B5206" t="s">
        <v>32239</v>
      </c>
      <c r="C5206" t="s">
        <v>1906</v>
      </c>
      <c r="D5206" t="s">
        <v>32239</v>
      </c>
      <c r="E5206" t="s">
        <v>32240</v>
      </c>
      <c r="F5206" t="s">
        <v>108</v>
      </c>
      <c r="H5206" t="s">
        <v>32241</v>
      </c>
      <c r="I5206" t="s">
        <v>453</v>
      </c>
      <c r="J5206" t="s">
        <v>111</v>
      </c>
      <c r="K5206" t="str">
        <f>"85381"</f>
        <v>85381</v>
      </c>
      <c r="L5206" t="s">
        <v>5464</v>
      </c>
      <c r="M5206" t="s">
        <v>32241</v>
      </c>
      <c r="N5206" t="s">
        <v>453</v>
      </c>
      <c r="O5206" t="s">
        <v>111</v>
      </c>
      <c r="P5206" t="str">
        <f>"85381-5387"</f>
        <v>85381-5387</v>
      </c>
      <c r="Q5206" t="s">
        <v>113</v>
      </c>
      <c r="R5206" t="str">
        <f>"200-77-788"</f>
        <v>200-77-788</v>
      </c>
      <c r="S5206" t="s">
        <v>22647</v>
      </c>
      <c r="T5206" t="s">
        <v>6871</v>
      </c>
      <c r="U5206">
        <v>1852</v>
      </c>
      <c r="V5206">
        <v>0</v>
      </c>
      <c r="W5206">
        <v>2</v>
      </c>
      <c r="X5206">
        <v>1986</v>
      </c>
      <c r="Z5206">
        <v>1</v>
      </c>
      <c r="AB5206">
        <v>0</v>
      </c>
      <c r="AC5206" t="s">
        <v>115</v>
      </c>
      <c r="AD5206">
        <v>2</v>
      </c>
      <c r="AE5206" t="s">
        <v>115</v>
      </c>
      <c r="AF5206">
        <v>0</v>
      </c>
      <c r="AG5206">
        <v>0</v>
      </c>
      <c r="AH5206" t="s">
        <v>116</v>
      </c>
      <c r="AI5206" s="1">
        <v>56621</v>
      </c>
      <c r="AJ5206" s="2">
        <v>0.2</v>
      </c>
      <c r="AK5206" s="1">
        <v>279232</v>
      </c>
      <c r="AL5206" t="s">
        <v>117</v>
      </c>
      <c r="AM5206" t="s">
        <v>171</v>
      </c>
      <c r="AN5206">
        <v>7856</v>
      </c>
      <c r="AO5206">
        <v>0.18</v>
      </c>
      <c r="AP5206">
        <v>1</v>
      </c>
      <c r="AR5206">
        <v>1</v>
      </c>
      <c r="AS5206" s="1">
        <v>18350</v>
      </c>
      <c r="AT5206" s="1">
        <v>3670</v>
      </c>
      <c r="AU5206" s="1">
        <v>14680</v>
      </c>
      <c r="AV5206">
        <v>80</v>
      </c>
      <c r="AX5206" s="1">
        <v>1339.52</v>
      </c>
      <c r="AY5206" t="s">
        <v>3359</v>
      </c>
      <c r="AZ5206" t="s">
        <v>3359</v>
      </c>
      <c r="BA5206" t="s">
        <v>3360</v>
      </c>
      <c r="BB5206" s="3">
        <v>42613</v>
      </c>
      <c r="BD5206" t="s">
        <v>240</v>
      </c>
      <c r="BE5206" s="3">
        <v>41670</v>
      </c>
      <c r="BF5206" s="1">
        <v>199000</v>
      </c>
      <c r="BG5206" t="s">
        <v>32242</v>
      </c>
      <c r="BH5206" s="1">
        <v>102.42</v>
      </c>
      <c r="BI5206" s="1">
        <v>222611</v>
      </c>
      <c r="BJ5206" s="3">
        <v>42613</v>
      </c>
      <c r="BK5206" t="s">
        <v>123</v>
      </c>
      <c r="BL5206" t="str">
        <f>"2016.628987"</f>
        <v>2016.628987</v>
      </c>
      <c r="BM5206" t="s">
        <v>2368</v>
      </c>
      <c r="BO5206" t="s">
        <v>32243</v>
      </c>
      <c r="BS5206">
        <v>30</v>
      </c>
      <c r="BW5206" t="str">
        <f>""</f>
        <v/>
      </c>
      <c r="CH5206" t="str">
        <f>""</f>
        <v/>
      </c>
      <c r="CS5206" t="str">
        <f>""</f>
        <v/>
      </c>
    </row>
    <row r="5207" spans="1:97" x14ac:dyDescent="0.25">
      <c r="A5207" t="s">
        <v>701</v>
      </c>
      <c r="B5207" t="s">
        <v>4137</v>
      </c>
      <c r="C5207" t="s">
        <v>2002</v>
      </c>
      <c r="D5207" t="s">
        <v>1445</v>
      </c>
      <c r="E5207" t="s">
        <v>32244</v>
      </c>
      <c r="F5207" t="s">
        <v>108</v>
      </c>
      <c r="H5207" t="s">
        <v>32245</v>
      </c>
      <c r="I5207" t="s">
        <v>110</v>
      </c>
      <c r="J5207" t="s">
        <v>111</v>
      </c>
      <c r="K5207" t="str">
        <f>"85249"</f>
        <v>85249</v>
      </c>
      <c r="L5207" t="s">
        <v>7904</v>
      </c>
      <c r="M5207" t="s">
        <v>32245</v>
      </c>
      <c r="N5207" t="s">
        <v>110</v>
      </c>
      <c r="O5207" t="s">
        <v>111</v>
      </c>
      <c r="P5207" t="str">
        <f>"85249-6907"</f>
        <v>85249-6907</v>
      </c>
      <c r="Q5207" t="s">
        <v>113</v>
      </c>
      <c r="R5207" t="str">
        <f>"303-58-281"</f>
        <v>303-58-281</v>
      </c>
      <c r="S5207" t="s">
        <v>32246</v>
      </c>
      <c r="T5207" t="s">
        <v>32247</v>
      </c>
      <c r="U5207">
        <v>2288</v>
      </c>
      <c r="V5207">
        <v>0</v>
      </c>
      <c r="W5207">
        <v>4</v>
      </c>
      <c r="X5207">
        <v>2003</v>
      </c>
      <c r="Z5207">
        <v>1</v>
      </c>
      <c r="AA5207" t="s">
        <v>26</v>
      </c>
      <c r="AB5207">
        <v>0</v>
      </c>
      <c r="AC5207" t="s">
        <v>115</v>
      </c>
      <c r="AD5207">
        <v>3</v>
      </c>
      <c r="AE5207" t="s">
        <v>115</v>
      </c>
      <c r="AF5207">
        <v>0</v>
      </c>
      <c r="AG5207">
        <v>0</v>
      </c>
      <c r="AH5207" t="s">
        <v>116</v>
      </c>
      <c r="AI5207" s="1">
        <v>76774</v>
      </c>
      <c r="AJ5207" s="2">
        <v>0.18</v>
      </c>
      <c r="AK5207" s="1">
        <v>425592</v>
      </c>
      <c r="AL5207" t="s">
        <v>117</v>
      </c>
      <c r="AM5207" t="s">
        <v>118</v>
      </c>
      <c r="AN5207">
        <v>8775</v>
      </c>
      <c r="AO5207">
        <v>0.2</v>
      </c>
      <c r="AP5207">
        <v>1</v>
      </c>
      <c r="AR5207">
        <v>1</v>
      </c>
      <c r="AS5207" s="1">
        <v>30500</v>
      </c>
      <c r="AT5207" s="1">
        <v>6100</v>
      </c>
      <c r="AU5207" s="1">
        <v>24400</v>
      </c>
      <c r="AV5207">
        <v>80</v>
      </c>
      <c r="AX5207" s="1">
        <v>2588.2199999999998</v>
      </c>
      <c r="AY5207" t="s">
        <v>119</v>
      </c>
      <c r="AZ5207" t="s">
        <v>120</v>
      </c>
      <c r="BA5207" t="s">
        <v>121</v>
      </c>
      <c r="BE5207" s="3">
        <v>42080</v>
      </c>
      <c r="BF5207" s="1">
        <v>298000</v>
      </c>
      <c r="BG5207" t="s">
        <v>32248</v>
      </c>
      <c r="BH5207" s="1">
        <v>130.24</v>
      </c>
      <c r="BI5207" s="1">
        <v>348818</v>
      </c>
      <c r="BJ5207" s="3">
        <v>42674</v>
      </c>
      <c r="BK5207" t="s">
        <v>123</v>
      </c>
      <c r="BL5207" t="str">
        <f>"2016.800020"</f>
        <v>2016.800020</v>
      </c>
      <c r="BM5207" t="s">
        <v>2748</v>
      </c>
      <c r="BO5207" t="s">
        <v>32249</v>
      </c>
      <c r="BP5207" t="s">
        <v>32250</v>
      </c>
      <c r="BS5207">
        <v>30</v>
      </c>
      <c r="BW5207" t="str">
        <f>""</f>
        <v/>
      </c>
      <c r="CH5207" t="str">
        <f>""</f>
        <v/>
      </c>
      <c r="CS5207" t="str">
        <f>""</f>
        <v/>
      </c>
    </row>
    <row r="5208" spans="1:97" x14ac:dyDescent="0.25">
      <c r="B5208" t="s">
        <v>32251</v>
      </c>
      <c r="C5208" t="s">
        <v>1126</v>
      </c>
      <c r="E5208" t="s">
        <v>32252</v>
      </c>
      <c r="F5208" t="s">
        <v>108</v>
      </c>
      <c r="H5208" t="s">
        <v>32253</v>
      </c>
      <c r="I5208" t="s">
        <v>632</v>
      </c>
      <c r="J5208" t="s">
        <v>111</v>
      </c>
      <c r="K5208" t="str">
        <f>"85379"</f>
        <v>85379</v>
      </c>
      <c r="L5208" t="s">
        <v>375</v>
      </c>
      <c r="M5208" t="s">
        <v>32253</v>
      </c>
      <c r="N5208" t="s">
        <v>632</v>
      </c>
      <c r="O5208" t="s">
        <v>111</v>
      </c>
      <c r="P5208" t="str">
        <f>"85379-9100"</f>
        <v>85379-9100</v>
      </c>
      <c r="Q5208" t="s">
        <v>113</v>
      </c>
      <c r="R5208" t="str">
        <f>"509-15-782"</f>
        <v>509-15-782</v>
      </c>
      <c r="S5208" t="s">
        <v>14562</v>
      </c>
      <c r="U5208">
        <v>1907</v>
      </c>
      <c r="V5208">
        <v>0</v>
      </c>
      <c r="W5208">
        <v>3</v>
      </c>
      <c r="X5208">
        <v>2013</v>
      </c>
      <c r="Z5208">
        <v>1</v>
      </c>
      <c r="AB5208">
        <v>0</v>
      </c>
      <c r="AC5208" t="s">
        <v>115</v>
      </c>
      <c r="AD5208">
        <v>2</v>
      </c>
      <c r="AE5208" t="s">
        <v>115</v>
      </c>
      <c r="AF5208">
        <v>0</v>
      </c>
      <c r="AG5208">
        <v>0</v>
      </c>
      <c r="AH5208" t="s">
        <v>116</v>
      </c>
      <c r="AI5208" s="1">
        <v>44977</v>
      </c>
      <c r="AJ5208" s="2">
        <v>0.15</v>
      </c>
      <c r="AK5208" s="1">
        <v>305293</v>
      </c>
      <c r="AL5208" t="s">
        <v>117</v>
      </c>
      <c r="AM5208" t="s">
        <v>118</v>
      </c>
      <c r="AN5208">
        <v>6600</v>
      </c>
      <c r="AO5208">
        <v>0.15</v>
      </c>
      <c r="AR5208">
        <v>1</v>
      </c>
      <c r="AS5208" s="1">
        <v>21430</v>
      </c>
      <c r="AT5208" s="1">
        <v>4280</v>
      </c>
      <c r="AU5208" s="1">
        <v>17150</v>
      </c>
      <c r="AV5208">
        <v>80.03</v>
      </c>
      <c r="AX5208" s="1">
        <v>2109.92</v>
      </c>
      <c r="AY5208" t="s">
        <v>634</v>
      </c>
      <c r="AZ5208" t="s">
        <v>634</v>
      </c>
      <c r="BA5208" t="s">
        <v>635</v>
      </c>
      <c r="BB5208" s="3">
        <v>43504</v>
      </c>
      <c r="BC5208" s="1">
        <v>0</v>
      </c>
      <c r="BD5208" t="s">
        <v>247</v>
      </c>
      <c r="BE5208" s="3">
        <v>41702</v>
      </c>
      <c r="BF5208" s="1">
        <v>230573</v>
      </c>
      <c r="BG5208" t="s">
        <v>636</v>
      </c>
      <c r="BH5208" s="1">
        <v>120.91</v>
      </c>
      <c r="BI5208" s="1">
        <v>260316</v>
      </c>
      <c r="BJ5208" s="3">
        <v>42762</v>
      </c>
      <c r="BK5208" t="s">
        <v>123</v>
      </c>
      <c r="BL5208" t="str">
        <f>"2017.63521"</f>
        <v>2017.63521</v>
      </c>
      <c r="BM5208" t="s">
        <v>309</v>
      </c>
      <c r="BN5208" t="s">
        <v>24042</v>
      </c>
      <c r="BO5208" t="s">
        <v>32254</v>
      </c>
      <c r="BS5208">
        <v>30</v>
      </c>
      <c r="BW5208" t="str">
        <f>""</f>
        <v/>
      </c>
      <c r="CH5208" t="str">
        <f>""</f>
        <v/>
      </c>
      <c r="CS5208" t="str">
        <f>""</f>
        <v/>
      </c>
    </row>
    <row r="5209" spans="1:97" x14ac:dyDescent="0.25">
      <c r="A5209" t="s">
        <v>2852</v>
      </c>
      <c r="B5209" t="s">
        <v>3296</v>
      </c>
      <c r="C5209" t="s">
        <v>1359</v>
      </c>
      <c r="D5209" t="s">
        <v>3296</v>
      </c>
      <c r="E5209" t="s">
        <v>32255</v>
      </c>
      <c r="F5209" t="s">
        <v>108</v>
      </c>
      <c r="H5209" t="s">
        <v>32256</v>
      </c>
      <c r="I5209" t="s">
        <v>632</v>
      </c>
      <c r="J5209" t="s">
        <v>111</v>
      </c>
      <c r="K5209" t="str">
        <f>"85388"</f>
        <v>85388</v>
      </c>
      <c r="L5209" t="s">
        <v>5429</v>
      </c>
      <c r="M5209" t="s">
        <v>32256</v>
      </c>
      <c r="N5209" t="s">
        <v>632</v>
      </c>
      <c r="O5209" t="s">
        <v>111</v>
      </c>
      <c r="P5209" t="str">
        <f>"85388"</f>
        <v>85388</v>
      </c>
      <c r="Q5209" t="s">
        <v>113</v>
      </c>
      <c r="R5209" t="str">
        <f>"502-01-584"</f>
        <v>502-01-584</v>
      </c>
      <c r="S5209" t="s">
        <v>32257</v>
      </c>
      <c r="U5209">
        <v>2428</v>
      </c>
      <c r="V5209">
        <v>0</v>
      </c>
      <c r="W5209">
        <v>4</v>
      </c>
      <c r="X5209">
        <v>2004</v>
      </c>
      <c r="Z5209">
        <v>2</v>
      </c>
      <c r="AA5209" t="s">
        <v>26</v>
      </c>
      <c r="AB5209">
        <v>0</v>
      </c>
      <c r="AC5209" t="s">
        <v>115</v>
      </c>
      <c r="AD5209">
        <v>2</v>
      </c>
      <c r="AE5209" t="s">
        <v>115</v>
      </c>
      <c r="AF5209">
        <v>0</v>
      </c>
      <c r="AG5209">
        <v>0</v>
      </c>
      <c r="AH5209" t="s">
        <v>116</v>
      </c>
      <c r="AI5209" s="1">
        <v>-11582</v>
      </c>
      <c r="AJ5209" s="2">
        <v>-0.04</v>
      </c>
      <c r="AK5209" s="1">
        <v>303483</v>
      </c>
      <c r="AL5209" t="s">
        <v>117</v>
      </c>
      <c r="AM5209" t="s">
        <v>118</v>
      </c>
      <c r="AN5209">
        <v>10067</v>
      </c>
      <c r="AO5209">
        <v>0.23</v>
      </c>
      <c r="AP5209">
        <v>1</v>
      </c>
      <c r="AR5209">
        <v>1</v>
      </c>
      <c r="AS5209" s="1">
        <v>21770</v>
      </c>
      <c r="AT5209" s="1">
        <v>4350</v>
      </c>
      <c r="AU5209" s="1">
        <v>17420</v>
      </c>
      <c r="AV5209">
        <v>80.02</v>
      </c>
      <c r="AX5209" s="1">
        <v>1646.82</v>
      </c>
      <c r="AY5209" t="s">
        <v>5432</v>
      </c>
      <c r="AZ5209" t="s">
        <v>5432</v>
      </c>
      <c r="BA5209" t="s">
        <v>5109</v>
      </c>
      <c r="BB5209" s="3">
        <v>42340</v>
      </c>
      <c r="BD5209" t="s">
        <v>458</v>
      </c>
      <c r="BE5209" s="3">
        <v>42101</v>
      </c>
      <c r="BF5209" s="1">
        <v>279995</v>
      </c>
      <c r="BG5209" t="s">
        <v>32258</v>
      </c>
      <c r="BH5209" s="1">
        <v>115.32</v>
      </c>
      <c r="BI5209" s="1">
        <v>315065</v>
      </c>
      <c r="BJ5209" s="3">
        <v>43320</v>
      </c>
      <c r="BK5209" t="s">
        <v>123</v>
      </c>
      <c r="BL5209" t="str">
        <f>"2018.599543"</f>
        <v>2018.599543</v>
      </c>
      <c r="BM5209" t="s">
        <v>13433</v>
      </c>
      <c r="BN5209" t="s">
        <v>1136</v>
      </c>
      <c r="BO5209" t="s">
        <v>32259</v>
      </c>
      <c r="BP5209" t="s">
        <v>32260</v>
      </c>
      <c r="BR5209" t="s">
        <v>139</v>
      </c>
      <c r="BW5209" t="str">
        <f>""</f>
        <v/>
      </c>
      <c r="CH5209" t="str">
        <f>""</f>
        <v/>
      </c>
      <c r="CS5209" t="str">
        <f>""</f>
        <v/>
      </c>
    </row>
    <row r="5210" spans="1:97" x14ac:dyDescent="0.25">
      <c r="A5210" t="s">
        <v>2762</v>
      </c>
      <c r="B5210" t="s">
        <v>1697</v>
      </c>
      <c r="C5210" t="s">
        <v>1906</v>
      </c>
      <c r="D5210" t="s">
        <v>1697</v>
      </c>
      <c r="E5210" t="s">
        <v>32261</v>
      </c>
      <c r="F5210" t="s">
        <v>139</v>
      </c>
      <c r="H5210" t="s">
        <v>32262</v>
      </c>
      <c r="I5210" t="s">
        <v>110</v>
      </c>
      <c r="J5210" t="s">
        <v>111</v>
      </c>
      <c r="K5210" t="str">
        <f>"85249"</f>
        <v>85249</v>
      </c>
      <c r="L5210" t="s">
        <v>6529</v>
      </c>
      <c r="M5210" t="s">
        <v>32263</v>
      </c>
      <c r="N5210" t="s">
        <v>110</v>
      </c>
      <c r="O5210" t="s">
        <v>111</v>
      </c>
      <c r="P5210" t="str">
        <f>"85249-4867"</f>
        <v>85249-4867</v>
      </c>
      <c r="Q5210" t="s">
        <v>113</v>
      </c>
      <c r="R5210" t="str">
        <f>"303-84-025"</f>
        <v>303-84-025</v>
      </c>
      <c r="S5210" t="s">
        <v>12470</v>
      </c>
      <c r="U5210">
        <v>2010</v>
      </c>
      <c r="V5210">
        <v>0</v>
      </c>
      <c r="W5210">
        <v>3</v>
      </c>
      <c r="X5210">
        <v>2001</v>
      </c>
      <c r="Z5210">
        <v>1</v>
      </c>
      <c r="AB5210">
        <v>0</v>
      </c>
      <c r="AC5210" t="s">
        <v>115</v>
      </c>
      <c r="AD5210">
        <v>2</v>
      </c>
      <c r="AE5210" t="s">
        <v>115</v>
      </c>
      <c r="AF5210">
        <v>0</v>
      </c>
      <c r="AG5210">
        <v>0</v>
      </c>
      <c r="AH5210" t="s">
        <v>116</v>
      </c>
      <c r="AI5210" s="1">
        <v>49244</v>
      </c>
      <c r="AJ5210" s="2">
        <v>0.15</v>
      </c>
      <c r="AK5210" s="1">
        <v>330220</v>
      </c>
      <c r="AL5210" t="s">
        <v>117</v>
      </c>
      <c r="AM5210" t="s">
        <v>118</v>
      </c>
      <c r="AN5210">
        <v>7073</v>
      </c>
      <c r="AO5210">
        <v>0.16</v>
      </c>
      <c r="AP5210">
        <v>1</v>
      </c>
      <c r="AR5210">
        <v>1</v>
      </c>
      <c r="AS5210" s="1">
        <v>23070</v>
      </c>
      <c r="AT5210" s="1">
        <v>4610</v>
      </c>
      <c r="AU5210" s="1">
        <v>18460</v>
      </c>
      <c r="AV5210">
        <v>80.02</v>
      </c>
      <c r="AX5210" s="1">
        <v>1829.94</v>
      </c>
      <c r="AY5210" t="s">
        <v>5050</v>
      </c>
      <c r="AZ5210" t="s">
        <v>120</v>
      </c>
      <c r="BA5210" t="s">
        <v>274</v>
      </c>
      <c r="BE5210" s="3">
        <v>42124</v>
      </c>
      <c r="BF5210" s="1">
        <v>243500</v>
      </c>
      <c r="BG5210" t="s">
        <v>16011</v>
      </c>
      <c r="BH5210" s="1">
        <v>121.14</v>
      </c>
      <c r="BI5210" s="1">
        <v>280976</v>
      </c>
      <c r="BJ5210" s="3">
        <v>42941</v>
      </c>
      <c r="BK5210" t="s">
        <v>123</v>
      </c>
      <c r="BL5210" t="str">
        <f>"2017.540913"</f>
        <v>2017.540913</v>
      </c>
      <c r="BM5210" t="s">
        <v>4885</v>
      </c>
      <c r="BO5210" t="s">
        <v>32264</v>
      </c>
      <c r="BS5210">
        <v>30</v>
      </c>
      <c r="BW5210" t="str">
        <f>""</f>
        <v/>
      </c>
      <c r="CH5210" t="str">
        <f>""</f>
        <v/>
      </c>
      <c r="CS5210" t="str">
        <f>""</f>
        <v/>
      </c>
    </row>
    <row r="5211" spans="1:97" x14ac:dyDescent="0.25">
      <c r="A5211" t="s">
        <v>1727</v>
      </c>
      <c r="B5211" t="s">
        <v>32265</v>
      </c>
      <c r="C5211" t="s">
        <v>1057</v>
      </c>
      <c r="D5211" t="s">
        <v>32265</v>
      </c>
      <c r="E5211" t="s">
        <v>32266</v>
      </c>
      <c r="F5211" t="s">
        <v>108</v>
      </c>
      <c r="H5211" t="s">
        <v>32267</v>
      </c>
      <c r="I5211" t="s">
        <v>110</v>
      </c>
      <c r="J5211" t="s">
        <v>111</v>
      </c>
      <c r="K5211" t="str">
        <f>"85249"</f>
        <v>85249</v>
      </c>
      <c r="L5211" t="s">
        <v>7904</v>
      </c>
      <c r="M5211" t="s">
        <v>32267</v>
      </c>
      <c r="N5211" t="s">
        <v>110</v>
      </c>
      <c r="O5211" t="s">
        <v>111</v>
      </c>
      <c r="P5211" t="str">
        <f>"85249-6955"</f>
        <v>85249-6955</v>
      </c>
      <c r="Q5211" t="s">
        <v>113</v>
      </c>
      <c r="R5211" t="str">
        <f>"303-58-386"</f>
        <v>303-58-386</v>
      </c>
      <c r="S5211" t="s">
        <v>32246</v>
      </c>
      <c r="T5211" t="s">
        <v>32247</v>
      </c>
      <c r="U5211">
        <v>2458</v>
      </c>
      <c r="V5211">
        <v>0</v>
      </c>
      <c r="W5211">
        <v>3</v>
      </c>
      <c r="X5211">
        <v>2004</v>
      </c>
      <c r="Z5211">
        <v>1</v>
      </c>
      <c r="AB5211">
        <v>0</v>
      </c>
      <c r="AC5211" t="s">
        <v>115</v>
      </c>
      <c r="AD5211">
        <v>3</v>
      </c>
      <c r="AE5211" t="s">
        <v>115</v>
      </c>
      <c r="AF5211">
        <v>0</v>
      </c>
      <c r="AG5211">
        <v>0</v>
      </c>
      <c r="AH5211" t="s">
        <v>116</v>
      </c>
      <c r="AI5211" s="1">
        <v>39989</v>
      </c>
      <c r="AJ5211" s="2">
        <v>0.1</v>
      </c>
      <c r="AK5211" s="1">
        <v>415989</v>
      </c>
      <c r="AL5211" t="s">
        <v>117</v>
      </c>
      <c r="AM5211" t="s">
        <v>118</v>
      </c>
      <c r="AN5211">
        <v>8775</v>
      </c>
      <c r="AO5211">
        <v>0.2</v>
      </c>
      <c r="AP5211">
        <v>1</v>
      </c>
      <c r="AR5211">
        <v>1</v>
      </c>
      <c r="AS5211" s="1">
        <v>29480</v>
      </c>
      <c r="AT5211" s="1">
        <v>5890</v>
      </c>
      <c r="AU5211" s="1">
        <v>23590</v>
      </c>
      <c r="AV5211">
        <v>80.02</v>
      </c>
      <c r="AX5211" s="1">
        <v>2638.7</v>
      </c>
      <c r="AY5211" t="s">
        <v>119</v>
      </c>
      <c r="AZ5211" t="s">
        <v>120</v>
      </c>
      <c r="BA5211" t="s">
        <v>121</v>
      </c>
      <c r="BB5211" s="3">
        <v>43024</v>
      </c>
      <c r="BD5211" t="s">
        <v>157</v>
      </c>
      <c r="BE5211" s="3">
        <v>42121</v>
      </c>
      <c r="BF5211" s="1">
        <v>319500</v>
      </c>
      <c r="BG5211" t="s">
        <v>32268</v>
      </c>
      <c r="BH5211" s="1">
        <v>129.97999999999999</v>
      </c>
      <c r="BI5211" s="1">
        <v>376000</v>
      </c>
      <c r="BJ5211" s="3">
        <v>43024</v>
      </c>
      <c r="BK5211" t="s">
        <v>123</v>
      </c>
      <c r="BL5211" t="str">
        <f>"2017.762977"</f>
        <v>2017.762977</v>
      </c>
      <c r="BM5211" t="s">
        <v>1249</v>
      </c>
      <c r="BO5211" t="s">
        <v>32269</v>
      </c>
      <c r="BS5211">
        <v>30</v>
      </c>
      <c r="BW5211" t="str">
        <f>""</f>
        <v/>
      </c>
      <c r="CH5211" t="str">
        <f>""</f>
        <v/>
      </c>
      <c r="CS5211" t="str">
        <f>""</f>
        <v/>
      </c>
    </row>
    <row r="5212" spans="1:97" x14ac:dyDescent="0.25">
      <c r="A5212" t="s">
        <v>1514</v>
      </c>
      <c r="B5212" t="s">
        <v>1027</v>
      </c>
      <c r="E5212" t="s">
        <v>32270</v>
      </c>
      <c r="F5212" t="s">
        <v>108</v>
      </c>
      <c r="H5212" t="s">
        <v>32271</v>
      </c>
      <c r="I5212" t="s">
        <v>390</v>
      </c>
      <c r="J5212" t="s">
        <v>111</v>
      </c>
      <c r="K5212" t="str">
        <f>"85050"</f>
        <v>85050</v>
      </c>
      <c r="L5212" t="s">
        <v>6325</v>
      </c>
      <c r="M5212" t="s">
        <v>32271</v>
      </c>
      <c r="N5212" t="s">
        <v>390</v>
      </c>
      <c r="O5212" t="s">
        <v>111</v>
      </c>
      <c r="P5212" t="str">
        <f>"85050-6154"</f>
        <v>85050-6154</v>
      </c>
      <c r="Q5212" t="s">
        <v>113</v>
      </c>
      <c r="R5212" t="str">
        <f>"212-34-398"</f>
        <v>212-34-398</v>
      </c>
      <c r="S5212" t="s">
        <v>32272</v>
      </c>
      <c r="U5212">
        <v>1322</v>
      </c>
      <c r="V5212">
        <v>0</v>
      </c>
      <c r="W5212">
        <v>3</v>
      </c>
      <c r="X5212">
        <v>1996</v>
      </c>
      <c r="Z5212">
        <v>1</v>
      </c>
      <c r="AA5212" t="s">
        <v>26</v>
      </c>
      <c r="AB5212">
        <v>0</v>
      </c>
      <c r="AC5212" t="s">
        <v>115</v>
      </c>
      <c r="AD5212">
        <v>2</v>
      </c>
      <c r="AE5212" t="s">
        <v>115</v>
      </c>
      <c r="AF5212">
        <v>0</v>
      </c>
      <c r="AG5212">
        <v>0</v>
      </c>
      <c r="AH5212" t="s">
        <v>116</v>
      </c>
      <c r="AI5212" s="1">
        <v>65994</v>
      </c>
      <c r="AJ5212" s="2">
        <v>0.18</v>
      </c>
      <c r="AK5212" s="1">
        <v>364579</v>
      </c>
      <c r="AL5212" t="s">
        <v>117</v>
      </c>
      <c r="AM5212" t="s">
        <v>3345</v>
      </c>
      <c r="AN5212">
        <v>4963</v>
      </c>
      <c r="AO5212">
        <v>0.11</v>
      </c>
      <c r="AP5212">
        <v>1</v>
      </c>
      <c r="AR5212">
        <v>1</v>
      </c>
      <c r="AS5212" s="1">
        <v>24850</v>
      </c>
      <c r="AT5212" s="1">
        <v>4970</v>
      </c>
      <c r="AU5212" s="1">
        <v>19880</v>
      </c>
      <c r="AV5212">
        <v>80</v>
      </c>
      <c r="AX5212" s="1">
        <v>2308.86</v>
      </c>
      <c r="AY5212" t="s">
        <v>6351</v>
      </c>
      <c r="AZ5212" t="s">
        <v>6352</v>
      </c>
      <c r="BA5212" t="s">
        <v>762</v>
      </c>
      <c r="BE5212" s="3">
        <v>41933</v>
      </c>
      <c r="BF5212" s="1">
        <v>293000</v>
      </c>
      <c r="BG5212" t="s">
        <v>32273</v>
      </c>
      <c r="BH5212" s="1">
        <v>221.63</v>
      </c>
      <c r="BI5212" s="1">
        <v>298585</v>
      </c>
      <c r="BJ5212" s="3">
        <v>42663</v>
      </c>
      <c r="BK5212" t="s">
        <v>123</v>
      </c>
      <c r="BL5212" t="str">
        <f>"2016.769443"</f>
        <v>2016.769443</v>
      </c>
      <c r="BM5212" t="s">
        <v>322</v>
      </c>
      <c r="BO5212" t="s">
        <v>32274</v>
      </c>
      <c r="BS5212">
        <v>30</v>
      </c>
      <c r="BW5212" t="str">
        <f>""</f>
        <v/>
      </c>
      <c r="CH5212" t="str">
        <f>""</f>
        <v/>
      </c>
      <c r="CS5212" t="str">
        <f>""</f>
        <v/>
      </c>
    </row>
    <row r="5213" spans="1:97" x14ac:dyDescent="0.25">
      <c r="A5213" t="s">
        <v>12439</v>
      </c>
      <c r="B5213" t="s">
        <v>32275</v>
      </c>
      <c r="E5213" t="s">
        <v>32276</v>
      </c>
      <c r="F5213" t="s">
        <v>108</v>
      </c>
      <c r="H5213" t="s">
        <v>32277</v>
      </c>
      <c r="I5213" t="s">
        <v>5387</v>
      </c>
      <c r="J5213" t="s">
        <v>111</v>
      </c>
      <c r="K5213" t="str">
        <f>"85281"</f>
        <v>85281</v>
      </c>
      <c r="L5213" t="s">
        <v>8199</v>
      </c>
      <c r="M5213" t="s">
        <v>32277</v>
      </c>
      <c r="N5213" t="s">
        <v>5387</v>
      </c>
      <c r="O5213" t="s">
        <v>111</v>
      </c>
      <c r="P5213" t="str">
        <f>"85281-3310"</f>
        <v>85281-3310</v>
      </c>
      <c r="Q5213" t="s">
        <v>113</v>
      </c>
      <c r="R5213" t="str">
        <f>"124-37-015"</f>
        <v>124-37-015</v>
      </c>
      <c r="S5213" t="s">
        <v>32229</v>
      </c>
      <c r="T5213" t="s">
        <v>32230</v>
      </c>
      <c r="U5213">
        <v>1498</v>
      </c>
      <c r="V5213">
        <v>0</v>
      </c>
      <c r="W5213">
        <v>2</v>
      </c>
      <c r="X5213">
        <v>1958</v>
      </c>
      <c r="Z5213">
        <v>1</v>
      </c>
      <c r="AA5213" t="s">
        <v>26</v>
      </c>
      <c r="AB5213">
        <v>0</v>
      </c>
      <c r="AC5213" t="s">
        <v>5188</v>
      </c>
      <c r="AD5213">
        <v>2</v>
      </c>
      <c r="AE5213" t="s">
        <v>5188</v>
      </c>
      <c r="AF5213">
        <v>0</v>
      </c>
      <c r="AG5213">
        <v>0</v>
      </c>
      <c r="AH5213" t="s">
        <v>5467</v>
      </c>
      <c r="AI5213" s="1">
        <v>84394</v>
      </c>
      <c r="AJ5213" s="2">
        <v>0.28000000000000003</v>
      </c>
      <c r="AK5213" s="1">
        <v>299394</v>
      </c>
      <c r="AL5213" t="s">
        <v>117</v>
      </c>
      <c r="AM5213" t="s">
        <v>191</v>
      </c>
      <c r="AN5213">
        <v>6835</v>
      </c>
      <c r="AO5213">
        <v>0.16</v>
      </c>
      <c r="AP5213">
        <v>1</v>
      </c>
      <c r="AR5213">
        <v>1</v>
      </c>
      <c r="AS5213" s="1">
        <v>19310</v>
      </c>
      <c r="AT5213" s="1">
        <v>3860</v>
      </c>
      <c r="AU5213" s="1">
        <v>15450</v>
      </c>
      <c r="AV5213">
        <v>80.010000000000005</v>
      </c>
      <c r="AX5213" s="1">
        <v>1400.88</v>
      </c>
      <c r="AY5213" t="s">
        <v>32231</v>
      </c>
      <c r="AZ5213" t="s">
        <v>9518</v>
      </c>
      <c r="BA5213" t="s">
        <v>9519</v>
      </c>
      <c r="BE5213" s="3">
        <v>41879</v>
      </c>
      <c r="BF5213" s="1">
        <v>215000</v>
      </c>
      <c r="BG5213" t="s">
        <v>32278</v>
      </c>
      <c r="BH5213" s="1">
        <v>143.52000000000001</v>
      </c>
      <c r="BI5213" s="1">
        <v>215000</v>
      </c>
      <c r="BJ5213" s="3">
        <v>41879</v>
      </c>
      <c r="BK5213" t="s">
        <v>123</v>
      </c>
      <c r="BL5213" t="str">
        <f>"2014.572150"</f>
        <v>2014.572150</v>
      </c>
      <c r="BM5213" t="s">
        <v>5253</v>
      </c>
      <c r="BO5213" t="s">
        <v>32279</v>
      </c>
      <c r="BS5213">
        <v>30</v>
      </c>
      <c r="BW5213" t="str">
        <f>""</f>
        <v/>
      </c>
      <c r="CH5213" t="str">
        <f>""</f>
        <v/>
      </c>
      <c r="CS5213" t="str">
        <f>""</f>
        <v/>
      </c>
    </row>
    <row r="5214" spans="1:97" x14ac:dyDescent="0.25">
      <c r="A5214" t="s">
        <v>1465</v>
      </c>
      <c r="B5214" t="s">
        <v>25052</v>
      </c>
      <c r="C5214" t="s">
        <v>1821</v>
      </c>
      <c r="D5214" t="s">
        <v>25052</v>
      </c>
      <c r="E5214" t="s">
        <v>32280</v>
      </c>
      <c r="F5214" t="s">
        <v>282</v>
      </c>
      <c r="H5214" t="s">
        <v>32281</v>
      </c>
      <c r="I5214" t="s">
        <v>632</v>
      </c>
      <c r="J5214" t="s">
        <v>111</v>
      </c>
      <c r="K5214" t="str">
        <f>"85388"</f>
        <v>85388</v>
      </c>
      <c r="L5214" t="s">
        <v>5429</v>
      </c>
      <c r="M5214" t="s">
        <v>32282</v>
      </c>
      <c r="N5214" t="s">
        <v>632</v>
      </c>
      <c r="O5214" t="s">
        <v>111</v>
      </c>
      <c r="P5214" t="str">
        <f>"85388-1277"</f>
        <v>85388-1277</v>
      </c>
      <c r="Q5214" t="s">
        <v>113</v>
      </c>
      <c r="R5214" t="str">
        <f>"502-01-722"</f>
        <v>502-01-722</v>
      </c>
      <c r="S5214" t="s">
        <v>32257</v>
      </c>
      <c r="T5214" t="s">
        <v>5431</v>
      </c>
      <c r="U5214">
        <v>2190</v>
      </c>
      <c r="V5214">
        <v>0</v>
      </c>
      <c r="W5214">
        <v>4</v>
      </c>
      <c r="X5214">
        <v>2004</v>
      </c>
      <c r="Z5214">
        <v>2</v>
      </c>
      <c r="AA5214" t="s">
        <v>26</v>
      </c>
      <c r="AB5214">
        <v>0</v>
      </c>
      <c r="AC5214" t="s">
        <v>115</v>
      </c>
      <c r="AD5214">
        <v>2</v>
      </c>
      <c r="AE5214" t="s">
        <v>115</v>
      </c>
      <c r="AF5214">
        <v>0</v>
      </c>
      <c r="AG5214">
        <v>0</v>
      </c>
      <c r="AH5214" t="s">
        <v>116</v>
      </c>
      <c r="AI5214" s="1">
        <v>35283</v>
      </c>
      <c r="AJ5214" s="2">
        <v>0.13</v>
      </c>
      <c r="AK5214" s="1">
        <v>280443</v>
      </c>
      <c r="AL5214" t="s">
        <v>117</v>
      </c>
      <c r="AM5214" t="s">
        <v>118</v>
      </c>
      <c r="AN5214">
        <v>4950</v>
      </c>
      <c r="AO5214">
        <v>0.11</v>
      </c>
      <c r="AR5214">
        <v>1</v>
      </c>
      <c r="AS5214" s="1">
        <v>19620</v>
      </c>
      <c r="AT5214" s="1">
        <v>3920</v>
      </c>
      <c r="AU5214" s="1">
        <v>15700</v>
      </c>
      <c r="AV5214">
        <v>80.02</v>
      </c>
      <c r="AX5214" s="1">
        <v>1406.32</v>
      </c>
      <c r="AY5214" t="s">
        <v>5432</v>
      </c>
      <c r="AZ5214" t="s">
        <v>5432</v>
      </c>
      <c r="BA5214" t="s">
        <v>5109</v>
      </c>
      <c r="BE5214" s="3">
        <v>42290</v>
      </c>
      <c r="BF5214" s="1">
        <v>240000</v>
      </c>
      <c r="BG5214" t="s">
        <v>32283</v>
      </c>
      <c r="BH5214" s="1">
        <v>109.59</v>
      </c>
      <c r="BI5214" s="1">
        <v>245160</v>
      </c>
      <c r="BJ5214" s="3">
        <v>42290</v>
      </c>
      <c r="BK5214" t="s">
        <v>123</v>
      </c>
      <c r="BL5214" t="str">
        <f>"2015.735577"</f>
        <v>2015.735577</v>
      </c>
      <c r="BM5214" t="s">
        <v>135</v>
      </c>
      <c r="BO5214" t="s">
        <v>32284</v>
      </c>
      <c r="BS5214">
        <v>30</v>
      </c>
      <c r="BW5214" t="str">
        <f>""</f>
        <v/>
      </c>
      <c r="CH5214" t="str">
        <f>""</f>
        <v/>
      </c>
      <c r="CS5214" t="str">
        <f>""</f>
        <v/>
      </c>
    </row>
    <row r="5215" spans="1:97" x14ac:dyDescent="0.25">
      <c r="A5215" t="s">
        <v>962</v>
      </c>
      <c r="B5215" t="s">
        <v>29775</v>
      </c>
      <c r="C5215" t="s">
        <v>1769</v>
      </c>
      <c r="D5215" t="s">
        <v>29775</v>
      </c>
      <c r="E5215" t="s">
        <v>32285</v>
      </c>
      <c r="F5215" t="s">
        <v>108</v>
      </c>
      <c r="H5215" t="s">
        <v>32286</v>
      </c>
      <c r="I5215" t="s">
        <v>225</v>
      </c>
      <c r="J5215" t="s">
        <v>111</v>
      </c>
      <c r="K5215" t="str">
        <f>"85204"</f>
        <v>85204</v>
      </c>
      <c r="L5215" t="s">
        <v>6631</v>
      </c>
      <c r="M5215" t="s">
        <v>32286</v>
      </c>
      <c r="N5215" t="s">
        <v>225</v>
      </c>
      <c r="O5215" t="s">
        <v>111</v>
      </c>
      <c r="P5215" t="str">
        <f>"85204-3908"</f>
        <v>85204-3908</v>
      </c>
      <c r="Q5215" t="s">
        <v>113</v>
      </c>
      <c r="R5215" t="str">
        <f>"140-40-280"</f>
        <v>140-40-280</v>
      </c>
      <c r="S5215" t="s">
        <v>32287</v>
      </c>
      <c r="U5215">
        <v>1988</v>
      </c>
      <c r="V5215">
        <v>0</v>
      </c>
      <c r="W5215">
        <v>2</v>
      </c>
      <c r="X5215">
        <v>1982</v>
      </c>
      <c r="Z5215">
        <v>1</v>
      </c>
      <c r="AB5215">
        <v>0</v>
      </c>
      <c r="AC5215" t="s">
        <v>5188</v>
      </c>
      <c r="AD5215">
        <v>2</v>
      </c>
      <c r="AE5215" t="s">
        <v>5188</v>
      </c>
      <c r="AF5215">
        <v>0</v>
      </c>
      <c r="AG5215">
        <v>0</v>
      </c>
      <c r="AH5215" t="s">
        <v>116</v>
      </c>
      <c r="AI5215" s="1">
        <v>40543</v>
      </c>
      <c r="AJ5215" s="2">
        <v>0.14000000000000001</v>
      </c>
      <c r="AK5215" s="1">
        <v>289186</v>
      </c>
      <c r="AL5215" t="s">
        <v>117</v>
      </c>
      <c r="AM5215" t="s">
        <v>393</v>
      </c>
      <c r="AN5215">
        <v>7888</v>
      </c>
      <c r="AO5215">
        <v>0.18</v>
      </c>
      <c r="AP5215">
        <v>1</v>
      </c>
      <c r="AR5215">
        <v>1</v>
      </c>
      <c r="AS5215" s="1">
        <v>19410</v>
      </c>
      <c r="AT5215" s="1">
        <v>3880</v>
      </c>
      <c r="AU5215" s="1">
        <v>15530</v>
      </c>
      <c r="AV5215">
        <v>80.010000000000005</v>
      </c>
      <c r="AX5215" s="1">
        <v>1422.9</v>
      </c>
      <c r="AY5215" t="s">
        <v>26822</v>
      </c>
      <c r="AZ5215" t="s">
        <v>5158</v>
      </c>
      <c r="BA5215" t="s">
        <v>5159</v>
      </c>
      <c r="BE5215" s="3">
        <v>41731</v>
      </c>
      <c r="BF5215" s="1">
        <v>170000</v>
      </c>
      <c r="BG5215" t="s">
        <v>32288</v>
      </c>
      <c r="BH5215" s="1">
        <v>85.51</v>
      </c>
      <c r="BI5215" s="1">
        <v>248643</v>
      </c>
      <c r="BJ5215" s="3">
        <v>43280</v>
      </c>
      <c r="BK5215" t="s">
        <v>123</v>
      </c>
      <c r="BL5215" t="str">
        <f>"2018.498581"</f>
        <v>2018.498581</v>
      </c>
      <c r="BM5215" t="s">
        <v>12201</v>
      </c>
      <c r="BN5215" t="s">
        <v>2188</v>
      </c>
      <c r="BO5215" t="s">
        <v>32289</v>
      </c>
      <c r="BP5215" t="s">
        <v>32290</v>
      </c>
      <c r="BR5215" t="s">
        <v>139</v>
      </c>
      <c r="BW5215" t="str">
        <f>""</f>
        <v/>
      </c>
      <c r="CH5215" t="str">
        <f>""</f>
        <v/>
      </c>
      <c r="CS5215" t="str">
        <f>""</f>
        <v/>
      </c>
    </row>
    <row r="5216" spans="1:97" x14ac:dyDescent="0.25">
      <c r="A5216" t="s">
        <v>1938</v>
      </c>
      <c r="B5216" t="s">
        <v>32291</v>
      </c>
      <c r="C5216" t="s">
        <v>1289</v>
      </c>
      <c r="D5216" t="s">
        <v>32291</v>
      </c>
      <c r="E5216" t="s">
        <v>32292</v>
      </c>
      <c r="F5216" t="s">
        <v>108</v>
      </c>
      <c r="H5216" t="s">
        <v>32293</v>
      </c>
      <c r="I5216" t="s">
        <v>110</v>
      </c>
      <c r="J5216" t="s">
        <v>111</v>
      </c>
      <c r="K5216" t="str">
        <f>"85249"</f>
        <v>85249</v>
      </c>
      <c r="L5216" t="s">
        <v>6595</v>
      </c>
      <c r="M5216" t="s">
        <v>32293</v>
      </c>
      <c r="N5216" t="s">
        <v>110</v>
      </c>
      <c r="O5216" t="s">
        <v>111</v>
      </c>
      <c r="P5216" t="str">
        <f>"85249-7139"</f>
        <v>85249-7139</v>
      </c>
      <c r="Q5216" t="s">
        <v>113</v>
      </c>
      <c r="R5216" t="str">
        <f>"304-84-689"</f>
        <v>304-84-689</v>
      </c>
      <c r="S5216" t="s">
        <v>32218</v>
      </c>
      <c r="U5216">
        <v>2052</v>
      </c>
      <c r="V5216">
        <v>0</v>
      </c>
      <c r="W5216">
        <v>3</v>
      </c>
      <c r="X5216">
        <v>2002</v>
      </c>
      <c r="Z5216">
        <v>1</v>
      </c>
      <c r="AB5216">
        <v>0</v>
      </c>
      <c r="AC5216" t="s">
        <v>115</v>
      </c>
      <c r="AD5216">
        <v>2</v>
      </c>
      <c r="AE5216" t="s">
        <v>115</v>
      </c>
      <c r="AF5216">
        <v>0</v>
      </c>
      <c r="AG5216">
        <v>0</v>
      </c>
      <c r="AH5216" t="s">
        <v>116</v>
      </c>
      <c r="AI5216" s="1">
        <v>57371</v>
      </c>
      <c r="AJ5216" s="2">
        <v>0.17</v>
      </c>
      <c r="AK5216" s="1">
        <v>333611</v>
      </c>
      <c r="AL5216" t="s">
        <v>117</v>
      </c>
      <c r="AM5216" t="s">
        <v>118</v>
      </c>
      <c r="AN5216">
        <v>8732</v>
      </c>
      <c r="AO5216">
        <v>0.2</v>
      </c>
      <c r="AP5216">
        <v>1</v>
      </c>
      <c r="AR5216">
        <v>1</v>
      </c>
      <c r="AS5216" s="1">
        <v>23060</v>
      </c>
      <c r="AT5216" s="1">
        <v>4610</v>
      </c>
      <c r="AU5216" s="1">
        <v>18450</v>
      </c>
      <c r="AV5216">
        <v>80.010000000000005</v>
      </c>
      <c r="AX5216" s="1">
        <v>1450.08</v>
      </c>
      <c r="AY5216" t="s">
        <v>6269</v>
      </c>
      <c r="AZ5216" t="s">
        <v>273</v>
      </c>
      <c r="BA5216" t="s">
        <v>274</v>
      </c>
      <c r="BE5216" s="3">
        <v>41964</v>
      </c>
      <c r="BF5216" s="1">
        <v>242500</v>
      </c>
      <c r="BG5216" t="s">
        <v>32294</v>
      </c>
      <c r="BH5216" s="1">
        <v>118.18</v>
      </c>
      <c r="BI5216" s="1">
        <v>250240</v>
      </c>
      <c r="BJ5216" s="3">
        <v>42615</v>
      </c>
      <c r="BK5216" t="s">
        <v>123</v>
      </c>
      <c r="BL5216" t="str">
        <f>"2016.638882"</f>
        <v>2016.638882</v>
      </c>
      <c r="BM5216" t="s">
        <v>135</v>
      </c>
      <c r="BN5216" t="s">
        <v>136</v>
      </c>
      <c r="BO5216" t="s">
        <v>32295</v>
      </c>
      <c r="BS5216">
        <v>30</v>
      </c>
      <c r="BT5216" s="1">
        <v>26000</v>
      </c>
      <c r="BU5216" s="3">
        <v>43670</v>
      </c>
      <c r="BW5216" t="str">
        <f>"2019.557923"</f>
        <v>2019.557923</v>
      </c>
      <c r="BX5216" t="s">
        <v>1639</v>
      </c>
      <c r="BY5216" t="s">
        <v>1640</v>
      </c>
      <c r="BZ5216" t="s">
        <v>32296</v>
      </c>
      <c r="CA5216" t="s">
        <v>32297</v>
      </c>
      <c r="CC5216" t="s">
        <v>346</v>
      </c>
      <c r="CH5216" t="str">
        <f>""</f>
        <v/>
      </c>
      <c r="CS5216" t="str">
        <f>""</f>
        <v/>
      </c>
    </row>
    <row r="5217" spans="1:97" x14ac:dyDescent="0.25">
      <c r="A5217" t="s">
        <v>32298</v>
      </c>
      <c r="B5217" t="s">
        <v>7106</v>
      </c>
      <c r="E5217" t="s">
        <v>32299</v>
      </c>
      <c r="F5217" t="s">
        <v>108</v>
      </c>
      <c r="H5217" t="s">
        <v>32300</v>
      </c>
      <c r="I5217" t="s">
        <v>5114</v>
      </c>
      <c r="J5217" t="s">
        <v>111</v>
      </c>
      <c r="K5217" t="str">
        <f>"85392"</f>
        <v>85392</v>
      </c>
      <c r="L5217" t="s">
        <v>5687</v>
      </c>
      <c r="M5217" t="s">
        <v>32300</v>
      </c>
      <c r="N5217" t="s">
        <v>5114</v>
      </c>
      <c r="O5217" t="s">
        <v>111</v>
      </c>
      <c r="P5217" t="str">
        <f>"85392-3402"</f>
        <v>85392-3402</v>
      </c>
      <c r="Q5217" t="s">
        <v>113</v>
      </c>
      <c r="R5217" t="str">
        <f>"102-28-779"</f>
        <v>102-28-779</v>
      </c>
      <c r="S5217" t="s">
        <v>8234</v>
      </c>
      <c r="T5217" t="s">
        <v>8235</v>
      </c>
      <c r="U5217">
        <v>2205</v>
      </c>
      <c r="V5217">
        <v>0</v>
      </c>
      <c r="W5217">
        <v>4</v>
      </c>
      <c r="X5217">
        <v>1987</v>
      </c>
      <c r="Z5217">
        <v>2</v>
      </c>
      <c r="AA5217" t="s">
        <v>26</v>
      </c>
      <c r="AB5217">
        <v>0</v>
      </c>
      <c r="AC5217" t="s">
        <v>115</v>
      </c>
      <c r="AD5217">
        <v>2</v>
      </c>
      <c r="AE5217" t="s">
        <v>115</v>
      </c>
      <c r="AF5217">
        <v>0</v>
      </c>
      <c r="AG5217">
        <v>0</v>
      </c>
      <c r="AH5217" t="s">
        <v>116</v>
      </c>
      <c r="AI5217" s="1">
        <v>66296</v>
      </c>
      <c r="AJ5217" s="2">
        <v>0.24</v>
      </c>
      <c r="AK5217" s="1">
        <v>280811</v>
      </c>
      <c r="AL5217" t="s">
        <v>117</v>
      </c>
      <c r="AM5217" t="s">
        <v>118</v>
      </c>
      <c r="AN5217">
        <v>6835</v>
      </c>
      <c r="AO5217">
        <v>0.16</v>
      </c>
      <c r="AP5217">
        <v>1</v>
      </c>
      <c r="AR5217">
        <v>1</v>
      </c>
      <c r="AS5217" s="1">
        <v>19610</v>
      </c>
      <c r="AT5217" s="1">
        <v>3920</v>
      </c>
      <c r="AU5217" s="1">
        <v>15690</v>
      </c>
      <c r="AV5217">
        <v>80.010000000000005</v>
      </c>
      <c r="AX5217" s="1">
        <v>1983.44</v>
      </c>
      <c r="AY5217" t="s">
        <v>8084</v>
      </c>
      <c r="AZ5217" t="s">
        <v>8084</v>
      </c>
      <c r="BA5217" t="s">
        <v>5118</v>
      </c>
      <c r="BE5217" s="3">
        <v>42020</v>
      </c>
      <c r="BF5217" s="1">
        <v>210000</v>
      </c>
      <c r="BG5217" t="s">
        <v>32301</v>
      </c>
      <c r="BH5217" s="1">
        <v>95.24</v>
      </c>
      <c r="BI5217" s="1">
        <v>214515</v>
      </c>
      <c r="BJ5217" s="3">
        <v>42020</v>
      </c>
      <c r="BK5217" t="s">
        <v>123</v>
      </c>
      <c r="BL5217" t="str">
        <f>"2015.32071"</f>
        <v>2015.32071</v>
      </c>
      <c r="BM5217" t="s">
        <v>8868</v>
      </c>
      <c r="BO5217" t="s">
        <v>32302</v>
      </c>
      <c r="BS5217">
        <v>30</v>
      </c>
      <c r="BW5217" t="str">
        <f>""</f>
        <v/>
      </c>
      <c r="CH5217" t="str">
        <f>""</f>
        <v/>
      </c>
      <c r="CS5217" t="str">
        <f>""</f>
        <v/>
      </c>
    </row>
    <row r="5218" spans="1:97" x14ac:dyDescent="0.25">
      <c r="A5218" t="s">
        <v>32303</v>
      </c>
      <c r="B5218" t="s">
        <v>25632</v>
      </c>
      <c r="E5218" t="s">
        <v>32304</v>
      </c>
      <c r="F5218" t="s">
        <v>108</v>
      </c>
      <c r="H5218" t="s">
        <v>32305</v>
      </c>
      <c r="I5218" t="s">
        <v>390</v>
      </c>
      <c r="J5218" t="s">
        <v>111</v>
      </c>
      <c r="K5218" t="str">
        <f>"85023"</f>
        <v>85023</v>
      </c>
      <c r="L5218" t="s">
        <v>9368</v>
      </c>
      <c r="M5218" t="s">
        <v>32305</v>
      </c>
      <c r="N5218" t="s">
        <v>390</v>
      </c>
      <c r="O5218" t="s">
        <v>111</v>
      </c>
      <c r="P5218" t="str">
        <f>"85023-6585"</f>
        <v>85023-6585</v>
      </c>
      <c r="Q5218" t="s">
        <v>113</v>
      </c>
      <c r="R5218" t="str">
        <f>"208-10-343"</f>
        <v>208-10-343</v>
      </c>
      <c r="S5218" t="s">
        <v>32306</v>
      </c>
      <c r="T5218" t="s">
        <v>32307</v>
      </c>
      <c r="U5218">
        <v>1264</v>
      </c>
      <c r="V5218">
        <v>0</v>
      </c>
      <c r="W5218">
        <v>3</v>
      </c>
      <c r="X5218">
        <v>1996</v>
      </c>
      <c r="Z5218">
        <v>1</v>
      </c>
      <c r="AB5218">
        <v>0</v>
      </c>
      <c r="AC5218" t="s">
        <v>115</v>
      </c>
      <c r="AD5218">
        <v>2</v>
      </c>
      <c r="AE5218" t="s">
        <v>115</v>
      </c>
      <c r="AF5218">
        <v>0</v>
      </c>
      <c r="AG5218">
        <v>0</v>
      </c>
      <c r="AH5218" t="s">
        <v>116</v>
      </c>
      <c r="AI5218" s="1">
        <v>-1404</v>
      </c>
      <c r="AJ5218" s="2">
        <v>-0.01</v>
      </c>
      <c r="AK5218" s="1">
        <v>254780</v>
      </c>
      <c r="AL5218" t="s">
        <v>117</v>
      </c>
      <c r="AM5218" t="s">
        <v>191</v>
      </c>
      <c r="AN5218">
        <v>5518</v>
      </c>
      <c r="AO5218">
        <v>0.13</v>
      </c>
      <c r="AP5218">
        <v>1</v>
      </c>
      <c r="AR5218">
        <v>1</v>
      </c>
      <c r="AS5218" s="1">
        <v>17810</v>
      </c>
      <c r="AT5218" s="1">
        <v>3560</v>
      </c>
      <c r="AU5218" s="1">
        <v>14250</v>
      </c>
      <c r="AV5218">
        <v>80.010000000000005</v>
      </c>
      <c r="AX5218" s="1">
        <v>1398.64</v>
      </c>
      <c r="AY5218" t="s">
        <v>12571</v>
      </c>
      <c r="AZ5218" t="s">
        <v>2550</v>
      </c>
      <c r="BA5218" t="s">
        <v>2551</v>
      </c>
      <c r="BE5218" s="3">
        <v>41765</v>
      </c>
      <c r="BF5218" s="1">
        <v>173000</v>
      </c>
      <c r="BG5218" t="s">
        <v>32308</v>
      </c>
      <c r="BH5218" s="1">
        <v>136.87</v>
      </c>
      <c r="BI5218" s="1">
        <v>256184</v>
      </c>
      <c r="BJ5218" s="3">
        <v>43403</v>
      </c>
      <c r="BK5218" t="s">
        <v>123</v>
      </c>
      <c r="BL5218" t="str">
        <f>"2018.808959"</f>
        <v>2018.808959</v>
      </c>
      <c r="BM5218" t="s">
        <v>3040</v>
      </c>
      <c r="BN5218" t="s">
        <v>3041</v>
      </c>
      <c r="BO5218" t="s">
        <v>32309</v>
      </c>
      <c r="BR5218" t="s">
        <v>139</v>
      </c>
      <c r="BW5218" t="str">
        <f>""</f>
        <v/>
      </c>
      <c r="CH5218" t="str">
        <f>""</f>
        <v/>
      </c>
      <c r="CS5218" t="str">
        <f>""</f>
        <v/>
      </c>
    </row>
    <row r="5219" spans="1:97" x14ac:dyDescent="0.25">
      <c r="A5219" t="s">
        <v>4221</v>
      </c>
      <c r="B5219" t="s">
        <v>32310</v>
      </c>
      <c r="C5219" t="s">
        <v>1995</v>
      </c>
      <c r="D5219" t="s">
        <v>32310</v>
      </c>
      <c r="E5219" t="s">
        <v>32311</v>
      </c>
      <c r="F5219" t="s">
        <v>108</v>
      </c>
      <c r="H5219" t="s">
        <v>32312</v>
      </c>
      <c r="I5219" t="s">
        <v>110</v>
      </c>
      <c r="J5219" t="s">
        <v>111</v>
      </c>
      <c r="K5219" t="str">
        <f>"85286"</f>
        <v>85286</v>
      </c>
      <c r="L5219" t="s">
        <v>3530</v>
      </c>
      <c r="M5219" t="s">
        <v>32312</v>
      </c>
      <c r="N5219" t="s">
        <v>110</v>
      </c>
      <c r="O5219" t="s">
        <v>111</v>
      </c>
      <c r="P5219" t="str">
        <f>"85286-1021"</f>
        <v>85286-1021</v>
      </c>
      <c r="Q5219" t="s">
        <v>113</v>
      </c>
      <c r="R5219" t="str">
        <f>"303-28-103"</f>
        <v>303-28-103</v>
      </c>
      <c r="S5219" t="s">
        <v>32313</v>
      </c>
      <c r="U5219">
        <v>1691</v>
      </c>
      <c r="V5219">
        <v>0</v>
      </c>
      <c r="W5219">
        <v>2</v>
      </c>
      <c r="X5219">
        <v>1979</v>
      </c>
      <c r="Z5219">
        <v>1</v>
      </c>
      <c r="AA5219" t="s">
        <v>26</v>
      </c>
      <c r="AB5219">
        <v>0</v>
      </c>
      <c r="AC5219" t="s">
        <v>5188</v>
      </c>
      <c r="AD5219">
        <v>2</v>
      </c>
      <c r="AE5219" t="s">
        <v>5188</v>
      </c>
      <c r="AF5219">
        <v>0</v>
      </c>
      <c r="AG5219">
        <v>0</v>
      </c>
      <c r="AH5219" t="s">
        <v>116</v>
      </c>
      <c r="AI5219" s="1">
        <v>25622</v>
      </c>
      <c r="AJ5219" s="2">
        <v>0.06</v>
      </c>
      <c r="AK5219" s="1">
        <v>432218</v>
      </c>
      <c r="AL5219" t="s">
        <v>117</v>
      </c>
      <c r="AM5219" t="s">
        <v>32314</v>
      </c>
      <c r="AN5219">
        <v>36194</v>
      </c>
      <c r="AO5219">
        <v>0.83</v>
      </c>
      <c r="AP5219">
        <v>1</v>
      </c>
      <c r="AR5219">
        <v>1</v>
      </c>
      <c r="AS5219" s="1">
        <v>29010</v>
      </c>
      <c r="AT5219" s="1">
        <v>5800</v>
      </c>
      <c r="AU5219" s="1">
        <v>23210</v>
      </c>
      <c r="AV5219">
        <v>80.010000000000005</v>
      </c>
      <c r="AX5219" s="1">
        <v>2201.34</v>
      </c>
      <c r="AY5219" t="s">
        <v>25405</v>
      </c>
      <c r="AZ5219" t="s">
        <v>1882</v>
      </c>
      <c r="BA5219" t="s">
        <v>121</v>
      </c>
      <c r="BB5219" s="3">
        <v>42759</v>
      </c>
      <c r="BD5219" t="s">
        <v>458</v>
      </c>
      <c r="BE5219" s="3">
        <v>42461</v>
      </c>
      <c r="BF5219" s="1">
        <v>402000</v>
      </c>
      <c r="BG5219" t="s">
        <v>32315</v>
      </c>
      <c r="BH5219" s="1">
        <v>275.52999999999997</v>
      </c>
      <c r="BI5219" s="1">
        <v>406596</v>
      </c>
      <c r="BJ5219" s="3">
        <v>42759</v>
      </c>
      <c r="BK5219" t="s">
        <v>123</v>
      </c>
      <c r="BL5219" t="str">
        <f>"2017.56151"</f>
        <v>2017.56151</v>
      </c>
      <c r="BM5219" t="s">
        <v>402</v>
      </c>
      <c r="BO5219" t="s">
        <v>32316</v>
      </c>
      <c r="BS5219">
        <v>30</v>
      </c>
      <c r="BW5219" t="str">
        <f>""</f>
        <v/>
      </c>
      <c r="CH5219" t="str">
        <f>""</f>
        <v/>
      </c>
      <c r="CS5219" t="str">
        <f>""</f>
        <v/>
      </c>
    </row>
    <row r="5220" spans="1:97" x14ac:dyDescent="0.25">
      <c r="A5220" t="s">
        <v>815</v>
      </c>
      <c r="B5220" t="s">
        <v>32317</v>
      </c>
      <c r="C5220" t="s">
        <v>21504</v>
      </c>
      <c r="D5220" t="s">
        <v>32317</v>
      </c>
      <c r="E5220" t="s">
        <v>32318</v>
      </c>
      <c r="F5220" t="s">
        <v>108</v>
      </c>
      <c r="H5220" t="s">
        <v>32319</v>
      </c>
      <c r="I5220" t="s">
        <v>144</v>
      </c>
      <c r="J5220" t="s">
        <v>111</v>
      </c>
      <c r="K5220" t="str">
        <f>"85396"</f>
        <v>85396</v>
      </c>
      <c r="L5220" t="s">
        <v>5893</v>
      </c>
      <c r="M5220" t="s">
        <v>32319</v>
      </c>
      <c r="N5220" t="s">
        <v>144</v>
      </c>
      <c r="O5220" t="s">
        <v>111</v>
      </c>
      <c r="P5220" t="str">
        <f>"85396-7151"</f>
        <v>85396-7151</v>
      </c>
      <c r="Q5220" t="s">
        <v>113</v>
      </c>
      <c r="R5220" t="str">
        <f>"504-07-267"</f>
        <v>504-07-267</v>
      </c>
      <c r="S5220" t="s">
        <v>9710</v>
      </c>
      <c r="U5220">
        <v>2800</v>
      </c>
      <c r="V5220">
        <v>0</v>
      </c>
      <c r="W5220">
        <v>4</v>
      </c>
      <c r="X5220">
        <v>2006</v>
      </c>
      <c r="Z5220">
        <v>2</v>
      </c>
      <c r="AA5220" t="s">
        <v>26</v>
      </c>
      <c r="AB5220">
        <v>0</v>
      </c>
      <c r="AC5220" t="s">
        <v>115</v>
      </c>
      <c r="AD5220">
        <v>2</v>
      </c>
      <c r="AE5220" t="s">
        <v>115</v>
      </c>
      <c r="AF5220">
        <v>0</v>
      </c>
      <c r="AG5220">
        <v>0</v>
      </c>
      <c r="AH5220" t="s">
        <v>116</v>
      </c>
      <c r="AI5220" s="1">
        <v>64476</v>
      </c>
      <c r="AJ5220" s="2">
        <v>0.24</v>
      </c>
      <c r="AK5220" s="1">
        <v>268927</v>
      </c>
      <c r="AL5220" t="s">
        <v>117</v>
      </c>
      <c r="AM5220" t="s">
        <v>118</v>
      </c>
      <c r="AN5220">
        <v>7173</v>
      </c>
      <c r="AO5220">
        <v>0.16</v>
      </c>
      <c r="AP5220">
        <v>1</v>
      </c>
      <c r="AR5220">
        <v>1</v>
      </c>
      <c r="AS5220" s="1">
        <v>17570</v>
      </c>
      <c r="AT5220" s="1">
        <v>3510</v>
      </c>
      <c r="AU5220" s="1">
        <v>14060</v>
      </c>
      <c r="AV5220">
        <v>80.02</v>
      </c>
      <c r="AX5220" s="1">
        <v>1563.96</v>
      </c>
      <c r="AY5220" t="s">
        <v>147</v>
      </c>
      <c r="AZ5220" t="s">
        <v>147</v>
      </c>
      <c r="BA5220" t="s">
        <v>148</v>
      </c>
      <c r="BE5220" s="3">
        <v>41817</v>
      </c>
      <c r="BF5220" s="1">
        <v>200000</v>
      </c>
      <c r="BG5220" t="s">
        <v>32320</v>
      </c>
      <c r="BH5220" s="1">
        <v>71.430000000000007</v>
      </c>
      <c r="BI5220" s="1">
        <v>204451</v>
      </c>
      <c r="BJ5220" s="3">
        <v>42067</v>
      </c>
      <c r="BK5220" t="s">
        <v>123</v>
      </c>
      <c r="BL5220" t="str">
        <f>"2015.144174"</f>
        <v>2015.144174</v>
      </c>
      <c r="BM5220" t="s">
        <v>1185</v>
      </c>
      <c r="BO5220" t="s">
        <v>32321</v>
      </c>
      <c r="BS5220">
        <v>30</v>
      </c>
      <c r="BW5220" t="str">
        <f>""</f>
        <v/>
      </c>
      <c r="CH5220" t="str">
        <f>""</f>
        <v/>
      </c>
      <c r="CS5220" t="str">
        <f>""</f>
        <v/>
      </c>
    </row>
    <row r="5221" spans="1:97" x14ac:dyDescent="0.25">
      <c r="A5221" t="s">
        <v>2640</v>
      </c>
      <c r="B5221" t="s">
        <v>32322</v>
      </c>
      <c r="E5221" t="s">
        <v>32323</v>
      </c>
      <c r="F5221" t="s">
        <v>108</v>
      </c>
      <c r="H5221" t="s">
        <v>32324</v>
      </c>
      <c r="I5221" t="s">
        <v>5387</v>
      </c>
      <c r="J5221" t="s">
        <v>111</v>
      </c>
      <c r="K5221" t="str">
        <f>"85282"</f>
        <v>85282</v>
      </c>
      <c r="L5221" t="s">
        <v>9597</v>
      </c>
      <c r="M5221" t="s">
        <v>32324</v>
      </c>
      <c r="N5221" t="s">
        <v>5387</v>
      </c>
      <c r="O5221" t="s">
        <v>111</v>
      </c>
      <c r="P5221" t="str">
        <f>"85282-3809"</f>
        <v>85282-3809</v>
      </c>
      <c r="Q5221" t="s">
        <v>113</v>
      </c>
      <c r="R5221" t="str">
        <f>"133-32-124"</f>
        <v>133-32-124</v>
      </c>
      <c r="S5221" t="s">
        <v>32325</v>
      </c>
      <c r="T5221" t="s">
        <v>32326</v>
      </c>
      <c r="U5221">
        <v>1762</v>
      </c>
      <c r="V5221">
        <v>0</v>
      </c>
      <c r="W5221">
        <v>2</v>
      </c>
      <c r="X5221">
        <v>1966</v>
      </c>
      <c r="Z5221">
        <v>1</v>
      </c>
      <c r="AA5221" t="s">
        <v>26</v>
      </c>
      <c r="AB5221">
        <v>0</v>
      </c>
      <c r="AC5221" t="s">
        <v>115</v>
      </c>
      <c r="AD5221">
        <v>2</v>
      </c>
      <c r="AE5221" t="s">
        <v>115</v>
      </c>
      <c r="AF5221">
        <v>0</v>
      </c>
      <c r="AG5221">
        <v>0</v>
      </c>
      <c r="AH5221" t="s">
        <v>116</v>
      </c>
      <c r="AI5221" s="1">
        <v>94589</v>
      </c>
      <c r="AJ5221" s="2">
        <v>0.28000000000000003</v>
      </c>
      <c r="AK5221" s="1">
        <v>338893</v>
      </c>
      <c r="AL5221" t="s">
        <v>117</v>
      </c>
      <c r="AM5221" t="s">
        <v>191</v>
      </c>
      <c r="AN5221">
        <v>8477</v>
      </c>
      <c r="AO5221">
        <v>0.2</v>
      </c>
      <c r="AP5221">
        <v>1</v>
      </c>
      <c r="AR5221">
        <v>1</v>
      </c>
      <c r="AS5221" s="1">
        <v>24880</v>
      </c>
      <c r="AT5221" s="1">
        <v>4970</v>
      </c>
      <c r="AU5221" s="1">
        <v>19910</v>
      </c>
      <c r="AV5221">
        <v>80.02</v>
      </c>
      <c r="AX5221" s="1">
        <v>2103.92</v>
      </c>
      <c r="AY5221" t="s">
        <v>11072</v>
      </c>
      <c r="AZ5221" t="s">
        <v>11073</v>
      </c>
      <c r="BA5221" t="s">
        <v>10858</v>
      </c>
      <c r="BE5221" s="3">
        <v>42436</v>
      </c>
      <c r="BF5221" s="1">
        <v>236500</v>
      </c>
      <c r="BG5221" t="s">
        <v>32327</v>
      </c>
      <c r="BH5221" s="1">
        <v>134.22</v>
      </c>
      <c r="BI5221" s="1">
        <v>244304</v>
      </c>
      <c r="BJ5221" s="3">
        <v>42436</v>
      </c>
      <c r="BK5221" t="s">
        <v>123</v>
      </c>
      <c r="BL5221" t="str">
        <f>"2016.146661"</f>
        <v>2016.146661</v>
      </c>
      <c r="BM5221" t="s">
        <v>1154</v>
      </c>
      <c r="BO5221" t="s">
        <v>32328</v>
      </c>
      <c r="BS5221">
        <v>30</v>
      </c>
      <c r="BW5221" t="str">
        <f>""</f>
        <v/>
      </c>
      <c r="CH5221" t="str">
        <f>""</f>
        <v/>
      </c>
      <c r="CS5221" t="str">
        <f>""</f>
        <v/>
      </c>
    </row>
    <row r="5222" spans="1:97" x14ac:dyDescent="0.25">
      <c r="A5222" t="s">
        <v>489</v>
      </c>
      <c r="B5222" t="s">
        <v>32329</v>
      </c>
      <c r="E5222" t="s">
        <v>32330</v>
      </c>
      <c r="F5222" t="s">
        <v>108</v>
      </c>
      <c r="H5222" t="s">
        <v>32331</v>
      </c>
      <c r="I5222" t="s">
        <v>2874</v>
      </c>
      <c r="J5222" t="s">
        <v>111</v>
      </c>
      <c r="K5222" t="str">
        <f>"85308"</f>
        <v>85308</v>
      </c>
      <c r="L5222" t="s">
        <v>6308</v>
      </c>
      <c r="M5222" t="s">
        <v>32331</v>
      </c>
      <c r="N5222" t="s">
        <v>2874</v>
      </c>
      <c r="O5222" t="s">
        <v>111</v>
      </c>
      <c r="P5222" t="str">
        <f>"85308-6020"</f>
        <v>85308-6020</v>
      </c>
      <c r="Q5222" t="s">
        <v>113</v>
      </c>
      <c r="R5222" t="str">
        <f>"200-30-232"</f>
        <v>200-30-232</v>
      </c>
      <c r="S5222" t="s">
        <v>32332</v>
      </c>
      <c r="T5222" t="s">
        <v>20828</v>
      </c>
      <c r="U5222">
        <v>1302</v>
      </c>
      <c r="V5222">
        <v>0</v>
      </c>
      <c r="W5222">
        <v>3</v>
      </c>
      <c r="X5222">
        <v>1989</v>
      </c>
      <c r="Z5222">
        <v>1</v>
      </c>
      <c r="AB5222">
        <v>0</v>
      </c>
      <c r="AC5222" t="s">
        <v>115</v>
      </c>
      <c r="AD5222">
        <v>2</v>
      </c>
      <c r="AE5222" t="s">
        <v>115</v>
      </c>
      <c r="AF5222">
        <v>0</v>
      </c>
      <c r="AG5222">
        <v>0</v>
      </c>
      <c r="AH5222" t="s">
        <v>116</v>
      </c>
      <c r="AI5222" s="1">
        <v>49585</v>
      </c>
      <c r="AJ5222" s="2">
        <v>0.19</v>
      </c>
      <c r="AK5222" s="1">
        <v>254585</v>
      </c>
      <c r="AL5222" t="s">
        <v>117</v>
      </c>
      <c r="AM5222" t="s">
        <v>191</v>
      </c>
      <c r="AN5222">
        <v>5598</v>
      </c>
      <c r="AO5222">
        <v>0.13</v>
      </c>
      <c r="AP5222">
        <v>1</v>
      </c>
      <c r="AR5222">
        <v>1</v>
      </c>
      <c r="AS5222" s="1">
        <v>17380</v>
      </c>
      <c r="AT5222" s="1">
        <v>3470</v>
      </c>
      <c r="AU5222" s="1">
        <v>13910</v>
      </c>
      <c r="AV5222">
        <v>80.03</v>
      </c>
      <c r="AX5222" s="1">
        <v>1475.96</v>
      </c>
      <c r="AY5222" t="s">
        <v>8400</v>
      </c>
      <c r="AZ5222" t="s">
        <v>8400</v>
      </c>
      <c r="BA5222" t="s">
        <v>2223</v>
      </c>
      <c r="BE5222" s="3">
        <v>42073</v>
      </c>
      <c r="BF5222" s="1">
        <v>205000</v>
      </c>
      <c r="BG5222" t="s">
        <v>32333</v>
      </c>
      <c r="BH5222" s="1">
        <v>157.44999999999999</v>
      </c>
      <c r="BI5222" s="1">
        <v>205000</v>
      </c>
      <c r="BJ5222" s="3">
        <v>42073</v>
      </c>
      <c r="BK5222" t="s">
        <v>123</v>
      </c>
      <c r="BL5222" t="str">
        <f>"2015.158817"</f>
        <v>2015.158817</v>
      </c>
      <c r="BM5222" t="s">
        <v>3810</v>
      </c>
      <c r="BO5222" t="s">
        <v>32334</v>
      </c>
      <c r="BS5222">
        <v>30</v>
      </c>
      <c r="BW5222" t="str">
        <f>""</f>
        <v/>
      </c>
      <c r="CH5222" t="str">
        <f>""</f>
        <v/>
      </c>
      <c r="CS5222" t="str">
        <f>""</f>
        <v/>
      </c>
    </row>
    <row r="5223" spans="1:97" x14ac:dyDescent="0.25">
      <c r="A5223" t="s">
        <v>370</v>
      </c>
      <c r="B5223" t="s">
        <v>1262</v>
      </c>
      <c r="D5223" t="s">
        <v>32335</v>
      </c>
      <c r="E5223" t="s">
        <v>32336</v>
      </c>
      <c r="F5223" t="s">
        <v>108</v>
      </c>
      <c r="H5223" t="s">
        <v>32337</v>
      </c>
      <c r="I5223" t="s">
        <v>499</v>
      </c>
      <c r="J5223" t="s">
        <v>111</v>
      </c>
      <c r="K5223" t="str">
        <f>"85338"</f>
        <v>85338</v>
      </c>
      <c r="L5223" t="s">
        <v>5325</v>
      </c>
      <c r="M5223" t="s">
        <v>32337</v>
      </c>
      <c r="N5223" t="s">
        <v>499</v>
      </c>
      <c r="O5223" t="s">
        <v>111</v>
      </c>
      <c r="P5223" t="str">
        <f>"85338-4807"</f>
        <v>85338-4807</v>
      </c>
      <c r="Q5223" t="s">
        <v>113</v>
      </c>
      <c r="R5223" t="str">
        <f>"400-79-279"</f>
        <v>400-79-279</v>
      </c>
      <c r="S5223" t="s">
        <v>9901</v>
      </c>
      <c r="T5223" t="s">
        <v>9895</v>
      </c>
      <c r="U5223">
        <v>1629</v>
      </c>
      <c r="V5223">
        <v>0</v>
      </c>
      <c r="W5223">
        <v>3</v>
      </c>
      <c r="X5223">
        <v>1999</v>
      </c>
      <c r="Z5223">
        <v>1</v>
      </c>
      <c r="AA5223" t="s">
        <v>26</v>
      </c>
      <c r="AB5223">
        <v>0</v>
      </c>
      <c r="AC5223" t="s">
        <v>115</v>
      </c>
      <c r="AD5223">
        <v>2</v>
      </c>
      <c r="AE5223" t="s">
        <v>115</v>
      </c>
      <c r="AF5223">
        <v>0</v>
      </c>
      <c r="AG5223">
        <v>0</v>
      </c>
      <c r="AH5223" t="s">
        <v>116</v>
      </c>
      <c r="AI5223" s="1">
        <v>61075</v>
      </c>
      <c r="AJ5223" s="2">
        <v>0.21</v>
      </c>
      <c r="AK5223" s="1">
        <v>285805</v>
      </c>
      <c r="AL5223" t="s">
        <v>117</v>
      </c>
      <c r="AM5223" t="s">
        <v>118</v>
      </c>
      <c r="AN5223">
        <v>10028</v>
      </c>
      <c r="AO5223">
        <v>0.23</v>
      </c>
      <c r="AP5223">
        <v>1</v>
      </c>
      <c r="AR5223">
        <v>1</v>
      </c>
      <c r="AS5223" s="1">
        <v>20050</v>
      </c>
      <c r="AT5223" s="1">
        <v>4010</v>
      </c>
      <c r="AU5223" s="1">
        <v>16040</v>
      </c>
      <c r="AV5223">
        <v>80</v>
      </c>
      <c r="AX5223" s="1">
        <v>1777.64</v>
      </c>
      <c r="AY5223" t="s">
        <v>4236</v>
      </c>
      <c r="AZ5223" t="s">
        <v>4236</v>
      </c>
      <c r="BA5223" t="s">
        <v>1247</v>
      </c>
      <c r="BB5223" s="3">
        <v>43069</v>
      </c>
      <c r="BD5223" t="s">
        <v>157</v>
      </c>
      <c r="BE5223" s="3">
        <v>41807</v>
      </c>
      <c r="BF5223" s="1">
        <v>220000</v>
      </c>
      <c r="BG5223" t="s">
        <v>32338</v>
      </c>
      <c r="BH5223" s="1">
        <v>135.05000000000001</v>
      </c>
      <c r="BI5223" s="1">
        <v>224730</v>
      </c>
      <c r="BJ5223" s="3">
        <v>41807</v>
      </c>
      <c r="BK5223" t="s">
        <v>123</v>
      </c>
      <c r="BL5223" t="str">
        <f>"2014.393258"</f>
        <v>2014.393258</v>
      </c>
      <c r="BM5223" t="s">
        <v>724</v>
      </c>
      <c r="BO5223" t="s">
        <v>32339</v>
      </c>
      <c r="BS5223">
        <v>30</v>
      </c>
      <c r="BW5223" t="str">
        <f>""</f>
        <v/>
      </c>
      <c r="CH5223" t="str">
        <f>""</f>
        <v/>
      </c>
      <c r="CS5223" t="str">
        <f>""</f>
        <v/>
      </c>
    </row>
    <row r="5224" spans="1:97" x14ac:dyDescent="0.25">
      <c r="A5224" t="s">
        <v>2045</v>
      </c>
      <c r="B5224" t="s">
        <v>32340</v>
      </c>
      <c r="E5224" t="s">
        <v>32341</v>
      </c>
      <c r="F5224" t="s">
        <v>108</v>
      </c>
      <c r="H5224" t="s">
        <v>32342</v>
      </c>
      <c r="I5224" t="s">
        <v>144</v>
      </c>
      <c r="J5224" t="s">
        <v>111</v>
      </c>
      <c r="K5224" t="str">
        <f>"85326"</f>
        <v>85326</v>
      </c>
      <c r="L5224" t="s">
        <v>32343</v>
      </c>
      <c r="M5224" t="s">
        <v>32342</v>
      </c>
      <c r="N5224" t="s">
        <v>144</v>
      </c>
      <c r="O5224" t="s">
        <v>111</v>
      </c>
      <c r="P5224" t="str">
        <f>"85326-4198"</f>
        <v>85326-4198</v>
      </c>
      <c r="Q5224" t="s">
        <v>113</v>
      </c>
      <c r="R5224" t="str">
        <f>"400-52-969-R"</f>
        <v>400-52-969-R</v>
      </c>
      <c r="U5224">
        <v>1686</v>
      </c>
      <c r="V5224">
        <v>0</v>
      </c>
      <c r="W5224">
        <v>3</v>
      </c>
      <c r="X5224">
        <v>2005</v>
      </c>
      <c r="Z5224">
        <v>1</v>
      </c>
      <c r="AB5224">
        <v>0</v>
      </c>
      <c r="AC5224" t="s">
        <v>115</v>
      </c>
      <c r="AD5224">
        <v>2</v>
      </c>
      <c r="AE5224" t="s">
        <v>115</v>
      </c>
      <c r="AF5224">
        <v>0</v>
      </c>
      <c r="AG5224">
        <v>0</v>
      </c>
      <c r="AH5224" t="s">
        <v>116</v>
      </c>
      <c r="AI5224" s="1">
        <v>57250</v>
      </c>
      <c r="AJ5224" s="2">
        <v>0.21</v>
      </c>
      <c r="AK5224" s="1">
        <v>278502</v>
      </c>
      <c r="AL5224" t="s">
        <v>117</v>
      </c>
      <c r="AM5224" t="s">
        <v>3973</v>
      </c>
      <c r="AN5224">
        <v>49478</v>
      </c>
      <c r="AO5224">
        <v>1.1399999999999999</v>
      </c>
      <c r="AR5224">
        <v>1</v>
      </c>
      <c r="AS5224" s="1">
        <v>18680</v>
      </c>
      <c r="AT5224" s="1">
        <v>3730</v>
      </c>
      <c r="AU5224" s="1">
        <v>14950</v>
      </c>
      <c r="AV5224">
        <v>80.03</v>
      </c>
      <c r="AX5224" s="1">
        <v>1784.72</v>
      </c>
      <c r="AY5224" t="s">
        <v>3038</v>
      </c>
      <c r="AZ5224" t="s">
        <v>3038</v>
      </c>
      <c r="BA5224" t="s">
        <v>1247</v>
      </c>
      <c r="BE5224" s="3">
        <v>42170</v>
      </c>
      <c r="BF5224" s="1">
        <v>220000</v>
      </c>
      <c r="BG5224" t="s">
        <v>32344</v>
      </c>
      <c r="BH5224" s="1">
        <v>130.49</v>
      </c>
      <c r="BI5224" s="1">
        <v>221252</v>
      </c>
      <c r="BJ5224" s="3">
        <v>42650</v>
      </c>
      <c r="BK5224" t="s">
        <v>123</v>
      </c>
      <c r="BL5224" t="str">
        <f>"2016.736653"</f>
        <v>2016.736653</v>
      </c>
      <c r="BM5224" t="s">
        <v>1998</v>
      </c>
      <c r="BO5224" t="s">
        <v>32345</v>
      </c>
      <c r="BS5224">
        <v>30</v>
      </c>
      <c r="BW5224" t="str">
        <f>""</f>
        <v/>
      </c>
      <c r="CH5224" t="str">
        <f>""</f>
        <v/>
      </c>
      <c r="CS5224" t="str">
        <f>""</f>
        <v/>
      </c>
    </row>
    <row r="5225" spans="1:97" x14ac:dyDescent="0.25">
      <c r="A5225" t="s">
        <v>4169</v>
      </c>
      <c r="B5225" t="s">
        <v>511</v>
      </c>
      <c r="E5225" t="s">
        <v>32346</v>
      </c>
      <c r="F5225" t="s">
        <v>108</v>
      </c>
      <c r="H5225" t="s">
        <v>32347</v>
      </c>
      <c r="I5225" t="s">
        <v>6844</v>
      </c>
      <c r="J5225" t="s">
        <v>111</v>
      </c>
      <c r="K5225" t="str">
        <f>"85361"</f>
        <v>85361</v>
      </c>
      <c r="L5225" t="s">
        <v>734</v>
      </c>
      <c r="M5225" t="s">
        <v>32347</v>
      </c>
      <c r="N5225" t="s">
        <v>6844</v>
      </c>
      <c r="O5225" t="s">
        <v>111</v>
      </c>
      <c r="P5225" t="str">
        <f>"85361-9839"</f>
        <v>85361-9839</v>
      </c>
      <c r="Q5225" t="s">
        <v>113</v>
      </c>
      <c r="R5225" t="str">
        <f>"503-32-078-K"</f>
        <v>503-32-078-K</v>
      </c>
      <c r="U5225">
        <v>2152</v>
      </c>
      <c r="V5225">
        <v>0</v>
      </c>
      <c r="W5225">
        <v>3</v>
      </c>
      <c r="X5225">
        <v>2005</v>
      </c>
      <c r="Z5225">
        <v>1</v>
      </c>
      <c r="AB5225">
        <v>0</v>
      </c>
      <c r="AC5225" t="s">
        <v>115</v>
      </c>
      <c r="AD5225">
        <v>4</v>
      </c>
      <c r="AE5225" t="s">
        <v>115</v>
      </c>
      <c r="AF5225">
        <v>0</v>
      </c>
      <c r="AG5225">
        <v>0</v>
      </c>
      <c r="AH5225" t="s">
        <v>116</v>
      </c>
      <c r="AI5225" s="1">
        <v>70105</v>
      </c>
      <c r="AJ5225" s="2">
        <v>0.2</v>
      </c>
      <c r="AK5225" s="1">
        <v>359423</v>
      </c>
      <c r="AL5225" t="s">
        <v>117</v>
      </c>
      <c r="AM5225" t="s">
        <v>376</v>
      </c>
      <c r="AN5225">
        <v>60125</v>
      </c>
      <c r="AO5225">
        <v>1.38</v>
      </c>
      <c r="AR5225">
        <v>1</v>
      </c>
      <c r="AS5225" s="1">
        <v>26610</v>
      </c>
      <c r="AT5225" s="1">
        <v>5320</v>
      </c>
      <c r="AU5225" s="1">
        <v>21290</v>
      </c>
      <c r="AV5225">
        <v>80.010000000000005</v>
      </c>
      <c r="AX5225" s="1">
        <v>1767.26</v>
      </c>
      <c r="AY5225" t="s">
        <v>6847</v>
      </c>
      <c r="AZ5225" t="s">
        <v>6847</v>
      </c>
      <c r="BE5225" s="3">
        <v>42346</v>
      </c>
      <c r="BF5225" s="1">
        <v>287000</v>
      </c>
      <c r="BG5225" t="s">
        <v>32348</v>
      </c>
      <c r="BH5225" s="1">
        <v>133.36000000000001</v>
      </c>
      <c r="BI5225" s="1">
        <v>289318</v>
      </c>
      <c r="BJ5225" s="3">
        <v>43067</v>
      </c>
      <c r="BK5225" t="s">
        <v>123</v>
      </c>
      <c r="BL5225" t="str">
        <f>"2017.876617"</f>
        <v>2017.876617</v>
      </c>
      <c r="BM5225" t="s">
        <v>724</v>
      </c>
      <c r="BO5225" t="s">
        <v>32349</v>
      </c>
      <c r="BP5225" t="s">
        <v>32350</v>
      </c>
      <c r="BS5225">
        <v>30</v>
      </c>
      <c r="BW5225" t="str">
        <f>""</f>
        <v/>
      </c>
      <c r="CH5225" t="str">
        <f>""</f>
        <v/>
      </c>
      <c r="CS5225" t="str">
        <f>""</f>
        <v/>
      </c>
    </row>
    <row r="5226" spans="1:97" x14ac:dyDescent="0.25">
      <c r="A5226" t="s">
        <v>548</v>
      </c>
      <c r="B5226" t="s">
        <v>603</v>
      </c>
      <c r="E5226" t="s">
        <v>24303</v>
      </c>
      <c r="F5226" t="s">
        <v>108</v>
      </c>
      <c r="H5226" t="s">
        <v>32351</v>
      </c>
      <c r="I5226" t="s">
        <v>390</v>
      </c>
      <c r="J5226" t="s">
        <v>111</v>
      </c>
      <c r="K5226" t="str">
        <f>"85086"</f>
        <v>85086</v>
      </c>
      <c r="L5226" t="s">
        <v>15336</v>
      </c>
      <c r="M5226" t="s">
        <v>32351</v>
      </c>
      <c r="N5226" t="s">
        <v>390</v>
      </c>
      <c r="O5226" t="s">
        <v>111</v>
      </c>
      <c r="P5226" t="str">
        <f>"85086-4500"</f>
        <v>85086-4500</v>
      </c>
      <c r="Q5226" t="s">
        <v>113</v>
      </c>
      <c r="R5226" t="str">
        <f>"203-33-010-G"</f>
        <v>203-33-010-G</v>
      </c>
      <c r="U5226">
        <v>2147</v>
      </c>
      <c r="V5226">
        <v>0</v>
      </c>
      <c r="W5226">
        <v>3</v>
      </c>
      <c r="X5226">
        <v>2002</v>
      </c>
      <c r="Z5226">
        <v>1</v>
      </c>
      <c r="AB5226">
        <v>0</v>
      </c>
      <c r="AC5226" t="s">
        <v>115</v>
      </c>
      <c r="AD5226">
        <v>3</v>
      </c>
      <c r="AE5226" t="s">
        <v>115</v>
      </c>
      <c r="AF5226">
        <v>0</v>
      </c>
      <c r="AG5226">
        <v>0</v>
      </c>
      <c r="AH5226" t="s">
        <v>116</v>
      </c>
      <c r="AI5226" s="1">
        <v>112766</v>
      </c>
      <c r="AJ5226" s="2">
        <v>0.25</v>
      </c>
      <c r="AK5226" s="1">
        <v>458821</v>
      </c>
      <c r="AL5226" t="s">
        <v>117</v>
      </c>
      <c r="AM5226" t="s">
        <v>376</v>
      </c>
      <c r="AN5226">
        <v>61523</v>
      </c>
      <c r="AO5226">
        <v>1.41</v>
      </c>
      <c r="AP5226">
        <v>1</v>
      </c>
      <c r="AR5226">
        <v>1</v>
      </c>
      <c r="AS5226" s="1">
        <v>33630</v>
      </c>
      <c r="AT5226" s="1">
        <v>6720</v>
      </c>
      <c r="AU5226" s="1">
        <v>26910</v>
      </c>
      <c r="AV5226">
        <v>80.02</v>
      </c>
      <c r="AX5226" s="1">
        <v>2972.9</v>
      </c>
      <c r="AY5226" t="s">
        <v>8639</v>
      </c>
      <c r="AZ5226" t="s">
        <v>8639</v>
      </c>
      <c r="BA5226" t="s">
        <v>378</v>
      </c>
      <c r="BE5226" s="3">
        <v>42321</v>
      </c>
      <c r="BF5226" s="1">
        <v>335000</v>
      </c>
      <c r="BG5226" t="s">
        <v>32352</v>
      </c>
      <c r="BH5226" s="1">
        <v>156.03</v>
      </c>
      <c r="BI5226" s="1">
        <v>346055</v>
      </c>
      <c r="BJ5226" s="3">
        <v>42321</v>
      </c>
      <c r="BK5226" t="s">
        <v>123</v>
      </c>
      <c r="BL5226" t="str">
        <f>"2015.815136"</f>
        <v>2015.815136</v>
      </c>
      <c r="BM5226" t="s">
        <v>544</v>
      </c>
      <c r="BO5226" t="s">
        <v>32353</v>
      </c>
      <c r="BS5226">
        <v>30</v>
      </c>
      <c r="BW5226" t="str">
        <f>""</f>
        <v/>
      </c>
      <c r="CH5226" t="str">
        <f>""</f>
        <v/>
      </c>
      <c r="CS5226" t="str">
        <f>""</f>
        <v/>
      </c>
    </row>
    <row r="5227" spans="1:97" x14ac:dyDescent="0.25">
      <c r="A5227" t="s">
        <v>32354</v>
      </c>
      <c r="B5227" t="s">
        <v>348</v>
      </c>
      <c r="C5227" t="s">
        <v>2719</v>
      </c>
      <c r="D5227" t="s">
        <v>348</v>
      </c>
      <c r="E5227" t="s">
        <v>32355</v>
      </c>
      <c r="F5227" t="s">
        <v>108</v>
      </c>
      <c r="H5227" t="s">
        <v>32356</v>
      </c>
      <c r="I5227" t="s">
        <v>110</v>
      </c>
      <c r="J5227" t="s">
        <v>111</v>
      </c>
      <c r="K5227" t="str">
        <f>"85249"</f>
        <v>85249</v>
      </c>
      <c r="L5227" t="s">
        <v>681</v>
      </c>
      <c r="M5227" t="s">
        <v>32356</v>
      </c>
      <c r="N5227" t="s">
        <v>110</v>
      </c>
      <c r="O5227" t="s">
        <v>111</v>
      </c>
      <c r="P5227" t="str">
        <f>"85249-5195"</f>
        <v>85249-5195</v>
      </c>
      <c r="Q5227" t="s">
        <v>113</v>
      </c>
      <c r="R5227" t="str">
        <f>"303-47-103"</f>
        <v>303-47-103</v>
      </c>
      <c r="S5227" t="s">
        <v>12011</v>
      </c>
      <c r="T5227" t="s">
        <v>12011</v>
      </c>
      <c r="U5227">
        <v>2698</v>
      </c>
      <c r="V5227">
        <v>0</v>
      </c>
      <c r="W5227">
        <v>4</v>
      </c>
      <c r="X5227">
        <v>2007</v>
      </c>
      <c r="Z5227">
        <v>1</v>
      </c>
      <c r="AA5227" t="s">
        <v>26</v>
      </c>
      <c r="AB5227">
        <v>0</v>
      </c>
      <c r="AC5227" t="s">
        <v>115</v>
      </c>
      <c r="AD5227">
        <v>3</v>
      </c>
      <c r="AE5227" t="s">
        <v>115</v>
      </c>
      <c r="AF5227">
        <v>0</v>
      </c>
      <c r="AG5227">
        <v>0</v>
      </c>
      <c r="AH5227" t="s">
        <v>116</v>
      </c>
      <c r="AI5227" s="1">
        <v>35778</v>
      </c>
      <c r="AJ5227" s="2">
        <v>0.08</v>
      </c>
      <c r="AK5227" s="1">
        <v>466539</v>
      </c>
      <c r="AL5227" t="s">
        <v>117</v>
      </c>
      <c r="AM5227" t="s">
        <v>118</v>
      </c>
      <c r="AN5227">
        <v>9482</v>
      </c>
      <c r="AO5227">
        <v>0.22</v>
      </c>
      <c r="AR5227">
        <v>1</v>
      </c>
      <c r="AS5227" s="1">
        <v>38510</v>
      </c>
      <c r="AT5227" s="1">
        <v>7700</v>
      </c>
      <c r="AU5227" s="1">
        <v>30810</v>
      </c>
      <c r="AV5227">
        <v>80.010000000000005</v>
      </c>
      <c r="AX5227" s="1">
        <v>3564.3</v>
      </c>
      <c r="AY5227" t="s">
        <v>6854</v>
      </c>
      <c r="AZ5227" t="s">
        <v>120</v>
      </c>
      <c r="BA5227" t="s">
        <v>274</v>
      </c>
      <c r="BE5227" s="3">
        <v>41773</v>
      </c>
      <c r="BF5227" s="1">
        <v>367161</v>
      </c>
      <c r="BG5227" t="s">
        <v>32357</v>
      </c>
      <c r="BH5227" s="1">
        <v>136.09</v>
      </c>
      <c r="BI5227" s="1">
        <v>430761</v>
      </c>
      <c r="BJ5227" s="3">
        <v>42598</v>
      </c>
      <c r="BK5227" t="s">
        <v>123</v>
      </c>
      <c r="BL5227" t="str">
        <f>"2016.586498"</f>
        <v>2016.586498</v>
      </c>
      <c r="BM5227" t="s">
        <v>2107</v>
      </c>
      <c r="BO5227" t="s">
        <v>32358</v>
      </c>
      <c r="BS5227">
        <v>30</v>
      </c>
      <c r="BW5227" t="str">
        <f>""</f>
        <v/>
      </c>
      <c r="CH5227" t="str">
        <f>""</f>
        <v/>
      </c>
      <c r="CS5227" t="str">
        <f>""</f>
        <v/>
      </c>
    </row>
    <row r="5228" spans="1:97" x14ac:dyDescent="0.25">
      <c r="A5228" t="s">
        <v>305</v>
      </c>
      <c r="B5228" t="s">
        <v>32359</v>
      </c>
      <c r="C5228" t="s">
        <v>2719</v>
      </c>
      <c r="D5228" t="s">
        <v>32359</v>
      </c>
      <c r="E5228" t="s">
        <v>32360</v>
      </c>
      <c r="F5228" t="s">
        <v>108</v>
      </c>
      <c r="H5228" t="s">
        <v>32361</v>
      </c>
      <c r="I5228" t="s">
        <v>1397</v>
      </c>
      <c r="J5228" t="s">
        <v>111</v>
      </c>
      <c r="K5228" t="str">
        <f>"85331"</f>
        <v>85331</v>
      </c>
      <c r="L5228" t="s">
        <v>17926</v>
      </c>
      <c r="M5228" t="s">
        <v>32361</v>
      </c>
      <c r="N5228" t="s">
        <v>1397</v>
      </c>
      <c r="O5228" t="s">
        <v>111</v>
      </c>
      <c r="P5228" t="str">
        <f>"85331-3310"</f>
        <v>85331-3310</v>
      </c>
      <c r="Q5228" t="s">
        <v>113</v>
      </c>
      <c r="R5228" t="str">
        <f>"211-42-477"</f>
        <v>211-42-477</v>
      </c>
      <c r="S5228" t="s">
        <v>26281</v>
      </c>
      <c r="U5228">
        <v>2539</v>
      </c>
      <c r="V5228">
        <v>0</v>
      </c>
      <c r="W5228">
        <v>3</v>
      </c>
      <c r="X5228">
        <v>1998</v>
      </c>
      <c r="Z5228">
        <v>1</v>
      </c>
      <c r="AA5228" t="s">
        <v>26</v>
      </c>
      <c r="AB5228">
        <v>0</v>
      </c>
      <c r="AC5228" t="s">
        <v>115</v>
      </c>
      <c r="AD5228">
        <v>3</v>
      </c>
      <c r="AE5228" t="s">
        <v>115</v>
      </c>
      <c r="AF5228">
        <v>0</v>
      </c>
      <c r="AG5228">
        <v>0</v>
      </c>
      <c r="AH5228" t="s">
        <v>116</v>
      </c>
      <c r="AI5228" s="1">
        <v>80227</v>
      </c>
      <c r="AJ5228" s="2">
        <v>0.16</v>
      </c>
      <c r="AK5228" s="1">
        <v>511341</v>
      </c>
      <c r="AL5228" t="s">
        <v>117</v>
      </c>
      <c r="AM5228" t="s">
        <v>191</v>
      </c>
      <c r="AN5228">
        <v>12081</v>
      </c>
      <c r="AO5228">
        <v>0.28000000000000003</v>
      </c>
      <c r="AP5228">
        <v>1</v>
      </c>
      <c r="AR5228">
        <v>1</v>
      </c>
      <c r="AS5228" s="1">
        <v>37730</v>
      </c>
      <c r="AT5228" s="1">
        <v>7540</v>
      </c>
      <c r="AU5228" s="1">
        <v>30190</v>
      </c>
      <c r="AV5228">
        <v>80.02</v>
      </c>
      <c r="AX5228" s="1">
        <v>2419.7600000000002</v>
      </c>
      <c r="AY5228" t="s">
        <v>6361</v>
      </c>
      <c r="AZ5228" t="s">
        <v>1402</v>
      </c>
      <c r="BA5228" t="s">
        <v>1403</v>
      </c>
      <c r="BE5228" s="3">
        <v>42550</v>
      </c>
      <c r="BF5228" s="1">
        <v>443500</v>
      </c>
      <c r="BG5228" t="s">
        <v>32362</v>
      </c>
      <c r="BH5228" s="1">
        <v>174.68</v>
      </c>
      <c r="BI5228" s="1">
        <v>431114</v>
      </c>
      <c r="BJ5228" s="3">
        <v>42933</v>
      </c>
      <c r="BK5228" t="s">
        <v>123</v>
      </c>
      <c r="BL5228" t="str">
        <f>"2017.517506"</f>
        <v>2017.517506</v>
      </c>
      <c r="BM5228" t="s">
        <v>340</v>
      </c>
      <c r="BO5228" t="s">
        <v>32363</v>
      </c>
      <c r="BS5228">
        <v>29</v>
      </c>
      <c r="BW5228" t="str">
        <f>""</f>
        <v/>
      </c>
      <c r="CH5228" t="str">
        <f>""</f>
        <v/>
      </c>
      <c r="CS5228" t="str">
        <f>""</f>
        <v/>
      </c>
    </row>
    <row r="5229" spans="1:97" x14ac:dyDescent="0.25">
      <c r="A5229" t="s">
        <v>140</v>
      </c>
      <c r="B5229" t="s">
        <v>32364</v>
      </c>
      <c r="C5229" t="s">
        <v>9201</v>
      </c>
      <c r="D5229" t="s">
        <v>32364</v>
      </c>
      <c r="E5229" t="s">
        <v>32365</v>
      </c>
      <c r="F5229" t="s">
        <v>108</v>
      </c>
      <c r="H5229" t="s">
        <v>32366</v>
      </c>
      <c r="I5229" t="s">
        <v>632</v>
      </c>
      <c r="J5229" t="s">
        <v>111</v>
      </c>
      <c r="K5229" t="str">
        <f>"85379"</f>
        <v>85379</v>
      </c>
      <c r="L5229" t="s">
        <v>558</v>
      </c>
      <c r="M5229" t="s">
        <v>32366</v>
      </c>
      <c r="N5229" t="s">
        <v>632</v>
      </c>
      <c r="O5229" t="s">
        <v>111</v>
      </c>
      <c r="P5229" t="str">
        <f>"85379-4421"</f>
        <v>85379-4421</v>
      </c>
      <c r="Q5229" t="s">
        <v>113</v>
      </c>
      <c r="R5229" t="str">
        <f>"509-15-507"</f>
        <v>509-15-507</v>
      </c>
      <c r="S5229" t="s">
        <v>7110</v>
      </c>
      <c r="U5229">
        <v>4091</v>
      </c>
      <c r="V5229">
        <v>0</v>
      </c>
      <c r="W5229">
        <v>5</v>
      </c>
      <c r="X5229">
        <v>2006</v>
      </c>
      <c r="Z5229">
        <v>2</v>
      </c>
      <c r="AA5229" t="s">
        <v>26</v>
      </c>
      <c r="AB5229">
        <v>0</v>
      </c>
      <c r="AC5229" t="s">
        <v>115</v>
      </c>
      <c r="AD5229">
        <v>3</v>
      </c>
      <c r="AE5229" t="s">
        <v>115</v>
      </c>
      <c r="AF5229">
        <v>0</v>
      </c>
      <c r="AG5229">
        <v>0</v>
      </c>
      <c r="AH5229" t="s">
        <v>116</v>
      </c>
      <c r="AI5229" s="1">
        <v>50894</v>
      </c>
      <c r="AJ5229" s="2">
        <v>0.12</v>
      </c>
      <c r="AK5229" s="1">
        <v>419226</v>
      </c>
      <c r="AL5229" t="s">
        <v>117</v>
      </c>
      <c r="AM5229" t="s">
        <v>118</v>
      </c>
      <c r="AN5229">
        <v>9375</v>
      </c>
      <c r="AO5229">
        <v>0.22</v>
      </c>
      <c r="AR5229">
        <v>1</v>
      </c>
      <c r="AS5229" s="1">
        <v>30910</v>
      </c>
      <c r="AT5229" s="1">
        <v>6180</v>
      </c>
      <c r="AU5229" s="1">
        <v>24730</v>
      </c>
      <c r="AV5229">
        <v>80.010000000000005</v>
      </c>
      <c r="AX5229" s="1">
        <v>2745.68</v>
      </c>
      <c r="AY5229" t="s">
        <v>5615</v>
      </c>
      <c r="AZ5229" t="s">
        <v>5615</v>
      </c>
      <c r="BA5229" t="s">
        <v>635</v>
      </c>
      <c r="BB5229" s="3">
        <v>42088</v>
      </c>
      <c r="BD5229" t="s">
        <v>240</v>
      </c>
      <c r="BE5229" s="3">
        <v>41879</v>
      </c>
      <c r="BF5229" s="1">
        <v>354900</v>
      </c>
      <c r="BG5229" t="s">
        <v>17736</v>
      </c>
      <c r="BH5229" s="1">
        <v>86.75</v>
      </c>
      <c r="BI5229" s="1">
        <v>368332</v>
      </c>
      <c r="BJ5229" s="3">
        <v>42521</v>
      </c>
      <c r="BK5229" t="s">
        <v>123</v>
      </c>
      <c r="BL5229" t="str">
        <f>"2016.370619"</f>
        <v>2016.370619</v>
      </c>
      <c r="BM5229" t="s">
        <v>673</v>
      </c>
      <c r="BO5229" t="s">
        <v>32367</v>
      </c>
      <c r="BS5229">
        <v>30</v>
      </c>
      <c r="BW5229" t="str">
        <f>""</f>
        <v/>
      </c>
      <c r="CH5229" t="str">
        <f>""</f>
        <v/>
      </c>
      <c r="CS5229" t="str">
        <f>""</f>
        <v/>
      </c>
    </row>
    <row r="5230" spans="1:97" x14ac:dyDescent="0.25">
      <c r="A5230" t="s">
        <v>894</v>
      </c>
      <c r="B5230" t="s">
        <v>32368</v>
      </c>
      <c r="C5230" t="s">
        <v>1857</v>
      </c>
      <c r="D5230" t="s">
        <v>32368</v>
      </c>
      <c r="E5230" t="s">
        <v>32369</v>
      </c>
      <c r="F5230" t="s">
        <v>108</v>
      </c>
      <c r="H5230" t="s">
        <v>32370</v>
      </c>
      <c r="I5230" t="s">
        <v>453</v>
      </c>
      <c r="J5230" t="s">
        <v>111</v>
      </c>
      <c r="K5230" t="str">
        <f>"85383"</f>
        <v>85383</v>
      </c>
      <c r="L5230" t="s">
        <v>3326</v>
      </c>
      <c r="M5230" t="s">
        <v>32370</v>
      </c>
      <c r="N5230" t="s">
        <v>453</v>
      </c>
      <c r="O5230" t="s">
        <v>111</v>
      </c>
      <c r="P5230" t="str">
        <f>"85383-2748"</f>
        <v>85383-2748</v>
      </c>
      <c r="Q5230" t="s">
        <v>113</v>
      </c>
      <c r="R5230" t="str">
        <f>"200-10-772"</f>
        <v>200-10-772</v>
      </c>
      <c r="S5230" t="s">
        <v>32371</v>
      </c>
      <c r="T5230" t="s">
        <v>17327</v>
      </c>
      <c r="U5230">
        <v>3070</v>
      </c>
      <c r="V5230">
        <v>0</v>
      </c>
      <c r="W5230">
        <v>4</v>
      </c>
      <c r="X5230">
        <v>2001</v>
      </c>
      <c r="Z5230">
        <v>1</v>
      </c>
      <c r="AA5230" t="s">
        <v>26</v>
      </c>
      <c r="AB5230">
        <v>0</v>
      </c>
      <c r="AC5230" t="s">
        <v>115</v>
      </c>
      <c r="AD5230">
        <v>7</v>
      </c>
      <c r="AE5230" t="s">
        <v>115</v>
      </c>
      <c r="AF5230">
        <v>0</v>
      </c>
      <c r="AG5230">
        <v>0</v>
      </c>
      <c r="AH5230" t="s">
        <v>116</v>
      </c>
      <c r="AI5230" s="1">
        <v>153144</v>
      </c>
      <c r="AJ5230" s="2">
        <v>0.28000000000000003</v>
      </c>
      <c r="AK5230" s="1">
        <v>543044</v>
      </c>
      <c r="AL5230" t="s">
        <v>117</v>
      </c>
      <c r="AM5230" t="s">
        <v>118</v>
      </c>
      <c r="AN5230">
        <v>20450</v>
      </c>
      <c r="AO5230">
        <v>0.47</v>
      </c>
      <c r="AP5230">
        <v>1</v>
      </c>
      <c r="AR5230">
        <v>1</v>
      </c>
      <c r="AS5230" s="1">
        <v>41760</v>
      </c>
      <c r="AT5230" s="1">
        <v>8350</v>
      </c>
      <c r="AU5230" s="1">
        <v>33410</v>
      </c>
      <c r="AV5230">
        <v>80</v>
      </c>
      <c r="AX5230" s="1">
        <v>3600.52</v>
      </c>
      <c r="AY5230" t="s">
        <v>1808</v>
      </c>
      <c r="AZ5230" t="s">
        <v>1808</v>
      </c>
      <c r="BA5230" t="s">
        <v>457</v>
      </c>
      <c r="BE5230" s="3">
        <v>42488</v>
      </c>
      <c r="BF5230" s="1">
        <v>489900</v>
      </c>
      <c r="BG5230" t="s">
        <v>32372</v>
      </c>
      <c r="BH5230" s="1">
        <v>159.58000000000001</v>
      </c>
      <c r="BI5230" s="1">
        <v>389900</v>
      </c>
      <c r="BJ5230" s="3">
        <v>42488</v>
      </c>
      <c r="BK5230" t="s">
        <v>123</v>
      </c>
      <c r="BL5230" t="str">
        <f>"2016.286697"</f>
        <v>2016.286697</v>
      </c>
      <c r="BM5230" t="s">
        <v>2489</v>
      </c>
      <c r="BO5230" t="s">
        <v>32373</v>
      </c>
      <c r="BS5230">
        <v>30</v>
      </c>
      <c r="BW5230" t="str">
        <f>""</f>
        <v/>
      </c>
      <c r="CH5230" t="str">
        <f>""</f>
        <v/>
      </c>
      <c r="CS5230" t="str">
        <f>""</f>
        <v/>
      </c>
    </row>
    <row r="5231" spans="1:97" x14ac:dyDescent="0.25">
      <c r="A5231" t="s">
        <v>152</v>
      </c>
      <c r="B5231" t="s">
        <v>32374</v>
      </c>
      <c r="E5231" t="s">
        <v>32375</v>
      </c>
      <c r="F5231" t="s">
        <v>108</v>
      </c>
      <c r="H5231" t="s">
        <v>32376</v>
      </c>
      <c r="I5231" t="s">
        <v>499</v>
      </c>
      <c r="J5231" t="s">
        <v>111</v>
      </c>
      <c r="K5231" t="str">
        <f>"85338"</f>
        <v>85338</v>
      </c>
      <c r="L5231" t="s">
        <v>6431</v>
      </c>
      <c r="M5231" t="s">
        <v>32376</v>
      </c>
      <c r="N5231" t="s">
        <v>499</v>
      </c>
      <c r="O5231" t="s">
        <v>111</v>
      </c>
      <c r="P5231" t="str">
        <f>"85338-7405"</f>
        <v>85338-7405</v>
      </c>
      <c r="Q5231" t="s">
        <v>113</v>
      </c>
      <c r="R5231" t="str">
        <f>"500-97-683"</f>
        <v>500-97-683</v>
      </c>
      <c r="S5231" t="s">
        <v>6432</v>
      </c>
      <c r="U5231">
        <v>2691</v>
      </c>
      <c r="V5231">
        <v>0</v>
      </c>
      <c r="W5231">
        <v>4</v>
      </c>
      <c r="X5231">
        <v>2012</v>
      </c>
      <c r="Z5231">
        <v>1</v>
      </c>
      <c r="AA5231" t="s">
        <v>26</v>
      </c>
      <c r="AB5231">
        <v>0</v>
      </c>
      <c r="AC5231" t="s">
        <v>115</v>
      </c>
      <c r="AD5231">
        <v>3</v>
      </c>
      <c r="AE5231" t="s">
        <v>115</v>
      </c>
      <c r="AF5231">
        <v>0</v>
      </c>
      <c r="AG5231">
        <v>0</v>
      </c>
      <c r="AH5231" t="s">
        <v>116</v>
      </c>
      <c r="AI5231" s="1">
        <v>71725</v>
      </c>
      <c r="AJ5231" s="2">
        <v>0.2</v>
      </c>
      <c r="AK5231" s="1">
        <v>359225</v>
      </c>
      <c r="AL5231" t="s">
        <v>117</v>
      </c>
      <c r="AM5231" t="s">
        <v>118</v>
      </c>
      <c r="AN5231">
        <v>10001</v>
      </c>
      <c r="AO5231">
        <v>0.23</v>
      </c>
      <c r="AR5231">
        <v>1</v>
      </c>
      <c r="AS5231" s="1">
        <v>28620</v>
      </c>
      <c r="AT5231" s="1">
        <v>5720</v>
      </c>
      <c r="AU5231" s="1">
        <v>22900</v>
      </c>
      <c r="AV5231">
        <v>80.010000000000005</v>
      </c>
      <c r="AX5231" s="1">
        <v>2674.08</v>
      </c>
      <c r="AY5231" t="s">
        <v>6319</v>
      </c>
      <c r="AZ5231" t="s">
        <v>6319</v>
      </c>
      <c r="BA5231" t="s">
        <v>218</v>
      </c>
      <c r="BE5231" s="3">
        <v>42058</v>
      </c>
      <c r="BF5231" s="1">
        <v>287500</v>
      </c>
      <c r="BG5231" t="s">
        <v>32377</v>
      </c>
      <c r="BH5231" s="1">
        <v>106.84</v>
      </c>
      <c r="BI5231" s="1">
        <v>287500</v>
      </c>
      <c r="BJ5231" s="3">
        <v>42058</v>
      </c>
      <c r="BK5231" t="s">
        <v>123</v>
      </c>
      <c r="BL5231" t="str">
        <f>"2015.114127"</f>
        <v>2015.114127</v>
      </c>
      <c r="BM5231" t="s">
        <v>5567</v>
      </c>
      <c r="BO5231" t="s">
        <v>32378</v>
      </c>
      <c r="BS5231">
        <v>30</v>
      </c>
      <c r="BW5231" t="str">
        <f>""</f>
        <v/>
      </c>
      <c r="CH5231" t="str">
        <f>""</f>
        <v/>
      </c>
      <c r="CS5231" t="str">
        <f>""</f>
        <v/>
      </c>
    </row>
    <row r="5232" spans="1:97" x14ac:dyDescent="0.25">
      <c r="A5232" t="s">
        <v>1088</v>
      </c>
      <c r="B5232" t="s">
        <v>32379</v>
      </c>
      <c r="C5232" t="s">
        <v>2104</v>
      </c>
      <c r="D5232" t="s">
        <v>32379</v>
      </c>
      <c r="E5232" t="s">
        <v>32380</v>
      </c>
      <c r="F5232" t="s">
        <v>108</v>
      </c>
      <c r="H5232" t="s">
        <v>32381</v>
      </c>
      <c r="I5232" t="s">
        <v>25003</v>
      </c>
      <c r="J5232" t="s">
        <v>111</v>
      </c>
      <c r="K5232" t="str">
        <f>"85263"</f>
        <v>85263</v>
      </c>
      <c r="L5232" t="s">
        <v>5893</v>
      </c>
      <c r="M5232" t="s">
        <v>32381</v>
      </c>
      <c r="N5232" t="s">
        <v>25003</v>
      </c>
      <c r="O5232" t="s">
        <v>111</v>
      </c>
      <c r="P5232" t="str">
        <f>"85263-7011"</f>
        <v>85263-7011</v>
      </c>
      <c r="Q5232" t="s">
        <v>113</v>
      </c>
      <c r="R5232" t="str">
        <f>"219-43-417"</f>
        <v>219-43-417</v>
      </c>
      <c r="S5232" t="s">
        <v>32382</v>
      </c>
      <c r="U5232">
        <v>1879</v>
      </c>
      <c r="V5232">
        <v>0</v>
      </c>
      <c r="W5232">
        <v>3</v>
      </c>
      <c r="X5232">
        <v>1985</v>
      </c>
      <c r="Z5232">
        <v>1</v>
      </c>
      <c r="AB5232">
        <v>0</v>
      </c>
      <c r="AC5232" t="s">
        <v>115</v>
      </c>
      <c r="AD5232">
        <v>2</v>
      </c>
      <c r="AE5232" t="s">
        <v>115</v>
      </c>
      <c r="AF5232">
        <v>0</v>
      </c>
      <c r="AG5232">
        <v>0</v>
      </c>
      <c r="AH5232" t="s">
        <v>116</v>
      </c>
      <c r="AI5232" s="1">
        <v>84941</v>
      </c>
      <c r="AJ5232" s="2">
        <v>0.25</v>
      </c>
      <c r="AK5232" s="1">
        <v>340213</v>
      </c>
      <c r="AL5232" t="s">
        <v>117</v>
      </c>
      <c r="AM5232" t="str">
        <f>"R1-8"</f>
        <v>R1-8</v>
      </c>
      <c r="AN5232">
        <v>18056</v>
      </c>
      <c r="AO5232">
        <v>0.42</v>
      </c>
      <c r="AP5232">
        <v>1</v>
      </c>
      <c r="AR5232">
        <v>1</v>
      </c>
      <c r="AS5232" s="1">
        <v>25400</v>
      </c>
      <c r="AT5232" s="1">
        <v>5080</v>
      </c>
      <c r="AU5232" s="1">
        <v>20320</v>
      </c>
      <c r="AV5232">
        <v>80</v>
      </c>
      <c r="AX5232" s="1">
        <v>2063.6799999999998</v>
      </c>
      <c r="AY5232" t="s">
        <v>6485</v>
      </c>
      <c r="AZ5232" t="s">
        <v>5640</v>
      </c>
      <c r="BA5232" t="s">
        <v>5641</v>
      </c>
      <c r="BE5232" s="3">
        <v>42412</v>
      </c>
      <c r="BF5232" s="1">
        <v>249900</v>
      </c>
      <c r="BG5232" t="s">
        <v>32383</v>
      </c>
      <c r="BH5232" s="1">
        <v>133</v>
      </c>
      <c r="BI5232" s="1">
        <v>255272</v>
      </c>
      <c r="BJ5232" s="3">
        <v>42412</v>
      </c>
      <c r="BK5232" t="s">
        <v>123</v>
      </c>
      <c r="BL5232" t="str">
        <f>"2016.92434"</f>
        <v>2016.92434</v>
      </c>
      <c r="BM5232" t="s">
        <v>724</v>
      </c>
      <c r="BO5232" t="s">
        <v>32384</v>
      </c>
      <c r="BS5232">
        <v>30</v>
      </c>
      <c r="BW5232" t="str">
        <f>""</f>
        <v/>
      </c>
      <c r="CH5232" t="str">
        <f>""</f>
        <v/>
      </c>
      <c r="CS5232" t="str">
        <f>""</f>
        <v/>
      </c>
    </row>
    <row r="5233" spans="1:97" x14ac:dyDescent="0.25">
      <c r="A5233" t="s">
        <v>11252</v>
      </c>
      <c r="B5233" t="s">
        <v>30699</v>
      </c>
      <c r="E5233" t="s">
        <v>32385</v>
      </c>
      <c r="F5233" t="s">
        <v>282</v>
      </c>
      <c r="H5233" t="s">
        <v>32386</v>
      </c>
      <c r="I5233" t="s">
        <v>188</v>
      </c>
      <c r="J5233" t="s">
        <v>111</v>
      </c>
      <c r="K5233" t="str">
        <f>"85142"</f>
        <v>85142</v>
      </c>
      <c r="L5233" t="s">
        <v>1070</v>
      </c>
      <c r="M5233" t="s">
        <v>32387</v>
      </c>
      <c r="N5233" t="s">
        <v>32388</v>
      </c>
      <c r="O5233" t="s">
        <v>32389</v>
      </c>
      <c r="P5233" t="str">
        <f>"32304-7933"</f>
        <v>32304-7933</v>
      </c>
      <c r="Q5233" t="s">
        <v>113</v>
      </c>
      <c r="R5233" t="str">
        <f>"314-09-327"</f>
        <v>314-09-327</v>
      </c>
      <c r="S5233" t="s">
        <v>31741</v>
      </c>
      <c r="T5233" t="s">
        <v>17034</v>
      </c>
      <c r="U5233">
        <v>5402</v>
      </c>
      <c r="V5233">
        <v>0</v>
      </c>
      <c r="W5233">
        <v>5</v>
      </c>
      <c r="X5233">
        <v>2014</v>
      </c>
      <c r="Z5233">
        <v>2</v>
      </c>
      <c r="AB5233">
        <v>0</v>
      </c>
      <c r="AC5233" t="s">
        <v>115</v>
      </c>
      <c r="AD5233">
        <v>3</v>
      </c>
      <c r="AE5233" t="s">
        <v>115</v>
      </c>
      <c r="AF5233">
        <v>0</v>
      </c>
      <c r="AG5233">
        <v>0</v>
      </c>
      <c r="AH5233" t="s">
        <v>116</v>
      </c>
      <c r="AI5233" s="1">
        <v>31502</v>
      </c>
      <c r="AJ5233" s="2">
        <v>7.0000000000000007E-2</v>
      </c>
      <c r="AK5233" s="1">
        <v>435212</v>
      </c>
      <c r="AL5233" t="s">
        <v>117</v>
      </c>
      <c r="AM5233" t="s">
        <v>5791</v>
      </c>
      <c r="AN5233">
        <v>12003</v>
      </c>
      <c r="AO5233">
        <v>0.28000000000000003</v>
      </c>
      <c r="AR5233">
        <v>1</v>
      </c>
      <c r="AS5233" s="1">
        <v>34630</v>
      </c>
      <c r="AT5233" s="1">
        <v>6920</v>
      </c>
      <c r="AU5233" s="1">
        <v>27710</v>
      </c>
      <c r="AV5233">
        <v>80.02</v>
      </c>
      <c r="AX5233" s="1">
        <v>4665.12</v>
      </c>
      <c r="AY5233" t="s">
        <v>1074</v>
      </c>
      <c r="AZ5233" t="s">
        <v>193</v>
      </c>
      <c r="BA5233" t="s">
        <v>194</v>
      </c>
      <c r="BE5233" s="3">
        <v>41814</v>
      </c>
      <c r="BF5233" s="1">
        <v>395213</v>
      </c>
      <c r="BG5233" t="s">
        <v>2842</v>
      </c>
      <c r="BH5233" s="1">
        <v>73.16</v>
      </c>
      <c r="BI5233" s="1">
        <v>403710</v>
      </c>
      <c r="BJ5233" s="3">
        <v>41814</v>
      </c>
      <c r="BK5233" t="s">
        <v>123</v>
      </c>
      <c r="BL5233" t="str">
        <f>"2014.413757"</f>
        <v>2014.413757</v>
      </c>
      <c r="BM5233" t="s">
        <v>2716</v>
      </c>
      <c r="BO5233" t="s">
        <v>32390</v>
      </c>
      <c r="BS5233">
        <v>30</v>
      </c>
      <c r="BW5233" t="str">
        <f>""</f>
        <v/>
      </c>
      <c r="CH5233" t="str">
        <f>""</f>
        <v/>
      </c>
      <c r="CS5233" t="str">
        <f>""</f>
        <v/>
      </c>
    </row>
    <row r="5234" spans="1:97" x14ac:dyDescent="0.25">
      <c r="A5234" t="s">
        <v>1067</v>
      </c>
      <c r="B5234" t="s">
        <v>4156</v>
      </c>
      <c r="C5234" t="s">
        <v>1888</v>
      </c>
      <c r="D5234" t="s">
        <v>4156</v>
      </c>
      <c r="E5234" t="s">
        <v>32391</v>
      </c>
      <c r="F5234" t="s">
        <v>108</v>
      </c>
      <c r="H5234" t="s">
        <v>32392</v>
      </c>
      <c r="I5234" t="s">
        <v>188</v>
      </c>
      <c r="J5234" t="s">
        <v>111</v>
      </c>
      <c r="K5234" t="str">
        <f>"85142"</f>
        <v>85142</v>
      </c>
      <c r="L5234" t="s">
        <v>1789</v>
      </c>
      <c r="M5234" t="s">
        <v>32392</v>
      </c>
      <c r="N5234" t="s">
        <v>188</v>
      </c>
      <c r="O5234" t="s">
        <v>111</v>
      </c>
      <c r="P5234" t="str">
        <f>"85142-4062"</f>
        <v>85142-4062</v>
      </c>
      <c r="Q5234" t="s">
        <v>113</v>
      </c>
      <c r="R5234" t="str">
        <f>"304-68-061"</f>
        <v>304-68-061</v>
      </c>
      <c r="S5234" t="s">
        <v>16192</v>
      </c>
      <c r="U5234">
        <v>1714</v>
      </c>
      <c r="V5234">
        <v>0</v>
      </c>
      <c r="W5234">
        <v>3</v>
      </c>
      <c r="X5234">
        <v>1985</v>
      </c>
      <c r="Z5234">
        <v>1</v>
      </c>
      <c r="AB5234">
        <v>0</v>
      </c>
      <c r="AC5234" t="s">
        <v>115</v>
      </c>
      <c r="AD5234">
        <v>4</v>
      </c>
      <c r="AE5234" t="s">
        <v>115</v>
      </c>
      <c r="AF5234">
        <v>0</v>
      </c>
      <c r="AG5234">
        <v>0</v>
      </c>
      <c r="AH5234" t="s">
        <v>116</v>
      </c>
      <c r="AI5234" s="1">
        <v>109371</v>
      </c>
      <c r="AJ5234" s="2">
        <v>0.26</v>
      </c>
      <c r="AK5234" s="1">
        <v>413871</v>
      </c>
      <c r="AL5234" t="s">
        <v>117</v>
      </c>
      <c r="AM5234" t="s">
        <v>376</v>
      </c>
      <c r="AN5234">
        <v>43621</v>
      </c>
      <c r="AO5234">
        <v>1</v>
      </c>
      <c r="AP5234">
        <v>1</v>
      </c>
      <c r="AR5234">
        <v>1</v>
      </c>
      <c r="AS5234" s="1">
        <v>28050</v>
      </c>
      <c r="AT5234" s="1">
        <v>5610</v>
      </c>
      <c r="AU5234" s="1">
        <v>22440</v>
      </c>
      <c r="AV5234">
        <v>80</v>
      </c>
      <c r="AX5234" s="1">
        <v>2421.44</v>
      </c>
      <c r="AY5234" t="s">
        <v>1133</v>
      </c>
      <c r="AZ5234" t="s">
        <v>1134</v>
      </c>
      <c r="BA5234" t="s">
        <v>1134</v>
      </c>
      <c r="BE5234" s="3">
        <v>42230</v>
      </c>
      <c r="BF5234" s="1">
        <v>325000</v>
      </c>
      <c r="BG5234" t="s">
        <v>32393</v>
      </c>
      <c r="BH5234" s="1">
        <v>189.61</v>
      </c>
      <c r="BI5234" s="1">
        <v>304500</v>
      </c>
      <c r="BJ5234" s="3">
        <v>42230</v>
      </c>
      <c r="BK5234" t="s">
        <v>123</v>
      </c>
      <c r="BL5234" t="str">
        <f>"2015.592426"</f>
        <v>2015.592426</v>
      </c>
      <c r="BM5234" t="s">
        <v>32394</v>
      </c>
      <c r="BO5234" t="s">
        <v>32395</v>
      </c>
      <c r="BS5234">
        <v>30</v>
      </c>
      <c r="BW5234" t="str">
        <f>""</f>
        <v/>
      </c>
      <c r="CH5234" t="str">
        <f>""</f>
        <v/>
      </c>
      <c r="CS5234" t="str">
        <f>""</f>
        <v/>
      </c>
    </row>
    <row r="5235" spans="1:97" x14ac:dyDescent="0.25">
      <c r="A5235" t="s">
        <v>32396</v>
      </c>
      <c r="B5235" t="s">
        <v>32397</v>
      </c>
      <c r="C5235" t="s">
        <v>1210</v>
      </c>
      <c r="D5235" t="s">
        <v>32397</v>
      </c>
      <c r="E5235" t="s">
        <v>32398</v>
      </c>
      <c r="F5235" t="s">
        <v>108</v>
      </c>
      <c r="H5235" t="s">
        <v>32399</v>
      </c>
      <c r="I5235" t="s">
        <v>632</v>
      </c>
      <c r="J5235" t="s">
        <v>111</v>
      </c>
      <c r="K5235" t="str">
        <f>"85374"</f>
        <v>85374</v>
      </c>
      <c r="L5235" t="s">
        <v>5990</v>
      </c>
      <c r="M5235" t="s">
        <v>32399</v>
      </c>
      <c r="N5235" t="s">
        <v>632</v>
      </c>
      <c r="O5235" t="s">
        <v>111</v>
      </c>
      <c r="P5235" t="str">
        <f>"85374-5840"</f>
        <v>85374-5840</v>
      </c>
      <c r="Q5235" t="s">
        <v>113</v>
      </c>
      <c r="R5235" t="str">
        <f>"501-93-020"</f>
        <v>501-93-020</v>
      </c>
      <c r="S5235" t="s">
        <v>23086</v>
      </c>
      <c r="U5235">
        <v>2174</v>
      </c>
      <c r="V5235">
        <v>0</v>
      </c>
      <c r="W5235">
        <v>3</v>
      </c>
      <c r="X5235">
        <v>2000</v>
      </c>
      <c r="Z5235">
        <v>1</v>
      </c>
      <c r="AA5235" t="s">
        <v>26</v>
      </c>
      <c r="AB5235">
        <v>0</v>
      </c>
      <c r="AC5235" t="s">
        <v>115</v>
      </c>
      <c r="AD5235">
        <v>2</v>
      </c>
      <c r="AE5235" t="s">
        <v>115</v>
      </c>
      <c r="AF5235">
        <v>0</v>
      </c>
      <c r="AG5235">
        <v>0</v>
      </c>
      <c r="AH5235" t="s">
        <v>116</v>
      </c>
      <c r="AI5235" s="1">
        <v>68209</v>
      </c>
      <c r="AJ5235" s="2">
        <v>0.24</v>
      </c>
      <c r="AK5235" s="1">
        <v>288959</v>
      </c>
      <c r="AL5235" t="s">
        <v>117</v>
      </c>
      <c r="AM5235" t="s">
        <v>118</v>
      </c>
      <c r="AN5235">
        <v>6775</v>
      </c>
      <c r="AO5235">
        <v>0.16</v>
      </c>
      <c r="AP5235">
        <v>1</v>
      </c>
      <c r="AR5235">
        <v>1</v>
      </c>
      <c r="AS5235" s="1">
        <v>20580</v>
      </c>
      <c r="AT5235" s="1">
        <v>4110</v>
      </c>
      <c r="AU5235" s="1">
        <v>16470</v>
      </c>
      <c r="AV5235">
        <v>80.03</v>
      </c>
      <c r="AX5235" s="1">
        <v>1322.88</v>
      </c>
      <c r="AY5235" t="s">
        <v>5983</v>
      </c>
      <c r="AZ5235" t="s">
        <v>5983</v>
      </c>
      <c r="BA5235" t="s">
        <v>5109</v>
      </c>
      <c r="BE5235" s="3">
        <v>42262</v>
      </c>
      <c r="BF5235" s="1">
        <v>220000</v>
      </c>
      <c r="BG5235" t="s">
        <v>32400</v>
      </c>
      <c r="BH5235" s="1">
        <v>101.2</v>
      </c>
      <c r="BI5235" s="1">
        <v>220750</v>
      </c>
      <c r="BJ5235" s="3">
        <v>42965</v>
      </c>
      <c r="BK5235" t="s">
        <v>123</v>
      </c>
      <c r="BL5235" t="str">
        <f>"2017.612459"</f>
        <v>2017.612459</v>
      </c>
      <c r="BM5235" t="s">
        <v>22605</v>
      </c>
      <c r="BO5235" t="s">
        <v>32401</v>
      </c>
      <c r="BS5235">
        <v>15</v>
      </c>
      <c r="BW5235" t="str">
        <f>""</f>
        <v/>
      </c>
      <c r="CH5235" t="str">
        <f>""</f>
        <v/>
      </c>
      <c r="CS5235" t="str">
        <f>""</f>
        <v/>
      </c>
    </row>
    <row r="5236" spans="1:97" x14ac:dyDescent="0.25">
      <c r="A5236" t="s">
        <v>1393</v>
      </c>
      <c r="B5236" t="s">
        <v>32402</v>
      </c>
      <c r="C5236" t="s">
        <v>32403</v>
      </c>
      <c r="D5236" t="s">
        <v>32402</v>
      </c>
      <c r="E5236" t="s">
        <v>32404</v>
      </c>
      <c r="F5236" t="s">
        <v>108</v>
      </c>
      <c r="H5236" t="s">
        <v>32405</v>
      </c>
      <c r="I5236" t="s">
        <v>499</v>
      </c>
      <c r="J5236" t="s">
        <v>111</v>
      </c>
      <c r="K5236" t="str">
        <f>"85338"</f>
        <v>85338</v>
      </c>
      <c r="L5236" t="s">
        <v>6481</v>
      </c>
      <c r="M5236" t="s">
        <v>32405</v>
      </c>
      <c r="N5236" t="s">
        <v>499</v>
      </c>
      <c r="O5236" t="s">
        <v>111</v>
      </c>
      <c r="P5236" t="str">
        <f>"85338-4563"</f>
        <v>85338-4563</v>
      </c>
      <c r="Q5236" t="s">
        <v>113</v>
      </c>
      <c r="R5236" t="str">
        <f>"500-96-551"</f>
        <v>500-96-551</v>
      </c>
      <c r="S5236" t="s">
        <v>32406</v>
      </c>
      <c r="U5236">
        <v>3714</v>
      </c>
      <c r="V5236">
        <v>0</v>
      </c>
      <c r="W5236">
        <v>6</v>
      </c>
      <c r="X5236">
        <v>2007</v>
      </c>
      <c r="Z5236">
        <v>2</v>
      </c>
      <c r="AB5236">
        <v>0</v>
      </c>
      <c r="AC5236" t="s">
        <v>115</v>
      </c>
      <c r="AD5236">
        <v>3</v>
      </c>
      <c r="AE5236" t="s">
        <v>115</v>
      </c>
      <c r="AF5236">
        <v>0</v>
      </c>
      <c r="AG5236">
        <v>0</v>
      </c>
      <c r="AH5236" t="s">
        <v>116</v>
      </c>
      <c r="AI5236" s="1">
        <v>56273</v>
      </c>
      <c r="AJ5236" s="2">
        <v>0.14000000000000001</v>
      </c>
      <c r="AK5236" s="1">
        <v>391998</v>
      </c>
      <c r="AL5236" t="s">
        <v>117</v>
      </c>
      <c r="AM5236" t="s">
        <v>118</v>
      </c>
      <c r="AN5236">
        <v>9864</v>
      </c>
      <c r="AO5236">
        <v>0.23</v>
      </c>
      <c r="AR5236">
        <v>1</v>
      </c>
      <c r="AS5236" s="1">
        <v>29230</v>
      </c>
      <c r="AT5236" s="1">
        <v>5840</v>
      </c>
      <c r="AU5236" s="1">
        <v>23390</v>
      </c>
      <c r="AV5236">
        <v>80.02</v>
      </c>
      <c r="AX5236" s="1">
        <v>2414.06</v>
      </c>
      <c r="AY5236" t="s">
        <v>6319</v>
      </c>
      <c r="AZ5236" t="s">
        <v>6319</v>
      </c>
      <c r="BA5236" t="s">
        <v>218</v>
      </c>
      <c r="BB5236" s="3">
        <v>42895</v>
      </c>
      <c r="BD5236" t="s">
        <v>157</v>
      </c>
      <c r="BE5236" s="3">
        <v>42466</v>
      </c>
      <c r="BF5236" s="1">
        <v>325000</v>
      </c>
      <c r="BG5236" t="s">
        <v>32407</v>
      </c>
      <c r="BH5236" s="1">
        <v>87.51</v>
      </c>
      <c r="BI5236" s="1">
        <v>335725</v>
      </c>
      <c r="BJ5236" s="3">
        <v>42466</v>
      </c>
      <c r="BK5236" t="s">
        <v>123</v>
      </c>
      <c r="BL5236" t="str">
        <f>"2016.227209"</f>
        <v>2016.227209</v>
      </c>
      <c r="BM5236" t="s">
        <v>2368</v>
      </c>
      <c r="BO5236" t="s">
        <v>32408</v>
      </c>
      <c r="BS5236">
        <v>30</v>
      </c>
      <c r="BW5236" t="str">
        <f>""</f>
        <v/>
      </c>
      <c r="CH5236" t="str">
        <f>""</f>
        <v/>
      </c>
      <c r="CS5236" t="str">
        <f>""</f>
        <v/>
      </c>
    </row>
    <row r="5237" spans="1:97" x14ac:dyDescent="0.25">
      <c r="A5237" t="s">
        <v>894</v>
      </c>
      <c r="B5237" t="s">
        <v>328</v>
      </c>
      <c r="C5237" t="s">
        <v>2002</v>
      </c>
      <c r="D5237" t="s">
        <v>328</v>
      </c>
      <c r="E5237" t="s">
        <v>32409</v>
      </c>
      <c r="F5237" t="s">
        <v>108</v>
      </c>
      <c r="H5237" t="s">
        <v>32410</v>
      </c>
      <c r="I5237" t="s">
        <v>188</v>
      </c>
      <c r="J5237" t="s">
        <v>111</v>
      </c>
      <c r="K5237" t="str">
        <f>"85142"</f>
        <v>85142</v>
      </c>
      <c r="L5237" t="s">
        <v>1070</v>
      </c>
      <c r="M5237" t="s">
        <v>32410</v>
      </c>
      <c r="N5237" t="s">
        <v>188</v>
      </c>
      <c r="O5237" t="s">
        <v>111</v>
      </c>
      <c r="P5237" t="str">
        <f>"85142-5198"</f>
        <v>85142-5198</v>
      </c>
      <c r="Q5237" t="s">
        <v>113</v>
      </c>
      <c r="R5237" t="str">
        <f>"314-09-320"</f>
        <v>314-09-320</v>
      </c>
      <c r="S5237" t="s">
        <v>31741</v>
      </c>
      <c r="T5237" t="s">
        <v>17034</v>
      </c>
      <c r="U5237">
        <v>4695</v>
      </c>
      <c r="V5237">
        <v>0</v>
      </c>
      <c r="W5237">
        <v>4</v>
      </c>
      <c r="X5237">
        <v>2013</v>
      </c>
      <c r="Z5237">
        <v>2</v>
      </c>
      <c r="AA5237" t="s">
        <v>26</v>
      </c>
      <c r="AB5237">
        <v>0</v>
      </c>
      <c r="AC5237" t="s">
        <v>115</v>
      </c>
      <c r="AD5237">
        <v>3</v>
      </c>
      <c r="AE5237" t="s">
        <v>115</v>
      </c>
      <c r="AF5237">
        <v>0</v>
      </c>
      <c r="AG5237">
        <v>0</v>
      </c>
      <c r="AH5237" t="s">
        <v>116</v>
      </c>
      <c r="AI5237" s="1">
        <v>168977</v>
      </c>
      <c r="AJ5237" s="2">
        <v>0.36</v>
      </c>
      <c r="AK5237" s="1">
        <v>473019</v>
      </c>
      <c r="AL5237" t="s">
        <v>117</v>
      </c>
      <c r="AM5237" t="s">
        <v>5791</v>
      </c>
      <c r="AN5237">
        <v>13427</v>
      </c>
      <c r="AO5237">
        <v>0.31</v>
      </c>
      <c r="AR5237">
        <v>1</v>
      </c>
      <c r="AS5237" s="1">
        <v>34770</v>
      </c>
      <c r="AT5237" s="1">
        <v>6950</v>
      </c>
      <c r="AU5237" s="1">
        <v>27820</v>
      </c>
      <c r="AV5237">
        <v>80.010000000000005</v>
      </c>
      <c r="AX5237" s="1">
        <v>4374.96</v>
      </c>
      <c r="AY5237" t="s">
        <v>1074</v>
      </c>
      <c r="AZ5237" t="s">
        <v>193</v>
      </c>
      <c r="BA5237" t="s">
        <v>194</v>
      </c>
      <c r="BB5237" s="3">
        <v>41830</v>
      </c>
      <c r="BD5237" t="s">
        <v>458</v>
      </c>
      <c r="BE5237" s="3">
        <v>41668</v>
      </c>
      <c r="BF5237" s="1">
        <v>351521</v>
      </c>
      <c r="BG5237" t="s">
        <v>2842</v>
      </c>
      <c r="BH5237" s="1">
        <v>74.87</v>
      </c>
      <c r="BI5237" s="1">
        <v>304042</v>
      </c>
      <c r="BJ5237" s="3">
        <v>41983</v>
      </c>
      <c r="BK5237" t="s">
        <v>123</v>
      </c>
      <c r="BL5237" t="str">
        <f>"2014.810842"</f>
        <v>2014.810842</v>
      </c>
      <c r="BM5237" t="s">
        <v>402</v>
      </c>
      <c r="BN5237" t="s">
        <v>461</v>
      </c>
      <c r="BO5237" t="s">
        <v>32411</v>
      </c>
      <c r="BS5237">
        <v>30</v>
      </c>
      <c r="BT5237" s="1">
        <v>304042</v>
      </c>
      <c r="BU5237" s="3">
        <v>41983</v>
      </c>
      <c r="BV5237" t="s">
        <v>123</v>
      </c>
      <c r="BW5237" t="str">
        <f>"2014.810842"</f>
        <v>2014.810842</v>
      </c>
      <c r="BX5237" t="s">
        <v>402</v>
      </c>
      <c r="BZ5237" t="s">
        <v>32411</v>
      </c>
      <c r="CD5237">
        <v>30</v>
      </c>
      <c r="CH5237" t="str">
        <f>""</f>
        <v/>
      </c>
      <c r="CS5237" t="str">
        <f>""</f>
        <v/>
      </c>
    </row>
    <row r="5238" spans="1:97" x14ac:dyDescent="0.25">
      <c r="A5238" t="s">
        <v>32412</v>
      </c>
      <c r="B5238" t="s">
        <v>32413</v>
      </c>
      <c r="C5238" t="s">
        <v>12439</v>
      </c>
      <c r="D5238" t="s">
        <v>32413</v>
      </c>
      <c r="E5238" t="s">
        <v>32414</v>
      </c>
      <c r="F5238" t="s">
        <v>108</v>
      </c>
      <c r="H5238" t="s">
        <v>32415</v>
      </c>
      <c r="I5238" t="s">
        <v>390</v>
      </c>
      <c r="J5238" t="s">
        <v>111</v>
      </c>
      <c r="K5238" t="str">
        <f>"85048"</f>
        <v>85048</v>
      </c>
      <c r="L5238" t="s">
        <v>5209</v>
      </c>
      <c r="M5238" t="s">
        <v>32415</v>
      </c>
      <c r="N5238" t="s">
        <v>390</v>
      </c>
      <c r="O5238" t="s">
        <v>111</v>
      </c>
      <c r="P5238" t="str">
        <f>"85048-2039"</f>
        <v>85048-2039</v>
      </c>
      <c r="Q5238" t="s">
        <v>113</v>
      </c>
      <c r="R5238" t="str">
        <f>"300-95-605"</f>
        <v>300-95-605</v>
      </c>
      <c r="S5238" t="s">
        <v>21965</v>
      </c>
      <c r="U5238">
        <v>2464</v>
      </c>
      <c r="V5238">
        <v>0</v>
      </c>
      <c r="W5238">
        <v>4</v>
      </c>
      <c r="X5238">
        <v>1995</v>
      </c>
      <c r="Z5238">
        <v>2</v>
      </c>
      <c r="AA5238" t="s">
        <v>26</v>
      </c>
      <c r="AB5238">
        <v>0</v>
      </c>
      <c r="AC5238" t="s">
        <v>115</v>
      </c>
      <c r="AD5238">
        <v>3</v>
      </c>
      <c r="AE5238" t="s">
        <v>115</v>
      </c>
      <c r="AF5238">
        <v>0</v>
      </c>
      <c r="AG5238">
        <v>0</v>
      </c>
      <c r="AH5238" t="s">
        <v>116</v>
      </c>
      <c r="AI5238" s="1">
        <v>90450</v>
      </c>
      <c r="AJ5238" s="2">
        <v>0.21</v>
      </c>
      <c r="AK5238" s="1">
        <v>429587</v>
      </c>
      <c r="AL5238" t="s">
        <v>117</v>
      </c>
      <c r="AM5238" t="s">
        <v>191</v>
      </c>
      <c r="AN5238">
        <v>6582</v>
      </c>
      <c r="AO5238">
        <v>0.15</v>
      </c>
      <c r="AP5238">
        <v>1</v>
      </c>
      <c r="AR5238">
        <v>1</v>
      </c>
      <c r="AS5238" s="1">
        <v>32260</v>
      </c>
      <c r="AT5238" s="1">
        <v>6450</v>
      </c>
      <c r="AU5238" s="1">
        <v>25810</v>
      </c>
      <c r="AV5238">
        <v>80.010000000000005</v>
      </c>
      <c r="AX5238" s="1">
        <v>3459.06</v>
      </c>
      <c r="AY5238" t="s">
        <v>2966</v>
      </c>
      <c r="AZ5238" t="s">
        <v>2967</v>
      </c>
      <c r="BA5238" t="s">
        <v>930</v>
      </c>
      <c r="BE5238" s="3">
        <v>42331</v>
      </c>
      <c r="BF5238" s="1">
        <v>330000</v>
      </c>
      <c r="BG5238" t="s">
        <v>32416</v>
      </c>
      <c r="BH5238" s="1">
        <v>133.93</v>
      </c>
      <c r="BI5238" s="1">
        <v>339137</v>
      </c>
      <c r="BJ5238" s="3">
        <v>42725</v>
      </c>
      <c r="BK5238" t="s">
        <v>123</v>
      </c>
      <c r="BL5238" t="str">
        <f>"2016.940156"</f>
        <v>2016.940156</v>
      </c>
      <c r="BM5238" t="s">
        <v>425</v>
      </c>
      <c r="BO5238" t="s">
        <v>32417</v>
      </c>
      <c r="BS5238">
        <v>30</v>
      </c>
      <c r="BW5238" t="str">
        <f>""</f>
        <v/>
      </c>
      <c r="CH5238" t="str">
        <f>""</f>
        <v/>
      </c>
      <c r="CS5238" t="str">
        <f>""</f>
        <v/>
      </c>
    </row>
    <row r="5239" spans="1:97" x14ac:dyDescent="0.25">
      <c r="A5239" t="s">
        <v>639</v>
      </c>
      <c r="B5239" t="s">
        <v>6443</v>
      </c>
      <c r="C5239" t="s">
        <v>32418</v>
      </c>
      <c r="D5239" t="s">
        <v>6443</v>
      </c>
      <c r="E5239" t="s">
        <v>32419</v>
      </c>
      <c r="F5239" t="s">
        <v>108</v>
      </c>
      <c r="H5239" t="s">
        <v>32420</v>
      </c>
      <c r="I5239" t="s">
        <v>188</v>
      </c>
      <c r="J5239" t="s">
        <v>111</v>
      </c>
      <c r="K5239" t="str">
        <f>"85142"</f>
        <v>85142</v>
      </c>
      <c r="L5239" t="s">
        <v>189</v>
      </c>
      <c r="M5239" t="s">
        <v>32420</v>
      </c>
      <c r="N5239" t="s">
        <v>188</v>
      </c>
      <c r="O5239" t="s">
        <v>111</v>
      </c>
      <c r="P5239" t="str">
        <f>"85142-8667"</f>
        <v>85142-8667</v>
      </c>
      <c r="Q5239" t="s">
        <v>113</v>
      </c>
      <c r="R5239" t="str">
        <f>"314-02-618"</f>
        <v>314-02-618</v>
      </c>
      <c r="S5239" t="s">
        <v>10423</v>
      </c>
      <c r="U5239">
        <v>2225</v>
      </c>
      <c r="V5239">
        <v>0</v>
      </c>
      <c r="W5239">
        <v>3</v>
      </c>
      <c r="X5239">
        <v>2004</v>
      </c>
      <c r="Z5239">
        <v>1</v>
      </c>
      <c r="AA5239" t="s">
        <v>26</v>
      </c>
      <c r="AB5239">
        <v>0</v>
      </c>
      <c r="AC5239" t="s">
        <v>115</v>
      </c>
      <c r="AD5239">
        <v>2</v>
      </c>
      <c r="AE5239" t="s">
        <v>115</v>
      </c>
      <c r="AF5239">
        <v>0</v>
      </c>
      <c r="AG5239">
        <v>0</v>
      </c>
      <c r="AH5239" t="s">
        <v>116</v>
      </c>
      <c r="AI5239" s="1">
        <v>94558</v>
      </c>
      <c r="AJ5239" s="2">
        <v>0.27</v>
      </c>
      <c r="AK5239" s="1">
        <v>355040</v>
      </c>
      <c r="AL5239" t="s">
        <v>117</v>
      </c>
      <c r="AM5239" t="s">
        <v>191</v>
      </c>
      <c r="AN5239">
        <v>8510</v>
      </c>
      <c r="AO5239">
        <v>0.2</v>
      </c>
      <c r="AP5239">
        <v>1</v>
      </c>
      <c r="AR5239">
        <v>1</v>
      </c>
      <c r="AS5239" s="1">
        <v>24320</v>
      </c>
      <c r="AT5239" s="1">
        <v>4860</v>
      </c>
      <c r="AU5239" s="1">
        <v>19460</v>
      </c>
      <c r="AV5239">
        <v>80.02</v>
      </c>
      <c r="AX5239" s="1">
        <v>2088.86</v>
      </c>
      <c r="AY5239" t="s">
        <v>192</v>
      </c>
      <c r="AZ5239" t="s">
        <v>193</v>
      </c>
      <c r="BA5239" t="s">
        <v>194</v>
      </c>
      <c r="BE5239" s="3">
        <v>42292</v>
      </c>
      <c r="BF5239" s="1">
        <v>255000</v>
      </c>
      <c r="BG5239" t="s">
        <v>32421</v>
      </c>
      <c r="BH5239" s="1">
        <v>114.61</v>
      </c>
      <c r="BI5239" s="1">
        <v>260482</v>
      </c>
      <c r="BJ5239" s="3">
        <v>42292</v>
      </c>
      <c r="BK5239" t="s">
        <v>123</v>
      </c>
      <c r="BL5239" t="str">
        <f>"2015.742260"</f>
        <v>2015.742260</v>
      </c>
      <c r="BM5239" t="s">
        <v>135</v>
      </c>
      <c r="BO5239" t="s">
        <v>32422</v>
      </c>
      <c r="BP5239" t="s">
        <v>32423</v>
      </c>
      <c r="BS5239">
        <v>30</v>
      </c>
      <c r="BW5239" t="str">
        <f>""</f>
        <v/>
      </c>
      <c r="CH5239" t="str">
        <f>""</f>
        <v/>
      </c>
      <c r="CS5239" t="str">
        <f>""</f>
        <v/>
      </c>
    </row>
    <row r="5240" spans="1:97" x14ac:dyDescent="0.25">
      <c r="A5240" t="s">
        <v>996</v>
      </c>
      <c r="B5240" t="s">
        <v>28123</v>
      </c>
      <c r="E5240" t="s">
        <v>32424</v>
      </c>
      <c r="F5240" t="s">
        <v>108</v>
      </c>
      <c r="H5240" t="s">
        <v>32425</v>
      </c>
      <c r="I5240" t="s">
        <v>110</v>
      </c>
      <c r="J5240" t="s">
        <v>111</v>
      </c>
      <c r="K5240" t="str">
        <f>"85286"</f>
        <v>85286</v>
      </c>
      <c r="L5240" t="s">
        <v>5429</v>
      </c>
      <c r="M5240" t="s">
        <v>32425</v>
      </c>
      <c r="N5240" t="s">
        <v>110</v>
      </c>
      <c r="O5240" t="s">
        <v>111</v>
      </c>
      <c r="P5240" t="str">
        <f>"85286"</f>
        <v>85286</v>
      </c>
      <c r="Q5240" t="s">
        <v>113</v>
      </c>
      <c r="R5240" t="str">
        <f>"303-26-724"</f>
        <v>303-26-724</v>
      </c>
      <c r="S5240" t="s">
        <v>6014</v>
      </c>
      <c r="T5240" t="s">
        <v>6014</v>
      </c>
      <c r="U5240">
        <v>1661</v>
      </c>
      <c r="V5240">
        <v>0</v>
      </c>
      <c r="W5240">
        <v>3</v>
      </c>
      <c r="X5240">
        <v>1994</v>
      </c>
      <c r="Z5240">
        <v>1</v>
      </c>
      <c r="AA5240" t="s">
        <v>26</v>
      </c>
      <c r="AB5240">
        <v>0</v>
      </c>
      <c r="AC5240" t="s">
        <v>115</v>
      </c>
      <c r="AD5240">
        <v>2</v>
      </c>
      <c r="AE5240" t="s">
        <v>115</v>
      </c>
      <c r="AF5240">
        <v>0</v>
      </c>
      <c r="AG5240">
        <v>0</v>
      </c>
      <c r="AH5240" t="s">
        <v>116</v>
      </c>
      <c r="AI5240" s="1">
        <v>57044</v>
      </c>
      <c r="AJ5240" s="2">
        <v>0.17</v>
      </c>
      <c r="AK5240" s="1">
        <v>329784</v>
      </c>
      <c r="AL5240" t="s">
        <v>117</v>
      </c>
      <c r="AM5240" t="s">
        <v>118</v>
      </c>
      <c r="AN5240">
        <v>6103</v>
      </c>
      <c r="AO5240">
        <v>0.14000000000000001</v>
      </c>
      <c r="AP5240">
        <v>1</v>
      </c>
      <c r="AR5240">
        <v>1</v>
      </c>
      <c r="AS5240" s="1">
        <v>24430</v>
      </c>
      <c r="AT5240" s="1">
        <v>4880</v>
      </c>
      <c r="AU5240" s="1">
        <v>19550</v>
      </c>
      <c r="AV5240">
        <v>80.02</v>
      </c>
      <c r="AX5240" s="1">
        <v>1966.78</v>
      </c>
      <c r="AY5240" t="s">
        <v>6015</v>
      </c>
      <c r="AZ5240" t="s">
        <v>1882</v>
      </c>
      <c r="BA5240" t="s">
        <v>121</v>
      </c>
      <c r="BE5240" s="3">
        <v>42551</v>
      </c>
      <c r="BF5240" s="1">
        <v>267000</v>
      </c>
      <c r="BG5240" t="s">
        <v>32426</v>
      </c>
      <c r="BH5240" s="1">
        <v>160.75</v>
      </c>
      <c r="BI5240" s="1">
        <v>272740</v>
      </c>
      <c r="BJ5240" s="3">
        <v>42551</v>
      </c>
      <c r="BK5240" t="s">
        <v>123</v>
      </c>
      <c r="BL5240" t="str">
        <f>"2016.460312"</f>
        <v>2016.460312</v>
      </c>
      <c r="BM5240" t="s">
        <v>3810</v>
      </c>
      <c r="BO5240" t="s">
        <v>32427</v>
      </c>
      <c r="BS5240">
        <v>30</v>
      </c>
      <c r="BW5240" t="str">
        <f>""</f>
        <v/>
      </c>
      <c r="CH5240" t="str">
        <f>""</f>
        <v/>
      </c>
      <c r="CS5240" t="str">
        <f>""</f>
        <v/>
      </c>
    </row>
    <row r="5241" spans="1:97" x14ac:dyDescent="0.25">
      <c r="A5241" t="s">
        <v>1340</v>
      </c>
      <c r="B5241" t="s">
        <v>32428</v>
      </c>
      <c r="E5241" t="s">
        <v>32429</v>
      </c>
      <c r="F5241" t="s">
        <v>108</v>
      </c>
      <c r="H5241" t="s">
        <v>32430</v>
      </c>
      <c r="I5241" t="s">
        <v>2874</v>
      </c>
      <c r="J5241" t="s">
        <v>111</v>
      </c>
      <c r="K5241" t="str">
        <f>"85308"</f>
        <v>85308</v>
      </c>
      <c r="L5241" t="s">
        <v>5709</v>
      </c>
      <c r="M5241" t="s">
        <v>32430</v>
      </c>
      <c r="N5241" t="s">
        <v>2874</v>
      </c>
      <c r="O5241" t="s">
        <v>111</v>
      </c>
      <c r="P5241" t="str">
        <f>"85308-1314"</f>
        <v>85308-1314</v>
      </c>
      <c r="Q5241" t="s">
        <v>113</v>
      </c>
      <c r="R5241" t="str">
        <f>"200-49-755"</f>
        <v>200-49-755</v>
      </c>
      <c r="S5241" t="s">
        <v>14382</v>
      </c>
      <c r="T5241" t="s">
        <v>14383</v>
      </c>
      <c r="U5241">
        <v>2171</v>
      </c>
      <c r="V5241">
        <v>0</v>
      </c>
      <c r="W5241">
        <v>3</v>
      </c>
      <c r="X5241">
        <v>1995</v>
      </c>
      <c r="Z5241">
        <v>1</v>
      </c>
      <c r="AA5241" t="s">
        <v>26</v>
      </c>
      <c r="AB5241">
        <v>0</v>
      </c>
      <c r="AC5241" t="s">
        <v>115</v>
      </c>
      <c r="AD5241">
        <v>2</v>
      </c>
      <c r="AE5241" t="s">
        <v>115</v>
      </c>
      <c r="AF5241">
        <v>0</v>
      </c>
      <c r="AG5241">
        <v>0</v>
      </c>
      <c r="AH5241" t="s">
        <v>116</v>
      </c>
      <c r="AI5241" s="1">
        <v>40393</v>
      </c>
      <c r="AJ5241" s="2">
        <v>0.12</v>
      </c>
      <c r="AK5241" s="1">
        <v>346161</v>
      </c>
      <c r="AL5241" t="s">
        <v>117</v>
      </c>
      <c r="AM5241" t="s">
        <v>393</v>
      </c>
      <c r="AN5241">
        <v>8761</v>
      </c>
      <c r="AO5241">
        <v>0.2</v>
      </c>
      <c r="AP5241">
        <v>1</v>
      </c>
      <c r="AR5241">
        <v>1</v>
      </c>
      <c r="AS5241" s="1">
        <v>24450</v>
      </c>
      <c r="AT5241" s="1">
        <v>4890</v>
      </c>
      <c r="AU5241" s="1">
        <v>19560</v>
      </c>
      <c r="AV5241">
        <v>80</v>
      </c>
      <c r="AX5241" s="1">
        <v>1827</v>
      </c>
      <c r="AY5241" t="s">
        <v>7007</v>
      </c>
      <c r="AZ5241" t="s">
        <v>5142</v>
      </c>
      <c r="BA5241" t="s">
        <v>5143</v>
      </c>
      <c r="BE5241" s="3">
        <v>41725</v>
      </c>
      <c r="BF5241" s="1">
        <v>263000</v>
      </c>
      <c r="BG5241" t="s">
        <v>32431</v>
      </c>
      <c r="BH5241" s="1">
        <v>121.14</v>
      </c>
      <c r="BI5241" s="1">
        <v>305768</v>
      </c>
      <c r="BJ5241" s="3">
        <v>42789</v>
      </c>
      <c r="BK5241" t="s">
        <v>123</v>
      </c>
      <c r="BL5241" t="str">
        <f>"2017.130067"</f>
        <v>2017.130067</v>
      </c>
      <c r="BM5241" t="s">
        <v>14241</v>
      </c>
      <c r="BO5241" t="s">
        <v>32432</v>
      </c>
      <c r="BS5241">
        <v>25</v>
      </c>
      <c r="BW5241" t="str">
        <f>""</f>
        <v/>
      </c>
      <c r="CH5241" t="str">
        <f>""</f>
        <v/>
      </c>
      <c r="CS5241" t="str">
        <f>""</f>
        <v/>
      </c>
    </row>
    <row r="5242" spans="1:97" x14ac:dyDescent="0.25">
      <c r="A5242" t="s">
        <v>996</v>
      </c>
      <c r="B5242" t="s">
        <v>9791</v>
      </c>
      <c r="C5242" t="s">
        <v>364</v>
      </c>
      <c r="D5242" t="s">
        <v>9791</v>
      </c>
      <c r="E5242" t="s">
        <v>32433</v>
      </c>
      <c r="F5242" t="s">
        <v>108</v>
      </c>
      <c r="H5242" t="s">
        <v>32434</v>
      </c>
      <c r="I5242" t="s">
        <v>453</v>
      </c>
      <c r="J5242" t="s">
        <v>111</v>
      </c>
      <c r="K5242" t="str">
        <f>"85381"</f>
        <v>85381</v>
      </c>
      <c r="L5242" t="s">
        <v>6333</v>
      </c>
      <c r="M5242" t="s">
        <v>32434</v>
      </c>
      <c r="N5242" t="s">
        <v>453</v>
      </c>
      <c r="O5242" t="s">
        <v>111</v>
      </c>
      <c r="P5242" t="str">
        <f>"85381-3429"</f>
        <v>85381-3429</v>
      </c>
      <c r="Q5242" t="s">
        <v>113</v>
      </c>
      <c r="R5242" t="str">
        <f>"200-62-888"</f>
        <v>200-62-888</v>
      </c>
      <c r="S5242" t="s">
        <v>6334</v>
      </c>
      <c r="T5242" t="s">
        <v>6335</v>
      </c>
      <c r="U5242">
        <v>3131</v>
      </c>
      <c r="V5242">
        <v>0</v>
      </c>
      <c r="W5242">
        <v>4</v>
      </c>
      <c r="X5242">
        <v>1998</v>
      </c>
      <c r="Z5242">
        <v>2</v>
      </c>
      <c r="AB5242">
        <v>0</v>
      </c>
      <c r="AC5242" t="s">
        <v>115</v>
      </c>
      <c r="AD5242">
        <v>3</v>
      </c>
      <c r="AE5242" t="s">
        <v>115</v>
      </c>
      <c r="AF5242">
        <v>0</v>
      </c>
      <c r="AG5242">
        <v>0</v>
      </c>
      <c r="AH5242" t="s">
        <v>116</v>
      </c>
      <c r="AI5242" s="1">
        <v>65962</v>
      </c>
      <c r="AJ5242" s="2">
        <v>0.16</v>
      </c>
      <c r="AK5242" s="1">
        <v>410362</v>
      </c>
      <c r="AL5242" t="s">
        <v>117</v>
      </c>
      <c r="AM5242" t="s">
        <v>1302</v>
      </c>
      <c r="AN5242">
        <v>14100</v>
      </c>
      <c r="AO5242">
        <v>0.32</v>
      </c>
      <c r="AP5242">
        <v>1</v>
      </c>
      <c r="AR5242">
        <v>1</v>
      </c>
      <c r="AS5242" s="1">
        <v>28800</v>
      </c>
      <c r="AT5242" s="1">
        <v>5760</v>
      </c>
      <c r="AU5242" s="1">
        <v>23040</v>
      </c>
      <c r="AV5242">
        <v>80</v>
      </c>
      <c r="AX5242" s="1">
        <v>2476.7600000000002</v>
      </c>
      <c r="AY5242" t="s">
        <v>1799</v>
      </c>
      <c r="AZ5242" t="s">
        <v>1799</v>
      </c>
      <c r="BA5242" t="s">
        <v>1800</v>
      </c>
      <c r="BE5242" s="3">
        <v>42398</v>
      </c>
      <c r="BF5242" s="1">
        <v>339000</v>
      </c>
      <c r="BG5242" t="s">
        <v>32435</v>
      </c>
      <c r="BH5242" s="1">
        <v>108.27</v>
      </c>
      <c r="BI5242" s="1">
        <v>344400</v>
      </c>
      <c r="BJ5242" s="3">
        <v>42689</v>
      </c>
      <c r="BK5242" t="s">
        <v>123</v>
      </c>
      <c r="BL5242" t="str">
        <f>"2016.842254"</f>
        <v>2016.842254</v>
      </c>
      <c r="BM5242" t="s">
        <v>1848</v>
      </c>
      <c r="BO5242" t="s">
        <v>32436</v>
      </c>
      <c r="BS5242">
        <v>30</v>
      </c>
      <c r="BW5242" t="str">
        <f>""</f>
        <v/>
      </c>
      <c r="CH5242" t="str">
        <f>""</f>
        <v/>
      </c>
      <c r="CS5242" t="str">
        <f>""</f>
        <v/>
      </c>
    </row>
    <row r="5243" spans="1:97" x14ac:dyDescent="0.25">
      <c r="A5243" t="s">
        <v>1898</v>
      </c>
      <c r="B5243" t="s">
        <v>6227</v>
      </c>
      <c r="E5243" t="s">
        <v>32437</v>
      </c>
      <c r="F5243" t="s">
        <v>108</v>
      </c>
      <c r="H5243" t="s">
        <v>32438</v>
      </c>
      <c r="I5243" t="s">
        <v>632</v>
      </c>
      <c r="J5243" t="s">
        <v>111</v>
      </c>
      <c r="K5243" t="str">
        <f>"85379"</f>
        <v>85379</v>
      </c>
      <c r="L5243" t="s">
        <v>454</v>
      </c>
      <c r="M5243" t="s">
        <v>32438</v>
      </c>
      <c r="N5243" t="s">
        <v>632</v>
      </c>
      <c r="O5243" t="s">
        <v>111</v>
      </c>
      <c r="P5243" t="str">
        <f>"85379-1070"</f>
        <v>85379-1070</v>
      </c>
      <c r="Q5243" t="s">
        <v>113</v>
      </c>
      <c r="R5243" t="str">
        <f>"501-46-581"</f>
        <v>501-46-581</v>
      </c>
      <c r="S5243" t="s">
        <v>5319</v>
      </c>
      <c r="U5243">
        <v>3207</v>
      </c>
      <c r="V5243">
        <v>0</v>
      </c>
      <c r="W5243">
        <v>3</v>
      </c>
      <c r="X5243">
        <v>2007</v>
      </c>
      <c r="Z5243">
        <v>2</v>
      </c>
      <c r="AB5243">
        <v>0</v>
      </c>
      <c r="AC5243" t="s">
        <v>115</v>
      </c>
      <c r="AD5243">
        <v>2</v>
      </c>
      <c r="AE5243" t="s">
        <v>115</v>
      </c>
      <c r="AF5243">
        <v>0</v>
      </c>
      <c r="AG5243">
        <v>0</v>
      </c>
      <c r="AH5243" t="s">
        <v>116</v>
      </c>
      <c r="AI5243" s="1">
        <v>66490</v>
      </c>
      <c r="AJ5243" s="2">
        <v>0.21</v>
      </c>
      <c r="AK5243" s="1">
        <v>319678</v>
      </c>
      <c r="AL5243" t="s">
        <v>117</v>
      </c>
      <c r="AM5243" t="s">
        <v>118</v>
      </c>
      <c r="AN5243">
        <v>6380</v>
      </c>
      <c r="AO5243">
        <v>0.15</v>
      </c>
      <c r="AR5243">
        <v>1</v>
      </c>
      <c r="AS5243" s="1">
        <v>22330</v>
      </c>
      <c r="AT5243" s="1">
        <v>4460</v>
      </c>
      <c r="AU5243" s="1">
        <v>17870</v>
      </c>
      <c r="AV5243">
        <v>80.03</v>
      </c>
      <c r="AX5243" s="1">
        <v>2011.7</v>
      </c>
      <c r="AY5243" t="s">
        <v>5060</v>
      </c>
      <c r="AZ5243" t="s">
        <v>5060</v>
      </c>
      <c r="BA5243" t="s">
        <v>5061</v>
      </c>
      <c r="BE5243" s="3">
        <v>41695</v>
      </c>
      <c r="BF5243" s="1">
        <v>205500</v>
      </c>
      <c r="BG5243" t="s">
        <v>32439</v>
      </c>
      <c r="BH5243" s="1">
        <v>64.08</v>
      </c>
      <c r="BI5243" s="1">
        <v>253188</v>
      </c>
      <c r="BJ5243" s="3">
        <v>42473</v>
      </c>
      <c r="BK5243" t="s">
        <v>123</v>
      </c>
      <c r="BL5243" t="str">
        <f>"2016.242783"</f>
        <v>2016.242783</v>
      </c>
      <c r="BM5243" t="s">
        <v>361</v>
      </c>
      <c r="BO5243" t="s">
        <v>32440</v>
      </c>
      <c r="BQ5243" t="str">
        <f>"2.9900%"</f>
        <v>2.9900%</v>
      </c>
      <c r="BR5243" t="s">
        <v>1480</v>
      </c>
      <c r="BS5243">
        <v>30</v>
      </c>
      <c r="BW5243" t="str">
        <f>""</f>
        <v/>
      </c>
      <c r="CH5243" t="str">
        <f>""</f>
        <v/>
      </c>
      <c r="CS5243" t="str">
        <f>""</f>
        <v/>
      </c>
    </row>
    <row r="5244" spans="1:97" x14ac:dyDescent="0.25">
      <c r="A5244" t="s">
        <v>28526</v>
      </c>
      <c r="B5244" t="s">
        <v>32441</v>
      </c>
      <c r="E5244" t="s">
        <v>32442</v>
      </c>
      <c r="F5244" t="s">
        <v>108</v>
      </c>
      <c r="H5244" t="s">
        <v>32443</v>
      </c>
      <c r="I5244" t="s">
        <v>203</v>
      </c>
      <c r="J5244" t="s">
        <v>111</v>
      </c>
      <c r="K5244" t="str">
        <f>"85295"</f>
        <v>85295</v>
      </c>
      <c r="L5244" t="s">
        <v>5260</v>
      </c>
      <c r="M5244" t="s">
        <v>32443</v>
      </c>
      <c r="N5244" t="s">
        <v>203</v>
      </c>
      <c r="O5244" t="s">
        <v>111</v>
      </c>
      <c r="P5244" t="str">
        <f>"85295-1568"</f>
        <v>85295-1568</v>
      </c>
      <c r="Q5244" t="s">
        <v>113</v>
      </c>
      <c r="R5244" t="str">
        <f>"304-48-132"</f>
        <v>304-48-132</v>
      </c>
      <c r="S5244" t="s">
        <v>5261</v>
      </c>
      <c r="T5244" t="s">
        <v>5262</v>
      </c>
      <c r="U5244">
        <v>1623</v>
      </c>
      <c r="V5244">
        <v>0</v>
      </c>
      <c r="W5244">
        <v>3</v>
      </c>
      <c r="X5244">
        <v>2001</v>
      </c>
      <c r="Z5244">
        <v>1</v>
      </c>
      <c r="AB5244">
        <v>0</v>
      </c>
      <c r="AC5244" t="s">
        <v>115</v>
      </c>
      <c r="AD5244">
        <v>2</v>
      </c>
      <c r="AE5244" t="s">
        <v>115</v>
      </c>
      <c r="AF5244">
        <v>0</v>
      </c>
      <c r="AG5244">
        <v>0</v>
      </c>
      <c r="AH5244" t="s">
        <v>116</v>
      </c>
      <c r="AI5244" s="1">
        <v>86010</v>
      </c>
      <c r="AJ5244" s="2">
        <v>0.28999999999999998</v>
      </c>
      <c r="AK5244" s="1">
        <v>301010</v>
      </c>
      <c r="AL5244" t="s">
        <v>117</v>
      </c>
      <c r="AM5244" t="s">
        <v>191</v>
      </c>
      <c r="AN5244">
        <v>7020</v>
      </c>
      <c r="AO5244">
        <v>0.16</v>
      </c>
      <c r="AP5244">
        <v>1</v>
      </c>
      <c r="AR5244">
        <v>1</v>
      </c>
      <c r="AS5244" s="1">
        <v>20480</v>
      </c>
      <c r="AT5244" s="1">
        <v>4090</v>
      </c>
      <c r="AU5244" s="1">
        <v>16390</v>
      </c>
      <c r="AV5244">
        <v>80.03</v>
      </c>
      <c r="AX5244" s="1">
        <v>1627.76</v>
      </c>
      <c r="AY5244" t="s">
        <v>5087</v>
      </c>
      <c r="AZ5244" t="s">
        <v>5087</v>
      </c>
      <c r="BA5244" t="s">
        <v>473</v>
      </c>
      <c r="BE5244" s="3">
        <v>42156</v>
      </c>
      <c r="BF5244" s="1">
        <v>215000</v>
      </c>
      <c r="BG5244" t="s">
        <v>32444</v>
      </c>
      <c r="BH5244" s="1">
        <v>132.47</v>
      </c>
      <c r="BI5244" s="1">
        <v>215000</v>
      </c>
      <c r="BJ5244" s="3">
        <v>42156</v>
      </c>
      <c r="BK5244" t="s">
        <v>123</v>
      </c>
      <c r="BL5244" t="str">
        <f>"2015.389617"</f>
        <v>2015.389617</v>
      </c>
      <c r="BM5244" t="s">
        <v>1325</v>
      </c>
      <c r="BO5244" t="s">
        <v>32445</v>
      </c>
      <c r="BS5244">
        <v>30</v>
      </c>
      <c r="BW5244" t="str">
        <f>""</f>
        <v/>
      </c>
      <c r="CH5244" t="str">
        <f>""</f>
        <v/>
      </c>
      <c r="CS5244" t="str">
        <f>""</f>
        <v/>
      </c>
    </row>
    <row r="5245" spans="1:97" x14ac:dyDescent="0.25">
      <c r="A5245" t="s">
        <v>1109</v>
      </c>
      <c r="B5245" t="s">
        <v>32446</v>
      </c>
      <c r="C5245" t="s">
        <v>933</v>
      </c>
      <c r="D5245" t="s">
        <v>32446</v>
      </c>
      <c r="E5245" t="s">
        <v>32447</v>
      </c>
      <c r="F5245" t="s">
        <v>108</v>
      </c>
      <c r="H5245" t="s">
        <v>32448</v>
      </c>
      <c r="I5245" t="s">
        <v>3150</v>
      </c>
      <c r="J5245" t="s">
        <v>111</v>
      </c>
      <c r="K5245" t="str">
        <f>"85340"</f>
        <v>85340</v>
      </c>
      <c r="L5245" t="s">
        <v>5176</v>
      </c>
      <c r="M5245" t="s">
        <v>32448</v>
      </c>
      <c r="N5245" t="s">
        <v>3150</v>
      </c>
      <c r="O5245" t="s">
        <v>111</v>
      </c>
      <c r="P5245" t="str">
        <f>"85340-6004"</f>
        <v>85340-6004</v>
      </c>
      <c r="Q5245" t="s">
        <v>113</v>
      </c>
      <c r="R5245" t="str">
        <f>"501-68-579"</f>
        <v>501-68-579</v>
      </c>
      <c r="S5245" t="s">
        <v>28145</v>
      </c>
      <c r="T5245" t="s">
        <v>5178</v>
      </c>
      <c r="U5245">
        <v>2095</v>
      </c>
      <c r="V5245">
        <v>0</v>
      </c>
      <c r="W5245">
        <v>4</v>
      </c>
      <c r="X5245">
        <v>2004</v>
      </c>
      <c r="Z5245">
        <v>1</v>
      </c>
      <c r="AA5245" t="s">
        <v>26</v>
      </c>
      <c r="AB5245">
        <v>0</v>
      </c>
      <c r="AC5245" t="s">
        <v>115</v>
      </c>
      <c r="AD5245">
        <v>2</v>
      </c>
      <c r="AE5245" t="s">
        <v>115</v>
      </c>
      <c r="AF5245">
        <v>0</v>
      </c>
      <c r="AG5245">
        <v>0</v>
      </c>
      <c r="AH5245" t="s">
        <v>116</v>
      </c>
      <c r="AI5245" s="1">
        <v>107381</v>
      </c>
      <c r="AJ5245" s="2">
        <v>0.24</v>
      </c>
      <c r="AK5245" s="1">
        <v>441756</v>
      </c>
      <c r="AL5245" t="s">
        <v>117</v>
      </c>
      <c r="AM5245" t="s">
        <v>171</v>
      </c>
      <c r="AN5245">
        <v>10415</v>
      </c>
      <c r="AO5245">
        <v>0.24</v>
      </c>
      <c r="AP5245">
        <v>1</v>
      </c>
      <c r="AR5245">
        <v>1</v>
      </c>
      <c r="AS5245" s="1">
        <v>30700</v>
      </c>
      <c r="AT5245" s="1">
        <v>6140</v>
      </c>
      <c r="AU5245" s="1">
        <v>24560</v>
      </c>
      <c r="AV5245">
        <v>80</v>
      </c>
      <c r="AX5245" s="1">
        <v>3047.34</v>
      </c>
      <c r="AY5245" t="s">
        <v>3020</v>
      </c>
      <c r="AZ5245" t="s">
        <v>3020</v>
      </c>
      <c r="BA5245" t="s">
        <v>3154</v>
      </c>
      <c r="BB5245" s="3">
        <v>43290</v>
      </c>
      <c r="BC5245" s="1">
        <v>0</v>
      </c>
      <c r="BD5245" t="s">
        <v>247</v>
      </c>
      <c r="BE5245" s="3">
        <v>42103</v>
      </c>
      <c r="BF5245" s="1">
        <v>343500</v>
      </c>
      <c r="BG5245" t="s">
        <v>32449</v>
      </c>
      <c r="BH5245" s="1">
        <v>163.96</v>
      </c>
      <c r="BI5245" s="1">
        <v>334375</v>
      </c>
      <c r="BJ5245" s="3">
        <v>42103</v>
      </c>
      <c r="BK5245" t="s">
        <v>123</v>
      </c>
      <c r="BL5245" t="str">
        <f>"2015.243631"</f>
        <v>2015.243631</v>
      </c>
      <c r="BM5245" t="s">
        <v>1185</v>
      </c>
      <c r="BN5245" t="s">
        <v>6728</v>
      </c>
      <c r="BO5245" t="s">
        <v>32450</v>
      </c>
      <c r="BS5245">
        <v>30</v>
      </c>
      <c r="BW5245" t="str">
        <f>""</f>
        <v/>
      </c>
      <c r="CH5245" t="str">
        <f>""</f>
        <v/>
      </c>
      <c r="CS5245" t="str">
        <f>""</f>
        <v/>
      </c>
    </row>
    <row r="5246" spans="1:97" x14ac:dyDescent="0.25">
      <c r="A5246" t="s">
        <v>1577</v>
      </c>
      <c r="B5246" t="s">
        <v>32451</v>
      </c>
      <c r="C5246" t="s">
        <v>585</v>
      </c>
      <c r="D5246" t="s">
        <v>32451</v>
      </c>
      <c r="E5246" t="s">
        <v>32452</v>
      </c>
      <c r="F5246" t="s">
        <v>108</v>
      </c>
      <c r="H5246" t="s">
        <v>32453</v>
      </c>
      <c r="I5246" t="s">
        <v>390</v>
      </c>
      <c r="J5246" t="s">
        <v>111</v>
      </c>
      <c r="K5246" t="str">
        <f>"85023"</f>
        <v>85023</v>
      </c>
      <c r="L5246" t="s">
        <v>7626</v>
      </c>
      <c r="M5246" t="s">
        <v>32453</v>
      </c>
      <c r="N5246" t="s">
        <v>390</v>
      </c>
      <c r="O5246" t="s">
        <v>111</v>
      </c>
      <c r="P5246" t="str">
        <f>"85023-7436"</f>
        <v>85023-7436</v>
      </c>
      <c r="Q5246" t="s">
        <v>113</v>
      </c>
      <c r="R5246" t="str">
        <f>"208-34-436"</f>
        <v>208-34-436</v>
      </c>
      <c r="S5246" t="s">
        <v>32454</v>
      </c>
      <c r="T5246" t="s">
        <v>32455</v>
      </c>
      <c r="U5246">
        <v>1558</v>
      </c>
      <c r="V5246">
        <v>0</v>
      </c>
      <c r="W5246">
        <v>3</v>
      </c>
      <c r="X5246">
        <v>1987</v>
      </c>
      <c r="Z5246">
        <v>1</v>
      </c>
      <c r="AB5246">
        <v>0</v>
      </c>
      <c r="AC5246" t="s">
        <v>115</v>
      </c>
      <c r="AD5246">
        <v>2</v>
      </c>
      <c r="AE5246" t="s">
        <v>115</v>
      </c>
      <c r="AF5246">
        <v>0</v>
      </c>
      <c r="AG5246">
        <v>0</v>
      </c>
      <c r="AH5246" t="s">
        <v>116</v>
      </c>
      <c r="AI5246" s="1">
        <v>57625</v>
      </c>
      <c r="AJ5246" s="2">
        <v>0.19</v>
      </c>
      <c r="AK5246" s="1">
        <v>305441</v>
      </c>
      <c r="AL5246" t="s">
        <v>117</v>
      </c>
      <c r="AM5246" t="s">
        <v>1315</v>
      </c>
      <c r="AN5246">
        <v>4122</v>
      </c>
      <c r="AO5246">
        <v>0.95</v>
      </c>
      <c r="AP5246">
        <v>1</v>
      </c>
      <c r="AR5246">
        <v>1</v>
      </c>
      <c r="AS5246" s="1">
        <v>20470</v>
      </c>
      <c r="AT5246" s="1">
        <v>4090</v>
      </c>
      <c r="AU5246" s="1">
        <v>16380</v>
      </c>
      <c r="AV5246">
        <v>80.02</v>
      </c>
      <c r="AX5246" s="1">
        <v>2183.6799999999998</v>
      </c>
      <c r="AY5246" t="s">
        <v>9170</v>
      </c>
      <c r="AZ5246" t="s">
        <v>8648</v>
      </c>
      <c r="BA5246" t="s">
        <v>8649</v>
      </c>
      <c r="BE5246" s="3">
        <v>41957</v>
      </c>
      <c r="BF5246" s="1">
        <v>239900</v>
      </c>
      <c r="BG5246" t="s">
        <v>32456</v>
      </c>
      <c r="BH5246" s="1">
        <v>153.97999999999999</v>
      </c>
      <c r="BI5246" s="1">
        <v>247816</v>
      </c>
      <c r="BJ5246" s="3">
        <v>41957</v>
      </c>
      <c r="BK5246" t="s">
        <v>123</v>
      </c>
      <c r="BL5246" t="str">
        <f>"2014.753543"</f>
        <v>2014.753543</v>
      </c>
      <c r="BM5246" t="s">
        <v>175</v>
      </c>
      <c r="BO5246" t="s">
        <v>32457</v>
      </c>
      <c r="BS5246">
        <v>30</v>
      </c>
      <c r="BW5246" t="str">
        <f>""</f>
        <v/>
      </c>
      <c r="CH5246" t="str">
        <f>""</f>
        <v/>
      </c>
      <c r="CS5246" t="str">
        <f>""</f>
        <v/>
      </c>
    </row>
    <row r="5247" spans="1:97" x14ac:dyDescent="0.25">
      <c r="A5247" t="s">
        <v>1181</v>
      </c>
      <c r="B5247" t="s">
        <v>32458</v>
      </c>
      <c r="C5247" t="s">
        <v>370</v>
      </c>
      <c r="D5247" t="s">
        <v>32458</v>
      </c>
      <c r="E5247" t="s">
        <v>32459</v>
      </c>
      <c r="F5247" t="s">
        <v>108</v>
      </c>
      <c r="H5247" t="s">
        <v>32460</v>
      </c>
      <c r="I5247" t="s">
        <v>110</v>
      </c>
      <c r="J5247" t="s">
        <v>111</v>
      </c>
      <c r="K5247" t="str">
        <f>"85249"</f>
        <v>85249</v>
      </c>
      <c r="L5247" t="s">
        <v>681</v>
      </c>
      <c r="M5247" t="s">
        <v>32460</v>
      </c>
      <c r="N5247" t="s">
        <v>110</v>
      </c>
      <c r="O5247" t="s">
        <v>111</v>
      </c>
      <c r="P5247" t="str">
        <f>"85249-4731"</f>
        <v>85249-4731</v>
      </c>
      <c r="Q5247" t="s">
        <v>113</v>
      </c>
      <c r="R5247" t="str">
        <f>"303-45-241"</f>
        <v>303-45-241</v>
      </c>
      <c r="S5247" t="s">
        <v>31810</v>
      </c>
      <c r="T5247" t="s">
        <v>31811</v>
      </c>
      <c r="U5247">
        <v>4461</v>
      </c>
      <c r="V5247">
        <v>0</v>
      </c>
      <c r="W5247">
        <v>5</v>
      </c>
      <c r="X5247">
        <v>2001</v>
      </c>
      <c r="Z5247">
        <v>2</v>
      </c>
      <c r="AB5247">
        <v>0</v>
      </c>
      <c r="AC5247" t="s">
        <v>115</v>
      </c>
      <c r="AD5247">
        <v>3</v>
      </c>
      <c r="AE5247" t="s">
        <v>115</v>
      </c>
      <c r="AF5247">
        <v>0</v>
      </c>
      <c r="AG5247">
        <v>0</v>
      </c>
      <c r="AH5247" t="s">
        <v>116</v>
      </c>
      <c r="AI5247" s="1">
        <v>84326</v>
      </c>
      <c r="AJ5247" s="2">
        <v>0.17</v>
      </c>
      <c r="AK5247" s="1">
        <v>489326</v>
      </c>
      <c r="AL5247" t="s">
        <v>117</v>
      </c>
      <c r="AM5247" t="s">
        <v>1302</v>
      </c>
      <c r="AN5247">
        <v>11335</v>
      </c>
      <c r="AO5247">
        <v>0.26</v>
      </c>
      <c r="AP5247">
        <v>1</v>
      </c>
      <c r="AR5247">
        <v>1</v>
      </c>
      <c r="AS5247" s="1">
        <v>34960</v>
      </c>
      <c r="AT5247" s="1">
        <v>6990</v>
      </c>
      <c r="AU5247" s="1">
        <v>27970</v>
      </c>
      <c r="AV5247">
        <v>80.010000000000005</v>
      </c>
      <c r="AX5247" s="1">
        <v>3480.1</v>
      </c>
      <c r="AY5247" t="s">
        <v>6854</v>
      </c>
      <c r="AZ5247" t="s">
        <v>120</v>
      </c>
      <c r="BA5247" t="s">
        <v>274</v>
      </c>
      <c r="BE5247" s="3">
        <v>42465</v>
      </c>
      <c r="BF5247" s="1">
        <v>405000</v>
      </c>
      <c r="BG5247" t="s">
        <v>6855</v>
      </c>
      <c r="BH5247" s="1">
        <v>90.79</v>
      </c>
      <c r="BI5247" s="1">
        <v>405000</v>
      </c>
      <c r="BJ5247" s="3">
        <v>42465</v>
      </c>
      <c r="BK5247" t="s">
        <v>123</v>
      </c>
      <c r="BL5247" t="str">
        <f>"2016.223616"</f>
        <v>2016.223616</v>
      </c>
      <c r="BM5247" t="s">
        <v>2716</v>
      </c>
      <c r="BO5247" t="s">
        <v>32461</v>
      </c>
      <c r="BS5247">
        <v>30</v>
      </c>
      <c r="BW5247" t="str">
        <f>""</f>
        <v/>
      </c>
      <c r="CH5247" t="str">
        <f>""</f>
        <v/>
      </c>
      <c r="CS5247" t="str">
        <f>""</f>
        <v/>
      </c>
    </row>
    <row r="5248" spans="1:97" x14ac:dyDescent="0.25">
      <c r="A5248" t="s">
        <v>18714</v>
      </c>
      <c r="B5248" t="s">
        <v>32462</v>
      </c>
      <c r="E5248" t="s">
        <v>32463</v>
      </c>
      <c r="F5248" t="s">
        <v>108</v>
      </c>
      <c r="H5248" t="s">
        <v>32464</v>
      </c>
      <c r="I5248" t="s">
        <v>203</v>
      </c>
      <c r="J5248" t="s">
        <v>111</v>
      </c>
      <c r="K5248" t="str">
        <f>"85296"</f>
        <v>85296</v>
      </c>
      <c r="L5248" t="s">
        <v>469</v>
      </c>
      <c r="M5248" t="s">
        <v>32464</v>
      </c>
      <c r="N5248" t="s">
        <v>203</v>
      </c>
      <c r="O5248" t="s">
        <v>111</v>
      </c>
      <c r="P5248" t="str">
        <f>"85296-2852"</f>
        <v>85296-2852</v>
      </c>
      <c r="Q5248" t="s">
        <v>113</v>
      </c>
      <c r="R5248" t="str">
        <f>"313-14-223"</f>
        <v>313-14-223</v>
      </c>
      <c r="S5248" t="s">
        <v>27432</v>
      </c>
      <c r="T5248" t="s">
        <v>471</v>
      </c>
      <c r="U5248">
        <v>2375</v>
      </c>
      <c r="V5248">
        <v>0</v>
      </c>
      <c r="W5248">
        <v>3</v>
      </c>
      <c r="X5248">
        <v>2012</v>
      </c>
      <c r="Z5248">
        <v>2</v>
      </c>
      <c r="AB5248">
        <v>0</v>
      </c>
      <c r="AC5248" t="s">
        <v>115</v>
      </c>
      <c r="AD5248">
        <v>2</v>
      </c>
      <c r="AE5248" t="s">
        <v>115</v>
      </c>
      <c r="AF5248">
        <v>0</v>
      </c>
      <c r="AG5248">
        <v>0</v>
      </c>
      <c r="AH5248" t="s">
        <v>116</v>
      </c>
      <c r="AI5248" s="1">
        <v>98269</v>
      </c>
      <c r="AJ5248" s="2">
        <v>0.28000000000000003</v>
      </c>
      <c r="AK5248" s="1">
        <v>346694</v>
      </c>
      <c r="AL5248" t="s">
        <v>117</v>
      </c>
      <c r="AM5248" t="s">
        <v>288</v>
      </c>
      <c r="AN5248">
        <v>7396</v>
      </c>
      <c r="AO5248">
        <v>0.17</v>
      </c>
      <c r="AR5248">
        <v>1</v>
      </c>
      <c r="AS5248" s="1">
        <v>23480</v>
      </c>
      <c r="AT5248" s="1">
        <v>4690</v>
      </c>
      <c r="AU5248" s="1">
        <v>18790</v>
      </c>
      <c r="AV5248">
        <v>80.03</v>
      </c>
      <c r="AX5248" s="1">
        <v>1929.28</v>
      </c>
      <c r="AY5248" t="s">
        <v>472</v>
      </c>
      <c r="AZ5248" t="s">
        <v>472</v>
      </c>
      <c r="BA5248" t="s">
        <v>473</v>
      </c>
      <c r="BE5248" s="3">
        <v>42516</v>
      </c>
      <c r="BF5248" s="1">
        <v>261500</v>
      </c>
      <c r="BG5248" t="s">
        <v>30388</v>
      </c>
      <c r="BH5248" s="1">
        <v>110.11</v>
      </c>
      <c r="BI5248" s="1">
        <v>248425</v>
      </c>
      <c r="BJ5248" s="3">
        <v>42516</v>
      </c>
      <c r="BK5248" t="s">
        <v>123</v>
      </c>
      <c r="BL5248" t="str">
        <f>"2016.363533"</f>
        <v>2016.363533</v>
      </c>
      <c r="BM5248" t="s">
        <v>5938</v>
      </c>
      <c r="BO5248" t="s">
        <v>32465</v>
      </c>
      <c r="BS5248">
        <v>30</v>
      </c>
      <c r="BW5248" t="str">
        <f>""</f>
        <v/>
      </c>
      <c r="CH5248" t="str">
        <f>""</f>
        <v/>
      </c>
      <c r="CS5248" t="str">
        <f>""</f>
        <v/>
      </c>
    </row>
    <row r="5249" spans="1:97" x14ac:dyDescent="0.25">
      <c r="A5249" t="s">
        <v>370</v>
      </c>
      <c r="B5249" t="s">
        <v>3333</v>
      </c>
      <c r="E5249" t="s">
        <v>32466</v>
      </c>
      <c r="F5249" t="s">
        <v>108</v>
      </c>
      <c r="H5249" t="s">
        <v>32467</v>
      </c>
      <c r="I5249" t="s">
        <v>632</v>
      </c>
      <c r="J5249" t="s">
        <v>111</v>
      </c>
      <c r="K5249" t="str">
        <f>"85379"</f>
        <v>85379</v>
      </c>
      <c r="L5249" t="s">
        <v>299</v>
      </c>
      <c r="M5249" t="s">
        <v>32467</v>
      </c>
      <c r="N5249" t="s">
        <v>632</v>
      </c>
      <c r="O5249" t="s">
        <v>111</v>
      </c>
      <c r="P5249" t="str">
        <f>"85379-4929"</f>
        <v>85379-4929</v>
      </c>
      <c r="Q5249" t="s">
        <v>113</v>
      </c>
      <c r="R5249" t="str">
        <f>"501-96-868"</f>
        <v>501-96-868</v>
      </c>
      <c r="S5249" t="s">
        <v>32468</v>
      </c>
      <c r="T5249" t="s">
        <v>32469</v>
      </c>
      <c r="U5249">
        <v>3474</v>
      </c>
      <c r="V5249">
        <v>0</v>
      </c>
      <c r="W5249">
        <v>4</v>
      </c>
      <c r="X5249">
        <v>2005</v>
      </c>
      <c r="Z5249">
        <v>2</v>
      </c>
      <c r="AA5249" t="s">
        <v>26</v>
      </c>
      <c r="AB5249">
        <v>0</v>
      </c>
      <c r="AC5249" t="s">
        <v>115</v>
      </c>
      <c r="AD5249">
        <v>4</v>
      </c>
      <c r="AE5249" t="s">
        <v>115</v>
      </c>
      <c r="AF5249">
        <v>0</v>
      </c>
      <c r="AG5249">
        <v>0</v>
      </c>
      <c r="AH5249" t="s">
        <v>116</v>
      </c>
      <c r="AI5249" s="1">
        <v>95080</v>
      </c>
      <c r="AJ5249" s="2">
        <v>0.25</v>
      </c>
      <c r="AK5249" s="1">
        <v>384580</v>
      </c>
      <c r="AL5249" t="s">
        <v>117</v>
      </c>
      <c r="AM5249" t="s">
        <v>171</v>
      </c>
      <c r="AN5249">
        <v>9875</v>
      </c>
      <c r="AO5249">
        <v>0.23</v>
      </c>
      <c r="AR5249">
        <v>1</v>
      </c>
      <c r="AS5249" s="1">
        <v>27900</v>
      </c>
      <c r="AT5249" s="1">
        <v>5580</v>
      </c>
      <c r="AU5249" s="1">
        <v>22320</v>
      </c>
      <c r="AV5249">
        <v>80</v>
      </c>
      <c r="AX5249" s="1">
        <v>2460.88</v>
      </c>
      <c r="AY5249" t="s">
        <v>5615</v>
      </c>
      <c r="AZ5249" t="s">
        <v>5615</v>
      </c>
      <c r="BA5249" t="s">
        <v>635</v>
      </c>
      <c r="BE5249" s="3">
        <v>42068</v>
      </c>
      <c r="BF5249" s="1">
        <v>289500</v>
      </c>
      <c r="BG5249" t="s">
        <v>32470</v>
      </c>
      <c r="BH5249" s="1">
        <v>83.33</v>
      </c>
      <c r="BI5249" s="1">
        <v>289500</v>
      </c>
      <c r="BJ5249" s="3">
        <v>42068</v>
      </c>
      <c r="BK5249" t="s">
        <v>123</v>
      </c>
      <c r="BL5249" t="str">
        <f>"2015.149316"</f>
        <v>2015.149316</v>
      </c>
      <c r="BM5249" t="s">
        <v>843</v>
      </c>
      <c r="BO5249" t="s">
        <v>32471</v>
      </c>
      <c r="BS5249">
        <v>30</v>
      </c>
      <c r="BW5249" t="str">
        <f>""</f>
        <v/>
      </c>
      <c r="CH5249" t="str">
        <f>""</f>
        <v/>
      </c>
      <c r="CS5249" t="str">
        <f>""</f>
        <v/>
      </c>
    </row>
    <row r="5250" spans="1:97" x14ac:dyDescent="0.25">
      <c r="A5250" t="s">
        <v>2852</v>
      </c>
      <c r="B5250" t="s">
        <v>15388</v>
      </c>
      <c r="E5250" t="s">
        <v>32472</v>
      </c>
      <c r="F5250" t="s">
        <v>108</v>
      </c>
      <c r="H5250" t="s">
        <v>32473</v>
      </c>
      <c r="I5250" t="s">
        <v>203</v>
      </c>
      <c r="J5250" t="s">
        <v>111</v>
      </c>
      <c r="K5250" t="str">
        <f>"85233"</f>
        <v>85233</v>
      </c>
      <c r="L5250" t="s">
        <v>1070</v>
      </c>
      <c r="M5250" t="s">
        <v>32473</v>
      </c>
      <c r="N5250" t="s">
        <v>203</v>
      </c>
      <c r="O5250" t="s">
        <v>111</v>
      </c>
      <c r="P5250" t="str">
        <f>"85233-8933"</f>
        <v>85233-8933</v>
      </c>
      <c r="Q5250" t="s">
        <v>113</v>
      </c>
      <c r="R5250" t="str">
        <f>"302-83-521"</f>
        <v>302-83-521</v>
      </c>
      <c r="S5250" t="s">
        <v>32474</v>
      </c>
      <c r="T5250" t="s">
        <v>15306</v>
      </c>
      <c r="U5250">
        <v>2682</v>
      </c>
      <c r="V5250">
        <v>0</v>
      </c>
      <c r="W5250">
        <v>4</v>
      </c>
      <c r="X5250">
        <v>1997</v>
      </c>
      <c r="Z5250">
        <v>2</v>
      </c>
      <c r="AA5250" t="s">
        <v>26</v>
      </c>
      <c r="AB5250">
        <v>0</v>
      </c>
      <c r="AC5250" t="s">
        <v>115</v>
      </c>
      <c r="AD5250">
        <v>3</v>
      </c>
      <c r="AE5250" t="s">
        <v>115</v>
      </c>
      <c r="AF5250">
        <v>0</v>
      </c>
      <c r="AG5250">
        <v>0</v>
      </c>
      <c r="AH5250" t="s">
        <v>116</v>
      </c>
      <c r="AI5250" s="1">
        <v>75466</v>
      </c>
      <c r="AJ5250" s="2">
        <v>0.18</v>
      </c>
      <c r="AK5250" s="1">
        <v>430466</v>
      </c>
      <c r="AL5250" t="s">
        <v>117</v>
      </c>
      <c r="AM5250" t="s">
        <v>393</v>
      </c>
      <c r="AN5250">
        <v>8695</v>
      </c>
      <c r="AO5250">
        <v>0.2</v>
      </c>
      <c r="AP5250">
        <v>1</v>
      </c>
      <c r="AR5250">
        <v>1</v>
      </c>
      <c r="AS5250" s="1">
        <v>31180</v>
      </c>
      <c r="AT5250" s="1">
        <v>6230</v>
      </c>
      <c r="AU5250" s="1">
        <v>24950</v>
      </c>
      <c r="AV5250">
        <v>80.02</v>
      </c>
      <c r="AX5250" s="1">
        <v>2437.88</v>
      </c>
      <c r="AY5250" t="s">
        <v>2905</v>
      </c>
      <c r="AZ5250" t="s">
        <v>2906</v>
      </c>
      <c r="BA5250" t="s">
        <v>303</v>
      </c>
      <c r="BE5250" s="3">
        <v>42192</v>
      </c>
      <c r="BF5250" s="1">
        <v>355000</v>
      </c>
      <c r="BG5250" t="s">
        <v>32475</v>
      </c>
      <c r="BH5250" s="1">
        <v>132.36000000000001</v>
      </c>
      <c r="BI5250" s="1">
        <v>355000</v>
      </c>
      <c r="BJ5250" s="3">
        <v>42192</v>
      </c>
      <c r="BK5250" t="s">
        <v>123</v>
      </c>
      <c r="BL5250" t="str">
        <f>"2015.486180"</f>
        <v>2015.486180</v>
      </c>
      <c r="BM5250" t="s">
        <v>1038</v>
      </c>
      <c r="BO5250" t="s">
        <v>32476</v>
      </c>
      <c r="BS5250">
        <v>30</v>
      </c>
      <c r="BW5250" t="str">
        <f>""</f>
        <v/>
      </c>
      <c r="CH5250" t="str">
        <f>""</f>
        <v/>
      </c>
      <c r="CS5250" t="str">
        <f>""</f>
        <v/>
      </c>
    </row>
    <row r="5251" spans="1:97" x14ac:dyDescent="0.25">
      <c r="A5251" t="s">
        <v>32477</v>
      </c>
      <c r="B5251" t="s">
        <v>17030</v>
      </c>
      <c r="C5251" t="s">
        <v>2762</v>
      </c>
      <c r="D5251" t="s">
        <v>32478</v>
      </c>
      <c r="E5251" t="s">
        <v>32479</v>
      </c>
      <c r="F5251" t="s">
        <v>108</v>
      </c>
      <c r="H5251" t="s">
        <v>32480</v>
      </c>
      <c r="I5251" t="s">
        <v>315</v>
      </c>
      <c r="J5251" t="s">
        <v>111</v>
      </c>
      <c r="K5251" t="str">
        <f>"85335"</f>
        <v>85335</v>
      </c>
      <c r="L5251" t="s">
        <v>316</v>
      </c>
      <c r="M5251" t="s">
        <v>32480</v>
      </c>
      <c r="N5251" t="s">
        <v>315</v>
      </c>
      <c r="O5251" t="s">
        <v>111</v>
      </c>
      <c r="P5251" t="str">
        <f>"85335-6904"</f>
        <v>85335-6904</v>
      </c>
      <c r="Q5251" t="s">
        <v>113</v>
      </c>
      <c r="R5251" t="str">
        <f>"509-17-769"</f>
        <v>509-17-769</v>
      </c>
      <c r="S5251" t="s">
        <v>32481</v>
      </c>
      <c r="T5251" t="s">
        <v>32482</v>
      </c>
      <c r="U5251">
        <v>2556</v>
      </c>
      <c r="V5251">
        <v>0</v>
      </c>
      <c r="W5251">
        <v>4</v>
      </c>
      <c r="X5251">
        <v>2012</v>
      </c>
      <c r="Z5251">
        <v>2</v>
      </c>
      <c r="AB5251">
        <v>0</v>
      </c>
      <c r="AC5251" t="s">
        <v>115</v>
      </c>
      <c r="AD5251">
        <v>2</v>
      </c>
      <c r="AE5251" t="s">
        <v>115</v>
      </c>
      <c r="AF5251">
        <v>0</v>
      </c>
      <c r="AG5251">
        <v>0</v>
      </c>
      <c r="AH5251" t="s">
        <v>116</v>
      </c>
      <c r="AI5251" s="1">
        <v>35481</v>
      </c>
      <c r="AJ5251" s="2">
        <v>0.13</v>
      </c>
      <c r="AK5251" s="1">
        <v>269481</v>
      </c>
      <c r="AL5251" t="s">
        <v>117</v>
      </c>
      <c r="AM5251" t="s">
        <v>319</v>
      </c>
      <c r="AN5251">
        <v>5500</v>
      </c>
      <c r="AO5251">
        <v>0.13</v>
      </c>
      <c r="AR5251">
        <v>1</v>
      </c>
      <c r="AS5251" s="1">
        <v>18730</v>
      </c>
      <c r="AT5251" s="1">
        <v>3740</v>
      </c>
      <c r="AU5251" s="1">
        <v>14990</v>
      </c>
      <c r="AV5251">
        <v>80.03</v>
      </c>
      <c r="AX5251" s="1">
        <v>1440.66</v>
      </c>
      <c r="AY5251" t="s">
        <v>320</v>
      </c>
      <c r="AZ5251" t="s">
        <v>320</v>
      </c>
      <c r="BA5251" t="s">
        <v>321</v>
      </c>
      <c r="BB5251" s="3">
        <v>43028</v>
      </c>
      <c r="BD5251" t="s">
        <v>157</v>
      </c>
      <c r="BE5251" s="3">
        <v>42466</v>
      </c>
      <c r="BF5251" s="1">
        <v>205000</v>
      </c>
      <c r="BG5251" t="s">
        <v>32483</v>
      </c>
      <c r="BH5251" s="1">
        <v>80.2</v>
      </c>
      <c r="BI5251" s="1">
        <v>234000</v>
      </c>
      <c r="BJ5251" s="3">
        <v>43028</v>
      </c>
      <c r="BK5251" t="s">
        <v>123</v>
      </c>
      <c r="BL5251" t="str">
        <f>"2017.778150"</f>
        <v>2017.778150</v>
      </c>
      <c r="BM5251" t="s">
        <v>361</v>
      </c>
      <c r="BO5251" t="s">
        <v>32484</v>
      </c>
      <c r="BP5251" t="s">
        <v>32485</v>
      </c>
      <c r="BS5251">
        <v>30</v>
      </c>
      <c r="BW5251" t="str">
        <f>""</f>
        <v/>
      </c>
      <c r="CH5251" t="str">
        <f>""</f>
        <v/>
      </c>
      <c r="CS5251" t="str">
        <f>""</f>
        <v/>
      </c>
    </row>
    <row r="5252" spans="1:97" x14ac:dyDescent="0.25">
      <c r="B5252" t="s">
        <v>32486</v>
      </c>
      <c r="E5252" t="s">
        <v>32487</v>
      </c>
      <c r="F5252" t="s">
        <v>108</v>
      </c>
      <c r="H5252" t="s">
        <v>32488</v>
      </c>
      <c r="I5252" t="s">
        <v>5863</v>
      </c>
      <c r="J5252" t="s">
        <v>111</v>
      </c>
      <c r="K5252" t="str">
        <f>"85375"</f>
        <v>85375</v>
      </c>
      <c r="L5252" t="s">
        <v>8034</v>
      </c>
      <c r="M5252" t="s">
        <v>32488</v>
      </c>
      <c r="N5252" t="s">
        <v>5863</v>
      </c>
      <c r="O5252" t="s">
        <v>111</v>
      </c>
      <c r="P5252" t="str">
        <f>"85375-2397"</f>
        <v>85375-2397</v>
      </c>
      <c r="Q5252" t="s">
        <v>113</v>
      </c>
      <c r="R5252" t="str">
        <f>"503-84-810"</f>
        <v>503-84-810</v>
      </c>
      <c r="S5252" t="s">
        <v>19530</v>
      </c>
      <c r="T5252" t="s">
        <v>19531</v>
      </c>
      <c r="U5252">
        <v>2973</v>
      </c>
      <c r="V5252">
        <v>0</v>
      </c>
      <c r="W5252">
        <v>5</v>
      </c>
      <c r="X5252">
        <v>2006</v>
      </c>
      <c r="Z5252">
        <v>1</v>
      </c>
      <c r="AA5252" t="s">
        <v>26</v>
      </c>
      <c r="AB5252">
        <v>0</v>
      </c>
      <c r="AC5252" t="s">
        <v>115</v>
      </c>
      <c r="AD5252">
        <v>2</v>
      </c>
      <c r="AE5252" t="s">
        <v>115</v>
      </c>
      <c r="AF5252">
        <v>0</v>
      </c>
      <c r="AG5252">
        <v>0</v>
      </c>
      <c r="AH5252" t="s">
        <v>116</v>
      </c>
      <c r="AI5252" s="1">
        <v>187849</v>
      </c>
      <c r="AJ5252" s="2">
        <v>0.4</v>
      </c>
      <c r="AK5252" s="1">
        <v>464249</v>
      </c>
      <c r="AL5252" t="s">
        <v>117</v>
      </c>
      <c r="AM5252" t="s">
        <v>191</v>
      </c>
      <c r="AN5252">
        <v>13131</v>
      </c>
      <c r="AO5252">
        <v>0.3</v>
      </c>
      <c r="AP5252">
        <v>1</v>
      </c>
      <c r="AR5252">
        <v>1</v>
      </c>
      <c r="AS5252" s="1">
        <v>39250</v>
      </c>
      <c r="AT5252" s="1">
        <v>7850</v>
      </c>
      <c r="AU5252" s="1">
        <v>31400</v>
      </c>
      <c r="AV5252">
        <v>80</v>
      </c>
      <c r="AX5252" s="1">
        <v>4257.78</v>
      </c>
      <c r="AY5252" t="s">
        <v>3228</v>
      </c>
      <c r="AZ5252" t="s">
        <v>3228</v>
      </c>
      <c r="BA5252" t="s">
        <v>457</v>
      </c>
      <c r="BB5252" s="3">
        <v>42562</v>
      </c>
      <c r="BD5252" t="s">
        <v>240</v>
      </c>
      <c r="BE5252" s="3">
        <v>41816</v>
      </c>
      <c r="BF5252" s="1">
        <v>357000</v>
      </c>
      <c r="BG5252" t="s">
        <v>32489</v>
      </c>
      <c r="BH5252" s="1">
        <v>120.08</v>
      </c>
      <c r="BI5252" s="1">
        <v>276400</v>
      </c>
      <c r="BJ5252" s="3">
        <v>42562</v>
      </c>
      <c r="BK5252" t="s">
        <v>123</v>
      </c>
      <c r="BL5252" t="str">
        <f>"2016.484607"</f>
        <v>2016.484607</v>
      </c>
      <c r="BM5252" t="s">
        <v>255</v>
      </c>
      <c r="BO5252" t="s">
        <v>32490</v>
      </c>
      <c r="BS5252">
        <v>30</v>
      </c>
      <c r="BW5252" t="str">
        <f>""</f>
        <v/>
      </c>
      <c r="CH5252" t="str">
        <f>""</f>
        <v/>
      </c>
      <c r="CS5252" t="str">
        <f>""</f>
        <v/>
      </c>
    </row>
    <row r="5253" spans="1:97" x14ac:dyDescent="0.25">
      <c r="A5253" t="s">
        <v>1514</v>
      </c>
      <c r="B5253" t="s">
        <v>141</v>
      </c>
      <c r="E5253" t="s">
        <v>32491</v>
      </c>
      <c r="F5253" t="s">
        <v>108</v>
      </c>
      <c r="H5253" t="s">
        <v>32492</v>
      </c>
      <c r="I5253" t="s">
        <v>499</v>
      </c>
      <c r="J5253" t="s">
        <v>111</v>
      </c>
      <c r="K5253" t="str">
        <f>"85395"</f>
        <v>85395</v>
      </c>
      <c r="L5253" t="s">
        <v>500</v>
      </c>
      <c r="M5253" t="s">
        <v>32492</v>
      </c>
      <c r="N5253" t="s">
        <v>499</v>
      </c>
      <c r="O5253" t="s">
        <v>111</v>
      </c>
      <c r="P5253" t="str">
        <f>"85395-5210"</f>
        <v>85395-5210</v>
      </c>
      <c r="Q5253" t="s">
        <v>113</v>
      </c>
      <c r="R5253" t="str">
        <f>"502-30-100"</f>
        <v>502-30-100</v>
      </c>
      <c r="S5253" t="s">
        <v>30483</v>
      </c>
      <c r="T5253" t="s">
        <v>502</v>
      </c>
      <c r="U5253">
        <v>2601</v>
      </c>
      <c r="V5253">
        <v>0</v>
      </c>
      <c r="W5253">
        <v>5</v>
      </c>
      <c r="X5253">
        <v>2013</v>
      </c>
      <c r="Z5253">
        <v>1</v>
      </c>
      <c r="AB5253">
        <v>0</v>
      </c>
      <c r="AC5253" t="s">
        <v>115</v>
      </c>
      <c r="AD5253">
        <v>2</v>
      </c>
      <c r="AE5253" t="s">
        <v>115</v>
      </c>
      <c r="AF5253">
        <v>0</v>
      </c>
      <c r="AG5253">
        <v>0</v>
      </c>
      <c r="AH5253" t="s">
        <v>116</v>
      </c>
      <c r="AI5253" s="1">
        <v>106258</v>
      </c>
      <c r="AJ5253" s="2">
        <v>0.28999999999999998</v>
      </c>
      <c r="AK5253" s="1">
        <v>364582</v>
      </c>
      <c r="AL5253" t="s">
        <v>117</v>
      </c>
      <c r="AM5253" t="s">
        <v>118</v>
      </c>
      <c r="AN5253">
        <v>8353</v>
      </c>
      <c r="AO5253">
        <v>0.19</v>
      </c>
      <c r="AR5253">
        <v>1</v>
      </c>
      <c r="AS5253" s="1">
        <v>25660</v>
      </c>
      <c r="AT5253" s="1">
        <v>5130</v>
      </c>
      <c r="AU5253" s="1">
        <v>20530</v>
      </c>
      <c r="AV5253">
        <v>80.010000000000005</v>
      </c>
      <c r="AX5253" s="1">
        <v>2527.46</v>
      </c>
      <c r="AY5253" t="s">
        <v>503</v>
      </c>
      <c r="AZ5253" t="s">
        <v>504</v>
      </c>
      <c r="BA5253" t="s">
        <v>218</v>
      </c>
      <c r="BE5253" s="3">
        <v>41668</v>
      </c>
      <c r="BF5253" s="1">
        <v>258324</v>
      </c>
      <c r="BG5253" t="s">
        <v>209</v>
      </c>
      <c r="BH5253" s="1">
        <v>99.32</v>
      </c>
      <c r="BI5253" s="1">
        <v>258324</v>
      </c>
      <c r="BJ5253" s="3">
        <v>41668</v>
      </c>
      <c r="BK5253" t="s">
        <v>123</v>
      </c>
      <c r="BL5253" t="str">
        <f>"2014.60186"</f>
        <v>2014.60186</v>
      </c>
      <c r="BM5253" t="s">
        <v>8916</v>
      </c>
      <c r="BO5253" t="s">
        <v>32493</v>
      </c>
      <c r="BS5253">
        <v>30</v>
      </c>
      <c r="BW5253" t="str">
        <f>""</f>
        <v/>
      </c>
      <c r="CH5253" t="str">
        <f>""</f>
        <v/>
      </c>
      <c r="CS5253" t="str">
        <f>""</f>
        <v/>
      </c>
    </row>
    <row r="5254" spans="1:97" x14ac:dyDescent="0.25">
      <c r="A5254" t="s">
        <v>27144</v>
      </c>
      <c r="B5254" t="s">
        <v>1577</v>
      </c>
      <c r="C5254" t="s">
        <v>1959</v>
      </c>
      <c r="D5254" t="s">
        <v>1577</v>
      </c>
      <c r="E5254" t="s">
        <v>32494</v>
      </c>
      <c r="F5254" t="s">
        <v>108</v>
      </c>
      <c r="H5254" t="s">
        <v>32495</v>
      </c>
      <c r="I5254" t="s">
        <v>225</v>
      </c>
      <c r="J5254" t="s">
        <v>111</v>
      </c>
      <c r="K5254" t="str">
        <f>"85209"</f>
        <v>85209</v>
      </c>
      <c r="L5254" t="s">
        <v>8146</v>
      </c>
      <c r="M5254" t="s">
        <v>32495</v>
      </c>
      <c r="N5254" t="s">
        <v>225</v>
      </c>
      <c r="O5254" t="s">
        <v>111</v>
      </c>
      <c r="P5254" t="str">
        <f>"85209-6207"</f>
        <v>85209-6207</v>
      </c>
      <c r="Q5254" t="s">
        <v>113</v>
      </c>
      <c r="R5254" t="str">
        <f>"309-08-220"</f>
        <v>309-08-220</v>
      </c>
      <c r="S5254" t="s">
        <v>32496</v>
      </c>
      <c r="T5254" t="s">
        <v>32496</v>
      </c>
      <c r="U5254">
        <v>2271</v>
      </c>
      <c r="V5254">
        <v>0</v>
      </c>
      <c r="W5254">
        <v>3</v>
      </c>
      <c r="X5254">
        <v>1995</v>
      </c>
      <c r="Z5254">
        <v>1</v>
      </c>
      <c r="AA5254" t="s">
        <v>26</v>
      </c>
      <c r="AB5254">
        <v>0</v>
      </c>
      <c r="AC5254" t="s">
        <v>115</v>
      </c>
      <c r="AD5254">
        <v>3</v>
      </c>
      <c r="AE5254" t="s">
        <v>115</v>
      </c>
      <c r="AF5254">
        <v>0</v>
      </c>
      <c r="AG5254">
        <v>0</v>
      </c>
      <c r="AH5254" t="s">
        <v>116</v>
      </c>
      <c r="AI5254" s="1">
        <v>65294</v>
      </c>
      <c r="AJ5254" s="2">
        <v>0.18</v>
      </c>
      <c r="AK5254" s="1">
        <v>370620</v>
      </c>
      <c r="AL5254" t="s">
        <v>117</v>
      </c>
      <c r="AM5254" t="s">
        <v>393</v>
      </c>
      <c r="AN5254">
        <v>8059</v>
      </c>
      <c r="AO5254">
        <v>0.18</v>
      </c>
      <c r="AP5254">
        <v>1</v>
      </c>
      <c r="AR5254">
        <v>1</v>
      </c>
      <c r="AS5254" s="1">
        <v>26230</v>
      </c>
      <c r="AT5254" s="1">
        <v>5240</v>
      </c>
      <c r="AU5254" s="1">
        <v>20990</v>
      </c>
      <c r="AV5254">
        <v>80.02</v>
      </c>
      <c r="AX5254" s="1">
        <v>1933.44</v>
      </c>
      <c r="AY5254" t="s">
        <v>6552</v>
      </c>
      <c r="AZ5254" t="s">
        <v>571</v>
      </c>
      <c r="BA5254" t="s">
        <v>572</v>
      </c>
      <c r="BE5254" s="3">
        <v>42089</v>
      </c>
      <c r="BF5254" s="1">
        <v>298900</v>
      </c>
      <c r="BG5254" t="s">
        <v>32497</v>
      </c>
      <c r="BH5254" s="1">
        <v>131.62</v>
      </c>
      <c r="BI5254" s="1">
        <v>305326</v>
      </c>
      <c r="BJ5254" s="3">
        <v>42089</v>
      </c>
      <c r="BK5254" t="s">
        <v>123</v>
      </c>
      <c r="BL5254" t="str">
        <f>"2015.203936"</f>
        <v>2015.203936</v>
      </c>
      <c r="BM5254" t="s">
        <v>594</v>
      </c>
      <c r="BO5254" t="s">
        <v>32498</v>
      </c>
      <c r="BS5254">
        <v>30</v>
      </c>
      <c r="BW5254" t="str">
        <f>""</f>
        <v/>
      </c>
      <c r="CH5254" t="str">
        <f>""</f>
        <v/>
      </c>
      <c r="CS5254" t="str">
        <f>""</f>
        <v/>
      </c>
    </row>
    <row r="5255" spans="1:97" x14ac:dyDescent="0.25">
      <c r="A5255" t="s">
        <v>464</v>
      </c>
      <c r="B5255" t="s">
        <v>32499</v>
      </c>
      <c r="E5255" t="s">
        <v>32500</v>
      </c>
      <c r="F5255" t="s">
        <v>108</v>
      </c>
      <c r="H5255" t="s">
        <v>32501</v>
      </c>
      <c r="I5255" t="s">
        <v>390</v>
      </c>
      <c r="J5255" t="s">
        <v>111</v>
      </c>
      <c r="K5255" t="str">
        <f>"85023"</f>
        <v>85023</v>
      </c>
      <c r="L5255" t="s">
        <v>4003</v>
      </c>
      <c r="M5255" t="s">
        <v>32501</v>
      </c>
      <c r="N5255" t="s">
        <v>390</v>
      </c>
      <c r="O5255" t="s">
        <v>111</v>
      </c>
      <c r="P5255" t="str">
        <f>"85023-3661"</f>
        <v>85023-3661</v>
      </c>
      <c r="Q5255" t="s">
        <v>113</v>
      </c>
      <c r="R5255" t="str">
        <f>"208-12-386"</f>
        <v>208-12-386</v>
      </c>
      <c r="S5255" t="s">
        <v>32502</v>
      </c>
      <c r="T5255" t="s">
        <v>32503</v>
      </c>
      <c r="U5255">
        <v>2901</v>
      </c>
      <c r="V5255">
        <v>0</v>
      </c>
      <c r="W5255">
        <v>4</v>
      </c>
      <c r="X5255">
        <v>1978</v>
      </c>
      <c r="Z5255">
        <v>1</v>
      </c>
      <c r="AA5255" t="s">
        <v>26</v>
      </c>
      <c r="AB5255">
        <v>0</v>
      </c>
      <c r="AC5255" t="s">
        <v>5188</v>
      </c>
      <c r="AD5255">
        <v>2</v>
      </c>
      <c r="AE5255" t="s">
        <v>5188</v>
      </c>
      <c r="AF5255">
        <v>0</v>
      </c>
      <c r="AG5255">
        <v>0</v>
      </c>
      <c r="AH5255" t="s">
        <v>116</v>
      </c>
      <c r="AI5255" s="1">
        <v>89613</v>
      </c>
      <c r="AJ5255" s="2">
        <v>0.18</v>
      </c>
      <c r="AK5255" s="1">
        <v>506613</v>
      </c>
      <c r="AL5255" t="s">
        <v>117</v>
      </c>
      <c r="AM5255" t="s">
        <v>1302</v>
      </c>
      <c r="AN5255">
        <v>19665</v>
      </c>
      <c r="AO5255">
        <v>0.45</v>
      </c>
      <c r="AP5255">
        <v>1</v>
      </c>
      <c r="AR5255">
        <v>1</v>
      </c>
      <c r="AS5255" s="1">
        <v>37830</v>
      </c>
      <c r="AT5255" s="1">
        <v>7560</v>
      </c>
      <c r="AU5255" s="1">
        <v>30270</v>
      </c>
      <c r="AV5255">
        <v>80.02</v>
      </c>
      <c r="AX5255" s="1">
        <v>3888.42</v>
      </c>
      <c r="AY5255" t="s">
        <v>9170</v>
      </c>
      <c r="AZ5255" t="s">
        <v>8648</v>
      </c>
      <c r="BA5255" t="s">
        <v>8649</v>
      </c>
      <c r="BE5255" s="3">
        <v>42164</v>
      </c>
      <c r="BF5255" s="1">
        <v>409900</v>
      </c>
      <c r="BG5255" t="s">
        <v>32504</v>
      </c>
      <c r="BH5255" s="1">
        <v>141.30000000000001</v>
      </c>
      <c r="BI5255" s="1">
        <v>417000</v>
      </c>
      <c r="BJ5255" s="3">
        <v>42164</v>
      </c>
      <c r="BK5255" t="s">
        <v>123</v>
      </c>
      <c r="BL5255" t="str">
        <f>"2015.410146"</f>
        <v>2015.410146</v>
      </c>
      <c r="BM5255" t="s">
        <v>5348</v>
      </c>
      <c r="BO5255" t="s">
        <v>32505</v>
      </c>
      <c r="BS5255">
        <v>30</v>
      </c>
      <c r="BW5255" t="str">
        <f>""</f>
        <v/>
      </c>
      <c r="CH5255" t="str">
        <f>""</f>
        <v/>
      </c>
      <c r="CS5255" t="str">
        <f>""</f>
        <v/>
      </c>
    </row>
    <row r="5256" spans="1:97" x14ac:dyDescent="0.25">
      <c r="A5256" t="s">
        <v>8799</v>
      </c>
      <c r="B5256" t="s">
        <v>2522</v>
      </c>
      <c r="E5256" t="s">
        <v>32506</v>
      </c>
      <c r="F5256" t="s">
        <v>108</v>
      </c>
      <c r="H5256" t="s">
        <v>32507</v>
      </c>
      <c r="I5256" t="s">
        <v>225</v>
      </c>
      <c r="J5256" t="s">
        <v>111</v>
      </c>
      <c r="K5256" t="str">
        <f>"85205"</f>
        <v>85205</v>
      </c>
      <c r="L5256" t="s">
        <v>6964</v>
      </c>
      <c r="M5256" t="s">
        <v>32507</v>
      </c>
      <c r="N5256" t="s">
        <v>225</v>
      </c>
      <c r="O5256" t="s">
        <v>111</v>
      </c>
      <c r="P5256" t="str">
        <f>"85205-5216"</f>
        <v>85205-5216</v>
      </c>
      <c r="Q5256" t="s">
        <v>113</v>
      </c>
      <c r="R5256" t="str">
        <f>"140-02-185"</f>
        <v>140-02-185</v>
      </c>
      <c r="S5256" t="s">
        <v>32508</v>
      </c>
      <c r="T5256" t="s">
        <v>32509</v>
      </c>
      <c r="U5256">
        <v>1576</v>
      </c>
      <c r="V5256">
        <v>0</v>
      </c>
      <c r="W5256">
        <v>3</v>
      </c>
      <c r="X5256">
        <v>1988</v>
      </c>
      <c r="Z5256">
        <v>1</v>
      </c>
      <c r="AB5256">
        <v>0</v>
      </c>
      <c r="AC5256" t="s">
        <v>115</v>
      </c>
      <c r="AD5256">
        <v>2</v>
      </c>
      <c r="AE5256" t="s">
        <v>115</v>
      </c>
      <c r="AF5256">
        <v>0</v>
      </c>
      <c r="AG5256">
        <v>0</v>
      </c>
      <c r="AH5256" t="s">
        <v>116</v>
      </c>
      <c r="AI5256" s="1">
        <v>3678</v>
      </c>
      <c r="AJ5256" s="2">
        <v>0.01</v>
      </c>
      <c r="AK5256" s="1">
        <v>269388</v>
      </c>
      <c r="AL5256" t="s">
        <v>117</v>
      </c>
      <c r="AM5256" t="s">
        <v>393</v>
      </c>
      <c r="AN5256">
        <v>9870</v>
      </c>
      <c r="AO5256">
        <v>0.23</v>
      </c>
      <c r="AP5256">
        <v>1</v>
      </c>
      <c r="AR5256">
        <v>1</v>
      </c>
      <c r="AS5256" s="1">
        <v>18830</v>
      </c>
      <c r="AT5256" s="1">
        <v>3760</v>
      </c>
      <c r="AU5256" s="1">
        <v>15070</v>
      </c>
      <c r="AV5256">
        <v>80.03</v>
      </c>
      <c r="AX5256" s="1">
        <v>1346.22</v>
      </c>
      <c r="AY5256" t="s">
        <v>7054</v>
      </c>
      <c r="AZ5256" t="s">
        <v>5275</v>
      </c>
      <c r="BA5256" t="s">
        <v>3119</v>
      </c>
      <c r="BB5256" s="3">
        <v>42236</v>
      </c>
      <c r="BD5256" t="s">
        <v>458</v>
      </c>
      <c r="BE5256" s="3">
        <v>41815</v>
      </c>
      <c r="BF5256" s="1">
        <v>184000</v>
      </c>
      <c r="BG5256" t="s">
        <v>32510</v>
      </c>
      <c r="BH5256" s="1">
        <v>116.75</v>
      </c>
      <c r="BI5256" s="1">
        <v>265710</v>
      </c>
      <c r="BJ5256" s="3">
        <v>43599</v>
      </c>
      <c r="BK5256" t="s">
        <v>123</v>
      </c>
      <c r="BL5256" t="str">
        <f>"2019.349155"</f>
        <v>2019.349155</v>
      </c>
      <c r="BM5256" t="s">
        <v>7228</v>
      </c>
      <c r="BN5256" t="s">
        <v>7229</v>
      </c>
      <c r="BO5256" t="s">
        <v>32506</v>
      </c>
      <c r="BR5256" t="s">
        <v>139</v>
      </c>
      <c r="BW5256" t="str">
        <f>""</f>
        <v/>
      </c>
      <c r="CH5256" t="str">
        <f>""</f>
        <v/>
      </c>
      <c r="CS5256" t="str">
        <f>""</f>
        <v/>
      </c>
    </row>
    <row r="5257" spans="1:97" x14ac:dyDescent="0.25">
      <c r="A5257" t="s">
        <v>325</v>
      </c>
      <c r="B5257" t="s">
        <v>32511</v>
      </c>
      <c r="E5257" t="s">
        <v>32512</v>
      </c>
      <c r="F5257" t="s">
        <v>108</v>
      </c>
      <c r="H5257" t="s">
        <v>32513</v>
      </c>
      <c r="I5257" t="s">
        <v>390</v>
      </c>
      <c r="J5257" t="s">
        <v>111</v>
      </c>
      <c r="K5257" t="str">
        <f>"85045"</f>
        <v>85045</v>
      </c>
      <c r="L5257" t="s">
        <v>3430</v>
      </c>
      <c r="M5257" t="s">
        <v>32513</v>
      </c>
      <c r="N5257" t="s">
        <v>390</v>
      </c>
      <c r="O5257" t="s">
        <v>111</v>
      </c>
      <c r="P5257" t="str">
        <f>"85045-2291"</f>
        <v>85045-2291</v>
      </c>
      <c r="Q5257" t="s">
        <v>113</v>
      </c>
      <c r="R5257" t="str">
        <f>"300-05-149"</f>
        <v>300-05-149</v>
      </c>
      <c r="S5257" t="s">
        <v>32514</v>
      </c>
      <c r="T5257" t="s">
        <v>12019</v>
      </c>
      <c r="U5257">
        <v>2784</v>
      </c>
      <c r="V5257">
        <v>0</v>
      </c>
      <c r="W5257">
        <v>5</v>
      </c>
      <c r="X5257">
        <v>2006</v>
      </c>
      <c r="Z5257">
        <v>1</v>
      </c>
      <c r="AA5257" t="s">
        <v>26</v>
      </c>
      <c r="AB5257">
        <v>0</v>
      </c>
      <c r="AC5257" t="s">
        <v>115</v>
      </c>
      <c r="AD5257">
        <v>2</v>
      </c>
      <c r="AE5257" t="s">
        <v>115</v>
      </c>
      <c r="AF5257">
        <v>0</v>
      </c>
      <c r="AG5257">
        <v>0</v>
      </c>
      <c r="AH5257" t="s">
        <v>116</v>
      </c>
      <c r="AI5257" s="1">
        <v>46842</v>
      </c>
      <c r="AJ5257" s="2">
        <v>0.09</v>
      </c>
      <c r="AK5257" s="1">
        <v>542910</v>
      </c>
      <c r="AL5257" t="s">
        <v>117</v>
      </c>
      <c r="AM5257" t="s">
        <v>616</v>
      </c>
      <c r="AN5257">
        <v>10400</v>
      </c>
      <c r="AO5257">
        <v>0.24</v>
      </c>
      <c r="AR5257">
        <v>1</v>
      </c>
      <c r="AS5257" s="1">
        <v>42130</v>
      </c>
      <c r="AT5257" s="1">
        <v>8420</v>
      </c>
      <c r="AU5257" s="1">
        <v>33710</v>
      </c>
      <c r="AV5257">
        <v>80.010000000000005</v>
      </c>
      <c r="AX5257" s="1">
        <v>4302.32</v>
      </c>
      <c r="AY5257" t="s">
        <v>6202</v>
      </c>
      <c r="AZ5257" t="s">
        <v>2967</v>
      </c>
      <c r="BA5257" t="s">
        <v>930</v>
      </c>
      <c r="BB5257" s="3">
        <v>42696</v>
      </c>
      <c r="BD5257" t="s">
        <v>458</v>
      </c>
      <c r="BE5257" s="3">
        <v>41697</v>
      </c>
      <c r="BF5257" s="1">
        <v>479000</v>
      </c>
      <c r="BG5257" t="s">
        <v>32515</v>
      </c>
      <c r="BH5257" s="1">
        <v>172.05</v>
      </c>
      <c r="BI5257" s="1">
        <v>496068</v>
      </c>
      <c r="BJ5257" s="3">
        <v>42718</v>
      </c>
      <c r="BK5257" t="s">
        <v>123</v>
      </c>
      <c r="BL5257" t="str">
        <f>"2016.921301"</f>
        <v>2016.921301</v>
      </c>
      <c r="BM5257" t="s">
        <v>2181</v>
      </c>
      <c r="BO5257" t="s">
        <v>32516</v>
      </c>
      <c r="BS5257">
        <v>30</v>
      </c>
      <c r="BW5257" t="str">
        <f>""</f>
        <v/>
      </c>
      <c r="CH5257" t="str">
        <f>""</f>
        <v/>
      </c>
      <c r="CS5257" t="str">
        <f>""</f>
        <v/>
      </c>
    </row>
    <row r="5258" spans="1:97" x14ac:dyDescent="0.25">
      <c r="A5258" t="s">
        <v>1083</v>
      </c>
      <c r="B5258" t="s">
        <v>3052</v>
      </c>
      <c r="C5258" t="s">
        <v>2793</v>
      </c>
      <c r="D5258" t="s">
        <v>3052</v>
      </c>
      <c r="E5258" t="s">
        <v>32517</v>
      </c>
      <c r="F5258" t="s">
        <v>108</v>
      </c>
      <c r="H5258" t="s">
        <v>32518</v>
      </c>
      <c r="I5258" t="s">
        <v>499</v>
      </c>
      <c r="J5258" t="s">
        <v>111</v>
      </c>
      <c r="K5258" t="str">
        <f>"85395"</f>
        <v>85395</v>
      </c>
      <c r="L5258" t="s">
        <v>4159</v>
      </c>
      <c r="M5258" t="s">
        <v>32518</v>
      </c>
      <c r="N5258" t="s">
        <v>499</v>
      </c>
      <c r="O5258" t="s">
        <v>111</v>
      </c>
      <c r="P5258" t="str">
        <f>"85395-6397"</f>
        <v>85395-6397</v>
      </c>
      <c r="Q5258" t="s">
        <v>113</v>
      </c>
      <c r="R5258" t="str">
        <f>"501-61-437"</f>
        <v>501-61-437</v>
      </c>
      <c r="S5258" t="s">
        <v>11421</v>
      </c>
      <c r="T5258" t="s">
        <v>11422</v>
      </c>
      <c r="U5258">
        <v>2257</v>
      </c>
      <c r="V5258">
        <v>0</v>
      </c>
      <c r="W5258">
        <v>3</v>
      </c>
      <c r="X5258">
        <v>2008</v>
      </c>
      <c r="Z5258">
        <v>1</v>
      </c>
      <c r="AB5258">
        <v>0</v>
      </c>
      <c r="AC5258" t="s">
        <v>115</v>
      </c>
      <c r="AD5258">
        <v>3</v>
      </c>
      <c r="AE5258" t="s">
        <v>115</v>
      </c>
      <c r="AF5258">
        <v>0</v>
      </c>
      <c r="AG5258">
        <v>0</v>
      </c>
      <c r="AH5258" t="s">
        <v>116</v>
      </c>
      <c r="AI5258" s="1">
        <v>68454</v>
      </c>
      <c r="AJ5258" s="2">
        <v>0.2</v>
      </c>
      <c r="AK5258" s="1">
        <v>349454</v>
      </c>
      <c r="AL5258" t="s">
        <v>117</v>
      </c>
      <c r="AM5258" t="s">
        <v>118</v>
      </c>
      <c r="AN5258">
        <v>9529</v>
      </c>
      <c r="AO5258">
        <v>0.22</v>
      </c>
      <c r="AR5258">
        <v>1</v>
      </c>
      <c r="AS5258" s="1">
        <v>25130</v>
      </c>
      <c r="AT5258" s="1">
        <v>5020</v>
      </c>
      <c r="AU5258" s="1">
        <v>20110</v>
      </c>
      <c r="AV5258">
        <v>80.02</v>
      </c>
      <c r="AX5258" s="1">
        <v>2754.2</v>
      </c>
      <c r="AY5258" t="s">
        <v>3019</v>
      </c>
      <c r="AZ5258" t="s">
        <v>504</v>
      </c>
      <c r="BA5258" t="s">
        <v>3154</v>
      </c>
      <c r="BE5258" s="3">
        <v>41775</v>
      </c>
      <c r="BF5258" s="1">
        <v>252000</v>
      </c>
      <c r="BG5258" t="s">
        <v>5716</v>
      </c>
      <c r="BH5258" s="1">
        <v>111.65</v>
      </c>
      <c r="BI5258" s="1">
        <v>252000</v>
      </c>
      <c r="BJ5258" s="3">
        <v>41775</v>
      </c>
      <c r="BK5258" t="s">
        <v>123</v>
      </c>
      <c r="BL5258" t="str">
        <f>"2014.322341"</f>
        <v>2014.322341</v>
      </c>
      <c r="BM5258" t="s">
        <v>135</v>
      </c>
      <c r="BN5258" t="s">
        <v>136</v>
      </c>
      <c r="BO5258" t="s">
        <v>32519</v>
      </c>
      <c r="BS5258">
        <v>30</v>
      </c>
      <c r="BT5258" s="1">
        <v>29000</v>
      </c>
      <c r="BU5258" s="3">
        <v>43480</v>
      </c>
      <c r="BV5258" t="s">
        <v>134</v>
      </c>
      <c r="BW5258" t="str">
        <f>"2019.29235"</f>
        <v>2019.29235</v>
      </c>
      <c r="BX5258" t="s">
        <v>135</v>
      </c>
      <c r="BY5258" t="s">
        <v>136</v>
      </c>
      <c r="BZ5258" t="s">
        <v>32520</v>
      </c>
      <c r="CA5258" t="s">
        <v>32521</v>
      </c>
      <c r="CC5258" t="s">
        <v>139</v>
      </c>
      <c r="CH5258" t="str">
        <f>""</f>
        <v/>
      </c>
      <c r="CS5258" t="str">
        <f>""</f>
        <v/>
      </c>
    </row>
    <row r="5259" spans="1:97" x14ac:dyDescent="0.25">
      <c r="A5259" t="s">
        <v>701</v>
      </c>
      <c r="B5259" t="s">
        <v>32522</v>
      </c>
      <c r="E5259" t="s">
        <v>32523</v>
      </c>
      <c r="F5259" t="s">
        <v>108</v>
      </c>
      <c r="H5259" t="s">
        <v>32524</v>
      </c>
      <c r="I5259" t="s">
        <v>5863</v>
      </c>
      <c r="J5259" t="s">
        <v>111</v>
      </c>
      <c r="K5259" t="str">
        <f>"85375"</f>
        <v>85375</v>
      </c>
      <c r="L5259" t="s">
        <v>5228</v>
      </c>
      <c r="M5259" t="s">
        <v>32524</v>
      </c>
      <c r="N5259" t="s">
        <v>5863</v>
      </c>
      <c r="O5259" t="s">
        <v>111</v>
      </c>
      <c r="P5259" t="str">
        <f>"85375-2545"</f>
        <v>85375-2545</v>
      </c>
      <c r="Q5259" t="s">
        <v>113</v>
      </c>
      <c r="R5259" t="str">
        <f>"232-16-354"</f>
        <v>232-16-354</v>
      </c>
      <c r="S5259" t="s">
        <v>20551</v>
      </c>
      <c r="U5259">
        <v>2846</v>
      </c>
      <c r="V5259">
        <v>0</v>
      </c>
      <c r="W5259">
        <v>3</v>
      </c>
      <c r="X5259">
        <v>1988</v>
      </c>
      <c r="Z5259">
        <v>1</v>
      </c>
      <c r="AB5259">
        <v>0</v>
      </c>
      <c r="AC5259" t="s">
        <v>115</v>
      </c>
      <c r="AD5259">
        <v>2</v>
      </c>
      <c r="AE5259" t="s">
        <v>115</v>
      </c>
      <c r="AF5259">
        <v>0</v>
      </c>
      <c r="AG5259">
        <v>0</v>
      </c>
      <c r="AH5259" t="s">
        <v>116</v>
      </c>
      <c r="AI5259" s="1">
        <v>34703</v>
      </c>
      <c r="AJ5259" s="2">
        <v>0.09</v>
      </c>
      <c r="AK5259" s="1">
        <v>394972</v>
      </c>
      <c r="AL5259" t="s">
        <v>117</v>
      </c>
      <c r="AM5259" t="s">
        <v>393</v>
      </c>
      <c r="AN5259">
        <v>12300</v>
      </c>
      <c r="AO5259">
        <v>0.28000000000000003</v>
      </c>
      <c r="AP5259">
        <v>1</v>
      </c>
      <c r="AR5259">
        <v>1</v>
      </c>
      <c r="AS5259" s="1">
        <v>23720</v>
      </c>
      <c r="AT5259" s="1">
        <v>4740</v>
      </c>
      <c r="AU5259" s="1">
        <v>18980</v>
      </c>
      <c r="AV5259">
        <v>80.02</v>
      </c>
      <c r="AX5259" s="1">
        <v>1944.14</v>
      </c>
      <c r="AY5259" t="s">
        <v>320</v>
      </c>
      <c r="AZ5259" t="s">
        <v>320</v>
      </c>
      <c r="BA5259" t="s">
        <v>321</v>
      </c>
      <c r="BE5259" s="3">
        <v>42380</v>
      </c>
      <c r="BF5259" s="1">
        <v>355000</v>
      </c>
      <c r="BG5259" t="s">
        <v>32525</v>
      </c>
      <c r="BH5259" s="1">
        <v>124.74</v>
      </c>
      <c r="BI5259" s="1">
        <v>360269</v>
      </c>
      <c r="BJ5259" s="3">
        <v>42964</v>
      </c>
      <c r="BK5259" t="s">
        <v>123</v>
      </c>
      <c r="BL5259" t="str">
        <f>"2017.606772"</f>
        <v>2017.606772</v>
      </c>
      <c r="BM5259" t="s">
        <v>666</v>
      </c>
      <c r="BO5259" t="s">
        <v>32526</v>
      </c>
      <c r="BS5259">
        <v>30</v>
      </c>
      <c r="BW5259" t="str">
        <f>""</f>
        <v/>
      </c>
      <c r="CH5259" t="str">
        <f>""</f>
        <v/>
      </c>
      <c r="CS5259" t="str">
        <f>""</f>
        <v/>
      </c>
    </row>
    <row r="5260" spans="1:97" x14ac:dyDescent="0.25">
      <c r="A5260" t="s">
        <v>886</v>
      </c>
      <c r="B5260" t="s">
        <v>32527</v>
      </c>
      <c r="C5260" t="s">
        <v>2762</v>
      </c>
      <c r="D5260" t="s">
        <v>32527</v>
      </c>
      <c r="E5260" t="s">
        <v>32528</v>
      </c>
      <c r="F5260" t="s">
        <v>108</v>
      </c>
      <c r="H5260" t="s">
        <v>32529</v>
      </c>
      <c r="I5260" t="s">
        <v>499</v>
      </c>
      <c r="J5260" t="s">
        <v>111</v>
      </c>
      <c r="K5260" t="str">
        <f>"85395"</f>
        <v>85395</v>
      </c>
      <c r="L5260" t="s">
        <v>1312</v>
      </c>
      <c r="M5260" t="s">
        <v>32529</v>
      </c>
      <c r="N5260" t="s">
        <v>499</v>
      </c>
      <c r="O5260" t="s">
        <v>111</v>
      </c>
      <c r="P5260" t="str">
        <f>"85395-2047"</f>
        <v>85395-2047</v>
      </c>
      <c r="Q5260" t="s">
        <v>113</v>
      </c>
      <c r="R5260" t="str">
        <f>"501-76-290"</f>
        <v>501-76-290</v>
      </c>
      <c r="S5260" t="s">
        <v>20930</v>
      </c>
      <c r="T5260" t="s">
        <v>20931</v>
      </c>
      <c r="U5260">
        <v>3590</v>
      </c>
      <c r="V5260">
        <v>0</v>
      </c>
      <c r="W5260">
        <v>4</v>
      </c>
      <c r="X5260">
        <v>2005</v>
      </c>
      <c r="Z5260">
        <v>2</v>
      </c>
      <c r="AA5260" t="s">
        <v>26</v>
      </c>
      <c r="AB5260">
        <v>0</v>
      </c>
      <c r="AC5260" t="s">
        <v>115</v>
      </c>
      <c r="AD5260">
        <v>3</v>
      </c>
      <c r="AE5260" t="s">
        <v>115</v>
      </c>
      <c r="AF5260">
        <v>0</v>
      </c>
      <c r="AG5260">
        <v>0</v>
      </c>
      <c r="AH5260" t="s">
        <v>116</v>
      </c>
      <c r="AI5260" s="1">
        <v>83394</v>
      </c>
      <c r="AJ5260" s="2">
        <v>0.19</v>
      </c>
      <c r="AK5260" s="1">
        <v>433394</v>
      </c>
      <c r="AL5260" t="s">
        <v>117</v>
      </c>
      <c r="AM5260" t="s">
        <v>118</v>
      </c>
      <c r="AN5260">
        <v>10800</v>
      </c>
      <c r="AO5260">
        <v>0.25</v>
      </c>
      <c r="AR5260">
        <v>1</v>
      </c>
      <c r="AS5260" s="1">
        <v>32380</v>
      </c>
      <c r="AT5260" s="1">
        <v>6470</v>
      </c>
      <c r="AU5260" s="1">
        <v>25910</v>
      </c>
      <c r="AV5260">
        <v>80.02</v>
      </c>
      <c r="AX5260" s="1">
        <v>3454.08</v>
      </c>
      <c r="AY5260" t="s">
        <v>3020</v>
      </c>
      <c r="AZ5260" t="s">
        <v>3020</v>
      </c>
      <c r="BA5260" t="s">
        <v>7186</v>
      </c>
      <c r="BE5260" s="3">
        <v>41845</v>
      </c>
      <c r="BF5260" s="1">
        <v>327500</v>
      </c>
      <c r="BG5260" t="s">
        <v>32530</v>
      </c>
      <c r="BH5260" s="1">
        <v>91.23</v>
      </c>
      <c r="BI5260" s="1">
        <v>350000</v>
      </c>
      <c r="BJ5260" s="3">
        <v>42605</v>
      </c>
      <c r="BK5260" t="s">
        <v>123</v>
      </c>
      <c r="BL5260" t="str">
        <f>"2016.604950"</f>
        <v>2016.604950</v>
      </c>
      <c r="BM5260" t="s">
        <v>699</v>
      </c>
      <c r="BO5260" t="s">
        <v>32531</v>
      </c>
      <c r="BS5260">
        <v>30</v>
      </c>
      <c r="BW5260" t="str">
        <f>""</f>
        <v/>
      </c>
      <c r="CH5260" t="str">
        <f>""</f>
        <v/>
      </c>
      <c r="CS5260" t="str">
        <f>""</f>
        <v/>
      </c>
    </row>
    <row r="5261" spans="1:97" x14ac:dyDescent="0.25">
      <c r="A5261" t="s">
        <v>703</v>
      </c>
      <c r="B5261" t="s">
        <v>22898</v>
      </c>
      <c r="C5261" t="s">
        <v>894</v>
      </c>
      <c r="D5261" t="s">
        <v>22898</v>
      </c>
      <c r="E5261" t="s">
        <v>32532</v>
      </c>
      <c r="F5261" t="s">
        <v>108</v>
      </c>
      <c r="H5261" t="s">
        <v>32533</v>
      </c>
      <c r="I5261" t="s">
        <v>499</v>
      </c>
      <c r="J5261" t="s">
        <v>111</v>
      </c>
      <c r="K5261" t="str">
        <f>"85395"</f>
        <v>85395</v>
      </c>
      <c r="L5261" t="s">
        <v>1312</v>
      </c>
      <c r="M5261" t="s">
        <v>32533</v>
      </c>
      <c r="N5261" t="s">
        <v>499</v>
      </c>
      <c r="O5261" t="s">
        <v>111</v>
      </c>
      <c r="P5261" t="str">
        <f>"85395-2014"</f>
        <v>85395-2014</v>
      </c>
      <c r="Q5261" t="s">
        <v>113</v>
      </c>
      <c r="R5261" t="str">
        <f>"501-76-259"</f>
        <v>501-76-259</v>
      </c>
      <c r="S5261" t="s">
        <v>20930</v>
      </c>
      <c r="T5261" t="s">
        <v>20931</v>
      </c>
      <c r="U5261">
        <v>2587</v>
      </c>
      <c r="V5261">
        <v>0</v>
      </c>
      <c r="W5261">
        <v>3</v>
      </c>
      <c r="X5261">
        <v>2005</v>
      </c>
      <c r="Z5261">
        <v>1</v>
      </c>
      <c r="AA5261" t="s">
        <v>26</v>
      </c>
      <c r="AB5261">
        <v>0</v>
      </c>
      <c r="AC5261" t="s">
        <v>115</v>
      </c>
      <c r="AD5261">
        <v>3</v>
      </c>
      <c r="AE5261" t="s">
        <v>115</v>
      </c>
      <c r="AF5261">
        <v>0</v>
      </c>
      <c r="AG5261">
        <v>0</v>
      </c>
      <c r="AH5261" t="s">
        <v>116</v>
      </c>
      <c r="AI5261" s="1">
        <v>100622</v>
      </c>
      <c r="AJ5261" s="2">
        <v>0.26</v>
      </c>
      <c r="AK5261" s="1">
        <v>393667</v>
      </c>
      <c r="AL5261" t="s">
        <v>117</v>
      </c>
      <c r="AM5261" t="s">
        <v>118</v>
      </c>
      <c r="AN5261">
        <v>13050</v>
      </c>
      <c r="AO5261">
        <v>0.3</v>
      </c>
      <c r="AR5261">
        <v>1</v>
      </c>
      <c r="AS5261" s="1">
        <v>29480</v>
      </c>
      <c r="AT5261" s="1">
        <v>5890</v>
      </c>
      <c r="AU5261" s="1">
        <v>23590</v>
      </c>
      <c r="AV5261">
        <v>80.02</v>
      </c>
      <c r="AX5261" s="1">
        <v>3349.5</v>
      </c>
      <c r="AY5261" t="s">
        <v>3020</v>
      </c>
      <c r="AZ5261" t="s">
        <v>3020</v>
      </c>
      <c r="BA5261" t="s">
        <v>7186</v>
      </c>
      <c r="BE5261" s="3">
        <v>42229</v>
      </c>
      <c r="BF5261" s="1">
        <v>310000</v>
      </c>
      <c r="BG5261" t="s">
        <v>32534</v>
      </c>
      <c r="BH5261" s="1">
        <v>119.83</v>
      </c>
      <c r="BI5261" s="1">
        <v>293045</v>
      </c>
      <c r="BJ5261" s="3">
        <v>42229</v>
      </c>
      <c r="BK5261" t="s">
        <v>123</v>
      </c>
      <c r="BL5261" t="str">
        <f>"2015.588045"</f>
        <v>2015.588045</v>
      </c>
      <c r="BM5261" t="s">
        <v>724</v>
      </c>
      <c r="BO5261" t="s">
        <v>32535</v>
      </c>
      <c r="BS5261">
        <v>30</v>
      </c>
      <c r="BW5261" t="str">
        <f>""</f>
        <v/>
      </c>
      <c r="CH5261" t="str">
        <f>""</f>
        <v/>
      </c>
      <c r="CS5261" t="str">
        <f>""</f>
        <v/>
      </c>
    </row>
    <row r="5262" spans="1:97" x14ac:dyDescent="0.25">
      <c r="A5262" t="s">
        <v>325</v>
      </c>
      <c r="B5262" t="s">
        <v>25628</v>
      </c>
      <c r="E5262" t="s">
        <v>32536</v>
      </c>
      <c r="F5262" t="s">
        <v>108</v>
      </c>
      <c r="H5262" t="s">
        <v>32537</v>
      </c>
      <c r="I5262" t="s">
        <v>203</v>
      </c>
      <c r="J5262" t="s">
        <v>111</v>
      </c>
      <c r="K5262" t="str">
        <f>"85233"</f>
        <v>85233</v>
      </c>
      <c r="L5262" t="s">
        <v>1070</v>
      </c>
      <c r="M5262" t="s">
        <v>32537</v>
      </c>
      <c r="N5262" t="s">
        <v>203</v>
      </c>
      <c r="O5262" t="s">
        <v>111</v>
      </c>
      <c r="P5262" t="str">
        <f>"85233-8729"</f>
        <v>85233-8729</v>
      </c>
      <c r="Q5262" t="s">
        <v>113</v>
      </c>
      <c r="R5262" t="str">
        <f>"302-83-184"</f>
        <v>302-83-184</v>
      </c>
      <c r="S5262" t="s">
        <v>32538</v>
      </c>
      <c r="T5262" t="s">
        <v>15306</v>
      </c>
      <c r="U5262">
        <v>1273</v>
      </c>
      <c r="V5262">
        <v>0</v>
      </c>
      <c r="W5262">
        <v>3</v>
      </c>
      <c r="X5262">
        <v>1996</v>
      </c>
      <c r="Z5262">
        <v>1</v>
      </c>
      <c r="AA5262" t="s">
        <v>26</v>
      </c>
      <c r="AB5262">
        <v>0</v>
      </c>
      <c r="AC5262" t="s">
        <v>115</v>
      </c>
      <c r="AD5262">
        <v>2</v>
      </c>
      <c r="AE5262" t="s">
        <v>115</v>
      </c>
      <c r="AF5262">
        <v>0</v>
      </c>
      <c r="AG5262">
        <v>0</v>
      </c>
      <c r="AH5262" t="s">
        <v>116</v>
      </c>
      <c r="AI5262" s="1">
        <v>73024</v>
      </c>
      <c r="AJ5262" s="2">
        <v>0.26</v>
      </c>
      <c r="AK5262" s="1">
        <v>278124</v>
      </c>
      <c r="AL5262" t="s">
        <v>117</v>
      </c>
      <c r="AM5262" t="s">
        <v>191</v>
      </c>
      <c r="AN5262">
        <v>5850</v>
      </c>
      <c r="AO5262">
        <v>0.13</v>
      </c>
      <c r="AP5262">
        <v>1</v>
      </c>
      <c r="AR5262">
        <v>1</v>
      </c>
      <c r="AS5262" s="1">
        <v>18930</v>
      </c>
      <c r="AT5262" s="1">
        <v>3780</v>
      </c>
      <c r="AU5262" s="1">
        <v>15150</v>
      </c>
      <c r="AV5262">
        <v>80.03</v>
      </c>
      <c r="AX5262" s="1">
        <v>1318.48</v>
      </c>
      <c r="AY5262" t="s">
        <v>2905</v>
      </c>
      <c r="AZ5262" t="s">
        <v>2906</v>
      </c>
      <c r="BA5262" t="s">
        <v>303</v>
      </c>
      <c r="BE5262" s="3">
        <v>42320</v>
      </c>
      <c r="BF5262" s="1">
        <v>219000</v>
      </c>
      <c r="BG5262" t="s">
        <v>32539</v>
      </c>
      <c r="BH5262" s="1">
        <v>172.03</v>
      </c>
      <c r="BI5262" s="1">
        <v>205100</v>
      </c>
      <c r="BJ5262" s="3">
        <v>42620</v>
      </c>
      <c r="BK5262" t="s">
        <v>123</v>
      </c>
      <c r="BL5262" t="str">
        <f>"2016.647087"</f>
        <v>2016.647087</v>
      </c>
      <c r="BM5262" t="s">
        <v>425</v>
      </c>
      <c r="BO5262" t="s">
        <v>32540</v>
      </c>
      <c r="BS5262">
        <v>30</v>
      </c>
      <c r="BW5262" t="str">
        <f>""</f>
        <v/>
      </c>
      <c r="CH5262" t="str">
        <f>""</f>
        <v/>
      </c>
      <c r="CS5262" t="str">
        <f>""</f>
        <v/>
      </c>
    </row>
    <row r="5263" spans="1:97" x14ac:dyDescent="0.25">
      <c r="A5263" t="s">
        <v>265</v>
      </c>
      <c r="B5263" t="s">
        <v>22036</v>
      </c>
      <c r="C5263" t="s">
        <v>727</v>
      </c>
      <c r="D5263" t="s">
        <v>32541</v>
      </c>
      <c r="E5263" t="s">
        <v>32542</v>
      </c>
      <c r="F5263" t="s">
        <v>108</v>
      </c>
      <c r="H5263" t="s">
        <v>32543</v>
      </c>
      <c r="I5263" t="s">
        <v>632</v>
      </c>
      <c r="J5263" t="s">
        <v>111</v>
      </c>
      <c r="K5263" t="str">
        <f>"85388"</f>
        <v>85388</v>
      </c>
      <c r="L5263" t="s">
        <v>417</v>
      </c>
      <c r="M5263" t="s">
        <v>32543</v>
      </c>
      <c r="N5263" t="s">
        <v>632</v>
      </c>
      <c r="O5263" t="s">
        <v>111</v>
      </c>
      <c r="P5263" t="str">
        <f>"85388-7649"</f>
        <v>85388-7649</v>
      </c>
      <c r="Q5263" t="s">
        <v>113</v>
      </c>
      <c r="R5263" t="str">
        <f>"502-03-767"</f>
        <v>502-03-767</v>
      </c>
      <c r="S5263" t="s">
        <v>32544</v>
      </c>
      <c r="U5263">
        <v>2706</v>
      </c>
      <c r="V5263">
        <v>0</v>
      </c>
      <c r="W5263">
        <v>3</v>
      </c>
      <c r="X5263">
        <v>2004</v>
      </c>
      <c r="Z5263">
        <v>1</v>
      </c>
      <c r="AB5263">
        <v>0</v>
      </c>
      <c r="AC5263" t="s">
        <v>115</v>
      </c>
      <c r="AD5263">
        <v>3</v>
      </c>
      <c r="AE5263" t="s">
        <v>115</v>
      </c>
      <c r="AF5263">
        <v>0</v>
      </c>
      <c r="AG5263">
        <v>0</v>
      </c>
      <c r="AH5263" t="s">
        <v>116</v>
      </c>
      <c r="AI5263" s="1">
        <v>43512</v>
      </c>
      <c r="AJ5263" s="2">
        <v>0.12</v>
      </c>
      <c r="AK5263" s="1">
        <v>348461</v>
      </c>
      <c r="AL5263" t="s">
        <v>117</v>
      </c>
      <c r="AM5263" t="s">
        <v>118</v>
      </c>
      <c r="AN5263">
        <v>10068</v>
      </c>
      <c r="AO5263">
        <v>0.23</v>
      </c>
      <c r="AP5263">
        <v>1</v>
      </c>
      <c r="AR5263">
        <v>1</v>
      </c>
      <c r="AS5263" s="1">
        <v>24530</v>
      </c>
      <c r="AT5263" s="1">
        <v>4900</v>
      </c>
      <c r="AU5263" s="1">
        <v>19630</v>
      </c>
      <c r="AV5263">
        <v>80.02</v>
      </c>
      <c r="AX5263" s="1">
        <v>2078.7399999999998</v>
      </c>
      <c r="AY5263" t="s">
        <v>6262</v>
      </c>
      <c r="AZ5263" t="s">
        <v>6262</v>
      </c>
      <c r="BA5263" t="s">
        <v>5061</v>
      </c>
      <c r="BB5263" s="3">
        <v>43186</v>
      </c>
      <c r="BC5263" s="1">
        <v>0</v>
      </c>
      <c r="BD5263" t="s">
        <v>247</v>
      </c>
      <c r="BE5263" s="3">
        <v>42485</v>
      </c>
      <c r="BF5263" s="1">
        <v>297000</v>
      </c>
      <c r="BG5263" t="s">
        <v>32545</v>
      </c>
      <c r="BH5263" s="1">
        <v>109.76</v>
      </c>
      <c r="BI5263" s="1">
        <v>304949</v>
      </c>
      <c r="BJ5263" s="3">
        <v>42485</v>
      </c>
      <c r="BK5263" t="s">
        <v>123</v>
      </c>
      <c r="BL5263" t="str">
        <f>"2016.274353"</f>
        <v>2016.274353</v>
      </c>
      <c r="BM5263" t="s">
        <v>1287</v>
      </c>
      <c r="BN5263" t="s">
        <v>9591</v>
      </c>
      <c r="BO5263" t="s">
        <v>32546</v>
      </c>
      <c r="BS5263">
        <v>30</v>
      </c>
      <c r="BW5263" t="str">
        <f>""</f>
        <v/>
      </c>
      <c r="CH5263" t="str">
        <f>""</f>
        <v/>
      </c>
      <c r="CS5263" t="str">
        <f>""</f>
        <v/>
      </c>
    </row>
    <row r="5264" spans="1:97" x14ac:dyDescent="0.25">
      <c r="A5264" t="s">
        <v>1938</v>
      </c>
      <c r="B5264" t="s">
        <v>32547</v>
      </c>
      <c r="C5264" t="s">
        <v>9803</v>
      </c>
      <c r="D5264" t="s">
        <v>32547</v>
      </c>
      <c r="E5264" t="s">
        <v>32548</v>
      </c>
      <c r="F5264" t="s">
        <v>108</v>
      </c>
      <c r="H5264" t="s">
        <v>32549</v>
      </c>
      <c r="I5264" t="s">
        <v>453</v>
      </c>
      <c r="J5264" t="s">
        <v>111</v>
      </c>
      <c r="K5264" t="str">
        <f>"85383"</f>
        <v>85383</v>
      </c>
      <c r="L5264" t="s">
        <v>7243</v>
      </c>
      <c r="M5264" t="s">
        <v>32549</v>
      </c>
      <c r="N5264" t="s">
        <v>453</v>
      </c>
      <c r="O5264" t="s">
        <v>111</v>
      </c>
      <c r="P5264" t="str">
        <f>"85383-4830"</f>
        <v>85383-4830</v>
      </c>
      <c r="Q5264" t="s">
        <v>113</v>
      </c>
      <c r="R5264" t="str">
        <f>"201-37-134"</f>
        <v>201-37-134</v>
      </c>
      <c r="S5264" t="s">
        <v>13120</v>
      </c>
      <c r="U5264">
        <v>2171</v>
      </c>
      <c r="V5264">
        <v>0</v>
      </c>
      <c r="W5264">
        <v>3</v>
      </c>
      <c r="X5264">
        <v>2004</v>
      </c>
      <c r="Z5264">
        <v>1</v>
      </c>
      <c r="AB5264">
        <v>0</v>
      </c>
      <c r="AC5264" t="s">
        <v>115</v>
      </c>
      <c r="AD5264">
        <v>2</v>
      </c>
      <c r="AE5264" t="s">
        <v>115</v>
      </c>
      <c r="AF5264">
        <v>0</v>
      </c>
      <c r="AG5264">
        <v>0</v>
      </c>
      <c r="AH5264" t="s">
        <v>116</v>
      </c>
      <c r="AI5264" s="1">
        <v>79635</v>
      </c>
      <c r="AJ5264" s="2">
        <v>0.24</v>
      </c>
      <c r="AK5264" s="1">
        <v>337885</v>
      </c>
      <c r="AL5264" t="s">
        <v>117</v>
      </c>
      <c r="AM5264" t="s">
        <v>118</v>
      </c>
      <c r="AN5264">
        <v>6050</v>
      </c>
      <c r="AO5264">
        <v>0.14000000000000001</v>
      </c>
      <c r="AP5264">
        <v>1</v>
      </c>
      <c r="AR5264">
        <v>1</v>
      </c>
      <c r="AS5264" s="1">
        <v>23730</v>
      </c>
      <c r="AT5264" s="1">
        <v>4740</v>
      </c>
      <c r="AU5264" s="1">
        <v>18990</v>
      </c>
      <c r="AV5264">
        <v>80.03</v>
      </c>
      <c r="AX5264" s="1">
        <v>2020.78</v>
      </c>
      <c r="AY5264" t="s">
        <v>8323</v>
      </c>
      <c r="AZ5264" t="s">
        <v>8323</v>
      </c>
      <c r="BA5264" t="s">
        <v>1386</v>
      </c>
      <c r="BE5264" s="3">
        <v>41862</v>
      </c>
      <c r="BF5264" s="1">
        <v>250000</v>
      </c>
      <c r="BG5264" t="s">
        <v>32550</v>
      </c>
      <c r="BH5264" s="1">
        <v>115.15</v>
      </c>
      <c r="BI5264" s="1">
        <v>258250</v>
      </c>
      <c r="BJ5264" s="3">
        <v>41862</v>
      </c>
      <c r="BK5264" t="s">
        <v>123</v>
      </c>
      <c r="BL5264" t="str">
        <f>"2014.528708"</f>
        <v>2014.528708</v>
      </c>
      <c r="BM5264" t="s">
        <v>7311</v>
      </c>
      <c r="BN5264" t="s">
        <v>24335</v>
      </c>
      <c r="BO5264" t="s">
        <v>32551</v>
      </c>
      <c r="BS5264">
        <v>30</v>
      </c>
      <c r="BW5264" t="str">
        <f>""</f>
        <v/>
      </c>
      <c r="CH5264" t="str">
        <f>""</f>
        <v/>
      </c>
      <c r="CS5264" t="str">
        <f>""</f>
        <v/>
      </c>
    </row>
    <row r="5265" spans="1:97" x14ac:dyDescent="0.25">
      <c r="A5265" t="s">
        <v>370</v>
      </c>
      <c r="B5265" t="s">
        <v>32552</v>
      </c>
      <c r="E5265" t="s">
        <v>32553</v>
      </c>
      <c r="F5265" t="s">
        <v>108</v>
      </c>
      <c r="H5265" t="s">
        <v>32554</v>
      </c>
      <c r="I5265" t="s">
        <v>1936</v>
      </c>
      <c r="J5265" t="s">
        <v>111</v>
      </c>
      <c r="K5265" t="str">
        <f>"85254"</f>
        <v>85254</v>
      </c>
      <c r="L5265" t="s">
        <v>9006</v>
      </c>
      <c r="M5265" t="s">
        <v>32554</v>
      </c>
      <c r="N5265" t="s">
        <v>1936</v>
      </c>
      <c r="O5265" t="s">
        <v>111</v>
      </c>
      <c r="P5265" t="str">
        <f>"85254-4418"</f>
        <v>85254-4418</v>
      </c>
      <c r="Q5265" t="s">
        <v>113</v>
      </c>
      <c r="R5265" t="str">
        <f>"167-08-090"</f>
        <v>167-08-090</v>
      </c>
      <c r="S5265" t="s">
        <v>9008</v>
      </c>
      <c r="T5265" t="s">
        <v>9008</v>
      </c>
      <c r="U5265">
        <v>2813</v>
      </c>
      <c r="V5265">
        <v>0</v>
      </c>
      <c r="W5265">
        <v>5</v>
      </c>
      <c r="X5265">
        <v>1969</v>
      </c>
      <c r="Z5265">
        <v>1</v>
      </c>
      <c r="AA5265" t="s">
        <v>26</v>
      </c>
      <c r="AB5265">
        <v>0</v>
      </c>
      <c r="AC5265" t="s">
        <v>115</v>
      </c>
      <c r="AD5265">
        <v>2</v>
      </c>
      <c r="AE5265" t="s">
        <v>115</v>
      </c>
      <c r="AF5265">
        <v>0</v>
      </c>
      <c r="AG5265">
        <v>0</v>
      </c>
      <c r="AH5265" t="s">
        <v>116</v>
      </c>
      <c r="AI5265" s="1">
        <v>90761</v>
      </c>
      <c r="AJ5265" s="2">
        <v>0.13</v>
      </c>
      <c r="AK5265" s="1">
        <v>687376</v>
      </c>
      <c r="AL5265" t="s">
        <v>117</v>
      </c>
      <c r="AM5265" t="s">
        <v>9009</v>
      </c>
      <c r="AN5265">
        <v>23589</v>
      </c>
      <c r="AO5265">
        <v>0.54</v>
      </c>
      <c r="AP5265">
        <v>1</v>
      </c>
      <c r="AR5265">
        <v>1</v>
      </c>
      <c r="AS5265" s="1">
        <v>50470</v>
      </c>
      <c r="AT5265" s="1">
        <v>10090</v>
      </c>
      <c r="AU5265" s="1">
        <v>40380</v>
      </c>
      <c r="AV5265">
        <v>80.010000000000005</v>
      </c>
      <c r="AX5265" s="1">
        <v>4098.92</v>
      </c>
      <c r="AY5265" t="s">
        <v>9010</v>
      </c>
      <c r="AZ5265" t="s">
        <v>7739</v>
      </c>
      <c r="BA5265" t="s">
        <v>6302</v>
      </c>
      <c r="BE5265" s="3">
        <v>41787</v>
      </c>
      <c r="BF5265" s="1">
        <v>370000</v>
      </c>
      <c r="BG5265" t="s">
        <v>32555</v>
      </c>
      <c r="BH5265" s="1">
        <v>203.86</v>
      </c>
      <c r="BI5265" s="1">
        <v>416615</v>
      </c>
      <c r="BJ5265" s="3">
        <v>42489</v>
      </c>
      <c r="BK5265" t="s">
        <v>123</v>
      </c>
      <c r="BL5265" t="str">
        <f>"2016.291585"</f>
        <v>2016.291585</v>
      </c>
      <c r="BM5265" t="s">
        <v>724</v>
      </c>
      <c r="BN5265" t="s">
        <v>5423</v>
      </c>
      <c r="BO5265" t="s">
        <v>32556</v>
      </c>
      <c r="BS5265">
        <v>30</v>
      </c>
      <c r="BT5265" s="1">
        <v>180000</v>
      </c>
      <c r="BU5265" s="3">
        <v>43636</v>
      </c>
      <c r="BW5265" t="str">
        <f>"2019.461483"</f>
        <v>2019.461483</v>
      </c>
      <c r="BX5265" t="s">
        <v>1639</v>
      </c>
      <c r="BY5265" t="s">
        <v>1640</v>
      </c>
      <c r="BZ5265" t="s">
        <v>32557</v>
      </c>
      <c r="CC5265" t="s">
        <v>346</v>
      </c>
      <c r="CH5265" t="str">
        <f>""</f>
        <v/>
      </c>
      <c r="CS5265" t="str">
        <f>""</f>
        <v/>
      </c>
    </row>
    <row r="5266" spans="1:97" x14ac:dyDescent="0.25">
      <c r="A5266" t="s">
        <v>1444</v>
      </c>
      <c r="B5266" t="s">
        <v>32558</v>
      </c>
      <c r="C5266" t="s">
        <v>31260</v>
      </c>
      <c r="D5266" t="s">
        <v>32558</v>
      </c>
      <c r="E5266" t="s">
        <v>32559</v>
      </c>
      <c r="F5266" t="s">
        <v>108</v>
      </c>
      <c r="H5266" t="s">
        <v>32560</v>
      </c>
      <c r="I5266" t="s">
        <v>2874</v>
      </c>
      <c r="J5266" t="s">
        <v>111</v>
      </c>
      <c r="K5266" t="str">
        <f>"85308"</f>
        <v>85308</v>
      </c>
      <c r="L5266" t="s">
        <v>541</v>
      </c>
      <c r="M5266" t="s">
        <v>32560</v>
      </c>
      <c r="N5266" t="s">
        <v>2874</v>
      </c>
      <c r="O5266" t="s">
        <v>111</v>
      </c>
      <c r="P5266" t="str">
        <f>"85308-9654"</f>
        <v>85308-9654</v>
      </c>
      <c r="Q5266" t="s">
        <v>113</v>
      </c>
      <c r="R5266" t="str">
        <f>"231-23-627"</f>
        <v>231-23-627</v>
      </c>
      <c r="S5266" t="s">
        <v>15376</v>
      </c>
      <c r="T5266" t="s">
        <v>15377</v>
      </c>
      <c r="U5266">
        <v>2327</v>
      </c>
      <c r="V5266">
        <v>0</v>
      </c>
      <c r="W5266">
        <v>4</v>
      </c>
      <c r="X5266">
        <v>1998</v>
      </c>
      <c r="Z5266">
        <v>2</v>
      </c>
      <c r="AA5266" t="s">
        <v>26</v>
      </c>
      <c r="AB5266">
        <v>0</v>
      </c>
      <c r="AC5266" t="s">
        <v>115</v>
      </c>
      <c r="AD5266">
        <v>2</v>
      </c>
      <c r="AE5266" t="s">
        <v>115</v>
      </c>
      <c r="AF5266">
        <v>0</v>
      </c>
      <c r="AG5266">
        <v>0</v>
      </c>
      <c r="AH5266" t="s">
        <v>116</v>
      </c>
      <c r="AI5266" s="1">
        <v>67532</v>
      </c>
      <c r="AJ5266" s="2">
        <v>0.18</v>
      </c>
      <c r="AK5266" s="1">
        <v>373982</v>
      </c>
      <c r="AL5266" t="s">
        <v>117</v>
      </c>
      <c r="AM5266" t="s">
        <v>191</v>
      </c>
      <c r="AN5266">
        <v>8260</v>
      </c>
      <c r="AO5266">
        <v>0.19</v>
      </c>
      <c r="AP5266">
        <v>1</v>
      </c>
      <c r="AR5266">
        <v>1</v>
      </c>
      <c r="AS5266" s="1">
        <v>27350</v>
      </c>
      <c r="AT5266" s="1">
        <v>5470</v>
      </c>
      <c r="AU5266" s="1">
        <v>21880</v>
      </c>
      <c r="AV5266">
        <v>80</v>
      </c>
      <c r="AX5266" s="1">
        <v>2541.64</v>
      </c>
      <c r="AY5266" t="s">
        <v>8358</v>
      </c>
      <c r="AZ5266" t="s">
        <v>8358</v>
      </c>
      <c r="BA5266" t="s">
        <v>2223</v>
      </c>
      <c r="BE5266" s="3">
        <v>42229</v>
      </c>
      <c r="BF5266" s="1">
        <v>300000</v>
      </c>
      <c r="BG5266" t="s">
        <v>32561</v>
      </c>
      <c r="BH5266" s="1">
        <v>128.91999999999999</v>
      </c>
      <c r="BI5266" s="1">
        <v>306450</v>
      </c>
      <c r="BJ5266" s="3">
        <v>42229</v>
      </c>
      <c r="BK5266" t="s">
        <v>123</v>
      </c>
      <c r="BL5266" t="str">
        <f>"2015.587762"</f>
        <v>2015.587762</v>
      </c>
      <c r="BM5266" t="s">
        <v>28946</v>
      </c>
      <c r="BO5266" t="s">
        <v>32562</v>
      </c>
      <c r="BS5266">
        <v>30</v>
      </c>
      <c r="BW5266" t="str">
        <f>""</f>
        <v/>
      </c>
      <c r="CH5266" t="str">
        <f>""</f>
        <v/>
      </c>
      <c r="CS5266" t="str">
        <f>""</f>
        <v/>
      </c>
    </row>
    <row r="5267" spans="1:97" x14ac:dyDescent="0.25">
      <c r="A5267" t="s">
        <v>4863</v>
      </c>
      <c r="B5267" t="s">
        <v>32563</v>
      </c>
      <c r="C5267" t="s">
        <v>30293</v>
      </c>
      <c r="D5267" t="s">
        <v>32563</v>
      </c>
      <c r="E5267" t="s">
        <v>32564</v>
      </c>
      <c r="F5267" t="s">
        <v>108</v>
      </c>
      <c r="H5267" t="s">
        <v>32565</v>
      </c>
      <c r="I5267" t="s">
        <v>203</v>
      </c>
      <c r="J5267" t="s">
        <v>111</v>
      </c>
      <c r="K5267" t="str">
        <f>"85297"</f>
        <v>85297</v>
      </c>
      <c r="L5267" t="s">
        <v>4698</v>
      </c>
      <c r="M5267" t="s">
        <v>32565</v>
      </c>
      <c r="N5267" t="s">
        <v>203</v>
      </c>
      <c r="O5267" t="s">
        <v>111</v>
      </c>
      <c r="P5267" t="str">
        <f>"85297-3040"</f>
        <v>85297-3040</v>
      </c>
      <c r="Q5267" t="s">
        <v>113</v>
      </c>
      <c r="R5267" t="str">
        <f>"304-60-390"</f>
        <v>304-60-390</v>
      </c>
      <c r="S5267" t="s">
        <v>32566</v>
      </c>
      <c r="U5267">
        <v>1757</v>
      </c>
      <c r="V5267">
        <v>0</v>
      </c>
      <c r="W5267">
        <v>3</v>
      </c>
      <c r="X5267">
        <v>2003</v>
      </c>
      <c r="Z5267">
        <v>1</v>
      </c>
      <c r="AA5267" t="s">
        <v>26</v>
      </c>
      <c r="AB5267">
        <v>0</v>
      </c>
      <c r="AC5267" t="s">
        <v>115</v>
      </c>
      <c r="AD5267">
        <v>3</v>
      </c>
      <c r="AE5267" t="s">
        <v>115</v>
      </c>
      <c r="AF5267">
        <v>0</v>
      </c>
      <c r="AG5267">
        <v>0</v>
      </c>
      <c r="AH5267" t="s">
        <v>116</v>
      </c>
      <c r="AI5267" s="1">
        <v>49302</v>
      </c>
      <c r="AJ5267" s="2">
        <v>0.15</v>
      </c>
      <c r="AK5267" s="1">
        <v>336476</v>
      </c>
      <c r="AL5267" t="s">
        <v>117</v>
      </c>
      <c r="AM5267" t="s">
        <v>393</v>
      </c>
      <c r="AN5267">
        <v>7700</v>
      </c>
      <c r="AO5267">
        <v>0.18</v>
      </c>
      <c r="AP5267">
        <v>1</v>
      </c>
      <c r="AR5267">
        <v>1</v>
      </c>
      <c r="AS5267" s="1">
        <v>23430</v>
      </c>
      <c r="AT5267" s="1">
        <v>4680</v>
      </c>
      <c r="AU5267" s="1">
        <v>18750</v>
      </c>
      <c r="AV5267">
        <v>80.03</v>
      </c>
      <c r="AX5267" s="1">
        <v>1900.98</v>
      </c>
      <c r="AY5267" t="s">
        <v>7512</v>
      </c>
      <c r="AZ5267" t="s">
        <v>7512</v>
      </c>
      <c r="BA5267" t="s">
        <v>473</v>
      </c>
      <c r="BE5267" s="3">
        <v>42090</v>
      </c>
      <c r="BF5267" s="1">
        <v>278000</v>
      </c>
      <c r="BG5267" t="s">
        <v>32567</v>
      </c>
      <c r="BH5267" s="1">
        <v>158.22</v>
      </c>
      <c r="BI5267" s="1">
        <v>287174</v>
      </c>
      <c r="BJ5267" s="3">
        <v>42090</v>
      </c>
      <c r="BK5267" t="s">
        <v>123</v>
      </c>
      <c r="BL5267" t="str">
        <f>"2015.205540"</f>
        <v>2015.205540</v>
      </c>
      <c r="BM5267" t="s">
        <v>6784</v>
      </c>
      <c r="BO5267" t="s">
        <v>32568</v>
      </c>
      <c r="BS5267">
        <v>30</v>
      </c>
      <c r="BW5267" t="str">
        <f>""</f>
        <v/>
      </c>
      <c r="CH5267" t="str">
        <f>""</f>
        <v/>
      </c>
      <c r="CS5267" t="str">
        <f>""</f>
        <v/>
      </c>
    </row>
    <row r="5268" spans="1:97" x14ac:dyDescent="0.25">
      <c r="B5268" t="s">
        <v>32569</v>
      </c>
      <c r="E5268" t="s">
        <v>295</v>
      </c>
      <c r="F5268" t="s">
        <v>108</v>
      </c>
      <c r="H5268" t="s">
        <v>32570</v>
      </c>
      <c r="I5268" t="s">
        <v>499</v>
      </c>
      <c r="J5268" t="s">
        <v>111</v>
      </c>
      <c r="K5268" t="str">
        <f>"85395"</f>
        <v>85395</v>
      </c>
      <c r="L5268" t="s">
        <v>3151</v>
      </c>
      <c r="M5268" t="s">
        <v>32570</v>
      </c>
      <c r="N5268" t="s">
        <v>499</v>
      </c>
      <c r="O5268" t="s">
        <v>111</v>
      </c>
      <c r="P5268" t="str">
        <f>"85395-8709"</f>
        <v>85395-8709</v>
      </c>
      <c r="Q5268" t="s">
        <v>113</v>
      </c>
      <c r="R5268" t="str">
        <f>"501-69-386"</f>
        <v>501-69-386</v>
      </c>
      <c r="S5268" t="s">
        <v>32571</v>
      </c>
      <c r="U5268">
        <v>1445</v>
      </c>
      <c r="V5268">
        <v>0</v>
      </c>
      <c r="W5268">
        <v>3</v>
      </c>
      <c r="X5268">
        <v>1994</v>
      </c>
      <c r="Z5268">
        <v>1</v>
      </c>
      <c r="AB5268">
        <v>0</v>
      </c>
      <c r="AC5268" t="s">
        <v>115</v>
      </c>
      <c r="AD5268">
        <v>2</v>
      </c>
      <c r="AE5268" t="s">
        <v>115</v>
      </c>
      <c r="AF5268">
        <v>0</v>
      </c>
      <c r="AG5268">
        <v>0</v>
      </c>
      <c r="AH5268" t="s">
        <v>116</v>
      </c>
      <c r="AI5268" s="1">
        <v>51923</v>
      </c>
      <c r="AJ5268" s="2">
        <v>0.17</v>
      </c>
      <c r="AK5268" s="1">
        <v>301923</v>
      </c>
      <c r="AL5268" t="s">
        <v>117</v>
      </c>
      <c r="AM5268" t="s">
        <v>118</v>
      </c>
      <c r="AN5268">
        <v>9786</v>
      </c>
      <c r="AO5268">
        <v>0.22</v>
      </c>
      <c r="AP5268">
        <v>1</v>
      </c>
      <c r="AR5268">
        <v>1</v>
      </c>
      <c r="AS5268" s="1">
        <v>21770</v>
      </c>
      <c r="AT5268" s="1">
        <v>4350</v>
      </c>
      <c r="AU5268" s="1">
        <v>17420</v>
      </c>
      <c r="AV5268">
        <v>80.02</v>
      </c>
      <c r="AX5268" s="1">
        <v>2288.04</v>
      </c>
      <c r="AY5268" t="s">
        <v>3020</v>
      </c>
      <c r="AZ5268" t="s">
        <v>3020</v>
      </c>
      <c r="BA5268" t="s">
        <v>3154</v>
      </c>
      <c r="BB5268" s="3">
        <v>42496</v>
      </c>
      <c r="BD5268" t="s">
        <v>480</v>
      </c>
      <c r="BE5268" s="3">
        <v>42338</v>
      </c>
      <c r="BF5268" s="1">
        <v>250000</v>
      </c>
      <c r="BG5268" t="s">
        <v>32572</v>
      </c>
      <c r="BH5268" s="1">
        <v>173.01</v>
      </c>
      <c r="BI5268" s="1">
        <v>250000</v>
      </c>
      <c r="BJ5268" s="3">
        <v>42338</v>
      </c>
      <c r="BK5268" t="s">
        <v>123</v>
      </c>
      <c r="BL5268" t="str">
        <f>"2015.847498"</f>
        <v>2015.847498</v>
      </c>
      <c r="BM5268" t="s">
        <v>544</v>
      </c>
      <c r="BO5268" t="s">
        <v>32573</v>
      </c>
      <c r="BS5268">
        <v>30</v>
      </c>
      <c r="BW5268" t="str">
        <f>""</f>
        <v/>
      </c>
      <c r="CH5268" t="str">
        <f>""</f>
        <v/>
      </c>
      <c r="CS5268" t="str">
        <f>""</f>
        <v/>
      </c>
    </row>
    <row r="5269" spans="1:97" x14ac:dyDescent="0.25">
      <c r="B5269" t="s">
        <v>32574</v>
      </c>
      <c r="E5269" t="s">
        <v>32574</v>
      </c>
      <c r="F5269" t="s">
        <v>108</v>
      </c>
      <c r="H5269" t="s">
        <v>32575</v>
      </c>
      <c r="I5269" t="s">
        <v>390</v>
      </c>
      <c r="J5269" t="s">
        <v>111</v>
      </c>
      <c r="K5269" t="str">
        <f>"85021"</f>
        <v>85021</v>
      </c>
      <c r="L5269" t="s">
        <v>6112</v>
      </c>
      <c r="M5269" t="s">
        <v>32575</v>
      </c>
      <c r="N5269" t="s">
        <v>390</v>
      </c>
      <c r="O5269" t="s">
        <v>111</v>
      </c>
      <c r="P5269" t="str">
        <f>"85021-4304"</f>
        <v>85021-4304</v>
      </c>
      <c r="Q5269" t="s">
        <v>113</v>
      </c>
      <c r="R5269" t="str">
        <f>"158-19-171"</f>
        <v>158-19-171</v>
      </c>
      <c r="S5269" t="s">
        <v>32576</v>
      </c>
      <c r="T5269" t="s">
        <v>32577</v>
      </c>
      <c r="U5269">
        <v>2001</v>
      </c>
      <c r="V5269">
        <v>0</v>
      </c>
      <c r="W5269">
        <v>3</v>
      </c>
      <c r="X5269">
        <v>1972</v>
      </c>
      <c r="Z5269">
        <v>1</v>
      </c>
      <c r="AA5269" t="s">
        <v>26</v>
      </c>
      <c r="AB5269">
        <v>0</v>
      </c>
      <c r="AC5269" t="s">
        <v>115</v>
      </c>
      <c r="AD5269">
        <v>2</v>
      </c>
      <c r="AE5269" t="s">
        <v>115</v>
      </c>
      <c r="AF5269">
        <v>0</v>
      </c>
      <c r="AG5269">
        <v>0</v>
      </c>
      <c r="AH5269" t="s">
        <v>116</v>
      </c>
      <c r="AI5269" s="1">
        <v>49551</v>
      </c>
      <c r="AJ5269" s="2">
        <v>0.12</v>
      </c>
      <c r="AK5269" s="1">
        <v>411101</v>
      </c>
      <c r="AL5269" t="s">
        <v>117</v>
      </c>
      <c r="AM5269" t="s">
        <v>1302</v>
      </c>
      <c r="AN5269">
        <v>10402</v>
      </c>
      <c r="AO5269">
        <v>0.24</v>
      </c>
      <c r="AP5269">
        <v>1</v>
      </c>
      <c r="AR5269">
        <v>1</v>
      </c>
      <c r="AS5269" s="1">
        <v>27620</v>
      </c>
      <c r="AT5269" s="1">
        <v>5520</v>
      </c>
      <c r="AU5269" s="1">
        <v>22100</v>
      </c>
      <c r="AV5269">
        <v>80.010000000000005</v>
      </c>
      <c r="AX5269" s="1">
        <v>2926.88</v>
      </c>
      <c r="AY5269" t="s">
        <v>6147</v>
      </c>
      <c r="AZ5269" t="s">
        <v>6148</v>
      </c>
      <c r="BA5269" t="s">
        <v>6149</v>
      </c>
      <c r="BE5269" s="3">
        <v>42548</v>
      </c>
      <c r="BF5269" s="1">
        <v>350000</v>
      </c>
      <c r="BG5269" t="s">
        <v>32578</v>
      </c>
      <c r="BH5269" s="1">
        <v>174.91</v>
      </c>
      <c r="BI5269" s="1">
        <v>361550</v>
      </c>
      <c r="BJ5269" s="3">
        <v>42548</v>
      </c>
      <c r="BK5269" t="s">
        <v>123</v>
      </c>
      <c r="BL5269" t="str">
        <f>"2016.447546"</f>
        <v>2016.447546</v>
      </c>
      <c r="BM5269" t="s">
        <v>1287</v>
      </c>
      <c r="BO5269" t="s">
        <v>32579</v>
      </c>
      <c r="BS5269">
        <v>30</v>
      </c>
      <c r="BW5269" t="str">
        <f>""</f>
        <v/>
      </c>
      <c r="CH5269" t="str">
        <f>""</f>
        <v/>
      </c>
      <c r="CS5269" t="str">
        <f>""</f>
        <v/>
      </c>
    </row>
    <row r="5270" spans="1:97" x14ac:dyDescent="0.25">
      <c r="A5270" t="s">
        <v>10843</v>
      </c>
      <c r="B5270" t="s">
        <v>1577</v>
      </c>
      <c r="E5270" t="s">
        <v>32580</v>
      </c>
      <c r="F5270" t="s">
        <v>108</v>
      </c>
      <c r="H5270" t="s">
        <v>32581</v>
      </c>
      <c r="I5270" t="s">
        <v>225</v>
      </c>
      <c r="J5270" t="s">
        <v>111</v>
      </c>
      <c r="K5270" t="str">
        <f>"85212"</f>
        <v>85212</v>
      </c>
      <c r="L5270" t="s">
        <v>5239</v>
      </c>
      <c r="M5270" t="s">
        <v>32581</v>
      </c>
      <c r="N5270" t="s">
        <v>225</v>
      </c>
      <c r="O5270" t="s">
        <v>111</v>
      </c>
      <c r="P5270" t="str">
        <f>"85212-7104"</f>
        <v>85212-7104</v>
      </c>
      <c r="Q5270" t="s">
        <v>113</v>
      </c>
      <c r="R5270" t="str">
        <f>"312-14-548"</f>
        <v>312-14-548</v>
      </c>
      <c r="S5270" t="s">
        <v>8852</v>
      </c>
      <c r="T5270" t="s">
        <v>8853</v>
      </c>
      <c r="U5270">
        <v>2821</v>
      </c>
      <c r="V5270">
        <v>0</v>
      </c>
      <c r="W5270">
        <v>4</v>
      </c>
      <c r="X5270">
        <v>2006</v>
      </c>
      <c r="Z5270">
        <v>2</v>
      </c>
      <c r="AA5270" t="s">
        <v>26</v>
      </c>
      <c r="AB5270">
        <v>0</v>
      </c>
      <c r="AC5270" t="s">
        <v>115</v>
      </c>
      <c r="AD5270">
        <v>2</v>
      </c>
      <c r="AE5270" t="s">
        <v>115</v>
      </c>
      <c r="AF5270">
        <v>0</v>
      </c>
      <c r="AG5270">
        <v>0</v>
      </c>
      <c r="AH5270" t="s">
        <v>116</v>
      </c>
      <c r="AI5270" s="1">
        <v>85047</v>
      </c>
      <c r="AJ5270" s="2">
        <v>0.23</v>
      </c>
      <c r="AK5270" s="1">
        <v>375561</v>
      </c>
      <c r="AL5270" t="s">
        <v>117</v>
      </c>
      <c r="AM5270" t="s">
        <v>191</v>
      </c>
      <c r="AN5270">
        <v>10170</v>
      </c>
      <c r="AO5270">
        <v>0.23</v>
      </c>
      <c r="AR5270">
        <v>1</v>
      </c>
      <c r="AS5270" s="1">
        <v>26300</v>
      </c>
      <c r="AT5270" s="1">
        <v>5260</v>
      </c>
      <c r="AU5270" s="1">
        <v>21040</v>
      </c>
      <c r="AV5270">
        <v>80</v>
      </c>
      <c r="AX5270" s="1">
        <v>2296.56</v>
      </c>
      <c r="AY5270" t="s">
        <v>560</v>
      </c>
      <c r="AZ5270" t="s">
        <v>561</v>
      </c>
      <c r="BA5270" t="s">
        <v>194</v>
      </c>
      <c r="BE5270" s="3">
        <v>41774</v>
      </c>
      <c r="BF5270" s="1">
        <v>284400</v>
      </c>
      <c r="BG5270" t="s">
        <v>32582</v>
      </c>
      <c r="BH5270" s="1">
        <v>100.82</v>
      </c>
      <c r="BI5270" s="1">
        <v>290514</v>
      </c>
      <c r="BJ5270" s="3">
        <v>41774</v>
      </c>
      <c r="BK5270" t="s">
        <v>123</v>
      </c>
      <c r="BL5270" t="str">
        <f>"2014.318155"</f>
        <v>2014.318155</v>
      </c>
      <c r="BM5270" t="s">
        <v>1185</v>
      </c>
      <c r="BO5270" t="s">
        <v>32583</v>
      </c>
      <c r="BS5270">
        <v>30</v>
      </c>
      <c r="BW5270" t="str">
        <f>""</f>
        <v/>
      </c>
      <c r="CH5270" t="str">
        <f>""</f>
        <v/>
      </c>
      <c r="CS5270" t="str">
        <f>""</f>
        <v/>
      </c>
    </row>
    <row r="5271" spans="1:97" x14ac:dyDescent="0.25">
      <c r="A5271" t="s">
        <v>32584</v>
      </c>
      <c r="B5271" t="s">
        <v>32585</v>
      </c>
      <c r="E5271" t="s">
        <v>32586</v>
      </c>
      <c r="F5271" t="s">
        <v>108</v>
      </c>
      <c r="H5271" t="s">
        <v>32587</v>
      </c>
      <c r="I5271" t="s">
        <v>110</v>
      </c>
      <c r="J5271" t="s">
        <v>111</v>
      </c>
      <c r="K5271" t="str">
        <f>"85249"</f>
        <v>85249</v>
      </c>
      <c r="L5271" t="s">
        <v>3696</v>
      </c>
      <c r="M5271" t="s">
        <v>32587</v>
      </c>
      <c r="N5271" t="s">
        <v>110</v>
      </c>
      <c r="O5271" t="s">
        <v>111</v>
      </c>
      <c r="P5271" t="str">
        <f>"85249-9101"</f>
        <v>85249-9101</v>
      </c>
      <c r="Q5271" t="s">
        <v>113</v>
      </c>
      <c r="R5271" t="str">
        <f>"303-89-390"</f>
        <v>303-89-390</v>
      </c>
      <c r="S5271" t="s">
        <v>32588</v>
      </c>
      <c r="U5271">
        <v>2700</v>
      </c>
      <c r="V5271">
        <v>0</v>
      </c>
      <c r="W5271">
        <v>4</v>
      </c>
      <c r="X5271">
        <v>2004</v>
      </c>
      <c r="Z5271">
        <v>1</v>
      </c>
      <c r="AA5271" t="s">
        <v>26</v>
      </c>
      <c r="AB5271">
        <v>0</v>
      </c>
      <c r="AC5271" t="s">
        <v>115</v>
      </c>
      <c r="AD5271">
        <v>3</v>
      </c>
      <c r="AE5271" t="s">
        <v>115</v>
      </c>
      <c r="AF5271">
        <v>0</v>
      </c>
      <c r="AG5271">
        <v>0</v>
      </c>
      <c r="AH5271" t="s">
        <v>116</v>
      </c>
      <c r="AI5271" s="1">
        <v>77298</v>
      </c>
      <c r="AJ5271" s="2">
        <v>0.17</v>
      </c>
      <c r="AK5271" s="1">
        <v>448218</v>
      </c>
      <c r="AL5271" t="s">
        <v>117</v>
      </c>
      <c r="AM5271" t="s">
        <v>118</v>
      </c>
      <c r="AN5271">
        <v>11630</v>
      </c>
      <c r="AO5271">
        <v>0.27</v>
      </c>
      <c r="AP5271">
        <v>1</v>
      </c>
      <c r="AR5271">
        <v>1</v>
      </c>
      <c r="AS5271" s="1">
        <v>32270</v>
      </c>
      <c r="AT5271" s="1">
        <v>6450</v>
      </c>
      <c r="AU5271" s="1">
        <v>25820</v>
      </c>
      <c r="AV5271">
        <v>80.010000000000005</v>
      </c>
      <c r="AX5271" s="1">
        <v>2763.96</v>
      </c>
      <c r="AY5271" t="s">
        <v>5050</v>
      </c>
      <c r="AZ5271" t="s">
        <v>120</v>
      </c>
      <c r="BA5271" t="s">
        <v>274</v>
      </c>
      <c r="BE5271" s="3">
        <v>41898</v>
      </c>
      <c r="BF5271" s="1">
        <v>359000</v>
      </c>
      <c r="BG5271" t="s">
        <v>32589</v>
      </c>
      <c r="BH5271" s="1">
        <v>132.96</v>
      </c>
      <c r="BI5271" s="1">
        <v>370920</v>
      </c>
      <c r="BJ5271" s="3">
        <v>42139</v>
      </c>
      <c r="BK5271" t="s">
        <v>123</v>
      </c>
      <c r="BL5271" t="str">
        <f>"2015.342750"</f>
        <v>2015.342750</v>
      </c>
      <c r="BM5271" t="s">
        <v>594</v>
      </c>
      <c r="BO5271" t="s">
        <v>32590</v>
      </c>
      <c r="BS5271">
        <v>30</v>
      </c>
      <c r="BW5271" t="str">
        <f>""</f>
        <v/>
      </c>
      <c r="CH5271" t="str">
        <f>""</f>
        <v/>
      </c>
      <c r="CS5271" t="str">
        <f>""</f>
        <v/>
      </c>
    </row>
    <row r="5272" spans="1:97" x14ac:dyDescent="0.25">
      <c r="A5272" t="s">
        <v>1938</v>
      </c>
      <c r="B5272" t="s">
        <v>7889</v>
      </c>
      <c r="C5272" t="s">
        <v>513</v>
      </c>
      <c r="D5272" t="s">
        <v>7889</v>
      </c>
      <c r="E5272" t="s">
        <v>32591</v>
      </c>
      <c r="F5272" t="s">
        <v>108</v>
      </c>
      <c r="H5272" t="s">
        <v>32592</v>
      </c>
      <c r="I5272" t="s">
        <v>2874</v>
      </c>
      <c r="J5272" t="s">
        <v>111</v>
      </c>
      <c r="K5272" t="str">
        <f>"85308"</f>
        <v>85308</v>
      </c>
      <c r="L5272" t="s">
        <v>5367</v>
      </c>
      <c r="M5272" t="s">
        <v>32592</v>
      </c>
      <c r="N5272" t="s">
        <v>2874</v>
      </c>
      <c r="O5272" t="s">
        <v>111</v>
      </c>
      <c r="P5272" t="str">
        <f>"85308-8411"</f>
        <v>85308-8411</v>
      </c>
      <c r="Q5272" t="s">
        <v>113</v>
      </c>
      <c r="R5272" t="str">
        <f>"200-44-625"</f>
        <v>200-44-625</v>
      </c>
      <c r="S5272" t="s">
        <v>32593</v>
      </c>
      <c r="T5272" t="s">
        <v>32593</v>
      </c>
      <c r="U5272">
        <v>2398</v>
      </c>
      <c r="V5272">
        <v>0</v>
      </c>
      <c r="W5272">
        <v>3</v>
      </c>
      <c r="X5272">
        <v>1998</v>
      </c>
      <c r="Z5272">
        <v>1</v>
      </c>
      <c r="AA5272" t="s">
        <v>26</v>
      </c>
      <c r="AB5272">
        <v>0</v>
      </c>
      <c r="AC5272" t="s">
        <v>115</v>
      </c>
      <c r="AD5272">
        <v>3</v>
      </c>
      <c r="AE5272" t="s">
        <v>115</v>
      </c>
      <c r="AF5272">
        <v>0</v>
      </c>
      <c r="AG5272">
        <v>0</v>
      </c>
      <c r="AH5272" t="s">
        <v>116</v>
      </c>
      <c r="AI5272" s="1">
        <v>63020</v>
      </c>
      <c r="AJ5272" s="2">
        <v>0.14000000000000001</v>
      </c>
      <c r="AK5272" s="1">
        <v>434796</v>
      </c>
      <c r="AL5272" t="s">
        <v>117</v>
      </c>
      <c r="AM5272" t="s">
        <v>5791</v>
      </c>
      <c r="AN5272">
        <v>10800</v>
      </c>
      <c r="AO5272">
        <v>0.25</v>
      </c>
      <c r="AP5272">
        <v>1</v>
      </c>
      <c r="AR5272">
        <v>1</v>
      </c>
      <c r="AS5272" s="1">
        <v>30620</v>
      </c>
      <c r="AT5272" s="1">
        <v>6120</v>
      </c>
      <c r="AU5272" s="1">
        <v>24500</v>
      </c>
      <c r="AV5272">
        <v>80.010000000000005</v>
      </c>
      <c r="AX5272" s="1">
        <v>3081.6</v>
      </c>
      <c r="AY5272" t="s">
        <v>7283</v>
      </c>
      <c r="AZ5272" t="s">
        <v>7283</v>
      </c>
      <c r="BA5272" t="s">
        <v>2223</v>
      </c>
      <c r="BE5272" s="3">
        <v>42550</v>
      </c>
      <c r="BF5272" s="1">
        <v>359900</v>
      </c>
      <c r="BG5272" t="s">
        <v>32594</v>
      </c>
      <c r="BH5272" s="1">
        <v>150.08000000000001</v>
      </c>
      <c r="BI5272" s="1">
        <v>371776</v>
      </c>
      <c r="BJ5272" s="3">
        <v>42550</v>
      </c>
      <c r="BK5272" t="s">
        <v>123</v>
      </c>
      <c r="BL5272" t="str">
        <f>"2016.455352"</f>
        <v>2016.455352</v>
      </c>
      <c r="BM5272" t="s">
        <v>2716</v>
      </c>
      <c r="BO5272" t="s">
        <v>32595</v>
      </c>
      <c r="BS5272">
        <v>30</v>
      </c>
      <c r="BW5272" t="str">
        <f>""</f>
        <v/>
      </c>
      <c r="CH5272" t="str">
        <f>""</f>
        <v/>
      </c>
      <c r="CS5272" t="str">
        <f>""</f>
        <v/>
      </c>
    </row>
    <row r="5273" spans="1:97" x14ac:dyDescent="0.25">
      <c r="A5273" t="s">
        <v>1295</v>
      </c>
      <c r="B5273" t="s">
        <v>32596</v>
      </c>
      <c r="C5273" t="s">
        <v>1649</v>
      </c>
      <c r="D5273" t="s">
        <v>32596</v>
      </c>
      <c r="E5273" t="s">
        <v>32597</v>
      </c>
      <c r="F5273" t="s">
        <v>108</v>
      </c>
      <c r="H5273" t="s">
        <v>32598</v>
      </c>
      <c r="I5273" t="s">
        <v>499</v>
      </c>
      <c r="J5273" t="s">
        <v>111</v>
      </c>
      <c r="K5273" t="str">
        <f>"85338"</f>
        <v>85338</v>
      </c>
      <c r="L5273" t="s">
        <v>8146</v>
      </c>
      <c r="M5273" t="s">
        <v>32598</v>
      </c>
      <c r="N5273" t="s">
        <v>499</v>
      </c>
      <c r="O5273" t="s">
        <v>111</v>
      </c>
      <c r="P5273" t="str">
        <f>"85338-7493"</f>
        <v>85338-7493</v>
      </c>
      <c r="Q5273" t="s">
        <v>113</v>
      </c>
      <c r="R5273" t="str">
        <f>"502-44-190"</f>
        <v>502-44-190</v>
      </c>
      <c r="S5273" t="s">
        <v>5101</v>
      </c>
      <c r="T5273" t="s">
        <v>5102</v>
      </c>
      <c r="U5273">
        <v>2489</v>
      </c>
      <c r="V5273">
        <v>0</v>
      </c>
      <c r="W5273">
        <v>5</v>
      </c>
      <c r="X5273">
        <v>2014</v>
      </c>
      <c r="Z5273">
        <v>1</v>
      </c>
      <c r="AB5273">
        <v>0</v>
      </c>
      <c r="AC5273" t="s">
        <v>115</v>
      </c>
      <c r="AD5273">
        <v>2</v>
      </c>
      <c r="AE5273" t="s">
        <v>115</v>
      </c>
      <c r="AF5273">
        <v>0</v>
      </c>
      <c r="AG5273">
        <v>0</v>
      </c>
      <c r="AH5273" t="s">
        <v>116</v>
      </c>
      <c r="AI5273" s="1">
        <v>125715</v>
      </c>
      <c r="AJ5273" s="2">
        <v>0.37</v>
      </c>
      <c r="AK5273" s="1">
        <v>335984</v>
      </c>
      <c r="AL5273" t="s">
        <v>117</v>
      </c>
      <c r="AM5273" t="s">
        <v>118</v>
      </c>
      <c r="AN5273">
        <v>8725</v>
      </c>
      <c r="AO5273">
        <v>0.2</v>
      </c>
      <c r="AR5273">
        <v>1</v>
      </c>
      <c r="AS5273" s="1">
        <v>24960</v>
      </c>
      <c r="AT5273" s="1">
        <v>4990</v>
      </c>
      <c r="AU5273" s="1">
        <v>19970</v>
      </c>
      <c r="AV5273">
        <v>80.010000000000005</v>
      </c>
      <c r="AX5273" s="1">
        <v>1949.16</v>
      </c>
      <c r="AY5273" t="s">
        <v>2767</v>
      </c>
      <c r="AZ5273" t="s">
        <v>2767</v>
      </c>
      <c r="BA5273" t="s">
        <v>1247</v>
      </c>
      <c r="BE5273" s="3">
        <v>41746</v>
      </c>
      <c r="BF5273" s="1">
        <v>237674</v>
      </c>
      <c r="BG5273" t="s">
        <v>275</v>
      </c>
      <c r="BH5273" s="1">
        <v>95.49</v>
      </c>
      <c r="BI5273" s="1">
        <v>210269</v>
      </c>
      <c r="BJ5273" s="3">
        <v>41746</v>
      </c>
      <c r="BK5273" t="s">
        <v>123</v>
      </c>
      <c r="BL5273" t="str">
        <f>"2014.247311"</f>
        <v>2014.247311</v>
      </c>
      <c r="BM5273" t="s">
        <v>628</v>
      </c>
      <c r="BO5273" t="s">
        <v>32599</v>
      </c>
      <c r="BS5273">
        <v>30</v>
      </c>
      <c r="BW5273" t="str">
        <f>""</f>
        <v/>
      </c>
      <c r="CH5273" t="str">
        <f>""</f>
        <v/>
      </c>
      <c r="CS5273" t="str">
        <f>""</f>
        <v/>
      </c>
    </row>
    <row r="5274" spans="1:97" x14ac:dyDescent="0.25">
      <c r="A5274" t="s">
        <v>7343</v>
      </c>
      <c r="B5274" t="s">
        <v>32600</v>
      </c>
      <c r="C5274" t="s">
        <v>727</v>
      </c>
      <c r="D5274" t="s">
        <v>32600</v>
      </c>
      <c r="E5274" t="s">
        <v>32601</v>
      </c>
      <c r="F5274" t="s">
        <v>108</v>
      </c>
      <c r="H5274" t="s">
        <v>32602</v>
      </c>
      <c r="I5274" t="s">
        <v>453</v>
      </c>
      <c r="J5274" t="s">
        <v>111</v>
      </c>
      <c r="K5274" t="str">
        <f>"85383"</f>
        <v>85383</v>
      </c>
      <c r="L5274" t="s">
        <v>2220</v>
      </c>
      <c r="M5274" t="s">
        <v>32602</v>
      </c>
      <c r="N5274" t="s">
        <v>453</v>
      </c>
      <c r="O5274" t="s">
        <v>111</v>
      </c>
      <c r="P5274" t="str">
        <f>"85383-7225"</f>
        <v>85383-7225</v>
      </c>
      <c r="Q5274" t="s">
        <v>113</v>
      </c>
      <c r="R5274" t="str">
        <f>"201-30-185"</f>
        <v>201-30-185</v>
      </c>
      <c r="S5274" t="s">
        <v>21210</v>
      </c>
      <c r="T5274" t="s">
        <v>2222</v>
      </c>
      <c r="U5274">
        <v>3638</v>
      </c>
      <c r="V5274">
        <v>0</v>
      </c>
      <c r="W5274">
        <v>5</v>
      </c>
      <c r="X5274">
        <v>2013</v>
      </c>
      <c r="Z5274">
        <v>2</v>
      </c>
      <c r="AB5274">
        <v>0</v>
      </c>
      <c r="AC5274" t="s">
        <v>115</v>
      </c>
      <c r="AD5274">
        <v>3</v>
      </c>
      <c r="AE5274" t="s">
        <v>115</v>
      </c>
      <c r="AF5274">
        <v>0</v>
      </c>
      <c r="AG5274">
        <v>0</v>
      </c>
      <c r="AH5274" t="s">
        <v>116</v>
      </c>
      <c r="AI5274" s="1">
        <v>50798</v>
      </c>
      <c r="AJ5274" s="2">
        <v>0.11</v>
      </c>
      <c r="AK5274" s="1">
        <v>471298</v>
      </c>
      <c r="AL5274" t="s">
        <v>117</v>
      </c>
      <c r="AM5274" t="s">
        <v>1302</v>
      </c>
      <c r="AN5274">
        <v>10000</v>
      </c>
      <c r="AO5274">
        <v>0.23</v>
      </c>
      <c r="AR5274">
        <v>1</v>
      </c>
      <c r="AS5274" s="1">
        <v>35660</v>
      </c>
      <c r="AT5274" s="1">
        <v>7130</v>
      </c>
      <c r="AU5274" s="1">
        <v>28530</v>
      </c>
      <c r="AV5274">
        <v>80.010000000000005</v>
      </c>
      <c r="AX5274" s="1">
        <v>3224.86</v>
      </c>
      <c r="AY5274" t="s">
        <v>1385</v>
      </c>
      <c r="AZ5274" t="s">
        <v>1385</v>
      </c>
      <c r="BA5274" t="s">
        <v>2223</v>
      </c>
      <c r="BE5274" s="3">
        <v>42102</v>
      </c>
      <c r="BF5274" s="1">
        <v>400000</v>
      </c>
      <c r="BG5274" t="s">
        <v>32603</v>
      </c>
      <c r="BH5274" s="1">
        <v>109.95</v>
      </c>
      <c r="BI5274" s="1">
        <v>420500</v>
      </c>
      <c r="BJ5274" s="3">
        <v>42557</v>
      </c>
      <c r="BK5274" t="s">
        <v>123</v>
      </c>
      <c r="BL5274" t="str">
        <f>"2016.474197"</f>
        <v>2016.474197</v>
      </c>
      <c r="BM5274" t="s">
        <v>1760</v>
      </c>
      <c r="BO5274" t="s">
        <v>32604</v>
      </c>
      <c r="BS5274">
        <v>30</v>
      </c>
      <c r="BW5274" t="str">
        <f>""</f>
        <v/>
      </c>
      <c r="CH5274" t="str">
        <f>""</f>
        <v/>
      </c>
      <c r="CS5274" t="str">
        <f>""</f>
        <v/>
      </c>
    </row>
    <row r="5275" spans="1:97" x14ac:dyDescent="0.25">
      <c r="A5275" t="s">
        <v>996</v>
      </c>
      <c r="B5275" t="s">
        <v>8539</v>
      </c>
      <c r="C5275" t="s">
        <v>17474</v>
      </c>
      <c r="D5275" t="s">
        <v>8539</v>
      </c>
      <c r="E5275" t="s">
        <v>32605</v>
      </c>
      <c r="F5275" t="s">
        <v>108</v>
      </c>
      <c r="H5275" t="s">
        <v>32606</v>
      </c>
      <c r="I5275" t="s">
        <v>1936</v>
      </c>
      <c r="J5275" t="s">
        <v>111</v>
      </c>
      <c r="K5275" t="str">
        <f>"85260"</f>
        <v>85260</v>
      </c>
      <c r="L5275" t="s">
        <v>15475</v>
      </c>
      <c r="M5275" t="s">
        <v>32606</v>
      </c>
      <c r="N5275" t="s">
        <v>1936</v>
      </c>
      <c r="O5275" t="s">
        <v>111</v>
      </c>
      <c r="P5275" t="str">
        <f>"85260-9233"</f>
        <v>85260-9233</v>
      </c>
      <c r="Q5275" t="s">
        <v>113</v>
      </c>
      <c r="R5275" t="str">
        <f>"217-16-866"</f>
        <v>217-16-866</v>
      </c>
      <c r="S5275" t="s">
        <v>16902</v>
      </c>
      <c r="T5275" t="s">
        <v>16902</v>
      </c>
      <c r="U5275">
        <v>1490</v>
      </c>
      <c r="V5275">
        <v>0</v>
      </c>
      <c r="W5275">
        <v>3</v>
      </c>
      <c r="X5275">
        <v>1995</v>
      </c>
      <c r="Z5275">
        <v>1</v>
      </c>
      <c r="AB5275">
        <v>0</v>
      </c>
      <c r="AC5275" t="s">
        <v>115</v>
      </c>
      <c r="AD5275">
        <v>2</v>
      </c>
      <c r="AE5275" t="s">
        <v>115</v>
      </c>
      <c r="AF5275">
        <v>0</v>
      </c>
      <c r="AG5275">
        <v>0</v>
      </c>
      <c r="AH5275" t="s">
        <v>116</v>
      </c>
      <c r="AI5275" s="1">
        <v>50813</v>
      </c>
      <c r="AJ5275" s="2">
        <v>0.12</v>
      </c>
      <c r="AK5275" s="1">
        <v>407198</v>
      </c>
      <c r="AL5275" t="s">
        <v>117</v>
      </c>
      <c r="AM5275" t="s">
        <v>5516</v>
      </c>
      <c r="AN5275">
        <v>6045</v>
      </c>
      <c r="AO5275">
        <v>0.14000000000000001</v>
      </c>
      <c r="AP5275">
        <v>1</v>
      </c>
      <c r="AR5275">
        <v>1</v>
      </c>
      <c r="AS5275" s="1">
        <v>28680</v>
      </c>
      <c r="AT5275" s="1">
        <v>5730</v>
      </c>
      <c r="AU5275" s="1">
        <v>22950</v>
      </c>
      <c r="AV5275">
        <v>80.02</v>
      </c>
      <c r="AX5275" s="1">
        <v>1929.76</v>
      </c>
      <c r="AY5275" t="s">
        <v>5904</v>
      </c>
      <c r="AZ5275" t="s">
        <v>5420</v>
      </c>
      <c r="BA5275" t="s">
        <v>5763</v>
      </c>
      <c r="BE5275" s="3">
        <v>41835</v>
      </c>
      <c r="BF5275" s="1">
        <v>345000</v>
      </c>
      <c r="BG5275" t="s">
        <v>32607</v>
      </c>
      <c r="BH5275" s="1">
        <v>231.54</v>
      </c>
      <c r="BI5275" s="1">
        <v>356385</v>
      </c>
      <c r="BJ5275" s="3">
        <v>41835</v>
      </c>
      <c r="BK5275" t="s">
        <v>123</v>
      </c>
      <c r="BL5275" t="str">
        <f>"2014.463017"</f>
        <v>2014.463017</v>
      </c>
      <c r="BM5275" t="s">
        <v>2748</v>
      </c>
      <c r="BO5275" t="s">
        <v>32608</v>
      </c>
      <c r="BS5275">
        <v>30</v>
      </c>
      <c r="BW5275" t="str">
        <f>""</f>
        <v/>
      </c>
      <c r="CH5275" t="str">
        <f>""</f>
        <v/>
      </c>
      <c r="CS5275" t="str">
        <f>""</f>
        <v/>
      </c>
    </row>
    <row r="5276" spans="1:97" x14ac:dyDescent="0.25">
      <c r="A5276" t="s">
        <v>177</v>
      </c>
      <c r="B5276" t="s">
        <v>20339</v>
      </c>
      <c r="E5276" t="s">
        <v>20344</v>
      </c>
      <c r="F5276" t="s">
        <v>108</v>
      </c>
      <c r="H5276" t="s">
        <v>32609</v>
      </c>
      <c r="I5276" t="s">
        <v>390</v>
      </c>
      <c r="J5276" t="s">
        <v>111</v>
      </c>
      <c r="K5276" t="str">
        <f>"85024"</f>
        <v>85024</v>
      </c>
      <c r="L5276" t="s">
        <v>5185</v>
      </c>
      <c r="M5276" t="s">
        <v>32609</v>
      </c>
      <c r="N5276" t="s">
        <v>390</v>
      </c>
      <c r="O5276" t="s">
        <v>111</v>
      </c>
      <c r="P5276" t="str">
        <f>"85024-4325"</f>
        <v>85024-4325</v>
      </c>
      <c r="Q5276" t="s">
        <v>113</v>
      </c>
      <c r="R5276" t="str">
        <f>"213-05-123"</f>
        <v>213-05-123</v>
      </c>
      <c r="S5276" t="s">
        <v>6207</v>
      </c>
      <c r="T5276" t="s">
        <v>6207</v>
      </c>
      <c r="U5276">
        <v>2621</v>
      </c>
      <c r="V5276">
        <v>0</v>
      </c>
      <c r="W5276">
        <v>4</v>
      </c>
      <c r="X5276">
        <v>1996</v>
      </c>
      <c r="Z5276">
        <v>2</v>
      </c>
      <c r="AA5276" t="s">
        <v>26</v>
      </c>
      <c r="AB5276">
        <v>0</v>
      </c>
      <c r="AC5276" t="s">
        <v>115</v>
      </c>
      <c r="AD5276">
        <v>3</v>
      </c>
      <c r="AE5276" t="s">
        <v>115</v>
      </c>
      <c r="AF5276">
        <v>0</v>
      </c>
      <c r="AG5276">
        <v>0</v>
      </c>
      <c r="AH5276" t="s">
        <v>116</v>
      </c>
      <c r="AI5276" s="1">
        <v>67142</v>
      </c>
      <c r="AJ5276" s="2">
        <v>0.15</v>
      </c>
      <c r="AK5276" s="1">
        <v>450969</v>
      </c>
      <c r="AL5276" t="s">
        <v>117</v>
      </c>
      <c r="AM5276" t="s">
        <v>191</v>
      </c>
      <c r="AN5276">
        <v>7800</v>
      </c>
      <c r="AO5276">
        <v>0.18</v>
      </c>
      <c r="AP5276">
        <v>1</v>
      </c>
      <c r="AR5276">
        <v>1</v>
      </c>
      <c r="AS5276" s="1">
        <v>34250</v>
      </c>
      <c r="AT5276" s="1">
        <v>6850</v>
      </c>
      <c r="AU5276" s="1">
        <v>27400</v>
      </c>
      <c r="AV5276">
        <v>80</v>
      </c>
      <c r="AX5276" s="1">
        <v>3115.44</v>
      </c>
      <c r="AY5276" t="s">
        <v>570</v>
      </c>
      <c r="AZ5276" t="s">
        <v>761</v>
      </c>
      <c r="BA5276" t="s">
        <v>762</v>
      </c>
      <c r="BB5276" s="3">
        <v>42333</v>
      </c>
      <c r="BD5276" t="s">
        <v>842</v>
      </c>
      <c r="BE5276" s="3">
        <v>42292</v>
      </c>
      <c r="BF5276" s="1">
        <v>372000</v>
      </c>
      <c r="BG5276" t="s">
        <v>32610</v>
      </c>
      <c r="BH5276" s="1">
        <v>141.93</v>
      </c>
      <c r="BI5276" s="1">
        <v>383827</v>
      </c>
      <c r="BJ5276" s="3">
        <v>42674</v>
      </c>
      <c r="BK5276" t="s">
        <v>123</v>
      </c>
      <c r="BL5276" t="str">
        <f>"2016.798238"</f>
        <v>2016.798238</v>
      </c>
      <c r="BM5276" t="s">
        <v>2716</v>
      </c>
      <c r="BO5276" t="s">
        <v>32611</v>
      </c>
      <c r="BS5276">
        <v>20</v>
      </c>
      <c r="BW5276" t="str">
        <f>""</f>
        <v/>
      </c>
      <c r="CH5276" t="str">
        <f>""</f>
        <v/>
      </c>
      <c r="CS5276" t="str">
        <f>""</f>
        <v/>
      </c>
    </row>
    <row r="5277" spans="1:97" x14ac:dyDescent="0.25">
      <c r="A5277" t="s">
        <v>32612</v>
      </c>
      <c r="B5277" t="s">
        <v>19436</v>
      </c>
      <c r="C5277" t="s">
        <v>2915</v>
      </c>
      <c r="D5277" t="s">
        <v>19436</v>
      </c>
      <c r="E5277" t="s">
        <v>32613</v>
      </c>
      <c r="F5277" t="s">
        <v>108</v>
      </c>
      <c r="H5277" t="s">
        <v>32614</v>
      </c>
      <c r="I5277" t="s">
        <v>203</v>
      </c>
      <c r="J5277" t="s">
        <v>111</v>
      </c>
      <c r="K5277" t="str">
        <f>"85295"</f>
        <v>85295</v>
      </c>
      <c r="L5277" t="s">
        <v>4534</v>
      </c>
      <c r="M5277" t="s">
        <v>32614</v>
      </c>
      <c r="N5277" t="s">
        <v>203</v>
      </c>
      <c r="O5277" t="s">
        <v>111</v>
      </c>
      <c r="P5277" t="str">
        <f>"85295-1404"</f>
        <v>85295-1404</v>
      </c>
      <c r="Q5277" t="s">
        <v>113</v>
      </c>
      <c r="R5277" t="str">
        <f>"304-44-307"</f>
        <v>304-44-307</v>
      </c>
      <c r="S5277" t="s">
        <v>8955</v>
      </c>
      <c r="T5277" t="s">
        <v>8956</v>
      </c>
      <c r="U5277">
        <v>3761</v>
      </c>
      <c r="V5277">
        <v>0</v>
      </c>
      <c r="W5277">
        <v>5</v>
      </c>
      <c r="X5277">
        <v>2003</v>
      </c>
      <c r="Z5277">
        <v>2</v>
      </c>
      <c r="AA5277" t="s">
        <v>26</v>
      </c>
      <c r="AB5277">
        <v>0</v>
      </c>
      <c r="AC5277" t="s">
        <v>115</v>
      </c>
      <c r="AD5277">
        <v>3</v>
      </c>
      <c r="AE5277" t="s">
        <v>115</v>
      </c>
      <c r="AF5277">
        <v>0</v>
      </c>
      <c r="AG5277">
        <v>0</v>
      </c>
      <c r="AH5277" t="s">
        <v>116</v>
      </c>
      <c r="AI5277" s="1">
        <v>107189</v>
      </c>
      <c r="AJ5277" s="2">
        <v>0.19</v>
      </c>
      <c r="AK5277" s="1">
        <v>555627</v>
      </c>
      <c r="AL5277" t="s">
        <v>117</v>
      </c>
      <c r="AM5277" t="s">
        <v>1302</v>
      </c>
      <c r="AN5277">
        <v>10875</v>
      </c>
      <c r="AO5277">
        <v>0.25</v>
      </c>
      <c r="AP5277">
        <v>1</v>
      </c>
      <c r="AR5277">
        <v>1</v>
      </c>
      <c r="AS5277" s="1">
        <v>40650</v>
      </c>
      <c r="AT5277" s="1">
        <v>8130</v>
      </c>
      <c r="AU5277" s="1">
        <v>32520</v>
      </c>
      <c r="AV5277">
        <v>80</v>
      </c>
      <c r="AX5277" s="1">
        <v>3414.54</v>
      </c>
      <c r="AY5277" t="s">
        <v>206</v>
      </c>
      <c r="AZ5277" t="s">
        <v>207</v>
      </c>
      <c r="BA5277" t="s">
        <v>208</v>
      </c>
      <c r="BE5277" s="3">
        <v>42166</v>
      </c>
      <c r="BF5277" s="1">
        <v>459000</v>
      </c>
      <c r="BG5277" t="s">
        <v>32615</v>
      </c>
      <c r="BH5277" s="1">
        <v>122.04</v>
      </c>
      <c r="BI5277" s="1">
        <v>448438</v>
      </c>
      <c r="BJ5277" s="3">
        <v>42416</v>
      </c>
      <c r="BK5277" t="s">
        <v>123</v>
      </c>
      <c r="BL5277" t="str">
        <f>"2016.97139"</f>
        <v>2016.97139</v>
      </c>
      <c r="BM5277" t="s">
        <v>309</v>
      </c>
      <c r="BO5277" t="s">
        <v>32616</v>
      </c>
      <c r="BS5277">
        <v>30</v>
      </c>
      <c r="BW5277" t="str">
        <f>""</f>
        <v/>
      </c>
      <c r="CH5277" t="str">
        <f>""</f>
        <v/>
      </c>
      <c r="CS5277" t="str">
        <f>""</f>
        <v/>
      </c>
    </row>
    <row r="5278" spans="1:97" x14ac:dyDescent="0.25">
      <c r="A5278" t="s">
        <v>1429</v>
      </c>
      <c r="B5278" t="s">
        <v>4718</v>
      </c>
      <c r="C5278" t="s">
        <v>3478</v>
      </c>
      <c r="D5278" t="s">
        <v>4718</v>
      </c>
      <c r="E5278" t="s">
        <v>32617</v>
      </c>
      <c r="F5278" t="s">
        <v>108</v>
      </c>
      <c r="H5278" t="s">
        <v>32618</v>
      </c>
      <c r="I5278" t="s">
        <v>632</v>
      </c>
      <c r="J5278" t="s">
        <v>111</v>
      </c>
      <c r="K5278" t="str">
        <f>"85388"</f>
        <v>85388</v>
      </c>
      <c r="L5278" t="s">
        <v>4467</v>
      </c>
      <c r="M5278" t="s">
        <v>32618</v>
      </c>
      <c r="N5278" t="s">
        <v>632</v>
      </c>
      <c r="O5278" t="s">
        <v>111</v>
      </c>
      <c r="P5278" t="str">
        <f>"85388-7676"</f>
        <v>85388-7676</v>
      </c>
      <c r="Q5278" t="s">
        <v>113</v>
      </c>
      <c r="R5278" t="str">
        <f>"502-03-450"</f>
        <v>502-03-450</v>
      </c>
      <c r="S5278" t="s">
        <v>7875</v>
      </c>
      <c r="T5278" t="s">
        <v>7876</v>
      </c>
      <c r="U5278">
        <v>4501</v>
      </c>
      <c r="V5278">
        <v>0</v>
      </c>
      <c r="W5278">
        <v>4</v>
      </c>
      <c r="X5278">
        <v>2006</v>
      </c>
      <c r="Z5278">
        <v>2</v>
      </c>
      <c r="AA5278" t="s">
        <v>26</v>
      </c>
      <c r="AB5278">
        <v>0</v>
      </c>
      <c r="AC5278" t="s">
        <v>115</v>
      </c>
      <c r="AD5278">
        <v>3</v>
      </c>
      <c r="AE5278" t="s">
        <v>115</v>
      </c>
      <c r="AF5278">
        <v>0</v>
      </c>
      <c r="AG5278">
        <v>0</v>
      </c>
      <c r="AH5278" t="s">
        <v>116</v>
      </c>
      <c r="AI5278" s="1">
        <v>51890</v>
      </c>
      <c r="AJ5278" s="2">
        <v>0.11</v>
      </c>
      <c r="AK5278" s="1">
        <v>465790</v>
      </c>
      <c r="AL5278" t="s">
        <v>117</v>
      </c>
      <c r="AM5278" t="s">
        <v>118</v>
      </c>
      <c r="AN5278">
        <v>13043</v>
      </c>
      <c r="AO5278">
        <v>0.3</v>
      </c>
      <c r="AR5278">
        <v>1</v>
      </c>
      <c r="AS5278" s="1">
        <v>34820</v>
      </c>
      <c r="AT5278" s="1">
        <v>6960</v>
      </c>
      <c r="AU5278" s="1">
        <v>27860</v>
      </c>
      <c r="AV5278">
        <v>80.010000000000005</v>
      </c>
      <c r="AX5278" s="1">
        <v>3146.06</v>
      </c>
      <c r="AY5278" t="s">
        <v>6262</v>
      </c>
      <c r="AZ5278" t="s">
        <v>6262</v>
      </c>
      <c r="BA5278" t="s">
        <v>5061</v>
      </c>
      <c r="BE5278" s="3">
        <v>42534</v>
      </c>
      <c r="BF5278" s="1">
        <v>410000</v>
      </c>
      <c r="BG5278" t="s">
        <v>32619</v>
      </c>
      <c r="BH5278" s="1">
        <v>91.09</v>
      </c>
      <c r="BI5278" s="1">
        <v>413900</v>
      </c>
      <c r="BJ5278" s="3">
        <v>42695</v>
      </c>
      <c r="BK5278" t="s">
        <v>123</v>
      </c>
      <c r="BL5278" t="str">
        <f>"2016.857598"</f>
        <v>2016.857598</v>
      </c>
      <c r="BM5278" t="s">
        <v>248</v>
      </c>
      <c r="BO5278" t="s">
        <v>32620</v>
      </c>
      <c r="BS5278">
        <v>30</v>
      </c>
      <c r="BW5278" t="str">
        <f>""</f>
        <v/>
      </c>
      <c r="CH5278" t="str">
        <f>""</f>
        <v/>
      </c>
      <c r="CS5278" t="str">
        <f>""</f>
        <v/>
      </c>
    </row>
    <row r="5279" spans="1:97" x14ac:dyDescent="0.25">
      <c r="A5279" t="s">
        <v>348</v>
      </c>
      <c r="B5279" t="s">
        <v>9289</v>
      </c>
      <c r="C5279" t="s">
        <v>464</v>
      </c>
      <c r="D5279" t="s">
        <v>9289</v>
      </c>
      <c r="E5279" t="s">
        <v>32621</v>
      </c>
      <c r="F5279" t="s">
        <v>108</v>
      </c>
      <c r="H5279" t="s">
        <v>32622</v>
      </c>
      <c r="I5279" t="s">
        <v>453</v>
      </c>
      <c r="J5279" t="s">
        <v>111</v>
      </c>
      <c r="K5279" t="str">
        <f>"85381"</f>
        <v>85381</v>
      </c>
      <c r="L5279" t="s">
        <v>7746</v>
      </c>
      <c r="M5279" t="s">
        <v>32622</v>
      </c>
      <c r="N5279" t="s">
        <v>453</v>
      </c>
      <c r="O5279" t="s">
        <v>111</v>
      </c>
      <c r="P5279" t="str">
        <f>"85381-8550"</f>
        <v>85381-8550</v>
      </c>
      <c r="Q5279" t="s">
        <v>113</v>
      </c>
      <c r="R5279" t="str">
        <f>"231-15-424"</f>
        <v>231-15-424</v>
      </c>
      <c r="S5279" t="s">
        <v>32623</v>
      </c>
      <c r="T5279" t="s">
        <v>32623</v>
      </c>
      <c r="U5279">
        <v>2097</v>
      </c>
      <c r="V5279">
        <v>0</v>
      </c>
      <c r="W5279">
        <v>4</v>
      </c>
      <c r="X5279">
        <v>1999</v>
      </c>
      <c r="Z5279">
        <v>1</v>
      </c>
      <c r="AB5279">
        <v>0</v>
      </c>
      <c r="AC5279" t="s">
        <v>115</v>
      </c>
      <c r="AD5279">
        <v>3</v>
      </c>
      <c r="AE5279" t="s">
        <v>115</v>
      </c>
      <c r="AF5279">
        <v>0</v>
      </c>
      <c r="AG5279">
        <v>0</v>
      </c>
      <c r="AH5279" t="s">
        <v>116</v>
      </c>
      <c r="AI5279" s="1">
        <v>79084</v>
      </c>
      <c r="AJ5279" s="2">
        <v>0.24</v>
      </c>
      <c r="AK5279" s="1">
        <v>327759</v>
      </c>
      <c r="AL5279" t="s">
        <v>117</v>
      </c>
      <c r="AM5279" t="s">
        <v>118</v>
      </c>
      <c r="AN5279">
        <v>8950</v>
      </c>
      <c r="AO5279">
        <v>0.2</v>
      </c>
      <c r="AP5279">
        <v>1</v>
      </c>
      <c r="AR5279">
        <v>1</v>
      </c>
      <c r="AS5279" s="1">
        <v>24380</v>
      </c>
      <c r="AT5279" s="1">
        <v>4870</v>
      </c>
      <c r="AU5279" s="1">
        <v>19510</v>
      </c>
      <c r="AV5279">
        <v>80.02</v>
      </c>
      <c r="AX5279" s="1">
        <v>1964.2</v>
      </c>
      <c r="AY5279" t="s">
        <v>6872</v>
      </c>
      <c r="AZ5279" t="s">
        <v>6872</v>
      </c>
      <c r="BA5279" t="s">
        <v>1800</v>
      </c>
      <c r="BE5279" s="3">
        <v>42475</v>
      </c>
      <c r="BF5279" s="1">
        <v>265000</v>
      </c>
      <c r="BG5279" t="s">
        <v>32624</v>
      </c>
      <c r="BH5279" s="1">
        <v>126.37</v>
      </c>
      <c r="BI5279" s="1">
        <v>248675</v>
      </c>
      <c r="BJ5279" s="3">
        <v>42475</v>
      </c>
      <c r="BK5279" t="s">
        <v>123</v>
      </c>
      <c r="BL5279" t="str">
        <f>"2016.251735"</f>
        <v>2016.251735</v>
      </c>
      <c r="BM5279" t="s">
        <v>9140</v>
      </c>
      <c r="BO5279" t="s">
        <v>32625</v>
      </c>
      <c r="BS5279">
        <v>30</v>
      </c>
      <c r="BW5279" t="str">
        <f>""</f>
        <v/>
      </c>
      <c r="CH5279" t="str">
        <f>""</f>
        <v/>
      </c>
      <c r="CS5279" t="str">
        <f>""</f>
        <v/>
      </c>
    </row>
    <row r="5280" spans="1:97" x14ac:dyDescent="0.25">
      <c r="A5280" t="s">
        <v>639</v>
      </c>
      <c r="B5280" t="s">
        <v>32626</v>
      </c>
      <c r="C5280" t="s">
        <v>26194</v>
      </c>
      <c r="D5280" t="s">
        <v>32626</v>
      </c>
      <c r="E5280" t="s">
        <v>32627</v>
      </c>
      <c r="F5280" t="s">
        <v>108</v>
      </c>
      <c r="H5280" t="s">
        <v>32628</v>
      </c>
      <c r="I5280" t="s">
        <v>632</v>
      </c>
      <c r="J5280" t="s">
        <v>111</v>
      </c>
      <c r="K5280" t="str">
        <f>"85387"</f>
        <v>85387</v>
      </c>
      <c r="L5280" t="s">
        <v>6529</v>
      </c>
      <c r="M5280" t="s">
        <v>32628</v>
      </c>
      <c r="N5280" t="s">
        <v>632</v>
      </c>
      <c r="O5280" t="s">
        <v>111</v>
      </c>
      <c r="P5280" t="str">
        <f>"85387-1007"</f>
        <v>85387-1007</v>
      </c>
      <c r="Q5280" t="s">
        <v>113</v>
      </c>
      <c r="R5280" t="str">
        <f>"510-04-880"</f>
        <v>510-04-880</v>
      </c>
      <c r="S5280" t="s">
        <v>8907</v>
      </c>
      <c r="T5280" t="s">
        <v>5498</v>
      </c>
      <c r="U5280">
        <v>1895</v>
      </c>
      <c r="V5280">
        <v>0</v>
      </c>
      <c r="W5280">
        <v>3</v>
      </c>
      <c r="X5280">
        <v>2016</v>
      </c>
      <c r="Z5280">
        <v>1</v>
      </c>
      <c r="AB5280">
        <v>0</v>
      </c>
      <c r="AC5280" t="s">
        <v>115</v>
      </c>
      <c r="AD5280">
        <v>2</v>
      </c>
      <c r="AE5280" t="s">
        <v>115</v>
      </c>
      <c r="AF5280">
        <v>0</v>
      </c>
      <c r="AG5280">
        <v>0</v>
      </c>
      <c r="AH5280" t="s">
        <v>116</v>
      </c>
      <c r="AI5280" s="1">
        <v>47608</v>
      </c>
      <c r="AJ5280" s="2">
        <v>0.16</v>
      </c>
      <c r="AK5280" s="1">
        <v>296668</v>
      </c>
      <c r="AL5280" t="s">
        <v>117</v>
      </c>
      <c r="AM5280" t="s">
        <v>118</v>
      </c>
      <c r="AN5280">
        <v>9981</v>
      </c>
      <c r="AO5280">
        <v>0.23</v>
      </c>
      <c r="AR5280">
        <v>1</v>
      </c>
      <c r="AS5280" s="1">
        <v>21620</v>
      </c>
      <c r="AT5280" s="1">
        <v>4320</v>
      </c>
      <c r="AU5280" s="1">
        <v>17300</v>
      </c>
      <c r="AV5280">
        <v>80.02</v>
      </c>
      <c r="AX5280" s="1">
        <v>1225.1400000000001</v>
      </c>
      <c r="AY5280" t="s">
        <v>5499</v>
      </c>
      <c r="AZ5280" t="s">
        <v>5499</v>
      </c>
      <c r="BE5280" s="3">
        <v>42332</v>
      </c>
      <c r="BF5280" s="1">
        <v>235200</v>
      </c>
      <c r="BG5280" t="s">
        <v>6320</v>
      </c>
      <c r="BH5280" s="1">
        <v>124.12</v>
      </c>
      <c r="BI5280" s="1">
        <v>249060</v>
      </c>
      <c r="BJ5280" s="3">
        <v>42937</v>
      </c>
      <c r="BK5280" t="s">
        <v>123</v>
      </c>
      <c r="BL5280" t="str">
        <f>"2017.532621"</f>
        <v>2017.532621</v>
      </c>
      <c r="BM5280" t="s">
        <v>15109</v>
      </c>
      <c r="BO5280" t="s">
        <v>32629</v>
      </c>
      <c r="BS5280">
        <v>30</v>
      </c>
      <c r="BW5280" t="str">
        <f>""</f>
        <v/>
      </c>
      <c r="CH5280" t="str">
        <f>""</f>
        <v/>
      </c>
      <c r="CS5280" t="str">
        <f>""</f>
        <v/>
      </c>
    </row>
    <row r="5281" spans="1:97" x14ac:dyDescent="0.25">
      <c r="A5281" t="s">
        <v>26115</v>
      </c>
      <c r="B5281" t="s">
        <v>1047</v>
      </c>
      <c r="C5281" t="s">
        <v>32630</v>
      </c>
      <c r="D5281" t="s">
        <v>1047</v>
      </c>
      <c r="E5281" t="s">
        <v>32631</v>
      </c>
      <c r="F5281" t="s">
        <v>108</v>
      </c>
      <c r="H5281" t="s">
        <v>32632</v>
      </c>
      <c r="I5281" t="s">
        <v>203</v>
      </c>
      <c r="J5281" t="s">
        <v>111</v>
      </c>
      <c r="K5281" t="str">
        <f>"85234"</f>
        <v>85234</v>
      </c>
      <c r="L5281" t="s">
        <v>375</v>
      </c>
      <c r="M5281" t="s">
        <v>32632</v>
      </c>
      <c r="N5281" t="s">
        <v>203</v>
      </c>
      <c r="O5281" t="s">
        <v>111</v>
      </c>
      <c r="P5281" t="str">
        <f>"85234-8826"</f>
        <v>85234-8826</v>
      </c>
      <c r="Q5281" t="s">
        <v>113</v>
      </c>
      <c r="R5281" t="str">
        <f>"309-01-851"</f>
        <v>309-01-851</v>
      </c>
      <c r="S5281" t="s">
        <v>32633</v>
      </c>
      <c r="T5281" t="s">
        <v>32633</v>
      </c>
      <c r="U5281">
        <v>2521</v>
      </c>
      <c r="V5281">
        <v>0</v>
      </c>
      <c r="W5281">
        <v>4</v>
      </c>
      <c r="X5281">
        <v>1995</v>
      </c>
      <c r="Z5281">
        <v>2</v>
      </c>
      <c r="AA5281" t="s">
        <v>26</v>
      </c>
      <c r="AB5281">
        <v>0</v>
      </c>
      <c r="AC5281" t="s">
        <v>115</v>
      </c>
      <c r="AD5281">
        <v>3</v>
      </c>
      <c r="AE5281" t="s">
        <v>115</v>
      </c>
      <c r="AF5281">
        <v>0</v>
      </c>
      <c r="AG5281">
        <v>0</v>
      </c>
      <c r="AH5281" t="s">
        <v>116</v>
      </c>
      <c r="AI5281" s="1">
        <v>103069</v>
      </c>
      <c r="AJ5281" s="2">
        <v>0.26</v>
      </c>
      <c r="AK5281" s="1">
        <v>392369</v>
      </c>
      <c r="AL5281" t="s">
        <v>117</v>
      </c>
      <c r="AM5281" t="s">
        <v>393</v>
      </c>
      <c r="AN5281">
        <v>7340</v>
      </c>
      <c r="AO5281">
        <v>0.17</v>
      </c>
      <c r="AP5281">
        <v>1</v>
      </c>
      <c r="AR5281">
        <v>1</v>
      </c>
      <c r="AS5281" s="1">
        <v>28200</v>
      </c>
      <c r="AT5281" s="1">
        <v>5640</v>
      </c>
      <c r="AU5281" s="1">
        <v>22560</v>
      </c>
      <c r="AV5281">
        <v>80</v>
      </c>
      <c r="AX5281" s="1">
        <v>2055.58</v>
      </c>
      <c r="AY5281" t="s">
        <v>272</v>
      </c>
      <c r="AZ5281" t="s">
        <v>5478</v>
      </c>
      <c r="BA5281" t="s">
        <v>5033</v>
      </c>
      <c r="BE5281" s="3">
        <v>41820</v>
      </c>
      <c r="BF5281" s="1">
        <v>293600</v>
      </c>
      <c r="BG5281" t="s">
        <v>32634</v>
      </c>
      <c r="BH5281" s="1">
        <v>116.46</v>
      </c>
      <c r="BI5281" s="1">
        <v>289300</v>
      </c>
      <c r="BJ5281" s="3">
        <v>42494</v>
      </c>
      <c r="BK5281" t="s">
        <v>123</v>
      </c>
      <c r="BL5281" t="str">
        <f>"2016.302099"</f>
        <v>2016.302099</v>
      </c>
      <c r="BM5281" t="s">
        <v>322</v>
      </c>
      <c r="BO5281" t="s">
        <v>32635</v>
      </c>
      <c r="BS5281">
        <v>30</v>
      </c>
      <c r="BW5281" t="str">
        <f>""</f>
        <v/>
      </c>
      <c r="CH5281" t="str">
        <f>""</f>
        <v/>
      </c>
      <c r="CS5281" t="str">
        <f>""</f>
        <v/>
      </c>
    </row>
    <row r="5282" spans="1:97" x14ac:dyDescent="0.25">
      <c r="A5282" t="s">
        <v>325</v>
      </c>
      <c r="B5282" t="s">
        <v>32636</v>
      </c>
      <c r="C5282" t="s">
        <v>489</v>
      </c>
      <c r="D5282" t="s">
        <v>32636</v>
      </c>
      <c r="E5282" t="s">
        <v>32637</v>
      </c>
      <c r="F5282" t="s">
        <v>108</v>
      </c>
      <c r="H5282" t="s">
        <v>32638</v>
      </c>
      <c r="I5282" t="s">
        <v>499</v>
      </c>
      <c r="J5282" t="s">
        <v>111</v>
      </c>
      <c r="K5282" t="str">
        <f>"85395"</f>
        <v>85395</v>
      </c>
      <c r="L5282" t="s">
        <v>500</v>
      </c>
      <c r="M5282" t="s">
        <v>32638</v>
      </c>
      <c r="N5282" t="s">
        <v>499</v>
      </c>
      <c r="O5282" t="s">
        <v>111</v>
      </c>
      <c r="P5282" t="str">
        <f>"85395-7628"</f>
        <v>85395-7628</v>
      </c>
      <c r="Q5282" t="s">
        <v>113</v>
      </c>
      <c r="R5282" t="str">
        <f>"502-30-323"</f>
        <v>502-30-323</v>
      </c>
      <c r="S5282" t="s">
        <v>11404</v>
      </c>
      <c r="T5282" t="s">
        <v>502</v>
      </c>
      <c r="U5282">
        <v>5023</v>
      </c>
      <c r="V5282">
        <v>0</v>
      </c>
      <c r="W5282">
        <v>7</v>
      </c>
      <c r="X5282">
        <v>2014</v>
      </c>
      <c r="Z5282">
        <v>2</v>
      </c>
      <c r="AA5282" t="s">
        <v>26</v>
      </c>
      <c r="AB5282">
        <v>0</v>
      </c>
      <c r="AC5282" t="s">
        <v>115</v>
      </c>
      <c r="AD5282">
        <v>3</v>
      </c>
      <c r="AE5282" t="s">
        <v>115</v>
      </c>
      <c r="AF5282">
        <v>0</v>
      </c>
      <c r="AG5282">
        <v>0</v>
      </c>
      <c r="AH5282" t="s">
        <v>116</v>
      </c>
      <c r="AI5282" s="1">
        <v>72713</v>
      </c>
      <c r="AJ5282" s="2">
        <v>0.13</v>
      </c>
      <c r="AK5282" s="1">
        <v>544843</v>
      </c>
      <c r="AL5282" t="s">
        <v>117</v>
      </c>
      <c r="AM5282" t="s">
        <v>118</v>
      </c>
      <c r="AN5282">
        <v>15433</v>
      </c>
      <c r="AO5282">
        <v>0.35</v>
      </c>
      <c r="AR5282">
        <v>1</v>
      </c>
      <c r="AS5282" s="1">
        <v>40260</v>
      </c>
      <c r="AT5282" s="1">
        <v>8050</v>
      </c>
      <c r="AU5282" s="1">
        <v>32210</v>
      </c>
      <c r="AV5282">
        <v>80</v>
      </c>
      <c r="AX5282" s="1">
        <v>3444.46</v>
      </c>
      <c r="AY5282" t="s">
        <v>503</v>
      </c>
      <c r="AZ5282" t="s">
        <v>504</v>
      </c>
      <c r="BA5282" t="s">
        <v>218</v>
      </c>
      <c r="BE5282" s="3">
        <v>42361</v>
      </c>
      <c r="BF5282" s="1">
        <v>487500</v>
      </c>
      <c r="BG5282" t="s">
        <v>209</v>
      </c>
      <c r="BH5282" s="1">
        <v>97.05</v>
      </c>
      <c r="BI5282" s="1">
        <v>472130</v>
      </c>
      <c r="BJ5282" s="3">
        <v>42943</v>
      </c>
      <c r="BK5282" t="s">
        <v>123</v>
      </c>
      <c r="BL5282" t="str">
        <f>"2017.548322"</f>
        <v>2017.548322</v>
      </c>
      <c r="BM5282" t="s">
        <v>2657</v>
      </c>
      <c r="BO5282" t="s">
        <v>32639</v>
      </c>
      <c r="BS5282">
        <v>15</v>
      </c>
      <c r="BW5282" t="str">
        <f>""</f>
        <v/>
      </c>
      <c r="CH5282" t="str">
        <f>""</f>
        <v/>
      </c>
      <c r="CS5282" t="str">
        <f>""</f>
        <v/>
      </c>
    </row>
    <row r="5283" spans="1:97" x14ac:dyDescent="0.25">
      <c r="A5283" t="s">
        <v>11252</v>
      </c>
      <c r="B5283" t="s">
        <v>3066</v>
      </c>
      <c r="E5283" t="s">
        <v>32640</v>
      </c>
      <c r="F5283" t="s">
        <v>108</v>
      </c>
      <c r="H5283" t="s">
        <v>32641</v>
      </c>
      <c r="I5283" t="s">
        <v>453</v>
      </c>
      <c r="J5283" t="s">
        <v>111</v>
      </c>
      <c r="K5283" t="str">
        <f>"85381"</f>
        <v>85381</v>
      </c>
      <c r="L5283" t="s">
        <v>7746</v>
      </c>
      <c r="M5283" t="s">
        <v>32641</v>
      </c>
      <c r="N5283" t="s">
        <v>453</v>
      </c>
      <c r="O5283" t="s">
        <v>111</v>
      </c>
      <c r="P5283" t="str">
        <f>"85381-4129"</f>
        <v>85381-4129</v>
      </c>
      <c r="Q5283" t="s">
        <v>113</v>
      </c>
      <c r="R5283" t="str">
        <f>"231-15-347"</f>
        <v>231-15-347</v>
      </c>
      <c r="S5283" t="s">
        <v>32642</v>
      </c>
      <c r="T5283" t="s">
        <v>32643</v>
      </c>
      <c r="U5283">
        <v>2183</v>
      </c>
      <c r="V5283">
        <v>0</v>
      </c>
      <c r="W5283">
        <v>3</v>
      </c>
      <c r="X5283">
        <v>1995</v>
      </c>
      <c r="Z5283">
        <v>1</v>
      </c>
      <c r="AB5283">
        <v>0</v>
      </c>
      <c r="AC5283" t="s">
        <v>115</v>
      </c>
      <c r="AD5283">
        <v>3</v>
      </c>
      <c r="AE5283" t="s">
        <v>115</v>
      </c>
      <c r="AF5283">
        <v>0</v>
      </c>
      <c r="AG5283">
        <v>0</v>
      </c>
      <c r="AH5283" t="s">
        <v>116</v>
      </c>
      <c r="AI5283" s="1">
        <v>57571</v>
      </c>
      <c r="AJ5283" s="2">
        <v>0.18</v>
      </c>
      <c r="AK5283" s="1">
        <v>324875</v>
      </c>
      <c r="AL5283" t="s">
        <v>117</v>
      </c>
      <c r="AM5283" t="s">
        <v>171</v>
      </c>
      <c r="AN5283">
        <v>8000</v>
      </c>
      <c r="AO5283">
        <v>0.18</v>
      </c>
      <c r="AP5283">
        <v>1</v>
      </c>
      <c r="AR5283">
        <v>1</v>
      </c>
      <c r="AS5283" s="1">
        <v>22530</v>
      </c>
      <c r="AT5283" s="1">
        <v>4500</v>
      </c>
      <c r="AU5283" s="1">
        <v>18030</v>
      </c>
      <c r="AV5283">
        <v>80.03</v>
      </c>
      <c r="AX5283" s="1">
        <v>1958.78</v>
      </c>
      <c r="AY5283" t="s">
        <v>6872</v>
      </c>
      <c r="AZ5283" t="s">
        <v>6872</v>
      </c>
      <c r="BA5283" t="s">
        <v>1800</v>
      </c>
      <c r="BE5283" s="3">
        <v>41789</v>
      </c>
      <c r="BF5283" s="1">
        <v>265000</v>
      </c>
      <c r="BG5283" t="s">
        <v>32644</v>
      </c>
      <c r="BH5283" s="1">
        <v>121.39</v>
      </c>
      <c r="BI5283" s="1">
        <v>267304</v>
      </c>
      <c r="BJ5283" s="3">
        <v>42710</v>
      </c>
      <c r="BK5283" t="s">
        <v>123</v>
      </c>
      <c r="BL5283" t="str">
        <f>"2016.896714"</f>
        <v>2016.896714</v>
      </c>
      <c r="BM5283" t="s">
        <v>402</v>
      </c>
      <c r="BO5283" t="s">
        <v>32645</v>
      </c>
      <c r="BS5283">
        <v>28</v>
      </c>
      <c r="BW5283" t="str">
        <f>""</f>
        <v/>
      </c>
      <c r="CH5283" t="str">
        <f>""</f>
        <v/>
      </c>
      <c r="CS5283" t="str">
        <f>""</f>
        <v/>
      </c>
    </row>
    <row r="5284" spans="1:97" x14ac:dyDescent="0.25">
      <c r="A5284" t="s">
        <v>6619</v>
      </c>
      <c r="B5284" t="s">
        <v>32646</v>
      </c>
      <c r="C5284" t="s">
        <v>1021</v>
      </c>
      <c r="D5284" t="s">
        <v>32646</v>
      </c>
      <c r="E5284" t="s">
        <v>32647</v>
      </c>
      <c r="F5284" t="s">
        <v>108</v>
      </c>
      <c r="H5284" t="s">
        <v>32648</v>
      </c>
      <c r="I5284" t="s">
        <v>632</v>
      </c>
      <c r="J5284" t="s">
        <v>111</v>
      </c>
      <c r="K5284" t="str">
        <f>"85379"</f>
        <v>85379</v>
      </c>
      <c r="L5284" t="s">
        <v>4751</v>
      </c>
      <c r="M5284" t="s">
        <v>32648</v>
      </c>
      <c r="N5284" t="s">
        <v>632</v>
      </c>
      <c r="O5284" t="s">
        <v>111</v>
      </c>
      <c r="P5284" t="str">
        <f>"85379-5002"</f>
        <v>85379-5002</v>
      </c>
      <c r="Q5284" t="s">
        <v>113</v>
      </c>
      <c r="R5284" t="str">
        <f>"509-11-668"</f>
        <v>509-11-668</v>
      </c>
      <c r="S5284" t="s">
        <v>32649</v>
      </c>
      <c r="U5284">
        <v>2011</v>
      </c>
      <c r="V5284">
        <v>0</v>
      </c>
      <c r="W5284">
        <v>3</v>
      </c>
      <c r="X5284">
        <v>2003</v>
      </c>
      <c r="Z5284">
        <v>1</v>
      </c>
      <c r="AA5284" t="s">
        <v>26</v>
      </c>
      <c r="AB5284">
        <v>0</v>
      </c>
      <c r="AC5284" t="s">
        <v>115</v>
      </c>
      <c r="AD5284">
        <v>2</v>
      </c>
      <c r="AE5284" t="s">
        <v>115</v>
      </c>
      <c r="AF5284">
        <v>0</v>
      </c>
      <c r="AG5284">
        <v>0</v>
      </c>
      <c r="AH5284" t="s">
        <v>116</v>
      </c>
      <c r="AI5284" s="1">
        <v>83432</v>
      </c>
      <c r="AJ5284" s="2">
        <v>0.28999999999999998</v>
      </c>
      <c r="AK5284" s="1">
        <v>285432</v>
      </c>
      <c r="AL5284" t="s">
        <v>117</v>
      </c>
      <c r="AM5284" t="s">
        <v>118</v>
      </c>
      <c r="AN5284">
        <v>6095</v>
      </c>
      <c r="AO5284">
        <v>0.14000000000000001</v>
      </c>
      <c r="AP5284">
        <v>1</v>
      </c>
      <c r="AR5284">
        <v>1</v>
      </c>
      <c r="AS5284" s="1">
        <v>19870</v>
      </c>
      <c r="AT5284" s="1">
        <v>3970</v>
      </c>
      <c r="AU5284" s="1">
        <v>15900</v>
      </c>
      <c r="AV5284">
        <v>80.02</v>
      </c>
      <c r="AX5284" s="1">
        <v>1437.88</v>
      </c>
      <c r="AY5284" t="s">
        <v>6615</v>
      </c>
      <c r="AZ5284" t="s">
        <v>6615</v>
      </c>
      <c r="BA5284" t="s">
        <v>5061</v>
      </c>
      <c r="BE5284" s="3">
        <v>41782</v>
      </c>
      <c r="BF5284" s="1">
        <v>202000</v>
      </c>
      <c r="BG5284" t="s">
        <v>32650</v>
      </c>
      <c r="BH5284" s="1">
        <v>100.45</v>
      </c>
      <c r="BI5284" s="1">
        <v>202000</v>
      </c>
      <c r="BJ5284" s="3">
        <v>41782</v>
      </c>
      <c r="BK5284" t="s">
        <v>123</v>
      </c>
      <c r="BL5284" t="str">
        <f>"2014.337139"</f>
        <v>2014.337139</v>
      </c>
      <c r="BM5284" t="s">
        <v>724</v>
      </c>
      <c r="BO5284" t="s">
        <v>32651</v>
      </c>
      <c r="BS5284">
        <v>30</v>
      </c>
      <c r="BW5284" t="str">
        <f>""</f>
        <v/>
      </c>
      <c r="CH5284" t="str">
        <f>""</f>
        <v/>
      </c>
      <c r="CS5284" t="str">
        <f>""</f>
        <v/>
      </c>
    </row>
    <row r="5285" spans="1:97" x14ac:dyDescent="0.25">
      <c r="A5285" t="s">
        <v>984</v>
      </c>
      <c r="B5285" t="s">
        <v>16427</v>
      </c>
      <c r="C5285" t="s">
        <v>4026</v>
      </c>
      <c r="D5285" t="s">
        <v>16427</v>
      </c>
      <c r="E5285" t="s">
        <v>32652</v>
      </c>
      <c r="F5285" t="s">
        <v>108</v>
      </c>
      <c r="H5285" t="s">
        <v>32653</v>
      </c>
      <c r="I5285" t="s">
        <v>1936</v>
      </c>
      <c r="J5285" t="s">
        <v>111</v>
      </c>
      <c r="K5285" t="str">
        <f>"85257"</f>
        <v>85257</v>
      </c>
      <c r="L5285" t="s">
        <v>5074</v>
      </c>
      <c r="M5285" t="s">
        <v>32653</v>
      </c>
      <c r="N5285" t="s">
        <v>1936</v>
      </c>
      <c r="O5285" t="s">
        <v>111</v>
      </c>
      <c r="P5285" t="str">
        <f>"85257-1140"</f>
        <v>85257-1140</v>
      </c>
      <c r="Q5285" t="s">
        <v>113</v>
      </c>
      <c r="R5285" t="str">
        <f>"129-35-051"</f>
        <v>129-35-051</v>
      </c>
      <c r="S5285" t="s">
        <v>27235</v>
      </c>
      <c r="T5285" t="s">
        <v>27235</v>
      </c>
      <c r="U5285">
        <v>1581</v>
      </c>
      <c r="V5285">
        <v>0</v>
      </c>
      <c r="W5285">
        <v>2</v>
      </c>
      <c r="X5285">
        <v>1961</v>
      </c>
      <c r="Z5285">
        <v>1</v>
      </c>
      <c r="AB5285">
        <v>0</v>
      </c>
      <c r="AC5285" t="s">
        <v>5188</v>
      </c>
      <c r="AD5285">
        <v>2</v>
      </c>
      <c r="AE5285" t="s">
        <v>5188</v>
      </c>
      <c r="AF5285">
        <v>0</v>
      </c>
      <c r="AG5285">
        <v>0</v>
      </c>
      <c r="AH5285" t="s">
        <v>5467</v>
      </c>
      <c r="AI5285" s="1">
        <v>59989</v>
      </c>
      <c r="AJ5285" s="2">
        <v>0.14000000000000001</v>
      </c>
      <c r="AK5285" s="1">
        <v>413989</v>
      </c>
      <c r="AL5285" t="s">
        <v>117</v>
      </c>
      <c r="AM5285" t="s">
        <v>393</v>
      </c>
      <c r="AN5285">
        <v>7772</v>
      </c>
      <c r="AO5285">
        <v>0.18</v>
      </c>
      <c r="AP5285">
        <v>1</v>
      </c>
      <c r="AR5285">
        <v>1</v>
      </c>
      <c r="AS5285" s="1">
        <v>26820</v>
      </c>
      <c r="AT5285" s="1">
        <v>5360</v>
      </c>
      <c r="AU5285" s="1">
        <v>21460</v>
      </c>
      <c r="AV5285">
        <v>80.010000000000005</v>
      </c>
      <c r="AX5285" s="1">
        <v>1193.5999999999999</v>
      </c>
      <c r="AY5285" t="s">
        <v>6894</v>
      </c>
      <c r="AZ5285" t="s">
        <v>6894</v>
      </c>
      <c r="BA5285" t="s">
        <v>5421</v>
      </c>
      <c r="BE5285" s="3">
        <v>42187</v>
      </c>
      <c r="BF5285" s="1">
        <v>362875</v>
      </c>
      <c r="BG5285" t="s">
        <v>32654</v>
      </c>
      <c r="BH5285" s="1">
        <v>229.52</v>
      </c>
      <c r="BI5285" s="1">
        <v>354000</v>
      </c>
      <c r="BJ5285" s="3">
        <v>42664</v>
      </c>
      <c r="BK5285" t="s">
        <v>123</v>
      </c>
      <c r="BL5285" t="str">
        <f>"2016.773778"</f>
        <v>2016.773778</v>
      </c>
      <c r="BM5285" t="s">
        <v>2051</v>
      </c>
      <c r="BO5285" t="s">
        <v>32655</v>
      </c>
      <c r="BS5285">
        <v>30</v>
      </c>
      <c r="BW5285" t="str">
        <f>""</f>
        <v/>
      </c>
      <c r="CH5285" t="str">
        <f>""</f>
        <v/>
      </c>
      <c r="CS5285" t="str">
        <f>""</f>
        <v/>
      </c>
    </row>
    <row r="5286" spans="1:97" x14ac:dyDescent="0.25">
      <c r="A5286" t="s">
        <v>2123</v>
      </c>
      <c r="B5286" t="s">
        <v>32656</v>
      </c>
      <c r="E5286" t="s">
        <v>32657</v>
      </c>
      <c r="F5286" t="s">
        <v>108</v>
      </c>
      <c r="H5286" t="s">
        <v>32658</v>
      </c>
      <c r="I5286" t="s">
        <v>453</v>
      </c>
      <c r="J5286" t="s">
        <v>111</v>
      </c>
      <c r="K5286" t="str">
        <f>"85381"</f>
        <v>85381</v>
      </c>
      <c r="L5286" t="s">
        <v>5464</v>
      </c>
      <c r="M5286" t="s">
        <v>32658</v>
      </c>
      <c r="N5286" t="s">
        <v>453</v>
      </c>
      <c r="O5286" t="s">
        <v>111</v>
      </c>
      <c r="P5286" t="str">
        <f>"85381-9526"</f>
        <v>85381-9526</v>
      </c>
      <c r="Q5286" t="s">
        <v>113</v>
      </c>
      <c r="R5286" t="str">
        <f>"200-77-832"</f>
        <v>200-77-832</v>
      </c>
      <c r="S5286" t="s">
        <v>21274</v>
      </c>
      <c r="T5286" t="s">
        <v>21275</v>
      </c>
      <c r="U5286">
        <v>3056</v>
      </c>
      <c r="V5286">
        <v>0</v>
      </c>
      <c r="W5286">
        <v>4</v>
      </c>
      <c r="X5286">
        <v>1992</v>
      </c>
      <c r="Z5286">
        <v>2</v>
      </c>
      <c r="AA5286" t="s">
        <v>26</v>
      </c>
      <c r="AB5286">
        <v>0</v>
      </c>
      <c r="AC5286" t="s">
        <v>115</v>
      </c>
      <c r="AD5286">
        <v>3</v>
      </c>
      <c r="AE5286" t="s">
        <v>115</v>
      </c>
      <c r="AF5286">
        <v>0</v>
      </c>
      <c r="AG5286">
        <v>0</v>
      </c>
      <c r="AH5286" t="s">
        <v>116</v>
      </c>
      <c r="AI5286" s="1">
        <v>66516</v>
      </c>
      <c r="AJ5286" s="2">
        <v>0.17</v>
      </c>
      <c r="AK5286" s="1">
        <v>395516</v>
      </c>
      <c r="AL5286" t="s">
        <v>117</v>
      </c>
      <c r="AM5286" t="s">
        <v>171</v>
      </c>
      <c r="AN5286">
        <v>9091</v>
      </c>
      <c r="AO5286">
        <v>0.21</v>
      </c>
      <c r="AP5286">
        <v>1</v>
      </c>
      <c r="AR5286">
        <v>1</v>
      </c>
      <c r="AS5286" s="1">
        <v>28380</v>
      </c>
      <c r="AT5286" s="1">
        <v>5670</v>
      </c>
      <c r="AU5286" s="1">
        <v>22710</v>
      </c>
      <c r="AV5286">
        <v>80.02</v>
      </c>
      <c r="AX5286" s="1">
        <v>2348.16</v>
      </c>
      <c r="AY5286" t="s">
        <v>3359</v>
      </c>
      <c r="AZ5286" t="s">
        <v>3359</v>
      </c>
      <c r="BA5286" t="s">
        <v>3360</v>
      </c>
      <c r="BE5286" s="3">
        <v>42212</v>
      </c>
      <c r="BF5286" s="1">
        <v>326800</v>
      </c>
      <c r="BG5286" t="s">
        <v>32659</v>
      </c>
      <c r="BH5286" s="1">
        <v>106.94</v>
      </c>
      <c r="BI5286" s="1">
        <v>329000</v>
      </c>
      <c r="BJ5286" s="3">
        <v>42446</v>
      </c>
      <c r="BK5286" t="s">
        <v>123</v>
      </c>
      <c r="BL5286" t="str">
        <f>"2016.173393"</f>
        <v>2016.173393</v>
      </c>
      <c r="BM5286" t="s">
        <v>2051</v>
      </c>
      <c r="BO5286" t="s">
        <v>32660</v>
      </c>
      <c r="BS5286">
        <v>30</v>
      </c>
      <c r="BW5286" t="str">
        <f>""</f>
        <v/>
      </c>
      <c r="CH5286" t="str">
        <f>""</f>
        <v/>
      </c>
      <c r="CS5286" t="str">
        <f>""</f>
        <v/>
      </c>
    </row>
    <row r="5287" spans="1:97" x14ac:dyDescent="0.25">
      <c r="A5287" t="s">
        <v>464</v>
      </c>
      <c r="B5287" t="s">
        <v>32661</v>
      </c>
      <c r="E5287" t="s">
        <v>32662</v>
      </c>
      <c r="F5287" t="s">
        <v>108</v>
      </c>
      <c r="H5287" t="s">
        <v>32663</v>
      </c>
      <c r="I5287" t="s">
        <v>225</v>
      </c>
      <c r="J5287" t="s">
        <v>111</v>
      </c>
      <c r="K5287" t="str">
        <f>"85213"</f>
        <v>85213</v>
      </c>
      <c r="L5287" t="s">
        <v>7607</v>
      </c>
      <c r="M5287" t="s">
        <v>32663</v>
      </c>
      <c r="N5287" t="s">
        <v>225</v>
      </c>
      <c r="O5287" t="s">
        <v>111</v>
      </c>
      <c r="P5287" t="str">
        <f>"85213-2268"</f>
        <v>85213-2268</v>
      </c>
      <c r="Q5287" t="s">
        <v>113</v>
      </c>
      <c r="R5287" t="str">
        <f>"141-07-145"</f>
        <v>141-07-145</v>
      </c>
      <c r="S5287" t="s">
        <v>23722</v>
      </c>
      <c r="T5287" t="s">
        <v>23722</v>
      </c>
      <c r="U5287">
        <v>1949</v>
      </c>
      <c r="V5287">
        <v>0</v>
      </c>
      <c r="W5287">
        <v>3</v>
      </c>
      <c r="X5287">
        <v>1987</v>
      </c>
      <c r="Z5287">
        <v>1</v>
      </c>
      <c r="AB5287">
        <v>0</v>
      </c>
      <c r="AC5287" t="s">
        <v>115</v>
      </c>
      <c r="AD5287">
        <v>2</v>
      </c>
      <c r="AE5287" t="s">
        <v>115</v>
      </c>
      <c r="AF5287">
        <v>0</v>
      </c>
      <c r="AG5287">
        <v>0</v>
      </c>
      <c r="AH5287" t="s">
        <v>116</v>
      </c>
      <c r="AI5287" s="1">
        <v>62522</v>
      </c>
      <c r="AJ5287" s="2">
        <v>0.18</v>
      </c>
      <c r="AK5287" s="1">
        <v>344147</v>
      </c>
      <c r="AL5287" t="s">
        <v>117</v>
      </c>
      <c r="AM5287" t="s">
        <v>917</v>
      </c>
      <c r="AN5287">
        <v>9059</v>
      </c>
      <c r="AO5287">
        <v>0.21</v>
      </c>
      <c r="AP5287">
        <v>1</v>
      </c>
      <c r="AR5287">
        <v>1</v>
      </c>
      <c r="AS5287" s="1">
        <v>23580</v>
      </c>
      <c r="AT5287" s="1">
        <v>4710</v>
      </c>
      <c r="AU5287" s="1">
        <v>18870</v>
      </c>
      <c r="AV5287">
        <v>80.03</v>
      </c>
      <c r="AX5287" s="1">
        <v>1966.04</v>
      </c>
      <c r="AY5287" t="s">
        <v>11944</v>
      </c>
      <c r="AZ5287" t="s">
        <v>4163</v>
      </c>
      <c r="BA5287" t="s">
        <v>1524</v>
      </c>
      <c r="BE5287" s="3">
        <v>42117</v>
      </c>
      <c r="BF5287" s="1">
        <v>271000</v>
      </c>
      <c r="BG5287" t="s">
        <v>32664</v>
      </c>
      <c r="BH5287" s="1">
        <v>139.05000000000001</v>
      </c>
      <c r="BI5287" s="1">
        <v>281625</v>
      </c>
      <c r="BJ5287" s="3">
        <v>42466</v>
      </c>
      <c r="BK5287" t="s">
        <v>123</v>
      </c>
      <c r="BL5287" t="str">
        <f>"2016.225125"</f>
        <v>2016.225125</v>
      </c>
      <c r="BM5287" t="s">
        <v>322</v>
      </c>
      <c r="BO5287" t="s">
        <v>32665</v>
      </c>
      <c r="BS5287">
        <v>30</v>
      </c>
      <c r="BW5287" t="str">
        <f>""</f>
        <v/>
      </c>
      <c r="CH5287" t="str">
        <f>""</f>
        <v/>
      </c>
      <c r="CS5287" t="str">
        <f>""</f>
        <v/>
      </c>
    </row>
    <row r="5288" spans="1:97" x14ac:dyDescent="0.25">
      <c r="A5288" t="s">
        <v>5214</v>
      </c>
      <c r="B5288" t="s">
        <v>32666</v>
      </c>
      <c r="C5288" t="s">
        <v>2761</v>
      </c>
      <c r="D5288" t="s">
        <v>32666</v>
      </c>
      <c r="E5288" t="s">
        <v>32667</v>
      </c>
      <c r="F5288" t="s">
        <v>108</v>
      </c>
      <c r="H5288" t="s">
        <v>32668</v>
      </c>
      <c r="I5288" t="s">
        <v>110</v>
      </c>
      <c r="J5288" t="s">
        <v>111</v>
      </c>
      <c r="K5288" t="str">
        <f>"85226"</f>
        <v>85226</v>
      </c>
      <c r="L5288" t="s">
        <v>5416</v>
      </c>
      <c r="M5288" t="s">
        <v>32668</v>
      </c>
      <c r="N5288" t="s">
        <v>110</v>
      </c>
      <c r="O5288" t="s">
        <v>111</v>
      </c>
      <c r="P5288" t="str">
        <f>"85226-2978"</f>
        <v>85226-2978</v>
      </c>
      <c r="Q5288" t="s">
        <v>113</v>
      </c>
      <c r="R5288" t="str">
        <f>"308-10-601"</f>
        <v>308-10-601</v>
      </c>
      <c r="S5288" t="s">
        <v>23943</v>
      </c>
      <c r="T5288" t="s">
        <v>23943</v>
      </c>
      <c r="U5288">
        <v>2352</v>
      </c>
      <c r="V5288">
        <v>0</v>
      </c>
      <c r="W5288">
        <v>4</v>
      </c>
      <c r="X5288">
        <v>1995</v>
      </c>
      <c r="Z5288">
        <v>2</v>
      </c>
      <c r="AA5288" t="s">
        <v>26</v>
      </c>
      <c r="AB5288">
        <v>0</v>
      </c>
      <c r="AC5288" t="s">
        <v>115</v>
      </c>
      <c r="AD5288">
        <v>3</v>
      </c>
      <c r="AE5288" t="s">
        <v>115</v>
      </c>
      <c r="AF5288">
        <v>0</v>
      </c>
      <c r="AG5288">
        <v>0</v>
      </c>
      <c r="AH5288" t="s">
        <v>116</v>
      </c>
      <c r="AI5288" s="1">
        <v>56730</v>
      </c>
      <c r="AJ5288" s="2">
        <v>0.14000000000000001</v>
      </c>
      <c r="AK5288" s="1">
        <v>415276</v>
      </c>
      <c r="AL5288" t="s">
        <v>117</v>
      </c>
      <c r="AM5288" t="s">
        <v>118</v>
      </c>
      <c r="AN5288">
        <v>6042</v>
      </c>
      <c r="AO5288">
        <v>0.14000000000000001</v>
      </c>
      <c r="AP5288">
        <v>1</v>
      </c>
      <c r="AR5288">
        <v>1</v>
      </c>
      <c r="AS5288" s="1">
        <v>30210</v>
      </c>
      <c r="AT5288" s="1">
        <v>6040</v>
      </c>
      <c r="AU5288" s="1">
        <v>24170</v>
      </c>
      <c r="AV5288">
        <v>80.010000000000005</v>
      </c>
      <c r="AX5288" s="1">
        <v>2422.34</v>
      </c>
      <c r="AY5288" t="s">
        <v>15704</v>
      </c>
      <c r="AZ5288" t="s">
        <v>5922</v>
      </c>
      <c r="BA5288" t="s">
        <v>5202</v>
      </c>
      <c r="BE5288" s="3">
        <v>42466</v>
      </c>
      <c r="BF5288" s="1">
        <v>351000</v>
      </c>
      <c r="BG5288" t="s">
        <v>32669</v>
      </c>
      <c r="BH5288" s="1">
        <v>149.22999999999999</v>
      </c>
      <c r="BI5288" s="1">
        <v>358546</v>
      </c>
      <c r="BJ5288" s="3">
        <v>42466</v>
      </c>
      <c r="BK5288" t="s">
        <v>123</v>
      </c>
      <c r="BL5288" t="str">
        <f>"2016.225774"</f>
        <v>2016.225774</v>
      </c>
      <c r="BM5288" t="s">
        <v>2489</v>
      </c>
      <c r="BO5288" t="s">
        <v>32670</v>
      </c>
      <c r="BS5288">
        <v>30</v>
      </c>
      <c r="BW5288" t="str">
        <f>""</f>
        <v/>
      </c>
      <c r="CH5288" t="str">
        <f>""</f>
        <v/>
      </c>
      <c r="CS5288" t="str">
        <f>""</f>
        <v/>
      </c>
    </row>
    <row r="5289" spans="1:97" x14ac:dyDescent="0.25">
      <c r="A5289" t="s">
        <v>140</v>
      </c>
      <c r="B5289" t="s">
        <v>32671</v>
      </c>
      <c r="C5289" t="s">
        <v>32672</v>
      </c>
      <c r="D5289" t="s">
        <v>32673</v>
      </c>
      <c r="E5289" t="s">
        <v>32674</v>
      </c>
      <c r="F5289" t="s">
        <v>282</v>
      </c>
      <c r="H5289" t="s">
        <v>32675</v>
      </c>
      <c r="I5289" t="s">
        <v>2874</v>
      </c>
      <c r="J5289" t="s">
        <v>111</v>
      </c>
      <c r="K5289" t="str">
        <f>"85304"</f>
        <v>85304</v>
      </c>
      <c r="L5289" t="s">
        <v>11566</v>
      </c>
      <c r="M5289" t="s">
        <v>32676</v>
      </c>
      <c r="N5289" t="s">
        <v>390</v>
      </c>
      <c r="O5289" t="s">
        <v>111</v>
      </c>
      <c r="P5289" t="str">
        <f>"85037-3919"</f>
        <v>85037-3919</v>
      </c>
      <c r="Q5289" t="s">
        <v>113</v>
      </c>
      <c r="R5289" t="str">
        <f>"200-39-542"</f>
        <v>200-39-542</v>
      </c>
      <c r="S5289" t="s">
        <v>29294</v>
      </c>
      <c r="T5289" t="s">
        <v>14126</v>
      </c>
      <c r="U5289">
        <v>1897</v>
      </c>
      <c r="V5289">
        <v>0</v>
      </c>
      <c r="W5289">
        <v>3</v>
      </c>
      <c r="X5289">
        <v>1997</v>
      </c>
      <c r="Z5289">
        <v>1</v>
      </c>
      <c r="AB5289">
        <v>0</v>
      </c>
      <c r="AC5289" t="s">
        <v>115</v>
      </c>
      <c r="AD5289">
        <v>3</v>
      </c>
      <c r="AE5289" t="s">
        <v>115</v>
      </c>
      <c r="AF5289">
        <v>0</v>
      </c>
      <c r="AG5289">
        <v>0</v>
      </c>
      <c r="AH5289" t="s">
        <v>116</v>
      </c>
      <c r="AI5289" s="1">
        <v>69117</v>
      </c>
      <c r="AJ5289" s="2">
        <v>0.23</v>
      </c>
      <c r="AK5289" s="1">
        <v>295117</v>
      </c>
      <c r="AL5289" t="s">
        <v>117</v>
      </c>
      <c r="AM5289" t="s">
        <v>118</v>
      </c>
      <c r="AN5289">
        <v>7039</v>
      </c>
      <c r="AO5289">
        <v>0.16</v>
      </c>
      <c r="AP5289">
        <v>1</v>
      </c>
      <c r="AR5289">
        <v>1</v>
      </c>
      <c r="AS5289" s="1">
        <v>22620</v>
      </c>
      <c r="AT5289" s="1">
        <v>4520</v>
      </c>
      <c r="AU5289" s="1">
        <v>18100</v>
      </c>
      <c r="AV5289">
        <v>80.02</v>
      </c>
      <c r="AX5289" s="1">
        <v>1592.44</v>
      </c>
      <c r="AY5289" t="s">
        <v>1808</v>
      </c>
      <c r="AZ5289" t="s">
        <v>1808</v>
      </c>
      <c r="BA5289" t="s">
        <v>8681</v>
      </c>
      <c r="BE5289" s="3">
        <v>42356</v>
      </c>
      <c r="BF5289" s="1">
        <v>228400</v>
      </c>
      <c r="BG5289" t="s">
        <v>32677</v>
      </c>
      <c r="BH5289" s="1">
        <v>121.68</v>
      </c>
      <c r="BI5289" s="1">
        <v>226000</v>
      </c>
      <c r="BJ5289" s="3">
        <v>42649</v>
      </c>
      <c r="BK5289" t="s">
        <v>123</v>
      </c>
      <c r="BL5289" t="str">
        <f>"2016.732261"</f>
        <v>2016.732261</v>
      </c>
      <c r="BM5289" t="s">
        <v>1185</v>
      </c>
      <c r="BO5289" t="s">
        <v>32678</v>
      </c>
      <c r="BP5289" t="s">
        <v>32679</v>
      </c>
      <c r="BS5289">
        <v>30</v>
      </c>
      <c r="BW5289" t="str">
        <f>""</f>
        <v/>
      </c>
      <c r="CH5289" t="str">
        <f>""</f>
        <v/>
      </c>
      <c r="CS5289" t="str">
        <f>""</f>
        <v/>
      </c>
    </row>
    <row r="5290" spans="1:97" x14ac:dyDescent="0.25">
      <c r="A5290" t="s">
        <v>639</v>
      </c>
      <c r="B5290" t="s">
        <v>4543</v>
      </c>
      <c r="C5290" t="s">
        <v>28531</v>
      </c>
      <c r="D5290" t="s">
        <v>4543</v>
      </c>
      <c r="E5290" t="s">
        <v>32680</v>
      </c>
      <c r="F5290" t="s">
        <v>108</v>
      </c>
      <c r="H5290" t="s">
        <v>32681</v>
      </c>
      <c r="I5290" t="s">
        <v>1936</v>
      </c>
      <c r="J5290" t="s">
        <v>111</v>
      </c>
      <c r="K5290" t="str">
        <f>"85260"</f>
        <v>85260</v>
      </c>
      <c r="L5290" t="s">
        <v>10474</v>
      </c>
      <c r="M5290" t="s">
        <v>32681</v>
      </c>
      <c r="N5290" t="s">
        <v>1936</v>
      </c>
      <c r="O5290" t="s">
        <v>111</v>
      </c>
      <c r="P5290" t="str">
        <f>"85260-7644"</f>
        <v>85260-7644</v>
      </c>
      <c r="Q5290" t="s">
        <v>113</v>
      </c>
      <c r="R5290" t="str">
        <f>"217-41-430"</f>
        <v>217-41-430</v>
      </c>
      <c r="S5290" t="s">
        <v>24932</v>
      </c>
      <c r="T5290" t="s">
        <v>24932</v>
      </c>
      <c r="U5290">
        <v>3026</v>
      </c>
      <c r="V5290">
        <v>0</v>
      </c>
      <c r="W5290">
        <v>4</v>
      </c>
      <c r="X5290">
        <v>1994</v>
      </c>
      <c r="Z5290">
        <v>2</v>
      </c>
      <c r="AB5290">
        <v>0</v>
      </c>
      <c r="AC5290" t="s">
        <v>115</v>
      </c>
      <c r="AD5290">
        <v>3</v>
      </c>
      <c r="AE5290" t="s">
        <v>115</v>
      </c>
      <c r="AF5290">
        <v>0</v>
      </c>
      <c r="AG5290">
        <v>0</v>
      </c>
      <c r="AH5290" t="s">
        <v>116</v>
      </c>
      <c r="AI5290" s="1">
        <v>91956</v>
      </c>
      <c r="AJ5290" s="2">
        <v>0.16</v>
      </c>
      <c r="AK5290" s="1">
        <v>581994</v>
      </c>
      <c r="AL5290" t="s">
        <v>117</v>
      </c>
      <c r="AM5290" t="s">
        <v>393</v>
      </c>
      <c r="AN5290">
        <v>7350</v>
      </c>
      <c r="AO5290">
        <v>0.17</v>
      </c>
      <c r="AP5290">
        <v>1</v>
      </c>
      <c r="AR5290">
        <v>1</v>
      </c>
      <c r="AS5290" s="1">
        <v>42560</v>
      </c>
      <c r="AT5290" s="1">
        <v>8510</v>
      </c>
      <c r="AU5290" s="1">
        <v>34050</v>
      </c>
      <c r="AV5290">
        <v>80</v>
      </c>
      <c r="AX5290" s="1">
        <v>3007.12</v>
      </c>
      <c r="AY5290" t="s">
        <v>5904</v>
      </c>
      <c r="AZ5290" t="s">
        <v>5420</v>
      </c>
      <c r="BA5290" t="s">
        <v>5763</v>
      </c>
      <c r="BE5290" s="3">
        <v>42318</v>
      </c>
      <c r="BF5290" s="1">
        <v>480000</v>
      </c>
      <c r="BG5290" t="s">
        <v>32682</v>
      </c>
      <c r="BH5290" s="1">
        <v>158.63</v>
      </c>
      <c r="BI5290" s="1">
        <v>490038</v>
      </c>
      <c r="BJ5290" s="3">
        <v>42650</v>
      </c>
      <c r="BK5290" t="s">
        <v>123</v>
      </c>
      <c r="BL5290" t="str">
        <f>"2016.739240"</f>
        <v>2016.739240</v>
      </c>
      <c r="BM5290" t="s">
        <v>1791</v>
      </c>
      <c r="BO5290" t="s">
        <v>32683</v>
      </c>
      <c r="BS5290">
        <v>30</v>
      </c>
      <c r="BW5290" t="str">
        <f>""</f>
        <v/>
      </c>
      <c r="CH5290" t="str">
        <f>""</f>
        <v/>
      </c>
      <c r="CS5290" t="str">
        <f>""</f>
        <v/>
      </c>
    </row>
    <row r="5291" spans="1:97" x14ac:dyDescent="0.25">
      <c r="A5291" t="s">
        <v>265</v>
      </c>
      <c r="B5291" t="s">
        <v>32684</v>
      </c>
      <c r="C5291" t="s">
        <v>494</v>
      </c>
      <c r="D5291" t="s">
        <v>32685</v>
      </c>
      <c r="E5291" t="s">
        <v>32686</v>
      </c>
      <c r="F5291" t="s">
        <v>108</v>
      </c>
      <c r="H5291" t="s">
        <v>32687</v>
      </c>
      <c r="I5291" t="s">
        <v>225</v>
      </c>
      <c r="J5291" t="s">
        <v>111</v>
      </c>
      <c r="K5291" t="str">
        <f>"85204"</f>
        <v>85204</v>
      </c>
      <c r="L5291" t="s">
        <v>9069</v>
      </c>
      <c r="M5291" t="s">
        <v>32687</v>
      </c>
      <c r="N5291" t="s">
        <v>225</v>
      </c>
      <c r="O5291" t="s">
        <v>111</v>
      </c>
      <c r="P5291" t="str">
        <f>"85204-6463"</f>
        <v>85204-6463</v>
      </c>
      <c r="Q5291" t="s">
        <v>113</v>
      </c>
      <c r="R5291" t="str">
        <f>"140-58-154"</f>
        <v>140-58-154</v>
      </c>
      <c r="S5291" t="s">
        <v>17838</v>
      </c>
      <c r="T5291" t="s">
        <v>17839</v>
      </c>
      <c r="U5291">
        <v>1870</v>
      </c>
      <c r="V5291">
        <v>0</v>
      </c>
      <c r="W5291">
        <v>3</v>
      </c>
      <c r="X5291">
        <v>1990</v>
      </c>
      <c r="Z5291">
        <v>1</v>
      </c>
      <c r="AA5291" t="s">
        <v>26</v>
      </c>
      <c r="AB5291">
        <v>0</v>
      </c>
      <c r="AC5291" t="s">
        <v>115</v>
      </c>
      <c r="AD5291">
        <v>3</v>
      </c>
      <c r="AE5291" t="s">
        <v>115</v>
      </c>
      <c r="AF5291">
        <v>0</v>
      </c>
      <c r="AG5291">
        <v>0</v>
      </c>
      <c r="AH5291" t="s">
        <v>116</v>
      </c>
      <c r="AI5291" s="1">
        <v>68790</v>
      </c>
      <c r="AJ5291" s="2">
        <v>0.2</v>
      </c>
      <c r="AK5291" s="1">
        <v>337261</v>
      </c>
      <c r="AL5291" t="s">
        <v>117</v>
      </c>
      <c r="AM5291" t="s">
        <v>917</v>
      </c>
      <c r="AN5291">
        <v>10128</v>
      </c>
      <c r="AO5291">
        <v>0.23</v>
      </c>
      <c r="AP5291">
        <v>1</v>
      </c>
      <c r="AR5291">
        <v>1</v>
      </c>
      <c r="AS5291" s="1">
        <v>24660</v>
      </c>
      <c r="AT5291" s="1">
        <v>4930</v>
      </c>
      <c r="AU5291" s="1">
        <v>19730</v>
      </c>
      <c r="AV5291">
        <v>80.010000000000005</v>
      </c>
      <c r="AX5291" s="1">
        <v>1722.04</v>
      </c>
      <c r="AY5291" t="s">
        <v>9600</v>
      </c>
      <c r="AZ5291" t="s">
        <v>5158</v>
      </c>
      <c r="BA5291" t="s">
        <v>5159</v>
      </c>
      <c r="BE5291" s="3">
        <v>41934</v>
      </c>
      <c r="BF5291" s="1">
        <v>235000</v>
      </c>
      <c r="BG5291" t="s">
        <v>32688</v>
      </c>
      <c r="BH5291" s="1">
        <v>125.67</v>
      </c>
      <c r="BI5291" s="1">
        <v>235000</v>
      </c>
      <c r="BJ5291" s="3">
        <v>41934</v>
      </c>
      <c r="BK5291" t="s">
        <v>123</v>
      </c>
      <c r="BL5291" t="str">
        <f>"2014.699462"</f>
        <v>2014.699462</v>
      </c>
      <c r="BM5291" t="s">
        <v>594</v>
      </c>
      <c r="BN5291" t="s">
        <v>595</v>
      </c>
      <c r="BO5291" t="s">
        <v>32689</v>
      </c>
      <c r="BP5291" t="s">
        <v>32690</v>
      </c>
      <c r="BS5291">
        <v>30</v>
      </c>
      <c r="BT5291" s="1">
        <v>33471</v>
      </c>
      <c r="BU5291" s="3">
        <v>43542</v>
      </c>
      <c r="BW5291" t="str">
        <f>"2019.186477"</f>
        <v>2019.186477</v>
      </c>
      <c r="BX5291" t="s">
        <v>383</v>
      </c>
      <c r="BY5291" t="s">
        <v>384</v>
      </c>
      <c r="BZ5291" t="s">
        <v>32691</v>
      </c>
      <c r="CA5291" t="s">
        <v>32692</v>
      </c>
      <c r="CC5291" t="s">
        <v>346</v>
      </c>
      <c r="CH5291" t="str">
        <f>""</f>
        <v/>
      </c>
      <c r="CS5291" t="str">
        <f>""</f>
        <v/>
      </c>
    </row>
    <row r="5292" spans="1:97" x14ac:dyDescent="0.25">
      <c r="B5292" t="s">
        <v>32693</v>
      </c>
      <c r="E5292" t="s">
        <v>32693</v>
      </c>
      <c r="F5292" t="s">
        <v>108</v>
      </c>
      <c r="H5292" t="s">
        <v>32694</v>
      </c>
      <c r="I5292" t="s">
        <v>632</v>
      </c>
      <c r="J5292" t="s">
        <v>111</v>
      </c>
      <c r="K5292" t="str">
        <f>"85379"</f>
        <v>85379</v>
      </c>
      <c r="L5292" t="s">
        <v>375</v>
      </c>
      <c r="M5292" t="s">
        <v>32694</v>
      </c>
      <c r="N5292" t="s">
        <v>632</v>
      </c>
      <c r="O5292" t="s">
        <v>111</v>
      </c>
      <c r="P5292" t="str">
        <f>"85379-8113"</f>
        <v>85379-8113</v>
      </c>
      <c r="Q5292" t="s">
        <v>113</v>
      </c>
      <c r="R5292" t="str">
        <f>"509-15-898"</f>
        <v>509-15-898</v>
      </c>
      <c r="S5292" t="s">
        <v>10480</v>
      </c>
      <c r="U5292">
        <v>3048</v>
      </c>
      <c r="V5292">
        <v>0</v>
      </c>
      <c r="W5292">
        <v>4</v>
      </c>
      <c r="X5292">
        <v>2007</v>
      </c>
      <c r="Z5292">
        <v>1</v>
      </c>
      <c r="AA5292" t="s">
        <v>26</v>
      </c>
      <c r="AB5292">
        <v>0</v>
      </c>
      <c r="AC5292" t="s">
        <v>115</v>
      </c>
      <c r="AD5292">
        <v>4</v>
      </c>
      <c r="AE5292" t="s">
        <v>115</v>
      </c>
      <c r="AF5292">
        <v>0</v>
      </c>
      <c r="AG5292">
        <v>0</v>
      </c>
      <c r="AH5292" t="s">
        <v>116</v>
      </c>
      <c r="AI5292" s="1">
        <v>87019</v>
      </c>
      <c r="AJ5292" s="2">
        <v>0.21</v>
      </c>
      <c r="AK5292" s="1">
        <v>414548</v>
      </c>
      <c r="AL5292" t="s">
        <v>117</v>
      </c>
      <c r="AM5292" t="s">
        <v>118</v>
      </c>
      <c r="AN5292">
        <v>10864</v>
      </c>
      <c r="AO5292">
        <v>0.25</v>
      </c>
      <c r="AP5292">
        <v>1</v>
      </c>
      <c r="AR5292">
        <v>1</v>
      </c>
      <c r="AS5292" s="1">
        <v>33450</v>
      </c>
      <c r="AT5292" s="1">
        <v>6690</v>
      </c>
      <c r="AU5292" s="1">
        <v>26760</v>
      </c>
      <c r="AV5292">
        <v>80</v>
      </c>
      <c r="AX5292" s="1">
        <v>3527.58</v>
      </c>
      <c r="AY5292" t="s">
        <v>634</v>
      </c>
      <c r="AZ5292" t="s">
        <v>634</v>
      </c>
      <c r="BA5292" t="s">
        <v>635</v>
      </c>
      <c r="BB5292" s="3">
        <v>42244</v>
      </c>
      <c r="BD5292" t="s">
        <v>480</v>
      </c>
      <c r="BE5292" s="3">
        <v>41974</v>
      </c>
      <c r="BF5292" s="1">
        <v>320000</v>
      </c>
      <c r="BG5292" t="s">
        <v>32695</v>
      </c>
      <c r="BH5292" s="1">
        <v>104.99</v>
      </c>
      <c r="BI5292" s="1">
        <v>327529</v>
      </c>
      <c r="BJ5292" s="3">
        <v>42564</v>
      </c>
      <c r="BK5292" t="s">
        <v>123</v>
      </c>
      <c r="BL5292" t="str">
        <f>"2016.493482"</f>
        <v>2016.493482</v>
      </c>
      <c r="BM5292" t="s">
        <v>322</v>
      </c>
      <c r="BO5292" t="s">
        <v>32696</v>
      </c>
      <c r="BS5292">
        <v>30</v>
      </c>
      <c r="BW5292" t="str">
        <f>""</f>
        <v/>
      </c>
      <c r="CH5292" t="str">
        <f>""</f>
        <v/>
      </c>
      <c r="CS5292" t="str">
        <f>""</f>
        <v/>
      </c>
    </row>
    <row r="5293" spans="1:97" x14ac:dyDescent="0.25">
      <c r="A5293" t="s">
        <v>3580</v>
      </c>
      <c r="B5293" t="s">
        <v>32697</v>
      </c>
      <c r="C5293" t="s">
        <v>986</v>
      </c>
      <c r="D5293" t="s">
        <v>32697</v>
      </c>
      <c r="E5293" t="s">
        <v>32698</v>
      </c>
      <c r="F5293" t="s">
        <v>108</v>
      </c>
      <c r="H5293" t="s">
        <v>32699</v>
      </c>
      <c r="I5293" t="s">
        <v>225</v>
      </c>
      <c r="J5293" t="s">
        <v>111</v>
      </c>
      <c r="K5293" t="str">
        <f>"85204"</f>
        <v>85204</v>
      </c>
      <c r="L5293" t="s">
        <v>9597</v>
      </c>
      <c r="M5293" t="s">
        <v>32699</v>
      </c>
      <c r="N5293" t="s">
        <v>225</v>
      </c>
      <c r="O5293" t="s">
        <v>111</v>
      </c>
      <c r="P5293" t="str">
        <f>"85204-6203"</f>
        <v>85204-6203</v>
      </c>
      <c r="Q5293" t="s">
        <v>113</v>
      </c>
      <c r="R5293" t="str">
        <f>"140-60-348"</f>
        <v>140-60-348</v>
      </c>
      <c r="S5293" t="s">
        <v>32700</v>
      </c>
      <c r="U5293">
        <v>1490</v>
      </c>
      <c r="V5293">
        <v>0</v>
      </c>
      <c r="W5293">
        <v>2</v>
      </c>
      <c r="X5293">
        <v>1980</v>
      </c>
      <c r="Z5293">
        <v>1</v>
      </c>
      <c r="AA5293" t="s">
        <v>26</v>
      </c>
      <c r="AB5293">
        <v>0</v>
      </c>
      <c r="AC5293" t="s">
        <v>5188</v>
      </c>
      <c r="AD5293">
        <v>2</v>
      </c>
      <c r="AE5293" t="s">
        <v>5188</v>
      </c>
      <c r="AF5293">
        <v>0</v>
      </c>
      <c r="AG5293">
        <v>0</v>
      </c>
      <c r="AH5293" t="s">
        <v>116</v>
      </c>
      <c r="AI5293" s="1">
        <v>47856</v>
      </c>
      <c r="AJ5293" s="2">
        <v>0.18</v>
      </c>
      <c r="AK5293" s="1">
        <v>267478</v>
      </c>
      <c r="AL5293" t="s">
        <v>117</v>
      </c>
      <c r="AM5293" t="s">
        <v>393</v>
      </c>
      <c r="AN5293">
        <v>7668</v>
      </c>
      <c r="AO5293">
        <v>0.18</v>
      </c>
      <c r="AP5293">
        <v>1</v>
      </c>
      <c r="AR5293">
        <v>1</v>
      </c>
      <c r="AS5293" s="1">
        <v>17680</v>
      </c>
      <c r="AT5293" s="1">
        <v>3530</v>
      </c>
      <c r="AU5293" s="1">
        <v>14150</v>
      </c>
      <c r="AV5293">
        <v>80.03</v>
      </c>
      <c r="AX5293" s="1">
        <v>1111.26</v>
      </c>
      <c r="AY5293" t="s">
        <v>9600</v>
      </c>
      <c r="AZ5293" t="s">
        <v>5158</v>
      </c>
      <c r="BA5293" t="s">
        <v>5159</v>
      </c>
      <c r="BE5293" s="3">
        <v>42416</v>
      </c>
      <c r="BF5293" s="1">
        <v>215000</v>
      </c>
      <c r="BG5293" t="s">
        <v>32701</v>
      </c>
      <c r="BH5293" s="1">
        <v>144.30000000000001</v>
      </c>
      <c r="BI5293" s="1">
        <v>219622</v>
      </c>
      <c r="BJ5293" s="3">
        <v>42416</v>
      </c>
      <c r="BK5293" t="s">
        <v>123</v>
      </c>
      <c r="BL5293" t="str">
        <f>"2016.98176"</f>
        <v>2016.98176</v>
      </c>
      <c r="BM5293" t="s">
        <v>2716</v>
      </c>
      <c r="BO5293" t="s">
        <v>32702</v>
      </c>
      <c r="BS5293">
        <v>30</v>
      </c>
      <c r="BW5293" t="str">
        <f>""</f>
        <v/>
      </c>
      <c r="CH5293" t="str">
        <f>""</f>
        <v/>
      </c>
      <c r="CS5293" t="str">
        <f>""</f>
        <v/>
      </c>
    </row>
    <row r="5294" spans="1:97" x14ac:dyDescent="0.25">
      <c r="A5294" t="s">
        <v>1444</v>
      </c>
      <c r="B5294" t="s">
        <v>529</v>
      </c>
      <c r="C5294" t="s">
        <v>986</v>
      </c>
      <c r="D5294" t="s">
        <v>529</v>
      </c>
      <c r="E5294" t="s">
        <v>32703</v>
      </c>
      <c r="F5294" t="s">
        <v>108</v>
      </c>
      <c r="H5294" t="s">
        <v>32704</v>
      </c>
      <c r="I5294" t="s">
        <v>390</v>
      </c>
      <c r="J5294" t="s">
        <v>111</v>
      </c>
      <c r="K5294" t="str">
        <f>"85085"</f>
        <v>85085</v>
      </c>
      <c r="L5294" t="s">
        <v>558</v>
      </c>
      <c r="M5294" t="s">
        <v>32704</v>
      </c>
      <c r="N5294" t="s">
        <v>390</v>
      </c>
      <c r="O5294" t="s">
        <v>111</v>
      </c>
      <c r="P5294" t="str">
        <f>"85085-8047"</f>
        <v>85085-8047</v>
      </c>
      <c r="Q5294" t="s">
        <v>113</v>
      </c>
      <c r="R5294" t="str">
        <f>"204-25-016"</f>
        <v>204-25-016</v>
      </c>
      <c r="S5294" t="s">
        <v>23716</v>
      </c>
      <c r="U5294">
        <v>3078</v>
      </c>
      <c r="V5294">
        <v>0</v>
      </c>
      <c r="W5294">
        <v>5</v>
      </c>
      <c r="X5294">
        <v>2006</v>
      </c>
      <c r="Z5294">
        <v>1</v>
      </c>
      <c r="AA5294" t="s">
        <v>26</v>
      </c>
      <c r="AB5294">
        <v>0</v>
      </c>
      <c r="AC5294" t="s">
        <v>115</v>
      </c>
      <c r="AD5294">
        <v>3</v>
      </c>
      <c r="AE5294" t="s">
        <v>115</v>
      </c>
      <c r="AF5294">
        <v>0</v>
      </c>
      <c r="AG5294">
        <v>0</v>
      </c>
      <c r="AH5294" t="s">
        <v>116</v>
      </c>
      <c r="AI5294" s="1">
        <v>36448</v>
      </c>
      <c r="AJ5294" s="2">
        <v>7.0000000000000007E-2</v>
      </c>
      <c r="AK5294" s="1">
        <v>503179</v>
      </c>
      <c r="AL5294" t="s">
        <v>117</v>
      </c>
      <c r="AM5294" t="s">
        <v>1302</v>
      </c>
      <c r="AN5294">
        <v>9675</v>
      </c>
      <c r="AO5294">
        <v>0.22</v>
      </c>
      <c r="AR5294">
        <v>1</v>
      </c>
      <c r="AS5294" s="1">
        <v>37620</v>
      </c>
      <c r="AT5294" s="1">
        <v>7520</v>
      </c>
      <c r="AU5294" s="1">
        <v>30100</v>
      </c>
      <c r="AV5294">
        <v>80.010000000000005</v>
      </c>
      <c r="AX5294" s="1">
        <v>3784.98</v>
      </c>
      <c r="AY5294" t="s">
        <v>2651</v>
      </c>
      <c r="AZ5294" t="s">
        <v>2651</v>
      </c>
      <c r="BA5294" t="s">
        <v>1462</v>
      </c>
      <c r="BE5294" s="3">
        <v>42531</v>
      </c>
      <c r="BF5294" s="1">
        <v>448000</v>
      </c>
      <c r="BG5294" t="s">
        <v>32705</v>
      </c>
      <c r="BH5294" s="1">
        <v>145.55000000000001</v>
      </c>
      <c r="BI5294" s="1">
        <v>440250</v>
      </c>
      <c r="BJ5294" s="3">
        <v>42531</v>
      </c>
      <c r="BK5294" t="s">
        <v>123</v>
      </c>
      <c r="BL5294" t="str">
        <f>"2016.405109"</f>
        <v>2016.405109</v>
      </c>
      <c r="BM5294" t="s">
        <v>3453</v>
      </c>
      <c r="BN5294" t="s">
        <v>3763</v>
      </c>
      <c r="BO5294" t="s">
        <v>32706</v>
      </c>
      <c r="BS5294">
        <v>30</v>
      </c>
      <c r="BT5294" s="1">
        <v>26481</v>
      </c>
      <c r="BU5294" s="3">
        <v>43125</v>
      </c>
      <c r="BW5294" t="str">
        <f>"2018.59437"</f>
        <v>2018.59437</v>
      </c>
      <c r="BX5294" t="s">
        <v>383</v>
      </c>
      <c r="BY5294" t="s">
        <v>384</v>
      </c>
      <c r="BZ5294" t="s">
        <v>32707</v>
      </c>
      <c r="CA5294" t="s">
        <v>32708</v>
      </c>
      <c r="CC5294" t="s">
        <v>346</v>
      </c>
      <c r="CH5294" t="str">
        <f>""</f>
        <v/>
      </c>
      <c r="CS5294" t="str">
        <f>""</f>
        <v/>
      </c>
    </row>
    <row r="5295" spans="1:97" x14ac:dyDescent="0.25">
      <c r="A5295" t="s">
        <v>610</v>
      </c>
      <c r="B5295" t="s">
        <v>19716</v>
      </c>
      <c r="C5295" t="s">
        <v>16866</v>
      </c>
      <c r="D5295" t="s">
        <v>19716</v>
      </c>
      <c r="E5295" t="s">
        <v>32709</v>
      </c>
      <c r="F5295" t="s">
        <v>108</v>
      </c>
      <c r="H5295" t="s">
        <v>32710</v>
      </c>
      <c r="I5295" t="s">
        <v>632</v>
      </c>
      <c r="J5295" t="s">
        <v>111</v>
      </c>
      <c r="K5295" t="str">
        <f>"85388"</f>
        <v>85388</v>
      </c>
      <c r="L5295" t="s">
        <v>4467</v>
      </c>
      <c r="M5295" t="s">
        <v>32710</v>
      </c>
      <c r="N5295" t="s">
        <v>632</v>
      </c>
      <c r="O5295" t="s">
        <v>111</v>
      </c>
      <c r="P5295" t="str">
        <f>"85388-2356"</f>
        <v>85388-2356</v>
      </c>
      <c r="Q5295" t="s">
        <v>113</v>
      </c>
      <c r="R5295" t="str">
        <f>"502-09-672"</f>
        <v>502-09-672</v>
      </c>
      <c r="S5295" t="s">
        <v>5359</v>
      </c>
      <c r="T5295" t="s">
        <v>5360</v>
      </c>
      <c r="U5295">
        <v>3297</v>
      </c>
      <c r="V5295">
        <v>0</v>
      </c>
      <c r="W5295">
        <v>4</v>
      </c>
      <c r="X5295">
        <v>2012</v>
      </c>
      <c r="Z5295">
        <v>2</v>
      </c>
      <c r="AB5295">
        <v>0</v>
      </c>
      <c r="AC5295" t="s">
        <v>115</v>
      </c>
      <c r="AD5295">
        <v>3</v>
      </c>
      <c r="AE5295" t="s">
        <v>115</v>
      </c>
      <c r="AF5295">
        <v>0</v>
      </c>
      <c r="AG5295">
        <v>0</v>
      </c>
      <c r="AH5295" t="s">
        <v>116</v>
      </c>
      <c r="AI5295" s="1">
        <v>78464</v>
      </c>
      <c r="AJ5295" s="2">
        <v>0.22</v>
      </c>
      <c r="AK5295" s="1">
        <v>355824</v>
      </c>
      <c r="AL5295" t="s">
        <v>117</v>
      </c>
      <c r="AM5295" t="s">
        <v>118</v>
      </c>
      <c r="AN5295">
        <v>7427</v>
      </c>
      <c r="AO5295">
        <v>0.17</v>
      </c>
      <c r="AR5295">
        <v>1</v>
      </c>
      <c r="AS5295" s="1">
        <v>24660</v>
      </c>
      <c r="AT5295" s="1">
        <v>4930</v>
      </c>
      <c r="AU5295" s="1">
        <v>19730</v>
      </c>
      <c r="AV5295">
        <v>80.010000000000005</v>
      </c>
      <c r="AX5295" s="1">
        <v>2321.56</v>
      </c>
      <c r="AY5295" t="s">
        <v>5168</v>
      </c>
      <c r="AZ5295" t="s">
        <v>5168</v>
      </c>
      <c r="BA5295" t="s">
        <v>5109</v>
      </c>
      <c r="BE5295" s="3">
        <v>42172</v>
      </c>
      <c r="BF5295" s="1">
        <v>268500</v>
      </c>
      <c r="BG5295" t="s">
        <v>32711</v>
      </c>
      <c r="BH5295" s="1">
        <v>81.44</v>
      </c>
      <c r="BI5295" s="1">
        <v>277360</v>
      </c>
      <c r="BJ5295" s="3">
        <v>42172</v>
      </c>
      <c r="BK5295" t="s">
        <v>123</v>
      </c>
      <c r="BL5295" t="str">
        <f>"2015.432959"</f>
        <v>2015.432959</v>
      </c>
      <c r="BM5295" t="s">
        <v>3810</v>
      </c>
      <c r="BO5295" t="s">
        <v>32712</v>
      </c>
      <c r="BS5295">
        <v>30</v>
      </c>
      <c r="BW5295" t="str">
        <f>""</f>
        <v/>
      </c>
      <c r="CH5295" t="str">
        <f>""</f>
        <v/>
      </c>
      <c r="CS5295" t="str">
        <f>""</f>
        <v/>
      </c>
    </row>
    <row r="5296" spans="1:97" x14ac:dyDescent="0.25">
      <c r="A5296" t="s">
        <v>1160</v>
      </c>
      <c r="B5296" t="s">
        <v>32713</v>
      </c>
      <c r="E5296" t="s">
        <v>32714</v>
      </c>
      <c r="F5296" t="s">
        <v>108</v>
      </c>
      <c r="H5296" t="s">
        <v>32715</v>
      </c>
      <c r="I5296" t="s">
        <v>203</v>
      </c>
      <c r="J5296" t="s">
        <v>111</v>
      </c>
      <c r="K5296" t="str">
        <f>"85295"</f>
        <v>85295</v>
      </c>
      <c r="L5296" t="s">
        <v>3520</v>
      </c>
      <c r="M5296" t="s">
        <v>32715</v>
      </c>
      <c r="N5296" t="s">
        <v>203</v>
      </c>
      <c r="O5296" t="s">
        <v>111</v>
      </c>
      <c r="P5296" t="str">
        <f>"85295-7222"</f>
        <v>85295-7222</v>
      </c>
      <c r="Q5296" t="s">
        <v>113</v>
      </c>
      <c r="R5296" t="str">
        <f>"313-10-647"</f>
        <v>313-10-647</v>
      </c>
      <c r="S5296" t="s">
        <v>8961</v>
      </c>
      <c r="T5296" t="s">
        <v>8962</v>
      </c>
      <c r="U5296">
        <v>1843</v>
      </c>
      <c r="V5296">
        <v>0</v>
      </c>
      <c r="W5296">
        <v>2</v>
      </c>
      <c r="X5296">
        <v>2014</v>
      </c>
      <c r="Z5296">
        <v>1</v>
      </c>
      <c r="AB5296">
        <v>0</v>
      </c>
      <c r="AC5296" t="s">
        <v>115</v>
      </c>
      <c r="AD5296">
        <v>2</v>
      </c>
      <c r="AE5296" t="s">
        <v>115</v>
      </c>
      <c r="AF5296">
        <v>0</v>
      </c>
      <c r="AG5296">
        <v>0</v>
      </c>
      <c r="AH5296" t="s">
        <v>116</v>
      </c>
      <c r="AI5296" s="1">
        <v>123760</v>
      </c>
      <c r="AJ5296" s="2">
        <v>0.38</v>
      </c>
      <c r="AK5296" s="1">
        <v>323760</v>
      </c>
      <c r="AL5296" t="s">
        <v>117</v>
      </c>
      <c r="AM5296" t="s">
        <v>191</v>
      </c>
      <c r="AN5296">
        <v>4925</v>
      </c>
      <c r="AO5296">
        <v>0.11</v>
      </c>
      <c r="AR5296">
        <v>1</v>
      </c>
      <c r="AS5296" s="1">
        <v>21860</v>
      </c>
      <c r="AT5296" s="1">
        <v>4370</v>
      </c>
      <c r="AU5296" s="1">
        <v>17490</v>
      </c>
      <c r="AV5296">
        <v>80.010000000000005</v>
      </c>
      <c r="AX5296" s="1">
        <v>1602.76</v>
      </c>
      <c r="AY5296" t="s">
        <v>5087</v>
      </c>
      <c r="AZ5296" t="s">
        <v>5087</v>
      </c>
      <c r="BA5296" t="s">
        <v>473</v>
      </c>
      <c r="BE5296" s="3">
        <v>41697</v>
      </c>
      <c r="BF5296" s="1">
        <v>237962</v>
      </c>
      <c r="BG5296" t="s">
        <v>233</v>
      </c>
      <c r="BH5296" s="1">
        <v>129.12</v>
      </c>
      <c r="BI5296" s="1">
        <v>200000</v>
      </c>
      <c r="BJ5296" s="3">
        <v>41697</v>
      </c>
      <c r="BK5296" t="s">
        <v>123</v>
      </c>
      <c r="BL5296" t="str">
        <f>"2014.126762"</f>
        <v>2014.126762</v>
      </c>
      <c r="BM5296" t="s">
        <v>135</v>
      </c>
      <c r="BO5296" t="s">
        <v>32716</v>
      </c>
      <c r="BS5296">
        <v>30</v>
      </c>
      <c r="BW5296" t="str">
        <f>""</f>
        <v/>
      </c>
      <c r="CH5296" t="str">
        <f>""</f>
        <v/>
      </c>
      <c r="CS5296" t="str">
        <f>""</f>
        <v/>
      </c>
    </row>
    <row r="5297" spans="1:97" x14ac:dyDescent="0.25">
      <c r="A5297" t="s">
        <v>15105</v>
      </c>
      <c r="B5297" t="s">
        <v>2428</v>
      </c>
      <c r="C5297" t="s">
        <v>2853</v>
      </c>
      <c r="D5297" t="s">
        <v>2428</v>
      </c>
      <c r="E5297" t="s">
        <v>32717</v>
      </c>
      <c r="F5297" t="s">
        <v>108</v>
      </c>
      <c r="H5297" t="s">
        <v>32718</v>
      </c>
      <c r="I5297" t="s">
        <v>203</v>
      </c>
      <c r="J5297" t="s">
        <v>111</v>
      </c>
      <c r="K5297" t="str">
        <f>"85233"</f>
        <v>85233</v>
      </c>
      <c r="L5297" t="s">
        <v>5429</v>
      </c>
      <c r="M5297" t="s">
        <v>32718</v>
      </c>
      <c r="N5297" t="s">
        <v>203</v>
      </c>
      <c r="O5297" t="s">
        <v>111</v>
      </c>
      <c r="P5297" t="str">
        <f>"85233-7853"</f>
        <v>85233-7853</v>
      </c>
      <c r="Q5297" t="s">
        <v>113</v>
      </c>
      <c r="R5297" t="str">
        <f>"302-37-871"</f>
        <v>302-37-871</v>
      </c>
      <c r="S5297" t="s">
        <v>32719</v>
      </c>
      <c r="T5297" t="s">
        <v>32720</v>
      </c>
      <c r="U5297">
        <v>2392</v>
      </c>
      <c r="V5297">
        <v>0</v>
      </c>
      <c r="W5297">
        <v>3</v>
      </c>
      <c r="X5297">
        <v>1989</v>
      </c>
      <c r="Z5297">
        <v>1</v>
      </c>
      <c r="AA5297" t="s">
        <v>26</v>
      </c>
      <c r="AB5297">
        <v>0</v>
      </c>
      <c r="AC5297" t="s">
        <v>115</v>
      </c>
      <c r="AD5297">
        <v>3</v>
      </c>
      <c r="AE5297" t="s">
        <v>115</v>
      </c>
      <c r="AF5297">
        <v>0</v>
      </c>
      <c r="AG5297">
        <v>0</v>
      </c>
      <c r="AH5297" t="s">
        <v>116</v>
      </c>
      <c r="AI5297" s="1">
        <v>78694</v>
      </c>
      <c r="AJ5297" s="2">
        <v>0.19</v>
      </c>
      <c r="AK5297" s="1">
        <v>411300</v>
      </c>
      <c r="AL5297" t="s">
        <v>117</v>
      </c>
      <c r="AM5297" t="s">
        <v>393</v>
      </c>
      <c r="AN5297">
        <v>8242</v>
      </c>
      <c r="AO5297">
        <v>0.19</v>
      </c>
      <c r="AP5297">
        <v>1</v>
      </c>
      <c r="AR5297">
        <v>1</v>
      </c>
      <c r="AS5297" s="1">
        <v>28850</v>
      </c>
      <c r="AT5297" s="1">
        <v>5770</v>
      </c>
      <c r="AU5297" s="1">
        <v>23080</v>
      </c>
      <c r="AV5297">
        <v>80</v>
      </c>
      <c r="AX5297" s="1">
        <v>2388.62</v>
      </c>
      <c r="AY5297" t="s">
        <v>6163</v>
      </c>
      <c r="AZ5297" t="s">
        <v>2906</v>
      </c>
      <c r="BA5297" t="s">
        <v>2957</v>
      </c>
      <c r="BE5297" s="3">
        <v>42209</v>
      </c>
      <c r="BF5297" s="1">
        <v>365000</v>
      </c>
      <c r="BG5297" t="s">
        <v>32721</v>
      </c>
      <c r="BH5297" s="1">
        <v>152.59</v>
      </c>
      <c r="BI5297" s="1">
        <v>332606</v>
      </c>
      <c r="BJ5297" s="3">
        <v>42209</v>
      </c>
      <c r="BK5297" t="s">
        <v>123</v>
      </c>
      <c r="BL5297" t="str">
        <f>"2015.535392"</f>
        <v>2015.535392</v>
      </c>
      <c r="BM5297" t="s">
        <v>1214</v>
      </c>
      <c r="BO5297" t="s">
        <v>32722</v>
      </c>
      <c r="BS5297">
        <v>30</v>
      </c>
      <c r="BW5297" t="str">
        <f>""</f>
        <v/>
      </c>
      <c r="CH5297" t="str">
        <f>""</f>
        <v/>
      </c>
      <c r="CS5297" t="str">
        <f>""</f>
        <v/>
      </c>
    </row>
    <row r="5298" spans="1:97" x14ac:dyDescent="0.25">
      <c r="A5298" t="s">
        <v>1009</v>
      </c>
      <c r="B5298" t="s">
        <v>32723</v>
      </c>
      <c r="C5298" t="s">
        <v>2793</v>
      </c>
      <c r="D5298" t="s">
        <v>32723</v>
      </c>
      <c r="E5298" t="s">
        <v>32724</v>
      </c>
      <c r="F5298" t="s">
        <v>108</v>
      </c>
      <c r="H5298" t="s">
        <v>32725</v>
      </c>
      <c r="I5298" t="s">
        <v>632</v>
      </c>
      <c r="J5298" t="s">
        <v>111</v>
      </c>
      <c r="K5298" t="str">
        <f>"85379"</f>
        <v>85379</v>
      </c>
      <c r="L5298" t="s">
        <v>1244</v>
      </c>
      <c r="M5298" t="s">
        <v>32725</v>
      </c>
      <c r="N5298" t="s">
        <v>632</v>
      </c>
      <c r="O5298" t="s">
        <v>111</v>
      </c>
      <c r="P5298" t="str">
        <f>"85379-8022"</f>
        <v>85379-8022</v>
      </c>
      <c r="Q5298" t="s">
        <v>113</v>
      </c>
      <c r="R5298" t="str">
        <f>"509-02-737"</f>
        <v>509-02-737</v>
      </c>
      <c r="S5298" t="s">
        <v>10379</v>
      </c>
      <c r="T5298" t="s">
        <v>10380</v>
      </c>
      <c r="U5298">
        <v>2474</v>
      </c>
      <c r="V5298">
        <v>0</v>
      </c>
      <c r="W5298">
        <v>3</v>
      </c>
      <c r="X5298">
        <v>2004</v>
      </c>
      <c r="Z5298">
        <v>1</v>
      </c>
      <c r="AA5298" t="s">
        <v>26</v>
      </c>
      <c r="AB5298">
        <v>0</v>
      </c>
      <c r="AC5298" t="s">
        <v>115</v>
      </c>
      <c r="AD5298">
        <v>2</v>
      </c>
      <c r="AE5298" t="s">
        <v>115</v>
      </c>
      <c r="AF5298">
        <v>0</v>
      </c>
      <c r="AG5298">
        <v>0</v>
      </c>
      <c r="AH5298" t="s">
        <v>116</v>
      </c>
      <c r="AI5298" s="1">
        <v>40511</v>
      </c>
      <c r="AJ5298" s="2">
        <v>0.13</v>
      </c>
      <c r="AK5298" s="1">
        <v>320454</v>
      </c>
      <c r="AL5298" t="s">
        <v>117</v>
      </c>
      <c r="AM5298" t="s">
        <v>118</v>
      </c>
      <c r="AN5298">
        <v>9633</v>
      </c>
      <c r="AO5298">
        <v>0.22</v>
      </c>
      <c r="AP5298">
        <v>1</v>
      </c>
      <c r="AR5298">
        <v>1</v>
      </c>
      <c r="AS5298" s="1">
        <v>22760</v>
      </c>
      <c r="AT5298" s="1">
        <v>4550</v>
      </c>
      <c r="AU5298" s="1">
        <v>18210</v>
      </c>
      <c r="AV5298">
        <v>80.010000000000005</v>
      </c>
      <c r="AX5298" s="1">
        <v>1723.64</v>
      </c>
      <c r="AY5298" t="s">
        <v>6615</v>
      </c>
      <c r="AZ5298" t="s">
        <v>6615</v>
      </c>
      <c r="BA5298" t="s">
        <v>321</v>
      </c>
      <c r="BE5298" s="3">
        <v>42482</v>
      </c>
      <c r="BF5298" s="1">
        <v>265000</v>
      </c>
      <c r="BG5298" t="s">
        <v>32726</v>
      </c>
      <c r="BH5298" s="1">
        <v>107.11</v>
      </c>
      <c r="BI5298" s="1">
        <v>279943</v>
      </c>
      <c r="BJ5298" s="3">
        <v>43042</v>
      </c>
      <c r="BK5298" t="s">
        <v>123</v>
      </c>
      <c r="BL5298" t="str">
        <f>"2017.820245"</f>
        <v>2017.820245</v>
      </c>
      <c r="BM5298" t="s">
        <v>361</v>
      </c>
      <c r="BO5298" t="s">
        <v>32727</v>
      </c>
      <c r="BS5298">
        <v>30</v>
      </c>
      <c r="BW5298" t="str">
        <f>""</f>
        <v/>
      </c>
      <c r="CH5298" t="str">
        <f>""</f>
        <v/>
      </c>
      <c r="CS5298" t="str">
        <f>""</f>
        <v/>
      </c>
    </row>
    <row r="5299" spans="1:97" x14ac:dyDescent="0.25">
      <c r="A5299" t="s">
        <v>177</v>
      </c>
      <c r="B5299" t="s">
        <v>32728</v>
      </c>
      <c r="E5299" t="s">
        <v>32729</v>
      </c>
      <c r="F5299" t="s">
        <v>282</v>
      </c>
      <c r="H5299" t="s">
        <v>32730</v>
      </c>
      <c r="I5299" t="s">
        <v>167</v>
      </c>
      <c r="J5299" t="s">
        <v>111</v>
      </c>
      <c r="K5299" t="str">
        <f>"85339"</f>
        <v>85339</v>
      </c>
      <c r="L5299" t="s">
        <v>734</v>
      </c>
      <c r="M5299" t="s">
        <v>32731</v>
      </c>
      <c r="N5299" t="s">
        <v>167</v>
      </c>
      <c r="O5299" t="s">
        <v>111</v>
      </c>
      <c r="P5299" t="str">
        <f>"85339-1741"</f>
        <v>85339-1741</v>
      </c>
      <c r="Q5299" t="s">
        <v>113</v>
      </c>
      <c r="R5299" t="str">
        <f>"300-15-042"</f>
        <v>300-15-042</v>
      </c>
      <c r="S5299" t="s">
        <v>32732</v>
      </c>
      <c r="T5299" t="s">
        <v>32733</v>
      </c>
      <c r="U5299">
        <v>3335</v>
      </c>
      <c r="V5299">
        <v>0</v>
      </c>
      <c r="W5299">
        <v>3</v>
      </c>
      <c r="X5299">
        <v>1997</v>
      </c>
      <c r="Z5299">
        <v>1</v>
      </c>
      <c r="AB5299">
        <v>0</v>
      </c>
      <c r="AC5299" t="s">
        <v>115</v>
      </c>
      <c r="AD5299">
        <v>3</v>
      </c>
      <c r="AE5299" t="s">
        <v>115</v>
      </c>
      <c r="AF5299">
        <v>0</v>
      </c>
      <c r="AG5299">
        <v>0</v>
      </c>
      <c r="AH5299" t="s">
        <v>116</v>
      </c>
      <c r="AI5299" s="1">
        <v>89531</v>
      </c>
      <c r="AJ5299" s="2">
        <v>0.19</v>
      </c>
      <c r="AK5299" s="1">
        <v>470550</v>
      </c>
      <c r="AL5299" t="s">
        <v>117</v>
      </c>
      <c r="AM5299" t="s">
        <v>376</v>
      </c>
      <c r="AN5299">
        <v>43791</v>
      </c>
      <c r="AO5299">
        <v>1</v>
      </c>
      <c r="AP5299">
        <v>1</v>
      </c>
      <c r="AR5299">
        <v>1</v>
      </c>
      <c r="AS5299" s="1">
        <v>34830</v>
      </c>
      <c r="AT5299" s="1">
        <v>6960</v>
      </c>
      <c r="AU5299" s="1">
        <v>27870</v>
      </c>
      <c r="AV5299">
        <v>80.02</v>
      </c>
      <c r="AX5299" s="1">
        <v>4136.0200000000004</v>
      </c>
      <c r="AY5299" t="s">
        <v>806</v>
      </c>
      <c r="AZ5299" t="s">
        <v>806</v>
      </c>
      <c r="BA5299" t="s">
        <v>1661</v>
      </c>
      <c r="BE5299" s="3">
        <v>41984</v>
      </c>
      <c r="BF5299" s="1">
        <v>373000</v>
      </c>
      <c r="BG5299" t="s">
        <v>32734</v>
      </c>
      <c r="BH5299" s="1">
        <v>111.84</v>
      </c>
      <c r="BI5299" s="1">
        <v>381019</v>
      </c>
      <c r="BJ5299" s="3">
        <v>41984</v>
      </c>
      <c r="BK5299" t="s">
        <v>123</v>
      </c>
      <c r="BL5299" t="str">
        <f>"2014.815562"</f>
        <v>2014.815562</v>
      </c>
      <c r="BM5299" t="s">
        <v>2094</v>
      </c>
      <c r="BO5299" t="s">
        <v>32735</v>
      </c>
      <c r="BS5299">
        <v>30</v>
      </c>
      <c r="BW5299" t="str">
        <f>""</f>
        <v/>
      </c>
      <c r="CH5299" t="str">
        <f>""</f>
        <v/>
      </c>
      <c r="CS5299" t="str">
        <f>""</f>
        <v/>
      </c>
    </row>
    <row r="5300" spans="1:97" x14ac:dyDescent="0.25">
      <c r="A5300" t="s">
        <v>3718</v>
      </c>
      <c r="B5300" t="s">
        <v>2522</v>
      </c>
      <c r="C5300" t="s">
        <v>32736</v>
      </c>
      <c r="D5300" t="s">
        <v>2522</v>
      </c>
      <c r="E5300" t="s">
        <v>32737</v>
      </c>
      <c r="F5300" t="s">
        <v>108</v>
      </c>
      <c r="H5300" t="s">
        <v>32738</v>
      </c>
      <c r="I5300" t="s">
        <v>3150</v>
      </c>
      <c r="J5300" t="s">
        <v>111</v>
      </c>
      <c r="K5300" t="str">
        <f>"85340"</f>
        <v>85340</v>
      </c>
      <c r="L5300" t="s">
        <v>1789</v>
      </c>
      <c r="M5300" t="s">
        <v>32738</v>
      </c>
      <c r="N5300" t="s">
        <v>3150</v>
      </c>
      <c r="O5300" t="s">
        <v>111</v>
      </c>
      <c r="P5300" t="str">
        <f>"85340-5317"</f>
        <v>85340-5317</v>
      </c>
      <c r="Q5300" t="s">
        <v>113</v>
      </c>
      <c r="R5300" t="str">
        <f>"508-05-809"</f>
        <v>508-05-809</v>
      </c>
      <c r="S5300" t="s">
        <v>13069</v>
      </c>
      <c r="U5300">
        <v>1864</v>
      </c>
      <c r="V5300">
        <v>0</v>
      </c>
      <c r="W5300">
        <v>3</v>
      </c>
      <c r="X5300">
        <v>2002</v>
      </c>
      <c r="Z5300">
        <v>1</v>
      </c>
      <c r="AB5300">
        <v>0</v>
      </c>
      <c r="AC5300" t="s">
        <v>115</v>
      </c>
      <c r="AD5300">
        <v>2</v>
      </c>
      <c r="AE5300" t="s">
        <v>115</v>
      </c>
      <c r="AF5300">
        <v>0</v>
      </c>
      <c r="AG5300">
        <v>0</v>
      </c>
      <c r="AH5300" t="s">
        <v>116</v>
      </c>
      <c r="AI5300" s="1">
        <v>28867</v>
      </c>
      <c r="AJ5300" s="2">
        <v>0.12</v>
      </c>
      <c r="AK5300" s="1">
        <v>249867</v>
      </c>
      <c r="AL5300" t="s">
        <v>117</v>
      </c>
      <c r="AM5300" t="s">
        <v>191</v>
      </c>
      <c r="AN5300">
        <v>6095</v>
      </c>
      <c r="AO5300">
        <v>0.14000000000000001</v>
      </c>
      <c r="AP5300">
        <v>1</v>
      </c>
      <c r="AR5300">
        <v>1</v>
      </c>
      <c r="AS5300" s="1">
        <v>17200</v>
      </c>
      <c r="AT5300" s="1">
        <v>3440</v>
      </c>
      <c r="AU5300" s="1">
        <v>13760</v>
      </c>
      <c r="AV5300">
        <v>80</v>
      </c>
      <c r="AX5300" s="1">
        <v>1376.74</v>
      </c>
      <c r="AY5300" t="s">
        <v>6580</v>
      </c>
      <c r="AZ5300" t="s">
        <v>3020</v>
      </c>
      <c r="BA5300" t="s">
        <v>3154</v>
      </c>
      <c r="BB5300" s="3">
        <v>41963</v>
      </c>
      <c r="BD5300" t="s">
        <v>240</v>
      </c>
      <c r="BE5300" s="3">
        <v>41928</v>
      </c>
      <c r="BF5300" s="1">
        <v>200000</v>
      </c>
      <c r="BG5300" t="s">
        <v>32739</v>
      </c>
      <c r="BH5300" s="1">
        <v>107.3</v>
      </c>
      <c r="BI5300" s="1">
        <v>221000</v>
      </c>
      <c r="BJ5300" s="3">
        <v>43112</v>
      </c>
      <c r="BK5300" t="s">
        <v>123</v>
      </c>
      <c r="BL5300" t="str">
        <f>"2018.30463"</f>
        <v>2018.30463</v>
      </c>
      <c r="BM5300" t="s">
        <v>23724</v>
      </c>
      <c r="BN5300" t="s">
        <v>1136</v>
      </c>
      <c r="BO5300" t="s">
        <v>32740</v>
      </c>
      <c r="BP5300" t="s">
        <v>32741</v>
      </c>
      <c r="BR5300" t="s">
        <v>139</v>
      </c>
      <c r="BW5300" t="str">
        <f>""</f>
        <v/>
      </c>
      <c r="CH5300" t="str">
        <f>""</f>
        <v/>
      </c>
      <c r="CS5300" t="str">
        <f>""</f>
        <v/>
      </c>
    </row>
    <row r="5301" spans="1:97" x14ac:dyDescent="0.25">
      <c r="B5301" t="s">
        <v>32742</v>
      </c>
      <c r="C5301" t="s">
        <v>2530</v>
      </c>
      <c r="E5301" t="s">
        <v>32743</v>
      </c>
      <c r="F5301" t="s">
        <v>108</v>
      </c>
      <c r="H5301" t="s">
        <v>32744</v>
      </c>
      <c r="I5301" t="s">
        <v>1936</v>
      </c>
      <c r="J5301" t="s">
        <v>111</v>
      </c>
      <c r="K5301" t="str">
        <f>"85254"</f>
        <v>85254</v>
      </c>
      <c r="L5301" t="s">
        <v>2903</v>
      </c>
      <c r="M5301" t="s">
        <v>32744</v>
      </c>
      <c r="N5301" t="s">
        <v>1936</v>
      </c>
      <c r="O5301" t="s">
        <v>111</v>
      </c>
      <c r="P5301" t="str">
        <f>"85254-4371"</f>
        <v>85254-4371</v>
      </c>
      <c r="Q5301" t="s">
        <v>113</v>
      </c>
      <c r="R5301" t="str">
        <f>"167-07-179"</f>
        <v>167-07-179</v>
      </c>
      <c r="S5301" t="s">
        <v>22603</v>
      </c>
      <c r="T5301" t="s">
        <v>22603</v>
      </c>
      <c r="U5301">
        <v>2919</v>
      </c>
      <c r="V5301">
        <v>0</v>
      </c>
      <c r="W5301">
        <v>4</v>
      </c>
      <c r="X5301">
        <v>1978</v>
      </c>
      <c r="Z5301">
        <v>1</v>
      </c>
      <c r="AA5301" t="s">
        <v>26</v>
      </c>
      <c r="AB5301">
        <v>0</v>
      </c>
      <c r="AC5301" t="s">
        <v>115</v>
      </c>
      <c r="AD5301">
        <v>2</v>
      </c>
      <c r="AE5301" t="s">
        <v>115</v>
      </c>
      <c r="AF5301">
        <v>0</v>
      </c>
      <c r="AG5301">
        <v>0</v>
      </c>
      <c r="AH5301" t="s">
        <v>116</v>
      </c>
      <c r="AI5301" s="1">
        <v>10942</v>
      </c>
      <c r="AJ5301" s="2">
        <v>0.02</v>
      </c>
      <c r="AK5301" s="1">
        <v>630742</v>
      </c>
      <c r="AL5301" t="s">
        <v>117</v>
      </c>
      <c r="AM5301" t="s">
        <v>6114</v>
      </c>
      <c r="AN5301">
        <v>14855</v>
      </c>
      <c r="AO5301">
        <v>0.34</v>
      </c>
      <c r="AP5301">
        <v>1</v>
      </c>
      <c r="AR5301">
        <v>1</v>
      </c>
      <c r="AS5301" s="1">
        <v>44030</v>
      </c>
      <c r="AT5301" s="1">
        <v>8800</v>
      </c>
      <c r="AU5301" s="1">
        <v>35230</v>
      </c>
      <c r="AV5301">
        <v>80.010000000000005</v>
      </c>
      <c r="AX5301" s="1">
        <v>4148.24</v>
      </c>
      <c r="AY5301" t="s">
        <v>9010</v>
      </c>
      <c r="AZ5301" t="s">
        <v>7739</v>
      </c>
      <c r="BA5301" t="s">
        <v>6302</v>
      </c>
      <c r="BB5301" s="3">
        <v>43444</v>
      </c>
      <c r="BC5301" s="1">
        <v>0</v>
      </c>
      <c r="BD5301" t="s">
        <v>291</v>
      </c>
      <c r="BE5301" s="3">
        <v>41702</v>
      </c>
      <c r="BF5301" s="1">
        <v>485000</v>
      </c>
      <c r="BG5301" t="s">
        <v>32745</v>
      </c>
      <c r="BH5301" s="1">
        <v>166.15</v>
      </c>
      <c r="BI5301" s="1">
        <v>619800</v>
      </c>
      <c r="BJ5301" s="3">
        <v>43361</v>
      </c>
      <c r="BK5301" t="s">
        <v>123</v>
      </c>
      <c r="BL5301" t="str">
        <f>"2018.700953"</f>
        <v>2018.700953</v>
      </c>
      <c r="BM5301" t="s">
        <v>32746</v>
      </c>
      <c r="BN5301" t="s">
        <v>20847</v>
      </c>
      <c r="BO5301" t="s">
        <v>32747</v>
      </c>
      <c r="BP5301" t="s">
        <v>32748</v>
      </c>
      <c r="BR5301" t="s">
        <v>139</v>
      </c>
      <c r="BW5301" t="str">
        <f>""</f>
        <v/>
      </c>
      <c r="CH5301" t="str">
        <f>""</f>
        <v/>
      </c>
      <c r="CS5301" t="str">
        <f>""</f>
        <v/>
      </c>
    </row>
    <row r="5302" spans="1:97" x14ac:dyDescent="0.25">
      <c r="A5302" t="s">
        <v>4221</v>
      </c>
      <c r="B5302" t="s">
        <v>32749</v>
      </c>
      <c r="E5302" t="s">
        <v>32750</v>
      </c>
      <c r="F5302" t="s">
        <v>108</v>
      </c>
      <c r="H5302" t="s">
        <v>32751</v>
      </c>
      <c r="I5302" t="s">
        <v>9186</v>
      </c>
      <c r="J5302" t="s">
        <v>111</v>
      </c>
      <c r="K5302" t="str">
        <f>"85377"</f>
        <v>85377</v>
      </c>
      <c r="M5302" t="s">
        <v>32751</v>
      </c>
      <c r="N5302" t="s">
        <v>9186</v>
      </c>
      <c r="O5302" t="s">
        <v>111</v>
      </c>
      <c r="P5302" t="str">
        <f>"85377"</f>
        <v>85377</v>
      </c>
      <c r="Q5302" t="s">
        <v>113</v>
      </c>
      <c r="R5302" t="str">
        <f>"219-11-320"</f>
        <v>219-11-320</v>
      </c>
      <c r="S5302" t="s">
        <v>10504</v>
      </c>
      <c r="T5302" t="s">
        <v>10505</v>
      </c>
      <c r="U5302">
        <v>3977</v>
      </c>
      <c r="V5302">
        <v>0</v>
      </c>
      <c r="W5302">
        <v>4</v>
      </c>
      <c r="X5302">
        <v>1981</v>
      </c>
      <c r="Z5302">
        <v>1</v>
      </c>
      <c r="AA5302" t="s">
        <v>26</v>
      </c>
      <c r="AB5302">
        <v>0</v>
      </c>
      <c r="AC5302" t="s">
        <v>115</v>
      </c>
      <c r="AD5302">
        <v>2</v>
      </c>
      <c r="AE5302" t="s">
        <v>115</v>
      </c>
      <c r="AF5302">
        <v>0</v>
      </c>
      <c r="AG5302">
        <v>0</v>
      </c>
      <c r="AH5302" t="s">
        <v>116</v>
      </c>
      <c r="AI5302" s="1">
        <v>231408</v>
      </c>
      <c r="AJ5302" s="2">
        <v>0.26</v>
      </c>
      <c r="AK5302" s="1">
        <v>881408</v>
      </c>
      <c r="AL5302" t="s">
        <v>117</v>
      </c>
      <c r="AM5302" t="s">
        <v>376</v>
      </c>
      <c r="AN5302">
        <v>43637</v>
      </c>
      <c r="AO5302">
        <v>1</v>
      </c>
      <c r="AP5302">
        <v>1</v>
      </c>
      <c r="AR5302">
        <v>1</v>
      </c>
      <c r="AS5302" s="1">
        <v>57160</v>
      </c>
      <c r="AT5302" s="1">
        <v>11430</v>
      </c>
      <c r="AU5302" s="1">
        <v>45730</v>
      </c>
      <c r="AV5302">
        <v>80</v>
      </c>
      <c r="AX5302" s="1">
        <v>2733.62</v>
      </c>
      <c r="AY5302" t="s">
        <v>7359</v>
      </c>
      <c r="AZ5302" t="s">
        <v>1402</v>
      </c>
      <c r="BA5302" t="s">
        <v>1403</v>
      </c>
      <c r="BE5302" s="3">
        <v>41876</v>
      </c>
      <c r="BF5302" s="1">
        <v>745000</v>
      </c>
      <c r="BG5302" t="s">
        <v>32752</v>
      </c>
      <c r="BH5302" s="1">
        <v>187.33</v>
      </c>
      <c r="BI5302" s="1">
        <v>650000</v>
      </c>
      <c r="BJ5302" s="3">
        <v>41876</v>
      </c>
      <c r="BK5302" t="s">
        <v>123</v>
      </c>
      <c r="BL5302" t="str">
        <f>"2014.561308"</f>
        <v>2014.561308</v>
      </c>
      <c r="BM5302" t="s">
        <v>724</v>
      </c>
      <c r="BO5302" t="s">
        <v>32753</v>
      </c>
      <c r="BS5302">
        <v>30</v>
      </c>
      <c r="BW5302" t="str">
        <f>""</f>
        <v/>
      </c>
      <c r="CH5302" t="str">
        <f>""</f>
        <v/>
      </c>
      <c r="CS5302" t="str">
        <f>""</f>
        <v/>
      </c>
    </row>
    <row r="5303" spans="1:97" x14ac:dyDescent="0.25">
      <c r="A5303" t="s">
        <v>32754</v>
      </c>
      <c r="B5303" t="s">
        <v>32755</v>
      </c>
      <c r="C5303" t="s">
        <v>259</v>
      </c>
      <c r="D5303" t="s">
        <v>32755</v>
      </c>
      <c r="E5303" t="s">
        <v>32756</v>
      </c>
      <c r="F5303" t="s">
        <v>108</v>
      </c>
      <c r="H5303" t="s">
        <v>32757</v>
      </c>
      <c r="I5303" t="s">
        <v>110</v>
      </c>
      <c r="J5303" t="s">
        <v>111</v>
      </c>
      <c r="K5303" t="str">
        <f>"85224"</f>
        <v>85224</v>
      </c>
      <c r="L5303" t="s">
        <v>5209</v>
      </c>
      <c r="M5303" t="s">
        <v>32757</v>
      </c>
      <c r="N5303" t="s">
        <v>110</v>
      </c>
      <c r="O5303" t="s">
        <v>111</v>
      </c>
      <c r="P5303" t="str">
        <f>"85224-2729"</f>
        <v>85224-2729</v>
      </c>
      <c r="Q5303" t="s">
        <v>113</v>
      </c>
      <c r="R5303" t="str">
        <f>"302-25-419"</f>
        <v>302-25-419</v>
      </c>
      <c r="S5303" t="s">
        <v>32758</v>
      </c>
      <c r="T5303" t="s">
        <v>12212</v>
      </c>
      <c r="U5303">
        <v>1548</v>
      </c>
      <c r="V5303">
        <v>0</v>
      </c>
      <c r="W5303">
        <v>2</v>
      </c>
      <c r="X5303">
        <v>1979</v>
      </c>
      <c r="Z5303">
        <v>1</v>
      </c>
      <c r="AA5303" t="s">
        <v>26</v>
      </c>
      <c r="AB5303">
        <v>0</v>
      </c>
      <c r="AC5303" t="s">
        <v>115</v>
      </c>
      <c r="AD5303">
        <v>2</v>
      </c>
      <c r="AE5303" t="s">
        <v>115</v>
      </c>
      <c r="AF5303">
        <v>0</v>
      </c>
      <c r="AG5303">
        <v>0</v>
      </c>
      <c r="AH5303" t="s">
        <v>116</v>
      </c>
      <c r="AI5303" s="1">
        <v>35159</v>
      </c>
      <c r="AJ5303" s="2">
        <v>0.12</v>
      </c>
      <c r="AK5303" s="1">
        <v>299090</v>
      </c>
      <c r="AL5303" t="s">
        <v>117</v>
      </c>
      <c r="AM5303" t="s">
        <v>5077</v>
      </c>
      <c r="AN5303">
        <v>7322</v>
      </c>
      <c r="AO5303">
        <v>0.17</v>
      </c>
      <c r="AP5303">
        <v>1</v>
      </c>
      <c r="AR5303">
        <v>1</v>
      </c>
      <c r="AS5303" s="1">
        <v>19620</v>
      </c>
      <c r="AT5303" s="1">
        <v>3920</v>
      </c>
      <c r="AU5303" s="1">
        <v>15700</v>
      </c>
      <c r="AV5303">
        <v>80.02</v>
      </c>
      <c r="AX5303" s="1">
        <v>1324.14</v>
      </c>
      <c r="AY5303" t="s">
        <v>6879</v>
      </c>
      <c r="AZ5303" t="s">
        <v>6879</v>
      </c>
      <c r="BA5303" t="s">
        <v>5311</v>
      </c>
      <c r="BE5303" s="3">
        <v>41778</v>
      </c>
      <c r="BF5303" s="1">
        <v>211500</v>
      </c>
      <c r="BG5303" t="s">
        <v>24778</v>
      </c>
      <c r="BH5303" s="1">
        <v>136.63</v>
      </c>
      <c r="BI5303" s="1">
        <v>263931</v>
      </c>
      <c r="BJ5303" s="3">
        <v>43385</v>
      </c>
      <c r="BK5303" t="s">
        <v>123</v>
      </c>
      <c r="BL5303" t="str">
        <f>"2018.767659"</f>
        <v>2018.767659</v>
      </c>
      <c r="BM5303" t="s">
        <v>5534</v>
      </c>
      <c r="BN5303" t="s">
        <v>6390</v>
      </c>
      <c r="BO5303" t="s">
        <v>32759</v>
      </c>
      <c r="BP5303" t="s">
        <v>32760</v>
      </c>
      <c r="BR5303" t="s">
        <v>139</v>
      </c>
      <c r="BW5303" t="str">
        <f>""</f>
        <v/>
      </c>
      <c r="CH5303" t="str">
        <f>""</f>
        <v/>
      </c>
      <c r="CS5303" t="str">
        <f>""</f>
        <v/>
      </c>
    </row>
    <row r="5304" spans="1:97" x14ac:dyDescent="0.25">
      <c r="A5304" t="s">
        <v>15865</v>
      </c>
      <c r="B5304" t="s">
        <v>4718</v>
      </c>
      <c r="C5304" t="s">
        <v>32761</v>
      </c>
      <c r="D5304" t="s">
        <v>32762</v>
      </c>
      <c r="E5304" t="s">
        <v>32763</v>
      </c>
      <c r="F5304" t="s">
        <v>108</v>
      </c>
      <c r="H5304" t="s">
        <v>32764</v>
      </c>
      <c r="I5304" t="s">
        <v>632</v>
      </c>
      <c r="J5304" t="s">
        <v>111</v>
      </c>
      <c r="K5304" t="str">
        <f>"85379"</f>
        <v>85379</v>
      </c>
      <c r="L5304" t="s">
        <v>6416</v>
      </c>
      <c r="M5304" t="s">
        <v>32764</v>
      </c>
      <c r="N5304" t="s">
        <v>632</v>
      </c>
      <c r="O5304" t="s">
        <v>111</v>
      </c>
      <c r="P5304" t="str">
        <f>"85379-9159"</f>
        <v>85379-9159</v>
      </c>
      <c r="Q5304" t="s">
        <v>113</v>
      </c>
      <c r="R5304" t="str">
        <f>"509-18-283"</f>
        <v>509-18-283</v>
      </c>
      <c r="S5304" t="s">
        <v>11191</v>
      </c>
      <c r="U5304">
        <v>3529</v>
      </c>
      <c r="V5304">
        <v>0</v>
      </c>
      <c r="W5304">
        <v>4</v>
      </c>
      <c r="X5304">
        <v>2005</v>
      </c>
      <c r="Z5304">
        <v>2</v>
      </c>
      <c r="AB5304">
        <v>0</v>
      </c>
      <c r="AC5304" t="s">
        <v>115</v>
      </c>
      <c r="AD5304">
        <v>3</v>
      </c>
      <c r="AE5304" t="s">
        <v>115</v>
      </c>
      <c r="AF5304">
        <v>0</v>
      </c>
      <c r="AG5304">
        <v>0</v>
      </c>
      <c r="AH5304" t="s">
        <v>116</v>
      </c>
      <c r="AI5304" s="1">
        <v>93908</v>
      </c>
      <c r="AJ5304" s="2">
        <v>0.26</v>
      </c>
      <c r="AK5304" s="1">
        <v>366696</v>
      </c>
      <c r="AL5304" t="s">
        <v>117</v>
      </c>
      <c r="AM5304" t="s">
        <v>118</v>
      </c>
      <c r="AN5304">
        <v>6960</v>
      </c>
      <c r="AO5304">
        <v>0.16</v>
      </c>
      <c r="AR5304">
        <v>1</v>
      </c>
      <c r="AS5304" s="1">
        <v>26220</v>
      </c>
      <c r="AT5304" s="1">
        <v>5240</v>
      </c>
      <c r="AU5304" s="1">
        <v>20980</v>
      </c>
      <c r="AV5304">
        <v>80.02</v>
      </c>
      <c r="AX5304" s="1">
        <v>3093.26</v>
      </c>
      <c r="AY5304" t="s">
        <v>634</v>
      </c>
      <c r="AZ5304" t="s">
        <v>634</v>
      </c>
      <c r="BA5304" t="s">
        <v>635</v>
      </c>
      <c r="BB5304" s="3">
        <v>42831</v>
      </c>
      <c r="BD5304" t="s">
        <v>240</v>
      </c>
      <c r="BE5304" s="3">
        <v>41703</v>
      </c>
      <c r="BF5304" s="1">
        <v>279900</v>
      </c>
      <c r="BG5304" t="s">
        <v>32765</v>
      </c>
      <c r="BH5304" s="1">
        <v>79.31</v>
      </c>
      <c r="BI5304" s="1">
        <v>272788</v>
      </c>
      <c r="BJ5304" s="3">
        <v>42831</v>
      </c>
      <c r="BK5304" t="s">
        <v>123</v>
      </c>
      <c r="BL5304" t="str">
        <f>"2017.244033"</f>
        <v>2017.244033</v>
      </c>
      <c r="BM5304" t="s">
        <v>544</v>
      </c>
      <c r="BO5304" t="s">
        <v>32766</v>
      </c>
      <c r="BP5304" t="s">
        <v>32767</v>
      </c>
      <c r="BS5304">
        <v>30</v>
      </c>
      <c r="BW5304" t="str">
        <f>""</f>
        <v/>
      </c>
      <c r="CH5304" t="str">
        <f>""</f>
        <v/>
      </c>
      <c r="CS5304" t="str">
        <f>""</f>
        <v/>
      </c>
    </row>
    <row r="5305" spans="1:97" x14ac:dyDescent="0.25">
      <c r="A5305" t="s">
        <v>265</v>
      </c>
      <c r="B5305" t="s">
        <v>1720</v>
      </c>
      <c r="C5305" t="s">
        <v>328</v>
      </c>
      <c r="D5305" t="s">
        <v>1720</v>
      </c>
      <c r="E5305" t="s">
        <v>32768</v>
      </c>
      <c r="F5305" t="s">
        <v>108</v>
      </c>
      <c r="H5305" t="s">
        <v>32769</v>
      </c>
      <c r="I5305" t="s">
        <v>110</v>
      </c>
      <c r="J5305" t="s">
        <v>111</v>
      </c>
      <c r="K5305" t="str">
        <f>"85249"</f>
        <v>85249</v>
      </c>
      <c r="L5305" t="s">
        <v>567</v>
      </c>
      <c r="M5305" t="s">
        <v>32769</v>
      </c>
      <c r="N5305" t="s">
        <v>110</v>
      </c>
      <c r="O5305" t="s">
        <v>111</v>
      </c>
      <c r="P5305" t="str">
        <f>"85249-7348"</f>
        <v>85249-7348</v>
      </c>
      <c r="Q5305" t="s">
        <v>113</v>
      </c>
      <c r="R5305" t="str">
        <f>"313-09-783"</f>
        <v>313-09-783</v>
      </c>
      <c r="S5305" t="s">
        <v>24948</v>
      </c>
      <c r="U5305">
        <v>3204</v>
      </c>
      <c r="V5305">
        <v>0</v>
      </c>
      <c r="W5305">
        <v>4</v>
      </c>
      <c r="X5305">
        <v>2005</v>
      </c>
      <c r="Z5305">
        <v>2</v>
      </c>
      <c r="AA5305" t="s">
        <v>26</v>
      </c>
      <c r="AB5305">
        <v>0</v>
      </c>
      <c r="AC5305" t="s">
        <v>115</v>
      </c>
      <c r="AD5305">
        <v>2</v>
      </c>
      <c r="AE5305" t="s">
        <v>115</v>
      </c>
      <c r="AF5305">
        <v>0</v>
      </c>
      <c r="AG5305">
        <v>0</v>
      </c>
      <c r="AH5305" t="s">
        <v>116</v>
      </c>
      <c r="AI5305" s="1">
        <v>66503</v>
      </c>
      <c r="AJ5305" s="2">
        <v>0.16</v>
      </c>
      <c r="AK5305" s="1">
        <v>404003</v>
      </c>
      <c r="AL5305" t="s">
        <v>117</v>
      </c>
      <c r="AM5305" t="s">
        <v>118</v>
      </c>
      <c r="AN5305">
        <v>8050</v>
      </c>
      <c r="AO5305">
        <v>0.18</v>
      </c>
      <c r="AR5305">
        <v>1</v>
      </c>
      <c r="AS5305" s="1">
        <v>28820</v>
      </c>
      <c r="AT5305" s="1">
        <v>5760</v>
      </c>
      <c r="AU5305" s="1">
        <v>23060</v>
      </c>
      <c r="AV5305">
        <v>80.010000000000005</v>
      </c>
      <c r="AX5305" s="1">
        <v>2378.3000000000002</v>
      </c>
      <c r="AY5305" t="s">
        <v>6269</v>
      </c>
      <c r="AZ5305" t="s">
        <v>273</v>
      </c>
      <c r="BA5305" t="s">
        <v>274</v>
      </c>
      <c r="BE5305" s="3">
        <v>42522</v>
      </c>
      <c r="BF5305" s="1">
        <v>337500</v>
      </c>
      <c r="BG5305" t="s">
        <v>32770</v>
      </c>
      <c r="BH5305" s="1">
        <v>105.34</v>
      </c>
      <c r="BI5305" s="1">
        <v>337500</v>
      </c>
      <c r="BJ5305" s="3">
        <v>42522</v>
      </c>
      <c r="BK5305" t="s">
        <v>123</v>
      </c>
      <c r="BL5305" t="str">
        <f>"2016.380353"</f>
        <v>2016.380353</v>
      </c>
      <c r="BM5305" t="s">
        <v>2368</v>
      </c>
      <c r="BO5305" t="s">
        <v>32771</v>
      </c>
      <c r="BS5305">
        <v>30</v>
      </c>
      <c r="BW5305" t="str">
        <f>""</f>
        <v/>
      </c>
      <c r="CH5305" t="str">
        <f>""</f>
        <v/>
      </c>
      <c r="CS5305" t="str">
        <f>""</f>
        <v/>
      </c>
    </row>
    <row r="5306" spans="1:97" x14ac:dyDescent="0.25">
      <c r="A5306" t="s">
        <v>8735</v>
      </c>
      <c r="B5306" t="s">
        <v>19228</v>
      </c>
      <c r="E5306" t="s">
        <v>32772</v>
      </c>
      <c r="F5306" t="s">
        <v>108</v>
      </c>
      <c r="H5306" t="s">
        <v>32773</v>
      </c>
      <c r="I5306" t="s">
        <v>453</v>
      </c>
      <c r="J5306" t="s">
        <v>111</v>
      </c>
      <c r="K5306" t="str">
        <f>"85383"</f>
        <v>85383</v>
      </c>
      <c r="L5306" t="s">
        <v>3161</v>
      </c>
      <c r="M5306" t="s">
        <v>32773</v>
      </c>
      <c r="N5306" t="s">
        <v>453</v>
      </c>
      <c r="O5306" t="s">
        <v>111</v>
      </c>
      <c r="P5306" t="str">
        <f>"85383-7279"</f>
        <v>85383-7279</v>
      </c>
      <c r="Q5306" t="s">
        <v>113</v>
      </c>
      <c r="R5306" t="str">
        <f>"510-04-532"</f>
        <v>510-04-532</v>
      </c>
      <c r="S5306" t="s">
        <v>8376</v>
      </c>
      <c r="T5306" t="s">
        <v>8377</v>
      </c>
      <c r="U5306">
        <v>1982</v>
      </c>
      <c r="V5306">
        <v>0</v>
      </c>
      <c r="W5306">
        <v>3</v>
      </c>
      <c r="X5306">
        <v>2015</v>
      </c>
      <c r="Z5306">
        <v>2</v>
      </c>
      <c r="AB5306">
        <v>0</v>
      </c>
      <c r="AC5306" t="s">
        <v>115</v>
      </c>
      <c r="AD5306">
        <v>2</v>
      </c>
      <c r="AE5306" t="s">
        <v>115</v>
      </c>
      <c r="AF5306">
        <v>0</v>
      </c>
      <c r="AG5306">
        <v>0</v>
      </c>
      <c r="AH5306" t="s">
        <v>116</v>
      </c>
      <c r="AI5306" s="1">
        <v>70597</v>
      </c>
      <c r="AJ5306" s="2">
        <v>0.25</v>
      </c>
      <c r="AK5306" s="1">
        <v>287993</v>
      </c>
      <c r="AL5306" t="s">
        <v>117</v>
      </c>
      <c r="AM5306" t="s">
        <v>118</v>
      </c>
      <c r="AN5306">
        <v>3000</v>
      </c>
      <c r="AO5306">
        <v>0.69</v>
      </c>
      <c r="AR5306">
        <v>1</v>
      </c>
      <c r="AS5306" s="1">
        <v>19760</v>
      </c>
      <c r="AT5306" s="1">
        <v>3950</v>
      </c>
      <c r="AU5306" s="1">
        <v>15810</v>
      </c>
      <c r="AV5306">
        <v>80.010000000000005</v>
      </c>
      <c r="AX5306" s="1">
        <v>1858.46</v>
      </c>
      <c r="AY5306" t="s">
        <v>627</v>
      </c>
      <c r="AZ5306" t="s">
        <v>627</v>
      </c>
      <c r="BA5306" t="s">
        <v>457</v>
      </c>
      <c r="BE5306" s="3">
        <v>42398</v>
      </c>
      <c r="BF5306" s="1">
        <v>213226</v>
      </c>
      <c r="BG5306" t="s">
        <v>1079</v>
      </c>
      <c r="BH5306" s="1">
        <v>107.58</v>
      </c>
      <c r="BI5306" s="1">
        <v>217396</v>
      </c>
      <c r="BJ5306" s="3">
        <v>42653</v>
      </c>
      <c r="BK5306" t="s">
        <v>123</v>
      </c>
      <c r="BL5306" t="str">
        <f>"2016.740689"</f>
        <v>2016.740689</v>
      </c>
      <c r="BM5306" t="s">
        <v>20490</v>
      </c>
      <c r="BO5306" t="s">
        <v>32774</v>
      </c>
      <c r="BS5306">
        <v>30</v>
      </c>
      <c r="BW5306" t="str">
        <f>""</f>
        <v/>
      </c>
      <c r="CH5306" t="str">
        <f>""</f>
        <v/>
      </c>
      <c r="CS5306" t="str">
        <f>""</f>
        <v/>
      </c>
    </row>
    <row r="5307" spans="1:97" x14ac:dyDescent="0.25">
      <c r="A5307" t="s">
        <v>1187</v>
      </c>
      <c r="B5307" t="s">
        <v>565</v>
      </c>
      <c r="C5307" t="s">
        <v>3085</v>
      </c>
      <c r="D5307" t="s">
        <v>565</v>
      </c>
      <c r="E5307" t="s">
        <v>32775</v>
      </c>
      <c r="F5307" t="s">
        <v>108</v>
      </c>
      <c r="H5307" t="s">
        <v>32776</v>
      </c>
      <c r="I5307" t="s">
        <v>144</v>
      </c>
      <c r="J5307" t="s">
        <v>111</v>
      </c>
      <c r="K5307" t="str">
        <f>"85396"</f>
        <v>85396</v>
      </c>
      <c r="L5307" t="s">
        <v>11339</v>
      </c>
      <c r="M5307" t="s">
        <v>32776</v>
      </c>
      <c r="N5307" t="s">
        <v>144</v>
      </c>
      <c r="O5307" t="s">
        <v>111</v>
      </c>
      <c r="P5307" t="str">
        <f>"85396-7215"</f>
        <v>85396-7215</v>
      </c>
      <c r="Q5307" t="s">
        <v>113</v>
      </c>
      <c r="R5307" t="str">
        <f>"503-85-153"</f>
        <v>503-85-153</v>
      </c>
      <c r="S5307" t="s">
        <v>11340</v>
      </c>
      <c r="U5307">
        <v>1995</v>
      </c>
      <c r="V5307">
        <v>0</v>
      </c>
      <c r="W5307">
        <v>3</v>
      </c>
      <c r="X5307">
        <v>2016</v>
      </c>
      <c r="Z5307">
        <v>1</v>
      </c>
      <c r="AB5307">
        <v>0</v>
      </c>
      <c r="AC5307" t="s">
        <v>115</v>
      </c>
      <c r="AD5307">
        <v>2</v>
      </c>
      <c r="AE5307" t="s">
        <v>115</v>
      </c>
      <c r="AF5307">
        <v>0</v>
      </c>
      <c r="AG5307">
        <v>0</v>
      </c>
      <c r="AH5307" t="s">
        <v>116</v>
      </c>
      <c r="AI5307" s="1">
        <v>74169</v>
      </c>
      <c r="AJ5307" s="2">
        <v>0.25</v>
      </c>
      <c r="AK5307" s="1">
        <v>291169</v>
      </c>
      <c r="AL5307" t="s">
        <v>117</v>
      </c>
      <c r="AM5307" t="s">
        <v>118</v>
      </c>
      <c r="AN5307">
        <v>6785</v>
      </c>
      <c r="AO5307">
        <v>0.16</v>
      </c>
      <c r="AR5307">
        <v>1</v>
      </c>
      <c r="AS5307" s="1">
        <v>18870</v>
      </c>
      <c r="AT5307" s="1">
        <v>3770</v>
      </c>
      <c r="AU5307" s="1">
        <v>15100</v>
      </c>
      <c r="AV5307">
        <v>80.02</v>
      </c>
      <c r="AX5307" s="1">
        <v>1855.48</v>
      </c>
      <c r="AY5307" t="s">
        <v>444</v>
      </c>
      <c r="AZ5307" t="s">
        <v>444</v>
      </c>
      <c r="BA5307" t="s">
        <v>445</v>
      </c>
      <c r="BB5307" s="3">
        <v>42591</v>
      </c>
      <c r="BD5307" t="s">
        <v>842</v>
      </c>
      <c r="BE5307" s="3">
        <v>42549</v>
      </c>
      <c r="BF5307" s="1">
        <v>217000</v>
      </c>
      <c r="BG5307" t="s">
        <v>446</v>
      </c>
      <c r="BH5307" s="1">
        <v>108.77</v>
      </c>
      <c r="BI5307" s="1">
        <v>217000</v>
      </c>
      <c r="BJ5307" s="3">
        <v>42549</v>
      </c>
      <c r="BK5307" t="s">
        <v>123</v>
      </c>
      <c r="BL5307" t="str">
        <f>"2016.452390"</f>
        <v>2016.452390</v>
      </c>
      <c r="BM5307" t="s">
        <v>573</v>
      </c>
      <c r="BO5307" t="s">
        <v>32777</v>
      </c>
      <c r="BS5307">
        <v>30</v>
      </c>
      <c r="BW5307" t="str">
        <f>""</f>
        <v/>
      </c>
      <c r="CH5307" t="str">
        <f>""</f>
        <v/>
      </c>
      <c r="CS5307" t="str">
        <f>""</f>
        <v/>
      </c>
    </row>
    <row r="5308" spans="1:97" x14ac:dyDescent="0.25">
      <c r="A5308" t="s">
        <v>265</v>
      </c>
      <c r="B5308" t="s">
        <v>32778</v>
      </c>
      <c r="C5308" t="s">
        <v>13809</v>
      </c>
      <c r="D5308" t="s">
        <v>32778</v>
      </c>
      <c r="E5308" t="s">
        <v>32779</v>
      </c>
      <c r="F5308" t="s">
        <v>108</v>
      </c>
      <c r="H5308" t="s">
        <v>32780</v>
      </c>
      <c r="I5308" t="s">
        <v>225</v>
      </c>
      <c r="J5308" t="s">
        <v>111</v>
      </c>
      <c r="K5308" t="str">
        <f>"85212"</f>
        <v>85212</v>
      </c>
      <c r="L5308" t="s">
        <v>567</v>
      </c>
      <c r="M5308" t="s">
        <v>32780</v>
      </c>
      <c r="N5308" t="s">
        <v>225</v>
      </c>
      <c r="O5308" t="s">
        <v>111</v>
      </c>
      <c r="P5308" t="str">
        <f>"85212-1543"</f>
        <v>85212-1543</v>
      </c>
      <c r="Q5308" t="s">
        <v>113</v>
      </c>
      <c r="R5308" t="str">
        <f>"304-04-757"</f>
        <v>304-04-757</v>
      </c>
      <c r="S5308" t="s">
        <v>27045</v>
      </c>
      <c r="U5308">
        <v>2297</v>
      </c>
      <c r="V5308">
        <v>0</v>
      </c>
      <c r="W5308">
        <v>4</v>
      </c>
      <c r="X5308">
        <v>1997</v>
      </c>
      <c r="Z5308">
        <v>2</v>
      </c>
      <c r="AA5308" t="s">
        <v>26</v>
      </c>
      <c r="AB5308">
        <v>0</v>
      </c>
      <c r="AC5308" t="s">
        <v>115</v>
      </c>
      <c r="AD5308">
        <v>3</v>
      </c>
      <c r="AE5308" t="s">
        <v>115</v>
      </c>
      <c r="AF5308">
        <v>0</v>
      </c>
      <c r="AG5308">
        <v>0</v>
      </c>
      <c r="AH5308" t="s">
        <v>116</v>
      </c>
      <c r="AI5308" s="1">
        <v>96153</v>
      </c>
      <c r="AJ5308" s="2">
        <v>0.27</v>
      </c>
      <c r="AK5308" s="1">
        <v>356533</v>
      </c>
      <c r="AL5308" t="s">
        <v>117</v>
      </c>
      <c r="AM5308" t="s">
        <v>393</v>
      </c>
      <c r="AN5308">
        <v>10088</v>
      </c>
      <c r="AO5308">
        <v>0.23</v>
      </c>
      <c r="AP5308">
        <v>1</v>
      </c>
      <c r="AR5308">
        <v>1</v>
      </c>
      <c r="AS5308" s="1">
        <v>24800</v>
      </c>
      <c r="AT5308" s="1">
        <v>4960</v>
      </c>
      <c r="AU5308" s="1">
        <v>19840</v>
      </c>
      <c r="AV5308">
        <v>80</v>
      </c>
      <c r="AX5308" s="1">
        <v>1688.88</v>
      </c>
      <c r="AY5308" t="s">
        <v>570</v>
      </c>
      <c r="AZ5308" t="s">
        <v>777</v>
      </c>
      <c r="BA5308" t="s">
        <v>572</v>
      </c>
      <c r="BE5308" s="3">
        <v>41793</v>
      </c>
      <c r="BF5308" s="1">
        <v>254900</v>
      </c>
      <c r="BG5308" t="s">
        <v>16011</v>
      </c>
      <c r="BH5308" s="1">
        <v>110.97</v>
      </c>
      <c r="BI5308" s="1">
        <v>260380</v>
      </c>
      <c r="BJ5308" s="3">
        <v>41793</v>
      </c>
      <c r="BK5308" t="s">
        <v>123</v>
      </c>
      <c r="BL5308" t="str">
        <f>"2014.361307"</f>
        <v>2014.361307</v>
      </c>
      <c r="BM5308" t="s">
        <v>131</v>
      </c>
      <c r="BO5308" t="s">
        <v>32781</v>
      </c>
      <c r="BS5308">
        <v>30</v>
      </c>
      <c r="BW5308" t="str">
        <f>""</f>
        <v/>
      </c>
      <c r="CH5308" t="str">
        <f>""</f>
        <v/>
      </c>
      <c r="CS5308" t="str">
        <f>""</f>
        <v/>
      </c>
    </row>
    <row r="5309" spans="1:97" x14ac:dyDescent="0.25">
      <c r="A5309" t="s">
        <v>32782</v>
      </c>
      <c r="B5309" t="s">
        <v>32783</v>
      </c>
      <c r="C5309" t="s">
        <v>259</v>
      </c>
      <c r="D5309" t="s">
        <v>32783</v>
      </c>
      <c r="E5309" t="s">
        <v>32784</v>
      </c>
      <c r="F5309" t="s">
        <v>108</v>
      </c>
      <c r="H5309" t="s">
        <v>32785</v>
      </c>
      <c r="I5309" t="s">
        <v>2874</v>
      </c>
      <c r="J5309" t="s">
        <v>111</v>
      </c>
      <c r="K5309" t="str">
        <f>"85308"</f>
        <v>85308</v>
      </c>
      <c r="L5309" t="s">
        <v>3982</v>
      </c>
      <c r="M5309" t="s">
        <v>32785</v>
      </c>
      <c r="N5309" t="s">
        <v>2874</v>
      </c>
      <c r="O5309" t="s">
        <v>111</v>
      </c>
      <c r="P5309" t="str">
        <f>"85308-1108"</f>
        <v>85308-1108</v>
      </c>
      <c r="Q5309" t="s">
        <v>113</v>
      </c>
      <c r="R5309" t="str">
        <f>"200-47-025"</f>
        <v>200-47-025</v>
      </c>
      <c r="S5309" t="s">
        <v>32786</v>
      </c>
      <c r="U5309">
        <v>2927</v>
      </c>
      <c r="V5309">
        <v>0</v>
      </c>
      <c r="W5309">
        <v>4</v>
      </c>
      <c r="X5309">
        <v>1979</v>
      </c>
      <c r="Z5309">
        <v>1</v>
      </c>
      <c r="AA5309" t="s">
        <v>26</v>
      </c>
      <c r="AB5309">
        <v>0</v>
      </c>
      <c r="AC5309" t="s">
        <v>115</v>
      </c>
      <c r="AD5309">
        <v>5</v>
      </c>
      <c r="AE5309" t="s">
        <v>115</v>
      </c>
      <c r="AF5309">
        <v>0</v>
      </c>
      <c r="AG5309">
        <v>0</v>
      </c>
      <c r="AH5309" t="s">
        <v>116</v>
      </c>
      <c r="AI5309" s="1">
        <v>330783</v>
      </c>
      <c r="AJ5309" s="2">
        <v>0.6</v>
      </c>
      <c r="AK5309" s="1">
        <v>555283</v>
      </c>
      <c r="AL5309" t="s">
        <v>117</v>
      </c>
      <c r="AM5309" t="s">
        <v>191</v>
      </c>
      <c r="AN5309">
        <v>36499</v>
      </c>
      <c r="AO5309">
        <v>0.84</v>
      </c>
      <c r="AP5309">
        <v>1</v>
      </c>
      <c r="AR5309">
        <v>1</v>
      </c>
      <c r="AS5309" s="1">
        <v>42020</v>
      </c>
      <c r="AT5309" s="1">
        <v>8400</v>
      </c>
      <c r="AU5309" s="1">
        <v>33620</v>
      </c>
      <c r="AV5309">
        <v>80.010000000000005</v>
      </c>
      <c r="AX5309" s="1">
        <v>3514.4</v>
      </c>
      <c r="AY5309" t="s">
        <v>7283</v>
      </c>
      <c r="AZ5309" t="s">
        <v>7283</v>
      </c>
      <c r="BA5309" t="s">
        <v>5143</v>
      </c>
      <c r="BB5309" s="3">
        <v>42072</v>
      </c>
      <c r="BD5309" t="s">
        <v>240</v>
      </c>
      <c r="BE5309" s="3">
        <v>41908</v>
      </c>
      <c r="BF5309" s="1">
        <v>330000</v>
      </c>
      <c r="BG5309" t="s">
        <v>31543</v>
      </c>
      <c r="BH5309" s="1">
        <v>112.74</v>
      </c>
      <c r="BI5309" s="1">
        <v>224500</v>
      </c>
      <c r="BJ5309" s="3">
        <v>42072</v>
      </c>
      <c r="BK5309" t="s">
        <v>123</v>
      </c>
      <c r="BL5309" t="str">
        <f>"2015.156230"</f>
        <v>2015.156230</v>
      </c>
      <c r="BM5309" t="s">
        <v>475</v>
      </c>
      <c r="BO5309" t="s">
        <v>32787</v>
      </c>
      <c r="BS5309">
        <v>30</v>
      </c>
      <c r="BW5309" t="str">
        <f>""</f>
        <v/>
      </c>
      <c r="CH5309" t="str">
        <f>""</f>
        <v/>
      </c>
      <c r="CS5309" t="str">
        <f>""</f>
        <v/>
      </c>
    </row>
    <row r="5310" spans="1:97" x14ac:dyDescent="0.25">
      <c r="A5310" t="s">
        <v>670</v>
      </c>
      <c r="B5310" t="s">
        <v>32788</v>
      </c>
      <c r="C5310" t="s">
        <v>9430</v>
      </c>
      <c r="D5310" t="s">
        <v>32788</v>
      </c>
      <c r="E5310" t="s">
        <v>32789</v>
      </c>
      <c r="F5310" t="s">
        <v>108</v>
      </c>
      <c r="H5310" t="s">
        <v>32790</v>
      </c>
      <c r="I5310" t="s">
        <v>1397</v>
      </c>
      <c r="J5310" t="s">
        <v>111</v>
      </c>
      <c r="K5310" t="str">
        <f>"85331"</f>
        <v>85331</v>
      </c>
      <c r="L5310" t="s">
        <v>10399</v>
      </c>
      <c r="M5310" t="s">
        <v>32790</v>
      </c>
      <c r="N5310" t="s">
        <v>1397</v>
      </c>
      <c r="O5310" t="s">
        <v>111</v>
      </c>
      <c r="P5310" t="str">
        <f>"85331-5971"</f>
        <v>85331-5971</v>
      </c>
      <c r="Q5310" t="s">
        <v>113</v>
      </c>
      <c r="R5310" t="str">
        <f>"211-63-144"</f>
        <v>211-63-144</v>
      </c>
      <c r="S5310" t="s">
        <v>32791</v>
      </c>
      <c r="T5310" t="s">
        <v>10400</v>
      </c>
      <c r="U5310">
        <v>2262</v>
      </c>
      <c r="V5310">
        <v>0</v>
      </c>
      <c r="W5310">
        <v>3</v>
      </c>
      <c r="X5310">
        <v>1994</v>
      </c>
      <c r="Z5310">
        <v>1</v>
      </c>
      <c r="AA5310" t="s">
        <v>26</v>
      </c>
      <c r="AB5310">
        <v>0</v>
      </c>
      <c r="AC5310" t="s">
        <v>115</v>
      </c>
      <c r="AD5310">
        <v>3</v>
      </c>
      <c r="AE5310" t="s">
        <v>115</v>
      </c>
      <c r="AF5310">
        <v>0</v>
      </c>
      <c r="AG5310">
        <v>0</v>
      </c>
      <c r="AH5310" t="s">
        <v>116</v>
      </c>
      <c r="AI5310" s="1">
        <v>68888</v>
      </c>
      <c r="AJ5310" s="2">
        <v>0.14000000000000001</v>
      </c>
      <c r="AK5310" s="1">
        <v>502800</v>
      </c>
      <c r="AL5310" t="s">
        <v>117</v>
      </c>
      <c r="AM5310" t="s">
        <v>1302</v>
      </c>
      <c r="AN5310">
        <v>9055</v>
      </c>
      <c r="AO5310">
        <v>0.21</v>
      </c>
      <c r="AP5310">
        <v>1</v>
      </c>
      <c r="AR5310">
        <v>1</v>
      </c>
      <c r="AS5310" s="1">
        <v>34800</v>
      </c>
      <c r="AT5310" s="1">
        <v>6960</v>
      </c>
      <c r="AU5310" s="1">
        <v>27840</v>
      </c>
      <c r="AV5310">
        <v>80</v>
      </c>
      <c r="AX5310" s="1">
        <v>2218.92</v>
      </c>
      <c r="AY5310" t="s">
        <v>7763</v>
      </c>
      <c r="AZ5310" t="s">
        <v>1402</v>
      </c>
      <c r="BA5310" t="s">
        <v>1403</v>
      </c>
      <c r="BE5310" s="3">
        <v>42517</v>
      </c>
      <c r="BF5310" s="1">
        <v>450000</v>
      </c>
      <c r="BG5310" t="s">
        <v>32792</v>
      </c>
      <c r="BH5310" s="1">
        <v>198.94</v>
      </c>
      <c r="BI5310" s="1">
        <v>433912</v>
      </c>
      <c r="BJ5310" s="3">
        <v>42517</v>
      </c>
      <c r="BK5310" t="s">
        <v>123</v>
      </c>
      <c r="BL5310" t="str">
        <f>"2016.367377"</f>
        <v>2016.367377</v>
      </c>
      <c r="BM5310" t="s">
        <v>3810</v>
      </c>
      <c r="BO5310" t="s">
        <v>32793</v>
      </c>
      <c r="BS5310">
        <v>30</v>
      </c>
      <c r="BW5310" t="str">
        <f>""</f>
        <v/>
      </c>
      <c r="CH5310" t="str">
        <f>""</f>
        <v/>
      </c>
      <c r="CS5310" t="str">
        <f>""</f>
        <v/>
      </c>
    </row>
    <row r="5311" spans="1:97" x14ac:dyDescent="0.25">
      <c r="A5311" t="s">
        <v>1187</v>
      </c>
      <c r="B5311" t="s">
        <v>32794</v>
      </c>
      <c r="E5311" t="s">
        <v>32795</v>
      </c>
      <c r="F5311" t="s">
        <v>108</v>
      </c>
      <c r="H5311" t="s">
        <v>32796</v>
      </c>
      <c r="I5311" t="s">
        <v>1936</v>
      </c>
      <c r="J5311" t="s">
        <v>111</v>
      </c>
      <c r="K5311" t="str">
        <f>"85255"</f>
        <v>85255</v>
      </c>
      <c r="L5311" t="s">
        <v>567</v>
      </c>
      <c r="M5311" t="s">
        <v>32796</v>
      </c>
      <c r="N5311" t="s">
        <v>1936</v>
      </c>
      <c r="O5311" t="s">
        <v>111</v>
      </c>
      <c r="P5311" t="str">
        <f>"85255-6211"</f>
        <v>85255-6211</v>
      </c>
      <c r="Q5311" t="s">
        <v>113</v>
      </c>
      <c r="R5311" t="str">
        <f>"217-71-461"</f>
        <v>217-71-461</v>
      </c>
      <c r="S5311" t="s">
        <v>32797</v>
      </c>
      <c r="T5311" t="s">
        <v>32798</v>
      </c>
      <c r="U5311">
        <v>2509</v>
      </c>
      <c r="V5311">
        <v>0</v>
      </c>
      <c r="W5311">
        <v>4</v>
      </c>
      <c r="X5311">
        <v>2006</v>
      </c>
      <c r="Z5311">
        <v>2</v>
      </c>
      <c r="AA5311" t="s">
        <v>26</v>
      </c>
      <c r="AB5311">
        <v>0</v>
      </c>
      <c r="AC5311" t="s">
        <v>115</v>
      </c>
      <c r="AD5311">
        <v>4</v>
      </c>
      <c r="AE5311" t="s">
        <v>115</v>
      </c>
      <c r="AF5311">
        <v>0</v>
      </c>
      <c r="AG5311">
        <v>0</v>
      </c>
      <c r="AH5311" t="s">
        <v>116</v>
      </c>
      <c r="AI5311" s="1">
        <v>132107</v>
      </c>
      <c r="AJ5311" s="2">
        <v>0.18</v>
      </c>
      <c r="AK5311" s="1">
        <v>717032</v>
      </c>
      <c r="AL5311" t="s">
        <v>117</v>
      </c>
      <c r="AM5311" t="s">
        <v>393</v>
      </c>
      <c r="AN5311">
        <v>7967</v>
      </c>
      <c r="AO5311">
        <v>0.18</v>
      </c>
      <c r="AR5311">
        <v>1</v>
      </c>
      <c r="AS5311" s="1">
        <v>54930</v>
      </c>
      <c r="AT5311" s="1">
        <v>10980</v>
      </c>
      <c r="AU5311" s="1">
        <v>43950</v>
      </c>
      <c r="AV5311">
        <v>80.010000000000005</v>
      </c>
      <c r="AX5311" s="1">
        <v>4164.82</v>
      </c>
      <c r="AY5311" t="s">
        <v>7867</v>
      </c>
      <c r="AZ5311" t="s">
        <v>7867</v>
      </c>
      <c r="BA5311" t="s">
        <v>7868</v>
      </c>
      <c r="BE5311" s="3">
        <v>42450</v>
      </c>
      <c r="BF5311" s="1">
        <v>629374</v>
      </c>
      <c r="BG5311" t="s">
        <v>32799</v>
      </c>
      <c r="BH5311" s="1">
        <v>250.85</v>
      </c>
      <c r="BI5311" s="1">
        <v>584925</v>
      </c>
      <c r="BJ5311" s="3">
        <v>42450</v>
      </c>
      <c r="BK5311" t="s">
        <v>123</v>
      </c>
      <c r="BL5311" t="str">
        <f>"2016.178147"</f>
        <v>2016.178147</v>
      </c>
      <c r="BM5311" t="s">
        <v>2489</v>
      </c>
      <c r="BO5311" t="s">
        <v>32800</v>
      </c>
      <c r="BS5311">
        <v>30</v>
      </c>
      <c r="BW5311" t="str">
        <f>""</f>
        <v/>
      </c>
      <c r="CH5311" t="str">
        <f>""</f>
        <v/>
      </c>
      <c r="CS5311" t="str">
        <f>""</f>
        <v/>
      </c>
    </row>
    <row r="5312" spans="1:97" x14ac:dyDescent="0.25">
      <c r="A5312" t="s">
        <v>1308</v>
      </c>
      <c r="B5312" t="s">
        <v>32801</v>
      </c>
      <c r="C5312" t="s">
        <v>2930</v>
      </c>
      <c r="D5312" t="s">
        <v>32801</v>
      </c>
      <c r="E5312" t="s">
        <v>32802</v>
      </c>
      <c r="F5312" t="s">
        <v>108</v>
      </c>
      <c r="H5312" t="s">
        <v>32803</v>
      </c>
      <c r="I5312" t="s">
        <v>632</v>
      </c>
      <c r="J5312" t="s">
        <v>111</v>
      </c>
      <c r="K5312" t="str">
        <f>"85379"</f>
        <v>85379</v>
      </c>
      <c r="L5312" t="s">
        <v>269</v>
      </c>
      <c r="M5312" t="s">
        <v>32803</v>
      </c>
      <c r="N5312" t="s">
        <v>632</v>
      </c>
      <c r="O5312" t="s">
        <v>111</v>
      </c>
      <c r="P5312" t="str">
        <f>"85379-5344"</f>
        <v>85379-5344</v>
      </c>
      <c r="Q5312" t="s">
        <v>113</v>
      </c>
      <c r="R5312" t="str">
        <f>"501-96-498"</f>
        <v>501-96-498</v>
      </c>
      <c r="S5312" t="s">
        <v>8193</v>
      </c>
      <c r="U5312">
        <v>4464</v>
      </c>
      <c r="V5312">
        <v>0</v>
      </c>
      <c r="W5312">
        <v>5</v>
      </c>
      <c r="X5312">
        <v>2004</v>
      </c>
      <c r="Z5312">
        <v>2</v>
      </c>
      <c r="AA5312" t="s">
        <v>26</v>
      </c>
      <c r="AB5312">
        <v>0</v>
      </c>
      <c r="AC5312" t="s">
        <v>115</v>
      </c>
      <c r="AD5312">
        <v>3</v>
      </c>
      <c r="AE5312" t="s">
        <v>115</v>
      </c>
      <c r="AF5312">
        <v>0</v>
      </c>
      <c r="AG5312">
        <v>0</v>
      </c>
      <c r="AH5312" t="s">
        <v>116</v>
      </c>
      <c r="AI5312" s="1">
        <v>41666</v>
      </c>
      <c r="AJ5312" s="2">
        <v>0.09</v>
      </c>
      <c r="AK5312" s="1">
        <v>472305</v>
      </c>
      <c r="AL5312" t="s">
        <v>117</v>
      </c>
      <c r="AM5312" t="s">
        <v>118</v>
      </c>
      <c r="AN5312">
        <v>15500</v>
      </c>
      <c r="AO5312">
        <v>0.36</v>
      </c>
      <c r="AR5312">
        <v>1</v>
      </c>
      <c r="AS5312" s="1">
        <v>35780</v>
      </c>
      <c r="AT5312" s="1">
        <v>7150</v>
      </c>
      <c r="AU5312" s="1">
        <v>28630</v>
      </c>
      <c r="AV5312">
        <v>80.02</v>
      </c>
      <c r="AX5312" s="1">
        <v>2822.08</v>
      </c>
      <c r="AY5312" t="s">
        <v>5615</v>
      </c>
      <c r="AZ5312" t="s">
        <v>5615</v>
      </c>
      <c r="BA5312" t="s">
        <v>635</v>
      </c>
      <c r="BE5312" s="3">
        <v>42454</v>
      </c>
      <c r="BF5312" s="1">
        <v>383000</v>
      </c>
      <c r="BG5312" t="s">
        <v>32804</v>
      </c>
      <c r="BH5312" s="1">
        <v>85.8</v>
      </c>
      <c r="BI5312" s="1">
        <v>395639</v>
      </c>
      <c r="BJ5312" s="3">
        <v>42454</v>
      </c>
      <c r="BK5312" t="s">
        <v>123</v>
      </c>
      <c r="BL5312" t="str">
        <f>"2016.195457"</f>
        <v>2016.195457</v>
      </c>
      <c r="BM5312" t="s">
        <v>1837</v>
      </c>
      <c r="BO5312" t="s">
        <v>32805</v>
      </c>
      <c r="BS5312">
        <v>30</v>
      </c>
      <c r="BT5312" s="1">
        <v>35000</v>
      </c>
      <c r="BU5312" s="3">
        <v>42601</v>
      </c>
      <c r="BV5312" t="s">
        <v>134</v>
      </c>
      <c r="BW5312" t="str">
        <f>"2016.595006"</f>
        <v>2016.595006</v>
      </c>
      <c r="BX5312" t="s">
        <v>369</v>
      </c>
      <c r="BZ5312" t="s">
        <v>32805</v>
      </c>
      <c r="CD5312">
        <v>15</v>
      </c>
      <c r="CH5312" t="str">
        <f>""</f>
        <v/>
      </c>
      <c r="CS5312" t="str">
        <f>""</f>
        <v/>
      </c>
    </row>
    <row r="5313" spans="1:97" x14ac:dyDescent="0.25">
      <c r="A5313" t="s">
        <v>7387</v>
      </c>
      <c r="B5313" t="s">
        <v>32806</v>
      </c>
      <c r="C5313" t="s">
        <v>524</v>
      </c>
      <c r="D5313" t="s">
        <v>32807</v>
      </c>
      <c r="E5313" t="s">
        <v>32808</v>
      </c>
      <c r="F5313" t="s">
        <v>108</v>
      </c>
      <c r="H5313" t="s">
        <v>32809</v>
      </c>
      <c r="I5313" t="s">
        <v>1936</v>
      </c>
      <c r="J5313" t="s">
        <v>111</v>
      </c>
      <c r="K5313" t="str">
        <f>"85255"</f>
        <v>85255</v>
      </c>
      <c r="L5313" t="s">
        <v>4326</v>
      </c>
      <c r="M5313" t="s">
        <v>32809</v>
      </c>
      <c r="N5313" t="s">
        <v>1936</v>
      </c>
      <c r="O5313" t="s">
        <v>111</v>
      </c>
      <c r="P5313" t="str">
        <f>"85255-2893"</f>
        <v>85255-2893</v>
      </c>
      <c r="Q5313" t="s">
        <v>113</v>
      </c>
      <c r="R5313" t="str">
        <f>"212-03-395"</f>
        <v>212-03-395</v>
      </c>
      <c r="S5313" t="s">
        <v>32810</v>
      </c>
      <c r="T5313" t="s">
        <v>32811</v>
      </c>
      <c r="U5313">
        <v>3600</v>
      </c>
      <c r="V5313">
        <v>0</v>
      </c>
      <c r="W5313">
        <v>5</v>
      </c>
      <c r="X5313">
        <v>1997</v>
      </c>
      <c r="Z5313">
        <v>1</v>
      </c>
      <c r="AB5313">
        <v>0</v>
      </c>
      <c r="AC5313" t="s">
        <v>115</v>
      </c>
      <c r="AD5313">
        <v>3</v>
      </c>
      <c r="AE5313" t="s">
        <v>115</v>
      </c>
      <c r="AF5313">
        <v>0</v>
      </c>
      <c r="AG5313">
        <v>0</v>
      </c>
      <c r="AH5313" t="s">
        <v>116</v>
      </c>
      <c r="AI5313" s="1">
        <v>289506</v>
      </c>
      <c r="AJ5313" s="2">
        <v>0.37</v>
      </c>
      <c r="AK5313" s="1">
        <v>789478</v>
      </c>
      <c r="AL5313" t="s">
        <v>117</v>
      </c>
      <c r="AM5313" t="s">
        <v>376</v>
      </c>
      <c r="AN5313">
        <v>34866</v>
      </c>
      <c r="AO5313">
        <v>0.8</v>
      </c>
      <c r="AP5313">
        <v>1</v>
      </c>
      <c r="AR5313">
        <v>1</v>
      </c>
      <c r="AS5313" s="1">
        <v>55560</v>
      </c>
      <c r="AT5313" s="1">
        <v>11110</v>
      </c>
      <c r="AU5313" s="1">
        <v>44450</v>
      </c>
      <c r="AV5313">
        <v>80</v>
      </c>
      <c r="AX5313" s="1">
        <v>5329.46</v>
      </c>
      <c r="AY5313" t="s">
        <v>9968</v>
      </c>
      <c r="AZ5313" t="s">
        <v>761</v>
      </c>
      <c r="BA5313" t="s">
        <v>762</v>
      </c>
      <c r="BB5313" s="3">
        <v>43522</v>
      </c>
      <c r="BC5313" s="1">
        <v>0</v>
      </c>
      <c r="BD5313" t="s">
        <v>247</v>
      </c>
      <c r="BE5313" s="3">
        <v>42328</v>
      </c>
      <c r="BF5313" s="1">
        <v>652500</v>
      </c>
      <c r="BG5313" t="s">
        <v>32812</v>
      </c>
      <c r="BH5313" s="1">
        <v>181.25</v>
      </c>
      <c r="BI5313" s="1">
        <v>499972</v>
      </c>
      <c r="BJ5313" s="3">
        <v>43556</v>
      </c>
      <c r="BK5313" t="s">
        <v>123</v>
      </c>
      <c r="BL5313" t="str">
        <f>"2019.226343"</f>
        <v>2019.226343</v>
      </c>
      <c r="BM5313" t="s">
        <v>22194</v>
      </c>
      <c r="BN5313" t="s">
        <v>32813</v>
      </c>
      <c r="BO5313" t="s">
        <v>32814</v>
      </c>
      <c r="BP5313" t="s">
        <v>32815</v>
      </c>
      <c r="BR5313" t="s">
        <v>139</v>
      </c>
      <c r="BW5313" t="str">
        <f>""</f>
        <v/>
      </c>
      <c r="CH5313" t="str">
        <f>""</f>
        <v/>
      </c>
      <c r="CS5313" t="str">
        <f>""</f>
        <v/>
      </c>
    </row>
    <row r="5314" spans="1:97" x14ac:dyDescent="0.25">
      <c r="A5314" t="s">
        <v>886</v>
      </c>
      <c r="B5314" t="s">
        <v>32816</v>
      </c>
      <c r="C5314" t="s">
        <v>259</v>
      </c>
      <c r="D5314" t="s">
        <v>32816</v>
      </c>
      <c r="E5314" t="s">
        <v>32817</v>
      </c>
      <c r="F5314" t="s">
        <v>108</v>
      </c>
      <c r="H5314" t="s">
        <v>32818</v>
      </c>
      <c r="I5314" t="s">
        <v>225</v>
      </c>
      <c r="J5314" t="s">
        <v>111</v>
      </c>
      <c r="K5314" t="str">
        <f>"85213"</f>
        <v>85213</v>
      </c>
      <c r="L5314" t="s">
        <v>11566</v>
      </c>
      <c r="M5314" t="s">
        <v>32818</v>
      </c>
      <c r="N5314" t="s">
        <v>225</v>
      </c>
      <c r="O5314" t="s">
        <v>111</v>
      </c>
      <c r="P5314" t="str">
        <f>"85213-5514"</f>
        <v>85213-5514</v>
      </c>
      <c r="Q5314" t="s">
        <v>113</v>
      </c>
      <c r="R5314" t="str">
        <f>"140-05-066"</f>
        <v>140-05-066</v>
      </c>
      <c r="S5314" t="s">
        <v>32819</v>
      </c>
      <c r="U5314">
        <v>3390</v>
      </c>
      <c r="V5314">
        <v>0</v>
      </c>
      <c r="W5314">
        <v>4</v>
      </c>
      <c r="X5314">
        <v>1981</v>
      </c>
      <c r="Z5314">
        <v>1</v>
      </c>
      <c r="AA5314" t="s">
        <v>26</v>
      </c>
      <c r="AB5314">
        <v>0</v>
      </c>
      <c r="AC5314" t="s">
        <v>115</v>
      </c>
      <c r="AD5314">
        <v>3</v>
      </c>
      <c r="AE5314" t="s">
        <v>115</v>
      </c>
      <c r="AF5314">
        <v>0</v>
      </c>
      <c r="AG5314">
        <v>0</v>
      </c>
      <c r="AH5314" t="s">
        <v>116</v>
      </c>
      <c r="AI5314" s="1">
        <v>124851</v>
      </c>
      <c r="AJ5314" s="2">
        <v>0.23</v>
      </c>
      <c r="AK5314" s="1">
        <v>541851</v>
      </c>
      <c r="AL5314" t="s">
        <v>117</v>
      </c>
      <c r="AM5314" t="s">
        <v>1521</v>
      </c>
      <c r="AN5314">
        <v>15991</v>
      </c>
      <c r="AO5314">
        <v>0.37</v>
      </c>
      <c r="AP5314">
        <v>1</v>
      </c>
      <c r="AR5314">
        <v>1</v>
      </c>
      <c r="AS5314" s="1">
        <v>38010</v>
      </c>
      <c r="AT5314" s="1">
        <v>7600</v>
      </c>
      <c r="AU5314" s="1">
        <v>30410</v>
      </c>
      <c r="AV5314">
        <v>80.010000000000005</v>
      </c>
      <c r="AX5314" s="1">
        <v>3826.38</v>
      </c>
      <c r="AY5314" t="s">
        <v>7654</v>
      </c>
      <c r="AZ5314" t="s">
        <v>1523</v>
      </c>
      <c r="BA5314" t="s">
        <v>1524</v>
      </c>
      <c r="BE5314" s="3">
        <v>42473</v>
      </c>
      <c r="BF5314" s="1">
        <v>404000</v>
      </c>
      <c r="BG5314" t="s">
        <v>32820</v>
      </c>
      <c r="BH5314" s="1">
        <v>119.17</v>
      </c>
      <c r="BI5314" s="1">
        <v>417000</v>
      </c>
      <c r="BJ5314" s="3">
        <v>42473</v>
      </c>
      <c r="BK5314" t="s">
        <v>123</v>
      </c>
      <c r="BL5314" t="str">
        <f>"2016.245575"</f>
        <v>2016.245575</v>
      </c>
      <c r="BM5314" t="s">
        <v>1038</v>
      </c>
      <c r="BO5314" t="s">
        <v>32821</v>
      </c>
      <c r="BS5314">
        <v>30</v>
      </c>
      <c r="BW5314" t="str">
        <f>""</f>
        <v/>
      </c>
      <c r="CH5314" t="str">
        <f>""</f>
        <v/>
      </c>
      <c r="CS5314" t="str">
        <f>""</f>
        <v/>
      </c>
    </row>
    <row r="5315" spans="1:97" x14ac:dyDescent="0.25">
      <c r="B5315" t="s">
        <v>32822</v>
      </c>
      <c r="E5315" t="s">
        <v>31865</v>
      </c>
      <c r="F5315" t="s">
        <v>108</v>
      </c>
      <c r="H5315" t="s">
        <v>32823</v>
      </c>
      <c r="I5315" t="s">
        <v>453</v>
      </c>
      <c r="J5315" t="s">
        <v>111</v>
      </c>
      <c r="K5315" t="str">
        <f>"85383"</f>
        <v>85383</v>
      </c>
      <c r="L5315" t="s">
        <v>189</v>
      </c>
      <c r="M5315" t="s">
        <v>32823</v>
      </c>
      <c r="N5315" t="s">
        <v>453</v>
      </c>
      <c r="O5315" t="s">
        <v>111</v>
      </c>
      <c r="P5315" t="str">
        <f>"85383-8223"</f>
        <v>85383-8223</v>
      </c>
      <c r="Q5315" t="s">
        <v>113</v>
      </c>
      <c r="R5315" t="str">
        <f>"503-52-430"</f>
        <v>503-52-430</v>
      </c>
      <c r="S5315" t="s">
        <v>32824</v>
      </c>
      <c r="U5315">
        <v>4441</v>
      </c>
      <c r="V5315">
        <v>0</v>
      </c>
      <c r="W5315">
        <v>6</v>
      </c>
      <c r="X5315">
        <v>2007</v>
      </c>
      <c r="Z5315">
        <v>1</v>
      </c>
      <c r="AB5315">
        <v>0</v>
      </c>
      <c r="AC5315" t="s">
        <v>115</v>
      </c>
      <c r="AD5315">
        <v>3</v>
      </c>
      <c r="AE5315" t="s">
        <v>115</v>
      </c>
      <c r="AF5315">
        <v>0</v>
      </c>
      <c r="AG5315">
        <v>0</v>
      </c>
      <c r="AH5315" t="s">
        <v>116</v>
      </c>
      <c r="AI5315" s="1">
        <v>151767</v>
      </c>
      <c r="AJ5315" s="2">
        <v>0.21</v>
      </c>
      <c r="AK5315" s="1">
        <v>706718</v>
      </c>
      <c r="AL5315" t="s">
        <v>117</v>
      </c>
      <c r="AM5315" t="s">
        <v>118</v>
      </c>
      <c r="AN5315">
        <v>14727</v>
      </c>
      <c r="AO5315">
        <v>0.34</v>
      </c>
      <c r="AP5315">
        <v>1</v>
      </c>
      <c r="AR5315">
        <v>1</v>
      </c>
      <c r="AS5315" s="1">
        <v>55450</v>
      </c>
      <c r="AT5315" s="1">
        <v>11090</v>
      </c>
      <c r="AU5315" s="1">
        <v>44360</v>
      </c>
      <c r="AV5315">
        <v>80</v>
      </c>
      <c r="AX5315" s="1">
        <v>6614.14</v>
      </c>
      <c r="AY5315" t="s">
        <v>456</v>
      </c>
      <c r="AZ5315" t="s">
        <v>456</v>
      </c>
      <c r="BA5315" t="s">
        <v>457</v>
      </c>
      <c r="BB5315" s="3">
        <v>42185</v>
      </c>
      <c r="BD5315" t="s">
        <v>240</v>
      </c>
      <c r="BE5315" s="3">
        <v>42185</v>
      </c>
      <c r="BF5315" s="1">
        <v>590000</v>
      </c>
      <c r="BG5315" t="s">
        <v>32825</v>
      </c>
      <c r="BH5315" s="1">
        <v>132.85</v>
      </c>
      <c r="BI5315" s="1">
        <v>554951</v>
      </c>
      <c r="BJ5315" s="3">
        <v>42185</v>
      </c>
      <c r="BK5315" t="s">
        <v>123</v>
      </c>
      <c r="BL5315" t="str">
        <f>"2015.466895"</f>
        <v>2015.466895</v>
      </c>
      <c r="BM5315" t="s">
        <v>1791</v>
      </c>
      <c r="BO5315" t="s">
        <v>32826</v>
      </c>
      <c r="BS5315">
        <v>30</v>
      </c>
      <c r="BW5315" t="str">
        <f>""</f>
        <v/>
      </c>
      <c r="CH5315" t="str">
        <f>""</f>
        <v/>
      </c>
      <c r="CS5315" t="str">
        <f>""</f>
        <v/>
      </c>
    </row>
    <row r="5316" spans="1:97" x14ac:dyDescent="0.25">
      <c r="A5316" t="s">
        <v>494</v>
      </c>
      <c r="B5316" t="s">
        <v>23020</v>
      </c>
      <c r="E5316" t="s">
        <v>32827</v>
      </c>
      <c r="F5316" t="s">
        <v>108</v>
      </c>
      <c r="H5316" t="s">
        <v>32828</v>
      </c>
      <c r="I5316" t="s">
        <v>453</v>
      </c>
      <c r="J5316" t="s">
        <v>111</v>
      </c>
      <c r="K5316" t="str">
        <f>"85383"</f>
        <v>85383</v>
      </c>
      <c r="L5316" t="s">
        <v>3161</v>
      </c>
      <c r="M5316" t="s">
        <v>32828</v>
      </c>
      <c r="N5316" t="s">
        <v>453</v>
      </c>
      <c r="O5316" t="s">
        <v>111</v>
      </c>
      <c r="P5316" t="str">
        <f>"85383-2406"</f>
        <v>85383-2406</v>
      </c>
      <c r="Q5316" t="s">
        <v>113</v>
      </c>
      <c r="R5316" t="str">
        <f>"510-01-091"</f>
        <v>510-01-091</v>
      </c>
      <c r="S5316" t="s">
        <v>27402</v>
      </c>
      <c r="T5316" t="s">
        <v>17301</v>
      </c>
      <c r="U5316">
        <v>3177</v>
      </c>
      <c r="V5316">
        <v>0</v>
      </c>
      <c r="W5316">
        <v>4</v>
      </c>
      <c r="X5316">
        <v>2004</v>
      </c>
      <c r="Z5316">
        <v>1</v>
      </c>
      <c r="AA5316" t="s">
        <v>26</v>
      </c>
      <c r="AB5316">
        <v>0</v>
      </c>
      <c r="AC5316" t="s">
        <v>115</v>
      </c>
      <c r="AD5316">
        <v>3</v>
      </c>
      <c r="AE5316" t="s">
        <v>115</v>
      </c>
      <c r="AF5316">
        <v>0</v>
      </c>
      <c r="AG5316">
        <v>0</v>
      </c>
      <c r="AH5316" t="s">
        <v>116</v>
      </c>
      <c r="AI5316" s="1">
        <v>45073</v>
      </c>
      <c r="AJ5316" s="2">
        <v>0.09</v>
      </c>
      <c r="AK5316" s="1">
        <v>492490</v>
      </c>
      <c r="AL5316" t="s">
        <v>117</v>
      </c>
      <c r="AM5316" t="s">
        <v>118</v>
      </c>
      <c r="AN5316">
        <v>10800</v>
      </c>
      <c r="AO5316">
        <v>0.25</v>
      </c>
      <c r="AR5316">
        <v>1</v>
      </c>
      <c r="AS5316" s="1">
        <v>35970</v>
      </c>
      <c r="AT5316" s="1">
        <v>7190</v>
      </c>
      <c r="AU5316" s="1">
        <v>28780</v>
      </c>
      <c r="AV5316">
        <v>80.010000000000005</v>
      </c>
      <c r="AX5316" s="1">
        <v>4144.12</v>
      </c>
      <c r="AY5316" t="s">
        <v>627</v>
      </c>
      <c r="AZ5316" t="s">
        <v>627</v>
      </c>
      <c r="BA5316" t="s">
        <v>457</v>
      </c>
      <c r="BE5316" s="3">
        <v>42163</v>
      </c>
      <c r="BF5316" s="1">
        <v>445000</v>
      </c>
      <c r="BG5316" t="s">
        <v>32829</v>
      </c>
      <c r="BH5316" s="1">
        <v>140.07</v>
      </c>
      <c r="BI5316" s="1">
        <v>447417</v>
      </c>
      <c r="BJ5316" s="3">
        <v>42163</v>
      </c>
      <c r="BK5316" t="s">
        <v>123</v>
      </c>
      <c r="BL5316" t="str">
        <f>"2015.406234"</f>
        <v>2015.406234</v>
      </c>
      <c r="BM5316" t="s">
        <v>2368</v>
      </c>
      <c r="BO5316" t="s">
        <v>32830</v>
      </c>
      <c r="BS5316">
        <v>30</v>
      </c>
      <c r="BW5316" t="str">
        <f>""</f>
        <v/>
      </c>
      <c r="CH5316" t="str">
        <f>""</f>
        <v/>
      </c>
      <c r="CS5316" t="str">
        <f>""</f>
        <v/>
      </c>
    </row>
    <row r="5317" spans="1:97" x14ac:dyDescent="0.25">
      <c r="B5317" t="s">
        <v>32831</v>
      </c>
      <c r="E5317" t="s">
        <v>32832</v>
      </c>
      <c r="F5317" t="s">
        <v>108</v>
      </c>
      <c r="H5317" t="s">
        <v>32833</v>
      </c>
      <c r="I5317" t="s">
        <v>188</v>
      </c>
      <c r="J5317" t="s">
        <v>111</v>
      </c>
      <c r="K5317" t="str">
        <f>"85142"</f>
        <v>85142</v>
      </c>
      <c r="L5317" t="s">
        <v>1789</v>
      </c>
      <c r="M5317" t="s">
        <v>32833</v>
      </c>
      <c r="N5317" t="s">
        <v>188</v>
      </c>
      <c r="O5317" t="s">
        <v>111</v>
      </c>
      <c r="P5317" t="str">
        <f>"85142-8247"</f>
        <v>85142-8247</v>
      </c>
      <c r="Q5317" t="s">
        <v>113</v>
      </c>
      <c r="R5317" t="str">
        <f>"304-68-538"</f>
        <v>304-68-538</v>
      </c>
      <c r="S5317" t="s">
        <v>32834</v>
      </c>
      <c r="T5317" t="s">
        <v>32835</v>
      </c>
      <c r="U5317">
        <v>3440</v>
      </c>
      <c r="V5317">
        <v>0</v>
      </c>
      <c r="W5317">
        <v>4</v>
      </c>
      <c r="X5317">
        <v>2004</v>
      </c>
      <c r="Z5317">
        <v>1</v>
      </c>
      <c r="AA5317" t="s">
        <v>26</v>
      </c>
      <c r="AB5317">
        <v>0</v>
      </c>
      <c r="AC5317" t="s">
        <v>115</v>
      </c>
      <c r="AD5317">
        <v>4</v>
      </c>
      <c r="AE5317" t="s">
        <v>115</v>
      </c>
      <c r="AF5317">
        <v>0</v>
      </c>
      <c r="AG5317">
        <v>0</v>
      </c>
      <c r="AH5317" t="s">
        <v>116</v>
      </c>
      <c r="AI5317" s="1">
        <v>168621</v>
      </c>
      <c r="AJ5317" s="2">
        <v>0.27</v>
      </c>
      <c r="AK5317" s="1">
        <v>631360</v>
      </c>
      <c r="AL5317" t="s">
        <v>117</v>
      </c>
      <c r="AM5317" t="s">
        <v>3973</v>
      </c>
      <c r="AN5317">
        <v>35000</v>
      </c>
      <c r="AO5317">
        <v>0.8</v>
      </c>
      <c r="AP5317">
        <v>1</v>
      </c>
      <c r="AR5317">
        <v>1</v>
      </c>
      <c r="AS5317" s="1">
        <v>45820</v>
      </c>
      <c r="AT5317" s="1">
        <v>9160</v>
      </c>
      <c r="AU5317" s="1">
        <v>36660</v>
      </c>
      <c r="AV5317">
        <v>80.010000000000005</v>
      </c>
      <c r="AX5317" s="1">
        <v>5388.56</v>
      </c>
      <c r="AY5317" t="s">
        <v>192</v>
      </c>
      <c r="AZ5317" t="s">
        <v>193</v>
      </c>
      <c r="BA5317" t="s">
        <v>194</v>
      </c>
      <c r="BB5317" s="3">
        <v>42360</v>
      </c>
      <c r="BD5317" t="s">
        <v>240</v>
      </c>
      <c r="BE5317" s="3">
        <v>42242</v>
      </c>
      <c r="BF5317" s="1">
        <v>465000</v>
      </c>
      <c r="BG5317" t="s">
        <v>32836</v>
      </c>
      <c r="BH5317" s="1">
        <v>135.16999999999999</v>
      </c>
      <c r="BI5317" s="1">
        <v>462739</v>
      </c>
      <c r="BJ5317" s="3">
        <v>42242</v>
      </c>
      <c r="BK5317" t="s">
        <v>123</v>
      </c>
      <c r="BL5317" t="str">
        <f>"2015.617573"</f>
        <v>2015.617573</v>
      </c>
      <c r="BM5317" t="s">
        <v>8868</v>
      </c>
      <c r="BO5317" t="s">
        <v>32837</v>
      </c>
      <c r="BP5317" t="s">
        <v>32838</v>
      </c>
      <c r="BS5317">
        <v>30</v>
      </c>
      <c r="BW5317" t="str">
        <f>""</f>
        <v/>
      </c>
      <c r="CH5317" t="str">
        <f>""</f>
        <v/>
      </c>
      <c r="CS5317" t="str">
        <f>""</f>
        <v/>
      </c>
    </row>
    <row r="5318" spans="1:97" x14ac:dyDescent="0.25">
      <c r="B5318" t="s">
        <v>32839</v>
      </c>
      <c r="E5318" t="s">
        <v>32840</v>
      </c>
      <c r="F5318" t="s">
        <v>108</v>
      </c>
      <c r="H5318" t="s">
        <v>32841</v>
      </c>
      <c r="I5318" t="s">
        <v>1936</v>
      </c>
      <c r="J5318" t="s">
        <v>111</v>
      </c>
      <c r="K5318" t="str">
        <f>"85262"</f>
        <v>85262</v>
      </c>
      <c r="L5318" t="s">
        <v>6788</v>
      </c>
      <c r="M5318" t="s">
        <v>32841</v>
      </c>
      <c r="N5318" t="s">
        <v>1936</v>
      </c>
      <c r="O5318" t="s">
        <v>111</v>
      </c>
      <c r="P5318" t="str">
        <f>"85262-4417"</f>
        <v>85262-4417</v>
      </c>
      <c r="Q5318" t="s">
        <v>113</v>
      </c>
      <c r="R5318" t="str">
        <f>"216-36-031"</f>
        <v>216-36-031</v>
      </c>
      <c r="S5318" t="s">
        <v>32842</v>
      </c>
      <c r="T5318" t="s">
        <v>32843</v>
      </c>
      <c r="U5318">
        <v>3929</v>
      </c>
      <c r="V5318">
        <v>0</v>
      </c>
      <c r="W5318">
        <v>4</v>
      </c>
      <c r="X5318">
        <v>2002</v>
      </c>
      <c r="Z5318">
        <v>1</v>
      </c>
      <c r="AA5318" t="s">
        <v>26</v>
      </c>
      <c r="AB5318">
        <v>0</v>
      </c>
      <c r="AC5318" t="s">
        <v>115</v>
      </c>
      <c r="AD5318">
        <v>3</v>
      </c>
      <c r="AE5318" t="s">
        <v>115</v>
      </c>
      <c r="AF5318">
        <v>0</v>
      </c>
      <c r="AG5318">
        <v>0</v>
      </c>
      <c r="AH5318" t="s">
        <v>116</v>
      </c>
      <c r="AI5318" s="1">
        <v>439428</v>
      </c>
      <c r="AJ5318" s="2">
        <v>0.42</v>
      </c>
      <c r="AK5318" s="1">
        <v>1051780</v>
      </c>
      <c r="AL5318" t="s">
        <v>117</v>
      </c>
      <c r="AM5318" t="s">
        <v>3973</v>
      </c>
      <c r="AN5318">
        <v>25872</v>
      </c>
      <c r="AO5318">
        <v>0.59</v>
      </c>
      <c r="AP5318">
        <v>1</v>
      </c>
      <c r="AR5318">
        <v>1</v>
      </c>
      <c r="AS5318" s="1">
        <v>73720</v>
      </c>
      <c r="AT5318" s="1">
        <v>14740</v>
      </c>
      <c r="AU5318" s="1">
        <v>58980</v>
      </c>
      <c r="AV5318">
        <v>80.010000000000005</v>
      </c>
      <c r="AX5318" s="1">
        <v>4059.86</v>
      </c>
      <c r="AY5318" t="s">
        <v>5017</v>
      </c>
      <c r="AZ5318" t="s">
        <v>1402</v>
      </c>
      <c r="BA5318" t="s">
        <v>1403</v>
      </c>
      <c r="BB5318" s="3">
        <v>42723</v>
      </c>
      <c r="BD5318" t="s">
        <v>458</v>
      </c>
      <c r="BE5318" s="3">
        <v>41985</v>
      </c>
      <c r="BF5318" s="1">
        <v>939500</v>
      </c>
      <c r="BG5318" t="s">
        <v>32844</v>
      </c>
      <c r="BH5318" s="1">
        <v>239.12</v>
      </c>
      <c r="BI5318" s="1">
        <v>612352</v>
      </c>
      <c r="BJ5318" s="3">
        <v>42695</v>
      </c>
      <c r="BK5318" t="s">
        <v>123</v>
      </c>
      <c r="BL5318" t="str">
        <f>"2016.858940"</f>
        <v>2016.858940</v>
      </c>
      <c r="BM5318" t="s">
        <v>1154</v>
      </c>
      <c r="BO5318" t="s">
        <v>32845</v>
      </c>
      <c r="BS5318">
        <v>30</v>
      </c>
      <c r="BW5318" t="str">
        <f>""</f>
        <v/>
      </c>
      <c r="CH5318" t="str">
        <f>""</f>
        <v/>
      </c>
      <c r="CS5318" t="str">
        <f>""</f>
        <v/>
      </c>
    </row>
    <row r="5319" spans="1:97" x14ac:dyDescent="0.25">
      <c r="A5319" t="s">
        <v>8735</v>
      </c>
      <c r="B5319" t="s">
        <v>2923</v>
      </c>
      <c r="C5319" t="s">
        <v>4714</v>
      </c>
      <c r="D5319" t="s">
        <v>2923</v>
      </c>
      <c r="E5319" t="s">
        <v>32846</v>
      </c>
      <c r="F5319" t="s">
        <v>108</v>
      </c>
      <c r="H5319" t="s">
        <v>32847</v>
      </c>
      <c r="I5319" t="s">
        <v>225</v>
      </c>
      <c r="J5319" t="s">
        <v>111</v>
      </c>
      <c r="K5319" t="str">
        <f>"85207"</f>
        <v>85207</v>
      </c>
      <c r="L5319" t="s">
        <v>5816</v>
      </c>
      <c r="M5319" t="s">
        <v>32847</v>
      </c>
      <c r="N5319" t="s">
        <v>225</v>
      </c>
      <c r="O5319" t="s">
        <v>111</v>
      </c>
      <c r="P5319" t="str">
        <f>"85207-7244"</f>
        <v>85207-7244</v>
      </c>
      <c r="Q5319" t="s">
        <v>113</v>
      </c>
      <c r="R5319" t="str">
        <f>"219-18-842"</f>
        <v>219-18-842</v>
      </c>
      <c r="S5319" t="s">
        <v>32848</v>
      </c>
      <c r="T5319" t="s">
        <v>32848</v>
      </c>
      <c r="U5319">
        <v>3892</v>
      </c>
      <c r="V5319">
        <v>0</v>
      </c>
      <c r="W5319">
        <v>5</v>
      </c>
      <c r="X5319">
        <v>2004</v>
      </c>
      <c r="Z5319">
        <v>1</v>
      </c>
      <c r="AA5319" t="s">
        <v>26</v>
      </c>
      <c r="AB5319">
        <v>0</v>
      </c>
      <c r="AC5319" t="s">
        <v>115</v>
      </c>
      <c r="AD5319">
        <v>4</v>
      </c>
      <c r="AE5319" t="s">
        <v>115</v>
      </c>
      <c r="AF5319">
        <v>0</v>
      </c>
      <c r="AG5319">
        <v>0</v>
      </c>
      <c r="AH5319" t="s">
        <v>116</v>
      </c>
      <c r="AI5319" s="1">
        <v>234107</v>
      </c>
      <c r="AJ5319" s="2">
        <v>0.22</v>
      </c>
      <c r="AK5319" s="1">
        <v>1071482</v>
      </c>
      <c r="AL5319" t="s">
        <v>117</v>
      </c>
      <c r="AM5319" t="s">
        <v>3973</v>
      </c>
      <c r="AN5319">
        <v>40004</v>
      </c>
      <c r="AO5319">
        <v>0.92</v>
      </c>
      <c r="AP5319">
        <v>1</v>
      </c>
      <c r="AR5319">
        <v>1</v>
      </c>
      <c r="AS5319" s="1">
        <v>90570</v>
      </c>
      <c r="AT5319" s="1">
        <v>18110</v>
      </c>
      <c r="AU5319" s="1">
        <v>72460</v>
      </c>
      <c r="AV5319">
        <v>80</v>
      </c>
      <c r="AX5319" s="1">
        <v>8893.2800000000007</v>
      </c>
      <c r="AY5319" t="s">
        <v>9337</v>
      </c>
      <c r="AZ5319" t="s">
        <v>231</v>
      </c>
      <c r="BA5319" t="s">
        <v>3119</v>
      </c>
      <c r="BE5319" s="3">
        <v>42494</v>
      </c>
      <c r="BF5319" s="1">
        <v>977500</v>
      </c>
      <c r="BG5319" t="s">
        <v>32849</v>
      </c>
      <c r="BH5319" s="1">
        <v>251.16</v>
      </c>
      <c r="BI5319" s="1">
        <v>837375</v>
      </c>
      <c r="BJ5319" s="3">
        <v>42494</v>
      </c>
      <c r="BK5319" t="s">
        <v>123</v>
      </c>
      <c r="BL5319" t="str">
        <f>"2016.303572"</f>
        <v>2016.303572</v>
      </c>
      <c r="BM5319" t="s">
        <v>13037</v>
      </c>
      <c r="BO5319" t="s">
        <v>32850</v>
      </c>
      <c r="BS5319">
        <v>30</v>
      </c>
      <c r="BW5319" t="str">
        <f>""</f>
        <v/>
      </c>
      <c r="CH5319" t="str">
        <f>""</f>
        <v/>
      </c>
      <c r="CS5319" t="str">
        <f>""</f>
        <v/>
      </c>
    </row>
    <row r="5320" spans="1:97" x14ac:dyDescent="0.25">
      <c r="A5320" t="s">
        <v>9819</v>
      </c>
      <c r="B5320" t="s">
        <v>14672</v>
      </c>
      <c r="E5320" t="s">
        <v>32851</v>
      </c>
      <c r="F5320" t="s">
        <v>108</v>
      </c>
      <c r="H5320" t="s">
        <v>32852</v>
      </c>
      <c r="I5320" t="s">
        <v>632</v>
      </c>
      <c r="J5320" t="s">
        <v>111</v>
      </c>
      <c r="K5320" t="str">
        <f>"85379"</f>
        <v>85379</v>
      </c>
      <c r="L5320" t="s">
        <v>6316</v>
      </c>
      <c r="M5320" t="s">
        <v>32852</v>
      </c>
      <c r="N5320" t="s">
        <v>632</v>
      </c>
      <c r="O5320" t="s">
        <v>111</v>
      </c>
      <c r="P5320" t="str">
        <f>"85379-6575"</f>
        <v>85379-6575</v>
      </c>
      <c r="Q5320" t="s">
        <v>113</v>
      </c>
      <c r="R5320" t="str">
        <f>"501-15-413"</f>
        <v>501-15-413</v>
      </c>
      <c r="S5320" t="s">
        <v>32853</v>
      </c>
      <c r="U5320">
        <v>2243</v>
      </c>
      <c r="V5320">
        <v>0</v>
      </c>
      <c r="W5320">
        <v>3</v>
      </c>
      <c r="X5320">
        <v>2001</v>
      </c>
      <c r="Z5320">
        <v>1</v>
      </c>
      <c r="AB5320">
        <v>0</v>
      </c>
      <c r="AC5320" t="s">
        <v>115</v>
      </c>
      <c r="AD5320">
        <v>3</v>
      </c>
      <c r="AE5320" t="s">
        <v>115</v>
      </c>
      <c r="AF5320">
        <v>0</v>
      </c>
      <c r="AG5320">
        <v>0</v>
      </c>
      <c r="AH5320" t="s">
        <v>116</v>
      </c>
      <c r="AI5320" s="1">
        <v>79593</v>
      </c>
      <c r="AJ5320" s="2">
        <v>0.28000000000000003</v>
      </c>
      <c r="AK5320" s="1">
        <v>282804</v>
      </c>
      <c r="AL5320" t="s">
        <v>117</v>
      </c>
      <c r="AM5320" t="s">
        <v>118</v>
      </c>
      <c r="AN5320">
        <v>7140</v>
      </c>
      <c r="AO5320">
        <v>0.16</v>
      </c>
      <c r="AP5320">
        <v>1</v>
      </c>
      <c r="AR5320">
        <v>1</v>
      </c>
      <c r="AS5320" s="1">
        <v>20230</v>
      </c>
      <c r="AT5320" s="1">
        <v>4040</v>
      </c>
      <c r="AU5320" s="1">
        <v>16190</v>
      </c>
      <c r="AV5320">
        <v>80.03</v>
      </c>
      <c r="AX5320" s="1">
        <v>1470.4</v>
      </c>
      <c r="AY5320" t="s">
        <v>9749</v>
      </c>
      <c r="AZ5320" t="s">
        <v>9749</v>
      </c>
      <c r="BA5320" t="s">
        <v>321</v>
      </c>
      <c r="BE5320" s="3">
        <v>41989</v>
      </c>
      <c r="BF5320" s="1">
        <v>197000</v>
      </c>
      <c r="BG5320" t="s">
        <v>32854</v>
      </c>
      <c r="BH5320" s="1">
        <v>87.83</v>
      </c>
      <c r="BI5320" s="1">
        <v>203211</v>
      </c>
      <c r="BJ5320" s="3">
        <v>42586</v>
      </c>
      <c r="BK5320" t="s">
        <v>123</v>
      </c>
      <c r="BL5320" t="str">
        <f>"2016.554895"</f>
        <v>2016.554895</v>
      </c>
      <c r="BM5320" t="s">
        <v>1791</v>
      </c>
      <c r="BO5320" t="s">
        <v>32855</v>
      </c>
      <c r="BS5320">
        <v>30</v>
      </c>
      <c r="BW5320" t="str">
        <f>""</f>
        <v/>
      </c>
      <c r="CH5320" t="str">
        <f>""</f>
        <v/>
      </c>
      <c r="CS5320" t="str">
        <f>""</f>
        <v/>
      </c>
    </row>
    <row r="5321" spans="1:97" x14ac:dyDescent="0.25">
      <c r="A5321" t="s">
        <v>2365</v>
      </c>
      <c r="B5321" t="s">
        <v>32856</v>
      </c>
      <c r="C5321" t="s">
        <v>3604</v>
      </c>
      <c r="D5321" t="s">
        <v>32856</v>
      </c>
      <c r="E5321" t="s">
        <v>32857</v>
      </c>
      <c r="F5321" t="s">
        <v>108</v>
      </c>
      <c r="H5321" t="s">
        <v>32858</v>
      </c>
      <c r="I5321" t="s">
        <v>390</v>
      </c>
      <c r="J5321" t="s">
        <v>111</v>
      </c>
      <c r="K5321" t="str">
        <f>"85022"</f>
        <v>85022</v>
      </c>
      <c r="L5321" t="s">
        <v>5176</v>
      </c>
      <c r="M5321" t="s">
        <v>32858</v>
      </c>
      <c r="N5321" t="s">
        <v>390</v>
      </c>
      <c r="O5321" t="s">
        <v>111</v>
      </c>
      <c r="P5321" t="str">
        <f>"85022-1814"</f>
        <v>85022-1814</v>
      </c>
      <c r="Q5321" t="s">
        <v>113</v>
      </c>
      <c r="R5321" t="str">
        <f>"208-11-174"</f>
        <v>208-11-174</v>
      </c>
      <c r="S5321" t="s">
        <v>32859</v>
      </c>
      <c r="T5321" t="s">
        <v>32860</v>
      </c>
      <c r="U5321">
        <v>2305</v>
      </c>
      <c r="V5321">
        <v>0</v>
      </c>
      <c r="W5321">
        <v>3</v>
      </c>
      <c r="X5321">
        <v>1980</v>
      </c>
      <c r="Z5321">
        <v>1</v>
      </c>
      <c r="AB5321">
        <v>0</v>
      </c>
      <c r="AC5321" t="s">
        <v>115</v>
      </c>
      <c r="AD5321">
        <v>2</v>
      </c>
      <c r="AE5321" t="s">
        <v>115</v>
      </c>
      <c r="AF5321">
        <v>0</v>
      </c>
      <c r="AG5321">
        <v>0</v>
      </c>
      <c r="AH5321" t="s">
        <v>116</v>
      </c>
      <c r="AI5321" s="1">
        <v>102389</v>
      </c>
      <c r="AJ5321" s="2">
        <v>0.31</v>
      </c>
      <c r="AK5321" s="1">
        <v>332389</v>
      </c>
      <c r="AL5321" t="s">
        <v>117</v>
      </c>
      <c r="AM5321" t="s">
        <v>171</v>
      </c>
      <c r="AN5321">
        <v>8268</v>
      </c>
      <c r="AO5321">
        <v>0.19</v>
      </c>
      <c r="AP5321">
        <v>1</v>
      </c>
      <c r="AR5321">
        <v>1</v>
      </c>
      <c r="AS5321" s="1">
        <v>24080</v>
      </c>
      <c r="AT5321" s="1">
        <v>4810</v>
      </c>
      <c r="AU5321" s="1">
        <v>19270</v>
      </c>
      <c r="AV5321">
        <v>80.02</v>
      </c>
      <c r="AX5321" s="1">
        <v>1852.74</v>
      </c>
      <c r="AY5321" t="s">
        <v>12571</v>
      </c>
      <c r="AZ5321" t="s">
        <v>2550</v>
      </c>
      <c r="BA5321" t="s">
        <v>2551</v>
      </c>
      <c r="BE5321" s="3">
        <v>41955</v>
      </c>
      <c r="BF5321" s="1">
        <v>230000</v>
      </c>
      <c r="BG5321" t="s">
        <v>32861</v>
      </c>
      <c r="BH5321" s="1">
        <v>99.78</v>
      </c>
      <c r="BI5321" s="1">
        <v>230000</v>
      </c>
      <c r="BJ5321" s="3">
        <v>41955</v>
      </c>
      <c r="BK5321" t="s">
        <v>123</v>
      </c>
      <c r="BL5321" t="str">
        <f>"2014.748537"</f>
        <v>2014.748537</v>
      </c>
      <c r="BM5321" t="s">
        <v>2716</v>
      </c>
      <c r="BO5321" t="s">
        <v>32862</v>
      </c>
      <c r="BS5321">
        <v>30</v>
      </c>
      <c r="BW5321" t="str">
        <f>""</f>
        <v/>
      </c>
      <c r="CH5321" t="str">
        <f>""</f>
        <v/>
      </c>
      <c r="CS5321" t="str">
        <f>""</f>
        <v/>
      </c>
    </row>
    <row r="5322" spans="1:97" x14ac:dyDescent="0.25">
      <c r="B5322" t="s">
        <v>32863</v>
      </c>
      <c r="C5322" t="s">
        <v>484</v>
      </c>
      <c r="E5322" t="s">
        <v>32864</v>
      </c>
      <c r="F5322" t="s">
        <v>108</v>
      </c>
      <c r="H5322" t="s">
        <v>32865</v>
      </c>
      <c r="I5322" t="s">
        <v>2874</v>
      </c>
      <c r="J5322" t="s">
        <v>111</v>
      </c>
      <c r="K5322" t="str">
        <f>"85308"</f>
        <v>85308</v>
      </c>
      <c r="L5322" t="s">
        <v>3758</v>
      </c>
      <c r="M5322" t="s">
        <v>32865</v>
      </c>
      <c r="N5322" t="s">
        <v>2874</v>
      </c>
      <c r="O5322" t="s">
        <v>111</v>
      </c>
      <c r="P5322" t="str">
        <f>"85308-5028"</f>
        <v>85308-5028</v>
      </c>
      <c r="Q5322" t="s">
        <v>113</v>
      </c>
      <c r="R5322" t="str">
        <f>"200-24-110"</f>
        <v>200-24-110</v>
      </c>
      <c r="S5322" t="s">
        <v>29896</v>
      </c>
      <c r="T5322" t="s">
        <v>29897</v>
      </c>
      <c r="U5322">
        <v>1822</v>
      </c>
      <c r="V5322">
        <v>0</v>
      </c>
      <c r="W5322">
        <v>3</v>
      </c>
      <c r="X5322">
        <v>1993</v>
      </c>
      <c r="Z5322">
        <v>1</v>
      </c>
      <c r="AA5322" t="s">
        <v>26</v>
      </c>
      <c r="AB5322">
        <v>0</v>
      </c>
      <c r="AC5322" t="s">
        <v>115</v>
      </c>
      <c r="AD5322">
        <v>3</v>
      </c>
      <c r="AE5322" t="s">
        <v>115</v>
      </c>
      <c r="AF5322">
        <v>0</v>
      </c>
      <c r="AG5322">
        <v>0</v>
      </c>
      <c r="AH5322" t="s">
        <v>116</v>
      </c>
      <c r="AI5322" s="1">
        <v>78157</v>
      </c>
      <c r="AJ5322" s="2">
        <v>0.24</v>
      </c>
      <c r="AK5322" s="1">
        <v>320912</v>
      </c>
      <c r="AL5322" t="s">
        <v>117</v>
      </c>
      <c r="AM5322" t="s">
        <v>393</v>
      </c>
      <c r="AN5322">
        <v>8405</v>
      </c>
      <c r="AO5322">
        <v>0.19</v>
      </c>
      <c r="AP5322">
        <v>1</v>
      </c>
      <c r="AR5322">
        <v>1</v>
      </c>
      <c r="AS5322" s="1">
        <v>23230</v>
      </c>
      <c r="AT5322" s="1">
        <v>4640</v>
      </c>
      <c r="AU5322" s="1">
        <v>18590</v>
      </c>
      <c r="AV5322">
        <v>80.03</v>
      </c>
      <c r="AX5322" s="1">
        <v>2000.82</v>
      </c>
      <c r="AY5322" t="s">
        <v>8587</v>
      </c>
      <c r="AZ5322" t="s">
        <v>5142</v>
      </c>
      <c r="BA5322" t="s">
        <v>5143</v>
      </c>
      <c r="BB5322" s="3">
        <v>43693</v>
      </c>
      <c r="BC5322" s="1">
        <v>0</v>
      </c>
      <c r="BD5322" t="s">
        <v>247</v>
      </c>
      <c r="BE5322" s="3">
        <v>42025</v>
      </c>
      <c r="BF5322" s="1">
        <v>235000</v>
      </c>
      <c r="BG5322" t="s">
        <v>32866</v>
      </c>
      <c r="BH5322" s="1">
        <v>128.97999999999999</v>
      </c>
      <c r="BI5322" s="1">
        <v>242755</v>
      </c>
      <c r="BJ5322" s="3">
        <v>42025</v>
      </c>
      <c r="BK5322" t="s">
        <v>123</v>
      </c>
      <c r="BL5322" t="str">
        <f>"2015.40452"</f>
        <v>2015.40452</v>
      </c>
      <c r="BM5322" t="s">
        <v>255</v>
      </c>
      <c r="BN5322" t="s">
        <v>2398</v>
      </c>
      <c r="BO5322" t="s">
        <v>32867</v>
      </c>
      <c r="BS5322">
        <v>30</v>
      </c>
      <c r="BW5322" t="str">
        <f>""</f>
        <v/>
      </c>
      <c r="CH5322" t="str">
        <f>""</f>
        <v/>
      </c>
      <c r="CS5322" t="str">
        <f>""</f>
        <v/>
      </c>
    </row>
    <row r="5323" spans="1:97" x14ac:dyDescent="0.25">
      <c r="A5323" t="s">
        <v>1444</v>
      </c>
      <c r="B5323" t="s">
        <v>32868</v>
      </c>
      <c r="E5323" t="s">
        <v>32869</v>
      </c>
      <c r="F5323" t="s">
        <v>108</v>
      </c>
      <c r="H5323" t="s">
        <v>32870</v>
      </c>
      <c r="I5323" t="s">
        <v>203</v>
      </c>
      <c r="J5323" t="s">
        <v>111</v>
      </c>
      <c r="K5323" t="str">
        <f>"85295"</f>
        <v>85295</v>
      </c>
      <c r="L5323" t="s">
        <v>6529</v>
      </c>
      <c r="M5323" t="s">
        <v>32870</v>
      </c>
      <c r="N5323" t="s">
        <v>203</v>
      </c>
      <c r="O5323" t="s">
        <v>111</v>
      </c>
      <c r="P5323" t="str">
        <f>"85295-5102"</f>
        <v>85295-5102</v>
      </c>
      <c r="Q5323" t="s">
        <v>113</v>
      </c>
      <c r="R5323" t="str">
        <f>"304-41-650"</f>
        <v>304-41-650</v>
      </c>
      <c r="S5323" t="s">
        <v>32871</v>
      </c>
      <c r="T5323" t="s">
        <v>32871</v>
      </c>
      <c r="U5323">
        <v>1688</v>
      </c>
      <c r="V5323">
        <v>0</v>
      </c>
      <c r="W5323">
        <v>3</v>
      </c>
      <c r="X5323">
        <v>2003</v>
      </c>
      <c r="Z5323">
        <v>1</v>
      </c>
      <c r="AB5323">
        <v>0</v>
      </c>
      <c r="AC5323" t="s">
        <v>115</v>
      </c>
      <c r="AD5323">
        <v>2</v>
      </c>
      <c r="AE5323" t="s">
        <v>115</v>
      </c>
      <c r="AF5323">
        <v>0</v>
      </c>
      <c r="AG5323">
        <v>0</v>
      </c>
      <c r="AH5323" t="s">
        <v>116</v>
      </c>
      <c r="AI5323" s="1">
        <v>59958</v>
      </c>
      <c r="AJ5323" s="2">
        <v>0.19</v>
      </c>
      <c r="AK5323" s="1">
        <v>312526</v>
      </c>
      <c r="AL5323" t="s">
        <v>117</v>
      </c>
      <c r="AM5323" t="s">
        <v>191</v>
      </c>
      <c r="AN5323">
        <v>6600</v>
      </c>
      <c r="AO5323">
        <v>0.15</v>
      </c>
      <c r="AP5323">
        <v>1</v>
      </c>
      <c r="AR5323">
        <v>1</v>
      </c>
      <c r="AS5323" s="1">
        <v>21550</v>
      </c>
      <c r="AT5323" s="1">
        <v>4310</v>
      </c>
      <c r="AU5323" s="1">
        <v>17240</v>
      </c>
      <c r="AV5323">
        <v>80</v>
      </c>
      <c r="AX5323" s="1">
        <v>1445.64</v>
      </c>
      <c r="AY5323" t="s">
        <v>9212</v>
      </c>
      <c r="AZ5323" t="s">
        <v>207</v>
      </c>
      <c r="BA5323" t="s">
        <v>208</v>
      </c>
      <c r="BE5323" s="3">
        <v>41849</v>
      </c>
      <c r="BF5323" s="1">
        <v>229900</v>
      </c>
      <c r="BG5323" t="s">
        <v>32872</v>
      </c>
      <c r="BH5323" s="1">
        <v>136.19999999999999</v>
      </c>
      <c r="BI5323" s="1">
        <v>252568</v>
      </c>
      <c r="BJ5323" s="3">
        <v>43083</v>
      </c>
      <c r="BK5323" t="s">
        <v>123</v>
      </c>
      <c r="BL5323" t="str">
        <f>"2017.923516"</f>
        <v>2017.923516</v>
      </c>
      <c r="BM5323" t="s">
        <v>4885</v>
      </c>
      <c r="BO5323" t="s">
        <v>32873</v>
      </c>
      <c r="BS5323">
        <v>31</v>
      </c>
      <c r="BW5323" t="str">
        <f>""</f>
        <v/>
      </c>
      <c r="CH5323" t="str">
        <f>""</f>
        <v/>
      </c>
      <c r="CS5323" t="str">
        <f>""</f>
        <v/>
      </c>
    </row>
    <row r="5324" spans="1:97" x14ac:dyDescent="0.25">
      <c r="A5324" t="s">
        <v>1009</v>
      </c>
      <c r="B5324" t="s">
        <v>996</v>
      </c>
      <c r="C5324" t="s">
        <v>1692</v>
      </c>
      <c r="D5324" t="s">
        <v>996</v>
      </c>
      <c r="E5324" t="s">
        <v>32874</v>
      </c>
      <c r="F5324" t="s">
        <v>108</v>
      </c>
      <c r="H5324" t="s">
        <v>32875</v>
      </c>
      <c r="I5324" t="s">
        <v>5387</v>
      </c>
      <c r="J5324" t="s">
        <v>111</v>
      </c>
      <c r="K5324" t="str">
        <f>"85283"</f>
        <v>85283</v>
      </c>
      <c r="L5324" t="s">
        <v>5308</v>
      </c>
      <c r="M5324" t="s">
        <v>32875</v>
      </c>
      <c r="N5324" t="s">
        <v>5387</v>
      </c>
      <c r="O5324" t="s">
        <v>111</v>
      </c>
      <c r="P5324" t="str">
        <f>"85283-5736"</f>
        <v>85283-5736</v>
      </c>
      <c r="Q5324" t="s">
        <v>113</v>
      </c>
      <c r="R5324" t="str">
        <f>"301-48-419"</f>
        <v>301-48-419</v>
      </c>
      <c r="S5324" t="s">
        <v>8172</v>
      </c>
      <c r="T5324" t="s">
        <v>5675</v>
      </c>
      <c r="U5324">
        <v>1444</v>
      </c>
      <c r="V5324">
        <v>0</v>
      </c>
      <c r="W5324">
        <v>2</v>
      </c>
      <c r="X5324">
        <v>1973</v>
      </c>
      <c r="Z5324">
        <v>1</v>
      </c>
      <c r="AA5324" t="s">
        <v>26</v>
      </c>
      <c r="AB5324">
        <v>0</v>
      </c>
      <c r="AC5324" t="s">
        <v>5188</v>
      </c>
      <c r="AD5324">
        <v>2</v>
      </c>
      <c r="AE5324" t="s">
        <v>5188</v>
      </c>
      <c r="AF5324">
        <v>0</v>
      </c>
      <c r="AG5324">
        <v>0</v>
      </c>
      <c r="AH5324" t="s">
        <v>116</v>
      </c>
      <c r="AI5324" s="1">
        <v>71880</v>
      </c>
      <c r="AJ5324" s="2">
        <v>0.25</v>
      </c>
      <c r="AK5324" s="1">
        <v>292857</v>
      </c>
      <c r="AL5324" t="s">
        <v>117</v>
      </c>
      <c r="AM5324" t="s">
        <v>191</v>
      </c>
      <c r="AN5324">
        <v>6887</v>
      </c>
      <c r="AO5324">
        <v>0.16</v>
      </c>
      <c r="AP5324">
        <v>1</v>
      </c>
      <c r="AR5324">
        <v>1</v>
      </c>
      <c r="AS5324" s="1">
        <v>20180</v>
      </c>
      <c r="AT5324" s="1">
        <v>4030</v>
      </c>
      <c r="AU5324" s="1">
        <v>16150</v>
      </c>
      <c r="AV5324">
        <v>80.03</v>
      </c>
      <c r="AX5324" s="1">
        <v>1578.62</v>
      </c>
      <c r="AY5324" t="s">
        <v>5390</v>
      </c>
      <c r="AZ5324" t="s">
        <v>5391</v>
      </c>
      <c r="BA5324" t="s">
        <v>5392</v>
      </c>
      <c r="BE5324" s="3">
        <v>41885</v>
      </c>
      <c r="BF5324" s="1">
        <v>242500</v>
      </c>
      <c r="BG5324" t="s">
        <v>32876</v>
      </c>
      <c r="BH5324" s="1">
        <v>167.94</v>
      </c>
      <c r="BI5324" s="1">
        <v>220977</v>
      </c>
      <c r="BJ5324" s="3">
        <v>41885</v>
      </c>
      <c r="BK5324" t="s">
        <v>123</v>
      </c>
      <c r="BL5324" t="str">
        <f>"2014.583770"</f>
        <v>2014.583770</v>
      </c>
      <c r="BM5324" t="s">
        <v>2716</v>
      </c>
      <c r="BO5324" t="s">
        <v>32877</v>
      </c>
      <c r="BS5324">
        <v>30</v>
      </c>
      <c r="BW5324" t="str">
        <f>""</f>
        <v/>
      </c>
      <c r="CH5324" t="str">
        <f>""</f>
        <v/>
      </c>
      <c r="CS5324" t="str">
        <f>""</f>
        <v/>
      </c>
    </row>
    <row r="5325" spans="1:97" x14ac:dyDescent="0.25">
      <c r="A5325" t="s">
        <v>482</v>
      </c>
      <c r="B5325" t="s">
        <v>32878</v>
      </c>
      <c r="C5325" t="s">
        <v>1017</v>
      </c>
      <c r="D5325" t="s">
        <v>32878</v>
      </c>
      <c r="E5325" t="s">
        <v>32879</v>
      </c>
      <c r="F5325" t="s">
        <v>108</v>
      </c>
      <c r="H5325" t="s">
        <v>32880</v>
      </c>
      <c r="I5325" t="s">
        <v>632</v>
      </c>
      <c r="J5325" t="s">
        <v>111</v>
      </c>
      <c r="K5325" t="str">
        <f>"85388"</f>
        <v>85388</v>
      </c>
      <c r="L5325" t="s">
        <v>4467</v>
      </c>
      <c r="M5325" t="s">
        <v>32880</v>
      </c>
      <c r="N5325" t="s">
        <v>632</v>
      </c>
      <c r="O5325" t="s">
        <v>111</v>
      </c>
      <c r="P5325" t="str">
        <f>"85388-2303"</f>
        <v>85388-2303</v>
      </c>
      <c r="Q5325" t="s">
        <v>113</v>
      </c>
      <c r="R5325" t="str">
        <f>"502-09-670"</f>
        <v>502-09-670</v>
      </c>
      <c r="S5325" t="s">
        <v>5359</v>
      </c>
      <c r="T5325" t="s">
        <v>5360</v>
      </c>
      <c r="U5325">
        <v>1922</v>
      </c>
      <c r="V5325">
        <v>0</v>
      </c>
      <c r="W5325">
        <v>3</v>
      </c>
      <c r="X5325">
        <v>2014</v>
      </c>
      <c r="Z5325">
        <v>1</v>
      </c>
      <c r="AB5325">
        <v>0</v>
      </c>
      <c r="AC5325" t="s">
        <v>115</v>
      </c>
      <c r="AD5325">
        <v>3</v>
      </c>
      <c r="AE5325" t="s">
        <v>115</v>
      </c>
      <c r="AF5325">
        <v>0</v>
      </c>
      <c r="AG5325">
        <v>0</v>
      </c>
      <c r="AH5325" t="s">
        <v>116</v>
      </c>
      <c r="AI5325" s="1">
        <v>65646</v>
      </c>
      <c r="AJ5325" s="2">
        <v>0.23</v>
      </c>
      <c r="AK5325" s="1">
        <v>289476</v>
      </c>
      <c r="AL5325" t="s">
        <v>117</v>
      </c>
      <c r="AM5325" t="s">
        <v>118</v>
      </c>
      <c r="AN5325">
        <v>7943</v>
      </c>
      <c r="AO5325">
        <v>0.18</v>
      </c>
      <c r="AR5325">
        <v>1</v>
      </c>
      <c r="AS5325" s="1">
        <v>21330</v>
      </c>
      <c r="AT5325" s="1">
        <v>4260</v>
      </c>
      <c r="AU5325" s="1">
        <v>17070</v>
      </c>
      <c r="AV5325">
        <v>80.03</v>
      </c>
      <c r="AX5325" s="1">
        <v>1718.54</v>
      </c>
      <c r="AY5325" t="s">
        <v>5168</v>
      </c>
      <c r="AZ5325" t="s">
        <v>5168</v>
      </c>
      <c r="BA5325" t="s">
        <v>5109</v>
      </c>
      <c r="BE5325" s="3">
        <v>41653</v>
      </c>
      <c r="BF5325" s="1">
        <v>216680</v>
      </c>
      <c r="BG5325" t="s">
        <v>2289</v>
      </c>
      <c r="BH5325" s="1">
        <v>112.74</v>
      </c>
      <c r="BI5325" s="1">
        <v>223830</v>
      </c>
      <c r="BJ5325" s="3">
        <v>41653</v>
      </c>
      <c r="BK5325" t="s">
        <v>123</v>
      </c>
      <c r="BL5325" t="str">
        <f>"2014.28219"</f>
        <v>2014.28219</v>
      </c>
      <c r="BM5325" t="s">
        <v>150</v>
      </c>
      <c r="BO5325" t="s">
        <v>32881</v>
      </c>
      <c r="BS5325">
        <v>30</v>
      </c>
      <c r="BW5325" t="str">
        <f>""</f>
        <v/>
      </c>
      <c r="CH5325" t="str">
        <f>""</f>
        <v/>
      </c>
      <c r="CS5325" t="str">
        <f>""</f>
        <v/>
      </c>
    </row>
    <row r="5326" spans="1:97" x14ac:dyDescent="0.25">
      <c r="A5326" t="s">
        <v>3641</v>
      </c>
      <c r="B5326" t="s">
        <v>3443</v>
      </c>
      <c r="E5326" t="s">
        <v>32882</v>
      </c>
      <c r="F5326" t="s">
        <v>108</v>
      </c>
      <c r="H5326" t="s">
        <v>32883</v>
      </c>
      <c r="I5326" t="s">
        <v>3150</v>
      </c>
      <c r="J5326" t="s">
        <v>111</v>
      </c>
      <c r="K5326" t="str">
        <f>"85340"</f>
        <v>85340</v>
      </c>
      <c r="L5326" t="s">
        <v>5239</v>
      </c>
      <c r="M5326" t="s">
        <v>32883</v>
      </c>
      <c r="N5326" t="s">
        <v>3150</v>
      </c>
      <c r="O5326" t="s">
        <v>111</v>
      </c>
      <c r="P5326" t="str">
        <f>"85340-3488"</f>
        <v>85340-3488</v>
      </c>
      <c r="Q5326" t="s">
        <v>113</v>
      </c>
      <c r="R5326" t="str">
        <f>"508-12-236"</f>
        <v>508-12-236</v>
      </c>
      <c r="S5326" t="s">
        <v>5240</v>
      </c>
      <c r="U5326">
        <v>2038</v>
      </c>
      <c r="V5326">
        <v>0</v>
      </c>
      <c r="W5326">
        <v>4</v>
      </c>
      <c r="X5326">
        <v>2003</v>
      </c>
      <c r="Z5326">
        <v>2</v>
      </c>
      <c r="AB5326">
        <v>0</v>
      </c>
      <c r="AC5326" t="s">
        <v>115</v>
      </c>
      <c r="AD5326">
        <v>2</v>
      </c>
      <c r="AE5326" t="s">
        <v>115</v>
      </c>
      <c r="AF5326">
        <v>0</v>
      </c>
      <c r="AG5326">
        <v>0</v>
      </c>
      <c r="AH5326" t="s">
        <v>116</v>
      </c>
      <c r="AI5326" s="1">
        <v>47101</v>
      </c>
      <c r="AJ5326" s="2">
        <v>0.19</v>
      </c>
      <c r="AK5326" s="1">
        <v>253444</v>
      </c>
      <c r="AL5326" t="s">
        <v>117</v>
      </c>
      <c r="AM5326" t="s">
        <v>191</v>
      </c>
      <c r="AN5326">
        <v>5280</v>
      </c>
      <c r="AO5326">
        <v>0.12</v>
      </c>
      <c r="AP5326">
        <v>1</v>
      </c>
      <c r="AR5326">
        <v>1</v>
      </c>
      <c r="AS5326" s="1">
        <v>16350</v>
      </c>
      <c r="AT5326" s="1">
        <v>3270</v>
      </c>
      <c r="AU5326" s="1">
        <v>13080</v>
      </c>
      <c r="AV5326">
        <v>80</v>
      </c>
      <c r="AX5326" s="1">
        <v>1240.92</v>
      </c>
      <c r="AY5326" t="s">
        <v>5241</v>
      </c>
      <c r="AZ5326" t="s">
        <v>3153</v>
      </c>
      <c r="BA5326" t="s">
        <v>3154</v>
      </c>
      <c r="BE5326" s="3">
        <v>42514</v>
      </c>
      <c r="BF5326" s="1">
        <v>202000</v>
      </c>
      <c r="BG5326" t="s">
        <v>32884</v>
      </c>
      <c r="BH5326" s="1">
        <v>99.12</v>
      </c>
      <c r="BI5326" s="1">
        <v>206343</v>
      </c>
      <c r="BJ5326" s="3">
        <v>42514</v>
      </c>
      <c r="BK5326" t="s">
        <v>123</v>
      </c>
      <c r="BL5326" t="str">
        <f>"2016.354300"</f>
        <v>2016.354300</v>
      </c>
      <c r="BM5326" t="s">
        <v>2683</v>
      </c>
      <c r="BO5326" t="s">
        <v>32885</v>
      </c>
      <c r="BS5326">
        <v>30</v>
      </c>
      <c r="BW5326" t="str">
        <f>""</f>
        <v/>
      </c>
      <c r="CH5326" t="str">
        <f>""</f>
        <v/>
      </c>
      <c r="CS5326" t="str">
        <f>""</f>
        <v/>
      </c>
    </row>
    <row r="5327" spans="1:97" x14ac:dyDescent="0.25">
      <c r="A5327" t="s">
        <v>140</v>
      </c>
      <c r="B5327" t="s">
        <v>20242</v>
      </c>
      <c r="E5327" t="s">
        <v>32886</v>
      </c>
      <c r="F5327" t="s">
        <v>108</v>
      </c>
      <c r="H5327" t="s">
        <v>32887</v>
      </c>
      <c r="I5327" t="s">
        <v>390</v>
      </c>
      <c r="J5327" t="s">
        <v>111</v>
      </c>
      <c r="K5327" t="str">
        <f>"85015"</f>
        <v>85015</v>
      </c>
      <c r="L5327" t="s">
        <v>7116</v>
      </c>
      <c r="M5327" t="s">
        <v>32887</v>
      </c>
      <c r="N5327" t="s">
        <v>390</v>
      </c>
      <c r="O5327" t="s">
        <v>111</v>
      </c>
      <c r="P5327" t="str">
        <f>"85015-5455"</f>
        <v>85015-5455</v>
      </c>
      <c r="Q5327" t="s">
        <v>113</v>
      </c>
      <c r="R5327" t="str">
        <f>"110-19-056"</f>
        <v>110-19-056</v>
      </c>
      <c r="S5327" t="s">
        <v>32888</v>
      </c>
      <c r="T5327" t="s">
        <v>32889</v>
      </c>
      <c r="U5327">
        <v>1264</v>
      </c>
      <c r="V5327">
        <v>0</v>
      </c>
      <c r="W5327">
        <v>2</v>
      </c>
      <c r="X5327">
        <v>1953</v>
      </c>
      <c r="Z5327">
        <v>1</v>
      </c>
      <c r="AB5327">
        <v>0</v>
      </c>
      <c r="AC5327" t="s">
        <v>5188</v>
      </c>
      <c r="AD5327">
        <v>1</v>
      </c>
      <c r="AE5327" t="s">
        <v>5188</v>
      </c>
      <c r="AF5327">
        <v>0</v>
      </c>
      <c r="AG5327">
        <v>0</v>
      </c>
      <c r="AH5327" t="s">
        <v>116</v>
      </c>
      <c r="AI5327" s="1">
        <v>14998</v>
      </c>
      <c r="AJ5327" s="2">
        <v>0.06</v>
      </c>
      <c r="AK5327" s="1">
        <v>242258</v>
      </c>
      <c r="AL5327" t="s">
        <v>117</v>
      </c>
      <c r="AM5327" t="s">
        <v>191</v>
      </c>
      <c r="AN5327">
        <v>7775</v>
      </c>
      <c r="AO5327">
        <v>0.18</v>
      </c>
      <c r="AP5327">
        <v>1</v>
      </c>
      <c r="AR5327">
        <v>1</v>
      </c>
      <c r="AS5327" s="1">
        <v>15920</v>
      </c>
      <c r="AT5327" s="1">
        <v>3180</v>
      </c>
      <c r="AU5327" s="1">
        <v>12740</v>
      </c>
      <c r="AV5327">
        <v>80.03</v>
      </c>
      <c r="AX5327" s="1">
        <v>1137.1199999999999</v>
      </c>
      <c r="AY5327" t="s">
        <v>7119</v>
      </c>
      <c r="AZ5327" t="s">
        <v>7119</v>
      </c>
      <c r="BA5327" t="s">
        <v>5469</v>
      </c>
      <c r="BE5327" s="3">
        <v>42349</v>
      </c>
      <c r="BF5327" s="1">
        <v>220000</v>
      </c>
      <c r="BG5327" t="s">
        <v>32890</v>
      </c>
      <c r="BH5327" s="1">
        <v>174.05</v>
      </c>
      <c r="BI5327" s="1">
        <v>227260</v>
      </c>
      <c r="BJ5327" s="3">
        <v>42349</v>
      </c>
      <c r="BK5327" t="s">
        <v>123</v>
      </c>
      <c r="BL5327" t="str">
        <f>"2015.876149"</f>
        <v>2015.876149</v>
      </c>
      <c r="BM5327" t="s">
        <v>724</v>
      </c>
      <c r="BO5327" t="s">
        <v>32891</v>
      </c>
      <c r="BS5327">
        <v>30</v>
      </c>
      <c r="BW5327" t="str">
        <f>""</f>
        <v/>
      </c>
      <c r="CH5327" t="str">
        <f>""</f>
        <v/>
      </c>
      <c r="CS5327" t="str">
        <f>""</f>
        <v/>
      </c>
    </row>
    <row r="5328" spans="1:97" x14ac:dyDescent="0.25">
      <c r="A5328" t="s">
        <v>464</v>
      </c>
      <c r="B5328" t="s">
        <v>32892</v>
      </c>
      <c r="C5328" t="s">
        <v>719</v>
      </c>
      <c r="D5328" t="s">
        <v>32892</v>
      </c>
      <c r="E5328" t="s">
        <v>32893</v>
      </c>
      <c r="F5328" t="s">
        <v>108</v>
      </c>
      <c r="H5328" t="s">
        <v>32894</v>
      </c>
      <c r="I5328" t="s">
        <v>110</v>
      </c>
      <c r="J5328" t="s">
        <v>111</v>
      </c>
      <c r="K5328" t="str">
        <f>"85286"</f>
        <v>85286</v>
      </c>
      <c r="L5328" t="s">
        <v>145</v>
      </c>
      <c r="M5328" t="s">
        <v>32894</v>
      </c>
      <c r="N5328" t="s">
        <v>110</v>
      </c>
      <c r="O5328" t="s">
        <v>111</v>
      </c>
      <c r="P5328" t="str">
        <f>"85286-7592"</f>
        <v>85286-7592</v>
      </c>
      <c r="Q5328" t="s">
        <v>113</v>
      </c>
      <c r="R5328" t="str">
        <f>"303-77-062"</f>
        <v>303-77-062</v>
      </c>
      <c r="S5328" t="s">
        <v>32895</v>
      </c>
      <c r="U5328">
        <v>1509</v>
      </c>
      <c r="V5328">
        <v>0</v>
      </c>
      <c r="W5328">
        <v>3</v>
      </c>
      <c r="X5328">
        <v>1998</v>
      </c>
      <c r="Z5328">
        <v>2</v>
      </c>
      <c r="AB5328">
        <v>0</v>
      </c>
      <c r="AC5328" t="s">
        <v>115</v>
      </c>
      <c r="AD5328">
        <v>2</v>
      </c>
      <c r="AE5328" t="s">
        <v>115</v>
      </c>
      <c r="AF5328">
        <v>0</v>
      </c>
      <c r="AG5328">
        <v>0</v>
      </c>
      <c r="AH5328" t="s">
        <v>116</v>
      </c>
      <c r="AI5328" s="1">
        <v>73343</v>
      </c>
      <c r="AJ5328" s="2">
        <v>0.24</v>
      </c>
      <c r="AK5328" s="1">
        <v>308288</v>
      </c>
      <c r="AL5328" t="s">
        <v>117</v>
      </c>
      <c r="AM5328" t="s">
        <v>118</v>
      </c>
      <c r="AN5328">
        <v>5500</v>
      </c>
      <c r="AO5328">
        <v>0.13</v>
      </c>
      <c r="AP5328">
        <v>1</v>
      </c>
      <c r="AR5328">
        <v>1</v>
      </c>
      <c r="AS5328" s="1">
        <v>21160</v>
      </c>
      <c r="AT5328" s="1">
        <v>4230</v>
      </c>
      <c r="AU5328" s="1">
        <v>16930</v>
      </c>
      <c r="AV5328">
        <v>80.010000000000005</v>
      </c>
      <c r="AX5328" s="1">
        <v>1713.22</v>
      </c>
      <c r="AY5328" t="s">
        <v>10718</v>
      </c>
      <c r="AZ5328" t="s">
        <v>1882</v>
      </c>
      <c r="BA5328" t="s">
        <v>121</v>
      </c>
      <c r="BE5328" s="3">
        <v>42158</v>
      </c>
      <c r="BF5328" s="1">
        <v>230000</v>
      </c>
      <c r="BG5328" t="s">
        <v>32896</v>
      </c>
      <c r="BH5328" s="1">
        <v>152.41999999999999</v>
      </c>
      <c r="BI5328" s="1">
        <v>234945</v>
      </c>
      <c r="BJ5328" s="3">
        <v>42158</v>
      </c>
      <c r="BK5328" t="s">
        <v>123</v>
      </c>
      <c r="BL5328" t="str">
        <f>"2015.396684"</f>
        <v>2015.396684</v>
      </c>
      <c r="BM5328" t="s">
        <v>724</v>
      </c>
      <c r="BO5328" t="s">
        <v>32897</v>
      </c>
      <c r="BS5328">
        <v>30</v>
      </c>
      <c r="BW5328" t="str">
        <f>""</f>
        <v/>
      </c>
      <c r="CH5328" t="str">
        <f>""</f>
        <v/>
      </c>
      <c r="CS5328" t="str">
        <f>""</f>
        <v/>
      </c>
    </row>
    <row r="5329" spans="1:97" x14ac:dyDescent="0.25">
      <c r="A5329" t="s">
        <v>13953</v>
      </c>
      <c r="B5329" t="s">
        <v>32898</v>
      </c>
      <c r="C5329" t="s">
        <v>11575</v>
      </c>
      <c r="D5329" t="s">
        <v>32898</v>
      </c>
      <c r="E5329" t="s">
        <v>32899</v>
      </c>
      <c r="F5329" t="s">
        <v>108</v>
      </c>
      <c r="H5329" t="s">
        <v>32900</v>
      </c>
      <c r="I5329" t="s">
        <v>110</v>
      </c>
      <c r="J5329" t="s">
        <v>111</v>
      </c>
      <c r="K5329" t="str">
        <f>"85286"</f>
        <v>85286</v>
      </c>
      <c r="L5329" t="s">
        <v>1569</v>
      </c>
      <c r="M5329" t="s">
        <v>32900</v>
      </c>
      <c r="N5329" t="s">
        <v>110</v>
      </c>
      <c r="O5329" t="s">
        <v>111</v>
      </c>
      <c r="P5329" t="str">
        <f>"85286-1539"</f>
        <v>85286-1539</v>
      </c>
      <c r="Q5329" t="s">
        <v>113</v>
      </c>
      <c r="R5329" t="str">
        <f>"303-30-311"</f>
        <v>303-30-311</v>
      </c>
      <c r="S5329" t="s">
        <v>32901</v>
      </c>
      <c r="T5329" t="s">
        <v>5649</v>
      </c>
      <c r="U5329">
        <v>1400</v>
      </c>
      <c r="V5329">
        <v>0</v>
      </c>
      <c r="W5329">
        <v>2</v>
      </c>
      <c r="X5329">
        <v>1997</v>
      </c>
      <c r="Z5329">
        <v>1</v>
      </c>
      <c r="AB5329">
        <v>0</v>
      </c>
      <c r="AC5329" t="s">
        <v>115</v>
      </c>
      <c r="AD5329">
        <v>2</v>
      </c>
      <c r="AE5329" t="s">
        <v>115</v>
      </c>
      <c r="AF5329">
        <v>0</v>
      </c>
      <c r="AG5329">
        <v>0</v>
      </c>
      <c r="AH5329" t="s">
        <v>116</v>
      </c>
      <c r="AI5329" s="1">
        <v>-2101074</v>
      </c>
      <c r="AJ5329" s="2">
        <v>-7.63</v>
      </c>
      <c r="AK5329" s="1">
        <v>275516</v>
      </c>
      <c r="AL5329" t="s">
        <v>117</v>
      </c>
      <c r="AM5329" t="s">
        <v>118</v>
      </c>
      <c r="AN5329">
        <v>5820</v>
      </c>
      <c r="AO5329">
        <v>0.13</v>
      </c>
      <c r="AP5329">
        <v>1</v>
      </c>
      <c r="AR5329">
        <v>1</v>
      </c>
      <c r="AS5329" s="1">
        <v>18610</v>
      </c>
      <c r="AT5329" s="1">
        <v>3720</v>
      </c>
      <c r="AU5329" s="1">
        <v>14890</v>
      </c>
      <c r="AV5329">
        <v>80.010000000000005</v>
      </c>
      <c r="AX5329" s="1">
        <v>1325.34</v>
      </c>
      <c r="AY5329" t="s">
        <v>5650</v>
      </c>
      <c r="AZ5329" t="s">
        <v>120</v>
      </c>
      <c r="BA5329" t="s">
        <v>303</v>
      </c>
      <c r="BE5329" s="3">
        <v>41880</v>
      </c>
      <c r="BF5329" s="1">
        <v>200000</v>
      </c>
      <c r="BG5329" t="s">
        <v>32902</v>
      </c>
      <c r="BH5329" s="1">
        <v>142.86000000000001</v>
      </c>
      <c r="BI5329" s="1">
        <v>2376590</v>
      </c>
      <c r="BJ5329" s="3">
        <v>43056</v>
      </c>
      <c r="BK5329" t="s">
        <v>123</v>
      </c>
      <c r="BL5329" t="str">
        <f>"2017.856455"</f>
        <v>2017.856455</v>
      </c>
      <c r="BM5329" t="s">
        <v>32903</v>
      </c>
      <c r="BO5329" t="s">
        <v>32904</v>
      </c>
      <c r="BS5329">
        <v>30</v>
      </c>
      <c r="BW5329" t="str">
        <f>""</f>
        <v/>
      </c>
      <c r="CH5329" t="str">
        <f>""</f>
        <v/>
      </c>
      <c r="CS5329" t="str">
        <f>""</f>
        <v/>
      </c>
    </row>
    <row r="5330" spans="1:97" x14ac:dyDescent="0.25">
      <c r="A5330" t="s">
        <v>1850</v>
      </c>
      <c r="B5330" t="s">
        <v>32905</v>
      </c>
      <c r="C5330" t="s">
        <v>976</v>
      </c>
      <c r="D5330" t="s">
        <v>32905</v>
      </c>
      <c r="E5330" t="s">
        <v>32906</v>
      </c>
      <c r="F5330" t="s">
        <v>108</v>
      </c>
      <c r="H5330" t="s">
        <v>32907</v>
      </c>
      <c r="I5330" t="s">
        <v>390</v>
      </c>
      <c r="J5330" t="s">
        <v>111</v>
      </c>
      <c r="K5330" t="str">
        <f>"85086"</f>
        <v>85086</v>
      </c>
      <c r="L5330" t="s">
        <v>688</v>
      </c>
      <c r="M5330" t="s">
        <v>32907</v>
      </c>
      <c r="N5330" t="s">
        <v>390</v>
      </c>
      <c r="O5330" t="s">
        <v>111</v>
      </c>
      <c r="P5330" t="str">
        <f>"85086-6709"</f>
        <v>85086-6709</v>
      </c>
      <c r="Q5330" t="s">
        <v>113</v>
      </c>
      <c r="R5330" t="str">
        <f>"203-11-267"</f>
        <v>203-11-267</v>
      </c>
      <c r="S5330" t="s">
        <v>18644</v>
      </c>
      <c r="U5330">
        <v>1230</v>
      </c>
      <c r="V5330">
        <v>0</v>
      </c>
      <c r="W5330">
        <v>2</v>
      </c>
      <c r="X5330">
        <v>2007</v>
      </c>
      <c r="Z5330">
        <v>1</v>
      </c>
      <c r="AB5330">
        <v>0</v>
      </c>
      <c r="AC5330" t="s">
        <v>115</v>
      </c>
      <c r="AD5330">
        <v>2</v>
      </c>
      <c r="AE5330" t="s">
        <v>115</v>
      </c>
      <c r="AF5330">
        <v>0</v>
      </c>
      <c r="AG5330">
        <v>0</v>
      </c>
      <c r="AH5330" t="s">
        <v>116</v>
      </c>
      <c r="AI5330" s="1">
        <v>43743</v>
      </c>
      <c r="AJ5330" s="2">
        <v>0.17</v>
      </c>
      <c r="AK5330" s="1">
        <v>250343</v>
      </c>
      <c r="AL5330" t="s">
        <v>117</v>
      </c>
      <c r="AM5330" t="s">
        <v>191</v>
      </c>
      <c r="AN5330">
        <v>5357</v>
      </c>
      <c r="AO5330">
        <v>0.12</v>
      </c>
      <c r="AR5330">
        <v>1</v>
      </c>
      <c r="AS5330" s="1">
        <v>16820</v>
      </c>
      <c r="AT5330" s="1">
        <v>3360</v>
      </c>
      <c r="AU5330" s="1">
        <v>13460</v>
      </c>
      <c r="AV5330">
        <v>80.02</v>
      </c>
      <c r="AX5330" s="1">
        <v>1761.94</v>
      </c>
      <c r="AY5330" t="s">
        <v>5380</v>
      </c>
      <c r="AZ5330" t="s">
        <v>5380</v>
      </c>
      <c r="BA5330" t="s">
        <v>378</v>
      </c>
      <c r="BE5330" s="3">
        <v>42450</v>
      </c>
      <c r="BF5330" s="1">
        <v>203500</v>
      </c>
      <c r="BG5330" t="s">
        <v>32908</v>
      </c>
      <c r="BH5330" s="1">
        <v>165.45</v>
      </c>
      <c r="BI5330" s="1">
        <v>206600</v>
      </c>
      <c r="BJ5330" s="3">
        <v>42450</v>
      </c>
      <c r="BK5330" t="s">
        <v>123</v>
      </c>
      <c r="BL5330" t="str">
        <f>"2016.178944"</f>
        <v>2016.178944</v>
      </c>
      <c r="BM5330" t="s">
        <v>1185</v>
      </c>
      <c r="BO5330" t="s">
        <v>32909</v>
      </c>
      <c r="BS5330">
        <v>30</v>
      </c>
      <c r="BW5330" t="str">
        <f>""</f>
        <v/>
      </c>
      <c r="CH5330" t="str">
        <f>""</f>
        <v/>
      </c>
      <c r="CS5330" t="str">
        <f>""</f>
        <v/>
      </c>
    </row>
    <row r="5331" spans="1:97" x14ac:dyDescent="0.25">
      <c r="A5331" t="s">
        <v>996</v>
      </c>
      <c r="B5331" t="s">
        <v>2499</v>
      </c>
      <c r="C5331" t="s">
        <v>328</v>
      </c>
      <c r="D5331" t="s">
        <v>2499</v>
      </c>
      <c r="E5331" t="s">
        <v>32910</v>
      </c>
      <c r="F5331" t="s">
        <v>108</v>
      </c>
      <c r="H5331" t="s">
        <v>32911</v>
      </c>
      <c r="I5331" t="s">
        <v>499</v>
      </c>
      <c r="J5331" t="s">
        <v>111</v>
      </c>
      <c r="K5331" t="str">
        <f>"85338"</f>
        <v>85338</v>
      </c>
      <c r="L5331" t="s">
        <v>6431</v>
      </c>
      <c r="M5331" t="s">
        <v>32911</v>
      </c>
      <c r="N5331" t="s">
        <v>499</v>
      </c>
      <c r="O5331" t="s">
        <v>111</v>
      </c>
      <c r="P5331" t="str">
        <f>"85338-7429"</f>
        <v>85338-7429</v>
      </c>
      <c r="Q5331" t="s">
        <v>113</v>
      </c>
      <c r="R5331" t="str">
        <f>"500-97-364"</f>
        <v>500-97-364</v>
      </c>
      <c r="S5331" t="s">
        <v>29807</v>
      </c>
      <c r="U5331">
        <v>1822</v>
      </c>
      <c r="V5331">
        <v>0</v>
      </c>
      <c r="W5331">
        <v>3</v>
      </c>
      <c r="X5331">
        <v>2010</v>
      </c>
      <c r="Z5331">
        <v>1</v>
      </c>
      <c r="AB5331">
        <v>0</v>
      </c>
      <c r="AC5331" t="s">
        <v>115</v>
      </c>
      <c r="AD5331">
        <v>2</v>
      </c>
      <c r="AE5331" t="s">
        <v>115</v>
      </c>
      <c r="AF5331">
        <v>0</v>
      </c>
      <c r="AG5331">
        <v>0</v>
      </c>
      <c r="AH5331" t="s">
        <v>116</v>
      </c>
      <c r="AI5331" s="1">
        <v>-6151</v>
      </c>
      <c r="AJ5331" s="2">
        <v>-0.02</v>
      </c>
      <c r="AK5331" s="1">
        <v>257264</v>
      </c>
      <c r="AL5331" t="s">
        <v>117</v>
      </c>
      <c r="AM5331" t="s">
        <v>118</v>
      </c>
      <c r="AN5331">
        <v>6325</v>
      </c>
      <c r="AO5331">
        <v>0.14000000000000001</v>
      </c>
      <c r="AR5331">
        <v>1</v>
      </c>
      <c r="AS5331" s="1">
        <v>17830</v>
      </c>
      <c r="AT5331" s="1">
        <v>3560</v>
      </c>
      <c r="AU5331" s="1">
        <v>14270</v>
      </c>
      <c r="AV5331">
        <v>80.03</v>
      </c>
      <c r="AX5331" s="1">
        <v>1732.72</v>
      </c>
      <c r="AY5331" t="s">
        <v>6319</v>
      </c>
      <c r="AZ5331" t="s">
        <v>6319</v>
      </c>
      <c r="BA5331" t="s">
        <v>218</v>
      </c>
      <c r="BE5331" s="3">
        <v>42195</v>
      </c>
      <c r="BF5331" s="1">
        <v>189900</v>
      </c>
      <c r="BG5331" t="s">
        <v>32912</v>
      </c>
      <c r="BH5331" s="1">
        <v>104.23</v>
      </c>
      <c r="BI5331" s="1">
        <v>263415</v>
      </c>
      <c r="BJ5331" s="3">
        <v>43294</v>
      </c>
      <c r="BK5331" t="s">
        <v>123</v>
      </c>
      <c r="BL5331" t="str">
        <f>"2018.532425"</f>
        <v>2018.532425</v>
      </c>
      <c r="BM5331" t="s">
        <v>23724</v>
      </c>
      <c r="BN5331" t="s">
        <v>1136</v>
      </c>
      <c r="BO5331" t="s">
        <v>32913</v>
      </c>
      <c r="BP5331" t="s">
        <v>32914</v>
      </c>
      <c r="BR5331" t="s">
        <v>139</v>
      </c>
      <c r="BW5331" t="str">
        <f>""</f>
        <v/>
      </c>
      <c r="CH5331" t="str">
        <f>""</f>
        <v/>
      </c>
      <c r="CS5331" t="str">
        <f>""</f>
        <v/>
      </c>
    </row>
    <row r="5332" spans="1:97" x14ac:dyDescent="0.25">
      <c r="A5332" t="s">
        <v>3730</v>
      </c>
      <c r="B5332" t="s">
        <v>1715</v>
      </c>
      <c r="C5332" t="s">
        <v>1845</v>
      </c>
      <c r="D5332" t="s">
        <v>1715</v>
      </c>
      <c r="E5332" t="s">
        <v>32915</v>
      </c>
      <c r="F5332" t="s">
        <v>108</v>
      </c>
      <c r="H5332" t="s">
        <v>32916</v>
      </c>
      <c r="I5332" t="s">
        <v>1397</v>
      </c>
      <c r="J5332" t="s">
        <v>111</v>
      </c>
      <c r="K5332" t="str">
        <f>"85331"</f>
        <v>85331</v>
      </c>
      <c r="L5332" t="s">
        <v>1398</v>
      </c>
      <c r="M5332" t="s">
        <v>32916</v>
      </c>
      <c r="N5332" t="s">
        <v>1397</v>
      </c>
      <c r="O5332" t="s">
        <v>111</v>
      </c>
      <c r="P5332" t="str">
        <f>"85331-3086"</f>
        <v>85331-3086</v>
      </c>
      <c r="Q5332" t="s">
        <v>113</v>
      </c>
      <c r="R5332" t="str">
        <f>"211-37-586"</f>
        <v>211-37-586</v>
      </c>
      <c r="S5332" t="s">
        <v>32917</v>
      </c>
      <c r="T5332" t="s">
        <v>22149</v>
      </c>
      <c r="U5332">
        <v>2558</v>
      </c>
      <c r="V5332">
        <v>0</v>
      </c>
      <c r="W5332">
        <v>4</v>
      </c>
      <c r="X5332">
        <v>2002</v>
      </c>
      <c r="Z5332">
        <v>1</v>
      </c>
      <c r="AA5332" t="s">
        <v>26</v>
      </c>
      <c r="AB5332">
        <v>0</v>
      </c>
      <c r="AC5332" t="s">
        <v>115</v>
      </c>
      <c r="AD5332">
        <v>3</v>
      </c>
      <c r="AE5332" t="s">
        <v>115</v>
      </c>
      <c r="AF5332">
        <v>0</v>
      </c>
      <c r="AG5332">
        <v>0</v>
      </c>
      <c r="AH5332" t="s">
        <v>116</v>
      </c>
      <c r="AI5332" s="1">
        <v>156491</v>
      </c>
      <c r="AJ5332" s="2">
        <v>0.27</v>
      </c>
      <c r="AK5332" s="1">
        <v>571315</v>
      </c>
      <c r="AL5332" t="s">
        <v>117</v>
      </c>
      <c r="AM5332" t="s">
        <v>616</v>
      </c>
      <c r="AN5332">
        <v>9914</v>
      </c>
      <c r="AO5332">
        <v>0.23</v>
      </c>
      <c r="AP5332">
        <v>1</v>
      </c>
      <c r="AR5332">
        <v>1</v>
      </c>
      <c r="AS5332" s="1">
        <v>40060</v>
      </c>
      <c r="AT5332" s="1">
        <v>8010</v>
      </c>
      <c r="AU5332" s="1">
        <v>32050</v>
      </c>
      <c r="AV5332">
        <v>80</v>
      </c>
      <c r="AX5332" s="1">
        <v>2683.6</v>
      </c>
      <c r="AY5332" t="s">
        <v>1401</v>
      </c>
      <c r="AZ5332" t="s">
        <v>1402</v>
      </c>
      <c r="BA5332" t="s">
        <v>1403</v>
      </c>
      <c r="BE5332" s="3">
        <v>42192</v>
      </c>
      <c r="BF5332" s="1">
        <v>469500</v>
      </c>
      <c r="BG5332" t="s">
        <v>32918</v>
      </c>
      <c r="BH5332" s="1">
        <v>183.54</v>
      </c>
      <c r="BI5332" s="1">
        <v>414824</v>
      </c>
      <c r="BJ5332" s="3">
        <v>42613</v>
      </c>
      <c r="BK5332" t="s">
        <v>123</v>
      </c>
      <c r="BL5332" t="str">
        <f>"2016.631754"</f>
        <v>2016.631754</v>
      </c>
      <c r="BM5332" t="s">
        <v>475</v>
      </c>
      <c r="BO5332" t="s">
        <v>32919</v>
      </c>
      <c r="BS5332">
        <v>30</v>
      </c>
      <c r="BW5332" t="str">
        <f>""</f>
        <v/>
      </c>
      <c r="CH5332" t="str">
        <f>""</f>
        <v/>
      </c>
      <c r="CS5332" t="str">
        <f>""</f>
        <v/>
      </c>
    </row>
    <row r="5333" spans="1:97" x14ac:dyDescent="0.25">
      <c r="B5333" t="s">
        <v>32920</v>
      </c>
      <c r="E5333" t="s">
        <v>32921</v>
      </c>
      <c r="F5333" t="s">
        <v>108</v>
      </c>
      <c r="H5333" t="s">
        <v>32922</v>
      </c>
      <c r="I5333" t="s">
        <v>110</v>
      </c>
      <c r="J5333" t="s">
        <v>111</v>
      </c>
      <c r="K5333" t="str">
        <f>"85249"</f>
        <v>85249</v>
      </c>
      <c r="L5333" t="s">
        <v>417</v>
      </c>
      <c r="M5333" t="s">
        <v>32922</v>
      </c>
      <c r="N5333" t="s">
        <v>110</v>
      </c>
      <c r="O5333" t="s">
        <v>111</v>
      </c>
      <c r="P5333" t="str">
        <f>"85249-5580"</f>
        <v>85249-5580</v>
      </c>
      <c r="Q5333" t="s">
        <v>113</v>
      </c>
      <c r="R5333" t="str">
        <f>"304-82-914"</f>
        <v>304-82-914</v>
      </c>
      <c r="S5333" t="s">
        <v>24968</v>
      </c>
      <c r="T5333" t="s">
        <v>24969</v>
      </c>
      <c r="U5333">
        <v>3235</v>
      </c>
      <c r="V5333">
        <v>0</v>
      </c>
      <c r="W5333">
        <v>4</v>
      </c>
      <c r="X5333">
        <v>2010</v>
      </c>
      <c r="Z5333">
        <v>1</v>
      </c>
      <c r="AA5333" t="s">
        <v>26</v>
      </c>
      <c r="AB5333">
        <v>0</v>
      </c>
      <c r="AC5333" t="s">
        <v>115</v>
      </c>
      <c r="AD5333">
        <v>3</v>
      </c>
      <c r="AE5333" t="s">
        <v>115</v>
      </c>
      <c r="AF5333">
        <v>0</v>
      </c>
      <c r="AG5333">
        <v>0</v>
      </c>
      <c r="AH5333" t="s">
        <v>116</v>
      </c>
      <c r="AI5333" s="1">
        <v>340694</v>
      </c>
      <c r="AJ5333" s="2">
        <v>0.54</v>
      </c>
      <c r="AK5333" s="1">
        <v>625938</v>
      </c>
      <c r="AL5333" t="s">
        <v>117</v>
      </c>
      <c r="AM5333" t="s">
        <v>118</v>
      </c>
      <c r="AN5333">
        <v>10437</v>
      </c>
      <c r="AO5333">
        <v>0.24</v>
      </c>
      <c r="AR5333">
        <v>1</v>
      </c>
      <c r="AS5333" s="1">
        <v>47100</v>
      </c>
      <c r="AT5333" s="1">
        <v>9420</v>
      </c>
      <c r="AU5333" s="1">
        <v>37680</v>
      </c>
      <c r="AV5333">
        <v>80</v>
      </c>
      <c r="AX5333" s="1">
        <v>4855.38</v>
      </c>
      <c r="AY5333" t="s">
        <v>3699</v>
      </c>
      <c r="AZ5333" t="s">
        <v>273</v>
      </c>
      <c r="BA5333" t="s">
        <v>274</v>
      </c>
      <c r="BB5333" s="3">
        <v>41898</v>
      </c>
      <c r="BD5333" t="s">
        <v>480</v>
      </c>
      <c r="BE5333" s="3">
        <v>41809</v>
      </c>
      <c r="BF5333" s="1">
        <v>279241</v>
      </c>
      <c r="BG5333" t="s">
        <v>32923</v>
      </c>
      <c r="BH5333" s="1">
        <v>86.32</v>
      </c>
      <c r="BI5333" s="1">
        <v>285244</v>
      </c>
      <c r="BJ5333" s="3">
        <v>41809</v>
      </c>
      <c r="BK5333" t="s">
        <v>123</v>
      </c>
      <c r="BL5333" t="str">
        <f>"2014.401725"</f>
        <v>2014.401725</v>
      </c>
      <c r="BM5333" t="s">
        <v>10036</v>
      </c>
      <c r="BO5333" t="s">
        <v>32924</v>
      </c>
      <c r="BP5333" t="s">
        <v>32925</v>
      </c>
      <c r="BS5333">
        <v>30</v>
      </c>
      <c r="BW5333" t="str">
        <f>""</f>
        <v/>
      </c>
      <c r="CH5333" t="str">
        <f>""</f>
        <v/>
      </c>
      <c r="CS5333" t="str">
        <f>""</f>
        <v/>
      </c>
    </row>
    <row r="5334" spans="1:97" x14ac:dyDescent="0.25">
      <c r="A5334" t="s">
        <v>464</v>
      </c>
      <c r="B5334" t="s">
        <v>32926</v>
      </c>
      <c r="C5334" t="s">
        <v>32927</v>
      </c>
      <c r="D5334" t="s">
        <v>32926</v>
      </c>
      <c r="E5334" t="s">
        <v>32928</v>
      </c>
      <c r="F5334" t="s">
        <v>108</v>
      </c>
      <c r="H5334" t="s">
        <v>32929</v>
      </c>
      <c r="I5334" t="s">
        <v>225</v>
      </c>
      <c r="J5334" t="s">
        <v>111</v>
      </c>
      <c r="K5334" t="str">
        <f>"85207"</f>
        <v>85207</v>
      </c>
      <c r="L5334" t="s">
        <v>2220</v>
      </c>
      <c r="M5334" t="s">
        <v>32929</v>
      </c>
      <c r="N5334" t="s">
        <v>225</v>
      </c>
      <c r="O5334" t="s">
        <v>111</v>
      </c>
      <c r="P5334" t="str">
        <f>"85207"</f>
        <v>85207</v>
      </c>
      <c r="Q5334" t="s">
        <v>113</v>
      </c>
      <c r="R5334" t="str">
        <f>"219-25-717"</f>
        <v>219-25-717</v>
      </c>
      <c r="S5334" t="s">
        <v>14148</v>
      </c>
      <c r="T5334" t="s">
        <v>14148</v>
      </c>
      <c r="U5334">
        <v>1760</v>
      </c>
      <c r="V5334">
        <v>0</v>
      </c>
      <c r="W5334">
        <v>3</v>
      </c>
      <c r="X5334">
        <v>2007</v>
      </c>
      <c r="Z5334">
        <v>1</v>
      </c>
      <c r="AB5334">
        <v>0</v>
      </c>
      <c r="AC5334" t="s">
        <v>115</v>
      </c>
      <c r="AD5334">
        <v>2</v>
      </c>
      <c r="AE5334" t="s">
        <v>115</v>
      </c>
      <c r="AF5334">
        <v>0</v>
      </c>
      <c r="AG5334">
        <v>0</v>
      </c>
      <c r="AH5334" t="s">
        <v>116</v>
      </c>
      <c r="AI5334" s="1">
        <v>89005</v>
      </c>
      <c r="AJ5334" s="2">
        <v>0.25</v>
      </c>
      <c r="AK5334" s="1">
        <v>358995</v>
      </c>
      <c r="AL5334" t="s">
        <v>117</v>
      </c>
      <c r="AM5334" t="s">
        <v>393</v>
      </c>
      <c r="AN5334">
        <v>5754</v>
      </c>
      <c r="AO5334">
        <v>0.13</v>
      </c>
      <c r="AR5334">
        <v>1</v>
      </c>
      <c r="AS5334" s="1">
        <v>24420</v>
      </c>
      <c r="AT5334" s="1">
        <v>4880</v>
      </c>
      <c r="AU5334" s="1">
        <v>19540</v>
      </c>
      <c r="AV5334">
        <v>80.02</v>
      </c>
      <c r="AX5334" s="1">
        <v>2004.66</v>
      </c>
      <c r="AY5334" t="s">
        <v>9337</v>
      </c>
      <c r="AZ5334" t="s">
        <v>231</v>
      </c>
      <c r="BA5334" t="s">
        <v>3119</v>
      </c>
      <c r="BE5334" s="3">
        <v>41960</v>
      </c>
      <c r="BF5334" s="1">
        <v>280000</v>
      </c>
      <c r="BG5334" t="s">
        <v>32930</v>
      </c>
      <c r="BH5334" s="1">
        <v>159.09</v>
      </c>
      <c r="BI5334" s="1">
        <v>269990</v>
      </c>
      <c r="BJ5334" s="3">
        <v>41960</v>
      </c>
      <c r="BK5334" t="s">
        <v>123</v>
      </c>
      <c r="BL5334" t="str">
        <f>"2014.758372"</f>
        <v>2014.758372</v>
      </c>
      <c r="BM5334" t="s">
        <v>8868</v>
      </c>
      <c r="BO5334" t="s">
        <v>32931</v>
      </c>
      <c r="BS5334">
        <v>30</v>
      </c>
      <c r="BW5334" t="str">
        <f>""</f>
        <v/>
      </c>
      <c r="CH5334" t="str">
        <f>""</f>
        <v/>
      </c>
      <c r="CS5334" t="str">
        <f>""</f>
        <v/>
      </c>
    </row>
    <row r="5335" spans="1:97" x14ac:dyDescent="0.25">
      <c r="B5335" t="s">
        <v>32932</v>
      </c>
      <c r="C5335" t="s">
        <v>5375</v>
      </c>
      <c r="E5335" t="s">
        <v>32933</v>
      </c>
      <c r="F5335" t="s">
        <v>108</v>
      </c>
      <c r="H5335" t="s">
        <v>32934</v>
      </c>
      <c r="I5335" t="s">
        <v>203</v>
      </c>
      <c r="J5335" t="s">
        <v>111</v>
      </c>
      <c r="K5335" t="str">
        <f>"85234"</f>
        <v>85234</v>
      </c>
      <c r="L5335" t="s">
        <v>2963</v>
      </c>
      <c r="M5335" t="s">
        <v>32934</v>
      </c>
      <c r="N5335" t="s">
        <v>203</v>
      </c>
      <c r="O5335" t="s">
        <v>111</v>
      </c>
      <c r="P5335" t="str">
        <f>"85234-2617"</f>
        <v>85234-2617</v>
      </c>
      <c r="Q5335" t="s">
        <v>113</v>
      </c>
      <c r="R5335" t="str">
        <f>"304-96-597"</f>
        <v>304-96-597</v>
      </c>
      <c r="S5335" t="s">
        <v>32935</v>
      </c>
      <c r="T5335" t="s">
        <v>26337</v>
      </c>
      <c r="U5335">
        <v>1860</v>
      </c>
      <c r="V5335">
        <v>0</v>
      </c>
      <c r="W5335">
        <v>3</v>
      </c>
      <c r="X5335">
        <v>1995</v>
      </c>
      <c r="Z5335">
        <v>1</v>
      </c>
      <c r="AB5335">
        <v>0</v>
      </c>
      <c r="AC5335" t="s">
        <v>115</v>
      </c>
      <c r="AD5335">
        <v>2</v>
      </c>
      <c r="AE5335" t="s">
        <v>115</v>
      </c>
      <c r="AF5335">
        <v>0</v>
      </c>
      <c r="AG5335">
        <v>0</v>
      </c>
      <c r="AH5335" t="s">
        <v>116</v>
      </c>
      <c r="AI5335" s="1">
        <v>64104</v>
      </c>
      <c r="AJ5335" s="2">
        <v>0.18</v>
      </c>
      <c r="AK5335" s="1">
        <v>348179</v>
      </c>
      <c r="AL5335" t="s">
        <v>117</v>
      </c>
      <c r="AM5335" t="s">
        <v>393</v>
      </c>
      <c r="AN5335">
        <v>7205</v>
      </c>
      <c r="AO5335">
        <v>0.16</v>
      </c>
      <c r="AP5335">
        <v>1</v>
      </c>
      <c r="AR5335">
        <v>1</v>
      </c>
      <c r="AS5335" s="1">
        <v>24220</v>
      </c>
      <c r="AT5335" s="1">
        <v>4840</v>
      </c>
      <c r="AU5335" s="1">
        <v>19380</v>
      </c>
      <c r="AV5335">
        <v>80.02</v>
      </c>
      <c r="AX5335" s="1">
        <v>1832.5</v>
      </c>
      <c r="AY5335" t="s">
        <v>10191</v>
      </c>
      <c r="AZ5335" t="s">
        <v>571</v>
      </c>
      <c r="BA5335" t="s">
        <v>521</v>
      </c>
      <c r="BB5335" s="3">
        <v>43578</v>
      </c>
      <c r="BC5335" s="1">
        <v>0</v>
      </c>
      <c r="BD5335" t="s">
        <v>247</v>
      </c>
      <c r="BE5335" s="3">
        <v>42172</v>
      </c>
      <c r="BF5335" s="1">
        <v>275000</v>
      </c>
      <c r="BG5335" t="s">
        <v>32936</v>
      </c>
      <c r="BH5335" s="1">
        <v>147.85</v>
      </c>
      <c r="BI5335" s="1">
        <v>284075</v>
      </c>
      <c r="BJ5335" s="3">
        <v>42172</v>
      </c>
      <c r="BK5335" t="s">
        <v>123</v>
      </c>
      <c r="BL5335" t="str">
        <f>"2015.430795"</f>
        <v>2015.430795</v>
      </c>
      <c r="BM5335" t="s">
        <v>1287</v>
      </c>
      <c r="BN5335" t="s">
        <v>15612</v>
      </c>
      <c r="BO5335" t="s">
        <v>32937</v>
      </c>
      <c r="BP5335" t="s">
        <v>32938</v>
      </c>
      <c r="BS5335">
        <v>30</v>
      </c>
      <c r="BW5335" t="str">
        <f>""</f>
        <v/>
      </c>
      <c r="CH5335" t="str">
        <f>""</f>
        <v/>
      </c>
      <c r="CS5335" t="str">
        <f>""</f>
        <v/>
      </c>
    </row>
    <row r="5336" spans="1:97" x14ac:dyDescent="0.25">
      <c r="A5336" t="s">
        <v>2668</v>
      </c>
      <c r="B5336" t="s">
        <v>32939</v>
      </c>
      <c r="E5336" t="s">
        <v>32940</v>
      </c>
      <c r="F5336" t="s">
        <v>108</v>
      </c>
      <c r="H5336" t="s">
        <v>32941</v>
      </c>
      <c r="I5336" t="s">
        <v>167</v>
      </c>
      <c r="J5336" t="s">
        <v>111</v>
      </c>
      <c r="K5336" t="str">
        <f>"85339"</f>
        <v>85339</v>
      </c>
      <c r="L5336" t="s">
        <v>3885</v>
      </c>
      <c r="M5336" t="s">
        <v>32941</v>
      </c>
      <c r="N5336" t="s">
        <v>167</v>
      </c>
      <c r="O5336" t="s">
        <v>111</v>
      </c>
      <c r="P5336" t="str">
        <f>"85339-2080"</f>
        <v>85339-2080</v>
      </c>
      <c r="Q5336" t="s">
        <v>113</v>
      </c>
      <c r="R5336" t="str">
        <f>"300-10-482"</f>
        <v>300-10-482</v>
      </c>
      <c r="S5336" t="s">
        <v>12928</v>
      </c>
      <c r="T5336" t="s">
        <v>12928</v>
      </c>
      <c r="U5336">
        <v>3783</v>
      </c>
      <c r="V5336">
        <v>0</v>
      </c>
      <c r="W5336">
        <v>5</v>
      </c>
      <c r="X5336">
        <v>2005</v>
      </c>
      <c r="Z5336">
        <v>2</v>
      </c>
      <c r="AA5336" t="s">
        <v>26</v>
      </c>
      <c r="AB5336">
        <v>0</v>
      </c>
      <c r="AC5336" t="s">
        <v>115</v>
      </c>
      <c r="AD5336">
        <v>3</v>
      </c>
      <c r="AE5336" t="s">
        <v>115</v>
      </c>
      <c r="AF5336">
        <v>0</v>
      </c>
      <c r="AG5336">
        <v>0</v>
      </c>
      <c r="AH5336" t="s">
        <v>116</v>
      </c>
      <c r="AI5336" s="1">
        <v>110261</v>
      </c>
      <c r="AJ5336" s="2">
        <v>0.23</v>
      </c>
      <c r="AK5336" s="1">
        <v>470261</v>
      </c>
      <c r="AL5336" t="s">
        <v>117</v>
      </c>
      <c r="AM5336" t="s">
        <v>1302</v>
      </c>
      <c r="AN5336">
        <v>13365</v>
      </c>
      <c r="AO5336">
        <v>0.31</v>
      </c>
      <c r="AR5336">
        <v>1</v>
      </c>
      <c r="AS5336" s="1">
        <v>30710</v>
      </c>
      <c r="AT5336" s="1">
        <v>6140</v>
      </c>
      <c r="AU5336" s="1">
        <v>24570</v>
      </c>
      <c r="AV5336">
        <v>80.010000000000005</v>
      </c>
      <c r="AX5336" s="1">
        <v>4439.6000000000004</v>
      </c>
      <c r="AY5336" t="s">
        <v>806</v>
      </c>
      <c r="AZ5336" t="s">
        <v>806</v>
      </c>
      <c r="BA5336" t="s">
        <v>173</v>
      </c>
      <c r="BE5336" s="3">
        <v>42047</v>
      </c>
      <c r="BF5336" s="1">
        <v>360000</v>
      </c>
      <c r="BG5336" t="s">
        <v>32942</v>
      </c>
      <c r="BH5336" s="1">
        <v>95.16</v>
      </c>
      <c r="BI5336" s="1">
        <v>360000</v>
      </c>
      <c r="BJ5336" s="3">
        <v>42047</v>
      </c>
      <c r="BK5336" t="s">
        <v>123</v>
      </c>
      <c r="BL5336" t="str">
        <f>"2015.92060"</f>
        <v>2015.92060</v>
      </c>
      <c r="BM5336" t="s">
        <v>6784</v>
      </c>
      <c r="BO5336" t="s">
        <v>32943</v>
      </c>
      <c r="BS5336">
        <v>30</v>
      </c>
      <c r="BW5336" t="str">
        <f>""</f>
        <v/>
      </c>
      <c r="CH5336" t="str">
        <f>""</f>
        <v/>
      </c>
      <c r="CS5336" t="str">
        <f>""</f>
        <v/>
      </c>
    </row>
    <row r="5337" spans="1:97" x14ac:dyDescent="0.25">
      <c r="A5337" t="s">
        <v>589</v>
      </c>
      <c r="B5337" t="s">
        <v>32944</v>
      </c>
      <c r="C5337" t="s">
        <v>767</v>
      </c>
      <c r="D5337" t="s">
        <v>32944</v>
      </c>
      <c r="E5337" t="s">
        <v>32945</v>
      </c>
      <c r="F5337" t="s">
        <v>108</v>
      </c>
      <c r="H5337" t="s">
        <v>32946</v>
      </c>
      <c r="I5337" t="s">
        <v>3150</v>
      </c>
      <c r="J5337" t="s">
        <v>111</v>
      </c>
      <c r="K5337" t="str">
        <f>"85340"</f>
        <v>85340</v>
      </c>
      <c r="L5337" t="s">
        <v>2197</v>
      </c>
      <c r="M5337" t="s">
        <v>32946</v>
      </c>
      <c r="N5337" t="s">
        <v>3150</v>
      </c>
      <c r="O5337" t="s">
        <v>111</v>
      </c>
      <c r="P5337" t="str">
        <f>"85340-3307"</f>
        <v>85340-3307</v>
      </c>
      <c r="Q5337" t="s">
        <v>113</v>
      </c>
      <c r="R5337" t="str">
        <f>"508-08-167"</f>
        <v>508-08-167</v>
      </c>
      <c r="S5337" t="s">
        <v>18916</v>
      </c>
      <c r="T5337" t="s">
        <v>32947</v>
      </c>
      <c r="U5337">
        <v>3749</v>
      </c>
      <c r="V5337">
        <v>0</v>
      </c>
      <c r="W5337">
        <v>5</v>
      </c>
      <c r="X5337">
        <v>2003</v>
      </c>
      <c r="Z5337">
        <v>1</v>
      </c>
      <c r="AA5337" t="s">
        <v>26</v>
      </c>
      <c r="AB5337">
        <v>0</v>
      </c>
      <c r="AC5337" t="s">
        <v>115</v>
      </c>
      <c r="AD5337">
        <v>3</v>
      </c>
      <c r="AE5337" t="s">
        <v>115</v>
      </c>
      <c r="AF5337">
        <v>0</v>
      </c>
      <c r="AG5337">
        <v>0</v>
      </c>
      <c r="AH5337" t="s">
        <v>116</v>
      </c>
      <c r="AI5337" s="1">
        <v>83106</v>
      </c>
      <c r="AJ5337" s="2">
        <v>0.17</v>
      </c>
      <c r="AK5337" s="1">
        <v>500745</v>
      </c>
      <c r="AL5337" t="s">
        <v>117</v>
      </c>
      <c r="AM5337" t="str">
        <f>"R1-10"</f>
        <v>R1-10</v>
      </c>
      <c r="AN5337">
        <v>22098</v>
      </c>
      <c r="AO5337">
        <v>0.51</v>
      </c>
      <c r="AP5337">
        <v>1</v>
      </c>
      <c r="AR5337">
        <v>1</v>
      </c>
      <c r="AS5337" s="1">
        <v>36410</v>
      </c>
      <c r="AT5337" s="1">
        <v>7280</v>
      </c>
      <c r="AU5337" s="1">
        <v>29130</v>
      </c>
      <c r="AV5337">
        <v>80.010000000000005</v>
      </c>
      <c r="AX5337" s="1">
        <v>4241.1000000000004</v>
      </c>
      <c r="AY5337" t="s">
        <v>6580</v>
      </c>
      <c r="AZ5337" t="s">
        <v>3153</v>
      </c>
      <c r="BA5337" t="s">
        <v>3154</v>
      </c>
      <c r="BE5337" s="3">
        <v>42310</v>
      </c>
      <c r="BF5337" s="1">
        <v>430000</v>
      </c>
      <c r="BG5337" t="s">
        <v>32948</v>
      </c>
      <c r="BH5337" s="1">
        <v>114.7</v>
      </c>
      <c r="BI5337" s="1">
        <v>417639</v>
      </c>
      <c r="BJ5337" s="3">
        <v>42594</v>
      </c>
      <c r="BK5337" t="s">
        <v>123</v>
      </c>
      <c r="BL5337" t="str">
        <f>"2016.576927"</f>
        <v>2016.576927</v>
      </c>
      <c r="BM5337" t="s">
        <v>544</v>
      </c>
      <c r="BO5337" t="s">
        <v>32949</v>
      </c>
      <c r="BS5337">
        <v>30</v>
      </c>
      <c r="BW5337" t="str">
        <f>""</f>
        <v/>
      </c>
      <c r="CH5337" t="str">
        <f>""</f>
        <v/>
      </c>
      <c r="CS5337" t="str">
        <f>""</f>
        <v/>
      </c>
    </row>
    <row r="5338" spans="1:97" x14ac:dyDescent="0.25">
      <c r="A5338" t="s">
        <v>701</v>
      </c>
      <c r="B5338" t="s">
        <v>32950</v>
      </c>
      <c r="E5338" t="s">
        <v>32951</v>
      </c>
      <c r="F5338" t="s">
        <v>108</v>
      </c>
      <c r="H5338" t="s">
        <v>32952</v>
      </c>
      <c r="I5338" t="s">
        <v>225</v>
      </c>
      <c r="J5338" t="s">
        <v>111</v>
      </c>
      <c r="K5338" t="str">
        <f>"85201"</f>
        <v>85201</v>
      </c>
      <c r="L5338" t="s">
        <v>5185</v>
      </c>
      <c r="M5338" t="s">
        <v>32952</v>
      </c>
      <c r="N5338" t="s">
        <v>225</v>
      </c>
      <c r="O5338" t="s">
        <v>111</v>
      </c>
      <c r="P5338" t="str">
        <f>"85201-4635"</f>
        <v>85201-4635</v>
      </c>
      <c r="Q5338" t="s">
        <v>113</v>
      </c>
      <c r="R5338" t="str">
        <f>"135-32-047-B"</f>
        <v>135-32-047-B</v>
      </c>
      <c r="S5338" t="s">
        <v>32953</v>
      </c>
      <c r="U5338">
        <v>2501</v>
      </c>
      <c r="V5338">
        <v>0</v>
      </c>
      <c r="W5338">
        <v>3</v>
      </c>
      <c r="X5338">
        <v>1967</v>
      </c>
      <c r="Z5338">
        <v>1</v>
      </c>
      <c r="AA5338" t="s">
        <v>26</v>
      </c>
      <c r="AB5338">
        <v>0</v>
      </c>
      <c r="AC5338" t="s">
        <v>115</v>
      </c>
      <c r="AD5338">
        <v>2</v>
      </c>
      <c r="AE5338" t="s">
        <v>115</v>
      </c>
      <c r="AF5338">
        <v>0</v>
      </c>
      <c r="AG5338">
        <v>0</v>
      </c>
      <c r="AH5338" t="s">
        <v>116</v>
      </c>
      <c r="AI5338" s="1">
        <v>101554</v>
      </c>
      <c r="AJ5338" s="2">
        <v>0.26</v>
      </c>
      <c r="AK5338" s="1">
        <v>390690</v>
      </c>
      <c r="AL5338" t="s">
        <v>117</v>
      </c>
      <c r="AM5338" t="s">
        <v>229</v>
      </c>
      <c r="AN5338">
        <v>13700</v>
      </c>
      <c r="AO5338">
        <v>0.32</v>
      </c>
      <c r="AP5338">
        <v>1</v>
      </c>
      <c r="AR5338">
        <v>1</v>
      </c>
      <c r="AS5338" s="1">
        <v>28050</v>
      </c>
      <c r="AT5338" s="1">
        <v>5610</v>
      </c>
      <c r="AU5338" s="1">
        <v>22440</v>
      </c>
      <c r="AV5338">
        <v>80</v>
      </c>
      <c r="AX5338" s="1">
        <v>1524.66</v>
      </c>
      <c r="AY5338" t="s">
        <v>32954</v>
      </c>
      <c r="AZ5338" t="s">
        <v>7850</v>
      </c>
      <c r="BA5338" t="s">
        <v>5191</v>
      </c>
      <c r="BE5338" s="3">
        <v>42060</v>
      </c>
      <c r="BF5338" s="1">
        <v>279900</v>
      </c>
      <c r="BG5338" t="s">
        <v>32955</v>
      </c>
      <c r="BH5338" s="1">
        <v>111.92</v>
      </c>
      <c r="BI5338" s="1">
        <v>289136</v>
      </c>
      <c r="BJ5338" s="3">
        <v>42060</v>
      </c>
      <c r="BK5338" t="s">
        <v>123</v>
      </c>
      <c r="BL5338" t="str">
        <f>"2015.122243"</f>
        <v>2015.122243</v>
      </c>
      <c r="BM5338" t="s">
        <v>594</v>
      </c>
      <c r="BO5338" t="s">
        <v>32956</v>
      </c>
      <c r="BS5338">
        <v>30</v>
      </c>
      <c r="BW5338" t="str">
        <f>""</f>
        <v/>
      </c>
      <c r="CH5338" t="str">
        <f>""</f>
        <v/>
      </c>
      <c r="CS5338" t="str">
        <f>""</f>
        <v/>
      </c>
    </row>
    <row r="5339" spans="1:97" x14ac:dyDescent="0.25">
      <c r="A5339" t="s">
        <v>2123</v>
      </c>
      <c r="B5339" t="s">
        <v>32957</v>
      </c>
      <c r="C5339" t="s">
        <v>1021</v>
      </c>
      <c r="D5339" t="s">
        <v>32957</v>
      </c>
      <c r="E5339" t="s">
        <v>32958</v>
      </c>
      <c r="F5339" t="s">
        <v>108</v>
      </c>
      <c r="H5339" t="s">
        <v>32959</v>
      </c>
      <c r="I5339" t="s">
        <v>188</v>
      </c>
      <c r="J5339" t="s">
        <v>111</v>
      </c>
      <c r="K5339" t="str">
        <f>"85142"</f>
        <v>85142</v>
      </c>
      <c r="L5339" t="s">
        <v>5893</v>
      </c>
      <c r="M5339" t="s">
        <v>32959</v>
      </c>
      <c r="N5339" t="s">
        <v>188</v>
      </c>
      <c r="O5339" t="s">
        <v>111</v>
      </c>
      <c r="P5339" t="str">
        <f>"85142-4835"</f>
        <v>85142-4835</v>
      </c>
      <c r="Q5339" t="s">
        <v>113</v>
      </c>
      <c r="R5339" t="str">
        <f>"314-04-703"</f>
        <v>314-04-703</v>
      </c>
      <c r="S5339" t="s">
        <v>5894</v>
      </c>
      <c r="T5339" t="s">
        <v>5894</v>
      </c>
      <c r="U5339">
        <v>1735</v>
      </c>
      <c r="V5339">
        <v>0</v>
      </c>
      <c r="W5339">
        <v>3</v>
      </c>
      <c r="X5339">
        <v>2015</v>
      </c>
      <c r="Z5339">
        <v>1</v>
      </c>
      <c r="AB5339">
        <v>0</v>
      </c>
      <c r="AC5339" t="s">
        <v>115</v>
      </c>
      <c r="AD5339">
        <v>2</v>
      </c>
      <c r="AE5339" t="s">
        <v>115</v>
      </c>
      <c r="AF5339">
        <v>0</v>
      </c>
      <c r="AG5339">
        <v>0</v>
      </c>
      <c r="AH5339" t="s">
        <v>116</v>
      </c>
      <c r="AI5339" s="1">
        <v>48027</v>
      </c>
      <c r="AJ5339" s="2">
        <v>0.15</v>
      </c>
      <c r="AK5339" s="1">
        <v>316965</v>
      </c>
      <c r="AL5339" t="s">
        <v>117</v>
      </c>
      <c r="AM5339" t="s">
        <v>191</v>
      </c>
      <c r="AN5339">
        <v>7414</v>
      </c>
      <c r="AO5339">
        <v>0.17</v>
      </c>
      <c r="AR5339">
        <v>1</v>
      </c>
      <c r="AS5339" s="1">
        <v>21770</v>
      </c>
      <c r="AT5339" s="1">
        <v>4350</v>
      </c>
      <c r="AU5339" s="1">
        <v>17420</v>
      </c>
      <c r="AV5339">
        <v>80.02</v>
      </c>
      <c r="AX5339" s="1">
        <v>1859.58</v>
      </c>
      <c r="AY5339" t="s">
        <v>5895</v>
      </c>
      <c r="AZ5339" t="s">
        <v>561</v>
      </c>
      <c r="BA5339" t="s">
        <v>194</v>
      </c>
      <c r="BE5339" s="3">
        <v>42423</v>
      </c>
      <c r="BF5339" s="1">
        <v>262288</v>
      </c>
      <c r="BG5339" t="s">
        <v>1079</v>
      </c>
      <c r="BH5339" s="1">
        <v>151.16999999999999</v>
      </c>
      <c r="BI5339" s="1">
        <v>268938</v>
      </c>
      <c r="BJ5339" s="3">
        <v>42671</v>
      </c>
      <c r="BK5339" t="s">
        <v>123</v>
      </c>
      <c r="BL5339" t="str">
        <f>"2016.795131"</f>
        <v>2016.795131</v>
      </c>
      <c r="BM5339" t="s">
        <v>255</v>
      </c>
      <c r="BO5339" t="s">
        <v>32960</v>
      </c>
      <c r="BS5339">
        <v>30</v>
      </c>
      <c r="BW5339" t="str">
        <f>""</f>
        <v/>
      </c>
      <c r="CH5339" t="str">
        <f>""</f>
        <v/>
      </c>
      <c r="CS5339" t="str">
        <f>""</f>
        <v/>
      </c>
    </row>
    <row r="5340" spans="1:97" x14ac:dyDescent="0.25">
      <c r="A5340" t="s">
        <v>2374</v>
      </c>
      <c r="B5340" t="s">
        <v>32961</v>
      </c>
      <c r="E5340" t="s">
        <v>32962</v>
      </c>
      <c r="F5340" t="s">
        <v>108</v>
      </c>
      <c r="H5340" t="s">
        <v>32963</v>
      </c>
      <c r="I5340" t="s">
        <v>1788</v>
      </c>
      <c r="J5340" t="s">
        <v>111</v>
      </c>
      <c r="K5340" t="str">
        <f>"85355"</f>
        <v>85355</v>
      </c>
      <c r="L5340" t="s">
        <v>168</v>
      </c>
      <c r="M5340" t="s">
        <v>32963</v>
      </c>
      <c r="N5340" t="s">
        <v>1788</v>
      </c>
      <c r="O5340" t="s">
        <v>111</v>
      </c>
      <c r="P5340" t="str">
        <f>"85355-4337"</f>
        <v>85355-4337</v>
      </c>
      <c r="Q5340" t="s">
        <v>113</v>
      </c>
      <c r="R5340" t="str">
        <f>"502-90-697"</f>
        <v>502-90-697</v>
      </c>
      <c r="S5340" t="s">
        <v>8290</v>
      </c>
      <c r="T5340" t="s">
        <v>8290</v>
      </c>
      <c r="U5340">
        <v>3297</v>
      </c>
      <c r="V5340">
        <v>0</v>
      </c>
      <c r="W5340">
        <v>4</v>
      </c>
      <c r="X5340">
        <v>2014</v>
      </c>
      <c r="Z5340">
        <v>2</v>
      </c>
      <c r="AB5340">
        <v>0</v>
      </c>
      <c r="AC5340" t="s">
        <v>115</v>
      </c>
      <c r="AD5340">
        <v>3</v>
      </c>
      <c r="AE5340" t="s">
        <v>115</v>
      </c>
      <c r="AF5340">
        <v>0</v>
      </c>
      <c r="AG5340">
        <v>0</v>
      </c>
      <c r="AH5340" t="s">
        <v>116</v>
      </c>
      <c r="AI5340" s="1">
        <v>79356</v>
      </c>
      <c r="AJ5340" s="2">
        <v>0.23</v>
      </c>
      <c r="AK5340" s="1">
        <v>350379</v>
      </c>
      <c r="AL5340" t="s">
        <v>117</v>
      </c>
      <c r="AM5340" t="s">
        <v>191</v>
      </c>
      <c r="AN5340">
        <v>8500</v>
      </c>
      <c r="AO5340">
        <v>0.2</v>
      </c>
      <c r="AR5340">
        <v>1</v>
      </c>
      <c r="AS5340" s="1">
        <v>26060</v>
      </c>
      <c r="AT5340" s="1">
        <v>5210</v>
      </c>
      <c r="AU5340" s="1">
        <v>20850</v>
      </c>
      <c r="AV5340">
        <v>80.010000000000005</v>
      </c>
      <c r="AX5340" s="1">
        <v>1809.82</v>
      </c>
      <c r="AY5340" t="s">
        <v>5972</v>
      </c>
      <c r="AZ5340" t="s">
        <v>5972</v>
      </c>
      <c r="BA5340" t="s">
        <v>5061</v>
      </c>
      <c r="BE5340" s="3">
        <v>41717</v>
      </c>
      <c r="BF5340" s="1">
        <v>271023</v>
      </c>
      <c r="BG5340" t="s">
        <v>2289</v>
      </c>
      <c r="BH5340" s="1">
        <v>82.2</v>
      </c>
      <c r="BI5340" s="1">
        <v>271023</v>
      </c>
      <c r="BJ5340" s="3">
        <v>41717</v>
      </c>
      <c r="BK5340" t="s">
        <v>123</v>
      </c>
      <c r="BL5340" t="str">
        <f>"2014.174402"</f>
        <v>2014.174402</v>
      </c>
      <c r="BM5340" t="s">
        <v>175</v>
      </c>
      <c r="BO5340" t="s">
        <v>32964</v>
      </c>
      <c r="BS5340">
        <v>30</v>
      </c>
      <c r="BW5340" t="str">
        <f>""</f>
        <v/>
      </c>
      <c r="CH5340" t="str">
        <f>""</f>
        <v/>
      </c>
      <c r="CS5340" t="str">
        <f>""</f>
        <v/>
      </c>
    </row>
    <row r="5341" spans="1:97" x14ac:dyDescent="0.25">
      <c r="A5341" t="s">
        <v>2729</v>
      </c>
      <c r="B5341" t="s">
        <v>32965</v>
      </c>
      <c r="E5341" t="s">
        <v>32966</v>
      </c>
      <c r="F5341" t="s">
        <v>108</v>
      </c>
      <c r="H5341" t="s">
        <v>32967</v>
      </c>
      <c r="I5341" t="s">
        <v>110</v>
      </c>
      <c r="J5341" t="s">
        <v>111</v>
      </c>
      <c r="K5341" t="str">
        <f>"85286"</f>
        <v>85286</v>
      </c>
      <c r="L5341" t="s">
        <v>375</v>
      </c>
      <c r="M5341" t="s">
        <v>32967</v>
      </c>
      <c r="N5341" t="s">
        <v>110</v>
      </c>
      <c r="O5341" t="s">
        <v>111</v>
      </c>
      <c r="P5341" t="str">
        <f>"85286-5602"</f>
        <v>85286-5602</v>
      </c>
      <c r="Q5341" t="s">
        <v>113</v>
      </c>
      <c r="R5341" t="str">
        <f>"304-56-112"</f>
        <v>304-56-112</v>
      </c>
      <c r="S5341" t="s">
        <v>20453</v>
      </c>
      <c r="T5341" t="s">
        <v>20454</v>
      </c>
      <c r="U5341">
        <v>2171</v>
      </c>
      <c r="V5341">
        <v>0</v>
      </c>
      <c r="W5341">
        <v>3</v>
      </c>
      <c r="X5341">
        <v>2002</v>
      </c>
      <c r="Z5341">
        <v>1</v>
      </c>
      <c r="AB5341">
        <v>0</v>
      </c>
      <c r="AC5341" t="s">
        <v>115</v>
      </c>
      <c r="AD5341">
        <v>2</v>
      </c>
      <c r="AE5341" t="s">
        <v>115</v>
      </c>
      <c r="AF5341">
        <v>0</v>
      </c>
      <c r="AG5341">
        <v>0</v>
      </c>
      <c r="AH5341" t="s">
        <v>116</v>
      </c>
      <c r="AI5341" s="1">
        <v>94118</v>
      </c>
      <c r="AJ5341" s="2">
        <v>0.26</v>
      </c>
      <c r="AK5341" s="1">
        <v>364764</v>
      </c>
      <c r="AL5341" t="s">
        <v>117</v>
      </c>
      <c r="AM5341" t="s">
        <v>118</v>
      </c>
      <c r="AN5341">
        <v>10169</v>
      </c>
      <c r="AO5341">
        <v>0.23</v>
      </c>
      <c r="AP5341">
        <v>1</v>
      </c>
      <c r="AR5341">
        <v>1</v>
      </c>
      <c r="AS5341" s="1">
        <v>25270</v>
      </c>
      <c r="AT5341" s="1">
        <v>5050</v>
      </c>
      <c r="AU5341" s="1">
        <v>20220</v>
      </c>
      <c r="AV5341">
        <v>80.02</v>
      </c>
      <c r="AX5341" s="1">
        <v>2176.38</v>
      </c>
      <c r="AY5341" t="s">
        <v>737</v>
      </c>
      <c r="AZ5341" t="s">
        <v>120</v>
      </c>
      <c r="BA5341" t="s">
        <v>303</v>
      </c>
      <c r="BE5341" s="3">
        <v>42114</v>
      </c>
      <c r="BF5341" s="1">
        <v>262000</v>
      </c>
      <c r="BG5341" t="s">
        <v>32968</v>
      </c>
      <c r="BH5341" s="1">
        <v>120.68</v>
      </c>
      <c r="BI5341" s="1">
        <v>270646</v>
      </c>
      <c r="BJ5341" s="3">
        <v>42114</v>
      </c>
      <c r="BK5341" t="s">
        <v>123</v>
      </c>
      <c r="BL5341" t="str">
        <f>"2015.269489"</f>
        <v>2015.269489</v>
      </c>
      <c r="BM5341" t="s">
        <v>4014</v>
      </c>
      <c r="BO5341" t="s">
        <v>32969</v>
      </c>
      <c r="BS5341">
        <v>30</v>
      </c>
      <c r="BW5341" t="str">
        <f>""</f>
        <v/>
      </c>
      <c r="CH5341" t="str">
        <f>""</f>
        <v/>
      </c>
      <c r="CS5341" t="str">
        <f>""</f>
        <v/>
      </c>
    </row>
    <row r="5342" spans="1:97" x14ac:dyDescent="0.25">
      <c r="A5342" t="s">
        <v>370</v>
      </c>
      <c r="B5342" t="s">
        <v>32970</v>
      </c>
      <c r="E5342" t="s">
        <v>32971</v>
      </c>
      <c r="F5342" t="s">
        <v>108</v>
      </c>
      <c r="H5342" t="s">
        <v>32972</v>
      </c>
      <c r="I5342" t="s">
        <v>203</v>
      </c>
      <c r="J5342" t="s">
        <v>111</v>
      </c>
      <c r="K5342" t="str">
        <f>"85296"</f>
        <v>85296</v>
      </c>
      <c r="L5342" t="s">
        <v>9060</v>
      </c>
      <c r="M5342" t="s">
        <v>32972</v>
      </c>
      <c r="N5342" t="s">
        <v>203</v>
      </c>
      <c r="O5342" t="s">
        <v>111</v>
      </c>
      <c r="P5342" t="str">
        <f>"85296-9756"</f>
        <v>85296-9756</v>
      </c>
      <c r="Q5342" t="s">
        <v>113</v>
      </c>
      <c r="R5342" t="str">
        <f>"304-25-685"</f>
        <v>304-25-685</v>
      </c>
      <c r="S5342" t="s">
        <v>11835</v>
      </c>
      <c r="T5342" t="s">
        <v>9527</v>
      </c>
      <c r="U5342">
        <v>2470</v>
      </c>
      <c r="V5342">
        <v>0</v>
      </c>
      <c r="W5342">
        <v>3</v>
      </c>
      <c r="X5342">
        <v>1997</v>
      </c>
      <c r="Z5342">
        <v>1</v>
      </c>
      <c r="AA5342" t="s">
        <v>26</v>
      </c>
      <c r="AB5342">
        <v>0</v>
      </c>
      <c r="AC5342" t="s">
        <v>115</v>
      </c>
      <c r="AD5342">
        <v>3</v>
      </c>
      <c r="AE5342" t="s">
        <v>115</v>
      </c>
      <c r="AF5342">
        <v>0</v>
      </c>
      <c r="AG5342">
        <v>0</v>
      </c>
      <c r="AH5342" t="s">
        <v>116</v>
      </c>
      <c r="AI5342" s="1">
        <v>72145</v>
      </c>
      <c r="AJ5342" s="2">
        <v>0.17</v>
      </c>
      <c r="AK5342" s="1">
        <v>416145</v>
      </c>
      <c r="AL5342" t="s">
        <v>117</v>
      </c>
      <c r="AM5342" t="s">
        <v>393</v>
      </c>
      <c r="AN5342">
        <v>9021</v>
      </c>
      <c r="AO5342">
        <v>0.21</v>
      </c>
      <c r="AP5342">
        <v>1</v>
      </c>
      <c r="AR5342">
        <v>1</v>
      </c>
      <c r="AS5342" s="1">
        <v>30910</v>
      </c>
      <c r="AT5342" s="1">
        <v>6180</v>
      </c>
      <c r="AU5342" s="1">
        <v>24730</v>
      </c>
      <c r="AV5342">
        <v>80.010000000000005</v>
      </c>
      <c r="AX5342" s="1">
        <v>2265.42</v>
      </c>
      <c r="AY5342" t="s">
        <v>7837</v>
      </c>
      <c r="AZ5342" t="s">
        <v>207</v>
      </c>
      <c r="BA5342" t="s">
        <v>208</v>
      </c>
      <c r="BE5342" s="3">
        <v>42459</v>
      </c>
      <c r="BF5342" s="1">
        <v>344000</v>
      </c>
      <c r="BG5342" t="s">
        <v>32973</v>
      </c>
      <c r="BH5342" s="1">
        <v>139.27000000000001</v>
      </c>
      <c r="BI5342" s="1">
        <v>344000</v>
      </c>
      <c r="BJ5342" s="3">
        <v>42459</v>
      </c>
      <c r="BK5342" t="s">
        <v>123</v>
      </c>
      <c r="BL5342" t="str">
        <f>"2016.205931"</f>
        <v>2016.205931</v>
      </c>
      <c r="BM5342" t="s">
        <v>5702</v>
      </c>
      <c r="BO5342" t="s">
        <v>32974</v>
      </c>
      <c r="BS5342">
        <v>30</v>
      </c>
      <c r="BW5342" t="str">
        <f>""</f>
        <v/>
      </c>
      <c r="CH5342" t="str">
        <f>""</f>
        <v/>
      </c>
      <c r="CS5342" t="str">
        <f>""</f>
        <v/>
      </c>
    </row>
    <row r="5343" spans="1:97" x14ac:dyDescent="0.25">
      <c r="B5343" t="s">
        <v>32975</v>
      </c>
      <c r="E5343" t="s">
        <v>32976</v>
      </c>
      <c r="F5343" t="s">
        <v>108</v>
      </c>
      <c r="H5343" t="s">
        <v>32977</v>
      </c>
      <c r="I5343" t="s">
        <v>390</v>
      </c>
      <c r="J5343" t="s">
        <v>111</v>
      </c>
      <c r="K5343" t="str">
        <f>"85083"</f>
        <v>85083</v>
      </c>
      <c r="L5343" t="s">
        <v>4467</v>
      </c>
      <c r="M5343" t="s">
        <v>32977</v>
      </c>
      <c r="N5343" t="s">
        <v>390</v>
      </c>
      <c r="O5343" t="s">
        <v>111</v>
      </c>
      <c r="P5343" t="str">
        <f>"85083-7407"</f>
        <v>85083-7407</v>
      </c>
      <c r="Q5343" t="s">
        <v>113</v>
      </c>
      <c r="R5343" t="str">
        <f>"204-19-220"</f>
        <v>204-19-220</v>
      </c>
      <c r="S5343" t="s">
        <v>15586</v>
      </c>
      <c r="T5343" t="s">
        <v>15587</v>
      </c>
      <c r="U5343">
        <v>2646</v>
      </c>
      <c r="V5343">
        <v>0</v>
      </c>
      <c r="W5343">
        <v>4</v>
      </c>
      <c r="X5343">
        <v>2005</v>
      </c>
      <c r="Z5343">
        <v>1</v>
      </c>
      <c r="AA5343" t="s">
        <v>26</v>
      </c>
      <c r="AB5343">
        <v>0</v>
      </c>
      <c r="AC5343" t="s">
        <v>115</v>
      </c>
      <c r="AD5343">
        <v>3</v>
      </c>
      <c r="AE5343" t="s">
        <v>115</v>
      </c>
      <c r="AF5343">
        <v>0</v>
      </c>
      <c r="AG5343">
        <v>0</v>
      </c>
      <c r="AH5343" t="s">
        <v>116</v>
      </c>
      <c r="AI5343" s="1">
        <v>73433</v>
      </c>
      <c r="AJ5343" s="2">
        <v>0.17</v>
      </c>
      <c r="AK5343" s="1">
        <v>429714</v>
      </c>
      <c r="AL5343" t="s">
        <v>117</v>
      </c>
      <c r="AM5343" t="s">
        <v>171</v>
      </c>
      <c r="AN5343">
        <v>8400</v>
      </c>
      <c r="AO5343">
        <v>0.19</v>
      </c>
      <c r="AR5343">
        <v>1</v>
      </c>
      <c r="AS5343" s="1">
        <v>32360</v>
      </c>
      <c r="AT5343" s="1">
        <v>6470</v>
      </c>
      <c r="AU5343" s="1">
        <v>25890</v>
      </c>
      <c r="AV5343">
        <v>80.010000000000005</v>
      </c>
      <c r="AX5343" s="1">
        <v>2873.2</v>
      </c>
      <c r="AY5343" t="s">
        <v>1385</v>
      </c>
      <c r="AZ5343" t="s">
        <v>1385</v>
      </c>
      <c r="BA5343" t="s">
        <v>1386</v>
      </c>
      <c r="BB5343" s="3">
        <v>42361</v>
      </c>
      <c r="BD5343" t="s">
        <v>480</v>
      </c>
      <c r="BE5343" s="3">
        <v>42095</v>
      </c>
      <c r="BF5343" s="1">
        <v>344900</v>
      </c>
      <c r="BG5343" t="s">
        <v>32978</v>
      </c>
      <c r="BH5343" s="1">
        <v>130.35</v>
      </c>
      <c r="BI5343" s="1">
        <v>356281</v>
      </c>
      <c r="BJ5343" s="3">
        <v>42095</v>
      </c>
      <c r="BK5343" t="s">
        <v>123</v>
      </c>
      <c r="BL5343" t="str">
        <f>"2015.223518"</f>
        <v>2015.223518</v>
      </c>
      <c r="BM5343" t="s">
        <v>32979</v>
      </c>
      <c r="BO5343" t="s">
        <v>32980</v>
      </c>
      <c r="BS5343">
        <v>30</v>
      </c>
      <c r="BW5343" t="str">
        <f>""</f>
        <v/>
      </c>
      <c r="CH5343" t="str">
        <f>""</f>
        <v/>
      </c>
      <c r="CS5343" t="str">
        <f>""</f>
        <v/>
      </c>
    </row>
    <row r="5344" spans="1:97" x14ac:dyDescent="0.25">
      <c r="A5344" t="s">
        <v>305</v>
      </c>
      <c r="B5344" t="s">
        <v>32981</v>
      </c>
      <c r="C5344" t="s">
        <v>32982</v>
      </c>
      <c r="D5344" t="s">
        <v>32981</v>
      </c>
      <c r="E5344" t="s">
        <v>32983</v>
      </c>
      <c r="F5344" t="s">
        <v>108</v>
      </c>
      <c r="H5344" t="s">
        <v>32984</v>
      </c>
      <c r="I5344" t="s">
        <v>144</v>
      </c>
      <c r="J5344" t="s">
        <v>111</v>
      </c>
      <c r="K5344" t="str">
        <f>"85326"</f>
        <v>85326</v>
      </c>
      <c r="L5344" t="s">
        <v>8146</v>
      </c>
      <c r="M5344" t="s">
        <v>32984</v>
      </c>
      <c r="N5344" t="s">
        <v>144</v>
      </c>
      <c r="O5344" t="s">
        <v>111</v>
      </c>
      <c r="P5344" t="str">
        <f>"85326-8180"</f>
        <v>85326-8180</v>
      </c>
      <c r="Q5344" t="s">
        <v>113</v>
      </c>
      <c r="R5344" t="str">
        <f>"502-35-615"</f>
        <v>502-35-615</v>
      </c>
      <c r="S5344" t="s">
        <v>9331</v>
      </c>
      <c r="U5344">
        <v>2259</v>
      </c>
      <c r="V5344">
        <v>0</v>
      </c>
      <c r="W5344">
        <v>4</v>
      </c>
      <c r="X5344">
        <v>2014</v>
      </c>
      <c r="Z5344">
        <v>1</v>
      </c>
      <c r="AB5344">
        <v>0</v>
      </c>
      <c r="AC5344" t="s">
        <v>115</v>
      </c>
      <c r="AD5344">
        <v>3</v>
      </c>
      <c r="AE5344" t="s">
        <v>115</v>
      </c>
      <c r="AF5344">
        <v>0</v>
      </c>
      <c r="AG5344">
        <v>0</v>
      </c>
      <c r="AH5344" t="s">
        <v>116</v>
      </c>
      <c r="AI5344" s="1">
        <v>101360</v>
      </c>
      <c r="AJ5344" s="2">
        <v>0.33</v>
      </c>
      <c r="AK5344" s="1">
        <v>307010</v>
      </c>
      <c r="AL5344" t="s">
        <v>117</v>
      </c>
      <c r="AM5344" t="s">
        <v>118</v>
      </c>
      <c r="AN5344">
        <v>6675</v>
      </c>
      <c r="AO5344">
        <v>0.15</v>
      </c>
      <c r="AR5344">
        <v>1</v>
      </c>
      <c r="AS5344" s="1">
        <v>21620</v>
      </c>
      <c r="AT5344" s="1">
        <v>4320</v>
      </c>
      <c r="AU5344" s="1">
        <v>17300</v>
      </c>
      <c r="AV5344">
        <v>80.02</v>
      </c>
      <c r="AX5344" s="1">
        <v>1858.52</v>
      </c>
      <c r="AY5344" t="s">
        <v>2767</v>
      </c>
      <c r="AZ5344" t="s">
        <v>2767</v>
      </c>
      <c r="BA5344" t="s">
        <v>5025</v>
      </c>
      <c r="BE5344" s="3">
        <v>41989</v>
      </c>
      <c r="BF5344" s="1">
        <v>208182</v>
      </c>
      <c r="BG5344" t="s">
        <v>749</v>
      </c>
      <c r="BH5344" s="1">
        <v>92.16</v>
      </c>
      <c r="BI5344" s="1">
        <v>205650</v>
      </c>
      <c r="BJ5344" s="3">
        <v>42740</v>
      </c>
      <c r="BK5344" t="s">
        <v>123</v>
      </c>
      <c r="BL5344" t="str">
        <f>"2017.7663"</f>
        <v>2017.7663</v>
      </c>
      <c r="BM5344" t="s">
        <v>361</v>
      </c>
      <c r="BN5344" t="s">
        <v>884</v>
      </c>
      <c r="BO5344" t="s">
        <v>32985</v>
      </c>
      <c r="BS5344">
        <v>30</v>
      </c>
      <c r="BW5344" t="str">
        <f>""</f>
        <v/>
      </c>
      <c r="CH5344" t="str">
        <f>""</f>
        <v/>
      </c>
      <c r="CS5344" t="str">
        <f>""</f>
        <v/>
      </c>
    </row>
    <row r="5345" spans="1:97" x14ac:dyDescent="0.25">
      <c r="A5345" t="s">
        <v>370</v>
      </c>
      <c r="B5345" t="s">
        <v>14477</v>
      </c>
      <c r="C5345" t="s">
        <v>17910</v>
      </c>
      <c r="D5345" t="s">
        <v>14477</v>
      </c>
      <c r="E5345" t="s">
        <v>32986</v>
      </c>
      <c r="F5345" t="s">
        <v>108</v>
      </c>
      <c r="H5345" t="s">
        <v>32987</v>
      </c>
      <c r="I5345" t="s">
        <v>390</v>
      </c>
      <c r="J5345" t="s">
        <v>111</v>
      </c>
      <c r="K5345" t="str">
        <f>"85048"</f>
        <v>85048</v>
      </c>
      <c r="L5345" t="s">
        <v>5209</v>
      </c>
      <c r="M5345" t="s">
        <v>32987</v>
      </c>
      <c r="N5345" t="s">
        <v>390</v>
      </c>
      <c r="O5345" t="s">
        <v>111</v>
      </c>
      <c r="P5345" t="str">
        <f>"85048-8856"</f>
        <v>85048-8856</v>
      </c>
      <c r="Q5345" t="s">
        <v>113</v>
      </c>
      <c r="R5345" t="str">
        <f>"307-03-348"</f>
        <v>307-03-348</v>
      </c>
      <c r="S5345" t="s">
        <v>32988</v>
      </c>
      <c r="T5345" t="s">
        <v>32989</v>
      </c>
      <c r="U5345">
        <v>1350</v>
      </c>
      <c r="V5345">
        <v>0</v>
      </c>
      <c r="W5345">
        <v>3</v>
      </c>
      <c r="X5345">
        <v>1992</v>
      </c>
      <c r="Z5345">
        <v>1</v>
      </c>
      <c r="AB5345">
        <v>0</v>
      </c>
      <c r="AC5345" t="s">
        <v>115</v>
      </c>
      <c r="AD5345">
        <v>2</v>
      </c>
      <c r="AE5345" t="s">
        <v>115</v>
      </c>
      <c r="AF5345">
        <v>0</v>
      </c>
      <c r="AG5345">
        <v>0</v>
      </c>
      <c r="AH5345" t="s">
        <v>116</v>
      </c>
      <c r="AI5345" s="1">
        <v>18661</v>
      </c>
      <c r="AJ5345" s="2">
        <v>7.0000000000000007E-2</v>
      </c>
      <c r="AK5345" s="1">
        <v>272661</v>
      </c>
      <c r="AL5345" t="s">
        <v>117</v>
      </c>
      <c r="AM5345" t="s">
        <v>1315</v>
      </c>
      <c r="AN5345">
        <v>5101</v>
      </c>
      <c r="AO5345">
        <v>0.12</v>
      </c>
      <c r="AP5345">
        <v>1</v>
      </c>
      <c r="AR5345">
        <v>1</v>
      </c>
      <c r="AS5345" s="1">
        <v>18520</v>
      </c>
      <c r="AT5345" s="1">
        <v>3700</v>
      </c>
      <c r="AU5345" s="1">
        <v>14820</v>
      </c>
      <c r="AV5345">
        <v>80.02</v>
      </c>
      <c r="AX5345" s="1">
        <v>1588.14</v>
      </c>
      <c r="AY5345" t="s">
        <v>6633</v>
      </c>
      <c r="AZ5345" t="s">
        <v>929</v>
      </c>
      <c r="BA5345" t="s">
        <v>930</v>
      </c>
      <c r="BB5345" s="3">
        <v>42755</v>
      </c>
      <c r="BD5345" t="s">
        <v>480</v>
      </c>
      <c r="BE5345" s="3">
        <v>42459</v>
      </c>
      <c r="BF5345" s="1">
        <v>220000</v>
      </c>
      <c r="BG5345" t="s">
        <v>32990</v>
      </c>
      <c r="BH5345" s="1">
        <v>162.96</v>
      </c>
      <c r="BI5345" s="1">
        <v>254000</v>
      </c>
      <c r="BJ5345" s="3">
        <v>43633</v>
      </c>
      <c r="BK5345" t="s">
        <v>123</v>
      </c>
      <c r="BL5345" t="str">
        <f>"2019.451276"</f>
        <v>2019.451276</v>
      </c>
      <c r="BM5345" t="s">
        <v>673</v>
      </c>
      <c r="BN5345" t="s">
        <v>674</v>
      </c>
      <c r="BO5345" t="s">
        <v>32991</v>
      </c>
      <c r="BP5345" t="s">
        <v>32992</v>
      </c>
      <c r="BR5345" t="s">
        <v>139</v>
      </c>
      <c r="BW5345" t="str">
        <f>""</f>
        <v/>
      </c>
      <c r="CH5345" t="str">
        <f>""</f>
        <v/>
      </c>
      <c r="CS5345" t="str">
        <f>""</f>
        <v/>
      </c>
    </row>
    <row r="5346" spans="1:97" x14ac:dyDescent="0.25">
      <c r="B5346" t="s">
        <v>32993</v>
      </c>
      <c r="C5346" t="s">
        <v>908</v>
      </c>
      <c r="E5346" t="s">
        <v>32994</v>
      </c>
      <c r="F5346" t="s">
        <v>108</v>
      </c>
      <c r="H5346" t="s">
        <v>32995</v>
      </c>
      <c r="I5346" t="s">
        <v>110</v>
      </c>
      <c r="J5346" t="s">
        <v>111</v>
      </c>
      <c r="K5346" t="str">
        <f>"85248"</f>
        <v>85248</v>
      </c>
      <c r="L5346" t="s">
        <v>9060</v>
      </c>
      <c r="M5346" t="s">
        <v>32995</v>
      </c>
      <c r="N5346" t="s">
        <v>110</v>
      </c>
      <c r="O5346" t="s">
        <v>111</v>
      </c>
      <c r="P5346" t="str">
        <f>"85248-4567"</f>
        <v>85248-4567</v>
      </c>
      <c r="Q5346" t="s">
        <v>113</v>
      </c>
      <c r="R5346" t="str">
        <f>"303-81-030"</f>
        <v>303-81-030</v>
      </c>
      <c r="S5346" t="s">
        <v>21301</v>
      </c>
      <c r="T5346" t="s">
        <v>9062</v>
      </c>
      <c r="U5346">
        <v>3008</v>
      </c>
      <c r="V5346">
        <v>0</v>
      </c>
      <c r="W5346">
        <v>4</v>
      </c>
      <c r="X5346">
        <v>2000</v>
      </c>
      <c r="Z5346">
        <v>2</v>
      </c>
      <c r="AA5346" t="s">
        <v>26</v>
      </c>
      <c r="AB5346">
        <v>0</v>
      </c>
      <c r="AC5346" t="s">
        <v>115</v>
      </c>
      <c r="AD5346">
        <v>3</v>
      </c>
      <c r="AE5346" t="s">
        <v>115</v>
      </c>
      <c r="AF5346">
        <v>0</v>
      </c>
      <c r="AG5346">
        <v>0</v>
      </c>
      <c r="AH5346" t="s">
        <v>116</v>
      </c>
      <c r="AI5346" s="1">
        <v>59625</v>
      </c>
      <c r="AJ5346" s="2">
        <v>0.13</v>
      </c>
      <c r="AK5346" s="1">
        <v>464625</v>
      </c>
      <c r="AL5346" t="s">
        <v>117</v>
      </c>
      <c r="AM5346" t="s">
        <v>118</v>
      </c>
      <c r="AN5346">
        <v>7952</v>
      </c>
      <c r="AO5346">
        <v>0.18</v>
      </c>
      <c r="AP5346">
        <v>1</v>
      </c>
      <c r="AR5346">
        <v>1</v>
      </c>
      <c r="AS5346" s="1">
        <v>33370</v>
      </c>
      <c r="AT5346" s="1">
        <v>6670</v>
      </c>
      <c r="AU5346" s="1">
        <v>26700</v>
      </c>
      <c r="AV5346">
        <v>80.010000000000005</v>
      </c>
      <c r="AX5346" s="1">
        <v>2459.1999999999998</v>
      </c>
      <c r="AY5346" t="s">
        <v>9063</v>
      </c>
      <c r="AZ5346" t="s">
        <v>1882</v>
      </c>
      <c r="BA5346" t="s">
        <v>121</v>
      </c>
      <c r="BB5346" s="3">
        <v>43573</v>
      </c>
      <c r="BC5346" s="1">
        <v>0</v>
      </c>
      <c r="BD5346" t="s">
        <v>247</v>
      </c>
      <c r="BE5346" s="3">
        <v>42425</v>
      </c>
      <c r="BF5346" s="1">
        <v>383000</v>
      </c>
      <c r="BG5346" t="s">
        <v>32996</v>
      </c>
      <c r="BH5346" s="1">
        <v>135.29</v>
      </c>
      <c r="BI5346" s="1">
        <v>405000</v>
      </c>
      <c r="BJ5346" s="3">
        <v>42899</v>
      </c>
      <c r="BK5346" t="s">
        <v>123</v>
      </c>
      <c r="BL5346" t="str">
        <f>"2017.429266"</f>
        <v>2017.429266</v>
      </c>
      <c r="BM5346" t="s">
        <v>7842</v>
      </c>
      <c r="BN5346">
        <v>60148</v>
      </c>
      <c r="BO5346" t="s">
        <v>32997</v>
      </c>
      <c r="BP5346" t="s">
        <v>32998</v>
      </c>
      <c r="BS5346">
        <v>30</v>
      </c>
      <c r="BW5346" t="str">
        <f>""</f>
        <v/>
      </c>
      <c r="CH5346" t="str">
        <f>""</f>
        <v/>
      </c>
      <c r="CS5346" t="str">
        <f>""</f>
        <v/>
      </c>
    </row>
    <row r="5347" spans="1:97" x14ac:dyDescent="0.25">
      <c r="A5347" t="s">
        <v>894</v>
      </c>
      <c r="B5347" t="s">
        <v>32999</v>
      </c>
      <c r="E5347" t="s">
        <v>33000</v>
      </c>
      <c r="F5347" t="s">
        <v>139</v>
      </c>
      <c r="H5347" t="s">
        <v>33001</v>
      </c>
      <c r="I5347" t="s">
        <v>3150</v>
      </c>
      <c r="J5347" t="s">
        <v>111</v>
      </c>
      <c r="K5347" t="str">
        <f>"85340"</f>
        <v>85340</v>
      </c>
      <c r="L5347" t="s">
        <v>5176</v>
      </c>
      <c r="M5347" t="s">
        <v>33002</v>
      </c>
      <c r="N5347" t="s">
        <v>3150</v>
      </c>
      <c r="O5347" t="s">
        <v>111</v>
      </c>
      <c r="P5347" t="str">
        <f>"85340-6007"</f>
        <v>85340-6007</v>
      </c>
      <c r="Q5347" t="s">
        <v>113</v>
      </c>
      <c r="R5347" t="str">
        <f>"501-68-588"</f>
        <v>501-68-588</v>
      </c>
      <c r="S5347" t="s">
        <v>28145</v>
      </c>
      <c r="T5347" t="s">
        <v>5178</v>
      </c>
      <c r="U5347">
        <v>3657</v>
      </c>
      <c r="V5347">
        <v>0</v>
      </c>
      <c r="W5347">
        <v>6</v>
      </c>
      <c r="X5347">
        <v>2003</v>
      </c>
      <c r="Z5347">
        <v>2</v>
      </c>
      <c r="AA5347" t="s">
        <v>26</v>
      </c>
      <c r="AB5347">
        <v>0</v>
      </c>
      <c r="AC5347" t="s">
        <v>115</v>
      </c>
      <c r="AD5347">
        <v>2</v>
      </c>
      <c r="AE5347" t="s">
        <v>115</v>
      </c>
      <c r="AF5347">
        <v>0</v>
      </c>
      <c r="AG5347">
        <v>0</v>
      </c>
      <c r="AH5347" t="s">
        <v>116</v>
      </c>
      <c r="AI5347" s="1">
        <v>204237</v>
      </c>
      <c r="AJ5347" s="2">
        <v>0.33</v>
      </c>
      <c r="AK5347" s="1">
        <v>616237</v>
      </c>
      <c r="AL5347" t="s">
        <v>117</v>
      </c>
      <c r="AM5347" t="s">
        <v>171</v>
      </c>
      <c r="AN5347">
        <v>11354</v>
      </c>
      <c r="AO5347">
        <v>0.26</v>
      </c>
      <c r="AP5347">
        <v>1</v>
      </c>
      <c r="AR5347">
        <v>1</v>
      </c>
      <c r="AS5347" s="1">
        <v>50950</v>
      </c>
      <c r="AT5347" s="1">
        <v>10190</v>
      </c>
      <c r="AU5347" s="1">
        <v>40760</v>
      </c>
      <c r="AV5347">
        <v>80</v>
      </c>
      <c r="AX5347" s="1">
        <v>5322.5</v>
      </c>
      <c r="AY5347" t="s">
        <v>3020</v>
      </c>
      <c r="AZ5347" t="s">
        <v>3020</v>
      </c>
      <c r="BA5347" t="s">
        <v>3154</v>
      </c>
      <c r="BE5347" s="3">
        <v>41729</v>
      </c>
      <c r="BF5347" s="1">
        <v>457000</v>
      </c>
      <c r="BG5347" t="s">
        <v>33003</v>
      </c>
      <c r="BH5347" s="1">
        <v>124.97</v>
      </c>
      <c r="BI5347" s="1">
        <v>412000</v>
      </c>
      <c r="BJ5347" s="3">
        <v>41925</v>
      </c>
      <c r="BK5347" t="s">
        <v>123</v>
      </c>
      <c r="BL5347" t="str">
        <f>"2014.675129"</f>
        <v>2014.675129</v>
      </c>
      <c r="BM5347" t="s">
        <v>248</v>
      </c>
      <c r="BO5347" t="s">
        <v>33004</v>
      </c>
      <c r="BS5347">
        <v>15</v>
      </c>
      <c r="BW5347" t="str">
        <f>""</f>
        <v/>
      </c>
      <c r="CH5347" t="str">
        <f>""</f>
        <v/>
      </c>
      <c r="CS5347" t="str">
        <f>""</f>
        <v/>
      </c>
    </row>
    <row r="5348" spans="1:97" x14ac:dyDescent="0.25">
      <c r="B5348" t="s">
        <v>33005</v>
      </c>
      <c r="E5348" t="s">
        <v>33005</v>
      </c>
      <c r="F5348" t="s">
        <v>108</v>
      </c>
      <c r="H5348" t="s">
        <v>33006</v>
      </c>
      <c r="I5348" t="s">
        <v>5863</v>
      </c>
      <c r="J5348" t="s">
        <v>111</v>
      </c>
      <c r="K5348" t="str">
        <f>"85375"</f>
        <v>85375</v>
      </c>
      <c r="L5348" t="s">
        <v>6325</v>
      </c>
      <c r="M5348" t="s">
        <v>33006</v>
      </c>
      <c r="N5348" t="s">
        <v>5863</v>
      </c>
      <c r="O5348" t="s">
        <v>111</v>
      </c>
      <c r="P5348" t="str">
        <f>"85375-3030"</f>
        <v>85375-3030</v>
      </c>
      <c r="Q5348" t="s">
        <v>113</v>
      </c>
      <c r="R5348" t="str">
        <f>"232-30-504"</f>
        <v>232-30-504</v>
      </c>
      <c r="S5348" t="s">
        <v>33007</v>
      </c>
      <c r="U5348">
        <v>1990</v>
      </c>
      <c r="V5348">
        <v>0</v>
      </c>
      <c r="W5348">
        <v>2</v>
      </c>
      <c r="X5348">
        <v>1997</v>
      </c>
      <c r="Z5348">
        <v>1</v>
      </c>
      <c r="AA5348" t="s">
        <v>26</v>
      </c>
      <c r="AB5348">
        <v>0</v>
      </c>
      <c r="AC5348" t="s">
        <v>115</v>
      </c>
      <c r="AD5348">
        <v>2</v>
      </c>
      <c r="AE5348" t="s">
        <v>115</v>
      </c>
      <c r="AF5348">
        <v>0</v>
      </c>
      <c r="AG5348">
        <v>0</v>
      </c>
      <c r="AH5348" t="s">
        <v>116</v>
      </c>
      <c r="AI5348" s="1">
        <v>-1215</v>
      </c>
      <c r="AJ5348" s="2">
        <v>0</v>
      </c>
      <c r="AK5348" s="1">
        <v>400622</v>
      </c>
      <c r="AL5348" t="s">
        <v>117</v>
      </c>
      <c r="AM5348" t="s">
        <v>191</v>
      </c>
      <c r="AN5348">
        <v>12264</v>
      </c>
      <c r="AO5348">
        <v>0.28000000000000003</v>
      </c>
      <c r="AP5348">
        <v>1</v>
      </c>
      <c r="AR5348">
        <v>1</v>
      </c>
      <c r="AS5348" s="1">
        <v>26980</v>
      </c>
      <c r="AT5348" s="1">
        <v>5390</v>
      </c>
      <c r="AU5348" s="1">
        <v>21590</v>
      </c>
      <c r="AV5348">
        <v>80.02</v>
      </c>
      <c r="AX5348" s="1">
        <v>2942.34</v>
      </c>
      <c r="AY5348" t="s">
        <v>5108</v>
      </c>
      <c r="AZ5348" t="s">
        <v>5108</v>
      </c>
      <c r="BA5348" t="s">
        <v>5109</v>
      </c>
      <c r="BB5348" s="3">
        <v>43041</v>
      </c>
      <c r="BD5348" t="s">
        <v>157</v>
      </c>
      <c r="BE5348" s="3">
        <v>42227</v>
      </c>
      <c r="BF5348" s="1">
        <v>389000</v>
      </c>
      <c r="BG5348" t="s">
        <v>33008</v>
      </c>
      <c r="BH5348" s="1">
        <v>195.48</v>
      </c>
      <c r="BI5348" s="1">
        <v>401837</v>
      </c>
      <c r="BJ5348" s="3">
        <v>42227</v>
      </c>
      <c r="BK5348" t="s">
        <v>123</v>
      </c>
      <c r="BL5348" t="str">
        <f>"2015.581837"</f>
        <v>2015.581837</v>
      </c>
      <c r="BM5348" t="s">
        <v>2716</v>
      </c>
      <c r="BO5348" t="s">
        <v>33009</v>
      </c>
      <c r="BS5348">
        <v>30</v>
      </c>
      <c r="BW5348" t="str">
        <f>""</f>
        <v/>
      </c>
      <c r="CH5348" t="str">
        <f>""</f>
        <v/>
      </c>
      <c r="CS5348" t="str">
        <f>""</f>
        <v/>
      </c>
    </row>
    <row r="5349" spans="1:97" x14ac:dyDescent="0.25">
      <c r="A5349" t="s">
        <v>886</v>
      </c>
      <c r="B5349" t="s">
        <v>12582</v>
      </c>
      <c r="C5349" t="s">
        <v>33010</v>
      </c>
      <c r="D5349" t="s">
        <v>12582</v>
      </c>
      <c r="E5349" t="s">
        <v>33011</v>
      </c>
      <c r="F5349" t="s">
        <v>108</v>
      </c>
      <c r="H5349" t="s">
        <v>33012</v>
      </c>
      <c r="I5349" t="s">
        <v>632</v>
      </c>
      <c r="J5349" t="s">
        <v>111</v>
      </c>
      <c r="K5349" t="str">
        <f>"85374"</f>
        <v>85374</v>
      </c>
      <c r="L5349" t="s">
        <v>316</v>
      </c>
      <c r="M5349" t="s">
        <v>33012</v>
      </c>
      <c r="N5349" t="s">
        <v>632</v>
      </c>
      <c r="O5349" t="s">
        <v>111</v>
      </c>
      <c r="P5349" t="str">
        <f>"85374-5740"</f>
        <v>85374-5740</v>
      </c>
      <c r="Q5349" t="s">
        <v>113</v>
      </c>
      <c r="R5349" t="str">
        <f>"501-93-503"</f>
        <v>501-93-503</v>
      </c>
      <c r="S5349" t="s">
        <v>33013</v>
      </c>
      <c r="U5349">
        <v>1668</v>
      </c>
      <c r="V5349">
        <v>0</v>
      </c>
      <c r="W5349">
        <v>2</v>
      </c>
      <c r="X5349">
        <v>2002</v>
      </c>
      <c r="Z5349">
        <v>1</v>
      </c>
      <c r="AA5349" t="s">
        <v>26</v>
      </c>
      <c r="AB5349">
        <v>0</v>
      </c>
      <c r="AC5349" t="s">
        <v>115</v>
      </c>
      <c r="AD5349">
        <v>2</v>
      </c>
      <c r="AE5349" t="s">
        <v>115</v>
      </c>
      <c r="AF5349">
        <v>0</v>
      </c>
      <c r="AG5349">
        <v>0</v>
      </c>
      <c r="AH5349" t="s">
        <v>116</v>
      </c>
      <c r="AI5349" s="1">
        <v>48829</v>
      </c>
      <c r="AJ5349" s="2">
        <v>0.18</v>
      </c>
      <c r="AK5349" s="1">
        <v>264948</v>
      </c>
      <c r="AL5349" t="s">
        <v>117</v>
      </c>
      <c r="AM5349" t="s">
        <v>118</v>
      </c>
      <c r="AN5349">
        <v>6900</v>
      </c>
      <c r="AO5349">
        <v>0.16</v>
      </c>
      <c r="AP5349">
        <v>1</v>
      </c>
      <c r="AR5349">
        <v>1</v>
      </c>
      <c r="AS5349" s="1">
        <v>19200</v>
      </c>
      <c r="AT5349" s="1">
        <v>3840</v>
      </c>
      <c r="AU5349" s="1">
        <v>15360</v>
      </c>
      <c r="AV5349">
        <v>80</v>
      </c>
      <c r="AX5349" s="1">
        <v>1279.68</v>
      </c>
      <c r="AY5349" t="s">
        <v>5983</v>
      </c>
      <c r="AZ5349" t="s">
        <v>5983</v>
      </c>
      <c r="BA5349" t="s">
        <v>5109</v>
      </c>
      <c r="BB5349" s="3">
        <v>42863</v>
      </c>
      <c r="BD5349" t="s">
        <v>240</v>
      </c>
      <c r="BE5349" s="3">
        <v>41815</v>
      </c>
      <c r="BF5349" s="1">
        <v>178000</v>
      </c>
      <c r="BG5349" t="s">
        <v>33014</v>
      </c>
      <c r="BH5349" s="1">
        <v>106.71</v>
      </c>
      <c r="BI5349" s="1">
        <v>216119</v>
      </c>
      <c r="BJ5349" s="3">
        <v>43217</v>
      </c>
      <c r="BK5349" t="s">
        <v>123</v>
      </c>
      <c r="BL5349" t="str">
        <f>"2018.319730"</f>
        <v>2018.319730</v>
      </c>
      <c r="BM5349" t="s">
        <v>2080</v>
      </c>
      <c r="BN5349" t="s">
        <v>426</v>
      </c>
      <c r="BO5349" t="s">
        <v>33015</v>
      </c>
      <c r="BP5349" t="s">
        <v>33016</v>
      </c>
      <c r="BR5349" t="s">
        <v>139</v>
      </c>
      <c r="BW5349" t="str">
        <f>""</f>
        <v/>
      </c>
      <c r="CH5349" t="str">
        <f>""</f>
        <v/>
      </c>
      <c r="CS5349" t="str">
        <f>""</f>
        <v/>
      </c>
    </row>
    <row r="5350" spans="1:97" x14ac:dyDescent="0.25">
      <c r="A5350" t="s">
        <v>370</v>
      </c>
      <c r="B5350" t="s">
        <v>33017</v>
      </c>
      <c r="C5350" t="s">
        <v>3091</v>
      </c>
      <c r="D5350" t="s">
        <v>33017</v>
      </c>
      <c r="E5350" t="s">
        <v>33018</v>
      </c>
      <c r="F5350" t="s">
        <v>108</v>
      </c>
      <c r="H5350" t="s">
        <v>33019</v>
      </c>
      <c r="I5350" t="s">
        <v>110</v>
      </c>
      <c r="J5350" t="s">
        <v>111</v>
      </c>
      <c r="K5350" t="str">
        <f>"85249"</f>
        <v>85249</v>
      </c>
      <c r="L5350" t="s">
        <v>6529</v>
      </c>
      <c r="M5350" t="s">
        <v>33019</v>
      </c>
      <c r="N5350" t="s">
        <v>110</v>
      </c>
      <c r="O5350" t="s">
        <v>111</v>
      </c>
      <c r="P5350" t="str">
        <f>"85249-4105"</f>
        <v>85249-4105</v>
      </c>
      <c r="Q5350" t="s">
        <v>113</v>
      </c>
      <c r="R5350" t="str">
        <f>"303-56-082"</f>
        <v>303-56-082</v>
      </c>
      <c r="S5350" t="s">
        <v>21860</v>
      </c>
      <c r="U5350">
        <v>2159</v>
      </c>
      <c r="V5350">
        <v>0</v>
      </c>
      <c r="W5350">
        <v>3</v>
      </c>
      <c r="X5350">
        <v>1999</v>
      </c>
      <c r="Z5350">
        <v>1</v>
      </c>
      <c r="AA5350" t="s">
        <v>26</v>
      </c>
      <c r="AB5350">
        <v>0</v>
      </c>
      <c r="AC5350" t="s">
        <v>115</v>
      </c>
      <c r="AD5350">
        <v>2</v>
      </c>
      <c r="AE5350" t="s">
        <v>115</v>
      </c>
      <c r="AF5350">
        <v>0</v>
      </c>
      <c r="AG5350">
        <v>0</v>
      </c>
      <c r="AH5350" t="s">
        <v>116</v>
      </c>
      <c r="AI5350" s="1">
        <v>86332</v>
      </c>
      <c r="AJ5350" s="2">
        <v>0.25</v>
      </c>
      <c r="AK5350" s="1">
        <v>351339</v>
      </c>
      <c r="AL5350" t="s">
        <v>117</v>
      </c>
      <c r="AM5350" t="s">
        <v>118</v>
      </c>
      <c r="AN5350">
        <v>9248</v>
      </c>
      <c r="AO5350">
        <v>0.21</v>
      </c>
      <c r="AP5350">
        <v>1</v>
      </c>
      <c r="AR5350">
        <v>1</v>
      </c>
      <c r="AS5350" s="1">
        <v>24720</v>
      </c>
      <c r="AT5350" s="1">
        <v>4940</v>
      </c>
      <c r="AU5350" s="1">
        <v>19780</v>
      </c>
      <c r="AV5350">
        <v>80.02</v>
      </c>
      <c r="AX5350" s="1">
        <v>1849.74</v>
      </c>
      <c r="AY5350" t="s">
        <v>5050</v>
      </c>
      <c r="AZ5350" t="s">
        <v>120</v>
      </c>
      <c r="BA5350" t="s">
        <v>274</v>
      </c>
      <c r="BE5350" s="3">
        <v>41899</v>
      </c>
      <c r="BF5350" s="1">
        <v>262000</v>
      </c>
      <c r="BG5350" t="s">
        <v>33020</v>
      </c>
      <c r="BH5350" s="1">
        <v>121.35</v>
      </c>
      <c r="BI5350" s="1">
        <v>265007</v>
      </c>
      <c r="BJ5350" s="3">
        <v>42408</v>
      </c>
      <c r="BK5350" t="s">
        <v>123</v>
      </c>
      <c r="BL5350" t="str">
        <f>"2016.79081"</f>
        <v>2016.79081</v>
      </c>
      <c r="BM5350" t="s">
        <v>402</v>
      </c>
      <c r="BO5350" t="s">
        <v>33021</v>
      </c>
      <c r="BS5350">
        <v>30</v>
      </c>
      <c r="BW5350" t="str">
        <f>""</f>
        <v/>
      </c>
      <c r="CH5350" t="str">
        <f>""</f>
        <v/>
      </c>
      <c r="CS5350" t="str">
        <f>""</f>
        <v/>
      </c>
    </row>
    <row r="5351" spans="1:97" x14ac:dyDescent="0.25">
      <c r="A5351" t="s">
        <v>33022</v>
      </c>
      <c r="B5351" t="s">
        <v>2692</v>
      </c>
      <c r="E5351" t="s">
        <v>33023</v>
      </c>
      <c r="F5351" t="s">
        <v>108</v>
      </c>
      <c r="H5351" t="s">
        <v>33024</v>
      </c>
      <c r="I5351" t="s">
        <v>3150</v>
      </c>
      <c r="J5351" t="s">
        <v>111</v>
      </c>
      <c r="K5351" t="str">
        <f>"85340"</f>
        <v>85340</v>
      </c>
      <c r="L5351" t="s">
        <v>1789</v>
      </c>
      <c r="M5351" t="s">
        <v>33025</v>
      </c>
      <c r="N5351" t="s">
        <v>3150</v>
      </c>
      <c r="O5351" t="s">
        <v>111</v>
      </c>
      <c r="P5351" t="str">
        <f>"85340"</f>
        <v>85340</v>
      </c>
      <c r="Q5351" t="s">
        <v>113</v>
      </c>
      <c r="R5351" t="str">
        <f>"508-06-120"</f>
        <v>508-06-120</v>
      </c>
      <c r="S5351" t="s">
        <v>6579</v>
      </c>
      <c r="U5351">
        <v>2614</v>
      </c>
      <c r="V5351">
        <v>0</v>
      </c>
      <c r="W5351">
        <v>4</v>
      </c>
      <c r="X5351">
        <v>2002</v>
      </c>
      <c r="Z5351">
        <v>2</v>
      </c>
      <c r="AA5351" t="s">
        <v>26</v>
      </c>
      <c r="AB5351">
        <v>0</v>
      </c>
      <c r="AC5351" t="s">
        <v>115</v>
      </c>
      <c r="AD5351">
        <v>3</v>
      </c>
      <c r="AE5351" t="s">
        <v>115</v>
      </c>
      <c r="AF5351">
        <v>0</v>
      </c>
      <c r="AG5351">
        <v>0</v>
      </c>
      <c r="AH5351" t="s">
        <v>116</v>
      </c>
      <c r="AI5351" s="1">
        <v>45475</v>
      </c>
      <c r="AJ5351" s="2">
        <v>0.14000000000000001</v>
      </c>
      <c r="AK5351" s="1">
        <v>315375</v>
      </c>
      <c r="AL5351" t="s">
        <v>117</v>
      </c>
      <c r="AM5351" t="s">
        <v>171</v>
      </c>
      <c r="AN5351">
        <v>7195</v>
      </c>
      <c r="AO5351">
        <v>0.16</v>
      </c>
      <c r="AP5351">
        <v>1</v>
      </c>
      <c r="AR5351">
        <v>1</v>
      </c>
      <c r="AS5351" s="1">
        <v>22360</v>
      </c>
      <c r="AT5351" s="1">
        <v>4470</v>
      </c>
      <c r="AU5351" s="1">
        <v>17890</v>
      </c>
      <c r="AV5351">
        <v>80.010000000000005</v>
      </c>
      <c r="AX5351" s="1">
        <v>2020.82</v>
      </c>
      <c r="AY5351" t="s">
        <v>6580</v>
      </c>
      <c r="AZ5351" t="s">
        <v>3153</v>
      </c>
      <c r="BA5351" t="s">
        <v>3154</v>
      </c>
      <c r="BE5351" s="3">
        <v>42314</v>
      </c>
      <c r="BF5351" s="1">
        <v>263500</v>
      </c>
      <c r="BG5351" t="s">
        <v>7728</v>
      </c>
      <c r="BH5351" s="1">
        <v>100.8</v>
      </c>
      <c r="BI5351" s="1">
        <v>269900</v>
      </c>
      <c r="BJ5351" s="3">
        <v>42485</v>
      </c>
      <c r="BK5351" t="s">
        <v>123</v>
      </c>
      <c r="BL5351" t="str">
        <f>"2016.274880"</f>
        <v>2016.274880</v>
      </c>
      <c r="BM5351" t="s">
        <v>248</v>
      </c>
      <c r="BO5351" t="s">
        <v>33026</v>
      </c>
      <c r="BS5351">
        <v>30</v>
      </c>
      <c r="BW5351" t="str">
        <f>""</f>
        <v/>
      </c>
      <c r="CH5351" t="str">
        <f>""</f>
        <v/>
      </c>
      <c r="CS5351" t="str">
        <f>""</f>
        <v/>
      </c>
    </row>
    <row r="5352" spans="1:97" x14ac:dyDescent="0.25">
      <c r="A5352" t="s">
        <v>1444</v>
      </c>
      <c r="B5352" t="s">
        <v>33027</v>
      </c>
      <c r="E5352" t="s">
        <v>33028</v>
      </c>
      <c r="F5352" t="s">
        <v>108</v>
      </c>
      <c r="H5352" t="s">
        <v>33029</v>
      </c>
      <c r="I5352" t="s">
        <v>203</v>
      </c>
      <c r="J5352" t="s">
        <v>111</v>
      </c>
      <c r="K5352" t="str">
        <f>"85297"</f>
        <v>85297</v>
      </c>
      <c r="L5352" t="s">
        <v>8335</v>
      </c>
      <c r="M5352" t="s">
        <v>33029</v>
      </c>
      <c r="N5352" t="s">
        <v>203</v>
      </c>
      <c r="O5352" t="s">
        <v>111</v>
      </c>
      <c r="P5352" t="str">
        <f>"85297-2420"</f>
        <v>85297-2420</v>
      </c>
      <c r="Q5352" t="s">
        <v>113</v>
      </c>
      <c r="R5352" t="str">
        <f>"313-17-382"</f>
        <v>313-17-382</v>
      </c>
      <c r="S5352" t="s">
        <v>12166</v>
      </c>
      <c r="T5352" t="s">
        <v>8579</v>
      </c>
      <c r="U5352">
        <v>2105</v>
      </c>
      <c r="V5352">
        <v>0</v>
      </c>
      <c r="W5352">
        <v>3</v>
      </c>
      <c r="X5352">
        <v>2012</v>
      </c>
      <c r="Z5352">
        <v>2</v>
      </c>
      <c r="AB5352">
        <v>0</v>
      </c>
      <c r="AC5352" t="s">
        <v>115</v>
      </c>
      <c r="AD5352">
        <v>2</v>
      </c>
      <c r="AE5352" t="s">
        <v>115</v>
      </c>
      <c r="AF5352">
        <v>0</v>
      </c>
      <c r="AG5352">
        <v>0</v>
      </c>
      <c r="AH5352" t="s">
        <v>116</v>
      </c>
      <c r="AI5352" s="1">
        <v>65486</v>
      </c>
      <c r="AJ5352" s="2">
        <v>0.21</v>
      </c>
      <c r="AK5352" s="1">
        <v>309198</v>
      </c>
      <c r="AL5352" t="s">
        <v>117</v>
      </c>
      <c r="AM5352" t="s">
        <v>288</v>
      </c>
      <c r="AN5352">
        <v>2660</v>
      </c>
      <c r="AO5352">
        <v>0.61</v>
      </c>
      <c r="AR5352">
        <v>1</v>
      </c>
      <c r="AS5352" s="1">
        <v>21180</v>
      </c>
      <c r="AT5352" s="1">
        <v>4230</v>
      </c>
      <c r="AU5352" s="1">
        <v>16950</v>
      </c>
      <c r="AV5352">
        <v>80.03</v>
      </c>
      <c r="AX5352" s="1">
        <v>1922.64</v>
      </c>
      <c r="AY5352" t="s">
        <v>8338</v>
      </c>
      <c r="AZ5352" t="s">
        <v>8338</v>
      </c>
      <c r="BA5352" t="s">
        <v>290</v>
      </c>
      <c r="BE5352" s="3">
        <v>41682</v>
      </c>
      <c r="BF5352" s="1">
        <v>238000</v>
      </c>
      <c r="BG5352" t="s">
        <v>33030</v>
      </c>
      <c r="BH5352" s="1">
        <v>113.06</v>
      </c>
      <c r="BI5352" s="1">
        <v>243712</v>
      </c>
      <c r="BJ5352" s="3">
        <v>41682</v>
      </c>
      <c r="BK5352" t="s">
        <v>123</v>
      </c>
      <c r="BL5352" t="str">
        <f>"2014.93852"</f>
        <v>2014.93852</v>
      </c>
      <c r="BM5352" t="s">
        <v>28645</v>
      </c>
      <c r="BO5352" t="s">
        <v>33031</v>
      </c>
      <c r="BS5352">
        <v>30</v>
      </c>
      <c r="BW5352" t="str">
        <f>""</f>
        <v/>
      </c>
      <c r="CH5352" t="str">
        <f>""</f>
        <v/>
      </c>
      <c r="CS5352" t="str">
        <f>""</f>
        <v/>
      </c>
    </row>
    <row r="5353" spans="1:97" x14ac:dyDescent="0.25">
      <c r="A5353" t="s">
        <v>33032</v>
      </c>
      <c r="B5353" t="s">
        <v>1920</v>
      </c>
      <c r="C5353" t="s">
        <v>1021</v>
      </c>
      <c r="D5353" t="s">
        <v>1920</v>
      </c>
      <c r="E5353" t="s">
        <v>33033</v>
      </c>
      <c r="F5353" t="s">
        <v>108</v>
      </c>
      <c r="H5353" t="s">
        <v>33034</v>
      </c>
      <c r="I5353" t="s">
        <v>390</v>
      </c>
      <c r="J5353" t="s">
        <v>111</v>
      </c>
      <c r="K5353" t="str">
        <f>"85027"</f>
        <v>85027</v>
      </c>
      <c r="L5353" t="s">
        <v>6923</v>
      </c>
      <c r="M5353" t="s">
        <v>33034</v>
      </c>
      <c r="N5353" t="s">
        <v>390</v>
      </c>
      <c r="O5353" t="s">
        <v>111</v>
      </c>
      <c r="P5353" t="str">
        <f>"85027-6096"</f>
        <v>85027-6096</v>
      </c>
      <c r="Q5353" t="s">
        <v>113</v>
      </c>
      <c r="R5353" t="str">
        <f>"206-41-555"</f>
        <v>206-41-555</v>
      </c>
      <c r="S5353" t="s">
        <v>25457</v>
      </c>
      <c r="T5353" t="s">
        <v>6925</v>
      </c>
      <c r="U5353">
        <v>2672</v>
      </c>
      <c r="V5353">
        <v>0</v>
      </c>
      <c r="W5353">
        <v>4</v>
      </c>
      <c r="X5353">
        <v>1998</v>
      </c>
      <c r="Z5353">
        <v>2</v>
      </c>
      <c r="AA5353" t="s">
        <v>26</v>
      </c>
      <c r="AB5353">
        <v>0</v>
      </c>
      <c r="AC5353" t="s">
        <v>115</v>
      </c>
      <c r="AD5353">
        <v>3</v>
      </c>
      <c r="AE5353" t="s">
        <v>115</v>
      </c>
      <c r="AF5353">
        <v>0</v>
      </c>
      <c r="AG5353">
        <v>0</v>
      </c>
      <c r="AH5353" t="s">
        <v>116</v>
      </c>
      <c r="AI5353" s="1">
        <v>65636</v>
      </c>
      <c r="AJ5353" s="2">
        <v>0.18</v>
      </c>
      <c r="AK5353" s="1">
        <v>365136</v>
      </c>
      <c r="AL5353" t="s">
        <v>117</v>
      </c>
      <c r="AM5353" t="s">
        <v>191</v>
      </c>
      <c r="AN5353">
        <v>8364</v>
      </c>
      <c r="AO5353">
        <v>0.19</v>
      </c>
      <c r="AP5353">
        <v>1</v>
      </c>
      <c r="AR5353">
        <v>1</v>
      </c>
      <c r="AS5353" s="1">
        <v>26430</v>
      </c>
      <c r="AT5353" s="1">
        <v>5280</v>
      </c>
      <c r="AU5353" s="1">
        <v>21150</v>
      </c>
      <c r="AV5353">
        <v>80.02</v>
      </c>
      <c r="AX5353" s="1">
        <v>1962.16</v>
      </c>
      <c r="AY5353" t="s">
        <v>6926</v>
      </c>
      <c r="AZ5353" t="s">
        <v>2357</v>
      </c>
      <c r="BA5353" t="s">
        <v>1462</v>
      </c>
      <c r="BE5353" s="3">
        <v>42244</v>
      </c>
      <c r="BF5353" s="1">
        <v>299000</v>
      </c>
      <c r="BG5353" t="s">
        <v>33035</v>
      </c>
      <c r="BH5353" s="1">
        <v>111.9</v>
      </c>
      <c r="BI5353" s="1">
        <v>299500</v>
      </c>
      <c r="BJ5353" s="3">
        <v>42564</v>
      </c>
      <c r="BK5353" t="s">
        <v>123</v>
      </c>
      <c r="BL5353" t="str">
        <f>"2016.490703"</f>
        <v>2016.490703</v>
      </c>
      <c r="BM5353" t="s">
        <v>724</v>
      </c>
      <c r="BO5353" t="s">
        <v>33036</v>
      </c>
      <c r="BS5353">
        <v>30</v>
      </c>
      <c r="BW5353" t="str">
        <f>""</f>
        <v/>
      </c>
      <c r="CH5353" t="str">
        <f>""</f>
        <v/>
      </c>
      <c r="CS5353" t="str">
        <f>""</f>
        <v/>
      </c>
    </row>
    <row r="5354" spans="1:97" x14ac:dyDescent="0.25">
      <c r="A5354" t="s">
        <v>2762</v>
      </c>
      <c r="B5354" t="s">
        <v>25571</v>
      </c>
      <c r="C5354" t="s">
        <v>265</v>
      </c>
      <c r="D5354" t="s">
        <v>25571</v>
      </c>
      <c r="E5354" t="s">
        <v>33037</v>
      </c>
      <c r="F5354" t="s">
        <v>108</v>
      </c>
      <c r="H5354" t="s">
        <v>33038</v>
      </c>
      <c r="I5354" t="s">
        <v>188</v>
      </c>
      <c r="J5354" t="s">
        <v>111</v>
      </c>
      <c r="K5354" t="str">
        <f>"85142"</f>
        <v>85142</v>
      </c>
      <c r="L5354" t="s">
        <v>8146</v>
      </c>
      <c r="M5354" t="s">
        <v>33038</v>
      </c>
      <c r="N5354" t="s">
        <v>188</v>
      </c>
      <c r="O5354" t="s">
        <v>111</v>
      </c>
      <c r="P5354" t="str">
        <f>"85142-6951"</f>
        <v>85142-6951</v>
      </c>
      <c r="Q5354" t="s">
        <v>113</v>
      </c>
      <c r="R5354" t="str">
        <f>"304-65-472"</f>
        <v>304-65-472</v>
      </c>
      <c r="S5354" t="s">
        <v>33039</v>
      </c>
      <c r="U5354">
        <v>1678</v>
      </c>
      <c r="V5354">
        <v>0</v>
      </c>
      <c r="W5354">
        <v>2</v>
      </c>
      <c r="X5354">
        <v>2002</v>
      </c>
      <c r="Z5354">
        <v>1</v>
      </c>
      <c r="AA5354" t="s">
        <v>26</v>
      </c>
      <c r="AB5354">
        <v>0</v>
      </c>
      <c r="AC5354" t="s">
        <v>115</v>
      </c>
      <c r="AD5354">
        <v>2</v>
      </c>
      <c r="AE5354" t="s">
        <v>115</v>
      </c>
      <c r="AF5354">
        <v>0</v>
      </c>
      <c r="AG5354">
        <v>0</v>
      </c>
      <c r="AH5354" t="s">
        <v>116</v>
      </c>
      <c r="AI5354" s="1">
        <v>62438</v>
      </c>
      <c r="AJ5354" s="2">
        <v>0.23</v>
      </c>
      <c r="AK5354" s="1">
        <v>277438</v>
      </c>
      <c r="AL5354" t="s">
        <v>117</v>
      </c>
      <c r="AM5354" t="s">
        <v>191</v>
      </c>
      <c r="AN5354">
        <v>9004</v>
      </c>
      <c r="AO5354">
        <v>0.21</v>
      </c>
      <c r="AP5354">
        <v>1</v>
      </c>
      <c r="AR5354">
        <v>1</v>
      </c>
      <c r="AS5354" s="1">
        <v>19430</v>
      </c>
      <c r="AT5354" s="1">
        <v>3880</v>
      </c>
      <c r="AU5354" s="1">
        <v>15550</v>
      </c>
      <c r="AV5354">
        <v>80.03</v>
      </c>
      <c r="AX5354" s="1">
        <v>1585.26</v>
      </c>
      <c r="AY5354" t="s">
        <v>5895</v>
      </c>
      <c r="AZ5354" t="s">
        <v>561</v>
      </c>
      <c r="BA5354" t="s">
        <v>194</v>
      </c>
      <c r="BE5354" s="3">
        <v>42500</v>
      </c>
      <c r="BF5354" s="1">
        <v>215000</v>
      </c>
      <c r="BG5354" t="s">
        <v>33040</v>
      </c>
      <c r="BH5354" s="1">
        <v>128.13</v>
      </c>
      <c r="BI5354" s="1">
        <v>215000</v>
      </c>
      <c r="BJ5354" s="3">
        <v>42500</v>
      </c>
      <c r="BK5354" t="s">
        <v>123</v>
      </c>
      <c r="BL5354" t="str">
        <f>"2016.320060"</f>
        <v>2016.320060</v>
      </c>
      <c r="BM5354" t="s">
        <v>1287</v>
      </c>
      <c r="BO5354" t="s">
        <v>33041</v>
      </c>
      <c r="BS5354">
        <v>30</v>
      </c>
      <c r="BW5354" t="str">
        <f>""</f>
        <v/>
      </c>
      <c r="CH5354" t="str">
        <f>""</f>
        <v/>
      </c>
      <c r="CS5354" t="str">
        <f>""</f>
        <v/>
      </c>
    </row>
    <row r="5355" spans="1:97" x14ac:dyDescent="0.25">
      <c r="A5355" t="s">
        <v>33042</v>
      </c>
      <c r="B5355" t="s">
        <v>33043</v>
      </c>
      <c r="E5355" t="s">
        <v>33044</v>
      </c>
      <c r="F5355" t="s">
        <v>108</v>
      </c>
      <c r="H5355" t="s">
        <v>33045</v>
      </c>
      <c r="I5355" t="s">
        <v>203</v>
      </c>
      <c r="J5355" t="s">
        <v>111</v>
      </c>
      <c r="K5355" t="str">
        <f>"85234"</f>
        <v>85234</v>
      </c>
      <c r="L5355" t="s">
        <v>375</v>
      </c>
      <c r="M5355" t="s">
        <v>33045</v>
      </c>
      <c r="N5355" t="s">
        <v>203</v>
      </c>
      <c r="O5355" t="s">
        <v>111</v>
      </c>
      <c r="P5355" t="str">
        <f>"85234-4855"</f>
        <v>85234-4855</v>
      </c>
      <c r="Q5355" t="s">
        <v>113</v>
      </c>
      <c r="R5355" t="str">
        <f>"304-13-505"</f>
        <v>304-13-505</v>
      </c>
      <c r="S5355" t="s">
        <v>33046</v>
      </c>
      <c r="T5355" t="s">
        <v>9017</v>
      </c>
      <c r="U5355">
        <v>1692</v>
      </c>
      <c r="V5355">
        <v>0</v>
      </c>
      <c r="W5355">
        <v>3</v>
      </c>
      <c r="X5355">
        <v>1991</v>
      </c>
      <c r="Z5355">
        <v>2</v>
      </c>
      <c r="AB5355">
        <v>0</v>
      </c>
      <c r="AC5355" t="s">
        <v>115</v>
      </c>
      <c r="AD5355">
        <v>2</v>
      </c>
      <c r="AE5355" t="s">
        <v>115</v>
      </c>
      <c r="AF5355">
        <v>0</v>
      </c>
      <c r="AG5355">
        <v>0</v>
      </c>
      <c r="AH5355" t="s">
        <v>116</v>
      </c>
      <c r="AI5355" s="1">
        <v>60403</v>
      </c>
      <c r="AJ5355" s="2">
        <v>0.23</v>
      </c>
      <c r="AK5355" s="1">
        <v>267519</v>
      </c>
      <c r="AL5355" t="s">
        <v>117</v>
      </c>
      <c r="AM5355" t="s">
        <v>191</v>
      </c>
      <c r="AN5355">
        <v>4204</v>
      </c>
      <c r="AO5355">
        <v>0.97</v>
      </c>
      <c r="AP5355">
        <v>1</v>
      </c>
      <c r="AR5355">
        <v>1</v>
      </c>
      <c r="AS5355" s="1">
        <v>17770</v>
      </c>
      <c r="AT5355" s="1">
        <v>3550</v>
      </c>
      <c r="AU5355" s="1">
        <v>14220</v>
      </c>
      <c r="AV5355">
        <v>80.02</v>
      </c>
      <c r="AX5355" s="1">
        <v>1177.46</v>
      </c>
      <c r="AY5355" t="s">
        <v>272</v>
      </c>
      <c r="AZ5355" t="s">
        <v>5478</v>
      </c>
      <c r="BA5355" t="s">
        <v>5033</v>
      </c>
      <c r="BE5355" s="3">
        <v>42178</v>
      </c>
      <c r="BF5355" s="1">
        <v>200500</v>
      </c>
      <c r="BG5355" t="s">
        <v>33047</v>
      </c>
      <c r="BH5355" s="1">
        <v>118.5</v>
      </c>
      <c r="BI5355" s="1">
        <v>207116</v>
      </c>
      <c r="BJ5355" s="3">
        <v>42178</v>
      </c>
      <c r="BK5355" t="s">
        <v>123</v>
      </c>
      <c r="BL5355" t="str">
        <f>"2015.448056"</f>
        <v>2015.448056</v>
      </c>
      <c r="BM5355" t="s">
        <v>2716</v>
      </c>
      <c r="BO5355" t="s">
        <v>33048</v>
      </c>
      <c r="BS5355">
        <v>30</v>
      </c>
      <c r="BW5355" t="str">
        <f>""</f>
        <v/>
      </c>
      <c r="CH5355" t="str">
        <f>""</f>
        <v/>
      </c>
      <c r="CS5355" t="str">
        <f>""</f>
        <v/>
      </c>
    </row>
    <row r="5356" spans="1:97" x14ac:dyDescent="0.25">
      <c r="A5356" t="s">
        <v>852</v>
      </c>
      <c r="B5356" t="s">
        <v>2251</v>
      </c>
      <c r="C5356" t="s">
        <v>494</v>
      </c>
      <c r="D5356" t="s">
        <v>2251</v>
      </c>
      <c r="E5356" t="s">
        <v>33049</v>
      </c>
      <c r="F5356" t="s">
        <v>108</v>
      </c>
      <c r="H5356" t="s">
        <v>33050</v>
      </c>
      <c r="I5356" t="s">
        <v>2874</v>
      </c>
      <c r="J5356" t="s">
        <v>111</v>
      </c>
      <c r="K5356" t="str">
        <f>"85310"</f>
        <v>85310</v>
      </c>
      <c r="L5356" t="s">
        <v>5775</v>
      </c>
      <c r="M5356" t="s">
        <v>33050</v>
      </c>
      <c r="N5356" t="s">
        <v>2874</v>
      </c>
      <c r="O5356" t="s">
        <v>111</v>
      </c>
      <c r="P5356" t="str">
        <f>"85310-5278"</f>
        <v>85310-5278</v>
      </c>
      <c r="Q5356" t="s">
        <v>113</v>
      </c>
      <c r="R5356" t="str">
        <f>"200-06-389"</f>
        <v>200-06-389</v>
      </c>
      <c r="S5356" t="s">
        <v>33051</v>
      </c>
      <c r="T5356" t="s">
        <v>33052</v>
      </c>
      <c r="U5356">
        <v>2337</v>
      </c>
      <c r="V5356">
        <v>0</v>
      </c>
      <c r="W5356">
        <v>4</v>
      </c>
      <c r="X5356">
        <v>1994</v>
      </c>
      <c r="Z5356">
        <v>2</v>
      </c>
      <c r="AA5356" t="s">
        <v>26</v>
      </c>
      <c r="AB5356">
        <v>0</v>
      </c>
      <c r="AC5356" t="s">
        <v>115</v>
      </c>
      <c r="AD5356">
        <v>2</v>
      </c>
      <c r="AE5356" t="s">
        <v>115</v>
      </c>
      <c r="AF5356">
        <v>0</v>
      </c>
      <c r="AG5356">
        <v>0</v>
      </c>
      <c r="AH5356" t="s">
        <v>116</v>
      </c>
      <c r="AI5356" s="1">
        <v>48158</v>
      </c>
      <c r="AJ5356" s="2">
        <v>0.13</v>
      </c>
      <c r="AK5356" s="1">
        <v>373553</v>
      </c>
      <c r="AL5356" t="s">
        <v>117</v>
      </c>
      <c r="AM5356" t="s">
        <v>118</v>
      </c>
      <c r="AN5356">
        <v>7400</v>
      </c>
      <c r="AO5356">
        <v>0.17</v>
      </c>
      <c r="AP5356">
        <v>1</v>
      </c>
      <c r="AR5356">
        <v>1</v>
      </c>
      <c r="AS5356" s="1">
        <v>25250</v>
      </c>
      <c r="AT5356" s="1">
        <v>5050</v>
      </c>
      <c r="AU5356" s="1">
        <v>20200</v>
      </c>
      <c r="AV5356">
        <v>80</v>
      </c>
      <c r="AX5356" s="1">
        <v>2171.7600000000002</v>
      </c>
      <c r="AY5356" t="s">
        <v>3048</v>
      </c>
      <c r="AZ5356" t="s">
        <v>3049</v>
      </c>
      <c r="BA5356" t="s">
        <v>2223</v>
      </c>
      <c r="BE5356" s="3">
        <v>42153</v>
      </c>
      <c r="BF5356" s="1">
        <v>315000</v>
      </c>
      <c r="BG5356" t="s">
        <v>33053</v>
      </c>
      <c r="BH5356" s="1">
        <v>134.79</v>
      </c>
      <c r="BI5356" s="1">
        <v>325395</v>
      </c>
      <c r="BJ5356" s="3">
        <v>42153</v>
      </c>
      <c r="BK5356" t="s">
        <v>123</v>
      </c>
      <c r="BL5356" t="str">
        <f>"2015.382973"</f>
        <v>2015.382973</v>
      </c>
      <c r="BM5356" t="s">
        <v>33054</v>
      </c>
      <c r="BO5356" t="s">
        <v>33055</v>
      </c>
      <c r="BS5356">
        <v>30</v>
      </c>
      <c r="BW5356" t="str">
        <f>""</f>
        <v/>
      </c>
      <c r="CH5356" t="str">
        <f>""</f>
        <v/>
      </c>
      <c r="CS5356" t="str">
        <f>""</f>
        <v/>
      </c>
    </row>
    <row r="5357" spans="1:97" x14ac:dyDescent="0.25">
      <c r="A5357" t="s">
        <v>2915</v>
      </c>
      <c r="B5357" t="s">
        <v>3548</v>
      </c>
      <c r="E5357" t="s">
        <v>33056</v>
      </c>
      <c r="F5357" t="s">
        <v>108</v>
      </c>
      <c r="H5357" t="s">
        <v>33057</v>
      </c>
      <c r="I5357" t="s">
        <v>110</v>
      </c>
      <c r="J5357" t="s">
        <v>111</v>
      </c>
      <c r="K5357" t="str">
        <f>"85226"</f>
        <v>85226</v>
      </c>
      <c r="L5357" t="s">
        <v>5308</v>
      </c>
      <c r="M5357" t="s">
        <v>33057</v>
      </c>
      <c r="N5357" t="s">
        <v>110</v>
      </c>
      <c r="O5357" t="s">
        <v>111</v>
      </c>
      <c r="P5357" t="str">
        <f>"85226-1864"</f>
        <v>85226-1864</v>
      </c>
      <c r="Q5357" t="s">
        <v>113</v>
      </c>
      <c r="R5357" t="str">
        <f>"308-03-299"</f>
        <v>308-03-299</v>
      </c>
      <c r="S5357" t="s">
        <v>33058</v>
      </c>
      <c r="T5357" t="s">
        <v>33059</v>
      </c>
      <c r="U5357">
        <v>1479</v>
      </c>
      <c r="V5357">
        <v>0</v>
      </c>
      <c r="W5357">
        <v>3</v>
      </c>
      <c r="X5357">
        <v>1995</v>
      </c>
      <c r="Z5357">
        <v>2</v>
      </c>
      <c r="AB5357">
        <v>0</v>
      </c>
      <c r="AC5357" t="s">
        <v>115</v>
      </c>
      <c r="AD5357">
        <v>2</v>
      </c>
      <c r="AE5357" t="s">
        <v>115</v>
      </c>
      <c r="AF5357">
        <v>0</v>
      </c>
      <c r="AG5357">
        <v>0</v>
      </c>
      <c r="AH5357" t="s">
        <v>116</v>
      </c>
      <c r="AI5357" s="1">
        <v>58645</v>
      </c>
      <c r="AJ5357" s="2">
        <v>0.19</v>
      </c>
      <c r="AK5357" s="1">
        <v>305848</v>
      </c>
      <c r="AL5357" t="s">
        <v>117</v>
      </c>
      <c r="AM5357" t="s">
        <v>118</v>
      </c>
      <c r="AN5357">
        <v>3437</v>
      </c>
      <c r="AO5357">
        <v>0.79</v>
      </c>
      <c r="AP5357">
        <v>1</v>
      </c>
      <c r="AR5357">
        <v>1</v>
      </c>
      <c r="AS5357" s="1">
        <v>19370</v>
      </c>
      <c r="AT5357" s="1">
        <v>3870</v>
      </c>
      <c r="AU5357" s="1">
        <v>15500</v>
      </c>
      <c r="AV5357">
        <v>80.02</v>
      </c>
      <c r="AX5357" s="1">
        <v>1480.78</v>
      </c>
      <c r="AY5357" t="s">
        <v>14847</v>
      </c>
      <c r="AZ5357" t="s">
        <v>5201</v>
      </c>
      <c r="BA5357" t="s">
        <v>5202</v>
      </c>
      <c r="BE5357" s="3">
        <v>42515</v>
      </c>
      <c r="BF5357" s="1">
        <v>244900</v>
      </c>
      <c r="BG5357" t="s">
        <v>33060</v>
      </c>
      <c r="BH5357" s="1">
        <v>165.58</v>
      </c>
      <c r="BI5357" s="1">
        <v>247203</v>
      </c>
      <c r="BJ5357" s="3">
        <v>42515</v>
      </c>
      <c r="BK5357" t="s">
        <v>123</v>
      </c>
      <c r="BL5357" t="str">
        <f>"2016.360768"</f>
        <v>2016.360768</v>
      </c>
      <c r="BM5357" t="s">
        <v>2127</v>
      </c>
      <c r="BO5357" t="s">
        <v>33061</v>
      </c>
      <c r="BS5357">
        <v>30</v>
      </c>
      <c r="BW5357" t="str">
        <f>""</f>
        <v/>
      </c>
      <c r="CH5357" t="str">
        <f>""</f>
        <v/>
      </c>
      <c r="CS5357" t="str">
        <f>""</f>
        <v/>
      </c>
    </row>
    <row r="5358" spans="1:97" x14ac:dyDescent="0.25">
      <c r="A5358" t="s">
        <v>5314</v>
      </c>
      <c r="B5358" t="s">
        <v>33062</v>
      </c>
      <c r="C5358" t="s">
        <v>2168</v>
      </c>
      <c r="D5358" t="s">
        <v>33062</v>
      </c>
      <c r="E5358" t="s">
        <v>33063</v>
      </c>
      <c r="F5358" t="s">
        <v>108</v>
      </c>
      <c r="H5358" t="s">
        <v>33064</v>
      </c>
      <c r="I5358" t="s">
        <v>453</v>
      </c>
      <c r="J5358" t="s">
        <v>111</v>
      </c>
      <c r="K5358" t="str">
        <f>"85382"</f>
        <v>85382</v>
      </c>
      <c r="L5358" t="s">
        <v>5910</v>
      </c>
      <c r="M5358" t="s">
        <v>33064</v>
      </c>
      <c r="N5358" t="s">
        <v>453</v>
      </c>
      <c r="O5358" t="s">
        <v>111</v>
      </c>
      <c r="P5358" t="str">
        <f>"85382-5201"</f>
        <v>85382-5201</v>
      </c>
      <c r="Q5358" t="s">
        <v>113</v>
      </c>
      <c r="R5358" t="str">
        <f>"231-24-697"</f>
        <v>231-24-697</v>
      </c>
      <c r="S5358" t="s">
        <v>9414</v>
      </c>
      <c r="T5358" t="s">
        <v>6310</v>
      </c>
      <c r="U5358">
        <v>2144</v>
      </c>
      <c r="V5358">
        <v>0</v>
      </c>
      <c r="W5358">
        <v>4</v>
      </c>
      <c r="X5358">
        <v>2001</v>
      </c>
      <c r="Z5358">
        <v>2</v>
      </c>
      <c r="AA5358" t="s">
        <v>26</v>
      </c>
      <c r="AB5358">
        <v>0</v>
      </c>
      <c r="AC5358" t="s">
        <v>115</v>
      </c>
      <c r="AD5358">
        <v>2</v>
      </c>
      <c r="AE5358" t="s">
        <v>115</v>
      </c>
      <c r="AF5358">
        <v>0</v>
      </c>
      <c r="AG5358">
        <v>0</v>
      </c>
      <c r="AH5358" t="s">
        <v>116</v>
      </c>
      <c r="AI5358" s="1">
        <v>43731</v>
      </c>
      <c r="AJ5358" s="2">
        <v>0.13</v>
      </c>
      <c r="AK5358" s="1">
        <v>335037</v>
      </c>
      <c r="AL5358" t="s">
        <v>117</v>
      </c>
      <c r="AM5358" t="s">
        <v>118</v>
      </c>
      <c r="AN5358">
        <v>6413</v>
      </c>
      <c r="AO5358">
        <v>0.15</v>
      </c>
      <c r="AP5358">
        <v>1</v>
      </c>
      <c r="AR5358">
        <v>1</v>
      </c>
      <c r="AS5358" s="1">
        <v>23330</v>
      </c>
      <c r="AT5358" s="1">
        <v>4660</v>
      </c>
      <c r="AU5358" s="1">
        <v>18670</v>
      </c>
      <c r="AV5358">
        <v>80.03</v>
      </c>
      <c r="AX5358" s="1">
        <v>2250.4</v>
      </c>
      <c r="AY5358" t="s">
        <v>6311</v>
      </c>
      <c r="AZ5358" t="s">
        <v>6311</v>
      </c>
      <c r="BA5358" t="s">
        <v>4219</v>
      </c>
      <c r="BE5358" s="3">
        <v>42459</v>
      </c>
      <c r="BF5358" s="1">
        <v>282000</v>
      </c>
      <c r="BG5358" t="s">
        <v>33065</v>
      </c>
      <c r="BH5358" s="1">
        <v>131.53</v>
      </c>
      <c r="BI5358" s="1">
        <v>291306</v>
      </c>
      <c r="BJ5358" s="3">
        <v>42459</v>
      </c>
      <c r="BK5358" t="s">
        <v>123</v>
      </c>
      <c r="BL5358" t="str">
        <f>"2016.204890"</f>
        <v>2016.204890</v>
      </c>
      <c r="BM5358" t="s">
        <v>1038</v>
      </c>
      <c r="BO5358" t="s">
        <v>33066</v>
      </c>
      <c r="BS5358">
        <v>30</v>
      </c>
      <c r="BW5358" t="str">
        <f>""</f>
        <v/>
      </c>
      <c r="CH5358" t="str">
        <f>""</f>
        <v/>
      </c>
      <c r="CS5358" t="str">
        <f>""</f>
        <v/>
      </c>
    </row>
    <row r="5359" spans="1:97" x14ac:dyDescent="0.25">
      <c r="A5359" t="s">
        <v>3265</v>
      </c>
      <c r="B5359" t="s">
        <v>1715</v>
      </c>
      <c r="C5359" t="s">
        <v>484</v>
      </c>
      <c r="D5359" t="s">
        <v>1715</v>
      </c>
      <c r="E5359" t="s">
        <v>33067</v>
      </c>
      <c r="F5359" t="s">
        <v>108</v>
      </c>
      <c r="H5359" t="s">
        <v>33068</v>
      </c>
      <c r="I5359" t="s">
        <v>188</v>
      </c>
      <c r="J5359" t="s">
        <v>111</v>
      </c>
      <c r="K5359" t="str">
        <f>"85142"</f>
        <v>85142</v>
      </c>
      <c r="L5359" t="s">
        <v>5893</v>
      </c>
      <c r="M5359" t="s">
        <v>33068</v>
      </c>
      <c r="N5359" t="s">
        <v>188</v>
      </c>
      <c r="O5359" t="s">
        <v>111</v>
      </c>
      <c r="P5359" t="str">
        <f>"85142-5369"</f>
        <v>85142-5369</v>
      </c>
      <c r="Q5359" t="s">
        <v>113</v>
      </c>
      <c r="R5359" t="str">
        <f>"314-03-509"</f>
        <v>314-03-509</v>
      </c>
      <c r="S5359" t="s">
        <v>32223</v>
      </c>
      <c r="U5359">
        <v>2046</v>
      </c>
      <c r="V5359">
        <v>0</v>
      </c>
      <c r="W5359">
        <v>3</v>
      </c>
      <c r="X5359">
        <v>2004</v>
      </c>
      <c r="Z5359">
        <v>1</v>
      </c>
      <c r="AB5359">
        <v>0</v>
      </c>
      <c r="AC5359" t="s">
        <v>115</v>
      </c>
      <c r="AD5359">
        <v>2</v>
      </c>
      <c r="AE5359" t="s">
        <v>115</v>
      </c>
      <c r="AF5359">
        <v>0</v>
      </c>
      <c r="AG5359">
        <v>0</v>
      </c>
      <c r="AH5359" t="s">
        <v>116</v>
      </c>
      <c r="AI5359" s="1">
        <v>47372</v>
      </c>
      <c r="AJ5359" s="2">
        <v>0.16</v>
      </c>
      <c r="AK5359" s="1">
        <v>305622</v>
      </c>
      <c r="AL5359" t="s">
        <v>117</v>
      </c>
      <c r="AM5359" t="s">
        <v>191</v>
      </c>
      <c r="AN5359">
        <v>8246</v>
      </c>
      <c r="AO5359">
        <v>0.19</v>
      </c>
      <c r="AP5359">
        <v>1</v>
      </c>
      <c r="AR5359">
        <v>1</v>
      </c>
      <c r="AS5359" s="1">
        <v>20480</v>
      </c>
      <c r="AT5359" s="1">
        <v>4090</v>
      </c>
      <c r="AU5359" s="1">
        <v>16390</v>
      </c>
      <c r="AV5359">
        <v>80.03</v>
      </c>
      <c r="AX5359" s="1">
        <v>1677.26</v>
      </c>
      <c r="AY5359" t="s">
        <v>5895</v>
      </c>
      <c r="AZ5359" t="s">
        <v>561</v>
      </c>
      <c r="BA5359" t="s">
        <v>194</v>
      </c>
      <c r="BE5359" s="3">
        <v>42094</v>
      </c>
      <c r="BF5359" s="1">
        <v>219000</v>
      </c>
      <c r="BG5359" t="s">
        <v>33069</v>
      </c>
      <c r="BH5359" s="1">
        <v>107.04</v>
      </c>
      <c r="BI5359" s="1">
        <v>258250</v>
      </c>
      <c r="BJ5359" s="3">
        <v>43599</v>
      </c>
      <c r="BK5359" t="s">
        <v>123</v>
      </c>
      <c r="BL5359" t="str">
        <f>"2019.349004"</f>
        <v>2019.349004</v>
      </c>
      <c r="BM5359" t="s">
        <v>33070</v>
      </c>
      <c r="BN5359" t="s">
        <v>33071</v>
      </c>
      <c r="BO5359" t="s">
        <v>33072</v>
      </c>
      <c r="BP5359" t="s">
        <v>33073</v>
      </c>
      <c r="BR5359" t="s">
        <v>139</v>
      </c>
      <c r="BW5359" t="str">
        <f>""</f>
        <v/>
      </c>
      <c r="CH5359" t="str">
        <f>""</f>
        <v/>
      </c>
      <c r="CS5359" t="str">
        <f>""</f>
        <v/>
      </c>
    </row>
    <row r="5360" spans="1:97" x14ac:dyDescent="0.25">
      <c r="A5360" t="s">
        <v>4229</v>
      </c>
      <c r="B5360" t="s">
        <v>33074</v>
      </c>
      <c r="E5360" t="s">
        <v>33075</v>
      </c>
      <c r="F5360" t="s">
        <v>108</v>
      </c>
      <c r="H5360" t="s">
        <v>33076</v>
      </c>
      <c r="I5360" t="s">
        <v>1936</v>
      </c>
      <c r="J5360" t="s">
        <v>111</v>
      </c>
      <c r="K5360" t="str">
        <f>"85250"</f>
        <v>85250</v>
      </c>
      <c r="L5360" t="s">
        <v>5687</v>
      </c>
      <c r="M5360" t="s">
        <v>33076</v>
      </c>
      <c r="N5360" t="s">
        <v>1936</v>
      </c>
      <c r="O5360" t="s">
        <v>111</v>
      </c>
      <c r="P5360" t="str">
        <f>"85250-7345"</f>
        <v>85250-7345</v>
      </c>
      <c r="Q5360" t="s">
        <v>113</v>
      </c>
      <c r="R5360" t="str">
        <f>"173-73-130"</f>
        <v>173-73-130</v>
      </c>
      <c r="S5360" t="s">
        <v>25469</v>
      </c>
      <c r="T5360" t="s">
        <v>25469</v>
      </c>
      <c r="U5360">
        <v>1828</v>
      </c>
      <c r="V5360">
        <v>0</v>
      </c>
      <c r="W5360">
        <v>2</v>
      </c>
      <c r="X5360">
        <v>1967</v>
      </c>
      <c r="Z5360">
        <v>1</v>
      </c>
      <c r="AA5360" t="s">
        <v>26</v>
      </c>
      <c r="AB5360">
        <v>0</v>
      </c>
      <c r="AC5360" t="s">
        <v>7038</v>
      </c>
      <c r="AD5360">
        <v>0</v>
      </c>
      <c r="AE5360" t="s">
        <v>7038</v>
      </c>
      <c r="AF5360">
        <v>0</v>
      </c>
      <c r="AG5360">
        <v>0</v>
      </c>
      <c r="AH5360" t="s">
        <v>116</v>
      </c>
      <c r="AI5360" s="1">
        <v>106641</v>
      </c>
      <c r="AJ5360" s="2">
        <v>0.25</v>
      </c>
      <c r="AK5360" s="1">
        <v>426516</v>
      </c>
      <c r="AL5360" t="s">
        <v>117</v>
      </c>
      <c r="AM5360" t="s">
        <v>393</v>
      </c>
      <c r="AN5360">
        <v>7214</v>
      </c>
      <c r="AO5360">
        <v>0.17</v>
      </c>
      <c r="AP5360">
        <v>1</v>
      </c>
      <c r="AR5360">
        <v>1</v>
      </c>
      <c r="AS5360" s="1">
        <v>29130</v>
      </c>
      <c r="AT5360" s="1">
        <v>5820</v>
      </c>
      <c r="AU5360" s="1">
        <v>23310</v>
      </c>
      <c r="AV5360">
        <v>80.02</v>
      </c>
      <c r="AX5360" s="1">
        <v>1548.24</v>
      </c>
      <c r="AY5360" t="s">
        <v>11099</v>
      </c>
      <c r="AZ5360" t="s">
        <v>6975</v>
      </c>
      <c r="BA5360" t="s">
        <v>6976</v>
      </c>
      <c r="BE5360" s="3">
        <v>41949</v>
      </c>
      <c r="BF5360" s="1">
        <v>335000</v>
      </c>
      <c r="BG5360" t="s">
        <v>33077</v>
      </c>
      <c r="BH5360" s="1">
        <v>183.26</v>
      </c>
      <c r="BI5360" s="1">
        <v>319875</v>
      </c>
      <c r="BJ5360" s="3">
        <v>41949</v>
      </c>
      <c r="BK5360" t="s">
        <v>123</v>
      </c>
      <c r="BL5360" t="str">
        <f>"2014.737867"</f>
        <v>2014.737867</v>
      </c>
      <c r="BM5360" t="s">
        <v>8340</v>
      </c>
      <c r="BO5360" t="s">
        <v>33078</v>
      </c>
      <c r="BS5360">
        <v>30</v>
      </c>
      <c r="BW5360" t="str">
        <f>""</f>
        <v/>
      </c>
      <c r="CH5360" t="str">
        <f>""</f>
        <v/>
      </c>
      <c r="CS5360" t="str">
        <f>""</f>
        <v/>
      </c>
    </row>
    <row r="5361" spans="1:97" x14ac:dyDescent="0.25">
      <c r="A5361" t="s">
        <v>1845</v>
      </c>
      <c r="B5361" t="s">
        <v>33079</v>
      </c>
      <c r="E5361" t="s">
        <v>33080</v>
      </c>
      <c r="F5361" t="s">
        <v>108</v>
      </c>
      <c r="H5361" t="s">
        <v>33081</v>
      </c>
      <c r="I5361" t="s">
        <v>390</v>
      </c>
      <c r="J5361" t="s">
        <v>111</v>
      </c>
      <c r="K5361" t="str">
        <f>"85050"</f>
        <v>85050</v>
      </c>
      <c r="L5361" t="s">
        <v>9871</v>
      </c>
      <c r="M5361" t="s">
        <v>33081</v>
      </c>
      <c r="N5361" t="s">
        <v>390</v>
      </c>
      <c r="O5361" t="s">
        <v>111</v>
      </c>
      <c r="P5361" t="str">
        <f>"85050-4713"</f>
        <v>85050-4713</v>
      </c>
      <c r="Q5361" t="s">
        <v>113</v>
      </c>
      <c r="R5361" t="str">
        <f>"213-12-054"</f>
        <v>213-12-054</v>
      </c>
      <c r="S5361" t="s">
        <v>33082</v>
      </c>
      <c r="T5361" t="s">
        <v>24580</v>
      </c>
      <c r="U5361">
        <v>1467</v>
      </c>
      <c r="V5361">
        <v>0</v>
      </c>
      <c r="W5361">
        <v>3</v>
      </c>
      <c r="X5361">
        <v>1992</v>
      </c>
      <c r="Z5361">
        <v>1</v>
      </c>
      <c r="AA5361" t="s">
        <v>26</v>
      </c>
      <c r="AB5361">
        <v>0</v>
      </c>
      <c r="AC5361" t="s">
        <v>115</v>
      </c>
      <c r="AD5361">
        <v>2</v>
      </c>
      <c r="AE5361" t="s">
        <v>115</v>
      </c>
      <c r="AF5361">
        <v>0</v>
      </c>
      <c r="AG5361">
        <v>0</v>
      </c>
      <c r="AH5361" t="s">
        <v>116</v>
      </c>
      <c r="AI5361" s="1">
        <v>53204</v>
      </c>
      <c r="AJ5361" s="2">
        <v>0.17</v>
      </c>
      <c r="AK5361" s="1">
        <v>315902</v>
      </c>
      <c r="AL5361" t="s">
        <v>117</v>
      </c>
      <c r="AM5361" t="s">
        <v>1315</v>
      </c>
      <c r="AN5361">
        <v>7132</v>
      </c>
      <c r="AO5361">
        <v>0.16</v>
      </c>
      <c r="AP5361">
        <v>1</v>
      </c>
      <c r="AR5361">
        <v>1</v>
      </c>
      <c r="AS5361" s="1">
        <v>22580</v>
      </c>
      <c r="AT5361" s="1">
        <v>4510</v>
      </c>
      <c r="AU5361" s="1">
        <v>18070</v>
      </c>
      <c r="AV5361">
        <v>80.03</v>
      </c>
      <c r="AX5361" s="1">
        <v>1860.86</v>
      </c>
      <c r="AY5361" t="s">
        <v>5710</v>
      </c>
      <c r="AZ5361" t="s">
        <v>761</v>
      </c>
      <c r="BA5361" t="s">
        <v>762</v>
      </c>
      <c r="BE5361" s="3">
        <v>41816</v>
      </c>
      <c r="BF5361" s="1">
        <v>255000</v>
      </c>
      <c r="BG5361" t="s">
        <v>33083</v>
      </c>
      <c r="BH5361" s="1">
        <v>173.82</v>
      </c>
      <c r="BI5361" s="1">
        <v>262698</v>
      </c>
      <c r="BJ5361" s="3">
        <v>42349</v>
      </c>
      <c r="BK5361" t="s">
        <v>123</v>
      </c>
      <c r="BL5361" t="str">
        <f>"2015.878560"</f>
        <v>2015.878560</v>
      </c>
      <c r="BM5361" t="s">
        <v>2127</v>
      </c>
      <c r="BO5361" t="s">
        <v>33084</v>
      </c>
      <c r="BS5361">
        <v>30</v>
      </c>
      <c r="BW5361" t="str">
        <f>""</f>
        <v/>
      </c>
      <c r="CH5361" t="str">
        <f>""</f>
        <v/>
      </c>
      <c r="CS5361" t="str">
        <f>""</f>
        <v/>
      </c>
    </row>
    <row r="5362" spans="1:97" x14ac:dyDescent="0.25">
      <c r="A5362" t="s">
        <v>1444</v>
      </c>
      <c r="B5362" t="s">
        <v>6495</v>
      </c>
      <c r="E5362" t="s">
        <v>33085</v>
      </c>
      <c r="F5362" t="s">
        <v>108</v>
      </c>
      <c r="H5362" t="s">
        <v>33086</v>
      </c>
      <c r="I5362" t="s">
        <v>390</v>
      </c>
      <c r="J5362" t="s">
        <v>111</v>
      </c>
      <c r="K5362" t="str">
        <f>"85013"</f>
        <v>85013</v>
      </c>
      <c r="L5362" t="s">
        <v>2963</v>
      </c>
      <c r="M5362" t="s">
        <v>33086</v>
      </c>
      <c r="N5362" t="s">
        <v>390</v>
      </c>
      <c r="O5362" t="s">
        <v>111</v>
      </c>
      <c r="P5362" t="str">
        <f>"85013-1025"</f>
        <v>85013-1025</v>
      </c>
      <c r="Q5362" t="s">
        <v>113</v>
      </c>
      <c r="R5362" t="str">
        <f>"156-22-050-A"</f>
        <v>156-22-050-A</v>
      </c>
      <c r="S5362" t="s">
        <v>6587</v>
      </c>
      <c r="T5362" t="s">
        <v>6588</v>
      </c>
      <c r="U5362">
        <v>1512</v>
      </c>
      <c r="V5362">
        <v>0</v>
      </c>
      <c r="W5362">
        <v>2</v>
      </c>
      <c r="X5362">
        <v>1968</v>
      </c>
      <c r="Z5362">
        <v>1</v>
      </c>
      <c r="AA5362" t="s">
        <v>26</v>
      </c>
      <c r="AB5362">
        <v>0</v>
      </c>
      <c r="AC5362" t="s">
        <v>115</v>
      </c>
      <c r="AD5362">
        <v>2</v>
      </c>
      <c r="AE5362" t="s">
        <v>115</v>
      </c>
      <c r="AF5362">
        <v>0</v>
      </c>
      <c r="AG5362">
        <v>0</v>
      </c>
      <c r="AH5362" t="s">
        <v>116</v>
      </c>
      <c r="AI5362" s="1">
        <v>136957</v>
      </c>
      <c r="AJ5362" s="2">
        <v>0.4</v>
      </c>
      <c r="AK5362" s="1">
        <v>345853</v>
      </c>
      <c r="AL5362" t="s">
        <v>117</v>
      </c>
      <c r="AM5362" t="s">
        <v>1302</v>
      </c>
      <c r="AN5362">
        <v>10416</v>
      </c>
      <c r="AO5362">
        <v>0.24</v>
      </c>
      <c r="AP5362">
        <v>1</v>
      </c>
      <c r="AR5362">
        <v>1</v>
      </c>
      <c r="AS5362" s="1">
        <v>25050</v>
      </c>
      <c r="AT5362" s="1">
        <v>5010</v>
      </c>
      <c r="AU5362" s="1">
        <v>20040</v>
      </c>
      <c r="AV5362">
        <v>80</v>
      </c>
      <c r="AX5362" s="1">
        <v>1686.64</v>
      </c>
      <c r="AY5362" t="s">
        <v>1303</v>
      </c>
      <c r="AZ5362" t="s">
        <v>1303</v>
      </c>
      <c r="BA5362" t="s">
        <v>1304</v>
      </c>
      <c r="BE5362" s="3">
        <v>41815</v>
      </c>
      <c r="BF5362" s="1">
        <v>204500</v>
      </c>
      <c r="BG5362" t="s">
        <v>33087</v>
      </c>
      <c r="BH5362" s="1">
        <v>135.25</v>
      </c>
      <c r="BI5362" s="1">
        <v>208896</v>
      </c>
      <c r="BJ5362" s="3">
        <v>41815</v>
      </c>
      <c r="BK5362" t="s">
        <v>123</v>
      </c>
      <c r="BL5362" t="str">
        <f>"2014.416739"</f>
        <v>2014.416739</v>
      </c>
      <c r="BM5362" t="s">
        <v>2748</v>
      </c>
      <c r="BO5362" t="s">
        <v>33088</v>
      </c>
      <c r="BS5362">
        <v>30</v>
      </c>
      <c r="BW5362" t="str">
        <f>""</f>
        <v/>
      </c>
      <c r="CH5362" t="str">
        <f>""</f>
        <v/>
      </c>
      <c r="CS5362" t="str">
        <f>""</f>
        <v/>
      </c>
    </row>
    <row r="5363" spans="1:97" x14ac:dyDescent="0.25">
      <c r="A5363" t="s">
        <v>1009</v>
      </c>
      <c r="B5363" t="s">
        <v>33089</v>
      </c>
      <c r="C5363" t="s">
        <v>1241</v>
      </c>
      <c r="D5363" t="s">
        <v>33089</v>
      </c>
      <c r="E5363" t="s">
        <v>33090</v>
      </c>
      <c r="F5363" t="s">
        <v>108</v>
      </c>
      <c r="H5363" t="s">
        <v>33091</v>
      </c>
      <c r="I5363" t="s">
        <v>5636</v>
      </c>
      <c r="J5363" t="s">
        <v>111</v>
      </c>
      <c r="K5363" t="str">
        <f>"85268"</f>
        <v>85268</v>
      </c>
      <c r="L5363" t="s">
        <v>500</v>
      </c>
      <c r="M5363" t="s">
        <v>33091</v>
      </c>
      <c r="N5363" t="s">
        <v>5636</v>
      </c>
      <c r="O5363" t="s">
        <v>111</v>
      </c>
      <c r="P5363" t="str">
        <f>"85268-2962"</f>
        <v>85268-2962</v>
      </c>
      <c r="Q5363" t="s">
        <v>113</v>
      </c>
      <c r="R5363" t="str">
        <f>"176-03-945"</f>
        <v>176-03-945</v>
      </c>
      <c r="S5363" t="s">
        <v>33092</v>
      </c>
      <c r="T5363" t="s">
        <v>33093</v>
      </c>
      <c r="U5363">
        <v>1907</v>
      </c>
      <c r="V5363">
        <v>0</v>
      </c>
      <c r="W5363">
        <v>4</v>
      </c>
      <c r="X5363">
        <v>1994</v>
      </c>
      <c r="Z5363">
        <v>1</v>
      </c>
      <c r="AB5363">
        <v>0</v>
      </c>
      <c r="AC5363" t="s">
        <v>115</v>
      </c>
      <c r="AD5363">
        <v>2</v>
      </c>
      <c r="AE5363" t="s">
        <v>115</v>
      </c>
      <c r="AF5363">
        <v>0</v>
      </c>
      <c r="AG5363">
        <v>0</v>
      </c>
      <c r="AH5363" t="s">
        <v>116</v>
      </c>
      <c r="AI5363" s="1">
        <v>56043</v>
      </c>
      <c r="AJ5363" s="2">
        <v>0.14000000000000001</v>
      </c>
      <c r="AK5363" s="1">
        <v>396893</v>
      </c>
      <c r="AL5363" t="s">
        <v>117</v>
      </c>
      <c r="AM5363" t="s">
        <v>191</v>
      </c>
      <c r="AN5363">
        <v>8407</v>
      </c>
      <c r="AO5363">
        <v>0.19</v>
      </c>
      <c r="AP5363">
        <v>1</v>
      </c>
      <c r="AR5363">
        <v>1</v>
      </c>
      <c r="AS5363" s="1">
        <v>27330</v>
      </c>
      <c r="AT5363" s="1">
        <v>5460</v>
      </c>
      <c r="AU5363" s="1">
        <v>21870</v>
      </c>
      <c r="AV5363">
        <v>80.02</v>
      </c>
      <c r="AX5363" s="1">
        <v>1780.1</v>
      </c>
      <c r="AY5363" t="s">
        <v>6485</v>
      </c>
      <c r="AZ5363" t="s">
        <v>5640</v>
      </c>
      <c r="BA5363" t="s">
        <v>5641</v>
      </c>
      <c r="BE5363" s="3">
        <v>42306</v>
      </c>
      <c r="BF5363" s="1">
        <v>330000</v>
      </c>
      <c r="BG5363" t="s">
        <v>33094</v>
      </c>
      <c r="BH5363" s="1">
        <v>173.05</v>
      </c>
      <c r="BI5363" s="1">
        <v>340850</v>
      </c>
      <c r="BJ5363" s="3">
        <v>42306</v>
      </c>
      <c r="BK5363" t="s">
        <v>123</v>
      </c>
      <c r="BL5363" t="str">
        <f>"2015.778036"</f>
        <v>2015.778036</v>
      </c>
      <c r="BM5363" t="s">
        <v>7531</v>
      </c>
      <c r="BO5363" t="s">
        <v>33095</v>
      </c>
      <c r="BS5363">
        <v>30</v>
      </c>
      <c r="BW5363" t="str">
        <f>""</f>
        <v/>
      </c>
      <c r="CH5363" t="str">
        <f>""</f>
        <v/>
      </c>
      <c r="CS5363" t="str">
        <f>""</f>
        <v/>
      </c>
    </row>
    <row r="5364" spans="1:97" x14ac:dyDescent="0.25">
      <c r="A5364" t="s">
        <v>2123</v>
      </c>
      <c r="B5364" t="s">
        <v>33096</v>
      </c>
      <c r="C5364" t="s">
        <v>9149</v>
      </c>
      <c r="D5364" t="s">
        <v>33096</v>
      </c>
      <c r="E5364" t="s">
        <v>33097</v>
      </c>
      <c r="F5364" t="s">
        <v>108</v>
      </c>
      <c r="H5364" t="s">
        <v>33098</v>
      </c>
      <c r="I5364" t="s">
        <v>2874</v>
      </c>
      <c r="J5364" t="s">
        <v>111</v>
      </c>
      <c r="K5364" t="str">
        <f>"85308"</f>
        <v>85308</v>
      </c>
      <c r="L5364" t="s">
        <v>9178</v>
      </c>
      <c r="M5364" t="s">
        <v>33098</v>
      </c>
      <c r="N5364" t="s">
        <v>2874</v>
      </c>
      <c r="O5364" t="s">
        <v>111</v>
      </c>
      <c r="P5364" t="str">
        <f>"85308-7074"</f>
        <v>85308-7074</v>
      </c>
      <c r="Q5364" t="s">
        <v>113</v>
      </c>
      <c r="R5364" t="str">
        <f>"200-28-373"</f>
        <v>200-28-373</v>
      </c>
      <c r="S5364" t="s">
        <v>33099</v>
      </c>
      <c r="T5364" t="s">
        <v>7669</v>
      </c>
      <c r="U5364">
        <v>1393</v>
      </c>
      <c r="V5364">
        <v>0</v>
      </c>
      <c r="W5364">
        <v>3</v>
      </c>
      <c r="X5364">
        <v>1998</v>
      </c>
      <c r="Z5364">
        <v>1</v>
      </c>
      <c r="AB5364">
        <v>0</v>
      </c>
      <c r="AC5364" t="s">
        <v>115</v>
      </c>
      <c r="AD5364">
        <v>2</v>
      </c>
      <c r="AE5364" t="s">
        <v>115</v>
      </c>
      <c r="AF5364">
        <v>0</v>
      </c>
      <c r="AG5364">
        <v>0</v>
      </c>
      <c r="AH5364" t="s">
        <v>116</v>
      </c>
      <c r="AI5364" s="1">
        <v>37656</v>
      </c>
      <c r="AJ5364" s="2">
        <v>0.14000000000000001</v>
      </c>
      <c r="AK5364" s="1">
        <v>274656</v>
      </c>
      <c r="AL5364" t="s">
        <v>117</v>
      </c>
      <c r="AM5364" t="s">
        <v>393</v>
      </c>
      <c r="AN5364">
        <v>5500</v>
      </c>
      <c r="AO5364">
        <v>0.13</v>
      </c>
      <c r="AP5364">
        <v>1</v>
      </c>
      <c r="AR5364">
        <v>1</v>
      </c>
      <c r="AS5364" s="1">
        <v>19170</v>
      </c>
      <c r="AT5364" s="1">
        <v>3830</v>
      </c>
      <c r="AU5364" s="1">
        <v>15340</v>
      </c>
      <c r="AV5364">
        <v>80.02</v>
      </c>
      <c r="AX5364" s="1">
        <v>1624.64</v>
      </c>
      <c r="AY5364" t="s">
        <v>6740</v>
      </c>
      <c r="AZ5364" t="s">
        <v>6740</v>
      </c>
      <c r="BA5364" t="s">
        <v>5143</v>
      </c>
      <c r="BE5364" s="3">
        <v>41864</v>
      </c>
      <c r="BF5364" s="1">
        <v>193000</v>
      </c>
      <c r="BG5364" t="s">
        <v>11569</v>
      </c>
      <c r="BH5364" s="1">
        <v>138.55000000000001</v>
      </c>
      <c r="BI5364" s="1">
        <v>237000</v>
      </c>
      <c r="BJ5364" s="3">
        <v>43152</v>
      </c>
      <c r="BK5364" t="s">
        <v>123</v>
      </c>
      <c r="BL5364" t="str">
        <f>"2018.128695"</f>
        <v>2018.128695</v>
      </c>
      <c r="BM5364" t="s">
        <v>2489</v>
      </c>
      <c r="BN5364" t="s">
        <v>4819</v>
      </c>
      <c r="BO5364" t="s">
        <v>33100</v>
      </c>
      <c r="BP5364" t="s">
        <v>33101</v>
      </c>
      <c r="BR5364" t="s">
        <v>139</v>
      </c>
      <c r="BW5364" t="str">
        <f>""</f>
        <v/>
      </c>
      <c r="CH5364" t="str">
        <f>""</f>
        <v/>
      </c>
      <c r="CS5364" t="str">
        <f>""</f>
        <v/>
      </c>
    </row>
    <row r="5365" spans="1:97" x14ac:dyDescent="0.25">
      <c r="A5365" t="s">
        <v>1393</v>
      </c>
      <c r="B5365" t="s">
        <v>33102</v>
      </c>
      <c r="C5365" t="s">
        <v>6281</v>
      </c>
      <c r="D5365" t="s">
        <v>33102</v>
      </c>
      <c r="E5365" t="s">
        <v>33103</v>
      </c>
      <c r="F5365" t="s">
        <v>282</v>
      </c>
      <c r="H5365" t="s">
        <v>33104</v>
      </c>
      <c r="I5365" t="s">
        <v>225</v>
      </c>
      <c r="J5365" t="s">
        <v>111</v>
      </c>
      <c r="K5365" t="str">
        <f>"85206"</f>
        <v>85206</v>
      </c>
      <c r="L5365" t="s">
        <v>6169</v>
      </c>
      <c r="M5365" t="s">
        <v>33105</v>
      </c>
      <c r="N5365" t="s">
        <v>33106</v>
      </c>
      <c r="O5365" t="s">
        <v>33107</v>
      </c>
      <c r="P5365" t="str">
        <f>"60047-8945"</f>
        <v>60047-8945</v>
      </c>
      <c r="Q5365" t="s">
        <v>113</v>
      </c>
      <c r="R5365" t="str">
        <f>"141-83-763"</f>
        <v>141-83-763</v>
      </c>
      <c r="S5365" t="s">
        <v>33108</v>
      </c>
      <c r="U5365">
        <v>2545</v>
      </c>
      <c r="V5365">
        <v>0</v>
      </c>
      <c r="W5365">
        <v>4</v>
      </c>
      <c r="X5365">
        <v>1992</v>
      </c>
      <c r="Z5365">
        <v>2</v>
      </c>
      <c r="AA5365" t="s">
        <v>26</v>
      </c>
      <c r="AB5365">
        <v>0</v>
      </c>
      <c r="AC5365" t="s">
        <v>115</v>
      </c>
      <c r="AD5365">
        <v>3</v>
      </c>
      <c r="AE5365" t="s">
        <v>115</v>
      </c>
      <c r="AF5365">
        <v>0</v>
      </c>
      <c r="AG5365">
        <v>0</v>
      </c>
      <c r="AH5365" t="s">
        <v>116</v>
      </c>
      <c r="AI5365" s="1">
        <v>56087</v>
      </c>
      <c r="AJ5365" s="2">
        <v>0.16</v>
      </c>
      <c r="AK5365" s="1">
        <v>350887</v>
      </c>
      <c r="AL5365" t="s">
        <v>117</v>
      </c>
      <c r="AM5365" t="s">
        <v>393</v>
      </c>
      <c r="AN5365">
        <v>7427</v>
      </c>
      <c r="AO5365">
        <v>0.17</v>
      </c>
      <c r="AP5365">
        <v>1</v>
      </c>
      <c r="AR5365">
        <v>1</v>
      </c>
      <c r="AS5365" s="1">
        <v>24010</v>
      </c>
      <c r="AT5365" s="1">
        <v>4800</v>
      </c>
      <c r="AU5365" s="1">
        <v>19210</v>
      </c>
      <c r="AV5365">
        <v>80.010000000000005</v>
      </c>
      <c r="AX5365" s="1">
        <v>2377.54</v>
      </c>
      <c r="AY5365" t="s">
        <v>230</v>
      </c>
      <c r="AZ5365" t="s">
        <v>5158</v>
      </c>
      <c r="BA5365" t="s">
        <v>5159</v>
      </c>
      <c r="BE5365" s="3">
        <v>42513</v>
      </c>
      <c r="BF5365" s="1">
        <v>284500</v>
      </c>
      <c r="BG5365" t="s">
        <v>33109</v>
      </c>
      <c r="BH5365" s="1">
        <v>111.79</v>
      </c>
      <c r="BI5365" s="1">
        <v>294800</v>
      </c>
      <c r="BJ5365" s="3">
        <v>42592</v>
      </c>
      <c r="BK5365" t="s">
        <v>123</v>
      </c>
      <c r="BL5365" t="str">
        <f>"2016.567962"</f>
        <v>2016.567962</v>
      </c>
      <c r="BM5365" t="s">
        <v>1707</v>
      </c>
      <c r="BO5365" t="s">
        <v>33110</v>
      </c>
      <c r="BS5365">
        <v>30</v>
      </c>
      <c r="BW5365" t="str">
        <f>""</f>
        <v/>
      </c>
      <c r="CH5365" t="str">
        <f>""</f>
        <v/>
      </c>
      <c r="CS5365" t="str">
        <f>""</f>
        <v/>
      </c>
    </row>
    <row r="5366" spans="1:97" x14ac:dyDescent="0.25">
      <c r="A5366" t="s">
        <v>1340</v>
      </c>
      <c r="B5366" t="s">
        <v>7441</v>
      </c>
      <c r="C5366" t="s">
        <v>2852</v>
      </c>
      <c r="D5366" t="s">
        <v>7441</v>
      </c>
      <c r="E5366" t="s">
        <v>33111</v>
      </c>
      <c r="F5366" t="s">
        <v>108</v>
      </c>
      <c r="H5366" t="s">
        <v>33112</v>
      </c>
      <c r="I5366" t="s">
        <v>203</v>
      </c>
      <c r="J5366" t="s">
        <v>111</v>
      </c>
      <c r="K5366" t="str">
        <f>"85234"</f>
        <v>85234</v>
      </c>
      <c r="L5366" t="s">
        <v>2220</v>
      </c>
      <c r="M5366" t="s">
        <v>33112</v>
      </c>
      <c r="N5366" t="s">
        <v>203</v>
      </c>
      <c r="O5366" t="s">
        <v>111</v>
      </c>
      <c r="P5366" t="str">
        <f>"85234-1523"</f>
        <v>85234-1523</v>
      </c>
      <c r="Q5366" t="s">
        <v>113</v>
      </c>
      <c r="R5366" t="str">
        <f>"304-08-368"</f>
        <v>304-08-368</v>
      </c>
      <c r="S5366" t="s">
        <v>19082</v>
      </c>
      <c r="T5366" t="s">
        <v>19083</v>
      </c>
      <c r="U5366">
        <v>2146</v>
      </c>
      <c r="V5366">
        <v>0</v>
      </c>
      <c r="W5366">
        <v>4</v>
      </c>
      <c r="X5366">
        <v>1997</v>
      </c>
      <c r="Z5366">
        <v>2</v>
      </c>
      <c r="AA5366" t="s">
        <v>26</v>
      </c>
      <c r="AB5366">
        <v>0</v>
      </c>
      <c r="AC5366" t="s">
        <v>115</v>
      </c>
      <c r="AD5366">
        <v>2</v>
      </c>
      <c r="AE5366" t="s">
        <v>115</v>
      </c>
      <c r="AF5366">
        <v>0</v>
      </c>
      <c r="AG5366">
        <v>0</v>
      </c>
      <c r="AH5366" t="s">
        <v>116</v>
      </c>
      <c r="AI5366" s="1">
        <v>95958</v>
      </c>
      <c r="AJ5366" s="2">
        <v>0.27</v>
      </c>
      <c r="AK5366" s="1">
        <v>352856</v>
      </c>
      <c r="AL5366" t="s">
        <v>117</v>
      </c>
      <c r="AM5366" t="s">
        <v>191</v>
      </c>
      <c r="AN5366">
        <v>6029</v>
      </c>
      <c r="AO5366">
        <v>0.14000000000000001</v>
      </c>
      <c r="AP5366">
        <v>1</v>
      </c>
      <c r="AR5366">
        <v>1</v>
      </c>
      <c r="AS5366" s="1">
        <v>24170</v>
      </c>
      <c r="AT5366" s="1">
        <v>4830</v>
      </c>
      <c r="AU5366" s="1">
        <v>19340</v>
      </c>
      <c r="AV5366">
        <v>80.02</v>
      </c>
      <c r="AX5366" s="1">
        <v>1742.18</v>
      </c>
      <c r="AY5366" t="s">
        <v>8450</v>
      </c>
      <c r="AZ5366" t="s">
        <v>571</v>
      </c>
      <c r="BA5366" t="s">
        <v>521</v>
      </c>
      <c r="BE5366" s="3">
        <v>41929</v>
      </c>
      <c r="BF5366" s="1">
        <v>249900</v>
      </c>
      <c r="BG5366" t="s">
        <v>5716</v>
      </c>
      <c r="BH5366" s="1">
        <v>116.45</v>
      </c>
      <c r="BI5366" s="1">
        <v>256898</v>
      </c>
      <c r="BJ5366" s="3">
        <v>41929</v>
      </c>
      <c r="BK5366" t="s">
        <v>123</v>
      </c>
      <c r="BL5366" t="str">
        <f>"2014.689261"</f>
        <v>2014.689261</v>
      </c>
      <c r="BM5366" t="s">
        <v>8340</v>
      </c>
      <c r="BO5366" t="s">
        <v>33113</v>
      </c>
      <c r="BS5366">
        <v>30</v>
      </c>
      <c r="BW5366" t="str">
        <f>""</f>
        <v/>
      </c>
      <c r="CH5366" t="str">
        <f>""</f>
        <v/>
      </c>
      <c r="CS5366" t="str">
        <f>""</f>
        <v/>
      </c>
    </row>
    <row r="5367" spans="1:97" x14ac:dyDescent="0.25">
      <c r="A5367" t="s">
        <v>33114</v>
      </c>
      <c r="B5367" t="s">
        <v>32402</v>
      </c>
      <c r="E5367" t="s">
        <v>33115</v>
      </c>
      <c r="F5367" t="s">
        <v>108</v>
      </c>
      <c r="H5367" t="s">
        <v>33116</v>
      </c>
      <c r="I5367" t="s">
        <v>225</v>
      </c>
      <c r="J5367" t="s">
        <v>111</v>
      </c>
      <c r="K5367" t="str">
        <f>"85208"</f>
        <v>85208</v>
      </c>
      <c r="L5367" t="s">
        <v>6438</v>
      </c>
      <c r="M5367" t="s">
        <v>33116</v>
      </c>
      <c r="N5367" t="s">
        <v>225</v>
      </c>
      <c r="O5367" t="s">
        <v>111</v>
      </c>
      <c r="P5367" t="str">
        <f>"85208-7423"</f>
        <v>85208-7423</v>
      </c>
      <c r="Q5367" t="s">
        <v>113</v>
      </c>
      <c r="R5367" t="str">
        <f>"220-85-159"</f>
        <v>220-85-159</v>
      </c>
      <c r="S5367" t="s">
        <v>6825</v>
      </c>
      <c r="T5367" t="s">
        <v>6826</v>
      </c>
      <c r="U5367">
        <v>1831</v>
      </c>
      <c r="V5367">
        <v>0</v>
      </c>
      <c r="W5367">
        <v>3</v>
      </c>
      <c r="X5367">
        <v>2000</v>
      </c>
      <c r="Z5367">
        <v>2</v>
      </c>
      <c r="AA5367" t="s">
        <v>26</v>
      </c>
      <c r="AB5367">
        <v>0</v>
      </c>
      <c r="AC5367" t="s">
        <v>115</v>
      </c>
      <c r="AD5367">
        <v>2</v>
      </c>
      <c r="AE5367" t="s">
        <v>115</v>
      </c>
      <c r="AF5367">
        <v>0</v>
      </c>
      <c r="AG5367">
        <v>0</v>
      </c>
      <c r="AH5367" t="s">
        <v>116</v>
      </c>
      <c r="AI5367" s="1">
        <v>29882</v>
      </c>
      <c r="AJ5367" s="2">
        <v>0.1</v>
      </c>
      <c r="AK5367" s="1">
        <v>294882</v>
      </c>
      <c r="AL5367" t="s">
        <v>117</v>
      </c>
      <c r="AM5367" t="s">
        <v>191</v>
      </c>
      <c r="AN5367">
        <v>7104</v>
      </c>
      <c r="AO5367">
        <v>0.16</v>
      </c>
      <c r="AP5367">
        <v>1</v>
      </c>
      <c r="AR5367">
        <v>1</v>
      </c>
      <c r="AS5367" s="1">
        <v>20670</v>
      </c>
      <c r="AT5367" s="1">
        <v>4130</v>
      </c>
      <c r="AU5367" s="1">
        <v>16540</v>
      </c>
      <c r="AV5367">
        <v>80.02</v>
      </c>
      <c r="AX5367" s="1">
        <v>1459.88</v>
      </c>
      <c r="AY5367" t="s">
        <v>272</v>
      </c>
      <c r="AZ5367" t="s">
        <v>3761</v>
      </c>
      <c r="BA5367" t="s">
        <v>232</v>
      </c>
      <c r="BB5367" s="3">
        <v>43389</v>
      </c>
      <c r="BC5367" s="1">
        <v>0</v>
      </c>
      <c r="BD5367" t="s">
        <v>247</v>
      </c>
      <c r="BE5367" s="3">
        <v>42551</v>
      </c>
      <c r="BF5367" s="1">
        <v>235000</v>
      </c>
      <c r="BG5367" t="s">
        <v>33117</v>
      </c>
      <c r="BH5367" s="1">
        <v>128.35</v>
      </c>
      <c r="BI5367" s="1">
        <v>265000</v>
      </c>
      <c r="BJ5367" s="3">
        <v>43389</v>
      </c>
      <c r="BK5367" t="s">
        <v>123</v>
      </c>
      <c r="BL5367" t="str">
        <f>"2018.774813"</f>
        <v>2018.774813</v>
      </c>
      <c r="BM5367" t="s">
        <v>492</v>
      </c>
      <c r="BN5367" t="s">
        <v>4706</v>
      </c>
      <c r="BO5367" t="s">
        <v>33115</v>
      </c>
      <c r="BR5367" t="s">
        <v>139</v>
      </c>
      <c r="BW5367" t="str">
        <f>""</f>
        <v/>
      </c>
      <c r="CH5367" t="str">
        <f>""</f>
        <v/>
      </c>
      <c r="CS5367" t="str">
        <f>""</f>
        <v/>
      </c>
    </row>
    <row r="5368" spans="1:97" x14ac:dyDescent="0.25">
      <c r="B5368" t="s">
        <v>33118</v>
      </c>
      <c r="C5368" t="s">
        <v>33119</v>
      </c>
      <c r="E5368" t="s">
        <v>33120</v>
      </c>
      <c r="F5368" t="s">
        <v>108</v>
      </c>
      <c r="H5368" t="s">
        <v>33121</v>
      </c>
      <c r="I5368" t="s">
        <v>390</v>
      </c>
      <c r="J5368" t="s">
        <v>111</v>
      </c>
      <c r="K5368" t="str">
        <f>"85027"</f>
        <v>85027</v>
      </c>
      <c r="L5368" t="s">
        <v>6460</v>
      </c>
      <c r="M5368" t="s">
        <v>33121</v>
      </c>
      <c r="N5368" t="s">
        <v>390</v>
      </c>
      <c r="O5368" t="s">
        <v>111</v>
      </c>
      <c r="P5368" t="str">
        <f>"85027-7023"</f>
        <v>85027-7023</v>
      </c>
      <c r="Q5368" t="s">
        <v>113</v>
      </c>
      <c r="R5368" t="str">
        <f>"206-02-395"</f>
        <v>206-02-395</v>
      </c>
      <c r="S5368" t="s">
        <v>6461</v>
      </c>
      <c r="T5368" t="s">
        <v>6461</v>
      </c>
      <c r="U5368">
        <v>1862</v>
      </c>
      <c r="V5368">
        <v>0</v>
      </c>
      <c r="W5368">
        <v>3</v>
      </c>
      <c r="X5368">
        <v>2001</v>
      </c>
      <c r="Z5368">
        <v>1</v>
      </c>
      <c r="AB5368">
        <v>0</v>
      </c>
      <c r="AC5368" t="s">
        <v>115</v>
      </c>
      <c r="AD5368">
        <v>2</v>
      </c>
      <c r="AE5368" t="s">
        <v>115</v>
      </c>
      <c r="AF5368">
        <v>0</v>
      </c>
      <c r="AG5368">
        <v>0</v>
      </c>
      <c r="AH5368" t="s">
        <v>116</v>
      </c>
      <c r="AI5368" s="1">
        <v>92363</v>
      </c>
      <c r="AJ5368" s="2">
        <v>0.28000000000000003</v>
      </c>
      <c r="AK5368" s="1">
        <v>324618</v>
      </c>
      <c r="AL5368" t="s">
        <v>117</v>
      </c>
      <c r="AM5368" t="s">
        <v>1302</v>
      </c>
      <c r="AN5368">
        <v>8396</v>
      </c>
      <c r="AO5368">
        <v>0.19</v>
      </c>
      <c r="AP5368">
        <v>1</v>
      </c>
      <c r="AR5368">
        <v>1</v>
      </c>
      <c r="AS5368" s="1">
        <v>23220</v>
      </c>
      <c r="AT5368" s="1">
        <v>4640</v>
      </c>
      <c r="AU5368" s="1">
        <v>18580</v>
      </c>
      <c r="AV5368">
        <v>80.02</v>
      </c>
      <c r="AX5368" s="1">
        <v>1945.4</v>
      </c>
      <c r="AY5368" t="s">
        <v>5701</v>
      </c>
      <c r="AZ5368" t="s">
        <v>3049</v>
      </c>
      <c r="BA5368" t="s">
        <v>1386</v>
      </c>
      <c r="BB5368" s="3">
        <v>43490</v>
      </c>
      <c r="BC5368" s="1">
        <v>0</v>
      </c>
      <c r="BD5368" t="s">
        <v>247</v>
      </c>
      <c r="BE5368" s="3">
        <v>41826</v>
      </c>
      <c r="BF5368" s="1">
        <v>240000</v>
      </c>
      <c r="BG5368" t="s">
        <v>33122</v>
      </c>
      <c r="BH5368" s="1">
        <v>128.88999999999999</v>
      </c>
      <c r="BI5368" s="1">
        <v>232255</v>
      </c>
      <c r="BJ5368" s="3">
        <v>42032</v>
      </c>
      <c r="BK5368" t="s">
        <v>123</v>
      </c>
      <c r="BL5368" t="str">
        <f>"2015.53884"</f>
        <v>2015.53884</v>
      </c>
      <c r="BM5368" t="s">
        <v>709</v>
      </c>
      <c r="BN5368" t="s">
        <v>863</v>
      </c>
      <c r="BO5368" t="s">
        <v>33123</v>
      </c>
      <c r="BS5368">
        <v>30</v>
      </c>
      <c r="BW5368" t="str">
        <f>""</f>
        <v/>
      </c>
      <c r="CH5368" t="str">
        <f>""</f>
        <v/>
      </c>
      <c r="CS5368" t="str">
        <f>""</f>
        <v/>
      </c>
    </row>
    <row r="5369" spans="1:97" x14ac:dyDescent="0.25">
      <c r="A5369" t="s">
        <v>33124</v>
      </c>
      <c r="B5369" t="s">
        <v>2522</v>
      </c>
      <c r="E5369" t="s">
        <v>33125</v>
      </c>
      <c r="F5369" t="s">
        <v>108</v>
      </c>
      <c r="H5369" t="s">
        <v>33126</v>
      </c>
      <c r="I5369" t="s">
        <v>203</v>
      </c>
      <c r="J5369" t="s">
        <v>111</v>
      </c>
      <c r="K5369" t="str">
        <f>"85233"</f>
        <v>85233</v>
      </c>
      <c r="L5369" t="s">
        <v>6595</v>
      </c>
      <c r="M5369" t="s">
        <v>33126</v>
      </c>
      <c r="N5369" t="s">
        <v>203</v>
      </c>
      <c r="O5369" t="s">
        <v>111</v>
      </c>
      <c r="P5369" t="str">
        <f>"85233-6721"</f>
        <v>85233-6721</v>
      </c>
      <c r="Q5369" t="s">
        <v>113</v>
      </c>
      <c r="R5369" t="str">
        <f>"302-96-896"</f>
        <v>302-96-896</v>
      </c>
      <c r="S5369" t="s">
        <v>33127</v>
      </c>
      <c r="T5369" t="s">
        <v>33128</v>
      </c>
      <c r="U5369">
        <v>2060</v>
      </c>
      <c r="V5369">
        <v>0</v>
      </c>
      <c r="W5369">
        <v>4</v>
      </c>
      <c r="X5369">
        <v>1987</v>
      </c>
      <c r="Z5369">
        <v>2</v>
      </c>
      <c r="AB5369">
        <v>0</v>
      </c>
      <c r="AC5369" t="s">
        <v>115</v>
      </c>
      <c r="AD5369">
        <v>2</v>
      </c>
      <c r="AE5369" t="s">
        <v>115</v>
      </c>
      <c r="AF5369">
        <v>0</v>
      </c>
      <c r="AG5369">
        <v>0</v>
      </c>
      <c r="AH5369" t="s">
        <v>116</v>
      </c>
      <c r="AI5369" s="1">
        <v>75610</v>
      </c>
      <c r="AJ5369" s="2">
        <v>0.22</v>
      </c>
      <c r="AK5369" s="1">
        <v>341200</v>
      </c>
      <c r="AL5369" t="s">
        <v>117</v>
      </c>
      <c r="AM5369" t="s">
        <v>191</v>
      </c>
      <c r="AN5369">
        <v>5615</v>
      </c>
      <c r="AO5369">
        <v>0.13</v>
      </c>
      <c r="AP5369">
        <v>1</v>
      </c>
      <c r="AR5369">
        <v>1</v>
      </c>
      <c r="AS5369" s="1">
        <v>23070</v>
      </c>
      <c r="AT5369" s="1">
        <v>4610</v>
      </c>
      <c r="AU5369" s="1">
        <v>18460</v>
      </c>
      <c r="AV5369">
        <v>80.02</v>
      </c>
      <c r="AX5369" s="1">
        <v>1653.46</v>
      </c>
      <c r="AY5369" t="s">
        <v>5477</v>
      </c>
      <c r="AZ5369" t="s">
        <v>5478</v>
      </c>
      <c r="BA5369" t="s">
        <v>5479</v>
      </c>
      <c r="BE5369" s="3">
        <v>41955</v>
      </c>
      <c r="BF5369" s="1">
        <v>260000</v>
      </c>
      <c r="BG5369" t="s">
        <v>33129</v>
      </c>
      <c r="BH5369" s="1">
        <v>126.21</v>
      </c>
      <c r="BI5369" s="1">
        <v>265590</v>
      </c>
      <c r="BJ5369" s="3">
        <v>41955</v>
      </c>
      <c r="BK5369" t="s">
        <v>123</v>
      </c>
      <c r="BL5369" t="str">
        <f>"2014.749442"</f>
        <v>2014.749442</v>
      </c>
      <c r="BM5369" t="s">
        <v>594</v>
      </c>
      <c r="BO5369" t="s">
        <v>33130</v>
      </c>
      <c r="BS5369">
        <v>30</v>
      </c>
      <c r="BW5369" t="str">
        <f>""</f>
        <v/>
      </c>
      <c r="CH5369" t="str">
        <f>""</f>
        <v/>
      </c>
      <c r="CS5369" t="str">
        <f>""</f>
        <v/>
      </c>
    </row>
    <row r="5370" spans="1:97" x14ac:dyDescent="0.25">
      <c r="A5370" t="s">
        <v>996</v>
      </c>
      <c r="B5370" t="s">
        <v>15442</v>
      </c>
      <c r="C5370" t="s">
        <v>719</v>
      </c>
      <c r="D5370" t="s">
        <v>15442</v>
      </c>
      <c r="E5370" t="s">
        <v>33131</v>
      </c>
      <c r="F5370" t="s">
        <v>108</v>
      </c>
      <c r="H5370" t="s">
        <v>33132</v>
      </c>
      <c r="I5370" t="s">
        <v>203</v>
      </c>
      <c r="J5370" t="s">
        <v>111</v>
      </c>
      <c r="K5370" t="str">
        <f>"85297"</f>
        <v>85297</v>
      </c>
      <c r="L5370" t="s">
        <v>5893</v>
      </c>
      <c r="M5370" t="s">
        <v>33132</v>
      </c>
      <c r="N5370" t="s">
        <v>203</v>
      </c>
      <c r="O5370" t="s">
        <v>111</v>
      </c>
      <c r="P5370" t="str">
        <f>"85297-9693"</f>
        <v>85297-9693</v>
      </c>
      <c r="Q5370" t="s">
        <v>113</v>
      </c>
      <c r="R5370" t="str">
        <f>"313-01-881"</f>
        <v>313-01-881</v>
      </c>
      <c r="S5370" t="s">
        <v>19697</v>
      </c>
      <c r="T5370" t="s">
        <v>19698</v>
      </c>
      <c r="U5370">
        <v>2052</v>
      </c>
      <c r="V5370">
        <v>0</v>
      </c>
      <c r="W5370">
        <v>3</v>
      </c>
      <c r="X5370">
        <v>2003</v>
      </c>
      <c r="Z5370">
        <v>1</v>
      </c>
      <c r="AB5370">
        <v>0</v>
      </c>
      <c r="AC5370" t="s">
        <v>115</v>
      </c>
      <c r="AD5370">
        <v>2</v>
      </c>
      <c r="AE5370" t="s">
        <v>115</v>
      </c>
      <c r="AF5370">
        <v>0</v>
      </c>
      <c r="AG5370">
        <v>0</v>
      </c>
      <c r="AH5370" t="s">
        <v>116</v>
      </c>
      <c r="AI5370" s="1">
        <v>43619</v>
      </c>
      <c r="AJ5370" s="2">
        <v>0.13</v>
      </c>
      <c r="AK5370" s="1">
        <v>348619</v>
      </c>
      <c r="AL5370" t="s">
        <v>117</v>
      </c>
      <c r="AM5370" t="s">
        <v>191</v>
      </c>
      <c r="AN5370">
        <v>6883</v>
      </c>
      <c r="AO5370">
        <v>0.16</v>
      </c>
      <c r="AP5370">
        <v>1</v>
      </c>
      <c r="AR5370">
        <v>1</v>
      </c>
      <c r="AS5370" s="1">
        <v>23510</v>
      </c>
      <c r="AT5370" s="1">
        <v>4700</v>
      </c>
      <c r="AU5370" s="1">
        <v>18810</v>
      </c>
      <c r="AV5370">
        <v>80.010000000000005</v>
      </c>
      <c r="AX5370" s="1">
        <v>1879.74</v>
      </c>
      <c r="AY5370" t="s">
        <v>289</v>
      </c>
      <c r="AZ5370" t="s">
        <v>289</v>
      </c>
      <c r="BA5370" t="s">
        <v>290</v>
      </c>
      <c r="BB5370" s="3">
        <v>42590</v>
      </c>
      <c r="BD5370" t="s">
        <v>1830</v>
      </c>
      <c r="BE5370" s="3">
        <v>41661</v>
      </c>
      <c r="BF5370" s="1">
        <v>247900</v>
      </c>
      <c r="BG5370" t="s">
        <v>33133</v>
      </c>
      <c r="BH5370" s="1">
        <v>120.81</v>
      </c>
      <c r="BI5370" s="1">
        <v>305000</v>
      </c>
      <c r="BJ5370" s="3">
        <v>43318</v>
      </c>
      <c r="BK5370" t="s">
        <v>123</v>
      </c>
      <c r="BL5370" t="str">
        <f>"2018.595303"</f>
        <v>2018.595303</v>
      </c>
      <c r="BM5370" t="s">
        <v>6896</v>
      </c>
      <c r="BN5370" t="s">
        <v>6128</v>
      </c>
      <c r="BO5370" t="s">
        <v>33134</v>
      </c>
      <c r="BP5370" t="s">
        <v>33135</v>
      </c>
      <c r="BR5370" t="s">
        <v>139</v>
      </c>
      <c r="BW5370" t="str">
        <f>""</f>
        <v/>
      </c>
      <c r="CH5370" t="str">
        <f>""</f>
        <v/>
      </c>
      <c r="CS5370" t="str">
        <f>""</f>
        <v/>
      </c>
    </row>
    <row r="5371" spans="1:97" x14ac:dyDescent="0.25">
      <c r="A5371" t="s">
        <v>33136</v>
      </c>
      <c r="B5371" t="s">
        <v>6443</v>
      </c>
      <c r="C5371" t="s">
        <v>2184</v>
      </c>
      <c r="D5371" t="s">
        <v>6443</v>
      </c>
      <c r="E5371" t="s">
        <v>33137</v>
      </c>
      <c r="F5371" t="s">
        <v>108</v>
      </c>
      <c r="H5371" t="s">
        <v>33138</v>
      </c>
      <c r="I5371" t="s">
        <v>5387</v>
      </c>
      <c r="J5371" t="s">
        <v>111</v>
      </c>
      <c r="K5371" t="str">
        <f>"85282"</f>
        <v>85282</v>
      </c>
      <c r="L5371" t="s">
        <v>6169</v>
      </c>
      <c r="M5371" t="s">
        <v>33138</v>
      </c>
      <c r="N5371" t="s">
        <v>5387</v>
      </c>
      <c r="O5371" t="s">
        <v>111</v>
      </c>
      <c r="P5371" t="str">
        <f>"85282-2757"</f>
        <v>85282-2757</v>
      </c>
      <c r="Q5371" t="s">
        <v>113</v>
      </c>
      <c r="R5371" t="str">
        <f>"133-33-154"</f>
        <v>133-33-154</v>
      </c>
      <c r="S5371" t="s">
        <v>33139</v>
      </c>
      <c r="T5371" t="s">
        <v>11071</v>
      </c>
      <c r="U5371">
        <v>1806</v>
      </c>
      <c r="V5371">
        <v>0</v>
      </c>
      <c r="W5371">
        <v>2</v>
      </c>
      <c r="X5371">
        <v>1967</v>
      </c>
      <c r="Z5371">
        <v>1</v>
      </c>
      <c r="AB5371">
        <v>0</v>
      </c>
      <c r="AC5371" t="s">
        <v>115</v>
      </c>
      <c r="AD5371">
        <v>2</v>
      </c>
      <c r="AE5371" t="s">
        <v>115</v>
      </c>
      <c r="AF5371">
        <v>0</v>
      </c>
      <c r="AG5371">
        <v>0</v>
      </c>
      <c r="AH5371" t="s">
        <v>116</v>
      </c>
      <c r="AI5371" s="1">
        <v>21878</v>
      </c>
      <c r="AJ5371" s="2">
        <v>0.06</v>
      </c>
      <c r="AK5371" s="1">
        <v>347273</v>
      </c>
      <c r="AL5371" t="s">
        <v>117</v>
      </c>
      <c r="AM5371" t="s">
        <v>191</v>
      </c>
      <c r="AN5371">
        <v>8930</v>
      </c>
      <c r="AO5371">
        <v>0.2</v>
      </c>
      <c r="AP5371">
        <v>1</v>
      </c>
      <c r="AR5371">
        <v>1</v>
      </c>
      <c r="AS5371" s="1">
        <v>22770</v>
      </c>
      <c r="AT5371" s="1">
        <v>4550</v>
      </c>
      <c r="AU5371" s="1">
        <v>18220</v>
      </c>
      <c r="AV5371">
        <v>80.02</v>
      </c>
      <c r="AX5371" s="1">
        <v>1924.36</v>
      </c>
      <c r="AY5371" t="s">
        <v>11072</v>
      </c>
      <c r="AZ5371" t="s">
        <v>11073</v>
      </c>
      <c r="BA5371" t="s">
        <v>10858</v>
      </c>
      <c r="BE5371" s="3">
        <v>42019</v>
      </c>
      <c r="BF5371" s="1">
        <v>272500</v>
      </c>
      <c r="BG5371" t="s">
        <v>33140</v>
      </c>
      <c r="BH5371" s="1">
        <v>150.88999999999999</v>
      </c>
      <c r="BI5371" s="1">
        <v>325395</v>
      </c>
      <c r="BJ5371" s="3">
        <v>43095</v>
      </c>
      <c r="BK5371" t="s">
        <v>123</v>
      </c>
      <c r="BL5371" t="str">
        <f>"2017.953587"</f>
        <v>2017.953587</v>
      </c>
      <c r="BM5371" t="s">
        <v>1463</v>
      </c>
      <c r="BO5371" t="s">
        <v>33141</v>
      </c>
      <c r="BS5371">
        <v>31</v>
      </c>
      <c r="BW5371" t="str">
        <f>""</f>
        <v/>
      </c>
      <c r="CH5371" t="str">
        <f>""</f>
        <v/>
      </c>
      <c r="CS5371" t="str">
        <f>""</f>
        <v/>
      </c>
    </row>
    <row r="5372" spans="1:97" x14ac:dyDescent="0.25">
      <c r="A5372" t="s">
        <v>370</v>
      </c>
      <c r="B5372" t="s">
        <v>33142</v>
      </c>
      <c r="C5372" t="s">
        <v>1674</v>
      </c>
      <c r="D5372" t="s">
        <v>33143</v>
      </c>
      <c r="E5372" t="s">
        <v>33144</v>
      </c>
      <c r="F5372" t="s">
        <v>108</v>
      </c>
      <c r="H5372" t="s">
        <v>33145</v>
      </c>
      <c r="I5372" t="s">
        <v>110</v>
      </c>
      <c r="J5372" t="s">
        <v>111</v>
      </c>
      <c r="K5372" t="str">
        <f>"85226"</f>
        <v>85226</v>
      </c>
      <c r="L5372" t="s">
        <v>5084</v>
      </c>
      <c r="M5372" t="s">
        <v>33145</v>
      </c>
      <c r="N5372" t="s">
        <v>110</v>
      </c>
      <c r="O5372" t="s">
        <v>111</v>
      </c>
      <c r="P5372" t="str">
        <f>"85226-3515"</f>
        <v>85226-3515</v>
      </c>
      <c r="Q5372" t="s">
        <v>113</v>
      </c>
      <c r="R5372" t="str">
        <f>"308-04-503"</f>
        <v>308-04-503</v>
      </c>
      <c r="S5372" t="s">
        <v>33146</v>
      </c>
      <c r="T5372" t="s">
        <v>33147</v>
      </c>
      <c r="U5372">
        <v>1601</v>
      </c>
      <c r="V5372">
        <v>0</v>
      </c>
      <c r="W5372">
        <v>2</v>
      </c>
      <c r="X5372">
        <v>1987</v>
      </c>
      <c r="Z5372">
        <v>1</v>
      </c>
      <c r="AA5372" t="s">
        <v>26</v>
      </c>
      <c r="AB5372">
        <v>0</v>
      </c>
      <c r="AC5372" t="s">
        <v>115</v>
      </c>
      <c r="AD5372">
        <v>2</v>
      </c>
      <c r="AE5372" t="s">
        <v>115</v>
      </c>
      <c r="AF5372">
        <v>0</v>
      </c>
      <c r="AG5372">
        <v>0</v>
      </c>
      <c r="AH5372" t="s">
        <v>116</v>
      </c>
      <c r="AI5372" s="1">
        <v>80932</v>
      </c>
      <c r="AJ5372" s="2">
        <v>0.26</v>
      </c>
      <c r="AK5372" s="1">
        <v>315932</v>
      </c>
      <c r="AL5372" t="s">
        <v>117</v>
      </c>
      <c r="AM5372" t="s">
        <v>118</v>
      </c>
      <c r="AN5372">
        <v>7980</v>
      </c>
      <c r="AO5372">
        <v>0.18</v>
      </c>
      <c r="AP5372">
        <v>1</v>
      </c>
      <c r="AR5372">
        <v>1</v>
      </c>
      <c r="AS5372" s="1">
        <v>22600</v>
      </c>
      <c r="AT5372" s="1">
        <v>4520</v>
      </c>
      <c r="AU5372" s="1">
        <v>18080</v>
      </c>
      <c r="AV5372">
        <v>80</v>
      </c>
      <c r="AX5372" s="1">
        <v>1625.4</v>
      </c>
      <c r="AY5372" t="s">
        <v>5200</v>
      </c>
      <c r="AZ5372" t="s">
        <v>5201</v>
      </c>
      <c r="BA5372" t="s">
        <v>5328</v>
      </c>
      <c r="BE5372" s="3">
        <v>42440</v>
      </c>
      <c r="BF5372" s="1">
        <v>235000</v>
      </c>
      <c r="BG5372" t="s">
        <v>33148</v>
      </c>
      <c r="BH5372" s="1">
        <v>146.78</v>
      </c>
      <c r="BI5372" s="1">
        <v>235000</v>
      </c>
      <c r="BJ5372" s="3">
        <v>42440</v>
      </c>
      <c r="BK5372" t="s">
        <v>123</v>
      </c>
      <c r="BL5372" t="str">
        <f>"2016.158289"</f>
        <v>2016.158289</v>
      </c>
      <c r="BM5372" t="s">
        <v>1033</v>
      </c>
      <c r="BO5372" t="s">
        <v>33149</v>
      </c>
      <c r="BP5372" t="s">
        <v>33150</v>
      </c>
      <c r="BS5372">
        <v>30</v>
      </c>
      <c r="BW5372" t="str">
        <f>""</f>
        <v/>
      </c>
      <c r="CH5372" t="str">
        <f>""</f>
        <v/>
      </c>
      <c r="CS5372" t="str">
        <f>""</f>
        <v/>
      </c>
    </row>
    <row r="5373" spans="1:97" x14ac:dyDescent="0.25">
      <c r="A5373" t="s">
        <v>33151</v>
      </c>
      <c r="B5373" t="s">
        <v>33152</v>
      </c>
      <c r="C5373" t="s">
        <v>33153</v>
      </c>
      <c r="D5373" t="s">
        <v>33154</v>
      </c>
      <c r="E5373" t="s">
        <v>33155</v>
      </c>
      <c r="F5373" t="s">
        <v>108</v>
      </c>
      <c r="H5373" t="s">
        <v>33156</v>
      </c>
      <c r="I5373" t="s">
        <v>110</v>
      </c>
      <c r="J5373" t="s">
        <v>111</v>
      </c>
      <c r="K5373" t="str">
        <f>"85286"</f>
        <v>85286</v>
      </c>
      <c r="L5373" t="s">
        <v>1796</v>
      </c>
      <c r="M5373" t="s">
        <v>33156</v>
      </c>
      <c r="N5373" t="s">
        <v>110</v>
      </c>
      <c r="O5373" t="s">
        <v>111</v>
      </c>
      <c r="P5373" t="str">
        <f>"85286-7471"</f>
        <v>85286-7471</v>
      </c>
      <c r="Q5373" t="s">
        <v>113</v>
      </c>
      <c r="R5373" t="str">
        <f>"303-77-358"</f>
        <v>303-77-358</v>
      </c>
      <c r="S5373" t="s">
        <v>17774</v>
      </c>
      <c r="U5373">
        <v>2337</v>
      </c>
      <c r="V5373">
        <v>0</v>
      </c>
      <c r="W5373">
        <v>4</v>
      </c>
      <c r="X5373">
        <v>1997</v>
      </c>
      <c r="Z5373">
        <v>2</v>
      </c>
      <c r="AA5373" t="s">
        <v>26</v>
      </c>
      <c r="AB5373">
        <v>0</v>
      </c>
      <c r="AC5373" t="s">
        <v>115</v>
      </c>
      <c r="AD5373">
        <v>2</v>
      </c>
      <c r="AE5373" t="s">
        <v>115</v>
      </c>
      <c r="AF5373">
        <v>0</v>
      </c>
      <c r="AG5373">
        <v>0</v>
      </c>
      <c r="AH5373" t="s">
        <v>116</v>
      </c>
      <c r="AI5373" s="1">
        <v>71148</v>
      </c>
      <c r="AJ5373" s="2">
        <v>0.17</v>
      </c>
      <c r="AK5373" s="1">
        <v>415498</v>
      </c>
      <c r="AL5373" t="s">
        <v>117</v>
      </c>
      <c r="AM5373" t="s">
        <v>118</v>
      </c>
      <c r="AN5373">
        <v>9716</v>
      </c>
      <c r="AO5373">
        <v>0.22</v>
      </c>
      <c r="AP5373">
        <v>1</v>
      </c>
      <c r="AR5373">
        <v>1</v>
      </c>
      <c r="AS5373" s="1">
        <v>30260</v>
      </c>
      <c r="AT5373" s="1">
        <v>6050</v>
      </c>
      <c r="AU5373" s="1">
        <v>24210</v>
      </c>
      <c r="AV5373">
        <v>80.010000000000005</v>
      </c>
      <c r="AX5373" s="1">
        <v>2549.3000000000002</v>
      </c>
      <c r="AY5373" t="s">
        <v>10718</v>
      </c>
      <c r="AZ5373" t="s">
        <v>1882</v>
      </c>
      <c r="BA5373" t="s">
        <v>121</v>
      </c>
      <c r="BE5373" s="3">
        <v>41838</v>
      </c>
      <c r="BF5373" s="1">
        <v>340000</v>
      </c>
      <c r="BG5373" t="s">
        <v>33157</v>
      </c>
      <c r="BH5373" s="1">
        <v>145.49</v>
      </c>
      <c r="BI5373" s="1">
        <v>344350</v>
      </c>
      <c r="BJ5373" s="3">
        <v>42445</v>
      </c>
      <c r="BK5373" t="s">
        <v>123</v>
      </c>
      <c r="BL5373" t="str">
        <f>"2016.167345"</f>
        <v>2016.167345</v>
      </c>
      <c r="BM5373" t="s">
        <v>124</v>
      </c>
      <c r="BO5373" t="s">
        <v>33158</v>
      </c>
      <c r="BP5373" t="s">
        <v>33159</v>
      </c>
      <c r="BS5373">
        <v>30</v>
      </c>
      <c r="BW5373" t="str">
        <f>""</f>
        <v/>
      </c>
      <c r="CH5373" t="str">
        <f>""</f>
        <v/>
      </c>
      <c r="CS5373" t="str">
        <f>""</f>
        <v/>
      </c>
    </row>
    <row r="5374" spans="1:97" x14ac:dyDescent="0.25">
      <c r="A5374" t="s">
        <v>1850</v>
      </c>
      <c r="B5374" t="s">
        <v>33160</v>
      </c>
      <c r="E5374" t="s">
        <v>33161</v>
      </c>
      <c r="F5374" t="s">
        <v>108</v>
      </c>
      <c r="H5374" t="s">
        <v>33162</v>
      </c>
      <c r="I5374" t="s">
        <v>225</v>
      </c>
      <c r="J5374" t="s">
        <v>111</v>
      </c>
      <c r="K5374" t="str">
        <f>"85210"</f>
        <v>85210</v>
      </c>
      <c r="L5374" t="s">
        <v>6964</v>
      </c>
      <c r="M5374" t="s">
        <v>33162</v>
      </c>
      <c r="N5374" t="s">
        <v>225</v>
      </c>
      <c r="O5374" t="s">
        <v>111</v>
      </c>
      <c r="P5374" t="str">
        <f>"85210-5939"</f>
        <v>85210-5939</v>
      </c>
      <c r="Q5374" t="s">
        <v>113</v>
      </c>
      <c r="R5374" t="str">
        <f>"134-25-032"</f>
        <v>134-25-032</v>
      </c>
      <c r="S5374" t="s">
        <v>21326</v>
      </c>
      <c r="T5374" t="s">
        <v>21326</v>
      </c>
      <c r="U5374">
        <v>2082</v>
      </c>
      <c r="V5374">
        <v>0</v>
      </c>
      <c r="W5374">
        <v>2</v>
      </c>
      <c r="X5374">
        <v>1975</v>
      </c>
      <c r="Z5374">
        <v>1</v>
      </c>
      <c r="AA5374" t="s">
        <v>26</v>
      </c>
      <c r="AB5374">
        <v>0</v>
      </c>
      <c r="AC5374" t="s">
        <v>115</v>
      </c>
      <c r="AD5374">
        <v>2</v>
      </c>
      <c r="AE5374" t="s">
        <v>115</v>
      </c>
      <c r="AF5374">
        <v>0</v>
      </c>
      <c r="AG5374">
        <v>0</v>
      </c>
      <c r="AH5374" t="s">
        <v>116</v>
      </c>
      <c r="AI5374" s="1">
        <v>62052</v>
      </c>
      <c r="AJ5374" s="2">
        <v>0.19</v>
      </c>
      <c r="AK5374" s="1">
        <v>330632</v>
      </c>
      <c r="AL5374" t="s">
        <v>117</v>
      </c>
      <c r="AM5374" t="s">
        <v>191</v>
      </c>
      <c r="AN5374">
        <v>9805</v>
      </c>
      <c r="AO5374">
        <v>0.22</v>
      </c>
      <c r="AP5374">
        <v>1</v>
      </c>
      <c r="AR5374">
        <v>1</v>
      </c>
      <c r="AS5374" s="1">
        <v>23860</v>
      </c>
      <c r="AT5374" s="1">
        <v>4770</v>
      </c>
      <c r="AU5374" s="1">
        <v>19090</v>
      </c>
      <c r="AV5374">
        <v>80.010000000000005</v>
      </c>
      <c r="AX5374" s="1">
        <v>1663.96</v>
      </c>
      <c r="AY5374" t="s">
        <v>8076</v>
      </c>
      <c r="AZ5374" t="s">
        <v>7295</v>
      </c>
      <c r="BA5374" t="s">
        <v>5311</v>
      </c>
      <c r="BE5374" s="3">
        <v>42535</v>
      </c>
      <c r="BF5374" s="1">
        <v>260000</v>
      </c>
      <c r="BG5374" t="s">
        <v>9214</v>
      </c>
      <c r="BH5374" s="1">
        <v>124.88</v>
      </c>
      <c r="BI5374" s="1">
        <v>268580</v>
      </c>
      <c r="BJ5374" s="3">
        <v>42535</v>
      </c>
      <c r="BK5374" t="s">
        <v>123</v>
      </c>
      <c r="BL5374" t="str">
        <f>"2016.412491"</f>
        <v>2016.412491</v>
      </c>
      <c r="BM5374" t="s">
        <v>8916</v>
      </c>
      <c r="BO5374" t="s">
        <v>33163</v>
      </c>
      <c r="BS5374">
        <v>30</v>
      </c>
      <c r="BW5374" t="str">
        <f>""</f>
        <v/>
      </c>
      <c r="CH5374" t="str">
        <f>""</f>
        <v/>
      </c>
      <c r="CS5374" t="str">
        <f>""</f>
        <v/>
      </c>
    </row>
    <row r="5375" spans="1:97" x14ac:dyDescent="0.25">
      <c r="A5375" t="s">
        <v>894</v>
      </c>
      <c r="B5375" t="s">
        <v>20380</v>
      </c>
      <c r="E5375" t="s">
        <v>33164</v>
      </c>
      <c r="F5375" t="s">
        <v>108</v>
      </c>
      <c r="H5375" t="s">
        <v>33165</v>
      </c>
      <c r="I5375" t="s">
        <v>110</v>
      </c>
      <c r="J5375" t="s">
        <v>111</v>
      </c>
      <c r="K5375" t="str">
        <f>"85225"</f>
        <v>85225</v>
      </c>
      <c r="L5375" t="s">
        <v>5138</v>
      </c>
      <c r="M5375" t="s">
        <v>33165</v>
      </c>
      <c r="N5375" t="s">
        <v>110</v>
      </c>
      <c r="O5375" t="s">
        <v>111</v>
      </c>
      <c r="P5375" t="str">
        <f>"85225-1363"</f>
        <v>85225-1363</v>
      </c>
      <c r="Q5375" t="s">
        <v>113</v>
      </c>
      <c r="R5375" t="str">
        <f>"302-29-404"</f>
        <v>302-29-404</v>
      </c>
      <c r="S5375" t="s">
        <v>33166</v>
      </c>
      <c r="T5375" t="s">
        <v>33166</v>
      </c>
      <c r="U5375">
        <v>1348</v>
      </c>
      <c r="V5375">
        <v>0</v>
      </c>
      <c r="W5375">
        <v>2</v>
      </c>
      <c r="X5375">
        <v>2003</v>
      </c>
      <c r="Z5375">
        <v>1</v>
      </c>
      <c r="AB5375">
        <v>0</v>
      </c>
      <c r="AC5375" t="s">
        <v>115</v>
      </c>
      <c r="AD5375">
        <v>2</v>
      </c>
      <c r="AE5375" t="s">
        <v>115</v>
      </c>
      <c r="AF5375">
        <v>0</v>
      </c>
      <c r="AG5375">
        <v>0</v>
      </c>
      <c r="AH5375" t="s">
        <v>116</v>
      </c>
      <c r="AI5375" s="1">
        <v>56054</v>
      </c>
      <c r="AJ5375" s="2">
        <v>0.2</v>
      </c>
      <c r="AK5375" s="1">
        <v>278149</v>
      </c>
      <c r="AL5375" t="s">
        <v>117</v>
      </c>
      <c r="AM5375" t="s">
        <v>118</v>
      </c>
      <c r="AN5375">
        <v>4265</v>
      </c>
      <c r="AO5375">
        <v>0.98</v>
      </c>
      <c r="AP5375">
        <v>1</v>
      </c>
      <c r="AR5375">
        <v>1</v>
      </c>
      <c r="AS5375" s="1">
        <v>18880</v>
      </c>
      <c r="AT5375" s="1">
        <v>3770</v>
      </c>
      <c r="AU5375" s="1">
        <v>15110</v>
      </c>
      <c r="AV5375">
        <v>80.03</v>
      </c>
      <c r="AX5375" s="1">
        <v>1284.46</v>
      </c>
      <c r="AY5375" t="s">
        <v>5477</v>
      </c>
      <c r="AZ5375" t="s">
        <v>5478</v>
      </c>
      <c r="BA5375" t="s">
        <v>5479</v>
      </c>
      <c r="BE5375" s="3">
        <v>42480</v>
      </c>
      <c r="BF5375" s="1">
        <v>215000</v>
      </c>
      <c r="BG5375" t="s">
        <v>33167</v>
      </c>
      <c r="BH5375" s="1">
        <v>159.5</v>
      </c>
      <c r="BI5375" s="1">
        <v>222095</v>
      </c>
      <c r="BJ5375" s="3">
        <v>42480</v>
      </c>
      <c r="BK5375" t="s">
        <v>123</v>
      </c>
      <c r="BL5375" t="str">
        <f>"2016.264197"</f>
        <v>2016.264197</v>
      </c>
      <c r="BM5375" t="s">
        <v>594</v>
      </c>
      <c r="BO5375" t="s">
        <v>33168</v>
      </c>
      <c r="BS5375">
        <v>30</v>
      </c>
      <c r="BW5375" t="str">
        <f>""</f>
        <v/>
      </c>
      <c r="CH5375" t="str">
        <f>""</f>
        <v/>
      </c>
      <c r="CS5375" t="str">
        <f>""</f>
        <v/>
      </c>
    </row>
    <row r="5376" spans="1:97" x14ac:dyDescent="0.25">
      <c r="A5376" t="s">
        <v>3221</v>
      </c>
      <c r="B5376" t="s">
        <v>853</v>
      </c>
      <c r="C5376" t="s">
        <v>4325</v>
      </c>
      <c r="D5376" t="s">
        <v>853</v>
      </c>
      <c r="E5376" t="s">
        <v>33169</v>
      </c>
      <c r="F5376" t="s">
        <v>139</v>
      </c>
      <c r="H5376" t="s">
        <v>33170</v>
      </c>
      <c r="I5376" t="s">
        <v>5523</v>
      </c>
      <c r="J5376" t="s">
        <v>111</v>
      </c>
      <c r="K5376" t="str">
        <f>"85351"</f>
        <v>85351</v>
      </c>
      <c r="L5376" t="s">
        <v>5918</v>
      </c>
      <c r="M5376" t="s">
        <v>33171</v>
      </c>
      <c r="N5376" t="s">
        <v>33172</v>
      </c>
      <c r="O5376" t="s">
        <v>360</v>
      </c>
      <c r="P5376" t="str">
        <f>"96155"</f>
        <v>96155</v>
      </c>
      <c r="Q5376" t="s">
        <v>113</v>
      </c>
      <c r="R5376" t="str">
        <f>"142-80-203"</f>
        <v>142-80-203</v>
      </c>
      <c r="S5376" t="s">
        <v>33173</v>
      </c>
      <c r="U5376">
        <v>2235</v>
      </c>
      <c r="V5376">
        <v>0</v>
      </c>
      <c r="W5376">
        <v>2</v>
      </c>
      <c r="X5376">
        <v>1961</v>
      </c>
      <c r="Z5376">
        <v>1</v>
      </c>
      <c r="AA5376" t="s">
        <v>26</v>
      </c>
      <c r="AB5376">
        <v>0</v>
      </c>
      <c r="AC5376" t="s">
        <v>115</v>
      </c>
      <c r="AD5376">
        <v>1</v>
      </c>
      <c r="AE5376" t="s">
        <v>115</v>
      </c>
      <c r="AF5376">
        <v>0</v>
      </c>
      <c r="AG5376">
        <v>0</v>
      </c>
      <c r="AH5376" t="s">
        <v>116</v>
      </c>
      <c r="AI5376" s="1">
        <v>2926</v>
      </c>
      <c r="AJ5376" s="2">
        <v>0.01</v>
      </c>
      <c r="AK5376" s="1">
        <v>307926</v>
      </c>
      <c r="AL5376" t="s">
        <v>117</v>
      </c>
      <c r="AM5376" t="s">
        <v>191</v>
      </c>
      <c r="AN5376">
        <v>7592</v>
      </c>
      <c r="AO5376">
        <v>0.17</v>
      </c>
      <c r="AP5376">
        <v>1</v>
      </c>
      <c r="AR5376">
        <v>1</v>
      </c>
      <c r="AS5376" s="1">
        <v>19910</v>
      </c>
      <c r="AT5376" s="1">
        <v>3980</v>
      </c>
      <c r="AU5376" s="1">
        <v>15930</v>
      </c>
      <c r="AV5376">
        <v>80.010000000000005</v>
      </c>
      <c r="AX5376" s="1">
        <v>1616.32</v>
      </c>
      <c r="AY5376" t="s">
        <v>12259</v>
      </c>
      <c r="AZ5376" t="s">
        <v>12259</v>
      </c>
      <c r="BA5376" t="s">
        <v>3360</v>
      </c>
      <c r="BE5376" s="3">
        <v>42185</v>
      </c>
      <c r="BF5376" s="1">
        <v>299500</v>
      </c>
      <c r="BG5376" t="s">
        <v>33174</v>
      </c>
      <c r="BH5376" s="1">
        <v>134</v>
      </c>
      <c r="BI5376" s="1">
        <v>305000</v>
      </c>
      <c r="BJ5376" s="3">
        <v>42594</v>
      </c>
      <c r="BK5376" t="s">
        <v>123</v>
      </c>
      <c r="BL5376" t="str">
        <f>"2016.576562"</f>
        <v>2016.576562</v>
      </c>
      <c r="BM5376" t="s">
        <v>124</v>
      </c>
      <c r="BO5376" t="s">
        <v>33175</v>
      </c>
      <c r="BS5376">
        <v>30</v>
      </c>
      <c r="BW5376" t="str">
        <f>""</f>
        <v/>
      </c>
      <c r="CH5376" t="str">
        <f>""</f>
        <v/>
      </c>
      <c r="CS5376" t="str">
        <f>""</f>
        <v/>
      </c>
    </row>
    <row r="5377" spans="1:97" x14ac:dyDescent="0.25">
      <c r="A5377" t="s">
        <v>177</v>
      </c>
      <c r="B5377" t="s">
        <v>32397</v>
      </c>
      <c r="C5377" t="s">
        <v>6510</v>
      </c>
      <c r="D5377" t="s">
        <v>32397</v>
      </c>
      <c r="E5377" t="s">
        <v>33176</v>
      </c>
      <c r="F5377" t="s">
        <v>108</v>
      </c>
      <c r="H5377" t="s">
        <v>33177</v>
      </c>
      <c r="I5377" t="s">
        <v>144</v>
      </c>
      <c r="J5377" t="s">
        <v>111</v>
      </c>
      <c r="K5377" t="str">
        <f>"85396"</f>
        <v>85396</v>
      </c>
      <c r="L5377" t="s">
        <v>7619</v>
      </c>
      <c r="M5377" t="s">
        <v>33177</v>
      </c>
      <c r="N5377" t="s">
        <v>144</v>
      </c>
      <c r="O5377" t="s">
        <v>111</v>
      </c>
      <c r="P5377" t="str">
        <f>"85396-2270"</f>
        <v>85396-2270</v>
      </c>
      <c r="Q5377" t="s">
        <v>113</v>
      </c>
      <c r="R5377" t="str">
        <f>"503-96-307"</f>
        <v>503-96-307</v>
      </c>
      <c r="S5377" t="s">
        <v>33178</v>
      </c>
      <c r="U5377">
        <v>1612</v>
      </c>
      <c r="V5377">
        <v>0</v>
      </c>
      <c r="W5377">
        <v>3</v>
      </c>
      <c r="X5377">
        <v>2007</v>
      </c>
      <c r="Z5377">
        <v>1</v>
      </c>
      <c r="AB5377">
        <v>0</v>
      </c>
      <c r="AC5377" t="s">
        <v>115</v>
      </c>
      <c r="AD5377">
        <v>3</v>
      </c>
      <c r="AE5377" t="s">
        <v>115</v>
      </c>
      <c r="AF5377">
        <v>0</v>
      </c>
      <c r="AG5377">
        <v>0</v>
      </c>
      <c r="AH5377" t="s">
        <v>116</v>
      </c>
      <c r="AI5377" s="1">
        <v>26982</v>
      </c>
      <c r="AJ5377" s="2">
        <v>0.08</v>
      </c>
      <c r="AK5377" s="1">
        <v>339733</v>
      </c>
      <c r="AL5377" t="s">
        <v>117</v>
      </c>
      <c r="AM5377" t="s">
        <v>118</v>
      </c>
      <c r="AN5377">
        <v>6900</v>
      </c>
      <c r="AO5377">
        <v>0.16</v>
      </c>
      <c r="AR5377">
        <v>1</v>
      </c>
      <c r="AS5377" s="1">
        <v>23010</v>
      </c>
      <c r="AT5377" s="1">
        <v>4600</v>
      </c>
      <c r="AU5377" s="1">
        <v>18410</v>
      </c>
      <c r="AV5377">
        <v>80.010000000000005</v>
      </c>
      <c r="AX5377" s="1">
        <v>2817.2</v>
      </c>
      <c r="AY5377" t="s">
        <v>444</v>
      </c>
      <c r="AZ5377" t="s">
        <v>444</v>
      </c>
      <c r="BA5377" t="s">
        <v>445</v>
      </c>
      <c r="BE5377" s="3">
        <v>41844</v>
      </c>
      <c r="BF5377" s="1">
        <v>323000</v>
      </c>
      <c r="BG5377" t="s">
        <v>33179</v>
      </c>
      <c r="BH5377" s="1">
        <v>200.37</v>
      </c>
      <c r="BI5377" s="1">
        <v>312751</v>
      </c>
      <c r="BJ5377" s="3">
        <v>42328</v>
      </c>
      <c r="BK5377" t="s">
        <v>123</v>
      </c>
      <c r="BL5377" t="str">
        <f>"2015.829109"</f>
        <v>2015.829109</v>
      </c>
      <c r="BM5377" t="s">
        <v>750</v>
      </c>
      <c r="BO5377" t="s">
        <v>33180</v>
      </c>
      <c r="BS5377">
        <v>15</v>
      </c>
      <c r="BW5377" t="str">
        <f>""</f>
        <v/>
      </c>
      <c r="CH5377" t="str">
        <f>""</f>
        <v/>
      </c>
      <c r="CS5377" t="str">
        <f>""</f>
        <v/>
      </c>
    </row>
    <row r="5378" spans="1:97" x14ac:dyDescent="0.25">
      <c r="A5378" t="s">
        <v>12419</v>
      </c>
      <c r="B5378" t="s">
        <v>33181</v>
      </c>
      <c r="E5378" t="s">
        <v>33182</v>
      </c>
      <c r="F5378" t="s">
        <v>282</v>
      </c>
      <c r="H5378" t="s">
        <v>33183</v>
      </c>
      <c r="I5378" t="s">
        <v>203</v>
      </c>
      <c r="J5378" t="s">
        <v>111</v>
      </c>
      <c r="K5378" t="str">
        <f>"85234"</f>
        <v>85234</v>
      </c>
      <c r="L5378" t="s">
        <v>189</v>
      </c>
      <c r="M5378" t="s">
        <v>33184</v>
      </c>
      <c r="N5378" t="s">
        <v>203</v>
      </c>
      <c r="O5378" t="s">
        <v>111</v>
      </c>
      <c r="P5378" t="str">
        <f>"85234"</f>
        <v>85234</v>
      </c>
      <c r="Q5378" t="s">
        <v>113</v>
      </c>
      <c r="R5378" t="str">
        <f>"304-15-389"</f>
        <v>304-15-389</v>
      </c>
      <c r="S5378" t="s">
        <v>5564</v>
      </c>
      <c r="T5378" t="s">
        <v>5564</v>
      </c>
      <c r="U5378">
        <v>1537</v>
      </c>
      <c r="V5378">
        <v>0</v>
      </c>
      <c r="W5378">
        <v>3</v>
      </c>
      <c r="X5378">
        <v>1997</v>
      </c>
      <c r="Z5378">
        <v>1</v>
      </c>
      <c r="AA5378" t="s">
        <v>26</v>
      </c>
      <c r="AB5378">
        <v>0</v>
      </c>
      <c r="AC5378" t="s">
        <v>115</v>
      </c>
      <c r="AD5378">
        <v>2</v>
      </c>
      <c r="AE5378" t="s">
        <v>115</v>
      </c>
      <c r="AF5378">
        <v>0</v>
      </c>
      <c r="AG5378">
        <v>0</v>
      </c>
      <c r="AH5378" t="s">
        <v>116</v>
      </c>
      <c r="AI5378" s="1">
        <v>102856</v>
      </c>
      <c r="AJ5378" s="2">
        <v>0.34</v>
      </c>
      <c r="AK5378" s="1">
        <v>305356</v>
      </c>
      <c r="AL5378" t="s">
        <v>117</v>
      </c>
      <c r="AM5378" t="s">
        <v>191</v>
      </c>
      <c r="AN5378">
        <v>5628</v>
      </c>
      <c r="AO5378">
        <v>0.13</v>
      </c>
      <c r="AP5378">
        <v>1</v>
      </c>
      <c r="AR5378">
        <v>1</v>
      </c>
      <c r="AS5378" s="1">
        <v>20320</v>
      </c>
      <c r="AT5378" s="1">
        <v>4060</v>
      </c>
      <c r="AU5378" s="1">
        <v>16260</v>
      </c>
      <c r="AV5378">
        <v>80.02</v>
      </c>
      <c r="AX5378" s="1">
        <v>1411.4</v>
      </c>
      <c r="AY5378" t="s">
        <v>5565</v>
      </c>
      <c r="AZ5378" t="s">
        <v>571</v>
      </c>
      <c r="BA5378" t="s">
        <v>521</v>
      </c>
      <c r="BE5378" s="3">
        <v>41873</v>
      </c>
      <c r="BF5378" s="1">
        <v>230000</v>
      </c>
      <c r="BG5378" t="s">
        <v>33185</v>
      </c>
      <c r="BH5378" s="1">
        <v>149.63999999999999</v>
      </c>
      <c r="BI5378" s="1">
        <v>202500</v>
      </c>
      <c r="BJ5378" s="3">
        <v>41873</v>
      </c>
      <c r="BK5378" t="s">
        <v>123</v>
      </c>
      <c r="BL5378" t="str">
        <f>"2014.557027"</f>
        <v>2014.557027</v>
      </c>
      <c r="BM5378" t="s">
        <v>4014</v>
      </c>
      <c r="BO5378" t="s">
        <v>33186</v>
      </c>
      <c r="BS5378">
        <v>30</v>
      </c>
      <c r="BW5378" t="str">
        <f>""</f>
        <v/>
      </c>
      <c r="CH5378" t="str">
        <f>""</f>
        <v/>
      </c>
      <c r="CS5378" t="str">
        <f>""</f>
        <v/>
      </c>
    </row>
    <row r="5379" spans="1:97" x14ac:dyDescent="0.25">
      <c r="A5379" t="s">
        <v>305</v>
      </c>
      <c r="B5379" t="s">
        <v>18160</v>
      </c>
      <c r="C5379" t="s">
        <v>2544</v>
      </c>
      <c r="D5379" t="s">
        <v>18160</v>
      </c>
      <c r="E5379" t="s">
        <v>33187</v>
      </c>
      <c r="F5379" t="s">
        <v>108</v>
      </c>
      <c r="H5379" t="s">
        <v>33188</v>
      </c>
      <c r="I5379" t="s">
        <v>225</v>
      </c>
      <c r="J5379" t="s">
        <v>111</v>
      </c>
      <c r="K5379" t="str">
        <f>"85202"</f>
        <v>85202</v>
      </c>
      <c r="L5379" t="s">
        <v>926</v>
      </c>
      <c r="M5379" t="s">
        <v>33188</v>
      </c>
      <c r="N5379" t="s">
        <v>225</v>
      </c>
      <c r="O5379" t="s">
        <v>111</v>
      </c>
      <c r="P5379" t="str">
        <f>"85202-7423"</f>
        <v>85202-7423</v>
      </c>
      <c r="Q5379" t="s">
        <v>113</v>
      </c>
      <c r="R5379" t="str">
        <f>"305-05-013"</f>
        <v>305-05-013</v>
      </c>
      <c r="S5379" t="s">
        <v>33189</v>
      </c>
      <c r="U5379">
        <v>2796</v>
      </c>
      <c r="V5379">
        <v>0</v>
      </c>
      <c r="W5379">
        <v>3</v>
      </c>
      <c r="X5379">
        <v>1977</v>
      </c>
      <c r="Z5379">
        <v>2</v>
      </c>
      <c r="AA5379" t="s">
        <v>26</v>
      </c>
      <c r="AB5379">
        <v>0</v>
      </c>
      <c r="AC5379" t="s">
        <v>115</v>
      </c>
      <c r="AD5379">
        <v>2</v>
      </c>
      <c r="AE5379" t="s">
        <v>115</v>
      </c>
      <c r="AF5379">
        <v>0</v>
      </c>
      <c r="AG5379">
        <v>0</v>
      </c>
      <c r="AH5379" t="s">
        <v>116</v>
      </c>
      <c r="AI5379" s="1">
        <v>69312</v>
      </c>
      <c r="AJ5379" s="2">
        <v>0.17</v>
      </c>
      <c r="AK5379" s="1">
        <v>403012</v>
      </c>
      <c r="AL5379" t="s">
        <v>117</v>
      </c>
      <c r="AM5379" t="s">
        <v>191</v>
      </c>
      <c r="AN5379">
        <v>10663</v>
      </c>
      <c r="AO5379">
        <v>0.24</v>
      </c>
      <c r="AP5379">
        <v>1</v>
      </c>
      <c r="AR5379">
        <v>1</v>
      </c>
      <c r="AS5379" s="1">
        <v>30010</v>
      </c>
      <c r="AT5379" s="1">
        <v>6000</v>
      </c>
      <c r="AU5379" s="1">
        <v>24010</v>
      </c>
      <c r="AV5379">
        <v>80.010000000000005</v>
      </c>
      <c r="AX5379" s="1">
        <v>2454.56</v>
      </c>
      <c r="AY5379" t="s">
        <v>8619</v>
      </c>
      <c r="AZ5379" t="s">
        <v>7295</v>
      </c>
      <c r="BA5379" t="s">
        <v>5311</v>
      </c>
      <c r="BE5379" s="3">
        <v>41808</v>
      </c>
      <c r="BF5379" s="1">
        <v>296500</v>
      </c>
      <c r="BG5379" t="s">
        <v>33190</v>
      </c>
      <c r="BH5379" s="1">
        <v>106.04</v>
      </c>
      <c r="BI5379" s="1">
        <v>333700</v>
      </c>
      <c r="BJ5379" s="3">
        <v>43060</v>
      </c>
      <c r="BK5379" t="s">
        <v>123</v>
      </c>
      <c r="BL5379" t="str">
        <f>"2017.866189"</f>
        <v>2017.866189</v>
      </c>
      <c r="BM5379" t="s">
        <v>1249</v>
      </c>
      <c r="BO5379" t="s">
        <v>33191</v>
      </c>
      <c r="BS5379">
        <v>30</v>
      </c>
      <c r="BW5379" t="str">
        <f>""</f>
        <v/>
      </c>
      <c r="CH5379" t="str">
        <f>""</f>
        <v/>
      </c>
      <c r="CS5379" t="str">
        <f>""</f>
        <v/>
      </c>
    </row>
    <row r="5380" spans="1:97" x14ac:dyDescent="0.25">
      <c r="A5380" t="s">
        <v>1514</v>
      </c>
      <c r="B5380" t="s">
        <v>27355</v>
      </c>
      <c r="C5380" t="s">
        <v>496</v>
      </c>
      <c r="D5380" t="s">
        <v>27355</v>
      </c>
      <c r="E5380" t="s">
        <v>33192</v>
      </c>
      <c r="F5380" t="s">
        <v>108</v>
      </c>
      <c r="H5380" t="s">
        <v>33193</v>
      </c>
      <c r="I5380" t="s">
        <v>110</v>
      </c>
      <c r="J5380" t="s">
        <v>111</v>
      </c>
      <c r="K5380" t="str">
        <f>"85225"</f>
        <v>85225</v>
      </c>
      <c r="L5380" t="s">
        <v>5074</v>
      </c>
      <c r="M5380" t="s">
        <v>33193</v>
      </c>
      <c r="N5380" t="s">
        <v>110</v>
      </c>
      <c r="O5380" t="s">
        <v>111</v>
      </c>
      <c r="P5380" t="str">
        <f>"85225-6544"</f>
        <v>85225-6544</v>
      </c>
      <c r="Q5380" t="s">
        <v>113</v>
      </c>
      <c r="R5380" t="str">
        <f>"302-44-278"</f>
        <v>302-44-278</v>
      </c>
      <c r="S5380" t="s">
        <v>33194</v>
      </c>
      <c r="T5380" t="s">
        <v>33195</v>
      </c>
      <c r="U5380">
        <v>2192</v>
      </c>
      <c r="V5380">
        <v>0</v>
      </c>
      <c r="W5380">
        <v>2</v>
      </c>
      <c r="X5380">
        <v>1979</v>
      </c>
      <c r="Z5380">
        <v>1</v>
      </c>
      <c r="AA5380" t="s">
        <v>26</v>
      </c>
      <c r="AB5380">
        <v>0</v>
      </c>
      <c r="AC5380" t="s">
        <v>115</v>
      </c>
      <c r="AD5380">
        <v>2</v>
      </c>
      <c r="AE5380" t="s">
        <v>115</v>
      </c>
      <c r="AF5380">
        <v>0</v>
      </c>
      <c r="AG5380">
        <v>0</v>
      </c>
      <c r="AH5380" t="s">
        <v>116</v>
      </c>
      <c r="AI5380" s="1">
        <v>-319562</v>
      </c>
      <c r="AJ5380" s="2">
        <v>-0.96</v>
      </c>
      <c r="AK5380" s="1">
        <v>334198</v>
      </c>
      <c r="AL5380" t="s">
        <v>117</v>
      </c>
      <c r="AM5380" t="s">
        <v>5077</v>
      </c>
      <c r="AN5380">
        <v>8581</v>
      </c>
      <c r="AO5380">
        <v>0.2</v>
      </c>
      <c r="AP5380">
        <v>1</v>
      </c>
      <c r="AR5380">
        <v>1</v>
      </c>
      <c r="AS5380" s="1">
        <v>23650</v>
      </c>
      <c r="AT5380" s="1">
        <v>4730</v>
      </c>
      <c r="AU5380" s="1">
        <v>18920</v>
      </c>
      <c r="AV5380">
        <v>80</v>
      </c>
      <c r="AX5380" s="1">
        <v>1600.88</v>
      </c>
      <c r="AY5380" t="s">
        <v>2956</v>
      </c>
      <c r="AZ5380" t="s">
        <v>5078</v>
      </c>
      <c r="BA5380" t="s">
        <v>2957</v>
      </c>
      <c r="BE5380" s="3">
        <v>42306</v>
      </c>
      <c r="BF5380" s="1">
        <v>320000</v>
      </c>
      <c r="BG5380" t="s">
        <v>33196</v>
      </c>
      <c r="BH5380" s="1">
        <v>145.99</v>
      </c>
      <c r="BI5380" s="1">
        <v>326880</v>
      </c>
      <c r="BJ5380" s="3">
        <v>42306</v>
      </c>
      <c r="BK5380" t="s">
        <v>123</v>
      </c>
      <c r="BL5380" t="str">
        <f>"2015.779212"</f>
        <v>2015.779212</v>
      </c>
      <c r="BM5380" t="s">
        <v>4014</v>
      </c>
      <c r="BO5380" t="s">
        <v>33197</v>
      </c>
      <c r="BS5380">
        <v>30</v>
      </c>
      <c r="BT5380" s="1">
        <v>326880</v>
      </c>
      <c r="BU5380" s="3">
        <v>42712</v>
      </c>
      <c r="BV5380" t="s">
        <v>123</v>
      </c>
      <c r="BW5380" t="str">
        <f>"2016.907062"</f>
        <v>2016.907062</v>
      </c>
      <c r="BX5380" t="s">
        <v>4014</v>
      </c>
      <c r="BZ5380" t="s">
        <v>33198</v>
      </c>
      <c r="CD5380">
        <v>30</v>
      </c>
      <c r="CH5380" t="str">
        <f>""</f>
        <v/>
      </c>
      <c r="CS5380" t="str">
        <f>""</f>
        <v/>
      </c>
    </row>
    <row r="5381" spans="1:97" x14ac:dyDescent="0.25">
      <c r="A5381" t="s">
        <v>1850</v>
      </c>
      <c r="B5381" t="s">
        <v>18396</v>
      </c>
      <c r="C5381" t="s">
        <v>1047</v>
      </c>
      <c r="D5381" t="s">
        <v>18396</v>
      </c>
      <c r="E5381" t="s">
        <v>33199</v>
      </c>
      <c r="F5381" t="s">
        <v>108</v>
      </c>
      <c r="H5381" t="s">
        <v>33200</v>
      </c>
      <c r="I5381" t="s">
        <v>5636</v>
      </c>
      <c r="J5381" t="s">
        <v>111</v>
      </c>
      <c r="K5381" t="str">
        <f>"85268"</f>
        <v>85268</v>
      </c>
      <c r="L5381" t="s">
        <v>5637</v>
      </c>
      <c r="M5381" t="s">
        <v>33200</v>
      </c>
      <c r="N5381" t="s">
        <v>5636</v>
      </c>
      <c r="O5381" t="s">
        <v>111</v>
      </c>
      <c r="P5381" t="str">
        <f>"85268-3108"</f>
        <v>85268-3108</v>
      </c>
      <c r="R5381" t="str">
        <f>"176-01-573"</f>
        <v>176-01-573</v>
      </c>
      <c r="S5381" t="s">
        <v>28706</v>
      </c>
      <c r="T5381" t="s">
        <v>28706</v>
      </c>
      <c r="U5381">
        <v>1726</v>
      </c>
      <c r="V5381">
        <v>0</v>
      </c>
      <c r="W5381">
        <v>3</v>
      </c>
      <c r="X5381">
        <v>1991</v>
      </c>
      <c r="Z5381">
        <v>1</v>
      </c>
      <c r="AA5381" t="s">
        <v>26</v>
      </c>
      <c r="AB5381">
        <v>0</v>
      </c>
      <c r="AC5381" t="s">
        <v>115</v>
      </c>
      <c r="AD5381">
        <v>2</v>
      </c>
      <c r="AE5381" t="s">
        <v>115</v>
      </c>
      <c r="AF5381">
        <v>0</v>
      </c>
      <c r="AG5381">
        <v>0</v>
      </c>
      <c r="AH5381" t="s">
        <v>116</v>
      </c>
      <c r="AI5381" s="1">
        <v>34021</v>
      </c>
      <c r="AJ5381" s="2">
        <v>0.09</v>
      </c>
      <c r="AK5381" s="1">
        <v>391372</v>
      </c>
      <c r="AL5381" t="s">
        <v>117</v>
      </c>
      <c r="AM5381" t="s">
        <v>191</v>
      </c>
      <c r="AN5381">
        <v>7166</v>
      </c>
      <c r="AO5381">
        <v>0.16</v>
      </c>
      <c r="AP5381">
        <v>1</v>
      </c>
      <c r="AR5381">
        <v>1</v>
      </c>
      <c r="AS5381" s="1">
        <v>27010</v>
      </c>
      <c r="AT5381" s="1">
        <v>5400</v>
      </c>
      <c r="AU5381" s="1">
        <v>21610</v>
      </c>
      <c r="AV5381">
        <v>80.010000000000005</v>
      </c>
      <c r="AX5381" s="1">
        <v>1672.68</v>
      </c>
      <c r="AY5381" t="s">
        <v>5639</v>
      </c>
      <c r="AZ5381" t="s">
        <v>5640</v>
      </c>
      <c r="BA5381" t="s">
        <v>5641</v>
      </c>
      <c r="BE5381" s="3">
        <v>42097</v>
      </c>
      <c r="BF5381" s="1">
        <v>345000</v>
      </c>
      <c r="BG5381" t="s">
        <v>33201</v>
      </c>
      <c r="BH5381" s="1">
        <v>199.88</v>
      </c>
      <c r="BI5381" s="1">
        <v>357351</v>
      </c>
      <c r="BJ5381" s="3">
        <v>42562</v>
      </c>
      <c r="BK5381" t="s">
        <v>123</v>
      </c>
      <c r="BL5381" t="str">
        <f>"2016.485668"</f>
        <v>2016.485668</v>
      </c>
      <c r="BM5381" t="s">
        <v>544</v>
      </c>
      <c r="BN5381" t="s">
        <v>545</v>
      </c>
      <c r="BO5381" t="s">
        <v>33202</v>
      </c>
      <c r="BS5381">
        <v>30</v>
      </c>
      <c r="BW5381" t="str">
        <f>""</f>
        <v/>
      </c>
      <c r="CH5381" t="str">
        <f>""</f>
        <v/>
      </c>
      <c r="CS5381" t="str">
        <f>""</f>
        <v/>
      </c>
    </row>
    <row r="5382" spans="1:97" x14ac:dyDescent="0.25">
      <c r="A5382" t="s">
        <v>203</v>
      </c>
      <c r="B5382" t="s">
        <v>1667</v>
      </c>
      <c r="C5382" t="s">
        <v>14964</v>
      </c>
      <c r="D5382" t="s">
        <v>1667</v>
      </c>
      <c r="E5382" t="s">
        <v>33203</v>
      </c>
      <c r="F5382" t="s">
        <v>108</v>
      </c>
      <c r="H5382" t="s">
        <v>33204</v>
      </c>
      <c r="I5382" t="s">
        <v>5114</v>
      </c>
      <c r="J5382" t="s">
        <v>111</v>
      </c>
      <c r="K5382" t="str">
        <f>"85323"</f>
        <v>85323</v>
      </c>
      <c r="L5382" t="s">
        <v>4316</v>
      </c>
      <c r="M5382" t="s">
        <v>33204</v>
      </c>
      <c r="N5382" t="s">
        <v>5114</v>
      </c>
      <c r="O5382" t="s">
        <v>111</v>
      </c>
      <c r="P5382" t="str">
        <f>"85323-5705"</f>
        <v>85323-5705</v>
      </c>
      <c r="Q5382" t="s">
        <v>113</v>
      </c>
      <c r="R5382" t="str">
        <f>"500-29-749"</f>
        <v>500-29-749</v>
      </c>
      <c r="S5382" t="s">
        <v>33205</v>
      </c>
      <c r="U5382">
        <v>2124</v>
      </c>
      <c r="V5382">
        <v>0</v>
      </c>
      <c r="W5382">
        <v>3</v>
      </c>
      <c r="X5382">
        <v>2002</v>
      </c>
      <c r="Z5382">
        <v>1</v>
      </c>
      <c r="AB5382">
        <v>0</v>
      </c>
      <c r="AC5382" t="s">
        <v>115</v>
      </c>
      <c r="AD5382">
        <v>3</v>
      </c>
      <c r="AE5382" t="s">
        <v>115</v>
      </c>
      <c r="AF5382">
        <v>0</v>
      </c>
      <c r="AG5382">
        <v>0</v>
      </c>
      <c r="AH5382" t="s">
        <v>116</v>
      </c>
      <c r="AI5382" s="1">
        <v>66216</v>
      </c>
      <c r="AJ5382" s="2">
        <v>0.23</v>
      </c>
      <c r="AK5382" s="1">
        <v>290946</v>
      </c>
      <c r="AL5382" t="s">
        <v>117</v>
      </c>
      <c r="AM5382" t="s">
        <v>118</v>
      </c>
      <c r="AN5382">
        <v>9299</v>
      </c>
      <c r="AO5382">
        <v>0.21</v>
      </c>
      <c r="AP5382">
        <v>1</v>
      </c>
      <c r="AR5382">
        <v>1</v>
      </c>
      <c r="AS5382" s="1">
        <v>20700</v>
      </c>
      <c r="AT5382" s="1">
        <v>4140</v>
      </c>
      <c r="AU5382" s="1">
        <v>16560</v>
      </c>
      <c r="AV5382">
        <v>80</v>
      </c>
      <c r="AX5382" s="1">
        <v>2001.04</v>
      </c>
      <c r="AY5382" t="s">
        <v>9447</v>
      </c>
      <c r="AZ5382" t="s">
        <v>9447</v>
      </c>
      <c r="BA5382" t="s">
        <v>4254</v>
      </c>
      <c r="BE5382" s="3">
        <v>42208</v>
      </c>
      <c r="BF5382" s="1">
        <v>220000</v>
      </c>
      <c r="BG5382" t="s">
        <v>33206</v>
      </c>
      <c r="BH5382" s="1">
        <v>103.58</v>
      </c>
      <c r="BI5382" s="1">
        <v>224730</v>
      </c>
      <c r="BJ5382" s="3">
        <v>42208</v>
      </c>
      <c r="BK5382" t="s">
        <v>123</v>
      </c>
      <c r="BL5382" t="str">
        <f>"2015.530211"</f>
        <v>2015.530211</v>
      </c>
      <c r="BM5382" t="s">
        <v>5938</v>
      </c>
      <c r="BO5382" t="s">
        <v>33207</v>
      </c>
      <c r="BS5382">
        <v>30</v>
      </c>
      <c r="BW5382" t="str">
        <f>""</f>
        <v/>
      </c>
      <c r="CH5382" t="str">
        <f>""</f>
        <v/>
      </c>
      <c r="CS5382" t="str">
        <f>""</f>
        <v/>
      </c>
    </row>
    <row r="5383" spans="1:97" x14ac:dyDescent="0.25">
      <c r="A5383" t="s">
        <v>1272</v>
      </c>
      <c r="B5383" t="s">
        <v>33208</v>
      </c>
      <c r="E5383" t="s">
        <v>33209</v>
      </c>
      <c r="F5383" t="s">
        <v>108</v>
      </c>
      <c r="H5383" t="s">
        <v>33210</v>
      </c>
      <c r="I5383" t="s">
        <v>225</v>
      </c>
      <c r="J5383" t="s">
        <v>111</v>
      </c>
      <c r="K5383" t="str">
        <f>"85213"</f>
        <v>85213</v>
      </c>
      <c r="L5383" t="s">
        <v>1300</v>
      </c>
      <c r="M5383" t="s">
        <v>33210</v>
      </c>
      <c r="N5383" t="s">
        <v>225</v>
      </c>
      <c r="O5383" t="s">
        <v>111</v>
      </c>
      <c r="P5383" t="str">
        <f>"85213-4605"</f>
        <v>85213-4605</v>
      </c>
      <c r="Q5383" t="s">
        <v>113</v>
      </c>
      <c r="R5383" t="str">
        <f>"141-79-010"</f>
        <v>141-79-010</v>
      </c>
      <c r="S5383" t="s">
        <v>7101</v>
      </c>
      <c r="U5383">
        <v>1711</v>
      </c>
      <c r="V5383">
        <v>0</v>
      </c>
      <c r="W5383">
        <v>2</v>
      </c>
      <c r="X5383">
        <v>1961</v>
      </c>
      <c r="Z5383">
        <v>1</v>
      </c>
      <c r="AA5383" t="s">
        <v>26</v>
      </c>
      <c r="AB5383">
        <v>0</v>
      </c>
      <c r="AC5383" t="s">
        <v>115</v>
      </c>
      <c r="AD5383">
        <v>1</v>
      </c>
      <c r="AE5383" t="s">
        <v>115</v>
      </c>
      <c r="AF5383">
        <v>0</v>
      </c>
      <c r="AG5383">
        <v>0</v>
      </c>
      <c r="AH5383" t="s">
        <v>116</v>
      </c>
      <c r="AI5383" s="1">
        <v>-121352</v>
      </c>
      <c r="AJ5383" s="2">
        <v>-0.42</v>
      </c>
      <c r="AK5383" s="1">
        <v>288042</v>
      </c>
      <c r="AL5383" t="s">
        <v>117</v>
      </c>
      <c r="AM5383" t="s">
        <v>917</v>
      </c>
      <c r="AN5383">
        <v>9159</v>
      </c>
      <c r="AO5383">
        <v>0.21</v>
      </c>
      <c r="AP5383">
        <v>1</v>
      </c>
      <c r="AR5383">
        <v>1</v>
      </c>
      <c r="AS5383" s="1">
        <v>19100</v>
      </c>
      <c r="AT5383" s="1">
        <v>3820</v>
      </c>
      <c r="AU5383" s="1">
        <v>15280</v>
      </c>
      <c r="AV5383">
        <v>80</v>
      </c>
      <c r="AX5383" s="1">
        <v>1276.58</v>
      </c>
      <c r="AY5383" t="s">
        <v>7102</v>
      </c>
      <c r="AZ5383" t="s">
        <v>1523</v>
      </c>
      <c r="BA5383" t="s">
        <v>1524</v>
      </c>
      <c r="BE5383" s="3">
        <v>42031</v>
      </c>
      <c r="BF5383" s="1">
        <v>199900</v>
      </c>
      <c r="BG5383" t="s">
        <v>33211</v>
      </c>
      <c r="BH5383" s="1">
        <v>116.83</v>
      </c>
      <c r="BI5383" s="1">
        <v>204697</v>
      </c>
      <c r="BJ5383" s="3">
        <v>42031</v>
      </c>
      <c r="BK5383" t="s">
        <v>123</v>
      </c>
      <c r="BL5383" t="str">
        <f>"2015.52170"</f>
        <v>2015.52170</v>
      </c>
      <c r="BM5383" t="s">
        <v>33212</v>
      </c>
      <c r="BO5383" t="s">
        <v>33213</v>
      </c>
      <c r="BS5383">
        <v>30</v>
      </c>
      <c r="BT5383" s="1">
        <v>204697</v>
      </c>
      <c r="BU5383" s="3">
        <v>42040</v>
      </c>
      <c r="BV5383" t="s">
        <v>123</v>
      </c>
      <c r="BW5383" t="str">
        <f>"2015.74307"</f>
        <v>2015.74307</v>
      </c>
      <c r="BX5383" t="s">
        <v>33212</v>
      </c>
      <c r="BZ5383" t="s">
        <v>33214</v>
      </c>
      <c r="CD5383">
        <v>30</v>
      </c>
      <c r="CH5383" t="str">
        <f>""</f>
        <v/>
      </c>
      <c r="CS5383" t="str">
        <f>""</f>
        <v/>
      </c>
    </row>
    <row r="5384" spans="1:97" x14ac:dyDescent="0.25">
      <c r="A5384" t="s">
        <v>370</v>
      </c>
      <c r="B5384" t="s">
        <v>603</v>
      </c>
      <c r="C5384" t="s">
        <v>33215</v>
      </c>
      <c r="D5384" t="s">
        <v>603</v>
      </c>
      <c r="E5384" t="s">
        <v>33216</v>
      </c>
      <c r="F5384" t="s">
        <v>108</v>
      </c>
      <c r="H5384" t="s">
        <v>33217</v>
      </c>
      <c r="I5384" t="s">
        <v>110</v>
      </c>
      <c r="J5384" t="s">
        <v>111</v>
      </c>
      <c r="K5384" t="str">
        <f>"85249"</f>
        <v>85249</v>
      </c>
      <c r="L5384" t="s">
        <v>7904</v>
      </c>
      <c r="M5384" t="s">
        <v>33217</v>
      </c>
      <c r="N5384" t="s">
        <v>110</v>
      </c>
      <c r="O5384" t="s">
        <v>111</v>
      </c>
      <c r="P5384" t="str">
        <f>"85249-6968"</f>
        <v>85249-6968</v>
      </c>
      <c r="Q5384" t="s">
        <v>113</v>
      </c>
      <c r="R5384" t="str">
        <f>"303-58-410"</f>
        <v>303-58-410</v>
      </c>
      <c r="S5384" t="s">
        <v>32246</v>
      </c>
      <c r="T5384" t="s">
        <v>32247</v>
      </c>
      <c r="U5384">
        <v>2288</v>
      </c>
      <c r="V5384">
        <v>0</v>
      </c>
      <c r="W5384">
        <v>4</v>
      </c>
      <c r="X5384">
        <v>2005</v>
      </c>
      <c r="Z5384">
        <v>1</v>
      </c>
      <c r="AB5384">
        <v>0</v>
      </c>
      <c r="AC5384" t="s">
        <v>115</v>
      </c>
      <c r="AD5384">
        <v>3</v>
      </c>
      <c r="AE5384" t="s">
        <v>115</v>
      </c>
      <c r="AF5384">
        <v>0</v>
      </c>
      <c r="AG5384">
        <v>0</v>
      </c>
      <c r="AH5384" t="s">
        <v>116</v>
      </c>
      <c r="AI5384" s="1">
        <v>99376</v>
      </c>
      <c r="AJ5384" s="2">
        <v>0.24</v>
      </c>
      <c r="AK5384" s="1">
        <v>416302</v>
      </c>
      <c r="AL5384" t="s">
        <v>117</v>
      </c>
      <c r="AM5384" t="s">
        <v>118</v>
      </c>
      <c r="AN5384">
        <v>8897</v>
      </c>
      <c r="AO5384">
        <v>0.2</v>
      </c>
      <c r="AR5384">
        <v>1</v>
      </c>
      <c r="AS5384" s="1">
        <v>29210</v>
      </c>
      <c r="AT5384" s="1">
        <v>5840</v>
      </c>
      <c r="AU5384" s="1">
        <v>23370</v>
      </c>
      <c r="AV5384">
        <v>80.010000000000005</v>
      </c>
      <c r="AX5384" s="1">
        <v>2637.52</v>
      </c>
      <c r="AY5384" t="s">
        <v>119</v>
      </c>
      <c r="AZ5384" t="s">
        <v>120</v>
      </c>
      <c r="BA5384" t="s">
        <v>121</v>
      </c>
      <c r="BE5384" s="3">
        <v>41912</v>
      </c>
      <c r="BF5384" s="1">
        <v>335000</v>
      </c>
      <c r="BG5384" t="s">
        <v>33218</v>
      </c>
      <c r="BH5384" s="1">
        <v>146.41999999999999</v>
      </c>
      <c r="BI5384" s="1">
        <v>316926</v>
      </c>
      <c r="BJ5384" s="3">
        <v>42621</v>
      </c>
      <c r="BK5384" t="s">
        <v>123</v>
      </c>
      <c r="BL5384" t="str">
        <f>"2016.650149"</f>
        <v>2016.650149</v>
      </c>
      <c r="BM5384" t="s">
        <v>2489</v>
      </c>
      <c r="BO5384" t="s">
        <v>33219</v>
      </c>
      <c r="BS5384">
        <v>30</v>
      </c>
      <c r="BW5384" t="str">
        <f>""</f>
        <v/>
      </c>
      <c r="CH5384" t="str">
        <f>""</f>
        <v/>
      </c>
      <c r="CS5384" t="str">
        <f>""</f>
        <v/>
      </c>
    </row>
    <row r="5385" spans="1:97" x14ac:dyDescent="0.25">
      <c r="A5385" t="s">
        <v>7856</v>
      </c>
      <c r="B5385" t="s">
        <v>33220</v>
      </c>
      <c r="C5385" t="s">
        <v>7343</v>
      </c>
      <c r="D5385" t="s">
        <v>33220</v>
      </c>
      <c r="E5385" t="s">
        <v>33221</v>
      </c>
      <c r="F5385" t="s">
        <v>108</v>
      </c>
      <c r="H5385" t="s">
        <v>33222</v>
      </c>
      <c r="I5385" t="s">
        <v>225</v>
      </c>
      <c r="J5385" t="s">
        <v>111</v>
      </c>
      <c r="K5385" t="str">
        <f>"85209"</f>
        <v>85209</v>
      </c>
      <c r="L5385" t="s">
        <v>7725</v>
      </c>
      <c r="M5385" t="s">
        <v>33222</v>
      </c>
      <c r="N5385" t="s">
        <v>225</v>
      </c>
      <c r="O5385" t="s">
        <v>111</v>
      </c>
      <c r="P5385" t="str">
        <f>"85209-2442"</f>
        <v>85209-2442</v>
      </c>
      <c r="Q5385" t="s">
        <v>113</v>
      </c>
      <c r="R5385" t="str">
        <f>"312-04-538"</f>
        <v>312-04-538</v>
      </c>
      <c r="S5385" t="s">
        <v>33223</v>
      </c>
      <c r="U5385">
        <v>1353</v>
      </c>
      <c r="V5385">
        <v>0</v>
      </c>
      <c r="W5385">
        <v>3</v>
      </c>
      <c r="X5385">
        <v>2000</v>
      </c>
      <c r="Z5385">
        <v>1</v>
      </c>
      <c r="AB5385">
        <v>0</v>
      </c>
      <c r="AC5385" t="s">
        <v>115</v>
      </c>
      <c r="AD5385">
        <v>2</v>
      </c>
      <c r="AE5385" t="s">
        <v>115</v>
      </c>
      <c r="AF5385">
        <v>0</v>
      </c>
      <c r="AG5385">
        <v>0</v>
      </c>
      <c r="AH5385" t="s">
        <v>116</v>
      </c>
      <c r="AI5385" s="1">
        <v>30527</v>
      </c>
      <c r="AJ5385" s="2">
        <v>0.12</v>
      </c>
      <c r="AK5385" s="1">
        <v>264450</v>
      </c>
      <c r="AL5385" t="s">
        <v>117</v>
      </c>
      <c r="AM5385" t="s">
        <v>191</v>
      </c>
      <c r="AN5385">
        <v>5595</v>
      </c>
      <c r="AO5385">
        <v>0.13</v>
      </c>
      <c r="AP5385">
        <v>1</v>
      </c>
      <c r="AR5385">
        <v>1</v>
      </c>
      <c r="AS5385" s="1">
        <v>17300</v>
      </c>
      <c r="AT5385" s="1">
        <v>3460</v>
      </c>
      <c r="AU5385" s="1">
        <v>13840</v>
      </c>
      <c r="AV5385">
        <v>80</v>
      </c>
      <c r="AX5385" s="1">
        <v>1170.98</v>
      </c>
      <c r="AY5385" t="s">
        <v>4370</v>
      </c>
      <c r="AZ5385" t="s">
        <v>777</v>
      </c>
      <c r="BA5385" t="s">
        <v>572</v>
      </c>
      <c r="BE5385" s="3">
        <v>42545</v>
      </c>
      <c r="BF5385" s="1">
        <v>229000</v>
      </c>
      <c r="BG5385" t="s">
        <v>33224</v>
      </c>
      <c r="BH5385" s="1">
        <v>169.25</v>
      </c>
      <c r="BI5385" s="1">
        <v>233923</v>
      </c>
      <c r="BJ5385" s="3">
        <v>42545</v>
      </c>
      <c r="BK5385" t="s">
        <v>123</v>
      </c>
      <c r="BL5385" t="str">
        <f>"2016.445412"</f>
        <v>2016.445412</v>
      </c>
      <c r="BM5385" t="s">
        <v>544</v>
      </c>
      <c r="BO5385" t="s">
        <v>33225</v>
      </c>
      <c r="BS5385">
        <v>30</v>
      </c>
      <c r="BW5385" t="str">
        <f>""</f>
        <v/>
      </c>
      <c r="CH5385" t="str">
        <f>""</f>
        <v/>
      </c>
      <c r="CS5385" t="str">
        <f>""</f>
        <v/>
      </c>
    </row>
    <row r="5386" spans="1:97" x14ac:dyDescent="0.25">
      <c r="A5386" t="s">
        <v>2123</v>
      </c>
      <c r="B5386" t="s">
        <v>17756</v>
      </c>
      <c r="C5386" t="s">
        <v>33226</v>
      </c>
      <c r="D5386" t="s">
        <v>17756</v>
      </c>
      <c r="E5386" t="s">
        <v>33227</v>
      </c>
      <c r="F5386" t="s">
        <v>108</v>
      </c>
      <c r="H5386" t="s">
        <v>33228</v>
      </c>
      <c r="I5386" t="s">
        <v>453</v>
      </c>
      <c r="J5386" t="s">
        <v>111</v>
      </c>
      <c r="K5386" t="str">
        <f>"85383"</f>
        <v>85383</v>
      </c>
      <c r="L5386" t="s">
        <v>6316</v>
      </c>
      <c r="M5386" t="s">
        <v>33228</v>
      </c>
      <c r="N5386" t="s">
        <v>453</v>
      </c>
      <c r="O5386" t="s">
        <v>111</v>
      </c>
      <c r="P5386" t="str">
        <f>"85383-2117"</f>
        <v>85383-2117</v>
      </c>
      <c r="Q5386" t="s">
        <v>113</v>
      </c>
      <c r="R5386" t="str">
        <f>"200-07-687"</f>
        <v>200-07-687</v>
      </c>
      <c r="S5386" t="s">
        <v>33229</v>
      </c>
      <c r="U5386">
        <v>1701</v>
      </c>
      <c r="V5386">
        <v>0</v>
      </c>
      <c r="W5386">
        <v>3</v>
      </c>
      <c r="X5386">
        <v>2002</v>
      </c>
      <c r="Z5386">
        <v>1</v>
      </c>
      <c r="AB5386">
        <v>0</v>
      </c>
      <c r="AC5386" t="s">
        <v>115</v>
      </c>
      <c r="AD5386">
        <v>2</v>
      </c>
      <c r="AE5386" t="s">
        <v>115</v>
      </c>
      <c r="AF5386">
        <v>0</v>
      </c>
      <c r="AG5386">
        <v>0</v>
      </c>
      <c r="AH5386" t="s">
        <v>116</v>
      </c>
      <c r="AI5386" s="1">
        <v>78924</v>
      </c>
      <c r="AJ5386" s="2">
        <v>0.26</v>
      </c>
      <c r="AK5386" s="1">
        <v>301282</v>
      </c>
      <c r="AL5386" t="s">
        <v>117</v>
      </c>
      <c r="AM5386" t="s">
        <v>118</v>
      </c>
      <c r="AN5386">
        <v>6859</v>
      </c>
      <c r="AO5386">
        <v>0.16</v>
      </c>
      <c r="AP5386">
        <v>1</v>
      </c>
      <c r="AR5386">
        <v>1</v>
      </c>
      <c r="AS5386" s="1">
        <v>20700</v>
      </c>
      <c r="AT5386" s="1">
        <v>4140</v>
      </c>
      <c r="AU5386" s="1">
        <v>16560</v>
      </c>
      <c r="AV5386">
        <v>80</v>
      </c>
      <c r="AX5386" s="1">
        <v>1611.18</v>
      </c>
      <c r="AY5386" t="s">
        <v>4218</v>
      </c>
      <c r="AZ5386" t="s">
        <v>4218</v>
      </c>
      <c r="BA5386" t="s">
        <v>4219</v>
      </c>
      <c r="BE5386" s="3">
        <v>42135</v>
      </c>
      <c r="BF5386" s="1">
        <v>225000</v>
      </c>
      <c r="BG5386" t="s">
        <v>33230</v>
      </c>
      <c r="BH5386" s="1">
        <v>132.28</v>
      </c>
      <c r="BI5386" s="1">
        <v>222358</v>
      </c>
      <c r="BJ5386" s="3">
        <v>42597</v>
      </c>
      <c r="BK5386" t="s">
        <v>123</v>
      </c>
      <c r="BL5386" t="str">
        <f>"2016.579033"</f>
        <v>2016.579033</v>
      </c>
      <c r="BM5386" t="s">
        <v>322</v>
      </c>
      <c r="BO5386" t="s">
        <v>33231</v>
      </c>
      <c r="BS5386">
        <v>30</v>
      </c>
      <c r="BW5386" t="str">
        <f>""</f>
        <v/>
      </c>
      <c r="CH5386" t="str">
        <f>""</f>
        <v/>
      </c>
      <c r="CS5386" t="str">
        <f>""</f>
        <v/>
      </c>
    </row>
    <row r="5387" spans="1:97" x14ac:dyDescent="0.25">
      <c r="B5387" t="s">
        <v>33232</v>
      </c>
      <c r="E5387" t="s">
        <v>33233</v>
      </c>
      <c r="F5387" t="s">
        <v>108</v>
      </c>
      <c r="H5387" t="s">
        <v>33234</v>
      </c>
      <c r="I5387" t="s">
        <v>144</v>
      </c>
      <c r="J5387" t="s">
        <v>111</v>
      </c>
      <c r="K5387" t="str">
        <f>"85396"</f>
        <v>85396</v>
      </c>
      <c r="L5387" t="s">
        <v>215</v>
      </c>
      <c r="M5387" t="s">
        <v>33234</v>
      </c>
      <c r="N5387" t="s">
        <v>144</v>
      </c>
      <c r="O5387" t="s">
        <v>111</v>
      </c>
      <c r="P5387" t="str">
        <f>"85396-1678"</f>
        <v>85396-1678</v>
      </c>
      <c r="Q5387" t="s">
        <v>113</v>
      </c>
      <c r="R5387" t="str">
        <f>"502-81-802"</f>
        <v>502-81-802</v>
      </c>
      <c r="S5387" t="s">
        <v>33235</v>
      </c>
      <c r="U5387">
        <v>2327</v>
      </c>
      <c r="V5387">
        <v>0</v>
      </c>
      <c r="W5387">
        <v>3</v>
      </c>
      <c r="X5387">
        <v>2013</v>
      </c>
      <c r="Z5387">
        <v>2</v>
      </c>
      <c r="AB5387">
        <v>0</v>
      </c>
      <c r="AC5387" t="s">
        <v>115</v>
      </c>
      <c r="AD5387">
        <v>2</v>
      </c>
      <c r="AE5387" t="s">
        <v>115</v>
      </c>
      <c r="AF5387">
        <v>0</v>
      </c>
      <c r="AG5387">
        <v>0</v>
      </c>
      <c r="AH5387" t="s">
        <v>116</v>
      </c>
      <c r="AI5387" s="1">
        <v>23267</v>
      </c>
      <c r="AJ5387" s="2">
        <v>0.08</v>
      </c>
      <c r="AK5387" s="1">
        <v>283267</v>
      </c>
      <c r="AL5387" t="s">
        <v>117</v>
      </c>
      <c r="AM5387" t="s">
        <v>118</v>
      </c>
      <c r="AN5387">
        <v>3678</v>
      </c>
      <c r="AO5387">
        <v>0.84</v>
      </c>
      <c r="AR5387">
        <v>1</v>
      </c>
      <c r="AS5387" s="1">
        <v>19730</v>
      </c>
      <c r="AT5387" s="1">
        <v>3940</v>
      </c>
      <c r="AU5387" s="1">
        <v>15790</v>
      </c>
      <c r="AV5387">
        <v>80.03</v>
      </c>
      <c r="AX5387" s="1">
        <v>2821.54</v>
      </c>
      <c r="AY5387" t="s">
        <v>217</v>
      </c>
      <c r="AZ5387" t="s">
        <v>217</v>
      </c>
      <c r="BA5387" t="s">
        <v>218</v>
      </c>
      <c r="BB5387" s="3">
        <v>42402</v>
      </c>
      <c r="BD5387" t="s">
        <v>480</v>
      </c>
      <c r="BE5387" s="3">
        <v>41698</v>
      </c>
      <c r="BF5387" s="1">
        <v>270056</v>
      </c>
      <c r="BG5387" t="s">
        <v>3062</v>
      </c>
      <c r="BH5387" s="1">
        <v>116.05</v>
      </c>
      <c r="BI5387" s="1">
        <v>260000</v>
      </c>
      <c r="BJ5387" s="3">
        <v>41698</v>
      </c>
      <c r="BK5387" t="s">
        <v>123</v>
      </c>
      <c r="BL5387" t="str">
        <f>"2014.132370"</f>
        <v>2014.132370</v>
      </c>
      <c r="BM5387" t="s">
        <v>135</v>
      </c>
      <c r="BO5387" t="s">
        <v>33236</v>
      </c>
      <c r="BS5387">
        <v>30</v>
      </c>
      <c r="BW5387" t="str">
        <f>""</f>
        <v/>
      </c>
      <c r="CH5387" t="str">
        <f>""</f>
        <v/>
      </c>
      <c r="CS5387" t="str">
        <f>""</f>
        <v/>
      </c>
    </row>
    <row r="5388" spans="1:97" x14ac:dyDescent="0.25">
      <c r="A5388" t="s">
        <v>1963</v>
      </c>
      <c r="B5388" t="s">
        <v>815</v>
      </c>
      <c r="C5388" t="s">
        <v>33237</v>
      </c>
      <c r="D5388" t="s">
        <v>815</v>
      </c>
      <c r="E5388" t="s">
        <v>33238</v>
      </c>
      <c r="F5388" t="s">
        <v>108</v>
      </c>
      <c r="H5388" t="s">
        <v>33239</v>
      </c>
      <c r="I5388" t="s">
        <v>167</v>
      </c>
      <c r="J5388" t="s">
        <v>111</v>
      </c>
      <c r="K5388" t="str">
        <f>"85339"</f>
        <v>85339</v>
      </c>
      <c r="L5388" t="s">
        <v>5775</v>
      </c>
      <c r="M5388" t="s">
        <v>33239</v>
      </c>
      <c r="N5388" t="s">
        <v>167</v>
      </c>
      <c r="O5388" t="s">
        <v>111</v>
      </c>
      <c r="P5388" t="str">
        <f>"85339-2369"</f>
        <v>85339-2369</v>
      </c>
      <c r="Q5388" t="s">
        <v>113</v>
      </c>
      <c r="R5388" t="str">
        <f>"300-84-034"</f>
        <v>300-84-034</v>
      </c>
      <c r="S5388" t="s">
        <v>13992</v>
      </c>
      <c r="U5388">
        <v>1535</v>
      </c>
      <c r="V5388">
        <v>0</v>
      </c>
      <c r="W5388">
        <v>3</v>
      </c>
      <c r="X5388">
        <v>2004</v>
      </c>
      <c r="Z5388">
        <v>1</v>
      </c>
      <c r="AB5388">
        <v>0</v>
      </c>
      <c r="AC5388" t="s">
        <v>115</v>
      </c>
      <c r="AD5388">
        <v>2</v>
      </c>
      <c r="AE5388" t="s">
        <v>115</v>
      </c>
      <c r="AF5388">
        <v>0</v>
      </c>
      <c r="AG5388">
        <v>0</v>
      </c>
      <c r="AH5388" t="s">
        <v>116</v>
      </c>
      <c r="AI5388" s="1">
        <v>17263</v>
      </c>
      <c r="AJ5388" s="2">
        <v>0.08</v>
      </c>
      <c r="AK5388" s="1">
        <v>217458</v>
      </c>
      <c r="AL5388" t="s">
        <v>117</v>
      </c>
      <c r="AM5388" t="s">
        <v>171</v>
      </c>
      <c r="AN5388">
        <v>4950</v>
      </c>
      <c r="AO5388">
        <v>0.11</v>
      </c>
      <c r="AP5388">
        <v>1</v>
      </c>
      <c r="AR5388">
        <v>1</v>
      </c>
      <c r="AS5388" s="1">
        <v>14070</v>
      </c>
      <c r="AT5388" s="1">
        <v>2810</v>
      </c>
      <c r="AU5388" s="1">
        <v>11260</v>
      </c>
      <c r="AV5388">
        <v>80.03</v>
      </c>
      <c r="AX5388" s="1">
        <v>1452.06</v>
      </c>
      <c r="AY5388" t="s">
        <v>5777</v>
      </c>
      <c r="AZ5388" t="s">
        <v>5777</v>
      </c>
      <c r="BA5388" t="s">
        <v>173</v>
      </c>
      <c r="BE5388" s="3">
        <v>41988</v>
      </c>
      <c r="BF5388" s="1">
        <v>146000</v>
      </c>
      <c r="BG5388" t="s">
        <v>33240</v>
      </c>
      <c r="BH5388" s="1">
        <v>95.11</v>
      </c>
      <c r="BI5388" s="1">
        <v>200195</v>
      </c>
      <c r="BJ5388" s="3">
        <v>43278</v>
      </c>
      <c r="BK5388" t="s">
        <v>123</v>
      </c>
      <c r="BL5388" t="str">
        <f>"2018.487715"</f>
        <v>2018.487715</v>
      </c>
      <c r="BM5388" t="s">
        <v>361</v>
      </c>
      <c r="BN5388" t="s">
        <v>884</v>
      </c>
      <c r="BO5388" t="s">
        <v>33241</v>
      </c>
      <c r="BP5388" t="s">
        <v>33242</v>
      </c>
      <c r="BR5388" t="s">
        <v>346</v>
      </c>
      <c r="BW5388" t="str">
        <f>""</f>
        <v/>
      </c>
      <c r="CH5388" t="str">
        <f>""</f>
        <v/>
      </c>
      <c r="CS5388" t="str">
        <f>""</f>
        <v/>
      </c>
    </row>
    <row r="5389" spans="1:97" x14ac:dyDescent="0.25">
      <c r="B5389" t="s">
        <v>33243</v>
      </c>
      <c r="E5389" t="s">
        <v>33244</v>
      </c>
      <c r="F5389" t="s">
        <v>108</v>
      </c>
      <c r="H5389" t="s">
        <v>33245</v>
      </c>
      <c r="I5389" t="s">
        <v>390</v>
      </c>
      <c r="J5389" t="s">
        <v>111</v>
      </c>
      <c r="K5389" t="str">
        <f>"85043"</f>
        <v>85043</v>
      </c>
      <c r="L5389" t="s">
        <v>5367</v>
      </c>
      <c r="M5389" t="s">
        <v>33245</v>
      </c>
      <c r="N5389" t="s">
        <v>390</v>
      </c>
      <c r="O5389" t="s">
        <v>111</v>
      </c>
      <c r="P5389" t="str">
        <f>"85043-5554"</f>
        <v>85043-5554</v>
      </c>
      <c r="Q5389" t="s">
        <v>113</v>
      </c>
      <c r="R5389" t="str">
        <f>"104-55-383"</f>
        <v>104-55-383</v>
      </c>
      <c r="S5389" t="s">
        <v>5368</v>
      </c>
      <c r="T5389" t="s">
        <v>5368</v>
      </c>
      <c r="U5389">
        <v>1905</v>
      </c>
      <c r="V5389">
        <v>0</v>
      </c>
      <c r="W5389">
        <v>3</v>
      </c>
      <c r="X5389">
        <v>2013</v>
      </c>
      <c r="Z5389">
        <v>1</v>
      </c>
      <c r="AB5389">
        <v>0</v>
      </c>
      <c r="AC5389" t="s">
        <v>115</v>
      </c>
      <c r="AD5389">
        <v>2</v>
      </c>
      <c r="AE5389" t="s">
        <v>115</v>
      </c>
      <c r="AF5389">
        <v>0</v>
      </c>
      <c r="AG5389">
        <v>0</v>
      </c>
      <c r="AH5389" t="s">
        <v>116</v>
      </c>
      <c r="AI5389" s="1">
        <v>93461</v>
      </c>
      <c r="AJ5389" s="2">
        <v>0.31</v>
      </c>
      <c r="AK5389" s="1">
        <v>298400</v>
      </c>
      <c r="AL5389" t="s">
        <v>117</v>
      </c>
      <c r="AM5389" t="s">
        <v>171</v>
      </c>
      <c r="AN5389">
        <v>11891</v>
      </c>
      <c r="AO5389">
        <v>0.27</v>
      </c>
      <c r="AR5389">
        <v>1</v>
      </c>
      <c r="AS5389" s="1">
        <v>20970</v>
      </c>
      <c r="AT5389" s="1">
        <v>4190</v>
      </c>
      <c r="AU5389" s="1">
        <v>16780</v>
      </c>
      <c r="AV5389">
        <v>80.02</v>
      </c>
      <c r="AX5389" s="1">
        <v>2168.9</v>
      </c>
      <c r="AY5389" t="s">
        <v>5369</v>
      </c>
      <c r="AZ5389" t="s">
        <v>5370</v>
      </c>
      <c r="BA5389" t="s">
        <v>5371</v>
      </c>
      <c r="BB5389" s="3">
        <v>42088</v>
      </c>
      <c r="BD5389" t="s">
        <v>480</v>
      </c>
      <c r="BE5389" s="3">
        <v>41660</v>
      </c>
      <c r="BF5389" s="1">
        <v>204939</v>
      </c>
      <c r="BG5389" t="s">
        <v>2289</v>
      </c>
      <c r="BH5389" s="1">
        <v>107.58</v>
      </c>
      <c r="BI5389" s="1">
        <v>204939</v>
      </c>
      <c r="BJ5389" s="3">
        <v>41660</v>
      </c>
      <c r="BK5389" t="s">
        <v>123</v>
      </c>
      <c r="BL5389" t="str">
        <f>"2014.39241"</f>
        <v>2014.39241</v>
      </c>
      <c r="BM5389" t="s">
        <v>135</v>
      </c>
      <c r="BO5389" t="s">
        <v>33246</v>
      </c>
      <c r="BS5389">
        <v>30</v>
      </c>
      <c r="BW5389" t="str">
        <f>""</f>
        <v/>
      </c>
      <c r="CH5389" t="str">
        <f>""</f>
        <v/>
      </c>
      <c r="CS5389" t="str">
        <f>""</f>
        <v/>
      </c>
    </row>
    <row r="5390" spans="1:97" x14ac:dyDescent="0.25">
      <c r="A5390" t="s">
        <v>305</v>
      </c>
      <c r="B5390" t="s">
        <v>33247</v>
      </c>
      <c r="E5390" t="s">
        <v>33248</v>
      </c>
      <c r="F5390" t="s">
        <v>108</v>
      </c>
      <c r="H5390" t="s">
        <v>33249</v>
      </c>
      <c r="I5390" t="s">
        <v>390</v>
      </c>
      <c r="J5390" t="s">
        <v>111</v>
      </c>
      <c r="K5390" t="str">
        <f>"85027"</f>
        <v>85027</v>
      </c>
      <c r="L5390" t="s">
        <v>6923</v>
      </c>
      <c r="M5390" t="s">
        <v>33249</v>
      </c>
      <c r="N5390" t="s">
        <v>390</v>
      </c>
      <c r="O5390" t="s">
        <v>111</v>
      </c>
      <c r="P5390" t="str">
        <f>"85027-3048"</f>
        <v>85027-3048</v>
      </c>
      <c r="Q5390" t="s">
        <v>113</v>
      </c>
      <c r="R5390" t="str">
        <f>"206-41-473"</f>
        <v>206-41-473</v>
      </c>
      <c r="S5390" t="s">
        <v>25457</v>
      </c>
      <c r="T5390" t="s">
        <v>6925</v>
      </c>
      <c r="U5390">
        <v>1888</v>
      </c>
      <c r="V5390">
        <v>0</v>
      </c>
      <c r="W5390">
        <v>2</v>
      </c>
      <c r="X5390">
        <v>1998</v>
      </c>
      <c r="Z5390">
        <v>1</v>
      </c>
      <c r="AA5390" t="s">
        <v>26</v>
      </c>
      <c r="AB5390">
        <v>0</v>
      </c>
      <c r="AC5390" t="s">
        <v>115</v>
      </c>
      <c r="AD5390">
        <v>2</v>
      </c>
      <c r="AE5390" t="s">
        <v>115</v>
      </c>
      <c r="AF5390">
        <v>0</v>
      </c>
      <c r="AG5390">
        <v>0</v>
      </c>
      <c r="AH5390" t="s">
        <v>116</v>
      </c>
      <c r="AI5390" s="1">
        <v>65104</v>
      </c>
      <c r="AJ5390" s="2">
        <v>0.21</v>
      </c>
      <c r="AK5390" s="1">
        <v>315054</v>
      </c>
      <c r="AL5390" t="s">
        <v>117</v>
      </c>
      <c r="AM5390" t="s">
        <v>191</v>
      </c>
      <c r="AN5390">
        <v>6300</v>
      </c>
      <c r="AO5390">
        <v>0.14000000000000001</v>
      </c>
      <c r="AP5390">
        <v>1</v>
      </c>
      <c r="AR5390">
        <v>1</v>
      </c>
      <c r="AS5390" s="1">
        <v>22130</v>
      </c>
      <c r="AT5390" s="1">
        <v>4420</v>
      </c>
      <c r="AU5390" s="1">
        <v>17710</v>
      </c>
      <c r="AV5390">
        <v>80.03</v>
      </c>
      <c r="AX5390" s="1">
        <v>1570.62</v>
      </c>
      <c r="AY5390" t="s">
        <v>6926</v>
      </c>
      <c r="AZ5390" t="s">
        <v>2357</v>
      </c>
      <c r="BA5390" t="s">
        <v>1462</v>
      </c>
      <c r="BE5390" s="3">
        <v>42361</v>
      </c>
      <c r="BF5390" s="1">
        <v>251000</v>
      </c>
      <c r="BG5390" t="s">
        <v>33250</v>
      </c>
      <c r="BH5390" s="1">
        <v>132.94</v>
      </c>
      <c r="BI5390" s="1">
        <v>249950</v>
      </c>
      <c r="BJ5390" s="3">
        <v>42646</v>
      </c>
      <c r="BK5390" t="s">
        <v>123</v>
      </c>
      <c r="BL5390" t="str">
        <f>"2016.720650"</f>
        <v>2016.720650</v>
      </c>
      <c r="BM5390" t="s">
        <v>361</v>
      </c>
      <c r="BO5390" t="s">
        <v>33251</v>
      </c>
      <c r="BS5390">
        <v>30</v>
      </c>
      <c r="BW5390" t="str">
        <f>""</f>
        <v/>
      </c>
      <c r="CH5390" t="str">
        <f>""</f>
        <v/>
      </c>
      <c r="CS5390" t="str">
        <f>""</f>
        <v/>
      </c>
    </row>
    <row r="5391" spans="1:97" x14ac:dyDescent="0.25">
      <c r="A5391" t="s">
        <v>996</v>
      </c>
      <c r="B5391" t="s">
        <v>18889</v>
      </c>
      <c r="E5391" t="s">
        <v>33252</v>
      </c>
      <c r="F5391" t="s">
        <v>108</v>
      </c>
      <c r="H5391" t="s">
        <v>33253</v>
      </c>
      <c r="I5391" t="s">
        <v>2874</v>
      </c>
      <c r="J5391" t="s">
        <v>111</v>
      </c>
      <c r="K5391" t="str">
        <f>"85304"</f>
        <v>85304</v>
      </c>
      <c r="L5391" t="s">
        <v>5308</v>
      </c>
      <c r="M5391" t="s">
        <v>33253</v>
      </c>
      <c r="N5391" t="s">
        <v>2874</v>
      </c>
      <c r="O5391" t="s">
        <v>111</v>
      </c>
      <c r="P5391" t="str">
        <f>"85304-3506"</f>
        <v>85304-3506</v>
      </c>
      <c r="Q5391" t="s">
        <v>113</v>
      </c>
      <c r="R5391" t="str">
        <f>"148-01-502"</f>
        <v>148-01-502</v>
      </c>
      <c r="S5391" t="s">
        <v>33254</v>
      </c>
      <c r="T5391" t="s">
        <v>11509</v>
      </c>
      <c r="U5391">
        <v>2153</v>
      </c>
      <c r="V5391">
        <v>0</v>
      </c>
      <c r="W5391">
        <v>2</v>
      </c>
      <c r="X5391">
        <v>1977</v>
      </c>
      <c r="Z5391">
        <v>1</v>
      </c>
      <c r="AA5391" t="s">
        <v>26</v>
      </c>
      <c r="AB5391">
        <v>0</v>
      </c>
      <c r="AC5391" t="s">
        <v>115</v>
      </c>
      <c r="AD5391">
        <v>2</v>
      </c>
      <c r="AE5391" t="s">
        <v>115</v>
      </c>
      <c r="AF5391">
        <v>0</v>
      </c>
      <c r="AG5391">
        <v>0</v>
      </c>
      <c r="AH5391" t="s">
        <v>116</v>
      </c>
      <c r="AI5391" s="1">
        <v>58582</v>
      </c>
      <c r="AJ5391" s="2">
        <v>0.21</v>
      </c>
      <c r="AK5391" s="1">
        <v>273097</v>
      </c>
      <c r="AL5391" t="s">
        <v>117</v>
      </c>
      <c r="AM5391" t="s">
        <v>191</v>
      </c>
      <c r="AN5391">
        <v>7912</v>
      </c>
      <c r="AO5391">
        <v>0.18</v>
      </c>
      <c r="AP5391">
        <v>1</v>
      </c>
      <c r="AR5391">
        <v>1</v>
      </c>
      <c r="AS5391" s="1">
        <v>18430</v>
      </c>
      <c r="AT5391" s="1">
        <v>3680</v>
      </c>
      <c r="AU5391" s="1">
        <v>14750</v>
      </c>
      <c r="AV5391">
        <v>80.03</v>
      </c>
      <c r="AX5391" s="1">
        <v>1430.8</v>
      </c>
      <c r="AY5391" t="s">
        <v>10887</v>
      </c>
      <c r="AZ5391" t="s">
        <v>6986</v>
      </c>
      <c r="BA5391" t="s">
        <v>10888</v>
      </c>
      <c r="BE5391" s="3">
        <v>42542</v>
      </c>
      <c r="BF5391" s="1">
        <v>210000</v>
      </c>
      <c r="BG5391" t="s">
        <v>33255</v>
      </c>
      <c r="BH5391" s="1">
        <v>97.54</v>
      </c>
      <c r="BI5391" s="1">
        <v>214515</v>
      </c>
      <c r="BJ5391" s="3">
        <v>42542</v>
      </c>
      <c r="BK5391" t="s">
        <v>123</v>
      </c>
      <c r="BL5391" t="str">
        <f>"2016.433592"</f>
        <v>2016.433592</v>
      </c>
      <c r="BM5391" t="s">
        <v>1038</v>
      </c>
      <c r="BO5391" t="s">
        <v>33256</v>
      </c>
      <c r="BS5391">
        <v>30</v>
      </c>
      <c r="BW5391" t="str">
        <f>""</f>
        <v/>
      </c>
      <c r="CH5391" t="str">
        <f>""</f>
        <v/>
      </c>
      <c r="CS5391" t="str">
        <f>""</f>
        <v/>
      </c>
    </row>
    <row r="5392" spans="1:97" x14ac:dyDescent="0.25">
      <c r="A5392" t="s">
        <v>7862</v>
      </c>
      <c r="B5392" t="s">
        <v>33257</v>
      </c>
      <c r="C5392" t="s">
        <v>464</v>
      </c>
      <c r="D5392" t="s">
        <v>33257</v>
      </c>
      <c r="E5392" t="s">
        <v>33258</v>
      </c>
      <c r="F5392" t="s">
        <v>108</v>
      </c>
      <c r="H5392" t="s">
        <v>33259</v>
      </c>
      <c r="I5392" t="s">
        <v>632</v>
      </c>
      <c r="J5392" t="s">
        <v>111</v>
      </c>
      <c r="K5392" t="str">
        <f>"85379"</f>
        <v>85379</v>
      </c>
      <c r="L5392" t="s">
        <v>5058</v>
      </c>
      <c r="M5392" t="s">
        <v>33259</v>
      </c>
      <c r="N5392" t="s">
        <v>632</v>
      </c>
      <c r="O5392" t="s">
        <v>111</v>
      </c>
      <c r="P5392" t="str">
        <f>"85379-1162"</f>
        <v>85379-1162</v>
      </c>
      <c r="Q5392" t="s">
        <v>113</v>
      </c>
      <c r="R5392" t="str">
        <f>"501-79-289"</f>
        <v>501-79-289</v>
      </c>
      <c r="S5392" t="s">
        <v>5059</v>
      </c>
      <c r="U5392">
        <v>3348</v>
      </c>
      <c r="V5392">
        <v>0</v>
      </c>
      <c r="W5392">
        <v>5</v>
      </c>
      <c r="X5392">
        <v>2015</v>
      </c>
      <c r="Z5392">
        <v>2</v>
      </c>
      <c r="AB5392">
        <v>0</v>
      </c>
      <c r="AC5392" t="s">
        <v>115</v>
      </c>
      <c r="AD5392">
        <v>3</v>
      </c>
      <c r="AE5392" t="s">
        <v>115</v>
      </c>
      <c r="AF5392">
        <v>0</v>
      </c>
      <c r="AG5392">
        <v>0</v>
      </c>
      <c r="AH5392" t="s">
        <v>116</v>
      </c>
      <c r="AI5392" s="1">
        <v>28848</v>
      </c>
      <c r="AJ5392" s="2">
        <v>7.0000000000000007E-2</v>
      </c>
      <c r="AK5392" s="1">
        <v>391848</v>
      </c>
      <c r="AL5392" t="s">
        <v>117</v>
      </c>
      <c r="AM5392" t="s">
        <v>118</v>
      </c>
      <c r="AN5392">
        <v>7245</v>
      </c>
      <c r="AO5392">
        <v>0.17</v>
      </c>
      <c r="AR5392">
        <v>1</v>
      </c>
      <c r="AS5392" s="1">
        <v>28030</v>
      </c>
      <c r="AT5392" s="1">
        <v>5600</v>
      </c>
      <c r="AU5392" s="1">
        <v>22430</v>
      </c>
      <c r="AV5392">
        <v>80.02</v>
      </c>
      <c r="AX5392" s="1">
        <v>2291.6799999999998</v>
      </c>
      <c r="AY5392" t="s">
        <v>5060</v>
      </c>
      <c r="AZ5392" t="s">
        <v>5060</v>
      </c>
      <c r="BA5392" t="s">
        <v>5061</v>
      </c>
      <c r="BE5392" s="3">
        <v>42500</v>
      </c>
      <c r="BF5392" s="1">
        <v>321135</v>
      </c>
      <c r="BG5392" t="s">
        <v>292</v>
      </c>
      <c r="BH5392" s="1">
        <v>95.92</v>
      </c>
      <c r="BI5392" s="1">
        <v>363000</v>
      </c>
      <c r="BJ5392" s="3">
        <v>43588</v>
      </c>
      <c r="BK5392" t="s">
        <v>123</v>
      </c>
      <c r="BL5392" t="str">
        <f>"2019.319959"</f>
        <v>2019.319959</v>
      </c>
      <c r="BM5392" t="s">
        <v>361</v>
      </c>
      <c r="BN5392" t="s">
        <v>884</v>
      </c>
      <c r="BO5392" t="s">
        <v>33260</v>
      </c>
      <c r="BP5392" t="s">
        <v>33261</v>
      </c>
      <c r="BR5392" t="s">
        <v>139</v>
      </c>
      <c r="BW5392" t="str">
        <f>""</f>
        <v/>
      </c>
      <c r="CH5392" t="str">
        <f>""</f>
        <v/>
      </c>
      <c r="CS5392" t="str">
        <f>""</f>
        <v/>
      </c>
    </row>
    <row r="5393" spans="1:97" x14ac:dyDescent="0.25">
      <c r="A5393" t="s">
        <v>33262</v>
      </c>
      <c r="B5393" t="s">
        <v>1697</v>
      </c>
      <c r="E5393" t="s">
        <v>33263</v>
      </c>
      <c r="F5393" t="s">
        <v>108</v>
      </c>
      <c r="H5393" t="s">
        <v>33264</v>
      </c>
      <c r="I5393" t="s">
        <v>3150</v>
      </c>
      <c r="J5393" t="s">
        <v>111</v>
      </c>
      <c r="K5393" t="str">
        <f>"85340"</f>
        <v>85340</v>
      </c>
      <c r="L5393" t="s">
        <v>2197</v>
      </c>
      <c r="M5393" t="s">
        <v>33264</v>
      </c>
      <c r="N5393" t="s">
        <v>3150</v>
      </c>
      <c r="O5393" t="s">
        <v>111</v>
      </c>
      <c r="P5393" t="str">
        <f>"85340-7365"</f>
        <v>85340-7365</v>
      </c>
      <c r="Q5393" t="s">
        <v>113</v>
      </c>
      <c r="R5393" t="str">
        <f>"501-62-190"</f>
        <v>501-62-190</v>
      </c>
      <c r="S5393" t="s">
        <v>11950</v>
      </c>
      <c r="U5393">
        <v>2166</v>
      </c>
      <c r="V5393">
        <v>0</v>
      </c>
      <c r="W5393">
        <v>4</v>
      </c>
      <c r="X5393">
        <v>2002</v>
      </c>
      <c r="Z5393">
        <v>2</v>
      </c>
      <c r="AA5393" t="s">
        <v>26</v>
      </c>
      <c r="AB5393">
        <v>0</v>
      </c>
      <c r="AC5393" t="s">
        <v>115</v>
      </c>
      <c r="AD5393">
        <v>2</v>
      </c>
      <c r="AE5393" t="s">
        <v>115</v>
      </c>
      <c r="AF5393">
        <v>0</v>
      </c>
      <c r="AG5393">
        <v>0</v>
      </c>
      <c r="AH5393" t="s">
        <v>116</v>
      </c>
      <c r="AI5393" s="1">
        <v>21032</v>
      </c>
      <c r="AJ5393" s="2">
        <v>0.08</v>
      </c>
      <c r="AK5393" s="1">
        <v>279532</v>
      </c>
      <c r="AL5393" t="s">
        <v>117</v>
      </c>
      <c r="AM5393" t="s">
        <v>191</v>
      </c>
      <c r="AN5393">
        <v>7449</v>
      </c>
      <c r="AO5393">
        <v>0.17</v>
      </c>
      <c r="AP5393">
        <v>1</v>
      </c>
      <c r="AR5393">
        <v>1</v>
      </c>
      <c r="AS5393" s="1">
        <v>19250</v>
      </c>
      <c r="AT5393" s="1">
        <v>3850</v>
      </c>
      <c r="AU5393" s="1">
        <v>15400</v>
      </c>
      <c r="AV5393">
        <v>80</v>
      </c>
      <c r="AX5393" s="1">
        <v>1701.7</v>
      </c>
      <c r="AY5393" t="s">
        <v>6580</v>
      </c>
      <c r="AZ5393" t="s">
        <v>3153</v>
      </c>
      <c r="BA5393" t="s">
        <v>3154</v>
      </c>
      <c r="BE5393" s="3">
        <v>42153</v>
      </c>
      <c r="BF5393" s="1">
        <v>178000</v>
      </c>
      <c r="BG5393" t="s">
        <v>33265</v>
      </c>
      <c r="BH5393" s="1">
        <v>82.18</v>
      </c>
      <c r="BI5393" s="1">
        <v>258500</v>
      </c>
      <c r="BJ5393" s="3">
        <v>43497</v>
      </c>
      <c r="BK5393" t="s">
        <v>123</v>
      </c>
      <c r="BL5393" t="str">
        <f>"2019.71976"</f>
        <v>2019.71976</v>
      </c>
      <c r="BM5393" t="s">
        <v>5534</v>
      </c>
      <c r="BN5393" t="s">
        <v>6390</v>
      </c>
      <c r="BO5393" t="s">
        <v>33266</v>
      </c>
      <c r="BR5393" t="s">
        <v>139</v>
      </c>
      <c r="BW5393" t="str">
        <f>""</f>
        <v/>
      </c>
      <c r="CH5393" t="str">
        <f>""</f>
        <v/>
      </c>
      <c r="CS5393" t="str">
        <f>""</f>
        <v/>
      </c>
    </row>
    <row r="5394" spans="1:97" x14ac:dyDescent="0.25">
      <c r="A5394" t="s">
        <v>11648</v>
      </c>
      <c r="B5394" t="s">
        <v>33267</v>
      </c>
      <c r="C5394" t="s">
        <v>33268</v>
      </c>
      <c r="D5394" t="s">
        <v>33267</v>
      </c>
      <c r="E5394" t="s">
        <v>33269</v>
      </c>
      <c r="F5394" t="s">
        <v>108</v>
      </c>
      <c r="H5394" t="s">
        <v>33270</v>
      </c>
      <c r="I5394" t="s">
        <v>390</v>
      </c>
      <c r="J5394" t="s">
        <v>111</v>
      </c>
      <c r="K5394" t="str">
        <f>"85032"</f>
        <v>85032</v>
      </c>
      <c r="L5394" t="s">
        <v>6003</v>
      </c>
      <c r="M5394" t="s">
        <v>33270</v>
      </c>
      <c r="N5394" t="s">
        <v>390</v>
      </c>
      <c r="O5394" t="s">
        <v>111</v>
      </c>
      <c r="P5394" t="str">
        <f>"85032-4901"</f>
        <v>85032-4901</v>
      </c>
      <c r="Q5394" t="s">
        <v>113</v>
      </c>
      <c r="R5394" t="str">
        <f>"214-66-325"</f>
        <v>214-66-325</v>
      </c>
      <c r="S5394" t="s">
        <v>33271</v>
      </c>
      <c r="T5394" t="s">
        <v>33271</v>
      </c>
      <c r="U5394">
        <v>1880</v>
      </c>
      <c r="V5394">
        <v>0</v>
      </c>
      <c r="W5394">
        <v>2</v>
      </c>
      <c r="X5394">
        <v>1969</v>
      </c>
      <c r="Z5394">
        <v>1</v>
      </c>
      <c r="AA5394" t="s">
        <v>26</v>
      </c>
      <c r="AB5394">
        <v>0</v>
      </c>
      <c r="AC5394" t="s">
        <v>115</v>
      </c>
      <c r="AD5394">
        <v>2</v>
      </c>
      <c r="AE5394" t="s">
        <v>115</v>
      </c>
      <c r="AF5394">
        <v>0</v>
      </c>
      <c r="AG5394">
        <v>0</v>
      </c>
      <c r="AH5394" t="s">
        <v>116</v>
      </c>
      <c r="AI5394" s="1">
        <v>62779</v>
      </c>
      <c r="AJ5394" s="2">
        <v>0.19</v>
      </c>
      <c r="AK5394" s="1">
        <v>325815</v>
      </c>
      <c r="AL5394" t="s">
        <v>117</v>
      </c>
      <c r="AM5394" t="s">
        <v>191</v>
      </c>
      <c r="AN5394">
        <v>9586</v>
      </c>
      <c r="AO5394">
        <v>0.22</v>
      </c>
      <c r="AP5394">
        <v>1</v>
      </c>
      <c r="AR5394">
        <v>1</v>
      </c>
      <c r="AS5394" s="1">
        <v>23430</v>
      </c>
      <c r="AT5394" s="1">
        <v>4680</v>
      </c>
      <c r="AU5394" s="1">
        <v>18750</v>
      </c>
      <c r="AV5394">
        <v>80.03</v>
      </c>
      <c r="AX5394" s="1">
        <v>1800.6</v>
      </c>
      <c r="AY5394" t="s">
        <v>13914</v>
      </c>
      <c r="AZ5394" t="s">
        <v>5231</v>
      </c>
      <c r="BA5394" t="s">
        <v>2551</v>
      </c>
      <c r="BE5394" s="3">
        <v>42536</v>
      </c>
      <c r="BF5394" s="1">
        <v>257500</v>
      </c>
      <c r="BG5394" t="s">
        <v>33272</v>
      </c>
      <c r="BH5394" s="1">
        <v>148.84</v>
      </c>
      <c r="BI5394" s="1">
        <v>263036</v>
      </c>
      <c r="BJ5394" s="3">
        <v>42536</v>
      </c>
      <c r="BK5394" t="s">
        <v>123</v>
      </c>
      <c r="BL5394" t="str">
        <f>"2016.416557"</f>
        <v>2016.416557</v>
      </c>
      <c r="BM5394" t="s">
        <v>135</v>
      </c>
      <c r="BO5394" t="s">
        <v>33273</v>
      </c>
      <c r="BS5394">
        <v>30</v>
      </c>
      <c r="BW5394" t="str">
        <f>""</f>
        <v/>
      </c>
      <c r="CH5394" t="str">
        <f>""</f>
        <v/>
      </c>
      <c r="CS5394" t="str">
        <f>""</f>
        <v/>
      </c>
    </row>
    <row r="5395" spans="1:97" x14ac:dyDescent="0.25">
      <c r="A5395" t="s">
        <v>370</v>
      </c>
      <c r="B5395" t="s">
        <v>33274</v>
      </c>
      <c r="C5395" t="s">
        <v>13161</v>
      </c>
      <c r="D5395" t="s">
        <v>33274</v>
      </c>
      <c r="E5395" t="s">
        <v>33275</v>
      </c>
      <c r="F5395" t="s">
        <v>108</v>
      </c>
      <c r="H5395" t="s">
        <v>33276</v>
      </c>
      <c r="I5395" t="s">
        <v>5551</v>
      </c>
      <c r="J5395" t="s">
        <v>111</v>
      </c>
      <c r="K5395" t="str">
        <f>"85248"</f>
        <v>85248</v>
      </c>
      <c r="L5395" t="s">
        <v>5456</v>
      </c>
      <c r="M5395" t="s">
        <v>33276</v>
      </c>
      <c r="N5395" t="s">
        <v>5551</v>
      </c>
      <c r="O5395" t="s">
        <v>111</v>
      </c>
      <c r="P5395" t="str">
        <f>"85248"</f>
        <v>85248</v>
      </c>
      <c r="Q5395" t="s">
        <v>113</v>
      </c>
      <c r="R5395" t="str">
        <f>"303-50-465"</f>
        <v>303-50-465</v>
      </c>
      <c r="S5395" t="s">
        <v>22233</v>
      </c>
      <c r="U5395">
        <v>1844</v>
      </c>
      <c r="V5395">
        <v>0</v>
      </c>
      <c r="W5395">
        <v>3</v>
      </c>
      <c r="X5395">
        <v>1996</v>
      </c>
      <c r="Z5395">
        <v>1</v>
      </c>
      <c r="AB5395">
        <v>0</v>
      </c>
      <c r="AC5395" t="s">
        <v>115</v>
      </c>
      <c r="AD5395">
        <v>2</v>
      </c>
      <c r="AE5395" t="s">
        <v>115</v>
      </c>
      <c r="AF5395">
        <v>0</v>
      </c>
      <c r="AG5395">
        <v>0</v>
      </c>
      <c r="AH5395" t="s">
        <v>116</v>
      </c>
      <c r="AI5395" s="1">
        <v>86874</v>
      </c>
      <c r="AJ5395" s="2">
        <v>0.26</v>
      </c>
      <c r="AK5395" s="1">
        <v>337141</v>
      </c>
      <c r="AL5395" t="s">
        <v>117</v>
      </c>
      <c r="AM5395" t="s">
        <v>191</v>
      </c>
      <c r="AN5395">
        <v>9988</v>
      </c>
      <c r="AO5395">
        <v>0.23</v>
      </c>
      <c r="AP5395">
        <v>1</v>
      </c>
      <c r="AR5395">
        <v>1</v>
      </c>
      <c r="AS5395" s="1">
        <v>24360</v>
      </c>
      <c r="AT5395" s="1">
        <v>4870</v>
      </c>
      <c r="AU5395" s="1">
        <v>19490</v>
      </c>
      <c r="AV5395">
        <v>80.010000000000005</v>
      </c>
      <c r="AX5395" s="1">
        <v>2665.84</v>
      </c>
      <c r="AY5395" t="s">
        <v>1881</v>
      </c>
      <c r="AZ5395" t="s">
        <v>1882</v>
      </c>
      <c r="BA5395" t="s">
        <v>121</v>
      </c>
      <c r="BE5395" s="3">
        <v>42283</v>
      </c>
      <c r="BF5395" s="1">
        <v>245000</v>
      </c>
      <c r="BG5395" t="s">
        <v>33277</v>
      </c>
      <c r="BH5395" s="1">
        <v>132.86000000000001</v>
      </c>
      <c r="BI5395" s="1">
        <v>250267</v>
      </c>
      <c r="BJ5395" s="3">
        <v>42283</v>
      </c>
      <c r="BK5395" t="s">
        <v>123</v>
      </c>
      <c r="BL5395" t="str">
        <f>"2015.719242"</f>
        <v>2015.719242</v>
      </c>
      <c r="BM5395" t="s">
        <v>135</v>
      </c>
      <c r="BO5395" t="s">
        <v>33278</v>
      </c>
      <c r="BS5395">
        <v>30</v>
      </c>
      <c r="BW5395" t="str">
        <f>""</f>
        <v/>
      </c>
      <c r="CH5395" t="str">
        <f>""</f>
        <v/>
      </c>
      <c r="CS5395" t="str">
        <f>""</f>
        <v/>
      </c>
    </row>
    <row r="5396" spans="1:97" x14ac:dyDescent="0.25">
      <c r="A5396" t="s">
        <v>2045</v>
      </c>
      <c r="B5396" t="s">
        <v>33279</v>
      </c>
      <c r="E5396" t="s">
        <v>33280</v>
      </c>
      <c r="F5396" t="s">
        <v>108</v>
      </c>
      <c r="H5396" t="s">
        <v>33281</v>
      </c>
      <c r="I5396" t="s">
        <v>225</v>
      </c>
      <c r="J5396" t="s">
        <v>111</v>
      </c>
      <c r="K5396" t="str">
        <f>"85212"</f>
        <v>85212</v>
      </c>
      <c r="L5396" t="s">
        <v>681</v>
      </c>
      <c r="M5396" t="s">
        <v>33281</v>
      </c>
      <c r="N5396" t="s">
        <v>225</v>
      </c>
      <c r="O5396" t="s">
        <v>111</v>
      </c>
      <c r="P5396" t="str">
        <f>"85212-2385"</f>
        <v>85212-2385</v>
      </c>
      <c r="Q5396" t="s">
        <v>113</v>
      </c>
      <c r="R5396" t="str">
        <f>"309-19-191"</f>
        <v>309-19-191</v>
      </c>
      <c r="S5396" t="s">
        <v>14734</v>
      </c>
      <c r="U5396">
        <v>1613</v>
      </c>
      <c r="V5396">
        <v>0</v>
      </c>
      <c r="W5396">
        <v>3</v>
      </c>
      <c r="X5396">
        <v>2001</v>
      </c>
      <c r="Z5396">
        <v>1</v>
      </c>
      <c r="AA5396" t="s">
        <v>26</v>
      </c>
      <c r="AB5396">
        <v>0</v>
      </c>
      <c r="AC5396" t="s">
        <v>115</v>
      </c>
      <c r="AD5396">
        <v>2</v>
      </c>
      <c r="AE5396" t="s">
        <v>115</v>
      </c>
      <c r="AF5396">
        <v>0</v>
      </c>
      <c r="AG5396">
        <v>0</v>
      </c>
      <c r="AH5396" t="s">
        <v>116</v>
      </c>
      <c r="AI5396" s="1">
        <v>69262</v>
      </c>
      <c r="AJ5396" s="2">
        <v>0.23</v>
      </c>
      <c r="AK5396" s="1">
        <v>296522</v>
      </c>
      <c r="AL5396" t="s">
        <v>117</v>
      </c>
      <c r="AM5396" t="s">
        <v>191</v>
      </c>
      <c r="AN5396">
        <v>7015</v>
      </c>
      <c r="AO5396">
        <v>0.16</v>
      </c>
      <c r="AP5396">
        <v>1</v>
      </c>
      <c r="AR5396">
        <v>1</v>
      </c>
      <c r="AS5396" s="1">
        <v>20470</v>
      </c>
      <c r="AT5396" s="1">
        <v>4090</v>
      </c>
      <c r="AU5396" s="1">
        <v>16380</v>
      </c>
      <c r="AV5396">
        <v>80.02</v>
      </c>
      <c r="AX5396" s="1">
        <v>1414.36</v>
      </c>
      <c r="AY5396" t="s">
        <v>7302</v>
      </c>
      <c r="AZ5396" t="s">
        <v>777</v>
      </c>
      <c r="BA5396" t="s">
        <v>572</v>
      </c>
      <c r="BE5396" s="3">
        <v>42053</v>
      </c>
      <c r="BF5396" s="1">
        <v>209900</v>
      </c>
      <c r="BG5396" t="s">
        <v>33282</v>
      </c>
      <c r="BH5396" s="1">
        <v>130.13</v>
      </c>
      <c r="BI5396" s="1">
        <v>227260</v>
      </c>
      <c r="BJ5396" s="3">
        <v>43605</v>
      </c>
      <c r="BK5396" t="s">
        <v>123</v>
      </c>
      <c r="BL5396" t="str">
        <f>"2019.366297"</f>
        <v>2019.366297</v>
      </c>
      <c r="BM5396" t="s">
        <v>33283</v>
      </c>
      <c r="BN5396" t="s">
        <v>33284</v>
      </c>
      <c r="BO5396" t="s">
        <v>33285</v>
      </c>
      <c r="BR5396" t="s">
        <v>139</v>
      </c>
      <c r="BW5396" t="str">
        <f>""</f>
        <v/>
      </c>
      <c r="CH5396" t="str">
        <f>""</f>
        <v/>
      </c>
      <c r="CS5396" t="str">
        <f>""</f>
        <v/>
      </c>
    </row>
    <row r="5397" spans="1:97" x14ac:dyDescent="0.25">
      <c r="A5397" t="s">
        <v>305</v>
      </c>
      <c r="B5397" t="s">
        <v>1160</v>
      </c>
      <c r="E5397" t="s">
        <v>33286</v>
      </c>
      <c r="F5397" t="s">
        <v>108</v>
      </c>
      <c r="H5397" t="s">
        <v>33287</v>
      </c>
      <c r="I5397" t="s">
        <v>390</v>
      </c>
      <c r="J5397" t="s">
        <v>111</v>
      </c>
      <c r="K5397" t="str">
        <f>"85086"</f>
        <v>85086</v>
      </c>
      <c r="L5397" t="s">
        <v>4698</v>
      </c>
      <c r="M5397" t="s">
        <v>33287</v>
      </c>
      <c r="N5397" t="s">
        <v>390</v>
      </c>
      <c r="O5397" t="s">
        <v>111</v>
      </c>
      <c r="P5397" t="str">
        <f>"85086-2166"</f>
        <v>85086-2166</v>
      </c>
      <c r="Q5397" t="s">
        <v>113</v>
      </c>
      <c r="R5397" t="str">
        <f>"203-27-600"</f>
        <v>203-27-600</v>
      </c>
      <c r="S5397" t="s">
        <v>25554</v>
      </c>
      <c r="T5397" t="s">
        <v>25555</v>
      </c>
      <c r="U5397">
        <v>1958</v>
      </c>
      <c r="V5397">
        <v>0</v>
      </c>
      <c r="W5397">
        <v>4</v>
      </c>
      <c r="X5397">
        <v>2006</v>
      </c>
      <c r="Z5397">
        <v>2</v>
      </c>
      <c r="AB5397">
        <v>0</v>
      </c>
      <c r="AC5397" t="s">
        <v>115</v>
      </c>
      <c r="AD5397">
        <v>2</v>
      </c>
      <c r="AE5397" t="s">
        <v>115</v>
      </c>
      <c r="AF5397">
        <v>0</v>
      </c>
      <c r="AG5397">
        <v>0</v>
      </c>
      <c r="AH5397" t="s">
        <v>116</v>
      </c>
      <c r="AI5397" s="1">
        <v>70580</v>
      </c>
      <c r="AJ5397" s="2">
        <v>0.23</v>
      </c>
      <c r="AK5397" s="1">
        <v>306104</v>
      </c>
      <c r="AL5397" t="s">
        <v>117</v>
      </c>
      <c r="AM5397" t="s">
        <v>1315</v>
      </c>
      <c r="AN5397">
        <v>4527</v>
      </c>
      <c r="AO5397">
        <v>0.1</v>
      </c>
      <c r="AR5397">
        <v>1</v>
      </c>
      <c r="AS5397" s="1">
        <v>20970</v>
      </c>
      <c r="AT5397" s="1">
        <v>4190</v>
      </c>
      <c r="AU5397" s="1">
        <v>16780</v>
      </c>
      <c r="AV5397">
        <v>80.02</v>
      </c>
      <c r="AX5397" s="1">
        <v>1966.82</v>
      </c>
      <c r="AY5397" t="s">
        <v>8639</v>
      </c>
      <c r="AZ5397" t="s">
        <v>8639</v>
      </c>
      <c r="BA5397" t="s">
        <v>378</v>
      </c>
      <c r="BE5397" s="3">
        <v>41744</v>
      </c>
      <c r="BF5397" s="1">
        <v>223000</v>
      </c>
      <c r="BG5397" t="s">
        <v>33288</v>
      </c>
      <c r="BH5397" s="1">
        <v>113.89</v>
      </c>
      <c r="BI5397" s="1">
        <v>235524</v>
      </c>
      <c r="BJ5397" s="3">
        <v>42118</v>
      </c>
      <c r="BK5397" t="s">
        <v>123</v>
      </c>
      <c r="BL5397" t="str">
        <f>"2015.283377"</f>
        <v>2015.283377</v>
      </c>
      <c r="BM5397" t="s">
        <v>1038</v>
      </c>
      <c r="BO5397" t="s">
        <v>33289</v>
      </c>
      <c r="BS5397">
        <v>30</v>
      </c>
      <c r="BW5397" t="str">
        <f>""</f>
        <v/>
      </c>
      <c r="CH5397" t="str">
        <f>""</f>
        <v/>
      </c>
      <c r="CS5397" t="str">
        <f>""</f>
        <v/>
      </c>
    </row>
    <row r="5398" spans="1:97" x14ac:dyDescent="0.25">
      <c r="A5398" t="s">
        <v>13918</v>
      </c>
      <c r="B5398" t="s">
        <v>2848</v>
      </c>
      <c r="C5398" t="s">
        <v>3296</v>
      </c>
      <c r="D5398" t="s">
        <v>33290</v>
      </c>
      <c r="E5398" t="s">
        <v>33291</v>
      </c>
      <c r="F5398" t="s">
        <v>108</v>
      </c>
      <c r="H5398" t="s">
        <v>33292</v>
      </c>
      <c r="I5398" t="s">
        <v>453</v>
      </c>
      <c r="J5398" t="s">
        <v>111</v>
      </c>
      <c r="K5398" t="str">
        <f>"85381"</f>
        <v>85381</v>
      </c>
      <c r="L5398" t="s">
        <v>9597</v>
      </c>
      <c r="M5398" t="s">
        <v>33292</v>
      </c>
      <c r="N5398" t="s">
        <v>453</v>
      </c>
      <c r="O5398" t="s">
        <v>111</v>
      </c>
      <c r="P5398" t="str">
        <f>"85381-8220"</f>
        <v>85381-8220</v>
      </c>
      <c r="Q5398" t="s">
        <v>113</v>
      </c>
      <c r="R5398" t="str">
        <f>"200-87-668"</f>
        <v>200-87-668</v>
      </c>
      <c r="S5398" t="s">
        <v>13522</v>
      </c>
      <c r="T5398" t="s">
        <v>9724</v>
      </c>
      <c r="U5398">
        <v>2387</v>
      </c>
      <c r="V5398">
        <v>0</v>
      </c>
      <c r="W5398">
        <v>4</v>
      </c>
      <c r="X5398">
        <v>2014</v>
      </c>
      <c r="Z5398">
        <v>2</v>
      </c>
      <c r="AA5398" t="s">
        <v>26</v>
      </c>
      <c r="AB5398">
        <v>0</v>
      </c>
      <c r="AC5398" t="s">
        <v>115</v>
      </c>
      <c r="AD5398">
        <v>2</v>
      </c>
      <c r="AE5398" t="s">
        <v>115</v>
      </c>
      <c r="AF5398">
        <v>0</v>
      </c>
      <c r="AG5398">
        <v>0</v>
      </c>
      <c r="AH5398" t="s">
        <v>116</v>
      </c>
      <c r="AI5398" s="1">
        <v>-2953913</v>
      </c>
      <c r="AJ5398" s="2">
        <v>-7.92</v>
      </c>
      <c r="AK5398" s="1">
        <v>372747</v>
      </c>
      <c r="AL5398" t="s">
        <v>117</v>
      </c>
      <c r="AM5398" t="s">
        <v>118</v>
      </c>
      <c r="AN5398">
        <v>5206</v>
      </c>
      <c r="AO5398">
        <v>0.12</v>
      </c>
      <c r="AR5398">
        <v>1</v>
      </c>
      <c r="AS5398" s="1">
        <v>27060</v>
      </c>
      <c r="AT5398" s="1">
        <v>5410</v>
      </c>
      <c r="AU5398" s="1">
        <v>21650</v>
      </c>
      <c r="AV5398">
        <v>80.010000000000005</v>
      </c>
      <c r="AX5398" s="1">
        <v>2336.7800000000002</v>
      </c>
      <c r="AY5398" t="s">
        <v>5629</v>
      </c>
      <c r="AZ5398" t="s">
        <v>5629</v>
      </c>
      <c r="BA5398" t="s">
        <v>4007</v>
      </c>
      <c r="BB5398" s="3">
        <v>43511</v>
      </c>
      <c r="BC5398" s="1">
        <v>345000</v>
      </c>
      <c r="BD5398" t="s">
        <v>291</v>
      </c>
      <c r="BE5398" s="3">
        <v>42054</v>
      </c>
      <c r="BF5398" s="1">
        <v>295687</v>
      </c>
      <c r="BG5398" t="s">
        <v>9725</v>
      </c>
      <c r="BH5398" s="1">
        <v>123.87</v>
      </c>
      <c r="BI5398" s="1">
        <v>3326660</v>
      </c>
      <c r="BJ5398" s="3">
        <v>43511</v>
      </c>
      <c r="BK5398" t="s">
        <v>123</v>
      </c>
      <c r="BL5398" t="str">
        <f>"2019.106374"</f>
        <v>2019.106374</v>
      </c>
      <c r="BM5398" t="s">
        <v>20080</v>
      </c>
      <c r="BN5398" t="s">
        <v>33293</v>
      </c>
      <c r="BO5398" t="s">
        <v>33294</v>
      </c>
      <c r="BP5398" t="s">
        <v>33295</v>
      </c>
      <c r="BR5398" t="s">
        <v>139</v>
      </c>
      <c r="BW5398" t="str">
        <f>""</f>
        <v/>
      </c>
      <c r="CH5398" t="str">
        <f>""</f>
        <v/>
      </c>
      <c r="CS5398" t="str">
        <f>""</f>
        <v/>
      </c>
    </row>
    <row r="5399" spans="1:97" x14ac:dyDescent="0.25">
      <c r="A5399" t="s">
        <v>15865</v>
      </c>
      <c r="B5399" t="s">
        <v>16082</v>
      </c>
      <c r="C5399" t="s">
        <v>2319</v>
      </c>
      <c r="D5399" t="s">
        <v>16082</v>
      </c>
      <c r="E5399" t="s">
        <v>33296</v>
      </c>
      <c r="F5399" t="s">
        <v>108</v>
      </c>
      <c r="H5399" t="s">
        <v>33297</v>
      </c>
      <c r="I5399" t="s">
        <v>632</v>
      </c>
      <c r="J5399" t="s">
        <v>111</v>
      </c>
      <c r="K5399" t="str">
        <f>"85379"</f>
        <v>85379</v>
      </c>
      <c r="L5399" t="s">
        <v>375</v>
      </c>
      <c r="M5399" t="s">
        <v>33297</v>
      </c>
      <c r="N5399" t="s">
        <v>632</v>
      </c>
      <c r="O5399" t="s">
        <v>111</v>
      </c>
      <c r="P5399" t="str">
        <f>"85379-8175"</f>
        <v>85379-8175</v>
      </c>
      <c r="Q5399" t="s">
        <v>113</v>
      </c>
      <c r="R5399" t="str">
        <f>"509-15-734"</f>
        <v>509-15-734</v>
      </c>
      <c r="S5399" t="s">
        <v>14562</v>
      </c>
      <c r="U5399">
        <v>2022</v>
      </c>
      <c r="V5399">
        <v>0</v>
      </c>
      <c r="W5399">
        <v>3</v>
      </c>
      <c r="X5399">
        <v>2006</v>
      </c>
      <c r="Z5399">
        <v>1</v>
      </c>
      <c r="AA5399" t="s">
        <v>26</v>
      </c>
      <c r="AB5399">
        <v>0</v>
      </c>
      <c r="AC5399" t="s">
        <v>115</v>
      </c>
      <c r="AD5399">
        <v>2</v>
      </c>
      <c r="AE5399" t="s">
        <v>115</v>
      </c>
      <c r="AF5399">
        <v>0</v>
      </c>
      <c r="AG5399">
        <v>0</v>
      </c>
      <c r="AH5399" t="s">
        <v>116</v>
      </c>
      <c r="AI5399" s="1">
        <v>81276</v>
      </c>
      <c r="AJ5399" s="2">
        <v>0.26</v>
      </c>
      <c r="AK5399" s="1">
        <v>313701</v>
      </c>
      <c r="AL5399" t="s">
        <v>117</v>
      </c>
      <c r="AM5399" t="s">
        <v>118</v>
      </c>
      <c r="AN5399">
        <v>7128</v>
      </c>
      <c r="AO5399">
        <v>0.16</v>
      </c>
      <c r="AR5399">
        <v>1</v>
      </c>
      <c r="AS5399" s="1">
        <v>23670</v>
      </c>
      <c r="AT5399" s="1">
        <v>4730</v>
      </c>
      <c r="AU5399" s="1">
        <v>18940</v>
      </c>
      <c r="AV5399">
        <v>80.02</v>
      </c>
      <c r="AX5399" s="1">
        <v>2297.42</v>
      </c>
      <c r="AY5399" t="s">
        <v>634</v>
      </c>
      <c r="AZ5399" t="s">
        <v>634</v>
      </c>
      <c r="BA5399" t="s">
        <v>635</v>
      </c>
      <c r="BE5399" s="3">
        <v>42004</v>
      </c>
      <c r="BF5399" s="1">
        <v>225000</v>
      </c>
      <c r="BG5399" t="s">
        <v>33298</v>
      </c>
      <c r="BH5399" s="1">
        <v>111.28</v>
      </c>
      <c r="BI5399" s="1">
        <v>232425</v>
      </c>
      <c r="BJ5399" s="3">
        <v>42004</v>
      </c>
      <c r="BK5399" t="s">
        <v>123</v>
      </c>
      <c r="BL5399" t="str">
        <f>"2014.860815"</f>
        <v>2014.860815</v>
      </c>
      <c r="BM5399" t="s">
        <v>724</v>
      </c>
      <c r="BO5399" t="s">
        <v>33299</v>
      </c>
      <c r="BS5399">
        <v>15</v>
      </c>
      <c r="BW5399" t="str">
        <f>""</f>
        <v/>
      </c>
      <c r="CH5399" t="str">
        <f>""</f>
        <v/>
      </c>
      <c r="CS5399" t="str">
        <f>""</f>
        <v/>
      </c>
    </row>
    <row r="5400" spans="1:97" x14ac:dyDescent="0.25">
      <c r="A5400" t="s">
        <v>4221</v>
      </c>
      <c r="B5400" t="s">
        <v>33300</v>
      </c>
      <c r="C5400" t="s">
        <v>179</v>
      </c>
      <c r="D5400" t="s">
        <v>33300</v>
      </c>
      <c r="E5400" t="s">
        <v>33301</v>
      </c>
      <c r="F5400" t="s">
        <v>108</v>
      </c>
      <c r="H5400" t="s">
        <v>33302</v>
      </c>
      <c r="I5400" t="s">
        <v>3150</v>
      </c>
      <c r="J5400" t="s">
        <v>111</v>
      </c>
      <c r="K5400" t="str">
        <f>"85340"</f>
        <v>85340</v>
      </c>
      <c r="L5400" t="s">
        <v>2197</v>
      </c>
      <c r="M5400" t="s">
        <v>33302</v>
      </c>
      <c r="N5400" t="s">
        <v>3150</v>
      </c>
      <c r="O5400" t="s">
        <v>111</v>
      </c>
      <c r="P5400" t="str">
        <f>"85340-8351"</f>
        <v>85340-8351</v>
      </c>
      <c r="R5400" t="str">
        <f>"508-08-304"</f>
        <v>508-08-304</v>
      </c>
      <c r="S5400" t="s">
        <v>6674</v>
      </c>
      <c r="U5400">
        <v>3477</v>
      </c>
      <c r="V5400">
        <v>0</v>
      </c>
      <c r="W5400">
        <v>4</v>
      </c>
      <c r="X5400">
        <v>2002</v>
      </c>
      <c r="Z5400">
        <v>2</v>
      </c>
      <c r="AB5400">
        <v>0</v>
      </c>
      <c r="AC5400" t="s">
        <v>115</v>
      </c>
      <c r="AD5400">
        <v>3</v>
      </c>
      <c r="AE5400" t="s">
        <v>115</v>
      </c>
      <c r="AF5400">
        <v>0</v>
      </c>
      <c r="AG5400">
        <v>0</v>
      </c>
      <c r="AH5400" t="s">
        <v>116</v>
      </c>
      <c r="AI5400" s="1">
        <v>64419</v>
      </c>
      <c r="AJ5400" s="2">
        <v>0.18</v>
      </c>
      <c r="AK5400" s="1">
        <v>362816</v>
      </c>
      <c r="AL5400" t="s">
        <v>117</v>
      </c>
      <c r="AM5400" t="str">
        <f>"R1-6"</f>
        <v>R1-6</v>
      </c>
      <c r="AN5400">
        <v>12193</v>
      </c>
      <c r="AO5400">
        <v>0.28000000000000003</v>
      </c>
      <c r="AP5400">
        <v>1</v>
      </c>
      <c r="AR5400">
        <v>1</v>
      </c>
      <c r="AS5400" s="1">
        <v>25530</v>
      </c>
      <c r="AT5400" s="1">
        <v>5100</v>
      </c>
      <c r="AU5400" s="1">
        <v>20430</v>
      </c>
      <c r="AV5400">
        <v>80.02</v>
      </c>
      <c r="AX5400" s="1">
        <v>2315.8000000000002</v>
      </c>
      <c r="AY5400" t="s">
        <v>6580</v>
      </c>
      <c r="AZ5400" t="s">
        <v>3153</v>
      </c>
      <c r="BA5400" t="s">
        <v>3154</v>
      </c>
      <c r="BE5400" s="3">
        <v>42395</v>
      </c>
      <c r="BF5400" s="1">
        <v>289900</v>
      </c>
      <c r="BG5400" t="s">
        <v>33303</v>
      </c>
      <c r="BH5400" s="1">
        <v>83.38</v>
      </c>
      <c r="BI5400" s="1">
        <v>298397</v>
      </c>
      <c r="BJ5400" s="3">
        <v>43013</v>
      </c>
      <c r="BK5400" t="s">
        <v>123</v>
      </c>
      <c r="BL5400" t="str">
        <f>"2017.738797"</f>
        <v>2017.738797</v>
      </c>
      <c r="BM5400" t="s">
        <v>13159</v>
      </c>
      <c r="BN5400">
        <v>43240</v>
      </c>
      <c r="BO5400" t="s">
        <v>33304</v>
      </c>
      <c r="BS5400">
        <v>30</v>
      </c>
      <c r="BW5400" t="str">
        <f>""</f>
        <v/>
      </c>
      <c r="CH5400" t="str">
        <f>""</f>
        <v/>
      </c>
      <c r="CS5400" t="str">
        <f>""</f>
        <v/>
      </c>
    </row>
    <row r="5401" spans="1:97" x14ac:dyDescent="0.25">
      <c r="A5401" t="s">
        <v>7602</v>
      </c>
      <c r="B5401" t="s">
        <v>33305</v>
      </c>
      <c r="C5401" t="s">
        <v>16153</v>
      </c>
      <c r="D5401" t="s">
        <v>33305</v>
      </c>
      <c r="E5401" t="s">
        <v>33306</v>
      </c>
      <c r="F5401" t="s">
        <v>108</v>
      </c>
      <c r="H5401" t="s">
        <v>33307</v>
      </c>
      <c r="I5401" t="s">
        <v>3150</v>
      </c>
      <c r="J5401" t="s">
        <v>111</v>
      </c>
      <c r="K5401" t="str">
        <f>"85340"</f>
        <v>85340</v>
      </c>
      <c r="L5401" t="s">
        <v>1789</v>
      </c>
      <c r="M5401" t="s">
        <v>33307</v>
      </c>
      <c r="N5401" t="s">
        <v>3150</v>
      </c>
      <c r="O5401" t="s">
        <v>111</v>
      </c>
      <c r="P5401" t="str">
        <f>"85340-5393"</f>
        <v>85340-5393</v>
      </c>
      <c r="Q5401" t="s">
        <v>113</v>
      </c>
      <c r="R5401" t="str">
        <f>"508-06-026"</f>
        <v>508-06-026</v>
      </c>
      <c r="S5401" t="s">
        <v>6579</v>
      </c>
      <c r="U5401">
        <v>2614</v>
      </c>
      <c r="V5401">
        <v>0</v>
      </c>
      <c r="W5401">
        <v>4</v>
      </c>
      <c r="X5401">
        <v>2002</v>
      </c>
      <c r="Z5401">
        <v>2</v>
      </c>
      <c r="AA5401" t="s">
        <v>26</v>
      </c>
      <c r="AB5401">
        <v>0</v>
      </c>
      <c r="AC5401" t="s">
        <v>115</v>
      </c>
      <c r="AD5401">
        <v>3</v>
      </c>
      <c r="AE5401" t="s">
        <v>115</v>
      </c>
      <c r="AF5401">
        <v>0</v>
      </c>
      <c r="AG5401">
        <v>0</v>
      </c>
      <c r="AH5401" t="s">
        <v>116</v>
      </c>
      <c r="AI5401" s="1">
        <v>56640</v>
      </c>
      <c r="AJ5401" s="2">
        <v>0.18</v>
      </c>
      <c r="AK5401" s="1">
        <v>320140</v>
      </c>
      <c r="AL5401" t="s">
        <v>117</v>
      </c>
      <c r="AM5401" t="s">
        <v>171</v>
      </c>
      <c r="AN5401">
        <v>8269</v>
      </c>
      <c r="AO5401">
        <v>0.19</v>
      </c>
      <c r="AP5401">
        <v>1</v>
      </c>
      <c r="AR5401">
        <v>1</v>
      </c>
      <c r="AS5401" s="1">
        <v>22920</v>
      </c>
      <c r="AT5401" s="1">
        <v>4580</v>
      </c>
      <c r="AU5401" s="1">
        <v>18340</v>
      </c>
      <c r="AV5401">
        <v>80.02</v>
      </c>
      <c r="AX5401" s="1">
        <v>2217.58</v>
      </c>
      <c r="AY5401" t="s">
        <v>6580</v>
      </c>
      <c r="AZ5401" t="s">
        <v>3153</v>
      </c>
      <c r="BA5401" t="s">
        <v>3154</v>
      </c>
      <c r="BE5401" s="3">
        <v>42431</v>
      </c>
      <c r="BF5401" s="1">
        <v>251000</v>
      </c>
      <c r="BG5401" t="s">
        <v>33308</v>
      </c>
      <c r="BH5401" s="1">
        <v>96.02</v>
      </c>
      <c r="BI5401" s="1">
        <v>263500</v>
      </c>
      <c r="BJ5401" s="3">
        <v>43546</v>
      </c>
      <c r="BK5401" t="s">
        <v>123</v>
      </c>
      <c r="BL5401" t="str">
        <f>"2019.199068"</f>
        <v>2019.199068</v>
      </c>
      <c r="BM5401" t="s">
        <v>3562</v>
      </c>
      <c r="BN5401" t="s">
        <v>3686</v>
      </c>
      <c r="BO5401" t="s">
        <v>33309</v>
      </c>
      <c r="BP5401" t="s">
        <v>33310</v>
      </c>
      <c r="BR5401" t="s">
        <v>139</v>
      </c>
      <c r="BW5401" t="str">
        <f>""</f>
        <v/>
      </c>
      <c r="CH5401" t="str">
        <f>""</f>
        <v/>
      </c>
      <c r="CS5401" t="str">
        <f>""</f>
        <v/>
      </c>
    </row>
    <row r="5402" spans="1:97" x14ac:dyDescent="0.25">
      <c r="A5402" t="s">
        <v>7562</v>
      </c>
      <c r="B5402" t="s">
        <v>1552</v>
      </c>
      <c r="C5402" t="s">
        <v>1995</v>
      </c>
      <c r="D5402" t="s">
        <v>1552</v>
      </c>
      <c r="E5402" t="s">
        <v>33311</v>
      </c>
      <c r="F5402" t="s">
        <v>108</v>
      </c>
      <c r="H5402" t="s">
        <v>33312</v>
      </c>
      <c r="I5402" t="s">
        <v>499</v>
      </c>
      <c r="J5402" t="s">
        <v>111</v>
      </c>
      <c r="K5402" t="str">
        <f>"85395"</f>
        <v>85395</v>
      </c>
      <c r="L5402" t="s">
        <v>7243</v>
      </c>
      <c r="M5402" t="s">
        <v>33312</v>
      </c>
      <c r="N5402" t="s">
        <v>499</v>
      </c>
      <c r="O5402" t="s">
        <v>111</v>
      </c>
      <c r="P5402" t="str">
        <f>"85395-8298"</f>
        <v>85395-8298</v>
      </c>
      <c r="Q5402" t="s">
        <v>113</v>
      </c>
      <c r="R5402" t="str">
        <f>"508-13-067"</f>
        <v>508-13-067</v>
      </c>
      <c r="S5402" t="s">
        <v>7244</v>
      </c>
      <c r="T5402" t="s">
        <v>7245</v>
      </c>
      <c r="U5402">
        <v>1953</v>
      </c>
      <c r="V5402">
        <v>0</v>
      </c>
      <c r="W5402">
        <v>3</v>
      </c>
      <c r="X5402">
        <v>2005</v>
      </c>
      <c r="Z5402">
        <v>2</v>
      </c>
      <c r="AB5402">
        <v>0</v>
      </c>
      <c r="AC5402" t="s">
        <v>115</v>
      </c>
      <c r="AD5402">
        <v>3</v>
      </c>
      <c r="AE5402" t="s">
        <v>115</v>
      </c>
      <c r="AF5402">
        <v>0</v>
      </c>
      <c r="AG5402">
        <v>0</v>
      </c>
      <c r="AH5402" t="s">
        <v>116</v>
      </c>
      <c r="AI5402" s="1">
        <v>25694</v>
      </c>
      <c r="AJ5402" s="2">
        <v>0.09</v>
      </c>
      <c r="AK5402" s="1">
        <v>281694</v>
      </c>
      <c r="AL5402" t="s">
        <v>117</v>
      </c>
      <c r="AM5402" t="s">
        <v>118</v>
      </c>
      <c r="AN5402">
        <v>7324</v>
      </c>
      <c r="AO5402">
        <v>0.17</v>
      </c>
      <c r="AR5402">
        <v>1</v>
      </c>
      <c r="AS5402" s="1">
        <v>19310</v>
      </c>
      <c r="AT5402" s="1">
        <v>3860</v>
      </c>
      <c r="AU5402" s="1">
        <v>15450</v>
      </c>
      <c r="AV5402">
        <v>80.010000000000005</v>
      </c>
      <c r="AX5402" s="1">
        <v>2045.08</v>
      </c>
      <c r="AY5402" t="s">
        <v>3020</v>
      </c>
      <c r="AZ5402" t="s">
        <v>3020</v>
      </c>
      <c r="BA5402" t="s">
        <v>3154</v>
      </c>
      <c r="BE5402" s="3">
        <v>42177</v>
      </c>
      <c r="BF5402" s="1">
        <v>219000</v>
      </c>
      <c r="BG5402" t="s">
        <v>33313</v>
      </c>
      <c r="BH5402" s="1">
        <v>112.14</v>
      </c>
      <c r="BI5402" s="1">
        <v>256000</v>
      </c>
      <c r="BJ5402" s="3">
        <v>43600</v>
      </c>
      <c r="BK5402" t="s">
        <v>123</v>
      </c>
      <c r="BL5402" t="str">
        <f>"2019.353626"</f>
        <v>2019.353626</v>
      </c>
      <c r="BM5402" t="s">
        <v>3562</v>
      </c>
      <c r="BN5402" t="s">
        <v>3686</v>
      </c>
      <c r="BO5402" t="s">
        <v>33314</v>
      </c>
      <c r="BP5402" t="s">
        <v>33315</v>
      </c>
      <c r="BR5402" t="s">
        <v>139</v>
      </c>
      <c r="BW5402" t="str">
        <f>""</f>
        <v/>
      </c>
      <c r="CH5402" t="str">
        <f>""</f>
        <v/>
      </c>
      <c r="CS5402" t="str">
        <f>""</f>
        <v/>
      </c>
    </row>
    <row r="5403" spans="1:97" x14ac:dyDescent="0.25">
      <c r="A5403" t="s">
        <v>27527</v>
      </c>
      <c r="B5403" t="s">
        <v>1920</v>
      </c>
      <c r="C5403" t="s">
        <v>1649</v>
      </c>
      <c r="D5403" t="s">
        <v>8100</v>
      </c>
      <c r="E5403" t="s">
        <v>33316</v>
      </c>
      <c r="F5403" t="s">
        <v>108</v>
      </c>
      <c r="H5403" t="s">
        <v>33317</v>
      </c>
      <c r="I5403" t="s">
        <v>5114</v>
      </c>
      <c r="J5403" t="s">
        <v>111</v>
      </c>
      <c r="K5403" t="str">
        <f>"85323"</f>
        <v>85323</v>
      </c>
      <c r="L5403" t="s">
        <v>688</v>
      </c>
      <c r="M5403" t="s">
        <v>33317</v>
      </c>
      <c r="N5403" t="s">
        <v>5114</v>
      </c>
      <c r="O5403" t="s">
        <v>111</v>
      </c>
      <c r="P5403" t="str">
        <f>"85323-7606"</f>
        <v>85323-7606</v>
      </c>
      <c r="Q5403" t="s">
        <v>113</v>
      </c>
      <c r="R5403" t="str">
        <f>"500-32-012"</f>
        <v>500-32-012</v>
      </c>
      <c r="S5403" t="s">
        <v>18476</v>
      </c>
      <c r="U5403">
        <v>2406</v>
      </c>
      <c r="V5403">
        <v>0</v>
      </c>
      <c r="W5403">
        <v>4</v>
      </c>
      <c r="X5403">
        <v>2014</v>
      </c>
      <c r="Z5403">
        <v>1</v>
      </c>
      <c r="AB5403">
        <v>0</v>
      </c>
      <c r="AC5403" t="s">
        <v>115</v>
      </c>
      <c r="AD5403">
        <v>3</v>
      </c>
      <c r="AE5403" t="s">
        <v>115</v>
      </c>
      <c r="AF5403">
        <v>0</v>
      </c>
      <c r="AG5403">
        <v>0</v>
      </c>
      <c r="AH5403" t="s">
        <v>116</v>
      </c>
      <c r="AI5403" s="1">
        <v>68475</v>
      </c>
      <c r="AJ5403" s="2">
        <v>0.23</v>
      </c>
      <c r="AK5403" s="1">
        <v>301106</v>
      </c>
      <c r="AL5403" t="s">
        <v>117</v>
      </c>
      <c r="AM5403" t="s">
        <v>118</v>
      </c>
      <c r="AN5403">
        <v>8757</v>
      </c>
      <c r="AO5403">
        <v>0.2</v>
      </c>
      <c r="AR5403">
        <v>1</v>
      </c>
      <c r="AS5403" s="1">
        <v>22130</v>
      </c>
      <c r="AT5403" s="1">
        <v>4420</v>
      </c>
      <c r="AU5403" s="1">
        <v>17710</v>
      </c>
      <c r="AV5403">
        <v>80.03</v>
      </c>
      <c r="AX5403" s="1">
        <v>2247.2600000000002</v>
      </c>
      <c r="AY5403" t="s">
        <v>5458</v>
      </c>
      <c r="AZ5403" t="s">
        <v>5458</v>
      </c>
      <c r="BA5403" t="s">
        <v>4254</v>
      </c>
      <c r="BB5403" s="3">
        <v>42201</v>
      </c>
      <c r="BD5403" t="s">
        <v>240</v>
      </c>
      <c r="BE5403" s="3">
        <v>41936</v>
      </c>
      <c r="BF5403" s="1">
        <v>225200</v>
      </c>
      <c r="BG5403" t="s">
        <v>158</v>
      </c>
      <c r="BH5403" s="1">
        <v>93.6</v>
      </c>
      <c r="BI5403" s="1">
        <v>232631</v>
      </c>
      <c r="BJ5403" s="3">
        <v>41936</v>
      </c>
      <c r="BK5403" t="s">
        <v>123</v>
      </c>
      <c r="BL5403" t="str">
        <f>"2014.706063"</f>
        <v>2014.706063</v>
      </c>
      <c r="BM5403" t="s">
        <v>241</v>
      </c>
      <c r="BO5403" t="s">
        <v>33318</v>
      </c>
      <c r="BS5403">
        <v>30</v>
      </c>
      <c r="BW5403" t="str">
        <f>""</f>
        <v/>
      </c>
      <c r="CH5403" t="str">
        <f>""</f>
        <v/>
      </c>
      <c r="CS5403" t="str">
        <f>""</f>
        <v/>
      </c>
    </row>
    <row r="5404" spans="1:97" x14ac:dyDescent="0.25">
      <c r="A5404" t="s">
        <v>711</v>
      </c>
      <c r="B5404" t="s">
        <v>33319</v>
      </c>
      <c r="C5404" t="s">
        <v>1888</v>
      </c>
      <c r="D5404" t="s">
        <v>33319</v>
      </c>
      <c r="E5404" t="s">
        <v>33320</v>
      </c>
      <c r="F5404" t="s">
        <v>108</v>
      </c>
      <c r="H5404" t="s">
        <v>33321</v>
      </c>
      <c r="I5404" t="s">
        <v>5523</v>
      </c>
      <c r="J5404" t="s">
        <v>111</v>
      </c>
      <c r="K5404" t="str">
        <f>"85351"</f>
        <v>85351</v>
      </c>
      <c r="L5404" t="s">
        <v>6631</v>
      </c>
      <c r="M5404" t="s">
        <v>33321</v>
      </c>
      <c r="N5404" t="s">
        <v>5523</v>
      </c>
      <c r="O5404" t="s">
        <v>111</v>
      </c>
      <c r="P5404" t="str">
        <f>"85351-1840"</f>
        <v>85351-1840</v>
      </c>
      <c r="Q5404" t="s">
        <v>113</v>
      </c>
      <c r="R5404" t="str">
        <f>"200-92-338"</f>
        <v>200-92-338</v>
      </c>
      <c r="S5404" t="s">
        <v>18588</v>
      </c>
      <c r="U5404">
        <v>1949</v>
      </c>
      <c r="V5404">
        <v>0</v>
      </c>
      <c r="W5404">
        <v>2</v>
      </c>
      <c r="X5404">
        <v>1971</v>
      </c>
      <c r="Z5404">
        <v>1</v>
      </c>
      <c r="AB5404">
        <v>0</v>
      </c>
      <c r="AC5404" t="s">
        <v>115</v>
      </c>
      <c r="AD5404">
        <v>2</v>
      </c>
      <c r="AE5404" t="s">
        <v>115</v>
      </c>
      <c r="AF5404">
        <v>0</v>
      </c>
      <c r="AG5404">
        <v>0</v>
      </c>
      <c r="AH5404" t="s">
        <v>116</v>
      </c>
      <c r="AI5404" s="1">
        <v>34875</v>
      </c>
      <c r="AJ5404" s="2">
        <v>0.14000000000000001</v>
      </c>
      <c r="AK5404" s="1">
        <v>249764</v>
      </c>
      <c r="AL5404" t="s">
        <v>117</v>
      </c>
      <c r="AM5404" t="s">
        <v>191</v>
      </c>
      <c r="AN5404">
        <v>11981</v>
      </c>
      <c r="AO5404">
        <v>0.28000000000000003</v>
      </c>
      <c r="AP5404">
        <v>1</v>
      </c>
      <c r="AR5404">
        <v>1</v>
      </c>
      <c r="AS5404" s="1">
        <v>16400</v>
      </c>
      <c r="AT5404" s="1">
        <v>3280</v>
      </c>
      <c r="AU5404" s="1">
        <v>13120</v>
      </c>
      <c r="AV5404">
        <v>80</v>
      </c>
      <c r="AX5404" s="1">
        <v>1182.4000000000001</v>
      </c>
      <c r="AY5404" t="s">
        <v>5573</v>
      </c>
      <c r="AZ5404" t="s">
        <v>5573</v>
      </c>
      <c r="BA5404" t="s">
        <v>3360</v>
      </c>
      <c r="BE5404" s="3">
        <v>42499</v>
      </c>
      <c r="BF5404" s="1">
        <v>168000</v>
      </c>
      <c r="BG5404" t="s">
        <v>33322</v>
      </c>
      <c r="BH5404" s="1">
        <v>86.2</v>
      </c>
      <c r="BI5404" s="1">
        <v>214889</v>
      </c>
      <c r="BJ5404" s="3">
        <v>43347</v>
      </c>
      <c r="BK5404" t="s">
        <v>123</v>
      </c>
      <c r="BL5404" t="str">
        <f>"2018.665753"</f>
        <v>2018.665753</v>
      </c>
      <c r="BM5404" t="s">
        <v>1809</v>
      </c>
      <c r="BN5404" t="s">
        <v>1810</v>
      </c>
      <c r="BO5404" t="s">
        <v>33323</v>
      </c>
      <c r="BP5404" t="s">
        <v>33324</v>
      </c>
      <c r="BR5404" t="s">
        <v>139</v>
      </c>
      <c r="BW5404" t="str">
        <f>""</f>
        <v/>
      </c>
      <c r="CH5404" t="str">
        <f>""</f>
        <v/>
      </c>
      <c r="CS5404" t="str">
        <f>""</f>
        <v/>
      </c>
    </row>
    <row r="5405" spans="1:97" x14ac:dyDescent="0.25">
      <c r="A5405" t="s">
        <v>1272</v>
      </c>
      <c r="B5405" t="s">
        <v>33325</v>
      </c>
      <c r="E5405" t="s">
        <v>33326</v>
      </c>
      <c r="F5405" t="s">
        <v>108</v>
      </c>
      <c r="H5405" t="s">
        <v>33327</v>
      </c>
      <c r="I5405" t="s">
        <v>1788</v>
      </c>
      <c r="J5405" t="s">
        <v>111</v>
      </c>
      <c r="K5405" t="str">
        <f>"85355"</f>
        <v>85355</v>
      </c>
      <c r="L5405" t="s">
        <v>2197</v>
      </c>
      <c r="M5405" t="s">
        <v>33327</v>
      </c>
      <c r="N5405" t="s">
        <v>1788</v>
      </c>
      <c r="O5405" t="s">
        <v>111</v>
      </c>
      <c r="P5405" t="str">
        <f>"85355-4102"</f>
        <v>85355-4102</v>
      </c>
      <c r="Q5405" t="s">
        <v>113</v>
      </c>
      <c r="R5405" t="str">
        <f>"502-91-679"</f>
        <v>502-91-679</v>
      </c>
      <c r="S5405" t="s">
        <v>8290</v>
      </c>
      <c r="U5405">
        <v>3115</v>
      </c>
      <c r="V5405">
        <v>0</v>
      </c>
      <c r="W5405">
        <v>4</v>
      </c>
      <c r="X5405">
        <v>2006</v>
      </c>
      <c r="Z5405">
        <v>2</v>
      </c>
      <c r="AA5405" t="s">
        <v>26</v>
      </c>
      <c r="AB5405">
        <v>0</v>
      </c>
      <c r="AC5405" t="s">
        <v>115</v>
      </c>
      <c r="AD5405">
        <v>3</v>
      </c>
      <c r="AE5405" t="s">
        <v>115</v>
      </c>
      <c r="AF5405">
        <v>0</v>
      </c>
      <c r="AG5405">
        <v>0</v>
      </c>
      <c r="AH5405" t="s">
        <v>116</v>
      </c>
      <c r="AI5405" s="1">
        <v>131616</v>
      </c>
      <c r="AJ5405" s="2">
        <v>0.39</v>
      </c>
      <c r="AK5405" s="1">
        <v>341516</v>
      </c>
      <c r="AL5405" t="s">
        <v>117</v>
      </c>
      <c r="AM5405" t="s">
        <v>191</v>
      </c>
      <c r="AN5405">
        <v>6960</v>
      </c>
      <c r="AO5405">
        <v>0.16</v>
      </c>
      <c r="AR5405">
        <v>1</v>
      </c>
      <c r="AS5405" s="1">
        <v>25220</v>
      </c>
      <c r="AT5405" s="1">
        <v>5040</v>
      </c>
      <c r="AU5405" s="1">
        <v>20180</v>
      </c>
      <c r="AV5405">
        <v>80.02</v>
      </c>
      <c r="AX5405" s="1">
        <v>1850.22</v>
      </c>
      <c r="AY5405" t="s">
        <v>5972</v>
      </c>
      <c r="AZ5405" t="s">
        <v>5972</v>
      </c>
      <c r="BA5405" t="s">
        <v>5061</v>
      </c>
      <c r="BE5405" s="3">
        <v>42167</v>
      </c>
      <c r="BF5405" s="1">
        <v>279900</v>
      </c>
      <c r="BG5405" t="s">
        <v>33328</v>
      </c>
      <c r="BH5405" s="1">
        <v>89.86</v>
      </c>
      <c r="BI5405" s="1">
        <v>209900</v>
      </c>
      <c r="BJ5405" s="3">
        <v>42167</v>
      </c>
      <c r="BK5405" t="s">
        <v>123</v>
      </c>
      <c r="BL5405" t="str">
        <f>"2015.420171"</f>
        <v>2015.420171</v>
      </c>
      <c r="BM5405" t="s">
        <v>135</v>
      </c>
      <c r="BO5405" t="s">
        <v>33329</v>
      </c>
      <c r="BS5405">
        <v>30</v>
      </c>
      <c r="BW5405" t="str">
        <f>""</f>
        <v/>
      </c>
      <c r="CH5405" t="str">
        <f>""</f>
        <v/>
      </c>
      <c r="CS5405" t="str">
        <f>""</f>
        <v/>
      </c>
    </row>
    <row r="5406" spans="1:97" x14ac:dyDescent="0.25">
      <c r="A5406" t="s">
        <v>2915</v>
      </c>
      <c r="B5406" t="s">
        <v>27485</v>
      </c>
      <c r="E5406" t="s">
        <v>33330</v>
      </c>
      <c r="F5406" t="s">
        <v>108</v>
      </c>
      <c r="H5406" t="s">
        <v>33331</v>
      </c>
      <c r="I5406" t="s">
        <v>390</v>
      </c>
      <c r="J5406" t="s">
        <v>111</v>
      </c>
      <c r="K5406" t="str">
        <f>"85032"</f>
        <v>85032</v>
      </c>
      <c r="L5406" t="s">
        <v>5709</v>
      </c>
      <c r="M5406" t="s">
        <v>33331</v>
      </c>
      <c r="N5406" t="s">
        <v>390</v>
      </c>
      <c r="O5406" t="s">
        <v>111</v>
      </c>
      <c r="P5406" t="str">
        <f>"85032-6907"</f>
        <v>85032-6907</v>
      </c>
      <c r="Q5406" t="s">
        <v>113</v>
      </c>
      <c r="R5406" t="str">
        <f>"166-54-733"</f>
        <v>166-54-733</v>
      </c>
      <c r="S5406" t="s">
        <v>33332</v>
      </c>
      <c r="T5406" t="s">
        <v>33333</v>
      </c>
      <c r="U5406">
        <v>1544</v>
      </c>
      <c r="V5406">
        <v>0</v>
      </c>
      <c r="W5406">
        <v>2</v>
      </c>
      <c r="X5406">
        <v>1972</v>
      </c>
      <c r="Z5406">
        <v>1</v>
      </c>
      <c r="AB5406">
        <v>0</v>
      </c>
      <c r="AC5406" t="s">
        <v>115</v>
      </c>
      <c r="AD5406">
        <v>2</v>
      </c>
      <c r="AE5406" t="s">
        <v>115</v>
      </c>
      <c r="AF5406">
        <v>0</v>
      </c>
      <c r="AG5406">
        <v>0</v>
      </c>
      <c r="AH5406" t="s">
        <v>116</v>
      </c>
      <c r="AI5406" s="1">
        <v>72212</v>
      </c>
      <c r="AJ5406" s="2">
        <v>0.25</v>
      </c>
      <c r="AK5406" s="1">
        <v>288712</v>
      </c>
      <c r="AL5406" t="s">
        <v>117</v>
      </c>
      <c r="AM5406" t="s">
        <v>191</v>
      </c>
      <c r="AN5406">
        <v>6890</v>
      </c>
      <c r="AO5406">
        <v>0.16</v>
      </c>
      <c r="AP5406">
        <v>1</v>
      </c>
      <c r="AR5406">
        <v>1</v>
      </c>
      <c r="AS5406" s="1">
        <v>19250</v>
      </c>
      <c r="AT5406" s="1">
        <v>3850</v>
      </c>
      <c r="AU5406" s="1">
        <v>15400</v>
      </c>
      <c r="AV5406">
        <v>80</v>
      </c>
      <c r="AX5406" s="1">
        <v>1451.74</v>
      </c>
      <c r="AY5406" t="s">
        <v>6904</v>
      </c>
      <c r="AZ5406" t="s">
        <v>5489</v>
      </c>
      <c r="BA5406" t="s">
        <v>5232</v>
      </c>
      <c r="BE5406" s="3">
        <v>42195</v>
      </c>
      <c r="BF5406" s="1">
        <v>216500</v>
      </c>
      <c r="BG5406" t="s">
        <v>33334</v>
      </c>
      <c r="BH5406" s="1">
        <v>178.19</v>
      </c>
      <c r="BI5406" s="1">
        <v>216500</v>
      </c>
      <c r="BJ5406" s="3">
        <v>42195</v>
      </c>
      <c r="BK5406" t="s">
        <v>123</v>
      </c>
      <c r="BL5406" t="str">
        <f>"2015.496129"</f>
        <v>2015.496129</v>
      </c>
      <c r="BM5406" t="s">
        <v>124</v>
      </c>
      <c r="BO5406" t="s">
        <v>33335</v>
      </c>
      <c r="BS5406">
        <v>30</v>
      </c>
      <c r="BW5406" t="str">
        <f>""</f>
        <v/>
      </c>
      <c r="CH5406" t="str">
        <f>""</f>
        <v/>
      </c>
      <c r="CS5406" t="str">
        <f>""</f>
        <v/>
      </c>
    </row>
    <row r="5407" spans="1:97" x14ac:dyDescent="0.25">
      <c r="A5407" t="s">
        <v>163</v>
      </c>
      <c r="B5407" t="s">
        <v>1496</v>
      </c>
      <c r="C5407" t="s">
        <v>1995</v>
      </c>
      <c r="D5407" t="s">
        <v>1496</v>
      </c>
      <c r="E5407" t="s">
        <v>33336</v>
      </c>
      <c r="F5407" t="s">
        <v>108</v>
      </c>
      <c r="H5407" t="s">
        <v>33337</v>
      </c>
      <c r="I5407" t="s">
        <v>390</v>
      </c>
      <c r="J5407" t="s">
        <v>111</v>
      </c>
      <c r="K5407" t="str">
        <f>"85032"</f>
        <v>85032</v>
      </c>
      <c r="L5407" t="s">
        <v>5709</v>
      </c>
      <c r="M5407" t="s">
        <v>33337</v>
      </c>
      <c r="N5407" t="s">
        <v>390</v>
      </c>
      <c r="O5407" t="s">
        <v>111</v>
      </c>
      <c r="P5407" t="str">
        <f>"85032-5908"</f>
        <v>85032-5908</v>
      </c>
      <c r="Q5407" t="s">
        <v>113</v>
      </c>
      <c r="R5407" t="str">
        <f>"166-04-041"</f>
        <v>166-04-041</v>
      </c>
      <c r="S5407" t="s">
        <v>6965</v>
      </c>
      <c r="T5407" t="s">
        <v>6966</v>
      </c>
      <c r="U5407">
        <v>1756</v>
      </c>
      <c r="V5407">
        <v>0</v>
      </c>
      <c r="W5407">
        <v>2</v>
      </c>
      <c r="X5407">
        <v>1974</v>
      </c>
      <c r="Z5407">
        <v>1</v>
      </c>
      <c r="AA5407" t="s">
        <v>26</v>
      </c>
      <c r="AB5407">
        <v>0</v>
      </c>
      <c r="AC5407" t="s">
        <v>115</v>
      </c>
      <c r="AD5407">
        <v>2</v>
      </c>
      <c r="AE5407" t="s">
        <v>115</v>
      </c>
      <c r="AF5407">
        <v>0</v>
      </c>
      <c r="AG5407">
        <v>0</v>
      </c>
      <c r="AH5407" t="s">
        <v>116</v>
      </c>
      <c r="AI5407" s="1">
        <v>90218</v>
      </c>
      <c r="AJ5407" s="2">
        <v>0.28000000000000003</v>
      </c>
      <c r="AK5407" s="1">
        <v>324141</v>
      </c>
      <c r="AL5407" t="s">
        <v>117</v>
      </c>
      <c r="AM5407" t="s">
        <v>171</v>
      </c>
      <c r="AN5407">
        <v>8333</v>
      </c>
      <c r="AO5407">
        <v>0.19</v>
      </c>
      <c r="AP5407">
        <v>1</v>
      </c>
      <c r="AR5407">
        <v>1</v>
      </c>
      <c r="AS5407" s="1">
        <v>23020</v>
      </c>
      <c r="AT5407" s="1">
        <v>4600</v>
      </c>
      <c r="AU5407" s="1">
        <v>18420</v>
      </c>
      <c r="AV5407">
        <v>80.02</v>
      </c>
      <c r="AX5407" s="1">
        <v>1774.56</v>
      </c>
      <c r="AY5407" t="s">
        <v>6904</v>
      </c>
      <c r="AZ5407" t="s">
        <v>5489</v>
      </c>
      <c r="BA5407" t="s">
        <v>5232</v>
      </c>
      <c r="BE5407" s="3">
        <v>42487</v>
      </c>
      <c r="BF5407" s="1">
        <v>229000</v>
      </c>
      <c r="BG5407" t="s">
        <v>33338</v>
      </c>
      <c r="BH5407" s="1">
        <v>136.22999999999999</v>
      </c>
      <c r="BI5407" s="1">
        <v>233923</v>
      </c>
      <c r="BJ5407" s="3">
        <v>42487</v>
      </c>
      <c r="BK5407" t="s">
        <v>123</v>
      </c>
      <c r="BL5407" t="str">
        <f>"2016.281952"</f>
        <v>2016.281952</v>
      </c>
      <c r="BM5407" t="s">
        <v>724</v>
      </c>
      <c r="BO5407" t="s">
        <v>33339</v>
      </c>
      <c r="BS5407">
        <v>30</v>
      </c>
      <c r="BW5407" t="str">
        <f>""</f>
        <v/>
      </c>
      <c r="CH5407" t="str">
        <f>""</f>
        <v/>
      </c>
      <c r="CS5407" t="str">
        <f>""</f>
        <v/>
      </c>
    </row>
    <row r="5408" spans="1:97" x14ac:dyDescent="0.25">
      <c r="A5408" t="s">
        <v>370</v>
      </c>
      <c r="B5408" t="s">
        <v>33340</v>
      </c>
      <c r="C5408" t="s">
        <v>33341</v>
      </c>
      <c r="D5408" t="s">
        <v>33340</v>
      </c>
      <c r="E5408" t="s">
        <v>33342</v>
      </c>
      <c r="F5408" t="s">
        <v>108</v>
      </c>
      <c r="H5408" t="s">
        <v>33343</v>
      </c>
      <c r="I5408" t="s">
        <v>225</v>
      </c>
      <c r="J5408" t="s">
        <v>111</v>
      </c>
      <c r="K5408" t="str">
        <f>"85212"</f>
        <v>85212</v>
      </c>
      <c r="L5408" t="s">
        <v>4035</v>
      </c>
      <c r="M5408" t="s">
        <v>33343</v>
      </c>
      <c r="N5408" t="s">
        <v>225</v>
      </c>
      <c r="O5408" t="s">
        <v>111</v>
      </c>
      <c r="P5408" t="str">
        <f>"85212-1490"</f>
        <v>85212-1490</v>
      </c>
      <c r="Q5408" t="s">
        <v>113</v>
      </c>
      <c r="R5408" t="str">
        <f>"304-02-283"</f>
        <v>304-02-283</v>
      </c>
      <c r="S5408" t="s">
        <v>7300</v>
      </c>
      <c r="T5408" t="s">
        <v>7301</v>
      </c>
      <c r="U5408">
        <v>1401</v>
      </c>
      <c r="V5408">
        <v>0</v>
      </c>
      <c r="W5408">
        <v>3</v>
      </c>
      <c r="X5408">
        <v>1999</v>
      </c>
      <c r="Z5408">
        <v>1</v>
      </c>
      <c r="AA5408" t="s">
        <v>26</v>
      </c>
      <c r="AB5408">
        <v>0</v>
      </c>
      <c r="AC5408" t="s">
        <v>115</v>
      </c>
      <c r="AD5408">
        <v>2</v>
      </c>
      <c r="AE5408" t="s">
        <v>115</v>
      </c>
      <c r="AF5408">
        <v>0</v>
      </c>
      <c r="AG5408">
        <v>0</v>
      </c>
      <c r="AH5408" t="s">
        <v>116</v>
      </c>
      <c r="AI5408" s="1">
        <v>70240</v>
      </c>
      <c r="AJ5408" s="2">
        <v>0.26</v>
      </c>
      <c r="AK5408" s="1">
        <v>271240</v>
      </c>
      <c r="AL5408" t="s">
        <v>117</v>
      </c>
      <c r="AM5408" t="s">
        <v>191</v>
      </c>
      <c r="AN5408">
        <v>6037</v>
      </c>
      <c r="AO5408">
        <v>0.14000000000000001</v>
      </c>
      <c r="AP5408">
        <v>1</v>
      </c>
      <c r="AR5408">
        <v>1</v>
      </c>
      <c r="AS5408" s="1">
        <v>18470</v>
      </c>
      <c r="AT5408" s="1">
        <v>3690</v>
      </c>
      <c r="AU5408" s="1">
        <v>14780</v>
      </c>
      <c r="AV5408">
        <v>80.02</v>
      </c>
      <c r="AX5408" s="1">
        <v>1223.06</v>
      </c>
      <c r="AY5408" t="s">
        <v>7302</v>
      </c>
      <c r="AZ5408" t="s">
        <v>777</v>
      </c>
      <c r="BA5408" t="s">
        <v>572</v>
      </c>
      <c r="BB5408" s="3">
        <v>42026</v>
      </c>
      <c r="BD5408" t="s">
        <v>240</v>
      </c>
      <c r="BE5408" s="3">
        <v>42016</v>
      </c>
      <c r="BF5408" s="1">
        <v>198500</v>
      </c>
      <c r="BG5408" t="s">
        <v>33344</v>
      </c>
      <c r="BH5408" s="1">
        <v>141.68</v>
      </c>
      <c r="BI5408" s="1">
        <v>201000</v>
      </c>
      <c r="BJ5408" s="3">
        <v>42755</v>
      </c>
      <c r="BK5408" t="s">
        <v>123</v>
      </c>
      <c r="BL5408" t="str">
        <f>"2017.47567"</f>
        <v>2017.47567</v>
      </c>
      <c r="BM5408" t="s">
        <v>425</v>
      </c>
      <c r="BO5408" t="s">
        <v>33345</v>
      </c>
      <c r="BS5408">
        <v>30</v>
      </c>
      <c r="BW5408" t="str">
        <f>""</f>
        <v/>
      </c>
      <c r="CH5408" t="str">
        <f>""</f>
        <v/>
      </c>
      <c r="CS5408" t="str">
        <f>""</f>
        <v/>
      </c>
    </row>
    <row r="5409" spans="1:97" x14ac:dyDescent="0.25">
      <c r="A5409" t="s">
        <v>1768</v>
      </c>
      <c r="B5409" t="s">
        <v>33346</v>
      </c>
      <c r="C5409" t="s">
        <v>2620</v>
      </c>
      <c r="D5409" t="s">
        <v>33346</v>
      </c>
      <c r="E5409" t="s">
        <v>33347</v>
      </c>
      <c r="F5409" t="s">
        <v>108</v>
      </c>
      <c r="H5409" t="s">
        <v>33348</v>
      </c>
      <c r="I5409" t="s">
        <v>499</v>
      </c>
      <c r="J5409" t="s">
        <v>111</v>
      </c>
      <c r="K5409" t="str">
        <f>"85338"</f>
        <v>85338</v>
      </c>
      <c r="L5409" t="s">
        <v>6481</v>
      </c>
      <c r="M5409" t="s">
        <v>33348</v>
      </c>
      <c r="N5409" t="s">
        <v>499</v>
      </c>
      <c r="O5409" t="s">
        <v>111</v>
      </c>
      <c r="P5409" t="str">
        <f>"85338-2553"</f>
        <v>85338-2553</v>
      </c>
      <c r="Q5409" t="s">
        <v>113</v>
      </c>
      <c r="R5409" t="str">
        <f>"500-93-073"</f>
        <v>500-93-073</v>
      </c>
      <c r="S5409" t="s">
        <v>23455</v>
      </c>
      <c r="T5409" t="s">
        <v>23455</v>
      </c>
      <c r="U5409">
        <v>2098</v>
      </c>
      <c r="V5409">
        <v>0</v>
      </c>
      <c r="W5409">
        <v>3</v>
      </c>
      <c r="X5409">
        <v>2015</v>
      </c>
      <c r="Z5409">
        <v>1</v>
      </c>
      <c r="AB5409">
        <v>0</v>
      </c>
      <c r="AC5409" t="s">
        <v>115</v>
      </c>
      <c r="AD5409">
        <v>2</v>
      </c>
      <c r="AE5409" t="s">
        <v>115</v>
      </c>
      <c r="AF5409">
        <v>0</v>
      </c>
      <c r="AG5409">
        <v>0</v>
      </c>
      <c r="AH5409" t="s">
        <v>116</v>
      </c>
      <c r="AI5409" s="1">
        <v>-967</v>
      </c>
      <c r="AJ5409" s="2">
        <v>0</v>
      </c>
      <c r="AK5409" s="1">
        <v>305033</v>
      </c>
      <c r="AL5409" t="s">
        <v>117</v>
      </c>
      <c r="AM5409" t="s">
        <v>393</v>
      </c>
      <c r="AN5409">
        <v>8050</v>
      </c>
      <c r="AO5409">
        <v>0.18</v>
      </c>
      <c r="AR5409">
        <v>1</v>
      </c>
      <c r="AS5409" s="1">
        <v>21780</v>
      </c>
      <c r="AT5409" s="1">
        <v>4350</v>
      </c>
      <c r="AU5409" s="1">
        <v>17430</v>
      </c>
      <c r="AV5409">
        <v>80.03</v>
      </c>
      <c r="AX5409" s="1">
        <v>1817.24</v>
      </c>
      <c r="AY5409" t="s">
        <v>6319</v>
      </c>
      <c r="AZ5409" t="s">
        <v>6319</v>
      </c>
      <c r="BA5409" t="s">
        <v>7186</v>
      </c>
      <c r="BE5409" s="3">
        <v>42153</v>
      </c>
      <c r="BF5409" s="1">
        <v>248323</v>
      </c>
      <c r="BG5409" t="s">
        <v>2289</v>
      </c>
      <c r="BH5409" s="1">
        <v>118.36</v>
      </c>
      <c r="BI5409" s="1">
        <v>306000</v>
      </c>
      <c r="BJ5409" s="3">
        <v>43595</v>
      </c>
      <c r="BK5409" t="s">
        <v>123</v>
      </c>
      <c r="BL5409" t="str">
        <f>"2019.339643"</f>
        <v>2019.339643</v>
      </c>
      <c r="BM5409" t="s">
        <v>33349</v>
      </c>
      <c r="BN5409" t="s">
        <v>4620</v>
      </c>
      <c r="BO5409" t="s">
        <v>33350</v>
      </c>
      <c r="BP5409" t="s">
        <v>33351</v>
      </c>
      <c r="BR5409" t="s">
        <v>139</v>
      </c>
      <c r="BW5409" t="str">
        <f>""</f>
        <v/>
      </c>
      <c r="CH5409" t="str">
        <f>""</f>
        <v/>
      </c>
      <c r="CS5409" t="str">
        <f>""</f>
        <v/>
      </c>
    </row>
    <row r="5410" spans="1:97" x14ac:dyDescent="0.25">
      <c r="A5410" t="s">
        <v>11721</v>
      </c>
      <c r="B5410" t="s">
        <v>33352</v>
      </c>
      <c r="C5410" t="s">
        <v>305</v>
      </c>
      <c r="D5410" t="s">
        <v>15875</v>
      </c>
      <c r="E5410" t="s">
        <v>33353</v>
      </c>
      <c r="F5410" t="s">
        <v>108</v>
      </c>
      <c r="H5410" t="s">
        <v>33354</v>
      </c>
      <c r="I5410" t="s">
        <v>144</v>
      </c>
      <c r="J5410" t="s">
        <v>111</v>
      </c>
      <c r="K5410" t="str">
        <f>"85396"</f>
        <v>85396</v>
      </c>
      <c r="L5410" t="s">
        <v>1244</v>
      </c>
      <c r="M5410" t="s">
        <v>33354</v>
      </c>
      <c r="N5410" t="s">
        <v>144</v>
      </c>
      <c r="O5410" t="s">
        <v>111</v>
      </c>
      <c r="P5410" t="str">
        <f>"85396-8374"</f>
        <v>85396-8374</v>
      </c>
      <c r="Q5410" t="s">
        <v>113</v>
      </c>
      <c r="R5410" t="str">
        <f>"502-81-296"</f>
        <v>502-81-296</v>
      </c>
      <c r="S5410" t="s">
        <v>33355</v>
      </c>
      <c r="U5410">
        <v>2861</v>
      </c>
      <c r="V5410">
        <v>0</v>
      </c>
      <c r="W5410">
        <v>4</v>
      </c>
      <c r="X5410">
        <v>2011</v>
      </c>
      <c r="Z5410">
        <v>1</v>
      </c>
      <c r="AB5410">
        <v>0</v>
      </c>
      <c r="AC5410" t="s">
        <v>115</v>
      </c>
      <c r="AD5410">
        <v>3</v>
      </c>
      <c r="AE5410" t="s">
        <v>115</v>
      </c>
      <c r="AF5410">
        <v>0</v>
      </c>
      <c r="AG5410">
        <v>0</v>
      </c>
      <c r="AH5410" t="s">
        <v>116</v>
      </c>
      <c r="AI5410" s="1">
        <v>67712</v>
      </c>
      <c r="AJ5410" s="2">
        <v>0.17</v>
      </c>
      <c r="AK5410" s="1">
        <v>387712</v>
      </c>
      <c r="AL5410" t="s">
        <v>117</v>
      </c>
      <c r="AM5410" t="s">
        <v>118</v>
      </c>
      <c r="AN5410">
        <v>9165</v>
      </c>
      <c r="AO5410">
        <v>0.21</v>
      </c>
      <c r="AR5410">
        <v>1</v>
      </c>
      <c r="AS5410" s="1">
        <v>27080</v>
      </c>
      <c r="AT5410" s="1">
        <v>5410</v>
      </c>
      <c r="AU5410" s="1">
        <v>21670</v>
      </c>
      <c r="AV5410">
        <v>80.02</v>
      </c>
      <c r="AX5410" s="1">
        <v>3890.84</v>
      </c>
      <c r="AY5410" t="s">
        <v>217</v>
      </c>
      <c r="AZ5410" t="s">
        <v>217</v>
      </c>
      <c r="BA5410" t="s">
        <v>218</v>
      </c>
      <c r="BE5410" s="3">
        <v>42132</v>
      </c>
      <c r="BF5410" s="1">
        <v>320000</v>
      </c>
      <c r="BG5410" t="s">
        <v>33356</v>
      </c>
      <c r="BH5410" s="1">
        <v>111.85</v>
      </c>
      <c r="BI5410" s="1">
        <v>320000</v>
      </c>
      <c r="BJ5410" s="3">
        <v>42132</v>
      </c>
      <c r="BK5410" t="s">
        <v>123</v>
      </c>
      <c r="BL5410" t="str">
        <f>"2015.326493"</f>
        <v>2015.326493</v>
      </c>
      <c r="BM5410" t="s">
        <v>544</v>
      </c>
      <c r="BO5410" t="s">
        <v>33357</v>
      </c>
      <c r="BP5410" t="s">
        <v>33358</v>
      </c>
      <c r="BS5410">
        <v>15</v>
      </c>
      <c r="BW5410" t="str">
        <f>""</f>
        <v/>
      </c>
      <c r="CH5410" t="str">
        <f>""</f>
        <v/>
      </c>
      <c r="CS5410" t="str">
        <f>""</f>
        <v/>
      </c>
    </row>
    <row r="5411" spans="1:97" x14ac:dyDescent="0.25">
      <c r="A5411" t="s">
        <v>18794</v>
      </c>
      <c r="B5411" t="s">
        <v>1667</v>
      </c>
      <c r="E5411" t="s">
        <v>33359</v>
      </c>
      <c r="F5411" t="s">
        <v>108</v>
      </c>
      <c r="H5411" t="s">
        <v>33360</v>
      </c>
      <c r="I5411" t="s">
        <v>144</v>
      </c>
      <c r="J5411" t="s">
        <v>111</v>
      </c>
      <c r="K5411" t="str">
        <f>"85326"</f>
        <v>85326</v>
      </c>
      <c r="L5411" t="s">
        <v>18364</v>
      </c>
      <c r="M5411" t="s">
        <v>33360</v>
      </c>
      <c r="N5411" t="s">
        <v>144</v>
      </c>
      <c r="O5411" t="s">
        <v>111</v>
      </c>
      <c r="P5411" t="str">
        <f>"85326-5834"</f>
        <v>85326-5834</v>
      </c>
      <c r="Q5411" t="s">
        <v>113</v>
      </c>
      <c r="R5411" t="str">
        <f>"502-36-138"</f>
        <v>502-36-138</v>
      </c>
      <c r="S5411" t="s">
        <v>18365</v>
      </c>
      <c r="T5411" t="s">
        <v>18366</v>
      </c>
      <c r="U5411">
        <v>3661</v>
      </c>
      <c r="V5411">
        <v>0</v>
      </c>
      <c r="W5411">
        <v>4</v>
      </c>
      <c r="X5411">
        <v>2009</v>
      </c>
      <c r="Z5411">
        <v>2</v>
      </c>
      <c r="AA5411" t="s">
        <v>26</v>
      </c>
      <c r="AB5411">
        <v>0</v>
      </c>
      <c r="AC5411" t="s">
        <v>115</v>
      </c>
      <c r="AD5411">
        <v>3</v>
      </c>
      <c r="AE5411" t="s">
        <v>115</v>
      </c>
      <c r="AF5411">
        <v>0</v>
      </c>
      <c r="AG5411">
        <v>0</v>
      </c>
      <c r="AH5411" t="s">
        <v>116</v>
      </c>
      <c r="AI5411" s="1">
        <v>42199</v>
      </c>
      <c r="AJ5411" s="2">
        <v>0.13</v>
      </c>
      <c r="AK5411" s="1">
        <v>323175</v>
      </c>
      <c r="AL5411" t="s">
        <v>117</v>
      </c>
      <c r="AM5411" t="s">
        <v>5023</v>
      </c>
      <c r="AN5411">
        <v>6960</v>
      </c>
      <c r="AO5411">
        <v>0.16</v>
      </c>
      <c r="AR5411">
        <v>1</v>
      </c>
      <c r="AS5411" s="1">
        <v>22620</v>
      </c>
      <c r="AT5411" s="1">
        <v>4520</v>
      </c>
      <c r="AU5411" s="1">
        <v>18100</v>
      </c>
      <c r="AV5411">
        <v>80.02</v>
      </c>
      <c r="AX5411" s="1">
        <v>2505.6</v>
      </c>
      <c r="AY5411" t="s">
        <v>2767</v>
      </c>
      <c r="AZ5411" t="s">
        <v>2767</v>
      </c>
      <c r="BA5411" t="s">
        <v>5025</v>
      </c>
      <c r="BE5411" s="3">
        <v>41879</v>
      </c>
      <c r="BF5411" s="1">
        <v>232000</v>
      </c>
      <c r="BG5411" t="s">
        <v>33361</v>
      </c>
      <c r="BH5411" s="1">
        <v>63.37</v>
      </c>
      <c r="BI5411" s="1">
        <v>280976</v>
      </c>
      <c r="BJ5411" s="3">
        <v>43122</v>
      </c>
      <c r="BK5411" t="s">
        <v>123</v>
      </c>
      <c r="BL5411" t="str">
        <f>"2018.52063"</f>
        <v>2018.52063</v>
      </c>
      <c r="BM5411" t="s">
        <v>6517</v>
      </c>
      <c r="BN5411" t="s">
        <v>14173</v>
      </c>
      <c r="BO5411" t="s">
        <v>33362</v>
      </c>
      <c r="BR5411" t="s">
        <v>139</v>
      </c>
      <c r="BW5411" t="str">
        <f>""</f>
        <v/>
      </c>
      <c r="CH5411" t="str">
        <f>""</f>
        <v/>
      </c>
      <c r="CS5411" t="str">
        <f>""</f>
        <v/>
      </c>
    </row>
    <row r="5412" spans="1:97" x14ac:dyDescent="0.25">
      <c r="B5412" t="s">
        <v>33363</v>
      </c>
      <c r="E5412" t="s">
        <v>7569</v>
      </c>
      <c r="F5412" t="s">
        <v>139</v>
      </c>
      <c r="H5412" t="s">
        <v>33364</v>
      </c>
      <c r="I5412" t="s">
        <v>5863</v>
      </c>
      <c r="J5412" t="s">
        <v>111</v>
      </c>
      <c r="K5412" t="str">
        <f>"85375"</f>
        <v>85375</v>
      </c>
      <c r="L5412" t="s">
        <v>9069</v>
      </c>
      <c r="M5412" t="s">
        <v>33364</v>
      </c>
      <c r="N5412" t="s">
        <v>5863</v>
      </c>
      <c r="O5412" t="s">
        <v>111</v>
      </c>
      <c r="P5412" t="str">
        <f>"85375-6816"</f>
        <v>85375-6816</v>
      </c>
      <c r="Q5412" t="s">
        <v>113</v>
      </c>
      <c r="R5412" t="str">
        <f>"503-53-251"</f>
        <v>503-53-251</v>
      </c>
      <c r="S5412" t="s">
        <v>33365</v>
      </c>
      <c r="U5412">
        <v>1904</v>
      </c>
      <c r="V5412">
        <v>0</v>
      </c>
      <c r="W5412">
        <v>3</v>
      </c>
      <c r="X5412">
        <v>2003</v>
      </c>
      <c r="Z5412">
        <v>1</v>
      </c>
      <c r="AB5412">
        <v>0</v>
      </c>
      <c r="AC5412" t="s">
        <v>115</v>
      </c>
      <c r="AD5412">
        <v>2</v>
      </c>
      <c r="AE5412" t="s">
        <v>115</v>
      </c>
      <c r="AF5412">
        <v>0</v>
      </c>
      <c r="AG5412">
        <v>0</v>
      </c>
      <c r="AH5412" t="s">
        <v>116</v>
      </c>
      <c r="AI5412" s="1">
        <v>151954</v>
      </c>
      <c r="AJ5412" s="2">
        <v>0.43</v>
      </c>
      <c r="AK5412" s="1">
        <v>356985</v>
      </c>
      <c r="AL5412" t="s">
        <v>117</v>
      </c>
      <c r="AM5412" t="s">
        <v>191</v>
      </c>
      <c r="AN5412">
        <v>7128</v>
      </c>
      <c r="AO5412">
        <v>0.16</v>
      </c>
      <c r="AP5412">
        <v>1</v>
      </c>
      <c r="AR5412">
        <v>1</v>
      </c>
      <c r="AS5412" s="1">
        <v>22750</v>
      </c>
      <c r="AT5412" s="1">
        <v>4550</v>
      </c>
      <c r="AU5412" s="1">
        <v>18200</v>
      </c>
      <c r="AV5412">
        <v>80</v>
      </c>
      <c r="AX5412" s="1">
        <v>2569.92</v>
      </c>
      <c r="AY5412" t="s">
        <v>3228</v>
      </c>
      <c r="AZ5412" t="s">
        <v>3228</v>
      </c>
      <c r="BA5412" t="s">
        <v>457</v>
      </c>
      <c r="BB5412" s="3">
        <v>43334</v>
      </c>
      <c r="BC5412" s="1">
        <v>0</v>
      </c>
      <c r="BD5412" t="s">
        <v>247</v>
      </c>
      <c r="BE5412" s="3">
        <v>42311</v>
      </c>
      <c r="BF5412" s="1">
        <v>285000</v>
      </c>
      <c r="BG5412" t="s">
        <v>33366</v>
      </c>
      <c r="BH5412" s="1">
        <v>149.68</v>
      </c>
      <c r="BI5412" s="1">
        <v>205031</v>
      </c>
      <c r="BJ5412" s="3">
        <v>42311</v>
      </c>
      <c r="BK5412" t="s">
        <v>123</v>
      </c>
      <c r="BL5412" t="str">
        <f>"2015.789079"</f>
        <v>2015.789079</v>
      </c>
      <c r="BM5412" t="s">
        <v>1791</v>
      </c>
      <c r="BN5412" t="s">
        <v>5960</v>
      </c>
      <c r="BO5412" t="s">
        <v>33367</v>
      </c>
      <c r="BS5412">
        <v>30</v>
      </c>
      <c r="BW5412" t="str">
        <f>""</f>
        <v/>
      </c>
      <c r="CH5412" t="str">
        <f>""</f>
        <v/>
      </c>
      <c r="CS5412" t="str">
        <f>""</f>
        <v/>
      </c>
    </row>
    <row r="5413" spans="1:97" x14ac:dyDescent="0.25">
      <c r="A5413" t="s">
        <v>2374</v>
      </c>
      <c r="B5413" t="s">
        <v>4156</v>
      </c>
      <c r="E5413" t="s">
        <v>33368</v>
      </c>
      <c r="F5413" t="s">
        <v>108</v>
      </c>
      <c r="H5413" t="s">
        <v>33369</v>
      </c>
      <c r="I5413" t="s">
        <v>110</v>
      </c>
      <c r="J5413" t="s">
        <v>111</v>
      </c>
      <c r="K5413" t="str">
        <f>"85225"</f>
        <v>85225</v>
      </c>
      <c r="L5413" t="s">
        <v>8199</v>
      </c>
      <c r="M5413" t="s">
        <v>33369</v>
      </c>
      <c r="N5413" t="s">
        <v>110</v>
      </c>
      <c r="O5413" t="s">
        <v>111</v>
      </c>
      <c r="P5413" t="str">
        <f>"85225-5257"</f>
        <v>85225-5257</v>
      </c>
      <c r="Q5413" t="s">
        <v>113</v>
      </c>
      <c r="R5413" t="str">
        <f>"302-84-628"</f>
        <v>302-84-628</v>
      </c>
      <c r="S5413" t="s">
        <v>33370</v>
      </c>
      <c r="T5413" t="s">
        <v>19515</v>
      </c>
      <c r="U5413">
        <v>1208</v>
      </c>
      <c r="V5413">
        <v>0</v>
      </c>
      <c r="W5413">
        <v>2</v>
      </c>
      <c r="X5413">
        <v>1996</v>
      </c>
      <c r="Z5413">
        <v>1</v>
      </c>
      <c r="AB5413">
        <v>0</v>
      </c>
      <c r="AC5413" t="s">
        <v>115</v>
      </c>
      <c r="AD5413">
        <v>2</v>
      </c>
      <c r="AE5413" t="s">
        <v>115</v>
      </c>
      <c r="AF5413">
        <v>0</v>
      </c>
      <c r="AG5413">
        <v>0</v>
      </c>
      <c r="AH5413" t="s">
        <v>116</v>
      </c>
      <c r="AI5413" s="1">
        <v>22533</v>
      </c>
      <c r="AJ5413" s="2">
        <v>0.09</v>
      </c>
      <c r="AK5413" s="1">
        <v>257024</v>
      </c>
      <c r="AL5413" t="s">
        <v>117</v>
      </c>
      <c r="AM5413" t="s">
        <v>118</v>
      </c>
      <c r="AN5413">
        <v>5719</v>
      </c>
      <c r="AO5413">
        <v>0.13</v>
      </c>
      <c r="AP5413">
        <v>1</v>
      </c>
      <c r="AR5413">
        <v>1</v>
      </c>
      <c r="AS5413" s="1">
        <v>17320</v>
      </c>
      <c r="AT5413" s="1">
        <v>3460</v>
      </c>
      <c r="AU5413" s="1">
        <v>13860</v>
      </c>
      <c r="AV5413">
        <v>80.02</v>
      </c>
      <c r="AX5413" s="1">
        <v>1173.24</v>
      </c>
      <c r="AY5413" t="s">
        <v>2956</v>
      </c>
      <c r="AZ5413" t="s">
        <v>2906</v>
      </c>
      <c r="BA5413" t="s">
        <v>2957</v>
      </c>
      <c r="BE5413" s="3">
        <v>42474</v>
      </c>
      <c r="BF5413" s="1">
        <v>202000</v>
      </c>
      <c r="BG5413" t="s">
        <v>33371</v>
      </c>
      <c r="BH5413" s="1">
        <v>167.22</v>
      </c>
      <c r="BI5413" s="1">
        <v>234491</v>
      </c>
      <c r="BJ5413" s="3">
        <v>43536</v>
      </c>
      <c r="BK5413" t="s">
        <v>123</v>
      </c>
      <c r="BL5413" t="str">
        <f>"2019.170019"</f>
        <v>2019.170019</v>
      </c>
      <c r="BM5413" t="s">
        <v>1809</v>
      </c>
      <c r="BN5413" t="s">
        <v>1810</v>
      </c>
      <c r="BO5413" t="s">
        <v>33368</v>
      </c>
      <c r="BR5413" t="s">
        <v>139</v>
      </c>
      <c r="BW5413" t="str">
        <f>""</f>
        <v/>
      </c>
      <c r="CH5413" t="str">
        <f>""</f>
        <v/>
      </c>
      <c r="CS5413" t="str">
        <f>""</f>
        <v/>
      </c>
    </row>
    <row r="5414" spans="1:97" x14ac:dyDescent="0.25">
      <c r="A5414" t="s">
        <v>1950</v>
      </c>
      <c r="B5414" t="s">
        <v>5718</v>
      </c>
      <c r="C5414" t="s">
        <v>852</v>
      </c>
      <c r="D5414" t="s">
        <v>5718</v>
      </c>
      <c r="E5414" t="s">
        <v>33372</v>
      </c>
      <c r="F5414" t="s">
        <v>108</v>
      </c>
      <c r="H5414" t="s">
        <v>33373</v>
      </c>
      <c r="I5414" t="s">
        <v>499</v>
      </c>
      <c r="J5414" t="s">
        <v>111</v>
      </c>
      <c r="K5414" t="str">
        <f>"85338"</f>
        <v>85338</v>
      </c>
      <c r="L5414" t="s">
        <v>6431</v>
      </c>
      <c r="M5414" t="s">
        <v>33373</v>
      </c>
      <c r="N5414" t="s">
        <v>499</v>
      </c>
      <c r="O5414" t="s">
        <v>111</v>
      </c>
      <c r="P5414" t="str">
        <f>"85338-7361"</f>
        <v>85338-7361</v>
      </c>
      <c r="Q5414" t="s">
        <v>113</v>
      </c>
      <c r="R5414" t="str">
        <f>"500-97-556"</f>
        <v>500-97-556</v>
      </c>
      <c r="S5414" t="s">
        <v>13299</v>
      </c>
      <c r="T5414" t="s">
        <v>13300</v>
      </c>
      <c r="U5414">
        <v>2431</v>
      </c>
      <c r="V5414">
        <v>0</v>
      </c>
      <c r="W5414">
        <v>4</v>
      </c>
      <c r="X5414">
        <v>2007</v>
      </c>
      <c r="Z5414">
        <v>1</v>
      </c>
      <c r="AA5414" t="s">
        <v>26</v>
      </c>
      <c r="AB5414">
        <v>0</v>
      </c>
      <c r="AC5414" t="s">
        <v>115</v>
      </c>
      <c r="AD5414">
        <v>3</v>
      </c>
      <c r="AE5414" t="s">
        <v>115</v>
      </c>
      <c r="AF5414">
        <v>0</v>
      </c>
      <c r="AG5414">
        <v>0</v>
      </c>
      <c r="AH5414" t="s">
        <v>116</v>
      </c>
      <c r="AI5414" s="1">
        <v>32258</v>
      </c>
      <c r="AJ5414" s="2">
        <v>0.1</v>
      </c>
      <c r="AK5414" s="1">
        <v>322925</v>
      </c>
      <c r="AL5414" t="s">
        <v>117</v>
      </c>
      <c r="AM5414" t="s">
        <v>118</v>
      </c>
      <c r="AN5414">
        <v>8946</v>
      </c>
      <c r="AO5414">
        <v>0.2</v>
      </c>
      <c r="AR5414">
        <v>1</v>
      </c>
      <c r="AS5414" s="1">
        <v>23830</v>
      </c>
      <c r="AT5414" s="1">
        <v>4760</v>
      </c>
      <c r="AU5414" s="1">
        <v>19070</v>
      </c>
      <c r="AV5414">
        <v>80.03</v>
      </c>
      <c r="AX5414" s="1">
        <v>2328.4</v>
      </c>
      <c r="AY5414" t="s">
        <v>6319</v>
      </c>
      <c r="AZ5414" t="s">
        <v>6319</v>
      </c>
      <c r="BA5414" t="s">
        <v>218</v>
      </c>
      <c r="BB5414" s="3">
        <v>42550</v>
      </c>
      <c r="BD5414" t="s">
        <v>240</v>
      </c>
      <c r="BE5414" s="3">
        <v>42264</v>
      </c>
      <c r="BF5414" s="1">
        <v>247500</v>
      </c>
      <c r="BG5414" t="s">
        <v>33374</v>
      </c>
      <c r="BH5414" s="1">
        <v>101.81</v>
      </c>
      <c r="BI5414" s="1">
        <v>255667</v>
      </c>
      <c r="BJ5414" s="3">
        <v>42264</v>
      </c>
      <c r="BK5414" t="s">
        <v>123</v>
      </c>
      <c r="BL5414" t="str">
        <f>"2015.671202"</f>
        <v>2015.671202</v>
      </c>
      <c r="BM5414" t="s">
        <v>2472</v>
      </c>
      <c r="BO5414" t="s">
        <v>33375</v>
      </c>
      <c r="BS5414">
        <v>30</v>
      </c>
      <c r="BT5414" s="1">
        <v>35000</v>
      </c>
      <c r="BU5414" s="3">
        <v>42550</v>
      </c>
      <c r="BV5414" t="s">
        <v>134</v>
      </c>
      <c r="BW5414" t="str">
        <f>"2016.453683"</f>
        <v>2016.453683</v>
      </c>
      <c r="BX5414" t="s">
        <v>369</v>
      </c>
      <c r="BZ5414" t="s">
        <v>33376</v>
      </c>
      <c r="CD5414">
        <v>15</v>
      </c>
      <c r="CH5414" t="str">
        <f>""</f>
        <v/>
      </c>
      <c r="CS5414" t="str">
        <f>""</f>
        <v/>
      </c>
    </row>
    <row r="5415" spans="1:97" x14ac:dyDescent="0.25">
      <c r="A5415" t="s">
        <v>152</v>
      </c>
      <c r="B5415" t="s">
        <v>33377</v>
      </c>
      <c r="C5415" t="s">
        <v>484</v>
      </c>
      <c r="D5415" t="s">
        <v>33378</v>
      </c>
      <c r="E5415" t="s">
        <v>33379</v>
      </c>
      <c r="F5415" t="s">
        <v>108</v>
      </c>
      <c r="H5415" t="s">
        <v>33380</v>
      </c>
      <c r="I5415" t="s">
        <v>390</v>
      </c>
      <c r="J5415" t="s">
        <v>111</v>
      </c>
      <c r="K5415" t="str">
        <f>"85053"</f>
        <v>85053</v>
      </c>
      <c r="L5415" t="s">
        <v>6169</v>
      </c>
      <c r="M5415" t="s">
        <v>33380</v>
      </c>
      <c r="N5415" t="s">
        <v>390</v>
      </c>
      <c r="O5415" t="s">
        <v>111</v>
      </c>
      <c r="P5415" t="str">
        <f>"85053-4609"</f>
        <v>85053-4609</v>
      </c>
      <c r="Q5415" t="s">
        <v>113</v>
      </c>
      <c r="R5415" t="str">
        <f>"207-10-504"</f>
        <v>207-10-504</v>
      </c>
      <c r="S5415" t="s">
        <v>12538</v>
      </c>
      <c r="T5415" t="s">
        <v>12539</v>
      </c>
      <c r="U5415">
        <v>2001</v>
      </c>
      <c r="V5415">
        <v>0</v>
      </c>
      <c r="W5415">
        <v>3</v>
      </c>
      <c r="X5415">
        <v>1971</v>
      </c>
      <c r="Z5415">
        <v>1</v>
      </c>
      <c r="AA5415" t="s">
        <v>26</v>
      </c>
      <c r="AB5415">
        <v>0</v>
      </c>
      <c r="AC5415" t="s">
        <v>115</v>
      </c>
      <c r="AD5415">
        <v>2</v>
      </c>
      <c r="AE5415" t="s">
        <v>115</v>
      </c>
      <c r="AF5415">
        <v>0</v>
      </c>
      <c r="AG5415">
        <v>0</v>
      </c>
      <c r="AH5415" t="s">
        <v>116</v>
      </c>
      <c r="AI5415" s="1">
        <v>51757</v>
      </c>
      <c r="AJ5415" s="2">
        <v>0.19</v>
      </c>
      <c r="AK5415" s="1">
        <v>270841</v>
      </c>
      <c r="AL5415" t="s">
        <v>117</v>
      </c>
      <c r="AM5415" t="s">
        <v>191</v>
      </c>
      <c r="AN5415">
        <v>7544</v>
      </c>
      <c r="AO5415">
        <v>0.17</v>
      </c>
      <c r="AP5415">
        <v>1</v>
      </c>
      <c r="AR5415">
        <v>1</v>
      </c>
      <c r="AS5415" s="1">
        <v>18550</v>
      </c>
      <c r="AT5415" s="1">
        <v>3710</v>
      </c>
      <c r="AU5415" s="1">
        <v>14840</v>
      </c>
      <c r="AV5415">
        <v>80</v>
      </c>
      <c r="AX5415" s="1">
        <v>1457</v>
      </c>
      <c r="AY5415" t="s">
        <v>8546</v>
      </c>
      <c r="AZ5415" t="s">
        <v>2997</v>
      </c>
      <c r="BA5415" t="s">
        <v>2998</v>
      </c>
      <c r="BE5415" s="3">
        <v>42201</v>
      </c>
      <c r="BF5415" s="1">
        <v>213000</v>
      </c>
      <c r="BG5415" t="s">
        <v>33381</v>
      </c>
      <c r="BH5415" s="1">
        <v>106.45</v>
      </c>
      <c r="BI5415" s="1">
        <v>219084</v>
      </c>
      <c r="BJ5415" s="3">
        <v>42669</v>
      </c>
      <c r="BK5415" t="s">
        <v>123</v>
      </c>
      <c r="BL5415" t="str">
        <f>"2016.786952"</f>
        <v>2016.786952</v>
      </c>
      <c r="BM5415" t="s">
        <v>20541</v>
      </c>
      <c r="BO5415" t="s">
        <v>33382</v>
      </c>
      <c r="BP5415" t="s">
        <v>33383</v>
      </c>
      <c r="BS5415">
        <v>30</v>
      </c>
      <c r="BW5415" t="str">
        <f>""</f>
        <v/>
      </c>
      <c r="CH5415" t="str">
        <f>""</f>
        <v/>
      </c>
      <c r="CS5415" t="str">
        <f>""</f>
        <v/>
      </c>
    </row>
    <row r="5416" spans="1:97" x14ac:dyDescent="0.25">
      <c r="A5416" t="s">
        <v>325</v>
      </c>
      <c r="B5416" t="s">
        <v>33384</v>
      </c>
      <c r="E5416" t="s">
        <v>33385</v>
      </c>
      <c r="F5416" t="s">
        <v>108</v>
      </c>
      <c r="H5416" t="s">
        <v>33386</v>
      </c>
      <c r="I5416" t="s">
        <v>453</v>
      </c>
      <c r="J5416" t="s">
        <v>111</v>
      </c>
      <c r="K5416" t="str">
        <f>"85382"</f>
        <v>85382</v>
      </c>
      <c r="L5416" t="s">
        <v>8146</v>
      </c>
      <c r="M5416" t="s">
        <v>33386</v>
      </c>
      <c r="N5416" t="s">
        <v>453</v>
      </c>
      <c r="O5416" t="s">
        <v>111</v>
      </c>
      <c r="P5416" t="str">
        <f>"85382-1806"</f>
        <v>85382-1806</v>
      </c>
      <c r="Q5416" t="s">
        <v>113</v>
      </c>
      <c r="R5416" t="str">
        <f>"200-53-772"</f>
        <v>200-53-772</v>
      </c>
      <c r="S5416" t="s">
        <v>33387</v>
      </c>
      <c r="T5416" t="s">
        <v>33387</v>
      </c>
      <c r="U5416">
        <v>1757</v>
      </c>
      <c r="V5416">
        <v>0</v>
      </c>
      <c r="W5416">
        <v>4</v>
      </c>
      <c r="X5416">
        <v>2012</v>
      </c>
      <c r="Z5416">
        <v>2</v>
      </c>
      <c r="AB5416">
        <v>0</v>
      </c>
      <c r="AC5416" t="s">
        <v>115</v>
      </c>
      <c r="AD5416">
        <v>2</v>
      </c>
      <c r="AE5416" t="s">
        <v>115</v>
      </c>
      <c r="AF5416">
        <v>0</v>
      </c>
      <c r="AG5416">
        <v>0</v>
      </c>
      <c r="AH5416" t="s">
        <v>116</v>
      </c>
      <c r="AI5416" s="1">
        <v>39930</v>
      </c>
      <c r="AJ5416" s="2">
        <v>0.14000000000000001</v>
      </c>
      <c r="AK5416" s="1">
        <v>284830</v>
      </c>
      <c r="AL5416" t="s">
        <v>117</v>
      </c>
      <c r="AM5416" t="s">
        <v>191</v>
      </c>
      <c r="AN5416">
        <v>5357</v>
      </c>
      <c r="AO5416">
        <v>0.12</v>
      </c>
      <c r="AR5416">
        <v>1</v>
      </c>
      <c r="AS5416" s="1">
        <v>21030</v>
      </c>
      <c r="AT5416" s="1">
        <v>4200</v>
      </c>
      <c r="AU5416" s="1">
        <v>16830</v>
      </c>
      <c r="AV5416">
        <v>80.03</v>
      </c>
      <c r="AX5416" s="1">
        <v>2067.6999999999998</v>
      </c>
      <c r="AY5416" t="s">
        <v>16272</v>
      </c>
      <c r="AZ5416" t="s">
        <v>16272</v>
      </c>
      <c r="BA5416" t="s">
        <v>3360</v>
      </c>
      <c r="BE5416" s="3">
        <v>42453</v>
      </c>
      <c r="BF5416" s="1">
        <v>244900</v>
      </c>
      <c r="BG5416" t="s">
        <v>33388</v>
      </c>
      <c r="BH5416" s="1">
        <v>139.38999999999999</v>
      </c>
      <c r="BI5416" s="1">
        <v>244900</v>
      </c>
      <c r="BJ5416" s="3">
        <v>42453</v>
      </c>
      <c r="BK5416" t="s">
        <v>123</v>
      </c>
      <c r="BL5416" t="str">
        <f>"2016.190140"</f>
        <v>2016.190140</v>
      </c>
      <c r="BM5416" t="s">
        <v>1185</v>
      </c>
      <c r="BO5416" t="s">
        <v>33389</v>
      </c>
      <c r="BS5416">
        <v>30</v>
      </c>
      <c r="BW5416" t="str">
        <f>""</f>
        <v/>
      </c>
      <c r="CH5416" t="str">
        <f>""</f>
        <v/>
      </c>
      <c r="CS5416" t="str">
        <f>""</f>
        <v/>
      </c>
    </row>
    <row r="5417" spans="1:97" x14ac:dyDescent="0.25">
      <c r="A5417" t="s">
        <v>589</v>
      </c>
      <c r="B5417" t="s">
        <v>33390</v>
      </c>
      <c r="E5417" t="s">
        <v>33391</v>
      </c>
      <c r="F5417" t="s">
        <v>108</v>
      </c>
      <c r="H5417" t="s">
        <v>33392</v>
      </c>
      <c r="I5417" t="s">
        <v>390</v>
      </c>
      <c r="J5417" t="s">
        <v>111</v>
      </c>
      <c r="K5417" t="str">
        <f>"85015"</f>
        <v>85015</v>
      </c>
      <c r="L5417" t="s">
        <v>6003</v>
      </c>
      <c r="M5417" t="s">
        <v>33392</v>
      </c>
      <c r="N5417" t="s">
        <v>390</v>
      </c>
      <c r="O5417" t="s">
        <v>111</v>
      </c>
      <c r="P5417" t="str">
        <f>"85015-5444"</f>
        <v>85015-5444</v>
      </c>
      <c r="Q5417" t="s">
        <v>113</v>
      </c>
      <c r="R5417" t="str">
        <f>"110-17-060"</f>
        <v>110-17-060</v>
      </c>
      <c r="S5417" t="s">
        <v>33393</v>
      </c>
      <c r="T5417" t="s">
        <v>7118</v>
      </c>
      <c r="U5417">
        <v>1565</v>
      </c>
      <c r="V5417">
        <v>0</v>
      </c>
      <c r="W5417">
        <v>2</v>
      </c>
      <c r="X5417">
        <v>1950</v>
      </c>
      <c r="Z5417">
        <v>1</v>
      </c>
      <c r="AB5417">
        <v>0</v>
      </c>
      <c r="AC5417" t="s">
        <v>5188</v>
      </c>
      <c r="AD5417">
        <v>1</v>
      </c>
      <c r="AE5417" t="s">
        <v>5188</v>
      </c>
      <c r="AF5417">
        <v>0</v>
      </c>
      <c r="AG5417">
        <v>0</v>
      </c>
      <c r="AH5417" t="s">
        <v>116</v>
      </c>
      <c r="AI5417" s="1">
        <v>58775</v>
      </c>
      <c r="AJ5417" s="2">
        <v>0.22</v>
      </c>
      <c r="AK5417" s="1">
        <v>263994</v>
      </c>
      <c r="AL5417" t="s">
        <v>117</v>
      </c>
      <c r="AM5417" t="s">
        <v>191</v>
      </c>
      <c r="AN5417">
        <v>7566</v>
      </c>
      <c r="AO5417">
        <v>0.17</v>
      </c>
      <c r="AP5417">
        <v>1</v>
      </c>
      <c r="AR5417">
        <v>1</v>
      </c>
      <c r="AS5417" s="1">
        <v>17230</v>
      </c>
      <c r="AT5417" s="1">
        <v>3440</v>
      </c>
      <c r="AU5417" s="1">
        <v>13790</v>
      </c>
      <c r="AV5417">
        <v>80.03</v>
      </c>
      <c r="AX5417" s="1">
        <v>1212.74</v>
      </c>
      <c r="AY5417" t="s">
        <v>7119</v>
      </c>
      <c r="AZ5417" t="s">
        <v>7119</v>
      </c>
      <c r="BA5417" t="s">
        <v>5469</v>
      </c>
      <c r="BE5417" s="3">
        <v>42208</v>
      </c>
      <c r="BF5417" s="1">
        <v>200900</v>
      </c>
      <c r="BG5417" t="s">
        <v>33394</v>
      </c>
      <c r="BH5417" s="1">
        <v>128.37</v>
      </c>
      <c r="BI5417" s="1">
        <v>205219</v>
      </c>
      <c r="BJ5417" s="3">
        <v>42208</v>
      </c>
      <c r="BK5417" t="s">
        <v>123</v>
      </c>
      <c r="BL5417" t="str">
        <f>"2015.529935"</f>
        <v>2015.529935</v>
      </c>
      <c r="BM5417" t="s">
        <v>709</v>
      </c>
      <c r="BO5417" t="s">
        <v>33395</v>
      </c>
      <c r="BS5417">
        <v>30</v>
      </c>
      <c r="BW5417" t="str">
        <f>""</f>
        <v/>
      </c>
      <c r="CH5417" t="str">
        <f>""</f>
        <v/>
      </c>
      <c r="CS5417" t="str">
        <f>""</f>
        <v/>
      </c>
    </row>
    <row r="5418" spans="1:97" x14ac:dyDescent="0.25">
      <c r="A5418" t="s">
        <v>177</v>
      </c>
      <c r="B5418" t="s">
        <v>603</v>
      </c>
      <c r="C5418" t="s">
        <v>484</v>
      </c>
      <c r="D5418" t="s">
        <v>603</v>
      </c>
      <c r="E5418" t="s">
        <v>33396</v>
      </c>
      <c r="F5418" t="s">
        <v>108</v>
      </c>
      <c r="H5418" t="s">
        <v>33397</v>
      </c>
      <c r="I5418" t="s">
        <v>5114</v>
      </c>
      <c r="J5418" t="s">
        <v>111</v>
      </c>
      <c r="K5418" t="str">
        <f>"85392"</f>
        <v>85392</v>
      </c>
      <c r="L5418" t="s">
        <v>6964</v>
      </c>
      <c r="M5418" t="s">
        <v>33397</v>
      </c>
      <c r="N5418" t="s">
        <v>5114</v>
      </c>
      <c r="O5418" t="s">
        <v>111</v>
      </c>
      <c r="P5418" t="str">
        <f>"85392-6569"</f>
        <v>85392-6569</v>
      </c>
      <c r="Q5418" t="s">
        <v>113</v>
      </c>
      <c r="R5418" t="str">
        <f>"501-88-694"</f>
        <v>501-88-694</v>
      </c>
      <c r="S5418" t="s">
        <v>16525</v>
      </c>
      <c r="T5418" t="s">
        <v>16526</v>
      </c>
      <c r="U5418">
        <v>2277</v>
      </c>
      <c r="V5418">
        <v>0</v>
      </c>
      <c r="W5418">
        <v>3</v>
      </c>
      <c r="X5418">
        <v>1996</v>
      </c>
      <c r="Z5418">
        <v>1</v>
      </c>
      <c r="AA5418" t="s">
        <v>26</v>
      </c>
      <c r="AB5418">
        <v>0</v>
      </c>
      <c r="AC5418" t="s">
        <v>115</v>
      </c>
      <c r="AD5418">
        <v>3</v>
      </c>
      <c r="AE5418" t="s">
        <v>115</v>
      </c>
      <c r="AF5418">
        <v>0</v>
      </c>
      <c r="AG5418">
        <v>0</v>
      </c>
      <c r="AH5418" t="s">
        <v>116</v>
      </c>
      <c r="AI5418" s="1">
        <v>68730</v>
      </c>
      <c r="AJ5418" s="2">
        <v>0.21</v>
      </c>
      <c r="AK5418" s="1">
        <v>328013</v>
      </c>
      <c r="AL5418" t="s">
        <v>117</v>
      </c>
      <c r="AM5418" t="s">
        <v>118</v>
      </c>
      <c r="AN5418">
        <v>10092</v>
      </c>
      <c r="AO5418">
        <v>0.23</v>
      </c>
      <c r="AP5418">
        <v>1</v>
      </c>
      <c r="AR5418">
        <v>1</v>
      </c>
      <c r="AS5418" s="1">
        <v>22670</v>
      </c>
      <c r="AT5418" s="1">
        <v>4530</v>
      </c>
      <c r="AU5418" s="1">
        <v>18140</v>
      </c>
      <c r="AV5418">
        <v>80.02</v>
      </c>
      <c r="AX5418" s="1">
        <v>1701.02</v>
      </c>
      <c r="AY5418" t="s">
        <v>7636</v>
      </c>
      <c r="AZ5418" t="s">
        <v>6701</v>
      </c>
      <c r="BA5418" t="s">
        <v>6702</v>
      </c>
      <c r="BE5418" s="3">
        <v>42475</v>
      </c>
      <c r="BF5418" s="1">
        <v>263000</v>
      </c>
      <c r="BG5418" t="s">
        <v>33398</v>
      </c>
      <c r="BH5418" s="1">
        <v>115.5</v>
      </c>
      <c r="BI5418" s="1">
        <v>259283</v>
      </c>
      <c r="BJ5418" s="3">
        <v>42475</v>
      </c>
      <c r="BK5418" t="s">
        <v>123</v>
      </c>
      <c r="BL5418" t="str">
        <f>"2016.253959"</f>
        <v>2016.253959</v>
      </c>
      <c r="BM5418" t="s">
        <v>1033</v>
      </c>
      <c r="BO5418" t="s">
        <v>33399</v>
      </c>
      <c r="BS5418">
        <v>30</v>
      </c>
      <c r="BW5418" t="str">
        <f>""</f>
        <v/>
      </c>
      <c r="CH5418" t="str">
        <f>""</f>
        <v/>
      </c>
      <c r="CS5418" t="str">
        <f>""</f>
        <v/>
      </c>
    </row>
    <row r="5419" spans="1:97" x14ac:dyDescent="0.25">
      <c r="A5419" t="s">
        <v>30937</v>
      </c>
      <c r="B5419" t="s">
        <v>815</v>
      </c>
      <c r="C5419" t="s">
        <v>33400</v>
      </c>
      <c r="D5419" t="s">
        <v>815</v>
      </c>
      <c r="E5419" t="s">
        <v>33401</v>
      </c>
      <c r="F5419" t="s">
        <v>108</v>
      </c>
      <c r="H5419" t="s">
        <v>33402</v>
      </c>
      <c r="I5419" t="s">
        <v>144</v>
      </c>
      <c r="J5419" t="s">
        <v>111</v>
      </c>
      <c r="K5419" t="str">
        <f>"85396"</f>
        <v>85396</v>
      </c>
      <c r="L5419" t="s">
        <v>215</v>
      </c>
      <c r="M5419" t="s">
        <v>33402</v>
      </c>
      <c r="N5419" t="s">
        <v>144</v>
      </c>
      <c r="O5419" t="s">
        <v>111</v>
      </c>
      <c r="P5419" t="str">
        <f>"85396-1662"</f>
        <v>85396-1662</v>
      </c>
      <c r="Q5419" t="s">
        <v>113</v>
      </c>
      <c r="R5419" t="str">
        <f>"502-80-610"</f>
        <v>502-80-610</v>
      </c>
      <c r="S5419" t="s">
        <v>8597</v>
      </c>
      <c r="U5419">
        <v>2663</v>
      </c>
      <c r="V5419">
        <v>0</v>
      </c>
      <c r="W5419">
        <v>5</v>
      </c>
      <c r="X5419">
        <v>2012</v>
      </c>
      <c r="Z5419">
        <v>2</v>
      </c>
      <c r="AB5419">
        <v>0</v>
      </c>
      <c r="AC5419" t="s">
        <v>115</v>
      </c>
      <c r="AD5419">
        <v>3</v>
      </c>
      <c r="AE5419" t="s">
        <v>115</v>
      </c>
      <c r="AF5419">
        <v>0</v>
      </c>
      <c r="AG5419">
        <v>0</v>
      </c>
      <c r="AH5419" t="s">
        <v>116</v>
      </c>
      <c r="AI5419" s="1">
        <v>75592</v>
      </c>
      <c r="AJ5419" s="2">
        <v>0.21</v>
      </c>
      <c r="AK5419" s="1">
        <v>359569</v>
      </c>
      <c r="AL5419" t="s">
        <v>117</v>
      </c>
      <c r="AM5419" t="s">
        <v>118</v>
      </c>
      <c r="AN5419">
        <v>6429</v>
      </c>
      <c r="AO5419">
        <v>0.15</v>
      </c>
      <c r="AR5419">
        <v>1</v>
      </c>
      <c r="AS5419" s="1">
        <v>23570</v>
      </c>
      <c r="AT5419" s="1">
        <v>4710</v>
      </c>
      <c r="AU5419" s="1">
        <v>18860</v>
      </c>
      <c r="AV5419">
        <v>80.02</v>
      </c>
      <c r="AX5419" s="1">
        <v>3238.62</v>
      </c>
      <c r="AY5419" t="s">
        <v>217</v>
      </c>
      <c r="AZ5419" t="s">
        <v>217</v>
      </c>
      <c r="BA5419" t="s">
        <v>218</v>
      </c>
      <c r="BE5419" s="3">
        <v>42089</v>
      </c>
      <c r="BF5419" s="1">
        <v>278000</v>
      </c>
      <c r="BG5419" t="s">
        <v>33403</v>
      </c>
      <c r="BH5419" s="1">
        <v>104.39</v>
      </c>
      <c r="BI5419" s="1">
        <v>283977</v>
      </c>
      <c r="BJ5419" s="3">
        <v>42089</v>
      </c>
      <c r="BK5419" t="s">
        <v>123</v>
      </c>
      <c r="BL5419" t="str">
        <f>"2015.202589"</f>
        <v>2015.202589</v>
      </c>
      <c r="BM5419" t="s">
        <v>135</v>
      </c>
      <c r="BO5419" t="s">
        <v>33404</v>
      </c>
      <c r="BS5419">
        <v>30</v>
      </c>
      <c r="BW5419" t="str">
        <f>""</f>
        <v/>
      </c>
      <c r="CH5419" t="str">
        <f>""</f>
        <v/>
      </c>
      <c r="CS5419" t="str">
        <f>""</f>
        <v/>
      </c>
    </row>
    <row r="5420" spans="1:97" x14ac:dyDescent="0.25">
      <c r="A5420" t="s">
        <v>1938</v>
      </c>
      <c r="B5420" t="s">
        <v>33405</v>
      </c>
      <c r="C5420" t="s">
        <v>507</v>
      </c>
      <c r="D5420" t="s">
        <v>33405</v>
      </c>
      <c r="E5420" t="s">
        <v>33406</v>
      </c>
      <c r="F5420" t="s">
        <v>108</v>
      </c>
      <c r="H5420" t="s">
        <v>33407</v>
      </c>
      <c r="I5420" t="s">
        <v>1936</v>
      </c>
      <c r="J5420" t="s">
        <v>111</v>
      </c>
      <c r="K5420" t="str">
        <f>"85257"</f>
        <v>85257</v>
      </c>
      <c r="L5420" t="s">
        <v>8034</v>
      </c>
      <c r="M5420" t="s">
        <v>33407</v>
      </c>
      <c r="N5420" t="s">
        <v>1936</v>
      </c>
      <c r="O5420" t="s">
        <v>111</v>
      </c>
      <c r="P5420" t="str">
        <f>"85257-3005"</f>
        <v>85257-3005</v>
      </c>
      <c r="Q5420" t="s">
        <v>113</v>
      </c>
      <c r="R5420" t="str">
        <f>"131-40-023"</f>
        <v>131-40-023</v>
      </c>
      <c r="S5420" t="s">
        <v>33408</v>
      </c>
      <c r="T5420" t="s">
        <v>25361</v>
      </c>
      <c r="U5420">
        <v>1260</v>
      </c>
      <c r="V5420">
        <v>0</v>
      </c>
      <c r="W5420">
        <v>2</v>
      </c>
      <c r="X5420">
        <v>1959</v>
      </c>
      <c r="Z5420">
        <v>1</v>
      </c>
      <c r="AA5420" t="s">
        <v>26</v>
      </c>
      <c r="AB5420">
        <v>0</v>
      </c>
      <c r="AC5420" t="s">
        <v>115</v>
      </c>
      <c r="AD5420">
        <v>1</v>
      </c>
      <c r="AE5420" t="s">
        <v>115</v>
      </c>
      <c r="AF5420">
        <v>0</v>
      </c>
      <c r="AG5420">
        <v>0</v>
      </c>
      <c r="AH5420" t="s">
        <v>116</v>
      </c>
      <c r="AI5420" s="1">
        <v>58007</v>
      </c>
      <c r="AJ5420" s="2">
        <v>0.16</v>
      </c>
      <c r="AK5420" s="1">
        <v>353651</v>
      </c>
      <c r="AL5420" t="s">
        <v>117</v>
      </c>
      <c r="AM5420" t="s">
        <v>393</v>
      </c>
      <c r="AN5420">
        <v>6472</v>
      </c>
      <c r="AO5420">
        <v>0.15</v>
      </c>
      <c r="AP5420">
        <v>1</v>
      </c>
      <c r="AR5420">
        <v>1</v>
      </c>
      <c r="AS5420" s="1">
        <v>24710</v>
      </c>
      <c r="AT5420" s="1">
        <v>4940</v>
      </c>
      <c r="AU5420" s="1">
        <v>19770</v>
      </c>
      <c r="AV5420">
        <v>80.010000000000005</v>
      </c>
      <c r="AX5420" s="1">
        <v>1105.98</v>
      </c>
      <c r="AY5420" t="s">
        <v>5419</v>
      </c>
      <c r="AZ5420" t="s">
        <v>5420</v>
      </c>
      <c r="BA5420" t="s">
        <v>5421</v>
      </c>
      <c r="BE5420" s="3">
        <v>42212</v>
      </c>
      <c r="BF5420" s="1">
        <v>258000</v>
      </c>
      <c r="BG5420" t="s">
        <v>33409</v>
      </c>
      <c r="BH5420" s="1">
        <v>204.76</v>
      </c>
      <c r="BI5420" s="1">
        <v>295644</v>
      </c>
      <c r="BJ5420" s="3">
        <v>43052</v>
      </c>
      <c r="BK5420" t="s">
        <v>123</v>
      </c>
      <c r="BL5420" t="str">
        <f>"2017.838915"</f>
        <v>2017.838915</v>
      </c>
      <c r="BM5420" t="s">
        <v>3929</v>
      </c>
      <c r="BO5420" t="s">
        <v>33410</v>
      </c>
      <c r="BS5420">
        <v>30</v>
      </c>
      <c r="BW5420" t="str">
        <f>""</f>
        <v/>
      </c>
      <c r="CH5420" t="str">
        <f>""</f>
        <v/>
      </c>
      <c r="CS5420" t="str">
        <f>""</f>
        <v/>
      </c>
    </row>
    <row r="5421" spans="1:97" x14ac:dyDescent="0.25">
      <c r="A5421" t="s">
        <v>33411</v>
      </c>
      <c r="B5421" t="s">
        <v>33412</v>
      </c>
      <c r="E5421" t="s">
        <v>33413</v>
      </c>
      <c r="F5421" t="s">
        <v>108</v>
      </c>
      <c r="H5421" t="s">
        <v>33414</v>
      </c>
      <c r="I5421" t="s">
        <v>110</v>
      </c>
      <c r="J5421" t="s">
        <v>111</v>
      </c>
      <c r="K5421" t="str">
        <f>"85226"</f>
        <v>85226</v>
      </c>
      <c r="L5421" t="s">
        <v>7834</v>
      </c>
      <c r="M5421" t="s">
        <v>33414</v>
      </c>
      <c r="N5421" t="s">
        <v>110</v>
      </c>
      <c r="O5421" t="s">
        <v>111</v>
      </c>
      <c r="P5421" t="str">
        <f>"85226-4921"</f>
        <v>85226-4921</v>
      </c>
      <c r="Q5421" t="s">
        <v>113</v>
      </c>
      <c r="R5421" t="str">
        <f>"301-65-498"</f>
        <v>301-65-498</v>
      </c>
      <c r="S5421" t="s">
        <v>13964</v>
      </c>
      <c r="U5421">
        <v>1327</v>
      </c>
      <c r="V5421">
        <v>0</v>
      </c>
      <c r="W5421">
        <v>2</v>
      </c>
      <c r="X5421">
        <v>1986</v>
      </c>
      <c r="Z5421">
        <v>2</v>
      </c>
      <c r="AB5421">
        <v>0</v>
      </c>
      <c r="AC5421" t="s">
        <v>115</v>
      </c>
      <c r="AD5421">
        <v>2</v>
      </c>
      <c r="AE5421" t="s">
        <v>115</v>
      </c>
      <c r="AF5421">
        <v>0</v>
      </c>
      <c r="AG5421">
        <v>0</v>
      </c>
      <c r="AH5421" t="s">
        <v>116</v>
      </c>
      <c r="AI5421" s="1">
        <v>42407</v>
      </c>
      <c r="AJ5421" s="2">
        <v>0.16</v>
      </c>
      <c r="AK5421" s="1">
        <v>267407</v>
      </c>
      <c r="AL5421" t="s">
        <v>117</v>
      </c>
      <c r="AM5421" t="s">
        <v>118</v>
      </c>
      <c r="AN5421">
        <v>4948</v>
      </c>
      <c r="AO5421">
        <v>0.11</v>
      </c>
      <c r="AP5421">
        <v>1</v>
      </c>
      <c r="AR5421">
        <v>1</v>
      </c>
      <c r="AS5421" s="1">
        <v>17110</v>
      </c>
      <c r="AT5421" s="1">
        <v>3420</v>
      </c>
      <c r="AU5421" s="1">
        <v>13690</v>
      </c>
      <c r="AV5421">
        <v>80.010000000000005</v>
      </c>
      <c r="AX5421" s="1">
        <v>1164.08</v>
      </c>
      <c r="AY5421" t="s">
        <v>8225</v>
      </c>
      <c r="AZ5421" t="s">
        <v>5922</v>
      </c>
      <c r="BA5421" t="s">
        <v>5202</v>
      </c>
      <c r="BE5421" s="3">
        <v>42486</v>
      </c>
      <c r="BF5421" s="1">
        <v>225000</v>
      </c>
      <c r="BG5421" t="s">
        <v>33415</v>
      </c>
      <c r="BH5421" s="1">
        <v>169.56</v>
      </c>
      <c r="BI5421" s="1">
        <v>225000</v>
      </c>
      <c r="BJ5421" s="3">
        <v>42486</v>
      </c>
      <c r="BK5421" t="s">
        <v>123</v>
      </c>
      <c r="BL5421" t="str">
        <f>"2016.279472"</f>
        <v>2016.279472</v>
      </c>
      <c r="BM5421" t="s">
        <v>724</v>
      </c>
      <c r="BO5421" t="s">
        <v>33416</v>
      </c>
      <c r="BS5421">
        <v>30</v>
      </c>
      <c r="BW5421" t="str">
        <f>""</f>
        <v/>
      </c>
      <c r="CH5421" t="str">
        <f>""</f>
        <v/>
      </c>
      <c r="CS5421" t="str">
        <f>""</f>
        <v/>
      </c>
    </row>
    <row r="5422" spans="1:97" x14ac:dyDescent="0.25">
      <c r="A5422" t="s">
        <v>996</v>
      </c>
      <c r="B5422" t="s">
        <v>17103</v>
      </c>
      <c r="C5422" t="s">
        <v>349</v>
      </c>
      <c r="D5422" t="s">
        <v>17103</v>
      </c>
      <c r="E5422" t="s">
        <v>33417</v>
      </c>
      <c r="F5422" t="s">
        <v>108</v>
      </c>
      <c r="H5422" t="s">
        <v>33418</v>
      </c>
      <c r="I5422" t="s">
        <v>499</v>
      </c>
      <c r="J5422" t="s">
        <v>111</v>
      </c>
      <c r="K5422" t="str">
        <f>"85338"</f>
        <v>85338</v>
      </c>
      <c r="L5422" t="s">
        <v>4751</v>
      </c>
      <c r="M5422" t="s">
        <v>33418</v>
      </c>
      <c r="N5422" t="s">
        <v>499</v>
      </c>
      <c r="O5422" t="s">
        <v>111</v>
      </c>
      <c r="P5422" t="str">
        <f>"85338-7793"</f>
        <v>85338-7793</v>
      </c>
      <c r="Q5422" t="s">
        <v>113</v>
      </c>
      <c r="R5422" t="str">
        <f>"400-58-248"</f>
        <v>400-58-248</v>
      </c>
      <c r="S5422" t="s">
        <v>4752</v>
      </c>
      <c r="T5422" t="s">
        <v>17252</v>
      </c>
      <c r="U5422">
        <v>2363</v>
      </c>
      <c r="V5422">
        <v>0</v>
      </c>
      <c r="W5422">
        <v>3</v>
      </c>
      <c r="X5422">
        <v>2014</v>
      </c>
      <c r="Z5422">
        <v>1</v>
      </c>
      <c r="AB5422">
        <v>0</v>
      </c>
      <c r="AC5422" t="s">
        <v>115</v>
      </c>
      <c r="AD5422">
        <v>2</v>
      </c>
      <c r="AE5422" t="s">
        <v>115</v>
      </c>
      <c r="AF5422">
        <v>0</v>
      </c>
      <c r="AG5422">
        <v>0</v>
      </c>
      <c r="AH5422" t="s">
        <v>116</v>
      </c>
      <c r="AI5422" s="1">
        <v>4359</v>
      </c>
      <c r="AJ5422" s="2">
        <v>0.01</v>
      </c>
      <c r="AK5422" s="1">
        <v>354359</v>
      </c>
      <c r="AL5422" t="s">
        <v>117</v>
      </c>
      <c r="AM5422" t="s">
        <v>118</v>
      </c>
      <c r="AN5422">
        <v>8386</v>
      </c>
      <c r="AO5422">
        <v>0.19</v>
      </c>
      <c r="AR5422">
        <v>1</v>
      </c>
      <c r="AS5422" s="1">
        <v>23910</v>
      </c>
      <c r="AT5422" s="1">
        <v>4780</v>
      </c>
      <c r="AU5422" s="1">
        <v>19130</v>
      </c>
      <c r="AV5422">
        <v>80.010000000000005</v>
      </c>
      <c r="AX5422" s="1">
        <v>2317.58</v>
      </c>
      <c r="AY5422" t="s">
        <v>1246</v>
      </c>
      <c r="AZ5422" t="s">
        <v>1246</v>
      </c>
      <c r="BA5422" t="s">
        <v>1247</v>
      </c>
      <c r="BB5422" s="3">
        <v>42550</v>
      </c>
      <c r="BD5422" t="s">
        <v>240</v>
      </c>
      <c r="BE5422" s="3">
        <v>42032</v>
      </c>
      <c r="BF5422" s="1">
        <v>297255</v>
      </c>
      <c r="BG5422" t="s">
        <v>2780</v>
      </c>
      <c r="BH5422" s="1">
        <v>125.8</v>
      </c>
      <c r="BI5422" s="1">
        <v>350000</v>
      </c>
      <c r="BJ5422" s="3">
        <v>43616</v>
      </c>
      <c r="BK5422" t="s">
        <v>123</v>
      </c>
      <c r="BL5422" t="str">
        <f>"2019.400953"</f>
        <v>2019.400953</v>
      </c>
      <c r="BM5422" t="s">
        <v>15439</v>
      </c>
      <c r="BN5422" t="s">
        <v>381</v>
      </c>
      <c r="BO5422" t="s">
        <v>33419</v>
      </c>
      <c r="BP5422" t="s">
        <v>33420</v>
      </c>
      <c r="BR5422" t="s">
        <v>139</v>
      </c>
      <c r="BW5422" t="str">
        <f>""</f>
        <v/>
      </c>
      <c r="CH5422" t="str">
        <f>""</f>
        <v/>
      </c>
      <c r="CS5422" t="str">
        <f>""</f>
        <v/>
      </c>
    </row>
    <row r="5423" spans="1:97" x14ac:dyDescent="0.25">
      <c r="A5423" t="s">
        <v>589</v>
      </c>
      <c r="B5423" t="s">
        <v>141</v>
      </c>
      <c r="C5423" t="s">
        <v>1666</v>
      </c>
      <c r="D5423" t="s">
        <v>141</v>
      </c>
      <c r="E5423" t="s">
        <v>33421</v>
      </c>
      <c r="F5423" t="s">
        <v>108</v>
      </c>
      <c r="H5423" t="s">
        <v>33422</v>
      </c>
      <c r="I5423" t="s">
        <v>390</v>
      </c>
      <c r="J5423" t="s">
        <v>111</v>
      </c>
      <c r="K5423" t="str">
        <f>"85083"</f>
        <v>85083</v>
      </c>
      <c r="L5423" t="s">
        <v>3520</v>
      </c>
      <c r="M5423" t="s">
        <v>33422</v>
      </c>
      <c r="N5423" t="s">
        <v>390</v>
      </c>
      <c r="O5423" t="s">
        <v>111</v>
      </c>
      <c r="P5423" t="str">
        <f>"85083-5890"</f>
        <v>85083-5890</v>
      </c>
      <c r="Q5423" t="s">
        <v>113</v>
      </c>
      <c r="R5423" t="str">
        <f>"204-23-100"</f>
        <v>204-23-100</v>
      </c>
      <c r="S5423" t="s">
        <v>33423</v>
      </c>
      <c r="T5423" t="s">
        <v>33424</v>
      </c>
      <c r="U5423">
        <v>1751</v>
      </c>
      <c r="V5423">
        <v>0</v>
      </c>
      <c r="W5423">
        <v>2</v>
      </c>
      <c r="X5423">
        <v>2002</v>
      </c>
      <c r="Z5423">
        <v>1</v>
      </c>
      <c r="AB5423">
        <v>0</v>
      </c>
      <c r="AC5423" t="s">
        <v>115</v>
      </c>
      <c r="AD5423">
        <v>2</v>
      </c>
      <c r="AE5423" t="s">
        <v>115</v>
      </c>
      <c r="AF5423">
        <v>0</v>
      </c>
      <c r="AG5423">
        <v>0</v>
      </c>
      <c r="AH5423" t="s">
        <v>116</v>
      </c>
      <c r="AI5423" s="1">
        <v>31130</v>
      </c>
      <c r="AJ5423" s="2">
        <v>0.11</v>
      </c>
      <c r="AK5423" s="1">
        <v>273134</v>
      </c>
      <c r="AL5423" t="s">
        <v>117</v>
      </c>
      <c r="AM5423" t="s">
        <v>760</v>
      </c>
      <c r="AN5423">
        <v>6000</v>
      </c>
      <c r="AO5423">
        <v>0.14000000000000001</v>
      </c>
      <c r="AP5423">
        <v>1</v>
      </c>
      <c r="AR5423">
        <v>1</v>
      </c>
      <c r="AS5423" s="1">
        <v>19460</v>
      </c>
      <c r="AT5423" s="1">
        <v>3890</v>
      </c>
      <c r="AU5423" s="1">
        <v>15570</v>
      </c>
      <c r="AV5423">
        <v>80.010000000000005</v>
      </c>
      <c r="AX5423" s="1">
        <v>1524.94</v>
      </c>
      <c r="AY5423" t="s">
        <v>3522</v>
      </c>
      <c r="AZ5423" t="s">
        <v>3522</v>
      </c>
      <c r="BA5423" t="s">
        <v>1386</v>
      </c>
      <c r="BE5423" s="3">
        <v>42153</v>
      </c>
      <c r="BF5423" s="1">
        <v>206000</v>
      </c>
      <c r="BG5423" t="s">
        <v>33425</v>
      </c>
      <c r="BH5423" s="1">
        <v>117.65</v>
      </c>
      <c r="BI5423" s="1">
        <v>242004</v>
      </c>
      <c r="BJ5423" s="3">
        <v>43524</v>
      </c>
      <c r="BK5423" t="s">
        <v>123</v>
      </c>
      <c r="BL5423" t="str">
        <f>"2019.137189"</f>
        <v>2019.137189</v>
      </c>
      <c r="BM5423" t="s">
        <v>903</v>
      </c>
      <c r="BN5423" t="s">
        <v>904</v>
      </c>
      <c r="BO5423" t="s">
        <v>33426</v>
      </c>
      <c r="BP5423" t="s">
        <v>33427</v>
      </c>
      <c r="BR5423" t="s">
        <v>139</v>
      </c>
      <c r="BW5423" t="str">
        <f>""</f>
        <v/>
      </c>
      <c r="CH5423" t="str">
        <f>""</f>
        <v/>
      </c>
      <c r="CS5423" t="str">
        <f>""</f>
        <v/>
      </c>
    </row>
    <row r="5424" spans="1:97" x14ac:dyDescent="0.25">
      <c r="A5424" t="s">
        <v>1109</v>
      </c>
      <c r="B5424" t="s">
        <v>33428</v>
      </c>
      <c r="E5424" t="s">
        <v>33429</v>
      </c>
      <c r="F5424" t="s">
        <v>108</v>
      </c>
      <c r="H5424" t="s">
        <v>33430</v>
      </c>
      <c r="I5424" t="s">
        <v>632</v>
      </c>
      <c r="J5424" t="s">
        <v>111</v>
      </c>
      <c r="K5424" t="str">
        <f>"85379"</f>
        <v>85379</v>
      </c>
      <c r="L5424" t="s">
        <v>7834</v>
      </c>
      <c r="M5424" t="s">
        <v>33430</v>
      </c>
      <c r="N5424" t="s">
        <v>632</v>
      </c>
      <c r="O5424" t="s">
        <v>111</v>
      </c>
      <c r="P5424" t="str">
        <f>"85379-6130"</f>
        <v>85379-6130</v>
      </c>
      <c r="Q5424" t="s">
        <v>113</v>
      </c>
      <c r="R5424" t="str">
        <f>"501-17-516"</f>
        <v>501-17-516</v>
      </c>
      <c r="S5424" t="s">
        <v>33431</v>
      </c>
      <c r="U5424">
        <v>1597</v>
      </c>
      <c r="V5424">
        <v>0</v>
      </c>
      <c r="W5424">
        <v>2</v>
      </c>
      <c r="X5424">
        <v>1999</v>
      </c>
      <c r="Z5424">
        <v>1</v>
      </c>
      <c r="AA5424" t="s">
        <v>26</v>
      </c>
      <c r="AB5424">
        <v>0</v>
      </c>
      <c r="AC5424" t="s">
        <v>115</v>
      </c>
      <c r="AD5424">
        <v>2</v>
      </c>
      <c r="AE5424" t="s">
        <v>115</v>
      </c>
      <c r="AF5424">
        <v>0</v>
      </c>
      <c r="AG5424">
        <v>0</v>
      </c>
      <c r="AH5424" t="s">
        <v>116</v>
      </c>
      <c r="AI5424" s="1">
        <v>17253</v>
      </c>
      <c r="AJ5424" s="2">
        <v>7.0000000000000007E-2</v>
      </c>
      <c r="AK5424" s="1">
        <v>244513</v>
      </c>
      <c r="AL5424" t="s">
        <v>117</v>
      </c>
      <c r="AM5424" t="s">
        <v>118</v>
      </c>
      <c r="AN5424">
        <v>5520</v>
      </c>
      <c r="AO5424">
        <v>0.13</v>
      </c>
      <c r="AP5424">
        <v>1</v>
      </c>
      <c r="AR5424">
        <v>1</v>
      </c>
      <c r="AS5424" s="1">
        <v>16370</v>
      </c>
      <c r="AT5424" s="1">
        <v>3270</v>
      </c>
      <c r="AU5424" s="1">
        <v>13100</v>
      </c>
      <c r="AV5424">
        <v>80.02</v>
      </c>
      <c r="AX5424" s="1">
        <v>1135.7</v>
      </c>
      <c r="AY5424" t="s">
        <v>5818</v>
      </c>
      <c r="AZ5424" t="s">
        <v>5818</v>
      </c>
      <c r="BA5424" t="s">
        <v>321</v>
      </c>
      <c r="BE5424" s="3">
        <v>42137</v>
      </c>
      <c r="BF5424" s="1">
        <v>177000</v>
      </c>
      <c r="BG5424" t="s">
        <v>33432</v>
      </c>
      <c r="BH5424" s="1">
        <v>110.83</v>
      </c>
      <c r="BI5424" s="1">
        <v>227260</v>
      </c>
      <c r="BJ5424" s="3">
        <v>42991</v>
      </c>
      <c r="BK5424" t="s">
        <v>123</v>
      </c>
      <c r="BL5424" t="str">
        <f>"2017.674202"</f>
        <v>2017.674202</v>
      </c>
      <c r="BM5424" t="s">
        <v>361</v>
      </c>
      <c r="BO5424" t="s">
        <v>33433</v>
      </c>
      <c r="BS5424">
        <v>30</v>
      </c>
      <c r="BW5424" t="str">
        <f>""</f>
        <v/>
      </c>
      <c r="CH5424" t="str">
        <f>""</f>
        <v/>
      </c>
      <c r="CS5424" t="str">
        <f>""</f>
        <v/>
      </c>
    </row>
    <row r="5425" spans="1:97" x14ac:dyDescent="0.25">
      <c r="A5425" t="s">
        <v>2933</v>
      </c>
      <c r="B5425" t="s">
        <v>33434</v>
      </c>
      <c r="C5425" t="s">
        <v>33435</v>
      </c>
      <c r="D5425" t="s">
        <v>33434</v>
      </c>
      <c r="E5425" t="s">
        <v>33436</v>
      </c>
      <c r="F5425" t="s">
        <v>108</v>
      </c>
      <c r="H5425" t="s">
        <v>33437</v>
      </c>
      <c r="I5425" t="s">
        <v>632</v>
      </c>
      <c r="J5425" t="s">
        <v>111</v>
      </c>
      <c r="K5425" t="str">
        <f>"85379"</f>
        <v>85379</v>
      </c>
      <c r="L5425" t="s">
        <v>4751</v>
      </c>
      <c r="M5425" t="s">
        <v>33437</v>
      </c>
      <c r="N5425" t="s">
        <v>632</v>
      </c>
      <c r="O5425" t="s">
        <v>111</v>
      </c>
      <c r="P5425" t="str">
        <f>"85379-5019"</f>
        <v>85379-5019</v>
      </c>
      <c r="Q5425" t="s">
        <v>113</v>
      </c>
      <c r="R5425" t="str">
        <f>"509-11-471"</f>
        <v>509-11-471</v>
      </c>
      <c r="S5425" t="s">
        <v>24610</v>
      </c>
      <c r="U5425">
        <v>1853</v>
      </c>
      <c r="V5425">
        <v>0</v>
      </c>
      <c r="W5425">
        <v>3</v>
      </c>
      <c r="X5425">
        <v>2004</v>
      </c>
      <c r="Z5425">
        <v>1</v>
      </c>
      <c r="AB5425">
        <v>0</v>
      </c>
      <c r="AC5425" t="s">
        <v>115</v>
      </c>
      <c r="AD5425">
        <v>2</v>
      </c>
      <c r="AE5425" t="s">
        <v>115</v>
      </c>
      <c r="AF5425">
        <v>0</v>
      </c>
      <c r="AG5425">
        <v>0</v>
      </c>
      <c r="AH5425" t="s">
        <v>116</v>
      </c>
      <c r="AI5425" s="1">
        <v>56275</v>
      </c>
      <c r="AJ5425" s="2">
        <v>0.22</v>
      </c>
      <c r="AK5425" s="1">
        <v>256275</v>
      </c>
      <c r="AL5425" t="s">
        <v>117</v>
      </c>
      <c r="AM5425" t="s">
        <v>118</v>
      </c>
      <c r="AN5425">
        <v>6380</v>
      </c>
      <c r="AO5425">
        <v>0.15</v>
      </c>
      <c r="AR5425">
        <v>1</v>
      </c>
      <c r="AS5425" s="1">
        <v>17400</v>
      </c>
      <c r="AT5425" s="1">
        <v>3480</v>
      </c>
      <c r="AU5425" s="1">
        <v>13920</v>
      </c>
      <c r="AV5425">
        <v>80</v>
      </c>
      <c r="AX5425" s="1">
        <v>837.42</v>
      </c>
      <c r="AY5425" t="s">
        <v>6615</v>
      </c>
      <c r="AZ5425" t="s">
        <v>6615</v>
      </c>
      <c r="BA5425" t="s">
        <v>5061</v>
      </c>
      <c r="BE5425" s="3">
        <v>42419</v>
      </c>
      <c r="BF5425" s="1">
        <v>200000</v>
      </c>
      <c r="BG5425" t="s">
        <v>33438</v>
      </c>
      <c r="BH5425" s="1">
        <v>107.93</v>
      </c>
      <c r="BI5425" s="1">
        <v>200000</v>
      </c>
      <c r="BJ5425" s="3">
        <v>42419</v>
      </c>
      <c r="BK5425" t="s">
        <v>123</v>
      </c>
      <c r="BL5425" t="str">
        <f>"2016.105892"</f>
        <v>2016.105892</v>
      </c>
      <c r="BM5425" t="s">
        <v>131</v>
      </c>
      <c r="BO5425" t="s">
        <v>33439</v>
      </c>
      <c r="BS5425">
        <v>30</v>
      </c>
      <c r="BW5425" t="str">
        <f>""</f>
        <v/>
      </c>
      <c r="CH5425" t="str">
        <f>""</f>
        <v/>
      </c>
      <c r="CS5425" t="str">
        <f>""</f>
        <v/>
      </c>
    </row>
    <row r="5426" spans="1:97" x14ac:dyDescent="0.25">
      <c r="A5426" t="s">
        <v>548</v>
      </c>
      <c r="B5426" t="s">
        <v>33440</v>
      </c>
      <c r="E5426" t="s">
        <v>33441</v>
      </c>
      <c r="F5426" t="s">
        <v>108</v>
      </c>
      <c r="H5426" t="s">
        <v>33442</v>
      </c>
      <c r="I5426" t="s">
        <v>144</v>
      </c>
      <c r="J5426" t="s">
        <v>111</v>
      </c>
      <c r="K5426" t="str">
        <f>"85326"</f>
        <v>85326</v>
      </c>
      <c r="L5426" t="s">
        <v>2197</v>
      </c>
      <c r="M5426" t="s">
        <v>33442</v>
      </c>
      <c r="N5426" t="s">
        <v>144</v>
      </c>
      <c r="O5426" t="s">
        <v>111</v>
      </c>
      <c r="P5426" t="str">
        <f>"85326-3981"</f>
        <v>85326-3981</v>
      </c>
      <c r="Q5426" t="s">
        <v>113</v>
      </c>
      <c r="R5426" t="str">
        <f>"504-21-175"</f>
        <v>504-21-175</v>
      </c>
      <c r="S5426" t="s">
        <v>7947</v>
      </c>
      <c r="U5426">
        <v>1602</v>
      </c>
      <c r="V5426">
        <v>0</v>
      </c>
      <c r="W5426">
        <v>2</v>
      </c>
      <c r="X5426">
        <v>1986</v>
      </c>
      <c r="Z5426">
        <v>1</v>
      </c>
      <c r="AB5426">
        <v>0</v>
      </c>
      <c r="AC5426" t="s">
        <v>115</v>
      </c>
      <c r="AD5426">
        <v>2</v>
      </c>
      <c r="AE5426" t="s">
        <v>115</v>
      </c>
      <c r="AF5426">
        <v>0</v>
      </c>
      <c r="AG5426">
        <v>0</v>
      </c>
      <c r="AH5426" t="s">
        <v>116</v>
      </c>
      <c r="AI5426" s="1">
        <v>22620</v>
      </c>
      <c r="AJ5426" s="2">
        <v>0.08</v>
      </c>
      <c r="AK5426" s="1">
        <v>275705</v>
      </c>
      <c r="AL5426" t="s">
        <v>117</v>
      </c>
      <c r="AM5426" t="s">
        <v>7948</v>
      </c>
      <c r="AN5426">
        <v>43690</v>
      </c>
      <c r="AO5426">
        <v>1</v>
      </c>
      <c r="AP5426">
        <v>1</v>
      </c>
      <c r="AR5426">
        <v>1</v>
      </c>
      <c r="AS5426" s="1">
        <v>19770</v>
      </c>
      <c r="AT5426" s="1">
        <v>3950</v>
      </c>
      <c r="AU5426" s="1">
        <v>15820</v>
      </c>
      <c r="AV5426">
        <v>80.02</v>
      </c>
      <c r="AX5426" s="1">
        <v>1142.74</v>
      </c>
      <c r="AY5426" t="s">
        <v>2767</v>
      </c>
      <c r="AZ5426" t="s">
        <v>2767</v>
      </c>
      <c r="BA5426" t="s">
        <v>5025</v>
      </c>
      <c r="BE5426" s="3">
        <v>41716</v>
      </c>
      <c r="BF5426" s="1">
        <v>169000</v>
      </c>
      <c r="BG5426" t="s">
        <v>33443</v>
      </c>
      <c r="BH5426" s="1">
        <v>105.49</v>
      </c>
      <c r="BI5426" s="1">
        <v>253085</v>
      </c>
      <c r="BJ5426" s="3">
        <v>43552</v>
      </c>
      <c r="BK5426" t="s">
        <v>123</v>
      </c>
      <c r="BL5426" t="str">
        <f>"2019.215507"</f>
        <v>2019.215507</v>
      </c>
      <c r="BM5426" t="s">
        <v>1809</v>
      </c>
      <c r="BN5426" t="s">
        <v>1810</v>
      </c>
      <c r="BO5426" t="s">
        <v>33444</v>
      </c>
      <c r="BR5426" t="s">
        <v>139</v>
      </c>
      <c r="BW5426" t="str">
        <f>""</f>
        <v/>
      </c>
      <c r="CH5426" t="str">
        <f>""</f>
        <v/>
      </c>
      <c r="CS5426" t="str">
        <f>""</f>
        <v/>
      </c>
    </row>
    <row r="5427" spans="1:97" x14ac:dyDescent="0.25">
      <c r="A5427" t="s">
        <v>894</v>
      </c>
      <c r="B5427" t="s">
        <v>20099</v>
      </c>
      <c r="C5427" t="s">
        <v>220</v>
      </c>
      <c r="D5427" t="s">
        <v>20099</v>
      </c>
      <c r="E5427" t="s">
        <v>33445</v>
      </c>
      <c r="F5427" t="s">
        <v>108</v>
      </c>
      <c r="H5427" t="s">
        <v>33446</v>
      </c>
      <c r="I5427" t="s">
        <v>5387</v>
      </c>
      <c r="J5427" t="s">
        <v>111</v>
      </c>
      <c r="K5427" t="str">
        <f>"85282"</f>
        <v>85282</v>
      </c>
      <c r="L5427" t="s">
        <v>6169</v>
      </c>
      <c r="M5427" t="s">
        <v>33446</v>
      </c>
      <c r="N5427" t="s">
        <v>5387</v>
      </c>
      <c r="O5427" t="s">
        <v>111</v>
      </c>
      <c r="P5427" t="str">
        <f>"85282-2759"</f>
        <v>85282-2759</v>
      </c>
      <c r="Q5427" t="s">
        <v>113</v>
      </c>
      <c r="R5427" t="str">
        <f>"133-31-033"</f>
        <v>133-31-033</v>
      </c>
      <c r="S5427" t="s">
        <v>33447</v>
      </c>
      <c r="T5427" t="s">
        <v>11071</v>
      </c>
      <c r="U5427">
        <v>1952</v>
      </c>
      <c r="V5427">
        <v>0</v>
      </c>
      <c r="W5427">
        <v>2</v>
      </c>
      <c r="X5427">
        <v>1968</v>
      </c>
      <c r="Z5427">
        <v>1</v>
      </c>
      <c r="AA5427" t="s">
        <v>26</v>
      </c>
      <c r="AB5427">
        <v>0</v>
      </c>
      <c r="AC5427" t="s">
        <v>115</v>
      </c>
      <c r="AD5427">
        <v>2</v>
      </c>
      <c r="AE5427" t="s">
        <v>115</v>
      </c>
      <c r="AF5427">
        <v>0</v>
      </c>
      <c r="AG5427">
        <v>0</v>
      </c>
      <c r="AH5427" t="s">
        <v>116</v>
      </c>
      <c r="AI5427" s="1">
        <v>57720</v>
      </c>
      <c r="AJ5427" s="2">
        <v>0.15</v>
      </c>
      <c r="AK5427" s="1">
        <v>374720</v>
      </c>
      <c r="AL5427" t="s">
        <v>117</v>
      </c>
      <c r="AM5427" t="s">
        <v>191</v>
      </c>
      <c r="AN5427">
        <v>10968</v>
      </c>
      <c r="AO5427">
        <v>0.25</v>
      </c>
      <c r="AP5427">
        <v>1</v>
      </c>
      <c r="AR5427">
        <v>1</v>
      </c>
      <c r="AS5427" s="1">
        <v>25860</v>
      </c>
      <c r="AT5427" s="1">
        <v>5170</v>
      </c>
      <c r="AU5427" s="1">
        <v>20690</v>
      </c>
      <c r="AV5427">
        <v>80.010000000000005</v>
      </c>
      <c r="AX5427" s="1">
        <v>2170.3200000000002</v>
      </c>
      <c r="AY5427" t="s">
        <v>11072</v>
      </c>
      <c r="AZ5427" t="s">
        <v>11073</v>
      </c>
      <c r="BA5427" t="s">
        <v>10858</v>
      </c>
      <c r="BE5427" s="3">
        <v>42524</v>
      </c>
      <c r="BF5427" s="1">
        <v>317000</v>
      </c>
      <c r="BG5427" t="s">
        <v>33448</v>
      </c>
      <c r="BH5427" s="1">
        <v>162.4</v>
      </c>
      <c r="BI5427" s="1">
        <v>317000</v>
      </c>
      <c r="BJ5427" s="3">
        <v>42524</v>
      </c>
      <c r="BK5427" t="s">
        <v>123</v>
      </c>
      <c r="BL5427" t="str">
        <f>"2016.386233"</f>
        <v>2016.386233</v>
      </c>
      <c r="BM5427" t="s">
        <v>4014</v>
      </c>
      <c r="BO5427" t="s">
        <v>33449</v>
      </c>
      <c r="BS5427">
        <v>30</v>
      </c>
      <c r="BW5427" t="str">
        <f>""</f>
        <v/>
      </c>
      <c r="CH5427" t="str">
        <f>""</f>
        <v/>
      </c>
      <c r="CS5427" t="str">
        <f>""</f>
        <v/>
      </c>
    </row>
    <row r="5428" spans="1:97" x14ac:dyDescent="0.25">
      <c r="A5428" t="s">
        <v>10667</v>
      </c>
      <c r="B5428" t="s">
        <v>670</v>
      </c>
      <c r="C5428" t="s">
        <v>2852</v>
      </c>
      <c r="D5428" t="s">
        <v>670</v>
      </c>
      <c r="E5428" t="s">
        <v>33450</v>
      </c>
      <c r="F5428" t="s">
        <v>108</v>
      </c>
      <c r="H5428" t="s">
        <v>33451</v>
      </c>
      <c r="I5428" t="s">
        <v>225</v>
      </c>
      <c r="J5428" t="s">
        <v>111</v>
      </c>
      <c r="K5428" t="str">
        <f>"85215"</f>
        <v>85215</v>
      </c>
      <c r="L5428" t="s">
        <v>8255</v>
      </c>
      <c r="M5428" t="s">
        <v>33451</v>
      </c>
      <c r="N5428" t="s">
        <v>225</v>
      </c>
      <c r="O5428" t="s">
        <v>111</v>
      </c>
      <c r="P5428" t="str">
        <f>"85215"</f>
        <v>85215</v>
      </c>
      <c r="Q5428" t="s">
        <v>113</v>
      </c>
      <c r="R5428" t="str">
        <f>"141-69-531"</f>
        <v>141-69-531</v>
      </c>
      <c r="S5428" t="s">
        <v>16959</v>
      </c>
      <c r="T5428" t="s">
        <v>758</v>
      </c>
      <c r="U5428">
        <v>2588</v>
      </c>
      <c r="V5428">
        <v>0</v>
      </c>
      <c r="W5428">
        <v>3</v>
      </c>
      <c r="X5428">
        <v>1991</v>
      </c>
      <c r="Z5428">
        <v>1</v>
      </c>
      <c r="AA5428" t="s">
        <v>26</v>
      </c>
      <c r="AB5428">
        <v>0</v>
      </c>
      <c r="AC5428" t="s">
        <v>115</v>
      </c>
      <c r="AD5428">
        <v>3</v>
      </c>
      <c r="AE5428" t="s">
        <v>115</v>
      </c>
      <c r="AF5428">
        <v>0</v>
      </c>
      <c r="AG5428">
        <v>0</v>
      </c>
      <c r="AH5428" t="s">
        <v>116</v>
      </c>
      <c r="AI5428" s="1">
        <v>107144</v>
      </c>
      <c r="AJ5428" s="2">
        <v>0.28000000000000003</v>
      </c>
      <c r="AK5428" s="1">
        <v>379669</v>
      </c>
      <c r="AL5428" t="s">
        <v>117</v>
      </c>
      <c r="AM5428" t="s">
        <v>917</v>
      </c>
      <c r="AN5428">
        <v>9752</v>
      </c>
      <c r="AO5428">
        <v>0.22</v>
      </c>
      <c r="AP5428">
        <v>1</v>
      </c>
      <c r="AR5428">
        <v>1</v>
      </c>
      <c r="AS5428" s="1">
        <v>27860</v>
      </c>
      <c r="AT5428" s="1">
        <v>5570</v>
      </c>
      <c r="AU5428" s="1">
        <v>22290</v>
      </c>
      <c r="AV5428">
        <v>80.010000000000005</v>
      </c>
      <c r="AX5428" s="1">
        <v>2322.62</v>
      </c>
      <c r="AY5428" t="s">
        <v>6662</v>
      </c>
      <c r="AZ5428" t="s">
        <v>5275</v>
      </c>
      <c r="BA5428" t="s">
        <v>3119</v>
      </c>
      <c r="BE5428" s="3">
        <v>42223</v>
      </c>
      <c r="BF5428" s="1">
        <v>265000</v>
      </c>
      <c r="BG5428" t="s">
        <v>33452</v>
      </c>
      <c r="BH5428" s="1">
        <v>102.4</v>
      </c>
      <c r="BI5428" s="1">
        <v>272525</v>
      </c>
      <c r="BJ5428" s="3">
        <v>42223</v>
      </c>
      <c r="BK5428" t="s">
        <v>123</v>
      </c>
      <c r="BL5428" t="str">
        <f>"2015.575326"</f>
        <v>2015.575326</v>
      </c>
      <c r="BM5428" t="s">
        <v>724</v>
      </c>
      <c r="BO5428" t="s">
        <v>33453</v>
      </c>
      <c r="BS5428">
        <v>30</v>
      </c>
      <c r="BW5428" t="str">
        <f>""</f>
        <v/>
      </c>
      <c r="CH5428" t="str">
        <f>""</f>
        <v/>
      </c>
      <c r="CS5428" t="str">
        <f>""</f>
        <v/>
      </c>
    </row>
    <row r="5429" spans="1:97" x14ac:dyDescent="0.25">
      <c r="A5429" t="s">
        <v>4229</v>
      </c>
      <c r="B5429" t="s">
        <v>3147</v>
      </c>
      <c r="C5429" t="s">
        <v>33454</v>
      </c>
      <c r="D5429" t="s">
        <v>3147</v>
      </c>
      <c r="E5429" t="s">
        <v>33455</v>
      </c>
      <c r="F5429" t="s">
        <v>108</v>
      </c>
      <c r="H5429" t="s">
        <v>33456</v>
      </c>
      <c r="I5429" t="s">
        <v>374</v>
      </c>
      <c r="J5429" t="s">
        <v>111</v>
      </c>
      <c r="K5429" t="str">
        <f>"85087"</f>
        <v>85087</v>
      </c>
      <c r="L5429" t="s">
        <v>375</v>
      </c>
      <c r="M5429" t="s">
        <v>33456</v>
      </c>
      <c r="N5429" t="s">
        <v>374</v>
      </c>
      <c r="O5429" t="s">
        <v>111</v>
      </c>
      <c r="P5429" t="str">
        <f>"85087-6138"</f>
        <v>85087-6138</v>
      </c>
      <c r="Q5429" t="s">
        <v>113</v>
      </c>
      <c r="R5429" t="str">
        <f>"202-23-091"</f>
        <v>202-23-091</v>
      </c>
      <c r="S5429" t="s">
        <v>10584</v>
      </c>
      <c r="T5429" t="s">
        <v>664</v>
      </c>
      <c r="U5429">
        <v>2565</v>
      </c>
      <c r="V5429">
        <v>0</v>
      </c>
      <c r="W5429">
        <v>4</v>
      </c>
      <c r="X5429">
        <v>2014</v>
      </c>
      <c r="Z5429">
        <v>1</v>
      </c>
      <c r="AA5429" t="s">
        <v>26</v>
      </c>
      <c r="AB5429">
        <v>0</v>
      </c>
      <c r="AC5429" t="s">
        <v>115</v>
      </c>
      <c r="AD5429">
        <v>2</v>
      </c>
      <c r="AE5429" t="s">
        <v>115</v>
      </c>
      <c r="AF5429">
        <v>0</v>
      </c>
      <c r="AG5429">
        <v>0</v>
      </c>
      <c r="AH5429" t="s">
        <v>116</v>
      </c>
      <c r="AI5429" s="1">
        <v>86501</v>
      </c>
      <c r="AJ5429" s="2">
        <v>0.22</v>
      </c>
      <c r="AK5429" s="1">
        <v>399882</v>
      </c>
      <c r="AL5429" t="s">
        <v>117</v>
      </c>
      <c r="AM5429" t="s">
        <v>393</v>
      </c>
      <c r="AN5429">
        <v>8282</v>
      </c>
      <c r="AO5429">
        <v>0.19</v>
      </c>
      <c r="AR5429">
        <v>1</v>
      </c>
      <c r="AS5429" s="1">
        <v>30120</v>
      </c>
      <c r="AT5429" s="1">
        <v>6020</v>
      </c>
      <c r="AU5429" s="1">
        <v>24100</v>
      </c>
      <c r="AV5429">
        <v>80.010000000000005</v>
      </c>
      <c r="AX5429" s="1">
        <v>2787.4</v>
      </c>
      <c r="AY5429" t="s">
        <v>665</v>
      </c>
      <c r="AZ5429" t="s">
        <v>665</v>
      </c>
      <c r="BA5429" t="s">
        <v>378</v>
      </c>
      <c r="BE5429" s="3">
        <v>42355</v>
      </c>
      <c r="BF5429" s="1">
        <v>325000</v>
      </c>
      <c r="BG5429" t="s">
        <v>33457</v>
      </c>
      <c r="BH5429" s="1">
        <v>126.71</v>
      </c>
      <c r="BI5429" s="1">
        <v>313381</v>
      </c>
      <c r="BJ5429" s="3">
        <v>42355</v>
      </c>
      <c r="BK5429" t="s">
        <v>123</v>
      </c>
      <c r="BL5429" t="str">
        <f>"2015.890978"</f>
        <v>2015.890978</v>
      </c>
      <c r="BM5429" t="s">
        <v>724</v>
      </c>
      <c r="BO5429" t="s">
        <v>33458</v>
      </c>
      <c r="BS5429">
        <v>30</v>
      </c>
      <c r="BW5429" t="str">
        <f>""</f>
        <v/>
      </c>
      <c r="CH5429" t="str">
        <f>""</f>
        <v/>
      </c>
      <c r="CS5429" t="str">
        <f>""</f>
        <v/>
      </c>
    </row>
    <row r="5430" spans="1:97" x14ac:dyDescent="0.25">
      <c r="A5430" t="s">
        <v>128</v>
      </c>
      <c r="B5430" t="s">
        <v>33459</v>
      </c>
      <c r="C5430" t="s">
        <v>2761</v>
      </c>
      <c r="D5430" t="s">
        <v>33460</v>
      </c>
      <c r="E5430" t="s">
        <v>33461</v>
      </c>
      <c r="F5430" t="s">
        <v>108</v>
      </c>
      <c r="H5430" t="s">
        <v>33462</v>
      </c>
      <c r="I5430" t="s">
        <v>374</v>
      </c>
      <c r="J5430" t="s">
        <v>111</v>
      </c>
      <c r="K5430" t="str">
        <f>"85087"</f>
        <v>85087</v>
      </c>
      <c r="L5430" t="s">
        <v>375</v>
      </c>
      <c r="M5430" t="s">
        <v>33462</v>
      </c>
      <c r="N5430" t="s">
        <v>374</v>
      </c>
      <c r="O5430" t="s">
        <v>111</v>
      </c>
      <c r="P5430" t="str">
        <f>"85087-6128"</f>
        <v>85087-6128</v>
      </c>
      <c r="Q5430" t="s">
        <v>113</v>
      </c>
      <c r="R5430" t="str">
        <f>"202-23-087"</f>
        <v>202-23-087</v>
      </c>
      <c r="S5430" t="s">
        <v>10584</v>
      </c>
      <c r="T5430" t="s">
        <v>664</v>
      </c>
      <c r="U5430">
        <v>3777</v>
      </c>
      <c r="V5430">
        <v>0</v>
      </c>
      <c r="W5430">
        <v>5</v>
      </c>
      <c r="X5430">
        <v>2013</v>
      </c>
      <c r="Z5430">
        <v>2</v>
      </c>
      <c r="AB5430">
        <v>0</v>
      </c>
      <c r="AC5430" t="s">
        <v>115</v>
      </c>
      <c r="AD5430">
        <v>4</v>
      </c>
      <c r="AE5430" t="s">
        <v>115</v>
      </c>
      <c r="AF5430">
        <v>0</v>
      </c>
      <c r="AG5430">
        <v>0</v>
      </c>
      <c r="AH5430" t="s">
        <v>116</v>
      </c>
      <c r="AI5430" s="1">
        <v>140199</v>
      </c>
      <c r="AJ5430" s="2">
        <v>0.31</v>
      </c>
      <c r="AK5430" s="1">
        <v>452549</v>
      </c>
      <c r="AL5430" t="s">
        <v>117</v>
      </c>
      <c r="AM5430" t="s">
        <v>393</v>
      </c>
      <c r="AN5430">
        <v>7611</v>
      </c>
      <c r="AO5430">
        <v>0.18</v>
      </c>
      <c r="AR5430">
        <v>1</v>
      </c>
      <c r="AS5430" s="1">
        <v>32030</v>
      </c>
      <c r="AT5430" s="1">
        <v>6400</v>
      </c>
      <c r="AU5430" s="1">
        <v>25630</v>
      </c>
      <c r="AV5430">
        <v>80.02</v>
      </c>
      <c r="AX5430" s="1">
        <v>3336.92</v>
      </c>
      <c r="AY5430" t="s">
        <v>665</v>
      </c>
      <c r="AZ5430" t="s">
        <v>665</v>
      </c>
      <c r="BA5430" t="s">
        <v>378</v>
      </c>
      <c r="BE5430" s="3">
        <v>41701</v>
      </c>
      <c r="BF5430" s="1">
        <v>369900</v>
      </c>
      <c r="BG5430" t="s">
        <v>209</v>
      </c>
      <c r="BH5430" s="1">
        <v>97.93</v>
      </c>
      <c r="BI5430" s="1">
        <v>312350</v>
      </c>
      <c r="BJ5430" s="3">
        <v>42626</v>
      </c>
      <c r="BK5430" t="s">
        <v>123</v>
      </c>
      <c r="BL5430" t="str">
        <f>"2016.664011"</f>
        <v>2016.664011</v>
      </c>
      <c r="BM5430" t="s">
        <v>124</v>
      </c>
      <c r="BO5430" t="s">
        <v>33463</v>
      </c>
      <c r="BP5430" t="s">
        <v>33464</v>
      </c>
      <c r="BS5430">
        <v>28</v>
      </c>
      <c r="BW5430" t="str">
        <f>""</f>
        <v/>
      </c>
      <c r="CH5430" t="str">
        <f>""</f>
        <v/>
      </c>
      <c r="CS5430" t="str">
        <f>""</f>
        <v/>
      </c>
    </row>
    <row r="5431" spans="1:97" x14ac:dyDescent="0.25">
      <c r="A5431" t="s">
        <v>7158</v>
      </c>
      <c r="B5431" t="s">
        <v>33465</v>
      </c>
      <c r="C5431" t="s">
        <v>4325</v>
      </c>
      <c r="D5431" t="s">
        <v>33465</v>
      </c>
      <c r="E5431" t="s">
        <v>33466</v>
      </c>
      <c r="F5431" t="s">
        <v>108</v>
      </c>
      <c r="H5431" t="s">
        <v>33467</v>
      </c>
      <c r="I5431" t="s">
        <v>632</v>
      </c>
      <c r="J5431" t="s">
        <v>111</v>
      </c>
      <c r="K5431" t="str">
        <f>"85379"</f>
        <v>85379</v>
      </c>
      <c r="L5431" t="s">
        <v>269</v>
      </c>
      <c r="M5431" t="s">
        <v>33467</v>
      </c>
      <c r="N5431" t="s">
        <v>632</v>
      </c>
      <c r="O5431" t="s">
        <v>111</v>
      </c>
      <c r="P5431" t="str">
        <f>"85379-4815"</f>
        <v>85379-4815</v>
      </c>
      <c r="R5431" t="str">
        <f>"501-40-498"</f>
        <v>501-40-498</v>
      </c>
      <c r="S5431" t="s">
        <v>27499</v>
      </c>
      <c r="U5431">
        <v>2407</v>
      </c>
      <c r="V5431">
        <v>0</v>
      </c>
      <c r="W5431">
        <v>3</v>
      </c>
      <c r="X5431">
        <v>2006</v>
      </c>
      <c r="Z5431">
        <v>1</v>
      </c>
      <c r="AB5431">
        <v>0</v>
      </c>
      <c r="AC5431" t="s">
        <v>115</v>
      </c>
      <c r="AD5431">
        <v>3</v>
      </c>
      <c r="AE5431" t="s">
        <v>115</v>
      </c>
      <c r="AF5431">
        <v>0</v>
      </c>
      <c r="AG5431">
        <v>0</v>
      </c>
      <c r="AH5431" t="s">
        <v>116</v>
      </c>
      <c r="AI5431" s="1">
        <v>107451</v>
      </c>
      <c r="AJ5431" s="2">
        <v>0.34</v>
      </c>
      <c r="AK5431" s="1">
        <v>317351</v>
      </c>
      <c r="AL5431" t="s">
        <v>117</v>
      </c>
      <c r="AM5431" t="s">
        <v>118</v>
      </c>
      <c r="AN5431">
        <v>8347</v>
      </c>
      <c r="AO5431">
        <v>0.19</v>
      </c>
      <c r="AR5431">
        <v>1</v>
      </c>
      <c r="AS5431" s="1">
        <v>22420</v>
      </c>
      <c r="AT5431" s="1">
        <v>4480</v>
      </c>
      <c r="AU5431" s="1">
        <v>17940</v>
      </c>
      <c r="AV5431">
        <v>80.02</v>
      </c>
      <c r="AX5431" s="1">
        <v>1743.52</v>
      </c>
      <c r="AY5431" t="s">
        <v>5060</v>
      </c>
      <c r="AZ5431" t="s">
        <v>5060</v>
      </c>
      <c r="BA5431" t="s">
        <v>5061</v>
      </c>
      <c r="BE5431" s="3">
        <v>41738</v>
      </c>
      <c r="BF5431" s="1">
        <v>209900</v>
      </c>
      <c r="BG5431" t="s">
        <v>837</v>
      </c>
      <c r="BH5431" s="1">
        <v>87.2</v>
      </c>
      <c r="BI5431" s="1">
        <v>209900</v>
      </c>
      <c r="BJ5431" s="3">
        <v>41738</v>
      </c>
      <c r="BK5431" t="s">
        <v>123</v>
      </c>
      <c r="BL5431" t="str">
        <f>"2014.229255"</f>
        <v>2014.229255</v>
      </c>
      <c r="BM5431" t="s">
        <v>2683</v>
      </c>
      <c r="BN5431" t="s">
        <v>5052</v>
      </c>
      <c r="BO5431" t="s">
        <v>33468</v>
      </c>
      <c r="BS5431">
        <v>30</v>
      </c>
      <c r="BW5431" t="str">
        <f>""</f>
        <v/>
      </c>
      <c r="CH5431" t="str">
        <f>""</f>
        <v/>
      </c>
      <c r="CS5431" t="str">
        <f>""</f>
        <v/>
      </c>
    </row>
    <row r="5432" spans="1:97" x14ac:dyDescent="0.25">
      <c r="A5432" t="s">
        <v>325</v>
      </c>
      <c r="B5432" t="s">
        <v>6231</v>
      </c>
      <c r="C5432" t="s">
        <v>33469</v>
      </c>
      <c r="D5432" t="s">
        <v>6231</v>
      </c>
      <c r="E5432" t="s">
        <v>33470</v>
      </c>
      <c r="F5432" t="s">
        <v>108</v>
      </c>
      <c r="H5432" t="s">
        <v>33471</v>
      </c>
      <c r="I5432" t="s">
        <v>2874</v>
      </c>
      <c r="J5432" t="s">
        <v>111</v>
      </c>
      <c r="K5432" t="str">
        <f>"85310"</f>
        <v>85310</v>
      </c>
      <c r="L5432" t="s">
        <v>3885</v>
      </c>
      <c r="M5432" t="s">
        <v>33471</v>
      </c>
      <c r="N5432" t="s">
        <v>2874</v>
      </c>
      <c r="O5432" t="s">
        <v>111</v>
      </c>
      <c r="P5432" t="str">
        <f>"85310-3647"</f>
        <v>85310-3647</v>
      </c>
      <c r="Q5432" t="s">
        <v>113</v>
      </c>
      <c r="R5432" t="str">
        <f>"201-11-649"</f>
        <v>201-11-649</v>
      </c>
      <c r="S5432" t="s">
        <v>24903</v>
      </c>
      <c r="T5432" t="s">
        <v>24904</v>
      </c>
      <c r="U5432">
        <v>2847</v>
      </c>
      <c r="V5432">
        <v>0</v>
      </c>
      <c r="W5432">
        <v>4</v>
      </c>
      <c r="X5432">
        <v>1996</v>
      </c>
      <c r="Z5432">
        <v>2</v>
      </c>
      <c r="AA5432" t="s">
        <v>26</v>
      </c>
      <c r="AB5432">
        <v>0</v>
      </c>
      <c r="AC5432" t="s">
        <v>115</v>
      </c>
      <c r="AD5432">
        <v>3</v>
      </c>
      <c r="AE5432" t="s">
        <v>115</v>
      </c>
      <c r="AF5432">
        <v>0</v>
      </c>
      <c r="AG5432">
        <v>0</v>
      </c>
      <c r="AH5432" t="s">
        <v>116</v>
      </c>
      <c r="AI5432" s="1">
        <v>89540</v>
      </c>
      <c r="AJ5432" s="2">
        <v>0.2</v>
      </c>
      <c r="AK5432" s="1">
        <v>446312</v>
      </c>
      <c r="AL5432" t="s">
        <v>117</v>
      </c>
      <c r="AM5432" t="s">
        <v>1302</v>
      </c>
      <c r="AN5432">
        <v>13760</v>
      </c>
      <c r="AO5432">
        <v>0.32</v>
      </c>
      <c r="AP5432">
        <v>1</v>
      </c>
      <c r="AR5432">
        <v>1</v>
      </c>
      <c r="AS5432" s="1">
        <v>31700</v>
      </c>
      <c r="AT5432" s="1">
        <v>6340</v>
      </c>
      <c r="AU5432" s="1">
        <v>25360</v>
      </c>
      <c r="AV5432">
        <v>80</v>
      </c>
      <c r="AX5432" s="1">
        <v>3123.02</v>
      </c>
      <c r="AY5432" t="s">
        <v>5125</v>
      </c>
      <c r="AZ5432" t="s">
        <v>3049</v>
      </c>
      <c r="BA5432" t="s">
        <v>1386</v>
      </c>
      <c r="BE5432" s="3">
        <v>42451</v>
      </c>
      <c r="BF5432" s="1">
        <v>370000</v>
      </c>
      <c r="BG5432" t="s">
        <v>33472</v>
      </c>
      <c r="BH5432" s="1">
        <v>129.96</v>
      </c>
      <c r="BI5432" s="1">
        <v>356772</v>
      </c>
      <c r="BJ5432" s="3">
        <v>42451</v>
      </c>
      <c r="BK5432" t="s">
        <v>123</v>
      </c>
      <c r="BL5432" t="str">
        <f>"2016.182835"</f>
        <v>2016.182835</v>
      </c>
      <c r="BM5432" t="s">
        <v>699</v>
      </c>
      <c r="BO5432" t="s">
        <v>33473</v>
      </c>
      <c r="BS5432">
        <v>30</v>
      </c>
      <c r="BW5432" t="str">
        <f>""</f>
        <v/>
      </c>
      <c r="CH5432" t="str">
        <f>""</f>
        <v/>
      </c>
      <c r="CS5432" t="str">
        <f>""</f>
        <v/>
      </c>
    </row>
    <row r="5433" spans="1:97" x14ac:dyDescent="0.25">
      <c r="A5433" t="s">
        <v>33474</v>
      </c>
      <c r="B5433" t="s">
        <v>33475</v>
      </c>
      <c r="C5433" t="s">
        <v>31775</v>
      </c>
      <c r="D5433" t="s">
        <v>33475</v>
      </c>
      <c r="E5433" t="s">
        <v>33476</v>
      </c>
      <c r="F5433" t="s">
        <v>108</v>
      </c>
      <c r="H5433" t="s">
        <v>33477</v>
      </c>
      <c r="I5433" t="s">
        <v>453</v>
      </c>
      <c r="J5433" t="s">
        <v>111</v>
      </c>
      <c r="K5433" t="str">
        <f>"85382"</f>
        <v>85382</v>
      </c>
      <c r="L5433" t="s">
        <v>5743</v>
      </c>
      <c r="M5433" t="s">
        <v>33477</v>
      </c>
      <c r="N5433" t="s">
        <v>453</v>
      </c>
      <c r="O5433" t="s">
        <v>111</v>
      </c>
      <c r="P5433" t="str">
        <f>"85382-2490"</f>
        <v>85382-2490</v>
      </c>
      <c r="Q5433" t="s">
        <v>113</v>
      </c>
      <c r="R5433" t="str">
        <f>"200-16-424"</f>
        <v>200-16-424</v>
      </c>
      <c r="S5433" t="s">
        <v>22411</v>
      </c>
      <c r="T5433" t="s">
        <v>22411</v>
      </c>
      <c r="U5433">
        <v>4015</v>
      </c>
      <c r="V5433">
        <v>0</v>
      </c>
      <c r="W5433">
        <v>4</v>
      </c>
      <c r="X5433">
        <v>1998</v>
      </c>
      <c r="Z5433">
        <v>2</v>
      </c>
      <c r="AA5433" t="s">
        <v>26</v>
      </c>
      <c r="AB5433">
        <v>0</v>
      </c>
      <c r="AC5433" t="s">
        <v>115</v>
      </c>
      <c r="AD5433">
        <v>3</v>
      </c>
      <c r="AE5433" t="s">
        <v>115</v>
      </c>
      <c r="AF5433">
        <v>0</v>
      </c>
      <c r="AG5433">
        <v>0</v>
      </c>
      <c r="AH5433" t="s">
        <v>116</v>
      </c>
      <c r="AI5433" s="1">
        <v>100094</v>
      </c>
      <c r="AJ5433" s="2">
        <v>0.2</v>
      </c>
      <c r="AK5433" s="1">
        <v>508317</v>
      </c>
      <c r="AL5433" t="s">
        <v>117</v>
      </c>
      <c r="AM5433" t="s">
        <v>5791</v>
      </c>
      <c r="AN5433">
        <v>19798</v>
      </c>
      <c r="AO5433">
        <v>0.45</v>
      </c>
      <c r="AP5433">
        <v>1</v>
      </c>
      <c r="AR5433">
        <v>1</v>
      </c>
      <c r="AS5433" s="1">
        <v>35860</v>
      </c>
      <c r="AT5433" s="1">
        <v>7170</v>
      </c>
      <c r="AU5433" s="1">
        <v>28690</v>
      </c>
      <c r="AV5433">
        <v>80.010000000000005</v>
      </c>
      <c r="AX5433" s="1">
        <v>3462.24</v>
      </c>
      <c r="AY5433" t="s">
        <v>6311</v>
      </c>
      <c r="AZ5433" t="s">
        <v>6311</v>
      </c>
      <c r="BA5433" t="s">
        <v>4219</v>
      </c>
      <c r="BE5433" s="3">
        <v>41698</v>
      </c>
      <c r="BF5433" s="1">
        <v>420000</v>
      </c>
      <c r="BG5433" t="s">
        <v>33478</v>
      </c>
      <c r="BH5433" s="1">
        <v>104.61</v>
      </c>
      <c r="BI5433" s="1">
        <v>408223</v>
      </c>
      <c r="BJ5433" s="3">
        <v>43389</v>
      </c>
      <c r="BK5433" t="s">
        <v>123</v>
      </c>
      <c r="BL5433" t="str">
        <f>"2018.774049"</f>
        <v>2018.774049</v>
      </c>
      <c r="BM5433" t="s">
        <v>7228</v>
      </c>
      <c r="BN5433" t="s">
        <v>7229</v>
      </c>
      <c r="BO5433" t="s">
        <v>33479</v>
      </c>
      <c r="BP5433" t="s">
        <v>33480</v>
      </c>
      <c r="BR5433" t="s">
        <v>139</v>
      </c>
      <c r="BW5433" t="str">
        <f>""</f>
        <v/>
      </c>
      <c r="CH5433" t="str">
        <f>""</f>
        <v/>
      </c>
      <c r="CS5433" t="str">
        <f>""</f>
        <v/>
      </c>
    </row>
    <row r="5434" spans="1:97" x14ac:dyDescent="0.25">
      <c r="A5434" t="s">
        <v>13366</v>
      </c>
      <c r="B5434" t="s">
        <v>33481</v>
      </c>
      <c r="C5434" t="s">
        <v>1011</v>
      </c>
      <c r="D5434" t="s">
        <v>33481</v>
      </c>
      <c r="E5434" t="s">
        <v>33482</v>
      </c>
      <c r="F5434" t="s">
        <v>108</v>
      </c>
      <c r="H5434" t="s">
        <v>33483</v>
      </c>
      <c r="I5434" t="s">
        <v>203</v>
      </c>
      <c r="J5434" t="s">
        <v>111</v>
      </c>
      <c r="K5434" t="str">
        <f>"85297"</f>
        <v>85297</v>
      </c>
      <c r="L5434" t="s">
        <v>4698</v>
      </c>
      <c r="M5434" t="s">
        <v>33483</v>
      </c>
      <c r="N5434" t="s">
        <v>203</v>
      </c>
      <c r="O5434" t="s">
        <v>111</v>
      </c>
      <c r="P5434" t="str">
        <f>"85297-9402"</f>
        <v>85297-9402</v>
      </c>
      <c r="Q5434" t="s">
        <v>113</v>
      </c>
      <c r="R5434" t="str">
        <f>"304-60-532"</f>
        <v>304-60-532</v>
      </c>
      <c r="S5434" t="s">
        <v>33484</v>
      </c>
      <c r="U5434">
        <v>2309</v>
      </c>
      <c r="V5434">
        <v>0</v>
      </c>
      <c r="W5434">
        <v>3</v>
      </c>
      <c r="X5434">
        <v>2001</v>
      </c>
      <c r="Z5434">
        <v>1</v>
      </c>
      <c r="AA5434" t="s">
        <v>26</v>
      </c>
      <c r="AB5434">
        <v>0</v>
      </c>
      <c r="AC5434" t="s">
        <v>115</v>
      </c>
      <c r="AD5434">
        <v>2</v>
      </c>
      <c r="AE5434" t="s">
        <v>115</v>
      </c>
      <c r="AF5434">
        <v>0</v>
      </c>
      <c r="AG5434">
        <v>0</v>
      </c>
      <c r="AH5434" t="s">
        <v>116</v>
      </c>
      <c r="AI5434" s="1">
        <v>81214</v>
      </c>
      <c r="AJ5434" s="2">
        <v>0.22</v>
      </c>
      <c r="AK5434" s="1">
        <v>375619</v>
      </c>
      <c r="AL5434" t="s">
        <v>117</v>
      </c>
      <c r="AM5434" t="s">
        <v>393</v>
      </c>
      <c r="AN5434">
        <v>7700</v>
      </c>
      <c r="AO5434">
        <v>0.18</v>
      </c>
      <c r="AP5434">
        <v>1</v>
      </c>
      <c r="AR5434">
        <v>1</v>
      </c>
      <c r="AS5434" s="1">
        <v>26000</v>
      </c>
      <c r="AT5434" s="1">
        <v>5200</v>
      </c>
      <c r="AU5434" s="1">
        <v>20800</v>
      </c>
      <c r="AV5434">
        <v>80</v>
      </c>
      <c r="AX5434" s="1">
        <v>2137.96</v>
      </c>
      <c r="AY5434" t="s">
        <v>7512</v>
      </c>
      <c r="AZ5434" t="s">
        <v>7512</v>
      </c>
      <c r="BA5434" t="s">
        <v>473</v>
      </c>
      <c r="BE5434" s="3">
        <v>42122</v>
      </c>
      <c r="BF5434" s="1">
        <v>285000</v>
      </c>
      <c r="BG5434" t="s">
        <v>33485</v>
      </c>
      <c r="BH5434" s="1">
        <v>123.43</v>
      </c>
      <c r="BI5434" s="1">
        <v>294405</v>
      </c>
      <c r="BJ5434" s="3">
        <v>42122</v>
      </c>
      <c r="BK5434" t="s">
        <v>123</v>
      </c>
      <c r="BL5434" t="str">
        <f>"2015.293502"</f>
        <v>2015.293502</v>
      </c>
      <c r="BM5434" t="s">
        <v>1044</v>
      </c>
      <c r="BO5434" t="s">
        <v>33486</v>
      </c>
      <c r="BS5434">
        <v>30</v>
      </c>
      <c r="BW5434" t="str">
        <f>""</f>
        <v/>
      </c>
      <c r="CH5434" t="str">
        <f>""</f>
        <v/>
      </c>
      <c r="CS5434" t="str">
        <f>""</f>
        <v/>
      </c>
    </row>
    <row r="5435" spans="1:97" x14ac:dyDescent="0.25">
      <c r="A5435" t="s">
        <v>305</v>
      </c>
      <c r="B5435" t="s">
        <v>33487</v>
      </c>
      <c r="E5435" t="s">
        <v>33488</v>
      </c>
      <c r="F5435" t="s">
        <v>108</v>
      </c>
      <c r="H5435" t="s">
        <v>33489</v>
      </c>
      <c r="I5435" t="s">
        <v>499</v>
      </c>
      <c r="J5435" t="s">
        <v>111</v>
      </c>
      <c r="K5435" t="str">
        <f>"85338"</f>
        <v>85338</v>
      </c>
      <c r="L5435" t="s">
        <v>6481</v>
      </c>
      <c r="M5435" t="s">
        <v>33489</v>
      </c>
      <c r="N5435" t="s">
        <v>499</v>
      </c>
      <c r="O5435" t="s">
        <v>111</v>
      </c>
      <c r="P5435" t="str">
        <f>"85338-4649"</f>
        <v>85338-4649</v>
      </c>
      <c r="Q5435" t="s">
        <v>113</v>
      </c>
      <c r="R5435" t="str">
        <f>"500-05-874"</f>
        <v>500-05-874</v>
      </c>
      <c r="S5435" t="s">
        <v>28432</v>
      </c>
      <c r="T5435" t="s">
        <v>28432</v>
      </c>
      <c r="U5435">
        <v>1939</v>
      </c>
      <c r="V5435">
        <v>0</v>
      </c>
      <c r="W5435">
        <v>3</v>
      </c>
      <c r="X5435">
        <v>2016</v>
      </c>
      <c r="Z5435">
        <v>1</v>
      </c>
      <c r="AB5435">
        <v>0</v>
      </c>
      <c r="AC5435" t="s">
        <v>115</v>
      </c>
      <c r="AD5435">
        <v>3</v>
      </c>
      <c r="AE5435" t="s">
        <v>115</v>
      </c>
      <c r="AF5435">
        <v>0</v>
      </c>
      <c r="AG5435">
        <v>0</v>
      </c>
      <c r="AH5435" t="s">
        <v>116</v>
      </c>
      <c r="AI5435" s="1">
        <v>20951</v>
      </c>
      <c r="AJ5435" s="2">
        <v>7.0000000000000007E-2</v>
      </c>
      <c r="AK5435" s="1">
        <v>286403</v>
      </c>
      <c r="AL5435" t="s">
        <v>117</v>
      </c>
      <c r="AM5435" t="s">
        <v>393</v>
      </c>
      <c r="AN5435">
        <v>9481</v>
      </c>
      <c r="AO5435">
        <v>0.22</v>
      </c>
      <c r="AR5435">
        <v>1</v>
      </c>
      <c r="AS5435" s="1">
        <v>21030</v>
      </c>
      <c r="AT5435" s="1">
        <v>4200</v>
      </c>
      <c r="AU5435" s="1">
        <v>16830</v>
      </c>
      <c r="AV5435">
        <v>80.03</v>
      </c>
      <c r="AX5435" s="1">
        <v>1820.64</v>
      </c>
      <c r="AY5435" t="s">
        <v>6319</v>
      </c>
      <c r="AZ5435" t="s">
        <v>6319</v>
      </c>
      <c r="BA5435" t="s">
        <v>7186</v>
      </c>
      <c r="BE5435" s="3">
        <v>42489</v>
      </c>
      <c r="BF5435" s="1">
        <v>256972</v>
      </c>
      <c r="BG5435" t="s">
        <v>2289</v>
      </c>
      <c r="BH5435" s="1">
        <v>132.53</v>
      </c>
      <c r="BI5435" s="1">
        <v>265452</v>
      </c>
      <c r="BJ5435" s="3">
        <v>42489</v>
      </c>
      <c r="BK5435" t="s">
        <v>123</v>
      </c>
      <c r="BL5435" t="str">
        <f>"2016.292465"</f>
        <v>2016.292465</v>
      </c>
      <c r="BM5435" t="s">
        <v>1038</v>
      </c>
      <c r="BO5435" t="s">
        <v>33490</v>
      </c>
      <c r="BS5435">
        <v>30</v>
      </c>
      <c r="BW5435" t="str">
        <f>""</f>
        <v/>
      </c>
      <c r="CH5435" t="str">
        <f>""</f>
        <v/>
      </c>
      <c r="CS5435" t="str">
        <f>""</f>
        <v/>
      </c>
    </row>
    <row r="5436" spans="1:97" x14ac:dyDescent="0.25">
      <c r="A5436" t="s">
        <v>3104</v>
      </c>
      <c r="B5436" t="s">
        <v>33491</v>
      </c>
      <c r="C5436" t="s">
        <v>33492</v>
      </c>
      <c r="D5436" t="s">
        <v>33491</v>
      </c>
      <c r="E5436" t="s">
        <v>33493</v>
      </c>
      <c r="F5436" t="s">
        <v>108</v>
      </c>
      <c r="H5436" t="s">
        <v>33494</v>
      </c>
      <c r="I5436" t="s">
        <v>499</v>
      </c>
      <c r="J5436" t="s">
        <v>111</v>
      </c>
      <c r="K5436" t="str">
        <f>"85338"</f>
        <v>85338</v>
      </c>
      <c r="L5436" t="s">
        <v>4751</v>
      </c>
      <c r="M5436" t="s">
        <v>33494</v>
      </c>
      <c r="N5436" t="s">
        <v>499</v>
      </c>
      <c r="O5436" t="s">
        <v>111</v>
      </c>
      <c r="P5436" t="str">
        <f>"85338-7699"</f>
        <v>85338-7699</v>
      </c>
      <c r="Q5436" t="s">
        <v>113</v>
      </c>
      <c r="R5436" t="str">
        <f>"400-82-863"</f>
        <v>400-82-863</v>
      </c>
      <c r="S5436" t="s">
        <v>20418</v>
      </c>
      <c r="T5436" t="s">
        <v>17252</v>
      </c>
      <c r="U5436">
        <v>3151</v>
      </c>
      <c r="V5436">
        <v>0</v>
      </c>
      <c r="W5436">
        <v>4</v>
      </c>
      <c r="X5436">
        <v>2014</v>
      </c>
      <c r="Z5436">
        <v>1</v>
      </c>
      <c r="AA5436" t="s">
        <v>26</v>
      </c>
      <c r="AB5436">
        <v>0</v>
      </c>
      <c r="AC5436" t="s">
        <v>115</v>
      </c>
      <c r="AD5436">
        <v>3</v>
      </c>
      <c r="AE5436" t="s">
        <v>115</v>
      </c>
      <c r="AF5436">
        <v>0</v>
      </c>
      <c r="AG5436">
        <v>0</v>
      </c>
      <c r="AH5436" t="s">
        <v>116</v>
      </c>
      <c r="AI5436" s="1">
        <v>195967</v>
      </c>
      <c r="AJ5436" s="2">
        <v>0.45</v>
      </c>
      <c r="AK5436" s="1">
        <v>438967</v>
      </c>
      <c r="AL5436" t="s">
        <v>117</v>
      </c>
      <c r="AM5436" t="s">
        <v>118</v>
      </c>
      <c r="AN5436">
        <v>9389</v>
      </c>
      <c r="AO5436">
        <v>0.22</v>
      </c>
      <c r="AR5436">
        <v>1</v>
      </c>
      <c r="AS5436" s="1">
        <v>32310</v>
      </c>
      <c r="AT5436" s="1">
        <v>6460</v>
      </c>
      <c r="AU5436" s="1">
        <v>25850</v>
      </c>
      <c r="AV5436">
        <v>80.010000000000005</v>
      </c>
      <c r="AX5436" s="1">
        <v>3814.3</v>
      </c>
      <c r="AY5436" t="s">
        <v>1246</v>
      </c>
      <c r="AZ5436" t="s">
        <v>1246</v>
      </c>
      <c r="BA5436" t="s">
        <v>1247</v>
      </c>
      <c r="BE5436" s="3">
        <v>41803</v>
      </c>
      <c r="BF5436" s="1">
        <v>390405</v>
      </c>
      <c r="BG5436" t="s">
        <v>33495</v>
      </c>
      <c r="BH5436" s="1">
        <v>123.9</v>
      </c>
      <c r="BI5436" s="1">
        <v>243000</v>
      </c>
      <c r="BJ5436" s="3">
        <v>41803</v>
      </c>
      <c r="BK5436" t="s">
        <v>123</v>
      </c>
      <c r="BL5436" t="str">
        <f>"2014.386941"</f>
        <v>2014.386941</v>
      </c>
      <c r="BM5436" t="s">
        <v>124</v>
      </c>
      <c r="BO5436" t="s">
        <v>33496</v>
      </c>
      <c r="BS5436">
        <v>30</v>
      </c>
      <c r="BW5436" t="str">
        <f>""</f>
        <v/>
      </c>
      <c r="CH5436" t="str">
        <f>""</f>
        <v/>
      </c>
      <c r="CS5436" t="str">
        <f>""</f>
        <v/>
      </c>
    </row>
    <row r="5437" spans="1:97" x14ac:dyDescent="0.25">
      <c r="A5437" t="s">
        <v>183</v>
      </c>
      <c r="B5437" t="s">
        <v>483</v>
      </c>
      <c r="C5437" t="s">
        <v>2930</v>
      </c>
      <c r="D5437" t="s">
        <v>483</v>
      </c>
      <c r="E5437" t="s">
        <v>33497</v>
      </c>
      <c r="F5437" t="s">
        <v>108</v>
      </c>
      <c r="H5437" t="s">
        <v>33498</v>
      </c>
      <c r="I5437" t="s">
        <v>110</v>
      </c>
      <c r="J5437" t="s">
        <v>111</v>
      </c>
      <c r="K5437" t="str">
        <f>"85225"</f>
        <v>85225</v>
      </c>
      <c r="L5437" t="s">
        <v>1244</v>
      </c>
      <c r="M5437" t="s">
        <v>33498</v>
      </c>
      <c r="N5437" t="s">
        <v>110</v>
      </c>
      <c r="O5437" t="s">
        <v>111</v>
      </c>
      <c r="P5437" t="str">
        <f>"85225-2370"</f>
        <v>85225-2370</v>
      </c>
      <c r="Q5437" t="s">
        <v>113</v>
      </c>
      <c r="R5437" t="str">
        <f>"303-71-531"</f>
        <v>303-71-531</v>
      </c>
      <c r="S5437" t="s">
        <v>3184</v>
      </c>
      <c r="T5437" t="s">
        <v>3184</v>
      </c>
      <c r="U5437">
        <v>2288</v>
      </c>
      <c r="V5437">
        <v>0</v>
      </c>
      <c r="W5437">
        <v>3</v>
      </c>
      <c r="X5437">
        <v>2000</v>
      </c>
      <c r="Z5437">
        <v>1</v>
      </c>
      <c r="AA5437" t="s">
        <v>26</v>
      </c>
      <c r="AB5437">
        <v>0</v>
      </c>
      <c r="AC5437" t="s">
        <v>115</v>
      </c>
      <c r="AD5437">
        <v>2</v>
      </c>
      <c r="AE5437" t="s">
        <v>115</v>
      </c>
      <c r="AF5437">
        <v>0</v>
      </c>
      <c r="AG5437">
        <v>0</v>
      </c>
      <c r="AH5437" t="s">
        <v>116</v>
      </c>
      <c r="AI5437" s="1">
        <v>-2810</v>
      </c>
      <c r="AJ5437" s="2">
        <v>-0.01</v>
      </c>
      <c r="AK5437" s="1">
        <v>416190</v>
      </c>
      <c r="AL5437" t="s">
        <v>117</v>
      </c>
      <c r="AM5437" t="s">
        <v>5077</v>
      </c>
      <c r="AN5437">
        <v>11820</v>
      </c>
      <c r="AO5437">
        <v>0.27</v>
      </c>
      <c r="AP5437">
        <v>1</v>
      </c>
      <c r="AR5437">
        <v>1</v>
      </c>
      <c r="AS5437" s="1">
        <v>30210</v>
      </c>
      <c r="AT5437" s="1">
        <v>6040</v>
      </c>
      <c r="AU5437" s="1">
        <v>24170</v>
      </c>
      <c r="AV5437">
        <v>80.010000000000005</v>
      </c>
      <c r="AX5437" s="1">
        <v>2406.7600000000002</v>
      </c>
      <c r="AY5437" t="s">
        <v>3185</v>
      </c>
      <c r="AZ5437" t="s">
        <v>2906</v>
      </c>
      <c r="BA5437" t="s">
        <v>303</v>
      </c>
      <c r="BB5437" s="3">
        <v>41729</v>
      </c>
      <c r="BD5437" t="s">
        <v>240</v>
      </c>
      <c r="BE5437" s="3">
        <v>41655</v>
      </c>
      <c r="BF5437" s="1">
        <v>309795</v>
      </c>
      <c r="BG5437" t="s">
        <v>33499</v>
      </c>
      <c r="BH5437" s="1">
        <v>135.4</v>
      </c>
      <c r="BI5437" s="1">
        <v>419000</v>
      </c>
      <c r="BJ5437" s="3">
        <v>43643</v>
      </c>
      <c r="BK5437" t="s">
        <v>123</v>
      </c>
      <c r="BL5437" t="str">
        <f>"2019.487771"</f>
        <v>2019.487771</v>
      </c>
      <c r="BM5437" t="s">
        <v>2359</v>
      </c>
      <c r="BN5437" t="s">
        <v>739</v>
      </c>
      <c r="BO5437" t="s">
        <v>33500</v>
      </c>
      <c r="BP5437" t="s">
        <v>33501</v>
      </c>
      <c r="BR5437" t="s">
        <v>139</v>
      </c>
      <c r="BW5437" t="str">
        <f>""</f>
        <v/>
      </c>
      <c r="CH5437" t="str">
        <f>""</f>
        <v/>
      </c>
      <c r="CS5437" t="str">
        <f>""</f>
        <v/>
      </c>
    </row>
    <row r="5438" spans="1:97" x14ac:dyDescent="0.25">
      <c r="A5438" t="s">
        <v>265</v>
      </c>
      <c r="B5438" t="s">
        <v>33502</v>
      </c>
      <c r="E5438" t="s">
        <v>33503</v>
      </c>
      <c r="F5438" t="s">
        <v>108</v>
      </c>
      <c r="H5438" t="s">
        <v>33504</v>
      </c>
      <c r="I5438" t="s">
        <v>5636</v>
      </c>
      <c r="J5438" t="s">
        <v>111</v>
      </c>
      <c r="K5438" t="str">
        <f>"85268"</f>
        <v>85268</v>
      </c>
      <c r="L5438" t="s">
        <v>8103</v>
      </c>
      <c r="M5438" t="s">
        <v>33504</v>
      </c>
      <c r="N5438" t="s">
        <v>5636</v>
      </c>
      <c r="O5438" t="s">
        <v>111</v>
      </c>
      <c r="P5438" t="str">
        <f>"85268-5803"</f>
        <v>85268-5803</v>
      </c>
      <c r="R5438" t="str">
        <f>"176-13-947"</f>
        <v>176-13-947</v>
      </c>
      <c r="S5438" t="s">
        <v>33505</v>
      </c>
      <c r="T5438" t="s">
        <v>33505</v>
      </c>
      <c r="U5438">
        <v>2404</v>
      </c>
      <c r="V5438">
        <v>0</v>
      </c>
      <c r="W5438">
        <v>4</v>
      </c>
      <c r="X5438">
        <v>2000</v>
      </c>
      <c r="Z5438">
        <v>1</v>
      </c>
      <c r="AB5438">
        <v>0</v>
      </c>
      <c r="AC5438" t="s">
        <v>115</v>
      </c>
      <c r="AD5438">
        <v>2</v>
      </c>
      <c r="AE5438" t="s">
        <v>115</v>
      </c>
      <c r="AF5438">
        <v>0</v>
      </c>
      <c r="AG5438">
        <v>0</v>
      </c>
      <c r="AH5438" t="s">
        <v>116</v>
      </c>
      <c r="AI5438" s="1">
        <v>127809</v>
      </c>
      <c r="AJ5438" s="2">
        <v>0.23</v>
      </c>
      <c r="AK5438" s="1">
        <v>554407</v>
      </c>
      <c r="AL5438" t="s">
        <v>117</v>
      </c>
      <c r="AM5438" t="s">
        <v>1302</v>
      </c>
      <c r="AN5438">
        <v>10154</v>
      </c>
      <c r="AO5438">
        <v>0.23</v>
      </c>
      <c r="AP5438">
        <v>1</v>
      </c>
      <c r="AR5438">
        <v>1</v>
      </c>
      <c r="AS5438" s="1">
        <v>40960</v>
      </c>
      <c r="AT5438" s="1">
        <v>8190</v>
      </c>
      <c r="AU5438" s="1">
        <v>32770</v>
      </c>
      <c r="AV5438">
        <v>80</v>
      </c>
      <c r="AX5438" s="1">
        <v>2737.5</v>
      </c>
      <c r="AY5438" t="s">
        <v>5639</v>
      </c>
      <c r="AZ5438" t="s">
        <v>5640</v>
      </c>
      <c r="BA5438" t="s">
        <v>5641</v>
      </c>
      <c r="BE5438" s="3">
        <v>41725</v>
      </c>
      <c r="BF5438" s="1">
        <v>400000</v>
      </c>
      <c r="BG5438" t="s">
        <v>33506</v>
      </c>
      <c r="BH5438" s="1">
        <v>166.39</v>
      </c>
      <c r="BI5438" s="1">
        <v>401598</v>
      </c>
      <c r="BJ5438" s="3">
        <v>42569</v>
      </c>
      <c r="BK5438" t="s">
        <v>123</v>
      </c>
      <c r="BL5438" t="str">
        <f>"2016.505078"</f>
        <v>2016.505078</v>
      </c>
      <c r="BM5438" t="s">
        <v>544</v>
      </c>
      <c r="BN5438" t="s">
        <v>545</v>
      </c>
      <c r="BO5438" t="s">
        <v>33507</v>
      </c>
      <c r="BS5438">
        <v>30</v>
      </c>
      <c r="BT5438" s="1">
        <v>25000</v>
      </c>
      <c r="BU5438" s="3">
        <v>43734</v>
      </c>
      <c r="BW5438" t="str">
        <f>"2019.761137"</f>
        <v>2019.761137</v>
      </c>
      <c r="BX5438" t="s">
        <v>33508</v>
      </c>
      <c r="BY5438" t="s">
        <v>1624</v>
      </c>
      <c r="BZ5438" t="s">
        <v>33509</v>
      </c>
      <c r="CC5438" t="s">
        <v>346</v>
      </c>
      <c r="CH5438" t="str">
        <f>""</f>
        <v/>
      </c>
      <c r="CS5438" t="str">
        <f>""</f>
        <v/>
      </c>
    </row>
    <row r="5439" spans="1:97" x14ac:dyDescent="0.25">
      <c r="A5439" t="s">
        <v>2435</v>
      </c>
      <c r="B5439" t="s">
        <v>33510</v>
      </c>
      <c r="E5439" t="s">
        <v>33511</v>
      </c>
      <c r="F5439" t="s">
        <v>139</v>
      </c>
      <c r="H5439" t="s">
        <v>33512</v>
      </c>
      <c r="I5439" t="s">
        <v>203</v>
      </c>
      <c r="J5439" t="s">
        <v>111</v>
      </c>
      <c r="K5439" t="str">
        <f>"85234"</f>
        <v>85234</v>
      </c>
      <c r="L5439" t="s">
        <v>5816</v>
      </c>
      <c r="M5439" t="s">
        <v>33512</v>
      </c>
      <c r="N5439" t="s">
        <v>203</v>
      </c>
      <c r="O5439" t="s">
        <v>111</v>
      </c>
      <c r="P5439" t="str">
        <f>"85234"</f>
        <v>85234</v>
      </c>
      <c r="Q5439" t="s">
        <v>113</v>
      </c>
      <c r="R5439" t="str">
        <f>"313-12-765"</f>
        <v>313-12-765</v>
      </c>
      <c r="S5439" t="s">
        <v>10152</v>
      </c>
      <c r="T5439" t="s">
        <v>10152</v>
      </c>
      <c r="U5439">
        <v>2556</v>
      </c>
      <c r="V5439">
        <v>0</v>
      </c>
      <c r="W5439">
        <v>4</v>
      </c>
      <c r="X5439">
        <v>2006</v>
      </c>
      <c r="Z5439">
        <v>2</v>
      </c>
      <c r="AA5439" t="s">
        <v>26</v>
      </c>
      <c r="AB5439">
        <v>0</v>
      </c>
      <c r="AC5439" t="s">
        <v>115</v>
      </c>
      <c r="AD5439">
        <v>2</v>
      </c>
      <c r="AE5439" t="s">
        <v>115</v>
      </c>
      <c r="AF5439">
        <v>0</v>
      </c>
      <c r="AG5439">
        <v>0</v>
      </c>
      <c r="AH5439" t="s">
        <v>116</v>
      </c>
      <c r="AI5439" s="1">
        <v>51791</v>
      </c>
      <c r="AJ5439" s="2">
        <v>0.13</v>
      </c>
      <c r="AK5439" s="1">
        <v>387816</v>
      </c>
      <c r="AL5439" t="s">
        <v>117</v>
      </c>
      <c r="AM5439" t="s">
        <v>288</v>
      </c>
      <c r="AN5439">
        <v>4444</v>
      </c>
      <c r="AO5439">
        <v>0.1</v>
      </c>
      <c r="AR5439">
        <v>1</v>
      </c>
      <c r="AS5439" s="1">
        <v>26270</v>
      </c>
      <c r="AT5439" s="1">
        <v>5250</v>
      </c>
      <c r="AU5439" s="1">
        <v>21020</v>
      </c>
      <c r="AV5439">
        <v>80.02</v>
      </c>
      <c r="AX5439" s="1">
        <v>1918.46</v>
      </c>
      <c r="AY5439" t="s">
        <v>5565</v>
      </c>
      <c r="AZ5439" t="s">
        <v>520</v>
      </c>
      <c r="BA5439" t="s">
        <v>521</v>
      </c>
      <c r="BB5439" s="3">
        <v>43364</v>
      </c>
      <c r="BC5439" s="1">
        <v>0</v>
      </c>
      <c r="BD5439" t="s">
        <v>247</v>
      </c>
      <c r="BE5439" s="3">
        <v>42531</v>
      </c>
      <c r="BF5439" s="1">
        <v>329500</v>
      </c>
      <c r="BG5439" t="s">
        <v>33513</v>
      </c>
      <c r="BH5439" s="1">
        <v>128.91</v>
      </c>
      <c r="BI5439" s="1">
        <v>336025</v>
      </c>
      <c r="BJ5439" s="3">
        <v>43291</v>
      </c>
      <c r="BK5439" t="s">
        <v>123</v>
      </c>
      <c r="BL5439" t="str">
        <f>"2018.519368"</f>
        <v>2018.519368</v>
      </c>
      <c r="BM5439" t="s">
        <v>361</v>
      </c>
      <c r="BN5439" t="s">
        <v>884</v>
      </c>
      <c r="BO5439" t="s">
        <v>33514</v>
      </c>
      <c r="BP5439" t="s">
        <v>33515</v>
      </c>
      <c r="BR5439" t="s">
        <v>139</v>
      </c>
      <c r="BW5439" t="str">
        <f>""</f>
        <v/>
      </c>
      <c r="CH5439" t="str">
        <f>""</f>
        <v/>
      </c>
      <c r="CS5439" t="str">
        <f>""</f>
        <v/>
      </c>
    </row>
    <row r="5440" spans="1:97" x14ac:dyDescent="0.25">
      <c r="A5440" t="s">
        <v>177</v>
      </c>
      <c r="B5440" t="s">
        <v>4248</v>
      </c>
      <c r="C5440" t="s">
        <v>945</v>
      </c>
      <c r="D5440" t="s">
        <v>33516</v>
      </c>
      <c r="E5440" t="s">
        <v>33517</v>
      </c>
      <c r="F5440" t="s">
        <v>139</v>
      </c>
      <c r="H5440" t="s">
        <v>33518</v>
      </c>
      <c r="I5440" t="s">
        <v>110</v>
      </c>
      <c r="J5440" t="s">
        <v>111</v>
      </c>
      <c r="K5440" t="str">
        <f>"85226"</f>
        <v>85226</v>
      </c>
      <c r="L5440" t="s">
        <v>3318</v>
      </c>
      <c r="M5440" t="s">
        <v>33519</v>
      </c>
      <c r="N5440" t="s">
        <v>110</v>
      </c>
      <c r="O5440" t="s">
        <v>111</v>
      </c>
      <c r="P5440" t="str">
        <f>"85226-3730"</f>
        <v>85226-3730</v>
      </c>
      <c r="Q5440" t="s">
        <v>113</v>
      </c>
      <c r="R5440" t="str">
        <f>"301-89-063"</f>
        <v>301-89-063</v>
      </c>
      <c r="S5440" t="s">
        <v>16845</v>
      </c>
      <c r="T5440" t="s">
        <v>16845</v>
      </c>
      <c r="U5440">
        <v>5027</v>
      </c>
      <c r="V5440">
        <v>0</v>
      </c>
      <c r="W5440">
        <v>5</v>
      </c>
      <c r="X5440">
        <v>1989</v>
      </c>
      <c r="Z5440">
        <v>2</v>
      </c>
      <c r="AA5440" t="s">
        <v>26</v>
      </c>
      <c r="AB5440">
        <v>0</v>
      </c>
      <c r="AC5440" t="s">
        <v>115</v>
      </c>
      <c r="AD5440">
        <v>4</v>
      </c>
      <c r="AE5440" t="s">
        <v>115</v>
      </c>
      <c r="AF5440">
        <v>0</v>
      </c>
      <c r="AG5440">
        <v>0</v>
      </c>
      <c r="AH5440" t="s">
        <v>116</v>
      </c>
      <c r="AI5440" s="1">
        <v>253636</v>
      </c>
      <c r="AJ5440" s="2">
        <v>0.23</v>
      </c>
      <c r="AK5440" s="1">
        <v>1100386</v>
      </c>
      <c r="AL5440" t="s">
        <v>117</v>
      </c>
      <c r="AM5440" t="s">
        <v>1302</v>
      </c>
      <c r="AN5440">
        <v>22577</v>
      </c>
      <c r="AO5440">
        <v>0.52</v>
      </c>
      <c r="AP5440">
        <v>1</v>
      </c>
      <c r="AR5440">
        <v>1</v>
      </c>
      <c r="AS5440" s="1">
        <v>93350</v>
      </c>
      <c r="AT5440" s="1">
        <v>18670</v>
      </c>
      <c r="AU5440" s="1">
        <v>74680</v>
      </c>
      <c r="AV5440">
        <v>80</v>
      </c>
      <c r="AX5440" s="1">
        <v>10144.4</v>
      </c>
      <c r="AY5440" t="s">
        <v>5200</v>
      </c>
      <c r="AZ5440" t="s">
        <v>5201</v>
      </c>
      <c r="BA5440" t="s">
        <v>5202</v>
      </c>
      <c r="BB5440" s="3">
        <v>42538</v>
      </c>
      <c r="BD5440" t="s">
        <v>240</v>
      </c>
      <c r="BE5440" s="3">
        <v>42506</v>
      </c>
      <c r="BF5440" s="1">
        <v>990000</v>
      </c>
      <c r="BG5440" t="s">
        <v>33520</v>
      </c>
      <c r="BH5440" s="1">
        <v>196.94</v>
      </c>
      <c r="BI5440" s="1">
        <v>846750</v>
      </c>
      <c r="BJ5440" s="3">
        <v>42506</v>
      </c>
      <c r="BK5440" t="s">
        <v>123</v>
      </c>
      <c r="BL5440" t="str">
        <f>"2016.334509"</f>
        <v>2016.334509</v>
      </c>
      <c r="BM5440" t="s">
        <v>11704</v>
      </c>
      <c r="BO5440" t="s">
        <v>33521</v>
      </c>
      <c r="BS5440">
        <v>30</v>
      </c>
      <c r="BW5440" t="str">
        <f>""</f>
        <v/>
      </c>
      <c r="CH5440" t="str">
        <f>""</f>
        <v/>
      </c>
      <c r="CS5440" t="str">
        <f>""</f>
        <v/>
      </c>
    </row>
    <row r="5441" spans="1:97" x14ac:dyDescent="0.25">
      <c r="A5441" t="s">
        <v>28526</v>
      </c>
      <c r="B5441" t="s">
        <v>3658</v>
      </c>
      <c r="C5441" t="s">
        <v>32511</v>
      </c>
      <c r="D5441" t="s">
        <v>3658</v>
      </c>
      <c r="E5441" t="s">
        <v>33522</v>
      </c>
      <c r="F5441" t="s">
        <v>108</v>
      </c>
      <c r="H5441" t="s">
        <v>33523</v>
      </c>
      <c r="I5441" t="s">
        <v>499</v>
      </c>
      <c r="J5441" t="s">
        <v>111</v>
      </c>
      <c r="K5441" t="str">
        <f>"85395"</f>
        <v>85395</v>
      </c>
      <c r="L5441" t="s">
        <v>7005</v>
      </c>
      <c r="M5441" t="s">
        <v>33523</v>
      </c>
      <c r="N5441" t="s">
        <v>499</v>
      </c>
      <c r="O5441" t="s">
        <v>111</v>
      </c>
      <c r="P5441" t="str">
        <f>"85395-2058"</f>
        <v>85395-2058</v>
      </c>
      <c r="Q5441" t="s">
        <v>113</v>
      </c>
      <c r="R5441" t="str">
        <f>"508-14-199"</f>
        <v>508-14-199</v>
      </c>
      <c r="S5441" t="s">
        <v>14773</v>
      </c>
      <c r="T5441" t="s">
        <v>14987</v>
      </c>
      <c r="U5441">
        <v>3845</v>
      </c>
      <c r="V5441">
        <v>0</v>
      </c>
      <c r="W5441">
        <v>4</v>
      </c>
      <c r="X5441">
        <v>2005</v>
      </c>
      <c r="Z5441">
        <v>2</v>
      </c>
      <c r="AB5441">
        <v>0</v>
      </c>
      <c r="AC5441" t="s">
        <v>115</v>
      </c>
      <c r="AD5441">
        <v>3</v>
      </c>
      <c r="AE5441" t="s">
        <v>115</v>
      </c>
      <c r="AF5441">
        <v>0</v>
      </c>
      <c r="AG5441">
        <v>0</v>
      </c>
      <c r="AH5441" t="s">
        <v>116</v>
      </c>
      <c r="AI5441" s="1">
        <v>92152</v>
      </c>
      <c r="AJ5441" s="2">
        <v>0.2</v>
      </c>
      <c r="AK5441" s="1">
        <v>457037</v>
      </c>
      <c r="AL5441" t="s">
        <v>117</v>
      </c>
      <c r="AM5441" t="s">
        <v>118</v>
      </c>
      <c r="AN5441">
        <v>13598</v>
      </c>
      <c r="AO5441">
        <v>0.31</v>
      </c>
      <c r="AR5441">
        <v>1</v>
      </c>
      <c r="AS5441" s="1">
        <v>31400</v>
      </c>
      <c r="AT5441" s="1">
        <v>6280</v>
      </c>
      <c r="AU5441" s="1">
        <v>25120</v>
      </c>
      <c r="AV5441">
        <v>80</v>
      </c>
      <c r="AX5441" s="1">
        <v>3306.22</v>
      </c>
      <c r="AY5441" t="s">
        <v>3020</v>
      </c>
      <c r="AZ5441" t="s">
        <v>3020</v>
      </c>
      <c r="BA5441" t="s">
        <v>7186</v>
      </c>
      <c r="BE5441" s="3">
        <v>41730</v>
      </c>
      <c r="BF5441" s="1">
        <v>350000</v>
      </c>
      <c r="BG5441" t="s">
        <v>33524</v>
      </c>
      <c r="BH5441" s="1">
        <v>91.03</v>
      </c>
      <c r="BI5441" s="1">
        <v>364885</v>
      </c>
      <c r="BJ5441" s="3">
        <v>43633</v>
      </c>
      <c r="BK5441" t="s">
        <v>123</v>
      </c>
      <c r="BL5441" t="str">
        <f>"2019.449151"</f>
        <v>2019.449151</v>
      </c>
      <c r="BM5441" t="s">
        <v>25852</v>
      </c>
      <c r="BN5441" t="s">
        <v>25853</v>
      </c>
      <c r="BO5441" t="s">
        <v>33525</v>
      </c>
      <c r="BR5441" t="s">
        <v>139</v>
      </c>
      <c r="BT5441" s="1">
        <v>14947</v>
      </c>
      <c r="BU5441" s="3">
        <v>42129</v>
      </c>
      <c r="BV5441" t="s">
        <v>134</v>
      </c>
      <c r="BW5441" t="str">
        <f>"2015.314509"</f>
        <v>2015.314509</v>
      </c>
      <c r="BX5441" t="s">
        <v>4440</v>
      </c>
      <c r="BY5441" t="s">
        <v>17813</v>
      </c>
      <c r="BZ5441" t="s">
        <v>33526</v>
      </c>
      <c r="CD5441">
        <v>7</v>
      </c>
      <c r="CE5441" s="1">
        <v>364885</v>
      </c>
      <c r="CF5441" s="3">
        <v>43633</v>
      </c>
      <c r="CG5441" t="s">
        <v>123</v>
      </c>
      <c r="CH5441" t="str">
        <f>"2019.449151"</f>
        <v>2019.449151</v>
      </c>
      <c r="CI5441" t="s">
        <v>25852</v>
      </c>
      <c r="CJ5441" t="s">
        <v>25853</v>
      </c>
      <c r="CK5441" t="s">
        <v>33525</v>
      </c>
      <c r="CN5441" t="s">
        <v>139</v>
      </c>
      <c r="CS5441" t="str">
        <f>""</f>
        <v/>
      </c>
    </row>
    <row r="5442" spans="1:97" x14ac:dyDescent="0.25">
      <c r="A5442" t="s">
        <v>933</v>
      </c>
      <c r="B5442" t="s">
        <v>590</v>
      </c>
      <c r="C5442" t="s">
        <v>33527</v>
      </c>
      <c r="D5442" t="s">
        <v>590</v>
      </c>
      <c r="E5442" t="s">
        <v>33528</v>
      </c>
      <c r="F5442" t="s">
        <v>108</v>
      </c>
      <c r="H5442" t="s">
        <v>33529</v>
      </c>
      <c r="I5442" t="s">
        <v>144</v>
      </c>
      <c r="J5442" t="s">
        <v>111</v>
      </c>
      <c r="K5442" t="str">
        <f>"85396"</f>
        <v>85396</v>
      </c>
      <c r="L5442" t="s">
        <v>1244</v>
      </c>
      <c r="M5442" t="s">
        <v>33529</v>
      </c>
      <c r="N5442" t="s">
        <v>144</v>
      </c>
      <c r="O5442" t="s">
        <v>111</v>
      </c>
      <c r="P5442" t="str">
        <f>"85396-8366"</f>
        <v>85396-8366</v>
      </c>
      <c r="Q5442" t="s">
        <v>113</v>
      </c>
      <c r="R5442" t="str">
        <f>"502-81-334"</f>
        <v>502-81-334</v>
      </c>
      <c r="S5442" t="s">
        <v>24818</v>
      </c>
      <c r="U5442">
        <v>1926</v>
      </c>
      <c r="V5442">
        <v>0</v>
      </c>
      <c r="W5442">
        <v>4</v>
      </c>
      <c r="X5442">
        <v>2007</v>
      </c>
      <c r="Z5442">
        <v>2</v>
      </c>
      <c r="AB5442">
        <v>0</v>
      </c>
      <c r="AC5442" t="s">
        <v>115</v>
      </c>
      <c r="AD5442">
        <v>3</v>
      </c>
      <c r="AE5442" t="s">
        <v>115</v>
      </c>
      <c r="AF5442">
        <v>0</v>
      </c>
      <c r="AG5442">
        <v>0</v>
      </c>
      <c r="AH5442" t="s">
        <v>116</v>
      </c>
      <c r="AI5442" s="1">
        <v>34598</v>
      </c>
      <c r="AJ5442" s="2">
        <v>0.11</v>
      </c>
      <c r="AK5442" s="1">
        <v>310848</v>
      </c>
      <c r="AL5442" t="s">
        <v>117</v>
      </c>
      <c r="AM5442" t="s">
        <v>118</v>
      </c>
      <c r="AN5442">
        <v>6202</v>
      </c>
      <c r="AO5442">
        <v>0.14000000000000001</v>
      </c>
      <c r="AR5442">
        <v>1</v>
      </c>
      <c r="AS5442" s="1">
        <v>22480</v>
      </c>
      <c r="AT5442" s="1">
        <v>4490</v>
      </c>
      <c r="AU5442" s="1">
        <v>17990</v>
      </c>
      <c r="AV5442">
        <v>80.03</v>
      </c>
      <c r="AX5442" s="1">
        <v>2710.84</v>
      </c>
      <c r="AY5442" t="s">
        <v>217</v>
      </c>
      <c r="AZ5442" t="s">
        <v>217</v>
      </c>
      <c r="BA5442" t="s">
        <v>218</v>
      </c>
      <c r="BE5442" s="3">
        <v>42286</v>
      </c>
      <c r="BF5442" s="1">
        <v>232500</v>
      </c>
      <c r="BG5442" t="s">
        <v>33530</v>
      </c>
      <c r="BH5442" s="1">
        <v>120.72</v>
      </c>
      <c r="BI5442" s="1">
        <v>276250</v>
      </c>
      <c r="BJ5442" s="3">
        <v>43343</v>
      </c>
      <c r="BK5442" t="s">
        <v>123</v>
      </c>
      <c r="BL5442" t="str">
        <f>"2018.659110"</f>
        <v>2018.659110</v>
      </c>
      <c r="BM5442" t="s">
        <v>1038</v>
      </c>
      <c r="BN5442" t="s">
        <v>33531</v>
      </c>
      <c r="BO5442" t="s">
        <v>33532</v>
      </c>
      <c r="BP5442" t="s">
        <v>33533</v>
      </c>
      <c r="BR5442" t="s">
        <v>139</v>
      </c>
      <c r="BW5442" t="str">
        <f>""</f>
        <v/>
      </c>
      <c r="CH5442" t="str">
        <f>""</f>
        <v/>
      </c>
      <c r="CS5442" t="str">
        <f>""</f>
        <v/>
      </c>
    </row>
    <row r="5443" spans="1:97" x14ac:dyDescent="0.25">
      <c r="A5443" t="s">
        <v>21035</v>
      </c>
      <c r="B5443" t="s">
        <v>33534</v>
      </c>
      <c r="C5443" t="s">
        <v>33535</v>
      </c>
      <c r="D5443" t="s">
        <v>33534</v>
      </c>
      <c r="E5443" t="s">
        <v>33536</v>
      </c>
      <c r="F5443" t="s">
        <v>108</v>
      </c>
      <c r="H5443" t="s">
        <v>33537</v>
      </c>
      <c r="I5443" t="s">
        <v>225</v>
      </c>
      <c r="J5443" t="s">
        <v>111</v>
      </c>
      <c r="K5443" t="str">
        <f>"85215"</f>
        <v>85215</v>
      </c>
      <c r="L5443" t="s">
        <v>3318</v>
      </c>
      <c r="M5443" t="s">
        <v>33537</v>
      </c>
      <c r="N5443" t="s">
        <v>225</v>
      </c>
      <c r="O5443" t="s">
        <v>111</v>
      </c>
      <c r="P5443" t="str">
        <f>"85215-9637"</f>
        <v>85215-9637</v>
      </c>
      <c r="Q5443" t="s">
        <v>113</v>
      </c>
      <c r="R5443" t="str">
        <f>"141-70-105"</f>
        <v>141-70-105</v>
      </c>
      <c r="S5443" t="s">
        <v>14217</v>
      </c>
      <c r="T5443" t="s">
        <v>14218</v>
      </c>
      <c r="U5443">
        <v>3228</v>
      </c>
      <c r="V5443">
        <v>0</v>
      </c>
      <c r="W5443">
        <v>5</v>
      </c>
      <c r="X5443">
        <v>1988</v>
      </c>
      <c r="Z5443">
        <v>2</v>
      </c>
      <c r="AA5443" t="s">
        <v>26</v>
      </c>
      <c r="AB5443">
        <v>0</v>
      </c>
      <c r="AC5443" t="s">
        <v>115</v>
      </c>
      <c r="AD5443">
        <v>3</v>
      </c>
      <c r="AE5443" t="s">
        <v>115</v>
      </c>
      <c r="AF5443">
        <v>0</v>
      </c>
      <c r="AG5443">
        <v>0</v>
      </c>
      <c r="AH5443" t="s">
        <v>116</v>
      </c>
      <c r="AI5443" s="1">
        <v>56987</v>
      </c>
      <c r="AJ5443" s="2">
        <v>0.12</v>
      </c>
      <c r="AK5443" s="1">
        <v>489449</v>
      </c>
      <c r="AL5443" t="s">
        <v>117</v>
      </c>
      <c r="AM5443" t="s">
        <v>917</v>
      </c>
      <c r="AN5443">
        <v>10568</v>
      </c>
      <c r="AO5443">
        <v>0.24</v>
      </c>
      <c r="AP5443">
        <v>1</v>
      </c>
      <c r="AR5443">
        <v>1</v>
      </c>
      <c r="AS5443" s="1">
        <v>36830</v>
      </c>
      <c r="AT5443" s="1">
        <v>7360</v>
      </c>
      <c r="AU5443" s="1">
        <v>29470</v>
      </c>
      <c r="AV5443">
        <v>80.02</v>
      </c>
      <c r="AX5443" s="1">
        <v>3057.22</v>
      </c>
      <c r="AY5443" t="s">
        <v>6662</v>
      </c>
      <c r="AZ5443" t="s">
        <v>5275</v>
      </c>
      <c r="BA5443" t="s">
        <v>3119</v>
      </c>
      <c r="BE5443" s="3">
        <v>42412</v>
      </c>
      <c r="BF5443" s="1">
        <v>399000</v>
      </c>
      <c r="BG5443" t="s">
        <v>33538</v>
      </c>
      <c r="BH5443" s="1">
        <v>123.61</v>
      </c>
      <c r="BI5443" s="1">
        <v>414562</v>
      </c>
      <c r="BJ5443" s="3">
        <v>42643</v>
      </c>
      <c r="BK5443" t="s">
        <v>123</v>
      </c>
      <c r="BL5443" t="str">
        <f>"2016.720030"</f>
        <v>2016.720030</v>
      </c>
      <c r="BM5443" t="s">
        <v>1791</v>
      </c>
      <c r="BN5443" t="s">
        <v>5960</v>
      </c>
      <c r="BO5443" t="s">
        <v>33539</v>
      </c>
      <c r="BS5443">
        <v>30</v>
      </c>
      <c r="BT5443" s="1">
        <v>17900</v>
      </c>
      <c r="BU5443" s="3">
        <v>43448</v>
      </c>
      <c r="BW5443" t="str">
        <f>"2018.918499"</f>
        <v>2018.918499</v>
      </c>
      <c r="BX5443" t="s">
        <v>135</v>
      </c>
      <c r="BY5443" t="s">
        <v>136</v>
      </c>
      <c r="BZ5443" t="s">
        <v>33540</v>
      </c>
      <c r="CA5443" t="s">
        <v>33541</v>
      </c>
      <c r="CC5443" t="s">
        <v>346</v>
      </c>
      <c r="CH5443" t="str">
        <f>""</f>
        <v/>
      </c>
      <c r="CS5443" t="str">
        <f>""</f>
        <v/>
      </c>
    </row>
    <row r="5444" spans="1:97" x14ac:dyDescent="0.25">
      <c r="A5444" t="s">
        <v>305</v>
      </c>
      <c r="B5444" t="s">
        <v>33542</v>
      </c>
      <c r="C5444" t="s">
        <v>1845</v>
      </c>
      <c r="D5444" t="s">
        <v>565</v>
      </c>
      <c r="E5444" t="s">
        <v>33543</v>
      </c>
      <c r="F5444" t="s">
        <v>108</v>
      </c>
      <c r="H5444" t="s">
        <v>33544</v>
      </c>
      <c r="I5444" t="s">
        <v>5636</v>
      </c>
      <c r="J5444" t="s">
        <v>111</v>
      </c>
      <c r="K5444" t="str">
        <f>"85268"</f>
        <v>85268</v>
      </c>
      <c r="L5444" t="s">
        <v>1789</v>
      </c>
      <c r="M5444" t="s">
        <v>33544</v>
      </c>
      <c r="N5444" t="s">
        <v>5636</v>
      </c>
      <c r="O5444" t="s">
        <v>111</v>
      </c>
      <c r="P5444" t="str">
        <f>"85268-5743"</f>
        <v>85268-5743</v>
      </c>
      <c r="Q5444" t="s">
        <v>113</v>
      </c>
      <c r="R5444" t="str">
        <f>"176-10-140"</f>
        <v>176-10-140</v>
      </c>
      <c r="S5444" t="s">
        <v>33545</v>
      </c>
      <c r="U5444">
        <v>2261</v>
      </c>
      <c r="V5444">
        <v>0</v>
      </c>
      <c r="W5444">
        <v>4</v>
      </c>
      <c r="X5444">
        <v>1976</v>
      </c>
      <c r="Z5444">
        <v>1</v>
      </c>
      <c r="AB5444">
        <v>0</v>
      </c>
      <c r="AC5444" t="s">
        <v>115</v>
      </c>
      <c r="AD5444">
        <v>2</v>
      </c>
      <c r="AE5444" t="s">
        <v>115</v>
      </c>
      <c r="AF5444">
        <v>0</v>
      </c>
      <c r="AG5444">
        <v>0</v>
      </c>
      <c r="AH5444" t="s">
        <v>116</v>
      </c>
      <c r="AI5444" s="1">
        <v>-33891</v>
      </c>
      <c r="AJ5444" s="2">
        <v>-7.0000000000000007E-2</v>
      </c>
      <c r="AK5444" s="1">
        <v>478659</v>
      </c>
      <c r="AL5444" t="s">
        <v>117</v>
      </c>
      <c r="AM5444" t="s">
        <v>171</v>
      </c>
      <c r="AN5444">
        <v>17711</v>
      </c>
      <c r="AO5444">
        <v>0.41</v>
      </c>
      <c r="AP5444">
        <v>1</v>
      </c>
      <c r="AR5444">
        <v>1</v>
      </c>
      <c r="AS5444" s="1">
        <v>30450</v>
      </c>
      <c r="AT5444" s="1">
        <v>6090</v>
      </c>
      <c r="AU5444" s="1">
        <v>24360</v>
      </c>
      <c r="AV5444">
        <v>80</v>
      </c>
      <c r="AX5444" s="1">
        <v>1929.88</v>
      </c>
      <c r="AY5444" t="s">
        <v>6485</v>
      </c>
      <c r="AZ5444" t="s">
        <v>5640</v>
      </c>
      <c r="BA5444" t="s">
        <v>5641</v>
      </c>
      <c r="BE5444" s="3">
        <v>42461</v>
      </c>
      <c r="BF5444" s="1">
        <v>492500</v>
      </c>
      <c r="BG5444" t="s">
        <v>33546</v>
      </c>
      <c r="BH5444" s="1">
        <v>217.82</v>
      </c>
      <c r="BI5444" s="1">
        <v>512550</v>
      </c>
      <c r="BJ5444" s="3">
        <v>42695</v>
      </c>
      <c r="BK5444" t="s">
        <v>123</v>
      </c>
      <c r="BL5444" t="str">
        <f>"2016.857632"</f>
        <v>2016.857632</v>
      </c>
      <c r="BM5444" t="s">
        <v>673</v>
      </c>
      <c r="BO5444" t="s">
        <v>33547</v>
      </c>
      <c r="BP5444" t="s">
        <v>33548</v>
      </c>
      <c r="BQ5444" t="str">
        <f>"2.2500%"</f>
        <v>2.2500%</v>
      </c>
      <c r="BR5444" t="s">
        <v>1480</v>
      </c>
      <c r="BS5444">
        <v>30</v>
      </c>
      <c r="BW5444" t="str">
        <f>""</f>
        <v/>
      </c>
      <c r="CH5444" t="str">
        <f>""</f>
        <v/>
      </c>
      <c r="CS5444" t="str">
        <f>""</f>
        <v/>
      </c>
    </row>
    <row r="5445" spans="1:97" x14ac:dyDescent="0.25">
      <c r="A5445" t="s">
        <v>33549</v>
      </c>
      <c r="B5445" t="s">
        <v>15164</v>
      </c>
      <c r="E5445" t="s">
        <v>33550</v>
      </c>
      <c r="F5445" t="s">
        <v>108</v>
      </c>
      <c r="H5445" t="s">
        <v>33551</v>
      </c>
      <c r="I5445" t="s">
        <v>2874</v>
      </c>
      <c r="J5445" t="s">
        <v>111</v>
      </c>
      <c r="K5445" t="str">
        <f>"85305"</f>
        <v>85305</v>
      </c>
      <c r="L5445" t="s">
        <v>4282</v>
      </c>
      <c r="M5445" t="s">
        <v>33551</v>
      </c>
      <c r="N5445" t="s">
        <v>2874</v>
      </c>
      <c r="O5445" t="s">
        <v>111</v>
      </c>
      <c r="P5445" t="str">
        <f>"85305-5425"</f>
        <v>85305-5425</v>
      </c>
      <c r="Q5445" t="s">
        <v>113</v>
      </c>
      <c r="R5445" t="str">
        <f>"102-04-380"</f>
        <v>102-04-380</v>
      </c>
      <c r="S5445" t="s">
        <v>33552</v>
      </c>
      <c r="T5445" t="s">
        <v>33553</v>
      </c>
      <c r="U5445">
        <v>1765</v>
      </c>
      <c r="V5445">
        <v>0</v>
      </c>
      <c r="W5445">
        <v>3</v>
      </c>
      <c r="X5445">
        <v>1993</v>
      </c>
      <c r="Z5445">
        <v>1</v>
      </c>
      <c r="AA5445" t="s">
        <v>26</v>
      </c>
      <c r="AB5445">
        <v>0</v>
      </c>
      <c r="AC5445" t="s">
        <v>115</v>
      </c>
      <c r="AD5445">
        <v>3</v>
      </c>
      <c r="AE5445" t="s">
        <v>115</v>
      </c>
      <c r="AF5445">
        <v>0</v>
      </c>
      <c r="AG5445">
        <v>0</v>
      </c>
      <c r="AH5445" t="s">
        <v>116</v>
      </c>
      <c r="AI5445" s="1">
        <v>65178</v>
      </c>
      <c r="AJ5445" s="2">
        <v>0.24</v>
      </c>
      <c r="AK5445" s="1">
        <v>276943</v>
      </c>
      <c r="AL5445" t="s">
        <v>117</v>
      </c>
      <c r="AM5445" t="s">
        <v>171</v>
      </c>
      <c r="AN5445">
        <v>8795</v>
      </c>
      <c r="AO5445">
        <v>0.2</v>
      </c>
      <c r="AP5445">
        <v>1</v>
      </c>
      <c r="AR5445">
        <v>1</v>
      </c>
      <c r="AS5445" s="1">
        <v>19260</v>
      </c>
      <c r="AT5445" s="1">
        <v>3850</v>
      </c>
      <c r="AU5445" s="1">
        <v>15410</v>
      </c>
      <c r="AV5445">
        <v>80.010000000000005</v>
      </c>
      <c r="AX5445" s="1">
        <v>1860.08</v>
      </c>
      <c r="AY5445" t="s">
        <v>16057</v>
      </c>
      <c r="AZ5445" t="s">
        <v>16057</v>
      </c>
      <c r="BA5445" t="s">
        <v>4286</v>
      </c>
      <c r="BE5445" s="3">
        <v>42097</v>
      </c>
      <c r="BF5445" s="1">
        <v>205000</v>
      </c>
      <c r="BG5445" t="s">
        <v>33554</v>
      </c>
      <c r="BH5445" s="1">
        <v>116.15</v>
      </c>
      <c r="BI5445" s="1">
        <v>211765</v>
      </c>
      <c r="BJ5445" s="3">
        <v>42097</v>
      </c>
      <c r="BK5445" t="s">
        <v>123</v>
      </c>
      <c r="BL5445" t="str">
        <f>"2015.229014"</f>
        <v>2015.229014</v>
      </c>
      <c r="BM5445" t="s">
        <v>724</v>
      </c>
      <c r="BO5445" t="s">
        <v>33555</v>
      </c>
      <c r="BS5445">
        <v>30</v>
      </c>
      <c r="BW5445" t="str">
        <f>""</f>
        <v/>
      </c>
      <c r="CH5445" t="str">
        <f>""</f>
        <v/>
      </c>
      <c r="CS5445" t="str">
        <f>""</f>
        <v/>
      </c>
    </row>
    <row r="5446" spans="1:97" x14ac:dyDescent="0.25">
      <c r="B5446" t="s">
        <v>33556</v>
      </c>
      <c r="E5446" t="s">
        <v>33556</v>
      </c>
      <c r="F5446" t="s">
        <v>108</v>
      </c>
      <c r="H5446" t="s">
        <v>33557</v>
      </c>
      <c r="I5446" t="s">
        <v>110</v>
      </c>
      <c r="J5446" t="s">
        <v>111</v>
      </c>
      <c r="K5446" t="str">
        <f>"85286"</f>
        <v>85286</v>
      </c>
      <c r="L5446" t="s">
        <v>375</v>
      </c>
      <c r="M5446" t="s">
        <v>33557</v>
      </c>
      <c r="N5446" t="s">
        <v>110</v>
      </c>
      <c r="O5446" t="s">
        <v>111</v>
      </c>
      <c r="P5446" t="str">
        <f>"85286-5629"</f>
        <v>85286-5629</v>
      </c>
      <c r="Q5446" t="s">
        <v>113</v>
      </c>
      <c r="R5446" t="str">
        <f>"304-56-080"</f>
        <v>304-56-080</v>
      </c>
      <c r="S5446" t="s">
        <v>20453</v>
      </c>
      <c r="T5446" t="s">
        <v>20454</v>
      </c>
      <c r="U5446">
        <v>2171</v>
      </c>
      <c r="V5446">
        <v>0</v>
      </c>
      <c r="W5446">
        <v>3</v>
      </c>
      <c r="X5446">
        <v>2003</v>
      </c>
      <c r="Z5446">
        <v>1</v>
      </c>
      <c r="AA5446" t="s">
        <v>26</v>
      </c>
      <c r="AB5446">
        <v>0</v>
      </c>
      <c r="AC5446" t="s">
        <v>115</v>
      </c>
      <c r="AD5446">
        <v>2</v>
      </c>
      <c r="AE5446" t="s">
        <v>115</v>
      </c>
      <c r="AF5446">
        <v>0</v>
      </c>
      <c r="AG5446">
        <v>0</v>
      </c>
      <c r="AH5446" t="s">
        <v>116</v>
      </c>
      <c r="AI5446" s="1">
        <v>78588</v>
      </c>
      <c r="AJ5446" s="2">
        <v>0.2</v>
      </c>
      <c r="AK5446" s="1">
        <v>388102</v>
      </c>
      <c r="AL5446" t="s">
        <v>117</v>
      </c>
      <c r="AM5446" t="s">
        <v>118</v>
      </c>
      <c r="AN5446">
        <v>9261</v>
      </c>
      <c r="AO5446">
        <v>0.21</v>
      </c>
      <c r="AP5446">
        <v>1</v>
      </c>
      <c r="AR5446">
        <v>1</v>
      </c>
      <c r="AS5446" s="1">
        <v>27470</v>
      </c>
      <c r="AT5446" s="1">
        <v>5490</v>
      </c>
      <c r="AU5446" s="1">
        <v>21980</v>
      </c>
      <c r="AV5446">
        <v>80.010000000000005</v>
      </c>
      <c r="AX5446" s="1">
        <v>2428.08</v>
      </c>
      <c r="AY5446" t="s">
        <v>737</v>
      </c>
      <c r="AZ5446" t="s">
        <v>120</v>
      </c>
      <c r="BA5446" t="s">
        <v>303</v>
      </c>
      <c r="BE5446" s="3">
        <v>41820</v>
      </c>
      <c r="BF5446" s="1">
        <v>303000</v>
      </c>
      <c r="BG5446" t="s">
        <v>33558</v>
      </c>
      <c r="BH5446" s="1">
        <v>139.57</v>
      </c>
      <c r="BI5446" s="1">
        <v>309514</v>
      </c>
      <c r="BJ5446" s="3">
        <v>41820</v>
      </c>
      <c r="BK5446" t="s">
        <v>123</v>
      </c>
      <c r="BL5446" t="str">
        <f>"2014.430873"</f>
        <v>2014.430873</v>
      </c>
      <c r="BM5446" t="s">
        <v>150</v>
      </c>
      <c r="BO5446" t="s">
        <v>33559</v>
      </c>
      <c r="BS5446">
        <v>30</v>
      </c>
      <c r="BW5446" t="str">
        <f>""</f>
        <v/>
      </c>
      <c r="CH5446" t="str">
        <f>""</f>
        <v/>
      </c>
      <c r="CS5446" t="str">
        <f>""</f>
        <v/>
      </c>
    </row>
    <row r="5447" spans="1:97" x14ac:dyDescent="0.25">
      <c r="A5447" t="s">
        <v>1514</v>
      </c>
      <c r="B5447" t="s">
        <v>29089</v>
      </c>
      <c r="C5447" t="s">
        <v>817</v>
      </c>
      <c r="D5447" t="s">
        <v>29089</v>
      </c>
      <c r="E5447" t="s">
        <v>33560</v>
      </c>
      <c r="F5447" t="s">
        <v>108</v>
      </c>
      <c r="H5447" t="s">
        <v>33561</v>
      </c>
      <c r="I5447" t="s">
        <v>632</v>
      </c>
      <c r="J5447" t="s">
        <v>111</v>
      </c>
      <c r="K5447" t="str">
        <f>"85379"</f>
        <v>85379</v>
      </c>
      <c r="L5447" t="s">
        <v>1244</v>
      </c>
      <c r="M5447" t="s">
        <v>33561</v>
      </c>
      <c r="N5447" t="s">
        <v>632</v>
      </c>
      <c r="O5447" t="s">
        <v>111</v>
      </c>
      <c r="P5447" t="str">
        <f>"85379-8006"</f>
        <v>85379-8006</v>
      </c>
      <c r="Q5447" t="s">
        <v>113</v>
      </c>
      <c r="R5447" t="str">
        <f>"509-02-622"</f>
        <v>509-02-622</v>
      </c>
      <c r="S5447" t="s">
        <v>10379</v>
      </c>
      <c r="T5447" t="s">
        <v>10380</v>
      </c>
      <c r="U5447">
        <v>2172</v>
      </c>
      <c r="V5447">
        <v>0</v>
      </c>
      <c r="W5447">
        <v>3</v>
      </c>
      <c r="X5447">
        <v>2005</v>
      </c>
      <c r="Z5447">
        <v>1</v>
      </c>
      <c r="AB5447">
        <v>0</v>
      </c>
      <c r="AC5447" t="s">
        <v>115</v>
      </c>
      <c r="AD5447">
        <v>3</v>
      </c>
      <c r="AE5447" t="s">
        <v>115</v>
      </c>
      <c r="AF5447">
        <v>0</v>
      </c>
      <c r="AG5447">
        <v>0</v>
      </c>
      <c r="AH5447" t="s">
        <v>116</v>
      </c>
      <c r="AI5447" s="1">
        <v>56579</v>
      </c>
      <c r="AJ5447" s="2">
        <v>0.2</v>
      </c>
      <c r="AK5447" s="1">
        <v>279500</v>
      </c>
      <c r="AL5447" t="s">
        <v>117</v>
      </c>
      <c r="AM5447" t="s">
        <v>118</v>
      </c>
      <c r="AN5447">
        <v>7117</v>
      </c>
      <c r="AO5447">
        <v>0.16</v>
      </c>
      <c r="AR5447">
        <v>1</v>
      </c>
      <c r="AS5447" s="1">
        <v>20130</v>
      </c>
      <c r="AT5447" s="1">
        <v>4020</v>
      </c>
      <c r="AU5447" s="1">
        <v>16110</v>
      </c>
      <c r="AV5447">
        <v>80.03</v>
      </c>
      <c r="AX5447" s="1">
        <v>1474.38</v>
      </c>
      <c r="AY5447" t="s">
        <v>6615</v>
      </c>
      <c r="AZ5447" t="s">
        <v>6615</v>
      </c>
      <c r="BA5447" t="s">
        <v>321</v>
      </c>
      <c r="BE5447" s="3">
        <v>41992</v>
      </c>
      <c r="BF5447" s="1">
        <v>192237</v>
      </c>
      <c r="BG5447" t="s">
        <v>33562</v>
      </c>
      <c r="BH5447" s="1">
        <v>88.51</v>
      </c>
      <c r="BI5447" s="1">
        <v>222921</v>
      </c>
      <c r="BJ5447" s="3">
        <v>43193</v>
      </c>
      <c r="BK5447" t="s">
        <v>123</v>
      </c>
      <c r="BL5447" t="str">
        <f>"2018.250369"</f>
        <v>2018.250369</v>
      </c>
      <c r="BM5447" t="s">
        <v>15330</v>
      </c>
      <c r="BN5447" t="s">
        <v>15331</v>
      </c>
      <c r="BO5447" t="s">
        <v>33563</v>
      </c>
      <c r="BP5447" t="s">
        <v>33564</v>
      </c>
      <c r="BR5447" t="s">
        <v>139</v>
      </c>
      <c r="BW5447" t="str">
        <f>""</f>
        <v/>
      </c>
      <c r="CH5447" t="str">
        <f>""</f>
        <v/>
      </c>
      <c r="CS5447" t="str">
        <f>""</f>
        <v/>
      </c>
    </row>
    <row r="5448" spans="1:97" x14ac:dyDescent="0.25">
      <c r="A5448" t="s">
        <v>815</v>
      </c>
      <c r="B5448" t="s">
        <v>33565</v>
      </c>
      <c r="C5448" t="s">
        <v>2930</v>
      </c>
      <c r="D5448" t="s">
        <v>33565</v>
      </c>
      <c r="E5448" t="s">
        <v>33566</v>
      </c>
      <c r="F5448" t="s">
        <v>108</v>
      </c>
      <c r="H5448" t="s">
        <v>33567</v>
      </c>
      <c r="I5448" t="s">
        <v>188</v>
      </c>
      <c r="J5448" t="s">
        <v>111</v>
      </c>
      <c r="K5448" t="str">
        <f>"85142"</f>
        <v>85142</v>
      </c>
      <c r="L5448" t="s">
        <v>1070</v>
      </c>
      <c r="M5448" t="s">
        <v>33567</v>
      </c>
      <c r="N5448" t="s">
        <v>188</v>
      </c>
      <c r="O5448" t="s">
        <v>111</v>
      </c>
      <c r="P5448" t="str">
        <f>"85142-5208"</f>
        <v>85142-5208</v>
      </c>
      <c r="Q5448" t="s">
        <v>113</v>
      </c>
      <c r="R5448" t="str">
        <f>"314-09-315"</f>
        <v>314-09-315</v>
      </c>
      <c r="S5448" t="s">
        <v>31741</v>
      </c>
      <c r="T5448" t="s">
        <v>17034</v>
      </c>
      <c r="U5448">
        <v>3626</v>
      </c>
      <c r="V5448">
        <v>0</v>
      </c>
      <c r="W5448">
        <v>5</v>
      </c>
      <c r="X5448">
        <v>2014</v>
      </c>
      <c r="Z5448">
        <v>1</v>
      </c>
      <c r="AB5448">
        <v>0</v>
      </c>
      <c r="AC5448" t="s">
        <v>115</v>
      </c>
      <c r="AD5448">
        <v>3</v>
      </c>
      <c r="AE5448" t="s">
        <v>115</v>
      </c>
      <c r="AF5448">
        <v>0</v>
      </c>
      <c r="AG5448">
        <v>0</v>
      </c>
      <c r="AH5448" t="s">
        <v>116</v>
      </c>
      <c r="AI5448" s="1">
        <v>-3730</v>
      </c>
      <c r="AJ5448" s="2">
        <v>-0.01</v>
      </c>
      <c r="AK5448" s="1">
        <v>455769</v>
      </c>
      <c r="AL5448" t="s">
        <v>117</v>
      </c>
      <c r="AM5448" t="s">
        <v>5791</v>
      </c>
      <c r="AN5448">
        <v>12661</v>
      </c>
      <c r="AO5448">
        <v>0.28999999999999998</v>
      </c>
      <c r="AR5448">
        <v>1</v>
      </c>
      <c r="AS5448" s="1">
        <v>31460</v>
      </c>
      <c r="AT5448" s="1">
        <v>6290</v>
      </c>
      <c r="AU5448" s="1">
        <v>25170</v>
      </c>
      <c r="AV5448">
        <v>80.010000000000005</v>
      </c>
      <c r="AX5448" s="1">
        <v>3727.54</v>
      </c>
      <c r="AY5448" t="s">
        <v>1074</v>
      </c>
      <c r="AZ5448" t="s">
        <v>193</v>
      </c>
      <c r="BA5448" t="s">
        <v>194</v>
      </c>
      <c r="BE5448" s="3">
        <v>41816</v>
      </c>
      <c r="BF5448" s="1">
        <v>355448</v>
      </c>
      <c r="BG5448" t="s">
        <v>2842</v>
      </c>
      <c r="BH5448" s="1">
        <v>98.03</v>
      </c>
      <c r="BI5448" s="1">
        <v>459499</v>
      </c>
      <c r="BJ5448" s="3">
        <v>43566</v>
      </c>
      <c r="BK5448" t="s">
        <v>123</v>
      </c>
      <c r="BL5448" t="str">
        <f>"2019.253381"</f>
        <v>2019.253381</v>
      </c>
      <c r="BM5448" t="s">
        <v>4672</v>
      </c>
      <c r="BN5448" t="s">
        <v>16367</v>
      </c>
      <c r="BO5448" t="s">
        <v>33568</v>
      </c>
      <c r="BP5448" t="s">
        <v>33569</v>
      </c>
      <c r="BR5448" t="s">
        <v>139</v>
      </c>
      <c r="BW5448" t="str">
        <f>""</f>
        <v/>
      </c>
      <c r="CH5448" t="str">
        <f>""</f>
        <v/>
      </c>
      <c r="CS5448" t="str">
        <f>""</f>
        <v/>
      </c>
    </row>
    <row r="5449" spans="1:97" x14ac:dyDescent="0.25">
      <c r="A5449" t="s">
        <v>3718</v>
      </c>
      <c r="B5449" t="s">
        <v>4718</v>
      </c>
      <c r="C5449" t="s">
        <v>8221</v>
      </c>
      <c r="D5449" t="s">
        <v>4718</v>
      </c>
      <c r="E5449" t="s">
        <v>33570</v>
      </c>
      <c r="F5449" t="s">
        <v>108</v>
      </c>
      <c r="H5449" t="s">
        <v>33571</v>
      </c>
      <c r="I5449" t="s">
        <v>203</v>
      </c>
      <c r="J5449" t="s">
        <v>111</v>
      </c>
      <c r="K5449" t="str">
        <f>"85234"</f>
        <v>85234</v>
      </c>
      <c r="L5449" t="s">
        <v>4259</v>
      </c>
      <c r="M5449" t="s">
        <v>33571</v>
      </c>
      <c r="N5449" t="s">
        <v>203</v>
      </c>
      <c r="O5449" t="s">
        <v>111</v>
      </c>
      <c r="P5449" t="str">
        <f>"85234-7642"</f>
        <v>85234-7642</v>
      </c>
      <c r="Q5449" t="s">
        <v>113</v>
      </c>
      <c r="R5449" t="str">
        <f>"304-16-268"</f>
        <v>304-16-268</v>
      </c>
      <c r="S5449" t="s">
        <v>16625</v>
      </c>
      <c r="T5449" t="s">
        <v>16626</v>
      </c>
      <c r="U5449">
        <v>2292</v>
      </c>
      <c r="V5449">
        <v>0</v>
      </c>
      <c r="W5449">
        <v>3</v>
      </c>
      <c r="X5449">
        <v>1999</v>
      </c>
      <c r="Z5449">
        <v>1</v>
      </c>
      <c r="AB5449">
        <v>0</v>
      </c>
      <c r="AC5449" t="s">
        <v>115</v>
      </c>
      <c r="AD5449">
        <v>2</v>
      </c>
      <c r="AE5449" t="s">
        <v>115</v>
      </c>
      <c r="AF5449">
        <v>0</v>
      </c>
      <c r="AG5449">
        <v>0</v>
      </c>
      <c r="AH5449" t="s">
        <v>116</v>
      </c>
      <c r="AI5449" s="1">
        <v>64523</v>
      </c>
      <c r="AJ5449" s="2">
        <v>0.18</v>
      </c>
      <c r="AK5449" s="1">
        <v>367602</v>
      </c>
      <c r="AL5449" t="s">
        <v>117</v>
      </c>
      <c r="AM5449" t="s">
        <v>393</v>
      </c>
      <c r="AN5449">
        <v>7532</v>
      </c>
      <c r="AO5449">
        <v>0.17</v>
      </c>
      <c r="AP5449">
        <v>1</v>
      </c>
      <c r="AR5449">
        <v>1</v>
      </c>
      <c r="AS5449" s="1">
        <v>24880</v>
      </c>
      <c r="AT5449" s="1">
        <v>4970</v>
      </c>
      <c r="AU5449" s="1">
        <v>19910</v>
      </c>
      <c r="AV5449">
        <v>80.02</v>
      </c>
      <c r="AX5449" s="1">
        <v>1812.78</v>
      </c>
      <c r="AY5449" t="s">
        <v>7213</v>
      </c>
      <c r="AZ5449" t="s">
        <v>571</v>
      </c>
      <c r="BA5449" t="s">
        <v>521</v>
      </c>
      <c r="BE5449" s="3">
        <v>42179</v>
      </c>
      <c r="BF5449" s="1">
        <v>295900</v>
      </c>
      <c r="BG5449" t="s">
        <v>33572</v>
      </c>
      <c r="BH5449" s="1">
        <v>129.1</v>
      </c>
      <c r="BI5449" s="1">
        <v>303079</v>
      </c>
      <c r="BJ5449" s="3">
        <v>42702</v>
      </c>
      <c r="BK5449" t="s">
        <v>123</v>
      </c>
      <c r="BL5449" t="str">
        <f>"2016.871559"</f>
        <v>2016.871559</v>
      </c>
      <c r="BM5449" t="s">
        <v>2378</v>
      </c>
      <c r="BO5449" t="s">
        <v>33573</v>
      </c>
      <c r="BS5449">
        <v>25</v>
      </c>
      <c r="BW5449" t="str">
        <f>""</f>
        <v/>
      </c>
      <c r="CH5449" t="str">
        <f>""</f>
        <v/>
      </c>
      <c r="CS5449" t="str">
        <f>""</f>
        <v/>
      </c>
    </row>
    <row r="5450" spans="1:97" x14ac:dyDescent="0.25">
      <c r="A5450" t="s">
        <v>1465</v>
      </c>
      <c r="B5450" t="s">
        <v>33574</v>
      </c>
      <c r="C5450" t="s">
        <v>33575</v>
      </c>
      <c r="D5450" t="s">
        <v>33574</v>
      </c>
      <c r="E5450" t="s">
        <v>33576</v>
      </c>
      <c r="F5450" t="s">
        <v>108</v>
      </c>
      <c r="H5450" t="s">
        <v>33577</v>
      </c>
      <c r="I5450" t="s">
        <v>499</v>
      </c>
      <c r="J5450" t="s">
        <v>111</v>
      </c>
      <c r="K5450" t="str">
        <f>"85395"</f>
        <v>85395</v>
      </c>
      <c r="L5450" t="s">
        <v>500</v>
      </c>
      <c r="M5450" t="s">
        <v>33577</v>
      </c>
      <c r="N5450" t="s">
        <v>499</v>
      </c>
      <c r="O5450" t="s">
        <v>111</v>
      </c>
      <c r="P5450" t="str">
        <f>"85395-5239"</f>
        <v>85395-5239</v>
      </c>
      <c r="Q5450" t="s">
        <v>113</v>
      </c>
      <c r="R5450" t="str">
        <f>"502-30-247"</f>
        <v>502-30-247</v>
      </c>
      <c r="S5450" t="s">
        <v>5769</v>
      </c>
      <c r="T5450" t="s">
        <v>502</v>
      </c>
      <c r="U5450">
        <v>3308</v>
      </c>
      <c r="V5450">
        <v>0</v>
      </c>
      <c r="W5450">
        <v>4</v>
      </c>
      <c r="X5450">
        <v>2015</v>
      </c>
      <c r="Z5450">
        <v>1</v>
      </c>
      <c r="AB5450">
        <v>0</v>
      </c>
      <c r="AC5450" t="s">
        <v>115</v>
      </c>
      <c r="AD5450">
        <v>2</v>
      </c>
      <c r="AE5450" t="s">
        <v>115</v>
      </c>
      <c r="AF5450">
        <v>0</v>
      </c>
      <c r="AG5450">
        <v>0</v>
      </c>
      <c r="AH5450" t="s">
        <v>116</v>
      </c>
      <c r="AI5450" s="1">
        <v>103399</v>
      </c>
      <c r="AJ5450" s="2">
        <v>0.25</v>
      </c>
      <c r="AK5450" s="1">
        <v>414990</v>
      </c>
      <c r="AL5450" t="s">
        <v>117</v>
      </c>
      <c r="AM5450" t="s">
        <v>118</v>
      </c>
      <c r="AN5450">
        <v>10874</v>
      </c>
      <c r="AO5450">
        <v>0.25</v>
      </c>
      <c r="AR5450">
        <v>1</v>
      </c>
      <c r="AS5450" s="1">
        <v>29330</v>
      </c>
      <c r="AT5450" s="1">
        <v>5860</v>
      </c>
      <c r="AU5450" s="1">
        <v>23470</v>
      </c>
      <c r="AV5450">
        <v>80.02</v>
      </c>
      <c r="AX5450" s="1">
        <v>2538.9</v>
      </c>
      <c r="AY5450" t="s">
        <v>503</v>
      </c>
      <c r="AZ5450" t="s">
        <v>504</v>
      </c>
      <c r="BA5450" t="s">
        <v>218</v>
      </c>
      <c r="BE5450" s="3">
        <v>42109</v>
      </c>
      <c r="BF5450" s="1">
        <v>301637</v>
      </c>
      <c r="BG5450" t="s">
        <v>209</v>
      </c>
      <c r="BH5450" s="1">
        <v>91.18</v>
      </c>
      <c r="BI5450" s="1">
        <v>311591</v>
      </c>
      <c r="BJ5450" s="3">
        <v>42109</v>
      </c>
      <c r="BK5450" t="s">
        <v>123</v>
      </c>
      <c r="BL5450" t="str">
        <f>"2015.258778"</f>
        <v>2015.258778</v>
      </c>
      <c r="BM5450" t="s">
        <v>175</v>
      </c>
      <c r="BO5450" t="s">
        <v>33578</v>
      </c>
      <c r="BS5450">
        <v>30</v>
      </c>
      <c r="BW5450" t="str">
        <f>""</f>
        <v/>
      </c>
      <c r="CH5450" t="str">
        <f>""</f>
        <v/>
      </c>
      <c r="CS5450" t="str">
        <f>""</f>
        <v/>
      </c>
    </row>
    <row r="5451" spans="1:97" x14ac:dyDescent="0.25">
      <c r="A5451" t="s">
        <v>140</v>
      </c>
      <c r="B5451" t="s">
        <v>33579</v>
      </c>
      <c r="C5451" t="s">
        <v>986</v>
      </c>
      <c r="D5451" t="s">
        <v>33579</v>
      </c>
      <c r="E5451" t="s">
        <v>33580</v>
      </c>
      <c r="F5451" t="s">
        <v>108</v>
      </c>
      <c r="H5451" t="s">
        <v>33581</v>
      </c>
      <c r="I5451" t="s">
        <v>390</v>
      </c>
      <c r="J5451" t="s">
        <v>111</v>
      </c>
      <c r="K5451" t="str">
        <f>"85024"</f>
        <v>85024</v>
      </c>
      <c r="L5451" t="s">
        <v>2963</v>
      </c>
      <c r="M5451" t="s">
        <v>33581</v>
      </c>
      <c r="N5451" t="s">
        <v>390</v>
      </c>
      <c r="O5451" t="s">
        <v>111</v>
      </c>
      <c r="P5451" t="str">
        <f>"85024-9500"</f>
        <v>85024-9500</v>
      </c>
      <c r="Q5451" t="s">
        <v>113</v>
      </c>
      <c r="R5451" t="str">
        <f>"213-03-858"</f>
        <v>213-03-858</v>
      </c>
      <c r="S5451" t="s">
        <v>33582</v>
      </c>
      <c r="T5451" t="s">
        <v>33582</v>
      </c>
      <c r="U5451">
        <v>2021</v>
      </c>
      <c r="V5451">
        <v>0</v>
      </c>
      <c r="W5451">
        <v>4</v>
      </c>
      <c r="X5451">
        <v>2000</v>
      </c>
      <c r="Z5451">
        <v>2</v>
      </c>
      <c r="AA5451" t="s">
        <v>26</v>
      </c>
      <c r="AB5451">
        <v>0</v>
      </c>
      <c r="AC5451" t="s">
        <v>115</v>
      </c>
      <c r="AD5451">
        <v>2</v>
      </c>
      <c r="AE5451" t="s">
        <v>115</v>
      </c>
      <c r="AF5451">
        <v>0</v>
      </c>
      <c r="AG5451">
        <v>0</v>
      </c>
      <c r="AH5451" t="s">
        <v>116</v>
      </c>
      <c r="AI5451" s="1">
        <v>66009</v>
      </c>
      <c r="AJ5451" s="2">
        <v>0.18</v>
      </c>
      <c r="AK5451" s="1">
        <v>370709</v>
      </c>
      <c r="AL5451" t="s">
        <v>117</v>
      </c>
      <c r="AM5451" t="s">
        <v>191</v>
      </c>
      <c r="AN5451">
        <v>4433</v>
      </c>
      <c r="AO5451">
        <v>0.1</v>
      </c>
      <c r="AP5451">
        <v>1</v>
      </c>
      <c r="AR5451">
        <v>1</v>
      </c>
      <c r="AS5451" s="1">
        <v>27130</v>
      </c>
      <c r="AT5451" s="1">
        <v>5420</v>
      </c>
      <c r="AU5451" s="1">
        <v>21710</v>
      </c>
      <c r="AV5451">
        <v>80.02</v>
      </c>
      <c r="AX5451" s="1">
        <v>2356.34</v>
      </c>
      <c r="AY5451" t="s">
        <v>570</v>
      </c>
      <c r="AZ5451" t="s">
        <v>761</v>
      </c>
      <c r="BA5451" t="s">
        <v>762</v>
      </c>
      <c r="BE5451" s="3">
        <v>42011</v>
      </c>
      <c r="BF5451" s="1">
        <v>295000</v>
      </c>
      <c r="BG5451" t="s">
        <v>33583</v>
      </c>
      <c r="BH5451" s="1">
        <v>145.97</v>
      </c>
      <c r="BI5451" s="1">
        <v>304700</v>
      </c>
      <c r="BJ5451" s="3">
        <v>42011</v>
      </c>
      <c r="BK5451" t="s">
        <v>123</v>
      </c>
      <c r="BL5451" t="str">
        <f>"2015.9484"</f>
        <v>2015.9484</v>
      </c>
      <c r="BM5451" t="s">
        <v>124</v>
      </c>
      <c r="BO5451" t="s">
        <v>33584</v>
      </c>
      <c r="BS5451">
        <v>30</v>
      </c>
      <c r="BW5451" t="str">
        <f>""</f>
        <v/>
      </c>
      <c r="CH5451" t="str">
        <f>""</f>
        <v/>
      </c>
      <c r="CS5451" t="str">
        <f>""</f>
        <v/>
      </c>
    </row>
    <row r="5452" spans="1:97" x14ac:dyDescent="0.25">
      <c r="A5452" t="s">
        <v>4652</v>
      </c>
      <c r="B5452" t="s">
        <v>33585</v>
      </c>
      <c r="C5452" t="s">
        <v>220</v>
      </c>
      <c r="D5452" t="s">
        <v>33585</v>
      </c>
      <c r="E5452" t="s">
        <v>33586</v>
      </c>
      <c r="F5452" t="s">
        <v>108</v>
      </c>
      <c r="H5452" t="s">
        <v>33587</v>
      </c>
      <c r="I5452" t="s">
        <v>453</v>
      </c>
      <c r="J5452" t="s">
        <v>111</v>
      </c>
      <c r="K5452" t="str">
        <f>"85383"</f>
        <v>85383</v>
      </c>
      <c r="L5452" t="s">
        <v>7243</v>
      </c>
      <c r="M5452" t="s">
        <v>33587</v>
      </c>
      <c r="N5452" t="s">
        <v>453</v>
      </c>
      <c r="O5452" t="s">
        <v>111</v>
      </c>
      <c r="P5452" t="str">
        <f>"85383-4834"</f>
        <v>85383-4834</v>
      </c>
      <c r="Q5452" t="s">
        <v>113</v>
      </c>
      <c r="R5452" t="str">
        <f>"201-37-113"</f>
        <v>201-37-113</v>
      </c>
      <c r="S5452" t="s">
        <v>13120</v>
      </c>
      <c r="U5452">
        <v>1804</v>
      </c>
      <c r="V5452">
        <v>0</v>
      </c>
      <c r="W5452">
        <v>3</v>
      </c>
      <c r="X5452">
        <v>2004</v>
      </c>
      <c r="Z5452">
        <v>1</v>
      </c>
      <c r="AB5452">
        <v>0</v>
      </c>
      <c r="AC5452" t="s">
        <v>115</v>
      </c>
      <c r="AD5452">
        <v>2</v>
      </c>
      <c r="AE5452" t="s">
        <v>115</v>
      </c>
      <c r="AF5452">
        <v>0</v>
      </c>
      <c r="AG5452">
        <v>0</v>
      </c>
      <c r="AH5452" t="s">
        <v>116</v>
      </c>
      <c r="AI5452" s="1">
        <v>79235</v>
      </c>
      <c r="AJ5452" s="2">
        <v>0.26</v>
      </c>
      <c r="AK5452" s="1">
        <v>301012</v>
      </c>
      <c r="AL5452" t="s">
        <v>117</v>
      </c>
      <c r="AM5452" t="s">
        <v>118</v>
      </c>
      <c r="AN5452">
        <v>6417</v>
      </c>
      <c r="AO5452">
        <v>0.15</v>
      </c>
      <c r="AP5452">
        <v>1</v>
      </c>
      <c r="AR5452">
        <v>1</v>
      </c>
      <c r="AS5452" s="1">
        <v>21780</v>
      </c>
      <c r="AT5452" s="1">
        <v>4350</v>
      </c>
      <c r="AU5452" s="1">
        <v>17430</v>
      </c>
      <c r="AV5452">
        <v>80.03</v>
      </c>
      <c r="AX5452" s="1">
        <v>1838.12</v>
      </c>
      <c r="AY5452" t="s">
        <v>8323</v>
      </c>
      <c r="AZ5452" t="s">
        <v>8323</v>
      </c>
      <c r="BA5452" t="s">
        <v>1386</v>
      </c>
      <c r="BE5452" s="3">
        <v>42201</v>
      </c>
      <c r="BF5452" s="1">
        <v>230000</v>
      </c>
      <c r="BG5452" t="s">
        <v>33588</v>
      </c>
      <c r="BH5452" s="1">
        <v>127.49</v>
      </c>
      <c r="BI5452" s="1">
        <v>221777</v>
      </c>
      <c r="BJ5452" s="3">
        <v>42201</v>
      </c>
      <c r="BK5452" t="s">
        <v>123</v>
      </c>
      <c r="BL5452" t="str">
        <f>"2015.513523"</f>
        <v>2015.513523</v>
      </c>
      <c r="BM5452" t="s">
        <v>175</v>
      </c>
      <c r="BO5452" t="s">
        <v>33589</v>
      </c>
      <c r="BS5452">
        <v>30</v>
      </c>
      <c r="BW5452" t="str">
        <f>""</f>
        <v/>
      </c>
      <c r="CH5452" t="str">
        <f>""</f>
        <v/>
      </c>
      <c r="CS5452" t="str">
        <f>""</f>
        <v/>
      </c>
    </row>
    <row r="5453" spans="1:97" x14ac:dyDescent="0.25">
      <c r="A5453" t="s">
        <v>2206</v>
      </c>
      <c r="B5453" t="s">
        <v>5098</v>
      </c>
      <c r="C5453" t="s">
        <v>259</v>
      </c>
      <c r="D5453" t="s">
        <v>5098</v>
      </c>
      <c r="E5453" t="s">
        <v>33590</v>
      </c>
      <c r="F5453" t="s">
        <v>108</v>
      </c>
      <c r="H5453" t="s">
        <v>33591</v>
      </c>
      <c r="I5453" t="s">
        <v>110</v>
      </c>
      <c r="J5453" t="s">
        <v>111</v>
      </c>
      <c r="K5453" t="str">
        <f>"85225"</f>
        <v>85225</v>
      </c>
      <c r="L5453" t="s">
        <v>6682</v>
      </c>
      <c r="M5453" t="s">
        <v>33591</v>
      </c>
      <c r="N5453" t="s">
        <v>110</v>
      </c>
      <c r="O5453" t="s">
        <v>111</v>
      </c>
      <c r="P5453" t="str">
        <f>"85225-6856"</f>
        <v>85225-6856</v>
      </c>
      <c r="Q5453" t="s">
        <v>113</v>
      </c>
      <c r="R5453" t="str">
        <f>"303-21-291"</f>
        <v>303-21-291</v>
      </c>
      <c r="S5453" t="s">
        <v>23305</v>
      </c>
      <c r="T5453" t="s">
        <v>23305</v>
      </c>
      <c r="U5453">
        <v>1673</v>
      </c>
      <c r="V5453">
        <v>0</v>
      </c>
      <c r="W5453">
        <v>3</v>
      </c>
      <c r="X5453">
        <v>1996</v>
      </c>
      <c r="Z5453">
        <v>1</v>
      </c>
      <c r="AB5453">
        <v>0</v>
      </c>
      <c r="AC5453" t="s">
        <v>115</v>
      </c>
      <c r="AD5453">
        <v>2</v>
      </c>
      <c r="AE5453" t="s">
        <v>115</v>
      </c>
      <c r="AF5453">
        <v>0</v>
      </c>
      <c r="AG5453">
        <v>0</v>
      </c>
      <c r="AH5453" t="s">
        <v>116</v>
      </c>
      <c r="AI5453" s="1">
        <v>80093</v>
      </c>
      <c r="AJ5453" s="2">
        <v>0.26</v>
      </c>
      <c r="AK5453" s="1">
        <v>310385</v>
      </c>
      <c r="AL5453" t="s">
        <v>117</v>
      </c>
      <c r="AM5453" t="s">
        <v>118</v>
      </c>
      <c r="AN5453">
        <v>5253</v>
      </c>
      <c r="AO5453">
        <v>0.12</v>
      </c>
      <c r="AP5453">
        <v>1</v>
      </c>
      <c r="AR5453">
        <v>1</v>
      </c>
      <c r="AS5453" s="1">
        <v>21570</v>
      </c>
      <c r="AT5453" s="1">
        <v>4310</v>
      </c>
      <c r="AU5453" s="1">
        <v>17260</v>
      </c>
      <c r="AV5453">
        <v>80.02</v>
      </c>
      <c r="AX5453" s="1">
        <v>1345.86</v>
      </c>
      <c r="AY5453" t="s">
        <v>9047</v>
      </c>
      <c r="AZ5453" t="s">
        <v>1882</v>
      </c>
      <c r="BA5453" t="s">
        <v>121</v>
      </c>
      <c r="BE5453" s="3">
        <v>41815</v>
      </c>
      <c r="BF5453" s="1">
        <v>225000</v>
      </c>
      <c r="BG5453" t="s">
        <v>33592</v>
      </c>
      <c r="BH5453" s="1">
        <v>134.49</v>
      </c>
      <c r="BI5453" s="1">
        <v>230292</v>
      </c>
      <c r="BJ5453" s="3">
        <v>42037</v>
      </c>
      <c r="BK5453" t="s">
        <v>123</v>
      </c>
      <c r="BL5453" t="str">
        <f>"2015.65801"</f>
        <v>2015.65801</v>
      </c>
      <c r="BM5453" t="s">
        <v>1185</v>
      </c>
      <c r="BO5453" t="s">
        <v>33593</v>
      </c>
      <c r="BS5453">
        <v>30</v>
      </c>
      <c r="BW5453" t="str">
        <f>""</f>
        <v/>
      </c>
      <c r="CH5453" t="str">
        <f>""</f>
        <v/>
      </c>
      <c r="CS5453" t="str">
        <f>""</f>
        <v/>
      </c>
    </row>
    <row r="5454" spans="1:97" x14ac:dyDescent="0.25">
      <c r="A5454" t="s">
        <v>3526</v>
      </c>
      <c r="B5454" t="s">
        <v>1607</v>
      </c>
      <c r="C5454" t="s">
        <v>33594</v>
      </c>
      <c r="D5454" t="s">
        <v>1607</v>
      </c>
      <c r="E5454" t="s">
        <v>33595</v>
      </c>
      <c r="F5454" t="s">
        <v>108</v>
      </c>
      <c r="H5454" t="s">
        <v>33596</v>
      </c>
      <c r="I5454" t="s">
        <v>390</v>
      </c>
      <c r="J5454" t="s">
        <v>111</v>
      </c>
      <c r="K5454" t="str">
        <f>"85045"</f>
        <v>85045</v>
      </c>
      <c r="L5454" t="s">
        <v>8199</v>
      </c>
      <c r="M5454" t="s">
        <v>33596</v>
      </c>
      <c r="N5454" t="s">
        <v>390</v>
      </c>
      <c r="O5454" t="s">
        <v>111</v>
      </c>
      <c r="P5454" t="str">
        <f>"85045-1812"</f>
        <v>85045-1812</v>
      </c>
      <c r="Q5454" t="s">
        <v>113</v>
      </c>
      <c r="R5454" t="str">
        <f>"300-95-378"</f>
        <v>300-95-378</v>
      </c>
      <c r="S5454" t="s">
        <v>12612</v>
      </c>
      <c r="T5454" t="s">
        <v>12613</v>
      </c>
      <c r="U5454">
        <v>2008</v>
      </c>
      <c r="V5454">
        <v>0</v>
      </c>
      <c r="W5454">
        <v>3</v>
      </c>
      <c r="X5454">
        <v>1994</v>
      </c>
      <c r="Z5454">
        <v>1</v>
      </c>
      <c r="AA5454" t="s">
        <v>26</v>
      </c>
      <c r="AB5454">
        <v>0</v>
      </c>
      <c r="AC5454" t="s">
        <v>115</v>
      </c>
      <c r="AD5454">
        <v>3</v>
      </c>
      <c r="AE5454" t="s">
        <v>115</v>
      </c>
      <c r="AF5454">
        <v>0</v>
      </c>
      <c r="AG5454">
        <v>0</v>
      </c>
      <c r="AH5454" t="s">
        <v>116</v>
      </c>
      <c r="AI5454" s="1">
        <v>58773</v>
      </c>
      <c r="AJ5454" s="2">
        <v>0.15</v>
      </c>
      <c r="AK5454" s="1">
        <v>390882</v>
      </c>
      <c r="AL5454" t="s">
        <v>117</v>
      </c>
      <c r="AM5454" t="s">
        <v>191</v>
      </c>
      <c r="AN5454">
        <v>7510</v>
      </c>
      <c r="AO5454">
        <v>0.17</v>
      </c>
      <c r="AP5454">
        <v>1</v>
      </c>
      <c r="AR5454">
        <v>1</v>
      </c>
      <c r="AS5454" s="1">
        <v>28800</v>
      </c>
      <c r="AT5454" s="1">
        <v>5760</v>
      </c>
      <c r="AU5454" s="1">
        <v>23040</v>
      </c>
      <c r="AV5454">
        <v>80</v>
      </c>
      <c r="AX5454" s="1">
        <v>3042.3</v>
      </c>
      <c r="AY5454" t="s">
        <v>6202</v>
      </c>
      <c r="AZ5454" t="s">
        <v>2967</v>
      </c>
      <c r="BA5454" t="s">
        <v>930</v>
      </c>
      <c r="BE5454" s="3">
        <v>42223</v>
      </c>
      <c r="BF5454" s="1">
        <v>321500</v>
      </c>
      <c r="BG5454" t="s">
        <v>33597</v>
      </c>
      <c r="BH5454" s="1">
        <v>160.11000000000001</v>
      </c>
      <c r="BI5454" s="1">
        <v>332109</v>
      </c>
      <c r="BJ5454" s="3">
        <v>42223</v>
      </c>
      <c r="BK5454" t="s">
        <v>123</v>
      </c>
      <c r="BL5454" t="str">
        <f>"2015.575442"</f>
        <v>2015.575442</v>
      </c>
      <c r="BM5454" t="s">
        <v>175</v>
      </c>
      <c r="BO5454" t="s">
        <v>33598</v>
      </c>
      <c r="BS5454">
        <v>30</v>
      </c>
      <c r="BW5454" t="str">
        <f>""</f>
        <v/>
      </c>
      <c r="CH5454" t="str">
        <f>""</f>
        <v/>
      </c>
      <c r="CS5454" t="str">
        <f>""</f>
        <v/>
      </c>
    </row>
    <row r="5455" spans="1:97" x14ac:dyDescent="0.25">
      <c r="A5455" t="s">
        <v>1344</v>
      </c>
      <c r="B5455" t="s">
        <v>4864</v>
      </c>
      <c r="C5455" t="s">
        <v>1451</v>
      </c>
      <c r="D5455" t="s">
        <v>4864</v>
      </c>
      <c r="E5455" t="s">
        <v>33599</v>
      </c>
      <c r="F5455" t="s">
        <v>282</v>
      </c>
      <c r="H5455" t="s">
        <v>33600</v>
      </c>
      <c r="I5455" t="s">
        <v>1788</v>
      </c>
      <c r="J5455" t="s">
        <v>111</v>
      </c>
      <c r="K5455" t="str">
        <f>"85355"</f>
        <v>85355</v>
      </c>
      <c r="L5455" t="s">
        <v>1789</v>
      </c>
      <c r="M5455" t="s">
        <v>33601</v>
      </c>
      <c r="N5455" t="s">
        <v>499</v>
      </c>
      <c r="O5455" t="s">
        <v>111</v>
      </c>
      <c r="P5455" t="str">
        <f>"85338-3418"</f>
        <v>85338-3418</v>
      </c>
      <c r="Q5455" t="s">
        <v>113</v>
      </c>
      <c r="R5455" t="str">
        <f>"502-10-973"</f>
        <v>502-10-973</v>
      </c>
      <c r="S5455" t="s">
        <v>7963</v>
      </c>
      <c r="U5455">
        <v>4741</v>
      </c>
      <c r="V5455">
        <v>0</v>
      </c>
      <c r="W5455">
        <v>6</v>
      </c>
      <c r="X5455">
        <v>2017</v>
      </c>
      <c r="Z5455">
        <v>2</v>
      </c>
      <c r="AB5455">
        <v>0</v>
      </c>
      <c r="AC5455" t="s">
        <v>115</v>
      </c>
      <c r="AD5455">
        <v>7</v>
      </c>
      <c r="AE5455" t="s">
        <v>115</v>
      </c>
      <c r="AF5455">
        <v>0</v>
      </c>
      <c r="AG5455">
        <v>0</v>
      </c>
      <c r="AI5455" s="1">
        <v>107456</v>
      </c>
      <c r="AJ5455" s="2">
        <v>0.18</v>
      </c>
      <c r="AK5455" s="1">
        <v>606456</v>
      </c>
      <c r="AL5455" t="s">
        <v>117</v>
      </c>
      <c r="AM5455" t="s">
        <v>376</v>
      </c>
      <c r="AN5455">
        <v>53954</v>
      </c>
      <c r="AO5455">
        <v>1.24</v>
      </c>
      <c r="AS5455" s="1">
        <v>49400</v>
      </c>
      <c r="AT5455" s="1">
        <v>9880</v>
      </c>
      <c r="AU5455" s="1">
        <v>39520</v>
      </c>
      <c r="AV5455">
        <v>80</v>
      </c>
      <c r="AX5455" s="1">
        <v>4375.8</v>
      </c>
      <c r="AY5455" t="s">
        <v>7965</v>
      </c>
      <c r="AZ5455" t="s">
        <v>7965</v>
      </c>
      <c r="BA5455" t="s">
        <v>5061</v>
      </c>
      <c r="BE5455" s="3">
        <v>41974</v>
      </c>
      <c r="BF5455" s="1">
        <v>65000</v>
      </c>
      <c r="BG5455" t="s">
        <v>33602</v>
      </c>
      <c r="BI5455" s="1">
        <v>499000</v>
      </c>
      <c r="BJ5455" s="3">
        <v>43046</v>
      </c>
      <c r="BK5455" t="s">
        <v>123</v>
      </c>
      <c r="BL5455" t="str">
        <f>"2017.828051"</f>
        <v>2017.828051</v>
      </c>
      <c r="BM5455" t="s">
        <v>28498</v>
      </c>
      <c r="BO5455" t="s">
        <v>33603</v>
      </c>
      <c r="BS5455">
        <v>30</v>
      </c>
      <c r="BW5455" t="str">
        <f>""</f>
        <v/>
      </c>
      <c r="CH5455" t="str">
        <f>""</f>
        <v/>
      </c>
      <c r="CS5455" t="str">
        <f>""</f>
        <v/>
      </c>
    </row>
    <row r="5456" spans="1:97" x14ac:dyDescent="0.25">
      <c r="A5456" t="s">
        <v>1727</v>
      </c>
      <c r="B5456" t="s">
        <v>33604</v>
      </c>
      <c r="C5456" t="s">
        <v>2008</v>
      </c>
      <c r="D5456" t="s">
        <v>33604</v>
      </c>
      <c r="E5456" t="s">
        <v>33605</v>
      </c>
      <c r="F5456" t="s">
        <v>108</v>
      </c>
      <c r="H5456" t="s">
        <v>33606</v>
      </c>
      <c r="I5456" t="s">
        <v>188</v>
      </c>
      <c r="J5456" t="s">
        <v>111</v>
      </c>
      <c r="K5456" t="str">
        <f>"85142"</f>
        <v>85142</v>
      </c>
      <c r="L5456" t="s">
        <v>3645</v>
      </c>
      <c r="M5456" t="s">
        <v>33606</v>
      </c>
      <c r="N5456" t="s">
        <v>188</v>
      </c>
      <c r="O5456" t="s">
        <v>111</v>
      </c>
      <c r="P5456" t="str">
        <f>"85142-5946"</f>
        <v>85142-5946</v>
      </c>
      <c r="Q5456" t="s">
        <v>113</v>
      </c>
      <c r="R5456" t="str">
        <f>"314-08-543"</f>
        <v>314-08-543</v>
      </c>
      <c r="S5456" t="s">
        <v>9258</v>
      </c>
      <c r="T5456" t="s">
        <v>4811</v>
      </c>
      <c r="U5456">
        <v>2707</v>
      </c>
      <c r="V5456">
        <v>0</v>
      </c>
      <c r="W5456">
        <v>4</v>
      </c>
      <c r="X5456">
        <v>2014</v>
      </c>
      <c r="Z5456">
        <v>1</v>
      </c>
      <c r="AB5456">
        <v>0</v>
      </c>
      <c r="AC5456" t="s">
        <v>115</v>
      </c>
      <c r="AD5456">
        <v>3</v>
      </c>
      <c r="AE5456" t="s">
        <v>115</v>
      </c>
      <c r="AF5456">
        <v>0</v>
      </c>
      <c r="AG5456">
        <v>0</v>
      </c>
      <c r="AH5456" t="s">
        <v>116</v>
      </c>
      <c r="AI5456" s="1">
        <v>115217</v>
      </c>
      <c r="AJ5456" s="2">
        <v>0.28999999999999998</v>
      </c>
      <c r="AK5456" s="1">
        <v>396932</v>
      </c>
      <c r="AL5456" t="s">
        <v>117</v>
      </c>
      <c r="AM5456" t="s">
        <v>393</v>
      </c>
      <c r="AN5456">
        <v>8125</v>
      </c>
      <c r="AO5456">
        <v>0.19</v>
      </c>
      <c r="AR5456">
        <v>1</v>
      </c>
      <c r="AS5456" s="1">
        <v>28410</v>
      </c>
      <c r="AT5456" s="1">
        <v>5680</v>
      </c>
      <c r="AU5456" s="1">
        <v>22730</v>
      </c>
      <c r="AV5456">
        <v>80.010000000000005</v>
      </c>
      <c r="AX5456" s="1">
        <v>2934.94</v>
      </c>
      <c r="AY5456" t="s">
        <v>560</v>
      </c>
      <c r="AZ5456" t="s">
        <v>561</v>
      </c>
      <c r="BA5456" t="s">
        <v>194</v>
      </c>
      <c r="BE5456" s="3">
        <v>41711</v>
      </c>
      <c r="BF5456" s="1">
        <v>289108</v>
      </c>
      <c r="BG5456" t="s">
        <v>749</v>
      </c>
      <c r="BH5456" s="1">
        <v>106.8</v>
      </c>
      <c r="BI5456" s="1">
        <v>281715</v>
      </c>
      <c r="BJ5456" s="3">
        <v>42368</v>
      </c>
      <c r="BK5456" t="s">
        <v>123</v>
      </c>
      <c r="BL5456" t="str">
        <f>"2015.916576"</f>
        <v>2015.916576</v>
      </c>
      <c r="BM5456" t="s">
        <v>425</v>
      </c>
      <c r="BO5456" t="s">
        <v>33607</v>
      </c>
      <c r="BS5456">
        <v>30</v>
      </c>
      <c r="BW5456" t="str">
        <f>""</f>
        <v/>
      </c>
      <c r="CH5456" t="str">
        <f>""</f>
        <v/>
      </c>
      <c r="CS5456" t="str">
        <f>""</f>
        <v/>
      </c>
    </row>
    <row r="5457" spans="1:97" x14ac:dyDescent="0.25">
      <c r="A5457" t="s">
        <v>4327</v>
      </c>
      <c r="B5457" t="s">
        <v>10785</v>
      </c>
      <c r="C5457" t="s">
        <v>15655</v>
      </c>
      <c r="D5457" t="s">
        <v>10785</v>
      </c>
      <c r="E5457" t="s">
        <v>33608</v>
      </c>
      <c r="F5457" t="s">
        <v>108</v>
      </c>
      <c r="H5457" t="s">
        <v>33609</v>
      </c>
      <c r="I5457" t="s">
        <v>167</v>
      </c>
      <c r="J5457" t="s">
        <v>111</v>
      </c>
      <c r="K5457" t="str">
        <f>"85339"</f>
        <v>85339</v>
      </c>
      <c r="L5457" t="s">
        <v>6788</v>
      </c>
      <c r="M5457" t="s">
        <v>33609</v>
      </c>
      <c r="N5457" t="s">
        <v>167</v>
      </c>
      <c r="O5457" t="s">
        <v>111</v>
      </c>
      <c r="P5457" t="str">
        <f>"85339-1936"</f>
        <v>85339-1936</v>
      </c>
      <c r="Q5457" t="s">
        <v>113</v>
      </c>
      <c r="R5457" t="str">
        <f>"104-77-053"</f>
        <v>104-77-053</v>
      </c>
      <c r="S5457" t="s">
        <v>17380</v>
      </c>
      <c r="U5457">
        <v>2200</v>
      </c>
      <c r="V5457">
        <v>0</v>
      </c>
      <c r="W5457">
        <v>3</v>
      </c>
      <c r="X5457">
        <v>2006</v>
      </c>
      <c r="Z5457">
        <v>1</v>
      </c>
      <c r="AB5457">
        <v>0</v>
      </c>
      <c r="AC5457" t="s">
        <v>115</v>
      </c>
      <c r="AD5457">
        <v>3</v>
      </c>
      <c r="AE5457" t="s">
        <v>115</v>
      </c>
      <c r="AF5457">
        <v>0</v>
      </c>
      <c r="AG5457">
        <v>0</v>
      </c>
      <c r="AH5457" t="s">
        <v>116</v>
      </c>
      <c r="AI5457" s="1">
        <v>41763</v>
      </c>
      <c r="AJ5457" s="2">
        <v>0.16</v>
      </c>
      <c r="AK5457" s="1">
        <v>262308</v>
      </c>
      <c r="AL5457" t="s">
        <v>117</v>
      </c>
      <c r="AM5457" t="s">
        <v>191</v>
      </c>
      <c r="AN5457">
        <v>6831</v>
      </c>
      <c r="AO5457">
        <v>0.16</v>
      </c>
      <c r="AR5457">
        <v>1</v>
      </c>
      <c r="AS5457" s="1">
        <v>18020</v>
      </c>
      <c r="AT5457" s="1">
        <v>3600</v>
      </c>
      <c r="AU5457" s="1">
        <v>14420</v>
      </c>
      <c r="AV5457">
        <v>80.02</v>
      </c>
      <c r="AX5457" s="1">
        <v>1714.24</v>
      </c>
      <c r="AY5457" t="s">
        <v>12984</v>
      </c>
      <c r="AZ5457" t="s">
        <v>12984</v>
      </c>
      <c r="BA5457" t="s">
        <v>173</v>
      </c>
      <c r="BB5457" s="3">
        <v>43644</v>
      </c>
      <c r="BC5457" s="1">
        <v>0</v>
      </c>
      <c r="BD5457" t="s">
        <v>247</v>
      </c>
      <c r="BE5457" s="3">
        <v>42257</v>
      </c>
      <c r="BF5457" s="1">
        <v>192000</v>
      </c>
      <c r="BG5457" t="s">
        <v>33610</v>
      </c>
      <c r="BH5457" s="1">
        <v>87.27</v>
      </c>
      <c r="BI5457" s="1">
        <v>220545</v>
      </c>
      <c r="BJ5457" s="3">
        <v>43644</v>
      </c>
      <c r="BK5457" t="s">
        <v>123</v>
      </c>
      <c r="BL5457" t="str">
        <f>"2019.490904"</f>
        <v>2019.490904</v>
      </c>
      <c r="BM5457" t="s">
        <v>2798</v>
      </c>
      <c r="BN5457" t="s">
        <v>9657</v>
      </c>
      <c r="BO5457" t="s">
        <v>33611</v>
      </c>
      <c r="BP5457" t="s">
        <v>33612</v>
      </c>
      <c r="BR5457" t="s">
        <v>139</v>
      </c>
      <c r="BW5457" t="str">
        <f>""</f>
        <v/>
      </c>
      <c r="CH5457" t="str">
        <f>""</f>
        <v/>
      </c>
      <c r="CS5457" t="str">
        <f>""</f>
        <v/>
      </c>
    </row>
    <row r="5458" spans="1:97" x14ac:dyDescent="0.25">
      <c r="A5458" t="s">
        <v>305</v>
      </c>
      <c r="B5458" t="s">
        <v>24607</v>
      </c>
      <c r="C5458" t="s">
        <v>1361</v>
      </c>
      <c r="D5458" t="s">
        <v>24607</v>
      </c>
      <c r="E5458" t="s">
        <v>33613</v>
      </c>
      <c r="F5458" t="s">
        <v>108</v>
      </c>
      <c r="H5458" t="s">
        <v>33614</v>
      </c>
      <c r="I5458" t="s">
        <v>3150</v>
      </c>
      <c r="J5458" t="s">
        <v>111</v>
      </c>
      <c r="K5458" t="str">
        <f>"85340"</f>
        <v>85340</v>
      </c>
      <c r="L5458" t="s">
        <v>5138</v>
      </c>
      <c r="M5458" t="s">
        <v>33614</v>
      </c>
      <c r="N5458" t="s">
        <v>3150</v>
      </c>
      <c r="O5458" t="s">
        <v>111</v>
      </c>
      <c r="P5458" t="str">
        <f>"85340-4535"</f>
        <v>85340-4535</v>
      </c>
      <c r="Q5458" t="s">
        <v>113</v>
      </c>
      <c r="R5458" t="str">
        <f>"501-64-103"</f>
        <v>501-64-103</v>
      </c>
      <c r="S5458" t="s">
        <v>12043</v>
      </c>
      <c r="U5458">
        <v>2456</v>
      </c>
      <c r="V5458">
        <v>0</v>
      </c>
      <c r="W5458">
        <v>3</v>
      </c>
      <c r="X5458">
        <v>1970</v>
      </c>
      <c r="Z5458">
        <v>1</v>
      </c>
      <c r="AA5458" t="s">
        <v>26</v>
      </c>
      <c r="AB5458">
        <v>0</v>
      </c>
      <c r="AC5458" t="s">
        <v>115</v>
      </c>
      <c r="AD5458">
        <v>2</v>
      </c>
      <c r="AE5458" t="s">
        <v>115</v>
      </c>
      <c r="AF5458">
        <v>0</v>
      </c>
      <c r="AG5458">
        <v>0</v>
      </c>
      <c r="AH5458" t="s">
        <v>116</v>
      </c>
      <c r="AI5458" s="1">
        <v>116667</v>
      </c>
      <c r="AJ5458" s="2">
        <v>0.28000000000000003</v>
      </c>
      <c r="AK5458" s="1">
        <v>417995</v>
      </c>
      <c r="AL5458" t="s">
        <v>117</v>
      </c>
      <c r="AM5458" t="s">
        <v>1521</v>
      </c>
      <c r="AN5458">
        <v>15663</v>
      </c>
      <c r="AO5458">
        <v>0.36</v>
      </c>
      <c r="AP5458">
        <v>1</v>
      </c>
      <c r="AR5458">
        <v>1</v>
      </c>
      <c r="AS5458" s="1">
        <v>30420</v>
      </c>
      <c r="AT5458" s="1">
        <v>6080</v>
      </c>
      <c r="AU5458" s="1">
        <v>24340</v>
      </c>
      <c r="AV5458">
        <v>80.010000000000005</v>
      </c>
      <c r="AX5458" s="1">
        <v>2083.12</v>
      </c>
      <c r="AY5458" t="s">
        <v>11553</v>
      </c>
      <c r="AZ5458" t="s">
        <v>11553</v>
      </c>
      <c r="BA5458" t="s">
        <v>3154</v>
      </c>
      <c r="BE5458" s="3">
        <v>42132</v>
      </c>
      <c r="BF5458" s="1">
        <v>312500</v>
      </c>
      <c r="BG5458" t="s">
        <v>33615</v>
      </c>
      <c r="BH5458" s="1">
        <v>127.24</v>
      </c>
      <c r="BI5458" s="1">
        <v>301328</v>
      </c>
      <c r="BJ5458" s="3">
        <v>42132</v>
      </c>
      <c r="BK5458" t="s">
        <v>123</v>
      </c>
      <c r="BL5458" t="str">
        <f>"2015.325327"</f>
        <v>2015.325327</v>
      </c>
      <c r="BM5458" t="s">
        <v>6784</v>
      </c>
      <c r="BO5458" t="s">
        <v>33616</v>
      </c>
      <c r="BS5458">
        <v>30</v>
      </c>
      <c r="BW5458" t="str">
        <f>""</f>
        <v/>
      </c>
      <c r="CH5458" t="str">
        <f>""</f>
        <v/>
      </c>
      <c r="CS5458" t="str">
        <f>""</f>
        <v/>
      </c>
    </row>
    <row r="5459" spans="1:97" x14ac:dyDescent="0.25">
      <c r="A5459" t="s">
        <v>2950</v>
      </c>
      <c r="B5459" t="s">
        <v>33617</v>
      </c>
      <c r="E5459" t="s">
        <v>33618</v>
      </c>
      <c r="F5459" t="s">
        <v>108</v>
      </c>
      <c r="H5459" t="s">
        <v>33619</v>
      </c>
      <c r="I5459" t="s">
        <v>110</v>
      </c>
      <c r="J5459" t="s">
        <v>111</v>
      </c>
      <c r="K5459" t="str">
        <f>"85286"</f>
        <v>85286</v>
      </c>
      <c r="L5459" t="s">
        <v>5429</v>
      </c>
      <c r="M5459" t="s">
        <v>33619</v>
      </c>
      <c r="N5459" t="s">
        <v>110</v>
      </c>
      <c r="O5459" t="s">
        <v>111</v>
      </c>
      <c r="P5459" t="str">
        <f>"85286"</f>
        <v>85286</v>
      </c>
      <c r="Q5459" t="s">
        <v>113</v>
      </c>
      <c r="R5459" t="str">
        <f>"303-26-696"</f>
        <v>303-26-696</v>
      </c>
      <c r="S5459" t="s">
        <v>6014</v>
      </c>
      <c r="T5459" t="s">
        <v>6014</v>
      </c>
      <c r="U5459">
        <v>1283</v>
      </c>
      <c r="V5459">
        <v>0</v>
      </c>
      <c r="W5459">
        <v>3</v>
      </c>
      <c r="X5459">
        <v>1994</v>
      </c>
      <c r="Z5459">
        <v>1</v>
      </c>
      <c r="AB5459">
        <v>0</v>
      </c>
      <c r="AC5459" t="s">
        <v>115</v>
      </c>
      <c r="AD5459">
        <v>2</v>
      </c>
      <c r="AE5459" t="s">
        <v>115</v>
      </c>
      <c r="AF5459">
        <v>0</v>
      </c>
      <c r="AG5459">
        <v>0</v>
      </c>
      <c r="AH5459" t="s">
        <v>116</v>
      </c>
      <c r="AI5459" s="1">
        <v>75705</v>
      </c>
      <c r="AJ5459" s="2">
        <v>0.27</v>
      </c>
      <c r="AK5459" s="1">
        <v>277962</v>
      </c>
      <c r="AL5459" t="s">
        <v>117</v>
      </c>
      <c r="AM5459" t="s">
        <v>118</v>
      </c>
      <c r="AN5459">
        <v>5428</v>
      </c>
      <c r="AO5459">
        <v>0.12</v>
      </c>
      <c r="AP5459">
        <v>1</v>
      </c>
      <c r="AR5459">
        <v>1</v>
      </c>
      <c r="AS5459" s="1">
        <v>20070</v>
      </c>
      <c r="AT5459" s="1">
        <v>4010</v>
      </c>
      <c r="AU5459" s="1">
        <v>16060</v>
      </c>
      <c r="AV5459">
        <v>80.02</v>
      </c>
      <c r="AX5459" s="1">
        <v>1524.14</v>
      </c>
      <c r="AY5459" t="s">
        <v>6015</v>
      </c>
      <c r="AZ5459" t="s">
        <v>1882</v>
      </c>
      <c r="BA5459" t="s">
        <v>121</v>
      </c>
      <c r="BE5459" s="3">
        <v>41808</v>
      </c>
      <c r="BF5459" s="1">
        <v>198000</v>
      </c>
      <c r="BG5459" t="s">
        <v>33620</v>
      </c>
      <c r="BH5459" s="1">
        <v>154.33000000000001</v>
      </c>
      <c r="BI5459" s="1">
        <v>202257</v>
      </c>
      <c r="BJ5459" s="3">
        <v>41808</v>
      </c>
      <c r="BK5459" t="s">
        <v>123</v>
      </c>
      <c r="BL5459" t="str">
        <f>"2014.400254"</f>
        <v>2014.400254</v>
      </c>
      <c r="BM5459" t="s">
        <v>6784</v>
      </c>
      <c r="BO5459" t="s">
        <v>33621</v>
      </c>
      <c r="BS5459">
        <v>30</v>
      </c>
      <c r="BW5459" t="str">
        <f>""</f>
        <v/>
      </c>
      <c r="CH5459" t="str">
        <f>""</f>
        <v/>
      </c>
      <c r="CS5459" t="str">
        <f>""</f>
        <v/>
      </c>
    </row>
    <row r="5460" spans="1:97" x14ac:dyDescent="0.25">
      <c r="A5460" t="s">
        <v>305</v>
      </c>
      <c r="B5460" t="s">
        <v>4864</v>
      </c>
      <c r="C5460" t="s">
        <v>976</v>
      </c>
      <c r="D5460" t="s">
        <v>4864</v>
      </c>
      <c r="E5460" t="s">
        <v>33622</v>
      </c>
      <c r="F5460" t="s">
        <v>108</v>
      </c>
      <c r="H5460" t="s">
        <v>33623</v>
      </c>
      <c r="I5460" t="s">
        <v>203</v>
      </c>
      <c r="J5460" t="s">
        <v>111</v>
      </c>
      <c r="K5460" t="str">
        <f>"85234"</f>
        <v>85234</v>
      </c>
      <c r="L5460" t="s">
        <v>7607</v>
      </c>
      <c r="M5460" t="s">
        <v>33623</v>
      </c>
      <c r="N5460" t="s">
        <v>203</v>
      </c>
      <c r="O5460" t="s">
        <v>111</v>
      </c>
      <c r="P5460" t="str">
        <f>"85234-6173"</f>
        <v>85234-6173</v>
      </c>
      <c r="Q5460" t="s">
        <v>113</v>
      </c>
      <c r="R5460" t="str">
        <f>"309-21-087"</f>
        <v>309-21-087</v>
      </c>
      <c r="S5460" t="s">
        <v>12734</v>
      </c>
      <c r="T5460" t="s">
        <v>12734</v>
      </c>
      <c r="U5460">
        <v>3541</v>
      </c>
      <c r="V5460">
        <v>0</v>
      </c>
      <c r="W5460">
        <v>5</v>
      </c>
      <c r="X5460">
        <v>1999</v>
      </c>
      <c r="Z5460">
        <v>2</v>
      </c>
      <c r="AB5460">
        <v>0</v>
      </c>
      <c r="AC5460" t="s">
        <v>115</v>
      </c>
      <c r="AD5460">
        <v>3</v>
      </c>
      <c r="AE5460" t="s">
        <v>115</v>
      </c>
      <c r="AF5460">
        <v>0</v>
      </c>
      <c r="AG5460">
        <v>0</v>
      </c>
      <c r="AH5460" t="s">
        <v>116</v>
      </c>
      <c r="AI5460" s="1">
        <v>163663</v>
      </c>
      <c r="AJ5460" s="2">
        <v>0.35</v>
      </c>
      <c r="AK5460" s="1">
        <v>470386</v>
      </c>
      <c r="AL5460" t="s">
        <v>117</v>
      </c>
      <c r="AM5460" t="s">
        <v>171</v>
      </c>
      <c r="AN5460">
        <v>8329</v>
      </c>
      <c r="AO5460">
        <v>0.19</v>
      </c>
      <c r="AP5460">
        <v>1</v>
      </c>
      <c r="AR5460">
        <v>1</v>
      </c>
      <c r="AS5460" s="1">
        <v>32760</v>
      </c>
      <c r="AT5460" s="1">
        <v>6550</v>
      </c>
      <c r="AU5460" s="1">
        <v>26210</v>
      </c>
      <c r="AV5460">
        <v>80.010000000000005</v>
      </c>
      <c r="AX5460" s="1">
        <v>2540.8200000000002</v>
      </c>
      <c r="AY5460" t="s">
        <v>6506</v>
      </c>
      <c r="AZ5460" t="s">
        <v>520</v>
      </c>
      <c r="BA5460" t="s">
        <v>5033</v>
      </c>
      <c r="BE5460" s="3">
        <v>42482</v>
      </c>
      <c r="BF5460" s="1">
        <v>355000</v>
      </c>
      <c r="BG5460" t="s">
        <v>33624</v>
      </c>
      <c r="BH5460" s="1">
        <v>100.25</v>
      </c>
      <c r="BI5460" s="1">
        <v>256723</v>
      </c>
      <c r="BJ5460" s="3">
        <v>42625</v>
      </c>
      <c r="BK5460" t="s">
        <v>123</v>
      </c>
      <c r="BL5460" t="str">
        <f>"2016.660661"</f>
        <v>2016.660661</v>
      </c>
      <c r="BM5460" t="s">
        <v>699</v>
      </c>
      <c r="BN5460" t="s">
        <v>1590</v>
      </c>
      <c r="BO5460" t="s">
        <v>33625</v>
      </c>
      <c r="BS5460">
        <v>30</v>
      </c>
      <c r="BT5460" s="1">
        <v>50000</v>
      </c>
      <c r="BU5460" s="3">
        <v>43686</v>
      </c>
      <c r="BW5460" t="str">
        <f>"2019.609975"</f>
        <v>2019.609975</v>
      </c>
      <c r="BX5460" t="s">
        <v>342</v>
      </c>
      <c r="BY5460" t="s">
        <v>343</v>
      </c>
      <c r="BZ5460" t="s">
        <v>33626</v>
      </c>
      <c r="CA5460" t="s">
        <v>33627</v>
      </c>
      <c r="CC5460" t="s">
        <v>346</v>
      </c>
      <c r="CH5460" t="str">
        <f>""</f>
        <v/>
      </c>
      <c r="CS5460" t="str">
        <f>""</f>
        <v/>
      </c>
    </row>
    <row r="5461" spans="1:97" x14ac:dyDescent="0.25">
      <c r="A5461" t="s">
        <v>3221</v>
      </c>
      <c r="B5461" t="s">
        <v>10405</v>
      </c>
      <c r="E5461" t="s">
        <v>33628</v>
      </c>
      <c r="F5461" t="s">
        <v>108</v>
      </c>
      <c r="H5461" t="s">
        <v>33629</v>
      </c>
      <c r="I5461" t="s">
        <v>110</v>
      </c>
      <c r="J5461" t="s">
        <v>111</v>
      </c>
      <c r="K5461" t="str">
        <f>"85226"</f>
        <v>85226</v>
      </c>
      <c r="L5461" t="s">
        <v>7834</v>
      </c>
      <c r="M5461" t="s">
        <v>33629</v>
      </c>
      <c r="N5461" t="s">
        <v>110</v>
      </c>
      <c r="O5461" t="s">
        <v>111</v>
      </c>
      <c r="P5461" t="str">
        <f>"85226-4908"</f>
        <v>85226-4908</v>
      </c>
      <c r="Q5461" t="s">
        <v>113</v>
      </c>
      <c r="R5461" t="str">
        <f>"301-65-556"</f>
        <v>301-65-556</v>
      </c>
      <c r="S5461" t="s">
        <v>13964</v>
      </c>
      <c r="U5461">
        <v>1326</v>
      </c>
      <c r="V5461">
        <v>0</v>
      </c>
      <c r="W5461">
        <v>2</v>
      </c>
      <c r="X5461">
        <v>1989</v>
      </c>
      <c r="Z5461">
        <v>2</v>
      </c>
      <c r="AA5461" t="s">
        <v>26</v>
      </c>
      <c r="AB5461">
        <v>0</v>
      </c>
      <c r="AC5461" t="s">
        <v>115</v>
      </c>
      <c r="AD5461">
        <v>2</v>
      </c>
      <c r="AE5461" t="s">
        <v>115</v>
      </c>
      <c r="AF5461">
        <v>0</v>
      </c>
      <c r="AG5461">
        <v>0</v>
      </c>
      <c r="AH5461" t="s">
        <v>116</v>
      </c>
      <c r="AI5461" s="1">
        <v>2924</v>
      </c>
      <c r="AJ5461" s="2">
        <v>0.01</v>
      </c>
      <c r="AK5461" s="1">
        <v>270686</v>
      </c>
      <c r="AL5461" t="s">
        <v>117</v>
      </c>
      <c r="AM5461" t="s">
        <v>118</v>
      </c>
      <c r="AN5461">
        <v>5118</v>
      </c>
      <c r="AO5461">
        <v>0.12</v>
      </c>
      <c r="AP5461">
        <v>1</v>
      </c>
      <c r="AR5461">
        <v>1</v>
      </c>
      <c r="AS5461" s="1">
        <v>19220</v>
      </c>
      <c r="AT5461" s="1">
        <v>3840</v>
      </c>
      <c r="AU5461" s="1">
        <v>15380</v>
      </c>
      <c r="AV5461">
        <v>80.02</v>
      </c>
      <c r="AX5461" s="1">
        <v>1379.8</v>
      </c>
      <c r="AY5461" t="s">
        <v>8225</v>
      </c>
      <c r="AZ5461" t="s">
        <v>5922</v>
      </c>
      <c r="BA5461" t="s">
        <v>5202</v>
      </c>
      <c r="BE5461" s="3">
        <v>41789</v>
      </c>
      <c r="BF5461" s="1">
        <v>192000</v>
      </c>
      <c r="BG5461" t="s">
        <v>33630</v>
      </c>
      <c r="BH5461" s="1">
        <v>144.80000000000001</v>
      </c>
      <c r="BI5461" s="1">
        <v>237590</v>
      </c>
      <c r="BJ5461" s="3">
        <v>42307</v>
      </c>
      <c r="BK5461" t="s">
        <v>123</v>
      </c>
      <c r="BL5461" t="str">
        <f>"2015.782263"</f>
        <v>2015.782263</v>
      </c>
      <c r="BM5461" t="s">
        <v>33631</v>
      </c>
      <c r="BO5461" t="s">
        <v>33632</v>
      </c>
      <c r="BS5461">
        <v>30</v>
      </c>
      <c r="BT5461" s="1">
        <v>30172</v>
      </c>
      <c r="BU5461" s="3">
        <v>42898</v>
      </c>
      <c r="BW5461" t="str">
        <f>"2017.424499"</f>
        <v>2017.424499</v>
      </c>
      <c r="BX5461" t="s">
        <v>877</v>
      </c>
      <c r="BZ5461" t="s">
        <v>33632</v>
      </c>
      <c r="CD5461">
        <v>5</v>
      </c>
      <c r="CH5461" t="str">
        <f>""</f>
        <v/>
      </c>
      <c r="CS5461" t="str">
        <f>""</f>
        <v/>
      </c>
    </row>
    <row r="5462" spans="1:97" x14ac:dyDescent="0.25">
      <c r="A5462" t="s">
        <v>1514</v>
      </c>
      <c r="B5462" t="s">
        <v>3333</v>
      </c>
      <c r="E5462" t="s">
        <v>33633</v>
      </c>
      <c r="F5462" t="s">
        <v>108</v>
      </c>
      <c r="H5462" t="s">
        <v>33634</v>
      </c>
      <c r="I5462" t="s">
        <v>203</v>
      </c>
      <c r="J5462" t="s">
        <v>111</v>
      </c>
      <c r="K5462" t="str">
        <f>"85234"</f>
        <v>85234</v>
      </c>
      <c r="L5462" t="s">
        <v>8199</v>
      </c>
      <c r="M5462" t="s">
        <v>33634</v>
      </c>
      <c r="N5462" t="s">
        <v>203</v>
      </c>
      <c r="O5462" t="s">
        <v>111</v>
      </c>
      <c r="P5462" t="str">
        <f>"85234-3544"</f>
        <v>85234-3544</v>
      </c>
      <c r="Q5462" t="s">
        <v>113</v>
      </c>
      <c r="R5462" t="str">
        <f>"304-96-245"</f>
        <v>304-96-245</v>
      </c>
      <c r="S5462" t="s">
        <v>14064</v>
      </c>
      <c r="T5462" t="s">
        <v>14065</v>
      </c>
      <c r="U5462">
        <v>2733</v>
      </c>
      <c r="V5462">
        <v>0</v>
      </c>
      <c r="W5462">
        <v>4</v>
      </c>
      <c r="X5462">
        <v>1991</v>
      </c>
      <c r="Z5462">
        <v>2</v>
      </c>
      <c r="AA5462" t="s">
        <v>26</v>
      </c>
      <c r="AB5462">
        <v>0</v>
      </c>
      <c r="AC5462" t="s">
        <v>115</v>
      </c>
      <c r="AD5462">
        <v>2</v>
      </c>
      <c r="AE5462" t="s">
        <v>115</v>
      </c>
      <c r="AF5462">
        <v>0</v>
      </c>
      <c r="AG5462">
        <v>0</v>
      </c>
      <c r="AH5462" t="s">
        <v>116</v>
      </c>
      <c r="AI5462" s="1">
        <v>83419</v>
      </c>
      <c r="AJ5462" s="2">
        <v>0.2</v>
      </c>
      <c r="AK5462" s="1">
        <v>416619</v>
      </c>
      <c r="AL5462" t="s">
        <v>117</v>
      </c>
      <c r="AM5462" t="s">
        <v>171</v>
      </c>
      <c r="AN5462">
        <v>7924</v>
      </c>
      <c r="AO5462">
        <v>0.18</v>
      </c>
      <c r="AP5462">
        <v>1</v>
      </c>
      <c r="AR5462">
        <v>1</v>
      </c>
      <c r="AS5462" s="1">
        <v>30410</v>
      </c>
      <c r="AT5462" s="1">
        <v>6080</v>
      </c>
      <c r="AU5462" s="1">
        <v>24330</v>
      </c>
      <c r="AV5462">
        <v>80.010000000000005</v>
      </c>
      <c r="AX5462" s="1">
        <v>2630.18</v>
      </c>
      <c r="AY5462" t="s">
        <v>7062</v>
      </c>
      <c r="AZ5462" t="s">
        <v>5478</v>
      </c>
      <c r="BA5462" t="s">
        <v>5033</v>
      </c>
      <c r="BE5462" s="3">
        <v>41821</v>
      </c>
      <c r="BF5462" s="1">
        <v>331500</v>
      </c>
      <c r="BG5462" t="s">
        <v>33635</v>
      </c>
      <c r="BH5462" s="1">
        <v>121.3</v>
      </c>
      <c r="BI5462" s="1">
        <v>333200</v>
      </c>
      <c r="BJ5462" s="3">
        <v>42704</v>
      </c>
      <c r="BK5462" t="s">
        <v>123</v>
      </c>
      <c r="BL5462" t="str">
        <f>"2016.878971"</f>
        <v>2016.878971</v>
      </c>
      <c r="BM5462" t="s">
        <v>124</v>
      </c>
      <c r="BO5462" t="s">
        <v>33636</v>
      </c>
      <c r="BS5462">
        <v>30</v>
      </c>
      <c r="BW5462" t="str">
        <f>""</f>
        <v/>
      </c>
      <c r="CH5462" t="str">
        <f>""</f>
        <v/>
      </c>
      <c r="CS5462" t="str">
        <f>""</f>
        <v/>
      </c>
    </row>
    <row r="5463" spans="1:97" x14ac:dyDescent="0.25">
      <c r="A5463" t="s">
        <v>996</v>
      </c>
      <c r="B5463" t="s">
        <v>33637</v>
      </c>
      <c r="C5463" t="s">
        <v>524</v>
      </c>
      <c r="D5463" t="s">
        <v>33637</v>
      </c>
      <c r="E5463" t="s">
        <v>33638</v>
      </c>
      <c r="F5463" t="s">
        <v>108</v>
      </c>
      <c r="H5463" t="s">
        <v>33639</v>
      </c>
      <c r="I5463" t="s">
        <v>453</v>
      </c>
      <c r="J5463" t="s">
        <v>111</v>
      </c>
      <c r="K5463" t="str">
        <f>"85383"</f>
        <v>85383</v>
      </c>
      <c r="L5463" t="s">
        <v>7243</v>
      </c>
      <c r="M5463" t="s">
        <v>33639</v>
      </c>
      <c r="N5463" t="s">
        <v>453</v>
      </c>
      <c r="O5463" t="s">
        <v>111</v>
      </c>
      <c r="P5463" t="str">
        <f>"85383-6265"</f>
        <v>85383-6265</v>
      </c>
      <c r="Q5463" t="s">
        <v>113</v>
      </c>
      <c r="R5463" t="str">
        <f>"201-20-411"</f>
        <v>201-20-411</v>
      </c>
      <c r="S5463" t="s">
        <v>8847</v>
      </c>
      <c r="T5463" t="s">
        <v>8847</v>
      </c>
      <c r="U5463">
        <v>2856</v>
      </c>
      <c r="V5463">
        <v>0</v>
      </c>
      <c r="W5463">
        <v>4</v>
      </c>
      <c r="X5463">
        <v>2015</v>
      </c>
      <c r="Z5463">
        <v>1</v>
      </c>
      <c r="AA5463" t="s">
        <v>26</v>
      </c>
      <c r="AB5463">
        <v>0</v>
      </c>
      <c r="AC5463" t="s">
        <v>115</v>
      </c>
      <c r="AD5463">
        <v>2</v>
      </c>
      <c r="AE5463" t="s">
        <v>115</v>
      </c>
      <c r="AF5463">
        <v>0</v>
      </c>
      <c r="AG5463">
        <v>0</v>
      </c>
      <c r="AH5463" t="s">
        <v>116</v>
      </c>
      <c r="AI5463" s="1">
        <v>13473</v>
      </c>
      <c r="AJ5463" s="2">
        <v>0.03</v>
      </c>
      <c r="AK5463" s="1">
        <v>458508</v>
      </c>
      <c r="AL5463" t="s">
        <v>117</v>
      </c>
      <c r="AM5463" t="s">
        <v>118</v>
      </c>
      <c r="AN5463">
        <v>11227</v>
      </c>
      <c r="AO5463">
        <v>0.26</v>
      </c>
      <c r="AR5463">
        <v>1</v>
      </c>
      <c r="AS5463" s="1">
        <v>36820</v>
      </c>
      <c r="AT5463" s="1">
        <v>7360</v>
      </c>
      <c r="AU5463" s="1">
        <v>29460</v>
      </c>
      <c r="AV5463">
        <v>80.010000000000005</v>
      </c>
      <c r="AX5463" s="1">
        <v>2757.06</v>
      </c>
      <c r="AY5463" t="s">
        <v>1385</v>
      </c>
      <c r="AZ5463" t="s">
        <v>1385</v>
      </c>
      <c r="BA5463" t="s">
        <v>1386</v>
      </c>
      <c r="BE5463" s="3">
        <v>42122</v>
      </c>
      <c r="BF5463" s="1">
        <v>450700</v>
      </c>
      <c r="BG5463" t="s">
        <v>2199</v>
      </c>
      <c r="BH5463" s="1">
        <v>157.81</v>
      </c>
      <c r="BI5463" s="1">
        <v>445035</v>
      </c>
      <c r="BJ5463" s="3">
        <v>42710</v>
      </c>
      <c r="BK5463" t="s">
        <v>123</v>
      </c>
      <c r="BL5463" t="str">
        <f>"2016.896736"</f>
        <v>2016.896736</v>
      </c>
      <c r="BM5463" t="s">
        <v>402</v>
      </c>
      <c r="BO5463" t="s">
        <v>33640</v>
      </c>
      <c r="BS5463">
        <v>28</v>
      </c>
      <c r="BW5463" t="str">
        <f>""</f>
        <v/>
      </c>
      <c r="CH5463" t="str">
        <f>""</f>
        <v/>
      </c>
      <c r="CS5463" t="str">
        <f>""</f>
        <v/>
      </c>
    </row>
    <row r="5464" spans="1:97" x14ac:dyDescent="0.25">
      <c r="A5464" t="s">
        <v>996</v>
      </c>
      <c r="B5464" t="s">
        <v>2599</v>
      </c>
      <c r="C5464" t="s">
        <v>3844</v>
      </c>
      <c r="D5464" t="s">
        <v>2599</v>
      </c>
      <c r="E5464" t="s">
        <v>33641</v>
      </c>
      <c r="F5464" t="s">
        <v>108</v>
      </c>
      <c r="H5464" t="s">
        <v>33642</v>
      </c>
      <c r="I5464" t="s">
        <v>632</v>
      </c>
      <c r="J5464" t="s">
        <v>111</v>
      </c>
      <c r="K5464" t="str">
        <f>"85388"</f>
        <v>85388</v>
      </c>
      <c r="L5464" t="s">
        <v>5727</v>
      </c>
      <c r="M5464" t="s">
        <v>33642</v>
      </c>
      <c r="N5464" t="s">
        <v>632</v>
      </c>
      <c r="O5464" t="s">
        <v>111</v>
      </c>
      <c r="P5464" t="str">
        <f>"85388-5623"</f>
        <v>85388-5623</v>
      </c>
      <c r="Q5464" t="s">
        <v>113</v>
      </c>
      <c r="R5464" t="str">
        <f>"502-06-118"</f>
        <v>502-06-118</v>
      </c>
      <c r="S5464" t="s">
        <v>5728</v>
      </c>
      <c r="T5464" t="s">
        <v>5167</v>
      </c>
      <c r="U5464">
        <v>2155</v>
      </c>
      <c r="V5464">
        <v>0</v>
      </c>
      <c r="W5464">
        <v>3</v>
      </c>
      <c r="X5464">
        <v>2010</v>
      </c>
      <c r="Z5464">
        <v>1</v>
      </c>
      <c r="AA5464" t="s">
        <v>26</v>
      </c>
      <c r="AB5464">
        <v>0</v>
      </c>
      <c r="AC5464" t="s">
        <v>115</v>
      </c>
      <c r="AD5464">
        <v>2</v>
      </c>
      <c r="AE5464" t="s">
        <v>115</v>
      </c>
      <c r="AF5464">
        <v>0</v>
      </c>
      <c r="AG5464">
        <v>0</v>
      </c>
      <c r="AH5464" t="s">
        <v>116</v>
      </c>
      <c r="AI5464" s="1">
        <v>85603</v>
      </c>
      <c r="AJ5464" s="2">
        <v>0.28999999999999998</v>
      </c>
      <c r="AK5464" s="1">
        <v>291272</v>
      </c>
      <c r="AL5464" t="s">
        <v>117</v>
      </c>
      <c r="AM5464" t="s">
        <v>118</v>
      </c>
      <c r="AN5464">
        <v>5952</v>
      </c>
      <c r="AO5464">
        <v>0.14000000000000001</v>
      </c>
      <c r="AR5464">
        <v>1</v>
      </c>
      <c r="AS5464" s="1">
        <v>20520</v>
      </c>
      <c r="AT5464" s="1">
        <v>4100</v>
      </c>
      <c r="AU5464" s="1">
        <v>16420</v>
      </c>
      <c r="AV5464">
        <v>80.02</v>
      </c>
      <c r="AX5464" s="1">
        <v>1744.72</v>
      </c>
      <c r="AY5464" t="s">
        <v>5168</v>
      </c>
      <c r="AZ5464" t="s">
        <v>5168</v>
      </c>
      <c r="BA5464" t="s">
        <v>5061</v>
      </c>
      <c r="BE5464" s="3">
        <v>41936</v>
      </c>
      <c r="BF5464" s="1">
        <v>225700</v>
      </c>
      <c r="BG5464" t="s">
        <v>33643</v>
      </c>
      <c r="BH5464" s="1">
        <v>104.73</v>
      </c>
      <c r="BI5464" s="1">
        <v>205669</v>
      </c>
      <c r="BJ5464" s="3">
        <v>41936</v>
      </c>
      <c r="BK5464" t="s">
        <v>123</v>
      </c>
      <c r="BL5464" t="str">
        <f>"2014.706224"</f>
        <v>2014.706224</v>
      </c>
      <c r="BM5464" t="s">
        <v>1287</v>
      </c>
      <c r="BO5464" t="s">
        <v>33644</v>
      </c>
      <c r="BS5464">
        <v>30</v>
      </c>
      <c r="BW5464" t="str">
        <f>""</f>
        <v/>
      </c>
      <c r="CH5464" t="str">
        <f>""</f>
        <v/>
      </c>
      <c r="CS5464" t="str">
        <f>""</f>
        <v/>
      </c>
    </row>
    <row r="5465" spans="1:97" x14ac:dyDescent="0.25">
      <c r="A5465" t="s">
        <v>6281</v>
      </c>
      <c r="B5465" t="s">
        <v>25570</v>
      </c>
      <c r="C5465" t="s">
        <v>4515</v>
      </c>
      <c r="D5465" t="s">
        <v>25570</v>
      </c>
      <c r="E5465" t="s">
        <v>33645</v>
      </c>
      <c r="F5465" t="s">
        <v>108</v>
      </c>
      <c r="H5465" t="s">
        <v>33646</v>
      </c>
      <c r="I5465" t="s">
        <v>110</v>
      </c>
      <c r="J5465" t="s">
        <v>111</v>
      </c>
      <c r="K5465" t="str">
        <f>"85286"</f>
        <v>85286</v>
      </c>
      <c r="L5465" t="s">
        <v>7109</v>
      </c>
      <c r="M5465" t="s">
        <v>33646</v>
      </c>
      <c r="N5465" t="s">
        <v>110</v>
      </c>
      <c r="O5465" t="s">
        <v>111</v>
      </c>
      <c r="P5465" t="str">
        <f>"85286-2630"</f>
        <v>85286-2630</v>
      </c>
      <c r="Q5465" t="s">
        <v>113</v>
      </c>
      <c r="R5465" t="str">
        <f>"303-42-145"</f>
        <v>303-42-145</v>
      </c>
      <c r="S5465" t="s">
        <v>17184</v>
      </c>
      <c r="T5465" t="s">
        <v>17184</v>
      </c>
      <c r="U5465">
        <v>2820</v>
      </c>
      <c r="V5465">
        <v>0</v>
      </c>
      <c r="W5465">
        <v>4</v>
      </c>
      <c r="X5465">
        <v>2003</v>
      </c>
      <c r="Z5465">
        <v>2</v>
      </c>
      <c r="AA5465" t="s">
        <v>26</v>
      </c>
      <c r="AB5465">
        <v>0</v>
      </c>
      <c r="AC5465" t="s">
        <v>115</v>
      </c>
      <c r="AD5465">
        <v>2</v>
      </c>
      <c r="AE5465" t="s">
        <v>115</v>
      </c>
      <c r="AF5465">
        <v>0</v>
      </c>
      <c r="AG5465">
        <v>0</v>
      </c>
      <c r="AH5465" t="s">
        <v>116</v>
      </c>
      <c r="AI5465" s="1">
        <v>70078</v>
      </c>
      <c r="AJ5465" s="2">
        <v>0.17</v>
      </c>
      <c r="AK5465" s="1">
        <v>420178</v>
      </c>
      <c r="AL5465" t="s">
        <v>117</v>
      </c>
      <c r="AM5465" t="s">
        <v>118</v>
      </c>
      <c r="AN5465">
        <v>8381</v>
      </c>
      <c r="AO5465">
        <v>0.19</v>
      </c>
      <c r="AP5465">
        <v>1</v>
      </c>
      <c r="AR5465">
        <v>1</v>
      </c>
      <c r="AS5465" s="1">
        <v>30000</v>
      </c>
      <c r="AT5465" s="1">
        <v>6000</v>
      </c>
      <c r="AU5465" s="1">
        <v>24000</v>
      </c>
      <c r="AV5465">
        <v>80</v>
      </c>
      <c r="AX5465" s="1">
        <v>2700.66</v>
      </c>
      <c r="AY5465" t="s">
        <v>9063</v>
      </c>
      <c r="AZ5465" t="s">
        <v>120</v>
      </c>
      <c r="BA5465" t="s">
        <v>303</v>
      </c>
      <c r="BE5465" s="3">
        <v>41873</v>
      </c>
      <c r="BF5465" s="1">
        <v>329000</v>
      </c>
      <c r="BG5465" t="s">
        <v>33647</v>
      </c>
      <c r="BH5465" s="1">
        <v>116.67</v>
      </c>
      <c r="BI5465" s="1">
        <v>350100</v>
      </c>
      <c r="BJ5465" s="3">
        <v>42998</v>
      </c>
      <c r="BK5465" t="s">
        <v>123</v>
      </c>
      <c r="BL5465" t="str">
        <f>"2017.692920"</f>
        <v>2017.692920</v>
      </c>
      <c r="BM5465" t="s">
        <v>11685</v>
      </c>
      <c r="BO5465" t="s">
        <v>33648</v>
      </c>
      <c r="BS5465">
        <v>30</v>
      </c>
      <c r="BW5465" t="str">
        <f>""</f>
        <v/>
      </c>
      <c r="CH5465" t="str">
        <f>""</f>
        <v/>
      </c>
      <c r="CS5465" t="str">
        <f>""</f>
        <v/>
      </c>
    </row>
    <row r="5466" spans="1:97" x14ac:dyDescent="0.25">
      <c r="A5466" t="s">
        <v>1850</v>
      </c>
      <c r="B5466" t="s">
        <v>31336</v>
      </c>
      <c r="C5466" t="s">
        <v>33649</v>
      </c>
      <c r="D5466" t="s">
        <v>31336</v>
      </c>
      <c r="E5466" t="s">
        <v>33650</v>
      </c>
      <c r="F5466" t="s">
        <v>108</v>
      </c>
      <c r="H5466" t="s">
        <v>33651</v>
      </c>
      <c r="I5466" t="s">
        <v>144</v>
      </c>
      <c r="J5466" t="s">
        <v>111</v>
      </c>
      <c r="K5466" t="str">
        <f>"85326"</f>
        <v>85326</v>
      </c>
      <c r="L5466" t="s">
        <v>5131</v>
      </c>
      <c r="M5466" t="s">
        <v>33651</v>
      </c>
      <c r="N5466" t="s">
        <v>144</v>
      </c>
      <c r="O5466" t="s">
        <v>111</v>
      </c>
      <c r="P5466" t="str">
        <f>"85326-3553"</f>
        <v>85326-3553</v>
      </c>
      <c r="Q5466" t="s">
        <v>113</v>
      </c>
      <c r="R5466" t="str">
        <f>"504-28-451"</f>
        <v>504-28-451</v>
      </c>
      <c r="S5466" t="s">
        <v>5022</v>
      </c>
      <c r="U5466">
        <v>2676</v>
      </c>
      <c r="V5466">
        <v>0</v>
      </c>
      <c r="W5466">
        <v>3</v>
      </c>
      <c r="X5466">
        <v>2014</v>
      </c>
      <c r="Z5466">
        <v>2</v>
      </c>
      <c r="AB5466">
        <v>0</v>
      </c>
      <c r="AC5466" t="s">
        <v>115</v>
      </c>
      <c r="AD5466">
        <v>3</v>
      </c>
      <c r="AE5466" t="s">
        <v>115</v>
      </c>
      <c r="AF5466">
        <v>0</v>
      </c>
      <c r="AG5466">
        <v>0</v>
      </c>
      <c r="AH5466" t="s">
        <v>116</v>
      </c>
      <c r="AI5466" s="1">
        <v>49756</v>
      </c>
      <c r="AJ5466" s="2">
        <v>0.18</v>
      </c>
      <c r="AK5466" s="1">
        <v>282555</v>
      </c>
      <c r="AL5466" t="s">
        <v>117</v>
      </c>
      <c r="AM5466" t="s">
        <v>5023</v>
      </c>
      <c r="AN5466">
        <v>6095</v>
      </c>
      <c r="AO5466">
        <v>0.14000000000000001</v>
      </c>
      <c r="AR5466">
        <v>1</v>
      </c>
      <c r="AS5466" s="1">
        <v>19330</v>
      </c>
      <c r="AT5466" s="1">
        <v>3860</v>
      </c>
      <c r="AU5466" s="1">
        <v>15470</v>
      </c>
      <c r="AV5466">
        <v>80.03</v>
      </c>
      <c r="AX5466" s="1">
        <v>1980.52</v>
      </c>
      <c r="AY5466" t="s">
        <v>5024</v>
      </c>
      <c r="AZ5466" t="s">
        <v>5024</v>
      </c>
      <c r="BA5466" t="s">
        <v>5025</v>
      </c>
      <c r="BE5466" s="3">
        <v>42545</v>
      </c>
      <c r="BF5466" s="1">
        <v>227900</v>
      </c>
      <c r="BG5466" t="s">
        <v>33652</v>
      </c>
      <c r="BH5466" s="1">
        <v>85.16</v>
      </c>
      <c r="BI5466" s="1">
        <v>232799</v>
      </c>
      <c r="BJ5466" s="3">
        <v>42545</v>
      </c>
      <c r="BK5466" t="s">
        <v>123</v>
      </c>
      <c r="BL5466" t="str">
        <f>"2016.441779"</f>
        <v>2016.441779</v>
      </c>
      <c r="BM5466" t="s">
        <v>2716</v>
      </c>
      <c r="BO5466" t="s">
        <v>33653</v>
      </c>
      <c r="BS5466">
        <v>30</v>
      </c>
      <c r="BW5466" t="str">
        <f>""</f>
        <v/>
      </c>
      <c r="CH5466" t="str">
        <f>""</f>
        <v/>
      </c>
      <c r="CS5466" t="str">
        <f>""</f>
        <v/>
      </c>
    </row>
    <row r="5467" spans="1:97" x14ac:dyDescent="0.25">
      <c r="B5467" t="s">
        <v>33654</v>
      </c>
      <c r="E5467" t="s">
        <v>29051</v>
      </c>
      <c r="F5467" t="s">
        <v>139</v>
      </c>
      <c r="H5467" t="s">
        <v>33655</v>
      </c>
      <c r="I5467" t="s">
        <v>453</v>
      </c>
      <c r="J5467" t="s">
        <v>111</v>
      </c>
      <c r="K5467" t="str">
        <f>"85382"</f>
        <v>85382</v>
      </c>
      <c r="L5467" t="s">
        <v>7339</v>
      </c>
      <c r="M5467" t="s">
        <v>33655</v>
      </c>
      <c r="N5467" t="s">
        <v>453</v>
      </c>
      <c r="O5467" t="s">
        <v>111</v>
      </c>
      <c r="P5467" t="str">
        <f>"85382-8037"</f>
        <v>85382-8037</v>
      </c>
      <c r="Q5467" t="s">
        <v>113</v>
      </c>
      <c r="R5467" t="str">
        <f>"233-04-088"</f>
        <v>233-04-088</v>
      </c>
      <c r="S5467" t="s">
        <v>19612</v>
      </c>
      <c r="T5467" t="s">
        <v>10958</v>
      </c>
      <c r="U5467">
        <v>1908</v>
      </c>
      <c r="V5467">
        <v>0</v>
      </c>
      <c r="W5467">
        <v>3</v>
      </c>
      <c r="X5467">
        <v>1993</v>
      </c>
      <c r="Z5467">
        <v>1</v>
      </c>
      <c r="AA5467" t="s">
        <v>26</v>
      </c>
      <c r="AB5467">
        <v>0</v>
      </c>
      <c r="AC5467" t="s">
        <v>115</v>
      </c>
      <c r="AD5467">
        <v>3</v>
      </c>
      <c r="AE5467" t="s">
        <v>115</v>
      </c>
      <c r="AF5467">
        <v>0</v>
      </c>
      <c r="AG5467">
        <v>0</v>
      </c>
      <c r="AH5467" t="s">
        <v>116</v>
      </c>
      <c r="AI5467" s="1">
        <v>100106</v>
      </c>
      <c r="AJ5467" s="2">
        <v>0.32</v>
      </c>
      <c r="AK5467" s="1">
        <v>309804</v>
      </c>
      <c r="AL5467" t="s">
        <v>117</v>
      </c>
      <c r="AM5467" t="s">
        <v>118</v>
      </c>
      <c r="AN5467">
        <v>7350</v>
      </c>
      <c r="AO5467">
        <v>0.17</v>
      </c>
      <c r="AP5467">
        <v>1</v>
      </c>
      <c r="AR5467">
        <v>1</v>
      </c>
      <c r="AS5467" s="1">
        <v>21780</v>
      </c>
      <c r="AT5467" s="1">
        <v>4350</v>
      </c>
      <c r="AU5467" s="1">
        <v>17430</v>
      </c>
      <c r="AV5467">
        <v>80.03</v>
      </c>
      <c r="AX5467" s="1">
        <v>1780.18</v>
      </c>
      <c r="AY5467" t="s">
        <v>7828</v>
      </c>
      <c r="AZ5467" t="s">
        <v>7828</v>
      </c>
      <c r="BA5467" t="s">
        <v>4219</v>
      </c>
      <c r="BB5467" s="3">
        <v>43375</v>
      </c>
      <c r="BC5467" s="1">
        <v>0</v>
      </c>
      <c r="BD5467" t="s">
        <v>247</v>
      </c>
      <c r="BE5467" s="3">
        <v>41642</v>
      </c>
      <c r="BF5467" s="1">
        <v>262000</v>
      </c>
      <c r="BG5467" t="s">
        <v>33656</v>
      </c>
      <c r="BH5467" s="1">
        <v>137.32</v>
      </c>
      <c r="BI5467" s="1">
        <v>209698</v>
      </c>
      <c r="BJ5467" s="3">
        <v>42151</v>
      </c>
      <c r="BK5467" t="s">
        <v>123</v>
      </c>
      <c r="BL5467" t="str">
        <f>"2015.372894"</f>
        <v>2015.372894</v>
      </c>
      <c r="BM5467" t="s">
        <v>1214</v>
      </c>
      <c r="BN5467" t="s">
        <v>1215</v>
      </c>
      <c r="BO5467" t="s">
        <v>33657</v>
      </c>
      <c r="BS5467">
        <v>30</v>
      </c>
      <c r="BW5467" t="str">
        <f>""</f>
        <v/>
      </c>
      <c r="CH5467" t="str">
        <f>""</f>
        <v/>
      </c>
      <c r="CS5467" t="str">
        <f>""</f>
        <v/>
      </c>
    </row>
    <row r="5468" spans="1:97" x14ac:dyDescent="0.25">
      <c r="A5468" t="s">
        <v>1850</v>
      </c>
      <c r="B5468" t="s">
        <v>33658</v>
      </c>
      <c r="C5468" t="s">
        <v>4515</v>
      </c>
      <c r="D5468" t="s">
        <v>33658</v>
      </c>
      <c r="E5468" t="s">
        <v>33659</v>
      </c>
      <c r="F5468" t="s">
        <v>108</v>
      </c>
      <c r="H5468" t="s">
        <v>33660</v>
      </c>
      <c r="I5468" t="s">
        <v>632</v>
      </c>
      <c r="J5468" t="s">
        <v>111</v>
      </c>
      <c r="K5468" t="str">
        <f>"85379"</f>
        <v>85379</v>
      </c>
      <c r="L5468" t="s">
        <v>375</v>
      </c>
      <c r="M5468" t="s">
        <v>33660</v>
      </c>
      <c r="N5468" t="s">
        <v>632</v>
      </c>
      <c r="O5468" t="s">
        <v>111</v>
      </c>
      <c r="P5468" t="str">
        <f>"85379-8174"</f>
        <v>85379-8174</v>
      </c>
      <c r="Q5468" t="s">
        <v>113</v>
      </c>
      <c r="R5468" t="str">
        <f>"509-15-752"</f>
        <v>509-15-752</v>
      </c>
      <c r="S5468" t="s">
        <v>14562</v>
      </c>
      <c r="U5468">
        <v>2928</v>
      </c>
      <c r="V5468">
        <v>0</v>
      </c>
      <c r="W5468">
        <v>5</v>
      </c>
      <c r="X5468">
        <v>2014</v>
      </c>
      <c r="Z5468">
        <v>2</v>
      </c>
      <c r="AB5468">
        <v>0</v>
      </c>
      <c r="AC5468" t="s">
        <v>115</v>
      </c>
      <c r="AD5468">
        <v>3</v>
      </c>
      <c r="AE5468" t="s">
        <v>115</v>
      </c>
      <c r="AF5468">
        <v>0</v>
      </c>
      <c r="AG5468">
        <v>0</v>
      </c>
      <c r="AH5468" t="s">
        <v>116</v>
      </c>
      <c r="AI5468" s="1">
        <v>139770</v>
      </c>
      <c r="AJ5468" s="2">
        <v>0.39</v>
      </c>
      <c r="AK5468" s="1">
        <v>359223</v>
      </c>
      <c r="AL5468" t="s">
        <v>117</v>
      </c>
      <c r="AM5468" t="s">
        <v>118</v>
      </c>
      <c r="AN5468">
        <v>6600</v>
      </c>
      <c r="AO5468">
        <v>0.15</v>
      </c>
      <c r="AR5468">
        <v>1</v>
      </c>
      <c r="AS5468" s="1">
        <v>26480</v>
      </c>
      <c r="AT5468" s="1">
        <v>5290</v>
      </c>
      <c r="AU5468" s="1">
        <v>21190</v>
      </c>
      <c r="AV5468">
        <v>80.02</v>
      </c>
      <c r="AX5468" s="1">
        <v>2919.32</v>
      </c>
      <c r="AY5468" t="s">
        <v>634</v>
      </c>
      <c r="AZ5468" t="s">
        <v>634</v>
      </c>
      <c r="BA5468" t="s">
        <v>635</v>
      </c>
      <c r="BE5468" s="3">
        <v>42025</v>
      </c>
      <c r="BF5468" s="1">
        <v>296744</v>
      </c>
      <c r="BG5468" t="s">
        <v>636</v>
      </c>
      <c r="BH5468" s="1">
        <v>101.35</v>
      </c>
      <c r="BI5468" s="1">
        <v>219453</v>
      </c>
      <c r="BJ5468" s="3">
        <v>42025</v>
      </c>
      <c r="BK5468" t="s">
        <v>123</v>
      </c>
      <c r="BL5468" t="str">
        <f>"2015.40393"</f>
        <v>2015.40393</v>
      </c>
      <c r="BM5468" t="s">
        <v>637</v>
      </c>
      <c r="BO5468" t="s">
        <v>33661</v>
      </c>
      <c r="BS5468">
        <v>30</v>
      </c>
      <c r="BW5468" t="str">
        <f>""</f>
        <v/>
      </c>
      <c r="CH5468" t="str">
        <f>""</f>
        <v/>
      </c>
      <c r="CS5468" t="str">
        <f>""</f>
        <v/>
      </c>
    </row>
    <row r="5469" spans="1:97" x14ac:dyDescent="0.25">
      <c r="A5469" t="s">
        <v>701</v>
      </c>
      <c r="B5469" t="s">
        <v>33662</v>
      </c>
      <c r="C5469" t="s">
        <v>2544</v>
      </c>
      <c r="D5469" t="s">
        <v>33662</v>
      </c>
      <c r="E5469" t="s">
        <v>33663</v>
      </c>
      <c r="F5469" t="s">
        <v>108</v>
      </c>
      <c r="H5469" t="s">
        <v>33664</v>
      </c>
      <c r="I5469" t="s">
        <v>203</v>
      </c>
      <c r="J5469" t="s">
        <v>111</v>
      </c>
      <c r="K5469" t="str">
        <f>"85233"</f>
        <v>85233</v>
      </c>
      <c r="L5469" t="s">
        <v>3225</v>
      </c>
      <c r="M5469" t="s">
        <v>33664</v>
      </c>
      <c r="N5469" t="s">
        <v>203</v>
      </c>
      <c r="O5469" t="s">
        <v>111</v>
      </c>
      <c r="P5469" t="str">
        <f>"85233-5123"</f>
        <v>85233-5123</v>
      </c>
      <c r="Q5469" t="s">
        <v>113</v>
      </c>
      <c r="R5469" t="str">
        <f>"302-21-084"</f>
        <v>302-21-084</v>
      </c>
      <c r="S5469" t="s">
        <v>33665</v>
      </c>
      <c r="T5469" t="s">
        <v>33666</v>
      </c>
      <c r="U5469">
        <v>2382</v>
      </c>
      <c r="V5469">
        <v>0</v>
      </c>
      <c r="W5469">
        <v>3</v>
      </c>
      <c r="X5469">
        <v>1994</v>
      </c>
      <c r="Z5469">
        <v>1</v>
      </c>
      <c r="AA5469" t="s">
        <v>26</v>
      </c>
      <c r="AB5469">
        <v>0</v>
      </c>
      <c r="AC5469" t="s">
        <v>115</v>
      </c>
      <c r="AD5469">
        <v>3</v>
      </c>
      <c r="AE5469" t="s">
        <v>115</v>
      </c>
      <c r="AF5469">
        <v>0</v>
      </c>
      <c r="AG5469">
        <v>0</v>
      </c>
      <c r="AH5469" t="s">
        <v>116</v>
      </c>
      <c r="AI5469" s="1">
        <v>11222</v>
      </c>
      <c r="AJ5469" s="2">
        <v>0.03</v>
      </c>
      <c r="AK5469" s="1">
        <v>362682</v>
      </c>
      <c r="AL5469" t="s">
        <v>117</v>
      </c>
      <c r="AM5469" t="s">
        <v>393</v>
      </c>
      <c r="AN5469">
        <v>8856</v>
      </c>
      <c r="AO5469">
        <v>0.2</v>
      </c>
      <c r="AP5469">
        <v>1</v>
      </c>
      <c r="AR5469">
        <v>1</v>
      </c>
      <c r="AS5469" s="1">
        <v>29770</v>
      </c>
      <c r="AT5469" s="1">
        <v>5950</v>
      </c>
      <c r="AU5469" s="1">
        <v>23820</v>
      </c>
      <c r="AV5469">
        <v>80.010000000000005</v>
      </c>
      <c r="AX5469" s="1">
        <v>2348</v>
      </c>
      <c r="AY5469" t="s">
        <v>9989</v>
      </c>
      <c r="AZ5469" t="s">
        <v>5478</v>
      </c>
      <c r="BA5469" t="s">
        <v>5479</v>
      </c>
      <c r="BB5469" s="3">
        <v>42158</v>
      </c>
      <c r="BD5469" t="s">
        <v>240</v>
      </c>
      <c r="BE5469" s="3">
        <v>42153</v>
      </c>
      <c r="BF5469" s="1">
        <v>343000</v>
      </c>
      <c r="BG5469" t="s">
        <v>33667</v>
      </c>
      <c r="BH5469" s="1">
        <v>144</v>
      </c>
      <c r="BI5469" s="1">
        <v>351460</v>
      </c>
      <c r="BJ5469" s="3">
        <v>42949</v>
      </c>
      <c r="BK5469" t="s">
        <v>123</v>
      </c>
      <c r="BL5469" t="str">
        <f>"2017.566804"</f>
        <v>2017.566804</v>
      </c>
      <c r="BM5469" t="s">
        <v>3638</v>
      </c>
      <c r="BN5469">
        <v>91361</v>
      </c>
      <c r="BO5469" t="s">
        <v>33668</v>
      </c>
      <c r="BS5469">
        <v>30</v>
      </c>
      <c r="BT5469" s="1">
        <v>351460</v>
      </c>
      <c r="BU5469" s="3">
        <v>42949</v>
      </c>
      <c r="BV5469" t="s">
        <v>123</v>
      </c>
      <c r="BW5469" t="str">
        <f>"2017.566804"</f>
        <v>2017.566804</v>
      </c>
      <c r="BX5469" t="s">
        <v>3638</v>
      </c>
      <c r="BZ5469" t="s">
        <v>33668</v>
      </c>
      <c r="CD5469">
        <v>30</v>
      </c>
      <c r="CH5469" t="str">
        <f>""</f>
        <v/>
      </c>
      <c r="CS5469" t="str">
        <f>""</f>
        <v/>
      </c>
    </row>
    <row r="5470" spans="1:97" x14ac:dyDescent="0.25">
      <c r="A5470" t="s">
        <v>33669</v>
      </c>
      <c r="B5470" t="s">
        <v>465</v>
      </c>
      <c r="C5470" t="s">
        <v>33670</v>
      </c>
      <c r="D5470" t="s">
        <v>465</v>
      </c>
      <c r="E5470" t="s">
        <v>33671</v>
      </c>
      <c r="F5470" t="s">
        <v>108</v>
      </c>
      <c r="H5470" t="s">
        <v>33672</v>
      </c>
      <c r="I5470" t="s">
        <v>632</v>
      </c>
      <c r="J5470" t="s">
        <v>111</v>
      </c>
      <c r="K5470" t="str">
        <f>"85379"</f>
        <v>85379</v>
      </c>
      <c r="L5470" t="s">
        <v>7243</v>
      </c>
      <c r="M5470" t="s">
        <v>33672</v>
      </c>
      <c r="N5470" t="s">
        <v>632</v>
      </c>
      <c r="O5470" t="s">
        <v>111</v>
      </c>
      <c r="P5470" t="str">
        <f>"85379-5795"</f>
        <v>85379-5795</v>
      </c>
      <c r="Q5470" t="s">
        <v>113</v>
      </c>
      <c r="R5470" t="str">
        <f>"509-03-639"</f>
        <v>509-03-639</v>
      </c>
      <c r="S5470" t="s">
        <v>33673</v>
      </c>
      <c r="U5470">
        <v>3521</v>
      </c>
      <c r="V5470">
        <v>0</v>
      </c>
      <c r="W5470">
        <v>4</v>
      </c>
      <c r="X5470">
        <v>2004</v>
      </c>
      <c r="Z5470">
        <v>2</v>
      </c>
      <c r="AA5470" t="s">
        <v>26</v>
      </c>
      <c r="AB5470">
        <v>0</v>
      </c>
      <c r="AC5470" t="s">
        <v>115</v>
      </c>
      <c r="AD5470">
        <v>3</v>
      </c>
      <c r="AE5470" t="s">
        <v>115</v>
      </c>
      <c r="AF5470">
        <v>0</v>
      </c>
      <c r="AG5470">
        <v>0</v>
      </c>
      <c r="AH5470" t="s">
        <v>116</v>
      </c>
      <c r="AI5470" s="1">
        <v>96669</v>
      </c>
      <c r="AJ5470" s="2">
        <v>0.25</v>
      </c>
      <c r="AK5470" s="1">
        <v>382669</v>
      </c>
      <c r="AL5470" t="s">
        <v>117</v>
      </c>
      <c r="AM5470" t="s">
        <v>118</v>
      </c>
      <c r="AN5470">
        <v>9521</v>
      </c>
      <c r="AO5470">
        <v>0.22</v>
      </c>
      <c r="AP5470">
        <v>1</v>
      </c>
      <c r="AR5470">
        <v>1</v>
      </c>
      <c r="AS5470" s="1">
        <v>28910</v>
      </c>
      <c r="AT5470" s="1">
        <v>5780</v>
      </c>
      <c r="AU5470" s="1">
        <v>23130</v>
      </c>
      <c r="AV5470">
        <v>80.010000000000005</v>
      </c>
      <c r="AX5470" s="1">
        <v>2307.5</v>
      </c>
      <c r="AY5470" t="s">
        <v>5818</v>
      </c>
      <c r="AZ5470" t="s">
        <v>5818</v>
      </c>
      <c r="BA5470" t="s">
        <v>321</v>
      </c>
      <c r="BE5470" s="3">
        <v>42522</v>
      </c>
      <c r="BF5470" s="1">
        <v>310000</v>
      </c>
      <c r="BG5470" t="s">
        <v>33674</v>
      </c>
      <c r="BH5470" s="1">
        <v>88.04</v>
      </c>
      <c r="BI5470" s="1">
        <v>286000</v>
      </c>
      <c r="BJ5470" s="3">
        <v>42522</v>
      </c>
      <c r="BK5470" t="s">
        <v>123</v>
      </c>
      <c r="BL5470" t="str">
        <f>"2016.380171"</f>
        <v>2016.380171</v>
      </c>
      <c r="BM5470" t="s">
        <v>4014</v>
      </c>
      <c r="BO5470" t="s">
        <v>33675</v>
      </c>
      <c r="BS5470">
        <v>30</v>
      </c>
      <c r="BW5470" t="str">
        <f>""</f>
        <v/>
      </c>
      <c r="CH5470" t="str">
        <f>""</f>
        <v/>
      </c>
      <c r="CS5470" t="str">
        <f>""</f>
        <v/>
      </c>
    </row>
    <row r="5471" spans="1:97" x14ac:dyDescent="0.25">
      <c r="A5471" t="s">
        <v>305</v>
      </c>
      <c r="B5471" t="s">
        <v>7889</v>
      </c>
      <c r="C5471" t="s">
        <v>4702</v>
      </c>
      <c r="D5471" t="s">
        <v>7889</v>
      </c>
      <c r="E5471" t="s">
        <v>33676</v>
      </c>
      <c r="F5471" t="s">
        <v>108</v>
      </c>
      <c r="H5471" t="s">
        <v>33677</v>
      </c>
      <c r="I5471" t="s">
        <v>225</v>
      </c>
      <c r="J5471" t="s">
        <v>111</v>
      </c>
      <c r="K5471" t="str">
        <f>"85206"</f>
        <v>85206</v>
      </c>
      <c r="L5471" t="s">
        <v>6169</v>
      </c>
      <c r="M5471" t="s">
        <v>33677</v>
      </c>
      <c r="N5471" t="s">
        <v>225</v>
      </c>
      <c r="O5471" t="s">
        <v>111</v>
      </c>
      <c r="P5471" t="str">
        <f>"85206-2250"</f>
        <v>85206-2250</v>
      </c>
      <c r="Q5471" t="s">
        <v>113</v>
      </c>
      <c r="R5471" t="str">
        <f>"141-52-068"</f>
        <v>141-52-068</v>
      </c>
      <c r="S5471" t="s">
        <v>11625</v>
      </c>
      <c r="T5471" t="s">
        <v>11626</v>
      </c>
      <c r="U5471">
        <v>2359</v>
      </c>
      <c r="V5471">
        <v>0</v>
      </c>
      <c r="W5471">
        <v>3</v>
      </c>
      <c r="X5471">
        <v>1983</v>
      </c>
      <c r="Z5471">
        <v>1</v>
      </c>
      <c r="AB5471">
        <v>0</v>
      </c>
      <c r="AC5471" t="s">
        <v>115</v>
      </c>
      <c r="AD5471">
        <v>2</v>
      </c>
      <c r="AE5471" t="s">
        <v>115</v>
      </c>
      <c r="AF5471">
        <v>0</v>
      </c>
      <c r="AG5471">
        <v>0</v>
      </c>
      <c r="AH5471" t="s">
        <v>116</v>
      </c>
      <c r="AI5471" s="1">
        <v>74221</v>
      </c>
      <c r="AJ5471" s="2">
        <v>0.2</v>
      </c>
      <c r="AK5471" s="1">
        <v>363461</v>
      </c>
      <c r="AL5471" t="s">
        <v>117</v>
      </c>
      <c r="AM5471" t="s">
        <v>917</v>
      </c>
      <c r="AN5471">
        <v>11370</v>
      </c>
      <c r="AO5471">
        <v>0.26</v>
      </c>
      <c r="AP5471">
        <v>1</v>
      </c>
      <c r="AR5471">
        <v>1</v>
      </c>
      <c r="AS5471" s="1">
        <v>23700</v>
      </c>
      <c r="AT5471" s="1">
        <v>4740</v>
      </c>
      <c r="AU5471" s="1">
        <v>18960</v>
      </c>
      <c r="AV5471">
        <v>80</v>
      </c>
      <c r="AX5471" s="1">
        <v>1857.98</v>
      </c>
      <c r="AY5471" t="s">
        <v>230</v>
      </c>
      <c r="AZ5471" t="s">
        <v>5158</v>
      </c>
      <c r="BA5471" t="s">
        <v>5159</v>
      </c>
      <c r="BE5471" s="3">
        <v>42076</v>
      </c>
      <c r="BF5471" s="1">
        <v>280000</v>
      </c>
      <c r="BG5471" t="s">
        <v>33678</v>
      </c>
      <c r="BH5471" s="1">
        <v>118.69</v>
      </c>
      <c r="BI5471" s="1">
        <v>289240</v>
      </c>
      <c r="BJ5471" s="3">
        <v>42076</v>
      </c>
      <c r="BK5471" t="s">
        <v>123</v>
      </c>
      <c r="BL5471" t="str">
        <f>"2015.170341"</f>
        <v>2015.170341</v>
      </c>
      <c r="BM5471" t="s">
        <v>738</v>
      </c>
      <c r="BO5471" t="s">
        <v>33679</v>
      </c>
      <c r="BS5471">
        <v>30</v>
      </c>
      <c r="BW5471" t="str">
        <f>""</f>
        <v/>
      </c>
      <c r="CH5471" t="str">
        <f>""</f>
        <v/>
      </c>
      <c r="CS5471" t="str">
        <f>""</f>
        <v/>
      </c>
    </row>
    <row r="5472" spans="1:97" x14ac:dyDescent="0.25">
      <c r="A5472" t="s">
        <v>602</v>
      </c>
      <c r="B5472" t="s">
        <v>6380</v>
      </c>
      <c r="C5472" t="s">
        <v>4386</v>
      </c>
      <c r="D5472" t="s">
        <v>6380</v>
      </c>
      <c r="E5472" t="s">
        <v>33680</v>
      </c>
      <c r="F5472" t="s">
        <v>108</v>
      </c>
      <c r="H5472" t="s">
        <v>33681</v>
      </c>
      <c r="I5472" t="s">
        <v>188</v>
      </c>
      <c r="J5472" t="s">
        <v>111</v>
      </c>
      <c r="K5472" t="str">
        <f>"85142"</f>
        <v>85142</v>
      </c>
      <c r="L5472" t="s">
        <v>3645</v>
      </c>
      <c r="M5472" t="s">
        <v>33681</v>
      </c>
      <c r="N5472" t="s">
        <v>188</v>
      </c>
      <c r="O5472" t="s">
        <v>111</v>
      </c>
      <c r="P5472" t="str">
        <f>"85142-7429"</f>
        <v>85142-7429</v>
      </c>
      <c r="Q5472" t="s">
        <v>113</v>
      </c>
      <c r="R5472" t="str">
        <f>"314-08-629"</f>
        <v>314-08-629</v>
      </c>
      <c r="S5472" t="s">
        <v>9258</v>
      </c>
      <c r="T5472" t="s">
        <v>4400</v>
      </c>
      <c r="U5472">
        <v>4041</v>
      </c>
      <c r="V5472">
        <v>0</v>
      </c>
      <c r="W5472">
        <v>5</v>
      </c>
      <c r="X5472">
        <v>2014</v>
      </c>
      <c r="Z5472">
        <v>2</v>
      </c>
      <c r="AA5472" t="s">
        <v>26</v>
      </c>
      <c r="AB5472">
        <v>0</v>
      </c>
      <c r="AC5472" t="s">
        <v>115</v>
      </c>
      <c r="AD5472">
        <v>3</v>
      </c>
      <c r="AE5472" t="s">
        <v>115</v>
      </c>
      <c r="AF5472">
        <v>0</v>
      </c>
      <c r="AG5472">
        <v>0</v>
      </c>
      <c r="AH5472" t="s">
        <v>116</v>
      </c>
      <c r="AI5472" s="1">
        <v>37249</v>
      </c>
      <c r="AJ5472" s="2">
        <v>7.0000000000000007E-2</v>
      </c>
      <c r="AK5472" s="1">
        <v>534274</v>
      </c>
      <c r="AL5472" t="s">
        <v>117</v>
      </c>
      <c r="AM5472" t="s">
        <v>917</v>
      </c>
      <c r="AN5472">
        <v>11200</v>
      </c>
      <c r="AO5472">
        <v>0.26</v>
      </c>
      <c r="AR5472">
        <v>1</v>
      </c>
      <c r="AS5472" s="1">
        <v>39550</v>
      </c>
      <c r="AT5472" s="1">
        <v>7910</v>
      </c>
      <c r="AU5472" s="1">
        <v>31640</v>
      </c>
      <c r="AV5472">
        <v>80</v>
      </c>
      <c r="AX5472" s="1">
        <v>4175.5200000000004</v>
      </c>
      <c r="AY5472" t="s">
        <v>560</v>
      </c>
      <c r="AZ5472" t="s">
        <v>561</v>
      </c>
      <c r="BA5472" t="s">
        <v>194</v>
      </c>
      <c r="BE5472" s="3">
        <v>41984</v>
      </c>
      <c r="BF5472" s="1">
        <v>503196</v>
      </c>
      <c r="BG5472" t="s">
        <v>749</v>
      </c>
      <c r="BH5472" s="1">
        <v>124.52</v>
      </c>
      <c r="BI5472" s="1">
        <v>464825</v>
      </c>
      <c r="BJ5472" s="3">
        <v>42860</v>
      </c>
      <c r="BK5472" t="s">
        <v>123</v>
      </c>
      <c r="BL5472" t="str">
        <f>"2017.329141"</f>
        <v>2017.329141</v>
      </c>
      <c r="BM5472" t="s">
        <v>402</v>
      </c>
      <c r="BO5472" t="s">
        <v>33682</v>
      </c>
      <c r="BS5472">
        <v>28</v>
      </c>
      <c r="BT5472" s="1">
        <v>32200</v>
      </c>
      <c r="BU5472" s="3">
        <v>42066</v>
      </c>
      <c r="BV5472" t="s">
        <v>134</v>
      </c>
      <c r="BW5472" t="str">
        <f>"2015.140511"</f>
        <v>2015.140511</v>
      </c>
      <c r="BX5472" t="s">
        <v>369</v>
      </c>
      <c r="BZ5472" t="s">
        <v>33682</v>
      </c>
      <c r="CD5472">
        <v>15</v>
      </c>
      <c r="CH5472" t="str">
        <f>""</f>
        <v/>
      </c>
      <c r="CS5472" t="str">
        <f>""</f>
        <v/>
      </c>
    </row>
    <row r="5473" spans="1:97" x14ac:dyDescent="0.25">
      <c r="A5473" t="s">
        <v>4854</v>
      </c>
      <c r="B5473" t="s">
        <v>33683</v>
      </c>
      <c r="C5473" t="s">
        <v>703</v>
      </c>
      <c r="D5473" t="s">
        <v>33683</v>
      </c>
      <c r="E5473" t="s">
        <v>33684</v>
      </c>
      <c r="F5473" t="s">
        <v>108</v>
      </c>
      <c r="H5473" t="s">
        <v>33685</v>
      </c>
      <c r="I5473" t="s">
        <v>453</v>
      </c>
      <c r="J5473" t="s">
        <v>111</v>
      </c>
      <c r="K5473" t="str">
        <f>"85383"</f>
        <v>85383</v>
      </c>
      <c r="L5473" t="s">
        <v>2820</v>
      </c>
      <c r="M5473" t="s">
        <v>33685</v>
      </c>
      <c r="N5473" t="s">
        <v>453</v>
      </c>
      <c r="O5473" t="s">
        <v>111</v>
      </c>
      <c r="P5473" t="str">
        <f>"85383-2545"</f>
        <v>85383-2545</v>
      </c>
      <c r="Q5473" t="s">
        <v>113</v>
      </c>
      <c r="R5473" t="str">
        <f>"503-89-221"</f>
        <v>503-89-221</v>
      </c>
      <c r="S5473" t="s">
        <v>33686</v>
      </c>
      <c r="T5473" t="s">
        <v>33687</v>
      </c>
      <c r="U5473">
        <v>1403</v>
      </c>
      <c r="V5473">
        <v>0</v>
      </c>
      <c r="W5473">
        <v>3</v>
      </c>
      <c r="X5473">
        <v>2003</v>
      </c>
      <c r="Z5473">
        <v>1</v>
      </c>
      <c r="AB5473">
        <v>0</v>
      </c>
      <c r="AC5473" t="s">
        <v>115</v>
      </c>
      <c r="AD5473">
        <v>2</v>
      </c>
      <c r="AE5473" t="s">
        <v>115</v>
      </c>
      <c r="AF5473">
        <v>0</v>
      </c>
      <c r="AG5473">
        <v>0</v>
      </c>
      <c r="AH5473" t="s">
        <v>116</v>
      </c>
      <c r="AI5473" s="1">
        <v>63741</v>
      </c>
      <c r="AJ5473" s="2">
        <v>0.21</v>
      </c>
      <c r="AK5473" s="1">
        <v>308562</v>
      </c>
      <c r="AL5473" t="s">
        <v>117</v>
      </c>
      <c r="AM5473" t="s">
        <v>118</v>
      </c>
      <c r="AN5473">
        <v>5775</v>
      </c>
      <c r="AO5473">
        <v>0.13</v>
      </c>
      <c r="AP5473">
        <v>1</v>
      </c>
      <c r="AR5473">
        <v>1</v>
      </c>
      <c r="AS5473" s="1">
        <v>21550</v>
      </c>
      <c r="AT5473" s="1">
        <v>4310</v>
      </c>
      <c r="AU5473" s="1">
        <v>17240</v>
      </c>
      <c r="AV5473">
        <v>80</v>
      </c>
      <c r="AX5473" s="1">
        <v>2541.58</v>
      </c>
      <c r="AY5473" t="s">
        <v>456</v>
      </c>
      <c r="AZ5473" t="s">
        <v>456</v>
      </c>
      <c r="BA5473" t="s">
        <v>457</v>
      </c>
      <c r="BE5473" s="3">
        <v>42111</v>
      </c>
      <c r="BF5473" s="1">
        <v>237000</v>
      </c>
      <c r="BG5473" t="s">
        <v>33688</v>
      </c>
      <c r="BH5473" s="1">
        <v>168.92</v>
      </c>
      <c r="BI5473" s="1">
        <v>244821</v>
      </c>
      <c r="BJ5473" s="3">
        <v>42111</v>
      </c>
      <c r="BK5473" t="s">
        <v>123</v>
      </c>
      <c r="BL5473" t="str">
        <f>"2015.264274"</f>
        <v>2015.264274</v>
      </c>
      <c r="BM5473" t="s">
        <v>131</v>
      </c>
      <c r="BO5473" t="s">
        <v>33689</v>
      </c>
      <c r="BS5473">
        <v>30</v>
      </c>
      <c r="BW5473" t="str">
        <f>""</f>
        <v/>
      </c>
      <c r="CH5473" t="str">
        <f>""</f>
        <v/>
      </c>
      <c r="CS5473" t="str">
        <f>""</f>
        <v/>
      </c>
    </row>
    <row r="5474" spans="1:97" x14ac:dyDescent="0.25">
      <c r="B5474" t="s">
        <v>33690</v>
      </c>
      <c r="E5474" t="s">
        <v>18396</v>
      </c>
      <c r="F5474" t="s">
        <v>108</v>
      </c>
      <c r="H5474" t="s">
        <v>33691</v>
      </c>
      <c r="I5474" t="s">
        <v>1936</v>
      </c>
      <c r="J5474" t="s">
        <v>111</v>
      </c>
      <c r="K5474" t="str">
        <f>"85255"</f>
        <v>85255</v>
      </c>
      <c r="L5474" t="s">
        <v>3108</v>
      </c>
      <c r="M5474" t="s">
        <v>33691</v>
      </c>
      <c r="N5474" t="s">
        <v>1936</v>
      </c>
      <c r="O5474" t="s">
        <v>111</v>
      </c>
      <c r="P5474" t="str">
        <f>"85255-5407"</f>
        <v>85255-5407</v>
      </c>
      <c r="Q5474" t="s">
        <v>113</v>
      </c>
      <c r="R5474" t="str">
        <f>"215-07-138"</f>
        <v>215-07-138</v>
      </c>
      <c r="S5474" t="s">
        <v>27200</v>
      </c>
      <c r="T5474" t="s">
        <v>27201</v>
      </c>
      <c r="U5474">
        <v>1879</v>
      </c>
      <c r="V5474">
        <v>0</v>
      </c>
      <c r="W5474">
        <v>3</v>
      </c>
      <c r="X5474">
        <v>1995</v>
      </c>
      <c r="Z5474">
        <v>1</v>
      </c>
      <c r="AB5474">
        <v>0</v>
      </c>
      <c r="AC5474" t="s">
        <v>115</v>
      </c>
      <c r="AD5474">
        <v>2</v>
      </c>
      <c r="AE5474" t="s">
        <v>115</v>
      </c>
      <c r="AF5474">
        <v>0</v>
      </c>
      <c r="AG5474">
        <v>0</v>
      </c>
      <c r="AH5474" t="s">
        <v>116</v>
      </c>
      <c r="AI5474" s="1">
        <v>83465</v>
      </c>
      <c r="AJ5474" s="2">
        <v>0.18</v>
      </c>
      <c r="AK5474" s="1">
        <v>454312</v>
      </c>
      <c r="AL5474" t="s">
        <v>117</v>
      </c>
      <c r="AM5474" t="s">
        <v>6533</v>
      </c>
      <c r="AN5474">
        <v>6035</v>
      </c>
      <c r="AO5474">
        <v>0.14000000000000001</v>
      </c>
      <c r="AP5474">
        <v>1</v>
      </c>
      <c r="AR5474">
        <v>1</v>
      </c>
      <c r="AS5474" s="1">
        <v>32460</v>
      </c>
      <c r="AT5474" s="1">
        <v>6490</v>
      </c>
      <c r="AU5474" s="1">
        <v>25970</v>
      </c>
      <c r="AV5474">
        <v>80.010000000000005</v>
      </c>
      <c r="AX5474" s="1">
        <v>3076.98</v>
      </c>
      <c r="AY5474" t="s">
        <v>8787</v>
      </c>
      <c r="AZ5474" t="s">
        <v>7739</v>
      </c>
      <c r="BA5474" t="s">
        <v>6302</v>
      </c>
      <c r="BB5474" s="3">
        <v>42597</v>
      </c>
      <c r="BD5474" t="s">
        <v>480</v>
      </c>
      <c r="BE5474" s="3">
        <v>41670</v>
      </c>
      <c r="BF5474" s="1">
        <v>359000</v>
      </c>
      <c r="BG5474" t="s">
        <v>33692</v>
      </c>
      <c r="BH5474" s="1">
        <v>191.06</v>
      </c>
      <c r="BI5474" s="1">
        <v>370847</v>
      </c>
      <c r="BJ5474" s="3">
        <v>41670</v>
      </c>
      <c r="BK5474" t="s">
        <v>123</v>
      </c>
      <c r="BL5474" t="str">
        <f>"2014.68730"</f>
        <v>2014.68730</v>
      </c>
      <c r="BM5474" t="s">
        <v>8916</v>
      </c>
      <c r="BO5474" t="s">
        <v>33693</v>
      </c>
      <c r="BS5474">
        <v>30</v>
      </c>
      <c r="BW5474" t="str">
        <f>""</f>
        <v/>
      </c>
      <c r="CH5474" t="str">
        <f>""</f>
        <v/>
      </c>
      <c r="CS5474" t="str">
        <f>""</f>
        <v/>
      </c>
    </row>
    <row r="5475" spans="1:97" x14ac:dyDescent="0.25">
      <c r="A5475" t="s">
        <v>1109</v>
      </c>
      <c r="B5475" t="s">
        <v>33694</v>
      </c>
      <c r="C5475" t="s">
        <v>767</v>
      </c>
      <c r="D5475" t="s">
        <v>33694</v>
      </c>
      <c r="E5475" t="s">
        <v>33695</v>
      </c>
      <c r="F5475" t="s">
        <v>108</v>
      </c>
      <c r="H5475" t="s">
        <v>33696</v>
      </c>
      <c r="I5475" t="s">
        <v>453</v>
      </c>
      <c r="J5475" t="s">
        <v>111</v>
      </c>
      <c r="K5475" t="str">
        <f>"85383"</f>
        <v>85383</v>
      </c>
      <c r="L5475" t="s">
        <v>7243</v>
      </c>
      <c r="M5475" t="s">
        <v>33696</v>
      </c>
      <c r="N5475" t="s">
        <v>453</v>
      </c>
      <c r="O5475" t="s">
        <v>111</v>
      </c>
      <c r="P5475" t="str">
        <f>"85383-6263"</f>
        <v>85383-6263</v>
      </c>
      <c r="Q5475" t="s">
        <v>113</v>
      </c>
      <c r="R5475" t="str">
        <f>"201-20-418"</f>
        <v>201-20-418</v>
      </c>
      <c r="S5475" t="s">
        <v>8847</v>
      </c>
      <c r="T5475" t="s">
        <v>8847</v>
      </c>
      <c r="U5475">
        <v>2600</v>
      </c>
      <c r="V5475">
        <v>0</v>
      </c>
      <c r="W5475">
        <v>4</v>
      </c>
      <c r="X5475">
        <v>2015</v>
      </c>
      <c r="Z5475">
        <v>1</v>
      </c>
      <c r="AB5475">
        <v>0</v>
      </c>
      <c r="AC5475" t="s">
        <v>115</v>
      </c>
      <c r="AD5475">
        <v>3</v>
      </c>
      <c r="AE5475" t="s">
        <v>115</v>
      </c>
      <c r="AF5475">
        <v>0</v>
      </c>
      <c r="AG5475">
        <v>0</v>
      </c>
      <c r="AH5475" t="s">
        <v>116</v>
      </c>
      <c r="AI5475" s="1">
        <v>40473</v>
      </c>
      <c r="AJ5475" s="2">
        <v>0.1</v>
      </c>
      <c r="AK5475" s="1">
        <v>392573</v>
      </c>
      <c r="AL5475" t="s">
        <v>117</v>
      </c>
      <c r="AM5475" t="s">
        <v>118</v>
      </c>
      <c r="AN5475">
        <v>8039</v>
      </c>
      <c r="AO5475">
        <v>0.18</v>
      </c>
      <c r="AR5475">
        <v>1</v>
      </c>
      <c r="AS5475" s="1">
        <v>32850</v>
      </c>
      <c r="AT5475" s="1">
        <v>6570</v>
      </c>
      <c r="AU5475" s="1">
        <v>26280</v>
      </c>
      <c r="AV5475">
        <v>80</v>
      </c>
      <c r="AX5475" s="1">
        <v>2558.62</v>
      </c>
      <c r="AY5475" t="s">
        <v>1385</v>
      </c>
      <c r="AZ5475" t="s">
        <v>1385</v>
      </c>
      <c r="BA5475" t="s">
        <v>1386</v>
      </c>
      <c r="BE5475" s="3">
        <v>42502</v>
      </c>
      <c r="BF5475" s="1">
        <v>333462</v>
      </c>
      <c r="BG5475" t="s">
        <v>2199</v>
      </c>
      <c r="BH5475" s="1">
        <v>128.25</v>
      </c>
      <c r="BI5475" s="1">
        <v>352100</v>
      </c>
      <c r="BJ5475" s="3">
        <v>42622</v>
      </c>
      <c r="BK5475" t="s">
        <v>123</v>
      </c>
      <c r="BL5475" t="str">
        <f>"2016.654713"</f>
        <v>2016.654713</v>
      </c>
      <c r="BM5475" t="s">
        <v>248</v>
      </c>
      <c r="BO5475" t="s">
        <v>33697</v>
      </c>
      <c r="BS5475">
        <v>30</v>
      </c>
      <c r="BW5475" t="str">
        <f>""</f>
        <v/>
      </c>
      <c r="CH5475" t="str">
        <f>""</f>
        <v/>
      </c>
      <c r="CS5475" t="str">
        <f>""</f>
        <v/>
      </c>
    </row>
    <row r="5476" spans="1:97" x14ac:dyDescent="0.25">
      <c r="A5476" t="s">
        <v>1514</v>
      </c>
      <c r="B5476" t="s">
        <v>3333</v>
      </c>
      <c r="C5476" t="s">
        <v>4644</v>
      </c>
      <c r="D5476" t="s">
        <v>3333</v>
      </c>
      <c r="E5476" t="s">
        <v>33698</v>
      </c>
      <c r="F5476" t="s">
        <v>108</v>
      </c>
      <c r="H5476" t="s">
        <v>33699</v>
      </c>
      <c r="I5476" t="s">
        <v>2874</v>
      </c>
      <c r="J5476" t="s">
        <v>111</v>
      </c>
      <c r="K5476" t="str">
        <f>"85310"</f>
        <v>85310</v>
      </c>
      <c r="L5476" t="s">
        <v>1789</v>
      </c>
      <c r="M5476" t="s">
        <v>33699</v>
      </c>
      <c r="N5476" t="s">
        <v>2874</v>
      </c>
      <c r="O5476" t="s">
        <v>111</v>
      </c>
      <c r="P5476" t="str">
        <f>"85310-3001"</f>
        <v>85310-3001</v>
      </c>
      <c r="Q5476" t="s">
        <v>113</v>
      </c>
      <c r="R5476" t="str">
        <f>"205-12-126"</f>
        <v>205-12-126</v>
      </c>
      <c r="S5476" t="s">
        <v>33700</v>
      </c>
      <c r="T5476" t="s">
        <v>31556</v>
      </c>
      <c r="U5476">
        <v>2467</v>
      </c>
      <c r="V5476">
        <v>0</v>
      </c>
      <c r="W5476">
        <v>2</v>
      </c>
      <c r="X5476">
        <v>1981</v>
      </c>
      <c r="Z5476">
        <v>1</v>
      </c>
      <c r="AA5476" t="s">
        <v>26</v>
      </c>
      <c r="AB5476">
        <v>0</v>
      </c>
      <c r="AC5476" t="s">
        <v>115</v>
      </c>
      <c r="AD5476">
        <v>2</v>
      </c>
      <c r="AE5476" t="s">
        <v>115</v>
      </c>
      <c r="AF5476">
        <v>0</v>
      </c>
      <c r="AG5476">
        <v>0</v>
      </c>
      <c r="AH5476" t="s">
        <v>116</v>
      </c>
      <c r="AI5476" s="1">
        <v>11918</v>
      </c>
      <c r="AJ5476" s="2">
        <v>0.04</v>
      </c>
      <c r="AK5476" s="1">
        <v>339548</v>
      </c>
      <c r="AL5476" t="s">
        <v>117</v>
      </c>
      <c r="AM5476" t="s">
        <v>3973</v>
      </c>
      <c r="AN5476">
        <v>51703</v>
      </c>
      <c r="AO5476">
        <v>1.19</v>
      </c>
      <c r="AP5476">
        <v>1</v>
      </c>
      <c r="AR5476">
        <v>1</v>
      </c>
      <c r="AS5476" s="1">
        <v>36670</v>
      </c>
      <c r="AT5476" s="1">
        <v>7330</v>
      </c>
      <c r="AU5476" s="1">
        <v>29340</v>
      </c>
      <c r="AV5476">
        <v>80.010000000000005</v>
      </c>
      <c r="AX5476" s="1">
        <v>2731.5</v>
      </c>
      <c r="AY5476" t="s">
        <v>5125</v>
      </c>
      <c r="AZ5476" t="s">
        <v>3049</v>
      </c>
      <c r="BA5476" t="s">
        <v>1386</v>
      </c>
      <c r="BB5476" s="3">
        <v>42282</v>
      </c>
      <c r="BD5476" t="s">
        <v>480</v>
      </c>
      <c r="BE5476" s="3">
        <v>42279</v>
      </c>
      <c r="BF5476" s="1">
        <v>320000</v>
      </c>
      <c r="BG5476" t="s">
        <v>33701</v>
      </c>
      <c r="BH5476" s="1">
        <v>129.71</v>
      </c>
      <c r="BI5476" s="1">
        <v>327630</v>
      </c>
      <c r="BJ5476" s="3">
        <v>42622</v>
      </c>
      <c r="BK5476" t="s">
        <v>123</v>
      </c>
      <c r="BL5476" t="str">
        <f>"2016.653330"</f>
        <v>2016.653330</v>
      </c>
      <c r="BM5476" t="s">
        <v>425</v>
      </c>
      <c r="BO5476" t="s">
        <v>33702</v>
      </c>
      <c r="BS5476">
        <v>30</v>
      </c>
      <c r="BW5476" t="str">
        <f>""</f>
        <v/>
      </c>
      <c r="CH5476" t="str">
        <f>""</f>
        <v/>
      </c>
      <c r="CS5476" t="str">
        <f>""</f>
        <v/>
      </c>
    </row>
    <row r="5477" spans="1:97" x14ac:dyDescent="0.25">
      <c r="A5477" t="s">
        <v>1187</v>
      </c>
      <c r="B5477" t="s">
        <v>30059</v>
      </c>
      <c r="C5477" t="s">
        <v>767</v>
      </c>
      <c r="D5477" t="s">
        <v>30059</v>
      </c>
      <c r="E5477" t="s">
        <v>33703</v>
      </c>
      <c r="F5477" t="s">
        <v>108</v>
      </c>
      <c r="H5477" t="s">
        <v>33704</v>
      </c>
      <c r="I5477" t="s">
        <v>499</v>
      </c>
      <c r="J5477" t="s">
        <v>111</v>
      </c>
      <c r="K5477" t="str">
        <f>"85395"</f>
        <v>85395</v>
      </c>
      <c r="L5477" t="s">
        <v>1312</v>
      </c>
      <c r="M5477" t="s">
        <v>33704</v>
      </c>
      <c r="N5477" t="s">
        <v>499</v>
      </c>
      <c r="O5477" t="s">
        <v>111</v>
      </c>
      <c r="P5477" t="str">
        <f>"85395-2029"</f>
        <v>85395-2029</v>
      </c>
      <c r="Q5477" t="s">
        <v>113</v>
      </c>
      <c r="R5477" t="str">
        <f>"501-76-337"</f>
        <v>501-76-337</v>
      </c>
      <c r="S5477" t="s">
        <v>20930</v>
      </c>
      <c r="T5477" t="s">
        <v>20931</v>
      </c>
      <c r="U5477">
        <v>2595</v>
      </c>
      <c r="V5477">
        <v>0</v>
      </c>
      <c r="W5477">
        <v>4</v>
      </c>
      <c r="X5477">
        <v>2005</v>
      </c>
      <c r="Z5477">
        <v>1</v>
      </c>
      <c r="AA5477" t="s">
        <v>26</v>
      </c>
      <c r="AB5477">
        <v>0</v>
      </c>
      <c r="AC5477" t="s">
        <v>115</v>
      </c>
      <c r="AD5477">
        <v>3</v>
      </c>
      <c r="AE5477" t="s">
        <v>115</v>
      </c>
      <c r="AF5477">
        <v>0</v>
      </c>
      <c r="AG5477">
        <v>0</v>
      </c>
      <c r="AH5477" t="s">
        <v>116</v>
      </c>
      <c r="AI5477" s="1">
        <v>81659</v>
      </c>
      <c r="AJ5477" s="2">
        <v>0.21</v>
      </c>
      <c r="AK5477" s="1">
        <v>388976</v>
      </c>
      <c r="AL5477" t="s">
        <v>117</v>
      </c>
      <c r="AM5477" t="s">
        <v>118</v>
      </c>
      <c r="AN5477">
        <v>10088</v>
      </c>
      <c r="AO5477">
        <v>0.23</v>
      </c>
      <c r="AR5477">
        <v>1</v>
      </c>
      <c r="AS5477" s="1">
        <v>28760</v>
      </c>
      <c r="AT5477" s="1">
        <v>5750</v>
      </c>
      <c r="AU5477" s="1">
        <v>23010</v>
      </c>
      <c r="AV5477">
        <v>80.010000000000005</v>
      </c>
      <c r="AX5477" s="1">
        <v>3438.9</v>
      </c>
      <c r="AY5477" t="s">
        <v>3020</v>
      </c>
      <c r="AZ5477" t="s">
        <v>3020</v>
      </c>
      <c r="BA5477" t="s">
        <v>7186</v>
      </c>
      <c r="BE5477" s="3">
        <v>41712</v>
      </c>
      <c r="BF5477" s="1">
        <v>297500</v>
      </c>
      <c r="BG5477" t="s">
        <v>33705</v>
      </c>
      <c r="BH5477" s="1">
        <v>114.64</v>
      </c>
      <c r="BI5477" s="1">
        <v>307317</v>
      </c>
      <c r="BJ5477" s="3">
        <v>41712</v>
      </c>
      <c r="BK5477" t="s">
        <v>123</v>
      </c>
      <c r="BL5477" t="str">
        <f>"2014.164080"</f>
        <v>2014.164080</v>
      </c>
      <c r="BM5477" t="s">
        <v>544</v>
      </c>
      <c r="BO5477" t="s">
        <v>33706</v>
      </c>
      <c r="BS5477">
        <v>30</v>
      </c>
      <c r="BW5477" t="str">
        <f>""</f>
        <v/>
      </c>
      <c r="CH5477" t="str">
        <f>""</f>
        <v/>
      </c>
      <c r="CS5477" t="str">
        <f>""</f>
        <v/>
      </c>
    </row>
    <row r="5478" spans="1:97" x14ac:dyDescent="0.25">
      <c r="A5478" t="s">
        <v>33707</v>
      </c>
      <c r="B5478" t="s">
        <v>33708</v>
      </c>
      <c r="E5478" t="s">
        <v>33709</v>
      </c>
      <c r="F5478" t="s">
        <v>108</v>
      </c>
      <c r="H5478" t="s">
        <v>33710</v>
      </c>
      <c r="I5478" t="s">
        <v>499</v>
      </c>
      <c r="J5478" t="s">
        <v>111</v>
      </c>
      <c r="K5478" t="str">
        <f>"85395"</f>
        <v>85395</v>
      </c>
      <c r="L5478" t="s">
        <v>541</v>
      </c>
      <c r="M5478" t="s">
        <v>33710</v>
      </c>
      <c r="N5478" t="s">
        <v>499</v>
      </c>
      <c r="O5478" t="s">
        <v>111</v>
      </c>
      <c r="P5478" t="str">
        <f>"85395-7547"</f>
        <v>85395-7547</v>
      </c>
      <c r="Q5478" t="s">
        <v>113</v>
      </c>
      <c r="R5478" t="str">
        <f>"508-11-335"</f>
        <v>508-11-335</v>
      </c>
      <c r="S5478" t="s">
        <v>5752</v>
      </c>
      <c r="T5478" t="s">
        <v>5753</v>
      </c>
      <c r="U5478">
        <v>2990</v>
      </c>
      <c r="V5478">
        <v>0</v>
      </c>
      <c r="W5478">
        <v>4</v>
      </c>
      <c r="X5478">
        <v>2013</v>
      </c>
      <c r="Z5478">
        <v>1</v>
      </c>
      <c r="AB5478">
        <v>0</v>
      </c>
      <c r="AC5478" t="s">
        <v>115</v>
      </c>
      <c r="AD5478">
        <v>3</v>
      </c>
      <c r="AE5478" t="s">
        <v>115</v>
      </c>
      <c r="AF5478">
        <v>0</v>
      </c>
      <c r="AG5478">
        <v>0</v>
      </c>
      <c r="AH5478" t="s">
        <v>116</v>
      </c>
      <c r="AI5478" s="1">
        <v>43881</v>
      </c>
      <c r="AJ5478" s="2">
        <v>0.1</v>
      </c>
      <c r="AK5478" s="1">
        <v>452062</v>
      </c>
      <c r="AL5478" t="s">
        <v>117</v>
      </c>
      <c r="AM5478" t="s">
        <v>118</v>
      </c>
      <c r="AN5478">
        <v>10671</v>
      </c>
      <c r="AO5478">
        <v>0.24</v>
      </c>
      <c r="AR5478">
        <v>1</v>
      </c>
      <c r="AS5478" s="1">
        <v>33730</v>
      </c>
      <c r="AT5478" s="1">
        <v>6740</v>
      </c>
      <c r="AU5478" s="1">
        <v>26990</v>
      </c>
      <c r="AV5478">
        <v>80.02</v>
      </c>
      <c r="AX5478" s="1">
        <v>3722.1</v>
      </c>
      <c r="AY5478" t="s">
        <v>3019</v>
      </c>
      <c r="AZ5478" t="s">
        <v>3020</v>
      </c>
      <c r="BA5478" t="s">
        <v>218</v>
      </c>
      <c r="BE5478" s="3">
        <v>42352</v>
      </c>
      <c r="BF5478" s="1">
        <v>374900</v>
      </c>
      <c r="BG5478" t="s">
        <v>33711</v>
      </c>
      <c r="BH5478" s="1">
        <v>125.38</v>
      </c>
      <c r="BI5478" s="1">
        <v>408181</v>
      </c>
      <c r="BJ5478" s="3">
        <v>43377</v>
      </c>
      <c r="BK5478" t="s">
        <v>123</v>
      </c>
      <c r="BL5478" t="str">
        <f>"2018.744912"</f>
        <v>2018.744912</v>
      </c>
      <c r="BM5478" t="s">
        <v>1809</v>
      </c>
      <c r="BN5478" t="s">
        <v>1810</v>
      </c>
      <c r="BO5478" t="s">
        <v>33712</v>
      </c>
      <c r="BP5478" t="s">
        <v>33713</v>
      </c>
      <c r="BR5478" t="s">
        <v>139</v>
      </c>
      <c r="BW5478" t="str">
        <f>""</f>
        <v/>
      </c>
      <c r="CH5478" t="str">
        <f>""</f>
        <v/>
      </c>
      <c r="CS5478" t="str">
        <f>""</f>
        <v/>
      </c>
    </row>
    <row r="5479" spans="1:97" x14ac:dyDescent="0.25">
      <c r="A5479" t="s">
        <v>33714</v>
      </c>
      <c r="B5479" t="s">
        <v>364</v>
      </c>
      <c r="C5479" t="s">
        <v>767</v>
      </c>
      <c r="D5479" t="s">
        <v>364</v>
      </c>
      <c r="E5479" t="s">
        <v>33715</v>
      </c>
      <c r="F5479" t="s">
        <v>108</v>
      </c>
      <c r="H5479" t="s">
        <v>33716</v>
      </c>
      <c r="I5479" t="s">
        <v>144</v>
      </c>
      <c r="J5479" t="s">
        <v>111</v>
      </c>
      <c r="K5479" t="str">
        <f>"85326"</f>
        <v>85326</v>
      </c>
      <c r="L5479" t="s">
        <v>8146</v>
      </c>
      <c r="M5479" t="s">
        <v>33716</v>
      </c>
      <c r="N5479" t="s">
        <v>144</v>
      </c>
      <c r="O5479" t="s">
        <v>111</v>
      </c>
      <c r="P5479" t="str">
        <f>"85326-8186"</f>
        <v>85326-8186</v>
      </c>
      <c r="Q5479" t="s">
        <v>113</v>
      </c>
      <c r="R5479" t="str">
        <f>"502-35-662"</f>
        <v>502-35-662</v>
      </c>
      <c r="S5479" t="s">
        <v>9331</v>
      </c>
      <c r="U5479">
        <v>2259</v>
      </c>
      <c r="V5479">
        <v>0</v>
      </c>
      <c r="W5479">
        <v>4</v>
      </c>
      <c r="X5479">
        <v>2016</v>
      </c>
      <c r="Z5479">
        <v>1</v>
      </c>
      <c r="AB5479">
        <v>0</v>
      </c>
      <c r="AC5479" t="s">
        <v>115</v>
      </c>
      <c r="AD5479">
        <v>3</v>
      </c>
      <c r="AE5479" t="s">
        <v>115</v>
      </c>
      <c r="AF5479">
        <v>0</v>
      </c>
      <c r="AG5479">
        <v>0</v>
      </c>
      <c r="AH5479" t="s">
        <v>116</v>
      </c>
      <c r="AI5479" s="1">
        <v>71248</v>
      </c>
      <c r="AJ5479" s="2">
        <v>0.23</v>
      </c>
      <c r="AK5479" s="1">
        <v>307013</v>
      </c>
      <c r="AL5479" t="s">
        <v>117</v>
      </c>
      <c r="AM5479" t="s">
        <v>118</v>
      </c>
      <c r="AN5479">
        <v>6670</v>
      </c>
      <c r="AO5479">
        <v>0.15</v>
      </c>
      <c r="AR5479">
        <v>1</v>
      </c>
      <c r="AS5479" s="1">
        <v>21620</v>
      </c>
      <c r="AT5479" s="1">
        <v>4320</v>
      </c>
      <c r="AU5479" s="1">
        <v>17300</v>
      </c>
      <c r="AV5479">
        <v>80.02</v>
      </c>
      <c r="AX5479" s="1">
        <v>1833.16</v>
      </c>
      <c r="AY5479" t="s">
        <v>2767</v>
      </c>
      <c r="AZ5479" t="s">
        <v>2767</v>
      </c>
      <c r="BA5479" t="s">
        <v>5025</v>
      </c>
      <c r="BE5479" s="3">
        <v>42460</v>
      </c>
      <c r="BF5479" s="1">
        <v>228234</v>
      </c>
      <c r="BG5479" t="s">
        <v>1079</v>
      </c>
      <c r="BH5479" s="1">
        <v>101.03</v>
      </c>
      <c r="BI5479" s="1">
        <v>235765</v>
      </c>
      <c r="BJ5479" s="3">
        <v>42460</v>
      </c>
      <c r="BK5479" t="s">
        <v>123</v>
      </c>
      <c r="BL5479" t="str">
        <f>"2016.208949"</f>
        <v>2016.208949</v>
      </c>
      <c r="BM5479" t="s">
        <v>1080</v>
      </c>
      <c r="BO5479" t="s">
        <v>33717</v>
      </c>
      <c r="BS5479">
        <v>30</v>
      </c>
      <c r="BW5479" t="str">
        <f>""</f>
        <v/>
      </c>
      <c r="CH5479" t="str">
        <f>""</f>
        <v/>
      </c>
      <c r="CS5479" t="str">
        <f>""</f>
        <v/>
      </c>
    </row>
    <row r="5480" spans="1:97" x14ac:dyDescent="0.25">
      <c r="A5480" t="s">
        <v>589</v>
      </c>
      <c r="B5480" t="s">
        <v>17030</v>
      </c>
      <c r="C5480" t="s">
        <v>33718</v>
      </c>
      <c r="D5480" t="s">
        <v>17030</v>
      </c>
      <c r="E5480" t="s">
        <v>33719</v>
      </c>
      <c r="F5480" t="s">
        <v>108</v>
      </c>
      <c r="H5480" t="s">
        <v>33720</v>
      </c>
      <c r="I5480" t="s">
        <v>3150</v>
      </c>
      <c r="J5480" t="s">
        <v>111</v>
      </c>
      <c r="K5480" t="str">
        <f>"85340"</f>
        <v>85340</v>
      </c>
      <c r="L5480" t="s">
        <v>2765</v>
      </c>
      <c r="M5480" t="s">
        <v>33720</v>
      </c>
      <c r="N5480" t="s">
        <v>3150</v>
      </c>
      <c r="O5480" t="s">
        <v>111</v>
      </c>
      <c r="P5480" t="str">
        <f>"85340-6201"</f>
        <v>85340-6201</v>
      </c>
      <c r="Q5480" t="s">
        <v>113</v>
      </c>
      <c r="R5480" t="str">
        <f>"502-27-811"</f>
        <v>502-27-811</v>
      </c>
      <c r="S5480" t="s">
        <v>7560</v>
      </c>
      <c r="T5480" t="s">
        <v>7560</v>
      </c>
      <c r="U5480">
        <v>2507</v>
      </c>
      <c r="V5480">
        <v>0</v>
      </c>
      <c r="W5480">
        <v>4</v>
      </c>
      <c r="X5480">
        <v>2011</v>
      </c>
      <c r="Z5480">
        <v>1</v>
      </c>
      <c r="AB5480">
        <v>0</v>
      </c>
      <c r="AC5480" t="s">
        <v>115</v>
      </c>
      <c r="AD5480">
        <v>2</v>
      </c>
      <c r="AE5480" t="s">
        <v>115</v>
      </c>
      <c r="AF5480">
        <v>0</v>
      </c>
      <c r="AG5480">
        <v>0</v>
      </c>
      <c r="AH5480" t="s">
        <v>116</v>
      </c>
      <c r="AI5480" s="1">
        <v>4774</v>
      </c>
      <c r="AJ5480" s="2">
        <v>0.01</v>
      </c>
      <c r="AK5480" s="1">
        <v>409773</v>
      </c>
      <c r="AL5480" t="s">
        <v>117</v>
      </c>
      <c r="AM5480" t="s">
        <v>1302</v>
      </c>
      <c r="AN5480">
        <v>13775</v>
      </c>
      <c r="AO5480">
        <v>0.32</v>
      </c>
      <c r="AR5480">
        <v>1</v>
      </c>
      <c r="AS5480" s="1">
        <v>27200</v>
      </c>
      <c r="AT5480" s="1">
        <v>5440</v>
      </c>
      <c r="AU5480" s="1">
        <v>21760</v>
      </c>
      <c r="AV5480">
        <v>80</v>
      </c>
      <c r="AX5480" s="1">
        <v>3347.86</v>
      </c>
      <c r="AY5480" t="s">
        <v>503</v>
      </c>
      <c r="AZ5480" t="s">
        <v>504</v>
      </c>
      <c r="BA5480" t="s">
        <v>218</v>
      </c>
      <c r="BE5480" s="3">
        <v>42094</v>
      </c>
      <c r="BF5480" s="1">
        <v>343500</v>
      </c>
      <c r="BG5480" t="s">
        <v>33721</v>
      </c>
      <c r="BH5480" s="1">
        <v>137.02000000000001</v>
      </c>
      <c r="BI5480" s="1">
        <v>404999</v>
      </c>
      <c r="BJ5480" s="3">
        <v>43641</v>
      </c>
      <c r="BK5480" t="s">
        <v>123</v>
      </c>
      <c r="BL5480" t="str">
        <f>"2019.476437"</f>
        <v>2019.476437</v>
      </c>
      <c r="BM5480" t="s">
        <v>3040</v>
      </c>
      <c r="BN5480" t="s">
        <v>3041</v>
      </c>
      <c r="BO5480" t="s">
        <v>33722</v>
      </c>
      <c r="BP5480" t="s">
        <v>33723</v>
      </c>
      <c r="BR5480" t="s">
        <v>139</v>
      </c>
      <c r="BW5480" t="str">
        <f>""</f>
        <v/>
      </c>
      <c r="CH5480" t="str">
        <f>""</f>
        <v/>
      </c>
      <c r="CS5480" t="str">
        <f>""</f>
        <v/>
      </c>
    </row>
    <row r="5481" spans="1:97" x14ac:dyDescent="0.25">
      <c r="A5481" t="s">
        <v>33724</v>
      </c>
      <c r="B5481" t="s">
        <v>364</v>
      </c>
      <c r="C5481" t="s">
        <v>2286</v>
      </c>
      <c r="D5481" t="s">
        <v>364</v>
      </c>
      <c r="E5481" t="s">
        <v>33725</v>
      </c>
      <c r="F5481" t="s">
        <v>108</v>
      </c>
      <c r="H5481" t="s">
        <v>33726</v>
      </c>
      <c r="I5481" t="s">
        <v>110</v>
      </c>
      <c r="J5481" t="s">
        <v>111</v>
      </c>
      <c r="K5481" t="str">
        <f>"85249"</f>
        <v>85249</v>
      </c>
      <c r="L5481" t="s">
        <v>567</v>
      </c>
      <c r="M5481" t="s">
        <v>33726</v>
      </c>
      <c r="N5481" t="s">
        <v>110</v>
      </c>
      <c r="O5481" t="s">
        <v>111</v>
      </c>
      <c r="P5481" t="str">
        <f>"85249-7179"</f>
        <v>85249-7179</v>
      </c>
      <c r="Q5481" t="s">
        <v>113</v>
      </c>
      <c r="R5481" t="str">
        <f>"304-84-197"</f>
        <v>304-84-197</v>
      </c>
      <c r="S5481" t="s">
        <v>26089</v>
      </c>
      <c r="U5481">
        <v>3479</v>
      </c>
      <c r="V5481">
        <v>0</v>
      </c>
      <c r="W5481">
        <v>4</v>
      </c>
      <c r="X5481">
        <v>2003</v>
      </c>
      <c r="Z5481">
        <v>2</v>
      </c>
      <c r="AA5481" t="s">
        <v>26</v>
      </c>
      <c r="AB5481">
        <v>0</v>
      </c>
      <c r="AC5481" t="s">
        <v>115</v>
      </c>
      <c r="AD5481">
        <v>3</v>
      </c>
      <c r="AE5481" t="s">
        <v>115</v>
      </c>
      <c r="AF5481">
        <v>0</v>
      </c>
      <c r="AG5481">
        <v>0</v>
      </c>
      <c r="AH5481" t="s">
        <v>116</v>
      </c>
      <c r="AI5481" s="1">
        <v>61267</v>
      </c>
      <c r="AJ5481" s="2">
        <v>0.14000000000000001</v>
      </c>
      <c r="AK5481" s="1">
        <v>453807</v>
      </c>
      <c r="AL5481" t="s">
        <v>117</v>
      </c>
      <c r="AM5481" t="s">
        <v>118</v>
      </c>
      <c r="AN5481">
        <v>9914</v>
      </c>
      <c r="AO5481">
        <v>0.23</v>
      </c>
      <c r="AP5481">
        <v>1</v>
      </c>
      <c r="AR5481">
        <v>1</v>
      </c>
      <c r="AS5481" s="1">
        <v>31650</v>
      </c>
      <c r="AT5481" s="1">
        <v>6330</v>
      </c>
      <c r="AU5481" s="1">
        <v>25320</v>
      </c>
      <c r="AV5481">
        <v>80</v>
      </c>
      <c r="AX5481" s="1">
        <v>2957.6</v>
      </c>
      <c r="AY5481" t="s">
        <v>6269</v>
      </c>
      <c r="AZ5481" t="s">
        <v>273</v>
      </c>
      <c r="BA5481" t="s">
        <v>274</v>
      </c>
      <c r="BE5481" s="3">
        <v>42269</v>
      </c>
      <c r="BF5481" s="1">
        <v>380000</v>
      </c>
      <c r="BG5481" t="s">
        <v>33727</v>
      </c>
      <c r="BH5481" s="1">
        <v>109.23</v>
      </c>
      <c r="BI5481" s="1">
        <v>392540</v>
      </c>
      <c r="BJ5481" s="3">
        <v>42269</v>
      </c>
      <c r="BK5481" t="s">
        <v>123</v>
      </c>
      <c r="BL5481" t="str">
        <f>"2015.681833"</f>
        <v>2015.681833</v>
      </c>
      <c r="BM5481" t="s">
        <v>1837</v>
      </c>
      <c r="BO5481" t="s">
        <v>33728</v>
      </c>
      <c r="BS5481">
        <v>30</v>
      </c>
      <c r="BW5481" t="str">
        <f>""</f>
        <v/>
      </c>
      <c r="CH5481" t="str">
        <f>""</f>
        <v/>
      </c>
      <c r="CS5481" t="str">
        <f>""</f>
        <v/>
      </c>
    </row>
    <row r="5482" spans="1:97" x14ac:dyDescent="0.25">
      <c r="A5482" t="s">
        <v>33729</v>
      </c>
      <c r="B5482" t="s">
        <v>33730</v>
      </c>
      <c r="C5482" t="s">
        <v>1963</v>
      </c>
      <c r="D5482" t="s">
        <v>33730</v>
      </c>
      <c r="E5482" t="s">
        <v>33731</v>
      </c>
      <c r="F5482" t="s">
        <v>108</v>
      </c>
      <c r="H5482" t="s">
        <v>33732</v>
      </c>
      <c r="I5482" t="s">
        <v>144</v>
      </c>
      <c r="J5482" t="s">
        <v>111</v>
      </c>
      <c r="K5482" t="str">
        <f>"85326"</f>
        <v>85326</v>
      </c>
      <c r="L5482" t="s">
        <v>8146</v>
      </c>
      <c r="M5482" t="s">
        <v>33732</v>
      </c>
      <c r="N5482" t="s">
        <v>144</v>
      </c>
      <c r="O5482" t="s">
        <v>111</v>
      </c>
      <c r="P5482" t="str">
        <f>"85326-6624"</f>
        <v>85326-6624</v>
      </c>
      <c r="Q5482" t="s">
        <v>113</v>
      </c>
      <c r="R5482" t="str">
        <f>"502-35-441"</f>
        <v>502-35-441</v>
      </c>
      <c r="S5482" t="s">
        <v>10984</v>
      </c>
      <c r="U5482">
        <v>1895</v>
      </c>
      <c r="V5482">
        <v>0</v>
      </c>
      <c r="W5482">
        <v>4</v>
      </c>
      <c r="X5482">
        <v>2015</v>
      </c>
      <c r="Z5482">
        <v>1</v>
      </c>
      <c r="AB5482">
        <v>0</v>
      </c>
      <c r="AC5482" t="s">
        <v>115</v>
      </c>
      <c r="AD5482">
        <v>2</v>
      </c>
      <c r="AE5482" t="s">
        <v>115</v>
      </c>
      <c r="AF5482">
        <v>0</v>
      </c>
      <c r="AG5482">
        <v>0</v>
      </c>
      <c r="AH5482" t="s">
        <v>116</v>
      </c>
      <c r="AI5482" s="1">
        <v>19576</v>
      </c>
      <c r="AJ5482" s="2">
        <v>7.0000000000000007E-2</v>
      </c>
      <c r="AK5482" s="1">
        <v>273448</v>
      </c>
      <c r="AL5482" t="s">
        <v>117</v>
      </c>
      <c r="AM5482" t="s">
        <v>118</v>
      </c>
      <c r="AN5482">
        <v>7871</v>
      </c>
      <c r="AO5482">
        <v>0.18</v>
      </c>
      <c r="AR5482">
        <v>1</v>
      </c>
      <c r="AS5482" s="1">
        <v>18710</v>
      </c>
      <c r="AT5482" s="1">
        <v>3740</v>
      </c>
      <c r="AU5482" s="1">
        <v>14970</v>
      </c>
      <c r="AV5482">
        <v>80.010000000000005</v>
      </c>
      <c r="AX5482" s="1">
        <v>1518.44</v>
      </c>
      <c r="AY5482" t="s">
        <v>2767</v>
      </c>
      <c r="AZ5482" t="s">
        <v>2767</v>
      </c>
      <c r="BA5482" t="s">
        <v>5025</v>
      </c>
      <c r="BB5482" s="3">
        <v>42451</v>
      </c>
      <c r="BD5482" t="s">
        <v>842</v>
      </c>
      <c r="BE5482" s="3">
        <v>42390</v>
      </c>
      <c r="BF5482" s="1">
        <v>215872</v>
      </c>
      <c r="BG5482" t="s">
        <v>1079</v>
      </c>
      <c r="BH5482" s="1">
        <v>113.92</v>
      </c>
      <c r="BI5482" s="1">
        <v>215872</v>
      </c>
      <c r="BJ5482" s="3">
        <v>42390</v>
      </c>
      <c r="BK5482" t="s">
        <v>123</v>
      </c>
      <c r="BL5482" t="str">
        <f>"2016.40541"</f>
        <v>2016.40541</v>
      </c>
      <c r="BN5482" t="s">
        <v>33733</v>
      </c>
      <c r="BO5482" t="s">
        <v>33734</v>
      </c>
      <c r="BS5482">
        <v>30</v>
      </c>
      <c r="BT5482" s="1">
        <v>38000</v>
      </c>
      <c r="BU5482" s="3">
        <v>43419</v>
      </c>
      <c r="BV5482" t="s">
        <v>134</v>
      </c>
      <c r="BW5482" t="str">
        <f>"2018.848312"</f>
        <v>2018.848312</v>
      </c>
      <c r="BX5482" t="s">
        <v>1156</v>
      </c>
      <c r="BY5482" t="s">
        <v>1157</v>
      </c>
      <c r="BZ5482" t="s">
        <v>33735</v>
      </c>
      <c r="CA5482" t="s">
        <v>33736</v>
      </c>
      <c r="CC5482" t="s">
        <v>139</v>
      </c>
      <c r="CH5482" t="str">
        <f>""</f>
        <v/>
      </c>
      <c r="CS5482" t="str">
        <f>""</f>
        <v/>
      </c>
    </row>
    <row r="5483" spans="1:97" x14ac:dyDescent="0.25">
      <c r="A5483" t="s">
        <v>1140</v>
      </c>
      <c r="B5483" t="s">
        <v>10186</v>
      </c>
      <c r="C5483" t="s">
        <v>1850</v>
      </c>
      <c r="D5483" t="s">
        <v>10186</v>
      </c>
      <c r="E5483" t="s">
        <v>33737</v>
      </c>
      <c r="F5483" t="s">
        <v>108</v>
      </c>
      <c r="H5483" t="s">
        <v>33738</v>
      </c>
      <c r="I5483" t="s">
        <v>225</v>
      </c>
      <c r="J5483" t="s">
        <v>111</v>
      </c>
      <c r="K5483" t="str">
        <f>"85205"</f>
        <v>85205</v>
      </c>
      <c r="L5483" t="s">
        <v>6169</v>
      </c>
      <c r="M5483" t="s">
        <v>33738</v>
      </c>
      <c r="N5483" t="s">
        <v>225</v>
      </c>
      <c r="O5483" t="s">
        <v>111</v>
      </c>
      <c r="P5483" t="str">
        <f>"85205-3521"</f>
        <v>85205-3521</v>
      </c>
      <c r="Q5483" t="s">
        <v>113</v>
      </c>
      <c r="R5483" t="str">
        <f>"141-45-204"</f>
        <v>141-45-204</v>
      </c>
      <c r="S5483" t="s">
        <v>24807</v>
      </c>
      <c r="T5483" t="s">
        <v>24808</v>
      </c>
      <c r="U5483">
        <v>1981</v>
      </c>
      <c r="V5483">
        <v>0</v>
      </c>
      <c r="W5483">
        <v>3</v>
      </c>
      <c r="X5483">
        <v>1986</v>
      </c>
      <c r="Z5483">
        <v>1</v>
      </c>
      <c r="AB5483">
        <v>0</v>
      </c>
      <c r="AC5483" t="s">
        <v>115</v>
      </c>
      <c r="AD5483">
        <v>2</v>
      </c>
      <c r="AE5483" t="s">
        <v>115</v>
      </c>
      <c r="AF5483">
        <v>0</v>
      </c>
      <c r="AG5483">
        <v>0</v>
      </c>
      <c r="AH5483" t="s">
        <v>116</v>
      </c>
      <c r="AI5483" s="1">
        <v>56430</v>
      </c>
      <c r="AJ5483" s="2">
        <v>0.16</v>
      </c>
      <c r="AK5483" s="1">
        <v>343087</v>
      </c>
      <c r="AL5483" t="s">
        <v>117</v>
      </c>
      <c r="AM5483" t="s">
        <v>393</v>
      </c>
      <c r="AN5483">
        <v>7582</v>
      </c>
      <c r="AO5483">
        <v>0.17</v>
      </c>
      <c r="AP5483">
        <v>1</v>
      </c>
      <c r="AR5483">
        <v>1</v>
      </c>
      <c r="AS5483" s="1">
        <v>21330</v>
      </c>
      <c r="AT5483" s="1">
        <v>4260</v>
      </c>
      <c r="AU5483" s="1">
        <v>17070</v>
      </c>
      <c r="AV5483">
        <v>80.03</v>
      </c>
      <c r="AX5483" s="1">
        <v>1765.52</v>
      </c>
      <c r="AY5483" t="s">
        <v>5274</v>
      </c>
      <c r="AZ5483" t="s">
        <v>5275</v>
      </c>
      <c r="BA5483" t="s">
        <v>3119</v>
      </c>
      <c r="BE5483" s="3">
        <v>42528</v>
      </c>
      <c r="BF5483" s="1">
        <v>277500</v>
      </c>
      <c r="BG5483" t="s">
        <v>33739</v>
      </c>
      <c r="BH5483" s="1">
        <v>140.08000000000001</v>
      </c>
      <c r="BI5483" s="1">
        <v>286657</v>
      </c>
      <c r="BJ5483" s="3">
        <v>42528</v>
      </c>
      <c r="BK5483" t="s">
        <v>123</v>
      </c>
      <c r="BL5483" t="str">
        <f>"2016.393174"</f>
        <v>2016.393174</v>
      </c>
      <c r="BM5483" t="s">
        <v>150</v>
      </c>
      <c r="BO5483" t="s">
        <v>33740</v>
      </c>
      <c r="BS5483">
        <v>30</v>
      </c>
      <c r="BW5483" t="str">
        <f>""</f>
        <v/>
      </c>
      <c r="CH5483" t="str">
        <f>""</f>
        <v/>
      </c>
      <c r="CS5483" t="str">
        <f>""</f>
        <v/>
      </c>
    </row>
    <row r="5484" spans="1:97" x14ac:dyDescent="0.25">
      <c r="A5484" t="s">
        <v>177</v>
      </c>
      <c r="B5484" t="s">
        <v>33741</v>
      </c>
      <c r="C5484" t="s">
        <v>1857</v>
      </c>
      <c r="D5484" t="s">
        <v>33741</v>
      </c>
      <c r="E5484" t="s">
        <v>33742</v>
      </c>
      <c r="F5484" t="s">
        <v>108</v>
      </c>
      <c r="H5484" t="s">
        <v>33743</v>
      </c>
      <c r="I5484" t="s">
        <v>225</v>
      </c>
      <c r="J5484" t="s">
        <v>111</v>
      </c>
      <c r="K5484" t="str">
        <f>"85213"</f>
        <v>85213</v>
      </c>
      <c r="L5484" t="s">
        <v>4159</v>
      </c>
      <c r="M5484" t="s">
        <v>33743</v>
      </c>
      <c r="N5484" t="s">
        <v>225</v>
      </c>
      <c r="O5484" t="s">
        <v>111</v>
      </c>
      <c r="P5484" t="str">
        <f>"85213-1981"</f>
        <v>85213-1981</v>
      </c>
      <c r="Q5484" t="s">
        <v>113</v>
      </c>
      <c r="R5484" t="str">
        <f>"141-18-176"</f>
        <v>141-18-176</v>
      </c>
      <c r="S5484" t="s">
        <v>5667</v>
      </c>
      <c r="U5484">
        <v>1695</v>
      </c>
      <c r="V5484">
        <v>0</v>
      </c>
      <c r="W5484">
        <v>3</v>
      </c>
      <c r="X5484">
        <v>2015</v>
      </c>
      <c r="Z5484">
        <v>1</v>
      </c>
      <c r="AB5484">
        <v>0</v>
      </c>
      <c r="AC5484" t="s">
        <v>115</v>
      </c>
      <c r="AD5484">
        <v>2</v>
      </c>
      <c r="AE5484" t="s">
        <v>115</v>
      </c>
      <c r="AF5484">
        <v>0</v>
      </c>
      <c r="AG5484">
        <v>0</v>
      </c>
      <c r="AH5484" t="s">
        <v>116</v>
      </c>
      <c r="AI5484" s="1">
        <v>80974</v>
      </c>
      <c r="AJ5484" s="2">
        <v>0.24</v>
      </c>
      <c r="AK5484" s="1">
        <v>333952</v>
      </c>
      <c r="AL5484" t="s">
        <v>117</v>
      </c>
      <c r="AM5484" t="s">
        <v>917</v>
      </c>
      <c r="AN5484">
        <v>4750</v>
      </c>
      <c r="AO5484">
        <v>0.11</v>
      </c>
      <c r="AR5484">
        <v>1</v>
      </c>
      <c r="AS5484" s="1">
        <v>22270</v>
      </c>
      <c r="AT5484" s="1">
        <v>4450</v>
      </c>
      <c r="AU5484" s="1">
        <v>17820</v>
      </c>
      <c r="AV5484">
        <v>80.02</v>
      </c>
      <c r="AX5484" s="1">
        <v>1884.58</v>
      </c>
      <c r="AY5484" t="s">
        <v>4162</v>
      </c>
      <c r="AZ5484" t="s">
        <v>4163</v>
      </c>
      <c r="BA5484" t="s">
        <v>1524</v>
      </c>
      <c r="BE5484" s="3">
        <v>42270</v>
      </c>
      <c r="BF5484" s="1">
        <v>243966</v>
      </c>
      <c r="BG5484" t="s">
        <v>2842</v>
      </c>
      <c r="BH5484" s="1">
        <v>143.93</v>
      </c>
      <c r="BI5484" s="1">
        <v>252978</v>
      </c>
      <c r="BJ5484" s="3">
        <v>42598</v>
      </c>
      <c r="BK5484" t="s">
        <v>123</v>
      </c>
      <c r="BL5484" t="str">
        <f>"2016.583608"</f>
        <v>2016.583608</v>
      </c>
      <c r="BM5484" t="s">
        <v>709</v>
      </c>
      <c r="BO5484" t="s">
        <v>33744</v>
      </c>
      <c r="BS5484">
        <v>30</v>
      </c>
      <c r="BW5484" t="str">
        <f>""</f>
        <v/>
      </c>
      <c r="CH5484" t="str">
        <f>""</f>
        <v/>
      </c>
      <c r="CS5484" t="str">
        <f>""</f>
        <v/>
      </c>
    </row>
    <row r="5485" spans="1:97" x14ac:dyDescent="0.25">
      <c r="A5485" t="s">
        <v>33745</v>
      </c>
      <c r="B5485" t="s">
        <v>33746</v>
      </c>
      <c r="E5485" t="s">
        <v>33747</v>
      </c>
      <c r="F5485" t="s">
        <v>108</v>
      </c>
      <c r="H5485" t="s">
        <v>33748</v>
      </c>
      <c r="I5485" t="s">
        <v>5387</v>
      </c>
      <c r="J5485" t="s">
        <v>111</v>
      </c>
      <c r="K5485" t="str">
        <f>"85282"</f>
        <v>85282</v>
      </c>
      <c r="L5485" t="s">
        <v>5900</v>
      </c>
      <c r="M5485" t="s">
        <v>33748</v>
      </c>
      <c r="N5485" t="s">
        <v>5387</v>
      </c>
      <c r="O5485" t="s">
        <v>111</v>
      </c>
      <c r="P5485" t="str">
        <f>"85282-6031"</f>
        <v>85282-6031</v>
      </c>
      <c r="Q5485" t="s">
        <v>113</v>
      </c>
      <c r="R5485" t="str">
        <f>"134-44-191"</f>
        <v>134-44-191</v>
      </c>
      <c r="S5485" t="s">
        <v>33749</v>
      </c>
      <c r="T5485" t="s">
        <v>18799</v>
      </c>
      <c r="U5485">
        <v>1498</v>
      </c>
      <c r="V5485">
        <v>0</v>
      </c>
      <c r="W5485">
        <v>2</v>
      </c>
      <c r="X5485">
        <v>1971</v>
      </c>
      <c r="Z5485">
        <v>1</v>
      </c>
      <c r="AA5485" t="s">
        <v>26</v>
      </c>
      <c r="AB5485">
        <v>0</v>
      </c>
      <c r="AC5485" t="s">
        <v>5188</v>
      </c>
      <c r="AD5485">
        <v>2</v>
      </c>
      <c r="AE5485" t="s">
        <v>5188</v>
      </c>
      <c r="AF5485">
        <v>0</v>
      </c>
      <c r="AG5485">
        <v>0</v>
      </c>
      <c r="AH5485" t="s">
        <v>116</v>
      </c>
      <c r="AI5485" s="1">
        <v>46995</v>
      </c>
      <c r="AJ5485" s="2">
        <v>0.17</v>
      </c>
      <c r="AK5485" s="1">
        <v>281465</v>
      </c>
      <c r="AL5485" t="s">
        <v>117</v>
      </c>
      <c r="AM5485" t="s">
        <v>191</v>
      </c>
      <c r="AN5485">
        <v>6216</v>
      </c>
      <c r="AO5485">
        <v>0.14000000000000001</v>
      </c>
      <c r="AP5485">
        <v>1</v>
      </c>
      <c r="AR5485">
        <v>1</v>
      </c>
      <c r="AS5485" s="1">
        <v>19930</v>
      </c>
      <c r="AT5485" s="1">
        <v>3980</v>
      </c>
      <c r="AU5485" s="1">
        <v>15950</v>
      </c>
      <c r="AV5485">
        <v>80.03</v>
      </c>
      <c r="AX5485" s="1">
        <v>1428.4</v>
      </c>
      <c r="AY5485" t="s">
        <v>7849</v>
      </c>
      <c r="AZ5485" t="s">
        <v>7295</v>
      </c>
      <c r="BA5485" t="s">
        <v>5311</v>
      </c>
      <c r="BE5485" s="3">
        <v>42537</v>
      </c>
      <c r="BF5485" s="1">
        <v>232500</v>
      </c>
      <c r="BG5485" t="s">
        <v>33750</v>
      </c>
      <c r="BH5485" s="1">
        <v>155.21</v>
      </c>
      <c r="BI5485" s="1">
        <v>234470</v>
      </c>
      <c r="BJ5485" s="3">
        <v>42537</v>
      </c>
      <c r="BK5485" t="s">
        <v>123</v>
      </c>
      <c r="BL5485" t="str">
        <f>"2016.419352"</f>
        <v>2016.419352</v>
      </c>
      <c r="BM5485" t="s">
        <v>1185</v>
      </c>
      <c r="BO5485" t="s">
        <v>33751</v>
      </c>
      <c r="BS5485">
        <v>30</v>
      </c>
      <c r="BW5485" t="str">
        <f>""</f>
        <v/>
      </c>
      <c r="CH5485" t="str">
        <f>""</f>
        <v/>
      </c>
      <c r="CS5485" t="str">
        <f>""</f>
        <v/>
      </c>
    </row>
    <row r="5486" spans="1:97" x14ac:dyDescent="0.25">
      <c r="A5486" t="s">
        <v>524</v>
      </c>
      <c r="B5486" t="s">
        <v>33752</v>
      </c>
      <c r="E5486" t="s">
        <v>33753</v>
      </c>
      <c r="F5486" t="s">
        <v>108</v>
      </c>
      <c r="H5486" t="s">
        <v>33754</v>
      </c>
      <c r="I5486" t="s">
        <v>203</v>
      </c>
      <c r="J5486" t="s">
        <v>111</v>
      </c>
      <c r="K5486" t="str">
        <f>"85298"</f>
        <v>85298</v>
      </c>
      <c r="L5486" t="s">
        <v>6416</v>
      </c>
      <c r="M5486" t="s">
        <v>33754</v>
      </c>
      <c r="N5486" t="s">
        <v>203</v>
      </c>
      <c r="O5486" t="s">
        <v>111</v>
      </c>
      <c r="P5486" t="str">
        <f>"85298-8645"</f>
        <v>85298-8645</v>
      </c>
      <c r="Q5486" t="s">
        <v>113</v>
      </c>
      <c r="R5486" t="str">
        <f>"313-05-377"</f>
        <v>313-05-377</v>
      </c>
      <c r="S5486" t="s">
        <v>33755</v>
      </c>
      <c r="T5486" t="s">
        <v>33756</v>
      </c>
      <c r="U5486">
        <v>2551</v>
      </c>
      <c r="V5486">
        <v>0</v>
      </c>
      <c r="W5486">
        <v>4</v>
      </c>
      <c r="X5486">
        <v>2004</v>
      </c>
      <c r="Z5486">
        <v>1</v>
      </c>
      <c r="AA5486" t="s">
        <v>26</v>
      </c>
      <c r="AB5486">
        <v>0</v>
      </c>
      <c r="AC5486" t="s">
        <v>115</v>
      </c>
      <c r="AD5486">
        <v>2</v>
      </c>
      <c r="AE5486" t="s">
        <v>115</v>
      </c>
      <c r="AF5486">
        <v>0</v>
      </c>
      <c r="AG5486">
        <v>0</v>
      </c>
      <c r="AH5486" t="s">
        <v>116</v>
      </c>
      <c r="AI5486" s="1">
        <v>119230</v>
      </c>
      <c r="AJ5486" s="2">
        <v>0.25</v>
      </c>
      <c r="AK5486" s="1">
        <v>470881</v>
      </c>
      <c r="AL5486" t="s">
        <v>117</v>
      </c>
      <c r="AM5486" t="s">
        <v>191</v>
      </c>
      <c r="AN5486">
        <v>7589</v>
      </c>
      <c r="AO5486">
        <v>0.17</v>
      </c>
      <c r="AP5486">
        <v>1</v>
      </c>
      <c r="AR5486">
        <v>1</v>
      </c>
      <c r="AS5486" s="1">
        <v>33200</v>
      </c>
      <c r="AT5486" s="1">
        <v>6640</v>
      </c>
      <c r="AU5486" s="1">
        <v>26560</v>
      </c>
      <c r="AV5486">
        <v>80</v>
      </c>
      <c r="AX5486" s="1">
        <v>2924.32</v>
      </c>
      <c r="AY5486" t="s">
        <v>5792</v>
      </c>
      <c r="AZ5486" t="s">
        <v>5792</v>
      </c>
      <c r="BA5486" t="s">
        <v>290</v>
      </c>
      <c r="BB5486" s="3">
        <v>42489</v>
      </c>
      <c r="BD5486" t="s">
        <v>4063</v>
      </c>
      <c r="BE5486" s="3">
        <v>41865</v>
      </c>
      <c r="BF5486" s="1">
        <v>385900</v>
      </c>
      <c r="BG5486" t="s">
        <v>33757</v>
      </c>
      <c r="BH5486" s="1">
        <v>151.27000000000001</v>
      </c>
      <c r="BI5486" s="1">
        <v>351651</v>
      </c>
      <c r="BJ5486" s="3">
        <v>41865</v>
      </c>
      <c r="BK5486" t="s">
        <v>123</v>
      </c>
      <c r="BL5486" t="str">
        <f>"2014.535649"</f>
        <v>2014.535649</v>
      </c>
      <c r="BM5486" t="s">
        <v>5534</v>
      </c>
      <c r="BO5486" t="s">
        <v>33758</v>
      </c>
      <c r="BS5486">
        <v>30</v>
      </c>
      <c r="BW5486" t="str">
        <f>""</f>
        <v/>
      </c>
      <c r="CH5486" t="str">
        <f>""</f>
        <v/>
      </c>
      <c r="CS5486" t="str">
        <f>""</f>
        <v/>
      </c>
    </row>
    <row r="5487" spans="1:97" x14ac:dyDescent="0.25">
      <c r="A5487" t="s">
        <v>2319</v>
      </c>
      <c r="B5487" t="s">
        <v>1619</v>
      </c>
      <c r="E5487" t="s">
        <v>33759</v>
      </c>
      <c r="F5487" t="s">
        <v>282</v>
      </c>
      <c r="H5487" t="s">
        <v>33760</v>
      </c>
      <c r="I5487" t="s">
        <v>203</v>
      </c>
      <c r="J5487" t="s">
        <v>111</v>
      </c>
      <c r="K5487" t="str">
        <f>"85298"</f>
        <v>85298</v>
      </c>
      <c r="L5487" t="s">
        <v>721</v>
      </c>
      <c r="M5487" t="s">
        <v>33761</v>
      </c>
      <c r="N5487" t="s">
        <v>359</v>
      </c>
      <c r="O5487" t="s">
        <v>360</v>
      </c>
      <c r="P5487" t="str">
        <f>"92123-3717"</f>
        <v>92123-3717</v>
      </c>
      <c r="Q5487" t="s">
        <v>113</v>
      </c>
      <c r="R5487" t="str">
        <f>"304-79-294"</f>
        <v>304-79-294</v>
      </c>
      <c r="S5487" t="s">
        <v>7384</v>
      </c>
      <c r="T5487" t="s">
        <v>7384</v>
      </c>
      <c r="U5487">
        <v>3064</v>
      </c>
      <c r="V5487">
        <v>0</v>
      </c>
      <c r="W5487">
        <v>3</v>
      </c>
      <c r="X5487">
        <v>2004</v>
      </c>
      <c r="Z5487">
        <v>2</v>
      </c>
      <c r="AB5487">
        <v>0</v>
      </c>
      <c r="AC5487" t="s">
        <v>115</v>
      </c>
      <c r="AD5487">
        <v>3</v>
      </c>
      <c r="AE5487" t="s">
        <v>115</v>
      </c>
      <c r="AF5487">
        <v>0</v>
      </c>
      <c r="AG5487">
        <v>0</v>
      </c>
      <c r="AH5487" t="s">
        <v>116</v>
      </c>
      <c r="AI5487" s="1">
        <v>138787</v>
      </c>
      <c r="AJ5487" s="2">
        <v>0.37</v>
      </c>
      <c r="AK5487" s="1">
        <v>374659</v>
      </c>
      <c r="AL5487" t="s">
        <v>117</v>
      </c>
      <c r="AM5487" t="s">
        <v>191</v>
      </c>
      <c r="AN5487">
        <v>7800</v>
      </c>
      <c r="AO5487">
        <v>0.18</v>
      </c>
      <c r="AP5487">
        <v>1</v>
      </c>
      <c r="AR5487">
        <v>1</v>
      </c>
      <c r="AS5487" s="1">
        <v>26170</v>
      </c>
      <c r="AT5487" s="1">
        <v>5230</v>
      </c>
      <c r="AU5487" s="1">
        <v>20940</v>
      </c>
      <c r="AV5487">
        <v>80.02</v>
      </c>
      <c r="AX5487" s="1">
        <v>2545.6799999999998</v>
      </c>
      <c r="AY5487" t="s">
        <v>272</v>
      </c>
      <c r="AZ5487" t="s">
        <v>273</v>
      </c>
      <c r="BA5487" t="s">
        <v>274</v>
      </c>
      <c r="BE5487" s="3">
        <v>42230</v>
      </c>
      <c r="BF5487" s="1">
        <v>291200</v>
      </c>
      <c r="BG5487" t="s">
        <v>33762</v>
      </c>
      <c r="BH5487" s="1">
        <v>95.04</v>
      </c>
      <c r="BI5487" s="1">
        <v>235872</v>
      </c>
      <c r="BJ5487" s="3">
        <v>42230</v>
      </c>
      <c r="BK5487" t="s">
        <v>123</v>
      </c>
      <c r="BL5487" t="str">
        <f>"2015.591546"</f>
        <v>2015.591546</v>
      </c>
      <c r="BM5487" t="s">
        <v>1201</v>
      </c>
      <c r="BO5487" t="s">
        <v>33763</v>
      </c>
      <c r="BS5487">
        <v>30</v>
      </c>
      <c r="BW5487" t="str">
        <f>""</f>
        <v/>
      </c>
      <c r="CH5487" t="str">
        <f>""</f>
        <v/>
      </c>
      <c r="CS5487" t="str">
        <f>""</f>
        <v/>
      </c>
    </row>
    <row r="5488" spans="1:97" x14ac:dyDescent="0.25">
      <c r="A5488" t="s">
        <v>1040</v>
      </c>
      <c r="B5488" t="s">
        <v>13334</v>
      </c>
      <c r="E5488" t="s">
        <v>33764</v>
      </c>
      <c r="F5488" t="s">
        <v>108</v>
      </c>
      <c r="H5488" t="s">
        <v>33765</v>
      </c>
      <c r="I5488" t="s">
        <v>390</v>
      </c>
      <c r="J5488" t="s">
        <v>111</v>
      </c>
      <c r="K5488" t="str">
        <f>"85022"</f>
        <v>85022</v>
      </c>
      <c r="L5488" t="s">
        <v>2903</v>
      </c>
      <c r="M5488" t="s">
        <v>33765</v>
      </c>
      <c r="N5488" t="s">
        <v>390</v>
      </c>
      <c r="O5488" t="s">
        <v>111</v>
      </c>
      <c r="P5488" t="str">
        <f>"85022-3477"</f>
        <v>85022-3477</v>
      </c>
      <c r="Q5488" t="s">
        <v>113</v>
      </c>
      <c r="R5488" t="str">
        <f>"214-41-363"</f>
        <v>214-41-363</v>
      </c>
      <c r="S5488" t="s">
        <v>33766</v>
      </c>
      <c r="U5488">
        <v>1411</v>
      </c>
      <c r="V5488">
        <v>0</v>
      </c>
      <c r="W5488">
        <v>2</v>
      </c>
      <c r="X5488">
        <v>1976</v>
      </c>
      <c r="Z5488">
        <v>1</v>
      </c>
      <c r="AA5488" t="s">
        <v>26</v>
      </c>
      <c r="AB5488">
        <v>0</v>
      </c>
      <c r="AC5488" t="s">
        <v>115</v>
      </c>
      <c r="AD5488">
        <v>2</v>
      </c>
      <c r="AE5488" t="s">
        <v>115</v>
      </c>
      <c r="AF5488">
        <v>0</v>
      </c>
      <c r="AG5488">
        <v>0</v>
      </c>
      <c r="AH5488" t="s">
        <v>116</v>
      </c>
      <c r="AI5488" s="1">
        <v>75007</v>
      </c>
      <c r="AJ5488" s="2">
        <v>0.26</v>
      </c>
      <c r="AK5488" s="1">
        <v>285407</v>
      </c>
      <c r="AL5488" t="s">
        <v>117</v>
      </c>
      <c r="AM5488" t="s">
        <v>191</v>
      </c>
      <c r="AN5488">
        <v>10218</v>
      </c>
      <c r="AO5488">
        <v>0.24</v>
      </c>
      <c r="AP5488">
        <v>1</v>
      </c>
      <c r="AR5488">
        <v>1</v>
      </c>
      <c r="AS5488" s="1">
        <v>20870</v>
      </c>
      <c r="AT5488" s="1">
        <v>4170</v>
      </c>
      <c r="AU5488" s="1">
        <v>16700</v>
      </c>
      <c r="AV5488">
        <v>80.02</v>
      </c>
      <c r="AX5488" s="1">
        <v>1216.78</v>
      </c>
      <c r="AY5488" t="s">
        <v>5442</v>
      </c>
      <c r="AZ5488" t="s">
        <v>5231</v>
      </c>
      <c r="BA5488" t="s">
        <v>2551</v>
      </c>
      <c r="BE5488" s="3">
        <v>42097</v>
      </c>
      <c r="BF5488" s="1">
        <v>203000</v>
      </c>
      <c r="BG5488" t="s">
        <v>33767</v>
      </c>
      <c r="BH5488" s="1">
        <v>143.87</v>
      </c>
      <c r="BI5488" s="1">
        <v>210400</v>
      </c>
      <c r="BJ5488" s="3">
        <v>42579</v>
      </c>
      <c r="BK5488" t="s">
        <v>123</v>
      </c>
      <c r="BL5488" t="str">
        <f>"2016.533315"</f>
        <v>2016.533315</v>
      </c>
      <c r="BM5488" t="s">
        <v>903</v>
      </c>
      <c r="BO5488" t="s">
        <v>33768</v>
      </c>
      <c r="BS5488">
        <v>30</v>
      </c>
      <c r="BW5488" t="str">
        <f>""</f>
        <v/>
      </c>
      <c r="CH5488" t="str">
        <f>""</f>
        <v/>
      </c>
      <c r="CS5488" t="str">
        <f>""</f>
        <v/>
      </c>
    </row>
    <row r="5489" spans="1:97" x14ac:dyDescent="0.25">
      <c r="A5489" t="s">
        <v>177</v>
      </c>
      <c r="B5489" t="s">
        <v>19673</v>
      </c>
      <c r="E5489" t="s">
        <v>33769</v>
      </c>
      <c r="F5489" t="s">
        <v>108</v>
      </c>
      <c r="H5489" t="s">
        <v>33770</v>
      </c>
      <c r="I5489" t="s">
        <v>390</v>
      </c>
      <c r="J5489" t="s">
        <v>111</v>
      </c>
      <c r="K5489" t="str">
        <f>"85008"</f>
        <v>85008</v>
      </c>
      <c r="L5489" t="s">
        <v>5106</v>
      </c>
      <c r="M5489" t="s">
        <v>33770</v>
      </c>
      <c r="N5489" t="s">
        <v>390</v>
      </c>
      <c r="O5489" t="s">
        <v>111</v>
      </c>
      <c r="P5489" t="str">
        <f>"85008-4205"</f>
        <v>85008-4205</v>
      </c>
      <c r="Q5489" t="s">
        <v>113</v>
      </c>
      <c r="R5489" t="str">
        <f>"126-19-009"</f>
        <v>126-19-009</v>
      </c>
      <c r="S5489" t="s">
        <v>33771</v>
      </c>
      <c r="T5489" t="s">
        <v>33771</v>
      </c>
      <c r="U5489">
        <v>1596</v>
      </c>
      <c r="V5489">
        <v>0</v>
      </c>
      <c r="W5489">
        <v>2</v>
      </c>
      <c r="X5489">
        <v>1956</v>
      </c>
      <c r="Z5489">
        <v>1</v>
      </c>
      <c r="AA5489" t="s">
        <v>26</v>
      </c>
      <c r="AB5489">
        <v>0</v>
      </c>
      <c r="AC5489" t="s">
        <v>115</v>
      </c>
      <c r="AD5489">
        <v>1</v>
      </c>
      <c r="AE5489" t="s">
        <v>115</v>
      </c>
      <c r="AF5489">
        <v>0</v>
      </c>
      <c r="AG5489">
        <v>0</v>
      </c>
      <c r="AH5489" t="s">
        <v>116</v>
      </c>
      <c r="AI5489" s="1">
        <v>64278</v>
      </c>
      <c r="AJ5489" s="2">
        <v>0.2</v>
      </c>
      <c r="AK5489" s="1">
        <v>321478</v>
      </c>
      <c r="AL5489" t="s">
        <v>117</v>
      </c>
      <c r="AM5489" t="s">
        <v>191</v>
      </c>
      <c r="AN5489">
        <v>7065</v>
      </c>
      <c r="AO5489">
        <v>0.16</v>
      </c>
      <c r="AP5489">
        <v>1</v>
      </c>
      <c r="AR5489">
        <v>1</v>
      </c>
      <c r="AS5489" s="1">
        <v>21480</v>
      </c>
      <c r="AT5489" s="1">
        <v>4290</v>
      </c>
      <c r="AU5489" s="1">
        <v>17190</v>
      </c>
      <c r="AV5489">
        <v>80.03</v>
      </c>
      <c r="AX5489" s="1">
        <v>2233.3000000000002</v>
      </c>
      <c r="AY5489" t="s">
        <v>16394</v>
      </c>
      <c r="AZ5489" t="s">
        <v>16394</v>
      </c>
      <c r="BA5489" t="s">
        <v>6255</v>
      </c>
      <c r="BE5489" s="3">
        <v>42123</v>
      </c>
      <c r="BF5489" s="1">
        <v>205000</v>
      </c>
      <c r="BG5489" t="s">
        <v>33772</v>
      </c>
      <c r="BH5489" s="1">
        <v>128.44999999999999</v>
      </c>
      <c r="BI5489" s="1">
        <v>257200</v>
      </c>
      <c r="BJ5489" s="3">
        <v>43390</v>
      </c>
      <c r="BK5489" t="s">
        <v>123</v>
      </c>
      <c r="BL5489" t="str">
        <f>"2018.776885"</f>
        <v>2018.776885</v>
      </c>
      <c r="BM5489" t="s">
        <v>2042</v>
      </c>
      <c r="BN5489" t="s">
        <v>1575</v>
      </c>
      <c r="BO5489" t="s">
        <v>33773</v>
      </c>
      <c r="BR5489" t="s">
        <v>139</v>
      </c>
      <c r="BW5489" t="str">
        <f>""</f>
        <v/>
      </c>
      <c r="CH5489" t="str">
        <f>""</f>
        <v/>
      </c>
      <c r="CS5489" t="str">
        <f>""</f>
        <v/>
      </c>
    </row>
    <row r="5490" spans="1:97" x14ac:dyDescent="0.25">
      <c r="B5490" t="s">
        <v>33774</v>
      </c>
      <c r="E5490" t="s">
        <v>33775</v>
      </c>
      <c r="F5490" t="s">
        <v>139</v>
      </c>
      <c r="H5490" t="s">
        <v>33776</v>
      </c>
      <c r="I5490" t="s">
        <v>499</v>
      </c>
      <c r="J5490" t="s">
        <v>111</v>
      </c>
      <c r="K5490" t="str">
        <f>"85395"</f>
        <v>85395</v>
      </c>
      <c r="L5490" t="s">
        <v>541</v>
      </c>
      <c r="M5490" t="s">
        <v>33776</v>
      </c>
      <c r="N5490" t="s">
        <v>499</v>
      </c>
      <c r="O5490" t="s">
        <v>111</v>
      </c>
      <c r="P5490" t="str">
        <f>"85395-7587"</f>
        <v>85395-7587</v>
      </c>
      <c r="Q5490" t="s">
        <v>113</v>
      </c>
      <c r="R5490" t="str">
        <f>"508-11-480"</f>
        <v>508-11-480</v>
      </c>
      <c r="S5490" t="s">
        <v>5752</v>
      </c>
      <c r="T5490" t="s">
        <v>5753</v>
      </c>
      <c r="U5490">
        <v>3149</v>
      </c>
      <c r="V5490">
        <v>0</v>
      </c>
      <c r="W5490">
        <v>4</v>
      </c>
      <c r="X5490">
        <v>2013</v>
      </c>
      <c r="Z5490">
        <v>1</v>
      </c>
      <c r="AB5490">
        <v>0</v>
      </c>
      <c r="AC5490" t="s">
        <v>115</v>
      </c>
      <c r="AD5490">
        <v>3</v>
      </c>
      <c r="AE5490" t="s">
        <v>115</v>
      </c>
      <c r="AF5490">
        <v>0</v>
      </c>
      <c r="AG5490">
        <v>0</v>
      </c>
      <c r="AH5490" t="s">
        <v>116</v>
      </c>
      <c r="AI5490" s="1">
        <v>94962</v>
      </c>
      <c r="AJ5490" s="2">
        <v>0.2</v>
      </c>
      <c r="AK5490" s="1">
        <v>483962</v>
      </c>
      <c r="AL5490" t="s">
        <v>117</v>
      </c>
      <c r="AM5490" t="s">
        <v>118</v>
      </c>
      <c r="AN5490">
        <v>10800</v>
      </c>
      <c r="AO5490">
        <v>0.25</v>
      </c>
      <c r="AR5490">
        <v>1</v>
      </c>
      <c r="AS5490" s="1">
        <v>34970</v>
      </c>
      <c r="AT5490" s="1">
        <v>6990</v>
      </c>
      <c r="AU5490" s="1">
        <v>27980</v>
      </c>
      <c r="AV5490">
        <v>80.010000000000005</v>
      </c>
      <c r="AX5490" s="1">
        <v>3920.02</v>
      </c>
      <c r="AY5490" t="s">
        <v>3019</v>
      </c>
      <c r="AZ5490" t="s">
        <v>3020</v>
      </c>
      <c r="BA5490" t="s">
        <v>218</v>
      </c>
      <c r="BB5490" s="3">
        <v>43283</v>
      </c>
      <c r="BC5490" s="1">
        <v>0</v>
      </c>
      <c r="BD5490" t="s">
        <v>247</v>
      </c>
      <c r="BE5490" s="3">
        <v>42083</v>
      </c>
      <c r="BF5490" s="1">
        <v>389000</v>
      </c>
      <c r="BG5490" t="s">
        <v>33777</v>
      </c>
      <c r="BH5490" s="1">
        <v>127.5</v>
      </c>
      <c r="BI5490" s="1">
        <v>389000</v>
      </c>
      <c r="BJ5490" s="3">
        <v>42083</v>
      </c>
      <c r="BK5490" t="s">
        <v>123</v>
      </c>
      <c r="BL5490" t="str">
        <f>"2015.187533"</f>
        <v>2015.187533</v>
      </c>
      <c r="BM5490" t="s">
        <v>7311</v>
      </c>
      <c r="BN5490" t="s">
        <v>24335</v>
      </c>
      <c r="BO5490" t="s">
        <v>33778</v>
      </c>
      <c r="BP5490" t="s">
        <v>33779</v>
      </c>
      <c r="BS5490">
        <v>30</v>
      </c>
      <c r="BW5490" t="str">
        <f>""</f>
        <v/>
      </c>
      <c r="CH5490" t="str">
        <f>""</f>
        <v/>
      </c>
      <c r="CS5490" t="str">
        <f>""</f>
        <v/>
      </c>
    </row>
    <row r="5491" spans="1:97" x14ac:dyDescent="0.25">
      <c r="B5491" t="s">
        <v>33780</v>
      </c>
      <c r="E5491" t="s">
        <v>33233</v>
      </c>
      <c r="F5491" t="s">
        <v>108</v>
      </c>
      <c r="H5491" t="s">
        <v>33781</v>
      </c>
      <c r="I5491" t="s">
        <v>225</v>
      </c>
      <c r="J5491" t="s">
        <v>111</v>
      </c>
      <c r="K5491" t="str">
        <f>"85207"</f>
        <v>85207</v>
      </c>
      <c r="L5491" t="s">
        <v>3116</v>
      </c>
      <c r="M5491" t="s">
        <v>33781</v>
      </c>
      <c r="N5491" t="s">
        <v>225</v>
      </c>
      <c r="O5491" t="s">
        <v>111</v>
      </c>
      <c r="P5491" t="str">
        <f>"85207-3197"</f>
        <v>85207-3197</v>
      </c>
      <c r="Q5491" t="s">
        <v>113</v>
      </c>
      <c r="R5491" t="str">
        <f>"219-31-538"</f>
        <v>219-31-538</v>
      </c>
      <c r="S5491" t="s">
        <v>33782</v>
      </c>
      <c r="T5491" t="s">
        <v>33782</v>
      </c>
      <c r="U5491">
        <v>2145</v>
      </c>
      <c r="V5491">
        <v>0</v>
      </c>
      <c r="W5491">
        <v>4</v>
      </c>
      <c r="X5491">
        <v>2010</v>
      </c>
      <c r="Z5491">
        <v>1</v>
      </c>
      <c r="AA5491" t="s">
        <v>26</v>
      </c>
      <c r="AB5491">
        <v>0</v>
      </c>
      <c r="AC5491" t="s">
        <v>115</v>
      </c>
      <c r="AD5491">
        <v>2</v>
      </c>
      <c r="AE5491" t="s">
        <v>115</v>
      </c>
      <c r="AF5491">
        <v>0</v>
      </c>
      <c r="AG5491">
        <v>0</v>
      </c>
      <c r="AH5491" t="s">
        <v>116</v>
      </c>
      <c r="AI5491" s="1">
        <v>56673</v>
      </c>
      <c r="AJ5491" s="2">
        <v>0.12</v>
      </c>
      <c r="AK5491" s="1">
        <v>485173</v>
      </c>
      <c r="AL5491" t="s">
        <v>117</v>
      </c>
      <c r="AM5491" t="s">
        <v>1521</v>
      </c>
      <c r="AN5491">
        <v>8777</v>
      </c>
      <c r="AO5491">
        <v>0.2</v>
      </c>
      <c r="AR5491">
        <v>1</v>
      </c>
      <c r="AS5491" s="1">
        <v>35250</v>
      </c>
      <c r="AT5491" s="1">
        <v>7050</v>
      </c>
      <c r="AU5491" s="1">
        <v>28200</v>
      </c>
      <c r="AV5491">
        <v>80</v>
      </c>
      <c r="AX5491" s="1">
        <v>3380.1</v>
      </c>
      <c r="AY5491" t="s">
        <v>3118</v>
      </c>
      <c r="AZ5491" t="s">
        <v>231</v>
      </c>
      <c r="BA5491" t="s">
        <v>3119</v>
      </c>
      <c r="BB5491" s="3">
        <v>42704</v>
      </c>
      <c r="BD5491" t="s">
        <v>240</v>
      </c>
      <c r="BE5491" s="3">
        <v>42429</v>
      </c>
      <c r="BF5491" s="1">
        <v>430000</v>
      </c>
      <c r="BG5491" t="s">
        <v>33783</v>
      </c>
      <c r="BH5491" s="1">
        <v>200.47</v>
      </c>
      <c r="BI5491" s="1">
        <v>428500</v>
      </c>
      <c r="BJ5491" s="3">
        <v>42517</v>
      </c>
      <c r="BK5491" t="s">
        <v>123</v>
      </c>
      <c r="BL5491" t="str">
        <f>"2016.366460"</f>
        <v>2016.366460</v>
      </c>
      <c r="BM5491" t="s">
        <v>724</v>
      </c>
      <c r="BO5491" t="s">
        <v>33784</v>
      </c>
      <c r="BS5491">
        <v>30</v>
      </c>
      <c r="BW5491" t="str">
        <f>""</f>
        <v/>
      </c>
      <c r="CH5491" t="str">
        <f>""</f>
        <v/>
      </c>
      <c r="CS5491" t="str">
        <f>""</f>
        <v/>
      </c>
    </row>
    <row r="5492" spans="1:97" x14ac:dyDescent="0.25">
      <c r="A5492" t="s">
        <v>639</v>
      </c>
      <c r="B5492" t="s">
        <v>1733</v>
      </c>
      <c r="E5492" t="s">
        <v>33785</v>
      </c>
      <c r="F5492" t="s">
        <v>108</v>
      </c>
      <c r="H5492" t="s">
        <v>33786</v>
      </c>
      <c r="I5492" t="s">
        <v>225</v>
      </c>
      <c r="J5492" t="s">
        <v>111</v>
      </c>
      <c r="K5492" t="str">
        <f>"85206"</f>
        <v>85206</v>
      </c>
      <c r="L5492" t="s">
        <v>11566</v>
      </c>
      <c r="M5492" t="s">
        <v>33786</v>
      </c>
      <c r="N5492" t="s">
        <v>225</v>
      </c>
      <c r="O5492" t="s">
        <v>111</v>
      </c>
      <c r="P5492" t="str">
        <f>"85206-1058"</f>
        <v>85206-1058</v>
      </c>
      <c r="Q5492" t="s">
        <v>113</v>
      </c>
      <c r="R5492" t="str">
        <f>"140-38-510"</f>
        <v>140-38-510</v>
      </c>
      <c r="S5492" t="s">
        <v>33787</v>
      </c>
      <c r="T5492" t="s">
        <v>33788</v>
      </c>
      <c r="U5492">
        <v>2173</v>
      </c>
      <c r="V5492">
        <v>0</v>
      </c>
      <c r="W5492">
        <v>4</v>
      </c>
      <c r="X5492">
        <v>1991</v>
      </c>
      <c r="Z5492">
        <v>2</v>
      </c>
      <c r="AB5492">
        <v>0</v>
      </c>
      <c r="AC5492" t="s">
        <v>115</v>
      </c>
      <c r="AD5492">
        <v>2</v>
      </c>
      <c r="AE5492" t="s">
        <v>115</v>
      </c>
      <c r="AF5492">
        <v>0</v>
      </c>
      <c r="AG5492">
        <v>0</v>
      </c>
      <c r="AH5492" t="s">
        <v>116</v>
      </c>
      <c r="AI5492" s="1">
        <v>50105</v>
      </c>
      <c r="AJ5492" s="2">
        <v>0.17</v>
      </c>
      <c r="AK5492" s="1">
        <v>290157</v>
      </c>
      <c r="AL5492" t="s">
        <v>117</v>
      </c>
      <c r="AM5492" t="s">
        <v>191</v>
      </c>
      <c r="AN5492">
        <v>4435</v>
      </c>
      <c r="AO5492">
        <v>0.1</v>
      </c>
      <c r="AP5492">
        <v>1</v>
      </c>
      <c r="AR5492">
        <v>1</v>
      </c>
      <c r="AS5492" s="1">
        <v>19670</v>
      </c>
      <c r="AT5492" s="1">
        <v>3930</v>
      </c>
      <c r="AU5492" s="1">
        <v>15740</v>
      </c>
      <c r="AV5492">
        <v>80.02</v>
      </c>
      <c r="AX5492" s="1">
        <v>1295.5</v>
      </c>
      <c r="AY5492" t="s">
        <v>9360</v>
      </c>
      <c r="AZ5492" t="s">
        <v>5158</v>
      </c>
      <c r="BA5492" t="s">
        <v>5159</v>
      </c>
      <c r="BE5492" s="3">
        <v>42552</v>
      </c>
      <c r="BF5492" s="1">
        <v>235000</v>
      </c>
      <c r="BG5492" t="s">
        <v>33789</v>
      </c>
      <c r="BH5492" s="1">
        <v>108.15</v>
      </c>
      <c r="BI5492" s="1">
        <v>240052</v>
      </c>
      <c r="BJ5492" s="3">
        <v>42552</v>
      </c>
      <c r="BK5492" t="s">
        <v>123</v>
      </c>
      <c r="BL5492" t="str">
        <f>"2016.467512"</f>
        <v>2016.467512</v>
      </c>
      <c r="BM5492" t="s">
        <v>175</v>
      </c>
      <c r="BO5492" t="s">
        <v>33790</v>
      </c>
      <c r="BS5492">
        <v>30</v>
      </c>
      <c r="BW5492" t="str">
        <f>""</f>
        <v/>
      </c>
      <c r="CH5492" t="str">
        <f>""</f>
        <v/>
      </c>
      <c r="CS5492" t="str">
        <f>""</f>
        <v/>
      </c>
    </row>
    <row r="5493" spans="1:97" x14ac:dyDescent="0.25">
      <c r="A5493" t="s">
        <v>1979</v>
      </c>
      <c r="B5493" t="s">
        <v>25640</v>
      </c>
      <c r="C5493" t="s">
        <v>154</v>
      </c>
      <c r="D5493" t="s">
        <v>25640</v>
      </c>
      <c r="E5493" t="s">
        <v>33791</v>
      </c>
      <c r="F5493" t="s">
        <v>108</v>
      </c>
      <c r="H5493" t="s">
        <v>33792</v>
      </c>
      <c r="I5493" t="s">
        <v>225</v>
      </c>
      <c r="J5493" t="s">
        <v>111</v>
      </c>
      <c r="K5493" t="str">
        <f>"85213"</f>
        <v>85213</v>
      </c>
      <c r="L5493" t="s">
        <v>6631</v>
      </c>
      <c r="M5493" t="s">
        <v>33792</v>
      </c>
      <c r="N5493" t="s">
        <v>225</v>
      </c>
      <c r="O5493" t="s">
        <v>111</v>
      </c>
      <c r="P5493" t="str">
        <f>"85213-5336"</f>
        <v>85213-5336</v>
      </c>
      <c r="Q5493" t="s">
        <v>113</v>
      </c>
      <c r="R5493" t="str">
        <f>"140-07-338"</f>
        <v>140-07-338</v>
      </c>
      <c r="S5493" t="s">
        <v>22611</v>
      </c>
      <c r="T5493" t="s">
        <v>22611</v>
      </c>
      <c r="U5493">
        <v>2260</v>
      </c>
      <c r="V5493">
        <v>0</v>
      </c>
      <c r="W5493">
        <v>3</v>
      </c>
      <c r="X5493">
        <v>1983</v>
      </c>
      <c r="Z5493">
        <v>1</v>
      </c>
      <c r="AA5493" t="s">
        <v>26</v>
      </c>
      <c r="AB5493">
        <v>0</v>
      </c>
      <c r="AC5493" t="s">
        <v>115</v>
      </c>
      <c r="AD5493">
        <v>3</v>
      </c>
      <c r="AE5493" t="s">
        <v>115</v>
      </c>
      <c r="AF5493">
        <v>0</v>
      </c>
      <c r="AG5493">
        <v>0</v>
      </c>
      <c r="AH5493" t="s">
        <v>116</v>
      </c>
      <c r="AI5493" s="1">
        <v>86722</v>
      </c>
      <c r="AJ5493" s="2">
        <v>0.24</v>
      </c>
      <c r="AK5493" s="1">
        <v>354253</v>
      </c>
      <c r="AL5493" t="s">
        <v>117</v>
      </c>
      <c r="AM5493" t="s">
        <v>917</v>
      </c>
      <c r="AN5493">
        <v>9269</v>
      </c>
      <c r="AO5493">
        <v>0.21</v>
      </c>
      <c r="AP5493">
        <v>1</v>
      </c>
      <c r="AR5493">
        <v>1</v>
      </c>
      <c r="AS5493" s="1">
        <v>25680</v>
      </c>
      <c r="AT5493" s="1">
        <v>5130</v>
      </c>
      <c r="AU5493" s="1">
        <v>20550</v>
      </c>
      <c r="AV5493">
        <v>80.02</v>
      </c>
      <c r="AX5493" s="1">
        <v>2165.86</v>
      </c>
      <c r="AY5493" t="s">
        <v>9091</v>
      </c>
      <c r="AZ5493" t="s">
        <v>1523</v>
      </c>
      <c r="BA5493" t="s">
        <v>1524</v>
      </c>
      <c r="BE5493" s="3">
        <v>42338</v>
      </c>
      <c r="BF5493" s="1">
        <v>257000</v>
      </c>
      <c r="BG5493" t="s">
        <v>33793</v>
      </c>
      <c r="BH5493" s="1">
        <v>113.72</v>
      </c>
      <c r="BI5493" s="1">
        <v>267531</v>
      </c>
      <c r="BJ5493" s="3">
        <v>42545</v>
      </c>
      <c r="BK5493" t="s">
        <v>123</v>
      </c>
      <c r="BL5493" t="str">
        <f>"2016.441298"</f>
        <v>2016.441298</v>
      </c>
      <c r="BM5493" t="s">
        <v>1707</v>
      </c>
      <c r="BO5493" t="s">
        <v>33794</v>
      </c>
      <c r="BS5493">
        <v>32</v>
      </c>
      <c r="BW5493" t="str">
        <f>""</f>
        <v/>
      </c>
      <c r="CH5493" t="str">
        <f>""</f>
        <v/>
      </c>
      <c r="CS5493" t="str">
        <f>""</f>
        <v/>
      </c>
    </row>
    <row r="5494" spans="1:97" x14ac:dyDescent="0.25">
      <c r="A5494" t="s">
        <v>177</v>
      </c>
      <c r="B5494" t="s">
        <v>33795</v>
      </c>
      <c r="E5494" t="s">
        <v>33796</v>
      </c>
      <c r="F5494" t="s">
        <v>108</v>
      </c>
      <c r="H5494" t="s">
        <v>33797</v>
      </c>
      <c r="I5494" t="s">
        <v>632</v>
      </c>
      <c r="J5494" t="s">
        <v>111</v>
      </c>
      <c r="K5494" t="str">
        <f>"85387"</f>
        <v>85387</v>
      </c>
      <c r="L5494" t="s">
        <v>6529</v>
      </c>
      <c r="M5494" t="s">
        <v>33797</v>
      </c>
      <c r="N5494" t="s">
        <v>632</v>
      </c>
      <c r="O5494" t="s">
        <v>111</v>
      </c>
      <c r="P5494" t="str">
        <f>"85387-3446"</f>
        <v>85387-3446</v>
      </c>
      <c r="Q5494" t="s">
        <v>113</v>
      </c>
      <c r="R5494" t="str">
        <f>"503-96-918"</f>
        <v>503-96-918</v>
      </c>
      <c r="S5494" t="s">
        <v>17655</v>
      </c>
      <c r="T5494" t="s">
        <v>5498</v>
      </c>
      <c r="U5494">
        <v>2885</v>
      </c>
      <c r="V5494">
        <v>0</v>
      </c>
      <c r="W5494">
        <v>4</v>
      </c>
      <c r="X5494">
        <v>2014</v>
      </c>
      <c r="Z5494">
        <v>2</v>
      </c>
      <c r="AB5494">
        <v>0</v>
      </c>
      <c r="AC5494" t="s">
        <v>115</v>
      </c>
      <c r="AD5494">
        <v>2</v>
      </c>
      <c r="AE5494" t="s">
        <v>115</v>
      </c>
      <c r="AF5494">
        <v>0</v>
      </c>
      <c r="AG5494">
        <v>0</v>
      </c>
      <c r="AH5494" t="s">
        <v>116</v>
      </c>
      <c r="AI5494" s="1">
        <v>90690</v>
      </c>
      <c r="AJ5494" s="2">
        <v>0.26</v>
      </c>
      <c r="AK5494" s="1">
        <v>345190</v>
      </c>
      <c r="AL5494" t="s">
        <v>117</v>
      </c>
      <c r="AM5494" t="s">
        <v>118</v>
      </c>
      <c r="AN5494">
        <v>8400</v>
      </c>
      <c r="AO5494">
        <v>0.19</v>
      </c>
      <c r="AR5494">
        <v>1</v>
      </c>
      <c r="AS5494" s="1">
        <v>25760</v>
      </c>
      <c r="AT5494" s="1">
        <v>5150</v>
      </c>
      <c r="AU5494" s="1">
        <v>20610</v>
      </c>
      <c r="AV5494">
        <v>80.010000000000005</v>
      </c>
      <c r="AX5494" s="1">
        <v>1308.1199999999999</v>
      </c>
      <c r="AY5494" t="s">
        <v>5499</v>
      </c>
      <c r="AZ5494" t="s">
        <v>5499</v>
      </c>
      <c r="BE5494" s="3">
        <v>41914</v>
      </c>
      <c r="BF5494" s="1">
        <v>255777</v>
      </c>
      <c r="BG5494" t="s">
        <v>446</v>
      </c>
      <c r="BH5494" s="1">
        <v>88.66</v>
      </c>
      <c r="BI5494" s="1">
        <v>254500</v>
      </c>
      <c r="BJ5494" s="3">
        <v>42529</v>
      </c>
      <c r="BK5494" t="s">
        <v>123</v>
      </c>
      <c r="BL5494" t="str">
        <f>"2016.394270"</f>
        <v>2016.394270</v>
      </c>
      <c r="BM5494" t="s">
        <v>750</v>
      </c>
      <c r="BO5494" t="s">
        <v>33798</v>
      </c>
      <c r="BS5494">
        <v>30</v>
      </c>
      <c r="BW5494" t="str">
        <f>""</f>
        <v/>
      </c>
      <c r="CH5494" t="str">
        <f>""</f>
        <v/>
      </c>
      <c r="CS5494" t="str">
        <f>""</f>
        <v/>
      </c>
    </row>
    <row r="5495" spans="1:97" x14ac:dyDescent="0.25">
      <c r="A5495" t="s">
        <v>370</v>
      </c>
      <c r="B5495" t="s">
        <v>4197</v>
      </c>
      <c r="E5495" t="s">
        <v>33799</v>
      </c>
      <c r="F5495" t="s">
        <v>108</v>
      </c>
      <c r="H5495" t="s">
        <v>33800</v>
      </c>
      <c r="I5495" t="s">
        <v>110</v>
      </c>
      <c r="J5495" t="s">
        <v>111</v>
      </c>
      <c r="K5495" t="str">
        <f>"85249"</f>
        <v>85249</v>
      </c>
      <c r="L5495" t="s">
        <v>3645</v>
      </c>
      <c r="M5495" t="s">
        <v>33800</v>
      </c>
      <c r="N5495" t="s">
        <v>110</v>
      </c>
      <c r="O5495" t="s">
        <v>111</v>
      </c>
      <c r="P5495" t="str">
        <f>"85249-3570"</f>
        <v>85249-3570</v>
      </c>
      <c r="Q5495" t="s">
        <v>113</v>
      </c>
      <c r="R5495" t="str">
        <f>"303-55-363"</f>
        <v>303-55-363</v>
      </c>
      <c r="S5495" t="s">
        <v>20175</v>
      </c>
      <c r="T5495" t="s">
        <v>20175</v>
      </c>
      <c r="U5495">
        <v>3517</v>
      </c>
      <c r="V5495">
        <v>0</v>
      </c>
      <c r="W5495">
        <v>4</v>
      </c>
      <c r="X5495">
        <v>2004</v>
      </c>
      <c r="Z5495">
        <v>2</v>
      </c>
      <c r="AA5495" t="s">
        <v>26</v>
      </c>
      <c r="AB5495">
        <v>0</v>
      </c>
      <c r="AC5495" t="s">
        <v>115</v>
      </c>
      <c r="AD5495">
        <v>3</v>
      </c>
      <c r="AE5495" t="s">
        <v>115</v>
      </c>
      <c r="AF5495">
        <v>0</v>
      </c>
      <c r="AG5495">
        <v>0</v>
      </c>
      <c r="AH5495" t="s">
        <v>116</v>
      </c>
      <c r="AI5495" s="1">
        <v>136444</v>
      </c>
      <c r="AJ5495" s="2">
        <v>0.28999999999999998</v>
      </c>
      <c r="AK5495" s="1">
        <v>468444</v>
      </c>
      <c r="AL5495" t="s">
        <v>117</v>
      </c>
      <c r="AM5495" t="s">
        <v>118</v>
      </c>
      <c r="AN5495">
        <v>7869</v>
      </c>
      <c r="AO5495">
        <v>0.18</v>
      </c>
      <c r="AP5495">
        <v>1</v>
      </c>
      <c r="AR5495">
        <v>1</v>
      </c>
      <c r="AS5495" s="1">
        <v>31720</v>
      </c>
      <c r="AT5495" s="1">
        <v>6340</v>
      </c>
      <c r="AU5495" s="1">
        <v>25380</v>
      </c>
      <c r="AV5495">
        <v>80.010000000000005</v>
      </c>
      <c r="AX5495" s="1">
        <v>2800.18</v>
      </c>
      <c r="AY5495" t="s">
        <v>5050</v>
      </c>
      <c r="AZ5495" t="s">
        <v>120</v>
      </c>
      <c r="BA5495" t="s">
        <v>274</v>
      </c>
      <c r="BE5495" s="3">
        <v>42139</v>
      </c>
      <c r="BF5495" s="1">
        <v>332000</v>
      </c>
      <c r="BG5495" t="s">
        <v>7517</v>
      </c>
      <c r="BH5495" s="1">
        <v>94.4</v>
      </c>
      <c r="BI5495" s="1">
        <v>332000</v>
      </c>
      <c r="BJ5495" s="3">
        <v>42139</v>
      </c>
      <c r="BK5495" t="s">
        <v>123</v>
      </c>
      <c r="BL5495" t="str">
        <f>"2015.342393"</f>
        <v>2015.342393</v>
      </c>
      <c r="BM5495" t="s">
        <v>4014</v>
      </c>
      <c r="BO5495" t="s">
        <v>33801</v>
      </c>
      <c r="BS5495">
        <v>30</v>
      </c>
      <c r="BW5495" t="str">
        <f>""</f>
        <v/>
      </c>
      <c r="CH5495" t="str">
        <f>""</f>
        <v/>
      </c>
      <c r="CS5495" t="str">
        <f>""</f>
        <v/>
      </c>
    </row>
    <row r="5496" spans="1:97" x14ac:dyDescent="0.25">
      <c r="A5496" t="s">
        <v>691</v>
      </c>
      <c r="B5496" t="s">
        <v>32037</v>
      </c>
      <c r="C5496" t="s">
        <v>412</v>
      </c>
      <c r="D5496" t="s">
        <v>32037</v>
      </c>
      <c r="E5496" t="s">
        <v>33802</v>
      </c>
      <c r="F5496" t="s">
        <v>108</v>
      </c>
      <c r="H5496" t="s">
        <v>33803</v>
      </c>
      <c r="I5496" t="s">
        <v>390</v>
      </c>
      <c r="J5496" t="s">
        <v>111</v>
      </c>
      <c r="K5496" t="str">
        <f>"85083"</f>
        <v>85083</v>
      </c>
      <c r="L5496" t="s">
        <v>20602</v>
      </c>
      <c r="M5496" t="s">
        <v>33803</v>
      </c>
      <c r="N5496" t="s">
        <v>390</v>
      </c>
      <c r="O5496" t="s">
        <v>111</v>
      </c>
      <c r="P5496" t="str">
        <f>"85083"</f>
        <v>85083</v>
      </c>
      <c r="Q5496" t="s">
        <v>113</v>
      </c>
      <c r="R5496" t="str">
        <f>"205-06-125"</f>
        <v>205-06-125</v>
      </c>
      <c r="S5496" t="s">
        <v>33804</v>
      </c>
      <c r="T5496" t="s">
        <v>33805</v>
      </c>
      <c r="U5496">
        <v>2120</v>
      </c>
      <c r="V5496">
        <v>0</v>
      </c>
      <c r="W5496">
        <v>3</v>
      </c>
      <c r="X5496">
        <v>2003</v>
      </c>
      <c r="Z5496">
        <v>1</v>
      </c>
      <c r="AA5496" t="s">
        <v>26</v>
      </c>
      <c r="AB5496">
        <v>0</v>
      </c>
      <c r="AC5496" t="s">
        <v>115</v>
      </c>
      <c r="AD5496">
        <v>3</v>
      </c>
      <c r="AE5496" t="s">
        <v>115</v>
      </c>
      <c r="AF5496">
        <v>0</v>
      </c>
      <c r="AG5496">
        <v>0</v>
      </c>
      <c r="AH5496" t="s">
        <v>116</v>
      </c>
      <c r="AI5496" s="1">
        <v>131076</v>
      </c>
      <c r="AJ5496" s="2">
        <v>0.37</v>
      </c>
      <c r="AK5496" s="1">
        <v>356076</v>
      </c>
      <c r="AL5496" t="s">
        <v>117</v>
      </c>
      <c r="AM5496" t="s">
        <v>616</v>
      </c>
      <c r="AN5496">
        <v>7358</v>
      </c>
      <c r="AO5496">
        <v>0.17</v>
      </c>
      <c r="AP5496">
        <v>1</v>
      </c>
      <c r="AR5496">
        <v>1</v>
      </c>
      <c r="AS5496" s="1">
        <v>26670</v>
      </c>
      <c r="AT5496" s="1">
        <v>5330</v>
      </c>
      <c r="AU5496" s="1">
        <v>21340</v>
      </c>
      <c r="AV5496">
        <v>80.010000000000005</v>
      </c>
      <c r="AX5496" s="1">
        <v>2521.2800000000002</v>
      </c>
      <c r="AY5496" t="s">
        <v>3522</v>
      </c>
      <c r="AZ5496" t="s">
        <v>3522</v>
      </c>
      <c r="BA5496" t="s">
        <v>1386</v>
      </c>
      <c r="BE5496" s="3">
        <v>42521</v>
      </c>
      <c r="BF5496" s="1">
        <v>295000</v>
      </c>
      <c r="BG5496" t="s">
        <v>33806</v>
      </c>
      <c r="BH5496" s="1">
        <v>139.15</v>
      </c>
      <c r="BI5496" s="1">
        <v>225000</v>
      </c>
      <c r="BJ5496" s="3">
        <v>42521</v>
      </c>
      <c r="BK5496" t="s">
        <v>123</v>
      </c>
      <c r="BL5496" t="str">
        <f>"2016.371822"</f>
        <v>2016.371822</v>
      </c>
      <c r="BM5496" t="s">
        <v>135</v>
      </c>
      <c r="BO5496" t="s">
        <v>33807</v>
      </c>
      <c r="BS5496">
        <v>30</v>
      </c>
      <c r="BW5496" t="str">
        <f>""</f>
        <v/>
      </c>
      <c r="CH5496" t="str">
        <f>""</f>
        <v/>
      </c>
      <c r="CS5496" t="str">
        <f>""</f>
        <v/>
      </c>
    </row>
    <row r="5497" spans="1:97" x14ac:dyDescent="0.25">
      <c r="A5497" t="s">
        <v>259</v>
      </c>
      <c r="B5497" t="s">
        <v>33808</v>
      </c>
      <c r="E5497" t="s">
        <v>33809</v>
      </c>
      <c r="F5497" t="s">
        <v>108</v>
      </c>
      <c r="H5497" t="s">
        <v>33810</v>
      </c>
      <c r="I5497" t="s">
        <v>499</v>
      </c>
      <c r="J5497" t="s">
        <v>111</v>
      </c>
      <c r="K5497" t="str">
        <f>"85395"</f>
        <v>85395</v>
      </c>
      <c r="L5497" t="s">
        <v>6145</v>
      </c>
      <c r="M5497" t="s">
        <v>33810</v>
      </c>
      <c r="N5497" t="s">
        <v>499</v>
      </c>
      <c r="O5497" t="s">
        <v>111</v>
      </c>
      <c r="P5497" t="str">
        <f>"85395-2198"</f>
        <v>85395-2198</v>
      </c>
      <c r="Q5497" t="s">
        <v>113</v>
      </c>
      <c r="R5497" t="str">
        <f>"501-75-645"</f>
        <v>501-75-645</v>
      </c>
      <c r="S5497" t="s">
        <v>33811</v>
      </c>
      <c r="T5497" t="s">
        <v>3061</v>
      </c>
      <c r="U5497">
        <v>1683</v>
      </c>
      <c r="V5497">
        <v>0</v>
      </c>
      <c r="W5497">
        <v>3</v>
      </c>
      <c r="X5497">
        <v>1998</v>
      </c>
      <c r="Z5497">
        <v>2</v>
      </c>
      <c r="AB5497">
        <v>0</v>
      </c>
      <c r="AC5497" t="s">
        <v>115</v>
      </c>
      <c r="AD5497">
        <v>2</v>
      </c>
      <c r="AE5497" t="s">
        <v>115</v>
      </c>
      <c r="AF5497">
        <v>0</v>
      </c>
      <c r="AG5497">
        <v>0</v>
      </c>
      <c r="AH5497" t="s">
        <v>116</v>
      </c>
      <c r="AI5497" s="1">
        <v>33364</v>
      </c>
      <c r="AJ5497" s="2">
        <v>0.13</v>
      </c>
      <c r="AK5497" s="1">
        <v>249922</v>
      </c>
      <c r="AL5497" t="s">
        <v>117</v>
      </c>
      <c r="AM5497" t="s">
        <v>118</v>
      </c>
      <c r="AN5497">
        <v>5160</v>
      </c>
      <c r="AO5497">
        <v>0.12</v>
      </c>
      <c r="AP5497">
        <v>1</v>
      </c>
      <c r="AR5497">
        <v>1</v>
      </c>
      <c r="AS5497" s="1">
        <v>16350</v>
      </c>
      <c r="AT5497" s="1">
        <v>3270</v>
      </c>
      <c r="AU5497" s="1">
        <v>13080</v>
      </c>
      <c r="AV5497">
        <v>80</v>
      </c>
      <c r="AX5497" s="1">
        <v>1599.22</v>
      </c>
      <c r="AY5497" t="s">
        <v>6796</v>
      </c>
      <c r="AZ5497" t="s">
        <v>6796</v>
      </c>
      <c r="BA5497" t="s">
        <v>3154</v>
      </c>
      <c r="BE5497" s="3">
        <v>42480</v>
      </c>
      <c r="BF5497" s="1">
        <v>212000</v>
      </c>
      <c r="BG5497" t="s">
        <v>33812</v>
      </c>
      <c r="BH5497" s="1">
        <v>125.97</v>
      </c>
      <c r="BI5497" s="1">
        <v>216558</v>
      </c>
      <c r="BJ5497" s="3">
        <v>42480</v>
      </c>
      <c r="BK5497" t="s">
        <v>123</v>
      </c>
      <c r="BL5497" t="str">
        <f>"2016.265165"</f>
        <v>2016.265165</v>
      </c>
      <c r="BM5497" t="s">
        <v>594</v>
      </c>
      <c r="BO5497" t="s">
        <v>33813</v>
      </c>
      <c r="BS5497">
        <v>30</v>
      </c>
      <c r="BW5497" t="str">
        <f>""</f>
        <v/>
      </c>
      <c r="CH5497" t="str">
        <f>""</f>
        <v/>
      </c>
      <c r="CS5497" t="str">
        <f>""</f>
        <v/>
      </c>
    </row>
    <row r="5498" spans="1:97" x14ac:dyDescent="0.25">
      <c r="B5498" t="s">
        <v>33814</v>
      </c>
      <c r="C5498" t="s">
        <v>933</v>
      </c>
      <c r="E5498" t="s">
        <v>33815</v>
      </c>
      <c r="F5498" t="s">
        <v>108</v>
      </c>
      <c r="H5498" t="s">
        <v>33816</v>
      </c>
      <c r="I5498" t="s">
        <v>1936</v>
      </c>
      <c r="J5498" t="s">
        <v>111</v>
      </c>
      <c r="K5498" t="str">
        <f>"85260"</f>
        <v>85260</v>
      </c>
      <c r="L5498" t="s">
        <v>7005</v>
      </c>
      <c r="M5498" t="s">
        <v>33816</v>
      </c>
      <c r="N5498" t="s">
        <v>1936</v>
      </c>
      <c r="O5498" t="s">
        <v>111</v>
      </c>
      <c r="P5498" t="str">
        <f>"85260-6147"</f>
        <v>85260-6147</v>
      </c>
      <c r="Q5498" t="s">
        <v>113</v>
      </c>
      <c r="R5498" t="str">
        <f>"217-48-049"</f>
        <v>217-48-049</v>
      </c>
      <c r="S5498" t="s">
        <v>33817</v>
      </c>
      <c r="T5498" t="s">
        <v>33818</v>
      </c>
      <c r="U5498">
        <v>1708</v>
      </c>
      <c r="V5498">
        <v>0</v>
      </c>
      <c r="W5498">
        <v>3</v>
      </c>
      <c r="X5498">
        <v>1992</v>
      </c>
      <c r="Z5498">
        <v>1</v>
      </c>
      <c r="AB5498">
        <v>0</v>
      </c>
      <c r="AC5498" t="s">
        <v>115</v>
      </c>
      <c r="AD5498">
        <v>2</v>
      </c>
      <c r="AE5498" t="s">
        <v>115</v>
      </c>
      <c r="AF5498">
        <v>0</v>
      </c>
      <c r="AG5498">
        <v>0</v>
      </c>
      <c r="AH5498" t="s">
        <v>116</v>
      </c>
      <c r="AI5498" s="1">
        <v>146055</v>
      </c>
      <c r="AJ5498" s="2">
        <v>0.34</v>
      </c>
      <c r="AK5498" s="1">
        <v>429555</v>
      </c>
      <c r="AL5498" t="s">
        <v>117</v>
      </c>
      <c r="AM5498" t="s">
        <v>393</v>
      </c>
      <c r="AN5498">
        <v>6322</v>
      </c>
      <c r="AO5498">
        <v>0.14000000000000001</v>
      </c>
      <c r="AP5498">
        <v>1</v>
      </c>
      <c r="AR5498">
        <v>1</v>
      </c>
      <c r="AS5498" s="1">
        <v>31670</v>
      </c>
      <c r="AT5498" s="1">
        <v>6330</v>
      </c>
      <c r="AU5498" s="1">
        <v>25340</v>
      </c>
      <c r="AV5498">
        <v>80.010000000000005</v>
      </c>
      <c r="AX5498" s="1">
        <v>1881.9</v>
      </c>
      <c r="AY5498" t="s">
        <v>5904</v>
      </c>
      <c r="AZ5498" t="s">
        <v>5420</v>
      </c>
      <c r="BA5498" t="s">
        <v>5763</v>
      </c>
      <c r="BB5498" s="3">
        <v>43493</v>
      </c>
      <c r="BC5498" s="1">
        <v>0</v>
      </c>
      <c r="BD5498" t="s">
        <v>247</v>
      </c>
      <c r="BE5498" s="3">
        <v>42139</v>
      </c>
      <c r="BF5498" s="1">
        <v>330000</v>
      </c>
      <c r="BG5498" t="s">
        <v>33819</v>
      </c>
      <c r="BH5498" s="1">
        <v>193.21</v>
      </c>
      <c r="BI5498" s="1">
        <v>283500</v>
      </c>
      <c r="BJ5498" s="3">
        <v>42139</v>
      </c>
      <c r="BK5498" t="s">
        <v>123</v>
      </c>
      <c r="BL5498" t="str">
        <f>"2015.344839"</f>
        <v>2015.344839</v>
      </c>
      <c r="BM5498" t="s">
        <v>820</v>
      </c>
      <c r="BN5498" t="s">
        <v>2188</v>
      </c>
      <c r="BO5498" t="s">
        <v>33820</v>
      </c>
      <c r="BS5498">
        <v>30</v>
      </c>
      <c r="BW5498" t="str">
        <f>""</f>
        <v/>
      </c>
      <c r="CH5498" t="str">
        <f>""</f>
        <v/>
      </c>
      <c r="CS5498" t="str">
        <f>""</f>
        <v/>
      </c>
    </row>
    <row r="5499" spans="1:97" x14ac:dyDescent="0.25">
      <c r="A5499" t="s">
        <v>1514</v>
      </c>
      <c r="B5499" t="s">
        <v>33821</v>
      </c>
      <c r="C5499" t="s">
        <v>33729</v>
      </c>
      <c r="D5499" t="s">
        <v>33821</v>
      </c>
      <c r="E5499" t="s">
        <v>33822</v>
      </c>
      <c r="F5499" t="s">
        <v>108</v>
      </c>
      <c r="H5499" t="s">
        <v>33823</v>
      </c>
      <c r="I5499" t="s">
        <v>499</v>
      </c>
      <c r="J5499" t="s">
        <v>111</v>
      </c>
      <c r="K5499" t="str">
        <f>"85338"</f>
        <v>85338</v>
      </c>
      <c r="L5499" t="s">
        <v>4751</v>
      </c>
      <c r="M5499" t="s">
        <v>33823</v>
      </c>
      <c r="N5499" t="s">
        <v>499</v>
      </c>
      <c r="O5499" t="s">
        <v>111</v>
      </c>
      <c r="P5499" t="str">
        <f>"85338-7696"</f>
        <v>85338-7696</v>
      </c>
      <c r="Q5499" t="s">
        <v>113</v>
      </c>
      <c r="R5499" t="str">
        <f>"400-82-851"</f>
        <v>400-82-851</v>
      </c>
      <c r="S5499" t="s">
        <v>20418</v>
      </c>
      <c r="T5499" t="s">
        <v>17252</v>
      </c>
      <c r="U5499">
        <v>3151</v>
      </c>
      <c r="V5499">
        <v>0</v>
      </c>
      <c r="W5499">
        <v>4</v>
      </c>
      <c r="X5499">
        <v>2013</v>
      </c>
      <c r="Z5499">
        <v>1</v>
      </c>
      <c r="AA5499" t="s">
        <v>26</v>
      </c>
      <c r="AB5499">
        <v>0</v>
      </c>
      <c r="AC5499" t="s">
        <v>115</v>
      </c>
      <c r="AD5499">
        <v>3</v>
      </c>
      <c r="AE5499" t="s">
        <v>115</v>
      </c>
      <c r="AF5499">
        <v>0</v>
      </c>
      <c r="AG5499">
        <v>0</v>
      </c>
      <c r="AH5499" t="s">
        <v>116</v>
      </c>
      <c r="AI5499" s="1">
        <v>128516</v>
      </c>
      <c r="AJ5499" s="2">
        <v>0.3</v>
      </c>
      <c r="AK5499" s="1">
        <v>433016</v>
      </c>
      <c r="AL5499" t="s">
        <v>117</v>
      </c>
      <c r="AM5499" t="s">
        <v>118</v>
      </c>
      <c r="AN5499">
        <v>11588</v>
      </c>
      <c r="AO5499">
        <v>0.27</v>
      </c>
      <c r="AR5499">
        <v>1</v>
      </c>
      <c r="AS5499" s="1">
        <v>33150</v>
      </c>
      <c r="AT5499" s="1">
        <v>6630</v>
      </c>
      <c r="AU5499" s="1">
        <v>26520</v>
      </c>
      <c r="AV5499">
        <v>80</v>
      </c>
      <c r="AX5499" s="1">
        <v>3064.7</v>
      </c>
      <c r="AY5499" t="s">
        <v>1246</v>
      </c>
      <c r="AZ5499" t="s">
        <v>1246</v>
      </c>
      <c r="BA5499" t="s">
        <v>1247</v>
      </c>
      <c r="BE5499" s="3">
        <v>42384</v>
      </c>
      <c r="BF5499" s="1">
        <v>325000</v>
      </c>
      <c r="BG5499" t="s">
        <v>11218</v>
      </c>
      <c r="BH5499" s="1">
        <v>103.14</v>
      </c>
      <c r="BI5499" s="1">
        <v>304500</v>
      </c>
      <c r="BJ5499" s="3">
        <v>42384</v>
      </c>
      <c r="BK5499" t="s">
        <v>123</v>
      </c>
      <c r="BL5499" t="str">
        <f>"2016.31302"</f>
        <v>2016.31302</v>
      </c>
      <c r="BM5499" t="s">
        <v>3929</v>
      </c>
      <c r="BO5499" t="s">
        <v>33824</v>
      </c>
      <c r="BS5499">
        <v>30</v>
      </c>
      <c r="BW5499" t="str">
        <f>""</f>
        <v/>
      </c>
      <c r="CH5499" t="str">
        <f>""</f>
        <v/>
      </c>
      <c r="CS5499" t="str">
        <f>""</f>
        <v/>
      </c>
    </row>
    <row r="5500" spans="1:97" x14ac:dyDescent="0.25">
      <c r="A5500" t="s">
        <v>1850</v>
      </c>
      <c r="B5500" t="s">
        <v>32783</v>
      </c>
      <c r="C5500" t="s">
        <v>3377</v>
      </c>
      <c r="D5500" t="s">
        <v>32783</v>
      </c>
      <c r="E5500" t="s">
        <v>33825</v>
      </c>
      <c r="F5500" t="s">
        <v>108</v>
      </c>
      <c r="H5500" t="s">
        <v>33826</v>
      </c>
      <c r="I5500" t="s">
        <v>390</v>
      </c>
      <c r="J5500" t="s">
        <v>111</v>
      </c>
      <c r="K5500" t="str">
        <f>"85032"</f>
        <v>85032</v>
      </c>
      <c r="L5500" t="s">
        <v>15732</v>
      </c>
      <c r="M5500" t="s">
        <v>33826</v>
      </c>
      <c r="N5500" t="s">
        <v>390</v>
      </c>
      <c r="O5500" t="s">
        <v>111</v>
      </c>
      <c r="P5500" t="str">
        <f>"85032-5650"</f>
        <v>85032-5650</v>
      </c>
      <c r="Q5500" t="s">
        <v>113</v>
      </c>
      <c r="R5500" t="str">
        <f>"214-55-403"</f>
        <v>214-55-403</v>
      </c>
      <c r="S5500" t="s">
        <v>24992</v>
      </c>
      <c r="T5500" t="s">
        <v>18309</v>
      </c>
      <c r="U5500">
        <v>2253</v>
      </c>
      <c r="V5500">
        <v>0</v>
      </c>
      <c r="W5500">
        <v>3</v>
      </c>
      <c r="X5500">
        <v>1991</v>
      </c>
      <c r="Z5500">
        <v>1</v>
      </c>
      <c r="AA5500" t="s">
        <v>26</v>
      </c>
      <c r="AB5500">
        <v>0</v>
      </c>
      <c r="AC5500" t="s">
        <v>115</v>
      </c>
      <c r="AD5500">
        <v>3</v>
      </c>
      <c r="AE5500" t="s">
        <v>115</v>
      </c>
      <c r="AF5500">
        <v>0</v>
      </c>
      <c r="AG5500">
        <v>0</v>
      </c>
      <c r="AH5500" t="s">
        <v>116</v>
      </c>
      <c r="AI5500" s="1">
        <v>23001</v>
      </c>
      <c r="AJ5500" s="2">
        <v>0.05</v>
      </c>
      <c r="AK5500" s="1">
        <v>425871</v>
      </c>
      <c r="AL5500" t="s">
        <v>117</v>
      </c>
      <c r="AM5500" t="s">
        <v>171</v>
      </c>
      <c r="AN5500">
        <v>8327</v>
      </c>
      <c r="AO5500">
        <v>0.19</v>
      </c>
      <c r="AP5500">
        <v>1</v>
      </c>
      <c r="AR5500">
        <v>1</v>
      </c>
      <c r="AS5500" s="1">
        <v>32010</v>
      </c>
      <c r="AT5500" s="1">
        <v>6400</v>
      </c>
      <c r="AU5500" s="1">
        <v>25610</v>
      </c>
      <c r="AV5500">
        <v>80.010000000000005</v>
      </c>
      <c r="AX5500" s="1">
        <v>2758.64</v>
      </c>
      <c r="AY5500" t="s">
        <v>6904</v>
      </c>
      <c r="AZ5500" t="s">
        <v>5489</v>
      </c>
      <c r="BA5500" t="s">
        <v>5232</v>
      </c>
      <c r="BE5500" s="3">
        <v>42318</v>
      </c>
      <c r="BF5500" s="1">
        <v>368000</v>
      </c>
      <c r="BG5500" t="s">
        <v>33827</v>
      </c>
      <c r="BH5500" s="1">
        <v>163.34</v>
      </c>
      <c r="BI5500" s="1">
        <v>402870</v>
      </c>
      <c r="BJ5500" s="3">
        <v>43060</v>
      </c>
      <c r="BK5500" t="s">
        <v>123</v>
      </c>
      <c r="BL5500" t="str">
        <f>"2017.865799"</f>
        <v>2017.865799</v>
      </c>
      <c r="BM5500" t="s">
        <v>28498</v>
      </c>
      <c r="BO5500" t="s">
        <v>33828</v>
      </c>
      <c r="BS5500">
        <v>30</v>
      </c>
      <c r="BW5500" t="str">
        <f>""</f>
        <v/>
      </c>
      <c r="CH5500" t="str">
        <f>""</f>
        <v/>
      </c>
      <c r="CS5500" t="str">
        <f>""</f>
        <v/>
      </c>
    </row>
    <row r="5501" spans="1:97" x14ac:dyDescent="0.25">
      <c r="A5501" t="s">
        <v>5373</v>
      </c>
      <c r="B5501" t="s">
        <v>3730</v>
      </c>
      <c r="C5501" t="s">
        <v>16322</v>
      </c>
      <c r="D5501" t="s">
        <v>3730</v>
      </c>
      <c r="E5501" t="s">
        <v>33829</v>
      </c>
      <c r="F5501" t="s">
        <v>108</v>
      </c>
      <c r="H5501" t="s">
        <v>33830</v>
      </c>
      <c r="I5501" t="s">
        <v>499</v>
      </c>
      <c r="J5501" t="s">
        <v>111</v>
      </c>
      <c r="K5501" t="str">
        <f>"85338"</f>
        <v>85338</v>
      </c>
      <c r="L5501" t="s">
        <v>5325</v>
      </c>
      <c r="M5501" t="s">
        <v>33830</v>
      </c>
      <c r="N5501" t="s">
        <v>499</v>
      </c>
      <c r="O5501" t="s">
        <v>111</v>
      </c>
      <c r="P5501" t="str">
        <f>"85338-5491"</f>
        <v>85338-5491</v>
      </c>
      <c r="Q5501" t="s">
        <v>113</v>
      </c>
      <c r="R5501" t="str">
        <f>"400-79-929"</f>
        <v>400-79-929</v>
      </c>
      <c r="S5501" t="s">
        <v>33831</v>
      </c>
      <c r="U5501">
        <v>2785</v>
      </c>
      <c r="V5501">
        <v>0</v>
      </c>
      <c r="W5501">
        <v>4</v>
      </c>
      <c r="X5501">
        <v>2004</v>
      </c>
      <c r="Z5501">
        <v>1</v>
      </c>
      <c r="AA5501" t="s">
        <v>26</v>
      </c>
      <c r="AB5501">
        <v>0</v>
      </c>
      <c r="AC5501" t="s">
        <v>115</v>
      </c>
      <c r="AD5501">
        <v>3</v>
      </c>
      <c r="AE5501" t="s">
        <v>115</v>
      </c>
      <c r="AF5501">
        <v>0</v>
      </c>
      <c r="AG5501">
        <v>0</v>
      </c>
      <c r="AH5501" t="s">
        <v>116</v>
      </c>
      <c r="AI5501" s="1">
        <v>76657</v>
      </c>
      <c r="AJ5501" s="2">
        <v>0.19</v>
      </c>
      <c r="AK5501" s="1">
        <v>395226</v>
      </c>
      <c r="AL5501" t="s">
        <v>117</v>
      </c>
      <c r="AM5501" t="s">
        <v>118</v>
      </c>
      <c r="AN5501">
        <v>9836</v>
      </c>
      <c r="AO5501">
        <v>0.23</v>
      </c>
      <c r="AP5501">
        <v>1</v>
      </c>
      <c r="AR5501">
        <v>1</v>
      </c>
      <c r="AS5501" s="1">
        <v>29620</v>
      </c>
      <c r="AT5501" s="1">
        <v>5920</v>
      </c>
      <c r="AU5501" s="1">
        <v>23700</v>
      </c>
      <c r="AV5501">
        <v>80.010000000000005</v>
      </c>
      <c r="AX5501" s="1">
        <v>2978.32</v>
      </c>
      <c r="AY5501" t="s">
        <v>4236</v>
      </c>
      <c r="AZ5501" t="s">
        <v>4236</v>
      </c>
      <c r="BA5501" t="s">
        <v>1247</v>
      </c>
      <c r="BE5501" s="3">
        <v>41688</v>
      </c>
      <c r="BF5501" s="1">
        <v>320000</v>
      </c>
      <c r="BG5501" t="s">
        <v>33832</v>
      </c>
      <c r="BH5501" s="1">
        <v>114.9</v>
      </c>
      <c r="BI5501" s="1">
        <v>318569</v>
      </c>
      <c r="BJ5501" s="3">
        <v>42584</v>
      </c>
      <c r="BK5501" t="s">
        <v>123</v>
      </c>
      <c r="BL5501" t="str">
        <f>"2016.548163"</f>
        <v>2016.548163</v>
      </c>
      <c r="BM5501" t="s">
        <v>402</v>
      </c>
      <c r="BO5501" t="s">
        <v>33833</v>
      </c>
      <c r="BS5501">
        <v>28</v>
      </c>
      <c r="BW5501" t="str">
        <f>""</f>
        <v/>
      </c>
      <c r="CH5501" t="str">
        <f>""</f>
        <v/>
      </c>
      <c r="CS5501" t="str">
        <f>""</f>
        <v/>
      </c>
    </row>
    <row r="5502" spans="1:97" x14ac:dyDescent="0.25">
      <c r="A5502" t="s">
        <v>370</v>
      </c>
      <c r="B5502" t="s">
        <v>33834</v>
      </c>
      <c r="C5502" t="s">
        <v>1181</v>
      </c>
      <c r="D5502" t="s">
        <v>33834</v>
      </c>
      <c r="E5502" t="s">
        <v>33835</v>
      </c>
      <c r="F5502" t="s">
        <v>108</v>
      </c>
      <c r="H5502" t="s">
        <v>33836</v>
      </c>
      <c r="I5502" t="s">
        <v>144</v>
      </c>
      <c r="J5502" t="s">
        <v>111</v>
      </c>
      <c r="K5502" t="str">
        <f>"85326"</f>
        <v>85326</v>
      </c>
      <c r="L5502" t="s">
        <v>8255</v>
      </c>
      <c r="M5502" t="s">
        <v>33836</v>
      </c>
      <c r="N5502" t="s">
        <v>144</v>
      </c>
      <c r="O5502" t="s">
        <v>111</v>
      </c>
      <c r="P5502" t="str">
        <f>"85326-7899"</f>
        <v>85326-7899</v>
      </c>
      <c r="Q5502" t="s">
        <v>113</v>
      </c>
      <c r="R5502" t="str">
        <f>"504-25-100"</f>
        <v>504-25-100</v>
      </c>
      <c r="S5502" t="s">
        <v>22464</v>
      </c>
      <c r="T5502" t="s">
        <v>22464</v>
      </c>
      <c r="U5502">
        <v>3237</v>
      </c>
      <c r="V5502">
        <v>0</v>
      </c>
      <c r="W5502">
        <v>4</v>
      </c>
      <c r="X5502">
        <v>2006</v>
      </c>
      <c r="Z5502">
        <v>2</v>
      </c>
      <c r="AA5502" t="s">
        <v>26</v>
      </c>
      <c r="AB5502">
        <v>0</v>
      </c>
      <c r="AC5502" t="s">
        <v>115</v>
      </c>
      <c r="AD5502">
        <v>3</v>
      </c>
      <c r="AE5502" t="s">
        <v>115</v>
      </c>
      <c r="AF5502">
        <v>0</v>
      </c>
      <c r="AG5502">
        <v>0</v>
      </c>
      <c r="AH5502" t="s">
        <v>116</v>
      </c>
      <c r="AI5502" s="1">
        <v>51995</v>
      </c>
      <c r="AJ5502" s="2">
        <v>0.17</v>
      </c>
      <c r="AK5502" s="1">
        <v>314377</v>
      </c>
      <c r="AL5502" t="s">
        <v>117</v>
      </c>
      <c r="AM5502" t="s">
        <v>5023</v>
      </c>
      <c r="AN5502">
        <v>6388</v>
      </c>
      <c r="AO5502">
        <v>0.15</v>
      </c>
      <c r="AR5502">
        <v>1</v>
      </c>
      <c r="AS5502" s="1">
        <v>20560</v>
      </c>
      <c r="AT5502" s="1">
        <v>4110</v>
      </c>
      <c r="AU5502" s="1">
        <v>16450</v>
      </c>
      <c r="AV5502">
        <v>80.010000000000005</v>
      </c>
      <c r="AX5502" s="1">
        <v>1527.68</v>
      </c>
      <c r="AY5502" t="s">
        <v>8444</v>
      </c>
      <c r="AZ5502" t="s">
        <v>8444</v>
      </c>
      <c r="BA5502" t="s">
        <v>5025</v>
      </c>
      <c r="BE5502" s="3">
        <v>42384</v>
      </c>
      <c r="BF5502" s="1">
        <v>254000</v>
      </c>
      <c r="BG5502" t="s">
        <v>33837</v>
      </c>
      <c r="BH5502" s="1">
        <v>78.47</v>
      </c>
      <c r="BI5502" s="1">
        <v>262382</v>
      </c>
      <c r="BJ5502" s="3">
        <v>42384</v>
      </c>
      <c r="BK5502" t="s">
        <v>123</v>
      </c>
      <c r="BL5502" t="str">
        <f>"2016.31034"</f>
        <v>2016.31034</v>
      </c>
      <c r="BM5502" t="s">
        <v>724</v>
      </c>
      <c r="BO5502" t="s">
        <v>33838</v>
      </c>
      <c r="BS5502">
        <v>30</v>
      </c>
      <c r="BW5502" t="str">
        <f>""</f>
        <v/>
      </c>
      <c r="CH5502" t="str">
        <f>""</f>
        <v/>
      </c>
      <c r="CS5502" t="str">
        <f>""</f>
        <v/>
      </c>
    </row>
    <row r="5503" spans="1:97" x14ac:dyDescent="0.25">
      <c r="A5503" t="s">
        <v>265</v>
      </c>
      <c r="B5503" t="s">
        <v>33839</v>
      </c>
      <c r="E5503" t="s">
        <v>33840</v>
      </c>
      <c r="F5503" t="s">
        <v>108</v>
      </c>
      <c r="H5503" t="s">
        <v>33841</v>
      </c>
      <c r="I5503" t="s">
        <v>203</v>
      </c>
      <c r="J5503" t="s">
        <v>111</v>
      </c>
      <c r="K5503" t="str">
        <f>"85296"</f>
        <v>85296</v>
      </c>
      <c r="L5503" t="s">
        <v>469</v>
      </c>
      <c r="M5503" t="s">
        <v>33841</v>
      </c>
      <c r="N5503" t="s">
        <v>203</v>
      </c>
      <c r="O5503" t="s">
        <v>111</v>
      </c>
      <c r="P5503" t="str">
        <f>"85296-2858"</f>
        <v>85296-2858</v>
      </c>
      <c r="Q5503" t="s">
        <v>113</v>
      </c>
      <c r="R5503" t="str">
        <f>"313-14-128"</f>
        <v>313-14-128</v>
      </c>
      <c r="S5503" t="s">
        <v>27432</v>
      </c>
      <c r="T5503" t="s">
        <v>471</v>
      </c>
      <c r="U5503">
        <v>2539</v>
      </c>
      <c r="V5503">
        <v>0</v>
      </c>
      <c r="W5503">
        <v>3</v>
      </c>
      <c r="X5503">
        <v>2012</v>
      </c>
      <c r="Z5503">
        <v>2</v>
      </c>
      <c r="AB5503">
        <v>0</v>
      </c>
      <c r="AC5503" t="s">
        <v>115</v>
      </c>
      <c r="AD5503">
        <v>3</v>
      </c>
      <c r="AE5503" t="s">
        <v>115</v>
      </c>
      <c r="AF5503">
        <v>0</v>
      </c>
      <c r="AG5503">
        <v>0</v>
      </c>
      <c r="AH5503" t="s">
        <v>116</v>
      </c>
      <c r="AI5503" s="1">
        <v>64742</v>
      </c>
      <c r="AJ5503" s="2">
        <v>0.19</v>
      </c>
      <c r="AK5503" s="1">
        <v>335242</v>
      </c>
      <c r="AL5503" t="s">
        <v>117</v>
      </c>
      <c r="AM5503" t="s">
        <v>288</v>
      </c>
      <c r="AN5503">
        <v>4241</v>
      </c>
      <c r="AO5503">
        <v>0.97</v>
      </c>
      <c r="AR5503">
        <v>1</v>
      </c>
      <c r="AS5503" s="1">
        <v>23160</v>
      </c>
      <c r="AT5503" s="1">
        <v>4630</v>
      </c>
      <c r="AU5503" s="1">
        <v>18530</v>
      </c>
      <c r="AV5503">
        <v>80.010000000000005</v>
      </c>
      <c r="AX5503" s="1">
        <v>2015.26</v>
      </c>
      <c r="AY5503" t="s">
        <v>472</v>
      </c>
      <c r="AZ5503" t="s">
        <v>472</v>
      </c>
      <c r="BA5503" t="s">
        <v>473</v>
      </c>
      <c r="BB5503" s="3">
        <v>42647</v>
      </c>
      <c r="BD5503" t="s">
        <v>458</v>
      </c>
      <c r="BE5503" s="3">
        <v>41794</v>
      </c>
      <c r="BF5503" s="1">
        <v>247500</v>
      </c>
      <c r="BG5503" t="s">
        <v>33842</v>
      </c>
      <c r="BH5503" s="1">
        <v>97.48</v>
      </c>
      <c r="BI5503" s="1">
        <v>270500</v>
      </c>
      <c r="BJ5503" s="3">
        <v>43152</v>
      </c>
      <c r="BK5503" t="s">
        <v>123</v>
      </c>
      <c r="BL5503" t="str">
        <f>"2018.128125"</f>
        <v>2018.128125</v>
      </c>
      <c r="BM5503" t="s">
        <v>5534</v>
      </c>
      <c r="BN5503" t="s">
        <v>6390</v>
      </c>
      <c r="BO5503" t="s">
        <v>33843</v>
      </c>
      <c r="BR5503" t="s">
        <v>139</v>
      </c>
      <c r="BW5503" t="str">
        <f>""</f>
        <v/>
      </c>
      <c r="CH5503" t="str">
        <f>""</f>
        <v/>
      </c>
      <c r="CS5503" t="str">
        <f>""</f>
        <v/>
      </c>
    </row>
    <row r="5504" spans="1:97" x14ac:dyDescent="0.25">
      <c r="A5504" t="s">
        <v>2319</v>
      </c>
      <c r="B5504" t="s">
        <v>1697</v>
      </c>
      <c r="E5504" t="s">
        <v>33844</v>
      </c>
      <c r="F5504" t="s">
        <v>108</v>
      </c>
      <c r="H5504" t="s">
        <v>33845</v>
      </c>
      <c r="I5504" t="s">
        <v>110</v>
      </c>
      <c r="J5504" t="s">
        <v>111</v>
      </c>
      <c r="K5504" t="str">
        <f>"85224"</f>
        <v>85224</v>
      </c>
      <c r="L5504" t="s">
        <v>5106</v>
      </c>
      <c r="M5504" t="s">
        <v>33845</v>
      </c>
      <c r="N5504" t="s">
        <v>110</v>
      </c>
      <c r="O5504" t="s">
        <v>111</v>
      </c>
      <c r="P5504" t="str">
        <f>"85224-7242"</f>
        <v>85224-7242</v>
      </c>
      <c r="Q5504" t="s">
        <v>113</v>
      </c>
      <c r="R5504" t="str">
        <f>"303-75-212"</f>
        <v>303-75-212</v>
      </c>
      <c r="S5504" t="s">
        <v>10175</v>
      </c>
      <c r="T5504" t="s">
        <v>10176</v>
      </c>
      <c r="U5504">
        <v>2089</v>
      </c>
      <c r="V5504">
        <v>0</v>
      </c>
      <c r="W5504">
        <v>4</v>
      </c>
      <c r="X5504">
        <v>1996</v>
      </c>
      <c r="Z5504">
        <v>1</v>
      </c>
      <c r="AA5504" t="s">
        <v>26</v>
      </c>
      <c r="AB5504">
        <v>0</v>
      </c>
      <c r="AC5504" t="s">
        <v>115</v>
      </c>
      <c r="AD5504">
        <v>3</v>
      </c>
      <c r="AE5504" t="s">
        <v>115</v>
      </c>
      <c r="AF5504">
        <v>0</v>
      </c>
      <c r="AG5504">
        <v>0</v>
      </c>
      <c r="AH5504" t="s">
        <v>116</v>
      </c>
      <c r="AI5504" s="1">
        <v>84525</v>
      </c>
      <c r="AJ5504" s="2">
        <v>0.22</v>
      </c>
      <c r="AK5504" s="1">
        <v>390145</v>
      </c>
      <c r="AL5504" t="s">
        <v>117</v>
      </c>
      <c r="AM5504" t="s">
        <v>118</v>
      </c>
      <c r="AN5504">
        <v>7736</v>
      </c>
      <c r="AO5504">
        <v>0.18</v>
      </c>
      <c r="AP5504">
        <v>1</v>
      </c>
      <c r="AR5504">
        <v>1</v>
      </c>
      <c r="AS5504" s="1">
        <v>28410</v>
      </c>
      <c r="AT5504" s="1">
        <v>5680</v>
      </c>
      <c r="AU5504" s="1">
        <v>22730</v>
      </c>
      <c r="AV5504">
        <v>80.010000000000005</v>
      </c>
      <c r="AX5504" s="1">
        <v>2276.52</v>
      </c>
      <c r="AY5504" t="s">
        <v>6015</v>
      </c>
      <c r="AZ5504" t="s">
        <v>5078</v>
      </c>
      <c r="BA5504" t="s">
        <v>121</v>
      </c>
      <c r="BE5504" s="3">
        <v>41908</v>
      </c>
      <c r="BF5504" s="1">
        <v>295000</v>
      </c>
      <c r="BG5504" t="s">
        <v>33846</v>
      </c>
      <c r="BH5504" s="1">
        <v>141.22</v>
      </c>
      <c r="BI5504" s="1">
        <v>305620</v>
      </c>
      <c r="BJ5504" s="3">
        <v>42094</v>
      </c>
      <c r="BK5504" t="s">
        <v>123</v>
      </c>
      <c r="BL5504" t="str">
        <f>"2015.214920"</f>
        <v>2015.214920</v>
      </c>
      <c r="BM5504" t="s">
        <v>2683</v>
      </c>
      <c r="BO5504" t="s">
        <v>33847</v>
      </c>
      <c r="BS5504">
        <v>30</v>
      </c>
      <c r="BW5504" t="str">
        <f>""</f>
        <v/>
      </c>
      <c r="CH5504" t="str">
        <f>""</f>
        <v/>
      </c>
      <c r="CS5504" t="str">
        <f>""</f>
        <v/>
      </c>
    </row>
    <row r="5505" spans="1:97" x14ac:dyDescent="0.25">
      <c r="A5505" t="s">
        <v>1774</v>
      </c>
      <c r="B5505" t="s">
        <v>3001</v>
      </c>
      <c r="E5505" t="s">
        <v>33848</v>
      </c>
      <c r="F5505" t="s">
        <v>108</v>
      </c>
      <c r="H5505" t="s">
        <v>33849</v>
      </c>
      <c r="I5505" t="s">
        <v>225</v>
      </c>
      <c r="J5505" t="s">
        <v>111</v>
      </c>
      <c r="K5505" t="str">
        <f>"85212"</f>
        <v>85212</v>
      </c>
      <c r="L5505" t="s">
        <v>17845</v>
      </c>
      <c r="M5505" t="s">
        <v>33849</v>
      </c>
      <c r="N5505" t="s">
        <v>225</v>
      </c>
      <c r="O5505" t="s">
        <v>111</v>
      </c>
      <c r="P5505" t="str">
        <f>"85212-5125"</f>
        <v>85212-5125</v>
      </c>
      <c r="Q5505" t="s">
        <v>113</v>
      </c>
      <c r="R5505" t="str">
        <f>"312-08-367"</f>
        <v>312-08-367</v>
      </c>
      <c r="S5505" t="s">
        <v>18030</v>
      </c>
      <c r="T5505" t="s">
        <v>8810</v>
      </c>
      <c r="U5505">
        <v>2102</v>
      </c>
      <c r="V5505">
        <v>0</v>
      </c>
      <c r="W5505">
        <v>3</v>
      </c>
      <c r="X5505">
        <v>2008</v>
      </c>
      <c r="Z5505">
        <v>1</v>
      </c>
      <c r="AB5505">
        <v>0</v>
      </c>
      <c r="AC5505" t="s">
        <v>115</v>
      </c>
      <c r="AD5505">
        <v>2</v>
      </c>
      <c r="AE5505" t="s">
        <v>115</v>
      </c>
      <c r="AF5505">
        <v>0</v>
      </c>
      <c r="AG5505">
        <v>0</v>
      </c>
      <c r="AH5505" t="s">
        <v>116</v>
      </c>
      <c r="AI5505" s="1">
        <v>69882</v>
      </c>
      <c r="AJ5505" s="2">
        <v>0.21</v>
      </c>
      <c r="AK5505" s="1">
        <v>336882</v>
      </c>
      <c r="AL5505" t="s">
        <v>117</v>
      </c>
      <c r="AM5505" t="s">
        <v>191</v>
      </c>
      <c r="AN5505">
        <v>6325</v>
      </c>
      <c r="AO5505">
        <v>0.14000000000000001</v>
      </c>
      <c r="AR5505">
        <v>1</v>
      </c>
      <c r="AS5505" s="1">
        <v>22070</v>
      </c>
      <c r="AT5505" s="1">
        <v>4410</v>
      </c>
      <c r="AU5505" s="1">
        <v>17660</v>
      </c>
      <c r="AV5505">
        <v>80.02</v>
      </c>
      <c r="AX5505" s="1">
        <v>1954.76</v>
      </c>
      <c r="AY5505" t="s">
        <v>560</v>
      </c>
      <c r="AZ5505" t="s">
        <v>561</v>
      </c>
      <c r="BA5505" t="s">
        <v>194</v>
      </c>
      <c r="BE5505" s="3">
        <v>42460</v>
      </c>
      <c r="BF5505" s="1">
        <v>267000</v>
      </c>
      <c r="BG5505" t="s">
        <v>33850</v>
      </c>
      <c r="BH5505" s="1">
        <v>127.02</v>
      </c>
      <c r="BI5505" s="1">
        <v>267000</v>
      </c>
      <c r="BJ5505" s="3">
        <v>42460</v>
      </c>
      <c r="BK5505" t="s">
        <v>123</v>
      </c>
      <c r="BL5505" t="str">
        <f>"2016.211929"</f>
        <v>2016.211929</v>
      </c>
      <c r="BM5505" t="s">
        <v>2885</v>
      </c>
      <c r="BO5505" t="s">
        <v>33851</v>
      </c>
      <c r="BS5505">
        <v>30</v>
      </c>
      <c r="BW5505" t="str">
        <f>""</f>
        <v/>
      </c>
      <c r="CH5505" t="str">
        <f>""</f>
        <v/>
      </c>
      <c r="CS5505" t="str">
        <f>""</f>
        <v/>
      </c>
    </row>
    <row r="5506" spans="1:97" x14ac:dyDescent="0.25">
      <c r="A5506" t="s">
        <v>984</v>
      </c>
      <c r="B5506" t="s">
        <v>1607</v>
      </c>
      <c r="C5506" t="s">
        <v>33852</v>
      </c>
      <c r="D5506" t="s">
        <v>1607</v>
      </c>
      <c r="E5506" t="s">
        <v>33853</v>
      </c>
      <c r="F5506" t="s">
        <v>108</v>
      </c>
      <c r="H5506" t="s">
        <v>33854</v>
      </c>
      <c r="I5506" t="s">
        <v>203</v>
      </c>
      <c r="J5506" t="s">
        <v>111</v>
      </c>
      <c r="K5506" t="str">
        <f>"85296"</f>
        <v>85296</v>
      </c>
      <c r="L5506" t="s">
        <v>5588</v>
      </c>
      <c r="M5506" t="s">
        <v>33854</v>
      </c>
      <c r="N5506" t="s">
        <v>203</v>
      </c>
      <c r="O5506" t="s">
        <v>111</v>
      </c>
      <c r="P5506" t="str">
        <f>"85296-7362"</f>
        <v>85296-7362</v>
      </c>
      <c r="Q5506" t="s">
        <v>113</v>
      </c>
      <c r="R5506" t="str">
        <f>"313-15-402"</f>
        <v>313-15-402</v>
      </c>
      <c r="S5506" t="s">
        <v>5589</v>
      </c>
      <c r="U5506">
        <v>2851</v>
      </c>
      <c r="V5506">
        <v>0</v>
      </c>
      <c r="W5506">
        <v>4</v>
      </c>
      <c r="X5506">
        <v>2010</v>
      </c>
      <c r="Z5506">
        <v>2</v>
      </c>
      <c r="AB5506">
        <v>0</v>
      </c>
      <c r="AC5506" t="s">
        <v>115</v>
      </c>
      <c r="AD5506">
        <v>2</v>
      </c>
      <c r="AE5506" t="s">
        <v>115</v>
      </c>
      <c r="AF5506">
        <v>0</v>
      </c>
      <c r="AG5506">
        <v>0</v>
      </c>
      <c r="AH5506" t="s">
        <v>116</v>
      </c>
      <c r="AI5506" s="1">
        <v>88974</v>
      </c>
      <c r="AJ5506" s="2">
        <v>0.24</v>
      </c>
      <c r="AK5506" s="1">
        <v>366878</v>
      </c>
      <c r="AL5506" t="s">
        <v>117</v>
      </c>
      <c r="AM5506" t="s">
        <v>288</v>
      </c>
      <c r="AN5506">
        <v>5850</v>
      </c>
      <c r="AO5506">
        <v>0.13</v>
      </c>
      <c r="AR5506">
        <v>1</v>
      </c>
      <c r="AS5506" s="1">
        <v>25930</v>
      </c>
      <c r="AT5506" s="1">
        <v>5180</v>
      </c>
      <c r="AU5506" s="1">
        <v>20750</v>
      </c>
      <c r="AV5506">
        <v>80.02</v>
      </c>
      <c r="AX5506" s="1">
        <v>2355.58</v>
      </c>
      <c r="AY5506" t="s">
        <v>472</v>
      </c>
      <c r="AZ5506" t="s">
        <v>472</v>
      </c>
      <c r="BA5506" t="s">
        <v>473</v>
      </c>
      <c r="BE5506" s="3">
        <v>42060</v>
      </c>
      <c r="BF5506" s="1">
        <v>287500</v>
      </c>
      <c r="BG5506" t="s">
        <v>33855</v>
      </c>
      <c r="BH5506" s="1">
        <v>100.84</v>
      </c>
      <c r="BI5506" s="1">
        <v>277904</v>
      </c>
      <c r="BJ5506" s="3">
        <v>42060</v>
      </c>
      <c r="BK5506" t="s">
        <v>123</v>
      </c>
      <c r="BL5506" t="str">
        <f>"2015.121568"</f>
        <v>2015.121568</v>
      </c>
      <c r="BM5506" t="s">
        <v>2368</v>
      </c>
      <c r="BO5506" t="s">
        <v>33856</v>
      </c>
      <c r="BS5506">
        <v>30</v>
      </c>
      <c r="BW5506" t="str">
        <f>""</f>
        <v/>
      </c>
      <c r="CH5506" t="str">
        <f>""</f>
        <v/>
      </c>
      <c r="CS5506" t="str">
        <f>""</f>
        <v/>
      </c>
    </row>
    <row r="5507" spans="1:97" x14ac:dyDescent="0.25">
      <c r="B5507" t="s">
        <v>33857</v>
      </c>
      <c r="E5507" t="s">
        <v>3871</v>
      </c>
      <c r="F5507" t="s">
        <v>139</v>
      </c>
      <c r="H5507" t="s">
        <v>33858</v>
      </c>
      <c r="I5507" t="s">
        <v>203</v>
      </c>
      <c r="J5507" t="s">
        <v>111</v>
      </c>
      <c r="K5507" t="str">
        <f>"85298"</f>
        <v>85298</v>
      </c>
      <c r="L5507" t="s">
        <v>5291</v>
      </c>
      <c r="M5507" t="s">
        <v>33858</v>
      </c>
      <c r="N5507" t="s">
        <v>203</v>
      </c>
      <c r="O5507" t="s">
        <v>111</v>
      </c>
      <c r="P5507" t="str">
        <f>"85298-3429"</f>
        <v>85298-3429</v>
      </c>
      <c r="Q5507" t="s">
        <v>113</v>
      </c>
      <c r="R5507" t="str">
        <f>"304-70-385"</f>
        <v>304-70-385</v>
      </c>
      <c r="S5507" t="s">
        <v>33859</v>
      </c>
      <c r="T5507" t="s">
        <v>2213</v>
      </c>
      <c r="U5507">
        <v>3292</v>
      </c>
      <c r="V5507">
        <v>0</v>
      </c>
      <c r="W5507">
        <v>4</v>
      </c>
      <c r="X5507">
        <v>2009</v>
      </c>
      <c r="Z5507">
        <v>2</v>
      </c>
      <c r="AA5507" t="s">
        <v>26</v>
      </c>
      <c r="AB5507">
        <v>0</v>
      </c>
      <c r="AC5507" t="s">
        <v>115</v>
      </c>
      <c r="AD5507">
        <v>3</v>
      </c>
      <c r="AE5507" t="s">
        <v>115</v>
      </c>
      <c r="AF5507">
        <v>0</v>
      </c>
      <c r="AG5507">
        <v>0</v>
      </c>
      <c r="AH5507" t="s">
        <v>116</v>
      </c>
      <c r="AI5507" s="1">
        <v>59444</v>
      </c>
      <c r="AJ5507" s="2">
        <v>0.13</v>
      </c>
      <c r="AK5507" s="1">
        <v>462210</v>
      </c>
      <c r="AL5507" t="s">
        <v>117</v>
      </c>
      <c r="AM5507" t="s">
        <v>191</v>
      </c>
      <c r="AN5507">
        <v>6900</v>
      </c>
      <c r="AO5507">
        <v>0.16</v>
      </c>
      <c r="AR5507">
        <v>1</v>
      </c>
      <c r="AS5507" s="1">
        <v>31410</v>
      </c>
      <c r="AT5507" s="1">
        <v>6280</v>
      </c>
      <c r="AU5507" s="1">
        <v>25130</v>
      </c>
      <c r="AV5507">
        <v>80.010000000000005</v>
      </c>
      <c r="AX5507" s="1">
        <v>3272.44</v>
      </c>
      <c r="AY5507" t="s">
        <v>7512</v>
      </c>
      <c r="AZ5507" t="s">
        <v>7512</v>
      </c>
      <c r="BA5507" t="s">
        <v>473</v>
      </c>
      <c r="BB5507" s="3">
        <v>43172</v>
      </c>
      <c r="BC5507" s="1">
        <v>0</v>
      </c>
      <c r="BD5507" t="s">
        <v>247</v>
      </c>
      <c r="BE5507" s="3">
        <v>42451</v>
      </c>
      <c r="BF5507" s="1">
        <v>389900</v>
      </c>
      <c r="BG5507" t="s">
        <v>33860</v>
      </c>
      <c r="BH5507" s="1">
        <v>118.44</v>
      </c>
      <c r="BI5507" s="1">
        <v>402766</v>
      </c>
      <c r="BJ5507" s="3">
        <v>42451</v>
      </c>
      <c r="BK5507" t="s">
        <v>123</v>
      </c>
      <c r="BL5507" t="str">
        <f>"2016.184371"</f>
        <v>2016.184371</v>
      </c>
      <c r="BM5507" t="s">
        <v>594</v>
      </c>
      <c r="BN5507" t="s">
        <v>595</v>
      </c>
      <c r="BO5507" t="s">
        <v>33861</v>
      </c>
      <c r="BS5507">
        <v>30</v>
      </c>
      <c r="BW5507" t="str">
        <f>""</f>
        <v/>
      </c>
      <c r="CH5507" t="str">
        <f>""</f>
        <v/>
      </c>
      <c r="CS5507" t="str">
        <f>""</f>
        <v/>
      </c>
    </row>
    <row r="5508" spans="1:97" x14ac:dyDescent="0.25">
      <c r="A5508" t="s">
        <v>177</v>
      </c>
      <c r="B5508" t="s">
        <v>33862</v>
      </c>
      <c r="E5508" t="s">
        <v>33863</v>
      </c>
      <c r="F5508" t="s">
        <v>108</v>
      </c>
      <c r="H5508" t="s">
        <v>33864</v>
      </c>
      <c r="I5508" t="s">
        <v>1936</v>
      </c>
      <c r="J5508" t="s">
        <v>111</v>
      </c>
      <c r="K5508" t="str">
        <f>"85254"</f>
        <v>85254</v>
      </c>
      <c r="L5508" t="s">
        <v>1658</v>
      </c>
      <c r="M5508" t="s">
        <v>33864</v>
      </c>
      <c r="N5508" t="s">
        <v>1936</v>
      </c>
      <c r="O5508" t="s">
        <v>111</v>
      </c>
      <c r="P5508" t="str">
        <f>"85254-5637"</f>
        <v>85254-5637</v>
      </c>
      <c r="Q5508" t="s">
        <v>113</v>
      </c>
      <c r="R5508" t="str">
        <f>"215-40-249"</f>
        <v>215-40-249</v>
      </c>
      <c r="S5508" t="s">
        <v>33865</v>
      </c>
      <c r="T5508" t="s">
        <v>26303</v>
      </c>
      <c r="U5508">
        <v>1616</v>
      </c>
      <c r="V5508">
        <v>0</v>
      </c>
      <c r="W5508">
        <v>3</v>
      </c>
      <c r="X5508">
        <v>1983</v>
      </c>
      <c r="Z5508">
        <v>1</v>
      </c>
      <c r="AA5508" t="s">
        <v>26</v>
      </c>
      <c r="AB5508">
        <v>0</v>
      </c>
      <c r="AC5508" t="s">
        <v>115</v>
      </c>
      <c r="AD5508">
        <v>2</v>
      </c>
      <c r="AE5508" t="s">
        <v>115</v>
      </c>
      <c r="AF5508">
        <v>0</v>
      </c>
      <c r="AG5508">
        <v>0</v>
      </c>
      <c r="AH5508" t="s">
        <v>116</v>
      </c>
      <c r="AI5508" s="1">
        <v>110800</v>
      </c>
      <c r="AJ5508" s="2">
        <v>0.25</v>
      </c>
      <c r="AK5508" s="1">
        <v>436195</v>
      </c>
      <c r="AL5508" t="s">
        <v>117</v>
      </c>
      <c r="AM5508" t="s">
        <v>171</v>
      </c>
      <c r="AN5508">
        <v>9079</v>
      </c>
      <c r="AO5508">
        <v>0.21</v>
      </c>
      <c r="AP5508">
        <v>1</v>
      </c>
      <c r="AR5508">
        <v>1</v>
      </c>
      <c r="AS5508" s="1">
        <v>29920</v>
      </c>
      <c r="AT5508" s="1">
        <v>5980</v>
      </c>
      <c r="AU5508" s="1">
        <v>23940</v>
      </c>
      <c r="AV5508">
        <v>80.010000000000005</v>
      </c>
      <c r="AX5508" s="1">
        <v>2759.42</v>
      </c>
      <c r="AY5508" t="s">
        <v>15787</v>
      </c>
      <c r="AZ5508" t="s">
        <v>7739</v>
      </c>
      <c r="BA5508" t="s">
        <v>6302</v>
      </c>
      <c r="BE5508" s="3">
        <v>41751</v>
      </c>
      <c r="BF5508" s="1">
        <v>337500</v>
      </c>
      <c r="BG5508" t="s">
        <v>33866</v>
      </c>
      <c r="BH5508" s="1">
        <v>208.85</v>
      </c>
      <c r="BI5508" s="1">
        <v>325395</v>
      </c>
      <c r="BJ5508" s="3">
        <v>43052</v>
      </c>
      <c r="BK5508" t="s">
        <v>123</v>
      </c>
      <c r="BL5508" t="str">
        <f>"2017.842246"</f>
        <v>2017.842246</v>
      </c>
      <c r="BM5508" t="s">
        <v>1992</v>
      </c>
      <c r="BO5508" t="s">
        <v>33867</v>
      </c>
      <c r="BS5508">
        <v>30</v>
      </c>
      <c r="BW5508" t="str">
        <f>""</f>
        <v/>
      </c>
      <c r="CH5508" t="str">
        <f>""</f>
        <v/>
      </c>
      <c r="CS5508" t="str">
        <f>""</f>
        <v/>
      </c>
    </row>
    <row r="5509" spans="1:97" x14ac:dyDescent="0.25">
      <c r="A5509" t="s">
        <v>370</v>
      </c>
      <c r="B5509" t="s">
        <v>33868</v>
      </c>
      <c r="C5509" t="s">
        <v>2008</v>
      </c>
      <c r="D5509" t="s">
        <v>33868</v>
      </c>
      <c r="E5509" t="s">
        <v>33869</v>
      </c>
      <c r="F5509" t="s">
        <v>108</v>
      </c>
      <c r="H5509" t="s">
        <v>33870</v>
      </c>
      <c r="I5509" t="s">
        <v>390</v>
      </c>
      <c r="J5509" t="s">
        <v>111</v>
      </c>
      <c r="K5509" t="str">
        <f>"85086"</f>
        <v>85086</v>
      </c>
      <c r="L5509" t="s">
        <v>6035</v>
      </c>
      <c r="M5509" t="s">
        <v>33870</v>
      </c>
      <c r="N5509" t="s">
        <v>390</v>
      </c>
      <c r="O5509" t="s">
        <v>111</v>
      </c>
      <c r="P5509" t="str">
        <f>"85086-9390"</f>
        <v>85086-9390</v>
      </c>
      <c r="Q5509" t="s">
        <v>113</v>
      </c>
      <c r="R5509" t="str">
        <f>"211-68-020-F"</f>
        <v>211-68-020-F</v>
      </c>
      <c r="S5509" t="s">
        <v>6498</v>
      </c>
      <c r="T5509" t="s">
        <v>6498</v>
      </c>
      <c r="U5509">
        <v>2700</v>
      </c>
      <c r="V5509">
        <v>0</v>
      </c>
      <c r="W5509">
        <v>4</v>
      </c>
      <c r="X5509">
        <v>2002</v>
      </c>
      <c r="Z5509">
        <v>1</v>
      </c>
      <c r="AA5509" t="s">
        <v>26</v>
      </c>
      <c r="AB5509">
        <v>0</v>
      </c>
      <c r="AC5509" t="s">
        <v>115</v>
      </c>
      <c r="AD5509">
        <v>2</v>
      </c>
      <c r="AE5509" t="s">
        <v>115</v>
      </c>
      <c r="AF5509">
        <v>0</v>
      </c>
      <c r="AG5509">
        <v>0</v>
      </c>
      <c r="AH5509" t="s">
        <v>116</v>
      </c>
      <c r="AI5509" s="1">
        <v>99841</v>
      </c>
      <c r="AJ5509" s="2">
        <v>0.2</v>
      </c>
      <c r="AK5509" s="1">
        <v>498106</v>
      </c>
      <c r="AL5509" t="s">
        <v>117</v>
      </c>
      <c r="AM5509" t="s">
        <v>376</v>
      </c>
      <c r="AN5509">
        <v>49824</v>
      </c>
      <c r="AO5509">
        <v>1.1399999999999999</v>
      </c>
      <c r="AP5509">
        <v>1</v>
      </c>
      <c r="AR5509">
        <v>1</v>
      </c>
      <c r="AS5509" s="1">
        <v>36820</v>
      </c>
      <c r="AT5509" s="1">
        <v>7360</v>
      </c>
      <c r="AU5509" s="1">
        <v>29460</v>
      </c>
      <c r="AV5509">
        <v>80.010000000000005</v>
      </c>
      <c r="AX5509" s="1">
        <v>3692.52</v>
      </c>
      <c r="AY5509" t="s">
        <v>1587</v>
      </c>
      <c r="AZ5509" t="s">
        <v>1587</v>
      </c>
      <c r="BA5509" t="s">
        <v>378</v>
      </c>
      <c r="BE5509" s="3">
        <v>41775</v>
      </c>
      <c r="BF5509" s="1">
        <v>386600</v>
      </c>
      <c r="BG5509" t="s">
        <v>33871</v>
      </c>
      <c r="BH5509" s="1">
        <v>143.19</v>
      </c>
      <c r="BI5509" s="1">
        <v>398265</v>
      </c>
      <c r="BJ5509" s="3">
        <v>42053</v>
      </c>
      <c r="BK5509" t="s">
        <v>123</v>
      </c>
      <c r="BL5509" t="str">
        <f>"2015.102886"</f>
        <v>2015.102886</v>
      </c>
      <c r="BM5509" t="s">
        <v>5253</v>
      </c>
      <c r="BO5509" t="s">
        <v>33872</v>
      </c>
      <c r="BS5509">
        <v>30</v>
      </c>
      <c r="BW5509" t="str">
        <f>""</f>
        <v/>
      </c>
      <c r="CH5509" t="str">
        <f>""</f>
        <v/>
      </c>
      <c r="CS5509" t="str">
        <f>""</f>
        <v/>
      </c>
    </row>
    <row r="5510" spans="1:97" x14ac:dyDescent="0.25">
      <c r="A5510" t="s">
        <v>370</v>
      </c>
      <c r="B5510" t="s">
        <v>3248</v>
      </c>
      <c r="E5510" t="s">
        <v>4809</v>
      </c>
      <c r="F5510" t="s">
        <v>108</v>
      </c>
      <c r="H5510" t="s">
        <v>33873</v>
      </c>
      <c r="I5510" t="s">
        <v>390</v>
      </c>
      <c r="J5510" t="s">
        <v>111</v>
      </c>
      <c r="K5510" t="str">
        <f>"85085"</f>
        <v>85085</v>
      </c>
      <c r="L5510" t="s">
        <v>558</v>
      </c>
      <c r="M5510" t="s">
        <v>33873</v>
      </c>
      <c r="N5510" t="s">
        <v>390</v>
      </c>
      <c r="O5510" t="s">
        <v>111</v>
      </c>
      <c r="P5510" t="str">
        <f>"85085-8056"</f>
        <v>85085-8056</v>
      </c>
      <c r="Q5510" t="s">
        <v>113</v>
      </c>
      <c r="R5510" t="str">
        <f>"204-25-125"</f>
        <v>204-25-125</v>
      </c>
      <c r="S5510" t="s">
        <v>18302</v>
      </c>
      <c r="U5510">
        <v>2841</v>
      </c>
      <c r="V5510">
        <v>0</v>
      </c>
      <c r="W5510">
        <v>4</v>
      </c>
      <c r="X5510">
        <v>2010</v>
      </c>
      <c r="Z5510">
        <v>1</v>
      </c>
      <c r="AA5510" t="s">
        <v>26</v>
      </c>
      <c r="AB5510">
        <v>0</v>
      </c>
      <c r="AC5510" t="s">
        <v>115</v>
      </c>
      <c r="AD5510">
        <v>3</v>
      </c>
      <c r="AE5510" t="s">
        <v>115</v>
      </c>
      <c r="AF5510">
        <v>0</v>
      </c>
      <c r="AG5510">
        <v>0</v>
      </c>
      <c r="AH5510" t="s">
        <v>116</v>
      </c>
      <c r="AI5510" s="1">
        <v>136541</v>
      </c>
      <c r="AJ5510" s="2">
        <v>0.27</v>
      </c>
      <c r="AK5510" s="1">
        <v>513591</v>
      </c>
      <c r="AL5510" t="s">
        <v>117</v>
      </c>
      <c r="AM5510" t="s">
        <v>1302</v>
      </c>
      <c r="AN5510">
        <v>10254</v>
      </c>
      <c r="AO5510">
        <v>0.24</v>
      </c>
      <c r="AR5510">
        <v>1</v>
      </c>
      <c r="AS5510" s="1">
        <v>40530</v>
      </c>
      <c r="AT5510" s="1">
        <v>8100</v>
      </c>
      <c r="AU5510" s="1">
        <v>32430</v>
      </c>
      <c r="AV5510">
        <v>80.010000000000005</v>
      </c>
      <c r="AX5510" s="1">
        <v>3786.78</v>
      </c>
      <c r="AY5510" t="s">
        <v>2651</v>
      </c>
      <c r="AZ5510" t="s">
        <v>2651</v>
      </c>
      <c r="BA5510" t="s">
        <v>1462</v>
      </c>
      <c r="BE5510" s="3">
        <v>41878</v>
      </c>
      <c r="BF5510" s="1">
        <v>412500</v>
      </c>
      <c r="BG5510" t="s">
        <v>33874</v>
      </c>
      <c r="BH5510" s="1">
        <v>145.19999999999999</v>
      </c>
      <c r="BI5510" s="1">
        <v>377050</v>
      </c>
      <c r="BJ5510" s="3">
        <v>41878</v>
      </c>
      <c r="BK5510" t="s">
        <v>123</v>
      </c>
      <c r="BL5510" t="str">
        <f>"2014.567717"</f>
        <v>2014.567717</v>
      </c>
      <c r="BM5510" t="s">
        <v>4049</v>
      </c>
      <c r="BO5510" t="s">
        <v>33875</v>
      </c>
      <c r="BS5510">
        <v>30</v>
      </c>
      <c r="BW5510" t="str">
        <f>""</f>
        <v/>
      </c>
      <c r="CH5510" t="str">
        <f>""</f>
        <v/>
      </c>
      <c r="CS5510" t="str">
        <f>""</f>
        <v/>
      </c>
    </row>
    <row r="5511" spans="1:97" x14ac:dyDescent="0.25">
      <c r="A5511" t="s">
        <v>996</v>
      </c>
      <c r="B5511" t="s">
        <v>33876</v>
      </c>
      <c r="C5511" t="s">
        <v>4714</v>
      </c>
      <c r="D5511" t="s">
        <v>8246</v>
      </c>
      <c r="E5511" t="s">
        <v>33877</v>
      </c>
      <c r="F5511" t="s">
        <v>108</v>
      </c>
      <c r="H5511" t="s">
        <v>33878</v>
      </c>
      <c r="I5511" t="s">
        <v>1397</v>
      </c>
      <c r="J5511" t="s">
        <v>111</v>
      </c>
      <c r="K5511" t="str">
        <f>"85331"</f>
        <v>85331</v>
      </c>
      <c r="L5511" t="s">
        <v>12821</v>
      </c>
      <c r="M5511" t="s">
        <v>33878</v>
      </c>
      <c r="N5511" t="s">
        <v>1397</v>
      </c>
      <c r="O5511" t="s">
        <v>111</v>
      </c>
      <c r="P5511" t="str">
        <f>"85331-9139"</f>
        <v>85331-9139</v>
      </c>
      <c r="R5511" t="str">
        <f>"211-28-032"</f>
        <v>211-28-032</v>
      </c>
      <c r="S5511" t="s">
        <v>33879</v>
      </c>
      <c r="T5511" t="s">
        <v>13188</v>
      </c>
      <c r="U5511">
        <v>2355</v>
      </c>
      <c r="V5511">
        <v>0</v>
      </c>
      <c r="W5511">
        <v>3</v>
      </c>
      <c r="X5511">
        <v>1999</v>
      </c>
      <c r="Z5511">
        <v>1</v>
      </c>
      <c r="AA5511" t="s">
        <v>26</v>
      </c>
      <c r="AB5511">
        <v>0</v>
      </c>
      <c r="AC5511" t="s">
        <v>115</v>
      </c>
      <c r="AD5511">
        <v>2</v>
      </c>
      <c r="AE5511" t="s">
        <v>115</v>
      </c>
      <c r="AF5511">
        <v>0</v>
      </c>
      <c r="AG5511">
        <v>0</v>
      </c>
      <c r="AH5511" t="s">
        <v>116</v>
      </c>
      <c r="AI5511" s="1">
        <v>147165</v>
      </c>
      <c r="AJ5511" s="2">
        <v>0.22</v>
      </c>
      <c r="AK5511" s="1">
        <v>662569</v>
      </c>
      <c r="AL5511" t="s">
        <v>117</v>
      </c>
      <c r="AM5511" t="s">
        <v>3973</v>
      </c>
      <c r="AN5511">
        <v>51484</v>
      </c>
      <c r="AO5511">
        <v>1.18</v>
      </c>
      <c r="AP5511">
        <v>1</v>
      </c>
      <c r="AR5511">
        <v>1</v>
      </c>
      <c r="AS5511" s="1">
        <v>55430</v>
      </c>
      <c r="AT5511" s="1">
        <v>11080</v>
      </c>
      <c r="AU5511" s="1">
        <v>44350</v>
      </c>
      <c r="AV5511">
        <v>80.010000000000005</v>
      </c>
      <c r="AX5511" s="1">
        <v>2825.36</v>
      </c>
      <c r="AY5511" t="s">
        <v>7359</v>
      </c>
      <c r="AZ5511" t="s">
        <v>1402</v>
      </c>
      <c r="BA5511" t="s">
        <v>1403</v>
      </c>
      <c r="BB5511" s="3">
        <v>42198</v>
      </c>
      <c r="BD5511" t="s">
        <v>480</v>
      </c>
      <c r="BE5511" s="3">
        <v>42144</v>
      </c>
      <c r="BF5511" s="1">
        <v>445000</v>
      </c>
      <c r="BG5511" t="s">
        <v>33880</v>
      </c>
      <c r="BH5511" s="1">
        <v>188.96</v>
      </c>
      <c r="BI5511" s="1">
        <v>450904</v>
      </c>
      <c r="BJ5511" s="3">
        <v>42144</v>
      </c>
      <c r="BK5511" t="s">
        <v>123</v>
      </c>
      <c r="BL5511" t="str">
        <f>"2015.354549"</f>
        <v>2015.354549</v>
      </c>
      <c r="BM5511" t="s">
        <v>6784</v>
      </c>
      <c r="BN5511" t="s">
        <v>1136</v>
      </c>
      <c r="BO5511" t="s">
        <v>33881</v>
      </c>
      <c r="BS5511">
        <v>30</v>
      </c>
      <c r="BT5511" s="1">
        <v>64500</v>
      </c>
      <c r="BU5511" s="3">
        <v>43713</v>
      </c>
      <c r="BW5511" t="str">
        <f>"2019.691738"</f>
        <v>2019.691738</v>
      </c>
      <c r="BX5511" t="s">
        <v>1051</v>
      </c>
      <c r="BY5511" t="s">
        <v>1052</v>
      </c>
      <c r="BZ5511" t="s">
        <v>33882</v>
      </c>
      <c r="CA5511" t="s">
        <v>33883</v>
      </c>
      <c r="CC5511" t="s">
        <v>346</v>
      </c>
      <c r="CH5511" t="str">
        <f>""</f>
        <v/>
      </c>
      <c r="CS5511" t="str">
        <f>""</f>
        <v/>
      </c>
    </row>
    <row r="5512" spans="1:97" x14ac:dyDescent="0.25">
      <c r="B5512" t="s">
        <v>33884</v>
      </c>
      <c r="E5512" t="s">
        <v>33885</v>
      </c>
      <c r="F5512" t="s">
        <v>108</v>
      </c>
      <c r="H5512" t="s">
        <v>33886</v>
      </c>
      <c r="I5512" t="s">
        <v>390</v>
      </c>
      <c r="J5512" t="s">
        <v>111</v>
      </c>
      <c r="K5512" t="str">
        <f>"85048"</f>
        <v>85048</v>
      </c>
      <c r="L5512" t="s">
        <v>6691</v>
      </c>
      <c r="M5512" t="s">
        <v>33886</v>
      </c>
      <c r="N5512" t="s">
        <v>390</v>
      </c>
      <c r="O5512" t="s">
        <v>111</v>
      </c>
      <c r="P5512" t="str">
        <f>"85048-2076"</f>
        <v>85048-2076</v>
      </c>
      <c r="Q5512" t="s">
        <v>113</v>
      </c>
      <c r="R5512" t="str">
        <f>"311-02-243"</f>
        <v>311-02-243</v>
      </c>
      <c r="S5512" t="s">
        <v>33887</v>
      </c>
      <c r="U5512">
        <v>3368</v>
      </c>
      <c r="V5512">
        <v>0</v>
      </c>
      <c r="W5512">
        <v>4</v>
      </c>
      <c r="X5512">
        <v>1999</v>
      </c>
      <c r="Z5512">
        <v>1</v>
      </c>
      <c r="AA5512" t="s">
        <v>26</v>
      </c>
      <c r="AB5512">
        <v>0</v>
      </c>
      <c r="AC5512" t="s">
        <v>115</v>
      </c>
      <c r="AD5512">
        <v>3</v>
      </c>
      <c r="AE5512" t="s">
        <v>115</v>
      </c>
      <c r="AF5512">
        <v>0</v>
      </c>
      <c r="AG5512">
        <v>0</v>
      </c>
      <c r="AH5512" t="s">
        <v>116</v>
      </c>
      <c r="AI5512" s="1">
        <v>197013</v>
      </c>
      <c r="AJ5512" s="2">
        <v>0.24</v>
      </c>
      <c r="AK5512" s="1">
        <v>832173</v>
      </c>
      <c r="AL5512" t="s">
        <v>117</v>
      </c>
      <c r="AM5512" t="s">
        <v>33888</v>
      </c>
      <c r="AN5512">
        <v>11610</v>
      </c>
      <c r="AO5512">
        <v>0.27</v>
      </c>
      <c r="AP5512">
        <v>1</v>
      </c>
      <c r="AR5512">
        <v>1</v>
      </c>
      <c r="AS5512" s="1">
        <v>66960</v>
      </c>
      <c r="AT5512" s="1">
        <v>13390</v>
      </c>
      <c r="AU5512" s="1">
        <v>53570</v>
      </c>
      <c r="AV5512">
        <v>80</v>
      </c>
      <c r="AX5512" s="1">
        <v>7318.16</v>
      </c>
      <c r="AY5512" t="s">
        <v>2966</v>
      </c>
      <c r="AZ5512" t="s">
        <v>2967</v>
      </c>
      <c r="BA5512" t="s">
        <v>930</v>
      </c>
      <c r="BB5512" s="3">
        <v>43336</v>
      </c>
      <c r="BC5512" s="1">
        <v>0</v>
      </c>
      <c r="BD5512" t="s">
        <v>247</v>
      </c>
      <c r="BE5512" s="3">
        <v>42216</v>
      </c>
      <c r="BF5512" s="1">
        <v>707500</v>
      </c>
      <c r="BG5512" t="s">
        <v>33889</v>
      </c>
      <c r="BH5512" s="1">
        <v>210.07</v>
      </c>
      <c r="BI5512" s="1">
        <v>635160</v>
      </c>
      <c r="BJ5512" s="3">
        <v>42452</v>
      </c>
      <c r="BK5512" t="s">
        <v>123</v>
      </c>
      <c r="BL5512" t="str">
        <f>"2016.186917"</f>
        <v>2016.186917</v>
      </c>
      <c r="BM5512" t="s">
        <v>903</v>
      </c>
      <c r="BN5512" t="s">
        <v>904</v>
      </c>
      <c r="BO5512" t="s">
        <v>33890</v>
      </c>
      <c r="BS5512">
        <v>30</v>
      </c>
      <c r="BW5512" t="str">
        <f>""</f>
        <v/>
      </c>
      <c r="CH5512" t="str">
        <f>""</f>
        <v/>
      </c>
      <c r="CS5512" t="str">
        <f>""</f>
        <v/>
      </c>
    </row>
    <row r="5513" spans="1:97" x14ac:dyDescent="0.25">
      <c r="B5513" t="s">
        <v>33891</v>
      </c>
      <c r="E5513" t="s">
        <v>33892</v>
      </c>
      <c r="F5513" t="s">
        <v>108</v>
      </c>
      <c r="H5513" t="s">
        <v>33893</v>
      </c>
      <c r="I5513" t="s">
        <v>1936</v>
      </c>
      <c r="J5513" t="s">
        <v>111</v>
      </c>
      <c r="K5513" t="str">
        <f>"85258"</f>
        <v>85258</v>
      </c>
      <c r="L5513" t="s">
        <v>9764</v>
      </c>
      <c r="M5513" t="s">
        <v>33893</v>
      </c>
      <c r="N5513" t="s">
        <v>1936</v>
      </c>
      <c r="O5513" t="s">
        <v>111</v>
      </c>
      <c r="P5513" t="str">
        <f>"85258-4826"</f>
        <v>85258-4826</v>
      </c>
      <c r="Q5513" t="s">
        <v>113</v>
      </c>
      <c r="R5513" t="str">
        <f>"217-49-497"</f>
        <v>217-49-497</v>
      </c>
      <c r="S5513" t="s">
        <v>33894</v>
      </c>
      <c r="T5513" t="s">
        <v>33895</v>
      </c>
      <c r="U5513">
        <v>2179</v>
      </c>
      <c r="V5513">
        <v>0</v>
      </c>
      <c r="W5513">
        <v>3</v>
      </c>
      <c r="X5513">
        <v>1989</v>
      </c>
      <c r="Z5513">
        <v>1</v>
      </c>
      <c r="AB5513">
        <v>0</v>
      </c>
      <c r="AC5513" t="s">
        <v>115</v>
      </c>
      <c r="AD5513">
        <v>2</v>
      </c>
      <c r="AE5513" t="s">
        <v>115</v>
      </c>
      <c r="AF5513">
        <v>0</v>
      </c>
      <c r="AG5513">
        <v>0</v>
      </c>
      <c r="AH5513" t="s">
        <v>116</v>
      </c>
      <c r="AI5513" s="1">
        <v>108688</v>
      </c>
      <c r="AJ5513" s="2">
        <v>0.13</v>
      </c>
      <c r="AK5513" s="1">
        <v>831233</v>
      </c>
      <c r="AL5513" t="s">
        <v>117</v>
      </c>
      <c r="AM5513" t="s">
        <v>6533</v>
      </c>
      <c r="AN5513">
        <v>9181</v>
      </c>
      <c r="AO5513">
        <v>0.21</v>
      </c>
      <c r="AP5513">
        <v>1</v>
      </c>
      <c r="AR5513">
        <v>1</v>
      </c>
      <c r="AS5513" s="1">
        <v>68650</v>
      </c>
      <c r="AT5513" s="1">
        <v>13730</v>
      </c>
      <c r="AU5513" s="1">
        <v>54920</v>
      </c>
      <c r="AV5513">
        <v>80</v>
      </c>
      <c r="AX5513" s="1">
        <v>5096.42</v>
      </c>
      <c r="AY5513" t="s">
        <v>5761</v>
      </c>
      <c r="AZ5513" t="s">
        <v>5762</v>
      </c>
      <c r="BA5513" t="s">
        <v>5763</v>
      </c>
      <c r="BB5513" s="3">
        <v>42626</v>
      </c>
      <c r="BD5513" t="s">
        <v>240</v>
      </c>
      <c r="BE5513" s="3">
        <v>42156</v>
      </c>
      <c r="BF5513" s="1">
        <v>812500</v>
      </c>
      <c r="BG5513" t="s">
        <v>33896</v>
      </c>
      <c r="BH5513" s="1">
        <v>372.88</v>
      </c>
      <c r="BI5513" s="1">
        <v>722545</v>
      </c>
      <c r="BJ5513" s="3">
        <v>42156</v>
      </c>
      <c r="BK5513" t="s">
        <v>123</v>
      </c>
      <c r="BL5513" t="str">
        <f>"2015.388016"</f>
        <v>2015.388016</v>
      </c>
      <c r="BM5513" t="s">
        <v>4014</v>
      </c>
      <c r="BO5513" t="s">
        <v>33897</v>
      </c>
      <c r="BS5513">
        <v>30</v>
      </c>
      <c r="BW5513" t="str">
        <f>""</f>
        <v/>
      </c>
      <c r="CH5513" t="str">
        <f>""</f>
        <v/>
      </c>
      <c r="CS5513" t="str">
        <f>""</f>
        <v/>
      </c>
    </row>
    <row r="5514" spans="1:97" x14ac:dyDescent="0.25">
      <c r="B5514" t="s">
        <v>33898</v>
      </c>
      <c r="E5514" t="s">
        <v>33899</v>
      </c>
      <c r="F5514" t="s">
        <v>108</v>
      </c>
      <c r="H5514" t="s">
        <v>33900</v>
      </c>
      <c r="I5514" t="s">
        <v>1397</v>
      </c>
      <c r="J5514" t="s">
        <v>111</v>
      </c>
      <c r="K5514" t="str">
        <f>"85331"</f>
        <v>85331</v>
      </c>
      <c r="L5514" t="s">
        <v>6492</v>
      </c>
      <c r="M5514" t="s">
        <v>33900</v>
      </c>
      <c r="N5514" t="s">
        <v>1397</v>
      </c>
      <c r="O5514" t="s">
        <v>111</v>
      </c>
      <c r="P5514" t="str">
        <f>"85331-9510"</f>
        <v>85331-9510</v>
      </c>
      <c r="Q5514" t="s">
        <v>113</v>
      </c>
      <c r="R5514" t="str">
        <f>"211-27-157"</f>
        <v>211-27-157</v>
      </c>
      <c r="S5514" t="s">
        <v>33901</v>
      </c>
      <c r="T5514" t="s">
        <v>24854</v>
      </c>
      <c r="U5514">
        <v>3686</v>
      </c>
      <c r="V5514">
        <v>0</v>
      </c>
      <c r="W5514">
        <v>4</v>
      </c>
      <c r="X5514">
        <v>2004</v>
      </c>
      <c r="Z5514">
        <v>1</v>
      </c>
      <c r="AA5514" t="s">
        <v>26</v>
      </c>
      <c r="AB5514">
        <v>0</v>
      </c>
      <c r="AC5514" t="s">
        <v>115</v>
      </c>
      <c r="AD5514">
        <v>3</v>
      </c>
      <c r="AE5514" t="s">
        <v>115</v>
      </c>
      <c r="AF5514">
        <v>0</v>
      </c>
      <c r="AG5514">
        <v>0</v>
      </c>
      <c r="AH5514" t="s">
        <v>116</v>
      </c>
      <c r="AI5514" s="1">
        <v>211062</v>
      </c>
      <c r="AJ5514" s="2">
        <v>0.28999999999999998</v>
      </c>
      <c r="AK5514" s="1">
        <v>720151</v>
      </c>
      <c r="AL5514" t="s">
        <v>117</v>
      </c>
      <c r="AM5514" t="s">
        <v>376</v>
      </c>
      <c r="AN5514">
        <v>44209</v>
      </c>
      <c r="AO5514">
        <v>1.02</v>
      </c>
      <c r="AP5514">
        <v>1</v>
      </c>
      <c r="AR5514">
        <v>1</v>
      </c>
      <c r="AS5514" s="1">
        <v>56330</v>
      </c>
      <c r="AT5514" s="1">
        <v>11260</v>
      </c>
      <c r="AU5514" s="1">
        <v>45070</v>
      </c>
      <c r="AV5514">
        <v>80.010000000000005</v>
      </c>
      <c r="AX5514" s="1">
        <v>5054.5</v>
      </c>
      <c r="AY5514" t="s">
        <v>1587</v>
      </c>
      <c r="AZ5514" t="s">
        <v>1587</v>
      </c>
      <c r="BA5514" t="s">
        <v>378</v>
      </c>
      <c r="BB5514" s="3">
        <v>42086</v>
      </c>
      <c r="BD5514" t="s">
        <v>240</v>
      </c>
      <c r="BE5514" s="3">
        <v>41760</v>
      </c>
      <c r="BF5514" s="1">
        <v>546000</v>
      </c>
      <c r="BG5514" t="s">
        <v>33902</v>
      </c>
      <c r="BH5514" s="1">
        <v>148.13</v>
      </c>
      <c r="BI5514" s="1">
        <v>509089</v>
      </c>
      <c r="BJ5514" s="3">
        <v>42062</v>
      </c>
      <c r="BK5514" t="s">
        <v>123</v>
      </c>
      <c r="BL5514" t="str">
        <f>"2015.133000"</f>
        <v>2015.133000</v>
      </c>
      <c r="BM5514" t="s">
        <v>2472</v>
      </c>
      <c r="BO5514" t="s">
        <v>33903</v>
      </c>
      <c r="BP5514" t="s">
        <v>33904</v>
      </c>
      <c r="BS5514">
        <v>30</v>
      </c>
      <c r="BW5514" t="str">
        <f>""</f>
        <v/>
      </c>
      <c r="CH5514" t="str">
        <f>""</f>
        <v/>
      </c>
      <c r="CS5514" t="str">
        <f>""</f>
        <v/>
      </c>
    </row>
    <row r="5515" spans="1:97" x14ac:dyDescent="0.25">
      <c r="A5515" t="s">
        <v>152</v>
      </c>
      <c r="B5515" t="s">
        <v>4123</v>
      </c>
      <c r="C5515" t="s">
        <v>1297</v>
      </c>
      <c r="D5515" t="s">
        <v>4123</v>
      </c>
      <c r="E5515" t="s">
        <v>33905</v>
      </c>
      <c r="F5515" t="s">
        <v>108</v>
      </c>
      <c r="H5515" t="s">
        <v>33906</v>
      </c>
      <c r="I5515" t="s">
        <v>390</v>
      </c>
      <c r="J5515" t="s">
        <v>111</v>
      </c>
      <c r="K5515" t="str">
        <f>"85085"</f>
        <v>85085</v>
      </c>
      <c r="L5515" t="s">
        <v>3318</v>
      </c>
      <c r="M5515" t="s">
        <v>33906</v>
      </c>
      <c r="N5515" t="s">
        <v>390</v>
      </c>
      <c r="O5515" t="s">
        <v>111</v>
      </c>
      <c r="P5515" t="str">
        <f>"85085"</f>
        <v>85085</v>
      </c>
      <c r="Q5515" t="s">
        <v>113</v>
      </c>
      <c r="R5515" t="str">
        <f>"204-24-451"</f>
        <v>204-24-451</v>
      </c>
      <c r="S5515" t="s">
        <v>12413</v>
      </c>
      <c r="T5515" t="s">
        <v>9959</v>
      </c>
      <c r="U5515">
        <v>2265</v>
      </c>
      <c r="V5515">
        <v>0</v>
      </c>
      <c r="W5515">
        <v>4</v>
      </c>
      <c r="X5515">
        <v>2008</v>
      </c>
      <c r="Z5515">
        <v>2</v>
      </c>
      <c r="AA5515" t="s">
        <v>26</v>
      </c>
      <c r="AB5515">
        <v>0</v>
      </c>
      <c r="AC5515" t="s">
        <v>115</v>
      </c>
      <c r="AD5515">
        <v>2</v>
      </c>
      <c r="AE5515" t="s">
        <v>115</v>
      </c>
      <c r="AF5515">
        <v>0</v>
      </c>
      <c r="AG5515">
        <v>0</v>
      </c>
      <c r="AH5515" t="s">
        <v>116</v>
      </c>
      <c r="AI5515" s="1">
        <v>81777</v>
      </c>
      <c r="AJ5515" s="2">
        <v>0.23</v>
      </c>
      <c r="AK5515" s="1">
        <v>361309</v>
      </c>
      <c r="AL5515" t="s">
        <v>117</v>
      </c>
      <c r="AM5515" t="s">
        <v>191</v>
      </c>
      <c r="AN5515">
        <v>7178</v>
      </c>
      <c r="AO5515">
        <v>0.16</v>
      </c>
      <c r="AR5515">
        <v>1</v>
      </c>
      <c r="AS5515" s="1">
        <v>26530</v>
      </c>
      <c r="AT5515" s="1">
        <v>5300</v>
      </c>
      <c r="AU5515" s="1">
        <v>21230</v>
      </c>
      <c r="AV5515">
        <v>80.02</v>
      </c>
      <c r="AX5515" s="1">
        <v>2148</v>
      </c>
      <c r="AY5515" t="s">
        <v>2651</v>
      </c>
      <c r="AZ5515" t="s">
        <v>2651</v>
      </c>
      <c r="BA5515" t="s">
        <v>1462</v>
      </c>
      <c r="BE5515" s="3">
        <v>42153</v>
      </c>
      <c r="BF5515" s="1">
        <v>283000</v>
      </c>
      <c r="BG5515" t="s">
        <v>33907</v>
      </c>
      <c r="BH5515" s="1">
        <v>124.94</v>
      </c>
      <c r="BI5515" s="1">
        <v>279532</v>
      </c>
      <c r="BJ5515" s="3">
        <v>42655</v>
      </c>
      <c r="BK5515" t="s">
        <v>123</v>
      </c>
      <c r="BL5515" t="str">
        <f>"2016.749599"</f>
        <v>2016.749599</v>
      </c>
      <c r="BM5515" t="s">
        <v>402</v>
      </c>
      <c r="BO5515" t="s">
        <v>33908</v>
      </c>
      <c r="BS5515">
        <v>30</v>
      </c>
      <c r="BW5515" t="str">
        <f>""</f>
        <v/>
      </c>
      <c r="CH5515" t="str">
        <f>""</f>
        <v/>
      </c>
      <c r="CS5515" t="str">
        <f>""</f>
        <v/>
      </c>
    </row>
    <row r="5516" spans="1:97" x14ac:dyDescent="0.25">
      <c r="A5516" t="s">
        <v>33909</v>
      </c>
      <c r="B5516" t="s">
        <v>33910</v>
      </c>
      <c r="E5516" t="s">
        <v>33911</v>
      </c>
      <c r="F5516" t="s">
        <v>282</v>
      </c>
      <c r="H5516" t="s">
        <v>33912</v>
      </c>
      <c r="I5516" t="s">
        <v>5114</v>
      </c>
      <c r="J5516" t="s">
        <v>111</v>
      </c>
      <c r="K5516" t="str">
        <f>"85323"</f>
        <v>85323</v>
      </c>
      <c r="L5516" t="s">
        <v>5456</v>
      </c>
      <c r="M5516" t="s">
        <v>33913</v>
      </c>
      <c r="N5516" t="s">
        <v>33914</v>
      </c>
      <c r="O5516" t="s">
        <v>360</v>
      </c>
      <c r="P5516" t="str">
        <f>"93312-5111"</f>
        <v>93312-5111</v>
      </c>
      <c r="Q5516" t="s">
        <v>113</v>
      </c>
      <c r="R5516" t="str">
        <f>"500-32-709"</f>
        <v>500-32-709</v>
      </c>
      <c r="S5516" t="s">
        <v>5457</v>
      </c>
      <c r="U5516">
        <v>3403</v>
      </c>
      <c r="V5516">
        <v>0</v>
      </c>
      <c r="W5516">
        <v>4</v>
      </c>
      <c r="X5516">
        <v>2015</v>
      </c>
      <c r="Z5516">
        <v>2</v>
      </c>
      <c r="AB5516">
        <v>0</v>
      </c>
      <c r="AC5516" t="s">
        <v>115</v>
      </c>
      <c r="AD5516">
        <v>3</v>
      </c>
      <c r="AE5516" t="s">
        <v>115</v>
      </c>
      <c r="AF5516">
        <v>0</v>
      </c>
      <c r="AG5516">
        <v>0</v>
      </c>
      <c r="AH5516" t="s">
        <v>116</v>
      </c>
      <c r="AI5516" s="1">
        <v>99426</v>
      </c>
      <c r="AJ5516" s="2">
        <v>0.3</v>
      </c>
      <c r="AK5516" s="1">
        <v>336026</v>
      </c>
      <c r="AL5516" t="s">
        <v>117</v>
      </c>
      <c r="AM5516" t="s">
        <v>118</v>
      </c>
      <c r="AN5516">
        <v>6900</v>
      </c>
      <c r="AO5516">
        <v>0.16</v>
      </c>
      <c r="AR5516">
        <v>1</v>
      </c>
      <c r="AS5516" s="1">
        <v>24030</v>
      </c>
      <c r="AT5516" s="1">
        <v>4800</v>
      </c>
      <c r="AU5516" s="1">
        <v>19230</v>
      </c>
      <c r="AV5516">
        <v>80.02</v>
      </c>
      <c r="AX5516" s="1">
        <v>3007.12</v>
      </c>
      <c r="AY5516" t="s">
        <v>5458</v>
      </c>
      <c r="AZ5516" t="s">
        <v>5458</v>
      </c>
      <c r="BA5516" t="s">
        <v>4254</v>
      </c>
      <c r="BE5516" s="3">
        <v>42247</v>
      </c>
      <c r="BF5516" s="1">
        <v>256601</v>
      </c>
      <c r="BG5516" t="s">
        <v>158</v>
      </c>
      <c r="BH5516" s="1">
        <v>75.400000000000006</v>
      </c>
      <c r="BI5516" s="1">
        <v>236600</v>
      </c>
      <c r="BJ5516" s="3">
        <v>42247</v>
      </c>
      <c r="BK5516" t="s">
        <v>123</v>
      </c>
      <c r="BL5516" t="str">
        <f>"2015.629596"</f>
        <v>2015.629596</v>
      </c>
      <c r="BM5516" t="s">
        <v>241</v>
      </c>
      <c r="BO5516" t="s">
        <v>33915</v>
      </c>
      <c r="BS5516">
        <v>30</v>
      </c>
      <c r="BW5516" t="str">
        <f>""</f>
        <v/>
      </c>
      <c r="CH5516" t="str">
        <f>""</f>
        <v/>
      </c>
      <c r="CS5516" t="str">
        <f>""</f>
        <v/>
      </c>
    </row>
    <row r="5517" spans="1:97" x14ac:dyDescent="0.25">
      <c r="A5517" t="s">
        <v>1979</v>
      </c>
      <c r="B5517" t="s">
        <v>20104</v>
      </c>
      <c r="C5517" t="s">
        <v>33916</v>
      </c>
      <c r="D5517" t="s">
        <v>20104</v>
      </c>
      <c r="E5517" t="s">
        <v>33917</v>
      </c>
      <c r="F5517" t="s">
        <v>108</v>
      </c>
      <c r="H5517" t="s">
        <v>33918</v>
      </c>
      <c r="I5517" t="s">
        <v>2874</v>
      </c>
      <c r="J5517" t="s">
        <v>111</v>
      </c>
      <c r="K5517" t="str">
        <f>"85304"</f>
        <v>85304</v>
      </c>
      <c r="L5517" t="s">
        <v>5606</v>
      </c>
      <c r="M5517" t="s">
        <v>33918</v>
      </c>
      <c r="N5517" t="s">
        <v>2874</v>
      </c>
      <c r="O5517" t="s">
        <v>111</v>
      </c>
      <c r="P5517" t="str">
        <f>"85304-1502"</f>
        <v>85304-1502</v>
      </c>
      <c r="Q5517" t="s">
        <v>113</v>
      </c>
      <c r="R5517" t="str">
        <f>"207-41-012"</f>
        <v>207-41-012</v>
      </c>
      <c r="S5517" t="s">
        <v>23622</v>
      </c>
      <c r="T5517" t="s">
        <v>16499</v>
      </c>
      <c r="U5517">
        <v>1806</v>
      </c>
      <c r="V5517">
        <v>0</v>
      </c>
      <c r="W5517">
        <v>2</v>
      </c>
      <c r="X5517">
        <v>1978</v>
      </c>
      <c r="Z5517">
        <v>1</v>
      </c>
      <c r="AA5517" t="s">
        <v>26</v>
      </c>
      <c r="AB5517">
        <v>0</v>
      </c>
      <c r="AC5517" t="s">
        <v>115</v>
      </c>
      <c r="AD5517">
        <v>2</v>
      </c>
      <c r="AE5517" t="s">
        <v>115</v>
      </c>
      <c r="AF5517">
        <v>0</v>
      </c>
      <c r="AG5517">
        <v>0</v>
      </c>
      <c r="AH5517" t="s">
        <v>116</v>
      </c>
      <c r="AI5517" s="1">
        <v>43514</v>
      </c>
      <c r="AJ5517" s="2">
        <v>0.16</v>
      </c>
      <c r="AK5517" s="1">
        <v>270514</v>
      </c>
      <c r="AL5517" t="s">
        <v>117</v>
      </c>
      <c r="AM5517" t="s">
        <v>171</v>
      </c>
      <c r="AN5517">
        <v>8759</v>
      </c>
      <c r="AO5517">
        <v>0.2</v>
      </c>
      <c r="AP5517">
        <v>1</v>
      </c>
      <c r="AR5517">
        <v>1</v>
      </c>
      <c r="AS5517" s="1">
        <v>19210</v>
      </c>
      <c r="AT5517" s="1">
        <v>3840</v>
      </c>
      <c r="AU5517" s="1">
        <v>15370</v>
      </c>
      <c r="AV5517">
        <v>80.010000000000005</v>
      </c>
      <c r="AX5517" s="1">
        <v>1499.86</v>
      </c>
      <c r="AY5517" t="s">
        <v>23623</v>
      </c>
      <c r="AZ5517" t="s">
        <v>23623</v>
      </c>
      <c r="BA5517" t="s">
        <v>10888</v>
      </c>
      <c r="BE5517" s="3">
        <v>41912</v>
      </c>
      <c r="BF5517" s="1">
        <v>230000</v>
      </c>
      <c r="BG5517" t="s">
        <v>33919</v>
      </c>
      <c r="BH5517" s="1">
        <v>127.35</v>
      </c>
      <c r="BI5517" s="1">
        <v>227000</v>
      </c>
      <c r="BJ5517" s="3">
        <v>42725</v>
      </c>
      <c r="BK5517" t="s">
        <v>123</v>
      </c>
      <c r="BL5517" t="str">
        <f>"2016.939229"</f>
        <v>2016.939229</v>
      </c>
      <c r="BM5517" t="s">
        <v>124</v>
      </c>
      <c r="BO5517" t="s">
        <v>33920</v>
      </c>
      <c r="BS5517">
        <v>30</v>
      </c>
      <c r="BW5517" t="str">
        <f>""</f>
        <v/>
      </c>
      <c r="CH5517" t="str">
        <f>""</f>
        <v/>
      </c>
      <c r="CS5517" t="str">
        <f>""</f>
        <v/>
      </c>
    </row>
    <row r="5518" spans="1:97" x14ac:dyDescent="0.25">
      <c r="A5518" t="s">
        <v>370</v>
      </c>
      <c r="B5518" t="s">
        <v>33921</v>
      </c>
      <c r="E5518" t="s">
        <v>33922</v>
      </c>
      <c r="F5518" t="s">
        <v>108</v>
      </c>
      <c r="H5518" t="s">
        <v>33923</v>
      </c>
      <c r="I5518" t="s">
        <v>110</v>
      </c>
      <c r="J5518" t="s">
        <v>111</v>
      </c>
      <c r="K5518" t="str">
        <f>"85225"</f>
        <v>85225</v>
      </c>
      <c r="L5518" t="s">
        <v>8199</v>
      </c>
      <c r="M5518" t="s">
        <v>33923</v>
      </c>
      <c r="N5518" t="s">
        <v>110</v>
      </c>
      <c r="O5518" t="s">
        <v>111</v>
      </c>
      <c r="P5518" t="str">
        <f>"85225-5288"</f>
        <v>85225-5288</v>
      </c>
      <c r="Q5518" t="s">
        <v>113</v>
      </c>
      <c r="R5518" t="str">
        <f>"302-84-756"</f>
        <v>302-84-756</v>
      </c>
      <c r="S5518" t="s">
        <v>33924</v>
      </c>
      <c r="T5518" t="s">
        <v>19515</v>
      </c>
      <c r="U5518">
        <v>1825</v>
      </c>
      <c r="V5518">
        <v>0</v>
      </c>
      <c r="W5518">
        <v>3</v>
      </c>
      <c r="X5518">
        <v>1994</v>
      </c>
      <c r="Z5518">
        <v>1</v>
      </c>
      <c r="AA5518" t="s">
        <v>26</v>
      </c>
      <c r="AB5518">
        <v>0</v>
      </c>
      <c r="AC5518" t="s">
        <v>115</v>
      </c>
      <c r="AD5518">
        <v>3</v>
      </c>
      <c r="AE5518" t="s">
        <v>115</v>
      </c>
      <c r="AF5518">
        <v>0</v>
      </c>
      <c r="AG5518">
        <v>0</v>
      </c>
      <c r="AH5518" t="s">
        <v>116</v>
      </c>
      <c r="AI5518" s="1">
        <v>-193362</v>
      </c>
      <c r="AJ5518" s="2">
        <v>-0.55000000000000004</v>
      </c>
      <c r="AK5518" s="1">
        <v>349854</v>
      </c>
      <c r="AL5518" t="s">
        <v>117</v>
      </c>
      <c r="AM5518" t="s">
        <v>118</v>
      </c>
      <c r="AN5518">
        <v>7488</v>
      </c>
      <c r="AO5518">
        <v>0.17</v>
      </c>
      <c r="AP5518">
        <v>1</v>
      </c>
      <c r="AR5518">
        <v>1</v>
      </c>
      <c r="AS5518" s="1">
        <v>24960</v>
      </c>
      <c r="AT5518" s="1">
        <v>4990</v>
      </c>
      <c r="AU5518" s="1">
        <v>19970</v>
      </c>
      <c r="AV5518">
        <v>80.010000000000005</v>
      </c>
      <c r="AX5518" s="1">
        <v>1816.04</v>
      </c>
      <c r="AY5518" t="s">
        <v>2956</v>
      </c>
      <c r="AZ5518" t="s">
        <v>2906</v>
      </c>
      <c r="BA5518" t="s">
        <v>2957</v>
      </c>
      <c r="BE5518" s="3">
        <v>41803</v>
      </c>
      <c r="BF5518" s="1">
        <v>245000</v>
      </c>
      <c r="BG5518" t="s">
        <v>5716</v>
      </c>
      <c r="BH5518" s="1">
        <v>134.25</v>
      </c>
      <c r="BI5518" s="1">
        <v>285108</v>
      </c>
      <c r="BJ5518" s="3">
        <v>42926</v>
      </c>
      <c r="BK5518" t="s">
        <v>123</v>
      </c>
      <c r="BL5518" t="str">
        <f>"2017.499390"</f>
        <v>2017.499390</v>
      </c>
      <c r="BM5518" t="s">
        <v>33925</v>
      </c>
      <c r="BO5518" t="s">
        <v>33926</v>
      </c>
      <c r="BS5518">
        <v>30</v>
      </c>
      <c r="BT5518" s="1">
        <v>258108</v>
      </c>
      <c r="BU5518" s="3">
        <v>42926</v>
      </c>
      <c r="BV5518" t="s">
        <v>123</v>
      </c>
      <c r="BW5518" t="str">
        <f>"2017.499390"</f>
        <v>2017.499390</v>
      </c>
      <c r="BX5518" t="s">
        <v>33927</v>
      </c>
      <c r="BZ5518" t="s">
        <v>33926</v>
      </c>
      <c r="CD5518">
        <v>30</v>
      </c>
      <c r="CH5518" t="str">
        <f>""</f>
        <v/>
      </c>
      <c r="CS5518" t="str">
        <f>""</f>
        <v/>
      </c>
    </row>
    <row r="5519" spans="1:97" x14ac:dyDescent="0.25">
      <c r="A5519" t="s">
        <v>894</v>
      </c>
      <c r="B5519" t="s">
        <v>33928</v>
      </c>
      <c r="E5519" t="s">
        <v>33929</v>
      </c>
      <c r="F5519" t="s">
        <v>108</v>
      </c>
      <c r="H5519" t="s">
        <v>33930</v>
      </c>
      <c r="I5519" t="s">
        <v>5387</v>
      </c>
      <c r="J5519" t="s">
        <v>111</v>
      </c>
      <c r="K5519" t="str">
        <f>"85281"</f>
        <v>85281</v>
      </c>
      <c r="L5519" t="s">
        <v>5464</v>
      </c>
      <c r="M5519" t="s">
        <v>33930</v>
      </c>
      <c r="N5519" t="s">
        <v>5387</v>
      </c>
      <c r="O5519" t="s">
        <v>111</v>
      </c>
      <c r="P5519" t="str">
        <f>"85281-1003"</f>
        <v>85281-1003</v>
      </c>
      <c r="Q5519" t="s">
        <v>113</v>
      </c>
      <c r="R5519" t="str">
        <f>"129-15-042"</f>
        <v>129-15-042</v>
      </c>
      <c r="S5519" t="s">
        <v>23250</v>
      </c>
      <c r="T5519" t="s">
        <v>9588</v>
      </c>
      <c r="U5519">
        <v>1148</v>
      </c>
      <c r="V5519">
        <v>0</v>
      </c>
      <c r="W5519">
        <v>2</v>
      </c>
      <c r="X5519">
        <v>1959</v>
      </c>
      <c r="Z5519">
        <v>1</v>
      </c>
      <c r="AB5519">
        <v>0</v>
      </c>
      <c r="AC5519" t="s">
        <v>5188</v>
      </c>
      <c r="AD5519">
        <v>1</v>
      </c>
      <c r="AE5519" t="s">
        <v>5188</v>
      </c>
      <c r="AF5519">
        <v>0</v>
      </c>
      <c r="AG5519">
        <v>0</v>
      </c>
      <c r="AH5519" t="s">
        <v>116</v>
      </c>
      <c r="AI5519" s="1">
        <v>87286</v>
      </c>
      <c r="AJ5519" s="2">
        <v>0.3</v>
      </c>
      <c r="AK5519" s="1">
        <v>290286</v>
      </c>
      <c r="AL5519" t="s">
        <v>117</v>
      </c>
      <c r="AM5519" t="s">
        <v>191</v>
      </c>
      <c r="AN5519">
        <v>6299</v>
      </c>
      <c r="AO5519">
        <v>0.14000000000000001</v>
      </c>
      <c r="AP5519">
        <v>1</v>
      </c>
      <c r="AR5519">
        <v>1</v>
      </c>
      <c r="AS5519" s="1">
        <v>19530</v>
      </c>
      <c r="AT5519" s="1">
        <v>3900</v>
      </c>
      <c r="AU5519" s="1">
        <v>15630</v>
      </c>
      <c r="AV5519">
        <v>80.03</v>
      </c>
      <c r="AX5519" s="1">
        <v>1056.46</v>
      </c>
      <c r="AY5519" t="s">
        <v>8392</v>
      </c>
      <c r="AZ5519" t="s">
        <v>5420</v>
      </c>
      <c r="BA5519" t="s">
        <v>5421</v>
      </c>
      <c r="BE5519" s="3">
        <v>41873</v>
      </c>
      <c r="BF5519" s="1">
        <v>203000</v>
      </c>
      <c r="BG5519" t="s">
        <v>33931</v>
      </c>
      <c r="BH5519" s="1">
        <v>176.83</v>
      </c>
      <c r="BI5519" s="1">
        <v>203000</v>
      </c>
      <c r="BJ5519" s="3">
        <v>41873</v>
      </c>
      <c r="BK5519" t="s">
        <v>123</v>
      </c>
      <c r="BL5519" t="str">
        <f>"2014.557020"</f>
        <v>2014.557020</v>
      </c>
      <c r="BM5519" t="s">
        <v>33932</v>
      </c>
      <c r="BO5519" t="s">
        <v>33933</v>
      </c>
      <c r="BS5519">
        <v>30</v>
      </c>
      <c r="BW5519" t="str">
        <f>""</f>
        <v/>
      </c>
      <c r="CH5519" t="str">
        <f>""</f>
        <v/>
      </c>
      <c r="CS5519" t="str">
        <f>""</f>
        <v/>
      </c>
    </row>
    <row r="5520" spans="1:97" x14ac:dyDescent="0.25">
      <c r="A5520" t="s">
        <v>2591</v>
      </c>
      <c r="B5520" t="s">
        <v>13926</v>
      </c>
      <c r="C5520" t="s">
        <v>1930</v>
      </c>
      <c r="D5520" t="s">
        <v>13926</v>
      </c>
      <c r="E5520" t="s">
        <v>33934</v>
      </c>
      <c r="F5520" t="s">
        <v>108</v>
      </c>
      <c r="H5520" t="s">
        <v>33935</v>
      </c>
      <c r="I5520" t="s">
        <v>225</v>
      </c>
      <c r="J5520" t="s">
        <v>111</v>
      </c>
      <c r="K5520" t="str">
        <f>"85209"</f>
        <v>85209</v>
      </c>
      <c r="L5520" t="s">
        <v>7725</v>
      </c>
      <c r="M5520" t="s">
        <v>33935</v>
      </c>
      <c r="N5520" t="s">
        <v>225</v>
      </c>
      <c r="O5520" t="s">
        <v>111</v>
      </c>
      <c r="P5520" t="str">
        <f>"85209-1138"</f>
        <v>85209-1138</v>
      </c>
      <c r="Q5520" t="s">
        <v>113</v>
      </c>
      <c r="R5520" t="str">
        <f>"312-01-259"</f>
        <v>312-01-259</v>
      </c>
      <c r="S5520" t="s">
        <v>16448</v>
      </c>
      <c r="U5520">
        <v>2324</v>
      </c>
      <c r="V5520">
        <v>0</v>
      </c>
      <c r="W5520">
        <v>4</v>
      </c>
      <c r="X5520">
        <v>1999</v>
      </c>
      <c r="Z5520">
        <v>2</v>
      </c>
      <c r="AA5520" t="s">
        <v>26</v>
      </c>
      <c r="AB5520">
        <v>0</v>
      </c>
      <c r="AC5520" t="s">
        <v>115</v>
      </c>
      <c r="AD5520">
        <v>3</v>
      </c>
      <c r="AE5520" t="s">
        <v>115</v>
      </c>
      <c r="AF5520">
        <v>0</v>
      </c>
      <c r="AG5520">
        <v>0</v>
      </c>
      <c r="AH5520" t="s">
        <v>116</v>
      </c>
      <c r="AI5520" s="1">
        <v>52553</v>
      </c>
      <c r="AJ5520" s="2">
        <v>0.14000000000000001</v>
      </c>
      <c r="AK5520" s="1">
        <v>369379</v>
      </c>
      <c r="AL5520" t="s">
        <v>117</v>
      </c>
      <c r="AM5520" t="s">
        <v>191</v>
      </c>
      <c r="AN5520">
        <v>6900</v>
      </c>
      <c r="AO5520">
        <v>0.16</v>
      </c>
      <c r="AP5520">
        <v>1</v>
      </c>
      <c r="AR5520">
        <v>1</v>
      </c>
      <c r="AS5520" s="1">
        <v>25450</v>
      </c>
      <c r="AT5520" s="1">
        <v>5090</v>
      </c>
      <c r="AU5520" s="1">
        <v>20360</v>
      </c>
      <c r="AV5520">
        <v>80</v>
      </c>
      <c r="AX5520" s="1">
        <v>1910.06</v>
      </c>
      <c r="AY5520" t="s">
        <v>4370</v>
      </c>
      <c r="AZ5520" t="s">
        <v>777</v>
      </c>
      <c r="BA5520" t="s">
        <v>572</v>
      </c>
      <c r="BE5520" s="3">
        <v>42178</v>
      </c>
      <c r="BF5520" s="1">
        <v>295000</v>
      </c>
      <c r="BG5520" t="s">
        <v>33936</v>
      </c>
      <c r="BH5520" s="1">
        <v>126.94</v>
      </c>
      <c r="BI5520" s="1">
        <v>301826</v>
      </c>
      <c r="BJ5520" s="3">
        <v>42620</v>
      </c>
      <c r="BK5520" t="s">
        <v>123</v>
      </c>
      <c r="BL5520" t="str">
        <f>"2016.648142"</f>
        <v>2016.648142</v>
      </c>
      <c r="BM5520" t="s">
        <v>402</v>
      </c>
      <c r="BN5520" t="s">
        <v>461</v>
      </c>
      <c r="BO5520" t="s">
        <v>33937</v>
      </c>
      <c r="BS5520">
        <v>30</v>
      </c>
      <c r="BT5520" s="1">
        <v>15000</v>
      </c>
      <c r="BU5520" s="3">
        <v>43333</v>
      </c>
      <c r="BW5520" t="str">
        <f>"2018.631456"</f>
        <v>2018.631456</v>
      </c>
      <c r="BX5520" t="s">
        <v>33938</v>
      </c>
      <c r="BY5520" t="s">
        <v>23650</v>
      </c>
      <c r="BZ5520" t="s">
        <v>33939</v>
      </c>
      <c r="CA5520" t="s">
        <v>33940</v>
      </c>
      <c r="CC5520" t="s">
        <v>346</v>
      </c>
      <c r="CH5520" t="str">
        <f>""</f>
        <v/>
      </c>
      <c r="CS5520" t="str">
        <f>""</f>
        <v/>
      </c>
    </row>
    <row r="5521" spans="1:97" x14ac:dyDescent="0.25">
      <c r="A5521" t="s">
        <v>1444</v>
      </c>
      <c r="B5521" t="s">
        <v>19673</v>
      </c>
      <c r="C5521" t="s">
        <v>945</v>
      </c>
      <c r="D5521" t="s">
        <v>19673</v>
      </c>
      <c r="E5521" t="s">
        <v>33941</v>
      </c>
      <c r="F5521" t="s">
        <v>108</v>
      </c>
      <c r="H5521" t="s">
        <v>33942</v>
      </c>
      <c r="I5521" t="s">
        <v>225</v>
      </c>
      <c r="J5521" t="s">
        <v>111</v>
      </c>
      <c r="K5521" t="str">
        <f>"85204"</f>
        <v>85204</v>
      </c>
      <c r="L5521" t="s">
        <v>6169</v>
      </c>
      <c r="M5521" t="s">
        <v>33942</v>
      </c>
      <c r="N5521" t="s">
        <v>225</v>
      </c>
      <c r="O5521" t="s">
        <v>111</v>
      </c>
      <c r="P5521" t="str">
        <f>"85204-7010"</f>
        <v>85204-7010</v>
      </c>
      <c r="Q5521" t="s">
        <v>113</v>
      </c>
      <c r="R5521" t="str">
        <f>"140-63-288"</f>
        <v>140-63-288</v>
      </c>
      <c r="S5521" t="s">
        <v>33943</v>
      </c>
      <c r="T5521" t="s">
        <v>33944</v>
      </c>
      <c r="U5521">
        <v>1764</v>
      </c>
      <c r="V5521">
        <v>0</v>
      </c>
      <c r="W5521">
        <v>2</v>
      </c>
      <c r="X5521">
        <v>1980</v>
      </c>
      <c r="Z5521">
        <v>1</v>
      </c>
      <c r="AB5521">
        <v>0</v>
      </c>
      <c r="AC5521" t="s">
        <v>5188</v>
      </c>
      <c r="AD5521">
        <v>2</v>
      </c>
      <c r="AE5521" t="s">
        <v>5188</v>
      </c>
      <c r="AF5521">
        <v>0</v>
      </c>
      <c r="AG5521">
        <v>0</v>
      </c>
      <c r="AH5521" t="s">
        <v>116</v>
      </c>
      <c r="AI5521" s="1">
        <v>45691</v>
      </c>
      <c r="AJ5521" s="2">
        <v>0.16</v>
      </c>
      <c r="AK5521" s="1">
        <v>288446</v>
      </c>
      <c r="AL5521" t="s">
        <v>117</v>
      </c>
      <c r="AM5521" t="s">
        <v>191</v>
      </c>
      <c r="AN5521">
        <v>7811</v>
      </c>
      <c r="AO5521">
        <v>0.18</v>
      </c>
      <c r="AP5521">
        <v>1</v>
      </c>
      <c r="AR5521">
        <v>1</v>
      </c>
      <c r="AS5521" s="1">
        <v>19750</v>
      </c>
      <c r="AT5521" s="1">
        <v>3950</v>
      </c>
      <c r="AU5521" s="1">
        <v>15800</v>
      </c>
      <c r="AV5521">
        <v>80</v>
      </c>
      <c r="AX5521" s="1">
        <v>917.26</v>
      </c>
      <c r="AY5521" t="s">
        <v>25759</v>
      </c>
      <c r="AZ5521" t="s">
        <v>5478</v>
      </c>
      <c r="BA5521" t="s">
        <v>5033</v>
      </c>
      <c r="BE5521" s="3">
        <v>41719</v>
      </c>
      <c r="BF5521" s="1">
        <v>203900</v>
      </c>
      <c r="BG5521" t="s">
        <v>33945</v>
      </c>
      <c r="BH5521" s="1">
        <v>115.59</v>
      </c>
      <c r="BI5521" s="1">
        <v>242755</v>
      </c>
      <c r="BJ5521" s="3">
        <v>43159</v>
      </c>
      <c r="BK5521" t="s">
        <v>123</v>
      </c>
      <c r="BL5521" t="str">
        <f>"2018.151831"</f>
        <v>2018.151831</v>
      </c>
      <c r="BM5521" t="s">
        <v>11185</v>
      </c>
      <c r="BN5521" t="s">
        <v>1282</v>
      </c>
      <c r="BO5521" t="s">
        <v>33946</v>
      </c>
      <c r="BP5521" t="s">
        <v>33947</v>
      </c>
      <c r="BR5521" t="s">
        <v>139</v>
      </c>
      <c r="BW5521" t="str">
        <f>""</f>
        <v/>
      </c>
      <c r="CH5521" t="str">
        <f>""</f>
        <v/>
      </c>
      <c r="CS5521" t="str">
        <f>""</f>
        <v/>
      </c>
    </row>
    <row r="5522" spans="1:97" x14ac:dyDescent="0.25">
      <c r="A5522" t="s">
        <v>1067</v>
      </c>
      <c r="B5522" t="s">
        <v>33948</v>
      </c>
      <c r="C5522" t="s">
        <v>33949</v>
      </c>
      <c r="D5522" t="s">
        <v>33950</v>
      </c>
      <c r="E5522" t="s">
        <v>33951</v>
      </c>
      <c r="F5522" t="s">
        <v>108</v>
      </c>
      <c r="H5522" t="s">
        <v>33952</v>
      </c>
      <c r="I5522" t="s">
        <v>110</v>
      </c>
      <c r="J5522" t="s">
        <v>111</v>
      </c>
      <c r="K5522" t="str">
        <f>"85226"</f>
        <v>85226</v>
      </c>
      <c r="L5522" t="s">
        <v>2547</v>
      </c>
      <c r="M5522" t="s">
        <v>33952</v>
      </c>
      <c r="N5522" t="s">
        <v>110</v>
      </c>
      <c r="O5522" t="s">
        <v>111</v>
      </c>
      <c r="P5522" t="str">
        <f>"85226-1492"</f>
        <v>85226-1492</v>
      </c>
      <c r="Q5522" t="s">
        <v>113</v>
      </c>
      <c r="R5522" t="str">
        <f>"308-06-748"</f>
        <v>308-06-748</v>
      </c>
      <c r="S5522" t="s">
        <v>33953</v>
      </c>
      <c r="T5522" t="s">
        <v>33953</v>
      </c>
      <c r="U5522">
        <v>2372</v>
      </c>
      <c r="V5522">
        <v>0</v>
      </c>
      <c r="W5522">
        <v>4</v>
      </c>
      <c r="X5522">
        <v>1990</v>
      </c>
      <c r="Z5522">
        <v>2</v>
      </c>
      <c r="AB5522">
        <v>0</v>
      </c>
      <c r="AC5522" t="s">
        <v>115</v>
      </c>
      <c r="AD5522">
        <v>2</v>
      </c>
      <c r="AE5522" t="s">
        <v>115</v>
      </c>
      <c r="AF5522">
        <v>0</v>
      </c>
      <c r="AG5522">
        <v>0</v>
      </c>
      <c r="AH5522" t="s">
        <v>116</v>
      </c>
      <c r="AI5522" s="1">
        <v>64074</v>
      </c>
      <c r="AJ5522" s="2">
        <v>0.18</v>
      </c>
      <c r="AK5522" s="1">
        <v>360549</v>
      </c>
      <c r="AL5522" t="s">
        <v>117</v>
      </c>
      <c r="AM5522" t="s">
        <v>118</v>
      </c>
      <c r="AN5522">
        <v>6281</v>
      </c>
      <c r="AO5522">
        <v>0.14000000000000001</v>
      </c>
      <c r="AP5522">
        <v>1</v>
      </c>
      <c r="AR5522">
        <v>1</v>
      </c>
      <c r="AS5522" s="1">
        <v>25980</v>
      </c>
      <c r="AT5522" s="1">
        <v>5190</v>
      </c>
      <c r="AU5522" s="1">
        <v>20790</v>
      </c>
      <c r="AV5522">
        <v>80.02</v>
      </c>
      <c r="AX5522" s="1">
        <v>2037.54</v>
      </c>
      <c r="AY5522" t="s">
        <v>5921</v>
      </c>
      <c r="AZ5522" t="s">
        <v>5922</v>
      </c>
      <c r="BA5522" t="s">
        <v>5202</v>
      </c>
      <c r="BE5522" s="3">
        <v>42426</v>
      </c>
      <c r="BF5522" s="1">
        <v>287500</v>
      </c>
      <c r="BG5522" t="s">
        <v>33954</v>
      </c>
      <c r="BH5522" s="1">
        <v>121.21</v>
      </c>
      <c r="BI5522" s="1">
        <v>296475</v>
      </c>
      <c r="BJ5522" s="3">
        <v>42765</v>
      </c>
      <c r="BK5522" t="s">
        <v>123</v>
      </c>
      <c r="BL5522" t="str">
        <f>"2017.68093"</f>
        <v>2017.68093</v>
      </c>
      <c r="BM5522" t="s">
        <v>322</v>
      </c>
      <c r="BO5522" t="s">
        <v>33955</v>
      </c>
      <c r="BP5522" t="s">
        <v>33956</v>
      </c>
      <c r="BS5522">
        <v>30</v>
      </c>
      <c r="BW5522" t="str">
        <f>""</f>
        <v/>
      </c>
      <c r="CH5522" t="str">
        <f>""</f>
        <v/>
      </c>
      <c r="CS5522" t="str">
        <f>""</f>
        <v/>
      </c>
    </row>
    <row r="5523" spans="1:97" x14ac:dyDescent="0.25">
      <c r="A5523" t="s">
        <v>2123</v>
      </c>
      <c r="B5523" t="s">
        <v>33957</v>
      </c>
      <c r="E5523" t="s">
        <v>33958</v>
      </c>
      <c r="F5523" t="s">
        <v>108</v>
      </c>
      <c r="H5523" t="s">
        <v>33959</v>
      </c>
      <c r="I5523" t="s">
        <v>390</v>
      </c>
      <c r="J5523" t="s">
        <v>111</v>
      </c>
      <c r="K5523" t="str">
        <f>"85032"</f>
        <v>85032</v>
      </c>
      <c r="L5523" t="s">
        <v>8199</v>
      </c>
      <c r="M5523" t="s">
        <v>33959</v>
      </c>
      <c r="N5523" t="s">
        <v>390</v>
      </c>
      <c r="O5523" t="s">
        <v>111</v>
      </c>
      <c r="P5523" t="str">
        <f>"85032-9219"</f>
        <v>85032-9219</v>
      </c>
      <c r="Q5523" t="s">
        <v>113</v>
      </c>
      <c r="R5523" t="str">
        <f>"215-17-422"</f>
        <v>215-17-422</v>
      </c>
      <c r="S5523" t="s">
        <v>33960</v>
      </c>
      <c r="T5523" t="s">
        <v>33960</v>
      </c>
      <c r="U5523">
        <v>1941</v>
      </c>
      <c r="V5523">
        <v>0</v>
      </c>
      <c r="W5523">
        <v>3</v>
      </c>
      <c r="X5523">
        <v>1994</v>
      </c>
      <c r="Z5523">
        <v>1</v>
      </c>
      <c r="AB5523">
        <v>0</v>
      </c>
      <c r="AC5523" t="s">
        <v>115</v>
      </c>
      <c r="AD5523">
        <v>3</v>
      </c>
      <c r="AE5523" t="s">
        <v>115</v>
      </c>
      <c r="AF5523">
        <v>0</v>
      </c>
      <c r="AG5523">
        <v>0</v>
      </c>
      <c r="AH5523" t="s">
        <v>116</v>
      </c>
      <c r="AI5523" s="1">
        <v>38992</v>
      </c>
      <c r="AJ5523" s="2">
        <v>0.09</v>
      </c>
      <c r="AK5523" s="1">
        <v>412992</v>
      </c>
      <c r="AL5523" t="s">
        <v>117</v>
      </c>
      <c r="AM5523" t="s">
        <v>191</v>
      </c>
      <c r="AN5523">
        <v>7116</v>
      </c>
      <c r="AO5523">
        <v>0.16</v>
      </c>
      <c r="AP5523">
        <v>1</v>
      </c>
      <c r="AR5523">
        <v>1</v>
      </c>
      <c r="AS5523" s="1">
        <v>29250</v>
      </c>
      <c r="AT5523" s="1">
        <v>5850</v>
      </c>
      <c r="AU5523" s="1">
        <v>23400</v>
      </c>
      <c r="AV5523">
        <v>80</v>
      </c>
      <c r="AX5523" s="1">
        <v>2750.96</v>
      </c>
      <c r="AY5523" t="s">
        <v>1316</v>
      </c>
      <c r="AZ5523" t="s">
        <v>1317</v>
      </c>
      <c r="BA5523" t="s">
        <v>1318</v>
      </c>
      <c r="BE5523" s="3">
        <v>42417</v>
      </c>
      <c r="BF5523" s="1">
        <v>340000</v>
      </c>
      <c r="BG5523" t="s">
        <v>6855</v>
      </c>
      <c r="BH5523" s="1">
        <v>175.17</v>
      </c>
      <c r="BI5523" s="1">
        <v>374000</v>
      </c>
      <c r="BJ5523" s="3">
        <v>43031</v>
      </c>
      <c r="BK5523" t="s">
        <v>123</v>
      </c>
      <c r="BL5523" t="str">
        <f>"2017.785852"</f>
        <v>2017.785852</v>
      </c>
      <c r="BM5523" t="s">
        <v>3727</v>
      </c>
      <c r="BO5523" t="s">
        <v>33961</v>
      </c>
      <c r="BS5523">
        <v>30</v>
      </c>
      <c r="BW5523" t="str">
        <f>""</f>
        <v/>
      </c>
      <c r="CH5523" t="str">
        <f>""</f>
        <v/>
      </c>
      <c r="CS5523" t="str">
        <f>""</f>
        <v/>
      </c>
    </row>
    <row r="5524" spans="1:97" x14ac:dyDescent="0.25">
      <c r="A5524" t="s">
        <v>33962</v>
      </c>
      <c r="B5524" t="s">
        <v>1507</v>
      </c>
      <c r="C5524" t="s">
        <v>12574</v>
      </c>
      <c r="D5524" t="s">
        <v>1507</v>
      </c>
      <c r="E5524" t="s">
        <v>33963</v>
      </c>
      <c r="F5524" t="s">
        <v>108</v>
      </c>
      <c r="H5524" t="s">
        <v>33964</v>
      </c>
      <c r="I5524" t="s">
        <v>203</v>
      </c>
      <c r="J5524" t="s">
        <v>111</v>
      </c>
      <c r="K5524" t="str">
        <f>"85233"</f>
        <v>85233</v>
      </c>
      <c r="L5524" t="s">
        <v>1070</v>
      </c>
      <c r="M5524" t="s">
        <v>33964</v>
      </c>
      <c r="N5524" t="s">
        <v>203</v>
      </c>
      <c r="O5524" t="s">
        <v>111</v>
      </c>
      <c r="P5524" t="str">
        <f>"85233-8900"</f>
        <v>85233-8900</v>
      </c>
      <c r="Q5524" t="s">
        <v>113</v>
      </c>
      <c r="R5524" t="str">
        <f>"302-83-386"</f>
        <v>302-83-386</v>
      </c>
      <c r="S5524" t="s">
        <v>15305</v>
      </c>
      <c r="T5524" t="s">
        <v>15306</v>
      </c>
      <c r="U5524">
        <v>2310</v>
      </c>
      <c r="V5524">
        <v>0</v>
      </c>
      <c r="W5524">
        <v>4</v>
      </c>
      <c r="X5524">
        <v>1996</v>
      </c>
      <c r="Z5524">
        <v>1</v>
      </c>
      <c r="AA5524" t="s">
        <v>26</v>
      </c>
      <c r="AB5524">
        <v>0</v>
      </c>
      <c r="AC5524" t="s">
        <v>115</v>
      </c>
      <c r="AD5524">
        <v>2</v>
      </c>
      <c r="AE5524" t="s">
        <v>115</v>
      </c>
      <c r="AF5524">
        <v>0</v>
      </c>
      <c r="AG5524">
        <v>0</v>
      </c>
      <c r="AH5524" t="s">
        <v>116</v>
      </c>
      <c r="AI5524" s="1">
        <v>136072</v>
      </c>
      <c r="AJ5524" s="2">
        <v>0.37</v>
      </c>
      <c r="AK5524" s="1">
        <v>367644</v>
      </c>
      <c r="AL5524" t="s">
        <v>117</v>
      </c>
      <c r="AM5524" t="s">
        <v>393</v>
      </c>
      <c r="AN5524">
        <v>7000</v>
      </c>
      <c r="AO5524">
        <v>0.16</v>
      </c>
      <c r="AP5524">
        <v>1</v>
      </c>
      <c r="AR5524">
        <v>1</v>
      </c>
      <c r="AS5524" s="1">
        <v>27650</v>
      </c>
      <c r="AT5524" s="1">
        <v>5530</v>
      </c>
      <c r="AU5524" s="1">
        <v>22120</v>
      </c>
      <c r="AV5524">
        <v>80</v>
      </c>
      <c r="AX5524" s="1">
        <v>2015.76</v>
      </c>
      <c r="AY5524" t="s">
        <v>2905</v>
      </c>
      <c r="AZ5524" t="s">
        <v>2906</v>
      </c>
      <c r="BA5524" t="s">
        <v>303</v>
      </c>
      <c r="BE5524" s="3">
        <v>42075</v>
      </c>
      <c r="BF5524" s="1">
        <v>224175</v>
      </c>
      <c r="BG5524" t="s">
        <v>33965</v>
      </c>
      <c r="BH5524" s="1">
        <v>106.5</v>
      </c>
      <c r="BI5524" s="1">
        <v>231572</v>
      </c>
      <c r="BJ5524" s="3">
        <v>42075</v>
      </c>
      <c r="BK5524" t="s">
        <v>123</v>
      </c>
      <c r="BL5524" t="str">
        <f>"2015.166977"</f>
        <v>2015.166977</v>
      </c>
      <c r="BM5524" t="s">
        <v>5534</v>
      </c>
      <c r="BO5524" t="s">
        <v>33966</v>
      </c>
      <c r="BS5524">
        <v>30</v>
      </c>
      <c r="BW5524" t="str">
        <f>""</f>
        <v/>
      </c>
      <c r="CH5524" t="str">
        <f>""</f>
        <v/>
      </c>
      <c r="CS5524" t="str">
        <f>""</f>
        <v/>
      </c>
    </row>
    <row r="5525" spans="1:97" x14ac:dyDescent="0.25">
      <c r="A5525" t="s">
        <v>1444</v>
      </c>
      <c r="B5525" t="s">
        <v>33967</v>
      </c>
      <c r="E5525" t="s">
        <v>33968</v>
      </c>
      <c r="F5525" t="s">
        <v>108</v>
      </c>
      <c r="H5525" t="s">
        <v>33969</v>
      </c>
      <c r="I5525" t="s">
        <v>499</v>
      </c>
      <c r="J5525" t="s">
        <v>111</v>
      </c>
      <c r="K5525" t="str">
        <f>"85338"</f>
        <v>85338</v>
      </c>
      <c r="L5525" t="s">
        <v>11566</v>
      </c>
      <c r="M5525" t="s">
        <v>33969</v>
      </c>
      <c r="N5525" t="s">
        <v>499</v>
      </c>
      <c r="O5525" t="s">
        <v>111</v>
      </c>
      <c r="P5525" t="str">
        <f>"85338-4105"</f>
        <v>85338-4105</v>
      </c>
      <c r="Q5525" t="s">
        <v>113</v>
      </c>
      <c r="R5525" t="str">
        <f>"500-04-157"</f>
        <v>500-04-157</v>
      </c>
      <c r="S5525" t="s">
        <v>33970</v>
      </c>
      <c r="T5525" t="s">
        <v>33970</v>
      </c>
      <c r="U5525">
        <v>2166</v>
      </c>
      <c r="V5525">
        <v>0</v>
      </c>
      <c r="W5525">
        <v>4</v>
      </c>
      <c r="X5525">
        <v>2001</v>
      </c>
      <c r="Z5525">
        <v>2</v>
      </c>
      <c r="AA5525" t="s">
        <v>26</v>
      </c>
      <c r="AB5525">
        <v>0</v>
      </c>
      <c r="AC5525" t="s">
        <v>115</v>
      </c>
      <c r="AD5525">
        <v>2</v>
      </c>
      <c r="AE5525" t="s">
        <v>115</v>
      </c>
      <c r="AF5525">
        <v>0</v>
      </c>
      <c r="AG5525">
        <v>0</v>
      </c>
      <c r="AH5525" t="s">
        <v>116</v>
      </c>
      <c r="AI5525" s="1">
        <v>60921</v>
      </c>
      <c r="AJ5525" s="2">
        <v>0.22</v>
      </c>
      <c r="AK5525" s="1">
        <v>279921</v>
      </c>
      <c r="AL5525" t="s">
        <v>117</v>
      </c>
      <c r="AM5525" t="s">
        <v>118</v>
      </c>
      <c r="AN5525">
        <v>6427</v>
      </c>
      <c r="AO5525">
        <v>0.15</v>
      </c>
      <c r="AP5525">
        <v>1</v>
      </c>
      <c r="AR5525">
        <v>1</v>
      </c>
      <c r="AS5525" s="1">
        <v>19250</v>
      </c>
      <c r="AT5525" s="1">
        <v>3850</v>
      </c>
      <c r="AU5525" s="1">
        <v>15400</v>
      </c>
      <c r="AV5525">
        <v>80</v>
      </c>
      <c r="AX5525" s="1">
        <v>1488.04</v>
      </c>
      <c r="AY5525" t="s">
        <v>6790</v>
      </c>
      <c r="AZ5525" t="s">
        <v>6790</v>
      </c>
      <c r="BA5525" t="s">
        <v>7186</v>
      </c>
      <c r="BE5525" s="3">
        <v>42488</v>
      </c>
      <c r="BF5525" s="1">
        <v>219000</v>
      </c>
      <c r="BG5525" t="s">
        <v>33971</v>
      </c>
      <c r="BH5525" s="1">
        <v>101.11</v>
      </c>
      <c r="BI5525" s="1">
        <v>219000</v>
      </c>
      <c r="BJ5525" s="3">
        <v>42488</v>
      </c>
      <c r="BK5525" t="s">
        <v>123</v>
      </c>
      <c r="BL5525" t="str">
        <f>"2016.285026"</f>
        <v>2016.285026</v>
      </c>
      <c r="BM5525" t="s">
        <v>1287</v>
      </c>
      <c r="BO5525" t="s">
        <v>33972</v>
      </c>
      <c r="BS5525">
        <v>30</v>
      </c>
      <c r="BW5525" t="str">
        <f>""</f>
        <v/>
      </c>
      <c r="CH5525" t="str">
        <f>""</f>
        <v/>
      </c>
      <c r="CS5525" t="str">
        <f>""</f>
        <v/>
      </c>
    </row>
    <row r="5526" spans="1:97" x14ac:dyDescent="0.25">
      <c r="A5526" t="s">
        <v>370</v>
      </c>
      <c r="B5526" t="s">
        <v>33973</v>
      </c>
      <c r="C5526" t="s">
        <v>4702</v>
      </c>
      <c r="D5526" t="s">
        <v>33973</v>
      </c>
      <c r="E5526" t="s">
        <v>33974</v>
      </c>
      <c r="F5526" t="s">
        <v>108</v>
      </c>
      <c r="H5526" t="s">
        <v>33975</v>
      </c>
      <c r="I5526" t="s">
        <v>499</v>
      </c>
      <c r="J5526" t="s">
        <v>111</v>
      </c>
      <c r="K5526" t="str">
        <f>"85338"</f>
        <v>85338</v>
      </c>
      <c r="L5526" t="s">
        <v>316</v>
      </c>
      <c r="M5526" t="s">
        <v>33975</v>
      </c>
      <c r="N5526" t="s">
        <v>499</v>
      </c>
      <c r="O5526" t="s">
        <v>111</v>
      </c>
      <c r="P5526" t="str">
        <f>"85338-6189"</f>
        <v>85338-6189</v>
      </c>
      <c r="Q5526" t="s">
        <v>113</v>
      </c>
      <c r="R5526" t="str">
        <f>"500-89-243"</f>
        <v>500-89-243</v>
      </c>
      <c r="S5526" t="s">
        <v>18533</v>
      </c>
      <c r="U5526">
        <v>4166</v>
      </c>
      <c r="V5526">
        <v>0</v>
      </c>
      <c r="W5526">
        <v>5</v>
      </c>
      <c r="X5526">
        <v>2001</v>
      </c>
      <c r="Z5526">
        <v>2</v>
      </c>
      <c r="AA5526" t="s">
        <v>26</v>
      </c>
      <c r="AB5526">
        <v>0</v>
      </c>
      <c r="AC5526" t="s">
        <v>115</v>
      </c>
      <c r="AD5526">
        <v>3</v>
      </c>
      <c r="AE5526" t="s">
        <v>115</v>
      </c>
      <c r="AF5526">
        <v>0</v>
      </c>
      <c r="AG5526">
        <v>0</v>
      </c>
      <c r="AH5526" t="s">
        <v>116</v>
      </c>
      <c r="AI5526" s="1">
        <v>74539</v>
      </c>
      <c r="AJ5526" s="2">
        <v>0.17</v>
      </c>
      <c r="AK5526" s="1">
        <v>439289</v>
      </c>
      <c r="AL5526" t="s">
        <v>117</v>
      </c>
      <c r="AM5526" t="s">
        <v>118</v>
      </c>
      <c r="AN5526">
        <v>11427</v>
      </c>
      <c r="AO5526">
        <v>0.26</v>
      </c>
      <c r="AP5526">
        <v>1</v>
      </c>
      <c r="AR5526">
        <v>1</v>
      </c>
      <c r="AS5526" s="1">
        <v>30010</v>
      </c>
      <c r="AT5526" s="1">
        <v>6000</v>
      </c>
      <c r="AU5526" s="1">
        <v>24010</v>
      </c>
      <c r="AV5526">
        <v>80.010000000000005</v>
      </c>
      <c r="AX5526" s="1">
        <v>2546.7800000000002</v>
      </c>
      <c r="AY5526" t="s">
        <v>4311</v>
      </c>
      <c r="AZ5526" t="s">
        <v>4311</v>
      </c>
      <c r="BA5526" t="s">
        <v>218</v>
      </c>
      <c r="BE5526" s="3">
        <v>41751</v>
      </c>
      <c r="BF5526" s="1">
        <v>347500</v>
      </c>
      <c r="BG5526" t="s">
        <v>33976</v>
      </c>
      <c r="BH5526" s="1">
        <v>83.41</v>
      </c>
      <c r="BI5526" s="1">
        <v>364750</v>
      </c>
      <c r="BJ5526" s="3">
        <v>42152</v>
      </c>
      <c r="BK5526" t="s">
        <v>123</v>
      </c>
      <c r="BL5526" t="str">
        <f>"2015.375436"</f>
        <v>2015.375436</v>
      </c>
      <c r="BM5526" t="s">
        <v>402</v>
      </c>
      <c r="BO5526" t="s">
        <v>33977</v>
      </c>
      <c r="BS5526">
        <v>30</v>
      </c>
      <c r="BW5526" t="str">
        <f>""</f>
        <v/>
      </c>
      <c r="CH5526" t="str">
        <f>""</f>
        <v/>
      </c>
      <c r="CS5526" t="str">
        <f>""</f>
        <v/>
      </c>
    </row>
    <row r="5527" spans="1:97" x14ac:dyDescent="0.25">
      <c r="A5527" t="s">
        <v>33978</v>
      </c>
      <c r="B5527" t="s">
        <v>33979</v>
      </c>
      <c r="C5527" t="s">
        <v>1011</v>
      </c>
      <c r="D5527" t="s">
        <v>33979</v>
      </c>
      <c r="E5527" t="s">
        <v>33980</v>
      </c>
      <c r="F5527" t="s">
        <v>108</v>
      </c>
      <c r="H5527" t="s">
        <v>33981</v>
      </c>
      <c r="I5527" t="s">
        <v>25003</v>
      </c>
      <c r="J5527" t="s">
        <v>111</v>
      </c>
      <c r="K5527" t="str">
        <f>"85263"</f>
        <v>85263</v>
      </c>
      <c r="L5527" t="s">
        <v>5893</v>
      </c>
      <c r="M5527" t="s">
        <v>33981</v>
      </c>
      <c r="N5527" t="s">
        <v>25003</v>
      </c>
      <c r="O5527" t="s">
        <v>111</v>
      </c>
      <c r="P5527" t="str">
        <f>"85263-7135"</f>
        <v>85263-7135</v>
      </c>
      <c r="Q5527" t="s">
        <v>113</v>
      </c>
      <c r="R5527" t="str">
        <f>"219-43-339"</f>
        <v>219-43-339</v>
      </c>
      <c r="S5527" t="s">
        <v>29681</v>
      </c>
      <c r="U5527">
        <v>3294</v>
      </c>
      <c r="V5527">
        <v>0</v>
      </c>
      <c r="W5527">
        <v>4</v>
      </c>
      <c r="X5527">
        <v>1979</v>
      </c>
      <c r="Z5527">
        <v>1</v>
      </c>
      <c r="AA5527" t="s">
        <v>26</v>
      </c>
      <c r="AB5527">
        <v>0</v>
      </c>
      <c r="AC5527" t="s">
        <v>115</v>
      </c>
      <c r="AD5527">
        <v>3</v>
      </c>
      <c r="AE5527" t="s">
        <v>115</v>
      </c>
      <c r="AF5527">
        <v>0</v>
      </c>
      <c r="AG5527">
        <v>0</v>
      </c>
      <c r="AH5527" t="s">
        <v>116</v>
      </c>
      <c r="AI5527" s="1">
        <v>113061</v>
      </c>
      <c r="AJ5527" s="2">
        <v>0.18</v>
      </c>
      <c r="AK5527" s="1">
        <v>613061</v>
      </c>
      <c r="AL5527" t="s">
        <v>117</v>
      </c>
      <c r="AM5527" t="s">
        <v>171</v>
      </c>
      <c r="AN5527">
        <v>10873</v>
      </c>
      <c r="AO5527">
        <v>0.25</v>
      </c>
      <c r="AP5527">
        <v>1</v>
      </c>
      <c r="AR5527">
        <v>1</v>
      </c>
      <c r="AS5527" s="1">
        <v>40350</v>
      </c>
      <c r="AT5527" s="1">
        <v>8070</v>
      </c>
      <c r="AU5527" s="1">
        <v>32280</v>
      </c>
      <c r="AV5527">
        <v>80</v>
      </c>
      <c r="AX5527" s="1">
        <v>3290.4</v>
      </c>
      <c r="AY5527" t="s">
        <v>6485</v>
      </c>
      <c r="AZ5527" t="s">
        <v>5640</v>
      </c>
      <c r="BA5527" t="s">
        <v>5641</v>
      </c>
      <c r="BE5527" s="3">
        <v>42460</v>
      </c>
      <c r="BF5527" s="1">
        <v>499900</v>
      </c>
      <c r="BG5527" t="s">
        <v>33982</v>
      </c>
      <c r="BH5527" s="1">
        <v>151.76</v>
      </c>
      <c r="BI5527" s="1">
        <v>500000</v>
      </c>
      <c r="BJ5527" s="3">
        <v>42858</v>
      </c>
      <c r="BK5527" t="s">
        <v>123</v>
      </c>
      <c r="BL5527" t="str">
        <f>"2017.319733"</f>
        <v>2017.319733</v>
      </c>
      <c r="BM5527" t="s">
        <v>135</v>
      </c>
      <c r="BN5527" t="s">
        <v>136</v>
      </c>
      <c r="BO5527" t="s">
        <v>33983</v>
      </c>
      <c r="BS5527">
        <v>30</v>
      </c>
      <c r="BW5527" t="str">
        <f>""</f>
        <v/>
      </c>
      <c r="CH5527" t="str">
        <f>""</f>
        <v/>
      </c>
      <c r="CS5527" t="str">
        <f>""</f>
        <v/>
      </c>
    </row>
    <row r="5528" spans="1:97" x14ac:dyDescent="0.25">
      <c r="A5528" t="s">
        <v>1009</v>
      </c>
      <c r="B5528" t="s">
        <v>7113</v>
      </c>
      <c r="E5528" t="s">
        <v>33984</v>
      </c>
      <c r="F5528" t="s">
        <v>282</v>
      </c>
      <c r="H5528" t="s">
        <v>33985</v>
      </c>
      <c r="I5528" t="s">
        <v>390</v>
      </c>
      <c r="J5528" t="s">
        <v>111</v>
      </c>
      <c r="K5528" t="str">
        <f>"85048"</f>
        <v>85048</v>
      </c>
      <c r="L5528" t="s">
        <v>5709</v>
      </c>
      <c r="M5528" t="s">
        <v>33986</v>
      </c>
      <c r="N5528" t="s">
        <v>390</v>
      </c>
      <c r="O5528" t="s">
        <v>111</v>
      </c>
      <c r="P5528" t="str">
        <f>"85048-6267"</f>
        <v>85048-6267</v>
      </c>
      <c r="Q5528" t="s">
        <v>113</v>
      </c>
      <c r="R5528" t="str">
        <f>"300-96-051"</f>
        <v>300-96-051</v>
      </c>
      <c r="S5528" t="s">
        <v>30314</v>
      </c>
      <c r="U5528">
        <v>2542</v>
      </c>
      <c r="V5528">
        <v>0</v>
      </c>
      <c r="W5528">
        <v>3</v>
      </c>
      <c r="X5528">
        <v>1996</v>
      </c>
      <c r="Z5528">
        <v>1</v>
      </c>
      <c r="AA5528" t="s">
        <v>26</v>
      </c>
      <c r="AB5528">
        <v>0</v>
      </c>
      <c r="AC5528" t="s">
        <v>115</v>
      </c>
      <c r="AD5528">
        <v>3</v>
      </c>
      <c r="AE5528" t="s">
        <v>115</v>
      </c>
      <c r="AF5528">
        <v>0</v>
      </c>
      <c r="AG5528">
        <v>0</v>
      </c>
      <c r="AH5528" t="s">
        <v>116</v>
      </c>
      <c r="AI5528" s="1">
        <v>1301</v>
      </c>
      <c r="AJ5528" s="2">
        <v>0</v>
      </c>
      <c r="AK5528" s="1">
        <v>406801</v>
      </c>
      <c r="AL5528" t="s">
        <v>117</v>
      </c>
      <c r="AM5528" t="s">
        <v>1315</v>
      </c>
      <c r="AN5528">
        <v>8664</v>
      </c>
      <c r="AO5528">
        <v>0.2</v>
      </c>
      <c r="AP5528">
        <v>1</v>
      </c>
      <c r="AR5528">
        <v>1</v>
      </c>
      <c r="AS5528" s="1">
        <v>34000</v>
      </c>
      <c r="AT5528" s="1">
        <v>6800</v>
      </c>
      <c r="AU5528" s="1">
        <v>27200</v>
      </c>
      <c r="AV5528">
        <v>80</v>
      </c>
      <c r="AX5528" s="1">
        <v>3653.84</v>
      </c>
      <c r="AY5528" t="s">
        <v>2966</v>
      </c>
      <c r="AZ5528" t="s">
        <v>2967</v>
      </c>
      <c r="BA5528" t="s">
        <v>930</v>
      </c>
      <c r="BB5528" s="3">
        <v>42558</v>
      </c>
      <c r="BD5528" t="s">
        <v>458</v>
      </c>
      <c r="BE5528" s="3">
        <v>41820</v>
      </c>
      <c r="BF5528" s="1">
        <v>397000</v>
      </c>
      <c r="BG5528" t="s">
        <v>33987</v>
      </c>
      <c r="BH5528" s="1">
        <v>156.18</v>
      </c>
      <c r="BI5528" s="1">
        <v>405500</v>
      </c>
      <c r="BJ5528" s="3">
        <v>41820</v>
      </c>
      <c r="BK5528" t="s">
        <v>123</v>
      </c>
      <c r="BL5528" t="str">
        <f>"2014.430781"</f>
        <v>2014.430781</v>
      </c>
      <c r="BM5528" t="s">
        <v>124</v>
      </c>
      <c r="BN5528" t="s">
        <v>1575</v>
      </c>
      <c r="BO5528" t="s">
        <v>33988</v>
      </c>
      <c r="BS5528">
        <v>30</v>
      </c>
      <c r="BW5528" t="str">
        <f>""</f>
        <v/>
      </c>
      <c r="CH5528" t="str">
        <f>""</f>
        <v/>
      </c>
      <c r="CS5528" t="str">
        <f>""</f>
        <v/>
      </c>
    </row>
    <row r="5529" spans="1:97" x14ac:dyDescent="0.25">
      <c r="A5529" t="s">
        <v>996</v>
      </c>
      <c r="B5529" t="s">
        <v>33989</v>
      </c>
      <c r="C5529" t="s">
        <v>17474</v>
      </c>
      <c r="D5529" t="s">
        <v>33989</v>
      </c>
      <c r="E5529" t="s">
        <v>33990</v>
      </c>
      <c r="F5529" t="s">
        <v>108</v>
      </c>
      <c r="H5529" t="s">
        <v>33991</v>
      </c>
      <c r="I5529" t="s">
        <v>188</v>
      </c>
      <c r="J5529" t="s">
        <v>111</v>
      </c>
      <c r="K5529" t="str">
        <f>"85142"</f>
        <v>85142</v>
      </c>
      <c r="L5529" t="s">
        <v>3161</v>
      </c>
      <c r="M5529" t="s">
        <v>33991</v>
      </c>
      <c r="N5529" t="s">
        <v>188</v>
      </c>
      <c r="O5529" t="s">
        <v>111</v>
      </c>
      <c r="P5529" t="str">
        <f>"85142-7732"</f>
        <v>85142-7732</v>
      </c>
      <c r="Q5529" t="s">
        <v>113</v>
      </c>
      <c r="R5529" t="str">
        <f>"314-05-967"</f>
        <v>314-05-967</v>
      </c>
      <c r="S5529" t="s">
        <v>13083</v>
      </c>
      <c r="T5529" t="s">
        <v>691</v>
      </c>
      <c r="U5529">
        <v>3657</v>
      </c>
      <c r="V5529">
        <v>0</v>
      </c>
      <c r="W5529">
        <v>5</v>
      </c>
      <c r="X5529">
        <v>2014</v>
      </c>
      <c r="Z5529">
        <v>2</v>
      </c>
      <c r="AA5529" t="s">
        <v>26</v>
      </c>
      <c r="AB5529">
        <v>0</v>
      </c>
      <c r="AC5529" t="s">
        <v>115</v>
      </c>
      <c r="AD5529">
        <v>3</v>
      </c>
      <c r="AE5529" t="s">
        <v>115</v>
      </c>
      <c r="AF5529">
        <v>0</v>
      </c>
      <c r="AG5529">
        <v>0</v>
      </c>
      <c r="AH5529" t="s">
        <v>116</v>
      </c>
      <c r="AI5529" s="1">
        <v>114903</v>
      </c>
      <c r="AJ5529" s="2">
        <v>0.24</v>
      </c>
      <c r="AK5529" s="1">
        <v>469363</v>
      </c>
      <c r="AL5529" t="s">
        <v>117</v>
      </c>
      <c r="AM5529" t="s">
        <v>393</v>
      </c>
      <c r="AN5529">
        <v>8888</v>
      </c>
      <c r="AO5529">
        <v>0.2</v>
      </c>
      <c r="AR5529">
        <v>1</v>
      </c>
      <c r="AS5529" s="1">
        <v>33780</v>
      </c>
      <c r="AT5529" s="1">
        <v>6750</v>
      </c>
      <c r="AU5529" s="1">
        <v>27030</v>
      </c>
      <c r="AV5529">
        <v>80.02</v>
      </c>
      <c r="AX5529" s="1">
        <v>3493.66</v>
      </c>
      <c r="AY5529" t="s">
        <v>192</v>
      </c>
      <c r="AZ5529" t="s">
        <v>193</v>
      </c>
      <c r="BA5529" t="s">
        <v>194</v>
      </c>
      <c r="BE5529" s="3">
        <v>42110</v>
      </c>
      <c r="BF5529" s="1">
        <v>347000</v>
      </c>
      <c r="BG5529" t="s">
        <v>275</v>
      </c>
      <c r="BH5529" s="1">
        <v>94.89</v>
      </c>
      <c r="BI5529" s="1">
        <v>354460</v>
      </c>
      <c r="BJ5529" s="3">
        <v>42110</v>
      </c>
      <c r="BK5529" t="s">
        <v>123</v>
      </c>
      <c r="BL5529" t="str">
        <f>"2015.261679"</f>
        <v>2015.261679</v>
      </c>
      <c r="BM5529" t="s">
        <v>651</v>
      </c>
      <c r="BO5529" t="s">
        <v>33992</v>
      </c>
      <c r="BS5529">
        <v>30</v>
      </c>
      <c r="BW5529" t="str">
        <f>""</f>
        <v/>
      </c>
      <c r="CH5529" t="str">
        <f>""</f>
        <v/>
      </c>
      <c r="CS5529" t="str">
        <f>""</f>
        <v/>
      </c>
    </row>
    <row r="5530" spans="1:97" x14ac:dyDescent="0.25">
      <c r="A5530" t="s">
        <v>894</v>
      </c>
      <c r="B5530" t="s">
        <v>603</v>
      </c>
      <c r="C5530" t="s">
        <v>4407</v>
      </c>
      <c r="D5530" t="s">
        <v>603</v>
      </c>
      <c r="E5530" t="s">
        <v>33993</v>
      </c>
      <c r="F5530" t="s">
        <v>108</v>
      </c>
      <c r="H5530" t="s">
        <v>33994</v>
      </c>
      <c r="I5530" t="s">
        <v>110</v>
      </c>
      <c r="J5530" t="s">
        <v>111</v>
      </c>
      <c r="K5530" t="str">
        <f>"85226"</f>
        <v>85226</v>
      </c>
      <c r="L5530" t="s">
        <v>5138</v>
      </c>
      <c r="M5530" t="s">
        <v>33994</v>
      </c>
      <c r="N5530" t="s">
        <v>110</v>
      </c>
      <c r="O5530" t="s">
        <v>111</v>
      </c>
      <c r="P5530" t="str">
        <f>"85226-2148"</f>
        <v>85226-2148</v>
      </c>
      <c r="Q5530" t="s">
        <v>113</v>
      </c>
      <c r="R5530" t="str">
        <f>"308-10-367"</f>
        <v>308-10-367</v>
      </c>
      <c r="S5530" t="s">
        <v>15702</v>
      </c>
      <c r="T5530" t="s">
        <v>15703</v>
      </c>
      <c r="U5530">
        <v>2639</v>
      </c>
      <c r="V5530">
        <v>0</v>
      </c>
      <c r="W5530">
        <v>4</v>
      </c>
      <c r="X5530">
        <v>1994</v>
      </c>
      <c r="Z5530">
        <v>2</v>
      </c>
      <c r="AA5530" t="s">
        <v>26</v>
      </c>
      <c r="AB5530">
        <v>0</v>
      </c>
      <c r="AC5530" t="s">
        <v>115</v>
      </c>
      <c r="AD5530">
        <v>3</v>
      </c>
      <c r="AE5530" t="s">
        <v>115</v>
      </c>
      <c r="AF5530">
        <v>0</v>
      </c>
      <c r="AG5530">
        <v>0</v>
      </c>
      <c r="AH5530" t="s">
        <v>116</v>
      </c>
      <c r="AI5530" s="1">
        <v>83249</v>
      </c>
      <c r="AJ5530" s="2">
        <v>0.18</v>
      </c>
      <c r="AK5530" s="1">
        <v>453249</v>
      </c>
      <c r="AL5530" t="s">
        <v>117</v>
      </c>
      <c r="AM5530" t="s">
        <v>118</v>
      </c>
      <c r="AN5530">
        <v>8211</v>
      </c>
      <c r="AO5530">
        <v>0.19</v>
      </c>
      <c r="AP5530">
        <v>1</v>
      </c>
      <c r="AR5530">
        <v>1</v>
      </c>
      <c r="AS5530" s="1">
        <v>32770</v>
      </c>
      <c r="AT5530" s="1">
        <v>6550</v>
      </c>
      <c r="AU5530" s="1">
        <v>26220</v>
      </c>
      <c r="AV5530">
        <v>80.010000000000005</v>
      </c>
      <c r="AX5530" s="1">
        <v>2602.6</v>
      </c>
      <c r="AY5530" t="s">
        <v>15704</v>
      </c>
      <c r="AZ5530" t="s">
        <v>5922</v>
      </c>
      <c r="BA5530" t="s">
        <v>5202</v>
      </c>
      <c r="BE5530" s="3">
        <v>42157</v>
      </c>
      <c r="BF5530" s="1">
        <v>370000</v>
      </c>
      <c r="BG5530" t="s">
        <v>33995</v>
      </c>
      <c r="BH5530" s="1">
        <v>140.19999999999999</v>
      </c>
      <c r="BI5530" s="1">
        <v>370000</v>
      </c>
      <c r="BJ5530" s="3">
        <v>42157</v>
      </c>
      <c r="BK5530" t="s">
        <v>123</v>
      </c>
      <c r="BL5530" t="str">
        <f>"2015.393554"</f>
        <v>2015.393554</v>
      </c>
      <c r="BM5530" t="s">
        <v>724</v>
      </c>
      <c r="BO5530" t="s">
        <v>33996</v>
      </c>
      <c r="BS5530">
        <v>30</v>
      </c>
      <c r="BW5530" t="str">
        <f>""</f>
        <v/>
      </c>
      <c r="CH5530" t="str">
        <f>""</f>
        <v/>
      </c>
      <c r="CS5530" t="str">
        <f>""</f>
        <v/>
      </c>
    </row>
    <row r="5531" spans="1:97" x14ac:dyDescent="0.25">
      <c r="B5531" t="s">
        <v>33997</v>
      </c>
      <c r="E5531" t="s">
        <v>33998</v>
      </c>
      <c r="F5531" t="s">
        <v>108</v>
      </c>
      <c r="H5531" t="s">
        <v>33999</v>
      </c>
      <c r="I5531" t="s">
        <v>203</v>
      </c>
      <c r="J5531" t="s">
        <v>111</v>
      </c>
      <c r="K5531" t="str">
        <f>"85295"</f>
        <v>85295</v>
      </c>
      <c r="L5531" t="s">
        <v>7109</v>
      </c>
      <c r="M5531" t="s">
        <v>33999</v>
      </c>
      <c r="N5531" t="s">
        <v>203</v>
      </c>
      <c r="O5531" t="s">
        <v>111</v>
      </c>
      <c r="P5531" t="str">
        <f>"85295-8348"</f>
        <v>85295-8348</v>
      </c>
      <c r="Q5531" t="s">
        <v>113</v>
      </c>
      <c r="R5531" t="str">
        <f>"304-45-383"</f>
        <v>304-45-383</v>
      </c>
      <c r="S5531" t="s">
        <v>8802</v>
      </c>
      <c r="T5531" t="s">
        <v>8803</v>
      </c>
      <c r="U5531">
        <v>3739</v>
      </c>
      <c r="V5531">
        <v>0</v>
      </c>
      <c r="W5531">
        <v>4</v>
      </c>
      <c r="X5531">
        <v>2004</v>
      </c>
      <c r="Z5531">
        <v>2</v>
      </c>
      <c r="AA5531" t="s">
        <v>26</v>
      </c>
      <c r="AB5531">
        <v>0</v>
      </c>
      <c r="AC5531" t="s">
        <v>115</v>
      </c>
      <c r="AD5531">
        <v>3</v>
      </c>
      <c r="AE5531" t="s">
        <v>115</v>
      </c>
      <c r="AF5531">
        <v>0</v>
      </c>
      <c r="AG5531">
        <v>0</v>
      </c>
      <c r="AH5531" t="s">
        <v>116</v>
      </c>
      <c r="AI5531" s="1">
        <v>175782</v>
      </c>
      <c r="AJ5531" s="2">
        <v>0.33</v>
      </c>
      <c r="AK5531" s="1">
        <v>533203</v>
      </c>
      <c r="AL5531" t="s">
        <v>117</v>
      </c>
      <c r="AM5531" t="s">
        <v>171</v>
      </c>
      <c r="AN5531">
        <v>9600</v>
      </c>
      <c r="AO5531">
        <v>0.22</v>
      </c>
      <c r="AP5531">
        <v>1</v>
      </c>
      <c r="AR5531">
        <v>1</v>
      </c>
      <c r="AS5531" s="1">
        <v>38530</v>
      </c>
      <c r="AT5531" s="1">
        <v>7700</v>
      </c>
      <c r="AU5531" s="1">
        <v>30830</v>
      </c>
      <c r="AV5531">
        <v>80.02</v>
      </c>
      <c r="AX5531" s="1">
        <v>3116.48</v>
      </c>
      <c r="AY5531" t="s">
        <v>1818</v>
      </c>
      <c r="AZ5531" t="s">
        <v>207</v>
      </c>
      <c r="BA5531" t="s">
        <v>208</v>
      </c>
      <c r="BB5531" s="3">
        <v>43361</v>
      </c>
      <c r="BC5531" s="1">
        <v>0</v>
      </c>
      <c r="BD5531" t="s">
        <v>247</v>
      </c>
      <c r="BE5531" s="3">
        <v>41859</v>
      </c>
      <c r="BF5531" s="1">
        <v>385000</v>
      </c>
      <c r="BG5531" t="s">
        <v>34000</v>
      </c>
      <c r="BH5531" s="1">
        <v>102.97</v>
      </c>
      <c r="BI5531" s="1">
        <v>357421</v>
      </c>
      <c r="BJ5531" s="3">
        <v>42948</v>
      </c>
      <c r="BK5531" t="s">
        <v>123</v>
      </c>
      <c r="BL5531" t="str">
        <f>"2017.562712"</f>
        <v>2017.562712</v>
      </c>
      <c r="BM5531" t="s">
        <v>3638</v>
      </c>
      <c r="BN5531">
        <v>91361</v>
      </c>
      <c r="BO5531" t="s">
        <v>34001</v>
      </c>
      <c r="BP5531" t="s">
        <v>34002</v>
      </c>
      <c r="BS5531">
        <v>30</v>
      </c>
      <c r="BW5531" t="str">
        <f>""</f>
        <v/>
      </c>
      <c r="CH5531" t="str">
        <f>""</f>
        <v/>
      </c>
      <c r="CS5531" t="str">
        <f>""</f>
        <v/>
      </c>
    </row>
    <row r="5532" spans="1:97" x14ac:dyDescent="0.25">
      <c r="B5532" t="s">
        <v>34003</v>
      </c>
      <c r="C5532" t="s">
        <v>1289</v>
      </c>
      <c r="E5532" t="s">
        <v>34004</v>
      </c>
      <c r="F5532" t="s">
        <v>139</v>
      </c>
      <c r="H5532" t="s">
        <v>34005</v>
      </c>
      <c r="I5532" t="s">
        <v>110</v>
      </c>
      <c r="J5532" t="s">
        <v>111</v>
      </c>
      <c r="K5532" t="str">
        <f>"85249"</f>
        <v>85249</v>
      </c>
      <c r="L5532" t="s">
        <v>4534</v>
      </c>
      <c r="M5532" t="s">
        <v>34005</v>
      </c>
      <c r="N5532" t="s">
        <v>110</v>
      </c>
      <c r="O5532" t="s">
        <v>111</v>
      </c>
      <c r="P5532" t="str">
        <f>"85249-3702"</f>
        <v>85249-3702</v>
      </c>
      <c r="Q5532" t="s">
        <v>113</v>
      </c>
      <c r="R5532" t="str">
        <f>"304-82-585"</f>
        <v>304-82-585</v>
      </c>
      <c r="S5532" t="s">
        <v>34006</v>
      </c>
      <c r="T5532" t="s">
        <v>34007</v>
      </c>
      <c r="U5532">
        <v>3470</v>
      </c>
      <c r="V5532">
        <v>0</v>
      </c>
      <c r="W5532">
        <v>4</v>
      </c>
      <c r="X5532">
        <v>2006</v>
      </c>
      <c r="Z5532">
        <v>1</v>
      </c>
      <c r="AA5532" t="s">
        <v>26</v>
      </c>
      <c r="AB5532">
        <v>0</v>
      </c>
      <c r="AC5532" t="s">
        <v>115</v>
      </c>
      <c r="AD5532">
        <v>3</v>
      </c>
      <c r="AE5532" t="s">
        <v>115</v>
      </c>
      <c r="AF5532">
        <v>0</v>
      </c>
      <c r="AG5532">
        <v>0</v>
      </c>
      <c r="AH5532" t="s">
        <v>116</v>
      </c>
      <c r="AI5532" s="1">
        <v>189000</v>
      </c>
      <c r="AJ5532" s="2">
        <v>0.28999999999999998</v>
      </c>
      <c r="AK5532" s="1">
        <v>649687</v>
      </c>
      <c r="AL5532" t="s">
        <v>117</v>
      </c>
      <c r="AM5532" t="s">
        <v>118</v>
      </c>
      <c r="AN5532">
        <v>12198</v>
      </c>
      <c r="AO5532">
        <v>0.28000000000000003</v>
      </c>
      <c r="AR5532">
        <v>1</v>
      </c>
      <c r="AS5532" s="1">
        <v>50570</v>
      </c>
      <c r="AT5532" s="1">
        <v>10110</v>
      </c>
      <c r="AU5532" s="1">
        <v>40460</v>
      </c>
      <c r="AV5532">
        <v>80.010000000000005</v>
      </c>
      <c r="AX5532" s="1">
        <v>5255.08</v>
      </c>
      <c r="AY5532" t="s">
        <v>3699</v>
      </c>
      <c r="AZ5532" t="s">
        <v>273</v>
      </c>
      <c r="BA5532" t="s">
        <v>274</v>
      </c>
      <c r="BB5532" s="3">
        <v>43581</v>
      </c>
      <c r="BC5532" s="1">
        <v>0</v>
      </c>
      <c r="BD5532" t="s">
        <v>247</v>
      </c>
      <c r="BE5532" s="3">
        <v>42277</v>
      </c>
      <c r="BF5532" s="1">
        <v>530000</v>
      </c>
      <c r="BG5532" t="s">
        <v>34008</v>
      </c>
      <c r="BH5532" s="1">
        <v>152.74</v>
      </c>
      <c r="BI5532" s="1">
        <v>460687</v>
      </c>
      <c r="BJ5532" s="3">
        <v>42277</v>
      </c>
      <c r="BK5532" t="s">
        <v>123</v>
      </c>
      <c r="BL5532" t="str">
        <f>"2015.705157"</f>
        <v>2015.705157</v>
      </c>
      <c r="BM5532" t="s">
        <v>1325</v>
      </c>
      <c r="BN5532" t="s">
        <v>15523</v>
      </c>
      <c r="BO5532" t="s">
        <v>34009</v>
      </c>
      <c r="BS5532">
        <v>30</v>
      </c>
      <c r="BW5532" t="str">
        <f>""</f>
        <v/>
      </c>
      <c r="CH5532" t="str">
        <f>""</f>
        <v/>
      </c>
      <c r="CS5532" t="str">
        <f>""</f>
        <v/>
      </c>
    </row>
    <row r="5533" spans="1:97" x14ac:dyDescent="0.25">
      <c r="A5533" t="s">
        <v>21147</v>
      </c>
      <c r="B5533" t="s">
        <v>33795</v>
      </c>
      <c r="C5533" t="s">
        <v>691</v>
      </c>
      <c r="D5533" t="s">
        <v>33795</v>
      </c>
      <c r="E5533" t="s">
        <v>34010</v>
      </c>
      <c r="F5533" t="s">
        <v>108</v>
      </c>
      <c r="H5533" t="s">
        <v>34011</v>
      </c>
      <c r="I5533" t="s">
        <v>110</v>
      </c>
      <c r="J5533" t="s">
        <v>111</v>
      </c>
      <c r="K5533" t="str">
        <f>"85225"</f>
        <v>85225</v>
      </c>
      <c r="L5533" t="s">
        <v>6964</v>
      </c>
      <c r="M5533" t="s">
        <v>34011</v>
      </c>
      <c r="N5533" t="s">
        <v>110</v>
      </c>
      <c r="O5533" t="s">
        <v>111</v>
      </c>
      <c r="P5533" t="str">
        <f>"85225-1816"</f>
        <v>85225-1816</v>
      </c>
      <c r="Q5533" t="s">
        <v>113</v>
      </c>
      <c r="R5533" t="str">
        <f>"302-88-300"</f>
        <v>302-88-300</v>
      </c>
      <c r="S5533" t="s">
        <v>34012</v>
      </c>
      <c r="T5533" t="s">
        <v>34013</v>
      </c>
      <c r="U5533">
        <v>2926</v>
      </c>
      <c r="V5533">
        <v>0</v>
      </c>
      <c r="W5533">
        <v>4</v>
      </c>
      <c r="X5533">
        <v>1983</v>
      </c>
      <c r="Z5533">
        <v>2</v>
      </c>
      <c r="AA5533" t="s">
        <v>26</v>
      </c>
      <c r="AB5533">
        <v>0</v>
      </c>
      <c r="AC5533" t="s">
        <v>115</v>
      </c>
      <c r="AD5533">
        <v>2</v>
      </c>
      <c r="AE5533" t="s">
        <v>115</v>
      </c>
      <c r="AF5533">
        <v>0</v>
      </c>
      <c r="AG5533">
        <v>0</v>
      </c>
      <c r="AH5533" t="s">
        <v>116</v>
      </c>
      <c r="AI5533" s="1">
        <v>80173</v>
      </c>
      <c r="AJ5533" s="2">
        <v>0.2</v>
      </c>
      <c r="AK5533" s="1">
        <v>401973</v>
      </c>
      <c r="AL5533" t="s">
        <v>117</v>
      </c>
      <c r="AM5533" t="s">
        <v>5077</v>
      </c>
      <c r="AN5533">
        <v>7653</v>
      </c>
      <c r="AO5533">
        <v>0.18</v>
      </c>
      <c r="AP5533">
        <v>1</v>
      </c>
      <c r="AR5533">
        <v>1</v>
      </c>
      <c r="AS5533" s="1">
        <v>28710</v>
      </c>
      <c r="AT5533" s="1">
        <v>5740</v>
      </c>
      <c r="AU5533" s="1">
        <v>22970</v>
      </c>
      <c r="AV5533">
        <v>80.010000000000005</v>
      </c>
      <c r="AX5533" s="1">
        <v>2218.44</v>
      </c>
      <c r="AY5533" t="s">
        <v>7201</v>
      </c>
      <c r="AZ5533" t="s">
        <v>7201</v>
      </c>
      <c r="BA5533" t="s">
        <v>5311</v>
      </c>
      <c r="BE5533" s="3">
        <v>42481</v>
      </c>
      <c r="BF5533" s="1">
        <v>306000</v>
      </c>
      <c r="BG5533" t="s">
        <v>34014</v>
      </c>
      <c r="BH5533" s="1">
        <v>104.58</v>
      </c>
      <c r="BI5533" s="1">
        <v>321800</v>
      </c>
      <c r="BJ5533" s="3">
        <v>42725</v>
      </c>
      <c r="BK5533" t="s">
        <v>123</v>
      </c>
      <c r="BL5533" t="str">
        <f>"2016.939453"</f>
        <v>2016.939453</v>
      </c>
      <c r="BM5533" t="s">
        <v>1122</v>
      </c>
      <c r="BO5533" t="s">
        <v>34015</v>
      </c>
      <c r="BS5533">
        <v>30</v>
      </c>
      <c r="BW5533" t="str">
        <f>""</f>
        <v/>
      </c>
      <c r="CH5533" t="str">
        <f>""</f>
        <v/>
      </c>
      <c r="CS5533" t="str">
        <f>""</f>
        <v/>
      </c>
    </row>
    <row r="5534" spans="1:97" x14ac:dyDescent="0.25">
      <c r="A5534" t="s">
        <v>701</v>
      </c>
      <c r="B5534" t="s">
        <v>27905</v>
      </c>
      <c r="C5534" t="s">
        <v>34016</v>
      </c>
      <c r="D5534" t="s">
        <v>27905</v>
      </c>
      <c r="E5534" t="s">
        <v>34017</v>
      </c>
      <c r="F5534" t="s">
        <v>108</v>
      </c>
      <c r="H5534" t="s">
        <v>34018</v>
      </c>
      <c r="I5534" t="s">
        <v>203</v>
      </c>
      <c r="J5534" t="s">
        <v>111</v>
      </c>
      <c r="K5534" t="str">
        <f>"85298"</f>
        <v>85298</v>
      </c>
      <c r="L5534" t="s">
        <v>5291</v>
      </c>
      <c r="M5534" t="s">
        <v>34018</v>
      </c>
      <c r="N5534" t="s">
        <v>203</v>
      </c>
      <c r="O5534" t="s">
        <v>111</v>
      </c>
      <c r="P5534" t="str">
        <f>"85298-8488"</f>
        <v>85298-8488</v>
      </c>
      <c r="Q5534" t="s">
        <v>113</v>
      </c>
      <c r="R5534" t="str">
        <f>"304-70-138"</f>
        <v>304-70-138</v>
      </c>
      <c r="S5534" t="s">
        <v>7529</v>
      </c>
      <c r="T5534" t="s">
        <v>2213</v>
      </c>
      <c r="U5534">
        <v>2708</v>
      </c>
      <c r="V5534">
        <v>0</v>
      </c>
      <c r="W5534">
        <v>4</v>
      </c>
      <c r="X5534">
        <v>2012</v>
      </c>
      <c r="Z5534">
        <v>1</v>
      </c>
      <c r="AA5534" t="s">
        <v>26</v>
      </c>
      <c r="AB5534">
        <v>0</v>
      </c>
      <c r="AC5534" t="s">
        <v>115</v>
      </c>
      <c r="AD5534">
        <v>3</v>
      </c>
      <c r="AE5534" t="s">
        <v>115</v>
      </c>
      <c r="AF5534">
        <v>0</v>
      </c>
      <c r="AG5534">
        <v>0</v>
      </c>
      <c r="AH5534" t="s">
        <v>116</v>
      </c>
      <c r="AI5534" s="1">
        <v>98730</v>
      </c>
      <c r="AJ5534" s="2">
        <v>0.2</v>
      </c>
      <c r="AK5534" s="1">
        <v>493730</v>
      </c>
      <c r="AL5534" t="s">
        <v>117</v>
      </c>
      <c r="AM5534" t="s">
        <v>1302</v>
      </c>
      <c r="AN5534">
        <v>11050</v>
      </c>
      <c r="AO5534">
        <v>0.25</v>
      </c>
      <c r="AR5534">
        <v>1</v>
      </c>
      <c r="AS5534" s="1">
        <v>36110</v>
      </c>
      <c r="AT5534" s="1">
        <v>7220</v>
      </c>
      <c r="AU5534" s="1">
        <v>28890</v>
      </c>
      <c r="AV5534">
        <v>80.010000000000005</v>
      </c>
      <c r="AX5534" s="1">
        <v>3338.1</v>
      </c>
      <c r="AY5534" t="s">
        <v>7512</v>
      </c>
      <c r="AZ5534" t="s">
        <v>7512</v>
      </c>
      <c r="BA5534" t="s">
        <v>473</v>
      </c>
      <c r="BE5534" s="3">
        <v>41759</v>
      </c>
      <c r="BF5534" s="1">
        <v>395000</v>
      </c>
      <c r="BG5534" t="s">
        <v>34019</v>
      </c>
      <c r="BH5534" s="1">
        <v>145.86000000000001</v>
      </c>
      <c r="BI5534" s="1">
        <v>395000</v>
      </c>
      <c r="BJ5534" s="3">
        <v>41759</v>
      </c>
      <c r="BK5534" t="s">
        <v>123</v>
      </c>
      <c r="BL5534" t="str">
        <f>"2014.278592"</f>
        <v>2014.278592</v>
      </c>
      <c r="BM5534" t="s">
        <v>18925</v>
      </c>
      <c r="BO5534" t="s">
        <v>34020</v>
      </c>
      <c r="BS5534">
        <v>30</v>
      </c>
      <c r="BW5534" t="str">
        <f>""</f>
        <v/>
      </c>
      <c r="CH5534" t="str">
        <f>""</f>
        <v/>
      </c>
      <c r="CS5534" t="str">
        <f>""</f>
        <v/>
      </c>
    </row>
    <row r="5535" spans="1:97" x14ac:dyDescent="0.25">
      <c r="A5535" t="s">
        <v>34021</v>
      </c>
      <c r="B5535" t="s">
        <v>11742</v>
      </c>
      <c r="C5535" t="s">
        <v>484</v>
      </c>
      <c r="D5535" t="s">
        <v>11742</v>
      </c>
      <c r="E5535" t="s">
        <v>34022</v>
      </c>
      <c r="F5535" t="s">
        <v>108</v>
      </c>
      <c r="H5535" t="s">
        <v>34023</v>
      </c>
      <c r="I5535" t="s">
        <v>390</v>
      </c>
      <c r="J5535" t="s">
        <v>111</v>
      </c>
      <c r="K5535" t="str">
        <f>"85050"</f>
        <v>85050</v>
      </c>
      <c r="L5535" t="s">
        <v>6964</v>
      </c>
      <c r="M5535" t="s">
        <v>34023</v>
      </c>
      <c r="N5535" t="s">
        <v>390</v>
      </c>
      <c r="O5535" t="s">
        <v>111</v>
      </c>
      <c r="P5535" t="str">
        <f>"85050-6310"</f>
        <v>85050-6310</v>
      </c>
      <c r="Q5535" t="s">
        <v>113</v>
      </c>
      <c r="R5535" t="str">
        <f>"213-15-493"</f>
        <v>213-15-493</v>
      </c>
      <c r="S5535" t="s">
        <v>34024</v>
      </c>
      <c r="U5535">
        <v>2416</v>
      </c>
      <c r="V5535">
        <v>0</v>
      </c>
      <c r="W5535">
        <v>4</v>
      </c>
      <c r="X5535">
        <v>1994</v>
      </c>
      <c r="Z5535">
        <v>2</v>
      </c>
      <c r="AB5535">
        <v>0</v>
      </c>
      <c r="AC5535" t="s">
        <v>115</v>
      </c>
      <c r="AD5535">
        <v>3</v>
      </c>
      <c r="AE5535" t="s">
        <v>115</v>
      </c>
      <c r="AF5535">
        <v>0</v>
      </c>
      <c r="AG5535">
        <v>0</v>
      </c>
      <c r="AH5535" t="s">
        <v>116</v>
      </c>
      <c r="AI5535" s="1">
        <v>92021</v>
      </c>
      <c r="AJ5535" s="2">
        <v>0.23</v>
      </c>
      <c r="AK5535" s="1">
        <v>393521</v>
      </c>
      <c r="AL5535" t="s">
        <v>117</v>
      </c>
      <c r="AM5535" t="s">
        <v>191</v>
      </c>
      <c r="AN5535">
        <v>5995</v>
      </c>
      <c r="AO5535">
        <v>0.14000000000000001</v>
      </c>
      <c r="AP5535">
        <v>1</v>
      </c>
      <c r="AR5535">
        <v>1</v>
      </c>
      <c r="AS5535" s="1">
        <v>28860</v>
      </c>
      <c r="AT5535" s="1">
        <v>5770</v>
      </c>
      <c r="AU5535" s="1">
        <v>23090</v>
      </c>
      <c r="AV5535">
        <v>80.010000000000005</v>
      </c>
      <c r="AX5535" s="1">
        <v>2541.2800000000002</v>
      </c>
      <c r="AY5535" t="s">
        <v>8037</v>
      </c>
      <c r="AZ5535" t="s">
        <v>2550</v>
      </c>
      <c r="BA5535" t="s">
        <v>1318</v>
      </c>
      <c r="BB5535" s="3">
        <v>42522</v>
      </c>
      <c r="BD5535" t="s">
        <v>458</v>
      </c>
      <c r="BE5535" s="3">
        <v>41696</v>
      </c>
      <c r="BF5535" s="1">
        <v>310000</v>
      </c>
      <c r="BG5535" t="s">
        <v>34025</v>
      </c>
      <c r="BH5535" s="1">
        <v>128.31</v>
      </c>
      <c r="BI5535" s="1">
        <v>301500</v>
      </c>
      <c r="BJ5535" s="3">
        <v>42522</v>
      </c>
      <c r="BK5535" t="s">
        <v>123</v>
      </c>
      <c r="BL5535" t="str">
        <f>"2016.377421"</f>
        <v>2016.377421</v>
      </c>
      <c r="BM5535" t="s">
        <v>724</v>
      </c>
      <c r="BO5535" t="s">
        <v>34026</v>
      </c>
      <c r="BS5535">
        <v>15</v>
      </c>
      <c r="BW5535" t="str">
        <f>""</f>
        <v/>
      </c>
      <c r="CH5535" t="str">
        <f>""</f>
        <v/>
      </c>
      <c r="CS5535" t="str">
        <f>""</f>
        <v/>
      </c>
    </row>
    <row r="5536" spans="1:97" x14ac:dyDescent="0.25">
      <c r="A5536" t="s">
        <v>894</v>
      </c>
      <c r="B5536" t="s">
        <v>34027</v>
      </c>
      <c r="C5536" t="s">
        <v>34028</v>
      </c>
      <c r="D5536" t="s">
        <v>34027</v>
      </c>
      <c r="E5536" t="s">
        <v>34029</v>
      </c>
      <c r="F5536" t="s">
        <v>282</v>
      </c>
      <c r="H5536" t="s">
        <v>34030</v>
      </c>
      <c r="I5536" t="s">
        <v>203</v>
      </c>
      <c r="J5536" t="s">
        <v>111</v>
      </c>
      <c r="K5536" t="str">
        <f>"85234"</f>
        <v>85234</v>
      </c>
      <c r="L5536" t="s">
        <v>189</v>
      </c>
      <c r="M5536" t="s">
        <v>34031</v>
      </c>
      <c r="N5536" t="s">
        <v>33914</v>
      </c>
      <c r="O5536" t="s">
        <v>360</v>
      </c>
      <c r="P5536" t="str">
        <f>"93309-8638"</f>
        <v>93309-8638</v>
      </c>
      <c r="Q5536" t="s">
        <v>113</v>
      </c>
      <c r="R5536" t="str">
        <f>"304-15-521"</f>
        <v>304-15-521</v>
      </c>
      <c r="S5536" t="s">
        <v>5564</v>
      </c>
      <c r="T5536" t="s">
        <v>5564</v>
      </c>
      <c r="U5536">
        <v>2493</v>
      </c>
      <c r="V5536">
        <v>0</v>
      </c>
      <c r="W5536">
        <v>4</v>
      </c>
      <c r="X5536">
        <v>1996</v>
      </c>
      <c r="Z5536">
        <v>2</v>
      </c>
      <c r="AA5536" t="s">
        <v>26</v>
      </c>
      <c r="AB5536">
        <v>0</v>
      </c>
      <c r="AC5536" t="s">
        <v>115</v>
      </c>
      <c r="AD5536">
        <v>3</v>
      </c>
      <c r="AE5536" t="s">
        <v>115</v>
      </c>
      <c r="AF5536">
        <v>0</v>
      </c>
      <c r="AG5536">
        <v>0</v>
      </c>
      <c r="AH5536" t="s">
        <v>116</v>
      </c>
      <c r="AI5536" s="1">
        <v>75507</v>
      </c>
      <c r="AJ5536" s="2">
        <v>0.19</v>
      </c>
      <c r="AK5536" s="1">
        <v>403107</v>
      </c>
      <c r="AL5536" t="s">
        <v>117</v>
      </c>
      <c r="AM5536" t="s">
        <v>393</v>
      </c>
      <c r="AN5536">
        <v>8364</v>
      </c>
      <c r="AO5536">
        <v>0.19</v>
      </c>
      <c r="AP5536">
        <v>1</v>
      </c>
      <c r="AR5536">
        <v>1</v>
      </c>
      <c r="AS5536" s="1">
        <v>28180</v>
      </c>
      <c r="AT5536" s="1">
        <v>5630</v>
      </c>
      <c r="AU5536" s="1">
        <v>22550</v>
      </c>
      <c r="AV5536">
        <v>80.02</v>
      </c>
      <c r="AX5536" s="1">
        <v>1793.94</v>
      </c>
      <c r="AY5536" t="s">
        <v>5565</v>
      </c>
      <c r="AZ5536" t="s">
        <v>571</v>
      </c>
      <c r="BA5536" t="s">
        <v>521</v>
      </c>
      <c r="BE5536" s="3">
        <v>41856</v>
      </c>
      <c r="BF5536" s="1">
        <v>345000</v>
      </c>
      <c r="BG5536" t="s">
        <v>34032</v>
      </c>
      <c r="BH5536" s="1">
        <v>138.38999999999999</v>
      </c>
      <c r="BI5536" s="1">
        <v>327600</v>
      </c>
      <c r="BJ5536" s="3">
        <v>42632</v>
      </c>
      <c r="BK5536" t="s">
        <v>123</v>
      </c>
      <c r="BL5536" t="str">
        <f>"2016.676106"</f>
        <v>2016.676106</v>
      </c>
      <c r="BM5536" t="s">
        <v>750</v>
      </c>
      <c r="BO5536" t="s">
        <v>34033</v>
      </c>
      <c r="BS5536">
        <v>30</v>
      </c>
      <c r="BW5536" t="str">
        <f>""</f>
        <v/>
      </c>
      <c r="CH5536" t="str">
        <f>""</f>
        <v/>
      </c>
      <c r="CS5536" t="str">
        <f>""</f>
        <v/>
      </c>
    </row>
    <row r="5537" spans="1:97" x14ac:dyDescent="0.25">
      <c r="A5537" t="s">
        <v>18714</v>
      </c>
      <c r="B5537" t="s">
        <v>1422</v>
      </c>
      <c r="C5537" t="s">
        <v>2002</v>
      </c>
      <c r="D5537" t="s">
        <v>1422</v>
      </c>
      <c r="E5537" t="s">
        <v>34034</v>
      </c>
      <c r="F5537" t="s">
        <v>108</v>
      </c>
      <c r="H5537" t="s">
        <v>34035</v>
      </c>
      <c r="I5537" t="s">
        <v>1936</v>
      </c>
      <c r="J5537" t="s">
        <v>111</v>
      </c>
      <c r="K5537" t="str">
        <f>"85260"</f>
        <v>85260</v>
      </c>
      <c r="L5537" t="s">
        <v>15732</v>
      </c>
      <c r="M5537" t="s">
        <v>34035</v>
      </c>
      <c r="N5537" t="s">
        <v>1936</v>
      </c>
      <c r="O5537" t="s">
        <v>111</v>
      </c>
      <c r="P5537" t="str">
        <f>"85260-6363"</f>
        <v>85260-6363</v>
      </c>
      <c r="Q5537" t="s">
        <v>113</v>
      </c>
      <c r="R5537" t="str">
        <f>"217-26-265"</f>
        <v>217-26-265</v>
      </c>
      <c r="S5537" t="s">
        <v>23997</v>
      </c>
      <c r="T5537" t="s">
        <v>23998</v>
      </c>
      <c r="U5537">
        <v>2048</v>
      </c>
      <c r="V5537">
        <v>0</v>
      </c>
      <c r="W5537">
        <v>3</v>
      </c>
      <c r="X5537">
        <v>1984</v>
      </c>
      <c r="Z5537">
        <v>1</v>
      </c>
      <c r="AA5537" t="s">
        <v>26</v>
      </c>
      <c r="AB5537">
        <v>0</v>
      </c>
      <c r="AC5537" t="s">
        <v>115</v>
      </c>
      <c r="AD5537">
        <v>2</v>
      </c>
      <c r="AE5537" t="s">
        <v>115</v>
      </c>
      <c r="AF5537">
        <v>0</v>
      </c>
      <c r="AG5537">
        <v>0</v>
      </c>
      <c r="AH5537" t="s">
        <v>116</v>
      </c>
      <c r="AI5537" s="1">
        <v>-342920</v>
      </c>
      <c r="AJ5537" s="2">
        <v>-0.72</v>
      </c>
      <c r="AK5537" s="1">
        <v>478792</v>
      </c>
      <c r="AL5537" t="s">
        <v>117</v>
      </c>
      <c r="AM5537" t="s">
        <v>616</v>
      </c>
      <c r="AN5537">
        <v>10420</v>
      </c>
      <c r="AO5537">
        <v>0.24</v>
      </c>
      <c r="AP5537">
        <v>1</v>
      </c>
      <c r="AR5537">
        <v>1</v>
      </c>
      <c r="AS5537" s="1">
        <v>33800</v>
      </c>
      <c r="AT5537" s="1">
        <v>6760</v>
      </c>
      <c r="AU5537" s="1">
        <v>27040</v>
      </c>
      <c r="AV5537">
        <v>80</v>
      </c>
      <c r="AX5537" s="1">
        <v>2200.14</v>
      </c>
      <c r="AY5537" t="s">
        <v>5761</v>
      </c>
      <c r="AZ5537" t="s">
        <v>5762</v>
      </c>
      <c r="BA5537" t="s">
        <v>5763</v>
      </c>
      <c r="BB5537" s="3">
        <v>42452</v>
      </c>
      <c r="BD5537" t="s">
        <v>240</v>
      </c>
      <c r="BE5537" s="3">
        <v>42452</v>
      </c>
      <c r="BF5537" s="1">
        <v>396000</v>
      </c>
      <c r="BG5537" t="s">
        <v>34036</v>
      </c>
      <c r="BH5537" s="1">
        <v>193.36</v>
      </c>
      <c r="BI5537" s="1">
        <v>410806</v>
      </c>
      <c r="BJ5537" s="3">
        <v>42529</v>
      </c>
      <c r="BK5537" t="s">
        <v>123</v>
      </c>
      <c r="BL5537" t="str">
        <f>"2016.395045"</f>
        <v>2016.395045</v>
      </c>
      <c r="BM5537" t="s">
        <v>1695</v>
      </c>
      <c r="BO5537" t="s">
        <v>34037</v>
      </c>
      <c r="BS5537">
        <v>30</v>
      </c>
      <c r="BT5537" s="1">
        <v>410906</v>
      </c>
      <c r="BU5537" s="3">
        <v>42605</v>
      </c>
      <c r="BV5537" t="s">
        <v>123</v>
      </c>
      <c r="BW5537" t="str">
        <f>"2016.605116"</f>
        <v>2016.605116</v>
      </c>
      <c r="BX5537" t="s">
        <v>1695</v>
      </c>
      <c r="BZ5537" t="s">
        <v>34037</v>
      </c>
      <c r="CD5537">
        <v>30</v>
      </c>
      <c r="CH5537" t="str">
        <f>""</f>
        <v/>
      </c>
      <c r="CS5537" t="str">
        <f>""</f>
        <v/>
      </c>
    </row>
    <row r="5538" spans="1:97" x14ac:dyDescent="0.25">
      <c r="A5538" t="s">
        <v>1421</v>
      </c>
      <c r="B5538" t="s">
        <v>34038</v>
      </c>
      <c r="C5538" t="s">
        <v>4515</v>
      </c>
      <c r="D5538" t="s">
        <v>34038</v>
      </c>
      <c r="E5538" t="s">
        <v>34039</v>
      </c>
      <c r="F5538" t="s">
        <v>108</v>
      </c>
      <c r="H5538" t="s">
        <v>34040</v>
      </c>
      <c r="I5538" t="s">
        <v>390</v>
      </c>
      <c r="J5538" t="s">
        <v>111</v>
      </c>
      <c r="K5538" t="str">
        <f>"85053"</f>
        <v>85053</v>
      </c>
      <c r="L5538" t="s">
        <v>5799</v>
      </c>
      <c r="M5538" t="s">
        <v>34040</v>
      </c>
      <c r="N5538" t="s">
        <v>390</v>
      </c>
      <c r="O5538" t="s">
        <v>111</v>
      </c>
      <c r="P5538" t="str">
        <f>"85053-3833"</f>
        <v>85053-3833</v>
      </c>
      <c r="Q5538" t="s">
        <v>113</v>
      </c>
      <c r="R5538" t="str">
        <f>"207-15-407"</f>
        <v>207-15-407</v>
      </c>
      <c r="S5538" t="s">
        <v>34041</v>
      </c>
      <c r="T5538" t="s">
        <v>34041</v>
      </c>
      <c r="U5538">
        <v>2696</v>
      </c>
      <c r="V5538">
        <v>0</v>
      </c>
      <c r="W5538">
        <v>4</v>
      </c>
      <c r="X5538">
        <v>1999</v>
      </c>
      <c r="Z5538">
        <v>1</v>
      </c>
      <c r="AB5538">
        <v>0</v>
      </c>
      <c r="AC5538" t="s">
        <v>115</v>
      </c>
      <c r="AD5538">
        <v>4</v>
      </c>
      <c r="AE5538" t="s">
        <v>115</v>
      </c>
      <c r="AF5538">
        <v>0</v>
      </c>
      <c r="AG5538">
        <v>0</v>
      </c>
      <c r="AH5538" t="s">
        <v>116</v>
      </c>
      <c r="AI5538" s="1">
        <v>64642</v>
      </c>
      <c r="AJ5538" s="2">
        <v>0.16</v>
      </c>
      <c r="AK5538" s="1">
        <v>393419</v>
      </c>
      <c r="AL5538" t="s">
        <v>117</v>
      </c>
      <c r="AM5538" t="s">
        <v>1302</v>
      </c>
      <c r="AN5538">
        <v>11437</v>
      </c>
      <c r="AO5538">
        <v>0.26</v>
      </c>
      <c r="AP5538">
        <v>1</v>
      </c>
      <c r="AR5538">
        <v>1</v>
      </c>
      <c r="AS5538" s="1">
        <v>30660</v>
      </c>
      <c r="AT5538" s="1">
        <v>6130</v>
      </c>
      <c r="AU5538" s="1">
        <v>24530</v>
      </c>
      <c r="AV5538">
        <v>80.010000000000005</v>
      </c>
      <c r="AX5538" s="1">
        <v>3077.86</v>
      </c>
      <c r="AY5538" t="s">
        <v>2996</v>
      </c>
      <c r="AZ5538" t="s">
        <v>2997</v>
      </c>
      <c r="BA5538" t="s">
        <v>2998</v>
      </c>
      <c r="BE5538" s="3">
        <v>42524</v>
      </c>
      <c r="BF5538" s="1">
        <v>326500</v>
      </c>
      <c r="BG5538" t="s">
        <v>34042</v>
      </c>
      <c r="BH5538" s="1">
        <v>121.11</v>
      </c>
      <c r="BI5538" s="1">
        <v>328777</v>
      </c>
      <c r="BJ5538" s="3">
        <v>42524</v>
      </c>
      <c r="BK5538" t="s">
        <v>123</v>
      </c>
      <c r="BL5538" t="str">
        <f>"2016.387095"</f>
        <v>2016.387095</v>
      </c>
      <c r="BM5538" t="s">
        <v>29004</v>
      </c>
      <c r="BO5538" t="s">
        <v>34043</v>
      </c>
      <c r="BS5538">
        <v>30</v>
      </c>
      <c r="BW5538" t="str">
        <f>""</f>
        <v/>
      </c>
      <c r="CH5538" t="str">
        <f>""</f>
        <v/>
      </c>
      <c r="CS5538" t="str">
        <f>""</f>
        <v/>
      </c>
    </row>
    <row r="5539" spans="1:97" x14ac:dyDescent="0.25">
      <c r="A5539" t="s">
        <v>140</v>
      </c>
      <c r="B5539" t="s">
        <v>34044</v>
      </c>
      <c r="C5539" t="s">
        <v>2761</v>
      </c>
      <c r="D5539" t="s">
        <v>34044</v>
      </c>
      <c r="E5539" t="s">
        <v>34045</v>
      </c>
      <c r="F5539" t="s">
        <v>108</v>
      </c>
      <c r="H5539" t="s">
        <v>34046</v>
      </c>
      <c r="I5539" t="s">
        <v>203</v>
      </c>
      <c r="J5539" t="s">
        <v>111</v>
      </c>
      <c r="K5539" t="str">
        <f>"85297"</f>
        <v>85297</v>
      </c>
      <c r="L5539" t="s">
        <v>3696</v>
      </c>
      <c r="M5539" t="s">
        <v>34046</v>
      </c>
      <c r="N5539" t="s">
        <v>203</v>
      </c>
      <c r="O5539" t="s">
        <v>111</v>
      </c>
      <c r="P5539" t="str">
        <f>"85297-9362"</f>
        <v>85297-9362</v>
      </c>
      <c r="Q5539" t="s">
        <v>113</v>
      </c>
      <c r="R5539" t="str">
        <f>"309-24-129"</f>
        <v>309-24-129</v>
      </c>
      <c r="S5539" t="s">
        <v>34047</v>
      </c>
      <c r="U5539">
        <v>2035</v>
      </c>
      <c r="V5539">
        <v>0</v>
      </c>
      <c r="W5539">
        <v>3</v>
      </c>
      <c r="X5539">
        <v>2001</v>
      </c>
      <c r="Z5539">
        <v>1</v>
      </c>
      <c r="AA5539" t="s">
        <v>26</v>
      </c>
      <c r="AB5539">
        <v>0</v>
      </c>
      <c r="AC5539" t="s">
        <v>115</v>
      </c>
      <c r="AD5539">
        <v>2</v>
      </c>
      <c r="AE5539" t="s">
        <v>115</v>
      </c>
      <c r="AF5539">
        <v>0</v>
      </c>
      <c r="AG5539">
        <v>0</v>
      </c>
      <c r="AH5539" t="s">
        <v>116</v>
      </c>
      <c r="AI5539" s="1">
        <v>94358</v>
      </c>
      <c r="AJ5539" s="2">
        <v>0.27</v>
      </c>
      <c r="AK5539" s="1">
        <v>354100</v>
      </c>
      <c r="AL5539" t="s">
        <v>117</v>
      </c>
      <c r="AM5539" t="s">
        <v>393</v>
      </c>
      <c r="AN5539">
        <v>7160</v>
      </c>
      <c r="AO5539">
        <v>0.16</v>
      </c>
      <c r="AP5539">
        <v>1</v>
      </c>
      <c r="AR5539">
        <v>1</v>
      </c>
      <c r="AS5539" s="1">
        <v>24260</v>
      </c>
      <c r="AT5539" s="1">
        <v>4850</v>
      </c>
      <c r="AU5539" s="1">
        <v>19410</v>
      </c>
      <c r="AV5539">
        <v>80.010000000000005</v>
      </c>
      <c r="AX5539" s="1">
        <v>2019.84</v>
      </c>
      <c r="AY5539" t="s">
        <v>394</v>
      </c>
      <c r="AZ5539" t="s">
        <v>394</v>
      </c>
      <c r="BA5539" t="s">
        <v>290</v>
      </c>
      <c r="BE5539" s="3">
        <v>41746</v>
      </c>
      <c r="BF5539" s="1">
        <v>259000</v>
      </c>
      <c r="BG5539" t="s">
        <v>34048</v>
      </c>
      <c r="BH5539" s="1">
        <v>127.27</v>
      </c>
      <c r="BI5539" s="1">
        <v>259742</v>
      </c>
      <c r="BJ5539" s="3">
        <v>42535</v>
      </c>
      <c r="BK5539" t="s">
        <v>123</v>
      </c>
      <c r="BL5539" t="str">
        <f>"2016.411669"</f>
        <v>2016.411669</v>
      </c>
      <c r="BM5539" t="s">
        <v>361</v>
      </c>
      <c r="BO5539" t="s">
        <v>34049</v>
      </c>
      <c r="BS5539">
        <v>30</v>
      </c>
      <c r="BW5539" t="str">
        <f>""</f>
        <v/>
      </c>
      <c r="CH5539" t="str">
        <f>""</f>
        <v/>
      </c>
      <c r="CS5539" t="str">
        <f>""</f>
        <v/>
      </c>
    </row>
    <row r="5540" spans="1:97" x14ac:dyDescent="0.25">
      <c r="A5540" t="s">
        <v>34050</v>
      </c>
      <c r="B5540" t="s">
        <v>14477</v>
      </c>
      <c r="C5540" t="s">
        <v>34051</v>
      </c>
      <c r="D5540" t="s">
        <v>14477</v>
      </c>
      <c r="E5540" t="s">
        <v>34052</v>
      </c>
      <c r="F5540" t="s">
        <v>108</v>
      </c>
      <c r="H5540" t="s">
        <v>34053</v>
      </c>
      <c r="I5540" t="s">
        <v>390</v>
      </c>
      <c r="J5540" t="s">
        <v>111</v>
      </c>
      <c r="K5540" t="str">
        <f>"85086"</f>
        <v>85086</v>
      </c>
      <c r="L5540" t="s">
        <v>3645</v>
      </c>
      <c r="M5540" t="s">
        <v>34053</v>
      </c>
      <c r="N5540" t="s">
        <v>390</v>
      </c>
      <c r="O5540" t="s">
        <v>111</v>
      </c>
      <c r="P5540" t="str">
        <f>"85086-3643"</f>
        <v>85086-3643</v>
      </c>
      <c r="Q5540" t="s">
        <v>113</v>
      </c>
      <c r="R5540" t="str">
        <f>"203-40-834"</f>
        <v>203-40-834</v>
      </c>
      <c r="S5540" t="s">
        <v>21237</v>
      </c>
      <c r="U5540">
        <v>2120</v>
      </c>
      <c r="V5540">
        <v>0</v>
      </c>
      <c r="W5540">
        <v>4</v>
      </c>
      <c r="X5540">
        <v>2003</v>
      </c>
      <c r="Z5540">
        <v>1</v>
      </c>
      <c r="AB5540">
        <v>0</v>
      </c>
      <c r="AC5540" t="s">
        <v>115</v>
      </c>
      <c r="AD5540">
        <v>3</v>
      </c>
      <c r="AE5540" t="s">
        <v>115</v>
      </c>
      <c r="AF5540">
        <v>0</v>
      </c>
      <c r="AG5540">
        <v>0</v>
      </c>
      <c r="AH5540" t="s">
        <v>116</v>
      </c>
      <c r="AI5540" s="1">
        <v>103977</v>
      </c>
      <c r="AJ5540" s="2">
        <v>0.31</v>
      </c>
      <c r="AK5540" s="1">
        <v>338606</v>
      </c>
      <c r="AL5540" t="s">
        <v>117</v>
      </c>
      <c r="AM5540" t="s">
        <v>191</v>
      </c>
      <c r="AN5540">
        <v>6761</v>
      </c>
      <c r="AO5540">
        <v>0.16</v>
      </c>
      <c r="AP5540">
        <v>1</v>
      </c>
      <c r="AR5540">
        <v>1</v>
      </c>
      <c r="AS5540" s="1">
        <v>24200</v>
      </c>
      <c r="AT5540" s="1">
        <v>4840</v>
      </c>
      <c r="AU5540" s="1">
        <v>19360</v>
      </c>
      <c r="AV5540">
        <v>80</v>
      </c>
      <c r="AX5540" s="1">
        <v>3064.16</v>
      </c>
      <c r="AY5540" t="s">
        <v>6515</v>
      </c>
      <c r="AZ5540" t="s">
        <v>6515</v>
      </c>
      <c r="BA5540" t="s">
        <v>378</v>
      </c>
      <c r="BE5540" s="3">
        <v>42164</v>
      </c>
      <c r="BF5540" s="1">
        <v>249000</v>
      </c>
      <c r="BG5540" t="s">
        <v>34054</v>
      </c>
      <c r="BH5540" s="1">
        <v>117.45</v>
      </c>
      <c r="BI5540" s="1">
        <v>234629</v>
      </c>
      <c r="BJ5540" s="3">
        <v>42164</v>
      </c>
      <c r="BK5540" t="s">
        <v>123</v>
      </c>
      <c r="BL5540" t="str">
        <f>"2015.411093"</f>
        <v>2015.411093</v>
      </c>
      <c r="BM5540" t="s">
        <v>1185</v>
      </c>
      <c r="BO5540" t="s">
        <v>34055</v>
      </c>
      <c r="BS5540">
        <v>30</v>
      </c>
      <c r="BW5540" t="str">
        <f>""</f>
        <v/>
      </c>
      <c r="CH5540" t="str">
        <f>""</f>
        <v/>
      </c>
      <c r="CS5540" t="str">
        <f>""</f>
        <v/>
      </c>
    </row>
    <row r="5541" spans="1:97" x14ac:dyDescent="0.25">
      <c r="A5541" t="s">
        <v>7405</v>
      </c>
      <c r="B5541" t="s">
        <v>34056</v>
      </c>
      <c r="C5541" t="s">
        <v>34057</v>
      </c>
      <c r="D5541" t="s">
        <v>34056</v>
      </c>
      <c r="E5541" t="s">
        <v>34058</v>
      </c>
      <c r="F5541" t="s">
        <v>108</v>
      </c>
      <c r="H5541" t="s">
        <v>34059</v>
      </c>
      <c r="I5541" t="s">
        <v>390</v>
      </c>
      <c r="J5541" t="s">
        <v>111</v>
      </c>
      <c r="K5541" t="str">
        <f>"85050"</f>
        <v>85050</v>
      </c>
      <c r="L5541" t="s">
        <v>6964</v>
      </c>
      <c r="M5541" t="s">
        <v>34059</v>
      </c>
      <c r="N5541" t="s">
        <v>390</v>
      </c>
      <c r="O5541" t="s">
        <v>111</v>
      </c>
      <c r="P5541" t="str">
        <f>"85050-3959"</f>
        <v>85050-3959</v>
      </c>
      <c r="Q5541" t="s">
        <v>113</v>
      </c>
      <c r="R5541" t="str">
        <f>"213-14-496-A"</f>
        <v>213-14-496-A</v>
      </c>
      <c r="S5541" t="s">
        <v>23820</v>
      </c>
      <c r="T5541" t="s">
        <v>18983</v>
      </c>
      <c r="U5541">
        <v>1624</v>
      </c>
      <c r="V5541">
        <v>0</v>
      </c>
      <c r="W5541">
        <v>3</v>
      </c>
      <c r="X5541">
        <v>1990</v>
      </c>
      <c r="Z5541">
        <v>1</v>
      </c>
      <c r="AB5541">
        <v>0</v>
      </c>
      <c r="AC5541" t="s">
        <v>115</v>
      </c>
      <c r="AD5541">
        <v>2</v>
      </c>
      <c r="AE5541" t="s">
        <v>115</v>
      </c>
      <c r="AF5541">
        <v>0</v>
      </c>
      <c r="AG5541">
        <v>0</v>
      </c>
      <c r="AH5541" t="s">
        <v>116</v>
      </c>
      <c r="AI5541" s="1">
        <v>71173</v>
      </c>
      <c r="AJ5541" s="2">
        <v>0.22</v>
      </c>
      <c r="AK5541" s="1">
        <v>328187</v>
      </c>
      <c r="AL5541" t="s">
        <v>117</v>
      </c>
      <c r="AM5541" t="s">
        <v>191</v>
      </c>
      <c r="AN5541">
        <v>6725</v>
      </c>
      <c r="AO5541">
        <v>0.15</v>
      </c>
      <c r="AP5541">
        <v>1</v>
      </c>
      <c r="AR5541">
        <v>1</v>
      </c>
      <c r="AS5541" s="1">
        <v>22880</v>
      </c>
      <c r="AT5541" s="1">
        <v>4570</v>
      </c>
      <c r="AU5541" s="1">
        <v>18310</v>
      </c>
      <c r="AV5541">
        <v>80.03</v>
      </c>
      <c r="AX5541" s="1">
        <v>1941.08</v>
      </c>
      <c r="AY5541" t="s">
        <v>8037</v>
      </c>
      <c r="AZ5541" t="s">
        <v>2550</v>
      </c>
      <c r="BA5541" t="s">
        <v>1318</v>
      </c>
      <c r="BE5541" s="3">
        <v>41878</v>
      </c>
      <c r="BF5541" s="1">
        <v>247000</v>
      </c>
      <c r="BG5541" t="s">
        <v>34060</v>
      </c>
      <c r="BH5541" s="1">
        <v>152.09</v>
      </c>
      <c r="BI5541" s="1">
        <v>232014</v>
      </c>
      <c r="BJ5541" s="3">
        <v>42094</v>
      </c>
      <c r="BK5541" t="s">
        <v>123</v>
      </c>
      <c r="BL5541" t="str">
        <f>"2015.218230"</f>
        <v>2015.218230</v>
      </c>
      <c r="BM5541" t="s">
        <v>255</v>
      </c>
      <c r="BN5541" t="s">
        <v>2398</v>
      </c>
      <c r="BO5541" t="s">
        <v>34061</v>
      </c>
      <c r="BS5541">
        <v>30</v>
      </c>
      <c r="BT5541" s="1">
        <v>25000</v>
      </c>
      <c r="BU5541" s="3">
        <v>43419</v>
      </c>
      <c r="BW5541" t="str">
        <f>"2018.850420"</f>
        <v>2018.850420</v>
      </c>
      <c r="BX5541" t="s">
        <v>654</v>
      </c>
      <c r="BY5541" t="s">
        <v>655</v>
      </c>
      <c r="BZ5541" t="s">
        <v>34062</v>
      </c>
      <c r="CA5541" t="s">
        <v>34063</v>
      </c>
      <c r="CC5541" t="s">
        <v>346</v>
      </c>
      <c r="CH5541" t="str">
        <f>""</f>
        <v/>
      </c>
      <c r="CS5541" t="str">
        <f>""</f>
        <v/>
      </c>
    </row>
    <row r="5542" spans="1:97" x14ac:dyDescent="0.25">
      <c r="A5542" t="s">
        <v>305</v>
      </c>
      <c r="B5542" t="s">
        <v>34064</v>
      </c>
      <c r="C5542" t="s">
        <v>1540</v>
      </c>
      <c r="D5542" t="s">
        <v>34064</v>
      </c>
      <c r="E5542" t="s">
        <v>34065</v>
      </c>
      <c r="F5542" t="s">
        <v>108</v>
      </c>
      <c r="H5542" t="s">
        <v>34066</v>
      </c>
      <c r="I5542" t="s">
        <v>203</v>
      </c>
      <c r="J5542" t="s">
        <v>111</v>
      </c>
      <c r="K5542" t="str">
        <f>"85234"</f>
        <v>85234</v>
      </c>
      <c r="L5542" t="s">
        <v>6891</v>
      </c>
      <c r="M5542" t="s">
        <v>34066</v>
      </c>
      <c r="N5542" t="s">
        <v>203</v>
      </c>
      <c r="O5542" t="s">
        <v>111</v>
      </c>
      <c r="P5542" t="str">
        <f>"85234-3868"</f>
        <v>85234-3868</v>
      </c>
      <c r="Q5542" t="s">
        <v>113</v>
      </c>
      <c r="R5542" t="str">
        <f>"309-04-129"</f>
        <v>309-04-129</v>
      </c>
      <c r="S5542" t="s">
        <v>34067</v>
      </c>
      <c r="T5542" t="s">
        <v>34067</v>
      </c>
      <c r="U5542">
        <v>2441</v>
      </c>
      <c r="V5542">
        <v>0</v>
      </c>
      <c r="W5542">
        <v>4</v>
      </c>
      <c r="X5542">
        <v>1995</v>
      </c>
      <c r="Z5542">
        <v>2</v>
      </c>
      <c r="AA5542" t="s">
        <v>26</v>
      </c>
      <c r="AB5542">
        <v>0</v>
      </c>
      <c r="AC5542" t="s">
        <v>115</v>
      </c>
      <c r="AD5542">
        <v>3</v>
      </c>
      <c r="AE5542" t="s">
        <v>115</v>
      </c>
      <c r="AF5542">
        <v>0</v>
      </c>
      <c r="AG5542">
        <v>0</v>
      </c>
      <c r="AH5542" t="s">
        <v>116</v>
      </c>
      <c r="AI5542" s="1">
        <v>96045</v>
      </c>
      <c r="AJ5542" s="2">
        <v>0.23</v>
      </c>
      <c r="AK5542" s="1">
        <v>421045</v>
      </c>
      <c r="AL5542" t="s">
        <v>117</v>
      </c>
      <c r="AM5542" t="s">
        <v>393</v>
      </c>
      <c r="AN5542">
        <v>8215</v>
      </c>
      <c r="AO5542">
        <v>0.19</v>
      </c>
      <c r="AP5542">
        <v>1</v>
      </c>
      <c r="AR5542">
        <v>1</v>
      </c>
      <c r="AS5542" s="1">
        <v>30970</v>
      </c>
      <c r="AT5542" s="1">
        <v>6190</v>
      </c>
      <c r="AU5542" s="1">
        <v>24780</v>
      </c>
      <c r="AV5542">
        <v>80.010000000000005</v>
      </c>
      <c r="AX5542" s="1">
        <v>2408.36</v>
      </c>
      <c r="AY5542" t="s">
        <v>10191</v>
      </c>
      <c r="AZ5542" t="s">
        <v>571</v>
      </c>
      <c r="BA5542" t="s">
        <v>521</v>
      </c>
      <c r="BE5542" s="3">
        <v>41740</v>
      </c>
      <c r="BF5542" s="1">
        <v>325000</v>
      </c>
      <c r="BG5542" t="s">
        <v>34068</v>
      </c>
      <c r="BH5542" s="1">
        <v>133.13999999999999</v>
      </c>
      <c r="BI5542" s="1">
        <v>325000</v>
      </c>
      <c r="BJ5542" s="3">
        <v>41740</v>
      </c>
      <c r="BK5542" t="s">
        <v>123</v>
      </c>
      <c r="BL5542" t="str">
        <f>"2014.234531"</f>
        <v>2014.234531</v>
      </c>
      <c r="BM5542" t="s">
        <v>131</v>
      </c>
      <c r="BO5542" t="s">
        <v>34069</v>
      </c>
      <c r="BS5542">
        <v>30</v>
      </c>
      <c r="BW5542" t="str">
        <f>""</f>
        <v/>
      </c>
      <c r="CH5542" t="str">
        <f>""</f>
        <v/>
      </c>
      <c r="CS5542" t="str">
        <f>""</f>
        <v/>
      </c>
    </row>
    <row r="5543" spans="1:97" x14ac:dyDescent="0.25">
      <c r="A5543" t="s">
        <v>4554</v>
      </c>
      <c r="B5543" t="s">
        <v>34070</v>
      </c>
      <c r="C5543" t="s">
        <v>34071</v>
      </c>
      <c r="D5543" t="s">
        <v>4271</v>
      </c>
      <c r="E5543" t="s">
        <v>34072</v>
      </c>
      <c r="F5543" t="s">
        <v>108</v>
      </c>
      <c r="H5543" t="s">
        <v>34073</v>
      </c>
      <c r="I5543" t="s">
        <v>203</v>
      </c>
      <c r="J5543" t="s">
        <v>111</v>
      </c>
      <c r="K5543" t="str">
        <f>"85234"</f>
        <v>85234</v>
      </c>
      <c r="L5543" t="s">
        <v>5918</v>
      </c>
      <c r="M5543" t="s">
        <v>34073</v>
      </c>
      <c r="N5543" t="s">
        <v>203</v>
      </c>
      <c r="O5543" t="s">
        <v>111</v>
      </c>
      <c r="P5543" t="str">
        <f>"85234-4520"</f>
        <v>85234-4520</v>
      </c>
      <c r="Q5543" t="s">
        <v>113</v>
      </c>
      <c r="R5543" t="str">
        <f>"304-12-152"</f>
        <v>304-12-152</v>
      </c>
      <c r="S5543" t="s">
        <v>24387</v>
      </c>
      <c r="U5543">
        <v>1322</v>
      </c>
      <c r="V5543">
        <v>0</v>
      </c>
      <c r="W5543">
        <v>2</v>
      </c>
      <c r="X5543">
        <v>1980</v>
      </c>
      <c r="Z5543">
        <v>1</v>
      </c>
      <c r="AA5543" t="s">
        <v>26</v>
      </c>
      <c r="AB5543">
        <v>0</v>
      </c>
      <c r="AC5543" t="s">
        <v>115</v>
      </c>
      <c r="AD5543">
        <v>2</v>
      </c>
      <c r="AE5543" t="s">
        <v>115</v>
      </c>
      <c r="AF5543">
        <v>0</v>
      </c>
      <c r="AG5543">
        <v>0</v>
      </c>
      <c r="AH5543" t="s">
        <v>116</v>
      </c>
      <c r="AI5543" s="1">
        <v>26389</v>
      </c>
      <c r="AJ5543" s="2">
        <v>0.09</v>
      </c>
      <c r="AK5543" s="1">
        <v>279474</v>
      </c>
      <c r="AL5543" t="s">
        <v>117</v>
      </c>
      <c r="AM5543" t="s">
        <v>393</v>
      </c>
      <c r="AN5543">
        <v>6909</v>
      </c>
      <c r="AO5543">
        <v>0.16</v>
      </c>
      <c r="AP5543">
        <v>1</v>
      </c>
      <c r="AR5543">
        <v>1</v>
      </c>
      <c r="AS5543" s="1">
        <v>17830</v>
      </c>
      <c r="AT5543" s="1">
        <v>3560</v>
      </c>
      <c r="AU5543" s="1">
        <v>14270</v>
      </c>
      <c r="AV5543">
        <v>80.03</v>
      </c>
      <c r="AX5543" s="1">
        <v>986.56</v>
      </c>
      <c r="AY5543" t="s">
        <v>9115</v>
      </c>
      <c r="AZ5543" t="s">
        <v>5478</v>
      </c>
      <c r="BA5543" t="s">
        <v>5033</v>
      </c>
      <c r="BE5543" s="3">
        <v>42481</v>
      </c>
      <c r="BF5543" s="1">
        <v>245000</v>
      </c>
      <c r="BG5543" t="s">
        <v>34074</v>
      </c>
      <c r="BH5543" s="1">
        <v>185.33</v>
      </c>
      <c r="BI5543" s="1">
        <v>253085</v>
      </c>
      <c r="BJ5543" s="3">
        <v>42481</v>
      </c>
      <c r="BK5543" t="s">
        <v>123</v>
      </c>
      <c r="BL5543" t="str">
        <f>"2016.267705"</f>
        <v>2016.267705</v>
      </c>
      <c r="BM5543" t="s">
        <v>2683</v>
      </c>
      <c r="BO5543" t="s">
        <v>34075</v>
      </c>
      <c r="BP5543" t="s">
        <v>34076</v>
      </c>
      <c r="BS5543">
        <v>30</v>
      </c>
      <c r="BW5543" t="str">
        <f>""</f>
        <v/>
      </c>
      <c r="CH5543" t="str">
        <f>""</f>
        <v/>
      </c>
      <c r="CS5543" t="str">
        <f>""</f>
        <v/>
      </c>
    </row>
    <row r="5544" spans="1:97" x14ac:dyDescent="0.25">
      <c r="A5544" t="s">
        <v>2123</v>
      </c>
      <c r="B5544" t="s">
        <v>34077</v>
      </c>
      <c r="C5544" t="s">
        <v>8396</v>
      </c>
      <c r="D5544" t="s">
        <v>34077</v>
      </c>
      <c r="E5544" t="s">
        <v>34078</v>
      </c>
      <c r="F5544" t="s">
        <v>108</v>
      </c>
      <c r="H5544" t="s">
        <v>34079</v>
      </c>
      <c r="I5544" t="s">
        <v>203</v>
      </c>
      <c r="J5544" t="s">
        <v>111</v>
      </c>
      <c r="K5544" t="str">
        <f>"85233"</f>
        <v>85233</v>
      </c>
      <c r="L5544" t="s">
        <v>6682</v>
      </c>
      <c r="M5544" t="s">
        <v>34079</v>
      </c>
      <c r="N5544" t="s">
        <v>203</v>
      </c>
      <c r="O5544" t="s">
        <v>111</v>
      </c>
      <c r="P5544" t="str">
        <f>"85233-5428"</f>
        <v>85233-5428</v>
      </c>
      <c r="Q5544" t="s">
        <v>113</v>
      </c>
      <c r="R5544" t="str">
        <f>"302-19-054"</f>
        <v>302-19-054</v>
      </c>
      <c r="S5544" t="s">
        <v>11367</v>
      </c>
      <c r="T5544" t="s">
        <v>11368</v>
      </c>
      <c r="U5544">
        <v>2074</v>
      </c>
      <c r="V5544">
        <v>0</v>
      </c>
      <c r="W5544">
        <v>4</v>
      </c>
      <c r="X5544">
        <v>1994</v>
      </c>
      <c r="Z5544">
        <v>2</v>
      </c>
      <c r="AB5544">
        <v>0</v>
      </c>
      <c r="AC5544" t="s">
        <v>115</v>
      </c>
      <c r="AD5544">
        <v>2</v>
      </c>
      <c r="AE5544" t="s">
        <v>115</v>
      </c>
      <c r="AF5544">
        <v>0</v>
      </c>
      <c r="AG5544">
        <v>0</v>
      </c>
      <c r="AH5544" t="s">
        <v>116</v>
      </c>
      <c r="AI5544" s="1">
        <v>41139</v>
      </c>
      <c r="AJ5544" s="2">
        <v>0.13</v>
      </c>
      <c r="AK5544" s="1">
        <v>327139</v>
      </c>
      <c r="AL5544" t="s">
        <v>117</v>
      </c>
      <c r="AM5544" t="s">
        <v>288</v>
      </c>
      <c r="AN5544">
        <v>5166</v>
      </c>
      <c r="AO5544">
        <v>0.12</v>
      </c>
      <c r="AP5544">
        <v>1</v>
      </c>
      <c r="AR5544">
        <v>1</v>
      </c>
      <c r="AS5544" s="1">
        <v>22050</v>
      </c>
      <c r="AT5544" s="1">
        <v>4410</v>
      </c>
      <c r="AU5544" s="1">
        <v>17640</v>
      </c>
      <c r="AV5544">
        <v>80</v>
      </c>
      <c r="AX5544" s="1">
        <v>1427.98</v>
      </c>
      <c r="AY5544" t="s">
        <v>5601</v>
      </c>
      <c r="AZ5544" t="s">
        <v>5478</v>
      </c>
      <c r="BA5544" t="s">
        <v>5479</v>
      </c>
      <c r="BE5544" s="3">
        <v>42454</v>
      </c>
      <c r="BF5544" s="1">
        <v>240000</v>
      </c>
      <c r="BG5544" t="s">
        <v>34080</v>
      </c>
      <c r="BH5544" s="1">
        <v>115.72</v>
      </c>
      <c r="BI5544" s="1">
        <v>286000</v>
      </c>
      <c r="BJ5544" s="3">
        <v>43199</v>
      </c>
      <c r="BK5544" t="s">
        <v>123</v>
      </c>
      <c r="BL5544" t="str">
        <f>"2018.264046"</f>
        <v>2018.264046</v>
      </c>
      <c r="BM5544" t="s">
        <v>361</v>
      </c>
      <c r="BN5544" t="s">
        <v>884</v>
      </c>
      <c r="BO5544" t="s">
        <v>34081</v>
      </c>
      <c r="BP5544" t="s">
        <v>34082</v>
      </c>
      <c r="BR5544" t="s">
        <v>139</v>
      </c>
      <c r="BW5544" t="str">
        <f>""</f>
        <v/>
      </c>
      <c r="CH5544" t="str">
        <f>""</f>
        <v/>
      </c>
      <c r="CS5544" t="str">
        <f>""</f>
        <v/>
      </c>
    </row>
    <row r="5545" spans="1:97" x14ac:dyDescent="0.25">
      <c r="A5545" t="s">
        <v>220</v>
      </c>
      <c r="B5545" t="s">
        <v>34083</v>
      </c>
      <c r="E5545" t="s">
        <v>34084</v>
      </c>
      <c r="F5545" t="s">
        <v>108</v>
      </c>
      <c r="H5545" t="s">
        <v>34085</v>
      </c>
      <c r="I5545" t="s">
        <v>2874</v>
      </c>
      <c r="J5545" t="s">
        <v>111</v>
      </c>
      <c r="K5545" t="str">
        <f>"85306"</f>
        <v>85306</v>
      </c>
      <c r="L5545" t="s">
        <v>9764</v>
      </c>
      <c r="M5545" t="s">
        <v>34085</v>
      </c>
      <c r="N5545" t="s">
        <v>2874</v>
      </c>
      <c r="O5545" t="s">
        <v>111</v>
      </c>
      <c r="P5545" t="str">
        <f>"85306-2630"</f>
        <v>85306-2630</v>
      </c>
      <c r="Q5545" t="s">
        <v>113</v>
      </c>
      <c r="R5545" t="str">
        <f>"207-28-106"</f>
        <v>207-28-106</v>
      </c>
      <c r="S5545" t="s">
        <v>34086</v>
      </c>
      <c r="T5545" t="s">
        <v>34087</v>
      </c>
      <c r="U5545">
        <v>1242</v>
      </c>
      <c r="V5545">
        <v>0</v>
      </c>
      <c r="W5545">
        <v>2</v>
      </c>
      <c r="X5545">
        <v>1978</v>
      </c>
      <c r="Z5545">
        <v>1</v>
      </c>
      <c r="AA5545" t="s">
        <v>26</v>
      </c>
      <c r="AB5545">
        <v>0</v>
      </c>
      <c r="AC5545" t="s">
        <v>115</v>
      </c>
      <c r="AD5545">
        <v>2</v>
      </c>
      <c r="AE5545" t="s">
        <v>115</v>
      </c>
      <c r="AF5545">
        <v>0</v>
      </c>
      <c r="AG5545">
        <v>0</v>
      </c>
      <c r="AH5545" t="s">
        <v>116</v>
      </c>
      <c r="AI5545" s="1">
        <v>43592</v>
      </c>
      <c r="AJ5545" s="2">
        <v>0.17</v>
      </c>
      <c r="AK5545" s="1">
        <v>249935</v>
      </c>
      <c r="AL5545" t="s">
        <v>117</v>
      </c>
      <c r="AM5545" t="s">
        <v>171</v>
      </c>
      <c r="AN5545">
        <v>8024</v>
      </c>
      <c r="AO5545">
        <v>0.18</v>
      </c>
      <c r="AP5545">
        <v>1</v>
      </c>
      <c r="AR5545">
        <v>1</v>
      </c>
      <c r="AS5545" s="1">
        <v>16970</v>
      </c>
      <c r="AT5545" s="1">
        <v>3390</v>
      </c>
      <c r="AU5545" s="1">
        <v>13580</v>
      </c>
      <c r="AV5545">
        <v>80.02</v>
      </c>
      <c r="AX5545" s="1">
        <v>1538.7</v>
      </c>
      <c r="AY5545" t="s">
        <v>2996</v>
      </c>
      <c r="AZ5545" t="s">
        <v>2997</v>
      </c>
      <c r="BA5545" t="s">
        <v>2998</v>
      </c>
      <c r="BE5545" s="3">
        <v>42285</v>
      </c>
      <c r="BF5545" s="1">
        <v>202000</v>
      </c>
      <c r="BG5545" t="s">
        <v>34088</v>
      </c>
      <c r="BH5545" s="1">
        <v>162.63999999999999</v>
      </c>
      <c r="BI5545" s="1">
        <v>206343</v>
      </c>
      <c r="BJ5545" s="3">
        <v>42285</v>
      </c>
      <c r="BK5545" t="s">
        <v>123</v>
      </c>
      <c r="BL5545" t="str">
        <f>"2015.724262"</f>
        <v>2015.724262</v>
      </c>
      <c r="BM5545" t="s">
        <v>820</v>
      </c>
      <c r="BO5545" t="s">
        <v>34089</v>
      </c>
      <c r="BS5545">
        <v>30</v>
      </c>
      <c r="BW5545" t="str">
        <f>""</f>
        <v/>
      </c>
      <c r="CH5545" t="str">
        <f>""</f>
        <v/>
      </c>
      <c r="CS5545" t="str">
        <f>""</f>
        <v/>
      </c>
    </row>
    <row r="5546" spans="1:97" x14ac:dyDescent="0.25">
      <c r="A5546" t="s">
        <v>1444</v>
      </c>
      <c r="B5546" t="s">
        <v>34090</v>
      </c>
      <c r="C5546" t="s">
        <v>2395</v>
      </c>
      <c r="D5546" t="s">
        <v>34090</v>
      </c>
      <c r="E5546" t="s">
        <v>34091</v>
      </c>
      <c r="F5546" t="s">
        <v>108</v>
      </c>
      <c r="H5546" t="s">
        <v>34092</v>
      </c>
      <c r="I5546" t="s">
        <v>110</v>
      </c>
      <c r="J5546" t="s">
        <v>111</v>
      </c>
      <c r="K5546" t="str">
        <f>"85224"</f>
        <v>85224</v>
      </c>
      <c r="L5546" t="s">
        <v>8543</v>
      </c>
      <c r="M5546" t="s">
        <v>34092</v>
      </c>
      <c r="N5546" t="s">
        <v>110</v>
      </c>
      <c r="O5546" t="s">
        <v>111</v>
      </c>
      <c r="P5546" t="str">
        <f>"85224-2262"</f>
        <v>85224-2262</v>
      </c>
      <c r="Q5546" t="s">
        <v>113</v>
      </c>
      <c r="R5546" t="str">
        <f>"302-25-908"</f>
        <v>302-25-908</v>
      </c>
      <c r="S5546" t="s">
        <v>34093</v>
      </c>
      <c r="T5546" t="s">
        <v>34094</v>
      </c>
      <c r="U5546">
        <v>1418</v>
      </c>
      <c r="V5546">
        <v>0</v>
      </c>
      <c r="W5546">
        <v>2</v>
      </c>
      <c r="X5546">
        <v>1979</v>
      </c>
      <c r="Z5546">
        <v>1</v>
      </c>
      <c r="AA5546" t="s">
        <v>26</v>
      </c>
      <c r="AB5546">
        <v>0</v>
      </c>
      <c r="AC5546" t="s">
        <v>115</v>
      </c>
      <c r="AD5546">
        <v>2</v>
      </c>
      <c r="AE5546" t="s">
        <v>115</v>
      </c>
      <c r="AF5546">
        <v>0</v>
      </c>
      <c r="AG5546">
        <v>0</v>
      </c>
      <c r="AH5546" t="s">
        <v>116</v>
      </c>
      <c r="AI5546" s="1">
        <v>71279</v>
      </c>
      <c r="AJ5546" s="2">
        <v>0.24</v>
      </c>
      <c r="AK5546" s="1">
        <v>295440</v>
      </c>
      <c r="AL5546" t="s">
        <v>117</v>
      </c>
      <c r="AM5546" t="s">
        <v>5077</v>
      </c>
      <c r="AN5546">
        <v>9202</v>
      </c>
      <c r="AO5546">
        <v>0.21</v>
      </c>
      <c r="AP5546">
        <v>1</v>
      </c>
      <c r="AR5546">
        <v>1</v>
      </c>
      <c r="AS5546" s="1">
        <v>19500</v>
      </c>
      <c r="AT5546" s="1">
        <v>3900</v>
      </c>
      <c r="AU5546" s="1">
        <v>15600</v>
      </c>
      <c r="AV5546">
        <v>80</v>
      </c>
      <c r="AX5546" s="1">
        <v>1270.8399999999999</v>
      </c>
      <c r="AY5546" t="s">
        <v>6879</v>
      </c>
      <c r="AZ5546" t="s">
        <v>6879</v>
      </c>
      <c r="BA5546" t="s">
        <v>5311</v>
      </c>
      <c r="BE5546" s="3">
        <v>41838</v>
      </c>
      <c r="BF5546" s="1">
        <v>217000</v>
      </c>
      <c r="BG5546" t="s">
        <v>34095</v>
      </c>
      <c r="BH5546" s="1">
        <v>153.03</v>
      </c>
      <c r="BI5546" s="1">
        <v>224161</v>
      </c>
      <c r="BJ5546" s="3">
        <v>41838</v>
      </c>
      <c r="BK5546" t="s">
        <v>123</v>
      </c>
      <c r="BL5546" t="str">
        <f>"2014.472066"</f>
        <v>2014.472066</v>
      </c>
      <c r="BM5546" t="s">
        <v>6517</v>
      </c>
      <c r="BO5546" t="s">
        <v>34096</v>
      </c>
      <c r="BS5546">
        <v>30</v>
      </c>
      <c r="BW5546" t="str">
        <f>""</f>
        <v/>
      </c>
      <c r="CH5546" t="str">
        <f>""</f>
        <v/>
      </c>
      <c r="CS5546" t="str">
        <f>""</f>
        <v/>
      </c>
    </row>
    <row r="5547" spans="1:97" x14ac:dyDescent="0.25">
      <c r="A5547" t="s">
        <v>996</v>
      </c>
      <c r="B5547" t="s">
        <v>34097</v>
      </c>
      <c r="C5547" t="s">
        <v>1857</v>
      </c>
      <c r="D5547" t="s">
        <v>34097</v>
      </c>
      <c r="E5547" t="s">
        <v>34098</v>
      </c>
      <c r="F5547" t="s">
        <v>282</v>
      </c>
      <c r="H5547" t="s">
        <v>34099</v>
      </c>
      <c r="I5547" t="s">
        <v>499</v>
      </c>
      <c r="J5547" t="s">
        <v>111</v>
      </c>
      <c r="K5547" t="str">
        <f>"85395"</f>
        <v>85395</v>
      </c>
      <c r="L5547" t="s">
        <v>5524</v>
      </c>
      <c r="M5547" t="s">
        <v>34100</v>
      </c>
      <c r="N5547" t="s">
        <v>34101</v>
      </c>
      <c r="O5547" t="s">
        <v>5981</v>
      </c>
      <c r="P5547" t="str">
        <f>"55337-3963"</f>
        <v>55337-3963</v>
      </c>
      <c r="Q5547" t="s">
        <v>113</v>
      </c>
      <c r="R5547" t="str">
        <f>"501-69-271"</f>
        <v>501-69-271</v>
      </c>
      <c r="S5547" t="s">
        <v>12276</v>
      </c>
      <c r="U5547">
        <v>2154</v>
      </c>
      <c r="V5547">
        <v>0</v>
      </c>
      <c r="W5547">
        <v>3</v>
      </c>
      <c r="X5547">
        <v>1994</v>
      </c>
      <c r="Z5547">
        <v>1</v>
      </c>
      <c r="AB5547">
        <v>0</v>
      </c>
      <c r="AC5547" t="s">
        <v>115</v>
      </c>
      <c r="AD5547">
        <v>2</v>
      </c>
      <c r="AE5547" t="s">
        <v>115</v>
      </c>
      <c r="AF5547">
        <v>0</v>
      </c>
      <c r="AG5547">
        <v>0</v>
      </c>
      <c r="AH5547" t="s">
        <v>116</v>
      </c>
      <c r="AI5547" s="1">
        <v>51308</v>
      </c>
      <c r="AJ5547" s="2">
        <v>0.13</v>
      </c>
      <c r="AK5547" s="1">
        <v>407693</v>
      </c>
      <c r="AL5547" t="s">
        <v>117</v>
      </c>
      <c r="AM5547" t="s">
        <v>118</v>
      </c>
      <c r="AN5547">
        <v>10027</v>
      </c>
      <c r="AO5547">
        <v>0.23</v>
      </c>
      <c r="AP5547">
        <v>1</v>
      </c>
      <c r="AR5547">
        <v>1</v>
      </c>
      <c r="AS5547" s="1">
        <v>31450</v>
      </c>
      <c r="AT5547" s="1">
        <v>6290</v>
      </c>
      <c r="AU5547" s="1">
        <v>25160</v>
      </c>
      <c r="AV5547">
        <v>80</v>
      </c>
      <c r="AX5547" s="1">
        <v>4243.24</v>
      </c>
      <c r="AY5547" t="s">
        <v>3020</v>
      </c>
      <c r="AZ5547" t="s">
        <v>3020</v>
      </c>
      <c r="BA5547" t="s">
        <v>3154</v>
      </c>
      <c r="BE5547" s="3">
        <v>42521</v>
      </c>
      <c r="BF5547" s="1">
        <v>345000</v>
      </c>
      <c r="BG5547" t="s">
        <v>34102</v>
      </c>
      <c r="BH5547" s="1">
        <v>160.16999999999999</v>
      </c>
      <c r="BI5547" s="1">
        <v>356385</v>
      </c>
      <c r="BJ5547" s="3">
        <v>42521</v>
      </c>
      <c r="BK5547" t="s">
        <v>123</v>
      </c>
      <c r="BL5547" t="str">
        <f>"2016.373621"</f>
        <v>2016.373621</v>
      </c>
      <c r="BM5547" t="s">
        <v>1154</v>
      </c>
      <c r="BO5547" t="s">
        <v>34103</v>
      </c>
      <c r="BS5547">
        <v>30</v>
      </c>
      <c r="BW5547" t="str">
        <f>""</f>
        <v/>
      </c>
      <c r="CH5547" t="str">
        <f>""</f>
        <v/>
      </c>
      <c r="CS5547" t="str">
        <f>""</f>
        <v/>
      </c>
    </row>
    <row r="5548" spans="1:97" x14ac:dyDescent="0.25">
      <c r="A5548" t="s">
        <v>815</v>
      </c>
      <c r="B5548" t="s">
        <v>34104</v>
      </c>
      <c r="C5548" t="s">
        <v>27157</v>
      </c>
      <c r="D5548" t="s">
        <v>34104</v>
      </c>
      <c r="E5548" t="s">
        <v>34105</v>
      </c>
      <c r="F5548" t="s">
        <v>108</v>
      </c>
      <c r="H5548" t="s">
        <v>34106</v>
      </c>
      <c r="I5548" t="s">
        <v>225</v>
      </c>
      <c r="J5548" t="s">
        <v>111</v>
      </c>
      <c r="K5548" t="str">
        <f>"85212"</f>
        <v>85212</v>
      </c>
      <c r="L5548" t="s">
        <v>1569</v>
      </c>
      <c r="M5548" t="s">
        <v>34106</v>
      </c>
      <c r="N5548" t="s">
        <v>225</v>
      </c>
      <c r="O5548" t="s">
        <v>111</v>
      </c>
      <c r="P5548" t="str">
        <f>"85212-1988"</f>
        <v>85212-1988</v>
      </c>
      <c r="Q5548" t="s">
        <v>113</v>
      </c>
      <c r="R5548" t="str">
        <f>"312-05-010"</f>
        <v>312-05-010</v>
      </c>
      <c r="S5548" t="s">
        <v>12864</v>
      </c>
      <c r="T5548" t="s">
        <v>12865</v>
      </c>
      <c r="U5548">
        <v>2162</v>
      </c>
      <c r="V5548">
        <v>0</v>
      </c>
      <c r="W5548">
        <v>3</v>
      </c>
      <c r="X5548">
        <v>2001</v>
      </c>
      <c r="Z5548">
        <v>1</v>
      </c>
      <c r="AA5548" t="s">
        <v>26</v>
      </c>
      <c r="AB5548">
        <v>0</v>
      </c>
      <c r="AC5548" t="s">
        <v>115</v>
      </c>
      <c r="AD5548">
        <v>3</v>
      </c>
      <c r="AE5548" t="s">
        <v>115</v>
      </c>
      <c r="AF5548">
        <v>0</v>
      </c>
      <c r="AG5548">
        <v>0</v>
      </c>
      <c r="AH5548" t="s">
        <v>116</v>
      </c>
      <c r="AI5548" s="1">
        <v>33232</v>
      </c>
      <c r="AJ5548" s="2">
        <v>0.1</v>
      </c>
      <c r="AK5548" s="1">
        <v>343662</v>
      </c>
      <c r="AL5548" t="s">
        <v>117</v>
      </c>
      <c r="AM5548" t="s">
        <v>393</v>
      </c>
      <c r="AN5548">
        <v>8050</v>
      </c>
      <c r="AO5548">
        <v>0.18</v>
      </c>
      <c r="AP5548">
        <v>1</v>
      </c>
      <c r="AR5548">
        <v>1</v>
      </c>
      <c r="AS5548" s="1">
        <v>24020</v>
      </c>
      <c r="AT5548" s="1">
        <v>4800</v>
      </c>
      <c r="AU5548" s="1">
        <v>19220</v>
      </c>
      <c r="AV5548">
        <v>80.02</v>
      </c>
      <c r="AX5548" s="1">
        <v>1717.46</v>
      </c>
      <c r="AY5548" t="s">
        <v>776</v>
      </c>
      <c r="AZ5548" t="s">
        <v>777</v>
      </c>
      <c r="BA5548" t="s">
        <v>572</v>
      </c>
      <c r="BE5548" s="3">
        <v>42349</v>
      </c>
      <c r="BF5548" s="1">
        <v>265350</v>
      </c>
      <c r="BG5548" t="s">
        <v>34107</v>
      </c>
      <c r="BH5548" s="1">
        <v>122.73</v>
      </c>
      <c r="BI5548" s="1">
        <v>263278</v>
      </c>
      <c r="BJ5548" s="3">
        <v>42800</v>
      </c>
      <c r="BK5548" t="s">
        <v>123</v>
      </c>
      <c r="BL5548" t="str">
        <f>"2017.158352"</f>
        <v>2017.158352</v>
      </c>
      <c r="BM5548" t="s">
        <v>402</v>
      </c>
      <c r="BN5548" t="s">
        <v>461</v>
      </c>
      <c r="BO5548" t="s">
        <v>34108</v>
      </c>
      <c r="BS5548">
        <v>30</v>
      </c>
      <c r="BT5548" s="1">
        <v>47152</v>
      </c>
      <c r="BU5548" s="3">
        <v>43360</v>
      </c>
      <c r="BW5548" t="str">
        <f>"2018.698102"</f>
        <v>2018.698102</v>
      </c>
      <c r="BX5548" t="s">
        <v>135</v>
      </c>
      <c r="BY5548" t="s">
        <v>136</v>
      </c>
      <c r="BZ5548" t="s">
        <v>34109</v>
      </c>
      <c r="CA5548" t="s">
        <v>34110</v>
      </c>
      <c r="CC5548" t="s">
        <v>346</v>
      </c>
      <c r="CH5548" t="str">
        <f>""</f>
        <v/>
      </c>
      <c r="CS5548" t="str">
        <f>""</f>
        <v/>
      </c>
    </row>
    <row r="5549" spans="1:97" x14ac:dyDescent="0.25">
      <c r="A5549" t="s">
        <v>265</v>
      </c>
      <c r="B5549" t="s">
        <v>34111</v>
      </c>
      <c r="C5549" t="s">
        <v>2123</v>
      </c>
      <c r="D5549" t="s">
        <v>603</v>
      </c>
      <c r="E5549" t="s">
        <v>34112</v>
      </c>
      <c r="F5549" t="s">
        <v>108</v>
      </c>
      <c r="H5549" t="s">
        <v>34113</v>
      </c>
      <c r="I5549" t="s">
        <v>2874</v>
      </c>
      <c r="J5549" t="s">
        <v>111</v>
      </c>
      <c r="K5549" t="str">
        <f>"85303"</f>
        <v>85303</v>
      </c>
      <c r="L5549" t="s">
        <v>6682</v>
      </c>
      <c r="M5549" t="s">
        <v>34113</v>
      </c>
      <c r="N5549" t="s">
        <v>2874</v>
      </c>
      <c r="O5549" t="s">
        <v>111</v>
      </c>
      <c r="P5549" t="str">
        <f>"85303-1817"</f>
        <v>85303-1817</v>
      </c>
      <c r="Q5549" t="s">
        <v>113</v>
      </c>
      <c r="R5549" t="str">
        <f>"142-27-170"</f>
        <v>142-27-170</v>
      </c>
      <c r="S5549" t="s">
        <v>6683</v>
      </c>
      <c r="T5549" t="s">
        <v>6683</v>
      </c>
      <c r="U5549">
        <v>2823</v>
      </c>
      <c r="V5549">
        <v>0</v>
      </c>
      <c r="W5549">
        <v>4</v>
      </c>
      <c r="X5549">
        <v>1999</v>
      </c>
      <c r="Z5549">
        <v>1</v>
      </c>
      <c r="AB5549">
        <v>0</v>
      </c>
      <c r="AC5549" t="s">
        <v>115</v>
      </c>
      <c r="AD5549">
        <v>3</v>
      </c>
      <c r="AE5549" t="s">
        <v>115</v>
      </c>
      <c r="AF5549">
        <v>0</v>
      </c>
      <c r="AG5549">
        <v>0</v>
      </c>
      <c r="AH5549" t="s">
        <v>116</v>
      </c>
      <c r="AI5549" s="1">
        <v>90296</v>
      </c>
      <c r="AJ5549" s="2">
        <v>0.25</v>
      </c>
      <c r="AK5549" s="1">
        <v>356192</v>
      </c>
      <c r="AL5549" t="s">
        <v>117</v>
      </c>
      <c r="AM5549" t="s">
        <v>171</v>
      </c>
      <c r="AN5549">
        <v>11656</v>
      </c>
      <c r="AO5549">
        <v>0.27</v>
      </c>
      <c r="AP5549">
        <v>1</v>
      </c>
      <c r="AR5549">
        <v>1</v>
      </c>
      <c r="AS5549" s="1">
        <v>25250</v>
      </c>
      <c r="AT5549" s="1">
        <v>5050</v>
      </c>
      <c r="AU5549" s="1">
        <v>20200</v>
      </c>
      <c r="AV5549">
        <v>80</v>
      </c>
      <c r="AX5549" s="1">
        <v>2757.58</v>
      </c>
      <c r="AY5549" t="s">
        <v>6684</v>
      </c>
      <c r="AZ5549" t="s">
        <v>6684</v>
      </c>
      <c r="BA5549" t="s">
        <v>2878</v>
      </c>
      <c r="BE5549" s="3">
        <v>42244</v>
      </c>
      <c r="BF5549" s="1">
        <v>260300</v>
      </c>
      <c r="BG5549" t="s">
        <v>34114</v>
      </c>
      <c r="BH5549" s="1">
        <v>92.21</v>
      </c>
      <c r="BI5549" s="1">
        <v>265896</v>
      </c>
      <c r="BJ5549" s="3">
        <v>42244</v>
      </c>
      <c r="BK5549" t="s">
        <v>123</v>
      </c>
      <c r="BL5549" t="str">
        <f>"2015.626894"</f>
        <v>2015.626894</v>
      </c>
      <c r="BM5549" t="s">
        <v>2716</v>
      </c>
      <c r="BO5549" t="s">
        <v>34115</v>
      </c>
      <c r="BP5549" t="s">
        <v>34116</v>
      </c>
      <c r="BS5549">
        <v>30</v>
      </c>
      <c r="BW5549" t="str">
        <f>""</f>
        <v/>
      </c>
      <c r="CH5549" t="str">
        <f>""</f>
        <v/>
      </c>
      <c r="CS5549" t="str">
        <f>""</f>
        <v/>
      </c>
    </row>
    <row r="5550" spans="1:97" x14ac:dyDescent="0.25">
      <c r="A5550" t="s">
        <v>1755</v>
      </c>
      <c r="B5550" t="s">
        <v>163</v>
      </c>
      <c r="E5550" t="s">
        <v>34117</v>
      </c>
      <c r="F5550" t="s">
        <v>108</v>
      </c>
      <c r="H5550" t="s">
        <v>34118</v>
      </c>
      <c r="I5550" t="s">
        <v>499</v>
      </c>
      <c r="J5550" t="s">
        <v>111</v>
      </c>
      <c r="K5550" t="str">
        <f>"85395"</f>
        <v>85395</v>
      </c>
      <c r="L5550" t="s">
        <v>5743</v>
      </c>
      <c r="M5550" t="s">
        <v>34118</v>
      </c>
      <c r="N5550" t="s">
        <v>499</v>
      </c>
      <c r="O5550" t="s">
        <v>111</v>
      </c>
      <c r="P5550" t="str">
        <f>"85395-8293"</f>
        <v>85395-8293</v>
      </c>
      <c r="Q5550" t="s">
        <v>113</v>
      </c>
      <c r="R5550" t="str">
        <f>"508-13-156"</f>
        <v>508-13-156</v>
      </c>
      <c r="S5550" t="s">
        <v>7244</v>
      </c>
      <c r="T5550" t="s">
        <v>7245</v>
      </c>
      <c r="U5550">
        <v>2230</v>
      </c>
      <c r="V5550">
        <v>0</v>
      </c>
      <c r="W5550">
        <v>4</v>
      </c>
      <c r="X5550">
        <v>2005</v>
      </c>
      <c r="Z5550">
        <v>1</v>
      </c>
      <c r="AA5550" t="s">
        <v>26</v>
      </c>
      <c r="AB5550">
        <v>0</v>
      </c>
      <c r="AC5550" t="s">
        <v>115</v>
      </c>
      <c r="AD5550">
        <v>3</v>
      </c>
      <c r="AE5550" t="s">
        <v>115</v>
      </c>
      <c r="AF5550">
        <v>0</v>
      </c>
      <c r="AG5550">
        <v>0</v>
      </c>
      <c r="AH5550" t="s">
        <v>116</v>
      </c>
      <c r="AI5550" s="1">
        <v>98147</v>
      </c>
      <c r="AJ5550" s="2">
        <v>0.27</v>
      </c>
      <c r="AK5550" s="1">
        <v>357871</v>
      </c>
      <c r="AL5550" t="s">
        <v>117</v>
      </c>
      <c r="AM5550" t="s">
        <v>118</v>
      </c>
      <c r="AN5550">
        <v>9074</v>
      </c>
      <c r="AO5550">
        <v>0.21</v>
      </c>
      <c r="AR5550">
        <v>1</v>
      </c>
      <c r="AS5550" s="1">
        <v>25380</v>
      </c>
      <c r="AT5550" s="1">
        <v>5070</v>
      </c>
      <c r="AU5550" s="1">
        <v>20310</v>
      </c>
      <c r="AV5550">
        <v>80.02</v>
      </c>
      <c r="AX5550" s="1">
        <v>2680.88</v>
      </c>
      <c r="AY5550" t="s">
        <v>3020</v>
      </c>
      <c r="AZ5550" t="s">
        <v>3020</v>
      </c>
      <c r="BA5550" t="s">
        <v>3154</v>
      </c>
      <c r="BE5550" s="3">
        <v>42551</v>
      </c>
      <c r="BF5550" s="1">
        <v>280000</v>
      </c>
      <c r="BG5550" t="s">
        <v>34119</v>
      </c>
      <c r="BH5550" s="1">
        <v>125.56</v>
      </c>
      <c r="BI5550" s="1">
        <v>259724</v>
      </c>
      <c r="BJ5550" s="3">
        <v>42551</v>
      </c>
      <c r="BK5550" t="s">
        <v>123</v>
      </c>
      <c r="BL5550" t="str">
        <f>"2016.462620"</f>
        <v>2016.462620</v>
      </c>
      <c r="BM5550" t="s">
        <v>544</v>
      </c>
      <c r="BO5550" t="s">
        <v>34120</v>
      </c>
      <c r="BS5550">
        <v>30</v>
      </c>
      <c r="BW5550" t="str">
        <f>""</f>
        <v/>
      </c>
      <c r="CH5550" t="str">
        <f>""</f>
        <v/>
      </c>
      <c r="CS5550" t="str">
        <f>""</f>
        <v/>
      </c>
    </row>
    <row r="5551" spans="1:97" x14ac:dyDescent="0.25">
      <c r="A5551" t="s">
        <v>464</v>
      </c>
      <c r="B5551" t="s">
        <v>34121</v>
      </c>
      <c r="C5551" t="s">
        <v>1057</v>
      </c>
      <c r="D5551" t="s">
        <v>34121</v>
      </c>
      <c r="E5551" t="s">
        <v>34122</v>
      </c>
      <c r="F5551" t="s">
        <v>108</v>
      </c>
      <c r="H5551" t="s">
        <v>34123</v>
      </c>
      <c r="I5551" t="s">
        <v>3150</v>
      </c>
      <c r="J5551" t="s">
        <v>111</v>
      </c>
      <c r="K5551" t="str">
        <f>"85340"</f>
        <v>85340</v>
      </c>
      <c r="L5551" t="s">
        <v>5074</v>
      </c>
      <c r="M5551" t="s">
        <v>34123</v>
      </c>
      <c r="N5551" t="s">
        <v>3150</v>
      </c>
      <c r="O5551" t="s">
        <v>111</v>
      </c>
      <c r="P5551" t="str">
        <f>"85340-4412"</f>
        <v>85340-4412</v>
      </c>
      <c r="Q5551" t="s">
        <v>113</v>
      </c>
      <c r="R5551" t="str">
        <f>"501-71-939"</f>
        <v>501-71-939</v>
      </c>
      <c r="S5551" t="s">
        <v>34124</v>
      </c>
      <c r="U5551">
        <v>2864</v>
      </c>
      <c r="V5551">
        <v>0</v>
      </c>
      <c r="W5551">
        <v>4</v>
      </c>
      <c r="X5551">
        <v>2014</v>
      </c>
      <c r="Z5551">
        <v>1</v>
      </c>
      <c r="AA5551" t="s">
        <v>26</v>
      </c>
      <c r="AB5551">
        <v>0</v>
      </c>
      <c r="AC5551" t="s">
        <v>115</v>
      </c>
      <c r="AD5551">
        <v>3</v>
      </c>
      <c r="AE5551" t="s">
        <v>115</v>
      </c>
      <c r="AF5551">
        <v>0</v>
      </c>
      <c r="AG5551">
        <v>0</v>
      </c>
      <c r="AH5551" t="s">
        <v>116</v>
      </c>
      <c r="AI5551" s="1">
        <v>105146</v>
      </c>
      <c r="AJ5551" s="2">
        <v>0.2</v>
      </c>
      <c r="AK5551" s="1">
        <v>522146</v>
      </c>
      <c r="AL5551" t="s">
        <v>117</v>
      </c>
      <c r="AM5551" t="s">
        <v>171</v>
      </c>
      <c r="AN5551">
        <v>12946</v>
      </c>
      <c r="AO5551">
        <v>0.3</v>
      </c>
      <c r="AR5551">
        <v>1</v>
      </c>
      <c r="AS5551" s="1">
        <v>43180</v>
      </c>
      <c r="AT5551" s="1">
        <v>8630</v>
      </c>
      <c r="AU5551" s="1">
        <v>34550</v>
      </c>
      <c r="AV5551">
        <v>80.010000000000005</v>
      </c>
      <c r="AX5551" s="1">
        <v>3534.66</v>
      </c>
      <c r="AY5551" t="s">
        <v>11553</v>
      </c>
      <c r="AZ5551" t="s">
        <v>11553</v>
      </c>
      <c r="BA5551" t="s">
        <v>3154</v>
      </c>
      <c r="BE5551" s="3">
        <v>41975</v>
      </c>
      <c r="BF5551" s="1">
        <v>425962</v>
      </c>
      <c r="BG5551" t="s">
        <v>34125</v>
      </c>
      <c r="BH5551" s="1">
        <v>148.72999999999999</v>
      </c>
      <c r="BI5551" s="1">
        <v>417000</v>
      </c>
      <c r="BJ5551" s="3">
        <v>41975</v>
      </c>
      <c r="BK5551" t="s">
        <v>123</v>
      </c>
      <c r="BL5551" t="str">
        <f>"2014.794898"</f>
        <v>2014.794898</v>
      </c>
      <c r="BM5551" t="s">
        <v>475</v>
      </c>
      <c r="BO5551" t="s">
        <v>34126</v>
      </c>
      <c r="BS5551">
        <v>30</v>
      </c>
      <c r="BW5551" t="str">
        <f>""</f>
        <v/>
      </c>
      <c r="CH5551" t="str">
        <f>""</f>
        <v/>
      </c>
      <c r="CS5551" t="str">
        <f>""</f>
        <v/>
      </c>
    </row>
    <row r="5552" spans="1:97" x14ac:dyDescent="0.25">
      <c r="A5552" t="s">
        <v>34127</v>
      </c>
      <c r="B5552" t="s">
        <v>34128</v>
      </c>
      <c r="C5552" t="s">
        <v>2930</v>
      </c>
      <c r="D5552" t="s">
        <v>34128</v>
      </c>
      <c r="E5552" t="s">
        <v>34129</v>
      </c>
      <c r="F5552" t="s">
        <v>108</v>
      </c>
      <c r="H5552" t="s">
        <v>34130</v>
      </c>
      <c r="I5552" t="s">
        <v>499</v>
      </c>
      <c r="J5552" t="s">
        <v>111</v>
      </c>
      <c r="K5552" t="str">
        <f>"85338"</f>
        <v>85338</v>
      </c>
      <c r="L5552" t="s">
        <v>8146</v>
      </c>
      <c r="M5552" t="s">
        <v>34130</v>
      </c>
      <c r="N5552" t="s">
        <v>499</v>
      </c>
      <c r="O5552" t="s">
        <v>111</v>
      </c>
      <c r="P5552" t="str">
        <f>"85338-7462"</f>
        <v>85338-7462</v>
      </c>
      <c r="Q5552" t="s">
        <v>113</v>
      </c>
      <c r="R5552" t="str">
        <f>"502-44-175"</f>
        <v>502-44-175</v>
      </c>
      <c r="S5552" t="s">
        <v>5101</v>
      </c>
      <c r="T5552" t="s">
        <v>5102</v>
      </c>
      <c r="U5552">
        <v>2851</v>
      </c>
      <c r="V5552">
        <v>0</v>
      </c>
      <c r="W5552">
        <v>4</v>
      </c>
      <c r="X5552">
        <v>2016</v>
      </c>
      <c r="Z5552">
        <v>1</v>
      </c>
      <c r="AA5552" t="s">
        <v>26</v>
      </c>
      <c r="AB5552">
        <v>0</v>
      </c>
      <c r="AC5552" t="s">
        <v>115</v>
      </c>
      <c r="AD5552">
        <v>2</v>
      </c>
      <c r="AE5552" t="s">
        <v>115</v>
      </c>
      <c r="AF5552">
        <v>0</v>
      </c>
      <c r="AG5552">
        <v>0</v>
      </c>
      <c r="AH5552" t="s">
        <v>116</v>
      </c>
      <c r="AI5552" s="1">
        <v>97752</v>
      </c>
      <c r="AJ5552" s="2">
        <v>0.26</v>
      </c>
      <c r="AK5552" s="1">
        <v>373070</v>
      </c>
      <c r="AL5552" t="s">
        <v>117</v>
      </c>
      <c r="AM5552" t="s">
        <v>118</v>
      </c>
      <c r="AN5552">
        <v>8893</v>
      </c>
      <c r="AO5552">
        <v>0.2</v>
      </c>
      <c r="AR5552">
        <v>1</v>
      </c>
      <c r="AS5552" s="1">
        <v>28650</v>
      </c>
      <c r="AT5552" s="1">
        <v>5730</v>
      </c>
      <c r="AU5552" s="1">
        <v>22920</v>
      </c>
      <c r="AV5552">
        <v>80</v>
      </c>
      <c r="AX5552" s="1">
        <v>2110.94</v>
      </c>
      <c r="AY5552" t="s">
        <v>2767</v>
      </c>
      <c r="AZ5552" t="s">
        <v>2767</v>
      </c>
      <c r="BA5552" t="s">
        <v>1247</v>
      </c>
      <c r="BE5552" s="3">
        <v>42475</v>
      </c>
      <c r="BF5552" s="1">
        <v>275418</v>
      </c>
      <c r="BG5552" t="s">
        <v>275</v>
      </c>
      <c r="BH5552" s="1">
        <v>96.6</v>
      </c>
      <c r="BI5552" s="1">
        <v>275318</v>
      </c>
      <c r="BJ5552" s="3">
        <v>42475</v>
      </c>
      <c r="BK5552" t="s">
        <v>123</v>
      </c>
      <c r="BL5552" t="str">
        <f>"2016.253404"</f>
        <v>2016.253404</v>
      </c>
      <c r="BM5552" t="s">
        <v>936</v>
      </c>
      <c r="BO5552" t="s">
        <v>34131</v>
      </c>
      <c r="BS5552">
        <v>30</v>
      </c>
      <c r="BW5552" t="str">
        <f>""</f>
        <v/>
      </c>
      <c r="CH5552" t="str">
        <f>""</f>
        <v/>
      </c>
      <c r="CS5552" t="str">
        <f>""</f>
        <v/>
      </c>
    </row>
    <row r="5553" spans="1:97" x14ac:dyDescent="0.25">
      <c r="A5553" t="s">
        <v>765</v>
      </c>
      <c r="B5553" t="s">
        <v>34132</v>
      </c>
      <c r="E5553" t="s">
        <v>34133</v>
      </c>
      <c r="F5553" t="s">
        <v>108</v>
      </c>
      <c r="H5553" t="s">
        <v>34134</v>
      </c>
      <c r="I5553" t="s">
        <v>225</v>
      </c>
      <c r="J5553" t="s">
        <v>111</v>
      </c>
      <c r="K5553" t="str">
        <f>"85212"</f>
        <v>85212</v>
      </c>
      <c r="L5553" t="s">
        <v>5239</v>
      </c>
      <c r="M5553" t="s">
        <v>34134</v>
      </c>
      <c r="N5553" t="s">
        <v>225</v>
      </c>
      <c r="O5553" t="s">
        <v>111</v>
      </c>
      <c r="P5553" t="str">
        <f>"85212-4071"</f>
        <v>85212-4071</v>
      </c>
      <c r="Q5553" t="s">
        <v>113</v>
      </c>
      <c r="R5553" t="str">
        <f>"304-33-240"</f>
        <v>304-33-240</v>
      </c>
      <c r="S5553" t="s">
        <v>13578</v>
      </c>
      <c r="T5553" t="s">
        <v>13511</v>
      </c>
      <c r="U5553">
        <v>2047</v>
      </c>
      <c r="V5553">
        <v>0</v>
      </c>
      <c r="W5553">
        <v>3</v>
      </c>
      <c r="X5553">
        <v>2002</v>
      </c>
      <c r="Z5553">
        <v>1</v>
      </c>
      <c r="AB5553">
        <v>0</v>
      </c>
      <c r="AC5553" t="s">
        <v>115</v>
      </c>
      <c r="AD5553">
        <v>2</v>
      </c>
      <c r="AE5553" t="s">
        <v>115</v>
      </c>
      <c r="AF5553">
        <v>0</v>
      </c>
      <c r="AG5553">
        <v>0</v>
      </c>
      <c r="AH5553" t="s">
        <v>116</v>
      </c>
      <c r="AI5553" s="1">
        <v>51097</v>
      </c>
      <c r="AJ5553" s="2">
        <v>0.17</v>
      </c>
      <c r="AK5553" s="1">
        <v>307097</v>
      </c>
      <c r="AL5553" t="s">
        <v>117</v>
      </c>
      <c r="AM5553" t="s">
        <v>393</v>
      </c>
      <c r="AN5553">
        <v>8906</v>
      </c>
      <c r="AO5553">
        <v>0.2</v>
      </c>
      <c r="AP5553">
        <v>1</v>
      </c>
      <c r="AR5553">
        <v>1</v>
      </c>
      <c r="AS5553" s="1">
        <v>20070</v>
      </c>
      <c r="AT5553" s="1">
        <v>4010</v>
      </c>
      <c r="AU5553" s="1">
        <v>16060</v>
      </c>
      <c r="AV5553">
        <v>80.02</v>
      </c>
      <c r="AX5553" s="1">
        <v>1388.28</v>
      </c>
      <c r="AY5553" t="s">
        <v>776</v>
      </c>
      <c r="AZ5553" t="s">
        <v>777</v>
      </c>
      <c r="BA5553" t="s">
        <v>572</v>
      </c>
      <c r="BE5553" s="3">
        <v>41845</v>
      </c>
      <c r="BF5553" s="1">
        <v>230000</v>
      </c>
      <c r="BG5553" t="s">
        <v>34135</v>
      </c>
      <c r="BH5553" s="1">
        <v>112.36</v>
      </c>
      <c r="BI5553" s="1">
        <v>256000</v>
      </c>
      <c r="BJ5553" s="3">
        <v>42810</v>
      </c>
      <c r="BK5553" t="s">
        <v>123</v>
      </c>
      <c r="BL5553" t="str">
        <f>"2017.185398"</f>
        <v>2017.185398</v>
      </c>
      <c r="BM5553" t="s">
        <v>1707</v>
      </c>
      <c r="BO5553" t="s">
        <v>34136</v>
      </c>
      <c r="BS5553">
        <v>30</v>
      </c>
      <c r="BW5553" t="str">
        <f>""</f>
        <v/>
      </c>
      <c r="CH5553" t="str">
        <f>""</f>
        <v/>
      </c>
      <c r="CS5553" t="str">
        <f>""</f>
        <v/>
      </c>
    </row>
    <row r="5554" spans="1:97" x14ac:dyDescent="0.25">
      <c r="A5554" t="s">
        <v>489</v>
      </c>
      <c r="B5554" t="s">
        <v>17330</v>
      </c>
      <c r="E5554" t="s">
        <v>34137</v>
      </c>
      <c r="F5554" t="s">
        <v>108</v>
      </c>
      <c r="H5554" t="s">
        <v>34138</v>
      </c>
      <c r="I5554" t="s">
        <v>5387</v>
      </c>
      <c r="J5554" t="s">
        <v>111</v>
      </c>
      <c r="K5554" t="str">
        <f>"85283"</f>
        <v>85283</v>
      </c>
      <c r="L5554" t="s">
        <v>5687</v>
      </c>
      <c r="M5554" t="s">
        <v>34138</v>
      </c>
      <c r="N5554" t="s">
        <v>5387</v>
      </c>
      <c r="O5554" t="s">
        <v>111</v>
      </c>
      <c r="P5554" t="str">
        <f>"85283-1616"</f>
        <v>85283-1616</v>
      </c>
      <c r="Q5554" t="s">
        <v>113</v>
      </c>
      <c r="R5554" t="str">
        <f>"301-07-101"</f>
        <v>301-07-101</v>
      </c>
      <c r="S5554" t="s">
        <v>12352</v>
      </c>
      <c r="T5554" t="s">
        <v>12353</v>
      </c>
      <c r="U5554">
        <v>1186</v>
      </c>
      <c r="V5554">
        <v>0</v>
      </c>
      <c r="W5554">
        <v>1</v>
      </c>
      <c r="X5554">
        <v>1980</v>
      </c>
      <c r="Z5554">
        <v>1</v>
      </c>
      <c r="AB5554">
        <v>0</v>
      </c>
      <c r="AC5554" t="s">
        <v>115</v>
      </c>
      <c r="AD5554">
        <v>1</v>
      </c>
      <c r="AE5554" t="s">
        <v>115</v>
      </c>
      <c r="AF5554">
        <v>0</v>
      </c>
      <c r="AG5554">
        <v>0</v>
      </c>
      <c r="AH5554" t="s">
        <v>116</v>
      </c>
      <c r="AI5554" s="1">
        <v>3557</v>
      </c>
      <c r="AJ5554" s="2">
        <v>0.02</v>
      </c>
      <c r="AK5554" s="1">
        <v>231850</v>
      </c>
      <c r="AL5554" t="s">
        <v>117</v>
      </c>
      <c r="AM5554" t="s">
        <v>191</v>
      </c>
      <c r="AN5554">
        <v>6859</v>
      </c>
      <c r="AO5554">
        <v>0.16</v>
      </c>
      <c r="AP5554">
        <v>1</v>
      </c>
      <c r="AR5554">
        <v>1</v>
      </c>
      <c r="AS5554" s="1">
        <v>15420</v>
      </c>
      <c r="AT5554" s="1">
        <v>3080</v>
      </c>
      <c r="AU5554" s="1">
        <v>12340</v>
      </c>
      <c r="AV5554">
        <v>80.03</v>
      </c>
      <c r="AX5554" s="1">
        <v>1131.72</v>
      </c>
      <c r="AY5554" t="s">
        <v>12354</v>
      </c>
      <c r="AZ5554" t="s">
        <v>6726</v>
      </c>
      <c r="BA5554" t="s">
        <v>5392</v>
      </c>
      <c r="BE5554" s="3">
        <v>42103</v>
      </c>
      <c r="BF5554" s="1">
        <v>150000</v>
      </c>
      <c r="BG5554" t="s">
        <v>34139</v>
      </c>
      <c r="BH5554" s="1">
        <v>126.48</v>
      </c>
      <c r="BI5554" s="1">
        <v>228293</v>
      </c>
      <c r="BJ5554" s="3">
        <v>43500</v>
      </c>
      <c r="BK5554" t="s">
        <v>123</v>
      </c>
      <c r="BL5554" t="str">
        <f>"2019.74409"</f>
        <v>2019.74409</v>
      </c>
      <c r="BM5554" t="s">
        <v>533</v>
      </c>
      <c r="BN5554" t="s">
        <v>534</v>
      </c>
      <c r="BO5554" t="s">
        <v>34140</v>
      </c>
      <c r="BR5554" t="s">
        <v>139</v>
      </c>
      <c r="BW5554" t="str">
        <f>""</f>
        <v/>
      </c>
      <c r="CH5554" t="str">
        <f>""</f>
        <v/>
      </c>
      <c r="CS5554" t="str">
        <f>""</f>
        <v/>
      </c>
    </row>
    <row r="5555" spans="1:97" x14ac:dyDescent="0.25">
      <c r="A5555" t="s">
        <v>34141</v>
      </c>
      <c r="B5555" t="s">
        <v>4864</v>
      </c>
      <c r="C5555" t="s">
        <v>5869</v>
      </c>
      <c r="D5555" t="s">
        <v>34142</v>
      </c>
      <c r="E5555" t="s">
        <v>34143</v>
      </c>
      <c r="F5555" t="s">
        <v>108</v>
      </c>
      <c r="H5555" t="s">
        <v>34144</v>
      </c>
      <c r="I5555" t="s">
        <v>203</v>
      </c>
      <c r="J5555" t="s">
        <v>111</v>
      </c>
      <c r="K5555" t="str">
        <f>"85296"</f>
        <v>85296</v>
      </c>
      <c r="L5555" t="s">
        <v>9293</v>
      </c>
      <c r="M5555" t="s">
        <v>34144</v>
      </c>
      <c r="N5555" t="s">
        <v>203</v>
      </c>
      <c r="O5555" t="s">
        <v>111</v>
      </c>
      <c r="P5555" t="str">
        <f>"85296-2727"</f>
        <v>85296-2727</v>
      </c>
      <c r="Q5555" t="s">
        <v>113</v>
      </c>
      <c r="R5555" t="str">
        <f>"309-11-153"</f>
        <v>309-11-153</v>
      </c>
      <c r="S5555" t="s">
        <v>34145</v>
      </c>
      <c r="T5555" t="s">
        <v>14454</v>
      </c>
      <c r="U5555">
        <v>1799</v>
      </c>
      <c r="V5555">
        <v>0</v>
      </c>
      <c r="W5555">
        <v>3</v>
      </c>
      <c r="X5555">
        <v>1996</v>
      </c>
      <c r="Z5555">
        <v>2</v>
      </c>
      <c r="AA5555" t="s">
        <v>26</v>
      </c>
      <c r="AB5555">
        <v>0</v>
      </c>
      <c r="AC5555" t="s">
        <v>115</v>
      </c>
      <c r="AD5555">
        <v>2</v>
      </c>
      <c r="AE5555" t="s">
        <v>115</v>
      </c>
      <c r="AF5555">
        <v>0</v>
      </c>
      <c r="AG5555">
        <v>0</v>
      </c>
      <c r="AH5555" t="s">
        <v>116</v>
      </c>
      <c r="AI5555" s="1">
        <v>69409</v>
      </c>
      <c r="AJ5555" s="2">
        <v>0.22</v>
      </c>
      <c r="AK5555" s="1">
        <v>321241</v>
      </c>
      <c r="AL5555" t="s">
        <v>117</v>
      </c>
      <c r="AM5555" t="s">
        <v>191</v>
      </c>
      <c r="AN5555">
        <v>6037</v>
      </c>
      <c r="AO5555">
        <v>0.14000000000000001</v>
      </c>
      <c r="AP5555">
        <v>1</v>
      </c>
      <c r="AR5555">
        <v>1</v>
      </c>
      <c r="AS5555" s="1">
        <v>20950</v>
      </c>
      <c r="AT5555" s="1">
        <v>4190</v>
      </c>
      <c r="AU5555" s="1">
        <v>16760</v>
      </c>
      <c r="AV5555">
        <v>80</v>
      </c>
      <c r="AX5555" s="1">
        <v>1413.68</v>
      </c>
      <c r="AY5555" t="s">
        <v>5032</v>
      </c>
      <c r="AZ5555" t="s">
        <v>520</v>
      </c>
      <c r="BA5555" t="s">
        <v>5033</v>
      </c>
      <c r="BE5555" s="3">
        <v>41878</v>
      </c>
      <c r="BF5555" s="1">
        <v>240000</v>
      </c>
      <c r="BG5555" t="s">
        <v>34146</v>
      </c>
      <c r="BH5555" s="1">
        <v>133.41</v>
      </c>
      <c r="BI5555" s="1">
        <v>251832</v>
      </c>
      <c r="BJ5555" s="3">
        <v>42202</v>
      </c>
      <c r="BK5555" t="s">
        <v>123</v>
      </c>
      <c r="BL5555" t="str">
        <f>"2015.517387"</f>
        <v>2015.517387</v>
      </c>
      <c r="BM5555" t="s">
        <v>135</v>
      </c>
      <c r="BO5555" t="s">
        <v>34147</v>
      </c>
      <c r="BP5555" t="s">
        <v>34148</v>
      </c>
      <c r="BS5555">
        <v>30</v>
      </c>
      <c r="BW5555" t="str">
        <f>""</f>
        <v/>
      </c>
      <c r="CH5555" t="str">
        <f>""</f>
        <v/>
      </c>
      <c r="CS5555" t="str">
        <f>""</f>
        <v/>
      </c>
    </row>
    <row r="5556" spans="1:97" x14ac:dyDescent="0.25">
      <c r="A5556" t="s">
        <v>815</v>
      </c>
      <c r="B5556" t="s">
        <v>34149</v>
      </c>
      <c r="C5556" t="s">
        <v>489</v>
      </c>
      <c r="D5556" t="s">
        <v>34149</v>
      </c>
      <c r="E5556" t="s">
        <v>34150</v>
      </c>
      <c r="F5556" t="s">
        <v>108</v>
      </c>
      <c r="H5556" t="s">
        <v>34151</v>
      </c>
      <c r="I5556" t="s">
        <v>4251</v>
      </c>
      <c r="J5556" t="s">
        <v>111</v>
      </c>
      <c r="K5556" t="str">
        <f>"85353"</f>
        <v>85353</v>
      </c>
      <c r="L5556" t="s">
        <v>316</v>
      </c>
      <c r="M5556" t="s">
        <v>34151</v>
      </c>
      <c r="N5556" t="s">
        <v>4251</v>
      </c>
      <c r="O5556" t="s">
        <v>111</v>
      </c>
      <c r="P5556" t="str">
        <f>"85353-4415"</f>
        <v>85353-4415</v>
      </c>
      <c r="Q5556" t="s">
        <v>113</v>
      </c>
      <c r="R5556" t="str">
        <f>"101-39-063"</f>
        <v>101-39-063</v>
      </c>
      <c r="S5556" t="s">
        <v>7206</v>
      </c>
      <c r="T5556" t="s">
        <v>7206</v>
      </c>
      <c r="U5556">
        <v>2802</v>
      </c>
      <c r="V5556">
        <v>0</v>
      </c>
      <c r="W5556">
        <v>5</v>
      </c>
      <c r="X5556">
        <v>2007</v>
      </c>
      <c r="Z5556">
        <v>2</v>
      </c>
      <c r="AA5556" t="s">
        <v>26</v>
      </c>
      <c r="AB5556">
        <v>0</v>
      </c>
      <c r="AC5556" t="s">
        <v>115</v>
      </c>
      <c r="AD5556">
        <v>2</v>
      </c>
      <c r="AE5556" t="s">
        <v>115</v>
      </c>
      <c r="AF5556">
        <v>0</v>
      </c>
      <c r="AG5556">
        <v>0</v>
      </c>
      <c r="AH5556" t="s">
        <v>116</v>
      </c>
      <c r="AI5556" s="1">
        <v>55430</v>
      </c>
      <c r="AJ5556" s="2">
        <v>0.19</v>
      </c>
      <c r="AK5556" s="1">
        <v>296430</v>
      </c>
      <c r="AL5556" t="s">
        <v>117</v>
      </c>
      <c r="AM5556" t="s">
        <v>191</v>
      </c>
      <c r="AN5556">
        <v>5500</v>
      </c>
      <c r="AO5556">
        <v>0.13</v>
      </c>
      <c r="AR5556">
        <v>1</v>
      </c>
      <c r="AS5556" s="1">
        <v>20320</v>
      </c>
      <c r="AT5556" s="1">
        <v>4060</v>
      </c>
      <c r="AU5556" s="1">
        <v>16260</v>
      </c>
      <c r="AV5556">
        <v>80.02</v>
      </c>
      <c r="AX5556" s="1">
        <v>2015.36</v>
      </c>
      <c r="AY5556" t="s">
        <v>4253</v>
      </c>
      <c r="AZ5556" t="s">
        <v>4253</v>
      </c>
      <c r="BA5556" t="s">
        <v>4254</v>
      </c>
      <c r="BE5556" s="3">
        <v>41733</v>
      </c>
      <c r="BF5556" s="1">
        <v>212500</v>
      </c>
      <c r="BG5556" t="s">
        <v>34152</v>
      </c>
      <c r="BH5556" s="1">
        <v>75.84</v>
      </c>
      <c r="BI5556" s="1">
        <v>241000</v>
      </c>
      <c r="BJ5556" s="3">
        <v>42654</v>
      </c>
      <c r="BK5556" t="s">
        <v>123</v>
      </c>
      <c r="BL5556" t="str">
        <f>"2016.743395"</f>
        <v>2016.743395</v>
      </c>
      <c r="BM5556" t="s">
        <v>2378</v>
      </c>
      <c r="BO5556" t="s">
        <v>34153</v>
      </c>
      <c r="BS5556">
        <v>30</v>
      </c>
      <c r="BW5556" t="str">
        <f>""</f>
        <v/>
      </c>
      <c r="CH5556" t="str">
        <f>""</f>
        <v/>
      </c>
      <c r="CS5556" t="str">
        <f>""</f>
        <v/>
      </c>
    </row>
    <row r="5557" spans="1:97" x14ac:dyDescent="0.25">
      <c r="A5557" t="s">
        <v>222</v>
      </c>
      <c r="B5557" t="s">
        <v>34154</v>
      </c>
      <c r="E5557" t="s">
        <v>34155</v>
      </c>
      <c r="F5557" t="s">
        <v>108</v>
      </c>
      <c r="H5557" t="s">
        <v>34156</v>
      </c>
      <c r="I5557" t="s">
        <v>110</v>
      </c>
      <c r="J5557" t="s">
        <v>111</v>
      </c>
      <c r="K5557" t="str">
        <f>"85224"</f>
        <v>85224</v>
      </c>
      <c r="L5557" t="s">
        <v>9597</v>
      </c>
      <c r="M5557" t="s">
        <v>34156</v>
      </c>
      <c r="N5557" t="s">
        <v>110</v>
      </c>
      <c r="O5557" t="s">
        <v>111</v>
      </c>
      <c r="P5557" t="str">
        <f>"85224-2506"</f>
        <v>85224-2506</v>
      </c>
      <c r="Q5557" t="s">
        <v>113</v>
      </c>
      <c r="R5557" t="str">
        <f>"302-80-129"</f>
        <v>302-80-129</v>
      </c>
      <c r="S5557" t="s">
        <v>22387</v>
      </c>
      <c r="T5557" t="s">
        <v>20003</v>
      </c>
      <c r="U5557">
        <v>1452</v>
      </c>
      <c r="V5557">
        <v>0</v>
      </c>
      <c r="W5557">
        <v>3</v>
      </c>
      <c r="X5557">
        <v>1983</v>
      </c>
      <c r="Z5557">
        <v>1</v>
      </c>
      <c r="AA5557" t="s">
        <v>26</v>
      </c>
      <c r="AB5557">
        <v>0</v>
      </c>
      <c r="AC5557" t="s">
        <v>115</v>
      </c>
      <c r="AD5557">
        <v>2</v>
      </c>
      <c r="AE5557" t="s">
        <v>115</v>
      </c>
      <c r="AF5557">
        <v>0</v>
      </c>
      <c r="AG5557">
        <v>0</v>
      </c>
      <c r="AH5557" t="s">
        <v>116</v>
      </c>
      <c r="AI5557" s="1">
        <v>71030</v>
      </c>
      <c r="AJ5557" s="2">
        <v>0.24</v>
      </c>
      <c r="AK5557" s="1">
        <v>300867</v>
      </c>
      <c r="AL5557" t="s">
        <v>117</v>
      </c>
      <c r="AM5557" t="s">
        <v>5077</v>
      </c>
      <c r="AN5557">
        <v>12162</v>
      </c>
      <c r="AO5557">
        <v>0.28000000000000003</v>
      </c>
      <c r="AP5557">
        <v>1</v>
      </c>
      <c r="AR5557">
        <v>1</v>
      </c>
      <c r="AS5557" s="1">
        <v>21460</v>
      </c>
      <c r="AT5557" s="1">
        <v>4290</v>
      </c>
      <c r="AU5557" s="1">
        <v>17170</v>
      </c>
      <c r="AV5557">
        <v>80.010000000000005</v>
      </c>
      <c r="AX5557" s="1">
        <v>1363.72</v>
      </c>
      <c r="AY5557" t="s">
        <v>7749</v>
      </c>
      <c r="AZ5557" t="s">
        <v>5078</v>
      </c>
      <c r="BA5557" t="s">
        <v>2957</v>
      </c>
      <c r="BE5557" s="3">
        <v>42166</v>
      </c>
      <c r="BF5557" s="1">
        <v>225000</v>
      </c>
      <c r="BG5557" t="s">
        <v>34157</v>
      </c>
      <c r="BH5557" s="1">
        <v>154.96</v>
      </c>
      <c r="BI5557" s="1">
        <v>229837</v>
      </c>
      <c r="BJ5557" s="3">
        <v>42166</v>
      </c>
      <c r="BK5557" t="s">
        <v>123</v>
      </c>
      <c r="BL5557" t="str">
        <f>"2015.417291"</f>
        <v>2015.417291</v>
      </c>
      <c r="BM5557" t="s">
        <v>475</v>
      </c>
      <c r="BO5557" t="s">
        <v>34158</v>
      </c>
      <c r="BS5557">
        <v>30</v>
      </c>
      <c r="BW5557" t="str">
        <f>""</f>
        <v/>
      </c>
      <c r="CH5557" t="str">
        <f>""</f>
        <v/>
      </c>
      <c r="CS5557" t="str">
        <f>""</f>
        <v/>
      </c>
    </row>
    <row r="5558" spans="1:97" x14ac:dyDescent="0.25">
      <c r="A5558" t="s">
        <v>305</v>
      </c>
      <c r="B5558" t="s">
        <v>6979</v>
      </c>
      <c r="C5558" t="s">
        <v>34159</v>
      </c>
      <c r="D5558" t="s">
        <v>6979</v>
      </c>
      <c r="E5558" t="s">
        <v>34160</v>
      </c>
      <c r="F5558" t="s">
        <v>108</v>
      </c>
      <c r="H5558" t="s">
        <v>34161</v>
      </c>
      <c r="I5558" t="s">
        <v>499</v>
      </c>
      <c r="J5558" t="s">
        <v>111</v>
      </c>
      <c r="K5558" t="str">
        <f>"85338"</f>
        <v>85338</v>
      </c>
      <c r="L5558" t="s">
        <v>6481</v>
      </c>
      <c r="M5558" t="s">
        <v>34161</v>
      </c>
      <c r="N5558" t="s">
        <v>499</v>
      </c>
      <c r="O5558" t="s">
        <v>111</v>
      </c>
      <c r="P5558" t="str">
        <f>"85338-2784"</f>
        <v>85338-2784</v>
      </c>
      <c r="Q5558" t="s">
        <v>113</v>
      </c>
      <c r="R5558" t="str">
        <f>"500-96-120"</f>
        <v>500-96-120</v>
      </c>
      <c r="S5558" t="s">
        <v>34162</v>
      </c>
      <c r="U5558">
        <v>2898</v>
      </c>
      <c r="V5558">
        <v>0</v>
      </c>
      <c r="W5558">
        <v>4</v>
      </c>
      <c r="X5558">
        <v>2006</v>
      </c>
      <c r="Z5558">
        <v>2</v>
      </c>
      <c r="AB5558">
        <v>0</v>
      </c>
      <c r="AC5558" t="s">
        <v>115</v>
      </c>
      <c r="AD5558">
        <v>3</v>
      </c>
      <c r="AE5558" t="s">
        <v>115</v>
      </c>
      <c r="AF5558">
        <v>0</v>
      </c>
      <c r="AG5558">
        <v>0</v>
      </c>
      <c r="AH5558" t="s">
        <v>116</v>
      </c>
      <c r="AI5558" s="1">
        <v>67092</v>
      </c>
      <c r="AJ5558" s="2">
        <v>0.21</v>
      </c>
      <c r="AK5558" s="1">
        <v>314092</v>
      </c>
      <c r="AL5558" t="s">
        <v>117</v>
      </c>
      <c r="AM5558" t="s">
        <v>118</v>
      </c>
      <c r="AN5558">
        <v>6900</v>
      </c>
      <c r="AO5558">
        <v>0.16</v>
      </c>
      <c r="AR5558">
        <v>1</v>
      </c>
      <c r="AS5558" s="1">
        <v>21960</v>
      </c>
      <c r="AT5558" s="1">
        <v>4390</v>
      </c>
      <c r="AU5558" s="1">
        <v>17570</v>
      </c>
      <c r="AV5558">
        <v>80.010000000000005</v>
      </c>
      <c r="AX5558" s="1">
        <v>1826.44</v>
      </c>
      <c r="AY5558" t="s">
        <v>6319</v>
      </c>
      <c r="AZ5558" t="s">
        <v>6319</v>
      </c>
      <c r="BA5558" t="s">
        <v>7186</v>
      </c>
      <c r="BE5558" s="3">
        <v>42027</v>
      </c>
      <c r="BF5558" s="1">
        <v>247000</v>
      </c>
      <c r="BG5558" t="s">
        <v>34163</v>
      </c>
      <c r="BH5558" s="1">
        <v>85.23</v>
      </c>
      <c r="BI5558" s="1">
        <v>247000</v>
      </c>
      <c r="BJ5558" s="3">
        <v>42027</v>
      </c>
      <c r="BK5558" t="s">
        <v>123</v>
      </c>
      <c r="BL5558" t="str">
        <f>"2015.46612"</f>
        <v>2015.46612</v>
      </c>
      <c r="BM5558" t="s">
        <v>8916</v>
      </c>
      <c r="BO5558" t="s">
        <v>34164</v>
      </c>
      <c r="BS5558">
        <v>30</v>
      </c>
      <c r="BW5558" t="str">
        <f>""</f>
        <v/>
      </c>
      <c r="CH5558" t="str">
        <f>""</f>
        <v/>
      </c>
      <c r="CS5558" t="str">
        <f>""</f>
        <v/>
      </c>
    </row>
    <row r="5559" spans="1:97" x14ac:dyDescent="0.25">
      <c r="A5559" t="s">
        <v>177</v>
      </c>
      <c r="B5559" t="s">
        <v>34165</v>
      </c>
      <c r="E5559" t="s">
        <v>34166</v>
      </c>
      <c r="F5559" t="s">
        <v>108</v>
      </c>
      <c r="H5559" t="s">
        <v>34167</v>
      </c>
      <c r="I5559" t="s">
        <v>499</v>
      </c>
      <c r="J5559" t="s">
        <v>111</v>
      </c>
      <c r="K5559" t="str">
        <f>"85338"</f>
        <v>85338</v>
      </c>
      <c r="L5559" t="s">
        <v>5325</v>
      </c>
      <c r="M5559" t="s">
        <v>34167</v>
      </c>
      <c r="N5559" t="s">
        <v>499</v>
      </c>
      <c r="O5559" t="s">
        <v>111</v>
      </c>
      <c r="P5559" t="str">
        <f>"85338-5607"</f>
        <v>85338-5607</v>
      </c>
      <c r="Q5559" t="s">
        <v>113</v>
      </c>
      <c r="R5559" t="str">
        <f>"400-79-772"</f>
        <v>400-79-772</v>
      </c>
      <c r="S5559" t="s">
        <v>34168</v>
      </c>
      <c r="U5559">
        <v>2763</v>
      </c>
      <c r="V5559">
        <v>0</v>
      </c>
      <c r="W5559">
        <v>3</v>
      </c>
      <c r="X5559">
        <v>2004</v>
      </c>
      <c r="Z5559">
        <v>2</v>
      </c>
      <c r="AA5559" t="s">
        <v>26</v>
      </c>
      <c r="AB5559">
        <v>0</v>
      </c>
      <c r="AC5559" t="s">
        <v>115</v>
      </c>
      <c r="AD5559">
        <v>3</v>
      </c>
      <c r="AE5559" t="s">
        <v>115</v>
      </c>
      <c r="AF5559">
        <v>0</v>
      </c>
      <c r="AG5559">
        <v>0</v>
      </c>
      <c r="AH5559" t="s">
        <v>116</v>
      </c>
      <c r="AI5559" s="1">
        <v>54605</v>
      </c>
      <c r="AJ5559" s="2">
        <v>0.15</v>
      </c>
      <c r="AK5559" s="1">
        <v>357605</v>
      </c>
      <c r="AL5559" t="s">
        <v>117</v>
      </c>
      <c r="AM5559" t="s">
        <v>118</v>
      </c>
      <c r="AN5559">
        <v>8688</v>
      </c>
      <c r="AO5559">
        <v>0.2</v>
      </c>
      <c r="AP5559">
        <v>1</v>
      </c>
      <c r="AR5559">
        <v>1</v>
      </c>
      <c r="AS5559" s="1">
        <v>25010</v>
      </c>
      <c r="AT5559" s="1">
        <v>5000</v>
      </c>
      <c r="AU5559" s="1">
        <v>20010</v>
      </c>
      <c r="AV5559">
        <v>80.010000000000005</v>
      </c>
      <c r="AX5559" s="1">
        <v>3197.68</v>
      </c>
      <c r="AY5559" t="s">
        <v>4236</v>
      </c>
      <c r="AZ5559" t="s">
        <v>4236</v>
      </c>
      <c r="BA5559" t="s">
        <v>1247</v>
      </c>
      <c r="BE5559" s="3">
        <v>42509</v>
      </c>
      <c r="BF5559" s="1">
        <v>303000</v>
      </c>
      <c r="BG5559" t="s">
        <v>34169</v>
      </c>
      <c r="BH5559" s="1">
        <v>109.66</v>
      </c>
      <c r="BI5559" s="1">
        <v>303000</v>
      </c>
      <c r="BJ5559" s="3">
        <v>42509</v>
      </c>
      <c r="BK5559" t="s">
        <v>123</v>
      </c>
      <c r="BL5559" t="str">
        <f>"2016.345417"</f>
        <v>2016.345417</v>
      </c>
      <c r="BM5559" t="s">
        <v>3810</v>
      </c>
      <c r="BO5559" t="s">
        <v>34170</v>
      </c>
      <c r="BS5559">
        <v>30</v>
      </c>
      <c r="BW5559" t="str">
        <f>""</f>
        <v/>
      </c>
      <c r="CH5559" t="str">
        <f>""</f>
        <v/>
      </c>
      <c r="CS5559" t="str">
        <f>""</f>
        <v/>
      </c>
    </row>
    <row r="5560" spans="1:97" x14ac:dyDescent="0.25">
      <c r="A5560" t="s">
        <v>34171</v>
      </c>
      <c r="B5560" t="s">
        <v>34172</v>
      </c>
      <c r="E5560" t="s">
        <v>34173</v>
      </c>
      <c r="F5560" t="s">
        <v>108</v>
      </c>
      <c r="H5560" t="s">
        <v>34174</v>
      </c>
      <c r="I5560" t="s">
        <v>225</v>
      </c>
      <c r="J5560" t="s">
        <v>111</v>
      </c>
      <c r="K5560" t="str">
        <f>"85209"</f>
        <v>85209</v>
      </c>
      <c r="L5560" t="s">
        <v>5260</v>
      </c>
      <c r="M5560" t="s">
        <v>34174</v>
      </c>
      <c r="N5560" t="s">
        <v>225</v>
      </c>
      <c r="O5560" t="s">
        <v>111</v>
      </c>
      <c r="P5560" t="str">
        <f>"85209-4008"</f>
        <v>85209-4008</v>
      </c>
      <c r="Q5560" t="s">
        <v>113</v>
      </c>
      <c r="R5560" t="str">
        <f>"218-56-501"</f>
        <v>218-56-501</v>
      </c>
      <c r="S5560" t="s">
        <v>21901</v>
      </c>
      <c r="T5560" t="s">
        <v>21902</v>
      </c>
      <c r="U5560">
        <v>2096</v>
      </c>
      <c r="V5560">
        <v>0</v>
      </c>
      <c r="W5560">
        <v>4</v>
      </c>
      <c r="X5560">
        <v>1993</v>
      </c>
      <c r="Z5560">
        <v>2</v>
      </c>
      <c r="AB5560">
        <v>0</v>
      </c>
      <c r="AC5560" t="s">
        <v>115</v>
      </c>
      <c r="AD5560">
        <v>2</v>
      </c>
      <c r="AE5560" t="s">
        <v>115</v>
      </c>
      <c r="AF5560">
        <v>0</v>
      </c>
      <c r="AG5560">
        <v>0</v>
      </c>
      <c r="AH5560" t="s">
        <v>5467</v>
      </c>
      <c r="AI5560" s="1">
        <v>33680</v>
      </c>
      <c r="AJ5560" s="2">
        <v>0.11</v>
      </c>
      <c r="AK5560" s="1">
        <v>312549</v>
      </c>
      <c r="AL5560" t="s">
        <v>117</v>
      </c>
      <c r="AM5560" t="s">
        <v>191</v>
      </c>
      <c r="AN5560">
        <v>8965</v>
      </c>
      <c r="AO5560">
        <v>0.21</v>
      </c>
      <c r="AP5560">
        <v>1</v>
      </c>
      <c r="AR5560">
        <v>1</v>
      </c>
      <c r="AS5560" s="1">
        <v>20520</v>
      </c>
      <c r="AT5560" s="1">
        <v>4100</v>
      </c>
      <c r="AU5560" s="1">
        <v>16420</v>
      </c>
      <c r="AV5560">
        <v>80.02</v>
      </c>
      <c r="AX5560" s="1">
        <v>1650.12</v>
      </c>
      <c r="AY5560" t="s">
        <v>5157</v>
      </c>
      <c r="AZ5560" t="s">
        <v>231</v>
      </c>
      <c r="BA5560" t="s">
        <v>232</v>
      </c>
      <c r="BE5560" s="3">
        <v>42517</v>
      </c>
      <c r="BF5560" s="1">
        <v>273000</v>
      </c>
      <c r="BG5560" t="s">
        <v>34175</v>
      </c>
      <c r="BH5560" s="1">
        <v>130.25</v>
      </c>
      <c r="BI5560" s="1">
        <v>278869</v>
      </c>
      <c r="BJ5560" s="3">
        <v>42517</v>
      </c>
      <c r="BK5560" t="s">
        <v>123</v>
      </c>
      <c r="BL5560" t="str">
        <f>"2016.369146"</f>
        <v>2016.369146</v>
      </c>
      <c r="BM5560" t="s">
        <v>175</v>
      </c>
      <c r="BO5560" t="s">
        <v>34176</v>
      </c>
      <c r="BS5560">
        <v>30</v>
      </c>
      <c r="BW5560" t="str">
        <f>""</f>
        <v/>
      </c>
      <c r="CH5560" t="str">
        <f>""</f>
        <v/>
      </c>
      <c r="CS5560" t="str">
        <f>""</f>
        <v/>
      </c>
    </row>
    <row r="5561" spans="1:97" x14ac:dyDescent="0.25">
      <c r="A5561" t="s">
        <v>1444</v>
      </c>
      <c r="B5561" t="s">
        <v>12855</v>
      </c>
      <c r="C5561" t="s">
        <v>10133</v>
      </c>
      <c r="D5561" t="s">
        <v>12855</v>
      </c>
      <c r="E5561" t="s">
        <v>34177</v>
      </c>
      <c r="F5561" t="s">
        <v>108</v>
      </c>
      <c r="H5561" t="s">
        <v>34178</v>
      </c>
      <c r="I5561" t="s">
        <v>499</v>
      </c>
      <c r="J5561" t="s">
        <v>111</v>
      </c>
      <c r="K5561" t="str">
        <f>"85338"</f>
        <v>85338</v>
      </c>
      <c r="L5561" t="s">
        <v>6431</v>
      </c>
      <c r="M5561" t="s">
        <v>34178</v>
      </c>
      <c r="N5561" t="s">
        <v>499</v>
      </c>
      <c r="O5561" t="s">
        <v>111</v>
      </c>
      <c r="P5561" t="str">
        <f>"85338-7396"</f>
        <v>85338-7396</v>
      </c>
      <c r="Q5561" t="s">
        <v>113</v>
      </c>
      <c r="R5561" t="str">
        <f>"500-97-496"</f>
        <v>500-97-496</v>
      </c>
      <c r="S5561" t="s">
        <v>34179</v>
      </c>
      <c r="U5561">
        <v>2334</v>
      </c>
      <c r="V5561">
        <v>0</v>
      </c>
      <c r="W5561">
        <v>5</v>
      </c>
      <c r="X5561">
        <v>2013</v>
      </c>
      <c r="Z5561">
        <v>2</v>
      </c>
      <c r="AB5561">
        <v>0</v>
      </c>
      <c r="AC5561" t="s">
        <v>115</v>
      </c>
      <c r="AD5561">
        <v>2</v>
      </c>
      <c r="AE5561" t="s">
        <v>115</v>
      </c>
      <c r="AF5561">
        <v>0</v>
      </c>
      <c r="AG5561">
        <v>0</v>
      </c>
      <c r="AH5561" t="s">
        <v>116</v>
      </c>
      <c r="AI5561" s="1">
        <v>20864</v>
      </c>
      <c r="AJ5561" s="2">
        <v>7.0000000000000007E-2</v>
      </c>
      <c r="AK5561" s="1">
        <v>285644</v>
      </c>
      <c r="AL5561" t="s">
        <v>117</v>
      </c>
      <c r="AM5561" t="s">
        <v>118</v>
      </c>
      <c r="AN5561">
        <v>7179</v>
      </c>
      <c r="AO5561">
        <v>0.16</v>
      </c>
      <c r="AR5561">
        <v>1</v>
      </c>
      <c r="AS5561" s="1">
        <v>20280</v>
      </c>
      <c r="AT5561" s="1">
        <v>4050</v>
      </c>
      <c r="AU5561" s="1">
        <v>16230</v>
      </c>
      <c r="AV5561">
        <v>80.03</v>
      </c>
      <c r="AX5561" s="1">
        <v>2021.88</v>
      </c>
      <c r="AY5561" t="s">
        <v>6319</v>
      </c>
      <c r="AZ5561" t="s">
        <v>6319</v>
      </c>
      <c r="BA5561" t="s">
        <v>218</v>
      </c>
      <c r="BE5561" s="3">
        <v>42292</v>
      </c>
      <c r="BF5561" s="1">
        <v>267900</v>
      </c>
      <c r="BG5561" t="s">
        <v>34180</v>
      </c>
      <c r="BH5561" s="1">
        <v>114.78</v>
      </c>
      <c r="BI5561" s="1">
        <v>264780</v>
      </c>
      <c r="BJ5561" s="3">
        <v>43033</v>
      </c>
      <c r="BK5561" t="s">
        <v>123</v>
      </c>
      <c r="BL5561" t="str">
        <f>"2017.789458"</f>
        <v>2017.789458</v>
      </c>
      <c r="BM5561" t="s">
        <v>8621</v>
      </c>
      <c r="BO5561" t="s">
        <v>34181</v>
      </c>
      <c r="BS5561">
        <v>30</v>
      </c>
      <c r="BW5561" t="str">
        <f>""</f>
        <v/>
      </c>
      <c r="CH5561" t="str">
        <f>""</f>
        <v/>
      </c>
      <c r="CS5561" t="str">
        <f>""</f>
        <v/>
      </c>
    </row>
    <row r="5562" spans="1:97" x14ac:dyDescent="0.25">
      <c r="A5562" t="s">
        <v>2776</v>
      </c>
      <c r="B5562" t="s">
        <v>34182</v>
      </c>
      <c r="E5562" t="s">
        <v>34183</v>
      </c>
      <c r="F5562" t="s">
        <v>108</v>
      </c>
      <c r="H5562" t="s">
        <v>34184</v>
      </c>
      <c r="I5562" t="s">
        <v>390</v>
      </c>
      <c r="J5562" t="s">
        <v>111</v>
      </c>
      <c r="K5562" t="str">
        <f>"85041"</f>
        <v>85041</v>
      </c>
      <c r="L5562" t="s">
        <v>6891</v>
      </c>
      <c r="M5562" t="s">
        <v>34184</v>
      </c>
      <c r="N5562" t="s">
        <v>390</v>
      </c>
      <c r="O5562" t="s">
        <v>111</v>
      </c>
      <c r="P5562" t="str">
        <f>"85041-6200"</f>
        <v>85041-6200</v>
      </c>
      <c r="Q5562" t="s">
        <v>113</v>
      </c>
      <c r="R5562" t="str">
        <f>"105-88-883"</f>
        <v>105-88-883</v>
      </c>
      <c r="S5562" t="s">
        <v>16123</v>
      </c>
      <c r="T5562" t="s">
        <v>15660</v>
      </c>
      <c r="U5562">
        <v>3466</v>
      </c>
      <c r="V5562">
        <v>0</v>
      </c>
      <c r="W5562">
        <v>5</v>
      </c>
      <c r="X5562">
        <v>2014</v>
      </c>
      <c r="Z5562">
        <v>2</v>
      </c>
      <c r="AB5562">
        <v>0</v>
      </c>
      <c r="AC5562" t="s">
        <v>115</v>
      </c>
      <c r="AD5562">
        <v>2</v>
      </c>
      <c r="AE5562" t="s">
        <v>115</v>
      </c>
      <c r="AF5562">
        <v>0</v>
      </c>
      <c r="AG5562">
        <v>0</v>
      </c>
      <c r="AH5562" t="s">
        <v>116</v>
      </c>
      <c r="AI5562" s="1">
        <v>120343</v>
      </c>
      <c r="AJ5562" s="2">
        <v>0.33</v>
      </c>
      <c r="AK5562" s="1">
        <v>368893</v>
      </c>
      <c r="AL5562" t="s">
        <v>117</v>
      </c>
      <c r="AM5562" t="s">
        <v>760</v>
      </c>
      <c r="AN5562">
        <v>7174</v>
      </c>
      <c r="AO5562">
        <v>0.16</v>
      </c>
      <c r="AR5562">
        <v>1</v>
      </c>
      <c r="AS5562" s="1">
        <v>27150</v>
      </c>
      <c r="AT5562" s="1">
        <v>5430</v>
      </c>
      <c r="AU5562" s="1">
        <v>21720</v>
      </c>
      <c r="AV5562">
        <v>80</v>
      </c>
      <c r="AX5562" s="1">
        <v>3626.24</v>
      </c>
      <c r="AY5562" t="s">
        <v>5220</v>
      </c>
      <c r="AZ5562" t="s">
        <v>5220</v>
      </c>
      <c r="BA5562" t="s">
        <v>1661</v>
      </c>
      <c r="BE5562" s="3">
        <v>42003</v>
      </c>
      <c r="BF5562" s="1">
        <v>312819</v>
      </c>
      <c r="BG5562" t="s">
        <v>158</v>
      </c>
      <c r="BH5562" s="1">
        <v>94.42</v>
      </c>
      <c r="BI5562" s="1">
        <v>248550</v>
      </c>
      <c r="BJ5562" s="3">
        <v>42702</v>
      </c>
      <c r="BK5562" t="s">
        <v>123</v>
      </c>
      <c r="BL5562" t="str">
        <f>"2016.871041"</f>
        <v>2016.871041</v>
      </c>
      <c r="BM5562" t="s">
        <v>724</v>
      </c>
      <c r="BO5562" t="s">
        <v>34185</v>
      </c>
      <c r="BS5562">
        <v>15</v>
      </c>
      <c r="BW5562" t="str">
        <f>""</f>
        <v/>
      </c>
      <c r="CH5562" t="str">
        <f>""</f>
        <v/>
      </c>
      <c r="CS5562" t="str">
        <f>""</f>
        <v/>
      </c>
    </row>
    <row r="5563" spans="1:97" x14ac:dyDescent="0.25">
      <c r="A5563" t="s">
        <v>976</v>
      </c>
      <c r="B5563" t="s">
        <v>22399</v>
      </c>
      <c r="E5563" t="s">
        <v>34186</v>
      </c>
      <c r="F5563" t="s">
        <v>108</v>
      </c>
      <c r="H5563" t="s">
        <v>34187</v>
      </c>
      <c r="I5563" t="s">
        <v>110</v>
      </c>
      <c r="J5563" t="s">
        <v>111</v>
      </c>
      <c r="K5563" t="str">
        <f>"85224"</f>
        <v>85224</v>
      </c>
      <c r="L5563" t="s">
        <v>11566</v>
      </c>
      <c r="M5563" t="s">
        <v>34187</v>
      </c>
      <c r="N5563" t="s">
        <v>110</v>
      </c>
      <c r="O5563" t="s">
        <v>111</v>
      </c>
      <c r="P5563" t="str">
        <f>"85224-6127"</f>
        <v>85224-6127</v>
      </c>
      <c r="Q5563" t="s">
        <v>113</v>
      </c>
      <c r="R5563" t="str">
        <f>"303-24-038"</f>
        <v>303-24-038</v>
      </c>
      <c r="S5563" t="s">
        <v>34188</v>
      </c>
      <c r="T5563" t="s">
        <v>34188</v>
      </c>
      <c r="U5563">
        <v>1568</v>
      </c>
      <c r="V5563">
        <v>0</v>
      </c>
      <c r="W5563">
        <v>2</v>
      </c>
      <c r="X5563">
        <v>1975</v>
      </c>
      <c r="Z5563">
        <v>1</v>
      </c>
      <c r="AA5563" t="s">
        <v>26</v>
      </c>
      <c r="AB5563">
        <v>0</v>
      </c>
      <c r="AC5563" t="s">
        <v>5188</v>
      </c>
      <c r="AD5563">
        <v>1</v>
      </c>
      <c r="AE5563" t="s">
        <v>5188</v>
      </c>
      <c r="AF5563">
        <v>0</v>
      </c>
      <c r="AG5563">
        <v>0</v>
      </c>
      <c r="AH5563" t="s">
        <v>116</v>
      </c>
      <c r="AI5563" s="1">
        <v>76690</v>
      </c>
      <c r="AJ5563" s="2">
        <v>0.26</v>
      </c>
      <c r="AK5563" s="1">
        <v>290521</v>
      </c>
      <c r="AL5563" t="s">
        <v>117</v>
      </c>
      <c r="AM5563" t="s">
        <v>5077</v>
      </c>
      <c r="AN5563">
        <v>8925</v>
      </c>
      <c r="AO5563">
        <v>0.2</v>
      </c>
      <c r="AP5563">
        <v>1</v>
      </c>
      <c r="AR5563">
        <v>1</v>
      </c>
      <c r="AS5563" s="1">
        <v>20420</v>
      </c>
      <c r="AT5563" s="1">
        <v>4080</v>
      </c>
      <c r="AU5563" s="1">
        <v>16340</v>
      </c>
      <c r="AV5563">
        <v>80.02</v>
      </c>
      <c r="AX5563" s="1">
        <v>1166.3599999999999</v>
      </c>
      <c r="AY5563" t="s">
        <v>6015</v>
      </c>
      <c r="AZ5563" t="s">
        <v>5078</v>
      </c>
      <c r="BA5563" t="s">
        <v>121</v>
      </c>
      <c r="BE5563" s="3">
        <v>42531</v>
      </c>
      <c r="BF5563" s="1">
        <v>207000</v>
      </c>
      <c r="BG5563" t="s">
        <v>34189</v>
      </c>
      <c r="BH5563" s="1">
        <v>132.02000000000001</v>
      </c>
      <c r="BI5563" s="1">
        <v>213831</v>
      </c>
      <c r="BJ5563" s="3">
        <v>42531</v>
      </c>
      <c r="BK5563" t="s">
        <v>123</v>
      </c>
      <c r="BL5563" t="str">
        <f>"2016.404328"</f>
        <v>2016.404328</v>
      </c>
      <c r="BM5563" t="s">
        <v>1154</v>
      </c>
      <c r="BO5563" t="s">
        <v>34190</v>
      </c>
      <c r="BS5563">
        <v>30</v>
      </c>
      <c r="BW5563" t="str">
        <f>""</f>
        <v/>
      </c>
      <c r="CH5563" t="str">
        <f>""</f>
        <v/>
      </c>
      <c r="CS5563" t="str">
        <f>""</f>
        <v/>
      </c>
    </row>
    <row r="5564" spans="1:97" x14ac:dyDescent="0.25">
      <c r="A5564" t="s">
        <v>701</v>
      </c>
      <c r="B5564" t="s">
        <v>34191</v>
      </c>
      <c r="C5564" t="s">
        <v>852</v>
      </c>
      <c r="D5564" t="s">
        <v>34191</v>
      </c>
      <c r="E5564" t="s">
        <v>34192</v>
      </c>
      <c r="F5564" t="s">
        <v>108</v>
      </c>
      <c r="H5564" t="s">
        <v>34193</v>
      </c>
      <c r="I5564" t="s">
        <v>3150</v>
      </c>
      <c r="J5564" t="s">
        <v>111</v>
      </c>
      <c r="K5564" t="str">
        <f>"85340"</f>
        <v>85340</v>
      </c>
      <c r="L5564" t="s">
        <v>2765</v>
      </c>
      <c r="M5564" t="s">
        <v>34193</v>
      </c>
      <c r="N5564" t="s">
        <v>3150</v>
      </c>
      <c r="O5564" t="s">
        <v>111</v>
      </c>
      <c r="P5564" t="str">
        <f>"85340-6248"</f>
        <v>85340-6248</v>
      </c>
      <c r="Q5564" t="s">
        <v>113</v>
      </c>
      <c r="R5564" t="str">
        <f>"502-27-600"</f>
        <v>502-27-600</v>
      </c>
      <c r="S5564" t="s">
        <v>7560</v>
      </c>
      <c r="T5564" t="s">
        <v>7560</v>
      </c>
      <c r="U5564">
        <v>2342</v>
      </c>
      <c r="V5564">
        <v>0</v>
      </c>
      <c r="W5564">
        <v>3</v>
      </c>
      <c r="X5564">
        <v>2008</v>
      </c>
      <c r="Z5564">
        <v>1</v>
      </c>
      <c r="AB5564">
        <v>0</v>
      </c>
      <c r="AC5564" t="s">
        <v>115</v>
      </c>
      <c r="AD5564">
        <v>2</v>
      </c>
      <c r="AE5564" t="s">
        <v>115</v>
      </c>
      <c r="AF5564">
        <v>0</v>
      </c>
      <c r="AG5564">
        <v>0</v>
      </c>
      <c r="AH5564" t="s">
        <v>116</v>
      </c>
      <c r="AI5564" s="1">
        <v>80252</v>
      </c>
      <c r="AJ5564" s="2">
        <v>0.22</v>
      </c>
      <c r="AK5564" s="1">
        <v>365252</v>
      </c>
      <c r="AL5564" t="s">
        <v>117</v>
      </c>
      <c r="AM5564" t="s">
        <v>1302</v>
      </c>
      <c r="AN5564">
        <v>12761</v>
      </c>
      <c r="AO5564">
        <v>0.28999999999999998</v>
      </c>
      <c r="AR5564">
        <v>1</v>
      </c>
      <c r="AS5564" s="1">
        <v>24020</v>
      </c>
      <c r="AT5564" s="1">
        <v>4800</v>
      </c>
      <c r="AU5564" s="1">
        <v>19220</v>
      </c>
      <c r="AV5564">
        <v>80.02</v>
      </c>
      <c r="AX5564" s="1">
        <v>2650.76</v>
      </c>
      <c r="AY5564" t="s">
        <v>503</v>
      </c>
      <c r="AZ5564" t="s">
        <v>504</v>
      </c>
      <c r="BA5564" t="s">
        <v>218</v>
      </c>
      <c r="BE5564" s="3">
        <v>42374</v>
      </c>
      <c r="BF5564" s="1">
        <v>285000</v>
      </c>
      <c r="BG5564" t="s">
        <v>34194</v>
      </c>
      <c r="BH5564" s="1">
        <v>121.69</v>
      </c>
      <c r="BI5564" s="1">
        <v>285000</v>
      </c>
      <c r="BJ5564" s="3">
        <v>42374</v>
      </c>
      <c r="BK5564" t="s">
        <v>123</v>
      </c>
      <c r="BL5564" t="str">
        <f>"2016.5069"</f>
        <v>2016.5069</v>
      </c>
      <c r="BM5564" t="s">
        <v>34195</v>
      </c>
      <c r="BO5564" t="s">
        <v>34196</v>
      </c>
      <c r="BS5564">
        <v>30</v>
      </c>
      <c r="BW5564" t="str">
        <f>""</f>
        <v/>
      </c>
      <c r="CH5564" t="str">
        <f>""</f>
        <v/>
      </c>
      <c r="CS5564" t="str">
        <f>""</f>
        <v/>
      </c>
    </row>
    <row r="5565" spans="1:97" x14ac:dyDescent="0.25">
      <c r="A5565" t="s">
        <v>20729</v>
      </c>
      <c r="B5565" t="s">
        <v>34197</v>
      </c>
      <c r="C5565" t="s">
        <v>10172</v>
      </c>
      <c r="D5565" t="s">
        <v>34197</v>
      </c>
      <c r="E5565" t="s">
        <v>34198</v>
      </c>
      <c r="F5565" t="s">
        <v>108</v>
      </c>
      <c r="H5565" t="s">
        <v>34199</v>
      </c>
      <c r="I5565" t="s">
        <v>203</v>
      </c>
      <c r="J5565" t="s">
        <v>111</v>
      </c>
      <c r="K5565" t="str">
        <f>"85296"</f>
        <v>85296</v>
      </c>
      <c r="L5565" t="s">
        <v>774</v>
      </c>
      <c r="M5565" t="s">
        <v>34199</v>
      </c>
      <c r="N5565" t="s">
        <v>203</v>
      </c>
      <c r="O5565" t="s">
        <v>111</v>
      </c>
      <c r="P5565" t="str">
        <f>"85296-2910"</f>
        <v>85296-2910</v>
      </c>
      <c r="Q5565" t="s">
        <v>113</v>
      </c>
      <c r="R5565" t="str">
        <f>"304-23-517"</f>
        <v>304-23-517</v>
      </c>
      <c r="S5565" t="s">
        <v>34200</v>
      </c>
      <c r="T5565" t="s">
        <v>34201</v>
      </c>
      <c r="U5565">
        <v>2220</v>
      </c>
      <c r="V5565">
        <v>0</v>
      </c>
      <c r="W5565">
        <v>4</v>
      </c>
      <c r="X5565">
        <v>1989</v>
      </c>
      <c r="Z5565">
        <v>2</v>
      </c>
      <c r="AA5565" t="s">
        <v>26</v>
      </c>
      <c r="AB5565">
        <v>0</v>
      </c>
      <c r="AC5565" t="s">
        <v>115</v>
      </c>
      <c r="AD5565">
        <v>2</v>
      </c>
      <c r="AE5565" t="s">
        <v>115</v>
      </c>
      <c r="AF5565">
        <v>0</v>
      </c>
      <c r="AG5565">
        <v>0</v>
      </c>
      <c r="AH5565" t="s">
        <v>116</v>
      </c>
      <c r="AI5565" s="1">
        <v>27834</v>
      </c>
      <c r="AJ5565" s="2">
        <v>0.08</v>
      </c>
      <c r="AK5565" s="1">
        <v>360460</v>
      </c>
      <c r="AL5565" t="s">
        <v>117</v>
      </c>
      <c r="AM5565" t="s">
        <v>393</v>
      </c>
      <c r="AN5565">
        <v>7662</v>
      </c>
      <c r="AO5565">
        <v>0.18</v>
      </c>
      <c r="AP5565">
        <v>1</v>
      </c>
      <c r="AR5565">
        <v>1</v>
      </c>
      <c r="AS5565" s="1">
        <v>25110</v>
      </c>
      <c r="AT5565" s="1">
        <v>5020</v>
      </c>
      <c r="AU5565" s="1">
        <v>20090</v>
      </c>
      <c r="AV5565">
        <v>80.010000000000005</v>
      </c>
      <c r="AX5565" s="1">
        <v>2049.2199999999998</v>
      </c>
      <c r="AY5565" t="s">
        <v>7837</v>
      </c>
      <c r="AZ5565" t="s">
        <v>5478</v>
      </c>
      <c r="BA5565" t="s">
        <v>5033</v>
      </c>
      <c r="BE5565" s="3">
        <v>42181</v>
      </c>
      <c r="BF5565" s="1">
        <v>284950</v>
      </c>
      <c r="BG5565" t="s">
        <v>34202</v>
      </c>
      <c r="BH5565" s="1">
        <v>128.36000000000001</v>
      </c>
      <c r="BI5565" s="1">
        <v>332626</v>
      </c>
      <c r="BJ5565" s="3">
        <v>43028</v>
      </c>
      <c r="BK5565" t="s">
        <v>123</v>
      </c>
      <c r="BL5565" t="str">
        <f>"2017.778738"</f>
        <v>2017.778738</v>
      </c>
      <c r="BM5565" t="s">
        <v>6604</v>
      </c>
      <c r="BO5565" t="s">
        <v>34203</v>
      </c>
      <c r="BS5565">
        <v>30</v>
      </c>
      <c r="BW5565" t="str">
        <f>""</f>
        <v/>
      </c>
      <c r="CH5565" t="str">
        <f>""</f>
        <v/>
      </c>
      <c r="CS5565" t="str">
        <f>""</f>
        <v/>
      </c>
    </row>
    <row r="5566" spans="1:97" x14ac:dyDescent="0.25">
      <c r="A5566" t="s">
        <v>19388</v>
      </c>
      <c r="B5566" t="s">
        <v>3627</v>
      </c>
      <c r="C5566" t="s">
        <v>355</v>
      </c>
      <c r="D5566" t="s">
        <v>3627</v>
      </c>
      <c r="E5566" t="s">
        <v>34204</v>
      </c>
      <c r="F5566" t="s">
        <v>108</v>
      </c>
      <c r="H5566" t="s">
        <v>34205</v>
      </c>
      <c r="I5566" t="s">
        <v>225</v>
      </c>
      <c r="J5566" t="s">
        <v>111</v>
      </c>
      <c r="K5566" t="str">
        <f>"85215"</f>
        <v>85215</v>
      </c>
      <c r="L5566" t="s">
        <v>5021</v>
      </c>
      <c r="M5566" t="s">
        <v>34205</v>
      </c>
      <c r="N5566" t="s">
        <v>225</v>
      </c>
      <c r="O5566" t="s">
        <v>111</v>
      </c>
      <c r="P5566" t="str">
        <f>"85215-1624"</f>
        <v>85215-1624</v>
      </c>
      <c r="Q5566" t="s">
        <v>113</v>
      </c>
      <c r="R5566" t="str">
        <f>"141-67-034"</f>
        <v>141-67-034</v>
      </c>
      <c r="S5566" t="s">
        <v>22582</v>
      </c>
      <c r="T5566" t="s">
        <v>22583</v>
      </c>
      <c r="U5566">
        <v>1725</v>
      </c>
      <c r="V5566">
        <v>0</v>
      </c>
      <c r="W5566">
        <v>3</v>
      </c>
      <c r="X5566">
        <v>1989</v>
      </c>
      <c r="Z5566">
        <v>1</v>
      </c>
      <c r="AB5566">
        <v>0</v>
      </c>
      <c r="AC5566" t="s">
        <v>115</v>
      </c>
      <c r="AD5566">
        <v>2</v>
      </c>
      <c r="AE5566" t="s">
        <v>115</v>
      </c>
      <c r="AF5566">
        <v>0</v>
      </c>
      <c r="AG5566">
        <v>0</v>
      </c>
      <c r="AH5566" t="s">
        <v>116</v>
      </c>
      <c r="AI5566" s="1">
        <v>40359</v>
      </c>
      <c r="AJ5566" s="2">
        <v>0.13</v>
      </c>
      <c r="AK5566" s="1">
        <v>303169</v>
      </c>
      <c r="AL5566" t="s">
        <v>117</v>
      </c>
      <c r="AM5566" t="s">
        <v>191</v>
      </c>
      <c r="AN5566">
        <v>8342</v>
      </c>
      <c r="AO5566">
        <v>0.19</v>
      </c>
      <c r="AP5566">
        <v>1</v>
      </c>
      <c r="AR5566">
        <v>1</v>
      </c>
      <c r="AS5566" s="1">
        <v>20330</v>
      </c>
      <c r="AT5566" s="1">
        <v>4060</v>
      </c>
      <c r="AU5566" s="1">
        <v>16270</v>
      </c>
      <c r="AV5566">
        <v>80.03</v>
      </c>
      <c r="AX5566" s="1">
        <v>1545.06</v>
      </c>
      <c r="AY5566" t="s">
        <v>6662</v>
      </c>
      <c r="AZ5566" t="s">
        <v>5275</v>
      </c>
      <c r="BA5566" t="s">
        <v>3119</v>
      </c>
      <c r="BE5566" s="3">
        <v>42083</v>
      </c>
      <c r="BF5566" s="1">
        <v>198500</v>
      </c>
      <c r="BG5566" t="s">
        <v>34206</v>
      </c>
      <c r="BH5566" s="1">
        <v>115.07</v>
      </c>
      <c r="BI5566" s="1">
        <v>262810</v>
      </c>
      <c r="BJ5566" s="3">
        <v>43494</v>
      </c>
      <c r="BK5566" t="s">
        <v>123</v>
      </c>
      <c r="BL5566" t="str">
        <f>"2019.61937"</f>
        <v>2019.61937</v>
      </c>
      <c r="BM5566" t="s">
        <v>533</v>
      </c>
      <c r="BN5566" t="s">
        <v>534</v>
      </c>
      <c r="BO5566" t="s">
        <v>34207</v>
      </c>
      <c r="BP5566" t="s">
        <v>34208</v>
      </c>
      <c r="BR5566" t="s">
        <v>139</v>
      </c>
      <c r="BW5566" t="str">
        <f>""</f>
        <v/>
      </c>
      <c r="CH5566" t="str">
        <f>""</f>
        <v/>
      </c>
      <c r="CS5566" t="str">
        <f>""</f>
        <v/>
      </c>
    </row>
    <row r="5567" spans="1:97" x14ac:dyDescent="0.25">
      <c r="A5567" t="s">
        <v>203</v>
      </c>
      <c r="B5567" t="s">
        <v>802</v>
      </c>
      <c r="C5567" t="s">
        <v>34209</v>
      </c>
      <c r="D5567" t="s">
        <v>802</v>
      </c>
      <c r="E5567" t="s">
        <v>34210</v>
      </c>
      <c r="F5567" t="s">
        <v>108</v>
      </c>
      <c r="H5567" t="s">
        <v>34211</v>
      </c>
      <c r="I5567" t="s">
        <v>499</v>
      </c>
      <c r="J5567" t="s">
        <v>111</v>
      </c>
      <c r="K5567" t="str">
        <f>"85338"</f>
        <v>85338</v>
      </c>
      <c r="L5567" t="s">
        <v>6431</v>
      </c>
      <c r="M5567" t="s">
        <v>34211</v>
      </c>
      <c r="N5567" t="s">
        <v>499</v>
      </c>
      <c r="O5567" t="s">
        <v>111</v>
      </c>
      <c r="P5567" t="str">
        <f>"85338-7408"</f>
        <v>85338-7408</v>
      </c>
      <c r="Q5567" t="s">
        <v>113</v>
      </c>
      <c r="R5567" t="str">
        <f>"500-97-291"</f>
        <v>500-97-291</v>
      </c>
      <c r="S5567" t="s">
        <v>6708</v>
      </c>
      <c r="U5567">
        <v>2491</v>
      </c>
      <c r="V5567">
        <v>0</v>
      </c>
      <c r="W5567">
        <v>4</v>
      </c>
      <c r="X5567">
        <v>2007</v>
      </c>
      <c r="Z5567">
        <v>2</v>
      </c>
      <c r="AB5567">
        <v>0</v>
      </c>
      <c r="AC5567" t="s">
        <v>115</v>
      </c>
      <c r="AD5567">
        <v>3</v>
      </c>
      <c r="AE5567" t="s">
        <v>115</v>
      </c>
      <c r="AF5567">
        <v>0</v>
      </c>
      <c r="AG5567">
        <v>0</v>
      </c>
      <c r="AH5567" t="s">
        <v>116</v>
      </c>
      <c r="AI5567" s="1">
        <v>65284</v>
      </c>
      <c r="AJ5567" s="2">
        <v>0.22</v>
      </c>
      <c r="AK5567" s="1">
        <v>292784</v>
      </c>
      <c r="AL5567" t="s">
        <v>117</v>
      </c>
      <c r="AM5567" t="s">
        <v>118</v>
      </c>
      <c r="AN5567">
        <v>7371</v>
      </c>
      <c r="AO5567">
        <v>0.17</v>
      </c>
      <c r="AR5567">
        <v>1</v>
      </c>
      <c r="AS5567" s="1">
        <v>20750</v>
      </c>
      <c r="AT5567" s="1">
        <v>4150</v>
      </c>
      <c r="AU5567" s="1">
        <v>16600</v>
      </c>
      <c r="AV5567">
        <v>80</v>
      </c>
      <c r="AX5567" s="1">
        <v>2117</v>
      </c>
      <c r="AY5567" t="s">
        <v>6319</v>
      </c>
      <c r="AZ5567" t="s">
        <v>6319</v>
      </c>
      <c r="BA5567" t="s">
        <v>218</v>
      </c>
      <c r="BE5567" s="3">
        <v>42342</v>
      </c>
      <c r="BF5567" s="1">
        <v>227500</v>
      </c>
      <c r="BG5567" t="s">
        <v>34212</v>
      </c>
      <c r="BH5567" s="1">
        <v>91.33</v>
      </c>
      <c r="BI5567" s="1">
        <v>227500</v>
      </c>
      <c r="BJ5567" s="3">
        <v>42342</v>
      </c>
      <c r="BK5567" t="s">
        <v>123</v>
      </c>
      <c r="BL5567" t="str">
        <f>"2015.862453"</f>
        <v>2015.862453</v>
      </c>
      <c r="BM5567" t="s">
        <v>1185</v>
      </c>
      <c r="BO5567" t="s">
        <v>34213</v>
      </c>
      <c r="BS5567">
        <v>30</v>
      </c>
      <c r="BW5567" t="str">
        <f>""</f>
        <v/>
      </c>
      <c r="CH5567" t="str">
        <f>""</f>
        <v/>
      </c>
      <c r="CS5567" t="str">
        <f>""</f>
        <v/>
      </c>
    </row>
    <row r="5568" spans="1:97" x14ac:dyDescent="0.25">
      <c r="A5568" t="s">
        <v>5940</v>
      </c>
      <c r="B5568" t="s">
        <v>18010</v>
      </c>
      <c r="C5568" t="s">
        <v>34214</v>
      </c>
      <c r="D5568" t="s">
        <v>18010</v>
      </c>
      <c r="E5568" t="s">
        <v>34215</v>
      </c>
      <c r="F5568" t="s">
        <v>108</v>
      </c>
      <c r="H5568" t="s">
        <v>34216</v>
      </c>
      <c r="I5568" t="s">
        <v>499</v>
      </c>
      <c r="J5568" t="s">
        <v>111</v>
      </c>
      <c r="K5568" t="str">
        <f>"85338"</f>
        <v>85338</v>
      </c>
      <c r="L5568" t="s">
        <v>6481</v>
      </c>
      <c r="M5568" t="s">
        <v>34216</v>
      </c>
      <c r="N5568" t="s">
        <v>499</v>
      </c>
      <c r="O5568" t="s">
        <v>111</v>
      </c>
      <c r="P5568" t="str">
        <f>"85338-2559"</f>
        <v>85338-2559</v>
      </c>
      <c r="Q5568" t="s">
        <v>113</v>
      </c>
      <c r="R5568" t="str">
        <f>"500-93-081"</f>
        <v>500-93-081</v>
      </c>
      <c r="S5568" t="s">
        <v>23455</v>
      </c>
      <c r="T5568" t="s">
        <v>23455</v>
      </c>
      <c r="U5568">
        <v>3180</v>
      </c>
      <c r="V5568">
        <v>0</v>
      </c>
      <c r="W5568">
        <v>5</v>
      </c>
      <c r="X5568">
        <v>2014</v>
      </c>
      <c r="Z5568">
        <v>2</v>
      </c>
      <c r="AB5568">
        <v>0</v>
      </c>
      <c r="AC5568" t="s">
        <v>115</v>
      </c>
      <c r="AD5568">
        <v>3</v>
      </c>
      <c r="AE5568" t="s">
        <v>115</v>
      </c>
      <c r="AF5568">
        <v>0</v>
      </c>
      <c r="AG5568">
        <v>0</v>
      </c>
      <c r="AH5568" t="s">
        <v>116</v>
      </c>
      <c r="AI5568" s="1">
        <v>40790</v>
      </c>
      <c r="AJ5568" s="2">
        <v>0.11</v>
      </c>
      <c r="AK5568" s="1">
        <v>355356</v>
      </c>
      <c r="AL5568" t="s">
        <v>117</v>
      </c>
      <c r="AM5568" t="s">
        <v>393</v>
      </c>
      <c r="AN5568">
        <v>8050</v>
      </c>
      <c r="AO5568">
        <v>0.18</v>
      </c>
      <c r="AR5568">
        <v>1</v>
      </c>
      <c r="AS5568" s="1">
        <v>25620</v>
      </c>
      <c r="AT5568" s="1">
        <v>5120</v>
      </c>
      <c r="AU5568" s="1">
        <v>20500</v>
      </c>
      <c r="AV5568">
        <v>80.02</v>
      </c>
      <c r="AX5568" s="1">
        <v>2175.36</v>
      </c>
      <c r="AY5568" t="s">
        <v>6319</v>
      </c>
      <c r="AZ5568" t="s">
        <v>6319</v>
      </c>
      <c r="BA5568" t="s">
        <v>7186</v>
      </c>
      <c r="BE5568" s="3">
        <v>41816</v>
      </c>
      <c r="BF5568" s="1">
        <v>304517</v>
      </c>
      <c r="BG5568" t="s">
        <v>2289</v>
      </c>
      <c r="BH5568" s="1">
        <v>95.76</v>
      </c>
      <c r="BI5568" s="1">
        <v>314566</v>
      </c>
      <c r="BJ5568" s="3">
        <v>41816</v>
      </c>
      <c r="BK5568" t="s">
        <v>123</v>
      </c>
      <c r="BL5568" t="str">
        <f>"2014.420718"</f>
        <v>2014.420718</v>
      </c>
      <c r="BM5568" t="s">
        <v>2290</v>
      </c>
      <c r="BO5568" t="s">
        <v>34217</v>
      </c>
      <c r="BP5568" t="s">
        <v>34218</v>
      </c>
      <c r="BS5568">
        <v>30</v>
      </c>
      <c r="BW5568" t="str">
        <f>""</f>
        <v/>
      </c>
      <c r="CH5568" t="str">
        <f>""</f>
        <v/>
      </c>
      <c r="CS5568" t="str">
        <f>""</f>
        <v/>
      </c>
    </row>
    <row r="5569" spans="1:97" x14ac:dyDescent="0.25">
      <c r="A5569" t="s">
        <v>34219</v>
      </c>
      <c r="B5569" t="s">
        <v>1089</v>
      </c>
      <c r="E5569" t="s">
        <v>34220</v>
      </c>
      <c r="F5569" t="s">
        <v>108</v>
      </c>
      <c r="H5569" t="s">
        <v>34221</v>
      </c>
      <c r="I5569" t="s">
        <v>390</v>
      </c>
      <c r="J5569" t="s">
        <v>111</v>
      </c>
      <c r="K5569" t="str">
        <f>"85053"</f>
        <v>85053</v>
      </c>
      <c r="L5569" t="s">
        <v>8199</v>
      </c>
      <c r="M5569" t="s">
        <v>34221</v>
      </c>
      <c r="N5569" t="s">
        <v>390</v>
      </c>
      <c r="O5569" t="s">
        <v>111</v>
      </c>
      <c r="P5569" t="str">
        <f>"85053-5818"</f>
        <v>85053-5818</v>
      </c>
      <c r="Q5569" t="s">
        <v>113</v>
      </c>
      <c r="R5569" t="str">
        <f>"207-07-440"</f>
        <v>207-07-440</v>
      </c>
      <c r="S5569" t="s">
        <v>34222</v>
      </c>
      <c r="T5569" t="s">
        <v>18696</v>
      </c>
      <c r="U5569">
        <v>1870</v>
      </c>
      <c r="V5569">
        <v>0</v>
      </c>
      <c r="W5569">
        <v>3</v>
      </c>
      <c r="X5569">
        <v>1978</v>
      </c>
      <c r="Z5569">
        <v>1</v>
      </c>
      <c r="AA5569" t="s">
        <v>26</v>
      </c>
      <c r="AB5569">
        <v>0</v>
      </c>
      <c r="AC5569" t="s">
        <v>115</v>
      </c>
      <c r="AD5569">
        <v>2</v>
      </c>
      <c r="AE5569" t="s">
        <v>115</v>
      </c>
      <c r="AF5569">
        <v>0</v>
      </c>
      <c r="AG5569">
        <v>0</v>
      </c>
      <c r="AH5569" t="s">
        <v>116</v>
      </c>
      <c r="AI5569" s="1">
        <v>46039</v>
      </c>
      <c r="AJ5569" s="2">
        <v>0.16</v>
      </c>
      <c r="AK5569" s="1">
        <v>285039</v>
      </c>
      <c r="AL5569" t="s">
        <v>117</v>
      </c>
      <c r="AM5569" t="s">
        <v>171</v>
      </c>
      <c r="AN5569">
        <v>8472</v>
      </c>
      <c r="AO5569">
        <v>0.19</v>
      </c>
      <c r="AP5569">
        <v>1</v>
      </c>
      <c r="AR5569">
        <v>1</v>
      </c>
      <c r="AS5569" s="1">
        <v>19900</v>
      </c>
      <c r="AT5569" s="1">
        <v>3980</v>
      </c>
      <c r="AU5569" s="1">
        <v>15920</v>
      </c>
      <c r="AV5569">
        <v>80</v>
      </c>
      <c r="AX5569" s="1">
        <v>1737.58</v>
      </c>
      <c r="AY5569" t="s">
        <v>18697</v>
      </c>
      <c r="AZ5569" t="s">
        <v>2997</v>
      </c>
      <c r="BA5569" t="s">
        <v>2998</v>
      </c>
      <c r="BB5569" s="3">
        <v>43402</v>
      </c>
      <c r="BC5569" s="1">
        <v>0</v>
      </c>
      <c r="BD5569" t="s">
        <v>291</v>
      </c>
      <c r="BE5569" s="3">
        <v>42545</v>
      </c>
      <c r="BF5569" s="1">
        <v>239000</v>
      </c>
      <c r="BG5569" t="s">
        <v>34223</v>
      </c>
      <c r="BH5569" s="1">
        <v>127.81</v>
      </c>
      <c r="BI5569" s="1">
        <v>239000</v>
      </c>
      <c r="BJ5569" s="3">
        <v>42545</v>
      </c>
      <c r="BK5569" t="s">
        <v>123</v>
      </c>
      <c r="BL5569" t="str">
        <f>"2016.444130"</f>
        <v>2016.444130</v>
      </c>
      <c r="BM5569" t="s">
        <v>175</v>
      </c>
      <c r="BN5569" t="s">
        <v>132</v>
      </c>
      <c r="BO5569" t="s">
        <v>34224</v>
      </c>
      <c r="BS5569">
        <v>30</v>
      </c>
      <c r="BW5569" t="str">
        <f>""</f>
        <v/>
      </c>
      <c r="CH5569" t="str">
        <f>""</f>
        <v/>
      </c>
      <c r="CS5569" t="str">
        <f>""</f>
        <v/>
      </c>
    </row>
    <row r="5570" spans="1:97" x14ac:dyDescent="0.25">
      <c r="A5570" t="s">
        <v>34225</v>
      </c>
      <c r="B5570" t="s">
        <v>34226</v>
      </c>
      <c r="E5570" t="s">
        <v>34227</v>
      </c>
      <c r="F5570" t="s">
        <v>108</v>
      </c>
      <c r="H5570" t="s">
        <v>34228</v>
      </c>
      <c r="I5570" t="s">
        <v>390</v>
      </c>
      <c r="J5570" t="s">
        <v>111</v>
      </c>
      <c r="K5570" t="str">
        <f>"85029"</f>
        <v>85029</v>
      </c>
      <c r="L5570" t="s">
        <v>7695</v>
      </c>
      <c r="M5570" t="s">
        <v>34228</v>
      </c>
      <c r="N5570" t="s">
        <v>390</v>
      </c>
      <c r="O5570" t="s">
        <v>111</v>
      </c>
      <c r="P5570" t="str">
        <f>"85029-1012"</f>
        <v>85029-1012</v>
      </c>
      <c r="Q5570" t="s">
        <v>113</v>
      </c>
      <c r="R5570" t="str">
        <f>"149-26-361"</f>
        <v>149-26-361</v>
      </c>
      <c r="S5570" t="s">
        <v>34229</v>
      </c>
      <c r="T5570" t="s">
        <v>16028</v>
      </c>
      <c r="U5570">
        <v>1989</v>
      </c>
      <c r="V5570">
        <v>0</v>
      </c>
      <c r="W5570">
        <v>3</v>
      </c>
      <c r="X5570">
        <v>1983</v>
      </c>
      <c r="Z5570">
        <v>1</v>
      </c>
      <c r="AA5570" t="s">
        <v>26</v>
      </c>
      <c r="AB5570">
        <v>0</v>
      </c>
      <c r="AC5570" t="s">
        <v>115</v>
      </c>
      <c r="AD5570">
        <v>2</v>
      </c>
      <c r="AE5570" t="s">
        <v>115</v>
      </c>
      <c r="AF5570">
        <v>0</v>
      </c>
      <c r="AG5570">
        <v>0</v>
      </c>
      <c r="AH5570" t="s">
        <v>116</v>
      </c>
      <c r="AI5570" s="1">
        <v>58204</v>
      </c>
      <c r="AJ5570" s="2">
        <v>0.2</v>
      </c>
      <c r="AK5570" s="1">
        <v>293104</v>
      </c>
      <c r="AL5570" t="s">
        <v>117</v>
      </c>
      <c r="AM5570" t="s">
        <v>171</v>
      </c>
      <c r="AN5570">
        <v>9331</v>
      </c>
      <c r="AO5570">
        <v>0.21</v>
      </c>
      <c r="AP5570">
        <v>1</v>
      </c>
      <c r="AR5570">
        <v>1</v>
      </c>
      <c r="AS5570" s="1">
        <v>21650</v>
      </c>
      <c r="AT5570" s="1">
        <v>4330</v>
      </c>
      <c r="AU5570" s="1">
        <v>17320</v>
      </c>
      <c r="AV5570">
        <v>80</v>
      </c>
      <c r="AX5570" s="1">
        <v>1951.94</v>
      </c>
      <c r="AY5570" t="s">
        <v>5087</v>
      </c>
      <c r="AZ5570" t="s">
        <v>2997</v>
      </c>
      <c r="BA5570" t="s">
        <v>2998</v>
      </c>
      <c r="BE5570" s="3">
        <v>42524</v>
      </c>
      <c r="BF5570" s="1">
        <v>230000</v>
      </c>
      <c r="BG5570" t="s">
        <v>34230</v>
      </c>
      <c r="BH5570" s="1">
        <v>115.64</v>
      </c>
      <c r="BI5570" s="1">
        <v>234900</v>
      </c>
      <c r="BJ5570" s="3">
        <v>42524</v>
      </c>
      <c r="BK5570" t="s">
        <v>123</v>
      </c>
      <c r="BL5570" t="str">
        <f>"2016.384235"</f>
        <v>2016.384235</v>
      </c>
      <c r="BM5570" t="s">
        <v>1192</v>
      </c>
      <c r="BO5570" t="s">
        <v>34231</v>
      </c>
      <c r="BS5570">
        <v>30</v>
      </c>
      <c r="BW5570" t="str">
        <f>""</f>
        <v/>
      </c>
      <c r="CH5570" t="str">
        <f>""</f>
        <v/>
      </c>
      <c r="CS5570" t="str">
        <f>""</f>
        <v/>
      </c>
    </row>
    <row r="5571" spans="1:97" x14ac:dyDescent="0.25">
      <c r="A5571" t="s">
        <v>3221</v>
      </c>
      <c r="B5571" t="s">
        <v>3158</v>
      </c>
      <c r="E5571" t="s">
        <v>34232</v>
      </c>
      <c r="F5571" t="s">
        <v>108</v>
      </c>
      <c r="H5571" t="s">
        <v>34233</v>
      </c>
      <c r="I5571" t="s">
        <v>225</v>
      </c>
      <c r="J5571" t="s">
        <v>111</v>
      </c>
      <c r="K5571" t="str">
        <f>"85201"</f>
        <v>85201</v>
      </c>
      <c r="L5571" t="s">
        <v>6964</v>
      </c>
      <c r="M5571" t="s">
        <v>34233</v>
      </c>
      <c r="N5571" t="s">
        <v>225</v>
      </c>
      <c r="O5571" t="s">
        <v>111</v>
      </c>
      <c r="P5571" t="str">
        <f>"85201-5807"</f>
        <v>85201-5807</v>
      </c>
      <c r="Q5571" t="s">
        <v>113</v>
      </c>
      <c r="R5571" t="str">
        <f>"137-26-091"</f>
        <v>137-26-091</v>
      </c>
      <c r="U5571">
        <v>1660</v>
      </c>
      <c r="V5571">
        <v>0</v>
      </c>
      <c r="W5571">
        <v>2</v>
      </c>
      <c r="X5571">
        <v>1955</v>
      </c>
      <c r="Z5571">
        <v>1</v>
      </c>
      <c r="AB5571">
        <v>0</v>
      </c>
      <c r="AC5571" t="s">
        <v>5188</v>
      </c>
      <c r="AD5571">
        <v>2</v>
      </c>
      <c r="AE5571" t="s">
        <v>5188</v>
      </c>
      <c r="AF5571">
        <v>0</v>
      </c>
      <c r="AG5571">
        <v>0</v>
      </c>
      <c r="AH5571" t="s">
        <v>116</v>
      </c>
      <c r="AI5571" s="1">
        <v>35008</v>
      </c>
      <c r="AJ5571" s="2">
        <v>0.14000000000000001</v>
      </c>
      <c r="AK5571" s="1">
        <v>257103</v>
      </c>
      <c r="AL5571" t="s">
        <v>117</v>
      </c>
      <c r="AM5571" t="s">
        <v>191</v>
      </c>
      <c r="AN5571">
        <v>12197</v>
      </c>
      <c r="AO5571">
        <v>0.28000000000000003</v>
      </c>
      <c r="AP5571">
        <v>1</v>
      </c>
      <c r="AR5571">
        <v>1</v>
      </c>
      <c r="AS5571" s="1">
        <v>17850</v>
      </c>
      <c r="AT5571" s="1">
        <v>3570</v>
      </c>
      <c r="AU5571" s="1">
        <v>14280</v>
      </c>
      <c r="AV5571">
        <v>80</v>
      </c>
      <c r="AX5571" s="1">
        <v>1077.8800000000001</v>
      </c>
      <c r="AY5571" t="s">
        <v>5189</v>
      </c>
      <c r="AZ5571" t="s">
        <v>7850</v>
      </c>
      <c r="BA5571" t="s">
        <v>5191</v>
      </c>
      <c r="BE5571" s="3">
        <v>42165</v>
      </c>
      <c r="BF5571" s="1">
        <v>215000</v>
      </c>
      <c r="BG5571" t="s">
        <v>34234</v>
      </c>
      <c r="BH5571" s="1">
        <v>129.52000000000001</v>
      </c>
      <c r="BI5571" s="1">
        <v>222095</v>
      </c>
      <c r="BJ5571" s="3">
        <v>42165</v>
      </c>
      <c r="BK5571" t="s">
        <v>123</v>
      </c>
      <c r="BL5571" t="str">
        <f>"2015.414932"</f>
        <v>2015.414932</v>
      </c>
      <c r="BM5571" t="s">
        <v>9928</v>
      </c>
      <c r="BO5571" t="s">
        <v>34235</v>
      </c>
      <c r="BS5571">
        <v>30</v>
      </c>
      <c r="BW5571" t="str">
        <f>""</f>
        <v/>
      </c>
      <c r="CH5571" t="str">
        <f>""</f>
        <v/>
      </c>
      <c r="CS5571" t="str">
        <f>""</f>
        <v/>
      </c>
    </row>
    <row r="5572" spans="1:97" x14ac:dyDescent="0.25">
      <c r="A5572" t="s">
        <v>996</v>
      </c>
      <c r="B5572" t="s">
        <v>34236</v>
      </c>
      <c r="E5572" t="s">
        <v>34237</v>
      </c>
      <c r="F5572" t="s">
        <v>108</v>
      </c>
      <c r="H5572" t="s">
        <v>34238</v>
      </c>
      <c r="I5572" t="s">
        <v>390</v>
      </c>
      <c r="J5572" t="s">
        <v>111</v>
      </c>
      <c r="K5572" t="str">
        <f>"85008"</f>
        <v>85008</v>
      </c>
      <c r="L5572" t="s">
        <v>7695</v>
      </c>
      <c r="M5572" t="s">
        <v>34238</v>
      </c>
      <c r="N5572" t="s">
        <v>390</v>
      </c>
      <c r="O5572" t="s">
        <v>111</v>
      </c>
      <c r="P5572" t="str">
        <f>"85008-2217"</f>
        <v>85008-2217</v>
      </c>
      <c r="Q5572" t="s">
        <v>113</v>
      </c>
      <c r="R5572" t="str">
        <f>"120-07-166"</f>
        <v>120-07-166</v>
      </c>
      <c r="S5572" t="s">
        <v>34239</v>
      </c>
      <c r="T5572" t="s">
        <v>14837</v>
      </c>
      <c r="U5572">
        <v>1062</v>
      </c>
      <c r="V5572">
        <v>0</v>
      </c>
      <c r="W5572">
        <v>2</v>
      </c>
      <c r="X5572">
        <v>1954</v>
      </c>
      <c r="Z5572">
        <v>1</v>
      </c>
      <c r="AB5572">
        <v>0</v>
      </c>
      <c r="AC5572" t="s">
        <v>5188</v>
      </c>
      <c r="AD5572">
        <v>1</v>
      </c>
      <c r="AE5572" t="s">
        <v>5188</v>
      </c>
      <c r="AF5572">
        <v>0</v>
      </c>
      <c r="AG5572">
        <v>0</v>
      </c>
      <c r="AH5572" t="s">
        <v>5467</v>
      </c>
      <c r="AI5572" s="1">
        <v>57986</v>
      </c>
      <c r="AJ5572" s="2">
        <v>0.22</v>
      </c>
      <c r="AK5572" s="1">
        <v>258200</v>
      </c>
      <c r="AL5572" t="s">
        <v>117</v>
      </c>
      <c r="AM5572" t="s">
        <v>191</v>
      </c>
      <c r="AN5572">
        <v>7466</v>
      </c>
      <c r="AO5572">
        <v>0.17</v>
      </c>
      <c r="AP5572">
        <v>1</v>
      </c>
      <c r="AR5572">
        <v>1</v>
      </c>
      <c r="AS5572" s="1">
        <v>17220</v>
      </c>
      <c r="AT5572" s="1">
        <v>3440</v>
      </c>
      <c r="AU5572" s="1">
        <v>13780</v>
      </c>
      <c r="AV5572">
        <v>80.02</v>
      </c>
      <c r="AX5572" s="1">
        <v>1369.94</v>
      </c>
      <c r="AY5572" t="s">
        <v>14838</v>
      </c>
      <c r="AZ5572" t="s">
        <v>14838</v>
      </c>
      <c r="BA5572" t="s">
        <v>6255</v>
      </c>
      <c r="BE5572" s="3">
        <v>42531</v>
      </c>
      <c r="BF5572" s="1">
        <v>196000</v>
      </c>
      <c r="BG5572" t="s">
        <v>34240</v>
      </c>
      <c r="BH5572" s="1">
        <v>184.56</v>
      </c>
      <c r="BI5572" s="1">
        <v>200214</v>
      </c>
      <c r="BJ5572" s="3">
        <v>42531</v>
      </c>
      <c r="BK5572" t="s">
        <v>123</v>
      </c>
      <c r="BL5572" t="str">
        <f>"2016.403202"</f>
        <v>2016.403202</v>
      </c>
      <c r="BM5572" t="s">
        <v>175</v>
      </c>
      <c r="BO5572" t="s">
        <v>34241</v>
      </c>
      <c r="BS5572">
        <v>30</v>
      </c>
      <c r="BW5572" t="str">
        <f>""</f>
        <v/>
      </c>
      <c r="CH5572" t="str">
        <f>""</f>
        <v/>
      </c>
      <c r="CS5572" t="str">
        <f>""</f>
        <v/>
      </c>
    </row>
    <row r="5573" spans="1:97" x14ac:dyDescent="0.25">
      <c r="A5573" t="s">
        <v>370</v>
      </c>
      <c r="B5573" t="s">
        <v>3333</v>
      </c>
      <c r="E5573" t="s">
        <v>32466</v>
      </c>
      <c r="F5573" t="s">
        <v>108</v>
      </c>
      <c r="H5573" t="s">
        <v>34242</v>
      </c>
      <c r="I5573" t="s">
        <v>110</v>
      </c>
      <c r="J5573" t="s">
        <v>111</v>
      </c>
      <c r="K5573" t="str">
        <f>"85248"</f>
        <v>85248</v>
      </c>
      <c r="L5573" t="s">
        <v>7607</v>
      </c>
      <c r="M5573" t="s">
        <v>34242</v>
      </c>
      <c r="N5573" t="s">
        <v>110</v>
      </c>
      <c r="O5573" t="s">
        <v>111</v>
      </c>
      <c r="P5573" t="str">
        <f>"85248-4197"</f>
        <v>85248-4197</v>
      </c>
      <c r="Q5573" t="s">
        <v>113</v>
      </c>
      <c r="R5573" t="str">
        <f>"303-49-106"</f>
        <v>303-49-106</v>
      </c>
      <c r="S5573" t="s">
        <v>26894</v>
      </c>
      <c r="T5573" t="s">
        <v>8384</v>
      </c>
      <c r="U5573">
        <v>1673</v>
      </c>
      <c r="V5573">
        <v>0</v>
      </c>
      <c r="W5573">
        <v>3</v>
      </c>
      <c r="X5573">
        <v>1997</v>
      </c>
      <c r="Z5573">
        <v>1</v>
      </c>
      <c r="AB5573">
        <v>0</v>
      </c>
      <c r="AC5573" t="s">
        <v>115</v>
      </c>
      <c r="AD5573">
        <v>2</v>
      </c>
      <c r="AE5573" t="s">
        <v>115</v>
      </c>
      <c r="AF5573">
        <v>0</v>
      </c>
      <c r="AG5573">
        <v>0</v>
      </c>
      <c r="AH5573" t="s">
        <v>116</v>
      </c>
      <c r="AI5573" s="1">
        <v>104655</v>
      </c>
      <c r="AJ5573" s="2">
        <v>0.31</v>
      </c>
      <c r="AK5573" s="1">
        <v>340179</v>
      </c>
      <c r="AL5573" t="s">
        <v>117</v>
      </c>
      <c r="AM5573" t="s">
        <v>118</v>
      </c>
      <c r="AN5573">
        <v>6882</v>
      </c>
      <c r="AO5573">
        <v>0.16</v>
      </c>
      <c r="AP5573">
        <v>1</v>
      </c>
      <c r="AR5573">
        <v>1</v>
      </c>
      <c r="AS5573" s="1">
        <v>23220</v>
      </c>
      <c r="AT5573" s="1">
        <v>4640</v>
      </c>
      <c r="AU5573" s="1">
        <v>18580</v>
      </c>
      <c r="AV5573">
        <v>80.02</v>
      </c>
      <c r="AX5573" s="1">
        <v>1918.82</v>
      </c>
      <c r="AY5573" t="s">
        <v>1881</v>
      </c>
      <c r="AZ5573" t="s">
        <v>1882</v>
      </c>
      <c r="BA5573" t="s">
        <v>121</v>
      </c>
      <c r="BE5573" s="3">
        <v>41989</v>
      </c>
      <c r="BF5573" s="1">
        <v>228000</v>
      </c>
      <c r="BG5573" t="s">
        <v>34243</v>
      </c>
      <c r="BH5573" s="1">
        <v>136.28</v>
      </c>
      <c r="BI5573" s="1">
        <v>235524</v>
      </c>
      <c r="BJ5573" s="3">
        <v>41989</v>
      </c>
      <c r="BK5573" t="s">
        <v>123</v>
      </c>
      <c r="BL5573" t="str">
        <f>"2014.825931"</f>
        <v>2014.825931</v>
      </c>
      <c r="BM5573" t="s">
        <v>544</v>
      </c>
      <c r="BO5573" t="s">
        <v>28243</v>
      </c>
      <c r="BS5573">
        <v>30</v>
      </c>
      <c r="BW5573" t="str">
        <f>""</f>
        <v/>
      </c>
      <c r="CH5573" t="str">
        <f>""</f>
        <v/>
      </c>
      <c r="CS5573" t="str">
        <f>""</f>
        <v/>
      </c>
    </row>
    <row r="5574" spans="1:97" x14ac:dyDescent="0.25">
      <c r="A5574" t="s">
        <v>1444</v>
      </c>
      <c r="B5574" t="s">
        <v>20469</v>
      </c>
      <c r="C5574" t="s">
        <v>2930</v>
      </c>
      <c r="D5574" t="s">
        <v>20469</v>
      </c>
      <c r="E5574" t="s">
        <v>34244</v>
      </c>
      <c r="F5574" t="s">
        <v>108</v>
      </c>
      <c r="H5574" t="s">
        <v>34245</v>
      </c>
      <c r="I5574" t="s">
        <v>188</v>
      </c>
      <c r="J5574" t="s">
        <v>111</v>
      </c>
      <c r="K5574" t="str">
        <f>"85142"</f>
        <v>85142</v>
      </c>
      <c r="L5574" t="s">
        <v>7339</v>
      </c>
      <c r="M5574" t="s">
        <v>34245</v>
      </c>
      <c r="N5574" t="s">
        <v>188</v>
      </c>
      <c r="O5574" t="s">
        <v>111</v>
      </c>
      <c r="P5574" t="str">
        <f>"85142-6919"</f>
        <v>85142-6919</v>
      </c>
      <c r="Q5574" t="s">
        <v>113</v>
      </c>
      <c r="R5574" t="str">
        <f>"314-03-045"</f>
        <v>314-03-045</v>
      </c>
      <c r="S5574" t="s">
        <v>20064</v>
      </c>
      <c r="U5574">
        <v>2177</v>
      </c>
      <c r="V5574">
        <v>0</v>
      </c>
      <c r="W5574">
        <v>3</v>
      </c>
      <c r="X5574">
        <v>2003</v>
      </c>
      <c r="Z5574">
        <v>1</v>
      </c>
      <c r="AA5574" t="s">
        <v>26</v>
      </c>
      <c r="AB5574">
        <v>0</v>
      </c>
      <c r="AC5574" t="s">
        <v>115</v>
      </c>
      <c r="AD5574">
        <v>2</v>
      </c>
      <c r="AE5574" t="s">
        <v>115</v>
      </c>
      <c r="AF5574">
        <v>0</v>
      </c>
      <c r="AG5574">
        <v>0</v>
      </c>
      <c r="AH5574" t="s">
        <v>116</v>
      </c>
      <c r="AI5574" s="1">
        <v>71527</v>
      </c>
      <c r="AJ5574" s="2">
        <v>0.22</v>
      </c>
      <c r="AK5574" s="1">
        <v>325825</v>
      </c>
      <c r="AL5574" t="s">
        <v>117</v>
      </c>
      <c r="AM5574" t="s">
        <v>191</v>
      </c>
      <c r="AN5574">
        <v>6600</v>
      </c>
      <c r="AO5574">
        <v>0.15</v>
      </c>
      <c r="AP5574">
        <v>1</v>
      </c>
      <c r="AR5574">
        <v>1</v>
      </c>
      <c r="AS5574" s="1">
        <v>21760</v>
      </c>
      <c r="AT5574" s="1">
        <v>4350</v>
      </c>
      <c r="AU5574" s="1">
        <v>17410</v>
      </c>
      <c r="AV5574">
        <v>80.010000000000005</v>
      </c>
      <c r="AX5574" s="1">
        <v>1854.72</v>
      </c>
      <c r="AY5574" t="s">
        <v>5895</v>
      </c>
      <c r="AZ5574" t="s">
        <v>561</v>
      </c>
      <c r="BA5574" t="s">
        <v>194</v>
      </c>
      <c r="BE5574" s="3">
        <v>42009</v>
      </c>
      <c r="BF5574" s="1">
        <v>255000</v>
      </c>
      <c r="BG5574" t="s">
        <v>34246</v>
      </c>
      <c r="BH5574" s="1">
        <v>117.13</v>
      </c>
      <c r="BI5574" s="1">
        <v>254298</v>
      </c>
      <c r="BJ5574" s="3">
        <v>42606</v>
      </c>
      <c r="BK5574" t="s">
        <v>123</v>
      </c>
      <c r="BL5574" t="str">
        <f>"2016.610102"</f>
        <v>2016.610102</v>
      </c>
      <c r="BM5574" t="s">
        <v>402</v>
      </c>
      <c r="BO5574" t="s">
        <v>34247</v>
      </c>
      <c r="BS5574">
        <v>30</v>
      </c>
      <c r="BW5574" t="str">
        <f>""</f>
        <v/>
      </c>
      <c r="CH5574" t="str">
        <f>""</f>
        <v/>
      </c>
      <c r="CS5574" t="str">
        <f>""</f>
        <v/>
      </c>
    </row>
    <row r="5575" spans="1:97" x14ac:dyDescent="0.25">
      <c r="A5575" t="s">
        <v>34248</v>
      </c>
      <c r="B5575" t="s">
        <v>18692</v>
      </c>
      <c r="E5575" t="s">
        <v>34249</v>
      </c>
      <c r="F5575" t="s">
        <v>108</v>
      </c>
      <c r="H5575" t="s">
        <v>34250</v>
      </c>
      <c r="I5575" t="s">
        <v>632</v>
      </c>
      <c r="J5575" t="s">
        <v>111</v>
      </c>
      <c r="K5575" t="str">
        <f>"85388"</f>
        <v>85388</v>
      </c>
      <c r="L5575" t="s">
        <v>5165</v>
      </c>
      <c r="M5575" t="s">
        <v>34250</v>
      </c>
      <c r="N5575" t="s">
        <v>632</v>
      </c>
      <c r="O5575" t="s">
        <v>111</v>
      </c>
      <c r="P5575" t="str">
        <f>"85388-5048"</f>
        <v>85388-5048</v>
      </c>
      <c r="Q5575" t="s">
        <v>113</v>
      </c>
      <c r="R5575" t="str">
        <f>"502-05-176"</f>
        <v>502-05-176</v>
      </c>
      <c r="S5575" t="s">
        <v>5166</v>
      </c>
      <c r="T5575" t="s">
        <v>5167</v>
      </c>
      <c r="U5575">
        <v>2155</v>
      </c>
      <c r="V5575">
        <v>0</v>
      </c>
      <c r="W5575">
        <v>3</v>
      </c>
      <c r="X5575">
        <v>2006</v>
      </c>
      <c r="Z5575">
        <v>1</v>
      </c>
      <c r="AB5575">
        <v>0</v>
      </c>
      <c r="AC5575" t="s">
        <v>115</v>
      </c>
      <c r="AD5575">
        <v>2</v>
      </c>
      <c r="AE5575" t="s">
        <v>115</v>
      </c>
      <c r="AF5575">
        <v>0</v>
      </c>
      <c r="AG5575">
        <v>0</v>
      </c>
      <c r="AH5575" t="s">
        <v>116</v>
      </c>
      <c r="AI5575" s="1">
        <v>72145</v>
      </c>
      <c r="AJ5575" s="2">
        <v>0.26</v>
      </c>
      <c r="AK5575" s="1">
        <v>277145</v>
      </c>
      <c r="AL5575" t="s">
        <v>117</v>
      </c>
      <c r="AM5575" t="s">
        <v>118</v>
      </c>
      <c r="AN5575">
        <v>6796</v>
      </c>
      <c r="AO5575">
        <v>0.16</v>
      </c>
      <c r="AP5575">
        <v>1</v>
      </c>
      <c r="AR5575">
        <v>1</v>
      </c>
      <c r="AS5575" s="1">
        <v>19250</v>
      </c>
      <c r="AT5575" s="1">
        <v>3850</v>
      </c>
      <c r="AU5575" s="1">
        <v>15400</v>
      </c>
      <c r="AV5575">
        <v>80</v>
      </c>
      <c r="AX5575" s="1">
        <v>1629</v>
      </c>
      <c r="AY5575" t="s">
        <v>5168</v>
      </c>
      <c r="AZ5575" t="s">
        <v>5168</v>
      </c>
      <c r="BA5575" t="s">
        <v>5061</v>
      </c>
      <c r="BE5575" s="3">
        <v>41691</v>
      </c>
      <c r="BF5575" s="1">
        <v>195000</v>
      </c>
      <c r="BG5575" t="s">
        <v>34251</v>
      </c>
      <c r="BH5575" s="1">
        <v>90.49</v>
      </c>
      <c r="BI5575" s="1">
        <v>205000</v>
      </c>
      <c r="BJ5575" s="3">
        <v>42724</v>
      </c>
      <c r="BK5575" t="s">
        <v>123</v>
      </c>
      <c r="BL5575" t="str">
        <f>"2016.935623"</f>
        <v>2016.935623</v>
      </c>
      <c r="BM5575" t="s">
        <v>150</v>
      </c>
      <c r="BO5575" t="s">
        <v>34252</v>
      </c>
      <c r="BS5575">
        <v>30</v>
      </c>
      <c r="BW5575" t="str">
        <f>""</f>
        <v/>
      </c>
      <c r="CH5575" t="str">
        <f>""</f>
        <v/>
      </c>
      <c r="CS5575" t="str">
        <f>""</f>
        <v/>
      </c>
    </row>
    <row r="5576" spans="1:97" x14ac:dyDescent="0.25">
      <c r="A5576" t="s">
        <v>20242</v>
      </c>
      <c r="B5576" t="s">
        <v>34253</v>
      </c>
      <c r="C5576" t="s">
        <v>488</v>
      </c>
      <c r="D5576" t="s">
        <v>34253</v>
      </c>
      <c r="E5576" t="s">
        <v>34254</v>
      </c>
      <c r="F5576" t="s">
        <v>108</v>
      </c>
      <c r="H5576" t="s">
        <v>34255</v>
      </c>
      <c r="I5576" t="s">
        <v>110</v>
      </c>
      <c r="J5576" t="s">
        <v>111</v>
      </c>
      <c r="K5576" t="str">
        <f>"85224"</f>
        <v>85224</v>
      </c>
      <c r="L5576" t="s">
        <v>6333</v>
      </c>
      <c r="M5576" t="s">
        <v>34255</v>
      </c>
      <c r="N5576" t="s">
        <v>110</v>
      </c>
      <c r="O5576" t="s">
        <v>111</v>
      </c>
      <c r="P5576" t="str">
        <f>"85224-1830"</f>
        <v>85224-1830</v>
      </c>
      <c r="Q5576" t="s">
        <v>113</v>
      </c>
      <c r="R5576" t="str">
        <f>"302-25-502"</f>
        <v>302-25-502</v>
      </c>
      <c r="S5576" t="s">
        <v>22670</v>
      </c>
      <c r="T5576" t="s">
        <v>22671</v>
      </c>
      <c r="U5576">
        <v>1991</v>
      </c>
      <c r="V5576">
        <v>0</v>
      </c>
      <c r="W5576">
        <v>2</v>
      </c>
      <c r="X5576">
        <v>1979</v>
      </c>
      <c r="Z5576">
        <v>1</v>
      </c>
      <c r="AB5576">
        <v>0</v>
      </c>
      <c r="AC5576" t="s">
        <v>115</v>
      </c>
      <c r="AD5576">
        <v>2</v>
      </c>
      <c r="AE5576" t="s">
        <v>115</v>
      </c>
      <c r="AF5576">
        <v>0</v>
      </c>
      <c r="AG5576">
        <v>0</v>
      </c>
      <c r="AH5576" t="s">
        <v>116</v>
      </c>
      <c r="AI5576" s="1">
        <v>80423</v>
      </c>
      <c r="AJ5576" s="2">
        <v>0.25</v>
      </c>
      <c r="AK5576" s="1">
        <v>316980</v>
      </c>
      <c r="AL5576" t="s">
        <v>117</v>
      </c>
      <c r="AM5576" t="s">
        <v>5077</v>
      </c>
      <c r="AN5576">
        <v>7767</v>
      </c>
      <c r="AO5576">
        <v>0.18</v>
      </c>
      <c r="AP5576">
        <v>1</v>
      </c>
      <c r="AR5576">
        <v>1</v>
      </c>
      <c r="AS5576" s="1">
        <v>21400</v>
      </c>
      <c r="AT5576" s="1">
        <v>4280</v>
      </c>
      <c r="AU5576" s="1">
        <v>17120</v>
      </c>
      <c r="AV5576">
        <v>80</v>
      </c>
      <c r="AX5576" s="1">
        <v>1515.98</v>
      </c>
      <c r="AY5576" t="s">
        <v>6879</v>
      </c>
      <c r="AZ5576" t="s">
        <v>6879</v>
      </c>
      <c r="BA5576" t="s">
        <v>5311</v>
      </c>
      <c r="BE5576" s="3">
        <v>42261</v>
      </c>
      <c r="BF5576" s="1">
        <v>229000</v>
      </c>
      <c r="BG5576" t="s">
        <v>34256</v>
      </c>
      <c r="BH5576" s="1">
        <v>115.02</v>
      </c>
      <c r="BI5576" s="1">
        <v>236557</v>
      </c>
      <c r="BJ5576" s="3">
        <v>42261</v>
      </c>
      <c r="BK5576" t="s">
        <v>123</v>
      </c>
      <c r="BL5576" t="str">
        <f>"2015.659851"</f>
        <v>2015.659851</v>
      </c>
      <c r="BM5576" t="s">
        <v>2472</v>
      </c>
      <c r="BO5576" t="s">
        <v>34257</v>
      </c>
      <c r="BS5576">
        <v>30</v>
      </c>
      <c r="BW5576" t="str">
        <f>""</f>
        <v/>
      </c>
      <c r="CH5576" t="str">
        <f>""</f>
        <v/>
      </c>
      <c r="CS5576" t="str">
        <f>""</f>
        <v/>
      </c>
    </row>
    <row r="5577" spans="1:97" x14ac:dyDescent="0.25">
      <c r="A5577" t="s">
        <v>1465</v>
      </c>
      <c r="B5577" t="s">
        <v>16444</v>
      </c>
      <c r="C5577" t="s">
        <v>4406</v>
      </c>
      <c r="D5577" t="s">
        <v>16444</v>
      </c>
      <c r="E5577" t="s">
        <v>34258</v>
      </c>
      <c r="F5577" t="s">
        <v>108</v>
      </c>
      <c r="H5577" t="s">
        <v>34259</v>
      </c>
      <c r="I5577" t="s">
        <v>225</v>
      </c>
      <c r="J5577" t="s">
        <v>111</v>
      </c>
      <c r="K5577" t="str">
        <f>"85208"</f>
        <v>85208</v>
      </c>
      <c r="L5577" t="s">
        <v>5416</v>
      </c>
      <c r="M5577" t="s">
        <v>34259</v>
      </c>
      <c r="N5577" t="s">
        <v>225</v>
      </c>
      <c r="O5577" t="s">
        <v>111</v>
      </c>
      <c r="P5577" t="str">
        <f>"85208-7489"</f>
        <v>85208-7489</v>
      </c>
      <c r="Q5577" t="s">
        <v>113</v>
      </c>
      <c r="R5577" t="str">
        <f>"220-71-939"</f>
        <v>220-71-939</v>
      </c>
      <c r="S5577" t="s">
        <v>13497</v>
      </c>
      <c r="T5577" t="s">
        <v>13498</v>
      </c>
      <c r="U5577">
        <v>2470</v>
      </c>
      <c r="V5577">
        <v>0</v>
      </c>
      <c r="W5577">
        <v>4</v>
      </c>
      <c r="X5577">
        <v>2002</v>
      </c>
      <c r="Z5577">
        <v>2</v>
      </c>
      <c r="AB5577">
        <v>0</v>
      </c>
      <c r="AC5577" t="s">
        <v>115</v>
      </c>
      <c r="AD5577">
        <v>2</v>
      </c>
      <c r="AE5577" t="s">
        <v>115</v>
      </c>
      <c r="AF5577">
        <v>0</v>
      </c>
      <c r="AG5577">
        <v>0</v>
      </c>
      <c r="AH5577" t="s">
        <v>116</v>
      </c>
      <c r="AI5577" s="1">
        <v>42738</v>
      </c>
      <c r="AJ5577" s="2">
        <v>0.14000000000000001</v>
      </c>
      <c r="AK5577" s="1">
        <v>304988</v>
      </c>
      <c r="AL5577" t="s">
        <v>117</v>
      </c>
      <c r="AM5577" t="s">
        <v>191</v>
      </c>
      <c r="AN5577">
        <v>5399</v>
      </c>
      <c r="AO5577">
        <v>0.12</v>
      </c>
      <c r="AP5577">
        <v>1</v>
      </c>
      <c r="AR5577">
        <v>1</v>
      </c>
      <c r="AS5577" s="1">
        <v>20880</v>
      </c>
      <c r="AT5577" s="1">
        <v>4170</v>
      </c>
      <c r="AU5577" s="1">
        <v>16710</v>
      </c>
      <c r="AV5577">
        <v>80.03</v>
      </c>
      <c r="AX5577" s="1">
        <v>1584.86</v>
      </c>
      <c r="AY5577" t="s">
        <v>272</v>
      </c>
      <c r="AZ5577" t="s">
        <v>3761</v>
      </c>
      <c r="BA5577" t="s">
        <v>232</v>
      </c>
      <c r="BE5577" s="3">
        <v>42499</v>
      </c>
      <c r="BF5577" s="1">
        <v>247000</v>
      </c>
      <c r="BG5577" t="s">
        <v>7728</v>
      </c>
      <c r="BH5577" s="1">
        <v>100</v>
      </c>
      <c r="BI5577" s="1">
        <v>262250</v>
      </c>
      <c r="BJ5577" s="3">
        <v>43284</v>
      </c>
      <c r="BK5577" t="s">
        <v>123</v>
      </c>
      <c r="BL5577" t="str">
        <f>"2018.507085"</f>
        <v>2018.507085</v>
      </c>
      <c r="BM5577" t="s">
        <v>5842</v>
      </c>
      <c r="BN5577" t="s">
        <v>5843</v>
      </c>
      <c r="BO5577" t="s">
        <v>34260</v>
      </c>
      <c r="BP5577" t="s">
        <v>34261</v>
      </c>
      <c r="BR5577" t="s">
        <v>139</v>
      </c>
      <c r="BW5577" t="str">
        <f>""</f>
        <v/>
      </c>
      <c r="CH5577" t="str">
        <f>""</f>
        <v/>
      </c>
      <c r="CS5577" t="str">
        <f>""</f>
        <v/>
      </c>
    </row>
    <row r="5578" spans="1:97" x14ac:dyDescent="0.25">
      <c r="A5578" t="s">
        <v>1444</v>
      </c>
      <c r="B5578" t="s">
        <v>34262</v>
      </c>
      <c r="E5578" t="s">
        <v>34263</v>
      </c>
      <c r="F5578" t="s">
        <v>108</v>
      </c>
      <c r="H5578" t="s">
        <v>34264</v>
      </c>
      <c r="I5578" t="s">
        <v>225</v>
      </c>
      <c r="J5578" t="s">
        <v>111</v>
      </c>
      <c r="K5578" t="str">
        <f>"85202"</f>
        <v>85202</v>
      </c>
      <c r="L5578" t="s">
        <v>9737</v>
      </c>
      <c r="M5578" t="s">
        <v>34264</v>
      </c>
      <c r="N5578" t="s">
        <v>225</v>
      </c>
      <c r="O5578" t="s">
        <v>111</v>
      </c>
      <c r="P5578" t="str">
        <f>"85202-5849"</f>
        <v>85202-5849</v>
      </c>
      <c r="Q5578" t="s">
        <v>113</v>
      </c>
      <c r="R5578" t="str">
        <f>"134-26-398"</f>
        <v>134-26-398</v>
      </c>
      <c r="S5578" t="s">
        <v>34265</v>
      </c>
      <c r="T5578" t="s">
        <v>14669</v>
      </c>
      <c r="U5578">
        <v>1838</v>
      </c>
      <c r="V5578">
        <v>0</v>
      </c>
      <c r="W5578">
        <v>3</v>
      </c>
      <c r="X5578">
        <v>1979</v>
      </c>
      <c r="Z5578">
        <v>2</v>
      </c>
      <c r="AB5578">
        <v>0</v>
      </c>
      <c r="AC5578" t="s">
        <v>115</v>
      </c>
      <c r="AD5578">
        <v>2</v>
      </c>
      <c r="AE5578" t="s">
        <v>115</v>
      </c>
      <c r="AF5578">
        <v>0</v>
      </c>
      <c r="AG5578">
        <v>0</v>
      </c>
      <c r="AH5578" t="s">
        <v>116</v>
      </c>
      <c r="AI5578" s="1">
        <v>25075</v>
      </c>
      <c r="AJ5578" s="2">
        <v>0.09</v>
      </c>
      <c r="AK5578" s="1">
        <v>290075</v>
      </c>
      <c r="AL5578" t="s">
        <v>117</v>
      </c>
      <c r="AM5578" t="s">
        <v>191</v>
      </c>
      <c r="AN5578">
        <v>5184</v>
      </c>
      <c r="AO5578">
        <v>0.12</v>
      </c>
      <c r="AP5578">
        <v>1</v>
      </c>
      <c r="AR5578">
        <v>1</v>
      </c>
      <c r="AS5578" s="1">
        <v>19100</v>
      </c>
      <c r="AT5578" s="1">
        <v>3820</v>
      </c>
      <c r="AU5578" s="1">
        <v>15280</v>
      </c>
      <c r="AV5578">
        <v>80</v>
      </c>
      <c r="AX5578" s="1">
        <v>1370.94</v>
      </c>
      <c r="AY5578" t="s">
        <v>8619</v>
      </c>
      <c r="AZ5578" t="s">
        <v>7295</v>
      </c>
      <c r="BA5578" t="s">
        <v>5311</v>
      </c>
      <c r="BE5578" s="3">
        <v>42510</v>
      </c>
      <c r="BF5578" s="1">
        <v>230000</v>
      </c>
      <c r="BG5578" t="s">
        <v>34266</v>
      </c>
      <c r="BH5578" s="1">
        <v>125.14</v>
      </c>
      <c r="BI5578" s="1">
        <v>265000</v>
      </c>
      <c r="BJ5578" s="3">
        <v>43172</v>
      </c>
      <c r="BK5578" t="s">
        <v>123</v>
      </c>
      <c r="BL5578" t="str">
        <f>"2018.186390"</f>
        <v>2018.186390</v>
      </c>
      <c r="BM5578" t="s">
        <v>9590</v>
      </c>
      <c r="BN5578" t="s">
        <v>9591</v>
      </c>
      <c r="BO5578" t="s">
        <v>34267</v>
      </c>
      <c r="BR5578" t="s">
        <v>139</v>
      </c>
      <c r="BW5578" t="str">
        <f>""</f>
        <v/>
      </c>
      <c r="CH5578" t="str">
        <f>""</f>
        <v/>
      </c>
      <c r="CS5578" t="str">
        <f>""</f>
        <v/>
      </c>
    </row>
    <row r="5579" spans="1:97" x14ac:dyDescent="0.25">
      <c r="A5579" t="s">
        <v>1109</v>
      </c>
      <c r="B5579" t="s">
        <v>34268</v>
      </c>
      <c r="C5579" t="s">
        <v>1666</v>
      </c>
      <c r="D5579" t="s">
        <v>34268</v>
      </c>
      <c r="E5579" t="s">
        <v>34269</v>
      </c>
      <c r="F5579" t="s">
        <v>108</v>
      </c>
      <c r="H5579" t="s">
        <v>34270</v>
      </c>
      <c r="I5579" t="s">
        <v>632</v>
      </c>
      <c r="J5579" t="s">
        <v>111</v>
      </c>
      <c r="K5579" t="str">
        <f>"85374"</f>
        <v>85374</v>
      </c>
      <c r="L5579" t="s">
        <v>5514</v>
      </c>
      <c r="M5579" t="s">
        <v>34270</v>
      </c>
      <c r="N5579" t="s">
        <v>632</v>
      </c>
      <c r="O5579" t="s">
        <v>111</v>
      </c>
      <c r="P5579" t="str">
        <f>"85374-1829"</f>
        <v>85374-1829</v>
      </c>
      <c r="Q5579" t="s">
        <v>113</v>
      </c>
      <c r="R5579" t="str">
        <f>"232-39-874"</f>
        <v>232-39-874</v>
      </c>
      <c r="S5579" t="s">
        <v>14722</v>
      </c>
      <c r="U5579">
        <v>2166</v>
      </c>
      <c r="V5579">
        <v>0</v>
      </c>
      <c r="W5579">
        <v>3</v>
      </c>
      <c r="X5579">
        <v>2005</v>
      </c>
      <c r="Z5579">
        <v>1</v>
      </c>
      <c r="AA5579" t="s">
        <v>26</v>
      </c>
      <c r="AB5579">
        <v>0</v>
      </c>
      <c r="AC5579" t="s">
        <v>115</v>
      </c>
      <c r="AD5579">
        <v>2</v>
      </c>
      <c r="AE5579" t="s">
        <v>115</v>
      </c>
      <c r="AF5579">
        <v>0</v>
      </c>
      <c r="AG5579">
        <v>0</v>
      </c>
      <c r="AH5579" t="s">
        <v>116</v>
      </c>
      <c r="AI5579" s="1">
        <v>38808</v>
      </c>
      <c r="AJ5579" s="2">
        <v>0.13</v>
      </c>
      <c r="AK5579" s="1">
        <v>298808</v>
      </c>
      <c r="AL5579" t="s">
        <v>117</v>
      </c>
      <c r="AM5579" t="s">
        <v>5516</v>
      </c>
      <c r="AN5579">
        <v>9373</v>
      </c>
      <c r="AO5579">
        <v>0.22</v>
      </c>
      <c r="AR5579">
        <v>1</v>
      </c>
      <c r="AS5579" s="1">
        <v>21110</v>
      </c>
      <c r="AT5579" s="1">
        <v>4220</v>
      </c>
      <c r="AU5579" s="1">
        <v>16890</v>
      </c>
      <c r="AV5579">
        <v>80.010000000000005</v>
      </c>
      <c r="AX5579" s="1">
        <v>1538.26</v>
      </c>
      <c r="AY5579" t="s">
        <v>5517</v>
      </c>
      <c r="AZ5579" t="s">
        <v>5517</v>
      </c>
      <c r="BA5579" t="s">
        <v>5109</v>
      </c>
      <c r="BE5579" s="3">
        <v>42142</v>
      </c>
      <c r="BF5579" s="1">
        <v>260000</v>
      </c>
      <c r="BG5579" t="s">
        <v>34271</v>
      </c>
      <c r="BH5579" s="1">
        <v>120.04</v>
      </c>
      <c r="BI5579" s="1">
        <v>260000</v>
      </c>
      <c r="BJ5579" s="3">
        <v>42142</v>
      </c>
      <c r="BK5579" t="s">
        <v>123</v>
      </c>
      <c r="BL5579" t="str">
        <f>"2015.349248"</f>
        <v>2015.349248</v>
      </c>
      <c r="BM5579" t="s">
        <v>2716</v>
      </c>
      <c r="BO5579" t="s">
        <v>34272</v>
      </c>
      <c r="BS5579">
        <v>30</v>
      </c>
      <c r="BW5579" t="str">
        <f>""</f>
        <v/>
      </c>
      <c r="CH5579" t="str">
        <f>""</f>
        <v/>
      </c>
      <c r="CS5579" t="str">
        <f>""</f>
        <v/>
      </c>
    </row>
    <row r="5580" spans="1:97" x14ac:dyDescent="0.25">
      <c r="A5580" t="s">
        <v>3613</v>
      </c>
      <c r="B5580" t="s">
        <v>8664</v>
      </c>
      <c r="E5580" t="s">
        <v>34273</v>
      </c>
      <c r="F5580" t="s">
        <v>108</v>
      </c>
      <c r="H5580" t="s">
        <v>34274</v>
      </c>
      <c r="I5580" t="s">
        <v>632</v>
      </c>
      <c r="J5580" t="s">
        <v>111</v>
      </c>
      <c r="K5580" t="str">
        <f>"85388"</f>
        <v>85388</v>
      </c>
      <c r="L5580" t="s">
        <v>3094</v>
      </c>
      <c r="M5580" t="s">
        <v>34274</v>
      </c>
      <c r="N5580" t="s">
        <v>632</v>
      </c>
      <c r="O5580" t="s">
        <v>111</v>
      </c>
      <c r="P5580" t="str">
        <f>"85388-7712"</f>
        <v>85388-7712</v>
      </c>
      <c r="Q5580" t="s">
        <v>113</v>
      </c>
      <c r="R5580" t="str">
        <f>"502-87-644"</f>
        <v>502-87-644</v>
      </c>
      <c r="S5580" t="s">
        <v>34275</v>
      </c>
      <c r="T5580" t="s">
        <v>12131</v>
      </c>
      <c r="U5580">
        <v>2287</v>
      </c>
      <c r="V5580">
        <v>0</v>
      </c>
      <c r="W5580">
        <v>5</v>
      </c>
      <c r="X5580">
        <v>2004</v>
      </c>
      <c r="Z5580">
        <v>2</v>
      </c>
      <c r="AB5580">
        <v>0</v>
      </c>
      <c r="AC5580" t="s">
        <v>115</v>
      </c>
      <c r="AD5580">
        <v>2</v>
      </c>
      <c r="AE5580" t="s">
        <v>115</v>
      </c>
      <c r="AF5580">
        <v>0</v>
      </c>
      <c r="AG5580">
        <v>0</v>
      </c>
      <c r="AH5580" t="s">
        <v>116</v>
      </c>
      <c r="AI5580" s="1">
        <v>60238</v>
      </c>
      <c r="AJ5580" s="2">
        <v>0.22</v>
      </c>
      <c r="AK5580" s="1">
        <v>271486</v>
      </c>
      <c r="AL5580" t="s">
        <v>117</v>
      </c>
      <c r="AM5580" t="s">
        <v>118</v>
      </c>
      <c r="AN5580">
        <v>6194</v>
      </c>
      <c r="AO5580">
        <v>0.14000000000000001</v>
      </c>
      <c r="AP5580">
        <v>1</v>
      </c>
      <c r="AR5580">
        <v>1</v>
      </c>
      <c r="AS5580" s="1">
        <v>18500</v>
      </c>
      <c r="AT5580" s="1">
        <v>3700</v>
      </c>
      <c r="AU5580" s="1">
        <v>14800</v>
      </c>
      <c r="AV5580">
        <v>80</v>
      </c>
      <c r="AX5580" s="1">
        <v>1435.44</v>
      </c>
      <c r="AY5580" t="s">
        <v>6262</v>
      </c>
      <c r="AZ5580" t="s">
        <v>6262</v>
      </c>
      <c r="BA5580" t="s">
        <v>5061</v>
      </c>
      <c r="BE5580" s="3">
        <v>42368</v>
      </c>
      <c r="BF5580" s="1">
        <v>204500</v>
      </c>
      <c r="BG5580" t="s">
        <v>34276</v>
      </c>
      <c r="BH5580" s="1">
        <v>89.42</v>
      </c>
      <c r="BI5580" s="1">
        <v>211248</v>
      </c>
      <c r="BJ5580" s="3">
        <v>42368</v>
      </c>
      <c r="BK5580" t="s">
        <v>123</v>
      </c>
      <c r="BL5580" t="str">
        <f>"2015.919869"</f>
        <v>2015.919869</v>
      </c>
      <c r="BM5580" t="s">
        <v>544</v>
      </c>
      <c r="BO5580" t="s">
        <v>34277</v>
      </c>
      <c r="BS5580">
        <v>30</v>
      </c>
      <c r="BW5580" t="str">
        <f>""</f>
        <v/>
      </c>
      <c r="CH5580" t="str">
        <f>""</f>
        <v/>
      </c>
      <c r="CS5580" t="str">
        <f>""</f>
        <v/>
      </c>
    </row>
    <row r="5581" spans="1:97" x14ac:dyDescent="0.25">
      <c r="A5581" t="s">
        <v>1850</v>
      </c>
      <c r="B5581" t="s">
        <v>10667</v>
      </c>
      <c r="C5581" t="s">
        <v>34278</v>
      </c>
      <c r="D5581" t="s">
        <v>10667</v>
      </c>
      <c r="E5581" t="s">
        <v>34279</v>
      </c>
      <c r="F5581" t="s">
        <v>108</v>
      </c>
      <c r="H5581" t="s">
        <v>34280</v>
      </c>
      <c r="I5581" t="s">
        <v>225</v>
      </c>
      <c r="J5581" t="s">
        <v>111</v>
      </c>
      <c r="K5581" t="str">
        <f>"85202"</f>
        <v>85202</v>
      </c>
      <c r="L5581" t="s">
        <v>2963</v>
      </c>
      <c r="M5581" t="s">
        <v>34280</v>
      </c>
      <c r="N5581" t="s">
        <v>225</v>
      </c>
      <c r="O5581" t="s">
        <v>111</v>
      </c>
      <c r="P5581" t="str">
        <f>"85202-7803"</f>
        <v>85202-7803</v>
      </c>
      <c r="Q5581" t="s">
        <v>113</v>
      </c>
      <c r="R5581" t="str">
        <f>"302-85-034"</f>
        <v>302-85-034</v>
      </c>
      <c r="S5581" t="s">
        <v>34281</v>
      </c>
      <c r="U5581">
        <v>1544</v>
      </c>
      <c r="V5581">
        <v>0</v>
      </c>
      <c r="W5581">
        <v>2</v>
      </c>
      <c r="X5581">
        <v>1979</v>
      </c>
      <c r="Z5581">
        <v>1</v>
      </c>
      <c r="AA5581" t="s">
        <v>26</v>
      </c>
      <c r="AB5581">
        <v>0</v>
      </c>
      <c r="AC5581" t="s">
        <v>5188</v>
      </c>
      <c r="AD5581">
        <v>2</v>
      </c>
      <c r="AE5581" t="s">
        <v>5188</v>
      </c>
      <c r="AF5581">
        <v>0</v>
      </c>
      <c r="AG5581">
        <v>0</v>
      </c>
      <c r="AH5581" t="s">
        <v>116</v>
      </c>
      <c r="AI5581" s="1">
        <v>31561</v>
      </c>
      <c r="AJ5581" s="2">
        <v>0.11</v>
      </c>
      <c r="AK5581" s="1">
        <v>300141</v>
      </c>
      <c r="AL5581" t="s">
        <v>117</v>
      </c>
      <c r="AM5581" t="s">
        <v>393</v>
      </c>
      <c r="AN5581">
        <v>8246</v>
      </c>
      <c r="AO5581">
        <v>0.19</v>
      </c>
      <c r="AP5581">
        <v>1</v>
      </c>
      <c r="AR5581">
        <v>1</v>
      </c>
      <c r="AS5581" s="1">
        <v>20180</v>
      </c>
      <c r="AT5581" s="1">
        <v>4030</v>
      </c>
      <c r="AU5581" s="1">
        <v>16150</v>
      </c>
      <c r="AV5581">
        <v>80.03</v>
      </c>
      <c r="AX5581" s="1">
        <v>1315.8</v>
      </c>
      <c r="AY5581" t="s">
        <v>7431</v>
      </c>
      <c r="AZ5581" t="s">
        <v>7295</v>
      </c>
      <c r="BA5581" t="s">
        <v>5311</v>
      </c>
      <c r="BE5581" s="3">
        <v>41983</v>
      </c>
      <c r="BF5581" s="1">
        <v>213000</v>
      </c>
      <c r="BG5581" t="s">
        <v>34282</v>
      </c>
      <c r="BH5581" s="1">
        <v>137.94999999999999</v>
      </c>
      <c r="BI5581" s="1">
        <v>268580</v>
      </c>
      <c r="BJ5581" s="3">
        <v>42402</v>
      </c>
      <c r="BK5581" t="s">
        <v>123</v>
      </c>
      <c r="BL5581" t="str">
        <f>"2016.69704"</f>
        <v>2016.69704</v>
      </c>
      <c r="BM5581" t="s">
        <v>20190</v>
      </c>
      <c r="BO5581" t="s">
        <v>34283</v>
      </c>
      <c r="BS5581">
        <v>30</v>
      </c>
      <c r="BW5581" t="str">
        <f>""</f>
        <v/>
      </c>
      <c r="CH5581" t="str">
        <f>""</f>
        <v/>
      </c>
      <c r="CS5581" t="str">
        <f>""</f>
        <v/>
      </c>
    </row>
    <row r="5582" spans="1:97" x14ac:dyDescent="0.25">
      <c r="A5582" t="s">
        <v>639</v>
      </c>
      <c r="B5582" t="s">
        <v>34284</v>
      </c>
      <c r="E5582" t="s">
        <v>34285</v>
      </c>
      <c r="F5582" t="s">
        <v>108</v>
      </c>
      <c r="H5582" t="s">
        <v>34286</v>
      </c>
      <c r="I5582" t="s">
        <v>632</v>
      </c>
      <c r="J5582" t="s">
        <v>111</v>
      </c>
      <c r="K5582" t="str">
        <f>"85379"</f>
        <v>85379</v>
      </c>
      <c r="L5582" t="s">
        <v>5816</v>
      </c>
      <c r="M5582" t="s">
        <v>34286</v>
      </c>
      <c r="N5582" t="s">
        <v>632</v>
      </c>
      <c r="O5582" t="s">
        <v>111</v>
      </c>
      <c r="P5582" t="str">
        <f>"85379-8622"</f>
        <v>85379-8622</v>
      </c>
      <c r="Q5582" t="s">
        <v>113</v>
      </c>
      <c r="R5582" t="str">
        <f>"509-17-414"</f>
        <v>509-17-414</v>
      </c>
      <c r="S5582" t="s">
        <v>17632</v>
      </c>
      <c r="U5582">
        <v>1818</v>
      </c>
      <c r="V5582">
        <v>0</v>
      </c>
      <c r="W5582">
        <v>4</v>
      </c>
      <c r="X5582">
        <v>2005</v>
      </c>
      <c r="Z5582">
        <v>1</v>
      </c>
      <c r="AB5582">
        <v>0</v>
      </c>
      <c r="AC5582" t="s">
        <v>115</v>
      </c>
      <c r="AD5582">
        <v>2</v>
      </c>
      <c r="AE5582" t="s">
        <v>115</v>
      </c>
      <c r="AF5582">
        <v>0</v>
      </c>
      <c r="AG5582">
        <v>0</v>
      </c>
      <c r="AH5582" t="s">
        <v>116</v>
      </c>
      <c r="AI5582" s="1">
        <v>8385</v>
      </c>
      <c r="AJ5582" s="2">
        <v>0.03</v>
      </c>
      <c r="AK5582" s="1">
        <v>257633</v>
      </c>
      <c r="AL5582" t="s">
        <v>117</v>
      </c>
      <c r="AM5582" t="s">
        <v>118</v>
      </c>
      <c r="AN5582">
        <v>6767</v>
      </c>
      <c r="AO5582">
        <v>0.16</v>
      </c>
      <c r="AR5582">
        <v>1</v>
      </c>
      <c r="AS5582" s="1">
        <v>18210</v>
      </c>
      <c r="AT5582" s="1">
        <v>3640</v>
      </c>
      <c r="AU5582" s="1">
        <v>14570</v>
      </c>
      <c r="AV5582">
        <v>80.010000000000005</v>
      </c>
      <c r="AX5582" s="1">
        <v>1299.22</v>
      </c>
      <c r="AY5582" t="s">
        <v>634</v>
      </c>
      <c r="AZ5582" t="s">
        <v>634</v>
      </c>
      <c r="BA5582" t="s">
        <v>321</v>
      </c>
      <c r="BE5582" s="3">
        <v>41740</v>
      </c>
      <c r="BF5582" s="1">
        <v>177500</v>
      </c>
      <c r="BG5582" t="s">
        <v>34287</v>
      </c>
      <c r="BH5582" s="1">
        <v>97.63</v>
      </c>
      <c r="BI5582" s="1">
        <v>249248</v>
      </c>
      <c r="BJ5582" s="3">
        <v>43493</v>
      </c>
      <c r="BK5582" t="s">
        <v>123</v>
      </c>
      <c r="BL5582" t="str">
        <f>"2019.58477"</f>
        <v>2019.58477</v>
      </c>
      <c r="BM5582" t="s">
        <v>533</v>
      </c>
      <c r="BN5582" t="s">
        <v>534</v>
      </c>
      <c r="BO5582" t="s">
        <v>34285</v>
      </c>
      <c r="BR5582" t="s">
        <v>139</v>
      </c>
      <c r="BW5582" t="str">
        <f>""</f>
        <v/>
      </c>
      <c r="CH5582" t="str">
        <f>""</f>
        <v/>
      </c>
      <c r="CS5582" t="str">
        <f>""</f>
        <v/>
      </c>
    </row>
    <row r="5583" spans="1:97" x14ac:dyDescent="0.25">
      <c r="B5583" t="s">
        <v>34288</v>
      </c>
      <c r="E5583" t="s">
        <v>34289</v>
      </c>
      <c r="F5583" t="s">
        <v>108</v>
      </c>
      <c r="H5583" t="s">
        <v>34290</v>
      </c>
      <c r="I5583" t="s">
        <v>5114</v>
      </c>
      <c r="J5583" t="s">
        <v>111</v>
      </c>
      <c r="K5583" t="str">
        <f>"85323"</f>
        <v>85323</v>
      </c>
      <c r="L5583" t="s">
        <v>4316</v>
      </c>
      <c r="M5583" t="s">
        <v>34290</v>
      </c>
      <c r="N5583" t="s">
        <v>5114</v>
      </c>
      <c r="O5583" t="s">
        <v>111</v>
      </c>
      <c r="P5583" t="str">
        <f>"85323-8438"</f>
        <v>85323-8438</v>
      </c>
      <c r="Q5583" t="s">
        <v>113</v>
      </c>
      <c r="R5583" t="str">
        <f>"500-92-297"</f>
        <v>500-92-297</v>
      </c>
      <c r="S5583" t="s">
        <v>11673</v>
      </c>
      <c r="U5583">
        <v>1914</v>
      </c>
      <c r="V5583">
        <v>0</v>
      </c>
      <c r="W5583">
        <v>4</v>
      </c>
      <c r="X5583">
        <v>2003</v>
      </c>
      <c r="Z5583">
        <v>1</v>
      </c>
      <c r="AB5583">
        <v>0</v>
      </c>
      <c r="AC5583" t="s">
        <v>115</v>
      </c>
      <c r="AD5583">
        <v>2</v>
      </c>
      <c r="AE5583" t="s">
        <v>115</v>
      </c>
      <c r="AF5583">
        <v>0</v>
      </c>
      <c r="AG5583">
        <v>0</v>
      </c>
      <c r="AH5583" t="s">
        <v>116</v>
      </c>
      <c r="AI5583" s="1">
        <v>37693</v>
      </c>
      <c r="AJ5583" s="2">
        <v>0.15</v>
      </c>
      <c r="AK5583" s="1">
        <v>258240</v>
      </c>
      <c r="AL5583" t="s">
        <v>117</v>
      </c>
      <c r="AM5583" t="s">
        <v>118</v>
      </c>
      <c r="AN5583">
        <v>6462</v>
      </c>
      <c r="AO5583">
        <v>0.15</v>
      </c>
      <c r="AP5583">
        <v>1</v>
      </c>
      <c r="AR5583">
        <v>1</v>
      </c>
      <c r="AS5583" s="1">
        <v>17570</v>
      </c>
      <c r="AT5583" s="1">
        <v>3510</v>
      </c>
      <c r="AU5583" s="1">
        <v>14060</v>
      </c>
      <c r="AV5583">
        <v>80.02</v>
      </c>
      <c r="AX5583" s="1">
        <v>1650.54</v>
      </c>
      <c r="AY5583" t="s">
        <v>9447</v>
      </c>
      <c r="AZ5583" t="s">
        <v>9447</v>
      </c>
      <c r="BA5583" t="s">
        <v>4254</v>
      </c>
      <c r="BB5583" s="3">
        <v>42850</v>
      </c>
      <c r="BD5583" t="s">
        <v>240</v>
      </c>
      <c r="BE5583" s="3">
        <v>42508</v>
      </c>
      <c r="BF5583" s="1">
        <v>207500</v>
      </c>
      <c r="BG5583" t="s">
        <v>34291</v>
      </c>
      <c r="BH5583" s="1">
        <v>108.41</v>
      </c>
      <c r="BI5583" s="1">
        <v>220547</v>
      </c>
      <c r="BJ5583" s="3">
        <v>42640</v>
      </c>
      <c r="BK5583" t="s">
        <v>123</v>
      </c>
      <c r="BL5583" t="str">
        <f>"2016.701160"</f>
        <v>2016.701160</v>
      </c>
      <c r="BM5583" t="s">
        <v>1707</v>
      </c>
      <c r="BO5583" t="s">
        <v>34292</v>
      </c>
      <c r="BS5583">
        <v>30</v>
      </c>
      <c r="BW5583" t="str">
        <f>""</f>
        <v/>
      </c>
      <c r="CH5583" t="str">
        <f>""</f>
        <v/>
      </c>
      <c r="CS5583" t="str">
        <f>""</f>
        <v/>
      </c>
    </row>
    <row r="5584" spans="1:97" x14ac:dyDescent="0.25">
      <c r="B5584" t="s">
        <v>34293</v>
      </c>
      <c r="C5584" t="s">
        <v>26164</v>
      </c>
      <c r="E5584" t="s">
        <v>34293</v>
      </c>
      <c r="F5584" t="s">
        <v>108</v>
      </c>
      <c r="H5584" t="s">
        <v>34294</v>
      </c>
      <c r="I5584" t="s">
        <v>5551</v>
      </c>
      <c r="J5584" t="s">
        <v>111</v>
      </c>
      <c r="K5584" t="str">
        <f>"85248"</f>
        <v>85248</v>
      </c>
      <c r="L5584" t="s">
        <v>5775</v>
      </c>
      <c r="M5584" t="s">
        <v>34294</v>
      </c>
      <c r="N5584" t="s">
        <v>5551</v>
      </c>
      <c r="O5584" t="s">
        <v>111</v>
      </c>
      <c r="P5584" t="str">
        <f>"85248-6513"</f>
        <v>85248-6513</v>
      </c>
      <c r="Q5584" t="s">
        <v>113</v>
      </c>
      <c r="R5584" t="str">
        <f>"303-65-366"</f>
        <v>303-65-366</v>
      </c>
      <c r="S5584" t="s">
        <v>27569</v>
      </c>
      <c r="U5584">
        <v>1590</v>
      </c>
      <c r="V5584">
        <v>0</v>
      </c>
      <c r="W5584">
        <v>2</v>
      </c>
      <c r="X5584">
        <v>1979</v>
      </c>
      <c r="Z5584">
        <v>1</v>
      </c>
      <c r="AB5584">
        <v>0</v>
      </c>
      <c r="AC5584" t="s">
        <v>115</v>
      </c>
      <c r="AD5584">
        <v>2</v>
      </c>
      <c r="AE5584" t="s">
        <v>115</v>
      </c>
      <c r="AF5584">
        <v>0</v>
      </c>
      <c r="AG5584">
        <v>0</v>
      </c>
      <c r="AH5584" t="s">
        <v>116</v>
      </c>
      <c r="AI5584" s="1">
        <v>53910</v>
      </c>
      <c r="AJ5584" s="2">
        <v>0.2</v>
      </c>
      <c r="AK5584" s="1">
        <v>268425</v>
      </c>
      <c r="AL5584" t="s">
        <v>117</v>
      </c>
      <c r="AM5584" t="s">
        <v>191</v>
      </c>
      <c r="AN5584">
        <v>7906</v>
      </c>
      <c r="AO5584">
        <v>0.18</v>
      </c>
      <c r="AP5584">
        <v>1</v>
      </c>
      <c r="AR5584">
        <v>1</v>
      </c>
      <c r="AS5584" s="1">
        <v>18600</v>
      </c>
      <c r="AT5584" s="1">
        <v>3720</v>
      </c>
      <c r="AU5584" s="1">
        <v>14880</v>
      </c>
      <c r="AV5584">
        <v>80</v>
      </c>
      <c r="AX5584" s="1">
        <v>2047.38</v>
      </c>
      <c r="AY5584" t="s">
        <v>1881</v>
      </c>
      <c r="AZ5584" t="s">
        <v>1882</v>
      </c>
      <c r="BA5584" t="s">
        <v>121</v>
      </c>
      <c r="BB5584" s="3">
        <v>43732</v>
      </c>
      <c r="BC5584" s="1">
        <v>0</v>
      </c>
      <c r="BD5584" t="s">
        <v>291</v>
      </c>
      <c r="BE5584" s="3">
        <v>42145</v>
      </c>
      <c r="BF5584" s="1">
        <v>170000</v>
      </c>
      <c r="BG5584" t="s">
        <v>34295</v>
      </c>
      <c r="BH5584" s="1">
        <v>106.92</v>
      </c>
      <c r="BI5584" s="1">
        <v>214515</v>
      </c>
      <c r="BJ5584" s="3">
        <v>42521</v>
      </c>
      <c r="BK5584" t="s">
        <v>123</v>
      </c>
      <c r="BL5584" t="str">
        <f>"2016.373837"</f>
        <v>2016.373837</v>
      </c>
      <c r="BM5584" t="s">
        <v>594</v>
      </c>
      <c r="BN5584" t="s">
        <v>595</v>
      </c>
      <c r="BO5584" t="s">
        <v>34296</v>
      </c>
      <c r="BS5584">
        <v>30</v>
      </c>
      <c r="BW5584" t="str">
        <f>""</f>
        <v/>
      </c>
      <c r="CH5584" t="str">
        <f>""</f>
        <v/>
      </c>
      <c r="CS5584" t="str">
        <f>""</f>
        <v/>
      </c>
    </row>
    <row r="5585" spans="1:97" x14ac:dyDescent="0.25">
      <c r="A5585" t="s">
        <v>4229</v>
      </c>
      <c r="B5585" t="s">
        <v>34297</v>
      </c>
      <c r="C5585" t="s">
        <v>2435</v>
      </c>
      <c r="D5585" t="s">
        <v>34297</v>
      </c>
      <c r="E5585" t="s">
        <v>34298</v>
      </c>
      <c r="F5585" t="s">
        <v>108</v>
      </c>
      <c r="H5585" t="s">
        <v>34299</v>
      </c>
      <c r="I5585" t="s">
        <v>167</v>
      </c>
      <c r="J5585" t="s">
        <v>111</v>
      </c>
      <c r="K5585" t="str">
        <f>"85339"</f>
        <v>85339</v>
      </c>
      <c r="L5585" t="s">
        <v>6788</v>
      </c>
      <c r="M5585" t="s">
        <v>34299</v>
      </c>
      <c r="N5585" t="s">
        <v>167</v>
      </c>
      <c r="O5585" t="s">
        <v>111</v>
      </c>
      <c r="P5585" t="str">
        <f>"85339-8206"</f>
        <v>85339-8206</v>
      </c>
      <c r="Q5585" t="s">
        <v>113</v>
      </c>
      <c r="R5585" t="str">
        <f>"104-77-525"</f>
        <v>104-77-525</v>
      </c>
      <c r="S5585" t="s">
        <v>21829</v>
      </c>
      <c r="U5585">
        <v>2867</v>
      </c>
      <c r="V5585">
        <v>0</v>
      </c>
      <c r="W5585">
        <v>4</v>
      </c>
      <c r="X5585">
        <v>2006</v>
      </c>
      <c r="Z5585">
        <v>2</v>
      </c>
      <c r="AA5585" t="s">
        <v>26</v>
      </c>
      <c r="AB5585">
        <v>0</v>
      </c>
      <c r="AC5585" t="s">
        <v>115</v>
      </c>
      <c r="AD5585">
        <v>3</v>
      </c>
      <c r="AE5585" t="s">
        <v>115</v>
      </c>
      <c r="AF5585">
        <v>0</v>
      </c>
      <c r="AG5585">
        <v>0</v>
      </c>
      <c r="AH5585" t="s">
        <v>116</v>
      </c>
      <c r="AI5585" s="1">
        <v>99557</v>
      </c>
      <c r="AJ5585" s="2">
        <v>0.31</v>
      </c>
      <c r="AK5585" s="1">
        <v>324296</v>
      </c>
      <c r="AL5585" t="s">
        <v>117</v>
      </c>
      <c r="AM5585" t="s">
        <v>171</v>
      </c>
      <c r="AN5585">
        <v>10853</v>
      </c>
      <c r="AO5585">
        <v>0.25</v>
      </c>
      <c r="AR5585">
        <v>1</v>
      </c>
      <c r="AS5585" s="1">
        <v>23620</v>
      </c>
      <c r="AT5585" s="1">
        <v>4720</v>
      </c>
      <c r="AU5585" s="1">
        <v>18900</v>
      </c>
      <c r="AV5585">
        <v>80.02</v>
      </c>
      <c r="AX5585" s="1">
        <v>2977.74</v>
      </c>
      <c r="AY5585" t="s">
        <v>5777</v>
      </c>
      <c r="AZ5585" t="s">
        <v>5777</v>
      </c>
      <c r="BA5585" t="s">
        <v>173</v>
      </c>
      <c r="BE5585" s="3">
        <v>41667</v>
      </c>
      <c r="BF5585" s="1">
        <v>219500</v>
      </c>
      <c r="BG5585" t="s">
        <v>34300</v>
      </c>
      <c r="BH5585" s="1">
        <v>76.56</v>
      </c>
      <c r="BI5585" s="1">
        <v>224739</v>
      </c>
      <c r="BJ5585" s="3">
        <v>42048</v>
      </c>
      <c r="BK5585" t="s">
        <v>123</v>
      </c>
      <c r="BL5585" t="str">
        <f>"2015.93925"</f>
        <v>2015.93925</v>
      </c>
      <c r="BM5585" t="s">
        <v>1185</v>
      </c>
      <c r="BO5585" t="s">
        <v>34301</v>
      </c>
      <c r="BS5585">
        <v>30</v>
      </c>
      <c r="BW5585" t="str">
        <f>""</f>
        <v/>
      </c>
      <c r="CH5585" t="str">
        <f>""</f>
        <v/>
      </c>
      <c r="CS5585" t="str">
        <f>""</f>
        <v/>
      </c>
    </row>
    <row r="5586" spans="1:97" x14ac:dyDescent="0.25">
      <c r="A5586" t="s">
        <v>3187</v>
      </c>
      <c r="B5586" t="s">
        <v>34302</v>
      </c>
      <c r="C5586" t="s">
        <v>537</v>
      </c>
      <c r="D5586" t="s">
        <v>34302</v>
      </c>
      <c r="E5586" t="s">
        <v>34303</v>
      </c>
      <c r="F5586" t="s">
        <v>108</v>
      </c>
      <c r="H5586" t="s">
        <v>34304</v>
      </c>
      <c r="I5586" t="s">
        <v>144</v>
      </c>
      <c r="J5586" t="s">
        <v>111</v>
      </c>
      <c r="K5586" t="str">
        <f>"85326"</f>
        <v>85326</v>
      </c>
      <c r="L5586" t="s">
        <v>500</v>
      </c>
      <c r="M5586" t="s">
        <v>34304</v>
      </c>
      <c r="N5586" t="s">
        <v>144</v>
      </c>
      <c r="O5586" t="s">
        <v>111</v>
      </c>
      <c r="P5586" t="str">
        <f>"85326-8096"</f>
        <v>85326-8096</v>
      </c>
      <c r="Q5586" t="s">
        <v>113</v>
      </c>
      <c r="R5586" t="str">
        <f>"504-61-225"</f>
        <v>504-61-225</v>
      </c>
      <c r="S5586" t="s">
        <v>9407</v>
      </c>
      <c r="T5586" t="s">
        <v>9408</v>
      </c>
      <c r="U5586">
        <v>2142</v>
      </c>
      <c r="V5586">
        <v>0</v>
      </c>
      <c r="W5586">
        <v>3</v>
      </c>
      <c r="X5586">
        <v>2014</v>
      </c>
      <c r="Z5586">
        <v>1</v>
      </c>
      <c r="AB5586">
        <v>0</v>
      </c>
      <c r="AC5586" t="s">
        <v>115</v>
      </c>
      <c r="AD5586">
        <v>3</v>
      </c>
      <c r="AE5586" t="s">
        <v>115</v>
      </c>
      <c r="AF5586">
        <v>0</v>
      </c>
      <c r="AG5586">
        <v>0</v>
      </c>
      <c r="AH5586" t="s">
        <v>116</v>
      </c>
      <c r="AI5586" s="1">
        <v>73460</v>
      </c>
      <c r="AJ5586" s="2">
        <v>0.26</v>
      </c>
      <c r="AK5586" s="1">
        <v>282840</v>
      </c>
      <c r="AL5586" t="s">
        <v>117</v>
      </c>
      <c r="AM5586" t="s">
        <v>118</v>
      </c>
      <c r="AN5586">
        <v>8048</v>
      </c>
      <c r="AO5586">
        <v>0.18</v>
      </c>
      <c r="AR5586">
        <v>1</v>
      </c>
      <c r="AS5586" s="1">
        <v>20780</v>
      </c>
      <c r="AT5586" s="1">
        <v>4150</v>
      </c>
      <c r="AU5586" s="1">
        <v>16630</v>
      </c>
      <c r="AV5586">
        <v>80.03</v>
      </c>
      <c r="AX5586" s="1">
        <v>1920.2</v>
      </c>
      <c r="AY5586" t="s">
        <v>8444</v>
      </c>
      <c r="AZ5586" t="s">
        <v>8444</v>
      </c>
      <c r="BA5586" t="s">
        <v>1247</v>
      </c>
      <c r="BE5586" s="3">
        <v>42150</v>
      </c>
      <c r="BF5586" s="1">
        <v>204974</v>
      </c>
      <c r="BG5586" t="s">
        <v>1975</v>
      </c>
      <c r="BH5586" s="1">
        <v>95.69</v>
      </c>
      <c r="BI5586" s="1">
        <v>209380</v>
      </c>
      <c r="BJ5586" s="3">
        <v>42150</v>
      </c>
      <c r="BK5586" t="s">
        <v>123</v>
      </c>
      <c r="BL5586" t="str">
        <f>"2015.366841"</f>
        <v>2015.366841</v>
      </c>
      <c r="BM5586" t="s">
        <v>3294</v>
      </c>
      <c r="BO5586" t="s">
        <v>34305</v>
      </c>
      <c r="BS5586">
        <v>30</v>
      </c>
      <c r="BW5586" t="str">
        <f>""</f>
        <v/>
      </c>
      <c r="CH5586" t="str">
        <f>""</f>
        <v/>
      </c>
      <c r="CS5586" t="str">
        <f>""</f>
        <v/>
      </c>
    </row>
    <row r="5587" spans="1:97" x14ac:dyDescent="0.25">
      <c r="A5587" t="s">
        <v>6619</v>
      </c>
      <c r="B5587" t="s">
        <v>34306</v>
      </c>
      <c r="E5587" t="s">
        <v>34307</v>
      </c>
      <c r="F5587" t="s">
        <v>108</v>
      </c>
      <c r="H5587" t="s">
        <v>34308</v>
      </c>
      <c r="I5587" t="s">
        <v>632</v>
      </c>
      <c r="J5587" t="s">
        <v>111</v>
      </c>
      <c r="K5587" t="str">
        <f>"85379"</f>
        <v>85379</v>
      </c>
      <c r="L5587" t="s">
        <v>145</v>
      </c>
      <c r="M5587" t="s">
        <v>34308</v>
      </c>
      <c r="N5587" t="s">
        <v>632</v>
      </c>
      <c r="O5587" t="s">
        <v>111</v>
      </c>
      <c r="P5587" t="str">
        <f>"85379-4752"</f>
        <v>85379-4752</v>
      </c>
      <c r="Q5587" t="s">
        <v>113</v>
      </c>
      <c r="R5587" t="str">
        <f>"509-03-858"</f>
        <v>509-03-858</v>
      </c>
      <c r="S5587" t="s">
        <v>8133</v>
      </c>
      <c r="U5587">
        <v>2524</v>
      </c>
      <c r="V5587">
        <v>0</v>
      </c>
      <c r="W5587">
        <v>3</v>
      </c>
      <c r="X5587">
        <v>2006</v>
      </c>
      <c r="Z5587">
        <v>2</v>
      </c>
      <c r="AB5587">
        <v>0</v>
      </c>
      <c r="AC5587" t="s">
        <v>115</v>
      </c>
      <c r="AD5587">
        <v>2</v>
      </c>
      <c r="AE5587" t="s">
        <v>115</v>
      </c>
      <c r="AF5587">
        <v>0</v>
      </c>
      <c r="AG5587">
        <v>0</v>
      </c>
      <c r="AH5587" t="s">
        <v>116</v>
      </c>
      <c r="AI5587" s="1">
        <v>66611</v>
      </c>
      <c r="AJ5587" s="2">
        <v>0.22</v>
      </c>
      <c r="AK5587" s="1">
        <v>300534</v>
      </c>
      <c r="AL5587" t="s">
        <v>117</v>
      </c>
      <c r="AM5587" t="s">
        <v>118</v>
      </c>
      <c r="AN5587">
        <v>6489</v>
      </c>
      <c r="AO5587">
        <v>0.15</v>
      </c>
      <c r="AR5587">
        <v>1</v>
      </c>
      <c r="AS5587" s="1">
        <v>19830</v>
      </c>
      <c r="AT5587" s="1">
        <v>3960</v>
      </c>
      <c r="AU5587" s="1">
        <v>15870</v>
      </c>
      <c r="AV5587">
        <v>80.03</v>
      </c>
      <c r="AX5587" s="1">
        <v>1505.68</v>
      </c>
      <c r="AY5587" t="s">
        <v>5818</v>
      </c>
      <c r="AZ5587" t="s">
        <v>5818</v>
      </c>
      <c r="BA5587" t="s">
        <v>321</v>
      </c>
      <c r="BE5587" s="3">
        <v>41822</v>
      </c>
      <c r="BF5587" s="1">
        <v>229000</v>
      </c>
      <c r="BG5587" t="s">
        <v>34309</v>
      </c>
      <c r="BH5587" s="1">
        <v>90.73</v>
      </c>
      <c r="BI5587" s="1">
        <v>233923</v>
      </c>
      <c r="BJ5587" s="3">
        <v>41822</v>
      </c>
      <c r="BK5587" t="s">
        <v>123</v>
      </c>
      <c r="BL5587" t="str">
        <f>"2014.435612"</f>
        <v>2014.435612</v>
      </c>
      <c r="BM5587" t="s">
        <v>1185</v>
      </c>
      <c r="BO5587" t="s">
        <v>34310</v>
      </c>
      <c r="BS5587">
        <v>30</v>
      </c>
      <c r="BW5587" t="str">
        <f>""</f>
        <v/>
      </c>
      <c r="CH5587" t="str">
        <f>""</f>
        <v/>
      </c>
      <c r="CS5587" t="str">
        <f>""</f>
        <v/>
      </c>
    </row>
    <row r="5588" spans="1:97" x14ac:dyDescent="0.25">
      <c r="A5588" t="s">
        <v>370</v>
      </c>
      <c r="B5588" t="s">
        <v>34311</v>
      </c>
      <c r="E5588" t="s">
        <v>34312</v>
      </c>
      <c r="F5588" t="s">
        <v>108</v>
      </c>
      <c r="H5588" t="s">
        <v>34313</v>
      </c>
      <c r="I5588" t="s">
        <v>225</v>
      </c>
      <c r="J5588" t="s">
        <v>111</v>
      </c>
      <c r="K5588" t="str">
        <f>"85203"</f>
        <v>85203</v>
      </c>
      <c r="L5588" t="s">
        <v>5606</v>
      </c>
      <c r="M5588" t="s">
        <v>34313</v>
      </c>
      <c r="N5588" t="s">
        <v>225</v>
      </c>
      <c r="O5588" t="s">
        <v>111</v>
      </c>
      <c r="P5588" t="str">
        <f>"85203-2859"</f>
        <v>85203-2859</v>
      </c>
      <c r="Q5588" t="s">
        <v>113</v>
      </c>
      <c r="R5588" t="str">
        <f>"136-29-067"</f>
        <v>136-29-067</v>
      </c>
      <c r="S5588" t="s">
        <v>34314</v>
      </c>
      <c r="T5588" t="s">
        <v>34315</v>
      </c>
      <c r="U5588">
        <v>1940</v>
      </c>
      <c r="V5588">
        <v>0</v>
      </c>
      <c r="W5588">
        <v>3</v>
      </c>
      <c r="X5588">
        <v>1986</v>
      </c>
      <c r="Z5588">
        <v>1</v>
      </c>
      <c r="AB5588">
        <v>0</v>
      </c>
      <c r="AC5588" t="s">
        <v>115</v>
      </c>
      <c r="AD5588">
        <v>2</v>
      </c>
      <c r="AE5588" t="s">
        <v>115</v>
      </c>
      <c r="AF5588">
        <v>0</v>
      </c>
      <c r="AG5588">
        <v>0</v>
      </c>
      <c r="AH5588" t="s">
        <v>116</v>
      </c>
      <c r="AI5588" s="1">
        <v>57037</v>
      </c>
      <c r="AJ5588" s="2">
        <v>0.18</v>
      </c>
      <c r="AK5588" s="1">
        <v>318336</v>
      </c>
      <c r="AL5588" t="s">
        <v>117</v>
      </c>
      <c r="AM5588" t="s">
        <v>917</v>
      </c>
      <c r="AN5588">
        <v>11822</v>
      </c>
      <c r="AO5588">
        <v>0.27</v>
      </c>
      <c r="AP5588">
        <v>1</v>
      </c>
      <c r="AR5588">
        <v>1</v>
      </c>
      <c r="AS5588" s="1">
        <v>24450</v>
      </c>
      <c r="AT5588" s="1">
        <v>4890</v>
      </c>
      <c r="AU5588" s="1">
        <v>19560</v>
      </c>
      <c r="AV5588">
        <v>80</v>
      </c>
      <c r="AX5588" s="1">
        <v>1600.1</v>
      </c>
      <c r="AY5588" t="s">
        <v>6401</v>
      </c>
      <c r="AZ5588" t="s">
        <v>4163</v>
      </c>
      <c r="BA5588" t="s">
        <v>1524</v>
      </c>
      <c r="BE5588" s="3">
        <v>42550</v>
      </c>
      <c r="BF5588" s="1">
        <v>255800</v>
      </c>
      <c r="BG5588" t="s">
        <v>34316</v>
      </c>
      <c r="BH5588" s="1">
        <v>131.86000000000001</v>
      </c>
      <c r="BI5588" s="1">
        <v>261299</v>
      </c>
      <c r="BJ5588" s="3">
        <v>42550</v>
      </c>
      <c r="BK5588" t="s">
        <v>123</v>
      </c>
      <c r="BL5588" t="str">
        <f>"2016.456757"</f>
        <v>2016.456757</v>
      </c>
      <c r="BM5588" t="s">
        <v>709</v>
      </c>
      <c r="BO5588" t="s">
        <v>34317</v>
      </c>
      <c r="BS5588">
        <v>30</v>
      </c>
      <c r="BW5588" t="str">
        <f>""</f>
        <v/>
      </c>
      <c r="CH5588" t="str">
        <f>""</f>
        <v/>
      </c>
      <c r="CS5588" t="str">
        <f>""</f>
        <v/>
      </c>
    </row>
    <row r="5589" spans="1:97" x14ac:dyDescent="0.25">
      <c r="A5589" t="s">
        <v>4402</v>
      </c>
      <c r="B5589" t="s">
        <v>34318</v>
      </c>
      <c r="C5589" t="s">
        <v>2976</v>
      </c>
      <c r="D5589" t="s">
        <v>34318</v>
      </c>
      <c r="E5589" t="s">
        <v>34319</v>
      </c>
      <c r="F5589" t="s">
        <v>108</v>
      </c>
      <c r="H5589" t="s">
        <v>34320</v>
      </c>
      <c r="I5589" t="s">
        <v>390</v>
      </c>
      <c r="J5589" t="s">
        <v>111</v>
      </c>
      <c r="K5589" t="str">
        <f>"85086"</f>
        <v>85086</v>
      </c>
      <c r="L5589" t="s">
        <v>688</v>
      </c>
      <c r="M5589" t="s">
        <v>34320</v>
      </c>
      <c r="N5589" t="s">
        <v>390</v>
      </c>
      <c r="O5589" t="s">
        <v>111</v>
      </c>
      <c r="P5589" t="str">
        <f>"85086-6704"</f>
        <v>85086-6704</v>
      </c>
      <c r="Q5589" t="s">
        <v>113</v>
      </c>
      <c r="R5589" t="str">
        <f>"203-11-211"</f>
        <v>203-11-211</v>
      </c>
      <c r="S5589" t="s">
        <v>18644</v>
      </c>
      <c r="U5589">
        <v>2168</v>
      </c>
      <c r="V5589">
        <v>0</v>
      </c>
      <c r="W5589">
        <v>3</v>
      </c>
      <c r="X5589">
        <v>2006</v>
      </c>
      <c r="Z5589">
        <v>2</v>
      </c>
      <c r="AB5589">
        <v>0</v>
      </c>
      <c r="AC5589" t="s">
        <v>115</v>
      </c>
      <c r="AD5589">
        <v>2</v>
      </c>
      <c r="AE5589" t="s">
        <v>115</v>
      </c>
      <c r="AF5589">
        <v>0</v>
      </c>
      <c r="AG5589">
        <v>0</v>
      </c>
      <c r="AH5589" t="s">
        <v>116</v>
      </c>
      <c r="AI5589" s="1">
        <v>67983</v>
      </c>
      <c r="AJ5589" s="2">
        <v>0.21</v>
      </c>
      <c r="AK5589" s="1">
        <v>329733</v>
      </c>
      <c r="AL5589" t="s">
        <v>117</v>
      </c>
      <c r="AM5589" t="s">
        <v>191</v>
      </c>
      <c r="AN5589">
        <v>5585</v>
      </c>
      <c r="AO5589">
        <v>0.13</v>
      </c>
      <c r="AR5589">
        <v>1</v>
      </c>
      <c r="AS5589" s="1">
        <v>21770</v>
      </c>
      <c r="AT5589" s="1">
        <v>4350</v>
      </c>
      <c r="AU5589" s="1">
        <v>17420</v>
      </c>
      <c r="AV5589">
        <v>80.02</v>
      </c>
      <c r="AX5589" s="1">
        <v>2298.5</v>
      </c>
      <c r="AY5589" t="s">
        <v>5380</v>
      </c>
      <c r="AZ5589" t="s">
        <v>5380</v>
      </c>
      <c r="BA5589" t="s">
        <v>378</v>
      </c>
      <c r="BE5589" s="3">
        <v>42178</v>
      </c>
      <c r="BF5589" s="1">
        <v>253500</v>
      </c>
      <c r="BG5589" t="s">
        <v>34321</v>
      </c>
      <c r="BH5589" s="1">
        <v>116.93</v>
      </c>
      <c r="BI5589" s="1">
        <v>261750</v>
      </c>
      <c r="BJ5589" s="3">
        <v>42436</v>
      </c>
      <c r="BK5589" t="s">
        <v>123</v>
      </c>
      <c r="BL5589" t="str">
        <f>"2016.144942"</f>
        <v>2016.144942</v>
      </c>
      <c r="BM5589" t="s">
        <v>724</v>
      </c>
      <c r="BO5589" t="s">
        <v>34322</v>
      </c>
      <c r="BS5589">
        <v>30</v>
      </c>
      <c r="BW5589" t="str">
        <f>""</f>
        <v/>
      </c>
      <c r="CH5589" t="str">
        <f>""</f>
        <v/>
      </c>
      <c r="CS5589" t="str">
        <f>""</f>
        <v/>
      </c>
    </row>
    <row r="5590" spans="1:97" x14ac:dyDescent="0.25">
      <c r="A5590" t="s">
        <v>34323</v>
      </c>
      <c r="B5590" t="s">
        <v>34324</v>
      </c>
      <c r="C5590" t="s">
        <v>4327</v>
      </c>
      <c r="D5590" t="s">
        <v>34324</v>
      </c>
      <c r="E5590" t="s">
        <v>34325</v>
      </c>
      <c r="F5590" t="s">
        <v>108</v>
      </c>
      <c r="H5590" t="s">
        <v>34326</v>
      </c>
      <c r="I5590" t="s">
        <v>390</v>
      </c>
      <c r="J5590" t="s">
        <v>111</v>
      </c>
      <c r="K5590" t="str">
        <f>"85032"</f>
        <v>85032</v>
      </c>
      <c r="L5590" t="s">
        <v>2547</v>
      </c>
      <c r="M5590" t="s">
        <v>34326</v>
      </c>
      <c r="N5590" t="s">
        <v>390</v>
      </c>
      <c r="O5590" t="s">
        <v>111</v>
      </c>
      <c r="P5590" t="str">
        <f>"85032-6940"</f>
        <v>85032-6940</v>
      </c>
      <c r="Q5590" t="s">
        <v>113</v>
      </c>
      <c r="R5590" t="str">
        <f>"166-54-433"</f>
        <v>166-54-433</v>
      </c>
      <c r="S5590" t="s">
        <v>34327</v>
      </c>
      <c r="T5590" t="s">
        <v>33333</v>
      </c>
      <c r="U5590">
        <v>1700</v>
      </c>
      <c r="V5590">
        <v>0</v>
      </c>
      <c r="W5590">
        <v>2</v>
      </c>
      <c r="X5590">
        <v>1972</v>
      </c>
      <c r="Z5590">
        <v>1</v>
      </c>
      <c r="AA5590" t="s">
        <v>26</v>
      </c>
      <c r="AB5590">
        <v>0</v>
      </c>
      <c r="AC5590" t="s">
        <v>115</v>
      </c>
      <c r="AD5590">
        <v>2</v>
      </c>
      <c r="AE5590" t="s">
        <v>115</v>
      </c>
      <c r="AF5590">
        <v>0</v>
      </c>
      <c r="AG5590">
        <v>0</v>
      </c>
      <c r="AH5590" t="s">
        <v>116</v>
      </c>
      <c r="AI5590" s="1">
        <v>90622</v>
      </c>
      <c r="AJ5590" s="2">
        <v>0.3</v>
      </c>
      <c r="AK5590" s="1">
        <v>305137</v>
      </c>
      <c r="AL5590" t="s">
        <v>117</v>
      </c>
      <c r="AM5590" t="s">
        <v>191</v>
      </c>
      <c r="AN5590">
        <v>7920</v>
      </c>
      <c r="AO5590">
        <v>0.18</v>
      </c>
      <c r="AP5590">
        <v>1</v>
      </c>
      <c r="AR5590">
        <v>1</v>
      </c>
      <c r="AS5590" s="1">
        <v>21770</v>
      </c>
      <c r="AT5590" s="1">
        <v>4350</v>
      </c>
      <c r="AU5590" s="1">
        <v>17420</v>
      </c>
      <c r="AV5590">
        <v>80.02</v>
      </c>
      <c r="AX5590" s="1">
        <v>1318.34</v>
      </c>
      <c r="AY5590" t="s">
        <v>6904</v>
      </c>
      <c r="AZ5590" t="s">
        <v>5489</v>
      </c>
      <c r="BA5590" t="s">
        <v>5232</v>
      </c>
      <c r="BE5590" s="3">
        <v>41969</v>
      </c>
      <c r="BF5590" s="1">
        <v>210000</v>
      </c>
      <c r="BG5590" t="s">
        <v>34328</v>
      </c>
      <c r="BH5590" s="1">
        <v>123.53</v>
      </c>
      <c r="BI5590" s="1">
        <v>214515</v>
      </c>
      <c r="BJ5590" s="3">
        <v>41969</v>
      </c>
      <c r="BK5590" t="s">
        <v>123</v>
      </c>
      <c r="BL5590" t="str">
        <f>"2014.787000"</f>
        <v>2014.787000</v>
      </c>
      <c r="BM5590" t="s">
        <v>724</v>
      </c>
      <c r="BO5590" t="s">
        <v>34329</v>
      </c>
      <c r="BS5590">
        <v>30</v>
      </c>
      <c r="BW5590" t="str">
        <f>""</f>
        <v/>
      </c>
      <c r="CH5590" t="str">
        <f>""</f>
        <v/>
      </c>
      <c r="CS5590" t="str">
        <f>""</f>
        <v/>
      </c>
    </row>
    <row r="5591" spans="1:97" x14ac:dyDescent="0.25">
      <c r="A5591" t="s">
        <v>34330</v>
      </c>
      <c r="B5591" t="s">
        <v>3592</v>
      </c>
      <c r="C5591" t="s">
        <v>34331</v>
      </c>
      <c r="D5591" t="s">
        <v>3592</v>
      </c>
      <c r="E5591" t="s">
        <v>34332</v>
      </c>
      <c r="F5591" t="s">
        <v>108</v>
      </c>
      <c r="H5591" t="s">
        <v>34333</v>
      </c>
      <c r="I5591" t="s">
        <v>5114</v>
      </c>
      <c r="J5591" t="s">
        <v>111</v>
      </c>
      <c r="K5591" t="str">
        <f>"85323"</f>
        <v>85323</v>
      </c>
      <c r="L5591" t="s">
        <v>189</v>
      </c>
      <c r="M5591" t="s">
        <v>34333</v>
      </c>
      <c r="N5591" t="s">
        <v>5114</v>
      </c>
      <c r="O5591" t="s">
        <v>111</v>
      </c>
      <c r="P5591" t="str">
        <f>"85323-3338"</f>
        <v>85323-3338</v>
      </c>
      <c r="Q5591" t="s">
        <v>113</v>
      </c>
      <c r="R5591" t="str">
        <f>"101-01-642"</f>
        <v>101-01-642</v>
      </c>
      <c r="S5591" t="s">
        <v>9031</v>
      </c>
      <c r="T5591" t="s">
        <v>9032</v>
      </c>
      <c r="U5591">
        <v>3239</v>
      </c>
      <c r="V5591">
        <v>0</v>
      </c>
      <c r="W5591">
        <v>4</v>
      </c>
      <c r="X5591">
        <v>2007</v>
      </c>
      <c r="Z5591">
        <v>2</v>
      </c>
      <c r="AB5591">
        <v>0</v>
      </c>
      <c r="AC5591" t="s">
        <v>115</v>
      </c>
      <c r="AD5591">
        <v>2</v>
      </c>
      <c r="AE5591" t="s">
        <v>115</v>
      </c>
      <c r="AF5591">
        <v>0</v>
      </c>
      <c r="AG5591">
        <v>0</v>
      </c>
      <c r="AH5591" t="s">
        <v>116</v>
      </c>
      <c r="AI5591" s="1">
        <v>104078</v>
      </c>
      <c r="AJ5591" s="2">
        <v>0.32</v>
      </c>
      <c r="AK5591" s="1">
        <v>322078</v>
      </c>
      <c r="AL5591" t="s">
        <v>117</v>
      </c>
      <c r="AM5591" t="s">
        <v>118</v>
      </c>
      <c r="AN5591">
        <v>7391</v>
      </c>
      <c r="AO5591">
        <v>0.17</v>
      </c>
      <c r="AR5591">
        <v>1</v>
      </c>
      <c r="AS5591" s="1">
        <v>23310</v>
      </c>
      <c r="AT5591" s="1">
        <v>4660</v>
      </c>
      <c r="AU5591" s="1">
        <v>18650</v>
      </c>
      <c r="AV5591">
        <v>80.010000000000005</v>
      </c>
      <c r="AX5591" s="1">
        <v>2316.7600000000002</v>
      </c>
      <c r="AY5591" t="s">
        <v>9033</v>
      </c>
      <c r="AZ5591" t="s">
        <v>9033</v>
      </c>
      <c r="BA5591" t="s">
        <v>4254</v>
      </c>
      <c r="BB5591" s="3">
        <v>41932</v>
      </c>
      <c r="BD5591" t="s">
        <v>240</v>
      </c>
      <c r="BE5591" s="3">
        <v>41926</v>
      </c>
      <c r="BF5591" s="1">
        <v>218000</v>
      </c>
      <c r="BG5591" t="s">
        <v>34334</v>
      </c>
      <c r="BH5591" s="1">
        <v>67.3</v>
      </c>
      <c r="BI5591" s="1">
        <v>218000</v>
      </c>
      <c r="BJ5591" s="3">
        <v>41926</v>
      </c>
      <c r="BK5591" t="s">
        <v>123</v>
      </c>
      <c r="BL5591" t="str">
        <f>"2014.678936"</f>
        <v>2014.678936</v>
      </c>
      <c r="BM5591" t="s">
        <v>475</v>
      </c>
      <c r="BO5591" t="s">
        <v>34335</v>
      </c>
      <c r="BS5591">
        <v>30</v>
      </c>
      <c r="BW5591" t="str">
        <f>""</f>
        <v/>
      </c>
      <c r="CH5591" t="str">
        <f>""</f>
        <v/>
      </c>
      <c r="CS5591" t="str">
        <f>""</f>
        <v/>
      </c>
    </row>
    <row r="5592" spans="1:97" x14ac:dyDescent="0.25">
      <c r="A5592" t="s">
        <v>9803</v>
      </c>
      <c r="B5592" t="s">
        <v>34336</v>
      </c>
      <c r="E5592" t="s">
        <v>34337</v>
      </c>
      <c r="F5592" t="s">
        <v>108</v>
      </c>
      <c r="H5592" t="s">
        <v>34338</v>
      </c>
      <c r="I5592" t="s">
        <v>453</v>
      </c>
      <c r="J5592" t="s">
        <v>111</v>
      </c>
      <c r="K5592" t="str">
        <f>"85381"</f>
        <v>85381</v>
      </c>
      <c r="L5592" t="s">
        <v>8543</v>
      </c>
      <c r="M5592" t="s">
        <v>34338</v>
      </c>
      <c r="N5592" t="s">
        <v>453</v>
      </c>
      <c r="O5592" t="s">
        <v>111</v>
      </c>
      <c r="P5592" t="str">
        <f>"85381-4667"</f>
        <v>85381-4667</v>
      </c>
      <c r="Q5592" t="s">
        <v>113</v>
      </c>
      <c r="R5592" t="str">
        <f>"200-62-383"</f>
        <v>200-62-383</v>
      </c>
      <c r="S5592" t="s">
        <v>31099</v>
      </c>
      <c r="T5592" t="s">
        <v>31100</v>
      </c>
      <c r="U5592">
        <v>2042</v>
      </c>
      <c r="V5592">
        <v>0</v>
      </c>
      <c r="W5592">
        <v>3</v>
      </c>
      <c r="X5592">
        <v>1990</v>
      </c>
      <c r="Z5592">
        <v>1</v>
      </c>
      <c r="AA5592" t="s">
        <v>26</v>
      </c>
      <c r="AB5592">
        <v>0</v>
      </c>
      <c r="AC5592" t="s">
        <v>115</v>
      </c>
      <c r="AD5592">
        <v>2</v>
      </c>
      <c r="AE5592" t="s">
        <v>115</v>
      </c>
      <c r="AF5592">
        <v>0</v>
      </c>
      <c r="AG5592">
        <v>0</v>
      </c>
      <c r="AH5592" t="s">
        <v>116</v>
      </c>
      <c r="AI5592" s="1">
        <v>65957</v>
      </c>
      <c r="AJ5592" s="2">
        <v>0.21</v>
      </c>
      <c r="AK5592" s="1">
        <v>321332</v>
      </c>
      <c r="AL5592" t="s">
        <v>117</v>
      </c>
      <c r="AM5592" t="s">
        <v>171</v>
      </c>
      <c r="AN5592">
        <v>9074</v>
      </c>
      <c r="AO5592">
        <v>0.21</v>
      </c>
      <c r="AP5592">
        <v>1</v>
      </c>
      <c r="AR5592">
        <v>1</v>
      </c>
      <c r="AS5592" s="1">
        <v>21070</v>
      </c>
      <c r="AT5592" s="1">
        <v>4210</v>
      </c>
      <c r="AU5592" s="1">
        <v>16860</v>
      </c>
      <c r="AV5592">
        <v>80.02</v>
      </c>
      <c r="AX5592" s="1">
        <v>1723.5</v>
      </c>
      <c r="AY5592" t="s">
        <v>1799</v>
      </c>
      <c r="AZ5592" t="s">
        <v>1799</v>
      </c>
      <c r="BA5592" t="s">
        <v>1800</v>
      </c>
      <c r="BE5592" s="3">
        <v>42270</v>
      </c>
      <c r="BF5592" s="1">
        <v>250000</v>
      </c>
      <c r="BG5592" t="s">
        <v>34339</v>
      </c>
      <c r="BH5592" s="1">
        <v>122.43</v>
      </c>
      <c r="BI5592" s="1">
        <v>255375</v>
      </c>
      <c r="BJ5592" s="3">
        <v>42270</v>
      </c>
      <c r="BK5592" t="s">
        <v>123</v>
      </c>
      <c r="BL5592" t="str">
        <f>"2015.684986"</f>
        <v>2015.684986</v>
      </c>
      <c r="BM5592" t="s">
        <v>820</v>
      </c>
      <c r="BO5592" t="s">
        <v>34340</v>
      </c>
      <c r="BS5592">
        <v>30</v>
      </c>
      <c r="BW5592" t="str">
        <f>""</f>
        <v/>
      </c>
      <c r="CH5592" t="str">
        <f>""</f>
        <v/>
      </c>
      <c r="CS5592" t="str">
        <f>""</f>
        <v/>
      </c>
    </row>
    <row r="5593" spans="1:97" x14ac:dyDescent="0.25">
      <c r="A5593" t="s">
        <v>6671</v>
      </c>
      <c r="B5593" t="s">
        <v>3787</v>
      </c>
      <c r="E5593" t="s">
        <v>28260</v>
      </c>
      <c r="F5593" t="s">
        <v>108</v>
      </c>
      <c r="H5593" t="s">
        <v>34341</v>
      </c>
      <c r="I5593" t="s">
        <v>5114</v>
      </c>
      <c r="J5593" t="s">
        <v>111</v>
      </c>
      <c r="K5593" t="str">
        <f>"85392"</f>
        <v>85392</v>
      </c>
      <c r="L5593" t="s">
        <v>6169</v>
      </c>
      <c r="M5593" t="s">
        <v>34341</v>
      </c>
      <c r="N5593" t="s">
        <v>5114</v>
      </c>
      <c r="O5593" t="s">
        <v>111</v>
      </c>
      <c r="P5593" t="str">
        <f>"85392-5072"</f>
        <v>85392-5072</v>
      </c>
      <c r="Q5593" t="s">
        <v>113</v>
      </c>
      <c r="R5593" t="str">
        <f>"102-30-742"</f>
        <v>102-30-742</v>
      </c>
      <c r="S5593" t="s">
        <v>34342</v>
      </c>
      <c r="T5593" t="s">
        <v>34342</v>
      </c>
      <c r="U5593">
        <v>1944</v>
      </c>
      <c r="V5593">
        <v>0</v>
      </c>
      <c r="W5593">
        <v>3</v>
      </c>
      <c r="X5593">
        <v>1999</v>
      </c>
      <c r="Z5593">
        <v>1</v>
      </c>
      <c r="AA5593" t="s">
        <v>26</v>
      </c>
      <c r="AB5593">
        <v>0</v>
      </c>
      <c r="AC5593" t="s">
        <v>115</v>
      </c>
      <c r="AD5593">
        <v>3</v>
      </c>
      <c r="AE5593" t="s">
        <v>115</v>
      </c>
      <c r="AF5593">
        <v>0</v>
      </c>
      <c r="AG5593">
        <v>0</v>
      </c>
      <c r="AH5593" t="s">
        <v>116</v>
      </c>
      <c r="AI5593" s="1">
        <v>56479</v>
      </c>
      <c r="AJ5593" s="2">
        <v>0.2</v>
      </c>
      <c r="AK5593" s="1">
        <v>288479</v>
      </c>
      <c r="AL5593" t="s">
        <v>117</v>
      </c>
      <c r="AM5593" t="s">
        <v>118</v>
      </c>
      <c r="AN5593">
        <v>7260</v>
      </c>
      <c r="AO5593">
        <v>0.17</v>
      </c>
      <c r="AP5593">
        <v>1</v>
      </c>
      <c r="AR5593">
        <v>1</v>
      </c>
      <c r="AS5593" s="1">
        <v>21310</v>
      </c>
      <c r="AT5593" s="1">
        <v>4260</v>
      </c>
      <c r="AU5593" s="1">
        <v>17050</v>
      </c>
      <c r="AV5593">
        <v>80.010000000000005</v>
      </c>
      <c r="AX5593" s="1">
        <v>2311.46</v>
      </c>
      <c r="AY5593" t="s">
        <v>5117</v>
      </c>
      <c r="AZ5593" t="s">
        <v>5117</v>
      </c>
      <c r="BA5593" t="s">
        <v>5118</v>
      </c>
      <c r="BE5593" s="3">
        <v>42348</v>
      </c>
      <c r="BF5593" s="1">
        <v>209000</v>
      </c>
      <c r="BG5593" t="s">
        <v>5034</v>
      </c>
      <c r="BH5593" s="1">
        <v>107.51</v>
      </c>
      <c r="BI5593" s="1">
        <v>232000</v>
      </c>
      <c r="BJ5593" s="3">
        <v>43110</v>
      </c>
      <c r="BK5593" t="s">
        <v>123</v>
      </c>
      <c r="BL5593" t="str">
        <f>"2018.21377"</f>
        <v>2018.21377</v>
      </c>
      <c r="BM5593" t="s">
        <v>492</v>
      </c>
      <c r="BN5593" t="s">
        <v>4706</v>
      </c>
      <c r="BO5593" t="s">
        <v>34343</v>
      </c>
      <c r="BR5593" t="s">
        <v>139</v>
      </c>
      <c r="BW5593" t="str">
        <f>""</f>
        <v/>
      </c>
      <c r="CH5593" t="str">
        <f>""</f>
        <v/>
      </c>
      <c r="CS5593" t="str">
        <f>""</f>
        <v/>
      </c>
    </row>
    <row r="5594" spans="1:97" x14ac:dyDescent="0.25">
      <c r="A5594" t="s">
        <v>13060</v>
      </c>
      <c r="B5594" t="s">
        <v>1697</v>
      </c>
      <c r="E5594" t="s">
        <v>34344</v>
      </c>
      <c r="F5594" t="s">
        <v>108</v>
      </c>
      <c r="H5594" t="s">
        <v>34345</v>
      </c>
      <c r="I5594" t="s">
        <v>4251</v>
      </c>
      <c r="J5594" t="s">
        <v>111</v>
      </c>
      <c r="K5594" t="str">
        <f>"85353"</f>
        <v>85353</v>
      </c>
      <c r="L5594" t="s">
        <v>316</v>
      </c>
      <c r="M5594" t="s">
        <v>34345</v>
      </c>
      <c r="N5594" t="s">
        <v>4251</v>
      </c>
      <c r="O5594" t="s">
        <v>111</v>
      </c>
      <c r="P5594" t="str">
        <f>"85353-4457"</f>
        <v>85353-4457</v>
      </c>
      <c r="Q5594" t="s">
        <v>113</v>
      </c>
      <c r="R5594" t="str">
        <f>"101-39-241"</f>
        <v>101-39-241</v>
      </c>
      <c r="S5594" t="s">
        <v>7206</v>
      </c>
      <c r="T5594" t="s">
        <v>7206</v>
      </c>
      <c r="U5594">
        <v>2676</v>
      </c>
      <c r="V5594">
        <v>0</v>
      </c>
      <c r="W5594">
        <v>3</v>
      </c>
      <c r="X5594">
        <v>2014</v>
      </c>
      <c r="Z5594">
        <v>2</v>
      </c>
      <c r="AB5594">
        <v>0</v>
      </c>
      <c r="AC5594" t="s">
        <v>115</v>
      </c>
      <c r="AD5594">
        <v>2</v>
      </c>
      <c r="AE5594" t="s">
        <v>115</v>
      </c>
      <c r="AF5594">
        <v>0</v>
      </c>
      <c r="AG5594">
        <v>0</v>
      </c>
      <c r="AH5594" t="s">
        <v>116</v>
      </c>
      <c r="AI5594" s="1">
        <v>97867</v>
      </c>
      <c r="AJ5594" s="2">
        <v>0.33</v>
      </c>
      <c r="AK5594" s="1">
        <v>297978</v>
      </c>
      <c r="AL5594" t="s">
        <v>117</v>
      </c>
      <c r="AM5594" t="s">
        <v>191</v>
      </c>
      <c r="AN5594">
        <v>7400</v>
      </c>
      <c r="AO5594">
        <v>0.17</v>
      </c>
      <c r="AR5594">
        <v>1</v>
      </c>
      <c r="AS5594" s="1">
        <v>21220</v>
      </c>
      <c r="AT5594" s="1">
        <v>4240</v>
      </c>
      <c r="AU5594" s="1">
        <v>16980</v>
      </c>
      <c r="AV5594">
        <v>80.02</v>
      </c>
      <c r="AX5594" s="1">
        <v>1874.4</v>
      </c>
      <c r="AY5594" t="s">
        <v>4253</v>
      </c>
      <c r="AZ5594" t="s">
        <v>4253</v>
      </c>
      <c r="BA5594" t="s">
        <v>4254</v>
      </c>
      <c r="BE5594" s="3">
        <v>41978</v>
      </c>
      <c r="BF5594" s="1">
        <v>195900</v>
      </c>
      <c r="BG5594" t="s">
        <v>2358</v>
      </c>
      <c r="BH5594" s="1">
        <v>73.209999999999994</v>
      </c>
      <c r="BI5594" s="1">
        <v>200111</v>
      </c>
      <c r="BJ5594" s="3">
        <v>41978</v>
      </c>
      <c r="BK5594" t="s">
        <v>123</v>
      </c>
      <c r="BL5594" t="str">
        <f>"2014.803141"</f>
        <v>2014.803141</v>
      </c>
      <c r="BM5594" t="s">
        <v>594</v>
      </c>
      <c r="BO5594" t="s">
        <v>34346</v>
      </c>
      <c r="BS5594">
        <v>30</v>
      </c>
      <c r="BW5594" t="str">
        <f>""</f>
        <v/>
      </c>
      <c r="CH5594" t="str">
        <f>""</f>
        <v/>
      </c>
      <c r="CS5594" t="str">
        <f>""</f>
        <v/>
      </c>
    </row>
    <row r="5595" spans="1:97" x14ac:dyDescent="0.25">
      <c r="A5595" t="s">
        <v>3221</v>
      </c>
      <c r="B5595" t="s">
        <v>34347</v>
      </c>
      <c r="C5595" t="s">
        <v>3958</v>
      </c>
      <c r="D5595" t="s">
        <v>34347</v>
      </c>
      <c r="E5595" t="s">
        <v>34348</v>
      </c>
      <c r="F5595" t="s">
        <v>108</v>
      </c>
      <c r="H5595" t="s">
        <v>34349</v>
      </c>
      <c r="I5595" t="s">
        <v>5523</v>
      </c>
      <c r="J5595" t="s">
        <v>111</v>
      </c>
      <c r="K5595" t="str">
        <f>"85373"</f>
        <v>85373</v>
      </c>
      <c r="L5595" t="s">
        <v>734</v>
      </c>
      <c r="M5595" t="s">
        <v>34349</v>
      </c>
      <c r="N5595" t="s">
        <v>5523</v>
      </c>
      <c r="O5595" t="s">
        <v>111</v>
      </c>
      <c r="P5595" t="str">
        <f>"85373-2337"</f>
        <v>85373-2337</v>
      </c>
      <c r="Q5595" t="s">
        <v>113</v>
      </c>
      <c r="R5595" t="str">
        <f>"200-12-093"</f>
        <v>200-12-093</v>
      </c>
      <c r="S5595" t="s">
        <v>27660</v>
      </c>
      <c r="U5595">
        <v>2034</v>
      </c>
      <c r="V5595">
        <v>0</v>
      </c>
      <c r="W5595">
        <v>3</v>
      </c>
      <c r="X5595">
        <v>1994</v>
      </c>
      <c r="Z5595">
        <v>1</v>
      </c>
      <c r="AA5595" t="s">
        <v>26</v>
      </c>
      <c r="AB5595">
        <v>0</v>
      </c>
      <c r="AC5595" t="s">
        <v>115</v>
      </c>
      <c r="AD5595">
        <v>3</v>
      </c>
      <c r="AE5595" t="s">
        <v>115</v>
      </c>
      <c r="AF5595">
        <v>0</v>
      </c>
      <c r="AG5595">
        <v>0</v>
      </c>
      <c r="AH5595" t="s">
        <v>116</v>
      </c>
      <c r="AI5595" s="1">
        <v>86293</v>
      </c>
      <c r="AJ5595" s="2">
        <v>0.23</v>
      </c>
      <c r="AK5595" s="1">
        <v>367785</v>
      </c>
      <c r="AL5595" t="s">
        <v>117</v>
      </c>
      <c r="AM5595" t="s">
        <v>3345</v>
      </c>
      <c r="AN5595">
        <v>8696</v>
      </c>
      <c r="AO5595">
        <v>0.2</v>
      </c>
      <c r="AP5595">
        <v>1</v>
      </c>
      <c r="AR5595">
        <v>1</v>
      </c>
      <c r="AS5595" s="1">
        <v>26910</v>
      </c>
      <c r="AT5595" s="1">
        <v>5380</v>
      </c>
      <c r="AU5595" s="1">
        <v>21530</v>
      </c>
      <c r="AV5595">
        <v>80.010000000000005</v>
      </c>
      <c r="AX5595" s="1">
        <v>2509.6799999999998</v>
      </c>
      <c r="AY5595" t="s">
        <v>4520</v>
      </c>
      <c r="AZ5595" t="s">
        <v>4520</v>
      </c>
      <c r="BA5595" t="s">
        <v>4219</v>
      </c>
      <c r="BE5595" s="3">
        <v>42187</v>
      </c>
      <c r="BF5595" s="1">
        <v>272500</v>
      </c>
      <c r="BG5595" t="s">
        <v>34350</v>
      </c>
      <c r="BH5595" s="1">
        <v>133.97</v>
      </c>
      <c r="BI5595" s="1">
        <v>281492</v>
      </c>
      <c r="BJ5595" s="3">
        <v>42187</v>
      </c>
      <c r="BK5595" t="s">
        <v>123</v>
      </c>
      <c r="BL5595" t="str">
        <f>"2015.479515"</f>
        <v>2015.479515</v>
      </c>
      <c r="BM5595" t="s">
        <v>8521</v>
      </c>
      <c r="BO5595" t="s">
        <v>34351</v>
      </c>
      <c r="BS5595">
        <v>30</v>
      </c>
      <c r="BW5595" t="str">
        <f>""</f>
        <v/>
      </c>
      <c r="CH5595" t="str">
        <f>""</f>
        <v/>
      </c>
      <c r="CS5595" t="str">
        <f>""</f>
        <v/>
      </c>
    </row>
    <row r="5596" spans="1:97" x14ac:dyDescent="0.25">
      <c r="A5596" t="s">
        <v>3817</v>
      </c>
      <c r="B5596" t="s">
        <v>34352</v>
      </c>
      <c r="E5596" t="s">
        <v>34353</v>
      </c>
      <c r="F5596" t="s">
        <v>108</v>
      </c>
      <c r="H5596" t="s">
        <v>34354</v>
      </c>
      <c r="I5596" t="s">
        <v>5387</v>
      </c>
      <c r="J5596" t="s">
        <v>111</v>
      </c>
      <c r="K5596" t="str">
        <f>"85282"</f>
        <v>85282</v>
      </c>
      <c r="L5596" t="s">
        <v>6923</v>
      </c>
      <c r="M5596" t="s">
        <v>34354</v>
      </c>
      <c r="N5596" t="s">
        <v>5387</v>
      </c>
      <c r="O5596" t="s">
        <v>111</v>
      </c>
      <c r="P5596" t="str">
        <f>"85282-7310"</f>
        <v>85282-7310</v>
      </c>
      <c r="Q5596" t="s">
        <v>113</v>
      </c>
      <c r="R5596" t="str">
        <f>"133-39-252"</f>
        <v>133-39-252</v>
      </c>
      <c r="S5596" t="s">
        <v>34355</v>
      </c>
      <c r="U5596">
        <v>2360</v>
      </c>
      <c r="V5596">
        <v>0</v>
      </c>
      <c r="W5596">
        <v>4</v>
      </c>
      <c r="X5596">
        <v>1971</v>
      </c>
      <c r="Z5596">
        <v>2</v>
      </c>
      <c r="AB5596">
        <v>0</v>
      </c>
      <c r="AC5596" t="s">
        <v>115</v>
      </c>
      <c r="AD5596">
        <v>2</v>
      </c>
      <c r="AE5596" t="s">
        <v>115</v>
      </c>
      <c r="AF5596">
        <v>0</v>
      </c>
      <c r="AG5596">
        <v>0</v>
      </c>
      <c r="AH5596" t="s">
        <v>116</v>
      </c>
      <c r="AI5596" s="1">
        <v>120165</v>
      </c>
      <c r="AJ5596" s="2">
        <v>0.33</v>
      </c>
      <c r="AK5596" s="1">
        <v>363075</v>
      </c>
      <c r="AL5596" t="s">
        <v>117</v>
      </c>
      <c r="AM5596" t="s">
        <v>191</v>
      </c>
      <c r="AN5596">
        <v>7693</v>
      </c>
      <c r="AO5596">
        <v>0.18</v>
      </c>
      <c r="AP5596">
        <v>1</v>
      </c>
      <c r="AR5596">
        <v>1</v>
      </c>
      <c r="AS5596" s="1">
        <v>24780</v>
      </c>
      <c r="AT5596" s="1">
        <v>4950</v>
      </c>
      <c r="AU5596" s="1">
        <v>19830</v>
      </c>
      <c r="AV5596">
        <v>80.02</v>
      </c>
      <c r="AX5596" s="1">
        <v>2055.7399999999998</v>
      </c>
      <c r="AY5596" t="s">
        <v>9564</v>
      </c>
      <c r="AZ5596" t="s">
        <v>11073</v>
      </c>
      <c r="BA5596" t="s">
        <v>10858</v>
      </c>
      <c r="BB5596" s="3">
        <v>42683</v>
      </c>
      <c r="BD5596" t="s">
        <v>458</v>
      </c>
      <c r="BE5596" s="3">
        <v>41845</v>
      </c>
      <c r="BF5596" s="1">
        <v>240000</v>
      </c>
      <c r="BG5596" t="s">
        <v>34356</v>
      </c>
      <c r="BH5596" s="1">
        <v>101.69</v>
      </c>
      <c r="BI5596" s="1">
        <v>242910</v>
      </c>
      <c r="BJ5596" s="3">
        <v>42683</v>
      </c>
      <c r="BK5596" t="s">
        <v>123</v>
      </c>
      <c r="BL5596" t="str">
        <f>"2016.826439"</f>
        <v>2016.826439</v>
      </c>
      <c r="BM5596" t="s">
        <v>2117</v>
      </c>
      <c r="BO5596" t="s">
        <v>34357</v>
      </c>
      <c r="BS5596">
        <v>30</v>
      </c>
      <c r="BW5596" t="str">
        <f>""</f>
        <v/>
      </c>
      <c r="CH5596" t="str">
        <f>""</f>
        <v/>
      </c>
      <c r="CS5596" t="str">
        <f>""</f>
        <v/>
      </c>
    </row>
    <row r="5597" spans="1:97" x14ac:dyDescent="0.25">
      <c r="B5597" t="s">
        <v>34358</v>
      </c>
      <c r="C5597" t="s">
        <v>2294</v>
      </c>
      <c r="E5597" t="s">
        <v>31985</v>
      </c>
      <c r="F5597" t="s">
        <v>108</v>
      </c>
      <c r="H5597" t="s">
        <v>34359</v>
      </c>
      <c r="I5597" t="s">
        <v>110</v>
      </c>
      <c r="J5597" t="s">
        <v>111</v>
      </c>
      <c r="K5597" t="str">
        <f>"85249"</f>
        <v>85249</v>
      </c>
      <c r="L5597" t="s">
        <v>11709</v>
      </c>
      <c r="M5597" t="s">
        <v>34359</v>
      </c>
      <c r="N5597" t="s">
        <v>110</v>
      </c>
      <c r="O5597" t="s">
        <v>111</v>
      </c>
      <c r="P5597" t="str">
        <f>"85249-4067"</f>
        <v>85249-4067</v>
      </c>
      <c r="Q5597" t="s">
        <v>113</v>
      </c>
      <c r="R5597" t="str">
        <f>"303-57-421"</f>
        <v>303-57-421</v>
      </c>
      <c r="S5597" t="s">
        <v>34360</v>
      </c>
      <c r="U5597">
        <v>1928</v>
      </c>
      <c r="V5597">
        <v>0</v>
      </c>
      <c r="W5597">
        <v>3</v>
      </c>
      <c r="X5597">
        <v>1990</v>
      </c>
      <c r="Z5597">
        <v>1</v>
      </c>
      <c r="AB5597">
        <v>0</v>
      </c>
      <c r="AC5597" t="s">
        <v>115</v>
      </c>
      <c r="AD5597">
        <v>2</v>
      </c>
      <c r="AE5597" t="s">
        <v>115</v>
      </c>
      <c r="AF5597">
        <v>0</v>
      </c>
      <c r="AG5597">
        <v>0</v>
      </c>
      <c r="AH5597" t="s">
        <v>116</v>
      </c>
      <c r="AI5597" s="1">
        <v>76814</v>
      </c>
      <c r="AJ5597" s="2">
        <v>0.26</v>
      </c>
      <c r="AK5597" s="1">
        <v>295764</v>
      </c>
      <c r="AL5597" t="s">
        <v>117</v>
      </c>
      <c r="AM5597" t="s">
        <v>118</v>
      </c>
      <c r="AN5597">
        <v>5724</v>
      </c>
      <c r="AO5597">
        <v>0.13</v>
      </c>
      <c r="AP5597">
        <v>1</v>
      </c>
      <c r="AR5597">
        <v>1</v>
      </c>
      <c r="AS5597" s="1">
        <v>19910</v>
      </c>
      <c r="AT5597" s="1">
        <v>3980</v>
      </c>
      <c r="AU5597" s="1">
        <v>15930</v>
      </c>
      <c r="AV5597">
        <v>80.010000000000005</v>
      </c>
      <c r="AX5597" s="1">
        <v>1959.6</v>
      </c>
      <c r="AY5597" t="s">
        <v>5050</v>
      </c>
      <c r="AZ5597" t="s">
        <v>120</v>
      </c>
      <c r="BA5597" t="s">
        <v>274</v>
      </c>
      <c r="BB5597" s="3">
        <v>43592</v>
      </c>
      <c r="BC5597" s="1">
        <v>0</v>
      </c>
      <c r="BD5597" t="s">
        <v>247</v>
      </c>
      <c r="BE5597" s="3">
        <v>42214</v>
      </c>
      <c r="BF5597" s="1">
        <v>218950</v>
      </c>
      <c r="BG5597" t="s">
        <v>34361</v>
      </c>
      <c r="BH5597" s="1">
        <v>113.56</v>
      </c>
      <c r="BI5597" s="1">
        <v>218950</v>
      </c>
      <c r="BJ5597" s="3">
        <v>42214</v>
      </c>
      <c r="BK5597" t="s">
        <v>123</v>
      </c>
      <c r="BL5597" t="str">
        <f>"2015.548805"</f>
        <v>2015.548805</v>
      </c>
      <c r="BM5597" t="s">
        <v>21778</v>
      </c>
      <c r="BN5597" t="s">
        <v>19479</v>
      </c>
      <c r="BO5597" t="s">
        <v>34362</v>
      </c>
      <c r="BS5597">
        <v>30</v>
      </c>
      <c r="BW5597" t="str">
        <f>""</f>
        <v/>
      </c>
      <c r="CH5597" t="str">
        <f>""</f>
        <v/>
      </c>
      <c r="CS5597" t="str">
        <f>""</f>
        <v/>
      </c>
    </row>
    <row r="5598" spans="1:97" x14ac:dyDescent="0.25">
      <c r="A5598" t="s">
        <v>962</v>
      </c>
      <c r="B5598" t="s">
        <v>10721</v>
      </c>
      <c r="C5598" t="s">
        <v>179</v>
      </c>
      <c r="D5598" t="s">
        <v>10721</v>
      </c>
      <c r="E5598" t="s">
        <v>34363</v>
      </c>
      <c r="F5598" t="s">
        <v>108</v>
      </c>
      <c r="H5598" t="s">
        <v>34364</v>
      </c>
      <c r="I5598" t="s">
        <v>499</v>
      </c>
      <c r="J5598" t="s">
        <v>111</v>
      </c>
      <c r="K5598" t="str">
        <f>"85338"</f>
        <v>85338</v>
      </c>
      <c r="L5598" t="s">
        <v>8146</v>
      </c>
      <c r="M5598" t="s">
        <v>34364</v>
      </c>
      <c r="N5598" t="s">
        <v>499</v>
      </c>
      <c r="O5598" t="s">
        <v>111</v>
      </c>
      <c r="P5598" t="str">
        <f>"85338-7512"</f>
        <v>85338-7512</v>
      </c>
      <c r="Q5598" t="s">
        <v>113</v>
      </c>
      <c r="R5598" t="str">
        <f>"502-44-201"</f>
        <v>502-44-201</v>
      </c>
      <c r="S5598" t="s">
        <v>5101</v>
      </c>
      <c r="T5598" t="s">
        <v>5102</v>
      </c>
      <c r="U5598">
        <v>2489</v>
      </c>
      <c r="V5598">
        <v>0</v>
      </c>
      <c r="W5598">
        <v>5</v>
      </c>
      <c r="X5598">
        <v>2014</v>
      </c>
      <c r="Z5598">
        <v>1</v>
      </c>
      <c r="AB5598">
        <v>0</v>
      </c>
      <c r="AC5598" t="s">
        <v>115</v>
      </c>
      <c r="AD5598">
        <v>2</v>
      </c>
      <c r="AE5598" t="s">
        <v>115</v>
      </c>
      <c r="AF5598">
        <v>0</v>
      </c>
      <c r="AG5598">
        <v>0</v>
      </c>
      <c r="AH5598" t="s">
        <v>116</v>
      </c>
      <c r="AI5598" s="1">
        <v>63396</v>
      </c>
      <c r="AJ5598" s="2">
        <v>0.2</v>
      </c>
      <c r="AK5598" s="1">
        <v>322284</v>
      </c>
      <c r="AL5598" t="s">
        <v>117</v>
      </c>
      <c r="AM5598" t="s">
        <v>118</v>
      </c>
      <c r="AN5598">
        <v>8749</v>
      </c>
      <c r="AO5598">
        <v>0.2</v>
      </c>
      <c r="AR5598">
        <v>1</v>
      </c>
      <c r="AS5598" s="1">
        <v>24970</v>
      </c>
      <c r="AT5598" s="1">
        <v>4990</v>
      </c>
      <c r="AU5598" s="1">
        <v>19980</v>
      </c>
      <c r="AV5598">
        <v>80.02</v>
      </c>
      <c r="AX5598" s="1">
        <v>1951.14</v>
      </c>
      <c r="AY5598" t="s">
        <v>2767</v>
      </c>
      <c r="AZ5598" t="s">
        <v>2767</v>
      </c>
      <c r="BA5598" t="s">
        <v>1247</v>
      </c>
      <c r="BE5598" s="3">
        <v>41698</v>
      </c>
      <c r="BF5598" s="1">
        <v>240833</v>
      </c>
      <c r="BG5598" t="s">
        <v>275</v>
      </c>
      <c r="BH5598" s="1">
        <v>96.76</v>
      </c>
      <c r="BI5598" s="1">
        <v>258888</v>
      </c>
      <c r="BJ5598" s="3">
        <v>41969</v>
      </c>
      <c r="BK5598" t="s">
        <v>123</v>
      </c>
      <c r="BL5598" t="str">
        <f>"2014.787192"</f>
        <v>2014.787192</v>
      </c>
      <c r="BM5598" t="s">
        <v>750</v>
      </c>
      <c r="BO5598" t="s">
        <v>34365</v>
      </c>
      <c r="BQ5598" t="str">
        <f>"2.2500%"</f>
        <v>2.2500%</v>
      </c>
      <c r="BR5598" t="s">
        <v>1480</v>
      </c>
      <c r="BS5598">
        <v>30</v>
      </c>
      <c r="BW5598" t="str">
        <f>""</f>
        <v/>
      </c>
      <c r="CH5598" t="str">
        <f>""</f>
        <v/>
      </c>
      <c r="CS5598" t="str">
        <f>""</f>
        <v/>
      </c>
    </row>
    <row r="5599" spans="1:97" x14ac:dyDescent="0.25">
      <c r="A5599" t="s">
        <v>177</v>
      </c>
      <c r="B5599" t="s">
        <v>30731</v>
      </c>
      <c r="C5599" t="s">
        <v>2710</v>
      </c>
      <c r="D5599" t="s">
        <v>30731</v>
      </c>
      <c r="E5599" t="s">
        <v>34366</v>
      </c>
      <c r="F5599" t="s">
        <v>108</v>
      </c>
      <c r="H5599" t="s">
        <v>34367</v>
      </c>
      <c r="I5599" t="s">
        <v>2874</v>
      </c>
      <c r="J5599" t="s">
        <v>111</v>
      </c>
      <c r="K5599" t="str">
        <f>"85303"</f>
        <v>85303</v>
      </c>
      <c r="L5599" t="s">
        <v>6691</v>
      </c>
      <c r="M5599" t="s">
        <v>34367</v>
      </c>
      <c r="N5599" t="s">
        <v>2874</v>
      </c>
      <c r="O5599" t="s">
        <v>111</v>
      </c>
      <c r="P5599" t="str">
        <f>"85303-4248"</f>
        <v>85303-4248</v>
      </c>
      <c r="Q5599" t="s">
        <v>113</v>
      </c>
      <c r="R5599" t="str">
        <f>"102-07-600"</f>
        <v>102-07-600</v>
      </c>
      <c r="S5599" t="s">
        <v>34368</v>
      </c>
      <c r="T5599" t="s">
        <v>34368</v>
      </c>
      <c r="U5599">
        <v>2694</v>
      </c>
      <c r="V5599">
        <v>0</v>
      </c>
      <c r="W5599">
        <v>3</v>
      </c>
      <c r="X5599">
        <v>2014</v>
      </c>
      <c r="Z5599">
        <v>1</v>
      </c>
      <c r="AB5599">
        <v>0</v>
      </c>
      <c r="AC5599" t="s">
        <v>115</v>
      </c>
      <c r="AD5599">
        <v>3</v>
      </c>
      <c r="AE5599" t="s">
        <v>115</v>
      </c>
      <c r="AF5599">
        <v>0</v>
      </c>
      <c r="AG5599">
        <v>0</v>
      </c>
      <c r="AH5599" t="s">
        <v>116</v>
      </c>
      <c r="AI5599" s="1">
        <v>78928</v>
      </c>
      <c r="AJ5599" s="2">
        <v>0.23</v>
      </c>
      <c r="AK5599" s="1">
        <v>345162</v>
      </c>
      <c r="AL5599" t="s">
        <v>117</v>
      </c>
      <c r="AM5599" t="s">
        <v>393</v>
      </c>
      <c r="AN5599">
        <v>10400</v>
      </c>
      <c r="AO5599">
        <v>0.24</v>
      </c>
      <c r="AR5599">
        <v>1</v>
      </c>
      <c r="AS5599" s="1">
        <v>25010</v>
      </c>
      <c r="AT5599" s="1">
        <v>5000</v>
      </c>
      <c r="AU5599" s="1">
        <v>20010</v>
      </c>
      <c r="AV5599">
        <v>80.010000000000005</v>
      </c>
      <c r="AX5599" s="1">
        <v>2959.9</v>
      </c>
      <c r="AY5599" t="s">
        <v>2877</v>
      </c>
      <c r="AZ5599" t="s">
        <v>2877</v>
      </c>
      <c r="BA5599" t="s">
        <v>2878</v>
      </c>
      <c r="BE5599" s="3">
        <v>41702</v>
      </c>
      <c r="BF5599" s="1">
        <v>266234</v>
      </c>
      <c r="BG5599" t="s">
        <v>2289</v>
      </c>
      <c r="BH5599" s="1">
        <v>98.82</v>
      </c>
      <c r="BI5599" s="1">
        <v>266234</v>
      </c>
      <c r="BJ5599" s="3">
        <v>41702</v>
      </c>
      <c r="BK5599" t="s">
        <v>123</v>
      </c>
      <c r="BL5599" t="str">
        <f>"2014.138654"</f>
        <v>2014.138654</v>
      </c>
      <c r="BM5599" t="s">
        <v>135</v>
      </c>
      <c r="BO5599" t="s">
        <v>34369</v>
      </c>
      <c r="BS5599">
        <v>30</v>
      </c>
      <c r="BW5599" t="str">
        <f>""</f>
        <v/>
      </c>
      <c r="CH5599" t="str">
        <f>""</f>
        <v/>
      </c>
      <c r="CS5599" t="str">
        <f>""</f>
        <v/>
      </c>
    </row>
    <row r="5600" spans="1:97" x14ac:dyDescent="0.25">
      <c r="A5600" t="s">
        <v>2184</v>
      </c>
      <c r="B5600" t="s">
        <v>34370</v>
      </c>
      <c r="E5600" t="s">
        <v>34371</v>
      </c>
      <c r="F5600" t="s">
        <v>108</v>
      </c>
      <c r="H5600" t="s">
        <v>34372</v>
      </c>
      <c r="I5600" t="s">
        <v>499</v>
      </c>
      <c r="J5600" t="s">
        <v>111</v>
      </c>
      <c r="K5600" t="str">
        <f>"85395"</f>
        <v>85395</v>
      </c>
      <c r="L5600" t="s">
        <v>7243</v>
      </c>
      <c r="M5600" t="s">
        <v>34372</v>
      </c>
      <c r="N5600" t="s">
        <v>499</v>
      </c>
      <c r="O5600" t="s">
        <v>111</v>
      </c>
      <c r="P5600" t="str">
        <f>"85395-8246"</f>
        <v>85395-8246</v>
      </c>
      <c r="Q5600" t="s">
        <v>113</v>
      </c>
      <c r="R5600" t="str">
        <f>"508-01-520"</f>
        <v>508-01-520</v>
      </c>
      <c r="S5600" t="s">
        <v>15264</v>
      </c>
      <c r="T5600" t="s">
        <v>15265</v>
      </c>
      <c r="U5600">
        <v>2906</v>
      </c>
      <c r="V5600">
        <v>0</v>
      </c>
      <c r="W5600">
        <v>4</v>
      </c>
      <c r="X5600">
        <v>2001</v>
      </c>
      <c r="Z5600">
        <v>2</v>
      </c>
      <c r="AA5600" t="s">
        <v>26</v>
      </c>
      <c r="AB5600">
        <v>0</v>
      </c>
      <c r="AC5600" t="s">
        <v>115</v>
      </c>
      <c r="AD5600">
        <v>3</v>
      </c>
      <c r="AE5600" t="s">
        <v>115</v>
      </c>
      <c r="AF5600">
        <v>0</v>
      </c>
      <c r="AG5600">
        <v>0</v>
      </c>
      <c r="AH5600" t="s">
        <v>116</v>
      </c>
      <c r="AI5600" s="1">
        <v>45089</v>
      </c>
      <c r="AJ5600" s="2">
        <v>0.12</v>
      </c>
      <c r="AK5600" s="1">
        <v>365319</v>
      </c>
      <c r="AL5600" t="s">
        <v>117</v>
      </c>
      <c r="AM5600" t="s">
        <v>118</v>
      </c>
      <c r="AN5600">
        <v>7445</v>
      </c>
      <c r="AO5600">
        <v>0.17</v>
      </c>
      <c r="AP5600">
        <v>1</v>
      </c>
      <c r="AR5600">
        <v>1</v>
      </c>
      <c r="AS5600" s="1">
        <v>26120</v>
      </c>
      <c r="AT5600" s="1">
        <v>5220</v>
      </c>
      <c r="AU5600" s="1">
        <v>20900</v>
      </c>
      <c r="AV5600">
        <v>80.02</v>
      </c>
      <c r="AX5600" s="1">
        <v>3289.98</v>
      </c>
      <c r="AY5600" t="s">
        <v>3020</v>
      </c>
      <c r="AZ5600" t="s">
        <v>3020</v>
      </c>
      <c r="BA5600" t="s">
        <v>3154</v>
      </c>
      <c r="BE5600" s="3">
        <v>42450</v>
      </c>
      <c r="BF5600" s="1">
        <v>310000</v>
      </c>
      <c r="BG5600" t="s">
        <v>34373</v>
      </c>
      <c r="BH5600" s="1">
        <v>106.68</v>
      </c>
      <c r="BI5600" s="1">
        <v>320230</v>
      </c>
      <c r="BJ5600" s="3">
        <v>42450</v>
      </c>
      <c r="BK5600" t="s">
        <v>123</v>
      </c>
      <c r="BL5600" t="str">
        <f>"2016.181038"</f>
        <v>2016.181038</v>
      </c>
      <c r="BM5600" t="s">
        <v>2980</v>
      </c>
      <c r="BO5600" t="s">
        <v>34374</v>
      </c>
      <c r="BS5600">
        <v>30</v>
      </c>
      <c r="BW5600" t="str">
        <f>""</f>
        <v/>
      </c>
      <c r="CH5600" t="str">
        <f>""</f>
        <v/>
      </c>
      <c r="CS5600" t="str">
        <f>""</f>
        <v/>
      </c>
    </row>
    <row r="5601" spans="1:97" x14ac:dyDescent="0.25">
      <c r="A5601" t="s">
        <v>695</v>
      </c>
      <c r="B5601" t="s">
        <v>6628</v>
      </c>
      <c r="E5601" t="s">
        <v>34375</v>
      </c>
      <c r="F5601" t="s">
        <v>108</v>
      </c>
      <c r="H5601" t="s">
        <v>34376</v>
      </c>
      <c r="I5601" t="s">
        <v>632</v>
      </c>
      <c r="J5601" t="s">
        <v>111</v>
      </c>
      <c r="K5601" t="str">
        <f>"85388"</f>
        <v>85388</v>
      </c>
      <c r="L5601" t="s">
        <v>5429</v>
      </c>
      <c r="M5601" t="s">
        <v>34376</v>
      </c>
      <c r="N5601" t="s">
        <v>632</v>
      </c>
      <c r="O5601" t="s">
        <v>111</v>
      </c>
      <c r="P5601" t="str">
        <f>"85388-1272"</f>
        <v>85388-1272</v>
      </c>
      <c r="Q5601" t="s">
        <v>113</v>
      </c>
      <c r="R5601" t="str">
        <f>"502-01-630"</f>
        <v>502-01-630</v>
      </c>
      <c r="S5601" t="s">
        <v>32257</v>
      </c>
      <c r="T5601" t="s">
        <v>5431</v>
      </c>
      <c r="U5601">
        <v>2429</v>
      </c>
      <c r="V5601">
        <v>0</v>
      </c>
      <c r="W5601">
        <v>4</v>
      </c>
      <c r="X5601">
        <v>2005</v>
      </c>
      <c r="Z5601">
        <v>2</v>
      </c>
      <c r="AB5601">
        <v>0</v>
      </c>
      <c r="AC5601" t="s">
        <v>115</v>
      </c>
      <c r="AD5601">
        <v>2</v>
      </c>
      <c r="AE5601" t="s">
        <v>115</v>
      </c>
      <c r="AF5601">
        <v>0</v>
      </c>
      <c r="AG5601">
        <v>0</v>
      </c>
      <c r="AH5601" t="s">
        <v>116</v>
      </c>
      <c r="AI5601" s="1">
        <v>57190</v>
      </c>
      <c r="AJ5601" s="2">
        <v>0.21</v>
      </c>
      <c r="AK5601" s="1">
        <v>271705</v>
      </c>
      <c r="AL5601" t="s">
        <v>117</v>
      </c>
      <c r="AM5601" t="s">
        <v>118</v>
      </c>
      <c r="AN5601">
        <v>5624</v>
      </c>
      <c r="AO5601">
        <v>0.13</v>
      </c>
      <c r="AR5601">
        <v>1</v>
      </c>
      <c r="AS5601" s="1">
        <v>18760</v>
      </c>
      <c r="AT5601" s="1">
        <v>3750</v>
      </c>
      <c r="AU5601" s="1">
        <v>15010</v>
      </c>
      <c r="AV5601">
        <v>80.010000000000005</v>
      </c>
      <c r="AX5601" s="1">
        <v>1401.96</v>
      </c>
      <c r="AY5601" t="s">
        <v>5432</v>
      </c>
      <c r="AZ5601" t="s">
        <v>5432</v>
      </c>
      <c r="BA5601" t="s">
        <v>5109</v>
      </c>
      <c r="BE5601" s="3">
        <v>42402</v>
      </c>
      <c r="BF5601" s="1">
        <v>210000</v>
      </c>
      <c r="BG5601" t="s">
        <v>34377</v>
      </c>
      <c r="BH5601" s="1">
        <v>86.46</v>
      </c>
      <c r="BI5601" s="1">
        <v>214515</v>
      </c>
      <c r="BJ5601" s="3">
        <v>42402</v>
      </c>
      <c r="BK5601" t="s">
        <v>123</v>
      </c>
      <c r="BL5601" t="str">
        <f>"2016.68628"</f>
        <v>2016.68628</v>
      </c>
      <c r="BM5601" t="s">
        <v>34378</v>
      </c>
      <c r="BO5601" t="s">
        <v>34379</v>
      </c>
      <c r="BS5601">
        <v>30</v>
      </c>
      <c r="BW5601" t="str">
        <f>""</f>
        <v/>
      </c>
      <c r="CH5601" t="str">
        <f>""</f>
        <v/>
      </c>
      <c r="CS5601" t="str">
        <f>""</f>
        <v/>
      </c>
    </row>
    <row r="5602" spans="1:97" x14ac:dyDescent="0.25">
      <c r="A5602" t="s">
        <v>1979</v>
      </c>
      <c r="B5602" t="s">
        <v>1552</v>
      </c>
      <c r="E5602" t="s">
        <v>34380</v>
      </c>
      <c r="F5602" t="s">
        <v>108</v>
      </c>
      <c r="H5602" t="s">
        <v>34381</v>
      </c>
      <c r="I5602" t="s">
        <v>499</v>
      </c>
      <c r="J5602" t="s">
        <v>111</v>
      </c>
      <c r="K5602" t="str">
        <f>"85338"</f>
        <v>85338</v>
      </c>
      <c r="L5602" t="s">
        <v>11175</v>
      </c>
      <c r="M5602" t="s">
        <v>34381</v>
      </c>
      <c r="N5602" t="s">
        <v>499</v>
      </c>
      <c r="O5602" t="s">
        <v>111</v>
      </c>
      <c r="P5602" t="str">
        <f>"85338-9478"</f>
        <v>85338-9478</v>
      </c>
      <c r="Q5602" t="s">
        <v>113</v>
      </c>
      <c r="R5602" t="str">
        <f>"500-07-633"</f>
        <v>500-07-633</v>
      </c>
      <c r="S5602" t="s">
        <v>11176</v>
      </c>
      <c r="T5602" t="s">
        <v>11176</v>
      </c>
      <c r="U5602">
        <v>2671</v>
      </c>
      <c r="V5602">
        <v>0</v>
      </c>
      <c r="W5602">
        <v>4</v>
      </c>
      <c r="X5602">
        <v>2009</v>
      </c>
      <c r="Z5602">
        <v>2</v>
      </c>
      <c r="AB5602">
        <v>0</v>
      </c>
      <c r="AC5602" t="s">
        <v>115</v>
      </c>
      <c r="AD5602">
        <v>2</v>
      </c>
      <c r="AE5602" t="s">
        <v>115</v>
      </c>
      <c r="AF5602">
        <v>0</v>
      </c>
      <c r="AG5602">
        <v>0</v>
      </c>
      <c r="AH5602" t="s">
        <v>116</v>
      </c>
      <c r="AI5602" s="1">
        <v>46599</v>
      </c>
      <c r="AJ5602" s="2">
        <v>0.16</v>
      </c>
      <c r="AK5602" s="1">
        <v>291656</v>
      </c>
      <c r="AL5602" t="s">
        <v>117</v>
      </c>
      <c r="AM5602" t="s">
        <v>118</v>
      </c>
      <c r="AN5602">
        <v>7474</v>
      </c>
      <c r="AO5602">
        <v>0.17</v>
      </c>
      <c r="AR5602">
        <v>1</v>
      </c>
      <c r="AS5602" s="1">
        <v>20800</v>
      </c>
      <c r="AT5602" s="1">
        <v>4160</v>
      </c>
      <c r="AU5602" s="1">
        <v>16640</v>
      </c>
      <c r="AV5602">
        <v>80</v>
      </c>
      <c r="AX5602" s="1">
        <v>2043.6</v>
      </c>
      <c r="AY5602" t="s">
        <v>11177</v>
      </c>
      <c r="AZ5602" t="s">
        <v>11177</v>
      </c>
      <c r="BA5602" t="s">
        <v>7186</v>
      </c>
      <c r="BE5602" s="3">
        <v>42515</v>
      </c>
      <c r="BF5602" s="1">
        <v>239900</v>
      </c>
      <c r="BG5602" t="s">
        <v>34382</v>
      </c>
      <c r="BH5602" s="1">
        <v>89.82</v>
      </c>
      <c r="BI5602" s="1">
        <v>245057</v>
      </c>
      <c r="BJ5602" s="3">
        <v>42515</v>
      </c>
      <c r="BK5602" t="s">
        <v>123</v>
      </c>
      <c r="BL5602" t="str">
        <f>"2016.360675"</f>
        <v>2016.360675</v>
      </c>
      <c r="BM5602" t="s">
        <v>135</v>
      </c>
      <c r="BO5602" t="s">
        <v>34383</v>
      </c>
      <c r="BS5602">
        <v>30</v>
      </c>
      <c r="BW5602" t="str">
        <f>""</f>
        <v/>
      </c>
      <c r="CH5602" t="str">
        <f>""</f>
        <v/>
      </c>
      <c r="CS5602" t="str">
        <f>""</f>
        <v/>
      </c>
    </row>
    <row r="5603" spans="1:97" x14ac:dyDescent="0.25">
      <c r="A5603" t="s">
        <v>5044</v>
      </c>
      <c r="B5603" t="s">
        <v>34384</v>
      </c>
      <c r="E5603" t="s">
        <v>34385</v>
      </c>
      <c r="F5603" t="s">
        <v>108</v>
      </c>
      <c r="H5603" t="s">
        <v>34386</v>
      </c>
      <c r="I5603" t="s">
        <v>225</v>
      </c>
      <c r="J5603" t="s">
        <v>111</v>
      </c>
      <c r="K5603" t="str">
        <f>"85213"</f>
        <v>85213</v>
      </c>
      <c r="L5603" t="s">
        <v>926</v>
      </c>
      <c r="M5603" t="s">
        <v>34386</v>
      </c>
      <c r="N5603" t="s">
        <v>225</v>
      </c>
      <c r="O5603" t="s">
        <v>111</v>
      </c>
      <c r="P5603" t="str">
        <f>"85213-7612"</f>
        <v>85213-7612</v>
      </c>
      <c r="Q5603" t="s">
        <v>113</v>
      </c>
      <c r="R5603" t="str">
        <f>"140-09-041"</f>
        <v>140-09-041</v>
      </c>
      <c r="S5603" t="s">
        <v>29801</v>
      </c>
      <c r="T5603" t="s">
        <v>29801</v>
      </c>
      <c r="U5603">
        <v>2085</v>
      </c>
      <c r="V5603">
        <v>0</v>
      </c>
      <c r="W5603">
        <v>2</v>
      </c>
      <c r="X5603">
        <v>1970</v>
      </c>
      <c r="Z5603">
        <v>1</v>
      </c>
      <c r="AA5603" t="s">
        <v>26</v>
      </c>
      <c r="AB5603">
        <v>0</v>
      </c>
      <c r="AC5603" t="s">
        <v>115</v>
      </c>
      <c r="AD5603">
        <v>2</v>
      </c>
      <c r="AE5603" t="s">
        <v>115</v>
      </c>
      <c r="AF5603">
        <v>0</v>
      </c>
      <c r="AG5603">
        <v>0</v>
      </c>
      <c r="AH5603" t="s">
        <v>116</v>
      </c>
      <c r="AI5603" s="1">
        <v>47571</v>
      </c>
      <c r="AJ5603" s="2">
        <v>0.15</v>
      </c>
      <c r="AK5603" s="1">
        <v>312571</v>
      </c>
      <c r="AL5603" t="s">
        <v>117</v>
      </c>
      <c r="AM5603" t="s">
        <v>191</v>
      </c>
      <c r="AN5603">
        <v>9954</v>
      </c>
      <c r="AO5603">
        <v>0.23</v>
      </c>
      <c r="AP5603">
        <v>1</v>
      </c>
      <c r="AR5603">
        <v>1</v>
      </c>
      <c r="AS5603" s="1">
        <v>21850</v>
      </c>
      <c r="AT5603" s="1">
        <v>4370</v>
      </c>
      <c r="AU5603" s="1">
        <v>17480</v>
      </c>
      <c r="AV5603">
        <v>80</v>
      </c>
      <c r="AX5603" s="1">
        <v>1661.06</v>
      </c>
      <c r="AY5603" t="s">
        <v>9091</v>
      </c>
      <c r="AZ5603" t="s">
        <v>1523</v>
      </c>
      <c r="BA5603" t="s">
        <v>1524</v>
      </c>
      <c r="BE5603" s="3">
        <v>42032</v>
      </c>
      <c r="BF5603" s="1">
        <v>265000</v>
      </c>
      <c r="BG5603" t="s">
        <v>34387</v>
      </c>
      <c r="BH5603" s="1">
        <v>127.1</v>
      </c>
      <c r="BI5603" s="1">
        <v>265000</v>
      </c>
      <c r="BJ5603" s="3">
        <v>42032</v>
      </c>
      <c r="BK5603" t="s">
        <v>123</v>
      </c>
      <c r="BL5603" t="str">
        <f>"2015.57357"</f>
        <v>2015.57357</v>
      </c>
      <c r="BM5603" t="s">
        <v>135</v>
      </c>
      <c r="BO5603" t="s">
        <v>34388</v>
      </c>
      <c r="BS5603">
        <v>30</v>
      </c>
      <c r="BW5603" t="str">
        <f>""</f>
        <v/>
      </c>
      <c r="CH5603" t="str">
        <f>""</f>
        <v/>
      </c>
      <c r="CS5603" t="str">
        <f>""</f>
        <v/>
      </c>
    </row>
    <row r="5604" spans="1:97" x14ac:dyDescent="0.25">
      <c r="A5604" t="s">
        <v>34389</v>
      </c>
      <c r="B5604" t="s">
        <v>5288</v>
      </c>
      <c r="C5604" t="s">
        <v>2271</v>
      </c>
      <c r="D5604" t="s">
        <v>5288</v>
      </c>
      <c r="E5604" t="s">
        <v>34390</v>
      </c>
      <c r="F5604" t="s">
        <v>282</v>
      </c>
      <c r="H5604" t="s">
        <v>34391</v>
      </c>
      <c r="I5604" t="s">
        <v>632</v>
      </c>
      <c r="J5604" t="s">
        <v>111</v>
      </c>
      <c r="K5604" t="str">
        <f>"85388"</f>
        <v>85388</v>
      </c>
      <c r="L5604" t="s">
        <v>4467</v>
      </c>
      <c r="M5604" t="s">
        <v>34392</v>
      </c>
      <c r="N5604" t="s">
        <v>315</v>
      </c>
      <c r="O5604" t="s">
        <v>111</v>
      </c>
      <c r="P5604" t="str">
        <f>"85335-5007"</f>
        <v>85335-5007</v>
      </c>
      <c r="Q5604" t="s">
        <v>113</v>
      </c>
      <c r="R5604" t="str">
        <f>"502-03-340"</f>
        <v>502-03-340</v>
      </c>
      <c r="S5604" t="s">
        <v>10706</v>
      </c>
      <c r="U5604">
        <v>2417</v>
      </c>
      <c r="V5604">
        <v>0</v>
      </c>
      <c r="W5604">
        <v>3</v>
      </c>
      <c r="X5604">
        <v>2004</v>
      </c>
      <c r="Z5604">
        <v>1</v>
      </c>
      <c r="AB5604">
        <v>0</v>
      </c>
      <c r="AC5604" t="s">
        <v>115</v>
      </c>
      <c r="AD5604">
        <v>2</v>
      </c>
      <c r="AE5604" t="s">
        <v>115</v>
      </c>
      <c r="AF5604">
        <v>0</v>
      </c>
      <c r="AG5604">
        <v>0</v>
      </c>
      <c r="AH5604" t="s">
        <v>116</v>
      </c>
      <c r="AI5604" s="1">
        <v>72765</v>
      </c>
      <c r="AJ5604" s="2">
        <v>0.25</v>
      </c>
      <c r="AK5604" s="1">
        <v>285495</v>
      </c>
      <c r="AL5604" t="s">
        <v>117</v>
      </c>
      <c r="AM5604" t="s">
        <v>118</v>
      </c>
      <c r="AN5604">
        <v>7511</v>
      </c>
      <c r="AO5604">
        <v>0.17</v>
      </c>
      <c r="AP5604">
        <v>1</v>
      </c>
      <c r="AR5604">
        <v>1</v>
      </c>
      <c r="AS5604" s="1">
        <v>19580</v>
      </c>
      <c r="AT5604" s="1">
        <v>3910</v>
      </c>
      <c r="AU5604" s="1">
        <v>15670</v>
      </c>
      <c r="AV5604">
        <v>80.03</v>
      </c>
      <c r="AX5604" s="1">
        <v>2080.62</v>
      </c>
      <c r="AY5604" t="s">
        <v>6262</v>
      </c>
      <c r="AZ5604" t="s">
        <v>6262</v>
      </c>
      <c r="BA5604" t="s">
        <v>5061</v>
      </c>
      <c r="BE5604" s="3">
        <v>42478</v>
      </c>
      <c r="BF5604" s="1">
        <v>230000</v>
      </c>
      <c r="BG5604" t="s">
        <v>34393</v>
      </c>
      <c r="BH5604" s="1">
        <v>95.16</v>
      </c>
      <c r="BI5604" s="1">
        <v>212730</v>
      </c>
      <c r="BJ5604" s="3">
        <v>42478</v>
      </c>
      <c r="BK5604" t="s">
        <v>123</v>
      </c>
      <c r="BL5604" t="str">
        <f>"2016.257518"</f>
        <v>2016.257518</v>
      </c>
      <c r="BM5604" t="s">
        <v>131</v>
      </c>
      <c r="BO5604" t="s">
        <v>34394</v>
      </c>
      <c r="BS5604">
        <v>30</v>
      </c>
      <c r="BW5604" t="str">
        <f>""</f>
        <v/>
      </c>
      <c r="CH5604" t="str">
        <f>""</f>
        <v/>
      </c>
      <c r="CS5604" t="str">
        <f>""</f>
        <v/>
      </c>
    </row>
    <row r="5605" spans="1:97" x14ac:dyDescent="0.25">
      <c r="A5605" t="s">
        <v>34395</v>
      </c>
      <c r="B5605" t="s">
        <v>3333</v>
      </c>
      <c r="C5605" t="s">
        <v>34396</v>
      </c>
      <c r="D5605" t="s">
        <v>3333</v>
      </c>
      <c r="E5605" t="s">
        <v>34397</v>
      </c>
      <c r="F5605" t="s">
        <v>108</v>
      </c>
      <c r="H5605" t="s">
        <v>34398</v>
      </c>
      <c r="I5605" t="s">
        <v>167</v>
      </c>
      <c r="J5605" t="s">
        <v>111</v>
      </c>
      <c r="K5605" t="str">
        <f>"85339"</f>
        <v>85339</v>
      </c>
      <c r="L5605" t="s">
        <v>6788</v>
      </c>
      <c r="M5605" t="s">
        <v>34398</v>
      </c>
      <c r="N5605" t="s">
        <v>167</v>
      </c>
      <c r="O5605" t="s">
        <v>111</v>
      </c>
      <c r="P5605" t="str">
        <f>"85339-6317"</f>
        <v>85339-6317</v>
      </c>
      <c r="Q5605" t="s">
        <v>113</v>
      </c>
      <c r="R5605" t="str">
        <f>"104-78-376"</f>
        <v>104-78-376</v>
      </c>
      <c r="S5605" t="s">
        <v>9701</v>
      </c>
      <c r="U5605">
        <v>2544</v>
      </c>
      <c r="V5605">
        <v>0</v>
      </c>
      <c r="W5605">
        <v>4</v>
      </c>
      <c r="X5605">
        <v>2016</v>
      </c>
      <c r="Z5605">
        <v>2</v>
      </c>
      <c r="AB5605">
        <v>0</v>
      </c>
      <c r="AC5605" t="s">
        <v>115</v>
      </c>
      <c r="AD5605">
        <v>3</v>
      </c>
      <c r="AE5605" t="s">
        <v>115</v>
      </c>
      <c r="AF5605">
        <v>0</v>
      </c>
      <c r="AG5605">
        <v>0</v>
      </c>
      <c r="AH5605" t="s">
        <v>116</v>
      </c>
      <c r="AI5605" s="1">
        <v>41289</v>
      </c>
      <c r="AJ5605" s="2">
        <v>0.14000000000000001</v>
      </c>
      <c r="AK5605" s="1">
        <v>293720</v>
      </c>
      <c r="AL5605" t="s">
        <v>117</v>
      </c>
      <c r="AM5605" t="s">
        <v>191</v>
      </c>
      <c r="AN5605">
        <v>4444</v>
      </c>
      <c r="AO5605">
        <v>0.1</v>
      </c>
      <c r="AR5605">
        <v>1</v>
      </c>
      <c r="AS5605" s="1">
        <v>21410</v>
      </c>
      <c r="AT5605" s="1">
        <v>4280</v>
      </c>
      <c r="AU5605" s="1">
        <v>17130</v>
      </c>
      <c r="AV5605">
        <v>80.010000000000005</v>
      </c>
      <c r="AX5605" s="1">
        <v>2608.84</v>
      </c>
      <c r="AY5605" t="s">
        <v>5777</v>
      </c>
      <c r="AZ5605" t="s">
        <v>5777</v>
      </c>
      <c r="BA5605" t="s">
        <v>173</v>
      </c>
      <c r="BE5605" s="3">
        <v>42485</v>
      </c>
      <c r="BF5605" s="1">
        <v>252431</v>
      </c>
      <c r="BG5605" t="s">
        <v>158</v>
      </c>
      <c r="BH5605" s="1">
        <v>99.23</v>
      </c>
      <c r="BI5605" s="1">
        <v>252431</v>
      </c>
      <c r="BJ5605" s="3">
        <v>42485</v>
      </c>
      <c r="BK5605" t="s">
        <v>123</v>
      </c>
      <c r="BL5605" t="str">
        <f>"2016.276315"</f>
        <v>2016.276315</v>
      </c>
      <c r="BM5605" t="s">
        <v>11327</v>
      </c>
      <c r="BO5605" t="s">
        <v>34399</v>
      </c>
      <c r="BS5605">
        <v>30</v>
      </c>
      <c r="BW5605" t="str">
        <f>""</f>
        <v/>
      </c>
      <c r="CH5605" t="str">
        <f>""</f>
        <v/>
      </c>
      <c r="CS5605" t="str">
        <f>""</f>
        <v/>
      </c>
    </row>
    <row r="5606" spans="1:97" x14ac:dyDescent="0.25">
      <c r="A5606" t="s">
        <v>9984</v>
      </c>
      <c r="B5606" t="s">
        <v>34400</v>
      </c>
      <c r="C5606" t="s">
        <v>1241</v>
      </c>
      <c r="D5606" t="s">
        <v>34400</v>
      </c>
      <c r="E5606" t="s">
        <v>34401</v>
      </c>
      <c r="F5606" t="s">
        <v>108</v>
      </c>
      <c r="H5606" t="s">
        <v>34402</v>
      </c>
      <c r="I5606" t="s">
        <v>499</v>
      </c>
      <c r="J5606" t="s">
        <v>111</v>
      </c>
      <c r="K5606" t="str">
        <f>"85395"</f>
        <v>85395</v>
      </c>
      <c r="L5606" t="s">
        <v>1789</v>
      </c>
      <c r="M5606" t="s">
        <v>34402</v>
      </c>
      <c r="N5606" t="s">
        <v>499</v>
      </c>
      <c r="O5606" t="s">
        <v>111</v>
      </c>
      <c r="P5606" t="str">
        <f>"85395-2587"</f>
        <v>85395-2587</v>
      </c>
      <c r="Q5606" t="s">
        <v>113</v>
      </c>
      <c r="R5606" t="str">
        <f>"501-02-249"</f>
        <v>501-02-249</v>
      </c>
      <c r="S5606" t="s">
        <v>34403</v>
      </c>
      <c r="U5606">
        <v>2538</v>
      </c>
      <c r="V5606">
        <v>0</v>
      </c>
      <c r="W5606">
        <v>4</v>
      </c>
      <c r="X5606">
        <v>2015</v>
      </c>
      <c r="Z5606">
        <v>1</v>
      </c>
      <c r="AB5606">
        <v>0</v>
      </c>
      <c r="AC5606" t="s">
        <v>115</v>
      </c>
      <c r="AD5606">
        <v>3</v>
      </c>
      <c r="AE5606" t="s">
        <v>115</v>
      </c>
      <c r="AF5606">
        <v>0</v>
      </c>
      <c r="AG5606">
        <v>0</v>
      </c>
      <c r="AH5606" t="s">
        <v>116</v>
      </c>
      <c r="AI5606" s="1">
        <v>140354</v>
      </c>
      <c r="AJ5606" s="2">
        <v>0.23</v>
      </c>
      <c r="AK5606" s="1">
        <v>616980</v>
      </c>
      <c r="AL5606" t="s">
        <v>117</v>
      </c>
      <c r="AM5606" t="s">
        <v>118</v>
      </c>
      <c r="AN5606">
        <v>11200</v>
      </c>
      <c r="AO5606">
        <v>0.26</v>
      </c>
      <c r="AR5606">
        <v>1</v>
      </c>
      <c r="AS5606" s="1">
        <v>49670</v>
      </c>
      <c r="AT5606" s="1">
        <v>9930</v>
      </c>
      <c r="AU5606" s="1">
        <v>39740</v>
      </c>
      <c r="AV5606">
        <v>80.010000000000005</v>
      </c>
      <c r="AX5606" s="1">
        <v>4932.32</v>
      </c>
      <c r="AY5606" t="s">
        <v>503</v>
      </c>
      <c r="AZ5606" t="s">
        <v>503</v>
      </c>
      <c r="BA5606" t="s">
        <v>218</v>
      </c>
      <c r="BE5606" s="3">
        <v>42104</v>
      </c>
      <c r="BF5606" s="1">
        <v>555681</v>
      </c>
      <c r="BG5606" t="s">
        <v>34404</v>
      </c>
      <c r="BH5606" s="1">
        <v>218.94</v>
      </c>
      <c r="BI5606" s="1">
        <v>476626</v>
      </c>
      <c r="BJ5606" s="3">
        <v>42906</v>
      </c>
      <c r="BK5606" t="s">
        <v>123</v>
      </c>
      <c r="BL5606" t="str">
        <f>"2017.447603"</f>
        <v>2017.447603</v>
      </c>
      <c r="BM5606" t="s">
        <v>34405</v>
      </c>
      <c r="BN5606">
        <v>75019</v>
      </c>
      <c r="BO5606" t="s">
        <v>34406</v>
      </c>
      <c r="BS5606">
        <v>30</v>
      </c>
      <c r="BT5606" s="1">
        <v>250000</v>
      </c>
      <c r="BU5606" s="3">
        <v>43312</v>
      </c>
      <c r="BV5606" t="s">
        <v>134</v>
      </c>
      <c r="BW5606" t="str">
        <f>"2018.580509"</f>
        <v>2018.580509</v>
      </c>
      <c r="BX5606" t="s">
        <v>34407</v>
      </c>
      <c r="BY5606" t="s">
        <v>6856</v>
      </c>
      <c r="BZ5606" t="s">
        <v>34408</v>
      </c>
      <c r="CC5606" t="s">
        <v>139</v>
      </c>
      <c r="CE5606" s="1">
        <v>0</v>
      </c>
      <c r="CF5606" s="3">
        <v>43678</v>
      </c>
      <c r="CG5606" t="s">
        <v>134</v>
      </c>
      <c r="CH5606" t="str">
        <f>"2019.588060"</f>
        <v>2019.588060</v>
      </c>
      <c r="CI5606" t="s">
        <v>5619</v>
      </c>
      <c r="CJ5606" t="s">
        <v>5620</v>
      </c>
      <c r="CK5606" t="s">
        <v>34409</v>
      </c>
      <c r="CL5606" t="s">
        <v>34410</v>
      </c>
      <c r="CN5606" t="s">
        <v>139</v>
      </c>
      <c r="CS5606" t="str">
        <f>""</f>
        <v/>
      </c>
    </row>
    <row r="5607" spans="1:97" x14ac:dyDescent="0.25">
      <c r="A5607" t="s">
        <v>34411</v>
      </c>
      <c r="B5607" t="s">
        <v>482</v>
      </c>
      <c r="C5607" t="s">
        <v>4515</v>
      </c>
      <c r="D5607" t="s">
        <v>482</v>
      </c>
      <c r="E5607" t="s">
        <v>34412</v>
      </c>
      <c r="F5607" t="s">
        <v>108</v>
      </c>
      <c r="H5607" t="s">
        <v>34413</v>
      </c>
      <c r="I5607" t="s">
        <v>390</v>
      </c>
      <c r="J5607" t="s">
        <v>111</v>
      </c>
      <c r="K5607" t="str">
        <f>"85085"</f>
        <v>85085</v>
      </c>
      <c r="L5607" t="s">
        <v>3094</v>
      </c>
      <c r="M5607" t="s">
        <v>34413</v>
      </c>
      <c r="N5607" t="s">
        <v>390</v>
      </c>
      <c r="O5607" t="s">
        <v>111</v>
      </c>
      <c r="P5607" t="str">
        <f>"85085-5749"</f>
        <v>85085-5749</v>
      </c>
      <c r="Q5607" t="s">
        <v>113</v>
      </c>
      <c r="R5607" t="str">
        <f>"210-03-701"</f>
        <v>210-03-701</v>
      </c>
      <c r="S5607" t="s">
        <v>6917</v>
      </c>
      <c r="U5607">
        <v>1982</v>
      </c>
      <c r="V5607">
        <v>0</v>
      </c>
      <c r="W5607">
        <v>3</v>
      </c>
      <c r="X5607">
        <v>2005</v>
      </c>
      <c r="Z5607">
        <v>2</v>
      </c>
      <c r="AB5607">
        <v>0</v>
      </c>
      <c r="AC5607" t="s">
        <v>115</v>
      </c>
      <c r="AD5607">
        <v>2</v>
      </c>
      <c r="AE5607" t="s">
        <v>115</v>
      </c>
      <c r="AF5607">
        <v>0</v>
      </c>
      <c r="AG5607">
        <v>0</v>
      </c>
      <c r="AH5607" t="s">
        <v>116</v>
      </c>
      <c r="AI5607" s="1">
        <v>84569</v>
      </c>
      <c r="AJ5607" s="2">
        <v>0.27</v>
      </c>
      <c r="AK5607" s="1">
        <v>310829</v>
      </c>
      <c r="AL5607" t="s">
        <v>117</v>
      </c>
      <c r="AM5607" t="s">
        <v>760</v>
      </c>
      <c r="AN5607">
        <v>4530</v>
      </c>
      <c r="AO5607">
        <v>0.1</v>
      </c>
      <c r="AR5607">
        <v>1</v>
      </c>
      <c r="AS5607" s="1">
        <v>21600</v>
      </c>
      <c r="AT5607" s="1">
        <v>4320</v>
      </c>
      <c r="AU5607" s="1">
        <v>17280</v>
      </c>
      <c r="AV5607">
        <v>80</v>
      </c>
      <c r="AX5607" s="1">
        <v>1808.36</v>
      </c>
      <c r="AY5607" t="s">
        <v>1461</v>
      </c>
      <c r="AZ5607" t="s">
        <v>1461</v>
      </c>
      <c r="BA5607" t="s">
        <v>1462</v>
      </c>
      <c r="BE5607" s="3">
        <v>41836</v>
      </c>
      <c r="BF5607" s="1">
        <v>228000</v>
      </c>
      <c r="BG5607" t="s">
        <v>34414</v>
      </c>
      <c r="BH5607" s="1">
        <v>115.04</v>
      </c>
      <c r="BI5607" s="1">
        <v>226260</v>
      </c>
      <c r="BJ5607" s="3">
        <v>42674</v>
      </c>
      <c r="BK5607" t="s">
        <v>123</v>
      </c>
      <c r="BL5607" t="str">
        <f>"2016.800716"</f>
        <v>2016.800716</v>
      </c>
      <c r="BM5607" t="s">
        <v>724</v>
      </c>
      <c r="BO5607" t="s">
        <v>34415</v>
      </c>
      <c r="BS5607">
        <v>30</v>
      </c>
      <c r="BW5607" t="str">
        <f>""</f>
        <v/>
      </c>
      <c r="CH5607" t="str">
        <f>""</f>
        <v/>
      </c>
      <c r="CS5607" t="str">
        <f>""</f>
        <v/>
      </c>
    </row>
    <row r="5608" spans="1:97" x14ac:dyDescent="0.25">
      <c r="A5608" t="s">
        <v>34416</v>
      </c>
      <c r="B5608" t="s">
        <v>1619</v>
      </c>
      <c r="C5608" t="s">
        <v>817</v>
      </c>
      <c r="D5608" t="s">
        <v>1619</v>
      </c>
      <c r="E5608" t="s">
        <v>34417</v>
      </c>
      <c r="F5608" t="s">
        <v>108</v>
      </c>
      <c r="H5608" t="s">
        <v>34418</v>
      </c>
      <c r="I5608" t="s">
        <v>5114</v>
      </c>
      <c r="J5608" t="s">
        <v>111</v>
      </c>
      <c r="K5608" t="str">
        <f>"85392"</f>
        <v>85392</v>
      </c>
      <c r="L5608" t="s">
        <v>3430</v>
      </c>
      <c r="M5608" t="s">
        <v>34418</v>
      </c>
      <c r="N5608" t="s">
        <v>5114</v>
      </c>
      <c r="O5608" t="s">
        <v>111</v>
      </c>
      <c r="P5608" t="str">
        <f>"85392-4048"</f>
        <v>85392-4048</v>
      </c>
      <c r="Q5608" t="s">
        <v>113</v>
      </c>
      <c r="R5608" t="str">
        <f>"102-28-905"</f>
        <v>102-28-905</v>
      </c>
      <c r="S5608" t="s">
        <v>8082</v>
      </c>
      <c r="T5608" t="s">
        <v>8083</v>
      </c>
      <c r="U5608">
        <v>2302</v>
      </c>
      <c r="V5608">
        <v>0</v>
      </c>
      <c r="W5608">
        <v>3</v>
      </c>
      <c r="X5608">
        <v>1989</v>
      </c>
      <c r="Z5608">
        <v>1</v>
      </c>
      <c r="AB5608">
        <v>0</v>
      </c>
      <c r="AC5608" t="s">
        <v>115</v>
      </c>
      <c r="AD5608">
        <v>3</v>
      </c>
      <c r="AE5608" t="s">
        <v>115</v>
      </c>
      <c r="AF5608">
        <v>0</v>
      </c>
      <c r="AG5608">
        <v>0</v>
      </c>
      <c r="AH5608" t="s">
        <v>116</v>
      </c>
      <c r="AI5608" s="1">
        <v>17769</v>
      </c>
      <c r="AJ5608" s="2">
        <v>0.05</v>
      </c>
      <c r="AK5608" s="1">
        <v>357626</v>
      </c>
      <c r="AL5608" t="s">
        <v>117</v>
      </c>
      <c r="AM5608" t="s">
        <v>118</v>
      </c>
      <c r="AN5608">
        <v>8503</v>
      </c>
      <c r="AO5608">
        <v>0.2</v>
      </c>
      <c r="AP5608">
        <v>1</v>
      </c>
      <c r="AR5608">
        <v>1</v>
      </c>
      <c r="AS5608" s="1">
        <v>26300</v>
      </c>
      <c r="AT5608" s="1">
        <v>5260</v>
      </c>
      <c r="AU5608" s="1">
        <v>21040</v>
      </c>
      <c r="AV5608">
        <v>80</v>
      </c>
      <c r="AX5608" s="1">
        <v>2856.1</v>
      </c>
      <c r="AY5608" t="s">
        <v>8084</v>
      </c>
      <c r="AZ5608" t="s">
        <v>8084</v>
      </c>
      <c r="BA5608" t="s">
        <v>5118</v>
      </c>
      <c r="BE5608" s="3">
        <v>42247</v>
      </c>
      <c r="BF5608" s="1">
        <v>308000</v>
      </c>
      <c r="BG5608" t="s">
        <v>34419</v>
      </c>
      <c r="BH5608" s="1">
        <v>133.80000000000001</v>
      </c>
      <c r="BI5608" s="1">
        <v>339857</v>
      </c>
      <c r="BJ5608" s="3">
        <v>43628</v>
      </c>
      <c r="BK5608" t="s">
        <v>123</v>
      </c>
      <c r="BL5608" t="str">
        <f>"2019.436261"</f>
        <v>2019.436261</v>
      </c>
      <c r="BM5608" t="s">
        <v>361</v>
      </c>
      <c r="BN5608" t="s">
        <v>884</v>
      </c>
      <c r="BO5608" t="s">
        <v>34420</v>
      </c>
      <c r="BP5608" t="s">
        <v>34421</v>
      </c>
      <c r="BR5608" t="s">
        <v>139</v>
      </c>
      <c r="BW5608" t="str">
        <f>""</f>
        <v/>
      </c>
      <c r="CH5608" t="str">
        <f>""</f>
        <v/>
      </c>
      <c r="CS5608" t="str">
        <f>""</f>
        <v/>
      </c>
    </row>
    <row r="5609" spans="1:97" x14ac:dyDescent="0.25">
      <c r="A5609" t="s">
        <v>305</v>
      </c>
      <c r="B5609" t="s">
        <v>1099</v>
      </c>
      <c r="C5609" t="s">
        <v>2184</v>
      </c>
      <c r="D5609" t="s">
        <v>1099</v>
      </c>
      <c r="E5609" t="s">
        <v>34422</v>
      </c>
      <c r="F5609" t="s">
        <v>108</v>
      </c>
      <c r="H5609" t="s">
        <v>34423</v>
      </c>
      <c r="I5609" t="s">
        <v>390</v>
      </c>
      <c r="J5609" t="s">
        <v>111</v>
      </c>
      <c r="K5609" t="str">
        <f>"85027"</f>
        <v>85027</v>
      </c>
      <c r="L5609" t="s">
        <v>6923</v>
      </c>
      <c r="M5609" t="s">
        <v>34423</v>
      </c>
      <c r="N5609" t="s">
        <v>390</v>
      </c>
      <c r="O5609" t="s">
        <v>111</v>
      </c>
      <c r="P5609" t="str">
        <f>"85027-6024"</f>
        <v>85027-6024</v>
      </c>
      <c r="Q5609" t="s">
        <v>113</v>
      </c>
      <c r="R5609" t="str">
        <f>"206-41-544"</f>
        <v>206-41-544</v>
      </c>
      <c r="S5609" t="s">
        <v>25457</v>
      </c>
      <c r="T5609" t="s">
        <v>6925</v>
      </c>
      <c r="U5609">
        <v>2672</v>
      </c>
      <c r="V5609">
        <v>0</v>
      </c>
      <c r="W5609">
        <v>3</v>
      </c>
      <c r="X5609">
        <v>1999</v>
      </c>
      <c r="Z5609">
        <v>2</v>
      </c>
      <c r="AA5609" t="s">
        <v>26</v>
      </c>
      <c r="AB5609">
        <v>0</v>
      </c>
      <c r="AC5609" t="s">
        <v>115</v>
      </c>
      <c r="AD5609">
        <v>2</v>
      </c>
      <c r="AE5609" t="s">
        <v>115</v>
      </c>
      <c r="AF5609">
        <v>0</v>
      </c>
      <c r="AG5609">
        <v>0</v>
      </c>
      <c r="AH5609" t="s">
        <v>116</v>
      </c>
      <c r="AI5609" s="1">
        <v>66769</v>
      </c>
      <c r="AJ5609" s="2">
        <v>0.19</v>
      </c>
      <c r="AK5609" s="1">
        <v>355905</v>
      </c>
      <c r="AL5609" t="s">
        <v>117</v>
      </c>
      <c r="AM5609" t="s">
        <v>191</v>
      </c>
      <c r="AN5609">
        <v>6901</v>
      </c>
      <c r="AO5609">
        <v>0.16</v>
      </c>
      <c r="AP5609">
        <v>1</v>
      </c>
      <c r="AR5609">
        <v>1</v>
      </c>
      <c r="AS5609" s="1">
        <v>24910</v>
      </c>
      <c r="AT5609" s="1">
        <v>4980</v>
      </c>
      <c r="AU5609" s="1">
        <v>19930</v>
      </c>
      <c r="AV5609">
        <v>80.010000000000005</v>
      </c>
      <c r="AX5609" s="1">
        <v>1806.76</v>
      </c>
      <c r="AY5609" t="s">
        <v>6926</v>
      </c>
      <c r="AZ5609" t="s">
        <v>2357</v>
      </c>
      <c r="BA5609" t="s">
        <v>1462</v>
      </c>
      <c r="BE5609" s="3">
        <v>41830</v>
      </c>
      <c r="BF5609" s="1">
        <v>279900</v>
      </c>
      <c r="BG5609" t="s">
        <v>34424</v>
      </c>
      <c r="BH5609" s="1">
        <v>104.75</v>
      </c>
      <c r="BI5609" s="1">
        <v>289136</v>
      </c>
      <c r="BJ5609" s="3">
        <v>41830</v>
      </c>
      <c r="BK5609" t="s">
        <v>123</v>
      </c>
      <c r="BL5609" t="str">
        <f>"2014.449669"</f>
        <v>2014.449669</v>
      </c>
      <c r="BM5609" t="s">
        <v>936</v>
      </c>
      <c r="BO5609" t="s">
        <v>8330</v>
      </c>
      <c r="BS5609">
        <v>30</v>
      </c>
      <c r="BW5609" t="str">
        <f>""</f>
        <v/>
      </c>
      <c r="CH5609" t="str">
        <f>""</f>
        <v/>
      </c>
      <c r="CS5609" t="str">
        <f>""</f>
        <v/>
      </c>
    </row>
    <row r="5610" spans="1:97" x14ac:dyDescent="0.25">
      <c r="A5610" t="s">
        <v>815</v>
      </c>
      <c r="B5610" t="s">
        <v>34425</v>
      </c>
      <c r="C5610" t="s">
        <v>488</v>
      </c>
      <c r="D5610" t="s">
        <v>34425</v>
      </c>
      <c r="E5610" t="s">
        <v>34426</v>
      </c>
      <c r="F5610" t="s">
        <v>108</v>
      </c>
      <c r="H5610" t="s">
        <v>34427</v>
      </c>
      <c r="I5610" t="s">
        <v>453</v>
      </c>
      <c r="J5610" t="s">
        <v>111</v>
      </c>
      <c r="K5610" t="str">
        <f>"85381"</f>
        <v>85381</v>
      </c>
      <c r="L5610" t="s">
        <v>2963</v>
      </c>
      <c r="M5610" t="s">
        <v>34427</v>
      </c>
      <c r="N5610" t="s">
        <v>453</v>
      </c>
      <c r="O5610" t="s">
        <v>111</v>
      </c>
      <c r="P5610" t="str">
        <f>"85381-8136"</f>
        <v>85381-8136</v>
      </c>
      <c r="Q5610" t="s">
        <v>113</v>
      </c>
      <c r="R5610" t="str">
        <f>"200-79-403"</f>
        <v>200-79-403</v>
      </c>
      <c r="S5610" t="s">
        <v>5627</v>
      </c>
      <c r="T5610" t="s">
        <v>5628</v>
      </c>
      <c r="U5610">
        <v>1981</v>
      </c>
      <c r="V5610">
        <v>0</v>
      </c>
      <c r="W5610">
        <v>3</v>
      </c>
      <c r="X5610">
        <v>1989</v>
      </c>
      <c r="Z5610">
        <v>1</v>
      </c>
      <c r="AA5610" t="s">
        <v>26</v>
      </c>
      <c r="AB5610">
        <v>0</v>
      </c>
      <c r="AC5610" t="s">
        <v>115</v>
      </c>
      <c r="AD5610">
        <v>3</v>
      </c>
      <c r="AE5610" t="s">
        <v>115</v>
      </c>
      <c r="AF5610">
        <v>0</v>
      </c>
      <c r="AG5610">
        <v>0</v>
      </c>
      <c r="AH5610" t="s">
        <v>116</v>
      </c>
      <c r="AI5610" s="1">
        <v>-7048</v>
      </c>
      <c r="AJ5610" s="2">
        <v>-0.02</v>
      </c>
      <c r="AK5610" s="1">
        <v>313952</v>
      </c>
      <c r="AL5610" t="s">
        <v>117</v>
      </c>
      <c r="AM5610" t="s">
        <v>3345</v>
      </c>
      <c r="AN5610">
        <v>10018</v>
      </c>
      <c r="AO5610">
        <v>0.23</v>
      </c>
      <c r="AP5610">
        <v>1</v>
      </c>
      <c r="AR5610">
        <v>1</v>
      </c>
      <c r="AS5610" s="1">
        <v>22750</v>
      </c>
      <c r="AT5610" s="1">
        <v>4550</v>
      </c>
      <c r="AU5610" s="1">
        <v>18200</v>
      </c>
      <c r="AV5610">
        <v>80</v>
      </c>
      <c r="AX5610" s="1">
        <v>1766.34</v>
      </c>
      <c r="AY5610" t="s">
        <v>5629</v>
      </c>
      <c r="AZ5610" t="s">
        <v>5629</v>
      </c>
      <c r="BA5610" t="s">
        <v>4007</v>
      </c>
      <c r="BE5610" s="3">
        <v>42515</v>
      </c>
      <c r="BF5610" s="1">
        <v>270000</v>
      </c>
      <c r="BG5610" t="s">
        <v>34428</v>
      </c>
      <c r="BH5610" s="1">
        <v>136.29</v>
      </c>
      <c r="BI5610" s="1">
        <v>321000</v>
      </c>
      <c r="BJ5610" s="3">
        <v>43602</v>
      </c>
      <c r="BK5610" t="s">
        <v>123</v>
      </c>
      <c r="BL5610" t="str">
        <f>"2019.362889"</f>
        <v>2019.362889</v>
      </c>
      <c r="BM5610" t="s">
        <v>1185</v>
      </c>
      <c r="BN5610" t="s">
        <v>6728</v>
      </c>
      <c r="BO5610" t="s">
        <v>34429</v>
      </c>
      <c r="BP5610" t="s">
        <v>34430</v>
      </c>
      <c r="BR5610" t="s">
        <v>139</v>
      </c>
      <c r="BW5610" t="str">
        <f>""</f>
        <v/>
      </c>
      <c r="CH5610" t="str">
        <f>""</f>
        <v/>
      </c>
      <c r="CS5610" t="str">
        <f>""</f>
        <v/>
      </c>
    </row>
    <row r="5611" spans="1:97" x14ac:dyDescent="0.25">
      <c r="A5611" t="s">
        <v>2374</v>
      </c>
      <c r="B5611" t="s">
        <v>6227</v>
      </c>
      <c r="E5611" t="s">
        <v>34431</v>
      </c>
      <c r="F5611" t="s">
        <v>108</v>
      </c>
      <c r="H5611" t="s">
        <v>34432</v>
      </c>
      <c r="I5611" t="s">
        <v>225</v>
      </c>
      <c r="J5611" t="s">
        <v>111</v>
      </c>
      <c r="K5611" t="str">
        <f>"85212"</f>
        <v>85212</v>
      </c>
      <c r="L5611" t="s">
        <v>567</v>
      </c>
      <c r="M5611" t="s">
        <v>34432</v>
      </c>
      <c r="N5611" t="s">
        <v>225</v>
      </c>
      <c r="O5611" t="s">
        <v>111</v>
      </c>
      <c r="P5611" t="str">
        <f>"85212-1506"</f>
        <v>85212-1506</v>
      </c>
      <c r="Q5611" t="s">
        <v>113</v>
      </c>
      <c r="R5611" t="str">
        <f>"304-04-072"</f>
        <v>304-04-072</v>
      </c>
      <c r="S5611" t="s">
        <v>34433</v>
      </c>
      <c r="U5611">
        <v>1332</v>
      </c>
      <c r="V5611">
        <v>0</v>
      </c>
      <c r="W5611">
        <v>3</v>
      </c>
      <c r="X5611">
        <v>1997</v>
      </c>
      <c r="Z5611">
        <v>1</v>
      </c>
      <c r="AA5611" t="s">
        <v>26</v>
      </c>
      <c r="AB5611">
        <v>0</v>
      </c>
      <c r="AC5611" t="s">
        <v>115</v>
      </c>
      <c r="AD5611">
        <v>2</v>
      </c>
      <c r="AE5611" t="s">
        <v>115</v>
      </c>
      <c r="AF5611">
        <v>0</v>
      </c>
      <c r="AG5611">
        <v>0</v>
      </c>
      <c r="AH5611" t="s">
        <v>116</v>
      </c>
      <c r="AI5611" s="1">
        <v>37956</v>
      </c>
      <c r="AJ5611" s="2">
        <v>0.15</v>
      </c>
      <c r="AK5611" s="1">
        <v>255956</v>
      </c>
      <c r="AL5611" t="s">
        <v>117</v>
      </c>
      <c r="AM5611" t="s">
        <v>191</v>
      </c>
      <c r="AN5611">
        <v>6691</v>
      </c>
      <c r="AO5611">
        <v>0.15</v>
      </c>
      <c r="AP5611">
        <v>1</v>
      </c>
      <c r="AR5611">
        <v>1</v>
      </c>
      <c r="AS5611" s="1">
        <v>17410</v>
      </c>
      <c r="AT5611" s="1">
        <v>3480</v>
      </c>
      <c r="AU5611" s="1">
        <v>13930</v>
      </c>
      <c r="AV5611">
        <v>80.010000000000005</v>
      </c>
      <c r="AX5611" s="1">
        <v>1160.5999999999999</v>
      </c>
      <c r="AY5611" t="s">
        <v>570</v>
      </c>
      <c r="AZ5611" t="s">
        <v>777</v>
      </c>
      <c r="BA5611" t="s">
        <v>572</v>
      </c>
      <c r="BE5611" s="3">
        <v>42079</v>
      </c>
      <c r="BF5611" s="1">
        <v>183350</v>
      </c>
      <c r="BG5611" t="s">
        <v>34434</v>
      </c>
      <c r="BH5611" s="1">
        <v>137.65</v>
      </c>
      <c r="BI5611" s="1">
        <v>218000</v>
      </c>
      <c r="BJ5611" s="3">
        <v>43124</v>
      </c>
      <c r="BK5611" t="s">
        <v>123</v>
      </c>
      <c r="BL5611" t="str">
        <f>"2018.55641"</f>
        <v>2018.55641</v>
      </c>
      <c r="BM5611" t="s">
        <v>673</v>
      </c>
      <c r="BN5611" t="s">
        <v>674</v>
      </c>
      <c r="BO5611" t="s">
        <v>34435</v>
      </c>
      <c r="BR5611" t="s">
        <v>139</v>
      </c>
      <c r="BW5611" t="str">
        <f>""</f>
        <v/>
      </c>
      <c r="CH5611" t="str">
        <f>""</f>
        <v/>
      </c>
      <c r="CS5611" t="str">
        <f>""</f>
        <v/>
      </c>
    </row>
    <row r="5612" spans="1:97" x14ac:dyDescent="0.25">
      <c r="A5612" t="s">
        <v>251</v>
      </c>
      <c r="B5612" t="s">
        <v>3706</v>
      </c>
      <c r="C5612" t="s">
        <v>3137</v>
      </c>
      <c r="D5612" t="s">
        <v>3706</v>
      </c>
      <c r="E5612" t="s">
        <v>34436</v>
      </c>
      <c r="F5612" t="s">
        <v>108</v>
      </c>
      <c r="H5612" t="s">
        <v>34437</v>
      </c>
      <c r="I5612" t="s">
        <v>110</v>
      </c>
      <c r="J5612" t="s">
        <v>111</v>
      </c>
      <c r="K5612" t="str">
        <f>"85286"</f>
        <v>85286</v>
      </c>
      <c r="L5612" t="s">
        <v>3520</v>
      </c>
      <c r="M5612" t="s">
        <v>34437</v>
      </c>
      <c r="N5612" t="s">
        <v>110</v>
      </c>
      <c r="O5612" t="s">
        <v>111</v>
      </c>
      <c r="P5612" t="str">
        <f>"85286-4337"</f>
        <v>85286-4337</v>
      </c>
      <c r="Q5612" t="s">
        <v>113</v>
      </c>
      <c r="R5612" t="str">
        <f>"303-35-253"</f>
        <v>303-35-253</v>
      </c>
      <c r="S5612" t="s">
        <v>34438</v>
      </c>
      <c r="U5612">
        <v>1833</v>
      </c>
      <c r="V5612">
        <v>0</v>
      </c>
      <c r="W5612">
        <v>3</v>
      </c>
      <c r="X5612">
        <v>1994</v>
      </c>
      <c r="Z5612">
        <v>1</v>
      </c>
      <c r="AA5612" t="s">
        <v>26</v>
      </c>
      <c r="AB5612">
        <v>0</v>
      </c>
      <c r="AC5612" t="s">
        <v>115</v>
      </c>
      <c r="AD5612">
        <v>2</v>
      </c>
      <c r="AE5612" t="s">
        <v>115</v>
      </c>
      <c r="AF5612">
        <v>0</v>
      </c>
      <c r="AG5612">
        <v>0</v>
      </c>
      <c r="AH5612" t="s">
        <v>116</v>
      </c>
      <c r="AI5612" s="1">
        <v>90719</v>
      </c>
      <c r="AJ5612" s="2">
        <v>0.25</v>
      </c>
      <c r="AK5612" s="1">
        <v>366421</v>
      </c>
      <c r="AL5612" t="s">
        <v>117</v>
      </c>
      <c r="AM5612" t="s">
        <v>118</v>
      </c>
      <c r="AN5612">
        <v>7079</v>
      </c>
      <c r="AO5612">
        <v>0.16</v>
      </c>
      <c r="AP5612">
        <v>1</v>
      </c>
      <c r="AR5612">
        <v>1</v>
      </c>
      <c r="AS5612" s="1">
        <v>25810</v>
      </c>
      <c r="AT5612" s="1">
        <v>5160</v>
      </c>
      <c r="AU5612" s="1">
        <v>20650</v>
      </c>
      <c r="AV5612">
        <v>80.010000000000005</v>
      </c>
      <c r="AX5612" s="1">
        <v>2149.02</v>
      </c>
      <c r="AY5612" t="s">
        <v>10718</v>
      </c>
      <c r="AZ5612" t="s">
        <v>1882</v>
      </c>
      <c r="BA5612" t="s">
        <v>121</v>
      </c>
      <c r="BE5612" s="3">
        <v>42118</v>
      </c>
      <c r="BF5612" s="1">
        <v>269900</v>
      </c>
      <c r="BG5612" t="s">
        <v>34439</v>
      </c>
      <c r="BH5612" s="1">
        <v>147.24</v>
      </c>
      <c r="BI5612" s="1">
        <v>275702</v>
      </c>
      <c r="BJ5612" s="3">
        <v>42118</v>
      </c>
      <c r="BK5612" t="s">
        <v>123</v>
      </c>
      <c r="BL5612" t="str">
        <f>"2015.285079"</f>
        <v>2015.285079</v>
      </c>
      <c r="BM5612" t="s">
        <v>724</v>
      </c>
      <c r="BO5612" t="s">
        <v>34440</v>
      </c>
      <c r="BS5612">
        <v>30</v>
      </c>
      <c r="BW5612" t="str">
        <f>""</f>
        <v/>
      </c>
      <c r="CH5612" t="str">
        <f>""</f>
        <v/>
      </c>
      <c r="CS5612" t="str">
        <f>""</f>
        <v/>
      </c>
    </row>
    <row r="5613" spans="1:97" x14ac:dyDescent="0.25">
      <c r="A5613" t="s">
        <v>34441</v>
      </c>
      <c r="B5613" t="s">
        <v>1722</v>
      </c>
      <c r="E5613" t="s">
        <v>34442</v>
      </c>
      <c r="F5613" t="s">
        <v>282</v>
      </c>
      <c r="H5613" t="s">
        <v>34443</v>
      </c>
      <c r="I5613" t="s">
        <v>315</v>
      </c>
      <c r="J5613" t="s">
        <v>111</v>
      </c>
      <c r="K5613" t="str">
        <f>"85335"</f>
        <v>85335</v>
      </c>
      <c r="L5613" t="s">
        <v>734</v>
      </c>
      <c r="M5613" t="s">
        <v>34443</v>
      </c>
      <c r="N5613" t="s">
        <v>315</v>
      </c>
      <c r="O5613" t="s">
        <v>111</v>
      </c>
      <c r="P5613" t="str">
        <f>"85335-3139"</f>
        <v>85335-3139</v>
      </c>
      <c r="Q5613" t="s">
        <v>113</v>
      </c>
      <c r="R5613" t="str">
        <f>"501-44-119"</f>
        <v>501-44-119</v>
      </c>
      <c r="S5613" t="s">
        <v>34444</v>
      </c>
      <c r="T5613" t="s">
        <v>34444</v>
      </c>
      <c r="U5613">
        <v>1732</v>
      </c>
      <c r="V5613">
        <v>0</v>
      </c>
      <c r="W5613">
        <v>3</v>
      </c>
      <c r="X5613">
        <v>1998</v>
      </c>
      <c r="Z5613">
        <v>1</v>
      </c>
      <c r="AB5613">
        <v>0</v>
      </c>
      <c r="AC5613" t="s">
        <v>115</v>
      </c>
      <c r="AD5613">
        <v>3</v>
      </c>
      <c r="AE5613" t="s">
        <v>115</v>
      </c>
      <c r="AF5613">
        <v>0</v>
      </c>
      <c r="AG5613">
        <v>0</v>
      </c>
      <c r="AH5613" t="s">
        <v>116</v>
      </c>
      <c r="AI5613" s="1">
        <v>113105</v>
      </c>
      <c r="AJ5613" s="2">
        <v>0.36</v>
      </c>
      <c r="AK5613" s="1">
        <v>318205</v>
      </c>
      <c r="AL5613" t="s">
        <v>117</v>
      </c>
      <c r="AM5613" t="s">
        <v>7948</v>
      </c>
      <c r="AN5613">
        <v>38420</v>
      </c>
      <c r="AO5613">
        <v>0.88</v>
      </c>
      <c r="AP5613">
        <v>1</v>
      </c>
      <c r="AR5613">
        <v>1</v>
      </c>
      <c r="AS5613" s="1">
        <v>22300</v>
      </c>
      <c r="AT5613" s="1">
        <v>4460</v>
      </c>
      <c r="AU5613" s="1">
        <v>17840</v>
      </c>
      <c r="AV5613">
        <v>80</v>
      </c>
      <c r="AX5613" s="1">
        <v>2355.56</v>
      </c>
      <c r="AY5613" t="s">
        <v>12675</v>
      </c>
      <c r="AZ5613" t="s">
        <v>12675</v>
      </c>
      <c r="BA5613" t="s">
        <v>635</v>
      </c>
      <c r="BB5613" s="3">
        <v>43482</v>
      </c>
      <c r="BC5613" s="1">
        <v>0</v>
      </c>
      <c r="BD5613" t="s">
        <v>247</v>
      </c>
      <c r="BE5613" s="3">
        <v>41823</v>
      </c>
      <c r="BF5613" s="1">
        <v>200000</v>
      </c>
      <c r="BG5613" t="s">
        <v>34445</v>
      </c>
      <c r="BH5613" s="1">
        <v>115.47</v>
      </c>
      <c r="BI5613" s="1">
        <v>205100</v>
      </c>
      <c r="BJ5613" s="3">
        <v>41823</v>
      </c>
      <c r="BK5613" t="s">
        <v>123</v>
      </c>
      <c r="BL5613" t="str">
        <f>"2014.438666"</f>
        <v>2014.438666</v>
      </c>
      <c r="BM5613" t="s">
        <v>1791</v>
      </c>
      <c r="BN5613" t="s">
        <v>34446</v>
      </c>
      <c r="BO5613" t="s">
        <v>34447</v>
      </c>
      <c r="BS5613">
        <v>30</v>
      </c>
      <c r="BW5613" t="str">
        <f>""</f>
        <v/>
      </c>
      <c r="CH5613" t="str">
        <f>""</f>
        <v/>
      </c>
      <c r="CS5613" t="str">
        <f>""</f>
        <v/>
      </c>
    </row>
    <row r="5614" spans="1:97" x14ac:dyDescent="0.25">
      <c r="A5614" t="s">
        <v>1833</v>
      </c>
      <c r="B5614" t="s">
        <v>3770</v>
      </c>
      <c r="E5614" t="s">
        <v>34448</v>
      </c>
      <c r="F5614" t="s">
        <v>108</v>
      </c>
      <c r="H5614" t="s">
        <v>34449</v>
      </c>
      <c r="I5614" t="s">
        <v>2874</v>
      </c>
      <c r="J5614" t="s">
        <v>111</v>
      </c>
      <c r="K5614" t="str">
        <f>"85302"</f>
        <v>85302</v>
      </c>
      <c r="L5614" t="s">
        <v>1312</v>
      </c>
      <c r="M5614" t="s">
        <v>34449</v>
      </c>
      <c r="N5614" t="s">
        <v>2874</v>
      </c>
      <c r="O5614" t="s">
        <v>111</v>
      </c>
      <c r="P5614" t="str">
        <f>"85302-6213"</f>
        <v>85302-6213</v>
      </c>
      <c r="Q5614" t="s">
        <v>113</v>
      </c>
      <c r="R5614" t="str">
        <f>"148-13-012"</f>
        <v>148-13-012</v>
      </c>
      <c r="S5614" t="s">
        <v>22637</v>
      </c>
      <c r="T5614" t="s">
        <v>22638</v>
      </c>
      <c r="U5614">
        <v>1932</v>
      </c>
      <c r="V5614">
        <v>0</v>
      </c>
      <c r="W5614">
        <v>3</v>
      </c>
      <c r="X5614">
        <v>1977</v>
      </c>
      <c r="Z5614">
        <v>1</v>
      </c>
      <c r="AA5614" t="s">
        <v>26</v>
      </c>
      <c r="AB5614">
        <v>0</v>
      </c>
      <c r="AC5614" t="s">
        <v>115</v>
      </c>
      <c r="AD5614">
        <v>2</v>
      </c>
      <c r="AE5614" t="s">
        <v>115</v>
      </c>
      <c r="AF5614">
        <v>0</v>
      </c>
      <c r="AG5614">
        <v>0</v>
      </c>
      <c r="AH5614" t="s">
        <v>116</v>
      </c>
      <c r="AI5614" s="1">
        <v>32425</v>
      </c>
      <c r="AJ5614" s="2">
        <v>0.12</v>
      </c>
      <c r="AK5614" s="1">
        <v>276338</v>
      </c>
      <c r="AL5614" t="s">
        <v>117</v>
      </c>
      <c r="AM5614" t="s">
        <v>191</v>
      </c>
      <c r="AN5614">
        <v>8503</v>
      </c>
      <c r="AO5614">
        <v>0.2</v>
      </c>
      <c r="AP5614">
        <v>1</v>
      </c>
      <c r="AR5614">
        <v>1</v>
      </c>
      <c r="AS5614" s="1">
        <v>19270</v>
      </c>
      <c r="AT5614" s="1">
        <v>3850</v>
      </c>
      <c r="AU5614" s="1">
        <v>15420</v>
      </c>
      <c r="AV5614">
        <v>80.02</v>
      </c>
      <c r="AX5614" s="1">
        <v>2079.3000000000002</v>
      </c>
      <c r="AY5614" t="s">
        <v>6006</v>
      </c>
      <c r="AZ5614" t="s">
        <v>6006</v>
      </c>
      <c r="BA5614" t="s">
        <v>6007</v>
      </c>
      <c r="BE5614" s="3">
        <v>42538</v>
      </c>
      <c r="BF5614" s="1">
        <v>229900</v>
      </c>
      <c r="BG5614" t="s">
        <v>34450</v>
      </c>
      <c r="BH5614" s="1">
        <v>139.5</v>
      </c>
      <c r="BI5614" s="1">
        <v>243913</v>
      </c>
      <c r="BJ5614" s="3">
        <v>42800</v>
      </c>
      <c r="BK5614" t="s">
        <v>123</v>
      </c>
      <c r="BL5614" t="str">
        <f>"2017.158104"</f>
        <v>2017.158104</v>
      </c>
      <c r="BM5614" t="s">
        <v>34378</v>
      </c>
      <c r="BO5614" t="s">
        <v>34451</v>
      </c>
      <c r="BS5614">
        <v>30</v>
      </c>
      <c r="BW5614" t="str">
        <f>""</f>
        <v/>
      </c>
      <c r="CH5614" t="str">
        <f>""</f>
        <v/>
      </c>
      <c r="CS5614" t="str">
        <f>""</f>
        <v/>
      </c>
    </row>
    <row r="5615" spans="1:97" x14ac:dyDescent="0.25">
      <c r="A5615" t="s">
        <v>34452</v>
      </c>
      <c r="B5615" t="s">
        <v>34453</v>
      </c>
      <c r="C5615" t="s">
        <v>727</v>
      </c>
      <c r="D5615" t="s">
        <v>34454</v>
      </c>
      <c r="E5615" t="s">
        <v>34455</v>
      </c>
      <c r="F5615" t="s">
        <v>108</v>
      </c>
      <c r="H5615" t="s">
        <v>34456</v>
      </c>
      <c r="I5615" t="s">
        <v>203</v>
      </c>
      <c r="J5615" t="s">
        <v>111</v>
      </c>
      <c r="K5615" t="str">
        <f>"85233"</f>
        <v>85233</v>
      </c>
      <c r="L5615" t="s">
        <v>5709</v>
      </c>
      <c r="M5615" t="s">
        <v>34456</v>
      </c>
      <c r="N5615" t="s">
        <v>203</v>
      </c>
      <c r="O5615" t="s">
        <v>111</v>
      </c>
      <c r="P5615" t="str">
        <f>"85233-5839"</f>
        <v>85233-5839</v>
      </c>
      <c r="Q5615" t="s">
        <v>113</v>
      </c>
      <c r="R5615" t="str">
        <f>"302-32-243"</f>
        <v>302-32-243</v>
      </c>
      <c r="S5615" t="s">
        <v>13048</v>
      </c>
      <c r="T5615" t="s">
        <v>13049</v>
      </c>
      <c r="U5615">
        <v>2967</v>
      </c>
      <c r="V5615">
        <v>0</v>
      </c>
      <c r="W5615">
        <v>5</v>
      </c>
      <c r="X5615">
        <v>1989</v>
      </c>
      <c r="Z5615">
        <v>2</v>
      </c>
      <c r="AA5615" t="s">
        <v>26</v>
      </c>
      <c r="AB5615">
        <v>0</v>
      </c>
      <c r="AC5615" t="s">
        <v>115</v>
      </c>
      <c r="AD5615">
        <v>2</v>
      </c>
      <c r="AE5615" t="s">
        <v>115</v>
      </c>
      <c r="AF5615">
        <v>0</v>
      </c>
      <c r="AG5615">
        <v>0</v>
      </c>
      <c r="AH5615" t="s">
        <v>116</v>
      </c>
      <c r="AI5615" s="1">
        <v>69010</v>
      </c>
      <c r="AJ5615" s="2">
        <v>0.16</v>
      </c>
      <c r="AK5615" s="1">
        <v>419010</v>
      </c>
      <c r="AL5615" t="s">
        <v>117</v>
      </c>
      <c r="AM5615" t="s">
        <v>393</v>
      </c>
      <c r="AN5615">
        <v>6264</v>
      </c>
      <c r="AO5615">
        <v>0.14000000000000001</v>
      </c>
      <c r="AP5615">
        <v>1</v>
      </c>
      <c r="AR5615">
        <v>1</v>
      </c>
      <c r="AS5615" s="1">
        <v>28920</v>
      </c>
      <c r="AT5615" s="1">
        <v>5780</v>
      </c>
      <c r="AU5615" s="1">
        <v>23140</v>
      </c>
      <c r="AV5615">
        <v>80.010000000000005</v>
      </c>
      <c r="AX5615" s="1">
        <v>2489.38</v>
      </c>
      <c r="AY5615" t="s">
        <v>5601</v>
      </c>
      <c r="AZ5615" t="s">
        <v>5478</v>
      </c>
      <c r="BA5615" t="s">
        <v>5479</v>
      </c>
      <c r="BE5615" s="3">
        <v>42488</v>
      </c>
      <c r="BF5615" s="1">
        <v>350000</v>
      </c>
      <c r="BG5615" t="s">
        <v>34457</v>
      </c>
      <c r="BH5615" s="1">
        <v>117.96</v>
      </c>
      <c r="BI5615" s="1">
        <v>350000</v>
      </c>
      <c r="BJ5615" s="3">
        <v>42488</v>
      </c>
      <c r="BK5615" t="s">
        <v>123</v>
      </c>
      <c r="BL5615" t="str">
        <f>"2016.285191"</f>
        <v>2016.285191</v>
      </c>
      <c r="BM5615" t="s">
        <v>1791</v>
      </c>
      <c r="BO5615" t="s">
        <v>34458</v>
      </c>
      <c r="BP5615" t="s">
        <v>34459</v>
      </c>
      <c r="BS5615">
        <v>30</v>
      </c>
      <c r="BW5615" t="str">
        <f>""</f>
        <v/>
      </c>
      <c r="CH5615" t="str">
        <f>""</f>
        <v/>
      </c>
      <c r="CS5615" t="str">
        <f>""</f>
        <v/>
      </c>
    </row>
    <row r="5616" spans="1:97" x14ac:dyDescent="0.25">
      <c r="A5616" t="s">
        <v>30255</v>
      </c>
      <c r="B5616" t="s">
        <v>1552</v>
      </c>
      <c r="C5616" t="s">
        <v>2099</v>
      </c>
      <c r="D5616" t="s">
        <v>1552</v>
      </c>
      <c r="E5616" t="s">
        <v>34460</v>
      </c>
      <c r="F5616" t="s">
        <v>108</v>
      </c>
      <c r="H5616" t="s">
        <v>34461</v>
      </c>
      <c r="I5616" t="s">
        <v>225</v>
      </c>
      <c r="J5616" t="s">
        <v>111</v>
      </c>
      <c r="K5616" t="str">
        <f>"85215"</f>
        <v>85215</v>
      </c>
      <c r="L5616" t="s">
        <v>6416</v>
      </c>
      <c r="M5616" t="s">
        <v>34461</v>
      </c>
      <c r="N5616" t="s">
        <v>225</v>
      </c>
      <c r="O5616" t="s">
        <v>111</v>
      </c>
      <c r="P5616" t="str">
        <f>"85215"</f>
        <v>85215</v>
      </c>
      <c r="Q5616" t="s">
        <v>113</v>
      </c>
      <c r="R5616" t="str">
        <f>"141-69-774"</f>
        <v>141-69-774</v>
      </c>
      <c r="S5616" t="s">
        <v>20861</v>
      </c>
      <c r="T5616" t="s">
        <v>20713</v>
      </c>
      <c r="U5616">
        <v>2270</v>
      </c>
      <c r="V5616">
        <v>0</v>
      </c>
      <c r="W5616">
        <v>3</v>
      </c>
      <c r="X5616">
        <v>1993</v>
      </c>
      <c r="Z5616">
        <v>1</v>
      </c>
      <c r="AA5616" t="s">
        <v>26</v>
      </c>
      <c r="AB5616">
        <v>0</v>
      </c>
      <c r="AC5616" t="s">
        <v>115</v>
      </c>
      <c r="AD5616">
        <v>3</v>
      </c>
      <c r="AE5616" t="s">
        <v>115</v>
      </c>
      <c r="AF5616">
        <v>0</v>
      </c>
      <c r="AG5616">
        <v>0</v>
      </c>
      <c r="AH5616" t="s">
        <v>116</v>
      </c>
      <c r="AI5616" s="1">
        <v>88415</v>
      </c>
      <c r="AJ5616" s="2">
        <v>0.23</v>
      </c>
      <c r="AK5616" s="1">
        <v>377690</v>
      </c>
      <c r="AL5616" t="s">
        <v>117</v>
      </c>
      <c r="AM5616" t="s">
        <v>393</v>
      </c>
      <c r="AN5616">
        <v>9372</v>
      </c>
      <c r="AO5616">
        <v>0.22</v>
      </c>
      <c r="AP5616">
        <v>1</v>
      </c>
      <c r="AR5616">
        <v>1</v>
      </c>
      <c r="AS5616" s="1">
        <v>28180</v>
      </c>
      <c r="AT5616" s="1">
        <v>5630</v>
      </c>
      <c r="AU5616" s="1">
        <v>22550</v>
      </c>
      <c r="AV5616">
        <v>80.02</v>
      </c>
      <c r="AX5616" s="1">
        <v>2477.84</v>
      </c>
      <c r="AY5616" t="s">
        <v>6662</v>
      </c>
      <c r="AZ5616" t="s">
        <v>5275</v>
      </c>
      <c r="BA5616" t="s">
        <v>3119</v>
      </c>
      <c r="BE5616" s="3">
        <v>42472</v>
      </c>
      <c r="BF5616" s="1">
        <v>315000</v>
      </c>
      <c r="BG5616" t="s">
        <v>34462</v>
      </c>
      <c r="BH5616" s="1">
        <v>138.77000000000001</v>
      </c>
      <c r="BI5616" s="1">
        <v>289275</v>
      </c>
      <c r="BJ5616" s="3">
        <v>42472</v>
      </c>
      <c r="BK5616" t="s">
        <v>123</v>
      </c>
      <c r="BL5616" t="str">
        <f>"2016.242183"</f>
        <v>2016.242183</v>
      </c>
      <c r="BM5616" t="s">
        <v>1154</v>
      </c>
      <c r="BO5616" t="s">
        <v>34463</v>
      </c>
      <c r="BS5616">
        <v>30</v>
      </c>
      <c r="BW5616" t="str">
        <f>""</f>
        <v/>
      </c>
      <c r="CH5616" t="str">
        <f>""</f>
        <v/>
      </c>
      <c r="CS5616" t="str">
        <f>""</f>
        <v/>
      </c>
    </row>
    <row r="5617" spans="1:97" x14ac:dyDescent="0.25">
      <c r="A5617" t="s">
        <v>305</v>
      </c>
      <c r="B5617" t="s">
        <v>34464</v>
      </c>
      <c r="C5617" t="s">
        <v>1252</v>
      </c>
      <c r="D5617" t="s">
        <v>34464</v>
      </c>
      <c r="E5617" t="s">
        <v>34465</v>
      </c>
      <c r="F5617" t="s">
        <v>108</v>
      </c>
      <c r="H5617" t="s">
        <v>34466</v>
      </c>
      <c r="I5617" t="s">
        <v>225</v>
      </c>
      <c r="J5617" t="s">
        <v>111</v>
      </c>
      <c r="K5617" t="str">
        <f>"85209"</f>
        <v>85209</v>
      </c>
      <c r="L5617" t="s">
        <v>5456</v>
      </c>
      <c r="M5617" t="s">
        <v>34466</v>
      </c>
      <c r="N5617" t="s">
        <v>225</v>
      </c>
      <c r="O5617" t="s">
        <v>111</v>
      </c>
      <c r="P5617" t="str">
        <f>"85209-1584"</f>
        <v>85209-1584</v>
      </c>
      <c r="Q5617" t="s">
        <v>113</v>
      </c>
      <c r="R5617" t="str">
        <f>"312-13-088"</f>
        <v>312-13-088</v>
      </c>
      <c r="S5617" t="s">
        <v>23866</v>
      </c>
      <c r="U5617">
        <v>2248</v>
      </c>
      <c r="V5617">
        <v>0</v>
      </c>
      <c r="W5617">
        <v>4</v>
      </c>
      <c r="X5617">
        <v>2004</v>
      </c>
      <c r="Z5617">
        <v>2</v>
      </c>
      <c r="AA5617" t="s">
        <v>26</v>
      </c>
      <c r="AB5617">
        <v>0</v>
      </c>
      <c r="AC5617" t="s">
        <v>115</v>
      </c>
      <c r="AD5617">
        <v>2</v>
      </c>
      <c r="AE5617" t="s">
        <v>115</v>
      </c>
      <c r="AF5617">
        <v>0</v>
      </c>
      <c r="AG5617">
        <v>0</v>
      </c>
      <c r="AH5617" t="s">
        <v>116</v>
      </c>
      <c r="AI5617" s="1">
        <v>29530</v>
      </c>
      <c r="AJ5617" s="2">
        <v>0.08</v>
      </c>
      <c r="AK5617" s="1">
        <v>359470</v>
      </c>
      <c r="AL5617" t="s">
        <v>117</v>
      </c>
      <c r="AM5617" t="s">
        <v>393</v>
      </c>
      <c r="AN5617">
        <v>8879</v>
      </c>
      <c r="AO5617">
        <v>0.2</v>
      </c>
      <c r="AP5617">
        <v>1</v>
      </c>
      <c r="AR5617">
        <v>1</v>
      </c>
      <c r="AS5617" s="1">
        <v>24730</v>
      </c>
      <c r="AT5617" s="1">
        <v>4940</v>
      </c>
      <c r="AU5617" s="1">
        <v>19790</v>
      </c>
      <c r="AV5617">
        <v>80.02</v>
      </c>
      <c r="AX5617" s="1">
        <v>1824.18</v>
      </c>
      <c r="AY5617" t="s">
        <v>4370</v>
      </c>
      <c r="AZ5617" t="s">
        <v>777</v>
      </c>
      <c r="BA5617" t="s">
        <v>572</v>
      </c>
      <c r="BE5617" s="3">
        <v>41983</v>
      </c>
      <c r="BF5617" s="1">
        <v>255000</v>
      </c>
      <c r="BG5617" t="s">
        <v>34467</v>
      </c>
      <c r="BH5617" s="1">
        <v>113.43</v>
      </c>
      <c r="BI5617" s="1">
        <v>329940</v>
      </c>
      <c r="BJ5617" s="3">
        <v>43570</v>
      </c>
      <c r="BK5617" t="s">
        <v>123</v>
      </c>
      <c r="BL5617" t="str">
        <f>"2019.261831"</f>
        <v>2019.261831</v>
      </c>
      <c r="BM5617" t="s">
        <v>4358</v>
      </c>
      <c r="BN5617" t="s">
        <v>1282</v>
      </c>
      <c r="BO5617" t="s">
        <v>34468</v>
      </c>
      <c r="BP5617" t="s">
        <v>34469</v>
      </c>
      <c r="BR5617" t="s">
        <v>139</v>
      </c>
      <c r="BW5617" t="str">
        <f>""</f>
        <v/>
      </c>
      <c r="CH5617" t="str">
        <f>""</f>
        <v/>
      </c>
      <c r="CS5617" t="str">
        <f>""</f>
        <v/>
      </c>
    </row>
    <row r="5618" spans="1:97" x14ac:dyDescent="0.25">
      <c r="A5618" t="s">
        <v>1272</v>
      </c>
      <c r="B5618" t="s">
        <v>3874</v>
      </c>
      <c r="C5618" t="s">
        <v>1507</v>
      </c>
      <c r="D5618" t="s">
        <v>3874</v>
      </c>
      <c r="E5618" t="s">
        <v>34470</v>
      </c>
      <c r="F5618" t="s">
        <v>108</v>
      </c>
      <c r="H5618" t="s">
        <v>34471</v>
      </c>
      <c r="I5618" t="s">
        <v>453</v>
      </c>
      <c r="J5618" t="s">
        <v>111</v>
      </c>
      <c r="K5618" t="str">
        <f>"85383"</f>
        <v>85383</v>
      </c>
      <c r="L5618" t="s">
        <v>7243</v>
      </c>
      <c r="M5618" t="s">
        <v>34471</v>
      </c>
      <c r="N5618" t="s">
        <v>453</v>
      </c>
      <c r="O5618" t="s">
        <v>111</v>
      </c>
      <c r="P5618" t="str">
        <f>"85383-6263"</f>
        <v>85383-6263</v>
      </c>
      <c r="Q5618" t="s">
        <v>113</v>
      </c>
      <c r="R5618" t="str">
        <f>"201-20-424"</f>
        <v>201-20-424</v>
      </c>
      <c r="S5618" t="s">
        <v>8847</v>
      </c>
      <c r="T5618" t="s">
        <v>8847</v>
      </c>
      <c r="U5618">
        <v>3267</v>
      </c>
      <c r="V5618">
        <v>0</v>
      </c>
      <c r="W5618">
        <v>6</v>
      </c>
      <c r="X5618">
        <v>2014</v>
      </c>
      <c r="Z5618">
        <v>2</v>
      </c>
      <c r="AB5618">
        <v>0</v>
      </c>
      <c r="AC5618" t="s">
        <v>115</v>
      </c>
      <c r="AD5618">
        <v>3</v>
      </c>
      <c r="AE5618" t="s">
        <v>115</v>
      </c>
      <c r="AF5618">
        <v>0</v>
      </c>
      <c r="AG5618">
        <v>0</v>
      </c>
      <c r="AH5618" t="s">
        <v>116</v>
      </c>
      <c r="AI5618" s="1">
        <v>75501</v>
      </c>
      <c r="AJ5618" s="2">
        <v>0.17</v>
      </c>
      <c r="AK5618" s="1">
        <v>447666</v>
      </c>
      <c r="AL5618" t="s">
        <v>117</v>
      </c>
      <c r="AM5618" t="s">
        <v>118</v>
      </c>
      <c r="AN5618">
        <v>7850</v>
      </c>
      <c r="AO5618">
        <v>0.18</v>
      </c>
      <c r="AR5618">
        <v>1</v>
      </c>
      <c r="AS5618" s="1">
        <v>34870</v>
      </c>
      <c r="AT5618" s="1">
        <v>6970</v>
      </c>
      <c r="AU5618" s="1">
        <v>27900</v>
      </c>
      <c r="AV5618">
        <v>80.010000000000005</v>
      </c>
      <c r="AX5618" s="1">
        <v>3102.26</v>
      </c>
      <c r="AY5618" t="s">
        <v>1385</v>
      </c>
      <c r="AZ5618" t="s">
        <v>1385</v>
      </c>
      <c r="BA5618" t="s">
        <v>1386</v>
      </c>
      <c r="BE5618" s="3">
        <v>41901</v>
      </c>
      <c r="BF5618" s="1">
        <v>387768</v>
      </c>
      <c r="BG5618" t="s">
        <v>2199</v>
      </c>
      <c r="BH5618" s="1">
        <v>118.69</v>
      </c>
      <c r="BI5618" s="1">
        <v>372165</v>
      </c>
      <c r="BJ5618" s="3">
        <v>42612</v>
      </c>
      <c r="BK5618" t="s">
        <v>123</v>
      </c>
      <c r="BL5618" t="str">
        <f>"2016.625582"</f>
        <v>2016.625582</v>
      </c>
      <c r="BM5618" t="s">
        <v>699</v>
      </c>
      <c r="BO5618" t="s">
        <v>34472</v>
      </c>
      <c r="BS5618">
        <v>30</v>
      </c>
      <c r="BW5618" t="str">
        <f>""</f>
        <v/>
      </c>
      <c r="CH5618" t="str">
        <f>""</f>
        <v/>
      </c>
      <c r="CS5618" t="str">
        <f>""</f>
        <v/>
      </c>
    </row>
    <row r="5619" spans="1:97" x14ac:dyDescent="0.25">
      <c r="A5619" t="s">
        <v>7969</v>
      </c>
      <c r="B5619" t="s">
        <v>34473</v>
      </c>
      <c r="C5619" t="s">
        <v>34474</v>
      </c>
      <c r="D5619" t="s">
        <v>34473</v>
      </c>
      <c r="E5619" t="s">
        <v>34475</v>
      </c>
      <c r="F5619" t="s">
        <v>108</v>
      </c>
      <c r="H5619" t="s">
        <v>34476</v>
      </c>
      <c r="I5619" t="s">
        <v>374</v>
      </c>
      <c r="J5619" t="s">
        <v>111</v>
      </c>
      <c r="K5619" t="str">
        <f>"85087"</f>
        <v>85087</v>
      </c>
      <c r="L5619" t="s">
        <v>7109</v>
      </c>
      <c r="M5619" t="s">
        <v>34476</v>
      </c>
      <c r="N5619" t="s">
        <v>374</v>
      </c>
      <c r="O5619" t="s">
        <v>111</v>
      </c>
      <c r="P5619" t="str">
        <f>"85087-5962"</f>
        <v>85087-5962</v>
      </c>
      <c r="Q5619" t="s">
        <v>113</v>
      </c>
      <c r="R5619" t="str">
        <f>"202-30-505"</f>
        <v>202-30-505</v>
      </c>
      <c r="S5619" t="s">
        <v>7317</v>
      </c>
      <c r="T5619" t="s">
        <v>7096</v>
      </c>
      <c r="U5619">
        <v>2866</v>
      </c>
      <c r="V5619">
        <v>0</v>
      </c>
      <c r="W5619">
        <v>4</v>
      </c>
      <c r="X5619">
        <v>2005</v>
      </c>
      <c r="Z5619">
        <v>2</v>
      </c>
      <c r="AB5619">
        <v>0</v>
      </c>
      <c r="AC5619" t="s">
        <v>115</v>
      </c>
      <c r="AD5619">
        <v>2</v>
      </c>
      <c r="AE5619" t="s">
        <v>115</v>
      </c>
      <c r="AF5619">
        <v>0</v>
      </c>
      <c r="AG5619">
        <v>0</v>
      </c>
      <c r="AH5619" t="s">
        <v>116</v>
      </c>
      <c r="AI5619" s="1">
        <v>96691</v>
      </c>
      <c r="AJ5619" s="2">
        <v>0.26</v>
      </c>
      <c r="AK5619" s="1">
        <v>368689</v>
      </c>
      <c r="AL5619" t="s">
        <v>117</v>
      </c>
      <c r="AM5619" t="s">
        <v>191</v>
      </c>
      <c r="AN5619">
        <v>6771</v>
      </c>
      <c r="AO5619">
        <v>0.16</v>
      </c>
      <c r="AR5619">
        <v>1</v>
      </c>
      <c r="AS5619" s="1">
        <v>25710</v>
      </c>
      <c r="AT5619" s="1">
        <v>5140</v>
      </c>
      <c r="AU5619" s="1">
        <v>20570</v>
      </c>
      <c r="AV5619">
        <v>80.010000000000005</v>
      </c>
      <c r="AX5619" s="1">
        <v>2320.2399999999998</v>
      </c>
      <c r="AY5619" t="s">
        <v>5380</v>
      </c>
      <c r="AZ5619" t="s">
        <v>5380</v>
      </c>
      <c r="BA5619" t="s">
        <v>378</v>
      </c>
      <c r="BE5619" s="3">
        <v>41758</v>
      </c>
      <c r="BF5619" s="1">
        <v>264900</v>
      </c>
      <c r="BG5619" t="s">
        <v>22841</v>
      </c>
      <c r="BH5619" s="1">
        <v>92.43</v>
      </c>
      <c r="BI5619" s="1">
        <v>271998</v>
      </c>
      <c r="BJ5619" s="3">
        <v>42612</v>
      </c>
      <c r="BK5619" t="s">
        <v>123</v>
      </c>
      <c r="BL5619" t="str">
        <f>"2016.623829"</f>
        <v>2016.623829</v>
      </c>
      <c r="BM5619" t="s">
        <v>402</v>
      </c>
      <c r="BO5619" t="s">
        <v>34477</v>
      </c>
      <c r="BS5619">
        <v>30</v>
      </c>
      <c r="BW5619" t="str">
        <f>""</f>
        <v/>
      </c>
      <c r="CH5619" t="str">
        <f>""</f>
        <v/>
      </c>
      <c r="CS5619" t="str">
        <f>""</f>
        <v/>
      </c>
    </row>
    <row r="5620" spans="1:97" x14ac:dyDescent="0.25">
      <c r="A5620" t="s">
        <v>16905</v>
      </c>
      <c r="B5620" t="s">
        <v>4588</v>
      </c>
      <c r="C5620" t="s">
        <v>513</v>
      </c>
      <c r="D5620" t="s">
        <v>4588</v>
      </c>
      <c r="E5620" t="s">
        <v>34478</v>
      </c>
      <c r="F5620" t="s">
        <v>108</v>
      </c>
      <c r="H5620" t="s">
        <v>34479</v>
      </c>
      <c r="I5620" t="s">
        <v>1397</v>
      </c>
      <c r="J5620" t="s">
        <v>111</v>
      </c>
      <c r="K5620" t="str">
        <f>"85331"</f>
        <v>85331</v>
      </c>
      <c r="L5620" t="s">
        <v>14190</v>
      </c>
      <c r="M5620" t="s">
        <v>34479</v>
      </c>
      <c r="N5620" t="s">
        <v>1397</v>
      </c>
      <c r="O5620" t="s">
        <v>111</v>
      </c>
      <c r="P5620" t="str">
        <f>"85331-1553"</f>
        <v>85331-1553</v>
      </c>
      <c r="Q5620" t="s">
        <v>113</v>
      </c>
      <c r="R5620" t="str">
        <f>"211-48-413"</f>
        <v>211-48-413</v>
      </c>
      <c r="S5620" t="s">
        <v>5959</v>
      </c>
      <c r="U5620">
        <v>2404</v>
      </c>
      <c r="V5620">
        <v>0</v>
      </c>
      <c r="W5620">
        <v>4</v>
      </c>
      <c r="X5620">
        <v>2012</v>
      </c>
      <c r="Z5620">
        <v>1</v>
      </c>
      <c r="AB5620">
        <v>0</v>
      </c>
      <c r="AC5620" t="s">
        <v>115</v>
      </c>
      <c r="AD5620">
        <v>2</v>
      </c>
      <c r="AE5620" t="s">
        <v>115</v>
      </c>
      <c r="AF5620">
        <v>0</v>
      </c>
      <c r="AG5620">
        <v>0</v>
      </c>
      <c r="AH5620" t="s">
        <v>116</v>
      </c>
      <c r="AI5620" s="1">
        <v>190899</v>
      </c>
      <c r="AJ5620" s="2">
        <v>0.34</v>
      </c>
      <c r="AK5620" s="1">
        <v>560899</v>
      </c>
      <c r="AL5620" t="s">
        <v>117</v>
      </c>
      <c r="AM5620" t="s">
        <v>3973</v>
      </c>
      <c r="AN5620">
        <v>9172</v>
      </c>
      <c r="AO5620">
        <v>0.21</v>
      </c>
      <c r="AR5620">
        <v>1</v>
      </c>
      <c r="AS5620" s="1">
        <v>40300</v>
      </c>
      <c r="AT5620" s="1">
        <v>8060</v>
      </c>
      <c r="AU5620" s="1">
        <v>32240</v>
      </c>
      <c r="AV5620">
        <v>80</v>
      </c>
      <c r="AX5620" s="1">
        <v>2755.3</v>
      </c>
      <c r="AY5620" t="s">
        <v>1401</v>
      </c>
      <c r="AZ5620" t="s">
        <v>1402</v>
      </c>
      <c r="BA5620" t="s">
        <v>1403</v>
      </c>
      <c r="BE5620" s="3">
        <v>42513</v>
      </c>
      <c r="BF5620" s="1">
        <v>450000</v>
      </c>
      <c r="BG5620" t="s">
        <v>34480</v>
      </c>
      <c r="BH5620" s="1">
        <v>187.19</v>
      </c>
      <c r="BI5620" s="1">
        <v>370000</v>
      </c>
      <c r="BJ5620" s="3">
        <v>42513</v>
      </c>
      <c r="BK5620" t="s">
        <v>123</v>
      </c>
      <c r="BL5620" t="str">
        <f>"2016.352629"</f>
        <v>2016.352629</v>
      </c>
      <c r="BM5620" t="s">
        <v>1791</v>
      </c>
      <c r="BO5620" t="s">
        <v>34481</v>
      </c>
      <c r="BS5620">
        <v>30</v>
      </c>
      <c r="BW5620" t="str">
        <f>""</f>
        <v/>
      </c>
      <c r="CH5620" t="str">
        <f>""</f>
        <v/>
      </c>
      <c r="CS5620" t="str">
        <f>""</f>
        <v/>
      </c>
    </row>
    <row r="5621" spans="1:97" x14ac:dyDescent="0.25">
      <c r="A5621" t="s">
        <v>3089</v>
      </c>
      <c r="B5621" t="s">
        <v>3851</v>
      </c>
      <c r="C5621" t="s">
        <v>3958</v>
      </c>
      <c r="D5621" t="s">
        <v>3851</v>
      </c>
      <c r="E5621" t="s">
        <v>34482</v>
      </c>
      <c r="F5621" t="s">
        <v>108</v>
      </c>
      <c r="H5621" t="s">
        <v>34483</v>
      </c>
      <c r="I5621" t="s">
        <v>5636</v>
      </c>
      <c r="J5621" t="s">
        <v>111</v>
      </c>
      <c r="K5621" t="str">
        <f>"85268"</f>
        <v>85268</v>
      </c>
      <c r="L5621" t="s">
        <v>8103</v>
      </c>
      <c r="M5621" t="s">
        <v>34483</v>
      </c>
      <c r="N5621" t="s">
        <v>5636</v>
      </c>
      <c r="O5621" t="s">
        <v>111</v>
      </c>
      <c r="P5621" t="str">
        <f>"85268-5817"</f>
        <v>85268-5817</v>
      </c>
      <c r="R5621" t="str">
        <f>"176-13-936"</f>
        <v>176-13-936</v>
      </c>
      <c r="S5621" t="s">
        <v>33505</v>
      </c>
      <c r="T5621" t="s">
        <v>33505</v>
      </c>
      <c r="U5621">
        <v>2732</v>
      </c>
      <c r="V5621">
        <v>0</v>
      </c>
      <c r="W5621">
        <v>4</v>
      </c>
      <c r="X5621">
        <v>1999</v>
      </c>
      <c r="Z5621">
        <v>1</v>
      </c>
      <c r="AA5621" t="s">
        <v>26</v>
      </c>
      <c r="AB5621">
        <v>0</v>
      </c>
      <c r="AC5621" t="s">
        <v>115</v>
      </c>
      <c r="AD5621">
        <v>4</v>
      </c>
      <c r="AE5621" t="s">
        <v>115</v>
      </c>
      <c r="AF5621">
        <v>0</v>
      </c>
      <c r="AG5621">
        <v>0</v>
      </c>
      <c r="AH5621" t="s">
        <v>116</v>
      </c>
      <c r="AI5621" s="1">
        <v>179723</v>
      </c>
      <c r="AJ5621" s="2">
        <v>0.27</v>
      </c>
      <c r="AK5621" s="1">
        <v>658923</v>
      </c>
      <c r="AL5621" t="s">
        <v>117</v>
      </c>
      <c r="AM5621" t="s">
        <v>1302</v>
      </c>
      <c r="AN5621">
        <v>12288</v>
      </c>
      <c r="AO5621">
        <v>0.28000000000000003</v>
      </c>
      <c r="AP5621">
        <v>1</v>
      </c>
      <c r="AR5621">
        <v>1</v>
      </c>
      <c r="AS5621" s="1">
        <v>50280</v>
      </c>
      <c r="AT5621" s="1">
        <v>10050</v>
      </c>
      <c r="AU5621" s="1">
        <v>40230</v>
      </c>
      <c r="AV5621">
        <v>80.010000000000005</v>
      </c>
      <c r="AX5621" s="1">
        <v>3493.98</v>
      </c>
      <c r="AY5621" t="s">
        <v>5639</v>
      </c>
      <c r="AZ5621" t="s">
        <v>5640</v>
      </c>
      <c r="BA5621" t="s">
        <v>5641</v>
      </c>
      <c r="BE5621" s="3">
        <v>42360</v>
      </c>
      <c r="BF5621" s="1">
        <v>599000</v>
      </c>
      <c r="BG5621" t="s">
        <v>34484</v>
      </c>
      <c r="BH5621" s="1">
        <v>219.25</v>
      </c>
      <c r="BI5621" s="1">
        <v>479200</v>
      </c>
      <c r="BJ5621" s="3">
        <v>42360</v>
      </c>
      <c r="BK5621" t="s">
        <v>123</v>
      </c>
      <c r="BL5621" t="str">
        <f>"2015.902556"</f>
        <v>2015.902556</v>
      </c>
      <c r="BM5621" t="s">
        <v>135</v>
      </c>
      <c r="BN5621" t="s">
        <v>136</v>
      </c>
      <c r="BO5621" t="s">
        <v>34485</v>
      </c>
      <c r="BS5621">
        <v>30</v>
      </c>
      <c r="BW5621" t="str">
        <f>""</f>
        <v/>
      </c>
      <c r="CH5621" t="str">
        <f>""</f>
        <v/>
      </c>
      <c r="CS5621" t="str">
        <f>""</f>
        <v/>
      </c>
    </row>
    <row r="5622" spans="1:97" x14ac:dyDescent="0.25">
      <c r="A5622" t="s">
        <v>34486</v>
      </c>
      <c r="B5622" t="s">
        <v>34487</v>
      </c>
      <c r="E5622" t="s">
        <v>34488</v>
      </c>
      <c r="F5622" t="s">
        <v>282</v>
      </c>
      <c r="H5622" t="s">
        <v>34489</v>
      </c>
      <c r="I5622" t="s">
        <v>2874</v>
      </c>
      <c r="J5622" t="s">
        <v>111</v>
      </c>
      <c r="K5622" t="str">
        <f>"85308"</f>
        <v>85308</v>
      </c>
      <c r="L5622" t="s">
        <v>5291</v>
      </c>
      <c r="M5622" t="s">
        <v>34490</v>
      </c>
      <c r="N5622" t="s">
        <v>2874</v>
      </c>
      <c r="O5622" t="s">
        <v>111</v>
      </c>
      <c r="P5622" t="str">
        <f>"85308"</f>
        <v>85308</v>
      </c>
      <c r="Q5622" t="s">
        <v>113</v>
      </c>
      <c r="R5622" t="str">
        <f>"233-02-290"</f>
        <v>233-02-290</v>
      </c>
      <c r="S5622" t="s">
        <v>8399</v>
      </c>
      <c r="T5622" t="s">
        <v>8399</v>
      </c>
      <c r="U5622">
        <v>3075</v>
      </c>
      <c r="V5622">
        <v>0</v>
      </c>
      <c r="W5622">
        <v>4</v>
      </c>
      <c r="X5622">
        <v>1994</v>
      </c>
      <c r="Z5622">
        <v>2</v>
      </c>
      <c r="AB5622">
        <v>0</v>
      </c>
      <c r="AC5622" t="s">
        <v>115</v>
      </c>
      <c r="AD5622">
        <v>3</v>
      </c>
      <c r="AE5622" t="s">
        <v>115</v>
      </c>
      <c r="AF5622">
        <v>0</v>
      </c>
      <c r="AG5622">
        <v>0</v>
      </c>
      <c r="AH5622" t="s">
        <v>116</v>
      </c>
      <c r="AI5622" s="1">
        <v>50619</v>
      </c>
      <c r="AJ5622" s="2">
        <v>0.12</v>
      </c>
      <c r="AK5622" s="1">
        <v>414954</v>
      </c>
      <c r="AL5622" t="s">
        <v>117</v>
      </c>
      <c r="AM5622" t="s">
        <v>393</v>
      </c>
      <c r="AN5622">
        <v>10096</v>
      </c>
      <c r="AO5622">
        <v>0.23</v>
      </c>
      <c r="AP5622">
        <v>1</v>
      </c>
      <c r="AR5622">
        <v>1</v>
      </c>
      <c r="AS5622" s="1">
        <v>33300</v>
      </c>
      <c r="AT5622" s="1">
        <v>6660</v>
      </c>
      <c r="AU5622" s="1">
        <v>26640</v>
      </c>
      <c r="AV5622">
        <v>80</v>
      </c>
      <c r="AX5622" s="1">
        <v>3839.46</v>
      </c>
      <c r="AY5622" t="s">
        <v>8400</v>
      </c>
      <c r="AZ5622" t="s">
        <v>8400</v>
      </c>
      <c r="BA5622" t="s">
        <v>2223</v>
      </c>
      <c r="BE5622" s="3">
        <v>41697</v>
      </c>
      <c r="BF5622" s="1">
        <v>358000</v>
      </c>
      <c r="BG5622" t="s">
        <v>34491</v>
      </c>
      <c r="BH5622" s="1">
        <v>116.42</v>
      </c>
      <c r="BI5622" s="1">
        <v>364335</v>
      </c>
      <c r="BJ5622" s="3">
        <v>42628</v>
      </c>
      <c r="BK5622" t="s">
        <v>123</v>
      </c>
      <c r="BL5622" t="str">
        <f>"2016.671115"</f>
        <v>2016.671115</v>
      </c>
      <c r="BM5622" t="s">
        <v>402</v>
      </c>
      <c r="BN5622" t="s">
        <v>461</v>
      </c>
      <c r="BO5622" t="s">
        <v>34492</v>
      </c>
      <c r="BS5622">
        <v>30</v>
      </c>
      <c r="BT5622" s="1">
        <v>364335</v>
      </c>
      <c r="BU5622" s="3">
        <v>42628</v>
      </c>
      <c r="BV5622" t="s">
        <v>123</v>
      </c>
      <c r="BW5622" t="str">
        <f>"2016.671115"</f>
        <v>2016.671115</v>
      </c>
      <c r="BX5622" t="s">
        <v>402</v>
      </c>
      <c r="BZ5622" t="s">
        <v>34492</v>
      </c>
      <c r="CD5622">
        <v>30</v>
      </c>
      <c r="CH5622" t="str">
        <f>""</f>
        <v/>
      </c>
      <c r="CS5622" t="str">
        <f>""</f>
        <v/>
      </c>
    </row>
    <row r="5623" spans="1:97" x14ac:dyDescent="0.25">
      <c r="A5623" t="s">
        <v>894</v>
      </c>
      <c r="B5623" t="s">
        <v>34493</v>
      </c>
      <c r="C5623" t="s">
        <v>34494</v>
      </c>
      <c r="D5623" t="s">
        <v>34495</v>
      </c>
      <c r="E5623" t="s">
        <v>34496</v>
      </c>
      <c r="F5623" t="s">
        <v>108</v>
      </c>
      <c r="H5623" t="s">
        <v>34497</v>
      </c>
      <c r="I5623" t="s">
        <v>203</v>
      </c>
      <c r="J5623" t="s">
        <v>111</v>
      </c>
      <c r="K5623" t="str">
        <f>"85296"</f>
        <v>85296</v>
      </c>
      <c r="L5623" t="s">
        <v>9060</v>
      </c>
      <c r="M5623" t="s">
        <v>34497</v>
      </c>
      <c r="N5623" t="s">
        <v>203</v>
      </c>
      <c r="O5623" t="s">
        <v>111</v>
      </c>
      <c r="P5623" t="str">
        <f>"85296-4257"</f>
        <v>85296-4257</v>
      </c>
      <c r="Q5623" t="s">
        <v>113</v>
      </c>
      <c r="R5623" t="str">
        <f>"304-25-446"</f>
        <v>304-25-446</v>
      </c>
      <c r="S5623" t="s">
        <v>15126</v>
      </c>
      <c r="T5623" t="s">
        <v>9527</v>
      </c>
      <c r="U5623">
        <v>2324</v>
      </c>
      <c r="V5623">
        <v>0</v>
      </c>
      <c r="W5623">
        <v>4</v>
      </c>
      <c r="X5623">
        <v>1998</v>
      </c>
      <c r="Z5623">
        <v>2</v>
      </c>
      <c r="AA5623" t="s">
        <v>26</v>
      </c>
      <c r="AB5623">
        <v>0</v>
      </c>
      <c r="AC5623" t="s">
        <v>115</v>
      </c>
      <c r="AD5623">
        <v>2</v>
      </c>
      <c r="AE5623" t="s">
        <v>115</v>
      </c>
      <c r="AF5623">
        <v>0</v>
      </c>
      <c r="AG5623">
        <v>0</v>
      </c>
      <c r="AH5623" t="s">
        <v>116</v>
      </c>
      <c r="AI5623" s="1">
        <v>81611</v>
      </c>
      <c r="AJ5623" s="2">
        <v>0.21</v>
      </c>
      <c r="AK5623" s="1">
        <v>380111</v>
      </c>
      <c r="AL5623" t="s">
        <v>117</v>
      </c>
      <c r="AM5623" t="s">
        <v>191</v>
      </c>
      <c r="AN5623">
        <v>6612</v>
      </c>
      <c r="AO5623">
        <v>0.15</v>
      </c>
      <c r="AP5623">
        <v>1</v>
      </c>
      <c r="AR5623">
        <v>1</v>
      </c>
      <c r="AS5623" s="1">
        <v>26950</v>
      </c>
      <c r="AT5623" s="1">
        <v>5390</v>
      </c>
      <c r="AU5623" s="1">
        <v>21560</v>
      </c>
      <c r="AV5623">
        <v>80</v>
      </c>
      <c r="AX5623" s="1">
        <v>1742.66</v>
      </c>
      <c r="AY5623" t="s">
        <v>7837</v>
      </c>
      <c r="AZ5623" t="s">
        <v>207</v>
      </c>
      <c r="BA5623" t="s">
        <v>208</v>
      </c>
      <c r="BE5623" s="3">
        <v>42061</v>
      </c>
      <c r="BF5623" s="1">
        <v>298500</v>
      </c>
      <c r="BG5623" t="s">
        <v>34498</v>
      </c>
      <c r="BH5623" s="1">
        <v>128.44</v>
      </c>
      <c r="BI5623" s="1">
        <v>298500</v>
      </c>
      <c r="BJ5623" s="3">
        <v>42061</v>
      </c>
      <c r="BK5623" t="s">
        <v>123</v>
      </c>
      <c r="BL5623" t="str">
        <f>"2015.128572"</f>
        <v>2015.128572</v>
      </c>
      <c r="BM5623" t="s">
        <v>544</v>
      </c>
      <c r="BO5623" t="s">
        <v>34499</v>
      </c>
      <c r="BP5623" t="s">
        <v>34500</v>
      </c>
      <c r="BS5623">
        <v>30</v>
      </c>
      <c r="BW5623" t="str">
        <f>""</f>
        <v/>
      </c>
      <c r="CH5623" t="str">
        <f>""</f>
        <v/>
      </c>
      <c r="CS5623" t="str">
        <f>""</f>
        <v/>
      </c>
    </row>
    <row r="5624" spans="1:97" x14ac:dyDescent="0.25">
      <c r="A5624" t="s">
        <v>610</v>
      </c>
      <c r="B5624" t="s">
        <v>34142</v>
      </c>
      <c r="C5624" t="s">
        <v>34501</v>
      </c>
      <c r="D5624" t="s">
        <v>34142</v>
      </c>
      <c r="E5624" t="s">
        <v>34502</v>
      </c>
      <c r="F5624" t="s">
        <v>108</v>
      </c>
      <c r="H5624" t="s">
        <v>34503</v>
      </c>
      <c r="I5624" t="s">
        <v>188</v>
      </c>
      <c r="J5624" t="s">
        <v>111</v>
      </c>
      <c r="K5624" t="str">
        <f>"85142"</f>
        <v>85142</v>
      </c>
      <c r="L5624" t="s">
        <v>5239</v>
      </c>
      <c r="M5624" t="s">
        <v>34503</v>
      </c>
      <c r="N5624" t="s">
        <v>188</v>
      </c>
      <c r="O5624" t="s">
        <v>111</v>
      </c>
      <c r="P5624" t="str">
        <f>"85142-6501"</f>
        <v>85142-6501</v>
      </c>
      <c r="Q5624" t="s">
        <v>113</v>
      </c>
      <c r="R5624" t="str">
        <f>"304-66-281"</f>
        <v>304-66-281</v>
      </c>
      <c r="S5624" t="s">
        <v>34504</v>
      </c>
      <c r="T5624" t="s">
        <v>19218</v>
      </c>
      <c r="U5624">
        <v>2105</v>
      </c>
      <c r="V5624">
        <v>0</v>
      </c>
      <c r="W5624">
        <v>4</v>
      </c>
      <c r="X5624">
        <v>2001</v>
      </c>
      <c r="Z5624">
        <v>2</v>
      </c>
      <c r="AB5624">
        <v>0</v>
      </c>
      <c r="AC5624" t="s">
        <v>115</v>
      </c>
      <c r="AD5624">
        <v>2</v>
      </c>
      <c r="AE5624" t="s">
        <v>115</v>
      </c>
      <c r="AF5624">
        <v>0</v>
      </c>
      <c r="AG5624">
        <v>0</v>
      </c>
      <c r="AH5624" t="s">
        <v>116</v>
      </c>
      <c r="AI5624" s="1">
        <v>67264</v>
      </c>
      <c r="AJ5624" s="2">
        <v>0.22</v>
      </c>
      <c r="AK5624" s="1">
        <v>308064</v>
      </c>
      <c r="AL5624" t="s">
        <v>117</v>
      </c>
      <c r="AM5624" t="s">
        <v>191</v>
      </c>
      <c r="AN5624">
        <v>7047</v>
      </c>
      <c r="AO5624">
        <v>0.16</v>
      </c>
      <c r="AP5624">
        <v>1</v>
      </c>
      <c r="AR5624">
        <v>1</v>
      </c>
      <c r="AS5624" s="1">
        <v>20580</v>
      </c>
      <c r="AT5624" s="1">
        <v>4110</v>
      </c>
      <c r="AU5624" s="1">
        <v>16470</v>
      </c>
      <c r="AV5624">
        <v>80.03</v>
      </c>
      <c r="AX5624" s="1">
        <v>1686.76</v>
      </c>
      <c r="AY5624" t="s">
        <v>560</v>
      </c>
      <c r="AZ5624" t="s">
        <v>561</v>
      </c>
      <c r="BA5624" t="s">
        <v>194</v>
      </c>
      <c r="BE5624" s="3">
        <v>42453</v>
      </c>
      <c r="BF5624" s="1">
        <v>233000</v>
      </c>
      <c r="BG5624" t="s">
        <v>34505</v>
      </c>
      <c r="BH5624" s="1">
        <v>110.69</v>
      </c>
      <c r="BI5624" s="1">
        <v>240800</v>
      </c>
      <c r="BJ5624" s="3">
        <v>42550</v>
      </c>
      <c r="BK5624" t="s">
        <v>123</v>
      </c>
      <c r="BL5624" t="str">
        <f>"2016.455846"</f>
        <v>2016.455846</v>
      </c>
      <c r="BM5624" t="s">
        <v>1122</v>
      </c>
      <c r="BO5624" t="s">
        <v>34506</v>
      </c>
      <c r="BS5624">
        <v>30</v>
      </c>
      <c r="BW5624" t="str">
        <f>""</f>
        <v/>
      </c>
      <c r="CH5624" t="str">
        <f>""</f>
        <v/>
      </c>
      <c r="CS5624" t="str">
        <f>""</f>
        <v/>
      </c>
    </row>
    <row r="5625" spans="1:97" x14ac:dyDescent="0.25">
      <c r="A5625" t="s">
        <v>1593</v>
      </c>
      <c r="B5625" t="s">
        <v>370</v>
      </c>
      <c r="C5625" t="s">
        <v>265</v>
      </c>
      <c r="D5625" t="s">
        <v>370</v>
      </c>
      <c r="E5625" t="s">
        <v>34507</v>
      </c>
      <c r="F5625" t="s">
        <v>108</v>
      </c>
      <c r="H5625" t="s">
        <v>34508</v>
      </c>
      <c r="I5625" t="s">
        <v>499</v>
      </c>
      <c r="J5625" t="s">
        <v>111</v>
      </c>
      <c r="K5625" t="str">
        <f>"85395"</f>
        <v>85395</v>
      </c>
      <c r="L5625" t="s">
        <v>500</v>
      </c>
      <c r="M5625" t="s">
        <v>34508</v>
      </c>
      <c r="N5625" t="s">
        <v>499</v>
      </c>
      <c r="O5625" t="s">
        <v>111</v>
      </c>
      <c r="P5625" t="str">
        <f>"85395-7628"</f>
        <v>85395-7628</v>
      </c>
      <c r="Q5625" t="s">
        <v>113</v>
      </c>
      <c r="R5625" t="str">
        <f>"502-30-328"</f>
        <v>502-30-328</v>
      </c>
      <c r="S5625" t="s">
        <v>11404</v>
      </c>
      <c r="T5625" t="s">
        <v>502</v>
      </c>
      <c r="U5625">
        <v>3050</v>
      </c>
      <c r="V5625">
        <v>0</v>
      </c>
      <c r="W5625">
        <v>4</v>
      </c>
      <c r="X5625">
        <v>2014</v>
      </c>
      <c r="Z5625">
        <v>1</v>
      </c>
      <c r="AA5625" t="s">
        <v>26</v>
      </c>
      <c r="AB5625">
        <v>0</v>
      </c>
      <c r="AC5625" t="s">
        <v>115</v>
      </c>
      <c r="AD5625">
        <v>3</v>
      </c>
      <c r="AE5625" t="s">
        <v>115</v>
      </c>
      <c r="AF5625">
        <v>0</v>
      </c>
      <c r="AG5625">
        <v>0</v>
      </c>
      <c r="AH5625" t="s">
        <v>116</v>
      </c>
      <c r="AI5625" s="1">
        <v>116744</v>
      </c>
      <c r="AJ5625" s="2">
        <v>0.25</v>
      </c>
      <c r="AK5625" s="1">
        <v>470278</v>
      </c>
      <c r="AL5625" t="s">
        <v>117</v>
      </c>
      <c r="AM5625" t="s">
        <v>118</v>
      </c>
      <c r="AN5625">
        <v>14700</v>
      </c>
      <c r="AO5625">
        <v>0.34</v>
      </c>
      <c r="AR5625">
        <v>1</v>
      </c>
      <c r="AS5625" s="1">
        <v>36200</v>
      </c>
      <c r="AT5625" s="1">
        <v>7240</v>
      </c>
      <c r="AU5625" s="1">
        <v>28960</v>
      </c>
      <c r="AV5625">
        <v>80</v>
      </c>
      <c r="AX5625" s="1">
        <v>3304.28</v>
      </c>
      <c r="AY5625" t="s">
        <v>503</v>
      </c>
      <c r="AZ5625" t="s">
        <v>504</v>
      </c>
      <c r="BA5625" t="s">
        <v>218</v>
      </c>
      <c r="BE5625" s="3">
        <v>41894</v>
      </c>
      <c r="BF5625" s="1">
        <v>392816</v>
      </c>
      <c r="BG5625" t="s">
        <v>209</v>
      </c>
      <c r="BH5625" s="1">
        <v>128.79</v>
      </c>
      <c r="BI5625" s="1">
        <v>353534</v>
      </c>
      <c r="BJ5625" s="3">
        <v>41894</v>
      </c>
      <c r="BK5625" t="s">
        <v>123</v>
      </c>
      <c r="BL5625" t="str">
        <f>"2014.602744"</f>
        <v>2014.602744</v>
      </c>
      <c r="BM5625" t="s">
        <v>724</v>
      </c>
      <c r="BO5625" t="s">
        <v>34509</v>
      </c>
      <c r="BS5625">
        <v>30</v>
      </c>
      <c r="BW5625" t="str">
        <f>""</f>
        <v/>
      </c>
      <c r="CH5625" t="str">
        <f>""</f>
        <v/>
      </c>
      <c r="CS5625" t="str">
        <f>""</f>
        <v/>
      </c>
    </row>
    <row r="5626" spans="1:97" x14ac:dyDescent="0.25">
      <c r="A5626" t="s">
        <v>1272</v>
      </c>
      <c r="B5626" t="s">
        <v>21234</v>
      </c>
      <c r="C5626" t="s">
        <v>3707</v>
      </c>
      <c r="D5626" t="s">
        <v>21234</v>
      </c>
      <c r="E5626" t="s">
        <v>34510</v>
      </c>
      <c r="F5626" t="s">
        <v>108</v>
      </c>
      <c r="H5626" t="s">
        <v>34511</v>
      </c>
      <c r="I5626" t="s">
        <v>3150</v>
      </c>
      <c r="J5626" t="s">
        <v>111</v>
      </c>
      <c r="K5626" t="str">
        <f>"85340"</f>
        <v>85340</v>
      </c>
      <c r="L5626" t="s">
        <v>168</v>
      </c>
      <c r="M5626" t="s">
        <v>34511</v>
      </c>
      <c r="N5626" t="s">
        <v>3150</v>
      </c>
      <c r="O5626" t="s">
        <v>111</v>
      </c>
      <c r="P5626" t="str">
        <f>"85340-5175"</f>
        <v>85340-5175</v>
      </c>
      <c r="Q5626" t="s">
        <v>113</v>
      </c>
      <c r="R5626" t="str">
        <f>"508-07-583"</f>
        <v>508-07-583</v>
      </c>
      <c r="S5626" t="s">
        <v>34512</v>
      </c>
      <c r="U5626">
        <v>3113</v>
      </c>
      <c r="V5626">
        <v>0</v>
      </c>
      <c r="W5626">
        <v>4</v>
      </c>
      <c r="X5626">
        <v>2003</v>
      </c>
      <c r="Z5626">
        <v>2</v>
      </c>
      <c r="AA5626" t="s">
        <v>26</v>
      </c>
      <c r="AB5626">
        <v>0</v>
      </c>
      <c r="AC5626" t="s">
        <v>115</v>
      </c>
      <c r="AD5626">
        <v>3</v>
      </c>
      <c r="AE5626" t="s">
        <v>115</v>
      </c>
      <c r="AF5626">
        <v>0</v>
      </c>
      <c r="AG5626">
        <v>0</v>
      </c>
      <c r="AH5626" t="s">
        <v>116</v>
      </c>
      <c r="AI5626" s="1">
        <v>64016</v>
      </c>
      <c r="AJ5626" s="2">
        <v>0.17</v>
      </c>
      <c r="AK5626" s="1">
        <v>384079</v>
      </c>
      <c r="AL5626" t="s">
        <v>117</v>
      </c>
      <c r="AM5626" t="s">
        <v>171</v>
      </c>
      <c r="AN5626">
        <v>9645</v>
      </c>
      <c r="AO5626">
        <v>0.22</v>
      </c>
      <c r="AP5626">
        <v>1</v>
      </c>
      <c r="AR5626">
        <v>1</v>
      </c>
      <c r="AS5626" s="1">
        <v>28310</v>
      </c>
      <c r="AT5626" s="1">
        <v>5660</v>
      </c>
      <c r="AU5626" s="1">
        <v>22650</v>
      </c>
      <c r="AV5626">
        <v>80.010000000000005</v>
      </c>
      <c r="AX5626" s="1">
        <v>2445.44</v>
      </c>
      <c r="AY5626" t="s">
        <v>6700</v>
      </c>
      <c r="AZ5626" t="s">
        <v>6701</v>
      </c>
      <c r="BA5626" t="s">
        <v>6702</v>
      </c>
      <c r="BE5626" s="3">
        <v>42384</v>
      </c>
      <c r="BF5626" s="1">
        <v>311000</v>
      </c>
      <c r="BG5626" t="s">
        <v>34513</v>
      </c>
      <c r="BH5626" s="1">
        <v>99.9</v>
      </c>
      <c r="BI5626" s="1">
        <v>320063</v>
      </c>
      <c r="BJ5626" s="3">
        <v>42612</v>
      </c>
      <c r="BK5626" t="s">
        <v>123</v>
      </c>
      <c r="BL5626" t="str">
        <f>"2016.623985"</f>
        <v>2016.623985</v>
      </c>
      <c r="BM5626" t="s">
        <v>1154</v>
      </c>
      <c r="BO5626" t="s">
        <v>34514</v>
      </c>
      <c r="BS5626">
        <v>30</v>
      </c>
      <c r="BW5626" t="str">
        <f>""</f>
        <v/>
      </c>
      <c r="CH5626" t="str">
        <f>""</f>
        <v/>
      </c>
      <c r="CS5626" t="str">
        <f>""</f>
        <v/>
      </c>
    </row>
    <row r="5627" spans="1:97" x14ac:dyDescent="0.25">
      <c r="B5627" t="s">
        <v>34515</v>
      </c>
      <c r="E5627" t="s">
        <v>34515</v>
      </c>
      <c r="F5627" t="s">
        <v>108</v>
      </c>
      <c r="H5627" t="s">
        <v>34516</v>
      </c>
      <c r="I5627" t="s">
        <v>453</v>
      </c>
      <c r="J5627" t="s">
        <v>111</v>
      </c>
      <c r="K5627" t="str">
        <f>"85383"</f>
        <v>85383</v>
      </c>
      <c r="L5627" t="s">
        <v>5893</v>
      </c>
      <c r="M5627" t="s">
        <v>34516</v>
      </c>
      <c r="N5627" t="s">
        <v>453</v>
      </c>
      <c r="O5627" t="s">
        <v>111</v>
      </c>
      <c r="P5627" t="str">
        <f>"85383-5035"</f>
        <v>85383-5035</v>
      </c>
      <c r="Q5627" t="s">
        <v>113</v>
      </c>
      <c r="R5627" t="str">
        <f>"510-03-700"</f>
        <v>510-03-700</v>
      </c>
      <c r="S5627" t="s">
        <v>34517</v>
      </c>
      <c r="T5627" t="s">
        <v>34518</v>
      </c>
      <c r="U5627">
        <v>3185</v>
      </c>
      <c r="V5627">
        <v>0</v>
      </c>
      <c r="W5627">
        <v>5</v>
      </c>
      <c r="X5627">
        <v>2008</v>
      </c>
      <c r="Z5627">
        <v>1</v>
      </c>
      <c r="AA5627" t="s">
        <v>26</v>
      </c>
      <c r="AB5627">
        <v>0</v>
      </c>
      <c r="AC5627" t="s">
        <v>115</v>
      </c>
      <c r="AD5627">
        <v>3</v>
      </c>
      <c r="AE5627" t="s">
        <v>115</v>
      </c>
      <c r="AF5627">
        <v>0</v>
      </c>
      <c r="AG5627">
        <v>0</v>
      </c>
      <c r="AH5627" t="s">
        <v>116</v>
      </c>
      <c r="AI5627" s="1">
        <v>167791</v>
      </c>
      <c r="AJ5627" s="2">
        <v>0.3</v>
      </c>
      <c r="AK5627" s="1">
        <v>558791</v>
      </c>
      <c r="AL5627" t="s">
        <v>117</v>
      </c>
      <c r="AM5627" t="s">
        <v>118</v>
      </c>
      <c r="AN5627">
        <v>10800</v>
      </c>
      <c r="AO5627">
        <v>0.25</v>
      </c>
      <c r="AR5627">
        <v>1</v>
      </c>
      <c r="AS5627" s="1">
        <v>43180</v>
      </c>
      <c r="AT5627" s="1">
        <v>8630</v>
      </c>
      <c r="AU5627" s="1">
        <v>34550</v>
      </c>
      <c r="AV5627">
        <v>80.010000000000005</v>
      </c>
      <c r="AX5627" s="1">
        <v>4841.32</v>
      </c>
      <c r="AY5627" t="s">
        <v>627</v>
      </c>
      <c r="AZ5627" t="s">
        <v>627</v>
      </c>
      <c r="BA5627" t="s">
        <v>457</v>
      </c>
      <c r="BB5627" s="3">
        <v>42528</v>
      </c>
      <c r="BD5627" t="s">
        <v>240</v>
      </c>
      <c r="BE5627" s="3">
        <v>42528</v>
      </c>
      <c r="BF5627" s="1">
        <v>530000</v>
      </c>
      <c r="BG5627" t="s">
        <v>34519</v>
      </c>
      <c r="BH5627" s="1">
        <v>166.41</v>
      </c>
      <c r="BI5627" s="1">
        <v>391000</v>
      </c>
      <c r="BJ5627" s="3">
        <v>43598</v>
      </c>
      <c r="BK5627" t="s">
        <v>123</v>
      </c>
      <c r="BL5627" t="str">
        <f>"2019.345116"</f>
        <v>2019.345116</v>
      </c>
      <c r="BM5627" t="s">
        <v>3562</v>
      </c>
      <c r="BN5627" t="s">
        <v>3686</v>
      </c>
      <c r="BO5627" t="s">
        <v>34520</v>
      </c>
      <c r="BR5627" t="s">
        <v>139</v>
      </c>
      <c r="BW5627" t="str">
        <f>""</f>
        <v/>
      </c>
      <c r="CH5627" t="str">
        <f>""</f>
        <v/>
      </c>
      <c r="CS5627" t="str">
        <f>""</f>
        <v/>
      </c>
    </row>
    <row r="5628" spans="1:97" x14ac:dyDescent="0.25">
      <c r="A5628" t="s">
        <v>589</v>
      </c>
      <c r="B5628" t="s">
        <v>34521</v>
      </c>
      <c r="C5628" t="s">
        <v>1241</v>
      </c>
      <c r="D5628" t="s">
        <v>6679</v>
      </c>
      <c r="E5628" t="s">
        <v>34522</v>
      </c>
      <c r="F5628" t="s">
        <v>108</v>
      </c>
      <c r="H5628" t="s">
        <v>34523</v>
      </c>
      <c r="I5628" t="s">
        <v>499</v>
      </c>
      <c r="J5628" t="s">
        <v>111</v>
      </c>
      <c r="K5628" t="str">
        <f>"85395"</f>
        <v>85395</v>
      </c>
      <c r="L5628" t="s">
        <v>168</v>
      </c>
      <c r="M5628" t="s">
        <v>34523</v>
      </c>
      <c r="N5628" t="s">
        <v>499</v>
      </c>
      <c r="O5628" t="s">
        <v>111</v>
      </c>
      <c r="P5628" t="str">
        <f>"85395-6443"</f>
        <v>85395-6443</v>
      </c>
      <c r="Q5628" t="s">
        <v>113</v>
      </c>
      <c r="R5628" t="str">
        <f>"501-62-862"</f>
        <v>501-62-862</v>
      </c>
      <c r="S5628" t="s">
        <v>10001</v>
      </c>
      <c r="T5628" t="s">
        <v>10002</v>
      </c>
      <c r="U5628">
        <v>2830</v>
      </c>
      <c r="V5628">
        <v>0</v>
      </c>
      <c r="W5628">
        <v>4</v>
      </c>
      <c r="X5628">
        <v>2014</v>
      </c>
      <c r="Z5628">
        <v>1</v>
      </c>
      <c r="AB5628">
        <v>0</v>
      </c>
      <c r="AC5628" t="s">
        <v>115</v>
      </c>
      <c r="AD5628">
        <v>2</v>
      </c>
      <c r="AE5628" t="s">
        <v>115</v>
      </c>
      <c r="AF5628">
        <v>0</v>
      </c>
      <c r="AG5628">
        <v>0</v>
      </c>
      <c r="AH5628" t="s">
        <v>116</v>
      </c>
      <c r="AI5628" s="1">
        <v>29292</v>
      </c>
      <c r="AJ5628" s="2">
        <v>7.0000000000000007E-2</v>
      </c>
      <c r="AK5628" s="1">
        <v>404735</v>
      </c>
      <c r="AL5628" t="s">
        <v>117</v>
      </c>
      <c r="AM5628" t="s">
        <v>118</v>
      </c>
      <c r="AN5628">
        <v>8400</v>
      </c>
      <c r="AO5628">
        <v>0.19</v>
      </c>
      <c r="AR5628">
        <v>1</v>
      </c>
      <c r="AS5628" s="1">
        <v>28180</v>
      </c>
      <c r="AT5628" s="1">
        <v>5630</v>
      </c>
      <c r="AU5628" s="1">
        <v>22550</v>
      </c>
      <c r="AV5628">
        <v>80.02</v>
      </c>
      <c r="AX5628" s="1">
        <v>2879.24</v>
      </c>
      <c r="AY5628" t="s">
        <v>3019</v>
      </c>
      <c r="AZ5628" t="s">
        <v>504</v>
      </c>
      <c r="BA5628" t="s">
        <v>3154</v>
      </c>
      <c r="BE5628" s="3">
        <v>41915</v>
      </c>
      <c r="BF5628" s="1">
        <v>363473</v>
      </c>
      <c r="BG5628" t="s">
        <v>3021</v>
      </c>
      <c r="BH5628" s="1">
        <v>128.44</v>
      </c>
      <c r="BI5628" s="1">
        <v>375443</v>
      </c>
      <c r="BJ5628" s="3">
        <v>41915</v>
      </c>
      <c r="BK5628" t="s">
        <v>123</v>
      </c>
      <c r="BL5628" t="str">
        <f>"2014.656222"</f>
        <v>2014.656222</v>
      </c>
      <c r="BM5628" t="s">
        <v>2245</v>
      </c>
      <c r="BO5628" t="s">
        <v>34524</v>
      </c>
      <c r="BS5628">
        <v>30</v>
      </c>
      <c r="BW5628" t="str">
        <f>""</f>
        <v/>
      </c>
      <c r="CH5628" t="str">
        <f>""</f>
        <v/>
      </c>
      <c r="CS5628" t="str">
        <f>""</f>
        <v/>
      </c>
    </row>
    <row r="5629" spans="1:97" x14ac:dyDescent="0.25">
      <c r="A5629" t="s">
        <v>34525</v>
      </c>
      <c r="B5629" t="s">
        <v>1089</v>
      </c>
      <c r="E5629" t="s">
        <v>34526</v>
      </c>
      <c r="F5629" t="s">
        <v>108</v>
      </c>
      <c r="H5629" t="s">
        <v>34527</v>
      </c>
      <c r="I5629" t="s">
        <v>390</v>
      </c>
      <c r="J5629" t="s">
        <v>111</v>
      </c>
      <c r="K5629" t="str">
        <f>"85051"</f>
        <v>85051</v>
      </c>
      <c r="L5629" t="s">
        <v>12529</v>
      </c>
      <c r="M5629" t="s">
        <v>34527</v>
      </c>
      <c r="N5629" t="s">
        <v>390</v>
      </c>
      <c r="O5629" t="s">
        <v>111</v>
      </c>
      <c r="P5629" t="str">
        <f>"85051-8441"</f>
        <v>85051-8441</v>
      </c>
      <c r="Q5629" t="s">
        <v>113</v>
      </c>
      <c r="R5629" t="str">
        <f>"151-23-074"</f>
        <v>151-23-074</v>
      </c>
      <c r="S5629" t="s">
        <v>34528</v>
      </c>
      <c r="T5629" t="s">
        <v>34529</v>
      </c>
      <c r="U5629">
        <v>2004</v>
      </c>
      <c r="V5629">
        <v>0</v>
      </c>
      <c r="W5629">
        <v>3</v>
      </c>
      <c r="X5629">
        <v>1971</v>
      </c>
      <c r="Z5629">
        <v>1</v>
      </c>
      <c r="AA5629" t="s">
        <v>26</v>
      </c>
      <c r="AB5629">
        <v>0</v>
      </c>
      <c r="AC5629" t="s">
        <v>115</v>
      </c>
      <c r="AD5629">
        <v>2</v>
      </c>
      <c r="AE5629" t="s">
        <v>115</v>
      </c>
      <c r="AF5629">
        <v>0</v>
      </c>
      <c r="AG5629">
        <v>0</v>
      </c>
      <c r="AH5629" t="s">
        <v>116</v>
      </c>
      <c r="AI5629" s="1">
        <v>51299</v>
      </c>
      <c r="AJ5629" s="2">
        <v>0.2</v>
      </c>
      <c r="AK5629" s="1">
        <v>260998</v>
      </c>
      <c r="AL5629" t="s">
        <v>117</v>
      </c>
      <c r="AM5629" t="s">
        <v>191</v>
      </c>
      <c r="AN5629">
        <v>8934</v>
      </c>
      <c r="AO5629">
        <v>0.2</v>
      </c>
      <c r="AP5629">
        <v>1</v>
      </c>
      <c r="AR5629">
        <v>1</v>
      </c>
      <c r="AS5629" s="1">
        <v>17120</v>
      </c>
      <c r="AT5629" s="1">
        <v>3420</v>
      </c>
      <c r="AU5629" s="1">
        <v>13700</v>
      </c>
      <c r="AV5629">
        <v>80.02</v>
      </c>
      <c r="AX5629" s="1">
        <v>1346.7</v>
      </c>
      <c r="AY5629" t="s">
        <v>7431</v>
      </c>
      <c r="AZ5629" t="s">
        <v>19791</v>
      </c>
      <c r="BA5629" t="s">
        <v>1304</v>
      </c>
      <c r="BE5629" s="3">
        <v>42473</v>
      </c>
      <c r="BF5629" s="1">
        <v>203000</v>
      </c>
      <c r="BG5629" t="s">
        <v>34530</v>
      </c>
      <c r="BH5629" s="1">
        <v>101.3</v>
      </c>
      <c r="BI5629" s="1">
        <v>209699</v>
      </c>
      <c r="BJ5629" s="3">
        <v>42473</v>
      </c>
      <c r="BK5629" t="s">
        <v>123</v>
      </c>
      <c r="BL5629" t="str">
        <f>"2016.244746"</f>
        <v>2016.244746</v>
      </c>
      <c r="BM5629" t="s">
        <v>8916</v>
      </c>
      <c r="BO5629" t="s">
        <v>34531</v>
      </c>
      <c r="BS5629">
        <v>30</v>
      </c>
      <c r="BW5629" t="str">
        <f>""</f>
        <v/>
      </c>
      <c r="CH5629" t="str">
        <f>""</f>
        <v/>
      </c>
      <c r="CS5629" t="str">
        <f>""</f>
        <v/>
      </c>
    </row>
    <row r="5630" spans="1:97" x14ac:dyDescent="0.25">
      <c r="A5630" t="s">
        <v>2045</v>
      </c>
      <c r="B5630" t="s">
        <v>34532</v>
      </c>
      <c r="C5630" t="s">
        <v>3416</v>
      </c>
      <c r="D5630" t="s">
        <v>34532</v>
      </c>
      <c r="E5630" t="s">
        <v>34533</v>
      </c>
      <c r="F5630" t="s">
        <v>108</v>
      </c>
      <c r="H5630" t="s">
        <v>34534</v>
      </c>
      <c r="I5630" t="s">
        <v>225</v>
      </c>
      <c r="J5630" t="s">
        <v>111</v>
      </c>
      <c r="K5630" t="str">
        <f>"85204"</f>
        <v>85204</v>
      </c>
      <c r="L5630" t="s">
        <v>7005</v>
      </c>
      <c r="M5630" t="s">
        <v>34534</v>
      </c>
      <c r="N5630" t="s">
        <v>225</v>
      </c>
      <c r="O5630" t="s">
        <v>111</v>
      </c>
      <c r="P5630" t="str">
        <f>"85204-2116"</f>
        <v>85204-2116</v>
      </c>
      <c r="Q5630" t="s">
        <v>113</v>
      </c>
      <c r="R5630" t="str">
        <f>"138-15-109-A"</f>
        <v>138-15-109-A</v>
      </c>
      <c r="S5630" t="s">
        <v>34535</v>
      </c>
      <c r="T5630" t="s">
        <v>34536</v>
      </c>
      <c r="U5630">
        <v>1816</v>
      </c>
      <c r="V5630">
        <v>0</v>
      </c>
      <c r="W5630">
        <v>2</v>
      </c>
      <c r="X5630">
        <v>1954</v>
      </c>
      <c r="Z5630">
        <v>1</v>
      </c>
      <c r="AB5630">
        <v>0</v>
      </c>
      <c r="AC5630" t="s">
        <v>5188</v>
      </c>
      <c r="AD5630">
        <v>2</v>
      </c>
      <c r="AE5630" t="s">
        <v>5188</v>
      </c>
      <c r="AF5630">
        <v>0</v>
      </c>
      <c r="AG5630">
        <v>0</v>
      </c>
      <c r="AH5630" t="s">
        <v>116</v>
      </c>
      <c r="AI5630" s="1">
        <v>91137</v>
      </c>
      <c r="AJ5630" s="2">
        <v>0.31</v>
      </c>
      <c r="AK5630" s="1">
        <v>297737</v>
      </c>
      <c r="AL5630" t="s">
        <v>117</v>
      </c>
      <c r="AM5630" t="s">
        <v>191</v>
      </c>
      <c r="AN5630">
        <v>21048</v>
      </c>
      <c r="AO5630">
        <v>0.48</v>
      </c>
      <c r="AP5630">
        <v>1</v>
      </c>
      <c r="AR5630">
        <v>1</v>
      </c>
      <c r="AS5630" s="1">
        <v>21120</v>
      </c>
      <c r="AT5630" s="1">
        <v>4220</v>
      </c>
      <c r="AU5630" s="1">
        <v>16900</v>
      </c>
      <c r="AV5630">
        <v>80.02</v>
      </c>
      <c r="AX5630" s="1">
        <v>1177.96</v>
      </c>
      <c r="AY5630" t="s">
        <v>8480</v>
      </c>
      <c r="AZ5630" t="s">
        <v>5190</v>
      </c>
      <c r="BA5630" t="s">
        <v>5159</v>
      </c>
      <c r="BE5630" s="3">
        <v>42300</v>
      </c>
      <c r="BF5630" s="1">
        <v>200000</v>
      </c>
      <c r="BG5630" t="s">
        <v>34537</v>
      </c>
      <c r="BH5630" s="1">
        <v>110.13</v>
      </c>
      <c r="BI5630" s="1">
        <v>206600</v>
      </c>
      <c r="BJ5630" s="3">
        <v>42300</v>
      </c>
      <c r="BK5630" t="s">
        <v>123</v>
      </c>
      <c r="BL5630" t="str">
        <f>"2015.765223"</f>
        <v>2015.765223</v>
      </c>
      <c r="BM5630" t="s">
        <v>724</v>
      </c>
      <c r="BO5630" t="s">
        <v>34538</v>
      </c>
      <c r="BS5630">
        <v>30</v>
      </c>
      <c r="BW5630" t="str">
        <f>""</f>
        <v/>
      </c>
      <c r="CH5630" t="str">
        <f>""</f>
        <v/>
      </c>
      <c r="CS5630" t="str">
        <f>""</f>
        <v/>
      </c>
    </row>
    <row r="5631" spans="1:97" x14ac:dyDescent="0.25">
      <c r="A5631" t="s">
        <v>2762</v>
      </c>
      <c r="B5631" t="s">
        <v>34539</v>
      </c>
      <c r="C5631" t="s">
        <v>34540</v>
      </c>
      <c r="D5631" t="s">
        <v>34539</v>
      </c>
      <c r="E5631" t="s">
        <v>34541</v>
      </c>
      <c r="F5631" t="s">
        <v>108</v>
      </c>
      <c r="H5631" t="s">
        <v>34542</v>
      </c>
      <c r="I5631" t="s">
        <v>225</v>
      </c>
      <c r="J5631" t="s">
        <v>111</v>
      </c>
      <c r="K5631" t="str">
        <f>"85202"</f>
        <v>85202</v>
      </c>
      <c r="L5631" t="s">
        <v>226</v>
      </c>
      <c r="M5631" t="s">
        <v>34542</v>
      </c>
      <c r="N5631" t="s">
        <v>225</v>
      </c>
      <c r="O5631" t="s">
        <v>111</v>
      </c>
      <c r="P5631" t="str">
        <f>"85202-8114"</f>
        <v>85202-8114</v>
      </c>
      <c r="Q5631" t="s">
        <v>113</v>
      </c>
      <c r="R5631" t="str">
        <f>"302-06-185"</f>
        <v>302-06-185</v>
      </c>
      <c r="S5631" t="s">
        <v>18780</v>
      </c>
      <c r="U5631">
        <v>1734</v>
      </c>
      <c r="V5631">
        <v>0</v>
      </c>
      <c r="W5631">
        <v>3</v>
      </c>
      <c r="X5631">
        <v>1978</v>
      </c>
      <c r="Z5631">
        <v>1</v>
      </c>
      <c r="AB5631">
        <v>0</v>
      </c>
      <c r="AC5631" t="s">
        <v>115</v>
      </c>
      <c r="AD5631">
        <v>2</v>
      </c>
      <c r="AE5631" t="s">
        <v>115</v>
      </c>
      <c r="AF5631">
        <v>0</v>
      </c>
      <c r="AG5631">
        <v>0</v>
      </c>
      <c r="AH5631" t="s">
        <v>116</v>
      </c>
      <c r="AI5631" s="1">
        <v>63378</v>
      </c>
      <c r="AJ5631" s="2">
        <v>0.21</v>
      </c>
      <c r="AK5631" s="1">
        <v>298378</v>
      </c>
      <c r="AL5631" t="s">
        <v>117</v>
      </c>
      <c r="AM5631" t="s">
        <v>191</v>
      </c>
      <c r="AN5631">
        <v>7958</v>
      </c>
      <c r="AO5631">
        <v>0.18</v>
      </c>
      <c r="AP5631">
        <v>1</v>
      </c>
      <c r="AR5631">
        <v>1</v>
      </c>
      <c r="AS5631" s="1">
        <v>20120</v>
      </c>
      <c r="AT5631" s="1">
        <v>4020</v>
      </c>
      <c r="AU5631" s="1">
        <v>16100</v>
      </c>
      <c r="AV5631">
        <v>80.02</v>
      </c>
      <c r="AX5631" s="1">
        <v>1312.84</v>
      </c>
      <c r="AY5631" t="s">
        <v>5310</v>
      </c>
      <c r="AZ5631" t="s">
        <v>5310</v>
      </c>
      <c r="BA5631" t="s">
        <v>5311</v>
      </c>
      <c r="BE5631" s="3">
        <v>42467</v>
      </c>
      <c r="BF5631" s="1">
        <v>235000</v>
      </c>
      <c r="BG5631" t="s">
        <v>34543</v>
      </c>
      <c r="BH5631" s="1">
        <v>135.52000000000001</v>
      </c>
      <c r="BI5631" s="1">
        <v>235000</v>
      </c>
      <c r="BJ5631" s="3">
        <v>42467</v>
      </c>
      <c r="BK5631" t="s">
        <v>123</v>
      </c>
      <c r="BL5631" t="str">
        <f>"2016.230355"</f>
        <v>2016.230355</v>
      </c>
      <c r="BM5631" t="s">
        <v>2716</v>
      </c>
      <c r="BO5631" t="s">
        <v>34544</v>
      </c>
      <c r="BS5631">
        <v>30</v>
      </c>
      <c r="BW5631" t="str">
        <f>""</f>
        <v/>
      </c>
      <c r="CH5631" t="str">
        <f>""</f>
        <v/>
      </c>
      <c r="CS5631" t="str">
        <f>""</f>
        <v/>
      </c>
    </row>
    <row r="5632" spans="1:97" x14ac:dyDescent="0.25">
      <c r="B5632" t="s">
        <v>34545</v>
      </c>
      <c r="E5632" t="s">
        <v>34546</v>
      </c>
      <c r="F5632" t="s">
        <v>108</v>
      </c>
      <c r="H5632" t="s">
        <v>34547</v>
      </c>
      <c r="I5632" t="s">
        <v>203</v>
      </c>
      <c r="J5632" t="s">
        <v>111</v>
      </c>
      <c r="K5632" t="str">
        <f>"85297"</f>
        <v>85297</v>
      </c>
      <c r="L5632" t="s">
        <v>4698</v>
      </c>
      <c r="M5632" t="s">
        <v>34547</v>
      </c>
      <c r="N5632" t="s">
        <v>203</v>
      </c>
      <c r="O5632" t="s">
        <v>111</v>
      </c>
      <c r="P5632" t="str">
        <f>"85297-9494"</f>
        <v>85297-9494</v>
      </c>
      <c r="Q5632" t="s">
        <v>113</v>
      </c>
      <c r="R5632" t="str">
        <f>"304-60-808"</f>
        <v>304-60-808</v>
      </c>
      <c r="S5632" t="s">
        <v>34548</v>
      </c>
      <c r="U5632">
        <v>2268</v>
      </c>
      <c r="V5632">
        <v>0</v>
      </c>
      <c r="W5632">
        <v>4</v>
      </c>
      <c r="X5632">
        <v>2003</v>
      </c>
      <c r="Z5632">
        <v>1</v>
      </c>
      <c r="AA5632" t="s">
        <v>26</v>
      </c>
      <c r="AB5632">
        <v>0</v>
      </c>
      <c r="AC5632" t="s">
        <v>115</v>
      </c>
      <c r="AD5632">
        <v>3</v>
      </c>
      <c r="AE5632" t="s">
        <v>115</v>
      </c>
      <c r="AF5632">
        <v>0</v>
      </c>
      <c r="AG5632">
        <v>0</v>
      </c>
      <c r="AH5632" t="s">
        <v>116</v>
      </c>
      <c r="AI5632" s="1">
        <v>88655</v>
      </c>
      <c r="AJ5632" s="2">
        <v>0.24</v>
      </c>
      <c r="AK5632" s="1">
        <v>363655</v>
      </c>
      <c r="AL5632" t="s">
        <v>117</v>
      </c>
      <c r="AM5632" t="s">
        <v>171</v>
      </c>
      <c r="AN5632">
        <v>8470</v>
      </c>
      <c r="AO5632">
        <v>0.19</v>
      </c>
      <c r="AP5632">
        <v>1</v>
      </c>
      <c r="AR5632">
        <v>1</v>
      </c>
      <c r="AS5632" s="1">
        <v>27650</v>
      </c>
      <c r="AT5632" s="1">
        <v>5530</v>
      </c>
      <c r="AU5632" s="1">
        <v>22120</v>
      </c>
      <c r="AV5632">
        <v>80</v>
      </c>
      <c r="AX5632" s="1">
        <v>2305.08</v>
      </c>
      <c r="AY5632" t="s">
        <v>7512</v>
      </c>
      <c r="AZ5632" t="s">
        <v>7512</v>
      </c>
      <c r="BA5632" t="s">
        <v>473</v>
      </c>
      <c r="BB5632" s="3">
        <v>42499</v>
      </c>
      <c r="BD5632" t="s">
        <v>480</v>
      </c>
      <c r="BE5632" s="3">
        <v>42354</v>
      </c>
      <c r="BF5632" s="1">
        <v>302000</v>
      </c>
      <c r="BG5632" t="s">
        <v>25562</v>
      </c>
      <c r="BH5632" s="1">
        <v>133.16</v>
      </c>
      <c r="BI5632" s="1">
        <v>275000</v>
      </c>
      <c r="BJ5632" s="3">
        <v>42458</v>
      </c>
      <c r="BK5632" t="s">
        <v>123</v>
      </c>
      <c r="BL5632" t="str">
        <f>"2016.202962"</f>
        <v>2016.202962</v>
      </c>
      <c r="BM5632" t="s">
        <v>255</v>
      </c>
      <c r="BO5632" t="s">
        <v>34549</v>
      </c>
      <c r="BS5632">
        <v>30</v>
      </c>
      <c r="BW5632" t="str">
        <f>""</f>
        <v/>
      </c>
      <c r="CH5632" t="str">
        <f>""</f>
        <v/>
      </c>
      <c r="CS5632" t="str">
        <f>""</f>
        <v/>
      </c>
    </row>
    <row r="5633" spans="1:97" x14ac:dyDescent="0.25">
      <c r="A5633" t="s">
        <v>11648</v>
      </c>
      <c r="B5633" t="s">
        <v>9435</v>
      </c>
      <c r="C5633" t="s">
        <v>34550</v>
      </c>
      <c r="D5633" t="s">
        <v>9435</v>
      </c>
      <c r="E5633" t="s">
        <v>34551</v>
      </c>
      <c r="F5633" t="s">
        <v>108</v>
      </c>
      <c r="H5633" t="s">
        <v>34552</v>
      </c>
      <c r="I5633" t="s">
        <v>499</v>
      </c>
      <c r="J5633" t="s">
        <v>111</v>
      </c>
      <c r="K5633" t="str">
        <f>"85338"</f>
        <v>85338</v>
      </c>
      <c r="L5633" t="s">
        <v>5239</v>
      </c>
      <c r="M5633" t="s">
        <v>34552</v>
      </c>
      <c r="N5633" t="s">
        <v>499</v>
      </c>
      <c r="O5633" t="s">
        <v>111</v>
      </c>
      <c r="P5633" t="str">
        <f>"85338-6814"</f>
        <v>85338-6814</v>
      </c>
      <c r="Q5633" t="s">
        <v>113</v>
      </c>
      <c r="R5633" t="str">
        <f>"500-05-701"</f>
        <v>500-05-701</v>
      </c>
      <c r="S5633" t="s">
        <v>15058</v>
      </c>
      <c r="U5633">
        <v>1993</v>
      </c>
      <c r="V5633">
        <v>0</v>
      </c>
      <c r="W5633">
        <v>4</v>
      </c>
      <c r="X5633">
        <v>1999</v>
      </c>
      <c r="Z5633">
        <v>2</v>
      </c>
      <c r="AA5633" t="s">
        <v>26</v>
      </c>
      <c r="AB5633">
        <v>0</v>
      </c>
      <c r="AC5633" t="s">
        <v>115</v>
      </c>
      <c r="AD5633">
        <v>2</v>
      </c>
      <c r="AE5633" t="s">
        <v>115</v>
      </c>
      <c r="AF5633">
        <v>0</v>
      </c>
      <c r="AG5633">
        <v>0</v>
      </c>
      <c r="AH5633" t="s">
        <v>116</v>
      </c>
      <c r="AI5633" s="1">
        <v>47035</v>
      </c>
      <c r="AJ5633" s="2">
        <v>0.18</v>
      </c>
      <c r="AK5633" s="1">
        <v>255701</v>
      </c>
      <c r="AL5633" t="s">
        <v>117</v>
      </c>
      <c r="AM5633" t="s">
        <v>118</v>
      </c>
      <c r="AN5633">
        <v>6820</v>
      </c>
      <c r="AO5633">
        <v>0.16</v>
      </c>
      <c r="AP5633">
        <v>1</v>
      </c>
      <c r="AR5633">
        <v>1</v>
      </c>
      <c r="AS5633" s="1">
        <v>17880</v>
      </c>
      <c r="AT5633" s="1">
        <v>3570</v>
      </c>
      <c r="AU5633" s="1">
        <v>14310</v>
      </c>
      <c r="AV5633">
        <v>80.03</v>
      </c>
      <c r="AX5633" s="1">
        <v>1578.92</v>
      </c>
      <c r="AY5633" t="s">
        <v>11118</v>
      </c>
      <c r="AZ5633" t="s">
        <v>11118</v>
      </c>
      <c r="BA5633" t="s">
        <v>7186</v>
      </c>
      <c r="BB5633" s="3">
        <v>43399</v>
      </c>
      <c r="BC5633" s="1">
        <v>0</v>
      </c>
      <c r="BD5633" t="s">
        <v>247</v>
      </c>
      <c r="BE5633" s="3">
        <v>41936</v>
      </c>
      <c r="BF5633" s="1">
        <v>172000</v>
      </c>
      <c r="BG5633" t="s">
        <v>34553</v>
      </c>
      <c r="BH5633" s="1">
        <v>86.3</v>
      </c>
      <c r="BI5633" s="1">
        <v>208666</v>
      </c>
      <c r="BJ5633" s="3">
        <v>43399</v>
      </c>
      <c r="BK5633" t="s">
        <v>123</v>
      </c>
      <c r="BL5633" t="str">
        <f>"2018.800423"</f>
        <v>2018.800423</v>
      </c>
      <c r="BM5633" t="s">
        <v>135</v>
      </c>
      <c r="BN5633" t="s">
        <v>136</v>
      </c>
      <c r="BO5633" t="s">
        <v>34554</v>
      </c>
      <c r="BP5633" t="s">
        <v>34555</v>
      </c>
      <c r="BR5633" t="s">
        <v>139</v>
      </c>
      <c r="BW5633" t="str">
        <f>""</f>
        <v/>
      </c>
      <c r="CH5633" t="str">
        <f>""</f>
        <v/>
      </c>
      <c r="CS5633" t="str">
        <f>""</f>
        <v/>
      </c>
    </row>
    <row r="5634" spans="1:97" x14ac:dyDescent="0.25">
      <c r="B5634" t="s">
        <v>34556</v>
      </c>
      <c r="E5634" t="s">
        <v>34556</v>
      </c>
      <c r="F5634" t="s">
        <v>108</v>
      </c>
      <c r="H5634" t="s">
        <v>34557</v>
      </c>
      <c r="I5634" t="s">
        <v>225</v>
      </c>
      <c r="J5634" t="s">
        <v>111</v>
      </c>
      <c r="K5634" t="str">
        <f>"85207"</f>
        <v>85207</v>
      </c>
      <c r="L5634" t="s">
        <v>1796</v>
      </c>
      <c r="M5634" t="s">
        <v>34557</v>
      </c>
      <c r="N5634" t="s">
        <v>225</v>
      </c>
      <c r="O5634" t="s">
        <v>111</v>
      </c>
      <c r="P5634" t="str">
        <f>"85207-1829"</f>
        <v>85207-1829</v>
      </c>
      <c r="Q5634" t="s">
        <v>113</v>
      </c>
      <c r="R5634" t="str">
        <f>"219-17-148"</f>
        <v>219-17-148</v>
      </c>
      <c r="S5634" t="s">
        <v>34558</v>
      </c>
      <c r="T5634" t="s">
        <v>34559</v>
      </c>
      <c r="U5634">
        <v>3426</v>
      </c>
      <c r="V5634">
        <v>0</v>
      </c>
      <c r="W5634">
        <v>5</v>
      </c>
      <c r="X5634">
        <v>1997</v>
      </c>
      <c r="Z5634">
        <v>2</v>
      </c>
      <c r="AB5634">
        <v>0</v>
      </c>
      <c r="AC5634" t="s">
        <v>115</v>
      </c>
      <c r="AD5634">
        <v>3</v>
      </c>
      <c r="AE5634" t="s">
        <v>115</v>
      </c>
      <c r="AF5634">
        <v>0</v>
      </c>
      <c r="AG5634">
        <v>0</v>
      </c>
      <c r="AH5634" t="s">
        <v>116</v>
      </c>
      <c r="AI5634" s="1">
        <v>116470</v>
      </c>
      <c r="AJ5634" s="2">
        <v>0.23</v>
      </c>
      <c r="AK5634" s="1">
        <v>514686</v>
      </c>
      <c r="AL5634" t="s">
        <v>117</v>
      </c>
      <c r="AM5634" t="s">
        <v>917</v>
      </c>
      <c r="AN5634">
        <v>10916</v>
      </c>
      <c r="AO5634">
        <v>0.25</v>
      </c>
      <c r="AP5634">
        <v>1</v>
      </c>
      <c r="AR5634">
        <v>1</v>
      </c>
      <c r="AS5634" s="1">
        <v>37680</v>
      </c>
      <c r="AT5634" s="1">
        <v>7530</v>
      </c>
      <c r="AU5634" s="1">
        <v>30150</v>
      </c>
      <c r="AV5634">
        <v>80.02</v>
      </c>
      <c r="AX5634" s="1">
        <v>3967.68</v>
      </c>
      <c r="AY5634" t="s">
        <v>9337</v>
      </c>
      <c r="AZ5634" t="s">
        <v>231</v>
      </c>
      <c r="BA5634" t="s">
        <v>3119</v>
      </c>
      <c r="BB5634" s="3">
        <v>42703</v>
      </c>
      <c r="BD5634" t="s">
        <v>458</v>
      </c>
      <c r="BE5634" s="3">
        <v>42401</v>
      </c>
      <c r="BF5634" s="1">
        <v>437000</v>
      </c>
      <c r="BG5634" t="s">
        <v>6855</v>
      </c>
      <c r="BH5634" s="1">
        <v>127.55</v>
      </c>
      <c r="BI5634" s="1">
        <v>398216</v>
      </c>
      <c r="BJ5634" s="3">
        <v>42401</v>
      </c>
      <c r="BK5634" t="s">
        <v>123</v>
      </c>
      <c r="BL5634" t="str">
        <f>"2016.67477"</f>
        <v>2016.67477</v>
      </c>
      <c r="BM5634" t="s">
        <v>724</v>
      </c>
      <c r="BO5634" t="s">
        <v>34560</v>
      </c>
      <c r="BS5634">
        <v>30</v>
      </c>
      <c r="BW5634" t="str">
        <f>""</f>
        <v/>
      </c>
      <c r="CH5634" t="str">
        <f>""</f>
        <v/>
      </c>
      <c r="CS5634" t="str">
        <f>""</f>
        <v/>
      </c>
    </row>
    <row r="5635" spans="1:97" x14ac:dyDescent="0.25">
      <c r="A5635" t="s">
        <v>1011</v>
      </c>
      <c r="B5635" t="s">
        <v>29797</v>
      </c>
      <c r="E5635" t="s">
        <v>34561</v>
      </c>
      <c r="F5635" t="s">
        <v>108</v>
      </c>
      <c r="H5635" t="s">
        <v>34562</v>
      </c>
      <c r="I5635" t="s">
        <v>225</v>
      </c>
      <c r="J5635" t="s">
        <v>111</v>
      </c>
      <c r="K5635" t="str">
        <f>"85205"</f>
        <v>85205</v>
      </c>
      <c r="L5635" t="s">
        <v>5228</v>
      </c>
      <c r="M5635" t="s">
        <v>34562</v>
      </c>
      <c r="N5635" t="s">
        <v>225</v>
      </c>
      <c r="O5635" t="s">
        <v>111</v>
      </c>
      <c r="P5635" t="str">
        <f>"85205-5415"</f>
        <v>85205-5415</v>
      </c>
      <c r="Q5635" t="s">
        <v>113</v>
      </c>
      <c r="R5635" t="str">
        <f>"141-78-176"</f>
        <v>141-78-176</v>
      </c>
      <c r="S5635" t="s">
        <v>26969</v>
      </c>
      <c r="T5635" t="s">
        <v>26970</v>
      </c>
      <c r="U5635">
        <v>1812</v>
      </c>
      <c r="V5635">
        <v>0</v>
      </c>
      <c r="W5635">
        <v>3</v>
      </c>
      <c r="X5635">
        <v>1985</v>
      </c>
      <c r="Z5635">
        <v>1</v>
      </c>
      <c r="AA5635" t="s">
        <v>26</v>
      </c>
      <c r="AB5635">
        <v>0</v>
      </c>
      <c r="AC5635" t="s">
        <v>115</v>
      </c>
      <c r="AD5635">
        <v>2</v>
      </c>
      <c r="AE5635" t="s">
        <v>115</v>
      </c>
      <c r="AF5635">
        <v>0</v>
      </c>
      <c r="AG5635">
        <v>0</v>
      </c>
      <c r="AH5635" t="s">
        <v>116</v>
      </c>
      <c r="AI5635" s="1">
        <v>69341</v>
      </c>
      <c r="AJ5635" s="2">
        <v>0.24</v>
      </c>
      <c r="AK5635" s="1">
        <v>292854</v>
      </c>
      <c r="AL5635" t="s">
        <v>117</v>
      </c>
      <c r="AM5635" t="s">
        <v>393</v>
      </c>
      <c r="AN5635">
        <v>7842</v>
      </c>
      <c r="AO5635">
        <v>0.18</v>
      </c>
      <c r="AP5635">
        <v>1</v>
      </c>
      <c r="AR5635">
        <v>1</v>
      </c>
      <c r="AS5635" s="1">
        <v>22800</v>
      </c>
      <c r="AT5635" s="1">
        <v>4560</v>
      </c>
      <c r="AU5635" s="1">
        <v>18240</v>
      </c>
      <c r="AV5635">
        <v>80</v>
      </c>
      <c r="AX5635" s="1">
        <v>1752.44</v>
      </c>
      <c r="AY5635" t="s">
        <v>5274</v>
      </c>
      <c r="AZ5635" t="s">
        <v>5275</v>
      </c>
      <c r="BA5635" t="s">
        <v>3119</v>
      </c>
      <c r="BE5635" s="3">
        <v>42124</v>
      </c>
      <c r="BF5635" s="1">
        <v>218500</v>
      </c>
      <c r="BG5635" t="s">
        <v>34563</v>
      </c>
      <c r="BH5635" s="1">
        <v>120.58</v>
      </c>
      <c r="BI5635" s="1">
        <v>223513</v>
      </c>
      <c r="BJ5635" s="3">
        <v>42591</v>
      </c>
      <c r="BK5635" t="s">
        <v>123</v>
      </c>
      <c r="BL5635" t="str">
        <f>"2016.564442"</f>
        <v>2016.564442</v>
      </c>
      <c r="BM5635" t="s">
        <v>361</v>
      </c>
      <c r="BO5635" t="s">
        <v>34564</v>
      </c>
      <c r="BS5635">
        <v>30</v>
      </c>
      <c r="BW5635" t="str">
        <f>""</f>
        <v/>
      </c>
      <c r="CH5635" t="str">
        <f>""</f>
        <v/>
      </c>
      <c r="CS5635" t="str">
        <f>""</f>
        <v/>
      </c>
    </row>
    <row r="5636" spans="1:97" x14ac:dyDescent="0.25">
      <c r="B5636" t="s">
        <v>34565</v>
      </c>
      <c r="C5636" t="s">
        <v>767</v>
      </c>
      <c r="E5636" t="s">
        <v>34565</v>
      </c>
      <c r="F5636" t="s">
        <v>108</v>
      </c>
      <c r="H5636" t="s">
        <v>34566</v>
      </c>
      <c r="I5636" t="s">
        <v>144</v>
      </c>
      <c r="J5636" t="s">
        <v>111</v>
      </c>
      <c r="K5636" t="str">
        <f>"85396"</f>
        <v>85396</v>
      </c>
      <c r="L5636" t="s">
        <v>11339</v>
      </c>
      <c r="M5636" t="s">
        <v>34566</v>
      </c>
      <c r="N5636" t="s">
        <v>144</v>
      </c>
      <c r="O5636" t="s">
        <v>111</v>
      </c>
      <c r="P5636" t="str">
        <f>"85396-7238"</f>
        <v>85396-7238</v>
      </c>
      <c r="Q5636" t="s">
        <v>113</v>
      </c>
      <c r="R5636" t="str">
        <f>"503-85-217"</f>
        <v>503-85-217</v>
      </c>
      <c r="S5636" t="s">
        <v>11340</v>
      </c>
      <c r="U5636">
        <v>2131</v>
      </c>
      <c r="V5636">
        <v>0</v>
      </c>
      <c r="W5636">
        <v>3</v>
      </c>
      <c r="X5636">
        <v>2015</v>
      </c>
      <c r="Z5636">
        <v>1</v>
      </c>
      <c r="AB5636">
        <v>0</v>
      </c>
      <c r="AC5636" t="s">
        <v>115</v>
      </c>
      <c r="AD5636">
        <v>2</v>
      </c>
      <c r="AE5636" t="s">
        <v>115</v>
      </c>
      <c r="AF5636">
        <v>0</v>
      </c>
      <c r="AG5636">
        <v>0</v>
      </c>
      <c r="AH5636" t="s">
        <v>116</v>
      </c>
      <c r="AI5636" s="1">
        <v>58126</v>
      </c>
      <c r="AJ5636" s="2">
        <v>0.2</v>
      </c>
      <c r="AK5636" s="1">
        <v>295188</v>
      </c>
      <c r="AL5636" t="s">
        <v>117</v>
      </c>
      <c r="AM5636" t="s">
        <v>118</v>
      </c>
      <c r="AN5636">
        <v>7488</v>
      </c>
      <c r="AO5636">
        <v>0.17</v>
      </c>
      <c r="AR5636">
        <v>1</v>
      </c>
      <c r="AS5636" s="1">
        <v>19230</v>
      </c>
      <c r="AT5636" s="1">
        <v>3840</v>
      </c>
      <c r="AU5636" s="1">
        <v>15390</v>
      </c>
      <c r="AV5636">
        <v>80.03</v>
      </c>
      <c r="AX5636" s="1">
        <v>1992.92</v>
      </c>
      <c r="AY5636" t="s">
        <v>444</v>
      </c>
      <c r="AZ5636" t="s">
        <v>444</v>
      </c>
      <c r="BA5636" t="s">
        <v>445</v>
      </c>
      <c r="BB5636" s="3">
        <v>43753</v>
      </c>
      <c r="BC5636" s="1">
        <v>0</v>
      </c>
      <c r="BD5636" t="s">
        <v>291</v>
      </c>
      <c r="BE5636" s="3">
        <v>42368</v>
      </c>
      <c r="BF5636" s="1">
        <v>232073</v>
      </c>
      <c r="BG5636" t="s">
        <v>446</v>
      </c>
      <c r="BH5636" s="1">
        <v>108.9</v>
      </c>
      <c r="BI5636" s="1">
        <v>237062</v>
      </c>
      <c r="BJ5636" s="3">
        <v>42368</v>
      </c>
      <c r="BK5636" t="s">
        <v>123</v>
      </c>
      <c r="BL5636" t="str">
        <f>"2015.919336"</f>
        <v>2015.919336</v>
      </c>
      <c r="BM5636" t="s">
        <v>573</v>
      </c>
      <c r="BN5636" t="s">
        <v>3815</v>
      </c>
      <c r="BO5636" t="s">
        <v>34567</v>
      </c>
      <c r="BS5636">
        <v>30</v>
      </c>
      <c r="BW5636" t="str">
        <f>""</f>
        <v/>
      </c>
      <c r="CH5636" t="str">
        <f>""</f>
        <v/>
      </c>
      <c r="CS5636" t="str">
        <f>""</f>
        <v/>
      </c>
    </row>
    <row r="5637" spans="1:97" x14ac:dyDescent="0.25">
      <c r="A5637" t="s">
        <v>7313</v>
      </c>
      <c r="B5637" t="s">
        <v>34568</v>
      </c>
      <c r="C5637" t="s">
        <v>2992</v>
      </c>
      <c r="D5637" t="s">
        <v>34568</v>
      </c>
      <c r="E5637" t="s">
        <v>34569</v>
      </c>
      <c r="F5637" t="s">
        <v>108</v>
      </c>
      <c r="H5637" t="s">
        <v>34570</v>
      </c>
      <c r="I5637" t="s">
        <v>2874</v>
      </c>
      <c r="J5637" t="s">
        <v>111</v>
      </c>
      <c r="K5637" t="str">
        <f>"85308"</f>
        <v>85308</v>
      </c>
      <c r="L5637" t="s">
        <v>5367</v>
      </c>
      <c r="M5637" t="s">
        <v>34570</v>
      </c>
      <c r="N5637" t="s">
        <v>2874</v>
      </c>
      <c r="O5637" t="s">
        <v>111</v>
      </c>
      <c r="P5637" t="str">
        <f>"85308-8039"</f>
        <v>85308-8039</v>
      </c>
      <c r="Q5637" t="s">
        <v>113</v>
      </c>
      <c r="R5637" t="str">
        <f>"200-44-460"</f>
        <v>200-44-460</v>
      </c>
      <c r="S5637" t="s">
        <v>34571</v>
      </c>
      <c r="T5637" t="s">
        <v>34572</v>
      </c>
      <c r="U5637">
        <v>2675</v>
      </c>
      <c r="V5637">
        <v>0</v>
      </c>
      <c r="W5637">
        <v>3</v>
      </c>
      <c r="X5637">
        <v>1981</v>
      </c>
      <c r="Z5637">
        <v>1</v>
      </c>
      <c r="AA5637" t="s">
        <v>26</v>
      </c>
      <c r="AB5637">
        <v>0</v>
      </c>
      <c r="AC5637" t="s">
        <v>115</v>
      </c>
      <c r="AD5637">
        <v>2</v>
      </c>
      <c r="AE5637" t="s">
        <v>115</v>
      </c>
      <c r="AF5637">
        <v>0</v>
      </c>
      <c r="AG5637">
        <v>0</v>
      </c>
      <c r="AH5637" t="s">
        <v>116</v>
      </c>
      <c r="AI5637" s="1">
        <v>117137</v>
      </c>
      <c r="AJ5637" s="2">
        <v>0.27</v>
      </c>
      <c r="AK5637" s="1">
        <v>433402</v>
      </c>
      <c r="AL5637" t="s">
        <v>117</v>
      </c>
      <c r="AM5637" t="s">
        <v>6005</v>
      </c>
      <c r="AN5637">
        <v>20326</v>
      </c>
      <c r="AO5637">
        <v>0.47</v>
      </c>
      <c r="AP5637">
        <v>1</v>
      </c>
      <c r="AR5637">
        <v>1</v>
      </c>
      <c r="AS5637" s="1">
        <v>30150</v>
      </c>
      <c r="AT5637" s="1">
        <v>6030</v>
      </c>
      <c r="AU5637" s="1">
        <v>24120</v>
      </c>
      <c r="AV5637">
        <v>80</v>
      </c>
      <c r="AX5637" s="1">
        <v>2548.86</v>
      </c>
      <c r="AY5637" t="s">
        <v>7283</v>
      </c>
      <c r="AZ5637" t="s">
        <v>7283</v>
      </c>
      <c r="BA5637" t="s">
        <v>2223</v>
      </c>
      <c r="BE5637" s="3">
        <v>41820</v>
      </c>
      <c r="BF5637" s="1">
        <v>330000</v>
      </c>
      <c r="BG5637" t="s">
        <v>34573</v>
      </c>
      <c r="BH5637" s="1">
        <v>123.36</v>
      </c>
      <c r="BI5637" s="1">
        <v>316265</v>
      </c>
      <c r="BJ5637" s="3">
        <v>41820</v>
      </c>
      <c r="BK5637" t="s">
        <v>123</v>
      </c>
      <c r="BL5637" t="str">
        <f>"2014.428640"</f>
        <v>2014.428640</v>
      </c>
      <c r="BM5637" t="s">
        <v>544</v>
      </c>
      <c r="BO5637" t="s">
        <v>34574</v>
      </c>
      <c r="BS5637">
        <v>30</v>
      </c>
      <c r="BW5637" t="str">
        <f>""</f>
        <v/>
      </c>
      <c r="CH5637" t="str">
        <f>""</f>
        <v/>
      </c>
      <c r="CS5637" t="str">
        <f>""</f>
        <v/>
      </c>
    </row>
    <row r="5638" spans="1:97" x14ac:dyDescent="0.25">
      <c r="A5638" t="s">
        <v>5560</v>
      </c>
      <c r="B5638" t="s">
        <v>34575</v>
      </c>
      <c r="C5638" t="s">
        <v>34576</v>
      </c>
      <c r="D5638" t="s">
        <v>34575</v>
      </c>
      <c r="E5638" t="s">
        <v>34577</v>
      </c>
      <c r="F5638" t="s">
        <v>108</v>
      </c>
      <c r="H5638" t="s">
        <v>34578</v>
      </c>
      <c r="I5638" t="s">
        <v>110</v>
      </c>
      <c r="J5638" t="s">
        <v>111</v>
      </c>
      <c r="K5638" t="str">
        <f>"85224"</f>
        <v>85224</v>
      </c>
      <c r="L5638" t="s">
        <v>5106</v>
      </c>
      <c r="M5638" t="s">
        <v>34578</v>
      </c>
      <c r="N5638" t="s">
        <v>110</v>
      </c>
      <c r="O5638" t="s">
        <v>111</v>
      </c>
      <c r="P5638" t="str">
        <f>"85224-7257"</f>
        <v>85224-7257</v>
      </c>
      <c r="Q5638" t="s">
        <v>113</v>
      </c>
      <c r="R5638" t="str">
        <f>"303-75-144"</f>
        <v>303-75-144</v>
      </c>
      <c r="S5638" t="s">
        <v>10175</v>
      </c>
      <c r="T5638" t="s">
        <v>10176</v>
      </c>
      <c r="U5638">
        <v>2144</v>
      </c>
      <c r="V5638">
        <v>0</v>
      </c>
      <c r="W5638">
        <v>4</v>
      </c>
      <c r="X5638">
        <v>1996</v>
      </c>
      <c r="Z5638">
        <v>2</v>
      </c>
      <c r="AA5638" t="s">
        <v>26</v>
      </c>
      <c r="AB5638">
        <v>0</v>
      </c>
      <c r="AC5638" t="s">
        <v>115</v>
      </c>
      <c r="AD5638">
        <v>2</v>
      </c>
      <c r="AE5638" t="s">
        <v>115</v>
      </c>
      <c r="AF5638">
        <v>0</v>
      </c>
      <c r="AG5638">
        <v>0</v>
      </c>
      <c r="AH5638" t="s">
        <v>116</v>
      </c>
      <c r="AI5638" s="1">
        <v>98010</v>
      </c>
      <c r="AJ5638" s="2">
        <v>0.26</v>
      </c>
      <c r="AK5638" s="1">
        <v>375510</v>
      </c>
      <c r="AL5638" t="s">
        <v>117</v>
      </c>
      <c r="AM5638" t="s">
        <v>118</v>
      </c>
      <c r="AN5638">
        <v>5623</v>
      </c>
      <c r="AO5638">
        <v>0.13</v>
      </c>
      <c r="AP5638">
        <v>1</v>
      </c>
      <c r="AR5638">
        <v>1</v>
      </c>
      <c r="AS5638" s="1">
        <v>26460</v>
      </c>
      <c r="AT5638" s="1">
        <v>5290</v>
      </c>
      <c r="AU5638" s="1">
        <v>21170</v>
      </c>
      <c r="AV5638">
        <v>80.010000000000005</v>
      </c>
      <c r="AX5638" s="1">
        <v>2465.08</v>
      </c>
      <c r="AY5638" t="s">
        <v>6015</v>
      </c>
      <c r="AZ5638" t="s">
        <v>5078</v>
      </c>
      <c r="BA5638" t="s">
        <v>121</v>
      </c>
      <c r="BE5638" s="3">
        <v>42144</v>
      </c>
      <c r="BF5638" s="1">
        <v>297500</v>
      </c>
      <c r="BG5638" t="s">
        <v>34579</v>
      </c>
      <c r="BH5638" s="1">
        <v>138.76</v>
      </c>
      <c r="BI5638" s="1">
        <v>277500</v>
      </c>
      <c r="BJ5638" s="3">
        <v>42144</v>
      </c>
      <c r="BK5638" t="s">
        <v>123</v>
      </c>
      <c r="BL5638" t="str">
        <f>"2015.356723"</f>
        <v>2015.356723</v>
      </c>
      <c r="BM5638" t="s">
        <v>724</v>
      </c>
      <c r="BO5638" t="s">
        <v>34580</v>
      </c>
      <c r="BS5638">
        <v>30</v>
      </c>
      <c r="BW5638" t="str">
        <f>""</f>
        <v/>
      </c>
      <c r="CH5638" t="str">
        <f>""</f>
        <v/>
      </c>
      <c r="CS5638" t="str">
        <f>""</f>
        <v/>
      </c>
    </row>
    <row r="5639" spans="1:97" x14ac:dyDescent="0.25">
      <c r="A5639" t="s">
        <v>1187</v>
      </c>
      <c r="B5639" t="s">
        <v>34581</v>
      </c>
      <c r="C5639" t="s">
        <v>365</v>
      </c>
      <c r="D5639" t="s">
        <v>34581</v>
      </c>
      <c r="E5639" t="s">
        <v>34582</v>
      </c>
      <c r="F5639" t="s">
        <v>108</v>
      </c>
      <c r="H5639" t="s">
        <v>34583</v>
      </c>
      <c r="I5639" t="s">
        <v>2874</v>
      </c>
      <c r="J5639" t="s">
        <v>111</v>
      </c>
      <c r="K5639" t="str">
        <f>"85308"</f>
        <v>85308</v>
      </c>
      <c r="L5639" t="s">
        <v>4282</v>
      </c>
      <c r="M5639" t="s">
        <v>34583</v>
      </c>
      <c r="N5639" t="s">
        <v>2874</v>
      </c>
      <c r="O5639" t="s">
        <v>111</v>
      </c>
      <c r="P5639" t="str">
        <f>"85308-7637"</f>
        <v>85308-7637</v>
      </c>
      <c r="Q5639" t="s">
        <v>113</v>
      </c>
      <c r="R5639" t="str">
        <f>"200-28-093"</f>
        <v>200-28-093</v>
      </c>
      <c r="S5639" t="s">
        <v>27263</v>
      </c>
      <c r="T5639" t="s">
        <v>27264</v>
      </c>
      <c r="U5639">
        <v>2745</v>
      </c>
      <c r="V5639">
        <v>0</v>
      </c>
      <c r="W5639">
        <v>4</v>
      </c>
      <c r="X5639">
        <v>1997</v>
      </c>
      <c r="Z5639">
        <v>1</v>
      </c>
      <c r="AA5639" t="s">
        <v>26</v>
      </c>
      <c r="AB5639">
        <v>0</v>
      </c>
      <c r="AC5639" t="s">
        <v>115</v>
      </c>
      <c r="AD5639">
        <v>3</v>
      </c>
      <c r="AE5639" t="s">
        <v>115</v>
      </c>
      <c r="AF5639">
        <v>0</v>
      </c>
      <c r="AG5639">
        <v>0</v>
      </c>
      <c r="AH5639" t="s">
        <v>116</v>
      </c>
      <c r="AI5639" s="1">
        <v>-3796448</v>
      </c>
      <c r="AJ5639" s="2">
        <v>-8.51</v>
      </c>
      <c r="AK5639" s="1">
        <v>446272</v>
      </c>
      <c r="AL5639" t="s">
        <v>117</v>
      </c>
      <c r="AM5639" t="s">
        <v>393</v>
      </c>
      <c r="AN5639">
        <v>9890</v>
      </c>
      <c r="AO5639">
        <v>0.23</v>
      </c>
      <c r="AP5639">
        <v>1</v>
      </c>
      <c r="AR5639">
        <v>1</v>
      </c>
      <c r="AS5639" s="1">
        <v>33550</v>
      </c>
      <c r="AT5639" s="1">
        <v>6710</v>
      </c>
      <c r="AU5639" s="1">
        <v>26840</v>
      </c>
      <c r="AV5639">
        <v>80</v>
      </c>
      <c r="AX5639" s="1">
        <v>3015.24</v>
      </c>
      <c r="AY5639" t="s">
        <v>6740</v>
      </c>
      <c r="AZ5639" t="s">
        <v>6740</v>
      </c>
      <c r="BA5639" t="s">
        <v>5143</v>
      </c>
      <c r="BB5639" s="3">
        <v>43594</v>
      </c>
      <c r="BC5639" s="1">
        <v>440000</v>
      </c>
      <c r="BD5639" t="s">
        <v>291</v>
      </c>
      <c r="BE5639" s="3">
        <v>41803</v>
      </c>
      <c r="BF5639" s="1">
        <v>319000</v>
      </c>
      <c r="BG5639" t="s">
        <v>8049</v>
      </c>
      <c r="BH5639" s="1">
        <v>116.21</v>
      </c>
      <c r="BI5639" s="1">
        <v>4242720</v>
      </c>
      <c r="BJ5639" s="3">
        <v>43594</v>
      </c>
      <c r="BK5639" t="s">
        <v>123</v>
      </c>
      <c r="BL5639" t="str">
        <f>"2019.337011"</f>
        <v>2019.337011</v>
      </c>
      <c r="BM5639" t="s">
        <v>135</v>
      </c>
      <c r="BN5639" t="s">
        <v>34584</v>
      </c>
      <c r="BO5639" t="s">
        <v>34585</v>
      </c>
      <c r="BP5639" t="s">
        <v>34586</v>
      </c>
      <c r="BR5639" t="s">
        <v>139</v>
      </c>
      <c r="BW5639" t="str">
        <f>""</f>
        <v/>
      </c>
      <c r="CH5639" t="str">
        <f>""</f>
        <v/>
      </c>
      <c r="CS5639" t="str">
        <f>""</f>
        <v/>
      </c>
    </row>
    <row r="5640" spans="1:97" x14ac:dyDescent="0.25">
      <c r="A5640" t="s">
        <v>2591</v>
      </c>
      <c r="B5640" t="s">
        <v>28118</v>
      </c>
      <c r="C5640" t="s">
        <v>908</v>
      </c>
      <c r="D5640" t="s">
        <v>28118</v>
      </c>
      <c r="E5640" t="s">
        <v>34587</v>
      </c>
      <c r="F5640" t="s">
        <v>108</v>
      </c>
      <c r="H5640" t="s">
        <v>34588</v>
      </c>
      <c r="I5640" t="s">
        <v>1788</v>
      </c>
      <c r="J5640" t="s">
        <v>111</v>
      </c>
      <c r="K5640" t="str">
        <f>"85355"</f>
        <v>85355</v>
      </c>
      <c r="L5640" t="s">
        <v>168</v>
      </c>
      <c r="M5640" t="s">
        <v>34588</v>
      </c>
      <c r="N5640" t="s">
        <v>1788</v>
      </c>
      <c r="O5640" t="s">
        <v>111</v>
      </c>
      <c r="P5640" t="str">
        <f>"85355-4323"</f>
        <v>85355-4323</v>
      </c>
      <c r="Q5640" t="s">
        <v>113</v>
      </c>
      <c r="R5640" t="str">
        <f>"502-90-818"</f>
        <v>502-90-818</v>
      </c>
      <c r="S5640" t="s">
        <v>8290</v>
      </c>
      <c r="T5640" t="s">
        <v>8290</v>
      </c>
      <c r="U5640">
        <v>2541</v>
      </c>
      <c r="V5640">
        <v>0</v>
      </c>
      <c r="W5640">
        <v>4</v>
      </c>
      <c r="X5640">
        <v>2007</v>
      </c>
      <c r="Z5640">
        <v>1</v>
      </c>
      <c r="AA5640" t="s">
        <v>26</v>
      </c>
      <c r="AB5640">
        <v>0</v>
      </c>
      <c r="AC5640" t="s">
        <v>115</v>
      </c>
      <c r="AD5640">
        <v>2</v>
      </c>
      <c r="AE5640" t="s">
        <v>115</v>
      </c>
      <c r="AF5640">
        <v>0</v>
      </c>
      <c r="AG5640">
        <v>0</v>
      </c>
      <c r="AH5640" t="s">
        <v>116</v>
      </c>
      <c r="AI5640" s="1">
        <v>65993</v>
      </c>
      <c r="AJ5640" s="2">
        <v>0.2</v>
      </c>
      <c r="AK5640" s="1">
        <v>334443</v>
      </c>
      <c r="AL5640" t="s">
        <v>117</v>
      </c>
      <c r="AM5640" t="s">
        <v>191</v>
      </c>
      <c r="AN5640">
        <v>9352</v>
      </c>
      <c r="AO5640">
        <v>0.22</v>
      </c>
      <c r="AR5640">
        <v>1</v>
      </c>
      <c r="AS5640" s="1">
        <v>24430</v>
      </c>
      <c r="AT5640" s="1">
        <v>4880</v>
      </c>
      <c r="AU5640" s="1">
        <v>19550</v>
      </c>
      <c r="AV5640">
        <v>80.02</v>
      </c>
      <c r="AX5640" s="1">
        <v>1850.56</v>
      </c>
      <c r="AY5640" t="s">
        <v>5972</v>
      </c>
      <c r="AZ5640" t="s">
        <v>5972</v>
      </c>
      <c r="BA5640" t="s">
        <v>5061</v>
      </c>
      <c r="BE5640" s="3">
        <v>42237</v>
      </c>
      <c r="BF5640" s="1">
        <v>259900</v>
      </c>
      <c r="BG5640" t="s">
        <v>34589</v>
      </c>
      <c r="BH5640" s="1">
        <v>102.28</v>
      </c>
      <c r="BI5640" s="1">
        <v>268450</v>
      </c>
      <c r="BJ5640" s="3">
        <v>42237</v>
      </c>
      <c r="BK5640" t="s">
        <v>123</v>
      </c>
      <c r="BL5640" t="str">
        <f>"2015.606909"</f>
        <v>2015.606909</v>
      </c>
      <c r="BM5640" t="s">
        <v>124</v>
      </c>
      <c r="BO5640" t="s">
        <v>34590</v>
      </c>
      <c r="BS5640">
        <v>30</v>
      </c>
      <c r="BW5640" t="str">
        <f>""</f>
        <v/>
      </c>
      <c r="CH5640" t="str">
        <f>""</f>
        <v/>
      </c>
      <c r="CS5640" t="str">
        <f>""</f>
        <v/>
      </c>
    </row>
    <row r="5641" spans="1:97" x14ac:dyDescent="0.25">
      <c r="A5641" t="s">
        <v>370</v>
      </c>
      <c r="B5641" t="s">
        <v>11629</v>
      </c>
      <c r="C5641" t="s">
        <v>34591</v>
      </c>
      <c r="D5641" t="s">
        <v>11629</v>
      </c>
      <c r="E5641" t="s">
        <v>34592</v>
      </c>
      <c r="F5641" t="s">
        <v>108</v>
      </c>
      <c r="H5641" t="s">
        <v>34593</v>
      </c>
      <c r="I5641" t="s">
        <v>203</v>
      </c>
      <c r="J5641" t="s">
        <v>111</v>
      </c>
      <c r="K5641" t="str">
        <f>"85297"</f>
        <v>85297</v>
      </c>
      <c r="L5641" t="s">
        <v>4698</v>
      </c>
      <c r="M5641" t="s">
        <v>34593</v>
      </c>
      <c r="N5641" t="s">
        <v>203</v>
      </c>
      <c r="O5641" t="s">
        <v>111</v>
      </c>
      <c r="P5641" t="str">
        <f>"85297-8285"</f>
        <v>85297-8285</v>
      </c>
      <c r="Q5641" t="s">
        <v>113</v>
      </c>
      <c r="R5641" t="str">
        <f>"304-60-710"</f>
        <v>304-60-710</v>
      </c>
      <c r="S5641" t="s">
        <v>34594</v>
      </c>
      <c r="U5641">
        <v>2110</v>
      </c>
      <c r="V5641">
        <v>0</v>
      </c>
      <c r="W5641">
        <v>3</v>
      </c>
      <c r="X5641">
        <v>2002</v>
      </c>
      <c r="Z5641">
        <v>1</v>
      </c>
      <c r="AA5641" t="s">
        <v>26</v>
      </c>
      <c r="AB5641">
        <v>0</v>
      </c>
      <c r="AC5641" t="s">
        <v>115</v>
      </c>
      <c r="AD5641">
        <v>2</v>
      </c>
      <c r="AE5641" t="s">
        <v>115</v>
      </c>
      <c r="AF5641">
        <v>0</v>
      </c>
      <c r="AG5641">
        <v>0</v>
      </c>
      <c r="AH5641" t="s">
        <v>116</v>
      </c>
      <c r="AI5641" s="1">
        <v>85957</v>
      </c>
      <c r="AJ5641" s="2">
        <v>0.24</v>
      </c>
      <c r="AK5641" s="1">
        <v>362472</v>
      </c>
      <c r="AL5641" t="s">
        <v>117</v>
      </c>
      <c r="AM5641" t="s">
        <v>393</v>
      </c>
      <c r="AN5641">
        <v>8009</v>
      </c>
      <c r="AO5641">
        <v>0.18</v>
      </c>
      <c r="AP5641">
        <v>1</v>
      </c>
      <c r="AR5641">
        <v>1</v>
      </c>
      <c r="AS5641" s="1">
        <v>25010</v>
      </c>
      <c r="AT5641" s="1">
        <v>5000</v>
      </c>
      <c r="AU5641" s="1">
        <v>20010</v>
      </c>
      <c r="AV5641">
        <v>80.010000000000005</v>
      </c>
      <c r="AX5641" s="1">
        <v>2031.88</v>
      </c>
      <c r="AY5641" t="s">
        <v>7512</v>
      </c>
      <c r="AZ5641" t="s">
        <v>7512</v>
      </c>
      <c r="BA5641" t="s">
        <v>473</v>
      </c>
      <c r="BE5641" s="3">
        <v>41927</v>
      </c>
      <c r="BF5641" s="1">
        <v>270000</v>
      </c>
      <c r="BG5641" t="s">
        <v>34595</v>
      </c>
      <c r="BH5641" s="1">
        <v>127.96</v>
      </c>
      <c r="BI5641" s="1">
        <v>276515</v>
      </c>
      <c r="BJ5641" s="3">
        <v>42612</v>
      </c>
      <c r="BK5641" t="s">
        <v>123</v>
      </c>
      <c r="BL5641" t="str">
        <f>"2016.623826"</f>
        <v>2016.623826</v>
      </c>
      <c r="BM5641" t="s">
        <v>402</v>
      </c>
      <c r="BO5641" t="s">
        <v>34596</v>
      </c>
      <c r="BS5641">
        <v>30</v>
      </c>
      <c r="BW5641" t="str">
        <f>""</f>
        <v/>
      </c>
      <c r="CH5641" t="str">
        <f>""</f>
        <v/>
      </c>
      <c r="CS5641" t="str">
        <f>""</f>
        <v/>
      </c>
    </row>
    <row r="5642" spans="1:97" x14ac:dyDescent="0.25">
      <c r="A5642" t="s">
        <v>4072</v>
      </c>
      <c r="B5642" t="s">
        <v>34597</v>
      </c>
      <c r="C5642" t="s">
        <v>140</v>
      </c>
      <c r="D5642" t="s">
        <v>34598</v>
      </c>
      <c r="E5642" t="s">
        <v>34599</v>
      </c>
      <c r="F5642" t="s">
        <v>108</v>
      </c>
      <c r="H5642" t="s">
        <v>34600</v>
      </c>
      <c r="I5642" t="s">
        <v>632</v>
      </c>
      <c r="J5642" t="s">
        <v>111</v>
      </c>
      <c r="K5642" t="str">
        <f>"85388"</f>
        <v>85388</v>
      </c>
      <c r="L5642" t="s">
        <v>4467</v>
      </c>
      <c r="M5642" t="s">
        <v>34600</v>
      </c>
      <c r="N5642" t="s">
        <v>632</v>
      </c>
      <c r="O5642" t="s">
        <v>111</v>
      </c>
      <c r="P5642" t="str">
        <f>"85388-2304"</f>
        <v>85388-2304</v>
      </c>
      <c r="Q5642" t="s">
        <v>113</v>
      </c>
      <c r="R5642" t="str">
        <f>"502-09-601"</f>
        <v>502-09-601</v>
      </c>
      <c r="S5642" t="s">
        <v>5359</v>
      </c>
      <c r="T5642" t="s">
        <v>5360</v>
      </c>
      <c r="U5642">
        <v>3296</v>
      </c>
      <c r="V5642">
        <v>0</v>
      </c>
      <c r="W5642">
        <v>4</v>
      </c>
      <c r="X5642">
        <v>2014</v>
      </c>
      <c r="Z5642">
        <v>2</v>
      </c>
      <c r="AA5642" t="s">
        <v>26</v>
      </c>
      <c r="AB5642">
        <v>0</v>
      </c>
      <c r="AC5642" t="s">
        <v>115</v>
      </c>
      <c r="AD5642">
        <v>3</v>
      </c>
      <c r="AE5642" t="s">
        <v>115</v>
      </c>
      <c r="AF5642">
        <v>0</v>
      </c>
      <c r="AG5642">
        <v>0</v>
      </c>
      <c r="AH5642" t="s">
        <v>116</v>
      </c>
      <c r="AI5642" s="1">
        <v>22185</v>
      </c>
      <c r="AJ5642" s="2">
        <v>0.06</v>
      </c>
      <c r="AK5642" s="1">
        <v>374185</v>
      </c>
      <c r="AL5642" t="s">
        <v>117</v>
      </c>
      <c r="AM5642" t="s">
        <v>118</v>
      </c>
      <c r="AN5642">
        <v>7500</v>
      </c>
      <c r="AO5642">
        <v>0.17</v>
      </c>
      <c r="AR5642">
        <v>1</v>
      </c>
      <c r="AS5642" s="1">
        <v>28310</v>
      </c>
      <c r="AT5642" s="1">
        <v>5660</v>
      </c>
      <c r="AU5642" s="1">
        <v>22650</v>
      </c>
      <c r="AV5642">
        <v>80.010000000000005</v>
      </c>
      <c r="AX5642" s="1">
        <v>2268.94</v>
      </c>
      <c r="AY5642" t="s">
        <v>5168</v>
      </c>
      <c r="AZ5642" t="s">
        <v>5168</v>
      </c>
      <c r="BA5642" t="s">
        <v>5109</v>
      </c>
      <c r="BE5642" s="3">
        <v>41788</v>
      </c>
      <c r="BF5642" s="1">
        <v>314404</v>
      </c>
      <c r="BG5642" t="s">
        <v>2289</v>
      </c>
      <c r="BH5642" s="1">
        <v>95.39</v>
      </c>
      <c r="BI5642" s="1">
        <v>352000</v>
      </c>
      <c r="BJ5642" s="3">
        <v>43448</v>
      </c>
      <c r="BK5642" t="s">
        <v>123</v>
      </c>
      <c r="BL5642" t="str">
        <f>"2018.918352"</f>
        <v>2018.918352</v>
      </c>
      <c r="BM5642" t="s">
        <v>135</v>
      </c>
      <c r="BN5642" t="s">
        <v>136</v>
      </c>
      <c r="BO5642" t="s">
        <v>34601</v>
      </c>
      <c r="BP5642" t="s">
        <v>34602</v>
      </c>
      <c r="BR5642" t="s">
        <v>139</v>
      </c>
      <c r="BW5642" t="str">
        <f>""</f>
        <v/>
      </c>
      <c r="CH5642" t="str">
        <f>""</f>
        <v/>
      </c>
      <c r="CS5642" t="str">
        <f>""</f>
        <v/>
      </c>
    </row>
    <row r="5643" spans="1:97" x14ac:dyDescent="0.25">
      <c r="A5643" t="s">
        <v>1187</v>
      </c>
      <c r="B5643" t="s">
        <v>18634</v>
      </c>
      <c r="E5643" t="s">
        <v>34603</v>
      </c>
      <c r="F5643" t="s">
        <v>108</v>
      </c>
      <c r="H5643" t="s">
        <v>34604</v>
      </c>
      <c r="I5643" t="s">
        <v>110</v>
      </c>
      <c r="J5643" t="s">
        <v>111</v>
      </c>
      <c r="K5643" t="str">
        <f>"85286"</f>
        <v>85286</v>
      </c>
      <c r="L5643" t="s">
        <v>3758</v>
      </c>
      <c r="M5643" t="s">
        <v>34604</v>
      </c>
      <c r="N5643" t="s">
        <v>110</v>
      </c>
      <c r="O5643" t="s">
        <v>111</v>
      </c>
      <c r="P5643" t="str">
        <f>"85286-1605"</f>
        <v>85286-1605</v>
      </c>
      <c r="Q5643" t="s">
        <v>113</v>
      </c>
      <c r="R5643" t="str">
        <f>"303-44-938"</f>
        <v>303-44-938</v>
      </c>
      <c r="S5643" t="s">
        <v>34605</v>
      </c>
      <c r="U5643">
        <v>2358</v>
      </c>
      <c r="V5643">
        <v>0</v>
      </c>
      <c r="W5643">
        <v>4</v>
      </c>
      <c r="X5643">
        <v>2006</v>
      </c>
      <c r="Z5643">
        <v>1</v>
      </c>
      <c r="AA5643" t="s">
        <v>26</v>
      </c>
      <c r="AB5643">
        <v>0</v>
      </c>
      <c r="AC5643" t="s">
        <v>115</v>
      </c>
      <c r="AD5643">
        <v>3</v>
      </c>
      <c r="AE5643" t="s">
        <v>115</v>
      </c>
      <c r="AF5643">
        <v>0</v>
      </c>
      <c r="AG5643">
        <v>0</v>
      </c>
      <c r="AH5643" t="s">
        <v>116</v>
      </c>
      <c r="AI5643" s="1">
        <v>59920</v>
      </c>
      <c r="AJ5643" s="2">
        <v>0.13</v>
      </c>
      <c r="AK5643" s="1">
        <v>444984</v>
      </c>
      <c r="AL5643" t="s">
        <v>117</v>
      </c>
      <c r="AM5643" t="s">
        <v>118</v>
      </c>
      <c r="AN5643">
        <v>8168</v>
      </c>
      <c r="AO5643">
        <v>0.19</v>
      </c>
      <c r="AR5643">
        <v>1</v>
      </c>
      <c r="AS5643" s="1">
        <v>31470</v>
      </c>
      <c r="AT5643" s="1">
        <v>6290</v>
      </c>
      <c r="AU5643" s="1">
        <v>25180</v>
      </c>
      <c r="AV5643">
        <v>80.010000000000005</v>
      </c>
      <c r="AX5643" s="1">
        <v>2611.34</v>
      </c>
      <c r="AY5643" t="s">
        <v>737</v>
      </c>
      <c r="AZ5643" t="s">
        <v>120</v>
      </c>
      <c r="BA5643" t="s">
        <v>303</v>
      </c>
      <c r="BE5643" s="3">
        <v>41774</v>
      </c>
      <c r="BF5643" s="1">
        <v>347000</v>
      </c>
      <c r="BG5643" t="s">
        <v>34606</v>
      </c>
      <c r="BH5643" s="1">
        <v>147.16</v>
      </c>
      <c r="BI5643" s="1">
        <v>340064</v>
      </c>
      <c r="BJ5643" s="3">
        <v>42524</v>
      </c>
      <c r="BK5643" t="s">
        <v>123</v>
      </c>
      <c r="BL5643" t="str">
        <f>"2016.384400"</f>
        <v>2016.384400</v>
      </c>
      <c r="BM5643" t="s">
        <v>322</v>
      </c>
      <c r="BN5643" t="s">
        <v>534</v>
      </c>
      <c r="BO5643" t="s">
        <v>34607</v>
      </c>
      <c r="BS5643">
        <v>23</v>
      </c>
      <c r="BT5643" s="1">
        <v>45000</v>
      </c>
      <c r="BU5643" s="3">
        <v>43566</v>
      </c>
      <c r="BW5643" t="str">
        <f>"2019.255143"</f>
        <v>2019.255143</v>
      </c>
      <c r="BX5643" t="s">
        <v>135</v>
      </c>
      <c r="BY5643" t="s">
        <v>136</v>
      </c>
      <c r="BZ5643" t="s">
        <v>34608</v>
      </c>
      <c r="CA5643" t="s">
        <v>34609</v>
      </c>
      <c r="CC5643" t="s">
        <v>346</v>
      </c>
      <c r="CH5643" t="str">
        <f>""</f>
        <v/>
      </c>
      <c r="CS5643" t="str">
        <f>""</f>
        <v/>
      </c>
    </row>
    <row r="5644" spans="1:97" x14ac:dyDescent="0.25">
      <c r="A5644" t="s">
        <v>177</v>
      </c>
      <c r="B5644" t="s">
        <v>22080</v>
      </c>
      <c r="E5644" t="s">
        <v>34610</v>
      </c>
      <c r="F5644" t="s">
        <v>108</v>
      </c>
      <c r="H5644" t="s">
        <v>34611</v>
      </c>
      <c r="I5644" t="s">
        <v>1397</v>
      </c>
      <c r="J5644" t="s">
        <v>111</v>
      </c>
      <c r="K5644" t="str">
        <f>"85331"</f>
        <v>85331</v>
      </c>
      <c r="L5644" t="s">
        <v>6423</v>
      </c>
      <c r="M5644" t="s">
        <v>34611</v>
      </c>
      <c r="N5644" t="s">
        <v>1397</v>
      </c>
      <c r="O5644" t="s">
        <v>111</v>
      </c>
      <c r="P5644" t="str">
        <f>"85331-5471"</f>
        <v>85331-5471</v>
      </c>
      <c r="Q5644" t="s">
        <v>113</v>
      </c>
      <c r="R5644" t="str">
        <f>"211-36-005-G"</f>
        <v>211-36-005-G</v>
      </c>
      <c r="U5644">
        <v>1248</v>
      </c>
      <c r="V5644">
        <v>0</v>
      </c>
      <c r="W5644">
        <v>2</v>
      </c>
      <c r="X5644">
        <v>1986</v>
      </c>
      <c r="Z5644">
        <v>1</v>
      </c>
      <c r="AB5644">
        <v>0</v>
      </c>
      <c r="AC5644" t="s">
        <v>7038</v>
      </c>
      <c r="AD5644">
        <v>0</v>
      </c>
      <c r="AE5644" t="s">
        <v>7038</v>
      </c>
      <c r="AF5644">
        <v>0</v>
      </c>
      <c r="AG5644">
        <v>0</v>
      </c>
      <c r="AH5644" t="s">
        <v>116</v>
      </c>
      <c r="AI5644" s="1">
        <v>77408</v>
      </c>
      <c r="AJ5644" s="2">
        <v>0.23</v>
      </c>
      <c r="AK5644" s="1">
        <v>342998</v>
      </c>
      <c r="AL5644" t="s">
        <v>117</v>
      </c>
      <c r="AM5644" t="s">
        <v>760</v>
      </c>
      <c r="AN5644">
        <v>59198</v>
      </c>
      <c r="AO5644">
        <v>1.36</v>
      </c>
      <c r="AP5644">
        <v>1</v>
      </c>
      <c r="AR5644">
        <v>1</v>
      </c>
      <c r="AS5644" s="1">
        <v>22530</v>
      </c>
      <c r="AT5644" s="1">
        <v>4500</v>
      </c>
      <c r="AU5644" s="1">
        <v>18030</v>
      </c>
      <c r="AV5644">
        <v>80.03</v>
      </c>
      <c r="AX5644" s="1">
        <v>1348.46</v>
      </c>
      <c r="AY5644" t="s">
        <v>1401</v>
      </c>
      <c r="AZ5644" t="s">
        <v>1402</v>
      </c>
      <c r="BA5644" t="s">
        <v>1403</v>
      </c>
      <c r="BE5644" s="3">
        <v>42124</v>
      </c>
      <c r="BF5644" s="1">
        <v>310000</v>
      </c>
      <c r="BG5644" t="s">
        <v>34612</v>
      </c>
      <c r="BH5644" s="1">
        <v>248.4</v>
      </c>
      <c r="BI5644" s="1">
        <v>265590</v>
      </c>
      <c r="BJ5644" s="3">
        <v>42124</v>
      </c>
      <c r="BK5644" t="s">
        <v>123</v>
      </c>
      <c r="BL5644" t="str">
        <f>"2015.306555"</f>
        <v>2015.306555</v>
      </c>
      <c r="BM5644" t="s">
        <v>544</v>
      </c>
      <c r="BO5644" t="s">
        <v>34613</v>
      </c>
      <c r="BS5644">
        <v>30</v>
      </c>
      <c r="BW5644" t="str">
        <f>""</f>
        <v/>
      </c>
      <c r="CH5644" t="str">
        <f>""</f>
        <v/>
      </c>
      <c r="CS5644" t="str">
        <f>""</f>
        <v/>
      </c>
    </row>
    <row r="5645" spans="1:97" x14ac:dyDescent="0.25">
      <c r="A5645" t="s">
        <v>1421</v>
      </c>
      <c r="B5645" t="s">
        <v>25698</v>
      </c>
      <c r="C5645" t="s">
        <v>34614</v>
      </c>
      <c r="D5645" t="s">
        <v>25698</v>
      </c>
      <c r="E5645" t="s">
        <v>34615</v>
      </c>
      <c r="F5645" t="s">
        <v>108</v>
      </c>
      <c r="H5645" t="s">
        <v>34616</v>
      </c>
      <c r="I5645" t="s">
        <v>225</v>
      </c>
      <c r="J5645" t="s">
        <v>111</v>
      </c>
      <c r="K5645" t="str">
        <f>"85205"</f>
        <v>85205</v>
      </c>
      <c r="L5645" t="s">
        <v>6169</v>
      </c>
      <c r="M5645" t="s">
        <v>34616</v>
      </c>
      <c r="N5645" t="s">
        <v>225</v>
      </c>
      <c r="O5645" t="s">
        <v>111</v>
      </c>
      <c r="P5645" t="str">
        <f>"85205-3536"</f>
        <v>85205-3536</v>
      </c>
      <c r="Q5645" t="s">
        <v>113</v>
      </c>
      <c r="R5645" t="str">
        <f>"141-45-250"</f>
        <v>141-45-250</v>
      </c>
      <c r="S5645" t="s">
        <v>24807</v>
      </c>
      <c r="T5645" t="s">
        <v>24808</v>
      </c>
      <c r="U5645">
        <v>1543</v>
      </c>
      <c r="V5645">
        <v>0</v>
      </c>
      <c r="W5645">
        <v>3</v>
      </c>
      <c r="X5645">
        <v>1989</v>
      </c>
      <c r="Z5645">
        <v>1</v>
      </c>
      <c r="AB5645">
        <v>0</v>
      </c>
      <c r="AC5645" t="s">
        <v>115</v>
      </c>
      <c r="AD5645">
        <v>2</v>
      </c>
      <c r="AE5645" t="s">
        <v>115</v>
      </c>
      <c r="AF5645">
        <v>0</v>
      </c>
      <c r="AG5645">
        <v>0</v>
      </c>
      <c r="AH5645" t="s">
        <v>116</v>
      </c>
      <c r="AI5645" s="1">
        <v>46145</v>
      </c>
      <c r="AJ5645" s="2">
        <v>0.16</v>
      </c>
      <c r="AK5645" s="1">
        <v>281086</v>
      </c>
      <c r="AL5645" t="s">
        <v>117</v>
      </c>
      <c r="AM5645" t="s">
        <v>393</v>
      </c>
      <c r="AN5645">
        <v>7588</v>
      </c>
      <c r="AO5645">
        <v>0.17</v>
      </c>
      <c r="AP5645">
        <v>1</v>
      </c>
      <c r="AR5645">
        <v>1</v>
      </c>
      <c r="AS5645" s="1">
        <v>19480</v>
      </c>
      <c r="AT5645" s="1">
        <v>3890</v>
      </c>
      <c r="AU5645" s="1">
        <v>15590</v>
      </c>
      <c r="AV5645">
        <v>80.03</v>
      </c>
      <c r="AX5645" s="1">
        <v>1597.2</v>
      </c>
      <c r="AY5645" t="s">
        <v>5274</v>
      </c>
      <c r="AZ5645" t="s">
        <v>5275</v>
      </c>
      <c r="BA5645" t="s">
        <v>3119</v>
      </c>
      <c r="BE5645" s="3">
        <v>41789</v>
      </c>
      <c r="BF5645" s="1">
        <v>238000</v>
      </c>
      <c r="BG5645" t="s">
        <v>34617</v>
      </c>
      <c r="BH5645" s="1">
        <v>154.24</v>
      </c>
      <c r="BI5645" s="1">
        <v>234941</v>
      </c>
      <c r="BJ5645" s="3">
        <v>43033</v>
      </c>
      <c r="BK5645" t="s">
        <v>123</v>
      </c>
      <c r="BL5645" t="str">
        <f>"2017.789163"</f>
        <v>2017.789163</v>
      </c>
      <c r="BM5645" t="s">
        <v>28375</v>
      </c>
      <c r="BN5645">
        <v>92111</v>
      </c>
      <c r="BO5645" t="s">
        <v>34618</v>
      </c>
      <c r="BS5645">
        <v>30</v>
      </c>
      <c r="BW5645" t="str">
        <f>""</f>
        <v/>
      </c>
      <c r="CH5645" t="str">
        <f>""</f>
        <v/>
      </c>
      <c r="CS5645" t="str">
        <f>""</f>
        <v/>
      </c>
    </row>
    <row r="5646" spans="1:97" x14ac:dyDescent="0.25">
      <c r="A5646" t="s">
        <v>34619</v>
      </c>
      <c r="B5646" t="s">
        <v>3265</v>
      </c>
      <c r="C5646" t="s">
        <v>13072</v>
      </c>
      <c r="D5646" t="s">
        <v>3265</v>
      </c>
      <c r="E5646" t="s">
        <v>34620</v>
      </c>
      <c r="F5646" t="s">
        <v>108</v>
      </c>
      <c r="H5646" t="s">
        <v>34621</v>
      </c>
      <c r="I5646" t="s">
        <v>167</v>
      </c>
      <c r="J5646" t="s">
        <v>111</v>
      </c>
      <c r="K5646" t="str">
        <f>"85339"</f>
        <v>85339</v>
      </c>
      <c r="L5646" t="s">
        <v>1789</v>
      </c>
      <c r="M5646" t="s">
        <v>34621</v>
      </c>
      <c r="N5646" t="s">
        <v>167</v>
      </c>
      <c r="O5646" t="s">
        <v>111</v>
      </c>
      <c r="P5646" t="str">
        <f>"85339-5006"</f>
        <v>85339-5006</v>
      </c>
      <c r="Q5646" t="s">
        <v>113</v>
      </c>
      <c r="R5646" t="str">
        <f>"104-83-104"</f>
        <v>104-83-104</v>
      </c>
      <c r="S5646" t="s">
        <v>11935</v>
      </c>
      <c r="U5646">
        <v>2197</v>
      </c>
      <c r="V5646">
        <v>0</v>
      </c>
      <c r="W5646">
        <v>3</v>
      </c>
      <c r="X5646">
        <v>2006</v>
      </c>
      <c r="Z5646">
        <v>1</v>
      </c>
      <c r="AA5646" t="s">
        <v>26</v>
      </c>
      <c r="AB5646">
        <v>0</v>
      </c>
      <c r="AC5646" t="s">
        <v>115</v>
      </c>
      <c r="AD5646">
        <v>3</v>
      </c>
      <c r="AE5646" t="s">
        <v>115</v>
      </c>
      <c r="AF5646">
        <v>0</v>
      </c>
      <c r="AG5646">
        <v>0</v>
      </c>
      <c r="AH5646" t="s">
        <v>116</v>
      </c>
      <c r="AI5646" s="1">
        <v>20324</v>
      </c>
      <c r="AJ5646" s="2">
        <v>0.08</v>
      </c>
      <c r="AK5646" s="1">
        <v>270824</v>
      </c>
      <c r="AL5646" t="s">
        <v>117</v>
      </c>
      <c r="AM5646" t="s">
        <v>171</v>
      </c>
      <c r="AN5646">
        <v>8439</v>
      </c>
      <c r="AO5646">
        <v>0.19</v>
      </c>
      <c r="AR5646">
        <v>1</v>
      </c>
      <c r="AS5646" s="1">
        <v>19800</v>
      </c>
      <c r="AT5646" s="1">
        <v>3960</v>
      </c>
      <c r="AU5646" s="1">
        <v>15840</v>
      </c>
      <c r="AV5646">
        <v>80</v>
      </c>
      <c r="AX5646" s="1">
        <v>2608.12</v>
      </c>
      <c r="AY5646" t="s">
        <v>172</v>
      </c>
      <c r="AZ5646" t="s">
        <v>172</v>
      </c>
      <c r="BA5646" t="s">
        <v>173</v>
      </c>
      <c r="BE5646" s="3">
        <v>42083</v>
      </c>
      <c r="BF5646" s="1">
        <v>194900</v>
      </c>
      <c r="BG5646" t="s">
        <v>34622</v>
      </c>
      <c r="BH5646" s="1">
        <v>88.71</v>
      </c>
      <c r="BI5646" s="1">
        <v>250500</v>
      </c>
      <c r="BJ5646" s="3">
        <v>43593</v>
      </c>
      <c r="BK5646" t="s">
        <v>123</v>
      </c>
      <c r="BL5646" t="str">
        <f>"2019.331799"</f>
        <v>2019.331799</v>
      </c>
      <c r="BM5646" t="s">
        <v>460</v>
      </c>
      <c r="BN5646" t="s">
        <v>461</v>
      </c>
      <c r="BO5646" t="s">
        <v>34623</v>
      </c>
      <c r="BP5646" t="s">
        <v>34624</v>
      </c>
      <c r="BR5646" t="s">
        <v>139</v>
      </c>
      <c r="BW5646" t="str">
        <f>""</f>
        <v/>
      </c>
      <c r="CH5646" t="str">
        <f>""</f>
        <v/>
      </c>
      <c r="CS5646" t="str">
        <f>""</f>
        <v/>
      </c>
    </row>
    <row r="5647" spans="1:97" x14ac:dyDescent="0.25">
      <c r="A5647" t="s">
        <v>1009</v>
      </c>
      <c r="B5647" t="s">
        <v>10785</v>
      </c>
      <c r="C5647" t="s">
        <v>3755</v>
      </c>
      <c r="D5647" t="s">
        <v>10785</v>
      </c>
      <c r="E5647" t="s">
        <v>34625</v>
      </c>
      <c r="F5647" t="s">
        <v>139</v>
      </c>
      <c r="H5647" t="s">
        <v>34626</v>
      </c>
      <c r="I5647" t="s">
        <v>2874</v>
      </c>
      <c r="J5647" t="s">
        <v>111</v>
      </c>
      <c r="K5647" t="str">
        <f>"85308"</f>
        <v>85308</v>
      </c>
      <c r="L5647" t="s">
        <v>6481</v>
      </c>
      <c r="M5647" t="s">
        <v>34626</v>
      </c>
      <c r="N5647" t="s">
        <v>2874</v>
      </c>
      <c r="O5647" t="s">
        <v>111</v>
      </c>
      <c r="P5647" t="str">
        <f>"85308-4615"</f>
        <v>85308-4615</v>
      </c>
      <c r="Q5647" t="s">
        <v>113</v>
      </c>
      <c r="R5647" t="str">
        <f>"206-18-415"</f>
        <v>206-18-415</v>
      </c>
      <c r="S5647" t="s">
        <v>34627</v>
      </c>
      <c r="T5647" t="s">
        <v>34628</v>
      </c>
      <c r="U5647">
        <v>2129</v>
      </c>
      <c r="V5647">
        <v>0</v>
      </c>
      <c r="W5647">
        <v>3</v>
      </c>
      <c r="X5647">
        <v>2004</v>
      </c>
      <c r="Z5647">
        <v>1</v>
      </c>
      <c r="AB5647">
        <v>0</v>
      </c>
      <c r="AC5647" t="s">
        <v>115</v>
      </c>
      <c r="AD5647">
        <v>3</v>
      </c>
      <c r="AE5647" t="s">
        <v>115</v>
      </c>
      <c r="AF5647">
        <v>0</v>
      </c>
      <c r="AG5647">
        <v>0</v>
      </c>
      <c r="AH5647" t="s">
        <v>116</v>
      </c>
      <c r="AI5647" s="1">
        <v>47120</v>
      </c>
      <c r="AJ5647" s="2">
        <v>0.14000000000000001</v>
      </c>
      <c r="AK5647" s="1">
        <v>335183</v>
      </c>
      <c r="AL5647" t="s">
        <v>117</v>
      </c>
      <c r="AM5647" t="s">
        <v>376</v>
      </c>
      <c r="AN5647">
        <v>10200</v>
      </c>
      <c r="AO5647">
        <v>0.23</v>
      </c>
      <c r="AP5647">
        <v>1</v>
      </c>
      <c r="AR5647">
        <v>1</v>
      </c>
      <c r="AS5647" s="1">
        <v>24600</v>
      </c>
      <c r="AT5647" s="1">
        <v>4920</v>
      </c>
      <c r="AU5647" s="1">
        <v>19680</v>
      </c>
      <c r="AV5647">
        <v>80</v>
      </c>
      <c r="AX5647" s="1">
        <v>1931.74</v>
      </c>
      <c r="AY5647" t="s">
        <v>9121</v>
      </c>
      <c r="AZ5647" t="s">
        <v>2357</v>
      </c>
      <c r="BA5647" t="s">
        <v>1462</v>
      </c>
      <c r="BB5647" s="3">
        <v>43251</v>
      </c>
      <c r="BC5647" s="1">
        <v>0</v>
      </c>
      <c r="BD5647" t="s">
        <v>247</v>
      </c>
      <c r="BE5647" s="3">
        <v>42517</v>
      </c>
      <c r="BF5647" s="1">
        <v>282000</v>
      </c>
      <c r="BG5647" t="s">
        <v>34629</v>
      </c>
      <c r="BH5647" s="1">
        <v>132.46</v>
      </c>
      <c r="BI5647" s="1">
        <v>288063</v>
      </c>
      <c r="BJ5647" s="3">
        <v>42517</v>
      </c>
      <c r="BK5647" t="s">
        <v>123</v>
      </c>
      <c r="BL5647" t="str">
        <f>"2016.368856"</f>
        <v>2016.368856</v>
      </c>
      <c r="BM5647" t="s">
        <v>2290</v>
      </c>
      <c r="BN5647" t="s">
        <v>2291</v>
      </c>
      <c r="BO5647" t="s">
        <v>34630</v>
      </c>
      <c r="BP5647" t="s">
        <v>34631</v>
      </c>
      <c r="BS5647">
        <v>30</v>
      </c>
      <c r="BW5647" t="str">
        <f>""</f>
        <v/>
      </c>
      <c r="CH5647" t="str">
        <f>""</f>
        <v/>
      </c>
      <c r="CS5647" t="str">
        <f>""</f>
        <v/>
      </c>
    </row>
    <row r="5648" spans="1:97" x14ac:dyDescent="0.25">
      <c r="A5648" t="s">
        <v>3089</v>
      </c>
      <c r="B5648" t="s">
        <v>9661</v>
      </c>
      <c r="C5648" t="s">
        <v>34632</v>
      </c>
      <c r="D5648" t="s">
        <v>9661</v>
      </c>
      <c r="E5648" t="s">
        <v>34633</v>
      </c>
      <c r="F5648" t="s">
        <v>108</v>
      </c>
      <c r="H5648" t="s">
        <v>34634</v>
      </c>
      <c r="I5648" t="s">
        <v>632</v>
      </c>
      <c r="J5648" t="s">
        <v>111</v>
      </c>
      <c r="K5648" t="str">
        <f>"85388"</f>
        <v>85388</v>
      </c>
      <c r="L5648" t="s">
        <v>5165</v>
      </c>
      <c r="M5648" t="s">
        <v>34634</v>
      </c>
      <c r="N5648" t="s">
        <v>632</v>
      </c>
      <c r="O5648" t="s">
        <v>111</v>
      </c>
      <c r="P5648" t="str">
        <f>"85388-5023"</f>
        <v>85388-5023</v>
      </c>
      <c r="Q5648" t="s">
        <v>113</v>
      </c>
      <c r="R5648" t="str">
        <f>"502-05-116"</f>
        <v>502-05-116</v>
      </c>
      <c r="S5648" t="s">
        <v>5166</v>
      </c>
      <c r="T5648" t="s">
        <v>5167</v>
      </c>
      <c r="U5648">
        <v>2919</v>
      </c>
      <c r="V5648">
        <v>0</v>
      </c>
      <c r="W5648">
        <v>4</v>
      </c>
      <c r="X5648">
        <v>2006</v>
      </c>
      <c r="Z5648">
        <v>2</v>
      </c>
      <c r="AA5648" t="s">
        <v>26</v>
      </c>
      <c r="AB5648">
        <v>0</v>
      </c>
      <c r="AC5648" t="s">
        <v>115</v>
      </c>
      <c r="AD5648">
        <v>3</v>
      </c>
      <c r="AE5648" t="s">
        <v>115</v>
      </c>
      <c r="AF5648">
        <v>0</v>
      </c>
      <c r="AG5648">
        <v>0</v>
      </c>
      <c r="AH5648" t="s">
        <v>116</v>
      </c>
      <c r="AI5648" s="1">
        <v>65176</v>
      </c>
      <c r="AJ5648" s="2">
        <v>0.19</v>
      </c>
      <c r="AK5648" s="1">
        <v>345067</v>
      </c>
      <c r="AL5648" t="s">
        <v>117</v>
      </c>
      <c r="AM5648" t="s">
        <v>118</v>
      </c>
      <c r="AN5648">
        <v>7389</v>
      </c>
      <c r="AO5648">
        <v>0.17</v>
      </c>
      <c r="AP5648">
        <v>1</v>
      </c>
      <c r="AR5648">
        <v>1</v>
      </c>
      <c r="AS5648" s="1">
        <v>24830</v>
      </c>
      <c r="AT5648" s="1">
        <v>4960</v>
      </c>
      <c r="AU5648" s="1">
        <v>19870</v>
      </c>
      <c r="AV5648">
        <v>80.02</v>
      </c>
      <c r="AX5648" s="1">
        <v>2130.36</v>
      </c>
      <c r="AY5648" t="s">
        <v>5168</v>
      </c>
      <c r="AZ5648" t="s">
        <v>5168</v>
      </c>
      <c r="BA5648" t="s">
        <v>5061</v>
      </c>
      <c r="BE5648" s="3">
        <v>42062</v>
      </c>
      <c r="BF5648" s="1">
        <v>274000</v>
      </c>
      <c r="BG5648" t="s">
        <v>34635</v>
      </c>
      <c r="BH5648" s="1">
        <v>93.87</v>
      </c>
      <c r="BI5648" s="1">
        <v>279891</v>
      </c>
      <c r="BJ5648" s="3">
        <v>42062</v>
      </c>
      <c r="BK5648" t="s">
        <v>123</v>
      </c>
      <c r="BL5648" t="str">
        <f>"2015.135091"</f>
        <v>2015.135091</v>
      </c>
      <c r="BM5648" t="s">
        <v>6784</v>
      </c>
      <c r="BO5648" t="s">
        <v>34636</v>
      </c>
      <c r="BS5648">
        <v>30</v>
      </c>
      <c r="BW5648" t="str">
        <f>""</f>
        <v/>
      </c>
      <c r="CH5648" t="str">
        <f>""</f>
        <v/>
      </c>
      <c r="CS5648" t="str">
        <f>""</f>
        <v/>
      </c>
    </row>
    <row r="5649" spans="1:97" x14ac:dyDescent="0.25">
      <c r="B5649" t="s">
        <v>34637</v>
      </c>
      <c r="E5649" t="s">
        <v>34638</v>
      </c>
      <c r="F5649" t="s">
        <v>108</v>
      </c>
      <c r="H5649" t="s">
        <v>34639</v>
      </c>
      <c r="I5649" t="s">
        <v>1936</v>
      </c>
      <c r="J5649" t="s">
        <v>111</v>
      </c>
      <c r="K5649" t="str">
        <f>"85259"</f>
        <v>85259</v>
      </c>
      <c r="L5649" t="s">
        <v>189</v>
      </c>
      <c r="M5649" t="s">
        <v>34639</v>
      </c>
      <c r="N5649" t="s">
        <v>1936</v>
      </c>
      <c r="O5649" t="s">
        <v>111</v>
      </c>
      <c r="P5649" t="str">
        <f>"85259-4157"</f>
        <v>85259-4157</v>
      </c>
      <c r="Q5649" t="s">
        <v>113</v>
      </c>
      <c r="R5649" t="str">
        <f>"217-28-917"</f>
        <v>217-28-917</v>
      </c>
      <c r="S5649" t="s">
        <v>8768</v>
      </c>
      <c r="T5649" t="s">
        <v>8768</v>
      </c>
      <c r="U5649">
        <v>2760</v>
      </c>
      <c r="V5649">
        <v>0</v>
      </c>
      <c r="W5649">
        <v>5</v>
      </c>
      <c r="X5649">
        <v>1999</v>
      </c>
      <c r="Z5649">
        <v>1</v>
      </c>
      <c r="AA5649" t="s">
        <v>26</v>
      </c>
      <c r="AB5649">
        <v>0</v>
      </c>
      <c r="AC5649" t="s">
        <v>115</v>
      </c>
      <c r="AD5649">
        <v>3</v>
      </c>
      <c r="AE5649" t="s">
        <v>115</v>
      </c>
      <c r="AF5649">
        <v>0</v>
      </c>
      <c r="AG5649">
        <v>0</v>
      </c>
      <c r="AH5649" t="s">
        <v>116</v>
      </c>
      <c r="AI5649" s="1">
        <v>124256</v>
      </c>
      <c r="AJ5649" s="2">
        <v>0.18</v>
      </c>
      <c r="AK5649" s="1">
        <v>686955</v>
      </c>
      <c r="AL5649" t="s">
        <v>117</v>
      </c>
      <c r="AM5649" t="s">
        <v>616</v>
      </c>
      <c r="AN5649">
        <v>9720</v>
      </c>
      <c r="AO5649">
        <v>0.22</v>
      </c>
      <c r="AP5649">
        <v>1</v>
      </c>
      <c r="AR5649">
        <v>1</v>
      </c>
      <c r="AS5649" s="1">
        <v>52710</v>
      </c>
      <c r="AT5649" s="1">
        <v>10540</v>
      </c>
      <c r="AU5649" s="1">
        <v>42170</v>
      </c>
      <c r="AV5649">
        <v>80</v>
      </c>
      <c r="AX5649" s="1">
        <v>3821.56</v>
      </c>
      <c r="AY5649" t="s">
        <v>6534</v>
      </c>
      <c r="AZ5649" t="s">
        <v>5762</v>
      </c>
      <c r="BA5649" t="s">
        <v>5763</v>
      </c>
      <c r="BB5649" s="3">
        <v>42486</v>
      </c>
      <c r="BD5649" t="s">
        <v>458</v>
      </c>
      <c r="BE5649" s="3">
        <v>41997</v>
      </c>
      <c r="BF5649" s="1">
        <v>600000</v>
      </c>
      <c r="BG5649" t="s">
        <v>34640</v>
      </c>
      <c r="BH5649" s="1">
        <v>217.39</v>
      </c>
      <c r="BI5649" s="1">
        <v>562699</v>
      </c>
      <c r="BJ5649" s="3">
        <v>42486</v>
      </c>
      <c r="BK5649" t="s">
        <v>123</v>
      </c>
      <c r="BL5649" t="str">
        <f>"2016.276658"</f>
        <v>2016.276658</v>
      </c>
      <c r="BM5649" t="s">
        <v>492</v>
      </c>
      <c r="BO5649" t="s">
        <v>34641</v>
      </c>
      <c r="BS5649">
        <v>30</v>
      </c>
      <c r="BW5649" t="str">
        <f>""</f>
        <v/>
      </c>
      <c r="CH5649" t="str">
        <f>""</f>
        <v/>
      </c>
      <c r="CS5649" t="str">
        <f>""</f>
        <v/>
      </c>
    </row>
    <row r="5650" spans="1:97" x14ac:dyDescent="0.25">
      <c r="A5650" t="s">
        <v>370</v>
      </c>
      <c r="B5650" t="s">
        <v>34642</v>
      </c>
      <c r="C5650" t="s">
        <v>34643</v>
      </c>
      <c r="D5650" t="s">
        <v>34642</v>
      </c>
      <c r="E5650" t="s">
        <v>34644</v>
      </c>
      <c r="F5650" t="s">
        <v>108</v>
      </c>
      <c r="H5650" t="s">
        <v>34645</v>
      </c>
      <c r="I5650" t="s">
        <v>167</v>
      </c>
      <c r="J5650" t="s">
        <v>111</v>
      </c>
      <c r="K5650" t="str">
        <f>"85339"</f>
        <v>85339</v>
      </c>
      <c r="L5650" t="s">
        <v>316</v>
      </c>
      <c r="M5650" t="s">
        <v>34645</v>
      </c>
      <c r="N5650" t="s">
        <v>167</v>
      </c>
      <c r="O5650" t="s">
        <v>111</v>
      </c>
      <c r="P5650" t="str">
        <f>"85339-2998"</f>
        <v>85339-2998</v>
      </c>
      <c r="Q5650" t="s">
        <v>113</v>
      </c>
      <c r="R5650" t="str">
        <f>"104-79-060"</f>
        <v>104-79-060</v>
      </c>
      <c r="S5650" t="s">
        <v>23673</v>
      </c>
      <c r="T5650" t="s">
        <v>23673</v>
      </c>
      <c r="U5650">
        <v>3060</v>
      </c>
      <c r="V5650">
        <v>0</v>
      </c>
      <c r="W5650">
        <v>4</v>
      </c>
      <c r="X5650">
        <v>2006</v>
      </c>
      <c r="Z5650">
        <v>2</v>
      </c>
      <c r="AA5650" t="s">
        <v>26</v>
      </c>
      <c r="AB5650">
        <v>0</v>
      </c>
      <c r="AC5650" t="s">
        <v>115</v>
      </c>
      <c r="AD5650">
        <v>2</v>
      </c>
      <c r="AE5650" t="s">
        <v>115</v>
      </c>
      <c r="AF5650">
        <v>0</v>
      </c>
      <c r="AG5650">
        <v>0</v>
      </c>
      <c r="AH5650" t="s">
        <v>116</v>
      </c>
      <c r="AI5650" s="1">
        <v>84736</v>
      </c>
      <c r="AJ5650" s="2">
        <v>0.27</v>
      </c>
      <c r="AK5650" s="1">
        <v>309986</v>
      </c>
      <c r="AL5650" t="s">
        <v>117</v>
      </c>
      <c r="AM5650" t="s">
        <v>171</v>
      </c>
      <c r="AN5650">
        <v>7200</v>
      </c>
      <c r="AO5650">
        <v>0.16</v>
      </c>
      <c r="AR5650">
        <v>1</v>
      </c>
      <c r="AS5650" s="1">
        <v>21900</v>
      </c>
      <c r="AT5650" s="1">
        <v>4380</v>
      </c>
      <c r="AU5650" s="1">
        <v>17520</v>
      </c>
      <c r="AV5650">
        <v>80</v>
      </c>
      <c r="AX5650" s="1">
        <v>2615.3200000000002</v>
      </c>
      <c r="AY5650" t="s">
        <v>805</v>
      </c>
      <c r="AZ5650" t="s">
        <v>806</v>
      </c>
      <c r="BA5650" t="s">
        <v>173</v>
      </c>
      <c r="BE5650" s="3">
        <v>42306</v>
      </c>
      <c r="BF5650" s="1">
        <v>222500</v>
      </c>
      <c r="BG5650" t="s">
        <v>34646</v>
      </c>
      <c r="BH5650" s="1">
        <v>72.709999999999994</v>
      </c>
      <c r="BI5650" s="1">
        <v>225250</v>
      </c>
      <c r="BJ5650" s="3">
        <v>42615</v>
      </c>
      <c r="BK5650" t="s">
        <v>123</v>
      </c>
      <c r="BL5650" t="str">
        <f>"2016.641101"</f>
        <v>2016.641101</v>
      </c>
      <c r="BM5650" t="s">
        <v>1038</v>
      </c>
      <c r="BO5650" t="s">
        <v>34647</v>
      </c>
      <c r="BS5650">
        <v>30</v>
      </c>
      <c r="BW5650" t="str">
        <f>""</f>
        <v/>
      </c>
      <c r="CH5650" t="str">
        <f>""</f>
        <v/>
      </c>
      <c r="CS5650" t="str">
        <f>""</f>
        <v/>
      </c>
    </row>
    <row r="5651" spans="1:97" x14ac:dyDescent="0.25">
      <c r="A5651" t="s">
        <v>305</v>
      </c>
      <c r="B5651" t="s">
        <v>2433</v>
      </c>
      <c r="C5651" t="s">
        <v>3682</v>
      </c>
      <c r="D5651" t="s">
        <v>2433</v>
      </c>
      <c r="E5651" t="s">
        <v>34648</v>
      </c>
      <c r="F5651" t="s">
        <v>108</v>
      </c>
      <c r="H5651" t="s">
        <v>34649</v>
      </c>
      <c r="I5651" t="s">
        <v>1936</v>
      </c>
      <c r="J5651" t="s">
        <v>111</v>
      </c>
      <c r="K5651" t="str">
        <f>"85260"</f>
        <v>85260</v>
      </c>
      <c r="L5651" t="s">
        <v>10238</v>
      </c>
      <c r="M5651" t="s">
        <v>34649</v>
      </c>
      <c r="N5651" t="s">
        <v>1936</v>
      </c>
      <c r="O5651" t="s">
        <v>111</v>
      </c>
      <c r="P5651" t="str">
        <f>"85260-4731"</f>
        <v>85260-4731</v>
      </c>
      <c r="Q5651" t="s">
        <v>113</v>
      </c>
      <c r="R5651" t="str">
        <f>"175-09-234"</f>
        <v>175-09-234</v>
      </c>
      <c r="S5651" t="s">
        <v>34650</v>
      </c>
      <c r="T5651" t="s">
        <v>10240</v>
      </c>
      <c r="U5651">
        <v>2532</v>
      </c>
      <c r="V5651">
        <v>0</v>
      </c>
      <c r="W5651">
        <v>3</v>
      </c>
      <c r="X5651">
        <v>1983</v>
      </c>
      <c r="Z5651">
        <v>1</v>
      </c>
      <c r="AA5651" t="s">
        <v>26</v>
      </c>
      <c r="AB5651">
        <v>0</v>
      </c>
      <c r="AC5651" t="s">
        <v>115</v>
      </c>
      <c r="AD5651">
        <v>2</v>
      </c>
      <c r="AE5651" t="s">
        <v>115</v>
      </c>
      <c r="AF5651">
        <v>0</v>
      </c>
      <c r="AG5651">
        <v>0</v>
      </c>
      <c r="AH5651" t="s">
        <v>116</v>
      </c>
      <c r="AI5651" s="1">
        <v>150264</v>
      </c>
      <c r="AJ5651" s="2">
        <v>0.24</v>
      </c>
      <c r="AK5651" s="1">
        <v>621047</v>
      </c>
      <c r="AL5651" t="s">
        <v>117</v>
      </c>
      <c r="AM5651" t="s">
        <v>1302</v>
      </c>
      <c r="AN5651">
        <v>12606</v>
      </c>
      <c r="AO5651">
        <v>0.28999999999999998</v>
      </c>
      <c r="AP5651">
        <v>1</v>
      </c>
      <c r="AR5651">
        <v>1</v>
      </c>
      <c r="AS5651" s="1">
        <v>45970</v>
      </c>
      <c r="AT5651" s="1">
        <v>9190</v>
      </c>
      <c r="AU5651" s="1">
        <v>36780</v>
      </c>
      <c r="AV5651">
        <v>80.010000000000005</v>
      </c>
      <c r="AX5651" s="1">
        <v>3961.96</v>
      </c>
      <c r="AY5651" t="s">
        <v>8787</v>
      </c>
      <c r="AZ5651" t="s">
        <v>7739</v>
      </c>
      <c r="BA5651" t="s">
        <v>6302</v>
      </c>
      <c r="BE5651" s="3">
        <v>42321</v>
      </c>
      <c r="BF5651" s="1">
        <v>475500</v>
      </c>
      <c r="BG5651" t="s">
        <v>34651</v>
      </c>
      <c r="BH5651" s="1">
        <v>187.8</v>
      </c>
      <c r="BI5651" s="1">
        <v>470783</v>
      </c>
      <c r="BJ5651" s="3">
        <v>42321</v>
      </c>
      <c r="BK5651" t="s">
        <v>123</v>
      </c>
      <c r="BL5651" t="str">
        <f>"2015.815087"</f>
        <v>2015.815087</v>
      </c>
      <c r="BM5651" t="s">
        <v>135</v>
      </c>
      <c r="BO5651" t="s">
        <v>34652</v>
      </c>
      <c r="BS5651">
        <v>30</v>
      </c>
      <c r="BW5651" t="str">
        <f>""</f>
        <v/>
      </c>
      <c r="CH5651" t="str">
        <f>""</f>
        <v/>
      </c>
      <c r="CS5651" t="str">
        <f>""</f>
        <v/>
      </c>
    </row>
    <row r="5652" spans="1:97" x14ac:dyDescent="0.25">
      <c r="A5652" t="s">
        <v>894</v>
      </c>
      <c r="B5652" t="s">
        <v>34653</v>
      </c>
      <c r="C5652" t="s">
        <v>482</v>
      </c>
      <c r="D5652" t="s">
        <v>34654</v>
      </c>
      <c r="E5652" t="s">
        <v>34655</v>
      </c>
      <c r="F5652" t="s">
        <v>108</v>
      </c>
      <c r="H5652" t="s">
        <v>34656</v>
      </c>
      <c r="I5652" t="s">
        <v>390</v>
      </c>
      <c r="J5652" t="s">
        <v>111</v>
      </c>
      <c r="K5652" t="str">
        <f>"85021"</f>
        <v>85021</v>
      </c>
      <c r="L5652" t="s">
        <v>6902</v>
      </c>
      <c r="M5652" t="s">
        <v>34656</v>
      </c>
      <c r="N5652" t="s">
        <v>390</v>
      </c>
      <c r="O5652" t="s">
        <v>111</v>
      </c>
      <c r="P5652" t="str">
        <f>"85021-8544"</f>
        <v>85021-8544</v>
      </c>
      <c r="Q5652" t="s">
        <v>113</v>
      </c>
      <c r="R5652" t="str">
        <f>"157-14-029-A"</f>
        <v>157-14-029-A</v>
      </c>
      <c r="S5652" t="s">
        <v>34657</v>
      </c>
      <c r="T5652" t="s">
        <v>34657</v>
      </c>
      <c r="U5652">
        <v>1557</v>
      </c>
      <c r="V5652">
        <v>0</v>
      </c>
      <c r="W5652">
        <v>2</v>
      </c>
      <c r="X5652">
        <v>1972</v>
      </c>
      <c r="Z5652">
        <v>1</v>
      </c>
      <c r="AB5652">
        <v>0</v>
      </c>
      <c r="AC5652" t="s">
        <v>115</v>
      </c>
      <c r="AD5652">
        <v>2</v>
      </c>
      <c r="AE5652" t="s">
        <v>115</v>
      </c>
      <c r="AF5652">
        <v>0</v>
      </c>
      <c r="AG5652">
        <v>0</v>
      </c>
      <c r="AH5652" t="s">
        <v>116</v>
      </c>
      <c r="AI5652" s="1">
        <v>60934</v>
      </c>
      <c r="AJ5652" s="2">
        <v>0.2</v>
      </c>
      <c r="AK5652" s="1">
        <v>297478</v>
      </c>
      <c r="AL5652" t="s">
        <v>117</v>
      </c>
      <c r="AM5652" t="s">
        <v>191</v>
      </c>
      <c r="AN5652">
        <v>7161</v>
      </c>
      <c r="AO5652">
        <v>0.16</v>
      </c>
      <c r="AP5652">
        <v>1</v>
      </c>
      <c r="AR5652">
        <v>1</v>
      </c>
      <c r="AS5652" s="1">
        <v>19880</v>
      </c>
      <c r="AT5652" s="1">
        <v>3970</v>
      </c>
      <c r="AU5652" s="1">
        <v>15910</v>
      </c>
      <c r="AV5652">
        <v>80.03</v>
      </c>
      <c r="AX5652" s="1">
        <v>2131.2600000000002</v>
      </c>
      <c r="AY5652" t="s">
        <v>18520</v>
      </c>
      <c r="AZ5652" t="s">
        <v>18520</v>
      </c>
      <c r="BA5652" t="s">
        <v>1304</v>
      </c>
      <c r="BE5652" s="3">
        <v>42382</v>
      </c>
      <c r="BF5652" s="1">
        <v>231000</v>
      </c>
      <c r="BG5652" t="s">
        <v>34658</v>
      </c>
      <c r="BH5652" s="1">
        <v>147.97999999999999</v>
      </c>
      <c r="BI5652" s="1">
        <v>236544</v>
      </c>
      <c r="BJ5652" s="3">
        <v>42382</v>
      </c>
      <c r="BK5652" t="s">
        <v>123</v>
      </c>
      <c r="BL5652" t="str">
        <f>"2016.23124"</f>
        <v>2016.23124</v>
      </c>
      <c r="BM5652" t="s">
        <v>1154</v>
      </c>
      <c r="BO5652" t="s">
        <v>34659</v>
      </c>
      <c r="BP5652" t="s">
        <v>34660</v>
      </c>
      <c r="BS5652">
        <v>30</v>
      </c>
      <c r="BW5652" t="str">
        <f>""</f>
        <v/>
      </c>
      <c r="CH5652" t="str">
        <f>""</f>
        <v/>
      </c>
      <c r="CS5652" t="str">
        <f>""</f>
        <v/>
      </c>
    </row>
    <row r="5653" spans="1:97" x14ac:dyDescent="0.25">
      <c r="A5653" t="s">
        <v>4569</v>
      </c>
      <c r="B5653" t="s">
        <v>7743</v>
      </c>
      <c r="C5653" t="s">
        <v>259</v>
      </c>
      <c r="D5653" t="s">
        <v>1839</v>
      </c>
      <c r="E5653" t="s">
        <v>34661</v>
      </c>
      <c r="F5653" t="s">
        <v>108</v>
      </c>
      <c r="H5653" t="s">
        <v>34662</v>
      </c>
      <c r="I5653" t="s">
        <v>1788</v>
      </c>
      <c r="J5653" t="s">
        <v>111</v>
      </c>
      <c r="K5653" t="str">
        <f>"85355"</f>
        <v>85355</v>
      </c>
      <c r="L5653" t="s">
        <v>168</v>
      </c>
      <c r="M5653" t="s">
        <v>34662</v>
      </c>
      <c r="N5653" t="s">
        <v>1788</v>
      </c>
      <c r="O5653" t="s">
        <v>111</v>
      </c>
      <c r="P5653" t="str">
        <f>"85355-4469"</f>
        <v>85355-4469</v>
      </c>
      <c r="Q5653" t="s">
        <v>113</v>
      </c>
      <c r="R5653" t="str">
        <f>"502-90-271"</f>
        <v>502-90-271</v>
      </c>
      <c r="S5653" t="s">
        <v>8290</v>
      </c>
      <c r="U5653">
        <v>2023</v>
      </c>
      <c r="V5653">
        <v>0</v>
      </c>
      <c r="W5653">
        <v>3</v>
      </c>
      <c r="X5653">
        <v>2014</v>
      </c>
      <c r="Z5653">
        <v>1</v>
      </c>
      <c r="AB5653">
        <v>0</v>
      </c>
      <c r="AC5653" t="s">
        <v>115</v>
      </c>
      <c r="AD5653">
        <v>2</v>
      </c>
      <c r="AE5653" t="s">
        <v>115</v>
      </c>
      <c r="AF5653">
        <v>0</v>
      </c>
      <c r="AG5653">
        <v>0</v>
      </c>
      <c r="AH5653" t="s">
        <v>116</v>
      </c>
      <c r="AI5653" s="1">
        <v>66613</v>
      </c>
      <c r="AJ5653" s="2">
        <v>0.24</v>
      </c>
      <c r="AK5653" s="1">
        <v>278237</v>
      </c>
      <c r="AL5653" t="s">
        <v>117</v>
      </c>
      <c r="AM5653" t="s">
        <v>191</v>
      </c>
      <c r="AN5653">
        <v>6306</v>
      </c>
      <c r="AO5653">
        <v>0.14000000000000001</v>
      </c>
      <c r="AR5653">
        <v>1</v>
      </c>
      <c r="AS5653" s="1">
        <v>20110</v>
      </c>
      <c r="AT5653" s="1">
        <v>4020</v>
      </c>
      <c r="AU5653" s="1">
        <v>16090</v>
      </c>
      <c r="AV5653">
        <v>80.010000000000005</v>
      </c>
      <c r="AX5653" s="1">
        <v>1599.7</v>
      </c>
      <c r="AY5653" t="s">
        <v>5972</v>
      </c>
      <c r="AZ5653" t="s">
        <v>5972</v>
      </c>
      <c r="BA5653" t="s">
        <v>5061</v>
      </c>
      <c r="BE5653" s="3">
        <v>42068</v>
      </c>
      <c r="BF5653" s="1">
        <v>204864</v>
      </c>
      <c r="BG5653" t="s">
        <v>2780</v>
      </c>
      <c r="BH5653" s="1">
        <v>101.27</v>
      </c>
      <c r="BI5653" s="1">
        <v>211624</v>
      </c>
      <c r="BJ5653" s="3">
        <v>42068</v>
      </c>
      <c r="BK5653" t="s">
        <v>123</v>
      </c>
      <c r="BL5653" t="str">
        <f>"2015.147594"</f>
        <v>2015.147594</v>
      </c>
      <c r="BM5653" t="s">
        <v>175</v>
      </c>
      <c r="BO5653" t="s">
        <v>34663</v>
      </c>
      <c r="BS5653">
        <v>30</v>
      </c>
      <c r="BW5653" t="str">
        <f>""</f>
        <v/>
      </c>
      <c r="CH5653" t="str">
        <f>""</f>
        <v/>
      </c>
      <c r="CS5653" t="str">
        <f>""</f>
        <v/>
      </c>
    </row>
    <row r="5654" spans="1:97" x14ac:dyDescent="0.25">
      <c r="A5654" t="s">
        <v>34664</v>
      </c>
      <c r="B5654" t="s">
        <v>34665</v>
      </c>
      <c r="C5654" t="s">
        <v>259</v>
      </c>
      <c r="D5654" t="s">
        <v>34665</v>
      </c>
      <c r="E5654" t="s">
        <v>34666</v>
      </c>
      <c r="F5654" t="s">
        <v>108</v>
      </c>
      <c r="H5654" t="s">
        <v>34667</v>
      </c>
      <c r="I5654" t="s">
        <v>499</v>
      </c>
      <c r="J5654" t="s">
        <v>111</v>
      </c>
      <c r="K5654" t="str">
        <f>"85338"</f>
        <v>85338</v>
      </c>
      <c r="L5654" t="s">
        <v>11175</v>
      </c>
      <c r="M5654" t="s">
        <v>34667</v>
      </c>
      <c r="N5654" t="s">
        <v>499</v>
      </c>
      <c r="O5654" t="s">
        <v>111</v>
      </c>
      <c r="P5654" t="str">
        <f>"85338-9442"</f>
        <v>85338-9442</v>
      </c>
      <c r="Q5654" t="s">
        <v>113</v>
      </c>
      <c r="R5654" t="str">
        <f>"500-07-714"</f>
        <v>500-07-714</v>
      </c>
      <c r="S5654" t="s">
        <v>11176</v>
      </c>
      <c r="T5654" t="s">
        <v>11176</v>
      </c>
      <c r="U5654">
        <v>1989</v>
      </c>
      <c r="V5654">
        <v>0</v>
      </c>
      <c r="W5654">
        <v>3</v>
      </c>
      <c r="X5654">
        <v>2007</v>
      </c>
      <c r="Z5654">
        <v>1</v>
      </c>
      <c r="AB5654">
        <v>0</v>
      </c>
      <c r="AC5654" t="s">
        <v>115</v>
      </c>
      <c r="AD5654">
        <v>2</v>
      </c>
      <c r="AE5654" t="s">
        <v>115</v>
      </c>
      <c r="AF5654">
        <v>0</v>
      </c>
      <c r="AG5654">
        <v>0</v>
      </c>
      <c r="AH5654" t="s">
        <v>116</v>
      </c>
      <c r="AI5654" s="1">
        <v>20446</v>
      </c>
      <c r="AJ5654" s="2">
        <v>0.08</v>
      </c>
      <c r="AK5654" s="1">
        <v>265446</v>
      </c>
      <c r="AL5654" t="s">
        <v>117</v>
      </c>
      <c r="AM5654" t="s">
        <v>118</v>
      </c>
      <c r="AN5654">
        <v>6900</v>
      </c>
      <c r="AO5654">
        <v>0.16</v>
      </c>
      <c r="AR5654">
        <v>1</v>
      </c>
      <c r="AS5654" s="1">
        <v>18270</v>
      </c>
      <c r="AT5654" s="1">
        <v>3650</v>
      </c>
      <c r="AU5654" s="1">
        <v>14620</v>
      </c>
      <c r="AV5654">
        <v>80.02</v>
      </c>
      <c r="AX5654" s="1">
        <v>1769.64</v>
      </c>
      <c r="AY5654" t="s">
        <v>11177</v>
      </c>
      <c r="AZ5654" t="s">
        <v>11177</v>
      </c>
      <c r="BA5654" t="s">
        <v>7186</v>
      </c>
      <c r="BE5654" s="3">
        <v>42516</v>
      </c>
      <c r="BF5654" s="1">
        <v>225000</v>
      </c>
      <c r="BG5654" t="s">
        <v>34668</v>
      </c>
      <c r="BH5654" s="1">
        <v>113.12</v>
      </c>
      <c r="BI5654" s="1">
        <v>245000</v>
      </c>
      <c r="BJ5654" s="3">
        <v>43584</v>
      </c>
      <c r="BK5654" t="s">
        <v>123</v>
      </c>
      <c r="BL5654" t="str">
        <f>"2019.305203"</f>
        <v>2019.305203</v>
      </c>
      <c r="BM5654" t="s">
        <v>248</v>
      </c>
      <c r="BN5654" t="s">
        <v>249</v>
      </c>
      <c r="BO5654" t="s">
        <v>34669</v>
      </c>
      <c r="BP5654" t="s">
        <v>34670</v>
      </c>
      <c r="BR5654" t="s">
        <v>139</v>
      </c>
      <c r="BW5654" t="str">
        <f>""</f>
        <v/>
      </c>
      <c r="CH5654" t="str">
        <f>""</f>
        <v/>
      </c>
      <c r="CS5654" t="str">
        <f>""</f>
        <v/>
      </c>
    </row>
    <row r="5655" spans="1:97" x14ac:dyDescent="0.25">
      <c r="A5655" t="s">
        <v>34671</v>
      </c>
      <c r="B5655" t="s">
        <v>4141</v>
      </c>
      <c r="C5655" t="s">
        <v>34672</v>
      </c>
      <c r="D5655" t="s">
        <v>4141</v>
      </c>
      <c r="E5655" t="s">
        <v>34673</v>
      </c>
      <c r="F5655" t="s">
        <v>108</v>
      </c>
      <c r="H5655" t="s">
        <v>34674</v>
      </c>
      <c r="I5655" t="s">
        <v>225</v>
      </c>
      <c r="J5655" t="s">
        <v>111</v>
      </c>
      <c r="K5655" t="str">
        <f>"85209"</f>
        <v>85209</v>
      </c>
      <c r="L5655" t="s">
        <v>6316</v>
      </c>
      <c r="M5655" t="s">
        <v>34674</v>
      </c>
      <c r="N5655" t="s">
        <v>225</v>
      </c>
      <c r="O5655" t="s">
        <v>111</v>
      </c>
      <c r="P5655" t="str">
        <f>"85209-2233"</f>
        <v>85209-2233</v>
      </c>
      <c r="Q5655" t="s">
        <v>113</v>
      </c>
      <c r="R5655" t="str">
        <f>"312-01-646"</f>
        <v>312-01-646</v>
      </c>
      <c r="S5655" t="s">
        <v>25143</v>
      </c>
      <c r="U5655">
        <v>2794</v>
      </c>
      <c r="V5655">
        <v>0</v>
      </c>
      <c r="W5655">
        <v>3</v>
      </c>
      <c r="X5655">
        <v>2001</v>
      </c>
      <c r="Z5655">
        <v>2</v>
      </c>
      <c r="AA5655" t="s">
        <v>26</v>
      </c>
      <c r="AB5655">
        <v>0</v>
      </c>
      <c r="AC5655" t="s">
        <v>115</v>
      </c>
      <c r="AD5655">
        <v>3</v>
      </c>
      <c r="AE5655" t="s">
        <v>115</v>
      </c>
      <c r="AF5655">
        <v>0</v>
      </c>
      <c r="AG5655">
        <v>0</v>
      </c>
      <c r="AH5655" t="s">
        <v>116</v>
      </c>
      <c r="AI5655" s="1">
        <v>40823</v>
      </c>
      <c r="AJ5655" s="2">
        <v>0.11</v>
      </c>
      <c r="AK5655" s="1">
        <v>385900</v>
      </c>
      <c r="AL5655" t="s">
        <v>117</v>
      </c>
      <c r="AM5655" t="s">
        <v>191</v>
      </c>
      <c r="AN5655">
        <v>7098</v>
      </c>
      <c r="AO5655">
        <v>0.16</v>
      </c>
      <c r="AP5655">
        <v>1</v>
      </c>
      <c r="AR5655">
        <v>1</v>
      </c>
      <c r="AS5655" s="1">
        <v>27360</v>
      </c>
      <c r="AT5655" s="1">
        <v>5470</v>
      </c>
      <c r="AU5655" s="1">
        <v>21890</v>
      </c>
      <c r="AV5655">
        <v>80.010000000000005</v>
      </c>
      <c r="AX5655" s="1">
        <v>2136.38</v>
      </c>
      <c r="AY5655" t="s">
        <v>4370</v>
      </c>
      <c r="AZ5655" t="s">
        <v>777</v>
      </c>
      <c r="BA5655" t="s">
        <v>572</v>
      </c>
      <c r="BE5655" s="3">
        <v>41936</v>
      </c>
      <c r="BF5655" s="1">
        <v>298500</v>
      </c>
      <c r="BG5655" t="s">
        <v>34675</v>
      </c>
      <c r="BH5655" s="1">
        <v>106.84</v>
      </c>
      <c r="BI5655" s="1">
        <v>303077</v>
      </c>
      <c r="BJ5655" s="3">
        <v>42675</v>
      </c>
      <c r="BK5655" t="s">
        <v>123</v>
      </c>
      <c r="BL5655" t="str">
        <f>"2016.803338"</f>
        <v>2016.803338</v>
      </c>
      <c r="BM5655" t="s">
        <v>361</v>
      </c>
      <c r="BN5655" t="s">
        <v>884</v>
      </c>
      <c r="BO5655" t="s">
        <v>34676</v>
      </c>
      <c r="BS5655">
        <v>30</v>
      </c>
      <c r="BT5655" s="1">
        <v>42000</v>
      </c>
      <c r="BU5655" s="3">
        <v>43461</v>
      </c>
      <c r="BW5655" t="str">
        <f>"2018.943878"</f>
        <v>2018.943878</v>
      </c>
      <c r="BX5655" t="s">
        <v>383</v>
      </c>
      <c r="BY5655" t="s">
        <v>384</v>
      </c>
      <c r="BZ5655" t="s">
        <v>34677</v>
      </c>
      <c r="CA5655" t="s">
        <v>34678</v>
      </c>
      <c r="CC5655" t="s">
        <v>346</v>
      </c>
      <c r="CH5655" t="str">
        <f>""</f>
        <v/>
      </c>
      <c r="CS5655" t="str">
        <f>""</f>
        <v/>
      </c>
    </row>
    <row r="5656" spans="1:97" x14ac:dyDescent="0.25">
      <c r="A5656" t="s">
        <v>265</v>
      </c>
      <c r="B5656" t="s">
        <v>34679</v>
      </c>
      <c r="C5656" t="s">
        <v>34680</v>
      </c>
      <c r="D5656" t="s">
        <v>34679</v>
      </c>
      <c r="E5656" t="s">
        <v>34681</v>
      </c>
      <c r="F5656" t="s">
        <v>108</v>
      </c>
      <c r="H5656" t="s">
        <v>34682</v>
      </c>
      <c r="I5656" t="s">
        <v>3150</v>
      </c>
      <c r="J5656" t="s">
        <v>111</v>
      </c>
      <c r="K5656" t="str">
        <f>"85340"</f>
        <v>85340</v>
      </c>
      <c r="L5656" t="s">
        <v>5239</v>
      </c>
      <c r="M5656" t="s">
        <v>34682</v>
      </c>
      <c r="N5656" t="s">
        <v>3150</v>
      </c>
      <c r="O5656" t="s">
        <v>111</v>
      </c>
      <c r="P5656" t="str">
        <f>"85340-9342"</f>
        <v>85340-9342</v>
      </c>
      <c r="Q5656" t="s">
        <v>113</v>
      </c>
      <c r="R5656" t="str">
        <f>"501-56-433"</f>
        <v>501-56-433</v>
      </c>
      <c r="S5656" t="s">
        <v>7397</v>
      </c>
      <c r="T5656" t="s">
        <v>7397</v>
      </c>
      <c r="U5656">
        <v>4001</v>
      </c>
      <c r="V5656">
        <v>0</v>
      </c>
      <c r="W5656">
        <v>6</v>
      </c>
      <c r="X5656">
        <v>2014</v>
      </c>
      <c r="Z5656">
        <v>1</v>
      </c>
      <c r="AB5656">
        <v>0</v>
      </c>
      <c r="AC5656" t="s">
        <v>115</v>
      </c>
      <c r="AD5656">
        <v>3</v>
      </c>
      <c r="AE5656" t="s">
        <v>115</v>
      </c>
      <c r="AF5656">
        <v>0</v>
      </c>
      <c r="AG5656">
        <v>0</v>
      </c>
      <c r="AH5656" t="s">
        <v>116</v>
      </c>
      <c r="AI5656" s="1">
        <v>125366</v>
      </c>
      <c r="AJ5656" s="2">
        <v>0.22</v>
      </c>
      <c r="AK5656" s="1">
        <v>569496</v>
      </c>
      <c r="AL5656" t="s">
        <v>117</v>
      </c>
      <c r="AM5656" t="s">
        <v>376</v>
      </c>
      <c r="AN5656">
        <v>32802</v>
      </c>
      <c r="AO5656">
        <v>0.75</v>
      </c>
      <c r="AR5656">
        <v>1</v>
      </c>
      <c r="AS5656" s="1">
        <v>44910</v>
      </c>
      <c r="AT5656" s="1">
        <v>8980</v>
      </c>
      <c r="AU5656" s="1">
        <v>35930</v>
      </c>
      <c r="AV5656">
        <v>80</v>
      </c>
      <c r="AX5656" s="1">
        <v>3671.34</v>
      </c>
      <c r="AY5656" t="s">
        <v>5241</v>
      </c>
      <c r="AZ5656" t="s">
        <v>3153</v>
      </c>
      <c r="BA5656" t="s">
        <v>3154</v>
      </c>
      <c r="BE5656" s="3">
        <v>41996</v>
      </c>
      <c r="BF5656" s="1">
        <v>410331</v>
      </c>
      <c r="BG5656" t="s">
        <v>158</v>
      </c>
      <c r="BH5656" s="1">
        <v>102.56</v>
      </c>
      <c r="BI5656" s="1">
        <v>444130</v>
      </c>
      <c r="BJ5656" s="3">
        <v>42748</v>
      </c>
      <c r="BK5656" t="s">
        <v>123</v>
      </c>
      <c r="BL5656" t="str">
        <f>"2017.28388"</f>
        <v>2017.28388</v>
      </c>
      <c r="BM5656" t="s">
        <v>1695</v>
      </c>
      <c r="BO5656" t="s">
        <v>34683</v>
      </c>
      <c r="BS5656">
        <v>30</v>
      </c>
      <c r="BW5656" t="str">
        <f>""</f>
        <v/>
      </c>
      <c r="CH5656" t="str">
        <f>""</f>
        <v/>
      </c>
      <c r="CS5656" t="str">
        <f>""</f>
        <v/>
      </c>
    </row>
    <row r="5657" spans="1:97" x14ac:dyDescent="0.25">
      <c r="A5657" t="s">
        <v>34684</v>
      </c>
      <c r="B5657" t="s">
        <v>34685</v>
      </c>
      <c r="C5657" t="s">
        <v>34686</v>
      </c>
      <c r="D5657" t="s">
        <v>34685</v>
      </c>
      <c r="E5657" t="s">
        <v>34687</v>
      </c>
      <c r="F5657" t="s">
        <v>108</v>
      </c>
      <c r="H5657" t="s">
        <v>34688</v>
      </c>
      <c r="I5657" t="s">
        <v>5636</v>
      </c>
      <c r="J5657" t="s">
        <v>111</v>
      </c>
      <c r="K5657" t="str">
        <f>"85268"</f>
        <v>85268</v>
      </c>
      <c r="L5657" t="s">
        <v>8103</v>
      </c>
      <c r="M5657" t="s">
        <v>34688</v>
      </c>
      <c r="N5657" t="s">
        <v>5636</v>
      </c>
      <c r="O5657" t="s">
        <v>111</v>
      </c>
      <c r="P5657" t="str">
        <f>"85268-8415"</f>
        <v>85268-8415</v>
      </c>
      <c r="Q5657" t="s">
        <v>113</v>
      </c>
      <c r="R5657" t="str">
        <f>"176-24-152"</f>
        <v>176-24-152</v>
      </c>
      <c r="S5657" t="s">
        <v>34689</v>
      </c>
      <c r="T5657" t="s">
        <v>34689</v>
      </c>
      <c r="U5657">
        <v>2826</v>
      </c>
      <c r="V5657">
        <v>0</v>
      </c>
      <c r="W5657">
        <v>4</v>
      </c>
      <c r="X5657">
        <v>1998</v>
      </c>
      <c r="Z5657">
        <v>1</v>
      </c>
      <c r="AA5657" t="s">
        <v>26</v>
      </c>
      <c r="AB5657">
        <v>0</v>
      </c>
      <c r="AC5657" t="s">
        <v>115</v>
      </c>
      <c r="AD5657">
        <v>3</v>
      </c>
      <c r="AE5657" t="s">
        <v>115</v>
      </c>
      <c r="AF5657">
        <v>0</v>
      </c>
      <c r="AG5657">
        <v>0</v>
      </c>
      <c r="AH5657" t="s">
        <v>116</v>
      </c>
      <c r="AI5657" s="1">
        <v>95996</v>
      </c>
      <c r="AJ5657" s="2">
        <v>0.16</v>
      </c>
      <c r="AK5657" s="1">
        <v>585632</v>
      </c>
      <c r="AL5657" t="s">
        <v>117</v>
      </c>
      <c r="AM5657" t="s">
        <v>1302</v>
      </c>
      <c r="AN5657">
        <v>12824</v>
      </c>
      <c r="AO5657">
        <v>0.28999999999999998</v>
      </c>
      <c r="AP5657">
        <v>1</v>
      </c>
      <c r="AR5657">
        <v>1</v>
      </c>
      <c r="AS5657" s="1">
        <v>42250</v>
      </c>
      <c r="AT5657" s="1">
        <v>8450</v>
      </c>
      <c r="AU5657" s="1">
        <v>33800</v>
      </c>
      <c r="AV5657">
        <v>80</v>
      </c>
      <c r="AX5657" s="1">
        <v>2819.42</v>
      </c>
      <c r="AY5657" t="s">
        <v>5639</v>
      </c>
      <c r="AZ5657" t="s">
        <v>5640</v>
      </c>
      <c r="BA5657" t="s">
        <v>5641</v>
      </c>
      <c r="BE5657" s="3">
        <v>41786</v>
      </c>
      <c r="BF5657" s="1">
        <v>495000</v>
      </c>
      <c r="BG5657" t="s">
        <v>34690</v>
      </c>
      <c r="BH5657" s="1">
        <v>175.16</v>
      </c>
      <c r="BI5657" s="1">
        <v>489636</v>
      </c>
      <c r="BJ5657" s="3">
        <v>41936</v>
      </c>
      <c r="BK5657" t="s">
        <v>123</v>
      </c>
      <c r="BL5657" t="str">
        <f>"2014.706068"</f>
        <v>2014.706068</v>
      </c>
      <c r="BM5657" t="s">
        <v>475</v>
      </c>
      <c r="BO5657" t="s">
        <v>34691</v>
      </c>
      <c r="BS5657">
        <v>30</v>
      </c>
      <c r="BW5657" t="str">
        <f>""</f>
        <v/>
      </c>
      <c r="CH5657" t="str">
        <f>""</f>
        <v/>
      </c>
      <c r="CS5657" t="str">
        <f>""</f>
        <v/>
      </c>
    </row>
    <row r="5658" spans="1:97" x14ac:dyDescent="0.25">
      <c r="A5658" t="s">
        <v>1938</v>
      </c>
      <c r="B5658" t="s">
        <v>21580</v>
      </c>
      <c r="C5658" t="s">
        <v>3831</v>
      </c>
      <c r="D5658" t="s">
        <v>21580</v>
      </c>
      <c r="E5658" t="s">
        <v>34692</v>
      </c>
      <c r="F5658" t="s">
        <v>108</v>
      </c>
      <c r="H5658" t="s">
        <v>34693</v>
      </c>
      <c r="I5658" t="s">
        <v>203</v>
      </c>
      <c r="J5658" t="s">
        <v>111</v>
      </c>
      <c r="K5658" t="str">
        <f>"85234"</f>
        <v>85234</v>
      </c>
      <c r="L5658" t="s">
        <v>5990</v>
      </c>
      <c r="M5658" t="s">
        <v>34693</v>
      </c>
      <c r="N5658" t="s">
        <v>203</v>
      </c>
      <c r="O5658" t="s">
        <v>111</v>
      </c>
      <c r="P5658" t="str">
        <f>"85234-6390"</f>
        <v>85234-6390</v>
      </c>
      <c r="Q5658" t="s">
        <v>113</v>
      </c>
      <c r="R5658" t="str">
        <f>"304-14-897"</f>
        <v>304-14-897</v>
      </c>
      <c r="S5658" t="s">
        <v>31438</v>
      </c>
      <c r="T5658" t="s">
        <v>31438</v>
      </c>
      <c r="U5658">
        <v>3153</v>
      </c>
      <c r="V5658">
        <v>0</v>
      </c>
      <c r="W5658">
        <v>4</v>
      </c>
      <c r="X5658">
        <v>2002</v>
      </c>
      <c r="Z5658">
        <v>1</v>
      </c>
      <c r="AA5658" t="s">
        <v>26</v>
      </c>
      <c r="AB5658">
        <v>0</v>
      </c>
      <c r="AC5658" t="s">
        <v>115</v>
      </c>
      <c r="AD5658">
        <v>2</v>
      </c>
      <c r="AE5658" t="s">
        <v>115</v>
      </c>
      <c r="AF5658">
        <v>0</v>
      </c>
      <c r="AG5658">
        <v>0</v>
      </c>
      <c r="AH5658" t="s">
        <v>116</v>
      </c>
      <c r="AI5658" s="1">
        <v>142224</v>
      </c>
      <c r="AJ5658" s="2">
        <v>0.27</v>
      </c>
      <c r="AK5658" s="1">
        <v>523774</v>
      </c>
      <c r="AL5658" t="s">
        <v>117</v>
      </c>
      <c r="AM5658" t="s">
        <v>1302</v>
      </c>
      <c r="AN5658">
        <v>10200</v>
      </c>
      <c r="AO5658">
        <v>0.23</v>
      </c>
      <c r="AP5658">
        <v>1</v>
      </c>
      <c r="AR5658">
        <v>1</v>
      </c>
      <c r="AS5658" s="1">
        <v>39050</v>
      </c>
      <c r="AT5658" s="1">
        <v>7810</v>
      </c>
      <c r="AU5658" s="1">
        <v>31240</v>
      </c>
      <c r="AV5658">
        <v>80</v>
      </c>
      <c r="AX5658" s="1">
        <v>3066.92</v>
      </c>
      <c r="AY5658" t="s">
        <v>519</v>
      </c>
      <c r="AZ5658" t="s">
        <v>520</v>
      </c>
      <c r="BA5658" t="s">
        <v>521</v>
      </c>
      <c r="BE5658" s="3">
        <v>41724</v>
      </c>
      <c r="BF5658" s="1">
        <v>381000</v>
      </c>
      <c r="BG5658" t="s">
        <v>34694</v>
      </c>
      <c r="BH5658" s="1">
        <v>120.84</v>
      </c>
      <c r="BI5658" s="1">
        <v>381550</v>
      </c>
      <c r="BJ5658" s="3">
        <v>42569</v>
      </c>
      <c r="BK5658" t="s">
        <v>123</v>
      </c>
      <c r="BL5658" t="str">
        <f>"2016.503480"</f>
        <v>2016.503480</v>
      </c>
      <c r="BM5658" t="s">
        <v>124</v>
      </c>
      <c r="BO5658" t="s">
        <v>34695</v>
      </c>
      <c r="BS5658">
        <v>30</v>
      </c>
      <c r="BW5658" t="str">
        <f>""</f>
        <v/>
      </c>
      <c r="CH5658" t="str">
        <f>""</f>
        <v/>
      </c>
      <c r="CS5658" t="str">
        <f>""</f>
        <v/>
      </c>
    </row>
    <row r="5659" spans="1:97" x14ac:dyDescent="0.25">
      <c r="A5659" t="s">
        <v>265</v>
      </c>
      <c r="B5659" t="s">
        <v>23844</v>
      </c>
      <c r="C5659" t="s">
        <v>1906</v>
      </c>
      <c r="D5659" t="s">
        <v>17691</v>
      </c>
      <c r="E5659" t="s">
        <v>34696</v>
      </c>
      <c r="F5659" t="s">
        <v>108</v>
      </c>
      <c r="H5659" t="s">
        <v>34697</v>
      </c>
      <c r="I5659" t="s">
        <v>3150</v>
      </c>
      <c r="J5659" t="s">
        <v>111</v>
      </c>
      <c r="K5659" t="str">
        <f>"85340"</f>
        <v>85340</v>
      </c>
      <c r="L5659" t="s">
        <v>2765</v>
      </c>
      <c r="M5659" t="s">
        <v>34697</v>
      </c>
      <c r="N5659" t="s">
        <v>3150</v>
      </c>
      <c r="O5659" t="s">
        <v>111</v>
      </c>
      <c r="P5659" t="str">
        <f>"85340-6227"</f>
        <v>85340-6227</v>
      </c>
      <c r="Q5659" t="s">
        <v>113</v>
      </c>
      <c r="R5659" t="str">
        <f>"502-27-752"</f>
        <v>502-27-752</v>
      </c>
      <c r="S5659" t="s">
        <v>7560</v>
      </c>
      <c r="T5659" t="s">
        <v>7560</v>
      </c>
      <c r="U5659">
        <v>3764</v>
      </c>
      <c r="V5659">
        <v>0</v>
      </c>
      <c r="W5659">
        <v>4</v>
      </c>
      <c r="X5659">
        <v>2007</v>
      </c>
      <c r="Z5659">
        <v>2</v>
      </c>
      <c r="AA5659" t="s">
        <v>26</v>
      </c>
      <c r="AB5659">
        <v>0</v>
      </c>
      <c r="AC5659" t="s">
        <v>115</v>
      </c>
      <c r="AD5659">
        <v>5</v>
      </c>
      <c r="AE5659" t="s">
        <v>115</v>
      </c>
      <c r="AF5659">
        <v>0</v>
      </c>
      <c r="AG5659">
        <v>0</v>
      </c>
      <c r="AH5659" t="s">
        <v>116</v>
      </c>
      <c r="AI5659" s="1">
        <v>111937</v>
      </c>
      <c r="AJ5659" s="2">
        <v>0.21</v>
      </c>
      <c r="AK5659" s="1">
        <v>525033</v>
      </c>
      <c r="AL5659" t="s">
        <v>117</v>
      </c>
      <c r="AM5659" t="s">
        <v>1302</v>
      </c>
      <c r="AN5659">
        <v>13775</v>
      </c>
      <c r="AO5659">
        <v>0.32</v>
      </c>
      <c r="AR5659">
        <v>1</v>
      </c>
      <c r="AS5659" s="1">
        <v>35360</v>
      </c>
      <c r="AT5659" s="1">
        <v>7070</v>
      </c>
      <c r="AU5659" s="1">
        <v>28290</v>
      </c>
      <c r="AV5659">
        <v>80.010000000000005</v>
      </c>
      <c r="AX5659" s="1">
        <v>3856.14</v>
      </c>
      <c r="AY5659" t="s">
        <v>503</v>
      </c>
      <c r="AZ5659" t="s">
        <v>504</v>
      </c>
      <c r="BA5659" t="s">
        <v>218</v>
      </c>
      <c r="BE5659" s="3">
        <v>41880</v>
      </c>
      <c r="BF5659" s="1">
        <v>399900</v>
      </c>
      <c r="BG5659" t="s">
        <v>34698</v>
      </c>
      <c r="BH5659" s="1">
        <v>106.24</v>
      </c>
      <c r="BI5659" s="1">
        <v>413096</v>
      </c>
      <c r="BJ5659" s="3">
        <v>41880</v>
      </c>
      <c r="BK5659" t="s">
        <v>123</v>
      </c>
      <c r="BL5659" t="str">
        <f>"2014.577898"</f>
        <v>2014.577898</v>
      </c>
      <c r="BM5659" t="s">
        <v>475</v>
      </c>
      <c r="BO5659" t="s">
        <v>34699</v>
      </c>
      <c r="BP5659" t="s">
        <v>34700</v>
      </c>
      <c r="BS5659">
        <v>30</v>
      </c>
      <c r="BW5659" t="str">
        <f>""</f>
        <v/>
      </c>
      <c r="CH5659" t="str">
        <f>""</f>
        <v/>
      </c>
      <c r="CS5659" t="str">
        <f>""</f>
        <v/>
      </c>
    </row>
    <row r="5660" spans="1:97" x14ac:dyDescent="0.25">
      <c r="A5660" t="s">
        <v>494</v>
      </c>
      <c r="B5660" t="s">
        <v>478</v>
      </c>
      <c r="C5660" t="s">
        <v>3505</v>
      </c>
      <c r="D5660" t="s">
        <v>478</v>
      </c>
      <c r="E5660" t="s">
        <v>34701</v>
      </c>
      <c r="F5660" t="s">
        <v>108</v>
      </c>
      <c r="H5660" t="s">
        <v>34702</v>
      </c>
      <c r="I5660" t="s">
        <v>390</v>
      </c>
      <c r="J5660" t="s">
        <v>111</v>
      </c>
      <c r="K5660" t="str">
        <f>"85042"</f>
        <v>85042</v>
      </c>
      <c r="L5660" t="s">
        <v>5799</v>
      </c>
      <c r="M5660" t="s">
        <v>34702</v>
      </c>
      <c r="N5660" t="s">
        <v>390</v>
      </c>
      <c r="O5660" t="s">
        <v>111</v>
      </c>
      <c r="P5660" t="str">
        <f>"85042-7943"</f>
        <v>85042-7943</v>
      </c>
      <c r="Q5660" t="s">
        <v>113</v>
      </c>
      <c r="R5660" t="str">
        <f>"300-37-322"</f>
        <v>300-37-322</v>
      </c>
      <c r="S5660" t="s">
        <v>14132</v>
      </c>
      <c r="T5660" t="s">
        <v>14132</v>
      </c>
      <c r="U5660">
        <v>3941</v>
      </c>
      <c r="V5660">
        <v>0</v>
      </c>
      <c r="W5660">
        <v>4</v>
      </c>
      <c r="X5660">
        <v>2004</v>
      </c>
      <c r="Z5660">
        <v>2</v>
      </c>
      <c r="AB5660">
        <v>0</v>
      </c>
      <c r="AC5660" t="s">
        <v>115</v>
      </c>
      <c r="AD5660">
        <v>2</v>
      </c>
      <c r="AE5660" t="s">
        <v>115</v>
      </c>
      <c r="AF5660">
        <v>0</v>
      </c>
      <c r="AG5660">
        <v>0</v>
      </c>
      <c r="AH5660" t="s">
        <v>116</v>
      </c>
      <c r="AI5660" s="1">
        <v>-239572</v>
      </c>
      <c r="AJ5660" s="2">
        <v>-0.73</v>
      </c>
      <c r="AK5660" s="1">
        <v>328578</v>
      </c>
      <c r="AL5660" t="s">
        <v>117</v>
      </c>
      <c r="AM5660" t="s">
        <v>1302</v>
      </c>
      <c r="AN5660">
        <v>7475</v>
      </c>
      <c r="AO5660">
        <v>0.17</v>
      </c>
      <c r="AP5660">
        <v>1</v>
      </c>
      <c r="AR5660">
        <v>1</v>
      </c>
      <c r="AS5660" s="1">
        <v>25220</v>
      </c>
      <c r="AT5660" s="1">
        <v>5040</v>
      </c>
      <c r="AU5660" s="1">
        <v>20180</v>
      </c>
      <c r="AV5660">
        <v>80.02</v>
      </c>
      <c r="AX5660" s="1">
        <v>3856.3</v>
      </c>
      <c r="AY5660" t="s">
        <v>2859</v>
      </c>
      <c r="AZ5660" t="s">
        <v>2859</v>
      </c>
      <c r="BA5660" t="s">
        <v>2860</v>
      </c>
      <c r="BB5660" s="3">
        <v>42705</v>
      </c>
      <c r="BD5660" t="s">
        <v>458</v>
      </c>
      <c r="BE5660" s="3">
        <v>42201</v>
      </c>
      <c r="BF5660" s="1">
        <v>275000</v>
      </c>
      <c r="BG5660" t="s">
        <v>34703</v>
      </c>
      <c r="BH5660" s="1">
        <v>69.78</v>
      </c>
      <c r="BI5660" s="1">
        <v>284075</v>
      </c>
      <c r="BJ5660" s="3">
        <v>42201</v>
      </c>
      <c r="BK5660" t="s">
        <v>123</v>
      </c>
      <c r="BL5660" t="str">
        <f>"2015.513430"</f>
        <v>2015.513430</v>
      </c>
      <c r="BM5660" t="s">
        <v>4919</v>
      </c>
      <c r="BO5660" t="s">
        <v>34704</v>
      </c>
      <c r="BS5660">
        <v>30</v>
      </c>
      <c r="BT5660" s="1">
        <v>284075</v>
      </c>
      <c r="BU5660" s="3">
        <v>42619</v>
      </c>
      <c r="BV5660" t="s">
        <v>123</v>
      </c>
      <c r="BW5660" t="str">
        <f>"2016.643223"</f>
        <v>2016.643223</v>
      </c>
      <c r="BX5660" t="s">
        <v>4919</v>
      </c>
      <c r="BZ5660" t="s">
        <v>34705</v>
      </c>
      <c r="CD5660">
        <v>30</v>
      </c>
      <c r="CH5660" t="str">
        <f>""</f>
        <v/>
      </c>
      <c r="CS5660" t="str">
        <f>""</f>
        <v/>
      </c>
    </row>
    <row r="5661" spans="1:97" x14ac:dyDescent="0.25">
      <c r="A5661" t="s">
        <v>7562</v>
      </c>
      <c r="B5661" t="s">
        <v>34706</v>
      </c>
      <c r="C5661" t="s">
        <v>364</v>
      </c>
      <c r="D5661" t="s">
        <v>34706</v>
      </c>
      <c r="E5661" t="s">
        <v>34707</v>
      </c>
      <c r="F5661" t="s">
        <v>108</v>
      </c>
      <c r="H5661" t="s">
        <v>34708</v>
      </c>
      <c r="I5661" t="s">
        <v>632</v>
      </c>
      <c r="J5661" t="s">
        <v>111</v>
      </c>
      <c r="K5661" t="str">
        <f>"85388"</f>
        <v>85388</v>
      </c>
      <c r="L5661" t="s">
        <v>7607</v>
      </c>
      <c r="M5661" t="s">
        <v>34708</v>
      </c>
      <c r="N5661" t="s">
        <v>632</v>
      </c>
      <c r="O5661" t="s">
        <v>111</v>
      </c>
      <c r="P5661" t="str">
        <f>"85388-1691"</f>
        <v>85388-1691</v>
      </c>
      <c r="Q5661" t="s">
        <v>113</v>
      </c>
      <c r="R5661" t="str">
        <f>"502-02-270"</f>
        <v>502-02-270</v>
      </c>
      <c r="S5661" t="s">
        <v>7611</v>
      </c>
      <c r="T5661" t="s">
        <v>7612</v>
      </c>
      <c r="U5661">
        <v>2103</v>
      </c>
      <c r="V5661">
        <v>0</v>
      </c>
      <c r="W5661">
        <v>3</v>
      </c>
      <c r="X5661">
        <v>2007</v>
      </c>
      <c r="Z5661">
        <v>1</v>
      </c>
      <c r="AA5661" t="s">
        <v>26</v>
      </c>
      <c r="AB5661">
        <v>0</v>
      </c>
      <c r="AC5661" t="s">
        <v>115</v>
      </c>
      <c r="AD5661">
        <v>3</v>
      </c>
      <c r="AE5661" t="s">
        <v>115</v>
      </c>
      <c r="AF5661">
        <v>0</v>
      </c>
      <c r="AG5661">
        <v>0</v>
      </c>
      <c r="AH5661" t="s">
        <v>116</v>
      </c>
      <c r="AI5661" s="1">
        <v>57163</v>
      </c>
      <c r="AJ5661" s="2">
        <v>0.18</v>
      </c>
      <c r="AK5661" s="1">
        <v>320873</v>
      </c>
      <c r="AL5661" t="s">
        <v>117</v>
      </c>
      <c r="AM5661" t="s">
        <v>118</v>
      </c>
      <c r="AN5661">
        <v>6325</v>
      </c>
      <c r="AO5661">
        <v>0.14000000000000001</v>
      </c>
      <c r="AR5661">
        <v>1</v>
      </c>
      <c r="AS5661" s="1">
        <v>22510</v>
      </c>
      <c r="AT5661" s="1">
        <v>4500</v>
      </c>
      <c r="AU5661" s="1">
        <v>18010</v>
      </c>
      <c r="AV5661">
        <v>80.010000000000005</v>
      </c>
      <c r="AX5661" s="1">
        <v>1862.54</v>
      </c>
      <c r="AY5661" t="s">
        <v>5168</v>
      </c>
      <c r="AZ5661" t="s">
        <v>5168</v>
      </c>
      <c r="BA5661" t="s">
        <v>5109</v>
      </c>
      <c r="BE5661" s="3">
        <v>41947</v>
      </c>
      <c r="BF5661" s="1">
        <v>262000</v>
      </c>
      <c r="BG5661" t="s">
        <v>34709</v>
      </c>
      <c r="BH5661" s="1">
        <v>124.58</v>
      </c>
      <c r="BI5661" s="1">
        <v>263710</v>
      </c>
      <c r="BJ5661" s="3">
        <v>41947</v>
      </c>
      <c r="BK5661" t="s">
        <v>123</v>
      </c>
      <c r="BL5661" t="str">
        <f>"2014.731746"</f>
        <v>2014.731746</v>
      </c>
      <c r="BM5661" t="s">
        <v>6329</v>
      </c>
      <c r="BO5661" t="s">
        <v>34710</v>
      </c>
      <c r="BS5661">
        <v>30</v>
      </c>
      <c r="BW5661" t="str">
        <f>""</f>
        <v/>
      </c>
      <c r="CH5661" t="str">
        <f>""</f>
        <v/>
      </c>
      <c r="CS5661" t="str">
        <f>""</f>
        <v/>
      </c>
    </row>
    <row r="5662" spans="1:97" x14ac:dyDescent="0.25">
      <c r="A5662" t="s">
        <v>4306</v>
      </c>
      <c r="B5662" t="s">
        <v>34711</v>
      </c>
      <c r="C5662" t="s">
        <v>5120</v>
      </c>
      <c r="D5662" t="s">
        <v>34711</v>
      </c>
      <c r="E5662" t="s">
        <v>34712</v>
      </c>
      <c r="F5662" t="s">
        <v>139</v>
      </c>
      <c r="H5662" t="s">
        <v>34713</v>
      </c>
      <c r="I5662" t="s">
        <v>9186</v>
      </c>
      <c r="J5662" t="s">
        <v>111</v>
      </c>
      <c r="K5662" t="str">
        <f>"85377"</f>
        <v>85377</v>
      </c>
      <c r="M5662" t="s">
        <v>34714</v>
      </c>
      <c r="N5662" t="s">
        <v>9186</v>
      </c>
      <c r="O5662" t="s">
        <v>111</v>
      </c>
      <c r="P5662" t="str">
        <f>"85377-2897"</f>
        <v>85377-2897</v>
      </c>
      <c r="Q5662" t="s">
        <v>113</v>
      </c>
      <c r="R5662" t="str">
        <f>"216-83-513"</f>
        <v>216-83-513</v>
      </c>
      <c r="S5662" t="s">
        <v>34715</v>
      </c>
      <c r="T5662" t="s">
        <v>34716</v>
      </c>
      <c r="U5662">
        <v>2273</v>
      </c>
      <c r="V5662">
        <v>0</v>
      </c>
      <c r="W5662">
        <v>3</v>
      </c>
      <c r="X5662">
        <v>1964</v>
      </c>
      <c r="Z5662">
        <v>1</v>
      </c>
      <c r="AB5662">
        <v>0</v>
      </c>
      <c r="AC5662" t="s">
        <v>5188</v>
      </c>
      <c r="AD5662">
        <v>2</v>
      </c>
      <c r="AE5662" t="s">
        <v>5188</v>
      </c>
      <c r="AF5662">
        <v>0</v>
      </c>
      <c r="AG5662">
        <v>0</v>
      </c>
      <c r="AH5662" t="s">
        <v>116</v>
      </c>
      <c r="AI5662" s="1">
        <v>65181</v>
      </c>
      <c r="AJ5662" s="2">
        <v>0.14000000000000001</v>
      </c>
      <c r="AK5662" s="1">
        <v>465985</v>
      </c>
      <c r="AL5662" t="s">
        <v>117</v>
      </c>
      <c r="AM5662" t="s">
        <v>22442</v>
      </c>
      <c r="AN5662">
        <v>12617</v>
      </c>
      <c r="AO5662">
        <v>0.28999999999999998</v>
      </c>
      <c r="AP5662">
        <v>1</v>
      </c>
      <c r="AR5662">
        <v>1</v>
      </c>
      <c r="AS5662" s="1">
        <v>29960</v>
      </c>
      <c r="AT5662" s="1">
        <v>5990</v>
      </c>
      <c r="AU5662" s="1">
        <v>23970</v>
      </c>
      <c r="AV5662">
        <v>80.010000000000005</v>
      </c>
      <c r="AX5662" s="1">
        <v>1527.14</v>
      </c>
      <c r="AY5662" t="s">
        <v>7359</v>
      </c>
      <c r="AZ5662" t="s">
        <v>1402</v>
      </c>
      <c r="BA5662" t="s">
        <v>1403</v>
      </c>
      <c r="BE5662" s="3">
        <v>42116</v>
      </c>
      <c r="BF5662" s="1">
        <v>315000</v>
      </c>
      <c r="BG5662" t="s">
        <v>34717</v>
      </c>
      <c r="BH5662" s="1">
        <v>138.58000000000001</v>
      </c>
      <c r="BI5662" s="1">
        <v>400804</v>
      </c>
      <c r="BJ5662" s="3">
        <v>42674</v>
      </c>
      <c r="BK5662" t="s">
        <v>123</v>
      </c>
      <c r="BL5662" t="str">
        <f>"2016.798258"</f>
        <v>2016.798258</v>
      </c>
      <c r="BM5662" t="s">
        <v>1325</v>
      </c>
      <c r="BO5662" t="s">
        <v>34718</v>
      </c>
      <c r="BS5662">
        <v>30</v>
      </c>
      <c r="BW5662" t="str">
        <f>""</f>
        <v/>
      </c>
      <c r="CH5662" t="str">
        <f>""</f>
        <v/>
      </c>
      <c r="CS5662" t="str">
        <f>""</f>
        <v/>
      </c>
    </row>
    <row r="5663" spans="1:97" x14ac:dyDescent="0.25">
      <c r="A5663" t="s">
        <v>2433</v>
      </c>
      <c r="B5663" t="s">
        <v>34719</v>
      </c>
      <c r="C5663" t="s">
        <v>1394</v>
      </c>
      <c r="D5663" t="s">
        <v>34719</v>
      </c>
      <c r="E5663" t="s">
        <v>34720</v>
      </c>
      <c r="F5663" t="s">
        <v>282</v>
      </c>
      <c r="H5663" t="s">
        <v>34721</v>
      </c>
      <c r="I5663" t="s">
        <v>203</v>
      </c>
      <c r="J5663" t="s">
        <v>111</v>
      </c>
      <c r="K5663" t="str">
        <f>"85234"</f>
        <v>85234</v>
      </c>
      <c r="L5663" t="s">
        <v>6333</v>
      </c>
      <c r="M5663" t="s">
        <v>34722</v>
      </c>
      <c r="N5663" t="s">
        <v>203</v>
      </c>
      <c r="O5663" t="s">
        <v>111</v>
      </c>
      <c r="P5663" t="str">
        <f>"85234-2414"</f>
        <v>85234-2414</v>
      </c>
      <c r="Q5663" t="s">
        <v>113</v>
      </c>
      <c r="R5663" t="str">
        <f>"304-10-227"</f>
        <v>304-10-227</v>
      </c>
      <c r="S5663" t="s">
        <v>11917</v>
      </c>
      <c r="U5663">
        <v>2590</v>
      </c>
      <c r="V5663">
        <v>0</v>
      </c>
      <c r="W5663">
        <v>3</v>
      </c>
      <c r="X5663">
        <v>1978</v>
      </c>
      <c r="Z5663">
        <v>1</v>
      </c>
      <c r="AA5663" t="s">
        <v>26</v>
      </c>
      <c r="AB5663">
        <v>0</v>
      </c>
      <c r="AC5663" t="s">
        <v>115</v>
      </c>
      <c r="AD5663">
        <v>2</v>
      </c>
      <c r="AE5663" t="s">
        <v>115</v>
      </c>
      <c r="AF5663">
        <v>0</v>
      </c>
      <c r="AG5663">
        <v>0</v>
      </c>
      <c r="AH5663" t="s">
        <v>116</v>
      </c>
      <c r="AI5663" s="1">
        <v>251590</v>
      </c>
      <c r="AJ5663" s="2">
        <v>0.47</v>
      </c>
      <c r="AK5663" s="1">
        <v>536590</v>
      </c>
      <c r="AL5663" t="s">
        <v>117</v>
      </c>
      <c r="AM5663" t="s">
        <v>1521</v>
      </c>
      <c r="AN5663">
        <v>41055</v>
      </c>
      <c r="AO5663">
        <v>0.94</v>
      </c>
      <c r="AP5663">
        <v>1</v>
      </c>
      <c r="AR5663">
        <v>1</v>
      </c>
      <c r="AS5663" s="1">
        <v>39970</v>
      </c>
      <c r="AT5663" s="1">
        <v>7990</v>
      </c>
      <c r="AU5663" s="1">
        <v>31980</v>
      </c>
      <c r="AV5663">
        <v>80.010000000000005</v>
      </c>
      <c r="AX5663" s="1">
        <v>2579.7600000000002</v>
      </c>
      <c r="AY5663" t="s">
        <v>7062</v>
      </c>
      <c r="AZ5663" t="s">
        <v>5478</v>
      </c>
      <c r="BA5663" t="s">
        <v>5033</v>
      </c>
      <c r="BE5663" s="3">
        <v>42156</v>
      </c>
      <c r="BF5663" s="1">
        <v>285000</v>
      </c>
      <c r="BG5663" t="s">
        <v>34723</v>
      </c>
      <c r="BH5663" s="1">
        <v>110.04</v>
      </c>
      <c r="BI5663" s="1">
        <v>285000</v>
      </c>
      <c r="BJ5663" s="3">
        <v>42156</v>
      </c>
      <c r="BK5663" t="s">
        <v>123</v>
      </c>
      <c r="BL5663" t="str">
        <f>"2015.389856"</f>
        <v>2015.389856</v>
      </c>
      <c r="BM5663" t="s">
        <v>6329</v>
      </c>
      <c r="BO5663" t="s">
        <v>34724</v>
      </c>
      <c r="BS5663">
        <v>30</v>
      </c>
      <c r="BW5663" t="str">
        <f>""</f>
        <v/>
      </c>
      <c r="CH5663" t="str">
        <f>""</f>
        <v/>
      </c>
      <c r="CS5663" t="str">
        <f>""</f>
        <v/>
      </c>
    </row>
    <row r="5664" spans="1:97" x14ac:dyDescent="0.25">
      <c r="A5664" t="s">
        <v>2915</v>
      </c>
      <c r="B5664" t="s">
        <v>34725</v>
      </c>
      <c r="C5664" t="s">
        <v>8540</v>
      </c>
      <c r="D5664" t="s">
        <v>34725</v>
      </c>
      <c r="E5664" t="s">
        <v>34726</v>
      </c>
      <c r="F5664" t="s">
        <v>108</v>
      </c>
      <c r="H5664" t="s">
        <v>34727</v>
      </c>
      <c r="I5664" t="s">
        <v>188</v>
      </c>
      <c r="J5664" t="s">
        <v>111</v>
      </c>
      <c r="K5664" t="str">
        <f>"85142"</f>
        <v>85142</v>
      </c>
      <c r="L5664" t="s">
        <v>3885</v>
      </c>
      <c r="M5664" t="s">
        <v>34727</v>
      </c>
      <c r="N5664" t="s">
        <v>188</v>
      </c>
      <c r="O5664" t="s">
        <v>111</v>
      </c>
      <c r="P5664" t="str">
        <f>"85142-5017"</f>
        <v>85142-5017</v>
      </c>
      <c r="Q5664" t="s">
        <v>113</v>
      </c>
      <c r="R5664" t="str">
        <f>"304-91-122"</f>
        <v>304-91-122</v>
      </c>
      <c r="S5664" t="s">
        <v>34728</v>
      </c>
      <c r="T5664" t="s">
        <v>34728</v>
      </c>
      <c r="U5664">
        <v>3915</v>
      </c>
      <c r="V5664">
        <v>0</v>
      </c>
      <c r="W5664">
        <v>5</v>
      </c>
      <c r="X5664">
        <v>1995</v>
      </c>
      <c r="Z5664">
        <v>1</v>
      </c>
      <c r="AB5664">
        <v>0</v>
      </c>
      <c r="AC5664" t="s">
        <v>115</v>
      </c>
      <c r="AD5664">
        <v>2</v>
      </c>
      <c r="AE5664" t="s">
        <v>115</v>
      </c>
      <c r="AF5664">
        <v>0</v>
      </c>
      <c r="AG5664">
        <v>0</v>
      </c>
      <c r="AH5664" t="s">
        <v>116</v>
      </c>
      <c r="AI5664" s="1">
        <v>188303</v>
      </c>
      <c r="AJ5664" s="2">
        <v>0.28000000000000003</v>
      </c>
      <c r="AK5664" s="1">
        <v>682077</v>
      </c>
      <c r="AL5664" t="s">
        <v>117</v>
      </c>
      <c r="AM5664" t="s">
        <v>3973</v>
      </c>
      <c r="AN5664">
        <v>39644</v>
      </c>
      <c r="AO5664">
        <v>0.91</v>
      </c>
      <c r="AP5664">
        <v>1</v>
      </c>
      <c r="AR5664">
        <v>1</v>
      </c>
      <c r="AS5664" s="1">
        <v>53650</v>
      </c>
      <c r="AT5664" s="1">
        <v>10730</v>
      </c>
      <c r="AU5664" s="1">
        <v>42920</v>
      </c>
      <c r="AV5664">
        <v>80</v>
      </c>
      <c r="AX5664" s="1">
        <v>4780.9399999999996</v>
      </c>
      <c r="AY5664" t="s">
        <v>1074</v>
      </c>
      <c r="AZ5664" t="s">
        <v>193</v>
      </c>
      <c r="BA5664" t="s">
        <v>194</v>
      </c>
      <c r="BE5664" s="3">
        <v>42355</v>
      </c>
      <c r="BF5664" s="1">
        <v>415000</v>
      </c>
      <c r="BG5664" t="s">
        <v>34729</v>
      </c>
      <c r="BH5664" s="1">
        <v>106</v>
      </c>
      <c r="BI5664" s="1">
        <v>493774</v>
      </c>
      <c r="BJ5664" s="3">
        <v>43644</v>
      </c>
      <c r="BK5664" t="s">
        <v>123</v>
      </c>
      <c r="BL5664" t="str">
        <f>"2019.491533"</f>
        <v>2019.491533</v>
      </c>
      <c r="BM5664" t="s">
        <v>6989</v>
      </c>
      <c r="BN5664" t="s">
        <v>6990</v>
      </c>
      <c r="BO5664" t="s">
        <v>34730</v>
      </c>
      <c r="BP5664" t="s">
        <v>34731</v>
      </c>
      <c r="BR5664" t="s">
        <v>139</v>
      </c>
      <c r="BW5664" t="str">
        <f>""</f>
        <v/>
      </c>
      <c r="CH5664" t="str">
        <f>""</f>
        <v/>
      </c>
      <c r="CS5664" t="str">
        <f>""</f>
        <v/>
      </c>
    </row>
    <row r="5665" spans="1:97" x14ac:dyDescent="0.25">
      <c r="A5665" t="s">
        <v>496</v>
      </c>
      <c r="B5665" t="s">
        <v>34732</v>
      </c>
      <c r="E5665" t="s">
        <v>34733</v>
      </c>
      <c r="F5665" t="s">
        <v>108</v>
      </c>
      <c r="H5665" t="s">
        <v>34734</v>
      </c>
      <c r="I5665" t="s">
        <v>167</v>
      </c>
      <c r="J5665" t="s">
        <v>111</v>
      </c>
      <c r="K5665" t="str">
        <f>"85339"</f>
        <v>85339</v>
      </c>
      <c r="L5665" t="s">
        <v>3885</v>
      </c>
      <c r="M5665" t="s">
        <v>34734</v>
      </c>
      <c r="N5665" t="s">
        <v>167</v>
      </c>
      <c r="O5665" t="s">
        <v>111</v>
      </c>
      <c r="P5665" t="str">
        <f>"85339-7796"</f>
        <v>85339-7796</v>
      </c>
      <c r="Q5665" t="s">
        <v>113</v>
      </c>
      <c r="R5665" t="str">
        <f>"300-10-564"</f>
        <v>300-10-564</v>
      </c>
      <c r="S5665" t="s">
        <v>6076</v>
      </c>
      <c r="T5665" t="s">
        <v>6076</v>
      </c>
      <c r="U5665">
        <v>3648</v>
      </c>
      <c r="V5665">
        <v>0</v>
      </c>
      <c r="W5665">
        <v>4</v>
      </c>
      <c r="X5665">
        <v>2006</v>
      </c>
      <c r="Z5665">
        <v>2</v>
      </c>
      <c r="AB5665">
        <v>0</v>
      </c>
      <c r="AC5665" t="s">
        <v>115</v>
      </c>
      <c r="AD5665">
        <v>3</v>
      </c>
      <c r="AE5665" t="s">
        <v>115</v>
      </c>
      <c r="AF5665">
        <v>0</v>
      </c>
      <c r="AG5665">
        <v>0</v>
      </c>
      <c r="AH5665" t="s">
        <v>116</v>
      </c>
      <c r="AI5665" s="1">
        <v>74787</v>
      </c>
      <c r="AJ5665" s="2">
        <v>0.19</v>
      </c>
      <c r="AK5665" s="1">
        <v>395017</v>
      </c>
      <c r="AL5665" t="s">
        <v>117</v>
      </c>
      <c r="AM5665" t="s">
        <v>1302</v>
      </c>
      <c r="AN5665">
        <v>11760</v>
      </c>
      <c r="AO5665">
        <v>0.27</v>
      </c>
      <c r="AR5665">
        <v>1</v>
      </c>
      <c r="AS5665" s="1">
        <v>29410</v>
      </c>
      <c r="AT5665" s="1">
        <v>5880</v>
      </c>
      <c r="AU5665" s="1">
        <v>23530</v>
      </c>
      <c r="AV5665">
        <v>80.010000000000005</v>
      </c>
      <c r="AX5665" s="1">
        <v>4415.16</v>
      </c>
      <c r="AY5665" t="s">
        <v>806</v>
      </c>
      <c r="AZ5665" t="s">
        <v>806</v>
      </c>
      <c r="BA5665" t="s">
        <v>173</v>
      </c>
      <c r="BE5665" s="3">
        <v>42541</v>
      </c>
      <c r="BF5665" s="1">
        <v>310500</v>
      </c>
      <c r="BG5665" t="s">
        <v>34735</v>
      </c>
      <c r="BH5665" s="1">
        <v>85.12</v>
      </c>
      <c r="BI5665" s="1">
        <v>320230</v>
      </c>
      <c r="BJ5665" s="3">
        <v>42541</v>
      </c>
      <c r="BK5665" t="s">
        <v>123</v>
      </c>
      <c r="BL5665" t="str">
        <f>"2016.430002"</f>
        <v>2016.430002</v>
      </c>
      <c r="BM5665" t="s">
        <v>11704</v>
      </c>
      <c r="BO5665" t="s">
        <v>34736</v>
      </c>
      <c r="BS5665">
        <v>30</v>
      </c>
      <c r="BW5665" t="str">
        <f>""</f>
        <v/>
      </c>
      <c r="CH5665" t="str">
        <f>""</f>
        <v/>
      </c>
      <c r="CS5665" t="str">
        <f>""</f>
        <v/>
      </c>
    </row>
    <row r="5666" spans="1:97" x14ac:dyDescent="0.25">
      <c r="A5666" t="s">
        <v>4086</v>
      </c>
      <c r="B5666" t="s">
        <v>34737</v>
      </c>
      <c r="C5666" t="s">
        <v>34738</v>
      </c>
      <c r="D5666" t="s">
        <v>34737</v>
      </c>
      <c r="E5666" t="s">
        <v>34739</v>
      </c>
      <c r="F5666" t="s">
        <v>108</v>
      </c>
      <c r="H5666" t="s">
        <v>34740</v>
      </c>
      <c r="I5666" t="s">
        <v>2874</v>
      </c>
      <c r="J5666" t="s">
        <v>111</v>
      </c>
      <c r="K5666" t="str">
        <f>"85308"</f>
        <v>85308</v>
      </c>
      <c r="L5666" t="s">
        <v>541</v>
      </c>
      <c r="M5666" t="s">
        <v>34740</v>
      </c>
      <c r="N5666" t="s">
        <v>2874</v>
      </c>
      <c r="O5666" t="s">
        <v>111</v>
      </c>
      <c r="P5666" t="str">
        <f>"85308-2508"</f>
        <v>85308-2508</v>
      </c>
      <c r="Q5666" t="s">
        <v>113</v>
      </c>
      <c r="R5666" t="str">
        <f>"200-19-276"</f>
        <v>200-19-276</v>
      </c>
      <c r="S5666" t="s">
        <v>34741</v>
      </c>
      <c r="T5666" t="s">
        <v>34741</v>
      </c>
      <c r="U5666">
        <v>4042</v>
      </c>
      <c r="V5666">
        <v>0</v>
      </c>
      <c r="W5666">
        <v>6</v>
      </c>
      <c r="X5666">
        <v>2014</v>
      </c>
      <c r="Z5666">
        <v>1</v>
      </c>
      <c r="AB5666">
        <v>0</v>
      </c>
      <c r="AC5666" t="s">
        <v>115</v>
      </c>
      <c r="AD5666">
        <v>3</v>
      </c>
      <c r="AE5666" t="s">
        <v>115</v>
      </c>
      <c r="AF5666">
        <v>0</v>
      </c>
      <c r="AG5666">
        <v>0</v>
      </c>
      <c r="AH5666" t="s">
        <v>116</v>
      </c>
      <c r="AI5666" s="1">
        <v>114981</v>
      </c>
      <c r="AJ5666" s="2">
        <v>0.18</v>
      </c>
      <c r="AK5666" s="1">
        <v>644287</v>
      </c>
      <c r="AL5666" t="s">
        <v>117</v>
      </c>
      <c r="AM5666" t="s">
        <v>118</v>
      </c>
      <c r="AN5666">
        <v>10795</v>
      </c>
      <c r="AO5666">
        <v>0.25</v>
      </c>
      <c r="AR5666">
        <v>1</v>
      </c>
      <c r="AS5666" s="1">
        <v>52610</v>
      </c>
      <c r="AT5666" s="1">
        <v>10520</v>
      </c>
      <c r="AU5666" s="1">
        <v>42090</v>
      </c>
      <c r="AV5666">
        <v>80</v>
      </c>
      <c r="AX5666" s="1">
        <v>4662.92</v>
      </c>
      <c r="AY5666" t="s">
        <v>8358</v>
      </c>
      <c r="AZ5666" t="s">
        <v>8358</v>
      </c>
      <c r="BA5666" t="s">
        <v>2223</v>
      </c>
      <c r="BE5666" s="3">
        <v>41939</v>
      </c>
      <c r="BF5666" s="1">
        <v>580897</v>
      </c>
      <c r="BG5666" t="s">
        <v>34742</v>
      </c>
      <c r="BH5666" s="1">
        <v>143.72</v>
      </c>
      <c r="BI5666" s="1">
        <v>529306</v>
      </c>
      <c r="BJ5666" s="3">
        <v>42584</v>
      </c>
      <c r="BK5666" t="s">
        <v>123</v>
      </c>
      <c r="BL5666" t="str">
        <f>"2016.547043"</f>
        <v>2016.547043</v>
      </c>
      <c r="BM5666" t="s">
        <v>402</v>
      </c>
      <c r="BO5666" t="s">
        <v>34743</v>
      </c>
      <c r="BS5666">
        <v>30</v>
      </c>
      <c r="BW5666" t="str">
        <f>""</f>
        <v/>
      </c>
      <c r="CH5666" t="str">
        <f>""</f>
        <v/>
      </c>
      <c r="CS5666" t="str">
        <f>""</f>
        <v/>
      </c>
    </row>
    <row r="5667" spans="1:97" x14ac:dyDescent="0.25">
      <c r="A5667" t="s">
        <v>8500</v>
      </c>
      <c r="B5667" t="s">
        <v>1089</v>
      </c>
      <c r="C5667" t="s">
        <v>34744</v>
      </c>
      <c r="D5667" t="s">
        <v>1089</v>
      </c>
      <c r="E5667" t="s">
        <v>34745</v>
      </c>
      <c r="F5667" t="s">
        <v>108</v>
      </c>
      <c r="H5667" t="s">
        <v>34746</v>
      </c>
      <c r="I5667" t="s">
        <v>390</v>
      </c>
      <c r="J5667" t="s">
        <v>111</v>
      </c>
      <c r="K5667" t="str">
        <f>"85048"</f>
        <v>85048</v>
      </c>
      <c r="L5667" t="s">
        <v>6325</v>
      </c>
      <c r="M5667" t="s">
        <v>34746</v>
      </c>
      <c r="N5667" t="s">
        <v>390</v>
      </c>
      <c r="O5667" t="s">
        <v>111</v>
      </c>
      <c r="P5667" t="str">
        <f>"85048-7923"</f>
        <v>85048-7923</v>
      </c>
      <c r="Q5667" t="s">
        <v>113</v>
      </c>
      <c r="R5667" t="str">
        <f>"301-79-590"</f>
        <v>301-79-590</v>
      </c>
      <c r="S5667" t="s">
        <v>6326</v>
      </c>
      <c r="T5667" t="s">
        <v>6327</v>
      </c>
      <c r="U5667">
        <v>2671</v>
      </c>
      <c r="V5667">
        <v>0</v>
      </c>
      <c r="W5667">
        <v>4</v>
      </c>
      <c r="X5667">
        <v>1992</v>
      </c>
      <c r="Z5667">
        <v>2</v>
      </c>
      <c r="AA5667" t="s">
        <v>26</v>
      </c>
      <c r="AB5667">
        <v>0</v>
      </c>
      <c r="AC5667" t="s">
        <v>115</v>
      </c>
      <c r="AD5667">
        <v>3</v>
      </c>
      <c r="AE5667" t="s">
        <v>115</v>
      </c>
      <c r="AF5667">
        <v>0</v>
      </c>
      <c r="AG5667">
        <v>0</v>
      </c>
      <c r="AH5667" t="s">
        <v>116</v>
      </c>
      <c r="AI5667" s="1">
        <v>65967</v>
      </c>
      <c r="AJ5667" s="2">
        <v>0.15</v>
      </c>
      <c r="AK5667" s="1">
        <v>436502</v>
      </c>
      <c r="AL5667" t="s">
        <v>117</v>
      </c>
      <c r="AM5667" t="s">
        <v>171</v>
      </c>
      <c r="AN5667">
        <v>6589</v>
      </c>
      <c r="AO5667">
        <v>0.15</v>
      </c>
      <c r="AP5667">
        <v>1</v>
      </c>
      <c r="AR5667">
        <v>1</v>
      </c>
      <c r="AS5667" s="1">
        <v>31980</v>
      </c>
      <c r="AT5667" s="1">
        <v>6390</v>
      </c>
      <c r="AU5667" s="1">
        <v>25590</v>
      </c>
      <c r="AV5667">
        <v>80.02</v>
      </c>
      <c r="AX5667" s="1">
        <v>3179.34</v>
      </c>
      <c r="AY5667" t="s">
        <v>928</v>
      </c>
      <c r="AZ5667" t="s">
        <v>929</v>
      </c>
      <c r="BA5667" t="s">
        <v>930</v>
      </c>
      <c r="BE5667" s="3">
        <v>42216</v>
      </c>
      <c r="BF5667" s="1">
        <v>355000</v>
      </c>
      <c r="BG5667" t="s">
        <v>34747</v>
      </c>
      <c r="BH5667" s="1">
        <v>132.91</v>
      </c>
      <c r="BI5667" s="1">
        <v>370535</v>
      </c>
      <c r="BJ5667" s="3">
        <v>42597</v>
      </c>
      <c r="BK5667" t="s">
        <v>123</v>
      </c>
      <c r="BL5667" t="str">
        <f>"2016.580833"</f>
        <v>2016.580833</v>
      </c>
      <c r="BM5667" t="s">
        <v>2378</v>
      </c>
      <c r="BO5667" t="s">
        <v>34748</v>
      </c>
      <c r="BS5667">
        <v>30</v>
      </c>
      <c r="BW5667" t="str">
        <f>""</f>
        <v/>
      </c>
      <c r="CH5667" t="str">
        <f>""</f>
        <v/>
      </c>
      <c r="CS5667" t="str">
        <f>""</f>
        <v/>
      </c>
    </row>
    <row r="5668" spans="1:97" x14ac:dyDescent="0.25">
      <c r="A5668" t="s">
        <v>140</v>
      </c>
      <c r="B5668" t="s">
        <v>163</v>
      </c>
      <c r="E5668" t="s">
        <v>34749</v>
      </c>
      <c r="F5668" t="s">
        <v>108</v>
      </c>
      <c r="H5668" t="s">
        <v>34750</v>
      </c>
      <c r="I5668" t="s">
        <v>203</v>
      </c>
      <c r="J5668" t="s">
        <v>111</v>
      </c>
      <c r="K5668" t="str">
        <f>"85295"</f>
        <v>85295</v>
      </c>
      <c r="L5668" t="s">
        <v>112</v>
      </c>
      <c r="M5668" t="s">
        <v>34750</v>
      </c>
      <c r="N5668" t="s">
        <v>203</v>
      </c>
      <c r="O5668" t="s">
        <v>111</v>
      </c>
      <c r="P5668" t="str">
        <f>"85295-6180"</f>
        <v>85295-6180</v>
      </c>
      <c r="Q5668" t="s">
        <v>113</v>
      </c>
      <c r="R5668" t="str">
        <f>"304-45-775"</f>
        <v>304-45-775</v>
      </c>
      <c r="S5668" t="s">
        <v>34751</v>
      </c>
      <c r="T5668" t="s">
        <v>27282</v>
      </c>
      <c r="U5668">
        <v>2182</v>
      </c>
      <c r="V5668">
        <v>0</v>
      </c>
      <c r="W5668">
        <v>3</v>
      </c>
      <c r="X5668">
        <v>2003</v>
      </c>
      <c r="Z5668">
        <v>1</v>
      </c>
      <c r="AB5668">
        <v>0</v>
      </c>
      <c r="AC5668" t="s">
        <v>115</v>
      </c>
      <c r="AD5668">
        <v>3</v>
      </c>
      <c r="AE5668" t="s">
        <v>115</v>
      </c>
      <c r="AF5668">
        <v>0</v>
      </c>
      <c r="AG5668">
        <v>0</v>
      </c>
      <c r="AH5668" t="s">
        <v>116</v>
      </c>
      <c r="AI5668" s="1">
        <v>90807</v>
      </c>
      <c r="AJ5668" s="2">
        <v>0.26</v>
      </c>
      <c r="AK5668" s="1">
        <v>356076</v>
      </c>
      <c r="AL5668" t="s">
        <v>117</v>
      </c>
      <c r="AM5668" t="s">
        <v>191</v>
      </c>
      <c r="AN5668">
        <v>7590</v>
      </c>
      <c r="AO5668">
        <v>0.17</v>
      </c>
      <c r="AP5668">
        <v>1</v>
      </c>
      <c r="AR5668">
        <v>1</v>
      </c>
      <c r="AS5668" s="1">
        <v>25860</v>
      </c>
      <c r="AT5668" s="1">
        <v>5170</v>
      </c>
      <c r="AU5668" s="1">
        <v>20690</v>
      </c>
      <c r="AV5668">
        <v>80.010000000000005</v>
      </c>
      <c r="AX5668" s="1">
        <v>1909.3</v>
      </c>
      <c r="AY5668" t="s">
        <v>1818</v>
      </c>
      <c r="AZ5668" t="s">
        <v>207</v>
      </c>
      <c r="BA5668" t="s">
        <v>208</v>
      </c>
      <c r="BE5668" s="3">
        <v>41718</v>
      </c>
      <c r="BF5668" s="1">
        <v>260000</v>
      </c>
      <c r="BG5668" t="s">
        <v>34752</v>
      </c>
      <c r="BH5668" s="1">
        <v>119.16</v>
      </c>
      <c r="BI5668" s="1">
        <v>265269</v>
      </c>
      <c r="BJ5668" s="3">
        <v>42557</v>
      </c>
      <c r="BK5668" t="s">
        <v>123</v>
      </c>
      <c r="BL5668" t="str">
        <f>"2016.471578"</f>
        <v>2016.471578</v>
      </c>
      <c r="BM5668" t="s">
        <v>709</v>
      </c>
      <c r="BN5668" t="s">
        <v>863</v>
      </c>
      <c r="BO5668" t="s">
        <v>34753</v>
      </c>
      <c r="BQ5668" t="str">
        <f>"2.9900%"</f>
        <v>2.9900%</v>
      </c>
      <c r="BR5668" t="s">
        <v>1480</v>
      </c>
      <c r="BS5668">
        <v>30</v>
      </c>
      <c r="BT5668" s="1">
        <v>265269</v>
      </c>
      <c r="BU5668" s="3">
        <v>42557</v>
      </c>
      <c r="BV5668" t="s">
        <v>123</v>
      </c>
      <c r="BW5668" t="str">
        <f>"2016.471578"</f>
        <v>2016.471578</v>
      </c>
      <c r="BX5668" t="s">
        <v>709</v>
      </c>
      <c r="BZ5668" t="s">
        <v>34753</v>
      </c>
      <c r="CB5668" t="str">
        <f>"2.9900%"</f>
        <v>2.9900%</v>
      </c>
      <c r="CC5668" t="s">
        <v>1480</v>
      </c>
      <c r="CD5668">
        <v>30</v>
      </c>
      <c r="CH5668" t="str">
        <f>""</f>
        <v/>
      </c>
      <c r="CS5668" t="str">
        <f>""</f>
        <v/>
      </c>
    </row>
    <row r="5669" spans="1:97" x14ac:dyDescent="0.25">
      <c r="A5669" t="s">
        <v>2374</v>
      </c>
      <c r="B5669" t="s">
        <v>7143</v>
      </c>
      <c r="C5669" t="s">
        <v>2261</v>
      </c>
      <c r="D5669" t="s">
        <v>7143</v>
      </c>
      <c r="E5669" t="s">
        <v>34754</v>
      </c>
      <c r="F5669" t="s">
        <v>108</v>
      </c>
      <c r="H5669" t="s">
        <v>34755</v>
      </c>
      <c r="I5669" t="s">
        <v>499</v>
      </c>
      <c r="J5669" t="s">
        <v>111</v>
      </c>
      <c r="K5669" t="str">
        <f>"85395"</f>
        <v>85395</v>
      </c>
      <c r="L5669" t="s">
        <v>168</v>
      </c>
      <c r="M5669" t="s">
        <v>34755</v>
      </c>
      <c r="N5669" t="s">
        <v>499</v>
      </c>
      <c r="O5669" t="s">
        <v>111</v>
      </c>
      <c r="P5669" t="str">
        <f>"85395-8816"</f>
        <v>85395-8816</v>
      </c>
      <c r="Q5669" t="s">
        <v>113</v>
      </c>
      <c r="R5669" t="str">
        <f>"501-87-125"</f>
        <v>501-87-125</v>
      </c>
      <c r="S5669" t="s">
        <v>27734</v>
      </c>
      <c r="U5669">
        <v>1875</v>
      </c>
      <c r="V5669">
        <v>0</v>
      </c>
      <c r="W5669">
        <v>3</v>
      </c>
      <c r="X5669">
        <v>1999</v>
      </c>
      <c r="Z5669">
        <v>1</v>
      </c>
      <c r="AB5669">
        <v>0</v>
      </c>
      <c r="AC5669" t="s">
        <v>115</v>
      </c>
      <c r="AD5669">
        <v>2</v>
      </c>
      <c r="AE5669" t="s">
        <v>115</v>
      </c>
      <c r="AF5669">
        <v>0</v>
      </c>
      <c r="AG5669">
        <v>0</v>
      </c>
      <c r="AH5669" t="s">
        <v>116</v>
      </c>
      <c r="AI5669" s="1">
        <v>52464</v>
      </c>
      <c r="AJ5669" s="2">
        <v>0.15</v>
      </c>
      <c r="AK5669" s="1">
        <v>346964</v>
      </c>
      <c r="AL5669" t="s">
        <v>117</v>
      </c>
      <c r="AM5669" t="s">
        <v>118</v>
      </c>
      <c r="AN5669">
        <v>8332</v>
      </c>
      <c r="AO5669">
        <v>0.19</v>
      </c>
      <c r="AP5669">
        <v>1</v>
      </c>
      <c r="AR5669">
        <v>1</v>
      </c>
      <c r="AS5669" s="1">
        <v>23500</v>
      </c>
      <c r="AT5669" s="1">
        <v>4700</v>
      </c>
      <c r="AU5669" s="1">
        <v>18800</v>
      </c>
      <c r="AV5669">
        <v>80</v>
      </c>
      <c r="AX5669" s="1">
        <v>2808.68</v>
      </c>
      <c r="AY5669" t="s">
        <v>3020</v>
      </c>
      <c r="AZ5669" t="s">
        <v>3020</v>
      </c>
      <c r="BA5669" t="s">
        <v>218</v>
      </c>
      <c r="BE5669" s="3">
        <v>41963</v>
      </c>
      <c r="BF5669" s="1">
        <v>294500</v>
      </c>
      <c r="BG5669" t="s">
        <v>34756</v>
      </c>
      <c r="BH5669" s="1">
        <v>157.07</v>
      </c>
      <c r="BI5669" s="1">
        <v>294500</v>
      </c>
      <c r="BJ5669" s="3">
        <v>41963</v>
      </c>
      <c r="BK5669" t="s">
        <v>123</v>
      </c>
      <c r="BL5669" t="str">
        <f>"2014.769516"</f>
        <v>2014.769516</v>
      </c>
      <c r="BM5669" t="s">
        <v>1287</v>
      </c>
      <c r="BO5669" t="s">
        <v>34757</v>
      </c>
      <c r="BS5669">
        <v>30</v>
      </c>
      <c r="BW5669" t="str">
        <f>""</f>
        <v/>
      </c>
      <c r="CH5669" t="str">
        <f>""</f>
        <v/>
      </c>
      <c r="CS5669" t="str">
        <f>""</f>
        <v/>
      </c>
    </row>
    <row r="5670" spans="1:97" x14ac:dyDescent="0.25">
      <c r="A5670" t="s">
        <v>5771</v>
      </c>
      <c r="B5670" t="s">
        <v>34758</v>
      </c>
      <c r="C5670" t="s">
        <v>2762</v>
      </c>
      <c r="D5670" t="s">
        <v>34759</v>
      </c>
      <c r="E5670" t="s">
        <v>34760</v>
      </c>
      <c r="F5670" t="s">
        <v>108</v>
      </c>
      <c r="H5670" t="s">
        <v>34761</v>
      </c>
      <c r="I5670" t="s">
        <v>390</v>
      </c>
      <c r="J5670" t="s">
        <v>111</v>
      </c>
      <c r="K5670" t="str">
        <f>"85050"</f>
        <v>85050</v>
      </c>
      <c r="L5670" t="s">
        <v>7746</v>
      </c>
      <c r="M5670" t="s">
        <v>34761</v>
      </c>
      <c r="N5670" t="s">
        <v>390</v>
      </c>
      <c r="O5670" t="s">
        <v>111</v>
      </c>
      <c r="P5670" t="str">
        <f>"85050-6884"</f>
        <v>85050-6884</v>
      </c>
      <c r="Q5670" t="s">
        <v>113</v>
      </c>
      <c r="R5670" t="str">
        <f>"212-34-773"</f>
        <v>212-34-773</v>
      </c>
      <c r="S5670" t="s">
        <v>34762</v>
      </c>
      <c r="U5670">
        <v>2971</v>
      </c>
      <c r="V5670">
        <v>0</v>
      </c>
      <c r="W5670">
        <v>4</v>
      </c>
      <c r="X5670">
        <v>1996</v>
      </c>
      <c r="Z5670">
        <v>1</v>
      </c>
      <c r="AA5670" t="s">
        <v>26</v>
      </c>
      <c r="AB5670">
        <v>0</v>
      </c>
      <c r="AC5670" t="s">
        <v>115</v>
      </c>
      <c r="AD5670">
        <v>3</v>
      </c>
      <c r="AE5670" t="s">
        <v>115</v>
      </c>
      <c r="AF5670">
        <v>0</v>
      </c>
      <c r="AG5670">
        <v>0</v>
      </c>
      <c r="AH5670" t="s">
        <v>116</v>
      </c>
      <c r="AI5670" s="1">
        <v>128038</v>
      </c>
      <c r="AJ5670" s="2">
        <v>0.2</v>
      </c>
      <c r="AK5670" s="1">
        <v>624626</v>
      </c>
      <c r="AL5670" t="s">
        <v>117</v>
      </c>
      <c r="AM5670" t="s">
        <v>171</v>
      </c>
      <c r="AN5670">
        <v>11175</v>
      </c>
      <c r="AO5670">
        <v>0.26</v>
      </c>
      <c r="AP5670">
        <v>1</v>
      </c>
      <c r="AR5670">
        <v>1</v>
      </c>
      <c r="AS5670" s="1">
        <v>47010</v>
      </c>
      <c r="AT5670" s="1">
        <v>9400</v>
      </c>
      <c r="AU5670" s="1">
        <v>37610</v>
      </c>
      <c r="AV5670">
        <v>80</v>
      </c>
      <c r="AX5670" s="1">
        <v>5076.82</v>
      </c>
      <c r="AY5670" t="s">
        <v>6351</v>
      </c>
      <c r="AZ5670" t="s">
        <v>6352</v>
      </c>
      <c r="BA5670" t="s">
        <v>762</v>
      </c>
      <c r="BE5670" s="3">
        <v>42177</v>
      </c>
      <c r="BF5670" s="1">
        <v>515000</v>
      </c>
      <c r="BG5670" t="s">
        <v>34763</v>
      </c>
      <c r="BH5670" s="1">
        <v>173.34</v>
      </c>
      <c r="BI5670" s="1">
        <v>496588</v>
      </c>
      <c r="BJ5670" s="3">
        <v>42177</v>
      </c>
      <c r="BK5670" t="s">
        <v>123</v>
      </c>
      <c r="BL5670" t="str">
        <f>"2015.444262"</f>
        <v>2015.444262</v>
      </c>
      <c r="BM5670" t="s">
        <v>1038</v>
      </c>
      <c r="BO5670" t="s">
        <v>34764</v>
      </c>
      <c r="BP5670" t="s">
        <v>34765</v>
      </c>
      <c r="BS5670">
        <v>30</v>
      </c>
      <c r="BW5670" t="str">
        <f>""</f>
        <v/>
      </c>
      <c r="CH5670" t="str">
        <f>""</f>
        <v/>
      </c>
      <c r="CS5670" t="str">
        <f>""</f>
        <v/>
      </c>
    </row>
    <row r="5671" spans="1:97" x14ac:dyDescent="0.25">
      <c r="A5671" t="s">
        <v>305</v>
      </c>
      <c r="B5671" t="s">
        <v>20171</v>
      </c>
      <c r="E5671" t="s">
        <v>34766</v>
      </c>
      <c r="F5671" t="s">
        <v>108</v>
      </c>
      <c r="H5671" t="s">
        <v>34767</v>
      </c>
      <c r="I5671" t="s">
        <v>453</v>
      </c>
      <c r="J5671" t="s">
        <v>111</v>
      </c>
      <c r="K5671" t="str">
        <f>"85381"</f>
        <v>85381</v>
      </c>
      <c r="L5671" t="s">
        <v>1312</v>
      </c>
      <c r="M5671" t="s">
        <v>34767</v>
      </c>
      <c r="N5671" t="s">
        <v>453</v>
      </c>
      <c r="O5671" t="s">
        <v>111</v>
      </c>
      <c r="P5671" t="str">
        <f>"85381-8180"</f>
        <v>85381-8180</v>
      </c>
      <c r="Q5671" t="s">
        <v>113</v>
      </c>
      <c r="R5671" t="str">
        <f>"200-79-858"</f>
        <v>200-79-858</v>
      </c>
      <c r="S5671" t="s">
        <v>20383</v>
      </c>
      <c r="T5671" t="s">
        <v>20383</v>
      </c>
      <c r="U5671">
        <v>3026</v>
      </c>
      <c r="V5671">
        <v>0</v>
      </c>
      <c r="W5671">
        <v>4</v>
      </c>
      <c r="X5671">
        <v>1995</v>
      </c>
      <c r="Z5671">
        <v>2</v>
      </c>
      <c r="AB5671">
        <v>0</v>
      </c>
      <c r="AC5671" t="s">
        <v>115</v>
      </c>
      <c r="AD5671">
        <v>3</v>
      </c>
      <c r="AE5671" t="s">
        <v>115</v>
      </c>
      <c r="AF5671">
        <v>0</v>
      </c>
      <c r="AG5671">
        <v>0</v>
      </c>
      <c r="AH5671" t="s">
        <v>116</v>
      </c>
      <c r="AI5671" s="1">
        <v>80627</v>
      </c>
      <c r="AJ5671" s="2">
        <v>0.22</v>
      </c>
      <c r="AK5671" s="1">
        <v>365218</v>
      </c>
      <c r="AL5671" t="s">
        <v>117</v>
      </c>
      <c r="AM5671" t="s">
        <v>171</v>
      </c>
      <c r="AN5671">
        <v>8198</v>
      </c>
      <c r="AO5671">
        <v>0.19</v>
      </c>
      <c r="AP5671">
        <v>1</v>
      </c>
      <c r="AR5671">
        <v>1</v>
      </c>
      <c r="AS5671" s="1">
        <v>27280</v>
      </c>
      <c r="AT5671" s="1">
        <v>5450</v>
      </c>
      <c r="AU5671" s="1">
        <v>21830</v>
      </c>
      <c r="AV5671">
        <v>80.02</v>
      </c>
      <c r="AX5671" s="1">
        <v>2203.1799999999998</v>
      </c>
      <c r="AY5671" t="s">
        <v>5629</v>
      </c>
      <c r="AZ5671" t="s">
        <v>5629</v>
      </c>
      <c r="BA5671" t="s">
        <v>4007</v>
      </c>
      <c r="BE5671" s="3">
        <v>41911</v>
      </c>
      <c r="BF5671" s="1">
        <v>275500</v>
      </c>
      <c r="BG5671" t="s">
        <v>34768</v>
      </c>
      <c r="BH5671" s="1">
        <v>91.04</v>
      </c>
      <c r="BI5671" s="1">
        <v>284591</v>
      </c>
      <c r="BJ5671" s="3">
        <v>41911</v>
      </c>
      <c r="BK5671" t="s">
        <v>123</v>
      </c>
      <c r="BL5671" t="str">
        <f>"2014.640923"</f>
        <v>2014.640923</v>
      </c>
      <c r="BM5671" t="s">
        <v>135</v>
      </c>
      <c r="BO5671" t="s">
        <v>34769</v>
      </c>
      <c r="BS5671">
        <v>30</v>
      </c>
      <c r="BW5671" t="str">
        <f>""</f>
        <v/>
      </c>
      <c r="CH5671" t="str">
        <f>""</f>
        <v/>
      </c>
      <c r="CS5671" t="str">
        <f>""</f>
        <v/>
      </c>
    </row>
    <row r="5672" spans="1:97" x14ac:dyDescent="0.25">
      <c r="A5672" t="s">
        <v>11040</v>
      </c>
      <c r="B5672" t="s">
        <v>2007</v>
      </c>
      <c r="C5672" t="s">
        <v>489</v>
      </c>
      <c r="D5672" t="s">
        <v>2007</v>
      </c>
      <c r="E5672" t="s">
        <v>34770</v>
      </c>
      <c r="F5672" t="s">
        <v>108</v>
      </c>
      <c r="H5672" t="s">
        <v>34771</v>
      </c>
      <c r="I5672" t="s">
        <v>390</v>
      </c>
      <c r="J5672" t="s">
        <v>111</v>
      </c>
      <c r="K5672" t="str">
        <f>"85023"</f>
        <v>85023</v>
      </c>
      <c r="L5672" t="s">
        <v>5248</v>
      </c>
      <c r="M5672" t="s">
        <v>34771</v>
      </c>
      <c r="N5672" t="s">
        <v>390</v>
      </c>
      <c r="O5672" t="s">
        <v>111</v>
      </c>
      <c r="P5672" t="str">
        <f>"85023-2105"</f>
        <v>85023-2105</v>
      </c>
      <c r="Q5672" t="s">
        <v>113</v>
      </c>
      <c r="R5672" t="str">
        <f>"208-22-020"</f>
        <v>208-22-020</v>
      </c>
      <c r="S5672" t="s">
        <v>34772</v>
      </c>
      <c r="T5672" t="s">
        <v>23316</v>
      </c>
      <c r="U5672">
        <v>2432</v>
      </c>
      <c r="V5672">
        <v>0</v>
      </c>
      <c r="W5672">
        <v>2</v>
      </c>
      <c r="X5672">
        <v>1971</v>
      </c>
      <c r="Z5672">
        <v>1</v>
      </c>
      <c r="AA5672" t="s">
        <v>26</v>
      </c>
      <c r="AB5672">
        <v>0</v>
      </c>
      <c r="AC5672" t="s">
        <v>7038</v>
      </c>
      <c r="AD5672">
        <v>0</v>
      </c>
      <c r="AE5672" t="s">
        <v>7038</v>
      </c>
      <c r="AF5672">
        <v>0</v>
      </c>
      <c r="AG5672">
        <v>0</v>
      </c>
      <c r="AH5672" t="s">
        <v>116</v>
      </c>
      <c r="AI5672" s="1">
        <v>60808</v>
      </c>
      <c r="AJ5672" s="2">
        <v>0.22</v>
      </c>
      <c r="AK5672" s="1">
        <v>272769</v>
      </c>
      <c r="AL5672" t="s">
        <v>117</v>
      </c>
      <c r="AM5672" t="s">
        <v>171</v>
      </c>
      <c r="AN5672">
        <v>8621</v>
      </c>
      <c r="AO5672">
        <v>0.2</v>
      </c>
      <c r="AP5672">
        <v>1</v>
      </c>
      <c r="AR5672">
        <v>1</v>
      </c>
      <c r="AS5672" s="1">
        <v>19470</v>
      </c>
      <c r="AT5672" s="1">
        <v>3890</v>
      </c>
      <c r="AU5672" s="1">
        <v>15580</v>
      </c>
      <c r="AV5672">
        <v>80.02</v>
      </c>
      <c r="AX5672" s="1">
        <v>1502.68</v>
      </c>
      <c r="AY5672" t="s">
        <v>9648</v>
      </c>
      <c r="AZ5672" t="s">
        <v>2357</v>
      </c>
      <c r="BA5672" t="s">
        <v>1462</v>
      </c>
      <c r="BE5672" s="3">
        <v>42320</v>
      </c>
      <c r="BF5672" s="1">
        <v>207500</v>
      </c>
      <c r="BG5672" t="s">
        <v>34773</v>
      </c>
      <c r="BH5672" s="1">
        <v>85.32</v>
      </c>
      <c r="BI5672" s="1">
        <v>211961</v>
      </c>
      <c r="BJ5672" s="3">
        <v>42320</v>
      </c>
      <c r="BK5672" t="s">
        <v>123</v>
      </c>
      <c r="BL5672" t="str">
        <f>"2015.811722"</f>
        <v>2015.811722</v>
      </c>
      <c r="BM5672" t="s">
        <v>594</v>
      </c>
      <c r="BO5672" t="s">
        <v>34774</v>
      </c>
      <c r="BS5672">
        <v>30</v>
      </c>
      <c r="BW5672" t="str">
        <f>""</f>
        <v/>
      </c>
      <c r="CH5672" t="str">
        <f>""</f>
        <v/>
      </c>
      <c r="CS5672" t="str">
        <f>""</f>
        <v/>
      </c>
    </row>
    <row r="5673" spans="1:97" x14ac:dyDescent="0.25">
      <c r="A5673" t="s">
        <v>1421</v>
      </c>
      <c r="B5673" t="s">
        <v>34775</v>
      </c>
      <c r="C5673" t="s">
        <v>34776</v>
      </c>
      <c r="D5673" t="s">
        <v>34777</v>
      </c>
      <c r="E5673" t="s">
        <v>34778</v>
      </c>
      <c r="F5673" t="s">
        <v>108</v>
      </c>
      <c r="H5673" t="s">
        <v>34779</v>
      </c>
      <c r="I5673" t="s">
        <v>390</v>
      </c>
      <c r="J5673" t="s">
        <v>111</v>
      </c>
      <c r="K5673" t="str">
        <f>"85022"</f>
        <v>85022</v>
      </c>
      <c r="L5673" t="s">
        <v>5539</v>
      </c>
      <c r="M5673" t="s">
        <v>34779</v>
      </c>
      <c r="N5673" t="s">
        <v>390</v>
      </c>
      <c r="O5673" t="s">
        <v>111</v>
      </c>
      <c r="P5673" t="str">
        <f>"85022-4638"</f>
        <v>85022-4638</v>
      </c>
      <c r="Q5673" t="s">
        <v>113</v>
      </c>
      <c r="R5673" t="str">
        <f>"214-51-253"</f>
        <v>214-51-253</v>
      </c>
      <c r="S5673" t="s">
        <v>29351</v>
      </c>
      <c r="T5673" t="s">
        <v>1397</v>
      </c>
      <c r="U5673">
        <v>2214</v>
      </c>
      <c r="V5673">
        <v>0</v>
      </c>
      <c r="W5673">
        <v>4</v>
      </c>
      <c r="X5673">
        <v>1983</v>
      </c>
      <c r="Z5673">
        <v>2</v>
      </c>
      <c r="AA5673" t="s">
        <v>26</v>
      </c>
      <c r="AB5673">
        <v>0</v>
      </c>
      <c r="AC5673" t="s">
        <v>115</v>
      </c>
      <c r="AD5673">
        <v>2</v>
      </c>
      <c r="AE5673" t="s">
        <v>115</v>
      </c>
      <c r="AF5673">
        <v>0</v>
      </c>
      <c r="AG5673">
        <v>0</v>
      </c>
      <c r="AH5673" t="s">
        <v>116</v>
      </c>
      <c r="AI5673" s="1">
        <v>88185</v>
      </c>
      <c r="AJ5673" s="2">
        <v>0.23</v>
      </c>
      <c r="AK5673" s="1">
        <v>380334</v>
      </c>
      <c r="AL5673" t="s">
        <v>117</v>
      </c>
      <c r="AM5673" t="s">
        <v>191</v>
      </c>
      <c r="AN5673">
        <v>8998</v>
      </c>
      <c r="AO5673">
        <v>0.21</v>
      </c>
      <c r="AP5673">
        <v>1</v>
      </c>
      <c r="AR5673">
        <v>1</v>
      </c>
      <c r="AS5673" s="1">
        <v>27120</v>
      </c>
      <c r="AT5673" s="1">
        <v>5420</v>
      </c>
      <c r="AU5673" s="1">
        <v>21700</v>
      </c>
      <c r="AV5673">
        <v>80.010000000000005</v>
      </c>
      <c r="AX5673" s="1">
        <v>2183.64</v>
      </c>
      <c r="AY5673" t="s">
        <v>5802</v>
      </c>
      <c r="AZ5673" t="s">
        <v>5489</v>
      </c>
      <c r="BA5673" t="s">
        <v>5232</v>
      </c>
      <c r="BE5673" s="3">
        <v>42219</v>
      </c>
      <c r="BF5673" s="1">
        <v>286000</v>
      </c>
      <c r="BG5673" t="s">
        <v>34780</v>
      </c>
      <c r="BH5673" s="1">
        <v>128.71</v>
      </c>
      <c r="BI5673" s="1">
        <v>292149</v>
      </c>
      <c r="BJ5673" s="3">
        <v>42219</v>
      </c>
      <c r="BK5673" t="s">
        <v>123</v>
      </c>
      <c r="BL5673" t="str">
        <f>"2015.560447"</f>
        <v>2015.560447</v>
      </c>
      <c r="BM5673" t="s">
        <v>544</v>
      </c>
      <c r="BO5673" t="s">
        <v>34781</v>
      </c>
      <c r="BP5673" t="s">
        <v>34782</v>
      </c>
      <c r="BS5673">
        <v>30</v>
      </c>
      <c r="BW5673" t="str">
        <f>""</f>
        <v/>
      </c>
      <c r="CH5673" t="str">
        <f>""</f>
        <v/>
      </c>
      <c r="CS5673" t="str">
        <f>""</f>
        <v/>
      </c>
    </row>
    <row r="5674" spans="1:97" x14ac:dyDescent="0.25">
      <c r="A5674" t="s">
        <v>12368</v>
      </c>
      <c r="B5674" t="s">
        <v>4864</v>
      </c>
      <c r="C5674" t="s">
        <v>1423</v>
      </c>
      <c r="D5674" t="s">
        <v>34783</v>
      </c>
      <c r="E5674" t="s">
        <v>34784</v>
      </c>
      <c r="F5674" t="s">
        <v>108</v>
      </c>
      <c r="H5674" t="s">
        <v>34785</v>
      </c>
      <c r="I5674" t="s">
        <v>2874</v>
      </c>
      <c r="J5674" t="s">
        <v>111</v>
      </c>
      <c r="K5674" t="str">
        <f>"85302"</f>
        <v>85302</v>
      </c>
      <c r="L5674" t="s">
        <v>3982</v>
      </c>
      <c r="M5674" t="s">
        <v>34785</v>
      </c>
      <c r="N5674" t="s">
        <v>2874</v>
      </c>
      <c r="O5674" t="s">
        <v>111</v>
      </c>
      <c r="P5674" t="str">
        <f>"85302-1307"</f>
        <v>85302-1307</v>
      </c>
      <c r="Q5674" t="s">
        <v>113</v>
      </c>
      <c r="R5674" t="str">
        <f>"148-23-344"</f>
        <v>148-23-344</v>
      </c>
      <c r="S5674" t="s">
        <v>10485</v>
      </c>
      <c r="T5674" t="s">
        <v>10485</v>
      </c>
      <c r="U5674">
        <v>2013</v>
      </c>
      <c r="V5674">
        <v>0</v>
      </c>
      <c r="W5674">
        <v>3</v>
      </c>
      <c r="X5674">
        <v>1994</v>
      </c>
      <c r="Z5674">
        <v>1</v>
      </c>
      <c r="AA5674" t="s">
        <v>26</v>
      </c>
      <c r="AB5674">
        <v>0</v>
      </c>
      <c r="AC5674" t="s">
        <v>115</v>
      </c>
      <c r="AD5674">
        <v>2</v>
      </c>
      <c r="AE5674" t="s">
        <v>115</v>
      </c>
      <c r="AF5674">
        <v>0</v>
      </c>
      <c r="AG5674">
        <v>0</v>
      </c>
      <c r="AH5674" t="s">
        <v>116</v>
      </c>
      <c r="AI5674" s="1">
        <v>79927</v>
      </c>
      <c r="AJ5674" s="2">
        <v>0.26</v>
      </c>
      <c r="AK5674" s="1">
        <v>306327</v>
      </c>
      <c r="AL5674" t="s">
        <v>117</v>
      </c>
      <c r="AM5674" t="s">
        <v>393</v>
      </c>
      <c r="AN5674">
        <v>7780</v>
      </c>
      <c r="AO5674">
        <v>0.18</v>
      </c>
      <c r="AP5674">
        <v>1</v>
      </c>
      <c r="AR5674">
        <v>1</v>
      </c>
      <c r="AS5674" s="1">
        <v>23150</v>
      </c>
      <c r="AT5674" s="1">
        <v>4630</v>
      </c>
      <c r="AU5674" s="1">
        <v>18520</v>
      </c>
      <c r="AV5674">
        <v>80</v>
      </c>
      <c r="AX5674" s="1">
        <v>1607.76</v>
      </c>
      <c r="AY5674" t="s">
        <v>8680</v>
      </c>
      <c r="AZ5674" t="s">
        <v>8680</v>
      </c>
      <c r="BA5674" t="s">
        <v>8681</v>
      </c>
      <c r="BE5674" s="3">
        <v>42395</v>
      </c>
      <c r="BF5674" s="1">
        <v>224000</v>
      </c>
      <c r="BG5674" t="s">
        <v>34786</v>
      </c>
      <c r="BH5674" s="1">
        <v>113.82</v>
      </c>
      <c r="BI5674" s="1">
        <v>226400</v>
      </c>
      <c r="BJ5674" s="3">
        <v>42523</v>
      </c>
      <c r="BK5674" t="s">
        <v>123</v>
      </c>
      <c r="BL5674" t="str">
        <f>"2016.381825"</f>
        <v>2016.381825</v>
      </c>
      <c r="BM5674" t="s">
        <v>248</v>
      </c>
      <c r="BO5674" t="s">
        <v>34787</v>
      </c>
      <c r="BP5674" t="s">
        <v>34788</v>
      </c>
      <c r="BS5674">
        <v>30</v>
      </c>
      <c r="BW5674" t="str">
        <f>""</f>
        <v/>
      </c>
      <c r="CH5674" t="str">
        <f>""</f>
        <v/>
      </c>
      <c r="CS5674" t="str">
        <f>""</f>
        <v/>
      </c>
    </row>
    <row r="5675" spans="1:97" x14ac:dyDescent="0.25">
      <c r="A5675" t="s">
        <v>21749</v>
      </c>
      <c r="B5675" t="s">
        <v>31202</v>
      </c>
      <c r="C5675" t="s">
        <v>2469</v>
      </c>
      <c r="D5675" t="s">
        <v>31202</v>
      </c>
      <c r="E5675" t="s">
        <v>34789</v>
      </c>
      <c r="F5675" t="s">
        <v>108</v>
      </c>
      <c r="H5675" t="s">
        <v>34790</v>
      </c>
      <c r="I5675" t="s">
        <v>203</v>
      </c>
      <c r="J5675" t="s">
        <v>111</v>
      </c>
      <c r="K5675" t="str">
        <f>"85234"</f>
        <v>85234</v>
      </c>
      <c r="L5675" t="s">
        <v>9069</v>
      </c>
      <c r="M5675" t="s">
        <v>34790</v>
      </c>
      <c r="N5675" t="s">
        <v>203</v>
      </c>
      <c r="O5675" t="s">
        <v>111</v>
      </c>
      <c r="P5675" t="str">
        <f>"85234-8017"</f>
        <v>85234-8017</v>
      </c>
      <c r="Q5675" t="s">
        <v>113</v>
      </c>
      <c r="R5675" t="str">
        <f>"309-04-802"</f>
        <v>309-04-802</v>
      </c>
      <c r="S5675" t="s">
        <v>34791</v>
      </c>
      <c r="T5675" t="s">
        <v>34792</v>
      </c>
      <c r="U5675">
        <v>2911</v>
      </c>
      <c r="V5675">
        <v>0</v>
      </c>
      <c r="W5675">
        <v>5</v>
      </c>
      <c r="X5675">
        <v>1996</v>
      </c>
      <c r="Z5675">
        <v>2</v>
      </c>
      <c r="AB5675">
        <v>0</v>
      </c>
      <c r="AC5675" t="s">
        <v>115</v>
      </c>
      <c r="AD5675">
        <v>2</v>
      </c>
      <c r="AE5675" t="s">
        <v>115</v>
      </c>
      <c r="AF5675">
        <v>0</v>
      </c>
      <c r="AG5675">
        <v>0</v>
      </c>
      <c r="AH5675" t="s">
        <v>116</v>
      </c>
      <c r="AI5675" s="1">
        <v>177217</v>
      </c>
      <c r="AJ5675" s="2">
        <v>0.42</v>
      </c>
      <c r="AK5675" s="1">
        <v>425767</v>
      </c>
      <c r="AL5675" t="s">
        <v>117</v>
      </c>
      <c r="AM5675" t="s">
        <v>191</v>
      </c>
      <c r="AN5675">
        <v>6055</v>
      </c>
      <c r="AO5675">
        <v>0.14000000000000001</v>
      </c>
      <c r="AP5675">
        <v>1</v>
      </c>
      <c r="AR5675">
        <v>1</v>
      </c>
      <c r="AS5675" s="1">
        <v>31150</v>
      </c>
      <c r="AT5675" s="1">
        <v>6230</v>
      </c>
      <c r="AU5675" s="1">
        <v>24920</v>
      </c>
      <c r="AV5675">
        <v>80</v>
      </c>
      <c r="AX5675" s="1">
        <v>2453.8000000000002</v>
      </c>
      <c r="AY5675" t="s">
        <v>10191</v>
      </c>
      <c r="AZ5675" t="s">
        <v>571</v>
      </c>
      <c r="BA5675" t="s">
        <v>521</v>
      </c>
      <c r="BB5675" s="3">
        <v>41843</v>
      </c>
      <c r="BD5675" t="s">
        <v>240</v>
      </c>
      <c r="BE5675" s="3">
        <v>41843</v>
      </c>
      <c r="BF5675" s="1">
        <v>310000</v>
      </c>
      <c r="BG5675" t="s">
        <v>34793</v>
      </c>
      <c r="BH5675" s="1">
        <v>106.49</v>
      </c>
      <c r="BI5675" s="1">
        <v>248550</v>
      </c>
      <c r="BJ5675" s="3">
        <v>42677</v>
      </c>
      <c r="BK5675" t="s">
        <v>123</v>
      </c>
      <c r="BL5675" t="str">
        <f>"2016.814393"</f>
        <v>2016.814393</v>
      </c>
      <c r="BM5675" t="s">
        <v>124</v>
      </c>
      <c r="BO5675" t="s">
        <v>34794</v>
      </c>
      <c r="BS5675">
        <v>30</v>
      </c>
      <c r="BW5675" t="str">
        <f>""</f>
        <v/>
      </c>
      <c r="CH5675" t="str">
        <f>""</f>
        <v/>
      </c>
      <c r="CS5675" t="str">
        <f>""</f>
        <v/>
      </c>
    </row>
    <row r="5676" spans="1:97" x14ac:dyDescent="0.25">
      <c r="A5676" t="s">
        <v>1444</v>
      </c>
      <c r="B5676" t="s">
        <v>34795</v>
      </c>
      <c r="E5676" t="s">
        <v>34796</v>
      </c>
      <c r="F5676" t="s">
        <v>108</v>
      </c>
      <c r="H5676" t="s">
        <v>34797</v>
      </c>
      <c r="I5676" t="s">
        <v>5114</v>
      </c>
      <c r="J5676" t="s">
        <v>111</v>
      </c>
      <c r="K5676" t="str">
        <f>"85392"</f>
        <v>85392</v>
      </c>
      <c r="L5676" t="s">
        <v>226</v>
      </c>
      <c r="M5676" t="s">
        <v>34797</v>
      </c>
      <c r="N5676" t="s">
        <v>5114</v>
      </c>
      <c r="O5676" t="s">
        <v>111</v>
      </c>
      <c r="P5676" t="str">
        <f>"85392-4405"</f>
        <v>85392-4405</v>
      </c>
      <c r="Q5676" t="s">
        <v>113</v>
      </c>
      <c r="R5676" t="str">
        <f>"102-27-143"</f>
        <v>102-27-143</v>
      </c>
      <c r="S5676" t="s">
        <v>34798</v>
      </c>
      <c r="T5676" t="s">
        <v>14815</v>
      </c>
      <c r="U5676">
        <v>3026</v>
      </c>
      <c r="V5676">
        <v>0</v>
      </c>
      <c r="W5676">
        <v>3</v>
      </c>
      <c r="X5676">
        <v>1985</v>
      </c>
      <c r="Z5676">
        <v>1</v>
      </c>
      <c r="AB5676">
        <v>0</v>
      </c>
      <c r="AC5676" t="s">
        <v>115</v>
      </c>
      <c r="AD5676">
        <v>2</v>
      </c>
      <c r="AE5676" t="s">
        <v>115</v>
      </c>
      <c r="AF5676">
        <v>0</v>
      </c>
      <c r="AG5676">
        <v>0</v>
      </c>
      <c r="AH5676" t="s">
        <v>116</v>
      </c>
      <c r="AI5676" s="1">
        <v>72823</v>
      </c>
      <c r="AJ5676" s="2">
        <v>0.16</v>
      </c>
      <c r="AK5676" s="1">
        <v>449756</v>
      </c>
      <c r="AL5676" t="s">
        <v>117</v>
      </c>
      <c r="AM5676" t="s">
        <v>7948</v>
      </c>
      <c r="AN5676">
        <v>36804</v>
      </c>
      <c r="AO5676">
        <v>0.84</v>
      </c>
      <c r="AP5676">
        <v>1</v>
      </c>
      <c r="AR5676">
        <v>1</v>
      </c>
      <c r="AS5676" s="1">
        <v>33200</v>
      </c>
      <c r="AT5676" s="1">
        <v>6640</v>
      </c>
      <c r="AU5676" s="1">
        <v>26560</v>
      </c>
      <c r="AV5676">
        <v>80</v>
      </c>
      <c r="AX5676" s="1">
        <v>3833.9</v>
      </c>
      <c r="AY5676" t="s">
        <v>8084</v>
      </c>
      <c r="AZ5676" t="s">
        <v>8084</v>
      </c>
      <c r="BA5676" t="s">
        <v>5118</v>
      </c>
      <c r="BE5676" s="3">
        <v>42361</v>
      </c>
      <c r="BF5676" s="1">
        <v>369000</v>
      </c>
      <c r="BG5676" t="s">
        <v>34799</v>
      </c>
      <c r="BH5676" s="1">
        <v>121.94</v>
      </c>
      <c r="BI5676" s="1">
        <v>376933</v>
      </c>
      <c r="BJ5676" s="3">
        <v>42361</v>
      </c>
      <c r="BK5676" t="s">
        <v>123</v>
      </c>
      <c r="BL5676" t="str">
        <f>"2015.904214"</f>
        <v>2015.904214</v>
      </c>
      <c r="BM5676" t="s">
        <v>2716</v>
      </c>
      <c r="BO5676" t="s">
        <v>34800</v>
      </c>
      <c r="BS5676">
        <v>30</v>
      </c>
      <c r="BW5676" t="str">
        <f>""</f>
        <v/>
      </c>
      <c r="CH5676" t="str">
        <f>""</f>
        <v/>
      </c>
      <c r="CS5676" t="str">
        <f>""</f>
        <v/>
      </c>
    </row>
    <row r="5677" spans="1:97" x14ac:dyDescent="0.25">
      <c r="A5677" t="s">
        <v>1444</v>
      </c>
      <c r="B5677" t="s">
        <v>34801</v>
      </c>
      <c r="C5677" t="s">
        <v>2762</v>
      </c>
      <c r="D5677" t="s">
        <v>34801</v>
      </c>
      <c r="E5677" t="s">
        <v>34802</v>
      </c>
      <c r="F5677" t="s">
        <v>108</v>
      </c>
      <c r="H5677" t="s">
        <v>34803</v>
      </c>
      <c r="I5677" t="s">
        <v>203</v>
      </c>
      <c r="J5677" t="s">
        <v>111</v>
      </c>
      <c r="K5677" t="str">
        <f>"85295"</f>
        <v>85295</v>
      </c>
      <c r="L5677" t="s">
        <v>6529</v>
      </c>
      <c r="M5677" t="s">
        <v>34803</v>
      </c>
      <c r="N5677" t="s">
        <v>203</v>
      </c>
      <c r="O5677" t="s">
        <v>111</v>
      </c>
      <c r="P5677" t="str">
        <f>"85295-5683"</f>
        <v>85295-5683</v>
      </c>
      <c r="Q5677" t="s">
        <v>113</v>
      </c>
      <c r="R5677" t="str">
        <f>"304-41-122"</f>
        <v>304-41-122</v>
      </c>
      <c r="S5677" t="s">
        <v>13307</v>
      </c>
      <c r="U5677">
        <v>1655</v>
      </c>
      <c r="V5677">
        <v>0</v>
      </c>
      <c r="W5677">
        <v>3</v>
      </c>
      <c r="X5677">
        <v>1998</v>
      </c>
      <c r="Z5677">
        <v>1</v>
      </c>
      <c r="AB5677">
        <v>0</v>
      </c>
      <c r="AC5677" t="s">
        <v>115</v>
      </c>
      <c r="AD5677">
        <v>2</v>
      </c>
      <c r="AE5677" t="s">
        <v>115</v>
      </c>
      <c r="AF5677">
        <v>0</v>
      </c>
      <c r="AG5677">
        <v>0</v>
      </c>
      <c r="AH5677" t="s">
        <v>116</v>
      </c>
      <c r="AI5677" s="1">
        <v>71950</v>
      </c>
      <c r="AJ5677" s="2">
        <v>0.24</v>
      </c>
      <c r="AK5677" s="1">
        <v>304595</v>
      </c>
      <c r="AL5677" t="s">
        <v>117</v>
      </c>
      <c r="AM5677" t="s">
        <v>191</v>
      </c>
      <c r="AN5677">
        <v>5550</v>
      </c>
      <c r="AO5677">
        <v>0.13</v>
      </c>
      <c r="AP5677">
        <v>1</v>
      </c>
      <c r="AR5677">
        <v>1</v>
      </c>
      <c r="AS5677" s="1">
        <v>20950</v>
      </c>
      <c r="AT5677" s="1">
        <v>4190</v>
      </c>
      <c r="AU5677" s="1">
        <v>16760</v>
      </c>
      <c r="AV5677">
        <v>80</v>
      </c>
      <c r="AX5677" s="1">
        <v>1467.94</v>
      </c>
      <c r="AY5677" t="s">
        <v>9212</v>
      </c>
      <c r="AZ5677" t="s">
        <v>207</v>
      </c>
      <c r="BA5677" t="s">
        <v>208</v>
      </c>
      <c r="BE5677" s="3">
        <v>41865</v>
      </c>
      <c r="BF5677" s="1">
        <v>230000</v>
      </c>
      <c r="BG5677" t="s">
        <v>34804</v>
      </c>
      <c r="BH5677" s="1">
        <v>138.97</v>
      </c>
      <c r="BI5677" s="1">
        <v>232645</v>
      </c>
      <c r="BJ5677" s="3">
        <v>41865</v>
      </c>
      <c r="BK5677" t="s">
        <v>123</v>
      </c>
      <c r="BL5677" t="str">
        <f>"2014.536902"</f>
        <v>2014.536902</v>
      </c>
      <c r="BM5677" t="s">
        <v>135</v>
      </c>
      <c r="BO5677" t="s">
        <v>34805</v>
      </c>
      <c r="BS5677">
        <v>30</v>
      </c>
      <c r="BW5677" t="str">
        <f>""</f>
        <v/>
      </c>
      <c r="CH5677" t="str">
        <f>""</f>
        <v/>
      </c>
      <c r="CS5677" t="str">
        <f>""</f>
        <v/>
      </c>
    </row>
    <row r="5678" spans="1:97" x14ac:dyDescent="0.25">
      <c r="A5678" t="s">
        <v>34806</v>
      </c>
      <c r="B5678" t="s">
        <v>34807</v>
      </c>
      <c r="C5678" t="s">
        <v>34808</v>
      </c>
      <c r="D5678" t="s">
        <v>34809</v>
      </c>
      <c r="E5678" t="s">
        <v>34810</v>
      </c>
      <c r="F5678" t="s">
        <v>108</v>
      </c>
      <c r="H5678" t="s">
        <v>34811</v>
      </c>
      <c r="I5678" t="s">
        <v>390</v>
      </c>
      <c r="J5678" t="s">
        <v>111</v>
      </c>
      <c r="K5678" t="str">
        <f>"85045"</f>
        <v>85045</v>
      </c>
      <c r="L5678" t="s">
        <v>5138</v>
      </c>
      <c r="M5678" t="s">
        <v>34811</v>
      </c>
      <c r="N5678" t="s">
        <v>390</v>
      </c>
      <c r="O5678" t="s">
        <v>111</v>
      </c>
      <c r="P5678" t="str">
        <f>"85045"</f>
        <v>85045</v>
      </c>
      <c r="Q5678" t="s">
        <v>113</v>
      </c>
      <c r="R5678" t="str">
        <f>"311-02-174"</f>
        <v>311-02-174</v>
      </c>
      <c r="S5678" t="s">
        <v>34812</v>
      </c>
      <c r="T5678" t="s">
        <v>34813</v>
      </c>
      <c r="U5678">
        <v>1603</v>
      </c>
      <c r="V5678">
        <v>0</v>
      </c>
      <c r="W5678">
        <v>4</v>
      </c>
      <c r="X5678">
        <v>1999</v>
      </c>
      <c r="Z5678">
        <v>2</v>
      </c>
      <c r="AB5678">
        <v>0</v>
      </c>
      <c r="AC5678" t="s">
        <v>115</v>
      </c>
      <c r="AD5678">
        <v>2</v>
      </c>
      <c r="AE5678" t="s">
        <v>115</v>
      </c>
      <c r="AF5678">
        <v>0</v>
      </c>
      <c r="AG5678">
        <v>0</v>
      </c>
      <c r="AH5678" t="s">
        <v>116</v>
      </c>
      <c r="AI5678" s="1">
        <v>63050</v>
      </c>
      <c r="AJ5678" s="2">
        <v>0.21</v>
      </c>
      <c r="AK5678" s="1">
        <v>293909</v>
      </c>
      <c r="AL5678" t="s">
        <v>117</v>
      </c>
      <c r="AM5678" t="s">
        <v>118</v>
      </c>
      <c r="AN5678">
        <v>2123</v>
      </c>
      <c r="AO5678">
        <v>0.49</v>
      </c>
      <c r="AP5678">
        <v>1</v>
      </c>
      <c r="AR5678">
        <v>1</v>
      </c>
      <c r="AS5678" s="1">
        <v>20220</v>
      </c>
      <c r="AT5678" s="1">
        <v>4040</v>
      </c>
      <c r="AU5678" s="1">
        <v>16180</v>
      </c>
      <c r="AV5678">
        <v>80.02</v>
      </c>
      <c r="AX5678" s="1">
        <v>1862.16</v>
      </c>
      <c r="AY5678" t="s">
        <v>6202</v>
      </c>
      <c r="AZ5678" t="s">
        <v>2967</v>
      </c>
      <c r="BA5678" t="s">
        <v>930</v>
      </c>
      <c r="BE5678" s="3">
        <v>42324</v>
      </c>
      <c r="BF5678" s="1">
        <v>226000</v>
      </c>
      <c r="BG5678" t="s">
        <v>34814</v>
      </c>
      <c r="BH5678" s="1">
        <v>140.99</v>
      </c>
      <c r="BI5678" s="1">
        <v>230859</v>
      </c>
      <c r="BJ5678" s="3">
        <v>42324</v>
      </c>
      <c r="BK5678" t="s">
        <v>123</v>
      </c>
      <c r="BL5678" t="str">
        <f>"2015.817944"</f>
        <v>2015.817944</v>
      </c>
      <c r="BM5678" t="s">
        <v>709</v>
      </c>
      <c r="BO5678" t="s">
        <v>34815</v>
      </c>
      <c r="BP5678" t="s">
        <v>34816</v>
      </c>
      <c r="BS5678">
        <v>30</v>
      </c>
      <c r="BW5678" t="str">
        <f>""</f>
        <v/>
      </c>
      <c r="CH5678" t="str">
        <f>""</f>
        <v/>
      </c>
      <c r="CS5678" t="str">
        <f>""</f>
        <v/>
      </c>
    </row>
    <row r="5679" spans="1:97" x14ac:dyDescent="0.25">
      <c r="A5679" t="s">
        <v>894</v>
      </c>
      <c r="B5679" t="s">
        <v>4718</v>
      </c>
      <c r="E5679" t="s">
        <v>34817</v>
      </c>
      <c r="F5679" t="s">
        <v>108</v>
      </c>
      <c r="H5679" t="s">
        <v>34818</v>
      </c>
      <c r="I5679" t="s">
        <v>188</v>
      </c>
      <c r="J5679" t="s">
        <v>111</v>
      </c>
      <c r="K5679" t="str">
        <f>"85142"</f>
        <v>85142</v>
      </c>
      <c r="L5679" t="s">
        <v>2197</v>
      </c>
      <c r="M5679" t="s">
        <v>34818</v>
      </c>
      <c r="N5679" t="s">
        <v>188</v>
      </c>
      <c r="O5679" t="s">
        <v>111</v>
      </c>
      <c r="P5679" t="str">
        <f>"85142-6408"</f>
        <v>85142-6408</v>
      </c>
      <c r="Q5679" t="s">
        <v>113</v>
      </c>
      <c r="R5679" t="str">
        <f>"304-89-492"</f>
        <v>304-89-492</v>
      </c>
      <c r="S5679" t="s">
        <v>7403</v>
      </c>
      <c r="T5679" t="s">
        <v>7403</v>
      </c>
      <c r="U5679">
        <v>2337</v>
      </c>
      <c r="V5679">
        <v>0</v>
      </c>
      <c r="W5679">
        <v>3</v>
      </c>
      <c r="X5679">
        <v>2015</v>
      </c>
      <c r="Z5679">
        <v>1</v>
      </c>
      <c r="AB5679">
        <v>0</v>
      </c>
      <c r="AC5679" t="s">
        <v>115</v>
      </c>
      <c r="AD5679">
        <v>3</v>
      </c>
      <c r="AE5679" t="s">
        <v>115</v>
      </c>
      <c r="AF5679">
        <v>0</v>
      </c>
      <c r="AG5679">
        <v>0</v>
      </c>
      <c r="AH5679" t="s">
        <v>116</v>
      </c>
      <c r="AI5679" s="1">
        <v>70419</v>
      </c>
      <c r="AJ5679" s="2">
        <v>0.19</v>
      </c>
      <c r="AK5679" s="1">
        <v>374110</v>
      </c>
      <c r="AL5679" t="s">
        <v>117</v>
      </c>
      <c r="AM5679" t="s">
        <v>393</v>
      </c>
      <c r="AN5679">
        <v>7800</v>
      </c>
      <c r="AO5679">
        <v>0.18</v>
      </c>
      <c r="AR5679">
        <v>1</v>
      </c>
      <c r="AS5679" s="1">
        <v>27630</v>
      </c>
      <c r="AT5679" s="1">
        <v>5520</v>
      </c>
      <c r="AU5679" s="1">
        <v>22110</v>
      </c>
      <c r="AV5679">
        <v>80.02</v>
      </c>
      <c r="AX5679" s="1">
        <v>2590.84</v>
      </c>
      <c r="AY5679" t="s">
        <v>192</v>
      </c>
      <c r="AZ5679" t="s">
        <v>193</v>
      </c>
      <c r="BA5679" t="s">
        <v>194</v>
      </c>
      <c r="BE5679" s="3">
        <v>42404</v>
      </c>
      <c r="BF5679" s="1">
        <v>293990</v>
      </c>
      <c r="BG5679" t="s">
        <v>562</v>
      </c>
      <c r="BH5679" s="1">
        <v>125.8</v>
      </c>
      <c r="BI5679" s="1">
        <v>303691</v>
      </c>
      <c r="BJ5679" s="3">
        <v>42404</v>
      </c>
      <c r="BK5679" t="s">
        <v>123</v>
      </c>
      <c r="BL5679" t="str">
        <f>"2016.73514"</f>
        <v>2016.73514</v>
      </c>
      <c r="BM5679" t="s">
        <v>175</v>
      </c>
      <c r="BO5679" t="s">
        <v>34819</v>
      </c>
      <c r="BS5679">
        <v>30</v>
      </c>
      <c r="BW5679" t="str">
        <f>""</f>
        <v/>
      </c>
      <c r="CH5679" t="str">
        <f>""</f>
        <v/>
      </c>
      <c r="CS5679" t="str">
        <f>""</f>
        <v/>
      </c>
    </row>
    <row r="5680" spans="1:97" x14ac:dyDescent="0.25">
      <c r="A5680" t="s">
        <v>1272</v>
      </c>
      <c r="B5680" t="s">
        <v>34820</v>
      </c>
      <c r="C5680" t="s">
        <v>1769</v>
      </c>
      <c r="D5680" t="s">
        <v>34820</v>
      </c>
      <c r="E5680" t="s">
        <v>34821</v>
      </c>
      <c r="F5680" t="s">
        <v>108</v>
      </c>
      <c r="H5680" t="s">
        <v>34822</v>
      </c>
      <c r="I5680" t="s">
        <v>632</v>
      </c>
      <c r="J5680" t="s">
        <v>111</v>
      </c>
      <c r="K5680" t="str">
        <f>"85379"</f>
        <v>85379</v>
      </c>
      <c r="L5680" t="s">
        <v>6416</v>
      </c>
      <c r="M5680" t="s">
        <v>34822</v>
      </c>
      <c r="N5680" t="s">
        <v>632</v>
      </c>
      <c r="O5680" t="s">
        <v>111</v>
      </c>
      <c r="P5680" t="str">
        <f>"85379-4249"</f>
        <v>85379-4249</v>
      </c>
      <c r="Q5680" t="s">
        <v>113</v>
      </c>
      <c r="R5680" t="str">
        <f>"509-08-376"</f>
        <v>509-08-376</v>
      </c>
      <c r="S5680" t="s">
        <v>13794</v>
      </c>
      <c r="U5680">
        <v>2882</v>
      </c>
      <c r="V5680">
        <v>0</v>
      </c>
      <c r="W5680">
        <v>5</v>
      </c>
      <c r="X5680">
        <v>2010</v>
      </c>
      <c r="Z5680">
        <v>2</v>
      </c>
      <c r="AB5680">
        <v>0</v>
      </c>
      <c r="AC5680" t="s">
        <v>115</v>
      </c>
      <c r="AD5680">
        <v>2</v>
      </c>
      <c r="AE5680" t="s">
        <v>115</v>
      </c>
      <c r="AF5680">
        <v>0</v>
      </c>
      <c r="AG5680">
        <v>0</v>
      </c>
      <c r="AH5680" t="s">
        <v>116</v>
      </c>
      <c r="AI5680" s="1">
        <v>49825</v>
      </c>
      <c r="AJ5680" s="2">
        <v>0.14000000000000001</v>
      </c>
      <c r="AK5680" s="1">
        <v>355506</v>
      </c>
      <c r="AL5680" t="s">
        <v>117</v>
      </c>
      <c r="AM5680" t="s">
        <v>118</v>
      </c>
      <c r="AN5680">
        <v>6600</v>
      </c>
      <c r="AO5680">
        <v>0.15</v>
      </c>
      <c r="AR5680">
        <v>1</v>
      </c>
      <c r="AS5680" s="1">
        <v>24820</v>
      </c>
      <c r="AT5680" s="1">
        <v>4960</v>
      </c>
      <c r="AU5680" s="1">
        <v>19860</v>
      </c>
      <c r="AV5680">
        <v>80.02</v>
      </c>
      <c r="AX5680" s="1">
        <v>3412.54</v>
      </c>
      <c r="AY5680" t="s">
        <v>634</v>
      </c>
      <c r="AZ5680" t="s">
        <v>634</v>
      </c>
      <c r="BA5680" t="s">
        <v>635</v>
      </c>
      <c r="BE5680" s="3">
        <v>42019</v>
      </c>
      <c r="BF5680" s="1">
        <v>299000</v>
      </c>
      <c r="BG5680" t="s">
        <v>34823</v>
      </c>
      <c r="BH5680" s="1">
        <v>103.75</v>
      </c>
      <c r="BI5680" s="1">
        <v>305681</v>
      </c>
      <c r="BJ5680" s="3">
        <v>42613</v>
      </c>
      <c r="BK5680" t="s">
        <v>123</v>
      </c>
      <c r="BL5680" t="str">
        <f>"2016.629686"</f>
        <v>2016.629686</v>
      </c>
      <c r="BM5680" t="s">
        <v>1791</v>
      </c>
      <c r="BO5680" t="s">
        <v>34824</v>
      </c>
      <c r="BS5680">
        <v>30</v>
      </c>
      <c r="BW5680" t="str">
        <f>""</f>
        <v/>
      </c>
      <c r="CH5680" t="str">
        <f>""</f>
        <v/>
      </c>
      <c r="CS5680" t="str">
        <f>""</f>
        <v/>
      </c>
    </row>
    <row r="5681" spans="1:97" x14ac:dyDescent="0.25">
      <c r="A5681" t="s">
        <v>34825</v>
      </c>
      <c r="B5681" t="s">
        <v>6047</v>
      </c>
      <c r="C5681" t="s">
        <v>4515</v>
      </c>
      <c r="D5681" t="s">
        <v>6047</v>
      </c>
      <c r="E5681" t="s">
        <v>34826</v>
      </c>
      <c r="F5681" t="s">
        <v>108</v>
      </c>
      <c r="H5681" t="s">
        <v>34827</v>
      </c>
      <c r="I5681" t="s">
        <v>1397</v>
      </c>
      <c r="J5681" t="s">
        <v>111</v>
      </c>
      <c r="K5681" t="str">
        <f>"85331"</f>
        <v>85331</v>
      </c>
      <c r="L5681" t="s">
        <v>20194</v>
      </c>
      <c r="M5681" t="s">
        <v>34827</v>
      </c>
      <c r="N5681" t="s">
        <v>1397</v>
      </c>
      <c r="O5681" t="s">
        <v>111</v>
      </c>
      <c r="P5681" t="str">
        <f>"85331-6453"</f>
        <v>85331-6453</v>
      </c>
      <c r="Q5681" t="s">
        <v>113</v>
      </c>
      <c r="R5681" t="str">
        <f>"211-44-179"</f>
        <v>211-44-179</v>
      </c>
      <c r="S5681" t="s">
        <v>34828</v>
      </c>
      <c r="T5681" t="s">
        <v>34828</v>
      </c>
      <c r="U5681">
        <v>2040</v>
      </c>
      <c r="V5681">
        <v>0</v>
      </c>
      <c r="W5681">
        <v>3</v>
      </c>
      <c r="X5681">
        <v>1986</v>
      </c>
      <c r="Z5681">
        <v>1</v>
      </c>
      <c r="AB5681">
        <v>0</v>
      </c>
      <c r="AC5681" t="s">
        <v>115</v>
      </c>
      <c r="AD5681">
        <v>2</v>
      </c>
      <c r="AE5681" t="s">
        <v>115</v>
      </c>
      <c r="AF5681">
        <v>0</v>
      </c>
      <c r="AG5681">
        <v>0</v>
      </c>
      <c r="AH5681" t="s">
        <v>116</v>
      </c>
      <c r="AI5681" s="1">
        <v>109234</v>
      </c>
      <c r="AJ5681" s="2">
        <v>0.22</v>
      </c>
      <c r="AK5681" s="1">
        <v>501687</v>
      </c>
      <c r="AL5681" t="s">
        <v>117</v>
      </c>
      <c r="AM5681" t="s">
        <v>376</v>
      </c>
      <c r="AN5681">
        <v>32050</v>
      </c>
      <c r="AO5681">
        <v>0.74</v>
      </c>
      <c r="AP5681">
        <v>1</v>
      </c>
      <c r="AR5681">
        <v>1</v>
      </c>
      <c r="AS5681" s="1">
        <v>32010</v>
      </c>
      <c r="AT5681" s="1">
        <v>6400</v>
      </c>
      <c r="AU5681" s="1">
        <v>25610</v>
      </c>
      <c r="AV5681">
        <v>80.010000000000005</v>
      </c>
      <c r="AX5681" s="1">
        <v>1526.36</v>
      </c>
      <c r="AY5681" t="s">
        <v>5017</v>
      </c>
      <c r="AZ5681" t="s">
        <v>1402</v>
      </c>
      <c r="BA5681" t="s">
        <v>1403</v>
      </c>
      <c r="BE5681" s="3">
        <v>42123</v>
      </c>
      <c r="BF5681" s="1">
        <v>350000</v>
      </c>
      <c r="BG5681" t="s">
        <v>34829</v>
      </c>
      <c r="BH5681" s="1">
        <v>171.57</v>
      </c>
      <c r="BI5681" s="1">
        <v>352453</v>
      </c>
      <c r="BJ5681" s="3">
        <v>42627</v>
      </c>
      <c r="BK5681" t="s">
        <v>123</v>
      </c>
      <c r="BL5681" t="str">
        <f>"2016.666248"</f>
        <v>2016.666248</v>
      </c>
      <c r="BM5681" t="s">
        <v>425</v>
      </c>
      <c r="BN5681" t="s">
        <v>426</v>
      </c>
      <c r="BO5681" t="s">
        <v>34830</v>
      </c>
      <c r="BS5681">
        <v>30</v>
      </c>
      <c r="BT5681" s="1">
        <v>40000</v>
      </c>
      <c r="BU5681" s="3">
        <v>43437</v>
      </c>
      <c r="BW5681" t="str">
        <f>"2018.885695"</f>
        <v>2018.885695</v>
      </c>
      <c r="BX5681" t="s">
        <v>16318</v>
      </c>
      <c r="BY5681" t="s">
        <v>16319</v>
      </c>
      <c r="BZ5681" t="s">
        <v>34831</v>
      </c>
      <c r="CA5681" t="s">
        <v>34832</v>
      </c>
      <c r="CC5681" t="s">
        <v>346</v>
      </c>
      <c r="CH5681" t="str">
        <f>""</f>
        <v/>
      </c>
      <c r="CS5681" t="str">
        <f>""</f>
        <v/>
      </c>
    </row>
    <row r="5682" spans="1:97" x14ac:dyDescent="0.25">
      <c r="B5682" t="s">
        <v>34833</v>
      </c>
      <c r="E5682" t="s">
        <v>34834</v>
      </c>
      <c r="F5682" t="s">
        <v>108</v>
      </c>
      <c r="H5682" t="s">
        <v>34835</v>
      </c>
      <c r="I5682" t="s">
        <v>5863</v>
      </c>
      <c r="J5682" t="s">
        <v>111</v>
      </c>
      <c r="K5682" t="str">
        <f>"85375"</f>
        <v>85375</v>
      </c>
      <c r="L5682" t="s">
        <v>8034</v>
      </c>
      <c r="M5682" t="s">
        <v>34835</v>
      </c>
      <c r="N5682" t="s">
        <v>5863</v>
      </c>
      <c r="O5682" t="s">
        <v>111</v>
      </c>
      <c r="P5682" t="str">
        <f>"85375-2378"</f>
        <v>85375-2378</v>
      </c>
      <c r="Q5682" t="s">
        <v>113</v>
      </c>
      <c r="R5682" t="str">
        <f>"503-58-576"</f>
        <v>503-58-576</v>
      </c>
      <c r="S5682" t="s">
        <v>9480</v>
      </c>
      <c r="T5682" t="s">
        <v>9481</v>
      </c>
      <c r="U5682">
        <v>2840</v>
      </c>
      <c r="V5682">
        <v>0</v>
      </c>
      <c r="W5682">
        <v>5</v>
      </c>
      <c r="X5682">
        <v>2006</v>
      </c>
      <c r="Z5682">
        <v>1</v>
      </c>
      <c r="AB5682">
        <v>0</v>
      </c>
      <c r="AC5682" t="s">
        <v>115</v>
      </c>
      <c r="AD5682">
        <v>2</v>
      </c>
      <c r="AE5682" t="s">
        <v>115</v>
      </c>
      <c r="AF5682">
        <v>0</v>
      </c>
      <c r="AG5682">
        <v>0</v>
      </c>
      <c r="AH5682" t="s">
        <v>116</v>
      </c>
      <c r="AI5682" s="1">
        <v>130906</v>
      </c>
      <c r="AJ5682" s="2">
        <v>0.27</v>
      </c>
      <c r="AK5682" s="1">
        <v>477656</v>
      </c>
      <c r="AL5682" t="s">
        <v>117</v>
      </c>
      <c r="AM5682" t="s">
        <v>191</v>
      </c>
      <c r="AN5682">
        <v>9303</v>
      </c>
      <c r="AO5682">
        <v>0.21</v>
      </c>
      <c r="AP5682">
        <v>1</v>
      </c>
      <c r="AR5682">
        <v>1</v>
      </c>
      <c r="AS5682" s="1">
        <v>34820</v>
      </c>
      <c r="AT5682" s="1">
        <v>6960</v>
      </c>
      <c r="AU5682" s="1">
        <v>27860</v>
      </c>
      <c r="AV5682">
        <v>80.010000000000005</v>
      </c>
      <c r="AX5682" s="1">
        <v>4037.4</v>
      </c>
      <c r="AY5682" t="s">
        <v>3228</v>
      </c>
      <c r="AZ5682" t="s">
        <v>3228</v>
      </c>
      <c r="BA5682" t="s">
        <v>457</v>
      </c>
      <c r="BB5682" s="3">
        <v>42752</v>
      </c>
      <c r="BD5682" t="s">
        <v>458</v>
      </c>
      <c r="BE5682" s="3">
        <v>42178</v>
      </c>
      <c r="BF5682" s="1">
        <v>365000</v>
      </c>
      <c r="BG5682" t="s">
        <v>34836</v>
      </c>
      <c r="BH5682" s="1">
        <v>128.52000000000001</v>
      </c>
      <c r="BI5682" s="1">
        <v>346750</v>
      </c>
      <c r="BJ5682" s="3">
        <v>42178</v>
      </c>
      <c r="BK5682" t="s">
        <v>123</v>
      </c>
      <c r="BL5682" t="str">
        <f>"2015.446744"</f>
        <v>2015.446744</v>
      </c>
      <c r="BM5682" t="s">
        <v>1185</v>
      </c>
      <c r="BO5682" t="s">
        <v>34837</v>
      </c>
      <c r="BS5682">
        <v>30</v>
      </c>
      <c r="BW5682" t="str">
        <f>""</f>
        <v/>
      </c>
      <c r="CH5682" t="str">
        <f>""</f>
        <v/>
      </c>
      <c r="CS5682" t="str">
        <f>""</f>
        <v/>
      </c>
    </row>
    <row r="5683" spans="1:97" x14ac:dyDescent="0.25">
      <c r="A5683" t="s">
        <v>13366</v>
      </c>
      <c r="B5683" t="s">
        <v>34838</v>
      </c>
      <c r="C5683" t="s">
        <v>34839</v>
      </c>
      <c r="D5683" t="s">
        <v>3907</v>
      </c>
      <c r="E5683" t="s">
        <v>34840</v>
      </c>
      <c r="F5683" t="s">
        <v>108</v>
      </c>
      <c r="H5683" t="s">
        <v>34841</v>
      </c>
      <c r="I5683" t="s">
        <v>110</v>
      </c>
      <c r="J5683" t="s">
        <v>111</v>
      </c>
      <c r="K5683" t="str">
        <f>"85286"</f>
        <v>85286</v>
      </c>
      <c r="L5683" t="s">
        <v>375</v>
      </c>
      <c r="M5683" t="s">
        <v>34841</v>
      </c>
      <c r="N5683" t="s">
        <v>110</v>
      </c>
      <c r="O5683" t="s">
        <v>111</v>
      </c>
      <c r="P5683" t="str">
        <f>"85286-5773"</f>
        <v>85286-5773</v>
      </c>
      <c r="Q5683" t="s">
        <v>113</v>
      </c>
      <c r="R5683" t="str">
        <f>"304-56-790"</f>
        <v>304-56-790</v>
      </c>
      <c r="S5683" t="s">
        <v>34842</v>
      </c>
      <c r="T5683" t="s">
        <v>34843</v>
      </c>
      <c r="U5683">
        <v>3430</v>
      </c>
      <c r="V5683">
        <v>0</v>
      </c>
      <c r="W5683">
        <v>4</v>
      </c>
      <c r="X5683">
        <v>2006</v>
      </c>
      <c r="Z5683">
        <v>2</v>
      </c>
      <c r="AA5683" t="s">
        <v>26</v>
      </c>
      <c r="AB5683">
        <v>0</v>
      </c>
      <c r="AC5683" t="s">
        <v>115</v>
      </c>
      <c r="AD5683">
        <v>2</v>
      </c>
      <c r="AE5683" t="s">
        <v>115</v>
      </c>
      <c r="AF5683">
        <v>0</v>
      </c>
      <c r="AG5683">
        <v>0</v>
      </c>
      <c r="AH5683" t="s">
        <v>116</v>
      </c>
      <c r="AI5683" s="1">
        <v>76516</v>
      </c>
      <c r="AJ5683" s="2">
        <v>0.16</v>
      </c>
      <c r="AK5683" s="1">
        <v>493516</v>
      </c>
      <c r="AL5683" t="s">
        <v>117</v>
      </c>
      <c r="AM5683" t="s">
        <v>118</v>
      </c>
      <c r="AN5683">
        <v>7500</v>
      </c>
      <c r="AO5683">
        <v>0.17</v>
      </c>
      <c r="AR5683">
        <v>1</v>
      </c>
      <c r="AS5683" s="1">
        <v>33270</v>
      </c>
      <c r="AT5683" s="1">
        <v>6650</v>
      </c>
      <c r="AU5683" s="1">
        <v>26620</v>
      </c>
      <c r="AV5683">
        <v>80.010000000000005</v>
      </c>
      <c r="AX5683" s="1">
        <v>3126.12</v>
      </c>
      <c r="AY5683" t="s">
        <v>737</v>
      </c>
      <c r="AZ5683" t="s">
        <v>120</v>
      </c>
      <c r="BA5683" t="s">
        <v>303</v>
      </c>
      <c r="BE5683" s="3">
        <v>42177</v>
      </c>
      <c r="BF5683" s="1">
        <v>415000</v>
      </c>
      <c r="BG5683" t="s">
        <v>34844</v>
      </c>
      <c r="BH5683" s="1">
        <v>120.99</v>
      </c>
      <c r="BI5683" s="1">
        <v>417000</v>
      </c>
      <c r="BJ5683" s="3">
        <v>42550</v>
      </c>
      <c r="BK5683" t="s">
        <v>123</v>
      </c>
      <c r="BL5683" t="str">
        <f>"2016.454058"</f>
        <v>2016.454058</v>
      </c>
      <c r="BM5683" t="s">
        <v>492</v>
      </c>
      <c r="BO5683" t="s">
        <v>34845</v>
      </c>
      <c r="BP5683" t="s">
        <v>34846</v>
      </c>
      <c r="BS5683">
        <v>30</v>
      </c>
      <c r="BW5683" t="str">
        <f>""</f>
        <v/>
      </c>
      <c r="CH5683" t="str">
        <f>""</f>
        <v/>
      </c>
      <c r="CS5683" t="str">
        <f>""</f>
        <v/>
      </c>
    </row>
    <row r="5684" spans="1:97" x14ac:dyDescent="0.25">
      <c r="A5684" t="s">
        <v>815</v>
      </c>
      <c r="B5684" t="s">
        <v>34847</v>
      </c>
      <c r="C5684" t="s">
        <v>15858</v>
      </c>
      <c r="D5684" t="s">
        <v>34847</v>
      </c>
      <c r="E5684" t="s">
        <v>34848</v>
      </c>
      <c r="F5684" t="s">
        <v>108</v>
      </c>
      <c r="H5684" t="s">
        <v>34849</v>
      </c>
      <c r="I5684" t="s">
        <v>110</v>
      </c>
      <c r="J5684" t="s">
        <v>111</v>
      </c>
      <c r="K5684" t="str">
        <f>"85248"</f>
        <v>85248</v>
      </c>
      <c r="L5684" t="s">
        <v>5131</v>
      </c>
      <c r="M5684" t="s">
        <v>34849</v>
      </c>
      <c r="N5684" t="s">
        <v>110</v>
      </c>
      <c r="O5684" t="s">
        <v>111</v>
      </c>
      <c r="P5684" t="str">
        <f>"85248-6192"</f>
        <v>85248-6192</v>
      </c>
      <c r="Q5684" t="s">
        <v>113</v>
      </c>
      <c r="R5684" t="str">
        <f>"303-49-387"</f>
        <v>303-49-387</v>
      </c>
      <c r="S5684" t="s">
        <v>14072</v>
      </c>
      <c r="U5684">
        <v>2558</v>
      </c>
      <c r="V5684">
        <v>0</v>
      </c>
      <c r="W5684">
        <v>4</v>
      </c>
      <c r="X5684">
        <v>2012</v>
      </c>
      <c r="Z5684">
        <v>1</v>
      </c>
      <c r="AA5684" t="s">
        <v>26</v>
      </c>
      <c r="AB5684">
        <v>0</v>
      </c>
      <c r="AC5684" t="s">
        <v>115</v>
      </c>
      <c r="AD5684">
        <v>3</v>
      </c>
      <c r="AE5684" t="s">
        <v>115</v>
      </c>
      <c r="AF5684">
        <v>0</v>
      </c>
      <c r="AG5684">
        <v>0</v>
      </c>
      <c r="AH5684" t="s">
        <v>116</v>
      </c>
      <c r="AI5684" s="1">
        <v>94401</v>
      </c>
      <c r="AJ5684" s="2">
        <v>0.16</v>
      </c>
      <c r="AK5684" s="1">
        <v>576526</v>
      </c>
      <c r="AL5684" t="s">
        <v>117</v>
      </c>
      <c r="AM5684" t="s">
        <v>118</v>
      </c>
      <c r="AN5684">
        <v>9193</v>
      </c>
      <c r="AO5684">
        <v>0.21</v>
      </c>
      <c r="AR5684">
        <v>1</v>
      </c>
      <c r="AS5684" s="1">
        <v>43470</v>
      </c>
      <c r="AT5684" s="1">
        <v>8690</v>
      </c>
      <c r="AU5684" s="1">
        <v>34780</v>
      </c>
      <c r="AV5684">
        <v>80.010000000000005</v>
      </c>
      <c r="AX5684" s="1">
        <v>3287.08</v>
      </c>
      <c r="AY5684" t="s">
        <v>119</v>
      </c>
      <c r="AZ5684" t="s">
        <v>1882</v>
      </c>
      <c r="BA5684" t="s">
        <v>121</v>
      </c>
      <c r="BE5684" s="3">
        <v>42235</v>
      </c>
      <c r="BF5684" s="1">
        <v>500000</v>
      </c>
      <c r="BG5684" t="s">
        <v>34850</v>
      </c>
      <c r="BH5684" s="1">
        <v>195.47</v>
      </c>
      <c r="BI5684" s="1">
        <v>482125</v>
      </c>
      <c r="BJ5684" s="3">
        <v>42235</v>
      </c>
      <c r="BK5684" t="s">
        <v>123</v>
      </c>
      <c r="BL5684" t="str">
        <f>"2015.600717"</f>
        <v>2015.600717</v>
      </c>
      <c r="BM5684" t="s">
        <v>3929</v>
      </c>
      <c r="BO5684" t="s">
        <v>34851</v>
      </c>
      <c r="BS5684">
        <v>30</v>
      </c>
      <c r="BW5684" t="str">
        <f>""</f>
        <v/>
      </c>
      <c r="CH5684" t="str">
        <f>""</f>
        <v/>
      </c>
      <c r="CS5684" t="str">
        <f>""</f>
        <v/>
      </c>
    </row>
    <row r="5685" spans="1:97" x14ac:dyDescent="0.25">
      <c r="A5685" t="s">
        <v>34852</v>
      </c>
      <c r="B5685" t="s">
        <v>348</v>
      </c>
      <c r="C5685" t="s">
        <v>852</v>
      </c>
      <c r="D5685" t="s">
        <v>348</v>
      </c>
      <c r="E5685" t="s">
        <v>34853</v>
      </c>
      <c r="F5685" t="s">
        <v>108</v>
      </c>
      <c r="H5685" t="s">
        <v>34854</v>
      </c>
      <c r="I5685" t="s">
        <v>453</v>
      </c>
      <c r="J5685" t="s">
        <v>111</v>
      </c>
      <c r="K5685" t="str">
        <f>"85382"</f>
        <v>85382</v>
      </c>
      <c r="L5685" t="s">
        <v>3758</v>
      </c>
      <c r="M5685" t="s">
        <v>34854</v>
      </c>
      <c r="N5685" t="s">
        <v>453</v>
      </c>
      <c r="O5685" t="s">
        <v>111</v>
      </c>
      <c r="P5685" t="str">
        <f>"85382-3588"</f>
        <v>85382-3588</v>
      </c>
      <c r="Q5685" t="s">
        <v>113</v>
      </c>
      <c r="R5685" t="str">
        <f>"231-21-056"</f>
        <v>231-21-056</v>
      </c>
      <c r="S5685" t="s">
        <v>34855</v>
      </c>
      <c r="T5685" t="s">
        <v>34855</v>
      </c>
      <c r="U5685">
        <v>2310</v>
      </c>
      <c r="V5685">
        <v>0</v>
      </c>
      <c r="W5685">
        <v>3</v>
      </c>
      <c r="X5685">
        <v>1997</v>
      </c>
      <c r="Z5685">
        <v>1</v>
      </c>
      <c r="AA5685" t="s">
        <v>26</v>
      </c>
      <c r="AB5685">
        <v>0</v>
      </c>
      <c r="AC5685" t="s">
        <v>115</v>
      </c>
      <c r="AD5685">
        <v>2</v>
      </c>
      <c r="AE5685" t="s">
        <v>115</v>
      </c>
      <c r="AF5685">
        <v>0</v>
      </c>
      <c r="AG5685">
        <v>0</v>
      </c>
      <c r="AH5685" t="s">
        <v>116</v>
      </c>
      <c r="AI5685" s="1">
        <v>20209</v>
      </c>
      <c r="AJ5685" s="2">
        <v>0.06</v>
      </c>
      <c r="AK5685" s="1">
        <v>339406</v>
      </c>
      <c r="AL5685" t="s">
        <v>117</v>
      </c>
      <c r="AM5685" t="s">
        <v>3345</v>
      </c>
      <c r="AN5685">
        <v>8227</v>
      </c>
      <c r="AO5685">
        <v>0.19</v>
      </c>
      <c r="AP5685">
        <v>1</v>
      </c>
      <c r="AR5685">
        <v>1</v>
      </c>
      <c r="AS5685" s="1">
        <v>25260</v>
      </c>
      <c r="AT5685" s="1">
        <v>5050</v>
      </c>
      <c r="AU5685" s="1">
        <v>20210</v>
      </c>
      <c r="AV5685">
        <v>80.010000000000005</v>
      </c>
      <c r="AX5685" s="1">
        <v>2156.2800000000002</v>
      </c>
      <c r="AY5685" t="s">
        <v>5573</v>
      </c>
      <c r="AZ5685" t="s">
        <v>5573</v>
      </c>
      <c r="BA5685" t="s">
        <v>1800</v>
      </c>
      <c r="BE5685" s="3">
        <v>42361</v>
      </c>
      <c r="BF5685" s="1">
        <v>269000</v>
      </c>
      <c r="BG5685" t="s">
        <v>34856</v>
      </c>
      <c r="BH5685" s="1">
        <v>116.45</v>
      </c>
      <c r="BI5685" s="1">
        <v>319197</v>
      </c>
      <c r="BJ5685" s="3">
        <v>43332</v>
      </c>
      <c r="BK5685" t="s">
        <v>123</v>
      </c>
      <c r="BL5685" t="str">
        <f>"2018.627215"</f>
        <v>2018.627215</v>
      </c>
      <c r="BM5685" t="s">
        <v>248</v>
      </c>
      <c r="BN5685" t="s">
        <v>249</v>
      </c>
      <c r="BO5685" t="s">
        <v>34857</v>
      </c>
      <c r="BP5685" t="s">
        <v>34858</v>
      </c>
      <c r="BR5685" t="s">
        <v>139</v>
      </c>
      <c r="BW5685" t="str">
        <f>""</f>
        <v/>
      </c>
      <c r="CH5685" t="str">
        <f>""</f>
        <v/>
      </c>
      <c r="CS5685" t="str">
        <f>""</f>
        <v/>
      </c>
    </row>
    <row r="5686" spans="1:97" x14ac:dyDescent="0.25">
      <c r="A5686" t="s">
        <v>2045</v>
      </c>
      <c r="B5686" t="s">
        <v>34859</v>
      </c>
      <c r="C5686" t="s">
        <v>34860</v>
      </c>
      <c r="D5686" t="s">
        <v>34859</v>
      </c>
      <c r="E5686" t="s">
        <v>34861</v>
      </c>
      <c r="F5686" t="s">
        <v>108</v>
      </c>
      <c r="H5686" t="s">
        <v>34862</v>
      </c>
      <c r="I5686" t="s">
        <v>203</v>
      </c>
      <c r="J5686" t="s">
        <v>111</v>
      </c>
      <c r="K5686" t="str">
        <f>"85298"</f>
        <v>85298</v>
      </c>
      <c r="L5686" t="s">
        <v>734</v>
      </c>
      <c r="M5686" t="s">
        <v>34862</v>
      </c>
      <c r="N5686" t="s">
        <v>203</v>
      </c>
      <c r="O5686" t="s">
        <v>111</v>
      </c>
      <c r="P5686" t="str">
        <f>"85298-6808"</f>
        <v>85298-6808</v>
      </c>
      <c r="Q5686" t="s">
        <v>113</v>
      </c>
      <c r="R5686" t="str">
        <f>"304-72-227"</f>
        <v>304-72-227</v>
      </c>
      <c r="S5686" t="s">
        <v>9237</v>
      </c>
      <c r="T5686" t="s">
        <v>9237</v>
      </c>
      <c r="U5686">
        <v>1831</v>
      </c>
      <c r="V5686">
        <v>0</v>
      </c>
      <c r="W5686">
        <v>3</v>
      </c>
      <c r="X5686">
        <v>2004</v>
      </c>
      <c r="Z5686">
        <v>1</v>
      </c>
      <c r="AA5686" t="s">
        <v>26</v>
      </c>
      <c r="AB5686">
        <v>0</v>
      </c>
      <c r="AC5686" t="s">
        <v>115</v>
      </c>
      <c r="AD5686">
        <v>2</v>
      </c>
      <c r="AE5686" t="s">
        <v>115</v>
      </c>
      <c r="AF5686">
        <v>0</v>
      </c>
      <c r="AG5686">
        <v>0</v>
      </c>
      <c r="AH5686" t="s">
        <v>116</v>
      </c>
      <c r="AI5686" s="1">
        <v>78447</v>
      </c>
      <c r="AJ5686" s="2">
        <v>0.22</v>
      </c>
      <c r="AK5686" s="1">
        <v>354927</v>
      </c>
      <c r="AL5686" t="s">
        <v>117</v>
      </c>
      <c r="AM5686" t="s">
        <v>393</v>
      </c>
      <c r="AN5686">
        <v>7809</v>
      </c>
      <c r="AO5686">
        <v>0.18</v>
      </c>
      <c r="AP5686">
        <v>1</v>
      </c>
      <c r="AR5686">
        <v>1</v>
      </c>
      <c r="AS5686" s="1">
        <v>24600</v>
      </c>
      <c r="AT5686" s="1">
        <v>4920</v>
      </c>
      <c r="AU5686" s="1">
        <v>19680</v>
      </c>
      <c r="AV5686">
        <v>80</v>
      </c>
      <c r="AX5686" s="1">
        <v>1971.72</v>
      </c>
      <c r="AY5686" t="s">
        <v>302</v>
      </c>
      <c r="AZ5686" t="s">
        <v>273</v>
      </c>
      <c r="BA5686" t="s">
        <v>303</v>
      </c>
      <c r="BE5686" s="3">
        <v>42142</v>
      </c>
      <c r="BF5686" s="1">
        <v>270000</v>
      </c>
      <c r="BG5686" t="s">
        <v>34863</v>
      </c>
      <c r="BH5686" s="1">
        <v>147.46</v>
      </c>
      <c r="BI5686" s="1">
        <v>276480</v>
      </c>
      <c r="BJ5686" s="3">
        <v>42142</v>
      </c>
      <c r="BK5686" t="s">
        <v>123</v>
      </c>
      <c r="BL5686" t="str">
        <f>"2015.348468"</f>
        <v>2015.348468</v>
      </c>
      <c r="BM5686" t="s">
        <v>1287</v>
      </c>
      <c r="BO5686" t="s">
        <v>34864</v>
      </c>
      <c r="BS5686">
        <v>30</v>
      </c>
      <c r="BW5686" t="str">
        <f>""</f>
        <v/>
      </c>
      <c r="CH5686" t="str">
        <f>""</f>
        <v/>
      </c>
      <c r="CS5686" t="str">
        <f>""</f>
        <v/>
      </c>
    </row>
    <row r="5687" spans="1:97" x14ac:dyDescent="0.25">
      <c r="A5687" t="s">
        <v>5281</v>
      </c>
      <c r="B5687" t="s">
        <v>5955</v>
      </c>
      <c r="C5687" t="s">
        <v>3924</v>
      </c>
      <c r="D5687" t="s">
        <v>5955</v>
      </c>
      <c r="E5687" t="s">
        <v>34865</v>
      </c>
      <c r="F5687" t="s">
        <v>108</v>
      </c>
      <c r="H5687" t="s">
        <v>34866</v>
      </c>
      <c r="I5687" t="s">
        <v>225</v>
      </c>
      <c r="J5687" t="s">
        <v>111</v>
      </c>
      <c r="K5687" t="str">
        <f>"85209"</f>
        <v>85209</v>
      </c>
      <c r="L5687" t="s">
        <v>3530</v>
      </c>
      <c r="M5687" t="s">
        <v>34866</v>
      </c>
      <c r="N5687" t="s">
        <v>225</v>
      </c>
      <c r="O5687" t="s">
        <v>111</v>
      </c>
      <c r="P5687" t="str">
        <f>"85209-1238"</f>
        <v>85209-1238</v>
      </c>
      <c r="Q5687" t="s">
        <v>113</v>
      </c>
      <c r="R5687" t="str">
        <f>"312-11-859"</f>
        <v>312-11-859</v>
      </c>
      <c r="S5687" t="s">
        <v>34867</v>
      </c>
      <c r="U5687">
        <v>3287</v>
      </c>
      <c r="V5687">
        <v>0</v>
      </c>
      <c r="W5687">
        <v>5</v>
      </c>
      <c r="X5687">
        <v>2003</v>
      </c>
      <c r="Z5687">
        <v>2</v>
      </c>
      <c r="AA5687" t="s">
        <v>26</v>
      </c>
      <c r="AB5687">
        <v>0</v>
      </c>
      <c r="AC5687" t="s">
        <v>115</v>
      </c>
      <c r="AD5687">
        <v>2</v>
      </c>
      <c r="AE5687" t="s">
        <v>115</v>
      </c>
      <c r="AF5687">
        <v>0</v>
      </c>
      <c r="AG5687">
        <v>0</v>
      </c>
      <c r="AH5687" t="s">
        <v>116</v>
      </c>
      <c r="AI5687" s="1">
        <v>48990</v>
      </c>
      <c r="AJ5687" s="2">
        <v>0.12</v>
      </c>
      <c r="AK5687" s="1">
        <v>420816</v>
      </c>
      <c r="AL5687" t="s">
        <v>117</v>
      </c>
      <c r="AM5687" t="s">
        <v>393</v>
      </c>
      <c r="AN5687">
        <v>7234</v>
      </c>
      <c r="AO5687">
        <v>0.17</v>
      </c>
      <c r="AP5687">
        <v>1</v>
      </c>
      <c r="AR5687">
        <v>1</v>
      </c>
      <c r="AS5687" s="1">
        <v>28900</v>
      </c>
      <c r="AT5687" s="1">
        <v>5780</v>
      </c>
      <c r="AU5687" s="1">
        <v>23120</v>
      </c>
      <c r="AV5687">
        <v>80</v>
      </c>
      <c r="AX5687" s="1">
        <v>2205.34</v>
      </c>
      <c r="AY5687" t="s">
        <v>4370</v>
      </c>
      <c r="AZ5687" t="s">
        <v>777</v>
      </c>
      <c r="BA5687" t="s">
        <v>572</v>
      </c>
      <c r="BE5687" s="3">
        <v>42479</v>
      </c>
      <c r="BF5687" s="1">
        <v>364000</v>
      </c>
      <c r="BG5687" t="s">
        <v>34868</v>
      </c>
      <c r="BH5687" s="1">
        <v>110.74</v>
      </c>
      <c r="BI5687" s="1">
        <v>371826</v>
      </c>
      <c r="BJ5687" s="3">
        <v>42479</v>
      </c>
      <c r="BK5687" t="s">
        <v>123</v>
      </c>
      <c r="BL5687" t="str">
        <f>"2016.260192"</f>
        <v>2016.260192</v>
      </c>
      <c r="BM5687" t="s">
        <v>724</v>
      </c>
      <c r="BO5687" t="s">
        <v>34869</v>
      </c>
      <c r="BS5687">
        <v>30</v>
      </c>
      <c r="BW5687" t="str">
        <f>""</f>
        <v/>
      </c>
      <c r="CH5687" t="str">
        <f>""</f>
        <v/>
      </c>
      <c r="CS5687" t="str">
        <f>""</f>
        <v/>
      </c>
    </row>
    <row r="5688" spans="1:97" x14ac:dyDescent="0.25">
      <c r="A5688" t="s">
        <v>1109</v>
      </c>
      <c r="B5688" t="s">
        <v>22305</v>
      </c>
      <c r="C5688" t="s">
        <v>2529</v>
      </c>
      <c r="D5688" t="s">
        <v>22305</v>
      </c>
      <c r="E5688" t="s">
        <v>34870</v>
      </c>
      <c r="F5688" t="s">
        <v>108</v>
      </c>
      <c r="H5688" t="s">
        <v>34871</v>
      </c>
      <c r="I5688" t="s">
        <v>632</v>
      </c>
      <c r="J5688" t="s">
        <v>111</v>
      </c>
      <c r="K5688" t="str">
        <f>"85379"</f>
        <v>85379</v>
      </c>
      <c r="L5688" t="s">
        <v>5058</v>
      </c>
      <c r="M5688" t="s">
        <v>34871</v>
      </c>
      <c r="N5688" t="s">
        <v>632</v>
      </c>
      <c r="O5688" t="s">
        <v>111</v>
      </c>
      <c r="P5688" t="str">
        <f>"85379-1178"</f>
        <v>85379-1178</v>
      </c>
      <c r="Q5688" t="s">
        <v>113</v>
      </c>
      <c r="R5688" t="str">
        <f>"501-79-446"</f>
        <v>501-79-446</v>
      </c>
      <c r="S5688" t="s">
        <v>5059</v>
      </c>
      <c r="U5688">
        <v>2035</v>
      </c>
      <c r="V5688">
        <v>0</v>
      </c>
      <c r="W5688">
        <v>3</v>
      </c>
      <c r="X5688">
        <v>2015</v>
      </c>
      <c r="Z5688">
        <v>1</v>
      </c>
      <c r="AB5688">
        <v>0</v>
      </c>
      <c r="AC5688" t="s">
        <v>115</v>
      </c>
      <c r="AD5688">
        <v>2</v>
      </c>
      <c r="AE5688" t="s">
        <v>115</v>
      </c>
      <c r="AF5688">
        <v>0</v>
      </c>
      <c r="AG5688">
        <v>0</v>
      </c>
      <c r="AH5688" t="s">
        <v>116</v>
      </c>
      <c r="AI5688" s="1">
        <v>59260</v>
      </c>
      <c r="AJ5688" s="2">
        <v>0.19</v>
      </c>
      <c r="AK5688" s="1">
        <v>305574</v>
      </c>
      <c r="AL5688" t="s">
        <v>117</v>
      </c>
      <c r="AM5688" t="s">
        <v>118</v>
      </c>
      <c r="AN5688">
        <v>6670</v>
      </c>
      <c r="AO5688">
        <v>0.15</v>
      </c>
      <c r="AR5688">
        <v>1</v>
      </c>
      <c r="AS5688" s="1">
        <v>22130</v>
      </c>
      <c r="AT5688" s="1">
        <v>4420</v>
      </c>
      <c r="AU5688" s="1">
        <v>17710</v>
      </c>
      <c r="AV5688">
        <v>80.03</v>
      </c>
      <c r="AX5688" s="1">
        <v>1784.64</v>
      </c>
      <c r="AY5688" t="s">
        <v>5060</v>
      </c>
      <c r="AZ5688" t="s">
        <v>5060</v>
      </c>
      <c r="BA5688" t="s">
        <v>5061</v>
      </c>
      <c r="BE5688" s="3">
        <v>42438</v>
      </c>
      <c r="BF5688" s="1">
        <v>241130</v>
      </c>
      <c r="BG5688" t="s">
        <v>292</v>
      </c>
      <c r="BH5688" s="1">
        <v>118.49</v>
      </c>
      <c r="BI5688" s="1">
        <v>246314</v>
      </c>
      <c r="BJ5688" s="3">
        <v>42438</v>
      </c>
      <c r="BK5688" t="s">
        <v>123</v>
      </c>
      <c r="BL5688" t="str">
        <f>"2016.153244"</f>
        <v>2016.153244</v>
      </c>
      <c r="BM5688" t="s">
        <v>20132</v>
      </c>
      <c r="BO5688" t="s">
        <v>34872</v>
      </c>
      <c r="BS5688">
        <v>30</v>
      </c>
      <c r="BW5688" t="str">
        <f>""</f>
        <v/>
      </c>
      <c r="CH5688" t="str">
        <f>""</f>
        <v/>
      </c>
      <c r="CS5688" t="str">
        <f>""</f>
        <v/>
      </c>
    </row>
    <row r="5689" spans="1:97" x14ac:dyDescent="0.25">
      <c r="B5689" t="s">
        <v>34873</v>
      </c>
      <c r="E5689" t="s">
        <v>34874</v>
      </c>
      <c r="F5689" t="s">
        <v>108</v>
      </c>
      <c r="H5689" t="s">
        <v>34875</v>
      </c>
      <c r="I5689" t="s">
        <v>203</v>
      </c>
      <c r="J5689" t="s">
        <v>111</v>
      </c>
      <c r="K5689" t="str">
        <f>"85233"</f>
        <v>85233</v>
      </c>
      <c r="L5689" t="s">
        <v>1070</v>
      </c>
      <c r="M5689" t="s">
        <v>34875</v>
      </c>
      <c r="N5689" t="s">
        <v>203</v>
      </c>
      <c r="O5689" t="s">
        <v>111</v>
      </c>
      <c r="P5689" t="str">
        <f>"85233-8936"</f>
        <v>85233-8936</v>
      </c>
      <c r="Q5689" t="s">
        <v>113</v>
      </c>
      <c r="R5689" t="str">
        <f>"302-83-499"</f>
        <v>302-83-499</v>
      </c>
      <c r="S5689" t="s">
        <v>32474</v>
      </c>
      <c r="T5689" t="s">
        <v>15306</v>
      </c>
      <c r="U5689">
        <v>2779</v>
      </c>
      <c r="V5689">
        <v>0</v>
      </c>
      <c r="W5689">
        <v>4</v>
      </c>
      <c r="X5689">
        <v>1997</v>
      </c>
      <c r="Z5689">
        <v>2</v>
      </c>
      <c r="AB5689">
        <v>0</v>
      </c>
      <c r="AC5689" t="s">
        <v>115</v>
      </c>
      <c r="AD5689">
        <v>3</v>
      </c>
      <c r="AE5689" t="s">
        <v>115</v>
      </c>
      <c r="AF5689">
        <v>0</v>
      </c>
      <c r="AG5689">
        <v>0</v>
      </c>
      <c r="AH5689" t="s">
        <v>116</v>
      </c>
      <c r="AI5689" s="1">
        <v>70554</v>
      </c>
      <c r="AJ5689" s="2">
        <v>0.17</v>
      </c>
      <c r="AK5689" s="1">
        <v>418611</v>
      </c>
      <c r="AL5689" t="s">
        <v>117</v>
      </c>
      <c r="AM5689" t="s">
        <v>393</v>
      </c>
      <c r="AN5689">
        <v>8133</v>
      </c>
      <c r="AO5689">
        <v>0.19</v>
      </c>
      <c r="AP5689">
        <v>1</v>
      </c>
      <c r="AR5689">
        <v>1</v>
      </c>
      <c r="AS5689" s="1">
        <v>29420</v>
      </c>
      <c r="AT5689" s="1">
        <v>5880</v>
      </c>
      <c r="AU5689" s="1">
        <v>23540</v>
      </c>
      <c r="AV5689">
        <v>80.010000000000005</v>
      </c>
      <c r="AX5689" s="1">
        <v>2259.08</v>
      </c>
      <c r="AY5689" t="s">
        <v>2905</v>
      </c>
      <c r="AZ5689" t="s">
        <v>2906</v>
      </c>
      <c r="BA5689" t="s">
        <v>303</v>
      </c>
      <c r="BB5689" s="3">
        <v>42248</v>
      </c>
      <c r="BD5689" t="s">
        <v>458</v>
      </c>
      <c r="BE5689" s="3">
        <v>42006</v>
      </c>
      <c r="BF5689" s="1">
        <v>339900</v>
      </c>
      <c r="BG5689" t="s">
        <v>34876</v>
      </c>
      <c r="BH5689" s="1">
        <v>122.31</v>
      </c>
      <c r="BI5689" s="1">
        <v>348057</v>
      </c>
      <c r="BJ5689" s="3">
        <v>42006</v>
      </c>
      <c r="BK5689" t="s">
        <v>123</v>
      </c>
      <c r="BL5689" t="str">
        <f>"2015.960"</f>
        <v>2015.960</v>
      </c>
      <c r="BM5689" t="s">
        <v>2683</v>
      </c>
      <c r="BO5689" t="s">
        <v>34877</v>
      </c>
      <c r="BS5689">
        <v>30</v>
      </c>
      <c r="BW5689" t="str">
        <f>""</f>
        <v/>
      </c>
      <c r="CH5689" t="str">
        <f>""</f>
        <v/>
      </c>
      <c r="CS5689" t="str">
        <f>""</f>
        <v/>
      </c>
    </row>
    <row r="5690" spans="1:97" x14ac:dyDescent="0.25">
      <c r="A5690" t="s">
        <v>5301</v>
      </c>
      <c r="B5690" t="s">
        <v>34878</v>
      </c>
      <c r="E5690" t="s">
        <v>34879</v>
      </c>
      <c r="F5690" t="s">
        <v>108</v>
      </c>
      <c r="H5690" t="s">
        <v>34880</v>
      </c>
      <c r="I5690" t="s">
        <v>225</v>
      </c>
      <c r="J5690" t="s">
        <v>111</v>
      </c>
      <c r="K5690" t="str">
        <f>"85212"</f>
        <v>85212</v>
      </c>
      <c r="L5690" t="s">
        <v>567</v>
      </c>
      <c r="M5690" t="s">
        <v>34880</v>
      </c>
      <c r="N5690" t="s">
        <v>225</v>
      </c>
      <c r="O5690" t="s">
        <v>111</v>
      </c>
      <c r="P5690" t="str">
        <f>"85212-1742"</f>
        <v>85212-1742</v>
      </c>
      <c r="Q5690" t="s">
        <v>113</v>
      </c>
      <c r="R5690" t="str">
        <f>"309-16-055"</f>
        <v>309-16-055</v>
      </c>
      <c r="S5690" t="s">
        <v>20587</v>
      </c>
      <c r="T5690" t="s">
        <v>20587</v>
      </c>
      <c r="U5690">
        <v>1876</v>
      </c>
      <c r="V5690">
        <v>0</v>
      </c>
      <c r="W5690">
        <v>4</v>
      </c>
      <c r="X5690">
        <v>1998</v>
      </c>
      <c r="Z5690">
        <v>2</v>
      </c>
      <c r="AB5690">
        <v>0</v>
      </c>
      <c r="AC5690" t="s">
        <v>115</v>
      </c>
      <c r="AD5690">
        <v>2</v>
      </c>
      <c r="AE5690" t="s">
        <v>115</v>
      </c>
      <c r="AF5690">
        <v>0</v>
      </c>
      <c r="AG5690">
        <v>0</v>
      </c>
      <c r="AH5690" t="s">
        <v>116</v>
      </c>
      <c r="AI5690" s="1">
        <v>46694</v>
      </c>
      <c r="AJ5690" s="2">
        <v>0.15</v>
      </c>
      <c r="AK5690" s="1">
        <v>304944</v>
      </c>
      <c r="AL5690" t="s">
        <v>117</v>
      </c>
      <c r="AM5690" t="s">
        <v>191</v>
      </c>
      <c r="AN5690">
        <v>6186</v>
      </c>
      <c r="AO5690">
        <v>0.14000000000000001</v>
      </c>
      <c r="AP5690">
        <v>1</v>
      </c>
      <c r="AR5690">
        <v>1</v>
      </c>
      <c r="AS5690" s="1">
        <v>20270</v>
      </c>
      <c r="AT5690" s="1">
        <v>4050</v>
      </c>
      <c r="AU5690" s="1">
        <v>16220</v>
      </c>
      <c r="AV5690">
        <v>80.02</v>
      </c>
      <c r="AX5690" s="1">
        <v>1472.8</v>
      </c>
      <c r="AY5690" t="s">
        <v>570</v>
      </c>
      <c r="AZ5690" t="s">
        <v>777</v>
      </c>
      <c r="BA5690" t="s">
        <v>572</v>
      </c>
      <c r="BE5690" s="3">
        <v>42417</v>
      </c>
      <c r="BF5690" s="1">
        <v>250000</v>
      </c>
      <c r="BG5690" t="s">
        <v>34881</v>
      </c>
      <c r="BH5690" s="1">
        <v>133.26</v>
      </c>
      <c r="BI5690" s="1">
        <v>258250</v>
      </c>
      <c r="BJ5690" s="3">
        <v>42417</v>
      </c>
      <c r="BK5690" t="s">
        <v>123</v>
      </c>
      <c r="BL5690" t="str">
        <f>"2016.98677"</f>
        <v>2016.98677</v>
      </c>
      <c r="BM5690" t="s">
        <v>2368</v>
      </c>
      <c r="BO5690" t="s">
        <v>34882</v>
      </c>
      <c r="BS5690">
        <v>30</v>
      </c>
      <c r="BW5690" t="str">
        <f>""</f>
        <v/>
      </c>
      <c r="CH5690" t="str">
        <f>""</f>
        <v/>
      </c>
      <c r="CS5690" t="str">
        <f>""</f>
        <v/>
      </c>
    </row>
    <row r="5691" spans="1:97" x14ac:dyDescent="0.25">
      <c r="B5691" t="s">
        <v>34883</v>
      </c>
      <c r="C5691" t="s">
        <v>5847</v>
      </c>
      <c r="E5691" t="s">
        <v>34884</v>
      </c>
      <c r="F5691" t="s">
        <v>108</v>
      </c>
      <c r="H5691" t="s">
        <v>34885</v>
      </c>
      <c r="I5691" t="s">
        <v>1936</v>
      </c>
      <c r="J5691" t="s">
        <v>111</v>
      </c>
      <c r="K5691" t="str">
        <f>"85254"</f>
        <v>85254</v>
      </c>
      <c r="L5691" t="s">
        <v>4565</v>
      </c>
      <c r="M5691" t="s">
        <v>34885</v>
      </c>
      <c r="N5691" t="s">
        <v>1936</v>
      </c>
      <c r="O5691" t="s">
        <v>111</v>
      </c>
      <c r="P5691" t="str">
        <f>"85254-9202"</f>
        <v>85254-9202</v>
      </c>
      <c r="Q5691" t="s">
        <v>113</v>
      </c>
      <c r="R5691" t="str">
        <f>"215-36-539"</f>
        <v>215-36-539</v>
      </c>
      <c r="S5691" t="s">
        <v>34886</v>
      </c>
      <c r="T5691" t="s">
        <v>34887</v>
      </c>
      <c r="U5691">
        <v>3309</v>
      </c>
      <c r="V5691">
        <v>0</v>
      </c>
      <c r="W5691">
        <v>4</v>
      </c>
      <c r="X5691">
        <v>1991</v>
      </c>
      <c r="Z5691">
        <v>2</v>
      </c>
      <c r="AB5691">
        <v>0</v>
      </c>
      <c r="AC5691" t="s">
        <v>115</v>
      </c>
      <c r="AD5691">
        <v>2</v>
      </c>
      <c r="AE5691" t="s">
        <v>115</v>
      </c>
      <c r="AF5691">
        <v>0</v>
      </c>
      <c r="AG5691">
        <v>0</v>
      </c>
      <c r="AH5691" t="s">
        <v>116</v>
      </c>
      <c r="AI5691" s="1">
        <v>79989</v>
      </c>
      <c r="AJ5691" s="2">
        <v>0.13</v>
      </c>
      <c r="AK5691" s="1">
        <v>611722</v>
      </c>
      <c r="AL5691" t="s">
        <v>117</v>
      </c>
      <c r="AM5691" t="s">
        <v>1302</v>
      </c>
      <c r="AN5691">
        <v>7742</v>
      </c>
      <c r="AO5691">
        <v>0.18</v>
      </c>
      <c r="AP5691">
        <v>1</v>
      </c>
      <c r="AR5691">
        <v>1</v>
      </c>
      <c r="AS5691" s="1">
        <v>41760</v>
      </c>
      <c r="AT5691" s="1">
        <v>8350</v>
      </c>
      <c r="AU5691" s="1">
        <v>33410</v>
      </c>
      <c r="AV5691">
        <v>80</v>
      </c>
      <c r="AX5691" s="1">
        <v>3870.94</v>
      </c>
      <c r="AY5691" t="s">
        <v>15787</v>
      </c>
      <c r="AZ5691" t="s">
        <v>7739</v>
      </c>
      <c r="BA5691" t="s">
        <v>6302</v>
      </c>
      <c r="BB5691" s="3">
        <v>43746</v>
      </c>
      <c r="BC5691" s="1">
        <v>0</v>
      </c>
      <c r="BD5691" t="s">
        <v>247</v>
      </c>
      <c r="BE5691" s="3">
        <v>42468</v>
      </c>
      <c r="BF5691" s="1">
        <v>559500</v>
      </c>
      <c r="BG5691" t="s">
        <v>34888</v>
      </c>
      <c r="BH5691" s="1">
        <v>169.08</v>
      </c>
      <c r="BI5691" s="1">
        <v>531733</v>
      </c>
      <c r="BJ5691" s="3">
        <v>42468</v>
      </c>
      <c r="BK5691" t="s">
        <v>123</v>
      </c>
      <c r="BL5691" t="str">
        <f>"2016.235134"</f>
        <v>2016.235134</v>
      </c>
      <c r="BM5691" t="s">
        <v>34889</v>
      </c>
      <c r="BN5691" t="s">
        <v>34890</v>
      </c>
      <c r="BO5691" t="s">
        <v>34891</v>
      </c>
      <c r="BP5691" t="s">
        <v>34892</v>
      </c>
      <c r="BS5691">
        <v>30</v>
      </c>
      <c r="BW5691" t="str">
        <f>""</f>
        <v/>
      </c>
      <c r="CH5691" t="str">
        <f>""</f>
        <v/>
      </c>
      <c r="CS5691" t="str">
        <f>""</f>
        <v/>
      </c>
    </row>
    <row r="5692" spans="1:97" x14ac:dyDescent="0.25">
      <c r="A5692" t="s">
        <v>34893</v>
      </c>
      <c r="B5692" t="s">
        <v>370</v>
      </c>
      <c r="C5692" t="s">
        <v>8500</v>
      </c>
      <c r="D5692" t="s">
        <v>370</v>
      </c>
      <c r="E5692" t="s">
        <v>34894</v>
      </c>
      <c r="F5692" t="s">
        <v>108</v>
      </c>
      <c r="H5692" t="s">
        <v>34895</v>
      </c>
      <c r="I5692" t="s">
        <v>203</v>
      </c>
      <c r="J5692" t="s">
        <v>111</v>
      </c>
      <c r="K5692" t="str">
        <f>"85234"</f>
        <v>85234</v>
      </c>
      <c r="L5692" t="s">
        <v>1796</v>
      </c>
      <c r="M5692" t="s">
        <v>34895</v>
      </c>
      <c r="N5692" t="s">
        <v>203</v>
      </c>
      <c r="O5692" t="s">
        <v>111</v>
      </c>
      <c r="P5692" t="str">
        <f>"85234-4666"</f>
        <v>85234-4666</v>
      </c>
      <c r="Q5692" t="s">
        <v>113</v>
      </c>
      <c r="R5692" t="str">
        <f>"304-12-031"</f>
        <v>304-12-031</v>
      </c>
      <c r="S5692" t="s">
        <v>34896</v>
      </c>
      <c r="T5692" t="s">
        <v>27095</v>
      </c>
      <c r="U5692">
        <v>2367</v>
      </c>
      <c r="V5692">
        <v>0</v>
      </c>
      <c r="W5692">
        <v>4</v>
      </c>
      <c r="X5692">
        <v>1978</v>
      </c>
      <c r="Z5692">
        <v>1</v>
      </c>
      <c r="AA5692" t="s">
        <v>26</v>
      </c>
      <c r="AB5692">
        <v>0</v>
      </c>
      <c r="AC5692" t="s">
        <v>115</v>
      </c>
      <c r="AD5692">
        <v>2</v>
      </c>
      <c r="AE5692" t="s">
        <v>115</v>
      </c>
      <c r="AF5692">
        <v>0</v>
      </c>
      <c r="AG5692">
        <v>0</v>
      </c>
      <c r="AH5692" t="s">
        <v>116</v>
      </c>
      <c r="AI5692" s="1">
        <v>163995</v>
      </c>
      <c r="AJ5692" s="2">
        <v>0.31</v>
      </c>
      <c r="AK5692" s="1">
        <v>537607</v>
      </c>
      <c r="AL5692" t="s">
        <v>117</v>
      </c>
      <c r="AM5692" t="s">
        <v>3973</v>
      </c>
      <c r="AN5692">
        <v>35075</v>
      </c>
      <c r="AO5692">
        <v>0.8</v>
      </c>
      <c r="AP5692">
        <v>1</v>
      </c>
      <c r="AR5692">
        <v>1</v>
      </c>
      <c r="AS5692" s="1">
        <v>40960</v>
      </c>
      <c r="AT5692" s="1">
        <v>8190</v>
      </c>
      <c r="AU5692" s="1">
        <v>32770</v>
      </c>
      <c r="AV5692">
        <v>80</v>
      </c>
      <c r="AX5692" s="1">
        <v>2614.46</v>
      </c>
      <c r="AY5692" t="s">
        <v>9115</v>
      </c>
      <c r="AZ5692" t="s">
        <v>5478</v>
      </c>
      <c r="BA5692" t="s">
        <v>5033</v>
      </c>
      <c r="BE5692" s="3">
        <v>42354</v>
      </c>
      <c r="BF5692" s="1">
        <v>410000</v>
      </c>
      <c r="BG5692" t="s">
        <v>34897</v>
      </c>
      <c r="BH5692" s="1">
        <v>173.22</v>
      </c>
      <c r="BI5692" s="1">
        <v>373612</v>
      </c>
      <c r="BJ5692" s="3">
        <v>42354</v>
      </c>
      <c r="BK5692" t="s">
        <v>123</v>
      </c>
      <c r="BL5692" t="str">
        <f>"2015.886267"</f>
        <v>2015.886267</v>
      </c>
      <c r="BM5692" t="s">
        <v>135</v>
      </c>
      <c r="BO5692" t="s">
        <v>34898</v>
      </c>
      <c r="BS5692">
        <v>30</v>
      </c>
      <c r="BW5692" t="str">
        <f>""</f>
        <v/>
      </c>
      <c r="CH5692" t="str">
        <f>""</f>
        <v/>
      </c>
      <c r="CS5692" t="str">
        <f>""</f>
        <v/>
      </c>
    </row>
    <row r="5693" spans="1:97" x14ac:dyDescent="0.25">
      <c r="A5693" t="s">
        <v>34899</v>
      </c>
      <c r="B5693" t="s">
        <v>34900</v>
      </c>
      <c r="E5693" t="s">
        <v>34901</v>
      </c>
      <c r="F5693" t="s">
        <v>108</v>
      </c>
      <c r="H5693" t="s">
        <v>34902</v>
      </c>
      <c r="I5693" t="s">
        <v>632</v>
      </c>
      <c r="J5693" t="s">
        <v>111</v>
      </c>
      <c r="K5693" t="str">
        <f>"85388"</f>
        <v>85388</v>
      </c>
      <c r="L5693" t="s">
        <v>4467</v>
      </c>
      <c r="M5693" t="s">
        <v>34902</v>
      </c>
      <c r="N5693" t="s">
        <v>632</v>
      </c>
      <c r="O5693" t="s">
        <v>111</v>
      </c>
      <c r="P5693" t="str">
        <f>"85388-2303"</f>
        <v>85388-2303</v>
      </c>
      <c r="Q5693" t="s">
        <v>113</v>
      </c>
      <c r="R5693" t="str">
        <f>"502-09-669"</f>
        <v>502-09-669</v>
      </c>
      <c r="S5693" t="s">
        <v>5359</v>
      </c>
      <c r="T5693" t="s">
        <v>5360</v>
      </c>
      <c r="U5693">
        <v>3297</v>
      </c>
      <c r="V5693">
        <v>0</v>
      </c>
      <c r="W5693">
        <v>4</v>
      </c>
      <c r="X5693">
        <v>2013</v>
      </c>
      <c r="Z5693">
        <v>2</v>
      </c>
      <c r="AB5693">
        <v>0</v>
      </c>
      <c r="AC5693" t="s">
        <v>115</v>
      </c>
      <c r="AD5693">
        <v>3</v>
      </c>
      <c r="AE5693" t="s">
        <v>115</v>
      </c>
      <c r="AF5693">
        <v>0</v>
      </c>
      <c r="AG5693">
        <v>0</v>
      </c>
      <c r="AH5693" t="s">
        <v>116</v>
      </c>
      <c r="AI5693" s="1">
        <v>29991</v>
      </c>
      <c r="AJ5693" s="2">
        <v>0.09</v>
      </c>
      <c r="AK5693" s="1">
        <v>338241</v>
      </c>
      <c r="AL5693" t="s">
        <v>117</v>
      </c>
      <c r="AM5693" t="s">
        <v>118</v>
      </c>
      <c r="AN5693">
        <v>7253</v>
      </c>
      <c r="AO5693">
        <v>0.17</v>
      </c>
      <c r="AR5693">
        <v>1</v>
      </c>
      <c r="AS5693" s="1">
        <v>24650</v>
      </c>
      <c r="AT5693" s="1">
        <v>4930</v>
      </c>
      <c r="AU5693" s="1">
        <v>19720</v>
      </c>
      <c r="AV5693">
        <v>80</v>
      </c>
      <c r="AX5693" s="1">
        <v>2276.6</v>
      </c>
      <c r="AY5693" t="s">
        <v>5168</v>
      </c>
      <c r="AZ5693" t="s">
        <v>5168</v>
      </c>
      <c r="BA5693" t="s">
        <v>5109</v>
      </c>
      <c r="BE5693" s="3">
        <v>41719</v>
      </c>
      <c r="BF5693" s="1">
        <v>248427</v>
      </c>
      <c r="BG5693" t="s">
        <v>2289</v>
      </c>
      <c r="BH5693" s="1">
        <v>75.349999999999994</v>
      </c>
      <c r="BI5693" s="1">
        <v>308250</v>
      </c>
      <c r="BJ5693" s="3">
        <v>43438</v>
      </c>
      <c r="BK5693" t="s">
        <v>123</v>
      </c>
      <c r="BL5693" t="str">
        <f>"2018.889664"</f>
        <v>2018.889664</v>
      </c>
      <c r="BM5693" t="s">
        <v>1809</v>
      </c>
      <c r="BN5693" t="s">
        <v>1810</v>
      </c>
      <c r="BO5693" t="s">
        <v>34903</v>
      </c>
      <c r="BR5693" t="s">
        <v>139</v>
      </c>
      <c r="BW5693" t="str">
        <f>""</f>
        <v/>
      </c>
      <c r="CH5693" t="str">
        <f>""</f>
        <v/>
      </c>
      <c r="CS5693" t="str">
        <f>""</f>
        <v/>
      </c>
    </row>
    <row r="5694" spans="1:97" x14ac:dyDescent="0.25">
      <c r="A5694" t="s">
        <v>34904</v>
      </c>
      <c r="B5694" t="s">
        <v>9720</v>
      </c>
      <c r="E5694" t="s">
        <v>34905</v>
      </c>
      <c r="F5694" t="s">
        <v>108</v>
      </c>
      <c r="H5694" t="s">
        <v>34906</v>
      </c>
      <c r="I5694" t="s">
        <v>2874</v>
      </c>
      <c r="J5694" t="s">
        <v>111</v>
      </c>
      <c r="K5694" t="str">
        <f>"85310"</f>
        <v>85310</v>
      </c>
      <c r="L5694" t="s">
        <v>5990</v>
      </c>
      <c r="M5694" t="s">
        <v>34906</v>
      </c>
      <c r="N5694" t="s">
        <v>2874</v>
      </c>
      <c r="O5694" t="s">
        <v>111</v>
      </c>
      <c r="P5694" t="str">
        <f>"85310-5235"</f>
        <v>85310-5235</v>
      </c>
      <c r="Q5694" t="s">
        <v>113</v>
      </c>
      <c r="R5694" t="str">
        <f>"200-06-056"</f>
        <v>200-06-056</v>
      </c>
      <c r="S5694" t="s">
        <v>34907</v>
      </c>
      <c r="T5694" t="s">
        <v>34689</v>
      </c>
      <c r="U5694">
        <v>2080</v>
      </c>
      <c r="V5694">
        <v>0</v>
      </c>
      <c r="W5694">
        <v>3</v>
      </c>
      <c r="X5694">
        <v>1996</v>
      </c>
      <c r="Z5694">
        <v>1</v>
      </c>
      <c r="AA5694" t="s">
        <v>26</v>
      </c>
      <c r="AB5694">
        <v>0</v>
      </c>
      <c r="AC5694" t="s">
        <v>115</v>
      </c>
      <c r="AD5694">
        <v>3</v>
      </c>
      <c r="AE5694" t="s">
        <v>115</v>
      </c>
      <c r="AF5694">
        <v>0</v>
      </c>
      <c r="AG5694">
        <v>0</v>
      </c>
      <c r="AH5694" t="s">
        <v>116</v>
      </c>
      <c r="AI5694" s="1">
        <v>57958</v>
      </c>
      <c r="AJ5694" s="2">
        <v>0.15</v>
      </c>
      <c r="AK5694" s="1">
        <v>379859</v>
      </c>
      <c r="AL5694" t="s">
        <v>117</v>
      </c>
      <c r="AM5694" t="s">
        <v>118</v>
      </c>
      <c r="AN5694">
        <v>8500</v>
      </c>
      <c r="AO5694">
        <v>0.2</v>
      </c>
      <c r="AP5694">
        <v>1</v>
      </c>
      <c r="AR5694">
        <v>1</v>
      </c>
      <c r="AS5694" s="1">
        <v>27060</v>
      </c>
      <c r="AT5694" s="1">
        <v>5410</v>
      </c>
      <c r="AU5694" s="1">
        <v>21650</v>
      </c>
      <c r="AV5694">
        <v>80.010000000000005</v>
      </c>
      <c r="AX5694" s="1">
        <v>2388.6999999999998</v>
      </c>
      <c r="AY5694" t="s">
        <v>3048</v>
      </c>
      <c r="AZ5694" t="s">
        <v>3049</v>
      </c>
      <c r="BA5694" t="s">
        <v>2223</v>
      </c>
      <c r="BE5694" s="3">
        <v>42053</v>
      </c>
      <c r="BF5694" s="1">
        <v>320000</v>
      </c>
      <c r="BG5694" t="s">
        <v>34908</v>
      </c>
      <c r="BH5694" s="1">
        <v>153.85</v>
      </c>
      <c r="BI5694" s="1">
        <v>321901</v>
      </c>
      <c r="BJ5694" s="3">
        <v>42307</v>
      </c>
      <c r="BK5694" t="s">
        <v>123</v>
      </c>
      <c r="BL5694" t="str">
        <f>"2015.781221"</f>
        <v>2015.781221</v>
      </c>
      <c r="BM5694" t="s">
        <v>17829</v>
      </c>
      <c r="BO5694" t="s">
        <v>34909</v>
      </c>
      <c r="BS5694">
        <v>30</v>
      </c>
      <c r="BW5694" t="str">
        <f>""</f>
        <v/>
      </c>
      <c r="CH5694" t="str">
        <f>""</f>
        <v/>
      </c>
      <c r="CS5694" t="str">
        <f>""</f>
        <v/>
      </c>
    </row>
    <row r="5695" spans="1:97" x14ac:dyDescent="0.25">
      <c r="A5695" t="s">
        <v>34910</v>
      </c>
      <c r="B5695" t="s">
        <v>2692</v>
      </c>
      <c r="C5695" t="s">
        <v>34911</v>
      </c>
      <c r="D5695" t="s">
        <v>2692</v>
      </c>
      <c r="E5695" t="s">
        <v>34912</v>
      </c>
      <c r="F5695" t="s">
        <v>108</v>
      </c>
      <c r="H5695" t="s">
        <v>34913</v>
      </c>
      <c r="I5695" t="s">
        <v>2874</v>
      </c>
      <c r="J5695" t="s">
        <v>111</v>
      </c>
      <c r="K5695" t="str">
        <f>"85308"</f>
        <v>85308</v>
      </c>
      <c r="L5695" t="s">
        <v>7607</v>
      </c>
      <c r="M5695" t="s">
        <v>34913</v>
      </c>
      <c r="N5695" t="s">
        <v>2874</v>
      </c>
      <c r="O5695" t="s">
        <v>111</v>
      </c>
      <c r="P5695" t="str">
        <f>"85308-8961"</f>
        <v>85308-8961</v>
      </c>
      <c r="Q5695" t="s">
        <v>113</v>
      </c>
      <c r="R5695" t="str">
        <f>"200-21-412"</f>
        <v>200-21-412</v>
      </c>
      <c r="S5695" t="s">
        <v>11431</v>
      </c>
      <c r="T5695" t="s">
        <v>11431</v>
      </c>
      <c r="U5695">
        <v>1611</v>
      </c>
      <c r="V5695">
        <v>0</v>
      </c>
      <c r="W5695">
        <v>3</v>
      </c>
      <c r="X5695">
        <v>1998</v>
      </c>
      <c r="Z5695">
        <v>1</v>
      </c>
      <c r="AA5695" t="s">
        <v>26</v>
      </c>
      <c r="AB5695">
        <v>0</v>
      </c>
      <c r="AC5695" t="s">
        <v>115</v>
      </c>
      <c r="AD5695">
        <v>2</v>
      </c>
      <c r="AE5695" t="s">
        <v>115</v>
      </c>
      <c r="AF5695">
        <v>0</v>
      </c>
      <c r="AG5695">
        <v>0</v>
      </c>
      <c r="AH5695" t="s">
        <v>116</v>
      </c>
      <c r="AI5695" s="1">
        <v>58933</v>
      </c>
      <c r="AJ5695" s="2">
        <v>0.18</v>
      </c>
      <c r="AK5695" s="1">
        <v>325733</v>
      </c>
      <c r="AL5695" t="s">
        <v>117</v>
      </c>
      <c r="AM5695" t="s">
        <v>191</v>
      </c>
      <c r="AN5695">
        <v>6807</v>
      </c>
      <c r="AO5695">
        <v>0.16</v>
      </c>
      <c r="AP5695">
        <v>1</v>
      </c>
      <c r="AR5695">
        <v>1</v>
      </c>
      <c r="AS5695" s="1">
        <v>23100</v>
      </c>
      <c r="AT5695" s="1">
        <v>4620</v>
      </c>
      <c r="AU5695" s="1">
        <v>18480</v>
      </c>
      <c r="AV5695">
        <v>80</v>
      </c>
      <c r="AX5695" s="1">
        <v>2079.6999999999998</v>
      </c>
      <c r="AY5695" t="s">
        <v>8358</v>
      </c>
      <c r="AZ5695" t="s">
        <v>8358</v>
      </c>
      <c r="BA5695" t="s">
        <v>2223</v>
      </c>
      <c r="BB5695" s="3">
        <v>42576</v>
      </c>
      <c r="BD5695" t="s">
        <v>240</v>
      </c>
      <c r="BE5695" s="3">
        <v>42264</v>
      </c>
      <c r="BF5695" s="1">
        <v>259900</v>
      </c>
      <c r="BG5695" t="s">
        <v>17603</v>
      </c>
      <c r="BH5695" s="1">
        <v>161.33000000000001</v>
      </c>
      <c r="BI5695" s="1">
        <v>266800</v>
      </c>
      <c r="BJ5695" s="3">
        <v>42576</v>
      </c>
      <c r="BK5695" t="s">
        <v>123</v>
      </c>
      <c r="BL5695" t="str">
        <f>"2016.522946"</f>
        <v>2016.522946</v>
      </c>
      <c r="BM5695" t="s">
        <v>255</v>
      </c>
      <c r="BO5695" t="s">
        <v>34914</v>
      </c>
      <c r="BS5695">
        <v>30</v>
      </c>
      <c r="BW5695" t="str">
        <f>""</f>
        <v/>
      </c>
      <c r="CH5695" t="str">
        <f>""</f>
        <v/>
      </c>
      <c r="CS5695" t="str">
        <f>""</f>
        <v/>
      </c>
    </row>
    <row r="5696" spans="1:97" x14ac:dyDescent="0.25">
      <c r="B5696" t="s">
        <v>34915</v>
      </c>
      <c r="E5696" t="s">
        <v>34916</v>
      </c>
      <c r="F5696" t="s">
        <v>139</v>
      </c>
      <c r="H5696" t="s">
        <v>34917</v>
      </c>
      <c r="I5696" t="s">
        <v>225</v>
      </c>
      <c r="J5696" t="s">
        <v>111</v>
      </c>
      <c r="K5696" t="str">
        <f>"85215"</f>
        <v>85215</v>
      </c>
      <c r="L5696" t="s">
        <v>6416</v>
      </c>
      <c r="M5696" t="s">
        <v>34917</v>
      </c>
      <c r="N5696" t="s">
        <v>225</v>
      </c>
      <c r="O5696" t="s">
        <v>111</v>
      </c>
      <c r="P5696" t="str">
        <f>"85215"</f>
        <v>85215</v>
      </c>
      <c r="Q5696" t="s">
        <v>113</v>
      </c>
      <c r="R5696" t="str">
        <f>"141-69-719"</f>
        <v>141-69-719</v>
      </c>
      <c r="S5696" t="s">
        <v>20861</v>
      </c>
      <c r="T5696" t="s">
        <v>20713</v>
      </c>
      <c r="U5696">
        <v>2270</v>
      </c>
      <c r="V5696">
        <v>0</v>
      </c>
      <c r="W5696">
        <v>3</v>
      </c>
      <c r="X5696">
        <v>1993</v>
      </c>
      <c r="Z5696">
        <v>1</v>
      </c>
      <c r="AA5696" t="s">
        <v>26</v>
      </c>
      <c r="AB5696">
        <v>0</v>
      </c>
      <c r="AC5696" t="s">
        <v>115</v>
      </c>
      <c r="AD5696">
        <v>3</v>
      </c>
      <c r="AE5696" t="s">
        <v>115</v>
      </c>
      <c r="AF5696">
        <v>0</v>
      </c>
      <c r="AG5696">
        <v>0</v>
      </c>
      <c r="AH5696" t="s">
        <v>116</v>
      </c>
      <c r="AI5696" s="1">
        <v>56400</v>
      </c>
      <c r="AJ5696" s="2">
        <v>0.14000000000000001</v>
      </c>
      <c r="AK5696" s="1">
        <v>392473</v>
      </c>
      <c r="AL5696" t="s">
        <v>117</v>
      </c>
      <c r="AM5696" t="s">
        <v>393</v>
      </c>
      <c r="AN5696">
        <v>8131</v>
      </c>
      <c r="AO5696">
        <v>0.19</v>
      </c>
      <c r="AP5696">
        <v>1</v>
      </c>
      <c r="AR5696">
        <v>1</v>
      </c>
      <c r="AS5696" s="1">
        <v>27520</v>
      </c>
      <c r="AT5696" s="1">
        <v>5500</v>
      </c>
      <c r="AU5696" s="1">
        <v>22020</v>
      </c>
      <c r="AV5696">
        <v>80.010000000000005</v>
      </c>
      <c r="AX5696" s="1">
        <v>2402.36</v>
      </c>
      <c r="AY5696" t="s">
        <v>6662</v>
      </c>
      <c r="AZ5696" t="s">
        <v>5275</v>
      </c>
      <c r="BA5696" t="s">
        <v>3119</v>
      </c>
      <c r="BB5696" s="3">
        <v>43266</v>
      </c>
      <c r="BC5696" s="1">
        <v>0</v>
      </c>
      <c r="BD5696" t="s">
        <v>247</v>
      </c>
      <c r="BE5696" s="3">
        <v>42173</v>
      </c>
      <c r="BF5696" s="1">
        <v>339000</v>
      </c>
      <c r="BG5696" t="s">
        <v>34918</v>
      </c>
      <c r="BH5696" s="1">
        <v>149.34</v>
      </c>
      <c r="BI5696" s="1">
        <v>336073</v>
      </c>
      <c r="BJ5696" s="3">
        <v>42173</v>
      </c>
      <c r="BK5696" t="s">
        <v>123</v>
      </c>
      <c r="BL5696" t="str">
        <f>"2015.435732"</f>
        <v>2015.435732</v>
      </c>
      <c r="BM5696" t="s">
        <v>475</v>
      </c>
      <c r="BN5696" t="s">
        <v>1282</v>
      </c>
      <c r="BO5696" t="s">
        <v>34919</v>
      </c>
      <c r="BS5696">
        <v>30</v>
      </c>
      <c r="BW5696" t="str">
        <f>""</f>
        <v/>
      </c>
      <c r="CH5696" t="str">
        <f>""</f>
        <v/>
      </c>
      <c r="CS5696" t="str">
        <f>""</f>
        <v/>
      </c>
    </row>
    <row r="5697" spans="1:97" x14ac:dyDescent="0.25">
      <c r="A5697" t="s">
        <v>4660</v>
      </c>
      <c r="B5697" t="s">
        <v>34920</v>
      </c>
      <c r="E5697" t="s">
        <v>34921</v>
      </c>
      <c r="F5697" t="s">
        <v>108</v>
      </c>
      <c r="H5697" t="s">
        <v>34922</v>
      </c>
      <c r="I5697" t="s">
        <v>1936</v>
      </c>
      <c r="J5697" t="s">
        <v>111</v>
      </c>
      <c r="K5697" t="str">
        <f>"85251"</f>
        <v>85251</v>
      </c>
      <c r="L5697" t="s">
        <v>5687</v>
      </c>
      <c r="M5697" t="s">
        <v>34922</v>
      </c>
      <c r="N5697" t="s">
        <v>1936</v>
      </c>
      <c r="O5697" t="s">
        <v>111</v>
      </c>
      <c r="P5697" t="str">
        <f>"85251-2734"</f>
        <v>85251-2734</v>
      </c>
      <c r="R5697" t="str">
        <f>"130-45-025"</f>
        <v>130-45-025</v>
      </c>
      <c r="S5697" t="s">
        <v>34923</v>
      </c>
      <c r="U5697">
        <v>1668</v>
      </c>
      <c r="V5697">
        <v>0</v>
      </c>
      <c r="W5697">
        <v>2</v>
      </c>
      <c r="X5697">
        <v>1958</v>
      </c>
      <c r="Z5697">
        <v>1</v>
      </c>
      <c r="AB5697">
        <v>0</v>
      </c>
      <c r="AC5697" t="s">
        <v>5188</v>
      </c>
      <c r="AD5697">
        <v>1</v>
      </c>
      <c r="AE5697" t="s">
        <v>5188</v>
      </c>
      <c r="AF5697">
        <v>0</v>
      </c>
      <c r="AG5697">
        <v>0</v>
      </c>
      <c r="AH5697" t="s">
        <v>116</v>
      </c>
      <c r="AI5697" s="1">
        <v>-363822</v>
      </c>
      <c r="AJ5697" s="2">
        <v>-0.92</v>
      </c>
      <c r="AK5697" s="1">
        <v>393982</v>
      </c>
      <c r="AL5697" t="s">
        <v>117</v>
      </c>
      <c r="AM5697" t="s">
        <v>393</v>
      </c>
      <c r="AN5697">
        <v>6678</v>
      </c>
      <c r="AO5697">
        <v>0.15</v>
      </c>
      <c r="AP5697">
        <v>1</v>
      </c>
      <c r="AR5697">
        <v>1</v>
      </c>
      <c r="AS5697" s="1">
        <v>24250</v>
      </c>
      <c r="AT5697" s="1">
        <v>4850</v>
      </c>
      <c r="AU5697" s="1">
        <v>19400</v>
      </c>
      <c r="AV5697">
        <v>80</v>
      </c>
      <c r="AX5697" s="1">
        <v>1122.58</v>
      </c>
      <c r="AY5697" t="s">
        <v>7031</v>
      </c>
      <c r="AZ5697" t="s">
        <v>5420</v>
      </c>
      <c r="BA5697" t="s">
        <v>5421</v>
      </c>
      <c r="BE5697" s="3">
        <v>42310</v>
      </c>
      <c r="BF5697" s="1">
        <v>340000</v>
      </c>
      <c r="BG5697" t="s">
        <v>34924</v>
      </c>
      <c r="BH5697" s="1">
        <v>203.84</v>
      </c>
      <c r="BI5697" s="1">
        <v>378902</v>
      </c>
      <c r="BJ5697" s="3">
        <v>43563</v>
      </c>
      <c r="BK5697" t="s">
        <v>123</v>
      </c>
      <c r="BL5697" t="str">
        <f>"2019.242191"</f>
        <v>2019.242191</v>
      </c>
      <c r="BM5697" t="s">
        <v>1809</v>
      </c>
      <c r="BN5697" t="s">
        <v>34925</v>
      </c>
      <c r="BO5697" t="s">
        <v>34926</v>
      </c>
      <c r="BR5697" t="s">
        <v>139</v>
      </c>
      <c r="BT5697" s="1">
        <v>378902</v>
      </c>
      <c r="BU5697" s="3">
        <v>43573</v>
      </c>
      <c r="BV5697" t="s">
        <v>123</v>
      </c>
      <c r="BW5697" t="str">
        <f>"2019.273349"</f>
        <v>2019.273349</v>
      </c>
      <c r="BX5697" t="s">
        <v>1809</v>
      </c>
      <c r="BY5697" t="s">
        <v>1810</v>
      </c>
      <c r="BZ5697" t="s">
        <v>34926</v>
      </c>
      <c r="CC5697" t="s">
        <v>139</v>
      </c>
      <c r="CH5697" t="str">
        <f>""</f>
        <v/>
      </c>
      <c r="CS5697" t="str">
        <f>""</f>
        <v/>
      </c>
    </row>
    <row r="5698" spans="1:97" x14ac:dyDescent="0.25">
      <c r="A5698" t="s">
        <v>20802</v>
      </c>
      <c r="B5698" t="s">
        <v>34927</v>
      </c>
      <c r="E5698" t="s">
        <v>34928</v>
      </c>
      <c r="F5698" t="s">
        <v>108</v>
      </c>
      <c r="H5698" t="s">
        <v>34929</v>
      </c>
      <c r="I5698" t="s">
        <v>5863</v>
      </c>
      <c r="J5698" t="s">
        <v>111</v>
      </c>
      <c r="K5698" t="str">
        <f>"85375"</f>
        <v>85375</v>
      </c>
      <c r="L5698" t="s">
        <v>926</v>
      </c>
      <c r="M5698" t="s">
        <v>34929</v>
      </c>
      <c r="N5698" t="s">
        <v>5863</v>
      </c>
      <c r="O5698" t="s">
        <v>111</v>
      </c>
      <c r="P5698" t="str">
        <f>"85375-5928"</f>
        <v>85375-5928</v>
      </c>
      <c r="Q5698" t="s">
        <v>113</v>
      </c>
      <c r="R5698" t="str">
        <f>"232-19-552"</f>
        <v>232-19-552</v>
      </c>
      <c r="S5698" t="s">
        <v>34930</v>
      </c>
      <c r="U5698">
        <v>2000</v>
      </c>
      <c r="V5698">
        <v>0</v>
      </c>
      <c r="W5698">
        <v>3</v>
      </c>
      <c r="X5698">
        <v>1989</v>
      </c>
      <c r="Z5698">
        <v>1</v>
      </c>
      <c r="AB5698">
        <v>0</v>
      </c>
      <c r="AC5698" t="s">
        <v>115</v>
      </c>
      <c r="AD5698">
        <v>2</v>
      </c>
      <c r="AE5698" t="s">
        <v>115</v>
      </c>
      <c r="AF5698">
        <v>0</v>
      </c>
      <c r="AG5698">
        <v>0</v>
      </c>
      <c r="AH5698" t="s">
        <v>116</v>
      </c>
      <c r="AI5698" s="1">
        <v>4498</v>
      </c>
      <c r="AJ5698" s="2">
        <v>0.02</v>
      </c>
      <c r="AK5698" s="1">
        <v>293862</v>
      </c>
      <c r="AL5698" t="s">
        <v>117</v>
      </c>
      <c r="AM5698" t="s">
        <v>393</v>
      </c>
      <c r="AN5698">
        <v>9000</v>
      </c>
      <c r="AO5698">
        <v>0.21</v>
      </c>
      <c r="AP5698">
        <v>1</v>
      </c>
      <c r="AR5698">
        <v>1</v>
      </c>
      <c r="AS5698" s="1">
        <v>18580</v>
      </c>
      <c r="AT5698" s="1">
        <v>3710</v>
      </c>
      <c r="AU5698" s="1">
        <v>14870</v>
      </c>
      <c r="AV5698">
        <v>80.03</v>
      </c>
      <c r="AX5698" s="1">
        <v>1448.84</v>
      </c>
      <c r="AY5698" t="s">
        <v>320</v>
      </c>
      <c r="AZ5698" t="s">
        <v>320</v>
      </c>
      <c r="BA5698" t="s">
        <v>321</v>
      </c>
      <c r="BE5698" s="3">
        <v>42060</v>
      </c>
      <c r="BF5698" s="1">
        <v>220000</v>
      </c>
      <c r="BG5698" t="s">
        <v>34931</v>
      </c>
      <c r="BH5698" s="1">
        <v>110</v>
      </c>
      <c r="BI5698" s="1">
        <v>220000</v>
      </c>
      <c r="BJ5698" s="3">
        <v>42060</v>
      </c>
      <c r="BK5698" t="s">
        <v>123</v>
      </c>
      <c r="BL5698" t="str">
        <f>"2015.120206"</f>
        <v>2015.120206</v>
      </c>
      <c r="BM5698" t="s">
        <v>544</v>
      </c>
      <c r="BN5698" t="s">
        <v>545</v>
      </c>
      <c r="BO5698" t="s">
        <v>34932</v>
      </c>
      <c r="BP5698" t="s">
        <v>34933</v>
      </c>
      <c r="BS5698">
        <v>30</v>
      </c>
      <c r="BT5698" s="1">
        <v>69364</v>
      </c>
      <c r="BU5698" s="3">
        <v>43595</v>
      </c>
      <c r="BV5698" t="s">
        <v>134</v>
      </c>
      <c r="BW5698" t="str">
        <f>"2019.339806"</f>
        <v>2019.339806</v>
      </c>
      <c r="BX5698" t="s">
        <v>1051</v>
      </c>
      <c r="BY5698" t="s">
        <v>34934</v>
      </c>
      <c r="BZ5698" t="s">
        <v>34935</v>
      </c>
      <c r="CA5698" t="s">
        <v>34936</v>
      </c>
      <c r="CC5698" t="s">
        <v>139</v>
      </c>
      <c r="CH5698" t="str">
        <f>""</f>
        <v/>
      </c>
      <c r="CS5698" t="str">
        <f>""</f>
        <v/>
      </c>
    </row>
    <row r="5699" spans="1:97" x14ac:dyDescent="0.25">
      <c r="A5699" t="s">
        <v>16655</v>
      </c>
      <c r="B5699" t="s">
        <v>34937</v>
      </c>
      <c r="C5699" t="s">
        <v>34938</v>
      </c>
      <c r="D5699" t="s">
        <v>34937</v>
      </c>
      <c r="E5699" t="s">
        <v>34939</v>
      </c>
      <c r="F5699" t="s">
        <v>108</v>
      </c>
      <c r="H5699" t="s">
        <v>34940</v>
      </c>
      <c r="I5699" t="s">
        <v>203</v>
      </c>
      <c r="J5699" t="s">
        <v>111</v>
      </c>
      <c r="K5699" t="str">
        <f>"85234"</f>
        <v>85234</v>
      </c>
      <c r="L5699" t="s">
        <v>9597</v>
      </c>
      <c r="M5699" t="s">
        <v>34940</v>
      </c>
      <c r="N5699" t="s">
        <v>203</v>
      </c>
      <c r="O5699" t="s">
        <v>111</v>
      </c>
      <c r="P5699" t="str">
        <f>"85234-2864"</f>
        <v>85234-2864</v>
      </c>
      <c r="Q5699" t="s">
        <v>113</v>
      </c>
      <c r="R5699" t="str">
        <f>"304-98-802"</f>
        <v>304-98-802</v>
      </c>
      <c r="S5699" t="s">
        <v>34941</v>
      </c>
      <c r="T5699" t="s">
        <v>34942</v>
      </c>
      <c r="U5699">
        <v>2132</v>
      </c>
      <c r="V5699">
        <v>0</v>
      </c>
      <c r="W5699">
        <v>4</v>
      </c>
      <c r="X5699">
        <v>1989</v>
      </c>
      <c r="Z5699">
        <v>2</v>
      </c>
      <c r="AA5699" t="s">
        <v>26</v>
      </c>
      <c r="AB5699">
        <v>0</v>
      </c>
      <c r="AC5699" t="s">
        <v>115</v>
      </c>
      <c r="AD5699">
        <v>2</v>
      </c>
      <c r="AE5699" t="s">
        <v>115</v>
      </c>
      <c r="AF5699">
        <v>0</v>
      </c>
      <c r="AG5699">
        <v>0</v>
      </c>
      <c r="AH5699" t="s">
        <v>116</v>
      </c>
      <c r="AI5699" s="1">
        <v>146744</v>
      </c>
      <c r="AJ5699" s="2">
        <v>0.4</v>
      </c>
      <c r="AK5699" s="1">
        <v>363674</v>
      </c>
      <c r="AL5699" t="s">
        <v>117</v>
      </c>
      <c r="AM5699" t="s">
        <v>191</v>
      </c>
      <c r="AN5699">
        <v>6534</v>
      </c>
      <c r="AO5699">
        <v>0.15</v>
      </c>
      <c r="AP5699">
        <v>1</v>
      </c>
      <c r="AR5699">
        <v>1</v>
      </c>
      <c r="AS5699" s="1">
        <v>26170</v>
      </c>
      <c r="AT5699" s="1">
        <v>5230</v>
      </c>
      <c r="AU5699" s="1">
        <v>20940</v>
      </c>
      <c r="AV5699">
        <v>80.02</v>
      </c>
      <c r="AX5699" s="1">
        <v>2113.6</v>
      </c>
      <c r="AY5699" t="s">
        <v>10191</v>
      </c>
      <c r="AZ5699" t="s">
        <v>571</v>
      </c>
      <c r="BA5699" t="s">
        <v>521</v>
      </c>
      <c r="BE5699" s="3">
        <v>42383</v>
      </c>
      <c r="BF5699" s="1">
        <v>295000</v>
      </c>
      <c r="BG5699" t="s">
        <v>34943</v>
      </c>
      <c r="BH5699" s="1">
        <v>138.37</v>
      </c>
      <c r="BI5699" s="1">
        <v>216930</v>
      </c>
      <c r="BJ5699" s="3">
        <v>43535</v>
      </c>
      <c r="BK5699" t="s">
        <v>123</v>
      </c>
      <c r="BL5699" t="str">
        <f>"2019.165927"</f>
        <v>2019.165927</v>
      </c>
      <c r="BM5699" t="s">
        <v>22194</v>
      </c>
      <c r="BN5699" t="s">
        <v>22195</v>
      </c>
      <c r="BO5699" t="s">
        <v>34944</v>
      </c>
      <c r="BP5699" t="s">
        <v>34945</v>
      </c>
      <c r="BR5699" t="s">
        <v>139</v>
      </c>
      <c r="BW5699" t="str">
        <f>""</f>
        <v/>
      </c>
      <c r="CH5699" t="str">
        <f>""</f>
        <v/>
      </c>
      <c r="CS5699" t="str">
        <f>""</f>
        <v/>
      </c>
    </row>
    <row r="5700" spans="1:97" x14ac:dyDescent="0.25">
      <c r="A5700" t="s">
        <v>484</v>
      </c>
      <c r="B5700" t="s">
        <v>34946</v>
      </c>
      <c r="C5700" t="s">
        <v>305</v>
      </c>
      <c r="D5700" t="s">
        <v>34946</v>
      </c>
      <c r="E5700" t="s">
        <v>34947</v>
      </c>
      <c r="F5700" t="s">
        <v>108</v>
      </c>
      <c r="H5700" t="s">
        <v>34948</v>
      </c>
      <c r="I5700" t="s">
        <v>390</v>
      </c>
      <c r="J5700" t="s">
        <v>111</v>
      </c>
      <c r="K5700" t="str">
        <f>"85045"</f>
        <v>85045</v>
      </c>
      <c r="L5700" t="s">
        <v>3430</v>
      </c>
      <c r="M5700" t="s">
        <v>34948</v>
      </c>
      <c r="N5700" t="s">
        <v>390</v>
      </c>
      <c r="O5700" t="s">
        <v>111</v>
      </c>
      <c r="P5700" t="str">
        <f>"85045-2201"</f>
        <v>85045-2201</v>
      </c>
      <c r="Q5700" t="s">
        <v>113</v>
      </c>
      <c r="R5700" t="str">
        <f>"300-05-539"</f>
        <v>300-05-539</v>
      </c>
      <c r="S5700" t="s">
        <v>12018</v>
      </c>
      <c r="T5700" t="s">
        <v>12019</v>
      </c>
      <c r="U5700">
        <v>3152</v>
      </c>
      <c r="V5700">
        <v>0</v>
      </c>
      <c r="W5700">
        <v>4</v>
      </c>
      <c r="X5700">
        <v>2005</v>
      </c>
      <c r="Z5700">
        <v>2</v>
      </c>
      <c r="AA5700" t="s">
        <v>26</v>
      </c>
      <c r="AB5700">
        <v>0</v>
      </c>
      <c r="AC5700" t="s">
        <v>115</v>
      </c>
      <c r="AD5700">
        <v>3</v>
      </c>
      <c r="AE5700" t="s">
        <v>115</v>
      </c>
      <c r="AF5700">
        <v>0</v>
      </c>
      <c r="AG5700">
        <v>0</v>
      </c>
      <c r="AH5700" t="s">
        <v>116</v>
      </c>
      <c r="AI5700" s="1">
        <v>85470</v>
      </c>
      <c r="AJ5700" s="2">
        <v>0.2</v>
      </c>
      <c r="AK5700" s="1">
        <v>421029</v>
      </c>
      <c r="AL5700" t="s">
        <v>117</v>
      </c>
      <c r="AM5700" t="s">
        <v>4559</v>
      </c>
      <c r="AN5700">
        <v>6050</v>
      </c>
      <c r="AO5700">
        <v>0.14000000000000001</v>
      </c>
      <c r="AR5700">
        <v>1</v>
      </c>
      <c r="AS5700" s="1">
        <v>29500</v>
      </c>
      <c r="AT5700" s="1">
        <v>5900</v>
      </c>
      <c r="AU5700" s="1">
        <v>23600</v>
      </c>
      <c r="AV5700">
        <v>80</v>
      </c>
      <c r="AX5700" s="1">
        <v>2985.14</v>
      </c>
      <c r="AY5700" t="s">
        <v>6202</v>
      </c>
      <c r="AZ5700" t="s">
        <v>2967</v>
      </c>
      <c r="BA5700" t="s">
        <v>930</v>
      </c>
      <c r="BE5700" s="3">
        <v>42187</v>
      </c>
      <c r="BF5700" s="1">
        <v>348000</v>
      </c>
      <c r="BG5700" t="s">
        <v>34949</v>
      </c>
      <c r="BH5700" s="1">
        <v>110.41</v>
      </c>
      <c r="BI5700" s="1">
        <v>335559</v>
      </c>
      <c r="BJ5700" s="3">
        <v>42187</v>
      </c>
      <c r="BK5700" t="s">
        <v>123</v>
      </c>
      <c r="BL5700" t="str">
        <f>"2015.481637"</f>
        <v>2015.481637</v>
      </c>
      <c r="BM5700" t="s">
        <v>724</v>
      </c>
      <c r="BO5700" t="s">
        <v>34950</v>
      </c>
      <c r="BS5700">
        <v>30</v>
      </c>
      <c r="BW5700" t="str">
        <f>""</f>
        <v/>
      </c>
      <c r="CH5700" t="str">
        <f>""</f>
        <v/>
      </c>
      <c r="CS5700" t="str">
        <f>""</f>
        <v/>
      </c>
    </row>
    <row r="5701" spans="1:97" x14ac:dyDescent="0.25">
      <c r="A5701" t="s">
        <v>177</v>
      </c>
      <c r="B5701" t="s">
        <v>2251</v>
      </c>
      <c r="C5701" t="s">
        <v>5941</v>
      </c>
      <c r="D5701" t="s">
        <v>2251</v>
      </c>
      <c r="E5701" t="s">
        <v>34951</v>
      </c>
      <c r="F5701" t="s">
        <v>108</v>
      </c>
      <c r="H5701" t="s">
        <v>34952</v>
      </c>
      <c r="I5701" t="s">
        <v>390</v>
      </c>
      <c r="J5701" t="s">
        <v>111</v>
      </c>
      <c r="K5701" t="str">
        <f>"85086"</f>
        <v>85086</v>
      </c>
      <c r="L5701" t="s">
        <v>688</v>
      </c>
      <c r="M5701" t="s">
        <v>34952</v>
      </c>
      <c r="N5701" t="s">
        <v>390</v>
      </c>
      <c r="O5701" t="s">
        <v>111</v>
      </c>
      <c r="P5701" t="str">
        <f>"85086-3754"</f>
        <v>85086-3754</v>
      </c>
      <c r="Q5701" t="s">
        <v>113</v>
      </c>
      <c r="R5701" t="str">
        <f>"203-10-735"</f>
        <v>203-10-735</v>
      </c>
      <c r="S5701" t="s">
        <v>9878</v>
      </c>
      <c r="U5701">
        <v>2168</v>
      </c>
      <c r="V5701">
        <v>0</v>
      </c>
      <c r="W5701">
        <v>3</v>
      </c>
      <c r="X5701">
        <v>2005</v>
      </c>
      <c r="Z5701">
        <v>2</v>
      </c>
      <c r="AB5701">
        <v>0</v>
      </c>
      <c r="AC5701" t="s">
        <v>115</v>
      </c>
      <c r="AD5701">
        <v>2</v>
      </c>
      <c r="AE5701" t="s">
        <v>115</v>
      </c>
      <c r="AF5701">
        <v>0</v>
      </c>
      <c r="AG5701">
        <v>0</v>
      </c>
      <c r="AH5701" t="s">
        <v>116</v>
      </c>
      <c r="AI5701" s="1">
        <v>39866</v>
      </c>
      <c r="AJ5701" s="2">
        <v>0.14000000000000001</v>
      </c>
      <c r="AK5701" s="1">
        <v>293984</v>
      </c>
      <c r="AL5701" t="s">
        <v>117</v>
      </c>
      <c r="AM5701" t="s">
        <v>5379</v>
      </c>
      <c r="AN5701">
        <v>5592</v>
      </c>
      <c r="AO5701">
        <v>0.13</v>
      </c>
      <c r="AR5701">
        <v>1</v>
      </c>
      <c r="AS5701" s="1">
        <v>21000</v>
      </c>
      <c r="AT5701" s="1">
        <v>4200</v>
      </c>
      <c r="AU5701" s="1">
        <v>16800</v>
      </c>
      <c r="AV5701">
        <v>80</v>
      </c>
      <c r="AX5701" s="1">
        <v>2280.58</v>
      </c>
      <c r="AY5701" t="s">
        <v>5380</v>
      </c>
      <c r="AZ5701" t="s">
        <v>5380</v>
      </c>
      <c r="BA5701" t="s">
        <v>378</v>
      </c>
      <c r="BB5701" s="3">
        <v>42025</v>
      </c>
      <c r="BD5701" t="s">
        <v>458</v>
      </c>
      <c r="BE5701" s="3">
        <v>41822</v>
      </c>
      <c r="BF5701" s="1">
        <v>225000</v>
      </c>
      <c r="BG5701" t="s">
        <v>34953</v>
      </c>
      <c r="BH5701" s="1">
        <v>103.78</v>
      </c>
      <c r="BI5701" s="1">
        <v>254118</v>
      </c>
      <c r="BJ5701" s="3">
        <v>42985</v>
      </c>
      <c r="BK5701" t="s">
        <v>123</v>
      </c>
      <c r="BL5701" t="str">
        <f>"2017.662367"</f>
        <v>2017.662367</v>
      </c>
      <c r="BM5701" t="s">
        <v>4603</v>
      </c>
      <c r="BO5701" t="s">
        <v>34954</v>
      </c>
      <c r="BS5701">
        <v>30</v>
      </c>
      <c r="BW5701" t="str">
        <f>""</f>
        <v/>
      </c>
      <c r="CH5701" t="str">
        <f>""</f>
        <v/>
      </c>
      <c r="CS5701" t="str">
        <f>""</f>
        <v/>
      </c>
    </row>
    <row r="5702" spans="1:97" x14ac:dyDescent="0.25">
      <c r="A5702" t="s">
        <v>489</v>
      </c>
      <c r="B5702" t="s">
        <v>34955</v>
      </c>
      <c r="C5702" t="s">
        <v>34956</v>
      </c>
      <c r="D5702" t="s">
        <v>34955</v>
      </c>
      <c r="E5702" t="s">
        <v>34957</v>
      </c>
      <c r="F5702" t="s">
        <v>108</v>
      </c>
      <c r="H5702" t="s">
        <v>34958</v>
      </c>
      <c r="I5702" t="s">
        <v>1936</v>
      </c>
      <c r="J5702" t="s">
        <v>111</v>
      </c>
      <c r="K5702" t="str">
        <f>"85260"</f>
        <v>85260</v>
      </c>
      <c r="L5702" t="s">
        <v>5106</v>
      </c>
      <c r="M5702" t="s">
        <v>34958</v>
      </c>
      <c r="N5702" t="s">
        <v>1936</v>
      </c>
      <c r="O5702" t="s">
        <v>111</v>
      </c>
      <c r="P5702" t="str">
        <f>"85260-3811"</f>
        <v>85260-3811</v>
      </c>
      <c r="Q5702" t="s">
        <v>113</v>
      </c>
      <c r="R5702" t="str">
        <f>"217-16-380"</f>
        <v>217-16-380</v>
      </c>
      <c r="S5702" t="s">
        <v>34959</v>
      </c>
      <c r="T5702" t="s">
        <v>16660</v>
      </c>
      <c r="U5702">
        <v>1824</v>
      </c>
      <c r="V5702">
        <v>0</v>
      </c>
      <c r="W5702">
        <v>3</v>
      </c>
      <c r="X5702">
        <v>1993</v>
      </c>
      <c r="Z5702">
        <v>1</v>
      </c>
      <c r="AA5702" t="s">
        <v>26</v>
      </c>
      <c r="AB5702">
        <v>0</v>
      </c>
      <c r="AC5702" t="s">
        <v>115</v>
      </c>
      <c r="AD5702">
        <v>3</v>
      </c>
      <c r="AE5702" t="s">
        <v>115</v>
      </c>
      <c r="AF5702">
        <v>0</v>
      </c>
      <c r="AG5702">
        <v>0</v>
      </c>
      <c r="AH5702" t="s">
        <v>116</v>
      </c>
      <c r="AI5702" s="1">
        <v>93718</v>
      </c>
      <c r="AJ5702" s="2">
        <v>0.2</v>
      </c>
      <c r="AK5702" s="1">
        <v>467118</v>
      </c>
      <c r="AL5702" t="s">
        <v>117</v>
      </c>
      <c r="AM5702" t="s">
        <v>6533</v>
      </c>
      <c r="AN5702">
        <v>7165</v>
      </c>
      <c r="AO5702">
        <v>0.16</v>
      </c>
      <c r="AP5702">
        <v>1</v>
      </c>
      <c r="AR5702">
        <v>1</v>
      </c>
      <c r="AS5702" s="1">
        <v>34630</v>
      </c>
      <c r="AT5702" s="1">
        <v>6920</v>
      </c>
      <c r="AU5702" s="1">
        <v>27710</v>
      </c>
      <c r="AV5702">
        <v>80.02</v>
      </c>
      <c r="AX5702" s="1">
        <v>2436.44</v>
      </c>
      <c r="AY5702" t="s">
        <v>5904</v>
      </c>
      <c r="AZ5702" t="s">
        <v>5420</v>
      </c>
      <c r="BA5702" t="s">
        <v>5763</v>
      </c>
      <c r="BE5702" s="3">
        <v>42244</v>
      </c>
      <c r="BF5702" s="1">
        <v>378000</v>
      </c>
      <c r="BG5702" t="s">
        <v>14154</v>
      </c>
      <c r="BH5702" s="1">
        <v>207.24</v>
      </c>
      <c r="BI5702" s="1">
        <v>373400</v>
      </c>
      <c r="BJ5702" s="3">
        <v>42683</v>
      </c>
      <c r="BK5702" t="s">
        <v>123</v>
      </c>
      <c r="BL5702" t="str">
        <f>"2016.826226"</f>
        <v>2016.826226</v>
      </c>
      <c r="BM5702" t="s">
        <v>322</v>
      </c>
      <c r="BO5702" t="s">
        <v>34960</v>
      </c>
      <c r="BS5702">
        <v>30</v>
      </c>
      <c r="BW5702" t="str">
        <f>""</f>
        <v/>
      </c>
      <c r="CH5702" t="str">
        <f>""</f>
        <v/>
      </c>
      <c r="CS5702" t="str">
        <f>""</f>
        <v/>
      </c>
    </row>
    <row r="5703" spans="1:97" x14ac:dyDescent="0.25">
      <c r="A5703" t="s">
        <v>34961</v>
      </c>
      <c r="B5703" t="s">
        <v>802</v>
      </c>
      <c r="C5703" t="s">
        <v>3241</v>
      </c>
      <c r="D5703" t="s">
        <v>802</v>
      </c>
      <c r="E5703" t="s">
        <v>34962</v>
      </c>
      <c r="F5703" t="s">
        <v>108</v>
      </c>
      <c r="H5703" t="s">
        <v>34963</v>
      </c>
      <c r="I5703" t="s">
        <v>1788</v>
      </c>
      <c r="J5703" t="s">
        <v>111</v>
      </c>
      <c r="K5703" t="str">
        <f>"85355"</f>
        <v>85355</v>
      </c>
      <c r="L5703" t="s">
        <v>1789</v>
      </c>
      <c r="M5703" t="s">
        <v>34963</v>
      </c>
      <c r="N5703" t="s">
        <v>1788</v>
      </c>
      <c r="O5703" t="s">
        <v>111</v>
      </c>
      <c r="P5703" t="str">
        <f>"85355-9464"</f>
        <v>85355-9464</v>
      </c>
      <c r="Q5703" t="s">
        <v>113</v>
      </c>
      <c r="R5703" t="str">
        <f>"502-28-114"</f>
        <v>502-28-114</v>
      </c>
      <c r="S5703" t="s">
        <v>34964</v>
      </c>
      <c r="T5703" t="s">
        <v>34964</v>
      </c>
      <c r="U5703">
        <v>4026</v>
      </c>
      <c r="V5703">
        <v>0</v>
      </c>
      <c r="W5703">
        <v>4</v>
      </c>
      <c r="X5703">
        <v>2009</v>
      </c>
      <c r="Z5703">
        <v>1</v>
      </c>
      <c r="AB5703">
        <v>0</v>
      </c>
      <c r="AC5703" t="s">
        <v>115</v>
      </c>
      <c r="AD5703">
        <v>3</v>
      </c>
      <c r="AE5703" t="s">
        <v>115</v>
      </c>
      <c r="AF5703">
        <v>0</v>
      </c>
      <c r="AG5703">
        <v>0</v>
      </c>
      <c r="AH5703" t="s">
        <v>116</v>
      </c>
      <c r="AI5703" s="1">
        <v>210389</v>
      </c>
      <c r="AJ5703" s="2">
        <v>0.36</v>
      </c>
      <c r="AK5703" s="1">
        <v>587766</v>
      </c>
      <c r="AL5703" t="s">
        <v>117</v>
      </c>
      <c r="AM5703" t="s">
        <v>376</v>
      </c>
      <c r="AN5703">
        <v>43560</v>
      </c>
      <c r="AO5703">
        <v>1</v>
      </c>
      <c r="AR5703">
        <v>1</v>
      </c>
      <c r="AS5703" s="1">
        <v>42870</v>
      </c>
      <c r="AT5703" s="1">
        <v>8570</v>
      </c>
      <c r="AU5703" s="1">
        <v>34300</v>
      </c>
      <c r="AV5703">
        <v>80.010000000000005</v>
      </c>
      <c r="AX5703" s="1">
        <v>3906.98</v>
      </c>
      <c r="AY5703" t="s">
        <v>503</v>
      </c>
      <c r="AZ5703" t="s">
        <v>504</v>
      </c>
      <c r="BA5703" t="s">
        <v>218</v>
      </c>
      <c r="BE5703" s="3">
        <v>41835</v>
      </c>
      <c r="BF5703" s="1">
        <v>390000</v>
      </c>
      <c r="BG5703" t="s">
        <v>34965</v>
      </c>
      <c r="BH5703" s="1">
        <v>96.87</v>
      </c>
      <c r="BI5703" s="1">
        <v>377377</v>
      </c>
      <c r="BJ5703" s="3">
        <v>42122</v>
      </c>
      <c r="BK5703" t="s">
        <v>123</v>
      </c>
      <c r="BL5703" t="str">
        <f>"2015.290673"</f>
        <v>2015.290673</v>
      </c>
      <c r="BM5703" t="s">
        <v>2716</v>
      </c>
      <c r="BO5703" t="s">
        <v>34966</v>
      </c>
      <c r="BS5703">
        <v>30</v>
      </c>
      <c r="BW5703" t="str">
        <f>""</f>
        <v/>
      </c>
      <c r="CH5703" t="str">
        <f>""</f>
        <v/>
      </c>
      <c r="CS5703" t="str">
        <f>""</f>
        <v/>
      </c>
    </row>
    <row r="5704" spans="1:97" x14ac:dyDescent="0.25">
      <c r="A5704" t="s">
        <v>765</v>
      </c>
      <c r="B5704" t="s">
        <v>34967</v>
      </c>
      <c r="C5704" t="s">
        <v>2395</v>
      </c>
      <c r="D5704" t="s">
        <v>34967</v>
      </c>
      <c r="E5704" t="s">
        <v>34968</v>
      </c>
      <c r="F5704" t="s">
        <v>108</v>
      </c>
      <c r="H5704" t="s">
        <v>34969</v>
      </c>
      <c r="I5704" t="s">
        <v>188</v>
      </c>
      <c r="J5704" t="s">
        <v>111</v>
      </c>
      <c r="K5704" t="str">
        <f>"85142"</f>
        <v>85142</v>
      </c>
      <c r="L5704" t="s">
        <v>5456</v>
      </c>
      <c r="M5704" t="s">
        <v>34969</v>
      </c>
      <c r="N5704" t="s">
        <v>188</v>
      </c>
      <c r="O5704" t="s">
        <v>111</v>
      </c>
      <c r="P5704" t="str">
        <f>"85142-6277"</f>
        <v>85142-6277</v>
      </c>
      <c r="Q5704" t="s">
        <v>113</v>
      </c>
      <c r="R5704" t="str">
        <f>"304-67-637"</f>
        <v>304-67-637</v>
      </c>
      <c r="S5704" t="s">
        <v>20253</v>
      </c>
      <c r="T5704" t="s">
        <v>20253</v>
      </c>
      <c r="U5704">
        <v>3119</v>
      </c>
      <c r="V5704">
        <v>0</v>
      </c>
      <c r="W5704">
        <v>4</v>
      </c>
      <c r="X5704">
        <v>2006</v>
      </c>
      <c r="Z5704">
        <v>1</v>
      </c>
      <c r="AB5704">
        <v>0</v>
      </c>
      <c r="AC5704" t="s">
        <v>115</v>
      </c>
      <c r="AD5704">
        <v>3</v>
      </c>
      <c r="AE5704" t="s">
        <v>115</v>
      </c>
      <c r="AF5704">
        <v>0</v>
      </c>
      <c r="AG5704">
        <v>0</v>
      </c>
      <c r="AH5704" t="s">
        <v>116</v>
      </c>
      <c r="AI5704" s="1">
        <v>92329</v>
      </c>
      <c r="AJ5704" s="2">
        <v>0.2</v>
      </c>
      <c r="AK5704" s="1">
        <v>454329</v>
      </c>
      <c r="AL5704" t="s">
        <v>117</v>
      </c>
      <c r="AM5704" t="s">
        <v>5791</v>
      </c>
      <c r="AN5704">
        <v>14000</v>
      </c>
      <c r="AO5704">
        <v>0.32</v>
      </c>
      <c r="AR5704">
        <v>1</v>
      </c>
      <c r="AS5704" s="1">
        <v>33810</v>
      </c>
      <c r="AT5704" s="1">
        <v>6760</v>
      </c>
      <c r="AU5704" s="1">
        <v>27050</v>
      </c>
      <c r="AV5704">
        <v>80.010000000000005</v>
      </c>
      <c r="AX5704" s="1">
        <v>3322.24</v>
      </c>
      <c r="AY5704" t="s">
        <v>192</v>
      </c>
      <c r="AZ5704" t="s">
        <v>193</v>
      </c>
      <c r="BA5704" t="s">
        <v>194</v>
      </c>
      <c r="BE5704" s="3">
        <v>42320</v>
      </c>
      <c r="BF5704" s="1">
        <v>362000</v>
      </c>
      <c r="BG5704" t="s">
        <v>34970</v>
      </c>
      <c r="BH5704" s="1">
        <v>116.06</v>
      </c>
      <c r="BI5704" s="1">
        <v>362000</v>
      </c>
      <c r="BJ5704" s="3">
        <v>42320</v>
      </c>
      <c r="BK5704" t="s">
        <v>123</v>
      </c>
      <c r="BL5704" t="str">
        <f>"2015.810888"</f>
        <v>2015.810888</v>
      </c>
      <c r="BM5704" t="s">
        <v>724</v>
      </c>
      <c r="BO5704" t="s">
        <v>34971</v>
      </c>
      <c r="BS5704">
        <v>30</v>
      </c>
      <c r="BW5704" t="str">
        <f>""</f>
        <v/>
      </c>
      <c r="CH5704" t="str">
        <f>""</f>
        <v/>
      </c>
      <c r="CS5704" t="str">
        <f>""</f>
        <v/>
      </c>
    </row>
    <row r="5705" spans="1:97" x14ac:dyDescent="0.25">
      <c r="A5705" t="s">
        <v>894</v>
      </c>
      <c r="B5705" t="s">
        <v>34972</v>
      </c>
      <c r="C5705" t="s">
        <v>817</v>
      </c>
      <c r="D5705" t="s">
        <v>34972</v>
      </c>
      <c r="E5705" t="s">
        <v>34973</v>
      </c>
      <c r="F5705" t="s">
        <v>108</v>
      </c>
      <c r="H5705" t="s">
        <v>34974</v>
      </c>
      <c r="I5705" t="s">
        <v>390</v>
      </c>
      <c r="J5705" t="s">
        <v>111</v>
      </c>
      <c r="K5705" t="str">
        <f>"85032"</f>
        <v>85032</v>
      </c>
      <c r="L5705" t="s">
        <v>15732</v>
      </c>
      <c r="M5705" t="s">
        <v>34974</v>
      </c>
      <c r="N5705" t="s">
        <v>390</v>
      </c>
      <c r="O5705" t="s">
        <v>111</v>
      </c>
      <c r="P5705" t="str">
        <f>"85032-4946"</f>
        <v>85032-4946</v>
      </c>
      <c r="Q5705" t="s">
        <v>113</v>
      </c>
      <c r="R5705" t="str">
        <f>"214-53-155"</f>
        <v>214-53-155</v>
      </c>
      <c r="S5705" t="s">
        <v>34975</v>
      </c>
      <c r="T5705" t="s">
        <v>34976</v>
      </c>
      <c r="U5705">
        <v>2742</v>
      </c>
      <c r="V5705">
        <v>0</v>
      </c>
      <c r="W5705">
        <v>4</v>
      </c>
      <c r="X5705">
        <v>1996</v>
      </c>
      <c r="Z5705">
        <v>1</v>
      </c>
      <c r="AA5705" t="s">
        <v>26</v>
      </c>
      <c r="AB5705">
        <v>0</v>
      </c>
      <c r="AC5705" t="s">
        <v>115</v>
      </c>
      <c r="AD5705">
        <v>2</v>
      </c>
      <c r="AE5705" t="s">
        <v>115</v>
      </c>
      <c r="AF5705">
        <v>0</v>
      </c>
      <c r="AG5705">
        <v>0</v>
      </c>
      <c r="AH5705" t="s">
        <v>116</v>
      </c>
      <c r="AI5705" s="1">
        <v>150342</v>
      </c>
      <c r="AJ5705" s="2">
        <v>0.28999999999999998</v>
      </c>
      <c r="AK5705" s="1">
        <v>513592</v>
      </c>
      <c r="AL5705" t="s">
        <v>117</v>
      </c>
      <c r="AM5705" t="s">
        <v>1302</v>
      </c>
      <c r="AN5705">
        <v>11444</v>
      </c>
      <c r="AO5705">
        <v>0.26</v>
      </c>
      <c r="AP5705">
        <v>1</v>
      </c>
      <c r="AR5705">
        <v>1</v>
      </c>
      <c r="AS5705" s="1">
        <v>40460</v>
      </c>
      <c r="AT5705" s="1">
        <v>8090</v>
      </c>
      <c r="AU5705" s="1">
        <v>32370</v>
      </c>
      <c r="AV5705">
        <v>80</v>
      </c>
      <c r="AX5705" s="1">
        <v>3705.98</v>
      </c>
      <c r="AY5705" t="s">
        <v>13914</v>
      </c>
      <c r="AZ5705" t="s">
        <v>5231</v>
      </c>
      <c r="BA5705" t="s">
        <v>2551</v>
      </c>
      <c r="BE5705" s="3">
        <v>41719</v>
      </c>
      <c r="BF5705" s="1">
        <v>389000</v>
      </c>
      <c r="BG5705" t="s">
        <v>34977</v>
      </c>
      <c r="BH5705" s="1">
        <v>141.87</v>
      </c>
      <c r="BI5705" s="1">
        <v>363250</v>
      </c>
      <c r="BJ5705" s="3">
        <v>43083</v>
      </c>
      <c r="BK5705" t="s">
        <v>123</v>
      </c>
      <c r="BL5705" t="str">
        <f>"2017.923248"</f>
        <v>2017.923248</v>
      </c>
      <c r="BM5705" t="s">
        <v>8621</v>
      </c>
      <c r="BO5705" t="s">
        <v>34978</v>
      </c>
      <c r="BS5705">
        <v>31</v>
      </c>
      <c r="BW5705" t="str">
        <f>""</f>
        <v/>
      </c>
      <c r="CH5705" t="str">
        <f>""</f>
        <v/>
      </c>
      <c r="CS5705" t="str">
        <f>""</f>
        <v/>
      </c>
    </row>
    <row r="5706" spans="1:97" x14ac:dyDescent="0.25">
      <c r="A5706" t="s">
        <v>1354</v>
      </c>
      <c r="B5706" t="s">
        <v>34979</v>
      </c>
      <c r="C5706" t="s">
        <v>4977</v>
      </c>
      <c r="D5706" t="s">
        <v>34979</v>
      </c>
      <c r="E5706" t="s">
        <v>34980</v>
      </c>
      <c r="F5706" t="s">
        <v>108</v>
      </c>
      <c r="H5706" t="s">
        <v>34981</v>
      </c>
      <c r="I5706" t="s">
        <v>225</v>
      </c>
      <c r="J5706" t="s">
        <v>111</v>
      </c>
      <c r="K5706" t="str">
        <f>"85207"</f>
        <v>85207</v>
      </c>
      <c r="L5706" t="s">
        <v>284</v>
      </c>
      <c r="M5706" t="s">
        <v>34981</v>
      </c>
      <c r="N5706" t="s">
        <v>225</v>
      </c>
      <c r="O5706" t="s">
        <v>111</v>
      </c>
      <c r="P5706" t="str">
        <f>"85207-2146"</f>
        <v>85207-2146</v>
      </c>
      <c r="Q5706" t="s">
        <v>113</v>
      </c>
      <c r="R5706" t="str">
        <f>"219-26-240"</f>
        <v>219-26-240</v>
      </c>
      <c r="S5706" t="s">
        <v>27036</v>
      </c>
      <c r="T5706" t="s">
        <v>27036</v>
      </c>
      <c r="U5706">
        <v>3141</v>
      </c>
      <c r="V5706">
        <v>0</v>
      </c>
      <c r="W5706">
        <v>4</v>
      </c>
      <c r="X5706">
        <v>2001</v>
      </c>
      <c r="Z5706">
        <v>1</v>
      </c>
      <c r="AA5706" t="s">
        <v>26</v>
      </c>
      <c r="AB5706">
        <v>0</v>
      </c>
      <c r="AC5706" t="s">
        <v>115</v>
      </c>
      <c r="AD5706">
        <v>3</v>
      </c>
      <c r="AE5706" t="s">
        <v>115</v>
      </c>
      <c r="AF5706">
        <v>0</v>
      </c>
      <c r="AG5706">
        <v>0</v>
      </c>
      <c r="AH5706" t="s">
        <v>116</v>
      </c>
      <c r="AI5706" s="1">
        <v>80663</v>
      </c>
      <c r="AJ5706" s="2">
        <v>0.15</v>
      </c>
      <c r="AK5706" s="1">
        <v>533117</v>
      </c>
      <c r="AL5706" t="s">
        <v>117</v>
      </c>
      <c r="AM5706" t="s">
        <v>1521</v>
      </c>
      <c r="AN5706">
        <v>18597</v>
      </c>
      <c r="AO5706">
        <v>0.43</v>
      </c>
      <c r="AP5706">
        <v>1</v>
      </c>
      <c r="AR5706">
        <v>1</v>
      </c>
      <c r="AS5706" s="1">
        <v>38860</v>
      </c>
      <c r="AT5706" s="1">
        <v>7770</v>
      </c>
      <c r="AU5706" s="1">
        <v>31090</v>
      </c>
      <c r="AV5706">
        <v>80.010000000000005</v>
      </c>
      <c r="AX5706" s="1">
        <v>3469.16</v>
      </c>
      <c r="AY5706" t="s">
        <v>9337</v>
      </c>
      <c r="AZ5706" t="s">
        <v>231</v>
      </c>
      <c r="BA5706" t="s">
        <v>3119</v>
      </c>
      <c r="BE5706" s="3">
        <v>42521</v>
      </c>
      <c r="BF5706" s="1">
        <v>445000</v>
      </c>
      <c r="BG5706" t="s">
        <v>34982</v>
      </c>
      <c r="BH5706" s="1">
        <v>141.66999999999999</v>
      </c>
      <c r="BI5706" s="1">
        <v>452454</v>
      </c>
      <c r="BJ5706" s="3">
        <v>42521</v>
      </c>
      <c r="BK5706" t="s">
        <v>123</v>
      </c>
      <c r="BL5706" t="str">
        <f>"2016.373760"</f>
        <v>2016.373760</v>
      </c>
      <c r="BM5706" t="s">
        <v>544</v>
      </c>
      <c r="BO5706" t="s">
        <v>34983</v>
      </c>
      <c r="BS5706">
        <v>30</v>
      </c>
      <c r="BW5706" t="str">
        <f>""</f>
        <v/>
      </c>
      <c r="CH5706" t="str">
        <f>""</f>
        <v/>
      </c>
      <c r="CS5706" t="str">
        <f>""</f>
        <v/>
      </c>
    </row>
    <row r="5707" spans="1:97" x14ac:dyDescent="0.25">
      <c r="A5707" t="s">
        <v>15865</v>
      </c>
      <c r="B5707" t="s">
        <v>34984</v>
      </c>
      <c r="C5707" t="s">
        <v>6830</v>
      </c>
      <c r="D5707" t="s">
        <v>34984</v>
      </c>
      <c r="E5707" t="s">
        <v>34985</v>
      </c>
      <c r="F5707" t="s">
        <v>108</v>
      </c>
      <c r="H5707" t="s">
        <v>34986</v>
      </c>
      <c r="I5707" t="s">
        <v>110</v>
      </c>
      <c r="J5707" t="s">
        <v>111</v>
      </c>
      <c r="K5707" t="str">
        <f>"85249"</f>
        <v>85249</v>
      </c>
      <c r="L5707" t="s">
        <v>7725</v>
      </c>
      <c r="M5707" t="s">
        <v>34986</v>
      </c>
      <c r="N5707" t="s">
        <v>110</v>
      </c>
      <c r="O5707" t="s">
        <v>111</v>
      </c>
      <c r="P5707" t="str">
        <f>"85249-5348"</f>
        <v>85249-5348</v>
      </c>
      <c r="R5707" t="str">
        <f>"303-46-643"</f>
        <v>303-46-643</v>
      </c>
      <c r="S5707" t="s">
        <v>9138</v>
      </c>
      <c r="T5707" t="s">
        <v>9138</v>
      </c>
      <c r="U5707">
        <v>3011</v>
      </c>
      <c r="V5707">
        <v>0</v>
      </c>
      <c r="W5707">
        <v>4</v>
      </c>
      <c r="X5707">
        <v>2005</v>
      </c>
      <c r="Z5707">
        <v>2</v>
      </c>
      <c r="AA5707" t="s">
        <v>26</v>
      </c>
      <c r="AB5707">
        <v>0</v>
      </c>
      <c r="AC5707" t="s">
        <v>115</v>
      </c>
      <c r="AD5707">
        <v>3</v>
      </c>
      <c r="AE5707" t="s">
        <v>115</v>
      </c>
      <c r="AF5707">
        <v>0</v>
      </c>
      <c r="AG5707">
        <v>0</v>
      </c>
      <c r="AH5707" t="s">
        <v>116</v>
      </c>
      <c r="AI5707" s="1">
        <v>-67031</v>
      </c>
      <c r="AJ5707" s="2">
        <v>-0.14000000000000001</v>
      </c>
      <c r="AK5707" s="1">
        <v>479505</v>
      </c>
      <c r="AL5707" t="s">
        <v>117</v>
      </c>
      <c r="AM5707" t="s">
        <v>118</v>
      </c>
      <c r="AN5707">
        <v>7020</v>
      </c>
      <c r="AO5707">
        <v>0.16</v>
      </c>
      <c r="AR5707">
        <v>1</v>
      </c>
      <c r="AS5707" s="1">
        <v>35380</v>
      </c>
      <c r="AT5707" s="1">
        <v>7070</v>
      </c>
      <c r="AU5707" s="1">
        <v>28310</v>
      </c>
      <c r="AV5707">
        <v>80.02</v>
      </c>
      <c r="AX5707" s="1">
        <v>3031.38</v>
      </c>
      <c r="AY5707" t="s">
        <v>119</v>
      </c>
      <c r="AZ5707" t="s">
        <v>120</v>
      </c>
      <c r="BA5707" t="s">
        <v>121</v>
      </c>
      <c r="BE5707" s="3">
        <v>42327</v>
      </c>
      <c r="BF5707" s="1">
        <v>392000</v>
      </c>
      <c r="BG5707" t="s">
        <v>34987</v>
      </c>
      <c r="BH5707" s="1">
        <v>130.19</v>
      </c>
      <c r="BI5707" s="1">
        <v>404936</v>
      </c>
      <c r="BJ5707" s="3">
        <v>42327</v>
      </c>
      <c r="BK5707" t="s">
        <v>123</v>
      </c>
      <c r="BL5707" t="str">
        <f>"2015.827682"</f>
        <v>2015.827682</v>
      </c>
      <c r="BM5707" t="s">
        <v>11747</v>
      </c>
      <c r="BN5707" t="s">
        <v>3122</v>
      </c>
      <c r="BO5707" t="s">
        <v>34988</v>
      </c>
      <c r="BS5707">
        <v>30</v>
      </c>
      <c r="BT5707" s="1">
        <v>70800</v>
      </c>
      <c r="BU5707" s="3">
        <v>43552</v>
      </c>
      <c r="BW5707" t="str">
        <f>"2019.215140"</f>
        <v>2019.215140</v>
      </c>
      <c r="BX5707" t="s">
        <v>33938</v>
      </c>
      <c r="BY5707" t="s">
        <v>23650</v>
      </c>
      <c r="BZ5707" t="s">
        <v>34989</v>
      </c>
      <c r="CA5707" t="s">
        <v>34990</v>
      </c>
      <c r="CC5707" t="s">
        <v>346</v>
      </c>
      <c r="CE5707" s="1">
        <v>70800</v>
      </c>
      <c r="CF5707" s="3">
        <v>43553</v>
      </c>
      <c r="CH5707" t="str">
        <f>"2019.222888"</f>
        <v>2019.222888</v>
      </c>
      <c r="CI5707" t="s">
        <v>33938</v>
      </c>
      <c r="CJ5707" t="s">
        <v>23650</v>
      </c>
      <c r="CK5707" t="s">
        <v>34989</v>
      </c>
      <c r="CL5707" t="s">
        <v>34990</v>
      </c>
      <c r="CN5707" t="s">
        <v>346</v>
      </c>
      <c r="CS5707" t="str">
        <f>""</f>
        <v/>
      </c>
    </row>
    <row r="5708" spans="1:97" x14ac:dyDescent="0.25">
      <c r="A5708" t="s">
        <v>370</v>
      </c>
      <c r="B5708" t="s">
        <v>34991</v>
      </c>
      <c r="E5708" t="s">
        <v>34992</v>
      </c>
      <c r="F5708" t="s">
        <v>108</v>
      </c>
      <c r="H5708" t="s">
        <v>34993</v>
      </c>
      <c r="I5708" t="s">
        <v>144</v>
      </c>
      <c r="J5708" t="s">
        <v>111</v>
      </c>
      <c r="K5708" t="str">
        <f>"85396"</f>
        <v>85396</v>
      </c>
      <c r="L5708" t="s">
        <v>1789</v>
      </c>
      <c r="M5708" t="s">
        <v>34993</v>
      </c>
      <c r="N5708" t="s">
        <v>144</v>
      </c>
      <c r="O5708" t="s">
        <v>111</v>
      </c>
      <c r="P5708" t="str">
        <f>"85396-3601"</f>
        <v>85396-3601</v>
      </c>
      <c r="Q5708" t="s">
        <v>113</v>
      </c>
      <c r="R5708" t="str">
        <f>"502-78-783"</f>
        <v>502-78-783</v>
      </c>
      <c r="S5708" t="s">
        <v>26383</v>
      </c>
      <c r="U5708">
        <v>2474</v>
      </c>
      <c r="V5708">
        <v>0</v>
      </c>
      <c r="W5708">
        <v>4</v>
      </c>
      <c r="X5708">
        <v>2005</v>
      </c>
      <c r="Z5708">
        <v>2</v>
      </c>
      <c r="AA5708" t="s">
        <v>26</v>
      </c>
      <c r="AB5708">
        <v>0</v>
      </c>
      <c r="AC5708" t="s">
        <v>115</v>
      </c>
      <c r="AD5708">
        <v>2</v>
      </c>
      <c r="AE5708" t="s">
        <v>115</v>
      </c>
      <c r="AF5708">
        <v>0</v>
      </c>
      <c r="AG5708">
        <v>0</v>
      </c>
      <c r="AH5708" t="s">
        <v>116</v>
      </c>
      <c r="AI5708" s="1">
        <v>-6071</v>
      </c>
      <c r="AJ5708" s="2">
        <v>-0.02</v>
      </c>
      <c r="AK5708" s="1">
        <v>369929</v>
      </c>
      <c r="AL5708" t="s">
        <v>117</v>
      </c>
      <c r="AM5708" t="s">
        <v>118</v>
      </c>
      <c r="AN5708">
        <v>10845</v>
      </c>
      <c r="AO5708">
        <v>0.25</v>
      </c>
      <c r="AP5708">
        <v>1</v>
      </c>
      <c r="AR5708">
        <v>1</v>
      </c>
      <c r="AS5708" s="1">
        <v>28820</v>
      </c>
      <c r="AT5708" s="1">
        <v>5760</v>
      </c>
      <c r="AU5708" s="1">
        <v>23060</v>
      </c>
      <c r="AV5708">
        <v>80.010000000000005</v>
      </c>
      <c r="AX5708" s="1">
        <v>3238.84</v>
      </c>
      <c r="AY5708" t="s">
        <v>543</v>
      </c>
      <c r="AZ5708" t="s">
        <v>504</v>
      </c>
      <c r="BA5708" t="s">
        <v>218</v>
      </c>
      <c r="BE5708" s="3">
        <v>42537</v>
      </c>
      <c r="BF5708" s="1">
        <v>299000</v>
      </c>
      <c r="BG5708" t="s">
        <v>34994</v>
      </c>
      <c r="BH5708" s="1">
        <v>120.86</v>
      </c>
      <c r="BI5708" s="1">
        <v>376000</v>
      </c>
      <c r="BJ5708" s="3">
        <v>43641</v>
      </c>
      <c r="BK5708" t="s">
        <v>123</v>
      </c>
      <c r="BL5708" t="str">
        <f>"2019.475309"</f>
        <v>2019.475309</v>
      </c>
      <c r="BM5708" t="s">
        <v>13866</v>
      </c>
      <c r="BN5708" t="s">
        <v>13867</v>
      </c>
      <c r="BO5708" t="s">
        <v>34995</v>
      </c>
      <c r="BR5708" t="s">
        <v>139</v>
      </c>
      <c r="BW5708" t="str">
        <f>""</f>
        <v/>
      </c>
      <c r="CH5708" t="str">
        <f>""</f>
        <v/>
      </c>
      <c r="CS5708" t="str">
        <f>""</f>
        <v/>
      </c>
    </row>
    <row r="5709" spans="1:97" x14ac:dyDescent="0.25">
      <c r="A5709" t="s">
        <v>7856</v>
      </c>
      <c r="B5709" t="s">
        <v>34996</v>
      </c>
      <c r="E5709" t="s">
        <v>34997</v>
      </c>
      <c r="F5709" t="s">
        <v>108</v>
      </c>
      <c r="H5709" t="s">
        <v>34998</v>
      </c>
      <c r="I5709" t="s">
        <v>390</v>
      </c>
      <c r="J5709" t="s">
        <v>111</v>
      </c>
      <c r="K5709" t="str">
        <f>"85086"</f>
        <v>85086</v>
      </c>
      <c r="L5709" t="s">
        <v>15336</v>
      </c>
      <c r="M5709" t="s">
        <v>34998</v>
      </c>
      <c r="N5709" t="s">
        <v>390</v>
      </c>
      <c r="O5709" t="s">
        <v>111</v>
      </c>
      <c r="P5709" t="str">
        <f>"85086-8337"</f>
        <v>85086-8337</v>
      </c>
      <c r="Q5709" t="s">
        <v>113</v>
      </c>
      <c r="R5709" t="str">
        <f>"203-35-003-H"</f>
        <v>203-35-003-H</v>
      </c>
      <c r="T5709" t="s">
        <v>15337</v>
      </c>
      <c r="U5709">
        <v>2238</v>
      </c>
      <c r="V5709">
        <v>0</v>
      </c>
      <c r="W5709">
        <v>3</v>
      </c>
      <c r="X5709">
        <v>2000</v>
      </c>
      <c r="Z5709">
        <v>1</v>
      </c>
      <c r="AA5709" t="s">
        <v>26</v>
      </c>
      <c r="AB5709">
        <v>0</v>
      </c>
      <c r="AC5709" t="s">
        <v>115</v>
      </c>
      <c r="AD5709">
        <v>3</v>
      </c>
      <c r="AE5709" t="s">
        <v>115</v>
      </c>
      <c r="AF5709">
        <v>0</v>
      </c>
      <c r="AG5709">
        <v>0</v>
      </c>
      <c r="AH5709" t="s">
        <v>116</v>
      </c>
      <c r="AI5709" s="1">
        <v>87611</v>
      </c>
      <c r="AJ5709" s="2">
        <v>0.19</v>
      </c>
      <c r="AK5709" s="1">
        <v>469821</v>
      </c>
      <c r="AL5709" t="s">
        <v>117</v>
      </c>
      <c r="AM5709" t="s">
        <v>376</v>
      </c>
      <c r="AN5709">
        <v>47333</v>
      </c>
      <c r="AO5709">
        <v>1.0900000000000001</v>
      </c>
      <c r="AP5709">
        <v>1</v>
      </c>
      <c r="AR5709">
        <v>1</v>
      </c>
      <c r="AS5709" s="1">
        <v>37220</v>
      </c>
      <c r="AT5709" s="1">
        <v>7440</v>
      </c>
      <c r="AU5709" s="1">
        <v>29780</v>
      </c>
      <c r="AV5709">
        <v>80.010000000000005</v>
      </c>
      <c r="AX5709" s="1">
        <v>3132.3</v>
      </c>
      <c r="AY5709" t="s">
        <v>8639</v>
      </c>
      <c r="AZ5709" t="s">
        <v>8639</v>
      </c>
      <c r="BA5709" t="s">
        <v>378</v>
      </c>
      <c r="BE5709" s="3">
        <v>42269</v>
      </c>
      <c r="BF5709" s="1">
        <v>345000</v>
      </c>
      <c r="BG5709" t="s">
        <v>34999</v>
      </c>
      <c r="BH5709" s="1">
        <v>154.16</v>
      </c>
      <c r="BI5709" s="1">
        <v>382210</v>
      </c>
      <c r="BJ5709" s="3">
        <v>42954</v>
      </c>
      <c r="BK5709" t="s">
        <v>123</v>
      </c>
      <c r="BL5709" t="str">
        <f>"2017.576120"</f>
        <v>2017.576120</v>
      </c>
      <c r="BM5709" t="s">
        <v>361</v>
      </c>
      <c r="BN5709">
        <v>92610</v>
      </c>
      <c r="BO5709" t="s">
        <v>35000</v>
      </c>
      <c r="BS5709">
        <v>30</v>
      </c>
      <c r="BW5709" t="str">
        <f>""</f>
        <v/>
      </c>
      <c r="CH5709" t="str">
        <f>""</f>
        <v/>
      </c>
      <c r="CS5709" t="str">
        <f>""</f>
        <v/>
      </c>
    </row>
    <row r="5710" spans="1:97" x14ac:dyDescent="0.25">
      <c r="A5710" t="s">
        <v>211</v>
      </c>
      <c r="B5710" t="s">
        <v>1697</v>
      </c>
      <c r="C5710" t="s">
        <v>1252</v>
      </c>
      <c r="D5710" t="s">
        <v>1697</v>
      </c>
      <c r="E5710" t="s">
        <v>35001</v>
      </c>
      <c r="F5710" t="s">
        <v>108</v>
      </c>
      <c r="H5710" t="s">
        <v>35002</v>
      </c>
      <c r="I5710" t="s">
        <v>6844</v>
      </c>
      <c r="J5710" t="s">
        <v>111</v>
      </c>
      <c r="K5710" t="str">
        <f>"85361"</f>
        <v>85361</v>
      </c>
      <c r="L5710" t="s">
        <v>734</v>
      </c>
      <c r="M5710" t="s">
        <v>35002</v>
      </c>
      <c r="N5710" t="s">
        <v>6844</v>
      </c>
      <c r="O5710" t="s">
        <v>111</v>
      </c>
      <c r="P5710" t="str">
        <f>"85361-8822"</f>
        <v>85361-8822</v>
      </c>
      <c r="Q5710" t="s">
        <v>113</v>
      </c>
      <c r="R5710" t="str">
        <f>"503-32-433-D"</f>
        <v>503-32-433-D</v>
      </c>
      <c r="U5710">
        <v>2583</v>
      </c>
      <c r="V5710">
        <v>0</v>
      </c>
      <c r="W5710">
        <v>3</v>
      </c>
      <c r="X5710">
        <v>2007</v>
      </c>
      <c r="Z5710">
        <v>1</v>
      </c>
      <c r="AB5710">
        <v>0</v>
      </c>
      <c r="AC5710" t="s">
        <v>115</v>
      </c>
      <c r="AD5710">
        <v>3</v>
      </c>
      <c r="AE5710" t="s">
        <v>115</v>
      </c>
      <c r="AF5710">
        <v>0</v>
      </c>
      <c r="AG5710">
        <v>0</v>
      </c>
      <c r="AH5710" t="s">
        <v>116</v>
      </c>
      <c r="AI5710" s="1">
        <v>111912</v>
      </c>
      <c r="AJ5710" s="2">
        <v>0.28999999999999998</v>
      </c>
      <c r="AK5710" s="1">
        <v>389794</v>
      </c>
      <c r="AL5710" t="s">
        <v>117</v>
      </c>
      <c r="AM5710" t="s">
        <v>376</v>
      </c>
      <c r="AN5710">
        <v>52434</v>
      </c>
      <c r="AO5710">
        <v>1.2</v>
      </c>
      <c r="AR5710">
        <v>1</v>
      </c>
      <c r="AS5710" s="1">
        <v>27380</v>
      </c>
      <c r="AT5710" s="1">
        <v>5470</v>
      </c>
      <c r="AU5710" s="1">
        <v>21910</v>
      </c>
      <c r="AV5710">
        <v>80.02</v>
      </c>
      <c r="AX5710" s="1">
        <v>1886.3</v>
      </c>
      <c r="AY5710" t="s">
        <v>6847</v>
      </c>
      <c r="AZ5710" t="s">
        <v>6847</v>
      </c>
      <c r="BE5710" s="3">
        <v>42174</v>
      </c>
      <c r="BF5710" s="1">
        <v>275000</v>
      </c>
      <c r="BG5710" t="s">
        <v>35003</v>
      </c>
      <c r="BH5710" s="1">
        <v>106.47</v>
      </c>
      <c r="BI5710" s="1">
        <v>277882</v>
      </c>
      <c r="BJ5710" s="3">
        <v>42942</v>
      </c>
      <c r="BK5710" t="s">
        <v>123</v>
      </c>
      <c r="BL5710" t="str">
        <f>"2017.544041"</f>
        <v>2017.544041</v>
      </c>
      <c r="BM5710" t="s">
        <v>1277</v>
      </c>
      <c r="BO5710" t="s">
        <v>35004</v>
      </c>
      <c r="BS5710">
        <v>30</v>
      </c>
      <c r="BW5710" t="str">
        <f>""</f>
        <v/>
      </c>
      <c r="CH5710" t="str">
        <f>""</f>
        <v/>
      </c>
      <c r="CS5710" t="str">
        <f>""</f>
        <v/>
      </c>
    </row>
    <row r="5711" spans="1:97" x14ac:dyDescent="0.25">
      <c r="A5711" t="s">
        <v>126</v>
      </c>
      <c r="B5711" t="s">
        <v>35005</v>
      </c>
      <c r="C5711" t="s">
        <v>986</v>
      </c>
      <c r="D5711" t="s">
        <v>35005</v>
      </c>
      <c r="E5711" t="s">
        <v>35006</v>
      </c>
      <c r="F5711" t="s">
        <v>108</v>
      </c>
      <c r="H5711" t="s">
        <v>35007</v>
      </c>
      <c r="I5711" t="s">
        <v>6844</v>
      </c>
      <c r="J5711" t="s">
        <v>111</v>
      </c>
      <c r="K5711" t="str">
        <f>"85361"</f>
        <v>85361</v>
      </c>
      <c r="L5711" t="s">
        <v>3758</v>
      </c>
      <c r="M5711" t="s">
        <v>35007</v>
      </c>
      <c r="N5711" t="s">
        <v>6844</v>
      </c>
      <c r="O5711" t="s">
        <v>111</v>
      </c>
      <c r="P5711" t="str">
        <f>"85361-9895"</f>
        <v>85361-9895</v>
      </c>
      <c r="Q5711" t="s">
        <v>113</v>
      </c>
      <c r="R5711" t="str">
        <f>"503-48-671"</f>
        <v>503-48-671</v>
      </c>
      <c r="U5711">
        <v>2532</v>
      </c>
      <c r="V5711">
        <v>0</v>
      </c>
      <c r="W5711">
        <v>4</v>
      </c>
      <c r="X5711">
        <v>2005</v>
      </c>
      <c r="Z5711">
        <v>1</v>
      </c>
      <c r="AB5711">
        <v>0</v>
      </c>
      <c r="AC5711" t="s">
        <v>115</v>
      </c>
      <c r="AD5711">
        <v>3</v>
      </c>
      <c r="AE5711" t="s">
        <v>115</v>
      </c>
      <c r="AF5711">
        <v>0</v>
      </c>
      <c r="AG5711">
        <v>0</v>
      </c>
      <c r="AH5711" t="s">
        <v>116</v>
      </c>
      <c r="AI5711" s="1">
        <v>102220</v>
      </c>
      <c r="AJ5711" s="2">
        <v>0.27</v>
      </c>
      <c r="AK5711" s="1">
        <v>380152</v>
      </c>
      <c r="AL5711" t="s">
        <v>117</v>
      </c>
      <c r="AM5711" t="s">
        <v>376</v>
      </c>
      <c r="AN5711">
        <v>45384</v>
      </c>
      <c r="AO5711">
        <v>1.04</v>
      </c>
      <c r="AR5711">
        <v>1</v>
      </c>
      <c r="AS5711" s="1">
        <v>26760</v>
      </c>
      <c r="AT5711" s="1">
        <v>5350</v>
      </c>
      <c r="AU5711" s="1">
        <v>21410</v>
      </c>
      <c r="AV5711">
        <v>80.010000000000005</v>
      </c>
      <c r="AX5711" s="1">
        <v>1878.96</v>
      </c>
      <c r="AY5711" t="s">
        <v>5499</v>
      </c>
      <c r="AZ5711" t="s">
        <v>5499</v>
      </c>
      <c r="BE5711" s="3">
        <v>41991</v>
      </c>
      <c r="BF5711" s="1">
        <v>280000</v>
      </c>
      <c r="BG5711" t="s">
        <v>35008</v>
      </c>
      <c r="BH5711" s="1">
        <v>110.58</v>
      </c>
      <c r="BI5711" s="1">
        <v>277932</v>
      </c>
      <c r="BJ5711" s="3">
        <v>42572</v>
      </c>
      <c r="BK5711" t="s">
        <v>123</v>
      </c>
      <c r="BL5711" t="str">
        <f>"2016.513116"</f>
        <v>2016.513116</v>
      </c>
      <c r="BM5711" t="s">
        <v>322</v>
      </c>
      <c r="BO5711" t="s">
        <v>35009</v>
      </c>
      <c r="BS5711">
        <v>30</v>
      </c>
      <c r="BW5711" t="str">
        <f>""</f>
        <v/>
      </c>
      <c r="CH5711" t="str">
        <f>""</f>
        <v/>
      </c>
      <c r="CS5711" t="str">
        <f>""</f>
        <v/>
      </c>
    </row>
    <row r="5712" spans="1:97" x14ac:dyDescent="0.25">
      <c r="A5712" t="s">
        <v>962</v>
      </c>
      <c r="B5712" t="s">
        <v>35010</v>
      </c>
      <c r="C5712" t="s">
        <v>3862</v>
      </c>
      <c r="D5712" t="s">
        <v>35010</v>
      </c>
      <c r="E5712" t="s">
        <v>35011</v>
      </c>
      <c r="F5712" t="s">
        <v>108</v>
      </c>
      <c r="H5712" t="s">
        <v>35012</v>
      </c>
      <c r="I5712" t="s">
        <v>6646</v>
      </c>
      <c r="J5712" t="s">
        <v>111</v>
      </c>
      <c r="K5712" t="str">
        <f>"85086"</f>
        <v>85086</v>
      </c>
      <c r="L5712" t="s">
        <v>3225</v>
      </c>
      <c r="M5712" t="s">
        <v>35012</v>
      </c>
      <c r="N5712" t="s">
        <v>6646</v>
      </c>
      <c r="O5712" t="s">
        <v>111</v>
      </c>
      <c r="P5712" t="str">
        <f>"85086-1785"</f>
        <v>85086-1785</v>
      </c>
      <c r="Q5712" t="s">
        <v>113</v>
      </c>
      <c r="R5712" t="str">
        <f>"203-06-094"</f>
        <v>203-06-094</v>
      </c>
      <c r="S5712" t="s">
        <v>11877</v>
      </c>
      <c r="U5712">
        <v>3807</v>
      </c>
      <c r="V5712">
        <v>0</v>
      </c>
      <c r="W5712">
        <v>4</v>
      </c>
      <c r="X5712">
        <v>2001</v>
      </c>
      <c r="Z5712">
        <v>2</v>
      </c>
      <c r="AA5712" t="s">
        <v>26</v>
      </c>
      <c r="AB5712">
        <v>0</v>
      </c>
      <c r="AC5712" t="s">
        <v>115</v>
      </c>
      <c r="AD5712">
        <v>3</v>
      </c>
      <c r="AE5712" t="s">
        <v>115</v>
      </c>
      <c r="AF5712">
        <v>0</v>
      </c>
      <c r="AG5712">
        <v>0</v>
      </c>
      <c r="AH5712" t="s">
        <v>116</v>
      </c>
      <c r="AI5712" s="1">
        <v>66136</v>
      </c>
      <c r="AJ5712" s="2">
        <v>0.14000000000000001</v>
      </c>
      <c r="AK5712" s="1">
        <v>476136</v>
      </c>
      <c r="AL5712" t="s">
        <v>117</v>
      </c>
      <c r="AM5712" t="s">
        <v>1302</v>
      </c>
      <c r="AN5712">
        <v>9673</v>
      </c>
      <c r="AO5712">
        <v>0.22</v>
      </c>
      <c r="AP5712">
        <v>1</v>
      </c>
      <c r="AR5712">
        <v>1</v>
      </c>
      <c r="AS5712" s="1">
        <v>36810</v>
      </c>
      <c r="AT5712" s="1">
        <v>7360</v>
      </c>
      <c r="AU5712" s="1">
        <v>29450</v>
      </c>
      <c r="AV5712">
        <v>80.010000000000005</v>
      </c>
      <c r="AX5712" s="1">
        <v>4448.26</v>
      </c>
      <c r="AY5712" t="s">
        <v>665</v>
      </c>
      <c r="AZ5712" t="s">
        <v>665</v>
      </c>
      <c r="BA5712" t="s">
        <v>378</v>
      </c>
      <c r="BB5712" s="3">
        <v>42517</v>
      </c>
      <c r="BD5712" t="s">
        <v>3523</v>
      </c>
      <c r="BE5712" s="3">
        <v>41745</v>
      </c>
      <c r="BF5712" s="1">
        <v>410000</v>
      </c>
      <c r="BG5712" t="s">
        <v>35013</v>
      </c>
      <c r="BH5712" s="1">
        <v>107.7</v>
      </c>
      <c r="BI5712" s="1">
        <v>410000</v>
      </c>
      <c r="BJ5712" s="3">
        <v>41745</v>
      </c>
      <c r="BK5712" t="s">
        <v>123</v>
      </c>
      <c r="BL5712" t="str">
        <f>"2014.245989"</f>
        <v>2014.245989</v>
      </c>
      <c r="BM5712" t="s">
        <v>1038</v>
      </c>
      <c r="BO5712" t="s">
        <v>35014</v>
      </c>
      <c r="BS5712">
        <v>30</v>
      </c>
      <c r="BW5712" t="str">
        <f>""</f>
        <v/>
      </c>
      <c r="CH5712" t="str">
        <f>""</f>
        <v/>
      </c>
      <c r="CS5712" t="str">
        <f>""</f>
        <v/>
      </c>
    </row>
    <row r="5713" spans="1:97" x14ac:dyDescent="0.25">
      <c r="A5713" t="s">
        <v>1109</v>
      </c>
      <c r="B5713" t="s">
        <v>35015</v>
      </c>
      <c r="C5713" t="s">
        <v>35016</v>
      </c>
      <c r="D5713" t="s">
        <v>35015</v>
      </c>
      <c r="E5713" t="s">
        <v>35017</v>
      </c>
      <c r="F5713" t="s">
        <v>108</v>
      </c>
      <c r="H5713" t="s">
        <v>35018</v>
      </c>
      <c r="I5713" t="s">
        <v>390</v>
      </c>
      <c r="J5713" t="s">
        <v>111</v>
      </c>
      <c r="K5713" t="str">
        <f>"85086"</f>
        <v>85086</v>
      </c>
      <c r="L5713" t="s">
        <v>1569</v>
      </c>
      <c r="M5713" t="s">
        <v>35018</v>
      </c>
      <c r="N5713" t="s">
        <v>390</v>
      </c>
      <c r="O5713" t="s">
        <v>111</v>
      </c>
      <c r="P5713" t="str">
        <f>"85086-3918"</f>
        <v>85086-3918</v>
      </c>
      <c r="Q5713" t="s">
        <v>113</v>
      </c>
      <c r="R5713" t="str">
        <f>"211-86-764"</f>
        <v>211-86-764</v>
      </c>
      <c r="S5713" t="s">
        <v>35019</v>
      </c>
      <c r="T5713" t="s">
        <v>6514</v>
      </c>
      <c r="U5713">
        <v>3304</v>
      </c>
      <c r="V5713">
        <v>0</v>
      </c>
      <c r="W5713">
        <v>5</v>
      </c>
      <c r="X5713">
        <v>2004</v>
      </c>
      <c r="Z5713">
        <v>1</v>
      </c>
      <c r="AA5713" t="s">
        <v>26</v>
      </c>
      <c r="AB5713">
        <v>0</v>
      </c>
      <c r="AC5713" t="s">
        <v>115</v>
      </c>
      <c r="AD5713">
        <v>3</v>
      </c>
      <c r="AE5713" t="s">
        <v>115</v>
      </c>
      <c r="AF5713">
        <v>0</v>
      </c>
      <c r="AG5713">
        <v>0</v>
      </c>
      <c r="AH5713" t="s">
        <v>116</v>
      </c>
      <c r="AI5713" s="1">
        <v>48691</v>
      </c>
      <c r="AJ5713" s="2">
        <v>0.09</v>
      </c>
      <c r="AK5713" s="1">
        <v>564818</v>
      </c>
      <c r="AL5713" t="s">
        <v>117</v>
      </c>
      <c r="AM5713" t="str">
        <f>"R1-10"</f>
        <v>R1-10</v>
      </c>
      <c r="AN5713">
        <v>19770</v>
      </c>
      <c r="AO5713">
        <v>0.45</v>
      </c>
      <c r="AR5713">
        <v>1</v>
      </c>
      <c r="AS5713" s="1">
        <v>44570</v>
      </c>
      <c r="AT5713" s="1">
        <v>8910</v>
      </c>
      <c r="AU5713" s="1">
        <v>35660</v>
      </c>
      <c r="AV5713">
        <v>80.010000000000005</v>
      </c>
      <c r="AX5713" s="1">
        <v>4443.16</v>
      </c>
      <c r="AY5713" t="s">
        <v>6515</v>
      </c>
      <c r="AZ5713" t="s">
        <v>6515</v>
      </c>
      <c r="BA5713" t="s">
        <v>378</v>
      </c>
      <c r="BB5713" s="3">
        <v>43508</v>
      </c>
      <c r="BC5713" s="1">
        <v>0</v>
      </c>
      <c r="BD5713" t="s">
        <v>247</v>
      </c>
      <c r="BE5713" s="3">
        <v>42473</v>
      </c>
      <c r="BF5713" s="1">
        <v>539000</v>
      </c>
      <c r="BG5713" t="s">
        <v>35020</v>
      </c>
      <c r="BH5713" s="1">
        <v>163.13999999999999</v>
      </c>
      <c r="BI5713" s="1">
        <v>516127</v>
      </c>
      <c r="BJ5713" s="3">
        <v>42473</v>
      </c>
      <c r="BK5713" t="s">
        <v>123</v>
      </c>
      <c r="BL5713" t="str">
        <f>"2016.243501"</f>
        <v>2016.243501</v>
      </c>
      <c r="BM5713" t="s">
        <v>5534</v>
      </c>
      <c r="BN5713" t="s">
        <v>6390</v>
      </c>
      <c r="BO5713" t="s">
        <v>35021</v>
      </c>
      <c r="BS5713">
        <v>30</v>
      </c>
      <c r="BW5713" t="str">
        <f>""</f>
        <v/>
      </c>
      <c r="CH5713" t="str">
        <f>""</f>
        <v/>
      </c>
      <c r="CS5713" t="str">
        <f>""</f>
        <v/>
      </c>
    </row>
    <row r="5714" spans="1:97" x14ac:dyDescent="0.25">
      <c r="A5714" t="s">
        <v>894</v>
      </c>
      <c r="B5714" t="s">
        <v>35022</v>
      </c>
      <c r="C5714" t="s">
        <v>945</v>
      </c>
      <c r="D5714" t="s">
        <v>35022</v>
      </c>
      <c r="E5714" t="s">
        <v>35023</v>
      </c>
      <c r="F5714" t="s">
        <v>108</v>
      </c>
      <c r="H5714" t="s">
        <v>35024</v>
      </c>
      <c r="I5714" t="s">
        <v>390</v>
      </c>
      <c r="J5714" t="s">
        <v>111</v>
      </c>
      <c r="K5714" t="str">
        <f>"85048"</f>
        <v>85048</v>
      </c>
      <c r="L5714" t="s">
        <v>6631</v>
      </c>
      <c r="M5714" t="s">
        <v>35024</v>
      </c>
      <c r="N5714" t="s">
        <v>390</v>
      </c>
      <c r="O5714" t="s">
        <v>111</v>
      </c>
      <c r="P5714" t="str">
        <f>"85048-7028"</f>
        <v>85048-7028</v>
      </c>
      <c r="Q5714" t="s">
        <v>113</v>
      </c>
      <c r="R5714" t="str">
        <f>"307-06-094"</f>
        <v>307-06-094</v>
      </c>
      <c r="S5714" t="s">
        <v>35025</v>
      </c>
      <c r="T5714" t="s">
        <v>6632</v>
      </c>
      <c r="U5714">
        <v>2066</v>
      </c>
      <c r="V5714">
        <v>0</v>
      </c>
      <c r="W5714">
        <v>3</v>
      </c>
      <c r="X5714">
        <v>2001</v>
      </c>
      <c r="Z5714">
        <v>1</v>
      </c>
      <c r="AA5714" t="s">
        <v>26</v>
      </c>
      <c r="AB5714">
        <v>0</v>
      </c>
      <c r="AC5714" t="s">
        <v>115</v>
      </c>
      <c r="AD5714">
        <v>2</v>
      </c>
      <c r="AE5714" t="s">
        <v>115</v>
      </c>
      <c r="AF5714">
        <v>0</v>
      </c>
      <c r="AG5714">
        <v>0</v>
      </c>
      <c r="AH5714" t="s">
        <v>116</v>
      </c>
      <c r="AI5714" s="1">
        <v>107770</v>
      </c>
      <c r="AJ5714" s="2">
        <v>0.28000000000000003</v>
      </c>
      <c r="AK5714" s="1">
        <v>381770</v>
      </c>
      <c r="AL5714" t="s">
        <v>117</v>
      </c>
      <c r="AM5714" t="s">
        <v>118</v>
      </c>
      <c r="AN5714">
        <v>7481</v>
      </c>
      <c r="AO5714">
        <v>0.17</v>
      </c>
      <c r="AP5714">
        <v>1</v>
      </c>
      <c r="AR5714">
        <v>1</v>
      </c>
      <c r="AS5714" s="1">
        <v>26660</v>
      </c>
      <c r="AT5714" s="1">
        <v>5330</v>
      </c>
      <c r="AU5714" s="1">
        <v>21330</v>
      </c>
      <c r="AV5714">
        <v>80.010000000000005</v>
      </c>
      <c r="AX5714" s="1">
        <v>2364.98</v>
      </c>
      <c r="AY5714" t="s">
        <v>6633</v>
      </c>
      <c r="AZ5714" t="s">
        <v>929</v>
      </c>
      <c r="BA5714" t="s">
        <v>930</v>
      </c>
      <c r="BE5714" s="3">
        <v>41716</v>
      </c>
      <c r="BF5714" s="1">
        <v>324000</v>
      </c>
      <c r="BG5714" t="s">
        <v>35026</v>
      </c>
      <c r="BH5714" s="1">
        <v>156.82</v>
      </c>
      <c r="BI5714" s="1">
        <v>274000</v>
      </c>
      <c r="BJ5714" s="3">
        <v>41716</v>
      </c>
      <c r="BK5714" t="s">
        <v>123</v>
      </c>
      <c r="BL5714" t="str">
        <f>"2014.170679"</f>
        <v>2014.170679</v>
      </c>
      <c r="BM5714" t="s">
        <v>6329</v>
      </c>
      <c r="BO5714" t="s">
        <v>35027</v>
      </c>
      <c r="BS5714">
        <v>30</v>
      </c>
      <c r="BW5714" t="str">
        <f>""</f>
        <v/>
      </c>
      <c r="CH5714" t="str">
        <f>""</f>
        <v/>
      </c>
      <c r="CS5714" t="str">
        <f>""</f>
        <v/>
      </c>
    </row>
    <row r="5715" spans="1:97" x14ac:dyDescent="0.25">
      <c r="A5715" t="s">
        <v>2123</v>
      </c>
      <c r="B5715" t="s">
        <v>35028</v>
      </c>
      <c r="E5715" t="s">
        <v>35029</v>
      </c>
      <c r="F5715" t="s">
        <v>108</v>
      </c>
      <c r="H5715" t="s">
        <v>35030</v>
      </c>
      <c r="I5715" t="s">
        <v>110</v>
      </c>
      <c r="J5715" t="s">
        <v>111</v>
      </c>
      <c r="K5715" t="str">
        <f>"85224"</f>
        <v>85224</v>
      </c>
      <c r="L5715" t="s">
        <v>6333</v>
      </c>
      <c r="M5715" t="s">
        <v>35030</v>
      </c>
      <c r="N5715" t="s">
        <v>110</v>
      </c>
      <c r="O5715" t="s">
        <v>111</v>
      </c>
      <c r="P5715" t="str">
        <f>"85224-8812"</f>
        <v>85224-8812</v>
      </c>
      <c r="Q5715" t="s">
        <v>113</v>
      </c>
      <c r="R5715" t="str">
        <f>"302-89-033"</f>
        <v>302-89-033</v>
      </c>
      <c r="S5715" t="s">
        <v>35031</v>
      </c>
      <c r="T5715" t="s">
        <v>35032</v>
      </c>
      <c r="U5715">
        <v>1762</v>
      </c>
      <c r="V5715">
        <v>0</v>
      </c>
      <c r="W5715">
        <v>2</v>
      </c>
      <c r="X5715">
        <v>1982</v>
      </c>
      <c r="Z5715">
        <v>1</v>
      </c>
      <c r="AB5715">
        <v>0</v>
      </c>
      <c r="AC5715" t="s">
        <v>115</v>
      </c>
      <c r="AD5715">
        <v>2</v>
      </c>
      <c r="AE5715" t="s">
        <v>115</v>
      </c>
      <c r="AF5715">
        <v>0</v>
      </c>
      <c r="AG5715">
        <v>0</v>
      </c>
      <c r="AH5715" t="s">
        <v>116</v>
      </c>
      <c r="AI5715" s="1">
        <v>59114</v>
      </c>
      <c r="AJ5715" s="2">
        <v>0.19</v>
      </c>
      <c r="AK5715" s="1">
        <v>314514</v>
      </c>
      <c r="AL5715" t="s">
        <v>117</v>
      </c>
      <c r="AM5715" t="s">
        <v>5077</v>
      </c>
      <c r="AN5715">
        <v>7802</v>
      </c>
      <c r="AO5715">
        <v>0.18</v>
      </c>
      <c r="AP5715">
        <v>1</v>
      </c>
      <c r="AR5715">
        <v>1</v>
      </c>
      <c r="AS5715" s="1">
        <v>20430</v>
      </c>
      <c r="AT5715" s="1">
        <v>4080</v>
      </c>
      <c r="AU5715" s="1">
        <v>16350</v>
      </c>
      <c r="AV5715">
        <v>80.03</v>
      </c>
      <c r="AX5715" s="1">
        <v>1420.86</v>
      </c>
      <c r="AY5715" t="s">
        <v>6879</v>
      </c>
      <c r="AZ5715" t="s">
        <v>6879</v>
      </c>
      <c r="BA5715" t="s">
        <v>5311</v>
      </c>
      <c r="BE5715" s="3">
        <v>42369</v>
      </c>
      <c r="BF5715" s="1">
        <v>252000</v>
      </c>
      <c r="BG5715" t="s">
        <v>35033</v>
      </c>
      <c r="BH5715" s="1">
        <v>143.02000000000001</v>
      </c>
      <c r="BI5715" s="1">
        <v>255400</v>
      </c>
      <c r="BJ5715" s="3">
        <v>42977</v>
      </c>
      <c r="BK5715" t="s">
        <v>123</v>
      </c>
      <c r="BL5715" t="str">
        <f>"2017.639497"</f>
        <v>2017.639497</v>
      </c>
      <c r="BM5715" t="s">
        <v>4885</v>
      </c>
      <c r="BO5715" t="s">
        <v>35034</v>
      </c>
      <c r="BS5715">
        <v>30</v>
      </c>
      <c r="BW5715" t="str">
        <f>""</f>
        <v/>
      </c>
      <c r="CH5715" t="str">
        <f>""</f>
        <v/>
      </c>
      <c r="CS5715" t="str">
        <f>""</f>
        <v/>
      </c>
    </row>
    <row r="5716" spans="1:97" x14ac:dyDescent="0.25">
      <c r="B5716" t="s">
        <v>35035</v>
      </c>
      <c r="E5716" t="s">
        <v>35036</v>
      </c>
      <c r="F5716" t="s">
        <v>108</v>
      </c>
      <c r="H5716" t="s">
        <v>35037</v>
      </c>
      <c r="I5716" t="s">
        <v>225</v>
      </c>
      <c r="J5716" t="s">
        <v>111</v>
      </c>
      <c r="K5716" t="str">
        <f>"85204"</f>
        <v>85204</v>
      </c>
      <c r="L5716" t="s">
        <v>5308</v>
      </c>
      <c r="M5716" t="s">
        <v>35037</v>
      </c>
      <c r="N5716" t="s">
        <v>225</v>
      </c>
      <c r="O5716" t="s">
        <v>111</v>
      </c>
      <c r="P5716" t="str">
        <f>"85204-3719"</f>
        <v>85204-3719</v>
      </c>
      <c r="Q5716" t="s">
        <v>113</v>
      </c>
      <c r="R5716" t="str">
        <f>"140-42-276"</f>
        <v>140-42-276</v>
      </c>
      <c r="S5716" t="s">
        <v>35038</v>
      </c>
      <c r="T5716" t="s">
        <v>35039</v>
      </c>
      <c r="U5716">
        <v>1047</v>
      </c>
      <c r="V5716">
        <v>0</v>
      </c>
      <c r="W5716">
        <v>2</v>
      </c>
      <c r="X5716">
        <v>1980</v>
      </c>
      <c r="Z5716">
        <v>1</v>
      </c>
      <c r="AA5716" t="s">
        <v>26</v>
      </c>
      <c r="AB5716">
        <v>0</v>
      </c>
      <c r="AC5716" t="s">
        <v>115</v>
      </c>
      <c r="AD5716">
        <v>2</v>
      </c>
      <c r="AE5716" t="s">
        <v>115</v>
      </c>
      <c r="AF5716">
        <v>0</v>
      </c>
      <c r="AG5716">
        <v>0</v>
      </c>
      <c r="AH5716" t="s">
        <v>116</v>
      </c>
      <c r="AI5716" s="1">
        <v>27953</v>
      </c>
      <c r="AJ5716" s="2">
        <v>0.11</v>
      </c>
      <c r="AK5716" s="1">
        <v>244601</v>
      </c>
      <c r="AL5716" t="s">
        <v>117</v>
      </c>
      <c r="AM5716" t="s">
        <v>393</v>
      </c>
      <c r="AN5716">
        <v>7014</v>
      </c>
      <c r="AO5716">
        <v>0.16</v>
      </c>
      <c r="AP5716">
        <v>1</v>
      </c>
      <c r="AR5716">
        <v>1</v>
      </c>
      <c r="AS5716" s="1">
        <v>15830</v>
      </c>
      <c r="AT5716" s="1">
        <v>3160</v>
      </c>
      <c r="AU5716" s="1">
        <v>12670</v>
      </c>
      <c r="AV5716">
        <v>80.040000000000006</v>
      </c>
      <c r="AX5716" s="1">
        <v>987.96</v>
      </c>
      <c r="AY5716" t="s">
        <v>8934</v>
      </c>
      <c r="AZ5716" t="s">
        <v>5158</v>
      </c>
      <c r="BA5716" t="s">
        <v>5159</v>
      </c>
      <c r="BB5716" s="3">
        <v>42697</v>
      </c>
      <c r="BD5716" t="s">
        <v>240</v>
      </c>
      <c r="BE5716" s="3">
        <v>42268</v>
      </c>
      <c r="BF5716" s="1">
        <v>215000</v>
      </c>
      <c r="BG5716" t="s">
        <v>35040</v>
      </c>
      <c r="BH5716" s="1">
        <v>205.35</v>
      </c>
      <c r="BI5716" s="1">
        <v>216648</v>
      </c>
      <c r="BJ5716" s="3">
        <v>42366</v>
      </c>
      <c r="BK5716" t="s">
        <v>123</v>
      </c>
      <c r="BL5716" t="str">
        <f>"2015.910024"</f>
        <v>2015.910024</v>
      </c>
      <c r="BM5716" t="s">
        <v>255</v>
      </c>
      <c r="BO5716" t="s">
        <v>35041</v>
      </c>
      <c r="BS5716">
        <v>30</v>
      </c>
      <c r="BW5716" t="str">
        <f>""</f>
        <v/>
      </c>
      <c r="CH5716" t="str">
        <f>""</f>
        <v/>
      </c>
      <c r="CS5716" t="str">
        <f>""</f>
        <v/>
      </c>
    </row>
    <row r="5717" spans="1:97" x14ac:dyDescent="0.25">
      <c r="B5717" t="s">
        <v>35042</v>
      </c>
      <c r="E5717" t="s">
        <v>35043</v>
      </c>
      <c r="F5717" t="s">
        <v>139</v>
      </c>
      <c r="H5717" t="s">
        <v>35044</v>
      </c>
      <c r="I5717" t="s">
        <v>5387</v>
      </c>
      <c r="J5717" t="s">
        <v>111</v>
      </c>
      <c r="K5717" t="str">
        <f>"85282"</f>
        <v>85282</v>
      </c>
      <c r="L5717" t="s">
        <v>6682</v>
      </c>
      <c r="M5717" t="s">
        <v>35044</v>
      </c>
      <c r="N5717" t="s">
        <v>5387</v>
      </c>
      <c r="O5717" t="s">
        <v>111</v>
      </c>
      <c r="P5717" t="str">
        <f>"85282-3974"</f>
        <v>85282-3974</v>
      </c>
      <c r="Q5717" t="s">
        <v>113</v>
      </c>
      <c r="R5717" t="str">
        <f>"133-32-502"</f>
        <v>133-32-502</v>
      </c>
      <c r="S5717" t="s">
        <v>35045</v>
      </c>
      <c r="T5717" t="s">
        <v>35046</v>
      </c>
      <c r="U5717">
        <v>2349</v>
      </c>
      <c r="V5717">
        <v>0</v>
      </c>
      <c r="W5717">
        <v>4</v>
      </c>
      <c r="X5717">
        <v>1989</v>
      </c>
      <c r="Z5717">
        <v>1</v>
      </c>
      <c r="AA5717" t="s">
        <v>26</v>
      </c>
      <c r="AB5717">
        <v>0</v>
      </c>
      <c r="AC5717" t="s">
        <v>115</v>
      </c>
      <c r="AD5717">
        <v>2</v>
      </c>
      <c r="AE5717" t="s">
        <v>115</v>
      </c>
      <c r="AF5717">
        <v>0</v>
      </c>
      <c r="AG5717">
        <v>0</v>
      </c>
      <c r="AH5717" t="s">
        <v>116</v>
      </c>
      <c r="AI5717" s="1">
        <v>52077</v>
      </c>
      <c r="AJ5717" s="2">
        <v>0.11</v>
      </c>
      <c r="AK5717" s="1">
        <v>484171</v>
      </c>
      <c r="AL5717" t="s">
        <v>117</v>
      </c>
      <c r="AM5717" t="s">
        <v>191</v>
      </c>
      <c r="AN5717">
        <v>12288</v>
      </c>
      <c r="AO5717">
        <v>0.28000000000000003</v>
      </c>
      <c r="AP5717">
        <v>1</v>
      </c>
      <c r="AR5717">
        <v>1</v>
      </c>
      <c r="AS5717" s="1">
        <v>35650</v>
      </c>
      <c r="AT5717" s="1">
        <v>7130</v>
      </c>
      <c r="AU5717" s="1">
        <v>28520</v>
      </c>
      <c r="AV5717">
        <v>80</v>
      </c>
      <c r="AX5717" s="1">
        <v>3154.12</v>
      </c>
      <c r="AY5717" t="s">
        <v>11072</v>
      </c>
      <c r="AZ5717" t="s">
        <v>11073</v>
      </c>
      <c r="BA5717" t="s">
        <v>10858</v>
      </c>
      <c r="BB5717" s="3">
        <v>43208</v>
      </c>
      <c r="BC5717" s="1">
        <v>0</v>
      </c>
      <c r="BD5717" t="s">
        <v>247</v>
      </c>
      <c r="BE5717" s="3">
        <v>42473</v>
      </c>
      <c r="BF5717" s="1">
        <v>425000</v>
      </c>
      <c r="BG5717" t="s">
        <v>35047</v>
      </c>
      <c r="BH5717" s="1">
        <v>180.93</v>
      </c>
      <c r="BI5717" s="1">
        <v>432094</v>
      </c>
      <c r="BJ5717" s="3">
        <v>42473</v>
      </c>
      <c r="BK5717" t="s">
        <v>123</v>
      </c>
      <c r="BL5717" t="str">
        <f>"2016.243326"</f>
        <v>2016.243326</v>
      </c>
      <c r="BM5717" t="s">
        <v>1038</v>
      </c>
      <c r="BN5717" t="s">
        <v>132</v>
      </c>
      <c r="BO5717" t="s">
        <v>35048</v>
      </c>
      <c r="BS5717">
        <v>30</v>
      </c>
      <c r="BW5717" t="str">
        <f>""</f>
        <v/>
      </c>
      <c r="CH5717" t="str">
        <f>""</f>
        <v/>
      </c>
      <c r="CS5717" t="str">
        <f>""</f>
        <v/>
      </c>
    </row>
    <row r="5718" spans="1:97" x14ac:dyDescent="0.25">
      <c r="A5718" t="s">
        <v>263</v>
      </c>
      <c r="B5718" t="s">
        <v>35049</v>
      </c>
      <c r="E5718" t="s">
        <v>35050</v>
      </c>
      <c r="F5718" t="s">
        <v>108</v>
      </c>
      <c r="H5718" t="s">
        <v>35051</v>
      </c>
      <c r="I5718" t="s">
        <v>2874</v>
      </c>
      <c r="J5718" t="s">
        <v>111</v>
      </c>
      <c r="K5718" t="str">
        <f>"85306"</f>
        <v>85306</v>
      </c>
      <c r="L5718" t="s">
        <v>7746</v>
      </c>
      <c r="M5718" t="s">
        <v>35051</v>
      </c>
      <c r="N5718" t="s">
        <v>2874</v>
      </c>
      <c r="O5718" t="s">
        <v>111</v>
      </c>
      <c r="P5718" t="str">
        <f>"85306-1718"</f>
        <v>85306-1718</v>
      </c>
      <c r="Q5718" t="s">
        <v>113</v>
      </c>
      <c r="R5718" t="str">
        <f>"200-98-132"</f>
        <v>200-98-132</v>
      </c>
      <c r="S5718" t="s">
        <v>18466</v>
      </c>
      <c r="T5718" t="s">
        <v>18467</v>
      </c>
      <c r="U5718">
        <v>2330</v>
      </c>
      <c r="V5718">
        <v>0</v>
      </c>
      <c r="W5718">
        <v>4</v>
      </c>
      <c r="X5718">
        <v>1987</v>
      </c>
      <c r="Z5718">
        <v>2</v>
      </c>
      <c r="AA5718" t="s">
        <v>26</v>
      </c>
      <c r="AB5718">
        <v>0</v>
      </c>
      <c r="AC5718" t="s">
        <v>115</v>
      </c>
      <c r="AD5718">
        <v>2</v>
      </c>
      <c r="AE5718" t="s">
        <v>115</v>
      </c>
      <c r="AF5718">
        <v>0</v>
      </c>
      <c r="AG5718">
        <v>0</v>
      </c>
      <c r="AH5718" t="s">
        <v>116</v>
      </c>
      <c r="AI5718" s="1">
        <v>59493</v>
      </c>
      <c r="AJ5718" s="2">
        <v>0.17</v>
      </c>
      <c r="AK5718" s="1">
        <v>342535</v>
      </c>
      <c r="AL5718" t="s">
        <v>117</v>
      </c>
      <c r="AM5718" t="s">
        <v>191</v>
      </c>
      <c r="AN5718">
        <v>9580</v>
      </c>
      <c r="AO5718">
        <v>0.22</v>
      </c>
      <c r="AP5718">
        <v>1</v>
      </c>
      <c r="AR5718">
        <v>1</v>
      </c>
      <c r="AS5718" s="1">
        <v>23910</v>
      </c>
      <c r="AT5718" s="1">
        <v>4780</v>
      </c>
      <c r="AU5718" s="1">
        <v>19130</v>
      </c>
      <c r="AV5718">
        <v>80.010000000000005</v>
      </c>
      <c r="AX5718" s="1">
        <v>1719.92</v>
      </c>
      <c r="AY5718" t="s">
        <v>16272</v>
      </c>
      <c r="AZ5718" t="s">
        <v>16272</v>
      </c>
      <c r="BA5718" t="s">
        <v>3360</v>
      </c>
      <c r="BE5718" s="3">
        <v>42283</v>
      </c>
      <c r="BF5718" s="1">
        <v>274000</v>
      </c>
      <c r="BG5718" t="s">
        <v>35052</v>
      </c>
      <c r="BH5718" s="1">
        <v>117.6</v>
      </c>
      <c r="BI5718" s="1">
        <v>283042</v>
      </c>
      <c r="BJ5718" s="3">
        <v>42283</v>
      </c>
      <c r="BK5718" t="s">
        <v>123</v>
      </c>
      <c r="BL5718" t="str">
        <f>"2015.717976"</f>
        <v>2015.717976</v>
      </c>
      <c r="BM5718" t="s">
        <v>1287</v>
      </c>
      <c r="BO5718" t="s">
        <v>35053</v>
      </c>
      <c r="BS5718">
        <v>30</v>
      </c>
      <c r="BW5718" t="str">
        <f>""</f>
        <v/>
      </c>
      <c r="CH5718" t="str">
        <f>""</f>
        <v/>
      </c>
      <c r="CS5718" t="str">
        <f>""</f>
        <v/>
      </c>
    </row>
    <row r="5719" spans="1:97" x14ac:dyDescent="0.25">
      <c r="A5719" t="s">
        <v>370</v>
      </c>
      <c r="B5719" t="s">
        <v>35054</v>
      </c>
      <c r="C5719" t="s">
        <v>35055</v>
      </c>
      <c r="D5719" t="s">
        <v>35056</v>
      </c>
      <c r="E5719" t="s">
        <v>35057</v>
      </c>
      <c r="F5719" t="s">
        <v>282</v>
      </c>
      <c r="H5719" t="s">
        <v>35058</v>
      </c>
      <c r="I5719" t="s">
        <v>225</v>
      </c>
      <c r="J5719" t="s">
        <v>111</v>
      </c>
      <c r="K5719" t="str">
        <f>"85209"</f>
        <v>85209</v>
      </c>
      <c r="L5719" t="s">
        <v>7725</v>
      </c>
      <c r="M5719" t="s">
        <v>35059</v>
      </c>
      <c r="N5719" t="s">
        <v>225</v>
      </c>
      <c r="O5719" t="s">
        <v>111</v>
      </c>
      <c r="P5719" t="str">
        <f>"85209-6217"</f>
        <v>85209-6217</v>
      </c>
      <c r="Q5719" t="s">
        <v>113</v>
      </c>
      <c r="R5719" t="str">
        <f>"312-01-267"</f>
        <v>312-01-267</v>
      </c>
      <c r="S5719" t="s">
        <v>16448</v>
      </c>
      <c r="U5719">
        <v>1763</v>
      </c>
      <c r="V5719">
        <v>0</v>
      </c>
      <c r="W5719">
        <v>3</v>
      </c>
      <c r="X5719">
        <v>2000</v>
      </c>
      <c r="Z5719">
        <v>1</v>
      </c>
      <c r="AB5719">
        <v>0</v>
      </c>
      <c r="AC5719" t="s">
        <v>115</v>
      </c>
      <c r="AD5719">
        <v>2</v>
      </c>
      <c r="AE5719" t="s">
        <v>115</v>
      </c>
      <c r="AF5719">
        <v>0</v>
      </c>
      <c r="AG5719">
        <v>0</v>
      </c>
      <c r="AH5719" t="s">
        <v>116</v>
      </c>
      <c r="AI5719" s="1">
        <v>51818</v>
      </c>
      <c r="AJ5719" s="2">
        <v>0.17</v>
      </c>
      <c r="AK5719" s="1">
        <v>307485</v>
      </c>
      <c r="AL5719" t="s">
        <v>117</v>
      </c>
      <c r="AM5719" t="s">
        <v>191</v>
      </c>
      <c r="AN5719">
        <v>6940</v>
      </c>
      <c r="AO5719">
        <v>0.16</v>
      </c>
      <c r="AP5719">
        <v>1</v>
      </c>
      <c r="AR5719">
        <v>1</v>
      </c>
      <c r="AS5719" s="1">
        <v>20620</v>
      </c>
      <c r="AT5719" s="1">
        <v>4120</v>
      </c>
      <c r="AU5719" s="1">
        <v>16500</v>
      </c>
      <c r="AV5719">
        <v>80.02</v>
      </c>
      <c r="AX5719" s="1">
        <v>1448.16</v>
      </c>
      <c r="AY5719" t="s">
        <v>4370</v>
      </c>
      <c r="AZ5719" t="s">
        <v>777</v>
      </c>
      <c r="BA5719" t="s">
        <v>572</v>
      </c>
      <c r="BE5719" s="3">
        <v>41670</v>
      </c>
      <c r="BF5719" s="1">
        <v>207100</v>
      </c>
      <c r="BG5719" t="s">
        <v>35060</v>
      </c>
      <c r="BH5719" s="1">
        <v>117.47</v>
      </c>
      <c r="BI5719" s="1">
        <v>255667</v>
      </c>
      <c r="BJ5719" s="3">
        <v>43175</v>
      </c>
      <c r="BK5719" t="s">
        <v>123</v>
      </c>
      <c r="BL5719" t="str">
        <f>"2018.198985"</f>
        <v>2018.198985</v>
      </c>
      <c r="BM5719" t="s">
        <v>1915</v>
      </c>
      <c r="BN5719" t="s">
        <v>1916</v>
      </c>
      <c r="BO5719" t="s">
        <v>35061</v>
      </c>
      <c r="BP5719" t="s">
        <v>35062</v>
      </c>
      <c r="BR5719" t="s">
        <v>139</v>
      </c>
      <c r="BW5719" t="str">
        <f>""</f>
        <v/>
      </c>
      <c r="CH5719" t="str">
        <f>""</f>
        <v/>
      </c>
      <c r="CS5719" t="str">
        <f>""</f>
        <v/>
      </c>
    </row>
    <row r="5720" spans="1:97" x14ac:dyDescent="0.25">
      <c r="A5720" t="s">
        <v>894</v>
      </c>
      <c r="B5720" t="s">
        <v>35063</v>
      </c>
      <c r="E5720" t="s">
        <v>35064</v>
      </c>
      <c r="F5720" t="s">
        <v>108</v>
      </c>
      <c r="H5720" t="s">
        <v>35065</v>
      </c>
      <c r="I5720" t="s">
        <v>5387</v>
      </c>
      <c r="J5720" t="s">
        <v>111</v>
      </c>
      <c r="K5720" t="str">
        <f>"85283"</f>
        <v>85283</v>
      </c>
      <c r="L5720" t="s">
        <v>8199</v>
      </c>
      <c r="M5720" t="s">
        <v>35065</v>
      </c>
      <c r="N5720" t="s">
        <v>5387</v>
      </c>
      <c r="O5720" t="s">
        <v>111</v>
      </c>
      <c r="P5720" t="str">
        <f>"85283-4403"</f>
        <v>85283-4403</v>
      </c>
      <c r="Q5720" t="s">
        <v>113</v>
      </c>
      <c r="R5720" t="str">
        <f>"301-46-049"</f>
        <v>301-46-049</v>
      </c>
      <c r="S5720" t="s">
        <v>35066</v>
      </c>
      <c r="T5720" t="s">
        <v>35066</v>
      </c>
      <c r="U5720">
        <v>1614</v>
      </c>
      <c r="V5720">
        <v>0</v>
      </c>
      <c r="W5720">
        <v>3</v>
      </c>
      <c r="X5720">
        <v>1995</v>
      </c>
      <c r="Z5720">
        <v>1</v>
      </c>
      <c r="AA5720" t="s">
        <v>26</v>
      </c>
      <c r="AB5720">
        <v>0</v>
      </c>
      <c r="AC5720" t="s">
        <v>115</v>
      </c>
      <c r="AD5720">
        <v>2</v>
      </c>
      <c r="AE5720" t="s">
        <v>115</v>
      </c>
      <c r="AF5720">
        <v>0</v>
      </c>
      <c r="AG5720">
        <v>0</v>
      </c>
      <c r="AH5720" t="s">
        <v>116</v>
      </c>
      <c r="AI5720" s="1">
        <v>56358</v>
      </c>
      <c r="AJ5720" s="2">
        <v>0.17</v>
      </c>
      <c r="AK5720" s="1">
        <v>329718</v>
      </c>
      <c r="AL5720" t="s">
        <v>117</v>
      </c>
      <c r="AM5720" t="s">
        <v>288</v>
      </c>
      <c r="AN5720">
        <v>5293</v>
      </c>
      <c r="AO5720">
        <v>0.12</v>
      </c>
      <c r="AP5720">
        <v>1</v>
      </c>
      <c r="AR5720">
        <v>1</v>
      </c>
      <c r="AS5720" s="1">
        <v>24470</v>
      </c>
      <c r="AT5720" s="1">
        <v>4890</v>
      </c>
      <c r="AU5720" s="1">
        <v>19580</v>
      </c>
      <c r="AV5720">
        <v>80.02</v>
      </c>
      <c r="AX5720" s="1">
        <v>1978.84</v>
      </c>
      <c r="AY5720" t="s">
        <v>12496</v>
      </c>
      <c r="AZ5720" t="s">
        <v>5391</v>
      </c>
      <c r="BA5720" t="s">
        <v>5392</v>
      </c>
      <c r="BE5720" s="3">
        <v>42212</v>
      </c>
      <c r="BF5720" s="1">
        <v>264000</v>
      </c>
      <c r="BG5720" t="s">
        <v>35067</v>
      </c>
      <c r="BH5720" s="1">
        <v>163.57</v>
      </c>
      <c r="BI5720" s="1">
        <v>273360</v>
      </c>
      <c r="BJ5720" s="3">
        <v>43011</v>
      </c>
      <c r="BK5720" t="s">
        <v>123</v>
      </c>
      <c r="BL5720" t="str">
        <f>"2017.733155"</f>
        <v>2017.733155</v>
      </c>
      <c r="BM5720" t="s">
        <v>807</v>
      </c>
      <c r="BO5720" t="s">
        <v>35068</v>
      </c>
      <c r="BQ5720" t="str">
        <f>"2.5000%"</f>
        <v>2.5000%</v>
      </c>
      <c r="BR5720" t="s">
        <v>1480</v>
      </c>
      <c r="BS5720">
        <v>30</v>
      </c>
      <c r="BW5720" t="str">
        <f>""</f>
        <v/>
      </c>
      <c r="CH5720" t="str">
        <f>""</f>
        <v/>
      </c>
      <c r="CS5720" t="str">
        <f>""</f>
        <v/>
      </c>
    </row>
    <row r="5721" spans="1:97" x14ac:dyDescent="0.25">
      <c r="A5721" t="s">
        <v>3860</v>
      </c>
      <c r="B5721" t="s">
        <v>35069</v>
      </c>
      <c r="C5721" t="s">
        <v>3416</v>
      </c>
      <c r="D5721" t="s">
        <v>35069</v>
      </c>
      <c r="E5721" t="s">
        <v>35070</v>
      </c>
      <c r="F5721" t="s">
        <v>108</v>
      </c>
      <c r="H5721" t="s">
        <v>35071</v>
      </c>
      <c r="I5721" t="s">
        <v>5523</v>
      </c>
      <c r="J5721" t="s">
        <v>111</v>
      </c>
      <c r="K5721" t="str">
        <f>"85373"</f>
        <v>85373</v>
      </c>
      <c r="L5721" t="s">
        <v>168</v>
      </c>
      <c r="M5721" t="s">
        <v>35071</v>
      </c>
      <c r="N5721" t="s">
        <v>5523</v>
      </c>
      <c r="O5721" t="s">
        <v>111</v>
      </c>
      <c r="P5721" t="str">
        <f>"85373-3330"</f>
        <v>85373-3330</v>
      </c>
      <c r="R5721" t="str">
        <f>"200-35-332"</f>
        <v>200-35-332</v>
      </c>
      <c r="S5721" t="s">
        <v>35072</v>
      </c>
      <c r="T5721" t="s">
        <v>35073</v>
      </c>
      <c r="U5721">
        <v>1870</v>
      </c>
      <c r="V5721">
        <v>0</v>
      </c>
      <c r="W5721">
        <v>3</v>
      </c>
      <c r="X5721">
        <v>1998</v>
      </c>
      <c r="Z5721">
        <v>1</v>
      </c>
      <c r="AB5721">
        <v>0</v>
      </c>
      <c r="AC5721" t="s">
        <v>115</v>
      </c>
      <c r="AD5721">
        <v>3</v>
      </c>
      <c r="AE5721" t="s">
        <v>115</v>
      </c>
      <c r="AF5721">
        <v>0</v>
      </c>
      <c r="AG5721">
        <v>0</v>
      </c>
      <c r="AH5721" t="s">
        <v>116</v>
      </c>
      <c r="AI5721" s="1">
        <v>-221055</v>
      </c>
      <c r="AJ5721" s="2">
        <v>-0.76</v>
      </c>
      <c r="AK5721" s="1">
        <v>289695</v>
      </c>
      <c r="AL5721" t="s">
        <v>117</v>
      </c>
      <c r="AM5721" t="s">
        <v>3345</v>
      </c>
      <c r="AN5721">
        <v>7500</v>
      </c>
      <c r="AO5721">
        <v>0.17</v>
      </c>
      <c r="AP5721">
        <v>1</v>
      </c>
      <c r="AR5721">
        <v>1</v>
      </c>
      <c r="AS5721" s="1">
        <v>20650</v>
      </c>
      <c r="AT5721" s="1">
        <v>4130</v>
      </c>
      <c r="AU5721" s="1">
        <v>16520</v>
      </c>
      <c r="AV5721">
        <v>80</v>
      </c>
      <c r="AX5721" s="1">
        <v>1804.24</v>
      </c>
      <c r="AY5721" t="s">
        <v>4520</v>
      </c>
      <c r="AZ5721" t="s">
        <v>4520</v>
      </c>
      <c r="BA5721" t="s">
        <v>4219</v>
      </c>
      <c r="BE5721" s="3">
        <v>42411</v>
      </c>
      <c r="BF5721" s="1">
        <v>232500</v>
      </c>
      <c r="BG5721" t="s">
        <v>35074</v>
      </c>
      <c r="BH5721" s="1">
        <v>124.33</v>
      </c>
      <c r="BI5721" s="1">
        <v>255375</v>
      </c>
      <c r="BJ5721" s="3">
        <v>43493</v>
      </c>
      <c r="BK5721" t="s">
        <v>134</v>
      </c>
      <c r="BL5721" t="str">
        <f>"2019.58153"</f>
        <v>2019.58153</v>
      </c>
      <c r="BM5721" t="s">
        <v>3538</v>
      </c>
      <c r="BN5721" t="s">
        <v>35075</v>
      </c>
      <c r="BO5721" t="s">
        <v>35076</v>
      </c>
      <c r="BP5721" t="s">
        <v>35077</v>
      </c>
      <c r="BR5721" t="s">
        <v>139</v>
      </c>
      <c r="BT5721" s="1">
        <v>255375</v>
      </c>
      <c r="BU5721" s="3">
        <v>43494</v>
      </c>
      <c r="BV5721" t="s">
        <v>123</v>
      </c>
      <c r="BW5721" t="str">
        <f>"2019.60539"</f>
        <v>2019.60539</v>
      </c>
      <c r="BX5721" t="s">
        <v>3538</v>
      </c>
      <c r="BY5721" t="s">
        <v>35075</v>
      </c>
      <c r="BZ5721" t="s">
        <v>35078</v>
      </c>
      <c r="CA5721" t="s">
        <v>35079</v>
      </c>
      <c r="CC5721" t="s">
        <v>139</v>
      </c>
      <c r="CE5721" s="1">
        <v>255375</v>
      </c>
      <c r="CF5721" s="3">
        <v>43494</v>
      </c>
      <c r="CG5721" t="s">
        <v>123</v>
      </c>
      <c r="CH5721" t="str">
        <f>"2019.60539"</f>
        <v>2019.60539</v>
      </c>
      <c r="CI5721" t="s">
        <v>3538</v>
      </c>
      <c r="CJ5721" t="s">
        <v>35075</v>
      </c>
      <c r="CK5721" t="s">
        <v>35078</v>
      </c>
      <c r="CL5721" t="s">
        <v>35079</v>
      </c>
      <c r="CN5721" t="s">
        <v>139</v>
      </c>
      <c r="CS5721" t="str">
        <f>""</f>
        <v/>
      </c>
    </row>
    <row r="5722" spans="1:97" x14ac:dyDescent="0.25">
      <c r="A5722" t="s">
        <v>639</v>
      </c>
      <c r="B5722" t="s">
        <v>1768</v>
      </c>
      <c r="E5722" t="s">
        <v>35080</v>
      </c>
      <c r="F5722" t="s">
        <v>108</v>
      </c>
      <c r="H5722" t="s">
        <v>35081</v>
      </c>
      <c r="I5722" t="s">
        <v>499</v>
      </c>
      <c r="J5722" t="s">
        <v>111</v>
      </c>
      <c r="K5722" t="str">
        <f>"85338"</f>
        <v>85338</v>
      </c>
      <c r="L5722" t="s">
        <v>8543</v>
      </c>
      <c r="M5722" t="s">
        <v>35081</v>
      </c>
      <c r="N5722" t="s">
        <v>499</v>
      </c>
      <c r="O5722" t="s">
        <v>111</v>
      </c>
      <c r="P5722" t="str">
        <f>"85338-3395"</f>
        <v>85338-3395</v>
      </c>
      <c r="Q5722" t="s">
        <v>113</v>
      </c>
      <c r="R5722" t="str">
        <f>"500-04-638"</f>
        <v>500-04-638</v>
      </c>
      <c r="S5722" t="s">
        <v>27358</v>
      </c>
      <c r="T5722" t="s">
        <v>27358</v>
      </c>
      <c r="U5722">
        <v>2435</v>
      </c>
      <c r="V5722">
        <v>0</v>
      </c>
      <c r="W5722">
        <v>3</v>
      </c>
      <c r="X5722">
        <v>2005</v>
      </c>
      <c r="Z5722">
        <v>2</v>
      </c>
      <c r="AA5722" t="s">
        <v>26</v>
      </c>
      <c r="AB5722">
        <v>0</v>
      </c>
      <c r="AC5722" t="s">
        <v>115</v>
      </c>
      <c r="AD5722">
        <v>3</v>
      </c>
      <c r="AE5722" t="s">
        <v>115</v>
      </c>
      <c r="AF5722">
        <v>0</v>
      </c>
      <c r="AG5722">
        <v>0</v>
      </c>
      <c r="AH5722" t="s">
        <v>116</v>
      </c>
      <c r="AI5722" s="1">
        <v>19735</v>
      </c>
      <c r="AJ5722" s="2">
        <v>0.08</v>
      </c>
      <c r="AK5722" s="1">
        <v>255701</v>
      </c>
      <c r="AL5722" t="s">
        <v>117</v>
      </c>
      <c r="AM5722" t="s">
        <v>118</v>
      </c>
      <c r="AN5722">
        <v>6752</v>
      </c>
      <c r="AO5722">
        <v>0.16</v>
      </c>
      <c r="AR5722">
        <v>1</v>
      </c>
      <c r="AS5722" s="1">
        <v>21210</v>
      </c>
      <c r="AT5722" s="1">
        <v>4240</v>
      </c>
      <c r="AU5722" s="1">
        <v>16970</v>
      </c>
      <c r="AV5722">
        <v>80.010000000000005</v>
      </c>
      <c r="AX5722" s="1">
        <v>2035.98</v>
      </c>
      <c r="AY5722" t="s">
        <v>6790</v>
      </c>
      <c r="AZ5722" t="s">
        <v>6790</v>
      </c>
      <c r="BA5722" t="s">
        <v>7186</v>
      </c>
      <c r="BE5722" s="3">
        <v>42156</v>
      </c>
      <c r="BF5722" s="1">
        <v>231000</v>
      </c>
      <c r="BG5722" t="s">
        <v>35082</v>
      </c>
      <c r="BH5722" s="1">
        <v>94.87</v>
      </c>
      <c r="BI5722" s="1">
        <v>235966</v>
      </c>
      <c r="BJ5722" s="3">
        <v>42156</v>
      </c>
      <c r="BK5722" t="s">
        <v>123</v>
      </c>
      <c r="BL5722" t="str">
        <f>"2015.390316"</f>
        <v>2015.390316</v>
      </c>
      <c r="BM5722" t="s">
        <v>1038</v>
      </c>
      <c r="BO5722" t="s">
        <v>35083</v>
      </c>
      <c r="BS5722">
        <v>30</v>
      </c>
      <c r="BW5722" t="str">
        <f>""</f>
        <v/>
      </c>
      <c r="CH5722" t="str">
        <f>""</f>
        <v/>
      </c>
      <c r="CS5722" t="str">
        <f>""</f>
        <v/>
      </c>
    </row>
    <row r="5723" spans="1:97" x14ac:dyDescent="0.25">
      <c r="A5723" t="s">
        <v>3702</v>
      </c>
      <c r="B5723" t="s">
        <v>35084</v>
      </c>
      <c r="E5723" t="s">
        <v>35085</v>
      </c>
      <c r="F5723" t="s">
        <v>108</v>
      </c>
      <c r="H5723" t="s">
        <v>35086</v>
      </c>
      <c r="I5723" t="s">
        <v>390</v>
      </c>
      <c r="J5723" t="s">
        <v>111</v>
      </c>
      <c r="K5723" t="str">
        <f>"85086"</f>
        <v>85086</v>
      </c>
      <c r="L5723" t="s">
        <v>4698</v>
      </c>
      <c r="M5723" t="s">
        <v>35086</v>
      </c>
      <c r="N5723" t="s">
        <v>390</v>
      </c>
      <c r="O5723" t="s">
        <v>111</v>
      </c>
      <c r="P5723" t="str">
        <f>"85086-2143"</f>
        <v>85086-2143</v>
      </c>
      <c r="Q5723" t="s">
        <v>113</v>
      </c>
      <c r="R5723" t="str">
        <f>"203-27-033"</f>
        <v>203-27-033</v>
      </c>
      <c r="S5723" t="s">
        <v>22436</v>
      </c>
      <c r="U5723">
        <v>2103</v>
      </c>
      <c r="V5723">
        <v>0</v>
      </c>
      <c r="W5723">
        <v>3</v>
      </c>
      <c r="X5723">
        <v>2003</v>
      </c>
      <c r="Z5723">
        <v>1</v>
      </c>
      <c r="AB5723">
        <v>0</v>
      </c>
      <c r="AC5723" t="s">
        <v>115</v>
      </c>
      <c r="AD5723">
        <v>3</v>
      </c>
      <c r="AE5723" t="s">
        <v>115</v>
      </c>
      <c r="AF5723">
        <v>0</v>
      </c>
      <c r="AG5723">
        <v>0</v>
      </c>
      <c r="AH5723" t="s">
        <v>116</v>
      </c>
      <c r="AI5723" s="1">
        <v>14645</v>
      </c>
      <c r="AJ5723" s="2">
        <v>0.04</v>
      </c>
      <c r="AK5723" s="1">
        <v>329267</v>
      </c>
      <c r="AL5723" t="s">
        <v>117</v>
      </c>
      <c r="AM5723" t="s">
        <v>191</v>
      </c>
      <c r="AN5723">
        <v>6050</v>
      </c>
      <c r="AO5723">
        <v>0.14000000000000001</v>
      </c>
      <c r="AP5723">
        <v>1</v>
      </c>
      <c r="AR5723">
        <v>1</v>
      </c>
      <c r="AS5723" s="1">
        <v>23880</v>
      </c>
      <c r="AT5723" s="1">
        <v>4770</v>
      </c>
      <c r="AU5723" s="1">
        <v>19110</v>
      </c>
      <c r="AV5723">
        <v>80.03</v>
      </c>
      <c r="AX5723" s="1">
        <v>2257.6999999999998</v>
      </c>
      <c r="AY5723" t="s">
        <v>8639</v>
      </c>
      <c r="AZ5723" t="s">
        <v>8639</v>
      </c>
      <c r="BA5723" t="s">
        <v>378</v>
      </c>
      <c r="BE5723" s="3">
        <v>42499</v>
      </c>
      <c r="BF5723" s="1">
        <v>308000</v>
      </c>
      <c r="BG5723" t="s">
        <v>35087</v>
      </c>
      <c r="BH5723" s="1">
        <v>146.46</v>
      </c>
      <c r="BI5723" s="1">
        <v>314622</v>
      </c>
      <c r="BJ5723" s="3">
        <v>42499</v>
      </c>
      <c r="BK5723" t="s">
        <v>123</v>
      </c>
      <c r="BL5723" t="str">
        <f>"2016.315667"</f>
        <v>2016.315667</v>
      </c>
      <c r="BM5723" t="s">
        <v>724</v>
      </c>
      <c r="BO5723" t="s">
        <v>35088</v>
      </c>
      <c r="BS5723">
        <v>30</v>
      </c>
      <c r="BW5723" t="str">
        <f>""</f>
        <v/>
      </c>
      <c r="CH5723" t="str">
        <f>""</f>
        <v/>
      </c>
      <c r="CS5723" t="str">
        <f>""</f>
        <v/>
      </c>
    </row>
    <row r="5724" spans="1:97" x14ac:dyDescent="0.25">
      <c r="A5724" t="s">
        <v>8500</v>
      </c>
      <c r="B5724" t="s">
        <v>6628</v>
      </c>
      <c r="C5724" t="s">
        <v>35089</v>
      </c>
      <c r="D5724" t="s">
        <v>6628</v>
      </c>
      <c r="E5724" t="s">
        <v>35090</v>
      </c>
      <c r="F5724" t="s">
        <v>108</v>
      </c>
      <c r="H5724" t="s">
        <v>35091</v>
      </c>
      <c r="I5724" t="s">
        <v>390</v>
      </c>
      <c r="J5724" t="s">
        <v>111</v>
      </c>
      <c r="K5724" t="str">
        <f>"85044"</f>
        <v>85044</v>
      </c>
      <c r="L5724" t="s">
        <v>10491</v>
      </c>
      <c r="M5724" t="s">
        <v>35091</v>
      </c>
      <c r="N5724" t="s">
        <v>390</v>
      </c>
      <c r="O5724" t="s">
        <v>111</v>
      </c>
      <c r="P5724" t="str">
        <f>"85044-6181"</f>
        <v>85044-6181</v>
      </c>
      <c r="Q5724" t="s">
        <v>113</v>
      </c>
      <c r="R5724" t="str">
        <f>"301-83-199"</f>
        <v>301-83-199</v>
      </c>
      <c r="S5724" t="s">
        <v>35092</v>
      </c>
      <c r="U5724">
        <v>1990</v>
      </c>
      <c r="V5724">
        <v>0</v>
      </c>
      <c r="W5724">
        <v>4</v>
      </c>
      <c r="X5724">
        <v>1986</v>
      </c>
      <c r="Z5724">
        <v>2</v>
      </c>
      <c r="AB5724">
        <v>0</v>
      </c>
      <c r="AC5724" t="s">
        <v>115</v>
      </c>
      <c r="AD5724">
        <v>2</v>
      </c>
      <c r="AE5724" t="s">
        <v>115</v>
      </c>
      <c r="AF5724">
        <v>0</v>
      </c>
      <c r="AG5724">
        <v>0</v>
      </c>
      <c r="AH5724" t="s">
        <v>116</v>
      </c>
      <c r="AI5724" s="1">
        <v>68972</v>
      </c>
      <c r="AJ5724" s="2">
        <v>0.2</v>
      </c>
      <c r="AK5724" s="1">
        <v>343803</v>
      </c>
      <c r="AL5724" t="s">
        <v>117</v>
      </c>
      <c r="AM5724" t="s">
        <v>3345</v>
      </c>
      <c r="AN5724">
        <v>5127</v>
      </c>
      <c r="AO5724">
        <v>0.12</v>
      </c>
      <c r="AP5724">
        <v>1</v>
      </c>
      <c r="AR5724">
        <v>1</v>
      </c>
      <c r="AS5724" s="1">
        <v>25160</v>
      </c>
      <c r="AT5724" s="1">
        <v>5030</v>
      </c>
      <c r="AU5724" s="1">
        <v>20130</v>
      </c>
      <c r="AV5724">
        <v>80.010000000000005</v>
      </c>
      <c r="AX5724" s="1">
        <v>2283.6799999999998</v>
      </c>
      <c r="AY5724" t="s">
        <v>7418</v>
      </c>
      <c r="AZ5724" t="s">
        <v>7255</v>
      </c>
      <c r="BA5724" t="s">
        <v>5328</v>
      </c>
      <c r="BB5724" s="3">
        <v>42611</v>
      </c>
      <c r="BD5724" t="s">
        <v>458</v>
      </c>
      <c r="BE5724" s="3">
        <v>42202</v>
      </c>
      <c r="BF5724" s="1">
        <v>275000</v>
      </c>
      <c r="BG5724" t="s">
        <v>35093</v>
      </c>
      <c r="BH5724" s="1">
        <v>138.19</v>
      </c>
      <c r="BI5724" s="1">
        <v>274831</v>
      </c>
      <c r="BJ5724" s="3">
        <v>42611</v>
      </c>
      <c r="BK5724" t="s">
        <v>123</v>
      </c>
      <c r="BL5724" t="str">
        <f>"2016.619046"</f>
        <v>2016.619046</v>
      </c>
      <c r="BM5724" t="s">
        <v>402</v>
      </c>
      <c r="BO5724" t="s">
        <v>35094</v>
      </c>
      <c r="BS5724">
        <v>30</v>
      </c>
      <c r="BW5724" t="str">
        <f>""</f>
        <v/>
      </c>
      <c r="CH5724" t="str">
        <f>""</f>
        <v/>
      </c>
      <c r="CS5724" t="str">
        <f>""</f>
        <v/>
      </c>
    </row>
    <row r="5725" spans="1:97" x14ac:dyDescent="0.25">
      <c r="A5725" t="s">
        <v>992</v>
      </c>
      <c r="B5725" t="s">
        <v>23857</v>
      </c>
      <c r="C5725" t="s">
        <v>28356</v>
      </c>
      <c r="D5725" t="s">
        <v>23857</v>
      </c>
      <c r="E5725" t="s">
        <v>35095</v>
      </c>
      <c r="F5725" t="s">
        <v>282</v>
      </c>
      <c r="H5725" t="s">
        <v>35096</v>
      </c>
      <c r="I5725" t="s">
        <v>203</v>
      </c>
      <c r="J5725" t="s">
        <v>111</v>
      </c>
      <c r="K5725" t="str">
        <f>"85234"</f>
        <v>85234</v>
      </c>
      <c r="L5725" t="s">
        <v>8199</v>
      </c>
      <c r="M5725" t="s">
        <v>35097</v>
      </c>
      <c r="N5725" t="s">
        <v>225</v>
      </c>
      <c r="O5725" t="s">
        <v>111</v>
      </c>
      <c r="P5725" t="str">
        <f>"85208-2494"</f>
        <v>85208-2494</v>
      </c>
      <c r="Q5725" t="s">
        <v>113</v>
      </c>
      <c r="R5725" t="str">
        <f>"304-96-304"</f>
        <v>304-96-304</v>
      </c>
      <c r="S5725" t="s">
        <v>14064</v>
      </c>
      <c r="T5725" t="s">
        <v>14065</v>
      </c>
      <c r="U5725">
        <v>2141</v>
      </c>
      <c r="V5725">
        <v>0</v>
      </c>
      <c r="W5725">
        <v>3</v>
      </c>
      <c r="X5725">
        <v>1994</v>
      </c>
      <c r="Z5725">
        <v>1</v>
      </c>
      <c r="AB5725">
        <v>0</v>
      </c>
      <c r="AC5725" t="s">
        <v>115</v>
      </c>
      <c r="AD5725">
        <v>3</v>
      </c>
      <c r="AE5725" t="s">
        <v>115</v>
      </c>
      <c r="AF5725">
        <v>0</v>
      </c>
      <c r="AG5725">
        <v>0</v>
      </c>
      <c r="AH5725" t="s">
        <v>116</v>
      </c>
      <c r="AI5725" s="1">
        <v>105018</v>
      </c>
      <c r="AJ5725" s="2">
        <v>0.28999999999999998</v>
      </c>
      <c r="AK5725" s="1">
        <v>362018</v>
      </c>
      <c r="AL5725" t="s">
        <v>117</v>
      </c>
      <c r="AM5725" t="s">
        <v>171</v>
      </c>
      <c r="AN5725">
        <v>7466</v>
      </c>
      <c r="AO5725">
        <v>0.17</v>
      </c>
      <c r="AP5725">
        <v>1</v>
      </c>
      <c r="AR5725">
        <v>1</v>
      </c>
      <c r="AS5725" s="1">
        <v>26120</v>
      </c>
      <c r="AT5725" s="1">
        <v>5220</v>
      </c>
      <c r="AU5725" s="1">
        <v>20900</v>
      </c>
      <c r="AV5725">
        <v>80.02</v>
      </c>
      <c r="AX5725" s="1">
        <v>2568.48</v>
      </c>
      <c r="AY5725" t="s">
        <v>7062</v>
      </c>
      <c r="AZ5725" t="s">
        <v>5478</v>
      </c>
      <c r="BA5725" t="s">
        <v>5033</v>
      </c>
      <c r="BB5725" s="3">
        <v>41688</v>
      </c>
      <c r="BD5725" t="s">
        <v>458</v>
      </c>
      <c r="BE5725" s="3">
        <v>41688</v>
      </c>
      <c r="BF5725" s="1">
        <v>270000</v>
      </c>
      <c r="BG5725" t="s">
        <v>35098</v>
      </c>
      <c r="BH5725" s="1">
        <v>126.11</v>
      </c>
      <c r="BI5725" s="1">
        <v>257000</v>
      </c>
      <c r="BJ5725" s="3">
        <v>41688</v>
      </c>
      <c r="BK5725" t="s">
        <v>123</v>
      </c>
      <c r="BL5725" t="str">
        <f>"2014.104978"</f>
        <v>2014.104978</v>
      </c>
      <c r="BM5725" t="s">
        <v>1214</v>
      </c>
      <c r="BO5725" t="s">
        <v>35099</v>
      </c>
      <c r="BS5725">
        <v>30</v>
      </c>
      <c r="BW5725" t="str">
        <f>""</f>
        <v/>
      </c>
      <c r="CH5725" t="str">
        <f>""</f>
        <v/>
      </c>
      <c r="CS5725" t="str">
        <f>""</f>
        <v/>
      </c>
    </row>
    <row r="5726" spans="1:97" x14ac:dyDescent="0.25">
      <c r="A5726" t="s">
        <v>1514</v>
      </c>
      <c r="B5726" t="s">
        <v>2433</v>
      </c>
      <c r="C5726" t="s">
        <v>364</v>
      </c>
      <c r="D5726" t="s">
        <v>2433</v>
      </c>
      <c r="E5726" t="s">
        <v>35100</v>
      </c>
      <c r="F5726" t="s">
        <v>108</v>
      </c>
      <c r="H5726" t="s">
        <v>35101</v>
      </c>
      <c r="I5726" t="s">
        <v>110</v>
      </c>
      <c r="J5726" t="s">
        <v>111</v>
      </c>
      <c r="K5726" t="str">
        <f>"85286"</f>
        <v>85286</v>
      </c>
      <c r="L5726" t="s">
        <v>5260</v>
      </c>
      <c r="M5726" t="s">
        <v>35101</v>
      </c>
      <c r="N5726" t="s">
        <v>110</v>
      </c>
      <c r="O5726" t="s">
        <v>111</v>
      </c>
      <c r="P5726" t="str">
        <f>"85286-1178"</f>
        <v>85286-1178</v>
      </c>
      <c r="Q5726" t="s">
        <v>113</v>
      </c>
      <c r="R5726" t="str">
        <f>"303-29-417"</f>
        <v>303-29-417</v>
      </c>
      <c r="S5726" t="s">
        <v>11522</v>
      </c>
      <c r="T5726" t="s">
        <v>11522</v>
      </c>
      <c r="U5726">
        <v>2049</v>
      </c>
      <c r="V5726">
        <v>0</v>
      </c>
      <c r="W5726">
        <v>3</v>
      </c>
      <c r="X5726">
        <v>2001</v>
      </c>
      <c r="Z5726">
        <v>1</v>
      </c>
      <c r="AA5726" t="s">
        <v>26</v>
      </c>
      <c r="AB5726">
        <v>0</v>
      </c>
      <c r="AC5726" t="s">
        <v>115</v>
      </c>
      <c r="AD5726">
        <v>2</v>
      </c>
      <c r="AE5726" t="s">
        <v>115</v>
      </c>
      <c r="AF5726">
        <v>0</v>
      </c>
      <c r="AG5726">
        <v>0</v>
      </c>
      <c r="AH5726" t="s">
        <v>116</v>
      </c>
      <c r="AI5726" s="1">
        <v>58151</v>
      </c>
      <c r="AJ5726" s="2">
        <v>0.16</v>
      </c>
      <c r="AK5726" s="1">
        <v>371208</v>
      </c>
      <c r="AL5726" t="s">
        <v>117</v>
      </c>
      <c r="AM5726" t="s">
        <v>118</v>
      </c>
      <c r="AN5726">
        <v>9156</v>
      </c>
      <c r="AO5726">
        <v>0.21</v>
      </c>
      <c r="AP5726">
        <v>1</v>
      </c>
      <c r="AR5726">
        <v>1</v>
      </c>
      <c r="AS5726" s="1">
        <v>26500</v>
      </c>
      <c r="AT5726" s="1">
        <v>5300</v>
      </c>
      <c r="AU5726" s="1">
        <v>21200</v>
      </c>
      <c r="AV5726">
        <v>80</v>
      </c>
      <c r="AX5726" s="1">
        <v>2079.1999999999998</v>
      </c>
      <c r="AY5726" t="s">
        <v>3185</v>
      </c>
      <c r="AZ5726" t="s">
        <v>120</v>
      </c>
      <c r="BA5726" t="s">
        <v>303</v>
      </c>
      <c r="BE5726" s="3">
        <v>42279</v>
      </c>
      <c r="BF5726" s="1">
        <v>299000</v>
      </c>
      <c r="BG5726" t="s">
        <v>35102</v>
      </c>
      <c r="BH5726" s="1">
        <v>145.91999999999999</v>
      </c>
      <c r="BI5726" s="1">
        <v>313057</v>
      </c>
      <c r="BJ5726" s="3">
        <v>42534</v>
      </c>
      <c r="BK5726" t="s">
        <v>123</v>
      </c>
      <c r="BL5726" t="str">
        <f>"2016.407556"</f>
        <v>2016.407556</v>
      </c>
      <c r="BM5726" t="s">
        <v>2368</v>
      </c>
      <c r="BO5726" t="s">
        <v>35103</v>
      </c>
      <c r="BS5726">
        <v>30</v>
      </c>
      <c r="BW5726" t="str">
        <f>""</f>
        <v/>
      </c>
      <c r="CH5726" t="str">
        <f>""</f>
        <v/>
      </c>
      <c r="CS5726" t="str">
        <f>""</f>
        <v/>
      </c>
    </row>
    <row r="5727" spans="1:97" x14ac:dyDescent="0.25">
      <c r="A5727" t="s">
        <v>2006</v>
      </c>
      <c r="B5727" t="s">
        <v>11012</v>
      </c>
      <c r="C5727" t="s">
        <v>3282</v>
      </c>
      <c r="D5727" t="s">
        <v>11012</v>
      </c>
      <c r="E5727" t="s">
        <v>35104</v>
      </c>
      <c r="F5727" t="s">
        <v>108</v>
      </c>
      <c r="H5727" t="s">
        <v>35105</v>
      </c>
      <c r="I5727" t="s">
        <v>390</v>
      </c>
      <c r="J5727" t="s">
        <v>111</v>
      </c>
      <c r="K5727" t="str">
        <f>"85048"</f>
        <v>85048</v>
      </c>
      <c r="L5727" t="s">
        <v>9069</v>
      </c>
      <c r="M5727" t="s">
        <v>35105</v>
      </c>
      <c r="N5727" t="s">
        <v>390</v>
      </c>
      <c r="O5727" t="s">
        <v>111</v>
      </c>
      <c r="P5727" t="str">
        <f>"85048-7886"</f>
        <v>85048-7886</v>
      </c>
      <c r="Q5727" t="s">
        <v>113</v>
      </c>
      <c r="R5727" t="str">
        <f>"306-02-637"</f>
        <v>306-02-637</v>
      </c>
      <c r="S5727" t="s">
        <v>18237</v>
      </c>
      <c r="U5727">
        <v>2349</v>
      </c>
      <c r="V5727">
        <v>0</v>
      </c>
      <c r="W5727">
        <v>4</v>
      </c>
      <c r="X5727">
        <v>1993</v>
      </c>
      <c r="Z5727">
        <v>2</v>
      </c>
      <c r="AA5727" t="s">
        <v>26</v>
      </c>
      <c r="AB5727">
        <v>0</v>
      </c>
      <c r="AC5727" t="s">
        <v>115</v>
      </c>
      <c r="AD5727">
        <v>3</v>
      </c>
      <c r="AE5727" t="s">
        <v>115</v>
      </c>
      <c r="AF5727">
        <v>0</v>
      </c>
      <c r="AG5727">
        <v>0</v>
      </c>
      <c r="AH5727" t="s">
        <v>116</v>
      </c>
      <c r="AI5727" s="1">
        <v>39627</v>
      </c>
      <c r="AJ5727" s="2">
        <v>0.1</v>
      </c>
      <c r="AK5727" s="1">
        <v>401177</v>
      </c>
      <c r="AL5727" t="s">
        <v>117</v>
      </c>
      <c r="AM5727" t="s">
        <v>1315</v>
      </c>
      <c r="AN5727">
        <v>6055</v>
      </c>
      <c r="AO5727">
        <v>0.14000000000000001</v>
      </c>
      <c r="AP5727">
        <v>1</v>
      </c>
      <c r="AR5727">
        <v>1</v>
      </c>
      <c r="AS5727" s="1">
        <v>28730</v>
      </c>
      <c r="AT5727" s="1">
        <v>5740</v>
      </c>
      <c r="AU5727" s="1">
        <v>22990</v>
      </c>
      <c r="AV5727">
        <v>80.02</v>
      </c>
      <c r="AX5727" s="1">
        <v>2807.46</v>
      </c>
      <c r="AY5727" t="s">
        <v>928</v>
      </c>
      <c r="AZ5727" t="s">
        <v>929</v>
      </c>
      <c r="BA5727" t="s">
        <v>930</v>
      </c>
      <c r="BE5727" s="3">
        <v>41894</v>
      </c>
      <c r="BF5727" s="1">
        <v>315000</v>
      </c>
      <c r="BG5727" t="s">
        <v>35106</v>
      </c>
      <c r="BH5727" s="1">
        <v>134.1</v>
      </c>
      <c r="BI5727" s="1">
        <v>361550</v>
      </c>
      <c r="BJ5727" s="3">
        <v>43539</v>
      </c>
      <c r="BK5727" t="s">
        <v>123</v>
      </c>
      <c r="BL5727" t="str">
        <f>"2019.182648"</f>
        <v>2019.182648</v>
      </c>
      <c r="BM5727" t="s">
        <v>248</v>
      </c>
      <c r="BN5727" t="s">
        <v>249</v>
      </c>
      <c r="BO5727" t="s">
        <v>35107</v>
      </c>
      <c r="BP5727" t="s">
        <v>35108</v>
      </c>
      <c r="BR5727" t="s">
        <v>139</v>
      </c>
      <c r="BW5727" t="str">
        <f>""</f>
        <v/>
      </c>
      <c r="CH5727" t="str">
        <f>""</f>
        <v/>
      </c>
      <c r="CS5727" t="str">
        <f>""</f>
        <v/>
      </c>
    </row>
    <row r="5728" spans="1:97" x14ac:dyDescent="0.25">
      <c r="A5728" t="s">
        <v>33390</v>
      </c>
      <c r="B5728" t="s">
        <v>364</v>
      </c>
      <c r="C5728" t="s">
        <v>4386</v>
      </c>
      <c r="D5728" t="s">
        <v>364</v>
      </c>
      <c r="E5728" t="s">
        <v>35109</v>
      </c>
      <c r="F5728" t="s">
        <v>108</v>
      </c>
      <c r="H5728" t="s">
        <v>35110</v>
      </c>
      <c r="I5728" t="s">
        <v>453</v>
      </c>
      <c r="J5728" t="s">
        <v>111</v>
      </c>
      <c r="K5728" t="str">
        <f>"85383"</f>
        <v>85383</v>
      </c>
      <c r="L5728" t="s">
        <v>516</v>
      </c>
      <c r="M5728" t="s">
        <v>35110</v>
      </c>
      <c r="N5728" t="s">
        <v>453</v>
      </c>
      <c r="O5728" t="s">
        <v>111</v>
      </c>
      <c r="P5728" t="str">
        <f>"85383-1421"</f>
        <v>85383-1421</v>
      </c>
      <c r="Q5728" t="s">
        <v>113</v>
      </c>
      <c r="R5728" t="str">
        <f>"201-17-168"</f>
        <v>201-17-168</v>
      </c>
      <c r="S5728" t="s">
        <v>9252</v>
      </c>
      <c r="T5728" t="s">
        <v>9252</v>
      </c>
      <c r="U5728">
        <v>2323</v>
      </c>
      <c r="V5728">
        <v>0</v>
      </c>
      <c r="W5728">
        <v>4</v>
      </c>
      <c r="X5728">
        <v>2015</v>
      </c>
      <c r="Z5728">
        <v>1</v>
      </c>
      <c r="AB5728">
        <v>0</v>
      </c>
      <c r="AC5728" t="s">
        <v>115</v>
      </c>
      <c r="AD5728">
        <v>3</v>
      </c>
      <c r="AE5728" t="s">
        <v>115</v>
      </c>
      <c r="AF5728">
        <v>0</v>
      </c>
      <c r="AG5728">
        <v>0</v>
      </c>
      <c r="AH5728" t="s">
        <v>116</v>
      </c>
      <c r="AI5728" s="1">
        <v>-8667</v>
      </c>
      <c r="AJ5728" s="2">
        <v>-0.02</v>
      </c>
      <c r="AK5728" s="1">
        <v>417329</v>
      </c>
      <c r="AL5728" t="s">
        <v>117</v>
      </c>
      <c r="AM5728" t="s">
        <v>118</v>
      </c>
      <c r="AN5728">
        <v>9364</v>
      </c>
      <c r="AO5728">
        <v>0.22</v>
      </c>
      <c r="AR5728">
        <v>1</v>
      </c>
      <c r="AS5728" s="1">
        <v>31720</v>
      </c>
      <c r="AT5728" s="1">
        <v>6340</v>
      </c>
      <c r="AU5728" s="1">
        <v>25380</v>
      </c>
      <c r="AV5728">
        <v>80.010000000000005</v>
      </c>
      <c r="AX5728" s="1">
        <v>2657.54</v>
      </c>
      <c r="AY5728" t="s">
        <v>4520</v>
      </c>
      <c r="AZ5728" t="s">
        <v>4520</v>
      </c>
      <c r="BA5728" t="s">
        <v>4219</v>
      </c>
      <c r="BE5728" s="3">
        <v>42277</v>
      </c>
      <c r="BF5728" s="1">
        <v>444701</v>
      </c>
      <c r="BG5728" t="s">
        <v>209</v>
      </c>
      <c r="BH5728" s="1">
        <v>191.43</v>
      </c>
      <c r="BI5728" s="1">
        <v>425996</v>
      </c>
      <c r="BJ5728" s="3">
        <v>42277</v>
      </c>
      <c r="BK5728" t="s">
        <v>123</v>
      </c>
      <c r="BL5728" t="str">
        <f>"2015.707362"</f>
        <v>2015.707362</v>
      </c>
      <c r="BM5728" t="s">
        <v>175</v>
      </c>
      <c r="BO5728" t="s">
        <v>35111</v>
      </c>
      <c r="BS5728">
        <v>30</v>
      </c>
      <c r="BW5728" t="str">
        <f>""</f>
        <v/>
      </c>
      <c r="CH5728" t="str">
        <f>""</f>
        <v/>
      </c>
      <c r="CS5728" t="str">
        <f>""</f>
        <v/>
      </c>
    </row>
    <row r="5729" spans="1:97" x14ac:dyDescent="0.25">
      <c r="A5729" t="s">
        <v>1124</v>
      </c>
      <c r="B5729" t="s">
        <v>35112</v>
      </c>
      <c r="E5729" t="s">
        <v>35113</v>
      </c>
      <c r="F5729" t="s">
        <v>108</v>
      </c>
      <c r="H5729" t="s">
        <v>35114</v>
      </c>
      <c r="I5729" t="s">
        <v>110</v>
      </c>
      <c r="J5729" t="s">
        <v>111</v>
      </c>
      <c r="K5729" t="str">
        <f>"85249"</f>
        <v>85249</v>
      </c>
      <c r="L5729" t="s">
        <v>417</v>
      </c>
      <c r="M5729" t="s">
        <v>35114</v>
      </c>
      <c r="N5729" t="s">
        <v>110</v>
      </c>
      <c r="O5729" t="s">
        <v>111</v>
      </c>
      <c r="P5729" t="str">
        <f>"85249-6072"</f>
        <v>85249-6072</v>
      </c>
      <c r="Q5729" t="s">
        <v>113</v>
      </c>
      <c r="R5729" t="str">
        <f>"304-75-035"</f>
        <v>304-75-035</v>
      </c>
      <c r="S5729" t="s">
        <v>35115</v>
      </c>
      <c r="T5729" t="s">
        <v>35115</v>
      </c>
      <c r="U5729">
        <v>4480</v>
      </c>
      <c r="V5729">
        <v>0</v>
      </c>
      <c r="W5729">
        <v>5</v>
      </c>
      <c r="X5729">
        <v>2011</v>
      </c>
      <c r="Z5729">
        <v>2</v>
      </c>
      <c r="AA5729" t="s">
        <v>26</v>
      </c>
      <c r="AB5729">
        <v>0</v>
      </c>
      <c r="AC5729" t="s">
        <v>115</v>
      </c>
      <c r="AD5729">
        <v>3</v>
      </c>
      <c r="AE5729" t="s">
        <v>115</v>
      </c>
      <c r="AF5729">
        <v>0</v>
      </c>
      <c r="AG5729">
        <v>0</v>
      </c>
      <c r="AH5729" t="s">
        <v>116</v>
      </c>
      <c r="AI5729" s="1">
        <v>97791</v>
      </c>
      <c r="AJ5729" s="2">
        <v>0.17</v>
      </c>
      <c r="AK5729" s="1">
        <v>587344</v>
      </c>
      <c r="AL5729" t="s">
        <v>117</v>
      </c>
      <c r="AM5729" t="s">
        <v>118</v>
      </c>
      <c r="AN5729">
        <v>9740</v>
      </c>
      <c r="AO5729">
        <v>0.22</v>
      </c>
      <c r="AR5729">
        <v>1</v>
      </c>
      <c r="AS5729" s="1">
        <v>43660</v>
      </c>
      <c r="AT5729" s="1">
        <v>8730</v>
      </c>
      <c r="AU5729" s="1">
        <v>34930</v>
      </c>
      <c r="AV5729">
        <v>80</v>
      </c>
      <c r="AX5729" s="1">
        <v>4032.88</v>
      </c>
      <c r="AY5729" t="s">
        <v>419</v>
      </c>
      <c r="AZ5729" t="s">
        <v>273</v>
      </c>
      <c r="BA5729" t="s">
        <v>303</v>
      </c>
      <c r="BE5729" s="3">
        <v>42531</v>
      </c>
      <c r="BF5729" s="1">
        <v>500000</v>
      </c>
      <c r="BG5729" t="s">
        <v>35116</v>
      </c>
      <c r="BH5729" s="1">
        <v>111.61</v>
      </c>
      <c r="BI5729" s="1">
        <v>489553</v>
      </c>
      <c r="BJ5729" s="3">
        <v>42531</v>
      </c>
      <c r="BK5729" t="s">
        <v>123</v>
      </c>
      <c r="BL5729" t="str">
        <f>"2016.403689"</f>
        <v>2016.403689</v>
      </c>
      <c r="BM5729" t="s">
        <v>594</v>
      </c>
      <c r="BO5729" t="s">
        <v>35117</v>
      </c>
      <c r="BS5729">
        <v>30</v>
      </c>
      <c r="BW5729" t="str">
        <f>""</f>
        <v/>
      </c>
      <c r="CH5729" t="str">
        <f>""</f>
        <v/>
      </c>
      <c r="CS5729" t="str">
        <f>""</f>
        <v/>
      </c>
    </row>
    <row r="5730" spans="1:97" x14ac:dyDescent="0.25">
      <c r="A5730" t="s">
        <v>35118</v>
      </c>
      <c r="B5730" t="s">
        <v>4141</v>
      </c>
      <c r="C5730" t="s">
        <v>484</v>
      </c>
      <c r="D5730" t="s">
        <v>4141</v>
      </c>
      <c r="E5730" t="s">
        <v>35119</v>
      </c>
      <c r="F5730" t="s">
        <v>108</v>
      </c>
      <c r="H5730" t="s">
        <v>35120</v>
      </c>
      <c r="I5730" t="s">
        <v>453</v>
      </c>
      <c r="J5730" t="s">
        <v>111</v>
      </c>
      <c r="K5730" t="str">
        <f>"85382"</f>
        <v>85382</v>
      </c>
      <c r="L5730" t="s">
        <v>3151</v>
      </c>
      <c r="M5730" t="s">
        <v>35120</v>
      </c>
      <c r="N5730" t="s">
        <v>453</v>
      </c>
      <c r="O5730" t="s">
        <v>111</v>
      </c>
      <c r="P5730" t="str">
        <f>"85382-2611"</f>
        <v>85382-2611</v>
      </c>
      <c r="Q5730" t="s">
        <v>113</v>
      </c>
      <c r="R5730" t="str">
        <f>"200-32-083"</f>
        <v>200-32-083</v>
      </c>
      <c r="S5730" t="s">
        <v>35121</v>
      </c>
      <c r="T5730" t="s">
        <v>35121</v>
      </c>
      <c r="U5730">
        <v>1738</v>
      </c>
      <c r="V5730">
        <v>0</v>
      </c>
      <c r="W5730">
        <v>3</v>
      </c>
      <c r="X5730">
        <v>1983</v>
      </c>
      <c r="Z5730">
        <v>1</v>
      </c>
      <c r="AB5730">
        <v>0</v>
      </c>
      <c r="AC5730" t="s">
        <v>115</v>
      </c>
      <c r="AD5730">
        <v>2</v>
      </c>
      <c r="AE5730" t="s">
        <v>115</v>
      </c>
      <c r="AF5730">
        <v>0</v>
      </c>
      <c r="AG5730">
        <v>0</v>
      </c>
      <c r="AH5730" t="s">
        <v>116</v>
      </c>
      <c r="AI5730" s="1">
        <v>39241</v>
      </c>
      <c r="AJ5730" s="2">
        <v>0.13</v>
      </c>
      <c r="AK5730" s="1">
        <v>291241</v>
      </c>
      <c r="AL5730" t="s">
        <v>117</v>
      </c>
      <c r="AM5730" t="s">
        <v>393</v>
      </c>
      <c r="AN5730">
        <v>7260</v>
      </c>
      <c r="AO5730">
        <v>0.17</v>
      </c>
      <c r="AP5730">
        <v>1</v>
      </c>
      <c r="AR5730">
        <v>1</v>
      </c>
      <c r="AS5730" s="1">
        <v>19060</v>
      </c>
      <c r="AT5730" s="1">
        <v>3810</v>
      </c>
      <c r="AU5730" s="1">
        <v>15250</v>
      </c>
      <c r="AV5730">
        <v>80.010000000000005</v>
      </c>
      <c r="AX5730" s="1">
        <v>1625.88</v>
      </c>
      <c r="AY5730" t="s">
        <v>7828</v>
      </c>
      <c r="AZ5730" t="s">
        <v>7828</v>
      </c>
      <c r="BA5730" t="s">
        <v>4219</v>
      </c>
      <c r="BE5730" s="3">
        <v>42409</v>
      </c>
      <c r="BF5730" s="1">
        <v>252000</v>
      </c>
      <c r="BG5730" t="s">
        <v>22009</v>
      </c>
      <c r="BH5730" s="1">
        <v>144.99</v>
      </c>
      <c r="BI5730" s="1">
        <v>252000</v>
      </c>
      <c r="BJ5730" s="3">
        <v>42409</v>
      </c>
      <c r="BK5730" t="s">
        <v>123</v>
      </c>
      <c r="BL5730" t="str">
        <f>"2016.83691"</f>
        <v>2016.83691</v>
      </c>
      <c r="BM5730" t="s">
        <v>709</v>
      </c>
      <c r="BO5730" t="s">
        <v>35122</v>
      </c>
      <c r="BS5730">
        <v>30</v>
      </c>
      <c r="BW5730" t="str">
        <f>""</f>
        <v/>
      </c>
      <c r="CH5730" t="str">
        <f>""</f>
        <v/>
      </c>
      <c r="CS5730" t="str">
        <f>""</f>
        <v/>
      </c>
    </row>
    <row r="5731" spans="1:97" x14ac:dyDescent="0.25">
      <c r="A5731" t="s">
        <v>35123</v>
      </c>
      <c r="B5731" t="s">
        <v>35124</v>
      </c>
      <c r="C5731" t="s">
        <v>35125</v>
      </c>
      <c r="D5731" t="s">
        <v>35124</v>
      </c>
      <c r="E5731" t="s">
        <v>35126</v>
      </c>
      <c r="F5731" t="s">
        <v>108</v>
      </c>
      <c r="H5731" t="s">
        <v>35127</v>
      </c>
      <c r="I5731" t="s">
        <v>632</v>
      </c>
      <c r="J5731" t="s">
        <v>111</v>
      </c>
      <c r="K5731" t="str">
        <f>"85379"</f>
        <v>85379</v>
      </c>
      <c r="L5731" t="s">
        <v>269</v>
      </c>
      <c r="M5731" t="s">
        <v>35127</v>
      </c>
      <c r="N5731" t="s">
        <v>632</v>
      </c>
      <c r="O5731" t="s">
        <v>111</v>
      </c>
      <c r="P5731" t="str">
        <f>"85379-4617"</f>
        <v>85379-4617</v>
      </c>
      <c r="Q5731" t="s">
        <v>113</v>
      </c>
      <c r="R5731" t="str">
        <f>"501-40-570"</f>
        <v>501-40-570</v>
      </c>
      <c r="S5731" t="s">
        <v>21126</v>
      </c>
      <c r="U5731">
        <v>3134</v>
      </c>
      <c r="V5731">
        <v>0</v>
      </c>
      <c r="W5731">
        <v>5</v>
      </c>
      <c r="X5731">
        <v>2005</v>
      </c>
      <c r="Z5731">
        <v>2</v>
      </c>
      <c r="AB5731">
        <v>0</v>
      </c>
      <c r="AC5731" t="s">
        <v>115</v>
      </c>
      <c r="AD5731">
        <v>3</v>
      </c>
      <c r="AE5731" t="s">
        <v>115</v>
      </c>
      <c r="AF5731">
        <v>0</v>
      </c>
      <c r="AG5731">
        <v>0</v>
      </c>
      <c r="AH5731" t="s">
        <v>116</v>
      </c>
      <c r="AI5731" s="1">
        <v>34020</v>
      </c>
      <c r="AJ5731" s="2">
        <v>0.1</v>
      </c>
      <c r="AK5731" s="1">
        <v>340470</v>
      </c>
      <c r="AL5731" t="s">
        <v>117</v>
      </c>
      <c r="AM5731" t="s">
        <v>118</v>
      </c>
      <c r="AN5731">
        <v>8186</v>
      </c>
      <c r="AO5731">
        <v>0.19</v>
      </c>
      <c r="AR5731">
        <v>1</v>
      </c>
      <c r="AS5731" s="1">
        <v>22910</v>
      </c>
      <c r="AT5731" s="1">
        <v>4580</v>
      </c>
      <c r="AU5731" s="1">
        <v>18330</v>
      </c>
      <c r="AV5731">
        <v>80.010000000000005</v>
      </c>
      <c r="AX5731" s="1">
        <v>1891.74</v>
      </c>
      <c r="AY5731" t="s">
        <v>5060</v>
      </c>
      <c r="AZ5731" t="s">
        <v>5060</v>
      </c>
      <c r="BA5731" t="s">
        <v>5061</v>
      </c>
      <c r="BE5731" s="3">
        <v>42429</v>
      </c>
      <c r="BF5731" s="1">
        <v>300000</v>
      </c>
      <c r="BG5731" t="s">
        <v>35128</v>
      </c>
      <c r="BH5731" s="1">
        <v>95.72</v>
      </c>
      <c r="BI5731" s="1">
        <v>306450</v>
      </c>
      <c r="BJ5731" s="3">
        <v>42429</v>
      </c>
      <c r="BK5731" t="s">
        <v>123</v>
      </c>
      <c r="BL5731" t="str">
        <f>"2016.126807"</f>
        <v>2016.126807</v>
      </c>
      <c r="BM5731" t="s">
        <v>2683</v>
      </c>
      <c r="BO5731" t="s">
        <v>35129</v>
      </c>
      <c r="BS5731">
        <v>30</v>
      </c>
      <c r="BW5731" t="str">
        <f>""</f>
        <v/>
      </c>
      <c r="CH5731" t="str">
        <f>""</f>
        <v/>
      </c>
      <c r="CS5731" t="str">
        <f>""</f>
        <v/>
      </c>
    </row>
    <row r="5732" spans="1:97" x14ac:dyDescent="0.25">
      <c r="A5732" t="s">
        <v>10986</v>
      </c>
      <c r="B5732" t="s">
        <v>35130</v>
      </c>
      <c r="E5732" t="s">
        <v>35131</v>
      </c>
      <c r="F5732" t="s">
        <v>139</v>
      </c>
      <c r="H5732" t="s">
        <v>35132</v>
      </c>
      <c r="I5732" t="s">
        <v>110</v>
      </c>
      <c r="J5732" t="s">
        <v>111</v>
      </c>
      <c r="K5732" t="str">
        <f>"85248"</f>
        <v>85248</v>
      </c>
      <c r="L5732" t="s">
        <v>5367</v>
      </c>
      <c r="M5732" t="s">
        <v>35133</v>
      </c>
      <c r="N5732" t="s">
        <v>110</v>
      </c>
      <c r="O5732" t="s">
        <v>111</v>
      </c>
      <c r="P5732" t="str">
        <f>"85244"</f>
        <v>85244</v>
      </c>
      <c r="Q5732" t="s">
        <v>113</v>
      </c>
      <c r="R5732" t="str">
        <f>"303-52-030"</f>
        <v>303-52-030</v>
      </c>
      <c r="S5732" t="s">
        <v>35134</v>
      </c>
      <c r="T5732" t="s">
        <v>35134</v>
      </c>
      <c r="U5732">
        <v>2316</v>
      </c>
      <c r="V5732">
        <v>0</v>
      </c>
      <c r="W5732">
        <v>4</v>
      </c>
      <c r="X5732">
        <v>1993</v>
      </c>
      <c r="Z5732">
        <v>2</v>
      </c>
      <c r="AB5732">
        <v>0</v>
      </c>
      <c r="AC5732" t="s">
        <v>115</v>
      </c>
      <c r="AD5732">
        <v>6</v>
      </c>
      <c r="AE5732" t="s">
        <v>115</v>
      </c>
      <c r="AF5732">
        <v>0</v>
      </c>
      <c r="AG5732">
        <v>0</v>
      </c>
      <c r="AH5732" t="s">
        <v>116</v>
      </c>
      <c r="AI5732" s="1">
        <v>91190</v>
      </c>
      <c r="AJ5732" s="2">
        <v>0.18</v>
      </c>
      <c r="AK5732" s="1">
        <v>519240</v>
      </c>
      <c r="AL5732" t="s">
        <v>117</v>
      </c>
      <c r="AM5732" t="s">
        <v>3973</v>
      </c>
      <c r="AN5732">
        <v>35959</v>
      </c>
      <c r="AO5732">
        <v>0.83</v>
      </c>
      <c r="AP5732">
        <v>1</v>
      </c>
      <c r="AR5732">
        <v>1</v>
      </c>
      <c r="AS5732" s="1">
        <v>39100</v>
      </c>
      <c r="AT5732" s="1">
        <v>7820</v>
      </c>
      <c r="AU5732" s="1">
        <v>31280</v>
      </c>
      <c r="AV5732">
        <v>80</v>
      </c>
      <c r="AX5732" s="1">
        <v>3508.1</v>
      </c>
      <c r="AY5732" t="s">
        <v>1881</v>
      </c>
      <c r="AZ5732" t="s">
        <v>1882</v>
      </c>
      <c r="BA5732" t="s">
        <v>121</v>
      </c>
      <c r="BE5732" s="3">
        <v>42264</v>
      </c>
      <c r="BF5732" s="1">
        <v>405000</v>
      </c>
      <c r="BG5732" t="s">
        <v>35135</v>
      </c>
      <c r="BH5732" s="1">
        <v>174.87</v>
      </c>
      <c r="BI5732" s="1">
        <v>328050</v>
      </c>
      <c r="BJ5732" s="3">
        <v>42264</v>
      </c>
      <c r="BK5732" t="s">
        <v>123</v>
      </c>
      <c r="BL5732" t="str">
        <f>"2015.671789"</f>
        <v>2015.671789</v>
      </c>
      <c r="BM5732" t="s">
        <v>544</v>
      </c>
      <c r="BN5732" t="s">
        <v>545</v>
      </c>
      <c r="BO5732" t="s">
        <v>35136</v>
      </c>
      <c r="BS5732">
        <v>30</v>
      </c>
      <c r="BT5732" s="1">
        <v>100000</v>
      </c>
      <c r="BU5732" s="3">
        <v>43339</v>
      </c>
      <c r="BW5732" t="str">
        <f>"2018.644516"</f>
        <v>2018.644516</v>
      </c>
      <c r="BX5732" t="s">
        <v>35137</v>
      </c>
      <c r="BY5732" t="s">
        <v>35138</v>
      </c>
      <c r="BZ5732" t="s">
        <v>35139</v>
      </c>
      <c r="CC5732" t="s">
        <v>346</v>
      </c>
      <c r="CH5732" t="str">
        <f>""</f>
        <v/>
      </c>
      <c r="CS5732" t="str">
        <f>""</f>
        <v/>
      </c>
    </row>
    <row r="5733" spans="1:97" x14ac:dyDescent="0.25">
      <c r="A5733" t="s">
        <v>2930</v>
      </c>
      <c r="B5733" t="s">
        <v>35140</v>
      </c>
      <c r="C5733" t="s">
        <v>1444</v>
      </c>
      <c r="D5733" t="s">
        <v>35140</v>
      </c>
      <c r="E5733" t="s">
        <v>35141</v>
      </c>
      <c r="F5733" t="s">
        <v>108</v>
      </c>
      <c r="H5733" t="s">
        <v>35142</v>
      </c>
      <c r="I5733" t="s">
        <v>203</v>
      </c>
      <c r="J5733" t="s">
        <v>111</v>
      </c>
      <c r="K5733" t="str">
        <f>"85298"</f>
        <v>85298</v>
      </c>
      <c r="L5733" t="s">
        <v>7243</v>
      </c>
      <c r="M5733" t="s">
        <v>35142</v>
      </c>
      <c r="N5733" t="s">
        <v>203</v>
      </c>
      <c r="O5733" t="s">
        <v>111</v>
      </c>
      <c r="P5733" t="str">
        <f>"85298-4142"</f>
        <v>85298-4142</v>
      </c>
      <c r="Q5733" t="s">
        <v>113</v>
      </c>
      <c r="R5733" t="str">
        <f>"313-04-422"</f>
        <v>313-04-422</v>
      </c>
      <c r="S5733" t="s">
        <v>35143</v>
      </c>
      <c r="T5733" t="s">
        <v>35144</v>
      </c>
      <c r="U5733">
        <v>4413</v>
      </c>
      <c r="V5733">
        <v>0</v>
      </c>
      <c r="W5733">
        <v>5</v>
      </c>
      <c r="X5733">
        <v>2003</v>
      </c>
      <c r="Z5733">
        <v>2</v>
      </c>
      <c r="AA5733" t="s">
        <v>26</v>
      </c>
      <c r="AB5733">
        <v>0</v>
      </c>
      <c r="AC5733" t="s">
        <v>115</v>
      </c>
      <c r="AD5733">
        <v>4</v>
      </c>
      <c r="AE5733" t="s">
        <v>115</v>
      </c>
      <c r="AF5733">
        <v>0</v>
      </c>
      <c r="AG5733">
        <v>0</v>
      </c>
      <c r="AH5733" t="s">
        <v>116</v>
      </c>
      <c r="AI5733" s="1">
        <v>67586</v>
      </c>
      <c r="AJ5733" s="2">
        <v>0.1</v>
      </c>
      <c r="AK5733" s="1">
        <v>666726</v>
      </c>
      <c r="AL5733" t="s">
        <v>117</v>
      </c>
      <c r="AM5733" t="s">
        <v>1521</v>
      </c>
      <c r="AN5733">
        <v>18897</v>
      </c>
      <c r="AO5733">
        <v>0.43</v>
      </c>
      <c r="AP5733">
        <v>1</v>
      </c>
      <c r="AR5733">
        <v>1</v>
      </c>
      <c r="AS5733" s="1">
        <v>46830</v>
      </c>
      <c r="AT5733" s="1">
        <v>9360</v>
      </c>
      <c r="AU5733" s="1">
        <v>37470</v>
      </c>
      <c r="AV5733">
        <v>80.010000000000005</v>
      </c>
      <c r="AX5733" s="1">
        <v>4296.6000000000004</v>
      </c>
      <c r="AY5733" t="s">
        <v>5875</v>
      </c>
      <c r="AZ5733" t="s">
        <v>1134</v>
      </c>
      <c r="BA5733" t="s">
        <v>1134</v>
      </c>
      <c r="BE5733" s="3">
        <v>42404</v>
      </c>
      <c r="BF5733" s="1">
        <v>550000</v>
      </c>
      <c r="BG5733" t="s">
        <v>35145</v>
      </c>
      <c r="BH5733" s="1">
        <v>124.63</v>
      </c>
      <c r="BI5733" s="1">
        <v>599140</v>
      </c>
      <c r="BJ5733" s="3">
        <v>42985</v>
      </c>
      <c r="BK5733" t="s">
        <v>123</v>
      </c>
      <c r="BL5733" t="str">
        <f>"2017.662776"</f>
        <v>2017.662776</v>
      </c>
      <c r="BM5733" t="s">
        <v>35146</v>
      </c>
      <c r="BO5733" t="s">
        <v>35147</v>
      </c>
      <c r="BS5733">
        <v>30</v>
      </c>
      <c r="BW5733" t="str">
        <f>""</f>
        <v/>
      </c>
      <c r="CH5733" t="str">
        <f>""</f>
        <v/>
      </c>
      <c r="CS5733" t="str">
        <f>""</f>
        <v/>
      </c>
    </row>
    <row r="5734" spans="1:97" x14ac:dyDescent="0.25">
      <c r="A5734" t="s">
        <v>1009</v>
      </c>
      <c r="B5734" t="s">
        <v>35148</v>
      </c>
      <c r="C5734" t="s">
        <v>852</v>
      </c>
      <c r="D5734" t="s">
        <v>35148</v>
      </c>
      <c r="E5734" t="s">
        <v>35149</v>
      </c>
      <c r="F5734" t="s">
        <v>108</v>
      </c>
      <c r="H5734" t="s">
        <v>35150</v>
      </c>
      <c r="I5734" t="s">
        <v>390</v>
      </c>
      <c r="J5734" t="s">
        <v>111</v>
      </c>
      <c r="K5734" t="str">
        <f>"85048"</f>
        <v>85048</v>
      </c>
      <c r="L5734" t="s">
        <v>8034</v>
      </c>
      <c r="M5734" t="s">
        <v>35150</v>
      </c>
      <c r="N5734" t="s">
        <v>390</v>
      </c>
      <c r="O5734" t="s">
        <v>111</v>
      </c>
      <c r="P5734" t="str">
        <f>"85048-9164"</f>
        <v>85048-9164</v>
      </c>
      <c r="Q5734" t="s">
        <v>113</v>
      </c>
      <c r="R5734" t="str">
        <f>"301-75-424"</f>
        <v>301-75-424</v>
      </c>
      <c r="S5734" t="s">
        <v>35151</v>
      </c>
      <c r="T5734" t="s">
        <v>35152</v>
      </c>
      <c r="U5734">
        <v>1817</v>
      </c>
      <c r="V5734">
        <v>0</v>
      </c>
      <c r="W5734">
        <v>3</v>
      </c>
      <c r="X5734">
        <v>1991</v>
      </c>
      <c r="Z5734">
        <v>1</v>
      </c>
      <c r="AB5734">
        <v>0</v>
      </c>
      <c r="AC5734" t="s">
        <v>115</v>
      </c>
      <c r="AD5734">
        <v>2</v>
      </c>
      <c r="AE5734" t="s">
        <v>115</v>
      </c>
      <c r="AF5734">
        <v>0</v>
      </c>
      <c r="AG5734">
        <v>0</v>
      </c>
      <c r="AH5734" t="s">
        <v>116</v>
      </c>
      <c r="AI5734" s="1">
        <v>55537</v>
      </c>
      <c r="AJ5734" s="2">
        <v>0.16</v>
      </c>
      <c r="AK5734" s="1">
        <v>345810</v>
      </c>
      <c r="AL5734" t="s">
        <v>117</v>
      </c>
      <c r="AM5734" t="s">
        <v>191</v>
      </c>
      <c r="AN5734">
        <v>5597</v>
      </c>
      <c r="AO5734">
        <v>0.13</v>
      </c>
      <c r="AP5734">
        <v>1</v>
      </c>
      <c r="AR5734">
        <v>1</v>
      </c>
      <c r="AS5734" s="1">
        <v>24310</v>
      </c>
      <c r="AT5734" s="1">
        <v>4860</v>
      </c>
      <c r="AU5734" s="1">
        <v>19450</v>
      </c>
      <c r="AV5734">
        <v>80.010000000000005</v>
      </c>
      <c r="AX5734" s="1">
        <v>2759.5</v>
      </c>
      <c r="AY5734" t="s">
        <v>10121</v>
      </c>
      <c r="AZ5734" t="s">
        <v>2967</v>
      </c>
      <c r="BA5734" t="s">
        <v>930</v>
      </c>
      <c r="BB5734" s="3">
        <v>42674</v>
      </c>
      <c r="BD5734" t="s">
        <v>240</v>
      </c>
      <c r="BE5734" s="3">
        <v>42277</v>
      </c>
      <c r="BF5734" s="1">
        <v>285000</v>
      </c>
      <c r="BG5734" t="s">
        <v>35153</v>
      </c>
      <c r="BH5734" s="1">
        <v>156.85</v>
      </c>
      <c r="BI5734" s="1">
        <v>290273</v>
      </c>
      <c r="BJ5734" s="3">
        <v>42674</v>
      </c>
      <c r="BK5734" t="s">
        <v>123</v>
      </c>
      <c r="BL5734" t="str">
        <f>"2016.800003"</f>
        <v>2016.800003</v>
      </c>
      <c r="BM5734" t="s">
        <v>1791</v>
      </c>
      <c r="BO5734" t="s">
        <v>35154</v>
      </c>
      <c r="BS5734">
        <v>30</v>
      </c>
      <c r="BW5734" t="str">
        <f>""</f>
        <v/>
      </c>
      <c r="CH5734" t="str">
        <f>""</f>
        <v/>
      </c>
      <c r="CS5734" t="str">
        <f>""</f>
        <v/>
      </c>
    </row>
    <row r="5735" spans="1:97" x14ac:dyDescent="0.25">
      <c r="A5735" t="s">
        <v>140</v>
      </c>
      <c r="B5735" t="s">
        <v>21195</v>
      </c>
      <c r="E5735" t="s">
        <v>35155</v>
      </c>
      <c r="F5735" t="s">
        <v>108</v>
      </c>
      <c r="H5735" t="s">
        <v>35156</v>
      </c>
      <c r="I5735" t="s">
        <v>390</v>
      </c>
      <c r="J5735" t="s">
        <v>111</v>
      </c>
      <c r="K5735" t="str">
        <f>"85048"</f>
        <v>85048</v>
      </c>
      <c r="L5735" t="s">
        <v>6003</v>
      </c>
      <c r="M5735" t="s">
        <v>35156</v>
      </c>
      <c r="N5735" t="s">
        <v>390</v>
      </c>
      <c r="O5735" t="s">
        <v>111</v>
      </c>
      <c r="P5735" t="str">
        <f>"85048-7961"</f>
        <v>85048-7961</v>
      </c>
      <c r="Q5735" t="s">
        <v>113</v>
      </c>
      <c r="R5735" t="str">
        <f>"306-02-342"</f>
        <v>306-02-342</v>
      </c>
      <c r="S5735" t="s">
        <v>12774</v>
      </c>
      <c r="T5735" t="s">
        <v>12775</v>
      </c>
      <c r="U5735">
        <v>2035</v>
      </c>
      <c r="V5735">
        <v>0</v>
      </c>
      <c r="W5735">
        <v>4</v>
      </c>
      <c r="X5735">
        <v>1991</v>
      </c>
      <c r="Z5735">
        <v>2</v>
      </c>
      <c r="AA5735" t="s">
        <v>26</v>
      </c>
      <c r="AB5735">
        <v>0</v>
      </c>
      <c r="AC5735" t="s">
        <v>115</v>
      </c>
      <c r="AD5735">
        <v>2</v>
      </c>
      <c r="AE5735" t="s">
        <v>115</v>
      </c>
      <c r="AF5735">
        <v>0</v>
      </c>
      <c r="AG5735">
        <v>0</v>
      </c>
      <c r="AH5735" t="s">
        <v>116</v>
      </c>
      <c r="AI5735" s="1">
        <v>45219</v>
      </c>
      <c r="AJ5735" s="2">
        <v>0.12</v>
      </c>
      <c r="AK5735" s="1">
        <v>370950</v>
      </c>
      <c r="AL5735" t="s">
        <v>117</v>
      </c>
      <c r="AM5735" t="s">
        <v>171</v>
      </c>
      <c r="AN5735">
        <v>6241</v>
      </c>
      <c r="AO5735">
        <v>0.14000000000000001</v>
      </c>
      <c r="AP5735">
        <v>1</v>
      </c>
      <c r="AR5735">
        <v>1</v>
      </c>
      <c r="AS5735" s="1">
        <v>26750</v>
      </c>
      <c r="AT5735" s="1">
        <v>5350</v>
      </c>
      <c r="AU5735" s="1">
        <v>21400</v>
      </c>
      <c r="AV5735">
        <v>80</v>
      </c>
      <c r="AX5735" s="1">
        <v>2432.6</v>
      </c>
      <c r="AY5735" t="s">
        <v>928</v>
      </c>
      <c r="AZ5735" t="s">
        <v>929</v>
      </c>
      <c r="BA5735" t="s">
        <v>930</v>
      </c>
      <c r="BB5735" s="3">
        <v>42759</v>
      </c>
      <c r="BD5735" t="s">
        <v>240</v>
      </c>
      <c r="BE5735" s="3">
        <v>42118</v>
      </c>
      <c r="BF5735" s="1">
        <v>292000</v>
      </c>
      <c r="BG5735" t="s">
        <v>35157</v>
      </c>
      <c r="BH5735" s="1">
        <v>143.49</v>
      </c>
      <c r="BI5735" s="1">
        <v>325731</v>
      </c>
      <c r="BJ5735" s="3">
        <v>42979</v>
      </c>
      <c r="BK5735" t="s">
        <v>123</v>
      </c>
      <c r="BL5735" t="str">
        <f>"2017.652198"</f>
        <v>2017.652198</v>
      </c>
      <c r="BM5735" t="s">
        <v>35158</v>
      </c>
      <c r="BO5735" t="s">
        <v>35159</v>
      </c>
      <c r="BS5735">
        <v>30</v>
      </c>
      <c r="BW5735" t="str">
        <f>""</f>
        <v/>
      </c>
      <c r="CH5735" t="str">
        <f>""</f>
        <v/>
      </c>
      <c r="CS5735" t="str">
        <f>""</f>
        <v/>
      </c>
    </row>
    <row r="5736" spans="1:97" x14ac:dyDescent="0.25">
      <c r="A5736" t="s">
        <v>305</v>
      </c>
      <c r="B5736" t="s">
        <v>212</v>
      </c>
      <c r="C5736" t="s">
        <v>2019</v>
      </c>
      <c r="D5736" t="s">
        <v>212</v>
      </c>
      <c r="E5736" t="s">
        <v>35160</v>
      </c>
      <c r="F5736" t="s">
        <v>108</v>
      </c>
      <c r="H5736" t="s">
        <v>35161</v>
      </c>
      <c r="I5736" t="s">
        <v>390</v>
      </c>
      <c r="J5736" t="s">
        <v>111</v>
      </c>
      <c r="K5736" t="str">
        <f>"85044"</f>
        <v>85044</v>
      </c>
      <c r="L5736" t="s">
        <v>6438</v>
      </c>
      <c r="M5736" t="s">
        <v>35161</v>
      </c>
      <c r="N5736" t="s">
        <v>390</v>
      </c>
      <c r="O5736" t="s">
        <v>111</v>
      </c>
      <c r="P5736" t="str">
        <f>"85044-6018"</f>
        <v>85044-6018</v>
      </c>
      <c r="Q5736" t="s">
        <v>113</v>
      </c>
      <c r="R5736" t="str">
        <f>"307-04-870"</f>
        <v>307-04-870</v>
      </c>
      <c r="S5736" t="s">
        <v>29660</v>
      </c>
      <c r="T5736" t="s">
        <v>29660</v>
      </c>
      <c r="U5736">
        <v>1528</v>
      </c>
      <c r="V5736">
        <v>0</v>
      </c>
      <c r="W5736">
        <v>3</v>
      </c>
      <c r="X5736">
        <v>1994</v>
      </c>
      <c r="Z5736">
        <v>1</v>
      </c>
      <c r="AB5736">
        <v>0</v>
      </c>
      <c r="AC5736" t="s">
        <v>115</v>
      </c>
      <c r="AD5736">
        <v>2</v>
      </c>
      <c r="AE5736" t="s">
        <v>115</v>
      </c>
      <c r="AF5736">
        <v>0</v>
      </c>
      <c r="AG5736">
        <v>0</v>
      </c>
      <c r="AH5736" t="s">
        <v>116</v>
      </c>
      <c r="AI5736" s="1">
        <v>62152</v>
      </c>
      <c r="AJ5736" s="2">
        <v>0.2</v>
      </c>
      <c r="AK5736" s="1">
        <v>315237</v>
      </c>
      <c r="AL5736" t="s">
        <v>117</v>
      </c>
      <c r="AM5736" t="s">
        <v>191</v>
      </c>
      <c r="AN5736">
        <v>5070</v>
      </c>
      <c r="AO5736">
        <v>0.12</v>
      </c>
      <c r="AP5736">
        <v>1</v>
      </c>
      <c r="AR5736">
        <v>1</v>
      </c>
      <c r="AS5736" s="1">
        <v>21350</v>
      </c>
      <c r="AT5736" s="1">
        <v>4270</v>
      </c>
      <c r="AU5736" s="1">
        <v>17080</v>
      </c>
      <c r="AV5736">
        <v>80</v>
      </c>
      <c r="AX5736" s="1">
        <v>1994.58</v>
      </c>
      <c r="AY5736" t="s">
        <v>7418</v>
      </c>
      <c r="AZ5736" t="s">
        <v>7255</v>
      </c>
      <c r="BA5736" t="s">
        <v>5328</v>
      </c>
      <c r="BE5736" s="3">
        <v>42061</v>
      </c>
      <c r="BF5736" s="1">
        <v>245000</v>
      </c>
      <c r="BG5736" t="s">
        <v>35162</v>
      </c>
      <c r="BH5736" s="1">
        <v>160.34</v>
      </c>
      <c r="BI5736" s="1">
        <v>253085</v>
      </c>
      <c r="BJ5736" s="3">
        <v>42061</v>
      </c>
      <c r="BK5736" t="s">
        <v>123</v>
      </c>
      <c r="BL5736" t="str">
        <f>"2015.128986"</f>
        <v>2015.128986</v>
      </c>
      <c r="BM5736" t="s">
        <v>2683</v>
      </c>
      <c r="BO5736" t="s">
        <v>35163</v>
      </c>
      <c r="BS5736">
        <v>30</v>
      </c>
      <c r="BW5736" t="str">
        <f>""</f>
        <v/>
      </c>
      <c r="CH5736" t="str">
        <f>""</f>
        <v/>
      </c>
      <c r="CS5736" t="str">
        <f>""</f>
        <v/>
      </c>
    </row>
    <row r="5737" spans="1:97" x14ac:dyDescent="0.25">
      <c r="A5737" t="s">
        <v>35164</v>
      </c>
      <c r="B5737" t="s">
        <v>35165</v>
      </c>
      <c r="E5737" t="s">
        <v>35166</v>
      </c>
      <c r="F5737" t="s">
        <v>108</v>
      </c>
      <c r="H5737" t="s">
        <v>35167</v>
      </c>
      <c r="I5737" t="s">
        <v>632</v>
      </c>
      <c r="J5737" t="s">
        <v>111</v>
      </c>
      <c r="K5737" t="str">
        <f>"85379"</f>
        <v>85379</v>
      </c>
      <c r="L5737" t="s">
        <v>2820</v>
      </c>
      <c r="M5737" t="s">
        <v>35167</v>
      </c>
      <c r="N5737" t="s">
        <v>632</v>
      </c>
      <c r="O5737" t="s">
        <v>111</v>
      </c>
      <c r="P5737" t="str">
        <f>"85379-8432"</f>
        <v>85379-8432</v>
      </c>
      <c r="Q5737" t="s">
        <v>113</v>
      </c>
      <c r="R5737" t="str">
        <f>"509-16-261"</f>
        <v>509-16-261</v>
      </c>
      <c r="S5737" t="s">
        <v>5982</v>
      </c>
      <c r="U5737">
        <v>3073</v>
      </c>
      <c r="V5737">
        <v>0</v>
      </c>
      <c r="W5737">
        <v>4</v>
      </c>
      <c r="X5737">
        <v>2005</v>
      </c>
      <c r="Z5737">
        <v>2</v>
      </c>
      <c r="AB5737">
        <v>0</v>
      </c>
      <c r="AC5737" t="s">
        <v>115</v>
      </c>
      <c r="AD5737">
        <v>3</v>
      </c>
      <c r="AE5737" t="s">
        <v>115</v>
      </c>
      <c r="AF5737">
        <v>0</v>
      </c>
      <c r="AG5737">
        <v>0</v>
      </c>
      <c r="AH5737" t="s">
        <v>116</v>
      </c>
      <c r="AI5737" s="1">
        <v>75955</v>
      </c>
      <c r="AJ5737" s="2">
        <v>0.24</v>
      </c>
      <c r="AK5737" s="1">
        <v>310955</v>
      </c>
      <c r="AL5737" t="s">
        <v>117</v>
      </c>
      <c r="AM5737" t="s">
        <v>5516</v>
      </c>
      <c r="AN5737">
        <v>8050</v>
      </c>
      <c r="AO5737">
        <v>0.18</v>
      </c>
      <c r="AR5737">
        <v>1</v>
      </c>
      <c r="AS5737" s="1">
        <v>22550</v>
      </c>
      <c r="AT5737" s="1">
        <v>4510</v>
      </c>
      <c r="AU5737" s="1">
        <v>18040</v>
      </c>
      <c r="AV5737">
        <v>80</v>
      </c>
      <c r="AX5737" s="1">
        <v>1729.26</v>
      </c>
      <c r="AY5737" t="s">
        <v>5983</v>
      </c>
      <c r="AZ5737" t="s">
        <v>5983</v>
      </c>
      <c r="BA5737" t="s">
        <v>321</v>
      </c>
      <c r="BE5737" s="3">
        <v>42244</v>
      </c>
      <c r="BF5737" s="1">
        <v>235000</v>
      </c>
      <c r="BG5737" t="s">
        <v>35168</v>
      </c>
      <c r="BH5737" s="1">
        <v>76.47</v>
      </c>
      <c r="BI5737" s="1">
        <v>235000</v>
      </c>
      <c r="BJ5737" s="3">
        <v>42244</v>
      </c>
      <c r="BK5737" t="s">
        <v>123</v>
      </c>
      <c r="BL5737" t="str">
        <f>"2015.625676"</f>
        <v>2015.625676</v>
      </c>
      <c r="BM5737" t="s">
        <v>1185</v>
      </c>
      <c r="BO5737" t="s">
        <v>35169</v>
      </c>
      <c r="BS5737">
        <v>30</v>
      </c>
      <c r="BW5737" t="str">
        <f>""</f>
        <v/>
      </c>
      <c r="CH5737" t="str">
        <f>""</f>
        <v/>
      </c>
      <c r="CS5737" t="str">
        <f>""</f>
        <v/>
      </c>
    </row>
    <row r="5738" spans="1:97" x14ac:dyDescent="0.25">
      <c r="A5738" t="s">
        <v>2123</v>
      </c>
      <c r="B5738" t="s">
        <v>7086</v>
      </c>
      <c r="E5738" t="s">
        <v>35170</v>
      </c>
      <c r="F5738" t="s">
        <v>108</v>
      </c>
      <c r="H5738" t="s">
        <v>35171</v>
      </c>
      <c r="I5738" t="s">
        <v>390</v>
      </c>
      <c r="J5738" t="s">
        <v>111</v>
      </c>
      <c r="K5738" t="str">
        <f>"85083"</f>
        <v>85083</v>
      </c>
      <c r="L5738" t="s">
        <v>2820</v>
      </c>
      <c r="M5738" t="s">
        <v>35171</v>
      </c>
      <c r="N5738" t="s">
        <v>390</v>
      </c>
      <c r="O5738" t="s">
        <v>111</v>
      </c>
      <c r="P5738" t="str">
        <f>"85083-6573"</f>
        <v>85083-6573</v>
      </c>
      <c r="Q5738" t="s">
        <v>113</v>
      </c>
      <c r="R5738" t="str">
        <f>"201-07-370"</f>
        <v>201-07-370</v>
      </c>
      <c r="S5738" t="s">
        <v>25056</v>
      </c>
      <c r="T5738" t="s">
        <v>21721</v>
      </c>
      <c r="U5738">
        <v>3271</v>
      </c>
      <c r="V5738">
        <v>0</v>
      </c>
      <c r="W5738">
        <v>4</v>
      </c>
      <c r="X5738">
        <v>2002</v>
      </c>
      <c r="Z5738">
        <v>2</v>
      </c>
      <c r="AA5738" t="s">
        <v>26</v>
      </c>
      <c r="AB5738">
        <v>0</v>
      </c>
      <c r="AC5738" t="s">
        <v>115</v>
      </c>
      <c r="AD5738">
        <v>3</v>
      </c>
      <c r="AE5738" t="s">
        <v>115</v>
      </c>
      <c r="AF5738">
        <v>0</v>
      </c>
      <c r="AG5738">
        <v>0</v>
      </c>
      <c r="AH5738" t="s">
        <v>116</v>
      </c>
      <c r="AI5738" s="1">
        <v>63180</v>
      </c>
      <c r="AJ5738" s="2">
        <v>0.14000000000000001</v>
      </c>
      <c r="AK5738" s="1">
        <v>465016</v>
      </c>
      <c r="AL5738" t="s">
        <v>117</v>
      </c>
      <c r="AM5738" t="s">
        <v>1302</v>
      </c>
      <c r="AN5738">
        <v>9100</v>
      </c>
      <c r="AO5738">
        <v>0.21</v>
      </c>
      <c r="AP5738">
        <v>1</v>
      </c>
      <c r="AR5738">
        <v>1</v>
      </c>
      <c r="AS5738" s="1">
        <v>32810</v>
      </c>
      <c r="AT5738" s="1">
        <v>6560</v>
      </c>
      <c r="AU5738" s="1">
        <v>26250</v>
      </c>
      <c r="AV5738">
        <v>80.010000000000005</v>
      </c>
      <c r="AX5738" s="1">
        <v>3027.08</v>
      </c>
      <c r="AY5738" t="s">
        <v>3522</v>
      </c>
      <c r="AZ5738" t="s">
        <v>3522</v>
      </c>
      <c r="BA5738" t="s">
        <v>1386</v>
      </c>
      <c r="BE5738" s="3">
        <v>42473</v>
      </c>
      <c r="BF5738" s="1">
        <v>392000</v>
      </c>
      <c r="BG5738" t="s">
        <v>35172</v>
      </c>
      <c r="BH5738" s="1">
        <v>119.84</v>
      </c>
      <c r="BI5738" s="1">
        <v>401836</v>
      </c>
      <c r="BJ5738" s="3">
        <v>42473</v>
      </c>
      <c r="BK5738" t="s">
        <v>123</v>
      </c>
      <c r="BL5738" t="str">
        <f>"2016.243407"</f>
        <v>2016.243407</v>
      </c>
      <c r="BM5738" t="s">
        <v>1185</v>
      </c>
      <c r="BO5738" t="s">
        <v>35173</v>
      </c>
      <c r="BS5738">
        <v>30</v>
      </c>
      <c r="BW5738" t="str">
        <f>""</f>
        <v/>
      </c>
      <c r="CH5738" t="str">
        <f>""</f>
        <v/>
      </c>
      <c r="CS5738" t="str">
        <f>""</f>
        <v/>
      </c>
    </row>
    <row r="5739" spans="1:97" x14ac:dyDescent="0.25">
      <c r="A5739" t="s">
        <v>251</v>
      </c>
      <c r="B5739" t="s">
        <v>20457</v>
      </c>
      <c r="C5739" t="s">
        <v>35174</v>
      </c>
      <c r="D5739" t="s">
        <v>20457</v>
      </c>
      <c r="E5739" t="s">
        <v>35175</v>
      </c>
      <c r="F5739" t="s">
        <v>108</v>
      </c>
      <c r="H5739" t="s">
        <v>35176</v>
      </c>
      <c r="I5739" t="s">
        <v>225</v>
      </c>
      <c r="J5739" t="s">
        <v>111</v>
      </c>
      <c r="K5739" t="str">
        <f>"85212"</f>
        <v>85212</v>
      </c>
      <c r="L5739" t="s">
        <v>7619</v>
      </c>
      <c r="M5739" t="s">
        <v>35176</v>
      </c>
      <c r="N5739" t="s">
        <v>225</v>
      </c>
      <c r="O5739" t="s">
        <v>111</v>
      </c>
      <c r="P5739" t="str">
        <f>"85212-2536"</f>
        <v>85212-2536</v>
      </c>
      <c r="Q5739" t="s">
        <v>113</v>
      </c>
      <c r="R5739" t="str">
        <f>"304-34-572"</f>
        <v>304-34-572</v>
      </c>
      <c r="S5739" t="s">
        <v>7620</v>
      </c>
      <c r="T5739" t="s">
        <v>7621</v>
      </c>
      <c r="U5739">
        <v>3553</v>
      </c>
      <c r="V5739">
        <v>0</v>
      </c>
      <c r="W5739">
        <v>4</v>
      </c>
      <c r="X5739">
        <v>2008</v>
      </c>
      <c r="Z5739">
        <v>2</v>
      </c>
      <c r="AA5739" t="s">
        <v>26</v>
      </c>
      <c r="AB5739">
        <v>0</v>
      </c>
      <c r="AC5739" t="s">
        <v>115</v>
      </c>
      <c r="AD5739">
        <v>3</v>
      </c>
      <c r="AE5739" t="s">
        <v>115</v>
      </c>
      <c r="AF5739">
        <v>0</v>
      </c>
      <c r="AG5739">
        <v>0</v>
      </c>
      <c r="AH5739" t="s">
        <v>116</v>
      </c>
      <c r="AI5739" s="1">
        <v>91439</v>
      </c>
      <c r="AJ5739" s="2">
        <v>0.2</v>
      </c>
      <c r="AK5739" s="1">
        <v>466329</v>
      </c>
      <c r="AL5739" t="s">
        <v>117</v>
      </c>
      <c r="AM5739" t="s">
        <v>393</v>
      </c>
      <c r="AN5739">
        <v>9511</v>
      </c>
      <c r="AO5739">
        <v>0.22</v>
      </c>
      <c r="AR5739">
        <v>1</v>
      </c>
      <c r="AS5739" s="1">
        <v>30580</v>
      </c>
      <c r="AT5739" s="1">
        <v>6110</v>
      </c>
      <c r="AU5739" s="1">
        <v>24470</v>
      </c>
      <c r="AV5739">
        <v>80.02</v>
      </c>
      <c r="AX5739" s="1">
        <v>2734.9</v>
      </c>
      <c r="AY5739" t="s">
        <v>776</v>
      </c>
      <c r="AZ5739" t="s">
        <v>777</v>
      </c>
      <c r="BA5739" t="s">
        <v>572</v>
      </c>
      <c r="BE5739" s="3">
        <v>42114</v>
      </c>
      <c r="BF5739" s="1">
        <v>367000</v>
      </c>
      <c r="BG5739" t="s">
        <v>35177</v>
      </c>
      <c r="BH5739" s="1">
        <v>103.29</v>
      </c>
      <c r="BI5739" s="1">
        <v>374890</v>
      </c>
      <c r="BJ5739" s="3">
        <v>42114</v>
      </c>
      <c r="BK5739" t="s">
        <v>123</v>
      </c>
      <c r="BL5739" t="str">
        <f>"2015.270812"</f>
        <v>2015.270812</v>
      </c>
      <c r="BM5739" t="s">
        <v>135</v>
      </c>
      <c r="BO5739" t="s">
        <v>35178</v>
      </c>
      <c r="BS5739">
        <v>30</v>
      </c>
      <c r="BW5739" t="str">
        <f>""</f>
        <v/>
      </c>
      <c r="CH5739" t="str">
        <f>""</f>
        <v/>
      </c>
      <c r="CS5739" t="str">
        <f>""</f>
        <v/>
      </c>
    </row>
    <row r="5740" spans="1:97" x14ac:dyDescent="0.25">
      <c r="A5740" t="s">
        <v>4491</v>
      </c>
      <c r="B5740" t="s">
        <v>10275</v>
      </c>
      <c r="E5740" t="s">
        <v>35179</v>
      </c>
      <c r="F5740" t="s">
        <v>108</v>
      </c>
      <c r="H5740" t="s">
        <v>35180</v>
      </c>
      <c r="I5740" t="s">
        <v>453</v>
      </c>
      <c r="J5740" t="s">
        <v>111</v>
      </c>
      <c r="K5740" t="str">
        <f>"85383"</f>
        <v>85383</v>
      </c>
      <c r="L5740" t="s">
        <v>454</v>
      </c>
      <c r="M5740" t="s">
        <v>35180</v>
      </c>
      <c r="N5740" t="s">
        <v>453</v>
      </c>
      <c r="O5740" t="s">
        <v>111</v>
      </c>
      <c r="P5740" t="str">
        <f>"85383-7957"</f>
        <v>85383-7957</v>
      </c>
      <c r="Q5740" t="s">
        <v>113</v>
      </c>
      <c r="R5740" t="str">
        <f>"503-80-718"</f>
        <v>503-80-718</v>
      </c>
      <c r="S5740" t="s">
        <v>2297</v>
      </c>
      <c r="U5740">
        <v>3505</v>
      </c>
      <c r="V5740">
        <v>0</v>
      </c>
      <c r="W5740">
        <v>5</v>
      </c>
      <c r="X5740">
        <v>2015</v>
      </c>
      <c r="Z5740">
        <v>2</v>
      </c>
      <c r="AA5740" t="s">
        <v>26</v>
      </c>
      <c r="AB5740">
        <v>0</v>
      </c>
      <c r="AC5740" t="s">
        <v>115</v>
      </c>
      <c r="AD5740">
        <v>3</v>
      </c>
      <c r="AE5740" t="s">
        <v>115</v>
      </c>
      <c r="AF5740">
        <v>0</v>
      </c>
      <c r="AG5740">
        <v>0</v>
      </c>
      <c r="AH5740" t="s">
        <v>116</v>
      </c>
      <c r="AI5740" s="1">
        <v>93393</v>
      </c>
      <c r="AJ5740" s="2">
        <v>0.19</v>
      </c>
      <c r="AK5740" s="1">
        <v>497493</v>
      </c>
      <c r="AL5740" t="s">
        <v>117</v>
      </c>
      <c r="AM5740" t="s">
        <v>118</v>
      </c>
      <c r="AN5740">
        <v>11663</v>
      </c>
      <c r="AO5740">
        <v>0.27</v>
      </c>
      <c r="AR5740">
        <v>1</v>
      </c>
      <c r="AS5740" s="1">
        <v>36450</v>
      </c>
      <c r="AT5740" s="1">
        <v>7290</v>
      </c>
      <c r="AU5740" s="1">
        <v>29160</v>
      </c>
      <c r="AV5740">
        <v>80</v>
      </c>
      <c r="AX5740" s="1">
        <v>3787.12</v>
      </c>
      <c r="AY5740" t="s">
        <v>456</v>
      </c>
      <c r="AZ5740" t="s">
        <v>456</v>
      </c>
      <c r="BA5740" t="s">
        <v>457</v>
      </c>
      <c r="BE5740" s="3">
        <v>42165</v>
      </c>
      <c r="BF5740" s="1">
        <v>393568</v>
      </c>
      <c r="BG5740" t="s">
        <v>636</v>
      </c>
      <c r="BH5740" s="1">
        <v>112.29</v>
      </c>
      <c r="BI5740" s="1">
        <v>404100</v>
      </c>
      <c r="BJ5740" s="3">
        <v>42599</v>
      </c>
      <c r="BK5740" t="s">
        <v>123</v>
      </c>
      <c r="BL5740" t="str">
        <f>"2016.587355"</f>
        <v>2016.587355</v>
      </c>
      <c r="BM5740" t="s">
        <v>248</v>
      </c>
      <c r="BO5740" t="s">
        <v>35181</v>
      </c>
      <c r="BS5740">
        <v>30</v>
      </c>
      <c r="BW5740" t="str">
        <f>""</f>
        <v/>
      </c>
      <c r="CH5740" t="str">
        <f>""</f>
        <v/>
      </c>
      <c r="CS5740" t="str">
        <f>""</f>
        <v/>
      </c>
    </row>
    <row r="5741" spans="1:97" x14ac:dyDescent="0.25">
      <c r="A5741" t="s">
        <v>996</v>
      </c>
      <c r="B5741" t="s">
        <v>4306</v>
      </c>
      <c r="C5741" t="s">
        <v>933</v>
      </c>
      <c r="D5741" t="s">
        <v>4306</v>
      </c>
      <c r="E5741" t="s">
        <v>35182</v>
      </c>
      <c r="F5741" t="s">
        <v>108</v>
      </c>
      <c r="H5741" t="s">
        <v>35183</v>
      </c>
      <c r="I5741" t="s">
        <v>453</v>
      </c>
      <c r="J5741" t="s">
        <v>111</v>
      </c>
      <c r="K5741" t="str">
        <f>"85383"</f>
        <v>85383</v>
      </c>
      <c r="L5741" t="s">
        <v>5893</v>
      </c>
      <c r="M5741" t="s">
        <v>35183</v>
      </c>
      <c r="N5741" t="s">
        <v>453</v>
      </c>
      <c r="O5741" t="s">
        <v>111</v>
      </c>
      <c r="P5741" t="str">
        <f>"85383-5035"</f>
        <v>85383-5035</v>
      </c>
      <c r="Q5741" t="s">
        <v>113</v>
      </c>
      <c r="R5741" t="str">
        <f>"510-03-701"</f>
        <v>510-03-701</v>
      </c>
      <c r="S5741" t="s">
        <v>34517</v>
      </c>
      <c r="T5741" t="s">
        <v>34518</v>
      </c>
      <c r="U5741">
        <v>3177</v>
      </c>
      <c r="V5741">
        <v>0</v>
      </c>
      <c r="W5741">
        <v>4</v>
      </c>
      <c r="X5741">
        <v>2007</v>
      </c>
      <c r="Z5741">
        <v>1</v>
      </c>
      <c r="AA5741" t="s">
        <v>26</v>
      </c>
      <c r="AB5741">
        <v>0</v>
      </c>
      <c r="AC5741" t="s">
        <v>115</v>
      </c>
      <c r="AD5741">
        <v>3</v>
      </c>
      <c r="AE5741" t="s">
        <v>115</v>
      </c>
      <c r="AF5741">
        <v>0</v>
      </c>
      <c r="AG5741">
        <v>0</v>
      </c>
      <c r="AH5741" t="s">
        <v>116</v>
      </c>
      <c r="AI5741" s="1">
        <v>159427</v>
      </c>
      <c r="AJ5741" s="2">
        <v>0.31</v>
      </c>
      <c r="AK5741" s="1">
        <v>513127</v>
      </c>
      <c r="AL5741" t="s">
        <v>117</v>
      </c>
      <c r="AM5741" t="s">
        <v>118</v>
      </c>
      <c r="AN5741">
        <v>10800</v>
      </c>
      <c r="AO5741">
        <v>0.25</v>
      </c>
      <c r="AR5741">
        <v>1</v>
      </c>
      <c r="AS5741" s="1">
        <v>40850</v>
      </c>
      <c r="AT5741" s="1">
        <v>8170</v>
      </c>
      <c r="AU5741" s="1">
        <v>32680</v>
      </c>
      <c r="AV5741">
        <v>80</v>
      </c>
      <c r="AX5741" s="1">
        <v>4567.3999999999996</v>
      </c>
      <c r="AY5741" t="s">
        <v>627</v>
      </c>
      <c r="AZ5741" t="s">
        <v>627</v>
      </c>
      <c r="BA5741" t="s">
        <v>457</v>
      </c>
      <c r="BE5741" s="3">
        <v>42278</v>
      </c>
      <c r="BF5741" s="1">
        <v>530000</v>
      </c>
      <c r="BG5741" t="s">
        <v>35184</v>
      </c>
      <c r="BH5741" s="1">
        <v>166.82</v>
      </c>
      <c r="BI5741" s="1">
        <v>353700</v>
      </c>
      <c r="BJ5741" s="3">
        <v>42674</v>
      </c>
      <c r="BK5741" t="s">
        <v>123</v>
      </c>
      <c r="BL5741" t="str">
        <f>"2016.796693"</f>
        <v>2016.796693</v>
      </c>
      <c r="BM5741" t="s">
        <v>25526</v>
      </c>
      <c r="BO5741" t="s">
        <v>35185</v>
      </c>
      <c r="BS5741">
        <v>15</v>
      </c>
      <c r="BW5741" t="str">
        <f>""</f>
        <v/>
      </c>
      <c r="CH5741" t="str">
        <f>""</f>
        <v/>
      </c>
      <c r="CS5741" t="str">
        <f>""</f>
        <v/>
      </c>
    </row>
    <row r="5742" spans="1:97" x14ac:dyDescent="0.25">
      <c r="A5742" t="s">
        <v>1444</v>
      </c>
      <c r="B5742" t="s">
        <v>1296</v>
      </c>
      <c r="C5742" t="s">
        <v>1162</v>
      </c>
      <c r="D5742" t="s">
        <v>1296</v>
      </c>
      <c r="E5742" t="s">
        <v>35186</v>
      </c>
      <c r="F5742" t="s">
        <v>108</v>
      </c>
      <c r="H5742" t="s">
        <v>35187</v>
      </c>
      <c r="I5742" t="s">
        <v>225</v>
      </c>
      <c r="J5742" t="s">
        <v>111</v>
      </c>
      <c r="K5742" t="str">
        <f>"85205"</f>
        <v>85205</v>
      </c>
      <c r="L5742" t="s">
        <v>5218</v>
      </c>
      <c r="M5742" t="s">
        <v>35187</v>
      </c>
      <c r="N5742" t="s">
        <v>225</v>
      </c>
      <c r="O5742" t="s">
        <v>111</v>
      </c>
      <c r="P5742" t="str">
        <f>"85205-6323"</f>
        <v>85205-6323</v>
      </c>
      <c r="Q5742" t="s">
        <v>113</v>
      </c>
      <c r="R5742" t="str">
        <f>"140-15-312"</f>
        <v>140-15-312</v>
      </c>
      <c r="S5742" t="s">
        <v>8914</v>
      </c>
      <c r="T5742" t="s">
        <v>8914</v>
      </c>
      <c r="U5742">
        <v>3799</v>
      </c>
      <c r="V5742">
        <v>0</v>
      </c>
      <c r="W5742">
        <v>4</v>
      </c>
      <c r="X5742">
        <v>1999</v>
      </c>
      <c r="Z5742">
        <v>2</v>
      </c>
      <c r="AA5742" t="s">
        <v>26</v>
      </c>
      <c r="AB5742">
        <v>0</v>
      </c>
      <c r="AC5742" t="s">
        <v>115</v>
      </c>
      <c r="AD5742">
        <v>3</v>
      </c>
      <c r="AE5742" t="s">
        <v>115</v>
      </c>
      <c r="AF5742">
        <v>0</v>
      </c>
      <c r="AG5742">
        <v>0</v>
      </c>
      <c r="AH5742" t="s">
        <v>116</v>
      </c>
      <c r="AI5742" s="1">
        <v>43395</v>
      </c>
      <c r="AJ5742" s="2">
        <v>0.08</v>
      </c>
      <c r="AK5742" s="1">
        <v>548041</v>
      </c>
      <c r="AL5742" t="s">
        <v>117</v>
      </c>
      <c r="AM5742" t="s">
        <v>1521</v>
      </c>
      <c r="AN5742">
        <v>16818</v>
      </c>
      <c r="AO5742">
        <v>0.39</v>
      </c>
      <c r="AP5742">
        <v>1</v>
      </c>
      <c r="AR5742">
        <v>1</v>
      </c>
      <c r="AS5742" s="1">
        <v>39800</v>
      </c>
      <c r="AT5742" s="1">
        <v>7960</v>
      </c>
      <c r="AU5742" s="1">
        <v>31840</v>
      </c>
      <c r="AV5742">
        <v>80</v>
      </c>
      <c r="AX5742" s="1">
        <v>3523.92</v>
      </c>
      <c r="AY5742" t="s">
        <v>7054</v>
      </c>
      <c r="AZ5742" t="s">
        <v>5275</v>
      </c>
      <c r="BA5742" t="s">
        <v>3119</v>
      </c>
      <c r="BE5742" s="3">
        <v>42338</v>
      </c>
      <c r="BF5742" s="1">
        <v>461000</v>
      </c>
      <c r="BG5742" t="s">
        <v>35188</v>
      </c>
      <c r="BH5742" s="1">
        <v>121.35</v>
      </c>
      <c r="BI5742" s="1">
        <v>504646</v>
      </c>
      <c r="BJ5742" s="3">
        <v>43068</v>
      </c>
      <c r="BK5742" t="s">
        <v>123</v>
      </c>
      <c r="BL5742" t="str">
        <f>"2017.884866"</f>
        <v>2017.884866</v>
      </c>
      <c r="BM5742" t="s">
        <v>24498</v>
      </c>
      <c r="BO5742" t="s">
        <v>35189</v>
      </c>
      <c r="BS5742">
        <v>30</v>
      </c>
      <c r="BW5742" t="str">
        <f>""</f>
        <v/>
      </c>
      <c r="CH5742" t="str">
        <f>""</f>
        <v/>
      </c>
      <c r="CS5742" t="str">
        <f>""</f>
        <v/>
      </c>
    </row>
    <row r="5743" spans="1:97" x14ac:dyDescent="0.25">
      <c r="A5743" t="s">
        <v>177</v>
      </c>
      <c r="B5743" t="s">
        <v>35190</v>
      </c>
      <c r="C5743" t="s">
        <v>2640</v>
      </c>
      <c r="D5743" t="s">
        <v>35190</v>
      </c>
      <c r="E5743" t="s">
        <v>35191</v>
      </c>
      <c r="F5743" t="s">
        <v>108</v>
      </c>
      <c r="H5743" t="s">
        <v>35192</v>
      </c>
      <c r="I5743" t="s">
        <v>203</v>
      </c>
      <c r="J5743" t="s">
        <v>111</v>
      </c>
      <c r="K5743" t="str">
        <f>"85298"</f>
        <v>85298</v>
      </c>
      <c r="L5743" t="s">
        <v>3645</v>
      </c>
      <c r="M5743" t="s">
        <v>35192</v>
      </c>
      <c r="N5743" t="s">
        <v>203</v>
      </c>
      <c r="O5743" t="s">
        <v>111</v>
      </c>
      <c r="P5743" t="str">
        <f>"85298-7322"</f>
        <v>85298-7322</v>
      </c>
      <c r="Q5743" t="s">
        <v>113</v>
      </c>
      <c r="R5743" t="str">
        <f>"304-72-634"</f>
        <v>304-72-634</v>
      </c>
      <c r="S5743" t="s">
        <v>25916</v>
      </c>
      <c r="T5743" t="s">
        <v>25916</v>
      </c>
      <c r="U5743">
        <v>3050</v>
      </c>
      <c r="V5743">
        <v>0</v>
      </c>
      <c r="W5743">
        <v>4</v>
      </c>
      <c r="X5743">
        <v>2006</v>
      </c>
      <c r="Z5743">
        <v>2</v>
      </c>
      <c r="AB5743">
        <v>0</v>
      </c>
      <c r="AC5743" t="s">
        <v>115</v>
      </c>
      <c r="AD5743">
        <v>2</v>
      </c>
      <c r="AE5743" t="s">
        <v>115</v>
      </c>
      <c r="AF5743">
        <v>0</v>
      </c>
      <c r="AG5743">
        <v>0</v>
      </c>
      <c r="AH5743" t="s">
        <v>116</v>
      </c>
      <c r="AI5743" s="1">
        <v>36913</v>
      </c>
      <c r="AJ5743" s="2">
        <v>0.09</v>
      </c>
      <c r="AK5743" s="1">
        <v>411363</v>
      </c>
      <c r="AL5743" t="s">
        <v>117</v>
      </c>
      <c r="AM5743" t="s">
        <v>191</v>
      </c>
      <c r="AN5743">
        <v>10229</v>
      </c>
      <c r="AO5743">
        <v>0.24</v>
      </c>
      <c r="AR5743">
        <v>1</v>
      </c>
      <c r="AS5743" s="1">
        <v>29030</v>
      </c>
      <c r="AT5743" s="1">
        <v>5800</v>
      </c>
      <c r="AU5743" s="1">
        <v>23230</v>
      </c>
      <c r="AV5743">
        <v>80.02</v>
      </c>
      <c r="AX5743" s="1">
        <v>2827.52</v>
      </c>
      <c r="AY5743" t="s">
        <v>737</v>
      </c>
      <c r="AZ5743" t="s">
        <v>273</v>
      </c>
      <c r="BA5743" t="s">
        <v>303</v>
      </c>
      <c r="BB5743" s="3">
        <v>42247</v>
      </c>
      <c r="BD5743" t="s">
        <v>240</v>
      </c>
      <c r="BE5743" s="3">
        <v>42247</v>
      </c>
      <c r="BF5743" s="1">
        <v>330000</v>
      </c>
      <c r="BG5743" t="s">
        <v>35193</v>
      </c>
      <c r="BH5743" s="1">
        <v>108.2</v>
      </c>
      <c r="BI5743" s="1">
        <v>374450</v>
      </c>
      <c r="BJ5743" s="3">
        <v>43244</v>
      </c>
      <c r="BK5743" t="s">
        <v>123</v>
      </c>
      <c r="BL5743" t="str">
        <f>"2018.399501"</f>
        <v>2018.399501</v>
      </c>
      <c r="BM5743" t="s">
        <v>35194</v>
      </c>
      <c r="BN5743" t="s">
        <v>35195</v>
      </c>
      <c r="BO5743" t="s">
        <v>35196</v>
      </c>
      <c r="BP5743" t="s">
        <v>35197</v>
      </c>
      <c r="BR5743" t="s">
        <v>139</v>
      </c>
      <c r="BW5743" t="str">
        <f>""</f>
        <v/>
      </c>
      <c r="CH5743" t="str">
        <f>""</f>
        <v/>
      </c>
      <c r="CS5743" t="str">
        <f>""</f>
        <v/>
      </c>
    </row>
    <row r="5744" spans="1:97" x14ac:dyDescent="0.25">
      <c r="A5744" t="s">
        <v>9984</v>
      </c>
      <c r="B5744" t="s">
        <v>35198</v>
      </c>
      <c r="E5744" t="s">
        <v>35199</v>
      </c>
      <c r="F5744" t="s">
        <v>108</v>
      </c>
      <c r="H5744" t="s">
        <v>35200</v>
      </c>
      <c r="I5744" t="s">
        <v>632</v>
      </c>
      <c r="J5744" t="s">
        <v>111</v>
      </c>
      <c r="K5744" t="str">
        <f>"85379"</f>
        <v>85379</v>
      </c>
      <c r="L5744" t="s">
        <v>1244</v>
      </c>
      <c r="M5744" t="s">
        <v>35200</v>
      </c>
      <c r="N5744" t="s">
        <v>632</v>
      </c>
      <c r="O5744" t="s">
        <v>111</v>
      </c>
      <c r="P5744" t="str">
        <f>"85379-7019"</f>
        <v>85379-7019</v>
      </c>
      <c r="Q5744" t="s">
        <v>113</v>
      </c>
      <c r="R5744" t="str">
        <f>"501-95-005"</f>
        <v>501-95-005</v>
      </c>
      <c r="S5744" t="s">
        <v>18447</v>
      </c>
      <c r="U5744">
        <v>2465</v>
      </c>
      <c r="V5744">
        <v>0</v>
      </c>
      <c r="W5744">
        <v>4</v>
      </c>
      <c r="X5744">
        <v>2002</v>
      </c>
      <c r="Z5744">
        <v>2</v>
      </c>
      <c r="AB5744">
        <v>0</v>
      </c>
      <c r="AC5744" t="s">
        <v>115</v>
      </c>
      <c r="AD5744">
        <v>3</v>
      </c>
      <c r="AE5744" t="s">
        <v>115</v>
      </c>
      <c r="AF5744">
        <v>0</v>
      </c>
      <c r="AG5744">
        <v>0</v>
      </c>
      <c r="AH5744" t="s">
        <v>116</v>
      </c>
      <c r="AI5744" s="1">
        <v>46594</v>
      </c>
      <c r="AJ5744" s="2">
        <v>0.16</v>
      </c>
      <c r="AK5744" s="1">
        <v>290594</v>
      </c>
      <c r="AL5744" t="s">
        <v>117</v>
      </c>
      <c r="AM5744" t="s">
        <v>118</v>
      </c>
      <c r="AN5744">
        <v>5830</v>
      </c>
      <c r="AO5744">
        <v>0.13</v>
      </c>
      <c r="AP5744">
        <v>1</v>
      </c>
      <c r="AR5744">
        <v>1</v>
      </c>
      <c r="AS5744" s="1">
        <v>20430</v>
      </c>
      <c r="AT5744" s="1">
        <v>4080</v>
      </c>
      <c r="AU5744" s="1">
        <v>16350</v>
      </c>
      <c r="AV5744">
        <v>80.03</v>
      </c>
      <c r="AX5744" s="1">
        <v>1417.58</v>
      </c>
      <c r="AY5744" t="s">
        <v>6615</v>
      </c>
      <c r="AZ5744" t="s">
        <v>6615</v>
      </c>
      <c r="BA5744" t="s">
        <v>321</v>
      </c>
      <c r="BE5744" s="3">
        <v>42109</v>
      </c>
      <c r="BF5744" s="1">
        <v>213000</v>
      </c>
      <c r="BG5744" t="s">
        <v>35201</v>
      </c>
      <c r="BH5744" s="1">
        <v>86.41</v>
      </c>
      <c r="BI5744" s="1">
        <v>244000</v>
      </c>
      <c r="BJ5744" s="3">
        <v>42832</v>
      </c>
      <c r="BK5744" t="s">
        <v>123</v>
      </c>
      <c r="BL5744" t="str">
        <f>"2017.248420"</f>
        <v>2017.248420</v>
      </c>
      <c r="BM5744" t="s">
        <v>35202</v>
      </c>
      <c r="BO5744" t="s">
        <v>35203</v>
      </c>
      <c r="BS5744">
        <v>30</v>
      </c>
      <c r="BW5744" t="str">
        <f>""</f>
        <v/>
      </c>
      <c r="CH5744" t="str">
        <f>""</f>
        <v/>
      </c>
      <c r="CS5744" t="str">
        <f>""</f>
        <v/>
      </c>
    </row>
    <row r="5745" spans="1:97" x14ac:dyDescent="0.25">
      <c r="A5745" t="s">
        <v>7602</v>
      </c>
      <c r="B5745" t="s">
        <v>1577</v>
      </c>
      <c r="C5745" t="s">
        <v>2761</v>
      </c>
      <c r="D5745" t="s">
        <v>1577</v>
      </c>
      <c r="E5745" t="s">
        <v>35204</v>
      </c>
      <c r="F5745" t="s">
        <v>108</v>
      </c>
      <c r="H5745" t="s">
        <v>35205</v>
      </c>
      <c r="I5745" t="s">
        <v>390</v>
      </c>
      <c r="J5745" t="s">
        <v>111</v>
      </c>
      <c r="K5745" t="str">
        <f>"85042"</f>
        <v>85042</v>
      </c>
      <c r="L5745" t="s">
        <v>26758</v>
      </c>
      <c r="M5745" t="s">
        <v>35205</v>
      </c>
      <c r="N5745" t="s">
        <v>390</v>
      </c>
      <c r="O5745" t="s">
        <v>111</v>
      </c>
      <c r="P5745" t="str">
        <f>"85042-5218"</f>
        <v>85042-5218</v>
      </c>
      <c r="Q5745" t="s">
        <v>113</v>
      </c>
      <c r="R5745" t="str">
        <f>"123-18-454"</f>
        <v>123-18-454</v>
      </c>
      <c r="S5745" t="s">
        <v>35206</v>
      </c>
      <c r="T5745" t="s">
        <v>35207</v>
      </c>
      <c r="U5745">
        <v>1598</v>
      </c>
      <c r="V5745">
        <v>0</v>
      </c>
      <c r="W5745">
        <v>2</v>
      </c>
      <c r="X5745">
        <v>1975</v>
      </c>
      <c r="Z5745">
        <v>1</v>
      </c>
      <c r="AA5745" t="s">
        <v>26</v>
      </c>
      <c r="AB5745">
        <v>0</v>
      </c>
      <c r="AC5745" t="s">
        <v>5188</v>
      </c>
      <c r="AD5745">
        <v>2</v>
      </c>
      <c r="AE5745" t="s">
        <v>5188</v>
      </c>
      <c r="AF5745">
        <v>0</v>
      </c>
      <c r="AG5745">
        <v>0</v>
      </c>
      <c r="AH5745" t="s">
        <v>116</v>
      </c>
      <c r="AI5745" s="1">
        <v>31588</v>
      </c>
      <c r="AJ5745" s="2">
        <v>0.12</v>
      </c>
      <c r="AK5745" s="1">
        <v>252817</v>
      </c>
      <c r="AL5745" t="s">
        <v>117</v>
      </c>
      <c r="AM5745" t="s">
        <v>191</v>
      </c>
      <c r="AN5745">
        <v>7061</v>
      </c>
      <c r="AO5745">
        <v>0.16</v>
      </c>
      <c r="AP5745">
        <v>1</v>
      </c>
      <c r="AR5745">
        <v>1</v>
      </c>
      <c r="AS5745" s="1">
        <v>14820</v>
      </c>
      <c r="AT5745" s="1">
        <v>2960</v>
      </c>
      <c r="AU5745" s="1">
        <v>11860</v>
      </c>
      <c r="AV5745">
        <v>80.03</v>
      </c>
      <c r="AX5745" s="1">
        <v>725.76</v>
      </c>
      <c r="AY5745" t="s">
        <v>35208</v>
      </c>
      <c r="AZ5745" t="s">
        <v>9518</v>
      </c>
      <c r="BA5745" t="s">
        <v>9519</v>
      </c>
      <c r="BE5745" s="3">
        <v>42471</v>
      </c>
      <c r="BF5745" s="1">
        <v>219000</v>
      </c>
      <c r="BG5745" t="s">
        <v>9927</v>
      </c>
      <c r="BH5745" s="1">
        <v>137.05000000000001</v>
      </c>
      <c r="BI5745" s="1">
        <v>221229</v>
      </c>
      <c r="BJ5745" s="3">
        <v>42649</v>
      </c>
      <c r="BK5745" t="s">
        <v>123</v>
      </c>
      <c r="BL5745" t="str">
        <f>"2016.732429"</f>
        <v>2016.732429</v>
      </c>
      <c r="BM5745" t="s">
        <v>402</v>
      </c>
      <c r="BO5745" t="s">
        <v>35209</v>
      </c>
      <c r="BS5745">
        <v>30</v>
      </c>
      <c r="BW5745" t="str">
        <f>""</f>
        <v/>
      </c>
      <c r="CH5745" t="str">
        <f>""</f>
        <v/>
      </c>
      <c r="CS5745" t="str">
        <f>""</f>
        <v/>
      </c>
    </row>
    <row r="5746" spans="1:97" x14ac:dyDescent="0.25">
      <c r="A5746" t="s">
        <v>35210</v>
      </c>
      <c r="B5746" t="s">
        <v>2408</v>
      </c>
      <c r="C5746" t="s">
        <v>3844</v>
      </c>
      <c r="D5746" t="s">
        <v>2408</v>
      </c>
      <c r="E5746" t="s">
        <v>35211</v>
      </c>
      <c r="F5746" t="s">
        <v>108</v>
      </c>
      <c r="H5746" t="s">
        <v>35212</v>
      </c>
      <c r="I5746" t="s">
        <v>2874</v>
      </c>
      <c r="J5746" t="s">
        <v>111</v>
      </c>
      <c r="K5746" t="str">
        <f>"85310"</f>
        <v>85310</v>
      </c>
      <c r="L5746" t="s">
        <v>5775</v>
      </c>
      <c r="M5746" t="s">
        <v>35212</v>
      </c>
      <c r="N5746" t="s">
        <v>2874</v>
      </c>
      <c r="O5746" t="s">
        <v>111</v>
      </c>
      <c r="P5746" t="str">
        <f>"85310-5614"</f>
        <v>85310-5614</v>
      </c>
      <c r="Q5746" t="s">
        <v>113</v>
      </c>
      <c r="R5746" t="str">
        <f>"200-06-415"</f>
        <v>200-06-415</v>
      </c>
      <c r="S5746" t="s">
        <v>33051</v>
      </c>
      <c r="T5746" t="s">
        <v>33052</v>
      </c>
      <c r="U5746">
        <v>1833</v>
      </c>
      <c r="V5746">
        <v>0</v>
      </c>
      <c r="W5746">
        <v>3</v>
      </c>
      <c r="X5746">
        <v>1994</v>
      </c>
      <c r="Z5746">
        <v>1</v>
      </c>
      <c r="AB5746">
        <v>0</v>
      </c>
      <c r="AC5746" t="s">
        <v>115</v>
      </c>
      <c r="AD5746">
        <v>2</v>
      </c>
      <c r="AE5746" t="s">
        <v>115</v>
      </c>
      <c r="AF5746">
        <v>0</v>
      </c>
      <c r="AG5746">
        <v>0</v>
      </c>
      <c r="AH5746" t="s">
        <v>116</v>
      </c>
      <c r="AI5746" s="1">
        <v>57023</v>
      </c>
      <c r="AJ5746" s="2">
        <v>0.18</v>
      </c>
      <c r="AK5746" s="1">
        <v>324570</v>
      </c>
      <c r="AL5746" t="s">
        <v>117</v>
      </c>
      <c r="AM5746" t="s">
        <v>118</v>
      </c>
      <c r="AN5746">
        <v>7800</v>
      </c>
      <c r="AO5746">
        <v>0.18</v>
      </c>
      <c r="AP5746">
        <v>1</v>
      </c>
      <c r="AR5746">
        <v>1</v>
      </c>
      <c r="AS5746" s="1">
        <v>22580</v>
      </c>
      <c r="AT5746" s="1">
        <v>4510</v>
      </c>
      <c r="AU5746" s="1">
        <v>18070</v>
      </c>
      <c r="AV5746">
        <v>80.03</v>
      </c>
      <c r="AX5746" s="1">
        <v>1905.92</v>
      </c>
      <c r="AY5746" t="s">
        <v>3048</v>
      </c>
      <c r="AZ5746" t="s">
        <v>3049</v>
      </c>
      <c r="BA5746" t="s">
        <v>2223</v>
      </c>
      <c r="BE5746" s="3">
        <v>42321</v>
      </c>
      <c r="BF5746" s="1">
        <v>259000</v>
      </c>
      <c r="BG5746" t="s">
        <v>35213</v>
      </c>
      <c r="BH5746" s="1">
        <v>141.30000000000001</v>
      </c>
      <c r="BI5746" s="1">
        <v>267547</v>
      </c>
      <c r="BJ5746" s="3">
        <v>42321</v>
      </c>
      <c r="BK5746" t="s">
        <v>123</v>
      </c>
      <c r="BL5746" t="str">
        <f>"2015.814112"</f>
        <v>2015.814112</v>
      </c>
      <c r="BM5746" t="s">
        <v>1287</v>
      </c>
      <c r="BO5746" t="s">
        <v>35214</v>
      </c>
      <c r="BS5746">
        <v>30</v>
      </c>
      <c r="BW5746" t="str">
        <f>""</f>
        <v/>
      </c>
      <c r="CH5746" t="str">
        <f>""</f>
        <v/>
      </c>
      <c r="CS5746" t="str">
        <f>""</f>
        <v/>
      </c>
    </row>
    <row r="5747" spans="1:97" x14ac:dyDescent="0.25">
      <c r="A5747" t="s">
        <v>1514</v>
      </c>
      <c r="B5747" t="s">
        <v>35215</v>
      </c>
      <c r="C5747" t="s">
        <v>9803</v>
      </c>
      <c r="D5747" t="s">
        <v>35215</v>
      </c>
      <c r="E5747" t="s">
        <v>35216</v>
      </c>
      <c r="F5747" t="s">
        <v>108</v>
      </c>
      <c r="H5747" t="s">
        <v>35217</v>
      </c>
      <c r="I5747" t="s">
        <v>167</v>
      </c>
      <c r="J5747" t="s">
        <v>111</v>
      </c>
      <c r="K5747" t="str">
        <f>"85339"</f>
        <v>85339</v>
      </c>
      <c r="L5747" t="s">
        <v>316</v>
      </c>
      <c r="M5747" t="s">
        <v>35217</v>
      </c>
      <c r="N5747" t="s">
        <v>167</v>
      </c>
      <c r="O5747" t="s">
        <v>111</v>
      </c>
      <c r="P5747" t="str">
        <f>"85339-6928"</f>
        <v>85339-6928</v>
      </c>
      <c r="Q5747" t="s">
        <v>113</v>
      </c>
      <c r="R5747" t="str">
        <f>"104-88-031"</f>
        <v>104-88-031</v>
      </c>
      <c r="S5747" t="s">
        <v>31031</v>
      </c>
      <c r="T5747" t="s">
        <v>31032</v>
      </c>
      <c r="U5747">
        <v>3207</v>
      </c>
      <c r="V5747">
        <v>0</v>
      </c>
      <c r="W5747">
        <v>3</v>
      </c>
      <c r="X5747">
        <v>2005</v>
      </c>
      <c r="Z5747">
        <v>2</v>
      </c>
      <c r="AB5747">
        <v>0</v>
      </c>
      <c r="AC5747" t="s">
        <v>115</v>
      </c>
      <c r="AD5747">
        <v>3</v>
      </c>
      <c r="AE5747" t="s">
        <v>115</v>
      </c>
      <c r="AF5747">
        <v>0</v>
      </c>
      <c r="AG5747">
        <v>0</v>
      </c>
      <c r="AH5747" t="s">
        <v>116</v>
      </c>
      <c r="AI5747" s="1">
        <v>56500</v>
      </c>
      <c r="AJ5747" s="2">
        <v>0.18</v>
      </c>
      <c r="AK5747" s="1">
        <v>307074</v>
      </c>
      <c r="AL5747" t="s">
        <v>117</v>
      </c>
      <c r="AM5747" t="s">
        <v>171</v>
      </c>
      <c r="AN5747">
        <v>6599</v>
      </c>
      <c r="AO5747">
        <v>0.15</v>
      </c>
      <c r="AR5747">
        <v>1</v>
      </c>
      <c r="AS5747" s="1">
        <v>20220</v>
      </c>
      <c r="AT5747" s="1">
        <v>4040</v>
      </c>
      <c r="AU5747" s="1">
        <v>16180</v>
      </c>
      <c r="AV5747">
        <v>80.02</v>
      </c>
      <c r="AX5747" s="1">
        <v>2370.44</v>
      </c>
      <c r="AY5747" t="s">
        <v>5777</v>
      </c>
      <c r="AZ5747" t="s">
        <v>5777</v>
      </c>
      <c r="BA5747" t="s">
        <v>173</v>
      </c>
      <c r="BE5747" s="3">
        <v>42472</v>
      </c>
      <c r="BF5747" s="1">
        <v>244000</v>
      </c>
      <c r="BG5747" t="s">
        <v>35218</v>
      </c>
      <c r="BH5747" s="1">
        <v>76.08</v>
      </c>
      <c r="BI5747" s="1">
        <v>250574</v>
      </c>
      <c r="BJ5747" s="3">
        <v>42472</v>
      </c>
      <c r="BK5747" t="s">
        <v>123</v>
      </c>
      <c r="BL5747" t="str">
        <f>"2016.241425"</f>
        <v>2016.241425</v>
      </c>
      <c r="BM5747" t="s">
        <v>594</v>
      </c>
      <c r="BO5747" t="s">
        <v>35219</v>
      </c>
      <c r="BS5747">
        <v>30</v>
      </c>
      <c r="BW5747" t="str">
        <f>""</f>
        <v/>
      </c>
      <c r="CH5747" t="str">
        <f>""</f>
        <v/>
      </c>
      <c r="CS5747" t="str">
        <f>""</f>
        <v/>
      </c>
    </row>
    <row r="5748" spans="1:97" x14ac:dyDescent="0.25">
      <c r="A5748" t="s">
        <v>3221</v>
      </c>
      <c r="B5748" t="s">
        <v>212</v>
      </c>
      <c r="C5748" t="s">
        <v>945</v>
      </c>
      <c r="D5748" t="s">
        <v>212</v>
      </c>
      <c r="E5748" t="s">
        <v>35220</v>
      </c>
      <c r="F5748" t="s">
        <v>108</v>
      </c>
      <c r="H5748" t="s">
        <v>35221</v>
      </c>
      <c r="I5748" t="s">
        <v>4251</v>
      </c>
      <c r="J5748" t="s">
        <v>111</v>
      </c>
      <c r="K5748" t="str">
        <f>"85353"</f>
        <v>85353</v>
      </c>
      <c r="L5748" t="s">
        <v>3758</v>
      </c>
      <c r="M5748" t="s">
        <v>35221</v>
      </c>
      <c r="N5748" t="s">
        <v>4251</v>
      </c>
      <c r="O5748" t="s">
        <v>111</v>
      </c>
      <c r="P5748" t="str">
        <f>"85353-7668"</f>
        <v>85353-7668</v>
      </c>
      <c r="Q5748" t="s">
        <v>113</v>
      </c>
      <c r="R5748" t="str">
        <f>"101-25-791"</f>
        <v>101-25-791</v>
      </c>
      <c r="S5748" t="s">
        <v>5149</v>
      </c>
      <c r="T5748" t="s">
        <v>5149</v>
      </c>
      <c r="U5748">
        <v>3241</v>
      </c>
      <c r="V5748">
        <v>0</v>
      </c>
      <c r="W5748">
        <v>4</v>
      </c>
      <c r="X5748">
        <v>2016</v>
      </c>
      <c r="Z5748">
        <v>1</v>
      </c>
      <c r="AB5748">
        <v>0</v>
      </c>
      <c r="AC5748" t="s">
        <v>115</v>
      </c>
      <c r="AD5748">
        <v>2</v>
      </c>
      <c r="AE5748" t="s">
        <v>115</v>
      </c>
      <c r="AF5748">
        <v>0</v>
      </c>
      <c r="AG5748">
        <v>0</v>
      </c>
      <c r="AH5748" t="s">
        <v>116</v>
      </c>
      <c r="AI5748" s="1">
        <v>118483</v>
      </c>
      <c r="AJ5748" s="2">
        <v>0.34</v>
      </c>
      <c r="AK5748" s="1">
        <v>343483</v>
      </c>
      <c r="AL5748" t="s">
        <v>117</v>
      </c>
      <c r="AM5748" t="s">
        <v>1302</v>
      </c>
      <c r="AN5748">
        <v>9891</v>
      </c>
      <c r="AO5748">
        <v>0.23</v>
      </c>
      <c r="AR5748">
        <v>1</v>
      </c>
      <c r="AS5748" s="1">
        <v>25630</v>
      </c>
      <c r="AT5748" s="1">
        <v>5120</v>
      </c>
      <c r="AU5748" s="1">
        <v>20510</v>
      </c>
      <c r="AV5748">
        <v>80.02</v>
      </c>
      <c r="AX5748" s="1">
        <v>2962.92</v>
      </c>
      <c r="AY5748" t="s">
        <v>5150</v>
      </c>
      <c r="AZ5748" t="s">
        <v>5150</v>
      </c>
      <c r="BA5748" t="s">
        <v>4254</v>
      </c>
      <c r="BE5748" s="3">
        <v>42451</v>
      </c>
      <c r="BF5748" s="1">
        <v>303798</v>
      </c>
      <c r="BG5748" t="s">
        <v>209</v>
      </c>
      <c r="BH5748" s="1">
        <v>93.74</v>
      </c>
      <c r="BI5748" s="1">
        <v>225000</v>
      </c>
      <c r="BJ5748" s="3">
        <v>42655</v>
      </c>
      <c r="BK5748" t="s">
        <v>123</v>
      </c>
      <c r="BL5748" t="str">
        <f>"2016.746988"</f>
        <v>2016.746988</v>
      </c>
      <c r="BM5748" t="s">
        <v>1033</v>
      </c>
      <c r="BO5748" t="s">
        <v>35222</v>
      </c>
      <c r="BS5748">
        <v>30</v>
      </c>
      <c r="BW5748" t="str">
        <f>""</f>
        <v/>
      </c>
      <c r="CH5748" t="str">
        <f>""</f>
        <v/>
      </c>
      <c r="CS5748" t="str">
        <f>""</f>
        <v/>
      </c>
    </row>
    <row r="5749" spans="1:97" x14ac:dyDescent="0.25">
      <c r="A5749" t="s">
        <v>412</v>
      </c>
      <c r="B5749" t="s">
        <v>35223</v>
      </c>
      <c r="C5749" t="s">
        <v>3057</v>
      </c>
      <c r="D5749" t="s">
        <v>35224</v>
      </c>
      <c r="E5749" t="s">
        <v>35225</v>
      </c>
      <c r="F5749" t="s">
        <v>108</v>
      </c>
      <c r="H5749" t="s">
        <v>35226</v>
      </c>
      <c r="I5749" t="s">
        <v>632</v>
      </c>
      <c r="J5749" t="s">
        <v>111</v>
      </c>
      <c r="K5749" t="str">
        <f>"85374"</f>
        <v>85374</v>
      </c>
      <c r="L5749" t="s">
        <v>5990</v>
      </c>
      <c r="M5749" t="s">
        <v>35226</v>
      </c>
      <c r="N5749" t="s">
        <v>632</v>
      </c>
      <c r="O5749" t="s">
        <v>111</v>
      </c>
      <c r="P5749" t="str">
        <f>"85374-5836"</f>
        <v>85374-5836</v>
      </c>
      <c r="Q5749" t="s">
        <v>113</v>
      </c>
      <c r="R5749" t="str">
        <f>"501-93-316"</f>
        <v>501-93-316</v>
      </c>
      <c r="S5749" t="s">
        <v>19819</v>
      </c>
      <c r="U5749">
        <v>1884</v>
      </c>
      <c r="V5749">
        <v>0</v>
      </c>
      <c r="W5749">
        <v>3</v>
      </c>
      <c r="X5749">
        <v>2000</v>
      </c>
      <c r="Z5749">
        <v>1</v>
      </c>
      <c r="AB5749">
        <v>0</v>
      </c>
      <c r="AC5749" t="s">
        <v>115</v>
      </c>
      <c r="AD5749">
        <v>2</v>
      </c>
      <c r="AE5749" t="s">
        <v>115</v>
      </c>
      <c r="AF5749">
        <v>0</v>
      </c>
      <c r="AG5749">
        <v>0</v>
      </c>
      <c r="AH5749" t="s">
        <v>116</v>
      </c>
      <c r="AI5749" s="1">
        <v>55439</v>
      </c>
      <c r="AJ5749" s="2">
        <v>0.21</v>
      </c>
      <c r="AK5749" s="1">
        <v>265082</v>
      </c>
      <c r="AL5749" t="s">
        <v>117</v>
      </c>
      <c r="AM5749" t="s">
        <v>118</v>
      </c>
      <c r="AN5749">
        <v>6930</v>
      </c>
      <c r="AO5749">
        <v>0.16</v>
      </c>
      <c r="AP5749">
        <v>1</v>
      </c>
      <c r="AR5749">
        <v>1</v>
      </c>
      <c r="AS5749" s="1">
        <v>17760</v>
      </c>
      <c r="AT5749" s="1">
        <v>3550</v>
      </c>
      <c r="AU5749" s="1">
        <v>14210</v>
      </c>
      <c r="AV5749">
        <v>80.010000000000005</v>
      </c>
      <c r="AX5749" s="1">
        <v>1233.56</v>
      </c>
      <c r="AY5749" t="s">
        <v>5983</v>
      </c>
      <c r="AZ5749" t="s">
        <v>5983</v>
      </c>
      <c r="BA5749" t="s">
        <v>5109</v>
      </c>
      <c r="BE5749" s="3">
        <v>42186</v>
      </c>
      <c r="BF5749" s="1">
        <v>205000</v>
      </c>
      <c r="BG5749" t="s">
        <v>35227</v>
      </c>
      <c r="BH5749" s="1">
        <v>108.81</v>
      </c>
      <c r="BI5749" s="1">
        <v>209643</v>
      </c>
      <c r="BJ5749" s="3">
        <v>42551</v>
      </c>
      <c r="BK5749" t="s">
        <v>123</v>
      </c>
      <c r="BL5749" t="str">
        <f>"2016.458742"</f>
        <v>2016.458742</v>
      </c>
      <c r="BM5749" t="s">
        <v>1038</v>
      </c>
      <c r="BO5749" t="s">
        <v>35228</v>
      </c>
      <c r="BP5749" t="s">
        <v>35229</v>
      </c>
      <c r="BS5749">
        <v>30</v>
      </c>
      <c r="BW5749" t="str">
        <f>""</f>
        <v/>
      </c>
      <c r="CH5749" t="str">
        <f>""</f>
        <v/>
      </c>
      <c r="CS5749" t="str">
        <f>""</f>
        <v/>
      </c>
    </row>
    <row r="5750" spans="1:97" x14ac:dyDescent="0.25">
      <c r="A5750" t="s">
        <v>2719</v>
      </c>
      <c r="B5750" t="s">
        <v>35230</v>
      </c>
      <c r="E5750" t="s">
        <v>35231</v>
      </c>
      <c r="F5750" t="s">
        <v>108</v>
      </c>
      <c r="H5750" t="s">
        <v>35232</v>
      </c>
      <c r="I5750" t="s">
        <v>203</v>
      </c>
      <c r="J5750" t="s">
        <v>111</v>
      </c>
      <c r="K5750" t="str">
        <f>"85234"</f>
        <v>85234</v>
      </c>
      <c r="L5750" t="s">
        <v>5918</v>
      </c>
      <c r="M5750" t="s">
        <v>35232</v>
      </c>
      <c r="N5750" t="s">
        <v>203</v>
      </c>
      <c r="O5750" t="s">
        <v>111</v>
      </c>
      <c r="P5750" t="str">
        <f>"85234-4509"</f>
        <v>85234-4509</v>
      </c>
      <c r="Q5750" t="s">
        <v>113</v>
      </c>
      <c r="R5750" t="str">
        <f>"304-12-178"</f>
        <v>304-12-178</v>
      </c>
      <c r="S5750" t="s">
        <v>24387</v>
      </c>
      <c r="U5750">
        <v>1310</v>
      </c>
      <c r="V5750">
        <v>0</v>
      </c>
      <c r="W5750">
        <v>2</v>
      </c>
      <c r="X5750">
        <v>1980</v>
      </c>
      <c r="Z5750">
        <v>1</v>
      </c>
      <c r="AB5750">
        <v>0</v>
      </c>
      <c r="AC5750" t="s">
        <v>115</v>
      </c>
      <c r="AD5750">
        <v>1</v>
      </c>
      <c r="AE5750" t="s">
        <v>115</v>
      </c>
      <c r="AF5750">
        <v>0</v>
      </c>
      <c r="AG5750">
        <v>0</v>
      </c>
      <c r="AH5750" t="s">
        <v>116</v>
      </c>
      <c r="AI5750" s="1">
        <v>44907</v>
      </c>
      <c r="AJ5750" s="2">
        <v>0.18</v>
      </c>
      <c r="AK5750" s="1">
        <v>256326</v>
      </c>
      <c r="AL5750" t="s">
        <v>117</v>
      </c>
      <c r="AM5750" t="s">
        <v>393</v>
      </c>
      <c r="AN5750">
        <v>6704</v>
      </c>
      <c r="AO5750">
        <v>0.15</v>
      </c>
      <c r="AP5750">
        <v>1</v>
      </c>
      <c r="AR5750">
        <v>1</v>
      </c>
      <c r="AS5750" s="1">
        <v>16080</v>
      </c>
      <c r="AT5750" s="1">
        <v>3210</v>
      </c>
      <c r="AU5750" s="1">
        <v>12870</v>
      </c>
      <c r="AV5750">
        <v>80.040000000000006</v>
      </c>
      <c r="AX5750" s="1">
        <v>860.76</v>
      </c>
      <c r="AY5750" t="s">
        <v>9115</v>
      </c>
      <c r="AZ5750" t="s">
        <v>5478</v>
      </c>
      <c r="BA5750" t="s">
        <v>5033</v>
      </c>
      <c r="BE5750" s="3">
        <v>42541</v>
      </c>
      <c r="BF5750" s="1">
        <v>205000</v>
      </c>
      <c r="BG5750" t="s">
        <v>35233</v>
      </c>
      <c r="BH5750" s="1">
        <v>156.49</v>
      </c>
      <c r="BI5750" s="1">
        <v>211419</v>
      </c>
      <c r="BJ5750" s="3">
        <v>42692</v>
      </c>
      <c r="BK5750" t="s">
        <v>123</v>
      </c>
      <c r="BL5750" t="str">
        <f>"2016.852968"</f>
        <v>2016.852968</v>
      </c>
      <c r="BM5750" t="s">
        <v>2378</v>
      </c>
      <c r="BO5750" t="s">
        <v>35234</v>
      </c>
      <c r="BS5750">
        <v>30</v>
      </c>
      <c r="BW5750" t="str">
        <f>""</f>
        <v/>
      </c>
      <c r="CH5750" t="str">
        <f>""</f>
        <v/>
      </c>
      <c r="CS5750" t="str">
        <f>""</f>
        <v/>
      </c>
    </row>
    <row r="5751" spans="1:97" x14ac:dyDescent="0.25">
      <c r="A5751" t="s">
        <v>35235</v>
      </c>
      <c r="B5751" t="s">
        <v>35236</v>
      </c>
      <c r="E5751" t="s">
        <v>35237</v>
      </c>
      <c r="F5751" t="s">
        <v>108</v>
      </c>
      <c r="H5751" t="s">
        <v>35238</v>
      </c>
      <c r="I5751" t="s">
        <v>390</v>
      </c>
      <c r="J5751" t="s">
        <v>111</v>
      </c>
      <c r="K5751" t="str">
        <f>"85032"</f>
        <v>85032</v>
      </c>
      <c r="L5751" t="s">
        <v>2354</v>
      </c>
      <c r="M5751" t="s">
        <v>35238</v>
      </c>
      <c r="N5751" t="s">
        <v>390</v>
      </c>
      <c r="O5751" t="s">
        <v>111</v>
      </c>
      <c r="P5751" t="str">
        <f>"85032-2069"</f>
        <v>85032-2069</v>
      </c>
      <c r="Q5751" t="s">
        <v>113</v>
      </c>
      <c r="R5751" t="str">
        <f>"214-01-483"</f>
        <v>214-01-483</v>
      </c>
      <c r="S5751" t="s">
        <v>35239</v>
      </c>
      <c r="T5751" t="s">
        <v>18672</v>
      </c>
      <c r="U5751">
        <v>2182</v>
      </c>
      <c r="V5751">
        <v>0</v>
      </c>
      <c r="W5751">
        <v>3</v>
      </c>
      <c r="X5751">
        <v>1980</v>
      </c>
      <c r="Z5751">
        <v>1</v>
      </c>
      <c r="AA5751" t="s">
        <v>26</v>
      </c>
      <c r="AB5751">
        <v>0</v>
      </c>
      <c r="AC5751" t="s">
        <v>5188</v>
      </c>
      <c r="AD5751">
        <v>2</v>
      </c>
      <c r="AE5751" t="s">
        <v>5188</v>
      </c>
      <c r="AF5751">
        <v>0</v>
      </c>
      <c r="AG5751">
        <v>0</v>
      </c>
      <c r="AH5751" t="s">
        <v>116</v>
      </c>
      <c r="AI5751" s="1">
        <v>103740</v>
      </c>
      <c r="AJ5751" s="2">
        <v>0.32</v>
      </c>
      <c r="AK5751" s="1">
        <v>324690</v>
      </c>
      <c r="AL5751" t="s">
        <v>117</v>
      </c>
      <c r="AM5751" t="s">
        <v>191</v>
      </c>
      <c r="AN5751">
        <v>7411</v>
      </c>
      <c r="AO5751">
        <v>0.17</v>
      </c>
      <c r="AP5751">
        <v>1</v>
      </c>
      <c r="AR5751">
        <v>1</v>
      </c>
      <c r="AS5751" s="1">
        <v>22830</v>
      </c>
      <c r="AT5751" s="1">
        <v>4560</v>
      </c>
      <c r="AU5751" s="1">
        <v>18270</v>
      </c>
      <c r="AV5751">
        <v>80.03</v>
      </c>
      <c r="AX5751" s="1">
        <v>1725.24</v>
      </c>
      <c r="AY5751" t="s">
        <v>16266</v>
      </c>
      <c r="AZ5751" t="s">
        <v>2550</v>
      </c>
      <c r="BA5751" t="s">
        <v>1318</v>
      </c>
      <c r="BE5751" s="3">
        <v>42510</v>
      </c>
      <c r="BF5751" s="1">
        <v>176000</v>
      </c>
      <c r="BG5751" t="s">
        <v>35240</v>
      </c>
      <c r="BH5751" s="1">
        <v>80.66</v>
      </c>
      <c r="BI5751" s="1">
        <v>220950</v>
      </c>
      <c r="BJ5751" s="3">
        <v>43003</v>
      </c>
      <c r="BK5751" t="s">
        <v>123</v>
      </c>
      <c r="BL5751" t="str">
        <f>"2017.705194"</f>
        <v>2017.705194</v>
      </c>
      <c r="BM5751" t="s">
        <v>8086</v>
      </c>
      <c r="BO5751" t="s">
        <v>35241</v>
      </c>
      <c r="BS5751">
        <v>30</v>
      </c>
      <c r="BW5751" t="str">
        <f>""</f>
        <v/>
      </c>
      <c r="CH5751" t="str">
        <f>""</f>
        <v/>
      </c>
      <c r="CS5751" t="str">
        <f>""</f>
        <v/>
      </c>
    </row>
    <row r="5752" spans="1:97" x14ac:dyDescent="0.25">
      <c r="A5752" t="s">
        <v>865</v>
      </c>
      <c r="B5752" t="s">
        <v>35242</v>
      </c>
      <c r="C5752" t="s">
        <v>7344</v>
      </c>
      <c r="D5752" t="s">
        <v>35242</v>
      </c>
      <c r="E5752" t="s">
        <v>35243</v>
      </c>
      <c r="F5752" t="s">
        <v>108</v>
      </c>
      <c r="H5752" t="s">
        <v>35244</v>
      </c>
      <c r="I5752" t="s">
        <v>203</v>
      </c>
      <c r="J5752" t="s">
        <v>111</v>
      </c>
      <c r="K5752" t="str">
        <f>"85297"</f>
        <v>85297</v>
      </c>
      <c r="L5752" t="s">
        <v>1383</v>
      </c>
      <c r="M5752" t="s">
        <v>35244</v>
      </c>
      <c r="N5752" t="s">
        <v>203</v>
      </c>
      <c r="O5752" t="s">
        <v>111</v>
      </c>
      <c r="P5752" t="str">
        <f>"85297-8231"</f>
        <v>85297-8231</v>
      </c>
      <c r="Q5752" t="s">
        <v>113</v>
      </c>
      <c r="R5752" t="str">
        <f>"313-03-344"</f>
        <v>313-03-344</v>
      </c>
      <c r="S5752" t="s">
        <v>8726</v>
      </c>
      <c r="T5752" t="s">
        <v>8726</v>
      </c>
      <c r="U5752">
        <v>1710</v>
      </c>
      <c r="V5752">
        <v>0</v>
      </c>
      <c r="W5752">
        <v>3</v>
      </c>
      <c r="X5752">
        <v>2002</v>
      </c>
      <c r="Z5752">
        <v>1</v>
      </c>
      <c r="AB5752">
        <v>0</v>
      </c>
      <c r="AC5752" t="s">
        <v>115</v>
      </c>
      <c r="AD5752">
        <v>2</v>
      </c>
      <c r="AE5752" t="s">
        <v>115</v>
      </c>
      <c r="AF5752">
        <v>0</v>
      </c>
      <c r="AG5752">
        <v>0</v>
      </c>
      <c r="AH5752" t="s">
        <v>116</v>
      </c>
      <c r="AI5752" s="1">
        <v>92143</v>
      </c>
      <c r="AJ5752" s="2">
        <v>0.3</v>
      </c>
      <c r="AK5752" s="1">
        <v>310043</v>
      </c>
      <c r="AL5752" t="s">
        <v>117</v>
      </c>
      <c r="AM5752" t="s">
        <v>191</v>
      </c>
      <c r="AN5752">
        <v>7015</v>
      </c>
      <c r="AO5752">
        <v>0.16</v>
      </c>
      <c r="AP5752">
        <v>1</v>
      </c>
      <c r="AR5752">
        <v>1</v>
      </c>
      <c r="AS5752" s="1">
        <v>20850</v>
      </c>
      <c r="AT5752" s="1">
        <v>4170</v>
      </c>
      <c r="AU5752" s="1">
        <v>16680</v>
      </c>
      <c r="AV5752">
        <v>80</v>
      </c>
      <c r="AX5752" s="1">
        <v>1683.12</v>
      </c>
      <c r="AY5752" t="s">
        <v>394</v>
      </c>
      <c r="AZ5752" t="s">
        <v>394</v>
      </c>
      <c r="BA5752" t="s">
        <v>290</v>
      </c>
      <c r="BE5752" s="3">
        <v>41914</v>
      </c>
      <c r="BF5752" s="1">
        <v>217900</v>
      </c>
      <c r="BG5752" t="s">
        <v>14154</v>
      </c>
      <c r="BH5752" s="1">
        <v>127.43</v>
      </c>
      <c r="BI5752" s="1">
        <v>217900</v>
      </c>
      <c r="BJ5752" s="3">
        <v>41914</v>
      </c>
      <c r="BK5752" t="s">
        <v>123</v>
      </c>
      <c r="BL5752" t="str">
        <f>"2014.654188"</f>
        <v>2014.654188</v>
      </c>
      <c r="BM5752" t="s">
        <v>1201</v>
      </c>
      <c r="BO5752" t="s">
        <v>35245</v>
      </c>
      <c r="BS5752">
        <v>30</v>
      </c>
      <c r="BW5752" t="str">
        <f>""</f>
        <v/>
      </c>
      <c r="CH5752" t="str">
        <f>""</f>
        <v/>
      </c>
      <c r="CS5752" t="str">
        <f>""</f>
        <v/>
      </c>
    </row>
    <row r="5753" spans="1:97" x14ac:dyDescent="0.25">
      <c r="A5753" t="s">
        <v>1295</v>
      </c>
      <c r="B5753" t="s">
        <v>35246</v>
      </c>
      <c r="E5753" t="s">
        <v>35247</v>
      </c>
      <c r="F5753" t="s">
        <v>108</v>
      </c>
      <c r="H5753" t="s">
        <v>35248</v>
      </c>
      <c r="I5753" t="s">
        <v>110</v>
      </c>
      <c r="J5753" t="s">
        <v>111</v>
      </c>
      <c r="K5753" t="str">
        <f>"85224"</f>
        <v>85224</v>
      </c>
      <c r="L5753" t="s">
        <v>926</v>
      </c>
      <c r="M5753" t="s">
        <v>35248</v>
      </c>
      <c r="N5753" t="s">
        <v>110</v>
      </c>
      <c r="O5753" t="s">
        <v>111</v>
      </c>
      <c r="P5753" t="str">
        <f>"85224-1398"</f>
        <v>85224-1398</v>
      </c>
      <c r="Q5753" t="s">
        <v>113</v>
      </c>
      <c r="R5753" t="str">
        <f>"302-07-625"</f>
        <v>302-07-625</v>
      </c>
      <c r="S5753" t="s">
        <v>35249</v>
      </c>
      <c r="U5753">
        <v>1262</v>
      </c>
      <c r="V5753">
        <v>0</v>
      </c>
      <c r="W5753">
        <v>2</v>
      </c>
      <c r="X5753">
        <v>1986</v>
      </c>
      <c r="Z5753">
        <v>1</v>
      </c>
      <c r="AB5753">
        <v>0</v>
      </c>
      <c r="AC5753" t="s">
        <v>115</v>
      </c>
      <c r="AD5753">
        <v>2</v>
      </c>
      <c r="AE5753" t="s">
        <v>115</v>
      </c>
      <c r="AF5753">
        <v>0</v>
      </c>
      <c r="AG5753">
        <v>0</v>
      </c>
      <c r="AH5753" t="s">
        <v>116</v>
      </c>
      <c r="AI5753" s="1">
        <v>19752</v>
      </c>
      <c r="AJ5753" s="2">
        <v>7.0000000000000007E-2</v>
      </c>
      <c r="AK5753" s="1">
        <v>264752</v>
      </c>
      <c r="AL5753" t="s">
        <v>117</v>
      </c>
      <c r="AM5753" t="s">
        <v>5077</v>
      </c>
      <c r="AN5753">
        <v>7427</v>
      </c>
      <c r="AO5753">
        <v>0.17</v>
      </c>
      <c r="AP5753">
        <v>1</v>
      </c>
      <c r="AR5753">
        <v>1</v>
      </c>
      <c r="AS5753" s="1">
        <v>17670</v>
      </c>
      <c r="AT5753" s="1">
        <v>3530</v>
      </c>
      <c r="AU5753" s="1">
        <v>14140</v>
      </c>
      <c r="AV5753">
        <v>80.02</v>
      </c>
      <c r="AX5753" s="1">
        <v>1171.24</v>
      </c>
      <c r="AY5753" t="s">
        <v>5310</v>
      </c>
      <c r="AZ5753" t="s">
        <v>5310</v>
      </c>
      <c r="BA5753" t="s">
        <v>5311</v>
      </c>
      <c r="BE5753" s="3">
        <v>42549</v>
      </c>
      <c r="BF5753" s="1">
        <v>245000</v>
      </c>
      <c r="BG5753" t="s">
        <v>35250</v>
      </c>
      <c r="BH5753" s="1">
        <v>194.14</v>
      </c>
      <c r="BI5753" s="1">
        <v>245000</v>
      </c>
      <c r="BJ5753" s="3">
        <v>42549</v>
      </c>
      <c r="BK5753" t="s">
        <v>123</v>
      </c>
      <c r="BL5753" t="str">
        <f>"2016.453557"</f>
        <v>2016.453557</v>
      </c>
      <c r="BM5753" t="s">
        <v>4014</v>
      </c>
      <c r="BO5753" t="s">
        <v>35251</v>
      </c>
      <c r="BS5753">
        <v>30</v>
      </c>
      <c r="BW5753" t="str">
        <f>""</f>
        <v/>
      </c>
      <c r="CH5753" t="str">
        <f>""</f>
        <v/>
      </c>
      <c r="CS5753" t="str">
        <f>""</f>
        <v/>
      </c>
    </row>
    <row r="5754" spans="1:97" x14ac:dyDescent="0.25">
      <c r="A5754" t="s">
        <v>251</v>
      </c>
      <c r="B5754" t="s">
        <v>10570</v>
      </c>
      <c r="C5754" t="s">
        <v>2530</v>
      </c>
      <c r="D5754" t="s">
        <v>10570</v>
      </c>
      <c r="E5754" t="s">
        <v>35252</v>
      </c>
      <c r="F5754" t="s">
        <v>108</v>
      </c>
      <c r="H5754" t="s">
        <v>35253</v>
      </c>
      <c r="I5754" t="s">
        <v>390</v>
      </c>
      <c r="J5754" t="s">
        <v>111</v>
      </c>
      <c r="K5754" t="str">
        <f>"85029"</f>
        <v>85029</v>
      </c>
      <c r="L5754" t="s">
        <v>226</v>
      </c>
      <c r="M5754" t="s">
        <v>35253</v>
      </c>
      <c r="N5754" t="s">
        <v>390</v>
      </c>
      <c r="O5754" t="s">
        <v>111</v>
      </c>
      <c r="P5754" t="str">
        <f>"85029-3826"</f>
        <v>85029-3826</v>
      </c>
      <c r="Q5754" t="s">
        <v>113</v>
      </c>
      <c r="R5754" t="str">
        <f>"149-34-492"</f>
        <v>149-34-492</v>
      </c>
      <c r="S5754" t="s">
        <v>35254</v>
      </c>
      <c r="T5754" t="s">
        <v>35255</v>
      </c>
      <c r="U5754">
        <v>1791</v>
      </c>
      <c r="V5754">
        <v>0</v>
      </c>
      <c r="W5754">
        <v>3</v>
      </c>
      <c r="X5754">
        <v>1978</v>
      </c>
      <c r="Z5754">
        <v>1</v>
      </c>
      <c r="AA5754" t="s">
        <v>26</v>
      </c>
      <c r="AB5754">
        <v>0</v>
      </c>
      <c r="AC5754" t="s">
        <v>115</v>
      </c>
      <c r="AD5754">
        <v>2</v>
      </c>
      <c r="AE5754" t="s">
        <v>115</v>
      </c>
      <c r="AF5754">
        <v>0</v>
      </c>
      <c r="AG5754">
        <v>0</v>
      </c>
      <c r="AH5754" t="s">
        <v>116</v>
      </c>
      <c r="AI5754" s="1">
        <v>44217</v>
      </c>
      <c r="AJ5754" s="2">
        <v>0.17</v>
      </c>
      <c r="AK5754" s="1">
        <v>258732</v>
      </c>
      <c r="AL5754" t="s">
        <v>117</v>
      </c>
      <c r="AM5754" t="s">
        <v>191</v>
      </c>
      <c r="AN5754">
        <v>7462</v>
      </c>
      <c r="AO5754">
        <v>0.17</v>
      </c>
      <c r="AP5754">
        <v>1</v>
      </c>
      <c r="AR5754">
        <v>1</v>
      </c>
      <c r="AS5754" s="1">
        <v>17250</v>
      </c>
      <c r="AT5754" s="1">
        <v>3450</v>
      </c>
      <c r="AU5754" s="1">
        <v>13800</v>
      </c>
      <c r="AV5754">
        <v>80</v>
      </c>
      <c r="AX5754" s="1">
        <v>1075.96</v>
      </c>
      <c r="AY5754" t="s">
        <v>21334</v>
      </c>
      <c r="AZ5754" t="s">
        <v>6986</v>
      </c>
      <c r="BA5754" t="s">
        <v>10888</v>
      </c>
      <c r="BE5754" s="3">
        <v>42436</v>
      </c>
      <c r="BF5754" s="1">
        <v>210000</v>
      </c>
      <c r="BG5754" t="s">
        <v>35256</v>
      </c>
      <c r="BH5754" s="1">
        <v>117.25</v>
      </c>
      <c r="BI5754" s="1">
        <v>214515</v>
      </c>
      <c r="BJ5754" s="3">
        <v>42436</v>
      </c>
      <c r="BK5754" t="s">
        <v>123</v>
      </c>
      <c r="BL5754" t="str">
        <f>"2016.146765"</f>
        <v>2016.146765</v>
      </c>
      <c r="BM5754" t="s">
        <v>5348</v>
      </c>
      <c r="BO5754" t="s">
        <v>35257</v>
      </c>
      <c r="BS5754">
        <v>30</v>
      </c>
      <c r="BW5754" t="str">
        <f>""</f>
        <v/>
      </c>
      <c r="CH5754" t="str">
        <f>""</f>
        <v/>
      </c>
      <c r="CS5754" t="str">
        <f>""</f>
        <v/>
      </c>
    </row>
    <row r="5755" spans="1:97" x14ac:dyDescent="0.25">
      <c r="A5755" t="s">
        <v>1160</v>
      </c>
      <c r="B5755" t="s">
        <v>529</v>
      </c>
      <c r="C5755" t="s">
        <v>179</v>
      </c>
      <c r="D5755" t="s">
        <v>529</v>
      </c>
      <c r="E5755" t="s">
        <v>35258</v>
      </c>
      <c r="F5755" t="s">
        <v>108</v>
      </c>
      <c r="H5755" t="s">
        <v>35259</v>
      </c>
      <c r="I5755" t="s">
        <v>1936</v>
      </c>
      <c r="J5755" t="s">
        <v>111</v>
      </c>
      <c r="K5755" t="str">
        <f>"85257"</f>
        <v>85257</v>
      </c>
      <c r="L5755" t="s">
        <v>226</v>
      </c>
      <c r="M5755" t="s">
        <v>35259</v>
      </c>
      <c r="N5755" t="s">
        <v>1936</v>
      </c>
      <c r="O5755" t="s">
        <v>111</v>
      </c>
      <c r="P5755" t="str">
        <f>"85257-2036"</f>
        <v>85257-2036</v>
      </c>
      <c r="Q5755" t="s">
        <v>113</v>
      </c>
      <c r="R5755" t="str">
        <f>"129-32-005"</f>
        <v>129-32-005</v>
      </c>
      <c r="S5755" t="s">
        <v>35260</v>
      </c>
      <c r="T5755" t="s">
        <v>35260</v>
      </c>
      <c r="U5755">
        <v>1144</v>
      </c>
      <c r="V5755">
        <v>0</v>
      </c>
      <c r="W5755">
        <v>2</v>
      </c>
      <c r="X5755">
        <v>1958</v>
      </c>
      <c r="Z5755">
        <v>1</v>
      </c>
      <c r="AB5755">
        <v>0</v>
      </c>
      <c r="AC5755" t="s">
        <v>5188</v>
      </c>
      <c r="AD5755">
        <v>2</v>
      </c>
      <c r="AE5755" t="s">
        <v>5188</v>
      </c>
      <c r="AF5755">
        <v>0</v>
      </c>
      <c r="AG5755">
        <v>0</v>
      </c>
      <c r="AH5755" t="s">
        <v>116</v>
      </c>
      <c r="AI5755" s="1">
        <v>106738</v>
      </c>
      <c r="AJ5755" s="2">
        <v>0.32</v>
      </c>
      <c r="AK5755" s="1">
        <v>337193</v>
      </c>
      <c r="AL5755" t="s">
        <v>117</v>
      </c>
      <c r="AM5755" t="s">
        <v>393</v>
      </c>
      <c r="AN5755">
        <v>8512</v>
      </c>
      <c r="AO5755">
        <v>0.2</v>
      </c>
      <c r="AP5755">
        <v>1</v>
      </c>
      <c r="AR5755">
        <v>1</v>
      </c>
      <c r="AS5755" s="1">
        <v>22520</v>
      </c>
      <c r="AT5755" s="1">
        <v>4500</v>
      </c>
      <c r="AU5755" s="1">
        <v>18020</v>
      </c>
      <c r="AV5755">
        <v>80.02</v>
      </c>
      <c r="AX5755" s="1">
        <v>1090.5999999999999</v>
      </c>
      <c r="AY5755" t="s">
        <v>6894</v>
      </c>
      <c r="AZ5755" t="s">
        <v>6894</v>
      </c>
      <c r="BA5755" t="s">
        <v>5421</v>
      </c>
      <c r="BE5755" s="3">
        <v>42124</v>
      </c>
      <c r="BF5755" s="1">
        <v>239000</v>
      </c>
      <c r="BG5755" t="s">
        <v>35261</v>
      </c>
      <c r="BH5755" s="1">
        <v>208.92</v>
      </c>
      <c r="BI5755" s="1">
        <v>230455</v>
      </c>
      <c r="BJ5755" s="3">
        <v>42124</v>
      </c>
      <c r="BK5755" t="s">
        <v>123</v>
      </c>
      <c r="BL5755" t="str">
        <f>"2015.306439"</f>
        <v>2015.306439</v>
      </c>
      <c r="BM5755" t="s">
        <v>5534</v>
      </c>
      <c r="BO5755" t="s">
        <v>35262</v>
      </c>
      <c r="BS5755">
        <v>30</v>
      </c>
      <c r="BW5755" t="str">
        <f>""</f>
        <v/>
      </c>
      <c r="CH5755" t="str">
        <f>""</f>
        <v/>
      </c>
      <c r="CS5755" t="str">
        <f>""</f>
        <v/>
      </c>
    </row>
    <row r="5756" spans="1:97" x14ac:dyDescent="0.25">
      <c r="A5756" t="s">
        <v>1067</v>
      </c>
      <c r="B5756" t="s">
        <v>1515</v>
      </c>
      <c r="C5756" t="s">
        <v>35263</v>
      </c>
      <c r="D5756" t="s">
        <v>35264</v>
      </c>
      <c r="E5756" t="s">
        <v>35265</v>
      </c>
      <c r="F5756" t="s">
        <v>108</v>
      </c>
      <c r="H5756" t="s">
        <v>35266</v>
      </c>
      <c r="I5756" t="s">
        <v>203</v>
      </c>
      <c r="J5756" t="s">
        <v>111</v>
      </c>
      <c r="K5756" t="str">
        <f>"85234"</f>
        <v>85234</v>
      </c>
      <c r="L5756" t="s">
        <v>7607</v>
      </c>
      <c r="M5756" t="s">
        <v>35266</v>
      </c>
      <c r="N5756" t="s">
        <v>203</v>
      </c>
      <c r="O5756" t="s">
        <v>111</v>
      </c>
      <c r="P5756" t="str">
        <f>"85234-1034"</f>
        <v>85234-1034</v>
      </c>
      <c r="Q5756" t="s">
        <v>113</v>
      </c>
      <c r="R5756" t="str">
        <f>"309-01-599"</f>
        <v>309-01-599</v>
      </c>
      <c r="S5756" t="s">
        <v>35267</v>
      </c>
      <c r="T5756" t="s">
        <v>35267</v>
      </c>
      <c r="U5756">
        <v>2553</v>
      </c>
      <c r="V5756">
        <v>0</v>
      </c>
      <c r="W5756">
        <v>4</v>
      </c>
      <c r="X5756">
        <v>1994</v>
      </c>
      <c r="Z5756">
        <v>2</v>
      </c>
      <c r="AA5756" t="s">
        <v>26</v>
      </c>
      <c r="AB5756">
        <v>0</v>
      </c>
      <c r="AC5756" t="s">
        <v>115</v>
      </c>
      <c r="AD5756">
        <v>2</v>
      </c>
      <c r="AE5756" t="s">
        <v>115</v>
      </c>
      <c r="AF5756">
        <v>0</v>
      </c>
      <c r="AG5756">
        <v>0</v>
      </c>
      <c r="AH5756" t="s">
        <v>116</v>
      </c>
      <c r="AI5756" s="1">
        <v>76827</v>
      </c>
      <c r="AJ5756" s="2">
        <v>0.18</v>
      </c>
      <c r="AK5756" s="1">
        <v>424827</v>
      </c>
      <c r="AL5756" t="s">
        <v>117</v>
      </c>
      <c r="AM5756" t="s">
        <v>393</v>
      </c>
      <c r="AN5756">
        <v>16126</v>
      </c>
      <c r="AO5756">
        <v>0.37</v>
      </c>
      <c r="AP5756">
        <v>1</v>
      </c>
      <c r="AR5756">
        <v>1</v>
      </c>
      <c r="AS5756" s="1">
        <v>31030</v>
      </c>
      <c r="AT5756" s="1">
        <v>6200</v>
      </c>
      <c r="AU5756" s="1">
        <v>24830</v>
      </c>
      <c r="AV5756">
        <v>80.02</v>
      </c>
      <c r="AX5756" s="1">
        <v>2066.58</v>
      </c>
      <c r="AY5756" t="s">
        <v>6506</v>
      </c>
      <c r="AZ5756" t="s">
        <v>520</v>
      </c>
      <c r="BA5756" t="s">
        <v>5033</v>
      </c>
      <c r="BE5756" s="3">
        <v>42502</v>
      </c>
      <c r="BF5756" s="1">
        <v>348000</v>
      </c>
      <c r="BG5756" t="s">
        <v>35268</v>
      </c>
      <c r="BH5756" s="1">
        <v>136.31</v>
      </c>
      <c r="BI5756" s="1">
        <v>348000</v>
      </c>
      <c r="BJ5756" s="3">
        <v>42502</v>
      </c>
      <c r="BK5756" t="s">
        <v>123</v>
      </c>
      <c r="BL5756" t="str">
        <f>"2016.327695"</f>
        <v>2016.327695</v>
      </c>
      <c r="BM5756" t="s">
        <v>175</v>
      </c>
      <c r="BO5756" t="s">
        <v>35269</v>
      </c>
      <c r="BP5756" t="s">
        <v>35270</v>
      </c>
      <c r="BS5756">
        <v>30</v>
      </c>
      <c r="BW5756" t="str">
        <f>""</f>
        <v/>
      </c>
      <c r="CH5756" t="str">
        <f>""</f>
        <v/>
      </c>
      <c r="CS5756" t="str">
        <f>""</f>
        <v/>
      </c>
    </row>
    <row r="5757" spans="1:97" x14ac:dyDescent="0.25">
      <c r="A5757" t="s">
        <v>765</v>
      </c>
      <c r="B5757" t="s">
        <v>35271</v>
      </c>
      <c r="C5757" t="s">
        <v>35272</v>
      </c>
      <c r="D5757" t="s">
        <v>35271</v>
      </c>
      <c r="E5757" t="s">
        <v>35273</v>
      </c>
      <c r="F5757" t="s">
        <v>108</v>
      </c>
      <c r="H5757" t="s">
        <v>35274</v>
      </c>
      <c r="I5757" t="s">
        <v>453</v>
      </c>
      <c r="J5757" t="s">
        <v>111</v>
      </c>
      <c r="K5757" t="str">
        <f>"85345"</f>
        <v>85345</v>
      </c>
      <c r="L5757" t="s">
        <v>5176</v>
      </c>
      <c r="M5757" t="s">
        <v>35274</v>
      </c>
      <c r="N5757" t="s">
        <v>453</v>
      </c>
      <c r="O5757" t="s">
        <v>111</v>
      </c>
      <c r="P5757" t="str">
        <f>"85345-7988"</f>
        <v>85345-7988</v>
      </c>
      <c r="Q5757" t="s">
        <v>113</v>
      </c>
      <c r="R5757" t="str">
        <f>"142-35-345"</f>
        <v>142-35-345</v>
      </c>
      <c r="S5757" t="s">
        <v>6942</v>
      </c>
      <c r="T5757" t="s">
        <v>6943</v>
      </c>
      <c r="U5757">
        <v>1893</v>
      </c>
      <c r="V5757">
        <v>0</v>
      </c>
      <c r="W5757">
        <v>3</v>
      </c>
      <c r="X5757">
        <v>2016</v>
      </c>
      <c r="Z5757">
        <v>1</v>
      </c>
      <c r="AB5757">
        <v>0</v>
      </c>
      <c r="AC5757" t="s">
        <v>115</v>
      </c>
      <c r="AD5757">
        <v>3</v>
      </c>
      <c r="AE5757" t="s">
        <v>115</v>
      </c>
      <c r="AF5757">
        <v>0</v>
      </c>
      <c r="AG5757">
        <v>0</v>
      </c>
      <c r="AH5757" t="s">
        <v>116</v>
      </c>
      <c r="AI5757" s="1">
        <v>4903</v>
      </c>
      <c r="AJ5757" s="2">
        <v>0.02</v>
      </c>
      <c r="AK5757" s="1">
        <v>307059</v>
      </c>
      <c r="AL5757" t="s">
        <v>117</v>
      </c>
      <c r="AM5757" t="s">
        <v>118</v>
      </c>
      <c r="AN5757">
        <v>7683</v>
      </c>
      <c r="AO5757">
        <v>0.18</v>
      </c>
      <c r="AR5757">
        <v>1</v>
      </c>
      <c r="AS5757" s="1">
        <v>22150</v>
      </c>
      <c r="AT5757" s="1">
        <v>4430</v>
      </c>
      <c r="AU5757" s="1">
        <v>17720</v>
      </c>
      <c r="AV5757">
        <v>80</v>
      </c>
      <c r="AX5757" s="1">
        <v>1857.2</v>
      </c>
      <c r="AY5757" t="s">
        <v>6944</v>
      </c>
      <c r="AZ5757" t="s">
        <v>6944</v>
      </c>
      <c r="BA5757" t="s">
        <v>6945</v>
      </c>
      <c r="BE5757" s="3">
        <v>42444</v>
      </c>
      <c r="BF5757" s="1">
        <v>272156</v>
      </c>
      <c r="BG5757" t="s">
        <v>636</v>
      </c>
      <c r="BH5757" s="1">
        <v>143.77000000000001</v>
      </c>
      <c r="BI5757" s="1">
        <v>272156</v>
      </c>
      <c r="BJ5757" s="3">
        <v>42444</v>
      </c>
      <c r="BK5757" t="s">
        <v>123</v>
      </c>
      <c r="BL5757" t="str">
        <f>"2016.167221"</f>
        <v>2016.167221</v>
      </c>
      <c r="BM5757" t="s">
        <v>637</v>
      </c>
      <c r="BN5757" t="s">
        <v>652</v>
      </c>
      <c r="BO5757" t="s">
        <v>35275</v>
      </c>
      <c r="BS5757">
        <v>30</v>
      </c>
      <c r="BT5757" s="1">
        <v>30000</v>
      </c>
      <c r="BU5757" s="3">
        <v>43700</v>
      </c>
      <c r="BW5757" t="str">
        <f>"2019.653290"</f>
        <v>2019.653290</v>
      </c>
      <c r="BX5757" t="s">
        <v>1214</v>
      </c>
      <c r="BY5757" t="s">
        <v>1215</v>
      </c>
      <c r="BZ5757" t="s">
        <v>35276</v>
      </c>
      <c r="CA5757" t="s">
        <v>35277</v>
      </c>
      <c r="CC5757" t="s">
        <v>346</v>
      </c>
      <c r="CH5757" t="str">
        <f>""</f>
        <v/>
      </c>
      <c r="CS5757" t="str">
        <f>""</f>
        <v/>
      </c>
    </row>
    <row r="5758" spans="1:97" x14ac:dyDescent="0.25">
      <c r="A5758" t="s">
        <v>12014</v>
      </c>
      <c r="B5758" t="s">
        <v>35278</v>
      </c>
      <c r="C5758" t="s">
        <v>397</v>
      </c>
      <c r="D5758" t="s">
        <v>35278</v>
      </c>
      <c r="E5758" t="s">
        <v>35279</v>
      </c>
      <c r="F5758" t="s">
        <v>108</v>
      </c>
      <c r="H5758" t="s">
        <v>35280</v>
      </c>
      <c r="I5758" t="s">
        <v>2874</v>
      </c>
      <c r="J5758" t="s">
        <v>111</v>
      </c>
      <c r="K5758" t="str">
        <f>"85310"</f>
        <v>85310</v>
      </c>
      <c r="L5758" t="s">
        <v>5325</v>
      </c>
      <c r="M5758" t="s">
        <v>35280</v>
      </c>
      <c r="N5758" t="s">
        <v>2874</v>
      </c>
      <c r="O5758" t="s">
        <v>111</v>
      </c>
      <c r="P5758" t="str">
        <f>"85310-3920"</f>
        <v>85310-3920</v>
      </c>
      <c r="Q5758" t="s">
        <v>113</v>
      </c>
      <c r="R5758" t="str">
        <f>"205-12-302"</f>
        <v>205-12-302</v>
      </c>
      <c r="S5758" t="s">
        <v>30028</v>
      </c>
      <c r="T5758" t="s">
        <v>30029</v>
      </c>
      <c r="U5758">
        <v>1553</v>
      </c>
      <c r="V5758">
        <v>0</v>
      </c>
      <c r="W5758">
        <v>3</v>
      </c>
      <c r="X5758">
        <v>1989</v>
      </c>
      <c r="Z5758">
        <v>1</v>
      </c>
      <c r="AA5758" t="s">
        <v>26</v>
      </c>
      <c r="AB5758">
        <v>0</v>
      </c>
      <c r="AC5758" t="s">
        <v>115</v>
      </c>
      <c r="AD5758">
        <v>3</v>
      </c>
      <c r="AE5758" t="s">
        <v>115</v>
      </c>
      <c r="AF5758">
        <v>0</v>
      </c>
      <c r="AG5758">
        <v>0</v>
      </c>
      <c r="AH5758" t="s">
        <v>116</v>
      </c>
      <c r="AI5758" s="1">
        <v>22634</v>
      </c>
      <c r="AJ5758" s="2">
        <v>0.08</v>
      </c>
      <c r="AK5758" s="1">
        <v>283766</v>
      </c>
      <c r="AL5758" t="s">
        <v>117</v>
      </c>
      <c r="AM5758" t="s">
        <v>1302</v>
      </c>
      <c r="AN5758">
        <v>7582</v>
      </c>
      <c r="AO5758">
        <v>0.17</v>
      </c>
      <c r="AP5758">
        <v>1</v>
      </c>
      <c r="AR5758">
        <v>1</v>
      </c>
      <c r="AS5758" s="1">
        <v>20500</v>
      </c>
      <c r="AT5758" s="1">
        <v>4100</v>
      </c>
      <c r="AU5758" s="1">
        <v>16400</v>
      </c>
      <c r="AV5758">
        <v>80</v>
      </c>
      <c r="AX5758" s="1">
        <v>1633.12</v>
      </c>
      <c r="AY5758" t="s">
        <v>5125</v>
      </c>
      <c r="AZ5758" t="s">
        <v>3049</v>
      </c>
      <c r="BA5758" t="s">
        <v>1386</v>
      </c>
      <c r="BE5758" s="3">
        <v>42346</v>
      </c>
      <c r="BF5758" s="1">
        <v>235000</v>
      </c>
      <c r="BG5758" t="s">
        <v>5034</v>
      </c>
      <c r="BH5758" s="1">
        <v>151.32</v>
      </c>
      <c r="BI5758" s="1">
        <v>235000</v>
      </c>
      <c r="BJ5758" s="3">
        <v>42346</v>
      </c>
      <c r="BK5758" t="s">
        <v>123</v>
      </c>
      <c r="BL5758" t="str">
        <f>"2015.869532"</f>
        <v>2015.869532</v>
      </c>
      <c r="BM5758" t="s">
        <v>175</v>
      </c>
      <c r="BN5758" t="s">
        <v>132</v>
      </c>
      <c r="BO5758" t="s">
        <v>35281</v>
      </c>
      <c r="BS5758">
        <v>30</v>
      </c>
      <c r="BT5758" s="1">
        <v>26132</v>
      </c>
      <c r="BU5758" s="3">
        <v>43196</v>
      </c>
      <c r="BV5758" t="s">
        <v>134</v>
      </c>
      <c r="BW5758" t="str">
        <f>"2018.259256"</f>
        <v>2018.259256</v>
      </c>
      <c r="BX5758" t="s">
        <v>198</v>
      </c>
      <c r="BY5758" t="s">
        <v>655</v>
      </c>
      <c r="BZ5758" t="s">
        <v>35282</v>
      </c>
      <c r="CA5758" t="s">
        <v>35283</v>
      </c>
      <c r="CC5758" t="s">
        <v>139</v>
      </c>
      <c r="CH5758" t="str">
        <f>""</f>
        <v/>
      </c>
      <c r="CS5758" t="str">
        <f>""</f>
        <v/>
      </c>
    </row>
    <row r="5759" spans="1:97" x14ac:dyDescent="0.25">
      <c r="A5759" t="s">
        <v>370</v>
      </c>
      <c r="B5759" t="s">
        <v>35284</v>
      </c>
      <c r="E5759" t="s">
        <v>35285</v>
      </c>
      <c r="F5759" t="s">
        <v>108</v>
      </c>
      <c r="H5759" t="s">
        <v>35286</v>
      </c>
      <c r="I5759" t="s">
        <v>5551</v>
      </c>
      <c r="J5759" t="s">
        <v>111</v>
      </c>
      <c r="K5759" t="str">
        <f>"85248"</f>
        <v>85248</v>
      </c>
      <c r="L5759" t="s">
        <v>284</v>
      </c>
      <c r="M5759" t="s">
        <v>35286</v>
      </c>
      <c r="N5759" t="s">
        <v>5551</v>
      </c>
      <c r="O5759" t="s">
        <v>111</v>
      </c>
      <c r="P5759" t="str">
        <f>"85248"</f>
        <v>85248</v>
      </c>
      <c r="Q5759" t="s">
        <v>113</v>
      </c>
      <c r="R5759" t="str">
        <f>"303-78-086"</f>
        <v>303-78-086</v>
      </c>
      <c r="S5759" t="s">
        <v>35287</v>
      </c>
      <c r="U5759">
        <v>2618</v>
      </c>
      <c r="V5759">
        <v>0</v>
      </c>
      <c r="W5759">
        <v>4</v>
      </c>
      <c r="X5759">
        <v>1998</v>
      </c>
      <c r="Z5759">
        <v>1</v>
      </c>
      <c r="AA5759" t="s">
        <v>26</v>
      </c>
      <c r="AB5759">
        <v>0</v>
      </c>
      <c r="AC5759" t="s">
        <v>115</v>
      </c>
      <c r="AD5759">
        <v>2</v>
      </c>
      <c r="AE5759" t="s">
        <v>115</v>
      </c>
      <c r="AF5759">
        <v>0</v>
      </c>
      <c r="AG5759">
        <v>0</v>
      </c>
      <c r="AH5759" t="s">
        <v>116</v>
      </c>
      <c r="AI5759" s="1">
        <v>65140</v>
      </c>
      <c r="AJ5759" s="2">
        <v>0.14000000000000001</v>
      </c>
      <c r="AK5759" s="1">
        <v>467965</v>
      </c>
      <c r="AL5759" t="s">
        <v>117</v>
      </c>
      <c r="AM5759" t="s">
        <v>191</v>
      </c>
      <c r="AN5759">
        <v>10014</v>
      </c>
      <c r="AO5759">
        <v>0.23</v>
      </c>
      <c r="AP5759">
        <v>1</v>
      </c>
      <c r="AR5759">
        <v>1</v>
      </c>
      <c r="AS5759" s="1">
        <v>32420</v>
      </c>
      <c r="AT5759" s="1">
        <v>6480</v>
      </c>
      <c r="AU5759" s="1">
        <v>25940</v>
      </c>
      <c r="AV5759">
        <v>80.010000000000005</v>
      </c>
      <c r="AX5759" s="1">
        <v>3836.74</v>
      </c>
      <c r="AY5759" t="s">
        <v>1881</v>
      </c>
      <c r="AZ5759" t="s">
        <v>1882</v>
      </c>
      <c r="BA5759" t="s">
        <v>121</v>
      </c>
      <c r="BB5759" s="3">
        <v>43061</v>
      </c>
      <c r="BD5759" t="s">
        <v>157</v>
      </c>
      <c r="BE5759" s="3">
        <v>42298</v>
      </c>
      <c r="BF5759" s="1">
        <v>410000</v>
      </c>
      <c r="BG5759" t="s">
        <v>35288</v>
      </c>
      <c r="BH5759" s="1">
        <v>156.61000000000001</v>
      </c>
      <c r="BI5759" s="1">
        <v>402825</v>
      </c>
      <c r="BJ5759" s="3">
        <v>43067</v>
      </c>
      <c r="BK5759" t="s">
        <v>123</v>
      </c>
      <c r="BL5759" t="str">
        <f>"2017.878992"</f>
        <v>2017.878992</v>
      </c>
      <c r="BM5759" t="s">
        <v>2657</v>
      </c>
      <c r="BN5759">
        <v>92612</v>
      </c>
      <c r="BO5759" t="s">
        <v>35289</v>
      </c>
      <c r="BS5759">
        <v>30</v>
      </c>
      <c r="BW5759" t="str">
        <f>""</f>
        <v/>
      </c>
      <c r="CH5759" t="str">
        <f>""</f>
        <v/>
      </c>
      <c r="CS5759" t="str">
        <f>""</f>
        <v/>
      </c>
    </row>
    <row r="5760" spans="1:97" x14ac:dyDescent="0.25">
      <c r="A5760" t="s">
        <v>35290</v>
      </c>
      <c r="B5760" t="s">
        <v>1532</v>
      </c>
      <c r="C5760" t="s">
        <v>2184</v>
      </c>
      <c r="D5760" t="s">
        <v>1532</v>
      </c>
      <c r="E5760" t="s">
        <v>35291</v>
      </c>
      <c r="F5760" t="s">
        <v>108</v>
      </c>
      <c r="H5760" t="s">
        <v>35292</v>
      </c>
      <c r="I5760" t="s">
        <v>453</v>
      </c>
      <c r="J5760" t="s">
        <v>111</v>
      </c>
      <c r="K5760" t="str">
        <f>"85345"</f>
        <v>85345</v>
      </c>
      <c r="L5760" t="s">
        <v>5176</v>
      </c>
      <c r="M5760" t="s">
        <v>35292</v>
      </c>
      <c r="N5760" t="s">
        <v>453</v>
      </c>
      <c r="O5760" t="s">
        <v>111</v>
      </c>
      <c r="P5760" t="str">
        <f>"85345-7971"</f>
        <v>85345-7971</v>
      </c>
      <c r="Q5760" t="s">
        <v>113</v>
      </c>
      <c r="R5760" t="str">
        <f>"142-35-418"</f>
        <v>142-35-418</v>
      </c>
      <c r="S5760" t="s">
        <v>6942</v>
      </c>
      <c r="T5760" t="s">
        <v>6943</v>
      </c>
      <c r="U5760">
        <v>2620</v>
      </c>
      <c r="V5760">
        <v>0</v>
      </c>
      <c r="W5760">
        <v>4</v>
      </c>
      <c r="X5760">
        <v>2014</v>
      </c>
      <c r="Z5760">
        <v>1</v>
      </c>
      <c r="AB5760">
        <v>0</v>
      </c>
      <c r="AC5760" t="s">
        <v>115</v>
      </c>
      <c r="AD5760">
        <v>3</v>
      </c>
      <c r="AE5760" t="s">
        <v>115</v>
      </c>
      <c r="AF5760">
        <v>0</v>
      </c>
      <c r="AG5760">
        <v>0</v>
      </c>
      <c r="AH5760" t="s">
        <v>116</v>
      </c>
      <c r="AI5760" s="1">
        <v>84450</v>
      </c>
      <c r="AJ5760" s="2">
        <v>0.22</v>
      </c>
      <c r="AK5760" s="1">
        <v>387313</v>
      </c>
      <c r="AL5760" t="s">
        <v>117</v>
      </c>
      <c r="AM5760" t="s">
        <v>118</v>
      </c>
      <c r="AN5760">
        <v>15675</v>
      </c>
      <c r="AO5760">
        <v>0.36</v>
      </c>
      <c r="AR5760">
        <v>1</v>
      </c>
      <c r="AS5760" s="1">
        <v>27880</v>
      </c>
      <c r="AT5760" s="1">
        <v>5570</v>
      </c>
      <c r="AU5760" s="1">
        <v>22310</v>
      </c>
      <c r="AV5760">
        <v>80.02</v>
      </c>
      <c r="AX5760" s="1">
        <v>2179.1999999999998</v>
      </c>
      <c r="AY5760" t="s">
        <v>6944</v>
      </c>
      <c r="AZ5760" t="s">
        <v>6944</v>
      </c>
      <c r="BA5760" t="s">
        <v>6945</v>
      </c>
      <c r="BE5760" s="3">
        <v>41876</v>
      </c>
      <c r="BF5760" s="1">
        <v>302902</v>
      </c>
      <c r="BG5760" t="s">
        <v>636</v>
      </c>
      <c r="BH5760" s="1">
        <v>115.61</v>
      </c>
      <c r="BI5760" s="1">
        <v>302863</v>
      </c>
      <c r="BJ5760" s="3">
        <v>42971</v>
      </c>
      <c r="BK5760" t="s">
        <v>123</v>
      </c>
      <c r="BL5760" t="str">
        <f>"2017.626708"</f>
        <v>2017.626708</v>
      </c>
      <c r="BM5760" t="s">
        <v>14513</v>
      </c>
      <c r="BN5760">
        <v>28273</v>
      </c>
      <c r="BO5760" t="s">
        <v>35293</v>
      </c>
      <c r="BS5760">
        <v>15</v>
      </c>
      <c r="BW5760" t="str">
        <f>""</f>
        <v/>
      </c>
      <c r="CH5760" t="str">
        <f>""</f>
        <v/>
      </c>
      <c r="CS5760" t="str">
        <f>""</f>
        <v/>
      </c>
    </row>
    <row r="5761" spans="1:97" x14ac:dyDescent="0.25">
      <c r="A5761" t="s">
        <v>1354</v>
      </c>
      <c r="B5761" t="s">
        <v>35294</v>
      </c>
      <c r="E5761" t="s">
        <v>35295</v>
      </c>
      <c r="F5761" t="s">
        <v>108</v>
      </c>
      <c r="H5761" t="s">
        <v>35296</v>
      </c>
      <c r="I5761" t="s">
        <v>225</v>
      </c>
      <c r="J5761" t="s">
        <v>111</v>
      </c>
      <c r="K5761" t="str">
        <f>"85202"</f>
        <v>85202</v>
      </c>
      <c r="L5761" t="s">
        <v>926</v>
      </c>
      <c r="M5761" t="s">
        <v>35296</v>
      </c>
      <c r="N5761" t="s">
        <v>225</v>
      </c>
      <c r="O5761" t="s">
        <v>111</v>
      </c>
      <c r="P5761" t="str">
        <f>"85202-7418"</f>
        <v>85202-7418</v>
      </c>
      <c r="Q5761" t="s">
        <v>113</v>
      </c>
      <c r="R5761" t="str">
        <f>"305-05-055"</f>
        <v>305-05-055</v>
      </c>
      <c r="S5761" t="s">
        <v>33189</v>
      </c>
      <c r="U5761">
        <v>2066</v>
      </c>
      <c r="V5761">
        <v>0</v>
      </c>
      <c r="W5761">
        <v>2</v>
      </c>
      <c r="X5761">
        <v>1975</v>
      </c>
      <c r="Z5761">
        <v>1</v>
      </c>
      <c r="AA5761" t="s">
        <v>26</v>
      </c>
      <c r="AB5761">
        <v>0</v>
      </c>
      <c r="AC5761" t="s">
        <v>115</v>
      </c>
      <c r="AD5761">
        <v>2</v>
      </c>
      <c r="AE5761" t="s">
        <v>115</v>
      </c>
      <c r="AF5761">
        <v>0</v>
      </c>
      <c r="AG5761">
        <v>0</v>
      </c>
      <c r="AH5761" t="s">
        <v>116</v>
      </c>
      <c r="AI5761" s="1">
        <v>69237</v>
      </c>
      <c r="AJ5761" s="2">
        <v>0.21</v>
      </c>
      <c r="AK5761" s="1">
        <v>334887</v>
      </c>
      <c r="AL5761" t="s">
        <v>117</v>
      </c>
      <c r="AM5761" t="s">
        <v>191</v>
      </c>
      <c r="AN5761">
        <v>10463</v>
      </c>
      <c r="AO5761">
        <v>0.24</v>
      </c>
      <c r="AP5761">
        <v>1</v>
      </c>
      <c r="AR5761">
        <v>1</v>
      </c>
      <c r="AS5761" s="1">
        <v>23970</v>
      </c>
      <c r="AT5761" s="1">
        <v>4790</v>
      </c>
      <c r="AU5761" s="1">
        <v>19180</v>
      </c>
      <c r="AV5761">
        <v>80.02</v>
      </c>
      <c r="AX5761" s="1">
        <v>1672.66</v>
      </c>
      <c r="AY5761" t="s">
        <v>8619</v>
      </c>
      <c r="AZ5761" t="s">
        <v>7295</v>
      </c>
      <c r="BA5761" t="s">
        <v>5311</v>
      </c>
      <c r="BE5761" s="3">
        <v>42076</v>
      </c>
      <c r="BF5761" s="1">
        <v>265000</v>
      </c>
      <c r="BG5761" t="s">
        <v>35297</v>
      </c>
      <c r="BH5761" s="1">
        <v>128.27000000000001</v>
      </c>
      <c r="BI5761" s="1">
        <v>214650</v>
      </c>
      <c r="BJ5761" s="3">
        <v>42076</v>
      </c>
      <c r="BK5761" t="s">
        <v>123</v>
      </c>
      <c r="BL5761" t="str">
        <f>"2015.171483"</f>
        <v>2015.171483</v>
      </c>
      <c r="BM5761" t="s">
        <v>594</v>
      </c>
      <c r="BO5761" t="s">
        <v>35298</v>
      </c>
      <c r="BS5761">
        <v>30</v>
      </c>
      <c r="BT5761" s="1">
        <v>51000</v>
      </c>
      <c r="BU5761" s="3">
        <v>42948</v>
      </c>
      <c r="BW5761" t="str">
        <f>"2017.565057"</f>
        <v>2017.565057</v>
      </c>
      <c r="BX5761" t="s">
        <v>3843</v>
      </c>
      <c r="BZ5761" t="s">
        <v>35298</v>
      </c>
      <c r="CC5761" t="s">
        <v>1633</v>
      </c>
      <c r="CH5761" t="str">
        <f>""</f>
        <v/>
      </c>
      <c r="CS5761" t="str">
        <f>""</f>
        <v/>
      </c>
    </row>
    <row r="5762" spans="1:97" x14ac:dyDescent="0.25">
      <c r="A5762" t="s">
        <v>2933</v>
      </c>
      <c r="B5762" t="s">
        <v>35299</v>
      </c>
      <c r="E5762" t="s">
        <v>35300</v>
      </c>
      <c r="F5762" t="s">
        <v>108</v>
      </c>
      <c r="H5762" t="s">
        <v>35301</v>
      </c>
      <c r="I5762" t="s">
        <v>390</v>
      </c>
      <c r="J5762" t="s">
        <v>111</v>
      </c>
      <c r="K5762" t="str">
        <f>"85044"</f>
        <v>85044</v>
      </c>
      <c r="L5762" t="s">
        <v>1518</v>
      </c>
      <c r="M5762" t="s">
        <v>35301</v>
      </c>
      <c r="N5762" t="s">
        <v>390</v>
      </c>
      <c r="O5762" t="s">
        <v>111</v>
      </c>
      <c r="P5762" t="str">
        <f>"85044-2807"</f>
        <v>85044-2807</v>
      </c>
      <c r="Q5762" t="s">
        <v>113</v>
      </c>
      <c r="R5762" t="str">
        <f>"301-54-240"</f>
        <v>301-54-240</v>
      </c>
      <c r="S5762" t="s">
        <v>35302</v>
      </c>
      <c r="U5762">
        <v>1482</v>
      </c>
      <c r="V5762">
        <v>0</v>
      </c>
      <c r="W5762">
        <v>2</v>
      </c>
      <c r="X5762">
        <v>1974</v>
      </c>
      <c r="Z5762">
        <v>1</v>
      </c>
      <c r="AA5762" t="s">
        <v>26</v>
      </c>
      <c r="AB5762">
        <v>0</v>
      </c>
      <c r="AC5762" t="s">
        <v>115</v>
      </c>
      <c r="AD5762">
        <v>2</v>
      </c>
      <c r="AE5762" t="s">
        <v>115</v>
      </c>
      <c r="AF5762">
        <v>0</v>
      </c>
      <c r="AG5762">
        <v>0</v>
      </c>
      <c r="AH5762" t="s">
        <v>116</v>
      </c>
      <c r="AI5762" s="1">
        <v>35473</v>
      </c>
      <c r="AJ5762" s="2">
        <v>0.13</v>
      </c>
      <c r="AK5762" s="1">
        <v>271554</v>
      </c>
      <c r="AL5762" t="s">
        <v>117</v>
      </c>
      <c r="AM5762" t="s">
        <v>191</v>
      </c>
      <c r="AN5762">
        <v>9052</v>
      </c>
      <c r="AO5762">
        <v>0.21</v>
      </c>
      <c r="AP5762">
        <v>1</v>
      </c>
      <c r="AR5762">
        <v>1</v>
      </c>
      <c r="AS5762" s="1">
        <v>19070</v>
      </c>
      <c r="AT5762" s="1">
        <v>3810</v>
      </c>
      <c r="AU5762" s="1">
        <v>15260</v>
      </c>
      <c r="AV5762">
        <v>80.02</v>
      </c>
      <c r="AX5762" s="1">
        <v>1742.44</v>
      </c>
      <c r="AY5762" t="s">
        <v>11872</v>
      </c>
      <c r="AZ5762" t="s">
        <v>7255</v>
      </c>
      <c r="BA5762" t="s">
        <v>5328</v>
      </c>
      <c r="BE5762" s="3">
        <v>42131</v>
      </c>
      <c r="BF5762" s="1">
        <v>207000</v>
      </c>
      <c r="BG5762" t="s">
        <v>35303</v>
      </c>
      <c r="BH5762" s="1">
        <v>139.68</v>
      </c>
      <c r="BI5762" s="1">
        <v>236081</v>
      </c>
      <c r="BJ5762" s="3">
        <v>43230</v>
      </c>
      <c r="BK5762" t="s">
        <v>123</v>
      </c>
      <c r="BL5762" t="str">
        <f>"2018.356261"</f>
        <v>2018.356261</v>
      </c>
      <c r="BM5762" t="s">
        <v>1809</v>
      </c>
      <c r="BN5762" t="s">
        <v>1810</v>
      </c>
      <c r="BO5762" t="s">
        <v>35304</v>
      </c>
      <c r="BR5762" t="s">
        <v>139</v>
      </c>
      <c r="BW5762" t="str">
        <f>""</f>
        <v/>
      </c>
      <c r="CH5762" t="str">
        <f>""</f>
        <v/>
      </c>
      <c r="CS5762" t="str">
        <f>""</f>
        <v/>
      </c>
    </row>
    <row r="5763" spans="1:97" x14ac:dyDescent="0.25">
      <c r="A5763" t="s">
        <v>12323</v>
      </c>
      <c r="B5763" t="s">
        <v>603</v>
      </c>
      <c r="C5763" t="s">
        <v>976</v>
      </c>
      <c r="D5763" t="s">
        <v>603</v>
      </c>
      <c r="E5763" t="s">
        <v>35305</v>
      </c>
      <c r="F5763" t="s">
        <v>108</v>
      </c>
      <c r="H5763" t="s">
        <v>35306</v>
      </c>
      <c r="I5763" t="s">
        <v>632</v>
      </c>
      <c r="J5763" t="s">
        <v>111</v>
      </c>
      <c r="K5763" t="str">
        <f>"85388"</f>
        <v>85388</v>
      </c>
      <c r="L5763" t="s">
        <v>7607</v>
      </c>
      <c r="M5763" t="s">
        <v>35306</v>
      </c>
      <c r="N5763" t="s">
        <v>632</v>
      </c>
      <c r="O5763" t="s">
        <v>111</v>
      </c>
      <c r="P5763" t="str">
        <f>"85388-1681"</f>
        <v>85388-1681</v>
      </c>
      <c r="Q5763" t="s">
        <v>113</v>
      </c>
      <c r="R5763" t="str">
        <f>"502-02-542"</f>
        <v>502-02-542</v>
      </c>
      <c r="S5763" t="s">
        <v>10965</v>
      </c>
      <c r="T5763" t="s">
        <v>10966</v>
      </c>
      <c r="U5763">
        <v>2543</v>
      </c>
      <c r="V5763">
        <v>0</v>
      </c>
      <c r="W5763">
        <v>3</v>
      </c>
      <c r="X5763">
        <v>2007</v>
      </c>
      <c r="Z5763">
        <v>2</v>
      </c>
      <c r="AB5763">
        <v>0</v>
      </c>
      <c r="AC5763" t="s">
        <v>115</v>
      </c>
      <c r="AD5763">
        <v>2</v>
      </c>
      <c r="AE5763" t="s">
        <v>115</v>
      </c>
      <c r="AF5763">
        <v>0</v>
      </c>
      <c r="AG5763">
        <v>0</v>
      </c>
      <c r="AH5763" t="s">
        <v>116</v>
      </c>
      <c r="AI5763" s="1">
        <v>38308</v>
      </c>
      <c r="AJ5763" s="2">
        <v>0.14000000000000001</v>
      </c>
      <c r="AK5763" s="1">
        <v>274308</v>
      </c>
      <c r="AL5763" t="s">
        <v>117</v>
      </c>
      <c r="AM5763" t="s">
        <v>118</v>
      </c>
      <c r="AN5763">
        <v>5175</v>
      </c>
      <c r="AO5763">
        <v>0.12</v>
      </c>
      <c r="AP5763">
        <v>1</v>
      </c>
      <c r="AR5763">
        <v>1</v>
      </c>
      <c r="AS5763" s="1">
        <v>19130</v>
      </c>
      <c r="AT5763" s="1">
        <v>3820</v>
      </c>
      <c r="AU5763" s="1">
        <v>15310</v>
      </c>
      <c r="AV5763">
        <v>80.03</v>
      </c>
      <c r="AX5763" s="1">
        <v>1660.44</v>
      </c>
      <c r="AY5763" t="s">
        <v>5168</v>
      </c>
      <c r="AZ5763" t="s">
        <v>5168</v>
      </c>
      <c r="BA5763" t="s">
        <v>5109</v>
      </c>
      <c r="BE5763" s="3">
        <v>42251</v>
      </c>
      <c r="BF5763" s="1">
        <v>215000</v>
      </c>
      <c r="BG5763" t="s">
        <v>35307</v>
      </c>
      <c r="BH5763" s="1">
        <v>84.55</v>
      </c>
      <c r="BI5763" s="1">
        <v>236000</v>
      </c>
      <c r="BJ5763" s="3">
        <v>42781</v>
      </c>
      <c r="BK5763" t="s">
        <v>123</v>
      </c>
      <c r="BL5763" t="str">
        <f>"2017.114304"</f>
        <v>2017.114304</v>
      </c>
      <c r="BM5763" t="s">
        <v>1791</v>
      </c>
      <c r="BO5763" t="s">
        <v>35308</v>
      </c>
      <c r="BS5763">
        <v>30</v>
      </c>
      <c r="BW5763" t="str">
        <f>""</f>
        <v/>
      </c>
      <c r="CH5763" t="str">
        <f>""</f>
        <v/>
      </c>
      <c r="CS5763" t="str">
        <f>""</f>
        <v/>
      </c>
    </row>
    <row r="5764" spans="1:97" x14ac:dyDescent="0.25">
      <c r="A5764" t="s">
        <v>12368</v>
      </c>
      <c r="B5764" t="s">
        <v>35309</v>
      </c>
      <c r="E5764" t="s">
        <v>35310</v>
      </c>
      <c r="F5764" t="s">
        <v>282</v>
      </c>
      <c r="H5764" t="s">
        <v>35311</v>
      </c>
      <c r="I5764" t="s">
        <v>632</v>
      </c>
      <c r="J5764" t="s">
        <v>111</v>
      </c>
      <c r="K5764" t="str">
        <f>"85388"</f>
        <v>85388</v>
      </c>
      <c r="L5764" t="s">
        <v>4467</v>
      </c>
      <c r="M5764" t="s">
        <v>35312</v>
      </c>
      <c r="N5764" t="s">
        <v>35313</v>
      </c>
      <c r="O5764" t="s">
        <v>360</v>
      </c>
      <c r="P5764" t="str">
        <f>"92886-4940"</f>
        <v>92886-4940</v>
      </c>
      <c r="Q5764" t="s">
        <v>113</v>
      </c>
      <c r="R5764" t="str">
        <f>"502-09-600"</f>
        <v>502-09-600</v>
      </c>
      <c r="S5764" t="s">
        <v>5359</v>
      </c>
      <c r="T5764" t="s">
        <v>5360</v>
      </c>
      <c r="U5764">
        <v>2519</v>
      </c>
      <c r="V5764">
        <v>0</v>
      </c>
      <c r="W5764">
        <v>3</v>
      </c>
      <c r="X5764">
        <v>2014</v>
      </c>
      <c r="Z5764">
        <v>1</v>
      </c>
      <c r="AB5764">
        <v>0</v>
      </c>
      <c r="AC5764" t="s">
        <v>115</v>
      </c>
      <c r="AD5764">
        <v>3</v>
      </c>
      <c r="AE5764" t="s">
        <v>115</v>
      </c>
      <c r="AF5764">
        <v>0</v>
      </c>
      <c r="AG5764">
        <v>0</v>
      </c>
      <c r="AH5764" t="s">
        <v>116</v>
      </c>
      <c r="AI5764" s="1">
        <v>64134</v>
      </c>
      <c r="AJ5764" s="2">
        <v>0.19</v>
      </c>
      <c r="AK5764" s="1">
        <v>339264</v>
      </c>
      <c r="AL5764" t="s">
        <v>117</v>
      </c>
      <c r="AM5764" t="s">
        <v>118</v>
      </c>
      <c r="AN5764">
        <v>11103</v>
      </c>
      <c r="AO5764">
        <v>0.26</v>
      </c>
      <c r="AR5764">
        <v>1</v>
      </c>
      <c r="AS5764" s="1">
        <v>25210</v>
      </c>
      <c r="AT5764" s="1">
        <v>5040</v>
      </c>
      <c r="AU5764" s="1">
        <v>20170</v>
      </c>
      <c r="AV5764">
        <v>80.010000000000005</v>
      </c>
      <c r="AX5764" s="1">
        <v>1988.2</v>
      </c>
      <c r="AY5764" t="s">
        <v>5168</v>
      </c>
      <c r="AZ5764" t="s">
        <v>5168</v>
      </c>
      <c r="BA5764" t="s">
        <v>5109</v>
      </c>
      <c r="BE5764" s="3">
        <v>41747</v>
      </c>
      <c r="BF5764" s="1">
        <v>275500</v>
      </c>
      <c r="BG5764" t="s">
        <v>2289</v>
      </c>
      <c r="BH5764" s="1">
        <v>109.37</v>
      </c>
      <c r="BI5764" s="1">
        <v>275130</v>
      </c>
      <c r="BJ5764" s="3">
        <v>42065</v>
      </c>
      <c r="BK5764" t="s">
        <v>123</v>
      </c>
      <c r="BL5764" t="str">
        <f>"2015.137974"</f>
        <v>2015.137974</v>
      </c>
      <c r="BM5764" t="s">
        <v>24820</v>
      </c>
      <c r="BO5764" t="s">
        <v>35314</v>
      </c>
      <c r="BS5764">
        <v>30</v>
      </c>
      <c r="BW5764" t="str">
        <f>""</f>
        <v/>
      </c>
      <c r="CH5764" t="str">
        <f>""</f>
        <v/>
      </c>
      <c r="CS5764" t="str">
        <f>""</f>
        <v/>
      </c>
    </row>
    <row r="5765" spans="1:97" x14ac:dyDescent="0.25">
      <c r="A5765" t="s">
        <v>589</v>
      </c>
      <c r="B5765" t="s">
        <v>1099</v>
      </c>
      <c r="C5765" t="s">
        <v>6345</v>
      </c>
      <c r="D5765" t="s">
        <v>1099</v>
      </c>
      <c r="E5765" t="s">
        <v>35315</v>
      </c>
      <c r="F5765" t="s">
        <v>108</v>
      </c>
      <c r="H5765" t="s">
        <v>35316</v>
      </c>
      <c r="I5765" t="s">
        <v>499</v>
      </c>
      <c r="J5765" t="s">
        <v>111</v>
      </c>
      <c r="K5765" t="str">
        <f>"85338"</f>
        <v>85338</v>
      </c>
      <c r="L5765" t="s">
        <v>5775</v>
      </c>
      <c r="M5765" t="s">
        <v>35316</v>
      </c>
      <c r="N5765" t="s">
        <v>499</v>
      </c>
      <c r="O5765" t="s">
        <v>111</v>
      </c>
      <c r="P5765" t="str">
        <f>"85338-3271"</f>
        <v>85338-3271</v>
      </c>
      <c r="Q5765" t="s">
        <v>113</v>
      </c>
      <c r="R5765" t="str">
        <f>"500-10-451"</f>
        <v>500-10-451</v>
      </c>
      <c r="S5765" t="s">
        <v>9551</v>
      </c>
      <c r="T5765" t="s">
        <v>9551</v>
      </c>
      <c r="U5765">
        <v>2309</v>
      </c>
      <c r="V5765">
        <v>0</v>
      </c>
      <c r="W5765">
        <v>3</v>
      </c>
      <c r="X5765">
        <v>2014</v>
      </c>
      <c r="Z5765">
        <v>1</v>
      </c>
      <c r="AB5765">
        <v>0</v>
      </c>
      <c r="AC5765" t="s">
        <v>115</v>
      </c>
      <c r="AD5765">
        <v>2</v>
      </c>
      <c r="AE5765" t="s">
        <v>115</v>
      </c>
      <c r="AF5765">
        <v>0</v>
      </c>
      <c r="AG5765">
        <v>0</v>
      </c>
      <c r="AH5765" t="s">
        <v>116</v>
      </c>
      <c r="AI5765" s="1">
        <v>48082</v>
      </c>
      <c r="AJ5765" s="2">
        <v>0.14000000000000001</v>
      </c>
      <c r="AK5765" s="1">
        <v>333082</v>
      </c>
      <c r="AL5765" t="s">
        <v>117</v>
      </c>
      <c r="AM5765" t="s">
        <v>118</v>
      </c>
      <c r="AN5765">
        <v>8100</v>
      </c>
      <c r="AO5765">
        <v>0.19</v>
      </c>
      <c r="AR5765">
        <v>1</v>
      </c>
      <c r="AS5765" s="1">
        <v>23450</v>
      </c>
      <c r="AT5765" s="1">
        <v>4690</v>
      </c>
      <c r="AU5765" s="1">
        <v>18760</v>
      </c>
      <c r="AV5765">
        <v>80</v>
      </c>
      <c r="AX5765" s="1">
        <v>2046.32</v>
      </c>
      <c r="AY5765" t="s">
        <v>4311</v>
      </c>
      <c r="AZ5765" t="s">
        <v>4311</v>
      </c>
      <c r="BA5765" t="s">
        <v>7186</v>
      </c>
      <c r="BB5765" s="3">
        <v>42354</v>
      </c>
      <c r="BD5765" t="s">
        <v>480</v>
      </c>
      <c r="BE5765" s="3">
        <v>42354</v>
      </c>
      <c r="BF5765" s="1">
        <v>266990</v>
      </c>
      <c r="BG5765" t="s">
        <v>158</v>
      </c>
      <c r="BH5765" s="1">
        <v>115.63</v>
      </c>
      <c r="BI5765" s="1">
        <v>285000</v>
      </c>
      <c r="BJ5765" s="3">
        <v>42723</v>
      </c>
      <c r="BK5765" t="s">
        <v>123</v>
      </c>
      <c r="BL5765" t="str">
        <f>"2016.934039"</f>
        <v>2016.934039</v>
      </c>
      <c r="BM5765" t="s">
        <v>369</v>
      </c>
      <c r="BO5765" t="s">
        <v>35317</v>
      </c>
      <c r="BS5765">
        <v>30</v>
      </c>
      <c r="BW5765" t="str">
        <f>""</f>
        <v/>
      </c>
      <c r="CH5765" t="str">
        <f>""</f>
        <v/>
      </c>
      <c r="CS5765" t="str">
        <f>""</f>
        <v/>
      </c>
    </row>
    <row r="5766" spans="1:97" x14ac:dyDescent="0.25">
      <c r="A5766" t="s">
        <v>27220</v>
      </c>
      <c r="B5766" t="s">
        <v>35318</v>
      </c>
      <c r="E5766" t="s">
        <v>35319</v>
      </c>
      <c r="F5766" t="s">
        <v>108</v>
      </c>
      <c r="H5766" t="s">
        <v>35320</v>
      </c>
      <c r="I5766" t="s">
        <v>2874</v>
      </c>
      <c r="J5766" t="s">
        <v>111</v>
      </c>
      <c r="K5766" t="str">
        <f>"85308"</f>
        <v>85308</v>
      </c>
      <c r="L5766" t="s">
        <v>3982</v>
      </c>
      <c r="M5766" t="s">
        <v>35320</v>
      </c>
      <c r="N5766" t="s">
        <v>2874</v>
      </c>
      <c r="O5766" t="s">
        <v>111</v>
      </c>
      <c r="P5766" t="str">
        <f>"85308-1136"</f>
        <v>85308-1136</v>
      </c>
      <c r="Q5766" t="s">
        <v>113</v>
      </c>
      <c r="R5766" t="str">
        <f>"200-47-118"</f>
        <v>200-47-118</v>
      </c>
      <c r="S5766" t="s">
        <v>32128</v>
      </c>
      <c r="T5766" t="s">
        <v>35321</v>
      </c>
      <c r="U5766">
        <v>2362</v>
      </c>
      <c r="V5766">
        <v>0</v>
      </c>
      <c r="W5766">
        <v>4</v>
      </c>
      <c r="X5766">
        <v>1992</v>
      </c>
      <c r="Z5766">
        <v>2</v>
      </c>
      <c r="AA5766" t="s">
        <v>26</v>
      </c>
      <c r="AB5766">
        <v>0</v>
      </c>
      <c r="AC5766" t="s">
        <v>115</v>
      </c>
      <c r="AD5766">
        <v>3</v>
      </c>
      <c r="AE5766" t="s">
        <v>115</v>
      </c>
      <c r="AF5766">
        <v>0</v>
      </c>
      <c r="AG5766">
        <v>0</v>
      </c>
      <c r="AH5766" t="s">
        <v>116</v>
      </c>
      <c r="AI5766" s="1">
        <v>76292</v>
      </c>
      <c r="AJ5766" s="2">
        <v>0.21</v>
      </c>
      <c r="AK5766" s="1">
        <v>362292</v>
      </c>
      <c r="AL5766" t="s">
        <v>117</v>
      </c>
      <c r="AM5766" t="s">
        <v>191</v>
      </c>
      <c r="AN5766">
        <v>7711</v>
      </c>
      <c r="AO5766">
        <v>0.18</v>
      </c>
      <c r="AP5766">
        <v>1</v>
      </c>
      <c r="AR5766">
        <v>1</v>
      </c>
      <c r="AS5766" s="1">
        <v>25310</v>
      </c>
      <c r="AT5766" s="1">
        <v>5060</v>
      </c>
      <c r="AU5766" s="1">
        <v>20250</v>
      </c>
      <c r="AV5766">
        <v>80.010000000000005</v>
      </c>
      <c r="AX5766" s="1">
        <v>2141.86</v>
      </c>
      <c r="AY5766" t="s">
        <v>7283</v>
      </c>
      <c r="AZ5766" t="s">
        <v>7283</v>
      </c>
      <c r="BA5766" t="s">
        <v>5143</v>
      </c>
      <c r="BB5766" s="3">
        <v>42447</v>
      </c>
      <c r="BD5766" t="s">
        <v>240</v>
      </c>
      <c r="BE5766" s="3">
        <v>42167</v>
      </c>
      <c r="BF5766" s="1">
        <v>285400</v>
      </c>
      <c r="BG5766" t="s">
        <v>14922</v>
      </c>
      <c r="BH5766" s="1">
        <v>120.83</v>
      </c>
      <c r="BI5766" s="1">
        <v>286000</v>
      </c>
      <c r="BJ5766" s="3">
        <v>42690</v>
      </c>
      <c r="BK5766" t="s">
        <v>123</v>
      </c>
      <c r="BL5766" t="str">
        <f>"2016.845266"</f>
        <v>2016.845266</v>
      </c>
      <c r="BM5766" t="s">
        <v>2368</v>
      </c>
      <c r="BO5766" t="s">
        <v>35322</v>
      </c>
      <c r="BS5766">
        <v>30</v>
      </c>
      <c r="BW5766" t="str">
        <f>""</f>
        <v/>
      </c>
      <c r="CH5766" t="str">
        <f>""</f>
        <v/>
      </c>
      <c r="CS5766" t="str">
        <f>""</f>
        <v/>
      </c>
    </row>
    <row r="5767" spans="1:97" x14ac:dyDescent="0.25">
      <c r="A5767" t="s">
        <v>7405</v>
      </c>
      <c r="B5767" t="s">
        <v>35323</v>
      </c>
      <c r="C5767" t="s">
        <v>484</v>
      </c>
      <c r="D5767" t="s">
        <v>35323</v>
      </c>
      <c r="E5767" t="s">
        <v>35324</v>
      </c>
      <c r="F5767" t="s">
        <v>108</v>
      </c>
      <c r="H5767" t="s">
        <v>35325</v>
      </c>
      <c r="I5767" t="s">
        <v>144</v>
      </c>
      <c r="J5767" t="s">
        <v>111</v>
      </c>
      <c r="K5767" t="str">
        <f>"85326"</f>
        <v>85326</v>
      </c>
      <c r="L5767" t="s">
        <v>6316</v>
      </c>
      <c r="M5767" t="s">
        <v>35325</v>
      </c>
      <c r="N5767" t="s">
        <v>144</v>
      </c>
      <c r="O5767" t="s">
        <v>111</v>
      </c>
      <c r="P5767" t="str">
        <f>"85326-2279"</f>
        <v>85326-2279</v>
      </c>
      <c r="R5767" t="str">
        <f>"504-33-513"</f>
        <v>504-33-513</v>
      </c>
      <c r="S5767" t="s">
        <v>35326</v>
      </c>
      <c r="U5767">
        <v>1923</v>
      </c>
      <c r="V5767">
        <v>0</v>
      </c>
      <c r="W5767">
        <v>3</v>
      </c>
      <c r="X5767">
        <v>2015</v>
      </c>
      <c r="Z5767">
        <v>1</v>
      </c>
      <c r="AB5767">
        <v>0</v>
      </c>
      <c r="AC5767" t="s">
        <v>115</v>
      </c>
      <c r="AD5767">
        <v>2</v>
      </c>
      <c r="AE5767" t="s">
        <v>115</v>
      </c>
      <c r="AF5767">
        <v>0</v>
      </c>
      <c r="AG5767">
        <v>0</v>
      </c>
      <c r="AH5767" t="s">
        <v>116</v>
      </c>
      <c r="AI5767" s="1">
        <v>48080</v>
      </c>
      <c r="AJ5767" s="2">
        <v>0.17</v>
      </c>
      <c r="AK5767" s="1">
        <v>283080</v>
      </c>
      <c r="AL5767" t="s">
        <v>117</v>
      </c>
      <c r="AM5767" t="s">
        <v>118</v>
      </c>
      <c r="AN5767">
        <v>10599</v>
      </c>
      <c r="AO5767">
        <v>0.24</v>
      </c>
      <c r="AR5767">
        <v>1</v>
      </c>
      <c r="AS5767" s="1">
        <v>21070</v>
      </c>
      <c r="AT5767" s="1">
        <v>4210</v>
      </c>
      <c r="AU5767" s="1">
        <v>16860</v>
      </c>
      <c r="AV5767">
        <v>80.02</v>
      </c>
      <c r="AX5767" s="1">
        <v>2818.94</v>
      </c>
      <c r="AY5767" t="s">
        <v>7333</v>
      </c>
      <c r="AZ5767" t="s">
        <v>7333</v>
      </c>
      <c r="BA5767" t="s">
        <v>5025</v>
      </c>
      <c r="BE5767" s="3">
        <v>42367</v>
      </c>
      <c r="BF5767" s="1">
        <v>213907</v>
      </c>
      <c r="BG5767" t="s">
        <v>209</v>
      </c>
      <c r="BH5767" s="1">
        <v>111.24</v>
      </c>
      <c r="BI5767" s="1">
        <v>207000</v>
      </c>
      <c r="BJ5767" s="3">
        <v>42367</v>
      </c>
      <c r="BK5767" t="s">
        <v>123</v>
      </c>
      <c r="BL5767" t="str">
        <f>"2015.914330"</f>
        <v>2015.914330</v>
      </c>
      <c r="BM5767" t="s">
        <v>175</v>
      </c>
      <c r="BN5767" t="s">
        <v>132</v>
      </c>
      <c r="BO5767" t="s">
        <v>35327</v>
      </c>
      <c r="BS5767">
        <v>30</v>
      </c>
      <c r="BT5767" s="1">
        <v>28000</v>
      </c>
      <c r="BU5767" s="3">
        <v>43140</v>
      </c>
      <c r="BV5767" t="s">
        <v>134</v>
      </c>
      <c r="BW5767" t="str">
        <f>"2018.100422"</f>
        <v>2018.100422</v>
      </c>
      <c r="BX5767" t="s">
        <v>10752</v>
      </c>
      <c r="BY5767" t="s">
        <v>10753</v>
      </c>
      <c r="BZ5767" t="s">
        <v>35328</v>
      </c>
      <c r="CA5767" t="s">
        <v>35329</v>
      </c>
      <c r="CC5767" t="s">
        <v>139</v>
      </c>
      <c r="CH5767" t="str">
        <f>""</f>
        <v/>
      </c>
      <c r="CS5767" t="str">
        <f>""</f>
        <v/>
      </c>
    </row>
    <row r="5768" spans="1:97" x14ac:dyDescent="0.25">
      <c r="A5768" t="s">
        <v>177</v>
      </c>
      <c r="B5768" t="s">
        <v>35330</v>
      </c>
      <c r="E5768" t="s">
        <v>35331</v>
      </c>
      <c r="F5768" t="s">
        <v>108</v>
      </c>
      <c r="H5768" t="s">
        <v>35332</v>
      </c>
      <c r="I5768" t="s">
        <v>1936</v>
      </c>
      <c r="J5768" t="s">
        <v>111</v>
      </c>
      <c r="K5768" t="str">
        <f>"85257"</f>
        <v>85257</v>
      </c>
      <c r="L5768" t="s">
        <v>6145</v>
      </c>
      <c r="M5768" t="s">
        <v>35332</v>
      </c>
      <c r="N5768" t="s">
        <v>1936</v>
      </c>
      <c r="O5768" t="s">
        <v>111</v>
      </c>
      <c r="P5768" t="str">
        <f>"85257-4232"</f>
        <v>85257-4232</v>
      </c>
      <c r="Q5768" t="s">
        <v>113</v>
      </c>
      <c r="R5768" t="str">
        <f>"131-16-044"</f>
        <v>131-16-044</v>
      </c>
      <c r="S5768" t="s">
        <v>35333</v>
      </c>
      <c r="T5768" t="s">
        <v>8391</v>
      </c>
      <c r="U5768">
        <v>1728</v>
      </c>
      <c r="V5768">
        <v>0</v>
      </c>
      <c r="W5768">
        <v>2</v>
      </c>
      <c r="X5768">
        <v>1961</v>
      </c>
      <c r="Z5768">
        <v>1</v>
      </c>
      <c r="AB5768">
        <v>0</v>
      </c>
      <c r="AC5768" t="s">
        <v>5188</v>
      </c>
      <c r="AD5768">
        <v>2</v>
      </c>
      <c r="AE5768" t="s">
        <v>5188</v>
      </c>
      <c r="AF5768">
        <v>0</v>
      </c>
      <c r="AG5768">
        <v>0</v>
      </c>
      <c r="AH5768" t="s">
        <v>116</v>
      </c>
      <c r="AI5768" s="1">
        <v>116216</v>
      </c>
      <c r="AJ5768" s="2">
        <v>0.31</v>
      </c>
      <c r="AK5768" s="1">
        <v>369548</v>
      </c>
      <c r="AL5768" t="s">
        <v>117</v>
      </c>
      <c r="AM5768" t="s">
        <v>393</v>
      </c>
      <c r="AN5768">
        <v>7873</v>
      </c>
      <c r="AO5768">
        <v>0.18</v>
      </c>
      <c r="AP5768">
        <v>1</v>
      </c>
      <c r="AR5768">
        <v>1</v>
      </c>
      <c r="AS5768" s="1">
        <v>24600</v>
      </c>
      <c r="AT5768" s="1">
        <v>4920</v>
      </c>
      <c r="AU5768" s="1">
        <v>19680</v>
      </c>
      <c r="AV5768">
        <v>80</v>
      </c>
      <c r="AX5768" s="1">
        <v>1109.4000000000001</v>
      </c>
      <c r="AY5768" t="s">
        <v>8392</v>
      </c>
      <c r="AZ5768" t="s">
        <v>5420</v>
      </c>
      <c r="BA5768" t="s">
        <v>5421</v>
      </c>
      <c r="BE5768" s="3">
        <v>42524</v>
      </c>
      <c r="BF5768" s="1">
        <v>248000</v>
      </c>
      <c r="BG5768" t="s">
        <v>35334</v>
      </c>
      <c r="BH5768" s="1">
        <v>143.52000000000001</v>
      </c>
      <c r="BI5768" s="1">
        <v>253332</v>
      </c>
      <c r="BJ5768" s="3">
        <v>42524</v>
      </c>
      <c r="BK5768" t="s">
        <v>123</v>
      </c>
      <c r="BL5768" t="str">
        <f>"2016.386844"</f>
        <v>2016.386844</v>
      </c>
      <c r="BM5768" t="s">
        <v>1038</v>
      </c>
      <c r="BO5768" t="s">
        <v>35335</v>
      </c>
      <c r="BS5768">
        <v>30</v>
      </c>
      <c r="BW5768" t="str">
        <f>""</f>
        <v/>
      </c>
      <c r="CH5768" t="str">
        <f>""</f>
        <v/>
      </c>
      <c r="CS5768" t="str">
        <f>""</f>
        <v/>
      </c>
    </row>
    <row r="5769" spans="1:97" x14ac:dyDescent="0.25">
      <c r="A5769" t="s">
        <v>2991</v>
      </c>
      <c r="B5769" t="s">
        <v>14477</v>
      </c>
      <c r="E5769" t="s">
        <v>35336</v>
      </c>
      <c r="F5769" t="s">
        <v>108</v>
      </c>
      <c r="H5769" t="s">
        <v>35337</v>
      </c>
      <c r="I5769" t="s">
        <v>203</v>
      </c>
      <c r="J5769" t="s">
        <v>111</v>
      </c>
      <c r="K5769" t="str">
        <f>"85298"</f>
        <v>85298</v>
      </c>
      <c r="L5769" t="s">
        <v>337</v>
      </c>
      <c r="M5769" t="s">
        <v>35337</v>
      </c>
      <c r="N5769" t="s">
        <v>203</v>
      </c>
      <c r="O5769" t="s">
        <v>111</v>
      </c>
      <c r="P5769" t="str">
        <f>"85298-9757"</f>
        <v>85298-9757</v>
      </c>
      <c r="Q5769" t="s">
        <v>113</v>
      </c>
      <c r="R5769" t="str">
        <f>"304-85-332"</f>
        <v>304-85-332</v>
      </c>
      <c r="S5769" t="s">
        <v>35338</v>
      </c>
      <c r="T5769" t="s">
        <v>271</v>
      </c>
      <c r="U5769">
        <v>1572</v>
      </c>
      <c r="V5769">
        <v>0</v>
      </c>
      <c r="W5769">
        <v>3</v>
      </c>
      <c r="X5769">
        <v>2012</v>
      </c>
      <c r="Z5769">
        <v>1</v>
      </c>
      <c r="AB5769">
        <v>0</v>
      </c>
      <c r="AC5769" t="s">
        <v>115</v>
      </c>
      <c r="AD5769">
        <v>2</v>
      </c>
      <c r="AE5769" t="s">
        <v>115</v>
      </c>
      <c r="AF5769">
        <v>0</v>
      </c>
      <c r="AG5769">
        <v>0</v>
      </c>
      <c r="AH5769" t="s">
        <v>116</v>
      </c>
      <c r="AI5769" s="1">
        <v>52731</v>
      </c>
      <c r="AJ5769" s="2">
        <v>0.16</v>
      </c>
      <c r="AK5769" s="1">
        <v>321207</v>
      </c>
      <c r="AL5769" t="s">
        <v>117</v>
      </c>
      <c r="AM5769" t="s">
        <v>288</v>
      </c>
      <c r="AN5769">
        <v>6101</v>
      </c>
      <c r="AO5769">
        <v>0.14000000000000001</v>
      </c>
      <c r="AR5769">
        <v>1</v>
      </c>
      <c r="AS5769" s="1">
        <v>21600</v>
      </c>
      <c r="AT5769" s="1">
        <v>4320</v>
      </c>
      <c r="AU5769" s="1">
        <v>17280</v>
      </c>
      <c r="AV5769">
        <v>80</v>
      </c>
      <c r="AX5769" s="1">
        <v>1744.7</v>
      </c>
      <c r="AY5769" t="s">
        <v>272</v>
      </c>
      <c r="AZ5769" t="s">
        <v>273</v>
      </c>
      <c r="BA5769" t="s">
        <v>274</v>
      </c>
      <c r="BE5769" s="3">
        <v>42514</v>
      </c>
      <c r="BF5769" s="1">
        <v>259900</v>
      </c>
      <c r="BG5769" t="s">
        <v>35339</v>
      </c>
      <c r="BH5769" s="1">
        <v>165.33</v>
      </c>
      <c r="BI5769" s="1">
        <v>268476</v>
      </c>
      <c r="BJ5769" s="3">
        <v>42514</v>
      </c>
      <c r="BK5769" t="s">
        <v>123</v>
      </c>
      <c r="BL5769" t="str">
        <f>"2016.354848"</f>
        <v>2016.354848</v>
      </c>
      <c r="BM5769" t="s">
        <v>2683</v>
      </c>
      <c r="BO5769" t="s">
        <v>35340</v>
      </c>
      <c r="BS5769">
        <v>30</v>
      </c>
      <c r="BW5769" t="str">
        <f>""</f>
        <v/>
      </c>
      <c r="CH5769" t="str">
        <f>""</f>
        <v/>
      </c>
      <c r="CS5769" t="str">
        <f>""</f>
        <v/>
      </c>
    </row>
    <row r="5770" spans="1:97" x14ac:dyDescent="0.25">
      <c r="A5770" t="s">
        <v>19436</v>
      </c>
      <c r="B5770" t="s">
        <v>585</v>
      </c>
      <c r="C5770" t="s">
        <v>484</v>
      </c>
      <c r="D5770" t="s">
        <v>585</v>
      </c>
      <c r="E5770" t="s">
        <v>35341</v>
      </c>
      <c r="F5770" t="s">
        <v>108</v>
      </c>
      <c r="H5770" t="s">
        <v>35342</v>
      </c>
      <c r="I5770" t="s">
        <v>203</v>
      </c>
      <c r="J5770" t="s">
        <v>111</v>
      </c>
      <c r="K5770" t="str">
        <f>"85295"</f>
        <v>85295</v>
      </c>
      <c r="L5770" t="s">
        <v>7983</v>
      </c>
      <c r="M5770" t="s">
        <v>35342</v>
      </c>
      <c r="N5770" t="s">
        <v>203</v>
      </c>
      <c r="O5770" t="s">
        <v>111</v>
      </c>
      <c r="P5770" t="str">
        <f>"85295-7800"</f>
        <v>85295-7800</v>
      </c>
      <c r="Q5770" t="s">
        <v>113</v>
      </c>
      <c r="R5770" t="str">
        <f>"304-38-362"</f>
        <v>304-38-362</v>
      </c>
      <c r="S5770" t="s">
        <v>10343</v>
      </c>
      <c r="T5770" t="s">
        <v>10343</v>
      </c>
      <c r="U5770">
        <v>2490</v>
      </c>
      <c r="V5770">
        <v>0</v>
      </c>
      <c r="W5770">
        <v>4</v>
      </c>
      <c r="X5770">
        <v>2002</v>
      </c>
      <c r="Z5770">
        <v>2</v>
      </c>
      <c r="AA5770" t="s">
        <v>26</v>
      </c>
      <c r="AB5770">
        <v>0</v>
      </c>
      <c r="AC5770" t="s">
        <v>115</v>
      </c>
      <c r="AD5770">
        <v>3</v>
      </c>
      <c r="AE5770" t="s">
        <v>115</v>
      </c>
      <c r="AF5770">
        <v>0</v>
      </c>
      <c r="AG5770">
        <v>0</v>
      </c>
      <c r="AH5770" t="s">
        <v>116</v>
      </c>
      <c r="AI5770" s="1">
        <v>70784</v>
      </c>
      <c r="AJ5770" s="2">
        <v>0.19</v>
      </c>
      <c r="AK5770" s="1">
        <v>364672</v>
      </c>
      <c r="AL5770" t="s">
        <v>117</v>
      </c>
      <c r="AM5770" t="s">
        <v>393</v>
      </c>
      <c r="AN5770">
        <v>8022</v>
      </c>
      <c r="AO5770">
        <v>0.18</v>
      </c>
      <c r="AP5770">
        <v>1</v>
      </c>
      <c r="AR5770">
        <v>1</v>
      </c>
      <c r="AS5770" s="1">
        <v>27470</v>
      </c>
      <c r="AT5770" s="1">
        <v>5490</v>
      </c>
      <c r="AU5770" s="1">
        <v>21980</v>
      </c>
      <c r="AV5770">
        <v>80.010000000000005</v>
      </c>
      <c r="AX5770" s="1">
        <v>2319.16</v>
      </c>
      <c r="AY5770" t="s">
        <v>472</v>
      </c>
      <c r="AZ5770" t="s">
        <v>472</v>
      </c>
      <c r="BA5770" t="s">
        <v>473</v>
      </c>
      <c r="BB5770" s="3">
        <v>42473</v>
      </c>
      <c r="BD5770" t="s">
        <v>240</v>
      </c>
      <c r="BE5770" s="3">
        <v>42473</v>
      </c>
      <c r="BF5770" s="1">
        <v>284500</v>
      </c>
      <c r="BG5770" t="s">
        <v>35343</v>
      </c>
      <c r="BH5770" s="1">
        <v>114.26</v>
      </c>
      <c r="BI5770" s="1">
        <v>293888</v>
      </c>
      <c r="BJ5770" s="3">
        <v>42473</v>
      </c>
      <c r="BK5770" t="s">
        <v>123</v>
      </c>
      <c r="BL5770" t="str">
        <f>"2016.244850"</f>
        <v>2016.244850</v>
      </c>
      <c r="BM5770" t="s">
        <v>2980</v>
      </c>
      <c r="BO5770" t="s">
        <v>35344</v>
      </c>
      <c r="BS5770">
        <v>30</v>
      </c>
      <c r="BW5770" t="str">
        <f>""</f>
        <v/>
      </c>
      <c r="CH5770" t="str">
        <f>""</f>
        <v/>
      </c>
      <c r="CS5770" t="str">
        <f>""</f>
        <v/>
      </c>
    </row>
    <row r="5771" spans="1:97" x14ac:dyDescent="0.25">
      <c r="A5771" t="s">
        <v>35345</v>
      </c>
      <c r="B5771" t="s">
        <v>35346</v>
      </c>
      <c r="C5771" t="s">
        <v>35347</v>
      </c>
      <c r="D5771" t="s">
        <v>10375</v>
      </c>
      <c r="E5771" t="s">
        <v>35348</v>
      </c>
      <c r="F5771" t="s">
        <v>282</v>
      </c>
      <c r="H5771" t="s">
        <v>35349</v>
      </c>
      <c r="I5771" t="s">
        <v>390</v>
      </c>
      <c r="J5771" t="s">
        <v>111</v>
      </c>
      <c r="K5771" t="str">
        <f>"85027"</f>
        <v>85027</v>
      </c>
      <c r="L5771" t="s">
        <v>5900</v>
      </c>
      <c r="M5771" t="s">
        <v>35350</v>
      </c>
      <c r="N5771" t="s">
        <v>390</v>
      </c>
      <c r="O5771" t="s">
        <v>111</v>
      </c>
      <c r="P5771" t="str">
        <f>"85027-4747"</f>
        <v>85027-4747</v>
      </c>
      <c r="Q5771" t="s">
        <v>113</v>
      </c>
      <c r="R5771" t="str">
        <f>"209-24-133"</f>
        <v>209-24-133</v>
      </c>
      <c r="S5771" t="s">
        <v>35351</v>
      </c>
      <c r="T5771" t="s">
        <v>35352</v>
      </c>
      <c r="U5771">
        <v>1632</v>
      </c>
      <c r="V5771">
        <v>0</v>
      </c>
      <c r="W5771">
        <v>3</v>
      </c>
      <c r="X5771">
        <v>1986</v>
      </c>
      <c r="Z5771">
        <v>1</v>
      </c>
      <c r="AB5771">
        <v>0</v>
      </c>
      <c r="AC5771" t="s">
        <v>115</v>
      </c>
      <c r="AD5771">
        <v>2</v>
      </c>
      <c r="AE5771" t="s">
        <v>115</v>
      </c>
      <c r="AF5771">
        <v>0</v>
      </c>
      <c r="AG5771">
        <v>0</v>
      </c>
      <c r="AH5771" t="s">
        <v>116</v>
      </c>
      <c r="AI5771" s="1">
        <v>15333</v>
      </c>
      <c r="AJ5771" s="2">
        <v>0.06</v>
      </c>
      <c r="AK5771" s="1">
        <v>271000</v>
      </c>
      <c r="AL5771" t="s">
        <v>117</v>
      </c>
      <c r="AM5771" t="s">
        <v>191</v>
      </c>
      <c r="AN5771">
        <v>6105</v>
      </c>
      <c r="AO5771">
        <v>0.14000000000000001</v>
      </c>
      <c r="AP5771">
        <v>1</v>
      </c>
      <c r="AR5771">
        <v>1</v>
      </c>
      <c r="AS5771" s="1">
        <v>18370</v>
      </c>
      <c r="AT5771" s="1">
        <v>3670</v>
      </c>
      <c r="AU5771" s="1">
        <v>14700</v>
      </c>
      <c r="AV5771">
        <v>80.02</v>
      </c>
      <c r="AX5771" s="1">
        <v>1244.08</v>
      </c>
      <c r="AY5771" t="s">
        <v>12571</v>
      </c>
      <c r="AZ5771" t="s">
        <v>2550</v>
      </c>
      <c r="BA5771" t="s">
        <v>2551</v>
      </c>
      <c r="BB5771" s="3">
        <v>43619</v>
      </c>
      <c r="BC5771" s="1">
        <v>0</v>
      </c>
      <c r="BD5771" t="s">
        <v>247</v>
      </c>
      <c r="BE5771" s="3">
        <v>42202</v>
      </c>
      <c r="BF5771" s="1">
        <v>198000</v>
      </c>
      <c r="BG5771" t="s">
        <v>35353</v>
      </c>
      <c r="BH5771" s="1">
        <v>121.32</v>
      </c>
      <c r="BI5771" s="1">
        <v>255667</v>
      </c>
      <c r="BJ5771" s="3">
        <v>43021</v>
      </c>
      <c r="BK5771" t="s">
        <v>123</v>
      </c>
      <c r="BL5771" t="str">
        <f>"2017.760298"</f>
        <v>2017.760298</v>
      </c>
      <c r="BM5771" t="s">
        <v>35354</v>
      </c>
      <c r="BN5771">
        <v>92627</v>
      </c>
      <c r="BO5771" t="s">
        <v>35355</v>
      </c>
      <c r="BS5771">
        <v>30</v>
      </c>
      <c r="BW5771" t="str">
        <f>""</f>
        <v/>
      </c>
      <c r="CH5771" t="str">
        <f>""</f>
        <v/>
      </c>
      <c r="CS5771" t="str">
        <f>""</f>
        <v/>
      </c>
    </row>
    <row r="5772" spans="1:97" x14ac:dyDescent="0.25">
      <c r="A5772" t="s">
        <v>152</v>
      </c>
      <c r="B5772" t="s">
        <v>9875</v>
      </c>
      <c r="E5772" t="s">
        <v>35356</v>
      </c>
      <c r="F5772" t="s">
        <v>108</v>
      </c>
      <c r="H5772" t="s">
        <v>35357</v>
      </c>
      <c r="I5772" t="s">
        <v>225</v>
      </c>
      <c r="J5772" t="s">
        <v>111</v>
      </c>
      <c r="K5772" t="str">
        <f>"85212"</f>
        <v>85212</v>
      </c>
      <c r="L5772" t="s">
        <v>3520</v>
      </c>
      <c r="M5772" t="s">
        <v>35357</v>
      </c>
      <c r="N5772" t="s">
        <v>225</v>
      </c>
      <c r="O5772" t="s">
        <v>111</v>
      </c>
      <c r="P5772" t="str">
        <f>"85212-1623"</f>
        <v>85212-1623</v>
      </c>
      <c r="Q5772" t="s">
        <v>113</v>
      </c>
      <c r="R5772" t="str">
        <f>"304-04-204"</f>
        <v>304-04-204</v>
      </c>
      <c r="S5772" t="s">
        <v>34433</v>
      </c>
      <c r="U5772">
        <v>1952</v>
      </c>
      <c r="V5772">
        <v>0</v>
      </c>
      <c r="W5772">
        <v>3</v>
      </c>
      <c r="X5772">
        <v>1997</v>
      </c>
      <c r="Z5772">
        <v>1</v>
      </c>
      <c r="AB5772">
        <v>0</v>
      </c>
      <c r="AC5772" t="s">
        <v>115</v>
      </c>
      <c r="AD5772">
        <v>2</v>
      </c>
      <c r="AE5772" t="s">
        <v>115</v>
      </c>
      <c r="AF5772">
        <v>0</v>
      </c>
      <c r="AG5772">
        <v>0</v>
      </c>
      <c r="AH5772" t="s">
        <v>116</v>
      </c>
      <c r="AI5772" s="1">
        <v>71408</v>
      </c>
      <c r="AJ5772" s="2">
        <v>0.24</v>
      </c>
      <c r="AK5772" s="1">
        <v>300734</v>
      </c>
      <c r="AL5772" t="s">
        <v>117</v>
      </c>
      <c r="AM5772" t="s">
        <v>191</v>
      </c>
      <c r="AN5772">
        <v>5898</v>
      </c>
      <c r="AO5772">
        <v>0.14000000000000001</v>
      </c>
      <c r="AP5772">
        <v>1</v>
      </c>
      <c r="AR5772">
        <v>1</v>
      </c>
      <c r="AS5772" s="1">
        <v>20000</v>
      </c>
      <c r="AT5772" s="1">
        <v>4000</v>
      </c>
      <c r="AU5772" s="1">
        <v>16000</v>
      </c>
      <c r="AV5772">
        <v>80</v>
      </c>
      <c r="AX5772" s="1">
        <v>1366.16</v>
      </c>
      <c r="AY5772" t="s">
        <v>570</v>
      </c>
      <c r="AZ5772" t="s">
        <v>777</v>
      </c>
      <c r="BA5772" t="s">
        <v>572</v>
      </c>
      <c r="BE5772" s="3">
        <v>41724</v>
      </c>
      <c r="BF5772" s="1">
        <v>224500</v>
      </c>
      <c r="BG5772" t="s">
        <v>35358</v>
      </c>
      <c r="BH5772" s="1">
        <v>115.01</v>
      </c>
      <c r="BI5772" s="1">
        <v>229326</v>
      </c>
      <c r="BJ5772" s="3">
        <v>41724</v>
      </c>
      <c r="BK5772" t="s">
        <v>123</v>
      </c>
      <c r="BL5772" t="str">
        <f>"2014.192148"</f>
        <v>2014.192148</v>
      </c>
      <c r="BM5772" t="s">
        <v>25589</v>
      </c>
      <c r="BO5772" t="s">
        <v>35359</v>
      </c>
      <c r="BS5772">
        <v>30</v>
      </c>
      <c r="BW5772" t="str">
        <f>""</f>
        <v/>
      </c>
      <c r="CH5772" t="str">
        <f>""</f>
        <v/>
      </c>
      <c r="CS5772" t="str">
        <f>""</f>
        <v/>
      </c>
    </row>
    <row r="5773" spans="1:97" x14ac:dyDescent="0.25">
      <c r="A5773" t="s">
        <v>35360</v>
      </c>
      <c r="B5773" t="s">
        <v>2104</v>
      </c>
      <c r="C5773" t="s">
        <v>1857</v>
      </c>
      <c r="D5773" t="s">
        <v>2104</v>
      </c>
      <c r="E5773" t="s">
        <v>35361</v>
      </c>
      <c r="F5773" t="s">
        <v>108</v>
      </c>
      <c r="H5773" t="s">
        <v>35362</v>
      </c>
      <c r="I5773" t="s">
        <v>499</v>
      </c>
      <c r="J5773" t="s">
        <v>111</v>
      </c>
      <c r="K5773" t="str">
        <f>"85338"</f>
        <v>85338</v>
      </c>
      <c r="L5773" t="s">
        <v>316</v>
      </c>
      <c r="M5773" t="s">
        <v>35362</v>
      </c>
      <c r="N5773" t="s">
        <v>499</v>
      </c>
      <c r="O5773" t="s">
        <v>111</v>
      </c>
      <c r="P5773" t="str">
        <f>"85338-7027"</f>
        <v>85338-7027</v>
      </c>
      <c r="Q5773" t="s">
        <v>113</v>
      </c>
      <c r="R5773" t="str">
        <f>"500-89-701"</f>
        <v>500-89-701</v>
      </c>
      <c r="S5773" t="s">
        <v>5041</v>
      </c>
      <c r="T5773" t="s">
        <v>5042</v>
      </c>
      <c r="U5773">
        <v>1717</v>
      </c>
      <c r="V5773">
        <v>0</v>
      </c>
      <c r="W5773">
        <v>3</v>
      </c>
      <c r="X5773">
        <v>2015</v>
      </c>
      <c r="Z5773">
        <v>1</v>
      </c>
      <c r="AA5773" t="s">
        <v>26</v>
      </c>
      <c r="AB5773">
        <v>0</v>
      </c>
      <c r="AC5773" t="s">
        <v>115</v>
      </c>
      <c r="AD5773">
        <v>2</v>
      </c>
      <c r="AE5773" t="s">
        <v>115</v>
      </c>
      <c r="AF5773">
        <v>0</v>
      </c>
      <c r="AG5773">
        <v>0</v>
      </c>
      <c r="AH5773" t="s">
        <v>116</v>
      </c>
      <c r="AI5773" s="1">
        <v>31025</v>
      </c>
      <c r="AJ5773" s="2">
        <v>0.12</v>
      </c>
      <c r="AK5773" s="1">
        <v>266044</v>
      </c>
      <c r="AL5773" t="s">
        <v>117</v>
      </c>
      <c r="AM5773" t="s">
        <v>118</v>
      </c>
      <c r="AN5773">
        <v>6327</v>
      </c>
      <c r="AO5773">
        <v>0.14000000000000001</v>
      </c>
      <c r="AR5773">
        <v>1</v>
      </c>
      <c r="AS5773" s="1">
        <v>18470</v>
      </c>
      <c r="AT5773" s="1">
        <v>3690</v>
      </c>
      <c r="AU5773" s="1">
        <v>14780</v>
      </c>
      <c r="AV5773">
        <v>80.02</v>
      </c>
      <c r="AX5773" s="1">
        <v>1419.7</v>
      </c>
      <c r="AY5773" t="s">
        <v>4311</v>
      </c>
      <c r="AZ5773" t="s">
        <v>4311</v>
      </c>
      <c r="BA5773" t="s">
        <v>218</v>
      </c>
      <c r="BE5773" s="3">
        <v>42276</v>
      </c>
      <c r="BF5773" s="1">
        <v>204438</v>
      </c>
      <c r="BG5773" t="s">
        <v>2780</v>
      </c>
      <c r="BH5773" s="1">
        <v>119.07</v>
      </c>
      <c r="BI5773" s="1">
        <v>211184</v>
      </c>
      <c r="BJ5773" s="3">
        <v>42276</v>
      </c>
      <c r="BK5773" t="s">
        <v>123</v>
      </c>
      <c r="BL5773" t="str">
        <f>"2015.701285"</f>
        <v>2015.701285</v>
      </c>
      <c r="BM5773" t="s">
        <v>175</v>
      </c>
      <c r="BO5773" t="s">
        <v>35363</v>
      </c>
      <c r="BS5773">
        <v>30</v>
      </c>
      <c r="BT5773" s="1">
        <v>23835</v>
      </c>
      <c r="BU5773" s="3">
        <v>42486</v>
      </c>
      <c r="BV5773" t="s">
        <v>134</v>
      </c>
      <c r="BW5773" t="str">
        <f>"2016.276670"</f>
        <v>2016.276670</v>
      </c>
      <c r="BX5773" t="s">
        <v>369</v>
      </c>
      <c r="BZ5773" t="s">
        <v>35363</v>
      </c>
      <c r="CD5773">
        <v>15</v>
      </c>
      <c r="CH5773" t="str">
        <f>""</f>
        <v/>
      </c>
      <c r="CS5773" t="str">
        <f>""</f>
        <v/>
      </c>
    </row>
    <row r="5774" spans="1:97" x14ac:dyDescent="0.25">
      <c r="A5774" t="s">
        <v>305</v>
      </c>
      <c r="B5774" t="s">
        <v>35364</v>
      </c>
      <c r="C5774" t="s">
        <v>35365</v>
      </c>
      <c r="D5774" t="s">
        <v>35364</v>
      </c>
      <c r="E5774" t="s">
        <v>35366</v>
      </c>
      <c r="F5774" t="s">
        <v>108</v>
      </c>
      <c r="H5774" t="s">
        <v>35367</v>
      </c>
      <c r="I5774" t="s">
        <v>5114</v>
      </c>
      <c r="J5774" t="s">
        <v>111</v>
      </c>
      <c r="K5774" t="str">
        <f>"85323"</f>
        <v>85323</v>
      </c>
      <c r="L5774" t="s">
        <v>337</v>
      </c>
      <c r="M5774" t="s">
        <v>35367</v>
      </c>
      <c r="N5774" t="s">
        <v>5114</v>
      </c>
      <c r="O5774" t="s">
        <v>111</v>
      </c>
      <c r="P5774" t="str">
        <f>"85323-6877"</f>
        <v>85323-6877</v>
      </c>
      <c r="Q5774" t="s">
        <v>113</v>
      </c>
      <c r="R5774" t="str">
        <f>"101-01-351"</f>
        <v>101-01-351</v>
      </c>
      <c r="S5774" t="s">
        <v>35368</v>
      </c>
      <c r="T5774" t="s">
        <v>35369</v>
      </c>
      <c r="U5774">
        <v>1977</v>
      </c>
      <c r="V5774">
        <v>0</v>
      </c>
      <c r="W5774">
        <v>3</v>
      </c>
      <c r="X5774">
        <v>2005</v>
      </c>
      <c r="Z5774">
        <v>1</v>
      </c>
      <c r="AA5774" t="s">
        <v>26</v>
      </c>
      <c r="AB5774">
        <v>0</v>
      </c>
      <c r="AC5774" t="s">
        <v>115</v>
      </c>
      <c r="AD5774">
        <v>2</v>
      </c>
      <c r="AE5774" t="s">
        <v>115</v>
      </c>
      <c r="AF5774">
        <v>0</v>
      </c>
      <c r="AG5774">
        <v>0</v>
      </c>
      <c r="AH5774" t="s">
        <v>116</v>
      </c>
      <c r="AI5774" s="1">
        <v>65705</v>
      </c>
      <c r="AJ5774" s="2">
        <v>0.23</v>
      </c>
      <c r="AK5774" s="1">
        <v>288690</v>
      </c>
      <c r="AL5774" t="s">
        <v>117</v>
      </c>
      <c r="AM5774" t="s">
        <v>118</v>
      </c>
      <c r="AN5774">
        <v>8579</v>
      </c>
      <c r="AO5774">
        <v>0.2</v>
      </c>
      <c r="AR5774">
        <v>1</v>
      </c>
      <c r="AS5774" s="1">
        <v>19180</v>
      </c>
      <c r="AT5774" s="1">
        <v>3830</v>
      </c>
      <c r="AU5774" s="1">
        <v>15350</v>
      </c>
      <c r="AV5774">
        <v>80.03</v>
      </c>
      <c r="AX5774" s="1">
        <v>1943.66</v>
      </c>
      <c r="AY5774" t="s">
        <v>9033</v>
      </c>
      <c r="AZ5774" t="s">
        <v>9033</v>
      </c>
      <c r="BA5774" t="s">
        <v>4254</v>
      </c>
      <c r="BB5774" s="3">
        <v>42299</v>
      </c>
      <c r="BD5774" t="s">
        <v>240</v>
      </c>
      <c r="BE5774" s="3">
        <v>42263</v>
      </c>
      <c r="BF5774" s="1">
        <v>215000</v>
      </c>
      <c r="BG5774" t="s">
        <v>35370</v>
      </c>
      <c r="BH5774" s="1">
        <v>108.75</v>
      </c>
      <c r="BI5774" s="1">
        <v>222985</v>
      </c>
      <c r="BJ5774" s="3">
        <v>42662</v>
      </c>
      <c r="BK5774" t="s">
        <v>123</v>
      </c>
      <c r="BL5774" t="str">
        <f>"2016.765183"</f>
        <v>2016.765183</v>
      </c>
      <c r="BM5774" t="s">
        <v>1185</v>
      </c>
      <c r="BO5774" t="s">
        <v>35371</v>
      </c>
      <c r="BS5774">
        <v>30</v>
      </c>
      <c r="BW5774" t="str">
        <f>""</f>
        <v/>
      </c>
      <c r="CH5774" t="str">
        <f>""</f>
        <v/>
      </c>
      <c r="CS5774" t="str">
        <f>""</f>
        <v/>
      </c>
    </row>
    <row r="5775" spans="1:97" x14ac:dyDescent="0.25">
      <c r="A5775" t="s">
        <v>894</v>
      </c>
      <c r="B5775" t="s">
        <v>35372</v>
      </c>
      <c r="C5775" t="s">
        <v>35373</v>
      </c>
      <c r="D5775" t="s">
        <v>35372</v>
      </c>
      <c r="E5775" t="s">
        <v>35374</v>
      </c>
      <c r="F5775" t="s">
        <v>108</v>
      </c>
      <c r="H5775" t="s">
        <v>35375</v>
      </c>
      <c r="I5775" t="s">
        <v>144</v>
      </c>
      <c r="J5775" t="s">
        <v>111</v>
      </c>
      <c r="K5775" t="str">
        <f>"85326"</f>
        <v>85326</v>
      </c>
      <c r="L5775" t="s">
        <v>18364</v>
      </c>
      <c r="M5775" t="s">
        <v>35375</v>
      </c>
      <c r="N5775" t="s">
        <v>144</v>
      </c>
      <c r="O5775" t="s">
        <v>111</v>
      </c>
      <c r="P5775" t="str">
        <f>"85326-5810"</f>
        <v>85326-5810</v>
      </c>
      <c r="Q5775" t="s">
        <v>113</v>
      </c>
      <c r="R5775" t="str">
        <f>"502-36-200"</f>
        <v>502-36-200</v>
      </c>
      <c r="S5775" t="s">
        <v>18365</v>
      </c>
      <c r="T5775" t="s">
        <v>18366</v>
      </c>
      <c r="U5775">
        <v>3661</v>
      </c>
      <c r="V5775">
        <v>0</v>
      </c>
      <c r="W5775">
        <v>4</v>
      </c>
      <c r="X5775">
        <v>2009</v>
      </c>
      <c r="Z5775">
        <v>2</v>
      </c>
      <c r="AB5775">
        <v>0</v>
      </c>
      <c r="AC5775" t="s">
        <v>115</v>
      </c>
      <c r="AD5775">
        <v>3</v>
      </c>
      <c r="AE5775" t="s">
        <v>115</v>
      </c>
      <c r="AF5775">
        <v>0</v>
      </c>
      <c r="AG5775">
        <v>0</v>
      </c>
      <c r="AH5775" t="s">
        <v>116</v>
      </c>
      <c r="AI5775" s="1">
        <v>87478</v>
      </c>
      <c r="AJ5775" s="2">
        <v>0.27</v>
      </c>
      <c r="AK5775" s="1">
        <v>319869</v>
      </c>
      <c r="AL5775" t="s">
        <v>117</v>
      </c>
      <c r="AM5775" t="s">
        <v>35376</v>
      </c>
      <c r="AN5775">
        <v>6623</v>
      </c>
      <c r="AO5775">
        <v>0.15</v>
      </c>
      <c r="AR5775">
        <v>1</v>
      </c>
      <c r="AS5775" s="1">
        <v>21380</v>
      </c>
      <c r="AT5775" s="1">
        <v>4270</v>
      </c>
      <c r="AU5775" s="1">
        <v>17110</v>
      </c>
      <c r="AV5775">
        <v>80.03</v>
      </c>
      <c r="AX5775" s="1">
        <v>2359.3000000000002</v>
      </c>
      <c r="AY5775" t="s">
        <v>2767</v>
      </c>
      <c r="AZ5775" t="s">
        <v>2767</v>
      </c>
      <c r="BA5775" t="s">
        <v>5025</v>
      </c>
      <c r="BE5775" s="3">
        <v>42544</v>
      </c>
      <c r="BF5775" s="1">
        <v>227500</v>
      </c>
      <c r="BG5775" t="s">
        <v>35377</v>
      </c>
      <c r="BH5775" s="1">
        <v>62.14</v>
      </c>
      <c r="BI5775" s="1">
        <v>232391</v>
      </c>
      <c r="BJ5775" s="3">
        <v>42544</v>
      </c>
      <c r="BK5775" t="s">
        <v>123</v>
      </c>
      <c r="BL5775" t="str">
        <f>"2016.439228"</f>
        <v>2016.439228</v>
      </c>
      <c r="BM5775" t="s">
        <v>1185</v>
      </c>
      <c r="BO5775" t="s">
        <v>35378</v>
      </c>
      <c r="BS5775">
        <v>30</v>
      </c>
      <c r="BW5775" t="str">
        <f>""</f>
        <v/>
      </c>
      <c r="CH5775" t="str">
        <f>""</f>
        <v/>
      </c>
      <c r="CS5775" t="str">
        <f>""</f>
        <v/>
      </c>
    </row>
    <row r="5776" spans="1:97" x14ac:dyDescent="0.25">
      <c r="A5776" t="s">
        <v>35379</v>
      </c>
      <c r="B5776" t="s">
        <v>35380</v>
      </c>
      <c r="E5776" t="s">
        <v>35381</v>
      </c>
      <c r="F5776" t="s">
        <v>108</v>
      </c>
      <c r="H5776" t="s">
        <v>35382</v>
      </c>
      <c r="I5776" t="s">
        <v>144</v>
      </c>
      <c r="J5776" t="s">
        <v>111</v>
      </c>
      <c r="K5776" t="str">
        <f>"85396"</f>
        <v>85396</v>
      </c>
      <c r="L5776" t="s">
        <v>5893</v>
      </c>
      <c r="M5776" t="s">
        <v>35382</v>
      </c>
      <c r="N5776" t="s">
        <v>144</v>
      </c>
      <c r="O5776" t="s">
        <v>111</v>
      </c>
      <c r="P5776" t="str">
        <f>"85396-3100"</f>
        <v>85396-3100</v>
      </c>
      <c r="Q5776" t="s">
        <v>113</v>
      </c>
      <c r="R5776" t="str">
        <f>"504-07-723"</f>
        <v>504-07-723</v>
      </c>
      <c r="S5776" t="s">
        <v>9710</v>
      </c>
      <c r="U5776">
        <v>2597</v>
      </c>
      <c r="V5776">
        <v>0</v>
      </c>
      <c r="W5776">
        <v>4</v>
      </c>
      <c r="X5776">
        <v>2006</v>
      </c>
      <c r="Z5776">
        <v>2</v>
      </c>
      <c r="AA5776" t="s">
        <v>26</v>
      </c>
      <c r="AB5776">
        <v>0</v>
      </c>
      <c r="AC5776" t="s">
        <v>115</v>
      </c>
      <c r="AD5776">
        <v>3</v>
      </c>
      <c r="AE5776" t="s">
        <v>115</v>
      </c>
      <c r="AF5776">
        <v>0</v>
      </c>
      <c r="AG5776">
        <v>0</v>
      </c>
      <c r="AH5776" t="s">
        <v>116</v>
      </c>
      <c r="AI5776" s="1">
        <v>59932</v>
      </c>
      <c r="AJ5776" s="2">
        <v>0.22</v>
      </c>
      <c r="AK5776" s="1">
        <v>274932</v>
      </c>
      <c r="AL5776" t="s">
        <v>117</v>
      </c>
      <c r="AM5776" t="s">
        <v>118</v>
      </c>
      <c r="AN5776">
        <v>6821</v>
      </c>
      <c r="AO5776">
        <v>0.16</v>
      </c>
      <c r="AR5776">
        <v>1</v>
      </c>
      <c r="AS5776" s="1">
        <v>18000</v>
      </c>
      <c r="AT5776" s="1">
        <v>3600</v>
      </c>
      <c r="AU5776" s="1">
        <v>14400</v>
      </c>
      <c r="AV5776">
        <v>80</v>
      </c>
      <c r="AX5776" s="1">
        <v>1508.94</v>
      </c>
      <c r="AY5776" t="s">
        <v>147</v>
      </c>
      <c r="AZ5776" t="s">
        <v>147</v>
      </c>
      <c r="BA5776" t="s">
        <v>148</v>
      </c>
      <c r="BE5776" s="3">
        <v>42059</v>
      </c>
      <c r="BF5776" s="1">
        <v>215000</v>
      </c>
      <c r="BG5776" t="s">
        <v>35383</v>
      </c>
      <c r="BH5776" s="1">
        <v>82.79</v>
      </c>
      <c r="BI5776" s="1">
        <v>215000</v>
      </c>
      <c r="BJ5776" s="3">
        <v>42059</v>
      </c>
      <c r="BK5776" t="s">
        <v>123</v>
      </c>
      <c r="BL5776" t="str">
        <f>"2015.116872"</f>
        <v>2015.116872</v>
      </c>
      <c r="BM5776" t="s">
        <v>724</v>
      </c>
      <c r="BO5776" t="s">
        <v>35384</v>
      </c>
      <c r="BS5776">
        <v>30</v>
      </c>
      <c r="BW5776" t="str">
        <f>""</f>
        <v/>
      </c>
      <c r="CH5776" t="str">
        <f>""</f>
        <v/>
      </c>
      <c r="CS5776" t="str">
        <f>""</f>
        <v/>
      </c>
    </row>
    <row r="5777" spans="1:97" x14ac:dyDescent="0.25">
      <c r="A5777" t="s">
        <v>1930</v>
      </c>
      <c r="B5777" t="s">
        <v>2086</v>
      </c>
      <c r="E5777" t="s">
        <v>35385</v>
      </c>
      <c r="F5777" t="s">
        <v>108</v>
      </c>
      <c r="H5777" t="s">
        <v>35386</v>
      </c>
      <c r="I5777" t="s">
        <v>1936</v>
      </c>
      <c r="J5777" t="s">
        <v>111</v>
      </c>
      <c r="K5777" t="str">
        <f>"85257"</f>
        <v>85257</v>
      </c>
      <c r="L5777" t="s">
        <v>9764</v>
      </c>
      <c r="M5777" t="s">
        <v>35386</v>
      </c>
      <c r="N5777" t="s">
        <v>1936</v>
      </c>
      <c r="O5777" t="s">
        <v>111</v>
      </c>
      <c r="P5777" t="str">
        <f>"85257-4523"</f>
        <v>85257-4523</v>
      </c>
      <c r="Q5777" t="s">
        <v>113</v>
      </c>
      <c r="R5777" t="str">
        <f>"131-07-053"</f>
        <v>131-07-053</v>
      </c>
      <c r="S5777" t="s">
        <v>35387</v>
      </c>
      <c r="T5777" t="s">
        <v>12453</v>
      </c>
      <c r="U5777">
        <v>1209</v>
      </c>
      <c r="V5777">
        <v>0</v>
      </c>
      <c r="W5777">
        <v>2</v>
      </c>
      <c r="X5777">
        <v>1978</v>
      </c>
      <c r="Z5777">
        <v>1</v>
      </c>
      <c r="AA5777" t="s">
        <v>26</v>
      </c>
      <c r="AB5777">
        <v>0</v>
      </c>
      <c r="AC5777" t="s">
        <v>115</v>
      </c>
      <c r="AD5777">
        <v>2</v>
      </c>
      <c r="AE5777" t="s">
        <v>115</v>
      </c>
      <c r="AF5777">
        <v>0</v>
      </c>
      <c r="AG5777">
        <v>0</v>
      </c>
      <c r="AH5777" t="s">
        <v>116</v>
      </c>
      <c r="AI5777" s="1">
        <v>93128</v>
      </c>
      <c r="AJ5777" s="2">
        <v>0.28000000000000003</v>
      </c>
      <c r="AK5777" s="1">
        <v>331313</v>
      </c>
      <c r="AL5777" t="s">
        <v>117</v>
      </c>
      <c r="AM5777" t="s">
        <v>393</v>
      </c>
      <c r="AN5777">
        <v>5532</v>
      </c>
      <c r="AO5777">
        <v>0.13</v>
      </c>
      <c r="AP5777">
        <v>1</v>
      </c>
      <c r="AR5777">
        <v>1</v>
      </c>
      <c r="AS5777" s="1">
        <v>22050</v>
      </c>
      <c r="AT5777" s="1">
        <v>4410</v>
      </c>
      <c r="AU5777" s="1">
        <v>17640</v>
      </c>
      <c r="AV5777">
        <v>80</v>
      </c>
      <c r="AX5777" s="1">
        <v>1110.82</v>
      </c>
      <c r="AY5777" t="s">
        <v>5419</v>
      </c>
      <c r="AZ5777" t="s">
        <v>5420</v>
      </c>
      <c r="BA5777" t="s">
        <v>5421</v>
      </c>
      <c r="BB5777" s="3">
        <v>42282</v>
      </c>
      <c r="BD5777" t="s">
        <v>458</v>
      </c>
      <c r="BE5777" s="3">
        <v>41666</v>
      </c>
      <c r="BF5777" s="1">
        <v>250000</v>
      </c>
      <c r="BG5777" t="s">
        <v>35388</v>
      </c>
      <c r="BH5777" s="1">
        <v>206.78</v>
      </c>
      <c r="BI5777" s="1">
        <v>238185</v>
      </c>
      <c r="BJ5777" s="3">
        <v>42681</v>
      </c>
      <c r="BK5777" t="s">
        <v>123</v>
      </c>
      <c r="BL5777" t="str">
        <f>"2016.818830"</f>
        <v>2016.818830</v>
      </c>
      <c r="BM5777" t="s">
        <v>322</v>
      </c>
      <c r="BO5777" t="s">
        <v>35389</v>
      </c>
      <c r="BS5777">
        <v>27</v>
      </c>
      <c r="BW5777" t="str">
        <f>""</f>
        <v/>
      </c>
      <c r="CH5777" t="str">
        <f>""</f>
        <v/>
      </c>
      <c r="CS5777" t="str">
        <f>""</f>
        <v/>
      </c>
    </row>
    <row r="5778" spans="1:97" x14ac:dyDescent="0.25">
      <c r="A5778" t="s">
        <v>305</v>
      </c>
      <c r="B5778" t="s">
        <v>3173</v>
      </c>
      <c r="E5778" t="s">
        <v>35390</v>
      </c>
      <c r="F5778" t="s">
        <v>108</v>
      </c>
      <c r="H5778" t="s">
        <v>35391</v>
      </c>
      <c r="I5778" t="s">
        <v>632</v>
      </c>
      <c r="J5778" t="s">
        <v>111</v>
      </c>
      <c r="K5778" t="str">
        <f>"85388"</f>
        <v>85388</v>
      </c>
      <c r="L5778" t="s">
        <v>541</v>
      </c>
      <c r="M5778" t="s">
        <v>35391</v>
      </c>
      <c r="N5778" t="s">
        <v>632</v>
      </c>
      <c r="O5778" t="s">
        <v>111</v>
      </c>
      <c r="P5778" t="str">
        <f>"85388-1164"</f>
        <v>85388-1164</v>
      </c>
      <c r="Q5778" t="s">
        <v>113</v>
      </c>
      <c r="R5778" t="str">
        <f>"509-10-054"</f>
        <v>509-10-054</v>
      </c>
      <c r="S5778" t="s">
        <v>35392</v>
      </c>
      <c r="U5778">
        <v>2548</v>
      </c>
      <c r="V5778">
        <v>0</v>
      </c>
      <c r="W5778">
        <v>4</v>
      </c>
      <c r="X5778">
        <v>2003</v>
      </c>
      <c r="Z5778">
        <v>2</v>
      </c>
      <c r="AA5778" t="s">
        <v>26</v>
      </c>
      <c r="AB5778">
        <v>0</v>
      </c>
      <c r="AC5778" t="s">
        <v>115</v>
      </c>
      <c r="AD5778">
        <v>3</v>
      </c>
      <c r="AE5778" t="s">
        <v>115</v>
      </c>
      <c r="AF5778">
        <v>0</v>
      </c>
      <c r="AG5778">
        <v>0</v>
      </c>
      <c r="AH5778" t="s">
        <v>116</v>
      </c>
      <c r="AI5778" s="1">
        <v>29088</v>
      </c>
      <c r="AJ5778" s="2">
        <v>0.09</v>
      </c>
      <c r="AK5778" s="1">
        <v>309088</v>
      </c>
      <c r="AL5778" t="s">
        <v>117</v>
      </c>
      <c r="AM5778" t="s">
        <v>118</v>
      </c>
      <c r="AN5778">
        <v>5830</v>
      </c>
      <c r="AO5778">
        <v>0.13</v>
      </c>
      <c r="AP5778">
        <v>1</v>
      </c>
      <c r="AR5778">
        <v>1</v>
      </c>
      <c r="AS5778" s="1">
        <v>22430</v>
      </c>
      <c r="AT5778" s="1">
        <v>4480</v>
      </c>
      <c r="AU5778" s="1">
        <v>17950</v>
      </c>
      <c r="AV5778">
        <v>80.03</v>
      </c>
      <c r="AX5778" s="1">
        <v>1499.3</v>
      </c>
      <c r="AY5778" t="s">
        <v>5517</v>
      </c>
      <c r="AZ5778" t="s">
        <v>5517</v>
      </c>
      <c r="BA5778" t="s">
        <v>5109</v>
      </c>
      <c r="BE5778" s="3">
        <v>41904</v>
      </c>
      <c r="BF5778" s="1">
        <v>210000</v>
      </c>
      <c r="BG5778" t="s">
        <v>35393</v>
      </c>
      <c r="BH5778" s="1">
        <v>82.42</v>
      </c>
      <c r="BI5778" s="1">
        <v>280000</v>
      </c>
      <c r="BJ5778" s="3">
        <v>43095</v>
      </c>
      <c r="BK5778" t="s">
        <v>123</v>
      </c>
      <c r="BL5778" t="str">
        <f>"2017.952614"</f>
        <v>2017.952614</v>
      </c>
      <c r="BM5778" t="s">
        <v>5277</v>
      </c>
      <c r="BO5778" t="s">
        <v>35394</v>
      </c>
      <c r="BS5778">
        <v>31</v>
      </c>
      <c r="BW5778" t="str">
        <f>""</f>
        <v/>
      </c>
      <c r="CH5778" t="str">
        <f>""</f>
        <v/>
      </c>
      <c r="CS5778" t="str">
        <f>""</f>
        <v/>
      </c>
    </row>
    <row r="5779" spans="1:97" x14ac:dyDescent="0.25">
      <c r="A5779" t="s">
        <v>9020</v>
      </c>
      <c r="B5779" t="s">
        <v>21723</v>
      </c>
      <c r="C5779" t="s">
        <v>3091</v>
      </c>
      <c r="D5779" t="s">
        <v>21723</v>
      </c>
      <c r="E5779" t="s">
        <v>35395</v>
      </c>
      <c r="F5779" t="s">
        <v>108</v>
      </c>
      <c r="H5779" t="s">
        <v>35396</v>
      </c>
      <c r="I5779" t="s">
        <v>2874</v>
      </c>
      <c r="J5779" t="s">
        <v>111</v>
      </c>
      <c r="K5779" t="str">
        <f>"85304"</f>
        <v>85304</v>
      </c>
      <c r="L5779" t="s">
        <v>2903</v>
      </c>
      <c r="M5779" t="s">
        <v>35396</v>
      </c>
      <c r="N5779" t="s">
        <v>2874</v>
      </c>
      <c r="O5779" t="s">
        <v>111</v>
      </c>
      <c r="P5779" t="str">
        <f>"85304-4328"</f>
        <v>85304-4328</v>
      </c>
      <c r="R5779" t="str">
        <f>"148-04-274"</f>
        <v>148-04-274</v>
      </c>
      <c r="S5779" t="s">
        <v>17488</v>
      </c>
      <c r="U5779">
        <v>1938</v>
      </c>
      <c r="V5779">
        <v>0</v>
      </c>
      <c r="W5779">
        <v>3</v>
      </c>
      <c r="X5779">
        <v>1974</v>
      </c>
      <c r="Z5779">
        <v>1</v>
      </c>
      <c r="AA5779" t="s">
        <v>26</v>
      </c>
      <c r="AB5779">
        <v>0</v>
      </c>
      <c r="AC5779" t="s">
        <v>115</v>
      </c>
      <c r="AD5779">
        <v>2</v>
      </c>
      <c r="AE5779" t="s">
        <v>115</v>
      </c>
      <c r="AF5779">
        <v>0</v>
      </c>
      <c r="AG5779">
        <v>0</v>
      </c>
      <c r="AH5779" t="s">
        <v>116</v>
      </c>
      <c r="AI5779" s="1">
        <v>33362</v>
      </c>
      <c r="AJ5779" s="2">
        <v>0.13</v>
      </c>
      <c r="AK5779" s="1">
        <v>263362</v>
      </c>
      <c r="AL5779" t="s">
        <v>117</v>
      </c>
      <c r="AM5779" t="s">
        <v>191</v>
      </c>
      <c r="AN5779">
        <v>7000</v>
      </c>
      <c r="AO5779">
        <v>0.16</v>
      </c>
      <c r="AP5779">
        <v>1</v>
      </c>
      <c r="AR5779">
        <v>1</v>
      </c>
      <c r="AS5779" s="1">
        <v>17320</v>
      </c>
      <c r="AT5779" s="1">
        <v>3460</v>
      </c>
      <c r="AU5779" s="1">
        <v>13860</v>
      </c>
      <c r="AV5779">
        <v>80.02</v>
      </c>
      <c r="AX5779" s="1">
        <v>1246.0999999999999</v>
      </c>
      <c r="AY5779" t="s">
        <v>10887</v>
      </c>
      <c r="AZ5779" t="s">
        <v>6986</v>
      </c>
      <c r="BA5779" t="s">
        <v>10888</v>
      </c>
      <c r="BE5779" s="3">
        <v>41850</v>
      </c>
      <c r="BF5779" s="1">
        <v>179000</v>
      </c>
      <c r="BG5779" t="s">
        <v>35397</v>
      </c>
      <c r="BH5779" s="1">
        <v>94.01</v>
      </c>
      <c r="BI5779" s="1">
        <v>230000</v>
      </c>
      <c r="BJ5779" s="3">
        <v>43472</v>
      </c>
      <c r="BK5779" t="s">
        <v>123</v>
      </c>
      <c r="BL5779" t="str">
        <f>"2019.9867"</f>
        <v>2019.9867</v>
      </c>
      <c r="BM5779" t="s">
        <v>13433</v>
      </c>
      <c r="BN5779" t="s">
        <v>1136</v>
      </c>
      <c r="BO5779" t="s">
        <v>35398</v>
      </c>
      <c r="BP5779" t="s">
        <v>35399</v>
      </c>
      <c r="BR5779" t="s">
        <v>139</v>
      </c>
      <c r="BT5779" s="1">
        <v>230000</v>
      </c>
      <c r="BU5779" s="3">
        <v>43472</v>
      </c>
      <c r="BV5779" t="s">
        <v>123</v>
      </c>
      <c r="BW5779" t="str">
        <f>"2019.9867"</f>
        <v>2019.9867</v>
      </c>
      <c r="BX5779" t="s">
        <v>13433</v>
      </c>
      <c r="BY5779" t="s">
        <v>1136</v>
      </c>
      <c r="BZ5779" t="s">
        <v>35398</v>
      </c>
      <c r="CA5779" t="s">
        <v>35399</v>
      </c>
      <c r="CC5779" t="s">
        <v>139</v>
      </c>
      <c r="CH5779" t="str">
        <f>""</f>
        <v/>
      </c>
      <c r="CS5779" t="str">
        <f>""</f>
        <v/>
      </c>
    </row>
    <row r="5780" spans="1:97" x14ac:dyDescent="0.25">
      <c r="A5780" t="s">
        <v>3258</v>
      </c>
      <c r="B5780" t="s">
        <v>3052</v>
      </c>
      <c r="E5780" t="s">
        <v>35400</v>
      </c>
      <c r="F5780" t="s">
        <v>108</v>
      </c>
      <c r="H5780" t="s">
        <v>35401</v>
      </c>
      <c r="I5780" t="s">
        <v>225</v>
      </c>
      <c r="J5780" t="s">
        <v>111</v>
      </c>
      <c r="K5780" t="str">
        <f>"85206"</f>
        <v>85206</v>
      </c>
      <c r="L5780" t="s">
        <v>1312</v>
      </c>
      <c r="M5780" t="s">
        <v>35401</v>
      </c>
      <c r="N5780" t="s">
        <v>225</v>
      </c>
      <c r="O5780" t="s">
        <v>111</v>
      </c>
      <c r="P5780" t="str">
        <f>"85206-1857"</f>
        <v>85206-1857</v>
      </c>
      <c r="Q5780" t="s">
        <v>113</v>
      </c>
      <c r="R5780" t="str">
        <f>"140-38-229"</f>
        <v>140-38-229</v>
      </c>
      <c r="S5780" t="s">
        <v>35402</v>
      </c>
      <c r="T5780" t="s">
        <v>35403</v>
      </c>
      <c r="U5780">
        <v>1528</v>
      </c>
      <c r="V5780">
        <v>0</v>
      </c>
      <c r="W5780">
        <v>3</v>
      </c>
      <c r="X5780">
        <v>1988</v>
      </c>
      <c r="Z5780">
        <v>1</v>
      </c>
      <c r="AB5780">
        <v>0</v>
      </c>
      <c r="AC5780" t="s">
        <v>115</v>
      </c>
      <c r="AD5780">
        <v>2</v>
      </c>
      <c r="AE5780" t="s">
        <v>115</v>
      </c>
      <c r="AF5780">
        <v>0</v>
      </c>
      <c r="AG5780">
        <v>0</v>
      </c>
      <c r="AH5780" t="s">
        <v>116</v>
      </c>
      <c r="AI5780" s="1">
        <v>61543</v>
      </c>
      <c r="AJ5780" s="2">
        <v>0.22</v>
      </c>
      <c r="AK5780" s="1">
        <v>274735</v>
      </c>
      <c r="AL5780" t="s">
        <v>117</v>
      </c>
      <c r="AM5780" t="s">
        <v>917</v>
      </c>
      <c r="AN5780">
        <v>16571</v>
      </c>
      <c r="AO5780">
        <v>0.38</v>
      </c>
      <c r="AP5780">
        <v>1</v>
      </c>
      <c r="AR5780">
        <v>1</v>
      </c>
      <c r="AS5780" s="1">
        <v>19550</v>
      </c>
      <c r="AT5780" s="1">
        <v>3910</v>
      </c>
      <c r="AU5780" s="1">
        <v>15640</v>
      </c>
      <c r="AV5780">
        <v>80</v>
      </c>
      <c r="AX5780" s="1">
        <v>1424.56</v>
      </c>
      <c r="AY5780" t="s">
        <v>9360</v>
      </c>
      <c r="AZ5780" t="s">
        <v>5158</v>
      </c>
      <c r="BA5780" t="s">
        <v>5159</v>
      </c>
      <c r="BE5780" s="3">
        <v>42332</v>
      </c>
      <c r="BF5780" s="1">
        <v>215000</v>
      </c>
      <c r="BG5780" t="s">
        <v>35404</v>
      </c>
      <c r="BH5780" s="1">
        <v>140.71</v>
      </c>
      <c r="BI5780" s="1">
        <v>213192</v>
      </c>
      <c r="BJ5780" s="3">
        <v>42829</v>
      </c>
      <c r="BK5780" t="s">
        <v>123</v>
      </c>
      <c r="BL5780" t="str">
        <f>"2017.235845"</f>
        <v>2017.235845</v>
      </c>
      <c r="BM5780" t="s">
        <v>724</v>
      </c>
      <c r="BO5780" t="s">
        <v>35405</v>
      </c>
      <c r="BS5780">
        <v>30</v>
      </c>
      <c r="BW5780" t="str">
        <f>""</f>
        <v/>
      </c>
      <c r="CH5780" t="str">
        <f>""</f>
        <v/>
      </c>
      <c r="CS5780" t="str">
        <f>""</f>
        <v/>
      </c>
    </row>
    <row r="5781" spans="1:97" x14ac:dyDescent="0.25">
      <c r="A5781" t="s">
        <v>211</v>
      </c>
      <c r="B5781" t="s">
        <v>1422</v>
      </c>
      <c r="C5781" t="s">
        <v>1578</v>
      </c>
      <c r="D5781" t="s">
        <v>1422</v>
      </c>
      <c r="E5781" t="s">
        <v>35406</v>
      </c>
      <c r="F5781" t="s">
        <v>108</v>
      </c>
      <c r="H5781" t="s">
        <v>35407</v>
      </c>
      <c r="I5781" t="s">
        <v>499</v>
      </c>
      <c r="J5781" t="s">
        <v>111</v>
      </c>
      <c r="K5781" t="str">
        <f>"85338"</f>
        <v>85338</v>
      </c>
      <c r="L5781" t="s">
        <v>5775</v>
      </c>
      <c r="M5781" t="s">
        <v>35407</v>
      </c>
      <c r="N5781" t="s">
        <v>499</v>
      </c>
      <c r="O5781" t="s">
        <v>111</v>
      </c>
      <c r="P5781" t="str">
        <f>"85338-3265"</f>
        <v>85338-3265</v>
      </c>
      <c r="Q5781" t="s">
        <v>113</v>
      </c>
      <c r="R5781" t="str">
        <f>"500-10-429"</f>
        <v>500-10-429</v>
      </c>
      <c r="S5781" t="s">
        <v>9551</v>
      </c>
      <c r="T5781" t="s">
        <v>9551</v>
      </c>
      <c r="U5781">
        <v>3276</v>
      </c>
      <c r="V5781">
        <v>0</v>
      </c>
      <c r="W5781">
        <v>4</v>
      </c>
      <c r="X5781">
        <v>2015</v>
      </c>
      <c r="Z5781">
        <v>2</v>
      </c>
      <c r="AB5781">
        <v>0</v>
      </c>
      <c r="AC5781" t="s">
        <v>115</v>
      </c>
      <c r="AD5781">
        <v>2</v>
      </c>
      <c r="AE5781" t="s">
        <v>115</v>
      </c>
      <c r="AF5781">
        <v>0</v>
      </c>
      <c r="AG5781">
        <v>0</v>
      </c>
      <c r="AH5781" t="s">
        <v>116</v>
      </c>
      <c r="AI5781" s="1">
        <v>49283</v>
      </c>
      <c r="AJ5781" s="2">
        <v>0.14000000000000001</v>
      </c>
      <c r="AK5781" s="1">
        <v>365034</v>
      </c>
      <c r="AL5781" t="s">
        <v>117</v>
      </c>
      <c r="AM5781" t="s">
        <v>118</v>
      </c>
      <c r="AN5781">
        <v>7794</v>
      </c>
      <c r="AO5781">
        <v>0.18</v>
      </c>
      <c r="AR5781">
        <v>1</v>
      </c>
      <c r="AS5781" s="1">
        <v>26070</v>
      </c>
      <c r="AT5781" s="1">
        <v>5210</v>
      </c>
      <c r="AU5781" s="1">
        <v>20860</v>
      </c>
      <c r="AV5781">
        <v>80.02</v>
      </c>
      <c r="AX5781" s="1">
        <v>2300.7800000000002</v>
      </c>
      <c r="AY5781" t="s">
        <v>4311</v>
      </c>
      <c r="AZ5781" t="s">
        <v>4311</v>
      </c>
      <c r="BA5781" t="s">
        <v>7186</v>
      </c>
      <c r="BE5781" s="3">
        <v>42201</v>
      </c>
      <c r="BF5781" s="1">
        <v>315751</v>
      </c>
      <c r="BG5781" t="s">
        <v>158</v>
      </c>
      <c r="BH5781" s="1">
        <v>96.38</v>
      </c>
      <c r="BI5781" s="1">
        <v>315751</v>
      </c>
      <c r="BJ5781" s="3">
        <v>42201</v>
      </c>
      <c r="BK5781" t="s">
        <v>123</v>
      </c>
      <c r="BL5781" t="str">
        <f>"2015.512612"</f>
        <v>2015.512612</v>
      </c>
      <c r="BM5781" t="s">
        <v>241</v>
      </c>
      <c r="BO5781" t="s">
        <v>35408</v>
      </c>
      <c r="BS5781">
        <v>30</v>
      </c>
      <c r="BW5781" t="str">
        <f>""</f>
        <v/>
      </c>
      <c r="CH5781" t="str">
        <f>""</f>
        <v/>
      </c>
      <c r="CS5781" t="str">
        <f>""</f>
        <v/>
      </c>
    </row>
    <row r="5782" spans="1:97" x14ac:dyDescent="0.25">
      <c r="A5782" t="s">
        <v>140</v>
      </c>
      <c r="B5782" t="s">
        <v>35409</v>
      </c>
      <c r="C5782" t="s">
        <v>179</v>
      </c>
      <c r="D5782" t="s">
        <v>35409</v>
      </c>
      <c r="E5782" t="s">
        <v>35410</v>
      </c>
      <c r="F5782" t="s">
        <v>108</v>
      </c>
      <c r="H5782" t="s">
        <v>35411</v>
      </c>
      <c r="I5782" t="s">
        <v>203</v>
      </c>
      <c r="J5782" t="s">
        <v>111</v>
      </c>
      <c r="K5782" t="str">
        <f>"85298"</f>
        <v>85298</v>
      </c>
      <c r="L5782" t="s">
        <v>5131</v>
      </c>
      <c r="M5782" t="s">
        <v>35411</v>
      </c>
      <c r="N5782" t="s">
        <v>203</v>
      </c>
      <c r="O5782" t="s">
        <v>111</v>
      </c>
      <c r="P5782" t="str">
        <f>"85298-8733"</f>
        <v>85298-8733</v>
      </c>
      <c r="Q5782" t="s">
        <v>113</v>
      </c>
      <c r="R5782" t="str">
        <f>"304-77-436"</f>
        <v>304-77-436</v>
      </c>
      <c r="S5782" t="s">
        <v>14495</v>
      </c>
      <c r="U5782">
        <v>2530</v>
      </c>
      <c r="V5782">
        <v>0</v>
      </c>
      <c r="W5782">
        <v>5</v>
      </c>
      <c r="X5782">
        <v>2007</v>
      </c>
      <c r="Z5782">
        <v>2</v>
      </c>
      <c r="AA5782" t="s">
        <v>26</v>
      </c>
      <c r="AB5782">
        <v>0</v>
      </c>
      <c r="AC5782" t="s">
        <v>115</v>
      </c>
      <c r="AD5782">
        <v>2</v>
      </c>
      <c r="AE5782" t="s">
        <v>115</v>
      </c>
      <c r="AF5782">
        <v>0</v>
      </c>
      <c r="AG5782">
        <v>0</v>
      </c>
      <c r="AH5782" t="s">
        <v>116</v>
      </c>
      <c r="AI5782" s="1">
        <v>77143</v>
      </c>
      <c r="AJ5782" s="2">
        <v>0.19</v>
      </c>
      <c r="AK5782" s="1">
        <v>404873</v>
      </c>
      <c r="AL5782" t="s">
        <v>117</v>
      </c>
      <c r="AM5782" t="s">
        <v>191</v>
      </c>
      <c r="AN5782">
        <v>5500</v>
      </c>
      <c r="AO5782">
        <v>0.13</v>
      </c>
      <c r="AR5782">
        <v>1</v>
      </c>
      <c r="AS5782" s="1">
        <v>26760</v>
      </c>
      <c r="AT5782" s="1">
        <v>5350</v>
      </c>
      <c r="AU5782" s="1">
        <v>21410</v>
      </c>
      <c r="AV5782">
        <v>80.010000000000005</v>
      </c>
      <c r="AX5782" s="1">
        <v>2244.14</v>
      </c>
      <c r="AY5782" t="s">
        <v>2214</v>
      </c>
      <c r="AZ5782" t="s">
        <v>1134</v>
      </c>
      <c r="BA5782" t="s">
        <v>1134</v>
      </c>
      <c r="BE5782" s="3">
        <v>41690</v>
      </c>
      <c r="BF5782" s="1">
        <v>321500</v>
      </c>
      <c r="BG5782" t="s">
        <v>35412</v>
      </c>
      <c r="BH5782" s="1">
        <v>127.08</v>
      </c>
      <c r="BI5782" s="1">
        <v>327730</v>
      </c>
      <c r="BJ5782" s="3">
        <v>41969</v>
      </c>
      <c r="BK5782" t="s">
        <v>123</v>
      </c>
      <c r="BL5782" t="str">
        <f>"2014.783563"</f>
        <v>2014.783563</v>
      </c>
      <c r="BM5782" t="s">
        <v>594</v>
      </c>
      <c r="BO5782" t="s">
        <v>35413</v>
      </c>
      <c r="BS5782">
        <v>30</v>
      </c>
      <c r="BW5782" t="str">
        <f>""</f>
        <v/>
      </c>
      <c r="CH5782" t="str">
        <f>""</f>
        <v/>
      </c>
      <c r="CS5782" t="str">
        <f>""</f>
        <v/>
      </c>
    </row>
    <row r="5783" spans="1:97" x14ac:dyDescent="0.25">
      <c r="A5783" t="s">
        <v>6763</v>
      </c>
      <c r="B5783" t="s">
        <v>35414</v>
      </c>
      <c r="C5783" t="s">
        <v>35415</v>
      </c>
      <c r="D5783" t="s">
        <v>35414</v>
      </c>
      <c r="E5783" t="s">
        <v>35416</v>
      </c>
      <c r="F5783" t="s">
        <v>108</v>
      </c>
      <c r="H5783" t="s">
        <v>35417</v>
      </c>
      <c r="I5783" t="s">
        <v>203</v>
      </c>
      <c r="J5783" t="s">
        <v>111</v>
      </c>
      <c r="K5783" t="str">
        <f>"85296"</f>
        <v>85296</v>
      </c>
      <c r="L5783" t="s">
        <v>4035</v>
      </c>
      <c r="M5783" t="s">
        <v>35417</v>
      </c>
      <c r="N5783" t="s">
        <v>203</v>
      </c>
      <c r="O5783" t="s">
        <v>111</v>
      </c>
      <c r="P5783" t="str">
        <f>"85296-2895"</f>
        <v>85296-2895</v>
      </c>
      <c r="Q5783" t="s">
        <v>113</v>
      </c>
      <c r="R5783" t="str">
        <f>"314-07-178"</f>
        <v>314-07-178</v>
      </c>
      <c r="S5783" t="s">
        <v>18404</v>
      </c>
      <c r="T5783" t="s">
        <v>4037</v>
      </c>
      <c r="U5783">
        <v>2036</v>
      </c>
      <c r="V5783">
        <v>0</v>
      </c>
      <c r="W5783">
        <v>3</v>
      </c>
      <c r="X5783">
        <v>2010</v>
      </c>
      <c r="Z5783">
        <v>2</v>
      </c>
      <c r="AB5783">
        <v>0</v>
      </c>
      <c r="AC5783" t="s">
        <v>115</v>
      </c>
      <c r="AD5783">
        <v>2</v>
      </c>
      <c r="AE5783" t="s">
        <v>115</v>
      </c>
      <c r="AF5783">
        <v>0</v>
      </c>
      <c r="AG5783">
        <v>0</v>
      </c>
      <c r="AH5783" t="s">
        <v>116</v>
      </c>
      <c r="AI5783" s="1">
        <v>76150</v>
      </c>
      <c r="AJ5783" s="2">
        <v>0.26</v>
      </c>
      <c r="AK5783" s="1">
        <v>287811</v>
      </c>
      <c r="AL5783" t="s">
        <v>117</v>
      </c>
      <c r="AM5783" t="s">
        <v>288</v>
      </c>
      <c r="AN5783">
        <v>2975</v>
      </c>
      <c r="AO5783">
        <v>0.68</v>
      </c>
      <c r="AR5783">
        <v>1</v>
      </c>
      <c r="AS5783" s="1">
        <v>19730</v>
      </c>
      <c r="AT5783" s="1">
        <v>3940</v>
      </c>
      <c r="AU5783" s="1">
        <v>15790</v>
      </c>
      <c r="AV5783">
        <v>80.03</v>
      </c>
      <c r="AX5783" s="1">
        <v>1741.1</v>
      </c>
      <c r="AY5783" t="s">
        <v>472</v>
      </c>
      <c r="AZ5783" t="s">
        <v>472</v>
      </c>
      <c r="BA5783" t="s">
        <v>473</v>
      </c>
      <c r="BE5783" s="3">
        <v>41649</v>
      </c>
      <c r="BF5783" s="1">
        <v>204900</v>
      </c>
      <c r="BG5783" t="s">
        <v>35418</v>
      </c>
      <c r="BH5783" s="1">
        <v>100.64</v>
      </c>
      <c r="BI5783" s="1">
        <v>211661</v>
      </c>
      <c r="BJ5783" s="3">
        <v>41649</v>
      </c>
      <c r="BK5783" t="s">
        <v>123</v>
      </c>
      <c r="BL5783" t="str">
        <f>"2014.18844"</f>
        <v>2014.18844</v>
      </c>
      <c r="BM5783" t="s">
        <v>724</v>
      </c>
      <c r="BO5783" t="s">
        <v>35419</v>
      </c>
      <c r="BS5783">
        <v>30</v>
      </c>
      <c r="BW5783" t="str">
        <f>""</f>
        <v/>
      </c>
      <c r="CH5783" t="str">
        <f>""</f>
        <v/>
      </c>
      <c r="CS5783" t="str">
        <f>""</f>
        <v/>
      </c>
    </row>
    <row r="5784" spans="1:97" x14ac:dyDescent="0.25">
      <c r="A5784" t="s">
        <v>2045</v>
      </c>
      <c r="B5784" t="s">
        <v>35420</v>
      </c>
      <c r="C5784" t="s">
        <v>524</v>
      </c>
      <c r="D5784" t="s">
        <v>35420</v>
      </c>
      <c r="E5784" t="s">
        <v>35421</v>
      </c>
      <c r="F5784" t="s">
        <v>108</v>
      </c>
      <c r="H5784" t="s">
        <v>35422</v>
      </c>
      <c r="I5784" t="s">
        <v>632</v>
      </c>
      <c r="J5784" t="s">
        <v>111</v>
      </c>
      <c r="K5784" t="str">
        <f>"85378"</f>
        <v>85378</v>
      </c>
      <c r="L5784" t="s">
        <v>8345</v>
      </c>
      <c r="M5784" t="s">
        <v>35422</v>
      </c>
      <c r="N5784" t="s">
        <v>632</v>
      </c>
      <c r="O5784" t="s">
        <v>111</v>
      </c>
      <c r="P5784" t="str">
        <f>"85378-2659"</f>
        <v>85378-2659</v>
      </c>
      <c r="Q5784" t="s">
        <v>113</v>
      </c>
      <c r="R5784" t="str">
        <f>"507-05-058"</f>
        <v>507-05-058</v>
      </c>
      <c r="S5784" t="s">
        <v>35423</v>
      </c>
      <c r="T5784" t="s">
        <v>35424</v>
      </c>
      <c r="U5784">
        <v>1370</v>
      </c>
      <c r="V5784">
        <v>0</v>
      </c>
      <c r="W5784">
        <v>2</v>
      </c>
      <c r="X5784">
        <v>1995</v>
      </c>
      <c r="Z5784">
        <v>1</v>
      </c>
      <c r="AA5784" t="s">
        <v>26</v>
      </c>
      <c r="AB5784">
        <v>0</v>
      </c>
      <c r="AC5784" t="s">
        <v>115</v>
      </c>
      <c r="AD5784">
        <v>2</v>
      </c>
      <c r="AE5784" t="s">
        <v>115</v>
      </c>
      <c r="AF5784">
        <v>0</v>
      </c>
      <c r="AG5784">
        <v>0</v>
      </c>
      <c r="AH5784" t="s">
        <v>116</v>
      </c>
      <c r="AI5784" s="1">
        <v>42226</v>
      </c>
      <c r="AJ5784" s="2">
        <v>0.16</v>
      </c>
      <c r="AK5784" s="1">
        <v>261226</v>
      </c>
      <c r="AL5784" t="s">
        <v>117</v>
      </c>
      <c r="AM5784" t="s">
        <v>118</v>
      </c>
      <c r="AN5784">
        <v>7068</v>
      </c>
      <c r="AO5784">
        <v>0.16</v>
      </c>
      <c r="AP5784">
        <v>1</v>
      </c>
      <c r="AR5784">
        <v>1</v>
      </c>
      <c r="AS5784" s="1">
        <v>17810</v>
      </c>
      <c r="AT5784" s="1">
        <v>3560</v>
      </c>
      <c r="AU5784" s="1">
        <v>14250</v>
      </c>
      <c r="AV5784">
        <v>80.010000000000005</v>
      </c>
      <c r="AX5784" s="1">
        <v>1675</v>
      </c>
      <c r="AY5784" t="s">
        <v>320</v>
      </c>
      <c r="AZ5784" t="s">
        <v>320</v>
      </c>
      <c r="BA5784" t="s">
        <v>321</v>
      </c>
      <c r="BE5784" s="3">
        <v>42517</v>
      </c>
      <c r="BF5784" s="1">
        <v>219000</v>
      </c>
      <c r="BG5784" t="s">
        <v>35425</v>
      </c>
      <c r="BH5784" s="1">
        <v>159.85</v>
      </c>
      <c r="BI5784" s="1">
        <v>219000</v>
      </c>
      <c r="BJ5784" s="3">
        <v>42517</v>
      </c>
      <c r="BK5784" t="s">
        <v>123</v>
      </c>
      <c r="BL5784" t="str">
        <f>"2016.366673"</f>
        <v>2016.366673</v>
      </c>
      <c r="BM5784" t="s">
        <v>1154</v>
      </c>
      <c r="BO5784" t="s">
        <v>35426</v>
      </c>
      <c r="BS5784">
        <v>30</v>
      </c>
      <c r="BW5784" t="str">
        <f>""</f>
        <v/>
      </c>
      <c r="CH5784" t="str">
        <f>""</f>
        <v/>
      </c>
      <c r="CS5784" t="str">
        <f>""</f>
        <v/>
      </c>
    </row>
    <row r="5785" spans="1:97" x14ac:dyDescent="0.25">
      <c r="A5785" t="s">
        <v>1755</v>
      </c>
      <c r="B5785" t="s">
        <v>35427</v>
      </c>
      <c r="C5785" t="s">
        <v>2002</v>
      </c>
      <c r="D5785" t="s">
        <v>35427</v>
      </c>
      <c r="E5785" t="s">
        <v>35428</v>
      </c>
      <c r="F5785" t="s">
        <v>108</v>
      </c>
      <c r="H5785" t="s">
        <v>35429</v>
      </c>
      <c r="I5785" t="s">
        <v>390</v>
      </c>
      <c r="J5785" t="s">
        <v>111</v>
      </c>
      <c r="K5785" t="str">
        <f>"85044"</f>
        <v>85044</v>
      </c>
      <c r="L5785" t="s">
        <v>8034</v>
      </c>
      <c r="M5785" t="s">
        <v>35429</v>
      </c>
      <c r="N5785" t="s">
        <v>390</v>
      </c>
      <c r="O5785" t="s">
        <v>111</v>
      </c>
      <c r="P5785" t="str">
        <f>"85044-1914"</f>
        <v>85044-1914</v>
      </c>
      <c r="Q5785" t="s">
        <v>113</v>
      </c>
      <c r="R5785" t="str">
        <f>"306-22-025"</f>
        <v>306-22-025</v>
      </c>
      <c r="S5785" t="s">
        <v>22108</v>
      </c>
      <c r="T5785" t="s">
        <v>22109</v>
      </c>
      <c r="U5785">
        <v>1986</v>
      </c>
      <c r="V5785">
        <v>0</v>
      </c>
      <c r="W5785">
        <v>2</v>
      </c>
      <c r="X5785">
        <v>1978</v>
      </c>
      <c r="Z5785">
        <v>1</v>
      </c>
      <c r="AA5785" t="s">
        <v>26</v>
      </c>
      <c r="AB5785">
        <v>0</v>
      </c>
      <c r="AC5785" t="s">
        <v>115</v>
      </c>
      <c r="AD5785">
        <v>2</v>
      </c>
      <c r="AE5785" t="s">
        <v>115</v>
      </c>
      <c r="AF5785">
        <v>0</v>
      </c>
      <c r="AG5785">
        <v>0</v>
      </c>
      <c r="AH5785" t="s">
        <v>116</v>
      </c>
      <c r="AI5785" s="1">
        <v>61450</v>
      </c>
      <c r="AJ5785" s="2">
        <v>0.2</v>
      </c>
      <c r="AK5785" s="1">
        <v>311850</v>
      </c>
      <c r="AL5785" t="s">
        <v>117</v>
      </c>
      <c r="AM5785" t="s">
        <v>191</v>
      </c>
      <c r="AN5785">
        <v>8638</v>
      </c>
      <c r="AO5785">
        <v>0.2</v>
      </c>
      <c r="AP5785">
        <v>1</v>
      </c>
      <c r="AR5785">
        <v>1</v>
      </c>
      <c r="AS5785" s="1">
        <v>22020</v>
      </c>
      <c r="AT5785" s="1">
        <v>4400</v>
      </c>
      <c r="AU5785" s="1">
        <v>17620</v>
      </c>
      <c r="AV5785">
        <v>80.02</v>
      </c>
      <c r="AX5785" s="1">
        <v>1863.6</v>
      </c>
      <c r="AY5785" t="s">
        <v>11872</v>
      </c>
      <c r="AZ5785" t="s">
        <v>7255</v>
      </c>
      <c r="BA5785" t="s">
        <v>5328</v>
      </c>
      <c r="BE5785" s="3">
        <v>41752</v>
      </c>
      <c r="BF5785" s="1">
        <v>209000</v>
      </c>
      <c r="BG5785" t="s">
        <v>35430</v>
      </c>
      <c r="BH5785" s="1">
        <v>105.24</v>
      </c>
      <c r="BI5785" s="1">
        <v>250400</v>
      </c>
      <c r="BJ5785" s="3">
        <v>42544</v>
      </c>
      <c r="BK5785" t="s">
        <v>123</v>
      </c>
      <c r="BL5785" t="str">
        <f>"2016.438202"</f>
        <v>2016.438202</v>
      </c>
      <c r="BM5785" t="s">
        <v>683</v>
      </c>
      <c r="BO5785" t="s">
        <v>35431</v>
      </c>
      <c r="BS5785">
        <v>30</v>
      </c>
      <c r="BW5785" t="str">
        <f>""</f>
        <v/>
      </c>
      <c r="CH5785" t="str">
        <f>""</f>
        <v/>
      </c>
      <c r="CS5785" t="str">
        <f>""</f>
        <v/>
      </c>
    </row>
    <row r="5786" spans="1:97" x14ac:dyDescent="0.25">
      <c r="A5786" t="s">
        <v>16302</v>
      </c>
      <c r="B5786" t="s">
        <v>25608</v>
      </c>
      <c r="C5786" t="s">
        <v>35432</v>
      </c>
      <c r="D5786" t="s">
        <v>25608</v>
      </c>
      <c r="E5786" t="s">
        <v>35433</v>
      </c>
      <c r="F5786" t="s">
        <v>108</v>
      </c>
      <c r="H5786" t="s">
        <v>35434</v>
      </c>
      <c r="I5786" t="s">
        <v>1936</v>
      </c>
      <c r="J5786" t="s">
        <v>111</v>
      </c>
      <c r="K5786" t="str">
        <f>"85257"</f>
        <v>85257</v>
      </c>
      <c r="L5786" t="s">
        <v>1300</v>
      </c>
      <c r="M5786" t="s">
        <v>35434</v>
      </c>
      <c r="N5786" t="s">
        <v>1936</v>
      </c>
      <c r="O5786" t="s">
        <v>111</v>
      </c>
      <c r="P5786" t="str">
        <f>"85257-2103"</f>
        <v>85257-2103</v>
      </c>
      <c r="Q5786" t="s">
        <v>113</v>
      </c>
      <c r="R5786" t="str">
        <f>"131-30-120"</f>
        <v>131-30-120</v>
      </c>
      <c r="S5786" t="s">
        <v>35435</v>
      </c>
      <c r="U5786">
        <v>1506</v>
      </c>
      <c r="V5786">
        <v>0</v>
      </c>
      <c r="W5786">
        <v>2</v>
      </c>
      <c r="X5786">
        <v>1957</v>
      </c>
      <c r="Z5786">
        <v>1</v>
      </c>
      <c r="AB5786">
        <v>0</v>
      </c>
      <c r="AC5786" t="s">
        <v>115</v>
      </c>
      <c r="AD5786">
        <v>3</v>
      </c>
      <c r="AE5786" t="s">
        <v>115</v>
      </c>
      <c r="AF5786">
        <v>0</v>
      </c>
      <c r="AG5786">
        <v>0</v>
      </c>
      <c r="AH5786" t="s">
        <v>116</v>
      </c>
      <c r="AI5786" s="1">
        <v>14702</v>
      </c>
      <c r="AJ5786" s="2">
        <v>0.04</v>
      </c>
      <c r="AK5786" s="1">
        <v>364555</v>
      </c>
      <c r="AL5786" t="s">
        <v>117</v>
      </c>
      <c r="AM5786" t="s">
        <v>393</v>
      </c>
      <c r="AN5786">
        <v>6860</v>
      </c>
      <c r="AO5786">
        <v>0.16</v>
      </c>
      <c r="AP5786">
        <v>1</v>
      </c>
      <c r="AR5786">
        <v>1</v>
      </c>
      <c r="AS5786" s="1">
        <v>25580</v>
      </c>
      <c r="AT5786" s="1">
        <v>5110</v>
      </c>
      <c r="AU5786" s="1">
        <v>20470</v>
      </c>
      <c r="AV5786">
        <v>80.02</v>
      </c>
      <c r="AX5786" s="1">
        <v>1225.96</v>
      </c>
      <c r="AY5786" t="s">
        <v>7031</v>
      </c>
      <c r="AZ5786" t="s">
        <v>5420</v>
      </c>
      <c r="BA5786" t="s">
        <v>5421</v>
      </c>
      <c r="BE5786" s="3">
        <v>42118</v>
      </c>
      <c r="BF5786" s="1">
        <v>276900</v>
      </c>
      <c r="BG5786" t="s">
        <v>35436</v>
      </c>
      <c r="BH5786" s="1">
        <v>183.86</v>
      </c>
      <c r="BI5786" s="1">
        <v>282853</v>
      </c>
      <c r="BJ5786" s="3">
        <v>42118</v>
      </c>
      <c r="BK5786" t="s">
        <v>123</v>
      </c>
      <c r="BL5786" t="str">
        <f>"2015.286398"</f>
        <v>2015.286398</v>
      </c>
      <c r="BM5786" t="s">
        <v>724</v>
      </c>
      <c r="BN5786" t="s">
        <v>5737</v>
      </c>
      <c r="BO5786" t="s">
        <v>35437</v>
      </c>
      <c r="BS5786">
        <v>30</v>
      </c>
      <c r="BT5786" s="1">
        <v>67000</v>
      </c>
      <c r="BU5786" s="3">
        <v>43644</v>
      </c>
      <c r="BV5786" t="s">
        <v>134</v>
      </c>
      <c r="BW5786" t="str">
        <f>"2019.490326"</f>
        <v>2019.490326</v>
      </c>
      <c r="BX5786" t="s">
        <v>4708</v>
      </c>
      <c r="BY5786" t="s">
        <v>4709</v>
      </c>
      <c r="BZ5786" t="s">
        <v>35438</v>
      </c>
      <c r="CA5786" t="s">
        <v>35439</v>
      </c>
      <c r="CC5786" t="s">
        <v>139</v>
      </c>
      <c r="CH5786" t="str">
        <f>""</f>
        <v/>
      </c>
      <c r="CS5786" t="str">
        <f>""</f>
        <v/>
      </c>
    </row>
    <row r="5787" spans="1:97" x14ac:dyDescent="0.25">
      <c r="A5787" t="s">
        <v>35440</v>
      </c>
      <c r="B5787" t="s">
        <v>11859</v>
      </c>
      <c r="C5787" t="s">
        <v>7364</v>
      </c>
      <c r="D5787" t="s">
        <v>11859</v>
      </c>
      <c r="E5787" t="s">
        <v>35441</v>
      </c>
      <c r="F5787" t="s">
        <v>108</v>
      </c>
      <c r="H5787" t="s">
        <v>35442</v>
      </c>
      <c r="I5787" t="s">
        <v>499</v>
      </c>
      <c r="J5787" t="s">
        <v>111</v>
      </c>
      <c r="K5787" t="str">
        <f>"85338"</f>
        <v>85338</v>
      </c>
      <c r="L5787" t="s">
        <v>316</v>
      </c>
      <c r="M5787" t="s">
        <v>35442</v>
      </c>
      <c r="N5787" t="s">
        <v>499</v>
      </c>
      <c r="O5787" t="s">
        <v>111</v>
      </c>
      <c r="P5787" t="str">
        <f>"85338-7047"</f>
        <v>85338-7047</v>
      </c>
      <c r="Q5787" t="s">
        <v>113</v>
      </c>
      <c r="R5787" t="str">
        <f>"500-89-798"</f>
        <v>500-89-798</v>
      </c>
      <c r="S5787" t="s">
        <v>5041</v>
      </c>
      <c r="T5787" t="s">
        <v>5042</v>
      </c>
      <c r="U5787">
        <v>2080</v>
      </c>
      <c r="V5787">
        <v>0</v>
      </c>
      <c r="W5787">
        <v>3</v>
      </c>
      <c r="X5787">
        <v>2007</v>
      </c>
      <c r="Z5787">
        <v>2</v>
      </c>
      <c r="AA5787" t="s">
        <v>26</v>
      </c>
      <c r="AB5787">
        <v>0</v>
      </c>
      <c r="AC5787" t="s">
        <v>115</v>
      </c>
      <c r="AD5787">
        <v>2</v>
      </c>
      <c r="AE5787" t="s">
        <v>115</v>
      </c>
      <c r="AF5787">
        <v>0</v>
      </c>
      <c r="AG5787">
        <v>0</v>
      </c>
      <c r="AH5787" t="s">
        <v>116</v>
      </c>
      <c r="AI5787" s="1">
        <v>53593</v>
      </c>
      <c r="AJ5787" s="2">
        <v>0.2</v>
      </c>
      <c r="AK5787" s="1">
        <v>270523</v>
      </c>
      <c r="AL5787" t="s">
        <v>117</v>
      </c>
      <c r="AM5787" t="s">
        <v>118</v>
      </c>
      <c r="AN5787">
        <v>5500</v>
      </c>
      <c r="AO5787">
        <v>0.13</v>
      </c>
      <c r="AR5787">
        <v>1</v>
      </c>
      <c r="AS5787" s="1">
        <v>18760</v>
      </c>
      <c r="AT5787" s="1">
        <v>3750</v>
      </c>
      <c r="AU5787" s="1">
        <v>15010</v>
      </c>
      <c r="AV5787">
        <v>80.010000000000005</v>
      </c>
      <c r="AX5787" s="1">
        <v>1450.2</v>
      </c>
      <c r="AY5787" t="s">
        <v>4311</v>
      </c>
      <c r="AZ5787" t="s">
        <v>4311</v>
      </c>
      <c r="BA5787" t="s">
        <v>218</v>
      </c>
      <c r="BE5787" s="3">
        <v>42394</v>
      </c>
      <c r="BF5787" s="1">
        <v>210000</v>
      </c>
      <c r="BG5787" t="s">
        <v>35443</v>
      </c>
      <c r="BH5787" s="1">
        <v>100.96</v>
      </c>
      <c r="BI5787" s="1">
        <v>216930</v>
      </c>
      <c r="BJ5787" s="3">
        <v>42394</v>
      </c>
      <c r="BK5787" t="s">
        <v>123</v>
      </c>
      <c r="BL5787" t="str">
        <f>"2016.49382"</f>
        <v>2016.49382</v>
      </c>
      <c r="BM5787" t="s">
        <v>1185</v>
      </c>
      <c r="BO5787" t="s">
        <v>35444</v>
      </c>
      <c r="BS5787">
        <v>30</v>
      </c>
      <c r="BW5787" t="str">
        <f>""</f>
        <v/>
      </c>
      <c r="CH5787" t="str">
        <f>""</f>
        <v/>
      </c>
      <c r="CS5787" t="str">
        <f>""</f>
        <v/>
      </c>
    </row>
    <row r="5788" spans="1:97" x14ac:dyDescent="0.25">
      <c r="A5788" t="s">
        <v>3221</v>
      </c>
      <c r="B5788" t="s">
        <v>5013</v>
      </c>
      <c r="E5788" t="s">
        <v>35445</v>
      </c>
      <c r="F5788" t="s">
        <v>108</v>
      </c>
      <c r="H5788" t="s">
        <v>35446</v>
      </c>
      <c r="I5788" t="s">
        <v>1936</v>
      </c>
      <c r="J5788" t="s">
        <v>111</v>
      </c>
      <c r="K5788" t="str">
        <f>"85257"</f>
        <v>85257</v>
      </c>
      <c r="L5788" t="s">
        <v>6891</v>
      </c>
      <c r="M5788" t="s">
        <v>35446</v>
      </c>
      <c r="N5788" t="s">
        <v>1936</v>
      </c>
      <c r="O5788" t="s">
        <v>111</v>
      </c>
      <c r="P5788" t="str">
        <f>"85257-2045"</f>
        <v>85257-2045</v>
      </c>
      <c r="Q5788" t="s">
        <v>113</v>
      </c>
      <c r="R5788" t="str">
        <f>"129-04-027"</f>
        <v>129-04-027</v>
      </c>
      <c r="S5788" t="s">
        <v>35447</v>
      </c>
      <c r="T5788" t="s">
        <v>35447</v>
      </c>
      <c r="U5788">
        <v>1684</v>
      </c>
      <c r="V5788">
        <v>0</v>
      </c>
      <c r="W5788">
        <v>2</v>
      </c>
      <c r="X5788">
        <v>1959</v>
      </c>
      <c r="Z5788">
        <v>1</v>
      </c>
      <c r="AA5788" t="s">
        <v>26</v>
      </c>
      <c r="AB5788">
        <v>0</v>
      </c>
      <c r="AC5788" t="s">
        <v>115</v>
      </c>
      <c r="AD5788">
        <v>2</v>
      </c>
      <c r="AE5788" t="s">
        <v>115</v>
      </c>
      <c r="AF5788">
        <v>0</v>
      </c>
      <c r="AG5788">
        <v>0</v>
      </c>
      <c r="AH5788" t="s">
        <v>116</v>
      </c>
      <c r="AI5788" s="1">
        <v>113829</v>
      </c>
      <c r="AJ5788" s="2">
        <v>0.27</v>
      </c>
      <c r="AK5788" s="1">
        <v>421007</v>
      </c>
      <c r="AL5788" t="s">
        <v>117</v>
      </c>
      <c r="AM5788" t="s">
        <v>393</v>
      </c>
      <c r="AN5788">
        <v>8749</v>
      </c>
      <c r="AO5788">
        <v>0.2</v>
      </c>
      <c r="AP5788">
        <v>1</v>
      </c>
      <c r="AR5788">
        <v>1</v>
      </c>
      <c r="AS5788" s="1">
        <v>28900</v>
      </c>
      <c r="AT5788" s="1">
        <v>5780</v>
      </c>
      <c r="AU5788" s="1">
        <v>23120</v>
      </c>
      <c r="AV5788">
        <v>80</v>
      </c>
      <c r="AX5788" s="1">
        <v>1395.48</v>
      </c>
      <c r="AY5788" t="s">
        <v>6894</v>
      </c>
      <c r="AZ5788" t="s">
        <v>6894</v>
      </c>
      <c r="BA5788" t="s">
        <v>5421</v>
      </c>
      <c r="BE5788" s="3">
        <v>41935</v>
      </c>
      <c r="BF5788" s="1">
        <v>305000</v>
      </c>
      <c r="BG5788" t="s">
        <v>35448</v>
      </c>
      <c r="BH5788" s="1">
        <v>181.12</v>
      </c>
      <c r="BI5788" s="1">
        <v>307178</v>
      </c>
      <c r="BJ5788" s="3">
        <v>42604</v>
      </c>
      <c r="BK5788" t="s">
        <v>123</v>
      </c>
      <c r="BL5788" t="str">
        <f>"2016.599196"</f>
        <v>2016.599196</v>
      </c>
      <c r="BM5788" t="s">
        <v>4014</v>
      </c>
      <c r="BO5788" t="s">
        <v>35449</v>
      </c>
      <c r="BS5788">
        <v>30</v>
      </c>
      <c r="BW5788" t="str">
        <f>""</f>
        <v/>
      </c>
      <c r="CH5788" t="str">
        <f>""</f>
        <v/>
      </c>
      <c r="CS5788" t="str">
        <f>""</f>
        <v/>
      </c>
    </row>
    <row r="5789" spans="1:97" x14ac:dyDescent="0.25">
      <c r="A5789" t="s">
        <v>177</v>
      </c>
      <c r="B5789" t="s">
        <v>35450</v>
      </c>
      <c r="E5789" t="s">
        <v>35451</v>
      </c>
      <c r="F5789" t="s">
        <v>108</v>
      </c>
      <c r="H5789" t="s">
        <v>35452</v>
      </c>
      <c r="I5789" t="s">
        <v>453</v>
      </c>
      <c r="J5789" t="s">
        <v>111</v>
      </c>
      <c r="K5789" t="str">
        <f>"85381"</f>
        <v>85381</v>
      </c>
      <c r="L5789" t="s">
        <v>9597</v>
      </c>
      <c r="M5789" t="s">
        <v>35452</v>
      </c>
      <c r="N5789" t="s">
        <v>453</v>
      </c>
      <c r="O5789" t="s">
        <v>111</v>
      </c>
      <c r="P5789" t="str">
        <f>"85381-5220"</f>
        <v>85381-5220</v>
      </c>
      <c r="Q5789" t="s">
        <v>113</v>
      </c>
      <c r="R5789" t="str">
        <f>"200-97-339"</f>
        <v>200-97-339</v>
      </c>
      <c r="S5789" t="s">
        <v>9723</v>
      </c>
      <c r="T5789" t="s">
        <v>9724</v>
      </c>
      <c r="U5789">
        <v>1401</v>
      </c>
      <c r="V5789">
        <v>0</v>
      </c>
      <c r="W5789">
        <v>3</v>
      </c>
      <c r="X5789">
        <v>2016</v>
      </c>
      <c r="Z5789">
        <v>1</v>
      </c>
      <c r="AB5789">
        <v>0</v>
      </c>
      <c r="AC5789" t="s">
        <v>115</v>
      </c>
      <c r="AD5789">
        <v>2</v>
      </c>
      <c r="AE5789" t="s">
        <v>115</v>
      </c>
      <c r="AF5789">
        <v>0</v>
      </c>
      <c r="AG5789">
        <v>0</v>
      </c>
      <c r="AH5789" t="s">
        <v>116</v>
      </c>
      <c r="AI5789" s="1">
        <v>39862</v>
      </c>
      <c r="AJ5789" s="2">
        <v>0.15</v>
      </c>
      <c r="AK5789" s="1">
        <v>268862</v>
      </c>
      <c r="AL5789" t="s">
        <v>117</v>
      </c>
      <c r="AM5789" t="s">
        <v>118</v>
      </c>
      <c r="AN5789">
        <v>4245</v>
      </c>
      <c r="AO5789">
        <v>0.97</v>
      </c>
      <c r="AR5789">
        <v>1</v>
      </c>
      <c r="AS5789" s="1">
        <v>20020</v>
      </c>
      <c r="AT5789" s="1">
        <v>4000</v>
      </c>
      <c r="AU5789" s="1">
        <v>16020</v>
      </c>
      <c r="AV5789">
        <v>80.02</v>
      </c>
      <c r="AX5789" s="1">
        <v>1612.76</v>
      </c>
      <c r="AY5789" t="s">
        <v>5629</v>
      </c>
      <c r="AZ5789" t="s">
        <v>5629</v>
      </c>
      <c r="BA5789" t="s">
        <v>4007</v>
      </c>
      <c r="BE5789" s="3">
        <v>42488</v>
      </c>
      <c r="BF5789" s="1">
        <v>229000</v>
      </c>
      <c r="BG5789" t="s">
        <v>9725</v>
      </c>
      <c r="BH5789" s="1">
        <v>163.44999999999999</v>
      </c>
      <c r="BI5789" s="1">
        <v>229000</v>
      </c>
      <c r="BJ5789" s="3">
        <v>42488</v>
      </c>
      <c r="BK5789" t="s">
        <v>123</v>
      </c>
      <c r="BL5789" t="str">
        <f>"2016.286180"</f>
        <v>2016.286180</v>
      </c>
      <c r="BM5789" t="s">
        <v>175</v>
      </c>
      <c r="BO5789" t="s">
        <v>35453</v>
      </c>
      <c r="BS5789">
        <v>30</v>
      </c>
      <c r="BW5789" t="str">
        <f>""</f>
        <v/>
      </c>
      <c r="CH5789" t="str">
        <f>""</f>
        <v/>
      </c>
      <c r="CS5789" t="str">
        <f>""</f>
        <v/>
      </c>
    </row>
    <row r="5790" spans="1:97" x14ac:dyDescent="0.25">
      <c r="A5790" t="s">
        <v>3296</v>
      </c>
      <c r="B5790" t="s">
        <v>11434</v>
      </c>
      <c r="E5790" t="s">
        <v>35454</v>
      </c>
      <c r="F5790" t="s">
        <v>108</v>
      </c>
      <c r="H5790" t="s">
        <v>35455</v>
      </c>
      <c r="I5790" t="s">
        <v>632</v>
      </c>
      <c r="J5790" t="s">
        <v>111</v>
      </c>
      <c r="K5790" t="str">
        <f>"85387"</f>
        <v>85387</v>
      </c>
      <c r="L5790" t="s">
        <v>5496</v>
      </c>
      <c r="M5790" t="s">
        <v>35455</v>
      </c>
      <c r="N5790" t="s">
        <v>632</v>
      </c>
      <c r="O5790" t="s">
        <v>111</v>
      </c>
      <c r="P5790" t="str">
        <f>"85387-1061"</f>
        <v>85387-1061</v>
      </c>
      <c r="Q5790" t="s">
        <v>113</v>
      </c>
      <c r="R5790" t="str">
        <f>"503-51-472"</f>
        <v>503-51-472</v>
      </c>
      <c r="S5790" t="s">
        <v>5497</v>
      </c>
      <c r="T5790" t="s">
        <v>5498</v>
      </c>
      <c r="U5790">
        <v>2610</v>
      </c>
      <c r="V5790">
        <v>0</v>
      </c>
      <c r="W5790">
        <v>4</v>
      </c>
      <c r="X5790">
        <v>2009</v>
      </c>
      <c r="Z5790">
        <v>2</v>
      </c>
      <c r="AB5790">
        <v>0</v>
      </c>
      <c r="AC5790" t="s">
        <v>115</v>
      </c>
      <c r="AD5790">
        <v>2</v>
      </c>
      <c r="AE5790" t="s">
        <v>115</v>
      </c>
      <c r="AF5790">
        <v>0</v>
      </c>
      <c r="AG5790">
        <v>0</v>
      </c>
      <c r="AH5790" t="s">
        <v>116</v>
      </c>
      <c r="AI5790" s="1">
        <v>61486</v>
      </c>
      <c r="AJ5790" s="2">
        <v>0.22</v>
      </c>
      <c r="AK5790" s="1">
        <v>277912</v>
      </c>
      <c r="AL5790" t="s">
        <v>117</v>
      </c>
      <c r="AM5790" t="s">
        <v>118</v>
      </c>
      <c r="AN5790">
        <v>7875</v>
      </c>
      <c r="AO5790">
        <v>0.18</v>
      </c>
      <c r="AR5790">
        <v>1</v>
      </c>
      <c r="AS5790" s="1">
        <v>19000</v>
      </c>
      <c r="AT5790" s="1">
        <v>3800</v>
      </c>
      <c r="AU5790" s="1">
        <v>15200</v>
      </c>
      <c r="AV5790">
        <v>80</v>
      </c>
      <c r="AX5790" s="1">
        <v>1230.24</v>
      </c>
      <c r="AY5790" t="s">
        <v>5499</v>
      </c>
      <c r="AZ5790" t="s">
        <v>5499</v>
      </c>
      <c r="BE5790" s="3">
        <v>42360</v>
      </c>
      <c r="BF5790" s="1">
        <v>198500</v>
      </c>
      <c r="BG5790" t="s">
        <v>35456</v>
      </c>
      <c r="BH5790" s="1">
        <v>76.05</v>
      </c>
      <c r="BI5790" s="1">
        <v>216426</v>
      </c>
      <c r="BJ5790" s="3">
        <v>42635</v>
      </c>
      <c r="BK5790" t="s">
        <v>123</v>
      </c>
      <c r="BL5790" t="str">
        <f>"2016.690996"</f>
        <v>2016.690996</v>
      </c>
      <c r="BM5790" t="s">
        <v>248</v>
      </c>
      <c r="BO5790" t="s">
        <v>35457</v>
      </c>
      <c r="BS5790">
        <v>30</v>
      </c>
      <c r="BW5790" t="str">
        <f>""</f>
        <v/>
      </c>
      <c r="CH5790" t="str">
        <f>""</f>
        <v/>
      </c>
      <c r="CS5790" t="str">
        <f>""</f>
        <v/>
      </c>
    </row>
    <row r="5791" spans="1:97" x14ac:dyDescent="0.25">
      <c r="A5791" t="s">
        <v>1906</v>
      </c>
      <c r="B5791" t="s">
        <v>712</v>
      </c>
      <c r="C5791" t="s">
        <v>1514</v>
      </c>
      <c r="D5791" t="s">
        <v>712</v>
      </c>
      <c r="E5791" t="s">
        <v>35458</v>
      </c>
      <c r="F5791" t="s">
        <v>108</v>
      </c>
      <c r="H5791" t="s">
        <v>35459</v>
      </c>
      <c r="I5791" t="s">
        <v>225</v>
      </c>
      <c r="J5791" t="s">
        <v>111</v>
      </c>
      <c r="K5791" t="str">
        <f>"85212"</f>
        <v>85212</v>
      </c>
      <c r="L5791" t="s">
        <v>1569</v>
      </c>
      <c r="M5791" t="s">
        <v>35459</v>
      </c>
      <c r="N5791" t="s">
        <v>225</v>
      </c>
      <c r="O5791" t="s">
        <v>111</v>
      </c>
      <c r="P5791" t="str">
        <f>"85212-1942"</f>
        <v>85212-1942</v>
      </c>
      <c r="Q5791" t="s">
        <v>113</v>
      </c>
      <c r="R5791" t="str">
        <f>"304-01-745"</f>
        <v>304-01-745</v>
      </c>
      <c r="S5791" t="s">
        <v>21808</v>
      </c>
      <c r="T5791" t="s">
        <v>12865</v>
      </c>
      <c r="U5791">
        <v>2288</v>
      </c>
      <c r="V5791">
        <v>0</v>
      </c>
      <c r="W5791">
        <v>3</v>
      </c>
      <c r="X5791">
        <v>2002</v>
      </c>
      <c r="Z5791">
        <v>1</v>
      </c>
      <c r="AA5791" t="s">
        <v>26</v>
      </c>
      <c r="AB5791">
        <v>0</v>
      </c>
      <c r="AC5791" t="s">
        <v>115</v>
      </c>
      <c r="AD5791">
        <v>2</v>
      </c>
      <c r="AE5791" t="s">
        <v>115</v>
      </c>
      <c r="AF5791">
        <v>0</v>
      </c>
      <c r="AG5791">
        <v>0</v>
      </c>
      <c r="AH5791" t="s">
        <v>116</v>
      </c>
      <c r="AI5791" s="1">
        <v>121244</v>
      </c>
      <c r="AJ5791" s="2">
        <v>0.35</v>
      </c>
      <c r="AK5791" s="1">
        <v>345974</v>
      </c>
      <c r="AL5791" t="s">
        <v>117</v>
      </c>
      <c r="AM5791" t="s">
        <v>191</v>
      </c>
      <c r="AN5791">
        <v>7453</v>
      </c>
      <c r="AO5791">
        <v>0.17</v>
      </c>
      <c r="AP5791">
        <v>1</v>
      </c>
      <c r="AR5791">
        <v>1</v>
      </c>
      <c r="AS5791" s="1">
        <v>23400</v>
      </c>
      <c r="AT5791" s="1">
        <v>4680</v>
      </c>
      <c r="AU5791" s="1">
        <v>18720</v>
      </c>
      <c r="AV5791">
        <v>80</v>
      </c>
      <c r="AX5791" s="1">
        <v>1668</v>
      </c>
      <c r="AY5791" t="s">
        <v>776</v>
      </c>
      <c r="AZ5791" t="s">
        <v>777</v>
      </c>
      <c r="BA5791" t="s">
        <v>572</v>
      </c>
      <c r="BB5791" s="3">
        <v>42634</v>
      </c>
      <c r="BD5791" t="s">
        <v>458</v>
      </c>
      <c r="BE5791" s="3">
        <v>42384</v>
      </c>
      <c r="BF5791" s="1">
        <v>262900</v>
      </c>
      <c r="BG5791" t="s">
        <v>35460</v>
      </c>
      <c r="BH5791" s="1">
        <v>114.9</v>
      </c>
      <c r="BI5791" s="1">
        <v>224730</v>
      </c>
      <c r="BJ5791" s="3">
        <v>42634</v>
      </c>
      <c r="BK5791" t="s">
        <v>123</v>
      </c>
      <c r="BL5791" t="str">
        <f>"2016.685385"</f>
        <v>2016.685385</v>
      </c>
      <c r="BM5791" t="s">
        <v>5534</v>
      </c>
      <c r="BO5791" t="s">
        <v>35461</v>
      </c>
      <c r="BS5791">
        <v>30</v>
      </c>
      <c r="BW5791" t="str">
        <f>""</f>
        <v/>
      </c>
      <c r="CH5791" t="str">
        <f>""</f>
        <v/>
      </c>
      <c r="CS5791" t="str">
        <f>""</f>
        <v/>
      </c>
    </row>
    <row r="5792" spans="1:97" x14ac:dyDescent="0.25">
      <c r="A5792" t="s">
        <v>13366</v>
      </c>
      <c r="B5792" t="s">
        <v>35462</v>
      </c>
      <c r="C5792" t="s">
        <v>719</v>
      </c>
      <c r="D5792" t="s">
        <v>35462</v>
      </c>
      <c r="E5792" t="s">
        <v>35463</v>
      </c>
      <c r="F5792" t="s">
        <v>108</v>
      </c>
      <c r="H5792" t="s">
        <v>35464</v>
      </c>
      <c r="I5792" t="s">
        <v>1936</v>
      </c>
      <c r="J5792" t="s">
        <v>111</v>
      </c>
      <c r="K5792" t="str">
        <f>"85250"</f>
        <v>85250</v>
      </c>
      <c r="L5792" t="s">
        <v>6891</v>
      </c>
      <c r="M5792" t="s">
        <v>35464</v>
      </c>
      <c r="N5792" t="s">
        <v>1936</v>
      </c>
      <c r="O5792" t="s">
        <v>111</v>
      </c>
      <c r="P5792" t="str">
        <f>"85250-5717"</f>
        <v>85250-5717</v>
      </c>
      <c r="Q5792" t="s">
        <v>113</v>
      </c>
      <c r="R5792" t="str">
        <f>"174-10-230"</f>
        <v>174-10-230</v>
      </c>
      <c r="S5792" t="s">
        <v>15215</v>
      </c>
      <c r="U5792">
        <v>1978</v>
      </c>
      <c r="V5792">
        <v>0</v>
      </c>
      <c r="W5792">
        <v>3</v>
      </c>
      <c r="X5792">
        <v>1962</v>
      </c>
      <c r="Z5792">
        <v>1</v>
      </c>
      <c r="AA5792" t="s">
        <v>26</v>
      </c>
      <c r="AB5792">
        <v>0</v>
      </c>
      <c r="AC5792" t="s">
        <v>115</v>
      </c>
      <c r="AD5792">
        <v>2</v>
      </c>
      <c r="AE5792" t="s">
        <v>115</v>
      </c>
      <c r="AF5792">
        <v>0</v>
      </c>
      <c r="AG5792">
        <v>0</v>
      </c>
      <c r="AH5792" t="s">
        <v>116</v>
      </c>
      <c r="AI5792" s="1">
        <v>54917</v>
      </c>
      <c r="AJ5792" s="2">
        <v>0.1</v>
      </c>
      <c r="AK5792" s="1">
        <v>550467</v>
      </c>
      <c r="AL5792" t="s">
        <v>117</v>
      </c>
      <c r="AM5792" t="s">
        <v>393</v>
      </c>
      <c r="AN5792">
        <v>12074</v>
      </c>
      <c r="AO5792">
        <v>0.28000000000000003</v>
      </c>
      <c r="AP5792">
        <v>1</v>
      </c>
      <c r="AR5792">
        <v>1</v>
      </c>
      <c r="AS5792" s="1">
        <v>40400</v>
      </c>
      <c r="AT5792" s="1">
        <v>8080</v>
      </c>
      <c r="AU5792" s="1">
        <v>32320</v>
      </c>
      <c r="AV5792">
        <v>80</v>
      </c>
      <c r="AX5792" s="1">
        <v>2172.6999999999998</v>
      </c>
      <c r="AY5792" t="s">
        <v>6974</v>
      </c>
      <c r="AZ5792" t="s">
        <v>6975</v>
      </c>
      <c r="BA5792" t="s">
        <v>6976</v>
      </c>
      <c r="BE5792" s="3">
        <v>42158</v>
      </c>
      <c r="BF5792" s="1">
        <v>435000</v>
      </c>
      <c r="BG5792" t="s">
        <v>35465</v>
      </c>
      <c r="BH5792" s="1">
        <v>219.92</v>
      </c>
      <c r="BI5792" s="1">
        <v>425750</v>
      </c>
      <c r="BJ5792" s="3">
        <v>42573</v>
      </c>
      <c r="BK5792" t="s">
        <v>123</v>
      </c>
      <c r="BL5792" t="str">
        <f>"2016.517949"</f>
        <v>2016.517949</v>
      </c>
      <c r="BM5792" t="s">
        <v>124</v>
      </c>
      <c r="BN5792" t="s">
        <v>1575</v>
      </c>
      <c r="BO5792" t="s">
        <v>35466</v>
      </c>
      <c r="BS5792">
        <v>30</v>
      </c>
      <c r="BT5792" s="1">
        <v>69800</v>
      </c>
      <c r="BU5792" s="3">
        <v>43257</v>
      </c>
      <c r="BW5792" t="str">
        <f>"2018.432063"</f>
        <v>2018.432063</v>
      </c>
      <c r="BX5792" t="s">
        <v>2042</v>
      </c>
      <c r="BY5792" t="s">
        <v>1575</v>
      </c>
      <c r="BZ5792" t="s">
        <v>35467</v>
      </c>
      <c r="CA5792" t="s">
        <v>35468</v>
      </c>
      <c r="CC5792" t="s">
        <v>346</v>
      </c>
      <c r="CH5792" t="str">
        <f>""</f>
        <v/>
      </c>
      <c r="CS5792" t="str">
        <f>""</f>
        <v/>
      </c>
    </row>
    <row r="5793" spans="1:97" x14ac:dyDescent="0.25">
      <c r="A5793" t="s">
        <v>211</v>
      </c>
      <c r="B5793" t="s">
        <v>35469</v>
      </c>
      <c r="C5793" t="s">
        <v>3862</v>
      </c>
      <c r="D5793" t="s">
        <v>35470</v>
      </c>
      <c r="E5793" t="s">
        <v>35471</v>
      </c>
      <c r="F5793" t="s">
        <v>108</v>
      </c>
      <c r="H5793" t="s">
        <v>35472</v>
      </c>
      <c r="I5793" t="s">
        <v>632</v>
      </c>
      <c r="J5793" t="s">
        <v>111</v>
      </c>
      <c r="K5793" t="str">
        <f>"85387"</f>
        <v>85387</v>
      </c>
      <c r="L5793" t="s">
        <v>1569</v>
      </c>
      <c r="M5793" t="s">
        <v>35472</v>
      </c>
      <c r="N5793" t="s">
        <v>632</v>
      </c>
      <c r="O5793" t="s">
        <v>111</v>
      </c>
      <c r="P5793" t="str">
        <f>"85387-6421"</f>
        <v>85387-6421</v>
      </c>
      <c r="Q5793" t="s">
        <v>113</v>
      </c>
      <c r="R5793" t="str">
        <f>"232-43-706"</f>
        <v>232-43-706</v>
      </c>
      <c r="S5793" t="s">
        <v>35473</v>
      </c>
      <c r="T5793" t="s">
        <v>35473</v>
      </c>
      <c r="U5793">
        <v>1348</v>
      </c>
      <c r="V5793">
        <v>0</v>
      </c>
      <c r="W5793">
        <v>2</v>
      </c>
      <c r="X5793">
        <v>2002</v>
      </c>
      <c r="Z5793">
        <v>1</v>
      </c>
      <c r="AA5793" t="s">
        <v>26</v>
      </c>
      <c r="AB5793">
        <v>0</v>
      </c>
      <c r="AC5793" t="s">
        <v>115</v>
      </c>
      <c r="AD5793">
        <v>2</v>
      </c>
      <c r="AE5793" t="s">
        <v>115</v>
      </c>
      <c r="AF5793">
        <v>0</v>
      </c>
      <c r="AG5793">
        <v>0</v>
      </c>
      <c r="AH5793" t="s">
        <v>116</v>
      </c>
      <c r="AI5793" s="1">
        <v>63506</v>
      </c>
      <c r="AJ5793" s="2">
        <v>0.23</v>
      </c>
      <c r="AK5793" s="1">
        <v>272506</v>
      </c>
      <c r="AL5793" t="s">
        <v>117</v>
      </c>
      <c r="AM5793" t="s">
        <v>118</v>
      </c>
      <c r="AN5793">
        <v>8378</v>
      </c>
      <c r="AO5793">
        <v>0.19</v>
      </c>
      <c r="AP5793">
        <v>1</v>
      </c>
      <c r="AR5793">
        <v>1</v>
      </c>
      <c r="AS5793" s="1">
        <v>19350</v>
      </c>
      <c r="AT5793" s="1">
        <v>3870</v>
      </c>
      <c r="AU5793" s="1">
        <v>15480</v>
      </c>
      <c r="AV5793">
        <v>80</v>
      </c>
      <c r="AX5793" s="1">
        <v>1907.1</v>
      </c>
      <c r="AY5793" t="s">
        <v>5108</v>
      </c>
      <c r="AZ5793" t="s">
        <v>5108</v>
      </c>
      <c r="BA5793" t="s">
        <v>5109</v>
      </c>
      <c r="BE5793" s="3">
        <v>42313</v>
      </c>
      <c r="BF5793" s="1">
        <v>210000</v>
      </c>
      <c r="BG5793" t="s">
        <v>35474</v>
      </c>
      <c r="BH5793" s="1">
        <v>155.79</v>
      </c>
      <c r="BI5793" s="1">
        <v>209000</v>
      </c>
      <c r="BJ5793" s="3">
        <v>42313</v>
      </c>
      <c r="BK5793" t="s">
        <v>123</v>
      </c>
      <c r="BL5793" t="str">
        <f>"2015.796302"</f>
        <v>2015.796302</v>
      </c>
      <c r="BM5793" t="s">
        <v>402</v>
      </c>
      <c r="BO5793" t="s">
        <v>35475</v>
      </c>
      <c r="BS5793">
        <v>30</v>
      </c>
      <c r="BW5793" t="str">
        <f>""</f>
        <v/>
      </c>
      <c r="CH5793" t="str">
        <f>""</f>
        <v/>
      </c>
      <c r="CS5793" t="str">
        <f>""</f>
        <v/>
      </c>
    </row>
    <row r="5794" spans="1:97" x14ac:dyDescent="0.25">
      <c r="A5794" t="s">
        <v>511</v>
      </c>
      <c r="B5794" t="s">
        <v>6779</v>
      </c>
      <c r="C5794" t="s">
        <v>976</v>
      </c>
      <c r="D5794" t="s">
        <v>6779</v>
      </c>
      <c r="E5794" t="s">
        <v>35476</v>
      </c>
      <c r="F5794" t="s">
        <v>108</v>
      </c>
      <c r="H5794" t="s">
        <v>35477</v>
      </c>
      <c r="I5794" t="s">
        <v>2874</v>
      </c>
      <c r="J5794" t="s">
        <v>111</v>
      </c>
      <c r="K5794" t="str">
        <f>"85308"</f>
        <v>85308</v>
      </c>
      <c r="L5794" t="s">
        <v>3758</v>
      </c>
      <c r="M5794" t="s">
        <v>35477</v>
      </c>
      <c r="N5794" t="s">
        <v>2874</v>
      </c>
      <c r="O5794" t="s">
        <v>111</v>
      </c>
      <c r="P5794" t="str">
        <f>"85308-6805"</f>
        <v>85308-6805</v>
      </c>
      <c r="Q5794" t="s">
        <v>113</v>
      </c>
      <c r="R5794" t="str">
        <f>"200-24-305"</f>
        <v>200-24-305</v>
      </c>
      <c r="S5794" t="s">
        <v>35478</v>
      </c>
      <c r="T5794" t="s">
        <v>35478</v>
      </c>
      <c r="U5794">
        <v>2397</v>
      </c>
      <c r="V5794">
        <v>0</v>
      </c>
      <c r="W5794">
        <v>4</v>
      </c>
      <c r="X5794">
        <v>1996</v>
      </c>
      <c r="Z5794">
        <v>2</v>
      </c>
      <c r="AA5794" t="s">
        <v>26</v>
      </c>
      <c r="AB5794">
        <v>0</v>
      </c>
      <c r="AC5794" t="s">
        <v>115</v>
      </c>
      <c r="AD5794">
        <v>3</v>
      </c>
      <c r="AE5794" t="s">
        <v>115</v>
      </c>
      <c r="AF5794">
        <v>0</v>
      </c>
      <c r="AG5794">
        <v>0</v>
      </c>
      <c r="AH5794" t="s">
        <v>116</v>
      </c>
      <c r="AI5794" s="1">
        <v>50359</v>
      </c>
      <c r="AJ5794" s="2">
        <v>0.14000000000000001</v>
      </c>
      <c r="AK5794" s="1">
        <v>372359</v>
      </c>
      <c r="AL5794" t="s">
        <v>117</v>
      </c>
      <c r="AM5794" t="s">
        <v>393</v>
      </c>
      <c r="AN5794">
        <v>8400</v>
      </c>
      <c r="AO5794">
        <v>0.19</v>
      </c>
      <c r="AP5794">
        <v>1</v>
      </c>
      <c r="AR5794">
        <v>1</v>
      </c>
      <c r="AS5794" s="1">
        <v>25500</v>
      </c>
      <c r="AT5794" s="1">
        <v>5100</v>
      </c>
      <c r="AU5794" s="1">
        <v>20400</v>
      </c>
      <c r="AV5794">
        <v>80</v>
      </c>
      <c r="AX5794" s="1">
        <v>2207.2199999999998</v>
      </c>
      <c r="AY5794" t="s">
        <v>8587</v>
      </c>
      <c r="AZ5794" t="s">
        <v>5142</v>
      </c>
      <c r="BA5794" t="s">
        <v>5143</v>
      </c>
      <c r="BB5794" s="3">
        <v>42459</v>
      </c>
      <c r="BD5794" t="s">
        <v>240</v>
      </c>
      <c r="BE5794" s="3">
        <v>42184</v>
      </c>
      <c r="BF5794" s="1">
        <v>295000</v>
      </c>
      <c r="BG5794" t="s">
        <v>35479</v>
      </c>
      <c r="BH5794" s="1">
        <v>123.07</v>
      </c>
      <c r="BI5794" s="1">
        <v>322000</v>
      </c>
      <c r="BJ5794" s="3">
        <v>43067</v>
      </c>
      <c r="BK5794" t="s">
        <v>123</v>
      </c>
      <c r="BL5794" t="str">
        <f>"2017.879005"</f>
        <v>2017.879005</v>
      </c>
      <c r="BM5794" t="s">
        <v>2657</v>
      </c>
      <c r="BO5794" t="s">
        <v>35480</v>
      </c>
      <c r="BS5794">
        <v>30</v>
      </c>
      <c r="BW5794" t="str">
        <f>""</f>
        <v/>
      </c>
      <c r="CH5794" t="str">
        <f>""</f>
        <v/>
      </c>
      <c r="CS5794" t="str">
        <f>""</f>
        <v/>
      </c>
    </row>
    <row r="5795" spans="1:97" x14ac:dyDescent="0.25">
      <c r="A5795" t="s">
        <v>1083</v>
      </c>
      <c r="B5795" t="s">
        <v>35481</v>
      </c>
      <c r="C5795" t="s">
        <v>537</v>
      </c>
      <c r="D5795" t="s">
        <v>35481</v>
      </c>
      <c r="E5795" t="s">
        <v>35482</v>
      </c>
      <c r="F5795" t="s">
        <v>108</v>
      </c>
      <c r="H5795" t="s">
        <v>35483</v>
      </c>
      <c r="I5795" t="s">
        <v>110</v>
      </c>
      <c r="J5795" t="s">
        <v>111</v>
      </c>
      <c r="K5795" t="str">
        <f>"85224"</f>
        <v>85224</v>
      </c>
      <c r="L5795" t="s">
        <v>8034</v>
      </c>
      <c r="M5795" t="s">
        <v>35483</v>
      </c>
      <c r="N5795" t="s">
        <v>110</v>
      </c>
      <c r="O5795" t="s">
        <v>111</v>
      </c>
      <c r="P5795" t="str">
        <f>"85224-4247"</f>
        <v>85224-4247</v>
      </c>
      <c r="Q5795" t="s">
        <v>113</v>
      </c>
      <c r="R5795" t="str">
        <f>"302-74-516"</f>
        <v>302-74-516</v>
      </c>
      <c r="S5795" t="s">
        <v>35484</v>
      </c>
      <c r="U5795">
        <v>1646</v>
      </c>
      <c r="V5795">
        <v>0</v>
      </c>
      <c r="W5795">
        <v>3</v>
      </c>
      <c r="X5795">
        <v>1991</v>
      </c>
      <c r="Z5795">
        <v>1</v>
      </c>
      <c r="AB5795">
        <v>0</v>
      </c>
      <c r="AC5795" t="s">
        <v>115</v>
      </c>
      <c r="AD5795">
        <v>2</v>
      </c>
      <c r="AE5795" t="s">
        <v>115</v>
      </c>
      <c r="AF5795">
        <v>0</v>
      </c>
      <c r="AG5795">
        <v>0</v>
      </c>
      <c r="AH5795" t="s">
        <v>116</v>
      </c>
      <c r="AI5795" s="1">
        <v>74468</v>
      </c>
      <c r="AJ5795" s="2">
        <v>0.24</v>
      </c>
      <c r="AK5795" s="1">
        <v>315869</v>
      </c>
      <c r="AL5795" t="s">
        <v>117</v>
      </c>
      <c r="AM5795" t="s">
        <v>118</v>
      </c>
      <c r="AN5795">
        <v>6050</v>
      </c>
      <c r="AO5795">
        <v>0.14000000000000001</v>
      </c>
      <c r="AP5795">
        <v>1</v>
      </c>
      <c r="AR5795">
        <v>1</v>
      </c>
      <c r="AS5795" s="1">
        <v>22260</v>
      </c>
      <c r="AT5795" s="1">
        <v>4450</v>
      </c>
      <c r="AU5795" s="1">
        <v>17810</v>
      </c>
      <c r="AV5795">
        <v>80.010000000000005</v>
      </c>
      <c r="AX5795" s="1">
        <v>1733.82</v>
      </c>
      <c r="AY5795" t="s">
        <v>5657</v>
      </c>
      <c r="AZ5795" t="s">
        <v>5078</v>
      </c>
      <c r="BA5795" t="s">
        <v>2957</v>
      </c>
      <c r="BE5795" s="3">
        <v>41817</v>
      </c>
      <c r="BF5795" s="1">
        <v>234000</v>
      </c>
      <c r="BG5795" t="s">
        <v>35485</v>
      </c>
      <c r="BH5795" s="1">
        <v>142.16</v>
      </c>
      <c r="BI5795" s="1">
        <v>241401</v>
      </c>
      <c r="BJ5795" s="3">
        <v>42398</v>
      </c>
      <c r="BK5795" t="s">
        <v>123</v>
      </c>
      <c r="BL5795" t="str">
        <f>"2016.60247"</f>
        <v>2016.60247</v>
      </c>
      <c r="BM5795" t="s">
        <v>2368</v>
      </c>
      <c r="BO5795" t="s">
        <v>35486</v>
      </c>
      <c r="BS5795">
        <v>30</v>
      </c>
      <c r="BW5795" t="str">
        <f>""</f>
        <v/>
      </c>
      <c r="CH5795" t="str">
        <f>""</f>
        <v/>
      </c>
      <c r="CS5795" t="str">
        <f>""</f>
        <v/>
      </c>
    </row>
    <row r="5796" spans="1:97" x14ac:dyDescent="0.25">
      <c r="A5796" t="s">
        <v>35487</v>
      </c>
      <c r="B5796" t="s">
        <v>35488</v>
      </c>
      <c r="E5796" t="s">
        <v>35489</v>
      </c>
      <c r="F5796" t="s">
        <v>108</v>
      </c>
      <c r="H5796" t="s">
        <v>35490</v>
      </c>
      <c r="I5796" t="s">
        <v>203</v>
      </c>
      <c r="J5796" t="s">
        <v>111</v>
      </c>
      <c r="K5796" t="str">
        <f>"85296"</f>
        <v>85296</v>
      </c>
      <c r="L5796" t="s">
        <v>9060</v>
      </c>
      <c r="M5796" t="s">
        <v>35490</v>
      </c>
      <c r="N5796" t="s">
        <v>203</v>
      </c>
      <c r="O5796" t="s">
        <v>111</v>
      </c>
      <c r="P5796" t="str">
        <f>"85296-4252"</f>
        <v>85296-4252</v>
      </c>
      <c r="Q5796" t="s">
        <v>113</v>
      </c>
      <c r="R5796" t="str">
        <f>"304-25-368"</f>
        <v>304-25-368</v>
      </c>
      <c r="S5796" t="s">
        <v>15126</v>
      </c>
      <c r="T5796" t="s">
        <v>9527</v>
      </c>
      <c r="U5796">
        <v>1620</v>
      </c>
      <c r="V5796">
        <v>0</v>
      </c>
      <c r="W5796">
        <v>3</v>
      </c>
      <c r="X5796">
        <v>1997</v>
      </c>
      <c r="Z5796">
        <v>1</v>
      </c>
      <c r="AA5796" t="s">
        <v>26</v>
      </c>
      <c r="AB5796">
        <v>0</v>
      </c>
      <c r="AC5796" t="s">
        <v>115</v>
      </c>
      <c r="AD5796">
        <v>2</v>
      </c>
      <c r="AE5796" t="s">
        <v>115</v>
      </c>
      <c r="AF5796">
        <v>0</v>
      </c>
      <c r="AG5796">
        <v>0</v>
      </c>
      <c r="AH5796" t="s">
        <v>116</v>
      </c>
      <c r="AI5796" s="1">
        <v>34914</v>
      </c>
      <c r="AJ5796" s="2">
        <v>0.11</v>
      </c>
      <c r="AK5796" s="1">
        <v>318989</v>
      </c>
      <c r="AL5796" t="s">
        <v>117</v>
      </c>
      <c r="AM5796" t="s">
        <v>191</v>
      </c>
      <c r="AN5796">
        <v>6639</v>
      </c>
      <c r="AO5796">
        <v>0.15</v>
      </c>
      <c r="AP5796">
        <v>1</v>
      </c>
      <c r="AR5796">
        <v>1</v>
      </c>
      <c r="AS5796" s="1">
        <v>22830</v>
      </c>
      <c r="AT5796" s="1">
        <v>4560</v>
      </c>
      <c r="AU5796" s="1">
        <v>18270</v>
      </c>
      <c r="AV5796">
        <v>80.03</v>
      </c>
      <c r="AX5796" s="1">
        <v>1542.46</v>
      </c>
      <c r="AY5796" t="s">
        <v>7837</v>
      </c>
      <c r="AZ5796" t="s">
        <v>207</v>
      </c>
      <c r="BA5796" t="s">
        <v>208</v>
      </c>
      <c r="BE5796" s="3">
        <v>42228</v>
      </c>
      <c r="BF5796" s="1">
        <v>246000</v>
      </c>
      <c r="BG5796" t="s">
        <v>35491</v>
      </c>
      <c r="BH5796" s="1">
        <v>151.85</v>
      </c>
      <c r="BI5796" s="1">
        <v>284075</v>
      </c>
      <c r="BJ5796" s="3">
        <v>43038</v>
      </c>
      <c r="BK5796" t="s">
        <v>123</v>
      </c>
      <c r="BL5796" t="str">
        <f>"2017.801851"</f>
        <v>2017.801851</v>
      </c>
      <c r="BM5796" t="s">
        <v>35492</v>
      </c>
      <c r="BO5796" t="s">
        <v>35493</v>
      </c>
      <c r="BS5796">
        <v>30</v>
      </c>
      <c r="BW5796" t="str">
        <f>""</f>
        <v/>
      </c>
      <c r="CH5796" t="str">
        <f>""</f>
        <v/>
      </c>
      <c r="CS5796" t="str">
        <f>""</f>
        <v/>
      </c>
    </row>
    <row r="5797" spans="1:97" x14ac:dyDescent="0.25">
      <c r="B5797" t="s">
        <v>35494</v>
      </c>
      <c r="E5797" t="s">
        <v>35494</v>
      </c>
      <c r="F5797" t="s">
        <v>108</v>
      </c>
      <c r="H5797" t="s">
        <v>35495</v>
      </c>
      <c r="I5797" t="s">
        <v>453</v>
      </c>
      <c r="J5797" t="s">
        <v>111</v>
      </c>
      <c r="K5797" t="str">
        <f>"85345"</f>
        <v>85345</v>
      </c>
      <c r="L5797" t="s">
        <v>9764</v>
      </c>
      <c r="M5797" t="s">
        <v>35495</v>
      </c>
      <c r="N5797" t="s">
        <v>453</v>
      </c>
      <c r="O5797" t="s">
        <v>111</v>
      </c>
      <c r="P5797" t="str">
        <f>"85345-4160"</f>
        <v>85345-4160</v>
      </c>
      <c r="Q5797" t="s">
        <v>113</v>
      </c>
      <c r="R5797" t="str">
        <f>"142-44-093"</f>
        <v>142-44-093</v>
      </c>
      <c r="S5797" t="s">
        <v>24468</v>
      </c>
      <c r="T5797" t="s">
        <v>24468</v>
      </c>
      <c r="U5797">
        <v>1962</v>
      </c>
      <c r="V5797">
        <v>0</v>
      </c>
      <c r="W5797">
        <v>3</v>
      </c>
      <c r="X5797">
        <v>2000</v>
      </c>
      <c r="Z5797">
        <v>1</v>
      </c>
      <c r="AA5797" t="s">
        <v>26</v>
      </c>
      <c r="AB5797">
        <v>0</v>
      </c>
      <c r="AC5797" t="s">
        <v>115</v>
      </c>
      <c r="AD5797">
        <v>2</v>
      </c>
      <c r="AE5797" t="s">
        <v>115</v>
      </c>
      <c r="AF5797">
        <v>0</v>
      </c>
      <c r="AG5797">
        <v>0</v>
      </c>
      <c r="AH5797" t="s">
        <v>116</v>
      </c>
      <c r="AI5797" s="1">
        <v>54815</v>
      </c>
      <c r="AJ5797" s="2">
        <v>0.18</v>
      </c>
      <c r="AK5797" s="1">
        <v>297932</v>
      </c>
      <c r="AL5797" t="s">
        <v>117</v>
      </c>
      <c r="AM5797" t="s">
        <v>171</v>
      </c>
      <c r="AN5797">
        <v>8260</v>
      </c>
      <c r="AO5797">
        <v>0.19</v>
      </c>
      <c r="AP5797">
        <v>1</v>
      </c>
      <c r="AR5797">
        <v>1</v>
      </c>
      <c r="AS5797" s="1">
        <v>20310</v>
      </c>
      <c r="AT5797" s="1">
        <v>4060</v>
      </c>
      <c r="AU5797" s="1">
        <v>16250</v>
      </c>
      <c r="AV5797">
        <v>80.010000000000005</v>
      </c>
      <c r="AX5797" s="1">
        <v>1579.8</v>
      </c>
      <c r="AY5797" t="s">
        <v>4006</v>
      </c>
      <c r="AZ5797" t="s">
        <v>4006</v>
      </c>
      <c r="BA5797" t="s">
        <v>4007</v>
      </c>
      <c r="BE5797" s="3">
        <v>42446</v>
      </c>
      <c r="BF5797" s="1">
        <v>240500</v>
      </c>
      <c r="BG5797" t="s">
        <v>5034</v>
      </c>
      <c r="BH5797" s="1">
        <v>122.58</v>
      </c>
      <c r="BI5797" s="1">
        <v>243117</v>
      </c>
      <c r="BJ5797" s="3">
        <v>42446</v>
      </c>
      <c r="BK5797" t="s">
        <v>123</v>
      </c>
      <c r="BL5797" t="str">
        <f>"2016.173501"</f>
        <v>2016.173501</v>
      </c>
      <c r="BM5797" t="s">
        <v>724</v>
      </c>
      <c r="BO5797" t="s">
        <v>35496</v>
      </c>
      <c r="BS5797">
        <v>30</v>
      </c>
      <c r="BW5797" t="str">
        <f>""</f>
        <v/>
      </c>
      <c r="CH5797" t="str">
        <f>""</f>
        <v/>
      </c>
      <c r="CS5797" t="str">
        <f>""</f>
        <v/>
      </c>
    </row>
    <row r="5798" spans="1:97" x14ac:dyDescent="0.25">
      <c r="A5798" t="s">
        <v>1774</v>
      </c>
      <c r="B5798" t="s">
        <v>35497</v>
      </c>
      <c r="E5798" t="s">
        <v>35498</v>
      </c>
      <c r="F5798" t="s">
        <v>108</v>
      </c>
      <c r="H5798" t="s">
        <v>35499</v>
      </c>
      <c r="I5798" t="s">
        <v>632</v>
      </c>
      <c r="J5798" t="s">
        <v>111</v>
      </c>
      <c r="K5798" t="str">
        <f>"85379"</f>
        <v>85379</v>
      </c>
      <c r="L5798" t="s">
        <v>558</v>
      </c>
      <c r="M5798" t="s">
        <v>35499</v>
      </c>
      <c r="N5798" t="s">
        <v>632</v>
      </c>
      <c r="O5798" t="s">
        <v>111</v>
      </c>
      <c r="P5798" t="str">
        <f>"85379-6321"</f>
        <v>85379-6321</v>
      </c>
      <c r="Q5798" t="s">
        <v>113</v>
      </c>
      <c r="R5798" t="str">
        <f>"509-14-885"</f>
        <v>509-14-885</v>
      </c>
      <c r="S5798" t="s">
        <v>35500</v>
      </c>
      <c r="U5798">
        <v>2522</v>
      </c>
      <c r="V5798">
        <v>0</v>
      </c>
      <c r="W5798">
        <v>4</v>
      </c>
      <c r="X5798">
        <v>2005</v>
      </c>
      <c r="Z5798">
        <v>2</v>
      </c>
      <c r="AA5798" t="s">
        <v>26</v>
      </c>
      <c r="AB5798">
        <v>0</v>
      </c>
      <c r="AC5798" t="s">
        <v>115</v>
      </c>
      <c r="AD5798">
        <v>2</v>
      </c>
      <c r="AE5798" t="s">
        <v>115</v>
      </c>
      <c r="AF5798">
        <v>0</v>
      </c>
      <c r="AG5798">
        <v>0</v>
      </c>
      <c r="AH5798" t="s">
        <v>116</v>
      </c>
      <c r="AI5798" s="1">
        <v>87212</v>
      </c>
      <c r="AJ5798" s="2">
        <v>0.3</v>
      </c>
      <c r="AK5798" s="1">
        <v>295495</v>
      </c>
      <c r="AL5798" t="s">
        <v>117</v>
      </c>
      <c r="AM5798" t="s">
        <v>118</v>
      </c>
      <c r="AN5798">
        <v>4848</v>
      </c>
      <c r="AO5798">
        <v>0.11</v>
      </c>
      <c r="AR5798">
        <v>1</v>
      </c>
      <c r="AS5798" s="1">
        <v>20520</v>
      </c>
      <c r="AT5798" s="1">
        <v>4100</v>
      </c>
      <c r="AU5798" s="1">
        <v>16420</v>
      </c>
      <c r="AV5798">
        <v>80.02</v>
      </c>
      <c r="AX5798" s="1">
        <v>1600.04</v>
      </c>
      <c r="AY5798" t="s">
        <v>5615</v>
      </c>
      <c r="AZ5798" t="s">
        <v>5615</v>
      </c>
      <c r="BA5798" t="s">
        <v>635</v>
      </c>
      <c r="BE5798" s="3">
        <v>41961</v>
      </c>
      <c r="BF5798" s="1">
        <v>203900</v>
      </c>
      <c r="BG5798" t="s">
        <v>35501</v>
      </c>
      <c r="BH5798" s="1">
        <v>80.849999999999994</v>
      </c>
      <c r="BI5798" s="1">
        <v>208283</v>
      </c>
      <c r="BJ5798" s="3">
        <v>41961</v>
      </c>
      <c r="BK5798" t="s">
        <v>123</v>
      </c>
      <c r="BL5798" t="str">
        <f>"2014.762498"</f>
        <v>2014.762498</v>
      </c>
      <c r="BM5798" t="s">
        <v>475</v>
      </c>
      <c r="BO5798" t="s">
        <v>35502</v>
      </c>
      <c r="BS5798">
        <v>30</v>
      </c>
      <c r="BW5798" t="str">
        <f>""</f>
        <v/>
      </c>
      <c r="CH5798" t="str">
        <f>""</f>
        <v/>
      </c>
      <c r="CS5798" t="str">
        <f>""</f>
        <v/>
      </c>
    </row>
    <row r="5799" spans="1:97" x14ac:dyDescent="0.25">
      <c r="A5799" t="s">
        <v>370</v>
      </c>
      <c r="B5799" t="s">
        <v>6396</v>
      </c>
      <c r="C5799" t="s">
        <v>1017</v>
      </c>
      <c r="D5799" t="s">
        <v>6396</v>
      </c>
      <c r="E5799" t="s">
        <v>35503</v>
      </c>
      <c r="F5799" t="s">
        <v>108</v>
      </c>
      <c r="H5799" t="s">
        <v>35504</v>
      </c>
      <c r="I5799" t="s">
        <v>390</v>
      </c>
      <c r="J5799" t="s">
        <v>111</v>
      </c>
      <c r="K5799" t="str">
        <f>"85028"</f>
        <v>85028</v>
      </c>
      <c r="L5799" t="s">
        <v>5918</v>
      </c>
      <c r="M5799" t="s">
        <v>35504</v>
      </c>
      <c r="N5799" t="s">
        <v>390</v>
      </c>
      <c r="O5799" t="s">
        <v>111</v>
      </c>
      <c r="P5799" t="str">
        <f>"85028-3529"</f>
        <v>85028-3529</v>
      </c>
      <c r="Q5799" t="s">
        <v>113</v>
      </c>
      <c r="R5799" t="str">
        <f>"167-70-022"</f>
        <v>167-70-022</v>
      </c>
      <c r="S5799" t="s">
        <v>35505</v>
      </c>
      <c r="T5799" t="s">
        <v>9579</v>
      </c>
      <c r="U5799">
        <v>2352</v>
      </c>
      <c r="V5799">
        <v>0</v>
      </c>
      <c r="W5799">
        <v>2</v>
      </c>
      <c r="X5799">
        <v>1971</v>
      </c>
      <c r="Z5799">
        <v>1</v>
      </c>
      <c r="AA5799" t="s">
        <v>26</v>
      </c>
      <c r="AB5799">
        <v>0</v>
      </c>
      <c r="AC5799" t="s">
        <v>5188</v>
      </c>
      <c r="AD5799">
        <v>2</v>
      </c>
      <c r="AE5799" t="s">
        <v>5188</v>
      </c>
      <c r="AF5799">
        <v>0</v>
      </c>
      <c r="AG5799">
        <v>0</v>
      </c>
      <c r="AH5799" t="s">
        <v>116</v>
      </c>
      <c r="AI5799" s="1">
        <v>86221</v>
      </c>
      <c r="AJ5799" s="2">
        <v>0.2</v>
      </c>
      <c r="AK5799" s="1">
        <v>432276</v>
      </c>
      <c r="AL5799" t="s">
        <v>117</v>
      </c>
      <c r="AM5799" t="s">
        <v>6114</v>
      </c>
      <c r="AN5799">
        <v>14268</v>
      </c>
      <c r="AO5799">
        <v>0.33</v>
      </c>
      <c r="AP5799">
        <v>1</v>
      </c>
      <c r="AR5799">
        <v>1</v>
      </c>
      <c r="AS5799" s="1">
        <v>30610</v>
      </c>
      <c r="AT5799" s="1">
        <v>6120</v>
      </c>
      <c r="AU5799" s="1">
        <v>24490</v>
      </c>
      <c r="AV5799">
        <v>80.010000000000005</v>
      </c>
      <c r="AX5799" s="1">
        <v>2125.86</v>
      </c>
      <c r="AY5799" t="s">
        <v>8948</v>
      </c>
      <c r="AZ5799" t="s">
        <v>8949</v>
      </c>
      <c r="BA5799" t="s">
        <v>7868</v>
      </c>
      <c r="BB5799" s="3">
        <v>42460</v>
      </c>
      <c r="BD5799" t="s">
        <v>240</v>
      </c>
      <c r="BE5799" s="3">
        <v>42326</v>
      </c>
      <c r="BF5799" s="1">
        <v>335000</v>
      </c>
      <c r="BG5799" t="s">
        <v>35506</v>
      </c>
      <c r="BH5799" s="1">
        <v>173.4</v>
      </c>
      <c r="BI5799" s="1">
        <v>346055</v>
      </c>
      <c r="BJ5799" s="3">
        <v>42326</v>
      </c>
      <c r="BK5799" t="s">
        <v>123</v>
      </c>
      <c r="BL5799" t="str">
        <f>"2015.824809"</f>
        <v>2015.824809</v>
      </c>
      <c r="BM5799" t="s">
        <v>131</v>
      </c>
      <c r="BO5799" t="s">
        <v>35507</v>
      </c>
      <c r="BS5799">
        <v>30</v>
      </c>
      <c r="BW5799" t="str">
        <f>""</f>
        <v/>
      </c>
      <c r="CH5799" t="str">
        <f>""</f>
        <v/>
      </c>
      <c r="CS5799" t="str">
        <f>""</f>
        <v/>
      </c>
    </row>
    <row r="5800" spans="1:97" x14ac:dyDescent="0.25">
      <c r="A5800" t="s">
        <v>16151</v>
      </c>
      <c r="B5800" t="s">
        <v>482</v>
      </c>
      <c r="C5800" t="s">
        <v>489</v>
      </c>
      <c r="D5800" t="s">
        <v>35508</v>
      </c>
      <c r="E5800" t="s">
        <v>35509</v>
      </c>
      <c r="F5800" t="s">
        <v>108</v>
      </c>
      <c r="H5800" t="s">
        <v>35510</v>
      </c>
      <c r="I5800" t="s">
        <v>5114</v>
      </c>
      <c r="J5800" t="s">
        <v>111</v>
      </c>
      <c r="K5800" t="str">
        <f>"85323"</f>
        <v>85323</v>
      </c>
      <c r="L5800" t="s">
        <v>337</v>
      </c>
      <c r="M5800" t="s">
        <v>35510</v>
      </c>
      <c r="N5800" t="s">
        <v>5114</v>
      </c>
      <c r="O5800" t="s">
        <v>111</v>
      </c>
      <c r="P5800" t="str">
        <f>"85323-6827"</f>
        <v>85323-6827</v>
      </c>
      <c r="Q5800" t="s">
        <v>113</v>
      </c>
      <c r="R5800" t="str">
        <f>"101-01-162"</f>
        <v>101-01-162</v>
      </c>
      <c r="S5800" t="s">
        <v>35368</v>
      </c>
      <c r="T5800" t="s">
        <v>35369</v>
      </c>
      <c r="U5800">
        <v>1965</v>
      </c>
      <c r="V5800">
        <v>0</v>
      </c>
      <c r="W5800">
        <v>3</v>
      </c>
      <c r="X5800">
        <v>2006</v>
      </c>
      <c r="Z5800">
        <v>2</v>
      </c>
      <c r="AB5800">
        <v>0</v>
      </c>
      <c r="AC5800" t="s">
        <v>115</v>
      </c>
      <c r="AD5800">
        <v>2</v>
      </c>
      <c r="AE5800" t="s">
        <v>115</v>
      </c>
      <c r="AF5800">
        <v>0</v>
      </c>
      <c r="AG5800">
        <v>0</v>
      </c>
      <c r="AH5800" t="s">
        <v>116</v>
      </c>
      <c r="AI5800" s="1">
        <v>61821</v>
      </c>
      <c r="AJ5800" s="2">
        <v>0.23</v>
      </c>
      <c r="AK5800" s="1">
        <v>264078</v>
      </c>
      <c r="AL5800" t="s">
        <v>117</v>
      </c>
      <c r="AM5800" t="s">
        <v>118</v>
      </c>
      <c r="AN5800">
        <v>17004</v>
      </c>
      <c r="AO5800">
        <v>0.39</v>
      </c>
      <c r="AR5800">
        <v>1</v>
      </c>
      <c r="AS5800" s="1">
        <v>18170</v>
      </c>
      <c r="AT5800" s="1">
        <v>3630</v>
      </c>
      <c r="AU5800" s="1">
        <v>14540</v>
      </c>
      <c r="AV5800">
        <v>80.02</v>
      </c>
      <c r="AX5800" s="1">
        <v>1837.1</v>
      </c>
      <c r="AY5800" t="s">
        <v>9033</v>
      </c>
      <c r="AZ5800" t="s">
        <v>9033</v>
      </c>
      <c r="BA5800" t="s">
        <v>4254</v>
      </c>
      <c r="BE5800" s="3">
        <v>42206</v>
      </c>
      <c r="BF5800" s="1">
        <v>198000</v>
      </c>
      <c r="BG5800" t="s">
        <v>35511</v>
      </c>
      <c r="BH5800" s="1">
        <v>100.76</v>
      </c>
      <c r="BI5800" s="1">
        <v>202257</v>
      </c>
      <c r="BJ5800" s="3">
        <v>42206</v>
      </c>
      <c r="BK5800" t="s">
        <v>123</v>
      </c>
      <c r="BL5800" t="str">
        <f>"2015.523850"</f>
        <v>2015.523850</v>
      </c>
      <c r="BM5800" t="s">
        <v>12498</v>
      </c>
      <c r="BO5800" t="s">
        <v>35512</v>
      </c>
      <c r="BP5800" t="s">
        <v>35513</v>
      </c>
      <c r="BS5800">
        <v>30</v>
      </c>
      <c r="BW5800" t="str">
        <f>""</f>
        <v/>
      </c>
      <c r="CH5800" t="str">
        <f>""</f>
        <v/>
      </c>
      <c r="CS5800" t="str">
        <f>""</f>
        <v/>
      </c>
    </row>
    <row r="5801" spans="1:97" x14ac:dyDescent="0.25">
      <c r="A5801" t="s">
        <v>35514</v>
      </c>
      <c r="B5801" t="s">
        <v>35515</v>
      </c>
      <c r="E5801" t="s">
        <v>35516</v>
      </c>
      <c r="F5801" t="s">
        <v>108</v>
      </c>
      <c r="H5801" t="s">
        <v>35517</v>
      </c>
      <c r="I5801" t="s">
        <v>144</v>
      </c>
      <c r="J5801" t="s">
        <v>111</v>
      </c>
      <c r="K5801" t="str">
        <f>"85396"</f>
        <v>85396</v>
      </c>
      <c r="L5801" t="s">
        <v>5893</v>
      </c>
      <c r="M5801" t="s">
        <v>35517</v>
      </c>
      <c r="N5801" t="s">
        <v>144</v>
      </c>
      <c r="O5801" t="s">
        <v>111</v>
      </c>
      <c r="P5801" t="str">
        <f>"85396-7156"</f>
        <v>85396-7156</v>
      </c>
      <c r="Q5801" t="s">
        <v>113</v>
      </c>
      <c r="R5801" t="str">
        <f>"504-07-359"</f>
        <v>504-07-359</v>
      </c>
      <c r="S5801" t="s">
        <v>9710</v>
      </c>
      <c r="U5801">
        <v>2005</v>
      </c>
      <c r="V5801">
        <v>0</v>
      </c>
      <c r="W5801">
        <v>3</v>
      </c>
      <c r="X5801">
        <v>2006</v>
      </c>
      <c r="Z5801">
        <v>1</v>
      </c>
      <c r="AB5801">
        <v>0</v>
      </c>
      <c r="AC5801" t="s">
        <v>115</v>
      </c>
      <c r="AD5801">
        <v>3</v>
      </c>
      <c r="AE5801" t="s">
        <v>115</v>
      </c>
      <c r="AF5801">
        <v>0</v>
      </c>
      <c r="AG5801">
        <v>0</v>
      </c>
      <c r="AH5801" t="s">
        <v>116</v>
      </c>
      <c r="AI5801" s="1">
        <v>29301</v>
      </c>
      <c r="AJ5801" s="2">
        <v>0.13</v>
      </c>
      <c r="AK5801" s="1">
        <v>233835</v>
      </c>
      <c r="AL5801" t="s">
        <v>117</v>
      </c>
      <c r="AM5801" t="s">
        <v>118</v>
      </c>
      <c r="AN5801">
        <v>7023</v>
      </c>
      <c r="AO5801">
        <v>0.16</v>
      </c>
      <c r="AR5801">
        <v>1</v>
      </c>
      <c r="AS5801" s="1">
        <v>15520</v>
      </c>
      <c r="AT5801" s="1">
        <v>3100</v>
      </c>
      <c r="AU5801" s="1">
        <v>12420</v>
      </c>
      <c r="AV5801">
        <v>80.03</v>
      </c>
      <c r="AX5801" s="1">
        <v>1312.2</v>
      </c>
      <c r="AY5801" t="s">
        <v>147</v>
      </c>
      <c r="AZ5801" t="s">
        <v>147</v>
      </c>
      <c r="BA5801" t="s">
        <v>148</v>
      </c>
      <c r="BE5801" s="3">
        <v>42353</v>
      </c>
      <c r="BF5801" s="1">
        <v>200500</v>
      </c>
      <c r="BG5801" t="s">
        <v>35518</v>
      </c>
      <c r="BH5801" s="1">
        <v>100</v>
      </c>
      <c r="BI5801" s="1">
        <v>204534</v>
      </c>
      <c r="BJ5801" s="3">
        <v>42353</v>
      </c>
      <c r="BK5801" t="s">
        <v>123</v>
      </c>
      <c r="BL5801" t="str">
        <f>"2015.883969"</f>
        <v>2015.883969</v>
      </c>
      <c r="BM5801" t="s">
        <v>1791</v>
      </c>
      <c r="BO5801" t="s">
        <v>35519</v>
      </c>
      <c r="BS5801">
        <v>30</v>
      </c>
      <c r="BW5801" t="str">
        <f>""</f>
        <v/>
      </c>
      <c r="CH5801" t="str">
        <f>""</f>
        <v/>
      </c>
      <c r="CS5801" t="str">
        <f>""</f>
        <v/>
      </c>
    </row>
    <row r="5802" spans="1:97" x14ac:dyDescent="0.25">
      <c r="A5802" t="s">
        <v>1009</v>
      </c>
      <c r="B5802" t="s">
        <v>6779</v>
      </c>
      <c r="C5802" t="s">
        <v>3702</v>
      </c>
      <c r="D5802" t="s">
        <v>6779</v>
      </c>
      <c r="E5802" t="s">
        <v>35520</v>
      </c>
      <c r="F5802" t="s">
        <v>108</v>
      </c>
      <c r="H5802" t="s">
        <v>35521</v>
      </c>
      <c r="I5802" t="s">
        <v>390</v>
      </c>
      <c r="J5802" t="s">
        <v>111</v>
      </c>
      <c r="K5802" t="str">
        <f>"85050"</f>
        <v>85050</v>
      </c>
      <c r="L5802" t="s">
        <v>10238</v>
      </c>
      <c r="M5802" t="s">
        <v>35521</v>
      </c>
      <c r="N5802" t="s">
        <v>390</v>
      </c>
      <c r="O5802" t="s">
        <v>111</v>
      </c>
      <c r="P5802" t="str">
        <f>"85050-6359"</f>
        <v>85050-6359</v>
      </c>
      <c r="Q5802" t="s">
        <v>113</v>
      </c>
      <c r="R5802" t="str">
        <f>"213-30-361"</f>
        <v>213-30-361</v>
      </c>
      <c r="S5802" t="s">
        <v>35522</v>
      </c>
      <c r="T5802" t="s">
        <v>35522</v>
      </c>
      <c r="U5802">
        <v>2445</v>
      </c>
      <c r="V5802">
        <v>0</v>
      </c>
      <c r="W5802">
        <v>4</v>
      </c>
      <c r="X5802">
        <v>1995</v>
      </c>
      <c r="Z5802">
        <v>2</v>
      </c>
      <c r="AA5802" t="s">
        <v>26</v>
      </c>
      <c r="AB5802">
        <v>0</v>
      </c>
      <c r="AC5802" t="s">
        <v>115</v>
      </c>
      <c r="AD5802">
        <v>2</v>
      </c>
      <c r="AE5802" t="s">
        <v>115</v>
      </c>
      <c r="AF5802">
        <v>0</v>
      </c>
      <c r="AG5802">
        <v>0</v>
      </c>
      <c r="AH5802" t="s">
        <v>116</v>
      </c>
      <c r="AI5802" s="1">
        <v>343</v>
      </c>
      <c r="AJ5802" s="2">
        <v>0</v>
      </c>
      <c r="AK5802" s="1">
        <v>384043</v>
      </c>
      <c r="AL5802" t="s">
        <v>117</v>
      </c>
      <c r="AM5802" t="s">
        <v>191</v>
      </c>
      <c r="AN5802">
        <v>7306</v>
      </c>
      <c r="AO5802">
        <v>0.17</v>
      </c>
      <c r="AP5802">
        <v>1</v>
      </c>
      <c r="AR5802">
        <v>1</v>
      </c>
      <c r="AS5802" s="1">
        <v>28520</v>
      </c>
      <c r="AT5802" s="1">
        <v>5700</v>
      </c>
      <c r="AU5802" s="1">
        <v>22820</v>
      </c>
      <c r="AV5802">
        <v>80.010000000000005</v>
      </c>
      <c r="AX5802" s="1">
        <v>2391.2199999999998</v>
      </c>
      <c r="AY5802" t="s">
        <v>8037</v>
      </c>
      <c r="AZ5802" t="s">
        <v>2550</v>
      </c>
      <c r="BA5802" t="s">
        <v>1318</v>
      </c>
      <c r="BE5802" s="3">
        <v>42342</v>
      </c>
      <c r="BF5802" s="1">
        <v>293600</v>
      </c>
      <c r="BG5802" t="s">
        <v>35523</v>
      </c>
      <c r="BH5802" s="1">
        <v>120.08</v>
      </c>
      <c r="BI5802" s="1">
        <v>383700</v>
      </c>
      <c r="BJ5802" s="3">
        <v>43592</v>
      </c>
      <c r="BK5802" t="s">
        <v>123</v>
      </c>
      <c r="BL5802" t="str">
        <f>"2019.327762"</f>
        <v>2019.327762</v>
      </c>
      <c r="BM5802" t="s">
        <v>460</v>
      </c>
      <c r="BN5802" t="s">
        <v>461</v>
      </c>
      <c r="BO5802" t="s">
        <v>35524</v>
      </c>
      <c r="BP5802" t="s">
        <v>35525</v>
      </c>
      <c r="BR5802" t="s">
        <v>139</v>
      </c>
      <c r="BW5802" t="str">
        <f>""</f>
        <v/>
      </c>
      <c r="CH5802" t="str">
        <f>""</f>
        <v/>
      </c>
      <c r="CS5802" t="str">
        <f>""</f>
        <v/>
      </c>
    </row>
    <row r="5803" spans="1:97" x14ac:dyDescent="0.25">
      <c r="A5803" t="s">
        <v>370</v>
      </c>
      <c r="B5803" t="s">
        <v>35526</v>
      </c>
      <c r="C5803" t="s">
        <v>220</v>
      </c>
      <c r="D5803" t="s">
        <v>35526</v>
      </c>
      <c r="E5803" t="s">
        <v>35527</v>
      </c>
      <c r="F5803" t="s">
        <v>108</v>
      </c>
      <c r="H5803" t="s">
        <v>35528</v>
      </c>
      <c r="I5803" t="s">
        <v>390</v>
      </c>
      <c r="J5803" t="s">
        <v>111</v>
      </c>
      <c r="K5803" t="str">
        <f>"85032"</f>
        <v>85032</v>
      </c>
      <c r="L5803" t="s">
        <v>5408</v>
      </c>
      <c r="M5803" t="s">
        <v>35528</v>
      </c>
      <c r="N5803" t="s">
        <v>390</v>
      </c>
      <c r="O5803" t="s">
        <v>111</v>
      </c>
      <c r="P5803" t="str">
        <f>"85032-2813"</f>
        <v>85032-2813</v>
      </c>
      <c r="Q5803" t="s">
        <v>113</v>
      </c>
      <c r="R5803" t="str">
        <f>"215-19-108"</f>
        <v>215-19-108</v>
      </c>
      <c r="S5803" t="s">
        <v>35529</v>
      </c>
      <c r="U5803">
        <v>1595</v>
      </c>
      <c r="V5803">
        <v>0</v>
      </c>
      <c r="W5803">
        <v>2</v>
      </c>
      <c r="X5803">
        <v>1981</v>
      </c>
      <c r="Z5803">
        <v>1</v>
      </c>
      <c r="AA5803" t="s">
        <v>26</v>
      </c>
      <c r="AB5803">
        <v>0</v>
      </c>
      <c r="AC5803" t="s">
        <v>115</v>
      </c>
      <c r="AD5803">
        <v>2</v>
      </c>
      <c r="AE5803" t="s">
        <v>115</v>
      </c>
      <c r="AF5803">
        <v>0</v>
      </c>
      <c r="AG5803">
        <v>0</v>
      </c>
      <c r="AH5803" t="s">
        <v>116</v>
      </c>
      <c r="AI5803" s="1">
        <v>98912</v>
      </c>
      <c r="AJ5803" s="2">
        <v>0.27</v>
      </c>
      <c r="AK5803" s="1">
        <v>364712</v>
      </c>
      <c r="AL5803" t="s">
        <v>117</v>
      </c>
      <c r="AM5803" t="s">
        <v>1302</v>
      </c>
      <c r="AN5803">
        <v>10416</v>
      </c>
      <c r="AO5803">
        <v>0.24</v>
      </c>
      <c r="AP5803">
        <v>1</v>
      </c>
      <c r="AR5803">
        <v>1</v>
      </c>
      <c r="AS5803" s="1">
        <v>25070</v>
      </c>
      <c r="AT5803" s="1">
        <v>5010</v>
      </c>
      <c r="AU5803" s="1">
        <v>20060</v>
      </c>
      <c r="AV5803">
        <v>80.02</v>
      </c>
      <c r="AX5803" s="1">
        <v>2242.7199999999998</v>
      </c>
      <c r="AY5803" t="s">
        <v>1316</v>
      </c>
      <c r="AZ5803" t="s">
        <v>1317</v>
      </c>
      <c r="BA5803" t="s">
        <v>1318</v>
      </c>
      <c r="BB5803" s="3">
        <v>42941</v>
      </c>
      <c r="BD5803" t="s">
        <v>157</v>
      </c>
      <c r="BE5803" s="3">
        <v>41771</v>
      </c>
      <c r="BF5803" s="1">
        <v>272000</v>
      </c>
      <c r="BG5803" t="s">
        <v>35530</v>
      </c>
      <c r="BH5803" s="1">
        <v>170.53</v>
      </c>
      <c r="BI5803" s="1">
        <v>265800</v>
      </c>
      <c r="BJ5803" s="3">
        <v>42772</v>
      </c>
      <c r="BK5803" t="s">
        <v>123</v>
      </c>
      <c r="BL5803" t="str">
        <f>"2017.87879"</f>
        <v>2017.87879</v>
      </c>
      <c r="BM5803" t="s">
        <v>124</v>
      </c>
      <c r="BN5803" t="s">
        <v>1575</v>
      </c>
      <c r="BO5803" t="s">
        <v>35531</v>
      </c>
      <c r="BP5803" t="s">
        <v>35532</v>
      </c>
      <c r="BS5803">
        <v>30</v>
      </c>
      <c r="BW5803" t="str">
        <f>""</f>
        <v/>
      </c>
      <c r="CH5803" t="str">
        <f>""</f>
        <v/>
      </c>
      <c r="CS5803" t="str">
        <f>""</f>
        <v/>
      </c>
    </row>
    <row r="5804" spans="1:97" x14ac:dyDescent="0.25">
      <c r="A5804" t="s">
        <v>27176</v>
      </c>
      <c r="B5804" t="s">
        <v>2029</v>
      </c>
      <c r="E5804" t="s">
        <v>35533</v>
      </c>
      <c r="F5804" t="s">
        <v>108</v>
      </c>
      <c r="H5804" t="s">
        <v>35534</v>
      </c>
      <c r="I5804" t="s">
        <v>390</v>
      </c>
      <c r="J5804" t="s">
        <v>111</v>
      </c>
      <c r="K5804" t="str">
        <f>"85015"</f>
        <v>85015</v>
      </c>
      <c r="L5804" t="s">
        <v>926</v>
      </c>
      <c r="M5804" t="s">
        <v>35534</v>
      </c>
      <c r="N5804" t="s">
        <v>390</v>
      </c>
      <c r="O5804" t="s">
        <v>111</v>
      </c>
      <c r="P5804" t="str">
        <f>"85015-2339"</f>
        <v>85015-2339</v>
      </c>
      <c r="Q5804" t="s">
        <v>113</v>
      </c>
      <c r="R5804" t="str">
        <f>"153-07-026"</f>
        <v>153-07-026</v>
      </c>
      <c r="S5804" t="s">
        <v>35535</v>
      </c>
      <c r="T5804" t="s">
        <v>35536</v>
      </c>
      <c r="U5804">
        <v>2616</v>
      </c>
      <c r="V5804">
        <v>0</v>
      </c>
      <c r="W5804">
        <v>2</v>
      </c>
      <c r="X5804">
        <v>1954</v>
      </c>
      <c r="Z5804">
        <v>1</v>
      </c>
      <c r="AA5804" t="s">
        <v>26</v>
      </c>
      <c r="AB5804">
        <v>0</v>
      </c>
      <c r="AC5804" t="s">
        <v>5188</v>
      </c>
      <c r="AD5804">
        <v>1</v>
      </c>
      <c r="AE5804" t="s">
        <v>5188</v>
      </c>
      <c r="AF5804">
        <v>0</v>
      </c>
      <c r="AG5804">
        <v>0</v>
      </c>
      <c r="AH5804" t="s">
        <v>116</v>
      </c>
      <c r="AI5804" s="1">
        <v>57219</v>
      </c>
      <c r="AJ5804" s="2">
        <v>0.21</v>
      </c>
      <c r="AK5804" s="1">
        <v>272219</v>
      </c>
      <c r="AL5804" t="s">
        <v>117</v>
      </c>
      <c r="AM5804" t="s">
        <v>191</v>
      </c>
      <c r="AN5804">
        <v>7662</v>
      </c>
      <c r="AO5804">
        <v>0.18</v>
      </c>
      <c r="AP5804">
        <v>1</v>
      </c>
      <c r="AR5804">
        <v>1</v>
      </c>
      <c r="AS5804" s="1">
        <v>17000</v>
      </c>
      <c r="AT5804" s="1">
        <v>3400</v>
      </c>
      <c r="AU5804" s="1">
        <v>13600</v>
      </c>
      <c r="AV5804">
        <v>80</v>
      </c>
      <c r="AX5804" s="1">
        <v>1930.4</v>
      </c>
      <c r="AY5804" t="s">
        <v>35537</v>
      </c>
      <c r="AZ5804" t="s">
        <v>35538</v>
      </c>
      <c r="BA5804" t="s">
        <v>5691</v>
      </c>
      <c r="BE5804" s="3">
        <v>42450</v>
      </c>
      <c r="BF5804" s="1">
        <v>215000</v>
      </c>
      <c r="BG5804" t="s">
        <v>35539</v>
      </c>
      <c r="BH5804" s="1">
        <v>82.19</v>
      </c>
      <c r="BI5804" s="1">
        <v>215000</v>
      </c>
      <c r="BJ5804" s="3">
        <v>42450</v>
      </c>
      <c r="BK5804" t="s">
        <v>123</v>
      </c>
      <c r="BL5804" t="str">
        <f>"2016.180043"</f>
        <v>2016.180043</v>
      </c>
      <c r="BM5804" t="s">
        <v>1154</v>
      </c>
      <c r="BO5804" t="s">
        <v>35540</v>
      </c>
      <c r="BS5804">
        <v>30</v>
      </c>
      <c r="BW5804" t="str">
        <f>""</f>
        <v/>
      </c>
      <c r="CH5804" t="str">
        <f>""</f>
        <v/>
      </c>
      <c r="CS5804" t="str">
        <f>""</f>
        <v/>
      </c>
    </row>
    <row r="5805" spans="1:97" x14ac:dyDescent="0.25">
      <c r="A5805" t="s">
        <v>20242</v>
      </c>
      <c r="B5805" t="s">
        <v>35541</v>
      </c>
      <c r="E5805" t="s">
        <v>35542</v>
      </c>
      <c r="F5805" t="s">
        <v>108</v>
      </c>
      <c r="H5805" t="s">
        <v>35543</v>
      </c>
      <c r="I5805" t="s">
        <v>632</v>
      </c>
      <c r="J5805" t="s">
        <v>111</v>
      </c>
      <c r="K5805" t="str">
        <f>"85374"</f>
        <v>85374</v>
      </c>
      <c r="L5805" t="s">
        <v>6788</v>
      </c>
      <c r="M5805" t="s">
        <v>35543</v>
      </c>
      <c r="N5805" t="s">
        <v>632</v>
      </c>
      <c r="O5805" t="s">
        <v>111</v>
      </c>
      <c r="P5805" t="str">
        <f>"85374-5463"</f>
        <v>85374-5463</v>
      </c>
      <c r="Q5805" t="s">
        <v>113</v>
      </c>
      <c r="R5805" t="str">
        <f>"501-91-224"</f>
        <v>501-91-224</v>
      </c>
      <c r="S5805" t="s">
        <v>26766</v>
      </c>
      <c r="T5805" t="s">
        <v>26767</v>
      </c>
      <c r="U5805">
        <v>1898</v>
      </c>
      <c r="V5805">
        <v>0</v>
      </c>
      <c r="W5805">
        <v>3</v>
      </c>
      <c r="X5805">
        <v>1999</v>
      </c>
      <c r="Z5805">
        <v>1</v>
      </c>
      <c r="AB5805">
        <v>0</v>
      </c>
      <c r="AC5805" t="s">
        <v>115</v>
      </c>
      <c r="AD5805">
        <v>3</v>
      </c>
      <c r="AE5805" t="s">
        <v>115</v>
      </c>
      <c r="AF5805">
        <v>0</v>
      </c>
      <c r="AG5805">
        <v>0</v>
      </c>
      <c r="AH5805" t="s">
        <v>116</v>
      </c>
      <c r="AI5805" s="1">
        <v>61568</v>
      </c>
      <c r="AJ5805" s="2">
        <v>0.23</v>
      </c>
      <c r="AK5805" s="1">
        <v>265765</v>
      </c>
      <c r="AL5805" t="s">
        <v>117</v>
      </c>
      <c r="AM5805" t="s">
        <v>118</v>
      </c>
      <c r="AN5805">
        <v>7040</v>
      </c>
      <c r="AO5805">
        <v>0.16</v>
      </c>
      <c r="AP5805">
        <v>1</v>
      </c>
      <c r="AR5805">
        <v>1</v>
      </c>
      <c r="AS5805" s="1">
        <v>18230</v>
      </c>
      <c r="AT5805" s="1">
        <v>3640</v>
      </c>
      <c r="AU5805" s="1">
        <v>14590</v>
      </c>
      <c r="AV5805">
        <v>80.03</v>
      </c>
      <c r="AX5805" s="1">
        <v>1306.2</v>
      </c>
      <c r="AY5805" t="s">
        <v>9749</v>
      </c>
      <c r="AZ5805" t="s">
        <v>9749</v>
      </c>
      <c r="BA5805" t="s">
        <v>321</v>
      </c>
      <c r="BE5805" s="3">
        <v>42142</v>
      </c>
      <c r="BF5805" s="1">
        <v>199900</v>
      </c>
      <c r="BG5805" t="s">
        <v>35544</v>
      </c>
      <c r="BH5805" s="1">
        <v>105.32</v>
      </c>
      <c r="BI5805" s="1">
        <v>204197</v>
      </c>
      <c r="BJ5805" s="3">
        <v>42142</v>
      </c>
      <c r="BK5805" t="s">
        <v>123</v>
      </c>
      <c r="BL5805" t="str">
        <f>"2015.350176"</f>
        <v>2015.350176</v>
      </c>
      <c r="BM5805" t="s">
        <v>10749</v>
      </c>
      <c r="BO5805" t="s">
        <v>35545</v>
      </c>
      <c r="BS5805">
        <v>30</v>
      </c>
      <c r="BW5805" t="str">
        <f>""</f>
        <v/>
      </c>
      <c r="CH5805" t="str">
        <f>""</f>
        <v/>
      </c>
      <c r="CS5805" t="str">
        <f>""</f>
        <v/>
      </c>
    </row>
    <row r="5806" spans="1:97" x14ac:dyDescent="0.25">
      <c r="A5806" t="s">
        <v>8206</v>
      </c>
      <c r="B5806" t="s">
        <v>35546</v>
      </c>
      <c r="C5806" t="s">
        <v>11473</v>
      </c>
      <c r="D5806" t="s">
        <v>15164</v>
      </c>
      <c r="E5806" t="s">
        <v>35547</v>
      </c>
      <c r="F5806" t="s">
        <v>108</v>
      </c>
      <c r="H5806" t="s">
        <v>35548</v>
      </c>
      <c r="I5806" t="s">
        <v>390</v>
      </c>
      <c r="J5806" t="s">
        <v>111</v>
      </c>
      <c r="K5806" t="str">
        <f>"85041"</f>
        <v>85041</v>
      </c>
      <c r="L5806" t="s">
        <v>375</v>
      </c>
      <c r="M5806" t="s">
        <v>35548</v>
      </c>
      <c r="N5806" t="s">
        <v>390</v>
      </c>
      <c r="O5806" t="s">
        <v>111</v>
      </c>
      <c r="P5806" t="str">
        <f>"85041-7623"</f>
        <v>85041-7623</v>
      </c>
      <c r="Q5806" t="s">
        <v>113</v>
      </c>
      <c r="R5806" t="str">
        <f>"300-17-307"</f>
        <v>300-17-307</v>
      </c>
      <c r="S5806" t="s">
        <v>7013</v>
      </c>
      <c r="T5806" t="s">
        <v>7014</v>
      </c>
      <c r="U5806">
        <v>2032</v>
      </c>
      <c r="V5806">
        <v>0</v>
      </c>
      <c r="W5806">
        <v>3</v>
      </c>
      <c r="X5806">
        <v>2007</v>
      </c>
      <c r="Z5806">
        <v>1</v>
      </c>
      <c r="AB5806">
        <v>0</v>
      </c>
      <c r="AC5806" t="s">
        <v>115</v>
      </c>
      <c r="AD5806">
        <v>3</v>
      </c>
      <c r="AE5806" t="s">
        <v>115</v>
      </c>
      <c r="AF5806">
        <v>0</v>
      </c>
      <c r="AG5806">
        <v>0</v>
      </c>
      <c r="AH5806" t="s">
        <v>116</v>
      </c>
      <c r="AI5806" s="1">
        <v>57844</v>
      </c>
      <c r="AJ5806" s="2">
        <v>0.2</v>
      </c>
      <c r="AK5806" s="1">
        <v>282574</v>
      </c>
      <c r="AL5806" t="s">
        <v>117</v>
      </c>
      <c r="AM5806" t="s">
        <v>760</v>
      </c>
      <c r="AN5806">
        <v>7016</v>
      </c>
      <c r="AO5806">
        <v>0.16</v>
      </c>
      <c r="AR5806">
        <v>1</v>
      </c>
      <c r="AS5806" s="1">
        <v>20520</v>
      </c>
      <c r="AT5806" s="1">
        <v>4100</v>
      </c>
      <c r="AU5806" s="1">
        <v>16420</v>
      </c>
      <c r="AV5806">
        <v>80.02</v>
      </c>
      <c r="AX5806" s="1">
        <v>2661.76</v>
      </c>
      <c r="AY5806" t="s">
        <v>7015</v>
      </c>
      <c r="AZ5806" t="s">
        <v>7015</v>
      </c>
      <c r="BA5806" t="s">
        <v>1661</v>
      </c>
      <c r="BB5806" s="3">
        <v>42418</v>
      </c>
      <c r="BD5806" t="s">
        <v>458</v>
      </c>
      <c r="BE5806" s="3">
        <v>41788</v>
      </c>
      <c r="BF5806" s="1">
        <v>210000</v>
      </c>
      <c r="BG5806" t="s">
        <v>35549</v>
      </c>
      <c r="BH5806" s="1">
        <v>103.35</v>
      </c>
      <c r="BI5806" s="1">
        <v>224730</v>
      </c>
      <c r="BJ5806" s="3">
        <v>42478</v>
      </c>
      <c r="BK5806" t="s">
        <v>123</v>
      </c>
      <c r="BL5806" t="str">
        <f>"2016.255389"</f>
        <v>2016.255389</v>
      </c>
      <c r="BM5806" t="s">
        <v>1154</v>
      </c>
      <c r="BO5806" t="s">
        <v>35550</v>
      </c>
      <c r="BP5806" t="s">
        <v>35551</v>
      </c>
      <c r="BS5806">
        <v>30</v>
      </c>
      <c r="BW5806" t="str">
        <f>""</f>
        <v/>
      </c>
      <c r="CH5806" t="str">
        <f>""</f>
        <v/>
      </c>
      <c r="CS5806" t="str">
        <f>""</f>
        <v/>
      </c>
    </row>
    <row r="5807" spans="1:97" x14ac:dyDescent="0.25">
      <c r="A5807" t="s">
        <v>2045</v>
      </c>
      <c r="B5807" t="s">
        <v>35552</v>
      </c>
      <c r="C5807" t="s">
        <v>1162</v>
      </c>
      <c r="D5807" t="s">
        <v>35552</v>
      </c>
      <c r="E5807" t="s">
        <v>35553</v>
      </c>
      <c r="F5807" t="s">
        <v>108</v>
      </c>
      <c r="H5807" t="s">
        <v>35554</v>
      </c>
      <c r="I5807" t="s">
        <v>632</v>
      </c>
      <c r="J5807" t="s">
        <v>111</v>
      </c>
      <c r="K5807" t="str">
        <f>"85379"</f>
        <v>85379</v>
      </c>
      <c r="L5807" t="s">
        <v>5021</v>
      </c>
      <c r="M5807" t="s">
        <v>35554</v>
      </c>
      <c r="N5807" t="s">
        <v>632</v>
      </c>
      <c r="O5807" t="s">
        <v>111</v>
      </c>
      <c r="P5807" t="str">
        <f>"85379-5285"</f>
        <v>85379-5285</v>
      </c>
      <c r="Q5807" t="s">
        <v>113</v>
      </c>
      <c r="R5807" t="str">
        <f>"501-96-173"</f>
        <v>501-96-173</v>
      </c>
      <c r="S5807" t="s">
        <v>18876</v>
      </c>
      <c r="U5807">
        <v>2016</v>
      </c>
      <c r="V5807">
        <v>0</v>
      </c>
      <c r="W5807">
        <v>3</v>
      </c>
      <c r="X5807">
        <v>2004</v>
      </c>
      <c r="Z5807">
        <v>1</v>
      </c>
      <c r="AB5807">
        <v>0</v>
      </c>
      <c r="AC5807" t="s">
        <v>115</v>
      </c>
      <c r="AD5807">
        <v>2</v>
      </c>
      <c r="AE5807" t="s">
        <v>115</v>
      </c>
      <c r="AF5807">
        <v>0</v>
      </c>
      <c r="AG5807">
        <v>0</v>
      </c>
      <c r="AH5807" t="s">
        <v>116</v>
      </c>
      <c r="AI5807" s="1">
        <v>50403</v>
      </c>
      <c r="AJ5807" s="2">
        <v>0.19</v>
      </c>
      <c r="AK5807" s="1">
        <v>267229</v>
      </c>
      <c r="AL5807" t="s">
        <v>117</v>
      </c>
      <c r="AM5807" t="s">
        <v>118</v>
      </c>
      <c r="AN5807">
        <v>6095</v>
      </c>
      <c r="AO5807">
        <v>0.14000000000000001</v>
      </c>
      <c r="AP5807">
        <v>1</v>
      </c>
      <c r="AR5807">
        <v>1</v>
      </c>
      <c r="AS5807" s="1">
        <v>17060</v>
      </c>
      <c r="AT5807" s="1">
        <v>3410</v>
      </c>
      <c r="AU5807" s="1">
        <v>13650</v>
      </c>
      <c r="AV5807">
        <v>80.010000000000005</v>
      </c>
      <c r="AX5807" s="1">
        <v>1245.48</v>
      </c>
      <c r="AY5807" t="s">
        <v>5615</v>
      </c>
      <c r="AZ5807" t="s">
        <v>5615</v>
      </c>
      <c r="BA5807" t="s">
        <v>635</v>
      </c>
      <c r="BE5807" s="3">
        <v>42356</v>
      </c>
      <c r="BF5807" s="1">
        <v>209900</v>
      </c>
      <c r="BG5807" t="s">
        <v>35555</v>
      </c>
      <c r="BH5807" s="1">
        <v>104.12</v>
      </c>
      <c r="BI5807" s="1">
        <v>216826</v>
      </c>
      <c r="BJ5807" s="3">
        <v>42356</v>
      </c>
      <c r="BK5807" t="s">
        <v>123</v>
      </c>
      <c r="BL5807" t="str">
        <f>"2015.893924"</f>
        <v>2015.893924</v>
      </c>
      <c r="BM5807" t="s">
        <v>544</v>
      </c>
      <c r="BO5807" t="s">
        <v>35556</v>
      </c>
      <c r="BS5807">
        <v>30</v>
      </c>
      <c r="BW5807" t="str">
        <f>""</f>
        <v/>
      </c>
      <c r="CH5807" t="str">
        <f>""</f>
        <v/>
      </c>
      <c r="CS5807" t="str">
        <f>""</f>
        <v/>
      </c>
    </row>
    <row r="5808" spans="1:97" x14ac:dyDescent="0.25">
      <c r="A5808" t="s">
        <v>3104</v>
      </c>
      <c r="B5808" t="s">
        <v>996</v>
      </c>
      <c r="C5808" t="s">
        <v>1344</v>
      </c>
      <c r="D5808" t="s">
        <v>996</v>
      </c>
      <c r="E5808" t="s">
        <v>35557</v>
      </c>
      <c r="F5808" t="s">
        <v>108</v>
      </c>
      <c r="H5808" t="s">
        <v>35558</v>
      </c>
      <c r="I5808" t="s">
        <v>5114</v>
      </c>
      <c r="J5808" t="s">
        <v>111</v>
      </c>
      <c r="K5808" t="str">
        <f>"85392"</f>
        <v>85392</v>
      </c>
      <c r="L5808" t="s">
        <v>9597</v>
      </c>
      <c r="M5808" t="s">
        <v>35559</v>
      </c>
      <c r="N5808" t="s">
        <v>5114</v>
      </c>
      <c r="O5808" t="s">
        <v>111</v>
      </c>
      <c r="P5808" t="str">
        <f>"85392"</f>
        <v>85392</v>
      </c>
      <c r="Q5808" t="s">
        <v>113</v>
      </c>
      <c r="R5808" t="str">
        <f>"501-63-464"</f>
        <v>501-63-464</v>
      </c>
      <c r="S5808" t="s">
        <v>31370</v>
      </c>
      <c r="T5808" t="s">
        <v>31370</v>
      </c>
      <c r="U5808">
        <v>3277</v>
      </c>
      <c r="V5808">
        <v>0</v>
      </c>
      <c r="W5808">
        <v>3</v>
      </c>
      <c r="X5808">
        <v>2005</v>
      </c>
      <c r="Z5808">
        <v>2</v>
      </c>
      <c r="AB5808">
        <v>0</v>
      </c>
      <c r="AC5808" t="s">
        <v>115</v>
      </c>
      <c r="AD5808">
        <v>3</v>
      </c>
      <c r="AE5808" t="s">
        <v>115</v>
      </c>
      <c r="AF5808">
        <v>0</v>
      </c>
      <c r="AG5808">
        <v>0</v>
      </c>
      <c r="AH5808" t="s">
        <v>116</v>
      </c>
      <c r="AI5808" s="1">
        <v>102833</v>
      </c>
      <c r="AJ5808" s="2">
        <v>0.33</v>
      </c>
      <c r="AK5808" s="1">
        <v>307183</v>
      </c>
      <c r="AL5808" t="s">
        <v>117</v>
      </c>
      <c r="AM5808" t="s">
        <v>118</v>
      </c>
      <c r="AN5808">
        <v>7894</v>
      </c>
      <c r="AO5808">
        <v>0.18</v>
      </c>
      <c r="AR5808">
        <v>1</v>
      </c>
      <c r="AS5808" s="1">
        <v>22310</v>
      </c>
      <c r="AT5808" s="1">
        <v>4460</v>
      </c>
      <c r="AU5808" s="1">
        <v>17850</v>
      </c>
      <c r="AV5808">
        <v>80.010000000000005</v>
      </c>
      <c r="AX5808" s="1">
        <v>1757.6</v>
      </c>
      <c r="AY5808" t="s">
        <v>5241</v>
      </c>
      <c r="AZ5808" t="s">
        <v>6701</v>
      </c>
      <c r="BA5808" t="s">
        <v>6702</v>
      </c>
      <c r="BE5808" s="3">
        <v>41757</v>
      </c>
      <c r="BF5808" s="1">
        <v>199500</v>
      </c>
      <c r="BG5808" t="s">
        <v>35560</v>
      </c>
      <c r="BH5808" s="1">
        <v>60.88</v>
      </c>
      <c r="BI5808" s="1">
        <v>204350</v>
      </c>
      <c r="BJ5808" s="3">
        <v>42478</v>
      </c>
      <c r="BK5808" t="s">
        <v>123</v>
      </c>
      <c r="BL5808" t="str">
        <f>"2016.254497"</f>
        <v>2016.254497</v>
      </c>
      <c r="BM5808" t="s">
        <v>724</v>
      </c>
      <c r="BO5808" t="s">
        <v>35561</v>
      </c>
      <c r="BS5808">
        <v>30</v>
      </c>
      <c r="BW5808" t="str">
        <f>""</f>
        <v/>
      </c>
      <c r="CH5808" t="str">
        <f>""</f>
        <v/>
      </c>
      <c r="CS5808" t="str">
        <f>""</f>
        <v/>
      </c>
    </row>
    <row r="5809" spans="1:97" x14ac:dyDescent="0.25">
      <c r="A5809" t="s">
        <v>163</v>
      </c>
      <c r="B5809" t="s">
        <v>7797</v>
      </c>
      <c r="C5809" t="s">
        <v>970</v>
      </c>
      <c r="D5809" t="s">
        <v>7797</v>
      </c>
      <c r="E5809" t="s">
        <v>35562</v>
      </c>
      <c r="F5809" t="s">
        <v>108</v>
      </c>
      <c r="H5809" t="s">
        <v>35563</v>
      </c>
      <c r="I5809" t="s">
        <v>5636</v>
      </c>
      <c r="J5809" t="s">
        <v>111</v>
      </c>
      <c r="K5809" t="str">
        <f>"85268"</f>
        <v>85268</v>
      </c>
      <c r="L5809" t="s">
        <v>7243</v>
      </c>
      <c r="M5809" t="s">
        <v>35563</v>
      </c>
      <c r="N5809" t="s">
        <v>5636</v>
      </c>
      <c r="O5809" t="s">
        <v>111</v>
      </c>
      <c r="P5809" t="str">
        <f>"85268-1832"</f>
        <v>85268-1832</v>
      </c>
      <c r="Q5809" t="s">
        <v>113</v>
      </c>
      <c r="R5809" t="str">
        <f>"176-22-017"</f>
        <v>176-22-017</v>
      </c>
      <c r="S5809" t="s">
        <v>26509</v>
      </c>
      <c r="U5809">
        <v>1516</v>
      </c>
      <c r="V5809">
        <v>0</v>
      </c>
      <c r="W5809">
        <v>3</v>
      </c>
      <c r="X5809">
        <v>1989</v>
      </c>
      <c r="Z5809">
        <v>1</v>
      </c>
      <c r="AA5809" t="s">
        <v>26</v>
      </c>
      <c r="AB5809">
        <v>0</v>
      </c>
      <c r="AC5809" t="s">
        <v>115</v>
      </c>
      <c r="AD5809">
        <v>2</v>
      </c>
      <c r="AE5809" t="s">
        <v>115</v>
      </c>
      <c r="AF5809">
        <v>0</v>
      </c>
      <c r="AG5809">
        <v>0</v>
      </c>
      <c r="AH5809" t="s">
        <v>116</v>
      </c>
      <c r="AI5809" s="1">
        <v>25088</v>
      </c>
      <c r="AJ5809" s="2">
        <v>0.09</v>
      </c>
      <c r="AK5809" s="1">
        <v>293906</v>
      </c>
      <c r="AL5809" t="s">
        <v>117</v>
      </c>
      <c r="AM5809" t="s">
        <v>1302</v>
      </c>
      <c r="AN5809">
        <v>12072</v>
      </c>
      <c r="AO5809">
        <v>0.28000000000000003</v>
      </c>
      <c r="AP5809">
        <v>1</v>
      </c>
      <c r="AR5809">
        <v>1</v>
      </c>
      <c r="AS5809" s="1">
        <v>26370</v>
      </c>
      <c r="AT5809" s="1">
        <v>5270</v>
      </c>
      <c r="AU5809" s="1">
        <v>21100</v>
      </c>
      <c r="AV5809">
        <v>80.02</v>
      </c>
      <c r="AX5809" s="1">
        <v>1606.14</v>
      </c>
      <c r="AY5809" t="s">
        <v>5639</v>
      </c>
      <c r="AZ5809" t="s">
        <v>5640</v>
      </c>
      <c r="BA5809" t="s">
        <v>5641</v>
      </c>
      <c r="BE5809" s="3">
        <v>42104</v>
      </c>
      <c r="BF5809" s="1">
        <v>295000</v>
      </c>
      <c r="BG5809" t="s">
        <v>35564</v>
      </c>
      <c r="BH5809" s="1">
        <v>194.59</v>
      </c>
      <c r="BI5809" s="1">
        <v>268818</v>
      </c>
      <c r="BJ5809" s="3">
        <v>42104</v>
      </c>
      <c r="BK5809" t="s">
        <v>123</v>
      </c>
      <c r="BL5809" t="str">
        <f>"2015.245745"</f>
        <v>2015.245745</v>
      </c>
      <c r="BM5809" t="s">
        <v>135</v>
      </c>
      <c r="BO5809" t="s">
        <v>35565</v>
      </c>
      <c r="BS5809">
        <v>30</v>
      </c>
      <c r="BW5809" t="str">
        <f>""</f>
        <v/>
      </c>
      <c r="CH5809" t="str">
        <f>""</f>
        <v/>
      </c>
      <c r="CS5809" t="str">
        <f>""</f>
        <v/>
      </c>
    </row>
    <row r="5810" spans="1:97" x14ac:dyDescent="0.25">
      <c r="A5810" t="s">
        <v>370</v>
      </c>
      <c r="B5810" t="s">
        <v>35566</v>
      </c>
      <c r="C5810" t="s">
        <v>16724</v>
      </c>
      <c r="D5810" t="s">
        <v>35566</v>
      </c>
      <c r="E5810" t="s">
        <v>35567</v>
      </c>
      <c r="F5810" t="s">
        <v>108</v>
      </c>
      <c r="H5810" t="s">
        <v>35568</v>
      </c>
      <c r="I5810" t="s">
        <v>632</v>
      </c>
      <c r="J5810" t="s">
        <v>111</v>
      </c>
      <c r="K5810" t="str">
        <f>"85379"</f>
        <v>85379</v>
      </c>
      <c r="L5810" t="s">
        <v>5021</v>
      </c>
      <c r="M5810" t="s">
        <v>35568</v>
      </c>
      <c r="N5810" t="s">
        <v>632</v>
      </c>
      <c r="O5810" t="s">
        <v>111</v>
      </c>
      <c r="P5810" t="str">
        <f>"85379-5373"</f>
        <v>85379-5373</v>
      </c>
      <c r="Q5810" t="s">
        <v>113</v>
      </c>
      <c r="R5810" t="str">
        <f>"509-14-525"</f>
        <v>509-14-525</v>
      </c>
      <c r="S5810" t="s">
        <v>19713</v>
      </c>
      <c r="U5810">
        <v>2839</v>
      </c>
      <c r="V5810">
        <v>0</v>
      </c>
      <c r="W5810">
        <v>4</v>
      </c>
      <c r="X5810">
        <v>2004</v>
      </c>
      <c r="Z5810">
        <v>2</v>
      </c>
      <c r="AA5810" t="s">
        <v>26</v>
      </c>
      <c r="AB5810">
        <v>0</v>
      </c>
      <c r="AC5810" t="s">
        <v>115</v>
      </c>
      <c r="AD5810">
        <v>2</v>
      </c>
      <c r="AE5810" t="s">
        <v>115</v>
      </c>
      <c r="AF5810">
        <v>0</v>
      </c>
      <c r="AG5810">
        <v>0</v>
      </c>
      <c r="AH5810" t="s">
        <v>116</v>
      </c>
      <c r="AI5810" s="1">
        <v>16458</v>
      </c>
      <c r="AJ5810" s="2">
        <v>0.05</v>
      </c>
      <c r="AK5810" s="1">
        <v>312693</v>
      </c>
      <c r="AL5810" t="s">
        <v>117</v>
      </c>
      <c r="AM5810" t="s">
        <v>118</v>
      </c>
      <c r="AN5810">
        <v>7204</v>
      </c>
      <c r="AO5810">
        <v>0.16</v>
      </c>
      <c r="AR5810">
        <v>1</v>
      </c>
      <c r="AS5810" s="1">
        <v>22870</v>
      </c>
      <c r="AT5810" s="1">
        <v>4570</v>
      </c>
      <c r="AU5810" s="1">
        <v>18300</v>
      </c>
      <c r="AV5810">
        <v>80.02</v>
      </c>
      <c r="AX5810" s="1">
        <v>1847.2</v>
      </c>
      <c r="AY5810" t="s">
        <v>5615</v>
      </c>
      <c r="AZ5810" t="s">
        <v>5615</v>
      </c>
      <c r="BA5810" t="s">
        <v>635</v>
      </c>
      <c r="BE5810" s="3">
        <v>42543</v>
      </c>
      <c r="BF5810" s="1">
        <v>290000</v>
      </c>
      <c r="BG5810" t="s">
        <v>35569</v>
      </c>
      <c r="BH5810" s="1">
        <v>102.15</v>
      </c>
      <c r="BI5810" s="1">
        <v>296235</v>
      </c>
      <c r="BJ5810" s="3">
        <v>42543</v>
      </c>
      <c r="BK5810" t="s">
        <v>123</v>
      </c>
      <c r="BL5810" t="str">
        <f>"2016.435428"</f>
        <v>2016.435428</v>
      </c>
      <c r="BM5810" t="s">
        <v>724</v>
      </c>
      <c r="BO5810" t="s">
        <v>35570</v>
      </c>
      <c r="BP5810" t="s">
        <v>35571</v>
      </c>
      <c r="BS5810">
        <v>30</v>
      </c>
      <c r="BW5810" t="str">
        <f>""</f>
        <v/>
      </c>
      <c r="CH5810" t="str">
        <f>""</f>
        <v/>
      </c>
      <c r="CS5810" t="str">
        <f>""</f>
        <v/>
      </c>
    </row>
    <row r="5811" spans="1:97" x14ac:dyDescent="0.25">
      <c r="A5811" t="s">
        <v>7026</v>
      </c>
      <c r="B5811" t="s">
        <v>35572</v>
      </c>
      <c r="C5811" t="s">
        <v>4801</v>
      </c>
      <c r="D5811" t="s">
        <v>35572</v>
      </c>
      <c r="E5811" t="s">
        <v>35573</v>
      </c>
      <c r="F5811" t="s">
        <v>108</v>
      </c>
      <c r="H5811" t="s">
        <v>35574</v>
      </c>
      <c r="I5811" t="s">
        <v>390</v>
      </c>
      <c r="J5811" t="s">
        <v>111</v>
      </c>
      <c r="K5811" t="str">
        <f>"85042"</f>
        <v>85042</v>
      </c>
      <c r="L5811" t="s">
        <v>6803</v>
      </c>
      <c r="M5811" t="s">
        <v>35574</v>
      </c>
      <c r="N5811" t="s">
        <v>390</v>
      </c>
      <c r="O5811" t="s">
        <v>111</v>
      </c>
      <c r="P5811" t="str">
        <f>"85042-6115"</f>
        <v>85042-6115</v>
      </c>
      <c r="Q5811" t="s">
        <v>113</v>
      </c>
      <c r="R5811" t="str">
        <f>"122-97-199"</f>
        <v>122-97-199</v>
      </c>
      <c r="S5811" t="s">
        <v>13458</v>
      </c>
      <c r="T5811" t="s">
        <v>13458</v>
      </c>
      <c r="U5811">
        <v>1840</v>
      </c>
      <c r="V5811">
        <v>0</v>
      </c>
      <c r="W5811">
        <v>3</v>
      </c>
      <c r="X5811">
        <v>1999</v>
      </c>
      <c r="Z5811">
        <v>1</v>
      </c>
      <c r="AB5811">
        <v>0</v>
      </c>
      <c r="AC5811" t="s">
        <v>115</v>
      </c>
      <c r="AD5811">
        <v>2</v>
      </c>
      <c r="AE5811" t="s">
        <v>115</v>
      </c>
      <c r="AF5811">
        <v>0</v>
      </c>
      <c r="AG5811">
        <v>0</v>
      </c>
      <c r="AH5811" t="s">
        <v>116</v>
      </c>
      <c r="AI5811" s="1">
        <v>42577</v>
      </c>
      <c r="AJ5811" s="2">
        <v>0.14000000000000001</v>
      </c>
      <c r="AK5811" s="1">
        <v>301577</v>
      </c>
      <c r="AL5811" t="s">
        <v>117</v>
      </c>
      <c r="AM5811" t="s">
        <v>118</v>
      </c>
      <c r="AN5811">
        <v>4087</v>
      </c>
      <c r="AO5811">
        <v>0.94</v>
      </c>
      <c r="AP5811">
        <v>1</v>
      </c>
      <c r="AR5811">
        <v>1</v>
      </c>
      <c r="AS5811" s="1">
        <v>19700</v>
      </c>
      <c r="AT5811" s="1">
        <v>3940</v>
      </c>
      <c r="AU5811" s="1">
        <v>15760</v>
      </c>
      <c r="AV5811">
        <v>80</v>
      </c>
      <c r="AX5811" s="1">
        <v>2373.4</v>
      </c>
      <c r="AY5811" t="s">
        <v>6115</v>
      </c>
      <c r="AZ5811" t="s">
        <v>6115</v>
      </c>
      <c r="BA5811" t="s">
        <v>2860</v>
      </c>
      <c r="BE5811" s="3">
        <v>42478</v>
      </c>
      <c r="BF5811" s="1">
        <v>259000</v>
      </c>
      <c r="BG5811" t="s">
        <v>35575</v>
      </c>
      <c r="BH5811" s="1">
        <v>140.76</v>
      </c>
      <c r="BI5811" s="1">
        <v>259000</v>
      </c>
      <c r="BJ5811" s="3">
        <v>42478</v>
      </c>
      <c r="BK5811" t="s">
        <v>123</v>
      </c>
      <c r="BL5811" t="str">
        <f>"2016.257103"</f>
        <v>2016.257103</v>
      </c>
      <c r="BM5811" t="s">
        <v>1185</v>
      </c>
      <c r="BO5811" t="s">
        <v>35576</v>
      </c>
      <c r="BS5811">
        <v>30</v>
      </c>
      <c r="BW5811" t="str">
        <f>""</f>
        <v/>
      </c>
      <c r="CH5811" t="str">
        <f>""</f>
        <v/>
      </c>
      <c r="CS5811" t="str">
        <f>""</f>
        <v/>
      </c>
    </row>
    <row r="5812" spans="1:97" x14ac:dyDescent="0.25">
      <c r="A5812" t="s">
        <v>305</v>
      </c>
      <c r="B5812" t="s">
        <v>35577</v>
      </c>
      <c r="C5812" t="s">
        <v>1394</v>
      </c>
      <c r="D5812" t="s">
        <v>35577</v>
      </c>
      <c r="E5812" t="s">
        <v>35578</v>
      </c>
      <c r="F5812" t="s">
        <v>108</v>
      </c>
      <c r="H5812" t="s">
        <v>35579</v>
      </c>
      <c r="I5812" t="s">
        <v>499</v>
      </c>
      <c r="J5812" t="s">
        <v>111</v>
      </c>
      <c r="K5812" t="str">
        <f>"85338"</f>
        <v>85338</v>
      </c>
      <c r="L5812" t="s">
        <v>5637</v>
      </c>
      <c r="M5812" t="s">
        <v>35579</v>
      </c>
      <c r="N5812" t="s">
        <v>499</v>
      </c>
      <c r="O5812" t="s">
        <v>111</v>
      </c>
      <c r="P5812" t="str">
        <f>"85338-9420"</f>
        <v>85338-9420</v>
      </c>
      <c r="Q5812" t="s">
        <v>113</v>
      </c>
      <c r="R5812" t="str">
        <f>"500-06-691"</f>
        <v>500-06-691</v>
      </c>
      <c r="S5812" t="s">
        <v>27709</v>
      </c>
      <c r="U5812">
        <v>1687</v>
      </c>
      <c r="V5812">
        <v>0</v>
      </c>
      <c r="W5812">
        <v>3</v>
      </c>
      <c r="X5812">
        <v>2001</v>
      </c>
      <c r="Z5812">
        <v>1</v>
      </c>
      <c r="AA5812" t="s">
        <v>26</v>
      </c>
      <c r="AB5812">
        <v>0</v>
      </c>
      <c r="AC5812" t="s">
        <v>115</v>
      </c>
      <c r="AD5812">
        <v>2</v>
      </c>
      <c r="AE5812" t="s">
        <v>115</v>
      </c>
      <c r="AF5812">
        <v>0</v>
      </c>
      <c r="AG5812">
        <v>0</v>
      </c>
      <c r="AH5812" t="s">
        <v>116</v>
      </c>
      <c r="AI5812" s="1">
        <v>49316</v>
      </c>
      <c r="AJ5812" s="2">
        <v>0.19</v>
      </c>
      <c r="AK5812" s="1">
        <v>264180</v>
      </c>
      <c r="AL5812" t="s">
        <v>117</v>
      </c>
      <c r="AM5812" t="s">
        <v>118</v>
      </c>
      <c r="AN5812">
        <v>9699</v>
      </c>
      <c r="AO5812">
        <v>0.22</v>
      </c>
      <c r="AP5812">
        <v>1</v>
      </c>
      <c r="AR5812">
        <v>1</v>
      </c>
      <c r="AS5812" s="1">
        <v>18460</v>
      </c>
      <c r="AT5812" s="1">
        <v>3690</v>
      </c>
      <c r="AU5812" s="1">
        <v>14770</v>
      </c>
      <c r="AV5812">
        <v>80.010000000000005</v>
      </c>
      <c r="AX5812" s="1">
        <v>1412.8</v>
      </c>
      <c r="AY5812" t="s">
        <v>11177</v>
      </c>
      <c r="AZ5812" t="s">
        <v>11177</v>
      </c>
      <c r="BA5812" t="s">
        <v>7186</v>
      </c>
      <c r="BE5812" s="3">
        <v>41873</v>
      </c>
      <c r="BF5812" s="1">
        <v>188000</v>
      </c>
      <c r="BG5812" t="s">
        <v>35580</v>
      </c>
      <c r="BH5812" s="1">
        <v>111.44</v>
      </c>
      <c r="BI5812" s="1">
        <v>214864</v>
      </c>
      <c r="BJ5812" s="3">
        <v>42912</v>
      </c>
      <c r="BK5812" t="s">
        <v>123</v>
      </c>
      <c r="BL5812" t="str">
        <f>"2017.463503"</f>
        <v>2017.463503</v>
      </c>
      <c r="BM5812" t="s">
        <v>361</v>
      </c>
      <c r="BO5812" t="s">
        <v>35581</v>
      </c>
      <c r="BS5812">
        <v>30</v>
      </c>
      <c r="BW5812" t="str">
        <f>""</f>
        <v/>
      </c>
      <c r="CH5812" t="str">
        <f>""</f>
        <v/>
      </c>
      <c r="CS5812" t="str">
        <f>""</f>
        <v/>
      </c>
    </row>
    <row r="5813" spans="1:97" x14ac:dyDescent="0.25">
      <c r="A5813" t="s">
        <v>5256</v>
      </c>
      <c r="B5813" t="s">
        <v>35582</v>
      </c>
      <c r="C5813" t="s">
        <v>2019</v>
      </c>
      <c r="D5813" t="s">
        <v>35582</v>
      </c>
      <c r="E5813" t="s">
        <v>35583</v>
      </c>
      <c r="F5813" t="s">
        <v>108</v>
      </c>
      <c r="H5813" t="s">
        <v>35584</v>
      </c>
      <c r="I5813" t="s">
        <v>499</v>
      </c>
      <c r="J5813" t="s">
        <v>111</v>
      </c>
      <c r="K5813" t="str">
        <f>"85338"</f>
        <v>85338</v>
      </c>
      <c r="L5813" t="s">
        <v>6416</v>
      </c>
      <c r="M5813" t="s">
        <v>35584</v>
      </c>
      <c r="N5813" t="s">
        <v>499</v>
      </c>
      <c r="O5813" t="s">
        <v>111</v>
      </c>
      <c r="P5813" t="str">
        <f>"85338-9600"</f>
        <v>85338-9600</v>
      </c>
      <c r="Q5813" t="s">
        <v>113</v>
      </c>
      <c r="R5813" t="str">
        <f>"500-06-396"</f>
        <v>500-06-396</v>
      </c>
      <c r="S5813" t="s">
        <v>30592</v>
      </c>
      <c r="U5813">
        <v>2259</v>
      </c>
      <c r="V5813">
        <v>0</v>
      </c>
      <c r="W5813">
        <v>4</v>
      </c>
      <c r="X5813">
        <v>1996</v>
      </c>
      <c r="Z5813">
        <v>2</v>
      </c>
      <c r="AB5813">
        <v>0</v>
      </c>
      <c r="AC5813" t="s">
        <v>115</v>
      </c>
      <c r="AD5813">
        <v>3</v>
      </c>
      <c r="AE5813" t="s">
        <v>115</v>
      </c>
      <c r="AF5813">
        <v>0</v>
      </c>
      <c r="AG5813">
        <v>0</v>
      </c>
      <c r="AH5813" t="s">
        <v>116</v>
      </c>
      <c r="AI5813" s="1">
        <v>35830</v>
      </c>
      <c r="AJ5813" s="2">
        <v>0.13</v>
      </c>
      <c r="AK5813" s="1">
        <v>285830</v>
      </c>
      <c r="AL5813" t="s">
        <v>117</v>
      </c>
      <c r="AM5813" t="s">
        <v>118</v>
      </c>
      <c r="AN5813">
        <v>10157</v>
      </c>
      <c r="AO5813">
        <v>0.23</v>
      </c>
      <c r="AP5813">
        <v>1</v>
      </c>
      <c r="AR5813">
        <v>1</v>
      </c>
      <c r="AS5813" s="1">
        <v>19160</v>
      </c>
      <c r="AT5813" s="1">
        <v>3830</v>
      </c>
      <c r="AU5813" s="1">
        <v>15330</v>
      </c>
      <c r="AV5813">
        <v>80.010000000000005</v>
      </c>
      <c r="AX5813" s="1">
        <v>1468.12</v>
      </c>
      <c r="AY5813" t="s">
        <v>11177</v>
      </c>
      <c r="AZ5813" t="s">
        <v>11177</v>
      </c>
      <c r="BA5813" t="s">
        <v>7186</v>
      </c>
      <c r="BE5813" s="3">
        <v>42523</v>
      </c>
      <c r="BF5813" s="1">
        <v>250000</v>
      </c>
      <c r="BG5813" t="s">
        <v>35585</v>
      </c>
      <c r="BH5813" s="1">
        <v>110.67</v>
      </c>
      <c r="BI5813" s="1">
        <v>250000</v>
      </c>
      <c r="BJ5813" s="3">
        <v>42523</v>
      </c>
      <c r="BK5813" t="s">
        <v>123</v>
      </c>
      <c r="BL5813" t="str">
        <f>"2016.382403"</f>
        <v>2016.382403</v>
      </c>
      <c r="BM5813" t="s">
        <v>2368</v>
      </c>
      <c r="BO5813" t="s">
        <v>35586</v>
      </c>
      <c r="BS5813">
        <v>30</v>
      </c>
      <c r="BW5813" t="str">
        <f>""</f>
        <v/>
      </c>
      <c r="CH5813" t="str">
        <f>""</f>
        <v/>
      </c>
      <c r="CS5813" t="str">
        <f>""</f>
        <v/>
      </c>
    </row>
    <row r="5814" spans="1:97" x14ac:dyDescent="0.25">
      <c r="A5814" t="s">
        <v>2294</v>
      </c>
      <c r="B5814" t="s">
        <v>29981</v>
      </c>
      <c r="C5814" t="s">
        <v>1119</v>
      </c>
      <c r="D5814" t="s">
        <v>35587</v>
      </c>
      <c r="E5814" t="s">
        <v>35588</v>
      </c>
      <c r="F5814" t="s">
        <v>108</v>
      </c>
      <c r="H5814" t="s">
        <v>35589</v>
      </c>
      <c r="I5814" t="s">
        <v>390</v>
      </c>
      <c r="J5814" t="s">
        <v>111</v>
      </c>
      <c r="K5814" t="str">
        <f>"85085"</f>
        <v>85085</v>
      </c>
      <c r="L5814" t="s">
        <v>145</v>
      </c>
      <c r="M5814" t="s">
        <v>35589</v>
      </c>
      <c r="N5814" t="s">
        <v>390</v>
      </c>
      <c r="O5814" t="s">
        <v>111</v>
      </c>
      <c r="P5814" t="str">
        <f>"85085-7053"</f>
        <v>85085-7053</v>
      </c>
      <c r="Q5814" t="s">
        <v>113</v>
      </c>
      <c r="R5814" t="str">
        <f>"204-12-731"</f>
        <v>204-12-731</v>
      </c>
      <c r="S5814" t="s">
        <v>35590</v>
      </c>
      <c r="U5814">
        <v>2162</v>
      </c>
      <c r="V5814">
        <v>0</v>
      </c>
      <c r="W5814">
        <v>3</v>
      </c>
      <c r="X5814">
        <v>2004</v>
      </c>
      <c r="Z5814">
        <v>1</v>
      </c>
      <c r="AB5814">
        <v>0</v>
      </c>
      <c r="AC5814" t="s">
        <v>115</v>
      </c>
      <c r="AD5814">
        <v>2</v>
      </c>
      <c r="AE5814" t="s">
        <v>115</v>
      </c>
      <c r="AF5814">
        <v>0</v>
      </c>
      <c r="AG5814">
        <v>0</v>
      </c>
      <c r="AH5814" t="s">
        <v>116</v>
      </c>
      <c r="AI5814" s="1">
        <v>71667</v>
      </c>
      <c r="AJ5814" s="2">
        <v>0.2</v>
      </c>
      <c r="AK5814" s="1">
        <v>362638</v>
      </c>
      <c r="AL5814" t="s">
        <v>117</v>
      </c>
      <c r="AM5814" t="s">
        <v>191</v>
      </c>
      <c r="AN5814">
        <v>6378</v>
      </c>
      <c r="AO5814">
        <v>0.15</v>
      </c>
      <c r="AR5814">
        <v>1</v>
      </c>
      <c r="AS5814" s="1">
        <v>24970</v>
      </c>
      <c r="AT5814" s="1">
        <v>4990</v>
      </c>
      <c r="AU5814" s="1">
        <v>19980</v>
      </c>
      <c r="AV5814">
        <v>80.02</v>
      </c>
      <c r="AX5814" s="1">
        <v>2362.84</v>
      </c>
      <c r="AY5814" t="s">
        <v>2651</v>
      </c>
      <c r="AZ5814" t="s">
        <v>2651</v>
      </c>
      <c r="BA5814" t="s">
        <v>1462</v>
      </c>
      <c r="BE5814" s="3">
        <v>42537</v>
      </c>
      <c r="BF5814" s="1">
        <v>313000</v>
      </c>
      <c r="BG5814" t="s">
        <v>35591</v>
      </c>
      <c r="BH5814" s="1">
        <v>144.77000000000001</v>
      </c>
      <c r="BI5814" s="1">
        <v>290971</v>
      </c>
      <c r="BJ5814" s="3">
        <v>42647</v>
      </c>
      <c r="BK5814" t="s">
        <v>123</v>
      </c>
      <c r="BL5814" t="str">
        <f>"2016.724146"</f>
        <v>2016.724146</v>
      </c>
      <c r="BM5814" t="s">
        <v>1695</v>
      </c>
      <c r="BO5814" t="s">
        <v>35592</v>
      </c>
      <c r="BP5814" t="s">
        <v>35593</v>
      </c>
      <c r="BS5814">
        <v>30</v>
      </c>
      <c r="BW5814" t="str">
        <f>""</f>
        <v/>
      </c>
      <c r="CH5814" t="str">
        <f>""</f>
        <v/>
      </c>
      <c r="CS5814" t="str">
        <f>""</f>
        <v/>
      </c>
    </row>
    <row r="5815" spans="1:97" x14ac:dyDescent="0.25">
      <c r="A5815" t="s">
        <v>2537</v>
      </c>
      <c r="B5815" t="s">
        <v>35594</v>
      </c>
      <c r="C5815" t="s">
        <v>35595</v>
      </c>
      <c r="D5815" t="s">
        <v>35594</v>
      </c>
      <c r="E5815" t="s">
        <v>35596</v>
      </c>
      <c r="F5815" t="s">
        <v>108</v>
      </c>
      <c r="H5815" t="s">
        <v>35597</v>
      </c>
      <c r="I5815" t="s">
        <v>632</v>
      </c>
      <c r="J5815" t="s">
        <v>111</v>
      </c>
      <c r="K5815" t="str">
        <f>"85388"</f>
        <v>85388</v>
      </c>
      <c r="L5815" t="s">
        <v>7607</v>
      </c>
      <c r="M5815" t="s">
        <v>35597</v>
      </c>
      <c r="N5815" t="s">
        <v>632</v>
      </c>
      <c r="O5815" t="s">
        <v>111</v>
      </c>
      <c r="P5815" t="str">
        <f>"85388-1799"</f>
        <v>85388-1799</v>
      </c>
      <c r="Q5815" t="s">
        <v>113</v>
      </c>
      <c r="R5815" t="str">
        <f>"502-89-317"</f>
        <v>502-89-317</v>
      </c>
      <c r="S5815" t="s">
        <v>7646</v>
      </c>
      <c r="U5815">
        <v>2750</v>
      </c>
      <c r="V5815">
        <v>0</v>
      </c>
      <c r="W5815">
        <v>5</v>
      </c>
      <c r="X5815">
        <v>2014</v>
      </c>
      <c r="Z5815">
        <v>1</v>
      </c>
      <c r="AB5815">
        <v>0</v>
      </c>
      <c r="AC5815" t="s">
        <v>115</v>
      </c>
      <c r="AD5815">
        <v>3</v>
      </c>
      <c r="AE5815" t="s">
        <v>115</v>
      </c>
      <c r="AF5815">
        <v>0</v>
      </c>
      <c r="AG5815">
        <v>0</v>
      </c>
      <c r="AH5815" t="s">
        <v>116</v>
      </c>
      <c r="AI5815" s="1">
        <v>16860</v>
      </c>
      <c r="AJ5815" s="2">
        <v>0.05</v>
      </c>
      <c r="AK5815" s="1">
        <v>364860</v>
      </c>
      <c r="AL5815" t="s">
        <v>117</v>
      </c>
      <c r="AM5815" t="s">
        <v>118</v>
      </c>
      <c r="AN5815">
        <v>10369</v>
      </c>
      <c r="AO5815">
        <v>0.24</v>
      </c>
      <c r="AR5815">
        <v>1</v>
      </c>
      <c r="AS5815" s="1">
        <v>27570</v>
      </c>
      <c r="AT5815" s="1">
        <v>5510</v>
      </c>
      <c r="AU5815" s="1">
        <v>22060</v>
      </c>
      <c r="AV5815">
        <v>80.010000000000005</v>
      </c>
      <c r="AX5815" s="1">
        <v>2759.06</v>
      </c>
      <c r="AY5815" t="s">
        <v>5168</v>
      </c>
      <c r="AZ5815" t="s">
        <v>5168</v>
      </c>
      <c r="BA5815" t="s">
        <v>5109</v>
      </c>
      <c r="BE5815" s="3">
        <v>42041</v>
      </c>
      <c r="BF5815" s="1">
        <v>318969</v>
      </c>
      <c r="BG5815" t="s">
        <v>275</v>
      </c>
      <c r="BH5815" s="1">
        <v>115.99</v>
      </c>
      <c r="BI5815" s="1">
        <v>348000</v>
      </c>
      <c r="BJ5815" s="3">
        <v>42454</v>
      </c>
      <c r="BK5815" t="s">
        <v>123</v>
      </c>
      <c r="BL5815" t="str">
        <f>"2016.194275"</f>
        <v>2016.194275</v>
      </c>
      <c r="BM5815" t="s">
        <v>5534</v>
      </c>
      <c r="BO5815" t="s">
        <v>35598</v>
      </c>
      <c r="BS5815">
        <v>30</v>
      </c>
      <c r="BW5815" t="str">
        <f>""</f>
        <v/>
      </c>
      <c r="CH5815" t="str">
        <f>""</f>
        <v/>
      </c>
      <c r="CS5815" t="str">
        <f>""</f>
        <v/>
      </c>
    </row>
    <row r="5816" spans="1:97" x14ac:dyDescent="0.25">
      <c r="A5816" t="s">
        <v>35599</v>
      </c>
      <c r="B5816" t="s">
        <v>35600</v>
      </c>
      <c r="C5816" t="s">
        <v>1692</v>
      </c>
      <c r="D5816" t="s">
        <v>35600</v>
      </c>
      <c r="E5816" t="s">
        <v>35601</v>
      </c>
      <c r="F5816" t="s">
        <v>108</v>
      </c>
      <c r="H5816" t="s">
        <v>35602</v>
      </c>
      <c r="I5816" t="s">
        <v>2874</v>
      </c>
      <c r="J5816" t="s">
        <v>111</v>
      </c>
      <c r="K5816" t="str">
        <f>"85304"</f>
        <v>85304</v>
      </c>
      <c r="L5816" t="s">
        <v>5185</v>
      </c>
      <c r="M5816" t="s">
        <v>35602</v>
      </c>
      <c r="N5816" t="s">
        <v>2874</v>
      </c>
      <c r="O5816" t="s">
        <v>111</v>
      </c>
      <c r="P5816" t="str">
        <f>"85304-1307"</f>
        <v>85304-1307</v>
      </c>
      <c r="Q5816" t="s">
        <v>113</v>
      </c>
      <c r="R5816" t="str">
        <f>"200-75-058"</f>
        <v>200-75-058</v>
      </c>
      <c r="S5816" t="s">
        <v>16938</v>
      </c>
      <c r="U5816">
        <v>2110</v>
      </c>
      <c r="V5816">
        <v>0</v>
      </c>
      <c r="W5816">
        <v>3</v>
      </c>
      <c r="X5816">
        <v>1980</v>
      </c>
      <c r="Z5816">
        <v>1</v>
      </c>
      <c r="AA5816" t="s">
        <v>26</v>
      </c>
      <c r="AB5816">
        <v>0</v>
      </c>
      <c r="AC5816" t="s">
        <v>115</v>
      </c>
      <c r="AD5816">
        <v>2</v>
      </c>
      <c r="AE5816" t="s">
        <v>115</v>
      </c>
      <c r="AF5816">
        <v>0</v>
      </c>
      <c r="AG5816">
        <v>0</v>
      </c>
      <c r="AH5816" t="s">
        <v>116</v>
      </c>
      <c r="AI5816" s="1">
        <v>27594</v>
      </c>
      <c r="AJ5816" s="2">
        <v>0.09</v>
      </c>
      <c r="AK5816" s="1">
        <v>292594</v>
      </c>
      <c r="AL5816" t="s">
        <v>117</v>
      </c>
      <c r="AM5816" t="s">
        <v>191</v>
      </c>
      <c r="AN5816">
        <v>7466</v>
      </c>
      <c r="AO5816">
        <v>0.17</v>
      </c>
      <c r="AP5816">
        <v>1</v>
      </c>
      <c r="AR5816">
        <v>1</v>
      </c>
      <c r="AS5816" s="1">
        <v>21750</v>
      </c>
      <c r="AT5816" s="1">
        <v>4350</v>
      </c>
      <c r="AU5816" s="1">
        <v>17400</v>
      </c>
      <c r="AV5816">
        <v>80</v>
      </c>
      <c r="AX5816" s="1">
        <v>1416.9</v>
      </c>
      <c r="AY5816" t="s">
        <v>1808</v>
      </c>
      <c r="AZ5816" t="s">
        <v>1808</v>
      </c>
      <c r="BA5816" t="s">
        <v>8681</v>
      </c>
      <c r="BE5816" s="3">
        <v>41830</v>
      </c>
      <c r="BF5816" s="1">
        <v>235000</v>
      </c>
      <c r="BG5816" t="s">
        <v>9649</v>
      </c>
      <c r="BH5816" s="1">
        <v>111.32</v>
      </c>
      <c r="BI5816" s="1">
        <v>265000</v>
      </c>
      <c r="BJ5816" s="3">
        <v>43581</v>
      </c>
      <c r="BK5816" t="s">
        <v>123</v>
      </c>
      <c r="BL5816" t="str">
        <f>"2019.296810"</f>
        <v>2019.296810</v>
      </c>
      <c r="BM5816" t="s">
        <v>3562</v>
      </c>
      <c r="BN5816" t="s">
        <v>3686</v>
      </c>
      <c r="BO5816" t="s">
        <v>35603</v>
      </c>
      <c r="BP5816" t="s">
        <v>35604</v>
      </c>
      <c r="BR5816" t="s">
        <v>139</v>
      </c>
      <c r="BW5816" t="str">
        <f>""</f>
        <v/>
      </c>
      <c r="CH5816" t="str">
        <f>""</f>
        <v/>
      </c>
      <c r="CS5816" t="str">
        <f>""</f>
        <v/>
      </c>
    </row>
    <row r="5817" spans="1:97" x14ac:dyDescent="0.25">
      <c r="A5817" t="s">
        <v>35605</v>
      </c>
      <c r="B5817" t="s">
        <v>17727</v>
      </c>
      <c r="C5817" t="s">
        <v>35606</v>
      </c>
      <c r="D5817" t="s">
        <v>17727</v>
      </c>
      <c r="E5817" t="s">
        <v>35607</v>
      </c>
      <c r="F5817" t="s">
        <v>108</v>
      </c>
      <c r="H5817" t="s">
        <v>35608</v>
      </c>
      <c r="I5817" t="s">
        <v>3150</v>
      </c>
      <c r="J5817" t="s">
        <v>111</v>
      </c>
      <c r="K5817" t="str">
        <f>"85340"</f>
        <v>85340</v>
      </c>
      <c r="L5817" t="s">
        <v>5138</v>
      </c>
      <c r="M5817" t="s">
        <v>35609</v>
      </c>
      <c r="N5817" t="s">
        <v>3150</v>
      </c>
      <c r="O5817" t="s">
        <v>111</v>
      </c>
      <c r="P5817" t="str">
        <f>"85340"</f>
        <v>85340</v>
      </c>
      <c r="Q5817" t="s">
        <v>113</v>
      </c>
      <c r="R5817" t="str">
        <f>"501-64-400-A"</f>
        <v>501-64-400-A</v>
      </c>
      <c r="S5817" t="s">
        <v>35610</v>
      </c>
      <c r="U5817">
        <v>2079</v>
      </c>
      <c r="V5817">
        <v>0</v>
      </c>
      <c r="W5817">
        <v>2</v>
      </c>
      <c r="X5817">
        <v>1974</v>
      </c>
      <c r="Z5817">
        <v>1</v>
      </c>
      <c r="AA5817" t="s">
        <v>26</v>
      </c>
      <c r="AB5817">
        <v>0</v>
      </c>
      <c r="AC5817" t="s">
        <v>115</v>
      </c>
      <c r="AD5817">
        <v>2</v>
      </c>
      <c r="AE5817" t="s">
        <v>115</v>
      </c>
      <c r="AF5817">
        <v>0</v>
      </c>
      <c r="AG5817">
        <v>0</v>
      </c>
      <c r="AH5817" t="s">
        <v>116</v>
      </c>
      <c r="AI5817" s="1">
        <v>54865</v>
      </c>
      <c r="AJ5817" s="2">
        <v>0.15</v>
      </c>
      <c r="AK5817" s="1">
        <v>366857</v>
      </c>
      <c r="AL5817" t="s">
        <v>117</v>
      </c>
      <c r="AM5817" t="s">
        <v>1521</v>
      </c>
      <c r="AN5817">
        <v>18668</v>
      </c>
      <c r="AO5817">
        <v>0.43</v>
      </c>
      <c r="AP5817">
        <v>1</v>
      </c>
      <c r="AR5817">
        <v>1</v>
      </c>
      <c r="AS5817" s="1">
        <v>29480</v>
      </c>
      <c r="AT5817" s="1">
        <v>5890</v>
      </c>
      <c r="AU5817" s="1">
        <v>23590</v>
      </c>
      <c r="AV5817">
        <v>80.02</v>
      </c>
      <c r="AX5817" s="1">
        <v>1881.28</v>
      </c>
      <c r="AY5817" t="s">
        <v>11553</v>
      </c>
      <c r="AZ5817" t="s">
        <v>11553</v>
      </c>
      <c r="BA5817" t="s">
        <v>3154</v>
      </c>
      <c r="BE5817" s="3">
        <v>41796</v>
      </c>
      <c r="BF5817" s="1">
        <v>275000</v>
      </c>
      <c r="BG5817" t="s">
        <v>35611</v>
      </c>
      <c r="BH5817" s="1">
        <v>132.28</v>
      </c>
      <c r="BI5817" s="1">
        <v>311992</v>
      </c>
      <c r="BJ5817" s="3">
        <v>42671</v>
      </c>
      <c r="BK5817" t="s">
        <v>123</v>
      </c>
      <c r="BL5817" t="str">
        <f>"2016.792727"</f>
        <v>2016.792727</v>
      </c>
      <c r="BM5817" t="s">
        <v>2368</v>
      </c>
      <c r="BO5817" t="s">
        <v>35612</v>
      </c>
      <c r="BS5817">
        <v>30</v>
      </c>
      <c r="BW5817" t="str">
        <f>""</f>
        <v/>
      </c>
      <c r="CH5817" t="str">
        <f>""</f>
        <v/>
      </c>
      <c r="CS5817" t="str">
        <f>""</f>
        <v/>
      </c>
    </row>
    <row r="5818" spans="1:97" x14ac:dyDescent="0.25">
      <c r="A5818" t="s">
        <v>311</v>
      </c>
      <c r="B5818" t="s">
        <v>35613</v>
      </c>
      <c r="C5818" t="s">
        <v>6679</v>
      </c>
      <c r="D5818" t="s">
        <v>35614</v>
      </c>
      <c r="E5818" t="s">
        <v>35615</v>
      </c>
      <c r="F5818" t="s">
        <v>108</v>
      </c>
      <c r="H5818" t="s">
        <v>35616</v>
      </c>
      <c r="I5818" t="s">
        <v>390</v>
      </c>
      <c r="J5818" t="s">
        <v>111</v>
      </c>
      <c r="K5818" t="str">
        <f>"85083"</f>
        <v>85083</v>
      </c>
      <c r="L5818" t="s">
        <v>7147</v>
      </c>
      <c r="M5818" t="s">
        <v>35616</v>
      </c>
      <c r="N5818" t="s">
        <v>390</v>
      </c>
      <c r="O5818" t="s">
        <v>111</v>
      </c>
      <c r="P5818" t="str">
        <f>"85083-1849"</f>
        <v>85083-1849</v>
      </c>
      <c r="Q5818" t="s">
        <v>113</v>
      </c>
      <c r="R5818" t="str">
        <f>"201-38-307"</f>
        <v>201-38-307</v>
      </c>
      <c r="S5818" t="s">
        <v>17969</v>
      </c>
      <c r="U5818">
        <v>3002</v>
      </c>
      <c r="V5818">
        <v>0</v>
      </c>
      <c r="W5818">
        <v>4</v>
      </c>
      <c r="X5818">
        <v>2006</v>
      </c>
      <c r="Z5818">
        <v>1</v>
      </c>
      <c r="AB5818">
        <v>0</v>
      </c>
      <c r="AC5818" t="s">
        <v>115</v>
      </c>
      <c r="AD5818">
        <v>3</v>
      </c>
      <c r="AE5818" t="s">
        <v>115</v>
      </c>
      <c r="AF5818">
        <v>0</v>
      </c>
      <c r="AG5818">
        <v>0</v>
      </c>
      <c r="AH5818" t="s">
        <v>116</v>
      </c>
      <c r="AI5818" s="1">
        <v>72622</v>
      </c>
      <c r="AJ5818" s="2">
        <v>0.15</v>
      </c>
      <c r="AK5818" s="1">
        <v>470640</v>
      </c>
      <c r="AL5818" t="s">
        <v>117</v>
      </c>
      <c r="AM5818" t="s">
        <v>191</v>
      </c>
      <c r="AN5818">
        <v>8585</v>
      </c>
      <c r="AO5818">
        <v>0.2</v>
      </c>
      <c r="AR5818">
        <v>1</v>
      </c>
      <c r="AS5818" s="1">
        <v>34370</v>
      </c>
      <c r="AT5818" s="1">
        <v>6870</v>
      </c>
      <c r="AU5818" s="1">
        <v>27500</v>
      </c>
      <c r="AV5818">
        <v>80.010000000000005</v>
      </c>
      <c r="AX5818" s="1">
        <v>3254.06</v>
      </c>
      <c r="AY5818" t="s">
        <v>5125</v>
      </c>
      <c r="AZ5818" t="s">
        <v>3049</v>
      </c>
      <c r="BA5818" t="s">
        <v>1386</v>
      </c>
      <c r="BE5818" s="3">
        <v>42013</v>
      </c>
      <c r="BF5818" s="1">
        <v>386000</v>
      </c>
      <c r="BG5818" t="s">
        <v>35617</v>
      </c>
      <c r="BH5818" s="1">
        <v>128.58000000000001</v>
      </c>
      <c r="BI5818" s="1">
        <v>398018</v>
      </c>
      <c r="BJ5818" s="3">
        <v>42681</v>
      </c>
      <c r="BK5818" t="s">
        <v>123</v>
      </c>
      <c r="BL5818" t="str">
        <f>"2016.820688"</f>
        <v>2016.820688</v>
      </c>
      <c r="BM5818" t="s">
        <v>30646</v>
      </c>
      <c r="BO5818" t="s">
        <v>35618</v>
      </c>
      <c r="BP5818" t="s">
        <v>35619</v>
      </c>
      <c r="BS5818">
        <v>30</v>
      </c>
      <c r="BW5818" t="str">
        <f>""</f>
        <v/>
      </c>
      <c r="CH5818" t="str">
        <f>""</f>
        <v/>
      </c>
      <c r="CS5818" t="str">
        <f>""</f>
        <v/>
      </c>
    </row>
    <row r="5819" spans="1:97" x14ac:dyDescent="0.25">
      <c r="A5819" t="s">
        <v>1009</v>
      </c>
      <c r="B5819" t="s">
        <v>35620</v>
      </c>
      <c r="E5819" t="s">
        <v>35621</v>
      </c>
      <c r="F5819" t="s">
        <v>108</v>
      </c>
      <c r="H5819" t="s">
        <v>35622</v>
      </c>
      <c r="I5819" t="s">
        <v>374</v>
      </c>
      <c r="J5819" t="s">
        <v>111</v>
      </c>
      <c r="K5819" t="str">
        <f>"85087"</f>
        <v>85087</v>
      </c>
      <c r="L5819" t="s">
        <v>11089</v>
      </c>
      <c r="M5819" t="s">
        <v>35622</v>
      </c>
      <c r="N5819" t="s">
        <v>374</v>
      </c>
      <c r="O5819" t="s">
        <v>111</v>
      </c>
      <c r="P5819" t="str">
        <f>"85087-3095"</f>
        <v>85087-3095</v>
      </c>
      <c r="Q5819" t="s">
        <v>113</v>
      </c>
      <c r="R5819" t="str">
        <f>"202-22-792"</f>
        <v>202-22-792</v>
      </c>
      <c r="S5819" t="s">
        <v>11345</v>
      </c>
      <c r="U5819">
        <v>2663</v>
      </c>
      <c r="V5819">
        <v>0</v>
      </c>
      <c r="W5819">
        <v>4</v>
      </c>
      <c r="X5819">
        <v>2007</v>
      </c>
      <c r="Z5819">
        <v>1</v>
      </c>
      <c r="AA5819" t="s">
        <v>26</v>
      </c>
      <c r="AB5819">
        <v>0</v>
      </c>
      <c r="AC5819" t="s">
        <v>115</v>
      </c>
      <c r="AD5819">
        <v>3</v>
      </c>
      <c r="AE5819" t="s">
        <v>115</v>
      </c>
      <c r="AF5819">
        <v>0</v>
      </c>
      <c r="AG5819">
        <v>0</v>
      </c>
      <c r="AH5819" t="s">
        <v>116</v>
      </c>
      <c r="AI5819" s="1">
        <v>71837</v>
      </c>
      <c r="AJ5819" s="2">
        <v>0.18</v>
      </c>
      <c r="AK5819" s="1">
        <v>397232</v>
      </c>
      <c r="AL5819" t="s">
        <v>117</v>
      </c>
      <c r="AM5819" t="s">
        <v>3973</v>
      </c>
      <c r="AN5819">
        <v>12582</v>
      </c>
      <c r="AO5819">
        <v>0.28999999999999998</v>
      </c>
      <c r="AR5819">
        <v>1</v>
      </c>
      <c r="AS5819" s="1">
        <v>31980</v>
      </c>
      <c r="AT5819" s="1">
        <v>6390</v>
      </c>
      <c r="AU5819" s="1">
        <v>25590</v>
      </c>
      <c r="AV5819">
        <v>80.02</v>
      </c>
      <c r="AX5819" s="1">
        <v>3231.08</v>
      </c>
      <c r="AY5819" t="s">
        <v>665</v>
      </c>
      <c r="AZ5819" t="s">
        <v>665</v>
      </c>
      <c r="BA5819" t="s">
        <v>378</v>
      </c>
      <c r="BE5819" s="3">
        <v>42011</v>
      </c>
      <c r="BF5819" s="1">
        <v>315000</v>
      </c>
      <c r="BG5819" t="s">
        <v>35623</v>
      </c>
      <c r="BH5819" s="1">
        <v>118.29</v>
      </c>
      <c r="BI5819" s="1">
        <v>325395</v>
      </c>
      <c r="BJ5819" s="3">
        <v>42011</v>
      </c>
      <c r="BK5819" t="s">
        <v>123</v>
      </c>
      <c r="BL5819" t="str">
        <f>"2015.10474"</f>
        <v>2015.10474</v>
      </c>
      <c r="BM5819" t="s">
        <v>5867</v>
      </c>
      <c r="BO5819" t="s">
        <v>35624</v>
      </c>
      <c r="BS5819">
        <v>30</v>
      </c>
      <c r="BW5819" t="str">
        <f>""</f>
        <v/>
      </c>
      <c r="CH5819" t="str">
        <f>""</f>
        <v/>
      </c>
      <c r="CS5819" t="str">
        <f>""</f>
        <v/>
      </c>
    </row>
    <row r="5820" spans="1:97" x14ac:dyDescent="0.25">
      <c r="A5820" t="s">
        <v>370</v>
      </c>
      <c r="B5820" t="s">
        <v>12491</v>
      </c>
      <c r="C5820" t="s">
        <v>2099</v>
      </c>
      <c r="D5820" t="s">
        <v>12491</v>
      </c>
      <c r="E5820" t="s">
        <v>35625</v>
      </c>
      <c r="F5820" t="s">
        <v>108</v>
      </c>
      <c r="H5820" t="s">
        <v>35626</v>
      </c>
      <c r="I5820" t="s">
        <v>188</v>
      </c>
      <c r="J5820" t="s">
        <v>111</v>
      </c>
      <c r="K5820" t="str">
        <f>"85142"</f>
        <v>85142</v>
      </c>
      <c r="L5820" t="s">
        <v>5910</v>
      </c>
      <c r="M5820" t="s">
        <v>35626</v>
      </c>
      <c r="N5820" t="s">
        <v>188</v>
      </c>
      <c r="O5820" t="s">
        <v>111</v>
      </c>
      <c r="P5820" t="str">
        <f>"85142-3569"</f>
        <v>85142-3569</v>
      </c>
      <c r="Q5820" t="s">
        <v>113</v>
      </c>
      <c r="R5820" t="str">
        <f>"314-02-197"</f>
        <v>314-02-197</v>
      </c>
      <c r="S5820" t="s">
        <v>35627</v>
      </c>
      <c r="U5820">
        <v>3705</v>
      </c>
      <c r="V5820">
        <v>0</v>
      </c>
      <c r="W5820">
        <v>4</v>
      </c>
      <c r="X5820">
        <v>2004</v>
      </c>
      <c r="Z5820">
        <v>2</v>
      </c>
      <c r="AA5820" t="s">
        <v>26</v>
      </c>
      <c r="AB5820">
        <v>0</v>
      </c>
      <c r="AC5820" t="s">
        <v>115</v>
      </c>
      <c r="AD5820">
        <v>3</v>
      </c>
      <c r="AE5820" t="s">
        <v>115</v>
      </c>
      <c r="AF5820">
        <v>0</v>
      </c>
      <c r="AG5820">
        <v>0</v>
      </c>
      <c r="AH5820" t="s">
        <v>116</v>
      </c>
      <c r="AI5820" s="1">
        <v>74088</v>
      </c>
      <c r="AJ5820" s="2">
        <v>0.15</v>
      </c>
      <c r="AK5820" s="1">
        <v>484087</v>
      </c>
      <c r="AL5820" t="s">
        <v>117</v>
      </c>
      <c r="AM5820" t="s">
        <v>5791</v>
      </c>
      <c r="AN5820">
        <v>12125</v>
      </c>
      <c r="AO5820">
        <v>0.28000000000000003</v>
      </c>
      <c r="AP5820">
        <v>1</v>
      </c>
      <c r="AR5820">
        <v>1</v>
      </c>
      <c r="AS5820" s="1">
        <v>33530</v>
      </c>
      <c r="AT5820" s="1">
        <v>6700</v>
      </c>
      <c r="AU5820" s="1">
        <v>26830</v>
      </c>
      <c r="AV5820">
        <v>80.02</v>
      </c>
      <c r="AX5820" s="1">
        <v>3263.34</v>
      </c>
      <c r="AY5820" t="s">
        <v>5792</v>
      </c>
      <c r="AZ5820" t="s">
        <v>5792</v>
      </c>
      <c r="BA5820" t="s">
        <v>290</v>
      </c>
      <c r="BE5820" s="3">
        <v>42499</v>
      </c>
      <c r="BF5820" s="1">
        <v>409999</v>
      </c>
      <c r="BG5820" t="s">
        <v>35628</v>
      </c>
      <c r="BH5820" s="1">
        <v>110.66</v>
      </c>
      <c r="BI5820" s="1">
        <v>409999</v>
      </c>
      <c r="BJ5820" s="3">
        <v>42499</v>
      </c>
      <c r="BK5820" t="s">
        <v>123</v>
      </c>
      <c r="BL5820" t="str">
        <f>"2016.315704"</f>
        <v>2016.315704</v>
      </c>
      <c r="BM5820" t="s">
        <v>1791</v>
      </c>
      <c r="BO5820" t="s">
        <v>35629</v>
      </c>
      <c r="BS5820">
        <v>30</v>
      </c>
      <c r="BW5820" t="str">
        <f>""</f>
        <v/>
      </c>
      <c r="CH5820" t="str">
        <f>""</f>
        <v/>
      </c>
      <c r="CS5820" t="str">
        <f>""</f>
        <v/>
      </c>
    </row>
    <row r="5821" spans="1:97" x14ac:dyDescent="0.25">
      <c r="A5821" t="s">
        <v>8500</v>
      </c>
      <c r="B5821" t="s">
        <v>35630</v>
      </c>
      <c r="E5821" t="s">
        <v>35631</v>
      </c>
      <c r="F5821" t="s">
        <v>108</v>
      </c>
      <c r="H5821" t="s">
        <v>35632</v>
      </c>
      <c r="I5821" t="s">
        <v>499</v>
      </c>
      <c r="J5821" t="s">
        <v>111</v>
      </c>
      <c r="K5821" t="str">
        <f>"85395"</f>
        <v>85395</v>
      </c>
      <c r="L5821" t="s">
        <v>5743</v>
      </c>
      <c r="M5821" t="s">
        <v>35632</v>
      </c>
      <c r="N5821" t="s">
        <v>499</v>
      </c>
      <c r="O5821" t="s">
        <v>111</v>
      </c>
      <c r="P5821" t="str">
        <f>"85395-6342"</f>
        <v>85395-6342</v>
      </c>
      <c r="Q5821" t="s">
        <v>113</v>
      </c>
      <c r="R5821" t="str">
        <f>"501-61-814"</f>
        <v>501-61-814</v>
      </c>
      <c r="S5821" t="s">
        <v>12578</v>
      </c>
      <c r="T5821" t="s">
        <v>12579</v>
      </c>
      <c r="U5821">
        <v>2334</v>
      </c>
      <c r="V5821">
        <v>0</v>
      </c>
      <c r="W5821">
        <v>3</v>
      </c>
      <c r="X5821">
        <v>2007</v>
      </c>
      <c r="Z5821">
        <v>1</v>
      </c>
      <c r="AA5821" t="s">
        <v>26</v>
      </c>
      <c r="AB5821">
        <v>0</v>
      </c>
      <c r="AC5821" t="s">
        <v>115</v>
      </c>
      <c r="AD5821">
        <v>3</v>
      </c>
      <c r="AE5821" t="s">
        <v>115</v>
      </c>
      <c r="AF5821">
        <v>0</v>
      </c>
      <c r="AG5821">
        <v>0</v>
      </c>
      <c r="AH5821" t="s">
        <v>116</v>
      </c>
      <c r="AI5821" s="1">
        <v>59051</v>
      </c>
      <c r="AJ5821" s="2">
        <v>0.15</v>
      </c>
      <c r="AK5821" s="1">
        <v>385931</v>
      </c>
      <c r="AL5821" t="s">
        <v>117</v>
      </c>
      <c r="AM5821" t="s">
        <v>118</v>
      </c>
      <c r="AN5821">
        <v>11947</v>
      </c>
      <c r="AO5821">
        <v>0.27</v>
      </c>
      <c r="AR5821">
        <v>1</v>
      </c>
      <c r="AS5821" s="1">
        <v>28460</v>
      </c>
      <c r="AT5821" s="1">
        <v>5690</v>
      </c>
      <c r="AU5821" s="1">
        <v>22770</v>
      </c>
      <c r="AV5821">
        <v>80.010000000000005</v>
      </c>
      <c r="AX5821" s="1">
        <v>3180</v>
      </c>
      <c r="AY5821" t="s">
        <v>3020</v>
      </c>
      <c r="AZ5821" t="s">
        <v>3020</v>
      </c>
      <c r="BA5821" t="s">
        <v>3154</v>
      </c>
      <c r="BE5821" s="3">
        <v>42342</v>
      </c>
      <c r="BF5821" s="1">
        <v>320000</v>
      </c>
      <c r="BG5821" t="s">
        <v>35633</v>
      </c>
      <c r="BH5821" s="1">
        <v>137.1</v>
      </c>
      <c r="BI5821" s="1">
        <v>326880</v>
      </c>
      <c r="BJ5821" s="3">
        <v>42342</v>
      </c>
      <c r="BK5821" t="s">
        <v>123</v>
      </c>
      <c r="BL5821" t="str">
        <f>"2015.860947"</f>
        <v>2015.860947</v>
      </c>
      <c r="BM5821" t="s">
        <v>544</v>
      </c>
      <c r="BO5821" t="s">
        <v>35634</v>
      </c>
      <c r="BS5821">
        <v>30</v>
      </c>
      <c r="BW5821" t="str">
        <f>""</f>
        <v/>
      </c>
      <c r="CH5821" t="str">
        <f>""</f>
        <v/>
      </c>
      <c r="CS5821" t="str">
        <f>""</f>
        <v/>
      </c>
    </row>
    <row r="5822" spans="1:97" x14ac:dyDescent="0.25">
      <c r="A5822" t="s">
        <v>21968</v>
      </c>
      <c r="B5822" t="s">
        <v>6628</v>
      </c>
      <c r="E5822" t="s">
        <v>35635</v>
      </c>
      <c r="F5822" t="s">
        <v>108</v>
      </c>
      <c r="H5822" t="s">
        <v>35636</v>
      </c>
      <c r="I5822" t="s">
        <v>390</v>
      </c>
      <c r="J5822" t="s">
        <v>111</v>
      </c>
      <c r="K5822" t="str">
        <f>"85048"</f>
        <v>85048</v>
      </c>
      <c r="L5822" t="s">
        <v>5209</v>
      </c>
      <c r="M5822" t="s">
        <v>35636</v>
      </c>
      <c r="N5822" t="s">
        <v>390</v>
      </c>
      <c r="O5822" t="s">
        <v>111</v>
      </c>
      <c r="P5822" t="str">
        <f>"85048-8650"</f>
        <v>85048-8650</v>
      </c>
      <c r="Q5822" t="s">
        <v>113</v>
      </c>
      <c r="R5822" t="str">
        <f>"300-36-026"</f>
        <v>300-36-026</v>
      </c>
      <c r="S5822" t="s">
        <v>14098</v>
      </c>
      <c r="T5822" t="s">
        <v>14099</v>
      </c>
      <c r="U5822">
        <v>2039</v>
      </c>
      <c r="V5822">
        <v>0</v>
      </c>
      <c r="W5822">
        <v>4</v>
      </c>
      <c r="X5822">
        <v>1988</v>
      </c>
      <c r="Z5822">
        <v>2</v>
      </c>
      <c r="AA5822" t="s">
        <v>26</v>
      </c>
      <c r="AB5822">
        <v>0</v>
      </c>
      <c r="AC5822" t="s">
        <v>115</v>
      </c>
      <c r="AD5822">
        <v>2</v>
      </c>
      <c r="AE5822" t="s">
        <v>115</v>
      </c>
      <c r="AF5822">
        <v>0</v>
      </c>
      <c r="AG5822">
        <v>0</v>
      </c>
      <c r="AH5822" t="s">
        <v>116</v>
      </c>
      <c r="AI5822" s="1">
        <v>66791</v>
      </c>
      <c r="AJ5822" s="2">
        <v>0.17</v>
      </c>
      <c r="AK5822" s="1">
        <v>387291</v>
      </c>
      <c r="AL5822" t="s">
        <v>117</v>
      </c>
      <c r="AM5822" t="s">
        <v>1315</v>
      </c>
      <c r="AN5822">
        <v>5149</v>
      </c>
      <c r="AO5822">
        <v>0.12</v>
      </c>
      <c r="AP5822">
        <v>1</v>
      </c>
      <c r="AR5822">
        <v>1</v>
      </c>
      <c r="AS5822" s="1">
        <v>27820</v>
      </c>
      <c r="AT5822" s="1">
        <v>5560</v>
      </c>
      <c r="AU5822" s="1">
        <v>22260</v>
      </c>
      <c r="AV5822">
        <v>80.010000000000005</v>
      </c>
      <c r="AX5822" s="1">
        <v>2772.82</v>
      </c>
      <c r="AY5822" t="s">
        <v>2966</v>
      </c>
      <c r="AZ5822" t="s">
        <v>2967</v>
      </c>
      <c r="BA5822" t="s">
        <v>930</v>
      </c>
      <c r="BE5822" s="3">
        <v>41773</v>
      </c>
      <c r="BF5822" s="1">
        <v>309900</v>
      </c>
      <c r="BG5822" t="s">
        <v>35637</v>
      </c>
      <c r="BH5822" s="1">
        <v>151.99</v>
      </c>
      <c r="BI5822" s="1">
        <v>320500</v>
      </c>
      <c r="BJ5822" s="3">
        <v>42094</v>
      </c>
      <c r="BK5822" t="s">
        <v>123</v>
      </c>
      <c r="BL5822" t="str">
        <f>"2015.218484"</f>
        <v>2015.218484</v>
      </c>
      <c r="BM5822" t="s">
        <v>1192</v>
      </c>
      <c r="BO5822" t="s">
        <v>35638</v>
      </c>
      <c r="BS5822">
        <v>30</v>
      </c>
      <c r="BW5822" t="str">
        <f>""</f>
        <v/>
      </c>
      <c r="CH5822" t="str">
        <f>""</f>
        <v/>
      </c>
      <c r="CS5822" t="str">
        <f>""</f>
        <v/>
      </c>
    </row>
    <row r="5823" spans="1:97" x14ac:dyDescent="0.25">
      <c r="A5823" t="s">
        <v>35639</v>
      </c>
      <c r="B5823" t="s">
        <v>18945</v>
      </c>
      <c r="C5823" t="s">
        <v>4644</v>
      </c>
      <c r="D5823" t="s">
        <v>18945</v>
      </c>
      <c r="E5823" t="s">
        <v>35640</v>
      </c>
      <c r="F5823" t="s">
        <v>108</v>
      </c>
      <c r="H5823" t="s">
        <v>35641</v>
      </c>
      <c r="I5823" t="s">
        <v>144</v>
      </c>
      <c r="J5823" t="s">
        <v>111</v>
      </c>
      <c r="K5823" t="str">
        <f>"85396"</f>
        <v>85396</v>
      </c>
      <c r="L5823" t="s">
        <v>215</v>
      </c>
      <c r="M5823" t="s">
        <v>35641</v>
      </c>
      <c r="N5823" t="s">
        <v>144</v>
      </c>
      <c r="O5823" t="s">
        <v>111</v>
      </c>
      <c r="P5823" t="str">
        <f>"85396-1651"</f>
        <v>85396-1651</v>
      </c>
      <c r="Q5823" t="s">
        <v>113</v>
      </c>
      <c r="R5823" t="str">
        <f>"502-80-584"</f>
        <v>502-80-584</v>
      </c>
      <c r="S5823" t="s">
        <v>35642</v>
      </c>
      <c r="U5823">
        <v>2882</v>
      </c>
      <c r="V5823">
        <v>0</v>
      </c>
      <c r="W5823">
        <v>5</v>
      </c>
      <c r="X5823">
        <v>2013</v>
      </c>
      <c r="Z5823">
        <v>2</v>
      </c>
      <c r="AA5823" t="s">
        <v>26</v>
      </c>
      <c r="AB5823">
        <v>0</v>
      </c>
      <c r="AC5823" t="s">
        <v>115</v>
      </c>
      <c r="AD5823">
        <v>2</v>
      </c>
      <c r="AE5823" t="s">
        <v>115</v>
      </c>
      <c r="AF5823">
        <v>0</v>
      </c>
      <c r="AG5823">
        <v>0</v>
      </c>
      <c r="AH5823" t="s">
        <v>116</v>
      </c>
      <c r="AI5823" s="1">
        <v>68358</v>
      </c>
      <c r="AJ5823" s="2">
        <v>0.19</v>
      </c>
      <c r="AK5823" s="1">
        <v>359743</v>
      </c>
      <c r="AL5823" t="s">
        <v>117</v>
      </c>
      <c r="AM5823" t="s">
        <v>118</v>
      </c>
      <c r="AN5823">
        <v>6720</v>
      </c>
      <c r="AO5823">
        <v>0.15</v>
      </c>
      <c r="AR5823">
        <v>1</v>
      </c>
      <c r="AS5823" s="1">
        <v>25960</v>
      </c>
      <c r="AT5823" s="1">
        <v>5190</v>
      </c>
      <c r="AU5823" s="1">
        <v>20770</v>
      </c>
      <c r="AV5823">
        <v>80.010000000000005</v>
      </c>
      <c r="AX5823" s="1">
        <v>3252.9</v>
      </c>
      <c r="AY5823" t="s">
        <v>217</v>
      </c>
      <c r="AZ5823" t="s">
        <v>217</v>
      </c>
      <c r="BA5823" t="s">
        <v>218</v>
      </c>
      <c r="BE5823" s="3">
        <v>41670</v>
      </c>
      <c r="BF5823" s="1">
        <v>259318</v>
      </c>
      <c r="BG5823" t="s">
        <v>35643</v>
      </c>
      <c r="BH5823" s="1">
        <v>89.98</v>
      </c>
      <c r="BI5823" s="1">
        <v>262204</v>
      </c>
      <c r="BJ5823" s="3">
        <v>42327</v>
      </c>
      <c r="BK5823" t="s">
        <v>123</v>
      </c>
      <c r="BL5823" t="str">
        <f>"2015.826656"</f>
        <v>2015.826656</v>
      </c>
      <c r="BM5823" t="s">
        <v>4738</v>
      </c>
      <c r="BO5823" t="s">
        <v>35644</v>
      </c>
      <c r="BS5823">
        <v>30</v>
      </c>
      <c r="BT5823" s="1">
        <v>29181</v>
      </c>
      <c r="BU5823" s="3">
        <v>42060</v>
      </c>
      <c r="BV5823" t="s">
        <v>134</v>
      </c>
      <c r="BW5823" t="str">
        <f>"2015.122701"</f>
        <v>2015.122701</v>
      </c>
      <c r="BX5823" t="s">
        <v>198</v>
      </c>
      <c r="BZ5823" t="s">
        <v>35644</v>
      </c>
      <c r="CD5823">
        <v>15</v>
      </c>
      <c r="CH5823" t="str">
        <f>""</f>
        <v/>
      </c>
      <c r="CS5823" t="str">
        <f>""</f>
        <v/>
      </c>
    </row>
    <row r="5824" spans="1:97" x14ac:dyDescent="0.25">
      <c r="A5824" t="s">
        <v>2915</v>
      </c>
      <c r="B5824" t="s">
        <v>35645</v>
      </c>
      <c r="C5824" t="s">
        <v>484</v>
      </c>
      <c r="D5824" t="s">
        <v>35645</v>
      </c>
      <c r="E5824" t="s">
        <v>35646</v>
      </c>
      <c r="F5824" t="s">
        <v>108</v>
      </c>
      <c r="H5824" t="s">
        <v>35647</v>
      </c>
      <c r="I5824" t="s">
        <v>5863</v>
      </c>
      <c r="J5824" t="s">
        <v>111</v>
      </c>
      <c r="K5824" t="str">
        <f>"85375"</f>
        <v>85375</v>
      </c>
      <c r="L5824" t="s">
        <v>6438</v>
      </c>
      <c r="M5824" t="s">
        <v>35647</v>
      </c>
      <c r="N5824" t="s">
        <v>5863</v>
      </c>
      <c r="O5824" t="s">
        <v>111</v>
      </c>
      <c r="P5824" t="str">
        <f>"85375-2822"</f>
        <v>85375-2822</v>
      </c>
      <c r="Q5824" t="s">
        <v>113</v>
      </c>
      <c r="R5824" t="str">
        <f>"232-26-822"</f>
        <v>232-26-822</v>
      </c>
      <c r="S5824" t="s">
        <v>35648</v>
      </c>
      <c r="U5824">
        <v>2564</v>
      </c>
      <c r="V5824">
        <v>0</v>
      </c>
      <c r="W5824">
        <v>4</v>
      </c>
      <c r="X5824">
        <v>1996</v>
      </c>
      <c r="Z5824">
        <v>1</v>
      </c>
      <c r="AA5824" t="s">
        <v>26</v>
      </c>
      <c r="AB5824">
        <v>0</v>
      </c>
      <c r="AC5824" t="s">
        <v>115</v>
      </c>
      <c r="AD5824">
        <v>2</v>
      </c>
      <c r="AE5824" t="s">
        <v>115</v>
      </c>
      <c r="AF5824">
        <v>0</v>
      </c>
      <c r="AG5824">
        <v>0</v>
      </c>
      <c r="AH5824" t="s">
        <v>116</v>
      </c>
      <c r="AI5824" s="1">
        <v>115787</v>
      </c>
      <c r="AJ5824" s="2">
        <v>0.24</v>
      </c>
      <c r="AK5824" s="1">
        <v>486787</v>
      </c>
      <c r="AL5824" t="s">
        <v>117</v>
      </c>
      <c r="AM5824" t="s">
        <v>191</v>
      </c>
      <c r="AN5824">
        <v>9200</v>
      </c>
      <c r="AO5824">
        <v>0.21</v>
      </c>
      <c r="AP5824">
        <v>1</v>
      </c>
      <c r="AR5824">
        <v>1</v>
      </c>
      <c r="AS5824" s="1">
        <v>36000</v>
      </c>
      <c r="AT5824" s="1">
        <v>7200</v>
      </c>
      <c r="AU5824" s="1">
        <v>28800</v>
      </c>
      <c r="AV5824">
        <v>80</v>
      </c>
      <c r="AX5824" s="1">
        <v>4413.9799999999996</v>
      </c>
      <c r="AY5824" t="s">
        <v>5108</v>
      </c>
      <c r="AZ5824" t="s">
        <v>5108</v>
      </c>
      <c r="BA5824" t="s">
        <v>5109</v>
      </c>
      <c r="BE5824" s="3">
        <v>41865</v>
      </c>
      <c r="BF5824" s="1">
        <v>371000</v>
      </c>
      <c r="BG5824" t="s">
        <v>35649</v>
      </c>
      <c r="BH5824" s="1">
        <v>144.69999999999999</v>
      </c>
      <c r="BI5824" s="1">
        <v>371000</v>
      </c>
      <c r="BJ5824" s="3">
        <v>41865</v>
      </c>
      <c r="BK5824" t="s">
        <v>123</v>
      </c>
      <c r="BL5824" t="str">
        <f>"2014.536399"</f>
        <v>2014.536399</v>
      </c>
      <c r="BM5824" t="s">
        <v>135</v>
      </c>
      <c r="BO5824" t="s">
        <v>35650</v>
      </c>
      <c r="BS5824">
        <v>30</v>
      </c>
      <c r="BW5824" t="str">
        <f>""</f>
        <v/>
      </c>
      <c r="CH5824" t="str">
        <f>""</f>
        <v/>
      </c>
      <c r="CS5824" t="str">
        <f>""</f>
        <v/>
      </c>
    </row>
    <row r="5825" spans="1:97" x14ac:dyDescent="0.25">
      <c r="A5825" t="s">
        <v>4593</v>
      </c>
      <c r="B5825" t="s">
        <v>35651</v>
      </c>
      <c r="C5825" t="s">
        <v>727</v>
      </c>
      <c r="D5825" t="s">
        <v>35651</v>
      </c>
      <c r="E5825" t="s">
        <v>35652</v>
      </c>
      <c r="F5825" t="s">
        <v>108</v>
      </c>
      <c r="H5825" t="s">
        <v>35653</v>
      </c>
      <c r="I5825" t="s">
        <v>390</v>
      </c>
      <c r="J5825" t="s">
        <v>111</v>
      </c>
      <c r="K5825" t="str">
        <f>"85042"</f>
        <v>85042</v>
      </c>
      <c r="L5825" t="s">
        <v>6996</v>
      </c>
      <c r="M5825" t="s">
        <v>35653</v>
      </c>
      <c r="N5825" t="s">
        <v>390</v>
      </c>
      <c r="O5825" t="s">
        <v>111</v>
      </c>
      <c r="P5825" t="str">
        <f>"85042-8113"</f>
        <v>85042-8113</v>
      </c>
      <c r="Q5825" t="s">
        <v>113</v>
      </c>
      <c r="R5825" t="str">
        <f>"301-36-234"</f>
        <v>301-36-234</v>
      </c>
      <c r="S5825" t="s">
        <v>16644</v>
      </c>
      <c r="T5825" t="s">
        <v>16645</v>
      </c>
      <c r="U5825">
        <v>2620</v>
      </c>
      <c r="V5825">
        <v>0</v>
      </c>
      <c r="W5825">
        <v>4</v>
      </c>
      <c r="X5825">
        <v>2011</v>
      </c>
      <c r="Z5825">
        <v>1</v>
      </c>
      <c r="AA5825" t="s">
        <v>26</v>
      </c>
      <c r="AB5825">
        <v>0</v>
      </c>
      <c r="AC5825" t="s">
        <v>115</v>
      </c>
      <c r="AD5825">
        <v>3</v>
      </c>
      <c r="AE5825" t="s">
        <v>115</v>
      </c>
      <c r="AF5825">
        <v>0</v>
      </c>
      <c r="AG5825">
        <v>0</v>
      </c>
      <c r="AH5825" t="s">
        <v>116</v>
      </c>
      <c r="AI5825" s="1">
        <v>24139</v>
      </c>
      <c r="AJ5825" s="2">
        <v>0.05</v>
      </c>
      <c r="AK5825" s="1">
        <v>464130</v>
      </c>
      <c r="AL5825" t="s">
        <v>117</v>
      </c>
      <c r="AM5825" t="s">
        <v>191</v>
      </c>
      <c r="AN5825">
        <v>8417</v>
      </c>
      <c r="AO5825">
        <v>0.19</v>
      </c>
      <c r="AR5825">
        <v>1</v>
      </c>
      <c r="AS5825" s="1">
        <v>34900</v>
      </c>
      <c r="AT5825" s="1">
        <v>6980</v>
      </c>
      <c r="AU5825" s="1">
        <v>27920</v>
      </c>
      <c r="AV5825">
        <v>80</v>
      </c>
      <c r="AX5825" s="1">
        <v>4804.34</v>
      </c>
      <c r="AY5825" t="s">
        <v>6115</v>
      </c>
      <c r="AZ5825" t="s">
        <v>6115</v>
      </c>
      <c r="BA5825" t="s">
        <v>2860</v>
      </c>
      <c r="BE5825" s="3">
        <v>42524</v>
      </c>
      <c r="BF5825" s="1">
        <v>424000</v>
      </c>
      <c r="BG5825" t="s">
        <v>35654</v>
      </c>
      <c r="BH5825" s="1">
        <v>161.83000000000001</v>
      </c>
      <c r="BI5825" s="1">
        <v>439991</v>
      </c>
      <c r="BJ5825" s="3">
        <v>43535</v>
      </c>
      <c r="BK5825" t="s">
        <v>123</v>
      </c>
      <c r="BL5825" t="str">
        <f>"2019.165025"</f>
        <v>2019.165025</v>
      </c>
      <c r="BM5825" t="s">
        <v>2774</v>
      </c>
      <c r="BN5825" t="s">
        <v>2775</v>
      </c>
      <c r="BO5825" t="s">
        <v>35655</v>
      </c>
      <c r="BP5825" t="s">
        <v>35656</v>
      </c>
      <c r="BR5825" t="s">
        <v>139</v>
      </c>
      <c r="BW5825" t="str">
        <f>""</f>
        <v/>
      </c>
      <c r="CH5825" t="str">
        <f>""</f>
        <v/>
      </c>
      <c r="CS5825" t="str">
        <f>""</f>
        <v/>
      </c>
    </row>
    <row r="5826" spans="1:97" x14ac:dyDescent="0.25">
      <c r="A5826" t="s">
        <v>177</v>
      </c>
      <c r="B5826" t="s">
        <v>35657</v>
      </c>
      <c r="C5826" t="s">
        <v>35658</v>
      </c>
      <c r="D5826" t="s">
        <v>35657</v>
      </c>
      <c r="E5826" t="s">
        <v>35659</v>
      </c>
      <c r="F5826" t="s">
        <v>108</v>
      </c>
      <c r="H5826" t="s">
        <v>35660</v>
      </c>
      <c r="I5826" t="s">
        <v>3150</v>
      </c>
      <c r="J5826" t="s">
        <v>111</v>
      </c>
      <c r="K5826" t="str">
        <f>"85340"</f>
        <v>85340</v>
      </c>
      <c r="L5826" t="s">
        <v>168</v>
      </c>
      <c r="M5826" t="s">
        <v>35660</v>
      </c>
      <c r="N5826" t="s">
        <v>3150</v>
      </c>
      <c r="O5826" t="s">
        <v>111</v>
      </c>
      <c r="P5826" t="str">
        <f>"85340-5193"</f>
        <v>85340-5193</v>
      </c>
      <c r="Q5826" t="s">
        <v>113</v>
      </c>
      <c r="R5826" t="str">
        <f>"508-07-776"</f>
        <v>508-07-776</v>
      </c>
      <c r="S5826" t="s">
        <v>22336</v>
      </c>
      <c r="U5826">
        <v>2904</v>
      </c>
      <c r="V5826">
        <v>0</v>
      </c>
      <c r="W5826">
        <v>5</v>
      </c>
      <c r="X5826">
        <v>2002</v>
      </c>
      <c r="Z5826">
        <v>1</v>
      </c>
      <c r="AA5826" t="s">
        <v>26</v>
      </c>
      <c r="AB5826">
        <v>0</v>
      </c>
      <c r="AC5826" t="s">
        <v>115</v>
      </c>
      <c r="AD5826">
        <v>3</v>
      </c>
      <c r="AE5826" t="s">
        <v>115</v>
      </c>
      <c r="AF5826">
        <v>0</v>
      </c>
      <c r="AG5826">
        <v>0</v>
      </c>
      <c r="AH5826" t="s">
        <v>116</v>
      </c>
      <c r="AI5826" s="1">
        <v>79889</v>
      </c>
      <c r="AJ5826" s="2">
        <v>0.19</v>
      </c>
      <c r="AK5826" s="1">
        <v>411388</v>
      </c>
      <c r="AL5826" t="s">
        <v>117</v>
      </c>
      <c r="AM5826" t="s">
        <v>1302</v>
      </c>
      <c r="AN5826">
        <v>13509</v>
      </c>
      <c r="AO5826">
        <v>0.31</v>
      </c>
      <c r="AP5826">
        <v>1</v>
      </c>
      <c r="AR5826">
        <v>1</v>
      </c>
      <c r="AS5826" s="1">
        <v>30680</v>
      </c>
      <c r="AT5826" s="1">
        <v>6130</v>
      </c>
      <c r="AU5826" s="1">
        <v>24550</v>
      </c>
      <c r="AV5826">
        <v>80.02</v>
      </c>
      <c r="AX5826" s="1">
        <v>2571.6999999999998</v>
      </c>
      <c r="AY5826" t="s">
        <v>6700</v>
      </c>
      <c r="AZ5826" t="s">
        <v>6701</v>
      </c>
      <c r="BA5826" t="s">
        <v>6702</v>
      </c>
      <c r="BE5826" s="3">
        <v>42068</v>
      </c>
      <c r="BF5826" s="1">
        <v>320000</v>
      </c>
      <c r="BG5826" t="s">
        <v>35661</v>
      </c>
      <c r="BH5826" s="1">
        <v>110.19</v>
      </c>
      <c r="BI5826" s="1">
        <v>331499</v>
      </c>
      <c r="BJ5826" s="3">
        <v>42654</v>
      </c>
      <c r="BK5826" t="s">
        <v>123</v>
      </c>
      <c r="BL5826" t="str">
        <f>"2016.742964"</f>
        <v>2016.742964</v>
      </c>
      <c r="BM5826" t="s">
        <v>361</v>
      </c>
      <c r="BO5826" t="s">
        <v>35662</v>
      </c>
      <c r="BS5826">
        <v>30</v>
      </c>
      <c r="BW5826" t="str">
        <f>""</f>
        <v/>
      </c>
      <c r="CH5826" t="str">
        <f>""</f>
        <v/>
      </c>
      <c r="CS5826" t="str">
        <f>""</f>
        <v/>
      </c>
    </row>
    <row r="5827" spans="1:97" x14ac:dyDescent="0.25">
      <c r="A5827" t="s">
        <v>1850</v>
      </c>
      <c r="B5827" t="s">
        <v>35663</v>
      </c>
      <c r="C5827" t="s">
        <v>2395</v>
      </c>
      <c r="D5827" t="s">
        <v>35663</v>
      </c>
      <c r="E5827" t="s">
        <v>35664</v>
      </c>
      <c r="F5827" t="s">
        <v>108</v>
      </c>
      <c r="H5827" t="s">
        <v>35665</v>
      </c>
      <c r="I5827" t="s">
        <v>499</v>
      </c>
      <c r="J5827" t="s">
        <v>111</v>
      </c>
      <c r="K5827" t="str">
        <f>"85395"</f>
        <v>85395</v>
      </c>
      <c r="L5827" t="s">
        <v>500</v>
      </c>
      <c r="M5827" t="s">
        <v>35665</v>
      </c>
      <c r="N5827" t="s">
        <v>499</v>
      </c>
      <c r="O5827" t="s">
        <v>111</v>
      </c>
      <c r="P5827" t="str">
        <f>"85395-5201"</f>
        <v>85395-5201</v>
      </c>
      <c r="Q5827" t="s">
        <v>113</v>
      </c>
      <c r="R5827" t="str">
        <f>"502-30-134"</f>
        <v>502-30-134</v>
      </c>
      <c r="S5827" t="s">
        <v>18181</v>
      </c>
      <c r="T5827" t="s">
        <v>502</v>
      </c>
      <c r="U5827">
        <v>5023</v>
      </c>
      <c r="V5827">
        <v>0</v>
      </c>
      <c r="W5827">
        <v>7</v>
      </c>
      <c r="X5827">
        <v>2011</v>
      </c>
      <c r="Z5827">
        <v>2</v>
      </c>
      <c r="AA5827" t="s">
        <v>26</v>
      </c>
      <c r="AB5827">
        <v>0</v>
      </c>
      <c r="AC5827" t="s">
        <v>115</v>
      </c>
      <c r="AD5827">
        <v>3</v>
      </c>
      <c r="AE5827" t="s">
        <v>115</v>
      </c>
      <c r="AF5827">
        <v>0</v>
      </c>
      <c r="AG5827">
        <v>0</v>
      </c>
      <c r="AH5827" t="s">
        <v>116</v>
      </c>
      <c r="AI5827" s="1">
        <v>184773</v>
      </c>
      <c r="AJ5827" s="2">
        <v>0.35</v>
      </c>
      <c r="AK5827" s="1">
        <v>525732</v>
      </c>
      <c r="AL5827" t="s">
        <v>117</v>
      </c>
      <c r="AM5827" t="s">
        <v>118</v>
      </c>
      <c r="AN5827">
        <v>18868</v>
      </c>
      <c r="AO5827">
        <v>0.43</v>
      </c>
      <c r="AR5827">
        <v>1</v>
      </c>
      <c r="AS5827" s="1">
        <v>40200</v>
      </c>
      <c r="AT5827" s="1">
        <v>8040</v>
      </c>
      <c r="AU5827" s="1">
        <v>32160</v>
      </c>
      <c r="AV5827">
        <v>80</v>
      </c>
      <c r="AX5827" s="1">
        <v>4287.9799999999996</v>
      </c>
      <c r="AY5827" t="s">
        <v>503</v>
      </c>
      <c r="AZ5827" t="s">
        <v>504</v>
      </c>
      <c r="BA5827" t="s">
        <v>218</v>
      </c>
      <c r="BE5827" s="3">
        <v>42536</v>
      </c>
      <c r="BF5827" s="1">
        <v>449000</v>
      </c>
      <c r="BG5827" t="s">
        <v>35666</v>
      </c>
      <c r="BH5827" s="1">
        <v>89.39</v>
      </c>
      <c r="BI5827" s="1">
        <v>340959</v>
      </c>
      <c r="BJ5827" s="3">
        <v>42536</v>
      </c>
      <c r="BK5827" t="s">
        <v>123</v>
      </c>
      <c r="BL5827" t="str">
        <f>"2016.416242"</f>
        <v>2016.416242</v>
      </c>
      <c r="BM5827" t="s">
        <v>699</v>
      </c>
      <c r="BO5827" t="s">
        <v>35667</v>
      </c>
      <c r="BS5827">
        <v>15</v>
      </c>
      <c r="BW5827" t="str">
        <f>""</f>
        <v/>
      </c>
      <c r="CH5827" t="str">
        <f>""</f>
        <v/>
      </c>
      <c r="CS5827" t="str">
        <f>""</f>
        <v/>
      </c>
    </row>
    <row r="5828" spans="1:97" x14ac:dyDescent="0.25">
      <c r="A5828" t="s">
        <v>1465</v>
      </c>
      <c r="B5828" t="s">
        <v>35668</v>
      </c>
      <c r="C5828" t="s">
        <v>2719</v>
      </c>
      <c r="D5828" t="s">
        <v>35668</v>
      </c>
      <c r="E5828" t="s">
        <v>35669</v>
      </c>
      <c r="F5828" t="s">
        <v>108</v>
      </c>
      <c r="H5828" t="s">
        <v>35670</v>
      </c>
      <c r="I5828" t="s">
        <v>225</v>
      </c>
      <c r="J5828" t="s">
        <v>111</v>
      </c>
      <c r="K5828" t="str">
        <f>"85212"</f>
        <v>85212</v>
      </c>
      <c r="L5828" t="s">
        <v>7619</v>
      </c>
      <c r="M5828" t="s">
        <v>35670</v>
      </c>
      <c r="N5828" t="s">
        <v>225</v>
      </c>
      <c r="O5828" t="s">
        <v>111</v>
      </c>
      <c r="P5828" t="str">
        <f>"85212-2514"</f>
        <v>85212-2514</v>
      </c>
      <c r="Q5828" t="s">
        <v>113</v>
      </c>
      <c r="R5828" t="str">
        <f>"304-34-654"</f>
        <v>304-34-654</v>
      </c>
      <c r="S5828" t="s">
        <v>14396</v>
      </c>
      <c r="T5828" t="s">
        <v>7621</v>
      </c>
      <c r="U5828">
        <v>2261</v>
      </c>
      <c r="V5828">
        <v>0</v>
      </c>
      <c r="W5828">
        <v>4</v>
      </c>
      <c r="X5828">
        <v>2014</v>
      </c>
      <c r="Z5828">
        <v>1</v>
      </c>
      <c r="AB5828">
        <v>0</v>
      </c>
      <c r="AC5828" t="s">
        <v>115</v>
      </c>
      <c r="AD5828">
        <v>3</v>
      </c>
      <c r="AE5828" t="s">
        <v>115</v>
      </c>
      <c r="AF5828">
        <v>0</v>
      </c>
      <c r="AG5828">
        <v>0</v>
      </c>
      <c r="AH5828" t="s">
        <v>116</v>
      </c>
      <c r="AI5828" s="1">
        <v>38655</v>
      </c>
      <c r="AJ5828" s="2">
        <v>0.1</v>
      </c>
      <c r="AK5828" s="1">
        <v>371001</v>
      </c>
      <c r="AL5828" t="s">
        <v>117</v>
      </c>
      <c r="AM5828" t="s">
        <v>191</v>
      </c>
      <c r="AN5828">
        <v>8138</v>
      </c>
      <c r="AO5828">
        <v>0.19</v>
      </c>
      <c r="AR5828">
        <v>1</v>
      </c>
      <c r="AS5828" s="1">
        <v>26000</v>
      </c>
      <c r="AT5828" s="1">
        <v>5200</v>
      </c>
      <c r="AU5828" s="1">
        <v>20800</v>
      </c>
      <c r="AV5828">
        <v>80</v>
      </c>
      <c r="AX5828" s="1">
        <v>1980.32</v>
      </c>
      <c r="AY5828" t="s">
        <v>776</v>
      </c>
      <c r="AZ5828" t="s">
        <v>777</v>
      </c>
      <c r="BA5828" t="s">
        <v>572</v>
      </c>
      <c r="BE5828" s="3">
        <v>41684</v>
      </c>
      <c r="BF5828" s="1">
        <v>323193</v>
      </c>
      <c r="BG5828" t="s">
        <v>749</v>
      </c>
      <c r="BH5828" s="1">
        <v>142.94</v>
      </c>
      <c r="BI5828" s="1">
        <v>332346</v>
      </c>
      <c r="BJ5828" s="3">
        <v>42167</v>
      </c>
      <c r="BK5828" t="s">
        <v>123</v>
      </c>
      <c r="BL5828" t="str">
        <f>"2015.418444"</f>
        <v>2015.418444</v>
      </c>
      <c r="BM5828" t="s">
        <v>402</v>
      </c>
      <c r="BO5828" t="s">
        <v>35671</v>
      </c>
      <c r="BS5828">
        <v>30</v>
      </c>
      <c r="BW5828" t="str">
        <f>""</f>
        <v/>
      </c>
      <c r="CH5828" t="str">
        <f>""</f>
        <v/>
      </c>
      <c r="CS5828" t="str">
        <f>""</f>
        <v/>
      </c>
    </row>
    <row r="5829" spans="1:97" x14ac:dyDescent="0.25">
      <c r="A5829" t="s">
        <v>35672</v>
      </c>
      <c r="B5829" t="s">
        <v>16253</v>
      </c>
      <c r="C5829" t="s">
        <v>35673</v>
      </c>
      <c r="D5829" t="s">
        <v>16253</v>
      </c>
      <c r="E5829" t="s">
        <v>35674</v>
      </c>
      <c r="F5829" t="s">
        <v>108</v>
      </c>
      <c r="H5829" t="s">
        <v>35675</v>
      </c>
      <c r="I5829" t="s">
        <v>203</v>
      </c>
      <c r="J5829" t="s">
        <v>111</v>
      </c>
      <c r="K5829" t="str">
        <f>"85234"</f>
        <v>85234</v>
      </c>
      <c r="L5829" t="s">
        <v>4259</v>
      </c>
      <c r="M5829" t="s">
        <v>35675</v>
      </c>
      <c r="N5829" t="s">
        <v>203</v>
      </c>
      <c r="O5829" t="s">
        <v>111</v>
      </c>
      <c r="P5829" t="str">
        <f>"85234-7667"</f>
        <v>85234-7667</v>
      </c>
      <c r="Q5829" t="s">
        <v>113</v>
      </c>
      <c r="R5829" t="str">
        <f>"304-16-410"</f>
        <v>304-16-410</v>
      </c>
      <c r="S5829" t="s">
        <v>35676</v>
      </c>
      <c r="T5829" t="s">
        <v>16626</v>
      </c>
      <c r="U5829">
        <v>2918</v>
      </c>
      <c r="V5829">
        <v>0</v>
      </c>
      <c r="W5829">
        <v>5</v>
      </c>
      <c r="X5829">
        <v>2001</v>
      </c>
      <c r="Z5829">
        <v>2</v>
      </c>
      <c r="AA5829" t="s">
        <v>26</v>
      </c>
      <c r="AB5829">
        <v>0</v>
      </c>
      <c r="AC5829" t="s">
        <v>115</v>
      </c>
      <c r="AD5829">
        <v>3</v>
      </c>
      <c r="AE5829" t="s">
        <v>115</v>
      </c>
      <c r="AF5829">
        <v>0</v>
      </c>
      <c r="AG5829">
        <v>0</v>
      </c>
      <c r="AH5829" t="s">
        <v>116</v>
      </c>
      <c r="AI5829" s="1">
        <v>42943</v>
      </c>
      <c r="AJ5829" s="2">
        <v>0.1</v>
      </c>
      <c r="AK5829" s="1">
        <v>433443</v>
      </c>
      <c r="AL5829" t="s">
        <v>117</v>
      </c>
      <c r="AM5829" t="s">
        <v>393</v>
      </c>
      <c r="AN5829">
        <v>11029</v>
      </c>
      <c r="AO5829">
        <v>0.25</v>
      </c>
      <c r="AP5829">
        <v>1</v>
      </c>
      <c r="AR5829">
        <v>1</v>
      </c>
      <c r="AS5829" s="1">
        <v>32230</v>
      </c>
      <c r="AT5829" s="1">
        <v>6440</v>
      </c>
      <c r="AU5829" s="1">
        <v>25790</v>
      </c>
      <c r="AV5829">
        <v>80.02</v>
      </c>
      <c r="AX5829" s="1">
        <v>2470.16</v>
      </c>
      <c r="AY5829" t="s">
        <v>7213</v>
      </c>
      <c r="AZ5829" t="s">
        <v>571</v>
      </c>
      <c r="BA5829" t="s">
        <v>521</v>
      </c>
      <c r="BE5829" s="3">
        <v>42369</v>
      </c>
      <c r="BF5829" s="1">
        <v>345000</v>
      </c>
      <c r="BG5829" t="s">
        <v>35677</v>
      </c>
      <c r="BH5829" s="1">
        <v>118.23</v>
      </c>
      <c r="BI5829" s="1">
        <v>390500</v>
      </c>
      <c r="BJ5829" s="3">
        <v>43095</v>
      </c>
      <c r="BK5829" t="s">
        <v>123</v>
      </c>
      <c r="BL5829" t="str">
        <f>"2017.952961"</f>
        <v>2017.952961</v>
      </c>
      <c r="BM5829" t="s">
        <v>4885</v>
      </c>
      <c r="BO5829" t="s">
        <v>35678</v>
      </c>
      <c r="BS5829">
        <v>31</v>
      </c>
      <c r="BW5829" t="str">
        <f>""</f>
        <v/>
      </c>
      <c r="CH5829" t="str">
        <f>""</f>
        <v/>
      </c>
      <c r="CS5829" t="str">
        <f>""</f>
        <v/>
      </c>
    </row>
    <row r="5830" spans="1:97" x14ac:dyDescent="0.25">
      <c r="B5830" t="s">
        <v>35679</v>
      </c>
      <c r="E5830" t="s">
        <v>1089</v>
      </c>
      <c r="F5830" t="s">
        <v>108</v>
      </c>
      <c r="H5830" t="s">
        <v>35680</v>
      </c>
      <c r="I5830" t="s">
        <v>499</v>
      </c>
      <c r="J5830" t="s">
        <v>111</v>
      </c>
      <c r="K5830" t="str">
        <f>"85338"</f>
        <v>85338</v>
      </c>
      <c r="L5830" t="s">
        <v>1796</v>
      </c>
      <c r="M5830" t="s">
        <v>35680</v>
      </c>
      <c r="N5830" t="s">
        <v>499</v>
      </c>
      <c r="O5830" t="s">
        <v>111</v>
      </c>
      <c r="P5830" t="str">
        <f>"85338-2646"</f>
        <v>85338-2646</v>
      </c>
      <c r="Q5830" t="s">
        <v>113</v>
      </c>
      <c r="R5830" t="str">
        <f>"400-80-824"</f>
        <v>400-80-824</v>
      </c>
      <c r="S5830" t="s">
        <v>35681</v>
      </c>
      <c r="U5830">
        <v>3575</v>
      </c>
      <c r="V5830">
        <v>0</v>
      </c>
      <c r="W5830">
        <v>5</v>
      </c>
      <c r="X5830">
        <v>2010</v>
      </c>
      <c r="Z5830">
        <v>2</v>
      </c>
      <c r="AA5830" t="s">
        <v>26</v>
      </c>
      <c r="AB5830">
        <v>0</v>
      </c>
      <c r="AC5830" t="s">
        <v>115</v>
      </c>
      <c r="AD5830">
        <v>4</v>
      </c>
      <c r="AE5830" t="s">
        <v>115</v>
      </c>
      <c r="AF5830">
        <v>0</v>
      </c>
      <c r="AG5830">
        <v>0</v>
      </c>
      <c r="AH5830" t="s">
        <v>116</v>
      </c>
      <c r="AI5830" s="1">
        <v>55225</v>
      </c>
      <c r="AJ5830" s="2">
        <v>0.11</v>
      </c>
      <c r="AK5830" s="1">
        <v>497961</v>
      </c>
      <c r="AL5830" t="s">
        <v>117</v>
      </c>
      <c r="AM5830" t="s">
        <v>118</v>
      </c>
      <c r="AN5830">
        <v>8708</v>
      </c>
      <c r="AO5830">
        <v>0.2</v>
      </c>
      <c r="AR5830">
        <v>1</v>
      </c>
      <c r="AS5830" s="1">
        <v>36850</v>
      </c>
      <c r="AT5830" s="1">
        <v>7370</v>
      </c>
      <c r="AU5830" s="1">
        <v>29480</v>
      </c>
      <c r="AV5830">
        <v>80</v>
      </c>
      <c r="AX5830" s="1">
        <v>4603.82</v>
      </c>
      <c r="AY5830" t="s">
        <v>1246</v>
      </c>
      <c r="AZ5830" t="s">
        <v>1246</v>
      </c>
      <c r="BA5830" t="s">
        <v>1247</v>
      </c>
      <c r="BB5830" s="3">
        <v>42276</v>
      </c>
      <c r="BD5830" t="s">
        <v>240</v>
      </c>
      <c r="BE5830" s="3">
        <v>42215</v>
      </c>
      <c r="BF5830" s="1">
        <v>371000</v>
      </c>
      <c r="BG5830" t="s">
        <v>35682</v>
      </c>
      <c r="BH5830" s="1">
        <v>103.78</v>
      </c>
      <c r="BI5830" s="1">
        <v>357736</v>
      </c>
      <c r="BJ5830" s="3">
        <v>42215</v>
      </c>
      <c r="BK5830" t="s">
        <v>123</v>
      </c>
      <c r="BL5830" t="str">
        <f>"2015.552455"</f>
        <v>2015.552455</v>
      </c>
      <c r="BM5830" t="s">
        <v>1033</v>
      </c>
      <c r="BO5830" t="s">
        <v>35679</v>
      </c>
      <c r="BS5830">
        <v>30</v>
      </c>
      <c r="BT5830" s="1">
        <v>85000</v>
      </c>
      <c r="BU5830" s="3">
        <v>42276</v>
      </c>
      <c r="BV5830" t="s">
        <v>134</v>
      </c>
      <c r="BW5830" t="str">
        <f>"2015.701399"</f>
        <v>2015.701399</v>
      </c>
      <c r="BX5830" t="s">
        <v>369</v>
      </c>
      <c r="BZ5830" t="s">
        <v>35683</v>
      </c>
      <c r="CD5830">
        <v>15</v>
      </c>
      <c r="CH5830" t="str">
        <f>""</f>
        <v/>
      </c>
      <c r="CS5830" t="str">
        <f>""</f>
        <v/>
      </c>
    </row>
    <row r="5831" spans="1:97" x14ac:dyDescent="0.25">
      <c r="A5831" t="s">
        <v>1727</v>
      </c>
      <c r="B5831" t="s">
        <v>35684</v>
      </c>
      <c r="C5831" t="s">
        <v>10830</v>
      </c>
      <c r="D5831" t="s">
        <v>35684</v>
      </c>
      <c r="E5831" t="s">
        <v>35685</v>
      </c>
      <c r="F5831" t="s">
        <v>108</v>
      </c>
      <c r="H5831" t="s">
        <v>35686</v>
      </c>
      <c r="I5831" t="s">
        <v>188</v>
      </c>
      <c r="J5831" t="s">
        <v>111</v>
      </c>
      <c r="K5831" t="str">
        <f>"85142"</f>
        <v>85142</v>
      </c>
      <c r="L5831" t="s">
        <v>5775</v>
      </c>
      <c r="M5831" t="s">
        <v>35686</v>
      </c>
      <c r="N5831" t="s">
        <v>188</v>
      </c>
      <c r="O5831" t="s">
        <v>111</v>
      </c>
      <c r="P5831" t="str">
        <f>"85142-6882"</f>
        <v>85142-6882</v>
      </c>
      <c r="Q5831" t="s">
        <v>113</v>
      </c>
      <c r="R5831" t="str">
        <f>"314-05-420"</f>
        <v>314-05-420</v>
      </c>
      <c r="S5831" t="s">
        <v>35687</v>
      </c>
      <c r="U5831">
        <v>2545</v>
      </c>
      <c r="V5831">
        <v>0</v>
      </c>
      <c r="W5831">
        <v>4</v>
      </c>
      <c r="X5831">
        <v>2005</v>
      </c>
      <c r="Z5831">
        <v>2</v>
      </c>
      <c r="AA5831" t="s">
        <v>26</v>
      </c>
      <c r="AB5831">
        <v>0</v>
      </c>
      <c r="AC5831" t="s">
        <v>115</v>
      </c>
      <c r="AD5831">
        <v>3</v>
      </c>
      <c r="AE5831" t="s">
        <v>115</v>
      </c>
      <c r="AF5831">
        <v>0</v>
      </c>
      <c r="AG5831">
        <v>0</v>
      </c>
      <c r="AH5831" t="s">
        <v>116</v>
      </c>
      <c r="AI5831" s="1">
        <v>76535</v>
      </c>
      <c r="AJ5831" s="2">
        <v>0.2</v>
      </c>
      <c r="AK5831" s="1">
        <v>379535</v>
      </c>
      <c r="AL5831" t="s">
        <v>117</v>
      </c>
      <c r="AM5831" t="s">
        <v>191</v>
      </c>
      <c r="AN5831">
        <v>8386</v>
      </c>
      <c r="AO5831">
        <v>0.19</v>
      </c>
      <c r="AP5831">
        <v>1</v>
      </c>
      <c r="AR5831">
        <v>1</v>
      </c>
      <c r="AS5831" s="1">
        <v>26620</v>
      </c>
      <c r="AT5831" s="1">
        <v>5320</v>
      </c>
      <c r="AU5831" s="1">
        <v>21300</v>
      </c>
      <c r="AV5831">
        <v>80.02</v>
      </c>
      <c r="AX5831" s="1">
        <v>2427.3000000000002</v>
      </c>
      <c r="AY5831" t="s">
        <v>5792</v>
      </c>
      <c r="AZ5831" t="s">
        <v>5792</v>
      </c>
      <c r="BA5831" t="s">
        <v>290</v>
      </c>
      <c r="BE5831" s="3">
        <v>42346</v>
      </c>
      <c r="BF5831" s="1">
        <v>303000</v>
      </c>
      <c r="BG5831" t="s">
        <v>35688</v>
      </c>
      <c r="BH5831" s="1">
        <v>119.06</v>
      </c>
      <c r="BI5831" s="1">
        <v>303000</v>
      </c>
      <c r="BJ5831" s="3">
        <v>42346</v>
      </c>
      <c r="BK5831" t="s">
        <v>123</v>
      </c>
      <c r="BL5831" t="str">
        <f>"2015.867977"</f>
        <v>2015.867977</v>
      </c>
      <c r="BM5831" t="s">
        <v>1185</v>
      </c>
      <c r="BO5831" t="s">
        <v>35689</v>
      </c>
      <c r="BS5831">
        <v>30</v>
      </c>
      <c r="BW5831" t="str">
        <f>""</f>
        <v/>
      </c>
      <c r="CH5831" t="str">
        <f>""</f>
        <v/>
      </c>
      <c r="CS5831" t="str">
        <f>""</f>
        <v/>
      </c>
    </row>
    <row r="5832" spans="1:97" x14ac:dyDescent="0.25">
      <c r="A5832" t="s">
        <v>140</v>
      </c>
      <c r="B5832" t="s">
        <v>21035</v>
      </c>
      <c r="C5832" t="s">
        <v>35690</v>
      </c>
      <c r="D5832" t="s">
        <v>21035</v>
      </c>
      <c r="E5832" t="s">
        <v>35691</v>
      </c>
      <c r="F5832" t="s">
        <v>108</v>
      </c>
      <c r="H5832" t="s">
        <v>35692</v>
      </c>
      <c r="I5832" t="s">
        <v>4251</v>
      </c>
      <c r="J5832" t="s">
        <v>111</v>
      </c>
      <c r="K5832" t="str">
        <f>"85353"</f>
        <v>85353</v>
      </c>
      <c r="L5832" t="s">
        <v>3885</v>
      </c>
      <c r="M5832" t="s">
        <v>35692</v>
      </c>
      <c r="N5832" t="s">
        <v>4251</v>
      </c>
      <c r="O5832" t="s">
        <v>111</v>
      </c>
      <c r="P5832" t="str">
        <f>"85353-1256"</f>
        <v>85353-1256</v>
      </c>
      <c r="Q5832" t="s">
        <v>113</v>
      </c>
      <c r="R5832" t="str">
        <f>"101-20-755"</f>
        <v>101-20-755</v>
      </c>
      <c r="S5832" t="s">
        <v>17224</v>
      </c>
      <c r="U5832">
        <v>1785</v>
      </c>
      <c r="V5832">
        <v>0</v>
      </c>
      <c r="W5832">
        <v>2</v>
      </c>
      <c r="X5832">
        <v>2015</v>
      </c>
      <c r="Z5832">
        <v>1</v>
      </c>
      <c r="AA5832" t="s">
        <v>26</v>
      </c>
      <c r="AB5832">
        <v>0</v>
      </c>
      <c r="AC5832" t="s">
        <v>115</v>
      </c>
      <c r="AD5832">
        <v>2</v>
      </c>
      <c r="AE5832" t="s">
        <v>115</v>
      </c>
      <c r="AF5832">
        <v>0</v>
      </c>
      <c r="AG5832">
        <v>0</v>
      </c>
      <c r="AH5832" t="s">
        <v>116</v>
      </c>
      <c r="AI5832" s="1">
        <v>61466</v>
      </c>
      <c r="AJ5832" s="2">
        <v>0.22</v>
      </c>
      <c r="AK5832" s="1">
        <v>281466</v>
      </c>
      <c r="AL5832" t="s">
        <v>117</v>
      </c>
      <c r="AM5832" t="s">
        <v>191</v>
      </c>
      <c r="AN5832">
        <v>7798</v>
      </c>
      <c r="AO5832">
        <v>0.18</v>
      </c>
      <c r="AR5832">
        <v>1</v>
      </c>
      <c r="AS5832" s="1">
        <v>20760</v>
      </c>
      <c r="AT5832" s="1">
        <v>4150</v>
      </c>
      <c r="AU5832" s="1">
        <v>16610</v>
      </c>
      <c r="AV5832">
        <v>80.010000000000005</v>
      </c>
      <c r="AX5832" s="1">
        <v>2372.3200000000002</v>
      </c>
      <c r="AY5832" t="s">
        <v>4253</v>
      </c>
      <c r="AZ5832" t="s">
        <v>4253</v>
      </c>
      <c r="BA5832" t="s">
        <v>4254</v>
      </c>
      <c r="BE5832" s="3">
        <v>42144</v>
      </c>
      <c r="BF5832" s="1">
        <v>204308</v>
      </c>
      <c r="BG5832" t="s">
        <v>209</v>
      </c>
      <c r="BH5832" s="1">
        <v>114.46</v>
      </c>
      <c r="BI5832" s="1">
        <v>220000</v>
      </c>
      <c r="BJ5832" s="3">
        <v>42144</v>
      </c>
      <c r="BK5832" t="s">
        <v>123</v>
      </c>
      <c r="BL5832" t="str">
        <f>"2015.356644"</f>
        <v>2015.356644</v>
      </c>
      <c r="BM5832" t="s">
        <v>175</v>
      </c>
      <c r="BO5832" t="s">
        <v>35693</v>
      </c>
      <c r="BS5832">
        <v>30</v>
      </c>
      <c r="BW5832" t="str">
        <f>""</f>
        <v/>
      </c>
      <c r="CH5832" t="str">
        <f>""</f>
        <v/>
      </c>
      <c r="CS5832" t="str">
        <f>""</f>
        <v/>
      </c>
    </row>
    <row r="5833" spans="1:97" x14ac:dyDescent="0.25">
      <c r="A5833" t="s">
        <v>4554</v>
      </c>
      <c r="B5833" t="s">
        <v>19468</v>
      </c>
      <c r="E5833" t="s">
        <v>35694</v>
      </c>
      <c r="F5833" t="s">
        <v>108</v>
      </c>
      <c r="H5833" t="s">
        <v>35695</v>
      </c>
      <c r="I5833" t="s">
        <v>632</v>
      </c>
      <c r="J5833" t="s">
        <v>111</v>
      </c>
      <c r="K5833" t="str">
        <f>"85374"</f>
        <v>85374</v>
      </c>
      <c r="L5833" t="s">
        <v>5514</v>
      </c>
      <c r="M5833" t="s">
        <v>35695</v>
      </c>
      <c r="N5833" t="s">
        <v>632</v>
      </c>
      <c r="O5833" t="s">
        <v>111</v>
      </c>
      <c r="P5833" t="str">
        <f>"85374-6883"</f>
        <v>85374-6883</v>
      </c>
      <c r="Q5833" t="s">
        <v>113</v>
      </c>
      <c r="R5833" t="str">
        <f>"232-39-396"</f>
        <v>232-39-396</v>
      </c>
      <c r="S5833" t="s">
        <v>16744</v>
      </c>
      <c r="U5833">
        <v>3014</v>
      </c>
      <c r="V5833">
        <v>0</v>
      </c>
      <c r="W5833">
        <v>4</v>
      </c>
      <c r="X5833">
        <v>2001</v>
      </c>
      <c r="Z5833">
        <v>2</v>
      </c>
      <c r="AA5833" t="s">
        <v>26</v>
      </c>
      <c r="AB5833">
        <v>0</v>
      </c>
      <c r="AC5833" t="s">
        <v>115</v>
      </c>
      <c r="AD5833">
        <v>3</v>
      </c>
      <c r="AE5833" t="s">
        <v>115</v>
      </c>
      <c r="AF5833">
        <v>0</v>
      </c>
      <c r="AG5833">
        <v>0</v>
      </c>
      <c r="AH5833" t="s">
        <v>116</v>
      </c>
      <c r="AI5833" s="1">
        <v>81872</v>
      </c>
      <c r="AJ5833" s="2">
        <v>0.23</v>
      </c>
      <c r="AK5833" s="1">
        <v>351172</v>
      </c>
      <c r="AL5833" t="s">
        <v>117</v>
      </c>
      <c r="AM5833" t="s">
        <v>5516</v>
      </c>
      <c r="AN5833">
        <v>9946</v>
      </c>
      <c r="AO5833">
        <v>0.23</v>
      </c>
      <c r="AP5833">
        <v>1</v>
      </c>
      <c r="AR5833">
        <v>1</v>
      </c>
      <c r="AS5833" s="1">
        <v>24930</v>
      </c>
      <c r="AT5833" s="1">
        <v>4980</v>
      </c>
      <c r="AU5833" s="1">
        <v>19950</v>
      </c>
      <c r="AV5833">
        <v>80.02</v>
      </c>
      <c r="AX5833" s="1">
        <v>1834.98</v>
      </c>
      <c r="AY5833" t="s">
        <v>5517</v>
      </c>
      <c r="AZ5833" t="s">
        <v>5517</v>
      </c>
      <c r="BA5833" t="s">
        <v>5109</v>
      </c>
      <c r="BE5833" s="3">
        <v>41922</v>
      </c>
      <c r="BF5833" s="1">
        <v>265700</v>
      </c>
      <c r="BG5833" t="s">
        <v>35696</v>
      </c>
      <c r="BH5833" s="1">
        <v>88.16</v>
      </c>
      <c r="BI5833" s="1">
        <v>269300</v>
      </c>
      <c r="BJ5833" s="3">
        <v>42639</v>
      </c>
      <c r="BK5833" t="s">
        <v>123</v>
      </c>
      <c r="BL5833" t="str">
        <f>"2016.698114"</f>
        <v>2016.698114</v>
      </c>
      <c r="BM5833" t="s">
        <v>5747</v>
      </c>
      <c r="BO5833" t="s">
        <v>35697</v>
      </c>
      <c r="BS5833">
        <v>30</v>
      </c>
      <c r="BW5833" t="str">
        <f>""</f>
        <v/>
      </c>
      <c r="CH5833" t="str">
        <f>""</f>
        <v/>
      </c>
      <c r="CS5833" t="str">
        <f>""</f>
        <v/>
      </c>
    </row>
    <row r="5834" spans="1:97" x14ac:dyDescent="0.25">
      <c r="A5834" t="s">
        <v>1344</v>
      </c>
      <c r="B5834" t="s">
        <v>35698</v>
      </c>
      <c r="C5834" t="s">
        <v>35699</v>
      </c>
      <c r="D5834" t="s">
        <v>35698</v>
      </c>
      <c r="E5834" t="s">
        <v>35700</v>
      </c>
      <c r="F5834" t="s">
        <v>108</v>
      </c>
      <c r="H5834" t="s">
        <v>35701</v>
      </c>
      <c r="I5834" t="s">
        <v>188</v>
      </c>
      <c r="J5834" t="s">
        <v>111</v>
      </c>
      <c r="K5834" t="str">
        <f>"85142"</f>
        <v>85142</v>
      </c>
      <c r="L5834" t="s">
        <v>5893</v>
      </c>
      <c r="M5834" t="s">
        <v>35701</v>
      </c>
      <c r="N5834" t="s">
        <v>188</v>
      </c>
      <c r="O5834" t="s">
        <v>111</v>
      </c>
      <c r="P5834" t="str">
        <f>"85142-4833"</f>
        <v>85142-4833</v>
      </c>
      <c r="Q5834" t="s">
        <v>113</v>
      </c>
      <c r="R5834" t="str">
        <f>"314-04-695"</f>
        <v>314-04-695</v>
      </c>
      <c r="S5834" t="s">
        <v>5894</v>
      </c>
      <c r="T5834" t="s">
        <v>5894</v>
      </c>
      <c r="U5834">
        <v>3013</v>
      </c>
      <c r="V5834">
        <v>0</v>
      </c>
      <c r="W5834">
        <v>3</v>
      </c>
      <c r="X5834">
        <v>2015</v>
      </c>
      <c r="Z5834">
        <v>1</v>
      </c>
      <c r="AB5834">
        <v>0</v>
      </c>
      <c r="AC5834" t="s">
        <v>115</v>
      </c>
      <c r="AD5834">
        <v>2</v>
      </c>
      <c r="AE5834" t="s">
        <v>115</v>
      </c>
      <c r="AF5834">
        <v>0</v>
      </c>
      <c r="AG5834">
        <v>0</v>
      </c>
      <c r="AH5834" t="s">
        <v>116</v>
      </c>
      <c r="AI5834" s="1">
        <v>71562</v>
      </c>
      <c r="AJ5834" s="2">
        <v>0.18</v>
      </c>
      <c r="AK5834" s="1">
        <v>407863</v>
      </c>
      <c r="AL5834" t="s">
        <v>117</v>
      </c>
      <c r="AM5834" t="s">
        <v>171</v>
      </c>
      <c r="AN5834">
        <v>9213</v>
      </c>
      <c r="AO5834">
        <v>0.21</v>
      </c>
      <c r="AR5834">
        <v>1</v>
      </c>
      <c r="AS5834" s="1">
        <v>29020</v>
      </c>
      <c r="AT5834" s="1">
        <v>5800</v>
      </c>
      <c r="AU5834" s="1">
        <v>23220</v>
      </c>
      <c r="AV5834">
        <v>80.010000000000005</v>
      </c>
      <c r="AX5834" s="1">
        <v>2616.44</v>
      </c>
      <c r="AY5834" t="s">
        <v>5895</v>
      </c>
      <c r="AZ5834" t="s">
        <v>561</v>
      </c>
      <c r="BA5834" t="s">
        <v>194</v>
      </c>
      <c r="BE5834" s="3">
        <v>42459</v>
      </c>
      <c r="BF5834" s="1">
        <v>331921</v>
      </c>
      <c r="BG5834" t="s">
        <v>1079</v>
      </c>
      <c r="BH5834" s="1">
        <v>110.16</v>
      </c>
      <c r="BI5834" s="1">
        <v>336301</v>
      </c>
      <c r="BJ5834" s="3">
        <v>42881</v>
      </c>
      <c r="BK5834" t="s">
        <v>123</v>
      </c>
      <c r="BL5834" t="str">
        <f>"2017.385388"</f>
        <v>2017.385388</v>
      </c>
      <c r="BM5834" t="s">
        <v>322</v>
      </c>
      <c r="BN5834" t="s">
        <v>534</v>
      </c>
      <c r="BO5834" t="s">
        <v>35702</v>
      </c>
      <c r="BS5834">
        <v>30</v>
      </c>
      <c r="BT5834" s="1">
        <v>336301</v>
      </c>
      <c r="BU5834" s="3">
        <v>42881</v>
      </c>
      <c r="BV5834" t="s">
        <v>123</v>
      </c>
      <c r="BW5834" t="str">
        <f>"2017.385388"</f>
        <v>2017.385388</v>
      </c>
      <c r="BX5834" t="s">
        <v>322</v>
      </c>
      <c r="BZ5834" t="s">
        <v>35702</v>
      </c>
      <c r="CD5834">
        <v>30</v>
      </c>
      <c r="CH5834" t="str">
        <f>""</f>
        <v/>
      </c>
      <c r="CS5834" t="str">
        <f>""</f>
        <v/>
      </c>
    </row>
    <row r="5835" spans="1:97" x14ac:dyDescent="0.25">
      <c r="A5835" t="s">
        <v>2123</v>
      </c>
      <c r="B5835" t="s">
        <v>35703</v>
      </c>
      <c r="E5835" t="s">
        <v>35704</v>
      </c>
      <c r="F5835" t="s">
        <v>108</v>
      </c>
      <c r="H5835" t="s">
        <v>35705</v>
      </c>
      <c r="I5835" t="s">
        <v>453</v>
      </c>
      <c r="J5835" t="s">
        <v>111</v>
      </c>
      <c r="K5835" t="str">
        <f>"85382"</f>
        <v>85382</v>
      </c>
      <c r="L5835" t="s">
        <v>5325</v>
      </c>
      <c r="M5835" t="s">
        <v>35705</v>
      </c>
      <c r="N5835" t="s">
        <v>453</v>
      </c>
      <c r="O5835" t="s">
        <v>111</v>
      </c>
      <c r="P5835" t="str">
        <f>"85382-8111"</f>
        <v>85382-8111</v>
      </c>
      <c r="Q5835" t="s">
        <v>113</v>
      </c>
      <c r="R5835" t="str">
        <f>"231-20-146"</f>
        <v>231-20-146</v>
      </c>
      <c r="S5835" t="s">
        <v>35706</v>
      </c>
      <c r="T5835" t="s">
        <v>35706</v>
      </c>
      <c r="U5835">
        <v>2440</v>
      </c>
      <c r="V5835">
        <v>0</v>
      </c>
      <c r="W5835">
        <v>4</v>
      </c>
      <c r="X5835">
        <v>1998</v>
      </c>
      <c r="Z5835">
        <v>2</v>
      </c>
      <c r="AA5835" t="s">
        <v>26</v>
      </c>
      <c r="AB5835">
        <v>0</v>
      </c>
      <c r="AC5835" t="s">
        <v>115</v>
      </c>
      <c r="AD5835">
        <v>2</v>
      </c>
      <c r="AE5835" t="s">
        <v>115</v>
      </c>
      <c r="AF5835">
        <v>0</v>
      </c>
      <c r="AG5835">
        <v>0</v>
      </c>
      <c r="AH5835" t="s">
        <v>116</v>
      </c>
      <c r="AI5835" s="1">
        <v>103031</v>
      </c>
      <c r="AJ5835" s="2">
        <v>0.31</v>
      </c>
      <c r="AK5835" s="1">
        <v>330031</v>
      </c>
      <c r="AL5835" t="s">
        <v>117</v>
      </c>
      <c r="AM5835" t="s">
        <v>191</v>
      </c>
      <c r="AN5835">
        <v>6600</v>
      </c>
      <c r="AO5835">
        <v>0.15</v>
      </c>
      <c r="AP5835">
        <v>1</v>
      </c>
      <c r="AR5835">
        <v>1</v>
      </c>
      <c r="AS5835" s="1">
        <v>23320</v>
      </c>
      <c r="AT5835" s="1">
        <v>4660</v>
      </c>
      <c r="AU5835" s="1">
        <v>18660</v>
      </c>
      <c r="AV5835">
        <v>80.02</v>
      </c>
      <c r="AX5835" s="1">
        <v>1501.94</v>
      </c>
      <c r="AY5835" t="s">
        <v>7828</v>
      </c>
      <c r="AZ5835" t="s">
        <v>7828</v>
      </c>
      <c r="BA5835" t="s">
        <v>4219</v>
      </c>
      <c r="BE5835" s="3">
        <v>41858</v>
      </c>
      <c r="BF5835" s="1">
        <v>227000</v>
      </c>
      <c r="BG5835" t="s">
        <v>35707</v>
      </c>
      <c r="BH5835" s="1">
        <v>93.03</v>
      </c>
      <c r="BI5835" s="1">
        <v>227000</v>
      </c>
      <c r="BJ5835" s="3">
        <v>41858</v>
      </c>
      <c r="BK5835" t="s">
        <v>123</v>
      </c>
      <c r="BL5835" t="str">
        <f>"2014.522002"</f>
        <v>2014.522002</v>
      </c>
      <c r="BM5835" t="s">
        <v>2489</v>
      </c>
      <c r="BO5835" t="s">
        <v>35708</v>
      </c>
      <c r="BS5835">
        <v>30</v>
      </c>
      <c r="BW5835" t="str">
        <f>""</f>
        <v/>
      </c>
      <c r="CH5835" t="str">
        <f>""</f>
        <v/>
      </c>
      <c r="CS5835" t="str">
        <f>""</f>
        <v/>
      </c>
    </row>
    <row r="5836" spans="1:97" x14ac:dyDescent="0.25">
      <c r="A5836" t="s">
        <v>7405</v>
      </c>
      <c r="B5836" t="s">
        <v>22144</v>
      </c>
      <c r="C5836" t="s">
        <v>703</v>
      </c>
      <c r="D5836" t="s">
        <v>22144</v>
      </c>
      <c r="E5836" t="s">
        <v>35709</v>
      </c>
      <c r="F5836" t="s">
        <v>108</v>
      </c>
      <c r="H5836" t="s">
        <v>35710</v>
      </c>
      <c r="I5836" t="s">
        <v>390</v>
      </c>
      <c r="J5836" t="s">
        <v>111</v>
      </c>
      <c r="K5836" t="str">
        <f>"85029"</f>
        <v>85029</v>
      </c>
      <c r="L5836" t="s">
        <v>9069</v>
      </c>
      <c r="M5836" t="s">
        <v>35710</v>
      </c>
      <c r="N5836" t="s">
        <v>390</v>
      </c>
      <c r="O5836" t="s">
        <v>111</v>
      </c>
      <c r="P5836" t="str">
        <f>"85029-2818"</f>
        <v>85029-2818</v>
      </c>
      <c r="Q5836" t="s">
        <v>113</v>
      </c>
      <c r="R5836" t="str">
        <f>"159-50-090"</f>
        <v>159-50-090</v>
      </c>
      <c r="S5836" t="s">
        <v>28215</v>
      </c>
      <c r="T5836" t="s">
        <v>28215</v>
      </c>
      <c r="U5836">
        <v>1816</v>
      </c>
      <c r="V5836">
        <v>0</v>
      </c>
      <c r="W5836">
        <v>3</v>
      </c>
      <c r="X5836">
        <v>1972</v>
      </c>
      <c r="Z5836">
        <v>1</v>
      </c>
      <c r="AA5836" t="s">
        <v>26</v>
      </c>
      <c r="AB5836">
        <v>0</v>
      </c>
      <c r="AC5836" t="s">
        <v>115</v>
      </c>
      <c r="AD5836">
        <v>2</v>
      </c>
      <c r="AE5836" t="s">
        <v>115</v>
      </c>
      <c r="AF5836">
        <v>0</v>
      </c>
      <c r="AG5836">
        <v>0</v>
      </c>
      <c r="AH5836" t="s">
        <v>116</v>
      </c>
      <c r="AI5836" s="1">
        <v>43473</v>
      </c>
      <c r="AJ5836" s="2">
        <v>0.11</v>
      </c>
      <c r="AK5836" s="1">
        <v>380773</v>
      </c>
      <c r="AL5836" t="s">
        <v>117</v>
      </c>
      <c r="AM5836" t="s">
        <v>1302</v>
      </c>
      <c r="AN5836">
        <v>10713</v>
      </c>
      <c r="AO5836">
        <v>0.25</v>
      </c>
      <c r="AP5836">
        <v>1</v>
      </c>
      <c r="AR5836">
        <v>1</v>
      </c>
      <c r="AS5836" s="1">
        <v>30180</v>
      </c>
      <c r="AT5836" s="1">
        <v>6030</v>
      </c>
      <c r="AU5836" s="1">
        <v>24150</v>
      </c>
      <c r="AV5836">
        <v>80.02</v>
      </c>
      <c r="AX5836" s="1">
        <v>3135.38</v>
      </c>
      <c r="AY5836" t="s">
        <v>19934</v>
      </c>
      <c r="AZ5836" t="s">
        <v>8648</v>
      </c>
      <c r="BA5836" t="s">
        <v>8649</v>
      </c>
      <c r="BE5836" s="3">
        <v>42094</v>
      </c>
      <c r="BF5836" s="1">
        <v>252000</v>
      </c>
      <c r="BG5836" t="s">
        <v>35711</v>
      </c>
      <c r="BH5836" s="1">
        <v>119.09</v>
      </c>
      <c r="BI5836" s="1">
        <v>337300</v>
      </c>
      <c r="BJ5836" s="3">
        <v>43644</v>
      </c>
      <c r="BK5836" t="s">
        <v>123</v>
      </c>
      <c r="BL5836" t="str">
        <f>"2019.491018"</f>
        <v>2019.491018</v>
      </c>
      <c r="BM5836" t="s">
        <v>17315</v>
      </c>
      <c r="BN5836" t="s">
        <v>17316</v>
      </c>
      <c r="BO5836" t="s">
        <v>35712</v>
      </c>
      <c r="BP5836" t="s">
        <v>35713</v>
      </c>
      <c r="BR5836" t="s">
        <v>139</v>
      </c>
      <c r="BW5836" t="str">
        <f>""</f>
        <v/>
      </c>
      <c r="CH5836" t="str">
        <f>""</f>
        <v/>
      </c>
      <c r="CS5836" t="str">
        <f>""</f>
        <v/>
      </c>
    </row>
    <row r="5837" spans="1:97" x14ac:dyDescent="0.25">
      <c r="A5837" t="s">
        <v>2463</v>
      </c>
      <c r="B5837" t="s">
        <v>35714</v>
      </c>
      <c r="C5837" t="s">
        <v>305</v>
      </c>
      <c r="D5837" t="s">
        <v>35715</v>
      </c>
      <c r="E5837" t="s">
        <v>35716</v>
      </c>
      <c r="F5837" t="s">
        <v>108</v>
      </c>
      <c r="H5837" t="s">
        <v>35717</v>
      </c>
      <c r="I5837" t="s">
        <v>110</v>
      </c>
      <c r="J5837" t="s">
        <v>111</v>
      </c>
      <c r="K5837" t="str">
        <f>"85286"</f>
        <v>85286</v>
      </c>
      <c r="L5837" t="s">
        <v>5743</v>
      </c>
      <c r="M5837" t="s">
        <v>35717</v>
      </c>
      <c r="N5837" t="s">
        <v>110</v>
      </c>
      <c r="O5837" t="s">
        <v>111</v>
      </c>
      <c r="P5837" t="str">
        <f>"85286-2330"</f>
        <v>85286-2330</v>
      </c>
      <c r="Q5837" t="s">
        <v>113</v>
      </c>
      <c r="R5837" t="str">
        <f>"303-43-296"</f>
        <v>303-43-296</v>
      </c>
      <c r="S5837" t="s">
        <v>11430</v>
      </c>
      <c r="T5837" t="s">
        <v>11431</v>
      </c>
      <c r="U5837">
        <v>1767</v>
      </c>
      <c r="V5837">
        <v>0</v>
      </c>
      <c r="W5837">
        <v>3</v>
      </c>
      <c r="X5837">
        <v>2005</v>
      </c>
      <c r="Z5837">
        <v>1</v>
      </c>
      <c r="AB5837">
        <v>0</v>
      </c>
      <c r="AC5837" t="s">
        <v>115</v>
      </c>
      <c r="AD5837">
        <v>2</v>
      </c>
      <c r="AE5837" t="s">
        <v>115</v>
      </c>
      <c r="AF5837">
        <v>0</v>
      </c>
      <c r="AG5837">
        <v>0</v>
      </c>
      <c r="AH5837" t="s">
        <v>116</v>
      </c>
      <c r="AI5837" s="1">
        <v>40437</v>
      </c>
      <c r="AJ5837" s="2">
        <v>0.11</v>
      </c>
      <c r="AK5837" s="1">
        <v>381618</v>
      </c>
      <c r="AL5837" t="s">
        <v>117</v>
      </c>
      <c r="AM5837" t="s">
        <v>118</v>
      </c>
      <c r="AN5837">
        <v>8077</v>
      </c>
      <c r="AO5837">
        <v>0.18</v>
      </c>
      <c r="AR5837">
        <v>1</v>
      </c>
      <c r="AS5837" s="1">
        <v>26660</v>
      </c>
      <c r="AT5837" s="1">
        <v>5330</v>
      </c>
      <c r="AU5837" s="1">
        <v>21330</v>
      </c>
      <c r="AV5837">
        <v>80.010000000000005</v>
      </c>
      <c r="AX5837" s="1">
        <v>2253.5</v>
      </c>
      <c r="AY5837" t="s">
        <v>737</v>
      </c>
      <c r="AZ5837" t="s">
        <v>120</v>
      </c>
      <c r="BA5837" t="s">
        <v>303</v>
      </c>
      <c r="BE5837" s="3">
        <v>42545</v>
      </c>
      <c r="BF5837" s="1">
        <v>334000</v>
      </c>
      <c r="BG5837" t="s">
        <v>35718</v>
      </c>
      <c r="BH5837" s="1">
        <v>189.02</v>
      </c>
      <c r="BI5837" s="1">
        <v>341181</v>
      </c>
      <c r="BJ5837" s="3">
        <v>42545</v>
      </c>
      <c r="BK5837" t="s">
        <v>123</v>
      </c>
      <c r="BL5837" t="str">
        <f>"2016.441877"</f>
        <v>2016.441877</v>
      </c>
      <c r="BM5837" t="s">
        <v>175</v>
      </c>
      <c r="BO5837" t="s">
        <v>35719</v>
      </c>
      <c r="BP5837" t="s">
        <v>35720</v>
      </c>
      <c r="BS5837">
        <v>30</v>
      </c>
      <c r="BW5837" t="str">
        <f>""</f>
        <v/>
      </c>
      <c r="CH5837" t="str">
        <f>""</f>
        <v/>
      </c>
      <c r="CS5837" t="str">
        <f>""</f>
        <v/>
      </c>
    </row>
    <row r="5838" spans="1:97" x14ac:dyDescent="0.25">
      <c r="A5838" t="s">
        <v>26711</v>
      </c>
      <c r="B5838" t="s">
        <v>35721</v>
      </c>
      <c r="C5838" t="s">
        <v>507</v>
      </c>
      <c r="D5838" t="s">
        <v>35721</v>
      </c>
      <c r="E5838" t="s">
        <v>35722</v>
      </c>
      <c r="F5838" t="s">
        <v>108</v>
      </c>
      <c r="H5838" t="s">
        <v>35723</v>
      </c>
      <c r="I5838" t="s">
        <v>453</v>
      </c>
      <c r="J5838" t="s">
        <v>111</v>
      </c>
      <c r="K5838" t="str">
        <f>"85382"</f>
        <v>85382</v>
      </c>
      <c r="L5838" t="s">
        <v>1789</v>
      </c>
      <c r="M5838" t="s">
        <v>35723</v>
      </c>
      <c r="N5838" t="s">
        <v>453</v>
      </c>
      <c r="O5838" t="s">
        <v>111</v>
      </c>
      <c r="P5838" t="str">
        <f>"85382"</f>
        <v>85382</v>
      </c>
      <c r="Q5838" t="s">
        <v>113</v>
      </c>
      <c r="R5838" t="str">
        <f>"200-09-048"</f>
        <v>200-09-048</v>
      </c>
      <c r="S5838" t="s">
        <v>19464</v>
      </c>
      <c r="T5838" t="s">
        <v>19465</v>
      </c>
      <c r="U5838">
        <v>2085</v>
      </c>
      <c r="V5838">
        <v>0</v>
      </c>
      <c r="W5838">
        <v>3</v>
      </c>
      <c r="X5838">
        <v>2004</v>
      </c>
      <c r="Z5838">
        <v>1</v>
      </c>
      <c r="AA5838" t="s">
        <v>26</v>
      </c>
      <c r="AB5838">
        <v>0</v>
      </c>
      <c r="AC5838" t="s">
        <v>115</v>
      </c>
      <c r="AD5838">
        <v>3</v>
      </c>
      <c r="AE5838" t="s">
        <v>115</v>
      </c>
      <c r="AF5838">
        <v>0</v>
      </c>
      <c r="AG5838">
        <v>0</v>
      </c>
      <c r="AH5838" t="s">
        <v>116</v>
      </c>
      <c r="AI5838" s="1">
        <v>110482</v>
      </c>
      <c r="AJ5838" s="2">
        <v>0.33</v>
      </c>
      <c r="AK5838" s="1">
        <v>336782</v>
      </c>
      <c r="AL5838" t="s">
        <v>117</v>
      </c>
      <c r="AM5838" t="s">
        <v>191</v>
      </c>
      <c r="AN5838">
        <v>6835</v>
      </c>
      <c r="AO5838">
        <v>0.16</v>
      </c>
      <c r="AP5838">
        <v>1</v>
      </c>
      <c r="AR5838">
        <v>1</v>
      </c>
      <c r="AS5838" s="1">
        <v>25000</v>
      </c>
      <c r="AT5838" s="1">
        <v>5000</v>
      </c>
      <c r="AU5838" s="1">
        <v>20000</v>
      </c>
      <c r="AV5838">
        <v>80</v>
      </c>
      <c r="AX5838" s="1">
        <v>1981.28</v>
      </c>
      <c r="AY5838" t="s">
        <v>4520</v>
      </c>
      <c r="AZ5838" t="s">
        <v>4520</v>
      </c>
      <c r="BA5838" t="s">
        <v>4219</v>
      </c>
      <c r="BB5838" s="3">
        <v>42934</v>
      </c>
      <c r="BD5838" t="s">
        <v>157</v>
      </c>
      <c r="BE5838" s="3">
        <v>41890</v>
      </c>
      <c r="BF5838" s="1">
        <v>234900</v>
      </c>
      <c r="BG5838" t="s">
        <v>35724</v>
      </c>
      <c r="BH5838" s="1">
        <v>112.66</v>
      </c>
      <c r="BI5838" s="1">
        <v>226300</v>
      </c>
      <c r="BJ5838" s="3">
        <v>42242</v>
      </c>
      <c r="BK5838" t="s">
        <v>123</v>
      </c>
      <c r="BL5838" t="str">
        <f>"2015.619606"</f>
        <v>2015.619606</v>
      </c>
      <c r="BM5838" t="s">
        <v>1325</v>
      </c>
      <c r="BN5838" t="s">
        <v>15523</v>
      </c>
      <c r="BO5838" t="s">
        <v>35725</v>
      </c>
      <c r="BS5838">
        <v>30</v>
      </c>
      <c r="BW5838" t="str">
        <f>""</f>
        <v/>
      </c>
      <c r="CH5838" t="str">
        <f>""</f>
        <v/>
      </c>
      <c r="CS5838" t="str">
        <f>""</f>
        <v/>
      </c>
    </row>
    <row r="5839" spans="1:97" x14ac:dyDescent="0.25">
      <c r="A5839" t="s">
        <v>1160</v>
      </c>
      <c r="B5839" t="s">
        <v>4242</v>
      </c>
      <c r="E5839" t="s">
        <v>35726</v>
      </c>
      <c r="F5839" t="s">
        <v>108</v>
      </c>
      <c r="H5839" t="s">
        <v>35727</v>
      </c>
      <c r="I5839" t="s">
        <v>225</v>
      </c>
      <c r="J5839" t="s">
        <v>111</v>
      </c>
      <c r="K5839" t="str">
        <f>"85204"</f>
        <v>85204</v>
      </c>
      <c r="L5839" t="s">
        <v>1312</v>
      </c>
      <c r="M5839" t="s">
        <v>35727</v>
      </c>
      <c r="N5839" t="s">
        <v>225</v>
      </c>
      <c r="O5839" t="s">
        <v>111</v>
      </c>
      <c r="P5839" t="str">
        <f>"85204-2719"</f>
        <v>85204-2719</v>
      </c>
      <c r="Q5839" t="s">
        <v>113</v>
      </c>
      <c r="R5839" t="str">
        <f>"139-52-100"</f>
        <v>139-52-100</v>
      </c>
      <c r="S5839" t="s">
        <v>35728</v>
      </c>
      <c r="T5839" t="s">
        <v>35729</v>
      </c>
      <c r="U5839">
        <v>2669</v>
      </c>
      <c r="V5839">
        <v>0</v>
      </c>
      <c r="W5839">
        <v>2</v>
      </c>
      <c r="X5839">
        <v>1978</v>
      </c>
      <c r="Z5839">
        <v>2</v>
      </c>
      <c r="AB5839">
        <v>0</v>
      </c>
      <c r="AC5839" t="s">
        <v>5188</v>
      </c>
      <c r="AD5839">
        <v>1</v>
      </c>
      <c r="AE5839" t="s">
        <v>5188</v>
      </c>
      <c r="AF5839">
        <v>0</v>
      </c>
      <c r="AG5839">
        <v>0</v>
      </c>
      <c r="AH5839" t="s">
        <v>5467</v>
      </c>
      <c r="AI5839" s="1">
        <v>95656</v>
      </c>
      <c r="AJ5839" s="2">
        <v>0.3</v>
      </c>
      <c r="AK5839" s="1">
        <v>317656</v>
      </c>
      <c r="AL5839" t="s">
        <v>117</v>
      </c>
      <c r="AM5839" t="s">
        <v>191</v>
      </c>
      <c r="AN5839">
        <v>10093</v>
      </c>
      <c r="AO5839">
        <v>0.23</v>
      </c>
      <c r="AP5839">
        <v>1</v>
      </c>
      <c r="AR5839">
        <v>1</v>
      </c>
      <c r="AS5839" s="1">
        <v>20420</v>
      </c>
      <c r="AT5839" s="1">
        <v>4080</v>
      </c>
      <c r="AU5839" s="1">
        <v>16340</v>
      </c>
      <c r="AV5839">
        <v>80.02</v>
      </c>
      <c r="AX5839" s="1">
        <v>966.2</v>
      </c>
      <c r="AY5839" t="s">
        <v>17638</v>
      </c>
      <c r="AZ5839" t="s">
        <v>5158</v>
      </c>
      <c r="BA5839" t="s">
        <v>5159</v>
      </c>
      <c r="BB5839" s="3">
        <v>42108</v>
      </c>
      <c r="BD5839" t="s">
        <v>3523</v>
      </c>
      <c r="BE5839" s="3">
        <v>41851</v>
      </c>
      <c r="BF5839" s="1">
        <v>222000</v>
      </c>
      <c r="BG5839" t="s">
        <v>35730</v>
      </c>
      <c r="BH5839" s="1">
        <v>83.18</v>
      </c>
      <c r="BI5839" s="1">
        <v>222000</v>
      </c>
      <c r="BJ5839" s="3">
        <v>41851</v>
      </c>
      <c r="BK5839" t="s">
        <v>123</v>
      </c>
      <c r="BL5839" t="str">
        <f>"2014.504229"</f>
        <v>2014.504229</v>
      </c>
      <c r="BM5839" t="s">
        <v>594</v>
      </c>
      <c r="BO5839" t="s">
        <v>35731</v>
      </c>
      <c r="BS5839">
        <v>30</v>
      </c>
      <c r="BW5839" t="str">
        <f>""</f>
        <v/>
      </c>
      <c r="CH5839" t="str">
        <f>""</f>
        <v/>
      </c>
      <c r="CS5839" t="str">
        <f>""</f>
        <v/>
      </c>
    </row>
    <row r="5840" spans="1:97" x14ac:dyDescent="0.25">
      <c r="A5840" t="s">
        <v>14001</v>
      </c>
      <c r="B5840" t="s">
        <v>14711</v>
      </c>
      <c r="C5840" t="s">
        <v>35732</v>
      </c>
      <c r="D5840" t="s">
        <v>14711</v>
      </c>
      <c r="E5840" t="s">
        <v>35733</v>
      </c>
      <c r="F5840" t="s">
        <v>108</v>
      </c>
      <c r="H5840" t="s">
        <v>35734</v>
      </c>
      <c r="I5840" t="s">
        <v>203</v>
      </c>
      <c r="J5840" t="s">
        <v>111</v>
      </c>
      <c r="K5840" t="str">
        <f>"85234"</f>
        <v>85234</v>
      </c>
      <c r="L5840" t="s">
        <v>8199</v>
      </c>
      <c r="M5840" t="s">
        <v>35734</v>
      </c>
      <c r="N5840" t="s">
        <v>203</v>
      </c>
      <c r="O5840" t="s">
        <v>111</v>
      </c>
      <c r="P5840" t="str">
        <f>"85234-3570"</f>
        <v>85234-3570</v>
      </c>
      <c r="Q5840" t="s">
        <v>113</v>
      </c>
      <c r="R5840" t="str">
        <f>"304-96-189"</f>
        <v>304-96-189</v>
      </c>
      <c r="S5840" t="s">
        <v>14064</v>
      </c>
      <c r="T5840" t="s">
        <v>14065</v>
      </c>
      <c r="U5840">
        <v>2242</v>
      </c>
      <c r="V5840">
        <v>0</v>
      </c>
      <c r="W5840">
        <v>3</v>
      </c>
      <c r="X5840">
        <v>1992</v>
      </c>
      <c r="Z5840">
        <v>1</v>
      </c>
      <c r="AA5840" t="s">
        <v>26</v>
      </c>
      <c r="AB5840">
        <v>0</v>
      </c>
      <c r="AC5840" t="s">
        <v>115</v>
      </c>
      <c r="AD5840">
        <v>2</v>
      </c>
      <c r="AE5840" t="s">
        <v>115</v>
      </c>
      <c r="AF5840">
        <v>0</v>
      </c>
      <c r="AG5840">
        <v>0</v>
      </c>
      <c r="AH5840" t="s">
        <v>116</v>
      </c>
      <c r="AI5840" s="1">
        <v>90690</v>
      </c>
      <c r="AJ5840" s="2">
        <v>0.25</v>
      </c>
      <c r="AK5840" s="1">
        <v>365333</v>
      </c>
      <c r="AL5840" t="s">
        <v>117</v>
      </c>
      <c r="AM5840" t="s">
        <v>171</v>
      </c>
      <c r="AN5840">
        <v>7845</v>
      </c>
      <c r="AO5840">
        <v>0.18</v>
      </c>
      <c r="AP5840">
        <v>1</v>
      </c>
      <c r="AR5840">
        <v>1</v>
      </c>
      <c r="AS5840" s="1">
        <v>26160</v>
      </c>
      <c r="AT5840" s="1">
        <v>5230</v>
      </c>
      <c r="AU5840" s="1">
        <v>20930</v>
      </c>
      <c r="AV5840">
        <v>80.010000000000005</v>
      </c>
      <c r="AX5840" s="1">
        <v>2230.36</v>
      </c>
      <c r="AY5840" t="s">
        <v>7062</v>
      </c>
      <c r="AZ5840" t="s">
        <v>5478</v>
      </c>
      <c r="BA5840" t="s">
        <v>5033</v>
      </c>
      <c r="BB5840" s="3">
        <v>42513</v>
      </c>
      <c r="BD5840" t="s">
        <v>240</v>
      </c>
      <c r="BE5840" s="3">
        <v>41942</v>
      </c>
      <c r="BF5840" s="1">
        <v>270000</v>
      </c>
      <c r="BG5840" t="s">
        <v>35735</v>
      </c>
      <c r="BH5840" s="1">
        <v>120.43</v>
      </c>
      <c r="BI5840" s="1">
        <v>274643</v>
      </c>
      <c r="BJ5840" s="3">
        <v>42513</v>
      </c>
      <c r="BK5840" t="s">
        <v>123</v>
      </c>
      <c r="BL5840" t="str">
        <f>"2016.350730"</f>
        <v>2016.350730</v>
      </c>
      <c r="BM5840" t="s">
        <v>402</v>
      </c>
      <c r="BO5840" t="s">
        <v>35736</v>
      </c>
      <c r="BS5840">
        <v>30</v>
      </c>
      <c r="BW5840" t="str">
        <f>""</f>
        <v/>
      </c>
      <c r="CH5840" t="str">
        <f>""</f>
        <v/>
      </c>
      <c r="CS5840" t="str">
        <f>""</f>
        <v/>
      </c>
    </row>
    <row r="5841" spans="1:97" x14ac:dyDescent="0.25">
      <c r="A5841" t="s">
        <v>695</v>
      </c>
      <c r="B5841" t="s">
        <v>35737</v>
      </c>
      <c r="C5841" t="s">
        <v>3067</v>
      </c>
      <c r="D5841" t="s">
        <v>35737</v>
      </c>
      <c r="E5841" t="s">
        <v>35738</v>
      </c>
      <c r="F5841" t="s">
        <v>108</v>
      </c>
      <c r="H5841" t="s">
        <v>35739</v>
      </c>
      <c r="I5841" t="s">
        <v>499</v>
      </c>
      <c r="J5841" t="s">
        <v>111</v>
      </c>
      <c r="K5841" t="str">
        <f>"85395"</f>
        <v>85395</v>
      </c>
      <c r="L5841" t="s">
        <v>7243</v>
      </c>
      <c r="M5841" t="s">
        <v>35739</v>
      </c>
      <c r="N5841" t="s">
        <v>499</v>
      </c>
      <c r="O5841" t="s">
        <v>111</v>
      </c>
      <c r="P5841" t="str">
        <f>"85395-6372"</f>
        <v>85395-6372</v>
      </c>
      <c r="Q5841" t="s">
        <v>113</v>
      </c>
      <c r="R5841" t="str">
        <f>"501-61-730"</f>
        <v>501-61-730</v>
      </c>
      <c r="S5841" t="s">
        <v>12578</v>
      </c>
      <c r="T5841" t="s">
        <v>12579</v>
      </c>
      <c r="U5841">
        <v>4137</v>
      </c>
      <c r="V5841">
        <v>0</v>
      </c>
      <c r="W5841">
        <v>4</v>
      </c>
      <c r="X5841">
        <v>2006</v>
      </c>
      <c r="Z5841">
        <v>2</v>
      </c>
      <c r="AA5841" t="s">
        <v>26</v>
      </c>
      <c r="AB5841">
        <v>0</v>
      </c>
      <c r="AC5841" t="s">
        <v>115</v>
      </c>
      <c r="AD5841">
        <v>3</v>
      </c>
      <c r="AE5841" t="s">
        <v>115</v>
      </c>
      <c r="AF5841">
        <v>0</v>
      </c>
      <c r="AG5841">
        <v>0</v>
      </c>
      <c r="AH5841" t="s">
        <v>116</v>
      </c>
      <c r="AI5841" s="1">
        <v>58528</v>
      </c>
      <c r="AJ5841" s="2">
        <v>0.13</v>
      </c>
      <c r="AK5841" s="1">
        <v>451068</v>
      </c>
      <c r="AL5841" t="s">
        <v>117</v>
      </c>
      <c r="AM5841" t="s">
        <v>118</v>
      </c>
      <c r="AN5841">
        <v>11180</v>
      </c>
      <c r="AO5841">
        <v>0.26</v>
      </c>
      <c r="AR5841">
        <v>1</v>
      </c>
      <c r="AS5841" s="1">
        <v>34330</v>
      </c>
      <c r="AT5841" s="1">
        <v>6860</v>
      </c>
      <c r="AU5841" s="1">
        <v>27470</v>
      </c>
      <c r="AV5841">
        <v>80.02</v>
      </c>
      <c r="AX5841" s="1">
        <v>3814.96</v>
      </c>
      <c r="AY5841" t="s">
        <v>3020</v>
      </c>
      <c r="AZ5841" t="s">
        <v>3020</v>
      </c>
      <c r="BA5841" t="s">
        <v>3154</v>
      </c>
      <c r="BE5841" s="3">
        <v>42013</v>
      </c>
      <c r="BF5841" s="1">
        <v>329900</v>
      </c>
      <c r="BG5841" t="s">
        <v>35740</v>
      </c>
      <c r="BH5841" s="1">
        <v>79.739999999999995</v>
      </c>
      <c r="BI5841" s="1">
        <v>392540</v>
      </c>
      <c r="BJ5841" s="3">
        <v>42604</v>
      </c>
      <c r="BK5841" t="s">
        <v>123</v>
      </c>
      <c r="BL5841" t="str">
        <f>"2016.601182"</f>
        <v>2016.601182</v>
      </c>
      <c r="BM5841" t="s">
        <v>18925</v>
      </c>
      <c r="BO5841" t="s">
        <v>35741</v>
      </c>
      <c r="BS5841">
        <v>30</v>
      </c>
      <c r="BW5841" t="str">
        <f>""</f>
        <v/>
      </c>
      <c r="CH5841" t="str">
        <f>""</f>
        <v/>
      </c>
      <c r="CS5841" t="str">
        <f>""</f>
        <v/>
      </c>
    </row>
    <row r="5842" spans="1:97" x14ac:dyDescent="0.25">
      <c r="A5842" t="s">
        <v>305</v>
      </c>
      <c r="B5842" t="s">
        <v>1422</v>
      </c>
      <c r="C5842" t="s">
        <v>703</v>
      </c>
      <c r="D5842" t="s">
        <v>35742</v>
      </c>
      <c r="E5842" t="s">
        <v>35743</v>
      </c>
      <c r="F5842" t="s">
        <v>108</v>
      </c>
      <c r="H5842" t="s">
        <v>35744</v>
      </c>
      <c r="I5842" t="s">
        <v>499</v>
      </c>
      <c r="J5842" t="s">
        <v>111</v>
      </c>
      <c r="K5842" t="str">
        <f>"85395"</f>
        <v>85395</v>
      </c>
      <c r="L5842" t="s">
        <v>500</v>
      </c>
      <c r="M5842" t="s">
        <v>35744</v>
      </c>
      <c r="N5842" t="s">
        <v>499</v>
      </c>
      <c r="O5842" t="s">
        <v>111</v>
      </c>
      <c r="P5842" t="str">
        <f>"85395-5241"</f>
        <v>85395-5241</v>
      </c>
      <c r="Q5842" t="s">
        <v>113</v>
      </c>
      <c r="R5842" t="str">
        <f>"502-30-078"</f>
        <v>502-30-078</v>
      </c>
      <c r="S5842" t="s">
        <v>30483</v>
      </c>
      <c r="T5842" t="s">
        <v>502</v>
      </c>
      <c r="U5842">
        <v>2406</v>
      </c>
      <c r="V5842">
        <v>0</v>
      </c>
      <c r="W5842">
        <v>4</v>
      </c>
      <c r="X5842">
        <v>2014</v>
      </c>
      <c r="Z5842">
        <v>1</v>
      </c>
      <c r="AB5842">
        <v>0</v>
      </c>
      <c r="AC5842" t="s">
        <v>115</v>
      </c>
      <c r="AD5842">
        <v>2</v>
      </c>
      <c r="AE5842" t="s">
        <v>115</v>
      </c>
      <c r="AF5842">
        <v>0</v>
      </c>
      <c r="AG5842">
        <v>0</v>
      </c>
      <c r="AH5842" t="s">
        <v>116</v>
      </c>
      <c r="AI5842" s="1">
        <v>59646</v>
      </c>
      <c r="AJ5842" s="2">
        <v>0.17</v>
      </c>
      <c r="AK5842" s="1">
        <v>355191</v>
      </c>
      <c r="AL5842" t="s">
        <v>117</v>
      </c>
      <c r="AM5842" t="s">
        <v>118</v>
      </c>
      <c r="AN5842">
        <v>10406</v>
      </c>
      <c r="AO5842">
        <v>0.24</v>
      </c>
      <c r="AR5842">
        <v>1</v>
      </c>
      <c r="AS5842" s="1">
        <v>24670</v>
      </c>
      <c r="AT5842" s="1">
        <v>4930</v>
      </c>
      <c r="AU5842" s="1">
        <v>19740</v>
      </c>
      <c r="AV5842">
        <v>80.02</v>
      </c>
      <c r="AX5842" s="1">
        <v>2339.48</v>
      </c>
      <c r="AY5842" t="s">
        <v>503</v>
      </c>
      <c r="AZ5842" t="s">
        <v>504</v>
      </c>
      <c r="BA5842" t="s">
        <v>218</v>
      </c>
      <c r="BE5842" s="3">
        <v>41690</v>
      </c>
      <c r="BF5842" s="1">
        <v>271949</v>
      </c>
      <c r="BG5842" t="s">
        <v>209</v>
      </c>
      <c r="BH5842" s="1">
        <v>113.03</v>
      </c>
      <c r="BI5842" s="1">
        <v>295545</v>
      </c>
      <c r="BJ5842" s="3">
        <v>43224</v>
      </c>
      <c r="BK5842" t="s">
        <v>123</v>
      </c>
      <c r="BL5842" t="str">
        <f>"2018.340736"</f>
        <v>2018.340736</v>
      </c>
      <c r="BM5842" t="s">
        <v>361</v>
      </c>
      <c r="BN5842" t="s">
        <v>884</v>
      </c>
      <c r="BO5842" t="s">
        <v>35745</v>
      </c>
      <c r="BP5842" t="s">
        <v>35746</v>
      </c>
      <c r="BR5842" t="s">
        <v>139</v>
      </c>
      <c r="BW5842" t="str">
        <f>""</f>
        <v/>
      </c>
      <c r="CH5842" t="str">
        <f>""</f>
        <v/>
      </c>
      <c r="CS5842" t="str">
        <f>""</f>
        <v/>
      </c>
    </row>
    <row r="5843" spans="1:97" x14ac:dyDescent="0.25">
      <c r="A5843" t="s">
        <v>35747</v>
      </c>
      <c r="B5843" t="s">
        <v>8523</v>
      </c>
      <c r="C5843" t="s">
        <v>703</v>
      </c>
      <c r="D5843" t="s">
        <v>8523</v>
      </c>
      <c r="E5843" t="s">
        <v>35748</v>
      </c>
      <c r="F5843" t="s">
        <v>108</v>
      </c>
      <c r="H5843" t="s">
        <v>35749</v>
      </c>
      <c r="I5843" t="s">
        <v>188</v>
      </c>
      <c r="J5843" t="s">
        <v>111</v>
      </c>
      <c r="K5843" t="str">
        <f>"85142"</f>
        <v>85142</v>
      </c>
      <c r="L5843" t="s">
        <v>3645</v>
      </c>
      <c r="M5843" t="s">
        <v>35749</v>
      </c>
      <c r="N5843" t="s">
        <v>188</v>
      </c>
      <c r="O5843" t="s">
        <v>111</v>
      </c>
      <c r="P5843" t="str">
        <f>"85142-7428"</f>
        <v>85142-7428</v>
      </c>
      <c r="R5843" t="str">
        <f>"314-08-633"</f>
        <v>314-08-633</v>
      </c>
      <c r="S5843" t="s">
        <v>9258</v>
      </c>
      <c r="T5843" t="s">
        <v>4400</v>
      </c>
      <c r="U5843">
        <v>3194</v>
      </c>
      <c r="V5843">
        <v>0</v>
      </c>
      <c r="W5843">
        <v>5</v>
      </c>
      <c r="X5843">
        <v>2014</v>
      </c>
      <c r="Z5843">
        <v>1</v>
      </c>
      <c r="AB5843">
        <v>0</v>
      </c>
      <c r="AC5843" t="s">
        <v>115</v>
      </c>
      <c r="AD5843">
        <v>3</v>
      </c>
      <c r="AE5843" t="s">
        <v>115</v>
      </c>
      <c r="AF5843">
        <v>0</v>
      </c>
      <c r="AG5843">
        <v>0</v>
      </c>
      <c r="AH5843" t="s">
        <v>116</v>
      </c>
      <c r="AI5843" s="1">
        <v>62009</v>
      </c>
      <c r="AJ5843" s="2">
        <v>0.13</v>
      </c>
      <c r="AK5843" s="1">
        <v>467960</v>
      </c>
      <c r="AL5843" t="s">
        <v>117</v>
      </c>
      <c r="AM5843" t="s">
        <v>917</v>
      </c>
      <c r="AN5843">
        <v>11150</v>
      </c>
      <c r="AO5843">
        <v>0.26</v>
      </c>
      <c r="AR5843">
        <v>1</v>
      </c>
      <c r="AS5843" s="1">
        <v>32950</v>
      </c>
      <c r="AT5843" s="1">
        <v>6590</v>
      </c>
      <c r="AU5843" s="1">
        <v>26360</v>
      </c>
      <c r="AV5843">
        <v>80</v>
      </c>
      <c r="AX5843" s="1">
        <v>3621.06</v>
      </c>
      <c r="AY5843" t="s">
        <v>560</v>
      </c>
      <c r="AZ5843" t="s">
        <v>561</v>
      </c>
      <c r="BA5843" t="s">
        <v>194</v>
      </c>
      <c r="BE5843" s="3">
        <v>41949</v>
      </c>
      <c r="BF5843" s="1">
        <v>392983</v>
      </c>
      <c r="BG5843" t="s">
        <v>749</v>
      </c>
      <c r="BH5843" s="1">
        <v>123.04</v>
      </c>
      <c r="BI5843" s="1">
        <v>405951</v>
      </c>
      <c r="BJ5843" s="3">
        <v>41949</v>
      </c>
      <c r="BK5843" t="s">
        <v>123</v>
      </c>
      <c r="BL5843" t="str">
        <f>"2014.738262"</f>
        <v>2014.738262</v>
      </c>
      <c r="BM5843" t="s">
        <v>1968</v>
      </c>
      <c r="BN5843" t="s">
        <v>674</v>
      </c>
      <c r="BO5843" t="s">
        <v>35750</v>
      </c>
      <c r="BS5843">
        <v>30</v>
      </c>
      <c r="BW5843" t="str">
        <f>""</f>
        <v/>
      </c>
      <c r="CH5843" t="str">
        <f>""</f>
        <v/>
      </c>
      <c r="CS5843" t="str">
        <f>""</f>
        <v/>
      </c>
    </row>
    <row r="5844" spans="1:97" x14ac:dyDescent="0.25">
      <c r="A5844" t="s">
        <v>1067</v>
      </c>
      <c r="B5844" t="s">
        <v>2251</v>
      </c>
      <c r="E5844" t="s">
        <v>35751</v>
      </c>
      <c r="F5844" t="s">
        <v>108</v>
      </c>
      <c r="H5844" t="s">
        <v>35752</v>
      </c>
      <c r="I5844" t="s">
        <v>203</v>
      </c>
      <c r="J5844" t="s">
        <v>111</v>
      </c>
      <c r="K5844" t="str">
        <f>"85298"</f>
        <v>85298</v>
      </c>
      <c r="L5844" t="s">
        <v>558</v>
      </c>
      <c r="M5844" t="s">
        <v>35752</v>
      </c>
      <c r="N5844" t="s">
        <v>203</v>
      </c>
      <c r="O5844" t="s">
        <v>111</v>
      </c>
      <c r="P5844" t="str">
        <f>"85298-4268"</f>
        <v>85298-4268</v>
      </c>
      <c r="Q5844" t="s">
        <v>113</v>
      </c>
      <c r="R5844" t="str">
        <f>"304-79-763"</f>
        <v>304-79-763</v>
      </c>
      <c r="S5844" t="s">
        <v>13259</v>
      </c>
      <c r="T5844" t="s">
        <v>13260</v>
      </c>
      <c r="U5844">
        <v>2735</v>
      </c>
      <c r="V5844">
        <v>0</v>
      </c>
      <c r="W5844">
        <v>4</v>
      </c>
      <c r="X5844">
        <v>2014</v>
      </c>
      <c r="Z5844">
        <v>1</v>
      </c>
      <c r="AB5844">
        <v>0</v>
      </c>
      <c r="AC5844" t="s">
        <v>115</v>
      </c>
      <c r="AD5844">
        <v>3</v>
      </c>
      <c r="AE5844" t="s">
        <v>115</v>
      </c>
      <c r="AF5844">
        <v>0</v>
      </c>
      <c r="AG5844">
        <v>0</v>
      </c>
      <c r="AH5844" t="s">
        <v>116</v>
      </c>
      <c r="AI5844" s="1">
        <v>138274</v>
      </c>
      <c r="AJ5844" s="2">
        <v>0.27</v>
      </c>
      <c r="AK5844" s="1">
        <v>521441</v>
      </c>
      <c r="AL5844" t="s">
        <v>117</v>
      </c>
      <c r="AM5844" t="s">
        <v>191</v>
      </c>
      <c r="AN5844">
        <v>9259</v>
      </c>
      <c r="AO5844">
        <v>0.21</v>
      </c>
      <c r="AR5844">
        <v>1</v>
      </c>
      <c r="AS5844" s="1">
        <v>38750</v>
      </c>
      <c r="AT5844" s="1">
        <v>7750</v>
      </c>
      <c r="AU5844" s="1">
        <v>31000</v>
      </c>
      <c r="AV5844">
        <v>80</v>
      </c>
      <c r="AX5844" s="1">
        <v>4101.34</v>
      </c>
      <c r="AY5844" t="s">
        <v>5875</v>
      </c>
      <c r="AZ5844" t="s">
        <v>1134</v>
      </c>
      <c r="BA5844" t="s">
        <v>1134</v>
      </c>
      <c r="BB5844" s="3">
        <v>42439</v>
      </c>
      <c r="BD5844" t="s">
        <v>240</v>
      </c>
      <c r="BE5844" s="3">
        <v>41858</v>
      </c>
      <c r="BF5844" s="1">
        <v>378990</v>
      </c>
      <c r="BG5844" t="s">
        <v>420</v>
      </c>
      <c r="BH5844" s="1">
        <v>138.57</v>
      </c>
      <c r="BI5844" s="1">
        <v>383167</v>
      </c>
      <c r="BJ5844" s="3">
        <v>42702</v>
      </c>
      <c r="BK5844" t="s">
        <v>123</v>
      </c>
      <c r="BL5844" t="str">
        <f>"2016.873356"</f>
        <v>2016.873356</v>
      </c>
      <c r="BM5844" t="s">
        <v>402</v>
      </c>
      <c r="BO5844" t="s">
        <v>35753</v>
      </c>
      <c r="BS5844">
        <v>30</v>
      </c>
      <c r="BW5844" t="str">
        <f>""</f>
        <v/>
      </c>
      <c r="CH5844" t="str">
        <f>""</f>
        <v/>
      </c>
      <c r="CS5844" t="str">
        <f>""</f>
        <v/>
      </c>
    </row>
    <row r="5845" spans="1:97" x14ac:dyDescent="0.25">
      <c r="A5845" t="s">
        <v>1124</v>
      </c>
      <c r="B5845" t="s">
        <v>18313</v>
      </c>
      <c r="C5845" t="s">
        <v>1017</v>
      </c>
      <c r="D5845" t="s">
        <v>18313</v>
      </c>
      <c r="E5845" t="s">
        <v>35754</v>
      </c>
      <c r="F5845" t="s">
        <v>108</v>
      </c>
      <c r="H5845" t="s">
        <v>35755</v>
      </c>
      <c r="I5845" t="s">
        <v>390</v>
      </c>
      <c r="J5845" t="s">
        <v>111</v>
      </c>
      <c r="K5845" t="str">
        <f>"85086"</f>
        <v>85086</v>
      </c>
      <c r="L5845" t="s">
        <v>1383</v>
      </c>
      <c r="M5845" t="s">
        <v>35755</v>
      </c>
      <c r="N5845" t="s">
        <v>390</v>
      </c>
      <c r="O5845" t="s">
        <v>111</v>
      </c>
      <c r="P5845" t="str">
        <f>"85086-2227"</f>
        <v>85086-2227</v>
      </c>
      <c r="Q5845" t="s">
        <v>113</v>
      </c>
      <c r="R5845" t="str">
        <f>"203-26-687"</f>
        <v>203-26-687</v>
      </c>
      <c r="S5845" t="s">
        <v>27517</v>
      </c>
      <c r="U5845">
        <v>2299</v>
      </c>
      <c r="V5845">
        <v>0</v>
      </c>
      <c r="W5845">
        <v>4</v>
      </c>
      <c r="X5845">
        <v>2004</v>
      </c>
      <c r="Z5845">
        <v>1</v>
      </c>
      <c r="AB5845">
        <v>0</v>
      </c>
      <c r="AC5845" t="s">
        <v>115</v>
      </c>
      <c r="AD5845">
        <v>2</v>
      </c>
      <c r="AE5845" t="s">
        <v>115</v>
      </c>
      <c r="AF5845">
        <v>0</v>
      </c>
      <c r="AG5845">
        <v>0</v>
      </c>
      <c r="AH5845" t="s">
        <v>116</v>
      </c>
      <c r="AI5845" s="1">
        <v>112326</v>
      </c>
      <c r="AJ5845" s="2">
        <v>0.32</v>
      </c>
      <c r="AK5845" s="1">
        <v>352320</v>
      </c>
      <c r="AL5845" t="s">
        <v>117</v>
      </c>
      <c r="AM5845" t="s">
        <v>171</v>
      </c>
      <c r="AN5845">
        <v>6600</v>
      </c>
      <c r="AO5845">
        <v>0.15</v>
      </c>
      <c r="AR5845">
        <v>1</v>
      </c>
      <c r="AS5845" s="1">
        <v>25450</v>
      </c>
      <c r="AT5845" s="1">
        <v>5090</v>
      </c>
      <c r="AU5845" s="1">
        <v>20360</v>
      </c>
      <c r="AV5845">
        <v>80</v>
      </c>
      <c r="AX5845" s="1">
        <v>2387.1799999999998</v>
      </c>
      <c r="AY5845" t="s">
        <v>8639</v>
      </c>
      <c r="AZ5845" t="s">
        <v>8639</v>
      </c>
      <c r="BA5845" t="s">
        <v>378</v>
      </c>
      <c r="BE5845" s="3">
        <v>42093</v>
      </c>
      <c r="BF5845" s="1">
        <v>284900</v>
      </c>
      <c r="BG5845" t="s">
        <v>35756</v>
      </c>
      <c r="BH5845" s="1">
        <v>123.92</v>
      </c>
      <c r="BI5845" s="1">
        <v>239994</v>
      </c>
      <c r="BJ5845" s="3">
        <v>42846</v>
      </c>
      <c r="BK5845" t="s">
        <v>123</v>
      </c>
      <c r="BL5845" t="str">
        <f>"2017.285119"</f>
        <v>2017.285119</v>
      </c>
      <c r="BM5845" t="s">
        <v>361</v>
      </c>
      <c r="BN5845" t="s">
        <v>884</v>
      </c>
      <c r="BO5845" t="s">
        <v>35757</v>
      </c>
      <c r="BS5845">
        <v>30</v>
      </c>
      <c r="BW5845" t="str">
        <f>""</f>
        <v/>
      </c>
      <c r="CH5845" t="str">
        <f>""</f>
        <v/>
      </c>
      <c r="CS5845" t="str">
        <f>""</f>
        <v/>
      </c>
    </row>
    <row r="5846" spans="1:97" x14ac:dyDescent="0.25">
      <c r="A5846" t="s">
        <v>620</v>
      </c>
      <c r="B5846" t="s">
        <v>22305</v>
      </c>
      <c r="C5846" t="s">
        <v>10673</v>
      </c>
      <c r="D5846" t="s">
        <v>22305</v>
      </c>
      <c r="E5846" t="s">
        <v>35758</v>
      </c>
      <c r="F5846" t="s">
        <v>108</v>
      </c>
      <c r="H5846" t="s">
        <v>35759</v>
      </c>
      <c r="I5846" t="s">
        <v>499</v>
      </c>
      <c r="J5846" t="s">
        <v>111</v>
      </c>
      <c r="K5846" t="str">
        <f>"85395"</f>
        <v>85395</v>
      </c>
      <c r="L5846" t="s">
        <v>1312</v>
      </c>
      <c r="M5846" t="s">
        <v>35759</v>
      </c>
      <c r="N5846" t="s">
        <v>499</v>
      </c>
      <c r="O5846" t="s">
        <v>111</v>
      </c>
      <c r="P5846" t="str">
        <f>"85395-2036"</f>
        <v>85395-2036</v>
      </c>
      <c r="Q5846" t="s">
        <v>113</v>
      </c>
      <c r="R5846" t="str">
        <f>"501-76-305"</f>
        <v>501-76-305</v>
      </c>
      <c r="S5846" t="s">
        <v>20930</v>
      </c>
      <c r="T5846" t="s">
        <v>20931</v>
      </c>
      <c r="U5846">
        <v>3615</v>
      </c>
      <c r="V5846">
        <v>0</v>
      </c>
      <c r="W5846">
        <v>4</v>
      </c>
      <c r="X5846">
        <v>2004</v>
      </c>
      <c r="Z5846">
        <v>2</v>
      </c>
      <c r="AB5846">
        <v>0</v>
      </c>
      <c r="AC5846" t="s">
        <v>115</v>
      </c>
      <c r="AD5846">
        <v>3</v>
      </c>
      <c r="AE5846" t="s">
        <v>115</v>
      </c>
      <c r="AF5846">
        <v>0</v>
      </c>
      <c r="AG5846">
        <v>0</v>
      </c>
      <c r="AH5846" t="s">
        <v>116</v>
      </c>
      <c r="AI5846" s="1">
        <v>52371</v>
      </c>
      <c r="AJ5846" s="2">
        <v>0.12</v>
      </c>
      <c r="AK5846" s="1">
        <v>425371</v>
      </c>
      <c r="AL5846" t="s">
        <v>117</v>
      </c>
      <c r="AM5846" t="s">
        <v>118</v>
      </c>
      <c r="AN5846">
        <v>11477</v>
      </c>
      <c r="AO5846">
        <v>0.26</v>
      </c>
      <c r="AP5846">
        <v>1</v>
      </c>
      <c r="AR5846">
        <v>1</v>
      </c>
      <c r="AS5846" s="1">
        <v>29850</v>
      </c>
      <c r="AT5846" s="1">
        <v>5970</v>
      </c>
      <c r="AU5846" s="1">
        <v>23880</v>
      </c>
      <c r="AV5846">
        <v>80</v>
      </c>
      <c r="AX5846" s="1">
        <v>4213.82</v>
      </c>
      <c r="AY5846" t="s">
        <v>3020</v>
      </c>
      <c r="AZ5846" t="s">
        <v>3020</v>
      </c>
      <c r="BA5846" t="s">
        <v>7186</v>
      </c>
      <c r="BE5846" s="3">
        <v>41964</v>
      </c>
      <c r="BF5846" s="1">
        <v>340000</v>
      </c>
      <c r="BG5846" t="s">
        <v>35760</v>
      </c>
      <c r="BH5846" s="1">
        <v>94.05</v>
      </c>
      <c r="BI5846" s="1">
        <v>373000</v>
      </c>
      <c r="BJ5846" s="3">
        <v>43088</v>
      </c>
      <c r="BK5846" t="s">
        <v>123</v>
      </c>
      <c r="BL5846" t="str">
        <f>"2017.936742"</f>
        <v>2017.936742</v>
      </c>
      <c r="BM5846" t="s">
        <v>361</v>
      </c>
      <c r="BO5846" t="s">
        <v>35761</v>
      </c>
      <c r="BS5846">
        <v>31</v>
      </c>
      <c r="BW5846" t="str">
        <f>""</f>
        <v/>
      </c>
      <c r="CH5846" t="str">
        <f>""</f>
        <v/>
      </c>
      <c r="CS5846" t="str">
        <f>""</f>
        <v/>
      </c>
    </row>
    <row r="5847" spans="1:97" x14ac:dyDescent="0.25">
      <c r="A5847" t="s">
        <v>894</v>
      </c>
      <c r="B5847" t="s">
        <v>35762</v>
      </c>
      <c r="C5847" t="s">
        <v>767</v>
      </c>
      <c r="D5847" t="s">
        <v>35762</v>
      </c>
      <c r="E5847" t="s">
        <v>35763</v>
      </c>
      <c r="F5847" t="s">
        <v>108</v>
      </c>
      <c r="H5847" t="s">
        <v>35764</v>
      </c>
      <c r="I5847" t="s">
        <v>390</v>
      </c>
      <c r="J5847" t="s">
        <v>111</v>
      </c>
      <c r="K5847" t="str">
        <f>"85045"</f>
        <v>85045</v>
      </c>
      <c r="L5847" t="s">
        <v>8199</v>
      </c>
      <c r="M5847" t="s">
        <v>35764</v>
      </c>
      <c r="N5847" t="s">
        <v>390</v>
      </c>
      <c r="O5847" t="s">
        <v>111</v>
      </c>
      <c r="P5847" t="str">
        <f>"85045-1951"</f>
        <v>85045-1951</v>
      </c>
      <c r="Q5847" t="s">
        <v>113</v>
      </c>
      <c r="R5847" t="str">
        <f>"300-36-707"</f>
        <v>300-36-707</v>
      </c>
      <c r="S5847" t="s">
        <v>23788</v>
      </c>
      <c r="T5847" t="s">
        <v>12613</v>
      </c>
      <c r="U5847">
        <v>2329</v>
      </c>
      <c r="V5847">
        <v>0</v>
      </c>
      <c r="W5847">
        <v>4</v>
      </c>
      <c r="X5847">
        <v>1990</v>
      </c>
      <c r="Z5847">
        <v>2</v>
      </c>
      <c r="AA5847" t="s">
        <v>26</v>
      </c>
      <c r="AB5847">
        <v>0</v>
      </c>
      <c r="AC5847" t="s">
        <v>115</v>
      </c>
      <c r="AD5847">
        <v>3</v>
      </c>
      <c r="AE5847" t="s">
        <v>115</v>
      </c>
      <c r="AF5847">
        <v>0</v>
      </c>
      <c r="AG5847">
        <v>0</v>
      </c>
      <c r="AH5847" t="s">
        <v>116</v>
      </c>
      <c r="AI5847" s="1">
        <v>52085</v>
      </c>
      <c r="AJ5847" s="2">
        <v>0.13</v>
      </c>
      <c r="AK5847" s="1">
        <v>402605</v>
      </c>
      <c r="AL5847" t="s">
        <v>117</v>
      </c>
      <c r="AM5847" t="s">
        <v>191</v>
      </c>
      <c r="AN5847">
        <v>8141</v>
      </c>
      <c r="AO5847">
        <v>0.19</v>
      </c>
      <c r="AP5847">
        <v>1</v>
      </c>
      <c r="AR5847">
        <v>1</v>
      </c>
      <c r="AS5847" s="1">
        <v>29870</v>
      </c>
      <c r="AT5847" s="1">
        <v>5970</v>
      </c>
      <c r="AU5847" s="1">
        <v>23900</v>
      </c>
      <c r="AV5847">
        <v>80.010000000000005</v>
      </c>
      <c r="AX5847" s="1">
        <v>3128.06</v>
      </c>
      <c r="AY5847" t="s">
        <v>6202</v>
      </c>
      <c r="AZ5847" t="s">
        <v>2967</v>
      </c>
      <c r="BA5847" t="s">
        <v>930</v>
      </c>
      <c r="BE5847" s="3">
        <v>42128</v>
      </c>
      <c r="BF5847" s="1">
        <v>340000</v>
      </c>
      <c r="BG5847" t="s">
        <v>35765</v>
      </c>
      <c r="BH5847" s="1">
        <v>145.99</v>
      </c>
      <c r="BI5847" s="1">
        <v>350520</v>
      </c>
      <c r="BJ5847" s="3">
        <v>42286</v>
      </c>
      <c r="BK5847" t="s">
        <v>123</v>
      </c>
      <c r="BL5847" t="str">
        <f>"2015.727781"</f>
        <v>2015.727781</v>
      </c>
      <c r="BM5847" t="s">
        <v>402</v>
      </c>
      <c r="BO5847" t="s">
        <v>35766</v>
      </c>
      <c r="BS5847">
        <v>30</v>
      </c>
      <c r="BW5847" t="str">
        <f>""</f>
        <v/>
      </c>
      <c r="CH5847" t="str">
        <f>""</f>
        <v/>
      </c>
      <c r="CS5847" t="str">
        <f>""</f>
        <v/>
      </c>
    </row>
    <row r="5848" spans="1:97" x14ac:dyDescent="0.25">
      <c r="A5848" t="s">
        <v>1170</v>
      </c>
      <c r="B5848" t="s">
        <v>35767</v>
      </c>
      <c r="E5848" t="s">
        <v>35768</v>
      </c>
      <c r="F5848" t="s">
        <v>108</v>
      </c>
      <c r="H5848" t="s">
        <v>35769</v>
      </c>
      <c r="I5848" t="s">
        <v>390</v>
      </c>
      <c r="J5848" t="s">
        <v>111</v>
      </c>
      <c r="K5848" t="str">
        <f>"85028"</f>
        <v>85028</v>
      </c>
      <c r="L5848" t="s">
        <v>8543</v>
      </c>
      <c r="M5848" t="s">
        <v>35769</v>
      </c>
      <c r="N5848" t="s">
        <v>390</v>
      </c>
      <c r="O5848" t="s">
        <v>111</v>
      </c>
      <c r="P5848" t="str">
        <f>"85028-5325"</f>
        <v>85028-5325</v>
      </c>
      <c r="Q5848" t="s">
        <v>113</v>
      </c>
      <c r="R5848" t="str">
        <f>"165-13-274"</f>
        <v>165-13-274</v>
      </c>
      <c r="S5848" t="s">
        <v>35770</v>
      </c>
      <c r="T5848" t="s">
        <v>20316</v>
      </c>
      <c r="U5848">
        <v>2540</v>
      </c>
      <c r="V5848">
        <v>0</v>
      </c>
      <c r="W5848">
        <v>2</v>
      </c>
      <c r="X5848">
        <v>1975</v>
      </c>
      <c r="Z5848">
        <v>1</v>
      </c>
      <c r="AB5848">
        <v>0</v>
      </c>
      <c r="AC5848" t="s">
        <v>115</v>
      </c>
      <c r="AD5848">
        <v>2</v>
      </c>
      <c r="AE5848" t="s">
        <v>115</v>
      </c>
      <c r="AF5848">
        <v>0</v>
      </c>
      <c r="AG5848">
        <v>0</v>
      </c>
      <c r="AH5848" t="s">
        <v>116</v>
      </c>
      <c r="AI5848" s="1">
        <v>142822</v>
      </c>
      <c r="AJ5848" s="2">
        <v>0.28000000000000003</v>
      </c>
      <c r="AK5848" s="1">
        <v>511002</v>
      </c>
      <c r="AL5848" t="s">
        <v>117</v>
      </c>
      <c r="AM5848" t="s">
        <v>5441</v>
      </c>
      <c r="AN5848">
        <v>12194</v>
      </c>
      <c r="AO5848">
        <v>0.28000000000000003</v>
      </c>
      <c r="AP5848">
        <v>1</v>
      </c>
      <c r="AR5848">
        <v>1</v>
      </c>
      <c r="AS5848" s="1">
        <v>35850</v>
      </c>
      <c r="AT5848" s="1">
        <v>7170</v>
      </c>
      <c r="AU5848" s="1">
        <v>28680</v>
      </c>
      <c r="AV5848">
        <v>80</v>
      </c>
      <c r="AX5848" s="1">
        <v>3431.5</v>
      </c>
      <c r="AY5848" t="s">
        <v>9580</v>
      </c>
      <c r="AZ5848" t="s">
        <v>5489</v>
      </c>
      <c r="BA5848" t="s">
        <v>5232</v>
      </c>
      <c r="BB5848" s="3">
        <v>43678</v>
      </c>
      <c r="BC5848" s="1">
        <v>0</v>
      </c>
      <c r="BD5848" t="s">
        <v>247</v>
      </c>
      <c r="BE5848" s="3">
        <v>42345</v>
      </c>
      <c r="BF5848" s="1">
        <v>360000</v>
      </c>
      <c r="BG5848" t="s">
        <v>35771</v>
      </c>
      <c r="BH5848" s="1">
        <v>141.72999999999999</v>
      </c>
      <c r="BI5848" s="1">
        <v>368180</v>
      </c>
      <c r="BJ5848" s="3">
        <v>42635</v>
      </c>
      <c r="BK5848" t="s">
        <v>123</v>
      </c>
      <c r="BL5848" t="str">
        <f>"2016.691932"</f>
        <v>2016.691932</v>
      </c>
      <c r="BM5848" t="s">
        <v>1038</v>
      </c>
      <c r="BN5848" t="s">
        <v>132</v>
      </c>
      <c r="BO5848" t="s">
        <v>35772</v>
      </c>
      <c r="BP5848" t="s">
        <v>35773</v>
      </c>
      <c r="BS5848">
        <v>30</v>
      </c>
      <c r="BW5848" t="str">
        <f>""</f>
        <v/>
      </c>
      <c r="CH5848" t="str">
        <f>""</f>
        <v/>
      </c>
      <c r="CS5848" t="str">
        <f>""</f>
        <v/>
      </c>
    </row>
    <row r="5849" spans="1:97" x14ac:dyDescent="0.25">
      <c r="A5849" t="s">
        <v>589</v>
      </c>
      <c r="B5849" t="s">
        <v>35774</v>
      </c>
      <c r="E5849" t="s">
        <v>35775</v>
      </c>
      <c r="F5849" t="s">
        <v>108</v>
      </c>
      <c r="H5849" t="s">
        <v>35776</v>
      </c>
      <c r="I5849" t="s">
        <v>110</v>
      </c>
      <c r="J5849" t="s">
        <v>111</v>
      </c>
      <c r="K5849" t="str">
        <f>"85225"</f>
        <v>85225</v>
      </c>
      <c r="L5849" t="s">
        <v>6631</v>
      </c>
      <c r="M5849" t="s">
        <v>35776</v>
      </c>
      <c r="N5849" t="s">
        <v>110</v>
      </c>
      <c r="O5849" t="s">
        <v>111</v>
      </c>
      <c r="P5849" t="str">
        <f>"85225-2666"</f>
        <v>85225-2666</v>
      </c>
      <c r="Q5849" t="s">
        <v>113</v>
      </c>
      <c r="R5849" t="str">
        <f>"302-26-515"</f>
        <v>302-26-515</v>
      </c>
      <c r="S5849" t="s">
        <v>29158</v>
      </c>
      <c r="T5849" t="s">
        <v>35777</v>
      </c>
      <c r="U5849">
        <v>1441</v>
      </c>
      <c r="V5849">
        <v>0</v>
      </c>
      <c r="W5849">
        <v>2</v>
      </c>
      <c r="X5849">
        <v>1980</v>
      </c>
      <c r="Z5849">
        <v>1</v>
      </c>
      <c r="AA5849" t="s">
        <v>26</v>
      </c>
      <c r="AB5849">
        <v>0</v>
      </c>
      <c r="AC5849" t="s">
        <v>115</v>
      </c>
      <c r="AD5849">
        <v>2</v>
      </c>
      <c r="AE5849" t="s">
        <v>115</v>
      </c>
      <c r="AF5849">
        <v>0</v>
      </c>
      <c r="AG5849">
        <v>0</v>
      </c>
      <c r="AH5849" t="s">
        <v>116</v>
      </c>
      <c r="AI5849" s="1">
        <v>54158</v>
      </c>
      <c r="AJ5849" s="2">
        <v>0.19</v>
      </c>
      <c r="AK5849" s="1">
        <v>278766</v>
      </c>
      <c r="AL5849" t="s">
        <v>117</v>
      </c>
      <c r="AM5849" t="s">
        <v>5077</v>
      </c>
      <c r="AN5849">
        <v>6765</v>
      </c>
      <c r="AO5849">
        <v>0.16</v>
      </c>
      <c r="AP5849">
        <v>1</v>
      </c>
      <c r="AR5849">
        <v>1</v>
      </c>
      <c r="AS5849" s="1">
        <v>18650</v>
      </c>
      <c r="AT5849" s="1">
        <v>3730</v>
      </c>
      <c r="AU5849" s="1">
        <v>14920</v>
      </c>
      <c r="AV5849">
        <v>80</v>
      </c>
      <c r="AX5849" s="1">
        <v>1228.94</v>
      </c>
      <c r="AY5849" t="s">
        <v>7201</v>
      </c>
      <c r="AZ5849" t="s">
        <v>7201</v>
      </c>
      <c r="BA5849" t="s">
        <v>5311</v>
      </c>
      <c r="BE5849" s="3">
        <v>42339</v>
      </c>
      <c r="BF5849" s="1">
        <v>219000</v>
      </c>
      <c r="BG5849" t="s">
        <v>35778</v>
      </c>
      <c r="BH5849" s="1">
        <v>151.97999999999999</v>
      </c>
      <c r="BI5849" s="1">
        <v>224608</v>
      </c>
      <c r="BJ5849" s="3">
        <v>42597</v>
      </c>
      <c r="BK5849" t="s">
        <v>123</v>
      </c>
      <c r="BL5849" t="str">
        <f>"2016.579034"</f>
        <v>2016.579034</v>
      </c>
      <c r="BM5849" t="s">
        <v>2117</v>
      </c>
      <c r="BO5849" t="s">
        <v>35779</v>
      </c>
      <c r="BS5849">
        <v>30</v>
      </c>
      <c r="BW5849" t="str">
        <f>""</f>
        <v/>
      </c>
      <c r="CH5849" t="str">
        <f>""</f>
        <v/>
      </c>
      <c r="CS5849" t="str">
        <f>""</f>
        <v/>
      </c>
    </row>
    <row r="5850" spans="1:97" x14ac:dyDescent="0.25">
      <c r="A5850" t="s">
        <v>35780</v>
      </c>
      <c r="B5850" t="s">
        <v>11580</v>
      </c>
      <c r="E5850" t="s">
        <v>35781</v>
      </c>
      <c r="F5850" t="s">
        <v>108</v>
      </c>
      <c r="H5850" t="s">
        <v>35782</v>
      </c>
      <c r="I5850" t="s">
        <v>2874</v>
      </c>
      <c r="J5850" t="s">
        <v>111</v>
      </c>
      <c r="K5850" t="str">
        <f>"85308"</f>
        <v>85308</v>
      </c>
      <c r="L5850" t="s">
        <v>5218</v>
      </c>
      <c r="M5850" t="s">
        <v>35782</v>
      </c>
      <c r="N5850" t="s">
        <v>2874</v>
      </c>
      <c r="O5850" t="s">
        <v>111</v>
      </c>
      <c r="P5850" t="str">
        <f>"85308-7121"</f>
        <v>85308-7121</v>
      </c>
      <c r="Q5850" t="s">
        <v>113</v>
      </c>
      <c r="R5850" t="str">
        <f>"200-28-458"</f>
        <v>200-28-458</v>
      </c>
      <c r="S5850" t="s">
        <v>35783</v>
      </c>
      <c r="T5850" t="s">
        <v>7669</v>
      </c>
      <c r="U5850">
        <v>1725</v>
      </c>
      <c r="V5850">
        <v>0</v>
      </c>
      <c r="W5850">
        <v>3</v>
      </c>
      <c r="X5850">
        <v>1998</v>
      </c>
      <c r="Z5850">
        <v>1</v>
      </c>
      <c r="AA5850" t="s">
        <v>26</v>
      </c>
      <c r="AB5850">
        <v>0</v>
      </c>
      <c r="AC5850" t="s">
        <v>115</v>
      </c>
      <c r="AD5850">
        <v>2</v>
      </c>
      <c r="AE5850" t="s">
        <v>115</v>
      </c>
      <c r="AF5850">
        <v>0</v>
      </c>
      <c r="AG5850">
        <v>0</v>
      </c>
      <c r="AH5850" t="s">
        <v>116</v>
      </c>
      <c r="AI5850" s="1">
        <v>40172</v>
      </c>
      <c r="AJ5850" s="2">
        <v>0.12</v>
      </c>
      <c r="AK5850" s="1">
        <v>337791</v>
      </c>
      <c r="AL5850" t="s">
        <v>117</v>
      </c>
      <c r="AM5850" t="s">
        <v>393</v>
      </c>
      <c r="AN5850">
        <v>10230</v>
      </c>
      <c r="AO5850">
        <v>0.24</v>
      </c>
      <c r="AP5850">
        <v>1</v>
      </c>
      <c r="AR5850">
        <v>1</v>
      </c>
      <c r="AS5850" s="1">
        <v>24260</v>
      </c>
      <c r="AT5850" s="1">
        <v>4850</v>
      </c>
      <c r="AU5850" s="1">
        <v>19410</v>
      </c>
      <c r="AV5850">
        <v>80.010000000000005</v>
      </c>
      <c r="AX5850" s="1">
        <v>2170.36</v>
      </c>
      <c r="AY5850" t="s">
        <v>6740</v>
      </c>
      <c r="AZ5850" t="s">
        <v>6740</v>
      </c>
      <c r="BA5850" t="s">
        <v>5143</v>
      </c>
      <c r="BE5850" s="3">
        <v>42523</v>
      </c>
      <c r="BF5850" s="1">
        <v>295000</v>
      </c>
      <c r="BG5850" t="s">
        <v>35784</v>
      </c>
      <c r="BH5850" s="1">
        <v>171.01</v>
      </c>
      <c r="BI5850" s="1">
        <v>297619</v>
      </c>
      <c r="BJ5850" s="3">
        <v>42523</v>
      </c>
      <c r="BK5850" t="s">
        <v>123</v>
      </c>
      <c r="BL5850" t="str">
        <f>"2016.380701"</f>
        <v>2016.380701</v>
      </c>
      <c r="BM5850" t="s">
        <v>820</v>
      </c>
      <c r="BO5850" t="s">
        <v>35785</v>
      </c>
      <c r="BS5850">
        <v>30</v>
      </c>
      <c r="BW5850" t="str">
        <f>""</f>
        <v/>
      </c>
      <c r="CH5850" t="str">
        <f>""</f>
        <v/>
      </c>
      <c r="CS5850" t="str">
        <f>""</f>
        <v/>
      </c>
    </row>
    <row r="5851" spans="1:97" x14ac:dyDescent="0.25">
      <c r="A5851" t="s">
        <v>26491</v>
      </c>
      <c r="B5851" t="s">
        <v>311</v>
      </c>
      <c r="E5851" t="s">
        <v>35786</v>
      </c>
      <c r="F5851" t="s">
        <v>108</v>
      </c>
      <c r="H5851" t="s">
        <v>35787</v>
      </c>
      <c r="I5851" t="s">
        <v>203</v>
      </c>
      <c r="J5851" t="s">
        <v>111</v>
      </c>
      <c r="K5851" t="str">
        <f>"85295"</f>
        <v>85295</v>
      </c>
      <c r="L5851" t="s">
        <v>7983</v>
      </c>
      <c r="M5851" t="s">
        <v>35787</v>
      </c>
      <c r="N5851" t="s">
        <v>203</v>
      </c>
      <c r="O5851" t="s">
        <v>111</v>
      </c>
      <c r="P5851" t="str">
        <f>"85295-7768"</f>
        <v>85295-7768</v>
      </c>
      <c r="Q5851" t="s">
        <v>113</v>
      </c>
      <c r="R5851" t="str">
        <f>"304-38-213"</f>
        <v>304-38-213</v>
      </c>
      <c r="S5851" t="s">
        <v>10343</v>
      </c>
      <c r="T5851" t="s">
        <v>10343</v>
      </c>
      <c r="U5851">
        <v>2540</v>
      </c>
      <c r="V5851">
        <v>0</v>
      </c>
      <c r="W5851">
        <v>4</v>
      </c>
      <c r="X5851">
        <v>2000</v>
      </c>
      <c r="Z5851">
        <v>1</v>
      </c>
      <c r="AA5851" t="s">
        <v>26</v>
      </c>
      <c r="AB5851">
        <v>0</v>
      </c>
      <c r="AC5851" t="s">
        <v>115</v>
      </c>
      <c r="AD5851">
        <v>3</v>
      </c>
      <c r="AE5851" t="s">
        <v>115</v>
      </c>
      <c r="AF5851">
        <v>0</v>
      </c>
      <c r="AG5851">
        <v>0</v>
      </c>
      <c r="AH5851" t="s">
        <v>116</v>
      </c>
      <c r="AI5851" s="1">
        <v>-13118</v>
      </c>
      <c r="AJ5851" s="2">
        <v>-0.03</v>
      </c>
      <c r="AK5851" s="1">
        <v>415882</v>
      </c>
      <c r="AL5851" t="s">
        <v>117</v>
      </c>
      <c r="AM5851" t="s">
        <v>171</v>
      </c>
      <c r="AN5851">
        <v>9370</v>
      </c>
      <c r="AO5851">
        <v>0.22</v>
      </c>
      <c r="AP5851">
        <v>1</v>
      </c>
      <c r="AR5851">
        <v>1</v>
      </c>
      <c r="AS5851" s="1">
        <v>29760</v>
      </c>
      <c r="AT5851" s="1">
        <v>5950</v>
      </c>
      <c r="AU5851" s="1">
        <v>23810</v>
      </c>
      <c r="AV5851">
        <v>80.010000000000005</v>
      </c>
      <c r="AX5851" s="1">
        <v>2514.84</v>
      </c>
      <c r="AY5851" t="s">
        <v>472</v>
      </c>
      <c r="AZ5851" t="s">
        <v>472</v>
      </c>
      <c r="BA5851" t="s">
        <v>473</v>
      </c>
      <c r="BE5851" s="3">
        <v>42171</v>
      </c>
      <c r="BF5851" s="1">
        <v>365000</v>
      </c>
      <c r="BG5851" t="s">
        <v>35788</v>
      </c>
      <c r="BH5851" s="1">
        <v>143.69999999999999</v>
      </c>
      <c r="BI5851" s="1">
        <v>429000</v>
      </c>
      <c r="BJ5851" s="3">
        <v>43567</v>
      </c>
      <c r="BK5851" t="s">
        <v>123</v>
      </c>
      <c r="BL5851" t="str">
        <f>"2019.256660"</f>
        <v>2019.256660</v>
      </c>
      <c r="BM5851" t="s">
        <v>7228</v>
      </c>
      <c r="BN5851" t="s">
        <v>7229</v>
      </c>
      <c r="BO5851" t="s">
        <v>35786</v>
      </c>
      <c r="BR5851" t="s">
        <v>139</v>
      </c>
      <c r="BW5851" t="str">
        <f>""</f>
        <v/>
      </c>
      <c r="CH5851" t="str">
        <f>""</f>
        <v/>
      </c>
      <c r="CS5851" t="str">
        <f>""</f>
        <v/>
      </c>
    </row>
    <row r="5852" spans="1:97" x14ac:dyDescent="0.25">
      <c r="A5852" t="s">
        <v>753</v>
      </c>
      <c r="B5852" t="s">
        <v>19673</v>
      </c>
      <c r="C5852" t="s">
        <v>1507</v>
      </c>
      <c r="D5852" t="s">
        <v>19673</v>
      </c>
      <c r="E5852" t="s">
        <v>35789</v>
      </c>
      <c r="F5852" t="s">
        <v>108</v>
      </c>
      <c r="H5852" t="s">
        <v>35790</v>
      </c>
      <c r="I5852" t="s">
        <v>6646</v>
      </c>
      <c r="J5852" t="s">
        <v>111</v>
      </c>
      <c r="K5852" t="str">
        <f>"85086"</f>
        <v>85086</v>
      </c>
      <c r="L5852" t="s">
        <v>2015</v>
      </c>
      <c r="M5852" t="s">
        <v>35790</v>
      </c>
      <c r="N5852" t="s">
        <v>6646</v>
      </c>
      <c r="O5852" t="s">
        <v>111</v>
      </c>
      <c r="P5852" t="str">
        <f>"85086-1579"</f>
        <v>85086-1579</v>
      </c>
      <c r="Q5852" t="s">
        <v>113</v>
      </c>
      <c r="R5852" t="str">
        <f>"203-05-209"</f>
        <v>203-05-209</v>
      </c>
      <c r="S5852" t="s">
        <v>27390</v>
      </c>
      <c r="U5852">
        <v>2596</v>
      </c>
      <c r="V5852">
        <v>0</v>
      </c>
      <c r="W5852">
        <v>4</v>
      </c>
      <c r="X5852">
        <v>1999</v>
      </c>
      <c r="Z5852">
        <v>1</v>
      </c>
      <c r="AB5852">
        <v>0</v>
      </c>
      <c r="AC5852" t="s">
        <v>115</v>
      </c>
      <c r="AD5852">
        <v>3</v>
      </c>
      <c r="AE5852" t="s">
        <v>115</v>
      </c>
      <c r="AF5852">
        <v>0</v>
      </c>
      <c r="AG5852">
        <v>0</v>
      </c>
      <c r="AH5852" t="s">
        <v>116</v>
      </c>
      <c r="AI5852" s="1">
        <v>12834</v>
      </c>
      <c r="AJ5852" s="2">
        <v>0.03</v>
      </c>
      <c r="AK5852" s="1">
        <v>379549</v>
      </c>
      <c r="AL5852" t="s">
        <v>117</v>
      </c>
      <c r="AM5852" t="s">
        <v>191</v>
      </c>
      <c r="AN5852">
        <v>8050</v>
      </c>
      <c r="AO5852">
        <v>0.18</v>
      </c>
      <c r="AP5852">
        <v>1</v>
      </c>
      <c r="AR5852">
        <v>1</v>
      </c>
      <c r="AS5852" s="1">
        <v>26850</v>
      </c>
      <c r="AT5852" s="1">
        <v>5370</v>
      </c>
      <c r="AU5852" s="1">
        <v>21480</v>
      </c>
      <c r="AV5852">
        <v>80</v>
      </c>
      <c r="AX5852" s="1">
        <v>2901.36</v>
      </c>
      <c r="AY5852" t="s">
        <v>6648</v>
      </c>
      <c r="AZ5852" t="s">
        <v>6648</v>
      </c>
      <c r="BA5852" t="s">
        <v>378</v>
      </c>
      <c r="BE5852" s="3">
        <v>41911</v>
      </c>
      <c r="BF5852" s="1">
        <v>302000</v>
      </c>
      <c r="BG5852" t="s">
        <v>35791</v>
      </c>
      <c r="BH5852" s="1">
        <v>116.33</v>
      </c>
      <c r="BI5852" s="1">
        <v>366715</v>
      </c>
      <c r="BJ5852" s="3">
        <v>43539</v>
      </c>
      <c r="BK5852" t="s">
        <v>123</v>
      </c>
      <c r="BL5852" t="str">
        <f>"2019.182410"</f>
        <v>2019.182410</v>
      </c>
      <c r="BM5852" t="s">
        <v>10263</v>
      </c>
      <c r="BN5852" t="s">
        <v>655</v>
      </c>
      <c r="BO5852" t="s">
        <v>35792</v>
      </c>
      <c r="BP5852" t="s">
        <v>35793</v>
      </c>
      <c r="BR5852" t="s">
        <v>139</v>
      </c>
      <c r="BW5852" t="str">
        <f>""</f>
        <v/>
      </c>
      <c r="CH5852" t="str">
        <f>""</f>
        <v/>
      </c>
      <c r="CS5852" t="str">
        <f>""</f>
        <v/>
      </c>
    </row>
    <row r="5853" spans="1:97" x14ac:dyDescent="0.25">
      <c r="A5853" t="s">
        <v>1850</v>
      </c>
      <c r="B5853" t="s">
        <v>1208</v>
      </c>
      <c r="C5853" t="s">
        <v>1547</v>
      </c>
      <c r="D5853" t="s">
        <v>1208</v>
      </c>
      <c r="E5853" t="s">
        <v>35794</v>
      </c>
      <c r="F5853" t="s">
        <v>108</v>
      </c>
      <c r="H5853" t="s">
        <v>35795</v>
      </c>
      <c r="I5853" t="s">
        <v>110</v>
      </c>
      <c r="J5853" t="s">
        <v>111</v>
      </c>
      <c r="K5853" t="str">
        <f>"85225"</f>
        <v>85225</v>
      </c>
      <c r="L5853" t="s">
        <v>6631</v>
      </c>
      <c r="M5853" t="s">
        <v>35795</v>
      </c>
      <c r="N5853" t="s">
        <v>110</v>
      </c>
      <c r="O5853" t="s">
        <v>111</v>
      </c>
      <c r="P5853" t="str">
        <f>"85225-7138"</f>
        <v>85225-7138</v>
      </c>
      <c r="Q5853" t="s">
        <v>113</v>
      </c>
      <c r="R5853" t="str">
        <f>"302-88-784"</f>
        <v>302-88-784</v>
      </c>
      <c r="S5853" t="s">
        <v>16951</v>
      </c>
      <c r="T5853" t="s">
        <v>16952</v>
      </c>
      <c r="U5853">
        <v>2363</v>
      </c>
      <c r="V5853">
        <v>0</v>
      </c>
      <c r="W5853">
        <v>3</v>
      </c>
      <c r="X5853">
        <v>1984</v>
      </c>
      <c r="Z5853">
        <v>1</v>
      </c>
      <c r="AA5853" t="s">
        <v>26</v>
      </c>
      <c r="AB5853">
        <v>0</v>
      </c>
      <c r="AC5853" t="s">
        <v>115</v>
      </c>
      <c r="AD5853">
        <v>2</v>
      </c>
      <c r="AE5853" t="s">
        <v>115</v>
      </c>
      <c r="AF5853">
        <v>0</v>
      </c>
      <c r="AG5853">
        <v>0</v>
      </c>
      <c r="AH5853" t="s">
        <v>116</v>
      </c>
      <c r="AI5853" s="1">
        <v>25089</v>
      </c>
      <c r="AJ5853" s="2">
        <v>0.06</v>
      </c>
      <c r="AK5853" s="1">
        <v>389263</v>
      </c>
      <c r="AL5853" t="s">
        <v>117</v>
      </c>
      <c r="AM5853" t="s">
        <v>5077</v>
      </c>
      <c r="AN5853">
        <v>10916</v>
      </c>
      <c r="AO5853">
        <v>0.25</v>
      </c>
      <c r="AP5853">
        <v>1</v>
      </c>
      <c r="AR5853">
        <v>1</v>
      </c>
      <c r="AS5853" s="1">
        <v>27960</v>
      </c>
      <c r="AT5853" s="1">
        <v>5590</v>
      </c>
      <c r="AU5853" s="1">
        <v>22370</v>
      </c>
      <c r="AV5853">
        <v>80.010000000000005</v>
      </c>
      <c r="AX5853" s="1">
        <v>2020.86</v>
      </c>
      <c r="AY5853" t="s">
        <v>7201</v>
      </c>
      <c r="AZ5853" t="s">
        <v>7201</v>
      </c>
      <c r="BA5853" t="s">
        <v>5311</v>
      </c>
      <c r="BE5853" s="3">
        <v>42443</v>
      </c>
      <c r="BF5853" s="1">
        <v>320000</v>
      </c>
      <c r="BG5853" t="s">
        <v>35796</v>
      </c>
      <c r="BH5853" s="1">
        <v>135.41999999999999</v>
      </c>
      <c r="BI5853" s="1">
        <v>325395</v>
      </c>
      <c r="BJ5853" s="3">
        <v>42443</v>
      </c>
      <c r="BK5853" t="s">
        <v>123</v>
      </c>
      <c r="BL5853" t="str">
        <f>"2016.160751"</f>
        <v>2016.160751</v>
      </c>
      <c r="BM5853" t="s">
        <v>1038</v>
      </c>
      <c r="BO5853" t="s">
        <v>35797</v>
      </c>
      <c r="BS5853">
        <v>30</v>
      </c>
      <c r="BT5853" s="1">
        <v>38779</v>
      </c>
      <c r="BU5853" s="3">
        <v>42838</v>
      </c>
      <c r="BV5853" t="s">
        <v>134</v>
      </c>
      <c r="BW5853" t="str">
        <f>"2017.263384"</f>
        <v>2017.263384</v>
      </c>
      <c r="BX5853" t="s">
        <v>198</v>
      </c>
      <c r="BZ5853" t="s">
        <v>35797</v>
      </c>
      <c r="CD5853">
        <v>15</v>
      </c>
      <c r="CH5853" t="str">
        <f>""</f>
        <v/>
      </c>
      <c r="CS5853" t="str">
        <f>""</f>
        <v/>
      </c>
    </row>
    <row r="5854" spans="1:97" x14ac:dyDescent="0.25">
      <c r="A5854" t="s">
        <v>13735</v>
      </c>
      <c r="B5854" t="s">
        <v>35798</v>
      </c>
      <c r="C5854" t="s">
        <v>35799</v>
      </c>
      <c r="D5854" t="s">
        <v>35798</v>
      </c>
      <c r="E5854" t="s">
        <v>35800</v>
      </c>
      <c r="F5854" t="s">
        <v>108</v>
      </c>
      <c r="H5854" t="s">
        <v>35801</v>
      </c>
      <c r="I5854" t="s">
        <v>2874</v>
      </c>
      <c r="J5854" t="s">
        <v>111</v>
      </c>
      <c r="K5854" t="str">
        <f>"85303"</f>
        <v>85303</v>
      </c>
      <c r="L5854" t="s">
        <v>5464</v>
      </c>
      <c r="M5854" t="s">
        <v>35801</v>
      </c>
      <c r="N5854" t="s">
        <v>2874</v>
      </c>
      <c r="O5854" t="s">
        <v>111</v>
      </c>
      <c r="P5854" t="str">
        <f>"85303-5546"</f>
        <v>85303-5546</v>
      </c>
      <c r="Q5854" t="s">
        <v>113</v>
      </c>
      <c r="R5854" t="str">
        <f>"102-09-159"</f>
        <v>102-09-159</v>
      </c>
      <c r="S5854" t="s">
        <v>10435</v>
      </c>
      <c r="U5854">
        <v>2326</v>
      </c>
      <c r="V5854">
        <v>0</v>
      </c>
      <c r="W5854">
        <v>3</v>
      </c>
      <c r="X5854">
        <v>1992</v>
      </c>
      <c r="Z5854">
        <v>2</v>
      </c>
      <c r="AA5854" t="s">
        <v>26</v>
      </c>
      <c r="AB5854">
        <v>0</v>
      </c>
      <c r="AC5854" t="s">
        <v>115</v>
      </c>
      <c r="AD5854">
        <v>2</v>
      </c>
      <c r="AE5854" t="s">
        <v>115</v>
      </c>
      <c r="AF5854">
        <v>0</v>
      </c>
      <c r="AG5854">
        <v>0</v>
      </c>
      <c r="AH5854" t="s">
        <v>116</v>
      </c>
      <c r="AI5854" s="1">
        <v>62466</v>
      </c>
      <c r="AJ5854" s="2">
        <v>0.23</v>
      </c>
      <c r="AK5854" s="1">
        <v>277466</v>
      </c>
      <c r="AL5854" t="s">
        <v>117</v>
      </c>
      <c r="AM5854" t="s">
        <v>191</v>
      </c>
      <c r="AN5854">
        <v>7810</v>
      </c>
      <c r="AO5854">
        <v>0.18</v>
      </c>
      <c r="AP5854">
        <v>1</v>
      </c>
      <c r="AR5854">
        <v>1</v>
      </c>
      <c r="AS5854" s="1">
        <v>17900</v>
      </c>
      <c r="AT5854" s="1">
        <v>3580</v>
      </c>
      <c r="AU5854" s="1">
        <v>14320</v>
      </c>
      <c r="AV5854">
        <v>80</v>
      </c>
      <c r="AX5854" s="1">
        <v>1455.82</v>
      </c>
      <c r="AY5854" t="s">
        <v>10437</v>
      </c>
      <c r="AZ5854" t="s">
        <v>10437</v>
      </c>
      <c r="BA5854" t="s">
        <v>2878</v>
      </c>
      <c r="BE5854" s="3">
        <v>42356</v>
      </c>
      <c r="BF5854" s="1">
        <v>215000</v>
      </c>
      <c r="BG5854" t="s">
        <v>18252</v>
      </c>
      <c r="BH5854" s="1">
        <v>92.43</v>
      </c>
      <c r="BI5854" s="1">
        <v>215000</v>
      </c>
      <c r="BJ5854" s="3">
        <v>42356</v>
      </c>
      <c r="BK5854" t="s">
        <v>123</v>
      </c>
      <c r="BL5854" t="str">
        <f>"2015.894101"</f>
        <v>2015.894101</v>
      </c>
      <c r="BM5854" t="s">
        <v>1791</v>
      </c>
      <c r="BO5854" t="s">
        <v>35802</v>
      </c>
      <c r="BS5854">
        <v>30</v>
      </c>
      <c r="BW5854" t="str">
        <f>""</f>
        <v/>
      </c>
      <c r="CH5854" t="str">
        <f>""</f>
        <v/>
      </c>
      <c r="CS5854" t="str">
        <f>""</f>
        <v/>
      </c>
    </row>
    <row r="5855" spans="1:97" x14ac:dyDescent="0.25">
      <c r="A5855" t="s">
        <v>11648</v>
      </c>
      <c r="B5855" t="s">
        <v>22455</v>
      </c>
      <c r="E5855" t="s">
        <v>35803</v>
      </c>
      <c r="F5855" t="s">
        <v>108</v>
      </c>
      <c r="H5855" t="s">
        <v>35804</v>
      </c>
      <c r="I5855" t="s">
        <v>390</v>
      </c>
      <c r="J5855" t="s">
        <v>111</v>
      </c>
      <c r="K5855" t="str">
        <f>"85018"</f>
        <v>85018</v>
      </c>
      <c r="L5855" t="s">
        <v>1312</v>
      </c>
      <c r="M5855" t="s">
        <v>35804</v>
      </c>
      <c r="N5855" t="s">
        <v>390</v>
      </c>
      <c r="O5855" t="s">
        <v>111</v>
      </c>
      <c r="P5855" t="str">
        <f>"85018-3319"</f>
        <v>85018-3319</v>
      </c>
      <c r="Q5855" t="s">
        <v>113</v>
      </c>
      <c r="R5855" t="str">
        <f>"170-21-057-B"</f>
        <v>170-21-057-B</v>
      </c>
      <c r="S5855" t="s">
        <v>35805</v>
      </c>
      <c r="T5855" t="s">
        <v>35805</v>
      </c>
      <c r="U5855">
        <v>2254</v>
      </c>
      <c r="V5855">
        <v>0</v>
      </c>
      <c r="W5855">
        <v>3</v>
      </c>
      <c r="X5855">
        <v>1957</v>
      </c>
      <c r="Z5855">
        <v>2</v>
      </c>
      <c r="AA5855" t="s">
        <v>26</v>
      </c>
      <c r="AB5855">
        <v>0</v>
      </c>
      <c r="AC5855" t="s">
        <v>115</v>
      </c>
      <c r="AD5855">
        <v>2</v>
      </c>
      <c r="AE5855" t="s">
        <v>115</v>
      </c>
      <c r="AF5855">
        <v>0</v>
      </c>
      <c r="AG5855">
        <v>0</v>
      </c>
      <c r="AH5855" t="s">
        <v>116</v>
      </c>
      <c r="AI5855" s="1">
        <v>151013</v>
      </c>
      <c r="AJ5855" s="2">
        <v>0.24</v>
      </c>
      <c r="AK5855" s="1">
        <v>639024</v>
      </c>
      <c r="AL5855" t="s">
        <v>117</v>
      </c>
      <c r="AM5855" t="s">
        <v>191</v>
      </c>
      <c r="AN5855">
        <v>9723</v>
      </c>
      <c r="AO5855">
        <v>0.22</v>
      </c>
      <c r="AP5855">
        <v>1</v>
      </c>
      <c r="AR5855">
        <v>1</v>
      </c>
      <c r="AS5855" s="1">
        <v>46650</v>
      </c>
      <c r="AT5855" s="1">
        <v>9330</v>
      </c>
      <c r="AU5855" s="1">
        <v>37320</v>
      </c>
      <c r="AV5855">
        <v>80</v>
      </c>
      <c r="AX5855" s="1">
        <v>5146</v>
      </c>
      <c r="AY5855" t="s">
        <v>14363</v>
      </c>
      <c r="AZ5855" t="s">
        <v>14363</v>
      </c>
      <c r="BA5855" t="s">
        <v>6255</v>
      </c>
      <c r="BE5855" s="3">
        <v>42200</v>
      </c>
      <c r="BF5855" s="1">
        <v>535000</v>
      </c>
      <c r="BG5855" t="s">
        <v>35806</v>
      </c>
      <c r="BH5855" s="1">
        <v>237.36</v>
      </c>
      <c r="BI5855" s="1">
        <v>488011</v>
      </c>
      <c r="BJ5855" s="3">
        <v>42577</v>
      </c>
      <c r="BK5855" t="s">
        <v>123</v>
      </c>
      <c r="BL5855" t="str">
        <f>"2016.526212"</f>
        <v>2016.526212</v>
      </c>
      <c r="BM5855" t="s">
        <v>544</v>
      </c>
      <c r="BO5855" t="s">
        <v>35807</v>
      </c>
      <c r="BS5855">
        <v>30</v>
      </c>
      <c r="BW5855" t="str">
        <f>""</f>
        <v/>
      </c>
      <c r="CH5855" t="str">
        <f>""</f>
        <v/>
      </c>
      <c r="CS5855" t="str">
        <f>""</f>
        <v/>
      </c>
    </row>
    <row r="5856" spans="1:97" x14ac:dyDescent="0.25">
      <c r="A5856" t="s">
        <v>3212</v>
      </c>
      <c r="B5856" t="s">
        <v>35808</v>
      </c>
      <c r="C5856" t="s">
        <v>1959</v>
      </c>
      <c r="D5856" t="s">
        <v>35808</v>
      </c>
      <c r="E5856" t="s">
        <v>35809</v>
      </c>
      <c r="F5856" t="s">
        <v>108</v>
      </c>
      <c r="H5856" t="s">
        <v>35810</v>
      </c>
      <c r="I5856" t="s">
        <v>203</v>
      </c>
      <c r="J5856" t="s">
        <v>111</v>
      </c>
      <c r="K5856" t="str">
        <f>"85295"</f>
        <v>85295</v>
      </c>
      <c r="L5856" t="s">
        <v>5260</v>
      </c>
      <c r="M5856" t="s">
        <v>35810</v>
      </c>
      <c r="N5856" t="s">
        <v>203</v>
      </c>
      <c r="O5856" t="s">
        <v>111</v>
      </c>
      <c r="P5856" t="str">
        <f>"85295-1424"</f>
        <v>85295-1424</v>
      </c>
      <c r="Q5856" t="s">
        <v>113</v>
      </c>
      <c r="R5856" t="str">
        <f>"304-47-297"</f>
        <v>304-47-297</v>
      </c>
      <c r="S5856" t="s">
        <v>22588</v>
      </c>
      <c r="T5856" t="s">
        <v>22588</v>
      </c>
      <c r="U5856">
        <v>2436</v>
      </c>
      <c r="V5856">
        <v>0</v>
      </c>
      <c r="W5856">
        <v>4</v>
      </c>
      <c r="X5856">
        <v>2003</v>
      </c>
      <c r="Z5856">
        <v>1</v>
      </c>
      <c r="AA5856" t="s">
        <v>26</v>
      </c>
      <c r="AB5856">
        <v>0</v>
      </c>
      <c r="AC5856" t="s">
        <v>115</v>
      </c>
      <c r="AD5856">
        <v>3</v>
      </c>
      <c r="AE5856" t="s">
        <v>115</v>
      </c>
      <c r="AF5856">
        <v>0</v>
      </c>
      <c r="AG5856">
        <v>0</v>
      </c>
      <c r="AH5856" t="s">
        <v>116</v>
      </c>
      <c r="AI5856" s="1">
        <v>132283</v>
      </c>
      <c r="AJ5856" s="2">
        <v>0.32</v>
      </c>
      <c r="AK5856" s="1">
        <v>411399</v>
      </c>
      <c r="AL5856" t="s">
        <v>117</v>
      </c>
      <c r="AM5856" t="s">
        <v>1302</v>
      </c>
      <c r="AN5856">
        <v>10000</v>
      </c>
      <c r="AO5856">
        <v>0.23</v>
      </c>
      <c r="AP5856">
        <v>1</v>
      </c>
      <c r="AR5856">
        <v>1</v>
      </c>
      <c r="AS5856" s="1">
        <v>31300</v>
      </c>
      <c r="AT5856" s="1">
        <v>6260</v>
      </c>
      <c r="AU5856" s="1">
        <v>25040</v>
      </c>
      <c r="AV5856">
        <v>80</v>
      </c>
      <c r="AX5856" s="1">
        <v>2767.76</v>
      </c>
      <c r="AY5856" t="s">
        <v>5087</v>
      </c>
      <c r="AZ5856" t="s">
        <v>5087</v>
      </c>
      <c r="BA5856" t="s">
        <v>473</v>
      </c>
      <c r="BE5856" s="3">
        <v>41729</v>
      </c>
      <c r="BF5856" s="1">
        <v>300000</v>
      </c>
      <c r="BG5856" t="s">
        <v>35811</v>
      </c>
      <c r="BH5856" s="1">
        <v>123.15</v>
      </c>
      <c r="BI5856" s="1">
        <v>279116</v>
      </c>
      <c r="BJ5856" s="3">
        <v>42773</v>
      </c>
      <c r="BK5856" t="s">
        <v>123</v>
      </c>
      <c r="BL5856" t="str">
        <f>"2017.90796"</f>
        <v>2017.90796</v>
      </c>
      <c r="BM5856" t="s">
        <v>1325</v>
      </c>
      <c r="BO5856" t="s">
        <v>35812</v>
      </c>
      <c r="BS5856">
        <v>25</v>
      </c>
      <c r="BW5856" t="str">
        <f>""</f>
        <v/>
      </c>
      <c r="CH5856" t="str">
        <f>""</f>
        <v/>
      </c>
      <c r="CS5856" t="str">
        <f>""</f>
        <v/>
      </c>
    </row>
    <row r="5857" spans="1:97" x14ac:dyDescent="0.25">
      <c r="A5857" t="s">
        <v>4754</v>
      </c>
      <c r="B5857" t="s">
        <v>35813</v>
      </c>
      <c r="E5857" t="s">
        <v>35814</v>
      </c>
      <c r="F5857" t="s">
        <v>108</v>
      </c>
      <c r="H5857" t="s">
        <v>35815</v>
      </c>
      <c r="I5857" t="s">
        <v>2874</v>
      </c>
      <c r="J5857" t="s">
        <v>111</v>
      </c>
      <c r="K5857" t="str">
        <f>"85308"</f>
        <v>85308</v>
      </c>
      <c r="L5857" t="s">
        <v>7607</v>
      </c>
      <c r="M5857" t="s">
        <v>35815</v>
      </c>
      <c r="N5857" t="s">
        <v>2874</v>
      </c>
      <c r="O5857" t="s">
        <v>111</v>
      </c>
      <c r="P5857" t="str">
        <f>"85308-8918"</f>
        <v>85308-8918</v>
      </c>
      <c r="Q5857" t="s">
        <v>113</v>
      </c>
      <c r="R5857" t="str">
        <f>"200-21-226"</f>
        <v>200-21-226</v>
      </c>
      <c r="S5857" t="s">
        <v>35816</v>
      </c>
      <c r="T5857" t="s">
        <v>35816</v>
      </c>
      <c r="U5857">
        <v>2242</v>
      </c>
      <c r="V5857">
        <v>0</v>
      </c>
      <c r="W5857">
        <v>3</v>
      </c>
      <c r="X5857">
        <v>1999</v>
      </c>
      <c r="Z5857">
        <v>1</v>
      </c>
      <c r="AA5857" t="s">
        <v>26</v>
      </c>
      <c r="AB5857">
        <v>0</v>
      </c>
      <c r="AC5857" t="s">
        <v>115</v>
      </c>
      <c r="AD5857">
        <v>3</v>
      </c>
      <c r="AE5857" t="s">
        <v>115</v>
      </c>
      <c r="AF5857">
        <v>0</v>
      </c>
      <c r="AG5857">
        <v>0</v>
      </c>
      <c r="AH5857" t="s">
        <v>116</v>
      </c>
      <c r="AI5857" s="1">
        <v>42847</v>
      </c>
      <c r="AJ5857" s="2">
        <v>0.11</v>
      </c>
      <c r="AK5857" s="1">
        <v>397047</v>
      </c>
      <c r="AL5857" t="s">
        <v>117</v>
      </c>
      <c r="AM5857" t="s">
        <v>393</v>
      </c>
      <c r="AN5857">
        <v>7700</v>
      </c>
      <c r="AO5857">
        <v>0.18</v>
      </c>
      <c r="AP5857">
        <v>1</v>
      </c>
      <c r="AR5857">
        <v>1</v>
      </c>
      <c r="AS5857" s="1">
        <v>28000</v>
      </c>
      <c r="AT5857" s="1">
        <v>5600</v>
      </c>
      <c r="AU5857" s="1">
        <v>22400</v>
      </c>
      <c r="AV5857">
        <v>80</v>
      </c>
      <c r="AX5857" s="1">
        <v>2580.2800000000002</v>
      </c>
      <c r="AY5857" t="s">
        <v>8358</v>
      </c>
      <c r="AZ5857" t="s">
        <v>8358</v>
      </c>
      <c r="BA5857" t="s">
        <v>2223</v>
      </c>
      <c r="BE5857" s="3">
        <v>42471</v>
      </c>
      <c r="BF5857" s="1">
        <v>350000</v>
      </c>
      <c r="BG5857" t="s">
        <v>35817</v>
      </c>
      <c r="BH5857" s="1">
        <v>156.11000000000001</v>
      </c>
      <c r="BI5857" s="1">
        <v>354200</v>
      </c>
      <c r="BJ5857" s="3">
        <v>42696</v>
      </c>
      <c r="BK5857" t="s">
        <v>123</v>
      </c>
      <c r="BL5857" t="str">
        <f>"2016.860582"</f>
        <v>2016.860582</v>
      </c>
      <c r="BM5857" t="s">
        <v>322</v>
      </c>
      <c r="BO5857" t="s">
        <v>35818</v>
      </c>
      <c r="BS5857">
        <v>30</v>
      </c>
      <c r="BW5857" t="str">
        <f>""</f>
        <v/>
      </c>
      <c r="CH5857" t="str">
        <f>""</f>
        <v/>
      </c>
      <c r="CS5857" t="str">
        <f>""</f>
        <v/>
      </c>
    </row>
    <row r="5858" spans="1:97" x14ac:dyDescent="0.25">
      <c r="A5858" t="s">
        <v>35514</v>
      </c>
      <c r="B5858" t="s">
        <v>35819</v>
      </c>
      <c r="E5858" t="s">
        <v>35820</v>
      </c>
      <c r="F5858" t="s">
        <v>282</v>
      </c>
      <c r="H5858" t="s">
        <v>35821</v>
      </c>
      <c r="I5858" t="s">
        <v>203</v>
      </c>
      <c r="J5858" t="s">
        <v>111</v>
      </c>
      <c r="K5858" t="str">
        <f>"85297"</f>
        <v>85297</v>
      </c>
      <c r="L5858" t="s">
        <v>1383</v>
      </c>
      <c r="M5858" t="s">
        <v>35822</v>
      </c>
      <c r="N5858" t="s">
        <v>35823</v>
      </c>
      <c r="O5858" t="s">
        <v>5981</v>
      </c>
      <c r="P5858" t="str">
        <f>"55987-1337"</f>
        <v>55987-1337</v>
      </c>
      <c r="Q5858" t="s">
        <v>113</v>
      </c>
      <c r="R5858" t="str">
        <f>"304-60-207"</f>
        <v>304-60-207</v>
      </c>
      <c r="S5858" t="s">
        <v>35824</v>
      </c>
      <c r="U5858">
        <v>4015</v>
      </c>
      <c r="V5858">
        <v>0</v>
      </c>
      <c r="W5858">
        <v>5</v>
      </c>
      <c r="X5858">
        <v>2003</v>
      </c>
      <c r="Z5858">
        <v>2</v>
      </c>
      <c r="AA5858" t="s">
        <v>26</v>
      </c>
      <c r="AB5858">
        <v>0</v>
      </c>
      <c r="AC5858" t="s">
        <v>115</v>
      </c>
      <c r="AD5858">
        <v>3</v>
      </c>
      <c r="AE5858" t="s">
        <v>115</v>
      </c>
      <c r="AF5858">
        <v>0</v>
      </c>
      <c r="AG5858">
        <v>0</v>
      </c>
      <c r="AH5858" t="s">
        <v>116</v>
      </c>
      <c r="AI5858" s="1">
        <v>89189</v>
      </c>
      <c r="AJ5858" s="2">
        <v>0.18</v>
      </c>
      <c r="AK5858" s="1">
        <v>492681</v>
      </c>
      <c r="AL5858" t="s">
        <v>117</v>
      </c>
      <c r="AM5858" t="s">
        <v>171</v>
      </c>
      <c r="AN5858">
        <v>8799</v>
      </c>
      <c r="AO5858">
        <v>0.2</v>
      </c>
      <c r="AP5858">
        <v>1</v>
      </c>
      <c r="AR5858">
        <v>1</v>
      </c>
      <c r="AS5858" s="1">
        <v>33720</v>
      </c>
      <c r="AT5858" s="1">
        <v>6740</v>
      </c>
      <c r="AU5858" s="1">
        <v>26980</v>
      </c>
      <c r="AV5858">
        <v>80.010000000000005</v>
      </c>
      <c r="AX5858" s="1">
        <v>3100.1</v>
      </c>
      <c r="AY5858" t="s">
        <v>7512</v>
      </c>
      <c r="AZ5858" t="s">
        <v>7512</v>
      </c>
      <c r="BA5858" t="s">
        <v>473</v>
      </c>
      <c r="BE5858" s="3">
        <v>42109</v>
      </c>
      <c r="BF5858" s="1">
        <v>395000</v>
      </c>
      <c r="BG5858" t="s">
        <v>35825</v>
      </c>
      <c r="BH5858" s="1">
        <v>98.38</v>
      </c>
      <c r="BI5858" s="1">
        <v>403492</v>
      </c>
      <c r="BJ5858" s="3">
        <v>42109</v>
      </c>
      <c r="BK5858" t="s">
        <v>123</v>
      </c>
      <c r="BL5858" t="str">
        <f>"2015.258324"</f>
        <v>2015.258324</v>
      </c>
      <c r="BM5858" t="s">
        <v>5867</v>
      </c>
      <c r="BO5858" t="s">
        <v>35826</v>
      </c>
      <c r="BS5858">
        <v>30</v>
      </c>
      <c r="BW5858" t="str">
        <f>""</f>
        <v/>
      </c>
      <c r="CH5858" t="str">
        <f>""</f>
        <v/>
      </c>
      <c r="CS5858" t="str">
        <f>""</f>
        <v/>
      </c>
    </row>
    <row r="5859" spans="1:97" x14ac:dyDescent="0.25">
      <c r="A5859" t="s">
        <v>464</v>
      </c>
      <c r="B5859" t="s">
        <v>35827</v>
      </c>
      <c r="C5859" t="s">
        <v>691</v>
      </c>
      <c r="D5859" t="s">
        <v>35827</v>
      </c>
      <c r="E5859" t="s">
        <v>35828</v>
      </c>
      <c r="F5859" t="s">
        <v>108</v>
      </c>
      <c r="H5859" t="s">
        <v>35829</v>
      </c>
      <c r="I5859" t="s">
        <v>453</v>
      </c>
      <c r="J5859" t="s">
        <v>111</v>
      </c>
      <c r="K5859" t="str">
        <f>"85382"</f>
        <v>85382</v>
      </c>
      <c r="L5859" t="s">
        <v>734</v>
      </c>
      <c r="M5859" t="s">
        <v>35829</v>
      </c>
      <c r="N5859" t="s">
        <v>453</v>
      </c>
      <c r="O5859" t="s">
        <v>111</v>
      </c>
      <c r="P5859" t="str">
        <f>"85382-8756"</f>
        <v>85382-8756</v>
      </c>
      <c r="Q5859" t="s">
        <v>113</v>
      </c>
      <c r="R5859" t="str">
        <f>"231-12-722"</f>
        <v>231-12-722</v>
      </c>
      <c r="S5859" t="s">
        <v>35830</v>
      </c>
      <c r="T5859" t="s">
        <v>35831</v>
      </c>
      <c r="U5859">
        <v>1907</v>
      </c>
      <c r="V5859">
        <v>0</v>
      </c>
      <c r="W5859">
        <v>3</v>
      </c>
      <c r="X5859">
        <v>1996</v>
      </c>
      <c r="Z5859">
        <v>1</v>
      </c>
      <c r="AB5859">
        <v>0</v>
      </c>
      <c r="AC5859" t="s">
        <v>115</v>
      </c>
      <c r="AD5859">
        <v>3</v>
      </c>
      <c r="AE5859" t="s">
        <v>115</v>
      </c>
      <c r="AF5859">
        <v>0</v>
      </c>
      <c r="AG5859">
        <v>0</v>
      </c>
      <c r="AH5859" t="s">
        <v>116</v>
      </c>
      <c r="AI5859" s="1">
        <v>128445</v>
      </c>
      <c r="AJ5859" s="2">
        <v>0.38</v>
      </c>
      <c r="AK5859" s="1">
        <v>340445</v>
      </c>
      <c r="AL5859" t="s">
        <v>117</v>
      </c>
      <c r="AM5859" t="s">
        <v>118</v>
      </c>
      <c r="AN5859">
        <v>10809</v>
      </c>
      <c r="AO5859">
        <v>0.25</v>
      </c>
      <c r="AP5859">
        <v>1</v>
      </c>
      <c r="AR5859">
        <v>1</v>
      </c>
      <c r="AS5859" s="1">
        <v>24700</v>
      </c>
      <c r="AT5859" s="1">
        <v>4940</v>
      </c>
      <c r="AU5859" s="1">
        <v>19760</v>
      </c>
      <c r="AV5859">
        <v>80</v>
      </c>
      <c r="AX5859" s="1">
        <v>2370.48</v>
      </c>
      <c r="AY5859" t="s">
        <v>7828</v>
      </c>
      <c r="AZ5859" t="s">
        <v>7828</v>
      </c>
      <c r="BA5859" t="s">
        <v>4219</v>
      </c>
      <c r="BE5859" s="3">
        <v>42075</v>
      </c>
      <c r="BF5859" s="1">
        <v>247500</v>
      </c>
      <c r="BG5859" t="s">
        <v>35832</v>
      </c>
      <c r="BH5859" s="1">
        <v>129.79</v>
      </c>
      <c r="BI5859" s="1">
        <v>212000</v>
      </c>
      <c r="BJ5859" s="3">
        <v>42598</v>
      </c>
      <c r="BK5859" t="s">
        <v>123</v>
      </c>
      <c r="BL5859" t="str">
        <f>"2016.586340"</f>
        <v>2016.586340</v>
      </c>
      <c r="BM5859" t="s">
        <v>9100</v>
      </c>
      <c r="BO5859" t="s">
        <v>35833</v>
      </c>
      <c r="BS5859">
        <v>30</v>
      </c>
      <c r="BW5859" t="str">
        <f>""</f>
        <v/>
      </c>
      <c r="CH5859" t="str">
        <f>""</f>
        <v/>
      </c>
      <c r="CS5859" t="str">
        <f>""</f>
        <v/>
      </c>
    </row>
    <row r="5860" spans="1:97" x14ac:dyDescent="0.25">
      <c r="A5860" t="s">
        <v>2006</v>
      </c>
      <c r="B5860" t="s">
        <v>15591</v>
      </c>
      <c r="C5860" t="s">
        <v>1451</v>
      </c>
      <c r="D5860" t="s">
        <v>15591</v>
      </c>
      <c r="E5860" t="s">
        <v>35834</v>
      </c>
      <c r="F5860" t="s">
        <v>108</v>
      </c>
      <c r="H5860" t="s">
        <v>35835</v>
      </c>
      <c r="I5860" t="s">
        <v>110</v>
      </c>
      <c r="J5860" t="s">
        <v>111</v>
      </c>
      <c r="K5860" t="str">
        <f>"85286"</f>
        <v>85286</v>
      </c>
      <c r="L5860" t="s">
        <v>3108</v>
      </c>
      <c r="M5860" t="s">
        <v>35835</v>
      </c>
      <c r="N5860" t="s">
        <v>110</v>
      </c>
      <c r="O5860" t="s">
        <v>111</v>
      </c>
      <c r="P5860" t="str">
        <f>"85286-5018"</f>
        <v>85286-5018</v>
      </c>
      <c r="Q5860" t="s">
        <v>113</v>
      </c>
      <c r="R5860" t="str">
        <f>"303-49-697"</f>
        <v>303-49-697</v>
      </c>
      <c r="S5860" t="s">
        <v>29122</v>
      </c>
      <c r="T5860" t="s">
        <v>29122</v>
      </c>
      <c r="U5860">
        <v>2583</v>
      </c>
      <c r="V5860">
        <v>0</v>
      </c>
      <c r="W5860">
        <v>4</v>
      </c>
      <c r="X5860">
        <v>2016</v>
      </c>
      <c r="Z5860">
        <v>1</v>
      </c>
      <c r="AA5860" t="s">
        <v>26</v>
      </c>
      <c r="AB5860">
        <v>0</v>
      </c>
      <c r="AC5860" t="s">
        <v>115</v>
      </c>
      <c r="AD5860">
        <v>2</v>
      </c>
      <c r="AE5860" t="s">
        <v>115</v>
      </c>
      <c r="AF5860">
        <v>0</v>
      </c>
      <c r="AG5860">
        <v>0</v>
      </c>
      <c r="AH5860" t="s">
        <v>116</v>
      </c>
      <c r="AI5860" s="1">
        <v>47008</v>
      </c>
      <c r="AJ5860" s="2">
        <v>0.1</v>
      </c>
      <c r="AK5860" s="1">
        <v>488660</v>
      </c>
      <c r="AL5860" t="s">
        <v>117</v>
      </c>
      <c r="AM5860" t="s">
        <v>118</v>
      </c>
      <c r="AN5860">
        <v>8855</v>
      </c>
      <c r="AO5860">
        <v>0.2</v>
      </c>
      <c r="AR5860">
        <v>1</v>
      </c>
      <c r="AS5860" s="1">
        <v>36600</v>
      </c>
      <c r="AT5860" s="1">
        <v>7320</v>
      </c>
      <c r="AU5860" s="1">
        <v>29280</v>
      </c>
      <c r="AV5860">
        <v>80</v>
      </c>
      <c r="AX5860" s="1">
        <v>2576.1</v>
      </c>
      <c r="AY5860" t="s">
        <v>737</v>
      </c>
      <c r="AZ5860" t="s">
        <v>120</v>
      </c>
      <c r="BA5860" t="s">
        <v>303</v>
      </c>
      <c r="BE5860" s="3">
        <v>42517</v>
      </c>
      <c r="BF5860" s="1">
        <v>394426</v>
      </c>
      <c r="BG5860" t="s">
        <v>562</v>
      </c>
      <c r="BH5860" s="1">
        <v>152.69999999999999</v>
      </c>
      <c r="BI5860" s="1">
        <v>441652</v>
      </c>
      <c r="BJ5860" s="3">
        <v>43607</v>
      </c>
      <c r="BK5860" t="s">
        <v>123</v>
      </c>
      <c r="BL5860" t="str">
        <f>"2019.374114"</f>
        <v>2019.374114</v>
      </c>
      <c r="BM5860" t="s">
        <v>1809</v>
      </c>
      <c r="BN5860" t="s">
        <v>1810</v>
      </c>
      <c r="BO5860" t="s">
        <v>35836</v>
      </c>
      <c r="BP5860" t="s">
        <v>35837</v>
      </c>
      <c r="BR5860" t="s">
        <v>139</v>
      </c>
      <c r="BW5860" t="str">
        <f>""</f>
        <v/>
      </c>
      <c r="CH5860" t="str">
        <f>""</f>
        <v/>
      </c>
      <c r="CS5860" t="str">
        <f>""</f>
        <v/>
      </c>
    </row>
    <row r="5861" spans="1:97" x14ac:dyDescent="0.25">
      <c r="A5861" t="s">
        <v>305</v>
      </c>
      <c r="B5861" t="s">
        <v>35838</v>
      </c>
      <c r="C5861" t="s">
        <v>2029</v>
      </c>
      <c r="D5861" t="s">
        <v>35839</v>
      </c>
      <c r="E5861" t="s">
        <v>35840</v>
      </c>
      <c r="F5861" t="s">
        <v>108</v>
      </c>
      <c r="H5861" t="s">
        <v>35841</v>
      </c>
      <c r="I5861" t="s">
        <v>225</v>
      </c>
      <c r="J5861" t="s">
        <v>111</v>
      </c>
      <c r="K5861" t="str">
        <f>"85207"</f>
        <v>85207</v>
      </c>
      <c r="L5861" t="s">
        <v>3116</v>
      </c>
      <c r="M5861" t="s">
        <v>35841</v>
      </c>
      <c r="N5861" t="s">
        <v>225</v>
      </c>
      <c r="O5861" t="s">
        <v>111</v>
      </c>
      <c r="P5861" t="str">
        <f>"85207-3186"</f>
        <v>85207-3186</v>
      </c>
      <c r="Q5861" t="s">
        <v>113</v>
      </c>
      <c r="R5861" t="str">
        <f>"219-31-503"</f>
        <v>219-31-503</v>
      </c>
      <c r="S5861" t="s">
        <v>29721</v>
      </c>
      <c r="T5861" t="s">
        <v>29721</v>
      </c>
      <c r="U5861">
        <v>1753</v>
      </c>
      <c r="V5861">
        <v>0</v>
      </c>
      <c r="W5861">
        <v>3</v>
      </c>
      <c r="X5861">
        <v>2008</v>
      </c>
      <c r="Z5861">
        <v>1</v>
      </c>
      <c r="AB5861">
        <v>0</v>
      </c>
      <c r="AC5861" t="s">
        <v>115</v>
      </c>
      <c r="AD5861">
        <v>2</v>
      </c>
      <c r="AE5861" t="s">
        <v>115</v>
      </c>
      <c r="AF5861">
        <v>0</v>
      </c>
      <c r="AG5861">
        <v>0</v>
      </c>
      <c r="AH5861" t="s">
        <v>116</v>
      </c>
      <c r="AI5861" s="1">
        <v>58420</v>
      </c>
      <c r="AJ5861" s="2">
        <v>0.16</v>
      </c>
      <c r="AK5861" s="1">
        <v>370999</v>
      </c>
      <c r="AL5861" t="s">
        <v>117</v>
      </c>
      <c r="AM5861" t="s">
        <v>917</v>
      </c>
      <c r="AN5861">
        <v>5728</v>
      </c>
      <c r="AO5861">
        <v>0.13</v>
      </c>
      <c r="AR5861">
        <v>1</v>
      </c>
      <c r="AS5861" s="1">
        <v>26520</v>
      </c>
      <c r="AT5861" s="1">
        <v>5300</v>
      </c>
      <c r="AU5861" s="1">
        <v>21220</v>
      </c>
      <c r="AV5861">
        <v>80.02</v>
      </c>
      <c r="AX5861" s="1">
        <v>2637.4</v>
      </c>
      <c r="AY5861" t="s">
        <v>3118</v>
      </c>
      <c r="AZ5861" t="s">
        <v>231</v>
      </c>
      <c r="BA5861" t="s">
        <v>3119</v>
      </c>
      <c r="BE5861" s="3">
        <v>42521</v>
      </c>
      <c r="BF5861" s="1">
        <v>317500</v>
      </c>
      <c r="BG5861" t="s">
        <v>35842</v>
      </c>
      <c r="BH5861" s="1">
        <v>181.12</v>
      </c>
      <c r="BI5861" s="1">
        <v>312579</v>
      </c>
      <c r="BJ5861" s="3">
        <v>42521</v>
      </c>
      <c r="BK5861" t="s">
        <v>123</v>
      </c>
      <c r="BL5861" t="str">
        <f>"2016.376265"</f>
        <v>2016.376265</v>
      </c>
      <c r="BM5861" t="s">
        <v>2107</v>
      </c>
      <c r="BO5861" t="s">
        <v>35843</v>
      </c>
      <c r="BP5861" t="s">
        <v>35844</v>
      </c>
      <c r="BS5861">
        <v>30</v>
      </c>
      <c r="BW5861" t="str">
        <f>""</f>
        <v/>
      </c>
      <c r="CH5861" t="str">
        <f>""</f>
        <v/>
      </c>
      <c r="CS5861" t="str">
        <f>""</f>
        <v/>
      </c>
    </row>
    <row r="5862" spans="1:97" x14ac:dyDescent="0.25">
      <c r="A5862" t="s">
        <v>2319</v>
      </c>
      <c r="B5862" t="s">
        <v>35845</v>
      </c>
      <c r="C5862" t="s">
        <v>1444</v>
      </c>
      <c r="D5862" t="s">
        <v>35845</v>
      </c>
      <c r="E5862" t="s">
        <v>35846</v>
      </c>
      <c r="F5862" t="s">
        <v>108</v>
      </c>
      <c r="H5862" t="s">
        <v>35847</v>
      </c>
      <c r="I5862" t="s">
        <v>5387</v>
      </c>
      <c r="J5862" t="s">
        <v>111</v>
      </c>
      <c r="K5862" t="str">
        <f>"85284"</f>
        <v>85284</v>
      </c>
      <c r="L5862" t="s">
        <v>8543</v>
      </c>
      <c r="M5862" t="s">
        <v>35847</v>
      </c>
      <c r="N5862" t="s">
        <v>5387</v>
      </c>
      <c r="O5862" t="s">
        <v>111</v>
      </c>
      <c r="P5862" t="str">
        <f>"85284-3405"</f>
        <v>85284-3405</v>
      </c>
      <c r="Q5862" t="s">
        <v>113</v>
      </c>
      <c r="R5862" t="str">
        <f>"301-63-196"</f>
        <v>301-63-196</v>
      </c>
      <c r="S5862" t="s">
        <v>35848</v>
      </c>
      <c r="T5862" t="s">
        <v>18244</v>
      </c>
      <c r="U5862">
        <v>2475</v>
      </c>
      <c r="V5862">
        <v>0</v>
      </c>
      <c r="W5862">
        <v>4</v>
      </c>
      <c r="X5862">
        <v>1982</v>
      </c>
      <c r="Z5862">
        <v>1</v>
      </c>
      <c r="AA5862" t="s">
        <v>26</v>
      </c>
      <c r="AB5862">
        <v>0</v>
      </c>
      <c r="AC5862" t="s">
        <v>115</v>
      </c>
      <c r="AD5862">
        <v>2</v>
      </c>
      <c r="AE5862" t="s">
        <v>115</v>
      </c>
      <c r="AF5862">
        <v>0</v>
      </c>
      <c r="AG5862">
        <v>0</v>
      </c>
      <c r="AH5862" t="s">
        <v>116</v>
      </c>
      <c r="AI5862" s="1">
        <v>121512</v>
      </c>
      <c r="AJ5862" s="2">
        <v>0.27</v>
      </c>
      <c r="AK5862" s="1">
        <v>442112</v>
      </c>
      <c r="AL5862" t="s">
        <v>117</v>
      </c>
      <c r="AM5862" t="s">
        <v>393</v>
      </c>
      <c r="AN5862">
        <v>9670</v>
      </c>
      <c r="AO5862">
        <v>0.22</v>
      </c>
      <c r="AP5862">
        <v>1</v>
      </c>
      <c r="AR5862">
        <v>1</v>
      </c>
      <c r="AS5862" s="1">
        <v>33620</v>
      </c>
      <c r="AT5862" s="1">
        <v>6720</v>
      </c>
      <c r="AU5862" s="1">
        <v>26900</v>
      </c>
      <c r="AV5862">
        <v>80.010000000000005</v>
      </c>
      <c r="AX5862" s="1">
        <v>3059.36</v>
      </c>
      <c r="AY5862" t="s">
        <v>5921</v>
      </c>
      <c r="AZ5862" t="s">
        <v>5922</v>
      </c>
      <c r="BA5862" t="s">
        <v>5202</v>
      </c>
      <c r="BE5862" s="3">
        <v>41817</v>
      </c>
      <c r="BF5862" s="1">
        <v>330000</v>
      </c>
      <c r="BG5862" t="s">
        <v>27552</v>
      </c>
      <c r="BH5862" s="1">
        <v>133.33000000000001</v>
      </c>
      <c r="BI5862" s="1">
        <v>320600</v>
      </c>
      <c r="BJ5862" s="3">
        <v>42580</v>
      </c>
      <c r="BK5862" t="s">
        <v>123</v>
      </c>
      <c r="BL5862" t="str">
        <f>"2016.537157"</f>
        <v>2016.537157</v>
      </c>
      <c r="BM5862" t="s">
        <v>1038</v>
      </c>
      <c r="BO5862" t="s">
        <v>35849</v>
      </c>
      <c r="BS5862">
        <v>30</v>
      </c>
      <c r="BW5862" t="str">
        <f>""</f>
        <v/>
      </c>
      <c r="CH5862" t="str">
        <f>""</f>
        <v/>
      </c>
      <c r="CS5862" t="str">
        <f>""</f>
        <v/>
      </c>
    </row>
    <row r="5863" spans="1:97" x14ac:dyDescent="0.25">
      <c r="A5863" t="s">
        <v>2008</v>
      </c>
      <c r="B5863" t="s">
        <v>10375</v>
      </c>
      <c r="C5863" t="s">
        <v>3718</v>
      </c>
      <c r="D5863" t="s">
        <v>10375</v>
      </c>
      <c r="E5863" t="s">
        <v>35850</v>
      </c>
      <c r="F5863" t="s">
        <v>108</v>
      </c>
      <c r="H5863" t="s">
        <v>35851</v>
      </c>
      <c r="I5863" t="s">
        <v>390</v>
      </c>
      <c r="J5863" t="s">
        <v>111</v>
      </c>
      <c r="K5863" t="str">
        <f>"85051"</f>
        <v>85051</v>
      </c>
      <c r="L5863" t="s">
        <v>7116</v>
      </c>
      <c r="M5863" t="s">
        <v>35851</v>
      </c>
      <c r="N5863" t="s">
        <v>390</v>
      </c>
      <c r="O5863" t="s">
        <v>111</v>
      </c>
      <c r="P5863" t="str">
        <f>"85051-4726"</f>
        <v>85051-4726</v>
      </c>
      <c r="Q5863" t="s">
        <v>113</v>
      </c>
      <c r="R5863" t="str">
        <f>"150-14-206"</f>
        <v>150-14-206</v>
      </c>
      <c r="S5863" t="s">
        <v>19789</v>
      </c>
      <c r="T5863" t="s">
        <v>19789</v>
      </c>
      <c r="U5863">
        <v>2104</v>
      </c>
      <c r="V5863">
        <v>0</v>
      </c>
      <c r="W5863">
        <v>2</v>
      </c>
      <c r="X5863">
        <v>1977</v>
      </c>
      <c r="Z5863">
        <v>1</v>
      </c>
      <c r="AA5863" t="s">
        <v>26</v>
      </c>
      <c r="AB5863">
        <v>0</v>
      </c>
      <c r="AC5863" t="s">
        <v>115</v>
      </c>
      <c r="AD5863">
        <v>2</v>
      </c>
      <c r="AE5863" t="s">
        <v>115</v>
      </c>
      <c r="AF5863">
        <v>0</v>
      </c>
      <c r="AG5863">
        <v>0</v>
      </c>
      <c r="AH5863" t="s">
        <v>116</v>
      </c>
      <c r="AI5863" s="1">
        <v>59022</v>
      </c>
      <c r="AJ5863" s="2">
        <v>0.22</v>
      </c>
      <c r="AK5863" s="1">
        <v>274022</v>
      </c>
      <c r="AL5863" t="s">
        <v>117</v>
      </c>
      <c r="AM5863" t="s">
        <v>191</v>
      </c>
      <c r="AN5863">
        <v>9718</v>
      </c>
      <c r="AO5863">
        <v>0.22</v>
      </c>
      <c r="AP5863">
        <v>1</v>
      </c>
      <c r="AR5863">
        <v>1</v>
      </c>
      <c r="AS5863" s="1">
        <v>18650</v>
      </c>
      <c r="AT5863" s="1">
        <v>3730</v>
      </c>
      <c r="AU5863" s="1">
        <v>14920</v>
      </c>
      <c r="AV5863">
        <v>80</v>
      </c>
      <c r="AX5863" s="1">
        <v>1419.62</v>
      </c>
      <c r="AY5863" t="s">
        <v>19790</v>
      </c>
      <c r="AZ5863" t="s">
        <v>19791</v>
      </c>
      <c r="BA5863" t="s">
        <v>6987</v>
      </c>
      <c r="BE5863" s="3">
        <v>42521</v>
      </c>
      <c r="BF5863" s="1">
        <v>215000</v>
      </c>
      <c r="BG5863" t="s">
        <v>35852</v>
      </c>
      <c r="BH5863" s="1">
        <v>102.19</v>
      </c>
      <c r="BI5863" s="1">
        <v>215000</v>
      </c>
      <c r="BJ5863" s="3">
        <v>42521</v>
      </c>
      <c r="BK5863" t="s">
        <v>123</v>
      </c>
      <c r="BL5863" t="str">
        <f>"2016.376734"</f>
        <v>2016.376734</v>
      </c>
      <c r="BM5863" t="s">
        <v>1154</v>
      </c>
      <c r="BO5863" t="s">
        <v>35853</v>
      </c>
      <c r="BP5863" t="s">
        <v>35854</v>
      </c>
      <c r="BS5863">
        <v>30</v>
      </c>
      <c r="BW5863" t="str">
        <f>""</f>
        <v/>
      </c>
      <c r="CH5863" t="str">
        <f>""</f>
        <v/>
      </c>
      <c r="CS5863" t="str">
        <f>""</f>
        <v/>
      </c>
    </row>
    <row r="5864" spans="1:97" x14ac:dyDescent="0.25">
      <c r="A5864" t="s">
        <v>464</v>
      </c>
      <c r="B5864" t="s">
        <v>19161</v>
      </c>
      <c r="C5864" t="s">
        <v>4588</v>
      </c>
      <c r="D5864" t="s">
        <v>19161</v>
      </c>
      <c r="E5864" t="s">
        <v>35855</v>
      </c>
      <c r="F5864" t="s">
        <v>108</v>
      </c>
      <c r="H5864" t="s">
        <v>35856</v>
      </c>
      <c r="I5864" t="s">
        <v>225</v>
      </c>
      <c r="J5864" t="s">
        <v>111</v>
      </c>
      <c r="K5864" t="str">
        <f>"85202"</f>
        <v>85202</v>
      </c>
      <c r="L5864" t="s">
        <v>12529</v>
      </c>
      <c r="M5864" t="s">
        <v>35856</v>
      </c>
      <c r="N5864" t="s">
        <v>225</v>
      </c>
      <c r="O5864" t="s">
        <v>111</v>
      </c>
      <c r="P5864" t="str">
        <f>"85202-6914"</f>
        <v>85202-6914</v>
      </c>
      <c r="Q5864" t="s">
        <v>113</v>
      </c>
      <c r="R5864" t="str">
        <f>"305-04-721"</f>
        <v>305-04-721</v>
      </c>
      <c r="S5864" t="s">
        <v>35857</v>
      </c>
      <c r="T5864" t="s">
        <v>35858</v>
      </c>
      <c r="U5864">
        <v>3492</v>
      </c>
      <c r="V5864">
        <v>0</v>
      </c>
      <c r="W5864">
        <v>4</v>
      </c>
      <c r="X5864">
        <v>1979</v>
      </c>
      <c r="Z5864">
        <v>2</v>
      </c>
      <c r="AA5864" t="s">
        <v>26</v>
      </c>
      <c r="AB5864">
        <v>0</v>
      </c>
      <c r="AC5864" t="s">
        <v>115</v>
      </c>
      <c r="AD5864">
        <v>2</v>
      </c>
      <c r="AE5864" t="s">
        <v>115</v>
      </c>
      <c r="AF5864">
        <v>0</v>
      </c>
      <c r="AG5864">
        <v>0</v>
      </c>
      <c r="AH5864" t="s">
        <v>116</v>
      </c>
      <c r="AI5864" s="1">
        <v>118135</v>
      </c>
      <c r="AJ5864" s="2">
        <v>0.24</v>
      </c>
      <c r="AK5864" s="1">
        <v>493235</v>
      </c>
      <c r="AL5864" t="s">
        <v>117</v>
      </c>
      <c r="AM5864" t="s">
        <v>191</v>
      </c>
      <c r="AN5864">
        <v>12589</v>
      </c>
      <c r="AO5864">
        <v>0.28999999999999998</v>
      </c>
      <c r="AP5864">
        <v>1</v>
      </c>
      <c r="AR5864">
        <v>1</v>
      </c>
      <c r="AS5864" s="1">
        <v>35150</v>
      </c>
      <c r="AT5864" s="1">
        <v>7030</v>
      </c>
      <c r="AU5864" s="1">
        <v>28120</v>
      </c>
      <c r="AV5864">
        <v>80</v>
      </c>
      <c r="AX5864" s="1">
        <v>2521.3000000000002</v>
      </c>
      <c r="AY5864" t="s">
        <v>7431</v>
      </c>
      <c r="AZ5864" t="s">
        <v>7295</v>
      </c>
      <c r="BA5864" t="s">
        <v>5311</v>
      </c>
      <c r="BB5864" s="3">
        <v>42598</v>
      </c>
      <c r="BD5864" t="s">
        <v>240</v>
      </c>
      <c r="BE5864" s="3">
        <v>41738</v>
      </c>
      <c r="BF5864" s="1">
        <v>386000</v>
      </c>
      <c r="BG5864" t="s">
        <v>35859</v>
      </c>
      <c r="BH5864" s="1">
        <v>110.54</v>
      </c>
      <c r="BI5864" s="1">
        <v>375100</v>
      </c>
      <c r="BJ5864" s="3">
        <v>42598</v>
      </c>
      <c r="BK5864" t="s">
        <v>123</v>
      </c>
      <c r="BL5864" t="str">
        <f>"2016.585126"</f>
        <v>2016.585126</v>
      </c>
      <c r="BM5864" t="s">
        <v>5534</v>
      </c>
      <c r="BO5864" t="s">
        <v>35860</v>
      </c>
      <c r="BS5864">
        <v>30</v>
      </c>
      <c r="BW5864" t="str">
        <f>""</f>
        <v/>
      </c>
      <c r="CH5864" t="str">
        <f>""</f>
        <v/>
      </c>
      <c r="CS5864" t="str">
        <f>""</f>
        <v/>
      </c>
    </row>
    <row r="5865" spans="1:97" x14ac:dyDescent="0.25">
      <c r="A5865" t="s">
        <v>177</v>
      </c>
      <c r="B5865" t="s">
        <v>35861</v>
      </c>
      <c r="C5865" t="s">
        <v>2616</v>
      </c>
      <c r="D5865" t="s">
        <v>35861</v>
      </c>
      <c r="E5865" t="s">
        <v>35862</v>
      </c>
      <c r="F5865" t="s">
        <v>108</v>
      </c>
      <c r="H5865" t="s">
        <v>35863</v>
      </c>
      <c r="I5865" t="s">
        <v>225</v>
      </c>
      <c r="J5865" t="s">
        <v>111</v>
      </c>
      <c r="K5865" t="str">
        <f>"85213"</f>
        <v>85213</v>
      </c>
      <c r="L5865" t="s">
        <v>5687</v>
      </c>
      <c r="M5865" t="s">
        <v>35863</v>
      </c>
      <c r="N5865" t="s">
        <v>225</v>
      </c>
      <c r="O5865" t="s">
        <v>111</v>
      </c>
      <c r="P5865" t="str">
        <f>"85213-6044"</f>
        <v>85213-6044</v>
      </c>
      <c r="Q5865" t="s">
        <v>113</v>
      </c>
      <c r="R5865" t="str">
        <f>"140-07-290"</f>
        <v>140-07-290</v>
      </c>
      <c r="S5865" t="s">
        <v>22611</v>
      </c>
      <c r="T5865" t="s">
        <v>22611</v>
      </c>
      <c r="U5865">
        <v>1601</v>
      </c>
      <c r="V5865">
        <v>0</v>
      </c>
      <c r="W5865">
        <v>2</v>
      </c>
      <c r="X5865">
        <v>1985</v>
      </c>
      <c r="Z5865">
        <v>1</v>
      </c>
      <c r="AA5865" t="s">
        <v>26</v>
      </c>
      <c r="AB5865">
        <v>0</v>
      </c>
      <c r="AC5865" t="s">
        <v>115</v>
      </c>
      <c r="AD5865">
        <v>2</v>
      </c>
      <c r="AE5865" t="s">
        <v>115</v>
      </c>
      <c r="AF5865">
        <v>0</v>
      </c>
      <c r="AG5865">
        <v>0</v>
      </c>
      <c r="AH5865" t="s">
        <v>116</v>
      </c>
      <c r="AI5865" s="1">
        <v>57615</v>
      </c>
      <c r="AJ5865" s="2">
        <v>0.22</v>
      </c>
      <c r="AK5865" s="1">
        <v>264215</v>
      </c>
      <c r="AL5865" t="s">
        <v>117</v>
      </c>
      <c r="AM5865" t="s">
        <v>917</v>
      </c>
      <c r="AN5865">
        <v>9245</v>
      </c>
      <c r="AO5865">
        <v>0.21</v>
      </c>
      <c r="AP5865">
        <v>1</v>
      </c>
      <c r="AR5865">
        <v>1</v>
      </c>
      <c r="AS5865" s="1">
        <v>21330</v>
      </c>
      <c r="AT5865" s="1">
        <v>4260</v>
      </c>
      <c r="AU5865" s="1">
        <v>17070</v>
      </c>
      <c r="AV5865">
        <v>80.03</v>
      </c>
      <c r="AX5865" s="1">
        <v>1711.84</v>
      </c>
      <c r="AY5865" t="s">
        <v>9091</v>
      </c>
      <c r="AZ5865" t="s">
        <v>1523</v>
      </c>
      <c r="BA5865" t="s">
        <v>1524</v>
      </c>
      <c r="BE5865" s="3">
        <v>42361</v>
      </c>
      <c r="BF5865" s="1">
        <v>200000</v>
      </c>
      <c r="BG5865" t="s">
        <v>35864</v>
      </c>
      <c r="BH5865" s="1">
        <v>124.92</v>
      </c>
      <c r="BI5865" s="1">
        <v>206600</v>
      </c>
      <c r="BJ5865" s="3">
        <v>42361</v>
      </c>
      <c r="BK5865" t="s">
        <v>123</v>
      </c>
      <c r="BL5865" t="str">
        <f>"2015.906671"</f>
        <v>2015.906671</v>
      </c>
      <c r="BM5865" t="s">
        <v>196</v>
      </c>
      <c r="BO5865" t="s">
        <v>35865</v>
      </c>
      <c r="BS5865">
        <v>30</v>
      </c>
      <c r="BW5865" t="str">
        <f>""</f>
        <v/>
      </c>
      <c r="CH5865" t="str">
        <f>""</f>
        <v/>
      </c>
      <c r="CS5865" t="str">
        <f>""</f>
        <v/>
      </c>
    </row>
    <row r="5866" spans="1:97" x14ac:dyDescent="0.25">
      <c r="A5866" t="s">
        <v>494</v>
      </c>
      <c r="B5866" t="s">
        <v>35866</v>
      </c>
      <c r="C5866" t="s">
        <v>986</v>
      </c>
      <c r="D5866" t="s">
        <v>35866</v>
      </c>
      <c r="E5866" t="s">
        <v>35867</v>
      </c>
      <c r="F5866" t="s">
        <v>108</v>
      </c>
      <c r="H5866" t="s">
        <v>35868</v>
      </c>
      <c r="I5866" t="s">
        <v>499</v>
      </c>
      <c r="J5866" t="s">
        <v>111</v>
      </c>
      <c r="K5866" t="str">
        <f>"85338"</f>
        <v>85338</v>
      </c>
      <c r="L5866" t="s">
        <v>6316</v>
      </c>
      <c r="M5866" t="s">
        <v>35868</v>
      </c>
      <c r="N5866" t="s">
        <v>499</v>
      </c>
      <c r="O5866" t="s">
        <v>111</v>
      </c>
      <c r="P5866" t="str">
        <f>"85338-6084"</f>
        <v>85338-6084</v>
      </c>
      <c r="Q5866" t="s">
        <v>113</v>
      </c>
      <c r="R5866" t="str">
        <f>"502-46-337"</f>
        <v>502-46-337</v>
      </c>
      <c r="S5866" t="s">
        <v>35869</v>
      </c>
      <c r="T5866" t="s">
        <v>6318</v>
      </c>
      <c r="U5866">
        <v>2337</v>
      </c>
      <c r="V5866">
        <v>0</v>
      </c>
      <c r="W5866">
        <v>3</v>
      </c>
      <c r="X5866">
        <v>2008</v>
      </c>
      <c r="Z5866">
        <v>1</v>
      </c>
      <c r="AB5866">
        <v>0</v>
      </c>
      <c r="AC5866" t="s">
        <v>115</v>
      </c>
      <c r="AD5866">
        <v>3</v>
      </c>
      <c r="AE5866" t="s">
        <v>115</v>
      </c>
      <c r="AF5866">
        <v>0</v>
      </c>
      <c r="AG5866">
        <v>0</v>
      </c>
      <c r="AH5866" t="s">
        <v>116</v>
      </c>
      <c r="AI5866" s="1">
        <v>65376</v>
      </c>
      <c r="AJ5866" s="2">
        <v>0.22</v>
      </c>
      <c r="AK5866" s="1">
        <v>294376</v>
      </c>
      <c r="AL5866" t="s">
        <v>117</v>
      </c>
      <c r="AM5866" t="s">
        <v>118</v>
      </c>
      <c r="AN5866">
        <v>7546</v>
      </c>
      <c r="AO5866">
        <v>0.17</v>
      </c>
      <c r="AR5866">
        <v>1</v>
      </c>
      <c r="AS5866" s="1">
        <v>21810</v>
      </c>
      <c r="AT5866" s="1">
        <v>4360</v>
      </c>
      <c r="AU5866" s="1">
        <v>17450</v>
      </c>
      <c r="AV5866">
        <v>80.010000000000005</v>
      </c>
      <c r="AX5866" s="1">
        <v>2033.6</v>
      </c>
      <c r="AY5866" t="s">
        <v>6319</v>
      </c>
      <c r="AZ5866" t="s">
        <v>6319</v>
      </c>
      <c r="BA5866" t="s">
        <v>218</v>
      </c>
      <c r="BE5866" s="3">
        <v>42402</v>
      </c>
      <c r="BF5866" s="1">
        <v>229000</v>
      </c>
      <c r="BG5866" t="s">
        <v>6855</v>
      </c>
      <c r="BH5866" s="1">
        <v>97.99</v>
      </c>
      <c r="BI5866" s="1">
        <v>229000</v>
      </c>
      <c r="BJ5866" s="3">
        <v>42402</v>
      </c>
      <c r="BK5866" t="s">
        <v>123</v>
      </c>
      <c r="BL5866" t="str">
        <f>"2016.70460"</f>
        <v>2016.70460</v>
      </c>
      <c r="BM5866" t="s">
        <v>544</v>
      </c>
      <c r="BO5866" t="s">
        <v>35870</v>
      </c>
      <c r="BS5866">
        <v>30</v>
      </c>
      <c r="BW5866" t="str">
        <f>""</f>
        <v/>
      </c>
      <c r="CH5866" t="str">
        <f>""</f>
        <v/>
      </c>
      <c r="CS5866" t="str">
        <f>""</f>
        <v/>
      </c>
    </row>
    <row r="5867" spans="1:97" x14ac:dyDescent="0.25">
      <c r="A5867" t="s">
        <v>305</v>
      </c>
      <c r="B5867" t="s">
        <v>4087</v>
      </c>
      <c r="E5867" t="s">
        <v>35871</v>
      </c>
      <c r="F5867" t="s">
        <v>108</v>
      </c>
      <c r="H5867" t="s">
        <v>35872</v>
      </c>
      <c r="I5867" t="s">
        <v>110</v>
      </c>
      <c r="J5867" t="s">
        <v>111</v>
      </c>
      <c r="K5867" t="str">
        <f>"85286"</f>
        <v>85286</v>
      </c>
      <c r="L5867" t="s">
        <v>375</v>
      </c>
      <c r="M5867" t="s">
        <v>35872</v>
      </c>
      <c r="N5867" t="s">
        <v>110</v>
      </c>
      <c r="O5867" t="s">
        <v>111</v>
      </c>
      <c r="P5867" t="str">
        <f>"85286-5684"</f>
        <v>85286-5684</v>
      </c>
      <c r="Q5867" t="s">
        <v>113</v>
      </c>
      <c r="R5867" t="str">
        <f>"304-56-564"</f>
        <v>304-56-564</v>
      </c>
      <c r="S5867" t="s">
        <v>7371</v>
      </c>
      <c r="T5867" t="s">
        <v>7372</v>
      </c>
      <c r="U5867">
        <v>1919</v>
      </c>
      <c r="V5867">
        <v>0</v>
      </c>
      <c r="W5867">
        <v>3</v>
      </c>
      <c r="X5867">
        <v>2004</v>
      </c>
      <c r="Z5867">
        <v>1</v>
      </c>
      <c r="AA5867" t="s">
        <v>26</v>
      </c>
      <c r="AB5867">
        <v>0</v>
      </c>
      <c r="AC5867" t="s">
        <v>115</v>
      </c>
      <c r="AD5867">
        <v>2</v>
      </c>
      <c r="AE5867" t="s">
        <v>115</v>
      </c>
      <c r="AF5867">
        <v>0</v>
      </c>
      <c r="AG5867">
        <v>0</v>
      </c>
      <c r="AH5867" t="s">
        <v>116</v>
      </c>
      <c r="AI5867" s="1">
        <v>50353</v>
      </c>
      <c r="AJ5867" s="2">
        <v>0.13</v>
      </c>
      <c r="AK5867" s="1">
        <v>385974</v>
      </c>
      <c r="AL5867" t="s">
        <v>117</v>
      </c>
      <c r="AM5867" t="s">
        <v>118</v>
      </c>
      <c r="AN5867">
        <v>8427</v>
      </c>
      <c r="AO5867">
        <v>0.19</v>
      </c>
      <c r="AP5867">
        <v>1</v>
      </c>
      <c r="AR5867">
        <v>1</v>
      </c>
      <c r="AS5867" s="1">
        <v>27250</v>
      </c>
      <c r="AT5867" s="1">
        <v>5450</v>
      </c>
      <c r="AU5867" s="1">
        <v>21800</v>
      </c>
      <c r="AV5867">
        <v>80</v>
      </c>
      <c r="AX5867" s="1">
        <v>2224.64</v>
      </c>
      <c r="AY5867" t="s">
        <v>737</v>
      </c>
      <c r="AZ5867" t="s">
        <v>120</v>
      </c>
      <c r="BA5867" t="s">
        <v>303</v>
      </c>
      <c r="BE5867" s="3">
        <v>42277</v>
      </c>
      <c r="BF5867" s="1">
        <v>324900</v>
      </c>
      <c r="BG5867" t="s">
        <v>35873</v>
      </c>
      <c r="BH5867" s="1">
        <v>169.31</v>
      </c>
      <c r="BI5867" s="1">
        <v>335621</v>
      </c>
      <c r="BJ5867" s="3">
        <v>42277</v>
      </c>
      <c r="BK5867" t="s">
        <v>123</v>
      </c>
      <c r="BL5867" t="str">
        <f>"2015.707106"</f>
        <v>2015.707106</v>
      </c>
      <c r="BM5867" t="s">
        <v>9928</v>
      </c>
      <c r="BO5867" t="s">
        <v>35874</v>
      </c>
      <c r="BS5867">
        <v>30</v>
      </c>
      <c r="BW5867" t="str">
        <f>""</f>
        <v/>
      </c>
      <c r="CH5867" t="str">
        <f>""</f>
        <v/>
      </c>
      <c r="CS5867" t="str">
        <f>""</f>
        <v/>
      </c>
    </row>
    <row r="5868" spans="1:97" x14ac:dyDescent="0.25">
      <c r="A5868" t="s">
        <v>1009</v>
      </c>
      <c r="B5868" t="s">
        <v>35875</v>
      </c>
      <c r="E5868" t="s">
        <v>35876</v>
      </c>
      <c r="F5868" t="s">
        <v>108</v>
      </c>
      <c r="H5868" t="s">
        <v>35877</v>
      </c>
      <c r="I5868" t="s">
        <v>1397</v>
      </c>
      <c r="J5868" t="s">
        <v>111</v>
      </c>
      <c r="K5868" t="str">
        <f>"85331"</f>
        <v>85331</v>
      </c>
      <c r="L5868" t="s">
        <v>7922</v>
      </c>
      <c r="M5868" t="s">
        <v>35877</v>
      </c>
      <c r="N5868" t="s">
        <v>1397</v>
      </c>
      <c r="O5868" t="s">
        <v>111</v>
      </c>
      <c r="P5868" t="str">
        <f>"85331-4045"</f>
        <v>85331-4045</v>
      </c>
      <c r="Q5868" t="s">
        <v>113</v>
      </c>
      <c r="R5868" t="str">
        <f>"211-60-754"</f>
        <v>211-60-754</v>
      </c>
      <c r="S5868" t="s">
        <v>7923</v>
      </c>
      <c r="T5868" t="s">
        <v>7924</v>
      </c>
      <c r="U5868">
        <v>1504</v>
      </c>
      <c r="V5868">
        <v>0</v>
      </c>
      <c r="W5868">
        <v>3</v>
      </c>
      <c r="X5868">
        <v>2001</v>
      </c>
      <c r="Z5868">
        <v>2</v>
      </c>
      <c r="AB5868">
        <v>0</v>
      </c>
      <c r="AC5868" t="s">
        <v>115</v>
      </c>
      <c r="AD5868">
        <v>2</v>
      </c>
      <c r="AE5868" t="s">
        <v>115</v>
      </c>
      <c r="AF5868">
        <v>0</v>
      </c>
      <c r="AG5868">
        <v>0</v>
      </c>
      <c r="AH5868" t="s">
        <v>116</v>
      </c>
      <c r="AI5868" s="1">
        <v>46859</v>
      </c>
      <c r="AJ5868" s="2">
        <v>0.14000000000000001</v>
      </c>
      <c r="AK5868" s="1">
        <v>337986</v>
      </c>
      <c r="AL5868" t="s">
        <v>117</v>
      </c>
      <c r="AM5868" t="s">
        <v>760</v>
      </c>
      <c r="AN5868">
        <v>6030</v>
      </c>
      <c r="AO5868">
        <v>0.14000000000000001</v>
      </c>
      <c r="AP5868">
        <v>1</v>
      </c>
      <c r="AR5868">
        <v>1</v>
      </c>
      <c r="AS5868" s="1">
        <v>22630</v>
      </c>
      <c r="AT5868" s="1">
        <v>4520</v>
      </c>
      <c r="AU5868" s="1">
        <v>18110</v>
      </c>
      <c r="AV5868">
        <v>80.03</v>
      </c>
      <c r="AX5868" s="1">
        <v>1464.64</v>
      </c>
      <c r="AY5868" t="s">
        <v>1401</v>
      </c>
      <c r="AZ5868" t="s">
        <v>1402</v>
      </c>
      <c r="BA5868" t="s">
        <v>1403</v>
      </c>
      <c r="BE5868" s="3">
        <v>42306</v>
      </c>
      <c r="BF5868" s="1">
        <v>285000</v>
      </c>
      <c r="BG5868" t="s">
        <v>35878</v>
      </c>
      <c r="BH5868" s="1">
        <v>189.49</v>
      </c>
      <c r="BI5868" s="1">
        <v>291127</v>
      </c>
      <c r="BJ5868" s="3">
        <v>42306</v>
      </c>
      <c r="BK5868" t="s">
        <v>123</v>
      </c>
      <c r="BL5868" t="str">
        <f>"2015.777732"</f>
        <v>2015.777732</v>
      </c>
      <c r="BM5868" t="s">
        <v>594</v>
      </c>
      <c r="BO5868" t="s">
        <v>35879</v>
      </c>
      <c r="BS5868">
        <v>30</v>
      </c>
      <c r="BW5868" t="str">
        <f>""</f>
        <v/>
      </c>
      <c r="CH5868" t="str">
        <f>""</f>
        <v/>
      </c>
      <c r="CS5868" t="str">
        <f>""</f>
        <v/>
      </c>
    </row>
    <row r="5869" spans="1:97" x14ac:dyDescent="0.25">
      <c r="A5869" t="s">
        <v>428</v>
      </c>
      <c r="B5869" t="s">
        <v>35880</v>
      </c>
      <c r="C5869" t="s">
        <v>933</v>
      </c>
      <c r="D5869" t="s">
        <v>35880</v>
      </c>
      <c r="E5869" t="s">
        <v>35881</v>
      </c>
      <c r="F5869" t="s">
        <v>108</v>
      </c>
      <c r="H5869" t="s">
        <v>35882</v>
      </c>
      <c r="I5869" t="s">
        <v>390</v>
      </c>
      <c r="J5869" t="s">
        <v>111</v>
      </c>
      <c r="K5869" t="str">
        <f>"85085"</f>
        <v>85085</v>
      </c>
      <c r="L5869" t="s">
        <v>1244</v>
      </c>
      <c r="M5869" t="s">
        <v>35882</v>
      </c>
      <c r="N5869" t="s">
        <v>390</v>
      </c>
      <c r="O5869" t="s">
        <v>111</v>
      </c>
      <c r="P5869" t="str">
        <f>"85085-8717"</f>
        <v>85085-8717</v>
      </c>
      <c r="Q5869" t="s">
        <v>113</v>
      </c>
      <c r="R5869" t="str">
        <f>"210-19-466"</f>
        <v>210-19-466</v>
      </c>
      <c r="S5869" t="s">
        <v>35883</v>
      </c>
      <c r="T5869" t="s">
        <v>11683</v>
      </c>
      <c r="U5869">
        <v>3920</v>
      </c>
      <c r="V5869">
        <v>0</v>
      </c>
      <c r="W5869">
        <v>5</v>
      </c>
      <c r="X5869">
        <v>2005</v>
      </c>
      <c r="Z5869">
        <v>2</v>
      </c>
      <c r="AA5869" t="s">
        <v>26</v>
      </c>
      <c r="AB5869">
        <v>0</v>
      </c>
      <c r="AC5869" t="s">
        <v>115</v>
      </c>
      <c r="AD5869">
        <v>3</v>
      </c>
      <c r="AE5869" t="s">
        <v>115</v>
      </c>
      <c r="AF5869">
        <v>0</v>
      </c>
      <c r="AG5869">
        <v>0</v>
      </c>
      <c r="AH5869" t="s">
        <v>116</v>
      </c>
      <c r="AI5869" s="1">
        <v>98553</v>
      </c>
      <c r="AJ5869" s="2">
        <v>0.19</v>
      </c>
      <c r="AK5869" s="1">
        <v>515553</v>
      </c>
      <c r="AL5869" t="s">
        <v>117</v>
      </c>
      <c r="AM5869" t="s">
        <v>171</v>
      </c>
      <c r="AN5869">
        <v>11576</v>
      </c>
      <c r="AO5869">
        <v>0.27</v>
      </c>
      <c r="AR5869">
        <v>1</v>
      </c>
      <c r="AS5869" s="1">
        <v>38870</v>
      </c>
      <c r="AT5869" s="1">
        <v>7770</v>
      </c>
      <c r="AU5869" s="1">
        <v>31100</v>
      </c>
      <c r="AV5869">
        <v>80.010000000000005</v>
      </c>
      <c r="AX5869" s="1">
        <v>3897.76</v>
      </c>
      <c r="AY5869" t="s">
        <v>1461</v>
      </c>
      <c r="AZ5869" t="s">
        <v>1461</v>
      </c>
      <c r="BA5869" t="s">
        <v>1462</v>
      </c>
      <c r="BE5869" s="3">
        <v>42333</v>
      </c>
      <c r="BF5869" s="1">
        <v>531500</v>
      </c>
      <c r="BG5869" t="s">
        <v>35884</v>
      </c>
      <c r="BH5869" s="1">
        <v>135.59</v>
      </c>
      <c r="BI5869" s="1">
        <v>417000</v>
      </c>
      <c r="BJ5869" s="3">
        <v>42333</v>
      </c>
      <c r="BK5869" t="s">
        <v>123</v>
      </c>
      <c r="BL5869" t="str">
        <f>"2015.841488"</f>
        <v>2015.841488</v>
      </c>
      <c r="BM5869" t="s">
        <v>124</v>
      </c>
      <c r="BO5869" t="s">
        <v>35885</v>
      </c>
      <c r="BS5869">
        <v>30</v>
      </c>
      <c r="BW5869" t="str">
        <f>""</f>
        <v/>
      </c>
      <c r="CH5869" t="str">
        <f>""</f>
        <v/>
      </c>
      <c r="CS5869" t="str">
        <f>""</f>
        <v/>
      </c>
    </row>
    <row r="5870" spans="1:97" x14ac:dyDescent="0.25">
      <c r="A5870" t="s">
        <v>404</v>
      </c>
      <c r="B5870" t="s">
        <v>35886</v>
      </c>
      <c r="C5870" t="s">
        <v>976</v>
      </c>
      <c r="D5870" t="s">
        <v>603</v>
      </c>
      <c r="E5870" t="s">
        <v>35887</v>
      </c>
      <c r="F5870" t="s">
        <v>108</v>
      </c>
      <c r="H5870" t="s">
        <v>35888</v>
      </c>
      <c r="I5870" t="s">
        <v>390</v>
      </c>
      <c r="J5870" t="s">
        <v>111</v>
      </c>
      <c r="K5870" t="str">
        <f>"85044"</f>
        <v>85044</v>
      </c>
      <c r="L5870" t="s">
        <v>8345</v>
      </c>
      <c r="M5870" t="s">
        <v>35888</v>
      </c>
      <c r="N5870" t="s">
        <v>390</v>
      </c>
      <c r="O5870" t="s">
        <v>111</v>
      </c>
      <c r="P5870" t="str">
        <f>"85044-4124"</f>
        <v>85044-4124</v>
      </c>
      <c r="Q5870" t="s">
        <v>113</v>
      </c>
      <c r="R5870" t="str">
        <f>"301-59-049"</f>
        <v>301-59-049</v>
      </c>
      <c r="S5870" t="s">
        <v>35889</v>
      </c>
      <c r="U5870">
        <v>1209</v>
      </c>
      <c r="V5870">
        <v>0</v>
      </c>
      <c r="W5870">
        <v>2</v>
      </c>
      <c r="X5870">
        <v>1983</v>
      </c>
      <c r="Z5870">
        <v>1</v>
      </c>
      <c r="AB5870">
        <v>0</v>
      </c>
      <c r="AC5870" t="s">
        <v>115</v>
      </c>
      <c r="AD5870">
        <v>2</v>
      </c>
      <c r="AE5870" t="s">
        <v>115</v>
      </c>
      <c r="AF5870">
        <v>0</v>
      </c>
      <c r="AG5870">
        <v>0</v>
      </c>
      <c r="AH5870" t="s">
        <v>116</v>
      </c>
      <c r="AI5870" s="1">
        <v>45257</v>
      </c>
      <c r="AJ5870" s="2">
        <v>0.18</v>
      </c>
      <c r="AK5870" s="1">
        <v>253643</v>
      </c>
      <c r="AL5870" t="s">
        <v>117</v>
      </c>
      <c r="AM5870" t="s">
        <v>191</v>
      </c>
      <c r="AN5870">
        <v>6787</v>
      </c>
      <c r="AO5870">
        <v>0.16</v>
      </c>
      <c r="AP5870">
        <v>1</v>
      </c>
      <c r="AR5870">
        <v>1</v>
      </c>
      <c r="AS5870" s="1">
        <v>17560</v>
      </c>
      <c r="AT5870" s="1">
        <v>3510</v>
      </c>
      <c r="AU5870" s="1">
        <v>14050</v>
      </c>
      <c r="AV5870">
        <v>80.010000000000005</v>
      </c>
      <c r="AX5870" s="1">
        <v>1341.28</v>
      </c>
      <c r="AY5870" t="s">
        <v>11872</v>
      </c>
      <c r="AZ5870" t="s">
        <v>7255</v>
      </c>
      <c r="BA5870" t="s">
        <v>5328</v>
      </c>
      <c r="BE5870" s="3">
        <v>42545</v>
      </c>
      <c r="BF5870" s="1">
        <v>204000</v>
      </c>
      <c r="BG5870" t="s">
        <v>35890</v>
      </c>
      <c r="BH5870" s="1">
        <v>168.73</v>
      </c>
      <c r="BI5870" s="1">
        <v>208386</v>
      </c>
      <c r="BJ5870" s="3">
        <v>42545</v>
      </c>
      <c r="BK5870" t="s">
        <v>123</v>
      </c>
      <c r="BL5870" t="str">
        <f>"2016.445128"</f>
        <v>2016.445128</v>
      </c>
      <c r="BM5870" t="s">
        <v>2683</v>
      </c>
      <c r="BO5870" t="s">
        <v>35891</v>
      </c>
      <c r="BP5870" t="s">
        <v>35892</v>
      </c>
      <c r="BS5870">
        <v>30</v>
      </c>
      <c r="BW5870" t="str">
        <f>""</f>
        <v/>
      </c>
      <c r="CH5870" t="str">
        <f>""</f>
        <v/>
      </c>
      <c r="CS5870" t="str">
        <f>""</f>
        <v/>
      </c>
    </row>
    <row r="5871" spans="1:97" x14ac:dyDescent="0.25">
      <c r="A5871" t="s">
        <v>938</v>
      </c>
      <c r="B5871" t="s">
        <v>35893</v>
      </c>
      <c r="C5871" t="s">
        <v>3635</v>
      </c>
      <c r="D5871" t="s">
        <v>35893</v>
      </c>
      <c r="E5871" t="s">
        <v>35894</v>
      </c>
      <c r="F5871" t="s">
        <v>282</v>
      </c>
      <c r="H5871" t="s">
        <v>35895</v>
      </c>
      <c r="I5871" t="s">
        <v>390</v>
      </c>
      <c r="J5871" t="s">
        <v>111</v>
      </c>
      <c r="K5871" t="str">
        <f>"85042"</f>
        <v>85042</v>
      </c>
      <c r="L5871" t="s">
        <v>5799</v>
      </c>
      <c r="M5871" t="s">
        <v>35896</v>
      </c>
      <c r="N5871" t="s">
        <v>225</v>
      </c>
      <c r="O5871" t="s">
        <v>111</v>
      </c>
      <c r="P5871" t="str">
        <f>"85213-2336"</f>
        <v>85213-2336</v>
      </c>
      <c r="Q5871" t="s">
        <v>113</v>
      </c>
      <c r="R5871" t="str">
        <f>"300-37-254"</f>
        <v>300-37-254</v>
      </c>
      <c r="S5871" t="s">
        <v>14132</v>
      </c>
      <c r="T5871" t="s">
        <v>14132</v>
      </c>
      <c r="U5871">
        <v>2170</v>
      </c>
      <c r="V5871">
        <v>0</v>
      </c>
      <c r="W5871">
        <v>3</v>
      </c>
      <c r="X5871">
        <v>2001</v>
      </c>
      <c r="Z5871">
        <v>1</v>
      </c>
      <c r="AA5871" t="s">
        <v>26</v>
      </c>
      <c r="AB5871">
        <v>0</v>
      </c>
      <c r="AC5871" t="s">
        <v>115</v>
      </c>
      <c r="AD5871">
        <v>2</v>
      </c>
      <c r="AE5871" t="s">
        <v>115</v>
      </c>
      <c r="AF5871">
        <v>0</v>
      </c>
      <c r="AG5871">
        <v>0</v>
      </c>
      <c r="AH5871" t="s">
        <v>116</v>
      </c>
      <c r="AI5871" s="1">
        <v>74363</v>
      </c>
      <c r="AJ5871" s="2">
        <v>0.24</v>
      </c>
      <c r="AK5871" s="1">
        <v>305136</v>
      </c>
      <c r="AL5871" t="s">
        <v>117</v>
      </c>
      <c r="AM5871" t="s">
        <v>1302</v>
      </c>
      <c r="AN5871">
        <v>7150</v>
      </c>
      <c r="AO5871">
        <v>0.16</v>
      </c>
      <c r="AP5871">
        <v>1</v>
      </c>
      <c r="AR5871">
        <v>1</v>
      </c>
      <c r="AS5871" s="1">
        <v>20160</v>
      </c>
      <c r="AT5871" s="1">
        <v>4030</v>
      </c>
      <c r="AU5871" s="1">
        <v>16130</v>
      </c>
      <c r="AV5871">
        <v>80.010000000000005</v>
      </c>
      <c r="AX5871" s="1">
        <v>2686.3</v>
      </c>
      <c r="AY5871" t="s">
        <v>2859</v>
      </c>
      <c r="AZ5871" t="s">
        <v>2859</v>
      </c>
      <c r="BA5871" t="s">
        <v>2860</v>
      </c>
      <c r="BE5871" s="3">
        <v>42130</v>
      </c>
      <c r="BF5871" s="1">
        <v>229900</v>
      </c>
      <c r="BG5871" t="s">
        <v>35897</v>
      </c>
      <c r="BH5871" s="1">
        <v>105.94</v>
      </c>
      <c r="BI5871" s="1">
        <v>230773</v>
      </c>
      <c r="BJ5871" s="3">
        <v>42635</v>
      </c>
      <c r="BK5871" t="s">
        <v>123</v>
      </c>
      <c r="BL5871" t="str">
        <f>"2016.690079"</f>
        <v>2016.690079</v>
      </c>
      <c r="BM5871" t="s">
        <v>425</v>
      </c>
      <c r="BO5871" t="s">
        <v>35898</v>
      </c>
      <c r="BS5871">
        <v>30</v>
      </c>
      <c r="BW5871" t="str">
        <f>""</f>
        <v/>
      </c>
      <c r="CH5871" t="str">
        <f>""</f>
        <v/>
      </c>
      <c r="CS5871" t="str">
        <f>""</f>
        <v/>
      </c>
    </row>
    <row r="5872" spans="1:97" x14ac:dyDescent="0.25">
      <c r="A5872" t="s">
        <v>9055</v>
      </c>
      <c r="B5872" t="s">
        <v>10633</v>
      </c>
      <c r="C5872" t="s">
        <v>2068</v>
      </c>
      <c r="D5872" t="s">
        <v>10633</v>
      </c>
      <c r="E5872" t="s">
        <v>35899</v>
      </c>
      <c r="F5872" t="s">
        <v>108</v>
      </c>
      <c r="H5872" t="s">
        <v>35900</v>
      </c>
      <c r="I5872" t="s">
        <v>390</v>
      </c>
      <c r="J5872" t="s">
        <v>111</v>
      </c>
      <c r="K5872" t="str">
        <f>"85045"</f>
        <v>85045</v>
      </c>
      <c r="L5872" t="s">
        <v>3430</v>
      </c>
      <c r="M5872" t="s">
        <v>35900</v>
      </c>
      <c r="N5872" t="s">
        <v>390</v>
      </c>
      <c r="O5872" t="s">
        <v>111</v>
      </c>
      <c r="P5872" t="str">
        <f>"85045-1205"</f>
        <v>85045-1205</v>
      </c>
      <c r="Q5872" t="s">
        <v>113</v>
      </c>
      <c r="R5872" t="str">
        <f>"300-05-269"</f>
        <v>300-05-269</v>
      </c>
      <c r="S5872" t="s">
        <v>30743</v>
      </c>
      <c r="T5872" t="s">
        <v>12019</v>
      </c>
      <c r="U5872">
        <v>1894</v>
      </c>
      <c r="V5872">
        <v>0</v>
      </c>
      <c r="W5872">
        <v>3</v>
      </c>
      <c r="X5872">
        <v>2002</v>
      </c>
      <c r="Z5872">
        <v>1</v>
      </c>
      <c r="AA5872" t="s">
        <v>26</v>
      </c>
      <c r="AB5872">
        <v>0</v>
      </c>
      <c r="AC5872" t="s">
        <v>115</v>
      </c>
      <c r="AD5872">
        <v>2</v>
      </c>
      <c r="AE5872" t="s">
        <v>115</v>
      </c>
      <c r="AF5872">
        <v>0</v>
      </c>
      <c r="AG5872">
        <v>0</v>
      </c>
      <c r="AH5872" t="s">
        <v>116</v>
      </c>
      <c r="AI5872" s="1">
        <v>75849</v>
      </c>
      <c r="AJ5872" s="2">
        <v>0.22</v>
      </c>
      <c r="AK5872" s="1">
        <v>347949</v>
      </c>
      <c r="AL5872" t="s">
        <v>117</v>
      </c>
      <c r="AM5872" t="s">
        <v>171</v>
      </c>
      <c r="AN5872">
        <v>6743</v>
      </c>
      <c r="AO5872">
        <v>0.16</v>
      </c>
      <c r="AP5872">
        <v>1</v>
      </c>
      <c r="AR5872">
        <v>1</v>
      </c>
      <c r="AS5872" s="1">
        <v>24320</v>
      </c>
      <c r="AT5872" s="1">
        <v>4860</v>
      </c>
      <c r="AU5872" s="1">
        <v>19460</v>
      </c>
      <c r="AV5872">
        <v>80.02</v>
      </c>
      <c r="AX5872" s="1">
        <v>2420.6</v>
      </c>
      <c r="AY5872" t="s">
        <v>6202</v>
      </c>
      <c r="AZ5872" t="s">
        <v>2967</v>
      </c>
      <c r="BA5872" t="s">
        <v>930</v>
      </c>
      <c r="BE5872" s="3">
        <v>41793</v>
      </c>
      <c r="BF5872" s="1">
        <v>252200</v>
      </c>
      <c r="BG5872" t="s">
        <v>35901</v>
      </c>
      <c r="BH5872" s="1">
        <v>133.16</v>
      </c>
      <c r="BI5872" s="1">
        <v>272100</v>
      </c>
      <c r="BJ5872" s="3">
        <v>42597</v>
      </c>
      <c r="BK5872" t="s">
        <v>123</v>
      </c>
      <c r="BL5872" t="str">
        <f>"2016.581357"</f>
        <v>2016.581357</v>
      </c>
      <c r="BM5872" t="s">
        <v>709</v>
      </c>
      <c r="BO5872" t="s">
        <v>35902</v>
      </c>
      <c r="BS5872">
        <v>30</v>
      </c>
      <c r="BW5872" t="str">
        <f>""</f>
        <v/>
      </c>
      <c r="CH5872" t="str">
        <f>""</f>
        <v/>
      </c>
      <c r="CS5872" t="str">
        <f>""</f>
        <v/>
      </c>
    </row>
    <row r="5873" spans="1:97" x14ac:dyDescent="0.25">
      <c r="A5873" t="s">
        <v>1938</v>
      </c>
      <c r="B5873" t="s">
        <v>35903</v>
      </c>
      <c r="C5873" t="s">
        <v>2019</v>
      </c>
      <c r="D5873" t="s">
        <v>35903</v>
      </c>
      <c r="E5873" t="s">
        <v>35904</v>
      </c>
      <c r="F5873" t="s">
        <v>108</v>
      </c>
      <c r="H5873" t="s">
        <v>35905</v>
      </c>
      <c r="I5873" t="s">
        <v>453</v>
      </c>
      <c r="J5873" t="s">
        <v>111</v>
      </c>
      <c r="K5873" t="str">
        <f>"85383"</f>
        <v>85383</v>
      </c>
      <c r="L5873" t="s">
        <v>7243</v>
      </c>
      <c r="M5873" t="s">
        <v>35905</v>
      </c>
      <c r="N5873" t="s">
        <v>453</v>
      </c>
      <c r="O5873" t="s">
        <v>111</v>
      </c>
      <c r="P5873" t="str">
        <f>"85383-6235"</f>
        <v>85383-6235</v>
      </c>
      <c r="Q5873" t="s">
        <v>113</v>
      </c>
      <c r="R5873" t="str">
        <f>"201-20-340"</f>
        <v>201-20-340</v>
      </c>
      <c r="S5873" t="s">
        <v>8847</v>
      </c>
      <c r="T5873" t="s">
        <v>8847</v>
      </c>
      <c r="U5873">
        <v>3514</v>
      </c>
      <c r="V5873">
        <v>0</v>
      </c>
      <c r="W5873">
        <v>5</v>
      </c>
      <c r="X5873">
        <v>2014</v>
      </c>
      <c r="Z5873">
        <v>2</v>
      </c>
      <c r="AA5873" t="s">
        <v>26</v>
      </c>
      <c r="AB5873">
        <v>0</v>
      </c>
      <c r="AC5873" t="s">
        <v>115</v>
      </c>
      <c r="AD5873">
        <v>2</v>
      </c>
      <c r="AE5873" t="s">
        <v>115</v>
      </c>
      <c r="AF5873">
        <v>0</v>
      </c>
      <c r="AG5873">
        <v>0</v>
      </c>
      <c r="AH5873" t="s">
        <v>116</v>
      </c>
      <c r="AI5873" s="1">
        <v>27464</v>
      </c>
      <c r="AJ5873" s="2">
        <v>0.06</v>
      </c>
      <c r="AK5873" s="1">
        <v>476464</v>
      </c>
      <c r="AL5873" t="s">
        <v>117</v>
      </c>
      <c r="AM5873" t="s">
        <v>118</v>
      </c>
      <c r="AN5873">
        <v>8160</v>
      </c>
      <c r="AO5873">
        <v>0.19</v>
      </c>
      <c r="AR5873">
        <v>1</v>
      </c>
      <c r="AS5873" s="1">
        <v>38320</v>
      </c>
      <c r="AT5873" s="1">
        <v>7660</v>
      </c>
      <c r="AU5873" s="1">
        <v>30660</v>
      </c>
      <c r="AV5873">
        <v>80.010000000000005</v>
      </c>
      <c r="AX5873" s="1">
        <v>2946.7</v>
      </c>
      <c r="AY5873" t="s">
        <v>1385</v>
      </c>
      <c r="AZ5873" t="s">
        <v>1385</v>
      </c>
      <c r="BA5873" t="s">
        <v>1386</v>
      </c>
      <c r="BE5873" s="3">
        <v>41969</v>
      </c>
      <c r="BF5873" s="1">
        <v>396000</v>
      </c>
      <c r="BG5873" t="s">
        <v>158</v>
      </c>
      <c r="BH5873" s="1">
        <v>112.69</v>
      </c>
      <c r="BI5873" s="1">
        <v>449000</v>
      </c>
      <c r="BJ5873" s="3">
        <v>43565</v>
      </c>
      <c r="BK5873" t="s">
        <v>123</v>
      </c>
      <c r="BL5873" t="str">
        <f>"2019.252132"</f>
        <v>2019.252132</v>
      </c>
      <c r="BM5873" t="s">
        <v>7638</v>
      </c>
      <c r="BN5873" t="s">
        <v>7639</v>
      </c>
      <c r="BO5873" t="s">
        <v>35906</v>
      </c>
      <c r="BP5873" t="s">
        <v>35907</v>
      </c>
      <c r="BR5873" t="s">
        <v>139</v>
      </c>
      <c r="BW5873" t="str">
        <f>""</f>
        <v/>
      </c>
      <c r="CH5873" t="str">
        <f>""</f>
        <v/>
      </c>
      <c r="CS5873" t="str">
        <f>""</f>
        <v/>
      </c>
    </row>
    <row r="5874" spans="1:97" x14ac:dyDescent="0.25">
      <c r="A5874" t="s">
        <v>370</v>
      </c>
      <c r="B5874" t="s">
        <v>3754</v>
      </c>
      <c r="C5874" t="s">
        <v>817</v>
      </c>
      <c r="D5874" t="s">
        <v>3754</v>
      </c>
      <c r="E5874" t="s">
        <v>35908</v>
      </c>
      <c r="F5874" t="s">
        <v>108</v>
      </c>
      <c r="H5874" t="s">
        <v>35909</v>
      </c>
      <c r="I5874" t="s">
        <v>110</v>
      </c>
      <c r="J5874" t="s">
        <v>111</v>
      </c>
      <c r="K5874" t="str">
        <f>"85286"</f>
        <v>85286</v>
      </c>
      <c r="L5874" t="s">
        <v>375</v>
      </c>
      <c r="M5874" t="s">
        <v>35909</v>
      </c>
      <c r="N5874" t="s">
        <v>110</v>
      </c>
      <c r="O5874" t="s">
        <v>111</v>
      </c>
      <c r="P5874" t="str">
        <f>"85286-5665"</f>
        <v>85286-5665</v>
      </c>
      <c r="Q5874" t="s">
        <v>113</v>
      </c>
      <c r="R5874" t="str">
        <f>"304-56-306"</f>
        <v>304-56-306</v>
      </c>
      <c r="S5874" t="s">
        <v>15469</v>
      </c>
      <c r="T5874" t="s">
        <v>15470</v>
      </c>
      <c r="U5874">
        <v>2048</v>
      </c>
      <c r="V5874">
        <v>0</v>
      </c>
      <c r="W5874">
        <v>3</v>
      </c>
      <c r="X5874">
        <v>2003</v>
      </c>
      <c r="Z5874">
        <v>1</v>
      </c>
      <c r="AB5874">
        <v>0</v>
      </c>
      <c r="AC5874" t="s">
        <v>115</v>
      </c>
      <c r="AD5874">
        <v>3</v>
      </c>
      <c r="AE5874" t="s">
        <v>115</v>
      </c>
      <c r="AF5874">
        <v>0</v>
      </c>
      <c r="AG5874">
        <v>0</v>
      </c>
      <c r="AH5874" t="s">
        <v>116</v>
      </c>
      <c r="AI5874" s="1">
        <v>55826</v>
      </c>
      <c r="AJ5874" s="2">
        <v>0.15</v>
      </c>
      <c r="AK5874" s="1">
        <v>381221</v>
      </c>
      <c r="AL5874" t="s">
        <v>117</v>
      </c>
      <c r="AM5874" t="s">
        <v>118</v>
      </c>
      <c r="AN5874">
        <v>8974</v>
      </c>
      <c r="AO5874">
        <v>0.21</v>
      </c>
      <c r="AP5874">
        <v>1</v>
      </c>
      <c r="AR5874">
        <v>1</v>
      </c>
      <c r="AS5874" s="1">
        <v>26960</v>
      </c>
      <c r="AT5874" s="1">
        <v>5390</v>
      </c>
      <c r="AU5874" s="1">
        <v>21570</v>
      </c>
      <c r="AV5874">
        <v>80.010000000000005</v>
      </c>
      <c r="AX5874" s="1">
        <v>2263.66</v>
      </c>
      <c r="AY5874" t="s">
        <v>737</v>
      </c>
      <c r="AZ5874" t="s">
        <v>120</v>
      </c>
      <c r="BA5874" t="s">
        <v>303</v>
      </c>
      <c r="BE5874" s="3">
        <v>41813</v>
      </c>
      <c r="BF5874" s="1">
        <v>315000</v>
      </c>
      <c r="BG5874" t="s">
        <v>35910</v>
      </c>
      <c r="BH5874" s="1">
        <v>153.81</v>
      </c>
      <c r="BI5874" s="1">
        <v>325395</v>
      </c>
      <c r="BJ5874" s="3">
        <v>41813</v>
      </c>
      <c r="BK5874" t="s">
        <v>123</v>
      </c>
      <c r="BL5874" t="str">
        <f>"2014.409539"</f>
        <v>2014.409539</v>
      </c>
      <c r="BM5874" t="s">
        <v>724</v>
      </c>
      <c r="BO5874" t="s">
        <v>35911</v>
      </c>
      <c r="BS5874">
        <v>30</v>
      </c>
      <c r="BW5874" t="str">
        <f>""</f>
        <v/>
      </c>
      <c r="CH5874" t="str">
        <f>""</f>
        <v/>
      </c>
      <c r="CS5874" t="str">
        <f>""</f>
        <v/>
      </c>
    </row>
    <row r="5875" spans="1:97" x14ac:dyDescent="0.25">
      <c r="A5875" t="s">
        <v>1704</v>
      </c>
      <c r="B5875" t="s">
        <v>35912</v>
      </c>
      <c r="E5875" t="s">
        <v>35913</v>
      </c>
      <c r="F5875" t="s">
        <v>108</v>
      </c>
      <c r="H5875" t="s">
        <v>35914</v>
      </c>
      <c r="I5875" t="s">
        <v>632</v>
      </c>
      <c r="J5875" t="s">
        <v>111</v>
      </c>
      <c r="K5875" t="str">
        <f>"85388"</f>
        <v>85388</v>
      </c>
      <c r="L5875" t="s">
        <v>7607</v>
      </c>
      <c r="M5875" t="s">
        <v>35914</v>
      </c>
      <c r="N5875" t="s">
        <v>632</v>
      </c>
      <c r="O5875" t="s">
        <v>111</v>
      </c>
      <c r="P5875" t="str">
        <f>"85388-1802"</f>
        <v>85388-1802</v>
      </c>
      <c r="Q5875" t="s">
        <v>113</v>
      </c>
      <c r="R5875" t="str">
        <f>"502-89-460"</f>
        <v>502-89-460</v>
      </c>
      <c r="S5875" t="s">
        <v>7646</v>
      </c>
      <c r="U5875">
        <v>2847</v>
      </c>
      <c r="V5875">
        <v>0</v>
      </c>
      <c r="W5875">
        <v>4</v>
      </c>
      <c r="X5875">
        <v>2013</v>
      </c>
      <c r="Z5875">
        <v>1</v>
      </c>
      <c r="AB5875">
        <v>0</v>
      </c>
      <c r="AC5875" t="s">
        <v>115</v>
      </c>
      <c r="AD5875">
        <v>2</v>
      </c>
      <c r="AE5875" t="s">
        <v>115</v>
      </c>
      <c r="AF5875">
        <v>0</v>
      </c>
      <c r="AG5875">
        <v>0</v>
      </c>
      <c r="AH5875" t="s">
        <v>116</v>
      </c>
      <c r="AI5875" s="1">
        <v>25355</v>
      </c>
      <c r="AJ5875" s="2">
        <v>7.0000000000000007E-2</v>
      </c>
      <c r="AK5875" s="1">
        <v>340355</v>
      </c>
      <c r="AL5875" t="s">
        <v>117</v>
      </c>
      <c r="AM5875" t="s">
        <v>118</v>
      </c>
      <c r="AN5875">
        <v>7800</v>
      </c>
      <c r="AO5875">
        <v>0.18</v>
      </c>
      <c r="AR5875">
        <v>1</v>
      </c>
      <c r="AS5875" s="1">
        <v>24710</v>
      </c>
      <c r="AT5875" s="1">
        <v>4940</v>
      </c>
      <c r="AU5875" s="1">
        <v>19770</v>
      </c>
      <c r="AV5875">
        <v>80.010000000000005</v>
      </c>
      <c r="AX5875" s="1">
        <v>2221.4</v>
      </c>
      <c r="AY5875" t="s">
        <v>5168</v>
      </c>
      <c r="AZ5875" t="s">
        <v>5168</v>
      </c>
      <c r="BA5875" t="s">
        <v>5109</v>
      </c>
      <c r="BE5875" s="3">
        <v>41964</v>
      </c>
      <c r="BF5875" s="1">
        <v>258000</v>
      </c>
      <c r="BG5875" t="s">
        <v>275</v>
      </c>
      <c r="BH5875" s="1">
        <v>90.62</v>
      </c>
      <c r="BI5875" s="1">
        <v>315000</v>
      </c>
      <c r="BJ5875" s="3">
        <v>43419</v>
      </c>
      <c r="BK5875" t="s">
        <v>123</v>
      </c>
      <c r="BL5875" t="str">
        <f>"2018.848521"</f>
        <v>2018.848521</v>
      </c>
      <c r="BM5875" t="s">
        <v>11185</v>
      </c>
      <c r="BN5875" t="s">
        <v>1282</v>
      </c>
      <c r="BO5875" t="s">
        <v>35915</v>
      </c>
      <c r="BR5875" t="s">
        <v>139</v>
      </c>
      <c r="BW5875" t="str">
        <f>""</f>
        <v/>
      </c>
      <c r="CH5875" t="str">
        <f>""</f>
        <v/>
      </c>
      <c r="CS5875" t="str">
        <f>""</f>
        <v/>
      </c>
    </row>
    <row r="5876" spans="1:97" x14ac:dyDescent="0.25">
      <c r="A5876" t="s">
        <v>17429</v>
      </c>
      <c r="B5876" t="s">
        <v>3265</v>
      </c>
      <c r="C5876" t="s">
        <v>2286</v>
      </c>
      <c r="D5876" t="s">
        <v>3265</v>
      </c>
      <c r="E5876" t="s">
        <v>35916</v>
      </c>
      <c r="F5876" t="s">
        <v>108</v>
      </c>
      <c r="H5876" t="s">
        <v>35917</v>
      </c>
      <c r="I5876" t="s">
        <v>203</v>
      </c>
      <c r="J5876" t="s">
        <v>111</v>
      </c>
      <c r="K5876" t="str">
        <f>"85296"</f>
        <v>85296</v>
      </c>
      <c r="L5876" t="s">
        <v>774</v>
      </c>
      <c r="M5876" t="s">
        <v>35917</v>
      </c>
      <c r="N5876" t="s">
        <v>203</v>
      </c>
      <c r="O5876" t="s">
        <v>111</v>
      </c>
      <c r="P5876" t="str">
        <f>"85296-3032"</f>
        <v>85296-3032</v>
      </c>
      <c r="Q5876" t="s">
        <v>113</v>
      </c>
      <c r="R5876" t="str">
        <f>"309-18-196"</f>
        <v>309-18-196</v>
      </c>
      <c r="S5876" t="s">
        <v>31989</v>
      </c>
      <c r="T5876" t="s">
        <v>31990</v>
      </c>
      <c r="U5876">
        <v>1945</v>
      </c>
      <c r="V5876">
        <v>0</v>
      </c>
      <c r="W5876">
        <v>2</v>
      </c>
      <c r="X5876">
        <v>1999</v>
      </c>
      <c r="Z5876">
        <v>1</v>
      </c>
      <c r="AA5876" t="s">
        <v>26</v>
      </c>
      <c r="AB5876">
        <v>0</v>
      </c>
      <c r="AC5876" t="s">
        <v>115</v>
      </c>
      <c r="AD5876">
        <v>2</v>
      </c>
      <c r="AE5876" t="s">
        <v>115</v>
      </c>
      <c r="AF5876">
        <v>0</v>
      </c>
      <c r="AG5876">
        <v>0</v>
      </c>
      <c r="AH5876" t="s">
        <v>116</v>
      </c>
      <c r="AI5876" s="1">
        <v>96861</v>
      </c>
      <c r="AJ5876" s="2">
        <v>0.28999999999999998</v>
      </c>
      <c r="AK5876" s="1">
        <v>332385</v>
      </c>
      <c r="AL5876" t="s">
        <v>117</v>
      </c>
      <c r="AM5876" t="s">
        <v>191</v>
      </c>
      <c r="AN5876">
        <v>5571</v>
      </c>
      <c r="AO5876">
        <v>0.13</v>
      </c>
      <c r="AP5876">
        <v>1</v>
      </c>
      <c r="AR5876">
        <v>1</v>
      </c>
      <c r="AS5876" s="1">
        <v>22630</v>
      </c>
      <c r="AT5876" s="1">
        <v>4520</v>
      </c>
      <c r="AU5876" s="1">
        <v>18110</v>
      </c>
      <c r="AV5876">
        <v>80.03</v>
      </c>
      <c r="AX5876" s="1">
        <v>1559.94</v>
      </c>
      <c r="AY5876" t="s">
        <v>7837</v>
      </c>
      <c r="AZ5876" t="s">
        <v>520</v>
      </c>
      <c r="BA5876" t="s">
        <v>5033</v>
      </c>
      <c r="BE5876" s="3">
        <v>41831</v>
      </c>
      <c r="BF5876" s="1">
        <v>237500</v>
      </c>
      <c r="BG5876" t="s">
        <v>35918</v>
      </c>
      <c r="BH5876" s="1">
        <v>122.11</v>
      </c>
      <c r="BI5876" s="1">
        <v>235524</v>
      </c>
      <c r="BJ5876" s="3">
        <v>41831</v>
      </c>
      <c r="BK5876" t="s">
        <v>123</v>
      </c>
      <c r="BL5876" t="str">
        <f>"2014.454458"</f>
        <v>2014.454458</v>
      </c>
      <c r="BM5876" t="s">
        <v>594</v>
      </c>
      <c r="BO5876" t="s">
        <v>35919</v>
      </c>
      <c r="BS5876">
        <v>30</v>
      </c>
      <c r="BW5876" t="str">
        <f>""</f>
        <v/>
      </c>
      <c r="CH5876" t="str">
        <f>""</f>
        <v/>
      </c>
      <c r="CS5876" t="str">
        <f>""</f>
        <v/>
      </c>
    </row>
    <row r="5877" spans="1:97" x14ac:dyDescent="0.25">
      <c r="A5877" t="s">
        <v>1047</v>
      </c>
      <c r="B5877" t="s">
        <v>35920</v>
      </c>
      <c r="E5877" t="s">
        <v>35921</v>
      </c>
      <c r="F5877" t="s">
        <v>108</v>
      </c>
      <c r="H5877" t="s">
        <v>35922</v>
      </c>
      <c r="I5877" t="s">
        <v>632</v>
      </c>
      <c r="J5877" t="s">
        <v>111</v>
      </c>
      <c r="K5877" t="str">
        <f>"85388"</f>
        <v>85388</v>
      </c>
      <c r="L5877" t="s">
        <v>7607</v>
      </c>
      <c r="M5877" t="s">
        <v>35922</v>
      </c>
      <c r="N5877" t="s">
        <v>632</v>
      </c>
      <c r="O5877" t="s">
        <v>111</v>
      </c>
      <c r="P5877" t="str">
        <f>"85388-1810"</f>
        <v>85388-1810</v>
      </c>
      <c r="Q5877" t="s">
        <v>113</v>
      </c>
      <c r="R5877" t="str">
        <f>"502-89-319"</f>
        <v>502-89-319</v>
      </c>
      <c r="S5877" t="s">
        <v>7646</v>
      </c>
      <c r="U5877">
        <v>4581</v>
      </c>
      <c r="V5877">
        <v>0</v>
      </c>
      <c r="W5877">
        <v>5</v>
      </c>
      <c r="X5877">
        <v>2015</v>
      </c>
      <c r="Z5877">
        <v>2</v>
      </c>
      <c r="AB5877">
        <v>0</v>
      </c>
      <c r="AC5877" t="s">
        <v>115</v>
      </c>
      <c r="AD5877">
        <v>3</v>
      </c>
      <c r="AE5877" t="s">
        <v>115</v>
      </c>
      <c r="AF5877">
        <v>0</v>
      </c>
      <c r="AG5877">
        <v>0</v>
      </c>
      <c r="AH5877" t="s">
        <v>116</v>
      </c>
      <c r="AI5877" s="1">
        <v>98084</v>
      </c>
      <c r="AJ5877" s="2">
        <v>0.22</v>
      </c>
      <c r="AK5877" s="1">
        <v>437501</v>
      </c>
      <c r="AL5877" t="s">
        <v>117</v>
      </c>
      <c r="AM5877" t="s">
        <v>118</v>
      </c>
      <c r="AN5877">
        <v>10400</v>
      </c>
      <c r="AO5877">
        <v>0.24</v>
      </c>
      <c r="AR5877">
        <v>1</v>
      </c>
      <c r="AS5877" s="1">
        <v>31930</v>
      </c>
      <c r="AT5877" s="1">
        <v>6380</v>
      </c>
      <c r="AU5877" s="1">
        <v>25550</v>
      </c>
      <c r="AV5877">
        <v>80.02</v>
      </c>
      <c r="AX5877" s="1">
        <v>2745.26</v>
      </c>
      <c r="AY5877" t="s">
        <v>5168</v>
      </c>
      <c r="AZ5877" t="s">
        <v>5168</v>
      </c>
      <c r="BA5877" t="s">
        <v>5109</v>
      </c>
      <c r="BE5877" s="3">
        <v>42178</v>
      </c>
      <c r="BF5877" s="1">
        <v>348404</v>
      </c>
      <c r="BG5877" t="s">
        <v>275</v>
      </c>
      <c r="BH5877" s="1">
        <v>76.05</v>
      </c>
      <c r="BI5877" s="1">
        <v>339417</v>
      </c>
      <c r="BJ5877" s="3">
        <v>43087</v>
      </c>
      <c r="BK5877" t="s">
        <v>123</v>
      </c>
      <c r="BL5877" t="str">
        <f>"2017.932030"</f>
        <v>2017.932030</v>
      </c>
      <c r="BM5877" t="s">
        <v>763</v>
      </c>
      <c r="BO5877" t="s">
        <v>35923</v>
      </c>
      <c r="BS5877">
        <v>31</v>
      </c>
      <c r="BW5877" t="str">
        <f>""</f>
        <v/>
      </c>
      <c r="CH5877" t="str">
        <f>""</f>
        <v/>
      </c>
      <c r="CS5877" t="str">
        <f>""</f>
        <v/>
      </c>
    </row>
    <row r="5878" spans="1:97" x14ac:dyDescent="0.25">
      <c r="A5878" t="s">
        <v>17684</v>
      </c>
      <c r="B5878" t="s">
        <v>24607</v>
      </c>
      <c r="E5878" t="s">
        <v>35924</v>
      </c>
      <c r="F5878" t="s">
        <v>108</v>
      </c>
      <c r="H5878" t="s">
        <v>35925</v>
      </c>
      <c r="I5878" t="s">
        <v>188</v>
      </c>
      <c r="J5878" t="s">
        <v>111</v>
      </c>
      <c r="K5878" t="str">
        <f>"85142"</f>
        <v>85142</v>
      </c>
      <c r="L5878" t="s">
        <v>3326</v>
      </c>
      <c r="M5878" t="s">
        <v>35925</v>
      </c>
      <c r="N5878" t="s">
        <v>188</v>
      </c>
      <c r="O5878" t="s">
        <v>111</v>
      </c>
      <c r="P5878" t="str">
        <f>"85142-7349"</f>
        <v>85142-7349</v>
      </c>
      <c r="Q5878" t="s">
        <v>113</v>
      </c>
      <c r="R5878" t="str">
        <f>"304-88-084-N"</f>
        <v>304-88-084-N</v>
      </c>
      <c r="S5878" t="s">
        <v>3834</v>
      </c>
      <c r="U5878">
        <v>2858</v>
      </c>
      <c r="V5878">
        <v>0</v>
      </c>
      <c r="W5878">
        <v>4</v>
      </c>
      <c r="X5878">
        <v>2015</v>
      </c>
      <c r="Z5878">
        <v>1</v>
      </c>
      <c r="AB5878">
        <v>0</v>
      </c>
      <c r="AC5878" t="s">
        <v>115</v>
      </c>
      <c r="AD5878">
        <v>3</v>
      </c>
      <c r="AE5878" t="s">
        <v>115</v>
      </c>
      <c r="AF5878">
        <v>0</v>
      </c>
      <c r="AG5878">
        <v>0</v>
      </c>
      <c r="AH5878" t="s">
        <v>116</v>
      </c>
      <c r="AI5878" s="1">
        <v>116083</v>
      </c>
      <c r="AJ5878" s="2">
        <v>0.21</v>
      </c>
      <c r="AK5878" s="1">
        <v>547783</v>
      </c>
      <c r="AL5878" t="s">
        <v>117</v>
      </c>
      <c r="AM5878" t="s">
        <v>376</v>
      </c>
      <c r="AN5878">
        <v>41530</v>
      </c>
      <c r="AO5878">
        <v>0.95</v>
      </c>
      <c r="AR5878">
        <v>1</v>
      </c>
      <c r="AS5878" s="1">
        <v>38520</v>
      </c>
      <c r="AT5878" s="1">
        <v>7700</v>
      </c>
      <c r="AU5878" s="1">
        <v>30820</v>
      </c>
      <c r="AV5878">
        <v>80.010000000000005</v>
      </c>
      <c r="AX5878" s="1">
        <v>3272.24</v>
      </c>
      <c r="AY5878" t="s">
        <v>1133</v>
      </c>
      <c r="AZ5878" t="s">
        <v>1134</v>
      </c>
      <c r="BA5878" t="s">
        <v>1134</v>
      </c>
      <c r="BE5878" s="3">
        <v>42185</v>
      </c>
      <c r="BF5878" s="1">
        <v>450080</v>
      </c>
      <c r="BG5878" t="s">
        <v>35926</v>
      </c>
      <c r="BH5878" s="1">
        <v>157.47999999999999</v>
      </c>
      <c r="BI5878" s="1">
        <v>431700</v>
      </c>
      <c r="BJ5878" s="3">
        <v>42772</v>
      </c>
      <c r="BK5878" t="s">
        <v>123</v>
      </c>
      <c r="BL5878" t="str">
        <f>"2017.87170"</f>
        <v>2017.87170</v>
      </c>
      <c r="BM5878" t="s">
        <v>724</v>
      </c>
      <c r="BO5878" t="s">
        <v>35927</v>
      </c>
      <c r="BS5878">
        <v>30</v>
      </c>
      <c r="BW5878" t="str">
        <f>""</f>
        <v/>
      </c>
      <c r="CH5878" t="str">
        <f>""</f>
        <v/>
      </c>
      <c r="CS5878" t="str">
        <f>""</f>
        <v/>
      </c>
    </row>
    <row r="5879" spans="1:97" x14ac:dyDescent="0.25">
      <c r="A5879" t="s">
        <v>3817</v>
      </c>
      <c r="B5879" t="s">
        <v>35346</v>
      </c>
      <c r="C5879" t="s">
        <v>6679</v>
      </c>
      <c r="D5879" t="s">
        <v>29496</v>
      </c>
      <c r="E5879" t="s">
        <v>35928</v>
      </c>
      <c r="F5879" t="s">
        <v>282</v>
      </c>
      <c r="H5879" t="s">
        <v>35929</v>
      </c>
      <c r="I5879" t="s">
        <v>225</v>
      </c>
      <c r="J5879" t="s">
        <v>111</v>
      </c>
      <c r="K5879" t="str">
        <f>"85205"</f>
        <v>85205</v>
      </c>
      <c r="L5879" t="s">
        <v>6169</v>
      </c>
      <c r="M5879" t="s">
        <v>35930</v>
      </c>
      <c r="N5879" t="s">
        <v>110</v>
      </c>
      <c r="O5879" t="s">
        <v>111</v>
      </c>
      <c r="P5879" t="str">
        <f>"85224-2662"</f>
        <v>85224-2662</v>
      </c>
      <c r="Q5879" t="s">
        <v>113</v>
      </c>
      <c r="R5879" t="str">
        <f>"141-89-321"</f>
        <v>141-89-321</v>
      </c>
      <c r="S5879" t="s">
        <v>35931</v>
      </c>
      <c r="T5879" t="s">
        <v>35931</v>
      </c>
      <c r="U5879">
        <v>2614</v>
      </c>
      <c r="V5879">
        <v>0</v>
      </c>
      <c r="W5879">
        <v>4</v>
      </c>
      <c r="X5879">
        <v>1999</v>
      </c>
      <c r="Z5879">
        <v>2</v>
      </c>
      <c r="AA5879" t="s">
        <v>26</v>
      </c>
      <c r="AB5879">
        <v>0</v>
      </c>
      <c r="AC5879" t="s">
        <v>115</v>
      </c>
      <c r="AD5879">
        <v>3</v>
      </c>
      <c r="AE5879" t="s">
        <v>115</v>
      </c>
      <c r="AF5879">
        <v>0</v>
      </c>
      <c r="AG5879">
        <v>0</v>
      </c>
      <c r="AH5879" t="s">
        <v>116</v>
      </c>
      <c r="AI5879" s="1">
        <v>67148</v>
      </c>
      <c r="AJ5879" s="2">
        <v>0.18</v>
      </c>
      <c r="AK5879" s="1">
        <v>381148</v>
      </c>
      <c r="AL5879" t="s">
        <v>117</v>
      </c>
      <c r="AM5879" t="str">
        <f>"R1-6"</f>
        <v>R1-6</v>
      </c>
      <c r="AN5879">
        <v>6600</v>
      </c>
      <c r="AO5879">
        <v>0.15</v>
      </c>
      <c r="AP5879">
        <v>1</v>
      </c>
      <c r="AR5879">
        <v>1</v>
      </c>
      <c r="AS5879" s="1">
        <v>28020</v>
      </c>
      <c r="AT5879" s="1">
        <v>5600</v>
      </c>
      <c r="AU5879" s="1">
        <v>22420</v>
      </c>
      <c r="AV5879">
        <v>80.010000000000005</v>
      </c>
      <c r="AX5879" s="1">
        <v>2483.62</v>
      </c>
      <c r="AY5879" t="s">
        <v>5274</v>
      </c>
      <c r="AZ5879" t="s">
        <v>5275</v>
      </c>
      <c r="BA5879" t="s">
        <v>3119</v>
      </c>
      <c r="BB5879" s="3">
        <v>42522</v>
      </c>
      <c r="BD5879" t="s">
        <v>240</v>
      </c>
      <c r="BE5879" s="3">
        <v>42521</v>
      </c>
      <c r="BF5879" s="1">
        <v>314000</v>
      </c>
      <c r="BG5879" t="s">
        <v>35932</v>
      </c>
      <c r="BH5879" s="1">
        <v>120.12</v>
      </c>
      <c r="BI5879" s="1">
        <v>314000</v>
      </c>
      <c r="BJ5879" s="3">
        <v>42521</v>
      </c>
      <c r="BK5879" t="s">
        <v>123</v>
      </c>
      <c r="BL5879" t="str">
        <f>"2016.374772"</f>
        <v>2016.374772</v>
      </c>
      <c r="BM5879" t="s">
        <v>12796</v>
      </c>
      <c r="BO5879" t="s">
        <v>35933</v>
      </c>
      <c r="BS5879">
        <v>30</v>
      </c>
      <c r="BW5879" t="str">
        <f>""</f>
        <v/>
      </c>
      <c r="CH5879" t="str">
        <f>""</f>
        <v/>
      </c>
      <c r="CS5879" t="str">
        <f>""</f>
        <v/>
      </c>
    </row>
    <row r="5880" spans="1:97" x14ac:dyDescent="0.25">
      <c r="A5880" t="s">
        <v>1963</v>
      </c>
      <c r="B5880" t="s">
        <v>1388</v>
      </c>
      <c r="C5880" t="s">
        <v>1252</v>
      </c>
      <c r="D5880" t="s">
        <v>1388</v>
      </c>
      <c r="E5880" t="s">
        <v>35934</v>
      </c>
      <c r="F5880" t="s">
        <v>108</v>
      </c>
      <c r="H5880" t="s">
        <v>35935</v>
      </c>
      <c r="I5880" t="s">
        <v>453</v>
      </c>
      <c r="J5880" t="s">
        <v>111</v>
      </c>
      <c r="K5880" t="str">
        <f>"85383"</f>
        <v>85383</v>
      </c>
      <c r="L5880" t="s">
        <v>189</v>
      </c>
      <c r="M5880" t="s">
        <v>35935</v>
      </c>
      <c r="N5880" t="s">
        <v>453</v>
      </c>
      <c r="O5880" t="s">
        <v>111</v>
      </c>
      <c r="P5880" t="str">
        <f>"85383-5070"</f>
        <v>85383-5070</v>
      </c>
      <c r="Q5880" t="s">
        <v>113</v>
      </c>
      <c r="R5880" t="str">
        <f>"503-97-836"</f>
        <v>503-97-836</v>
      </c>
      <c r="S5880" t="s">
        <v>31758</v>
      </c>
      <c r="U5880">
        <v>3415</v>
      </c>
      <c r="V5880">
        <v>0</v>
      </c>
      <c r="W5880">
        <v>5</v>
      </c>
      <c r="X5880">
        <v>2013</v>
      </c>
      <c r="Z5880">
        <v>1</v>
      </c>
      <c r="AA5880" t="s">
        <v>26</v>
      </c>
      <c r="AB5880">
        <v>0</v>
      </c>
      <c r="AC5880" t="s">
        <v>115</v>
      </c>
      <c r="AD5880">
        <v>4</v>
      </c>
      <c r="AE5880" t="s">
        <v>115</v>
      </c>
      <c r="AF5880">
        <v>0</v>
      </c>
      <c r="AG5880">
        <v>0</v>
      </c>
      <c r="AH5880" t="s">
        <v>116</v>
      </c>
      <c r="AI5880" s="1">
        <v>155019</v>
      </c>
      <c r="AJ5880" s="2">
        <v>0.23</v>
      </c>
      <c r="AK5880" s="1">
        <v>665183</v>
      </c>
      <c r="AL5880" t="s">
        <v>117</v>
      </c>
      <c r="AM5880" t="s">
        <v>118</v>
      </c>
      <c r="AN5880">
        <v>13002</v>
      </c>
      <c r="AO5880">
        <v>0.3</v>
      </c>
      <c r="AR5880">
        <v>1</v>
      </c>
      <c r="AS5880" s="1">
        <v>53720</v>
      </c>
      <c r="AT5880" s="1">
        <v>10740</v>
      </c>
      <c r="AU5880" s="1">
        <v>42980</v>
      </c>
      <c r="AV5880">
        <v>80.010000000000005</v>
      </c>
      <c r="AX5880" s="1">
        <v>4787.4399999999996</v>
      </c>
      <c r="AY5880" t="s">
        <v>456</v>
      </c>
      <c r="AZ5880" t="s">
        <v>456</v>
      </c>
      <c r="BA5880" t="s">
        <v>457</v>
      </c>
      <c r="BE5880" s="3">
        <v>41719</v>
      </c>
      <c r="BF5880" s="1">
        <v>528530</v>
      </c>
      <c r="BG5880" t="s">
        <v>2342</v>
      </c>
      <c r="BH5880" s="1">
        <v>154.77000000000001</v>
      </c>
      <c r="BI5880" s="1">
        <v>410164</v>
      </c>
      <c r="BJ5880" s="3">
        <v>42173</v>
      </c>
      <c r="BK5880" t="s">
        <v>123</v>
      </c>
      <c r="BL5880" t="str">
        <f>"2015.434466"</f>
        <v>2015.434466</v>
      </c>
      <c r="BM5880" t="s">
        <v>402</v>
      </c>
      <c r="BN5880" t="s">
        <v>461</v>
      </c>
      <c r="BO5880" t="s">
        <v>35936</v>
      </c>
      <c r="BS5880">
        <v>30</v>
      </c>
      <c r="BT5880" s="1">
        <v>100000</v>
      </c>
      <c r="BU5880" s="3">
        <v>43654</v>
      </c>
      <c r="BW5880" t="str">
        <f>"2019.514620"</f>
        <v>2019.514620</v>
      </c>
      <c r="BX5880" t="s">
        <v>33508</v>
      </c>
      <c r="BY5880" t="s">
        <v>739</v>
      </c>
      <c r="BZ5880" t="s">
        <v>35937</v>
      </c>
      <c r="CA5880" t="s">
        <v>35938</v>
      </c>
      <c r="CC5880" t="s">
        <v>346</v>
      </c>
      <c r="CE5880" s="1">
        <v>100000</v>
      </c>
      <c r="CF5880" s="3">
        <v>43654</v>
      </c>
      <c r="CH5880" t="str">
        <f>"2019.514620"</f>
        <v>2019.514620</v>
      </c>
      <c r="CI5880" t="s">
        <v>33508</v>
      </c>
      <c r="CJ5880" t="s">
        <v>739</v>
      </c>
      <c r="CK5880" t="s">
        <v>35937</v>
      </c>
      <c r="CL5880" t="s">
        <v>35938</v>
      </c>
      <c r="CN5880" t="s">
        <v>346</v>
      </c>
      <c r="CS5880" t="str">
        <f>""</f>
        <v/>
      </c>
    </row>
    <row r="5881" spans="1:97" x14ac:dyDescent="0.25">
      <c r="A5881" t="s">
        <v>7263</v>
      </c>
      <c r="B5881" t="s">
        <v>35939</v>
      </c>
      <c r="E5881" t="s">
        <v>35940</v>
      </c>
      <c r="F5881" t="s">
        <v>108</v>
      </c>
      <c r="H5881" t="s">
        <v>35941</v>
      </c>
      <c r="I5881" t="s">
        <v>203</v>
      </c>
      <c r="J5881" t="s">
        <v>111</v>
      </c>
      <c r="K5881" t="str">
        <f>"85295"</f>
        <v>85295</v>
      </c>
      <c r="L5881" t="s">
        <v>4534</v>
      </c>
      <c r="M5881" t="s">
        <v>35941</v>
      </c>
      <c r="N5881" t="s">
        <v>203</v>
      </c>
      <c r="O5881" t="s">
        <v>111</v>
      </c>
      <c r="P5881" t="str">
        <f>"85295-1475"</f>
        <v>85295-1475</v>
      </c>
      <c r="Q5881" t="s">
        <v>113</v>
      </c>
      <c r="R5881" t="str">
        <f>"304-44-370"</f>
        <v>304-44-370</v>
      </c>
      <c r="S5881" t="s">
        <v>8955</v>
      </c>
      <c r="T5881" t="s">
        <v>8956</v>
      </c>
      <c r="U5881">
        <v>3745</v>
      </c>
      <c r="V5881">
        <v>0</v>
      </c>
      <c r="W5881">
        <v>5</v>
      </c>
      <c r="X5881">
        <v>2004</v>
      </c>
      <c r="Z5881">
        <v>2</v>
      </c>
      <c r="AB5881">
        <v>0</v>
      </c>
      <c r="AC5881" t="s">
        <v>115</v>
      </c>
      <c r="AD5881">
        <v>3</v>
      </c>
      <c r="AE5881" t="s">
        <v>115</v>
      </c>
      <c r="AF5881">
        <v>0</v>
      </c>
      <c r="AG5881">
        <v>0</v>
      </c>
      <c r="AH5881" t="s">
        <v>116</v>
      </c>
      <c r="AI5881" s="1">
        <v>126625</v>
      </c>
      <c r="AJ5881" s="2">
        <v>0.24</v>
      </c>
      <c r="AK5881" s="1">
        <v>532865</v>
      </c>
      <c r="AL5881" t="s">
        <v>117</v>
      </c>
      <c r="AM5881" t="s">
        <v>1302</v>
      </c>
      <c r="AN5881">
        <v>10095</v>
      </c>
      <c r="AO5881">
        <v>0.23</v>
      </c>
      <c r="AP5881">
        <v>1</v>
      </c>
      <c r="AR5881">
        <v>1</v>
      </c>
      <c r="AS5881" s="1">
        <v>39930</v>
      </c>
      <c r="AT5881" s="1">
        <v>7980</v>
      </c>
      <c r="AU5881" s="1">
        <v>31950</v>
      </c>
      <c r="AV5881">
        <v>80.02</v>
      </c>
      <c r="AX5881" s="1">
        <v>3207.1</v>
      </c>
      <c r="AY5881" t="s">
        <v>206</v>
      </c>
      <c r="AZ5881" t="s">
        <v>207</v>
      </c>
      <c r="BA5881" t="s">
        <v>208</v>
      </c>
      <c r="BE5881" s="3">
        <v>42073</v>
      </c>
      <c r="BF5881" s="1">
        <v>399900</v>
      </c>
      <c r="BG5881" t="s">
        <v>35942</v>
      </c>
      <c r="BH5881" s="1">
        <v>106.78</v>
      </c>
      <c r="BI5881" s="1">
        <v>406240</v>
      </c>
      <c r="BJ5881" s="3">
        <v>42639</v>
      </c>
      <c r="BK5881" t="s">
        <v>123</v>
      </c>
      <c r="BL5881" t="str">
        <f>"2016.699840"</f>
        <v>2016.699840</v>
      </c>
      <c r="BM5881" t="s">
        <v>402</v>
      </c>
      <c r="BO5881" t="s">
        <v>35943</v>
      </c>
      <c r="BS5881">
        <v>30</v>
      </c>
      <c r="BW5881" t="str">
        <f>""</f>
        <v/>
      </c>
      <c r="CH5881" t="str">
        <f>""</f>
        <v/>
      </c>
      <c r="CS5881" t="str">
        <f>""</f>
        <v/>
      </c>
    </row>
    <row r="5882" spans="1:97" x14ac:dyDescent="0.25">
      <c r="A5882" t="s">
        <v>9020</v>
      </c>
      <c r="B5882" t="s">
        <v>35944</v>
      </c>
      <c r="E5882" t="s">
        <v>35945</v>
      </c>
      <c r="F5882" t="s">
        <v>108</v>
      </c>
      <c r="H5882" t="s">
        <v>35946</v>
      </c>
      <c r="I5882" t="s">
        <v>1788</v>
      </c>
      <c r="J5882" t="s">
        <v>111</v>
      </c>
      <c r="K5882" t="str">
        <f>"85355"</f>
        <v>85355</v>
      </c>
      <c r="L5882" t="s">
        <v>3758</v>
      </c>
      <c r="M5882" t="s">
        <v>35946</v>
      </c>
      <c r="N5882" t="s">
        <v>1788</v>
      </c>
      <c r="O5882" t="s">
        <v>111</v>
      </c>
      <c r="P5882" t="str">
        <f>"85355-7517"</f>
        <v>85355-7517</v>
      </c>
      <c r="Q5882" t="s">
        <v>113</v>
      </c>
      <c r="R5882" t="str">
        <f>"502-10-509"</f>
        <v>502-10-509</v>
      </c>
      <c r="S5882" t="s">
        <v>15358</v>
      </c>
      <c r="T5882" t="s">
        <v>5971</v>
      </c>
      <c r="U5882">
        <v>2509</v>
      </c>
      <c r="V5882">
        <v>0</v>
      </c>
      <c r="W5882">
        <v>3</v>
      </c>
      <c r="X5882">
        <v>2014</v>
      </c>
      <c r="Z5882">
        <v>2</v>
      </c>
      <c r="AB5882">
        <v>0</v>
      </c>
      <c r="AC5882" t="s">
        <v>115</v>
      </c>
      <c r="AD5882">
        <v>3</v>
      </c>
      <c r="AE5882" t="s">
        <v>115</v>
      </c>
      <c r="AF5882">
        <v>0</v>
      </c>
      <c r="AG5882">
        <v>0</v>
      </c>
      <c r="AH5882" t="s">
        <v>116</v>
      </c>
      <c r="AI5882" s="1">
        <v>65875</v>
      </c>
      <c r="AJ5882" s="2">
        <v>0.22</v>
      </c>
      <c r="AK5882" s="1">
        <v>301452</v>
      </c>
      <c r="AL5882" t="s">
        <v>117</v>
      </c>
      <c r="AM5882" t="s">
        <v>191</v>
      </c>
      <c r="AN5882">
        <v>7283</v>
      </c>
      <c r="AO5882">
        <v>0.17</v>
      </c>
      <c r="AR5882">
        <v>1</v>
      </c>
      <c r="AS5882" s="1">
        <v>20710</v>
      </c>
      <c r="AT5882" s="1">
        <v>4140</v>
      </c>
      <c r="AU5882" s="1">
        <v>16570</v>
      </c>
      <c r="AV5882">
        <v>80.010000000000005</v>
      </c>
      <c r="AX5882" s="1">
        <v>1362.04</v>
      </c>
      <c r="AY5882" t="s">
        <v>5972</v>
      </c>
      <c r="AZ5882" t="s">
        <v>5972</v>
      </c>
      <c r="BA5882" t="s">
        <v>5061</v>
      </c>
      <c r="BE5882" s="3">
        <v>41809</v>
      </c>
      <c r="BF5882" s="1">
        <v>235590</v>
      </c>
      <c r="BG5882" t="s">
        <v>446</v>
      </c>
      <c r="BH5882" s="1">
        <v>93.9</v>
      </c>
      <c r="BI5882" s="1">
        <v>235577</v>
      </c>
      <c r="BJ5882" s="3">
        <v>42688</v>
      </c>
      <c r="BK5882" t="s">
        <v>123</v>
      </c>
      <c r="BL5882" t="str">
        <f>"2016.834955"</f>
        <v>2016.834955</v>
      </c>
      <c r="BM5882" t="s">
        <v>1325</v>
      </c>
      <c r="BO5882" t="s">
        <v>35947</v>
      </c>
      <c r="BS5882">
        <v>30</v>
      </c>
      <c r="BW5882" t="str">
        <f>""</f>
        <v/>
      </c>
      <c r="CH5882" t="str">
        <f>""</f>
        <v/>
      </c>
      <c r="CS5882" t="str">
        <f>""</f>
        <v/>
      </c>
    </row>
    <row r="5883" spans="1:97" x14ac:dyDescent="0.25">
      <c r="A5883" t="s">
        <v>1514</v>
      </c>
      <c r="B5883" t="s">
        <v>35948</v>
      </c>
      <c r="C5883" t="s">
        <v>1017</v>
      </c>
      <c r="D5883" t="s">
        <v>35949</v>
      </c>
      <c r="E5883" t="s">
        <v>35950</v>
      </c>
      <c r="F5883" t="s">
        <v>108</v>
      </c>
      <c r="H5883" t="s">
        <v>35951</v>
      </c>
      <c r="I5883" t="s">
        <v>167</v>
      </c>
      <c r="J5883" t="s">
        <v>111</v>
      </c>
      <c r="K5883" t="str">
        <f>"85339"</f>
        <v>85339</v>
      </c>
      <c r="L5883" t="s">
        <v>3885</v>
      </c>
      <c r="M5883" t="s">
        <v>35951</v>
      </c>
      <c r="N5883" t="s">
        <v>167</v>
      </c>
      <c r="O5883" t="s">
        <v>111</v>
      </c>
      <c r="P5883" t="str">
        <f>"85339-4202"</f>
        <v>85339-4202</v>
      </c>
      <c r="Q5883" t="s">
        <v>113</v>
      </c>
      <c r="R5883" t="str">
        <f>"311-05-125"</f>
        <v>311-05-125</v>
      </c>
      <c r="S5883" t="s">
        <v>16713</v>
      </c>
      <c r="T5883" t="s">
        <v>16713</v>
      </c>
      <c r="U5883">
        <v>3104</v>
      </c>
      <c r="V5883">
        <v>0</v>
      </c>
      <c r="W5883">
        <v>4</v>
      </c>
      <c r="X5883">
        <v>2004</v>
      </c>
      <c r="Z5883">
        <v>2</v>
      </c>
      <c r="AB5883">
        <v>0</v>
      </c>
      <c r="AC5883" t="s">
        <v>115</v>
      </c>
      <c r="AD5883">
        <v>3</v>
      </c>
      <c r="AE5883" t="s">
        <v>115</v>
      </c>
      <c r="AF5883">
        <v>0</v>
      </c>
      <c r="AG5883">
        <v>0</v>
      </c>
      <c r="AH5883" t="s">
        <v>116</v>
      </c>
      <c r="AI5883" s="1">
        <v>35055</v>
      </c>
      <c r="AJ5883" s="2">
        <v>0.11</v>
      </c>
      <c r="AK5883" s="1">
        <v>312932</v>
      </c>
      <c r="AL5883" t="s">
        <v>117</v>
      </c>
      <c r="AM5883" t="s">
        <v>1302</v>
      </c>
      <c r="AN5883">
        <v>10177</v>
      </c>
      <c r="AO5883">
        <v>0.23</v>
      </c>
      <c r="AP5883">
        <v>1</v>
      </c>
      <c r="AR5883">
        <v>1</v>
      </c>
      <c r="AS5883" s="1">
        <v>22730</v>
      </c>
      <c r="AT5883" s="1">
        <v>4540</v>
      </c>
      <c r="AU5883" s="1">
        <v>18190</v>
      </c>
      <c r="AV5883">
        <v>80.03</v>
      </c>
      <c r="AX5883" s="1">
        <v>2656.98</v>
      </c>
      <c r="AY5883" t="s">
        <v>5777</v>
      </c>
      <c r="AZ5883" t="s">
        <v>5777</v>
      </c>
      <c r="BA5883" t="s">
        <v>173</v>
      </c>
      <c r="BB5883" s="3">
        <v>42291</v>
      </c>
      <c r="BD5883" t="s">
        <v>458</v>
      </c>
      <c r="BE5883" s="3">
        <v>41723</v>
      </c>
      <c r="BF5883" s="1">
        <v>216500</v>
      </c>
      <c r="BG5883" t="s">
        <v>35952</v>
      </c>
      <c r="BH5883" s="1">
        <v>69.75</v>
      </c>
      <c r="BI5883" s="1">
        <v>277877</v>
      </c>
      <c r="BJ5883" s="3">
        <v>42983</v>
      </c>
      <c r="BK5883" t="s">
        <v>123</v>
      </c>
      <c r="BL5883" t="str">
        <f>"2017.654112"</f>
        <v>2017.654112</v>
      </c>
      <c r="BM5883" t="s">
        <v>3638</v>
      </c>
      <c r="BO5883" t="s">
        <v>35953</v>
      </c>
      <c r="BP5883" t="s">
        <v>35954</v>
      </c>
      <c r="BS5883">
        <v>30</v>
      </c>
      <c r="BW5883" t="str">
        <f>""</f>
        <v/>
      </c>
      <c r="CH5883" t="str">
        <f>""</f>
        <v/>
      </c>
      <c r="CS5883" t="str">
        <f>""</f>
        <v/>
      </c>
    </row>
    <row r="5884" spans="1:97" x14ac:dyDescent="0.25">
      <c r="A5884" t="s">
        <v>370</v>
      </c>
      <c r="B5884" t="s">
        <v>35955</v>
      </c>
      <c r="C5884" t="s">
        <v>1011</v>
      </c>
      <c r="D5884" t="s">
        <v>35955</v>
      </c>
      <c r="E5884" t="s">
        <v>35956</v>
      </c>
      <c r="F5884" t="s">
        <v>108</v>
      </c>
      <c r="H5884" t="s">
        <v>35957</v>
      </c>
      <c r="I5884" t="s">
        <v>390</v>
      </c>
      <c r="J5884" t="s">
        <v>111</v>
      </c>
      <c r="K5884" t="str">
        <f>"85022"</f>
        <v>85022</v>
      </c>
      <c r="L5884" t="s">
        <v>5709</v>
      </c>
      <c r="M5884" t="s">
        <v>35957</v>
      </c>
      <c r="N5884" t="s">
        <v>390</v>
      </c>
      <c r="O5884" t="s">
        <v>111</v>
      </c>
      <c r="P5884" t="str">
        <f>"85022-3030"</f>
        <v>85022-3030</v>
      </c>
      <c r="Q5884" t="s">
        <v>113</v>
      </c>
      <c r="R5884" t="str">
        <f>"208-12-534"</f>
        <v>208-12-534</v>
      </c>
      <c r="S5884" t="s">
        <v>25136</v>
      </c>
      <c r="T5884" t="s">
        <v>10616</v>
      </c>
      <c r="U5884">
        <v>2564</v>
      </c>
      <c r="V5884">
        <v>0</v>
      </c>
      <c r="W5884">
        <v>4</v>
      </c>
      <c r="X5884">
        <v>1979</v>
      </c>
      <c r="Z5884">
        <v>1</v>
      </c>
      <c r="AA5884" t="s">
        <v>26</v>
      </c>
      <c r="AB5884">
        <v>0</v>
      </c>
      <c r="AC5884" t="s">
        <v>115</v>
      </c>
      <c r="AD5884">
        <v>2</v>
      </c>
      <c r="AE5884" t="s">
        <v>115</v>
      </c>
      <c r="AF5884">
        <v>0</v>
      </c>
      <c r="AG5884">
        <v>0</v>
      </c>
      <c r="AH5884" t="s">
        <v>116</v>
      </c>
      <c r="AI5884" s="1">
        <v>114811</v>
      </c>
      <c r="AJ5884" s="2">
        <v>0.24</v>
      </c>
      <c r="AK5884" s="1">
        <v>473262</v>
      </c>
      <c r="AL5884" t="s">
        <v>117</v>
      </c>
      <c r="AM5884" t="s">
        <v>191</v>
      </c>
      <c r="AN5884">
        <v>12540</v>
      </c>
      <c r="AO5884">
        <v>0.28999999999999998</v>
      </c>
      <c r="AP5884">
        <v>1</v>
      </c>
      <c r="AR5884">
        <v>1</v>
      </c>
      <c r="AS5884" s="1">
        <v>35520</v>
      </c>
      <c r="AT5884" s="1">
        <v>7100</v>
      </c>
      <c r="AU5884" s="1">
        <v>28420</v>
      </c>
      <c r="AV5884">
        <v>80.010000000000005</v>
      </c>
      <c r="AX5884" s="1">
        <v>4143.22</v>
      </c>
      <c r="AY5884" t="s">
        <v>9170</v>
      </c>
      <c r="AZ5884" t="s">
        <v>8648</v>
      </c>
      <c r="BA5884" t="s">
        <v>8649</v>
      </c>
      <c r="BE5884" s="3">
        <v>41919</v>
      </c>
      <c r="BF5884" s="1">
        <v>347000</v>
      </c>
      <c r="BG5884" t="s">
        <v>35958</v>
      </c>
      <c r="BH5884" s="1">
        <v>135.34</v>
      </c>
      <c r="BI5884" s="1">
        <v>358451</v>
      </c>
      <c r="BJ5884" s="3">
        <v>41919</v>
      </c>
      <c r="BK5884" t="s">
        <v>123</v>
      </c>
      <c r="BL5884" t="str">
        <f>"2014.664593"</f>
        <v>2014.664593</v>
      </c>
      <c r="BM5884" t="s">
        <v>1325</v>
      </c>
      <c r="BO5884" t="s">
        <v>35959</v>
      </c>
      <c r="BS5884">
        <v>30</v>
      </c>
      <c r="BW5884" t="str">
        <f>""</f>
        <v/>
      </c>
      <c r="CH5884" t="str">
        <f>""</f>
        <v/>
      </c>
      <c r="CS5884" t="str">
        <f>""</f>
        <v/>
      </c>
    </row>
    <row r="5885" spans="1:97" x14ac:dyDescent="0.25">
      <c r="B5885" t="s">
        <v>35960</v>
      </c>
      <c r="E5885" t="s">
        <v>163</v>
      </c>
      <c r="F5885" t="s">
        <v>108</v>
      </c>
      <c r="H5885" t="s">
        <v>35961</v>
      </c>
      <c r="I5885" t="s">
        <v>225</v>
      </c>
      <c r="J5885" t="s">
        <v>111</v>
      </c>
      <c r="K5885" t="str">
        <f>"85207"</f>
        <v>85207</v>
      </c>
      <c r="L5885" t="s">
        <v>284</v>
      </c>
      <c r="M5885" t="s">
        <v>35961</v>
      </c>
      <c r="N5885" t="s">
        <v>225</v>
      </c>
      <c r="O5885" t="s">
        <v>111</v>
      </c>
      <c r="P5885" t="str">
        <f>"85207-1341"</f>
        <v>85207-1341</v>
      </c>
      <c r="Q5885" t="s">
        <v>113</v>
      </c>
      <c r="R5885" t="str">
        <f>"219-26-009-B"</f>
        <v>219-26-009-B</v>
      </c>
      <c r="S5885" t="s">
        <v>35962</v>
      </c>
      <c r="T5885" t="s">
        <v>35963</v>
      </c>
      <c r="U5885">
        <v>2195</v>
      </c>
      <c r="V5885">
        <v>0</v>
      </c>
      <c r="W5885">
        <v>2</v>
      </c>
      <c r="X5885">
        <v>1973</v>
      </c>
      <c r="Z5885">
        <v>1</v>
      </c>
      <c r="AA5885" t="s">
        <v>26</v>
      </c>
      <c r="AB5885">
        <v>0</v>
      </c>
      <c r="AC5885" t="s">
        <v>5188</v>
      </c>
      <c r="AD5885">
        <v>2</v>
      </c>
      <c r="AE5885" t="s">
        <v>5188</v>
      </c>
      <c r="AF5885">
        <v>0</v>
      </c>
      <c r="AG5885">
        <v>0</v>
      </c>
      <c r="AH5885" t="s">
        <v>116</v>
      </c>
      <c r="AI5885" s="1">
        <v>60658</v>
      </c>
      <c r="AJ5885" s="2">
        <v>0.13</v>
      </c>
      <c r="AK5885" s="1">
        <v>458363</v>
      </c>
      <c r="AL5885" t="s">
        <v>117</v>
      </c>
      <c r="AM5885" t="s">
        <v>3973</v>
      </c>
      <c r="AN5885">
        <v>52490</v>
      </c>
      <c r="AO5885">
        <v>1.2</v>
      </c>
      <c r="AP5885">
        <v>1</v>
      </c>
      <c r="AR5885">
        <v>1</v>
      </c>
      <c r="AS5885" s="1">
        <v>30280</v>
      </c>
      <c r="AT5885" s="1">
        <v>6050</v>
      </c>
      <c r="AU5885" s="1">
        <v>24230</v>
      </c>
      <c r="AV5885">
        <v>80.02</v>
      </c>
      <c r="AX5885" s="1">
        <v>2025</v>
      </c>
      <c r="AY5885" t="s">
        <v>9337</v>
      </c>
      <c r="AZ5885" t="s">
        <v>231</v>
      </c>
      <c r="BA5885" t="s">
        <v>3119</v>
      </c>
      <c r="BB5885" s="3">
        <v>42355</v>
      </c>
      <c r="BD5885" t="s">
        <v>240</v>
      </c>
      <c r="BE5885" s="3">
        <v>42146</v>
      </c>
      <c r="BF5885" s="1">
        <v>385000</v>
      </c>
      <c r="BG5885" t="s">
        <v>19431</v>
      </c>
      <c r="BH5885" s="1">
        <v>175.4</v>
      </c>
      <c r="BI5885" s="1">
        <v>397705</v>
      </c>
      <c r="BJ5885" s="3">
        <v>42146</v>
      </c>
      <c r="BK5885" t="s">
        <v>123</v>
      </c>
      <c r="BL5885" t="str">
        <f>"2015.363053"</f>
        <v>2015.363053</v>
      </c>
      <c r="BM5885" t="s">
        <v>2885</v>
      </c>
      <c r="BO5885" t="s">
        <v>35964</v>
      </c>
      <c r="BS5885">
        <v>30</v>
      </c>
      <c r="BW5885" t="str">
        <f>""</f>
        <v/>
      </c>
      <c r="CH5885" t="str">
        <f>""</f>
        <v/>
      </c>
      <c r="CS5885" t="str">
        <f>""</f>
        <v/>
      </c>
    </row>
    <row r="5886" spans="1:97" x14ac:dyDescent="0.25">
      <c r="A5886" t="s">
        <v>13060</v>
      </c>
      <c r="B5886" t="s">
        <v>13710</v>
      </c>
      <c r="C5886" t="s">
        <v>3478</v>
      </c>
      <c r="D5886" t="s">
        <v>10633</v>
      </c>
      <c r="E5886" t="s">
        <v>35965</v>
      </c>
      <c r="F5886" t="s">
        <v>108</v>
      </c>
      <c r="H5886" t="s">
        <v>35966</v>
      </c>
      <c r="I5886" t="s">
        <v>5636</v>
      </c>
      <c r="J5886" t="s">
        <v>111</v>
      </c>
      <c r="K5886" t="str">
        <f>"85268"</f>
        <v>85268</v>
      </c>
      <c r="L5886" t="s">
        <v>1789</v>
      </c>
      <c r="M5886" t="s">
        <v>35966</v>
      </c>
      <c r="N5886" t="s">
        <v>5636</v>
      </c>
      <c r="O5886" t="s">
        <v>111</v>
      </c>
      <c r="P5886" t="str">
        <f>"85268-6205"</f>
        <v>85268-6205</v>
      </c>
      <c r="Q5886" t="s">
        <v>113</v>
      </c>
      <c r="R5886" t="str">
        <f>"176-10-078"</f>
        <v>176-10-078</v>
      </c>
      <c r="S5886" t="s">
        <v>33545</v>
      </c>
      <c r="U5886">
        <v>2258</v>
      </c>
      <c r="V5886">
        <v>0</v>
      </c>
      <c r="W5886">
        <v>4</v>
      </c>
      <c r="X5886">
        <v>1977</v>
      </c>
      <c r="Z5886">
        <v>2</v>
      </c>
      <c r="AA5886" t="s">
        <v>26</v>
      </c>
      <c r="AB5886">
        <v>0</v>
      </c>
      <c r="AC5886" t="s">
        <v>115</v>
      </c>
      <c r="AD5886">
        <v>2</v>
      </c>
      <c r="AE5886" t="s">
        <v>115</v>
      </c>
      <c r="AF5886">
        <v>0</v>
      </c>
      <c r="AG5886">
        <v>0</v>
      </c>
      <c r="AH5886" t="s">
        <v>116</v>
      </c>
      <c r="AI5886" s="1">
        <v>-3444</v>
      </c>
      <c r="AJ5886" s="2">
        <v>-0.01</v>
      </c>
      <c r="AK5886" s="1">
        <v>428332</v>
      </c>
      <c r="AL5886" t="s">
        <v>117</v>
      </c>
      <c r="AM5886" t="s">
        <v>171</v>
      </c>
      <c r="AN5886">
        <v>13791</v>
      </c>
      <c r="AO5886">
        <v>0.32</v>
      </c>
      <c r="AP5886">
        <v>1</v>
      </c>
      <c r="AR5886">
        <v>1</v>
      </c>
      <c r="AS5886" s="1">
        <v>29360</v>
      </c>
      <c r="AT5886" s="1">
        <v>5870</v>
      </c>
      <c r="AU5886" s="1">
        <v>23490</v>
      </c>
      <c r="AV5886">
        <v>80.010000000000005</v>
      </c>
      <c r="AX5886" s="1">
        <v>1709.94</v>
      </c>
      <c r="AY5886" t="s">
        <v>6485</v>
      </c>
      <c r="AZ5886" t="s">
        <v>5640</v>
      </c>
      <c r="BA5886" t="s">
        <v>5641</v>
      </c>
      <c r="BE5886" s="3">
        <v>42551</v>
      </c>
      <c r="BF5886" s="1">
        <v>359900</v>
      </c>
      <c r="BG5886" t="s">
        <v>35967</v>
      </c>
      <c r="BH5886" s="1">
        <v>159.38999999999999</v>
      </c>
      <c r="BI5886" s="1">
        <v>371776</v>
      </c>
      <c r="BJ5886" s="3">
        <v>42551</v>
      </c>
      <c r="BK5886" t="s">
        <v>123</v>
      </c>
      <c r="BL5886" t="str">
        <f>"2016.460301"</f>
        <v>2016.460301</v>
      </c>
      <c r="BM5886" t="s">
        <v>2716</v>
      </c>
      <c r="BN5886" t="s">
        <v>13505</v>
      </c>
      <c r="BO5886" t="s">
        <v>35968</v>
      </c>
      <c r="BP5886" t="s">
        <v>35969</v>
      </c>
      <c r="BS5886">
        <v>30</v>
      </c>
      <c r="BT5886" s="1">
        <v>60000</v>
      </c>
      <c r="BU5886" s="3">
        <v>43686</v>
      </c>
      <c r="BW5886" t="str">
        <f>"2019.610027"</f>
        <v>2019.610027</v>
      </c>
      <c r="BX5886" t="s">
        <v>13469</v>
      </c>
      <c r="BY5886" t="s">
        <v>35970</v>
      </c>
      <c r="BZ5886" t="s">
        <v>35971</v>
      </c>
      <c r="CA5886" t="s">
        <v>35972</v>
      </c>
      <c r="CC5886" t="s">
        <v>346</v>
      </c>
      <c r="CH5886" t="str">
        <f>""</f>
        <v/>
      </c>
      <c r="CS5886" t="str">
        <f>""</f>
        <v/>
      </c>
    </row>
    <row r="5887" spans="1:97" x14ac:dyDescent="0.25">
      <c r="A5887" t="s">
        <v>1176</v>
      </c>
      <c r="B5887" t="s">
        <v>35973</v>
      </c>
      <c r="E5887" t="s">
        <v>35974</v>
      </c>
      <c r="F5887" t="s">
        <v>108</v>
      </c>
      <c r="H5887" t="s">
        <v>35975</v>
      </c>
      <c r="I5887" t="s">
        <v>453</v>
      </c>
      <c r="J5887" t="s">
        <v>111</v>
      </c>
      <c r="K5887" t="str">
        <f>"85382"</f>
        <v>85382</v>
      </c>
      <c r="L5887" t="s">
        <v>8146</v>
      </c>
      <c r="M5887" t="s">
        <v>35975</v>
      </c>
      <c r="N5887" t="s">
        <v>453</v>
      </c>
      <c r="O5887" t="s">
        <v>111</v>
      </c>
      <c r="P5887" t="str">
        <f>"85382-4947"</f>
        <v>85382-4947</v>
      </c>
      <c r="Q5887" t="s">
        <v>113</v>
      </c>
      <c r="R5887" t="str">
        <f>"231-25-219"</f>
        <v>231-25-219</v>
      </c>
      <c r="S5887" t="s">
        <v>35976</v>
      </c>
      <c r="T5887" t="s">
        <v>35976</v>
      </c>
      <c r="U5887">
        <v>1873</v>
      </c>
      <c r="V5887">
        <v>0</v>
      </c>
      <c r="W5887">
        <v>3</v>
      </c>
      <c r="X5887">
        <v>2002</v>
      </c>
      <c r="Z5887">
        <v>1</v>
      </c>
      <c r="AB5887">
        <v>0</v>
      </c>
      <c r="AC5887" t="s">
        <v>115</v>
      </c>
      <c r="AD5887">
        <v>2</v>
      </c>
      <c r="AE5887" t="s">
        <v>115</v>
      </c>
      <c r="AF5887">
        <v>0</v>
      </c>
      <c r="AG5887">
        <v>0</v>
      </c>
      <c r="AH5887" t="s">
        <v>116</v>
      </c>
      <c r="AI5887" s="1">
        <v>70154</v>
      </c>
      <c r="AJ5887" s="2">
        <v>0.24</v>
      </c>
      <c r="AK5887" s="1">
        <v>294474</v>
      </c>
      <c r="AL5887" t="s">
        <v>117</v>
      </c>
      <c r="AM5887" t="s">
        <v>191</v>
      </c>
      <c r="AN5887">
        <v>6050</v>
      </c>
      <c r="AO5887">
        <v>0.14000000000000001</v>
      </c>
      <c r="AP5887">
        <v>1</v>
      </c>
      <c r="AR5887">
        <v>1</v>
      </c>
      <c r="AS5887" s="1">
        <v>21880</v>
      </c>
      <c r="AT5887" s="1">
        <v>4370</v>
      </c>
      <c r="AU5887" s="1">
        <v>17510</v>
      </c>
      <c r="AV5887">
        <v>80.03</v>
      </c>
      <c r="AX5887" s="1">
        <v>1643.1</v>
      </c>
      <c r="AY5887" t="s">
        <v>16272</v>
      </c>
      <c r="AZ5887" t="s">
        <v>16272</v>
      </c>
      <c r="BA5887" t="s">
        <v>3360</v>
      </c>
      <c r="BE5887" s="3">
        <v>41942</v>
      </c>
      <c r="BF5887" s="1">
        <v>220000</v>
      </c>
      <c r="BG5887" t="s">
        <v>35977</v>
      </c>
      <c r="BH5887" s="1">
        <v>117.46</v>
      </c>
      <c r="BI5887" s="1">
        <v>224320</v>
      </c>
      <c r="BJ5887" s="3">
        <v>42059</v>
      </c>
      <c r="BK5887" t="s">
        <v>123</v>
      </c>
      <c r="BL5887" t="str">
        <f>"2015.116651"</f>
        <v>2015.116651</v>
      </c>
      <c r="BM5887" t="s">
        <v>255</v>
      </c>
      <c r="BO5887" t="s">
        <v>35978</v>
      </c>
      <c r="BS5887">
        <v>30</v>
      </c>
      <c r="BW5887" t="str">
        <f>""</f>
        <v/>
      </c>
      <c r="CH5887" t="str">
        <f>""</f>
        <v/>
      </c>
      <c r="CS5887" t="str">
        <f>""</f>
        <v/>
      </c>
    </row>
    <row r="5888" spans="1:97" x14ac:dyDescent="0.25">
      <c r="A5888" t="s">
        <v>1444</v>
      </c>
      <c r="B5888" t="s">
        <v>9875</v>
      </c>
      <c r="C5888" t="s">
        <v>2019</v>
      </c>
      <c r="D5888" t="s">
        <v>9875</v>
      </c>
      <c r="E5888" t="s">
        <v>35979</v>
      </c>
      <c r="F5888" t="s">
        <v>108</v>
      </c>
      <c r="H5888" t="s">
        <v>35980</v>
      </c>
      <c r="I5888" t="s">
        <v>453</v>
      </c>
      <c r="J5888" t="s">
        <v>111</v>
      </c>
      <c r="K5888" t="str">
        <f>"85383"</f>
        <v>85383</v>
      </c>
      <c r="L5888" t="s">
        <v>500</v>
      </c>
      <c r="M5888" t="s">
        <v>35980</v>
      </c>
      <c r="N5888" t="s">
        <v>453</v>
      </c>
      <c r="O5888" t="s">
        <v>111</v>
      </c>
      <c r="P5888" t="str">
        <f>"85383-3725"</f>
        <v>85383-3725</v>
      </c>
      <c r="R5888" t="str">
        <f>"201-39-541"</f>
        <v>201-39-541</v>
      </c>
      <c r="S5888" t="s">
        <v>35981</v>
      </c>
      <c r="U5888">
        <v>3865</v>
      </c>
      <c r="V5888">
        <v>0</v>
      </c>
      <c r="W5888">
        <v>6</v>
      </c>
      <c r="X5888">
        <v>2006</v>
      </c>
      <c r="Z5888">
        <v>2</v>
      </c>
      <c r="AA5888" t="s">
        <v>26</v>
      </c>
      <c r="AB5888">
        <v>0</v>
      </c>
      <c r="AC5888" t="s">
        <v>115</v>
      </c>
      <c r="AD5888">
        <v>4</v>
      </c>
      <c r="AE5888" t="s">
        <v>115</v>
      </c>
      <c r="AF5888">
        <v>0</v>
      </c>
      <c r="AG5888">
        <v>0</v>
      </c>
      <c r="AH5888" t="s">
        <v>116</v>
      </c>
      <c r="AI5888" s="1">
        <v>87512</v>
      </c>
      <c r="AJ5888" s="2">
        <v>0.17</v>
      </c>
      <c r="AK5888" s="1">
        <v>513477</v>
      </c>
      <c r="AL5888" t="s">
        <v>117</v>
      </c>
      <c r="AM5888" t="s">
        <v>118</v>
      </c>
      <c r="AN5888">
        <v>11108</v>
      </c>
      <c r="AO5888">
        <v>0.26</v>
      </c>
      <c r="AR5888">
        <v>1</v>
      </c>
      <c r="AS5888" s="1">
        <v>39020</v>
      </c>
      <c r="AT5888" s="1">
        <v>7800</v>
      </c>
      <c r="AU5888" s="1">
        <v>31220</v>
      </c>
      <c r="AV5888">
        <v>80.010000000000005</v>
      </c>
      <c r="AX5888" s="1">
        <v>3886.06</v>
      </c>
      <c r="AY5888" t="s">
        <v>8323</v>
      </c>
      <c r="AZ5888" t="s">
        <v>8323</v>
      </c>
      <c r="BA5888" t="s">
        <v>1386</v>
      </c>
      <c r="BE5888" s="3">
        <v>42150</v>
      </c>
      <c r="BF5888" s="1">
        <v>425000</v>
      </c>
      <c r="BG5888" t="s">
        <v>35982</v>
      </c>
      <c r="BH5888" s="1">
        <v>109.96</v>
      </c>
      <c r="BI5888" s="1">
        <v>425965</v>
      </c>
      <c r="BJ5888" s="3">
        <v>42150</v>
      </c>
      <c r="BK5888" t="s">
        <v>123</v>
      </c>
      <c r="BL5888" t="str">
        <f>"2015.368522"</f>
        <v>2015.368522</v>
      </c>
      <c r="BM5888" t="s">
        <v>2224</v>
      </c>
      <c r="BN5888" t="s">
        <v>35983</v>
      </c>
      <c r="BO5888" t="s">
        <v>35984</v>
      </c>
      <c r="BS5888">
        <v>30</v>
      </c>
      <c r="BW5888" t="str">
        <f>""</f>
        <v/>
      </c>
      <c r="CH5888" t="str">
        <f>""</f>
        <v/>
      </c>
      <c r="CS5888" t="str">
        <f>""</f>
        <v/>
      </c>
    </row>
    <row r="5889" spans="1:97" x14ac:dyDescent="0.25">
      <c r="A5889" t="s">
        <v>35985</v>
      </c>
      <c r="B5889" t="s">
        <v>35986</v>
      </c>
      <c r="C5889" t="s">
        <v>35987</v>
      </c>
      <c r="D5889" t="s">
        <v>35986</v>
      </c>
      <c r="E5889" t="s">
        <v>35988</v>
      </c>
      <c r="F5889" t="s">
        <v>108</v>
      </c>
      <c r="H5889" t="s">
        <v>35989</v>
      </c>
      <c r="I5889" t="s">
        <v>203</v>
      </c>
      <c r="J5889" t="s">
        <v>111</v>
      </c>
      <c r="K5889" t="str">
        <f>"85233"</f>
        <v>85233</v>
      </c>
      <c r="L5889" t="s">
        <v>1244</v>
      </c>
      <c r="M5889" t="s">
        <v>35989</v>
      </c>
      <c r="N5889" t="s">
        <v>203</v>
      </c>
      <c r="O5889" t="s">
        <v>111</v>
      </c>
      <c r="P5889" t="str">
        <f>"85233-5286"</f>
        <v>85233-5286</v>
      </c>
      <c r="Q5889" t="s">
        <v>113</v>
      </c>
      <c r="R5889" t="str">
        <f>"310-04-488"</f>
        <v>310-04-488</v>
      </c>
      <c r="S5889" t="s">
        <v>5929</v>
      </c>
      <c r="T5889" t="s">
        <v>5929</v>
      </c>
      <c r="U5889">
        <v>3255</v>
      </c>
      <c r="V5889">
        <v>0</v>
      </c>
      <c r="W5889">
        <v>4</v>
      </c>
      <c r="X5889">
        <v>2001</v>
      </c>
      <c r="Z5889">
        <v>2</v>
      </c>
      <c r="AA5889" t="s">
        <v>26</v>
      </c>
      <c r="AB5889">
        <v>0</v>
      </c>
      <c r="AC5889" t="s">
        <v>115</v>
      </c>
      <c r="AD5889">
        <v>3</v>
      </c>
      <c r="AE5889" t="s">
        <v>115</v>
      </c>
      <c r="AF5889">
        <v>0</v>
      </c>
      <c r="AG5889">
        <v>0</v>
      </c>
      <c r="AH5889" t="s">
        <v>116</v>
      </c>
      <c r="AI5889" s="1">
        <v>84131</v>
      </c>
      <c r="AJ5889" s="2">
        <v>0.17</v>
      </c>
      <c r="AK5889" s="1">
        <v>481121</v>
      </c>
      <c r="AL5889" t="s">
        <v>117</v>
      </c>
      <c r="AM5889" t="s">
        <v>191</v>
      </c>
      <c r="AN5889">
        <v>7200</v>
      </c>
      <c r="AO5889">
        <v>0.16</v>
      </c>
      <c r="AP5889">
        <v>1</v>
      </c>
      <c r="AR5889">
        <v>1</v>
      </c>
      <c r="AS5889" s="1">
        <v>35550</v>
      </c>
      <c r="AT5889" s="1">
        <v>7110</v>
      </c>
      <c r="AU5889" s="1">
        <v>28440</v>
      </c>
      <c r="AV5889">
        <v>80</v>
      </c>
      <c r="AX5889" s="1">
        <v>3226.86</v>
      </c>
      <c r="AY5889" t="s">
        <v>5477</v>
      </c>
      <c r="AZ5889" t="s">
        <v>5478</v>
      </c>
      <c r="BA5889" t="s">
        <v>5479</v>
      </c>
      <c r="BE5889" s="3">
        <v>42424</v>
      </c>
      <c r="BF5889" s="1">
        <v>399990</v>
      </c>
      <c r="BG5889" t="s">
        <v>35990</v>
      </c>
      <c r="BH5889" s="1">
        <v>122.88</v>
      </c>
      <c r="BI5889" s="1">
        <v>396990</v>
      </c>
      <c r="BJ5889" s="3">
        <v>42424</v>
      </c>
      <c r="BK5889" t="s">
        <v>123</v>
      </c>
      <c r="BL5889" t="str">
        <f>"2016.115020"</f>
        <v>2016.115020</v>
      </c>
      <c r="BM5889" t="s">
        <v>683</v>
      </c>
      <c r="BO5889" t="s">
        <v>35991</v>
      </c>
      <c r="BS5889">
        <v>30</v>
      </c>
      <c r="BW5889" t="str">
        <f>""</f>
        <v/>
      </c>
      <c r="CH5889" t="str">
        <f>""</f>
        <v/>
      </c>
      <c r="CS5889" t="str">
        <f>""</f>
        <v/>
      </c>
    </row>
    <row r="5890" spans="1:97" x14ac:dyDescent="0.25">
      <c r="A5890" t="s">
        <v>265</v>
      </c>
      <c r="B5890" t="s">
        <v>35992</v>
      </c>
      <c r="E5890" t="s">
        <v>35993</v>
      </c>
      <c r="F5890" t="s">
        <v>108</v>
      </c>
      <c r="H5890" t="s">
        <v>35994</v>
      </c>
      <c r="I5890" t="s">
        <v>203</v>
      </c>
      <c r="J5890" t="s">
        <v>111</v>
      </c>
      <c r="K5890" t="str">
        <f>"85234"</f>
        <v>85234</v>
      </c>
      <c r="L5890" t="s">
        <v>7607</v>
      </c>
      <c r="M5890" t="s">
        <v>35994</v>
      </c>
      <c r="N5890" t="s">
        <v>203</v>
      </c>
      <c r="O5890" t="s">
        <v>111</v>
      </c>
      <c r="P5890" t="str">
        <f>"85234-6169"</f>
        <v>85234-6169</v>
      </c>
      <c r="Q5890" t="s">
        <v>113</v>
      </c>
      <c r="R5890" t="str">
        <f>"309-21-092"</f>
        <v>309-21-092</v>
      </c>
      <c r="S5890" t="s">
        <v>12734</v>
      </c>
      <c r="T5890" t="s">
        <v>12734</v>
      </c>
      <c r="U5890">
        <v>3541</v>
      </c>
      <c r="V5890">
        <v>0</v>
      </c>
      <c r="W5890">
        <v>5</v>
      </c>
      <c r="X5890">
        <v>2000</v>
      </c>
      <c r="Z5890">
        <v>2</v>
      </c>
      <c r="AA5890" t="s">
        <v>26</v>
      </c>
      <c r="AB5890">
        <v>0</v>
      </c>
      <c r="AC5890" t="s">
        <v>115</v>
      </c>
      <c r="AD5890">
        <v>3</v>
      </c>
      <c r="AE5890" t="s">
        <v>115</v>
      </c>
      <c r="AF5890">
        <v>0</v>
      </c>
      <c r="AG5890">
        <v>0</v>
      </c>
      <c r="AH5890" t="s">
        <v>116</v>
      </c>
      <c r="AI5890" s="1">
        <v>186516</v>
      </c>
      <c r="AJ5890" s="2">
        <v>0.38</v>
      </c>
      <c r="AK5890" s="1">
        <v>486516</v>
      </c>
      <c r="AL5890" t="s">
        <v>117</v>
      </c>
      <c r="AM5890" t="s">
        <v>171</v>
      </c>
      <c r="AN5890">
        <v>8293</v>
      </c>
      <c r="AO5890">
        <v>0.19</v>
      </c>
      <c r="AP5890">
        <v>1</v>
      </c>
      <c r="AR5890">
        <v>1</v>
      </c>
      <c r="AS5890" s="1">
        <v>35050</v>
      </c>
      <c r="AT5890" s="1">
        <v>7010</v>
      </c>
      <c r="AU5890" s="1">
        <v>28040</v>
      </c>
      <c r="AV5890">
        <v>80</v>
      </c>
      <c r="AX5890" s="1">
        <v>2775.02</v>
      </c>
      <c r="AY5890" t="s">
        <v>6506</v>
      </c>
      <c r="AZ5890" t="s">
        <v>520</v>
      </c>
      <c r="BA5890" t="s">
        <v>5033</v>
      </c>
      <c r="BE5890" s="3">
        <v>42450</v>
      </c>
      <c r="BF5890" s="1">
        <v>400000</v>
      </c>
      <c r="BG5890" t="s">
        <v>35995</v>
      </c>
      <c r="BH5890" s="1">
        <v>112.96</v>
      </c>
      <c r="BI5890" s="1">
        <v>300000</v>
      </c>
      <c r="BJ5890" s="3">
        <v>42450</v>
      </c>
      <c r="BK5890" t="s">
        <v>123</v>
      </c>
      <c r="BL5890" t="str">
        <f>"2016.181392"</f>
        <v>2016.181392</v>
      </c>
      <c r="BM5890" t="s">
        <v>135</v>
      </c>
      <c r="BO5890" t="s">
        <v>35996</v>
      </c>
      <c r="BS5890">
        <v>30</v>
      </c>
      <c r="BW5890" t="str">
        <f>""</f>
        <v/>
      </c>
      <c r="CH5890" t="str">
        <f>""</f>
        <v/>
      </c>
      <c r="CS5890" t="str">
        <f>""</f>
        <v/>
      </c>
    </row>
    <row r="5891" spans="1:97" x14ac:dyDescent="0.25">
      <c r="A5891" t="s">
        <v>1272</v>
      </c>
      <c r="B5891" t="s">
        <v>35997</v>
      </c>
      <c r="C5891" t="s">
        <v>1735</v>
      </c>
      <c r="D5891" t="s">
        <v>35997</v>
      </c>
      <c r="E5891" t="s">
        <v>35998</v>
      </c>
      <c r="F5891" t="s">
        <v>108</v>
      </c>
      <c r="H5891" t="s">
        <v>35999</v>
      </c>
      <c r="I5891" t="s">
        <v>188</v>
      </c>
      <c r="J5891" t="s">
        <v>111</v>
      </c>
      <c r="K5891" t="str">
        <f>"85142"</f>
        <v>85142</v>
      </c>
      <c r="L5891" t="s">
        <v>3645</v>
      </c>
      <c r="M5891" t="s">
        <v>35999</v>
      </c>
      <c r="N5891" t="s">
        <v>188</v>
      </c>
      <c r="O5891" t="s">
        <v>111</v>
      </c>
      <c r="P5891" t="str">
        <f>"85142-5950"</f>
        <v>85142-5950</v>
      </c>
      <c r="Q5891" t="s">
        <v>113</v>
      </c>
      <c r="R5891" t="str">
        <f>"314-08-567"</f>
        <v>314-08-567</v>
      </c>
      <c r="S5891" t="s">
        <v>9258</v>
      </c>
      <c r="T5891" t="s">
        <v>4811</v>
      </c>
      <c r="U5891">
        <v>2496</v>
      </c>
      <c r="V5891">
        <v>0</v>
      </c>
      <c r="W5891">
        <v>4</v>
      </c>
      <c r="X5891">
        <v>2014</v>
      </c>
      <c r="Z5891">
        <v>1</v>
      </c>
      <c r="AB5891">
        <v>0</v>
      </c>
      <c r="AC5891" t="s">
        <v>115</v>
      </c>
      <c r="AD5891">
        <v>3</v>
      </c>
      <c r="AE5891" t="s">
        <v>115</v>
      </c>
      <c r="AF5891">
        <v>0</v>
      </c>
      <c r="AG5891">
        <v>0</v>
      </c>
      <c r="AH5891" t="s">
        <v>116</v>
      </c>
      <c r="AI5891" s="1">
        <v>66324</v>
      </c>
      <c r="AJ5891" s="2">
        <v>0.17</v>
      </c>
      <c r="AK5891" s="1">
        <v>388248</v>
      </c>
      <c r="AL5891" t="s">
        <v>117</v>
      </c>
      <c r="AM5891" t="s">
        <v>393</v>
      </c>
      <c r="AN5891">
        <v>8375</v>
      </c>
      <c r="AO5891">
        <v>0.19</v>
      </c>
      <c r="AR5891">
        <v>1</v>
      </c>
      <c r="AS5891" s="1">
        <v>27660</v>
      </c>
      <c r="AT5891" s="1">
        <v>5530</v>
      </c>
      <c r="AU5891" s="1">
        <v>22130</v>
      </c>
      <c r="AV5891">
        <v>80.010000000000005</v>
      </c>
      <c r="AX5891" s="1">
        <v>2854.82</v>
      </c>
      <c r="AY5891" t="s">
        <v>560</v>
      </c>
      <c r="AZ5891" t="s">
        <v>561</v>
      </c>
      <c r="BA5891" t="s">
        <v>194</v>
      </c>
      <c r="BE5891" s="3">
        <v>41838</v>
      </c>
      <c r="BF5891" s="1">
        <v>313750</v>
      </c>
      <c r="BG5891" t="s">
        <v>749</v>
      </c>
      <c r="BH5891" s="1">
        <v>125.7</v>
      </c>
      <c r="BI5891" s="1">
        <v>321924</v>
      </c>
      <c r="BJ5891" s="3">
        <v>42460</v>
      </c>
      <c r="BK5891" t="s">
        <v>123</v>
      </c>
      <c r="BL5891" t="str">
        <f>"2016.211171"</f>
        <v>2016.211171</v>
      </c>
      <c r="BM5891" t="s">
        <v>255</v>
      </c>
      <c r="BO5891" t="s">
        <v>36000</v>
      </c>
      <c r="BS5891">
        <v>30</v>
      </c>
      <c r="BW5891" t="str">
        <f>""</f>
        <v/>
      </c>
      <c r="CH5891" t="str">
        <f>""</f>
        <v/>
      </c>
      <c r="CS5891" t="str">
        <f>""</f>
        <v/>
      </c>
    </row>
    <row r="5892" spans="1:97" x14ac:dyDescent="0.25">
      <c r="A5892" t="s">
        <v>36001</v>
      </c>
      <c r="B5892" t="s">
        <v>603</v>
      </c>
      <c r="C5892" t="s">
        <v>6072</v>
      </c>
      <c r="D5892" t="s">
        <v>603</v>
      </c>
      <c r="E5892" t="s">
        <v>36002</v>
      </c>
      <c r="F5892" t="s">
        <v>108</v>
      </c>
      <c r="H5892" t="s">
        <v>36003</v>
      </c>
      <c r="I5892" t="s">
        <v>225</v>
      </c>
      <c r="J5892" t="s">
        <v>111</v>
      </c>
      <c r="K5892" t="str">
        <f>"85209"</f>
        <v>85209</v>
      </c>
      <c r="L5892" t="s">
        <v>3108</v>
      </c>
      <c r="M5892" t="s">
        <v>36003</v>
      </c>
      <c r="N5892" t="s">
        <v>225</v>
      </c>
      <c r="O5892" t="s">
        <v>111</v>
      </c>
      <c r="P5892" t="str">
        <f>"85209-7020"</f>
        <v>85209-7020</v>
      </c>
      <c r="Q5892" t="s">
        <v>113</v>
      </c>
      <c r="R5892" t="str">
        <f>"220-80-562"</f>
        <v>220-80-562</v>
      </c>
      <c r="S5892" t="s">
        <v>6410</v>
      </c>
      <c r="T5892" t="s">
        <v>6410</v>
      </c>
      <c r="U5892">
        <v>4069</v>
      </c>
      <c r="V5892">
        <v>0</v>
      </c>
      <c r="W5892">
        <v>4</v>
      </c>
      <c r="X5892">
        <v>1999</v>
      </c>
      <c r="Z5892">
        <v>2</v>
      </c>
      <c r="AA5892" t="s">
        <v>26</v>
      </c>
      <c r="AB5892">
        <v>0</v>
      </c>
      <c r="AC5892" t="s">
        <v>115</v>
      </c>
      <c r="AD5892">
        <v>3</v>
      </c>
      <c r="AE5892" t="s">
        <v>115</v>
      </c>
      <c r="AF5892">
        <v>0</v>
      </c>
      <c r="AG5892">
        <v>0</v>
      </c>
      <c r="AH5892" t="s">
        <v>116</v>
      </c>
      <c r="AI5892" s="1">
        <v>50369</v>
      </c>
      <c r="AJ5892" s="2">
        <v>0.11</v>
      </c>
      <c r="AK5892" s="1">
        <v>460369</v>
      </c>
      <c r="AL5892" t="s">
        <v>117</v>
      </c>
      <c r="AM5892" t="s">
        <v>917</v>
      </c>
      <c r="AN5892">
        <v>9004</v>
      </c>
      <c r="AO5892">
        <v>0.21</v>
      </c>
      <c r="AP5892">
        <v>1</v>
      </c>
      <c r="AR5892">
        <v>1</v>
      </c>
      <c r="AS5892" s="1">
        <v>32680</v>
      </c>
      <c r="AT5892" s="1">
        <v>6530</v>
      </c>
      <c r="AU5892" s="1">
        <v>26150</v>
      </c>
      <c r="AV5892">
        <v>80.02</v>
      </c>
      <c r="AX5892" s="1">
        <v>2850.1</v>
      </c>
      <c r="AY5892" t="s">
        <v>272</v>
      </c>
      <c r="AZ5892" t="s">
        <v>3761</v>
      </c>
      <c r="BA5892" t="s">
        <v>232</v>
      </c>
      <c r="BE5892" s="3">
        <v>42170</v>
      </c>
      <c r="BF5892" s="1">
        <v>374900</v>
      </c>
      <c r="BG5892" t="s">
        <v>36004</v>
      </c>
      <c r="BH5892" s="1">
        <v>92.14</v>
      </c>
      <c r="BI5892" s="1">
        <v>410000</v>
      </c>
      <c r="BJ5892" s="3">
        <v>43081</v>
      </c>
      <c r="BK5892" t="s">
        <v>123</v>
      </c>
      <c r="BL5892" t="str">
        <f>"2017.917658"</f>
        <v>2017.917658</v>
      </c>
      <c r="BM5892" t="s">
        <v>340</v>
      </c>
      <c r="BO5892" t="s">
        <v>36005</v>
      </c>
      <c r="BS5892">
        <v>31</v>
      </c>
      <c r="BW5892" t="str">
        <f>""</f>
        <v/>
      </c>
      <c r="CH5892" t="str">
        <f>""</f>
        <v/>
      </c>
      <c r="CS5892" t="str">
        <f>""</f>
        <v/>
      </c>
    </row>
    <row r="5893" spans="1:97" x14ac:dyDescent="0.25">
      <c r="B5893" t="s">
        <v>36006</v>
      </c>
      <c r="E5893" t="s">
        <v>853</v>
      </c>
      <c r="F5893" t="s">
        <v>108</v>
      </c>
      <c r="H5893" t="s">
        <v>36007</v>
      </c>
      <c r="I5893" t="s">
        <v>225</v>
      </c>
      <c r="J5893" t="s">
        <v>111</v>
      </c>
      <c r="K5893" t="str">
        <f>"85203"</f>
        <v>85203</v>
      </c>
      <c r="L5893" t="s">
        <v>4003</v>
      </c>
      <c r="M5893" t="s">
        <v>36007</v>
      </c>
      <c r="N5893" t="s">
        <v>225</v>
      </c>
      <c r="O5893" t="s">
        <v>111</v>
      </c>
      <c r="P5893" t="str">
        <f>"85203-4426"</f>
        <v>85203-4426</v>
      </c>
      <c r="Q5893" t="s">
        <v>113</v>
      </c>
      <c r="R5893" t="str">
        <f>"136-31-196"</f>
        <v>136-31-196</v>
      </c>
      <c r="S5893" t="s">
        <v>36008</v>
      </c>
      <c r="T5893" t="s">
        <v>36009</v>
      </c>
      <c r="U5893">
        <v>1890</v>
      </c>
      <c r="V5893">
        <v>0</v>
      </c>
      <c r="W5893">
        <v>3</v>
      </c>
      <c r="X5893">
        <v>1995</v>
      </c>
      <c r="Z5893">
        <v>1</v>
      </c>
      <c r="AB5893">
        <v>0</v>
      </c>
      <c r="AC5893" t="s">
        <v>115</v>
      </c>
      <c r="AD5893">
        <v>2</v>
      </c>
      <c r="AE5893" t="s">
        <v>115</v>
      </c>
      <c r="AF5893">
        <v>0</v>
      </c>
      <c r="AG5893">
        <v>0</v>
      </c>
      <c r="AH5893" t="s">
        <v>116</v>
      </c>
      <c r="AI5893" s="1">
        <v>92736</v>
      </c>
      <c r="AJ5893" s="2">
        <v>0.3</v>
      </c>
      <c r="AK5893" s="1">
        <v>307430</v>
      </c>
      <c r="AL5893" t="s">
        <v>117</v>
      </c>
      <c r="AM5893" t="s">
        <v>191</v>
      </c>
      <c r="AN5893">
        <v>8538</v>
      </c>
      <c r="AO5893">
        <v>0.2</v>
      </c>
      <c r="AP5893">
        <v>1</v>
      </c>
      <c r="AR5893">
        <v>1</v>
      </c>
      <c r="AS5893" s="1">
        <v>20630</v>
      </c>
      <c r="AT5893" s="1">
        <v>4120</v>
      </c>
      <c r="AU5893" s="1">
        <v>16510</v>
      </c>
      <c r="AV5893">
        <v>80.03</v>
      </c>
      <c r="AX5893" s="1">
        <v>1614.68</v>
      </c>
      <c r="AY5893" t="s">
        <v>6401</v>
      </c>
      <c r="AZ5893" t="s">
        <v>4163</v>
      </c>
      <c r="BA5893" t="s">
        <v>1524</v>
      </c>
      <c r="BB5893" s="3">
        <v>42741</v>
      </c>
      <c r="BD5893" t="s">
        <v>480</v>
      </c>
      <c r="BE5893" s="3">
        <v>41866</v>
      </c>
      <c r="BF5893" s="1">
        <v>216000</v>
      </c>
      <c r="BG5893" t="s">
        <v>36010</v>
      </c>
      <c r="BH5893" s="1">
        <v>114.29</v>
      </c>
      <c r="BI5893" s="1">
        <v>214694</v>
      </c>
      <c r="BJ5893" s="3">
        <v>42692</v>
      </c>
      <c r="BK5893" t="s">
        <v>123</v>
      </c>
      <c r="BL5893" t="str">
        <f>"2016.853014"</f>
        <v>2016.853014</v>
      </c>
      <c r="BM5893" t="s">
        <v>2378</v>
      </c>
      <c r="BO5893" t="s">
        <v>36011</v>
      </c>
      <c r="BS5893">
        <v>30</v>
      </c>
      <c r="BW5893" t="str">
        <f>""</f>
        <v/>
      </c>
      <c r="CH5893" t="str">
        <f>""</f>
        <v/>
      </c>
      <c r="CS5893" t="str">
        <f>""</f>
        <v/>
      </c>
    </row>
    <row r="5894" spans="1:97" x14ac:dyDescent="0.25">
      <c r="A5894" t="s">
        <v>36012</v>
      </c>
      <c r="B5894" t="s">
        <v>104</v>
      </c>
      <c r="C5894" t="s">
        <v>976</v>
      </c>
      <c r="D5894" t="s">
        <v>104</v>
      </c>
      <c r="E5894" t="s">
        <v>36013</v>
      </c>
      <c r="F5894" t="s">
        <v>108</v>
      </c>
      <c r="H5894" t="s">
        <v>36014</v>
      </c>
      <c r="I5894" t="s">
        <v>110</v>
      </c>
      <c r="J5894" t="s">
        <v>111</v>
      </c>
      <c r="K5894" t="str">
        <f>"85249"</f>
        <v>85249</v>
      </c>
      <c r="L5894" t="s">
        <v>3645</v>
      </c>
      <c r="M5894" t="s">
        <v>36014</v>
      </c>
      <c r="N5894" t="s">
        <v>110</v>
      </c>
      <c r="O5894" t="s">
        <v>111</v>
      </c>
      <c r="P5894" t="str">
        <f>"85249-3590"</f>
        <v>85249-3590</v>
      </c>
      <c r="Q5894" t="s">
        <v>113</v>
      </c>
      <c r="R5894" t="str">
        <f>"303-55-393"</f>
        <v>303-55-393</v>
      </c>
      <c r="S5894" t="s">
        <v>20175</v>
      </c>
      <c r="T5894" t="s">
        <v>20175</v>
      </c>
      <c r="U5894">
        <v>3727</v>
      </c>
      <c r="V5894">
        <v>0</v>
      </c>
      <c r="W5894">
        <v>3</v>
      </c>
      <c r="X5894">
        <v>2002</v>
      </c>
      <c r="Z5894">
        <v>2</v>
      </c>
      <c r="AA5894" t="s">
        <v>26</v>
      </c>
      <c r="AB5894">
        <v>0</v>
      </c>
      <c r="AC5894" t="s">
        <v>115</v>
      </c>
      <c r="AD5894">
        <v>3</v>
      </c>
      <c r="AE5894" t="s">
        <v>115</v>
      </c>
      <c r="AF5894">
        <v>0</v>
      </c>
      <c r="AG5894">
        <v>0</v>
      </c>
      <c r="AH5894" t="s">
        <v>116</v>
      </c>
      <c r="AI5894" s="1">
        <v>181308</v>
      </c>
      <c r="AJ5894" s="2">
        <v>0.39</v>
      </c>
      <c r="AK5894" s="1">
        <v>462220</v>
      </c>
      <c r="AL5894" t="s">
        <v>117</v>
      </c>
      <c r="AM5894" t="s">
        <v>118</v>
      </c>
      <c r="AN5894">
        <v>7767</v>
      </c>
      <c r="AO5894">
        <v>0.18</v>
      </c>
      <c r="AP5894">
        <v>1</v>
      </c>
      <c r="AR5894">
        <v>1</v>
      </c>
      <c r="AS5894" s="1">
        <v>32450</v>
      </c>
      <c r="AT5894" s="1">
        <v>6490</v>
      </c>
      <c r="AU5894" s="1">
        <v>25960</v>
      </c>
      <c r="AV5894">
        <v>80</v>
      </c>
      <c r="AX5894" s="1">
        <v>2367.5</v>
      </c>
      <c r="AY5894" t="s">
        <v>5050</v>
      </c>
      <c r="AZ5894" t="s">
        <v>120</v>
      </c>
      <c r="BA5894" t="s">
        <v>274</v>
      </c>
      <c r="BE5894" s="3">
        <v>41654</v>
      </c>
      <c r="BF5894" s="1">
        <v>355000</v>
      </c>
      <c r="BG5894" t="s">
        <v>32219</v>
      </c>
      <c r="BH5894" s="1">
        <v>100.94</v>
      </c>
      <c r="BI5894" s="1">
        <v>280912</v>
      </c>
      <c r="BJ5894" s="3">
        <v>43224</v>
      </c>
      <c r="BK5894" t="s">
        <v>123</v>
      </c>
      <c r="BL5894" t="str">
        <f>"2018.343556"</f>
        <v>2018.343556</v>
      </c>
      <c r="BM5894" t="s">
        <v>36015</v>
      </c>
      <c r="BN5894" t="s">
        <v>24042</v>
      </c>
      <c r="BO5894" t="s">
        <v>36016</v>
      </c>
      <c r="BP5894" t="s">
        <v>36017</v>
      </c>
      <c r="BR5894" t="s">
        <v>139</v>
      </c>
      <c r="BW5894" t="str">
        <f>""</f>
        <v/>
      </c>
      <c r="CH5894" t="str">
        <f>""</f>
        <v/>
      </c>
      <c r="CS5894" t="str">
        <f>""</f>
        <v/>
      </c>
    </row>
    <row r="5895" spans="1:97" x14ac:dyDescent="0.25">
      <c r="A5895" t="s">
        <v>4247</v>
      </c>
      <c r="B5895" t="s">
        <v>36018</v>
      </c>
      <c r="C5895" t="s">
        <v>36019</v>
      </c>
      <c r="D5895" t="s">
        <v>36018</v>
      </c>
      <c r="E5895" t="s">
        <v>36020</v>
      </c>
      <c r="F5895" t="s">
        <v>108</v>
      </c>
      <c r="H5895" t="s">
        <v>36021</v>
      </c>
      <c r="I5895" t="s">
        <v>188</v>
      </c>
      <c r="J5895" t="s">
        <v>111</v>
      </c>
      <c r="K5895" t="str">
        <f>"85142"</f>
        <v>85142</v>
      </c>
      <c r="L5895" t="s">
        <v>5456</v>
      </c>
      <c r="M5895" t="s">
        <v>36021</v>
      </c>
      <c r="N5895" t="s">
        <v>188</v>
      </c>
      <c r="O5895" t="s">
        <v>111</v>
      </c>
      <c r="P5895" t="str">
        <f>"85142-6263"</f>
        <v>85142-6263</v>
      </c>
      <c r="Q5895" t="s">
        <v>113</v>
      </c>
      <c r="R5895" t="str">
        <f>"304-67-505"</f>
        <v>304-67-505</v>
      </c>
      <c r="S5895" t="s">
        <v>20253</v>
      </c>
      <c r="T5895" t="s">
        <v>20253</v>
      </c>
      <c r="U5895">
        <v>3556</v>
      </c>
      <c r="V5895">
        <v>0</v>
      </c>
      <c r="W5895">
        <v>5</v>
      </c>
      <c r="X5895">
        <v>2014</v>
      </c>
      <c r="Z5895">
        <v>1</v>
      </c>
      <c r="AA5895" t="s">
        <v>26</v>
      </c>
      <c r="AB5895">
        <v>0</v>
      </c>
      <c r="AC5895" t="s">
        <v>115</v>
      </c>
      <c r="AD5895">
        <v>4</v>
      </c>
      <c r="AE5895" t="s">
        <v>115</v>
      </c>
      <c r="AF5895">
        <v>0</v>
      </c>
      <c r="AG5895">
        <v>0</v>
      </c>
      <c r="AH5895" t="s">
        <v>116</v>
      </c>
      <c r="AI5895" s="1">
        <v>242619</v>
      </c>
      <c r="AJ5895" s="2">
        <v>0.4</v>
      </c>
      <c r="AK5895" s="1">
        <v>605019</v>
      </c>
      <c r="AL5895" t="s">
        <v>117</v>
      </c>
      <c r="AM5895" t="s">
        <v>5791</v>
      </c>
      <c r="AN5895">
        <v>18000</v>
      </c>
      <c r="AO5895">
        <v>0.41</v>
      </c>
      <c r="AR5895">
        <v>1</v>
      </c>
      <c r="AS5895" s="1">
        <v>43250</v>
      </c>
      <c r="AT5895" s="1">
        <v>8650</v>
      </c>
      <c r="AU5895" s="1">
        <v>34600</v>
      </c>
      <c r="AV5895">
        <v>80</v>
      </c>
      <c r="AX5895" s="1">
        <v>3680.32</v>
      </c>
      <c r="AY5895" t="s">
        <v>192</v>
      </c>
      <c r="AZ5895" t="s">
        <v>193</v>
      </c>
      <c r="BA5895" t="s">
        <v>194</v>
      </c>
      <c r="BE5895" s="3">
        <v>41943</v>
      </c>
      <c r="BF5895" s="1">
        <v>407928</v>
      </c>
      <c r="BG5895" t="s">
        <v>562</v>
      </c>
      <c r="BH5895" s="1">
        <v>114.72</v>
      </c>
      <c r="BI5895" s="1">
        <v>362400</v>
      </c>
      <c r="BJ5895" s="3">
        <v>41943</v>
      </c>
      <c r="BK5895" t="s">
        <v>123</v>
      </c>
      <c r="BL5895" t="str">
        <f>"2014.725007"</f>
        <v>2014.725007</v>
      </c>
      <c r="BM5895" t="s">
        <v>124</v>
      </c>
      <c r="BO5895" t="s">
        <v>36022</v>
      </c>
      <c r="BS5895">
        <v>30</v>
      </c>
      <c r="BW5895" t="str">
        <f>""</f>
        <v/>
      </c>
      <c r="CH5895" t="str">
        <f>""</f>
        <v/>
      </c>
      <c r="CS5895" t="str">
        <f>""</f>
        <v/>
      </c>
    </row>
    <row r="5896" spans="1:97" x14ac:dyDescent="0.25">
      <c r="A5896" t="s">
        <v>1743</v>
      </c>
      <c r="B5896" t="s">
        <v>35271</v>
      </c>
      <c r="C5896" t="s">
        <v>703</v>
      </c>
      <c r="D5896" t="s">
        <v>35271</v>
      </c>
      <c r="E5896" t="s">
        <v>36023</v>
      </c>
      <c r="F5896" t="s">
        <v>108</v>
      </c>
      <c r="H5896" t="s">
        <v>36024</v>
      </c>
      <c r="I5896" t="s">
        <v>5523</v>
      </c>
      <c r="J5896" t="s">
        <v>111</v>
      </c>
      <c r="K5896" t="str">
        <f>"85373"</f>
        <v>85373</v>
      </c>
      <c r="L5896" t="s">
        <v>5799</v>
      </c>
      <c r="M5896" t="s">
        <v>36024</v>
      </c>
      <c r="N5896" t="s">
        <v>5523</v>
      </c>
      <c r="O5896" t="s">
        <v>111</v>
      </c>
      <c r="P5896" t="str">
        <f>"85373-1007"</f>
        <v>85373-1007</v>
      </c>
      <c r="Q5896" t="s">
        <v>113</v>
      </c>
      <c r="R5896" t="str">
        <f>"200-33-649"</f>
        <v>200-33-649</v>
      </c>
      <c r="S5896" t="s">
        <v>23430</v>
      </c>
      <c r="U5896">
        <v>1948</v>
      </c>
      <c r="V5896">
        <v>0</v>
      </c>
      <c r="W5896">
        <v>2</v>
      </c>
      <c r="X5896">
        <v>1977</v>
      </c>
      <c r="Z5896">
        <v>1</v>
      </c>
      <c r="AA5896" t="s">
        <v>26</v>
      </c>
      <c r="AB5896">
        <v>0</v>
      </c>
      <c r="AC5896" t="s">
        <v>115</v>
      </c>
      <c r="AD5896">
        <v>2</v>
      </c>
      <c r="AE5896" t="s">
        <v>115</v>
      </c>
      <c r="AF5896">
        <v>0</v>
      </c>
      <c r="AG5896">
        <v>0</v>
      </c>
      <c r="AH5896" t="s">
        <v>116</v>
      </c>
      <c r="AI5896" s="1">
        <v>26524</v>
      </c>
      <c r="AJ5896" s="2">
        <v>0.1</v>
      </c>
      <c r="AK5896" s="1">
        <v>272378</v>
      </c>
      <c r="AL5896" t="s">
        <v>117</v>
      </c>
      <c r="AM5896" t="s">
        <v>191</v>
      </c>
      <c r="AN5896">
        <v>17782</v>
      </c>
      <c r="AO5896">
        <v>0.41</v>
      </c>
      <c r="AP5896">
        <v>1</v>
      </c>
      <c r="AR5896">
        <v>1</v>
      </c>
      <c r="AS5896" s="1">
        <v>18960</v>
      </c>
      <c r="AT5896" s="1">
        <v>3790</v>
      </c>
      <c r="AU5896" s="1">
        <v>15170</v>
      </c>
      <c r="AV5896">
        <v>80.010000000000005</v>
      </c>
      <c r="AX5896" s="1">
        <v>1312.36</v>
      </c>
      <c r="AY5896" t="s">
        <v>4520</v>
      </c>
      <c r="AZ5896" t="s">
        <v>4520</v>
      </c>
      <c r="BA5896" t="s">
        <v>3360</v>
      </c>
      <c r="BE5896" s="3">
        <v>41890</v>
      </c>
      <c r="BF5896" s="1">
        <v>187000</v>
      </c>
      <c r="BG5896" t="s">
        <v>36025</v>
      </c>
      <c r="BH5896" s="1">
        <v>96</v>
      </c>
      <c r="BI5896" s="1">
        <v>245854</v>
      </c>
      <c r="BJ5896" s="3">
        <v>43388</v>
      </c>
      <c r="BK5896" t="s">
        <v>123</v>
      </c>
      <c r="BL5896" t="str">
        <f>"2018.770761"</f>
        <v>2018.770761</v>
      </c>
      <c r="BM5896" t="s">
        <v>9590</v>
      </c>
      <c r="BN5896" t="s">
        <v>9591</v>
      </c>
      <c r="BO5896" t="s">
        <v>36026</v>
      </c>
      <c r="BP5896" t="s">
        <v>36027</v>
      </c>
      <c r="BR5896" t="s">
        <v>139</v>
      </c>
      <c r="BW5896" t="str">
        <f>""</f>
        <v/>
      </c>
      <c r="CH5896" t="str">
        <f>""</f>
        <v/>
      </c>
      <c r="CS5896" t="str">
        <f>""</f>
        <v/>
      </c>
    </row>
    <row r="5897" spans="1:97" x14ac:dyDescent="0.25">
      <c r="A5897" t="s">
        <v>1160</v>
      </c>
      <c r="B5897" t="s">
        <v>435</v>
      </c>
      <c r="C5897" t="s">
        <v>36028</v>
      </c>
      <c r="D5897" t="s">
        <v>435</v>
      </c>
      <c r="E5897" t="s">
        <v>36029</v>
      </c>
      <c r="F5897" t="s">
        <v>108</v>
      </c>
      <c r="H5897" t="s">
        <v>36030</v>
      </c>
      <c r="I5897" t="s">
        <v>390</v>
      </c>
      <c r="J5897" t="s">
        <v>111</v>
      </c>
      <c r="K5897" t="str">
        <f>"85027"</f>
        <v>85027</v>
      </c>
      <c r="L5897" t="s">
        <v>6460</v>
      </c>
      <c r="M5897" t="s">
        <v>36030</v>
      </c>
      <c r="N5897" t="s">
        <v>390</v>
      </c>
      <c r="O5897" t="s">
        <v>111</v>
      </c>
      <c r="P5897" t="str">
        <f>"85027-7030"</f>
        <v>85027-7030</v>
      </c>
      <c r="Q5897" t="s">
        <v>113</v>
      </c>
      <c r="R5897" t="str">
        <f>"206-02-125"</f>
        <v>206-02-125</v>
      </c>
      <c r="S5897" t="s">
        <v>6461</v>
      </c>
      <c r="T5897" t="s">
        <v>6461</v>
      </c>
      <c r="U5897">
        <v>2971</v>
      </c>
      <c r="V5897">
        <v>0</v>
      </c>
      <c r="W5897">
        <v>4</v>
      </c>
      <c r="X5897">
        <v>2001</v>
      </c>
      <c r="Z5897">
        <v>1</v>
      </c>
      <c r="AA5897" t="s">
        <v>26</v>
      </c>
      <c r="AB5897">
        <v>0</v>
      </c>
      <c r="AC5897" t="s">
        <v>115</v>
      </c>
      <c r="AD5897">
        <v>3</v>
      </c>
      <c r="AE5897" t="s">
        <v>115</v>
      </c>
      <c r="AF5897">
        <v>0</v>
      </c>
      <c r="AG5897">
        <v>0</v>
      </c>
      <c r="AH5897" t="s">
        <v>116</v>
      </c>
      <c r="AI5897" s="1">
        <v>79744</v>
      </c>
      <c r="AJ5897" s="2">
        <v>0.18</v>
      </c>
      <c r="AK5897" s="1">
        <v>446159</v>
      </c>
      <c r="AL5897" t="s">
        <v>117</v>
      </c>
      <c r="AM5897" t="s">
        <v>1302</v>
      </c>
      <c r="AN5897">
        <v>8413</v>
      </c>
      <c r="AO5897">
        <v>0.19</v>
      </c>
      <c r="AP5897">
        <v>1</v>
      </c>
      <c r="AR5897">
        <v>1</v>
      </c>
      <c r="AS5897" s="1">
        <v>34810</v>
      </c>
      <c r="AT5897" s="1">
        <v>6960</v>
      </c>
      <c r="AU5897" s="1">
        <v>27850</v>
      </c>
      <c r="AV5897">
        <v>80.010000000000005</v>
      </c>
      <c r="AX5897" s="1">
        <v>3238.76</v>
      </c>
      <c r="AY5897" t="s">
        <v>5701</v>
      </c>
      <c r="AZ5897" t="s">
        <v>3049</v>
      </c>
      <c r="BA5897" t="s">
        <v>1386</v>
      </c>
      <c r="BE5897" s="3">
        <v>42223</v>
      </c>
      <c r="BF5897" s="1">
        <v>382400</v>
      </c>
      <c r="BG5897" t="s">
        <v>36031</v>
      </c>
      <c r="BH5897" s="1">
        <v>128.71</v>
      </c>
      <c r="BI5897" s="1">
        <v>366415</v>
      </c>
      <c r="BJ5897" s="3">
        <v>42223</v>
      </c>
      <c r="BK5897" t="s">
        <v>123</v>
      </c>
      <c r="BL5897" t="str">
        <f>"2015.574572"</f>
        <v>2015.574572</v>
      </c>
      <c r="BM5897" t="s">
        <v>547</v>
      </c>
      <c r="BO5897" t="s">
        <v>36032</v>
      </c>
      <c r="BS5897">
        <v>30</v>
      </c>
      <c r="BW5897" t="str">
        <f>""</f>
        <v/>
      </c>
      <c r="CH5897" t="str">
        <f>""</f>
        <v/>
      </c>
      <c r="CS5897" t="str">
        <f>""</f>
        <v/>
      </c>
    </row>
    <row r="5898" spans="1:97" x14ac:dyDescent="0.25">
      <c r="A5898" t="s">
        <v>36033</v>
      </c>
      <c r="B5898" t="s">
        <v>364</v>
      </c>
      <c r="C5898" t="s">
        <v>3444</v>
      </c>
      <c r="D5898" t="s">
        <v>364</v>
      </c>
      <c r="E5898" t="s">
        <v>36034</v>
      </c>
      <c r="F5898" t="s">
        <v>108</v>
      </c>
      <c r="H5898" t="s">
        <v>36035</v>
      </c>
      <c r="I5898" t="s">
        <v>225</v>
      </c>
      <c r="J5898" t="s">
        <v>111</v>
      </c>
      <c r="K5898" t="str">
        <f>"85207"</f>
        <v>85207</v>
      </c>
      <c r="L5898" t="s">
        <v>3116</v>
      </c>
      <c r="M5898" t="s">
        <v>36035</v>
      </c>
      <c r="N5898" t="s">
        <v>225</v>
      </c>
      <c r="O5898" t="s">
        <v>111</v>
      </c>
      <c r="P5898" t="str">
        <f>"85207-3197"</f>
        <v>85207-3197</v>
      </c>
      <c r="Q5898" t="s">
        <v>113</v>
      </c>
      <c r="R5898" t="str">
        <f>"219-31-546"</f>
        <v>219-31-546</v>
      </c>
      <c r="S5898" t="s">
        <v>33782</v>
      </c>
      <c r="T5898" t="s">
        <v>33782</v>
      </c>
      <c r="U5898">
        <v>2394</v>
      </c>
      <c r="V5898">
        <v>0</v>
      </c>
      <c r="W5898">
        <v>4</v>
      </c>
      <c r="X5898">
        <v>2009</v>
      </c>
      <c r="Z5898">
        <v>1</v>
      </c>
      <c r="AA5898" t="s">
        <v>26</v>
      </c>
      <c r="AB5898">
        <v>0</v>
      </c>
      <c r="AC5898" t="s">
        <v>115</v>
      </c>
      <c r="AD5898">
        <v>3</v>
      </c>
      <c r="AE5898" t="s">
        <v>115</v>
      </c>
      <c r="AF5898">
        <v>0</v>
      </c>
      <c r="AG5898">
        <v>0</v>
      </c>
      <c r="AH5898" t="s">
        <v>116</v>
      </c>
      <c r="AI5898" s="1">
        <v>121081</v>
      </c>
      <c r="AJ5898" s="2">
        <v>0.25</v>
      </c>
      <c r="AK5898" s="1">
        <v>490864</v>
      </c>
      <c r="AL5898" t="s">
        <v>117</v>
      </c>
      <c r="AM5898" t="s">
        <v>1521</v>
      </c>
      <c r="AN5898">
        <v>8069</v>
      </c>
      <c r="AO5898">
        <v>0.18</v>
      </c>
      <c r="AR5898">
        <v>1</v>
      </c>
      <c r="AS5898" s="1">
        <v>38080</v>
      </c>
      <c r="AT5898" s="1">
        <v>7610</v>
      </c>
      <c r="AU5898" s="1">
        <v>30470</v>
      </c>
      <c r="AV5898">
        <v>80.02</v>
      </c>
      <c r="AX5898" s="1">
        <v>3836.74</v>
      </c>
      <c r="AY5898" t="s">
        <v>3118</v>
      </c>
      <c r="AZ5898" t="s">
        <v>231</v>
      </c>
      <c r="BA5898" t="s">
        <v>3119</v>
      </c>
      <c r="BE5898" s="3">
        <v>42262</v>
      </c>
      <c r="BF5898" s="1">
        <v>362000</v>
      </c>
      <c r="BG5898" t="s">
        <v>36036</v>
      </c>
      <c r="BH5898" s="1">
        <v>151.21</v>
      </c>
      <c r="BI5898" s="1">
        <v>369783</v>
      </c>
      <c r="BJ5898" s="3">
        <v>42262</v>
      </c>
      <c r="BK5898" t="s">
        <v>123</v>
      </c>
      <c r="BL5898" t="str">
        <f>"2015.666476"</f>
        <v>2015.666476</v>
      </c>
      <c r="BM5898" t="s">
        <v>7942</v>
      </c>
      <c r="BO5898" t="s">
        <v>36037</v>
      </c>
      <c r="BS5898">
        <v>30</v>
      </c>
      <c r="BW5898" t="str">
        <f>""</f>
        <v/>
      </c>
      <c r="CH5898" t="str">
        <f>""</f>
        <v/>
      </c>
      <c r="CS5898" t="str">
        <f>""</f>
        <v/>
      </c>
    </row>
    <row r="5899" spans="1:97" x14ac:dyDescent="0.25">
      <c r="A5899" t="s">
        <v>36038</v>
      </c>
      <c r="B5899" t="s">
        <v>1445</v>
      </c>
      <c r="C5899" t="s">
        <v>36039</v>
      </c>
      <c r="D5899" t="s">
        <v>1445</v>
      </c>
      <c r="E5899" t="s">
        <v>36040</v>
      </c>
      <c r="F5899" t="s">
        <v>108</v>
      </c>
      <c r="H5899" t="s">
        <v>36041</v>
      </c>
      <c r="I5899" t="s">
        <v>2874</v>
      </c>
      <c r="J5899" t="s">
        <v>111</v>
      </c>
      <c r="K5899" t="str">
        <f>"85302"</f>
        <v>85302</v>
      </c>
      <c r="L5899" t="s">
        <v>1658</v>
      </c>
      <c r="M5899" t="s">
        <v>36041</v>
      </c>
      <c r="N5899" t="s">
        <v>2874</v>
      </c>
      <c r="O5899" t="s">
        <v>111</v>
      </c>
      <c r="P5899" t="str">
        <f>"85302-1538"</f>
        <v>85302-1538</v>
      </c>
      <c r="Q5899" t="s">
        <v>113</v>
      </c>
      <c r="R5899" t="str">
        <f>"148-24-207-A"</f>
        <v>148-24-207-A</v>
      </c>
      <c r="S5899" t="s">
        <v>13357</v>
      </c>
      <c r="T5899" t="s">
        <v>13357</v>
      </c>
      <c r="U5899">
        <v>2953</v>
      </c>
      <c r="V5899">
        <v>0</v>
      </c>
      <c r="W5899">
        <v>4</v>
      </c>
      <c r="X5899">
        <v>1986</v>
      </c>
      <c r="Z5899">
        <v>2</v>
      </c>
      <c r="AA5899" t="s">
        <v>26</v>
      </c>
      <c r="AB5899">
        <v>0</v>
      </c>
      <c r="AC5899" t="s">
        <v>115</v>
      </c>
      <c r="AD5899">
        <v>2</v>
      </c>
      <c r="AE5899" t="s">
        <v>115</v>
      </c>
      <c r="AF5899">
        <v>0</v>
      </c>
      <c r="AG5899">
        <v>0</v>
      </c>
      <c r="AH5899" t="s">
        <v>116</v>
      </c>
      <c r="AI5899" s="1">
        <v>91674</v>
      </c>
      <c r="AJ5899" s="2">
        <v>0.25</v>
      </c>
      <c r="AK5899" s="1">
        <v>363619</v>
      </c>
      <c r="AL5899" t="s">
        <v>117</v>
      </c>
      <c r="AM5899" t="s">
        <v>393</v>
      </c>
      <c r="AN5899">
        <v>9522</v>
      </c>
      <c r="AO5899">
        <v>0.22</v>
      </c>
      <c r="AP5899">
        <v>1</v>
      </c>
      <c r="AR5899">
        <v>1</v>
      </c>
      <c r="AS5899" s="1">
        <v>27130</v>
      </c>
      <c r="AT5899" s="1">
        <v>5420</v>
      </c>
      <c r="AU5899" s="1">
        <v>21710</v>
      </c>
      <c r="AV5899">
        <v>80.02</v>
      </c>
      <c r="AX5899" s="1">
        <v>2268.1</v>
      </c>
      <c r="AY5899" t="s">
        <v>8680</v>
      </c>
      <c r="AZ5899" t="s">
        <v>8680</v>
      </c>
      <c r="BA5899" t="s">
        <v>8681</v>
      </c>
      <c r="BE5899" s="3">
        <v>42283</v>
      </c>
      <c r="BF5899" s="1">
        <v>269900</v>
      </c>
      <c r="BG5899" t="s">
        <v>36042</v>
      </c>
      <c r="BH5899" s="1">
        <v>91.4</v>
      </c>
      <c r="BI5899" s="1">
        <v>271945</v>
      </c>
      <c r="BJ5899" s="3">
        <v>42401</v>
      </c>
      <c r="BK5899" t="s">
        <v>123</v>
      </c>
      <c r="BL5899" t="str">
        <f>"2016.64946"</f>
        <v>2016.64946</v>
      </c>
      <c r="BM5899" t="s">
        <v>402</v>
      </c>
      <c r="BO5899" t="s">
        <v>36043</v>
      </c>
      <c r="BS5899">
        <v>30</v>
      </c>
      <c r="BW5899" t="str">
        <f>""</f>
        <v/>
      </c>
      <c r="CH5899" t="str">
        <f>""</f>
        <v/>
      </c>
      <c r="CS5899" t="str">
        <f>""</f>
        <v/>
      </c>
    </row>
    <row r="5900" spans="1:97" x14ac:dyDescent="0.25">
      <c r="A5900" t="s">
        <v>14002</v>
      </c>
      <c r="B5900" t="s">
        <v>36044</v>
      </c>
      <c r="C5900" t="s">
        <v>36045</v>
      </c>
      <c r="D5900" t="s">
        <v>36044</v>
      </c>
      <c r="E5900" t="s">
        <v>36046</v>
      </c>
      <c r="F5900" t="s">
        <v>108</v>
      </c>
      <c r="H5900" t="s">
        <v>36047</v>
      </c>
      <c r="I5900" t="s">
        <v>225</v>
      </c>
      <c r="J5900" t="s">
        <v>111</v>
      </c>
      <c r="K5900" t="str">
        <f>"85203"</f>
        <v>85203</v>
      </c>
      <c r="L5900" t="s">
        <v>4003</v>
      </c>
      <c r="M5900" t="s">
        <v>36047</v>
      </c>
      <c r="N5900" t="s">
        <v>225</v>
      </c>
      <c r="O5900" t="s">
        <v>111</v>
      </c>
      <c r="P5900" t="str">
        <f>"85203-5034"</f>
        <v>85203-5034</v>
      </c>
      <c r="Q5900" t="s">
        <v>113</v>
      </c>
      <c r="R5900" t="str">
        <f>"137-03-258"</f>
        <v>137-03-258</v>
      </c>
      <c r="S5900" t="s">
        <v>36048</v>
      </c>
      <c r="T5900" t="s">
        <v>36048</v>
      </c>
      <c r="U5900">
        <v>1999</v>
      </c>
      <c r="V5900">
        <v>0</v>
      </c>
      <c r="W5900">
        <v>2</v>
      </c>
      <c r="X5900">
        <v>1978</v>
      </c>
      <c r="Z5900">
        <v>1</v>
      </c>
      <c r="AA5900" t="s">
        <v>26</v>
      </c>
      <c r="AB5900">
        <v>0</v>
      </c>
      <c r="AC5900" t="s">
        <v>115</v>
      </c>
      <c r="AD5900">
        <v>2</v>
      </c>
      <c r="AE5900" t="s">
        <v>115</v>
      </c>
      <c r="AF5900">
        <v>0</v>
      </c>
      <c r="AG5900">
        <v>0</v>
      </c>
      <c r="AH5900" t="s">
        <v>116</v>
      </c>
      <c r="AI5900" s="1">
        <v>-8933</v>
      </c>
      <c r="AJ5900" s="2">
        <v>-0.04</v>
      </c>
      <c r="AK5900" s="1">
        <v>223866</v>
      </c>
      <c r="AL5900" t="s">
        <v>117</v>
      </c>
      <c r="AM5900" t="s">
        <v>917</v>
      </c>
      <c r="AN5900">
        <v>9021</v>
      </c>
      <c r="AO5900">
        <v>0.21</v>
      </c>
      <c r="AP5900">
        <v>1</v>
      </c>
      <c r="AR5900">
        <v>1</v>
      </c>
      <c r="AS5900" s="1">
        <v>22500</v>
      </c>
      <c r="AT5900" s="1">
        <v>4500</v>
      </c>
      <c r="AU5900" s="1">
        <v>18000</v>
      </c>
      <c r="AV5900">
        <v>80</v>
      </c>
      <c r="AX5900" s="1">
        <v>1553.74</v>
      </c>
      <c r="AY5900" t="s">
        <v>7578</v>
      </c>
      <c r="AZ5900" t="s">
        <v>1523</v>
      </c>
      <c r="BA5900" t="s">
        <v>1524</v>
      </c>
      <c r="BE5900" s="3">
        <v>42244</v>
      </c>
      <c r="BF5900" s="1">
        <v>227900</v>
      </c>
      <c r="BG5900" t="s">
        <v>36049</v>
      </c>
      <c r="BH5900" s="1">
        <v>114.01</v>
      </c>
      <c r="BI5900" s="1">
        <v>232799</v>
      </c>
      <c r="BJ5900" s="3">
        <v>42244</v>
      </c>
      <c r="BK5900" t="s">
        <v>123</v>
      </c>
      <c r="BL5900" t="str">
        <f>"2015.627389"</f>
        <v>2015.627389</v>
      </c>
      <c r="BM5900" t="s">
        <v>12498</v>
      </c>
      <c r="BO5900" t="s">
        <v>36050</v>
      </c>
      <c r="BS5900">
        <v>30</v>
      </c>
      <c r="BW5900" t="str">
        <f>""</f>
        <v/>
      </c>
      <c r="CH5900" t="str">
        <f>""</f>
        <v/>
      </c>
      <c r="CS5900" t="str">
        <f>""</f>
        <v/>
      </c>
    </row>
    <row r="5901" spans="1:97" x14ac:dyDescent="0.25">
      <c r="A5901" t="s">
        <v>19974</v>
      </c>
      <c r="B5901" t="s">
        <v>36051</v>
      </c>
      <c r="C5901" t="s">
        <v>365</v>
      </c>
      <c r="D5901" t="s">
        <v>36051</v>
      </c>
      <c r="E5901" t="s">
        <v>36052</v>
      </c>
      <c r="F5901" t="s">
        <v>108</v>
      </c>
      <c r="H5901" t="s">
        <v>36053</v>
      </c>
      <c r="I5901" t="s">
        <v>144</v>
      </c>
      <c r="J5901" t="s">
        <v>111</v>
      </c>
      <c r="K5901" t="str">
        <f>"85396"</f>
        <v>85396</v>
      </c>
      <c r="L5901" t="s">
        <v>439</v>
      </c>
      <c r="M5901" t="s">
        <v>36053</v>
      </c>
      <c r="N5901" t="s">
        <v>144</v>
      </c>
      <c r="O5901" t="s">
        <v>111</v>
      </c>
      <c r="P5901" t="str">
        <f>"85396-7945"</f>
        <v>85396-7945</v>
      </c>
      <c r="Q5901" t="s">
        <v>113</v>
      </c>
      <c r="R5901" t="str">
        <f>"510-08-828"</f>
        <v>510-08-828</v>
      </c>
      <c r="S5901" t="s">
        <v>29374</v>
      </c>
      <c r="U5901">
        <v>2321</v>
      </c>
      <c r="V5901">
        <v>0</v>
      </c>
      <c r="W5901">
        <v>3</v>
      </c>
      <c r="X5901">
        <v>2016</v>
      </c>
      <c r="Z5901">
        <v>1</v>
      </c>
      <c r="AB5901">
        <v>0</v>
      </c>
      <c r="AC5901" t="s">
        <v>115</v>
      </c>
      <c r="AD5901">
        <v>3</v>
      </c>
      <c r="AE5901" t="s">
        <v>115</v>
      </c>
      <c r="AF5901">
        <v>0</v>
      </c>
      <c r="AG5901">
        <v>0</v>
      </c>
      <c r="AH5901" t="s">
        <v>116</v>
      </c>
      <c r="AI5901" s="1">
        <v>93953</v>
      </c>
      <c r="AJ5901" s="2">
        <v>0.25</v>
      </c>
      <c r="AK5901" s="1">
        <v>383254</v>
      </c>
      <c r="AL5901" t="s">
        <v>117</v>
      </c>
      <c r="AM5901" t="s">
        <v>118</v>
      </c>
      <c r="AN5901">
        <v>8492</v>
      </c>
      <c r="AO5901">
        <v>0.2</v>
      </c>
      <c r="AR5901">
        <v>1</v>
      </c>
      <c r="AS5901" s="1">
        <v>29710</v>
      </c>
      <c r="AT5901" s="1">
        <v>5940</v>
      </c>
      <c r="AU5901" s="1">
        <v>23770</v>
      </c>
      <c r="AV5901">
        <v>80.010000000000005</v>
      </c>
      <c r="AX5901" s="1">
        <v>3006.22</v>
      </c>
      <c r="AY5901" t="s">
        <v>444</v>
      </c>
      <c r="AZ5901" t="s">
        <v>444</v>
      </c>
      <c r="BA5901" t="s">
        <v>445</v>
      </c>
      <c r="BE5901" s="3">
        <v>42468</v>
      </c>
      <c r="BF5901" s="1">
        <v>335730</v>
      </c>
      <c r="BG5901" t="s">
        <v>446</v>
      </c>
      <c r="BH5901" s="1">
        <v>144.65</v>
      </c>
      <c r="BI5901" s="1">
        <v>289301</v>
      </c>
      <c r="BJ5901" s="3">
        <v>42468</v>
      </c>
      <c r="BK5901" t="s">
        <v>123</v>
      </c>
      <c r="BL5901" t="str">
        <f>"2016.232058"</f>
        <v>2016.232058</v>
      </c>
      <c r="BM5901" t="s">
        <v>573</v>
      </c>
      <c r="BO5901" t="s">
        <v>36054</v>
      </c>
      <c r="BS5901">
        <v>30</v>
      </c>
      <c r="BW5901" t="str">
        <f>""</f>
        <v/>
      </c>
      <c r="CH5901" t="str">
        <f>""</f>
        <v/>
      </c>
      <c r="CS5901" t="str">
        <f>""</f>
        <v/>
      </c>
    </row>
    <row r="5902" spans="1:97" x14ac:dyDescent="0.25">
      <c r="B5902" t="s">
        <v>36055</v>
      </c>
      <c r="E5902" t="s">
        <v>36056</v>
      </c>
      <c r="F5902" t="s">
        <v>108</v>
      </c>
      <c r="H5902" t="s">
        <v>36057</v>
      </c>
      <c r="I5902" t="s">
        <v>5863</v>
      </c>
      <c r="J5902" t="s">
        <v>111</v>
      </c>
      <c r="K5902" t="str">
        <f>"85375"</f>
        <v>85375</v>
      </c>
      <c r="L5902" t="s">
        <v>6325</v>
      </c>
      <c r="M5902" t="s">
        <v>36057</v>
      </c>
      <c r="N5902" t="s">
        <v>5863</v>
      </c>
      <c r="O5902" t="s">
        <v>111</v>
      </c>
      <c r="P5902" t="str">
        <f>"85375-3054"</f>
        <v>85375-3054</v>
      </c>
      <c r="Q5902" t="s">
        <v>113</v>
      </c>
      <c r="R5902" t="str">
        <f>"232-30-436"</f>
        <v>232-30-436</v>
      </c>
      <c r="S5902" t="s">
        <v>33007</v>
      </c>
      <c r="U5902">
        <v>1707</v>
      </c>
      <c r="V5902">
        <v>0</v>
      </c>
      <c r="W5902">
        <v>2</v>
      </c>
      <c r="X5902">
        <v>1996</v>
      </c>
      <c r="Z5902">
        <v>1</v>
      </c>
      <c r="AB5902">
        <v>0</v>
      </c>
      <c r="AC5902" t="s">
        <v>115</v>
      </c>
      <c r="AD5902">
        <v>2</v>
      </c>
      <c r="AE5902" t="s">
        <v>115</v>
      </c>
      <c r="AF5902">
        <v>0</v>
      </c>
      <c r="AG5902">
        <v>0</v>
      </c>
      <c r="AH5902" t="s">
        <v>116</v>
      </c>
      <c r="AI5902" s="1">
        <v>50069</v>
      </c>
      <c r="AJ5902" s="2">
        <v>0.18</v>
      </c>
      <c r="AK5902" s="1">
        <v>284146</v>
      </c>
      <c r="AL5902" t="s">
        <v>117</v>
      </c>
      <c r="AM5902" t="s">
        <v>191</v>
      </c>
      <c r="AN5902">
        <v>9115</v>
      </c>
      <c r="AO5902">
        <v>0.21</v>
      </c>
      <c r="AP5902">
        <v>1</v>
      </c>
      <c r="AR5902">
        <v>1</v>
      </c>
      <c r="AS5902" s="1">
        <v>18650</v>
      </c>
      <c r="AT5902" s="1">
        <v>3730</v>
      </c>
      <c r="AU5902" s="1">
        <v>14920</v>
      </c>
      <c r="AV5902">
        <v>80</v>
      </c>
      <c r="AX5902" s="1">
        <v>2222.2600000000002</v>
      </c>
      <c r="AY5902" t="s">
        <v>5108</v>
      </c>
      <c r="AZ5902" t="s">
        <v>5108</v>
      </c>
      <c r="BA5902" t="s">
        <v>5109</v>
      </c>
      <c r="BB5902" s="3">
        <v>42615</v>
      </c>
      <c r="BD5902" t="s">
        <v>458</v>
      </c>
      <c r="BE5902" s="3">
        <v>42440</v>
      </c>
      <c r="BF5902" s="1">
        <v>226600</v>
      </c>
      <c r="BG5902" t="s">
        <v>36058</v>
      </c>
      <c r="BH5902" s="1">
        <v>132.75</v>
      </c>
      <c r="BI5902" s="1">
        <v>234077</v>
      </c>
      <c r="BJ5902" s="3">
        <v>42440</v>
      </c>
      <c r="BK5902" t="s">
        <v>123</v>
      </c>
      <c r="BL5902" t="str">
        <f>"2016.158561"</f>
        <v>2016.158561</v>
      </c>
      <c r="BM5902" t="s">
        <v>5867</v>
      </c>
      <c r="BO5902" t="s">
        <v>36059</v>
      </c>
      <c r="BS5902">
        <v>30</v>
      </c>
      <c r="BW5902" t="str">
        <f>""</f>
        <v/>
      </c>
      <c r="CH5902" t="str">
        <f>""</f>
        <v/>
      </c>
      <c r="CS5902" t="str">
        <f>""</f>
        <v/>
      </c>
    </row>
    <row r="5903" spans="1:97" x14ac:dyDescent="0.25">
      <c r="A5903" t="s">
        <v>507</v>
      </c>
      <c r="B5903" t="s">
        <v>603</v>
      </c>
      <c r="C5903" t="s">
        <v>18714</v>
      </c>
      <c r="D5903" t="s">
        <v>603</v>
      </c>
      <c r="E5903" t="s">
        <v>36060</v>
      </c>
      <c r="F5903" t="s">
        <v>108</v>
      </c>
      <c r="H5903" t="s">
        <v>36061</v>
      </c>
      <c r="I5903" t="s">
        <v>632</v>
      </c>
      <c r="J5903" t="s">
        <v>111</v>
      </c>
      <c r="K5903" t="str">
        <f>"85388"</f>
        <v>85388</v>
      </c>
      <c r="L5903" t="s">
        <v>4159</v>
      </c>
      <c r="M5903" t="s">
        <v>36061</v>
      </c>
      <c r="N5903" t="s">
        <v>632</v>
      </c>
      <c r="O5903" t="s">
        <v>111</v>
      </c>
      <c r="P5903" t="str">
        <f>"85388-1702"</f>
        <v>85388-1702</v>
      </c>
      <c r="Q5903" t="s">
        <v>113</v>
      </c>
      <c r="R5903" t="str">
        <f>"502-84-355"</f>
        <v>502-84-355</v>
      </c>
      <c r="S5903" t="s">
        <v>31638</v>
      </c>
      <c r="T5903" t="s">
        <v>28263</v>
      </c>
      <c r="U5903">
        <v>3708</v>
      </c>
      <c r="V5903">
        <v>0</v>
      </c>
      <c r="W5903">
        <v>4</v>
      </c>
      <c r="X5903">
        <v>2005</v>
      </c>
      <c r="Z5903">
        <v>2</v>
      </c>
      <c r="AA5903" t="s">
        <v>26</v>
      </c>
      <c r="AB5903">
        <v>0</v>
      </c>
      <c r="AC5903" t="s">
        <v>115</v>
      </c>
      <c r="AD5903">
        <v>3</v>
      </c>
      <c r="AE5903" t="s">
        <v>115</v>
      </c>
      <c r="AF5903">
        <v>0</v>
      </c>
      <c r="AG5903">
        <v>0</v>
      </c>
      <c r="AH5903" t="s">
        <v>116</v>
      </c>
      <c r="AI5903" s="1">
        <v>79813</v>
      </c>
      <c r="AJ5903" s="2">
        <v>0.21</v>
      </c>
      <c r="AK5903" s="1">
        <v>387013</v>
      </c>
      <c r="AL5903" t="s">
        <v>117</v>
      </c>
      <c r="AM5903" t="s">
        <v>118</v>
      </c>
      <c r="AN5903">
        <v>9960</v>
      </c>
      <c r="AO5903">
        <v>0.23</v>
      </c>
      <c r="AR5903">
        <v>1</v>
      </c>
      <c r="AS5903" s="1">
        <v>27860</v>
      </c>
      <c r="AT5903" s="1">
        <v>5570</v>
      </c>
      <c r="AU5903" s="1">
        <v>22290</v>
      </c>
      <c r="AV5903">
        <v>80.010000000000005</v>
      </c>
      <c r="AX5903" s="1">
        <v>2587.46</v>
      </c>
      <c r="AY5903" t="s">
        <v>5168</v>
      </c>
      <c r="AZ5903" t="s">
        <v>5168</v>
      </c>
      <c r="BA5903" t="s">
        <v>5109</v>
      </c>
      <c r="BE5903" s="3">
        <v>41828</v>
      </c>
      <c r="BF5903" s="1">
        <v>300000</v>
      </c>
      <c r="BG5903" t="s">
        <v>36062</v>
      </c>
      <c r="BH5903" s="1">
        <v>80.91</v>
      </c>
      <c r="BI5903" s="1">
        <v>307200</v>
      </c>
      <c r="BJ5903" s="3">
        <v>41828</v>
      </c>
      <c r="BK5903" t="s">
        <v>123</v>
      </c>
      <c r="BL5903" t="str">
        <f>"2014.444620"</f>
        <v>2014.444620</v>
      </c>
      <c r="BM5903" t="s">
        <v>724</v>
      </c>
      <c r="BO5903" t="s">
        <v>36063</v>
      </c>
      <c r="BS5903">
        <v>30</v>
      </c>
      <c r="BW5903" t="str">
        <f>""</f>
        <v/>
      </c>
      <c r="CH5903" t="str">
        <f>""</f>
        <v/>
      </c>
      <c r="CS5903" t="str">
        <f>""</f>
        <v/>
      </c>
    </row>
    <row r="5904" spans="1:97" x14ac:dyDescent="0.25">
      <c r="A5904" t="s">
        <v>2976</v>
      </c>
      <c r="B5904" t="s">
        <v>36064</v>
      </c>
      <c r="E5904" t="s">
        <v>36065</v>
      </c>
      <c r="F5904" t="s">
        <v>108</v>
      </c>
      <c r="H5904" t="s">
        <v>36066</v>
      </c>
      <c r="I5904" t="s">
        <v>203</v>
      </c>
      <c r="J5904" t="s">
        <v>111</v>
      </c>
      <c r="K5904" t="str">
        <f>"85298"</f>
        <v>85298</v>
      </c>
      <c r="L5904" t="s">
        <v>5872</v>
      </c>
      <c r="M5904" t="s">
        <v>36066</v>
      </c>
      <c r="N5904" t="s">
        <v>203</v>
      </c>
      <c r="O5904" t="s">
        <v>111</v>
      </c>
      <c r="P5904" t="str">
        <f>"85298-9053"</f>
        <v>85298-9053</v>
      </c>
      <c r="Q5904" t="s">
        <v>113</v>
      </c>
      <c r="R5904" t="str">
        <f>"304-79-326"</f>
        <v>304-79-326</v>
      </c>
      <c r="S5904" t="s">
        <v>7384</v>
      </c>
      <c r="T5904" t="s">
        <v>7384</v>
      </c>
      <c r="U5904">
        <v>2171</v>
      </c>
      <c r="V5904">
        <v>0</v>
      </c>
      <c r="W5904">
        <v>3</v>
      </c>
      <c r="X5904">
        <v>2004</v>
      </c>
      <c r="Z5904">
        <v>1</v>
      </c>
      <c r="AB5904">
        <v>0</v>
      </c>
      <c r="AC5904" t="s">
        <v>115</v>
      </c>
      <c r="AD5904">
        <v>2</v>
      </c>
      <c r="AE5904" t="s">
        <v>115</v>
      </c>
      <c r="AF5904">
        <v>0</v>
      </c>
      <c r="AG5904">
        <v>0</v>
      </c>
      <c r="AH5904" t="s">
        <v>116</v>
      </c>
      <c r="AI5904" s="1">
        <v>72200</v>
      </c>
      <c r="AJ5904" s="2">
        <v>0.2</v>
      </c>
      <c r="AK5904" s="1">
        <v>353408</v>
      </c>
      <c r="AL5904" t="s">
        <v>117</v>
      </c>
      <c r="AM5904" t="s">
        <v>191</v>
      </c>
      <c r="AN5904">
        <v>8450</v>
      </c>
      <c r="AO5904">
        <v>0.19</v>
      </c>
      <c r="AP5904">
        <v>1</v>
      </c>
      <c r="AR5904">
        <v>1</v>
      </c>
      <c r="AS5904" s="1">
        <v>23380</v>
      </c>
      <c r="AT5904" s="1">
        <v>4670</v>
      </c>
      <c r="AU5904" s="1">
        <v>18710</v>
      </c>
      <c r="AV5904">
        <v>80.03</v>
      </c>
      <c r="AX5904" s="1">
        <v>2499</v>
      </c>
      <c r="AY5904" t="s">
        <v>272</v>
      </c>
      <c r="AZ5904" t="s">
        <v>273</v>
      </c>
      <c r="BA5904" t="s">
        <v>274</v>
      </c>
      <c r="BB5904" s="3">
        <v>43493</v>
      </c>
      <c r="BC5904" s="1">
        <v>0</v>
      </c>
      <c r="BD5904" t="s">
        <v>247</v>
      </c>
      <c r="BE5904" s="3">
        <v>41775</v>
      </c>
      <c r="BF5904" s="1">
        <v>260000</v>
      </c>
      <c r="BG5904" t="s">
        <v>36067</v>
      </c>
      <c r="BH5904" s="1">
        <v>119.76</v>
      </c>
      <c r="BI5904" s="1">
        <v>281208</v>
      </c>
      <c r="BJ5904" s="3">
        <v>42069</v>
      </c>
      <c r="BK5904" t="s">
        <v>123</v>
      </c>
      <c r="BL5904" t="str">
        <f>"2015.149757"</f>
        <v>2015.149757</v>
      </c>
      <c r="BM5904" t="s">
        <v>2117</v>
      </c>
      <c r="BN5904" t="s">
        <v>2118</v>
      </c>
      <c r="BO5904" t="s">
        <v>36068</v>
      </c>
      <c r="BS5904">
        <v>30</v>
      </c>
      <c r="BW5904" t="str">
        <f>""</f>
        <v/>
      </c>
      <c r="CH5904" t="str">
        <f>""</f>
        <v/>
      </c>
      <c r="CS5904" t="str">
        <f>""</f>
        <v/>
      </c>
    </row>
    <row r="5905" spans="1:97" x14ac:dyDescent="0.25">
      <c r="A5905" t="s">
        <v>370</v>
      </c>
      <c r="B5905" t="s">
        <v>36069</v>
      </c>
      <c r="E5905" t="s">
        <v>36070</v>
      </c>
      <c r="F5905" t="s">
        <v>108</v>
      </c>
      <c r="H5905" t="s">
        <v>36071</v>
      </c>
      <c r="I5905" t="s">
        <v>188</v>
      </c>
      <c r="J5905" t="s">
        <v>111</v>
      </c>
      <c r="K5905" t="str">
        <f>"85142"</f>
        <v>85142</v>
      </c>
      <c r="L5905" t="s">
        <v>5524</v>
      </c>
      <c r="M5905" t="s">
        <v>36071</v>
      </c>
      <c r="N5905" t="s">
        <v>188</v>
      </c>
      <c r="O5905" t="s">
        <v>111</v>
      </c>
      <c r="P5905" t="str">
        <f>"85142-7313"</f>
        <v>85142-7313</v>
      </c>
      <c r="Q5905" t="s">
        <v>113</v>
      </c>
      <c r="R5905" t="str">
        <f>"304-87-178-H"</f>
        <v>304-87-178-H</v>
      </c>
      <c r="U5905">
        <v>5415</v>
      </c>
      <c r="V5905">
        <v>0</v>
      </c>
      <c r="W5905">
        <v>6</v>
      </c>
      <c r="X5905">
        <v>2011</v>
      </c>
      <c r="Z5905">
        <v>1</v>
      </c>
      <c r="AB5905">
        <v>0</v>
      </c>
      <c r="AC5905" t="s">
        <v>115</v>
      </c>
      <c r="AD5905">
        <v>4</v>
      </c>
      <c r="AE5905" t="s">
        <v>115</v>
      </c>
      <c r="AF5905">
        <v>0</v>
      </c>
      <c r="AG5905">
        <v>0</v>
      </c>
      <c r="AH5905" t="s">
        <v>116</v>
      </c>
      <c r="AI5905" s="1">
        <v>11574</v>
      </c>
      <c r="AJ5905" s="2">
        <v>0.01</v>
      </c>
      <c r="AK5905" s="1">
        <v>848324</v>
      </c>
      <c r="AL5905" t="s">
        <v>117</v>
      </c>
      <c r="AM5905" t="s">
        <v>1521</v>
      </c>
      <c r="AN5905">
        <v>40953</v>
      </c>
      <c r="AO5905">
        <v>0.94</v>
      </c>
      <c r="AR5905">
        <v>1</v>
      </c>
      <c r="AS5905" s="1">
        <v>54910</v>
      </c>
      <c r="AT5905" s="1">
        <v>10980</v>
      </c>
      <c r="AU5905" s="1">
        <v>43930</v>
      </c>
      <c r="AV5905">
        <v>80</v>
      </c>
      <c r="AX5905" s="1">
        <v>4730.4799999999996</v>
      </c>
      <c r="AY5905" t="s">
        <v>272</v>
      </c>
      <c r="AZ5905" t="s">
        <v>273</v>
      </c>
      <c r="BA5905" t="s">
        <v>274</v>
      </c>
      <c r="BE5905" s="3">
        <v>42466</v>
      </c>
      <c r="BF5905" s="1">
        <v>710000</v>
      </c>
      <c r="BG5905" t="s">
        <v>36072</v>
      </c>
      <c r="BH5905" s="1">
        <v>131.12</v>
      </c>
      <c r="BI5905" s="1">
        <v>636750</v>
      </c>
      <c r="BJ5905" s="3">
        <v>42466</v>
      </c>
      <c r="BK5905" t="s">
        <v>123</v>
      </c>
      <c r="BL5905" t="str">
        <f>"2016.228177"</f>
        <v>2016.228177</v>
      </c>
      <c r="BM5905" t="s">
        <v>135</v>
      </c>
      <c r="BN5905" t="s">
        <v>136</v>
      </c>
      <c r="BO5905" t="s">
        <v>36073</v>
      </c>
      <c r="BS5905">
        <v>30</v>
      </c>
      <c r="BT5905" s="1">
        <v>200000</v>
      </c>
      <c r="BU5905" s="3">
        <v>43370</v>
      </c>
      <c r="BW5905" t="str">
        <f>"2018.727425"</f>
        <v>2018.727425</v>
      </c>
      <c r="BX5905" t="s">
        <v>135</v>
      </c>
      <c r="BY5905" t="s">
        <v>136</v>
      </c>
      <c r="BZ5905" t="s">
        <v>36070</v>
      </c>
      <c r="CC5905" t="s">
        <v>346</v>
      </c>
      <c r="CH5905" t="str">
        <f>""</f>
        <v/>
      </c>
      <c r="CS5905" t="str">
        <f>""</f>
        <v/>
      </c>
    </row>
    <row r="5906" spans="1:97" x14ac:dyDescent="0.25">
      <c r="A5906" t="s">
        <v>1160</v>
      </c>
      <c r="B5906" t="s">
        <v>36074</v>
      </c>
      <c r="C5906" t="s">
        <v>4515</v>
      </c>
      <c r="D5906" t="s">
        <v>17018</v>
      </c>
      <c r="E5906" t="s">
        <v>36075</v>
      </c>
      <c r="F5906" t="s">
        <v>108</v>
      </c>
      <c r="H5906" t="s">
        <v>36076</v>
      </c>
      <c r="I5906" t="s">
        <v>3150</v>
      </c>
      <c r="J5906" t="s">
        <v>111</v>
      </c>
      <c r="K5906" t="str">
        <f>"85340"</f>
        <v>85340</v>
      </c>
      <c r="L5906" t="s">
        <v>3151</v>
      </c>
      <c r="M5906" t="s">
        <v>36076</v>
      </c>
      <c r="N5906" t="s">
        <v>3150</v>
      </c>
      <c r="O5906" t="s">
        <v>111</v>
      </c>
      <c r="P5906" t="str">
        <f>"85340-8515"</f>
        <v>85340-8515</v>
      </c>
      <c r="Q5906" t="s">
        <v>113</v>
      </c>
      <c r="R5906" t="str">
        <f>"502-64-250"</f>
        <v>502-64-250</v>
      </c>
      <c r="S5906" t="s">
        <v>36077</v>
      </c>
      <c r="T5906" t="s">
        <v>13136</v>
      </c>
      <c r="U5906">
        <v>3067</v>
      </c>
      <c r="V5906">
        <v>0</v>
      </c>
      <c r="W5906">
        <v>4</v>
      </c>
      <c r="X5906">
        <v>2005</v>
      </c>
      <c r="Z5906">
        <v>1</v>
      </c>
      <c r="AA5906" t="s">
        <v>26</v>
      </c>
      <c r="AB5906">
        <v>0</v>
      </c>
      <c r="AC5906" t="s">
        <v>115</v>
      </c>
      <c r="AD5906">
        <v>3</v>
      </c>
      <c r="AE5906" t="s">
        <v>115</v>
      </c>
      <c r="AF5906">
        <v>0</v>
      </c>
      <c r="AG5906">
        <v>0</v>
      </c>
      <c r="AH5906" t="s">
        <v>116</v>
      </c>
      <c r="AI5906" s="1">
        <v>110571</v>
      </c>
      <c r="AJ5906" s="2">
        <v>0.24</v>
      </c>
      <c r="AK5906" s="1">
        <v>466021</v>
      </c>
      <c r="AL5906" t="s">
        <v>117</v>
      </c>
      <c r="AM5906" t="s">
        <v>376</v>
      </c>
      <c r="AN5906">
        <v>45500</v>
      </c>
      <c r="AO5906">
        <v>1.04</v>
      </c>
      <c r="AR5906">
        <v>1</v>
      </c>
      <c r="AS5906" s="1">
        <v>33800</v>
      </c>
      <c r="AT5906" s="1">
        <v>6760</v>
      </c>
      <c r="AU5906" s="1">
        <v>27040</v>
      </c>
      <c r="AV5906">
        <v>80</v>
      </c>
      <c r="AX5906" s="1">
        <v>4570.5600000000004</v>
      </c>
      <c r="AY5906" t="s">
        <v>503</v>
      </c>
      <c r="AZ5906" t="s">
        <v>503</v>
      </c>
      <c r="BA5906" t="s">
        <v>218</v>
      </c>
      <c r="BE5906" s="3">
        <v>41793</v>
      </c>
      <c r="BF5906" s="1">
        <v>350000</v>
      </c>
      <c r="BG5906" t="s">
        <v>36078</v>
      </c>
      <c r="BH5906" s="1">
        <v>114.12</v>
      </c>
      <c r="BI5906" s="1">
        <v>355450</v>
      </c>
      <c r="BJ5906" s="3">
        <v>42565</v>
      </c>
      <c r="BK5906" t="s">
        <v>123</v>
      </c>
      <c r="BL5906" t="str">
        <f>"2016.494207"</f>
        <v>2016.494207</v>
      </c>
      <c r="BM5906" t="s">
        <v>124</v>
      </c>
      <c r="BO5906" t="s">
        <v>36079</v>
      </c>
      <c r="BP5906" t="s">
        <v>36080</v>
      </c>
      <c r="BS5906">
        <v>30</v>
      </c>
      <c r="BW5906" t="str">
        <f>""</f>
        <v/>
      </c>
      <c r="CH5906" t="str">
        <f>""</f>
        <v/>
      </c>
      <c r="CS5906" t="str">
        <f>""</f>
        <v/>
      </c>
    </row>
    <row r="5907" spans="1:97" x14ac:dyDescent="0.25">
      <c r="A5907" t="s">
        <v>1295</v>
      </c>
      <c r="B5907" t="s">
        <v>36081</v>
      </c>
      <c r="E5907" t="s">
        <v>36082</v>
      </c>
      <c r="F5907" t="s">
        <v>108</v>
      </c>
      <c r="H5907" t="s">
        <v>36083</v>
      </c>
      <c r="I5907" t="s">
        <v>390</v>
      </c>
      <c r="J5907" t="s">
        <v>111</v>
      </c>
      <c r="K5907" t="str">
        <f>"85085"</f>
        <v>85085</v>
      </c>
      <c r="L5907" t="s">
        <v>558</v>
      </c>
      <c r="M5907" t="s">
        <v>36083</v>
      </c>
      <c r="N5907" t="s">
        <v>390</v>
      </c>
      <c r="O5907" t="s">
        <v>111</v>
      </c>
      <c r="P5907" t="str">
        <f>"85085-8079"</f>
        <v>85085-8079</v>
      </c>
      <c r="Q5907" t="s">
        <v>113</v>
      </c>
      <c r="R5907" t="str">
        <f>"204-25-173"</f>
        <v>204-25-173</v>
      </c>
      <c r="S5907" t="s">
        <v>18302</v>
      </c>
      <c r="U5907">
        <v>3316</v>
      </c>
      <c r="V5907">
        <v>0</v>
      </c>
      <c r="W5907">
        <v>4</v>
      </c>
      <c r="X5907">
        <v>2006</v>
      </c>
      <c r="Z5907">
        <v>1</v>
      </c>
      <c r="AA5907" t="s">
        <v>26</v>
      </c>
      <c r="AB5907">
        <v>0</v>
      </c>
      <c r="AC5907" t="s">
        <v>115</v>
      </c>
      <c r="AD5907">
        <v>3</v>
      </c>
      <c r="AE5907" t="s">
        <v>115</v>
      </c>
      <c r="AF5907">
        <v>0</v>
      </c>
      <c r="AG5907">
        <v>0</v>
      </c>
      <c r="AH5907" t="s">
        <v>116</v>
      </c>
      <c r="AI5907" s="1">
        <v>79525</v>
      </c>
      <c r="AJ5907" s="2">
        <v>0.14000000000000001</v>
      </c>
      <c r="AK5907" s="1">
        <v>557101</v>
      </c>
      <c r="AL5907" t="s">
        <v>117</v>
      </c>
      <c r="AM5907" t="s">
        <v>1302</v>
      </c>
      <c r="AN5907">
        <v>10283</v>
      </c>
      <c r="AO5907">
        <v>0.24</v>
      </c>
      <c r="AR5907">
        <v>1</v>
      </c>
      <c r="AS5907" s="1">
        <v>41810</v>
      </c>
      <c r="AT5907" s="1">
        <v>8360</v>
      </c>
      <c r="AU5907" s="1">
        <v>33450</v>
      </c>
      <c r="AV5907">
        <v>80</v>
      </c>
      <c r="AX5907" s="1">
        <v>4432.68</v>
      </c>
      <c r="AY5907" t="s">
        <v>2651</v>
      </c>
      <c r="AZ5907" t="s">
        <v>2651</v>
      </c>
      <c r="BA5907" t="s">
        <v>1462</v>
      </c>
      <c r="BB5907" s="3">
        <v>42941</v>
      </c>
      <c r="BD5907" t="s">
        <v>157</v>
      </c>
      <c r="BE5907" s="3">
        <v>42244</v>
      </c>
      <c r="BF5907" s="1">
        <v>495000</v>
      </c>
      <c r="BG5907" t="s">
        <v>36084</v>
      </c>
      <c r="BH5907" s="1">
        <v>149.28</v>
      </c>
      <c r="BI5907" s="1">
        <v>477576</v>
      </c>
      <c r="BJ5907" s="3">
        <v>42572</v>
      </c>
      <c r="BK5907" t="s">
        <v>123</v>
      </c>
      <c r="BL5907" t="str">
        <f>"2016.514687"</f>
        <v>2016.514687</v>
      </c>
      <c r="BM5907" t="s">
        <v>248</v>
      </c>
      <c r="BN5907" t="s">
        <v>249</v>
      </c>
      <c r="BO5907" t="s">
        <v>36085</v>
      </c>
      <c r="BS5907">
        <v>30</v>
      </c>
      <c r="BW5907" t="str">
        <f>""</f>
        <v/>
      </c>
      <c r="CH5907" t="str">
        <f>""</f>
        <v/>
      </c>
      <c r="CS5907" t="str">
        <f>""</f>
        <v/>
      </c>
    </row>
    <row r="5908" spans="1:97" x14ac:dyDescent="0.25">
      <c r="A5908" t="s">
        <v>639</v>
      </c>
      <c r="B5908" t="s">
        <v>788</v>
      </c>
      <c r="C5908" t="s">
        <v>179</v>
      </c>
      <c r="D5908" t="s">
        <v>788</v>
      </c>
      <c r="E5908" t="s">
        <v>36086</v>
      </c>
      <c r="F5908" t="s">
        <v>108</v>
      </c>
      <c r="H5908" t="s">
        <v>36087</v>
      </c>
      <c r="I5908" t="s">
        <v>3150</v>
      </c>
      <c r="J5908" t="s">
        <v>111</v>
      </c>
      <c r="K5908" t="str">
        <f>"85340"</f>
        <v>85340</v>
      </c>
      <c r="L5908" t="s">
        <v>2765</v>
      </c>
      <c r="M5908" t="s">
        <v>36087</v>
      </c>
      <c r="N5908" t="s">
        <v>3150</v>
      </c>
      <c r="O5908" t="s">
        <v>111</v>
      </c>
      <c r="P5908" t="str">
        <f>"85340-2550"</f>
        <v>85340-2550</v>
      </c>
      <c r="Q5908" t="s">
        <v>113</v>
      </c>
      <c r="R5908" t="str">
        <f>"502-27-338"</f>
        <v>502-27-338</v>
      </c>
      <c r="S5908" t="s">
        <v>36088</v>
      </c>
      <c r="T5908" t="s">
        <v>29631</v>
      </c>
      <c r="U5908">
        <v>3701</v>
      </c>
      <c r="V5908">
        <v>0</v>
      </c>
      <c r="W5908">
        <v>5</v>
      </c>
      <c r="X5908">
        <v>2008</v>
      </c>
      <c r="Z5908">
        <v>1</v>
      </c>
      <c r="AA5908" t="s">
        <v>26</v>
      </c>
      <c r="AB5908">
        <v>0</v>
      </c>
      <c r="AC5908" t="s">
        <v>115</v>
      </c>
      <c r="AD5908">
        <v>3</v>
      </c>
      <c r="AE5908" t="s">
        <v>115</v>
      </c>
      <c r="AF5908">
        <v>0</v>
      </c>
      <c r="AG5908">
        <v>0</v>
      </c>
      <c r="AH5908" t="s">
        <v>116</v>
      </c>
      <c r="AI5908" s="1">
        <v>214080</v>
      </c>
      <c r="AJ5908" s="2">
        <v>0.34</v>
      </c>
      <c r="AK5908" s="1">
        <v>631080</v>
      </c>
      <c r="AL5908" t="s">
        <v>117</v>
      </c>
      <c r="AM5908" t="s">
        <v>616</v>
      </c>
      <c r="AN5908">
        <v>17941</v>
      </c>
      <c r="AO5908">
        <v>0.41</v>
      </c>
      <c r="AP5908">
        <v>1</v>
      </c>
      <c r="AR5908">
        <v>1</v>
      </c>
      <c r="AS5908" s="1">
        <v>47230</v>
      </c>
      <c r="AT5908" s="1">
        <v>9440</v>
      </c>
      <c r="AU5908" s="1">
        <v>37790</v>
      </c>
      <c r="AV5908">
        <v>80.010000000000005</v>
      </c>
      <c r="AX5908" s="1">
        <v>3931.78</v>
      </c>
      <c r="AY5908" t="s">
        <v>503</v>
      </c>
      <c r="AZ5908" t="s">
        <v>504</v>
      </c>
      <c r="BA5908" t="s">
        <v>218</v>
      </c>
      <c r="BB5908" s="3">
        <v>42656</v>
      </c>
      <c r="BD5908" t="s">
        <v>842</v>
      </c>
      <c r="BE5908" s="3">
        <v>42485</v>
      </c>
      <c r="BF5908" s="1">
        <v>525000</v>
      </c>
      <c r="BG5908" t="s">
        <v>36089</v>
      </c>
      <c r="BH5908" s="1">
        <v>141.85</v>
      </c>
      <c r="BI5908" s="1">
        <v>417000</v>
      </c>
      <c r="BJ5908" s="3">
        <v>42485</v>
      </c>
      <c r="BK5908" t="s">
        <v>123</v>
      </c>
      <c r="BL5908" t="str">
        <f>"2016.275067"</f>
        <v>2016.275067</v>
      </c>
      <c r="BM5908" t="s">
        <v>369</v>
      </c>
      <c r="BO5908" t="s">
        <v>36090</v>
      </c>
      <c r="BS5908">
        <v>30</v>
      </c>
      <c r="BW5908" t="str">
        <f>""</f>
        <v/>
      </c>
      <c r="CH5908" t="str">
        <f>""</f>
        <v/>
      </c>
      <c r="CS5908" t="str">
        <f>""</f>
        <v/>
      </c>
    </row>
    <row r="5909" spans="1:97" x14ac:dyDescent="0.25">
      <c r="A5909" t="s">
        <v>265</v>
      </c>
      <c r="B5909" t="s">
        <v>36091</v>
      </c>
      <c r="C5909" t="s">
        <v>36092</v>
      </c>
      <c r="D5909" t="s">
        <v>36091</v>
      </c>
      <c r="E5909" t="s">
        <v>36093</v>
      </c>
      <c r="F5909" t="s">
        <v>108</v>
      </c>
      <c r="H5909" t="s">
        <v>36094</v>
      </c>
      <c r="I5909" t="s">
        <v>188</v>
      </c>
      <c r="J5909" t="s">
        <v>111</v>
      </c>
      <c r="K5909" t="str">
        <f>"85142"</f>
        <v>85142</v>
      </c>
      <c r="L5909" t="s">
        <v>3885</v>
      </c>
      <c r="M5909" t="s">
        <v>36094</v>
      </c>
      <c r="N5909" t="s">
        <v>188</v>
      </c>
      <c r="O5909" t="s">
        <v>111</v>
      </c>
      <c r="P5909" t="str">
        <f>"85142-3111"</f>
        <v>85142-3111</v>
      </c>
      <c r="Q5909" t="s">
        <v>113</v>
      </c>
      <c r="R5909" t="str">
        <f>"304-91-717"</f>
        <v>304-91-717</v>
      </c>
      <c r="S5909" t="s">
        <v>36095</v>
      </c>
      <c r="T5909" t="s">
        <v>8003</v>
      </c>
      <c r="U5909">
        <v>3680</v>
      </c>
      <c r="V5909">
        <v>0</v>
      </c>
      <c r="W5909">
        <v>6</v>
      </c>
      <c r="X5909">
        <v>2005</v>
      </c>
      <c r="Z5909">
        <v>1</v>
      </c>
      <c r="AA5909" t="s">
        <v>26</v>
      </c>
      <c r="AB5909">
        <v>0</v>
      </c>
      <c r="AC5909" t="s">
        <v>115</v>
      </c>
      <c r="AD5909">
        <v>4</v>
      </c>
      <c r="AE5909" t="s">
        <v>115</v>
      </c>
      <c r="AF5909">
        <v>0</v>
      </c>
      <c r="AG5909">
        <v>0</v>
      </c>
      <c r="AH5909" t="s">
        <v>116</v>
      </c>
      <c r="AI5909" s="1">
        <v>304006</v>
      </c>
      <c r="AJ5909" s="2">
        <v>0.45</v>
      </c>
      <c r="AK5909" s="1">
        <v>676844</v>
      </c>
      <c r="AL5909" t="s">
        <v>117</v>
      </c>
      <c r="AM5909" t="s">
        <v>3973</v>
      </c>
      <c r="AN5909">
        <v>43006</v>
      </c>
      <c r="AO5909">
        <v>0.99</v>
      </c>
      <c r="AR5909">
        <v>1</v>
      </c>
      <c r="AS5909" s="1">
        <v>51460</v>
      </c>
      <c r="AT5909" s="1">
        <v>10290</v>
      </c>
      <c r="AU5909" s="1">
        <v>41170</v>
      </c>
      <c r="AV5909">
        <v>80</v>
      </c>
      <c r="AX5909" s="1">
        <v>5060</v>
      </c>
      <c r="AY5909" t="s">
        <v>1074</v>
      </c>
      <c r="AZ5909" t="s">
        <v>193</v>
      </c>
      <c r="BA5909" t="s">
        <v>194</v>
      </c>
      <c r="BE5909" s="3">
        <v>41880</v>
      </c>
      <c r="BF5909" s="1">
        <v>477000</v>
      </c>
      <c r="BG5909" t="s">
        <v>36096</v>
      </c>
      <c r="BH5909" s="1">
        <v>129.62</v>
      </c>
      <c r="BI5909" s="1">
        <v>372838</v>
      </c>
      <c r="BJ5909" s="3">
        <v>42671</v>
      </c>
      <c r="BK5909" t="s">
        <v>123</v>
      </c>
      <c r="BL5909" t="str">
        <f>"2016.792306"</f>
        <v>2016.792306</v>
      </c>
      <c r="BM5909" t="s">
        <v>25526</v>
      </c>
      <c r="BO5909" t="s">
        <v>36097</v>
      </c>
      <c r="BS5909">
        <v>30</v>
      </c>
      <c r="BW5909" t="str">
        <f>""</f>
        <v/>
      </c>
      <c r="CH5909" t="str">
        <f>""</f>
        <v/>
      </c>
      <c r="CS5909" t="str">
        <f>""</f>
        <v/>
      </c>
    </row>
    <row r="5910" spans="1:97" x14ac:dyDescent="0.25">
      <c r="A5910" t="s">
        <v>36098</v>
      </c>
      <c r="B5910" t="s">
        <v>32596</v>
      </c>
      <c r="C5910" t="s">
        <v>496</v>
      </c>
      <c r="D5910" t="s">
        <v>32596</v>
      </c>
      <c r="E5910" t="s">
        <v>36099</v>
      </c>
      <c r="F5910" t="s">
        <v>108</v>
      </c>
      <c r="H5910" t="s">
        <v>36100</v>
      </c>
      <c r="I5910" t="s">
        <v>225</v>
      </c>
      <c r="J5910" t="s">
        <v>111</v>
      </c>
      <c r="K5910" t="str">
        <f>"85213"</f>
        <v>85213</v>
      </c>
      <c r="L5910" t="s">
        <v>9069</v>
      </c>
      <c r="M5910" t="s">
        <v>36100</v>
      </c>
      <c r="N5910" t="s">
        <v>225</v>
      </c>
      <c r="O5910" t="s">
        <v>111</v>
      </c>
      <c r="P5910" t="str">
        <f>"85213-2931"</f>
        <v>85213-2931</v>
      </c>
      <c r="Q5910" t="s">
        <v>113</v>
      </c>
      <c r="R5910" t="str">
        <f>"141-10-268"</f>
        <v>141-10-268</v>
      </c>
      <c r="S5910" t="s">
        <v>36101</v>
      </c>
      <c r="T5910" t="s">
        <v>36102</v>
      </c>
      <c r="U5910">
        <v>3223</v>
      </c>
      <c r="V5910">
        <v>0</v>
      </c>
      <c r="W5910">
        <v>4</v>
      </c>
      <c r="X5910">
        <v>1980</v>
      </c>
      <c r="Z5910">
        <v>1</v>
      </c>
      <c r="AA5910" t="s">
        <v>26</v>
      </c>
      <c r="AB5910">
        <v>0</v>
      </c>
      <c r="AC5910" t="s">
        <v>115</v>
      </c>
      <c r="AD5910">
        <v>2</v>
      </c>
      <c r="AE5910" t="s">
        <v>115</v>
      </c>
      <c r="AF5910">
        <v>0</v>
      </c>
      <c r="AG5910">
        <v>0</v>
      </c>
      <c r="AH5910" t="s">
        <v>116</v>
      </c>
      <c r="AI5910" s="1">
        <v>-17462</v>
      </c>
      <c r="AJ5910" s="2">
        <v>-0.03</v>
      </c>
      <c r="AK5910" s="1">
        <v>517115</v>
      </c>
      <c r="AL5910" t="s">
        <v>117</v>
      </c>
      <c r="AM5910" t="s">
        <v>917</v>
      </c>
      <c r="AN5910">
        <v>28172</v>
      </c>
      <c r="AO5910">
        <v>0.65</v>
      </c>
      <c r="AP5910">
        <v>1</v>
      </c>
      <c r="AR5910">
        <v>1</v>
      </c>
      <c r="AS5910" s="1">
        <v>37480</v>
      </c>
      <c r="AT5910" s="1">
        <v>7490</v>
      </c>
      <c r="AU5910" s="1">
        <v>29990</v>
      </c>
      <c r="AV5910">
        <v>80.02</v>
      </c>
      <c r="AX5910" s="1">
        <v>3467.36</v>
      </c>
      <c r="AY5910" t="s">
        <v>7102</v>
      </c>
      <c r="AZ5910" t="s">
        <v>1523</v>
      </c>
      <c r="BA5910" t="s">
        <v>1524</v>
      </c>
      <c r="BB5910" s="3">
        <v>43529</v>
      </c>
      <c r="BC5910" s="1">
        <v>0</v>
      </c>
      <c r="BD5910" t="s">
        <v>247</v>
      </c>
      <c r="BE5910" s="3">
        <v>41842</v>
      </c>
      <c r="BF5910" s="1">
        <v>439000</v>
      </c>
      <c r="BG5910" t="s">
        <v>36103</v>
      </c>
      <c r="BH5910" s="1">
        <v>136.21</v>
      </c>
      <c r="BI5910" s="1">
        <v>534577</v>
      </c>
      <c r="BJ5910" s="3">
        <v>43529</v>
      </c>
      <c r="BK5910" t="s">
        <v>123</v>
      </c>
      <c r="BL5910" t="str">
        <f>"2019.151962"</f>
        <v>2019.151962</v>
      </c>
      <c r="BM5910" t="s">
        <v>12508</v>
      </c>
      <c r="BN5910" t="s">
        <v>8917</v>
      </c>
      <c r="BO5910" t="s">
        <v>36104</v>
      </c>
      <c r="BP5910" t="s">
        <v>36105</v>
      </c>
      <c r="BR5910" t="s">
        <v>139</v>
      </c>
      <c r="BW5910" t="str">
        <f>""</f>
        <v/>
      </c>
      <c r="CH5910" t="str">
        <f>""</f>
        <v/>
      </c>
      <c r="CS5910" t="str">
        <f>""</f>
        <v/>
      </c>
    </row>
    <row r="5911" spans="1:97" x14ac:dyDescent="0.25">
      <c r="A5911" t="s">
        <v>996</v>
      </c>
      <c r="B5911" t="s">
        <v>23857</v>
      </c>
      <c r="C5911" t="s">
        <v>2544</v>
      </c>
      <c r="D5911" t="s">
        <v>23857</v>
      </c>
      <c r="E5911" t="s">
        <v>36106</v>
      </c>
      <c r="F5911" t="s">
        <v>108</v>
      </c>
      <c r="H5911" t="s">
        <v>36107</v>
      </c>
      <c r="I5911" t="s">
        <v>390</v>
      </c>
      <c r="J5911" t="s">
        <v>111</v>
      </c>
      <c r="K5911" t="str">
        <f>"85086"</f>
        <v>85086</v>
      </c>
      <c r="L5911" t="s">
        <v>1569</v>
      </c>
      <c r="M5911" t="s">
        <v>36107</v>
      </c>
      <c r="N5911" t="s">
        <v>390</v>
      </c>
      <c r="O5911" t="s">
        <v>111</v>
      </c>
      <c r="P5911" t="str">
        <f>"85086-2939"</f>
        <v>85086-2939</v>
      </c>
      <c r="Q5911" t="s">
        <v>113</v>
      </c>
      <c r="R5911" t="str">
        <f>"211-86-020"</f>
        <v>211-86-020</v>
      </c>
      <c r="S5911" t="s">
        <v>6513</v>
      </c>
      <c r="T5911" t="s">
        <v>6514</v>
      </c>
      <c r="U5911">
        <v>3304</v>
      </c>
      <c r="V5911">
        <v>0</v>
      </c>
      <c r="W5911">
        <v>5</v>
      </c>
      <c r="X5911">
        <v>2004</v>
      </c>
      <c r="Z5911">
        <v>1</v>
      </c>
      <c r="AB5911">
        <v>0</v>
      </c>
      <c r="AC5911" t="s">
        <v>115</v>
      </c>
      <c r="AD5911">
        <v>3</v>
      </c>
      <c r="AE5911" t="s">
        <v>115</v>
      </c>
      <c r="AF5911">
        <v>0</v>
      </c>
      <c r="AG5911">
        <v>0</v>
      </c>
      <c r="AH5911" t="s">
        <v>116</v>
      </c>
      <c r="AI5911" s="1">
        <v>100975</v>
      </c>
      <c r="AJ5911" s="2">
        <v>0.18</v>
      </c>
      <c r="AK5911" s="1">
        <v>562467</v>
      </c>
      <c r="AL5911" t="s">
        <v>117</v>
      </c>
      <c r="AM5911" t="s">
        <v>191</v>
      </c>
      <c r="AN5911">
        <v>11728</v>
      </c>
      <c r="AO5911">
        <v>0.27</v>
      </c>
      <c r="AP5911">
        <v>1</v>
      </c>
      <c r="AR5911">
        <v>1</v>
      </c>
      <c r="AS5911" s="1">
        <v>44730</v>
      </c>
      <c r="AT5911" s="1">
        <v>8940</v>
      </c>
      <c r="AU5911" s="1">
        <v>35790</v>
      </c>
      <c r="AV5911">
        <v>80.010000000000005</v>
      </c>
      <c r="AX5911" s="1">
        <v>5323.4</v>
      </c>
      <c r="AY5911" t="s">
        <v>6515</v>
      </c>
      <c r="AZ5911" t="s">
        <v>6515</v>
      </c>
      <c r="BA5911" t="s">
        <v>378</v>
      </c>
      <c r="BE5911" s="3">
        <v>42291</v>
      </c>
      <c r="BF5911" s="1">
        <v>460000</v>
      </c>
      <c r="BG5911" t="s">
        <v>36108</v>
      </c>
      <c r="BH5911" s="1">
        <v>139.22999999999999</v>
      </c>
      <c r="BI5911" s="1">
        <v>461492</v>
      </c>
      <c r="BJ5911" s="3">
        <v>42291</v>
      </c>
      <c r="BK5911" t="s">
        <v>123</v>
      </c>
      <c r="BL5911" t="str">
        <f>"2015.739416"</f>
        <v>2015.739416</v>
      </c>
      <c r="BM5911" t="s">
        <v>5253</v>
      </c>
      <c r="BO5911" t="s">
        <v>36109</v>
      </c>
      <c r="BS5911">
        <v>30</v>
      </c>
      <c r="BW5911" t="str">
        <f>""</f>
        <v/>
      </c>
      <c r="CH5911" t="str">
        <f>""</f>
        <v/>
      </c>
      <c r="CS5911" t="str">
        <f>""</f>
        <v/>
      </c>
    </row>
    <row r="5912" spans="1:97" x14ac:dyDescent="0.25">
      <c r="A5912" t="s">
        <v>938</v>
      </c>
      <c r="B5912" t="s">
        <v>36110</v>
      </c>
      <c r="C5912" t="s">
        <v>328</v>
      </c>
      <c r="D5912" t="s">
        <v>36110</v>
      </c>
      <c r="E5912" t="s">
        <v>36111</v>
      </c>
      <c r="F5912" t="s">
        <v>108</v>
      </c>
      <c r="H5912" t="s">
        <v>36112</v>
      </c>
      <c r="I5912" t="s">
        <v>390</v>
      </c>
      <c r="J5912" t="s">
        <v>111</v>
      </c>
      <c r="K5912" t="str">
        <f>"85018"</f>
        <v>85018</v>
      </c>
      <c r="L5912" t="s">
        <v>5606</v>
      </c>
      <c r="M5912" t="s">
        <v>36112</v>
      </c>
      <c r="N5912" t="s">
        <v>390</v>
      </c>
      <c r="O5912" t="s">
        <v>111</v>
      </c>
      <c r="P5912" t="str">
        <f>"85018-5523"</f>
        <v>85018-5523</v>
      </c>
      <c r="Q5912" t="s">
        <v>113</v>
      </c>
      <c r="R5912" t="str">
        <f>"128-01-145"</f>
        <v>128-01-145</v>
      </c>
      <c r="S5912" t="s">
        <v>36113</v>
      </c>
      <c r="T5912" t="s">
        <v>36114</v>
      </c>
      <c r="U5912">
        <v>2378</v>
      </c>
      <c r="V5912">
        <v>0</v>
      </c>
      <c r="W5912">
        <v>5</v>
      </c>
      <c r="X5912">
        <v>1962</v>
      </c>
      <c r="Z5912">
        <v>1</v>
      </c>
      <c r="AA5912" t="s">
        <v>26</v>
      </c>
      <c r="AB5912">
        <v>0</v>
      </c>
      <c r="AC5912" t="s">
        <v>5188</v>
      </c>
      <c r="AD5912">
        <v>2</v>
      </c>
      <c r="AE5912" t="s">
        <v>5188</v>
      </c>
      <c r="AF5912">
        <v>0</v>
      </c>
      <c r="AG5912">
        <v>0</v>
      </c>
      <c r="AH5912" t="s">
        <v>116</v>
      </c>
      <c r="AI5912" s="1">
        <v>167299</v>
      </c>
      <c r="AJ5912" s="2">
        <v>0.27</v>
      </c>
      <c r="AK5912" s="1">
        <v>619823</v>
      </c>
      <c r="AL5912" t="s">
        <v>117</v>
      </c>
      <c r="AM5912" t="s">
        <v>191</v>
      </c>
      <c r="AN5912">
        <v>7675</v>
      </c>
      <c r="AO5912">
        <v>0.18</v>
      </c>
      <c r="AP5912">
        <v>1</v>
      </c>
      <c r="AR5912">
        <v>1</v>
      </c>
      <c r="AS5912" s="1">
        <v>49410</v>
      </c>
      <c r="AT5912" s="1">
        <v>9880</v>
      </c>
      <c r="AU5912" s="1">
        <v>39530</v>
      </c>
      <c r="AV5912">
        <v>80</v>
      </c>
      <c r="AX5912" s="1">
        <v>2767.6</v>
      </c>
      <c r="AY5912" t="s">
        <v>8347</v>
      </c>
      <c r="AZ5912" t="s">
        <v>8348</v>
      </c>
      <c r="BA5912" t="s">
        <v>8349</v>
      </c>
      <c r="BE5912" s="3">
        <v>42460</v>
      </c>
      <c r="BF5912" s="1">
        <v>464500</v>
      </c>
      <c r="BG5912" t="s">
        <v>36115</v>
      </c>
      <c r="BH5912" s="1">
        <v>195.33</v>
      </c>
      <c r="BI5912" s="1">
        <v>452524</v>
      </c>
      <c r="BJ5912" s="3">
        <v>43417</v>
      </c>
      <c r="BK5912" t="s">
        <v>123</v>
      </c>
      <c r="BL5912" t="str">
        <f>"2018.840573"</f>
        <v>2018.840573</v>
      </c>
      <c r="BM5912" t="s">
        <v>3920</v>
      </c>
      <c r="BN5912" t="s">
        <v>3921</v>
      </c>
      <c r="BO5912" t="s">
        <v>36116</v>
      </c>
      <c r="BP5912" t="s">
        <v>36117</v>
      </c>
      <c r="BR5912" t="s">
        <v>139</v>
      </c>
      <c r="BW5912" t="str">
        <f>""</f>
        <v/>
      </c>
      <c r="CH5912" t="str">
        <f>""</f>
        <v/>
      </c>
      <c r="CS5912" t="str">
        <f>""</f>
        <v/>
      </c>
    </row>
    <row r="5913" spans="1:97" x14ac:dyDescent="0.25">
      <c r="A5913" t="s">
        <v>10731</v>
      </c>
      <c r="B5913" t="s">
        <v>17671</v>
      </c>
      <c r="E5913" t="s">
        <v>36118</v>
      </c>
      <c r="F5913" t="s">
        <v>108</v>
      </c>
      <c r="H5913" t="s">
        <v>36119</v>
      </c>
      <c r="I5913" t="s">
        <v>5114</v>
      </c>
      <c r="J5913" t="s">
        <v>111</v>
      </c>
      <c r="K5913" t="str">
        <f>"85323"</f>
        <v>85323</v>
      </c>
      <c r="L5913" t="s">
        <v>284</v>
      </c>
      <c r="M5913" t="s">
        <v>36119</v>
      </c>
      <c r="N5913" t="s">
        <v>5114</v>
      </c>
      <c r="O5913" t="s">
        <v>111</v>
      </c>
      <c r="P5913" t="str">
        <f>"85323-8015"</f>
        <v>85323-8015</v>
      </c>
      <c r="Q5913" t="s">
        <v>113</v>
      </c>
      <c r="R5913" t="str">
        <f>"500-29-473"</f>
        <v>500-29-473</v>
      </c>
      <c r="S5913" t="s">
        <v>17791</v>
      </c>
      <c r="U5913">
        <v>2112</v>
      </c>
      <c r="V5913">
        <v>0</v>
      </c>
      <c r="W5913">
        <v>3</v>
      </c>
      <c r="X5913">
        <v>2001</v>
      </c>
      <c r="Z5913">
        <v>2</v>
      </c>
      <c r="AA5913" t="s">
        <v>26</v>
      </c>
      <c r="AB5913">
        <v>0</v>
      </c>
      <c r="AC5913" t="s">
        <v>115</v>
      </c>
      <c r="AD5913">
        <v>2</v>
      </c>
      <c r="AE5913" t="s">
        <v>115</v>
      </c>
      <c r="AF5913">
        <v>0</v>
      </c>
      <c r="AG5913">
        <v>0</v>
      </c>
      <c r="AH5913" t="s">
        <v>116</v>
      </c>
      <c r="AI5913" s="1">
        <v>267219</v>
      </c>
      <c r="AJ5913" s="2">
        <v>1</v>
      </c>
      <c r="AK5913" s="1">
        <v>267219</v>
      </c>
      <c r="AL5913" t="s">
        <v>117</v>
      </c>
      <c r="AM5913" t="s">
        <v>118</v>
      </c>
      <c r="AN5913">
        <v>5656</v>
      </c>
      <c r="AO5913">
        <v>0.13</v>
      </c>
      <c r="AP5913">
        <v>1</v>
      </c>
      <c r="AR5913">
        <v>1</v>
      </c>
      <c r="AS5913" s="1">
        <v>18160</v>
      </c>
      <c r="AT5913" s="1">
        <v>3630</v>
      </c>
      <c r="AU5913" s="1">
        <v>14530</v>
      </c>
      <c r="AV5913">
        <v>80.010000000000005</v>
      </c>
      <c r="AX5913" s="1">
        <v>1670.96</v>
      </c>
      <c r="AY5913" t="s">
        <v>9447</v>
      </c>
      <c r="AZ5913" t="s">
        <v>9447</v>
      </c>
      <c r="BA5913" t="s">
        <v>4254</v>
      </c>
      <c r="BE5913" s="3">
        <v>42318</v>
      </c>
      <c r="BF5913" s="1">
        <v>220000</v>
      </c>
      <c r="BG5913" t="s">
        <v>36120</v>
      </c>
      <c r="BH5913" s="1">
        <v>104.17</v>
      </c>
      <c r="BI5913" s="1">
        <v>224730</v>
      </c>
      <c r="BJ5913" s="3">
        <v>42318</v>
      </c>
      <c r="BK5913" t="s">
        <v>123</v>
      </c>
      <c r="BL5913" t="str">
        <f>"2015.806968"</f>
        <v>2015.806968</v>
      </c>
      <c r="BM5913" t="s">
        <v>724</v>
      </c>
      <c r="BO5913" t="s">
        <v>36121</v>
      </c>
      <c r="BS5913">
        <v>30</v>
      </c>
      <c r="BW5913" t="str">
        <f>""</f>
        <v/>
      </c>
      <c r="CH5913" t="str">
        <f>""</f>
        <v/>
      </c>
      <c r="CS5913" t="str">
        <f>""</f>
        <v/>
      </c>
    </row>
    <row r="5914" spans="1:97" x14ac:dyDescent="0.25">
      <c r="A5914" t="s">
        <v>140</v>
      </c>
      <c r="B5914" t="s">
        <v>36122</v>
      </c>
      <c r="C5914" t="s">
        <v>489</v>
      </c>
      <c r="D5914" t="s">
        <v>36122</v>
      </c>
      <c r="E5914" t="s">
        <v>36123</v>
      </c>
      <c r="F5914" t="s">
        <v>108</v>
      </c>
      <c r="H5914" t="s">
        <v>36124</v>
      </c>
      <c r="I5914" t="s">
        <v>390</v>
      </c>
      <c r="J5914" t="s">
        <v>111</v>
      </c>
      <c r="K5914" t="str">
        <f>"85028"</f>
        <v>85028</v>
      </c>
      <c r="L5914" t="s">
        <v>5485</v>
      </c>
      <c r="M5914" t="s">
        <v>36124</v>
      </c>
      <c r="N5914" t="s">
        <v>390</v>
      </c>
      <c r="O5914" t="s">
        <v>111</v>
      </c>
      <c r="P5914" t="str">
        <f>"85028-1938"</f>
        <v>85028-1938</v>
      </c>
      <c r="Q5914" t="s">
        <v>113</v>
      </c>
      <c r="R5914" t="str">
        <f>"166-29-042"</f>
        <v>166-29-042</v>
      </c>
      <c r="S5914" t="s">
        <v>36125</v>
      </c>
      <c r="T5914" t="s">
        <v>5487</v>
      </c>
      <c r="U5914">
        <v>2306</v>
      </c>
      <c r="V5914">
        <v>0</v>
      </c>
      <c r="W5914">
        <v>2</v>
      </c>
      <c r="X5914">
        <v>1969</v>
      </c>
      <c r="Z5914">
        <v>1</v>
      </c>
      <c r="AA5914" t="s">
        <v>26</v>
      </c>
      <c r="AB5914">
        <v>0</v>
      </c>
      <c r="AC5914" t="s">
        <v>7038</v>
      </c>
      <c r="AD5914">
        <v>0</v>
      </c>
      <c r="AE5914" t="s">
        <v>7038</v>
      </c>
      <c r="AF5914">
        <v>0</v>
      </c>
      <c r="AG5914">
        <v>0</v>
      </c>
      <c r="AH5914" t="s">
        <v>116</v>
      </c>
      <c r="AI5914" s="1">
        <v>125626</v>
      </c>
      <c r="AJ5914" s="2">
        <v>0.32</v>
      </c>
      <c r="AK5914" s="1">
        <v>395459</v>
      </c>
      <c r="AL5914" t="s">
        <v>117</v>
      </c>
      <c r="AM5914" t="s">
        <v>171</v>
      </c>
      <c r="AN5914">
        <v>8853</v>
      </c>
      <c r="AO5914">
        <v>0.2</v>
      </c>
      <c r="AP5914">
        <v>1</v>
      </c>
      <c r="AR5914">
        <v>1</v>
      </c>
      <c r="AS5914" s="1">
        <v>27730</v>
      </c>
      <c r="AT5914" s="1">
        <v>5540</v>
      </c>
      <c r="AU5914" s="1">
        <v>22190</v>
      </c>
      <c r="AV5914">
        <v>80.02</v>
      </c>
      <c r="AX5914" s="1">
        <v>2048.7600000000002</v>
      </c>
      <c r="AY5914" t="s">
        <v>5488</v>
      </c>
      <c r="AZ5914" t="s">
        <v>5489</v>
      </c>
      <c r="BA5914" t="s">
        <v>5232</v>
      </c>
      <c r="BB5914" s="3">
        <v>42181</v>
      </c>
      <c r="BD5914" t="s">
        <v>240</v>
      </c>
      <c r="BE5914" s="3">
        <v>41935</v>
      </c>
      <c r="BF5914" s="1">
        <v>270000</v>
      </c>
      <c r="BG5914" t="s">
        <v>36126</v>
      </c>
      <c r="BH5914" s="1">
        <v>117.09</v>
      </c>
      <c r="BI5914" s="1">
        <v>269833</v>
      </c>
      <c r="BJ5914" s="3">
        <v>42438</v>
      </c>
      <c r="BK5914" t="s">
        <v>123</v>
      </c>
      <c r="BL5914" t="str">
        <f>"2016.151537"</f>
        <v>2016.151537</v>
      </c>
      <c r="BM5914" t="s">
        <v>255</v>
      </c>
      <c r="BO5914" t="s">
        <v>36127</v>
      </c>
      <c r="BP5914" t="s">
        <v>36128</v>
      </c>
      <c r="BS5914">
        <v>30</v>
      </c>
      <c r="BW5914" t="str">
        <f>""</f>
        <v/>
      </c>
      <c r="CH5914" t="str">
        <f>""</f>
        <v/>
      </c>
      <c r="CS5914" t="str">
        <f>""</f>
        <v/>
      </c>
    </row>
    <row r="5915" spans="1:97" x14ac:dyDescent="0.25">
      <c r="A5915" t="s">
        <v>996</v>
      </c>
      <c r="B5915" t="s">
        <v>6525</v>
      </c>
      <c r="C5915" t="s">
        <v>1995</v>
      </c>
      <c r="D5915" t="s">
        <v>6525</v>
      </c>
      <c r="E5915" t="s">
        <v>36129</v>
      </c>
      <c r="F5915" t="s">
        <v>108</v>
      </c>
      <c r="H5915" t="s">
        <v>36130</v>
      </c>
      <c r="I5915" t="s">
        <v>499</v>
      </c>
      <c r="J5915" t="s">
        <v>111</v>
      </c>
      <c r="K5915" t="str">
        <f>"85338"</f>
        <v>85338</v>
      </c>
      <c r="L5915" t="s">
        <v>11175</v>
      </c>
      <c r="M5915" t="s">
        <v>36130</v>
      </c>
      <c r="N5915" t="s">
        <v>499</v>
      </c>
      <c r="O5915" t="s">
        <v>111</v>
      </c>
      <c r="P5915" t="str">
        <f>"85338-9492"</f>
        <v>85338-9492</v>
      </c>
      <c r="Q5915" t="s">
        <v>113</v>
      </c>
      <c r="R5915" t="str">
        <f>"500-07-866"</f>
        <v>500-07-866</v>
      </c>
      <c r="S5915" t="s">
        <v>11176</v>
      </c>
      <c r="T5915" t="s">
        <v>11176</v>
      </c>
      <c r="U5915">
        <v>1989</v>
      </c>
      <c r="V5915">
        <v>0</v>
      </c>
      <c r="W5915">
        <v>3</v>
      </c>
      <c r="X5915">
        <v>2009</v>
      </c>
      <c r="Z5915">
        <v>1</v>
      </c>
      <c r="AA5915" t="s">
        <v>26</v>
      </c>
      <c r="AB5915">
        <v>0</v>
      </c>
      <c r="AC5915" t="s">
        <v>115</v>
      </c>
      <c r="AD5915">
        <v>2</v>
      </c>
      <c r="AE5915" t="s">
        <v>115</v>
      </c>
      <c r="AF5915">
        <v>0</v>
      </c>
      <c r="AG5915">
        <v>0</v>
      </c>
      <c r="AH5915" t="s">
        <v>116</v>
      </c>
      <c r="AI5915" s="1">
        <v>57827</v>
      </c>
      <c r="AJ5915" s="2">
        <v>0.21</v>
      </c>
      <c r="AK5915" s="1">
        <v>281977</v>
      </c>
      <c r="AL5915" t="s">
        <v>117</v>
      </c>
      <c r="AM5915" t="s">
        <v>118</v>
      </c>
      <c r="AN5915">
        <v>7233</v>
      </c>
      <c r="AO5915">
        <v>0.17</v>
      </c>
      <c r="AR5915">
        <v>1</v>
      </c>
      <c r="AS5915" s="1">
        <v>19710</v>
      </c>
      <c r="AT5915" s="1">
        <v>3940</v>
      </c>
      <c r="AU5915" s="1">
        <v>15770</v>
      </c>
      <c r="AV5915">
        <v>80.010000000000005</v>
      </c>
      <c r="AX5915" s="1">
        <v>1931.8</v>
      </c>
      <c r="AY5915" t="s">
        <v>11177</v>
      </c>
      <c r="AZ5915" t="s">
        <v>11177</v>
      </c>
      <c r="BA5915" t="s">
        <v>7186</v>
      </c>
      <c r="BE5915" s="3">
        <v>42034</v>
      </c>
      <c r="BF5915" s="1">
        <v>225000</v>
      </c>
      <c r="BG5915" t="s">
        <v>36131</v>
      </c>
      <c r="BH5915" s="1">
        <v>113.12</v>
      </c>
      <c r="BI5915" s="1">
        <v>224150</v>
      </c>
      <c r="BJ5915" s="3">
        <v>42034</v>
      </c>
      <c r="BK5915" t="s">
        <v>123</v>
      </c>
      <c r="BL5915" t="str">
        <f>"2015.62611"</f>
        <v>2015.62611</v>
      </c>
      <c r="BM5915" t="s">
        <v>124</v>
      </c>
      <c r="BO5915" t="s">
        <v>36132</v>
      </c>
      <c r="BS5915">
        <v>15</v>
      </c>
      <c r="BW5915" t="str">
        <f>""</f>
        <v/>
      </c>
      <c r="CH5915" t="str">
        <f>""</f>
        <v/>
      </c>
      <c r="CS5915" t="str">
        <f>""</f>
        <v/>
      </c>
    </row>
    <row r="5916" spans="1:97" x14ac:dyDescent="0.25">
      <c r="A5916" t="s">
        <v>991</v>
      </c>
      <c r="B5916" t="s">
        <v>13238</v>
      </c>
      <c r="C5916" t="s">
        <v>15009</v>
      </c>
      <c r="D5916" t="s">
        <v>13238</v>
      </c>
      <c r="E5916" t="s">
        <v>36133</v>
      </c>
      <c r="F5916" t="s">
        <v>108</v>
      </c>
      <c r="H5916" t="s">
        <v>36134</v>
      </c>
      <c r="I5916" t="s">
        <v>390</v>
      </c>
      <c r="J5916" t="s">
        <v>111</v>
      </c>
      <c r="K5916" t="str">
        <f>"85027"</f>
        <v>85027</v>
      </c>
      <c r="L5916" t="s">
        <v>10238</v>
      </c>
      <c r="M5916" t="s">
        <v>36134</v>
      </c>
      <c r="N5916" t="s">
        <v>390</v>
      </c>
      <c r="O5916" t="s">
        <v>111</v>
      </c>
      <c r="P5916" t="str">
        <f>"85027-5149"</f>
        <v>85027-5149</v>
      </c>
      <c r="Q5916" t="s">
        <v>113</v>
      </c>
      <c r="R5916" t="str">
        <f>"209-14-464"</f>
        <v>209-14-464</v>
      </c>
      <c r="S5916" t="s">
        <v>9646</v>
      </c>
      <c r="T5916" t="s">
        <v>9647</v>
      </c>
      <c r="U5916">
        <v>2208</v>
      </c>
      <c r="V5916">
        <v>0</v>
      </c>
      <c r="W5916">
        <v>2</v>
      </c>
      <c r="X5916">
        <v>1977</v>
      </c>
      <c r="Z5916">
        <v>1</v>
      </c>
      <c r="AA5916" t="s">
        <v>26</v>
      </c>
      <c r="AB5916">
        <v>0</v>
      </c>
      <c r="AC5916" t="s">
        <v>115</v>
      </c>
      <c r="AD5916">
        <v>2</v>
      </c>
      <c r="AE5916" t="s">
        <v>115</v>
      </c>
      <c r="AF5916">
        <v>0</v>
      </c>
      <c r="AG5916">
        <v>0</v>
      </c>
      <c r="AH5916" t="s">
        <v>116</v>
      </c>
      <c r="AI5916" s="1">
        <v>79988</v>
      </c>
      <c r="AJ5916" s="2">
        <v>0.27</v>
      </c>
      <c r="AK5916" s="1">
        <v>297269</v>
      </c>
      <c r="AL5916" t="s">
        <v>117</v>
      </c>
      <c r="AM5916" t="s">
        <v>171</v>
      </c>
      <c r="AN5916">
        <v>8432</v>
      </c>
      <c r="AO5916">
        <v>0.19</v>
      </c>
      <c r="AP5916">
        <v>1</v>
      </c>
      <c r="AR5916">
        <v>1</v>
      </c>
      <c r="AS5916" s="1">
        <v>20100</v>
      </c>
      <c r="AT5916" s="1">
        <v>4020</v>
      </c>
      <c r="AU5916" s="1">
        <v>16080</v>
      </c>
      <c r="AV5916">
        <v>80</v>
      </c>
      <c r="AX5916" s="1">
        <v>1419.86</v>
      </c>
      <c r="AY5916" t="s">
        <v>9648</v>
      </c>
      <c r="AZ5916" t="s">
        <v>2357</v>
      </c>
      <c r="BA5916" t="s">
        <v>1462</v>
      </c>
      <c r="BE5916" s="3">
        <v>41894</v>
      </c>
      <c r="BF5916" s="1">
        <v>215000</v>
      </c>
      <c r="BG5916" t="s">
        <v>10608</v>
      </c>
      <c r="BH5916" s="1">
        <v>97.37</v>
      </c>
      <c r="BI5916" s="1">
        <v>217281</v>
      </c>
      <c r="BJ5916" s="3">
        <v>42523</v>
      </c>
      <c r="BK5916" t="s">
        <v>123</v>
      </c>
      <c r="BL5916" t="str">
        <f>"2016.382182"</f>
        <v>2016.382182</v>
      </c>
      <c r="BM5916" t="s">
        <v>322</v>
      </c>
      <c r="BO5916" t="s">
        <v>36135</v>
      </c>
      <c r="BS5916">
        <v>30</v>
      </c>
      <c r="BW5916" t="str">
        <f>""</f>
        <v/>
      </c>
      <c r="CH5916" t="str">
        <f>""</f>
        <v/>
      </c>
      <c r="CS5916" t="str">
        <f>""</f>
        <v/>
      </c>
    </row>
    <row r="5917" spans="1:97" x14ac:dyDescent="0.25">
      <c r="A5917" t="s">
        <v>1009</v>
      </c>
      <c r="B5917" t="s">
        <v>17814</v>
      </c>
      <c r="C5917" t="s">
        <v>28136</v>
      </c>
      <c r="D5917" t="s">
        <v>17814</v>
      </c>
      <c r="E5917" t="s">
        <v>36136</v>
      </c>
      <c r="F5917" t="s">
        <v>108</v>
      </c>
      <c r="H5917" t="s">
        <v>36137</v>
      </c>
      <c r="I5917" t="s">
        <v>632</v>
      </c>
      <c r="J5917" t="s">
        <v>111</v>
      </c>
      <c r="K5917" t="str">
        <f>"85379"</f>
        <v>85379</v>
      </c>
      <c r="L5917" t="s">
        <v>558</v>
      </c>
      <c r="M5917" t="s">
        <v>36137</v>
      </c>
      <c r="N5917" t="s">
        <v>632</v>
      </c>
      <c r="O5917" t="s">
        <v>111</v>
      </c>
      <c r="P5917" t="str">
        <f>"85379-4436"</f>
        <v>85379-4436</v>
      </c>
      <c r="Q5917" t="s">
        <v>113</v>
      </c>
      <c r="R5917" t="str">
        <f>"509-15-423"</f>
        <v>509-15-423</v>
      </c>
      <c r="S5917" t="s">
        <v>7110</v>
      </c>
      <c r="U5917">
        <v>1909</v>
      </c>
      <c r="V5917">
        <v>0</v>
      </c>
      <c r="W5917">
        <v>2</v>
      </c>
      <c r="X5917">
        <v>2006</v>
      </c>
      <c r="Z5917">
        <v>1</v>
      </c>
      <c r="AB5917">
        <v>0</v>
      </c>
      <c r="AC5917" t="s">
        <v>115</v>
      </c>
      <c r="AD5917">
        <v>2</v>
      </c>
      <c r="AE5917" t="s">
        <v>115</v>
      </c>
      <c r="AF5917">
        <v>0</v>
      </c>
      <c r="AG5917">
        <v>0</v>
      </c>
      <c r="AH5917" t="s">
        <v>116</v>
      </c>
      <c r="AI5917" s="1">
        <v>44466</v>
      </c>
      <c r="AJ5917" s="2">
        <v>0.16</v>
      </c>
      <c r="AK5917" s="1">
        <v>274303</v>
      </c>
      <c r="AL5917" t="s">
        <v>117</v>
      </c>
      <c r="AM5917" t="s">
        <v>118</v>
      </c>
      <c r="AN5917">
        <v>7150</v>
      </c>
      <c r="AO5917">
        <v>0.16</v>
      </c>
      <c r="AR5917">
        <v>1</v>
      </c>
      <c r="AS5917" s="1">
        <v>18480</v>
      </c>
      <c r="AT5917" s="1">
        <v>3690</v>
      </c>
      <c r="AU5917" s="1">
        <v>14790</v>
      </c>
      <c r="AV5917">
        <v>80.03</v>
      </c>
      <c r="AX5917" s="1">
        <v>1443.84</v>
      </c>
      <c r="AY5917" t="s">
        <v>5615</v>
      </c>
      <c r="AZ5917" t="s">
        <v>5615</v>
      </c>
      <c r="BA5917" t="s">
        <v>635</v>
      </c>
      <c r="BE5917" s="3">
        <v>42544</v>
      </c>
      <c r="BF5917" s="1">
        <v>225000</v>
      </c>
      <c r="BG5917" t="s">
        <v>36138</v>
      </c>
      <c r="BH5917" s="1">
        <v>117.86</v>
      </c>
      <c r="BI5917" s="1">
        <v>229837</v>
      </c>
      <c r="BJ5917" s="3">
        <v>42544</v>
      </c>
      <c r="BK5917" t="s">
        <v>123</v>
      </c>
      <c r="BL5917" t="str">
        <f>"2016.439757"</f>
        <v>2016.439757</v>
      </c>
      <c r="BM5917" t="s">
        <v>820</v>
      </c>
      <c r="BO5917" t="s">
        <v>36139</v>
      </c>
      <c r="BS5917">
        <v>30</v>
      </c>
      <c r="BW5917" t="str">
        <f>""</f>
        <v/>
      </c>
      <c r="CH5917" t="str">
        <f>""</f>
        <v/>
      </c>
      <c r="CS5917" t="str">
        <f>""</f>
        <v/>
      </c>
    </row>
    <row r="5918" spans="1:97" x14ac:dyDescent="0.25">
      <c r="A5918" t="s">
        <v>5560</v>
      </c>
      <c r="B5918" t="s">
        <v>12627</v>
      </c>
      <c r="C5918" t="s">
        <v>5560</v>
      </c>
      <c r="D5918" t="s">
        <v>12627</v>
      </c>
      <c r="E5918" t="s">
        <v>36140</v>
      </c>
      <c r="F5918" t="s">
        <v>108</v>
      </c>
      <c r="H5918" t="s">
        <v>36141</v>
      </c>
      <c r="I5918" t="s">
        <v>110</v>
      </c>
      <c r="J5918" t="s">
        <v>111</v>
      </c>
      <c r="K5918" t="str">
        <f>"85225"</f>
        <v>85225</v>
      </c>
      <c r="L5918" t="s">
        <v>9764</v>
      </c>
      <c r="M5918" t="s">
        <v>36141</v>
      </c>
      <c r="N5918" t="s">
        <v>110</v>
      </c>
      <c r="O5918" t="s">
        <v>111</v>
      </c>
      <c r="P5918" t="str">
        <f>"85225-2604"</f>
        <v>85225-2604</v>
      </c>
      <c r="Q5918" t="s">
        <v>113</v>
      </c>
      <c r="R5918" t="str">
        <f>"302-27-324"</f>
        <v>302-27-324</v>
      </c>
      <c r="S5918" t="s">
        <v>36142</v>
      </c>
      <c r="T5918" t="s">
        <v>35777</v>
      </c>
      <c r="U5918">
        <v>1238</v>
      </c>
      <c r="V5918">
        <v>0</v>
      </c>
      <c r="W5918">
        <v>3</v>
      </c>
      <c r="X5918">
        <v>1983</v>
      </c>
      <c r="Z5918">
        <v>1</v>
      </c>
      <c r="AA5918" t="s">
        <v>26</v>
      </c>
      <c r="AB5918">
        <v>0</v>
      </c>
      <c r="AC5918" t="s">
        <v>115</v>
      </c>
      <c r="AD5918">
        <v>2</v>
      </c>
      <c r="AE5918" t="s">
        <v>115</v>
      </c>
      <c r="AF5918">
        <v>0</v>
      </c>
      <c r="AG5918">
        <v>0</v>
      </c>
      <c r="AH5918" t="s">
        <v>116</v>
      </c>
      <c r="AI5918" s="1">
        <v>53166</v>
      </c>
      <c r="AJ5918" s="2">
        <v>0.2</v>
      </c>
      <c r="AK5918" s="1">
        <v>271251</v>
      </c>
      <c r="AL5918" t="s">
        <v>117</v>
      </c>
      <c r="AM5918" t="s">
        <v>5077</v>
      </c>
      <c r="AN5918">
        <v>6538</v>
      </c>
      <c r="AO5918">
        <v>0.15</v>
      </c>
      <c r="AP5918">
        <v>1</v>
      </c>
      <c r="AR5918">
        <v>1</v>
      </c>
      <c r="AS5918" s="1">
        <v>18130</v>
      </c>
      <c r="AT5918" s="1">
        <v>3620</v>
      </c>
      <c r="AU5918" s="1">
        <v>14510</v>
      </c>
      <c r="AV5918">
        <v>80.03</v>
      </c>
      <c r="AX5918" s="1">
        <v>1197.28</v>
      </c>
      <c r="AY5918" t="s">
        <v>7201</v>
      </c>
      <c r="AZ5918" t="s">
        <v>7201</v>
      </c>
      <c r="BA5918" t="s">
        <v>5311</v>
      </c>
      <c r="BE5918" s="3">
        <v>42276</v>
      </c>
      <c r="BF5918" s="1">
        <v>212500</v>
      </c>
      <c r="BG5918" t="s">
        <v>18291</v>
      </c>
      <c r="BH5918" s="1">
        <v>171.65</v>
      </c>
      <c r="BI5918" s="1">
        <v>218085</v>
      </c>
      <c r="BJ5918" s="3">
        <v>42667</v>
      </c>
      <c r="BK5918" t="s">
        <v>123</v>
      </c>
      <c r="BL5918" t="str">
        <f>"2016.777670"</f>
        <v>2016.777670</v>
      </c>
      <c r="BM5918" t="s">
        <v>2458</v>
      </c>
      <c r="BO5918" t="s">
        <v>36143</v>
      </c>
      <c r="BS5918">
        <v>30</v>
      </c>
      <c r="BW5918" t="str">
        <f>""</f>
        <v/>
      </c>
      <c r="CH5918" t="str">
        <f>""</f>
        <v/>
      </c>
      <c r="CS5918" t="str">
        <f>""</f>
        <v/>
      </c>
    </row>
    <row r="5919" spans="1:97" x14ac:dyDescent="0.25">
      <c r="A5919" t="s">
        <v>1009</v>
      </c>
      <c r="B5919" t="s">
        <v>36144</v>
      </c>
      <c r="E5919" t="s">
        <v>36145</v>
      </c>
      <c r="F5919" t="s">
        <v>108</v>
      </c>
      <c r="H5919" t="s">
        <v>36146</v>
      </c>
      <c r="I5919" t="s">
        <v>390</v>
      </c>
      <c r="J5919" t="s">
        <v>111</v>
      </c>
      <c r="K5919" t="str">
        <f>"85053"</f>
        <v>85053</v>
      </c>
      <c r="L5919" t="s">
        <v>7847</v>
      </c>
      <c r="M5919" t="s">
        <v>36146</v>
      </c>
      <c r="N5919" t="s">
        <v>390</v>
      </c>
      <c r="O5919" t="s">
        <v>111</v>
      </c>
      <c r="P5919" t="str">
        <f>"85053-2950"</f>
        <v>85053-2950</v>
      </c>
      <c r="Q5919" t="s">
        <v>113</v>
      </c>
      <c r="R5919" t="str">
        <f>"207-39-011"</f>
        <v>207-39-011</v>
      </c>
      <c r="S5919" t="s">
        <v>36147</v>
      </c>
      <c r="T5919" t="s">
        <v>20743</v>
      </c>
      <c r="U5919">
        <v>1640</v>
      </c>
      <c r="V5919">
        <v>0</v>
      </c>
      <c r="W5919">
        <v>3</v>
      </c>
      <c r="X5919">
        <v>1978</v>
      </c>
      <c r="Z5919">
        <v>1</v>
      </c>
      <c r="AA5919" t="s">
        <v>26</v>
      </c>
      <c r="AB5919">
        <v>0</v>
      </c>
      <c r="AC5919" t="s">
        <v>115</v>
      </c>
      <c r="AD5919">
        <v>2</v>
      </c>
      <c r="AE5919" t="s">
        <v>115</v>
      </c>
      <c r="AF5919">
        <v>0</v>
      </c>
      <c r="AG5919">
        <v>0</v>
      </c>
      <c r="AH5919" t="s">
        <v>116</v>
      </c>
      <c r="AI5919" s="1">
        <v>52645</v>
      </c>
      <c r="AJ5919" s="2">
        <v>0.2</v>
      </c>
      <c r="AK5919" s="1">
        <v>267685</v>
      </c>
      <c r="AL5919" t="s">
        <v>117</v>
      </c>
      <c r="AM5919" t="s">
        <v>171</v>
      </c>
      <c r="AN5919">
        <v>8774</v>
      </c>
      <c r="AO5919">
        <v>0.2</v>
      </c>
      <c r="AP5919">
        <v>1</v>
      </c>
      <c r="AR5919">
        <v>1</v>
      </c>
      <c r="AS5919" s="1">
        <v>18910</v>
      </c>
      <c r="AT5919" s="1">
        <v>3780</v>
      </c>
      <c r="AU5919" s="1">
        <v>15130</v>
      </c>
      <c r="AV5919">
        <v>80.010000000000005</v>
      </c>
      <c r="AX5919" s="1">
        <v>1619.46</v>
      </c>
      <c r="AY5919" t="s">
        <v>8546</v>
      </c>
      <c r="AZ5919" t="s">
        <v>2997</v>
      </c>
      <c r="BA5919" t="s">
        <v>2998</v>
      </c>
      <c r="BB5919" s="3">
        <v>43649</v>
      </c>
      <c r="BC5919" s="1">
        <v>0</v>
      </c>
      <c r="BD5919" t="s">
        <v>247</v>
      </c>
      <c r="BE5919" s="3">
        <v>42433</v>
      </c>
      <c r="BF5919" s="1">
        <v>210000</v>
      </c>
      <c r="BG5919" t="s">
        <v>36148</v>
      </c>
      <c r="BH5919" s="1">
        <v>128.05000000000001</v>
      </c>
      <c r="BI5919" s="1">
        <v>215040</v>
      </c>
      <c r="BJ5919" s="3">
        <v>42433</v>
      </c>
      <c r="BK5919" t="s">
        <v>123</v>
      </c>
      <c r="BL5919" t="str">
        <f>"2016.142654"</f>
        <v>2016.142654</v>
      </c>
      <c r="BM5919" t="s">
        <v>724</v>
      </c>
      <c r="BN5919" t="s">
        <v>5423</v>
      </c>
      <c r="BO5919" t="s">
        <v>36149</v>
      </c>
      <c r="BS5919">
        <v>30</v>
      </c>
      <c r="BW5919" t="str">
        <f>""</f>
        <v/>
      </c>
      <c r="CH5919" t="str">
        <f>""</f>
        <v/>
      </c>
      <c r="CS5919" t="str">
        <f>""</f>
        <v/>
      </c>
    </row>
    <row r="5920" spans="1:97" x14ac:dyDescent="0.25">
      <c r="A5920" t="s">
        <v>36150</v>
      </c>
      <c r="B5920" t="s">
        <v>1009</v>
      </c>
      <c r="C5920" t="s">
        <v>3718</v>
      </c>
      <c r="D5920" t="s">
        <v>1009</v>
      </c>
      <c r="E5920" t="s">
        <v>36151</v>
      </c>
      <c r="F5920" t="s">
        <v>108</v>
      </c>
      <c r="H5920" t="s">
        <v>36152</v>
      </c>
      <c r="I5920" t="s">
        <v>390</v>
      </c>
      <c r="J5920" t="s">
        <v>111</v>
      </c>
      <c r="K5920" t="str">
        <f>"85032"</f>
        <v>85032</v>
      </c>
      <c r="L5920" t="s">
        <v>5709</v>
      </c>
      <c r="M5920" t="s">
        <v>36152</v>
      </c>
      <c r="N5920" t="s">
        <v>390</v>
      </c>
      <c r="O5920" t="s">
        <v>111</v>
      </c>
      <c r="P5920" t="str">
        <f>"85032-5911"</f>
        <v>85032-5911</v>
      </c>
      <c r="Q5920" t="s">
        <v>113</v>
      </c>
      <c r="R5920" t="str">
        <f>"166-08-010"</f>
        <v>166-08-010</v>
      </c>
      <c r="S5920" t="s">
        <v>27902</v>
      </c>
      <c r="T5920" t="s">
        <v>27902</v>
      </c>
      <c r="U5920">
        <v>2357</v>
      </c>
      <c r="V5920">
        <v>0</v>
      </c>
      <c r="W5920">
        <v>3</v>
      </c>
      <c r="X5920">
        <v>1968</v>
      </c>
      <c r="Z5920">
        <v>1</v>
      </c>
      <c r="AA5920" t="s">
        <v>26</v>
      </c>
      <c r="AB5920">
        <v>0</v>
      </c>
      <c r="AC5920" t="s">
        <v>115</v>
      </c>
      <c r="AD5920">
        <v>2</v>
      </c>
      <c r="AE5920" t="s">
        <v>115</v>
      </c>
      <c r="AF5920">
        <v>0</v>
      </c>
      <c r="AG5920">
        <v>0</v>
      </c>
      <c r="AH5920" t="s">
        <v>116</v>
      </c>
      <c r="AI5920" s="1">
        <v>120235</v>
      </c>
      <c r="AJ5920" s="2">
        <v>0.3</v>
      </c>
      <c r="AK5920" s="1">
        <v>399489</v>
      </c>
      <c r="AL5920" t="s">
        <v>117</v>
      </c>
      <c r="AM5920" t="s">
        <v>6114</v>
      </c>
      <c r="AN5920">
        <v>14984</v>
      </c>
      <c r="AO5920">
        <v>0.34</v>
      </c>
      <c r="AP5920">
        <v>1</v>
      </c>
      <c r="AR5920">
        <v>1</v>
      </c>
      <c r="AS5920" s="1">
        <v>28850</v>
      </c>
      <c r="AT5920" s="1">
        <v>5770</v>
      </c>
      <c r="AU5920" s="1">
        <v>23080</v>
      </c>
      <c r="AV5920">
        <v>80</v>
      </c>
      <c r="AX5920" s="1">
        <v>2083.62</v>
      </c>
      <c r="AY5920" t="s">
        <v>6904</v>
      </c>
      <c r="AZ5920" t="s">
        <v>5489</v>
      </c>
      <c r="BA5920" t="s">
        <v>5232</v>
      </c>
      <c r="BE5920" s="3">
        <v>41668</v>
      </c>
      <c r="BF5920" s="1">
        <v>290000</v>
      </c>
      <c r="BG5920" t="s">
        <v>36153</v>
      </c>
      <c r="BH5920" s="1">
        <v>124.04</v>
      </c>
      <c r="BI5920" s="1">
        <v>279254</v>
      </c>
      <c r="BJ5920" s="3">
        <v>43147</v>
      </c>
      <c r="BK5920" t="s">
        <v>123</v>
      </c>
      <c r="BL5920" t="str">
        <f>"2018.119425"</f>
        <v>2018.119425</v>
      </c>
      <c r="BM5920" t="s">
        <v>5842</v>
      </c>
      <c r="BN5920" t="s">
        <v>5843</v>
      </c>
      <c r="BO5920" t="s">
        <v>36154</v>
      </c>
      <c r="BP5920" t="s">
        <v>36155</v>
      </c>
      <c r="BR5920" t="s">
        <v>139</v>
      </c>
      <c r="BW5920" t="str">
        <f>""</f>
        <v/>
      </c>
      <c r="CH5920" t="str">
        <f>""</f>
        <v/>
      </c>
      <c r="CS5920" t="str">
        <f>""</f>
        <v/>
      </c>
    </row>
    <row r="5921" spans="1:97" x14ac:dyDescent="0.25">
      <c r="A5921" t="s">
        <v>933</v>
      </c>
      <c r="B5921" t="s">
        <v>36156</v>
      </c>
      <c r="E5921" t="s">
        <v>36157</v>
      </c>
      <c r="F5921" t="s">
        <v>108</v>
      </c>
      <c r="H5921" t="s">
        <v>36158</v>
      </c>
      <c r="I5921" t="s">
        <v>1788</v>
      </c>
      <c r="J5921" t="s">
        <v>111</v>
      </c>
      <c r="K5921" t="str">
        <f>"85355"</f>
        <v>85355</v>
      </c>
      <c r="L5921" t="s">
        <v>168</v>
      </c>
      <c r="M5921" t="s">
        <v>36158</v>
      </c>
      <c r="N5921" t="s">
        <v>1788</v>
      </c>
      <c r="O5921" t="s">
        <v>111</v>
      </c>
      <c r="P5921" t="str">
        <f>"85355-4335"</f>
        <v>85355-4335</v>
      </c>
      <c r="Q5921" t="s">
        <v>113</v>
      </c>
      <c r="R5921" t="str">
        <f>"502-90-732"</f>
        <v>502-90-732</v>
      </c>
      <c r="S5921" t="s">
        <v>8290</v>
      </c>
      <c r="T5921" t="s">
        <v>8290</v>
      </c>
      <c r="U5921">
        <v>2813</v>
      </c>
      <c r="V5921">
        <v>0</v>
      </c>
      <c r="W5921">
        <v>3</v>
      </c>
      <c r="X5921">
        <v>2014</v>
      </c>
      <c r="Z5921">
        <v>2</v>
      </c>
      <c r="AB5921">
        <v>0</v>
      </c>
      <c r="AC5921" t="s">
        <v>115</v>
      </c>
      <c r="AD5921">
        <v>3</v>
      </c>
      <c r="AE5921" t="s">
        <v>115</v>
      </c>
      <c r="AF5921">
        <v>0</v>
      </c>
      <c r="AG5921">
        <v>0</v>
      </c>
      <c r="AH5921" t="s">
        <v>116</v>
      </c>
      <c r="AI5921" s="1">
        <v>87158</v>
      </c>
      <c r="AJ5921" s="2">
        <v>0.26</v>
      </c>
      <c r="AK5921" s="1">
        <v>336480</v>
      </c>
      <c r="AL5921" t="s">
        <v>117</v>
      </c>
      <c r="AM5921" t="s">
        <v>191</v>
      </c>
      <c r="AN5921">
        <v>8500</v>
      </c>
      <c r="AO5921">
        <v>0.2</v>
      </c>
      <c r="AR5921">
        <v>1</v>
      </c>
      <c r="AS5921" s="1">
        <v>24150</v>
      </c>
      <c r="AT5921" s="1">
        <v>4830</v>
      </c>
      <c r="AU5921" s="1">
        <v>19320</v>
      </c>
      <c r="AV5921">
        <v>80</v>
      </c>
      <c r="AX5921" s="1">
        <v>1631.36</v>
      </c>
      <c r="AY5921" t="s">
        <v>5972</v>
      </c>
      <c r="AZ5921" t="s">
        <v>5972</v>
      </c>
      <c r="BA5921" t="s">
        <v>5061</v>
      </c>
      <c r="BE5921" s="3">
        <v>41837</v>
      </c>
      <c r="BF5921" s="1">
        <v>244075</v>
      </c>
      <c r="BG5921" t="s">
        <v>2289</v>
      </c>
      <c r="BH5921" s="1">
        <v>86.77</v>
      </c>
      <c r="BI5921" s="1">
        <v>249322</v>
      </c>
      <c r="BJ5921" s="3">
        <v>41837</v>
      </c>
      <c r="BK5921" t="s">
        <v>123</v>
      </c>
      <c r="BL5921" t="str">
        <f>"2014.470470"</f>
        <v>2014.470470</v>
      </c>
      <c r="BM5921" t="s">
        <v>150</v>
      </c>
      <c r="BO5921" t="s">
        <v>36159</v>
      </c>
      <c r="BS5921">
        <v>30</v>
      </c>
      <c r="BW5921" t="str">
        <f>""</f>
        <v/>
      </c>
      <c r="CH5921" t="str">
        <f>""</f>
        <v/>
      </c>
      <c r="CS5921" t="str">
        <f>""</f>
        <v/>
      </c>
    </row>
    <row r="5922" spans="1:97" x14ac:dyDescent="0.25">
      <c r="A5922" t="s">
        <v>3258</v>
      </c>
      <c r="B5922" t="s">
        <v>328</v>
      </c>
      <c r="C5922" t="s">
        <v>2762</v>
      </c>
      <c r="D5922" t="s">
        <v>328</v>
      </c>
      <c r="E5922" t="s">
        <v>36160</v>
      </c>
      <c r="F5922" t="s">
        <v>108</v>
      </c>
      <c r="H5922" t="s">
        <v>36161</v>
      </c>
      <c r="I5922" t="s">
        <v>5387</v>
      </c>
      <c r="J5922" t="s">
        <v>111</v>
      </c>
      <c r="K5922" t="str">
        <f>"85283"</f>
        <v>85283</v>
      </c>
      <c r="L5922" t="s">
        <v>5248</v>
      </c>
      <c r="M5922" t="s">
        <v>36161</v>
      </c>
      <c r="N5922" t="s">
        <v>5387</v>
      </c>
      <c r="O5922" t="s">
        <v>111</v>
      </c>
      <c r="P5922" t="str">
        <f>"85283-4125"</f>
        <v>85283-4125</v>
      </c>
      <c r="Q5922" t="s">
        <v>113</v>
      </c>
      <c r="R5922" t="str">
        <f>"301-48-460"</f>
        <v>301-48-460</v>
      </c>
      <c r="S5922" t="s">
        <v>8172</v>
      </c>
      <c r="T5922" t="s">
        <v>5675</v>
      </c>
      <c r="U5922">
        <v>1980</v>
      </c>
      <c r="V5922">
        <v>0</v>
      </c>
      <c r="W5922">
        <v>3</v>
      </c>
      <c r="X5922">
        <v>1973</v>
      </c>
      <c r="Z5922">
        <v>1</v>
      </c>
      <c r="AA5922" t="s">
        <v>26</v>
      </c>
      <c r="AB5922">
        <v>0</v>
      </c>
      <c r="AC5922" t="s">
        <v>115</v>
      </c>
      <c r="AD5922">
        <v>2</v>
      </c>
      <c r="AE5922" t="s">
        <v>115</v>
      </c>
      <c r="AF5922">
        <v>0</v>
      </c>
      <c r="AG5922">
        <v>0</v>
      </c>
      <c r="AH5922" t="s">
        <v>116</v>
      </c>
      <c r="AI5922" s="1">
        <v>64974</v>
      </c>
      <c r="AJ5922" s="2">
        <v>0.19</v>
      </c>
      <c r="AK5922" s="1">
        <v>346122</v>
      </c>
      <c r="AL5922" t="s">
        <v>117</v>
      </c>
      <c r="AM5922" t="s">
        <v>191</v>
      </c>
      <c r="AN5922">
        <v>7937</v>
      </c>
      <c r="AO5922">
        <v>0.18</v>
      </c>
      <c r="AP5922">
        <v>1</v>
      </c>
      <c r="AR5922">
        <v>1</v>
      </c>
      <c r="AS5922" s="1">
        <v>24420</v>
      </c>
      <c r="AT5922" s="1">
        <v>4880</v>
      </c>
      <c r="AU5922" s="1">
        <v>19540</v>
      </c>
      <c r="AV5922">
        <v>80.02</v>
      </c>
      <c r="AX5922" s="1">
        <v>2034.7</v>
      </c>
      <c r="AY5922" t="s">
        <v>5390</v>
      </c>
      <c r="AZ5922" t="s">
        <v>5391</v>
      </c>
      <c r="BA5922" t="s">
        <v>5392</v>
      </c>
      <c r="BE5922" s="3">
        <v>42439</v>
      </c>
      <c r="BF5922" s="1">
        <v>270000</v>
      </c>
      <c r="BG5922" t="s">
        <v>36162</v>
      </c>
      <c r="BH5922" s="1">
        <v>136.36000000000001</v>
      </c>
      <c r="BI5922" s="1">
        <v>281148</v>
      </c>
      <c r="BJ5922" s="3">
        <v>42542</v>
      </c>
      <c r="BK5922" t="s">
        <v>123</v>
      </c>
      <c r="BL5922" t="str">
        <f>"2016.431736"</f>
        <v>2016.431736</v>
      </c>
      <c r="BM5922" t="s">
        <v>673</v>
      </c>
      <c r="BO5922" t="s">
        <v>36163</v>
      </c>
      <c r="BS5922">
        <v>30</v>
      </c>
      <c r="BW5922" t="str">
        <f>""</f>
        <v/>
      </c>
      <c r="CH5922" t="str">
        <f>""</f>
        <v/>
      </c>
      <c r="CS5922" t="str">
        <f>""</f>
        <v/>
      </c>
    </row>
    <row r="5923" spans="1:97" x14ac:dyDescent="0.25">
      <c r="B5923" t="s">
        <v>36164</v>
      </c>
      <c r="E5923" t="s">
        <v>36164</v>
      </c>
      <c r="F5923" t="s">
        <v>108</v>
      </c>
      <c r="H5923" t="s">
        <v>36165</v>
      </c>
      <c r="I5923" t="s">
        <v>1936</v>
      </c>
      <c r="J5923" t="s">
        <v>111</v>
      </c>
      <c r="K5923" t="str">
        <f>"85257"</f>
        <v>85257</v>
      </c>
      <c r="L5923" t="s">
        <v>5416</v>
      </c>
      <c r="M5923" t="s">
        <v>36165</v>
      </c>
      <c r="N5923" t="s">
        <v>1936</v>
      </c>
      <c r="O5923" t="s">
        <v>111</v>
      </c>
      <c r="P5923" t="str">
        <f>"85257-1803"</f>
        <v>85257-1803</v>
      </c>
      <c r="Q5923" t="s">
        <v>113</v>
      </c>
      <c r="R5923" t="str">
        <f>"131-34-149"</f>
        <v>131-34-149</v>
      </c>
      <c r="S5923" t="s">
        <v>36166</v>
      </c>
      <c r="T5923" t="s">
        <v>36167</v>
      </c>
      <c r="U5923">
        <v>990</v>
      </c>
      <c r="V5923">
        <v>0</v>
      </c>
      <c r="W5923">
        <v>2</v>
      </c>
      <c r="X5923">
        <v>1960</v>
      </c>
      <c r="Z5923">
        <v>1</v>
      </c>
      <c r="AB5923">
        <v>0</v>
      </c>
      <c r="AC5923" t="s">
        <v>5188</v>
      </c>
      <c r="AD5923">
        <v>1</v>
      </c>
      <c r="AE5923" t="s">
        <v>5188</v>
      </c>
      <c r="AF5923">
        <v>0</v>
      </c>
      <c r="AG5923">
        <v>0</v>
      </c>
      <c r="AH5923" t="s">
        <v>116</v>
      </c>
      <c r="AI5923" s="1">
        <v>64274</v>
      </c>
      <c r="AJ5923" s="2">
        <v>0.21</v>
      </c>
      <c r="AK5923" s="1">
        <v>304871</v>
      </c>
      <c r="AL5923" t="s">
        <v>117</v>
      </c>
      <c r="AM5923" t="s">
        <v>393</v>
      </c>
      <c r="AN5923">
        <v>6649</v>
      </c>
      <c r="AO5923">
        <v>0.15</v>
      </c>
      <c r="AP5923">
        <v>1</v>
      </c>
      <c r="AR5923">
        <v>1</v>
      </c>
      <c r="AS5923" s="1">
        <v>19780</v>
      </c>
      <c r="AT5923" s="1">
        <v>3950</v>
      </c>
      <c r="AU5923" s="1">
        <v>15830</v>
      </c>
      <c r="AV5923">
        <v>80.03</v>
      </c>
      <c r="AX5923" s="1">
        <v>987.54</v>
      </c>
      <c r="AY5923" t="s">
        <v>5419</v>
      </c>
      <c r="AZ5923" t="s">
        <v>5420</v>
      </c>
      <c r="BA5923" t="s">
        <v>5421</v>
      </c>
      <c r="BE5923" s="3">
        <v>42355</v>
      </c>
      <c r="BF5923" s="1">
        <v>235000</v>
      </c>
      <c r="BG5923" t="s">
        <v>36168</v>
      </c>
      <c r="BH5923" s="1">
        <v>237.37</v>
      </c>
      <c r="BI5923" s="1">
        <v>240597</v>
      </c>
      <c r="BJ5923" s="3">
        <v>42611</v>
      </c>
      <c r="BK5923" t="s">
        <v>123</v>
      </c>
      <c r="BL5923" t="str">
        <f>"2016.622469"</f>
        <v>2016.622469</v>
      </c>
      <c r="BM5923" t="s">
        <v>255</v>
      </c>
      <c r="BO5923" t="s">
        <v>36164</v>
      </c>
      <c r="BS5923">
        <v>30</v>
      </c>
      <c r="BW5923" t="str">
        <f>""</f>
        <v/>
      </c>
      <c r="CH5923" t="str">
        <f>""</f>
        <v/>
      </c>
      <c r="CS5923" t="str">
        <f>""</f>
        <v/>
      </c>
    </row>
    <row r="5924" spans="1:97" x14ac:dyDescent="0.25">
      <c r="A5924" t="s">
        <v>13060</v>
      </c>
      <c r="B5924" t="s">
        <v>16529</v>
      </c>
      <c r="E5924" t="s">
        <v>36169</v>
      </c>
      <c r="F5924" t="s">
        <v>108</v>
      </c>
      <c r="H5924" t="s">
        <v>36170</v>
      </c>
      <c r="I5924" t="s">
        <v>110</v>
      </c>
      <c r="J5924" t="s">
        <v>111</v>
      </c>
      <c r="K5924" t="str">
        <f>"85225"</f>
        <v>85225</v>
      </c>
      <c r="L5924" t="s">
        <v>5138</v>
      </c>
      <c r="M5924" t="s">
        <v>36170</v>
      </c>
      <c r="N5924" t="s">
        <v>110</v>
      </c>
      <c r="O5924" t="s">
        <v>111</v>
      </c>
      <c r="P5924" t="str">
        <f>"85225-8494"</f>
        <v>85225-8494</v>
      </c>
      <c r="Q5924" t="s">
        <v>113</v>
      </c>
      <c r="R5924" t="str">
        <f>"302-38-244"</f>
        <v>302-38-244</v>
      </c>
      <c r="S5924" t="s">
        <v>20058</v>
      </c>
      <c r="T5924" t="s">
        <v>20059</v>
      </c>
      <c r="U5924">
        <v>1783</v>
      </c>
      <c r="V5924">
        <v>0</v>
      </c>
      <c r="W5924">
        <v>4</v>
      </c>
      <c r="X5924">
        <v>1985</v>
      </c>
      <c r="Z5924">
        <v>2</v>
      </c>
      <c r="AB5924">
        <v>0</v>
      </c>
      <c r="AC5924" t="s">
        <v>115</v>
      </c>
      <c r="AD5924">
        <v>2</v>
      </c>
      <c r="AE5924" t="s">
        <v>115</v>
      </c>
      <c r="AF5924">
        <v>0</v>
      </c>
      <c r="AG5924">
        <v>0</v>
      </c>
      <c r="AH5924" t="s">
        <v>116</v>
      </c>
      <c r="AI5924" s="1">
        <v>66874</v>
      </c>
      <c r="AJ5924" s="2">
        <v>0.23</v>
      </c>
      <c r="AK5924" s="1">
        <v>288874</v>
      </c>
      <c r="AL5924" t="s">
        <v>117</v>
      </c>
      <c r="AM5924" t="s">
        <v>118</v>
      </c>
      <c r="AN5924">
        <v>7031</v>
      </c>
      <c r="AO5924">
        <v>0.16</v>
      </c>
      <c r="AP5924">
        <v>1</v>
      </c>
      <c r="AR5924">
        <v>1</v>
      </c>
      <c r="AS5924" s="1">
        <v>19970</v>
      </c>
      <c r="AT5924" s="1">
        <v>3990</v>
      </c>
      <c r="AU5924" s="1">
        <v>15980</v>
      </c>
      <c r="AV5924">
        <v>80.02</v>
      </c>
      <c r="AX5924" s="1">
        <v>1234.8599999999999</v>
      </c>
      <c r="AY5924" t="s">
        <v>2956</v>
      </c>
      <c r="AZ5924" t="s">
        <v>5078</v>
      </c>
      <c r="BA5924" t="s">
        <v>2957</v>
      </c>
      <c r="BE5924" s="3">
        <v>42318</v>
      </c>
      <c r="BF5924" s="1">
        <v>224500</v>
      </c>
      <c r="BG5924" t="s">
        <v>36171</v>
      </c>
      <c r="BH5924" s="1">
        <v>125.91</v>
      </c>
      <c r="BI5924" s="1">
        <v>222000</v>
      </c>
      <c r="BJ5924" s="3">
        <v>42318</v>
      </c>
      <c r="BK5924" t="s">
        <v>123</v>
      </c>
      <c r="BL5924" t="str">
        <f>"2015.807697"</f>
        <v>2015.807697</v>
      </c>
      <c r="BM5924" t="s">
        <v>2716</v>
      </c>
      <c r="BO5924" t="s">
        <v>36172</v>
      </c>
      <c r="BS5924">
        <v>30</v>
      </c>
      <c r="BW5924" t="str">
        <f>""</f>
        <v/>
      </c>
      <c r="CH5924" t="str">
        <f>""</f>
        <v/>
      </c>
      <c r="CS5924" t="str">
        <f>""</f>
        <v/>
      </c>
    </row>
    <row r="5925" spans="1:97" x14ac:dyDescent="0.25">
      <c r="A5925" t="s">
        <v>177</v>
      </c>
      <c r="B5925" t="s">
        <v>36173</v>
      </c>
      <c r="C5925" t="s">
        <v>524</v>
      </c>
      <c r="D5925" t="s">
        <v>36173</v>
      </c>
      <c r="E5925" t="s">
        <v>36174</v>
      </c>
      <c r="F5925" t="s">
        <v>108</v>
      </c>
      <c r="H5925" t="s">
        <v>36175</v>
      </c>
      <c r="I5925" t="s">
        <v>203</v>
      </c>
      <c r="J5925" t="s">
        <v>111</v>
      </c>
      <c r="K5925" t="str">
        <f>"85297"</f>
        <v>85297</v>
      </c>
      <c r="L5925" t="s">
        <v>5893</v>
      </c>
      <c r="M5925" t="s">
        <v>36175</v>
      </c>
      <c r="N5925" t="s">
        <v>203</v>
      </c>
      <c r="O5925" t="s">
        <v>111</v>
      </c>
      <c r="P5925" t="str">
        <f>"85297-9662"</f>
        <v>85297-9662</v>
      </c>
      <c r="R5925" t="str">
        <f>"313-06-234"</f>
        <v>313-06-234</v>
      </c>
      <c r="S5925" t="s">
        <v>16731</v>
      </c>
      <c r="T5925" t="s">
        <v>16732</v>
      </c>
      <c r="U5925">
        <v>2291</v>
      </c>
      <c r="V5925">
        <v>0</v>
      </c>
      <c r="W5925">
        <v>4</v>
      </c>
      <c r="X5925">
        <v>2004</v>
      </c>
      <c r="Z5925">
        <v>2</v>
      </c>
      <c r="AA5925" t="s">
        <v>26</v>
      </c>
      <c r="AB5925">
        <v>0</v>
      </c>
      <c r="AC5925" t="s">
        <v>115</v>
      </c>
      <c r="AD5925">
        <v>2</v>
      </c>
      <c r="AE5925" t="s">
        <v>115</v>
      </c>
      <c r="AF5925">
        <v>0</v>
      </c>
      <c r="AG5925">
        <v>0</v>
      </c>
      <c r="AH5925" t="s">
        <v>116</v>
      </c>
      <c r="AI5925" s="1">
        <v>96660</v>
      </c>
      <c r="AJ5925" s="2">
        <v>0.27</v>
      </c>
      <c r="AK5925" s="1">
        <v>359406</v>
      </c>
      <c r="AL5925" t="s">
        <v>117</v>
      </c>
      <c r="AM5925" t="s">
        <v>191</v>
      </c>
      <c r="AN5925">
        <v>7754</v>
      </c>
      <c r="AO5925">
        <v>0.18</v>
      </c>
      <c r="AP5925">
        <v>1</v>
      </c>
      <c r="AR5925">
        <v>1</v>
      </c>
      <c r="AS5925" s="1">
        <v>24970</v>
      </c>
      <c r="AT5925" s="1">
        <v>4990</v>
      </c>
      <c r="AU5925" s="1">
        <v>19980</v>
      </c>
      <c r="AV5925">
        <v>80.02</v>
      </c>
      <c r="AX5925" s="1">
        <v>2029.24</v>
      </c>
      <c r="AY5925" t="s">
        <v>8338</v>
      </c>
      <c r="AZ5925" t="s">
        <v>8338</v>
      </c>
      <c r="BA5925" t="s">
        <v>290</v>
      </c>
      <c r="BE5925" s="3">
        <v>41677</v>
      </c>
      <c r="BF5925" s="1">
        <v>259900</v>
      </c>
      <c r="BG5925" t="s">
        <v>36176</v>
      </c>
      <c r="BH5925" s="1">
        <v>113.44</v>
      </c>
      <c r="BI5925" s="1">
        <v>262746</v>
      </c>
      <c r="BJ5925" s="3">
        <v>42711</v>
      </c>
      <c r="BK5925" t="s">
        <v>123</v>
      </c>
      <c r="BL5925" t="str">
        <f>"2016.901195"</f>
        <v>2016.901195</v>
      </c>
      <c r="BM5925" t="s">
        <v>709</v>
      </c>
      <c r="BN5925" t="s">
        <v>863</v>
      </c>
      <c r="BO5925" t="s">
        <v>36177</v>
      </c>
      <c r="BS5925">
        <v>30</v>
      </c>
      <c r="BW5925" t="str">
        <f>""</f>
        <v/>
      </c>
      <c r="CH5925" t="str">
        <f>""</f>
        <v/>
      </c>
      <c r="CS5925" t="str">
        <f>""</f>
        <v/>
      </c>
    </row>
    <row r="5926" spans="1:97" x14ac:dyDescent="0.25">
      <c r="A5926" t="s">
        <v>22214</v>
      </c>
      <c r="B5926" t="s">
        <v>3800</v>
      </c>
      <c r="C5926" t="s">
        <v>370</v>
      </c>
      <c r="D5926" t="s">
        <v>3800</v>
      </c>
      <c r="E5926" t="s">
        <v>36178</v>
      </c>
      <c r="F5926" t="s">
        <v>108</v>
      </c>
      <c r="H5926" t="s">
        <v>36179</v>
      </c>
      <c r="I5926" t="s">
        <v>225</v>
      </c>
      <c r="J5926" t="s">
        <v>111</v>
      </c>
      <c r="K5926" t="str">
        <f>"85209"</f>
        <v>85209</v>
      </c>
      <c r="L5926" t="s">
        <v>7725</v>
      </c>
      <c r="M5926" t="s">
        <v>36179</v>
      </c>
      <c r="N5926" t="s">
        <v>225</v>
      </c>
      <c r="O5926" t="s">
        <v>111</v>
      </c>
      <c r="P5926" t="str">
        <f>"85209-1185"</f>
        <v>85209-1185</v>
      </c>
      <c r="Q5926" t="s">
        <v>113</v>
      </c>
      <c r="R5926" t="str">
        <f>"312-01-165"</f>
        <v>312-01-165</v>
      </c>
      <c r="S5926" t="s">
        <v>9475</v>
      </c>
      <c r="U5926">
        <v>1857</v>
      </c>
      <c r="V5926">
        <v>0</v>
      </c>
      <c r="W5926">
        <v>4</v>
      </c>
      <c r="X5926">
        <v>1999</v>
      </c>
      <c r="Z5926">
        <v>2</v>
      </c>
      <c r="AB5926">
        <v>0</v>
      </c>
      <c r="AC5926" t="s">
        <v>115</v>
      </c>
      <c r="AD5926">
        <v>2</v>
      </c>
      <c r="AE5926" t="s">
        <v>115</v>
      </c>
      <c r="AF5926">
        <v>0</v>
      </c>
      <c r="AG5926">
        <v>0</v>
      </c>
      <c r="AH5926" t="s">
        <v>116</v>
      </c>
      <c r="AI5926" s="1">
        <v>96418</v>
      </c>
      <c r="AJ5926" s="2">
        <v>0.31</v>
      </c>
      <c r="AK5926" s="1">
        <v>310240</v>
      </c>
      <c r="AL5926" t="s">
        <v>117</v>
      </c>
      <c r="AM5926" t="s">
        <v>191</v>
      </c>
      <c r="AN5926">
        <v>6610</v>
      </c>
      <c r="AO5926">
        <v>0.15</v>
      </c>
      <c r="AP5926">
        <v>1</v>
      </c>
      <c r="AR5926">
        <v>1</v>
      </c>
      <c r="AS5926" s="1">
        <v>20450</v>
      </c>
      <c r="AT5926" s="1">
        <v>4090</v>
      </c>
      <c r="AU5926" s="1">
        <v>16360</v>
      </c>
      <c r="AV5926">
        <v>80</v>
      </c>
      <c r="AX5926" s="1">
        <v>1441.6</v>
      </c>
      <c r="AY5926" t="s">
        <v>4370</v>
      </c>
      <c r="AZ5926" t="s">
        <v>777</v>
      </c>
      <c r="BA5926" t="s">
        <v>572</v>
      </c>
      <c r="BE5926" s="3">
        <v>41656</v>
      </c>
      <c r="BF5926" s="1">
        <v>221750</v>
      </c>
      <c r="BG5926" t="s">
        <v>36180</v>
      </c>
      <c r="BH5926" s="1">
        <v>119.41</v>
      </c>
      <c r="BI5926" s="1">
        <v>213822</v>
      </c>
      <c r="BJ5926" s="3">
        <v>41656</v>
      </c>
      <c r="BK5926" t="s">
        <v>123</v>
      </c>
      <c r="BL5926" t="str">
        <f>"2014.37186"</f>
        <v>2014.37186</v>
      </c>
      <c r="BM5926" t="s">
        <v>724</v>
      </c>
      <c r="BO5926" t="s">
        <v>36181</v>
      </c>
      <c r="BS5926">
        <v>30</v>
      </c>
      <c r="BW5926" t="str">
        <f>""</f>
        <v/>
      </c>
      <c r="CH5926" t="str">
        <f>""</f>
        <v/>
      </c>
      <c r="CS5926" t="str">
        <f>""</f>
        <v/>
      </c>
    </row>
    <row r="5927" spans="1:97" x14ac:dyDescent="0.25">
      <c r="A5927" t="s">
        <v>886</v>
      </c>
      <c r="B5927" t="s">
        <v>14256</v>
      </c>
      <c r="E5927" t="s">
        <v>36182</v>
      </c>
      <c r="F5927" t="s">
        <v>108</v>
      </c>
      <c r="H5927" t="s">
        <v>36183</v>
      </c>
      <c r="I5927" t="s">
        <v>632</v>
      </c>
      <c r="J5927" t="s">
        <v>111</v>
      </c>
      <c r="K5927" t="str">
        <f>"85374"</f>
        <v>85374</v>
      </c>
      <c r="L5927" t="s">
        <v>3885</v>
      </c>
      <c r="M5927" t="s">
        <v>36183</v>
      </c>
      <c r="N5927" t="s">
        <v>632</v>
      </c>
      <c r="O5927" t="s">
        <v>111</v>
      </c>
      <c r="P5927" t="str">
        <f>"85374-1490"</f>
        <v>85374-1490</v>
      </c>
      <c r="Q5927" t="s">
        <v>113</v>
      </c>
      <c r="R5927" t="str">
        <f>"509-12-277"</f>
        <v>509-12-277</v>
      </c>
      <c r="S5927" t="s">
        <v>36184</v>
      </c>
      <c r="U5927">
        <v>2493</v>
      </c>
      <c r="V5927">
        <v>0</v>
      </c>
      <c r="W5927">
        <v>4</v>
      </c>
      <c r="X5927">
        <v>2005</v>
      </c>
      <c r="Z5927">
        <v>2</v>
      </c>
      <c r="AA5927" t="s">
        <v>26</v>
      </c>
      <c r="AB5927">
        <v>0</v>
      </c>
      <c r="AC5927" t="s">
        <v>115</v>
      </c>
      <c r="AD5927">
        <v>2</v>
      </c>
      <c r="AE5927" t="s">
        <v>115</v>
      </c>
      <c r="AF5927">
        <v>0</v>
      </c>
      <c r="AG5927">
        <v>0</v>
      </c>
      <c r="AH5927" t="s">
        <v>116</v>
      </c>
      <c r="AI5927" s="1">
        <v>54104</v>
      </c>
      <c r="AJ5927" s="2">
        <v>0.19</v>
      </c>
      <c r="AK5927" s="1">
        <v>290001</v>
      </c>
      <c r="AL5927" t="s">
        <v>117</v>
      </c>
      <c r="AM5927" t="s">
        <v>118</v>
      </c>
      <c r="AN5927">
        <v>5221</v>
      </c>
      <c r="AO5927">
        <v>0.12</v>
      </c>
      <c r="AR5927">
        <v>1</v>
      </c>
      <c r="AS5927" s="1">
        <v>21550</v>
      </c>
      <c r="AT5927" s="1">
        <v>4310</v>
      </c>
      <c r="AU5927" s="1">
        <v>17240</v>
      </c>
      <c r="AV5927">
        <v>80</v>
      </c>
      <c r="AX5927" s="1">
        <v>1508.02</v>
      </c>
      <c r="AY5927" t="s">
        <v>5983</v>
      </c>
      <c r="AZ5927" t="s">
        <v>5983</v>
      </c>
      <c r="BA5927" t="s">
        <v>321</v>
      </c>
      <c r="BE5927" s="3">
        <v>41975</v>
      </c>
      <c r="BF5927" s="1">
        <v>209000</v>
      </c>
      <c r="BG5927" t="s">
        <v>36185</v>
      </c>
      <c r="BH5927" s="1">
        <v>83.83</v>
      </c>
      <c r="BI5927" s="1">
        <v>215897</v>
      </c>
      <c r="BJ5927" s="3">
        <v>41975</v>
      </c>
      <c r="BK5927" t="s">
        <v>123</v>
      </c>
      <c r="BL5927" t="str">
        <f>"2014.794859"</f>
        <v>2014.794859</v>
      </c>
      <c r="BM5927" t="s">
        <v>724</v>
      </c>
      <c r="BN5927" t="s">
        <v>5737</v>
      </c>
      <c r="BO5927" t="s">
        <v>36186</v>
      </c>
      <c r="BS5927">
        <v>30</v>
      </c>
      <c r="BT5927" s="1">
        <v>20000</v>
      </c>
      <c r="BU5927" s="3">
        <v>43145</v>
      </c>
      <c r="BW5927" t="str">
        <f>"2018.112044"</f>
        <v>2018.112044</v>
      </c>
      <c r="BX5927" t="s">
        <v>3538</v>
      </c>
      <c r="BY5927" t="s">
        <v>3539</v>
      </c>
      <c r="BZ5927" t="s">
        <v>36182</v>
      </c>
      <c r="CC5927" t="s">
        <v>346</v>
      </c>
      <c r="CH5927" t="str">
        <f>""</f>
        <v/>
      </c>
      <c r="CS5927" t="str">
        <f>""</f>
        <v/>
      </c>
    </row>
    <row r="5928" spans="1:97" x14ac:dyDescent="0.25">
      <c r="A5928" t="s">
        <v>1979</v>
      </c>
      <c r="B5928" t="s">
        <v>36187</v>
      </c>
      <c r="E5928" t="s">
        <v>36188</v>
      </c>
      <c r="F5928" t="s">
        <v>108</v>
      </c>
      <c r="H5928" t="s">
        <v>36189</v>
      </c>
      <c r="I5928" t="s">
        <v>390</v>
      </c>
      <c r="J5928" t="s">
        <v>111</v>
      </c>
      <c r="K5928" t="str">
        <f>"85016"</f>
        <v>85016</v>
      </c>
      <c r="L5928" t="s">
        <v>5138</v>
      </c>
      <c r="M5928" t="s">
        <v>36189</v>
      </c>
      <c r="N5928" t="s">
        <v>390</v>
      </c>
      <c r="O5928" t="s">
        <v>111</v>
      </c>
      <c r="P5928" t="str">
        <f>"85016-7806"</f>
        <v>85016-7806</v>
      </c>
      <c r="Q5928" t="s">
        <v>113</v>
      </c>
      <c r="R5928" t="str">
        <f>"119-17-021"</f>
        <v>119-17-021</v>
      </c>
      <c r="S5928" t="s">
        <v>36190</v>
      </c>
      <c r="T5928" t="s">
        <v>36190</v>
      </c>
      <c r="U5928">
        <v>1258</v>
      </c>
      <c r="V5928">
        <v>0</v>
      </c>
      <c r="W5928">
        <v>2</v>
      </c>
      <c r="X5928">
        <v>1949</v>
      </c>
      <c r="Z5928">
        <v>1</v>
      </c>
      <c r="AB5928">
        <v>0</v>
      </c>
      <c r="AC5928" t="s">
        <v>5188</v>
      </c>
      <c r="AD5928">
        <v>1</v>
      </c>
      <c r="AE5928" t="s">
        <v>5188</v>
      </c>
      <c r="AF5928">
        <v>0</v>
      </c>
      <c r="AG5928">
        <v>0</v>
      </c>
      <c r="AH5928" t="s">
        <v>5467</v>
      </c>
      <c r="AI5928" s="1">
        <v>2592</v>
      </c>
      <c r="AJ5928" s="2">
        <v>0.01</v>
      </c>
      <c r="AK5928" s="1">
        <v>292698</v>
      </c>
      <c r="AL5928" t="s">
        <v>117</v>
      </c>
      <c r="AM5928" t="s">
        <v>191</v>
      </c>
      <c r="AN5928">
        <v>13782</v>
      </c>
      <c r="AO5928">
        <v>0.32</v>
      </c>
      <c r="AP5928">
        <v>1</v>
      </c>
      <c r="AR5928">
        <v>1</v>
      </c>
      <c r="AS5928" s="1">
        <v>19170</v>
      </c>
      <c r="AT5928" s="1">
        <v>3830</v>
      </c>
      <c r="AU5928" s="1">
        <v>15340</v>
      </c>
      <c r="AV5928">
        <v>80.02</v>
      </c>
      <c r="AX5928" s="1">
        <v>1598.08</v>
      </c>
      <c r="AY5928" t="s">
        <v>14631</v>
      </c>
      <c r="AZ5928" t="s">
        <v>14631</v>
      </c>
      <c r="BA5928" t="s">
        <v>6255</v>
      </c>
      <c r="BE5928" s="3">
        <v>42506</v>
      </c>
      <c r="BF5928" s="1">
        <v>284000</v>
      </c>
      <c r="BG5928" t="s">
        <v>36191</v>
      </c>
      <c r="BH5928" s="1">
        <v>225.76</v>
      </c>
      <c r="BI5928" s="1">
        <v>290106</v>
      </c>
      <c r="BJ5928" s="3">
        <v>42506</v>
      </c>
      <c r="BK5928" t="s">
        <v>123</v>
      </c>
      <c r="BL5928" t="str">
        <f>"2016.333798"</f>
        <v>2016.333798</v>
      </c>
      <c r="BM5928" t="s">
        <v>475</v>
      </c>
      <c r="BO5928" t="s">
        <v>36192</v>
      </c>
      <c r="BS5928">
        <v>30</v>
      </c>
      <c r="BW5928" t="str">
        <f>""</f>
        <v/>
      </c>
      <c r="CH5928" t="str">
        <f>""</f>
        <v/>
      </c>
      <c r="CS5928" t="str">
        <f>""</f>
        <v/>
      </c>
    </row>
    <row r="5929" spans="1:97" x14ac:dyDescent="0.25">
      <c r="A5929" t="s">
        <v>701</v>
      </c>
      <c r="B5929" t="s">
        <v>36193</v>
      </c>
      <c r="E5929" t="s">
        <v>36194</v>
      </c>
      <c r="F5929" t="s">
        <v>282</v>
      </c>
      <c r="H5929" t="s">
        <v>36195</v>
      </c>
      <c r="I5929" t="s">
        <v>144</v>
      </c>
      <c r="J5929" t="s">
        <v>111</v>
      </c>
      <c r="K5929" t="str">
        <f>"85326"</f>
        <v>85326</v>
      </c>
      <c r="L5929" t="s">
        <v>3037</v>
      </c>
      <c r="M5929" t="s">
        <v>36195</v>
      </c>
      <c r="N5929" t="s">
        <v>499</v>
      </c>
      <c r="O5929" t="s">
        <v>111</v>
      </c>
      <c r="P5929" t="str">
        <f>"85338"</f>
        <v>85338</v>
      </c>
      <c r="Q5929" t="s">
        <v>113</v>
      </c>
      <c r="R5929" t="str">
        <f>"400-64-014-J"</f>
        <v>400-64-014-J</v>
      </c>
      <c r="U5929">
        <v>2667</v>
      </c>
      <c r="V5929">
        <v>0</v>
      </c>
      <c r="W5929">
        <v>5</v>
      </c>
      <c r="X5929">
        <v>2006</v>
      </c>
      <c r="Z5929">
        <v>1</v>
      </c>
      <c r="AA5929" t="s">
        <v>26</v>
      </c>
      <c r="AB5929">
        <v>0</v>
      </c>
      <c r="AC5929" t="s">
        <v>115</v>
      </c>
      <c r="AD5929">
        <v>2</v>
      </c>
      <c r="AE5929" t="s">
        <v>115</v>
      </c>
      <c r="AF5929">
        <v>0</v>
      </c>
      <c r="AG5929">
        <v>0</v>
      </c>
      <c r="AH5929" t="s">
        <v>116</v>
      </c>
      <c r="AI5929" s="1">
        <v>59076</v>
      </c>
      <c r="AJ5929" s="2">
        <v>0.19</v>
      </c>
      <c r="AK5929" s="1">
        <v>311036</v>
      </c>
      <c r="AL5929" t="s">
        <v>117</v>
      </c>
      <c r="AM5929" t="s">
        <v>3111</v>
      </c>
      <c r="AN5929">
        <v>58583</v>
      </c>
      <c r="AO5929">
        <v>1.34</v>
      </c>
      <c r="AR5929">
        <v>1</v>
      </c>
      <c r="AS5929" s="1">
        <v>18880</v>
      </c>
      <c r="AT5929" s="1">
        <v>3770</v>
      </c>
      <c r="AU5929" s="1">
        <v>15110</v>
      </c>
      <c r="AV5929">
        <v>80.03</v>
      </c>
      <c r="AX5929" s="1">
        <v>1510.9</v>
      </c>
      <c r="AY5929" t="s">
        <v>3038</v>
      </c>
      <c r="AZ5929" t="s">
        <v>3038</v>
      </c>
      <c r="BA5929" t="s">
        <v>1247</v>
      </c>
      <c r="BE5929" s="3">
        <v>42174</v>
      </c>
      <c r="BF5929" s="1">
        <v>276500</v>
      </c>
      <c r="BG5929" t="s">
        <v>36196</v>
      </c>
      <c r="BH5929" s="1">
        <v>103.67</v>
      </c>
      <c r="BI5929" s="1">
        <v>251960</v>
      </c>
      <c r="BJ5929" s="3">
        <v>42174</v>
      </c>
      <c r="BK5929" t="s">
        <v>123</v>
      </c>
      <c r="BL5929" t="str">
        <f>"2015.440155"</f>
        <v>2015.440155</v>
      </c>
      <c r="BM5929" t="s">
        <v>1760</v>
      </c>
      <c r="BO5929" t="s">
        <v>36197</v>
      </c>
      <c r="BS5929">
        <v>30</v>
      </c>
      <c r="BW5929" t="str">
        <f>""</f>
        <v/>
      </c>
      <c r="CH5929" t="str">
        <f>""</f>
        <v/>
      </c>
      <c r="CS5929" t="str">
        <f>""</f>
        <v/>
      </c>
    </row>
    <row r="5930" spans="1:97" x14ac:dyDescent="0.25">
      <c r="A5930" t="s">
        <v>2915</v>
      </c>
      <c r="B5930" t="s">
        <v>15876</v>
      </c>
      <c r="C5930" t="s">
        <v>817</v>
      </c>
      <c r="D5930" t="s">
        <v>36198</v>
      </c>
      <c r="E5930" t="s">
        <v>36199</v>
      </c>
      <c r="F5930" t="s">
        <v>108</v>
      </c>
      <c r="H5930" t="s">
        <v>36200</v>
      </c>
      <c r="I5930" t="s">
        <v>203</v>
      </c>
      <c r="J5930" t="s">
        <v>111</v>
      </c>
      <c r="K5930" t="str">
        <f>"85234"</f>
        <v>85234</v>
      </c>
      <c r="L5930" t="s">
        <v>30785</v>
      </c>
      <c r="M5930" t="s">
        <v>36200</v>
      </c>
      <c r="N5930" t="s">
        <v>203</v>
      </c>
      <c r="O5930" t="s">
        <v>111</v>
      </c>
      <c r="P5930" t="str">
        <f>"85234"</f>
        <v>85234</v>
      </c>
      <c r="Q5930" t="s">
        <v>113</v>
      </c>
      <c r="R5930" t="str">
        <f>"304-06-939"</f>
        <v>304-06-939</v>
      </c>
      <c r="S5930" t="s">
        <v>30786</v>
      </c>
      <c r="U5930">
        <v>2393</v>
      </c>
      <c r="V5930">
        <v>0</v>
      </c>
      <c r="W5930">
        <v>3</v>
      </c>
      <c r="X5930">
        <v>1995</v>
      </c>
      <c r="Z5930">
        <v>1</v>
      </c>
      <c r="AB5930">
        <v>0</v>
      </c>
      <c r="AC5930" t="s">
        <v>115</v>
      </c>
      <c r="AD5930">
        <v>3</v>
      </c>
      <c r="AE5930" t="s">
        <v>115</v>
      </c>
      <c r="AF5930">
        <v>0</v>
      </c>
      <c r="AG5930">
        <v>0</v>
      </c>
      <c r="AH5930" t="s">
        <v>116</v>
      </c>
      <c r="AI5930" s="1">
        <v>113270</v>
      </c>
      <c r="AJ5930" s="2">
        <v>0.28999999999999998</v>
      </c>
      <c r="AK5930" s="1">
        <v>389075</v>
      </c>
      <c r="AL5930" t="s">
        <v>117</v>
      </c>
      <c r="AM5930" t="s">
        <v>393</v>
      </c>
      <c r="AN5930">
        <v>9257</v>
      </c>
      <c r="AO5930">
        <v>0.21</v>
      </c>
      <c r="AP5930">
        <v>1</v>
      </c>
      <c r="AR5930">
        <v>1</v>
      </c>
      <c r="AS5930" s="1">
        <v>29270</v>
      </c>
      <c r="AT5930" s="1">
        <v>5850</v>
      </c>
      <c r="AU5930" s="1">
        <v>23420</v>
      </c>
      <c r="AV5930">
        <v>80.010000000000005</v>
      </c>
      <c r="AX5930" s="1">
        <v>2200.2600000000002</v>
      </c>
      <c r="AY5930" t="s">
        <v>7213</v>
      </c>
      <c r="AZ5930" t="s">
        <v>571</v>
      </c>
      <c r="BA5930" t="s">
        <v>521</v>
      </c>
      <c r="BE5930" s="3">
        <v>41845</v>
      </c>
      <c r="BF5930" s="1">
        <v>270000</v>
      </c>
      <c r="BG5930" t="s">
        <v>36201</v>
      </c>
      <c r="BH5930" s="1">
        <v>112.83</v>
      </c>
      <c r="BI5930" s="1">
        <v>275805</v>
      </c>
      <c r="BJ5930" s="3">
        <v>41845</v>
      </c>
      <c r="BK5930" t="s">
        <v>123</v>
      </c>
      <c r="BL5930" t="str">
        <f>"2014.488865"</f>
        <v>2014.488865</v>
      </c>
      <c r="BM5930" t="s">
        <v>25006</v>
      </c>
      <c r="BO5930" t="s">
        <v>36202</v>
      </c>
      <c r="BP5930" t="s">
        <v>36203</v>
      </c>
      <c r="BS5930">
        <v>30</v>
      </c>
      <c r="BW5930" t="str">
        <f>""</f>
        <v/>
      </c>
      <c r="CH5930" t="str">
        <f>""</f>
        <v/>
      </c>
      <c r="CS5930" t="str">
        <f>""</f>
        <v/>
      </c>
    </row>
    <row r="5931" spans="1:97" x14ac:dyDescent="0.25">
      <c r="A5931" t="s">
        <v>36204</v>
      </c>
      <c r="B5931" t="s">
        <v>4874</v>
      </c>
      <c r="C5931" t="s">
        <v>1335</v>
      </c>
      <c r="D5931" t="s">
        <v>4874</v>
      </c>
      <c r="E5931" t="s">
        <v>36205</v>
      </c>
      <c r="F5931" t="s">
        <v>139</v>
      </c>
      <c r="H5931" t="s">
        <v>36206</v>
      </c>
      <c r="I5931" t="s">
        <v>632</v>
      </c>
      <c r="J5931" t="s">
        <v>111</v>
      </c>
      <c r="K5931" t="str">
        <f>"85374"</f>
        <v>85374</v>
      </c>
      <c r="L5931" t="s">
        <v>5910</v>
      </c>
      <c r="M5931" t="s">
        <v>36207</v>
      </c>
      <c r="N5931" t="s">
        <v>632</v>
      </c>
      <c r="O5931" t="s">
        <v>111</v>
      </c>
      <c r="P5931" t="str">
        <f>"85374"</f>
        <v>85374</v>
      </c>
      <c r="Q5931" t="s">
        <v>113</v>
      </c>
      <c r="R5931" t="str">
        <f>"232-40-854"</f>
        <v>232-40-854</v>
      </c>
      <c r="S5931" t="s">
        <v>36208</v>
      </c>
      <c r="T5931" t="s">
        <v>36208</v>
      </c>
      <c r="U5931">
        <v>2732</v>
      </c>
      <c r="V5931">
        <v>0</v>
      </c>
      <c r="W5931">
        <v>4</v>
      </c>
      <c r="X5931">
        <v>2000</v>
      </c>
      <c r="Z5931">
        <v>1</v>
      </c>
      <c r="AB5931">
        <v>0</v>
      </c>
      <c r="AC5931" t="s">
        <v>115</v>
      </c>
      <c r="AD5931">
        <v>3</v>
      </c>
      <c r="AE5931" t="s">
        <v>115</v>
      </c>
      <c r="AF5931">
        <v>0</v>
      </c>
      <c r="AG5931">
        <v>0</v>
      </c>
      <c r="AH5931" t="s">
        <v>116</v>
      </c>
      <c r="AI5931" s="1">
        <v>264132</v>
      </c>
      <c r="AJ5931" s="2">
        <v>0.55000000000000004</v>
      </c>
      <c r="AK5931" s="1">
        <v>476250</v>
      </c>
      <c r="AL5931" t="s">
        <v>117</v>
      </c>
      <c r="AM5931" t="s">
        <v>118</v>
      </c>
      <c r="AN5931">
        <v>15351</v>
      </c>
      <c r="AO5931">
        <v>0.35</v>
      </c>
      <c r="AP5931">
        <v>1</v>
      </c>
      <c r="AR5931">
        <v>1</v>
      </c>
      <c r="AS5931" s="1">
        <v>32520</v>
      </c>
      <c r="AT5931" s="1">
        <v>6500</v>
      </c>
      <c r="AU5931" s="1">
        <v>26020</v>
      </c>
      <c r="AV5931">
        <v>80.010000000000005</v>
      </c>
      <c r="AX5931" s="1">
        <v>3380.18</v>
      </c>
      <c r="AY5931" t="s">
        <v>5108</v>
      </c>
      <c r="AZ5931" t="s">
        <v>5108</v>
      </c>
      <c r="BA5931" t="s">
        <v>5109</v>
      </c>
      <c r="BE5931" s="3">
        <v>42277</v>
      </c>
      <c r="BF5931" s="1">
        <v>379500</v>
      </c>
      <c r="BG5931" t="s">
        <v>36209</v>
      </c>
      <c r="BH5931" s="1">
        <v>138.91</v>
      </c>
      <c r="BI5931" s="1">
        <v>212118</v>
      </c>
      <c r="BJ5931" s="3">
        <v>42277</v>
      </c>
      <c r="BK5931" t="s">
        <v>123</v>
      </c>
      <c r="BL5931" t="str">
        <f>"2015.704413"</f>
        <v>2015.704413</v>
      </c>
      <c r="BM5931" t="s">
        <v>6517</v>
      </c>
      <c r="BO5931" t="s">
        <v>36210</v>
      </c>
      <c r="BS5931">
        <v>30</v>
      </c>
      <c r="BW5931" t="str">
        <f>""</f>
        <v/>
      </c>
      <c r="CH5931" t="str">
        <f>""</f>
        <v/>
      </c>
      <c r="CS5931" t="str">
        <f>""</f>
        <v/>
      </c>
    </row>
    <row r="5932" spans="1:97" x14ac:dyDescent="0.25">
      <c r="A5932" t="s">
        <v>701</v>
      </c>
      <c r="B5932" t="s">
        <v>36211</v>
      </c>
      <c r="C5932" t="s">
        <v>1496</v>
      </c>
      <c r="D5932" t="s">
        <v>36211</v>
      </c>
      <c r="E5932" t="s">
        <v>36212</v>
      </c>
      <c r="F5932" t="s">
        <v>108</v>
      </c>
      <c r="H5932" t="s">
        <v>36213</v>
      </c>
      <c r="I5932" t="s">
        <v>203</v>
      </c>
      <c r="J5932" t="s">
        <v>111</v>
      </c>
      <c r="K5932" t="str">
        <f>"85295"</f>
        <v>85295</v>
      </c>
      <c r="L5932" t="s">
        <v>417</v>
      </c>
      <c r="M5932" t="s">
        <v>36213</v>
      </c>
      <c r="N5932" t="s">
        <v>203</v>
      </c>
      <c r="O5932" t="s">
        <v>111</v>
      </c>
      <c r="P5932" t="str">
        <f>"85295-9121"</f>
        <v>85295-9121</v>
      </c>
      <c r="Q5932" t="s">
        <v>113</v>
      </c>
      <c r="R5932" t="str">
        <f>"304-40-263"</f>
        <v>304-40-263</v>
      </c>
      <c r="S5932" t="s">
        <v>29654</v>
      </c>
      <c r="U5932">
        <v>4015</v>
      </c>
      <c r="V5932">
        <v>0</v>
      </c>
      <c r="W5932">
        <v>4</v>
      </c>
      <c r="X5932">
        <v>2000</v>
      </c>
      <c r="Z5932">
        <v>2</v>
      </c>
      <c r="AA5932" t="s">
        <v>26</v>
      </c>
      <c r="AB5932">
        <v>0</v>
      </c>
      <c r="AC5932" t="s">
        <v>115</v>
      </c>
      <c r="AD5932">
        <v>3</v>
      </c>
      <c r="AE5932" t="s">
        <v>115</v>
      </c>
      <c r="AF5932">
        <v>0</v>
      </c>
      <c r="AG5932">
        <v>0</v>
      </c>
      <c r="AH5932" t="s">
        <v>116</v>
      </c>
      <c r="AI5932" s="1">
        <v>139386</v>
      </c>
      <c r="AJ5932" s="2">
        <v>0.27</v>
      </c>
      <c r="AK5932" s="1">
        <v>517215</v>
      </c>
      <c r="AL5932" t="s">
        <v>117</v>
      </c>
      <c r="AM5932" t="s">
        <v>1302</v>
      </c>
      <c r="AN5932">
        <v>12180</v>
      </c>
      <c r="AO5932">
        <v>0.28000000000000003</v>
      </c>
      <c r="AP5932">
        <v>1</v>
      </c>
      <c r="AR5932">
        <v>1</v>
      </c>
      <c r="AS5932" s="1">
        <v>35300</v>
      </c>
      <c r="AT5932" s="1">
        <v>7060</v>
      </c>
      <c r="AU5932" s="1">
        <v>28240</v>
      </c>
      <c r="AV5932">
        <v>80</v>
      </c>
      <c r="AX5932" s="1">
        <v>3150.08</v>
      </c>
      <c r="AY5932" t="s">
        <v>5087</v>
      </c>
      <c r="AZ5932" t="s">
        <v>5087</v>
      </c>
      <c r="BA5932" t="s">
        <v>473</v>
      </c>
      <c r="BE5932" s="3">
        <v>42166</v>
      </c>
      <c r="BF5932" s="1">
        <v>414000</v>
      </c>
      <c r="BG5932" t="s">
        <v>36214</v>
      </c>
      <c r="BH5932" s="1">
        <v>103.11</v>
      </c>
      <c r="BI5932" s="1">
        <v>377829</v>
      </c>
      <c r="BJ5932" s="3">
        <v>42692</v>
      </c>
      <c r="BK5932" t="s">
        <v>123</v>
      </c>
      <c r="BL5932" t="str">
        <f>"2016.851339"</f>
        <v>2016.851339</v>
      </c>
      <c r="BM5932" t="s">
        <v>425</v>
      </c>
      <c r="BO5932" t="s">
        <v>36215</v>
      </c>
      <c r="BS5932">
        <v>30</v>
      </c>
      <c r="BW5932" t="str">
        <f>""</f>
        <v/>
      </c>
      <c r="CH5932" t="str">
        <f>""</f>
        <v/>
      </c>
      <c r="CS5932" t="str">
        <f>""</f>
        <v/>
      </c>
    </row>
    <row r="5933" spans="1:97" x14ac:dyDescent="0.25">
      <c r="A5933" t="s">
        <v>305</v>
      </c>
      <c r="B5933" t="s">
        <v>36216</v>
      </c>
      <c r="E5933" t="s">
        <v>36217</v>
      </c>
      <c r="F5933" t="s">
        <v>108</v>
      </c>
      <c r="H5933" t="s">
        <v>36218</v>
      </c>
      <c r="I5933" t="s">
        <v>203</v>
      </c>
      <c r="J5933" t="s">
        <v>111</v>
      </c>
      <c r="K5933" t="str">
        <f>"85298"</f>
        <v>85298</v>
      </c>
      <c r="L5933" t="s">
        <v>734</v>
      </c>
      <c r="M5933" t="s">
        <v>36218</v>
      </c>
      <c r="N5933" t="s">
        <v>203</v>
      </c>
      <c r="O5933" t="s">
        <v>111</v>
      </c>
      <c r="P5933" t="str">
        <f>"85298-6808"</f>
        <v>85298-6808</v>
      </c>
      <c r="Q5933" t="s">
        <v>113</v>
      </c>
      <c r="R5933" t="str">
        <f>"304-72-222"</f>
        <v>304-72-222</v>
      </c>
      <c r="S5933" t="s">
        <v>9237</v>
      </c>
      <c r="T5933" t="s">
        <v>9237</v>
      </c>
      <c r="U5933">
        <v>2096</v>
      </c>
      <c r="V5933">
        <v>0</v>
      </c>
      <c r="W5933">
        <v>3</v>
      </c>
      <c r="X5933">
        <v>2006</v>
      </c>
      <c r="Z5933">
        <v>1</v>
      </c>
      <c r="AA5933" t="s">
        <v>26</v>
      </c>
      <c r="AB5933">
        <v>0</v>
      </c>
      <c r="AC5933" t="s">
        <v>115</v>
      </c>
      <c r="AD5933">
        <v>2</v>
      </c>
      <c r="AE5933" t="s">
        <v>115</v>
      </c>
      <c r="AF5933">
        <v>0</v>
      </c>
      <c r="AG5933">
        <v>0</v>
      </c>
      <c r="AH5933" t="s">
        <v>116</v>
      </c>
      <c r="AI5933" s="1">
        <v>70035</v>
      </c>
      <c r="AJ5933" s="2">
        <v>0.19</v>
      </c>
      <c r="AK5933" s="1">
        <v>375735</v>
      </c>
      <c r="AL5933" t="s">
        <v>117</v>
      </c>
      <c r="AM5933" t="s">
        <v>393</v>
      </c>
      <c r="AN5933">
        <v>7975</v>
      </c>
      <c r="AO5933">
        <v>0.18</v>
      </c>
      <c r="AR5933">
        <v>1</v>
      </c>
      <c r="AS5933" s="1">
        <v>27130</v>
      </c>
      <c r="AT5933" s="1">
        <v>5420</v>
      </c>
      <c r="AU5933" s="1">
        <v>21710</v>
      </c>
      <c r="AV5933">
        <v>80.02</v>
      </c>
      <c r="AX5933" s="1">
        <v>2173.58</v>
      </c>
      <c r="AY5933" t="s">
        <v>302</v>
      </c>
      <c r="AZ5933" t="s">
        <v>273</v>
      </c>
      <c r="BA5933" t="s">
        <v>303</v>
      </c>
      <c r="BE5933" s="3">
        <v>41775</v>
      </c>
      <c r="BF5933" s="1">
        <v>291000</v>
      </c>
      <c r="BG5933" t="s">
        <v>36219</v>
      </c>
      <c r="BH5933" s="1">
        <v>138.84</v>
      </c>
      <c r="BI5933" s="1">
        <v>305700</v>
      </c>
      <c r="BJ5933" s="3">
        <v>42443</v>
      </c>
      <c r="BK5933" t="s">
        <v>123</v>
      </c>
      <c r="BL5933" t="str">
        <f>"2016.162021"</f>
        <v>2016.162021</v>
      </c>
      <c r="BM5933" t="s">
        <v>1122</v>
      </c>
      <c r="BO5933" t="s">
        <v>36220</v>
      </c>
      <c r="BS5933">
        <v>30</v>
      </c>
      <c r="BW5933" t="str">
        <f>""</f>
        <v/>
      </c>
      <c r="CH5933" t="str">
        <f>""</f>
        <v/>
      </c>
      <c r="CS5933" t="str">
        <f>""</f>
        <v/>
      </c>
    </row>
    <row r="5934" spans="1:97" x14ac:dyDescent="0.25">
      <c r="A5934" t="s">
        <v>325</v>
      </c>
      <c r="B5934" t="s">
        <v>36221</v>
      </c>
      <c r="E5934" t="s">
        <v>36222</v>
      </c>
      <c r="F5934" t="s">
        <v>108</v>
      </c>
      <c r="H5934" t="s">
        <v>36223</v>
      </c>
      <c r="I5934" t="s">
        <v>390</v>
      </c>
      <c r="J5934" t="s">
        <v>111</v>
      </c>
      <c r="K5934" t="str">
        <f>"85050"</f>
        <v>85050</v>
      </c>
      <c r="L5934" t="s">
        <v>6964</v>
      </c>
      <c r="M5934" t="s">
        <v>36223</v>
      </c>
      <c r="N5934" t="s">
        <v>390</v>
      </c>
      <c r="O5934" t="s">
        <v>111</v>
      </c>
      <c r="P5934" t="str">
        <f>"85050-3235"</f>
        <v>85050-3235</v>
      </c>
      <c r="Q5934" t="s">
        <v>113</v>
      </c>
      <c r="R5934" t="str">
        <f>"213-15-092"</f>
        <v>213-15-092</v>
      </c>
      <c r="S5934" t="s">
        <v>36224</v>
      </c>
      <c r="T5934" t="s">
        <v>36225</v>
      </c>
      <c r="U5934">
        <v>1971</v>
      </c>
      <c r="V5934">
        <v>0</v>
      </c>
      <c r="W5934">
        <v>3</v>
      </c>
      <c r="X5934">
        <v>1991</v>
      </c>
      <c r="Z5934">
        <v>1</v>
      </c>
      <c r="AA5934" t="s">
        <v>26</v>
      </c>
      <c r="AB5934">
        <v>0</v>
      </c>
      <c r="AC5934" t="s">
        <v>115</v>
      </c>
      <c r="AD5934">
        <v>2</v>
      </c>
      <c r="AE5934" t="s">
        <v>115</v>
      </c>
      <c r="AF5934">
        <v>0</v>
      </c>
      <c r="AG5934">
        <v>0</v>
      </c>
      <c r="AH5934" t="s">
        <v>116</v>
      </c>
      <c r="AI5934" s="1">
        <v>28609</v>
      </c>
      <c r="AJ5934" s="2">
        <v>0.08</v>
      </c>
      <c r="AK5934" s="1">
        <v>374809</v>
      </c>
      <c r="AL5934" t="s">
        <v>117</v>
      </c>
      <c r="AM5934" t="s">
        <v>191</v>
      </c>
      <c r="AN5934">
        <v>7308</v>
      </c>
      <c r="AO5934">
        <v>0.17</v>
      </c>
      <c r="AP5934">
        <v>1</v>
      </c>
      <c r="AR5934">
        <v>1</v>
      </c>
      <c r="AS5934" s="1">
        <v>27650</v>
      </c>
      <c r="AT5934" s="1">
        <v>5530</v>
      </c>
      <c r="AU5934" s="1">
        <v>22120</v>
      </c>
      <c r="AV5934">
        <v>80</v>
      </c>
      <c r="AX5934" s="1">
        <v>2380.62</v>
      </c>
      <c r="AY5934" t="s">
        <v>8037</v>
      </c>
      <c r="AZ5934" t="s">
        <v>2550</v>
      </c>
      <c r="BA5934" t="s">
        <v>1318</v>
      </c>
      <c r="BE5934" s="3">
        <v>41691</v>
      </c>
      <c r="BF5934" s="1">
        <v>290000</v>
      </c>
      <c r="BG5934" t="s">
        <v>36226</v>
      </c>
      <c r="BH5934" s="1">
        <v>147.13</v>
      </c>
      <c r="BI5934" s="1">
        <v>296200</v>
      </c>
      <c r="BJ5934" s="3">
        <v>41691</v>
      </c>
      <c r="BK5934" t="s">
        <v>123</v>
      </c>
      <c r="BL5934" t="str">
        <f>"2014.115044"</f>
        <v>2014.115044</v>
      </c>
      <c r="BM5934" t="s">
        <v>124</v>
      </c>
      <c r="BN5934" t="s">
        <v>1575</v>
      </c>
      <c r="BO5934" t="s">
        <v>36227</v>
      </c>
      <c r="BS5934">
        <v>30</v>
      </c>
      <c r="BT5934" s="1">
        <v>50000</v>
      </c>
      <c r="BU5934" s="3">
        <v>43322</v>
      </c>
      <c r="BW5934" t="str">
        <f>"2018.608032"</f>
        <v>2018.608032</v>
      </c>
      <c r="BX5934" t="s">
        <v>3538</v>
      </c>
      <c r="BY5934" t="s">
        <v>3539</v>
      </c>
      <c r="BZ5934" t="s">
        <v>36222</v>
      </c>
      <c r="CC5934" t="s">
        <v>346</v>
      </c>
      <c r="CH5934" t="str">
        <f>""</f>
        <v/>
      </c>
      <c r="CS5934" t="str">
        <f>""</f>
        <v/>
      </c>
    </row>
    <row r="5935" spans="1:97" x14ac:dyDescent="0.25">
      <c r="A5935" t="s">
        <v>2599</v>
      </c>
      <c r="B5935" t="s">
        <v>8182</v>
      </c>
      <c r="C5935" t="s">
        <v>3649</v>
      </c>
      <c r="D5935" t="s">
        <v>8182</v>
      </c>
      <c r="E5935" t="s">
        <v>36228</v>
      </c>
      <c r="F5935" t="s">
        <v>108</v>
      </c>
      <c r="H5935" t="s">
        <v>36229</v>
      </c>
      <c r="I5935" t="s">
        <v>203</v>
      </c>
      <c r="J5935" t="s">
        <v>111</v>
      </c>
      <c r="K5935" t="str">
        <f>"85297"</f>
        <v>85297</v>
      </c>
      <c r="L5935" t="s">
        <v>5021</v>
      </c>
      <c r="M5935" t="s">
        <v>36229</v>
      </c>
      <c r="N5935" t="s">
        <v>203</v>
      </c>
      <c r="O5935" t="s">
        <v>111</v>
      </c>
      <c r="P5935" t="str">
        <f>"85297"</f>
        <v>85297</v>
      </c>
      <c r="Q5935" t="s">
        <v>113</v>
      </c>
      <c r="R5935" t="str">
        <f>"304-58-480"</f>
        <v>304-58-480</v>
      </c>
      <c r="S5935" t="s">
        <v>29304</v>
      </c>
      <c r="T5935" t="s">
        <v>29305</v>
      </c>
      <c r="U5935">
        <v>2408</v>
      </c>
      <c r="V5935">
        <v>0</v>
      </c>
      <c r="W5935">
        <v>4</v>
      </c>
      <c r="X5935">
        <v>2011</v>
      </c>
      <c r="Z5935">
        <v>1</v>
      </c>
      <c r="AB5935">
        <v>0</v>
      </c>
      <c r="AC5935" t="s">
        <v>115</v>
      </c>
      <c r="AD5935">
        <v>3</v>
      </c>
      <c r="AE5935" t="s">
        <v>115</v>
      </c>
      <c r="AF5935">
        <v>0</v>
      </c>
      <c r="AG5935">
        <v>0</v>
      </c>
      <c r="AH5935" t="s">
        <v>116</v>
      </c>
      <c r="AI5935" s="1">
        <v>149997</v>
      </c>
      <c r="AJ5935" s="2">
        <v>0.35</v>
      </c>
      <c r="AK5935" s="1">
        <v>423597</v>
      </c>
      <c r="AL5935" t="s">
        <v>117</v>
      </c>
      <c r="AM5935" t="s">
        <v>393</v>
      </c>
      <c r="AN5935">
        <v>7800</v>
      </c>
      <c r="AO5935">
        <v>0.18</v>
      </c>
      <c r="AR5935">
        <v>1</v>
      </c>
      <c r="AS5935" s="1">
        <v>29930</v>
      </c>
      <c r="AT5935" s="1">
        <v>5980</v>
      </c>
      <c r="AU5935" s="1">
        <v>23950</v>
      </c>
      <c r="AV5935">
        <v>80.02</v>
      </c>
      <c r="AX5935" s="1">
        <v>2635.26</v>
      </c>
      <c r="AY5935" t="s">
        <v>302</v>
      </c>
      <c r="AZ5935" t="s">
        <v>273</v>
      </c>
      <c r="BA5935" t="s">
        <v>303</v>
      </c>
      <c r="BE5935" s="3">
        <v>41793</v>
      </c>
      <c r="BF5935" s="1">
        <v>342000</v>
      </c>
      <c r="BG5935" t="s">
        <v>36230</v>
      </c>
      <c r="BH5935" s="1">
        <v>142.03</v>
      </c>
      <c r="BI5935" s="1">
        <v>273600</v>
      </c>
      <c r="BJ5935" s="3">
        <v>41793</v>
      </c>
      <c r="BK5935" t="s">
        <v>123</v>
      </c>
      <c r="BL5935" t="str">
        <f>"2014.362411"</f>
        <v>2014.362411</v>
      </c>
      <c r="BM5935" t="s">
        <v>2472</v>
      </c>
      <c r="BO5935" t="s">
        <v>36231</v>
      </c>
      <c r="BS5935">
        <v>30</v>
      </c>
      <c r="BW5935" t="str">
        <f>""</f>
        <v/>
      </c>
      <c r="CH5935" t="str">
        <f>""</f>
        <v/>
      </c>
      <c r="CS5935" t="str">
        <f>""</f>
        <v/>
      </c>
    </row>
    <row r="5936" spans="1:97" x14ac:dyDescent="0.25">
      <c r="A5936" t="s">
        <v>464</v>
      </c>
      <c r="B5936" t="s">
        <v>565</v>
      </c>
      <c r="C5936" t="s">
        <v>1995</v>
      </c>
      <c r="D5936" t="s">
        <v>565</v>
      </c>
      <c r="E5936" t="s">
        <v>36232</v>
      </c>
      <c r="F5936" t="s">
        <v>108</v>
      </c>
      <c r="H5936" t="s">
        <v>36233</v>
      </c>
      <c r="I5936" t="s">
        <v>110</v>
      </c>
      <c r="J5936" t="s">
        <v>111</v>
      </c>
      <c r="K5936" t="str">
        <f>"85286"</f>
        <v>85286</v>
      </c>
      <c r="L5936" t="s">
        <v>7109</v>
      </c>
      <c r="M5936" t="s">
        <v>36233</v>
      </c>
      <c r="N5936" t="s">
        <v>110</v>
      </c>
      <c r="O5936" t="s">
        <v>111</v>
      </c>
      <c r="P5936" t="str">
        <f>"85286-2672"</f>
        <v>85286-2672</v>
      </c>
      <c r="Q5936" t="s">
        <v>113</v>
      </c>
      <c r="R5936" t="str">
        <f>"303-42-833"</f>
        <v>303-42-833</v>
      </c>
      <c r="S5936" t="s">
        <v>14557</v>
      </c>
      <c r="T5936" t="s">
        <v>14557</v>
      </c>
      <c r="U5936">
        <v>2073</v>
      </c>
      <c r="V5936">
        <v>0</v>
      </c>
      <c r="W5936">
        <v>3</v>
      </c>
      <c r="X5936">
        <v>2003</v>
      </c>
      <c r="Z5936">
        <v>1</v>
      </c>
      <c r="AB5936">
        <v>0</v>
      </c>
      <c r="AC5936" t="s">
        <v>115</v>
      </c>
      <c r="AD5936">
        <v>3</v>
      </c>
      <c r="AE5936" t="s">
        <v>115</v>
      </c>
      <c r="AF5936">
        <v>0</v>
      </c>
      <c r="AG5936">
        <v>0</v>
      </c>
      <c r="AH5936" t="s">
        <v>116</v>
      </c>
      <c r="AI5936" s="1">
        <v>90832</v>
      </c>
      <c r="AJ5936" s="2">
        <v>0.24</v>
      </c>
      <c r="AK5936" s="1">
        <v>379058</v>
      </c>
      <c r="AL5936" t="s">
        <v>117</v>
      </c>
      <c r="AM5936" t="s">
        <v>118</v>
      </c>
      <c r="AN5936">
        <v>7150</v>
      </c>
      <c r="AO5936">
        <v>0.16</v>
      </c>
      <c r="AP5936">
        <v>1</v>
      </c>
      <c r="AR5936">
        <v>1</v>
      </c>
      <c r="AS5936" s="1">
        <v>26160</v>
      </c>
      <c r="AT5936" s="1">
        <v>5230</v>
      </c>
      <c r="AU5936" s="1">
        <v>20930</v>
      </c>
      <c r="AV5936">
        <v>80.010000000000005</v>
      </c>
      <c r="AX5936" s="1">
        <v>2282.14</v>
      </c>
      <c r="AY5936" t="s">
        <v>9063</v>
      </c>
      <c r="AZ5936" t="s">
        <v>120</v>
      </c>
      <c r="BA5936" t="s">
        <v>303</v>
      </c>
      <c r="BE5936" s="3">
        <v>42199</v>
      </c>
      <c r="BF5936" s="1">
        <v>319900</v>
      </c>
      <c r="BG5936" t="s">
        <v>36234</v>
      </c>
      <c r="BH5936" s="1">
        <v>154.32</v>
      </c>
      <c r="BI5936" s="1">
        <v>288226</v>
      </c>
      <c r="BJ5936" s="3">
        <v>42657</v>
      </c>
      <c r="BK5936" t="s">
        <v>123</v>
      </c>
      <c r="BL5936" t="str">
        <f>"2016.754068"</f>
        <v>2016.754068</v>
      </c>
      <c r="BM5936" t="s">
        <v>1185</v>
      </c>
      <c r="BO5936" t="s">
        <v>36235</v>
      </c>
      <c r="BS5936">
        <v>30</v>
      </c>
      <c r="BW5936" t="str">
        <f>""</f>
        <v/>
      </c>
      <c r="CH5936" t="str">
        <f>""</f>
        <v/>
      </c>
      <c r="CS5936" t="str">
        <f>""</f>
        <v/>
      </c>
    </row>
    <row r="5937" spans="1:97" x14ac:dyDescent="0.25">
      <c r="A5937" t="s">
        <v>1009</v>
      </c>
      <c r="B5937" t="s">
        <v>4527</v>
      </c>
      <c r="C5937" t="s">
        <v>1496</v>
      </c>
      <c r="D5937" t="s">
        <v>4527</v>
      </c>
      <c r="E5937" t="s">
        <v>36236</v>
      </c>
      <c r="F5937" t="s">
        <v>108</v>
      </c>
      <c r="H5937" t="s">
        <v>36237</v>
      </c>
      <c r="I5937" t="s">
        <v>110</v>
      </c>
      <c r="J5937" t="s">
        <v>111</v>
      </c>
      <c r="K5937" t="str">
        <f>"85249"</f>
        <v>85249</v>
      </c>
      <c r="L5937" t="s">
        <v>12877</v>
      </c>
      <c r="M5937" t="s">
        <v>36237</v>
      </c>
      <c r="N5937" t="s">
        <v>110</v>
      </c>
      <c r="O5937" t="s">
        <v>111</v>
      </c>
      <c r="P5937" t="str">
        <f>"85249-9079"</f>
        <v>85249-9079</v>
      </c>
      <c r="Q5937" t="s">
        <v>113</v>
      </c>
      <c r="R5937" t="str">
        <f>"313-08-066"</f>
        <v>313-08-066</v>
      </c>
      <c r="S5937" t="s">
        <v>36238</v>
      </c>
      <c r="U5937">
        <v>1344</v>
      </c>
      <c r="V5937">
        <v>0</v>
      </c>
      <c r="W5937">
        <v>3</v>
      </c>
      <c r="X5937">
        <v>2003</v>
      </c>
      <c r="Z5937">
        <v>1</v>
      </c>
      <c r="AB5937">
        <v>0</v>
      </c>
      <c r="AC5937" t="s">
        <v>115</v>
      </c>
      <c r="AD5937">
        <v>2</v>
      </c>
      <c r="AE5937" t="s">
        <v>115</v>
      </c>
      <c r="AF5937">
        <v>0</v>
      </c>
      <c r="AG5937">
        <v>0</v>
      </c>
      <c r="AH5937" t="s">
        <v>116</v>
      </c>
      <c r="AI5937" s="1">
        <v>63344</v>
      </c>
      <c r="AJ5937" s="2">
        <v>0.23</v>
      </c>
      <c r="AK5937" s="1">
        <v>280274</v>
      </c>
      <c r="AL5937" t="s">
        <v>117</v>
      </c>
      <c r="AM5937" t="s">
        <v>118</v>
      </c>
      <c r="AN5937">
        <v>4351</v>
      </c>
      <c r="AO5937">
        <v>0.1</v>
      </c>
      <c r="AP5937">
        <v>1</v>
      </c>
      <c r="AR5937">
        <v>1</v>
      </c>
      <c r="AS5937" s="1">
        <v>19120</v>
      </c>
      <c r="AT5937" s="1">
        <v>3820</v>
      </c>
      <c r="AU5937" s="1">
        <v>15300</v>
      </c>
      <c r="AV5937">
        <v>80.02</v>
      </c>
      <c r="AX5937" s="1">
        <v>1834.78</v>
      </c>
      <c r="AY5937" t="s">
        <v>6269</v>
      </c>
      <c r="AZ5937" t="s">
        <v>273</v>
      </c>
      <c r="BA5937" t="s">
        <v>274</v>
      </c>
      <c r="BE5937" s="3">
        <v>41851</v>
      </c>
      <c r="BF5937" s="1">
        <v>210000</v>
      </c>
      <c r="BG5937" t="s">
        <v>36239</v>
      </c>
      <c r="BH5937" s="1">
        <v>156.25</v>
      </c>
      <c r="BI5937" s="1">
        <v>216930</v>
      </c>
      <c r="BJ5937" s="3">
        <v>41851</v>
      </c>
      <c r="BK5937" t="s">
        <v>123</v>
      </c>
      <c r="BL5937" t="str">
        <f>"2014.502212"</f>
        <v>2014.502212</v>
      </c>
      <c r="BM5937" t="s">
        <v>1044</v>
      </c>
      <c r="BO5937" t="s">
        <v>36240</v>
      </c>
      <c r="BS5937">
        <v>30</v>
      </c>
      <c r="BW5937" t="str">
        <f>""</f>
        <v/>
      </c>
      <c r="CH5937" t="str">
        <f>""</f>
        <v/>
      </c>
      <c r="CS5937" t="str">
        <f>""</f>
        <v/>
      </c>
    </row>
    <row r="5938" spans="1:97" x14ac:dyDescent="0.25">
      <c r="A5938" t="s">
        <v>4174</v>
      </c>
      <c r="B5938" t="s">
        <v>1577</v>
      </c>
      <c r="C5938" t="s">
        <v>36241</v>
      </c>
      <c r="D5938" t="s">
        <v>1577</v>
      </c>
      <c r="E5938" t="s">
        <v>36242</v>
      </c>
      <c r="F5938" t="s">
        <v>108</v>
      </c>
      <c r="H5938" t="s">
        <v>36243</v>
      </c>
      <c r="I5938" t="s">
        <v>225</v>
      </c>
      <c r="J5938" t="s">
        <v>111</v>
      </c>
      <c r="K5938" t="str">
        <f>"85209"</f>
        <v>85209</v>
      </c>
      <c r="L5938" t="s">
        <v>6316</v>
      </c>
      <c r="M5938" t="s">
        <v>36243</v>
      </c>
      <c r="N5938" t="s">
        <v>225</v>
      </c>
      <c r="O5938" t="s">
        <v>111</v>
      </c>
      <c r="P5938" t="str">
        <f>"85209-2599"</f>
        <v>85209-2599</v>
      </c>
      <c r="Q5938" t="s">
        <v>113</v>
      </c>
      <c r="R5938" t="str">
        <f>"312-04-518"</f>
        <v>312-04-518</v>
      </c>
      <c r="S5938" t="s">
        <v>28555</v>
      </c>
      <c r="U5938">
        <v>3050</v>
      </c>
      <c r="V5938">
        <v>0</v>
      </c>
      <c r="W5938">
        <v>4</v>
      </c>
      <c r="X5938">
        <v>2002</v>
      </c>
      <c r="Z5938">
        <v>1</v>
      </c>
      <c r="AA5938" t="s">
        <v>26</v>
      </c>
      <c r="AB5938">
        <v>0</v>
      </c>
      <c r="AC5938" t="s">
        <v>115</v>
      </c>
      <c r="AD5938">
        <v>3</v>
      </c>
      <c r="AE5938" t="s">
        <v>115</v>
      </c>
      <c r="AF5938">
        <v>0</v>
      </c>
      <c r="AG5938">
        <v>0</v>
      </c>
      <c r="AH5938" t="s">
        <v>116</v>
      </c>
      <c r="AI5938" s="1">
        <v>36517</v>
      </c>
      <c r="AJ5938" s="2">
        <v>0.09</v>
      </c>
      <c r="AK5938" s="1">
        <v>419838</v>
      </c>
      <c r="AL5938" t="s">
        <v>117</v>
      </c>
      <c r="AM5938" t="s">
        <v>917</v>
      </c>
      <c r="AN5938">
        <v>11215</v>
      </c>
      <c r="AO5938">
        <v>0.26</v>
      </c>
      <c r="AP5938">
        <v>1</v>
      </c>
      <c r="AR5938">
        <v>1</v>
      </c>
      <c r="AS5938" s="1">
        <v>32920</v>
      </c>
      <c r="AT5938" s="1">
        <v>6580</v>
      </c>
      <c r="AU5938" s="1">
        <v>26340</v>
      </c>
      <c r="AV5938">
        <v>80.010000000000005</v>
      </c>
      <c r="AX5938" s="1">
        <v>2593.16</v>
      </c>
      <c r="AY5938" t="s">
        <v>4370</v>
      </c>
      <c r="AZ5938" t="s">
        <v>777</v>
      </c>
      <c r="BA5938" t="s">
        <v>572</v>
      </c>
      <c r="BE5938" s="3">
        <v>41894</v>
      </c>
      <c r="BF5938" s="1">
        <v>325000</v>
      </c>
      <c r="BG5938" t="s">
        <v>36244</v>
      </c>
      <c r="BH5938" s="1">
        <v>106.56</v>
      </c>
      <c r="BI5938" s="1">
        <v>353321</v>
      </c>
      <c r="BJ5938" s="3">
        <v>43035</v>
      </c>
      <c r="BK5938" t="s">
        <v>123</v>
      </c>
      <c r="BL5938" t="str">
        <f>"2017.798191"</f>
        <v>2017.798191</v>
      </c>
      <c r="BM5938" t="s">
        <v>135</v>
      </c>
      <c r="BN5938">
        <v>22180</v>
      </c>
      <c r="BO5938" t="s">
        <v>36245</v>
      </c>
      <c r="BS5938">
        <v>30</v>
      </c>
      <c r="BT5938" s="1">
        <v>30000</v>
      </c>
      <c r="BU5938" s="3">
        <v>43553</v>
      </c>
      <c r="BV5938" t="s">
        <v>134</v>
      </c>
      <c r="BW5938" t="str">
        <f>"2019.219185"</f>
        <v>2019.219185</v>
      </c>
      <c r="BX5938" t="s">
        <v>135</v>
      </c>
      <c r="BY5938" t="s">
        <v>136</v>
      </c>
      <c r="BZ5938" t="s">
        <v>36246</v>
      </c>
      <c r="CA5938" t="s">
        <v>36247</v>
      </c>
      <c r="CC5938" t="s">
        <v>139</v>
      </c>
      <c r="CH5938" t="str">
        <f>""</f>
        <v/>
      </c>
      <c r="CS5938" t="str">
        <f>""</f>
        <v/>
      </c>
    </row>
    <row r="5939" spans="1:97" x14ac:dyDescent="0.25">
      <c r="A5939" t="s">
        <v>15442</v>
      </c>
      <c r="B5939" t="s">
        <v>5013</v>
      </c>
      <c r="C5939" t="s">
        <v>179</v>
      </c>
      <c r="D5939" t="s">
        <v>5013</v>
      </c>
      <c r="E5939" t="s">
        <v>36248</v>
      </c>
      <c r="F5939" t="s">
        <v>108</v>
      </c>
      <c r="H5939" t="s">
        <v>36249</v>
      </c>
      <c r="I5939" t="s">
        <v>499</v>
      </c>
      <c r="J5939" t="s">
        <v>111</v>
      </c>
      <c r="K5939" t="str">
        <f>"85338"</f>
        <v>85338</v>
      </c>
      <c r="L5939" t="s">
        <v>7339</v>
      </c>
      <c r="M5939" t="s">
        <v>36249</v>
      </c>
      <c r="N5939" t="s">
        <v>499</v>
      </c>
      <c r="O5939" t="s">
        <v>111</v>
      </c>
      <c r="P5939" t="str">
        <f>"85338-7648"</f>
        <v>85338-7648</v>
      </c>
      <c r="Q5939" t="s">
        <v>113</v>
      </c>
      <c r="R5939" t="str">
        <f>"400-82-200"</f>
        <v>400-82-200</v>
      </c>
      <c r="S5939" t="s">
        <v>20418</v>
      </c>
      <c r="T5939" t="s">
        <v>17252</v>
      </c>
      <c r="U5939">
        <v>2073</v>
      </c>
      <c r="V5939">
        <v>0</v>
      </c>
      <c r="W5939">
        <v>3</v>
      </c>
      <c r="X5939">
        <v>2008</v>
      </c>
      <c r="Z5939">
        <v>1</v>
      </c>
      <c r="AB5939">
        <v>0</v>
      </c>
      <c r="AC5939" t="s">
        <v>115</v>
      </c>
      <c r="AD5939">
        <v>3</v>
      </c>
      <c r="AE5939" t="s">
        <v>115</v>
      </c>
      <c r="AF5939">
        <v>0</v>
      </c>
      <c r="AG5939">
        <v>0</v>
      </c>
      <c r="AH5939" t="s">
        <v>116</v>
      </c>
      <c r="AI5939" s="1">
        <v>46046</v>
      </c>
      <c r="AJ5939" s="2">
        <v>0.14000000000000001</v>
      </c>
      <c r="AK5939" s="1">
        <v>339314</v>
      </c>
      <c r="AL5939" t="s">
        <v>117</v>
      </c>
      <c r="AM5939" t="s">
        <v>118</v>
      </c>
      <c r="AN5939">
        <v>8142</v>
      </c>
      <c r="AO5939">
        <v>0.19</v>
      </c>
      <c r="AR5939">
        <v>1</v>
      </c>
      <c r="AS5939" s="1">
        <v>23210</v>
      </c>
      <c r="AT5939" s="1">
        <v>4640</v>
      </c>
      <c r="AU5939" s="1">
        <v>18570</v>
      </c>
      <c r="AV5939">
        <v>80.010000000000005</v>
      </c>
      <c r="AX5939" s="1">
        <v>3271.9</v>
      </c>
      <c r="AY5939" t="s">
        <v>1246</v>
      </c>
      <c r="AZ5939" t="s">
        <v>1246</v>
      </c>
      <c r="BA5939" t="s">
        <v>1247</v>
      </c>
      <c r="BE5939" s="3">
        <v>42494</v>
      </c>
      <c r="BF5939" s="1">
        <v>283900</v>
      </c>
      <c r="BG5939" t="s">
        <v>36250</v>
      </c>
      <c r="BH5939" s="1">
        <v>136.94999999999999</v>
      </c>
      <c r="BI5939" s="1">
        <v>293268</v>
      </c>
      <c r="BJ5939" s="3">
        <v>42494</v>
      </c>
      <c r="BK5939" t="s">
        <v>123</v>
      </c>
      <c r="BL5939" t="str">
        <f>"2016.304958"</f>
        <v>2016.304958</v>
      </c>
      <c r="BM5939" t="s">
        <v>1287</v>
      </c>
      <c r="BO5939" t="s">
        <v>36251</v>
      </c>
      <c r="BS5939">
        <v>30</v>
      </c>
      <c r="BW5939" t="str">
        <f>""</f>
        <v/>
      </c>
      <c r="CH5939" t="str">
        <f>""</f>
        <v/>
      </c>
      <c r="CS5939" t="str">
        <f>""</f>
        <v/>
      </c>
    </row>
    <row r="5940" spans="1:97" x14ac:dyDescent="0.25">
      <c r="A5940" t="s">
        <v>3613</v>
      </c>
      <c r="B5940" t="s">
        <v>348</v>
      </c>
      <c r="C5940" t="s">
        <v>2395</v>
      </c>
      <c r="D5940" t="s">
        <v>348</v>
      </c>
      <c r="E5940" t="s">
        <v>36252</v>
      </c>
      <c r="F5940" t="s">
        <v>108</v>
      </c>
      <c r="H5940" t="s">
        <v>36253</v>
      </c>
      <c r="I5940" t="s">
        <v>225</v>
      </c>
      <c r="J5940" t="s">
        <v>111</v>
      </c>
      <c r="K5940" t="str">
        <f>"85207"</f>
        <v>85207</v>
      </c>
      <c r="L5940" t="s">
        <v>516</v>
      </c>
      <c r="M5940" t="s">
        <v>36253</v>
      </c>
      <c r="N5940" t="s">
        <v>225</v>
      </c>
      <c r="O5940" t="s">
        <v>111</v>
      </c>
      <c r="P5940" t="str">
        <f>"85207"</f>
        <v>85207</v>
      </c>
      <c r="Q5940" t="s">
        <v>113</v>
      </c>
      <c r="R5940" t="str">
        <f>"219-19-508"</f>
        <v>219-19-508</v>
      </c>
      <c r="S5940" t="s">
        <v>17020</v>
      </c>
      <c r="T5940" t="s">
        <v>17021</v>
      </c>
      <c r="U5940">
        <v>2539</v>
      </c>
      <c r="V5940">
        <v>0</v>
      </c>
      <c r="W5940">
        <v>3</v>
      </c>
      <c r="X5940">
        <v>1999</v>
      </c>
      <c r="Z5940">
        <v>1</v>
      </c>
      <c r="AB5940">
        <v>0</v>
      </c>
      <c r="AC5940" t="s">
        <v>115</v>
      </c>
      <c r="AD5940">
        <v>2</v>
      </c>
      <c r="AE5940" t="s">
        <v>115</v>
      </c>
      <c r="AF5940">
        <v>0</v>
      </c>
      <c r="AG5940">
        <v>0</v>
      </c>
      <c r="AH5940" t="s">
        <v>116</v>
      </c>
      <c r="AI5940" s="1">
        <v>58656</v>
      </c>
      <c r="AJ5940" s="2">
        <v>0.15</v>
      </c>
      <c r="AK5940" s="1">
        <v>400464</v>
      </c>
      <c r="AL5940" t="s">
        <v>117</v>
      </c>
      <c r="AM5940" t="s">
        <v>1521</v>
      </c>
      <c r="AN5940">
        <v>10164</v>
      </c>
      <c r="AO5940">
        <v>0.23</v>
      </c>
      <c r="AP5940">
        <v>1</v>
      </c>
      <c r="AR5940">
        <v>1</v>
      </c>
      <c r="AS5940" s="1">
        <v>28780</v>
      </c>
      <c r="AT5940" s="1">
        <v>5750</v>
      </c>
      <c r="AU5940" s="1">
        <v>23030</v>
      </c>
      <c r="AV5940">
        <v>80.02</v>
      </c>
      <c r="AX5940" s="1">
        <v>2908.02</v>
      </c>
      <c r="AY5940" t="s">
        <v>9337</v>
      </c>
      <c r="AZ5940" t="s">
        <v>231</v>
      </c>
      <c r="BA5940" t="s">
        <v>3119</v>
      </c>
      <c r="BB5940" s="3">
        <v>42475</v>
      </c>
      <c r="BD5940" t="s">
        <v>240</v>
      </c>
      <c r="BE5940" s="3">
        <v>42475</v>
      </c>
      <c r="BF5940" s="1">
        <v>304500</v>
      </c>
      <c r="BG5940" t="s">
        <v>36254</v>
      </c>
      <c r="BH5940" s="1">
        <v>119.93</v>
      </c>
      <c r="BI5940" s="1">
        <v>311808</v>
      </c>
      <c r="BJ5940" s="3">
        <v>42475</v>
      </c>
      <c r="BK5940" t="s">
        <v>123</v>
      </c>
      <c r="BL5940" t="str">
        <f>"2016.253816"</f>
        <v>2016.253816</v>
      </c>
      <c r="BM5940" t="s">
        <v>820</v>
      </c>
      <c r="BN5940" t="s">
        <v>2188</v>
      </c>
      <c r="BO5940" t="s">
        <v>36255</v>
      </c>
      <c r="BS5940">
        <v>30</v>
      </c>
      <c r="BT5940" s="1">
        <v>30000</v>
      </c>
      <c r="BU5940" s="3">
        <v>43522</v>
      </c>
      <c r="BW5940" t="str">
        <f>"2019.128369"</f>
        <v>2019.128369</v>
      </c>
      <c r="BX5940" t="s">
        <v>20097</v>
      </c>
      <c r="BY5940" t="s">
        <v>20098</v>
      </c>
      <c r="BZ5940" t="s">
        <v>36256</v>
      </c>
      <c r="CA5940" t="s">
        <v>36257</v>
      </c>
      <c r="CC5940" t="s">
        <v>346</v>
      </c>
      <c r="CH5940" t="str">
        <f>""</f>
        <v/>
      </c>
      <c r="CS5940" t="str">
        <f>""</f>
        <v/>
      </c>
    </row>
    <row r="5941" spans="1:97" x14ac:dyDescent="0.25">
      <c r="A5941" t="s">
        <v>1465</v>
      </c>
      <c r="B5941" t="s">
        <v>27156</v>
      </c>
      <c r="C5941" t="s">
        <v>2019</v>
      </c>
      <c r="D5941" t="s">
        <v>27156</v>
      </c>
      <c r="E5941" t="s">
        <v>36258</v>
      </c>
      <c r="F5941" t="s">
        <v>108</v>
      </c>
      <c r="H5941" t="s">
        <v>36259</v>
      </c>
      <c r="I5941" t="s">
        <v>225</v>
      </c>
      <c r="J5941" t="s">
        <v>111</v>
      </c>
      <c r="K5941" t="str">
        <f>"85204"</f>
        <v>85204</v>
      </c>
      <c r="L5941" t="s">
        <v>7695</v>
      </c>
      <c r="M5941" t="s">
        <v>36259</v>
      </c>
      <c r="N5941" t="s">
        <v>225</v>
      </c>
      <c r="O5941" t="s">
        <v>111</v>
      </c>
      <c r="P5941" t="str">
        <f>"85204-5826"</f>
        <v>85204-5826</v>
      </c>
      <c r="Q5941" t="s">
        <v>113</v>
      </c>
      <c r="R5941" t="str">
        <f>"139-14-289"</f>
        <v>139-14-289</v>
      </c>
      <c r="S5941" t="s">
        <v>36260</v>
      </c>
      <c r="T5941" t="s">
        <v>36261</v>
      </c>
      <c r="U5941">
        <v>1579</v>
      </c>
      <c r="V5941">
        <v>0</v>
      </c>
      <c r="W5941">
        <v>2</v>
      </c>
      <c r="X5941">
        <v>1979</v>
      </c>
      <c r="Z5941">
        <v>1</v>
      </c>
      <c r="AB5941">
        <v>0</v>
      </c>
      <c r="AC5941" t="s">
        <v>115</v>
      </c>
      <c r="AD5941">
        <v>2</v>
      </c>
      <c r="AE5941" t="s">
        <v>115</v>
      </c>
      <c r="AF5941">
        <v>0</v>
      </c>
      <c r="AG5941">
        <v>0</v>
      </c>
      <c r="AH5941" t="s">
        <v>116</v>
      </c>
      <c r="AI5941" s="1">
        <v>48364</v>
      </c>
      <c r="AJ5941" s="2">
        <v>0.19</v>
      </c>
      <c r="AK5941" s="1">
        <v>256750</v>
      </c>
      <c r="AL5941" t="s">
        <v>117</v>
      </c>
      <c r="AM5941" t="s">
        <v>191</v>
      </c>
      <c r="AN5941">
        <v>7427</v>
      </c>
      <c r="AO5941">
        <v>0.17</v>
      </c>
      <c r="AP5941">
        <v>1</v>
      </c>
      <c r="AR5941">
        <v>1</v>
      </c>
      <c r="AS5941" s="1">
        <v>16600</v>
      </c>
      <c r="AT5941" s="1">
        <v>3320</v>
      </c>
      <c r="AU5941" s="1">
        <v>13280</v>
      </c>
      <c r="AV5941">
        <v>80</v>
      </c>
      <c r="AX5941" s="1">
        <v>906.64</v>
      </c>
      <c r="AY5941" t="s">
        <v>14330</v>
      </c>
      <c r="AZ5941" t="s">
        <v>5158</v>
      </c>
      <c r="BA5941" t="s">
        <v>5159</v>
      </c>
      <c r="BE5941" s="3">
        <v>42508</v>
      </c>
      <c r="BF5941" s="1">
        <v>204000</v>
      </c>
      <c r="BG5941" t="s">
        <v>36262</v>
      </c>
      <c r="BH5941" s="1">
        <v>129.19999999999999</v>
      </c>
      <c r="BI5941" s="1">
        <v>208386</v>
      </c>
      <c r="BJ5941" s="3">
        <v>42508</v>
      </c>
      <c r="BK5941" t="s">
        <v>123</v>
      </c>
      <c r="BL5941" t="str">
        <f>"2016.339667"</f>
        <v>2016.339667</v>
      </c>
      <c r="BM5941" t="s">
        <v>820</v>
      </c>
      <c r="BO5941" t="s">
        <v>36263</v>
      </c>
      <c r="BS5941">
        <v>30</v>
      </c>
      <c r="BW5941" t="str">
        <f>""</f>
        <v/>
      </c>
      <c r="CH5941" t="str">
        <f>""</f>
        <v/>
      </c>
      <c r="CS5941" t="str">
        <f>""</f>
        <v/>
      </c>
    </row>
    <row r="5942" spans="1:97" x14ac:dyDescent="0.25">
      <c r="A5942" t="s">
        <v>4854</v>
      </c>
      <c r="B5942" t="s">
        <v>325</v>
      </c>
      <c r="C5942" t="s">
        <v>1407</v>
      </c>
      <c r="D5942" t="s">
        <v>325</v>
      </c>
      <c r="E5942" t="s">
        <v>36264</v>
      </c>
      <c r="F5942" t="s">
        <v>108</v>
      </c>
      <c r="H5942" t="s">
        <v>36265</v>
      </c>
      <c r="I5942" t="s">
        <v>2874</v>
      </c>
      <c r="J5942" t="s">
        <v>111</v>
      </c>
      <c r="K5942" t="str">
        <f>"85308"</f>
        <v>85308</v>
      </c>
      <c r="L5942" t="s">
        <v>5709</v>
      </c>
      <c r="M5942" t="s">
        <v>36265</v>
      </c>
      <c r="N5942" t="s">
        <v>2874</v>
      </c>
      <c r="O5942" t="s">
        <v>111</v>
      </c>
      <c r="P5942" t="str">
        <f>"85308-6703"</f>
        <v>85308-6703</v>
      </c>
      <c r="Q5942" t="s">
        <v>113</v>
      </c>
      <c r="R5942" t="str">
        <f>"200-22-376"</f>
        <v>200-22-376</v>
      </c>
      <c r="S5942" t="s">
        <v>36266</v>
      </c>
      <c r="T5942" t="s">
        <v>36267</v>
      </c>
      <c r="U5942">
        <v>1928</v>
      </c>
      <c r="V5942">
        <v>0</v>
      </c>
      <c r="W5942">
        <v>3</v>
      </c>
      <c r="X5942">
        <v>1993</v>
      </c>
      <c r="Z5942">
        <v>1</v>
      </c>
      <c r="AA5942" t="s">
        <v>26</v>
      </c>
      <c r="AB5942">
        <v>0</v>
      </c>
      <c r="AC5942" t="s">
        <v>115</v>
      </c>
      <c r="AD5942">
        <v>2</v>
      </c>
      <c r="AE5942" t="s">
        <v>115</v>
      </c>
      <c r="AF5942">
        <v>0</v>
      </c>
      <c r="AG5942">
        <v>0</v>
      </c>
      <c r="AH5942" t="s">
        <v>116</v>
      </c>
      <c r="AI5942" s="1">
        <v>90441</v>
      </c>
      <c r="AJ5942" s="2">
        <v>0.27</v>
      </c>
      <c r="AK5942" s="1">
        <v>330403</v>
      </c>
      <c r="AL5942" t="s">
        <v>117</v>
      </c>
      <c r="AM5942" t="s">
        <v>393</v>
      </c>
      <c r="AN5942">
        <v>8270</v>
      </c>
      <c r="AO5942">
        <v>0.19</v>
      </c>
      <c r="AP5942">
        <v>1</v>
      </c>
      <c r="AR5942">
        <v>1</v>
      </c>
      <c r="AS5942" s="1">
        <v>22580</v>
      </c>
      <c r="AT5942" s="1">
        <v>4510</v>
      </c>
      <c r="AU5942" s="1">
        <v>18070</v>
      </c>
      <c r="AV5942">
        <v>80.03</v>
      </c>
      <c r="AX5942" s="1">
        <v>2135.94</v>
      </c>
      <c r="AY5942" t="s">
        <v>7455</v>
      </c>
      <c r="AZ5942" t="s">
        <v>3049</v>
      </c>
      <c r="BA5942" t="s">
        <v>2223</v>
      </c>
      <c r="BE5942" s="3">
        <v>42489</v>
      </c>
      <c r="BF5942" s="1">
        <v>277000</v>
      </c>
      <c r="BG5942" t="s">
        <v>36268</v>
      </c>
      <c r="BH5942" s="1">
        <v>143.66999999999999</v>
      </c>
      <c r="BI5942" s="1">
        <v>239962</v>
      </c>
      <c r="BJ5942" s="3">
        <v>42489</v>
      </c>
      <c r="BK5942" t="s">
        <v>123</v>
      </c>
      <c r="BL5942" t="str">
        <f>"2016.293350"</f>
        <v>2016.293350</v>
      </c>
      <c r="BM5942" t="s">
        <v>1185</v>
      </c>
      <c r="BO5942" t="s">
        <v>36269</v>
      </c>
      <c r="BS5942">
        <v>30</v>
      </c>
      <c r="BW5942" t="str">
        <f>""</f>
        <v/>
      </c>
      <c r="CH5942" t="str">
        <f>""</f>
        <v/>
      </c>
      <c r="CS5942" t="str">
        <f>""</f>
        <v/>
      </c>
    </row>
    <row r="5943" spans="1:97" x14ac:dyDescent="0.25">
      <c r="A5943" t="s">
        <v>177</v>
      </c>
      <c r="B5943" t="s">
        <v>943</v>
      </c>
      <c r="C5943" t="s">
        <v>976</v>
      </c>
      <c r="D5943" t="s">
        <v>943</v>
      </c>
      <c r="E5943" t="s">
        <v>36270</v>
      </c>
      <c r="F5943" t="s">
        <v>108</v>
      </c>
      <c r="H5943" t="s">
        <v>36271</v>
      </c>
      <c r="I5943" t="s">
        <v>5114</v>
      </c>
      <c r="J5943" t="s">
        <v>111</v>
      </c>
      <c r="K5943" t="str">
        <f>"85323"</f>
        <v>85323</v>
      </c>
      <c r="L5943" t="s">
        <v>688</v>
      </c>
      <c r="M5943" t="s">
        <v>36271</v>
      </c>
      <c r="N5943" t="s">
        <v>5114</v>
      </c>
      <c r="O5943" t="s">
        <v>111</v>
      </c>
      <c r="P5943" t="str">
        <f>"85323-7710"</f>
        <v>85323-7710</v>
      </c>
      <c r="Q5943" t="s">
        <v>113</v>
      </c>
      <c r="R5943" t="str">
        <f>"500-32-218"</f>
        <v>500-32-218</v>
      </c>
      <c r="S5943" t="s">
        <v>9433</v>
      </c>
      <c r="U5943">
        <v>2309</v>
      </c>
      <c r="V5943">
        <v>0</v>
      </c>
      <c r="W5943">
        <v>3</v>
      </c>
      <c r="X5943">
        <v>2013</v>
      </c>
      <c r="Z5943">
        <v>1</v>
      </c>
      <c r="AA5943" t="s">
        <v>26</v>
      </c>
      <c r="AB5943">
        <v>0</v>
      </c>
      <c r="AC5943" t="s">
        <v>115</v>
      </c>
      <c r="AD5943">
        <v>2</v>
      </c>
      <c r="AE5943" t="s">
        <v>115</v>
      </c>
      <c r="AF5943">
        <v>0</v>
      </c>
      <c r="AG5943">
        <v>0</v>
      </c>
      <c r="AH5943" t="s">
        <v>116</v>
      </c>
      <c r="AI5943" s="1">
        <v>86181</v>
      </c>
      <c r="AJ5943" s="2">
        <v>0.28000000000000003</v>
      </c>
      <c r="AK5943" s="1">
        <v>309887</v>
      </c>
      <c r="AL5943" t="s">
        <v>117</v>
      </c>
      <c r="AM5943" t="s">
        <v>118</v>
      </c>
      <c r="AN5943">
        <v>7734</v>
      </c>
      <c r="AO5943">
        <v>0.18</v>
      </c>
      <c r="AR5943">
        <v>1</v>
      </c>
      <c r="AS5943" s="1">
        <v>21960</v>
      </c>
      <c r="AT5943" s="1">
        <v>4390</v>
      </c>
      <c r="AU5943" s="1">
        <v>17570</v>
      </c>
      <c r="AV5943">
        <v>80.010000000000005</v>
      </c>
      <c r="AX5943" s="1">
        <v>2230.7800000000002</v>
      </c>
      <c r="AY5943" t="s">
        <v>5458</v>
      </c>
      <c r="AZ5943" t="s">
        <v>5458</v>
      </c>
      <c r="BA5943" t="s">
        <v>4254</v>
      </c>
      <c r="BE5943" s="3">
        <v>41729</v>
      </c>
      <c r="BF5943" s="1">
        <v>232000</v>
      </c>
      <c r="BG5943" t="s">
        <v>158</v>
      </c>
      <c r="BH5943" s="1">
        <v>100.48</v>
      </c>
      <c r="BI5943" s="1">
        <v>223706</v>
      </c>
      <c r="BJ5943" s="3">
        <v>41729</v>
      </c>
      <c r="BK5943" t="s">
        <v>123</v>
      </c>
      <c r="BL5943" t="str">
        <f>"2014.203296"</f>
        <v>2014.203296</v>
      </c>
      <c r="BM5943" t="s">
        <v>241</v>
      </c>
      <c r="BO5943" t="s">
        <v>36272</v>
      </c>
      <c r="BS5943">
        <v>30</v>
      </c>
      <c r="BW5943" t="str">
        <f>""</f>
        <v/>
      </c>
      <c r="CH5943" t="str">
        <f>""</f>
        <v/>
      </c>
      <c r="CS5943" t="str">
        <f>""</f>
        <v/>
      </c>
    </row>
    <row r="5944" spans="1:97" x14ac:dyDescent="0.25">
      <c r="A5944" t="s">
        <v>3613</v>
      </c>
      <c r="B5944" t="s">
        <v>36273</v>
      </c>
      <c r="E5944" t="s">
        <v>36274</v>
      </c>
      <c r="F5944" t="s">
        <v>108</v>
      </c>
      <c r="H5944" t="s">
        <v>36275</v>
      </c>
      <c r="I5944" t="s">
        <v>390</v>
      </c>
      <c r="J5944" t="s">
        <v>111</v>
      </c>
      <c r="K5944" t="str">
        <f>"85048"</f>
        <v>85048</v>
      </c>
      <c r="L5944" t="s">
        <v>8543</v>
      </c>
      <c r="M5944" t="s">
        <v>36275</v>
      </c>
      <c r="N5944" t="s">
        <v>390</v>
      </c>
      <c r="O5944" t="s">
        <v>111</v>
      </c>
      <c r="P5944" t="str">
        <f>"85048"</f>
        <v>85048</v>
      </c>
      <c r="Q5944" t="s">
        <v>113</v>
      </c>
      <c r="R5944" t="str">
        <f>"307-03-518"</f>
        <v>307-03-518</v>
      </c>
      <c r="S5944" t="s">
        <v>17471</v>
      </c>
      <c r="T5944" t="s">
        <v>17471</v>
      </c>
      <c r="U5944">
        <v>1749</v>
      </c>
      <c r="V5944">
        <v>0</v>
      </c>
      <c r="W5944">
        <v>3</v>
      </c>
      <c r="X5944">
        <v>1996</v>
      </c>
      <c r="Z5944">
        <v>1</v>
      </c>
      <c r="AA5944" t="s">
        <v>26</v>
      </c>
      <c r="AB5944">
        <v>0</v>
      </c>
      <c r="AC5944" t="s">
        <v>115</v>
      </c>
      <c r="AD5944">
        <v>2</v>
      </c>
      <c r="AE5944" t="s">
        <v>115</v>
      </c>
      <c r="AF5944">
        <v>0</v>
      </c>
      <c r="AG5944">
        <v>0</v>
      </c>
      <c r="AH5944" t="s">
        <v>116</v>
      </c>
      <c r="AI5944" s="1">
        <v>87343</v>
      </c>
      <c r="AJ5944" s="2">
        <v>0.25</v>
      </c>
      <c r="AK5944" s="1">
        <v>342693</v>
      </c>
      <c r="AL5944" t="s">
        <v>117</v>
      </c>
      <c r="AM5944" t="s">
        <v>1315</v>
      </c>
      <c r="AN5944">
        <v>5500</v>
      </c>
      <c r="AO5944">
        <v>0.13</v>
      </c>
      <c r="AP5944">
        <v>1</v>
      </c>
      <c r="AR5944">
        <v>1</v>
      </c>
      <c r="AS5944" s="1">
        <v>24870</v>
      </c>
      <c r="AT5944" s="1">
        <v>4970</v>
      </c>
      <c r="AU5944" s="1">
        <v>19900</v>
      </c>
      <c r="AV5944">
        <v>80.02</v>
      </c>
      <c r="AX5944" s="1">
        <v>2306.2199999999998</v>
      </c>
      <c r="AY5944" t="s">
        <v>6633</v>
      </c>
      <c r="AZ5944" t="s">
        <v>929</v>
      </c>
      <c r="BA5944" t="s">
        <v>930</v>
      </c>
      <c r="BE5944" s="3">
        <v>42048</v>
      </c>
      <c r="BF5944" s="1">
        <v>260550</v>
      </c>
      <c r="BG5944" t="s">
        <v>36276</v>
      </c>
      <c r="BH5944" s="1">
        <v>148.97</v>
      </c>
      <c r="BI5944" s="1">
        <v>255350</v>
      </c>
      <c r="BJ5944" s="3">
        <v>42048</v>
      </c>
      <c r="BK5944" t="s">
        <v>123</v>
      </c>
      <c r="BL5944" t="str">
        <f>"2015.96991"</f>
        <v>2015.96991</v>
      </c>
      <c r="BM5944" t="s">
        <v>124</v>
      </c>
      <c r="BO5944" t="s">
        <v>36277</v>
      </c>
      <c r="BS5944">
        <v>30</v>
      </c>
      <c r="BW5944" t="str">
        <f>""</f>
        <v/>
      </c>
      <c r="CH5944" t="str">
        <f>""</f>
        <v/>
      </c>
      <c r="CS5944" t="str">
        <f>""</f>
        <v/>
      </c>
    </row>
    <row r="5945" spans="1:97" x14ac:dyDescent="0.25">
      <c r="A5945" t="s">
        <v>36278</v>
      </c>
      <c r="B5945" t="s">
        <v>464</v>
      </c>
      <c r="C5945" t="s">
        <v>1335</v>
      </c>
      <c r="D5945" t="s">
        <v>464</v>
      </c>
      <c r="E5945" t="s">
        <v>36279</v>
      </c>
      <c r="F5945" t="s">
        <v>108</v>
      </c>
      <c r="H5945" t="s">
        <v>36280</v>
      </c>
      <c r="I5945" t="s">
        <v>144</v>
      </c>
      <c r="J5945" t="s">
        <v>111</v>
      </c>
      <c r="K5945" t="str">
        <f>"85326"</f>
        <v>85326</v>
      </c>
      <c r="L5945" t="s">
        <v>6431</v>
      </c>
      <c r="M5945" t="s">
        <v>36280</v>
      </c>
      <c r="N5945" t="s">
        <v>144</v>
      </c>
      <c r="O5945" t="s">
        <v>111</v>
      </c>
      <c r="P5945" t="str">
        <f>"85326-7320"</f>
        <v>85326-7320</v>
      </c>
      <c r="Q5945" t="s">
        <v>113</v>
      </c>
      <c r="R5945" t="str">
        <f>"504-43-410"</f>
        <v>504-43-410</v>
      </c>
      <c r="S5945" t="s">
        <v>11049</v>
      </c>
      <c r="T5945" t="s">
        <v>11050</v>
      </c>
      <c r="U5945">
        <v>1537</v>
      </c>
      <c r="V5945">
        <v>0</v>
      </c>
      <c r="W5945">
        <v>2</v>
      </c>
      <c r="X5945">
        <v>2008</v>
      </c>
      <c r="Z5945">
        <v>1</v>
      </c>
      <c r="AA5945" t="s">
        <v>26</v>
      </c>
      <c r="AB5945">
        <v>0</v>
      </c>
      <c r="AC5945" t="s">
        <v>115</v>
      </c>
      <c r="AD5945">
        <v>2</v>
      </c>
      <c r="AE5945" t="s">
        <v>115</v>
      </c>
      <c r="AF5945">
        <v>0</v>
      </c>
      <c r="AG5945">
        <v>0</v>
      </c>
      <c r="AH5945" t="s">
        <v>116</v>
      </c>
      <c r="AI5945" s="1">
        <v>15935</v>
      </c>
      <c r="AJ5945" s="2">
        <v>7.0000000000000007E-2</v>
      </c>
      <c r="AK5945" s="1">
        <v>221935</v>
      </c>
      <c r="AL5945" t="s">
        <v>117</v>
      </c>
      <c r="AM5945" t="s">
        <v>5023</v>
      </c>
      <c r="AN5945">
        <v>8087</v>
      </c>
      <c r="AO5945">
        <v>0.19</v>
      </c>
      <c r="AR5945">
        <v>1</v>
      </c>
      <c r="AS5945" s="1">
        <v>15470</v>
      </c>
      <c r="AT5945" s="1">
        <v>3090</v>
      </c>
      <c r="AU5945" s="1">
        <v>12380</v>
      </c>
      <c r="AV5945">
        <v>80.03</v>
      </c>
      <c r="AX5945" s="1">
        <v>1900.1</v>
      </c>
      <c r="AY5945" t="s">
        <v>11051</v>
      </c>
      <c r="AZ5945" t="s">
        <v>7333</v>
      </c>
      <c r="BA5945" t="s">
        <v>9622</v>
      </c>
      <c r="BE5945" s="3">
        <v>42452</v>
      </c>
      <c r="BF5945" s="1">
        <v>174650</v>
      </c>
      <c r="BG5945" t="s">
        <v>36281</v>
      </c>
      <c r="BH5945" s="1">
        <v>113.63</v>
      </c>
      <c r="BI5945" s="1">
        <v>206000</v>
      </c>
      <c r="BJ5945" s="3">
        <v>43614</v>
      </c>
      <c r="BK5945" t="s">
        <v>123</v>
      </c>
      <c r="BL5945" t="str">
        <f>"2019.392918"</f>
        <v>2019.392918</v>
      </c>
      <c r="BM5945" t="s">
        <v>2926</v>
      </c>
      <c r="BN5945" t="s">
        <v>545</v>
      </c>
      <c r="BO5945" t="s">
        <v>36282</v>
      </c>
      <c r="BP5945" t="s">
        <v>36283</v>
      </c>
      <c r="BR5945" t="s">
        <v>139</v>
      </c>
      <c r="BW5945" t="str">
        <f>""</f>
        <v/>
      </c>
      <c r="CH5945" t="str">
        <f>""</f>
        <v/>
      </c>
      <c r="CS5945" t="str">
        <f>""</f>
        <v/>
      </c>
    </row>
    <row r="5946" spans="1:97" x14ac:dyDescent="0.25">
      <c r="A5946" t="s">
        <v>1938</v>
      </c>
      <c r="B5946" t="s">
        <v>1411</v>
      </c>
      <c r="C5946" t="s">
        <v>36284</v>
      </c>
      <c r="D5946" t="s">
        <v>1411</v>
      </c>
      <c r="E5946" t="s">
        <v>36285</v>
      </c>
      <c r="F5946" t="s">
        <v>108</v>
      </c>
      <c r="H5946" t="s">
        <v>36286</v>
      </c>
      <c r="I5946" t="s">
        <v>5863</v>
      </c>
      <c r="J5946" t="s">
        <v>111</v>
      </c>
      <c r="K5946" t="str">
        <f>"85375"</f>
        <v>85375</v>
      </c>
      <c r="L5946" t="s">
        <v>5709</v>
      </c>
      <c r="M5946" t="s">
        <v>36286</v>
      </c>
      <c r="N5946" t="s">
        <v>5863</v>
      </c>
      <c r="O5946" t="s">
        <v>111</v>
      </c>
      <c r="P5946" t="str">
        <f>"85375-4210"</f>
        <v>85375-4210</v>
      </c>
      <c r="Q5946" t="s">
        <v>113</v>
      </c>
      <c r="R5946" t="str">
        <f>"232-05-533"</f>
        <v>232-05-533</v>
      </c>
      <c r="S5946" t="s">
        <v>5865</v>
      </c>
      <c r="U5946">
        <v>2252</v>
      </c>
      <c r="V5946">
        <v>0</v>
      </c>
      <c r="W5946">
        <v>2</v>
      </c>
      <c r="X5946">
        <v>1980</v>
      </c>
      <c r="Z5946">
        <v>1</v>
      </c>
      <c r="AB5946">
        <v>0</v>
      </c>
      <c r="AC5946" t="s">
        <v>115</v>
      </c>
      <c r="AD5946">
        <v>2</v>
      </c>
      <c r="AE5946" t="s">
        <v>115</v>
      </c>
      <c r="AF5946">
        <v>0</v>
      </c>
      <c r="AG5946">
        <v>0</v>
      </c>
      <c r="AH5946" t="s">
        <v>116</v>
      </c>
      <c r="AI5946" s="1">
        <v>47546</v>
      </c>
      <c r="AJ5946" s="2">
        <v>0.17</v>
      </c>
      <c r="AK5946" s="1">
        <v>274806</v>
      </c>
      <c r="AL5946" t="s">
        <v>117</v>
      </c>
      <c r="AM5946" t="s">
        <v>393</v>
      </c>
      <c r="AN5946">
        <v>11311</v>
      </c>
      <c r="AO5946">
        <v>0.26</v>
      </c>
      <c r="AP5946">
        <v>1</v>
      </c>
      <c r="AR5946">
        <v>1</v>
      </c>
      <c r="AS5946" s="1">
        <v>17780</v>
      </c>
      <c r="AT5946" s="1">
        <v>3550</v>
      </c>
      <c r="AU5946" s="1">
        <v>14230</v>
      </c>
      <c r="AV5946">
        <v>80.03</v>
      </c>
      <c r="AX5946" s="1">
        <v>1016.4</v>
      </c>
      <c r="AY5946" t="s">
        <v>320</v>
      </c>
      <c r="AZ5946" t="s">
        <v>320</v>
      </c>
      <c r="BA5946" t="s">
        <v>321</v>
      </c>
      <c r="BE5946" s="3">
        <v>42244</v>
      </c>
      <c r="BF5946" s="1">
        <v>160000</v>
      </c>
      <c r="BG5946" t="s">
        <v>36287</v>
      </c>
      <c r="BH5946" s="1">
        <v>71.05</v>
      </c>
      <c r="BI5946" s="1">
        <v>227260</v>
      </c>
      <c r="BJ5946" s="3">
        <v>43004</v>
      </c>
      <c r="BK5946" t="s">
        <v>123</v>
      </c>
      <c r="BL5946" t="str">
        <f>"2017.707904"</f>
        <v>2017.707904</v>
      </c>
      <c r="BM5946" t="s">
        <v>4127</v>
      </c>
      <c r="BO5946" t="s">
        <v>36288</v>
      </c>
      <c r="BS5946">
        <v>30</v>
      </c>
      <c r="BW5946" t="str">
        <f>""</f>
        <v/>
      </c>
      <c r="CH5946" t="str">
        <f>""</f>
        <v/>
      </c>
      <c r="CS5946" t="str">
        <f>""</f>
        <v/>
      </c>
    </row>
    <row r="5947" spans="1:97" x14ac:dyDescent="0.25">
      <c r="A5947" t="s">
        <v>36289</v>
      </c>
      <c r="B5947" t="s">
        <v>36290</v>
      </c>
      <c r="C5947" t="s">
        <v>17371</v>
      </c>
      <c r="D5947" t="s">
        <v>36290</v>
      </c>
      <c r="E5947" t="s">
        <v>36291</v>
      </c>
      <c r="F5947" t="s">
        <v>108</v>
      </c>
      <c r="H5947" t="s">
        <v>36292</v>
      </c>
      <c r="I5947" t="s">
        <v>225</v>
      </c>
      <c r="J5947" t="s">
        <v>111</v>
      </c>
      <c r="K5947" t="str">
        <f>"85212"</f>
        <v>85212</v>
      </c>
      <c r="L5947" t="s">
        <v>3520</v>
      </c>
      <c r="M5947" t="s">
        <v>36292</v>
      </c>
      <c r="N5947" t="s">
        <v>225</v>
      </c>
      <c r="O5947" t="s">
        <v>111</v>
      </c>
      <c r="P5947" t="str">
        <f>"85212-1607"</f>
        <v>85212-1607</v>
      </c>
      <c r="Q5947" t="s">
        <v>113</v>
      </c>
      <c r="R5947" t="str">
        <f>"304-04-155"</f>
        <v>304-04-155</v>
      </c>
      <c r="S5947" t="s">
        <v>34433</v>
      </c>
      <c r="U5947">
        <v>2039</v>
      </c>
      <c r="V5947">
        <v>0</v>
      </c>
      <c r="W5947">
        <v>4</v>
      </c>
      <c r="X5947">
        <v>1998</v>
      </c>
      <c r="Z5947">
        <v>2</v>
      </c>
      <c r="AB5947">
        <v>0</v>
      </c>
      <c r="AC5947" t="s">
        <v>115</v>
      </c>
      <c r="AD5947">
        <v>2</v>
      </c>
      <c r="AE5947" t="s">
        <v>115</v>
      </c>
      <c r="AF5947">
        <v>0</v>
      </c>
      <c r="AG5947">
        <v>0</v>
      </c>
      <c r="AH5947" t="s">
        <v>116</v>
      </c>
      <c r="AI5947" s="1">
        <v>72875</v>
      </c>
      <c r="AJ5947" s="2">
        <v>0.24</v>
      </c>
      <c r="AK5947" s="1">
        <v>307371</v>
      </c>
      <c r="AL5947" t="s">
        <v>117</v>
      </c>
      <c r="AM5947" t="s">
        <v>191</v>
      </c>
      <c r="AN5947">
        <v>5850</v>
      </c>
      <c r="AO5947">
        <v>0.13</v>
      </c>
      <c r="AP5947">
        <v>1</v>
      </c>
      <c r="AR5947">
        <v>1</v>
      </c>
      <c r="AS5947" s="1">
        <v>19710</v>
      </c>
      <c r="AT5947" s="1">
        <v>3940</v>
      </c>
      <c r="AU5947" s="1">
        <v>15770</v>
      </c>
      <c r="AV5947">
        <v>80.010000000000005</v>
      </c>
      <c r="AX5947" s="1">
        <v>1353.18</v>
      </c>
      <c r="AY5947" t="s">
        <v>570</v>
      </c>
      <c r="AZ5947" t="s">
        <v>777</v>
      </c>
      <c r="BA5947" t="s">
        <v>572</v>
      </c>
      <c r="BE5947" s="3">
        <v>41753</v>
      </c>
      <c r="BF5947" s="1">
        <v>229000</v>
      </c>
      <c r="BG5947" t="s">
        <v>36293</v>
      </c>
      <c r="BH5947" s="1">
        <v>112.31</v>
      </c>
      <c r="BI5947" s="1">
        <v>234496</v>
      </c>
      <c r="BJ5947" s="3">
        <v>41753</v>
      </c>
      <c r="BK5947" t="s">
        <v>123</v>
      </c>
      <c r="BL5947" t="str">
        <f>"2014.267234"</f>
        <v>2014.267234</v>
      </c>
      <c r="BM5947" t="s">
        <v>724</v>
      </c>
      <c r="BO5947" t="s">
        <v>36294</v>
      </c>
      <c r="BS5947">
        <v>30</v>
      </c>
      <c r="BW5947" t="str">
        <f>""</f>
        <v/>
      </c>
      <c r="CH5947" t="str">
        <f>""</f>
        <v/>
      </c>
      <c r="CS5947" t="str">
        <f>""</f>
        <v/>
      </c>
    </row>
    <row r="5948" spans="1:97" x14ac:dyDescent="0.25">
      <c r="A5948" t="s">
        <v>5214</v>
      </c>
      <c r="B5948" t="s">
        <v>5205</v>
      </c>
      <c r="E5948" t="s">
        <v>36295</v>
      </c>
      <c r="F5948" t="s">
        <v>108</v>
      </c>
      <c r="H5948" t="s">
        <v>36296</v>
      </c>
      <c r="I5948" t="s">
        <v>632</v>
      </c>
      <c r="J5948" t="s">
        <v>111</v>
      </c>
      <c r="K5948" t="str">
        <f>"85379"</f>
        <v>85379</v>
      </c>
      <c r="L5948" t="s">
        <v>7834</v>
      </c>
      <c r="M5948" t="s">
        <v>36296</v>
      </c>
      <c r="N5948" t="s">
        <v>632</v>
      </c>
      <c r="O5948" t="s">
        <v>111</v>
      </c>
      <c r="P5948" t="str">
        <f>"85379-5416"</f>
        <v>85379-5416</v>
      </c>
      <c r="Q5948" t="s">
        <v>113</v>
      </c>
      <c r="R5948" t="str">
        <f>"509-02-226"</f>
        <v>509-02-226</v>
      </c>
      <c r="S5948" t="s">
        <v>36297</v>
      </c>
      <c r="U5948">
        <v>2613</v>
      </c>
      <c r="V5948">
        <v>0</v>
      </c>
      <c r="W5948">
        <v>3</v>
      </c>
      <c r="X5948">
        <v>2001</v>
      </c>
      <c r="Z5948">
        <v>2</v>
      </c>
      <c r="AB5948">
        <v>0</v>
      </c>
      <c r="AC5948" t="s">
        <v>115</v>
      </c>
      <c r="AD5948">
        <v>3</v>
      </c>
      <c r="AE5948" t="s">
        <v>115</v>
      </c>
      <c r="AF5948">
        <v>0</v>
      </c>
      <c r="AG5948">
        <v>0</v>
      </c>
      <c r="AH5948" t="s">
        <v>116</v>
      </c>
      <c r="AI5948" s="1">
        <v>80220</v>
      </c>
      <c r="AJ5948" s="2">
        <v>0.28000000000000003</v>
      </c>
      <c r="AK5948" s="1">
        <v>290649</v>
      </c>
      <c r="AL5948" t="s">
        <v>117</v>
      </c>
      <c r="AM5948" t="s">
        <v>118</v>
      </c>
      <c r="AN5948">
        <v>8050</v>
      </c>
      <c r="AO5948">
        <v>0.18</v>
      </c>
      <c r="AP5948">
        <v>1</v>
      </c>
      <c r="AR5948">
        <v>1</v>
      </c>
      <c r="AS5948" s="1">
        <v>19850</v>
      </c>
      <c r="AT5948" s="1">
        <v>3970</v>
      </c>
      <c r="AU5948" s="1">
        <v>15880</v>
      </c>
      <c r="AV5948">
        <v>80</v>
      </c>
      <c r="AX5948" s="1">
        <v>1485.36</v>
      </c>
      <c r="AY5948" t="s">
        <v>5818</v>
      </c>
      <c r="AZ5948" t="s">
        <v>5818</v>
      </c>
      <c r="BA5948" t="s">
        <v>321</v>
      </c>
      <c r="BE5948" s="3">
        <v>42170</v>
      </c>
      <c r="BF5948" s="1">
        <v>206000</v>
      </c>
      <c r="BG5948" t="s">
        <v>36298</v>
      </c>
      <c r="BH5948" s="1">
        <v>78.84</v>
      </c>
      <c r="BI5948" s="1">
        <v>210429</v>
      </c>
      <c r="BJ5948" s="3">
        <v>42170</v>
      </c>
      <c r="BK5948" t="s">
        <v>123</v>
      </c>
      <c r="BL5948" t="str">
        <f>"2015.425560"</f>
        <v>2015.425560</v>
      </c>
      <c r="BM5948" t="s">
        <v>594</v>
      </c>
      <c r="BO5948" t="s">
        <v>36299</v>
      </c>
      <c r="BS5948">
        <v>30</v>
      </c>
      <c r="BW5948" t="str">
        <f>""</f>
        <v/>
      </c>
      <c r="CH5948" t="str">
        <f>""</f>
        <v/>
      </c>
      <c r="CS5948" t="str">
        <f>""</f>
        <v/>
      </c>
    </row>
    <row r="5949" spans="1:97" x14ac:dyDescent="0.25">
      <c r="A5949" t="s">
        <v>23993</v>
      </c>
      <c r="B5949" t="s">
        <v>36300</v>
      </c>
      <c r="E5949" t="s">
        <v>36301</v>
      </c>
      <c r="F5949" t="s">
        <v>108</v>
      </c>
      <c r="H5949" t="s">
        <v>36302</v>
      </c>
      <c r="I5949" t="s">
        <v>499</v>
      </c>
      <c r="J5949" t="s">
        <v>111</v>
      </c>
      <c r="K5949" t="str">
        <f>"85395"</f>
        <v>85395</v>
      </c>
      <c r="L5949" t="s">
        <v>1312</v>
      </c>
      <c r="M5949" t="s">
        <v>36302</v>
      </c>
      <c r="N5949" t="s">
        <v>499</v>
      </c>
      <c r="O5949" t="s">
        <v>111</v>
      </c>
      <c r="P5949" t="str">
        <f>"85395-2034"</f>
        <v>85395-2034</v>
      </c>
      <c r="Q5949" t="s">
        <v>113</v>
      </c>
      <c r="R5949" t="str">
        <f>"501-76-404"</f>
        <v>501-76-404</v>
      </c>
      <c r="S5949" t="s">
        <v>20930</v>
      </c>
      <c r="T5949" t="s">
        <v>20931</v>
      </c>
      <c r="U5949">
        <v>2813</v>
      </c>
      <c r="V5949">
        <v>0</v>
      </c>
      <c r="W5949">
        <v>4</v>
      </c>
      <c r="X5949">
        <v>2004</v>
      </c>
      <c r="Z5949">
        <v>1</v>
      </c>
      <c r="AA5949" t="s">
        <v>26</v>
      </c>
      <c r="AB5949">
        <v>0</v>
      </c>
      <c r="AC5949" t="s">
        <v>115</v>
      </c>
      <c r="AD5949">
        <v>3</v>
      </c>
      <c r="AE5949" t="s">
        <v>115</v>
      </c>
      <c r="AF5949">
        <v>0</v>
      </c>
      <c r="AG5949">
        <v>0</v>
      </c>
      <c r="AH5949" t="s">
        <v>116</v>
      </c>
      <c r="AI5949" s="1">
        <v>72602</v>
      </c>
      <c r="AJ5949" s="2">
        <v>0.18</v>
      </c>
      <c r="AK5949" s="1">
        <v>412681</v>
      </c>
      <c r="AL5949" t="s">
        <v>117</v>
      </c>
      <c r="AM5949" t="s">
        <v>118</v>
      </c>
      <c r="AN5949">
        <v>10989</v>
      </c>
      <c r="AO5949">
        <v>0.25</v>
      </c>
      <c r="AP5949">
        <v>1</v>
      </c>
      <c r="AR5949">
        <v>1</v>
      </c>
      <c r="AS5949" s="1">
        <v>30210</v>
      </c>
      <c r="AT5949" s="1">
        <v>6040</v>
      </c>
      <c r="AU5949" s="1">
        <v>24170</v>
      </c>
      <c r="AV5949">
        <v>80.010000000000005</v>
      </c>
      <c r="AX5949" s="1">
        <v>3702.48</v>
      </c>
      <c r="AY5949" t="s">
        <v>3020</v>
      </c>
      <c r="AZ5949" t="s">
        <v>3020</v>
      </c>
      <c r="BA5949" t="s">
        <v>7186</v>
      </c>
      <c r="BE5949" s="3">
        <v>42158</v>
      </c>
      <c r="BF5949" s="1">
        <v>335000</v>
      </c>
      <c r="BG5949" t="s">
        <v>36303</v>
      </c>
      <c r="BH5949" s="1">
        <v>119.09</v>
      </c>
      <c r="BI5949" s="1">
        <v>340079</v>
      </c>
      <c r="BJ5949" s="3">
        <v>42734</v>
      </c>
      <c r="BK5949" t="s">
        <v>123</v>
      </c>
      <c r="BL5949" t="str">
        <f>"2016.963575"</f>
        <v>2016.963575</v>
      </c>
      <c r="BM5949" t="s">
        <v>322</v>
      </c>
      <c r="BO5949" t="s">
        <v>36304</v>
      </c>
      <c r="BP5949" t="s">
        <v>36305</v>
      </c>
      <c r="BS5949">
        <v>30</v>
      </c>
      <c r="BW5949" t="str">
        <f>""</f>
        <v/>
      </c>
      <c r="CH5949" t="str">
        <f>""</f>
        <v/>
      </c>
      <c r="CS5949" t="str">
        <f>""</f>
        <v/>
      </c>
    </row>
    <row r="5950" spans="1:97" x14ac:dyDescent="0.25">
      <c r="A5950" t="s">
        <v>548</v>
      </c>
      <c r="B5950" t="s">
        <v>36306</v>
      </c>
      <c r="C5950" t="s">
        <v>36307</v>
      </c>
      <c r="D5950" t="s">
        <v>15164</v>
      </c>
      <c r="E5950" t="s">
        <v>36308</v>
      </c>
      <c r="F5950" t="s">
        <v>108</v>
      </c>
      <c r="H5950" t="s">
        <v>36309</v>
      </c>
      <c r="I5950" t="s">
        <v>2874</v>
      </c>
      <c r="J5950" t="s">
        <v>111</v>
      </c>
      <c r="K5950" t="str">
        <f>"85308"</f>
        <v>85308</v>
      </c>
      <c r="L5950" t="s">
        <v>6481</v>
      </c>
      <c r="M5950" t="s">
        <v>36310</v>
      </c>
      <c r="N5950" t="s">
        <v>2874</v>
      </c>
      <c r="O5950" t="s">
        <v>111</v>
      </c>
      <c r="P5950" t="str">
        <f>"85308-4764"</f>
        <v>85308-4764</v>
      </c>
      <c r="Q5950" t="s">
        <v>113</v>
      </c>
      <c r="R5950" t="str">
        <f>"206-19-162"</f>
        <v>206-19-162</v>
      </c>
      <c r="S5950" t="s">
        <v>36311</v>
      </c>
      <c r="T5950" t="s">
        <v>36311</v>
      </c>
      <c r="U5950">
        <v>1301</v>
      </c>
      <c r="V5950">
        <v>0</v>
      </c>
      <c r="W5950">
        <v>3</v>
      </c>
      <c r="X5950">
        <v>1996</v>
      </c>
      <c r="Z5950">
        <v>1</v>
      </c>
      <c r="AA5950" t="s">
        <v>26</v>
      </c>
      <c r="AB5950">
        <v>0</v>
      </c>
      <c r="AC5950" t="s">
        <v>115</v>
      </c>
      <c r="AD5950">
        <v>2</v>
      </c>
      <c r="AE5950" t="s">
        <v>115</v>
      </c>
      <c r="AF5950">
        <v>0</v>
      </c>
      <c r="AG5950">
        <v>0</v>
      </c>
      <c r="AH5950" t="s">
        <v>116</v>
      </c>
      <c r="AI5950" s="1">
        <v>28884</v>
      </c>
      <c r="AJ5950" s="2">
        <v>0.11</v>
      </c>
      <c r="AK5950" s="1">
        <v>256884</v>
      </c>
      <c r="AL5950" t="s">
        <v>117</v>
      </c>
      <c r="AM5950" t="s">
        <v>191</v>
      </c>
      <c r="AN5950">
        <v>5663</v>
      </c>
      <c r="AO5950">
        <v>0.13</v>
      </c>
      <c r="AP5950">
        <v>1</v>
      </c>
      <c r="AR5950">
        <v>1</v>
      </c>
      <c r="AS5950" s="1">
        <v>18880</v>
      </c>
      <c r="AT5950" s="1">
        <v>3770</v>
      </c>
      <c r="AU5950" s="1">
        <v>15110</v>
      </c>
      <c r="AV5950">
        <v>80.03</v>
      </c>
      <c r="AX5950" s="1">
        <v>1010.32</v>
      </c>
      <c r="AY5950" t="s">
        <v>9121</v>
      </c>
      <c r="AZ5950" t="s">
        <v>2357</v>
      </c>
      <c r="BA5950" t="s">
        <v>1462</v>
      </c>
      <c r="BB5950" s="3">
        <v>43671</v>
      </c>
      <c r="BC5950" s="1">
        <v>0</v>
      </c>
      <c r="BD5950" t="s">
        <v>247</v>
      </c>
      <c r="BE5950" s="3">
        <v>42339</v>
      </c>
      <c r="BF5950" s="1">
        <v>200000</v>
      </c>
      <c r="BG5950" t="s">
        <v>36312</v>
      </c>
      <c r="BH5950" s="1">
        <v>153.72999999999999</v>
      </c>
      <c r="BI5950" s="1">
        <v>228000</v>
      </c>
      <c r="BJ5950" s="3">
        <v>43039</v>
      </c>
      <c r="BK5950" t="s">
        <v>123</v>
      </c>
      <c r="BL5950" t="str">
        <f>"2017.809136"</f>
        <v>2017.809136</v>
      </c>
      <c r="BM5950" t="s">
        <v>13154</v>
      </c>
      <c r="BN5950">
        <v>84123</v>
      </c>
      <c r="BO5950" t="s">
        <v>36313</v>
      </c>
      <c r="BS5950">
        <v>30</v>
      </c>
      <c r="BW5950" t="str">
        <f>""</f>
        <v/>
      </c>
      <c r="CH5950" t="str">
        <f>""</f>
        <v/>
      </c>
      <c r="CS5950" t="str">
        <f>""</f>
        <v/>
      </c>
    </row>
    <row r="5951" spans="1:97" x14ac:dyDescent="0.25">
      <c r="A5951" t="s">
        <v>589</v>
      </c>
      <c r="B5951" t="s">
        <v>32397</v>
      </c>
      <c r="E5951" t="s">
        <v>36314</v>
      </c>
      <c r="F5951" t="s">
        <v>108</v>
      </c>
      <c r="H5951" t="s">
        <v>36315</v>
      </c>
      <c r="I5951" t="s">
        <v>5551</v>
      </c>
      <c r="J5951" t="s">
        <v>111</v>
      </c>
      <c r="K5951" t="str">
        <f>"85248"</f>
        <v>85248</v>
      </c>
      <c r="L5951" t="s">
        <v>316</v>
      </c>
      <c r="M5951" t="s">
        <v>36315</v>
      </c>
      <c r="N5951" t="s">
        <v>5551</v>
      </c>
      <c r="O5951" t="s">
        <v>111</v>
      </c>
      <c r="P5951" t="str">
        <f>"85248-7123"</f>
        <v>85248-7123</v>
      </c>
      <c r="Q5951" t="s">
        <v>113</v>
      </c>
      <c r="R5951" t="str">
        <f>"303-66-328"</f>
        <v>303-66-328</v>
      </c>
      <c r="S5951" t="s">
        <v>10910</v>
      </c>
      <c r="U5951">
        <v>1815</v>
      </c>
      <c r="V5951">
        <v>0</v>
      </c>
      <c r="W5951">
        <v>3</v>
      </c>
      <c r="X5951">
        <v>1981</v>
      </c>
      <c r="Z5951">
        <v>1</v>
      </c>
      <c r="AB5951">
        <v>0</v>
      </c>
      <c r="AC5951" t="s">
        <v>115</v>
      </c>
      <c r="AD5951">
        <v>2</v>
      </c>
      <c r="AE5951" t="s">
        <v>115</v>
      </c>
      <c r="AF5951">
        <v>0</v>
      </c>
      <c r="AG5951">
        <v>0</v>
      </c>
      <c r="AH5951" t="s">
        <v>116</v>
      </c>
      <c r="AI5951" s="1">
        <v>76542</v>
      </c>
      <c r="AJ5951" s="2">
        <v>0.27</v>
      </c>
      <c r="AK5951" s="1">
        <v>285208</v>
      </c>
      <c r="AL5951" t="s">
        <v>117</v>
      </c>
      <c r="AM5951" t="s">
        <v>191</v>
      </c>
      <c r="AN5951">
        <v>7026</v>
      </c>
      <c r="AO5951">
        <v>0.16</v>
      </c>
      <c r="AP5951">
        <v>1</v>
      </c>
      <c r="AR5951">
        <v>1</v>
      </c>
      <c r="AS5951" s="1">
        <v>18850</v>
      </c>
      <c r="AT5951" s="1">
        <v>3770</v>
      </c>
      <c r="AU5951" s="1">
        <v>15080</v>
      </c>
      <c r="AV5951">
        <v>80</v>
      </c>
      <c r="AX5951" s="1">
        <v>2007.7</v>
      </c>
      <c r="AY5951" t="s">
        <v>1881</v>
      </c>
      <c r="AZ5951" t="s">
        <v>1882</v>
      </c>
      <c r="BA5951" t="s">
        <v>121</v>
      </c>
      <c r="BE5951" s="3">
        <v>42513</v>
      </c>
      <c r="BF5951" s="1">
        <v>202000</v>
      </c>
      <c r="BG5951" t="s">
        <v>36316</v>
      </c>
      <c r="BH5951" s="1">
        <v>111.29</v>
      </c>
      <c r="BI5951" s="1">
        <v>208666</v>
      </c>
      <c r="BJ5951" s="3">
        <v>42513</v>
      </c>
      <c r="BK5951" t="s">
        <v>123</v>
      </c>
      <c r="BL5951" t="str">
        <f>"2016.352884"</f>
        <v>2016.352884</v>
      </c>
      <c r="BM5951" t="s">
        <v>1038</v>
      </c>
      <c r="BO5951" t="s">
        <v>36317</v>
      </c>
      <c r="BS5951">
        <v>30</v>
      </c>
      <c r="BW5951" t="str">
        <f>""</f>
        <v/>
      </c>
      <c r="CH5951" t="str">
        <f>""</f>
        <v/>
      </c>
      <c r="CS5951" t="str">
        <f>""</f>
        <v/>
      </c>
    </row>
    <row r="5952" spans="1:97" x14ac:dyDescent="0.25">
      <c r="A5952" t="s">
        <v>10852</v>
      </c>
      <c r="B5952" t="s">
        <v>1067</v>
      </c>
      <c r="C5952" t="s">
        <v>36318</v>
      </c>
      <c r="D5952" t="s">
        <v>1067</v>
      </c>
      <c r="E5952" t="s">
        <v>36319</v>
      </c>
      <c r="F5952" t="s">
        <v>108</v>
      </c>
      <c r="H5952" t="s">
        <v>36320</v>
      </c>
      <c r="I5952" t="s">
        <v>499</v>
      </c>
      <c r="J5952" t="s">
        <v>111</v>
      </c>
      <c r="K5952" t="str">
        <f>"85338"</f>
        <v>85338</v>
      </c>
      <c r="L5952" t="s">
        <v>6481</v>
      </c>
      <c r="M5952" t="s">
        <v>36320</v>
      </c>
      <c r="N5952" t="s">
        <v>499</v>
      </c>
      <c r="O5952" t="s">
        <v>111</v>
      </c>
      <c r="P5952" t="str">
        <f>"85338-2556"</f>
        <v>85338-2556</v>
      </c>
      <c r="Q5952" t="s">
        <v>113</v>
      </c>
      <c r="R5952" t="str">
        <f>"500-93-076"</f>
        <v>500-93-076</v>
      </c>
      <c r="S5952" t="s">
        <v>23455</v>
      </c>
      <c r="T5952" t="s">
        <v>23455</v>
      </c>
      <c r="U5952">
        <v>3180</v>
      </c>
      <c r="V5952">
        <v>0</v>
      </c>
      <c r="W5952">
        <v>5</v>
      </c>
      <c r="X5952">
        <v>2015</v>
      </c>
      <c r="Z5952">
        <v>2</v>
      </c>
      <c r="AB5952">
        <v>0</v>
      </c>
      <c r="AC5952" t="s">
        <v>115</v>
      </c>
      <c r="AD5952">
        <v>3</v>
      </c>
      <c r="AE5952" t="s">
        <v>115</v>
      </c>
      <c r="AF5952">
        <v>0</v>
      </c>
      <c r="AG5952">
        <v>0</v>
      </c>
      <c r="AH5952" t="s">
        <v>116</v>
      </c>
      <c r="AI5952" s="1">
        <v>82342</v>
      </c>
      <c r="AJ5952" s="2">
        <v>0.23</v>
      </c>
      <c r="AK5952" s="1">
        <v>355342</v>
      </c>
      <c r="AL5952" t="s">
        <v>117</v>
      </c>
      <c r="AM5952" t="s">
        <v>393</v>
      </c>
      <c r="AN5952">
        <v>8050</v>
      </c>
      <c r="AO5952">
        <v>0.18</v>
      </c>
      <c r="AR5952">
        <v>1</v>
      </c>
      <c r="AS5952" s="1">
        <v>25620</v>
      </c>
      <c r="AT5952" s="1">
        <v>5120</v>
      </c>
      <c r="AU5952" s="1">
        <v>20500</v>
      </c>
      <c r="AV5952">
        <v>80.02</v>
      </c>
      <c r="AX5952" s="1">
        <v>2206.12</v>
      </c>
      <c r="AY5952" t="s">
        <v>6319</v>
      </c>
      <c r="AZ5952" t="s">
        <v>6319</v>
      </c>
      <c r="BA5952" t="s">
        <v>7186</v>
      </c>
      <c r="BE5952" s="3">
        <v>42060</v>
      </c>
      <c r="BF5952" s="1">
        <v>274355</v>
      </c>
      <c r="BG5952" t="s">
        <v>2289</v>
      </c>
      <c r="BH5952" s="1">
        <v>86.28</v>
      </c>
      <c r="BI5952" s="1">
        <v>273000</v>
      </c>
      <c r="BJ5952" s="3">
        <v>42060</v>
      </c>
      <c r="BK5952" t="s">
        <v>123</v>
      </c>
      <c r="BL5952" t="str">
        <f>"2015.120358"</f>
        <v>2015.120358</v>
      </c>
      <c r="BM5952" t="s">
        <v>2290</v>
      </c>
      <c r="BO5952" t="s">
        <v>36321</v>
      </c>
      <c r="BS5952">
        <v>30</v>
      </c>
      <c r="BW5952" t="str">
        <f>""</f>
        <v/>
      </c>
      <c r="CH5952" t="str">
        <f>""</f>
        <v/>
      </c>
      <c r="CS5952" t="str">
        <f>""</f>
        <v/>
      </c>
    </row>
    <row r="5953" spans="1:97" x14ac:dyDescent="0.25">
      <c r="A5953" t="s">
        <v>305</v>
      </c>
      <c r="B5953" t="s">
        <v>24876</v>
      </c>
      <c r="C5953" t="s">
        <v>2852</v>
      </c>
      <c r="D5953" t="s">
        <v>24876</v>
      </c>
      <c r="E5953" t="s">
        <v>36322</v>
      </c>
      <c r="F5953" t="s">
        <v>108</v>
      </c>
      <c r="H5953" t="s">
        <v>36323</v>
      </c>
      <c r="I5953" t="s">
        <v>632</v>
      </c>
      <c r="J5953" t="s">
        <v>111</v>
      </c>
      <c r="K5953" t="str">
        <f>"85379"</f>
        <v>85379</v>
      </c>
      <c r="L5953" t="s">
        <v>5058</v>
      </c>
      <c r="M5953" t="s">
        <v>36323</v>
      </c>
      <c r="N5953" t="s">
        <v>632</v>
      </c>
      <c r="O5953" t="s">
        <v>111</v>
      </c>
      <c r="P5953" t="str">
        <f>"85379-1121"</f>
        <v>85379-1121</v>
      </c>
      <c r="Q5953" t="s">
        <v>113</v>
      </c>
      <c r="R5953" t="str">
        <f>"501-79-176"</f>
        <v>501-79-176</v>
      </c>
      <c r="S5953" t="s">
        <v>5059</v>
      </c>
      <c r="U5953">
        <v>2309</v>
      </c>
      <c r="V5953">
        <v>0</v>
      </c>
      <c r="W5953">
        <v>3</v>
      </c>
      <c r="X5953">
        <v>2016</v>
      </c>
      <c r="Z5953">
        <v>1</v>
      </c>
      <c r="AB5953">
        <v>0</v>
      </c>
      <c r="AC5953" t="s">
        <v>115</v>
      </c>
      <c r="AD5953">
        <v>3</v>
      </c>
      <c r="AE5953" t="s">
        <v>115</v>
      </c>
      <c r="AF5953">
        <v>0</v>
      </c>
      <c r="AG5953">
        <v>0</v>
      </c>
      <c r="AH5953" t="s">
        <v>116</v>
      </c>
      <c r="AI5953" s="1">
        <v>81392</v>
      </c>
      <c r="AJ5953" s="2">
        <v>0.22</v>
      </c>
      <c r="AK5953" s="1">
        <v>364077</v>
      </c>
      <c r="AL5953" t="s">
        <v>117</v>
      </c>
      <c r="AM5953" t="s">
        <v>118</v>
      </c>
      <c r="AN5953">
        <v>8984</v>
      </c>
      <c r="AO5953">
        <v>0.21</v>
      </c>
      <c r="AR5953">
        <v>1</v>
      </c>
      <c r="AS5953" s="1">
        <v>28560</v>
      </c>
      <c r="AT5953" s="1">
        <v>5710</v>
      </c>
      <c r="AU5953" s="1">
        <v>22850</v>
      </c>
      <c r="AV5953">
        <v>80.010000000000005</v>
      </c>
      <c r="AX5953" s="1">
        <v>2261.42</v>
      </c>
      <c r="AY5953" t="s">
        <v>5060</v>
      </c>
      <c r="AZ5953" t="s">
        <v>5060</v>
      </c>
      <c r="BA5953" t="s">
        <v>5061</v>
      </c>
      <c r="BE5953" s="3">
        <v>42494</v>
      </c>
      <c r="BF5953" s="1">
        <v>327685</v>
      </c>
      <c r="BG5953" t="s">
        <v>3524</v>
      </c>
      <c r="BH5953" s="1">
        <v>141.91999999999999</v>
      </c>
      <c r="BI5953" s="1">
        <v>282685</v>
      </c>
      <c r="BJ5953" s="3">
        <v>42494</v>
      </c>
      <c r="BK5953" t="s">
        <v>123</v>
      </c>
      <c r="BL5953" t="str">
        <f>"2016.304418"</f>
        <v>2016.304418</v>
      </c>
      <c r="BM5953" t="s">
        <v>3453</v>
      </c>
      <c r="BO5953" t="s">
        <v>36324</v>
      </c>
      <c r="BS5953">
        <v>30</v>
      </c>
      <c r="BW5953" t="str">
        <f>""</f>
        <v/>
      </c>
      <c r="CH5953" t="str">
        <f>""</f>
        <v/>
      </c>
      <c r="CS5953" t="str">
        <f>""</f>
        <v/>
      </c>
    </row>
    <row r="5954" spans="1:97" x14ac:dyDescent="0.25">
      <c r="A5954" t="s">
        <v>894</v>
      </c>
      <c r="B5954" t="s">
        <v>371</v>
      </c>
      <c r="E5954" t="s">
        <v>36325</v>
      </c>
      <c r="F5954" t="s">
        <v>108</v>
      </c>
      <c r="H5954" t="s">
        <v>36326</v>
      </c>
      <c r="I5954" t="s">
        <v>225</v>
      </c>
      <c r="J5954" t="s">
        <v>111</v>
      </c>
      <c r="K5954" t="str">
        <f>"85206"</f>
        <v>85206</v>
      </c>
      <c r="L5954" t="s">
        <v>3696</v>
      </c>
      <c r="M5954" t="s">
        <v>36326</v>
      </c>
      <c r="N5954" t="s">
        <v>225</v>
      </c>
      <c r="O5954" t="s">
        <v>111</v>
      </c>
      <c r="P5954" t="str">
        <f>"85206-5532"</f>
        <v>85206-5532</v>
      </c>
      <c r="Q5954" t="s">
        <v>113</v>
      </c>
      <c r="R5954" t="str">
        <f>"141-53-812"</f>
        <v>141-53-812</v>
      </c>
      <c r="S5954" t="s">
        <v>26416</v>
      </c>
      <c r="T5954" t="s">
        <v>26416</v>
      </c>
      <c r="U5954">
        <v>1818</v>
      </c>
      <c r="V5954">
        <v>0</v>
      </c>
      <c r="W5954">
        <v>4</v>
      </c>
      <c r="X5954">
        <v>2006</v>
      </c>
      <c r="Z5954">
        <v>2</v>
      </c>
      <c r="AB5954">
        <v>0</v>
      </c>
      <c r="AC5954" t="s">
        <v>115</v>
      </c>
      <c r="AD5954">
        <v>2</v>
      </c>
      <c r="AE5954" t="s">
        <v>115</v>
      </c>
      <c r="AF5954">
        <v>0</v>
      </c>
      <c r="AG5954">
        <v>0</v>
      </c>
      <c r="AH5954" t="s">
        <v>116</v>
      </c>
      <c r="AI5954" s="1">
        <v>58273</v>
      </c>
      <c r="AJ5954" s="2">
        <v>0.21</v>
      </c>
      <c r="AK5954" s="1">
        <v>273273</v>
      </c>
      <c r="AL5954" t="s">
        <v>117</v>
      </c>
      <c r="AM5954" t="s">
        <v>191</v>
      </c>
      <c r="AN5954">
        <v>2912</v>
      </c>
      <c r="AO5954">
        <v>0.67</v>
      </c>
      <c r="AR5954">
        <v>1</v>
      </c>
      <c r="AS5954" s="1">
        <v>17880</v>
      </c>
      <c r="AT5954" s="1">
        <v>3570</v>
      </c>
      <c r="AU5954" s="1">
        <v>14310</v>
      </c>
      <c r="AV5954">
        <v>80.03</v>
      </c>
      <c r="AX5954" s="1">
        <v>1440.26</v>
      </c>
      <c r="AY5954" t="s">
        <v>5157</v>
      </c>
      <c r="AZ5954" t="s">
        <v>5158</v>
      </c>
      <c r="BA5954" t="s">
        <v>5159</v>
      </c>
      <c r="BE5954" s="3">
        <v>42530</v>
      </c>
      <c r="BF5954" s="1">
        <v>210500</v>
      </c>
      <c r="BG5954" t="s">
        <v>36327</v>
      </c>
      <c r="BH5954" s="1">
        <v>115.79</v>
      </c>
      <c r="BI5954" s="1">
        <v>215000</v>
      </c>
      <c r="BJ5954" s="3">
        <v>42530</v>
      </c>
      <c r="BK5954" t="s">
        <v>123</v>
      </c>
      <c r="BL5954" t="str">
        <f>"2016.399155"</f>
        <v>2016.399155</v>
      </c>
      <c r="BM5954" t="s">
        <v>124</v>
      </c>
      <c r="BO5954" t="s">
        <v>36328</v>
      </c>
      <c r="BS5954">
        <v>30</v>
      </c>
      <c r="BW5954" t="str">
        <f>""</f>
        <v/>
      </c>
      <c r="CH5954" t="str">
        <f>""</f>
        <v/>
      </c>
      <c r="CS5954" t="str">
        <f>""</f>
        <v/>
      </c>
    </row>
    <row r="5955" spans="1:97" x14ac:dyDescent="0.25">
      <c r="A5955" t="s">
        <v>11648</v>
      </c>
      <c r="B5955" t="s">
        <v>22036</v>
      </c>
      <c r="E5955" t="s">
        <v>36329</v>
      </c>
      <c r="F5955" t="s">
        <v>108</v>
      </c>
      <c r="H5955" t="s">
        <v>36330</v>
      </c>
      <c r="I5955" t="s">
        <v>453</v>
      </c>
      <c r="J5955" t="s">
        <v>111</v>
      </c>
      <c r="K5955" t="str">
        <f>"85383"</f>
        <v>85383</v>
      </c>
      <c r="L5955" t="s">
        <v>558</v>
      </c>
      <c r="M5955" t="s">
        <v>36330</v>
      </c>
      <c r="N5955" t="s">
        <v>453</v>
      </c>
      <c r="O5955" t="s">
        <v>111</v>
      </c>
      <c r="P5955" t="str">
        <f>"85383-1795"</f>
        <v>85383-1795</v>
      </c>
      <c r="Q5955" t="s">
        <v>113</v>
      </c>
      <c r="R5955" t="str">
        <f>"200-10-267"</f>
        <v>200-10-267</v>
      </c>
      <c r="S5955" t="s">
        <v>21097</v>
      </c>
      <c r="T5955" t="s">
        <v>18331</v>
      </c>
      <c r="U5955">
        <v>1610</v>
      </c>
      <c r="V5955">
        <v>0</v>
      </c>
      <c r="W5955">
        <v>2</v>
      </c>
      <c r="X5955">
        <v>1998</v>
      </c>
      <c r="Z5955">
        <v>1</v>
      </c>
      <c r="AA5955" t="s">
        <v>26</v>
      </c>
      <c r="AB5955">
        <v>0</v>
      </c>
      <c r="AC5955" t="s">
        <v>115</v>
      </c>
      <c r="AD5955">
        <v>2</v>
      </c>
      <c r="AE5955" t="s">
        <v>115</v>
      </c>
      <c r="AF5955">
        <v>0</v>
      </c>
      <c r="AG5955">
        <v>0</v>
      </c>
      <c r="AH5955" t="s">
        <v>116</v>
      </c>
      <c r="AI5955" s="1">
        <v>69320</v>
      </c>
      <c r="AJ5955" s="2">
        <v>0.25</v>
      </c>
      <c r="AK5955" s="1">
        <v>273517</v>
      </c>
      <c r="AL5955" t="s">
        <v>117</v>
      </c>
      <c r="AM5955" t="s">
        <v>3345</v>
      </c>
      <c r="AN5955">
        <v>5993</v>
      </c>
      <c r="AO5955">
        <v>0.14000000000000001</v>
      </c>
      <c r="AP5955">
        <v>1</v>
      </c>
      <c r="AR5955">
        <v>1</v>
      </c>
      <c r="AS5955" s="1">
        <v>18810</v>
      </c>
      <c r="AT5955" s="1">
        <v>3760</v>
      </c>
      <c r="AU5955" s="1">
        <v>15050</v>
      </c>
      <c r="AV5955">
        <v>80.010000000000005</v>
      </c>
      <c r="AX5955" s="1">
        <v>1442.3</v>
      </c>
      <c r="AY5955" t="s">
        <v>3228</v>
      </c>
      <c r="AZ5955" t="s">
        <v>3228</v>
      </c>
      <c r="BA5955" t="s">
        <v>457</v>
      </c>
      <c r="BE5955" s="3">
        <v>41870</v>
      </c>
      <c r="BF5955" s="1">
        <v>199900</v>
      </c>
      <c r="BG5955" t="s">
        <v>36331</v>
      </c>
      <c r="BH5955" s="1">
        <v>124.16</v>
      </c>
      <c r="BI5955" s="1">
        <v>204197</v>
      </c>
      <c r="BJ5955" s="3">
        <v>41870</v>
      </c>
      <c r="BK5955" t="s">
        <v>123</v>
      </c>
      <c r="BL5955" t="str">
        <f>"2014.546867"</f>
        <v>2014.546867</v>
      </c>
      <c r="BM5955" t="s">
        <v>594</v>
      </c>
      <c r="BO5955" t="s">
        <v>36332</v>
      </c>
      <c r="BS5955">
        <v>30</v>
      </c>
      <c r="BW5955" t="str">
        <f>""</f>
        <v/>
      </c>
      <c r="CH5955" t="str">
        <f>""</f>
        <v/>
      </c>
      <c r="CS5955" t="str">
        <f>""</f>
        <v/>
      </c>
    </row>
    <row r="5956" spans="1:97" x14ac:dyDescent="0.25">
      <c r="A5956" t="s">
        <v>1109</v>
      </c>
      <c r="B5956" t="s">
        <v>36333</v>
      </c>
      <c r="E5956" t="s">
        <v>36334</v>
      </c>
      <c r="F5956" t="s">
        <v>108</v>
      </c>
      <c r="H5956" t="s">
        <v>36335</v>
      </c>
      <c r="I5956" t="s">
        <v>110</v>
      </c>
      <c r="J5956" t="s">
        <v>111</v>
      </c>
      <c r="K5956" t="str">
        <f>"85224"</f>
        <v>85224</v>
      </c>
      <c r="L5956" t="s">
        <v>5074</v>
      </c>
      <c r="M5956" t="s">
        <v>36335</v>
      </c>
      <c r="N5956" t="s">
        <v>110</v>
      </c>
      <c r="O5956" t="s">
        <v>111</v>
      </c>
      <c r="P5956" t="str">
        <f>"85224-4069"</f>
        <v>85224-4069</v>
      </c>
      <c r="Q5956" t="s">
        <v>113</v>
      </c>
      <c r="R5956" t="str">
        <f>"302-97-096"</f>
        <v>302-97-096</v>
      </c>
      <c r="S5956" t="s">
        <v>20732</v>
      </c>
      <c r="U5956">
        <v>1587</v>
      </c>
      <c r="V5956">
        <v>0</v>
      </c>
      <c r="W5956">
        <v>3</v>
      </c>
      <c r="X5956">
        <v>1991</v>
      </c>
      <c r="Z5956">
        <v>1</v>
      </c>
      <c r="AB5956">
        <v>0</v>
      </c>
      <c r="AC5956" t="s">
        <v>115</v>
      </c>
      <c r="AD5956">
        <v>2</v>
      </c>
      <c r="AE5956" t="s">
        <v>115</v>
      </c>
      <c r="AF5956">
        <v>0</v>
      </c>
      <c r="AG5956">
        <v>0</v>
      </c>
      <c r="AH5956" t="s">
        <v>116</v>
      </c>
      <c r="AI5956" s="1">
        <v>51842</v>
      </c>
      <c r="AJ5956" s="2">
        <v>0.18</v>
      </c>
      <c r="AK5956" s="1">
        <v>295630</v>
      </c>
      <c r="AL5956" t="s">
        <v>117</v>
      </c>
      <c r="AM5956" t="s">
        <v>118</v>
      </c>
      <c r="AN5956">
        <v>6050</v>
      </c>
      <c r="AO5956">
        <v>0.14000000000000001</v>
      </c>
      <c r="AP5956">
        <v>1</v>
      </c>
      <c r="AR5956">
        <v>1</v>
      </c>
      <c r="AS5956" s="1">
        <v>21330</v>
      </c>
      <c r="AT5956" s="1">
        <v>4260</v>
      </c>
      <c r="AU5956" s="1">
        <v>17070</v>
      </c>
      <c r="AV5956">
        <v>80.03</v>
      </c>
      <c r="AX5956" s="1">
        <v>1525.52</v>
      </c>
      <c r="AY5956" t="s">
        <v>5722</v>
      </c>
      <c r="AZ5956" t="s">
        <v>5078</v>
      </c>
      <c r="BA5956" t="s">
        <v>2957</v>
      </c>
      <c r="BE5956" s="3">
        <v>42475</v>
      </c>
      <c r="BF5956" s="1">
        <v>236000</v>
      </c>
      <c r="BG5956" t="s">
        <v>36336</v>
      </c>
      <c r="BH5956" s="1">
        <v>148.71</v>
      </c>
      <c r="BI5956" s="1">
        <v>243788</v>
      </c>
      <c r="BJ5956" s="3">
        <v>42475</v>
      </c>
      <c r="BK5956" t="s">
        <v>123</v>
      </c>
      <c r="BL5956" t="str">
        <f>"2016.253226"</f>
        <v>2016.253226</v>
      </c>
      <c r="BM5956" t="s">
        <v>2489</v>
      </c>
      <c r="BO5956" t="s">
        <v>36337</v>
      </c>
      <c r="BS5956">
        <v>30</v>
      </c>
      <c r="BW5956" t="str">
        <f>""</f>
        <v/>
      </c>
      <c r="CH5956" t="str">
        <f>""</f>
        <v/>
      </c>
      <c r="CS5956" t="str">
        <f>""</f>
        <v/>
      </c>
    </row>
    <row r="5957" spans="1:97" x14ac:dyDescent="0.25">
      <c r="A5957" t="s">
        <v>325</v>
      </c>
      <c r="B5957" t="s">
        <v>36338</v>
      </c>
      <c r="C5957" t="s">
        <v>2256</v>
      </c>
      <c r="D5957" t="s">
        <v>2894</v>
      </c>
      <c r="E5957" t="s">
        <v>36339</v>
      </c>
      <c r="F5957" t="s">
        <v>108</v>
      </c>
      <c r="H5957" t="s">
        <v>36340</v>
      </c>
      <c r="I5957" t="s">
        <v>390</v>
      </c>
      <c r="J5957" t="s">
        <v>111</v>
      </c>
      <c r="K5957" t="str">
        <f>"85032"</f>
        <v>85032</v>
      </c>
      <c r="L5957" t="s">
        <v>6333</v>
      </c>
      <c r="M5957" t="s">
        <v>36340</v>
      </c>
      <c r="N5957" t="s">
        <v>390</v>
      </c>
      <c r="O5957" t="s">
        <v>111</v>
      </c>
      <c r="P5957" t="str">
        <f>"85032-6170"</f>
        <v>85032-6170</v>
      </c>
      <c r="Q5957" t="s">
        <v>113</v>
      </c>
      <c r="R5957" t="str">
        <f>"166-03-073"</f>
        <v>166-03-073</v>
      </c>
      <c r="S5957" t="s">
        <v>17426</v>
      </c>
      <c r="T5957" t="s">
        <v>17426</v>
      </c>
      <c r="U5957">
        <v>1746</v>
      </c>
      <c r="V5957">
        <v>0</v>
      </c>
      <c r="W5957">
        <v>2</v>
      </c>
      <c r="X5957">
        <v>1973</v>
      </c>
      <c r="Z5957">
        <v>1</v>
      </c>
      <c r="AA5957" t="s">
        <v>26</v>
      </c>
      <c r="AB5957">
        <v>0</v>
      </c>
      <c r="AC5957" t="s">
        <v>115</v>
      </c>
      <c r="AD5957">
        <v>2</v>
      </c>
      <c r="AE5957" t="s">
        <v>115</v>
      </c>
      <c r="AF5957">
        <v>0</v>
      </c>
      <c r="AG5957">
        <v>0</v>
      </c>
      <c r="AH5957" t="s">
        <v>116</v>
      </c>
      <c r="AI5957" s="1">
        <v>106662</v>
      </c>
      <c r="AJ5957" s="2">
        <v>0.32</v>
      </c>
      <c r="AK5957" s="1">
        <v>334944</v>
      </c>
      <c r="AL5957" t="s">
        <v>117</v>
      </c>
      <c r="AM5957" t="s">
        <v>171</v>
      </c>
      <c r="AN5957">
        <v>8138</v>
      </c>
      <c r="AO5957">
        <v>0.19</v>
      </c>
      <c r="AP5957">
        <v>1</v>
      </c>
      <c r="AR5957">
        <v>1</v>
      </c>
      <c r="AS5957" s="1">
        <v>23000</v>
      </c>
      <c r="AT5957" s="1">
        <v>4600</v>
      </c>
      <c r="AU5957" s="1">
        <v>18400</v>
      </c>
      <c r="AV5957">
        <v>80</v>
      </c>
      <c r="AX5957" s="1">
        <v>1315.34</v>
      </c>
      <c r="AY5957" t="s">
        <v>5488</v>
      </c>
      <c r="AZ5957" t="s">
        <v>5489</v>
      </c>
      <c r="BA5957" t="s">
        <v>5232</v>
      </c>
      <c r="BE5957" s="3">
        <v>41843</v>
      </c>
      <c r="BF5957" s="1">
        <v>230000</v>
      </c>
      <c r="BG5957" t="s">
        <v>27540</v>
      </c>
      <c r="BH5957" s="1">
        <v>131.72999999999999</v>
      </c>
      <c r="BI5957" s="1">
        <v>228282</v>
      </c>
      <c r="BJ5957" s="3">
        <v>42664</v>
      </c>
      <c r="BK5957" t="s">
        <v>123</v>
      </c>
      <c r="BL5957" t="str">
        <f>"2016.776682"</f>
        <v>2016.776682</v>
      </c>
      <c r="BM5957" t="s">
        <v>402</v>
      </c>
      <c r="BO5957" t="s">
        <v>36341</v>
      </c>
      <c r="BP5957" t="s">
        <v>36342</v>
      </c>
      <c r="BS5957">
        <v>28</v>
      </c>
      <c r="BW5957" t="str">
        <f>""</f>
        <v/>
      </c>
      <c r="CH5957" t="str">
        <f>""</f>
        <v/>
      </c>
      <c r="CS5957" t="str">
        <f>""</f>
        <v/>
      </c>
    </row>
    <row r="5958" spans="1:97" x14ac:dyDescent="0.25">
      <c r="A5958" t="s">
        <v>29218</v>
      </c>
      <c r="B5958" t="s">
        <v>28033</v>
      </c>
      <c r="E5958" t="s">
        <v>36343</v>
      </c>
      <c r="F5958" t="s">
        <v>108</v>
      </c>
      <c r="H5958" t="s">
        <v>36344</v>
      </c>
      <c r="I5958" t="s">
        <v>453</v>
      </c>
      <c r="J5958" t="s">
        <v>111</v>
      </c>
      <c r="K5958" t="str">
        <f>"85381"</f>
        <v>85381</v>
      </c>
      <c r="L5958" t="s">
        <v>6631</v>
      </c>
      <c r="M5958" t="s">
        <v>36344</v>
      </c>
      <c r="N5958" t="s">
        <v>453</v>
      </c>
      <c r="O5958" t="s">
        <v>111</v>
      </c>
      <c r="P5958" t="str">
        <f>"85381-4934"</f>
        <v>85381-4934</v>
      </c>
      <c r="Q5958" t="s">
        <v>113</v>
      </c>
      <c r="R5958" t="str">
        <f>"200-78-596"</f>
        <v>200-78-596</v>
      </c>
      <c r="S5958" t="s">
        <v>36345</v>
      </c>
      <c r="T5958" t="s">
        <v>36346</v>
      </c>
      <c r="U5958">
        <v>1968</v>
      </c>
      <c r="V5958">
        <v>0</v>
      </c>
      <c r="W5958">
        <v>2</v>
      </c>
      <c r="X5958">
        <v>1985</v>
      </c>
      <c r="Z5958">
        <v>1</v>
      </c>
      <c r="AA5958" t="s">
        <v>26</v>
      </c>
      <c r="AB5958">
        <v>0</v>
      </c>
      <c r="AC5958" t="s">
        <v>115</v>
      </c>
      <c r="AD5958">
        <v>2</v>
      </c>
      <c r="AE5958" t="s">
        <v>115</v>
      </c>
      <c r="AF5958">
        <v>0</v>
      </c>
      <c r="AG5958">
        <v>0</v>
      </c>
      <c r="AH5958" t="s">
        <v>116</v>
      </c>
      <c r="AI5958" s="1">
        <v>31105</v>
      </c>
      <c r="AJ5958" s="2">
        <v>0.09</v>
      </c>
      <c r="AK5958" s="1">
        <v>339105</v>
      </c>
      <c r="AL5958" t="s">
        <v>117</v>
      </c>
      <c r="AM5958" t="s">
        <v>171</v>
      </c>
      <c r="AN5958">
        <v>19258</v>
      </c>
      <c r="AO5958">
        <v>0.44</v>
      </c>
      <c r="AP5958">
        <v>1</v>
      </c>
      <c r="AR5958">
        <v>1</v>
      </c>
      <c r="AS5958" s="1">
        <v>22780</v>
      </c>
      <c r="AT5958" s="1">
        <v>4550</v>
      </c>
      <c r="AU5958" s="1">
        <v>18230</v>
      </c>
      <c r="AV5958">
        <v>80.03</v>
      </c>
      <c r="AX5958" s="1">
        <v>1371.32</v>
      </c>
      <c r="AY5958" t="s">
        <v>6872</v>
      </c>
      <c r="AZ5958" t="s">
        <v>6872</v>
      </c>
      <c r="BA5958" t="s">
        <v>1800</v>
      </c>
      <c r="BE5958" s="3">
        <v>42237</v>
      </c>
      <c r="BF5958" s="1">
        <v>308000</v>
      </c>
      <c r="BG5958" t="s">
        <v>36347</v>
      </c>
      <c r="BH5958" s="1">
        <v>156.5</v>
      </c>
      <c r="BI5958" s="1">
        <v>308000</v>
      </c>
      <c r="BJ5958" s="3">
        <v>42237</v>
      </c>
      <c r="BK5958" t="s">
        <v>123</v>
      </c>
      <c r="BL5958" t="str">
        <f>"2015.606803"</f>
        <v>2015.606803</v>
      </c>
      <c r="BM5958" t="s">
        <v>5867</v>
      </c>
      <c r="BO5958" t="s">
        <v>36348</v>
      </c>
      <c r="BS5958">
        <v>30</v>
      </c>
      <c r="BW5958" t="str">
        <f>""</f>
        <v/>
      </c>
      <c r="CH5958" t="str">
        <f>""</f>
        <v/>
      </c>
      <c r="CS5958" t="str">
        <f>""</f>
        <v/>
      </c>
    </row>
    <row r="5959" spans="1:97" x14ac:dyDescent="0.25">
      <c r="A5959" t="s">
        <v>494</v>
      </c>
      <c r="B5959" t="s">
        <v>4060</v>
      </c>
      <c r="E5959" t="s">
        <v>36349</v>
      </c>
      <c r="F5959" t="s">
        <v>108</v>
      </c>
      <c r="H5959" t="s">
        <v>36350</v>
      </c>
      <c r="I5959" t="s">
        <v>390</v>
      </c>
      <c r="J5959" t="s">
        <v>111</v>
      </c>
      <c r="K5959" t="str">
        <f>"85029"</f>
        <v>85029</v>
      </c>
      <c r="L5959" t="s">
        <v>3430</v>
      </c>
      <c r="M5959" t="s">
        <v>36350</v>
      </c>
      <c r="N5959" t="s">
        <v>390</v>
      </c>
      <c r="O5959" t="s">
        <v>111</v>
      </c>
      <c r="P5959" t="str">
        <f>"85029-3735"</f>
        <v>85029-3735</v>
      </c>
      <c r="Q5959" t="s">
        <v>113</v>
      </c>
      <c r="R5959" t="str">
        <f>"159-11-012-K"</f>
        <v>159-11-012-K</v>
      </c>
      <c r="U5959">
        <v>1440</v>
      </c>
      <c r="V5959">
        <v>0</v>
      </c>
      <c r="W5959">
        <v>2</v>
      </c>
      <c r="X5959">
        <v>1999</v>
      </c>
      <c r="Z5959">
        <v>1</v>
      </c>
      <c r="AB5959">
        <v>0</v>
      </c>
      <c r="AC5959" t="s">
        <v>115</v>
      </c>
      <c r="AD5959">
        <v>2</v>
      </c>
      <c r="AE5959" t="s">
        <v>115</v>
      </c>
      <c r="AF5959">
        <v>0</v>
      </c>
      <c r="AG5959">
        <v>0</v>
      </c>
      <c r="AH5959" t="s">
        <v>116</v>
      </c>
      <c r="AI5959" s="1">
        <v>61992</v>
      </c>
      <c r="AJ5959" s="2">
        <v>0.23</v>
      </c>
      <c r="AK5959" s="1">
        <v>275206</v>
      </c>
      <c r="AL5959" t="s">
        <v>117</v>
      </c>
      <c r="AM5959" t="s">
        <v>3345</v>
      </c>
      <c r="AN5959">
        <v>9148</v>
      </c>
      <c r="AO5959">
        <v>0.21</v>
      </c>
      <c r="AP5959">
        <v>1</v>
      </c>
      <c r="AR5959">
        <v>1</v>
      </c>
      <c r="AS5959" s="1">
        <v>18720</v>
      </c>
      <c r="AT5959" s="1">
        <v>3740</v>
      </c>
      <c r="AU5959" s="1">
        <v>14980</v>
      </c>
      <c r="AV5959">
        <v>80.02</v>
      </c>
      <c r="AX5959" s="1">
        <v>1148.74</v>
      </c>
      <c r="AY5959" t="s">
        <v>19809</v>
      </c>
      <c r="AZ5959" t="s">
        <v>19809</v>
      </c>
      <c r="BA5959" t="s">
        <v>6149</v>
      </c>
      <c r="BE5959" s="3">
        <v>41879</v>
      </c>
      <c r="BF5959" s="1">
        <v>212000</v>
      </c>
      <c r="BG5959" t="s">
        <v>5716</v>
      </c>
      <c r="BH5959" s="1">
        <v>147.22</v>
      </c>
      <c r="BI5959" s="1">
        <v>213214</v>
      </c>
      <c r="BJ5959" s="3">
        <v>42388</v>
      </c>
      <c r="BK5959" t="s">
        <v>123</v>
      </c>
      <c r="BL5959" t="str">
        <f>"2016.33311"</f>
        <v>2016.33311</v>
      </c>
      <c r="BM5959" t="s">
        <v>6761</v>
      </c>
      <c r="BO5959" t="s">
        <v>36351</v>
      </c>
      <c r="BS5959">
        <v>30</v>
      </c>
      <c r="BW5959" t="str">
        <f>""</f>
        <v/>
      </c>
      <c r="CH5959" t="str">
        <f>""</f>
        <v/>
      </c>
      <c r="CS5959" t="str">
        <f>""</f>
        <v/>
      </c>
    </row>
    <row r="5960" spans="1:97" x14ac:dyDescent="0.25">
      <c r="A5960" t="s">
        <v>1295</v>
      </c>
      <c r="B5960" t="s">
        <v>36352</v>
      </c>
      <c r="C5960" t="s">
        <v>1119</v>
      </c>
      <c r="D5960" t="s">
        <v>36352</v>
      </c>
      <c r="E5960" t="s">
        <v>36353</v>
      </c>
      <c r="F5960" t="s">
        <v>108</v>
      </c>
      <c r="H5960" t="s">
        <v>36354</v>
      </c>
      <c r="I5960" t="s">
        <v>5114</v>
      </c>
      <c r="J5960" t="s">
        <v>111</v>
      </c>
      <c r="K5960" t="str">
        <f>"85323"</f>
        <v>85323</v>
      </c>
      <c r="L5960" t="s">
        <v>5456</v>
      </c>
      <c r="M5960" t="s">
        <v>36354</v>
      </c>
      <c r="N5960" t="s">
        <v>5114</v>
      </c>
      <c r="O5960" t="s">
        <v>111</v>
      </c>
      <c r="P5960" t="str">
        <f>"85323-7681"</f>
        <v>85323-7681</v>
      </c>
      <c r="Q5960" t="s">
        <v>113</v>
      </c>
      <c r="R5960" t="str">
        <f>"500-32-710"</f>
        <v>500-32-710</v>
      </c>
      <c r="S5960" t="s">
        <v>5457</v>
      </c>
      <c r="U5960">
        <v>2309</v>
      </c>
      <c r="V5960">
        <v>0</v>
      </c>
      <c r="W5960">
        <v>3</v>
      </c>
      <c r="X5960">
        <v>2016</v>
      </c>
      <c r="Z5960">
        <v>1</v>
      </c>
      <c r="AB5960">
        <v>0</v>
      </c>
      <c r="AC5960" t="s">
        <v>115</v>
      </c>
      <c r="AD5960">
        <v>2</v>
      </c>
      <c r="AE5960" t="s">
        <v>115</v>
      </c>
      <c r="AF5960">
        <v>0</v>
      </c>
      <c r="AG5960">
        <v>0</v>
      </c>
      <c r="AH5960" t="s">
        <v>116</v>
      </c>
      <c r="AI5960" s="1">
        <v>26269</v>
      </c>
      <c r="AJ5960" s="2">
        <v>0.09</v>
      </c>
      <c r="AK5960" s="1">
        <v>288710</v>
      </c>
      <c r="AL5960" t="s">
        <v>117</v>
      </c>
      <c r="AM5960" t="s">
        <v>118</v>
      </c>
      <c r="AN5960">
        <v>7389</v>
      </c>
      <c r="AO5960">
        <v>0.17</v>
      </c>
      <c r="AR5960">
        <v>1</v>
      </c>
      <c r="AS5960" s="1">
        <v>20280</v>
      </c>
      <c r="AT5960" s="1">
        <v>4050</v>
      </c>
      <c r="AU5960" s="1">
        <v>16230</v>
      </c>
      <c r="AV5960">
        <v>80.03</v>
      </c>
      <c r="AX5960" s="1">
        <v>2174.54</v>
      </c>
      <c r="AY5960" t="s">
        <v>5458</v>
      </c>
      <c r="AZ5960" t="s">
        <v>5458</v>
      </c>
      <c r="BA5960" t="s">
        <v>4254</v>
      </c>
      <c r="BE5960" s="3">
        <v>42453</v>
      </c>
      <c r="BF5960" s="1">
        <v>262441</v>
      </c>
      <c r="BG5960" t="s">
        <v>158</v>
      </c>
      <c r="BH5960" s="1">
        <v>113.66</v>
      </c>
      <c r="BI5960" s="1">
        <v>262441</v>
      </c>
      <c r="BJ5960" s="3">
        <v>42453</v>
      </c>
      <c r="BK5960" t="s">
        <v>123</v>
      </c>
      <c r="BL5960" t="str">
        <f>"2016.190877"</f>
        <v>2016.190877</v>
      </c>
      <c r="BM5960" t="s">
        <v>241</v>
      </c>
      <c r="BO5960" t="s">
        <v>36355</v>
      </c>
      <c r="BS5960">
        <v>30</v>
      </c>
      <c r="BW5960" t="str">
        <f>""</f>
        <v/>
      </c>
      <c r="CH5960" t="str">
        <f>""</f>
        <v/>
      </c>
      <c r="CS5960" t="str">
        <f>""</f>
        <v/>
      </c>
    </row>
    <row r="5961" spans="1:97" x14ac:dyDescent="0.25">
      <c r="A5961" t="s">
        <v>1089</v>
      </c>
      <c r="B5961" t="s">
        <v>585</v>
      </c>
      <c r="C5961" t="s">
        <v>2184</v>
      </c>
      <c r="D5961" t="s">
        <v>585</v>
      </c>
      <c r="E5961" t="s">
        <v>36356</v>
      </c>
      <c r="F5961" t="s">
        <v>108</v>
      </c>
      <c r="H5961" t="s">
        <v>36357</v>
      </c>
      <c r="I5961" t="s">
        <v>499</v>
      </c>
      <c r="J5961" t="s">
        <v>111</v>
      </c>
      <c r="K5961" t="str">
        <f>"85338"</f>
        <v>85338</v>
      </c>
      <c r="L5961" t="s">
        <v>6308</v>
      </c>
      <c r="M5961" t="s">
        <v>36357</v>
      </c>
      <c r="N5961" t="s">
        <v>499</v>
      </c>
      <c r="O5961" t="s">
        <v>111</v>
      </c>
      <c r="P5961" t="str">
        <f>"85338-6337"</f>
        <v>85338-6337</v>
      </c>
      <c r="Q5961" t="s">
        <v>113</v>
      </c>
      <c r="R5961" t="str">
        <f>"400-56-606"</f>
        <v>400-56-606</v>
      </c>
      <c r="S5961" t="s">
        <v>6774</v>
      </c>
      <c r="T5961" t="s">
        <v>6775</v>
      </c>
      <c r="U5961">
        <v>1727</v>
      </c>
      <c r="V5961">
        <v>0</v>
      </c>
      <c r="W5961">
        <v>3</v>
      </c>
      <c r="X5961">
        <v>2016</v>
      </c>
      <c r="Z5961">
        <v>1</v>
      </c>
      <c r="AB5961">
        <v>0</v>
      </c>
      <c r="AC5961" t="s">
        <v>115</v>
      </c>
      <c r="AD5961">
        <v>2</v>
      </c>
      <c r="AE5961" t="s">
        <v>115</v>
      </c>
      <c r="AF5961">
        <v>0</v>
      </c>
      <c r="AG5961">
        <v>0</v>
      </c>
      <c r="AH5961" t="s">
        <v>116</v>
      </c>
      <c r="AI5961" s="1">
        <v>98619</v>
      </c>
      <c r="AJ5961" s="2">
        <v>0.31</v>
      </c>
      <c r="AK5961" s="1">
        <v>317471</v>
      </c>
      <c r="AL5961" t="s">
        <v>117</v>
      </c>
      <c r="AM5961" t="s">
        <v>118</v>
      </c>
      <c r="AN5961">
        <v>7773</v>
      </c>
      <c r="AO5961">
        <v>0.18</v>
      </c>
      <c r="AR5961">
        <v>1</v>
      </c>
      <c r="AS5961" s="1">
        <v>20950</v>
      </c>
      <c r="AT5961" s="1">
        <v>4190</v>
      </c>
      <c r="AU5961" s="1">
        <v>16760</v>
      </c>
      <c r="AV5961">
        <v>80</v>
      </c>
      <c r="AX5961" s="1">
        <v>2036.72</v>
      </c>
      <c r="AY5961" t="s">
        <v>1246</v>
      </c>
      <c r="AZ5961" t="s">
        <v>1246</v>
      </c>
      <c r="BA5961" t="s">
        <v>1247</v>
      </c>
      <c r="BE5961" s="3">
        <v>42501</v>
      </c>
      <c r="BF5961" s="1">
        <v>253651</v>
      </c>
      <c r="BG5961" t="s">
        <v>2780</v>
      </c>
      <c r="BH5961" s="1">
        <v>146.87</v>
      </c>
      <c r="BI5961" s="1">
        <v>218852</v>
      </c>
      <c r="BJ5961" s="3">
        <v>42501</v>
      </c>
      <c r="BK5961" t="s">
        <v>123</v>
      </c>
      <c r="BL5961" t="str">
        <f>"2016.322884"</f>
        <v>2016.322884</v>
      </c>
      <c r="BM5961" t="s">
        <v>175</v>
      </c>
      <c r="BO5961" t="s">
        <v>36358</v>
      </c>
      <c r="BS5961">
        <v>30</v>
      </c>
      <c r="BW5961" t="str">
        <f>""</f>
        <v/>
      </c>
      <c r="CH5961" t="str">
        <f>""</f>
        <v/>
      </c>
      <c r="CS5961" t="str">
        <f>""</f>
        <v/>
      </c>
    </row>
    <row r="5962" spans="1:97" x14ac:dyDescent="0.25">
      <c r="A5962" t="s">
        <v>36359</v>
      </c>
      <c r="B5962" t="s">
        <v>10586</v>
      </c>
      <c r="C5962" t="s">
        <v>4515</v>
      </c>
      <c r="D5962" t="s">
        <v>10586</v>
      </c>
      <c r="E5962" t="s">
        <v>36360</v>
      </c>
      <c r="F5962" t="s">
        <v>108</v>
      </c>
      <c r="H5962" t="s">
        <v>36361</v>
      </c>
      <c r="I5962" t="s">
        <v>225</v>
      </c>
      <c r="J5962" t="s">
        <v>111</v>
      </c>
      <c r="K5962" t="str">
        <f>"85212"</f>
        <v>85212</v>
      </c>
      <c r="L5962" t="s">
        <v>4035</v>
      </c>
      <c r="M5962" t="s">
        <v>36361</v>
      </c>
      <c r="N5962" t="s">
        <v>225</v>
      </c>
      <c r="O5962" t="s">
        <v>111</v>
      </c>
      <c r="P5962" t="str">
        <f>"85212-1411"</f>
        <v>85212-1411</v>
      </c>
      <c r="Q5962" t="s">
        <v>113</v>
      </c>
      <c r="R5962" t="str">
        <f>"304-02-123"</f>
        <v>304-02-123</v>
      </c>
      <c r="S5962" t="s">
        <v>7300</v>
      </c>
      <c r="T5962" t="s">
        <v>7301</v>
      </c>
      <c r="U5962">
        <v>1669</v>
      </c>
      <c r="V5962">
        <v>0</v>
      </c>
      <c r="W5962">
        <v>3</v>
      </c>
      <c r="X5962">
        <v>1999</v>
      </c>
      <c r="Z5962">
        <v>1</v>
      </c>
      <c r="AA5962" t="s">
        <v>26</v>
      </c>
      <c r="AB5962">
        <v>0</v>
      </c>
      <c r="AC5962" t="s">
        <v>115</v>
      </c>
      <c r="AD5962">
        <v>3</v>
      </c>
      <c r="AE5962" t="s">
        <v>115</v>
      </c>
      <c r="AF5962">
        <v>0</v>
      </c>
      <c r="AG5962">
        <v>0</v>
      </c>
      <c r="AH5962" t="s">
        <v>116</v>
      </c>
      <c r="AI5962" s="1">
        <v>73722</v>
      </c>
      <c r="AJ5962" s="2">
        <v>0.25</v>
      </c>
      <c r="AK5962" s="1">
        <v>298452</v>
      </c>
      <c r="AL5962" t="s">
        <v>117</v>
      </c>
      <c r="AM5962" t="s">
        <v>191</v>
      </c>
      <c r="AN5962">
        <v>7015</v>
      </c>
      <c r="AO5962">
        <v>0.16</v>
      </c>
      <c r="AP5962">
        <v>1</v>
      </c>
      <c r="AR5962">
        <v>1</v>
      </c>
      <c r="AS5962" s="1">
        <v>20320</v>
      </c>
      <c r="AT5962" s="1">
        <v>4060</v>
      </c>
      <c r="AU5962" s="1">
        <v>16260</v>
      </c>
      <c r="AV5962">
        <v>80.02</v>
      </c>
      <c r="AX5962" s="1">
        <v>1379.24</v>
      </c>
      <c r="AY5962" t="s">
        <v>7302</v>
      </c>
      <c r="AZ5962" t="s">
        <v>777</v>
      </c>
      <c r="BA5962" t="s">
        <v>572</v>
      </c>
      <c r="BE5962" s="3">
        <v>41834</v>
      </c>
      <c r="BF5962" s="1">
        <v>220000</v>
      </c>
      <c r="BG5962" t="s">
        <v>36362</v>
      </c>
      <c r="BH5962" s="1">
        <v>131.82</v>
      </c>
      <c r="BI5962" s="1">
        <v>224730</v>
      </c>
      <c r="BJ5962" s="3">
        <v>41834</v>
      </c>
      <c r="BK5962" t="s">
        <v>123</v>
      </c>
      <c r="BL5962" t="str">
        <f>"2014.458701"</f>
        <v>2014.458701</v>
      </c>
      <c r="BM5962" t="s">
        <v>135</v>
      </c>
      <c r="BO5962" t="s">
        <v>36363</v>
      </c>
      <c r="BS5962">
        <v>30</v>
      </c>
      <c r="BW5962" t="str">
        <f>""</f>
        <v/>
      </c>
      <c r="CH5962" t="str">
        <f>""</f>
        <v/>
      </c>
      <c r="CS5962" t="str">
        <f>""</f>
        <v/>
      </c>
    </row>
    <row r="5963" spans="1:97" x14ac:dyDescent="0.25">
      <c r="A5963" t="s">
        <v>6060</v>
      </c>
      <c r="B5963" t="s">
        <v>31202</v>
      </c>
      <c r="E5963" t="s">
        <v>36364</v>
      </c>
      <c r="F5963" t="s">
        <v>108</v>
      </c>
      <c r="H5963" t="s">
        <v>36365</v>
      </c>
      <c r="I5963" t="s">
        <v>167</v>
      </c>
      <c r="J5963" t="s">
        <v>111</v>
      </c>
      <c r="K5963" t="str">
        <f>"85339"</f>
        <v>85339</v>
      </c>
      <c r="L5963" t="s">
        <v>6788</v>
      </c>
      <c r="M5963" t="s">
        <v>36365</v>
      </c>
      <c r="N5963" t="s">
        <v>167</v>
      </c>
      <c r="O5963" t="s">
        <v>111</v>
      </c>
      <c r="P5963" t="str">
        <f>"85339-4238"</f>
        <v>85339-4238</v>
      </c>
      <c r="Q5963" t="s">
        <v>113</v>
      </c>
      <c r="R5963" t="str">
        <f>"104-78-062"</f>
        <v>104-78-062</v>
      </c>
      <c r="S5963" t="s">
        <v>36366</v>
      </c>
      <c r="T5963" t="s">
        <v>36366</v>
      </c>
      <c r="U5963">
        <v>1918</v>
      </c>
      <c r="V5963">
        <v>0</v>
      </c>
      <c r="W5963">
        <v>4</v>
      </c>
      <c r="X5963">
        <v>2005</v>
      </c>
      <c r="Z5963">
        <v>2</v>
      </c>
      <c r="AB5963">
        <v>0</v>
      </c>
      <c r="AC5963" t="s">
        <v>115</v>
      </c>
      <c r="AD5963">
        <v>2</v>
      </c>
      <c r="AE5963" t="s">
        <v>115</v>
      </c>
      <c r="AF5963">
        <v>0</v>
      </c>
      <c r="AG5963">
        <v>0</v>
      </c>
      <c r="AH5963" t="s">
        <v>116</v>
      </c>
      <c r="AI5963" s="1">
        <v>30718</v>
      </c>
      <c r="AJ5963" s="2">
        <v>0.13</v>
      </c>
      <c r="AK5963" s="1">
        <v>244368</v>
      </c>
      <c r="AL5963" t="s">
        <v>117</v>
      </c>
      <c r="AM5963" t="s">
        <v>171</v>
      </c>
      <c r="AN5963">
        <v>5500</v>
      </c>
      <c r="AO5963">
        <v>0.13</v>
      </c>
      <c r="AP5963">
        <v>1</v>
      </c>
      <c r="AR5963">
        <v>1</v>
      </c>
      <c r="AS5963" s="1">
        <v>15910</v>
      </c>
      <c r="AT5963" s="1">
        <v>3180</v>
      </c>
      <c r="AU5963" s="1">
        <v>12730</v>
      </c>
      <c r="AV5963">
        <v>80.010000000000005</v>
      </c>
      <c r="AX5963" s="1">
        <v>1733.78</v>
      </c>
      <c r="AY5963" t="s">
        <v>5777</v>
      </c>
      <c r="AZ5963" t="s">
        <v>5777</v>
      </c>
      <c r="BA5963" t="s">
        <v>173</v>
      </c>
      <c r="BB5963" s="3">
        <v>42907</v>
      </c>
      <c r="BD5963" t="s">
        <v>157</v>
      </c>
      <c r="BE5963" s="3">
        <v>42171</v>
      </c>
      <c r="BF5963" s="1">
        <v>175900</v>
      </c>
      <c r="BG5963" t="s">
        <v>36367</v>
      </c>
      <c r="BH5963" s="1">
        <v>91.71</v>
      </c>
      <c r="BI5963" s="1">
        <v>213650</v>
      </c>
      <c r="BJ5963" s="3">
        <v>43507</v>
      </c>
      <c r="BK5963" t="s">
        <v>123</v>
      </c>
      <c r="BL5963" t="str">
        <f>"2019.92853"</f>
        <v>2019.92853</v>
      </c>
      <c r="BM5963" t="s">
        <v>3040</v>
      </c>
      <c r="BN5963" t="s">
        <v>3041</v>
      </c>
      <c r="BO5963" t="s">
        <v>36364</v>
      </c>
      <c r="BR5963" t="s">
        <v>139</v>
      </c>
      <c r="BW5963" t="str">
        <f>""</f>
        <v/>
      </c>
      <c r="CH5963" t="str">
        <f>""</f>
        <v/>
      </c>
      <c r="CS5963" t="str">
        <f>""</f>
        <v/>
      </c>
    </row>
    <row r="5964" spans="1:97" x14ac:dyDescent="0.25">
      <c r="B5964" t="s">
        <v>36368</v>
      </c>
      <c r="E5964" t="s">
        <v>36369</v>
      </c>
      <c r="F5964" t="s">
        <v>108</v>
      </c>
      <c r="H5964" t="s">
        <v>36370</v>
      </c>
      <c r="I5964" t="s">
        <v>110</v>
      </c>
      <c r="J5964" t="s">
        <v>111</v>
      </c>
      <c r="K5964" t="str">
        <f>"85225"</f>
        <v>85225</v>
      </c>
      <c r="L5964" t="s">
        <v>1300</v>
      </c>
      <c r="M5964" t="s">
        <v>36370</v>
      </c>
      <c r="N5964" t="s">
        <v>110</v>
      </c>
      <c r="O5964" t="s">
        <v>111</v>
      </c>
      <c r="P5964" t="str">
        <f>"85225-8124"</f>
        <v>85225-8124</v>
      </c>
      <c r="Q5964" t="s">
        <v>113</v>
      </c>
      <c r="R5964" t="str">
        <f>"302-69-608"</f>
        <v>302-69-608</v>
      </c>
      <c r="S5964" t="s">
        <v>36371</v>
      </c>
      <c r="T5964" t="s">
        <v>36372</v>
      </c>
      <c r="U5964">
        <v>1684</v>
      </c>
      <c r="V5964">
        <v>0</v>
      </c>
      <c r="W5964">
        <v>3</v>
      </c>
      <c r="X5964">
        <v>1997</v>
      </c>
      <c r="Z5964">
        <v>1</v>
      </c>
      <c r="AA5964" t="s">
        <v>26</v>
      </c>
      <c r="AB5964">
        <v>0</v>
      </c>
      <c r="AC5964" t="s">
        <v>115</v>
      </c>
      <c r="AD5964">
        <v>2</v>
      </c>
      <c r="AE5964" t="s">
        <v>115</v>
      </c>
      <c r="AF5964">
        <v>0</v>
      </c>
      <c r="AG5964">
        <v>0</v>
      </c>
      <c r="AH5964" t="s">
        <v>116</v>
      </c>
      <c r="AI5964" s="1">
        <v>48764</v>
      </c>
      <c r="AJ5964" s="2">
        <v>0.16</v>
      </c>
      <c r="AK5964" s="1">
        <v>309246</v>
      </c>
      <c r="AL5964" t="s">
        <v>117</v>
      </c>
      <c r="AM5964" t="s">
        <v>118</v>
      </c>
      <c r="AN5964">
        <v>5336</v>
      </c>
      <c r="AO5964">
        <v>0.12</v>
      </c>
      <c r="AP5964">
        <v>1</v>
      </c>
      <c r="AR5964">
        <v>1</v>
      </c>
      <c r="AS5964" s="1">
        <v>20360</v>
      </c>
      <c r="AT5964" s="1">
        <v>4070</v>
      </c>
      <c r="AU5964" s="1">
        <v>16290</v>
      </c>
      <c r="AV5964">
        <v>80.010000000000005</v>
      </c>
      <c r="AX5964" s="1">
        <v>1496.7</v>
      </c>
      <c r="AY5964" t="s">
        <v>9839</v>
      </c>
      <c r="AZ5964" t="s">
        <v>2906</v>
      </c>
      <c r="BA5964" t="s">
        <v>2957</v>
      </c>
      <c r="BB5964" s="3">
        <v>42405</v>
      </c>
      <c r="BD5964" t="s">
        <v>240</v>
      </c>
      <c r="BE5964" s="3">
        <v>42352</v>
      </c>
      <c r="BF5964" s="1">
        <v>255000</v>
      </c>
      <c r="BG5964" t="s">
        <v>10889</v>
      </c>
      <c r="BH5964" s="1">
        <v>151.43</v>
      </c>
      <c r="BI5964" s="1">
        <v>260482</v>
      </c>
      <c r="BJ5964" s="3">
        <v>42352</v>
      </c>
      <c r="BK5964" t="s">
        <v>123</v>
      </c>
      <c r="BL5964" t="str">
        <f>"2015.881683"</f>
        <v>2015.881683</v>
      </c>
      <c r="BM5964" t="s">
        <v>820</v>
      </c>
      <c r="BO5964" t="s">
        <v>36373</v>
      </c>
      <c r="BS5964">
        <v>30</v>
      </c>
      <c r="BW5964" t="str">
        <f>""</f>
        <v/>
      </c>
      <c r="CH5964" t="str">
        <f>""</f>
        <v/>
      </c>
      <c r="CS5964" t="str">
        <f>""</f>
        <v/>
      </c>
    </row>
    <row r="5965" spans="1:97" x14ac:dyDescent="0.25">
      <c r="A5965" t="s">
        <v>2828</v>
      </c>
      <c r="B5965" t="s">
        <v>36374</v>
      </c>
      <c r="C5965" t="s">
        <v>7440</v>
      </c>
      <c r="D5965" t="s">
        <v>36374</v>
      </c>
      <c r="E5965" t="s">
        <v>36375</v>
      </c>
      <c r="F5965" t="s">
        <v>108</v>
      </c>
      <c r="H5965" t="s">
        <v>36376</v>
      </c>
      <c r="I5965" t="s">
        <v>453</v>
      </c>
      <c r="J5965" t="s">
        <v>111</v>
      </c>
      <c r="K5965" t="str">
        <f>"85382"</f>
        <v>85382</v>
      </c>
      <c r="L5965" t="s">
        <v>9293</v>
      </c>
      <c r="M5965" t="s">
        <v>36376</v>
      </c>
      <c r="N5965" t="s">
        <v>453</v>
      </c>
      <c r="O5965" t="s">
        <v>111</v>
      </c>
      <c r="P5965" t="str">
        <f>"85382-3542"</f>
        <v>85382-3542</v>
      </c>
      <c r="Q5965" t="s">
        <v>113</v>
      </c>
      <c r="R5965" t="str">
        <f>"200-54-735"</f>
        <v>200-54-735</v>
      </c>
      <c r="S5965" t="s">
        <v>36377</v>
      </c>
      <c r="T5965" t="s">
        <v>36377</v>
      </c>
      <c r="U5965">
        <v>1702</v>
      </c>
      <c r="V5965">
        <v>0</v>
      </c>
      <c r="W5965">
        <v>3</v>
      </c>
      <c r="X5965">
        <v>1996</v>
      </c>
      <c r="Z5965">
        <v>1</v>
      </c>
      <c r="AB5965">
        <v>0</v>
      </c>
      <c r="AC5965" t="s">
        <v>115</v>
      </c>
      <c r="AD5965">
        <v>2</v>
      </c>
      <c r="AE5965" t="s">
        <v>115</v>
      </c>
      <c r="AF5965">
        <v>0</v>
      </c>
      <c r="AG5965">
        <v>0</v>
      </c>
      <c r="AH5965" t="s">
        <v>116</v>
      </c>
      <c r="AI5965" s="1">
        <v>53656</v>
      </c>
      <c r="AJ5965" s="2">
        <v>0.2</v>
      </c>
      <c r="AK5965" s="1">
        <v>271205</v>
      </c>
      <c r="AL5965" t="s">
        <v>117</v>
      </c>
      <c r="AM5965" t="s">
        <v>3345</v>
      </c>
      <c r="AN5965">
        <v>5705</v>
      </c>
      <c r="AO5965">
        <v>0.13</v>
      </c>
      <c r="AP5965">
        <v>1</v>
      </c>
      <c r="AR5965">
        <v>1</v>
      </c>
      <c r="AS5965" s="1">
        <v>18500</v>
      </c>
      <c r="AT5965" s="1">
        <v>3700</v>
      </c>
      <c r="AU5965" s="1">
        <v>14800</v>
      </c>
      <c r="AV5965">
        <v>80</v>
      </c>
      <c r="AX5965" s="1">
        <v>1477.66</v>
      </c>
      <c r="AY5965" t="s">
        <v>5573</v>
      </c>
      <c r="AZ5965" t="s">
        <v>5573</v>
      </c>
      <c r="BA5965" t="s">
        <v>1800</v>
      </c>
      <c r="BE5965" s="3">
        <v>42244</v>
      </c>
      <c r="BF5965" s="1">
        <v>210600</v>
      </c>
      <c r="BG5965" t="s">
        <v>36378</v>
      </c>
      <c r="BH5965" s="1">
        <v>123.74</v>
      </c>
      <c r="BI5965" s="1">
        <v>217549</v>
      </c>
      <c r="BJ5965" s="3">
        <v>42244</v>
      </c>
      <c r="BK5965" t="s">
        <v>123</v>
      </c>
      <c r="BL5965" t="str">
        <f>"2015.626547"</f>
        <v>2015.626547</v>
      </c>
      <c r="BM5965" t="s">
        <v>2368</v>
      </c>
      <c r="BN5965" t="s">
        <v>6128</v>
      </c>
      <c r="BO5965" t="s">
        <v>36379</v>
      </c>
      <c r="BS5965">
        <v>30</v>
      </c>
      <c r="BW5965" t="str">
        <f>""</f>
        <v/>
      </c>
      <c r="CH5965" t="str">
        <f>""</f>
        <v/>
      </c>
      <c r="CS5965" t="str">
        <f>""</f>
        <v/>
      </c>
    </row>
    <row r="5966" spans="1:97" x14ac:dyDescent="0.25">
      <c r="A5966" t="s">
        <v>996</v>
      </c>
      <c r="B5966" t="s">
        <v>36380</v>
      </c>
      <c r="E5966" t="s">
        <v>36381</v>
      </c>
      <c r="F5966" t="s">
        <v>108</v>
      </c>
      <c r="H5966" t="s">
        <v>36382</v>
      </c>
      <c r="I5966" t="s">
        <v>5114</v>
      </c>
      <c r="J5966" t="s">
        <v>111</v>
      </c>
      <c r="K5966" t="str">
        <f>"85323"</f>
        <v>85323</v>
      </c>
      <c r="L5966" t="s">
        <v>2220</v>
      </c>
      <c r="M5966" t="s">
        <v>36382</v>
      </c>
      <c r="N5966" t="s">
        <v>5114</v>
      </c>
      <c r="O5966" t="s">
        <v>111</v>
      </c>
      <c r="P5966" t="str">
        <f>"85323-6263"</f>
        <v>85323-6263</v>
      </c>
      <c r="Q5966" t="s">
        <v>113</v>
      </c>
      <c r="R5966" t="str">
        <f>"500-30-319"</f>
        <v>500-30-319</v>
      </c>
      <c r="S5966" t="s">
        <v>24682</v>
      </c>
      <c r="T5966" t="s">
        <v>24682</v>
      </c>
      <c r="U5966">
        <v>2902</v>
      </c>
      <c r="V5966">
        <v>0</v>
      </c>
      <c r="W5966">
        <v>4</v>
      </c>
      <c r="X5966">
        <v>2003</v>
      </c>
      <c r="Z5966">
        <v>2</v>
      </c>
      <c r="AB5966">
        <v>0</v>
      </c>
      <c r="AC5966" t="s">
        <v>115</v>
      </c>
      <c r="AD5966">
        <v>3</v>
      </c>
      <c r="AE5966" t="s">
        <v>115</v>
      </c>
      <c r="AF5966">
        <v>0</v>
      </c>
      <c r="AG5966">
        <v>0</v>
      </c>
      <c r="AH5966" t="s">
        <v>116</v>
      </c>
      <c r="AI5966" s="1">
        <v>89321</v>
      </c>
      <c r="AJ5966" s="2">
        <v>0.3</v>
      </c>
      <c r="AK5966" s="1">
        <v>299321</v>
      </c>
      <c r="AL5966" t="s">
        <v>117</v>
      </c>
      <c r="AM5966" t="s">
        <v>118</v>
      </c>
      <c r="AN5966">
        <v>7348</v>
      </c>
      <c r="AO5966">
        <v>0.17</v>
      </c>
      <c r="AP5966">
        <v>1</v>
      </c>
      <c r="AR5966">
        <v>1</v>
      </c>
      <c r="AS5966" s="1">
        <v>20660</v>
      </c>
      <c r="AT5966" s="1">
        <v>4130</v>
      </c>
      <c r="AU5966" s="1">
        <v>16530</v>
      </c>
      <c r="AV5966">
        <v>80.010000000000005</v>
      </c>
      <c r="AX5966" s="1">
        <v>2003.1</v>
      </c>
      <c r="AY5966" t="s">
        <v>5458</v>
      </c>
      <c r="AZ5966" t="s">
        <v>5458</v>
      </c>
      <c r="BA5966" t="s">
        <v>4254</v>
      </c>
      <c r="BE5966" s="3">
        <v>41747</v>
      </c>
      <c r="BF5966" s="1">
        <v>213000</v>
      </c>
      <c r="BG5966" t="s">
        <v>36383</v>
      </c>
      <c r="BH5966" s="1">
        <v>73.400000000000006</v>
      </c>
      <c r="BI5966" s="1">
        <v>210000</v>
      </c>
      <c r="BJ5966" s="3">
        <v>42426</v>
      </c>
      <c r="BK5966" t="s">
        <v>123</v>
      </c>
      <c r="BL5966" t="str">
        <f>"2016.121453"</f>
        <v>2016.121453</v>
      </c>
      <c r="BM5966" t="s">
        <v>903</v>
      </c>
      <c r="BO5966" t="s">
        <v>36384</v>
      </c>
      <c r="BS5966">
        <v>30</v>
      </c>
      <c r="BW5966" t="str">
        <f>""</f>
        <v/>
      </c>
      <c r="CH5966" t="str">
        <f>""</f>
        <v/>
      </c>
      <c r="CS5966" t="str">
        <f>""</f>
        <v/>
      </c>
    </row>
    <row r="5967" spans="1:97" x14ac:dyDescent="0.25">
      <c r="A5967" t="s">
        <v>2123</v>
      </c>
      <c r="B5967" t="s">
        <v>2777</v>
      </c>
      <c r="E5967" t="s">
        <v>36385</v>
      </c>
      <c r="F5967" t="s">
        <v>108</v>
      </c>
      <c r="H5967" t="s">
        <v>36386</v>
      </c>
      <c r="I5967" t="s">
        <v>390</v>
      </c>
      <c r="J5967" t="s">
        <v>111</v>
      </c>
      <c r="K5967" t="str">
        <f>"85050"</f>
        <v>85050</v>
      </c>
      <c r="L5967" t="s">
        <v>5209</v>
      </c>
      <c r="M5967" t="s">
        <v>36386</v>
      </c>
      <c r="N5967" t="s">
        <v>390</v>
      </c>
      <c r="O5967" t="s">
        <v>111</v>
      </c>
      <c r="P5967" t="str">
        <f>"85050-3986"</f>
        <v>85050-3986</v>
      </c>
      <c r="Q5967" t="s">
        <v>113</v>
      </c>
      <c r="R5967" t="str">
        <f>"213-14-838"</f>
        <v>213-14-838</v>
      </c>
      <c r="S5967" t="s">
        <v>28913</v>
      </c>
      <c r="T5967" t="s">
        <v>28914</v>
      </c>
      <c r="U5967">
        <v>1307</v>
      </c>
      <c r="V5967">
        <v>0</v>
      </c>
      <c r="W5967">
        <v>3</v>
      </c>
      <c r="X5967">
        <v>1994</v>
      </c>
      <c r="Z5967">
        <v>1</v>
      </c>
      <c r="AB5967">
        <v>0</v>
      </c>
      <c r="AC5967" t="s">
        <v>115</v>
      </c>
      <c r="AD5967">
        <v>2</v>
      </c>
      <c r="AE5967" t="s">
        <v>115</v>
      </c>
      <c r="AF5967">
        <v>0</v>
      </c>
      <c r="AG5967">
        <v>0</v>
      </c>
      <c r="AH5967" t="s">
        <v>116</v>
      </c>
      <c r="AI5967" s="1">
        <v>45445</v>
      </c>
      <c r="AJ5967" s="2">
        <v>0.16</v>
      </c>
      <c r="AK5967" s="1">
        <v>290445</v>
      </c>
      <c r="AL5967" t="s">
        <v>117</v>
      </c>
      <c r="AM5967" t="s">
        <v>191</v>
      </c>
      <c r="AN5967">
        <v>4633</v>
      </c>
      <c r="AO5967">
        <v>0.11</v>
      </c>
      <c r="AP5967">
        <v>1</v>
      </c>
      <c r="AR5967">
        <v>1</v>
      </c>
      <c r="AS5967" s="1">
        <v>19720</v>
      </c>
      <c r="AT5967" s="1">
        <v>3940</v>
      </c>
      <c r="AU5967" s="1">
        <v>15780</v>
      </c>
      <c r="AV5967">
        <v>80.02</v>
      </c>
      <c r="AX5967" s="1">
        <v>1639.32</v>
      </c>
      <c r="AY5967" t="s">
        <v>8037</v>
      </c>
      <c r="AZ5967" t="s">
        <v>2550</v>
      </c>
      <c r="BA5967" t="s">
        <v>1318</v>
      </c>
      <c r="BE5967" s="3">
        <v>42395</v>
      </c>
      <c r="BF5967" s="1">
        <v>245000</v>
      </c>
      <c r="BG5967" t="s">
        <v>36387</v>
      </c>
      <c r="BH5967" s="1">
        <v>187.45</v>
      </c>
      <c r="BI5967" s="1">
        <v>245000</v>
      </c>
      <c r="BJ5967" s="3">
        <v>42395</v>
      </c>
      <c r="BK5967" t="s">
        <v>123</v>
      </c>
      <c r="BL5967" t="str">
        <f>"2016.49899"</f>
        <v>2016.49899</v>
      </c>
      <c r="BM5967" t="s">
        <v>709</v>
      </c>
      <c r="BO5967" t="s">
        <v>36388</v>
      </c>
      <c r="BS5967">
        <v>30</v>
      </c>
      <c r="BW5967" t="str">
        <f>""</f>
        <v/>
      </c>
      <c r="CH5967" t="str">
        <f>""</f>
        <v/>
      </c>
      <c r="CS5967" t="str">
        <f>""</f>
        <v/>
      </c>
    </row>
    <row r="5968" spans="1:97" x14ac:dyDescent="0.25">
      <c r="A5968" t="s">
        <v>325</v>
      </c>
      <c r="B5968" t="s">
        <v>32957</v>
      </c>
      <c r="C5968" t="s">
        <v>21473</v>
      </c>
      <c r="D5968" t="s">
        <v>32957</v>
      </c>
      <c r="E5968" t="s">
        <v>36389</v>
      </c>
      <c r="F5968" t="s">
        <v>108</v>
      </c>
      <c r="H5968" t="s">
        <v>36390</v>
      </c>
      <c r="I5968" t="s">
        <v>144</v>
      </c>
      <c r="J5968" t="s">
        <v>111</v>
      </c>
      <c r="K5968" t="str">
        <f>"85396"</f>
        <v>85396</v>
      </c>
      <c r="L5968" t="s">
        <v>5429</v>
      </c>
      <c r="M5968" t="s">
        <v>36390</v>
      </c>
      <c r="N5968" t="s">
        <v>144</v>
      </c>
      <c r="O5968" t="s">
        <v>111</v>
      </c>
      <c r="P5968" t="str">
        <f>"85396-5627"</f>
        <v>85396-5627</v>
      </c>
      <c r="Q5968" t="s">
        <v>113</v>
      </c>
      <c r="R5968" t="str">
        <f>"502-34-187"</f>
        <v>502-34-187</v>
      </c>
      <c r="S5968" t="s">
        <v>36391</v>
      </c>
      <c r="T5968" t="s">
        <v>17810</v>
      </c>
      <c r="U5968">
        <v>1400</v>
      </c>
      <c r="V5968">
        <v>0</v>
      </c>
      <c r="W5968">
        <v>2</v>
      </c>
      <c r="X5968">
        <v>1974</v>
      </c>
      <c r="Z5968">
        <v>1</v>
      </c>
      <c r="AB5968">
        <v>0</v>
      </c>
      <c r="AC5968" t="s">
        <v>5188</v>
      </c>
      <c r="AD5968">
        <v>2</v>
      </c>
      <c r="AE5968" t="s">
        <v>5188</v>
      </c>
      <c r="AF5968">
        <v>0</v>
      </c>
      <c r="AG5968">
        <v>0</v>
      </c>
      <c r="AH5968" t="s">
        <v>116</v>
      </c>
      <c r="AI5968" s="1">
        <v>-43890</v>
      </c>
      <c r="AJ5968" s="2">
        <v>-0.18</v>
      </c>
      <c r="AK5968" s="1">
        <v>241218</v>
      </c>
      <c r="AL5968" t="s">
        <v>117</v>
      </c>
      <c r="AM5968" t="s">
        <v>376</v>
      </c>
      <c r="AN5968">
        <v>45000</v>
      </c>
      <c r="AO5968">
        <v>1.03</v>
      </c>
      <c r="AP5968">
        <v>1</v>
      </c>
      <c r="AR5968">
        <v>1</v>
      </c>
      <c r="AS5968" s="1">
        <v>18060</v>
      </c>
      <c r="AT5968" s="1">
        <v>3610</v>
      </c>
      <c r="AU5968" s="1">
        <v>14450</v>
      </c>
      <c r="AV5968">
        <v>80.010000000000005</v>
      </c>
      <c r="AX5968" s="1">
        <v>1129.3</v>
      </c>
      <c r="AY5968" t="s">
        <v>217</v>
      </c>
      <c r="AZ5968" t="s">
        <v>217</v>
      </c>
      <c r="BA5968" t="s">
        <v>218</v>
      </c>
      <c r="BE5968" s="3">
        <v>42233</v>
      </c>
      <c r="BF5968" s="1">
        <v>170980</v>
      </c>
      <c r="BG5968" t="s">
        <v>36392</v>
      </c>
      <c r="BH5968" s="1">
        <v>122.13</v>
      </c>
      <c r="BI5968" s="1">
        <v>285108</v>
      </c>
      <c r="BJ5968" s="3">
        <v>43605</v>
      </c>
      <c r="BK5968" t="s">
        <v>123</v>
      </c>
      <c r="BL5968" t="str">
        <f>"2019.369786"</f>
        <v>2019.369786</v>
      </c>
      <c r="BM5968" t="s">
        <v>3562</v>
      </c>
      <c r="BN5968" t="s">
        <v>3686</v>
      </c>
      <c r="BO5968" t="s">
        <v>36393</v>
      </c>
      <c r="BP5968" t="s">
        <v>36394</v>
      </c>
      <c r="BR5968" t="s">
        <v>139</v>
      </c>
      <c r="BW5968" t="str">
        <f>""</f>
        <v/>
      </c>
      <c r="CH5968" t="str">
        <f>""</f>
        <v/>
      </c>
      <c r="CS5968" t="str">
        <f>""</f>
        <v/>
      </c>
    </row>
    <row r="5969" spans="1:97" x14ac:dyDescent="0.25">
      <c r="A5969" t="s">
        <v>26345</v>
      </c>
      <c r="B5969" t="s">
        <v>8664</v>
      </c>
      <c r="E5969" t="s">
        <v>36395</v>
      </c>
      <c r="F5969" t="s">
        <v>108</v>
      </c>
      <c r="H5969" t="s">
        <v>36396</v>
      </c>
      <c r="I5969" t="s">
        <v>390</v>
      </c>
      <c r="J5969" t="s">
        <v>111</v>
      </c>
      <c r="K5969" t="str">
        <f>"85044"</f>
        <v>85044</v>
      </c>
      <c r="L5969" t="s">
        <v>1312</v>
      </c>
      <c r="M5969" t="s">
        <v>36396</v>
      </c>
      <c r="N5969" t="s">
        <v>390</v>
      </c>
      <c r="O5969" t="s">
        <v>111</v>
      </c>
      <c r="P5969" t="str">
        <f>"85044-5593"</f>
        <v>85044-5593</v>
      </c>
      <c r="Q5969" t="s">
        <v>113</v>
      </c>
      <c r="R5969" t="str">
        <f>"307-01-527"</f>
        <v>307-01-527</v>
      </c>
      <c r="S5969" t="s">
        <v>36397</v>
      </c>
      <c r="T5969" t="s">
        <v>36398</v>
      </c>
      <c r="U5969">
        <v>1353</v>
      </c>
      <c r="V5969">
        <v>0</v>
      </c>
      <c r="W5969">
        <v>2</v>
      </c>
      <c r="X5969">
        <v>1986</v>
      </c>
      <c r="Z5969">
        <v>2</v>
      </c>
      <c r="AA5969" t="s">
        <v>26</v>
      </c>
      <c r="AB5969">
        <v>0</v>
      </c>
      <c r="AC5969" t="s">
        <v>115</v>
      </c>
      <c r="AD5969">
        <v>2</v>
      </c>
      <c r="AE5969" t="s">
        <v>115</v>
      </c>
      <c r="AF5969">
        <v>0</v>
      </c>
      <c r="AG5969">
        <v>0</v>
      </c>
      <c r="AH5969" t="s">
        <v>116</v>
      </c>
      <c r="AI5969" s="1">
        <v>34346</v>
      </c>
      <c r="AJ5969" s="2">
        <v>0.12</v>
      </c>
      <c r="AK5969" s="1">
        <v>288464</v>
      </c>
      <c r="AL5969" t="s">
        <v>117</v>
      </c>
      <c r="AM5969" t="s">
        <v>191</v>
      </c>
      <c r="AN5969">
        <v>5558</v>
      </c>
      <c r="AO5969">
        <v>0.13</v>
      </c>
      <c r="AP5969">
        <v>1</v>
      </c>
      <c r="AR5969">
        <v>1</v>
      </c>
      <c r="AS5969" s="1">
        <v>19880</v>
      </c>
      <c r="AT5969" s="1">
        <v>3970</v>
      </c>
      <c r="AU5969" s="1">
        <v>15910</v>
      </c>
      <c r="AV5969">
        <v>80.03</v>
      </c>
      <c r="AW5969">
        <v>15</v>
      </c>
      <c r="AX5969" s="1">
        <v>1651.38</v>
      </c>
      <c r="AY5969" t="s">
        <v>11872</v>
      </c>
      <c r="AZ5969" t="s">
        <v>7255</v>
      </c>
      <c r="BA5969" t="s">
        <v>5328</v>
      </c>
      <c r="BE5969" s="3">
        <v>42482</v>
      </c>
      <c r="BF5969" s="1">
        <v>246000</v>
      </c>
      <c r="BG5969" t="s">
        <v>36399</v>
      </c>
      <c r="BH5969" s="1">
        <v>181.82</v>
      </c>
      <c r="BI5969" s="1">
        <v>254118</v>
      </c>
      <c r="BJ5969" s="3">
        <v>42482</v>
      </c>
      <c r="BK5969" t="s">
        <v>123</v>
      </c>
      <c r="BL5969" t="str">
        <f>"2016.270862"</f>
        <v>2016.270862</v>
      </c>
      <c r="BM5969" t="s">
        <v>594</v>
      </c>
      <c r="BO5969" t="s">
        <v>36400</v>
      </c>
      <c r="BS5969">
        <v>30</v>
      </c>
      <c r="BW5969" t="str">
        <f>""</f>
        <v/>
      </c>
      <c r="CH5969" t="str">
        <f>""</f>
        <v/>
      </c>
      <c r="CS5969" t="str">
        <f>""</f>
        <v/>
      </c>
    </row>
    <row r="5970" spans="1:97" x14ac:dyDescent="0.25">
      <c r="A5970" t="s">
        <v>4221</v>
      </c>
      <c r="B5970" t="s">
        <v>36401</v>
      </c>
      <c r="C5970" t="s">
        <v>2640</v>
      </c>
      <c r="D5970" t="s">
        <v>36401</v>
      </c>
      <c r="E5970" t="s">
        <v>36402</v>
      </c>
      <c r="F5970" t="s">
        <v>108</v>
      </c>
      <c r="H5970" t="s">
        <v>36403</v>
      </c>
      <c r="I5970" t="s">
        <v>225</v>
      </c>
      <c r="J5970" t="s">
        <v>111</v>
      </c>
      <c r="K5970" t="str">
        <f>"85215"</f>
        <v>85215</v>
      </c>
      <c r="L5970" t="s">
        <v>500</v>
      </c>
      <c r="M5970" t="s">
        <v>36403</v>
      </c>
      <c r="N5970" t="s">
        <v>225</v>
      </c>
      <c r="O5970" t="s">
        <v>111</v>
      </c>
      <c r="P5970" t="str">
        <f>"85215-2938"</f>
        <v>85215-2938</v>
      </c>
      <c r="Q5970" t="s">
        <v>113</v>
      </c>
      <c r="R5970" t="str">
        <f>"141-71-031"</f>
        <v>141-71-031</v>
      </c>
      <c r="S5970" t="s">
        <v>6660</v>
      </c>
      <c r="T5970" t="s">
        <v>6661</v>
      </c>
      <c r="U5970">
        <v>1851</v>
      </c>
      <c r="V5970">
        <v>0</v>
      </c>
      <c r="W5970">
        <v>2</v>
      </c>
      <c r="X5970">
        <v>1961</v>
      </c>
      <c r="Z5970">
        <v>1</v>
      </c>
      <c r="AA5970" t="s">
        <v>26</v>
      </c>
      <c r="AB5970">
        <v>0</v>
      </c>
      <c r="AC5970" t="s">
        <v>5188</v>
      </c>
      <c r="AD5970">
        <v>2</v>
      </c>
      <c r="AE5970" t="s">
        <v>5188</v>
      </c>
      <c r="AF5970">
        <v>0</v>
      </c>
      <c r="AG5970">
        <v>0</v>
      </c>
      <c r="AH5970" t="s">
        <v>116</v>
      </c>
      <c r="AI5970" s="1">
        <v>79188</v>
      </c>
      <c r="AJ5970" s="2">
        <v>0.26</v>
      </c>
      <c r="AK5970" s="1">
        <v>306693</v>
      </c>
      <c r="AL5970" t="s">
        <v>117</v>
      </c>
      <c r="AM5970" t="s">
        <v>917</v>
      </c>
      <c r="AN5970">
        <v>17670</v>
      </c>
      <c r="AO5970">
        <v>0.41</v>
      </c>
      <c r="AP5970">
        <v>1</v>
      </c>
      <c r="AR5970">
        <v>1</v>
      </c>
      <c r="AS5970" s="1">
        <v>20480</v>
      </c>
      <c r="AT5970" s="1">
        <v>4090</v>
      </c>
      <c r="AU5970" s="1">
        <v>16390</v>
      </c>
      <c r="AV5970">
        <v>80.03</v>
      </c>
      <c r="AX5970" s="1">
        <v>1321.64</v>
      </c>
      <c r="AY5970" t="s">
        <v>6662</v>
      </c>
      <c r="AZ5970" t="s">
        <v>5275</v>
      </c>
      <c r="BA5970" t="s">
        <v>3119</v>
      </c>
      <c r="BE5970" s="3">
        <v>42145</v>
      </c>
      <c r="BF5970" s="1">
        <v>225000</v>
      </c>
      <c r="BG5970" t="s">
        <v>36404</v>
      </c>
      <c r="BH5970" s="1">
        <v>121.56</v>
      </c>
      <c r="BI5970" s="1">
        <v>227505</v>
      </c>
      <c r="BJ5970" s="3">
        <v>42599</v>
      </c>
      <c r="BK5970" t="s">
        <v>123</v>
      </c>
      <c r="BL5970" t="str">
        <f>"2016.587556"</f>
        <v>2016.587556</v>
      </c>
      <c r="BM5970" t="s">
        <v>402</v>
      </c>
      <c r="BO5970" t="s">
        <v>36405</v>
      </c>
      <c r="BS5970">
        <v>30</v>
      </c>
      <c r="BW5970" t="str">
        <f>""</f>
        <v/>
      </c>
      <c r="CH5970" t="str">
        <f>""</f>
        <v/>
      </c>
      <c r="CS5970" t="str">
        <f>""</f>
        <v/>
      </c>
    </row>
    <row r="5971" spans="1:97" x14ac:dyDescent="0.25">
      <c r="A5971" t="s">
        <v>370</v>
      </c>
      <c r="B5971" t="s">
        <v>36406</v>
      </c>
      <c r="E5971" t="s">
        <v>36407</v>
      </c>
      <c r="F5971" t="s">
        <v>108</v>
      </c>
      <c r="H5971" t="s">
        <v>36408</v>
      </c>
      <c r="I5971" t="s">
        <v>390</v>
      </c>
      <c r="J5971" t="s">
        <v>111</v>
      </c>
      <c r="K5971" t="str">
        <f>"85041"</f>
        <v>85041</v>
      </c>
      <c r="L5971" t="s">
        <v>5416</v>
      </c>
      <c r="M5971" t="s">
        <v>36408</v>
      </c>
      <c r="N5971" t="s">
        <v>390</v>
      </c>
      <c r="O5971" t="s">
        <v>111</v>
      </c>
      <c r="P5971" t="str">
        <f>"85041-8113"</f>
        <v>85041-8113</v>
      </c>
      <c r="Q5971" t="s">
        <v>113</v>
      </c>
      <c r="R5971" t="str">
        <f>"300-40-300"</f>
        <v>300-40-300</v>
      </c>
      <c r="S5971" t="s">
        <v>36409</v>
      </c>
      <c r="T5971" t="s">
        <v>36409</v>
      </c>
      <c r="U5971">
        <v>2626</v>
      </c>
      <c r="V5971">
        <v>0</v>
      </c>
      <c r="W5971">
        <v>4</v>
      </c>
      <c r="X5971">
        <v>2005</v>
      </c>
      <c r="Z5971">
        <v>2</v>
      </c>
      <c r="AB5971">
        <v>0</v>
      </c>
      <c r="AC5971" t="s">
        <v>115</v>
      </c>
      <c r="AD5971">
        <v>3</v>
      </c>
      <c r="AE5971" t="s">
        <v>115</v>
      </c>
      <c r="AF5971">
        <v>0</v>
      </c>
      <c r="AG5971">
        <v>0</v>
      </c>
      <c r="AH5971" t="s">
        <v>116</v>
      </c>
      <c r="AI5971" s="1">
        <v>71286</v>
      </c>
      <c r="AJ5971" s="2">
        <v>0.24</v>
      </c>
      <c r="AK5971" s="1">
        <v>299591</v>
      </c>
      <c r="AL5971" t="s">
        <v>117</v>
      </c>
      <c r="AM5971" t="s">
        <v>191</v>
      </c>
      <c r="AN5971">
        <v>5699</v>
      </c>
      <c r="AO5971">
        <v>0.13</v>
      </c>
      <c r="AR5971">
        <v>1</v>
      </c>
      <c r="AS5971" s="1">
        <v>19830</v>
      </c>
      <c r="AT5971" s="1">
        <v>3960</v>
      </c>
      <c r="AU5971" s="1">
        <v>15870</v>
      </c>
      <c r="AV5971">
        <v>80.03</v>
      </c>
      <c r="AX5971" s="1">
        <v>1985.96</v>
      </c>
      <c r="AY5971" t="s">
        <v>23378</v>
      </c>
      <c r="AZ5971" t="s">
        <v>23378</v>
      </c>
      <c r="BA5971" t="s">
        <v>1661</v>
      </c>
      <c r="BE5971" s="3">
        <v>42076</v>
      </c>
      <c r="BF5971" s="1">
        <v>223500</v>
      </c>
      <c r="BG5971" t="s">
        <v>36410</v>
      </c>
      <c r="BH5971" s="1">
        <v>85.11</v>
      </c>
      <c r="BI5971" s="1">
        <v>228305</v>
      </c>
      <c r="BJ5971" s="3">
        <v>42076</v>
      </c>
      <c r="BK5971" t="s">
        <v>123</v>
      </c>
      <c r="BL5971" t="str">
        <f>"2015.171304"</f>
        <v>2015.171304</v>
      </c>
      <c r="BM5971" t="s">
        <v>544</v>
      </c>
      <c r="BO5971" t="s">
        <v>36411</v>
      </c>
      <c r="BS5971">
        <v>30</v>
      </c>
      <c r="BW5971" t="str">
        <f>""</f>
        <v/>
      </c>
      <c r="CH5971" t="str">
        <f>""</f>
        <v/>
      </c>
      <c r="CS5971" t="str">
        <f>""</f>
        <v/>
      </c>
    </row>
    <row r="5972" spans="1:97" x14ac:dyDescent="0.25">
      <c r="A5972" t="s">
        <v>1667</v>
      </c>
      <c r="B5972" t="s">
        <v>36412</v>
      </c>
      <c r="C5972" t="s">
        <v>2271</v>
      </c>
      <c r="D5972" t="s">
        <v>36412</v>
      </c>
      <c r="E5972" t="s">
        <v>36413</v>
      </c>
      <c r="F5972" t="s">
        <v>108</v>
      </c>
      <c r="H5972" t="s">
        <v>36414</v>
      </c>
      <c r="I5972" t="s">
        <v>390</v>
      </c>
      <c r="J5972" t="s">
        <v>111</v>
      </c>
      <c r="K5972" t="str">
        <f>"85042"</f>
        <v>85042</v>
      </c>
      <c r="L5972" t="s">
        <v>11136</v>
      </c>
      <c r="M5972" t="s">
        <v>36414</v>
      </c>
      <c r="N5972" t="s">
        <v>390</v>
      </c>
      <c r="O5972" t="s">
        <v>111</v>
      </c>
      <c r="P5972" t="str">
        <f>"85042-6863"</f>
        <v>85042-6863</v>
      </c>
      <c r="Q5972" t="s">
        <v>113</v>
      </c>
      <c r="R5972" t="str">
        <f>"301-33-347"</f>
        <v>301-33-347</v>
      </c>
      <c r="S5972" t="s">
        <v>11137</v>
      </c>
      <c r="T5972" t="s">
        <v>11137</v>
      </c>
      <c r="U5972">
        <v>1320</v>
      </c>
      <c r="V5972">
        <v>0</v>
      </c>
      <c r="W5972">
        <v>2</v>
      </c>
      <c r="X5972">
        <v>2003</v>
      </c>
      <c r="Z5972">
        <v>1</v>
      </c>
      <c r="AB5972">
        <v>0</v>
      </c>
      <c r="AC5972" t="s">
        <v>115</v>
      </c>
      <c r="AD5972">
        <v>2</v>
      </c>
      <c r="AE5972" t="s">
        <v>115</v>
      </c>
      <c r="AF5972">
        <v>0</v>
      </c>
      <c r="AG5972">
        <v>0</v>
      </c>
      <c r="AH5972" t="s">
        <v>116</v>
      </c>
      <c r="AI5972" s="1">
        <v>33291</v>
      </c>
      <c r="AJ5972" s="2">
        <v>0.14000000000000001</v>
      </c>
      <c r="AK5972" s="1">
        <v>243899</v>
      </c>
      <c r="AL5972" t="s">
        <v>117</v>
      </c>
      <c r="AM5972" t="s">
        <v>1302</v>
      </c>
      <c r="AN5972">
        <v>6184</v>
      </c>
      <c r="AO5972">
        <v>0.14000000000000001</v>
      </c>
      <c r="AP5972">
        <v>1</v>
      </c>
      <c r="AR5972">
        <v>1</v>
      </c>
      <c r="AS5972" s="1">
        <v>17100</v>
      </c>
      <c r="AT5972" s="1">
        <v>3420</v>
      </c>
      <c r="AU5972" s="1">
        <v>13680</v>
      </c>
      <c r="AV5972">
        <v>80</v>
      </c>
      <c r="AX5972" s="1">
        <v>1977.92</v>
      </c>
      <c r="AY5972" t="s">
        <v>6115</v>
      </c>
      <c r="AZ5972" t="s">
        <v>6115</v>
      </c>
      <c r="BA5972" t="s">
        <v>2860</v>
      </c>
      <c r="BE5972" s="3">
        <v>42542</v>
      </c>
      <c r="BF5972" s="1">
        <v>182000</v>
      </c>
      <c r="BG5972" t="s">
        <v>36415</v>
      </c>
      <c r="BH5972" s="1">
        <v>137.88</v>
      </c>
      <c r="BI5972" s="1">
        <v>210608</v>
      </c>
      <c r="BJ5972" s="3">
        <v>43354</v>
      </c>
      <c r="BK5972" t="s">
        <v>123</v>
      </c>
      <c r="BL5972" t="str">
        <f>"2018.682873"</f>
        <v>2018.682873</v>
      </c>
      <c r="BM5972" t="s">
        <v>1809</v>
      </c>
      <c r="BN5972" t="s">
        <v>1810</v>
      </c>
      <c r="BO5972" t="s">
        <v>36416</v>
      </c>
      <c r="BP5972" t="s">
        <v>36417</v>
      </c>
      <c r="BR5972" t="s">
        <v>139</v>
      </c>
      <c r="BW5972" t="str">
        <f>""</f>
        <v/>
      </c>
      <c r="CH5972" t="str">
        <f>""</f>
        <v/>
      </c>
      <c r="CS5972" t="str">
        <f>""</f>
        <v/>
      </c>
    </row>
    <row r="5973" spans="1:97" x14ac:dyDescent="0.25">
      <c r="A5973" t="s">
        <v>2294</v>
      </c>
      <c r="B5973" t="s">
        <v>10633</v>
      </c>
      <c r="E5973" t="s">
        <v>36418</v>
      </c>
      <c r="F5973" t="s">
        <v>108</v>
      </c>
      <c r="H5973" t="s">
        <v>36419</v>
      </c>
      <c r="I5973" t="s">
        <v>315</v>
      </c>
      <c r="J5973" t="s">
        <v>111</v>
      </c>
      <c r="K5973" t="str">
        <f>"85335"</f>
        <v>85335</v>
      </c>
      <c r="L5973" t="s">
        <v>168</v>
      </c>
      <c r="M5973" t="s">
        <v>36419</v>
      </c>
      <c r="N5973" t="s">
        <v>315</v>
      </c>
      <c r="O5973" t="s">
        <v>111</v>
      </c>
      <c r="P5973" t="str">
        <f>"85335-4373"</f>
        <v>85335-4373</v>
      </c>
      <c r="Q5973" t="s">
        <v>113</v>
      </c>
      <c r="R5973" t="str">
        <f>"501-33-204"</f>
        <v>501-33-204</v>
      </c>
      <c r="S5973" t="s">
        <v>36420</v>
      </c>
      <c r="T5973" t="s">
        <v>24106</v>
      </c>
      <c r="U5973">
        <v>3086</v>
      </c>
      <c r="V5973">
        <v>0</v>
      </c>
      <c r="W5973">
        <v>4</v>
      </c>
      <c r="X5973">
        <v>2000</v>
      </c>
      <c r="Z5973">
        <v>2</v>
      </c>
      <c r="AA5973" t="s">
        <v>26</v>
      </c>
      <c r="AB5973">
        <v>0</v>
      </c>
      <c r="AC5973" t="s">
        <v>115</v>
      </c>
      <c r="AD5973">
        <v>3</v>
      </c>
      <c r="AE5973" t="s">
        <v>115</v>
      </c>
      <c r="AF5973">
        <v>0</v>
      </c>
      <c r="AG5973">
        <v>0</v>
      </c>
      <c r="AH5973" t="s">
        <v>116</v>
      </c>
      <c r="AI5973" s="1">
        <v>84352</v>
      </c>
      <c r="AJ5973" s="2">
        <v>0.28000000000000003</v>
      </c>
      <c r="AK5973" s="1">
        <v>303974</v>
      </c>
      <c r="AL5973" t="s">
        <v>117</v>
      </c>
      <c r="AM5973" t="s">
        <v>319</v>
      </c>
      <c r="AN5973">
        <v>6672</v>
      </c>
      <c r="AO5973">
        <v>0.15</v>
      </c>
      <c r="AP5973">
        <v>1</v>
      </c>
      <c r="AR5973">
        <v>1</v>
      </c>
      <c r="AS5973" s="1">
        <v>22180</v>
      </c>
      <c r="AT5973" s="1">
        <v>4430</v>
      </c>
      <c r="AU5973" s="1">
        <v>17750</v>
      </c>
      <c r="AV5973">
        <v>80.03</v>
      </c>
      <c r="AX5973" s="1">
        <v>1681.78</v>
      </c>
      <c r="AY5973" t="s">
        <v>24107</v>
      </c>
      <c r="AZ5973" t="s">
        <v>24107</v>
      </c>
      <c r="BA5973" t="s">
        <v>321</v>
      </c>
      <c r="BE5973" s="3">
        <v>42440</v>
      </c>
      <c r="BF5973" s="1">
        <v>215000</v>
      </c>
      <c r="BG5973" t="s">
        <v>36421</v>
      </c>
      <c r="BH5973" s="1">
        <v>69.67</v>
      </c>
      <c r="BI5973" s="1">
        <v>219622</v>
      </c>
      <c r="BJ5973" s="3">
        <v>42440</v>
      </c>
      <c r="BK5973" t="s">
        <v>123</v>
      </c>
      <c r="BL5973" t="str">
        <f>"2016.159284"</f>
        <v>2016.159284</v>
      </c>
      <c r="BM5973" t="s">
        <v>594</v>
      </c>
      <c r="BO5973" t="s">
        <v>36422</v>
      </c>
      <c r="BS5973">
        <v>30</v>
      </c>
      <c r="BW5973" t="str">
        <f>""</f>
        <v/>
      </c>
      <c r="CH5973" t="str">
        <f>""</f>
        <v/>
      </c>
      <c r="CS5973" t="str">
        <f>""</f>
        <v/>
      </c>
    </row>
    <row r="5974" spans="1:97" x14ac:dyDescent="0.25">
      <c r="A5974" t="s">
        <v>610</v>
      </c>
      <c r="B5974" t="s">
        <v>252</v>
      </c>
      <c r="C5974" t="s">
        <v>18075</v>
      </c>
      <c r="D5974" t="s">
        <v>252</v>
      </c>
      <c r="E5974" t="s">
        <v>36423</v>
      </c>
      <c r="F5974" t="s">
        <v>108</v>
      </c>
      <c r="H5974" t="s">
        <v>36424</v>
      </c>
      <c r="I5974" t="s">
        <v>390</v>
      </c>
      <c r="J5974" t="s">
        <v>111</v>
      </c>
      <c r="K5974" t="str">
        <f>"85050"</f>
        <v>85050</v>
      </c>
      <c r="L5974" t="s">
        <v>9871</v>
      </c>
      <c r="M5974" t="s">
        <v>36424</v>
      </c>
      <c r="N5974" t="s">
        <v>390</v>
      </c>
      <c r="O5974" t="s">
        <v>111</v>
      </c>
      <c r="P5974" t="str">
        <f>"85050-4716"</f>
        <v>85050-4716</v>
      </c>
      <c r="Q5974" t="s">
        <v>113</v>
      </c>
      <c r="R5974" t="str">
        <f>"213-12-055"</f>
        <v>213-12-055</v>
      </c>
      <c r="S5974" t="s">
        <v>33082</v>
      </c>
      <c r="T5974" t="s">
        <v>24580</v>
      </c>
      <c r="U5974">
        <v>2196</v>
      </c>
      <c r="V5974">
        <v>0</v>
      </c>
      <c r="W5974">
        <v>4</v>
      </c>
      <c r="X5974">
        <v>1993</v>
      </c>
      <c r="Z5974">
        <v>2</v>
      </c>
      <c r="AB5974">
        <v>0</v>
      </c>
      <c r="AC5974" t="s">
        <v>115</v>
      </c>
      <c r="AD5974">
        <v>2</v>
      </c>
      <c r="AE5974" t="s">
        <v>115</v>
      </c>
      <c r="AF5974">
        <v>0</v>
      </c>
      <c r="AG5974">
        <v>0</v>
      </c>
      <c r="AH5974" t="s">
        <v>116</v>
      </c>
      <c r="AI5974" s="1">
        <v>62034</v>
      </c>
      <c r="AJ5974" s="2">
        <v>0.18</v>
      </c>
      <c r="AK5974" s="1">
        <v>348691</v>
      </c>
      <c r="AL5974" t="s">
        <v>117</v>
      </c>
      <c r="AM5974" t="s">
        <v>1315</v>
      </c>
      <c r="AN5974">
        <v>7031</v>
      </c>
      <c r="AO5974">
        <v>0.16</v>
      </c>
      <c r="AP5974">
        <v>1</v>
      </c>
      <c r="AR5974">
        <v>1</v>
      </c>
      <c r="AS5974" s="1">
        <v>25710</v>
      </c>
      <c r="AT5974" s="1">
        <v>5140</v>
      </c>
      <c r="AU5974" s="1">
        <v>20570</v>
      </c>
      <c r="AV5974">
        <v>80.010000000000005</v>
      </c>
      <c r="AX5974" s="1">
        <v>2156.34</v>
      </c>
      <c r="AY5974" t="s">
        <v>5710</v>
      </c>
      <c r="AZ5974" t="s">
        <v>761</v>
      </c>
      <c r="BA5974" t="s">
        <v>762</v>
      </c>
      <c r="BE5974" s="3">
        <v>42234</v>
      </c>
      <c r="BF5974" s="1">
        <v>277500</v>
      </c>
      <c r="BG5974" t="s">
        <v>36425</v>
      </c>
      <c r="BH5974" s="1">
        <v>126.37</v>
      </c>
      <c r="BI5974" s="1">
        <v>286657</v>
      </c>
      <c r="BJ5974" s="3">
        <v>42234</v>
      </c>
      <c r="BK5974" t="s">
        <v>123</v>
      </c>
      <c r="BL5974" t="str">
        <f>"2015.597695"</f>
        <v>2015.597695</v>
      </c>
      <c r="BM5974" t="s">
        <v>544</v>
      </c>
      <c r="BO5974" t="s">
        <v>36426</v>
      </c>
      <c r="BS5974">
        <v>30</v>
      </c>
      <c r="BW5974" t="str">
        <f>""</f>
        <v/>
      </c>
      <c r="CH5974" t="str">
        <f>""</f>
        <v/>
      </c>
      <c r="CS5974" t="str">
        <f>""</f>
        <v/>
      </c>
    </row>
    <row r="5975" spans="1:97" x14ac:dyDescent="0.25">
      <c r="A5975" t="s">
        <v>1109</v>
      </c>
      <c r="B5975" t="s">
        <v>13933</v>
      </c>
      <c r="C5975" t="s">
        <v>1735</v>
      </c>
      <c r="D5975" t="s">
        <v>13933</v>
      </c>
      <c r="E5975" t="s">
        <v>36427</v>
      </c>
      <c r="F5975" t="s">
        <v>108</v>
      </c>
      <c r="H5975" t="s">
        <v>36428</v>
      </c>
      <c r="I5975" t="s">
        <v>225</v>
      </c>
      <c r="J5975" t="s">
        <v>111</v>
      </c>
      <c r="K5975" t="str">
        <f>"85205"</f>
        <v>85205</v>
      </c>
      <c r="L5975" t="s">
        <v>6964</v>
      </c>
      <c r="M5975" t="s">
        <v>36428</v>
      </c>
      <c r="N5975" t="s">
        <v>225</v>
      </c>
      <c r="O5975" t="s">
        <v>111</v>
      </c>
      <c r="P5975" t="str">
        <f>"85205-5358"</f>
        <v>85205-5358</v>
      </c>
      <c r="Q5975" t="s">
        <v>113</v>
      </c>
      <c r="R5975" t="str">
        <f>"140-01-485"</f>
        <v>140-01-485</v>
      </c>
      <c r="S5975" t="s">
        <v>22767</v>
      </c>
      <c r="T5975" t="s">
        <v>22768</v>
      </c>
      <c r="U5975">
        <v>1668</v>
      </c>
      <c r="V5975">
        <v>0</v>
      </c>
      <c r="W5975">
        <v>3</v>
      </c>
      <c r="X5975">
        <v>1986</v>
      </c>
      <c r="Z5975">
        <v>1</v>
      </c>
      <c r="AA5975" t="s">
        <v>26</v>
      </c>
      <c r="AB5975">
        <v>0</v>
      </c>
      <c r="AC5975" t="s">
        <v>115</v>
      </c>
      <c r="AD5975">
        <v>2</v>
      </c>
      <c r="AE5975" t="s">
        <v>115</v>
      </c>
      <c r="AF5975">
        <v>0</v>
      </c>
      <c r="AG5975">
        <v>0</v>
      </c>
      <c r="AH5975" t="s">
        <v>116</v>
      </c>
      <c r="AI5975" s="1">
        <v>52039</v>
      </c>
      <c r="AJ5975" s="2">
        <v>0.18</v>
      </c>
      <c r="AK5975" s="1">
        <v>296688</v>
      </c>
      <c r="AL5975" t="s">
        <v>117</v>
      </c>
      <c r="AM5975" t="s">
        <v>917</v>
      </c>
      <c r="AN5975">
        <v>9326</v>
      </c>
      <c r="AO5975">
        <v>0.21</v>
      </c>
      <c r="AP5975">
        <v>1</v>
      </c>
      <c r="AR5975">
        <v>1</v>
      </c>
      <c r="AS5975" s="1">
        <v>20170</v>
      </c>
      <c r="AT5975" s="1">
        <v>4030</v>
      </c>
      <c r="AU5975" s="1">
        <v>16140</v>
      </c>
      <c r="AV5975">
        <v>80.02</v>
      </c>
      <c r="AX5975" s="1">
        <v>1450.7</v>
      </c>
      <c r="AY5975" t="s">
        <v>7054</v>
      </c>
      <c r="AZ5975" t="s">
        <v>5275</v>
      </c>
      <c r="BA5975" t="s">
        <v>3119</v>
      </c>
      <c r="BE5975" s="3">
        <v>42333</v>
      </c>
      <c r="BF5975" s="1">
        <v>239500</v>
      </c>
      <c r="BG5975" t="s">
        <v>36429</v>
      </c>
      <c r="BH5975" s="1">
        <v>143.59</v>
      </c>
      <c r="BI5975" s="1">
        <v>244649</v>
      </c>
      <c r="BJ5975" s="3">
        <v>42333</v>
      </c>
      <c r="BK5975" t="s">
        <v>123</v>
      </c>
      <c r="BL5975" t="str">
        <f>"2015.842216"</f>
        <v>2015.842216</v>
      </c>
      <c r="BM5975" t="s">
        <v>955</v>
      </c>
      <c r="BO5975" t="s">
        <v>36430</v>
      </c>
      <c r="BS5975">
        <v>30</v>
      </c>
      <c r="BW5975" t="str">
        <f>""</f>
        <v/>
      </c>
      <c r="CH5975" t="str">
        <f>""</f>
        <v/>
      </c>
      <c r="CS5975" t="str">
        <f>""</f>
        <v/>
      </c>
    </row>
    <row r="5976" spans="1:97" x14ac:dyDescent="0.25">
      <c r="A5976" t="s">
        <v>1672</v>
      </c>
      <c r="B5976" t="s">
        <v>36431</v>
      </c>
      <c r="E5976" t="s">
        <v>36432</v>
      </c>
      <c r="F5976" t="s">
        <v>108</v>
      </c>
      <c r="H5976" t="s">
        <v>36433</v>
      </c>
      <c r="I5976" t="s">
        <v>453</v>
      </c>
      <c r="J5976" t="s">
        <v>111</v>
      </c>
      <c r="K5976" t="str">
        <f>"85345"</f>
        <v>85345</v>
      </c>
      <c r="L5976" t="s">
        <v>6145</v>
      </c>
      <c r="M5976" t="s">
        <v>36433</v>
      </c>
      <c r="N5976" t="s">
        <v>453</v>
      </c>
      <c r="O5976" t="s">
        <v>111</v>
      </c>
      <c r="P5976" t="str">
        <f>"85345-1077"</f>
        <v>85345-1077</v>
      </c>
      <c r="Q5976" t="s">
        <v>113</v>
      </c>
      <c r="R5976" t="str">
        <f>"142-11-320"</f>
        <v>142-11-320</v>
      </c>
      <c r="S5976" t="s">
        <v>21089</v>
      </c>
      <c r="T5976" t="s">
        <v>21090</v>
      </c>
      <c r="U5976">
        <v>1882</v>
      </c>
      <c r="V5976">
        <v>0</v>
      </c>
      <c r="W5976">
        <v>3</v>
      </c>
      <c r="X5976">
        <v>1988</v>
      </c>
      <c r="Z5976">
        <v>1</v>
      </c>
      <c r="AA5976" t="s">
        <v>26</v>
      </c>
      <c r="AB5976">
        <v>0</v>
      </c>
      <c r="AC5976" t="s">
        <v>115</v>
      </c>
      <c r="AD5976">
        <v>2</v>
      </c>
      <c r="AE5976" t="s">
        <v>115</v>
      </c>
      <c r="AF5976">
        <v>0</v>
      </c>
      <c r="AG5976">
        <v>0</v>
      </c>
      <c r="AH5976" t="s">
        <v>116</v>
      </c>
      <c r="AI5976" s="1">
        <v>67867</v>
      </c>
      <c r="AJ5976" s="2">
        <v>0.23</v>
      </c>
      <c r="AK5976" s="1">
        <v>289676</v>
      </c>
      <c r="AL5976" t="s">
        <v>117</v>
      </c>
      <c r="AM5976" t="s">
        <v>171</v>
      </c>
      <c r="AN5976">
        <v>11844</v>
      </c>
      <c r="AO5976">
        <v>0.27</v>
      </c>
      <c r="AP5976">
        <v>1</v>
      </c>
      <c r="AR5976">
        <v>1</v>
      </c>
      <c r="AS5976" s="1">
        <v>19620</v>
      </c>
      <c r="AT5976" s="1">
        <v>3920</v>
      </c>
      <c r="AU5976" s="1">
        <v>15700</v>
      </c>
      <c r="AV5976">
        <v>80.02</v>
      </c>
      <c r="AX5976" s="1">
        <v>1258.24</v>
      </c>
      <c r="AY5976" t="s">
        <v>7077</v>
      </c>
      <c r="AZ5976" t="s">
        <v>7077</v>
      </c>
      <c r="BA5976" t="s">
        <v>4007</v>
      </c>
      <c r="BE5976" s="3">
        <v>41946</v>
      </c>
      <c r="BF5976" s="1">
        <v>211500</v>
      </c>
      <c r="BG5976" t="s">
        <v>36434</v>
      </c>
      <c r="BH5976" s="1">
        <v>112.38</v>
      </c>
      <c r="BI5976" s="1">
        <v>221809</v>
      </c>
      <c r="BJ5976" s="3">
        <v>43103</v>
      </c>
      <c r="BK5976" t="s">
        <v>123</v>
      </c>
      <c r="BL5976" t="str">
        <f>"2018.5530"</f>
        <v>2018.5530</v>
      </c>
      <c r="BM5976" t="s">
        <v>1809</v>
      </c>
      <c r="BN5976" t="s">
        <v>1810</v>
      </c>
      <c r="BO5976" t="s">
        <v>36435</v>
      </c>
      <c r="BR5976" t="s">
        <v>139</v>
      </c>
      <c r="BW5976" t="str">
        <f>""</f>
        <v/>
      </c>
      <c r="CH5976" t="str">
        <f>""</f>
        <v/>
      </c>
      <c r="CS5976" t="str">
        <f>""</f>
        <v/>
      </c>
    </row>
    <row r="5977" spans="1:97" x14ac:dyDescent="0.25">
      <c r="B5977" t="s">
        <v>36436</v>
      </c>
      <c r="C5977" t="s">
        <v>713</v>
      </c>
      <c r="E5977" t="s">
        <v>36437</v>
      </c>
      <c r="F5977" t="s">
        <v>108</v>
      </c>
      <c r="H5977" t="s">
        <v>36438</v>
      </c>
      <c r="I5977" t="s">
        <v>5551</v>
      </c>
      <c r="J5977" t="s">
        <v>111</v>
      </c>
      <c r="K5977" t="str">
        <f>"85248"</f>
        <v>85248</v>
      </c>
      <c r="L5977" t="s">
        <v>5367</v>
      </c>
      <c r="M5977" t="s">
        <v>36438</v>
      </c>
      <c r="N5977" t="s">
        <v>5551</v>
      </c>
      <c r="O5977" t="s">
        <v>111</v>
      </c>
      <c r="P5977" t="str">
        <f>"85248-6851"</f>
        <v>85248-6851</v>
      </c>
      <c r="Q5977" t="s">
        <v>113</v>
      </c>
      <c r="R5977" t="str">
        <f>"303-59-262"</f>
        <v>303-59-262</v>
      </c>
      <c r="S5977" t="s">
        <v>11739</v>
      </c>
      <c r="U5977">
        <v>1922</v>
      </c>
      <c r="V5977">
        <v>0</v>
      </c>
      <c r="W5977">
        <v>3</v>
      </c>
      <c r="X5977">
        <v>1984</v>
      </c>
      <c r="Z5977">
        <v>1</v>
      </c>
      <c r="AB5977">
        <v>0</v>
      </c>
      <c r="AC5977" t="s">
        <v>115</v>
      </c>
      <c r="AD5977">
        <v>2</v>
      </c>
      <c r="AE5977" t="s">
        <v>115</v>
      </c>
      <c r="AF5977">
        <v>0</v>
      </c>
      <c r="AG5977">
        <v>0</v>
      </c>
      <c r="AH5977" t="s">
        <v>116</v>
      </c>
      <c r="AI5977" s="1">
        <v>43201</v>
      </c>
      <c r="AJ5977" s="2">
        <v>0.14000000000000001</v>
      </c>
      <c r="AK5977" s="1">
        <v>313201</v>
      </c>
      <c r="AL5977" t="s">
        <v>117</v>
      </c>
      <c r="AM5977" t="s">
        <v>191</v>
      </c>
      <c r="AN5977">
        <v>9264</v>
      </c>
      <c r="AO5977">
        <v>0.21</v>
      </c>
      <c r="AP5977">
        <v>1</v>
      </c>
      <c r="AR5977">
        <v>1</v>
      </c>
      <c r="AS5977" s="1">
        <v>21070</v>
      </c>
      <c r="AT5977" s="1">
        <v>4210</v>
      </c>
      <c r="AU5977" s="1">
        <v>16860</v>
      </c>
      <c r="AV5977">
        <v>80.02</v>
      </c>
      <c r="AX5977" s="1">
        <v>2113.84</v>
      </c>
      <c r="AY5977" t="s">
        <v>1881</v>
      </c>
      <c r="AZ5977" t="s">
        <v>1882</v>
      </c>
      <c r="BA5977" t="s">
        <v>121</v>
      </c>
      <c r="BB5977" s="3">
        <v>43728</v>
      </c>
      <c r="BC5977" s="1">
        <v>0</v>
      </c>
      <c r="BD5977" t="s">
        <v>247</v>
      </c>
      <c r="BE5977" s="3">
        <v>42130</v>
      </c>
      <c r="BF5977" s="1">
        <v>219000</v>
      </c>
      <c r="BG5977" t="s">
        <v>36439</v>
      </c>
      <c r="BH5977" s="1">
        <v>113.94</v>
      </c>
      <c r="BI5977" s="1">
        <v>270000</v>
      </c>
      <c r="BJ5977" s="3">
        <v>43550</v>
      </c>
      <c r="BK5977" t="s">
        <v>123</v>
      </c>
      <c r="BL5977" t="str">
        <f>"2019.206616"</f>
        <v>2019.206616</v>
      </c>
      <c r="BM5977" t="s">
        <v>36440</v>
      </c>
      <c r="BN5977" t="s">
        <v>22663</v>
      </c>
      <c r="BO5977" t="s">
        <v>36441</v>
      </c>
      <c r="BP5977" t="s">
        <v>36442</v>
      </c>
      <c r="BR5977" t="s">
        <v>139</v>
      </c>
      <c r="BW5977" t="str">
        <f>""</f>
        <v/>
      </c>
      <c r="CH5977" t="str">
        <f>""</f>
        <v/>
      </c>
      <c r="CS5977" t="str">
        <f>""</f>
        <v/>
      </c>
    </row>
    <row r="5978" spans="1:97" x14ac:dyDescent="0.25">
      <c r="A5978" t="s">
        <v>894</v>
      </c>
      <c r="B5978" t="s">
        <v>1720</v>
      </c>
      <c r="E5978" t="s">
        <v>36443</v>
      </c>
      <c r="F5978" t="s">
        <v>108</v>
      </c>
      <c r="H5978" t="s">
        <v>36444</v>
      </c>
      <c r="I5978" t="s">
        <v>225</v>
      </c>
      <c r="J5978" t="s">
        <v>111</v>
      </c>
      <c r="K5978" t="str">
        <f>"85207"</f>
        <v>85207</v>
      </c>
      <c r="L5978" t="s">
        <v>299</v>
      </c>
      <c r="M5978" t="s">
        <v>36444</v>
      </c>
      <c r="N5978" t="s">
        <v>225</v>
      </c>
      <c r="O5978" t="s">
        <v>111</v>
      </c>
      <c r="P5978" t="str">
        <f>"85207-4946"</f>
        <v>85207-4946</v>
      </c>
      <c r="Q5978" t="s">
        <v>113</v>
      </c>
      <c r="R5978" t="str">
        <f>"218-08-781"</f>
        <v>218-08-781</v>
      </c>
      <c r="S5978" t="s">
        <v>36445</v>
      </c>
      <c r="T5978" t="s">
        <v>36446</v>
      </c>
      <c r="U5978">
        <v>2003</v>
      </c>
      <c r="V5978">
        <v>0</v>
      </c>
      <c r="W5978">
        <v>3</v>
      </c>
      <c r="X5978">
        <v>1997</v>
      </c>
      <c r="Z5978">
        <v>1</v>
      </c>
      <c r="AA5978" t="s">
        <v>26</v>
      </c>
      <c r="AB5978">
        <v>0</v>
      </c>
      <c r="AC5978" t="s">
        <v>115</v>
      </c>
      <c r="AD5978">
        <v>3</v>
      </c>
      <c r="AE5978" t="s">
        <v>115</v>
      </c>
      <c r="AF5978">
        <v>0</v>
      </c>
      <c r="AG5978">
        <v>0</v>
      </c>
      <c r="AH5978" t="s">
        <v>116</v>
      </c>
      <c r="AI5978" s="1">
        <v>85413</v>
      </c>
      <c r="AJ5978" s="2">
        <v>0.25</v>
      </c>
      <c r="AK5978" s="1">
        <v>346413</v>
      </c>
      <c r="AL5978" t="s">
        <v>117</v>
      </c>
      <c r="AM5978" t="s">
        <v>917</v>
      </c>
      <c r="AN5978">
        <v>9004</v>
      </c>
      <c r="AO5978">
        <v>0.21</v>
      </c>
      <c r="AP5978">
        <v>1</v>
      </c>
      <c r="AR5978">
        <v>1</v>
      </c>
      <c r="AS5978" s="1">
        <v>24760</v>
      </c>
      <c r="AT5978" s="1">
        <v>4950</v>
      </c>
      <c r="AU5978" s="1">
        <v>19810</v>
      </c>
      <c r="AV5978">
        <v>80.010000000000005</v>
      </c>
      <c r="AX5978" s="1">
        <v>2020.58</v>
      </c>
      <c r="AY5978" t="s">
        <v>4567</v>
      </c>
      <c r="AZ5978" t="s">
        <v>231</v>
      </c>
      <c r="BA5978" t="s">
        <v>3119</v>
      </c>
      <c r="BE5978" s="3">
        <v>42201</v>
      </c>
      <c r="BF5978" s="1">
        <v>261000</v>
      </c>
      <c r="BG5978" t="s">
        <v>36447</v>
      </c>
      <c r="BH5978" s="1">
        <v>130.30000000000001</v>
      </c>
      <c r="BI5978" s="1">
        <v>261000</v>
      </c>
      <c r="BJ5978" s="3">
        <v>42201</v>
      </c>
      <c r="BK5978" t="s">
        <v>123</v>
      </c>
      <c r="BL5978" t="str">
        <f>"2015.512236"</f>
        <v>2015.512236</v>
      </c>
      <c r="BM5978" t="s">
        <v>7531</v>
      </c>
      <c r="BO5978" t="s">
        <v>36448</v>
      </c>
      <c r="BP5978" t="s">
        <v>36449</v>
      </c>
      <c r="BS5978">
        <v>30</v>
      </c>
      <c r="BW5978" t="str">
        <f>""</f>
        <v/>
      </c>
      <c r="CH5978" t="str">
        <f>""</f>
        <v/>
      </c>
      <c r="CS5978" t="str">
        <f>""</f>
        <v/>
      </c>
    </row>
    <row r="5979" spans="1:97" x14ac:dyDescent="0.25">
      <c r="A5979" t="s">
        <v>30937</v>
      </c>
      <c r="B5979" t="s">
        <v>464</v>
      </c>
      <c r="E5979" t="s">
        <v>36450</v>
      </c>
      <c r="F5979" t="s">
        <v>108</v>
      </c>
      <c r="H5979" t="s">
        <v>36451</v>
      </c>
      <c r="I5979" t="s">
        <v>499</v>
      </c>
      <c r="J5979" t="s">
        <v>111</v>
      </c>
      <c r="K5979" t="str">
        <f>"85338"</f>
        <v>85338</v>
      </c>
      <c r="L5979" t="s">
        <v>8255</v>
      </c>
      <c r="M5979" t="s">
        <v>36451</v>
      </c>
      <c r="N5979" t="s">
        <v>499</v>
      </c>
      <c r="O5979" t="s">
        <v>111</v>
      </c>
      <c r="P5979" t="str">
        <f>"85338-6021"</f>
        <v>85338-6021</v>
      </c>
      <c r="Q5979" t="s">
        <v>113</v>
      </c>
      <c r="R5979" t="str">
        <f>"502-39-163"</f>
        <v>502-39-163</v>
      </c>
      <c r="S5979" t="s">
        <v>10676</v>
      </c>
      <c r="T5979" t="s">
        <v>6318</v>
      </c>
      <c r="U5979">
        <v>2205</v>
      </c>
      <c r="V5979">
        <v>0</v>
      </c>
      <c r="W5979">
        <v>3</v>
      </c>
      <c r="X5979">
        <v>2010</v>
      </c>
      <c r="Z5979">
        <v>1</v>
      </c>
      <c r="AB5979">
        <v>0</v>
      </c>
      <c r="AC5979" t="s">
        <v>115</v>
      </c>
      <c r="AD5979">
        <v>3</v>
      </c>
      <c r="AE5979" t="s">
        <v>115</v>
      </c>
      <c r="AF5979">
        <v>0</v>
      </c>
      <c r="AG5979">
        <v>0</v>
      </c>
      <c r="AH5979" t="s">
        <v>116</v>
      </c>
      <c r="AI5979" s="1">
        <v>72678</v>
      </c>
      <c r="AJ5979" s="2">
        <v>0.24</v>
      </c>
      <c r="AK5979" s="1">
        <v>305103</v>
      </c>
      <c r="AL5979" t="s">
        <v>117</v>
      </c>
      <c r="AM5979" t="s">
        <v>118</v>
      </c>
      <c r="AN5979">
        <v>11756</v>
      </c>
      <c r="AO5979">
        <v>0.27</v>
      </c>
      <c r="AR5979">
        <v>1</v>
      </c>
      <c r="AS5979" s="1">
        <v>22720</v>
      </c>
      <c r="AT5979" s="1">
        <v>4540</v>
      </c>
      <c r="AU5979" s="1">
        <v>18180</v>
      </c>
      <c r="AV5979">
        <v>80.02</v>
      </c>
      <c r="AX5979" s="1">
        <v>2106.56</v>
      </c>
      <c r="AY5979" t="s">
        <v>4311</v>
      </c>
      <c r="AZ5979" t="s">
        <v>4311</v>
      </c>
      <c r="BA5979" t="s">
        <v>218</v>
      </c>
      <c r="BE5979" s="3">
        <v>42069</v>
      </c>
      <c r="BF5979" s="1">
        <v>225000</v>
      </c>
      <c r="BG5979" t="s">
        <v>36452</v>
      </c>
      <c r="BH5979" s="1">
        <v>102.04</v>
      </c>
      <c r="BI5979" s="1">
        <v>232425</v>
      </c>
      <c r="BJ5979" s="3">
        <v>42069</v>
      </c>
      <c r="BK5979" t="s">
        <v>123</v>
      </c>
      <c r="BL5979" t="str">
        <f>"2015.153033"</f>
        <v>2015.153033</v>
      </c>
      <c r="BM5979" t="s">
        <v>4014</v>
      </c>
      <c r="BO5979" t="s">
        <v>36453</v>
      </c>
      <c r="BS5979">
        <v>30</v>
      </c>
      <c r="BW5979" t="str">
        <f>""</f>
        <v/>
      </c>
      <c r="CH5979" t="str">
        <f>""</f>
        <v/>
      </c>
      <c r="CS5979" t="str">
        <f>""</f>
        <v/>
      </c>
    </row>
    <row r="5980" spans="1:97" x14ac:dyDescent="0.25">
      <c r="A5980" t="s">
        <v>364</v>
      </c>
      <c r="B5980" t="s">
        <v>36454</v>
      </c>
      <c r="C5980" t="s">
        <v>2828</v>
      </c>
      <c r="D5980" t="s">
        <v>36454</v>
      </c>
      <c r="E5980" t="s">
        <v>36455</v>
      </c>
      <c r="F5980" t="s">
        <v>108</v>
      </c>
      <c r="H5980" t="s">
        <v>36456</v>
      </c>
      <c r="I5980" t="s">
        <v>390</v>
      </c>
      <c r="J5980" t="s">
        <v>111</v>
      </c>
      <c r="K5980" t="str">
        <f>"85042"</f>
        <v>85042</v>
      </c>
      <c r="L5980" t="s">
        <v>6766</v>
      </c>
      <c r="M5980" t="s">
        <v>36456</v>
      </c>
      <c r="N5980" t="s">
        <v>390</v>
      </c>
      <c r="O5980" t="s">
        <v>111</v>
      </c>
      <c r="P5980" t="str">
        <f>"85042-6755"</f>
        <v>85042-6755</v>
      </c>
      <c r="Q5980" t="s">
        <v>113</v>
      </c>
      <c r="R5980" t="str">
        <f>"300-23-168"</f>
        <v>300-23-168</v>
      </c>
      <c r="S5980" t="s">
        <v>24172</v>
      </c>
      <c r="T5980" t="s">
        <v>24172</v>
      </c>
      <c r="U5980">
        <v>1976</v>
      </c>
      <c r="V5980">
        <v>0</v>
      </c>
      <c r="W5980">
        <v>4</v>
      </c>
      <c r="X5980">
        <v>2013</v>
      </c>
      <c r="Z5980">
        <v>2</v>
      </c>
      <c r="AA5980" t="s">
        <v>26</v>
      </c>
      <c r="AB5980">
        <v>0</v>
      </c>
      <c r="AC5980" t="s">
        <v>115</v>
      </c>
      <c r="AD5980">
        <v>2</v>
      </c>
      <c r="AE5980" t="s">
        <v>115</v>
      </c>
      <c r="AF5980">
        <v>0</v>
      </c>
      <c r="AG5980">
        <v>0</v>
      </c>
      <c r="AH5980" t="s">
        <v>116</v>
      </c>
      <c r="AI5980" s="1">
        <v>39659</v>
      </c>
      <c r="AJ5980" s="2">
        <v>0.13</v>
      </c>
      <c r="AK5980" s="1">
        <v>307491</v>
      </c>
      <c r="AL5980" t="s">
        <v>117</v>
      </c>
      <c r="AM5980" t="s">
        <v>1302</v>
      </c>
      <c r="AN5980">
        <v>5714</v>
      </c>
      <c r="AO5980">
        <v>0.13</v>
      </c>
      <c r="AR5980">
        <v>1</v>
      </c>
      <c r="AS5980" s="1">
        <v>20930</v>
      </c>
      <c r="AT5980" s="1">
        <v>4180</v>
      </c>
      <c r="AU5980" s="1">
        <v>16750</v>
      </c>
      <c r="AV5980">
        <v>80.03</v>
      </c>
      <c r="AX5980" s="1">
        <v>2411.98</v>
      </c>
      <c r="AY5980" t="s">
        <v>2859</v>
      </c>
      <c r="AZ5980" t="s">
        <v>2859</v>
      </c>
      <c r="BA5980" t="s">
        <v>2860</v>
      </c>
      <c r="BE5980" s="3">
        <v>42377</v>
      </c>
      <c r="BF5980" s="1">
        <v>259000</v>
      </c>
      <c r="BG5980" t="s">
        <v>36457</v>
      </c>
      <c r="BH5980" s="1">
        <v>131.07</v>
      </c>
      <c r="BI5980" s="1">
        <v>267832</v>
      </c>
      <c r="BJ5980" s="3">
        <v>42542</v>
      </c>
      <c r="BK5980" t="s">
        <v>123</v>
      </c>
      <c r="BL5980" t="str">
        <f>"2016.430395"</f>
        <v>2016.430395</v>
      </c>
      <c r="BM5980" t="s">
        <v>903</v>
      </c>
      <c r="BO5980" t="s">
        <v>36458</v>
      </c>
      <c r="BS5980">
        <v>30</v>
      </c>
      <c r="BW5980" t="str">
        <f>""</f>
        <v/>
      </c>
      <c r="CH5980" t="str">
        <f>""</f>
        <v/>
      </c>
      <c r="CS5980" t="str">
        <f>""</f>
        <v/>
      </c>
    </row>
    <row r="5981" spans="1:97" x14ac:dyDescent="0.25">
      <c r="A5981" t="s">
        <v>1465</v>
      </c>
      <c r="B5981" t="s">
        <v>3001</v>
      </c>
      <c r="E5981" t="s">
        <v>36459</v>
      </c>
      <c r="F5981" t="s">
        <v>108</v>
      </c>
      <c r="H5981" t="s">
        <v>36460</v>
      </c>
      <c r="I5981" t="s">
        <v>225</v>
      </c>
      <c r="J5981" t="s">
        <v>111</v>
      </c>
      <c r="K5981" t="str">
        <f>"85210"</f>
        <v>85210</v>
      </c>
      <c r="L5981" t="s">
        <v>4003</v>
      </c>
      <c r="M5981" t="s">
        <v>36460</v>
      </c>
      <c r="N5981" t="s">
        <v>225</v>
      </c>
      <c r="O5981" t="s">
        <v>111</v>
      </c>
      <c r="P5981" t="str">
        <f>"85210-6728"</f>
        <v>85210-6728</v>
      </c>
      <c r="Q5981" t="s">
        <v>113</v>
      </c>
      <c r="R5981" t="str">
        <f>"302-04-452"</f>
        <v>302-04-452</v>
      </c>
      <c r="S5981" t="s">
        <v>36461</v>
      </c>
      <c r="T5981" t="s">
        <v>7140</v>
      </c>
      <c r="U5981">
        <v>1544</v>
      </c>
      <c r="V5981">
        <v>0</v>
      </c>
      <c r="W5981">
        <v>2</v>
      </c>
      <c r="X5981">
        <v>1977</v>
      </c>
      <c r="Z5981">
        <v>1</v>
      </c>
      <c r="AB5981">
        <v>0</v>
      </c>
      <c r="AC5981" t="s">
        <v>115</v>
      </c>
      <c r="AD5981">
        <v>2</v>
      </c>
      <c r="AE5981" t="s">
        <v>115</v>
      </c>
      <c r="AF5981">
        <v>0</v>
      </c>
      <c r="AG5981">
        <v>0</v>
      </c>
      <c r="AH5981" t="s">
        <v>116</v>
      </c>
      <c r="AI5981" s="1">
        <v>33597</v>
      </c>
      <c r="AJ5981" s="2">
        <v>0.12</v>
      </c>
      <c r="AK5981" s="1">
        <v>291847</v>
      </c>
      <c r="AL5981" t="s">
        <v>117</v>
      </c>
      <c r="AM5981" t="s">
        <v>191</v>
      </c>
      <c r="AN5981">
        <v>7900</v>
      </c>
      <c r="AO5981">
        <v>0.18</v>
      </c>
      <c r="AP5981">
        <v>1</v>
      </c>
      <c r="AR5981">
        <v>1</v>
      </c>
      <c r="AS5981" s="1">
        <v>18780</v>
      </c>
      <c r="AT5981" s="1">
        <v>3750</v>
      </c>
      <c r="AU5981" s="1">
        <v>15030</v>
      </c>
      <c r="AV5981">
        <v>80.03</v>
      </c>
      <c r="AX5981" s="1">
        <v>1279.58</v>
      </c>
      <c r="AY5981" t="s">
        <v>8076</v>
      </c>
      <c r="AZ5981" t="s">
        <v>7295</v>
      </c>
      <c r="BA5981" t="s">
        <v>5311</v>
      </c>
      <c r="BE5981" s="3">
        <v>42551</v>
      </c>
      <c r="BF5981" s="1">
        <v>250000</v>
      </c>
      <c r="BG5981" t="s">
        <v>30495</v>
      </c>
      <c r="BH5981" s="1">
        <v>161.91999999999999</v>
      </c>
      <c r="BI5981" s="1">
        <v>258250</v>
      </c>
      <c r="BJ5981" s="3">
        <v>42551</v>
      </c>
      <c r="BK5981" t="s">
        <v>123</v>
      </c>
      <c r="BL5981" t="str">
        <f>"2016.462714"</f>
        <v>2016.462714</v>
      </c>
      <c r="BM5981" t="s">
        <v>3810</v>
      </c>
      <c r="BO5981" t="s">
        <v>36462</v>
      </c>
      <c r="BS5981">
        <v>30</v>
      </c>
      <c r="BW5981" t="str">
        <f>""</f>
        <v/>
      </c>
      <c r="CH5981" t="str">
        <f>""</f>
        <v/>
      </c>
      <c r="CS5981" t="str">
        <f>""</f>
        <v/>
      </c>
    </row>
    <row r="5982" spans="1:97" x14ac:dyDescent="0.25">
      <c r="A5982" t="s">
        <v>305</v>
      </c>
      <c r="B5982" t="s">
        <v>36463</v>
      </c>
      <c r="C5982" t="s">
        <v>484</v>
      </c>
      <c r="D5982" t="s">
        <v>36463</v>
      </c>
      <c r="E5982" t="s">
        <v>36464</v>
      </c>
      <c r="F5982" t="s">
        <v>108</v>
      </c>
      <c r="H5982" t="s">
        <v>36465</v>
      </c>
      <c r="I5982" t="s">
        <v>1788</v>
      </c>
      <c r="J5982" t="s">
        <v>111</v>
      </c>
      <c r="K5982" t="str">
        <f>"85355"</f>
        <v>85355</v>
      </c>
      <c r="L5982" t="s">
        <v>168</v>
      </c>
      <c r="M5982" t="s">
        <v>36465</v>
      </c>
      <c r="N5982" t="s">
        <v>1788</v>
      </c>
      <c r="O5982" t="s">
        <v>111</v>
      </c>
      <c r="P5982" t="str">
        <f>"85355-4458"</f>
        <v>85355-4458</v>
      </c>
      <c r="Q5982" t="s">
        <v>113</v>
      </c>
      <c r="R5982" t="str">
        <f>"502-90-502"</f>
        <v>502-90-502</v>
      </c>
      <c r="S5982" t="s">
        <v>8290</v>
      </c>
      <c r="T5982" t="s">
        <v>8290</v>
      </c>
      <c r="U5982">
        <v>2507</v>
      </c>
      <c r="V5982">
        <v>0</v>
      </c>
      <c r="W5982">
        <v>4</v>
      </c>
      <c r="X5982">
        <v>2014</v>
      </c>
      <c r="Z5982">
        <v>1</v>
      </c>
      <c r="AB5982">
        <v>0</v>
      </c>
      <c r="AC5982" t="s">
        <v>115</v>
      </c>
      <c r="AD5982">
        <v>2</v>
      </c>
      <c r="AE5982" t="s">
        <v>115</v>
      </c>
      <c r="AF5982">
        <v>0</v>
      </c>
      <c r="AG5982">
        <v>0</v>
      </c>
      <c r="AH5982" t="s">
        <v>116</v>
      </c>
      <c r="AI5982" s="1">
        <v>65696</v>
      </c>
      <c r="AJ5982" s="2">
        <v>0.2</v>
      </c>
      <c r="AK5982" s="1">
        <v>329422</v>
      </c>
      <c r="AL5982" t="s">
        <v>117</v>
      </c>
      <c r="AM5982" t="s">
        <v>191</v>
      </c>
      <c r="AN5982">
        <v>8750</v>
      </c>
      <c r="AO5982">
        <v>0.2</v>
      </c>
      <c r="AR5982">
        <v>1</v>
      </c>
      <c r="AS5982" s="1">
        <v>23980</v>
      </c>
      <c r="AT5982" s="1">
        <v>4790</v>
      </c>
      <c r="AU5982" s="1">
        <v>19190</v>
      </c>
      <c r="AV5982">
        <v>80.03</v>
      </c>
      <c r="AX5982" s="1">
        <v>1572.1</v>
      </c>
      <c r="AY5982" t="s">
        <v>5972</v>
      </c>
      <c r="AZ5982" t="s">
        <v>5972</v>
      </c>
      <c r="BA5982" t="s">
        <v>5061</v>
      </c>
      <c r="BE5982" s="3">
        <v>42002</v>
      </c>
      <c r="BF5982" s="1">
        <v>273505</v>
      </c>
      <c r="BG5982" t="s">
        <v>158</v>
      </c>
      <c r="BH5982" s="1">
        <v>109.1</v>
      </c>
      <c r="BI5982" s="1">
        <v>263726</v>
      </c>
      <c r="BJ5982" s="3">
        <v>42002</v>
      </c>
      <c r="BK5982" t="s">
        <v>123</v>
      </c>
      <c r="BL5982" t="str">
        <f>"2014.853109"</f>
        <v>2014.853109</v>
      </c>
      <c r="BM5982" t="s">
        <v>241</v>
      </c>
      <c r="BO5982" t="s">
        <v>36466</v>
      </c>
      <c r="BS5982">
        <v>30</v>
      </c>
      <c r="BW5982" t="str">
        <f>""</f>
        <v/>
      </c>
      <c r="CH5982" t="str">
        <f>""</f>
        <v/>
      </c>
      <c r="CS5982" t="str">
        <f>""</f>
        <v/>
      </c>
    </row>
    <row r="5983" spans="1:97" x14ac:dyDescent="0.25">
      <c r="A5983" t="s">
        <v>211</v>
      </c>
      <c r="B5983" t="s">
        <v>529</v>
      </c>
      <c r="E5983" t="s">
        <v>36467</v>
      </c>
      <c r="F5983" t="s">
        <v>108</v>
      </c>
      <c r="H5983" t="s">
        <v>36468</v>
      </c>
      <c r="I5983" t="s">
        <v>453</v>
      </c>
      <c r="J5983" t="s">
        <v>111</v>
      </c>
      <c r="K5983" t="str">
        <f>"85381"</f>
        <v>85381</v>
      </c>
      <c r="L5983" t="s">
        <v>2963</v>
      </c>
      <c r="M5983" t="s">
        <v>36468</v>
      </c>
      <c r="N5983" t="s">
        <v>453</v>
      </c>
      <c r="O5983" t="s">
        <v>111</v>
      </c>
      <c r="P5983" t="str">
        <f>"85381-4218"</f>
        <v>85381-4218</v>
      </c>
      <c r="Q5983" t="s">
        <v>113</v>
      </c>
      <c r="R5983" t="str">
        <f>"231-19-067"</f>
        <v>231-19-067</v>
      </c>
      <c r="S5983" t="s">
        <v>36469</v>
      </c>
      <c r="U5983">
        <v>1857</v>
      </c>
      <c r="V5983">
        <v>0</v>
      </c>
      <c r="W5983">
        <v>4</v>
      </c>
      <c r="X5983">
        <v>1997</v>
      </c>
      <c r="Z5983">
        <v>2</v>
      </c>
      <c r="AA5983" t="s">
        <v>26</v>
      </c>
      <c r="AB5983">
        <v>0</v>
      </c>
      <c r="AC5983" t="s">
        <v>115</v>
      </c>
      <c r="AD5983">
        <v>2</v>
      </c>
      <c r="AE5983" t="s">
        <v>115</v>
      </c>
      <c r="AF5983">
        <v>0</v>
      </c>
      <c r="AG5983">
        <v>0</v>
      </c>
      <c r="AH5983" t="s">
        <v>116</v>
      </c>
      <c r="AI5983" s="1">
        <v>71080</v>
      </c>
      <c r="AJ5983" s="2">
        <v>0.25</v>
      </c>
      <c r="AK5983" s="1">
        <v>286080</v>
      </c>
      <c r="AL5983" t="s">
        <v>117</v>
      </c>
      <c r="AM5983" t="s">
        <v>118</v>
      </c>
      <c r="AN5983">
        <v>6350</v>
      </c>
      <c r="AO5983">
        <v>0.15</v>
      </c>
      <c r="AP5983">
        <v>1</v>
      </c>
      <c r="AR5983">
        <v>1</v>
      </c>
      <c r="AS5983" s="1">
        <v>20980</v>
      </c>
      <c r="AT5983" s="1">
        <v>4190</v>
      </c>
      <c r="AU5983" s="1">
        <v>16790</v>
      </c>
      <c r="AV5983">
        <v>80.03</v>
      </c>
      <c r="AX5983" s="1">
        <v>1632.74</v>
      </c>
      <c r="AY5983" t="s">
        <v>5629</v>
      </c>
      <c r="AZ5983" t="s">
        <v>5629</v>
      </c>
      <c r="BA5983" t="s">
        <v>4007</v>
      </c>
      <c r="BE5983" s="3">
        <v>42271</v>
      </c>
      <c r="BF5983" s="1">
        <v>215000</v>
      </c>
      <c r="BG5983" t="s">
        <v>36470</v>
      </c>
      <c r="BH5983" s="1">
        <v>115.78</v>
      </c>
      <c r="BI5983" s="1">
        <v>215000</v>
      </c>
      <c r="BJ5983" s="3">
        <v>42271</v>
      </c>
      <c r="BK5983" t="s">
        <v>123</v>
      </c>
      <c r="BL5983" t="str">
        <f>"2015.689017"</f>
        <v>2015.689017</v>
      </c>
      <c r="BM5983" t="s">
        <v>150</v>
      </c>
      <c r="BO5983" t="s">
        <v>36471</v>
      </c>
      <c r="BS5983">
        <v>30</v>
      </c>
      <c r="BW5983" t="str">
        <f>""</f>
        <v/>
      </c>
      <c r="CH5983" t="str">
        <f>""</f>
        <v/>
      </c>
      <c r="CS5983" t="str">
        <f>""</f>
        <v/>
      </c>
    </row>
    <row r="5984" spans="1:97" x14ac:dyDescent="0.25">
      <c r="A5984" t="s">
        <v>1768</v>
      </c>
      <c r="B5984" t="s">
        <v>36472</v>
      </c>
      <c r="E5984" t="s">
        <v>36473</v>
      </c>
      <c r="F5984" t="s">
        <v>108</v>
      </c>
      <c r="H5984" t="s">
        <v>36474</v>
      </c>
      <c r="I5984" t="s">
        <v>203</v>
      </c>
      <c r="J5984" t="s">
        <v>111</v>
      </c>
      <c r="K5984" t="str">
        <f>"85233"</f>
        <v>85233</v>
      </c>
      <c r="L5984" t="s">
        <v>4316</v>
      </c>
      <c r="M5984" t="s">
        <v>36474</v>
      </c>
      <c r="N5984" t="s">
        <v>203</v>
      </c>
      <c r="O5984" t="s">
        <v>111</v>
      </c>
      <c r="P5984" t="str">
        <f>"85233-4745"</f>
        <v>85233-4745</v>
      </c>
      <c r="Q5984" t="s">
        <v>113</v>
      </c>
      <c r="R5984" t="str">
        <f>"310-09-403"</f>
        <v>310-09-403</v>
      </c>
      <c r="S5984" t="s">
        <v>10923</v>
      </c>
      <c r="T5984" t="s">
        <v>10924</v>
      </c>
      <c r="U5984">
        <v>1868</v>
      </c>
      <c r="V5984">
        <v>0</v>
      </c>
      <c r="W5984">
        <v>3</v>
      </c>
      <c r="X5984">
        <v>1998</v>
      </c>
      <c r="Z5984">
        <v>1</v>
      </c>
      <c r="AA5984" t="s">
        <v>26</v>
      </c>
      <c r="AB5984">
        <v>0</v>
      </c>
      <c r="AC5984" t="s">
        <v>115</v>
      </c>
      <c r="AD5984">
        <v>2</v>
      </c>
      <c r="AE5984" t="s">
        <v>115</v>
      </c>
      <c r="AF5984">
        <v>0</v>
      </c>
      <c r="AG5984">
        <v>0</v>
      </c>
      <c r="AH5984" t="s">
        <v>116</v>
      </c>
      <c r="AI5984" s="1">
        <v>81385</v>
      </c>
      <c r="AJ5984" s="2">
        <v>0.23</v>
      </c>
      <c r="AK5984" s="1">
        <v>359910</v>
      </c>
      <c r="AL5984" t="s">
        <v>117</v>
      </c>
      <c r="AM5984" t="s">
        <v>393</v>
      </c>
      <c r="AN5984">
        <v>7187</v>
      </c>
      <c r="AO5984">
        <v>0.16</v>
      </c>
      <c r="AP5984">
        <v>1</v>
      </c>
      <c r="AR5984">
        <v>1</v>
      </c>
      <c r="AS5984" s="1">
        <v>24860</v>
      </c>
      <c r="AT5984" s="1">
        <v>4970</v>
      </c>
      <c r="AU5984" s="1">
        <v>19890</v>
      </c>
      <c r="AV5984">
        <v>80.010000000000005</v>
      </c>
      <c r="AX5984" s="1">
        <v>1798.02</v>
      </c>
      <c r="AY5984" t="s">
        <v>9989</v>
      </c>
      <c r="AZ5984" t="s">
        <v>5478</v>
      </c>
      <c r="BA5984" t="s">
        <v>5479</v>
      </c>
      <c r="BE5984" s="3">
        <v>42193</v>
      </c>
      <c r="BF5984" s="1">
        <v>279000</v>
      </c>
      <c r="BG5984" t="s">
        <v>36475</v>
      </c>
      <c r="BH5984" s="1">
        <v>149.36000000000001</v>
      </c>
      <c r="BI5984" s="1">
        <v>278525</v>
      </c>
      <c r="BJ5984" s="3">
        <v>42606</v>
      </c>
      <c r="BK5984" t="s">
        <v>123</v>
      </c>
      <c r="BL5984" t="str">
        <f>"2016.609973"</f>
        <v>2016.609973</v>
      </c>
      <c r="BM5984" t="s">
        <v>255</v>
      </c>
      <c r="BO5984" t="s">
        <v>36476</v>
      </c>
      <c r="BS5984">
        <v>30</v>
      </c>
      <c r="BW5984" t="str">
        <f>""</f>
        <v/>
      </c>
      <c r="CH5984" t="str">
        <f>""</f>
        <v/>
      </c>
      <c r="CS5984" t="str">
        <f>""</f>
        <v/>
      </c>
    </row>
    <row r="5985" spans="1:97" x14ac:dyDescent="0.25">
      <c r="A5985" t="s">
        <v>177</v>
      </c>
      <c r="B5985" t="s">
        <v>36477</v>
      </c>
      <c r="E5985" t="s">
        <v>36478</v>
      </c>
      <c r="F5985" t="s">
        <v>108</v>
      </c>
      <c r="H5985" t="s">
        <v>36479</v>
      </c>
      <c r="I5985" t="s">
        <v>499</v>
      </c>
      <c r="J5985" t="s">
        <v>111</v>
      </c>
      <c r="K5985" t="str">
        <f>"85395"</f>
        <v>85395</v>
      </c>
      <c r="L5985" t="s">
        <v>5743</v>
      </c>
      <c r="M5985" t="s">
        <v>36479</v>
      </c>
      <c r="N5985" t="s">
        <v>499</v>
      </c>
      <c r="O5985" t="s">
        <v>111</v>
      </c>
      <c r="P5985" t="str">
        <f>"85395-6330"</f>
        <v>85395-6330</v>
      </c>
      <c r="Q5985" t="s">
        <v>113</v>
      </c>
      <c r="R5985" t="str">
        <f>"508-13-379"</f>
        <v>508-13-379</v>
      </c>
      <c r="S5985" t="s">
        <v>5744</v>
      </c>
      <c r="T5985" t="s">
        <v>5745</v>
      </c>
      <c r="U5985">
        <v>1990</v>
      </c>
      <c r="V5985">
        <v>0</v>
      </c>
      <c r="W5985">
        <v>3</v>
      </c>
      <c r="X5985">
        <v>2009</v>
      </c>
      <c r="Z5985">
        <v>1</v>
      </c>
      <c r="AB5985">
        <v>0</v>
      </c>
      <c r="AC5985" t="s">
        <v>115</v>
      </c>
      <c r="AD5985">
        <v>2</v>
      </c>
      <c r="AE5985" t="s">
        <v>115</v>
      </c>
      <c r="AF5985">
        <v>0</v>
      </c>
      <c r="AG5985">
        <v>0</v>
      </c>
      <c r="AH5985" t="s">
        <v>116</v>
      </c>
      <c r="AI5985" s="1">
        <v>76871</v>
      </c>
      <c r="AJ5985" s="2">
        <v>0.25</v>
      </c>
      <c r="AK5985" s="1">
        <v>306708</v>
      </c>
      <c r="AL5985" t="s">
        <v>117</v>
      </c>
      <c r="AM5985" t="s">
        <v>118</v>
      </c>
      <c r="AN5985">
        <v>8312</v>
      </c>
      <c r="AO5985">
        <v>0.19</v>
      </c>
      <c r="AR5985">
        <v>1</v>
      </c>
      <c r="AS5985" s="1">
        <v>21530</v>
      </c>
      <c r="AT5985" s="1">
        <v>4300</v>
      </c>
      <c r="AU5985" s="1">
        <v>17230</v>
      </c>
      <c r="AV5985">
        <v>80.03</v>
      </c>
      <c r="AX5985" s="1">
        <v>2180.42</v>
      </c>
      <c r="AY5985" t="s">
        <v>3020</v>
      </c>
      <c r="AZ5985" t="s">
        <v>3020</v>
      </c>
      <c r="BA5985" t="s">
        <v>3154</v>
      </c>
      <c r="BE5985" s="3">
        <v>42061</v>
      </c>
      <c r="BF5985" s="1">
        <v>225000</v>
      </c>
      <c r="BG5985" t="s">
        <v>36480</v>
      </c>
      <c r="BH5985" s="1">
        <v>113.07</v>
      </c>
      <c r="BI5985" s="1">
        <v>229837</v>
      </c>
      <c r="BJ5985" s="3">
        <v>42061</v>
      </c>
      <c r="BK5985" t="s">
        <v>123</v>
      </c>
      <c r="BL5985" t="str">
        <f>"2015.127701"</f>
        <v>2015.127701</v>
      </c>
      <c r="BM5985" t="s">
        <v>2489</v>
      </c>
      <c r="BO5985" t="s">
        <v>36481</v>
      </c>
      <c r="BS5985">
        <v>30</v>
      </c>
      <c r="BW5985" t="str">
        <f>""</f>
        <v/>
      </c>
      <c r="CH5985" t="str">
        <f>""</f>
        <v/>
      </c>
      <c r="CS5985" t="str">
        <f>""</f>
        <v/>
      </c>
    </row>
    <row r="5986" spans="1:97" x14ac:dyDescent="0.25">
      <c r="A5986" t="s">
        <v>1995</v>
      </c>
      <c r="B5986" t="s">
        <v>36482</v>
      </c>
      <c r="C5986" t="s">
        <v>251</v>
      </c>
      <c r="D5986" t="s">
        <v>36482</v>
      </c>
      <c r="E5986" t="s">
        <v>36483</v>
      </c>
      <c r="F5986" t="s">
        <v>108</v>
      </c>
      <c r="H5986" t="s">
        <v>36484</v>
      </c>
      <c r="I5986" t="s">
        <v>144</v>
      </c>
      <c r="J5986" t="s">
        <v>111</v>
      </c>
      <c r="K5986" t="str">
        <f>"85396"</f>
        <v>85396</v>
      </c>
      <c r="L5986" t="s">
        <v>1244</v>
      </c>
      <c r="M5986" t="s">
        <v>36484</v>
      </c>
      <c r="N5986" t="s">
        <v>144</v>
      </c>
      <c r="O5986" t="s">
        <v>111</v>
      </c>
      <c r="P5986" t="str">
        <f>"85396-8360"</f>
        <v>85396-8360</v>
      </c>
      <c r="Q5986" t="s">
        <v>113</v>
      </c>
      <c r="R5986" t="str">
        <f>"502-81-310"</f>
        <v>502-81-310</v>
      </c>
      <c r="S5986" t="s">
        <v>33355</v>
      </c>
      <c r="U5986">
        <v>3395</v>
      </c>
      <c r="V5986">
        <v>0</v>
      </c>
      <c r="W5986">
        <v>5</v>
      </c>
      <c r="X5986">
        <v>2012</v>
      </c>
      <c r="Z5986">
        <v>2</v>
      </c>
      <c r="AB5986">
        <v>0</v>
      </c>
      <c r="AC5986" t="s">
        <v>115</v>
      </c>
      <c r="AD5986">
        <v>3</v>
      </c>
      <c r="AE5986" t="s">
        <v>115</v>
      </c>
      <c r="AF5986">
        <v>0</v>
      </c>
      <c r="AG5986">
        <v>0</v>
      </c>
      <c r="AH5986" t="s">
        <v>116</v>
      </c>
      <c r="AI5986" s="1">
        <v>65118</v>
      </c>
      <c r="AJ5986" s="2">
        <v>0.15</v>
      </c>
      <c r="AK5986" s="1">
        <v>439818</v>
      </c>
      <c r="AL5986" t="s">
        <v>117</v>
      </c>
      <c r="AM5986" t="s">
        <v>118</v>
      </c>
      <c r="AN5986">
        <v>10940</v>
      </c>
      <c r="AO5986">
        <v>0.25</v>
      </c>
      <c r="AR5986">
        <v>1</v>
      </c>
      <c r="AS5986" s="1">
        <v>30080</v>
      </c>
      <c r="AT5986" s="1">
        <v>6010</v>
      </c>
      <c r="AU5986" s="1">
        <v>24070</v>
      </c>
      <c r="AV5986">
        <v>80.02</v>
      </c>
      <c r="AX5986" s="1">
        <v>4535.0200000000004</v>
      </c>
      <c r="AY5986" t="s">
        <v>217</v>
      </c>
      <c r="AZ5986" t="s">
        <v>217</v>
      </c>
      <c r="BA5986" t="s">
        <v>218</v>
      </c>
      <c r="BE5986" s="3">
        <v>41646</v>
      </c>
      <c r="BF5986" s="1">
        <v>330000</v>
      </c>
      <c r="BG5986" t="s">
        <v>36485</v>
      </c>
      <c r="BH5986" s="1">
        <v>97.2</v>
      </c>
      <c r="BI5986" s="1">
        <v>324700</v>
      </c>
      <c r="BJ5986" s="3">
        <v>42418</v>
      </c>
      <c r="BK5986" t="s">
        <v>123</v>
      </c>
      <c r="BL5986" t="str">
        <f>"2016.102508"</f>
        <v>2016.102508</v>
      </c>
      <c r="BM5986" t="s">
        <v>255</v>
      </c>
      <c r="BO5986" t="s">
        <v>36486</v>
      </c>
      <c r="BS5986">
        <v>30</v>
      </c>
      <c r="BT5986" s="1">
        <v>50000</v>
      </c>
      <c r="BU5986" s="3">
        <v>42838</v>
      </c>
      <c r="BV5986" t="s">
        <v>134</v>
      </c>
      <c r="BW5986" t="str">
        <f>"2017.262554"</f>
        <v>2017.262554</v>
      </c>
      <c r="BX5986" t="s">
        <v>135</v>
      </c>
      <c r="BZ5986" t="s">
        <v>36487</v>
      </c>
      <c r="CD5986">
        <v>10</v>
      </c>
      <c r="CH5986" t="str">
        <f>""</f>
        <v/>
      </c>
      <c r="CS5986" t="str">
        <f>""</f>
        <v/>
      </c>
    </row>
    <row r="5987" spans="1:97" x14ac:dyDescent="0.25">
      <c r="A5987" t="s">
        <v>5771</v>
      </c>
      <c r="B5987" t="s">
        <v>36488</v>
      </c>
      <c r="E5987" t="s">
        <v>36489</v>
      </c>
      <c r="F5987" t="s">
        <v>108</v>
      </c>
      <c r="H5987" t="s">
        <v>36490</v>
      </c>
      <c r="I5987" t="s">
        <v>203</v>
      </c>
      <c r="J5987" t="s">
        <v>111</v>
      </c>
      <c r="K5987" t="str">
        <f>"85295"</f>
        <v>85295</v>
      </c>
      <c r="L5987" t="s">
        <v>417</v>
      </c>
      <c r="M5987" t="s">
        <v>36490</v>
      </c>
      <c r="N5987" t="s">
        <v>203</v>
      </c>
      <c r="O5987" t="s">
        <v>111</v>
      </c>
      <c r="P5987" t="str">
        <f>"85295-9003"</f>
        <v>85295-9003</v>
      </c>
      <c r="Q5987" t="s">
        <v>113</v>
      </c>
      <c r="R5987" t="str">
        <f>"304-40-805"</f>
        <v>304-40-805</v>
      </c>
      <c r="S5987" t="s">
        <v>19758</v>
      </c>
      <c r="T5987" t="s">
        <v>19759</v>
      </c>
      <c r="U5987">
        <v>1867</v>
      </c>
      <c r="V5987">
        <v>0</v>
      </c>
      <c r="W5987">
        <v>3</v>
      </c>
      <c r="X5987">
        <v>2000</v>
      </c>
      <c r="Z5987">
        <v>2</v>
      </c>
      <c r="AB5987">
        <v>0</v>
      </c>
      <c r="AC5987" t="s">
        <v>115</v>
      </c>
      <c r="AD5987">
        <v>2</v>
      </c>
      <c r="AE5987" t="s">
        <v>115</v>
      </c>
      <c r="AF5987">
        <v>0</v>
      </c>
      <c r="AG5987">
        <v>0</v>
      </c>
      <c r="AH5987" t="s">
        <v>116</v>
      </c>
      <c r="AI5987" s="1">
        <v>59437</v>
      </c>
      <c r="AJ5987" s="2">
        <v>0.19</v>
      </c>
      <c r="AK5987" s="1">
        <v>314437</v>
      </c>
      <c r="AL5987" t="s">
        <v>117</v>
      </c>
      <c r="AM5987" t="s">
        <v>1302</v>
      </c>
      <c r="AN5987">
        <v>10350</v>
      </c>
      <c r="AO5987">
        <v>0.24</v>
      </c>
      <c r="AP5987">
        <v>1</v>
      </c>
      <c r="AR5987">
        <v>1</v>
      </c>
      <c r="AS5987" s="1">
        <v>21230</v>
      </c>
      <c r="AT5987" s="1">
        <v>4240</v>
      </c>
      <c r="AU5987" s="1">
        <v>16990</v>
      </c>
      <c r="AV5987">
        <v>80.03</v>
      </c>
      <c r="AX5987" s="1">
        <v>1681.74</v>
      </c>
      <c r="AY5987" t="s">
        <v>5087</v>
      </c>
      <c r="AZ5987" t="s">
        <v>5087</v>
      </c>
      <c r="BA5987" t="s">
        <v>473</v>
      </c>
      <c r="BE5987" s="3">
        <v>42543</v>
      </c>
      <c r="BF5987" s="1">
        <v>255000</v>
      </c>
      <c r="BG5987" t="s">
        <v>36491</v>
      </c>
      <c r="BH5987" s="1">
        <v>136.58000000000001</v>
      </c>
      <c r="BI5987" s="1">
        <v>255000</v>
      </c>
      <c r="BJ5987" s="3">
        <v>42543</v>
      </c>
      <c r="BK5987" t="s">
        <v>123</v>
      </c>
      <c r="BL5987" t="str">
        <f>"2016.436734"</f>
        <v>2016.436734</v>
      </c>
      <c r="BM5987" t="s">
        <v>255</v>
      </c>
      <c r="BO5987" t="s">
        <v>36492</v>
      </c>
      <c r="BS5987">
        <v>30</v>
      </c>
      <c r="BW5987" t="str">
        <f>""</f>
        <v/>
      </c>
      <c r="CH5987" t="str">
        <f>""</f>
        <v/>
      </c>
      <c r="CS5987" t="str">
        <f>""</f>
        <v/>
      </c>
    </row>
    <row r="5988" spans="1:97" x14ac:dyDescent="0.25">
      <c r="B5988" t="s">
        <v>36493</v>
      </c>
      <c r="E5988" t="s">
        <v>1139</v>
      </c>
      <c r="F5988" t="s">
        <v>108</v>
      </c>
      <c r="H5988" t="s">
        <v>36494</v>
      </c>
      <c r="I5988" t="s">
        <v>5863</v>
      </c>
      <c r="J5988" t="s">
        <v>111</v>
      </c>
      <c r="K5988" t="str">
        <f>"85375"</f>
        <v>85375</v>
      </c>
      <c r="L5988" t="s">
        <v>1312</v>
      </c>
      <c r="M5988" t="s">
        <v>36494</v>
      </c>
      <c r="N5988" t="s">
        <v>5863</v>
      </c>
      <c r="O5988" t="s">
        <v>111</v>
      </c>
      <c r="P5988" t="str">
        <f>"85375-1902"</f>
        <v>85375-1902</v>
      </c>
      <c r="Q5988" t="s">
        <v>113</v>
      </c>
      <c r="R5988" t="str">
        <f>"232-14-034"</f>
        <v>232-14-034</v>
      </c>
      <c r="S5988" t="s">
        <v>36495</v>
      </c>
      <c r="U5988">
        <v>2103</v>
      </c>
      <c r="V5988">
        <v>0</v>
      </c>
      <c r="W5988">
        <v>3</v>
      </c>
      <c r="X5988">
        <v>1985</v>
      </c>
      <c r="Z5988">
        <v>1</v>
      </c>
      <c r="AB5988">
        <v>0</v>
      </c>
      <c r="AC5988" t="s">
        <v>115</v>
      </c>
      <c r="AD5988">
        <v>2</v>
      </c>
      <c r="AE5988" t="s">
        <v>115</v>
      </c>
      <c r="AF5988">
        <v>0</v>
      </c>
      <c r="AG5988">
        <v>0</v>
      </c>
      <c r="AH5988" t="s">
        <v>116</v>
      </c>
      <c r="AI5988" s="1">
        <v>51897</v>
      </c>
      <c r="AJ5988" s="2">
        <v>0.17</v>
      </c>
      <c r="AK5988" s="1">
        <v>301883</v>
      </c>
      <c r="AL5988" t="s">
        <v>117</v>
      </c>
      <c r="AM5988" t="s">
        <v>393</v>
      </c>
      <c r="AN5988">
        <v>10725</v>
      </c>
      <c r="AO5988">
        <v>0.25</v>
      </c>
      <c r="AP5988">
        <v>1</v>
      </c>
      <c r="AR5988">
        <v>1</v>
      </c>
      <c r="AS5988" s="1">
        <v>17200</v>
      </c>
      <c r="AT5988" s="1">
        <v>3440</v>
      </c>
      <c r="AU5988" s="1">
        <v>13760</v>
      </c>
      <c r="AV5988">
        <v>80</v>
      </c>
      <c r="AX5988" s="1">
        <v>1274.0999999999999</v>
      </c>
      <c r="AY5988" t="s">
        <v>320</v>
      </c>
      <c r="AZ5988" t="s">
        <v>320</v>
      </c>
      <c r="BA5988" t="s">
        <v>321</v>
      </c>
      <c r="BB5988" s="3">
        <v>42047</v>
      </c>
      <c r="BD5988" t="s">
        <v>240</v>
      </c>
      <c r="BE5988" s="3">
        <v>42037</v>
      </c>
      <c r="BF5988" s="1">
        <v>242000</v>
      </c>
      <c r="BG5988" t="s">
        <v>36496</v>
      </c>
      <c r="BH5988" s="1">
        <v>115.07</v>
      </c>
      <c r="BI5988" s="1">
        <v>249986</v>
      </c>
      <c r="BJ5988" s="3">
        <v>42037</v>
      </c>
      <c r="BK5988" t="s">
        <v>123</v>
      </c>
      <c r="BL5988" t="str">
        <f>"2015.67164"</f>
        <v>2015.67164</v>
      </c>
      <c r="BM5988" t="s">
        <v>544</v>
      </c>
      <c r="BO5988" t="s">
        <v>36497</v>
      </c>
      <c r="BS5988">
        <v>30</v>
      </c>
      <c r="BW5988" t="str">
        <f>""</f>
        <v/>
      </c>
      <c r="CH5988" t="str">
        <f>""</f>
        <v/>
      </c>
      <c r="CS5988" t="str">
        <f>""</f>
        <v/>
      </c>
    </row>
    <row r="5989" spans="1:97" x14ac:dyDescent="0.25">
      <c r="A5989" t="s">
        <v>36498</v>
      </c>
      <c r="B5989" t="s">
        <v>36499</v>
      </c>
      <c r="C5989" t="s">
        <v>4874</v>
      </c>
      <c r="D5989" t="s">
        <v>36499</v>
      </c>
      <c r="E5989" t="s">
        <v>36500</v>
      </c>
      <c r="F5989" t="s">
        <v>108</v>
      </c>
      <c r="H5989" t="s">
        <v>36501</v>
      </c>
      <c r="I5989" t="s">
        <v>453</v>
      </c>
      <c r="J5989" t="s">
        <v>111</v>
      </c>
      <c r="K5989" t="str">
        <f>"85382"</f>
        <v>85382</v>
      </c>
      <c r="L5989" t="s">
        <v>5910</v>
      </c>
      <c r="M5989" t="s">
        <v>36501</v>
      </c>
      <c r="N5989" t="s">
        <v>453</v>
      </c>
      <c r="O5989" t="s">
        <v>111</v>
      </c>
      <c r="P5989" t="str">
        <f>"85382-8667"</f>
        <v>85382-8667</v>
      </c>
      <c r="R5989" t="str">
        <f>"231-12-027"</f>
        <v>231-12-027</v>
      </c>
      <c r="S5989" t="s">
        <v>36502</v>
      </c>
      <c r="T5989" t="s">
        <v>36503</v>
      </c>
      <c r="U5989">
        <v>1534</v>
      </c>
      <c r="V5989">
        <v>0</v>
      </c>
      <c r="W5989">
        <v>3</v>
      </c>
      <c r="X5989">
        <v>1995</v>
      </c>
      <c r="Z5989">
        <v>1</v>
      </c>
      <c r="AB5989">
        <v>0</v>
      </c>
      <c r="AC5989" t="s">
        <v>115</v>
      </c>
      <c r="AD5989">
        <v>2</v>
      </c>
      <c r="AE5989" t="s">
        <v>115</v>
      </c>
      <c r="AF5989">
        <v>0</v>
      </c>
      <c r="AG5989">
        <v>0</v>
      </c>
      <c r="AH5989" t="s">
        <v>116</v>
      </c>
      <c r="AI5989" s="1">
        <v>58836</v>
      </c>
      <c r="AJ5989" s="2">
        <v>0.21</v>
      </c>
      <c r="AK5989" s="1">
        <v>275766</v>
      </c>
      <c r="AL5989" t="s">
        <v>117</v>
      </c>
      <c r="AM5989" t="s">
        <v>118</v>
      </c>
      <c r="AN5989">
        <v>5000</v>
      </c>
      <c r="AO5989">
        <v>0.12</v>
      </c>
      <c r="AP5989">
        <v>1</v>
      </c>
      <c r="AR5989">
        <v>1</v>
      </c>
      <c r="AS5989" s="1">
        <v>18430</v>
      </c>
      <c r="AT5989" s="1">
        <v>3680</v>
      </c>
      <c r="AU5989" s="1">
        <v>14750</v>
      </c>
      <c r="AV5989">
        <v>80.03</v>
      </c>
      <c r="AX5989" s="1">
        <v>1775.04</v>
      </c>
      <c r="AY5989" t="s">
        <v>7828</v>
      </c>
      <c r="AZ5989" t="s">
        <v>7828</v>
      </c>
      <c r="BA5989" t="s">
        <v>4219</v>
      </c>
      <c r="BE5989" s="3">
        <v>42328</v>
      </c>
      <c r="BF5989" s="1">
        <v>210000</v>
      </c>
      <c r="BG5989" t="s">
        <v>36504</v>
      </c>
      <c r="BH5989" s="1">
        <v>136.9</v>
      </c>
      <c r="BI5989" s="1">
        <v>216930</v>
      </c>
      <c r="BJ5989" s="3">
        <v>42328</v>
      </c>
      <c r="BK5989" t="s">
        <v>123</v>
      </c>
      <c r="BL5989" t="str">
        <f>"2015.831535"</f>
        <v>2015.831535</v>
      </c>
      <c r="BM5989" t="s">
        <v>5867</v>
      </c>
      <c r="BN5989" t="s">
        <v>9181</v>
      </c>
      <c r="BO5989" t="s">
        <v>36505</v>
      </c>
      <c r="BS5989">
        <v>30</v>
      </c>
      <c r="BW5989" t="str">
        <f>""</f>
        <v/>
      </c>
      <c r="CH5989" t="str">
        <f>""</f>
        <v/>
      </c>
      <c r="CS5989" t="str">
        <f>""</f>
        <v/>
      </c>
    </row>
    <row r="5990" spans="1:97" x14ac:dyDescent="0.25">
      <c r="A5990" t="s">
        <v>12419</v>
      </c>
      <c r="B5990" t="s">
        <v>1296</v>
      </c>
      <c r="E5990" t="s">
        <v>36506</v>
      </c>
      <c r="F5990" t="s">
        <v>108</v>
      </c>
      <c r="H5990" t="s">
        <v>36507</v>
      </c>
      <c r="I5990" t="s">
        <v>225</v>
      </c>
      <c r="J5990" t="s">
        <v>111</v>
      </c>
      <c r="K5990" t="str">
        <f>"85212"</f>
        <v>85212</v>
      </c>
      <c r="L5990" t="s">
        <v>1569</v>
      </c>
      <c r="M5990" t="s">
        <v>36507</v>
      </c>
      <c r="N5990" t="s">
        <v>225</v>
      </c>
      <c r="O5990" t="s">
        <v>111</v>
      </c>
      <c r="P5990" t="str">
        <f>"85212-1960"</f>
        <v>85212-1960</v>
      </c>
      <c r="Q5990" t="s">
        <v>113</v>
      </c>
      <c r="R5990" t="str">
        <f>"304-01-712"</f>
        <v>304-01-712</v>
      </c>
      <c r="S5990" t="s">
        <v>21808</v>
      </c>
      <c r="T5990" t="s">
        <v>12865</v>
      </c>
      <c r="U5990">
        <v>2288</v>
      </c>
      <c r="V5990">
        <v>0</v>
      </c>
      <c r="W5990">
        <v>3</v>
      </c>
      <c r="X5990">
        <v>2002</v>
      </c>
      <c r="Z5990">
        <v>1</v>
      </c>
      <c r="AB5990">
        <v>0</v>
      </c>
      <c r="AC5990" t="s">
        <v>115</v>
      </c>
      <c r="AD5990">
        <v>2</v>
      </c>
      <c r="AE5990" t="s">
        <v>115</v>
      </c>
      <c r="AF5990">
        <v>0</v>
      </c>
      <c r="AG5990">
        <v>0</v>
      </c>
      <c r="AH5990" t="s">
        <v>116</v>
      </c>
      <c r="AI5990" s="1">
        <v>83940</v>
      </c>
      <c r="AJ5990" s="2">
        <v>0.26</v>
      </c>
      <c r="AK5990" s="1">
        <v>328940</v>
      </c>
      <c r="AL5990" t="s">
        <v>117</v>
      </c>
      <c r="AM5990" t="s">
        <v>191</v>
      </c>
      <c r="AN5990">
        <v>8358</v>
      </c>
      <c r="AO5990">
        <v>0.19</v>
      </c>
      <c r="AP5990">
        <v>1</v>
      </c>
      <c r="AR5990">
        <v>1</v>
      </c>
      <c r="AS5990" s="1">
        <v>22330</v>
      </c>
      <c r="AT5990" s="1">
        <v>4460</v>
      </c>
      <c r="AU5990" s="1">
        <v>17870</v>
      </c>
      <c r="AV5990">
        <v>80.03</v>
      </c>
      <c r="AX5990" s="1">
        <v>1580.84</v>
      </c>
      <c r="AY5990" t="s">
        <v>776</v>
      </c>
      <c r="AZ5990" t="s">
        <v>777</v>
      </c>
      <c r="BA5990" t="s">
        <v>572</v>
      </c>
      <c r="BE5990" s="3">
        <v>42130</v>
      </c>
      <c r="BF5990" s="1">
        <v>245000</v>
      </c>
      <c r="BG5990" t="s">
        <v>36508</v>
      </c>
      <c r="BH5990" s="1">
        <v>107.08</v>
      </c>
      <c r="BI5990" s="1">
        <v>245000</v>
      </c>
      <c r="BJ5990" s="3">
        <v>42130</v>
      </c>
      <c r="BK5990" t="s">
        <v>123</v>
      </c>
      <c r="BL5990" t="str">
        <f>"2015.319456"</f>
        <v>2015.319456</v>
      </c>
      <c r="BM5990" t="s">
        <v>1192</v>
      </c>
      <c r="BO5990" t="s">
        <v>36509</v>
      </c>
      <c r="BS5990">
        <v>30</v>
      </c>
      <c r="BW5990" t="str">
        <f>""</f>
        <v/>
      </c>
      <c r="CH5990" t="str">
        <f>""</f>
        <v/>
      </c>
      <c r="CS5990" t="str">
        <f>""</f>
        <v/>
      </c>
    </row>
    <row r="5991" spans="1:97" x14ac:dyDescent="0.25">
      <c r="A5991" t="s">
        <v>1465</v>
      </c>
      <c r="B5991" t="s">
        <v>4899</v>
      </c>
      <c r="E5991" t="s">
        <v>36510</v>
      </c>
      <c r="F5991" t="s">
        <v>108</v>
      </c>
      <c r="H5991" t="s">
        <v>36511</v>
      </c>
      <c r="I5991" t="s">
        <v>499</v>
      </c>
      <c r="J5991" t="s">
        <v>111</v>
      </c>
      <c r="K5991" t="str">
        <f>"85338"</f>
        <v>85338</v>
      </c>
      <c r="L5991" t="s">
        <v>5990</v>
      </c>
      <c r="M5991" t="s">
        <v>36511</v>
      </c>
      <c r="N5991" t="s">
        <v>499</v>
      </c>
      <c r="O5991" t="s">
        <v>111</v>
      </c>
      <c r="P5991" t="str">
        <f>"85338-9203"</f>
        <v>85338-9203</v>
      </c>
      <c r="Q5991" t="s">
        <v>113</v>
      </c>
      <c r="R5991" t="str">
        <f>"500-06-256"</f>
        <v>500-06-256</v>
      </c>
      <c r="S5991" t="s">
        <v>7185</v>
      </c>
      <c r="T5991" t="s">
        <v>7185</v>
      </c>
      <c r="U5991">
        <v>2037</v>
      </c>
      <c r="V5991">
        <v>0</v>
      </c>
      <c r="W5991">
        <v>3</v>
      </c>
      <c r="X5991">
        <v>1983</v>
      </c>
      <c r="Z5991">
        <v>1</v>
      </c>
      <c r="AB5991">
        <v>0</v>
      </c>
      <c r="AC5991" t="s">
        <v>115</v>
      </c>
      <c r="AD5991">
        <v>2</v>
      </c>
      <c r="AE5991" t="s">
        <v>115</v>
      </c>
      <c r="AF5991">
        <v>0</v>
      </c>
      <c r="AG5991">
        <v>0</v>
      </c>
      <c r="AH5991" t="s">
        <v>116</v>
      </c>
      <c r="AI5991" s="1">
        <v>59748</v>
      </c>
      <c r="AJ5991" s="2">
        <v>0.16</v>
      </c>
      <c r="AK5991" s="1">
        <v>373511</v>
      </c>
      <c r="AL5991" t="s">
        <v>117</v>
      </c>
      <c r="AM5991" t="s">
        <v>376</v>
      </c>
      <c r="AN5991">
        <v>59596</v>
      </c>
      <c r="AO5991">
        <v>1.37</v>
      </c>
      <c r="AP5991">
        <v>1</v>
      </c>
      <c r="AR5991">
        <v>1</v>
      </c>
      <c r="AS5991" s="1">
        <v>25830</v>
      </c>
      <c r="AT5991" s="1">
        <v>5160</v>
      </c>
      <c r="AU5991" s="1">
        <v>20670</v>
      </c>
      <c r="AV5991">
        <v>80.02</v>
      </c>
      <c r="AX5991" s="1">
        <v>1952.76</v>
      </c>
      <c r="AY5991" t="s">
        <v>6319</v>
      </c>
      <c r="AZ5991" t="s">
        <v>6319</v>
      </c>
      <c r="BA5991" t="s">
        <v>7186</v>
      </c>
      <c r="BE5991" s="3">
        <v>41802</v>
      </c>
      <c r="BF5991" s="1">
        <v>312000</v>
      </c>
      <c r="BG5991" t="s">
        <v>36512</v>
      </c>
      <c r="BH5991" s="1">
        <v>153.16999999999999</v>
      </c>
      <c r="BI5991" s="1">
        <v>313763</v>
      </c>
      <c r="BJ5991" s="3">
        <v>42577</v>
      </c>
      <c r="BK5991" t="s">
        <v>123</v>
      </c>
      <c r="BL5991" t="str">
        <f>"2016.527063"</f>
        <v>2016.527063</v>
      </c>
      <c r="BM5991" t="s">
        <v>544</v>
      </c>
      <c r="BO5991" t="s">
        <v>36513</v>
      </c>
      <c r="BS5991">
        <v>30</v>
      </c>
      <c r="BW5991" t="str">
        <f>""</f>
        <v/>
      </c>
      <c r="CH5991" t="str">
        <f>""</f>
        <v/>
      </c>
      <c r="CS5991" t="str">
        <f>""</f>
        <v/>
      </c>
    </row>
    <row r="5992" spans="1:97" x14ac:dyDescent="0.25">
      <c r="A5992" t="s">
        <v>1009</v>
      </c>
      <c r="B5992" t="s">
        <v>1577</v>
      </c>
      <c r="E5992" t="s">
        <v>36514</v>
      </c>
      <c r="F5992" t="s">
        <v>108</v>
      </c>
      <c r="H5992" t="s">
        <v>36515</v>
      </c>
      <c r="I5992" t="s">
        <v>390</v>
      </c>
      <c r="J5992" t="s">
        <v>111</v>
      </c>
      <c r="K5992" t="str">
        <f>"85027"</f>
        <v>85027</v>
      </c>
      <c r="L5992" t="s">
        <v>226</v>
      </c>
      <c r="M5992" t="s">
        <v>36515</v>
      </c>
      <c r="N5992" t="s">
        <v>390</v>
      </c>
      <c r="O5992" t="s">
        <v>111</v>
      </c>
      <c r="P5992" t="str">
        <f>"85027-4838"</f>
        <v>85027-4838</v>
      </c>
      <c r="Q5992" t="s">
        <v>113</v>
      </c>
      <c r="R5992" t="str">
        <f>"206-11-221"</f>
        <v>206-11-221</v>
      </c>
      <c r="S5992" t="s">
        <v>28871</v>
      </c>
      <c r="T5992" t="s">
        <v>28872</v>
      </c>
      <c r="U5992">
        <v>2084</v>
      </c>
      <c r="V5992">
        <v>0</v>
      </c>
      <c r="W5992">
        <v>3</v>
      </c>
      <c r="X5992">
        <v>1983</v>
      </c>
      <c r="Z5992">
        <v>1</v>
      </c>
      <c r="AA5992" t="s">
        <v>26</v>
      </c>
      <c r="AB5992">
        <v>0</v>
      </c>
      <c r="AC5992" t="s">
        <v>115</v>
      </c>
      <c r="AD5992">
        <v>2</v>
      </c>
      <c r="AE5992" t="s">
        <v>115</v>
      </c>
      <c r="AF5992">
        <v>0</v>
      </c>
      <c r="AG5992">
        <v>0</v>
      </c>
      <c r="AH5992" t="s">
        <v>116</v>
      </c>
      <c r="AI5992" s="1">
        <v>54770</v>
      </c>
      <c r="AJ5992" s="2">
        <v>0.18</v>
      </c>
      <c r="AK5992" s="1">
        <v>312770</v>
      </c>
      <c r="AL5992" t="s">
        <v>117</v>
      </c>
      <c r="AM5992" t="s">
        <v>171</v>
      </c>
      <c r="AN5992">
        <v>8622</v>
      </c>
      <c r="AO5992">
        <v>0.2</v>
      </c>
      <c r="AP5992">
        <v>1</v>
      </c>
      <c r="AR5992">
        <v>1</v>
      </c>
      <c r="AS5992" s="1">
        <v>21780</v>
      </c>
      <c r="AT5992" s="1">
        <v>4350</v>
      </c>
      <c r="AU5992" s="1">
        <v>17430</v>
      </c>
      <c r="AV5992">
        <v>80.03</v>
      </c>
      <c r="AX5992" s="1">
        <v>1686.38</v>
      </c>
      <c r="AY5992" t="s">
        <v>9121</v>
      </c>
      <c r="AZ5992" t="s">
        <v>2357</v>
      </c>
      <c r="BA5992" t="s">
        <v>1462</v>
      </c>
      <c r="BE5992" s="3">
        <v>42452</v>
      </c>
      <c r="BF5992" s="1">
        <v>258000</v>
      </c>
      <c r="BG5992" t="s">
        <v>36516</v>
      </c>
      <c r="BH5992" s="1">
        <v>123.8</v>
      </c>
      <c r="BI5992" s="1">
        <v>258000</v>
      </c>
      <c r="BJ5992" s="3">
        <v>42667</v>
      </c>
      <c r="BK5992" t="s">
        <v>123</v>
      </c>
      <c r="BL5992" t="str">
        <f>"2016.777495"</f>
        <v>2016.777495</v>
      </c>
      <c r="BM5992" t="s">
        <v>1791</v>
      </c>
      <c r="BO5992" t="s">
        <v>36517</v>
      </c>
      <c r="BS5992">
        <v>30</v>
      </c>
      <c r="BW5992" t="str">
        <f>""</f>
        <v/>
      </c>
      <c r="CH5992" t="str">
        <f>""</f>
        <v/>
      </c>
      <c r="CS5992" t="str">
        <f>""</f>
        <v/>
      </c>
    </row>
    <row r="5993" spans="1:97" x14ac:dyDescent="0.25">
      <c r="A5993" t="s">
        <v>1898</v>
      </c>
      <c r="B5993" t="s">
        <v>36518</v>
      </c>
      <c r="C5993" t="s">
        <v>1416</v>
      </c>
      <c r="D5993" t="s">
        <v>36518</v>
      </c>
      <c r="E5993" t="s">
        <v>36519</v>
      </c>
      <c r="F5993" t="s">
        <v>108</v>
      </c>
      <c r="H5993" t="s">
        <v>36520</v>
      </c>
      <c r="I5993" t="s">
        <v>225</v>
      </c>
      <c r="J5993" t="s">
        <v>111</v>
      </c>
      <c r="K5993" t="str">
        <f>"85210"</f>
        <v>85210</v>
      </c>
      <c r="L5993" t="s">
        <v>10238</v>
      </c>
      <c r="M5993" t="s">
        <v>36520</v>
      </c>
      <c r="N5993" t="s">
        <v>225</v>
      </c>
      <c r="O5993" t="s">
        <v>111</v>
      </c>
      <c r="P5993" t="str">
        <f>"85210-8247"</f>
        <v>85210-8247</v>
      </c>
      <c r="Q5993" t="s">
        <v>113</v>
      </c>
      <c r="R5993" t="str">
        <f>"302-77-702"</f>
        <v>302-77-702</v>
      </c>
      <c r="S5993" t="s">
        <v>36521</v>
      </c>
      <c r="U5993">
        <v>2069</v>
      </c>
      <c r="V5993">
        <v>0</v>
      </c>
      <c r="W5993">
        <v>3</v>
      </c>
      <c r="X5993">
        <v>1984</v>
      </c>
      <c r="Z5993">
        <v>2</v>
      </c>
      <c r="AB5993">
        <v>0</v>
      </c>
      <c r="AC5993" t="s">
        <v>115</v>
      </c>
      <c r="AD5993">
        <v>2</v>
      </c>
      <c r="AE5993" t="s">
        <v>115</v>
      </c>
      <c r="AF5993">
        <v>0</v>
      </c>
      <c r="AG5993">
        <v>0</v>
      </c>
      <c r="AH5993" t="s">
        <v>116</v>
      </c>
      <c r="AI5993" s="1">
        <v>38888</v>
      </c>
      <c r="AJ5993" s="2">
        <v>0.12</v>
      </c>
      <c r="AK5993" s="1">
        <v>325860</v>
      </c>
      <c r="AL5993" t="s">
        <v>117</v>
      </c>
      <c r="AM5993" t="s">
        <v>191</v>
      </c>
      <c r="AN5993">
        <v>6891</v>
      </c>
      <c r="AO5993">
        <v>0.16</v>
      </c>
      <c r="AP5993">
        <v>1</v>
      </c>
      <c r="AR5993">
        <v>1</v>
      </c>
      <c r="AS5993" s="1">
        <v>21830</v>
      </c>
      <c r="AT5993" s="1">
        <v>4360</v>
      </c>
      <c r="AU5993" s="1">
        <v>17470</v>
      </c>
      <c r="AV5993">
        <v>80.03</v>
      </c>
      <c r="AX5993" s="1">
        <v>1655.28</v>
      </c>
      <c r="AY5993" t="s">
        <v>8619</v>
      </c>
      <c r="AZ5993" t="s">
        <v>7295</v>
      </c>
      <c r="BA5993" t="s">
        <v>5311</v>
      </c>
      <c r="BE5993" s="3">
        <v>41746</v>
      </c>
      <c r="BF5993" s="1">
        <v>268500</v>
      </c>
      <c r="BG5993" t="s">
        <v>36522</v>
      </c>
      <c r="BH5993" s="1">
        <v>129.77000000000001</v>
      </c>
      <c r="BI5993" s="1">
        <v>286972</v>
      </c>
      <c r="BJ5993" s="3">
        <v>42579</v>
      </c>
      <c r="BK5993" t="s">
        <v>123</v>
      </c>
      <c r="BL5993" t="str">
        <f>"2016.532841"</f>
        <v>2016.532841</v>
      </c>
      <c r="BM5993" t="s">
        <v>2378</v>
      </c>
      <c r="BO5993" t="s">
        <v>36523</v>
      </c>
      <c r="BS5993">
        <v>30</v>
      </c>
      <c r="BW5993" t="str">
        <f>""</f>
        <v/>
      </c>
      <c r="CH5993" t="str">
        <f>""</f>
        <v/>
      </c>
      <c r="CS5993" t="str">
        <f>""</f>
        <v/>
      </c>
    </row>
    <row r="5994" spans="1:97" x14ac:dyDescent="0.25">
      <c r="A5994" t="s">
        <v>4145</v>
      </c>
      <c r="B5994" t="s">
        <v>36524</v>
      </c>
      <c r="E5994" t="s">
        <v>36525</v>
      </c>
      <c r="F5994" t="s">
        <v>108</v>
      </c>
      <c r="H5994" t="s">
        <v>36526</v>
      </c>
      <c r="I5994" t="s">
        <v>203</v>
      </c>
      <c r="J5994" t="s">
        <v>111</v>
      </c>
      <c r="K5994" t="str">
        <f>"85233"</f>
        <v>85233</v>
      </c>
      <c r="L5994" t="s">
        <v>567</v>
      </c>
      <c r="M5994" t="s">
        <v>36526</v>
      </c>
      <c r="N5994" t="s">
        <v>203</v>
      </c>
      <c r="O5994" t="s">
        <v>111</v>
      </c>
      <c r="P5994" t="str">
        <f>"85233-4230"</f>
        <v>85233-4230</v>
      </c>
      <c r="Q5994" t="s">
        <v>113</v>
      </c>
      <c r="R5994" t="str">
        <f>"302-21-463"</f>
        <v>302-21-463</v>
      </c>
      <c r="S5994" t="s">
        <v>36527</v>
      </c>
      <c r="T5994" t="s">
        <v>11516</v>
      </c>
      <c r="U5994">
        <v>1773</v>
      </c>
      <c r="V5994">
        <v>0</v>
      </c>
      <c r="W5994">
        <v>3</v>
      </c>
      <c r="X5994">
        <v>1994</v>
      </c>
      <c r="Z5994">
        <v>2</v>
      </c>
      <c r="AA5994" t="s">
        <v>26</v>
      </c>
      <c r="AB5994">
        <v>0</v>
      </c>
      <c r="AC5994" t="s">
        <v>115</v>
      </c>
      <c r="AD5994">
        <v>2</v>
      </c>
      <c r="AE5994" t="s">
        <v>115</v>
      </c>
      <c r="AF5994">
        <v>0</v>
      </c>
      <c r="AG5994">
        <v>0</v>
      </c>
      <c r="AH5994" t="s">
        <v>116</v>
      </c>
      <c r="AI5994" s="1">
        <v>28207</v>
      </c>
      <c r="AJ5994" s="2">
        <v>0.08</v>
      </c>
      <c r="AK5994" s="1">
        <v>331945</v>
      </c>
      <c r="AL5994" t="s">
        <v>117</v>
      </c>
      <c r="AM5994" t="s">
        <v>288</v>
      </c>
      <c r="AN5994">
        <v>6368</v>
      </c>
      <c r="AO5994">
        <v>0.15</v>
      </c>
      <c r="AP5994">
        <v>1</v>
      </c>
      <c r="AR5994">
        <v>1</v>
      </c>
      <c r="AS5994" s="1">
        <v>22100</v>
      </c>
      <c r="AT5994" s="1">
        <v>4420</v>
      </c>
      <c r="AU5994" s="1">
        <v>17680</v>
      </c>
      <c r="AV5994">
        <v>80</v>
      </c>
      <c r="AX5994" s="1">
        <v>1595.38</v>
      </c>
      <c r="AY5994" t="s">
        <v>9989</v>
      </c>
      <c r="AZ5994" t="s">
        <v>5478</v>
      </c>
      <c r="BA5994" t="s">
        <v>5479</v>
      </c>
      <c r="BB5994" s="3">
        <v>43276</v>
      </c>
      <c r="BC5994" s="1">
        <v>0</v>
      </c>
      <c r="BD5994" t="s">
        <v>247</v>
      </c>
      <c r="BE5994" s="3">
        <v>41733</v>
      </c>
      <c r="BF5994" s="1">
        <v>247000</v>
      </c>
      <c r="BG5994" t="s">
        <v>36528</v>
      </c>
      <c r="BH5994" s="1">
        <v>139.31</v>
      </c>
      <c r="BI5994" s="1">
        <v>303738</v>
      </c>
      <c r="BJ5994" s="3">
        <v>43613</v>
      </c>
      <c r="BK5994" t="s">
        <v>123</v>
      </c>
      <c r="BL5994" t="str">
        <f>"2019.386822"</f>
        <v>2019.386822</v>
      </c>
      <c r="BM5994" t="s">
        <v>5842</v>
      </c>
      <c r="BN5994" t="s">
        <v>5843</v>
      </c>
      <c r="BO5994" t="s">
        <v>36529</v>
      </c>
      <c r="BP5994" t="s">
        <v>36530</v>
      </c>
      <c r="BR5994" t="s">
        <v>139</v>
      </c>
      <c r="BW5994" t="str">
        <f>""</f>
        <v/>
      </c>
      <c r="CH5994" t="str">
        <f>""</f>
        <v/>
      </c>
      <c r="CS5994" t="str">
        <f>""</f>
        <v/>
      </c>
    </row>
    <row r="5995" spans="1:97" x14ac:dyDescent="0.25">
      <c r="A5995" t="s">
        <v>36531</v>
      </c>
      <c r="B5995" t="s">
        <v>36532</v>
      </c>
      <c r="E5995" t="s">
        <v>36533</v>
      </c>
      <c r="F5995" t="s">
        <v>108</v>
      </c>
      <c r="H5995" t="s">
        <v>36534</v>
      </c>
      <c r="I5995" t="s">
        <v>2874</v>
      </c>
      <c r="J5995" t="s">
        <v>111</v>
      </c>
      <c r="K5995" t="str">
        <f>"85303"</f>
        <v>85303</v>
      </c>
      <c r="L5995" t="s">
        <v>6691</v>
      </c>
      <c r="M5995" t="s">
        <v>36534</v>
      </c>
      <c r="N5995" t="s">
        <v>2874</v>
      </c>
      <c r="O5995" t="s">
        <v>111</v>
      </c>
      <c r="P5995" t="str">
        <f>"85303-4210"</f>
        <v>85303-4210</v>
      </c>
      <c r="Q5995" t="s">
        <v>113</v>
      </c>
      <c r="R5995" t="str">
        <f>"102-06-775"</f>
        <v>102-06-775</v>
      </c>
      <c r="S5995" t="s">
        <v>14644</v>
      </c>
      <c r="T5995" t="s">
        <v>14644</v>
      </c>
      <c r="U5995">
        <v>2663</v>
      </c>
      <c r="V5995">
        <v>0</v>
      </c>
      <c r="W5995">
        <v>4</v>
      </c>
      <c r="X5995">
        <v>2000</v>
      </c>
      <c r="Z5995">
        <v>2</v>
      </c>
      <c r="AA5995" t="s">
        <v>26</v>
      </c>
      <c r="AB5995">
        <v>0</v>
      </c>
      <c r="AC5995" t="s">
        <v>115</v>
      </c>
      <c r="AD5995">
        <v>3</v>
      </c>
      <c r="AE5995" t="s">
        <v>115</v>
      </c>
      <c r="AF5995">
        <v>0</v>
      </c>
      <c r="AG5995">
        <v>0</v>
      </c>
      <c r="AH5995" t="s">
        <v>116</v>
      </c>
      <c r="AI5995" s="1">
        <v>94494</v>
      </c>
      <c r="AJ5995" s="2">
        <v>0.31</v>
      </c>
      <c r="AK5995" s="1">
        <v>308114</v>
      </c>
      <c r="AL5995" t="s">
        <v>117</v>
      </c>
      <c r="AM5995" t="s">
        <v>191</v>
      </c>
      <c r="AN5995">
        <v>7990</v>
      </c>
      <c r="AO5995">
        <v>0.18</v>
      </c>
      <c r="AP5995">
        <v>1</v>
      </c>
      <c r="AR5995">
        <v>1</v>
      </c>
      <c r="AS5995" s="1">
        <v>20610</v>
      </c>
      <c r="AT5995" s="1">
        <v>4120</v>
      </c>
      <c r="AU5995" s="1">
        <v>16490</v>
      </c>
      <c r="AV5995">
        <v>80.010000000000005</v>
      </c>
      <c r="AX5995" s="1">
        <v>2112.7399999999998</v>
      </c>
      <c r="AY5995" t="s">
        <v>2877</v>
      </c>
      <c r="AZ5995" t="s">
        <v>2877</v>
      </c>
      <c r="BA5995" t="s">
        <v>2878</v>
      </c>
      <c r="BE5995" s="3">
        <v>41690</v>
      </c>
      <c r="BF5995" s="1">
        <v>217500</v>
      </c>
      <c r="BG5995" t="s">
        <v>36535</v>
      </c>
      <c r="BH5995" s="1">
        <v>81.67</v>
      </c>
      <c r="BI5995" s="1">
        <v>213620</v>
      </c>
      <c r="BJ5995" s="3">
        <v>42454</v>
      </c>
      <c r="BK5995" t="s">
        <v>123</v>
      </c>
      <c r="BL5995" t="str">
        <f>"2016.192950"</f>
        <v>2016.192950</v>
      </c>
      <c r="BM5995" t="s">
        <v>322</v>
      </c>
      <c r="BO5995" t="s">
        <v>36536</v>
      </c>
      <c r="BS5995">
        <v>30</v>
      </c>
      <c r="BW5995" t="str">
        <f>""</f>
        <v/>
      </c>
      <c r="CH5995" t="str">
        <f>""</f>
        <v/>
      </c>
      <c r="CS5995" t="str">
        <f>""</f>
        <v/>
      </c>
    </row>
    <row r="5996" spans="1:97" x14ac:dyDescent="0.25">
      <c r="A5996" t="s">
        <v>12014</v>
      </c>
      <c r="B5996" t="s">
        <v>36537</v>
      </c>
      <c r="E5996" t="s">
        <v>36538</v>
      </c>
      <c r="F5996" t="s">
        <v>108</v>
      </c>
      <c r="H5996" t="s">
        <v>36539</v>
      </c>
      <c r="I5996" t="s">
        <v>5387</v>
      </c>
      <c r="J5996" t="s">
        <v>111</v>
      </c>
      <c r="K5996" t="str">
        <f>"85281"</f>
        <v>85281</v>
      </c>
      <c r="L5996" t="s">
        <v>6964</v>
      </c>
      <c r="M5996" t="s">
        <v>36539</v>
      </c>
      <c r="N5996" t="s">
        <v>5387</v>
      </c>
      <c r="O5996" t="s">
        <v>111</v>
      </c>
      <c r="P5996" t="str">
        <f>"85281-1326"</f>
        <v>85281-1326</v>
      </c>
      <c r="Q5996" t="s">
        <v>113</v>
      </c>
      <c r="R5996" t="str">
        <f>"129-18-090"</f>
        <v>129-18-090</v>
      </c>
      <c r="S5996" t="s">
        <v>9587</v>
      </c>
      <c r="T5996" t="s">
        <v>9588</v>
      </c>
      <c r="U5996">
        <v>1287</v>
      </c>
      <c r="V5996">
        <v>0</v>
      </c>
      <c r="W5996">
        <v>2</v>
      </c>
      <c r="X5996">
        <v>1962</v>
      </c>
      <c r="Z5996">
        <v>1</v>
      </c>
      <c r="AA5996" t="s">
        <v>26</v>
      </c>
      <c r="AB5996">
        <v>0</v>
      </c>
      <c r="AC5996" t="s">
        <v>5188</v>
      </c>
      <c r="AD5996">
        <v>1</v>
      </c>
      <c r="AE5996" t="s">
        <v>5188</v>
      </c>
      <c r="AF5996">
        <v>0</v>
      </c>
      <c r="AG5996">
        <v>0</v>
      </c>
      <c r="AH5996" t="s">
        <v>116</v>
      </c>
      <c r="AI5996" s="1">
        <v>78372</v>
      </c>
      <c r="AJ5996" s="2">
        <v>0.24</v>
      </c>
      <c r="AK5996" s="1">
        <v>327372</v>
      </c>
      <c r="AL5996" t="s">
        <v>117</v>
      </c>
      <c r="AM5996" t="s">
        <v>191</v>
      </c>
      <c r="AN5996">
        <v>6085</v>
      </c>
      <c r="AO5996">
        <v>0.14000000000000001</v>
      </c>
      <c r="AP5996">
        <v>1</v>
      </c>
      <c r="AR5996">
        <v>1</v>
      </c>
      <c r="AS5996" s="1">
        <v>22160</v>
      </c>
      <c r="AT5996" s="1">
        <v>4430</v>
      </c>
      <c r="AU5996" s="1">
        <v>17730</v>
      </c>
      <c r="AV5996">
        <v>80.010000000000005</v>
      </c>
      <c r="AX5996" s="1">
        <v>1103.28</v>
      </c>
      <c r="AY5996" t="s">
        <v>8392</v>
      </c>
      <c r="AZ5996" t="s">
        <v>5420</v>
      </c>
      <c r="BA5996" t="s">
        <v>5421</v>
      </c>
      <c r="BE5996" s="3">
        <v>42272</v>
      </c>
      <c r="BF5996" s="1">
        <v>255000</v>
      </c>
      <c r="BG5996" t="s">
        <v>36540</v>
      </c>
      <c r="BH5996" s="1">
        <v>198.14</v>
      </c>
      <c r="BI5996" s="1">
        <v>249000</v>
      </c>
      <c r="BJ5996" s="3">
        <v>42566</v>
      </c>
      <c r="BK5996" t="s">
        <v>123</v>
      </c>
      <c r="BL5996" t="str">
        <f>"2016.500029"</f>
        <v>2016.500029</v>
      </c>
      <c r="BM5996" t="s">
        <v>475</v>
      </c>
      <c r="BO5996" t="s">
        <v>36541</v>
      </c>
      <c r="BS5996">
        <v>30</v>
      </c>
      <c r="BW5996" t="str">
        <f>""</f>
        <v/>
      </c>
      <c r="CH5996" t="str">
        <f>""</f>
        <v/>
      </c>
      <c r="CS5996" t="str">
        <f>""</f>
        <v/>
      </c>
    </row>
    <row r="5997" spans="1:97" x14ac:dyDescent="0.25">
      <c r="A5997" t="s">
        <v>7969</v>
      </c>
      <c r="B5997" t="s">
        <v>1667</v>
      </c>
      <c r="C5997" t="s">
        <v>36542</v>
      </c>
      <c r="D5997" t="s">
        <v>1667</v>
      </c>
      <c r="E5997" t="s">
        <v>36543</v>
      </c>
      <c r="F5997" t="s">
        <v>108</v>
      </c>
      <c r="H5997" t="s">
        <v>36544</v>
      </c>
      <c r="I5997" t="s">
        <v>390</v>
      </c>
      <c r="J5997" t="s">
        <v>111</v>
      </c>
      <c r="K5997" t="str">
        <f>"85086"</f>
        <v>85086</v>
      </c>
      <c r="L5997" t="s">
        <v>688</v>
      </c>
      <c r="M5997" t="s">
        <v>36544</v>
      </c>
      <c r="N5997" t="s">
        <v>390</v>
      </c>
      <c r="O5997" t="s">
        <v>111</v>
      </c>
      <c r="P5997" t="str">
        <f>"85086-3788"</f>
        <v>85086-3788</v>
      </c>
      <c r="Q5997" t="s">
        <v>113</v>
      </c>
      <c r="R5997" t="str">
        <f>"203-11-107"</f>
        <v>203-11-107</v>
      </c>
      <c r="S5997" t="s">
        <v>18644</v>
      </c>
      <c r="U5997">
        <v>1827</v>
      </c>
      <c r="V5997">
        <v>0</v>
      </c>
      <c r="W5997">
        <v>3</v>
      </c>
      <c r="X5997">
        <v>2007</v>
      </c>
      <c r="Z5997">
        <v>1</v>
      </c>
      <c r="AB5997">
        <v>0</v>
      </c>
      <c r="AC5997" t="s">
        <v>115</v>
      </c>
      <c r="AD5997">
        <v>2</v>
      </c>
      <c r="AE5997" t="s">
        <v>115</v>
      </c>
      <c r="AF5997">
        <v>0</v>
      </c>
      <c r="AG5997">
        <v>0</v>
      </c>
      <c r="AH5997" t="s">
        <v>116</v>
      </c>
      <c r="AI5997" s="1">
        <v>79685</v>
      </c>
      <c r="AJ5997" s="2">
        <v>0.28000000000000003</v>
      </c>
      <c r="AK5997" s="1">
        <v>282685</v>
      </c>
      <c r="AL5997" t="s">
        <v>117</v>
      </c>
      <c r="AM5997" t="s">
        <v>191</v>
      </c>
      <c r="AN5997">
        <v>5400</v>
      </c>
      <c r="AO5997">
        <v>0.12</v>
      </c>
      <c r="AR5997">
        <v>1</v>
      </c>
      <c r="AS5997" s="1">
        <v>20020</v>
      </c>
      <c r="AT5997" s="1">
        <v>4000</v>
      </c>
      <c r="AU5997" s="1">
        <v>16020</v>
      </c>
      <c r="AV5997">
        <v>80.02</v>
      </c>
      <c r="AX5997" s="1">
        <v>2128.02</v>
      </c>
      <c r="AY5997" t="s">
        <v>5380</v>
      </c>
      <c r="AZ5997" t="s">
        <v>5380</v>
      </c>
      <c r="BA5997" t="s">
        <v>378</v>
      </c>
      <c r="BE5997" s="3">
        <v>42013</v>
      </c>
      <c r="BF5997" s="1">
        <v>203000</v>
      </c>
      <c r="BG5997" t="s">
        <v>36545</v>
      </c>
      <c r="BH5997" s="1">
        <v>111.11</v>
      </c>
      <c r="BI5997" s="1">
        <v>203000</v>
      </c>
      <c r="BJ5997" s="3">
        <v>42013</v>
      </c>
      <c r="BK5997" t="s">
        <v>123</v>
      </c>
      <c r="BL5997" t="str">
        <f>"2015.14350"</f>
        <v>2015.14350</v>
      </c>
      <c r="BM5997" t="s">
        <v>724</v>
      </c>
      <c r="BO5997" t="s">
        <v>36546</v>
      </c>
      <c r="BS5997">
        <v>30</v>
      </c>
      <c r="BW5997" t="str">
        <f>""</f>
        <v/>
      </c>
      <c r="CH5997" t="str">
        <f>""</f>
        <v/>
      </c>
      <c r="CS5997" t="str">
        <f>""</f>
        <v/>
      </c>
    </row>
    <row r="5998" spans="1:97" x14ac:dyDescent="0.25">
      <c r="A5998" t="s">
        <v>36547</v>
      </c>
      <c r="B5998" t="s">
        <v>3265</v>
      </c>
      <c r="C5998" t="s">
        <v>10210</v>
      </c>
      <c r="D5998" t="s">
        <v>3265</v>
      </c>
      <c r="E5998" t="s">
        <v>36548</v>
      </c>
      <c r="F5998" t="s">
        <v>108</v>
      </c>
      <c r="H5998" t="s">
        <v>36549</v>
      </c>
      <c r="I5998" t="s">
        <v>110</v>
      </c>
      <c r="J5998" t="s">
        <v>111</v>
      </c>
      <c r="K5998" t="str">
        <f>"85226"</f>
        <v>85226</v>
      </c>
      <c r="L5998" t="s">
        <v>5308</v>
      </c>
      <c r="M5998" t="s">
        <v>36549</v>
      </c>
      <c r="N5998" t="s">
        <v>110</v>
      </c>
      <c r="O5998" t="s">
        <v>111</v>
      </c>
      <c r="P5998" t="str">
        <f>"85226-2748"</f>
        <v>85226-2748</v>
      </c>
      <c r="Q5998" t="s">
        <v>113</v>
      </c>
      <c r="R5998" t="str">
        <f>"301-87-217"</f>
        <v>301-87-217</v>
      </c>
      <c r="S5998" t="s">
        <v>36550</v>
      </c>
      <c r="T5998" t="s">
        <v>36551</v>
      </c>
      <c r="U5998">
        <v>1484</v>
      </c>
      <c r="V5998">
        <v>0</v>
      </c>
      <c r="W5998">
        <v>3</v>
      </c>
      <c r="X5998">
        <v>1984</v>
      </c>
      <c r="Z5998">
        <v>1</v>
      </c>
      <c r="AB5998">
        <v>0</v>
      </c>
      <c r="AC5998" t="s">
        <v>115</v>
      </c>
      <c r="AD5998">
        <v>2</v>
      </c>
      <c r="AE5998" t="s">
        <v>115</v>
      </c>
      <c r="AF5998">
        <v>0</v>
      </c>
      <c r="AG5998">
        <v>0</v>
      </c>
      <c r="AH5998" t="s">
        <v>116</v>
      </c>
      <c r="AI5998" s="1">
        <v>64165</v>
      </c>
      <c r="AJ5998" s="2">
        <v>0.21</v>
      </c>
      <c r="AK5998" s="1">
        <v>301755</v>
      </c>
      <c r="AL5998" t="s">
        <v>117</v>
      </c>
      <c r="AM5998" t="s">
        <v>118</v>
      </c>
      <c r="AN5998">
        <v>5057</v>
      </c>
      <c r="AO5998">
        <v>0.12</v>
      </c>
      <c r="AP5998">
        <v>1</v>
      </c>
      <c r="AR5998">
        <v>1</v>
      </c>
      <c r="AS5998" s="1">
        <v>20200</v>
      </c>
      <c r="AT5998" s="1">
        <v>4040</v>
      </c>
      <c r="AU5998" s="1">
        <v>16160</v>
      </c>
      <c r="AV5998">
        <v>80</v>
      </c>
      <c r="AX5998" s="1">
        <v>1476.62</v>
      </c>
      <c r="AY5998" t="s">
        <v>14847</v>
      </c>
      <c r="AZ5998" t="s">
        <v>5201</v>
      </c>
      <c r="BA5998" t="s">
        <v>5202</v>
      </c>
      <c r="BE5998" s="3">
        <v>41912</v>
      </c>
      <c r="BF5998" s="1">
        <v>230000</v>
      </c>
      <c r="BG5998" t="s">
        <v>36552</v>
      </c>
      <c r="BH5998" s="1">
        <v>154.99</v>
      </c>
      <c r="BI5998" s="1">
        <v>237590</v>
      </c>
      <c r="BJ5998" s="3">
        <v>41912</v>
      </c>
      <c r="BK5998" t="s">
        <v>123</v>
      </c>
      <c r="BL5998" t="str">
        <f>"2014.644354"</f>
        <v>2014.644354</v>
      </c>
      <c r="BM5998" t="s">
        <v>709</v>
      </c>
      <c r="BO5998" t="s">
        <v>36553</v>
      </c>
      <c r="BS5998">
        <v>30</v>
      </c>
      <c r="BW5998" t="str">
        <f>""</f>
        <v/>
      </c>
      <c r="CH5998" t="str">
        <f>""</f>
        <v/>
      </c>
      <c r="CS5998" t="str">
        <f>""</f>
        <v/>
      </c>
    </row>
    <row r="5999" spans="1:97" x14ac:dyDescent="0.25">
      <c r="A5999" t="s">
        <v>1720</v>
      </c>
      <c r="B5999" t="s">
        <v>3024</v>
      </c>
      <c r="E5999" t="s">
        <v>36554</v>
      </c>
      <c r="F5999" t="s">
        <v>108</v>
      </c>
      <c r="H5999" t="s">
        <v>36555</v>
      </c>
      <c r="I5999" t="s">
        <v>225</v>
      </c>
      <c r="J5999" t="s">
        <v>111</v>
      </c>
      <c r="K5999" t="str">
        <f>"85204"</f>
        <v>85204</v>
      </c>
      <c r="L5999" t="s">
        <v>5709</v>
      </c>
      <c r="M5999" t="s">
        <v>36555</v>
      </c>
      <c r="N5999" t="s">
        <v>225</v>
      </c>
      <c r="O5999" t="s">
        <v>111</v>
      </c>
      <c r="P5999" t="str">
        <f>"85204-6917"</f>
        <v>85204-6917</v>
      </c>
      <c r="Q5999" t="s">
        <v>113</v>
      </c>
      <c r="R5999" t="str">
        <f>"140-62-047"</f>
        <v>140-62-047</v>
      </c>
      <c r="S5999" t="s">
        <v>29761</v>
      </c>
      <c r="T5999" t="s">
        <v>29762</v>
      </c>
      <c r="U5999">
        <v>1326</v>
      </c>
      <c r="V5999">
        <v>0</v>
      </c>
      <c r="W5999">
        <v>2</v>
      </c>
      <c r="X5999">
        <v>1978</v>
      </c>
      <c r="Z5999">
        <v>1</v>
      </c>
      <c r="AA5999" t="s">
        <v>26</v>
      </c>
      <c r="AB5999">
        <v>0</v>
      </c>
      <c r="AC5999" t="s">
        <v>115</v>
      </c>
      <c r="AD5999">
        <v>2</v>
      </c>
      <c r="AE5999" t="s">
        <v>115</v>
      </c>
      <c r="AF5999">
        <v>0</v>
      </c>
      <c r="AG5999">
        <v>0</v>
      </c>
      <c r="AH5999" t="s">
        <v>116</v>
      </c>
      <c r="AI5999" s="1">
        <v>28373</v>
      </c>
      <c r="AJ5999" s="2">
        <v>0.11</v>
      </c>
      <c r="AK5999" s="1">
        <v>266373</v>
      </c>
      <c r="AL5999" t="s">
        <v>117</v>
      </c>
      <c r="AM5999" t="s">
        <v>191</v>
      </c>
      <c r="AN5999">
        <v>7167</v>
      </c>
      <c r="AO5999">
        <v>0.16</v>
      </c>
      <c r="AP5999">
        <v>1</v>
      </c>
      <c r="AR5999">
        <v>1</v>
      </c>
      <c r="AS5999" s="1">
        <v>18650</v>
      </c>
      <c r="AT5999" s="1">
        <v>3730</v>
      </c>
      <c r="AU5999" s="1">
        <v>14920</v>
      </c>
      <c r="AV5999">
        <v>80</v>
      </c>
      <c r="AX5999" s="1">
        <v>826.26</v>
      </c>
      <c r="AY5999" t="s">
        <v>25759</v>
      </c>
      <c r="AZ5999" t="s">
        <v>5478</v>
      </c>
      <c r="BA5999" t="s">
        <v>5033</v>
      </c>
      <c r="BE5999" s="3">
        <v>41694</v>
      </c>
      <c r="BF5999" s="1">
        <v>183950</v>
      </c>
      <c r="BG5999" t="s">
        <v>27540</v>
      </c>
      <c r="BH5999" s="1">
        <v>138.72999999999999</v>
      </c>
      <c r="BI5999" s="1">
        <v>238000</v>
      </c>
      <c r="BJ5999" s="3">
        <v>43038</v>
      </c>
      <c r="BK5999" t="s">
        <v>123</v>
      </c>
      <c r="BL5999" t="str">
        <f>"2017.802433"</f>
        <v>2017.802433</v>
      </c>
      <c r="BM5999" t="s">
        <v>5992</v>
      </c>
      <c r="BO5999" t="s">
        <v>36556</v>
      </c>
      <c r="BS5999">
        <v>30</v>
      </c>
      <c r="BW5999" t="str">
        <f>""</f>
        <v/>
      </c>
      <c r="CH5999" t="str">
        <f>""</f>
        <v/>
      </c>
      <c r="CS5999" t="str">
        <f>""</f>
        <v/>
      </c>
    </row>
    <row r="6000" spans="1:97" x14ac:dyDescent="0.25">
      <c r="A6000" t="s">
        <v>2045</v>
      </c>
      <c r="B6000" t="s">
        <v>15480</v>
      </c>
      <c r="E6000" t="s">
        <v>36557</v>
      </c>
      <c r="F6000" t="s">
        <v>108</v>
      </c>
      <c r="H6000" t="s">
        <v>36558</v>
      </c>
      <c r="I6000" t="s">
        <v>6646</v>
      </c>
      <c r="J6000" t="s">
        <v>111</v>
      </c>
      <c r="K6000" t="str">
        <f>"85086"</f>
        <v>85086</v>
      </c>
      <c r="L6000" t="s">
        <v>3225</v>
      </c>
      <c r="M6000" t="s">
        <v>36558</v>
      </c>
      <c r="N6000" t="s">
        <v>6646</v>
      </c>
      <c r="O6000" t="s">
        <v>111</v>
      </c>
      <c r="P6000" t="str">
        <f>"85086-2309"</f>
        <v>85086-2309</v>
      </c>
      <c r="Q6000" t="s">
        <v>113</v>
      </c>
      <c r="R6000" t="str">
        <f>"203-06-417"</f>
        <v>203-06-417</v>
      </c>
      <c r="S6000" t="s">
        <v>27590</v>
      </c>
      <c r="U6000">
        <v>1638</v>
      </c>
      <c r="V6000">
        <v>0</v>
      </c>
      <c r="W6000">
        <v>3</v>
      </c>
      <c r="X6000">
        <v>2002</v>
      </c>
      <c r="Z6000">
        <v>1</v>
      </c>
      <c r="AB6000">
        <v>0</v>
      </c>
      <c r="AC6000" t="s">
        <v>115</v>
      </c>
      <c r="AD6000">
        <v>2</v>
      </c>
      <c r="AE6000" t="s">
        <v>115</v>
      </c>
      <c r="AF6000">
        <v>0</v>
      </c>
      <c r="AG6000">
        <v>0</v>
      </c>
      <c r="AH6000" t="s">
        <v>116</v>
      </c>
      <c r="AI6000" s="1">
        <v>62113</v>
      </c>
      <c r="AJ6000" s="2">
        <v>0.23</v>
      </c>
      <c r="AK6000" s="1">
        <v>273878</v>
      </c>
      <c r="AL6000" t="s">
        <v>117</v>
      </c>
      <c r="AM6000" t="s">
        <v>191</v>
      </c>
      <c r="AN6000">
        <v>5547</v>
      </c>
      <c r="AO6000">
        <v>0.13</v>
      </c>
      <c r="AP6000">
        <v>1</v>
      </c>
      <c r="AR6000">
        <v>1</v>
      </c>
      <c r="AS6000" s="1">
        <v>18810</v>
      </c>
      <c r="AT6000" s="1">
        <v>3760</v>
      </c>
      <c r="AU6000" s="1">
        <v>15050</v>
      </c>
      <c r="AV6000">
        <v>80.010000000000005</v>
      </c>
      <c r="AX6000" s="1">
        <v>1961.22</v>
      </c>
      <c r="AY6000" t="s">
        <v>6515</v>
      </c>
      <c r="AZ6000" t="s">
        <v>6515</v>
      </c>
      <c r="BA6000" t="s">
        <v>378</v>
      </c>
      <c r="BE6000" s="3">
        <v>42103</v>
      </c>
      <c r="BF6000" s="1">
        <v>205000</v>
      </c>
      <c r="BG6000" t="s">
        <v>36559</v>
      </c>
      <c r="BH6000" s="1">
        <v>125.15</v>
      </c>
      <c r="BI6000" s="1">
        <v>211765</v>
      </c>
      <c r="BJ6000" s="3">
        <v>42103</v>
      </c>
      <c r="BK6000" t="s">
        <v>123</v>
      </c>
      <c r="BL6000" t="str">
        <f>"2015.243439"</f>
        <v>2015.243439</v>
      </c>
      <c r="BM6000" t="s">
        <v>135</v>
      </c>
      <c r="BO6000" t="s">
        <v>36560</v>
      </c>
      <c r="BS6000">
        <v>30</v>
      </c>
      <c r="BW6000" t="str">
        <f>""</f>
        <v/>
      </c>
      <c r="CH6000" t="str">
        <f>""</f>
        <v/>
      </c>
      <c r="CS6000" t="str">
        <f>""</f>
        <v/>
      </c>
    </row>
    <row r="6001" spans="1:97" x14ac:dyDescent="0.25">
      <c r="A6001" t="s">
        <v>5214</v>
      </c>
      <c r="B6001" t="s">
        <v>36561</v>
      </c>
      <c r="C6001" t="s">
        <v>1540</v>
      </c>
      <c r="D6001" t="s">
        <v>36561</v>
      </c>
      <c r="E6001" t="s">
        <v>36562</v>
      </c>
      <c r="F6001" t="s">
        <v>108</v>
      </c>
      <c r="H6001" t="s">
        <v>36563</v>
      </c>
      <c r="I6001" t="s">
        <v>144</v>
      </c>
      <c r="J6001" t="s">
        <v>111</v>
      </c>
      <c r="K6001" t="str">
        <f>"85326"</f>
        <v>85326</v>
      </c>
      <c r="L6001" t="s">
        <v>8255</v>
      </c>
      <c r="M6001" t="s">
        <v>36563</v>
      </c>
      <c r="N6001" t="s">
        <v>144</v>
      </c>
      <c r="O6001" t="s">
        <v>111</v>
      </c>
      <c r="P6001" t="str">
        <f>"85326-7895"</f>
        <v>85326-7895</v>
      </c>
      <c r="Q6001" t="s">
        <v>113</v>
      </c>
      <c r="R6001" t="str">
        <f>"504-25-258"</f>
        <v>504-25-258</v>
      </c>
      <c r="S6001" t="s">
        <v>22464</v>
      </c>
      <c r="T6001" t="s">
        <v>22464</v>
      </c>
      <c r="U6001">
        <v>1929</v>
      </c>
      <c r="V6001">
        <v>0</v>
      </c>
      <c r="W6001">
        <v>3</v>
      </c>
      <c r="X6001">
        <v>2006</v>
      </c>
      <c r="Z6001">
        <v>2</v>
      </c>
      <c r="AB6001">
        <v>0</v>
      </c>
      <c r="AC6001" t="s">
        <v>115</v>
      </c>
      <c r="AD6001">
        <v>2</v>
      </c>
      <c r="AE6001" t="s">
        <v>115</v>
      </c>
      <c r="AF6001">
        <v>0</v>
      </c>
      <c r="AG6001">
        <v>0</v>
      </c>
      <c r="AH6001" t="s">
        <v>116</v>
      </c>
      <c r="AI6001" s="1">
        <v>-394858</v>
      </c>
      <c r="AJ6001" s="2">
        <v>-1.59</v>
      </c>
      <c r="AK6001" s="1">
        <v>248610</v>
      </c>
      <c r="AL6001" t="s">
        <v>117</v>
      </c>
      <c r="AM6001" t="s">
        <v>5023</v>
      </c>
      <c r="AN6001">
        <v>10220</v>
      </c>
      <c r="AO6001">
        <v>0.24</v>
      </c>
      <c r="AR6001">
        <v>1</v>
      </c>
      <c r="AS6001" s="1">
        <v>15980</v>
      </c>
      <c r="AT6001" s="1">
        <v>3190</v>
      </c>
      <c r="AU6001" s="1">
        <v>12790</v>
      </c>
      <c r="AV6001">
        <v>80.040000000000006</v>
      </c>
      <c r="AX6001" s="1">
        <v>1180.5999999999999</v>
      </c>
      <c r="AY6001" t="s">
        <v>8444</v>
      </c>
      <c r="AZ6001" t="s">
        <v>8444</v>
      </c>
      <c r="BA6001" t="s">
        <v>5025</v>
      </c>
      <c r="BE6001" s="3">
        <v>41992</v>
      </c>
      <c r="BF6001" s="1">
        <v>173000</v>
      </c>
      <c r="BG6001" t="s">
        <v>36564</v>
      </c>
      <c r="BH6001" s="1">
        <v>89.68</v>
      </c>
      <c r="BI6001" s="1">
        <v>444547</v>
      </c>
      <c r="BJ6001" s="3">
        <v>43623</v>
      </c>
      <c r="BK6001" t="s">
        <v>123</v>
      </c>
      <c r="BL6001" t="str">
        <f>"2019.424090"</f>
        <v>2019.424090</v>
      </c>
      <c r="BM6001" t="s">
        <v>17315</v>
      </c>
      <c r="BN6001" t="s">
        <v>17316</v>
      </c>
      <c r="BO6001" t="s">
        <v>36565</v>
      </c>
      <c r="BP6001" t="s">
        <v>36566</v>
      </c>
      <c r="BR6001" t="s">
        <v>139</v>
      </c>
      <c r="BT6001" s="1">
        <v>198921</v>
      </c>
      <c r="BU6001" s="3">
        <v>43623</v>
      </c>
      <c r="BV6001" t="s">
        <v>4195</v>
      </c>
      <c r="BW6001" t="str">
        <f>"2019.426202"</f>
        <v>2019.426202</v>
      </c>
      <c r="BX6001" t="s">
        <v>10609</v>
      </c>
      <c r="BY6001" t="s">
        <v>10610</v>
      </c>
      <c r="BZ6001" t="s">
        <v>36567</v>
      </c>
      <c r="CA6001" t="s">
        <v>36568</v>
      </c>
      <c r="CC6001" t="s">
        <v>139</v>
      </c>
      <c r="CH6001" t="str">
        <f>""</f>
        <v/>
      </c>
      <c r="CS6001" t="str">
        <f>""</f>
        <v/>
      </c>
    </row>
    <row r="6002" spans="1:97" x14ac:dyDescent="0.25">
      <c r="A6002" t="s">
        <v>464</v>
      </c>
      <c r="B6002" t="s">
        <v>36569</v>
      </c>
      <c r="C6002" t="s">
        <v>34643</v>
      </c>
      <c r="D6002" t="s">
        <v>36569</v>
      </c>
      <c r="E6002" t="s">
        <v>36570</v>
      </c>
      <c r="F6002" t="s">
        <v>108</v>
      </c>
      <c r="H6002" t="s">
        <v>36571</v>
      </c>
      <c r="I6002" t="s">
        <v>225</v>
      </c>
      <c r="J6002" t="s">
        <v>111</v>
      </c>
      <c r="K6002" t="str">
        <f>"85204"</f>
        <v>85204</v>
      </c>
      <c r="L6002" t="s">
        <v>1300</v>
      </c>
      <c r="M6002" t="s">
        <v>36571</v>
      </c>
      <c r="N6002" t="s">
        <v>225</v>
      </c>
      <c r="O6002" t="s">
        <v>111</v>
      </c>
      <c r="P6002" t="str">
        <f>"85204-4517"</f>
        <v>85204-4517</v>
      </c>
      <c r="Q6002" t="s">
        <v>113</v>
      </c>
      <c r="R6002" t="str">
        <f>"140-43-467"</f>
        <v>140-43-467</v>
      </c>
      <c r="S6002" t="s">
        <v>25643</v>
      </c>
      <c r="U6002">
        <v>1852</v>
      </c>
      <c r="V6002">
        <v>0</v>
      </c>
      <c r="W6002">
        <v>3</v>
      </c>
      <c r="X6002">
        <v>1983</v>
      </c>
      <c r="Z6002">
        <v>1</v>
      </c>
      <c r="AA6002" t="s">
        <v>26</v>
      </c>
      <c r="AB6002">
        <v>0</v>
      </c>
      <c r="AC6002" t="s">
        <v>115</v>
      </c>
      <c r="AD6002">
        <v>2</v>
      </c>
      <c r="AE6002" t="s">
        <v>115</v>
      </c>
      <c r="AF6002">
        <v>0</v>
      </c>
      <c r="AG6002">
        <v>0</v>
      </c>
      <c r="AH6002" t="s">
        <v>116</v>
      </c>
      <c r="AI6002" s="1">
        <v>71528</v>
      </c>
      <c r="AJ6002" s="2">
        <v>0.23</v>
      </c>
      <c r="AK6002" s="1">
        <v>306948</v>
      </c>
      <c r="AL6002" t="s">
        <v>117</v>
      </c>
      <c r="AM6002" t="s">
        <v>393</v>
      </c>
      <c r="AN6002">
        <v>11074</v>
      </c>
      <c r="AO6002">
        <v>0.25</v>
      </c>
      <c r="AP6002">
        <v>1</v>
      </c>
      <c r="AR6002">
        <v>1</v>
      </c>
      <c r="AS6002" s="1">
        <v>22210</v>
      </c>
      <c r="AT6002" s="1">
        <v>4440</v>
      </c>
      <c r="AU6002" s="1">
        <v>17770</v>
      </c>
      <c r="AV6002">
        <v>80.010000000000005</v>
      </c>
      <c r="AX6002" s="1">
        <v>1481.16</v>
      </c>
      <c r="AY6002" t="s">
        <v>8934</v>
      </c>
      <c r="AZ6002" t="s">
        <v>5158</v>
      </c>
      <c r="BA6002" t="s">
        <v>5159</v>
      </c>
      <c r="BB6002" s="3">
        <v>42240</v>
      </c>
      <c r="BD6002" t="s">
        <v>240</v>
      </c>
      <c r="BE6002" s="3">
        <v>42185</v>
      </c>
      <c r="BF6002" s="1">
        <v>227900</v>
      </c>
      <c r="BG6002" t="s">
        <v>36572</v>
      </c>
      <c r="BH6002" s="1">
        <v>123.06</v>
      </c>
      <c r="BI6002" s="1">
        <v>235420</v>
      </c>
      <c r="BJ6002" s="3">
        <v>42185</v>
      </c>
      <c r="BK6002" t="s">
        <v>123</v>
      </c>
      <c r="BL6002" t="str">
        <f>"2015.466861"</f>
        <v>2015.466861</v>
      </c>
      <c r="BM6002" t="s">
        <v>135</v>
      </c>
      <c r="BO6002" t="s">
        <v>36573</v>
      </c>
      <c r="BS6002">
        <v>30</v>
      </c>
      <c r="BW6002" t="str">
        <f>""</f>
        <v/>
      </c>
      <c r="CH6002" t="str">
        <f>""</f>
        <v/>
      </c>
      <c r="CS6002" t="str">
        <f>""</f>
        <v/>
      </c>
    </row>
    <row r="6003" spans="1:97" x14ac:dyDescent="0.25">
      <c r="A6003" t="s">
        <v>36574</v>
      </c>
      <c r="B6003" t="s">
        <v>36575</v>
      </c>
      <c r="C6003" t="s">
        <v>727</v>
      </c>
      <c r="D6003" t="s">
        <v>36575</v>
      </c>
      <c r="E6003" t="s">
        <v>36576</v>
      </c>
      <c r="F6003" t="s">
        <v>108</v>
      </c>
      <c r="H6003" t="s">
        <v>36577</v>
      </c>
      <c r="I6003" t="s">
        <v>632</v>
      </c>
      <c r="J6003" t="s">
        <v>111</v>
      </c>
      <c r="K6003" t="str">
        <f>"85379"</f>
        <v>85379</v>
      </c>
      <c r="L6003" t="s">
        <v>454</v>
      </c>
      <c r="M6003" t="s">
        <v>36577</v>
      </c>
      <c r="N6003" t="s">
        <v>632</v>
      </c>
      <c r="O6003" t="s">
        <v>111</v>
      </c>
      <c r="P6003" t="str">
        <f>"85379-1004"</f>
        <v>85379-1004</v>
      </c>
      <c r="Q6003" t="s">
        <v>113</v>
      </c>
      <c r="R6003" t="str">
        <f>"501-46-466"</f>
        <v>501-46-466</v>
      </c>
      <c r="S6003" t="s">
        <v>5319</v>
      </c>
      <c r="U6003">
        <v>3435</v>
      </c>
      <c r="V6003">
        <v>0</v>
      </c>
      <c r="W6003">
        <v>4</v>
      </c>
      <c r="X6003">
        <v>2014</v>
      </c>
      <c r="Z6003">
        <v>2</v>
      </c>
      <c r="AB6003">
        <v>0</v>
      </c>
      <c r="AC6003" t="s">
        <v>115</v>
      </c>
      <c r="AD6003">
        <v>3</v>
      </c>
      <c r="AE6003" t="s">
        <v>115</v>
      </c>
      <c r="AF6003">
        <v>0</v>
      </c>
      <c r="AG6003">
        <v>0</v>
      </c>
      <c r="AH6003" t="s">
        <v>116</v>
      </c>
      <c r="AI6003" s="1">
        <v>44864</v>
      </c>
      <c r="AJ6003" s="2">
        <v>0.12</v>
      </c>
      <c r="AK6003" s="1">
        <v>374389</v>
      </c>
      <c r="AL6003" t="s">
        <v>117</v>
      </c>
      <c r="AM6003" t="s">
        <v>118</v>
      </c>
      <c r="AN6003">
        <v>13257</v>
      </c>
      <c r="AO6003">
        <v>0.3</v>
      </c>
      <c r="AR6003">
        <v>1</v>
      </c>
      <c r="AS6003" s="1">
        <v>27100</v>
      </c>
      <c r="AT6003" s="1">
        <v>5420</v>
      </c>
      <c r="AU6003" s="1">
        <v>21680</v>
      </c>
      <c r="AV6003">
        <v>80</v>
      </c>
      <c r="AX6003" s="1">
        <v>2289.62</v>
      </c>
      <c r="AY6003" t="s">
        <v>5060</v>
      </c>
      <c r="AZ6003" t="s">
        <v>5060</v>
      </c>
      <c r="BA6003" t="s">
        <v>5061</v>
      </c>
      <c r="BE6003" s="3">
        <v>41726</v>
      </c>
      <c r="BF6003" s="1">
        <v>350214</v>
      </c>
      <c r="BG6003" t="s">
        <v>158</v>
      </c>
      <c r="BH6003" s="1">
        <v>101.95</v>
      </c>
      <c r="BI6003" s="1">
        <v>329525</v>
      </c>
      <c r="BJ6003" s="3">
        <v>41983</v>
      </c>
      <c r="BK6003" t="s">
        <v>123</v>
      </c>
      <c r="BL6003" t="str">
        <f>"2014.810824"</f>
        <v>2014.810824</v>
      </c>
      <c r="BM6003" t="s">
        <v>709</v>
      </c>
      <c r="BO6003" t="s">
        <v>36578</v>
      </c>
      <c r="BS6003">
        <v>30</v>
      </c>
      <c r="BW6003" t="str">
        <f>""</f>
        <v/>
      </c>
      <c r="CH6003" t="str">
        <f>""</f>
        <v/>
      </c>
      <c r="CS6003" t="str">
        <f>""</f>
        <v/>
      </c>
    </row>
    <row r="6004" spans="1:97" x14ac:dyDescent="0.25">
      <c r="A6004" t="s">
        <v>3089</v>
      </c>
      <c r="B6004" t="s">
        <v>17030</v>
      </c>
      <c r="C6004" t="s">
        <v>36579</v>
      </c>
      <c r="D6004" t="s">
        <v>17030</v>
      </c>
      <c r="E6004" t="s">
        <v>36580</v>
      </c>
      <c r="F6004" t="s">
        <v>108</v>
      </c>
      <c r="H6004" t="s">
        <v>36581</v>
      </c>
      <c r="I6004" t="s">
        <v>5387</v>
      </c>
      <c r="J6004" t="s">
        <v>111</v>
      </c>
      <c r="K6004" t="str">
        <f>"85282"</f>
        <v>85282</v>
      </c>
      <c r="L6004" t="s">
        <v>6803</v>
      </c>
      <c r="M6004" t="s">
        <v>36581</v>
      </c>
      <c r="N6004" t="s">
        <v>5387</v>
      </c>
      <c r="O6004" t="s">
        <v>111</v>
      </c>
      <c r="P6004" t="str">
        <f>"85282-7429"</f>
        <v>85282-7429</v>
      </c>
      <c r="Q6004" t="s">
        <v>113</v>
      </c>
      <c r="R6004" t="str">
        <f>"133-35-256"</f>
        <v>133-35-256</v>
      </c>
      <c r="S6004" t="s">
        <v>10856</v>
      </c>
      <c r="T6004" t="s">
        <v>10857</v>
      </c>
      <c r="U6004">
        <v>1669</v>
      </c>
      <c r="V6004">
        <v>0</v>
      </c>
      <c r="W6004">
        <v>2</v>
      </c>
      <c r="X6004">
        <v>1972</v>
      </c>
      <c r="Z6004">
        <v>1</v>
      </c>
      <c r="AB6004">
        <v>0</v>
      </c>
      <c r="AC6004" t="s">
        <v>115</v>
      </c>
      <c r="AD6004">
        <v>2</v>
      </c>
      <c r="AE6004" t="s">
        <v>115</v>
      </c>
      <c r="AF6004">
        <v>0</v>
      </c>
      <c r="AG6004">
        <v>0</v>
      </c>
      <c r="AH6004" t="s">
        <v>116</v>
      </c>
      <c r="AI6004" s="1">
        <v>92682</v>
      </c>
      <c r="AJ6004" s="2">
        <v>0.28999999999999998</v>
      </c>
      <c r="AK6004" s="1">
        <v>314777</v>
      </c>
      <c r="AL6004" t="s">
        <v>117</v>
      </c>
      <c r="AM6004" t="s">
        <v>191</v>
      </c>
      <c r="AN6004">
        <v>9082</v>
      </c>
      <c r="AO6004">
        <v>0.21</v>
      </c>
      <c r="AP6004">
        <v>1</v>
      </c>
      <c r="AR6004">
        <v>1</v>
      </c>
      <c r="AS6004" s="1">
        <v>21750</v>
      </c>
      <c r="AT6004" s="1">
        <v>4350</v>
      </c>
      <c r="AU6004" s="1">
        <v>17400</v>
      </c>
      <c r="AV6004">
        <v>80</v>
      </c>
      <c r="AX6004" s="1">
        <v>1736.62</v>
      </c>
      <c r="AY6004" t="s">
        <v>9740</v>
      </c>
      <c r="AZ6004" t="s">
        <v>6726</v>
      </c>
      <c r="BA6004" t="s">
        <v>10858</v>
      </c>
      <c r="BB6004" s="3">
        <v>42552</v>
      </c>
      <c r="BD6004" t="s">
        <v>10859</v>
      </c>
      <c r="BE6004" s="3">
        <v>42321</v>
      </c>
      <c r="BF6004" s="1">
        <v>215000</v>
      </c>
      <c r="BG6004" t="s">
        <v>36582</v>
      </c>
      <c r="BH6004" s="1">
        <v>128.82</v>
      </c>
      <c r="BI6004" s="1">
        <v>222095</v>
      </c>
      <c r="BJ6004" s="3">
        <v>42321</v>
      </c>
      <c r="BK6004" t="s">
        <v>123</v>
      </c>
      <c r="BL6004" t="str">
        <f>"2015.813118"</f>
        <v>2015.813118</v>
      </c>
      <c r="BM6004" t="s">
        <v>1287</v>
      </c>
      <c r="BO6004" t="s">
        <v>36583</v>
      </c>
      <c r="BS6004">
        <v>30</v>
      </c>
      <c r="BW6004" t="str">
        <f>""</f>
        <v/>
      </c>
      <c r="CH6004" t="str">
        <f>""</f>
        <v/>
      </c>
      <c r="CS6004" t="str">
        <f>""</f>
        <v/>
      </c>
    </row>
    <row r="6005" spans="1:97" x14ac:dyDescent="0.25">
      <c r="A6005" t="s">
        <v>211</v>
      </c>
      <c r="B6005" t="s">
        <v>26739</v>
      </c>
      <c r="E6005" t="s">
        <v>26740</v>
      </c>
      <c r="F6005" t="s">
        <v>282</v>
      </c>
      <c r="H6005" t="s">
        <v>36584</v>
      </c>
      <c r="I6005" t="s">
        <v>225</v>
      </c>
      <c r="J6005" t="s">
        <v>111</v>
      </c>
      <c r="K6005" t="str">
        <f>"85210"</f>
        <v>85210</v>
      </c>
      <c r="L6005" t="s">
        <v>6169</v>
      </c>
      <c r="M6005" t="s">
        <v>36585</v>
      </c>
      <c r="N6005" t="s">
        <v>5387</v>
      </c>
      <c r="O6005" t="s">
        <v>111</v>
      </c>
      <c r="P6005" t="str">
        <f>"85282-3913"</f>
        <v>85282-3913</v>
      </c>
      <c r="Q6005" t="s">
        <v>113</v>
      </c>
      <c r="R6005" t="str">
        <f>"302-77-225"</f>
        <v>302-77-225</v>
      </c>
      <c r="S6005" t="s">
        <v>23209</v>
      </c>
      <c r="U6005">
        <v>1641</v>
      </c>
      <c r="V6005">
        <v>0</v>
      </c>
      <c r="W6005">
        <v>2</v>
      </c>
      <c r="X6005">
        <v>1979</v>
      </c>
      <c r="Z6005">
        <v>1</v>
      </c>
      <c r="AB6005">
        <v>0</v>
      </c>
      <c r="AC6005" t="s">
        <v>115</v>
      </c>
      <c r="AD6005">
        <v>2</v>
      </c>
      <c r="AE6005" t="s">
        <v>115</v>
      </c>
      <c r="AF6005">
        <v>0</v>
      </c>
      <c r="AG6005">
        <v>0</v>
      </c>
      <c r="AH6005" t="s">
        <v>116</v>
      </c>
      <c r="AI6005" s="1">
        <v>81219</v>
      </c>
      <c r="AJ6005" s="2">
        <v>0.28000000000000003</v>
      </c>
      <c r="AK6005" s="1">
        <v>285519</v>
      </c>
      <c r="AL6005" t="s">
        <v>117</v>
      </c>
      <c r="AM6005" t="s">
        <v>191</v>
      </c>
      <c r="AN6005">
        <v>7248</v>
      </c>
      <c r="AO6005">
        <v>0.17</v>
      </c>
      <c r="AP6005">
        <v>1</v>
      </c>
      <c r="AR6005">
        <v>1</v>
      </c>
      <c r="AS6005" s="1">
        <v>18780</v>
      </c>
      <c r="AT6005" s="1">
        <v>3750</v>
      </c>
      <c r="AU6005" s="1">
        <v>15030</v>
      </c>
      <c r="AV6005">
        <v>80.03</v>
      </c>
      <c r="AX6005" s="1">
        <v>1569.12</v>
      </c>
      <c r="AY6005" t="s">
        <v>8619</v>
      </c>
      <c r="AZ6005" t="s">
        <v>7295</v>
      </c>
      <c r="BA6005" t="s">
        <v>5311</v>
      </c>
      <c r="BE6005" s="3">
        <v>42159</v>
      </c>
      <c r="BF6005" s="1">
        <v>200000</v>
      </c>
      <c r="BG6005" t="s">
        <v>36586</v>
      </c>
      <c r="BH6005" s="1">
        <v>121.88</v>
      </c>
      <c r="BI6005" s="1">
        <v>204300</v>
      </c>
      <c r="BJ6005" s="3">
        <v>42159</v>
      </c>
      <c r="BK6005" t="s">
        <v>123</v>
      </c>
      <c r="BL6005" t="str">
        <f>"2015.399561"</f>
        <v>2015.399561</v>
      </c>
      <c r="BM6005" t="s">
        <v>1185</v>
      </c>
      <c r="BO6005" t="s">
        <v>26744</v>
      </c>
      <c r="BS6005">
        <v>30</v>
      </c>
      <c r="BW6005" t="str">
        <f>""</f>
        <v/>
      </c>
      <c r="CH6005" t="str">
        <f>""</f>
        <v/>
      </c>
      <c r="CS6005" t="str">
        <f>""</f>
        <v/>
      </c>
    </row>
    <row r="6006" spans="1:97" x14ac:dyDescent="0.25">
      <c r="A6006" t="s">
        <v>1755</v>
      </c>
      <c r="B6006" t="s">
        <v>36587</v>
      </c>
      <c r="C6006" t="s">
        <v>7681</v>
      </c>
      <c r="D6006" t="s">
        <v>36587</v>
      </c>
      <c r="E6006" t="s">
        <v>36588</v>
      </c>
      <c r="F6006" t="s">
        <v>108</v>
      </c>
      <c r="H6006" t="s">
        <v>36589</v>
      </c>
      <c r="I6006" t="s">
        <v>453</v>
      </c>
      <c r="J6006" t="s">
        <v>111</v>
      </c>
      <c r="K6006" t="str">
        <f>"85345"</f>
        <v>85345</v>
      </c>
      <c r="L6006" t="s">
        <v>5185</v>
      </c>
      <c r="M6006" t="s">
        <v>36589</v>
      </c>
      <c r="N6006" t="s">
        <v>453</v>
      </c>
      <c r="O6006" t="s">
        <v>111</v>
      </c>
      <c r="P6006" t="str">
        <f>"85345-6380"</f>
        <v>85345-6380</v>
      </c>
      <c r="Q6006" t="s">
        <v>113</v>
      </c>
      <c r="R6006" t="str">
        <f>"142-90-071"</f>
        <v>142-90-071</v>
      </c>
      <c r="S6006" t="s">
        <v>36590</v>
      </c>
      <c r="T6006" t="s">
        <v>36590</v>
      </c>
      <c r="U6006">
        <v>2178</v>
      </c>
      <c r="V6006">
        <v>0</v>
      </c>
      <c r="W6006">
        <v>4</v>
      </c>
      <c r="X6006">
        <v>1998</v>
      </c>
      <c r="Z6006">
        <v>2</v>
      </c>
      <c r="AB6006">
        <v>0</v>
      </c>
      <c r="AC6006" t="s">
        <v>115</v>
      </c>
      <c r="AD6006">
        <v>2</v>
      </c>
      <c r="AE6006" t="s">
        <v>115</v>
      </c>
      <c r="AF6006">
        <v>0</v>
      </c>
      <c r="AG6006">
        <v>0</v>
      </c>
      <c r="AH6006" t="s">
        <v>116</v>
      </c>
      <c r="AI6006" s="1">
        <v>49426</v>
      </c>
      <c r="AJ6006" s="2">
        <v>0.18</v>
      </c>
      <c r="AK6006" s="1">
        <v>275653</v>
      </c>
      <c r="AL6006" t="s">
        <v>117</v>
      </c>
      <c r="AM6006" t="s">
        <v>118</v>
      </c>
      <c r="AN6006">
        <v>6669</v>
      </c>
      <c r="AO6006">
        <v>0.15</v>
      </c>
      <c r="AP6006">
        <v>1</v>
      </c>
      <c r="AR6006">
        <v>1</v>
      </c>
      <c r="AS6006" s="1">
        <v>17470</v>
      </c>
      <c r="AT6006" s="1">
        <v>3490</v>
      </c>
      <c r="AU6006" s="1">
        <v>13980</v>
      </c>
      <c r="AV6006">
        <v>80.02</v>
      </c>
      <c r="AX6006" s="1">
        <v>1256.76</v>
      </c>
      <c r="AY6006" t="s">
        <v>12482</v>
      </c>
      <c r="AZ6006" t="s">
        <v>12482</v>
      </c>
      <c r="BA6006" t="s">
        <v>6945</v>
      </c>
      <c r="BE6006" s="3">
        <v>42481</v>
      </c>
      <c r="BF6006" s="1">
        <v>219000</v>
      </c>
      <c r="BG6006" t="s">
        <v>10136</v>
      </c>
      <c r="BH6006" s="1">
        <v>100.55</v>
      </c>
      <c r="BI6006" s="1">
        <v>226227</v>
      </c>
      <c r="BJ6006" s="3">
        <v>42481</v>
      </c>
      <c r="BK6006" t="s">
        <v>123</v>
      </c>
      <c r="BL6006" t="str">
        <f>"2016.268616"</f>
        <v>2016.268616</v>
      </c>
      <c r="BM6006" t="s">
        <v>1325</v>
      </c>
      <c r="BO6006" t="s">
        <v>36591</v>
      </c>
      <c r="BS6006">
        <v>30</v>
      </c>
      <c r="BW6006" t="str">
        <f>""</f>
        <v/>
      </c>
      <c r="CH6006" t="str">
        <f>""</f>
        <v/>
      </c>
      <c r="CS6006" t="str">
        <f>""</f>
        <v/>
      </c>
    </row>
    <row r="6007" spans="1:97" x14ac:dyDescent="0.25">
      <c r="A6007" t="s">
        <v>727</v>
      </c>
      <c r="B6007" t="s">
        <v>3001</v>
      </c>
      <c r="C6007" t="s">
        <v>211</v>
      </c>
      <c r="D6007" t="s">
        <v>3001</v>
      </c>
      <c r="E6007" t="s">
        <v>36592</v>
      </c>
      <c r="F6007" t="s">
        <v>108</v>
      </c>
      <c r="H6007" t="s">
        <v>36593</v>
      </c>
      <c r="I6007" t="s">
        <v>632</v>
      </c>
      <c r="J6007" t="s">
        <v>111</v>
      </c>
      <c r="K6007" t="str">
        <f>"85379"</f>
        <v>85379</v>
      </c>
      <c r="L6007" t="s">
        <v>5058</v>
      </c>
      <c r="M6007" t="s">
        <v>36593</v>
      </c>
      <c r="N6007" t="s">
        <v>632</v>
      </c>
      <c r="O6007" t="s">
        <v>111</v>
      </c>
      <c r="P6007" t="str">
        <f>"85379-1143"</f>
        <v>85379-1143</v>
      </c>
      <c r="Q6007" t="s">
        <v>113</v>
      </c>
      <c r="R6007" t="str">
        <f>"501-79-285"</f>
        <v>501-79-285</v>
      </c>
      <c r="S6007" t="s">
        <v>5059</v>
      </c>
      <c r="U6007">
        <v>3348</v>
      </c>
      <c r="V6007">
        <v>0</v>
      </c>
      <c r="W6007">
        <v>5</v>
      </c>
      <c r="X6007">
        <v>2015</v>
      </c>
      <c r="Z6007">
        <v>2</v>
      </c>
      <c r="AA6007" t="s">
        <v>26</v>
      </c>
      <c r="AB6007">
        <v>0</v>
      </c>
      <c r="AC6007" t="s">
        <v>115</v>
      </c>
      <c r="AD6007">
        <v>3</v>
      </c>
      <c r="AE6007" t="s">
        <v>115</v>
      </c>
      <c r="AF6007">
        <v>0</v>
      </c>
      <c r="AG6007">
        <v>0</v>
      </c>
      <c r="AH6007" t="s">
        <v>116</v>
      </c>
      <c r="AI6007" s="1">
        <v>43272</v>
      </c>
      <c r="AJ6007" s="2">
        <v>0.1</v>
      </c>
      <c r="AK6007" s="1">
        <v>419348</v>
      </c>
      <c r="AL6007" t="s">
        <v>117</v>
      </c>
      <c r="AM6007" t="s">
        <v>118</v>
      </c>
      <c r="AN6007">
        <v>7246</v>
      </c>
      <c r="AO6007">
        <v>0.17</v>
      </c>
      <c r="AR6007">
        <v>1</v>
      </c>
      <c r="AS6007" s="1">
        <v>31310</v>
      </c>
      <c r="AT6007" s="1">
        <v>6260</v>
      </c>
      <c r="AU6007" s="1">
        <v>25050</v>
      </c>
      <c r="AV6007">
        <v>80.010000000000005</v>
      </c>
      <c r="AX6007" s="1">
        <v>2306.2199999999998</v>
      </c>
      <c r="AY6007" t="s">
        <v>5060</v>
      </c>
      <c r="AZ6007" t="s">
        <v>5060</v>
      </c>
      <c r="BA6007" t="s">
        <v>5061</v>
      </c>
      <c r="BE6007" s="3">
        <v>42542</v>
      </c>
      <c r="BF6007" s="1">
        <v>347076</v>
      </c>
      <c r="BG6007" t="s">
        <v>292</v>
      </c>
      <c r="BH6007" s="1">
        <v>103.67</v>
      </c>
      <c r="BI6007" s="1">
        <v>347076</v>
      </c>
      <c r="BJ6007" s="3">
        <v>42542</v>
      </c>
      <c r="BK6007" t="s">
        <v>123</v>
      </c>
      <c r="BL6007" t="str">
        <f>"2016.430775"</f>
        <v>2016.430775</v>
      </c>
      <c r="BM6007" t="s">
        <v>709</v>
      </c>
      <c r="BO6007" t="s">
        <v>36594</v>
      </c>
      <c r="BS6007">
        <v>30</v>
      </c>
      <c r="BT6007" s="1">
        <v>29000</v>
      </c>
      <c r="BU6007" s="3">
        <v>42759</v>
      </c>
      <c r="BV6007" t="s">
        <v>134</v>
      </c>
      <c r="BW6007" t="str">
        <f>"2017.52754"</f>
        <v>2017.52754</v>
      </c>
      <c r="BX6007" t="s">
        <v>369</v>
      </c>
      <c r="BZ6007" t="s">
        <v>36595</v>
      </c>
      <c r="CD6007">
        <v>15</v>
      </c>
      <c r="CH6007" t="str">
        <f>""</f>
        <v/>
      </c>
      <c r="CS6007" t="str">
        <f>""</f>
        <v/>
      </c>
    </row>
    <row r="6008" spans="1:97" x14ac:dyDescent="0.25">
      <c r="A6008" t="s">
        <v>996</v>
      </c>
      <c r="B6008" t="s">
        <v>529</v>
      </c>
      <c r="E6008" t="s">
        <v>36596</v>
      </c>
      <c r="F6008" t="s">
        <v>108</v>
      </c>
      <c r="H6008" t="s">
        <v>36597</v>
      </c>
      <c r="I6008" t="s">
        <v>1788</v>
      </c>
      <c r="J6008" t="s">
        <v>111</v>
      </c>
      <c r="K6008" t="str">
        <f>"85355"</f>
        <v>85355</v>
      </c>
      <c r="L6008" t="s">
        <v>734</v>
      </c>
      <c r="M6008" t="s">
        <v>36597</v>
      </c>
      <c r="N6008" t="s">
        <v>1788</v>
      </c>
      <c r="O6008" t="s">
        <v>111</v>
      </c>
      <c r="P6008" t="str">
        <f>"85355-9747"</f>
        <v>85355-9747</v>
      </c>
      <c r="Q6008" t="s">
        <v>113</v>
      </c>
      <c r="R6008" t="str">
        <f>"502-19-001-J"</f>
        <v>502-19-001-J</v>
      </c>
      <c r="S6008" t="s">
        <v>9913</v>
      </c>
      <c r="U6008">
        <v>3411</v>
      </c>
      <c r="V6008">
        <v>0</v>
      </c>
      <c r="W6008">
        <v>3</v>
      </c>
      <c r="X6008">
        <v>1997</v>
      </c>
      <c r="Z6008">
        <v>1</v>
      </c>
      <c r="AB6008">
        <v>0</v>
      </c>
      <c r="AC6008" t="s">
        <v>115</v>
      </c>
      <c r="AD6008">
        <v>1</v>
      </c>
      <c r="AE6008" t="s">
        <v>115</v>
      </c>
      <c r="AF6008">
        <v>0</v>
      </c>
      <c r="AG6008">
        <v>0</v>
      </c>
      <c r="AH6008" t="s">
        <v>116</v>
      </c>
      <c r="AI6008" s="1">
        <v>196578</v>
      </c>
      <c r="AJ6008" s="2">
        <v>0.36</v>
      </c>
      <c r="AK6008" s="1">
        <v>549534</v>
      </c>
      <c r="AL6008" t="s">
        <v>117</v>
      </c>
      <c r="AM6008" t="s">
        <v>376</v>
      </c>
      <c r="AN6008">
        <v>87120</v>
      </c>
      <c r="AO6008">
        <v>2</v>
      </c>
      <c r="AP6008">
        <v>1</v>
      </c>
      <c r="AR6008">
        <v>1</v>
      </c>
      <c r="AS6008" s="1">
        <v>42500</v>
      </c>
      <c r="AT6008" s="1">
        <v>8500</v>
      </c>
      <c r="AU6008" s="1">
        <v>34000</v>
      </c>
      <c r="AV6008">
        <v>80</v>
      </c>
      <c r="AX6008" s="1">
        <v>3343.78</v>
      </c>
      <c r="AY6008" t="s">
        <v>503</v>
      </c>
      <c r="AZ6008" t="s">
        <v>504</v>
      </c>
      <c r="BA6008" t="s">
        <v>218</v>
      </c>
      <c r="BE6008" s="3">
        <v>41759</v>
      </c>
      <c r="BF6008" s="1">
        <v>355000</v>
      </c>
      <c r="BG6008" t="s">
        <v>36598</v>
      </c>
      <c r="BH6008" s="1">
        <v>104.08</v>
      </c>
      <c r="BI6008" s="1">
        <v>352956</v>
      </c>
      <c r="BJ6008" s="3">
        <v>42926</v>
      </c>
      <c r="BK6008" t="s">
        <v>123</v>
      </c>
      <c r="BL6008" t="str">
        <f>"2017.499788"</f>
        <v>2017.499788</v>
      </c>
      <c r="BM6008" t="s">
        <v>361</v>
      </c>
      <c r="BO6008" t="s">
        <v>36599</v>
      </c>
      <c r="BS6008">
        <v>30</v>
      </c>
      <c r="BW6008" t="str">
        <f>""</f>
        <v/>
      </c>
      <c r="CH6008" t="str">
        <f>""</f>
        <v/>
      </c>
      <c r="CS6008" t="str">
        <f>""</f>
        <v/>
      </c>
    </row>
    <row r="6009" spans="1:97" x14ac:dyDescent="0.25">
      <c r="A6009" t="s">
        <v>894</v>
      </c>
      <c r="B6009" t="s">
        <v>12627</v>
      </c>
      <c r="C6009" t="s">
        <v>1496</v>
      </c>
      <c r="D6009" t="s">
        <v>12627</v>
      </c>
      <c r="E6009" t="s">
        <v>36600</v>
      </c>
      <c r="F6009" t="s">
        <v>108</v>
      </c>
      <c r="H6009" t="s">
        <v>36601</v>
      </c>
      <c r="I6009" t="s">
        <v>632</v>
      </c>
      <c r="J6009" t="s">
        <v>111</v>
      </c>
      <c r="K6009" t="str">
        <f>"85379"</f>
        <v>85379</v>
      </c>
      <c r="L6009" t="s">
        <v>2820</v>
      </c>
      <c r="M6009" t="s">
        <v>36601</v>
      </c>
      <c r="N6009" t="s">
        <v>632</v>
      </c>
      <c r="O6009" t="s">
        <v>111</v>
      </c>
      <c r="P6009" t="str">
        <f>"85379-8312"</f>
        <v>85379-8312</v>
      </c>
      <c r="Q6009" t="s">
        <v>113</v>
      </c>
      <c r="R6009" t="str">
        <f>"501-15-885"</f>
        <v>501-15-885</v>
      </c>
      <c r="S6009" t="s">
        <v>16198</v>
      </c>
      <c r="U6009">
        <v>2785</v>
      </c>
      <c r="V6009">
        <v>0</v>
      </c>
      <c r="W6009">
        <v>5</v>
      </c>
      <c r="X6009">
        <v>2004</v>
      </c>
      <c r="Z6009">
        <v>2</v>
      </c>
      <c r="AB6009">
        <v>0</v>
      </c>
      <c r="AC6009" t="s">
        <v>115</v>
      </c>
      <c r="AD6009">
        <v>3</v>
      </c>
      <c r="AE6009" t="s">
        <v>115</v>
      </c>
      <c r="AF6009">
        <v>0</v>
      </c>
      <c r="AG6009">
        <v>0</v>
      </c>
      <c r="AH6009" t="s">
        <v>116</v>
      </c>
      <c r="AI6009" s="1">
        <v>81723</v>
      </c>
      <c r="AJ6009" s="2">
        <v>0.26</v>
      </c>
      <c r="AK6009" s="1">
        <v>314983</v>
      </c>
      <c r="AL6009" t="s">
        <v>117</v>
      </c>
      <c r="AM6009" t="s">
        <v>5516</v>
      </c>
      <c r="AN6009">
        <v>7245</v>
      </c>
      <c r="AO6009">
        <v>0.17</v>
      </c>
      <c r="AP6009">
        <v>1</v>
      </c>
      <c r="AR6009">
        <v>1</v>
      </c>
      <c r="AS6009" s="1">
        <v>22370</v>
      </c>
      <c r="AT6009" s="1">
        <v>4470</v>
      </c>
      <c r="AU6009" s="1">
        <v>17900</v>
      </c>
      <c r="AV6009">
        <v>80.02</v>
      </c>
      <c r="AX6009" s="1">
        <v>1624.6</v>
      </c>
      <c r="AY6009" t="s">
        <v>5983</v>
      </c>
      <c r="AZ6009" t="s">
        <v>5983</v>
      </c>
      <c r="BA6009" t="s">
        <v>321</v>
      </c>
      <c r="BE6009" s="3">
        <v>41754</v>
      </c>
      <c r="BF6009" s="1">
        <v>224900</v>
      </c>
      <c r="BG6009" t="s">
        <v>11341</v>
      </c>
      <c r="BH6009" s="1">
        <v>80.75</v>
      </c>
      <c r="BI6009" s="1">
        <v>233260</v>
      </c>
      <c r="BJ6009" s="3">
        <v>41950</v>
      </c>
      <c r="BK6009" t="s">
        <v>123</v>
      </c>
      <c r="BL6009" t="str">
        <f>"2014.739975"</f>
        <v>2014.739975</v>
      </c>
      <c r="BM6009" t="s">
        <v>2489</v>
      </c>
      <c r="BO6009" t="s">
        <v>36602</v>
      </c>
      <c r="BS6009">
        <v>30</v>
      </c>
      <c r="BW6009" t="str">
        <f>""</f>
        <v/>
      </c>
      <c r="CH6009" t="str">
        <f>""</f>
        <v/>
      </c>
      <c r="CS6009" t="str">
        <f>""</f>
        <v/>
      </c>
    </row>
    <row r="6010" spans="1:97" x14ac:dyDescent="0.25">
      <c r="A6010" t="s">
        <v>589</v>
      </c>
      <c r="B6010" t="s">
        <v>36603</v>
      </c>
      <c r="C6010" t="s">
        <v>703</v>
      </c>
      <c r="D6010" t="s">
        <v>36603</v>
      </c>
      <c r="E6010" t="s">
        <v>36604</v>
      </c>
      <c r="F6010" t="s">
        <v>108</v>
      </c>
      <c r="H6010" t="s">
        <v>36605</v>
      </c>
      <c r="I6010" t="s">
        <v>499</v>
      </c>
      <c r="J6010" t="s">
        <v>111</v>
      </c>
      <c r="K6010" t="str">
        <f>"85338"</f>
        <v>85338</v>
      </c>
      <c r="L6010" t="s">
        <v>6481</v>
      </c>
      <c r="M6010" t="s">
        <v>36605</v>
      </c>
      <c r="N6010" t="s">
        <v>499</v>
      </c>
      <c r="O6010" t="s">
        <v>111</v>
      </c>
      <c r="P6010" t="str">
        <f>"85338-2724"</f>
        <v>85338-2724</v>
      </c>
      <c r="Q6010" t="s">
        <v>113</v>
      </c>
      <c r="R6010" t="str">
        <f>"500-91-654"</f>
        <v>500-91-654</v>
      </c>
      <c r="S6010" t="s">
        <v>36606</v>
      </c>
      <c r="U6010">
        <v>2472</v>
      </c>
      <c r="V6010">
        <v>0</v>
      </c>
      <c r="W6010">
        <v>3</v>
      </c>
      <c r="X6010">
        <v>2003</v>
      </c>
      <c r="Z6010">
        <v>1</v>
      </c>
      <c r="AA6010" t="s">
        <v>26</v>
      </c>
      <c r="AB6010">
        <v>0</v>
      </c>
      <c r="AC6010" t="s">
        <v>115</v>
      </c>
      <c r="AD6010">
        <v>3</v>
      </c>
      <c r="AE6010" t="s">
        <v>115</v>
      </c>
      <c r="AF6010">
        <v>0</v>
      </c>
      <c r="AG6010">
        <v>0</v>
      </c>
      <c r="AH6010" t="s">
        <v>116</v>
      </c>
      <c r="AI6010" s="1">
        <v>83270</v>
      </c>
      <c r="AJ6010" s="2">
        <v>0.26</v>
      </c>
      <c r="AK6010" s="1">
        <v>322475</v>
      </c>
      <c r="AL6010" t="s">
        <v>117</v>
      </c>
      <c r="AM6010" t="s">
        <v>118</v>
      </c>
      <c r="AN6010">
        <v>7700</v>
      </c>
      <c r="AO6010">
        <v>0.18</v>
      </c>
      <c r="AP6010">
        <v>1</v>
      </c>
      <c r="AR6010">
        <v>1</v>
      </c>
      <c r="AS6010" s="1">
        <v>22210</v>
      </c>
      <c r="AT6010" s="1">
        <v>4440</v>
      </c>
      <c r="AU6010" s="1">
        <v>17770</v>
      </c>
      <c r="AV6010">
        <v>80.010000000000005</v>
      </c>
      <c r="AX6010" s="1">
        <v>1811.94</v>
      </c>
      <c r="AY6010" t="s">
        <v>6319</v>
      </c>
      <c r="AZ6010" t="s">
        <v>6319</v>
      </c>
      <c r="BA6010" t="s">
        <v>7186</v>
      </c>
      <c r="BE6010" s="3">
        <v>41988</v>
      </c>
      <c r="BF6010" s="1">
        <v>239000</v>
      </c>
      <c r="BG6010" t="s">
        <v>36607</v>
      </c>
      <c r="BH6010" s="1">
        <v>96.68</v>
      </c>
      <c r="BI6010" s="1">
        <v>239205</v>
      </c>
      <c r="BJ6010" s="3">
        <v>42611</v>
      </c>
      <c r="BK6010" t="s">
        <v>123</v>
      </c>
      <c r="BL6010" t="str">
        <f>"2016.619917"</f>
        <v>2016.619917</v>
      </c>
      <c r="BM6010" t="s">
        <v>843</v>
      </c>
      <c r="BO6010" t="s">
        <v>36608</v>
      </c>
      <c r="BS6010">
        <v>30</v>
      </c>
      <c r="BW6010" t="str">
        <f>""</f>
        <v/>
      </c>
      <c r="CH6010" t="str">
        <f>""</f>
        <v/>
      </c>
      <c r="CS6010" t="str">
        <f>""</f>
        <v/>
      </c>
    </row>
    <row r="6011" spans="1:97" x14ac:dyDescent="0.25">
      <c r="A6011" t="s">
        <v>36609</v>
      </c>
      <c r="B6011" t="s">
        <v>36610</v>
      </c>
      <c r="C6011" t="s">
        <v>496</v>
      </c>
      <c r="D6011" t="s">
        <v>36610</v>
      </c>
      <c r="E6011" t="s">
        <v>36611</v>
      </c>
      <c r="F6011" t="s">
        <v>108</v>
      </c>
      <c r="H6011" t="s">
        <v>36612</v>
      </c>
      <c r="I6011" t="s">
        <v>6844</v>
      </c>
      <c r="J6011" t="s">
        <v>111</v>
      </c>
      <c r="K6011" t="str">
        <f>"85361"</f>
        <v>85361</v>
      </c>
      <c r="L6011" t="s">
        <v>734</v>
      </c>
      <c r="M6011" t="s">
        <v>36612</v>
      </c>
      <c r="N6011" t="s">
        <v>6844</v>
      </c>
      <c r="O6011" t="s">
        <v>111</v>
      </c>
      <c r="P6011" t="str">
        <f>"85361-8510"</f>
        <v>85361-8510</v>
      </c>
      <c r="Q6011" t="s">
        <v>113</v>
      </c>
      <c r="R6011" t="str">
        <f>"503-32-055-D"</f>
        <v>503-32-055-D</v>
      </c>
      <c r="U6011">
        <v>1645</v>
      </c>
      <c r="V6011">
        <v>0</v>
      </c>
      <c r="W6011">
        <v>3</v>
      </c>
      <c r="X6011">
        <v>2004</v>
      </c>
      <c r="Z6011">
        <v>1</v>
      </c>
      <c r="AB6011">
        <v>0</v>
      </c>
      <c r="AC6011" t="s">
        <v>115</v>
      </c>
      <c r="AD6011">
        <v>2</v>
      </c>
      <c r="AE6011" t="s">
        <v>115</v>
      </c>
      <c r="AF6011">
        <v>0</v>
      </c>
      <c r="AG6011">
        <v>0</v>
      </c>
      <c r="AH6011" t="s">
        <v>116</v>
      </c>
      <c r="AI6011" s="1">
        <v>83183</v>
      </c>
      <c r="AJ6011" s="2">
        <v>0.28999999999999998</v>
      </c>
      <c r="AK6011" s="1">
        <v>283183</v>
      </c>
      <c r="AL6011" t="s">
        <v>117</v>
      </c>
      <c r="AM6011" t="s">
        <v>376</v>
      </c>
      <c r="AN6011">
        <v>52304</v>
      </c>
      <c r="AO6011">
        <v>1.2</v>
      </c>
      <c r="AP6011">
        <v>1</v>
      </c>
      <c r="AR6011">
        <v>1</v>
      </c>
      <c r="AS6011" s="1">
        <v>19620</v>
      </c>
      <c r="AT6011" s="1">
        <v>3920</v>
      </c>
      <c r="AU6011" s="1">
        <v>15700</v>
      </c>
      <c r="AV6011">
        <v>80.02</v>
      </c>
      <c r="AX6011" s="1">
        <v>1274.8800000000001</v>
      </c>
      <c r="AY6011" t="s">
        <v>6847</v>
      </c>
      <c r="AZ6011" t="s">
        <v>6847</v>
      </c>
      <c r="BE6011" s="3">
        <v>42093</v>
      </c>
      <c r="BF6011" s="1">
        <v>200000</v>
      </c>
      <c r="BG6011" t="s">
        <v>36613</v>
      </c>
      <c r="BH6011" s="1">
        <v>121.58</v>
      </c>
      <c r="BI6011" s="1">
        <v>200000</v>
      </c>
      <c r="BJ6011" s="3">
        <v>42093</v>
      </c>
      <c r="BK6011" t="s">
        <v>123</v>
      </c>
      <c r="BL6011" t="str">
        <f>"2015.213121"</f>
        <v>2015.213121</v>
      </c>
      <c r="BM6011" t="s">
        <v>594</v>
      </c>
      <c r="BO6011" t="s">
        <v>36614</v>
      </c>
      <c r="BS6011">
        <v>30</v>
      </c>
      <c r="BW6011" t="str">
        <f>""</f>
        <v/>
      </c>
      <c r="CH6011" t="str">
        <f>""</f>
        <v/>
      </c>
      <c r="CS6011" t="str">
        <f>""</f>
        <v/>
      </c>
    </row>
    <row r="6012" spans="1:97" x14ac:dyDescent="0.25">
      <c r="A6012" t="s">
        <v>36615</v>
      </c>
      <c r="B6012" t="s">
        <v>2104</v>
      </c>
      <c r="C6012" t="s">
        <v>908</v>
      </c>
      <c r="D6012" t="s">
        <v>2104</v>
      </c>
      <c r="E6012" t="s">
        <v>36616</v>
      </c>
      <c r="F6012" t="s">
        <v>108</v>
      </c>
      <c r="H6012" t="s">
        <v>36617</v>
      </c>
      <c r="I6012" t="s">
        <v>5114</v>
      </c>
      <c r="J6012" t="s">
        <v>111</v>
      </c>
      <c r="K6012" t="str">
        <f>"85392"</f>
        <v>85392</v>
      </c>
      <c r="L6012" t="s">
        <v>6691</v>
      </c>
      <c r="M6012" t="s">
        <v>36617</v>
      </c>
      <c r="N6012" t="s">
        <v>5114</v>
      </c>
      <c r="O6012" t="s">
        <v>111</v>
      </c>
      <c r="P6012" t="str">
        <f>"85392-6520"</f>
        <v>85392-6520</v>
      </c>
      <c r="Q6012" t="s">
        <v>113</v>
      </c>
      <c r="R6012" t="str">
        <f>"501-75-802"</f>
        <v>501-75-802</v>
      </c>
      <c r="S6012" t="s">
        <v>7635</v>
      </c>
      <c r="T6012" t="s">
        <v>7635</v>
      </c>
      <c r="U6012">
        <v>3989</v>
      </c>
      <c r="V6012">
        <v>0</v>
      </c>
      <c r="W6012">
        <v>4</v>
      </c>
      <c r="X6012">
        <v>1995</v>
      </c>
      <c r="Z6012">
        <v>2</v>
      </c>
      <c r="AA6012" t="s">
        <v>26</v>
      </c>
      <c r="AB6012">
        <v>0</v>
      </c>
      <c r="AC6012" t="s">
        <v>115</v>
      </c>
      <c r="AD6012">
        <v>2</v>
      </c>
      <c r="AE6012" t="s">
        <v>115</v>
      </c>
      <c r="AF6012">
        <v>0</v>
      </c>
      <c r="AG6012">
        <v>0</v>
      </c>
      <c r="AH6012" t="s">
        <v>116</v>
      </c>
      <c r="AI6012" s="1">
        <v>101961</v>
      </c>
      <c r="AJ6012" s="2">
        <v>0.25</v>
      </c>
      <c r="AK6012" s="1">
        <v>411961</v>
      </c>
      <c r="AL6012" t="s">
        <v>117</v>
      </c>
      <c r="AM6012" t="s">
        <v>118</v>
      </c>
      <c r="AN6012">
        <v>12193</v>
      </c>
      <c r="AO6012">
        <v>0.28000000000000003</v>
      </c>
      <c r="AP6012">
        <v>1</v>
      </c>
      <c r="AR6012">
        <v>1</v>
      </c>
      <c r="AS6012" s="1">
        <v>29660</v>
      </c>
      <c r="AT6012" s="1">
        <v>5930</v>
      </c>
      <c r="AU6012" s="1">
        <v>23730</v>
      </c>
      <c r="AV6012">
        <v>80.010000000000005</v>
      </c>
      <c r="AX6012" s="1">
        <v>2436.34</v>
      </c>
      <c r="AY6012" t="s">
        <v>7636</v>
      </c>
      <c r="AZ6012" t="s">
        <v>6701</v>
      </c>
      <c r="BA6012" t="s">
        <v>6702</v>
      </c>
      <c r="BE6012" s="3">
        <v>42069</v>
      </c>
      <c r="BF6012" s="1">
        <v>310000</v>
      </c>
      <c r="BG6012" t="s">
        <v>36618</v>
      </c>
      <c r="BH6012" s="1">
        <v>77.709999999999994</v>
      </c>
      <c r="BI6012" s="1">
        <v>310000</v>
      </c>
      <c r="BJ6012" s="3">
        <v>42069</v>
      </c>
      <c r="BK6012" t="s">
        <v>123</v>
      </c>
      <c r="BL6012" t="str">
        <f>"2015.152298"</f>
        <v>2015.152298</v>
      </c>
      <c r="BM6012" t="s">
        <v>2224</v>
      </c>
      <c r="BO6012" t="s">
        <v>36619</v>
      </c>
      <c r="BS6012">
        <v>30</v>
      </c>
      <c r="BW6012" t="str">
        <f>""</f>
        <v/>
      </c>
      <c r="CH6012" t="str">
        <f>""</f>
        <v/>
      </c>
      <c r="CS6012" t="str">
        <f>""</f>
        <v/>
      </c>
    </row>
    <row r="6013" spans="1:97" x14ac:dyDescent="0.25">
      <c r="A6013" t="s">
        <v>3735</v>
      </c>
      <c r="B6013" t="s">
        <v>15419</v>
      </c>
      <c r="C6013" t="s">
        <v>1649</v>
      </c>
      <c r="D6013" t="s">
        <v>15419</v>
      </c>
      <c r="E6013" t="s">
        <v>36620</v>
      </c>
      <c r="F6013" t="s">
        <v>108</v>
      </c>
      <c r="H6013" t="s">
        <v>36621</v>
      </c>
      <c r="I6013" t="s">
        <v>110</v>
      </c>
      <c r="J6013" t="s">
        <v>111</v>
      </c>
      <c r="K6013" t="str">
        <f>"85224"</f>
        <v>85224</v>
      </c>
      <c r="L6013" t="s">
        <v>8199</v>
      </c>
      <c r="M6013" t="s">
        <v>36621</v>
      </c>
      <c r="N6013" t="s">
        <v>110</v>
      </c>
      <c r="O6013" t="s">
        <v>111</v>
      </c>
      <c r="P6013" t="str">
        <f>"85224-6419"</f>
        <v>85224-6419</v>
      </c>
      <c r="Q6013" t="s">
        <v>113</v>
      </c>
      <c r="R6013" t="str">
        <f>"303-23-629"</f>
        <v>303-23-629</v>
      </c>
      <c r="S6013" t="s">
        <v>8200</v>
      </c>
      <c r="T6013" t="s">
        <v>8201</v>
      </c>
      <c r="U6013">
        <v>2079</v>
      </c>
      <c r="V6013">
        <v>0</v>
      </c>
      <c r="W6013">
        <v>4</v>
      </c>
      <c r="X6013">
        <v>1993</v>
      </c>
      <c r="Z6013">
        <v>2</v>
      </c>
      <c r="AB6013">
        <v>0</v>
      </c>
      <c r="AC6013" t="s">
        <v>115</v>
      </c>
      <c r="AD6013">
        <v>3</v>
      </c>
      <c r="AE6013" t="s">
        <v>115</v>
      </c>
      <c r="AF6013">
        <v>0</v>
      </c>
      <c r="AG6013">
        <v>0</v>
      </c>
      <c r="AH6013" t="s">
        <v>116</v>
      </c>
      <c r="AI6013" s="1">
        <v>33817</v>
      </c>
      <c r="AJ6013" s="2">
        <v>0.09</v>
      </c>
      <c r="AK6013" s="1">
        <v>359014</v>
      </c>
      <c r="AL6013" t="s">
        <v>117</v>
      </c>
      <c r="AM6013" t="s">
        <v>118</v>
      </c>
      <c r="AN6013">
        <v>7057</v>
      </c>
      <c r="AO6013">
        <v>0.16</v>
      </c>
      <c r="AP6013">
        <v>1</v>
      </c>
      <c r="AR6013">
        <v>1</v>
      </c>
      <c r="AS6013" s="1">
        <v>24920</v>
      </c>
      <c r="AT6013" s="1">
        <v>4980</v>
      </c>
      <c r="AU6013" s="1">
        <v>19940</v>
      </c>
      <c r="AV6013">
        <v>80.02</v>
      </c>
      <c r="AX6013" s="1">
        <v>2006.02</v>
      </c>
      <c r="AY6013" t="s">
        <v>6015</v>
      </c>
      <c r="AZ6013" t="s">
        <v>5078</v>
      </c>
      <c r="BA6013" t="s">
        <v>121</v>
      </c>
      <c r="BE6013" s="3">
        <v>41710</v>
      </c>
      <c r="BF6013" s="1">
        <v>279900</v>
      </c>
      <c r="BG6013" t="s">
        <v>36622</v>
      </c>
      <c r="BH6013" s="1">
        <v>134.63</v>
      </c>
      <c r="BI6013" s="1">
        <v>325197</v>
      </c>
      <c r="BJ6013" s="3">
        <v>43123</v>
      </c>
      <c r="BK6013" t="s">
        <v>123</v>
      </c>
      <c r="BL6013" t="str">
        <f>"2018.52178"</f>
        <v>2018.52178</v>
      </c>
      <c r="BM6013" t="s">
        <v>3040</v>
      </c>
      <c r="BN6013" t="s">
        <v>3041</v>
      </c>
      <c r="BO6013" t="s">
        <v>36623</v>
      </c>
      <c r="BP6013" t="s">
        <v>36624</v>
      </c>
      <c r="BR6013" t="s">
        <v>139</v>
      </c>
      <c r="BW6013" t="str">
        <f>""</f>
        <v/>
      </c>
      <c r="CH6013" t="str">
        <f>""</f>
        <v/>
      </c>
      <c r="CS6013" t="str">
        <f>""</f>
        <v/>
      </c>
    </row>
    <row r="6014" spans="1:97" x14ac:dyDescent="0.25">
      <c r="A6014" t="s">
        <v>589</v>
      </c>
      <c r="B6014" t="s">
        <v>6380</v>
      </c>
      <c r="C6014" t="s">
        <v>36625</v>
      </c>
      <c r="D6014" t="s">
        <v>6380</v>
      </c>
      <c r="E6014" t="s">
        <v>36626</v>
      </c>
      <c r="F6014" t="s">
        <v>108</v>
      </c>
      <c r="H6014" t="s">
        <v>36627</v>
      </c>
      <c r="I6014" t="s">
        <v>453</v>
      </c>
      <c r="J6014" t="s">
        <v>111</v>
      </c>
      <c r="K6014" t="str">
        <f>"85382"</f>
        <v>85382</v>
      </c>
      <c r="L6014" t="s">
        <v>6308</v>
      </c>
      <c r="M6014" t="s">
        <v>36627</v>
      </c>
      <c r="N6014" t="s">
        <v>453</v>
      </c>
      <c r="O6014" t="s">
        <v>111</v>
      </c>
      <c r="P6014" t="str">
        <f>"85382-8334"</f>
        <v>85382-8334</v>
      </c>
      <c r="Q6014" t="s">
        <v>113</v>
      </c>
      <c r="R6014" t="str">
        <f>"231-26-147"</f>
        <v>231-26-147</v>
      </c>
      <c r="S6014" t="s">
        <v>36628</v>
      </c>
      <c r="T6014" t="s">
        <v>6310</v>
      </c>
      <c r="U6014">
        <v>2166</v>
      </c>
      <c r="V6014">
        <v>0</v>
      </c>
      <c r="W6014">
        <v>3</v>
      </c>
      <c r="X6014">
        <v>2000</v>
      </c>
      <c r="Z6014">
        <v>1</v>
      </c>
      <c r="AB6014">
        <v>0</v>
      </c>
      <c r="AC6014" t="s">
        <v>115</v>
      </c>
      <c r="AD6014">
        <v>2</v>
      </c>
      <c r="AE6014" t="s">
        <v>115</v>
      </c>
      <c r="AF6014">
        <v>0</v>
      </c>
      <c r="AG6014">
        <v>0</v>
      </c>
      <c r="AH6014" t="s">
        <v>116</v>
      </c>
      <c r="AI6014" s="1">
        <v>62957</v>
      </c>
      <c r="AJ6014" s="2">
        <v>0.2</v>
      </c>
      <c r="AK6014" s="1">
        <v>319657</v>
      </c>
      <c r="AL6014" t="s">
        <v>117</v>
      </c>
      <c r="AM6014" t="s">
        <v>118</v>
      </c>
      <c r="AN6014">
        <v>6380</v>
      </c>
      <c r="AO6014">
        <v>0.15</v>
      </c>
      <c r="AP6014">
        <v>1</v>
      </c>
      <c r="AR6014">
        <v>1</v>
      </c>
      <c r="AS6014" s="1">
        <v>22900</v>
      </c>
      <c r="AT6014" s="1">
        <v>4580</v>
      </c>
      <c r="AU6014" s="1">
        <v>18320</v>
      </c>
      <c r="AV6014">
        <v>80</v>
      </c>
      <c r="AX6014" s="1">
        <v>1944.5</v>
      </c>
      <c r="AY6014" t="s">
        <v>6311</v>
      </c>
      <c r="AZ6014" t="s">
        <v>6311</v>
      </c>
      <c r="BA6014" t="s">
        <v>4219</v>
      </c>
      <c r="BE6014" s="3">
        <v>42457</v>
      </c>
      <c r="BF6014" s="1">
        <v>248500</v>
      </c>
      <c r="BG6014" t="s">
        <v>36629</v>
      </c>
      <c r="BH6014" s="1">
        <v>114.73</v>
      </c>
      <c r="BI6014" s="1">
        <v>256700</v>
      </c>
      <c r="BJ6014" s="3">
        <v>42457</v>
      </c>
      <c r="BK6014" t="s">
        <v>123</v>
      </c>
      <c r="BL6014" t="str">
        <f>"2016.198954"</f>
        <v>2016.198954</v>
      </c>
      <c r="BM6014" t="s">
        <v>7942</v>
      </c>
      <c r="BO6014" t="s">
        <v>36630</v>
      </c>
      <c r="BS6014">
        <v>30</v>
      </c>
      <c r="BW6014" t="str">
        <f>""</f>
        <v/>
      </c>
      <c r="CH6014" t="str">
        <f>""</f>
        <v/>
      </c>
      <c r="CS6014" t="str">
        <f>""</f>
        <v/>
      </c>
    </row>
    <row r="6015" spans="1:97" x14ac:dyDescent="0.25">
      <c r="A6015" t="s">
        <v>6237</v>
      </c>
      <c r="B6015" t="s">
        <v>36631</v>
      </c>
      <c r="C6015" t="s">
        <v>278</v>
      </c>
      <c r="D6015" t="s">
        <v>36631</v>
      </c>
      <c r="E6015" t="s">
        <v>36632</v>
      </c>
      <c r="F6015" t="s">
        <v>108</v>
      </c>
      <c r="H6015" t="s">
        <v>36633</v>
      </c>
      <c r="I6015" t="s">
        <v>632</v>
      </c>
      <c r="J6015" t="s">
        <v>111</v>
      </c>
      <c r="K6015" t="str">
        <f>"85379"</f>
        <v>85379</v>
      </c>
      <c r="L6015" t="s">
        <v>558</v>
      </c>
      <c r="M6015" t="s">
        <v>36633</v>
      </c>
      <c r="N6015" t="s">
        <v>632</v>
      </c>
      <c r="O6015" t="s">
        <v>111</v>
      </c>
      <c r="P6015" t="str">
        <f>"85379-5215"</f>
        <v>85379-5215</v>
      </c>
      <c r="Q6015" t="s">
        <v>113</v>
      </c>
      <c r="R6015" t="str">
        <f>"509-14-302"</f>
        <v>509-14-302</v>
      </c>
      <c r="S6015" t="s">
        <v>5614</v>
      </c>
      <c r="U6015">
        <v>2222</v>
      </c>
      <c r="V6015">
        <v>0</v>
      </c>
      <c r="W6015">
        <v>3</v>
      </c>
      <c r="X6015">
        <v>2003</v>
      </c>
      <c r="Z6015">
        <v>1</v>
      </c>
      <c r="AB6015">
        <v>0</v>
      </c>
      <c r="AC6015" t="s">
        <v>115</v>
      </c>
      <c r="AD6015">
        <v>3</v>
      </c>
      <c r="AE6015" t="s">
        <v>115</v>
      </c>
      <c r="AF6015">
        <v>0</v>
      </c>
      <c r="AG6015">
        <v>0</v>
      </c>
      <c r="AH6015" t="s">
        <v>116</v>
      </c>
      <c r="AI6015" s="1">
        <v>30150</v>
      </c>
      <c r="AJ6015" s="2">
        <v>0.1</v>
      </c>
      <c r="AK6015" s="1">
        <v>302150</v>
      </c>
      <c r="AL6015" t="s">
        <v>117</v>
      </c>
      <c r="AM6015" t="s">
        <v>118</v>
      </c>
      <c r="AN6015">
        <v>7630</v>
      </c>
      <c r="AO6015">
        <v>0.18</v>
      </c>
      <c r="AP6015">
        <v>1</v>
      </c>
      <c r="AR6015">
        <v>1</v>
      </c>
      <c r="AS6015" s="1">
        <v>20480</v>
      </c>
      <c r="AT6015" s="1">
        <v>4090</v>
      </c>
      <c r="AU6015" s="1">
        <v>16390</v>
      </c>
      <c r="AV6015">
        <v>80.03</v>
      </c>
      <c r="AX6015" s="1">
        <v>1538.46</v>
      </c>
      <c r="AY6015" t="s">
        <v>5615</v>
      </c>
      <c r="AZ6015" t="s">
        <v>5615</v>
      </c>
      <c r="BA6015" t="s">
        <v>635</v>
      </c>
      <c r="BB6015" s="3">
        <v>43595</v>
      </c>
      <c r="BC6015" s="1">
        <v>0</v>
      </c>
      <c r="BD6015" t="s">
        <v>247</v>
      </c>
      <c r="BE6015" s="3">
        <v>42150</v>
      </c>
      <c r="BF6015" s="1">
        <v>240000</v>
      </c>
      <c r="BG6015" t="s">
        <v>36634</v>
      </c>
      <c r="BH6015" s="1">
        <v>108.01</v>
      </c>
      <c r="BI6015" s="1">
        <v>272000</v>
      </c>
      <c r="BJ6015" s="3">
        <v>43585</v>
      </c>
      <c r="BK6015" t="s">
        <v>123</v>
      </c>
      <c r="BL6015" t="str">
        <f>"2019.306678"</f>
        <v>2019.306678</v>
      </c>
      <c r="BM6015" t="s">
        <v>6989</v>
      </c>
      <c r="BN6015" t="s">
        <v>6990</v>
      </c>
      <c r="BO6015" t="s">
        <v>36635</v>
      </c>
      <c r="BR6015" t="s">
        <v>139</v>
      </c>
      <c r="BT6015" s="1">
        <v>272000</v>
      </c>
      <c r="BU6015" s="3">
        <v>43585</v>
      </c>
      <c r="BV6015" t="s">
        <v>123</v>
      </c>
      <c r="BW6015" t="str">
        <f>"2019.306678"</f>
        <v>2019.306678</v>
      </c>
      <c r="BX6015" t="s">
        <v>6989</v>
      </c>
      <c r="BY6015" t="s">
        <v>6990</v>
      </c>
      <c r="BZ6015" t="s">
        <v>36635</v>
      </c>
      <c r="CC6015" t="s">
        <v>139</v>
      </c>
      <c r="CH6015" t="str">
        <f>""</f>
        <v/>
      </c>
      <c r="CS6015" t="str">
        <f>""</f>
        <v/>
      </c>
    </row>
    <row r="6016" spans="1:97" x14ac:dyDescent="0.25">
      <c r="A6016" t="s">
        <v>305</v>
      </c>
      <c r="B6016" t="s">
        <v>20443</v>
      </c>
      <c r="C6016" t="s">
        <v>1906</v>
      </c>
      <c r="D6016" t="s">
        <v>20443</v>
      </c>
      <c r="E6016" t="s">
        <v>36636</v>
      </c>
      <c r="F6016" t="s">
        <v>108</v>
      </c>
      <c r="H6016" t="s">
        <v>36637</v>
      </c>
      <c r="I6016" t="s">
        <v>453</v>
      </c>
      <c r="J6016" t="s">
        <v>111</v>
      </c>
      <c r="K6016" t="str">
        <f>"85345"</f>
        <v>85345</v>
      </c>
      <c r="L6016" t="s">
        <v>226</v>
      </c>
      <c r="M6016" t="s">
        <v>36637</v>
      </c>
      <c r="N6016" t="s">
        <v>453</v>
      </c>
      <c r="O6016" t="s">
        <v>111</v>
      </c>
      <c r="P6016" t="str">
        <f>"85345-8133"</f>
        <v>85345-8133</v>
      </c>
      <c r="Q6016" t="s">
        <v>113</v>
      </c>
      <c r="R6016" t="str">
        <f>"142-45-461"</f>
        <v>142-45-461</v>
      </c>
      <c r="S6016" t="s">
        <v>16387</v>
      </c>
      <c r="T6016" t="s">
        <v>16387</v>
      </c>
      <c r="U6016">
        <v>1818</v>
      </c>
      <c r="V6016">
        <v>0</v>
      </c>
      <c r="W6016">
        <v>3</v>
      </c>
      <c r="X6016">
        <v>1997</v>
      </c>
      <c r="Z6016">
        <v>1</v>
      </c>
      <c r="AA6016" t="s">
        <v>26</v>
      </c>
      <c r="AB6016">
        <v>0</v>
      </c>
      <c r="AC6016" t="s">
        <v>115</v>
      </c>
      <c r="AD6016">
        <v>3</v>
      </c>
      <c r="AE6016" t="s">
        <v>115</v>
      </c>
      <c r="AF6016">
        <v>0</v>
      </c>
      <c r="AG6016">
        <v>0</v>
      </c>
      <c r="AH6016" t="s">
        <v>116</v>
      </c>
      <c r="AI6016" s="1">
        <v>51233</v>
      </c>
      <c r="AJ6016" s="2">
        <v>0.17</v>
      </c>
      <c r="AK6016" s="1">
        <v>296393</v>
      </c>
      <c r="AL6016" t="s">
        <v>117</v>
      </c>
      <c r="AM6016" t="s">
        <v>191</v>
      </c>
      <c r="AN6016">
        <v>7479</v>
      </c>
      <c r="AO6016">
        <v>0.17</v>
      </c>
      <c r="AP6016">
        <v>1</v>
      </c>
      <c r="AR6016">
        <v>1</v>
      </c>
      <c r="AS6016" s="1">
        <v>20250</v>
      </c>
      <c r="AT6016" s="1">
        <v>4050</v>
      </c>
      <c r="AU6016" s="1">
        <v>16200</v>
      </c>
      <c r="AV6016">
        <v>80</v>
      </c>
      <c r="AX6016" s="1">
        <v>1674.98</v>
      </c>
      <c r="AY6016" t="s">
        <v>4006</v>
      </c>
      <c r="AZ6016" t="s">
        <v>4006</v>
      </c>
      <c r="BA6016" t="s">
        <v>4007</v>
      </c>
      <c r="BE6016" s="3">
        <v>42459</v>
      </c>
      <c r="BF6016" s="1">
        <v>240000</v>
      </c>
      <c r="BG6016" t="s">
        <v>36638</v>
      </c>
      <c r="BH6016" s="1">
        <v>132.01</v>
      </c>
      <c r="BI6016" s="1">
        <v>245160</v>
      </c>
      <c r="BJ6016" s="3">
        <v>42459</v>
      </c>
      <c r="BK6016" t="s">
        <v>123</v>
      </c>
      <c r="BL6016" t="str">
        <f>"2016.205615"</f>
        <v>2016.205615</v>
      </c>
      <c r="BM6016" t="s">
        <v>135</v>
      </c>
      <c r="BO6016" t="s">
        <v>36639</v>
      </c>
      <c r="BS6016">
        <v>30</v>
      </c>
      <c r="BW6016" t="str">
        <f>""</f>
        <v/>
      </c>
      <c r="CH6016" t="str">
        <f>""</f>
        <v/>
      </c>
      <c r="CS6016" t="str">
        <f>""</f>
        <v/>
      </c>
    </row>
    <row r="6017" spans="1:97" x14ac:dyDescent="0.25">
      <c r="A6017" t="s">
        <v>713</v>
      </c>
      <c r="B6017" t="s">
        <v>36640</v>
      </c>
      <c r="C6017" t="s">
        <v>2374</v>
      </c>
      <c r="D6017" t="s">
        <v>36640</v>
      </c>
      <c r="E6017" t="s">
        <v>36641</v>
      </c>
      <c r="F6017" t="s">
        <v>108</v>
      </c>
      <c r="H6017" t="s">
        <v>36642</v>
      </c>
      <c r="I6017" t="s">
        <v>167</v>
      </c>
      <c r="J6017" t="s">
        <v>111</v>
      </c>
      <c r="K6017" t="str">
        <f>"85339"</f>
        <v>85339</v>
      </c>
      <c r="L6017" t="s">
        <v>1789</v>
      </c>
      <c r="M6017" t="s">
        <v>36642</v>
      </c>
      <c r="N6017" t="s">
        <v>167</v>
      </c>
      <c r="O6017" t="s">
        <v>111</v>
      </c>
      <c r="P6017" t="str">
        <f>"85339-9619"</f>
        <v>85339-9619</v>
      </c>
      <c r="Q6017" t="s">
        <v>113</v>
      </c>
      <c r="R6017" t="str">
        <f>"104-82-015"</f>
        <v>104-82-015</v>
      </c>
      <c r="U6017">
        <v>2488</v>
      </c>
      <c r="V6017">
        <v>0</v>
      </c>
      <c r="W6017">
        <v>3</v>
      </c>
      <c r="X6017">
        <v>1987</v>
      </c>
      <c r="Z6017">
        <v>1</v>
      </c>
      <c r="AA6017" t="s">
        <v>26</v>
      </c>
      <c r="AB6017">
        <v>0</v>
      </c>
      <c r="AC6017" t="s">
        <v>115</v>
      </c>
      <c r="AD6017">
        <v>2</v>
      </c>
      <c r="AE6017" t="s">
        <v>115</v>
      </c>
      <c r="AF6017">
        <v>0</v>
      </c>
      <c r="AG6017">
        <v>0</v>
      </c>
      <c r="AH6017" t="s">
        <v>116</v>
      </c>
      <c r="AI6017" s="1">
        <v>146484</v>
      </c>
      <c r="AJ6017" s="2">
        <v>0.32</v>
      </c>
      <c r="AK6017" s="1">
        <v>463384</v>
      </c>
      <c r="AL6017" t="s">
        <v>117</v>
      </c>
      <c r="AM6017" t="s">
        <v>376</v>
      </c>
      <c r="AN6017">
        <v>58327</v>
      </c>
      <c r="AO6017">
        <v>1.34</v>
      </c>
      <c r="AP6017">
        <v>1</v>
      </c>
      <c r="AR6017">
        <v>1</v>
      </c>
      <c r="AS6017" s="1">
        <v>38210</v>
      </c>
      <c r="AT6017" s="1">
        <v>7640</v>
      </c>
      <c r="AU6017" s="1">
        <v>30570</v>
      </c>
      <c r="AV6017">
        <v>80.010000000000005</v>
      </c>
      <c r="AX6017" s="1">
        <v>3953.7</v>
      </c>
      <c r="AY6017" t="s">
        <v>172</v>
      </c>
      <c r="AZ6017" t="s">
        <v>172</v>
      </c>
      <c r="BA6017" t="s">
        <v>173</v>
      </c>
      <c r="BE6017" s="3">
        <v>42216</v>
      </c>
      <c r="BF6017" s="1">
        <v>316000</v>
      </c>
      <c r="BG6017" t="s">
        <v>36643</v>
      </c>
      <c r="BH6017" s="1">
        <v>127.01</v>
      </c>
      <c r="BI6017" s="1">
        <v>316900</v>
      </c>
      <c r="BJ6017" s="3">
        <v>42216</v>
      </c>
      <c r="BK6017" t="s">
        <v>123</v>
      </c>
      <c r="BL6017" t="str">
        <f>"2015.558914"</f>
        <v>2015.558914</v>
      </c>
      <c r="BM6017" t="s">
        <v>724</v>
      </c>
      <c r="BO6017" t="s">
        <v>36644</v>
      </c>
      <c r="BS6017">
        <v>30</v>
      </c>
      <c r="BW6017" t="str">
        <f>""</f>
        <v/>
      </c>
      <c r="CH6017" t="str">
        <f>""</f>
        <v/>
      </c>
      <c r="CS6017" t="str">
        <f>""</f>
        <v/>
      </c>
    </row>
    <row r="6018" spans="1:97" x14ac:dyDescent="0.25">
      <c r="A6018" t="s">
        <v>36645</v>
      </c>
      <c r="B6018" t="s">
        <v>36646</v>
      </c>
      <c r="C6018" t="s">
        <v>179</v>
      </c>
      <c r="D6018" t="s">
        <v>36646</v>
      </c>
      <c r="E6018" t="s">
        <v>36647</v>
      </c>
      <c r="F6018" t="s">
        <v>108</v>
      </c>
      <c r="H6018" t="s">
        <v>36648</v>
      </c>
      <c r="I6018" t="s">
        <v>632</v>
      </c>
      <c r="J6018" t="s">
        <v>111</v>
      </c>
      <c r="K6018" t="str">
        <f>"85379"</f>
        <v>85379</v>
      </c>
      <c r="L6018" t="s">
        <v>7109</v>
      </c>
      <c r="M6018" t="s">
        <v>36648</v>
      </c>
      <c r="N6018" t="s">
        <v>632</v>
      </c>
      <c r="O6018" t="s">
        <v>111</v>
      </c>
      <c r="P6018" t="str">
        <f>"85379-4455"</f>
        <v>85379-4455</v>
      </c>
      <c r="Q6018" t="s">
        <v>113</v>
      </c>
      <c r="R6018" t="str">
        <f>"509-15-280"</f>
        <v>509-15-280</v>
      </c>
      <c r="S6018" t="s">
        <v>7110</v>
      </c>
      <c r="U6018">
        <v>3064</v>
      </c>
      <c r="V6018">
        <v>0</v>
      </c>
      <c r="W6018">
        <v>3</v>
      </c>
      <c r="X6018">
        <v>2006</v>
      </c>
      <c r="Z6018">
        <v>2</v>
      </c>
      <c r="AB6018">
        <v>0</v>
      </c>
      <c r="AC6018" t="s">
        <v>115</v>
      </c>
      <c r="AD6018">
        <v>3</v>
      </c>
      <c r="AE6018" t="s">
        <v>115</v>
      </c>
      <c r="AF6018">
        <v>0</v>
      </c>
      <c r="AG6018">
        <v>0</v>
      </c>
      <c r="AH6018" t="s">
        <v>116</v>
      </c>
      <c r="AI6018" s="1">
        <v>114817</v>
      </c>
      <c r="AJ6018" s="2">
        <v>0.35</v>
      </c>
      <c r="AK6018" s="1">
        <v>330516</v>
      </c>
      <c r="AL6018" t="s">
        <v>117</v>
      </c>
      <c r="AM6018" t="s">
        <v>118</v>
      </c>
      <c r="AN6018">
        <v>6600</v>
      </c>
      <c r="AO6018">
        <v>0.15</v>
      </c>
      <c r="AR6018">
        <v>1</v>
      </c>
      <c r="AS6018" s="1">
        <v>22710</v>
      </c>
      <c r="AT6018" s="1">
        <v>4540</v>
      </c>
      <c r="AU6018" s="1">
        <v>18170</v>
      </c>
      <c r="AV6018">
        <v>80.010000000000005</v>
      </c>
      <c r="AX6018" s="1">
        <v>2217.04</v>
      </c>
      <c r="AY6018" t="s">
        <v>5615</v>
      </c>
      <c r="AZ6018" t="s">
        <v>5615</v>
      </c>
      <c r="BA6018" t="s">
        <v>635</v>
      </c>
      <c r="BE6018" s="3">
        <v>41963</v>
      </c>
      <c r="BF6018" s="1">
        <v>239000</v>
      </c>
      <c r="BG6018" t="s">
        <v>36649</v>
      </c>
      <c r="BH6018" s="1">
        <v>78</v>
      </c>
      <c r="BI6018" s="1">
        <v>215699</v>
      </c>
      <c r="BJ6018" s="3">
        <v>42674</v>
      </c>
      <c r="BK6018" t="s">
        <v>123</v>
      </c>
      <c r="BL6018" t="str">
        <f>"2016.799309"</f>
        <v>2016.799309</v>
      </c>
      <c r="BM6018" t="s">
        <v>724</v>
      </c>
      <c r="BO6018" t="s">
        <v>36650</v>
      </c>
      <c r="BS6018">
        <v>30</v>
      </c>
      <c r="BW6018" t="str">
        <f>""</f>
        <v/>
      </c>
      <c r="CH6018" t="str">
        <f>""</f>
        <v/>
      </c>
      <c r="CS6018" t="str">
        <f>""</f>
        <v/>
      </c>
    </row>
    <row r="6019" spans="1:97" x14ac:dyDescent="0.25">
      <c r="A6019" t="s">
        <v>695</v>
      </c>
      <c r="B6019" t="s">
        <v>36651</v>
      </c>
      <c r="C6019" t="s">
        <v>355</v>
      </c>
      <c r="D6019" t="s">
        <v>36651</v>
      </c>
      <c r="E6019" t="s">
        <v>36652</v>
      </c>
      <c r="F6019" t="s">
        <v>108</v>
      </c>
      <c r="H6019" t="s">
        <v>36653</v>
      </c>
      <c r="I6019" t="s">
        <v>144</v>
      </c>
      <c r="J6019" t="s">
        <v>111</v>
      </c>
      <c r="K6019" t="str">
        <f>"85396"</f>
        <v>85396</v>
      </c>
      <c r="L6019" t="s">
        <v>541</v>
      </c>
      <c r="M6019" t="s">
        <v>36653</v>
      </c>
      <c r="N6019" t="s">
        <v>144</v>
      </c>
      <c r="O6019" t="s">
        <v>111</v>
      </c>
      <c r="P6019" t="str">
        <f>"85396-7567"</f>
        <v>85396-7567</v>
      </c>
      <c r="Q6019" t="s">
        <v>113</v>
      </c>
      <c r="R6019" t="str">
        <f>"502-77-254"</f>
        <v>502-77-254</v>
      </c>
      <c r="S6019" t="s">
        <v>36654</v>
      </c>
      <c r="U6019">
        <v>2588</v>
      </c>
      <c r="V6019">
        <v>0</v>
      </c>
      <c r="W6019">
        <v>4</v>
      </c>
      <c r="X6019">
        <v>2009</v>
      </c>
      <c r="Z6019">
        <v>1</v>
      </c>
      <c r="AB6019">
        <v>0</v>
      </c>
      <c r="AC6019" t="s">
        <v>115</v>
      </c>
      <c r="AD6019">
        <v>3</v>
      </c>
      <c r="AE6019" t="s">
        <v>115</v>
      </c>
      <c r="AF6019">
        <v>0</v>
      </c>
      <c r="AG6019">
        <v>0</v>
      </c>
      <c r="AH6019" t="s">
        <v>116</v>
      </c>
      <c r="AI6019" s="1">
        <v>83847</v>
      </c>
      <c r="AJ6019" s="2">
        <v>0.22</v>
      </c>
      <c r="AK6019" s="1">
        <v>380082</v>
      </c>
      <c r="AL6019" t="s">
        <v>117</v>
      </c>
      <c r="AM6019" t="s">
        <v>118</v>
      </c>
      <c r="AN6019">
        <v>7150</v>
      </c>
      <c r="AO6019">
        <v>0.16</v>
      </c>
      <c r="AR6019">
        <v>1</v>
      </c>
      <c r="AS6019" s="1">
        <v>24370</v>
      </c>
      <c r="AT6019" s="1">
        <v>4870</v>
      </c>
      <c r="AU6019" s="1">
        <v>19500</v>
      </c>
      <c r="AV6019">
        <v>80.02</v>
      </c>
      <c r="AX6019" s="1">
        <v>3636.94</v>
      </c>
      <c r="AY6019" t="s">
        <v>543</v>
      </c>
      <c r="AZ6019" t="s">
        <v>504</v>
      </c>
      <c r="BA6019" t="s">
        <v>218</v>
      </c>
      <c r="BE6019" s="3">
        <v>41663</v>
      </c>
      <c r="BF6019" s="1">
        <v>290000</v>
      </c>
      <c r="BG6019" t="s">
        <v>36655</v>
      </c>
      <c r="BH6019" s="1">
        <v>112.06</v>
      </c>
      <c r="BI6019" s="1">
        <v>296235</v>
      </c>
      <c r="BJ6019" s="3">
        <v>41663</v>
      </c>
      <c r="BK6019" t="s">
        <v>123</v>
      </c>
      <c r="BL6019" t="str">
        <f>"2014.49138"</f>
        <v>2014.49138</v>
      </c>
      <c r="BM6019" t="s">
        <v>724</v>
      </c>
      <c r="BO6019" t="s">
        <v>36656</v>
      </c>
      <c r="BS6019">
        <v>30</v>
      </c>
      <c r="BW6019" t="str">
        <f>""</f>
        <v/>
      </c>
      <c r="CH6019" t="str">
        <f>""</f>
        <v/>
      </c>
      <c r="CS6019" t="str">
        <f>""</f>
        <v/>
      </c>
    </row>
    <row r="6020" spans="1:97" x14ac:dyDescent="0.25">
      <c r="A6020" t="s">
        <v>703</v>
      </c>
      <c r="B6020" t="s">
        <v>26451</v>
      </c>
      <c r="C6020" t="s">
        <v>370</v>
      </c>
      <c r="D6020" t="s">
        <v>26451</v>
      </c>
      <c r="E6020" t="s">
        <v>36657</v>
      </c>
      <c r="F6020" t="s">
        <v>108</v>
      </c>
      <c r="H6020" t="s">
        <v>36658</v>
      </c>
      <c r="I6020" t="s">
        <v>225</v>
      </c>
      <c r="J6020" t="s">
        <v>111</v>
      </c>
      <c r="K6020" t="str">
        <f>"85215"</f>
        <v>85215</v>
      </c>
      <c r="L6020" t="s">
        <v>3318</v>
      </c>
      <c r="M6020" t="s">
        <v>36658</v>
      </c>
      <c r="N6020" t="s">
        <v>225</v>
      </c>
      <c r="O6020" t="s">
        <v>111</v>
      </c>
      <c r="P6020" t="str">
        <f>"85215-9635"</f>
        <v>85215-9635</v>
      </c>
      <c r="Q6020" t="s">
        <v>113</v>
      </c>
      <c r="R6020" t="str">
        <f>"141-70-099"</f>
        <v>141-70-099</v>
      </c>
      <c r="S6020" t="s">
        <v>14217</v>
      </c>
      <c r="T6020" t="s">
        <v>14218</v>
      </c>
      <c r="U6020">
        <v>2075</v>
      </c>
      <c r="V6020">
        <v>0</v>
      </c>
      <c r="W6020">
        <v>3</v>
      </c>
      <c r="X6020">
        <v>1991</v>
      </c>
      <c r="Z6020">
        <v>1</v>
      </c>
      <c r="AA6020" t="s">
        <v>26</v>
      </c>
      <c r="AB6020">
        <v>0</v>
      </c>
      <c r="AC6020" t="s">
        <v>115</v>
      </c>
      <c r="AD6020">
        <v>3</v>
      </c>
      <c r="AE6020" t="s">
        <v>115</v>
      </c>
      <c r="AF6020">
        <v>0</v>
      </c>
      <c r="AG6020">
        <v>0</v>
      </c>
      <c r="AH6020" t="s">
        <v>116</v>
      </c>
      <c r="AI6020" s="1">
        <v>89112</v>
      </c>
      <c r="AJ6020" s="2">
        <v>0.22</v>
      </c>
      <c r="AK6020" s="1">
        <v>405210</v>
      </c>
      <c r="AL6020" t="s">
        <v>117</v>
      </c>
      <c r="AM6020" t="s">
        <v>917</v>
      </c>
      <c r="AN6020">
        <v>8960</v>
      </c>
      <c r="AO6020">
        <v>0.21</v>
      </c>
      <c r="AP6020">
        <v>1</v>
      </c>
      <c r="AR6020">
        <v>1</v>
      </c>
      <c r="AS6020" s="1">
        <v>29270</v>
      </c>
      <c r="AT6020" s="1">
        <v>5850</v>
      </c>
      <c r="AU6020" s="1">
        <v>23420</v>
      </c>
      <c r="AV6020">
        <v>80.010000000000005</v>
      </c>
      <c r="AX6020" s="1">
        <v>2760.64</v>
      </c>
      <c r="AY6020" t="s">
        <v>6662</v>
      </c>
      <c r="AZ6020" t="s">
        <v>5275</v>
      </c>
      <c r="BA6020" t="s">
        <v>3119</v>
      </c>
      <c r="BE6020" s="3">
        <v>42244</v>
      </c>
      <c r="BF6020" s="1">
        <v>330000</v>
      </c>
      <c r="BG6020" t="s">
        <v>36659</v>
      </c>
      <c r="BH6020" s="1">
        <v>159.04</v>
      </c>
      <c r="BI6020" s="1">
        <v>316098</v>
      </c>
      <c r="BJ6020" s="3">
        <v>43073</v>
      </c>
      <c r="BK6020" t="s">
        <v>123</v>
      </c>
      <c r="BL6020" t="str">
        <f>"2017.896053"</f>
        <v>2017.896053</v>
      </c>
      <c r="BM6020" t="s">
        <v>36660</v>
      </c>
      <c r="BO6020" t="s">
        <v>36661</v>
      </c>
      <c r="BS6020">
        <v>5</v>
      </c>
      <c r="BW6020" t="str">
        <f>""</f>
        <v/>
      </c>
      <c r="CH6020" t="str">
        <f>""</f>
        <v/>
      </c>
      <c r="CS6020" t="str">
        <f>""</f>
        <v/>
      </c>
    </row>
    <row r="6021" spans="1:97" x14ac:dyDescent="0.25">
      <c r="A6021" t="s">
        <v>603</v>
      </c>
      <c r="B6021" t="s">
        <v>9706</v>
      </c>
      <c r="C6021" t="s">
        <v>30534</v>
      </c>
      <c r="D6021" t="s">
        <v>9706</v>
      </c>
      <c r="E6021" t="s">
        <v>36662</v>
      </c>
      <c r="F6021" t="s">
        <v>108</v>
      </c>
      <c r="H6021" t="s">
        <v>36663</v>
      </c>
      <c r="I6021" t="s">
        <v>2874</v>
      </c>
      <c r="J6021" t="s">
        <v>111</v>
      </c>
      <c r="K6021" t="str">
        <f>"85310"</f>
        <v>85310</v>
      </c>
      <c r="L6021" t="s">
        <v>5990</v>
      </c>
      <c r="M6021" t="s">
        <v>36663</v>
      </c>
      <c r="N6021" t="s">
        <v>2874</v>
      </c>
      <c r="O6021" t="s">
        <v>111</v>
      </c>
      <c r="P6021" t="str">
        <f>"85310-4263"</f>
        <v>85310-4263</v>
      </c>
      <c r="Q6021" t="s">
        <v>113</v>
      </c>
      <c r="R6021" t="str">
        <f>"200-05-260"</f>
        <v>200-05-260</v>
      </c>
      <c r="S6021" t="s">
        <v>7453</v>
      </c>
      <c r="T6021" t="s">
        <v>7454</v>
      </c>
      <c r="U6021">
        <v>3169</v>
      </c>
      <c r="V6021">
        <v>0</v>
      </c>
      <c r="W6021">
        <v>5</v>
      </c>
      <c r="X6021">
        <v>1994</v>
      </c>
      <c r="Z6021">
        <v>2</v>
      </c>
      <c r="AA6021" t="s">
        <v>26</v>
      </c>
      <c r="AB6021">
        <v>0</v>
      </c>
      <c r="AC6021" t="s">
        <v>115</v>
      </c>
      <c r="AD6021">
        <v>3</v>
      </c>
      <c r="AE6021" t="s">
        <v>115</v>
      </c>
      <c r="AF6021">
        <v>0</v>
      </c>
      <c r="AG6021">
        <v>0</v>
      </c>
      <c r="AH6021" t="s">
        <v>116</v>
      </c>
      <c r="AI6021" s="1">
        <v>75054</v>
      </c>
      <c r="AJ6021" s="2">
        <v>0.15</v>
      </c>
      <c r="AK6021" s="1">
        <v>484380</v>
      </c>
      <c r="AL6021" t="s">
        <v>117</v>
      </c>
      <c r="AM6021" t="s">
        <v>393</v>
      </c>
      <c r="AN6021">
        <v>8541</v>
      </c>
      <c r="AO6021">
        <v>0.2</v>
      </c>
      <c r="AP6021">
        <v>1</v>
      </c>
      <c r="AR6021">
        <v>1</v>
      </c>
      <c r="AS6021" s="1">
        <v>36080</v>
      </c>
      <c r="AT6021" s="1">
        <v>7210</v>
      </c>
      <c r="AU6021" s="1">
        <v>28870</v>
      </c>
      <c r="AV6021">
        <v>80.02</v>
      </c>
      <c r="AX6021" s="1">
        <v>3862.78</v>
      </c>
      <c r="AY6021" t="s">
        <v>7455</v>
      </c>
      <c r="AZ6021" t="s">
        <v>3049</v>
      </c>
      <c r="BA6021" t="s">
        <v>2223</v>
      </c>
      <c r="BE6021" s="3">
        <v>42353</v>
      </c>
      <c r="BF6021" s="1">
        <v>396250</v>
      </c>
      <c r="BG6021" t="s">
        <v>36664</v>
      </c>
      <c r="BH6021" s="1">
        <v>125.04</v>
      </c>
      <c r="BI6021" s="1">
        <v>409326</v>
      </c>
      <c r="BJ6021" s="3">
        <v>42353</v>
      </c>
      <c r="BK6021" t="s">
        <v>123</v>
      </c>
      <c r="BL6021" t="str">
        <f>"2015.884888"</f>
        <v>2015.884888</v>
      </c>
      <c r="BM6021" t="s">
        <v>2716</v>
      </c>
      <c r="BO6021" t="s">
        <v>36665</v>
      </c>
      <c r="BS6021">
        <v>30</v>
      </c>
      <c r="BW6021" t="str">
        <f>""</f>
        <v/>
      </c>
      <c r="CH6021" t="str">
        <f>""</f>
        <v/>
      </c>
      <c r="CS6021" t="str">
        <f>""</f>
        <v/>
      </c>
    </row>
    <row r="6022" spans="1:97" x14ac:dyDescent="0.25">
      <c r="B6022" t="s">
        <v>36666</v>
      </c>
      <c r="E6022" t="s">
        <v>7465</v>
      </c>
      <c r="F6022" t="s">
        <v>108</v>
      </c>
      <c r="H6022" t="s">
        <v>36667</v>
      </c>
      <c r="I6022" t="s">
        <v>632</v>
      </c>
      <c r="J6022" t="s">
        <v>111</v>
      </c>
      <c r="K6022" t="str">
        <f>"85374"</f>
        <v>85374</v>
      </c>
      <c r="L6022" t="s">
        <v>5910</v>
      </c>
      <c r="M6022" t="s">
        <v>36667</v>
      </c>
      <c r="N6022" t="s">
        <v>632</v>
      </c>
      <c r="O6022" t="s">
        <v>111</v>
      </c>
      <c r="P6022" t="str">
        <f>"85374-2035"</f>
        <v>85374-2035</v>
      </c>
      <c r="Q6022" t="s">
        <v>113</v>
      </c>
      <c r="R6022" t="str">
        <f>"232-41-127"</f>
        <v>232-41-127</v>
      </c>
      <c r="S6022" t="s">
        <v>36668</v>
      </c>
      <c r="T6022" t="s">
        <v>36668</v>
      </c>
      <c r="U6022">
        <v>2312</v>
      </c>
      <c r="V6022">
        <v>0</v>
      </c>
      <c r="W6022">
        <v>3</v>
      </c>
      <c r="X6022">
        <v>2001</v>
      </c>
      <c r="Z6022">
        <v>1</v>
      </c>
      <c r="AB6022">
        <v>0</v>
      </c>
      <c r="AC6022" t="s">
        <v>115</v>
      </c>
      <c r="AD6022">
        <v>2</v>
      </c>
      <c r="AE6022" t="s">
        <v>115</v>
      </c>
      <c r="AF6022">
        <v>0</v>
      </c>
      <c r="AG6022">
        <v>0</v>
      </c>
      <c r="AH6022" t="s">
        <v>116</v>
      </c>
      <c r="AI6022" s="1">
        <v>157209</v>
      </c>
      <c r="AJ6022" s="2">
        <v>0.33</v>
      </c>
      <c r="AK6022" s="1">
        <v>477209</v>
      </c>
      <c r="AL6022" t="s">
        <v>117</v>
      </c>
      <c r="AM6022" t="s">
        <v>118</v>
      </c>
      <c r="AN6022">
        <v>8946</v>
      </c>
      <c r="AO6022">
        <v>0.2</v>
      </c>
      <c r="AP6022">
        <v>1</v>
      </c>
      <c r="AR6022">
        <v>1</v>
      </c>
      <c r="AS6022" s="1">
        <v>35380</v>
      </c>
      <c r="AT6022" s="1">
        <v>7070</v>
      </c>
      <c r="AU6022" s="1">
        <v>28310</v>
      </c>
      <c r="AV6022">
        <v>80.02</v>
      </c>
      <c r="AX6022" s="1">
        <v>3710.4</v>
      </c>
      <c r="AY6022" t="s">
        <v>5108</v>
      </c>
      <c r="AZ6022" t="s">
        <v>5108</v>
      </c>
      <c r="BA6022" t="s">
        <v>5109</v>
      </c>
      <c r="BB6022" s="3">
        <v>42611</v>
      </c>
      <c r="BD6022" t="s">
        <v>480</v>
      </c>
      <c r="BE6022" s="3">
        <v>42053</v>
      </c>
      <c r="BF6022" s="1">
        <v>400000</v>
      </c>
      <c r="BG6022" t="s">
        <v>36669</v>
      </c>
      <c r="BH6022" s="1">
        <v>173.01</v>
      </c>
      <c r="BI6022" s="1">
        <v>320000</v>
      </c>
      <c r="BJ6022" s="3">
        <v>42053</v>
      </c>
      <c r="BK6022" t="s">
        <v>123</v>
      </c>
      <c r="BL6022" t="str">
        <f>"2015.104385"</f>
        <v>2015.104385</v>
      </c>
      <c r="BM6022" t="s">
        <v>124</v>
      </c>
      <c r="BO6022" t="s">
        <v>36670</v>
      </c>
      <c r="BS6022">
        <v>30</v>
      </c>
      <c r="BW6022" t="str">
        <f>""</f>
        <v/>
      </c>
      <c r="CH6022" t="str">
        <f>""</f>
        <v/>
      </c>
      <c r="CS6022" t="str">
        <f>""</f>
        <v/>
      </c>
    </row>
    <row r="6023" spans="1:97" x14ac:dyDescent="0.25">
      <c r="A6023" t="s">
        <v>1421</v>
      </c>
      <c r="B6023" t="s">
        <v>8713</v>
      </c>
      <c r="E6023" t="s">
        <v>36671</v>
      </c>
      <c r="F6023" t="s">
        <v>108</v>
      </c>
      <c r="H6023" t="s">
        <v>36672</v>
      </c>
      <c r="I6023" t="s">
        <v>110</v>
      </c>
      <c r="J6023" t="s">
        <v>111</v>
      </c>
      <c r="K6023" t="str">
        <f>"85286"</f>
        <v>85286</v>
      </c>
      <c r="L6023" t="s">
        <v>2220</v>
      </c>
      <c r="M6023" t="s">
        <v>36672</v>
      </c>
      <c r="N6023" t="s">
        <v>110</v>
      </c>
      <c r="O6023" t="s">
        <v>111</v>
      </c>
      <c r="P6023" t="str">
        <f>"85286-4568"</f>
        <v>85286-4568</v>
      </c>
      <c r="Q6023" t="s">
        <v>113</v>
      </c>
      <c r="R6023" t="str">
        <f>"303-34-915"</f>
        <v>303-34-915</v>
      </c>
      <c r="S6023" t="s">
        <v>14035</v>
      </c>
      <c r="T6023" t="s">
        <v>14036</v>
      </c>
      <c r="U6023">
        <v>1620</v>
      </c>
      <c r="V6023">
        <v>0</v>
      </c>
      <c r="W6023">
        <v>3</v>
      </c>
      <c r="X6023">
        <v>2000</v>
      </c>
      <c r="Z6023">
        <v>1</v>
      </c>
      <c r="AA6023" t="s">
        <v>26</v>
      </c>
      <c r="AB6023">
        <v>0</v>
      </c>
      <c r="AC6023" t="s">
        <v>115</v>
      </c>
      <c r="AD6023">
        <v>3</v>
      </c>
      <c r="AE6023" t="s">
        <v>115</v>
      </c>
      <c r="AF6023">
        <v>0</v>
      </c>
      <c r="AG6023">
        <v>0</v>
      </c>
      <c r="AH6023" t="s">
        <v>116</v>
      </c>
      <c r="AI6023" s="1">
        <v>40399</v>
      </c>
      <c r="AJ6023" s="2">
        <v>0.11</v>
      </c>
      <c r="AK6023" s="1">
        <v>365265</v>
      </c>
      <c r="AL6023" t="s">
        <v>117</v>
      </c>
      <c r="AM6023" t="s">
        <v>118</v>
      </c>
      <c r="AN6023">
        <v>7605</v>
      </c>
      <c r="AO6023">
        <v>0.18</v>
      </c>
      <c r="AP6023">
        <v>1</v>
      </c>
      <c r="AR6023">
        <v>1</v>
      </c>
      <c r="AS6023" s="1">
        <v>25900</v>
      </c>
      <c r="AT6023" s="1">
        <v>5180</v>
      </c>
      <c r="AU6023" s="1">
        <v>20720</v>
      </c>
      <c r="AV6023">
        <v>80</v>
      </c>
      <c r="AX6023" s="1">
        <v>2354.96</v>
      </c>
      <c r="AY6023" t="s">
        <v>14037</v>
      </c>
      <c r="AZ6023" t="s">
        <v>1882</v>
      </c>
      <c r="BA6023" t="s">
        <v>121</v>
      </c>
      <c r="BE6023" s="3">
        <v>42160</v>
      </c>
      <c r="BF6023" s="1">
        <v>315000</v>
      </c>
      <c r="BG6023" t="s">
        <v>36673</v>
      </c>
      <c r="BH6023" s="1">
        <v>194.44</v>
      </c>
      <c r="BI6023" s="1">
        <v>324866</v>
      </c>
      <c r="BJ6023" s="3">
        <v>42580</v>
      </c>
      <c r="BK6023" t="s">
        <v>123</v>
      </c>
      <c r="BL6023" t="str">
        <f>"2016.538462"</f>
        <v>2016.538462</v>
      </c>
      <c r="BM6023" t="s">
        <v>248</v>
      </c>
      <c r="BO6023" t="s">
        <v>36674</v>
      </c>
      <c r="BS6023">
        <v>30</v>
      </c>
      <c r="BW6023" t="str">
        <f>""</f>
        <v/>
      </c>
      <c r="CH6023" t="str">
        <f>""</f>
        <v/>
      </c>
      <c r="CS6023" t="str">
        <f>""</f>
        <v/>
      </c>
    </row>
    <row r="6024" spans="1:97" x14ac:dyDescent="0.25">
      <c r="A6024" t="s">
        <v>328</v>
      </c>
      <c r="B6024" t="s">
        <v>8207</v>
      </c>
      <c r="C6024" t="s">
        <v>35347</v>
      </c>
      <c r="D6024" t="s">
        <v>8207</v>
      </c>
      <c r="E6024" t="s">
        <v>36675</v>
      </c>
      <c r="F6024" t="s">
        <v>108</v>
      </c>
      <c r="H6024" t="s">
        <v>36676</v>
      </c>
      <c r="I6024" t="s">
        <v>453</v>
      </c>
      <c r="J6024" t="s">
        <v>111</v>
      </c>
      <c r="K6024" t="str">
        <f>"85383"</f>
        <v>85383</v>
      </c>
      <c r="L6024" t="s">
        <v>454</v>
      </c>
      <c r="M6024" t="s">
        <v>36676</v>
      </c>
      <c r="N6024" t="s">
        <v>453</v>
      </c>
      <c r="O6024" t="s">
        <v>111</v>
      </c>
      <c r="P6024" t="str">
        <f>"85383-8043"</f>
        <v>85383-8043</v>
      </c>
      <c r="Q6024" t="s">
        <v>113</v>
      </c>
      <c r="R6024" t="str">
        <f>"503-81-343"</f>
        <v>503-81-343</v>
      </c>
      <c r="S6024" t="s">
        <v>14111</v>
      </c>
      <c r="U6024">
        <v>2410</v>
      </c>
      <c r="V6024">
        <v>0</v>
      </c>
      <c r="W6024">
        <v>4</v>
      </c>
      <c r="X6024">
        <v>2014</v>
      </c>
      <c r="Z6024">
        <v>2</v>
      </c>
      <c r="AB6024">
        <v>0</v>
      </c>
      <c r="AC6024" t="s">
        <v>115</v>
      </c>
      <c r="AD6024">
        <v>3</v>
      </c>
      <c r="AE6024" t="s">
        <v>115</v>
      </c>
      <c r="AF6024">
        <v>0</v>
      </c>
      <c r="AG6024">
        <v>0</v>
      </c>
      <c r="AH6024" t="s">
        <v>116</v>
      </c>
      <c r="AI6024" s="1">
        <v>59546</v>
      </c>
      <c r="AJ6024" s="2">
        <v>0.16</v>
      </c>
      <c r="AK6024" s="1">
        <v>374611</v>
      </c>
      <c r="AL6024" t="s">
        <v>117</v>
      </c>
      <c r="AM6024" t="s">
        <v>118</v>
      </c>
      <c r="AN6024">
        <v>6095</v>
      </c>
      <c r="AO6024">
        <v>0.14000000000000001</v>
      </c>
      <c r="AR6024">
        <v>1</v>
      </c>
      <c r="AS6024" s="1">
        <v>25960</v>
      </c>
      <c r="AT6024" s="1">
        <v>5190</v>
      </c>
      <c r="AU6024" s="1">
        <v>20770</v>
      </c>
      <c r="AV6024">
        <v>80.010000000000005</v>
      </c>
      <c r="AX6024" s="1">
        <v>2646.1</v>
      </c>
      <c r="AY6024" t="s">
        <v>456</v>
      </c>
      <c r="AZ6024" t="s">
        <v>456</v>
      </c>
      <c r="BA6024" t="s">
        <v>457</v>
      </c>
      <c r="BE6024" s="3">
        <v>42080</v>
      </c>
      <c r="BF6024" s="1">
        <v>288686</v>
      </c>
      <c r="BG6024" t="s">
        <v>973</v>
      </c>
      <c r="BH6024" s="1">
        <v>119.79</v>
      </c>
      <c r="BI6024" s="1">
        <v>315065</v>
      </c>
      <c r="BJ6024" s="3">
        <v>42726</v>
      </c>
      <c r="BK6024" t="s">
        <v>123</v>
      </c>
      <c r="BL6024" t="str">
        <f>"2016.942587"</f>
        <v>2016.942587</v>
      </c>
      <c r="BM6024" t="s">
        <v>402</v>
      </c>
      <c r="BO6024" t="s">
        <v>36677</v>
      </c>
      <c r="BS6024">
        <v>30</v>
      </c>
      <c r="BW6024" t="str">
        <f>""</f>
        <v/>
      </c>
      <c r="CH6024" t="str">
        <f>""</f>
        <v/>
      </c>
      <c r="CS6024" t="str">
        <f>""</f>
        <v/>
      </c>
    </row>
    <row r="6025" spans="1:97" x14ac:dyDescent="0.25">
      <c r="A6025" t="s">
        <v>1308</v>
      </c>
      <c r="B6025" t="s">
        <v>6396</v>
      </c>
      <c r="C6025" t="s">
        <v>1047</v>
      </c>
      <c r="D6025" t="s">
        <v>6396</v>
      </c>
      <c r="E6025" t="s">
        <v>36678</v>
      </c>
      <c r="F6025" t="s">
        <v>108</v>
      </c>
      <c r="H6025" t="s">
        <v>36679</v>
      </c>
      <c r="I6025" t="s">
        <v>203</v>
      </c>
      <c r="J6025" t="s">
        <v>111</v>
      </c>
      <c r="K6025" t="str">
        <f>"85297"</f>
        <v>85297</v>
      </c>
      <c r="L6025" t="s">
        <v>299</v>
      </c>
      <c r="M6025" t="s">
        <v>36679</v>
      </c>
      <c r="N6025" t="s">
        <v>203</v>
      </c>
      <c r="O6025" t="s">
        <v>111</v>
      </c>
      <c r="P6025" t="str">
        <f>"85297-6872"</f>
        <v>85297-6872</v>
      </c>
      <c r="Q6025" t="s">
        <v>113</v>
      </c>
      <c r="R6025" t="str">
        <f>"304-57-669"</f>
        <v>304-57-669</v>
      </c>
      <c r="S6025" t="s">
        <v>21281</v>
      </c>
      <c r="T6025" t="s">
        <v>21282</v>
      </c>
      <c r="U6025">
        <v>2860</v>
      </c>
      <c r="V6025">
        <v>0</v>
      </c>
      <c r="W6025">
        <v>4</v>
      </c>
      <c r="X6025">
        <v>2004</v>
      </c>
      <c r="Z6025">
        <v>1</v>
      </c>
      <c r="AA6025" t="s">
        <v>26</v>
      </c>
      <c r="AB6025">
        <v>0</v>
      </c>
      <c r="AC6025" t="s">
        <v>115</v>
      </c>
      <c r="AD6025">
        <v>3</v>
      </c>
      <c r="AE6025" t="s">
        <v>115</v>
      </c>
      <c r="AF6025">
        <v>0</v>
      </c>
      <c r="AG6025">
        <v>0</v>
      </c>
      <c r="AH6025" t="s">
        <v>116</v>
      </c>
      <c r="AI6025" s="1">
        <v>59259</v>
      </c>
      <c r="AJ6025" s="2">
        <v>0.13</v>
      </c>
      <c r="AK6025" s="1">
        <v>464709</v>
      </c>
      <c r="AL6025" t="s">
        <v>117</v>
      </c>
      <c r="AM6025" t="s">
        <v>171</v>
      </c>
      <c r="AN6025">
        <v>9000</v>
      </c>
      <c r="AO6025">
        <v>0.21</v>
      </c>
      <c r="AP6025">
        <v>1</v>
      </c>
      <c r="AR6025">
        <v>1</v>
      </c>
      <c r="AS6025" s="1">
        <v>33010</v>
      </c>
      <c r="AT6025" s="1">
        <v>6600</v>
      </c>
      <c r="AU6025" s="1">
        <v>26410</v>
      </c>
      <c r="AV6025">
        <v>80.010000000000005</v>
      </c>
      <c r="AX6025" s="1">
        <v>2786.82</v>
      </c>
      <c r="AY6025" t="s">
        <v>302</v>
      </c>
      <c r="AZ6025" t="s">
        <v>273</v>
      </c>
      <c r="BA6025" t="s">
        <v>303</v>
      </c>
      <c r="BE6025" s="3">
        <v>42262</v>
      </c>
      <c r="BF6025" s="1">
        <v>392500</v>
      </c>
      <c r="BG6025" t="s">
        <v>36680</v>
      </c>
      <c r="BH6025" s="1">
        <v>137.24</v>
      </c>
      <c r="BI6025" s="1">
        <v>405450</v>
      </c>
      <c r="BJ6025" s="3">
        <v>42262</v>
      </c>
      <c r="BK6025" t="s">
        <v>123</v>
      </c>
      <c r="BL6025" t="str">
        <f>"2015.664867"</f>
        <v>2015.664867</v>
      </c>
      <c r="BM6025" t="s">
        <v>7531</v>
      </c>
      <c r="BO6025" t="s">
        <v>36681</v>
      </c>
      <c r="BS6025">
        <v>30</v>
      </c>
      <c r="BW6025" t="str">
        <f>""</f>
        <v/>
      </c>
      <c r="CH6025" t="str">
        <f>""</f>
        <v/>
      </c>
      <c r="CS6025" t="str">
        <f>""</f>
        <v/>
      </c>
    </row>
    <row r="6026" spans="1:97" x14ac:dyDescent="0.25">
      <c r="A6026" t="s">
        <v>3089</v>
      </c>
      <c r="B6026" t="s">
        <v>4214</v>
      </c>
      <c r="E6026" t="s">
        <v>36682</v>
      </c>
      <c r="F6026" t="s">
        <v>108</v>
      </c>
      <c r="H6026" t="s">
        <v>36683</v>
      </c>
      <c r="I6026" t="s">
        <v>3150</v>
      </c>
      <c r="J6026" t="s">
        <v>111</v>
      </c>
      <c r="K6026" t="str">
        <f>"85340"</f>
        <v>85340</v>
      </c>
      <c r="L6026" t="s">
        <v>5239</v>
      </c>
      <c r="M6026" t="s">
        <v>36683</v>
      </c>
      <c r="N6026" t="s">
        <v>3150</v>
      </c>
      <c r="O6026" t="s">
        <v>111</v>
      </c>
      <c r="P6026" t="str">
        <f>"85340-9345"</f>
        <v>85340-9345</v>
      </c>
      <c r="Q6026" t="s">
        <v>113</v>
      </c>
      <c r="R6026" t="str">
        <f>"501-56-435"</f>
        <v>501-56-435</v>
      </c>
      <c r="S6026" t="s">
        <v>7397</v>
      </c>
      <c r="T6026" t="s">
        <v>7397</v>
      </c>
      <c r="U6026">
        <v>4001</v>
      </c>
      <c r="V6026">
        <v>0</v>
      </c>
      <c r="W6026">
        <v>6</v>
      </c>
      <c r="X6026">
        <v>2015</v>
      </c>
      <c r="Z6026">
        <v>1</v>
      </c>
      <c r="AA6026" t="s">
        <v>26</v>
      </c>
      <c r="AB6026">
        <v>0</v>
      </c>
      <c r="AC6026" t="s">
        <v>115</v>
      </c>
      <c r="AD6026">
        <v>3</v>
      </c>
      <c r="AE6026" t="s">
        <v>115</v>
      </c>
      <c r="AF6026">
        <v>0</v>
      </c>
      <c r="AG6026">
        <v>0</v>
      </c>
      <c r="AH6026" t="s">
        <v>116</v>
      </c>
      <c r="AI6026" s="1">
        <v>131847</v>
      </c>
      <c r="AJ6026" s="2">
        <v>0.22</v>
      </c>
      <c r="AK6026" s="1">
        <v>597122</v>
      </c>
      <c r="AL6026" t="s">
        <v>117</v>
      </c>
      <c r="AM6026" t="s">
        <v>376</v>
      </c>
      <c r="AN6026">
        <v>32743</v>
      </c>
      <c r="AO6026">
        <v>0.75</v>
      </c>
      <c r="AR6026">
        <v>1</v>
      </c>
      <c r="AS6026" s="1">
        <v>48620</v>
      </c>
      <c r="AT6026" s="1">
        <v>9720</v>
      </c>
      <c r="AU6026" s="1">
        <v>38900</v>
      </c>
      <c r="AV6026">
        <v>80.010000000000005</v>
      </c>
      <c r="AX6026" s="1">
        <v>3429.02</v>
      </c>
      <c r="AY6026" t="s">
        <v>5241</v>
      </c>
      <c r="AZ6026" t="s">
        <v>3153</v>
      </c>
      <c r="BA6026" t="s">
        <v>3154</v>
      </c>
      <c r="BE6026" s="3">
        <v>42108</v>
      </c>
      <c r="BF6026" s="1">
        <v>420354</v>
      </c>
      <c r="BG6026" t="s">
        <v>158</v>
      </c>
      <c r="BH6026" s="1">
        <v>105.06</v>
      </c>
      <c r="BI6026" s="1">
        <v>465275</v>
      </c>
      <c r="BJ6026" s="3">
        <v>42985</v>
      </c>
      <c r="BK6026" t="s">
        <v>123</v>
      </c>
      <c r="BL6026" t="str">
        <f>"2017.660588"</f>
        <v>2017.660588</v>
      </c>
      <c r="BM6026" t="s">
        <v>36684</v>
      </c>
      <c r="BO6026" t="s">
        <v>36685</v>
      </c>
      <c r="BS6026">
        <v>30</v>
      </c>
      <c r="BW6026" t="str">
        <f>""</f>
        <v/>
      </c>
      <c r="CH6026" t="str">
        <f>""</f>
        <v/>
      </c>
      <c r="CS6026" t="str">
        <f>""</f>
        <v/>
      </c>
    </row>
    <row r="6027" spans="1:97" x14ac:dyDescent="0.25">
      <c r="A6027" t="s">
        <v>12323</v>
      </c>
      <c r="B6027" t="s">
        <v>943</v>
      </c>
      <c r="C6027" t="s">
        <v>35780</v>
      </c>
      <c r="D6027" t="s">
        <v>943</v>
      </c>
      <c r="E6027" t="s">
        <v>36686</v>
      </c>
      <c r="F6027" t="s">
        <v>108</v>
      </c>
      <c r="H6027" t="s">
        <v>36687</v>
      </c>
      <c r="I6027" t="s">
        <v>225</v>
      </c>
      <c r="J6027" t="s">
        <v>111</v>
      </c>
      <c r="K6027" t="str">
        <f>"85213"</f>
        <v>85213</v>
      </c>
      <c r="L6027" t="s">
        <v>5291</v>
      </c>
      <c r="M6027" t="s">
        <v>36687</v>
      </c>
      <c r="N6027" t="s">
        <v>225</v>
      </c>
      <c r="O6027" t="s">
        <v>111</v>
      </c>
      <c r="P6027" t="str">
        <f>"85213-1819"</f>
        <v>85213-1819</v>
      </c>
      <c r="Q6027" t="s">
        <v>113</v>
      </c>
      <c r="R6027" t="str">
        <f>"141-15-534"</f>
        <v>141-15-534</v>
      </c>
      <c r="S6027" t="s">
        <v>17865</v>
      </c>
      <c r="T6027" t="s">
        <v>17866</v>
      </c>
      <c r="U6027">
        <v>2732</v>
      </c>
      <c r="V6027">
        <v>0</v>
      </c>
      <c r="W6027">
        <v>4</v>
      </c>
      <c r="X6027">
        <v>1987</v>
      </c>
      <c r="Z6027">
        <v>2</v>
      </c>
      <c r="AB6027">
        <v>0</v>
      </c>
      <c r="AC6027" t="s">
        <v>115</v>
      </c>
      <c r="AD6027">
        <v>3</v>
      </c>
      <c r="AE6027" t="s">
        <v>115</v>
      </c>
      <c r="AF6027">
        <v>0</v>
      </c>
      <c r="AG6027">
        <v>0</v>
      </c>
      <c r="AH6027" t="s">
        <v>116</v>
      </c>
      <c r="AI6027" s="1">
        <v>84603</v>
      </c>
      <c r="AJ6027" s="2">
        <v>0.22</v>
      </c>
      <c r="AK6027" s="1">
        <v>392309</v>
      </c>
      <c r="AL6027" t="s">
        <v>117</v>
      </c>
      <c r="AM6027" t="s">
        <v>917</v>
      </c>
      <c r="AN6027">
        <v>10020</v>
      </c>
      <c r="AO6027">
        <v>0.23</v>
      </c>
      <c r="AP6027">
        <v>1</v>
      </c>
      <c r="AR6027">
        <v>1</v>
      </c>
      <c r="AS6027" s="1">
        <v>28530</v>
      </c>
      <c r="AT6027" s="1">
        <v>5700</v>
      </c>
      <c r="AU6027" s="1">
        <v>22830</v>
      </c>
      <c r="AV6027">
        <v>80.02</v>
      </c>
      <c r="AX6027" s="1">
        <v>2434.92</v>
      </c>
      <c r="AY6027" t="s">
        <v>4162</v>
      </c>
      <c r="AZ6027" t="s">
        <v>4163</v>
      </c>
      <c r="BA6027" t="s">
        <v>1524</v>
      </c>
      <c r="BE6027" s="3">
        <v>41697</v>
      </c>
      <c r="BF6027" s="1">
        <v>304000</v>
      </c>
      <c r="BG6027" t="s">
        <v>36688</v>
      </c>
      <c r="BH6027" s="1">
        <v>111.27</v>
      </c>
      <c r="BI6027" s="1">
        <v>307706</v>
      </c>
      <c r="BJ6027" s="3">
        <v>42290</v>
      </c>
      <c r="BK6027" t="s">
        <v>123</v>
      </c>
      <c r="BL6027" t="str">
        <f>"2015.733251"</f>
        <v>2015.733251</v>
      </c>
      <c r="BM6027" t="s">
        <v>322</v>
      </c>
      <c r="BO6027" t="s">
        <v>36689</v>
      </c>
      <c r="BS6027">
        <v>30</v>
      </c>
      <c r="BW6027" t="str">
        <f>""</f>
        <v/>
      </c>
      <c r="CH6027" t="str">
        <f>""</f>
        <v/>
      </c>
      <c r="CS6027" t="str">
        <f>""</f>
        <v/>
      </c>
    </row>
    <row r="6028" spans="1:97" x14ac:dyDescent="0.25">
      <c r="A6028" t="s">
        <v>1344</v>
      </c>
      <c r="B6028" t="s">
        <v>8415</v>
      </c>
      <c r="E6028" t="s">
        <v>36690</v>
      </c>
      <c r="F6028" t="s">
        <v>108</v>
      </c>
      <c r="H6028" t="s">
        <v>36691</v>
      </c>
      <c r="I6028" t="s">
        <v>499</v>
      </c>
      <c r="J6028" t="s">
        <v>111</v>
      </c>
      <c r="K6028" t="str">
        <f>"85395"</f>
        <v>85395</v>
      </c>
      <c r="L6028" t="s">
        <v>5416</v>
      </c>
      <c r="M6028" t="s">
        <v>36691</v>
      </c>
      <c r="N6028" t="s">
        <v>499</v>
      </c>
      <c r="O6028" t="s">
        <v>111</v>
      </c>
      <c r="P6028" t="str">
        <f>"85395-2335"</f>
        <v>85395-2335</v>
      </c>
      <c r="Q6028" t="s">
        <v>113</v>
      </c>
      <c r="R6028" t="str">
        <f>"501-76-007"</f>
        <v>501-76-007</v>
      </c>
      <c r="S6028" t="s">
        <v>36692</v>
      </c>
      <c r="T6028" t="s">
        <v>36693</v>
      </c>
      <c r="U6028">
        <v>2380</v>
      </c>
      <c r="V6028">
        <v>0</v>
      </c>
      <c r="W6028">
        <v>4</v>
      </c>
      <c r="X6028">
        <v>2004</v>
      </c>
      <c r="Z6028">
        <v>1</v>
      </c>
      <c r="AB6028">
        <v>0</v>
      </c>
      <c r="AC6028" t="s">
        <v>115</v>
      </c>
      <c r="AD6028">
        <v>2</v>
      </c>
      <c r="AE6028" t="s">
        <v>115</v>
      </c>
      <c r="AF6028">
        <v>0</v>
      </c>
      <c r="AG6028">
        <v>0</v>
      </c>
      <c r="AH6028" t="s">
        <v>116</v>
      </c>
      <c r="AI6028" s="1">
        <v>2259</v>
      </c>
      <c r="AJ6028" s="2">
        <v>0.01</v>
      </c>
      <c r="AK6028" s="1">
        <v>350380</v>
      </c>
      <c r="AL6028" t="s">
        <v>117</v>
      </c>
      <c r="AM6028" t="s">
        <v>118</v>
      </c>
      <c r="AN6028">
        <v>9213</v>
      </c>
      <c r="AO6028">
        <v>0.21</v>
      </c>
      <c r="AP6028">
        <v>1</v>
      </c>
      <c r="AR6028">
        <v>1</v>
      </c>
      <c r="AS6028" s="1">
        <v>25000</v>
      </c>
      <c r="AT6028" s="1">
        <v>5000</v>
      </c>
      <c r="AU6028" s="1">
        <v>20000</v>
      </c>
      <c r="AV6028">
        <v>80</v>
      </c>
      <c r="AX6028" s="1">
        <v>3500.52</v>
      </c>
      <c r="AY6028" t="s">
        <v>6796</v>
      </c>
      <c r="AZ6028" t="s">
        <v>6796</v>
      </c>
      <c r="BA6028" t="s">
        <v>7186</v>
      </c>
      <c r="BB6028" s="3">
        <v>42979</v>
      </c>
      <c r="BD6028" t="s">
        <v>157</v>
      </c>
      <c r="BE6028" s="3">
        <v>41648</v>
      </c>
      <c r="BF6028" s="1">
        <v>274302</v>
      </c>
      <c r="BG6028" t="s">
        <v>36694</v>
      </c>
      <c r="BH6028" s="1">
        <v>115.25</v>
      </c>
      <c r="BI6028" s="1">
        <v>348121</v>
      </c>
      <c r="BJ6028" s="3">
        <v>42552</v>
      </c>
      <c r="BK6028" t="s">
        <v>123</v>
      </c>
      <c r="BL6028" t="str">
        <f>"2016.466596"</f>
        <v>2016.466596</v>
      </c>
      <c r="BM6028" t="s">
        <v>1319</v>
      </c>
      <c r="BN6028" t="s">
        <v>18878</v>
      </c>
      <c r="BO6028" t="s">
        <v>36695</v>
      </c>
      <c r="BP6028" t="s">
        <v>36696</v>
      </c>
      <c r="BS6028">
        <v>30</v>
      </c>
      <c r="BW6028" t="str">
        <f>""</f>
        <v/>
      </c>
      <c r="CH6028" t="str">
        <f>""</f>
        <v/>
      </c>
      <c r="CS6028" t="str">
        <f>""</f>
        <v/>
      </c>
    </row>
    <row r="6029" spans="1:97" x14ac:dyDescent="0.25">
      <c r="A6029" t="s">
        <v>10138</v>
      </c>
      <c r="B6029" t="s">
        <v>832</v>
      </c>
      <c r="C6029" t="s">
        <v>703</v>
      </c>
      <c r="D6029" t="s">
        <v>832</v>
      </c>
      <c r="E6029" t="s">
        <v>36697</v>
      </c>
      <c r="F6029" t="s">
        <v>108</v>
      </c>
      <c r="H6029" t="s">
        <v>36698</v>
      </c>
      <c r="I6029" t="s">
        <v>2874</v>
      </c>
      <c r="J6029" t="s">
        <v>111</v>
      </c>
      <c r="K6029" t="str">
        <f>"85310"</f>
        <v>85310</v>
      </c>
      <c r="L6029" t="s">
        <v>5990</v>
      </c>
      <c r="M6029" t="s">
        <v>36698</v>
      </c>
      <c r="N6029" t="s">
        <v>2874</v>
      </c>
      <c r="O6029" t="s">
        <v>111</v>
      </c>
      <c r="P6029" t="str">
        <f>"85310-5212"</f>
        <v>85310-5212</v>
      </c>
      <c r="Q6029" t="s">
        <v>113</v>
      </c>
      <c r="R6029" t="str">
        <f>"200-06-038"</f>
        <v>200-06-038</v>
      </c>
      <c r="S6029" t="s">
        <v>34907</v>
      </c>
      <c r="T6029" t="s">
        <v>34689</v>
      </c>
      <c r="U6029">
        <v>2242</v>
      </c>
      <c r="V6029">
        <v>0</v>
      </c>
      <c r="W6029">
        <v>3</v>
      </c>
      <c r="X6029">
        <v>1996</v>
      </c>
      <c r="Z6029">
        <v>1</v>
      </c>
      <c r="AA6029" t="s">
        <v>26</v>
      </c>
      <c r="AB6029">
        <v>0</v>
      </c>
      <c r="AC6029" t="s">
        <v>115</v>
      </c>
      <c r="AD6029">
        <v>3</v>
      </c>
      <c r="AE6029" t="s">
        <v>115</v>
      </c>
      <c r="AF6029">
        <v>0</v>
      </c>
      <c r="AG6029">
        <v>0</v>
      </c>
      <c r="AH6029" t="s">
        <v>116</v>
      </c>
      <c r="AI6029" s="1">
        <v>164605</v>
      </c>
      <c r="AJ6029" s="2">
        <v>0.4</v>
      </c>
      <c r="AK6029" s="1">
        <v>414605</v>
      </c>
      <c r="AL6029" t="s">
        <v>117</v>
      </c>
      <c r="AM6029" t="s">
        <v>118</v>
      </c>
      <c r="AN6029">
        <v>8200</v>
      </c>
      <c r="AO6029">
        <v>0.19</v>
      </c>
      <c r="AP6029">
        <v>1</v>
      </c>
      <c r="AR6029">
        <v>1</v>
      </c>
      <c r="AS6029" s="1">
        <v>29080</v>
      </c>
      <c r="AT6029" s="1">
        <v>5810</v>
      </c>
      <c r="AU6029" s="1">
        <v>23270</v>
      </c>
      <c r="AV6029">
        <v>80.02</v>
      </c>
      <c r="AX6029" s="1">
        <v>2667.88</v>
      </c>
      <c r="AY6029" t="s">
        <v>3048</v>
      </c>
      <c r="AZ6029" t="s">
        <v>3049</v>
      </c>
      <c r="BA6029" t="s">
        <v>2223</v>
      </c>
      <c r="BE6029" s="3">
        <v>41738</v>
      </c>
      <c r="BF6029" s="1">
        <v>330000</v>
      </c>
      <c r="BG6029" t="s">
        <v>36699</v>
      </c>
      <c r="BH6029" s="1">
        <v>147.19</v>
      </c>
      <c r="BI6029" s="1">
        <v>250000</v>
      </c>
      <c r="BJ6029" s="3">
        <v>41738</v>
      </c>
      <c r="BK6029" t="s">
        <v>123</v>
      </c>
      <c r="BL6029" t="str">
        <f>"2014.228551"</f>
        <v>2014.228551</v>
      </c>
      <c r="BM6029" t="s">
        <v>9499</v>
      </c>
      <c r="BO6029" t="s">
        <v>36700</v>
      </c>
      <c r="BS6029">
        <v>30</v>
      </c>
      <c r="BW6029" t="str">
        <f>""</f>
        <v/>
      </c>
      <c r="CH6029" t="str">
        <f>""</f>
        <v/>
      </c>
      <c r="CS6029" t="str">
        <f>""</f>
        <v/>
      </c>
    </row>
    <row r="6030" spans="1:97" x14ac:dyDescent="0.25">
      <c r="A6030" t="s">
        <v>36701</v>
      </c>
      <c r="B6030" t="s">
        <v>3689</v>
      </c>
      <c r="C6030" t="s">
        <v>1210</v>
      </c>
      <c r="D6030" t="s">
        <v>3689</v>
      </c>
      <c r="E6030" t="s">
        <v>36702</v>
      </c>
      <c r="F6030" t="s">
        <v>108</v>
      </c>
      <c r="H6030" t="s">
        <v>36703</v>
      </c>
      <c r="I6030" t="s">
        <v>144</v>
      </c>
      <c r="J6030" t="s">
        <v>111</v>
      </c>
      <c r="K6030" t="str">
        <f>"85396"</f>
        <v>85396</v>
      </c>
      <c r="L6030" t="s">
        <v>1244</v>
      </c>
      <c r="M6030" t="s">
        <v>36703</v>
      </c>
      <c r="N6030" t="s">
        <v>144</v>
      </c>
      <c r="O6030" t="s">
        <v>111</v>
      </c>
      <c r="P6030" t="str">
        <f>"85396-8366"</f>
        <v>85396-8366</v>
      </c>
      <c r="Q6030" t="s">
        <v>113</v>
      </c>
      <c r="R6030" t="str">
        <f>"502-81-337"</f>
        <v>502-81-337</v>
      </c>
      <c r="S6030" t="s">
        <v>24818</v>
      </c>
      <c r="U6030">
        <v>2220</v>
      </c>
      <c r="V6030">
        <v>0</v>
      </c>
      <c r="W6030">
        <v>4</v>
      </c>
      <c r="X6030">
        <v>2008</v>
      </c>
      <c r="Z6030">
        <v>2</v>
      </c>
      <c r="AB6030">
        <v>0</v>
      </c>
      <c r="AC6030" t="s">
        <v>115</v>
      </c>
      <c r="AD6030">
        <v>2</v>
      </c>
      <c r="AE6030" t="s">
        <v>115</v>
      </c>
      <c r="AF6030">
        <v>0</v>
      </c>
      <c r="AG6030">
        <v>0</v>
      </c>
      <c r="AH6030" t="s">
        <v>116</v>
      </c>
      <c r="AI6030" s="1">
        <v>84760</v>
      </c>
      <c r="AJ6030" s="2">
        <v>0.26</v>
      </c>
      <c r="AK6030" s="1">
        <v>330614</v>
      </c>
      <c r="AL6030" t="s">
        <v>117</v>
      </c>
      <c r="AM6030" t="s">
        <v>118</v>
      </c>
      <c r="AN6030">
        <v>6347</v>
      </c>
      <c r="AO6030">
        <v>0.15</v>
      </c>
      <c r="AR6030">
        <v>1</v>
      </c>
      <c r="AS6030" s="1">
        <v>23220</v>
      </c>
      <c r="AT6030" s="1">
        <v>4640</v>
      </c>
      <c r="AU6030" s="1">
        <v>18580</v>
      </c>
      <c r="AV6030">
        <v>80.02</v>
      </c>
      <c r="AX6030" s="1">
        <v>2783.78</v>
      </c>
      <c r="AY6030" t="s">
        <v>217</v>
      </c>
      <c r="AZ6030" t="s">
        <v>217</v>
      </c>
      <c r="BA6030" t="s">
        <v>218</v>
      </c>
      <c r="BE6030" s="3">
        <v>42214</v>
      </c>
      <c r="BF6030" s="1">
        <v>238000</v>
      </c>
      <c r="BG6030" t="s">
        <v>36704</v>
      </c>
      <c r="BH6030" s="1">
        <v>107.21</v>
      </c>
      <c r="BI6030" s="1">
        <v>245854</v>
      </c>
      <c r="BJ6030" s="3">
        <v>42214</v>
      </c>
      <c r="BK6030" t="s">
        <v>123</v>
      </c>
      <c r="BL6030" t="str">
        <f>"2015.549122"</f>
        <v>2015.549122</v>
      </c>
      <c r="BM6030" t="s">
        <v>544</v>
      </c>
      <c r="BO6030" t="s">
        <v>36705</v>
      </c>
      <c r="BS6030">
        <v>30</v>
      </c>
      <c r="BW6030" t="str">
        <f>""</f>
        <v/>
      </c>
      <c r="CH6030" t="str">
        <f>""</f>
        <v/>
      </c>
      <c r="CS6030" t="str">
        <f>""</f>
        <v/>
      </c>
    </row>
    <row r="6031" spans="1:97" x14ac:dyDescent="0.25">
      <c r="A6031" t="s">
        <v>1514</v>
      </c>
      <c r="B6031" t="s">
        <v>36706</v>
      </c>
      <c r="E6031" t="s">
        <v>36707</v>
      </c>
      <c r="F6031" t="s">
        <v>108</v>
      </c>
      <c r="H6031" t="s">
        <v>36708</v>
      </c>
      <c r="I6031" t="s">
        <v>203</v>
      </c>
      <c r="J6031" t="s">
        <v>111</v>
      </c>
      <c r="K6031" t="str">
        <f>"85298"</f>
        <v>85298</v>
      </c>
      <c r="L6031" t="s">
        <v>7243</v>
      </c>
      <c r="M6031" t="s">
        <v>36708</v>
      </c>
      <c r="N6031" t="s">
        <v>203</v>
      </c>
      <c r="O6031" t="s">
        <v>111</v>
      </c>
      <c r="P6031" t="str">
        <f>"85298-4049"</f>
        <v>85298-4049</v>
      </c>
      <c r="Q6031" t="s">
        <v>113</v>
      </c>
      <c r="R6031" t="str">
        <f>"313-04-102"</f>
        <v>313-04-102</v>
      </c>
      <c r="S6031" t="s">
        <v>24767</v>
      </c>
      <c r="T6031" t="s">
        <v>24768</v>
      </c>
      <c r="U6031">
        <v>2173</v>
      </c>
      <c r="V6031">
        <v>0</v>
      </c>
      <c r="W6031">
        <v>3</v>
      </c>
      <c r="X6031">
        <v>2004</v>
      </c>
      <c r="Z6031">
        <v>1</v>
      </c>
      <c r="AB6031">
        <v>0</v>
      </c>
      <c r="AC6031" t="s">
        <v>115</v>
      </c>
      <c r="AD6031">
        <v>2</v>
      </c>
      <c r="AE6031" t="s">
        <v>115</v>
      </c>
      <c r="AF6031">
        <v>0</v>
      </c>
      <c r="AG6031">
        <v>0</v>
      </c>
      <c r="AH6031" t="s">
        <v>116</v>
      </c>
      <c r="AI6031" s="1">
        <v>125937</v>
      </c>
      <c r="AJ6031" s="2">
        <v>0.31</v>
      </c>
      <c r="AK6031" s="1">
        <v>399937</v>
      </c>
      <c r="AL6031" t="s">
        <v>117</v>
      </c>
      <c r="AM6031" t="s">
        <v>1174</v>
      </c>
      <c r="AN6031">
        <v>7198</v>
      </c>
      <c r="AO6031">
        <v>0.16</v>
      </c>
      <c r="AP6031">
        <v>1</v>
      </c>
      <c r="AR6031">
        <v>1</v>
      </c>
      <c r="AS6031" s="1">
        <v>28060</v>
      </c>
      <c r="AT6031" s="1">
        <v>5610</v>
      </c>
      <c r="AU6031" s="1">
        <v>22450</v>
      </c>
      <c r="AV6031">
        <v>80.010000000000005</v>
      </c>
      <c r="AX6031" s="1">
        <v>2064.04</v>
      </c>
      <c r="AY6031" t="s">
        <v>5875</v>
      </c>
      <c r="AZ6031" t="s">
        <v>1134</v>
      </c>
      <c r="BA6031" t="s">
        <v>1134</v>
      </c>
      <c r="BE6031" s="3">
        <v>42181</v>
      </c>
      <c r="BF6031" s="1">
        <v>307000</v>
      </c>
      <c r="BG6031" t="s">
        <v>36709</v>
      </c>
      <c r="BH6031" s="1">
        <v>141.28</v>
      </c>
      <c r="BI6031" s="1">
        <v>274000</v>
      </c>
      <c r="BJ6031" s="3">
        <v>42181</v>
      </c>
      <c r="BK6031" t="s">
        <v>123</v>
      </c>
      <c r="BL6031" t="str">
        <f>"2015.461128"</f>
        <v>2015.461128</v>
      </c>
      <c r="BM6031" t="s">
        <v>1791</v>
      </c>
      <c r="BO6031" t="s">
        <v>36710</v>
      </c>
      <c r="BS6031">
        <v>30</v>
      </c>
      <c r="BW6031" t="str">
        <f>""</f>
        <v/>
      </c>
      <c r="CH6031" t="str">
        <f>""</f>
        <v/>
      </c>
      <c r="CS6031" t="str">
        <f>""</f>
        <v/>
      </c>
    </row>
    <row r="6032" spans="1:97" x14ac:dyDescent="0.25">
      <c r="A6032" t="s">
        <v>1979</v>
      </c>
      <c r="B6032" t="s">
        <v>1144</v>
      </c>
      <c r="E6032" t="s">
        <v>36711</v>
      </c>
      <c r="F6032" t="s">
        <v>108</v>
      </c>
      <c r="H6032" t="s">
        <v>36712</v>
      </c>
      <c r="I6032" t="s">
        <v>453</v>
      </c>
      <c r="J6032" t="s">
        <v>111</v>
      </c>
      <c r="K6032" t="str">
        <f>"85383"</f>
        <v>85383</v>
      </c>
      <c r="L6032" t="s">
        <v>558</v>
      </c>
      <c r="M6032" t="s">
        <v>36712</v>
      </c>
      <c r="N6032" t="s">
        <v>453</v>
      </c>
      <c r="O6032" t="s">
        <v>111</v>
      </c>
      <c r="P6032" t="str">
        <f>"85383-2624"</f>
        <v>85383-2624</v>
      </c>
      <c r="Q6032" t="s">
        <v>113</v>
      </c>
      <c r="R6032" t="str">
        <f>"200-09-247"</f>
        <v>200-09-247</v>
      </c>
      <c r="S6032" t="s">
        <v>12058</v>
      </c>
      <c r="T6032" t="s">
        <v>12059</v>
      </c>
      <c r="U6032">
        <v>2584</v>
      </c>
      <c r="V6032">
        <v>0</v>
      </c>
      <c r="W6032">
        <v>4</v>
      </c>
      <c r="X6032">
        <v>2015</v>
      </c>
      <c r="Z6032">
        <v>2</v>
      </c>
      <c r="AB6032">
        <v>0</v>
      </c>
      <c r="AC6032" t="s">
        <v>115</v>
      </c>
      <c r="AD6032">
        <v>3</v>
      </c>
      <c r="AE6032" t="s">
        <v>115</v>
      </c>
      <c r="AF6032">
        <v>0</v>
      </c>
      <c r="AG6032">
        <v>0</v>
      </c>
      <c r="AH6032" t="s">
        <v>116</v>
      </c>
      <c r="AI6032" s="1">
        <v>73665</v>
      </c>
      <c r="AJ6032" s="2">
        <v>0.2</v>
      </c>
      <c r="AK6032" s="1">
        <v>364534</v>
      </c>
      <c r="AL6032" t="s">
        <v>117</v>
      </c>
      <c r="AM6032" t="s">
        <v>118</v>
      </c>
      <c r="AN6032">
        <v>6610</v>
      </c>
      <c r="AO6032">
        <v>0.15</v>
      </c>
      <c r="AR6032">
        <v>1</v>
      </c>
      <c r="AS6032" s="1">
        <v>26750</v>
      </c>
      <c r="AT6032" s="1">
        <v>5350</v>
      </c>
      <c r="AU6032" s="1">
        <v>21400</v>
      </c>
      <c r="AV6032">
        <v>80</v>
      </c>
      <c r="AX6032" s="1">
        <v>2106.62</v>
      </c>
      <c r="AY6032" t="s">
        <v>1808</v>
      </c>
      <c r="AZ6032" t="s">
        <v>1808</v>
      </c>
      <c r="BA6032" t="s">
        <v>457</v>
      </c>
      <c r="BE6032" s="3">
        <v>42389</v>
      </c>
      <c r="BF6032" s="1">
        <v>303305</v>
      </c>
      <c r="BG6032" t="s">
        <v>2358</v>
      </c>
      <c r="BH6032" s="1">
        <v>117.38</v>
      </c>
      <c r="BI6032" s="1">
        <v>290869</v>
      </c>
      <c r="BJ6032" s="3">
        <v>42949</v>
      </c>
      <c r="BK6032" t="s">
        <v>123</v>
      </c>
      <c r="BL6032" t="str">
        <f>"2017.568480"</f>
        <v>2017.568480</v>
      </c>
      <c r="BM6032" t="s">
        <v>340</v>
      </c>
      <c r="BO6032" t="s">
        <v>36713</v>
      </c>
      <c r="BS6032">
        <v>29</v>
      </c>
      <c r="BW6032" t="str">
        <f>""</f>
        <v/>
      </c>
      <c r="CH6032" t="str">
        <f>""</f>
        <v/>
      </c>
      <c r="CS6032" t="str">
        <f>""</f>
        <v/>
      </c>
    </row>
    <row r="6033" spans="1:97" x14ac:dyDescent="0.25">
      <c r="A6033" t="s">
        <v>36714</v>
      </c>
      <c r="B6033" t="s">
        <v>36715</v>
      </c>
      <c r="E6033" t="s">
        <v>36716</v>
      </c>
      <c r="F6033" t="s">
        <v>108</v>
      </c>
      <c r="H6033" t="s">
        <v>36717</v>
      </c>
      <c r="I6033" t="s">
        <v>499</v>
      </c>
      <c r="J6033" t="s">
        <v>111</v>
      </c>
      <c r="K6033" t="str">
        <f>"85395"</f>
        <v>85395</v>
      </c>
      <c r="L6033" t="s">
        <v>7005</v>
      </c>
      <c r="M6033" t="s">
        <v>36717</v>
      </c>
      <c r="N6033" t="s">
        <v>499</v>
      </c>
      <c r="O6033" t="s">
        <v>111</v>
      </c>
      <c r="P6033" t="str">
        <f>"85395-8956"</f>
        <v>85395-8956</v>
      </c>
      <c r="Q6033" t="s">
        <v>113</v>
      </c>
      <c r="R6033" t="str">
        <f>"508-14-243"</f>
        <v>508-14-243</v>
      </c>
      <c r="S6033" t="s">
        <v>14773</v>
      </c>
      <c r="T6033" t="s">
        <v>14987</v>
      </c>
      <c r="U6033">
        <v>2785</v>
      </c>
      <c r="V6033">
        <v>0</v>
      </c>
      <c r="W6033">
        <v>4</v>
      </c>
      <c r="X6033">
        <v>2005</v>
      </c>
      <c r="Z6033">
        <v>1</v>
      </c>
      <c r="AA6033" t="s">
        <v>26</v>
      </c>
      <c r="AB6033">
        <v>0</v>
      </c>
      <c r="AC6033" t="s">
        <v>115</v>
      </c>
      <c r="AD6033">
        <v>3</v>
      </c>
      <c r="AE6033" t="s">
        <v>115</v>
      </c>
      <c r="AF6033">
        <v>0</v>
      </c>
      <c r="AG6033">
        <v>0</v>
      </c>
      <c r="AH6033" t="s">
        <v>116</v>
      </c>
      <c r="AI6033" s="1">
        <v>49311</v>
      </c>
      <c r="AJ6033" s="2">
        <v>0.12</v>
      </c>
      <c r="AK6033" s="1">
        <v>408811</v>
      </c>
      <c r="AL6033" t="s">
        <v>117</v>
      </c>
      <c r="AM6033" t="s">
        <v>118</v>
      </c>
      <c r="AN6033">
        <v>10433</v>
      </c>
      <c r="AO6033">
        <v>0.24</v>
      </c>
      <c r="AR6033">
        <v>1</v>
      </c>
      <c r="AS6033" s="1">
        <v>29770</v>
      </c>
      <c r="AT6033" s="1">
        <v>5950</v>
      </c>
      <c r="AU6033" s="1">
        <v>23820</v>
      </c>
      <c r="AV6033">
        <v>80.010000000000005</v>
      </c>
      <c r="AX6033" s="1">
        <v>2967.46</v>
      </c>
      <c r="AY6033" t="s">
        <v>3020</v>
      </c>
      <c r="AZ6033" t="s">
        <v>3020</v>
      </c>
      <c r="BA6033" t="s">
        <v>7186</v>
      </c>
      <c r="BE6033" s="3">
        <v>42291</v>
      </c>
      <c r="BF6033" s="1">
        <v>310000</v>
      </c>
      <c r="BG6033" t="s">
        <v>36718</v>
      </c>
      <c r="BH6033" s="1">
        <v>111.31</v>
      </c>
      <c r="BI6033" s="1">
        <v>359500</v>
      </c>
      <c r="BJ6033" s="3">
        <v>43041</v>
      </c>
      <c r="BK6033" t="s">
        <v>123</v>
      </c>
      <c r="BL6033" t="str">
        <f>"2017.817366"</f>
        <v>2017.817366</v>
      </c>
      <c r="BM6033" t="s">
        <v>3727</v>
      </c>
      <c r="BN6033">
        <v>92117</v>
      </c>
      <c r="BO6033" t="s">
        <v>36719</v>
      </c>
      <c r="BS6033">
        <v>30</v>
      </c>
      <c r="BT6033" s="1">
        <v>359500</v>
      </c>
      <c r="BU6033" s="3">
        <v>43041</v>
      </c>
      <c r="BV6033" t="s">
        <v>123</v>
      </c>
      <c r="BW6033" t="str">
        <f>"2017.817366"</f>
        <v>2017.817366</v>
      </c>
      <c r="BX6033" t="s">
        <v>3727</v>
      </c>
      <c r="BZ6033" t="s">
        <v>36719</v>
      </c>
      <c r="CD6033">
        <v>30</v>
      </c>
      <c r="CH6033" t="str">
        <f>""</f>
        <v/>
      </c>
      <c r="CS6033" t="str">
        <f>""</f>
        <v/>
      </c>
    </row>
    <row r="6034" spans="1:97" x14ac:dyDescent="0.25">
      <c r="A6034" t="s">
        <v>1109</v>
      </c>
      <c r="B6034" t="s">
        <v>1720</v>
      </c>
      <c r="C6034" t="s">
        <v>2184</v>
      </c>
      <c r="D6034" t="s">
        <v>1720</v>
      </c>
      <c r="E6034" t="s">
        <v>36720</v>
      </c>
      <c r="F6034" t="s">
        <v>108</v>
      </c>
      <c r="H6034" t="s">
        <v>36721</v>
      </c>
      <c r="I6034" t="s">
        <v>110</v>
      </c>
      <c r="J6034" t="s">
        <v>111</v>
      </c>
      <c r="K6034" t="str">
        <f>"85225"</f>
        <v>85225</v>
      </c>
      <c r="L6034" t="s">
        <v>1244</v>
      </c>
      <c r="M6034" t="s">
        <v>36721</v>
      </c>
      <c r="N6034" t="s">
        <v>110</v>
      </c>
      <c r="O6034" t="s">
        <v>111</v>
      </c>
      <c r="P6034" t="str">
        <f>"85225-2369"</f>
        <v>85225-2369</v>
      </c>
      <c r="Q6034" t="s">
        <v>113</v>
      </c>
      <c r="R6034" t="str">
        <f>"303-71-470"</f>
        <v>303-71-470</v>
      </c>
      <c r="S6034" t="s">
        <v>3184</v>
      </c>
      <c r="T6034" t="s">
        <v>3184</v>
      </c>
      <c r="U6034">
        <v>2279</v>
      </c>
      <c r="V6034">
        <v>0</v>
      </c>
      <c r="W6034">
        <v>3</v>
      </c>
      <c r="X6034">
        <v>1999</v>
      </c>
      <c r="Z6034">
        <v>1</v>
      </c>
      <c r="AA6034" t="s">
        <v>26</v>
      </c>
      <c r="AB6034">
        <v>0</v>
      </c>
      <c r="AC6034" t="s">
        <v>115</v>
      </c>
      <c r="AD6034">
        <v>3</v>
      </c>
      <c r="AE6034" t="s">
        <v>115</v>
      </c>
      <c r="AF6034">
        <v>0</v>
      </c>
      <c r="AG6034">
        <v>0</v>
      </c>
      <c r="AH6034" t="s">
        <v>116</v>
      </c>
      <c r="AI6034" s="1">
        <v>103937</v>
      </c>
      <c r="AJ6034" s="2">
        <v>0.26</v>
      </c>
      <c r="AK6034" s="1">
        <v>403837</v>
      </c>
      <c r="AL6034" t="s">
        <v>117</v>
      </c>
      <c r="AM6034" t="s">
        <v>5077</v>
      </c>
      <c r="AN6034">
        <v>9461</v>
      </c>
      <c r="AO6034">
        <v>0.22</v>
      </c>
      <c r="AP6034">
        <v>1</v>
      </c>
      <c r="AR6034">
        <v>1</v>
      </c>
      <c r="AS6034" s="1">
        <v>29150</v>
      </c>
      <c r="AT6034" s="1">
        <v>5830</v>
      </c>
      <c r="AU6034" s="1">
        <v>23320</v>
      </c>
      <c r="AV6034">
        <v>80</v>
      </c>
      <c r="AX6034" s="1">
        <v>2316.2800000000002</v>
      </c>
      <c r="AY6034" t="s">
        <v>3185</v>
      </c>
      <c r="AZ6034" t="s">
        <v>2906</v>
      </c>
      <c r="BA6034" t="s">
        <v>303</v>
      </c>
      <c r="BE6034" s="3">
        <v>41768</v>
      </c>
      <c r="BF6034" s="1">
        <v>313000</v>
      </c>
      <c r="BG6034" t="s">
        <v>36722</v>
      </c>
      <c r="BH6034" s="1">
        <v>137.34</v>
      </c>
      <c r="BI6034" s="1">
        <v>299900</v>
      </c>
      <c r="BJ6034" s="3">
        <v>42823</v>
      </c>
      <c r="BK6034" t="s">
        <v>123</v>
      </c>
      <c r="BL6034" t="str">
        <f>"2017.218089"</f>
        <v>2017.218089</v>
      </c>
      <c r="BM6034" t="s">
        <v>4076</v>
      </c>
      <c r="BO6034" t="s">
        <v>36723</v>
      </c>
      <c r="BS6034">
        <v>30</v>
      </c>
      <c r="BW6034" t="str">
        <f>""</f>
        <v/>
      </c>
      <c r="CH6034" t="str">
        <f>""</f>
        <v/>
      </c>
      <c r="CS6034" t="str">
        <f>""</f>
        <v/>
      </c>
    </row>
    <row r="6035" spans="1:97" x14ac:dyDescent="0.25">
      <c r="B6035" t="s">
        <v>36724</v>
      </c>
      <c r="E6035" t="s">
        <v>36724</v>
      </c>
      <c r="F6035" t="s">
        <v>108</v>
      </c>
      <c r="H6035" t="s">
        <v>36725</v>
      </c>
      <c r="I6035" t="s">
        <v>390</v>
      </c>
      <c r="J6035" t="s">
        <v>111</v>
      </c>
      <c r="K6035" t="str">
        <f>"85042"</f>
        <v>85042</v>
      </c>
      <c r="L6035" t="s">
        <v>6112</v>
      </c>
      <c r="M6035" t="s">
        <v>36725</v>
      </c>
      <c r="N6035" t="s">
        <v>390</v>
      </c>
      <c r="O6035" t="s">
        <v>111</v>
      </c>
      <c r="P6035" t="str">
        <f>"85042-9640"</f>
        <v>85042-9640</v>
      </c>
      <c r="Q6035" t="s">
        <v>113</v>
      </c>
      <c r="R6035" t="str">
        <f>"301-23-104"</f>
        <v>301-23-104</v>
      </c>
      <c r="S6035" t="s">
        <v>6383</v>
      </c>
      <c r="T6035" t="s">
        <v>6383</v>
      </c>
      <c r="U6035">
        <v>2853</v>
      </c>
      <c r="V6035">
        <v>0</v>
      </c>
      <c r="W6035">
        <v>4</v>
      </c>
      <c r="X6035">
        <v>2005</v>
      </c>
      <c r="Z6035">
        <v>1</v>
      </c>
      <c r="AB6035">
        <v>0</v>
      </c>
      <c r="AC6035" t="s">
        <v>115</v>
      </c>
      <c r="AD6035">
        <v>4</v>
      </c>
      <c r="AE6035" t="s">
        <v>115</v>
      </c>
      <c r="AF6035">
        <v>0</v>
      </c>
      <c r="AG6035">
        <v>0</v>
      </c>
      <c r="AH6035" t="s">
        <v>116</v>
      </c>
      <c r="AI6035" s="1">
        <v>80826</v>
      </c>
      <c r="AJ6035" s="2">
        <v>0.17</v>
      </c>
      <c r="AK6035" s="1">
        <v>476465</v>
      </c>
      <c r="AL6035" t="s">
        <v>117</v>
      </c>
      <c r="AM6035" t="s">
        <v>3111</v>
      </c>
      <c r="AN6035">
        <v>12495</v>
      </c>
      <c r="AO6035">
        <v>0.28999999999999998</v>
      </c>
      <c r="AR6035">
        <v>1</v>
      </c>
      <c r="AS6035" s="1">
        <v>35210</v>
      </c>
      <c r="AT6035" s="1">
        <v>7040</v>
      </c>
      <c r="AU6035" s="1">
        <v>28170</v>
      </c>
      <c r="AV6035">
        <v>80.010000000000005</v>
      </c>
      <c r="AX6035" s="1">
        <v>5277.22</v>
      </c>
      <c r="AY6035" t="s">
        <v>6115</v>
      </c>
      <c r="AZ6035" t="s">
        <v>6115</v>
      </c>
      <c r="BA6035" t="s">
        <v>2860</v>
      </c>
      <c r="BB6035" s="3">
        <v>42494</v>
      </c>
      <c r="BD6035" t="s">
        <v>240</v>
      </c>
      <c r="BE6035" s="3">
        <v>41751</v>
      </c>
      <c r="BF6035" s="1">
        <v>409900</v>
      </c>
      <c r="BG6035" t="s">
        <v>36726</v>
      </c>
      <c r="BH6035" s="1">
        <v>143.66999999999999</v>
      </c>
      <c r="BI6035" s="1">
        <v>395639</v>
      </c>
      <c r="BJ6035" s="3">
        <v>42481</v>
      </c>
      <c r="BK6035" t="s">
        <v>123</v>
      </c>
      <c r="BL6035" t="str">
        <f>"2016.267195"</f>
        <v>2016.267195</v>
      </c>
      <c r="BM6035" t="s">
        <v>12154</v>
      </c>
      <c r="BO6035" t="s">
        <v>36727</v>
      </c>
      <c r="BS6035">
        <v>30</v>
      </c>
      <c r="BW6035" t="str">
        <f>""</f>
        <v/>
      </c>
      <c r="CH6035" t="str">
        <f>""</f>
        <v/>
      </c>
      <c r="CS6035" t="str">
        <f>""</f>
        <v/>
      </c>
    </row>
    <row r="6036" spans="1:97" x14ac:dyDescent="0.25">
      <c r="B6036" t="s">
        <v>36728</v>
      </c>
      <c r="E6036" t="s">
        <v>36729</v>
      </c>
      <c r="F6036" t="s">
        <v>108</v>
      </c>
      <c r="H6036" t="s">
        <v>36730</v>
      </c>
      <c r="I6036" t="s">
        <v>390</v>
      </c>
      <c r="J6036" t="s">
        <v>111</v>
      </c>
      <c r="K6036" t="str">
        <f>"85013"</f>
        <v>85013</v>
      </c>
      <c r="L6036" t="s">
        <v>8199</v>
      </c>
      <c r="M6036" t="s">
        <v>36730</v>
      </c>
      <c r="N6036" t="s">
        <v>390</v>
      </c>
      <c r="O6036" t="s">
        <v>111</v>
      </c>
      <c r="P6036" t="str">
        <f>"85013-2926"</f>
        <v>85013-2926</v>
      </c>
      <c r="R6036" t="str">
        <f>"155-34-122"</f>
        <v>155-34-122</v>
      </c>
      <c r="S6036" t="s">
        <v>36731</v>
      </c>
      <c r="T6036" t="s">
        <v>36731</v>
      </c>
      <c r="U6036">
        <v>1133</v>
      </c>
      <c r="V6036">
        <v>0</v>
      </c>
      <c r="W6036">
        <v>1</v>
      </c>
      <c r="X6036">
        <v>1939</v>
      </c>
      <c r="Z6036">
        <v>1</v>
      </c>
      <c r="AB6036">
        <v>0</v>
      </c>
      <c r="AC6036" t="s">
        <v>115</v>
      </c>
      <c r="AD6036">
        <v>1</v>
      </c>
      <c r="AE6036" t="s">
        <v>115</v>
      </c>
      <c r="AF6036">
        <v>0</v>
      </c>
      <c r="AG6036">
        <v>0</v>
      </c>
      <c r="AH6036" t="s">
        <v>5467</v>
      </c>
      <c r="AI6036" s="1">
        <v>58348</v>
      </c>
      <c r="AJ6036" s="2">
        <v>0.2</v>
      </c>
      <c r="AK6036" s="1">
        <v>288173</v>
      </c>
      <c r="AL6036" t="s">
        <v>117</v>
      </c>
      <c r="AM6036" t="s">
        <v>191</v>
      </c>
      <c r="AN6036">
        <v>6665</v>
      </c>
      <c r="AO6036">
        <v>0.15</v>
      </c>
      <c r="AP6036">
        <v>1</v>
      </c>
      <c r="AR6036">
        <v>1</v>
      </c>
      <c r="AS6036" s="1">
        <v>24900</v>
      </c>
      <c r="AT6036" s="1">
        <v>4980</v>
      </c>
      <c r="AU6036" s="1">
        <v>19920</v>
      </c>
      <c r="AV6036">
        <v>80</v>
      </c>
      <c r="AX6036" s="1">
        <v>2305.58</v>
      </c>
      <c r="AY6036" t="s">
        <v>5689</v>
      </c>
      <c r="AZ6036" t="s">
        <v>5690</v>
      </c>
      <c r="BA6036" t="s">
        <v>5691</v>
      </c>
      <c r="BB6036" s="3">
        <v>42684</v>
      </c>
      <c r="BD6036" t="s">
        <v>240</v>
      </c>
      <c r="BE6036" s="3">
        <v>42249</v>
      </c>
      <c r="BF6036" s="1">
        <v>225000</v>
      </c>
      <c r="BG6036" t="s">
        <v>36732</v>
      </c>
      <c r="BH6036" s="1">
        <v>198.59</v>
      </c>
      <c r="BI6036" s="1">
        <v>229825</v>
      </c>
      <c r="BJ6036" s="3">
        <v>42249</v>
      </c>
      <c r="BK6036" t="s">
        <v>123</v>
      </c>
      <c r="BL6036" t="str">
        <f>"2015.638116"</f>
        <v>2015.638116</v>
      </c>
      <c r="BM6036" t="s">
        <v>135</v>
      </c>
      <c r="BN6036" t="s">
        <v>136</v>
      </c>
      <c r="BO6036" t="s">
        <v>36733</v>
      </c>
      <c r="BS6036">
        <v>30</v>
      </c>
      <c r="BW6036" t="str">
        <f>""</f>
        <v/>
      </c>
      <c r="CH6036" t="str">
        <f>""</f>
        <v/>
      </c>
      <c r="CS6036" t="str">
        <f>""</f>
        <v/>
      </c>
    </row>
    <row r="6037" spans="1:97" x14ac:dyDescent="0.25">
      <c r="A6037" t="s">
        <v>4801</v>
      </c>
      <c r="B6037" t="s">
        <v>832</v>
      </c>
      <c r="C6037" t="s">
        <v>2206</v>
      </c>
      <c r="D6037" t="s">
        <v>832</v>
      </c>
      <c r="E6037" t="s">
        <v>36734</v>
      </c>
      <c r="F6037" t="s">
        <v>108</v>
      </c>
      <c r="H6037" t="s">
        <v>36735</v>
      </c>
      <c r="I6037" t="s">
        <v>110</v>
      </c>
      <c r="J6037" t="s">
        <v>111</v>
      </c>
      <c r="K6037" t="str">
        <f>"85286"</f>
        <v>85286</v>
      </c>
      <c r="L6037" t="s">
        <v>5021</v>
      </c>
      <c r="M6037" t="s">
        <v>36735</v>
      </c>
      <c r="N6037" t="s">
        <v>110</v>
      </c>
      <c r="O6037" t="s">
        <v>111</v>
      </c>
      <c r="P6037" t="str">
        <f>"85286-6134"</f>
        <v>85286-6134</v>
      </c>
      <c r="Q6037" t="s">
        <v>113</v>
      </c>
      <c r="R6037" t="str">
        <f>"303-25-528"</f>
        <v>303-25-528</v>
      </c>
      <c r="S6037" t="s">
        <v>36736</v>
      </c>
      <c r="T6037" t="s">
        <v>30206</v>
      </c>
      <c r="U6037">
        <v>3150</v>
      </c>
      <c r="V6037">
        <v>0</v>
      </c>
      <c r="W6037">
        <v>4</v>
      </c>
      <c r="X6037">
        <v>2000</v>
      </c>
      <c r="Z6037">
        <v>1</v>
      </c>
      <c r="AB6037">
        <v>0</v>
      </c>
      <c r="AC6037" t="s">
        <v>115</v>
      </c>
      <c r="AD6037">
        <v>3</v>
      </c>
      <c r="AE6037" t="s">
        <v>115</v>
      </c>
      <c r="AF6037">
        <v>0</v>
      </c>
      <c r="AG6037">
        <v>0</v>
      </c>
      <c r="AH6037" t="s">
        <v>116</v>
      </c>
      <c r="AI6037" s="1">
        <v>91064</v>
      </c>
      <c r="AJ6037" s="2">
        <v>0.18</v>
      </c>
      <c r="AK6037" s="1">
        <v>497621</v>
      </c>
      <c r="AL6037" t="s">
        <v>117</v>
      </c>
      <c r="AM6037" t="s">
        <v>118</v>
      </c>
      <c r="AN6037">
        <v>11145</v>
      </c>
      <c r="AO6037">
        <v>0.26</v>
      </c>
      <c r="AP6037">
        <v>1</v>
      </c>
      <c r="AR6037">
        <v>1</v>
      </c>
      <c r="AS6037" s="1">
        <v>37520</v>
      </c>
      <c r="AT6037" s="1">
        <v>7500</v>
      </c>
      <c r="AU6037" s="1">
        <v>30020</v>
      </c>
      <c r="AV6037">
        <v>80.010000000000005</v>
      </c>
      <c r="AX6037" s="1">
        <v>3216.78</v>
      </c>
      <c r="AY6037" t="s">
        <v>10718</v>
      </c>
      <c r="AZ6037" t="s">
        <v>1882</v>
      </c>
      <c r="BA6037" t="s">
        <v>121</v>
      </c>
      <c r="BE6037" s="3">
        <v>41995</v>
      </c>
      <c r="BF6037" s="1">
        <v>398000</v>
      </c>
      <c r="BG6037" t="s">
        <v>36737</v>
      </c>
      <c r="BH6037" s="1">
        <v>126.35</v>
      </c>
      <c r="BI6037" s="1">
        <v>406557</v>
      </c>
      <c r="BJ6037" s="3">
        <v>41995</v>
      </c>
      <c r="BK6037" t="s">
        <v>123</v>
      </c>
      <c r="BL6037" t="str">
        <f>"2014.842108"</f>
        <v>2014.842108</v>
      </c>
      <c r="BM6037" t="s">
        <v>724</v>
      </c>
      <c r="BO6037" t="s">
        <v>36738</v>
      </c>
      <c r="BS6037">
        <v>30</v>
      </c>
      <c r="BW6037" t="str">
        <f>""</f>
        <v/>
      </c>
      <c r="CH6037" t="str">
        <f>""</f>
        <v/>
      </c>
      <c r="CS6037" t="str">
        <f>""</f>
        <v/>
      </c>
    </row>
    <row r="6038" spans="1:97" x14ac:dyDescent="0.25">
      <c r="A6038" t="s">
        <v>1009</v>
      </c>
      <c r="B6038" t="s">
        <v>1697</v>
      </c>
      <c r="C6038" t="s">
        <v>355</v>
      </c>
      <c r="D6038" t="s">
        <v>1697</v>
      </c>
      <c r="E6038" t="s">
        <v>36739</v>
      </c>
      <c r="F6038" t="s">
        <v>108</v>
      </c>
      <c r="H6038" t="s">
        <v>36740</v>
      </c>
      <c r="I6038" t="s">
        <v>203</v>
      </c>
      <c r="J6038" t="s">
        <v>111</v>
      </c>
      <c r="K6038" t="str">
        <f>"85296"</f>
        <v>85296</v>
      </c>
      <c r="L6038" t="s">
        <v>7834</v>
      </c>
      <c r="M6038" t="s">
        <v>36740</v>
      </c>
      <c r="N6038" t="s">
        <v>203</v>
      </c>
      <c r="O6038" t="s">
        <v>111</v>
      </c>
      <c r="P6038" t="str">
        <f>"85296-3647"</f>
        <v>85296-3647</v>
      </c>
      <c r="Q6038" t="s">
        <v>113</v>
      </c>
      <c r="R6038" t="str">
        <f>"309-25-110"</f>
        <v>309-25-110</v>
      </c>
      <c r="S6038" t="s">
        <v>36741</v>
      </c>
      <c r="T6038" t="s">
        <v>7836</v>
      </c>
      <c r="U6038">
        <v>2762</v>
      </c>
      <c r="V6038">
        <v>0</v>
      </c>
      <c r="W6038">
        <v>4</v>
      </c>
      <c r="X6038">
        <v>2000</v>
      </c>
      <c r="Z6038">
        <v>2</v>
      </c>
      <c r="AA6038" t="s">
        <v>26</v>
      </c>
      <c r="AB6038">
        <v>0</v>
      </c>
      <c r="AC6038" t="s">
        <v>115</v>
      </c>
      <c r="AD6038">
        <v>3</v>
      </c>
      <c r="AE6038" t="s">
        <v>115</v>
      </c>
      <c r="AF6038">
        <v>0</v>
      </c>
      <c r="AG6038">
        <v>0</v>
      </c>
      <c r="AH6038" t="s">
        <v>116</v>
      </c>
      <c r="AI6038" s="1">
        <v>150193</v>
      </c>
      <c r="AJ6038" s="2">
        <v>0.36</v>
      </c>
      <c r="AK6038" s="1">
        <v>417493</v>
      </c>
      <c r="AL6038" t="s">
        <v>117</v>
      </c>
      <c r="AM6038" t="s">
        <v>393</v>
      </c>
      <c r="AN6038">
        <v>7700</v>
      </c>
      <c r="AO6038">
        <v>0.18</v>
      </c>
      <c r="AP6038">
        <v>1</v>
      </c>
      <c r="AR6038">
        <v>1</v>
      </c>
      <c r="AS6038" s="1">
        <v>30230</v>
      </c>
      <c r="AT6038" s="1">
        <v>6040</v>
      </c>
      <c r="AU6038" s="1">
        <v>24190</v>
      </c>
      <c r="AV6038">
        <v>80.02</v>
      </c>
      <c r="AX6038" s="1">
        <v>2297.3200000000002</v>
      </c>
      <c r="AY6038" t="s">
        <v>7837</v>
      </c>
      <c r="AZ6038" t="s">
        <v>207</v>
      </c>
      <c r="BA6038" t="s">
        <v>208</v>
      </c>
      <c r="BE6038" s="3">
        <v>42101</v>
      </c>
      <c r="BF6038" s="1">
        <v>330000</v>
      </c>
      <c r="BG6038" t="s">
        <v>36742</v>
      </c>
      <c r="BH6038" s="1">
        <v>119.48</v>
      </c>
      <c r="BI6038" s="1">
        <v>267300</v>
      </c>
      <c r="BJ6038" s="3">
        <v>42101</v>
      </c>
      <c r="BK6038" t="s">
        <v>123</v>
      </c>
      <c r="BL6038" t="str">
        <f>"2015.235676"</f>
        <v>2015.235676</v>
      </c>
      <c r="BM6038" t="s">
        <v>150</v>
      </c>
      <c r="BO6038" t="s">
        <v>36743</v>
      </c>
      <c r="BS6038">
        <v>30</v>
      </c>
      <c r="BW6038" t="str">
        <f>""</f>
        <v/>
      </c>
      <c r="CH6038" t="str">
        <f>""</f>
        <v/>
      </c>
      <c r="CS6038" t="str">
        <f>""</f>
        <v/>
      </c>
    </row>
    <row r="6039" spans="1:97" x14ac:dyDescent="0.25">
      <c r="A6039" t="s">
        <v>325</v>
      </c>
      <c r="B6039" t="s">
        <v>36744</v>
      </c>
      <c r="C6039" t="s">
        <v>6039</v>
      </c>
      <c r="D6039" t="s">
        <v>36744</v>
      </c>
      <c r="E6039" t="s">
        <v>36745</v>
      </c>
      <c r="F6039" t="s">
        <v>108</v>
      </c>
      <c r="H6039" t="s">
        <v>36746</v>
      </c>
      <c r="I6039" t="s">
        <v>5636</v>
      </c>
      <c r="J6039" t="s">
        <v>111</v>
      </c>
      <c r="K6039" t="str">
        <f>"85268"</f>
        <v>85268</v>
      </c>
      <c r="L6039" t="s">
        <v>8103</v>
      </c>
      <c r="M6039" t="s">
        <v>36746</v>
      </c>
      <c r="N6039" t="s">
        <v>5636</v>
      </c>
      <c r="O6039" t="s">
        <v>111</v>
      </c>
      <c r="P6039" t="str">
        <f>"85268-4818"</f>
        <v>85268-4818</v>
      </c>
      <c r="Q6039" t="s">
        <v>113</v>
      </c>
      <c r="R6039" t="str">
        <f>"176-13-701"</f>
        <v>176-13-701</v>
      </c>
      <c r="S6039" t="s">
        <v>16889</v>
      </c>
      <c r="U6039">
        <v>1777</v>
      </c>
      <c r="V6039">
        <v>0</v>
      </c>
      <c r="W6039">
        <v>2</v>
      </c>
      <c r="X6039">
        <v>1980</v>
      </c>
      <c r="Z6039">
        <v>1</v>
      </c>
      <c r="AA6039" t="s">
        <v>26</v>
      </c>
      <c r="AB6039">
        <v>0</v>
      </c>
      <c r="AC6039" t="s">
        <v>115</v>
      </c>
      <c r="AD6039">
        <v>2</v>
      </c>
      <c r="AE6039" t="s">
        <v>115</v>
      </c>
      <c r="AF6039">
        <v>0</v>
      </c>
      <c r="AG6039">
        <v>0</v>
      </c>
      <c r="AH6039" t="s">
        <v>116</v>
      </c>
      <c r="AI6039" s="1">
        <v>53668</v>
      </c>
      <c r="AJ6039" s="2">
        <v>0.13</v>
      </c>
      <c r="AK6039" s="1">
        <v>407172</v>
      </c>
      <c r="AL6039" t="s">
        <v>117</v>
      </c>
      <c r="AM6039" t="s">
        <v>171</v>
      </c>
      <c r="AN6039">
        <v>10934</v>
      </c>
      <c r="AO6039">
        <v>0.25</v>
      </c>
      <c r="AP6039">
        <v>1</v>
      </c>
      <c r="AR6039">
        <v>1</v>
      </c>
      <c r="AS6039" s="1">
        <v>29080</v>
      </c>
      <c r="AT6039" s="1">
        <v>5810</v>
      </c>
      <c r="AU6039" s="1">
        <v>23270</v>
      </c>
      <c r="AV6039">
        <v>80.02</v>
      </c>
      <c r="AX6039" s="1">
        <v>1849.18</v>
      </c>
      <c r="AY6039" t="s">
        <v>5639</v>
      </c>
      <c r="AZ6039" t="s">
        <v>5640</v>
      </c>
      <c r="BA6039" t="s">
        <v>5641</v>
      </c>
      <c r="BE6039" s="3">
        <v>42103</v>
      </c>
      <c r="BF6039" s="1">
        <v>318000</v>
      </c>
      <c r="BG6039" t="s">
        <v>36747</v>
      </c>
      <c r="BH6039" s="1">
        <v>178.95</v>
      </c>
      <c r="BI6039" s="1">
        <v>303504</v>
      </c>
      <c r="BJ6039" s="3">
        <v>42548</v>
      </c>
      <c r="BK6039" t="s">
        <v>123</v>
      </c>
      <c r="BL6039" t="str">
        <f>"2016.445650"</f>
        <v>2016.445650</v>
      </c>
      <c r="BM6039" t="s">
        <v>322</v>
      </c>
      <c r="BN6039" t="s">
        <v>534</v>
      </c>
      <c r="BO6039" t="s">
        <v>36748</v>
      </c>
      <c r="BS6039">
        <v>30</v>
      </c>
      <c r="BT6039" s="1">
        <v>50000</v>
      </c>
      <c r="BU6039" s="3">
        <v>43283</v>
      </c>
      <c r="BW6039" t="str">
        <f>"2018.502694"</f>
        <v>2018.502694</v>
      </c>
      <c r="BX6039" t="s">
        <v>36749</v>
      </c>
      <c r="BY6039" t="s">
        <v>36750</v>
      </c>
      <c r="BZ6039" t="s">
        <v>36751</v>
      </c>
      <c r="CA6039" t="s">
        <v>36752</v>
      </c>
      <c r="CC6039" t="s">
        <v>346</v>
      </c>
      <c r="CH6039" t="str">
        <f>""</f>
        <v/>
      </c>
      <c r="CS6039" t="str">
        <f>""</f>
        <v/>
      </c>
    </row>
    <row r="6040" spans="1:97" x14ac:dyDescent="0.25">
      <c r="A6040" t="s">
        <v>1344</v>
      </c>
      <c r="B6040" t="s">
        <v>832</v>
      </c>
      <c r="C6040" t="s">
        <v>727</v>
      </c>
      <c r="D6040" t="s">
        <v>832</v>
      </c>
      <c r="E6040" t="s">
        <v>36753</v>
      </c>
      <c r="F6040" t="s">
        <v>108</v>
      </c>
      <c r="H6040" t="s">
        <v>36754</v>
      </c>
      <c r="I6040" t="s">
        <v>110</v>
      </c>
      <c r="J6040" t="s">
        <v>111</v>
      </c>
      <c r="K6040" t="str">
        <f>"85248"</f>
        <v>85248</v>
      </c>
      <c r="L6040" t="s">
        <v>516</v>
      </c>
      <c r="M6040" t="s">
        <v>36754</v>
      </c>
      <c r="N6040" t="s">
        <v>110</v>
      </c>
      <c r="O6040" t="s">
        <v>111</v>
      </c>
      <c r="P6040" t="str">
        <f>"85248-4839"</f>
        <v>85248-4839</v>
      </c>
      <c r="Q6040" t="s">
        <v>113</v>
      </c>
      <c r="R6040" t="str">
        <f>"303-90-258"</f>
        <v>303-90-258</v>
      </c>
      <c r="S6040" t="s">
        <v>36755</v>
      </c>
      <c r="T6040" t="s">
        <v>36756</v>
      </c>
      <c r="U6040">
        <v>3036</v>
      </c>
      <c r="V6040">
        <v>0</v>
      </c>
      <c r="W6040">
        <v>4</v>
      </c>
      <c r="X6040">
        <v>2003</v>
      </c>
      <c r="Z6040">
        <v>1</v>
      </c>
      <c r="AA6040" t="s">
        <v>26</v>
      </c>
      <c r="AB6040">
        <v>0</v>
      </c>
      <c r="AC6040" t="s">
        <v>115</v>
      </c>
      <c r="AD6040">
        <v>3</v>
      </c>
      <c r="AE6040" t="s">
        <v>115</v>
      </c>
      <c r="AF6040">
        <v>0</v>
      </c>
      <c r="AG6040">
        <v>0</v>
      </c>
      <c r="AH6040" t="s">
        <v>116</v>
      </c>
      <c r="AI6040" s="1">
        <v>88519</v>
      </c>
      <c r="AJ6040" s="2">
        <v>0.14000000000000001</v>
      </c>
      <c r="AK6040" s="1">
        <v>618089</v>
      </c>
      <c r="AL6040" t="s">
        <v>117</v>
      </c>
      <c r="AM6040" t="s">
        <v>118</v>
      </c>
      <c r="AN6040">
        <v>9450</v>
      </c>
      <c r="AO6040">
        <v>0.22</v>
      </c>
      <c r="AP6040">
        <v>1</v>
      </c>
      <c r="AR6040">
        <v>1</v>
      </c>
      <c r="AS6040" s="1">
        <v>45750</v>
      </c>
      <c r="AT6040" s="1">
        <v>9150</v>
      </c>
      <c r="AU6040" s="1">
        <v>36600</v>
      </c>
      <c r="AV6040">
        <v>80</v>
      </c>
      <c r="AX6040" s="1">
        <v>4567.4399999999996</v>
      </c>
      <c r="AY6040" t="s">
        <v>3351</v>
      </c>
      <c r="AZ6040" t="s">
        <v>1882</v>
      </c>
      <c r="BA6040" t="s">
        <v>121</v>
      </c>
      <c r="BE6040" s="3">
        <v>41969</v>
      </c>
      <c r="BF6040" s="1">
        <v>480000</v>
      </c>
      <c r="BG6040" t="s">
        <v>36757</v>
      </c>
      <c r="BH6040" s="1">
        <v>158.1</v>
      </c>
      <c r="BI6040" s="1">
        <v>479570</v>
      </c>
      <c r="BJ6040" s="3">
        <v>41969</v>
      </c>
      <c r="BK6040" t="s">
        <v>123</v>
      </c>
      <c r="BL6040" t="str">
        <f>"2014.787048"</f>
        <v>2014.787048</v>
      </c>
      <c r="BM6040" t="s">
        <v>936</v>
      </c>
      <c r="BO6040" t="s">
        <v>36758</v>
      </c>
      <c r="BS6040">
        <v>30</v>
      </c>
      <c r="BT6040" s="1">
        <v>50000</v>
      </c>
      <c r="BU6040" s="3">
        <v>43090</v>
      </c>
      <c r="BW6040" t="str">
        <f>"2017.947752"</f>
        <v>2017.947752</v>
      </c>
      <c r="BX6040" t="s">
        <v>135</v>
      </c>
      <c r="BZ6040" t="s">
        <v>36758</v>
      </c>
      <c r="CC6040" t="s">
        <v>1633</v>
      </c>
      <c r="CD6040">
        <v>41</v>
      </c>
      <c r="CH6040" t="str">
        <f>""</f>
        <v/>
      </c>
      <c r="CS6040" t="str">
        <f>""</f>
        <v/>
      </c>
    </row>
    <row r="6041" spans="1:97" x14ac:dyDescent="0.25">
      <c r="A6041" t="s">
        <v>524</v>
      </c>
      <c r="B6041" t="s">
        <v>370</v>
      </c>
      <c r="E6041" t="s">
        <v>36759</v>
      </c>
      <c r="F6041" t="s">
        <v>108</v>
      </c>
      <c r="H6041" t="s">
        <v>36760</v>
      </c>
      <c r="I6041" t="s">
        <v>203</v>
      </c>
      <c r="J6041" t="s">
        <v>111</v>
      </c>
      <c r="K6041" t="str">
        <f>"85298"</f>
        <v>85298</v>
      </c>
      <c r="L6041" t="s">
        <v>721</v>
      </c>
      <c r="M6041" t="s">
        <v>36760</v>
      </c>
      <c r="N6041" t="s">
        <v>203</v>
      </c>
      <c r="O6041" t="s">
        <v>111</v>
      </c>
      <c r="P6041" t="str">
        <f>"85298-8166"</f>
        <v>85298-8166</v>
      </c>
      <c r="Q6041" t="s">
        <v>113</v>
      </c>
      <c r="R6041" t="str">
        <f>"304-86-067"</f>
        <v>304-86-067</v>
      </c>
      <c r="S6041" t="s">
        <v>5950</v>
      </c>
      <c r="T6041" t="s">
        <v>5951</v>
      </c>
      <c r="U6041">
        <v>4247</v>
      </c>
      <c r="V6041">
        <v>0</v>
      </c>
      <c r="W6041">
        <v>5</v>
      </c>
      <c r="X6041">
        <v>2016</v>
      </c>
      <c r="Z6041">
        <v>1</v>
      </c>
      <c r="AA6041" t="s">
        <v>26</v>
      </c>
      <c r="AB6041">
        <v>0</v>
      </c>
      <c r="AC6041" t="s">
        <v>115</v>
      </c>
      <c r="AD6041">
        <v>4</v>
      </c>
      <c r="AE6041" t="s">
        <v>115</v>
      </c>
      <c r="AF6041">
        <v>0</v>
      </c>
      <c r="AG6041">
        <v>0</v>
      </c>
      <c r="AH6041" t="s">
        <v>116</v>
      </c>
      <c r="AI6041" s="1">
        <v>204074</v>
      </c>
      <c r="AJ6041" s="2">
        <v>0.18</v>
      </c>
      <c r="AK6041" s="1">
        <v>1157065</v>
      </c>
      <c r="AL6041" t="s">
        <v>117</v>
      </c>
      <c r="AM6041" t="s">
        <v>1521</v>
      </c>
      <c r="AN6041">
        <v>20462</v>
      </c>
      <c r="AO6041">
        <v>0.47</v>
      </c>
      <c r="AR6041">
        <v>1</v>
      </c>
      <c r="AS6041" s="1">
        <v>75850</v>
      </c>
      <c r="AT6041" s="1">
        <v>15170</v>
      </c>
      <c r="AU6041" s="1">
        <v>60680</v>
      </c>
      <c r="AV6041">
        <v>80</v>
      </c>
      <c r="AX6041" s="1">
        <v>5205.3599999999997</v>
      </c>
      <c r="AY6041" t="s">
        <v>272</v>
      </c>
      <c r="AZ6041" t="s">
        <v>273</v>
      </c>
      <c r="BA6041" t="s">
        <v>274</v>
      </c>
      <c r="BE6041" s="3">
        <v>42453</v>
      </c>
      <c r="BF6041" s="1">
        <v>950887</v>
      </c>
      <c r="BG6041" t="s">
        <v>1238</v>
      </c>
      <c r="BH6041" s="1">
        <v>223.9</v>
      </c>
      <c r="BI6041" s="1">
        <v>952991</v>
      </c>
      <c r="BJ6041" s="3">
        <v>42870</v>
      </c>
      <c r="BK6041" t="s">
        <v>123</v>
      </c>
      <c r="BL6041" t="str">
        <f>"2017.347807"</f>
        <v>2017.347807</v>
      </c>
      <c r="BM6041" t="s">
        <v>322</v>
      </c>
      <c r="BN6041" t="s">
        <v>534</v>
      </c>
      <c r="BO6041" t="s">
        <v>36761</v>
      </c>
      <c r="BS6041">
        <v>30</v>
      </c>
      <c r="BW6041" t="str">
        <f>""</f>
        <v/>
      </c>
      <c r="CH6041" t="str">
        <f>""</f>
        <v/>
      </c>
      <c r="CS6041" t="str">
        <f>""</f>
        <v/>
      </c>
    </row>
    <row r="6042" spans="1:97" x14ac:dyDescent="0.25">
      <c r="A6042" t="s">
        <v>701</v>
      </c>
      <c r="B6042" t="s">
        <v>3671</v>
      </c>
      <c r="C6042" t="s">
        <v>16679</v>
      </c>
      <c r="D6042" t="s">
        <v>3671</v>
      </c>
      <c r="E6042" t="s">
        <v>36762</v>
      </c>
      <c r="F6042" t="s">
        <v>282</v>
      </c>
      <c r="H6042" t="s">
        <v>36763</v>
      </c>
      <c r="I6042" t="s">
        <v>3150</v>
      </c>
      <c r="J6042" t="s">
        <v>111</v>
      </c>
      <c r="K6042" t="str">
        <f>"85340"</f>
        <v>85340</v>
      </c>
      <c r="L6042" t="s">
        <v>3758</v>
      </c>
      <c r="M6042" t="s">
        <v>36764</v>
      </c>
      <c r="N6042" t="s">
        <v>3150</v>
      </c>
      <c r="O6042" t="s">
        <v>111</v>
      </c>
      <c r="P6042" t="str">
        <f>"85340"</f>
        <v>85340</v>
      </c>
      <c r="Q6042" t="s">
        <v>113</v>
      </c>
      <c r="R6042" t="str">
        <f>"508-10-244"</f>
        <v>508-10-244</v>
      </c>
      <c r="S6042" t="s">
        <v>13599</v>
      </c>
      <c r="U6042">
        <v>2313</v>
      </c>
      <c r="V6042">
        <v>0</v>
      </c>
      <c r="W6042">
        <v>3</v>
      </c>
      <c r="X6042">
        <v>2002</v>
      </c>
      <c r="Z6042">
        <v>1</v>
      </c>
      <c r="AB6042">
        <v>0</v>
      </c>
      <c r="AC6042" t="s">
        <v>115</v>
      </c>
      <c r="AD6042">
        <v>2</v>
      </c>
      <c r="AE6042" t="s">
        <v>115</v>
      </c>
      <c r="AF6042">
        <v>0</v>
      </c>
      <c r="AG6042">
        <v>0</v>
      </c>
      <c r="AH6042" t="s">
        <v>116</v>
      </c>
      <c r="AI6042" s="1">
        <v>29923</v>
      </c>
      <c r="AJ6042" s="2">
        <v>0.1</v>
      </c>
      <c r="AK6042" s="1">
        <v>286923</v>
      </c>
      <c r="AL6042" t="s">
        <v>117</v>
      </c>
      <c r="AM6042" t="s">
        <v>191</v>
      </c>
      <c r="AN6042">
        <v>6441</v>
      </c>
      <c r="AO6042">
        <v>0.15</v>
      </c>
      <c r="AP6042">
        <v>1</v>
      </c>
      <c r="AR6042">
        <v>1</v>
      </c>
      <c r="AS6042" s="1">
        <v>18810</v>
      </c>
      <c r="AT6042" s="1">
        <v>3760</v>
      </c>
      <c r="AU6042" s="1">
        <v>15050</v>
      </c>
      <c r="AV6042">
        <v>80.010000000000005</v>
      </c>
      <c r="AX6042" s="1">
        <v>1299.24</v>
      </c>
      <c r="AY6042" t="s">
        <v>5241</v>
      </c>
      <c r="AZ6042" t="s">
        <v>3153</v>
      </c>
      <c r="BA6042" t="s">
        <v>3154</v>
      </c>
      <c r="BE6042" s="3">
        <v>42430</v>
      </c>
      <c r="BF6042" s="1">
        <v>257000</v>
      </c>
      <c r="BG6042" t="s">
        <v>36765</v>
      </c>
      <c r="BH6042" s="1">
        <v>111.11</v>
      </c>
      <c r="BI6042" s="1">
        <v>257000</v>
      </c>
      <c r="BJ6042" s="3">
        <v>42430</v>
      </c>
      <c r="BK6042" t="s">
        <v>123</v>
      </c>
      <c r="BL6042" t="str">
        <f>"2016.132846"</f>
        <v>2016.132846</v>
      </c>
      <c r="BM6042" t="s">
        <v>1998</v>
      </c>
      <c r="BO6042" t="s">
        <v>36766</v>
      </c>
      <c r="BS6042">
        <v>30</v>
      </c>
      <c r="BW6042" t="str">
        <f>""</f>
        <v/>
      </c>
      <c r="CH6042" t="str">
        <f>""</f>
        <v/>
      </c>
      <c r="CS6042" t="str">
        <f>""</f>
        <v/>
      </c>
    </row>
    <row r="6043" spans="1:97" x14ac:dyDescent="0.25">
      <c r="B6043" t="s">
        <v>36767</v>
      </c>
      <c r="C6043" t="s">
        <v>5375</v>
      </c>
      <c r="E6043" t="s">
        <v>36768</v>
      </c>
      <c r="F6043" t="s">
        <v>108</v>
      </c>
      <c r="H6043" t="s">
        <v>36769</v>
      </c>
      <c r="I6043" t="s">
        <v>188</v>
      </c>
      <c r="J6043" t="s">
        <v>111</v>
      </c>
      <c r="K6043" t="str">
        <f>"85142"</f>
        <v>85142</v>
      </c>
      <c r="L6043" t="s">
        <v>5910</v>
      </c>
      <c r="M6043" t="s">
        <v>36769</v>
      </c>
      <c r="N6043" t="s">
        <v>188</v>
      </c>
      <c r="O6043" t="s">
        <v>111</v>
      </c>
      <c r="P6043" t="str">
        <f>"85142-3662"</f>
        <v>85142-3662</v>
      </c>
      <c r="Q6043" t="s">
        <v>113</v>
      </c>
      <c r="R6043" t="str">
        <f>"314-04-086"</f>
        <v>314-04-086</v>
      </c>
      <c r="S6043" t="s">
        <v>36770</v>
      </c>
      <c r="U6043">
        <v>3059</v>
      </c>
      <c r="V6043">
        <v>0</v>
      </c>
      <c r="W6043">
        <v>4</v>
      </c>
      <c r="X6043">
        <v>2009</v>
      </c>
      <c r="Z6043">
        <v>1</v>
      </c>
      <c r="AA6043" t="s">
        <v>26</v>
      </c>
      <c r="AB6043">
        <v>0</v>
      </c>
      <c r="AC6043" t="s">
        <v>115</v>
      </c>
      <c r="AD6043">
        <v>3</v>
      </c>
      <c r="AE6043" t="s">
        <v>115</v>
      </c>
      <c r="AF6043">
        <v>0</v>
      </c>
      <c r="AG6043">
        <v>0</v>
      </c>
      <c r="AH6043" t="s">
        <v>116</v>
      </c>
      <c r="AI6043" s="1">
        <v>132063</v>
      </c>
      <c r="AJ6043" s="2">
        <v>0.28000000000000003</v>
      </c>
      <c r="AK6043" s="1">
        <v>467419</v>
      </c>
      <c r="AL6043" t="s">
        <v>117</v>
      </c>
      <c r="AM6043" t="s">
        <v>5791</v>
      </c>
      <c r="AN6043">
        <v>12668</v>
      </c>
      <c r="AO6043">
        <v>0.28999999999999998</v>
      </c>
      <c r="AR6043">
        <v>1</v>
      </c>
      <c r="AS6043" s="1">
        <v>34380</v>
      </c>
      <c r="AT6043" s="1">
        <v>6870</v>
      </c>
      <c r="AU6043" s="1">
        <v>27510</v>
      </c>
      <c r="AV6043">
        <v>80.02</v>
      </c>
      <c r="AX6043" s="1">
        <v>3168.28</v>
      </c>
      <c r="AY6043" t="s">
        <v>5792</v>
      </c>
      <c r="AZ6043" t="s">
        <v>5792</v>
      </c>
      <c r="BA6043" t="s">
        <v>290</v>
      </c>
      <c r="BB6043" s="3">
        <v>43664</v>
      </c>
      <c r="BC6043" s="1">
        <v>0</v>
      </c>
      <c r="BD6043" t="s">
        <v>247</v>
      </c>
      <c r="BE6043" s="3">
        <v>42382</v>
      </c>
      <c r="BF6043" s="1">
        <v>367900</v>
      </c>
      <c r="BG6043" t="s">
        <v>36771</v>
      </c>
      <c r="BH6043" s="1">
        <v>120.27</v>
      </c>
      <c r="BI6043" s="1">
        <v>335356</v>
      </c>
      <c r="BJ6043" s="3">
        <v>42382</v>
      </c>
      <c r="BK6043" t="s">
        <v>123</v>
      </c>
      <c r="BL6043" t="str">
        <f>"2016.23952"</f>
        <v>2016.23952</v>
      </c>
      <c r="BM6043" t="s">
        <v>175</v>
      </c>
      <c r="BN6043" t="s">
        <v>132</v>
      </c>
      <c r="BO6043" t="s">
        <v>36772</v>
      </c>
      <c r="BS6043">
        <v>30</v>
      </c>
      <c r="BW6043" t="str">
        <f>""</f>
        <v/>
      </c>
      <c r="CH6043" t="str">
        <f>""</f>
        <v/>
      </c>
      <c r="CS6043" t="str">
        <f>""</f>
        <v/>
      </c>
    </row>
    <row r="6044" spans="1:97" x14ac:dyDescent="0.25">
      <c r="A6044" t="s">
        <v>1109</v>
      </c>
      <c r="B6044" t="s">
        <v>14122</v>
      </c>
      <c r="C6044" t="s">
        <v>2099</v>
      </c>
      <c r="D6044" t="s">
        <v>14122</v>
      </c>
      <c r="E6044" t="s">
        <v>36773</v>
      </c>
      <c r="F6044" t="s">
        <v>108</v>
      </c>
      <c r="H6044" t="s">
        <v>36774</v>
      </c>
      <c r="I6044" t="s">
        <v>2874</v>
      </c>
      <c r="J6044" t="s">
        <v>111</v>
      </c>
      <c r="K6044" t="str">
        <f>"85308"</f>
        <v>85308</v>
      </c>
      <c r="L6044" t="s">
        <v>3982</v>
      </c>
      <c r="M6044" t="s">
        <v>36774</v>
      </c>
      <c r="N6044" t="s">
        <v>2874</v>
      </c>
      <c r="O6044" t="s">
        <v>111</v>
      </c>
      <c r="P6044" t="str">
        <f>"85308-1111"</f>
        <v>85308-1111</v>
      </c>
      <c r="R6044" t="str">
        <f>"200-47-013"</f>
        <v>200-47-013</v>
      </c>
      <c r="S6044" t="s">
        <v>32786</v>
      </c>
      <c r="U6044">
        <v>1850</v>
      </c>
      <c r="V6044">
        <v>0</v>
      </c>
      <c r="W6044">
        <v>3</v>
      </c>
      <c r="X6044">
        <v>1979</v>
      </c>
      <c r="Z6044">
        <v>1</v>
      </c>
      <c r="AB6044">
        <v>0</v>
      </c>
      <c r="AC6044" t="s">
        <v>115</v>
      </c>
      <c r="AD6044">
        <v>3</v>
      </c>
      <c r="AE6044" t="s">
        <v>115</v>
      </c>
      <c r="AF6044">
        <v>0</v>
      </c>
      <c r="AG6044">
        <v>0</v>
      </c>
      <c r="AH6044" t="s">
        <v>116</v>
      </c>
      <c r="AI6044" s="1">
        <v>70465</v>
      </c>
      <c r="AJ6044" s="2">
        <v>0.19</v>
      </c>
      <c r="AK6044" s="1">
        <v>371242</v>
      </c>
      <c r="AL6044" t="s">
        <v>117</v>
      </c>
      <c r="AM6044" t="s">
        <v>191</v>
      </c>
      <c r="AN6044">
        <v>36878</v>
      </c>
      <c r="AO6044">
        <v>0.85</v>
      </c>
      <c r="AP6044">
        <v>1</v>
      </c>
      <c r="AR6044">
        <v>1</v>
      </c>
      <c r="AS6044" s="1">
        <v>26780</v>
      </c>
      <c r="AT6044" s="1">
        <v>5350</v>
      </c>
      <c r="AU6044" s="1">
        <v>21430</v>
      </c>
      <c r="AV6044">
        <v>80.02</v>
      </c>
      <c r="AX6044" s="1">
        <v>1950.36</v>
      </c>
      <c r="AY6044" t="s">
        <v>7283</v>
      </c>
      <c r="AZ6044" t="s">
        <v>7283</v>
      </c>
      <c r="BA6044" t="s">
        <v>5143</v>
      </c>
      <c r="BE6044" s="3">
        <v>41837</v>
      </c>
      <c r="BF6044" s="1">
        <v>300000</v>
      </c>
      <c r="BG6044" t="s">
        <v>14922</v>
      </c>
      <c r="BH6044" s="1">
        <v>162.16</v>
      </c>
      <c r="BI6044" s="1">
        <v>300777</v>
      </c>
      <c r="BJ6044" s="3">
        <v>42716</v>
      </c>
      <c r="BK6044" t="s">
        <v>123</v>
      </c>
      <c r="BL6044" t="str">
        <f>"2016.911164"</f>
        <v>2016.911164</v>
      </c>
      <c r="BM6044" t="s">
        <v>322</v>
      </c>
      <c r="BN6044" t="s">
        <v>534</v>
      </c>
      <c r="BO6044" t="s">
        <v>36775</v>
      </c>
      <c r="BS6044">
        <v>30</v>
      </c>
      <c r="BW6044" t="str">
        <f>""</f>
        <v/>
      </c>
      <c r="CH6044" t="str">
        <f>""</f>
        <v/>
      </c>
      <c r="CS6044" t="str">
        <f>""</f>
        <v/>
      </c>
    </row>
    <row r="6045" spans="1:97" x14ac:dyDescent="0.25">
      <c r="A6045" t="s">
        <v>10325</v>
      </c>
      <c r="B6045" t="s">
        <v>15875</v>
      </c>
      <c r="C6045" t="s">
        <v>2201</v>
      </c>
      <c r="D6045" t="s">
        <v>15875</v>
      </c>
      <c r="E6045" t="s">
        <v>36776</v>
      </c>
      <c r="F6045" t="s">
        <v>108</v>
      </c>
      <c r="H6045" t="s">
        <v>36777</v>
      </c>
      <c r="I6045" t="s">
        <v>453</v>
      </c>
      <c r="J6045" t="s">
        <v>111</v>
      </c>
      <c r="K6045" t="str">
        <f>"85383"</f>
        <v>85383</v>
      </c>
      <c r="L6045" t="s">
        <v>1383</v>
      </c>
      <c r="M6045" t="s">
        <v>36777</v>
      </c>
      <c r="N6045" t="s">
        <v>453</v>
      </c>
      <c r="O6045" t="s">
        <v>111</v>
      </c>
      <c r="P6045" t="str">
        <f>"85383-6274"</f>
        <v>85383-6274</v>
      </c>
      <c r="Q6045" t="s">
        <v>113</v>
      </c>
      <c r="R6045" t="str">
        <f>"201-20-492"</f>
        <v>201-20-492</v>
      </c>
      <c r="S6045" t="s">
        <v>8847</v>
      </c>
      <c r="T6045" t="s">
        <v>8847</v>
      </c>
      <c r="U6045">
        <v>3273</v>
      </c>
      <c r="V6045">
        <v>0</v>
      </c>
      <c r="W6045">
        <v>5</v>
      </c>
      <c r="X6045">
        <v>2013</v>
      </c>
      <c r="Z6045">
        <v>2</v>
      </c>
      <c r="AB6045">
        <v>0</v>
      </c>
      <c r="AC6045" t="s">
        <v>115</v>
      </c>
      <c r="AD6045">
        <v>2</v>
      </c>
      <c r="AE6045" t="s">
        <v>115</v>
      </c>
      <c r="AF6045">
        <v>0</v>
      </c>
      <c r="AG6045">
        <v>0</v>
      </c>
      <c r="AH6045" t="s">
        <v>116</v>
      </c>
      <c r="AI6045" s="1">
        <v>67492</v>
      </c>
      <c r="AJ6045" s="2">
        <v>0.15</v>
      </c>
      <c r="AK6045" s="1">
        <v>453608</v>
      </c>
      <c r="AL6045" t="s">
        <v>117</v>
      </c>
      <c r="AM6045" t="s">
        <v>118</v>
      </c>
      <c r="AN6045">
        <v>7200</v>
      </c>
      <c r="AO6045">
        <v>0.16</v>
      </c>
      <c r="AR6045">
        <v>1</v>
      </c>
      <c r="AS6045" s="1">
        <v>34610</v>
      </c>
      <c r="AT6045" s="1">
        <v>6920</v>
      </c>
      <c r="AU6045" s="1">
        <v>27690</v>
      </c>
      <c r="AV6045">
        <v>80.010000000000005</v>
      </c>
      <c r="AX6045" s="1">
        <v>3536.12</v>
      </c>
      <c r="AY6045" t="s">
        <v>1385</v>
      </c>
      <c r="AZ6045" t="s">
        <v>1385</v>
      </c>
      <c r="BA6045" t="s">
        <v>1386</v>
      </c>
      <c r="BE6045" s="3">
        <v>41855</v>
      </c>
      <c r="BF6045" s="1">
        <v>377990</v>
      </c>
      <c r="BG6045" t="s">
        <v>158</v>
      </c>
      <c r="BH6045" s="1">
        <v>115.49</v>
      </c>
      <c r="BI6045" s="1">
        <v>386116</v>
      </c>
      <c r="BJ6045" s="3">
        <v>41855</v>
      </c>
      <c r="BK6045" t="s">
        <v>123</v>
      </c>
      <c r="BL6045" t="str">
        <f>"2014.511163"</f>
        <v>2014.511163</v>
      </c>
      <c r="BM6045" t="s">
        <v>241</v>
      </c>
      <c r="BO6045" t="s">
        <v>36778</v>
      </c>
      <c r="BS6045">
        <v>30</v>
      </c>
      <c r="BW6045" t="str">
        <f>""</f>
        <v/>
      </c>
      <c r="CH6045" t="str">
        <f>""</f>
        <v/>
      </c>
      <c r="CS6045" t="str">
        <f>""</f>
        <v/>
      </c>
    </row>
    <row r="6046" spans="1:97" x14ac:dyDescent="0.25">
      <c r="A6046" t="s">
        <v>36779</v>
      </c>
      <c r="B6046" t="s">
        <v>5256</v>
      </c>
      <c r="E6046" t="s">
        <v>36780</v>
      </c>
      <c r="F6046" t="s">
        <v>108</v>
      </c>
      <c r="H6046" t="s">
        <v>36781</v>
      </c>
      <c r="I6046" t="s">
        <v>632</v>
      </c>
      <c r="J6046" t="s">
        <v>111</v>
      </c>
      <c r="K6046" t="str">
        <f>"85379"</f>
        <v>85379</v>
      </c>
      <c r="L6046" t="s">
        <v>6308</v>
      </c>
      <c r="M6046" t="s">
        <v>36781</v>
      </c>
      <c r="N6046" t="s">
        <v>632</v>
      </c>
      <c r="O6046" t="s">
        <v>111</v>
      </c>
      <c r="P6046" t="str">
        <f>"85379-8677"</f>
        <v>85379-8677</v>
      </c>
      <c r="Q6046" t="s">
        <v>113</v>
      </c>
      <c r="R6046" t="str">
        <f>"509-17-611"</f>
        <v>509-17-611</v>
      </c>
      <c r="S6046" t="s">
        <v>10371</v>
      </c>
      <c r="U6046">
        <v>4068</v>
      </c>
      <c r="V6046">
        <v>0</v>
      </c>
      <c r="W6046">
        <v>4</v>
      </c>
      <c r="X6046">
        <v>2004</v>
      </c>
      <c r="Z6046">
        <v>2</v>
      </c>
      <c r="AB6046">
        <v>0</v>
      </c>
      <c r="AC6046" t="s">
        <v>115</v>
      </c>
      <c r="AD6046">
        <v>3</v>
      </c>
      <c r="AE6046" t="s">
        <v>115</v>
      </c>
      <c r="AF6046">
        <v>0</v>
      </c>
      <c r="AG6046">
        <v>0</v>
      </c>
      <c r="AH6046" t="s">
        <v>116</v>
      </c>
      <c r="AI6046" s="1">
        <v>59911</v>
      </c>
      <c r="AJ6046" s="2">
        <v>0.17</v>
      </c>
      <c r="AK6046" s="1">
        <v>351038</v>
      </c>
      <c r="AL6046" t="s">
        <v>117</v>
      </c>
      <c r="AM6046" t="s">
        <v>118</v>
      </c>
      <c r="AN6046">
        <v>7888</v>
      </c>
      <c r="AO6046">
        <v>0.18</v>
      </c>
      <c r="AR6046">
        <v>1</v>
      </c>
      <c r="AS6046" s="1">
        <v>25630</v>
      </c>
      <c r="AT6046" s="1">
        <v>5120</v>
      </c>
      <c r="AU6046" s="1">
        <v>20510</v>
      </c>
      <c r="AV6046">
        <v>80.02</v>
      </c>
      <c r="AX6046" s="1">
        <v>1926.88</v>
      </c>
      <c r="AY6046" t="s">
        <v>5818</v>
      </c>
      <c r="AZ6046" t="s">
        <v>5818</v>
      </c>
      <c r="BA6046" t="s">
        <v>321</v>
      </c>
      <c r="BE6046" s="3">
        <v>42545</v>
      </c>
      <c r="BF6046" s="1">
        <v>285000</v>
      </c>
      <c r="BG6046" t="s">
        <v>36782</v>
      </c>
      <c r="BH6046" s="1">
        <v>70.06</v>
      </c>
      <c r="BI6046" s="1">
        <v>291127</v>
      </c>
      <c r="BJ6046" s="3">
        <v>42545</v>
      </c>
      <c r="BK6046" t="s">
        <v>123</v>
      </c>
      <c r="BL6046" t="str">
        <f>"2016.443604"</f>
        <v>2016.443604</v>
      </c>
      <c r="BM6046" t="s">
        <v>903</v>
      </c>
      <c r="BO6046" t="s">
        <v>36783</v>
      </c>
      <c r="BS6046">
        <v>30</v>
      </c>
      <c r="BW6046" t="str">
        <f>""</f>
        <v/>
      </c>
      <c r="CH6046" t="str">
        <f>""</f>
        <v/>
      </c>
      <c r="CS6046" t="str">
        <f>""</f>
        <v/>
      </c>
    </row>
    <row r="6047" spans="1:97" x14ac:dyDescent="0.25">
      <c r="A6047" t="s">
        <v>1755</v>
      </c>
      <c r="B6047" t="s">
        <v>17714</v>
      </c>
      <c r="E6047" t="s">
        <v>36784</v>
      </c>
      <c r="F6047" t="s">
        <v>108</v>
      </c>
      <c r="H6047" t="s">
        <v>36785</v>
      </c>
      <c r="I6047" t="s">
        <v>1788</v>
      </c>
      <c r="J6047" t="s">
        <v>111</v>
      </c>
      <c r="K6047" t="str">
        <f>"85355"</f>
        <v>85355</v>
      </c>
      <c r="L6047" t="s">
        <v>734</v>
      </c>
      <c r="M6047" t="s">
        <v>36785</v>
      </c>
      <c r="N6047" t="s">
        <v>1788</v>
      </c>
      <c r="O6047" t="s">
        <v>111</v>
      </c>
      <c r="P6047" t="str">
        <f>"85355-7825"</f>
        <v>85355-7825</v>
      </c>
      <c r="Q6047" t="s">
        <v>113</v>
      </c>
      <c r="R6047" t="str">
        <f>"502-10-123"</f>
        <v>502-10-123</v>
      </c>
      <c r="S6047" t="s">
        <v>5970</v>
      </c>
      <c r="T6047" t="s">
        <v>5971</v>
      </c>
      <c r="U6047">
        <v>3247</v>
      </c>
      <c r="V6047">
        <v>0</v>
      </c>
      <c r="W6047">
        <v>5</v>
      </c>
      <c r="X6047">
        <v>2007</v>
      </c>
      <c r="Z6047">
        <v>1</v>
      </c>
      <c r="AB6047">
        <v>0</v>
      </c>
      <c r="AC6047" t="s">
        <v>115</v>
      </c>
      <c r="AD6047">
        <v>3</v>
      </c>
      <c r="AE6047" t="s">
        <v>115</v>
      </c>
      <c r="AF6047">
        <v>0</v>
      </c>
      <c r="AG6047">
        <v>0</v>
      </c>
      <c r="AH6047" t="s">
        <v>116</v>
      </c>
      <c r="AI6047" s="1">
        <v>94724</v>
      </c>
      <c r="AJ6047" s="2">
        <v>0.25</v>
      </c>
      <c r="AK6047" s="1">
        <v>379724</v>
      </c>
      <c r="AL6047" t="s">
        <v>117</v>
      </c>
      <c r="AM6047" t="s">
        <v>171</v>
      </c>
      <c r="AN6047">
        <v>11200</v>
      </c>
      <c r="AO6047">
        <v>0.26</v>
      </c>
      <c r="AR6047">
        <v>1</v>
      </c>
      <c r="AS6047" s="1">
        <v>28600</v>
      </c>
      <c r="AT6047" s="1">
        <v>5720</v>
      </c>
      <c r="AU6047" s="1">
        <v>22880</v>
      </c>
      <c r="AV6047">
        <v>80</v>
      </c>
      <c r="AX6047" s="1">
        <v>2429.2600000000002</v>
      </c>
      <c r="AY6047" t="s">
        <v>5972</v>
      </c>
      <c r="AZ6047" t="s">
        <v>5972</v>
      </c>
      <c r="BA6047" t="s">
        <v>5061</v>
      </c>
      <c r="BE6047" s="3">
        <v>41642</v>
      </c>
      <c r="BF6047" s="1">
        <v>285000</v>
      </c>
      <c r="BG6047" t="s">
        <v>36786</v>
      </c>
      <c r="BH6047" s="1">
        <v>87.77</v>
      </c>
      <c r="BI6047" s="1">
        <v>285000</v>
      </c>
      <c r="BJ6047" s="3">
        <v>41642</v>
      </c>
      <c r="BK6047" t="s">
        <v>123</v>
      </c>
      <c r="BL6047" t="str">
        <f>"2014.5663"</f>
        <v>2014.5663</v>
      </c>
      <c r="BM6047" t="s">
        <v>1038</v>
      </c>
      <c r="BN6047" t="s">
        <v>132</v>
      </c>
      <c r="BO6047" t="s">
        <v>36787</v>
      </c>
      <c r="BS6047">
        <v>30</v>
      </c>
      <c r="BW6047" t="str">
        <f>""</f>
        <v/>
      </c>
      <c r="CH6047" t="str">
        <f>""</f>
        <v/>
      </c>
      <c r="CS6047" t="str">
        <f>""</f>
        <v/>
      </c>
    </row>
    <row r="6048" spans="1:97" x14ac:dyDescent="0.25">
      <c r="A6048" t="s">
        <v>36788</v>
      </c>
      <c r="B6048" t="s">
        <v>36789</v>
      </c>
      <c r="C6048" t="s">
        <v>1959</v>
      </c>
      <c r="D6048" t="s">
        <v>36789</v>
      </c>
      <c r="E6048" t="s">
        <v>36790</v>
      </c>
      <c r="F6048" t="s">
        <v>108</v>
      </c>
      <c r="H6048" t="s">
        <v>36791</v>
      </c>
      <c r="I6048" t="s">
        <v>1936</v>
      </c>
      <c r="J6048" t="s">
        <v>111</v>
      </c>
      <c r="K6048" t="str">
        <f>"85254"</f>
        <v>85254</v>
      </c>
      <c r="L6048" t="s">
        <v>4565</v>
      </c>
      <c r="M6048" t="s">
        <v>36791</v>
      </c>
      <c r="N6048" t="s">
        <v>1936</v>
      </c>
      <c r="O6048" t="s">
        <v>111</v>
      </c>
      <c r="P6048" t="str">
        <f>"85254-1154"</f>
        <v>85254-1154</v>
      </c>
      <c r="Q6048" t="s">
        <v>113</v>
      </c>
      <c r="R6048" t="str">
        <f>"215-35-268"</f>
        <v>215-35-268</v>
      </c>
      <c r="S6048" t="s">
        <v>15785</v>
      </c>
      <c r="T6048" t="s">
        <v>15786</v>
      </c>
      <c r="U6048">
        <v>2328</v>
      </c>
      <c r="V6048">
        <v>0</v>
      </c>
      <c r="W6048">
        <v>3</v>
      </c>
      <c r="X6048">
        <v>1985</v>
      </c>
      <c r="Z6048">
        <v>1</v>
      </c>
      <c r="AA6048" t="s">
        <v>26</v>
      </c>
      <c r="AB6048">
        <v>0</v>
      </c>
      <c r="AC6048" t="s">
        <v>115</v>
      </c>
      <c r="AD6048">
        <v>2</v>
      </c>
      <c r="AE6048" t="s">
        <v>115</v>
      </c>
      <c r="AF6048">
        <v>0</v>
      </c>
      <c r="AG6048">
        <v>0</v>
      </c>
      <c r="AH6048" t="s">
        <v>116</v>
      </c>
      <c r="AI6048" s="1">
        <v>112310</v>
      </c>
      <c r="AJ6048" s="2">
        <v>0.22</v>
      </c>
      <c r="AK6048" s="1">
        <v>520310</v>
      </c>
      <c r="AL6048" t="s">
        <v>117</v>
      </c>
      <c r="AM6048" t="s">
        <v>1302</v>
      </c>
      <c r="AN6048">
        <v>9305</v>
      </c>
      <c r="AO6048">
        <v>0.21</v>
      </c>
      <c r="AP6048">
        <v>1</v>
      </c>
      <c r="AR6048">
        <v>1</v>
      </c>
      <c r="AS6048" s="1">
        <v>37850</v>
      </c>
      <c r="AT6048" s="1">
        <v>7570</v>
      </c>
      <c r="AU6048" s="1">
        <v>30280</v>
      </c>
      <c r="AV6048">
        <v>80</v>
      </c>
      <c r="AX6048" s="1">
        <v>3501.88</v>
      </c>
      <c r="AY6048" t="s">
        <v>15787</v>
      </c>
      <c r="AZ6048" t="s">
        <v>7739</v>
      </c>
      <c r="BA6048" t="s">
        <v>6302</v>
      </c>
      <c r="BE6048" s="3">
        <v>42167</v>
      </c>
      <c r="BF6048" s="1">
        <v>377000</v>
      </c>
      <c r="BG6048" t="s">
        <v>36792</v>
      </c>
      <c r="BH6048" s="1">
        <v>161.94</v>
      </c>
      <c r="BI6048" s="1">
        <v>408000</v>
      </c>
      <c r="BJ6048" s="3">
        <v>42615</v>
      </c>
      <c r="BK6048" t="s">
        <v>123</v>
      </c>
      <c r="BL6048" t="str">
        <f>"2016.638905"</f>
        <v>2016.638905</v>
      </c>
      <c r="BM6048" t="s">
        <v>309</v>
      </c>
      <c r="BO6048" t="s">
        <v>36793</v>
      </c>
      <c r="BS6048">
        <v>30</v>
      </c>
      <c r="BW6048" t="str">
        <f>""</f>
        <v/>
      </c>
      <c r="CH6048" t="str">
        <f>""</f>
        <v/>
      </c>
      <c r="CS6048" t="str">
        <f>""</f>
        <v/>
      </c>
    </row>
    <row r="6049" spans="1:97" x14ac:dyDescent="0.25">
      <c r="A6049" t="s">
        <v>18776</v>
      </c>
      <c r="B6049" t="s">
        <v>996</v>
      </c>
      <c r="C6049" t="s">
        <v>488</v>
      </c>
      <c r="D6049" t="s">
        <v>996</v>
      </c>
      <c r="E6049" t="s">
        <v>36794</v>
      </c>
      <c r="F6049" t="s">
        <v>108</v>
      </c>
      <c r="H6049" t="s">
        <v>36795</v>
      </c>
      <c r="I6049" t="s">
        <v>390</v>
      </c>
      <c r="J6049" t="s">
        <v>111</v>
      </c>
      <c r="K6049" t="str">
        <f>"85032"</f>
        <v>85032</v>
      </c>
      <c r="L6049" t="s">
        <v>9871</v>
      </c>
      <c r="M6049" t="s">
        <v>36795</v>
      </c>
      <c r="N6049" t="s">
        <v>390</v>
      </c>
      <c r="O6049" t="s">
        <v>111</v>
      </c>
      <c r="P6049" t="str">
        <f>"85032-4299"</f>
        <v>85032-4299</v>
      </c>
      <c r="Q6049" t="s">
        <v>113</v>
      </c>
      <c r="R6049" t="str">
        <f>"215-28-116"</f>
        <v>215-28-116</v>
      </c>
      <c r="S6049" t="s">
        <v>36796</v>
      </c>
      <c r="U6049">
        <v>2887</v>
      </c>
      <c r="V6049">
        <v>0</v>
      </c>
      <c r="W6049">
        <v>4</v>
      </c>
      <c r="X6049">
        <v>1988</v>
      </c>
      <c r="Z6049">
        <v>2</v>
      </c>
      <c r="AB6049">
        <v>0</v>
      </c>
      <c r="AC6049" t="s">
        <v>115</v>
      </c>
      <c r="AD6049">
        <v>3</v>
      </c>
      <c r="AE6049" t="s">
        <v>115</v>
      </c>
      <c r="AF6049">
        <v>0</v>
      </c>
      <c r="AG6049">
        <v>0</v>
      </c>
      <c r="AH6049" t="s">
        <v>116</v>
      </c>
      <c r="AI6049" s="1">
        <v>94025</v>
      </c>
      <c r="AJ6049" s="2">
        <v>0.19</v>
      </c>
      <c r="AK6049" s="1">
        <v>504805</v>
      </c>
      <c r="AL6049" t="s">
        <v>117</v>
      </c>
      <c r="AM6049" t="s">
        <v>1302</v>
      </c>
      <c r="AN6049">
        <v>8127</v>
      </c>
      <c r="AO6049">
        <v>0.19</v>
      </c>
      <c r="AP6049">
        <v>1</v>
      </c>
      <c r="AR6049">
        <v>1</v>
      </c>
      <c r="AS6049" s="1">
        <v>34530</v>
      </c>
      <c r="AT6049" s="1">
        <v>6900</v>
      </c>
      <c r="AU6049" s="1">
        <v>27630</v>
      </c>
      <c r="AV6049">
        <v>80.02</v>
      </c>
      <c r="AX6049" s="1">
        <v>3175.24</v>
      </c>
      <c r="AY6049" t="s">
        <v>1316</v>
      </c>
      <c r="AZ6049" t="s">
        <v>1317</v>
      </c>
      <c r="BA6049" t="s">
        <v>1318</v>
      </c>
      <c r="BE6049" s="3">
        <v>42223</v>
      </c>
      <c r="BF6049" s="1">
        <v>398000</v>
      </c>
      <c r="BG6049" t="s">
        <v>36797</v>
      </c>
      <c r="BH6049" s="1">
        <v>137.86000000000001</v>
      </c>
      <c r="BI6049" s="1">
        <v>410780</v>
      </c>
      <c r="BJ6049" s="3">
        <v>42531</v>
      </c>
      <c r="BK6049" t="s">
        <v>123</v>
      </c>
      <c r="BL6049" t="str">
        <f>"2016.401850"</f>
        <v>2016.401850</v>
      </c>
      <c r="BM6049" t="s">
        <v>322</v>
      </c>
      <c r="BO6049" t="s">
        <v>36798</v>
      </c>
      <c r="BS6049">
        <v>30</v>
      </c>
      <c r="BW6049" t="str">
        <f>""</f>
        <v/>
      </c>
      <c r="CH6049" t="str">
        <f>""</f>
        <v/>
      </c>
      <c r="CS6049" t="str">
        <f>""</f>
        <v/>
      </c>
    </row>
    <row r="6050" spans="1:97" x14ac:dyDescent="0.25">
      <c r="B6050" t="s">
        <v>23991</v>
      </c>
      <c r="E6050" t="s">
        <v>449</v>
      </c>
      <c r="F6050" t="s">
        <v>108</v>
      </c>
      <c r="H6050" t="s">
        <v>36799</v>
      </c>
      <c r="I6050" t="s">
        <v>110</v>
      </c>
      <c r="J6050" t="s">
        <v>111</v>
      </c>
      <c r="K6050" t="str">
        <f>"85249"</f>
        <v>85249</v>
      </c>
      <c r="L6050" t="s">
        <v>299</v>
      </c>
      <c r="M6050" t="s">
        <v>36799</v>
      </c>
      <c r="N6050" t="s">
        <v>110</v>
      </c>
      <c r="O6050" t="s">
        <v>111</v>
      </c>
      <c r="P6050" t="str">
        <f>"85249-4660"</f>
        <v>85249-4660</v>
      </c>
      <c r="Q6050" t="s">
        <v>113</v>
      </c>
      <c r="R6050" t="str">
        <f>"303-84-609"</f>
        <v>303-84-609</v>
      </c>
      <c r="S6050" t="s">
        <v>31784</v>
      </c>
      <c r="U6050">
        <v>4634</v>
      </c>
      <c r="V6050">
        <v>0</v>
      </c>
      <c r="W6050">
        <v>5</v>
      </c>
      <c r="X6050">
        <v>2001</v>
      </c>
      <c r="Z6050">
        <v>2</v>
      </c>
      <c r="AA6050" t="s">
        <v>26</v>
      </c>
      <c r="AB6050">
        <v>0</v>
      </c>
      <c r="AC6050" t="s">
        <v>115</v>
      </c>
      <c r="AD6050">
        <v>3</v>
      </c>
      <c r="AE6050" t="s">
        <v>115</v>
      </c>
      <c r="AF6050">
        <v>0</v>
      </c>
      <c r="AG6050">
        <v>0</v>
      </c>
      <c r="AH6050" t="s">
        <v>116</v>
      </c>
      <c r="AI6050" s="1">
        <v>127107</v>
      </c>
      <c r="AJ6050" s="2">
        <v>0.23</v>
      </c>
      <c r="AK6050" s="1">
        <v>546521</v>
      </c>
      <c r="AL6050" t="s">
        <v>117</v>
      </c>
      <c r="AM6050" t="s">
        <v>118</v>
      </c>
      <c r="AN6050">
        <v>10000</v>
      </c>
      <c r="AO6050">
        <v>0.23</v>
      </c>
      <c r="AP6050">
        <v>1</v>
      </c>
      <c r="AR6050">
        <v>1</v>
      </c>
      <c r="AS6050" s="1">
        <v>39670</v>
      </c>
      <c r="AT6050" s="1">
        <v>7930</v>
      </c>
      <c r="AU6050" s="1">
        <v>31740</v>
      </c>
      <c r="AV6050">
        <v>80.010000000000005</v>
      </c>
      <c r="AX6050" s="1">
        <v>3342.02</v>
      </c>
      <c r="AY6050" t="s">
        <v>5050</v>
      </c>
      <c r="AZ6050" t="s">
        <v>120</v>
      </c>
      <c r="BA6050" t="s">
        <v>274</v>
      </c>
      <c r="BE6050" s="3">
        <v>41922</v>
      </c>
      <c r="BF6050" s="1">
        <v>430000</v>
      </c>
      <c r="BG6050" t="s">
        <v>5609</v>
      </c>
      <c r="BH6050" s="1">
        <v>92.79</v>
      </c>
      <c r="BI6050" s="1">
        <v>419414</v>
      </c>
      <c r="BJ6050" s="3">
        <v>42654</v>
      </c>
      <c r="BK6050" t="s">
        <v>123</v>
      </c>
      <c r="BL6050" t="str">
        <f>"2016.745239"</f>
        <v>2016.745239</v>
      </c>
      <c r="BM6050" t="s">
        <v>724</v>
      </c>
      <c r="BO6050" t="s">
        <v>23991</v>
      </c>
      <c r="BS6050">
        <v>30</v>
      </c>
      <c r="BW6050" t="str">
        <f>""</f>
        <v/>
      </c>
      <c r="CH6050" t="str">
        <f>""</f>
        <v/>
      </c>
      <c r="CS6050" t="str">
        <f>""</f>
        <v/>
      </c>
    </row>
    <row r="6051" spans="1:97" x14ac:dyDescent="0.25">
      <c r="A6051" t="s">
        <v>464</v>
      </c>
      <c r="B6051" t="s">
        <v>36800</v>
      </c>
      <c r="C6051" t="s">
        <v>1496</v>
      </c>
      <c r="D6051" t="s">
        <v>36800</v>
      </c>
      <c r="E6051" t="s">
        <v>36801</v>
      </c>
      <c r="F6051" t="s">
        <v>108</v>
      </c>
      <c r="H6051" t="s">
        <v>36802</v>
      </c>
      <c r="I6051" t="s">
        <v>203</v>
      </c>
      <c r="J6051" t="s">
        <v>111</v>
      </c>
      <c r="K6051" t="str">
        <f>"85297"</f>
        <v>85297</v>
      </c>
      <c r="L6051" t="s">
        <v>7725</v>
      </c>
      <c r="M6051" t="s">
        <v>36802</v>
      </c>
      <c r="N6051" t="s">
        <v>203</v>
      </c>
      <c r="O6051" t="s">
        <v>111</v>
      </c>
      <c r="P6051" t="str">
        <f>"85297-8395"</f>
        <v>85297-8395</v>
      </c>
      <c r="Q6051" t="s">
        <v>113</v>
      </c>
      <c r="R6051" t="str">
        <f>"313-02-209"</f>
        <v>313-02-209</v>
      </c>
      <c r="S6051" t="s">
        <v>8020</v>
      </c>
      <c r="T6051" t="s">
        <v>8021</v>
      </c>
      <c r="U6051">
        <v>1724</v>
      </c>
      <c r="V6051">
        <v>0</v>
      </c>
      <c r="W6051">
        <v>3</v>
      </c>
      <c r="X6051">
        <v>2003</v>
      </c>
      <c r="Z6051">
        <v>2</v>
      </c>
      <c r="AB6051">
        <v>0</v>
      </c>
      <c r="AC6051" t="s">
        <v>115</v>
      </c>
      <c r="AD6051">
        <v>2</v>
      </c>
      <c r="AE6051" t="s">
        <v>115</v>
      </c>
      <c r="AF6051">
        <v>0</v>
      </c>
      <c r="AG6051">
        <v>0</v>
      </c>
      <c r="AH6051" t="s">
        <v>116</v>
      </c>
      <c r="AI6051" s="1">
        <v>65083</v>
      </c>
      <c r="AJ6051" s="2">
        <v>0.22</v>
      </c>
      <c r="AK6051" s="1">
        <v>294083</v>
      </c>
      <c r="AL6051" t="s">
        <v>117</v>
      </c>
      <c r="AM6051" t="s">
        <v>288</v>
      </c>
      <c r="AN6051">
        <v>4738</v>
      </c>
      <c r="AO6051">
        <v>0.11</v>
      </c>
      <c r="AP6051">
        <v>1</v>
      </c>
      <c r="AR6051">
        <v>1</v>
      </c>
      <c r="AS6051" s="1">
        <v>19510</v>
      </c>
      <c r="AT6051" s="1">
        <v>3900</v>
      </c>
      <c r="AU6051" s="1">
        <v>15610</v>
      </c>
      <c r="AV6051">
        <v>80.010000000000005</v>
      </c>
      <c r="AX6051" s="1">
        <v>1561.76</v>
      </c>
      <c r="AY6051" t="s">
        <v>289</v>
      </c>
      <c r="AZ6051" t="s">
        <v>289</v>
      </c>
      <c r="BA6051" t="s">
        <v>290</v>
      </c>
      <c r="BE6051" s="3">
        <v>42482</v>
      </c>
      <c r="BF6051" s="1">
        <v>229000</v>
      </c>
      <c r="BG6051" t="s">
        <v>36803</v>
      </c>
      <c r="BH6051" s="1">
        <v>132.83000000000001</v>
      </c>
      <c r="BI6051" s="1">
        <v>229000</v>
      </c>
      <c r="BJ6051" s="3">
        <v>42482</v>
      </c>
      <c r="BK6051" t="s">
        <v>123</v>
      </c>
      <c r="BL6051" t="str">
        <f>"2016.271153"</f>
        <v>2016.271153</v>
      </c>
      <c r="BM6051" t="s">
        <v>2683</v>
      </c>
      <c r="BO6051" t="s">
        <v>36804</v>
      </c>
      <c r="BS6051">
        <v>30</v>
      </c>
      <c r="BW6051" t="str">
        <f>""</f>
        <v/>
      </c>
      <c r="CH6051" t="str">
        <f>""</f>
        <v/>
      </c>
      <c r="CS6051" t="str">
        <f>""</f>
        <v/>
      </c>
    </row>
    <row r="6052" spans="1:97" x14ac:dyDescent="0.25">
      <c r="A6052" t="s">
        <v>894</v>
      </c>
      <c r="B6052" t="s">
        <v>16923</v>
      </c>
      <c r="C6052" t="s">
        <v>36805</v>
      </c>
      <c r="D6052" t="s">
        <v>16923</v>
      </c>
      <c r="E6052" t="s">
        <v>36806</v>
      </c>
      <c r="F6052" t="s">
        <v>108</v>
      </c>
      <c r="H6052" t="s">
        <v>36807</v>
      </c>
      <c r="I6052" t="s">
        <v>225</v>
      </c>
      <c r="J6052" t="s">
        <v>111</v>
      </c>
      <c r="K6052" t="str">
        <f>"85205"</f>
        <v>85205</v>
      </c>
      <c r="L6052" t="s">
        <v>2963</v>
      </c>
      <c r="M6052" t="s">
        <v>36807</v>
      </c>
      <c r="N6052" t="s">
        <v>225</v>
      </c>
      <c r="O6052" t="s">
        <v>111</v>
      </c>
      <c r="P6052" t="str">
        <f>"85205-6955"</f>
        <v>85205-6955</v>
      </c>
      <c r="Q6052" t="s">
        <v>113</v>
      </c>
      <c r="R6052" t="str">
        <f>"140-13-655"</f>
        <v>140-13-655</v>
      </c>
      <c r="S6052" t="s">
        <v>21192</v>
      </c>
      <c r="T6052" t="s">
        <v>21192</v>
      </c>
      <c r="U6052">
        <v>2212</v>
      </c>
      <c r="V6052">
        <v>0</v>
      </c>
      <c r="W6052">
        <v>3</v>
      </c>
      <c r="X6052">
        <v>1999</v>
      </c>
      <c r="Z6052">
        <v>1</v>
      </c>
      <c r="AB6052">
        <v>0</v>
      </c>
      <c r="AC6052" t="s">
        <v>115</v>
      </c>
      <c r="AD6052">
        <v>3</v>
      </c>
      <c r="AE6052" t="s">
        <v>115</v>
      </c>
      <c r="AF6052">
        <v>0</v>
      </c>
      <c r="AG6052">
        <v>0</v>
      </c>
      <c r="AH6052" t="s">
        <v>116</v>
      </c>
      <c r="AI6052" s="1">
        <v>74687</v>
      </c>
      <c r="AJ6052" s="2">
        <v>0.21</v>
      </c>
      <c r="AK6052" s="1">
        <v>355746</v>
      </c>
      <c r="AL6052" t="s">
        <v>117</v>
      </c>
      <c r="AM6052" t="s">
        <v>191</v>
      </c>
      <c r="AN6052">
        <v>7748</v>
      </c>
      <c r="AO6052">
        <v>0.18</v>
      </c>
      <c r="AP6052">
        <v>1</v>
      </c>
      <c r="AR6052">
        <v>1</v>
      </c>
      <c r="AS6052" s="1">
        <v>25300</v>
      </c>
      <c r="AT6052" s="1">
        <v>5060</v>
      </c>
      <c r="AU6052" s="1">
        <v>20240</v>
      </c>
      <c r="AV6052">
        <v>80</v>
      </c>
      <c r="AX6052" s="1">
        <v>1647.92</v>
      </c>
      <c r="AY6052" t="s">
        <v>1522</v>
      </c>
      <c r="AZ6052" t="s">
        <v>1523</v>
      </c>
      <c r="BA6052" t="s">
        <v>1524</v>
      </c>
      <c r="BE6052" s="3">
        <v>42306</v>
      </c>
      <c r="BF6052" s="1">
        <v>265000</v>
      </c>
      <c r="BG6052" t="s">
        <v>36808</v>
      </c>
      <c r="BH6052" s="1">
        <v>119.8</v>
      </c>
      <c r="BI6052" s="1">
        <v>281059</v>
      </c>
      <c r="BJ6052" s="3">
        <v>42440</v>
      </c>
      <c r="BK6052" t="s">
        <v>123</v>
      </c>
      <c r="BL6052" t="str">
        <f>"2016.158806"</f>
        <v>2016.158806</v>
      </c>
      <c r="BM6052" t="s">
        <v>402</v>
      </c>
      <c r="BO6052" t="s">
        <v>36809</v>
      </c>
      <c r="BS6052">
        <v>30</v>
      </c>
      <c r="BW6052" t="str">
        <f>""</f>
        <v/>
      </c>
      <c r="CH6052" t="str">
        <f>""</f>
        <v/>
      </c>
      <c r="CS6052" t="str">
        <f>""</f>
        <v/>
      </c>
    </row>
    <row r="6053" spans="1:97" x14ac:dyDescent="0.25">
      <c r="A6053" t="s">
        <v>179</v>
      </c>
      <c r="B6053" t="s">
        <v>36810</v>
      </c>
      <c r="C6053" t="s">
        <v>2719</v>
      </c>
      <c r="D6053" t="s">
        <v>36810</v>
      </c>
      <c r="E6053" t="s">
        <v>36811</v>
      </c>
      <c r="F6053" t="s">
        <v>282</v>
      </c>
      <c r="H6053" t="s">
        <v>36812</v>
      </c>
      <c r="I6053" t="s">
        <v>203</v>
      </c>
      <c r="J6053" t="s">
        <v>111</v>
      </c>
      <c r="K6053" t="str">
        <f>"85234"</f>
        <v>85234</v>
      </c>
      <c r="L6053" t="s">
        <v>4259</v>
      </c>
      <c r="M6053" t="s">
        <v>36813</v>
      </c>
      <c r="N6053" t="s">
        <v>225</v>
      </c>
      <c r="O6053" t="s">
        <v>111</v>
      </c>
      <c r="P6053" t="str">
        <f>"85212-2342"</f>
        <v>85212-2342</v>
      </c>
      <c r="Q6053" t="s">
        <v>113</v>
      </c>
      <c r="R6053" t="str">
        <f>"304-16-329"</f>
        <v>304-16-329</v>
      </c>
      <c r="S6053" t="s">
        <v>36814</v>
      </c>
      <c r="T6053" t="s">
        <v>16626</v>
      </c>
      <c r="U6053">
        <v>1450</v>
      </c>
      <c r="V6053">
        <v>0</v>
      </c>
      <c r="W6053">
        <v>2</v>
      </c>
      <c r="X6053">
        <v>1999</v>
      </c>
      <c r="Z6053">
        <v>1</v>
      </c>
      <c r="AB6053">
        <v>0</v>
      </c>
      <c r="AC6053" t="s">
        <v>115</v>
      </c>
      <c r="AD6053">
        <v>3</v>
      </c>
      <c r="AE6053" t="s">
        <v>115</v>
      </c>
      <c r="AF6053">
        <v>0</v>
      </c>
      <c r="AG6053">
        <v>0</v>
      </c>
      <c r="AH6053" t="s">
        <v>116</v>
      </c>
      <c r="AI6053" s="1">
        <v>54548</v>
      </c>
      <c r="AJ6053" s="2">
        <v>0.19</v>
      </c>
      <c r="AK6053" s="1">
        <v>288471</v>
      </c>
      <c r="AL6053" t="s">
        <v>117</v>
      </c>
      <c r="AM6053" t="s">
        <v>393</v>
      </c>
      <c r="AN6053">
        <v>7714</v>
      </c>
      <c r="AO6053">
        <v>0.18</v>
      </c>
      <c r="AP6053">
        <v>1</v>
      </c>
      <c r="AR6053">
        <v>1</v>
      </c>
      <c r="AS6053" s="1">
        <v>19820</v>
      </c>
      <c r="AT6053" s="1">
        <v>3960</v>
      </c>
      <c r="AU6053" s="1">
        <v>15860</v>
      </c>
      <c r="AV6053">
        <v>80.02</v>
      </c>
      <c r="AX6053" s="1">
        <v>1390.76</v>
      </c>
      <c r="AY6053" t="s">
        <v>7213</v>
      </c>
      <c r="AZ6053" t="s">
        <v>571</v>
      </c>
      <c r="BA6053" t="s">
        <v>521</v>
      </c>
      <c r="BE6053" s="3">
        <v>42430</v>
      </c>
      <c r="BF6053" s="1">
        <v>229000</v>
      </c>
      <c r="BG6053" t="s">
        <v>36815</v>
      </c>
      <c r="BH6053" s="1">
        <v>157.93</v>
      </c>
      <c r="BI6053" s="1">
        <v>233923</v>
      </c>
      <c r="BJ6053" s="3">
        <v>42430</v>
      </c>
      <c r="BK6053" t="s">
        <v>123</v>
      </c>
      <c r="BL6053" t="str">
        <f>"2016.131932"</f>
        <v>2016.131932</v>
      </c>
      <c r="BM6053" t="s">
        <v>4014</v>
      </c>
      <c r="BO6053" t="s">
        <v>36816</v>
      </c>
      <c r="BP6053" t="s">
        <v>36817</v>
      </c>
      <c r="BS6053">
        <v>30</v>
      </c>
      <c r="BW6053" t="str">
        <f>""</f>
        <v/>
      </c>
      <c r="CH6053" t="str">
        <f>""</f>
        <v/>
      </c>
      <c r="CS6053" t="str">
        <f>""</f>
        <v/>
      </c>
    </row>
    <row r="6054" spans="1:97" x14ac:dyDescent="0.25">
      <c r="A6054" t="s">
        <v>2828</v>
      </c>
      <c r="B6054" t="s">
        <v>8100</v>
      </c>
      <c r="C6054" t="s">
        <v>36818</v>
      </c>
      <c r="D6054" t="s">
        <v>1788</v>
      </c>
      <c r="E6054" t="s">
        <v>36819</v>
      </c>
      <c r="F6054" t="s">
        <v>108</v>
      </c>
      <c r="H6054" t="s">
        <v>36820</v>
      </c>
      <c r="I6054" t="s">
        <v>390</v>
      </c>
      <c r="J6054" t="s">
        <v>111</v>
      </c>
      <c r="K6054" t="str">
        <f>"85024"</f>
        <v>85024</v>
      </c>
      <c r="L6054" t="s">
        <v>8462</v>
      </c>
      <c r="M6054" t="s">
        <v>36820</v>
      </c>
      <c r="N6054" t="s">
        <v>390</v>
      </c>
      <c r="O6054" t="s">
        <v>111</v>
      </c>
      <c r="P6054" t="str">
        <f>"85024-9522"</f>
        <v>85024-9522</v>
      </c>
      <c r="Q6054" t="s">
        <v>113</v>
      </c>
      <c r="R6054" t="str">
        <f>"213-03-731"</f>
        <v>213-03-731</v>
      </c>
      <c r="S6054" t="s">
        <v>33582</v>
      </c>
      <c r="T6054" t="s">
        <v>33582</v>
      </c>
      <c r="U6054">
        <v>2490</v>
      </c>
      <c r="V6054">
        <v>0</v>
      </c>
      <c r="W6054">
        <v>3</v>
      </c>
      <c r="X6054">
        <v>1998</v>
      </c>
      <c r="Z6054">
        <v>2</v>
      </c>
      <c r="AB6054">
        <v>0</v>
      </c>
      <c r="AC6054" t="s">
        <v>115</v>
      </c>
      <c r="AD6054">
        <v>2</v>
      </c>
      <c r="AE6054" t="s">
        <v>115</v>
      </c>
      <c r="AF6054">
        <v>0</v>
      </c>
      <c r="AG6054">
        <v>0</v>
      </c>
      <c r="AH6054" t="s">
        <v>116</v>
      </c>
      <c r="AI6054" s="1">
        <v>115077</v>
      </c>
      <c r="AJ6054" s="2">
        <v>0.3</v>
      </c>
      <c r="AK6054" s="1">
        <v>387077</v>
      </c>
      <c r="AL6054" t="s">
        <v>117</v>
      </c>
      <c r="AM6054" t="s">
        <v>191</v>
      </c>
      <c r="AN6054">
        <v>5206</v>
      </c>
      <c r="AO6054">
        <v>0.12</v>
      </c>
      <c r="AP6054">
        <v>1</v>
      </c>
      <c r="AR6054">
        <v>1</v>
      </c>
      <c r="AS6054" s="1">
        <v>27900</v>
      </c>
      <c r="AT6054" s="1">
        <v>5580</v>
      </c>
      <c r="AU6054" s="1">
        <v>22320</v>
      </c>
      <c r="AV6054">
        <v>80</v>
      </c>
      <c r="AX6054" s="1">
        <v>2240.2600000000002</v>
      </c>
      <c r="AY6054" t="s">
        <v>570</v>
      </c>
      <c r="AZ6054" t="s">
        <v>761</v>
      </c>
      <c r="BA6054" t="s">
        <v>762</v>
      </c>
      <c r="BB6054" s="3">
        <v>42389</v>
      </c>
      <c r="BD6054" t="s">
        <v>240</v>
      </c>
      <c r="BE6054" s="3">
        <v>42356</v>
      </c>
      <c r="BF6054" s="1">
        <v>320000</v>
      </c>
      <c r="BG6054" t="s">
        <v>36821</v>
      </c>
      <c r="BH6054" s="1">
        <v>128.51</v>
      </c>
      <c r="BI6054" s="1">
        <v>272000</v>
      </c>
      <c r="BJ6054" s="3">
        <v>42356</v>
      </c>
      <c r="BK6054" t="s">
        <v>123</v>
      </c>
      <c r="BL6054" t="str">
        <f>"2015.893414"</f>
        <v>2015.893414</v>
      </c>
      <c r="BM6054" t="s">
        <v>2472</v>
      </c>
      <c r="BO6054" t="s">
        <v>36822</v>
      </c>
      <c r="BS6054">
        <v>30</v>
      </c>
      <c r="BW6054" t="str">
        <f>""</f>
        <v/>
      </c>
      <c r="CH6054" t="str">
        <f>""</f>
        <v/>
      </c>
      <c r="CS6054" t="str">
        <f>""</f>
        <v/>
      </c>
    </row>
    <row r="6055" spans="1:97" x14ac:dyDescent="0.25">
      <c r="A6055" t="s">
        <v>1743</v>
      </c>
      <c r="B6055" t="s">
        <v>576</v>
      </c>
      <c r="E6055" t="s">
        <v>36823</v>
      </c>
      <c r="F6055" t="s">
        <v>108</v>
      </c>
      <c r="H6055" t="s">
        <v>36824</v>
      </c>
      <c r="I6055" t="s">
        <v>390</v>
      </c>
      <c r="J6055" t="s">
        <v>111</v>
      </c>
      <c r="K6055" t="str">
        <f>"85022"</f>
        <v>85022</v>
      </c>
      <c r="L6055" t="s">
        <v>2857</v>
      </c>
      <c r="M6055" t="s">
        <v>36824</v>
      </c>
      <c r="N6055" t="s">
        <v>390</v>
      </c>
      <c r="O6055" t="s">
        <v>111</v>
      </c>
      <c r="P6055" t="str">
        <f>"85022-1194"</f>
        <v>85022-1194</v>
      </c>
      <c r="Q6055" t="s">
        <v>113</v>
      </c>
      <c r="R6055" t="str">
        <f>"214-72-032"</f>
        <v>214-72-032</v>
      </c>
      <c r="S6055" t="s">
        <v>18323</v>
      </c>
      <c r="T6055" t="s">
        <v>18323</v>
      </c>
      <c r="U6055">
        <v>1680</v>
      </c>
      <c r="V6055">
        <v>0</v>
      </c>
      <c r="W6055">
        <v>2</v>
      </c>
      <c r="X6055">
        <v>1999</v>
      </c>
      <c r="Z6055">
        <v>1</v>
      </c>
      <c r="AB6055">
        <v>0</v>
      </c>
      <c r="AC6055" t="s">
        <v>115</v>
      </c>
      <c r="AD6055">
        <v>2</v>
      </c>
      <c r="AE6055" t="s">
        <v>115</v>
      </c>
      <c r="AF6055">
        <v>0</v>
      </c>
      <c r="AG6055">
        <v>0</v>
      </c>
      <c r="AH6055" t="s">
        <v>116</v>
      </c>
      <c r="AI6055" s="1">
        <v>48282</v>
      </c>
      <c r="AJ6055" s="2">
        <v>0.18</v>
      </c>
      <c r="AK6055" s="1">
        <v>265212</v>
      </c>
      <c r="AL6055" t="s">
        <v>117</v>
      </c>
      <c r="AM6055" t="s">
        <v>1315</v>
      </c>
      <c r="AN6055">
        <v>4073</v>
      </c>
      <c r="AO6055">
        <v>0.94</v>
      </c>
      <c r="AP6055">
        <v>1</v>
      </c>
      <c r="AR6055">
        <v>1</v>
      </c>
      <c r="AS6055" s="1">
        <v>18950</v>
      </c>
      <c r="AT6055" s="1">
        <v>3790</v>
      </c>
      <c r="AU6055" s="1">
        <v>15160</v>
      </c>
      <c r="AV6055">
        <v>80</v>
      </c>
      <c r="AX6055" s="1">
        <v>1328.9</v>
      </c>
      <c r="AY6055" t="s">
        <v>2549</v>
      </c>
      <c r="AZ6055" t="s">
        <v>2550</v>
      </c>
      <c r="BA6055" t="s">
        <v>2551</v>
      </c>
      <c r="BE6055" s="3">
        <v>41668</v>
      </c>
      <c r="BF6055" s="1">
        <v>166500</v>
      </c>
      <c r="BG6055" t="s">
        <v>36825</v>
      </c>
      <c r="BH6055" s="1">
        <v>99.11</v>
      </c>
      <c r="BI6055" s="1">
        <v>216930</v>
      </c>
      <c r="BJ6055" s="3">
        <v>43133</v>
      </c>
      <c r="BK6055" t="s">
        <v>123</v>
      </c>
      <c r="BL6055" t="str">
        <f>"2018.84938"</f>
        <v>2018.84938</v>
      </c>
      <c r="BM6055" t="s">
        <v>673</v>
      </c>
      <c r="BN6055" t="s">
        <v>674</v>
      </c>
      <c r="BO6055" t="s">
        <v>36826</v>
      </c>
      <c r="BR6055" t="s">
        <v>139</v>
      </c>
      <c r="BW6055" t="str">
        <f>""</f>
        <v/>
      </c>
      <c r="CH6055" t="str">
        <f>""</f>
        <v/>
      </c>
      <c r="CS6055" t="str">
        <f>""</f>
        <v/>
      </c>
    </row>
    <row r="6056" spans="1:97" x14ac:dyDescent="0.25">
      <c r="A6056" t="s">
        <v>701</v>
      </c>
      <c r="B6056" t="s">
        <v>36827</v>
      </c>
      <c r="C6056" t="s">
        <v>2319</v>
      </c>
      <c r="D6056" t="s">
        <v>36827</v>
      </c>
      <c r="E6056" t="s">
        <v>36828</v>
      </c>
      <c r="F6056" t="s">
        <v>108</v>
      </c>
      <c r="H6056" t="s">
        <v>36829</v>
      </c>
      <c r="I6056" t="s">
        <v>499</v>
      </c>
      <c r="J6056" t="s">
        <v>111</v>
      </c>
      <c r="K6056" t="str">
        <f>"85338"</f>
        <v>85338</v>
      </c>
      <c r="L6056" t="s">
        <v>7339</v>
      </c>
      <c r="M6056" t="s">
        <v>36829</v>
      </c>
      <c r="N6056" t="s">
        <v>499</v>
      </c>
      <c r="O6056" t="s">
        <v>111</v>
      </c>
      <c r="P6056" t="str">
        <f>"85338-7654"</f>
        <v>85338-7654</v>
      </c>
      <c r="Q6056" t="s">
        <v>113</v>
      </c>
      <c r="R6056" t="str">
        <f>"400-82-179"</f>
        <v>400-82-179</v>
      </c>
      <c r="S6056" t="s">
        <v>20418</v>
      </c>
      <c r="T6056" t="s">
        <v>17252</v>
      </c>
      <c r="U6056">
        <v>3689</v>
      </c>
      <c r="V6056">
        <v>0</v>
      </c>
      <c r="W6056">
        <v>5</v>
      </c>
      <c r="X6056">
        <v>2009</v>
      </c>
      <c r="Z6056">
        <v>2</v>
      </c>
      <c r="AA6056" t="s">
        <v>26</v>
      </c>
      <c r="AB6056">
        <v>0</v>
      </c>
      <c r="AC6056" t="s">
        <v>115</v>
      </c>
      <c r="AD6056">
        <v>3</v>
      </c>
      <c r="AE6056" t="s">
        <v>115</v>
      </c>
      <c r="AF6056">
        <v>0</v>
      </c>
      <c r="AG6056">
        <v>0</v>
      </c>
      <c r="AH6056" t="s">
        <v>116</v>
      </c>
      <c r="AI6056" s="1">
        <v>102719</v>
      </c>
      <c r="AJ6056" s="2">
        <v>0.22</v>
      </c>
      <c r="AK6056" s="1">
        <v>459928</v>
      </c>
      <c r="AL6056" t="s">
        <v>117</v>
      </c>
      <c r="AM6056" t="s">
        <v>118</v>
      </c>
      <c r="AN6056">
        <v>8710</v>
      </c>
      <c r="AO6056">
        <v>0.2</v>
      </c>
      <c r="AR6056">
        <v>1</v>
      </c>
      <c r="AS6056" s="1">
        <v>32570</v>
      </c>
      <c r="AT6056" s="1">
        <v>6510</v>
      </c>
      <c r="AU6056" s="1">
        <v>26060</v>
      </c>
      <c r="AV6056">
        <v>80.010000000000005</v>
      </c>
      <c r="AX6056" s="1">
        <v>4547.3</v>
      </c>
      <c r="AY6056" t="s">
        <v>1246</v>
      </c>
      <c r="AZ6056" t="s">
        <v>1246</v>
      </c>
      <c r="BA6056" t="s">
        <v>1247</v>
      </c>
      <c r="BE6056" s="3">
        <v>42331</v>
      </c>
      <c r="BF6056" s="1">
        <v>378000</v>
      </c>
      <c r="BG6056" t="s">
        <v>36830</v>
      </c>
      <c r="BH6056" s="1">
        <v>102.47</v>
      </c>
      <c r="BI6056" s="1">
        <v>357209</v>
      </c>
      <c r="BJ6056" s="3">
        <v>43068</v>
      </c>
      <c r="BK6056" t="s">
        <v>123</v>
      </c>
      <c r="BL6056" t="str">
        <f>"2017.882999"</f>
        <v>2017.882999</v>
      </c>
      <c r="BM6056" t="s">
        <v>5382</v>
      </c>
      <c r="BO6056" t="s">
        <v>36831</v>
      </c>
      <c r="BS6056">
        <v>30</v>
      </c>
      <c r="BW6056" t="str">
        <f>""</f>
        <v/>
      </c>
      <c r="CH6056" t="str">
        <f>""</f>
        <v/>
      </c>
      <c r="CS6056" t="str">
        <f>""</f>
        <v/>
      </c>
    </row>
    <row r="6057" spans="1:97" x14ac:dyDescent="0.25">
      <c r="A6057" t="s">
        <v>9720</v>
      </c>
      <c r="B6057" t="s">
        <v>327</v>
      </c>
      <c r="C6057" t="s">
        <v>767</v>
      </c>
      <c r="D6057" t="s">
        <v>327</v>
      </c>
      <c r="E6057" t="s">
        <v>36832</v>
      </c>
      <c r="F6057" t="s">
        <v>108</v>
      </c>
      <c r="H6057" t="s">
        <v>36833</v>
      </c>
      <c r="I6057" t="s">
        <v>110</v>
      </c>
      <c r="J6057" t="s">
        <v>111</v>
      </c>
      <c r="K6057" t="str">
        <f>"85225"</f>
        <v>85225</v>
      </c>
      <c r="L6057" t="s">
        <v>2547</v>
      </c>
      <c r="M6057" t="s">
        <v>36833</v>
      </c>
      <c r="N6057" t="s">
        <v>110</v>
      </c>
      <c r="O6057" t="s">
        <v>111</v>
      </c>
      <c r="P6057" t="str">
        <f>"85225-1574"</f>
        <v>85225-1574</v>
      </c>
      <c r="Q6057" t="s">
        <v>113</v>
      </c>
      <c r="R6057" t="str">
        <f>"302-98-872"</f>
        <v>302-98-872</v>
      </c>
      <c r="S6057" t="s">
        <v>36834</v>
      </c>
      <c r="T6057" t="s">
        <v>36835</v>
      </c>
      <c r="U6057">
        <v>1599</v>
      </c>
      <c r="V6057">
        <v>0</v>
      </c>
      <c r="W6057">
        <v>3</v>
      </c>
      <c r="X6057">
        <v>1993</v>
      </c>
      <c r="Z6057">
        <v>1</v>
      </c>
      <c r="AA6057" t="s">
        <v>26</v>
      </c>
      <c r="AB6057">
        <v>0</v>
      </c>
      <c r="AC6057" t="s">
        <v>115</v>
      </c>
      <c r="AD6057">
        <v>2</v>
      </c>
      <c r="AE6057" t="s">
        <v>115</v>
      </c>
      <c r="AF6057">
        <v>0</v>
      </c>
      <c r="AG6057">
        <v>0</v>
      </c>
      <c r="AH6057" t="s">
        <v>116</v>
      </c>
      <c r="AI6057" s="1">
        <v>63862</v>
      </c>
      <c r="AJ6057" s="2">
        <v>0.21</v>
      </c>
      <c r="AK6057" s="1">
        <v>302470</v>
      </c>
      <c r="AL6057" t="s">
        <v>117</v>
      </c>
      <c r="AM6057" t="s">
        <v>118</v>
      </c>
      <c r="AN6057">
        <v>4596</v>
      </c>
      <c r="AO6057">
        <v>0.11</v>
      </c>
      <c r="AP6057">
        <v>1</v>
      </c>
      <c r="AR6057">
        <v>1</v>
      </c>
      <c r="AS6057" s="1">
        <v>20720</v>
      </c>
      <c r="AT6057" s="1">
        <v>4140</v>
      </c>
      <c r="AU6057" s="1">
        <v>16580</v>
      </c>
      <c r="AV6057">
        <v>80.02</v>
      </c>
      <c r="AX6057" s="1">
        <v>1604.96</v>
      </c>
      <c r="AY6057" t="s">
        <v>6163</v>
      </c>
      <c r="AZ6057" t="s">
        <v>2906</v>
      </c>
      <c r="BA6057" t="s">
        <v>2957</v>
      </c>
      <c r="BB6057" s="3">
        <v>42347</v>
      </c>
      <c r="BC6057" s="1">
        <v>77650</v>
      </c>
      <c r="BD6057" t="s">
        <v>240</v>
      </c>
      <c r="BE6057" s="3">
        <v>41712</v>
      </c>
      <c r="BF6057" s="1">
        <v>224700</v>
      </c>
      <c r="BG6057" t="s">
        <v>36836</v>
      </c>
      <c r="BH6057" s="1">
        <v>140.53</v>
      </c>
      <c r="BI6057" s="1">
        <v>238608</v>
      </c>
      <c r="BJ6057" s="3">
        <v>42424</v>
      </c>
      <c r="BK6057" t="s">
        <v>123</v>
      </c>
      <c r="BL6057" t="str">
        <f>"2016.116971"</f>
        <v>2016.116971</v>
      </c>
      <c r="BM6057" t="s">
        <v>135</v>
      </c>
      <c r="BN6057" t="s">
        <v>136</v>
      </c>
      <c r="BO6057" t="s">
        <v>36837</v>
      </c>
      <c r="BS6057">
        <v>30</v>
      </c>
      <c r="BT6057" s="1">
        <v>238608</v>
      </c>
      <c r="BU6057" s="3">
        <v>42424</v>
      </c>
      <c r="BV6057" t="s">
        <v>123</v>
      </c>
      <c r="BW6057" t="str">
        <f>"2016.116971"</f>
        <v>2016.116971</v>
      </c>
      <c r="BX6057" t="s">
        <v>135</v>
      </c>
      <c r="BZ6057" t="s">
        <v>36837</v>
      </c>
      <c r="CD6057">
        <v>30</v>
      </c>
      <c r="CH6057" t="str">
        <f>""</f>
        <v/>
      </c>
      <c r="CS6057" t="str">
        <f>""</f>
        <v/>
      </c>
    </row>
    <row r="6058" spans="1:97" x14ac:dyDescent="0.25">
      <c r="A6058" t="s">
        <v>5755</v>
      </c>
      <c r="B6058" t="s">
        <v>36838</v>
      </c>
      <c r="E6058" t="s">
        <v>36839</v>
      </c>
      <c r="F6058" t="s">
        <v>108</v>
      </c>
      <c r="H6058" t="s">
        <v>36840</v>
      </c>
      <c r="I6058" t="s">
        <v>453</v>
      </c>
      <c r="J6058" t="s">
        <v>111</v>
      </c>
      <c r="K6058" t="str">
        <f>"85383"</f>
        <v>85383</v>
      </c>
      <c r="L6058" t="s">
        <v>189</v>
      </c>
      <c r="M6058" t="s">
        <v>36840</v>
      </c>
      <c r="N6058" t="s">
        <v>453</v>
      </c>
      <c r="O6058" t="s">
        <v>111</v>
      </c>
      <c r="P6058" t="str">
        <f>"85383-5068"</f>
        <v>85383-5068</v>
      </c>
      <c r="Q6058" t="s">
        <v>113</v>
      </c>
      <c r="R6058" t="str">
        <f>"503-97-835"</f>
        <v>503-97-835</v>
      </c>
      <c r="S6058" t="s">
        <v>31758</v>
      </c>
      <c r="U6058">
        <v>3816</v>
      </c>
      <c r="V6058">
        <v>0</v>
      </c>
      <c r="W6058">
        <v>5</v>
      </c>
      <c r="X6058">
        <v>2015</v>
      </c>
      <c r="Z6058">
        <v>1</v>
      </c>
      <c r="AA6058" t="s">
        <v>26</v>
      </c>
      <c r="AB6058">
        <v>0</v>
      </c>
      <c r="AC6058" t="s">
        <v>115</v>
      </c>
      <c r="AD6058">
        <v>4</v>
      </c>
      <c r="AE6058" t="s">
        <v>115</v>
      </c>
      <c r="AF6058">
        <v>0</v>
      </c>
      <c r="AG6058">
        <v>0</v>
      </c>
      <c r="AH6058" t="s">
        <v>116</v>
      </c>
      <c r="AI6058" s="1">
        <v>102456</v>
      </c>
      <c r="AJ6058" s="2">
        <v>0.15</v>
      </c>
      <c r="AK6058" s="1">
        <v>663956</v>
      </c>
      <c r="AL6058" t="s">
        <v>117</v>
      </c>
      <c r="AM6058" t="s">
        <v>118</v>
      </c>
      <c r="AN6058">
        <v>11312</v>
      </c>
      <c r="AO6058">
        <v>0.26</v>
      </c>
      <c r="AR6058">
        <v>1</v>
      </c>
      <c r="AS6058" s="1">
        <v>56320</v>
      </c>
      <c r="AT6058" s="1">
        <v>11260</v>
      </c>
      <c r="AU6058" s="1">
        <v>45060</v>
      </c>
      <c r="AV6058">
        <v>80.010000000000005</v>
      </c>
      <c r="AX6058" s="1">
        <v>6046.42</v>
      </c>
      <c r="AY6058" t="s">
        <v>456</v>
      </c>
      <c r="AZ6058" t="s">
        <v>456</v>
      </c>
      <c r="BA6058" t="s">
        <v>457</v>
      </c>
      <c r="BE6058" s="3">
        <v>42180</v>
      </c>
      <c r="BF6058" s="1">
        <v>600259</v>
      </c>
      <c r="BG6058" t="s">
        <v>1238</v>
      </c>
      <c r="BH6058" s="1">
        <v>157.30000000000001</v>
      </c>
      <c r="BI6058" s="1">
        <v>561500</v>
      </c>
      <c r="BJ6058" s="3">
        <v>42390</v>
      </c>
      <c r="BK6058" t="s">
        <v>123</v>
      </c>
      <c r="BL6058" t="str">
        <f>"2016.41599"</f>
        <v>2016.41599</v>
      </c>
      <c r="BM6058" t="s">
        <v>124</v>
      </c>
      <c r="BO6058" t="s">
        <v>36841</v>
      </c>
      <c r="BS6058">
        <v>30</v>
      </c>
      <c r="BW6058" t="str">
        <f>""</f>
        <v/>
      </c>
      <c r="CH6058" t="str">
        <f>""</f>
        <v/>
      </c>
      <c r="CS6058" t="str">
        <f>""</f>
        <v/>
      </c>
    </row>
    <row r="6059" spans="1:97" x14ac:dyDescent="0.25">
      <c r="A6059" t="s">
        <v>7497</v>
      </c>
      <c r="B6059" t="s">
        <v>36842</v>
      </c>
      <c r="C6059" t="s">
        <v>365</v>
      </c>
      <c r="D6059" t="s">
        <v>36842</v>
      </c>
      <c r="E6059" t="s">
        <v>36843</v>
      </c>
      <c r="F6059" t="s">
        <v>108</v>
      </c>
      <c r="H6059" t="s">
        <v>36844</v>
      </c>
      <c r="I6059" t="s">
        <v>2874</v>
      </c>
      <c r="J6059" t="s">
        <v>111</v>
      </c>
      <c r="K6059" t="str">
        <f>"85308"</f>
        <v>85308</v>
      </c>
      <c r="L6059" t="s">
        <v>7607</v>
      </c>
      <c r="M6059" t="s">
        <v>36844</v>
      </c>
      <c r="N6059" t="s">
        <v>2874</v>
      </c>
      <c r="O6059" t="s">
        <v>111</v>
      </c>
      <c r="P6059" t="str">
        <f>"85308-9410"</f>
        <v>85308-9410</v>
      </c>
      <c r="Q6059" t="s">
        <v>113</v>
      </c>
      <c r="R6059" t="str">
        <f>"200-21-577"</f>
        <v>200-21-577</v>
      </c>
      <c r="S6059" t="s">
        <v>36845</v>
      </c>
      <c r="T6059" t="s">
        <v>36845</v>
      </c>
      <c r="U6059">
        <v>1998</v>
      </c>
      <c r="V6059">
        <v>0</v>
      </c>
      <c r="W6059">
        <v>4</v>
      </c>
      <c r="X6059">
        <v>1997</v>
      </c>
      <c r="Z6059">
        <v>1</v>
      </c>
      <c r="AB6059">
        <v>0</v>
      </c>
      <c r="AC6059" t="s">
        <v>115</v>
      </c>
      <c r="AD6059">
        <v>2</v>
      </c>
      <c r="AE6059" t="s">
        <v>115</v>
      </c>
      <c r="AF6059">
        <v>0</v>
      </c>
      <c r="AG6059">
        <v>0</v>
      </c>
      <c r="AH6059" t="s">
        <v>116</v>
      </c>
      <c r="AI6059" s="1">
        <v>156123</v>
      </c>
      <c r="AJ6059" s="2">
        <v>0.41</v>
      </c>
      <c r="AK6059" s="1">
        <v>376341</v>
      </c>
      <c r="AL6059" t="s">
        <v>117</v>
      </c>
      <c r="AM6059" t="s">
        <v>191</v>
      </c>
      <c r="AN6059">
        <v>6900</v>
      </c>
      <c r="AO6059">
        <v>0.16</v>
      </c>
      <c r="AP6059">
        <v>1</v>
      </c>
      <c r="AR6059">
        <v>1</v>
      </c>
      <c r="AS6059" s="1">
        <v>27170</v>
      </c>
      <c r="AT6059" s="1">
        <v>5430</v>
      </c>
      <c r="AU6059" s="1">
        <v>21740</v>
      </c>
      <c r="AV6059">
        <v>80.010000000000005</v>
      </c>
      <c r="AX6059" s="1">
        <v>2580.6799999999998</v>
      </c>
      <c r="AY6059" t="s">
        <v>8358</v>
      </c>
      <c r="AZ6059" t="s">
        <v>8358</v>
      </c>
      <c r="BA6059" t="s">
        <v>2223</v>
      </c>
      <c r="BE6059" s="3">
        <v>42125</v>
      </c>
      <c r="BF6059" s="1">
        <v>301000</v>
      </c>
      <c r="BG6059" t="s">
        <v>36846</v>
      </c>
      <c r="BH6059" s="1">
        <v>150.65</v>
      </c>
      <c r="BI6059" s="1">
        <v>220218</v>
      </c>
      <c r="BJ6059" s="3">
        <v>42125</v>
      </c>
      <c r="BK6059" t="s">
        <v>123</v>
      </c>
      <c r="BL6059" t="str">
        <f>"2015.310197"</f>
        <v>2015.310197</v>
      </c>
      <c r="BM6059" t="s">
        <v>1287</v>
      </c>
      <c r="BO6059" t="s">
        <v>36847</v>
      </c>
      <c r="BS6059">
        <v>30</v>
      </c>
      <c r="BW6059" t="str">
        <f>""</f>
        <v/>
      </c>
      <c r="CH6059" t="str">
        <f>""</f>
        <v/>
      </c>
      <c r="CS6059" t="str">
        <f>""</f>
        <v/>
      </c>
    </row>
    <row r="6060" spans="1:97" x14ac:dyDescent="0.25">
      <c r="A6060" t="s">
        <v>894</v>
      </c>
      <c r="B6060" t="s">
        <v>36848</v>
      </c>
      <c r="E6060" t="s">
        <v>36849</v>
      </c>
      <c r="F6060" t="s">
        <v>108</v>
      </c>
      <c r="H6060" t="s">
        <v>36850</v>
      </c>
      <c r="I6060" t="s">
        <v>203</v>
      </c>
      <c r="J6060" t="s">
        <v>111</v>
      </c>
      <c r="K6060" t="str">
        <f>"85233"</f>
        <v>85233</v>
      </c>
      <c r="L6060" t="s">
        <v>3161</v>
      </c>
      <c r="M6060" t="s">
        <v>36850</v>
      </c>
      <c r="N6060" t="s">
        <v>203</v>
      </c>
      <c r="O6060" t="s">
        <v>111</v>
      </c>
      <c r="P6060" t="str">
        <f>"85233-8307"</f>
        <v>85233-8307</v>
      </c>
      <c r="Q6060" t="s">
        <v>113</v>
      </c>
      <c r="R6060" t="str">
        <f>"302-36-108"</f>
        <v>302-36-108</v>
      </c>
      <c r="S6060" t="s">
        <v>16214</v>
      </c>
      <c r="T6060" t="s">
        <v>16214</v>
      </c>
      <c r="U6060">
        <v>2374</v>
      </c>
      <c r="V6060">
        <v>0</v>
      </c>
      <c r="W6060">
        <v>3</v>
      </c>
      <c r="X6060">
        <v>1997</v>
      </c>
      <c r="Z6060">
        <v>1</v>
      </c>
      <c r="AA6060" t="s">
        <v>26</v>
      </c>
      <c r="AB6060">
        <v>0</v>
      </c>
      <c r="AC6060" t="s">
        <v>115</v>
      </c>
      <c r="AD6060">
        <v>3</v>
      </c>
      <c r="AE6060" t="s">
        <v>115</v>
      </c>
      <c r="AF6060">
        <v>0</v>
      </c>
      <c r="AG6060">
        <v>0</v>
      </c>
      <c r="AH6060" t="s">
        <v>116</v>
      </c>
      <c r="AI6060" s="1">
        <v>87995</v>
      </c>
      <c r="AJ6060" s="2">
        <v>0.21</v>
      </c>
      <c r="AK6060" s="1">
        <v>413853</v>
      </c>
      <c r="AL6060" t="s">
        <v>117</v>
      </c>
      <c r="AM6060" t="s">
        <v>171</v>
      </c>
      <c r="AN6060">
        <v>9615</v>
      </c>
      <c r="AO6060">
        <v>0.22</v>
      </c>
      <c r="AP6060">
        <v>1</v>
      </c>
      <c r="AR6060">
        <v>1</v>
      </c>
      <c r="AS6060" s="1">
        <v>29050</v>
      </c>
      <c r="AT6060" s="1">
        <v>5810</v>
      </c>
      <c r="AU6060" s="1">
        <v>23240</v>
      </c>
      <c r="AV6060">
        <v>80</v>
      </c>
      <c r="AX6060" s="1">
        <v>2226.64</v>
      </c>
      <c r="AY6060" t="s">
        <v>7046</v>
      </c>
      <c r="AZ6060" t="s">
        <v>207</v>
      </c>
      <c r="BA6060" t="s">
        <v>5479</v>
      </c>
      <c r="BE6060" s="3">
        <v>41873</v>
      </c>
      <c r="BF6060" s="1">
        <v>319000</v>
      </c>
      <c r="BG6060" t="s">
        <v>36851</v>
      </c>
      <c r="BH6060" s="1">
        <v>134.37</v>
      </c>
      <c r="BI6060" s="1">
        <v>325858</v>
      </c>
      <c r="BJ6060" s="3">
        <v>41873</v>
      </c>
      <c r="BK6060" t="s">
        <v>123</v>
      </c>
      <c r="BL6060" t="str">
        <f>"2014.558742"</f>
        <v>2014.558742</v>
      </c>
      <c r="BM6060" t="s">
        <v>2683</v>
      </c>
      <c r="BO6060" t="s">
        <v>36852</v>
      </c>
      <c r="BS6060">
        <v>30</v>
      </c>
      <c r="BW6060" t="str">
        <f>""</f>
        <v/>
      </c>
      <c r="CH6060" t="str">
        <f>""</f>
        <v/>
      </c>
      <c r="CS6060" t="str">
        <f>""</f>
        <v/>
      </c>
    </row>
    <row r="6061" spans="1:97" x14ac:dyDescent="0.25">
      <c r="A6061" t="s">
        <v>1421</v>
      </c>
      <c r="B6061" t="s">
        <v>36853</v>
      </c>
      <c r="C6061" t="s">
        <v>154</v>
      </c>
      <c r="D6061" t="s">
        <v>36853</v>
      </c>
      <c r="E6061" t="s">
        <v>36854</v>
      </c>
      <c r="F6061" t="s">
        <v>108</v>
      </c>
      <c r="H6061" t="s">
        <v>36855</v>
      </c>
      <c r="I6061" t="s">
        <v>6646</v>
      </c>
      <c r="J6061" t="s">
        <v>111</v>
      </c>
      <c r="K6061" t="str">
        <f>"85086"</f>
        <v>85086</v>
      </c>
      <c r="L6061" t="s">
        <v>3161</v>
      </c>
      <c r="M6061" t="s">
        <v>36855</v>
      </c>
      <c r="N6061" t="s">
        <v>6646</v>
      </c>
      <c r="O6061" t="s">
        <v>111</v>
      </c>
      <c r="P6061" t="str">
        <f>"85086-8073"</f>
        <v>85086-8073</v>
      </c>
      <c r="Q6061" t="s">
        <v>113</v>
      </c>
      <c r="R6061" t="str">
        <f>"202-22-300"</f>
        <v>202-22-300</v>
      </c>
      <c r="S6061" t="s">
        <v>36856</v>
      </c>
      <c r="T6061" t="s">
        <v>14904</v>
      </c>
      <c r="U6061">
        <v>2972</v>
      </c>
      <c r="V6061">
        <v>0</v>
      </c>
      <c r="W6061">
        <v>4</v>
      </c>
      <c r="X6061">
        <v>2002</v>
      </c>
      <c r="Z6061">
        <v>2</v>
      </c>
      <c r="AB6061">
        <v>0</v>
      </c>
      <c r="AC6061" t="s">
        <v>115</v>
      </c>
      <c r="AD6061">
        <v>3</v>
      </c>
      <c r="AE6061" t="s">
        <v>115</v>
      </c>
      <c r="AF6061">
        <v>0</v>
      </c>
      <c r="AG6061">
        <v>0</v>
      </c>
      <c r="AH6061" t="s">
        <v>116</v>
      </c>
      <c r="AI6061" s="1">
        <v>92448</v>
      </c>
      <c r="AJ6061" s="2">
        <v>0.25</v>
      </c>
      <c r="AK6061" s="1">
        <v>366248</v>
      </c>
      <c r="AL6061" t="s">
        <v>117</v>
      </c>
      <c r="AM6061" t="s">
        <v>1302</v>
      </c>
      <c r="AN6061">
        <v>7728</v>
      </c>
      <c r="AO6061">
        <v>0.18</v>
      </c>
      <c r="AP6061">
        <v>1</v>
      </c>
      <c r="AR6061">
        <v>1</v>
      </c>
      <c r="AS6061" s="1">
        <v>26670</v>
      </c>
      <c r="AT6061" s="1">
        <v>5330</v>
      </c>
      <c r="AU6061" s="1">
        <v>21340</v>
      </c>
      <c r="AV6061">
        <v>80.010000000000005</v>
      </c>
      <c r="AX6061" s="1">
        <v>2996.46</v>
      </c>
      <c r="AY6061" t="s">
        <v>5380</v>
      </c>
      <c r="AZ6061" t="s">
        <v>5380</v>
      </c>
      <c r="BA6061" t="s">
        <v>378</v>
      </c>
      <c r="BE6061" s="3">
        <v>42272</v>
      </c>
      <c r="BF6061" s="1">
        <v>296000</v>
      </c>
      <c r="BG6061" t="s">
        <v>36857</v>
      </c>
      <c r="BH6061" s="1">
        <v>99.6</v>
      </c>
      <c r="BI6061" s="1">
        <v>273800</v>
      </c>
      <c r="BJ6061" s="3">
        <v>42919</v>
      </c>
      <c r="BK6061" t="s">
        <v>123</v>
      </c>
      <c r="BL6061" t="str">
        <f>"2017.487275"</f>
        <v>2017.487275</v>
      </c>
      <c r="BM6061" t="s">
        <v>8621</v>
      </c>
      <c r="BO6061" t="s">
        <v>36858</v>
      </c>
      <c r="BS6061">
        <v>29</v>
      </c>
      <c r="BW6061" t="str">
        <f>""</f>
        <v/>
      </c>
      <c r="CH6061" t="str">
        <f>""</f>
        <v/>
      </c>
      <c r="CS6061" t="str">
        <f>""</f>
        <v/>
      </c>
    </row>
    <row r="6062" spans="1:97" x14ac:dyDescent="0.25">
      <c r="A6062" t="s">
        <v>2045</v>
      </c>
      <c r="B6062" t="s">
        <v>36859</v>
      </c>
      <c r="C6062" t="s">
        <v>7732</v>
      </c>
      <c r="D6062" t="s">
        <v>36859</v>
      </c>
      <c r="E6062" t="s">
        <v>36860</v>
      </c>
      <c r="F6062" t="s">
        <v>108</v>
      </c>
      <c r="H6062" t="s">
        <v>36861</v>
      </c>
      <c r="I6062" t="s">
        <v>110</v>
      </c>
      <c r="J6062" t="s">
        <v>111</v>
      </c>
      <c r="K6062" t="str">
        <f>"85225"</f>
        <v>85225</v>
      </c>
      <c r="L6062" t="s">
        <v>1244</v>
      </c>
      <c r="M6062" t="s">
        <v>36861</v>
      </c>
      <c r="N6062" t="s">
        <v>110</v>
      </c>
      <c r="O6062" t="s">
        <v>111</v>
      </c>
      <c r="P6062" t="str">
        <f>"85225-2338"</f>
        <v>85225-2338</v>
      </c>
      <c r="Q6062" t="s">
        <v>113</v>
      </c>
      <c r="R6062" t="str">
        <f>"303-71-451"</f>
        <v>303-71-451</v>
      </c>
      <c r="S6062" t="s">
        <v>3184</v>
      </c>
      <c r="T6062" t="s">
        <v>3184</v>
      </c>
      <c r="U6062">
        <v>2162</v>
      </c>
      <c r="V6062">
        <v>0</v>
      </c>
      <c r="W6062">
        <v>3</v>
      </c>
      <c r="X6062">
        <v>1999</v>
      </c>
      <c r="Z6062">
        <v>1</v>
      </c>
      <c r="AA6062" t="s">
        <v>26</v>
      </c>
      <c r="AB6062">
        <v>0</v>
      </c>
      <c r="AC6062" t="s">
        <v>115</v>
      </c>
      <c r="AD6062">
        <v>3</v>
      </c>
      <c r="AE6062" t="s">
        <v>115</v>
      </c>
      <c r="AF6062">
        <v>0</v>
      </c>
      <c r="AG6062">
        <v>0</v>
      </c>
      <c r="AH6062" t="s">
        <v>116</v>
      </c>
      <c r="AI6062" s="1">
        <v>20979</v>
      </c>
      <c r="AJ6062" s="2">
        <v>0.05</v>
      </c>
      <c r="AK6062" s="1">
        <v>392675</v>
      </c>
      <c r="AL6062" t="s">
        <v>117</v>
      </c>
      <c r="AM6062" t="s">
        <v>5077</v>
      </c>
      <c r="AN6062">
        <v>8940</v>
      </c>
      <c r="AO6062">
        <v>0.2</v>
      </c>
      <c r="AP6062">
        <v>1</v>
      </c>
      <c r="AR6062">
        <v>1</v>
      </c>
      <c r="AS6062" s="1">
        <v>28280</v>
      </c>
      <c r="AT6062" s="1">
        <v>5650</v>
      </c>
      <c r="AU6062" s="1">
        <v>22630</v>
      </c>
      <c r="AV6062">
        <v>80.02</v>
      </c>
      <c r="AX6062" s="1">
        <v>2227.2199999999998</v>
      </c>
      <c r="AY6062" t="s">
        <v>3185</v>
      </c>
      <c r="AZ6062" t="s">
        <v>2906</v>
      </c>
      <c r="BA6062" t="s">
        <v>303</v>
      </c>
      <c r="BE6062" s="3">
        <v>41781</v>
      </c>
      <c r="BF6062" s="1">
        <v>310000</v>
      </c>
      <c r="BG6062" t="s">
        <v>36862</v>
      </c>
      <c r="BH6062" s="1">
        <v>143.38999999999999</v>
      </c>
      <c r="BI6062" s="1">
        <v>325091</v>
      </c>
      <c r="BJ6062" s="3">
        <v>41960</v>
      </c>
      <c r="BK6062" t="s">
        <v>123</v>
      </c>
      <c r="BL6062" t="str">
        <f>"2014.758765"</f>
        <v>2014.758765</v>
      </c>
      <c r="BM6062" t="s">
        <v>544</v>
      </c>
      <c r="BO6062" t="s">
        <v>36863</v>
      </c>
      <c r="BS6062">
        <v>30</v>
      </c>
      <c r="BT6062" s="1">
        <v>46605</v>
      </c>
      <c r="BU6062" s="3">
        <v>42641</v>
      </c>
      <c r="BV6062" t="s">
        <v>134</v>
      </c>
      <c r="BW6062" t="str">
        <f>"2016.706865"</f>
        <v>2016.706865</v>
      </c>
      <c r="BX6062" t="s">
        <v>36864</v>
      </c>
      <c r="BZ6062" t="s">
        <v>36863</v>
      </c>
      <c r="CD6062">
        <v>5</v>
      </c>
      <c r="CH6062" t="str">
        <f>""</f>
        <v/>
      </c>
      <c r="CS6062" t="str">
        <f>""</f>
        <v/>
      </c>
    </row>
    <row r="6063" spans="1:97" x14ac:dyDescent="0.25">
      <c r="A6063" t="s">
        <v>177</v>
      </c>
      <c r="B6063" t="s">
        <v>36865</v>
      </c>
      <c r="C6063" t="s">
        <v>1930</v>
      </c>
      <c r="D6063" t="s">
        <v>36866</v>
      </c>
      <c r="E6063" t="s">
        <v>36867</v>
      </c>
      <c r="F6063" t="s">
        <v>108</v>
      </c>
      <c r="H6063" t="s">
        <v>36868</v>
      </c>
      <c r="I6063" t="s">
        <v>453</v>
      </c>
      <c r="J6063" t="s">
        <v>111</v>
      </c>
      <c r="K6063" t="str">
        <f>"85383"</f>
        <v>85383</v>
      </c>
      <c r="L6063" t="s">
        <v>454</v>
      </c>
      <c r="M6063" t="s">
        <v>36868</v>
      </c>
      <c r="N6063" t="s">
        <v>453</v>
      </c>
      <c r="O6063" t="s">
        <v>111</v>
      </c>
      <c r="P6063" t="str">
        <f>"85383-7934"</f>
        <v>85383-7934</v>
      </c>
      <c r="Q6063" t="s">
        <v>113</v>
      </c>
      <c r="R6063" t="str">
        <f>"503-52-774"</f>
        <v>503-52-774</v>
      </c>
      <c r="S6063" t="s">
        <v>36869</v>
      </c>
      <c r="U6063">
        <v>2344</v>
      </c>
      <c r="V6063">
        <v>0</v>
      </c>
      <c r="W6063">
        <v>4</v>
      </c>
      <c r="X6063">
        <v>2007</v>
      </c>
      <c r="Z6063">
        <v>2</v>
      </c>
      <c r="AB6063">
        <v>0</v>
      </c>
      <c r="AC6063" t="s">
        <v>115</v>
      </c>
      <c r="AD6063">
        <v>2</v>
      </c>
      <c r="AE6063" t="s">
        <v>115</v>
      </c>
      <c r="AF6063">
        <v>0</v>
      </c>
      <c r="AG6063">
        <v>0</v>
      </c>
      <c r="AH6063" t="s">
        <v>116</v>
      </c>
      <c r="AI6063" s="1">
        <v>53860</v>
      </c>
      <c r="AJ6063" s="2">
        <v>0.17</v>
      </c>
      <c r="AK6063" s="1">
        <v>314820</v>
      </c>
      <c r="AL6063" t="s">
        <v>117</v>
      </c>
      <c r="AM6063" t="s">
        <v>118</v>
      </c>
      <c r="AN6063">
        <v>5520</v>
      </c>
      <c r="AO6063">
        <v>0.13</v>
      </c>
      <c r="AR6063">
        <v>1</v>
      </c>
      <c r="AS6063" s="1">
        <v>21480</v>
      </c>
      <c r="AT6063" s="1">
        <v>4290</v>
      </c>
      <c r="AU6063" s="1">
        <v>17190</v>
      </c>
      <c r="AV6063">
        <v>80.03</v>
      </c>
      <c r="AX6063" s="1">
        <v>2325.66</v>
      </c>
      <c r="AY6063" t="s">
        <v>456</v>
      </c>
      <c r="AZ6063" t="s">
        <v>456</v>
      </c>
      <c r="BA6063" t="s">
        <v>457</v>
      </c>
      <c r="BE6063" s="3">
        <v>42377</v>
      </c>
      <c r="BF6063" s="1">
        <v>255000</v>
      </c>
      <c r="BG6063" t="s">
        <v>36870</v>
      </c>
      <c r="BH6063" s="1">
        <v>108.79</v>
      </c>
      <c r="BI6063" s="1">
        <v>260960</v>
      </c>
      <c r="BJ6063" s="3">
        <v>42485</v>
      </c>
      <c r="BK6063" t="s">
        <v>123</v>
      </c>
      <c r="BL6063" t="str">
        <f>"2016.274636"</f>
        <v>2016.274636</v>
      </c>
      <c r="BM6063" t="s">
        <v>724</v>
      </c>
      <c r="BO6063" t="s">
        <v>36871</v>
      </c>
      <c r="BP6063" t="s">
        <v>36872</v>
      </c>
      <c r="BS6063">
        <v>30</v>
      </c>
      <c r="BW6063" t="str">
        <f>""</f>
        <v/>
      </c>
      <c r="CH6063" t="str">
        <f>""</f>
        <v/>
      </c>
      <c r="CS6063" t="str">
        <f>""</f>
        <v/>
      </c>
    </row>
    <row r="6064" spans="1:97" x14ac:dyDescent="0.25">
      <c r="A6064" t="s">
        <v>370</v>
      </c>
      <c r="B6064" t="s">
        <v>2522</v>
      </c>
      <c r="C6064" t="s">
        <v>6510</v>
      </c>
      <c r="D6064" t="s">
        <v>2522</v>
      </c>
      <c r="E6064" t="s">
        <v>36873</v>
      </c>
      <c r="F6064" t="s">
        <v>108</v>
      </c>
      <c r="H6064" t="s">
        <v>36874</v>
      </c>
      <c r="I6064" t="s">
        <v>5114</v>
      </c>
      <c r="J6064" t="s">
        <v>111</v>
      </c>
      <c r="K6064" t="str">
        <f>"85323"</f>
        <v>85323</v>
      </c>
      <c r="L6064" t="s">
        <v>2015</v>
      </c>
      <c r="M6064" t="s">
        <v>36874</v>
      </c>
      <c r="N6064" t="s">
        <v>5114</v>
      </c>
      <c r="O6064" t="s">
        <v>111</v>
      </c>
      <c r="P6064" t="str">
        <f>"85323-8394"</f>
        <v>85323-8394</v>
      </c>
      <c r="Q6064" t="s">
        <v>113</v>
      </c>
      <c r="R6064" t="str">
        <f>"101-20-640"</f>
        <v>101-20-640</v>
      </c>
      <c r="S6064" t="s">
        <v>17709</v>
      </c>
      <c r="T6064" t="s">
        <v>17710</v>
      </c>
      <c r="U6064">
        <v>2646</v>
      </c>
      <c r="V6064">
        <v>0</v>
      </c>
      <c r="W6064">
        <v>4</v>
      </c>
      <c r="X6064">
        <v>2002</v>
      </c>
      <c r="Z6064">
        <v>2</v>
      </c>
      <c r="AA6064" t="s">
        <v>26</v>
      </c>
      <c r="AB6064">
        <v>0</v>
      </c>
      <c r="AC6064" t="s">
        <v>115</v>
      </c>
      <c r="AD6064">
        <v>3</v>
      </c>
      <c r="AE6064" t="s">
        <v>115</v>
      </c>
      <c r="AF6064">
        <v>0</v>
      </c>
      <c r="AG6064">
        <v>0</v>
      </c>
      <c r="AH6064" t="s">
        <v>116</v>
      </c>
      <c r="AI6064" s="1">
        <v>49340</v>
      </c>
      <c r="AJ6064" s="2">
        <v>0.16</v>
      </c>
      <c r="AK6064" s="1">
        <v>308777</v>
      </c>
      <c r="AL6064" t="s">
        <v>117</v>
      </c>
      <c r="AM6064" t="s">
        <v>118</v>
      </c>
      <c r="AN6064">
        <v>7060</v>
      </c>
      <c r="AO6064">
        <v>0.16</v>
      </c>
      <c r="AP6064">
        <v>1</v>
      </c>
      <c r="AR6064">
        <v>1</v>
      </c>
      <c r="AS6064" s="1">
        <v>20920</v>
      </c>
      <c r="AT6064" s="1">
        <v>4180</v>
      </c>
      <c r="AU6064" s="1">
        <v>16740</v>
      </c>
      <c r="AV6064">
        <v>80.02</v>
      </c>
      <c r="AX6064" s="1">
        <v>1697.6</v>
      </c>
      <c r="AY6064" t="s">
        <v>17711</v>
      </c>
      <c r="AZ6064" t="s">
        <v>17711</v>
      </c>
      <c r="BA6064" t="s">
        <v>4254</v>
      </c>
      <c r="BB6064" s="3">
        <v>42814</v>
      </c>
      <c r="BD6064" t="s">
        <v>240</v>
      </c>
      <c r="BE6064" s="3">
        <v>41800</v>
      </c>
      <c r="BF6064" s="1">
        <v>215000</v>
      </c>
      <c r="BG6064" t="s">
        <v>36875</v>
      </c>
      <c r="BH6064" s="1">
        <v>81.25</v>
      </c>
      <c r="BI6064" s="1">
        <v>259437</v>
      </c>
      <c r="BJ6064" s="3">
        <v>43088</v>
      </c>
      <c r="BK6064" t="s">
        <v>123</v>
      </c>
      <c r="BL6064" t="str">
        <f>"2017.936658"</f>
        <v>2017.936658</v>
      </c>
      <c r="BM6064" t="s">
        <v>28375</v>
      </c>
      <c r="BN6064">
        <v>92111</v>
      </c>
      <c r="BO6064" t="s">
        <v>36876</v>
      </c>
      <c r="BS6064">
        <v>31</v>
      </c>
      <c r="BT6064" s="1">
        <v>259437</v>
      </c>
      <c r="BU6064" s="3">
        <v>43088</v>
      </c>
      <c r="BV6064" t="s">
        <v>123</v>
      </c>
      <c r="BW6064" t="str">
        <f>"2017.936658"</f>
        <v>2017.936658</v>
      </c>
      <c r="BX6064" t="s">
        <v>28375</v>
      </c>
      <c r="BZ6064" t="s">
        <v>36876</v>
      </c>
      <c r="CD6064">
        <v>31</v>
      </c>
      <c r="CH6064" t="str">
        <f>""</f>
        <v/>
      </c>
      <c r="CS6064" t="str">
        <f>""</f>
        <v/>
      </c>
    </row>
    <row r="6065" spans="1:97" x14ac:dyDescent="0.25">
      <c r="A6065" t="s">
        <v>22198</v>
      </c>
      <c r="B6065" t="s">
        <v>36877</v>
      </c>
      <c r="C6065" t="s">
        <v>28136</v>
      </c>
      <c r="D6065" t="s">
        <v>36877</v>
      </c>
      <c r="E6065" t="s">
        <v>36878</v>
      </c>
      <c r="F6065" t="s">
        <v>108</v>
      </c>
      <c r="H6065" t="s">
        <v>36879</v>
      </c>
      <c r="I6065" t="s">
        <v>632</v>
      </c>
      <c r="J6065" t="s">
        <v>111</v>
      </c>
      <c r="K6065" t="str">
        <f>"85387"</f>
        <v>85387</v>
      </c>
      <c r="L6065" t="s">
        <v>5496</v>
      </c>
      <c r="M6065" t="s">
        <v>36879</v>
      </c>
      <c r="N6065" t="s">
        <v>632</v>
      </c>
      <c r="O6065" t="s">
        <v>111</v>
      </c>
      <c r="P6065" t="str">
        <f>"85387-6816"</f>
        <v>85387-6816</v>
      </c>
      <c r="Q6065" t="s">
        <v>113</v>
      </c>
      <c r="R6065" t="str">
        <f>"503-73-282"</f>
        <v>503-73-282</v>
      </c>
      <c r="S6065" t="s">
        <v>36880</v>
      </c>
      <c r="T6065" t="s">
        <v>5498</v>
      </c>
      <c r="U6065">
        <v>2953</v>
      </c>
      <c r="V6065">
        <v>0</v>
      </c>
      <c r="W6065">
        <v>4</v>
      </c>
      <c r="X6065">
        <v>2008</v>
      </c>
      <c r="Z6065">
        <v>2</v>
      </c>
      <c r="AB6065">
        <v>0</v>
      </c>
      <c r="AC6065" t="s">
        <v>115</v>
      </c>
      <c r="AD6065">
        <v>3</v>
      </c>
      <c r="AE6065" t="s">
        <v>115</v>
      </c>
      <c r="AF6065">
        <v>0</v>
      </c>
      <c r="AG6065">
        <v>0</v>
      </c>
      <c r="AH6065" t="s">
        <v>116</v>
      </c>
      <c r="AI6065" s="1">
        <v>62032</v>
      </c>
      <c r="AJ6065" s="2">
        <v>0.2</v>
      </c>
      <c r="AK6065" s="1">
        <v>313051</v>
      </c>
      <c r="AL6065" t="s">
        <v>117</v>
      </c>
      <c r="AM6065" t="s">
        <v>118</v>
      </c>
      <c r="AN6065">
        <v>8422</v>
      </c>
      <c r="AO6065">
        <v>0.19</v>
      </c>
      <c r="AR6065">
        <v>1</v>
      </c>
      <c r="AS6065" s="1">
        <v>21310</v>
      </c>
      <c r="AT6065" s="1">
        <v>4260</v>
      </c>
      <c r="AU6065" s="1">
        <v>17050</v>
      </c>
      <c r="AV6065">
        <v>80.010000000000005</v>
      </c>
      <c r="AX6065" s="1">
        <v>1685.28</v>
      </c>
      <c r="AY6065" t="s">
        <v>5108</v>
      </c>
      <c r="AZ6065" t="s">
        <v>5108</v>
      </c>
      <c r="BA6065" t="s">
        <v>5109</v>
      </c>
      <c r="BE6065" s="3">
        <v>41876</v>
      </c>
      <c r="BF6065" s="1">
        <v>243000</v>
      </c>
      <c r="BG6065" t="s">
        <v>36881</v>
      </c>
      <c r="BH6065" s="1">
        <v>82.29</v>
      </c>
      <c r="BI6065" s="1">
        <v>251019</v>
      </c>
      <c r="BJ6065" s="3">
        <v>41876</v>
      </c>
      <c r="BK6065" t="s">
        <v>123</v>
      </c>
      <c r="BL6065" t="str">
        <f>"2014.563525"</f>
        <v>2014.563525</v>
      </c>
      <c r="BM6065" t="s">
        <v>724</v>
      </c>
      <c r="BO6065" t="s">
        <v>36882</v>
      </c>
      <c r="BS6065">
        <v>30</v>
      </c>
      <c r="BW6065" t="str">
        <f>""</f>
        <v/>
      </c>
      <c r="CH6065" t="str">
        <f>""</f>
        <v/>
      </c>
      <c r="CS6065" t="str">
        <f>""</f>
        <v/>
      </c>
    </row>
    <row r="6066" spans="1:97" x14ac:dyDescent="0.25">
      <c r="A6066" t="s">
        <v>36883</v>
      </c>
      <c r="B6066" t="s">
        <v>36884</v>
      </c>
      <c r="E6066" t="s">
        <v>36885</v>
      </c>
      <c r="F6066" t="s">
        <v>108</v>
      </c>
      <c r="H6066" t="s">
        <v>36886</v>
      </c>
      <c r="I6066" t="s">
        <v>203</v>
      </c>
      <c r="J6066" t="s">
        <v>111</v>
      </c>
      <c r="K6066" t="str">
        <f>"85234"</f>
        <v>85234</v>
      </c>
      <c r="L6066" t="s">
        <v>4259</v>
      </c>
      <c r="M6066" t="s">
        <v>36886</v>
      </c>
      <c r="N6066" t="s">
        <v>203</v>
      </c>
      <c r="O6066" t="s">
        <v>111</v>
      </c>
      <c r="P6066" t="str">
        <f>"85234-7833"</f>
        <v>85234-7833</v>
      </c>
      <c r="Q6066" t="s">
        <v>113</v>
      </c>
      <c r="R6066" t="str">
        <f>"313-12-332"</f>
        <v>313-12-332</v>
      </c>
      <c r="S6066" t="s">
        <v>18711</v>
      </c>
      <c r="T6066" t="s">
        <v>18711</v>
      </c>
      <c r="U6066">
        <v>2292</v>
      </c>
      <c r="V6066">
        <v>0</v>
      </c>
      <c r="W6066">
        <v>4</v>
      </c>
      <c r="X6066">
        <v>2005</v>
      </c>
      <c r="Z6066">
        <v>2</v>
      </c>
      <c r="AB6066">
        <v>0</v>
      </c>
      <c r="AC6066" t="s">
        <v>115</v>
      </c>
      <c r="AD6066">
        <v>2</v>
      </c>
      <c r="AE6066" t="s">
        <v>115</v>
      </c>
      <c r="AF6066">
        <v>0</v>
      </c>
      <c r="AG6066">
        <v>0</v>
      </c>
      <c r="AH6066" t="s">
        <v>116</v>
      </c>
      <c r="AI6066" s="1">
        <v>106130</v>
      </c>
      <c r="AJ6066" s="2">
        <v>0.33</v>
      </c>
      <c r="AK6066" s="1">
        <v>324609</v>
      </c>
      <c r="AL6066" t="s">
        <v>117</v>
      </c>
      <c r="AM6066" t="s">
        <v>288</v>
      </c>
      <c r="AN6066">
        <v>5394</v>
      </c>
      <c r="AO6066">
        <v>0.12</v>
      </c>
      <c r="AR6066">
        <v>1</v>
      </c>
      <c r="AS6066" s="1">
        <v>22600</v>
      </c>
      <c r="AT6066" s="1">
        <v>4520</v>
      </c>
      <c r="AU6066" s="1">
        <v>18080</v>
      </c>
      <c r="AV6066">
        <v>80</v>
      </c>
      <c r="AX6066" s="1">
        <v>1492.7</v>
      </c>
      <c r="AY6066" t="s">
        <v>7213</v>
      </c>
      <c r="AZ6066" t="s">
        <v>571</v>
      </c>
      <c r="BA6066" t="s">
        <v>521</v>
      </c>
      <c r="BE6066" s="3">
        <v>42003</v>
      </c>
      <c r="BF6066" s="1">
        <v>211500</v>
      </c>
      <c r="BG6066" t="s">
        <v>36887</v>
      </c>
      <c r="BH6066" s="1">
        <v>92.28</v>
      </c>
      <c r="BI6066" s="1">
        <v>218479</v>
      </c>
      <c r="BJ6066" s="3">
        <v>42003</v>
      </c>
      <c r="BK6066" t="s">
        <v>123</v>
      </c>
      <c r="BL6066" t="str">
        <f>"2014.857192"</f>
        <v>2014.857192</v>
      </c>
      <c r="BM6066" t="s">
        <v>33932</v>
      </c>
      <c r="BO6066" t="s">
        <v>36888</v>
      </c>
      <c r="BS6066">
        <v>30</v>
      </c>
      <c r="BW6066" t="str">
        <f>""</f>
        <v/>
      </c>
      <c r="CH6066" t="str">
        <f>""</f>
        <v/>
      </c>
      <c r="CS6066" t="str">
        <f>""</f>
        <v/>
      </c>
    </row>
    <row r="6067" spans="1:97" x14ac:dyDescent="0.25">
      <c r="A6067" t="s">
        <v>36889</v>
      </c>
      <c r="B6067" t="s">
        <v>36890</v>
      </c>
      <c r="E6067" t="s">
        <v>36891</v>
      </c>
      <c r="F6067" t="s">
        <v>108</v>
      </c>
      <c r="H6067" t="s">
        <v>36892</v>
      </c>
      <c r="I6067" t="s">
        <v>390</v>
      </c>
      <c r="J6067" t="s">
        <v>111</v>
      </c>
      <c r="K6067" t="str">
        <f>"85027"</f>
        <v>85027</v>
      </c>
      <c r="L6067" t="s">
        <v>6460</v>
      </c>
      <c r="M6067" t="s">
        <v>36892</v>
      </c>
      <c r="N6067" t="s">
        <v>390</v>
      </c>
      <c r="O6067" t="s">
        <v>111</v>
      </c>
      <c r="P6067" t="str">
        <f>"85027-1644"</f>
        <v>85027-1644</v>
      </c>
      <c r="Q6067" t="s">
        <v>113</v>
      </c>
      <c r="R6067" t="str">
        <f>"206-03-743"</f>
        <v>206-03-743</v>
      </c>
      <c r="S6067" t="s">
        <v>17301</v>
      </c>
      <c r="T6067" t="s">
        <v>17301</v>
      </c>
      <c r="U6067">
        <v>1925</v>
      </c>
      <c r="V6067">
        <v>0</v>
      </c>
      <c r="W6067">
        <v>3</v>
      </c>
      <c r="X6067">
        <v>1997</v>
      </c>
      <c r="Z6067">
        <v>1</v>
      </c>
      <c r="AA6067" t="s">
        <v>26</v>
      </c>
      <c r="AB6067">
        <v>0</v>
      </c>
      <c r="AC6067" t="s">
        <v>115</v>
      </c>
      <c r="AD6067">
        <v>3</v>
      </c>
      <c r="AE6067" t="s">
        <v>115</v>
      </c>
      <c r="AF6067">
        <v>0</v>
      </c>
      <c r="AG6067">
        <v>0</v>
      </c>
      <c r="AH6067" t="s">
        <v>116</v>
      </c>
      <c r="AI6067" s="1">
        <v>73791</v>
      </c>
      <c r="AJ6067" s="2">
        <v>0.22</v>
      </c>
      <c r="AK6067" s="1">
        <v>339412</v>
      </c>
      <c r="AL6067" t="s">
        <v>117</v>
      </c>
      <c r="AM6067" t="s">
        <v>191</v>
      </c>
      <c r="AN6067">
        <v>6300</v>
      </c>
      <c r="AO6067">
        <v>0.14000000000000001</v>
      </c>
      <c r="AP6067">
        <v>1</v>
      </c>
      <c r="AR6067">
        <v>1</v>
      </c>
      <c r="AS6067" s="1">
        <v>23800</v>
      </c>
      <c r="AT6067" s="1">
        <v>4760</v>
      </c>
      <c r="AU6067" s="1">
        <v>19040</v>
      </c>
      <c r="AV6067">
        <v>80</v>
      </c>
      <c r="AX6067" s="1">
        <v>2046.14</v>
      </c>
      <c r="AY6067" t="s">
        <v>6926</v>
      </c>
      <c r="AZ6067" t="s">
        <v>6926</v>
      </c>
      <c r="BA6067" t="s">
        <v>1462</v>
      </c>
      <c r="BE6067" s="3">
        <v>41876</v>
      </c>
      <c r="BF6067" s="1">
        <v>265500</v>
      </c>
      <c r="BG6067" t="s">
        <v>36893</v>
      </c>
      <c r="BH6067" s="1">
        <v>137.91999999999999</v>
      </c>
      <c r="BI6067" s="1">
        <v>265621</v>
      </c>
      <c r="BJ6067" s="3">
        <v>42853</v>
      </c>
      <c r="BK6067" t="s">
        <v>123</v>
      </c>
      <c r="BL6067" t="str">
        <f>"2017.306226"</f>
        <v>2017.306226</v>
      </c>
      <c r="BM6067" t="s">
        <v>425</v>
      </c>
      <c r="BO6067" t="s">
        <v>36894</v>
      </c>
      <c r="BS6067">
        <v>30</v>
      </c>
      <c r="BW6067" t="str">
        <f>""</f>
        <v/>
      </c>
      <c r="CH6067" t="str">
        <f>""</f>
        <v/>
      </c>
      <c r="CS6067" t="str">
        <f>""</f>
        <v/>
      </c>
    </row>
    <row r="6068" spans="1:97" x14ac:dyDescent="0.25">
      <c r="A6068" t="s">
        <v>36895</v>
      </c>
      <c r="B6068" t="s">
        <v>36896</v>
      </c>
      <c r="C6068" t="s">
        <v>15858</v>
      </c>
      <c r="D6068" t="s">
        <v>36896</v>
      </c>
      <c r="E6068" t="s">
        <v>36897</v>
      </c>
      <c r="F6068" t="s">
        <v>108</v>
      </c>
      <c r="H6068" t="s">
        <v>36898</v>
      </c>
      <c r="I6068" t="s">
        <v>499</v>
      </c>
      <c r="J6068" t="s">
        <v>111</v>
      </c>
      <c r="K6068" t="str">
        <f>"85338"</f>
        <v>85338</v>
      </c>
      <c r="L6068" t="s">
        <v>4751</v>
      </c>
      <c r="M6068" t="s">
        <v>36898</v>
      </c>
      <c r="N6068" t="s">
        <v>499</v>
      </c>
      <c r="O6068" t="s">
        <v>111</v>
      </c>
      <c r="P6068" t="str">
        <f>"85338-7710"</f>
        <v>85338-7710</v>
      </c>
      <c r="Q6068" t="s">
        <v>113</v>
      </c>
      <c r="R6068" t="str">
        <f>"400-82-828"</f>
        <v>400-82-828</v>
      </c>
      <c r="S6068" t="s">
        <v>20418</v>
      </c>
      <c r="T6068" t="s">
        <v>17252</v>
      </c>
      <c r="U6068">
        <v>2543</v>
      </c>
      <c r="V6068">
        <v>0</v>
      </c>
      <c r="W6068">
        <v>4</v>
      </c>
      <c r="X6068">
        <v>2009</v>
      </c>
      <c r="Z6068">
        <v>1</v>
      </c>
      <c r="AA6068" t="s">
        <v>26</v>
      </c>
      <c r="AB6068">
        <v>0</v>
      </c>
      <c r="AC6068" t="s">
        <v>115</v>
      </c>
      <c r="AD6068">
        <v>3</v>
      </c>
      <c r="AE6068" t="s">
        <v>115</v>
      </c>
      <c r="AF6068">
        <v>0</v>
      </c>
      <c r="AG6068">
        <v>0</v>
      </c>
      <c r="AH6068" t="s">
        <v>116</v>
      </c>
      <c r="AI6068" s="1">
        <v>114898</v>
      </c>
      <c r="AJ6068" s="2">
        <v>0.27</v>
      </c>
      <c r="AK6068" s="1">
        <v>420861</v>
      </c>
      <c r="AL6068" t="s">
        <v>117</v>
      </c>
      <c r="AM6068" t="s">
        <v>118</v>
      </c>
      <c r="AN6068">
        <v>11842</v>
      </c>
      <c r="AO6068">
        <v>0.27</v>
      </c>
      <c r="AR6068">
        <v>1</v>
      </c>
      <c r="AS6068" s="1">
        <v>29410</v>
      </c>
      <c r="AT6068" s="1">
        <v>5880</v>
      </c>
      <c r="AU6068" s="1">
        <v>23530</v>
      </c>
      <c r="AV6068">
        <v>80.010000000000005</v>
      </c>
      <c r="AX6068" s="1">
        <v>4020.14</v>
      </c>
      <c r="AY6068" t="s">
        <v>1246</v>
      </c>
      <c r="AZ6068" t="s">
        <v>1246</v>
      </c>
      <c r="BA6068" t="s">
        <v>1247</v>
      </c>
      <c r="BE6068" s="3">
        <v>41851</v>
      </c>
      <c r="BF6068" s="1">
        <v>362000</v>
      </c>
      <c r="BG6068" t="s">
        <v>36899</v>
      </c>
      <c r="BH6068" s="1">
        <v>142.35</v>
      </c>
      <c r="BI6068" s="1">
        <v>305963</v>
      </c>
      <c r="BJ6068" s="3">
        <v>41851</v>
      </c>
      <c r="BK6068" t="s">
        <v>123</v>
      </c>
      <c r="BL6068" t="str">
        <f>"2014.500508"</f>
        <v>2014.500508</v>
      </c>
      <c r="BM6068" t="s">
        <v>135</v>
      </c>
      <c r="BO6068" t="s">
        <v>36900</v>
      </c>
      <c r="BS6068">
        <v>30</v>
      </c>
      <c r="BW6068" t="str">
        <f>""</f>
        <v/>
      </c>
      <c r="CH6068" t="str">
        <f>""</f>
        <v/>
      </c>
      <c r="CS6068" t="str">
        <f>""</f>
        <v/>
      </c>
    </row>
    <row r="6069" spans="1:97" x14ac:dyDescent="0.25">
      <c r="A6069" t="s">
        <v>2045</v>
      </c>
      <c r="B6069" t="s">
        <v>36901</v>
      </c>
      <c r="C6069" t="s">
        <v>1826</v>
      </c>
      <c r="D6069" t="s">
        <v>36901</v>
      </c>
      <c r="E6069" t="s">
        <v>36902</v>
      </c>
      <c r="F6069" t="s">
        <v>108</v>
      </c>
      <c r="H6069" t="s">
        <v>36903</v>
      </c>
      <c r="I6069" t="s">
        <v>110</v>
      </c>
      <c r="J6069" t="s">
        <v>111</v>
      </c>
      <c r="K6069" t="str">
        <f>"85286"</f>
        <v>85286</v>
      </c>
      <c r="L6069" t="s">
        <v>1796</v>
      </c>
      <c r="M6069" t="s">
        <v>36903</v>
      </c>
      <c r="N6069" t="s">
        <v>110</v>
      </c>
      <c r="O6069" t="s">
        <v>111</v>
      </c>
      <c r="P6069" t="str">
        <f>"85286-8011"</f>
        <v>85286-8011</v>
      </c>
      <c r="Q6069" t="s">
        <v>113</v>
      </c>
      <c r="R6069" t="str">
        <f>"303-35-055"</f>
        <v>303-35-055</v>
      </c>
      <c r="S6069" t="s">
        <v>36904</v>
      </c>
      <c r="U6069">
        <v>3152</v>
      </c>
      <c r="V6069">
        <v>0</v>
      </c>
      <c r="W6069">
        <v>4</v>
      </c>
      <c r="X6069">
        <v>1995</v>
      </c>
      <c r="Z6069">
        <v>2</v>
      </c>
      <c r="AA6069" t="s">
        <v>26</v>
      </c>
      <c r="AB6069">
        <v>0</v>
      </c>
      <c r="AC6069" t="s">
        <v>115</v>
      </c>
      <c r="AD6069">
        <v>3</v>
      </c>
      <c r="AE6069" t="s">
        <v>115</v>
      </c>
      <c r="AF6069">
        <v>0</v>
      </c>
      <c r="AG6069">
        <v>0</v>
      </c>
      <c r="AH6069" t="s">
        <v>116</v>
      </c>
      <c r="AI6069" s="1">
        <v>94308</v>
      </c>
      <c r="AJ6069" s="2">
        <v>0.2</v>
      </c>
      <c r="AK6069" s="1">
        <v>465957</v>
      </c>
      <c r="AL6069" t="s">
        <v>117</v>
      </c>
      <c r="AM6069" t="s">
        <v>118</v>
      </c>
      <c r="AN6069">
        <v>9139</v>
      </c>
      <c r="AO6069">
        <v>0.21</v>
      </c>
      <c r="AP6069">
        <v>1</v>
      </c>
      <c r="AR6069">
        <v>1</v>
      </c>
      <c r="AS6069" s="1">
        <v>34850</v>
      </c>
      <c r="AT6069" s="1">
        <v>6970</v>
      </c>
      <c r="AU6069" s="1">
        <v>27880</v>
      </c>
      <c r="AV6069">
        <v>80</v>
      </c>
      <c r="AX6069" s="1">
        <v>3324.6</v>
      </c>
      <c r="AY6069" t="s">
        <v>10718</v>
      </c>
      <c r="AZ6069" t="s">
        <v>1882</v>
      </c>
      <c r="BA6069" t="s">
        <v>121</v>
      </c>
      <c r="BE6069" s="3">
        <v>42285</v>
      </c>
      <c r="BF6069" s="1">
        <v>373250</v>
      </c>
      <c r="BG6069" t="s">
        <v>36905</v>
      </c>
      <c r="BH6069" s="1">
        <v>118.42</v>
      </c>
      <c r="BI6069" s="1">
        <v>346849</v>
      </c>
      <c r="BJ6069" s="3">
        <v>42285</v>
      </c>
      <c r="BK6069" t="s">
        <v>123</v>
      </c>
      <c r="BL6069" t="str">
        <f>"2015.726730"</f>
        <v>2015.726730</v>
      </c>
      <c r="BM6069" t="s">
        <v>1185</v>
      </c>
      <c r="BN6069" t="s">
        <v>6728</v>
      </c>
      <c r="BO6069" t="s">
        <v>36906</v>
      </c>
      <c r="BS6069">
        <v>30</v>
      </c>
      <c r="BT6069" s="1">
        <v>24800</v>
      </c>
      <c r="BU6069" s="3">
        <v>43543</v>
      </c>
      <c r="BW6069" t="str">
        <f>"2019.188883"</f>
        <v>2019.188883</v>
      </c>
      <c r="BX6069" t="s">
        <v>36907</v>
      </c>
      <c r="BY6069" t="s">
        <v>36908</v>
      </c>
      <c r="BZ6069" t="s">
        <v>36909</v>
      </c>
      <c r="CA6069" t="s">
        <v>36910</v>
      </c>
      <c r="CC6069" t="s">
        <v>346</v>
      </c>
      <c r="CH6069" t="str">
        <f>""</f>
        <v/>
      </c>
      <c r="CS6069" t="str">
        <f>""</f>
        <v/>
      </c>
    </row>
    <row r="6070" spans="1:97" x14ac:dyDescent="0.25">
      <c r="A6070" t="s">
        <v>140</v>
      </c>
      <c r="B6070" t="s">
        <v>27463</v>
      </c>
      <c r="C6070" t="s">
        <v>2628</v>
      </c>
      <c r="D6070" t="s">
        <v>27463</v>
      </c>
      <c r="E6070" t="s">
        <v>36911</v>
      </c>
      <c r="F6070" t="s">
        <v>108</v>
      </c>
      <c r="H6070" t="s">
        <v>36912</v>
      </c>
      <c r="I6070" t="s">
        <v>390</v>
      </c>
      <c r="J6070" t="s">
        <v>111</v>
      </c>
      <c r="K6070" t="str">
        <f>"85041"</f>
        <v>85041</v>
      </c>
      <c r="L6070" t="s">
        <v>5416</v>
      </c>
      <c r="M6070" t="s">
        <v>36912</v>
      </c>
      <c r="N6070" t="s">
        <v>390</v>
      </c>
      <c r="O6070" t="s">
        <v>111</v>
      </c>
      <c r="P6070" t="str">
        <f>"85041-8347"</f>
        <v>85041-8347</v>
      </c>
      <c r="Q6070" t="s">
        <v>113</v>
      </c>
      <c r="R6070" t="str">
        <f>"300-51-160"</f>
        <v>300-51-160</v>
      </c>
      <c r="S6070" t="s">
        <v>36913</v>
      </c>
      <c r="T6070" t="s">
        <v>23861</v>
      </c>
      <c r="U6070">
        <v>2885</v>
      </c>
      <c r="V6070">
        <v>0</v>
      </c>
      <c r="W6070">
        <v>4</v>
      </c>
      <c r="X6070">
        <v>2005</v>
      </c>
      <c r="Z6070">
        <v>2</v>
      </c>
      <c r="AB6070">
        <v>0</v>
      </c>
      <c r="AC6070" t="s">
        <v>115</v>
      </c>
      <c r="AD6070">
        <v>3</v>
      </c>
      <c r="AE6070" t="s">
        <v>115</v>
      </c>
      <c r="AF6070">
        <v>0</v>
      </c>
      <c r="AG6070">
        <v>0</v>
      </c>
      <c r="AH6070" t="s">
        <v>116</v>
      </c>
      <c r="AI6070" s="1">
        <v>98034</v>
      </c>
      <c r="AJ6070" s="2">
        <v>0.3</v>
      </c>
      <c r="AK6070" s="1">
        <v>325451</v>
      </c>
      <c r="AL6070" t="s">
        <v>117</v>
      </c>
      <c r="AM6070" t="s">
        <v>1302</v>
      </c>
      <c r="AN6070">
        <v>6600</v>
      </c>
      <c r="AO6070">
        <v>0.15</v>
      </c>
      <c r="AR6070">
        <v>1</v>
      </c>
      <c r="AS6070" s="1">
        <v>22250</v>
      </c>
      <c r="AT6070" s="1">
        <v>4450</v>
      </c>
      <c r="AU6070" s="1">
        <v>17800</v>
      </c>
      <c r="AV6070">
        <v>80</v>
      </c>
      <c r="AX6070" s="1">
        <v>2666.36</v>
      </c>
      <c r="AY6070" t="s">
        <v>23378</v>
      </c>
      <c r="AZ6070" t="s">
        <v>23378</v>
      </c>
      <c r="BA6070" t="s">
        <v>1661</v>
      </c>
      <c r="BE6070" s="3">
        <v>41893</v>
      </c>
      <c r="BF6070" s="1">
        <v>221500</v>
      </c>
      <c r="BG6070" t="s">
        <v>36914</v>
      </c>
      <c r="BH6070" s="1">
        <v>76.78</v>
      </c>
      <c r="BI6070" s="1">
        <v>227417</v>
      </c>
      <c r="BJ6070" s="3">
        <v>42440</v>
      </c>
      <c r="BK6070" t="s">
        <v>123</v>
      </c>
      <c r="BL6070" t="str">
        <f>"2016.157814"</f>
        <v>2016.157814</v>
      </c>
      <c r="BM6070" t="s">
        <v>544</v>
      </c>
      <c r="BO6070" t="s">
        <v>36915</v>
      </c>
      <c r="BS6070">
        <v>30</v>
      </c>
      <c r="BW6070" t="str">
        <f>""</f>
        <v/>
      </c>
      <c r="CH6070" t="str">
        <f>""</f>
        <v/>
      </c>
      <c r="CS6070" t="str">
        <f>""</f>
        <v/>
      </c>
    </row>
    <row r="6071" spans="1:97" x14ac:dyDescent="0.25">
      <c r="A6071" t="s">
        <v>894</v>
      </c>
      <c r="B6071" t="s">
        <v>36916</v>
      </c>
      <c r="C6071" t="s">
        <v>36917</v>
      </c>
      <c r="D6071" t="s">
        <v>36916</v>
      </c>
      <c r="E6071" t="s">
        <v>36918</v>
      </c>
      <c r="F6071" t="s">
        <v>108</v>
      </c>
      <c r="H6071" t="s">
        <v>36919</v>
      </c>
      <c r="I6071" t="s">
        <v>390</v>
      </c>
      <c r="J6071" t="s">
        <v>111</v>
      </c>
      <c r="K6071" t="str">
        <f>"85015"</f>
        <v>85015</v>
      </c>
      <c r="L6071" t="s">
        <v>6003</v>
      </c>
      <c r="M6071" t="s">
        <v>36919</v>
      </c>
      <c r="N6071" t="s">
        <v>390</v>
      </c>
      <c r="O6071" t="s">
        <v>111</v>
      </c>
      <c r="P6071" t="str">
        <f>"85015-5438"</f>
        <v>85015-5438</v>
      </c>
      <c r="Q6071" t="s">
        <v>113</v>
      </c>
      <c r="R6071" t="str">
        <f>"110-05-050"</f>
        <v>110-05-050</v>
      </c>
      <c r="S6071" t="s">
        <v>36920</v>
      </c>
      <c r="T6071" t="s">
        <v>7118</v>
      </c>
      <c r="U6071">
        <v>2049</v>
      </c>
      <c r="V6071">
        <v>0</v>
      </c>
      <c r="W6071">
        <v>5</v>
      </c>
      <c r="X6071">
        <v>1951</v>
      </c>
      <c r="Z6071">
        <v>1</v>
      </c>
      <c r="AA6071" t="s">
        <v>26</v>
      </c>
      <c r="AB6071">
        <v>0</v>
      </c>
      <c r="AC6071" t="s">
        <v>5188</v>
      </c>
      <c r="AD6071">
        <v>0</v>
      </c>
      <c r="AE6071" t="s">
        <v>5188</v>
      </c>
      <c r="AF6071">
        <v>0</v>
      </c>
      <c r="AG6071">
        <v>0</v>
      </c>
      <c r="AH6071" t="s">
        <v>116</v>
      </c>
      <c r="AI6071" s="1">
        <v>25784</v>
      </c>
      <c r="AJ6071" s="2">
        <v>0.09</v>
      </c>
      <c r="AK6071" s="1">
        <v>300784</v>
      </c>
      <c r="AL6071" t="s">
        <v>117</v>
      </c>
      <c r="AM6071" t="s">
        <v>191</v>
      </c>
      <c r="AN6071">
        <v>6612</v>
      </c>
      <c r="AO6071">
        <v>0.15</v>
      </c>
      <c r="AP6071">
        <v>1</v>
      </c>
      <c r="AR6071">
        <v>1</v>
      </c>
      <c r="AS6071" s="1">
        <v>20400</v>
      </c>
      <c r="AT6071" s="1">
        <v>4080</v>
      </c>
      <c r="AU6071" s="1">
        <v>16320</v>
      </c>
      <c r="AV6071">
        <v>80</v>
      </c>
      <c r="AX6071" s="1">
        <v>1590.22</v>
      </c>
      <c r="AY6071" t="s">
        <v>7119</v>
      </c>
      <c r="AZ6071" t="s">
        <v>7119</v>
      </c>
      <c r="BA6071" t="s">
        <v>5469</v>
      </c>
      <c r="BB6071" s="3">
        <v>42418</v>
      </c>
      <c r="BD6071" t="s">
        <v>240</v>
      </c>
      <c r="BE6071" s="3">
        <v>41894</v>
      </c>
      <c r="BF6071" s="1">
        <v>210000</v>
      </c>
      <c r="BG6071" t="s">
        <v>36921</v>
      </c>
      <c r="BH6071" s="1">
        <v>102.49</v>
      </c>
      <c r="BI6071" s="1">
        <v>275000</v>
      </c>
      <c r="BJ6071" s="3">
        <v>43613</v>
      </c>
      <c r="BK6071" t="s">
        <v>123</v>
      </c>
      <c r="BL6071" t="str">
        <f>"2019.386796"</f>
        <v>2019.386796</v>
      </c>
      <c r="BM6071" t="s">
        <v>673</v>
      </c>
      <c r="BN6071" t="s">
        <v>674</v>
      </c>
      <c r="BO6071" t="s">
        <v>36922</v>
      </c>
      <c r="BP6071" t="s">
        <v>36923</v>
      </c>
      <c r="BR6071" t="s">
        <v>139</v>
      </c>
      <c r="BT6071" s="1">
        <v>275000</v>
      </c>
      <c r="BU6071" s="3">
        <v>43613</v>
      </c>
      <c r="BV6071" t="s">
        <v>123</v>
      </c>
      <c r="BW6071" t="str">
        <f>"2019.386796"</f>
        <v>2019.386796</v>
      </c>
      <c r="BX6071" t="s">
        <v>673</v>
      </c>
      <c r="BY6071" t="s">
        <v>674</v>
      </c>
      <c r="BZ6071" t="s">
        <v>36922</v>
      </c>
      <c r="CA6071" t="s">
        <v>36923</v>
      </c>
      <c r="CC6071" t="s">
        <v>139</v>
      </c>
      <c r="CH6071" t="str">
        <f>""</f>
        <v/>
      </c>
      <c r="CS6071" t="str">
        <f>""</f>
        <v/>
      </c>
    </row>
    <row r="6072" spans="1:97" x14ac:dyDescent="0.25">
      <c r="A6072" t="s">
        <v>257</v>
      </c>
      <c r="B6072" t="s">
        <v>3457</v>
      </c>
      <c r="C6072" t="s">
        <v>4515</v>
      </c>
      <c r="D6072" t="s">
        <v>3457</v>
      </c>
      <c r="E6072" t="s">
        <v>36924</v>
      </c>
      <c r="F6072" t="s">
        <v>108</v>
      </c>
      <c r="H6072" t="s">
        <v>36925</v>
      </c>
      <c r="I6072" t="s">
        <v>499</v>
      </c>
      <c r="J6072" t="s">
        <v>111</v>
      </c>
      <c r="K6072" t="str">
        <f>"85395"</f>
        <v>85395</v>
      </c>
      <c r="L6072" t="s">
        <v>541</v>
      </c>
      <c r="M6072" t="s">
        <v>36925</v>
      </c>
      <c r="N6072" t="s">
        <v>499</v>
      </c>
      <c r="O6072" t="s">
        <v>111</v>
      </c>
      <c r="P6072" t="str">
        <f>"85395-7169"</f>
        <v>85395-7169</v>
      </c>
      <c r="Q6072" t="s">
        <v>113</v>
      </c>
      <c r="R6072" t="str">
        <f>"508-14-612"</f>
        <v>508-14-612</v>
      </c>
      <c r="S6072" t="s">
        <v>7193</v>
      </c>
      <c r="T6072" t="s">
        <v>3018</v>
      </c>
      <c r="U6072">
        <v>1882</v>
      </c>
      <c r="V6072">
        <v>0</v>
      </c>
      <c r="W6072">
        <v>4</v>
      </c>
      <c r="X6072">
        <v>2013</v>
      </c>
      <c r="Z6072">
        <v>1</v>
      </c>
      <c r="AB6072">
        <v>0</v>
      </c>
      <c r="AC6072" t="s">
        <v>115</v>
      </c>
      <c r="AD6072">
        <v>2</v>
      </c>
      <c r="AE6072" t="s">
        <v>115</v>
      </c>
      <c r="AF6072">
        <v>0</v>
      </c>
      <c r="AG6072">
        <v>0</v>
      </c>
      <c r="AH6072" t="s">
        <v>116</v>
      </c>
      <c r="AI6072" s="1">
        <v>92762</v>
      </c>
      <c r="AJ6072" s="2">
        <v>0.28000000000000003</v>
      </c>
      <c r="AK6072" s="1">
        <v>336474</v>
      </c>
      <c r="AL6072" t="s">
        <v>117</v>
      </c>
      <c r="AM6072" t="s">
        <v>118</v>
      </c>
      <c r="AN6072">
        <v>7997</v>
      </c>
      <c r="AO6072">
        <v>0.18</v>
      </c>
      <c r="AR6072">
        <v>1</v>
      </c>
      <c r="AS6072" s="1">
        <v>22850</v>
      </c>
      <c r="AT6072" s="1">
        <v>4570</v>
      </c>
      <c r="AU6072" s="1">
        <v>18280</v>
      </c>
      <c r="AV6072">
        <v>80</v>
      </c>
      <c r="AX6072" s="1">
        <v>2520.36</v>
      </c>
      <c r="AY6072" t="s">
        <v>3019</v>
      </c>
      <c r="AZ6072" t="s">
        <v>3020</v>
      </c>
      <c r="BA6072" t="s">
        <v>218</v>
      </c>
      <c r="BE6072" s="3">
        <v>41698</v>
      </c>
      <c r="BF6072" s="1">
        <v>245000</v>
      </c>
      <c r="BG6072" t="s">
        <v>158</v>
      </c>
      <c r="BH6072" s="1">
        <v>130.18</v>
      </c>
      <c r="BI6072" s="1">
        <v>243712</v>
      </c>
      <c r="BJ6072" s="3">
        <v>42642</v>
      </c>
      <c r="BK6072" t="s">
        <v>123</v>
      </c>
      <c r="BL6072" t="str">
        <f>"2016.709437"</f>
        <v>2016.709437</v>
      </c>
      <c r="BM6072" t="s">
        <v>1915</v>
      </c>
      <c r="BO6072" t="s">
        <v>36926</v>
      </c>
      <c r="BS6072">
        <v>30</v>
      </c>
      <c r="BW6072" t="str">
        <f>""</f>
        <v/>
      </c>
      <c r="CH6072" t="str">
        <f>""</f>
        <v/>
      </c>
      <c r="CS6072" t="str">
        <f>""</f>
        <v/>
      </c>
    </row>
    <row r="6073" spans="1:97" x14ac:dyDescent="0.25">
      <c r="A6073" t="s">
        <v>727</v>
      </c>
      <c r="B6073" t="s">
        <v>20407</v>
      </c>
      <c r="C6073" t="s">
        <v>404</v>
      </c>
      <c r="D6073" t="s">
        <v>20407</v>
      </c>
      <c r="E6073" t="s">
        <v>36927</v>
      </c>
      <c r="F6073" t="s">
        <v>108</v>
      </c>
      <c r="H6073" t="s">
        <v>36928</v>
      </c>
      <c r="I6073" t="s">
        <v>632</v>
      </c>
      <c r="J6073" t="s">
        <v>111</v>
      </c>
      <c r="K6073" t="str">
        <f>"85379"</f>
        <v>85379</v>
      </c>
      <c r="L6073" t="s">
        <v>5021</v>
      </c>
      <c r="M6073" t="s">
        <v>36928</v>
      </c>
      <c r="N6073" t="s">
        <v>632</v>
      </c>
      <c r="O6073" t="s">
        <v>111</v>
      </c>
      <c r="P6073" t="str">
        <f>"85379-5304"</f>
        <v>85379-5304</v>
      </c>
      <c r="Q6073" t="s">
        <v>113</v>
      </c>
      <c r="R6073" t="str">
        <f>"509-14-435"</f>
        <v>509-14-435</v>
      </c>
      <c r="S6073" t="s">
        <v>19713</v>
      </c>
      <c r="U6073">
        <v>2839</v>
      </c>
      <c r="V6073">
        <v>0</v>
      </c>
      <c r="W6073">
        <v>4</v>
      </c>
      <c r="X6073">
        <v>2004</v>
      </c>
      <c r="Z6073">
        <v>2</v>
      </c>
      <c r="AA6073" t="s">
        <v>26</v>
      </c>
      <c r="AB6073">
        <v>0</v>
      </c>
      <c r="AC6073" t="s">
        <v>115</v>
      </c>
      <c r="AD6073">
        <v>2</v>
      </c>
      <c r="AE6073" t="s">
        <v>115</v>
      </c>
      <c r="AF6073">
        <v>0</v>
      </c>
      <c r="AG6073">
        <v>0</v>
      </c>
      <c r="AH6073" t="s">
        <v>116</v>
      </c>
      <c r="AI6073" s="1">
        <v>78698</v>
      </c>
      <c r="AJ6073" s="2">
        <v>0.23</v>
      </c>
      <c r="AK6073" s="1">
        <v>348842</v>
      </c>
      <c r="AL6073" t="s">
        <v>117</v>
      </c>
      <c r="AM6073" t="s">
        <v>118</v>
      </c>
      <c r="AN6073">
        <v>12525</v>
      </c>
      <c r="AO6073">
        <v>0.28999999999999998</v>
      </c>
      <c r="AR6073">
        <v>1</v>
      </c>
      <c r="AS6073" s="1">
        <v>24460</v>
      </c>
      <c r="AT6073" s="1">
        <v>4890</v>
      </c>
      <c r="AU6073" s="1">
        <v>19570</v>
      </c>
      <c r="AV6073">
        <v>80.010000000000005</v>
      </c>
      <c r="AX6073" s="1">
        <v>2016.16</v>
      </c>
      <c r="AY6073" t="s">
        <v>5615</v>
      </c>
      <c r="AZ6073" t="s">
        <v>5615</v>
      </c>
      <c r="BA6073" t="s">
        <v>635</v>
      </c>
      <c r="BE6073" s="3">
        <v>42216</v>
      </c>
      <c r="BF6073" s="1">
        <v>267000</v>
      </c>
      <c r="BG6073" t="s">
        <v>36929</v>
      </c>
      <c r="BH6073" s="1">
        <v>94.05</v>
      </c>
      <c r="BI6073" s="1">
        <v>270144</v>
      </c>
      <c r="BJ6073" s="3">
        <v>42489</v>
      </c>
      <c r="BK6073" t="s">
        <v>123</v>
      </c>
      <c r="BL6073" t="str">
        <f>"2016.291960"</f>
        <v>2016.291960</v>
      </c>
      <c r="BM6073" t="s">
        <v>903</v>
      </c>
      <c r="BO6073" t="s">
        <v>36930</v>
      </c>
      <c r="BS6073">
        <v>30</v>
      </c>
      <c r="BW6073" t="str">
        <f>""</f>
        <v/>
      </c>
      <c r="CH6073" t="str">
        <f>""</f>
        <v/>
      </c>
      <c r="CS6073" t="str">
        <f>""</f>
        <v/>
      </c>
    </row>
    <row r="6074" spans="1:97" x14ac:dyDescent="0.25">
      <c r="A6074" t="s">
        <v>16463</v>
      </c>
      <c r="B6074" t="s">
        <v>1980</v>
      </c>
      <c r="C6074" t="s">
        <v>348</v>
      </c>
      <c r="D6074" t="s">
        <v>1980</v>
      </c>
      <c r="E6074" t="s">
        <v>36931</v>
      </c>
      <c r="F6074" t="s">
        <v>139</v>
      </c>
      <c r="H6074" t="s">
        <v>36932</v>
      </c>
      <c r="I6074" t="s">
        <v>203</v>
      </c>
      <c r="J6074" t="s">
        <v>111</v>
      </c>
      <c r="K6074" t="str">
        <f>"85298"</f>
        <v>85298</v>
      </c>
      <c r="L6074" t="s">
        <v>3318</v>
      </c>
      <c r="M6074" t="s">
        <v>36932</v>
      </c>
      <c r="N6074" t="s">
        <v>203</v>
      </c>
      <c r="O6074" t="s">
        <v>111</v>
      </c>
      <c r="P6074" t="str">
        <f>"85298"</f>
        <v>85298</v>
      </c>
      <c r="Q6074" t="s">
        <v>113</v>
      </c>
      <c r="R6074" t="str">
        <f>"304-80-081"</f>
        <v>304-80-081</v>
      </c>
      <c r="S6074" t="s">
        <v>9270</v>
      </c>
      <c r="T6074" t="s">
        <v>9270</v>
      </c>
      <c r="U6074">
        <v>2039</v>
      </c>
      <c r="V6074">
        <v>0</v>
      </c>
      <c r="W6074">
        <v>3</v>
      </c>
      <c r="X6074">
        <v>2013</v>
      </c>
      <c r="Z6074">
        <v>1</v>
      </c>
      <c r="AB6074">
        <v>0</v>
      </c>
      <c r="AC6074" t="s">
        <v>115</v>
      </c>
      <c r="AD6074">
        <v>2</v>
      </c>
      <c r="AE6074" t="s">
        <v>115</v>
      </c>
      <c r="AF6074">
        <v>0</v>
      </c>
      <c r="AG6074">
        <v>0</v>
      </c>
      <c r="AH6074" t="s">
        <v>116</v>
      </c>
      <c r="AI6074" s="1">
        <v>45422</v>
      </c>
      <c r="AJ6074" s="2">
        <v>0.13</v>
      </c>
      <c r="AK6074" s="1">
        <v>352922</v>
      </c>
      <c r="AL6074" t="s">
        <v>117</v>
      </c>
      <c r="AM6074" t="s">
        <v>191</v>
      </c>
      <c r="AN6074">
        <v>6325</v>
      </c>
      <c r="AO6074">
        <v>0.14000000000000001</v>
      </c>
      <c r="AR6074">
        <v>1</v>
      </c>
      <c r="AS6074" s="1">
        <v>23820</v>
      </c>
      <c r="AT6074" s="1">
        <v>4760</v>
      </c>
      <c r="AU6074" s="1">
        <v>19060</v>
      </c>
      <c r="AV6074">
        <v>80.02</v>
      </c>
      <c r="AX6074" s="1">
        <v>1992.72</v>
      </c>
      <c r="AY6074" t="s">
        <v>3699</v>
      </c>
      <c r="AZ6074" t="s">
        <v>273</v>
      </c>
      <c r="BA6074" t="s">
        <v>274</v>
      </c>
      <c r="BB6074" s="3">
        <v>43172</v>
      </c>
      <c r="BC6074" s="1">
        <v>0</v>
      </c>
      <c r="BD6074" t="s">
        <v>247</v>
      </c>
      <c r="BE6074" s="3">
        <v>42524</v>
      </c>
      <c r="BF6074" s="1">
        <v>307500</v>
      </c>
      <c r="BG6074" t="s">
        <v>36933</v>
      </c>
      <c r="BH6074" s="1">
        <v>150.81</v>
      </c>
      <c r="BI6074" s="1">
        <v>307500</v>
      </c>
      <c r="BJ6074" s="3">
        <v>42524</v>
      </c>
      <c r="BK6074" t="s">
        <v>123</v>
      </c>
      <c r="BL6074" t="str">
        <f>"2016.386688"</f>
        <v>2016.386688</v>
      </c>
      <c r="BM6074" t="s">
        <v>1038</v>
      </c>
      <c r="BN6074" t="s">
        <v>132</v>
      </c>
      <c r="BO6074" t="s">
        <v>36934</v>
      </c>
      <c r="BS6074">
        <v>30</v>
      </c>
      <c r="BW6074" t="str">
        <f>""</f>
        <v/>
      </c>
      <c r="CH6074" t="str">
        <f>""</f>
        <v/>
      </c>
      <c r="CS6074" t="str">
        <f>""</f>
        <v/>
      </c>
    </row>
    <row r="6075" spans="1:97" x14ac:dyDescent="0.25">
      <c r="A6075" t="s">
        <v>894</v>
      </c>
      <c r="B6075" t="s">
        <v>36935</v>
      </c>
      <c r="C6075" t="s">
        <v>817</v>
      </c>
      <c r="D6075" t="s">
        <v>36935</v>
      </c>
      <c r="E6075" t="s">
        <v>36936</v>
      </c>
      <c r="F6075" t="s">
        <v>108</v>
      </c>
      <c r="H6075" t="s">
        <v>36937</v>
      </c>
      <c r="I6075" t="s">
        <v>390</v>
      </c>
      <c r="J6075" t="s">
        <v>111</v>
      </c>
      <c r="K6075" t="str">
        <f>"85032"</f>
        <v>85032</v>
      </c>
      <c r="L6075" t="s">
        <v>1312</v>
      </c>
      <c r="M6075" t="s">
        <v>36937</v>
      </c>
      <c r="N6075" t="s">
        <v>390</v>
      </c>
      <c r="O6075" t="s">
        <v>111</v>
      </c>
      <c r="P6075" t="str">
        <f>"85032-4273"</f>
        <v>85032-4273</v>
      </c>
      <c r="Q6075" t="s">
        <v>113</v>
      </c>
      <c r="R6075" t="str">
        <f>"215-29-029"</f>
        <v>215-29-029</v>
      </c>
      <c r="S6075" t="s">
        <v>36938</v>
      </c>
      <c r="U6075">
        <v>2181</v>
      </c>
      <c r="V6075">
        <v>0</v>
      </c>
      <c r="W6075">
        <v>3</v>
      </c>
      <c r="X6075">
        <v>1986</v>
      </c>
      <c r="Z6075">
        <v>1</v>
      </c>
      <c r="AA6075" t="s">
        <v>26</v>
      </c>
      <c r="AB6075">
        <v>0</v>
      </c>
      <c r="AC6075" t="s">
        <v>115</v>
      </c>
      <c r="AD6075">
        <v>2</v>
      </c>
      <c r="AE6075" t="s">
        <v>115</v>
      </c>
      <c r="AF6075">
        <v>0</v>
      </c>
      <c r="AG6075">
        <v>0</v>
      </c>
      <c r="AH6075" t="s">
        <v>116</v>
      </c>
      <c r="AI6075" s="1">
        <v>53038</v>
      </c>
      <c r="AJ6075" s="2">
        <v>0.12</v>
      </c>
      <c r="AK6075" s="1">
        <v>441038</v>
      </c>
      <c r="AL6075" t="s">
        <v>117</v>
      </c>
      <c r="AM6075" t="s">
        <v>1302</v>
      </c>
      <c r="AN6075">
        <v>10081</v>
      </c>
      <c r="AO6075">
        <v>0.23</v>
      </c>
      <c r="AP6075">
        <v>1</v>
      </c>
      <c r="AR6075">
        <v>1</v>
      </c>
      <c r="AS6075" s="1">
        <v>31220</v>
      </c>
      <c r="AT6075" s="1">
        <v>6240</v>
      </c>
      <c r="AU6075" s="1">
        <v>24980</v>
      </c>
      <c r="AV6075">
        <v>80.010000000000005</v>
      </c>
      <c r="AX6075" s="1">
        <v>2817.14</v>
      </c>
      <c r="AY6075" t="s">
        <v>1316</v>
      </c>
      <c r="AZ6075" t="s">
        <v>1317</v>
      </c>
      <c r="BA6075" t="s">
        <v>1318</v>
      </c>
      <c r="BE6075" s="3">
        <v>41886</v>
      </c>
      <c r="BF6075" s="1">
        <v>388000</v>
      </c>
      <c r="BG6075" t="s">
        <v>36939</v>
      </c>
      <c r="BH6075" s="1">
        <v>177.9</v>
      </c>
      <c r="BI6075" s="1">
        <v>388000</v>
      </c>
      <c r="BJ6075" s="3">
        <v>41886</v>
      </c>
      <c r="BK6075" t="s">
        <v>123</v>
      </c>
      <c r="BL6075" t="str">
        <f>"2014.586758"</f>
        <v>2014.586758</v>
      </c>
      <c r="BM6075" t="s">
        <v>25006</v>
      </c>
      <c r="BO6075" t="s">
        <v>36940</v>
      </c>
      <c r="BS6075">
        <v>30</v>
      </c>
      <c r="BW6075" t="str">
        <f>""</f>
        <v/>
      </c>
      <c r="CH6075" t="str">
        <f>""</f>
        <v/>
      </c>
      <c r="CS6075" t="str">
        <f>""</f>
        <v/>
      </c>
    </row>
    <row r="6076" spans="1:97" x14ac:dyDescent="0.25">
      <c r="A6076" t="s">
        <v>1047</v>
      </c>
      <c r="B6076" t="s">
        <v>18340</v>
      </c>
      <c r="E6076" t="s">
        <v>36941</v>
      </c>
      <c r="F6076" t="s">
        <v>108</v>
      </c>
      <c r="H6076" t="s">
        <v>36942</v>
      </c>
      <c r="I6076" t="s">
        <v>390</v>
      </c>
      <c r="J6076" t="s">
        <v>111</v>
      </c>
      <c r="K6076" t="str">
        <f>"85009"</f>
        <v>85009</v>
      </c>
      <c r="L6076" t="s">
        <v>2963</v>
      </c>
      <c r="M6076" t="s">
        <v>36942</v>
      </c>
      <c r="N6076" t="s">
        <v>390</v>
      </c>
      <c r="O6076" t="s">
        <v>111</v>
      </c>
      <c r="P6076" t="str">
        <f>"85009-1954"</f>
        <v>85009-1954</v>
      </c>
      <c r="Q6076" t="s">
        <v>113</v>
      </c>
      <c r="R6076" t="str">
        <f>"110-43-039"</f>
        <v>110-43-039</v>
      </c>
      <c r="S6076" t="s">
        <v>36943</v>
      </c>
      <c r="T6076" t="s">
        <v>36943</v>
      </c>
      <c r="U6076">
        <v>1668</v>
      </c>
      <c r="V6076">
        <v>0</v>
      </c>
      <c r="W6076">
        <v>2</v>
      </c>
      <c r="X6076">
        <v>1954</v>
      </c>
      <c r="Z6076">
        <v>1</v>
      </c>
      <c r="AB6076">
        <v>0</v>
      </c>
      <c r="AC6076" t="s">
        <v>5188</v>
      </c>
      <c r="AD6076">
        <v>2</v>
      </c>
      <c r="AE6076" t="s">
        <v>5188</v>
      </c>
      <c r="AF6076">
        <v>0</v>
      </c>
      <c r="AG6076">
        <v>0</v>
      </c>
      <c r="AH6076" t="s">
        <v>116</v>
      </c>
      <c r="AI6076" s="1">
        <v>104430</v>
      </c>
      <c r="AJ6076" s="2">
        <v>0.32</v>
      </c>
      <c r="AK6076" s="1">
        <v>326525</v>
      </c>
      <c r="AL6076" t="s">
        <v>117</v>
      </c>
      <c r="AM6076" t="s">
        <v>191</v>
      </c>
      <c r="AN6076">
        <v>13599</v>
      </c>
      <c r="AO6076">
        <v>0.31</v>
      </c>
      <c r="AP6076">
        <v>1</v>
      </c>
      <c r="AR6076">
        <v>1</v>
      </c>
      <c r="AS6076" s="1">
        <v>27120</v>
      </c>
      <c r="AT6076" s="1">
        <v>5420</v>
      </c>
      <c r="AU6076" s="1">
        <v>21700</v>
      </c>
      <c r="AV6076">
        <v>80.010000000000005</v>
      </c>
      <c r="AX6076" s="1">
        <v>2267.2199999999998</v>
      </c>
      <c r="AY6076" t="s">
        <v>8243</v>
      </c>
      <c r="AZ6076" t="s">
        <v>8243</v>
      </c>
      <c r="BA6076" t="s">
        <v>5469</v>
      </c>
      <c r="BE6076" s="3">
        <v>41936</v>
      </c>
      <c r="BF6076" s="1">
        <v>215000</v>
      </c>
      <c r="BG6076" t="s">
        <v>36944</v>
      </c>
      <c r="BH6076" s="1">
        <v>128.9</v>
      </c>
      <c r="BI6076" s="1">
        <v>222095</v>
      </c>
      <c r="BJ6076" s="3">
        <v>41936</v>
      </c>
      <c r="BK6076" t="s">
        <v>123</v>
      </c>
      <c r="BL6076" t="str">
        <f>"2014.704957"</f>
        <v>2014.704957</v>
      </c>
      <c r="BM6076" t="s">
        <v>544</v>
      </c>
      <c r="BO6076" t="s">
        <v>36945</v>
      </c>
      <c r="BS6076">
        <v>30</v>
      </c>
      <c r="BW6076" t="str">
        <f>""</f>
        <v/>
      </c>
      <c r="CH6076" t="str">
        <f>""</f>
        <v/>
      </c>
      <c r="CS6076" t="str">
        <f>""</f>
        <v/>
      </c>
    </row>
    <row r="6077" spans="1:97" x14ac:dyDescent="0.25">
      <c r="A6077" t="s">
        <v>1666</v>
      </c>
      <c r="B6077" t="s">
        <v>28572</v>
      </c>
      <c r="E6077" t="s">
        <v>36946</v>
      </c>
      <c r="F6077" t="s">
        <v>108</v>
      </c>
      <c r="H6077" t="s">
        <v>36947</v>
      </c>
      <c r="I6077" t="s">
        <v>203</v>
      </c>
      <c r="J6077" t="s">
        <v>111</v>
      </c>
      <c r="K6077" t="str">
        <f>"85298"</f>
        <v>85298</v>
      </c>
      <c r="L6077" t="s">
        <v>21230</v>
      </c>
      <c r="M6077" t="s">
        <v>36947</v>
      </c>
      <c r="N6077" t="s">
        <v>203</v>
      </c>
      <c r="O6077" t="s">
        <v>111</v>
      </c>
      <c r="P6077" t="str">
        <f>"85298-9718"</f>
        <v>85298-9718</v>
      </c>
      <c r="Q6077" t="s">
        <v>113</v>
      </c>
      <c r="R6077" t="str">
        <f>"304-76-034-C"</f>
        <v>304-76-034-C</v>
      </c>
      <c r="U6077">
        <v>1656</v>
      </c>
      <c r="V6077">
        <v>0</v>
      </c>
      <c r="W6077">
        <v>3</v>
      </c>
      <c r="X6077">
        <v>1999</v>
      </c>
      <c r="Z6077">
        <v>1</v>
      </c>
      <c r="AB6077">
        <v>0</v>
      </c>
      <c r="AC6077" t="s">
        <v>7038</v>
      </c>
      <c r="AD6077">
        <v>0</v>
      </c>
      <c r="AE6077" t="s">
        <v>7038</v>
      </c>
      <c r="AF6077">
        <v>0</v>
      </c>
      <c r="AG6077">
        <v>0</v>
      </c>
      <c r="AH6077" t="s">
        <v>116</v>
      </c>
      <c r="AI6077" s="1">
        <v>207245</v>
      </c>
      <c r="AJ6077" s="2">
        <v>0.46</v>
      </c>
      <c r="AK6077" s="1">
        <v>452081</v>
      </c>
      <c r="AL6077" t="s">
        <v>117</v>
      </c>
      <c r="AM6077" t="s">
        <v>376</v>
      </c>
      <c r="AN6077">
        <v>49834</v>
      </c>
      <c r="AO6077">
        <v>1.1399999999999999</v>
      </c>
      <c r="AP6077">
        <v>1</v>
      </c>
      <c r="AR6077">
        <v>1</v>
      </c>
      <c r="AS6077" s="1">
        <v>32610</v>
      </c>
      <c r="AT6077" s="1">
        <v>6520</v>
      </c>
      <c r="AU6077" s="1">
        <v>26090</v>
      </c>
      <c r="AV6077">
        <v>80.010000000000005</v>
      </c>
      <c r="AX6077" s="1">
        <v>2685.4</v>
      </c>
      <c r="AY6077" t="s">
        <v>302</v>
      </c>
      <c r="AZ6077" t="s">
        <v>273</v>
      </c>
      <c r="BA6077" t="s">
        <v>303</v>
      </c>
      <c r="BE6077" s="3">
        <v>41911</v>
      </c>
      <c r="BF6077" s="1">
        <v>315000</v>
      </c>
      <c r="BG6077" t="s">
        <v>36948</v>
      </c>
      <c r="BH6077" s="1">
        <v>190.22</v>
      </c>
      <c r="BI6077" s="1">
        <v>244836</v>
      </c>
      <c r="BJ6077" s="3">
        <v>42509</v>
      </c>
      <c r="BK6077" t="s">
        <v>123</v>
      </c>
      <c r="BL6077" t="str">
        <f>"2016.343249"</f>
        <v>2016.343249</v>
      </c>
      <c r="BM6077" t="s">
        <v>402</v>
      </c>
      <c r="BO6077" t="s">
        <v>36949</v>
      </c>
      <c r="BS6077">
        <v>30</v>
      </c>
      <c r="BW6077" t="str">
        <f>""</f>
        <v/>
      </c>
      <c r="CH6077" t="str">
        <f>""</f>
        <v/>
      </c>
      <c r="CS6077" t="str">
        <f>""</f>
        <v/>
      </c>
    </row>
    <row r="6078" spans="1:97" x14ac:dyDescent="0.25">
      <c r="A6078" t="s">
        <v>1009</v>
      </c>
      <c r="B6078" t="s">
        <v>30077</v>
      </c>
      <c r="E6078" t="s">
        <v>36950</v>
      </c>
      <c r="F6078" t="s">
        <v>108</v>
      </c>
      <c r="H6078" t="s">
        <v>36951</v>
      </c>
      <c r="I6078" t="s">
        <v>203</v>
      </c>
      <c r="J6078" t="s">
        <v>111</v>
      </c>
      <c r="K6078" t="str">
        <f>"85295"</f>
        <v>85295</v>
      </c>
      <c r="L6078" t="s">
        <v>3520</v>
      </c>
      <c r="M6078" t="s">
        <v>36951</v>
      </c>
      <c r="N6078" t="s">
        <v>203</v>
      </c>
      <c r="O6078" t="s">
        <v>111</v>
      </c>
      <c r="P6078" t="str">
        <f>"85295-3684"</f>
        <v>85295-3684</v>
      </c>
      <c r="Q6078" t="s">
        <v>113</v>
      </c>
      <c r="R6078" t="str">
        <f>"309-29-615"</f>
        <v>309-29-615</v>
      </c>
      <c r="S6078" t="s">
        <v>8992</v>
      </c>
      <c r="T6078" t="s">
        <v>8962</v>
      </c>
      <c r="U6078">
        <v>1940</v>
      </c>
      <c r="V6078">
        <v>0</v>
      </c>
      <c r="W6078">
        <v>3</v>
      </c>
      <c r="X6078">
        <v>2006</v>
      </c>
      <c r="Z6078">
        <v>2</v>
      </c>
      <c r="AA6078" t="s">
        <v>26</v>
      </c>
      <c r="AB6078">
        <v>0</v>
      </c>
      <c r="AC6078" t="s">
        <v>115</v>
      </c>
      <c r="AD6078">
        <v>2</v>
      </c>
      <c r="AE6078" t="s">
        <v>115</v>
      </c>
      <c r="AF6078">
        <v>0</v>
      </c>
      <c r="AG6078">
        <v>0</v>
      </c>
      <c r="AH6078" t="s">
        <v>116</v>
      </c>
      <c r="AI6078" s="1">
        <v>74483</v>
      </c>
      <c r="AJ6078" s="2">
        <v>0.23</v>
      </c>
      <c r="AK6078" s="1">
        <v>328836</v>
      </c>
      <c r="AL6078" t="s">
        <v>117</v>
      </c>
      <c r="AM6078" t="s">
        <v>191</v>
      </c>
      <c r="AN6078">
        <v>4925</v>
      </c>
      <c r="AO6078">
        <v>0.11</v>
      </c>
      <c r="AR6078">
        <v>1</v>
      </c>
      <c r="AS6078" s="1">
        <v>21550</v>
      </c>
      <c r="AT6078" s="1">
        <v>4310</v>
      </c>
      <c r="AU6078" s="1">
        <v>17240</v>
      </c>
      <c r="AV6078">
        <v>80</v>
      </c>
      <c r="AX6078" s="1">
        <v>1756.36</v>
      </c>
      <c r="AY6078" t="s">
        <v>5087</v>
      </c>
      <c r="AZ6078" t="s">
        <v>5087</v>
      </c>
      <c r="BA6078" t="s">
        <v>473</v>
      </c>
      <c r="BE6078" s="3">
        <v>41816</v>
      </c>
      <c r="BF6078" s="1">
        <v>249000</v>
      </c>
      <c r="BG6078" t="s">
        <v>9927</v>
      </c>
      <c r="BH6078" s="1">
        <v>128.35</v>
      </c>
      <c r="BI6078" s="1">
        <v>254353</v>
      </c>
      <c r="BJ6078" s="3">
        <v>41816</v>
      </c>
      <c r="BK6078" t="s">
        <v>123</v>
      </c>
      <c r="BL6078" t="str">
        <f>"2014.419847"</f>
        <v>2014.419847</v>
      </c>
      <c r="BM6078" t="s">
        <v>9665</v>
      </c>
      <c r="BO6078" t="s">
        <v>36952</v>
      </c>
      <c r="BS6078">
        <v>30</v>
      </c>
      <c r="BW6078" t="str">
        <f>""</f>
        <v/>
      </c>
      <c r="CH6078" t="str">
        <f>""</f>
        <v/>
      </c>
      <c r="CS6078" t="str">
        <f>""</f>
        <v/>
      </c>
    </row>
    <row r="6079" spans="1:97" x14ac:dyDescent="0.25">
      <c r="A6079" t="s">
        <v>1109</v>
      </c>
      <c r="B6079" t="s">
        <v>16302</v>
      </c>
      <c r="C6079" t="s">
        <v>3241</v>
      </c>
      <c r="D6079" t="s">
        <v>16302</v>
      </c>
      <c r="E6079" t="s">
        <v>36953</v>
      </c>
      <c r="F6079" t="s">
        <v>108</v>
      </c>
      <c r="H6079" t="s">
        <v>36954</v>
      </c>
      <c r="I6079" t="s">
        <v>632</v>
      </c>
      <c r="J6079" t="s">
        <v>111</v>
      </c>
      <c r="K6079" t="str">
        <f>"85387"</f>
        <v>85387</v>
      </c>
      <c r="L6079" t="s">
        <v>6529</v>
      </c>
      <c r="M6079" t="s">
        <v>36954</v>
      </c>
      <c r="N6079" t="s">
        <v>632</v>
      </c>
      <c r="O6079" t="s">
        <v>111</v>
      </c>
      <c r="P6079" t="str">
        <f>"85387-1133"</f>
        <v>85387-1133</v>
      </c>
      <c r="Q6079" t="s">
        <v>113</v>
      </c>
      <c r="R6079" t="str">
        <f>"510-04-811"</f>
        <v>510-04-811</v>
      </c>
      <c r="S6079" t="s">
        <v>8907</v>
      </c>
      <c r="T6079" t="s">
        <v>5498</v>
      </c>
      <c r="U6079">
        <v>2126</v>
      </c>
      <c r="V6079">
        <v>0</v>
      </c>
      <c r="W6079">
        <v>3</v>
      </c>
      <c r="X6079">
        <v>2016</v>
      </c>
      <c r="Z6079">
        <v>1</v>
      </c>
      <c r="AB6079">
        <v>0</v>
      </c>
      <c r="AC6079" t="s">
        <v>115</v>
      </c>
      <c r="AD6079">
        <v>3</v>
      </c>
      <c r="AE6079" t="s">
        <v>115</v>
      </c>
      <c r="AF6079">
        <v>0</v>
      </c>
      <c r="AG6079">
        <v>0</v>
      </c>
      <c r="AH6079" t="s">
        <v>116</v>
      </c>
      <c r="AI6079" s="1">
        <v>100369</v>
      </c>
      <c r="AJ6079" s="2">
        <v>0.33</v>
      </c>
      <c r="AK6079" s="1">
        <v>308222</v>
      </c>
      <c r="AL6079" t="s">
        <v>117</v>
      </c>
      <c r="AM6079" t="s">
        <v>118</v>
      </c>
      <c r="AN6079">
        <v>8116</v>
      </c>
      <c r="AO6079">
        <v>0.19</v>
      </c>
      <c r="AR6079">
        <v>1</v>
      </c>
      <c r="AS6079" s="1">
        <v>22610</v>
      </c>
      <c r="AT6079" s="1">
        <v>4520</v>
      </c>
      <c r="AU6079" s="1">
        <v>18090</v>
      </c>
      <c r="AV6079">
        <v>80.010000000000005</v>
      </c>
      <c r="AX6079" s="1">
        <v>1273.4000000000001</v>
      </c>
      <c r="AY6079" t="s">
        <v>5499</v>
      </c>
      <c r="AZ6079" t="s">
        <v>5499</v>
      </c>
      <c r="BE6079" s="3">
        <v>42507</v>
      </c>
      <c r="BF6079" s="1">
        <v>241515</v>
      </c>
      <c r="BG6079" t="s">
        <v>6320</v>
      </c>
      <c r="BH6079" s="1">
        <v>113.6</v>
      </c>
      <c r="BI6079" s="1">
        <v>207853</v>
      </c>
      <c r="BJ6079" s="3">
        <v>42507</v>
      </c>
      <c r="BK6079" t="s">
        <v>123</v>
      </c>
      <c r="BL6079" t="str">
        <f>"2016.338394"</f>
        <v>2016.338394</v>
      </c>
      <c r="BM6079" t="s">
        <v>573</v>
      </c>
      <c r="BO6079" t="s">
        <v>36955</v>
      </c>
      <c r="BS6079">
        <v>30</v>
      </c>
      <c r="BW6079" t="str">
        <f>""</f>
        <v/>
      </c>
      <c r="CH6079" t="str">
        <f>""</f>
        <v/>
      </c>
      <c r="CS6079" t="str">
        <f>""</f>
        <v/>
      </c>
    </row>
    <row r="6080" spans="1:97" x14ac:dyDescent="0.25">
      <c r="A6080" t="s">
        <v>984</v>
      </c>
      <c r="B6080" t="s">
        <v>23037</v>
      </c>
      <c r="C6080" t="s">
        <v>27673</v>
      </c>
      <c r="D6080" t="s">
        <v>6227</v>
      </c>
      <c r="E6080" t="s">
        <v>36956</v>
      </c>
      <c r="F6080" t="s">
        <v>108</v>
      </c>
      <c r="H6080" t="s">
        <v>36957</v>
      </c>
      <c r="I6080" t="s">
        <v>203</v>
      </c>
      <c r="J6080" t="s">
        <v>111</v>
      </c>
      <c r="K6080" t="str">
        <f>"85295"</f>
        <v>85295</v>
      </c>
      <c r="L6080" t="s">
        <v>3520</v>
      </c>
      <c r="M6080" t="s">
        <v>36957</v>
      </c>
      <c r="N6080" t="s">
        <v>203</v>
      </c>
      <c r="O6080" t="s">
        <v>111</v>
      </c>
      <c r="P6080" t="str">
        <f>"85295-1610"</f>
        <v>85295-1610</v>
      </c>
      <c r="Q6080" t="s">
        <v>113</v>
      </c>
      <c r="R6080" t="str">
        <f>"309-29-384"</f>
        <v>309-29-384</v>
      </c>
      <c r="S6080" t="s">
        <v>8992</v>
      </c>
      <c r="T6080" t="s">
        <v>8962</v>
      </c>
      <c r="U6080">
        <v>1843</v>
      </c>
      <c r="V6080">
        <v>0</v>
      </c>
      <c r="W6080">
        <v>2</v>
      </c>
      <c r="X6080">
        <v>2014</v>
      </c>
      <c r="Z6080">
        <v>1</v>
      </c>
      <c r="AB6080">
        <v>0</v>
      </c>
      <c r="AC6080" t="s">
        <v>115</v>
      </c>
      <c r="AD6080">
        <v>2</v>
      </c>
      <c r="AE6080" t="s">
        <v>115</v>
      </c>
      <c r="AF6080">
        <v>0</v>
      </c>
      <c r="AG6080">
        <v>0</v>
      </c>
      <c r="AH6080" t="s">
        <v>116</v>
      </c>
      <c r="AI6080" s="1">
        <v>58477</v>
      </c>
      <c r="AJ6080" s="2">
        <v>0.18</v>
      </c>
      <c r="AK6080" s="1">
        <v>321284</v>
      </c>
      <c r="AL6080" t="s">
        <v>117</v>
      </c>
      <c r="AM6080" t="s">
        <v>191</v>
      </c>
      <c r="AN6080">
        <v>5321</v>
      </c>
      <c r="AO6080">
        <v>0.12</v>
      </c>
      <c r="AR6080">
        <v>1</v>
      </c>
      <c r="AS6080" s="1">
        <v>21580</v>
      </c>
      <c r="AT6080" s="1">
        <v>4310</v>
      </c>
      <c r="AU6080" s="1">
        <v>17270</v>
      </c>
      <c r="AV6080">
        <v>80.03</v>
      </c>
      <c r="AX6080" s="1">
        <v>1635.4</v>
      </c>
      <c r="AY6080" t="s">
        <v>5087</v>
      </c>
      <c r="AZ6080" t="s">
        <v>5087</v>
      </c>
      <c r="BA6080" t="s">
        <v>473</v>
      </c>
      <c r="BE6080" s="3">
        <v>41779</v>
      </c>
      <c r="BF6080" s="1">
        <v>255026</v>
      </c>
      <c r="BG6080" t="s">
        <v>233</v>
      </c>
      <c r="BH6080" s="1">
        <v>138.38</v>
      </c>
      <c r="BI6080" s="1">
        <v>262807</v>
      </c>
      <c r="BJ6080" s="3">
        <v>42002</v>
      </c>
      <c r="BK6080" t="s">
        <v>123</v>
      </c>
      <c r="BL6080" t="str">
        <f>"2014.851727"</f>
        <v>2014.851727</v>
      </c>
      <c r="BM6080" t="s">
        <v>2526</v>
      </c>
      <c r="BO6080" t="s">
        <v>36958</v>
      </c>
      <c r="BP6080" t="s">
        <v>36959</v>
      </c>
      <c r="BS6080">
        <v>30</v>
      </c>
      <c r="BW6080" t="str">
        <f>""</f>
        <v/>
      </c>
      <c r="CH6080" t="str">
        <f>""</f>
        <v/>
      </c>
      <c r="CS6080" t="str">
        <f>""</f>
        <v/>
      </c>
    </row>
    <row r="6081" spans="1:97" x14ac:dyDescent="0.25">
      <c r="A6081" t="s">
        <v>8735</v>
      </c>
      <c r="B6081" t="s">
        <v>8090</v>
      </c>
      <c r="C6081" t="s">
        <v>104</v>
      </c>
      <c r="D6081" t="s">
        <v>8090</v>
      </c>
      <c r="E6081" t="s">
        <v>36960</v>
      </c>
      <c r="F6081" t="s">
        <v>108</v>
      </c>
      <c r="H6081" t="s">
        <v>36961</v>
      </c>
      <c r="I6081" t="s">
        <v>390</v>
      </c>
      <c r="J6081" t="s">
        <v>111</v>
      </c>
      <c r="K6081" t="str">
        <f>"85048"</f>
        <v>85048</v>
      </c>
      <c r="L6081" t="s">
        <v>9069</v>
      </c>
      <c r="M6081" t="s">
        <v>36961</v>
      </c>
      <c r="N6081" t="s">
        <v>390</v>
      </c>
      <c r="O6081" t="s">
        <v>111</v>
      </c>
      <c r="P6081" t="str">
        <f>"85048-7891"</f>
        <v>85048-7891</v>
      </c>
      <c r="Q6081" t="s">
        <v>113</v>
      </c>
      <c r="R6081" t="str">
        <f>"301-79-755"</f>
        <v>301-79-755</v>
      </c>
      <c r="S6081" t="s">
        <v>36962</v>
      </c>
      <c r="T6081" t="s">
        <v>36963</v>
      </c>
      <c r="U6081">
        <v>2205</v>
      </c>
      <c r="V6081">
        <v>0</v>
      </c>
      <c r="W6081">
        <v>4</v>
      </c>
      <c r="X6081">
        <v>1988</v>
      </c>
      <c r="Z6081">
        <v>2</v>
      </c>
      <c r="AA6081" t="s">
        <v>26</v>
      </c>
      <c r="AB6081">
        <v>0</v>
      </c>
      <c r="AC6081" t="s">
        <v>115</v>
      </c>
      <c r="AD6081">
        <v>2</v>
      </c>
      <c r="AE6081" t="s">
        <v>115</v>
      </c>
      <c r="AF6081">
        <v>0</v>
      </c>
      <c r="AG6081">
        <v>0</v>
      </c>
      <c r="AH6081" t="s">
        <v>116</v>
      </c>
      <c r="AI6081" s="1">
        <v>98892</v>
      </c>
      <c r="AJ6081" s="2">
        <v>0.25</v>
      </c>
      <c r="AK6081" s="1">
        <v>390197</v>
      </c>
      <c r="AL6081" t="s">
        <v>117</v>
      </c>
      <c r="AM6081" t="s">
        <v>191</v>
      </c>
      <c r="AN6081">
        <v>9622</v>
      </c>
      <c r="AO6081">
        <v>0.22</v>
      </c>
      <c r="AP6081">
        <v>1</v>
      </c>
      <c r="AR6081">
        <v>1</v>
      </c>
      <c r="AS6081" s="1">
        <v>27750</v>
      </c>
      <c r="AT6081" s="1">
        <v>5550</v>
      </c>
      <c r="AU6081" s="1">
        <v>22200</v>
      </c>
      <c r="AV6081">
        <v>80</v>
      </c>
      <c r="AX6081" s="1">
        <v>2522.96</v>
      </c>
      <c r="AY6081" t="s">
        <v>928</v>
      </c>
      <c r="AZ6081" t="s">
        <v>929</v>
      </c>
      <c r="BA6081" t="s">
        <v>930</v>
      </c>
      <c r="BE6081" s="3">
        <v>41929</v>
      </c>
      <c r="BF6081" s="1">
        <v>312000</v>
      </c>
      <c r="BG6081" t="s">
        <v>36964</v>
      </c>
      <c r="BH6081" s="1">
        <v>141.5</v>
      </c>
      <c r="BI6081" s="1">
        <v>291305</v>
      </c>
      <c r="BJ6081" s="3">
        <v>41929</v>
      </c>
      <c r="BK6081" t="s">
        <v>123</v>
      </c>
      <c r="BL6081" t="str">
        <f>"2014.688905"</f>
        <v>2014.688905</v>
      </c>
      <c r="BM6081" t="s">
        <v>2472</v>
      </c>
      <c r="BO6081" t="s">
        <v>36965</v>
      </c>
      <c r="BS6081">
        <v>30</v>
      </c>
      <c r="BW6081" t="str">
        <f>""</f>
        <v/>
      </c>
      <c r="CH6081" t="str">
        <f>""</f>
        <v/>
      </c>
      <c r="CS6081" t="str">
        <f>""</f>
        <v/>
      </c>
    </row>
    <row r="6082" spans="1:97" x14ac:dyDescent="0.25">
      <c r="A6082" t="s">
        <v>695</v>
      </c>
      <c r="B6082" t="s">
        <v>36966</v>
      </c>
      <c r="C6082" t="s">
        <v>36967</v>
      </c>
      <c r="D6082" t="s">
        <v>36966</v>
      </c>
      <c r="E6082" t="s">
        <v>36968</v>
      </c>
      <c r="F6082" t="s">
        <v>108</v>
      </c>
      <c r="H6082" t="s">
        <v>36969</v>
      </c>
      <c r="I6082" t="s">
        <v>2874</v>
      </c>
      <c r="J6082" t="s">
        <v>111</v>
      </c>
      <c r="K6082" t="str">
        <f>"85310"</f>
        <v>85310</v>
      </c>
      <c r="L6082" t="s">
        <v>3885</v>
      </c>
      <c r="M6082" t="s">
        <v>36969</v>
      </c>
      <c r="N6082" t="s">
        <v>2874</v>
      </c>
      <c r="O6082" t="s">
        <v>111</v>
      </c>
      <c r="P6082" t="str">
        <f>"85310-3636"</f>
        <v>85310-3636</v>
      </c>
      <c r="Q6082" t="s">
        <v>113</v>
      </c>
      <c r="R6082" t="str">
        <f>"201-11-635"</f>
        <v>201-11-635</v>
      </c>
      <c r="S6082" t="s">
        <v>24903</v>
      </c>
      <c r="T6082" t="s">
        <v>24904</v>
      </c>
      <c r="U6082">
        <v>1670</v>
      </c>
      <c r="V6082">
        <v>0</v>
      </c>
      <c r="W6082">
        <v>3</v>
      </c>
      <c r="X6082">
        <v>1994</v>
      </c>
      <c r="Z6082">
        <v>1</v>
      </c>
      <c r="AB6082">
        <v>0</v>
      </c>
      <c r="AC6082" t="s">
        <v>115</v>
      </c>
      <c r="AD6082">
        <v>2</v>
      </c>
      <c r="AE6082" t="s">
        <v>115</v>
      </c>
      <c r="AF6082">
        <v>0</v>
      </c>
      <c r="AG6082">
        <v>0</v>
      </c>
      <c r="AH6082" t="s">
        <v>116</v>
      </c>
      <c r="AI6082" s="1">
        <v>38869</v>
      </c>
      <c r="AJ6082" s="2">
        <v>0.13</v>
      </c>
      <c r="AK6082" s="1">
        <v>305869</v>
      </c>
      <c r="AL6082" t="s">
        <v>117</v>
      </c>
      <c r="AM6082" t="s">
        <v>1315</v>
      </c>
      <c r="AN6082">
        <v>5436</v>
      </c>
      <c r="AO6082">
        <v>0.12</v>
      </c>
      <c r="AP6082">
        <v>1</v>
      </c>
      <c r="AR6082">
        <v>1</v>
      </c>
      <c r="AS6082" s="1">
        <v>20380</v>
      </c>
      <c r="AT6082" s="1">
        <v>4070</v>
      </c>
      <c r="AU6082" s="1">
        <v>16310</v>
      </c>
      <c r="AV6082">
        <v>80.03</v>
      </c>
      <c r="AX6082" s="1">
        <v>1837.78</v>
      </c>
      <c r="AY6082" t="s">
        <v>5125</v>
      </c>
      <c r="AZ6082" t="s">
        <v>3049</v>
      </c>
      <c r="BA6082" t="s">
        <v>1386</v>
      </c>
      <c r="BE6082" s="3">
        <v>41992</v>
      </c>
      <c r="BF6082" s="1">
        <v>233000</v>
      </c>
      <c r="BG6082" t="s">
        <v>36970</v>
      </c>
      <c r="BH6082" s="1">
        <v>139.52000000000001</v>
      </c>
      <c r="BI6082" s="1">
        <v>267000</v>
      </c>
      <c r="BJ6082" s="3">
        <v>42538</v>
      </c>
      <c r="BK6082" t="s">
        <v>123</v>
      </c>
      <c r="BL6082" t="str">
        <f>"2016.422179"</f>
        <v>2016.422179</v>
      </c>
      <c r="BM6082" t="s">
        <v>1544</v>
      </c>
      <c r="BN6082" t="s">
        <v>10307</v>
      </c>
      <c r="BO6082" t="s">
        <v>36971</v>
      </c>
      <c r="BS6082">
        <v>30</v>
      </c>
      <c r="BW6082" t="str">
        <f>""</f>
        <v/>
      </c>
      <c r="CH6082" t="str">
        <f>""</f>
        <v/>
      </c>
      <c r="CS6082" t="str">
        <f>""</f>
        <v/>
      </c>
    </row>
    <row r="6083" spans="1:97" x14ac:dyDescent="0.25">
      <c r="A6083" t="s">
        <v>894</v>
      </c>
      <c r="B6083" t="s">
        <v>36972</v>
      </c>
      <c r="C6083" t="s">
        <v>2002</v>
      </c>
      <c r="D6083" t="s">
        <v>36972</v>
      </c>
      <c r="E6083" t="s">
        <v>36973</v>
      </c>
      <c r="F6083" t="s">
        <v>108</v>
      </c>
      <c r="H6083" t="s">
        <v>36974</v>
      </c>
      <c r="I6083" t="s">
        <v>453</v>
      </c>
      <c r="J6083" t="s">
        <v>111</v>
      </c>
      <c r="K6083" t="str">
        <f>"85383"</f>
        <v>85383</v>
      </c>
      <c r="L6083" t="s">
        <v>4467</v>
      </c>
      <c r="M6083" t="s">
        <v>36974</v>
      </c>
      <c r="N6083" t="s">
        <v>453</v>
      </c>
      <c r="O6083" t="s">
        <v>111</v>
      </c>
      <c r="P6083" t="str">
        <f>"85383-3481"</f>
        <v>85383-3481</v>
      </c>
      <c r="Q6083" t="s">
        <v>113</v>
      </c>
      <c r="R6083" t="str">
        <f>"503-89-829"</f>
        <v>503-89-829</v>
      </c>
      <c r="S6083" t="s">
        <v>36975</v>
      </c>
      <c r="T6083" t="s">
        <v>11295</v>
      </c>
      <c r="U6083">
        <v>2160</v>
      </c>
      <c r="V6083">
        <v>0</v>
      </c>
      <c r="W6083">
        <v>4</v>
      </c>
      <c r="X6083">
        <v>2004</v>
      </c>
      <c r="Z6083">
        <v>1</v>
      </c>
      <c r="AB6083">
        <v>0</v>
      </c>
      <c r="AC6083" t="s">
        <v>115</v>
      </c>
      <c r="AD6083">
        <v>2</v>
      </c>
      <c r="AE6083" t="s">
        <v>115</v>
      </c>
      <c r="AF6083">
        <v>0</v>
      </c>
      <c r="AG6083">
        <v>0</v>
      </c>
      <c r="AH6083" t="s">
        <v>116</v>
      </c>
      <c r="AI6083" s="1">
        <v>93491</v>
      </c>
      <c r="AJ6083" s="2">
        <v>0.31</v>
      </c>
      <c r="AK6083" s="1">
        <v>302898</v>
      </c>
      <c r="AL6083" t="s">
        <v>117</v>
      </c>
      <c r="AM6083" t="s">
        <v>118</v>
      </c>
      <c r="AN6083">
        <v>5856</v>
      </c>
      <c r="AO6083">
        <v>0.13</v>
      </c>
      <c r="AR6083">
        <v>1</v>
      </c>
      <c r="AS6083" s="1">
        <v>20780</v>
      </c>
      <c r="AT6083" s="1">
        <v>4150</v>
      </c>
      <c r="AU6083" s="1">
        <v>16630</v>
      </c>
      <c r="AV6083">
        <v>80.03</v>
      </c>
      <c r="AX6083" s="1">
        <v>2239.7399999999998</v>
      </c>
      <c r="AY6083" t="s">
        <v>627</v>
      </c>
      <c r="AZ6083" t="s">
        <v>627</v>
      </c>
      <c r="BA6083" t="s">
        <v>457</v>
      </c>
      <c r="BE6083" s="3">
        <v>42055</v>
      </c>
      <c r="BF6083" s="1">
        <v>205000</v>
      </c>
      <c r="BG6083" t="s">
        <v>16011</v>
      </c>
      <c r="BH6083" s="1">
        <v>94.91</v>
      </c>
      <c r="BI6083" s="1">
        <v>209407</v>
      </c>
      <c r="BJ6083" s="3">
        <v>42055</v>
      </c>
      <c r="BK6083" t="s">
        <v>123</v>
      </c>
      <c r="BL6083" t="str">
        <f>"2015.110961"</f>
        <v>2015.110961</v>
      </c>
      <c r="BM6083" t="s">
        <v>544</v>
      </c>
      <c r="BO6083" t="s">
        <v>36976</v>
      </c>
      <c r="BS6083">
        <v>30</v>
      </c>
      <c r="BW6083" t="str">
        <f>""</f>
        <v/>
      </c>
      <c r="CH6083" t="str">
        <f>""</f>
        <v/>
      </c>
      <c r="CS6083" t="str">
        <f>""</f>
        <v/>
      </c>
    </row>
    <row r="6084" spans="1:97" x14ac:dyDescent="0.25">
      <c r="A6084" t="s">
        <v>1444</v>
      </c>
      <c r="B6084" t="s">
        <v>36977</v>
      </c>
      <c r="C6084" t="s">
        <v>3505</v>
      </c>
      <c r="D6084" t="s">
        <v>36977</v>
      </c>
      <c r="E6084" t="s">
        <v>36978</v>
      </c>
      <c r="F6084" t="s">
        <v>108</v>
      </c>
      <c r="H6084" t="s">
        <v>36979</v>
      </c>
      <c r="I6084" t="s">
        <v>2874</v>
      </c>
      <c r="J6084" t="s">
        <v>111</v>
      </c>
      <c r="K6084" t="str">
        <f>"85308"</f>
        <v>85308</v>
      </c>
      <c r="L6084" t="s">
        <v>6308</v>
      </c>
      <c r="M6084" t="s">
        <v>36979</v>
      </c>
      <c r="N6084" t="s">
        <v>2874</v>
      </c>
      <c r="O6084" t="s">
        <v>111</v>
      </c>
      <c r="P6084" t="str">
        <f>"85308-6144"</f>
        <v>85308-6144</v>
      </c>
      <c r="Q6084" t="s">
        <v>113</v>
      </c>
      <c r="R6084" t="str">
        <f>"233-02-421"</f>
        <v>233-02-421</v>
      </c>
      <c r="S6084" t="s">
        <v>8399</v>
      </c>
      <c r="T6084" t="s">
        <v>8399</v>
      </c>
      <c r="U6084">
        <v>2272</v>
      </c>
      <c r="V6084">
        <v>0</v>
      </c>
      <c r="W6084">
        <v>3</v>
      </c>
      <c r="X6084">
        <v>1995</v>
      </c>
      <c r="Z6084">
        <v>1</v>
      </c>
      <c r="AA6084" t="s">
        <v>26</v>
      </c>
      <c r="AB6084">
        <v>0</v>
      </c>
      <c r="AC6084" t="s">
        <v>115</v>
      </c>
      <c r="AD6084">
        <v>3</v>
      </c>
      <c r="AE6084" t="s">
        <v>115</v>
      </c>
      <c r="AF6084">
        <v>0</v>
      </c>
      <c r="AG6084">
        <v>0</v>
      </c>
      <c r="AH6084" t="s">
        <v>116</v>
      </c>
      <c r="AI6084" s="1">
        <v>12553</v>
      </c>
      <c r="AJ6084" s="2">
        <v>0.03</v>
      </c>
      <c r="AK6084" s="1">
        <v>405093</v>
      </c>
      <c r="AL6084" t="s">
        <v>117</v>
      </c>
      <c r="AM6084" t="s">
        <v>393</v>
      </c>
      <c r="AN6084">
        <v>15780</v>
      </c>
      <c r="AO6084">
        <v>0.36</v>
      </c>
      <c r="AP6084">
        <v>1</v>
      </c>
      <c r="AR6084">
        <v>1</v>
      </c>
      <c r="AS6084" s="1">
        <v>29670</v>
      </c>
      <c r="AT6084" s="1">
        <v>5930</v>
      </c>
      <c r="AU6084" s="1">
        <v>23740</v>
      </c>
      <c r="AV6084">
        <v>80.010000000000005</v>
      </c>
      <c r="AX6084" s="1">
        <v>2893.46</v>
      </c>
      <c r="AY6084" t="s">
        <v>8400</v>
      </c>
      <c r="AZ6084" t="s">
        <v>8400</v>
      </c>
      <c r="BA6084" t="s">
        <v>2223</v>
      </c>
      <c r="BE6084" s="3">
        <v>42340</v>
      </c>
      <c r="BF6084" s="1">
        <v>350000</v>
      </c>
      <c r="BG6084" t="s">
        <v>36980</v>
      </c>
      <c r="BH6084" s="1">
        <v>154.05000000000001</v>
      </c>
      <c r="BI6084" s="1">
        <v>392540</v>
      </c>
      <c r="BJ6084" s="3">
        <v>43069</v>
      </c>
      <c r="BK6084" t="s">
        <v>123</v>
      </c>
      <c r="BL6084" t="str">
        <f>"2017.885137"</f>
        <v>2017.885137</v>
      </c>
      <c r="BM6084" t="s">
        <v>5096</v>
      </c>
      <c r="BO6084" t="s">
        <v>36981</v>
      </c>
      <c r="BS6084">
        <v>30</v>
      </c>
      <c r="BW6084" t="str">
        <f>""</f>
        <v/>
      </c>
      <c r="CH6084" t="str">
        <f>""</f>
        <v/>
      </c>
      <c r="CS6084" t="str">
        <f>""</f>
        <v/>
      </c>
    </row>
    <row r="6085" spans="1:97" x14ac:dyDescent="0.25">
      <c r="A6085" t="s">
        <v>3817</v>
      </c>
      <c r="B6085" t="s">
        <v>5611</v>
      </c>
      <c r="E6085" t="s">
        <v>36982</v>
      </c>
      <c r="F6085" t="s">
        <v>108</v>
      </c>
      <c r="H6085" t="s">
        <v>36983</v>
      </c>
      <c r="I6085" t="s">
        <v>390</v>
      </c>
      <c r="J6085" t="s">
        <v>111</v>
      </c>
      <c r="K6085" t="str">
        <f>"85041"</f>
        <v>85041</v>
      </c>
      <c r="L6085" t="s">
        <v>2875</v>
      </c>
      <c r="M6085" t="s">
        <v>36983</v>
      </c>
      <c r="N6085" t="s">
        <v>390</v>
      </c>
      <c r="O6085" t="s">
        <v>111</v>
      </c>
      <c r="P6085" t="str">
        <f>"85041-6367"</f>
        <v>85041-6367</v>
      </c>
      <c r="Q6085" t="s">
        <v>113</v>
      </c>
      <c r="R6085" t="str">
        <f>"105-91-264"</f>
        <v>105-91-264</v>
      </c>
      <c r="S6085" t="s">
        <v>15659</v>
      </c>
      <c r="T6085" t="s">
        <v>15660</v>
      </c>
      <c r="U6085">
        <v>2946</v>
      </c>
      <c r="V6085">
        <v>0</v>
      </c>
      <c r="W6085">
        <v>4</v>
      </c>
      <c r="X6085">
        <v>2004</v>
      </c>
      <c r="Z6085">
        <v>2</v>
      </c>
      <c r="AB6085">
        <v>0</v>
      </c>
      <c r="AC6085" t="s">
        <v>115</v>
      </c>
      <c r="AD6085">
        <v>3</v>
      </c>
      <c r="AE6085" t="s">
        <v>115</v>
      </c>
      <c r="AF6085">
        <v>0</v>
      </c>
      <c r="AG6085">
        <v>0</v>
      </c>
      <c r="AH6085" t="s">
        <v>116</v>
      </c>
      <c r="AI6085" s="1">
        <v>57708</v>
      </c>
      <c r="AJ6085" s="2">
        <v>0.19</v>
      </c>
      <c r="AK6085" s="1">
        <v>310446</v>
      </c>
      <c r="AL6085" t="s">
        <v>117</v>
      </c>
      <c r="AM6085" t="s">
        <v>760</v>
      </c>
      <c r="AN6085">
        <v>8140</v>
      </c>
      <c r="AO6085">
        <v>0.19</v>
      </c>
      <c r="AR6085">
        <v>1</v>
      </c>
      <c r="AS6085" s="1">
        <v>20320</v>
      </c>
      <c r="AT6085" s="1">
        <v>4060</v>
      </c>
      <c r="AU6085" s="1">
        <v>16260</v>
      </c>
      <c r="AV6085">
        <v>80.02</v>
      </c>
      <c r="AX6085" s="1">
        <v>2326.08</v>
      </c>
      <c r="AY6085" t="s">
        <v>5220</v>
      </c>
      <c r="AZ6085" t="s">
        <v>5220</v>
      </c>
      <c r="BA6085" t="s">
        <v>1661</v>
      </c>
      <c r="BE6085" s="3">
        <v>41817</v>
      </c>
      <c r="BF6085" s="1">
        <v>220000</v>
      </c>
      <c r="BG6085" t="s">
        <v>36984</v>
      </c>
      <c r="BH6085" s="1">
        <v>74.680000000000007</v>
      </c>
      <c r="BI6085" s="1">
        <v>220000</v>
      </c>
      <c r="BJ6085" s="3">
        <v>41817</v>
      </c>
      <c r="BK6085" t="s">
        <v>123</v>
      </c>
      <c r="BL6085" t="str">
        <f>"2014.423203"</f>
        <v>2014.423203</v>
      </c>
      <c r="BM6085" t="s">
        <v>8868</v>
      </c>
      <c r="BN6085" t="s">
        <v>18904</v>
      </c>
      <c r="BO6085" t="s">
        <v>36985</v>
      </c>
      <c r="BS6085">
        <v>30</v>
      </c>
      <c r="BT6085" s="1">
        <v>32738</v>
      </c>
      <c r="BU6085" s="3">
        <v>43220</v>
      </c>
      <c r="BW6085" t="str">
        <f>"2018.327185"</f>
        <v>2018.327185</v>
      </c>
      <c r="BX6085" t="s">
        <v>383</v>
      </c>
      <c r="BY6085" t="s">
        <v>384</v>
      </c>
      <c r="BZ6085" t="s">
        <v>36986</v>
      </c>
      <c r="CC6085" t="s">
        <v>346</v>
      </c>
      <c r="CH6085" t="str">
        <f>""</f>
        <v/>
      </c>
      <c r="CS6085" t="str">
        <f>""</f>
        <v/>
      </c>
    </row>
    <row r="6086" spans="1:97" x14ac:dyDescent="0.25">
      <c r="A6086" t="s">
        <v>589</v>
      </c>
      <c r="B6086" t="s">
        <v>36987</v>
      </c>
      <c r="C6086" t="s">
        <v>36988</v>
      </c>
      <c r="D6086" t="s">
        <v>36987</v>
      </c>
      <c r="E6086" t="s">
        <v>36989</v>
      </c>
      <c r="F6086" t="s">
        <v>108</v>
      </c>
      <c r="H6086" t="s">
        <v>36990</v>
      </c>
      <c r="I6086" t="s">
        <v>188</v>
      </c>
      <c r="J6086" t="s">
        <v>111</v>
      </c>
      <c r="K6086" t="str">
        <f>"85142"</f>
        <v>85142</v>
      </c>
      <c r="L6086" t="s">
        <v>3645</v>
      </c>
      <c r="M6086" t="s">
        <v>36990</v>
      </c>
      <c r="N6086" t="s">
        <v>188</v>
      </c>
      <c r="O6086" t="s">
        <v>111</v>
      </c>
      <c r="P6086" t="str">
        <f>"85142-7436"</f>
        <v>85142-7436</v>
      </c>
      <c r="Q6086" t="s">
        <v>113</v>
      </c>
      <c r="R6086" t="str">
        <f>"314-08-664"</f>
        <v>314-08-664</v>
      </c>
      <c r="S6086" t="s">
        <v>9258</v>
      </c>
      <c r="T6086" t="s">
        <v>4400</v>
      </c>
      <c r="U6086">
        <v>3416</v>
      </c>
      <c r="V6086">
        <v>0</v>
      </c>
      <c r="W6086">
        <v>6</v>
      </c>
      <c r="X6086">
        <v>2014</v>
      </c>
      <c r="Z6086">
        <v>1</v>
      </c>
      <c r="AA6086" t="s">
        <v>26</v>
      </c>
      <c r="AB6086">
        <v>0</v>
      </c>
      <c r="AC6086" t="s">
        <v>115</v>
      </c>
      <c r="AD6086">
        <v>3</v>
      </c>
      <c r="AE6086" t="s">
        <v>115</v>
      </c>
      <c r="AF6086">
        <v>0</v>
      </c>
      <c r="AG6086">
        <v>0</v>
      </c>
      <c r="AH6086" t="s">
        <v>116</v>
      </c>
      <c r="AI6086" s="1">
        <v>66718</v>
      </c>
      <c r="AJ6086" s="2">
        <v>0.13</v>
      </c>
      <c r="AK6086" s="1">
        <v>495118</v>
      </c>
      <c r="AL6086" t="s">
        <v>117</v>
      </c>
      <c r="AM6086" t="s">
        <v>917</v>
      </c>
      <c r="AN6086">
        <v>11200</v>
      </c>
      <c r="AO6086">
        <v>0.26</v>
      </c>
      <c r="AR6086">
        <v>1</v>
      </c>
      <c r="AS6086" s="1">
        <v>36380</v>
      </c>
      <c r="AT6086" s="1">
        <v>7270</v>
      </c>
      <c r="AU6086" s="1">
        <v>29110</v>
      </c>
      <c r="AV6086">
        <v>80.02</v>
      </c>
      <c r="AX6086" s="1">
        <v>3688.24</v>
      </c>
      <c r="AY6086" t="s">
        <v>560</v>
      </c>
      <c r="AZ6086" t="s">
        <v>561</v>
      </c>
      <c r="BA6086" t="s">
        <v>194</v>
      </c>
      <c r="BB6086" s="3">
        <v>42284</v>
      </c>
      <c r="BD6086" t="s">
        <v>480</v>
      </c>
      <c r="BE6086" s="3">
        <v>42062</v>
      </c>
      <c r="BF6086" s="1">
        <v>380000</v>
      </c>
      <c r="BG6086" t="s">
        <v>749</v>
      </c>
      <c r="BH6086" s="1">
        <v>111.24</v>
      </c>
      <c r="BI6086" s="1">
        <v>428400</v>
      </c>
      <c r="BJ6086" s="3">
        <v>43122</v>
      </c>
      <c r="BK6086" t="s">
        <v>123</v>
      </c>
      <c r="BL6086" t="str">
        <f>"2018.49718"</f>
        <v>2018.49718</v>
      </c>
      <c r="BM6086" t="s">
        <v>1185</v>
      </c>
      <c r="BN6086" t="s">
        <v>6728</v>
      </c>
      <c r="BO6086" t="s">
        <v>36991</v>
      </c>
      <c r="BP6086" t="s">
        <v>36992</v>
      </c>
      <c r="BR6086" t="s">
        <v>139</v>
      </c>
      <c r="BW6086" t="str">
        <f>""</f>
        <v/>
      </c>
      <c r="CH6086" t="str">
        <f>""</f>
        <v/>
      </c>
      <c r="CS6086" t="str">
        <f>""</f>
        <v/>
      </c>
    </row>
    <row r="6087" spans="1:97" x14ac:dyDescent="0.25">
      <c r="A6087" t="s">
        <v>3526</v>
      </c>
      <c r="B6087" t="s">
        <v>36993</v>
      </c>
      <c r="C6087" t="s">
        <v>767</v>
      </c>
      <c r="D6087" t="s">
        <v>36993</v>
      </c>
      <c r="E6087" t="s">
        <v>36994</v>
      </c>
      <c r="F6087" t="s">
        <v>108</v>
      </c>
      <c r="H6087" t="s">
        <v>36995</v>
      </c>
      <c r="I6087" t="s">
        <v>203</v>
      </c>
      <c r="J6087" t="s">
        <v>111</v>
      </c>
      <c r="K6087" t="str">
        <f>"85295"</f>
        <v>85295</v>
      </c>
      <c r="L6087" t="s">
        <v>7983</v>
      </c>
      <c r="M6087" t="s">
        <v>36995</v>
      </c>
      <c r="N6087" t="s">
        <v>203</v>
      </c>
      <c r="O6087" t="s">
        <v>111</v>
      </c>
      <c r="P6087" t="str">
        <f>"85295-7768"</f>
        <v>85295-7768</v>
      </c>
      <c r="Q6087" t="s">
        <v>113</v>
      </c>
      <c r="R6087" t="str">
        <f>"304-38-216"</f>
        <v>304-38-216</v>
      </c>
      <c r="S6087" t="s">
        <v>10343</v>
      </c>
      <c r="T6087" t="s">
        <v>10343</v>
      </c>
      <c r="U6087">
        <v>2268</v>
      </c>
      <c r="V6087">
        <v>0</v>
      </c>
      <c r="W6087">
        <v>3</v>
      </c>
      <c r="X6087">
        <v>2001</v>
      </c>
      <c r="Z6087">
        <v>1</v>
      </c>
      <c r="AB6087">
        <v>0</v>
      </c>
      <c r="AC6087" t="s">
        <v>115</v>
      </c>
      <c r="AD6087">
        <v>2</v>
      </c>
      <c r="AE6087" t="s">
        <v>115</v>
      </c>
      <c r="AF6087">
        <v>0</v>
      </c>
      <c r="AG6087">
        <v>0</v>
      </c>
      <c r="AH6087" t="s">
        <v>116</v>
      </c>
      <c r="AI6087" s="1">
        <v>60553</v>
      </c>
      <c r="AJ6087" s="2">
        <v>0.17</v>
      </c>
      <c r="AK6087" s="1">
        <v>365288</v>
      </c>
      <c r="AL6087" t="s">
        <v>117</v>
      </c>
      <c r="AM6087" t="s">
        <v>171</v>
      </c>
      <c r="AN6087">
        <v>9170</v>
      </c>
      <c r="AO6087">
        <v>0.21</v>
      </c>
      <c r="AP6087">
        <v>1</v>
      </c>
      <c r="AR6087">
        <v>1</v>
      </c>
      <c r="AS6087" s="1">
        <v>25760</v>
      </c>
      <c r="AT6087" s="1">
        <v>5150</v>
      </c>
      <c r="AU6087" s="1">
        <v>20610</v>
      </c>
      <c r="AV6087">
        <v>80.010000000000005</v>
      </c>
      <c r="AX6087" s="1">
        <v>2153.56</v>
      </c>
      <c r="AY6087" t="s">
        <v>472</v>
      </c>
      <c r="AZ6087" t="s">
        <v>472</v>
      </c>
      <c r="BA6087" t="s">
        <v>473</v>
      </c>
      <c r="BE6087" s="3">
        <v>42517</v>
      </c>
      <c r="BF6087" s="1">
        <v>295000</v>
      </c>
      <c r="BG6087" t="s">
        <v>36996</v>
      </c>
      <c r="BH6087" s="1">
        <v>130.07</v>
      </c>
      <c r="BI6087" s="1">
        <v>304735</v>
      </c>
      <c r="BJ6087" s="3">
        <v>42517</v>
      </c>
      <c r="BK6087" t="s">
        <v>123</v>
      </c>
      <c r="BL6087" t="str">
        <f>"2016.368181"</f>
        <v>2016.368181</v>
      </c>
      <c r="BM6087" t="s">
        <v>1325</v>
      </c>
      <c r="BO6087" t="s">
        <v>36997</v>
      </c>
      <c r="BS6087">
        <v>30</v>
      </c>
      <c r="BW6087" t="str">
        <f>""</f>
        <v/>
      </c>
      <c r="CH6087" t="str">
        <f>""</f>
        <v/>
      </c>
      <c r="CS6087" t="str">
        <f>""</f>
        <v/>
      </c>
    </row>
    <row r="6088" spans="1:97" x14ac:dyDescent="0.25">
      <c r="B6088" t="s">
        <v>36998</v>
      </c>
      <c r="C6088" t="s">
        <v>2002</v>
      </c>
      <c r="E6088" t="s">
        <v>22727</v>
      </c>
      <c r="F6088" t="s">
        <v>108</v>
      </c>
      <c r="H6088" t="s">
        <v>36999</v>
      </c>
      <c r="I6088" t="s">
        <v>453</v>
      </c>
      <c r="J6088" t="s">
        <v>111</v>
      </c>
      <c r="K6088" t="str">
        <f>"85382"</f>
        <v>85382</v>
      </c>
      <c r="L6088" t="s">
        <v>5743</v>
      </c>
      <c r="M6088" t="s">
        <v>36999</v>
      </c>
      <c r="N6088" t="s">
        <v>453</v>
      </c>
      <c r="O6088" t="s">
        <v>111</v>
      </c>
      <c r="P6088" t="str">
        <f>"85382-7419"</f>
        <v>85382-7419</v>
      </c>
      <c r="Q6088" t="s">
        <v>113</v>
      </c>
      <c r="R6088" t="str">
        <f>"200-16-904"</f>
        <v>200-16-904</v>
      </c>
      <c r="S6088" t="s">
        <v>8110</v>
      </c>
      <c r="U6088">
        <v>1527</v>
      </c>
      <c r="V6088">
        <v>0</v>
      </c>
      <c r="W6088">
        <v>3</v>
      </c>
      <c r="X6088">
        <v>2002</v>
      </c>
      <c r="Z6088">
        <v>1</v>
      </c>
      <c r="AB6088">
        <v>0</v>
      </c>
      <c r="AC6088" t="s">
        <v>115</v>
      </c>
      <c r="AD6088">
        <v>2</v>
      </c>
      <c r="AE6088" t="s">
        <v>115</v>
      </c>
      <c r="AF6088">
        <v>0</v>
      </c>
      <c r="AG6088">
        <v>0</v>
      </c>
      <c r="AH6088" t="s">
        <v>116</v>
      </c>
      <c r="AI6088" s="1">
        <v>62466</v>
      </c>
      <c r="AJ6088" s="2">
        <v>0.23</v>
      </c>
      <c r="AK6088" s="1">
        <v>275722</v>
      </c>
      <c r="AL6088" t="s">
        <v>117</v>
      </c>
      <c r="AM6088" t="s">
        <v>118</v>
      </c>
      <c r="AN6088">
        <v>5756</v>
      </c>
      <c r="AO6088">
        <v>0.13</v>
      </c>
      <c r="AP6088">
        <v>1</v>
      </c>
      <c r="AR6088">
        <v>1</v>
      </c>
      <c r="AS6088" s="1">
        <v>18950</v>
      </c>
      <c r="AT6088" s="1">
        <v>3790</v>
      </c>
      <c r="AU6088" s="1">
        <v>15160</v>
      </c>
      <c r="AV6088">
        <v>80</v>
      </c>
      <c r="AX6088" s="1">
        <v>1572.14</v>
      </c>
      <c r="AY6088" t="s">
        <v>6311</v>
      </c>
      <c r="AZ6088" t="s">
        <v>6311</v>
      </c>
      <c r="BA6088" t="s">
        <v>4219</v>
      </c>
      <c r="BB6088" s="3">
        <v>43781</v>
      </c>
      <c r="BC6088" s="1">
        <v>0</v>
      </c>
      <c r="BD6088" t="s">
        <v>247</v>
      </c>
      <c r="BE6088" s="3">
        <v>42158</v>
      </c>
      <c r="BF6088" s="1">
        <v>203000</v>
      </c>
      <c r="BG6088" t="s">
        <v>37000</v>
      </c>
      <c r="BH6088" s="1">
        <v>132.94</v>
      </c>
      <c r="BI6088" s="1">
        <v>213256</v>
      </c>
      <c r="BJ6088" s="3">
        <v>42620</v>
      </c>
      <c r="BK6088" t="s">
        <v>123</v>
      </c>
      <c r="BL6088" t="str">
        <f>"2016.646924"</f>
        <v>2016.646924</v>
      </c>
      <c r="BM6088" t="s">
        <v>2378</v>
      </c>
      <c r="BN6088" t="s">
        <v>15424</v>
      </c>
      <c r="BO6088" t="s">
        <v>37001</v>
      </c>
      <c r="BS6088">
        <v>30</v>
      </c>
      <c r="BW6088" t="str">
        <f>""</f>
        <v/>
      </c>
      <c r="CH6088" t="str">
        <f>""</f>
        <v/>
      </c>
      <c r="CS6088" t="str">
        <f>""</f>
        <v/>
      </c>
    </row>
    <row r="6089" spans="1:97" x14ac:dyDescent="0.25">
      <c r="A6089" t="s">
        <v>1444</v>
      </c>
      <c r="B6089" t="s">
        <v>37002</v>
      </c>
      <c r="C6089" t="s">
        <v>2002</v>
      </c>
      <c r="D6089" t="s">
        <v>18274</v>
      </c>
      <c r="E6089" t="s">
        <v>37003</v>
      </c>
      <c r="F6089" t="s">
        <v>108</v>
      </c>
      <c r="H6089" t="s">
        <v>37004</v>
      </c>
      <c r="I6089" t="s">
        <v>203</v>
      </c>
      <c r="J6089" t="s">
        <v>111</v>
      </c>
      <c r="K6089" t="str">
        <f>"85233"</f>
        <v>85233</v>
      </c>
      <c r="L6089" t="s">
        <v>5709</v>
      </c>
      <c r="M6089" t="s">
        <v>37004</v>
      </c>
      <c r="N6089" t="s">
        <v>203</v>
      </c>
      <c r="O6089" t="s">
        <v>111</v>
      </c>
      <c r="P6089" t="str">
        <f>"85233-5809"</f>
        <v>85233-5809</v>
      </c>
      <c r="Q6089" t="s">
        <v>113</v>
      </c>
      <c r="R6089" t="str">
        <f>"302-32-176-A"</f>
        <v>302-32-176-A</v>
      </c>
      <c r="S6089" t="s">
        <v>13048</v>
      </c>
      <c r="T6089" t="s">
        <v>13049</v>
      </c>
      <c r="U6089">
        <v>2040</v>
      </c>
      <c r="V6089">
        <v>0</v>
      </c>
      <c r="W6089">
        <v>3</v>
      </c>
      <c r="X6089">
        <v>1996</v>
      </c>
      <c r="Z6089">
        <v>2</v>
      </c>
      <c r="AB6089">
        <v>0</v>
      </c>
      <c r="AC6089" t="s">
        <v>115</v>
      </c>
      <c r="AD6089">
        <v>2</v>
      </c>
      <c r="AE6089" t="s">
        <v>115</v>
      </c>
      <c r="AF6089">
        <v>0</v>
      </c>
      <c r="AG6089">
        <v>0</v>
      </c>
      <c r="AH6089" t="s">
        <v>116</v>
      </c>
      <c r="AI6089" s="1">
        <v>59729</v>
      </c>
      <c r="AJ6089" s="2">
        <v>0.18</v>
      </c>
      <c r="AK6089" s="1">
        <v>338639</v>
      </c>
      <c r="AL6089" t="s">
        <v>117</v>
      </c>
      <c r="AM6089" t="s">
        <v>393</v>
      </c>
      <c r="AN6089">
        <v>7535</v>
      </c>
      <c r="AO6089">
        <v>0.17</v>
      </c>
      <c r="AP6089">
        <v>1</v>
      </c>
      <c r="AR6089">
        <v>1</v>
      </c>
      <c r="AS6089" s="1">
        <v>23670</v>
      </c>
      <c r="AT6089" s="1">
        <v>4730</v>
      </c>
      <c r="AU6089" s="1">
        <v>18940</v>
      </c>
      <c r="AV6089">
        <v>80.02</v>
      </c>
      <c r="AX6089" s="1">
        <v>2043.8</v>
      </c>
      <c r="AY6089" t="s">
        <v>5601</v>
      </c>
      <c r="AZ6089" t="s">
        <v>5478</v>
      </c>
      <c r="BA6089" t="s">
        <v>5479</v>
      </c>
      <c r="BE6089" s="3">
        <v>42541</v>
      </c>
      <c r="BF6089" s="1">
        <v>270000</v>
      </c>
      <c r="BG6089" t="s">
        <v>37005</v>
      </c>
      <c r="BH6089" s="1">
        <v>132.35</v>
      </c>
      <c r="BI6089" s="1">
        <v>278910</v>
      </c>
      <c r="BJ6089" s="3">
        <v>42541</v>
      </c>
      <c r="BK6089" t="s">
        <v>123</v>
      </c>
      <c r="BL6089" t="str">
        <f>"2016.428339"</f>
        <v>2016.428339</v>
      </c>
      <c r="BM6089" t="s">
        <v>11747</v>
      </c>
      <c r="BO6089" t="s">
        <v>37006</v>
      </c>
      <c r="BP6089" t="s">
        <v>37007</v>
      </c>
      <c r="BS6089">
        <v>30</v>
      </c>
      <c r="BW6089" t="str">
        <f>""</f>
        <v/>
      </c>
      <c r="CH6089" t="str">
        <f>""</f>
        <v/>
      </c>
      <c r="CS6089" t="str">
        <f>""</f>
        <v/>
      </c>
    </row>
    <row r="6090" spans="1:97" x14ac:dyDescent="0.25">
      <c r="A6090" t="s">
        <v>1727</v>
      </c>
      <c r="B6090" t="s">
        <v>37008</v>
      </c>
      <c r="C6090" t="s">
        <v>3416</v>
      </c>
      <c r="D6090" t="s">
        <v>37008</v>
      </c>
      <c r="E6090" t="s">
        <v>37009</v>
      </c>
      <c r="F6090" t="s">
        <v>108</v>
      </c>
      <c r="H6090" t="s">
        <v>37010</v>
      </c>
      <c r="I6090" t="s">
        <v>110</v>
      </c>
      <c r="J6090" t="s">
        <v>111</v>
      </c>
      <c r="K6090" t="str">
        <f>"85286"</f>
        <v>85286</v>
      </c>
      <c r="L6090" t="s">
        <v>3530</v>
      </c>
      <c r="M6090" t="s">
        <v>37010</v>
      </c>
      <c r="N6090" t="s">
        <v>110</v>
      </c>
      <c r="O6090" t="s">
        <v>111</v>
      </c>
      <c r="P6090" t="str">
        <f>"85286-1326"</f>
        <v>85286-1326</v>
      </c>
      <c r="Q6090" t="s">
        <v>113</v>
      </c>
      <c r="R6090" t="str">
        <f>"303-29-493"</f>
        <v>303-29-493</v>
      </c>
      <c r="S6090" t="s">
        <v>16992</v>
      </c>
      <c r="T6090" t="s">
        <v>16993</v>
      </c>
      <c r="U6090">
        <v>2827</v>
      </c>
      <c r="V6090">
        <v>0</v>
      </c>
      <c r="W6090">
        <v>4</v>
      </c>
      <c r="X6090">
        <v>2002</v>
      </c>
      <c r="Z6090">
        <v>2</v>
      </c>
      <c r="AA6090" t="s">
        <v>26</v>
      </c>
      <c r="AB6090">
        <v>0</v>
      </c>
      <c r="AC6090" t="s">
        <v>115</v>
      </c>
      <c r="AD6090">
        <v>2</v>
      </c>
      <c r="AE6090" t="s">
        <v>115</v>
      </c>
      <c r="AF6090">
        <v>0</v>
      </c>
      <c r="AG6090">
        <v>0</v>
      </c>
      <c r="AH6090" t="s">
        <v>116</v>
      </c>
      <c r="AI6090" s="1">
        <v>101031</v>
      </c>
      <c r="AJ6090" s="2">
        <v>0.23</v>
      </c>
      <c r="AK6090" s="1">
        <v>436119</v>
      </c>
      <c r="AL6090" t="s">
        <v>117</v>
      </c>
      <c r="AM6090" t="s">
        <v>118</v>
      </c>
      <c r="AN6090">
        <v>8232</v>
      </c>
      <c r="AO6090">
        <v>0.19</v>
      </c>
      <c r="AP6090">
        <v>1</v>
      </c>
      <c r="AR6090">
        <v>1</v>
      </c>
      <c r="AS6090" s="1">
        <v>28660</v>
      </c>
      <c r="AT6090" s="1">
        <v>5730</v>
      </c>
      <c r="AU6090" s="1">
        <v>22930</v>
      </c>
      <c r="AV6090">
        <v>80.010000000000005</v>
      </c>
      <c r="AX6090" s="1">
        <v>2467.1</v>
      </c>
      <c r="AY6090" t="s">
        <v>3185</v>
      </c>
      <c r="AZ6090" t="s">
        <v>120</v>
      </c>
      <c r="BA6090" t="s">
        <v>303</v>
      </c>
      <c r="BE6090" s="3">
        <v>41967</v>
      </c>
      <c r="BF6090" s="1">
        <v>343000</v>
      </c>
      <c r="BG6090" t="s">
        <v>37011</v>
      </c>
      <c r="BH6090" s="1">
        <v>121.33</v>
      </c>
      <c r="BI6090" s="1">
        <v>335088</v>
      </c>
      <c r="BJ6090" s="3">
        <v>42606</v>
      </c>
      <c r="BK6090" t="s">
        <v>123</v>
      </c>
      <c r="BL6090" t="str">
        <f>"2016.610044"</f>
        <v>2016.610044</v>
      </c>
      <c r="BM6090" t="s">
        <v>402</v>
      </c>
      <c r="BO6090" t="s">
        <v>37012</v>
      </c>
      <c r="BS6090">
        <v>28</v>
      </c>
      <c r="BW6090" t="str">
        <f>""</f>
        <v/>
      </c>
      <c r="CH6090" t="str">
        <f>""</f>
        <v/>
      </c>
      <c r="CS6090" t="str">
        <f>""</f>
        <v/>
      </c>
    </row>
    <row r="6091" spans="1:97" x14ac:dyDescent="0.25">
      <c r="A6091" t="s">
        <v>3221</v>
      </c>
      <c r="B6091" t="s">
        <v>603</v>
      </c>
      <c r="E6091" t="s">
        <v>37013</v>
      </c>
      <c r="F6091" t="s">
        <v>108</v>
      </c>
      <c r="H6091" t="s">
        <v>37014</v>
      </c>
      <c r="I6091" t="s">
        <v>203</v>
      </c>
      <c r="J6091" t="s">
        <v>111</v>
      </c>
      <c r="K6091" t="str">
        <f>"85295"</f>
        <v>85295</v>
      </c>
      <c r="L6091" t="s">
        <v>5260</v>
      </c>
      <c r="M6091" t="s">
        <v>37014</v>
      </c>
      <c r="N6091" t="s">
        <v>203</v>
      </c>
      <c r="O6091" t="s">
        <v>111</v>
      </c>
      <c r="P6091" t="str">
        <f>"85295-1455"</f>
        <v>85295-1455</v>
      </c>
      <c r="Q6091" t="s">
        <v>113</v>
      </c>
      <c r="R6091" t="str">
        <f>"304-47-342"</f>
        <v>304-47-342</v>
      </c>
      <c r="S6091" t="s">
        <v>22588</v>
      </c>
      <c r="T6091" t="s">
        <v>22588</v>
      </c>
      <c r="U6091">
        <v>2524</v>
      </c>
      <c r="V6091">
        <v>0</v>
      </c>
      <c r="W6091">
        <v>4</v>
      </c>
      <c r="X6091">
        <v>2003</v>
      </c>
      <c r="Z6091">
        <v>1</v>
      </c>
      <c r="AA6091" t="s">
        <v>26</v>
      </c>
      <c r="AB6091">
        <v>0</v>
      </c>
      <c r="AC6091" t="s">
        <v>115</v>
      </c>
      <c r="AD6091">
        <v>2</v>
      </c>
      <c r="AE6091" t="s">
        <v>115</v>
      </c>
      <c r="AF6091">
        <v>0</v>
      </c>
      <c r="AG6091">
        <v>0</v>
      </c>
      <c r="AH6091" t="s">
        <v>116</v>
      </c>
      <c r="AI6091" s="1">
        <v>91802</v>
      </c>
      <c r="AJ6091" s="2">
        <v>0.22</v>
      </c>
      <c r="AK6091" s="1">
        <v>421587</v>
      </c>
      <c r="AL6091" t="s">
        <v>117</v>
      </c>
      <c r="AM6091" t="s">
        <v>1302</v>
      </c>
      <c r="AN6091">
        <v>10000</v>
      </c>
      <c r="AO6091">
        <v>0.23</v>
      </c>
      <c r="AP6091">
        <v>1</v>
      </c>
      <c r="AR6091">
        <v>1</v>
      </c>
      <c r="AS6091" s="1">
        <v>31100</v>
      </c>
      <c r="AT6091" s="1">
        <v>6220</v>
      </c>
      <c r="AU6091" s="1">
        <v>24880</v>
      </c>
      <c r="AV6091">
        <v>80</v>
      </c>
      <c r="AX6091" s="1">
        <v>2734.38</v>
      </c>
      <c r="AY6091" t="s">
        <v>5087</v>
      </c>
      <c r="AZ6091" t="s">
        <v>5087</v>
      </c>
      <c r="BA6091" t="s">
        <v>473</v>
      </c>
      <c r="BE6091" s="3">
        <v>41886</v>
      </c>
      <c r="BF6091" s="1">
        <v>319250</v>
      </c>
      <c r="BG6091" t="s">
        <v>37015</v>
      </c>
      <c r="BH6091" s="1">
        <v>126.49</v>
      </c>
      <c r="BI6091" s="1">
        <v>329785</v>
      </c>
      <c r="BJ6091" s="3">
        <v>41886</v>
      </c>
      <c r="BK6091" t="s">
        <v>123</v>
      </c>
      <c r="BL6091" t="str">
        <f>"2014.586777"</f>
        <v>2014.586777</v>
      </c>
      <c r="BM6091" t="s">
        <v>2748</v>
      </c>
      <c r="BO6091" t="s">
        <v>37016</v>
      </c>
      <c r="BS6091">
        <v>30</v>
      </c>
      <c r="BW6091" t="str">
        <f>""</f>
        <v/>
      </c>
      <c r="CH6091" t="str">
        <f>""</f>
        <v/>
      </c>
      <c r="CS6091" t="str">
        <f>""</f>
        <v/>
      </c>
    </row>
    <row r="6092" spans="1:97" x14ac:dyDescent="0.25">
      <c r="A6092" t="s">
        <v>1005</v>
      </c>
      <c r="B6092" t="s">
        <v>37017</v>
      </c>
      <c r="E6092" t="s">
        <v>37018</v>
      </c>
      <c r="F6092" t="s">
        <v>108</v>
      </c>
      <c r="H6092" t="s">
        <v>37019</v>
      </c>
      <c r="I6092" t="s">
        <v>203</v>
      </c>
      <c r="J6092" t="s">
        <v>111</v>
      </c>
      <c r="K6092" t="str">
        <f>"85297"</f>
        <v>85297</v>
      </c>
      <c r="L6092" t="s">
        <v>7725</v>
      </c>
      <c r="M6092" t="s">
        <v>37019</v>
      </c>
      <c r="N6092" t="s">
        <v>203</v>
      </c>
      <c r="O6092" t="s">
        <v>111</v>
      </c>
      <c r="P6092" t="str">
        <f>"85297-3074"</f>
        <v>85297-3074</v>
      </c>
      <c r="Q6092" t="s">
        <v>113</v>
      </c>
      <c r="R6092" t="str">
        <f>"313-03-613"</f>
        <v>313-03-613</v>
      </c>
      <c r="S6092" t="s">
        <v>29008</v>
      </c>
      <c r="T6092" t="s">
        <v>23833</v>
      </c>
      <c r="U6092">
        <v>1676</v>
      </c>
      <c r="V6092">
        <v>0</v>
      </c>
      <c r="W6092">
        <v>3</v>
      </c>
      <c r="X6092">
        <v>2003</v>
      </c>
      <c r="Z6092">
        <v>1</v>
      </c>
      <c r="AB6092">
        <v>0</v>
      </c>
      <c r="AC6092" t="s">
        <v>115</v>
      </c>
      <c r="AD6092">
        <v>2</v>
      </c>
      <c r="AE6092" t="s">
        <v>115</v>
      </c>
      <c r="AF6092">
        <v>0</v>
      </c>
      <c r="AG6092">
        <v>0</v>
      </c>
      <c r="AH6092" t="s">
        <v>116</v>
      </c>
      <c r="AI6092" s="1">
        <v>75959</v>
      </c>
      <c r="AJ6092" s="2">
        <v>0.25</v>
      </c>
      <c r="AK6092" s="1">
        <v>308384</v>
      </c>
      <c r="AL6092" t="s">
        <v>117</v>
      </c>
      <c r="AM6092" t="s">
        <v>191</v>
      </c>
      <c r="AN6092">
        <v>5599</v>
      </c>
      <c r="AO6092">
        <v>0.13</v>
      </c>
      <c r="AP6092">
        <v>1</v>
      </c>
      <c r="AR6092">
        <v>1</v>
      </c>
      <c r="AS6092" s="1">
        <v>20730</v>
      </c>
      <c r="AT6092" s="1">
        <v>4140</v>
      </c>
      <c r="AU6092" s="1">
        <v>16590</v>
      </c>
      <c r="AV6092">
        <v>80.03</v>
      </c>
      <c r="AX6092" s="1">
        <v>1619.94</v>
      </c>
      <c r="AY6092" t="s">
        <v>8338</v>
      </c>
      <c r="AZ6092" t="s">
        <v>8338</v>
      </c>
      <c r="BA6092" t="s">
        <v>290</v>
      </c>
      <c r="BE6092" s="3">
        <v>42135</v>
      </c>
      <c r="BF6092" s="1">
        <v>225000</v>
      </c>
      <c r="BG6092" t="s">
        <v>16011</v>
      </c>
      <c r="BH6092" s="1">
        <v>134.25</v>
      </c>
      <c r="BI6092" s="1">
        <v>232425</v>
      </c>
      <c r="BJ6092" s="3">
        <v>42135</v>
      </c>
      <c r="BK6092" t="s">
        <v>123</v>
      </c>
      <c r="BL6092" t="str">
        <f>"2015.330613"</f>
        <v>2015.330613</v>
      </c>
      <c r="BM6092" t="s">
        <v>544</v>
      </c>
      <c r="BO6092" t="s">
        <v>37020</v>
      </c>
      <c r="BS6092">
        <v>30</v>
      </c>
      <c r="BW6092" t="str">
        <f>""</f>
        <v/>
      </c>
      <c r="CH6092" t="str">
        <f>""</f>
        <v/>
      </c>
      <c r="CS6092" t="str">
        <f>""</f>
        <v/>
      </c>
    </row>
    <row r="6093" spans="1:97" x14ac:dyDescent="0.25">
      <c r="A6093" t="s">
        <v>6627</v>
      </c>
      <c r="B6093" t="s">
        <v>1094</v>
      </c>
      <c r="C6093" t="s">
        <v>27278</v>
      </c>
      <c r="D6093" t="s">
        <v>1094</v>
      </c>
      <c r="E6093" t="s">
        <v>37021</v>
      </c>
      <c r="F6093" t="s">
        <v>108</v>
      </c>
      <c r="H6093" t="s">
        <v>37022</v>
      </c>
      <c r="I6093" t="s">
        <v>110</v>
      </c>
      <c r="J6093" t="s">
        <v>111</v>
      </c>
      <c r="K6093" t="str">
        <f>"85225"</f>
        <v>85225</v>
      </c>
      <c r="L6093" t="s">
        <v>7626</v>
      </c>
      <c r="M6093" t="s">
        <v>37022</v>
      </c>
      <c r="N6093" t="s">
        <v>110</v>
      </c>
      <c r="O6093" t="s">
        <v>111</v>
      </c>
      <c r="P6093" t="str">
        <f>"85225-5755"</f>
        <v>85225-5755</v>
      </c>
      <c r="Q6093" t="s">
        <v>113</v>
      </c>
      <c r="R6093" t="str">
        <f>"303-02-139"</f>
        <v>303-02-139</v>
      </c>
      <c r="S6093" t="s">
        <v>37023</v>
      </c>
      <c r="T6093" t="s">
        <v>37024</v>
      </c>
      <c r="U6093">
        <v>1896</v>
      </c>
      <c r="V6093">
        <v>0</v>
      </c>
      <c r="W6093">
        <v>2</v>
      </c>
      <c r="X6093">
        <v>1979</v>
      </c>
      <c r="Z6093">
        <v>1</v>
      </c>
      <c r="AA6093" t="s">
        <v>26</v>
      </c>
      <c r="AB6093">
        <v>0</v>
      </c>
      <c r="AC6093" t="s">
        <v>115</v>
      </c>
      <c r="AD6093">
        <v>2</v>
      </c>
      <c r="AE6093" t="s">
        <v>115</v>
      </c>
      <c r="AF6093">
        <v>0</v>
      </c>
      <c r="AG6093">
        <v>0</v>
      </c>
      <c r="AH6093" t="s">
        <v>116</v>
      </c>
      <c r="AI6093" s="1">
        <v>75313</v>
      </c>
      <c r="AJ6093" s="2">
        <v>0.21</v>
      </c>
      <c r="AK6093" s="1">
        <v>353813</v>
      </c>
      <c r="AL6093" t="s">
        <v>117</v>
      </c>
      <c r="AM6093" t="s">
        <v>1302</v>
      </c>
      <c r="AN6093">
        <v>12933</v>
      </c>
      <c r="AO6093">
        <v>0.3</v>
      </c>
      <c r="AP6093">
        <v>1</v>
      </c>
      <c r="AR6093">
        <v>1</v>
      </c>
      <c r="AS6093" s="1">
        <v>25120</v>
      </c>
      <c r="AT6093" s="1">
        <v>5020</v>
      </c>
      <c r="AU6093" s="1">
        <v>20100</v>
      </c>
      <c r="AV6093">
        <v>80.02</v>
      </c>
      <c r="AX6093" s="1">
        <v>1935.24</v>
      </c>
      <c r="AY6093" t="s">
        <v>5650</v>
      </c>
      <c r="AZ6093" t="s">
        <v>2906</v>
      </c>
      <c r="BA6093" t="s">
        <v>303</v>
      </c>
      <c r="BE6093" s="3">
        <v>42403</v>
      </c>
      <c r="BF6093" s="1">
        <v>278500</v>
      </c>
      <c r="BG6093" t="s">
        <v>37025</v>
      </c>
      <c r="BH6093" s="1">
        <v>146.88999999999999</v>
      </c>
      <c r="BI6093" s="1">
        <v>278500</v>
      </c>
      <c r="BJ6093" s="3">
        <v>42403</v>
      </c>
      <c r="BK6093" t="s">
        <v>123</v>
      </c>
      <c r="BL6093" t="str">
        <f>"2016.70721"</f>
        <v>2016.70721</v>
      </c>
      <c r="BM6093" t="s">
        <v>135</v>
      </c>
      <c r="BO6093" t="s">
        <v>37026</v>
      </c>
      <c r="BS6093">
        <v>30</v>
      </c>
      <c r="BW6093" t="str">
        <f>""</f>
        <v/>
      </c>
      <c r="CH6093" t="str">
        <f>""</f>
        <v/>
      </c>
      <c r="CS6093" t="str">
        <f>""</f>
        <v/>
      </c>
    </row>
    <row r="6094" spans="1:97" x14ac:dyDescent="0.25">
      <c r="A6094" t="s">
        <v>6280</v>
      </c>
      <c r="B6094" t="s">
        <v>37027</v>
      </c>
      <c r="C6094" t="s">
        <v>3464</v>
      </c>
      <c r="D6094" t="s">
        <v>37027</v>
      </c>
      <c r="E6094" t="s">
        <v>37028</v>
      </c>
      <c r="F6094" t="s">
        <v>108</v>
      </c>
      <c r="H6094" t="s">
        <v>37029</v>
      </c>
      <c r="I6094" t="s">
        <v>453</v>
      </c>
      <c r="J6094" t="s">
        <v>111</v>
      </c>
      <c r="K6094" t="str">
        <f>"85383"</f>
        <v>85383</v>
      </c>
      <c r="L6094" t="s">
        <v>3318</v>
      </c>
      <c r="M6094" t="s">
        <v>37029</v>
      </c>
      <c r="N6094" t="s">
        <v>453</v>
      </c>
      <c r="O6094" t="s">
        <v>111</v>
      </c>
      <c r="P6094" t="str">
        <f>"85383-3778"</f>
        <v>85383-3778</v>
      </c>
      <c r="Q6094" t="s">
        <v>113</v>
      </c>
      <c r="R6094" t="str">
        <f>"201-39-085"</f>
        <v>201-39-085</v>
      </c>
      <c r="S6094" t="s">
        <v>37030</v>
      </c>
      <c r="U6094">
        <v>3695</v>
      </c>
      <c r="V6094">
        <v>0</v>
      </c>
      <c r="W6094">
        <v>5</v>
      </c>
      <c r="X6094">
        <v>2005</v>
      </c>
      <c r="Z6094">
        <v>2</v>
      </c>
      <c r="AA6094" t="s">
        <v>26</v>
      </c>
      <c r="AB6094">
        <v>0</v>
      </c>
      <c r="AC6094" t="s">
        <v>115</v>
      </c>
      <c r="AD6094">
        <v>3</v>
      </c>
      <c r="AE6094" t="s">
        <v>115</v>
      </c>
      <c r="AF6094">
        <v>0</v>
      </c>
      <c r="AG6094">
        <v>0</v>
      </c>
      <c r="AH6094" t="s">
        <v>116</v>
      </c>
      <c r="AI6094" s="1">
        <v>111399</v>
      </c>
      <c r="AJ6094" s="2">
        <v>0.25</v>
      </c>
      <c r="AK6094" s="1">
        <v>441399</v>
      </c>
      <c r="AL6094" t="s">
        <v>117</v>
      </c>
      <c r="AM6094" t="s">
        <v>118</v>
      </c>
      <c r="AN6094">
        <v>6900</v>
      </c>
      <c r="AO6094">
        <v>0.16</v>
      </c>
      <c r="AR6094">
        <v>1</v>
      </c>
      <c r="AS6094" s="1">
        <v>31700</v>
      </c>
      <c r="AT6094" s="1">
        <v>6340</v>
      </c>
      <c r="AU6094" s="1">
        <v>25360</v>
      </c>
      <c r="AV6094">
        <v>80</v>
      </c>
      <c r="AX6094" s="1">
        <v>2900.66</v>
      </c>
      <c r="AY6094" t="s">
        <v>8323</v>
      </c>
      <c r="AZ6094" t="s">
        <v>8323</v>
      </c>
      <c r="BA6094" t="s">
        <v>1386</v>
      </c>
      <c r="BE6094" s="3">
        <v>41957</v>
      </c>
      <c r="BF6094" s="1">
        <v>330000</v>
      </c>
      <c r="BG6094" t="s">
        <v>37031</v>
      </c>
      <c r="BH6094" s="1">
        <v>89.31</v>
      </c>
      <c r="BI6094" s="1">
        <v>330000</v>
      </c>
      <c r="BJ6094" s="3">
        <v>41957</v>
      </c>
      <c r="BK6094" t="s">
        <v>123</v>
      </c>
      <c r="BL6094" t="str">
        <f>"2014.755530"</f>
        <v>2014.755530</v>
      </c>
      <c r="BM6094" t="s">
        <v>12154</v>
      </c>
      <c r="BO6094" t="s">
        <v>37032</v>
      </c>
      <c r="BS6094">
        <v>30</v>
      </c>
      <c r="BW6094" t="str">
        <f>""</f>
        <v/>
      </c>
      <c r="CH6094" t="str">
        <f>""</f>
        <v/>
      </c>
      <c r="CS6094" t="str">
        <f>""</f>
        <v/>
      </c>
    </row>
    <row r="6095" spans="1:97" x14ac:dyDescent="0.25">
      <c r="A6095" t="s">
        <v>1344</v>
      </c>
      <c r="B6095" t="s">
        <v>37033</v>
      </c>
      <c r="E6095" t="s">
        <v>37034</v>
      </c>
      <c r="F6095" t="s">
        <v>108</v>
      </c>
      <c r="H6095" t="s">
        <v>37035</v>
      </c>
      <c r="I6095" t="s">
        <v>6646</v>
      </c>
      <c r="J6095" t="s">
        <v>111</v>
      </c>
      <c r="K6095" t="str">
        <f>"85086"</f>
        <v>85086</v>
      </c>
      <c r="L6095" t="s">
        <v>1070</v>
      </c>
      <c r="M6095" t="s">
        <v>37035</v>
      </c>
      <c r="N6095" t="s">
        <v>6646</v>
      </c>
      <c r="O6095" t="s">
        <v>111</v>
      </c>
      <c r="P6095" t="str">
        <f>"85086-1668"</f>
        <v>85086-1668</v>
      </c>
      <c r="Q6095" t="s">
        <v>113</v>
      </c>
      <c r="R6095" t="str">
        <f>"203-10-238"</f>
        <v>203-10-238</v>
      </c>
      <c r="S6095" t="s">
        <v>19255</v>
      </c>
      <c r="U6095">
        <v>2290</v>
      </c>
      <c r="V6095">
        <v>0</v>
      </c>
      <c r="W6095">
        <v>3</v>
      </c>
      <c r="X6095">
        <v>2001</v>
      </c>
      <c r="Z6095">
        <v>1</v>
      </c>
      <c r="AB6095">
        <v>0</v>
      </c>
      <c r="AC6095" t="s">
        <v>115</v>
      </c>
      <c r="AD6095">
        <v>2</v>
      </c>
      <c r="AE6095" t="s">
        <v>115</v>
      </c>
      <c r="AF6095">
        <v>0</v>
      </c>
      <c r="AG6095">
        <v>0</v>
      </c>
      <c r="AH6095" t="s">
        <v>116</v>
      </c>
      <c r="AI6095" s="1">
        <v>89959</v>
      </c>
      <c r="AJ6095" s="2">
        <v>0.26</v>
      </c>
      <c r="AK6095" s="1">
        <v>340609</v>
      </c>
      <c r="AL6095" t="s">
        <v>117</v>
      </c>
      <c r="AM6095" t="s">
        <v>393</v>
      </c>
      <c r="AN6095">
        <v>6280</v>
      </c>
      <c r="AO6095">
        <v>0.14000000000000001</v>
      </c>
      <c r="AP6095">
        <v>1</v>
      </c>
      <c r="AR6095">
        <v>1</v>
      </c>
      <c r="AS6095" s="1">
        <v>24230</v>
      </c>
      <c r="AT6095" s="1">
        <v>4840</v>
      </c>
      <c r="AU6095" s="1">
        <v>19390</v>
      </c>
      <c r="AV6095">
        <v>80.02</v>
      </c>
      <c r="AX6095" s="1">
        <v>3000.64</v>
      </c>
      <c r="AY6095" t="s">
        <v>6648</v>
      </c>
      <c r="AZ6095" t="s">
        <v>6648</v>
      </c>
      <c r="BA6095" t="s">
        <v>378</v>
      </c>
      <c r="BB6095" s="3">
        <v>42521</v>
      </c>
      <c r="BD6095" t="s">
        <v>458</v>
      </c>
      <c r="BE6095" s="3">
        <v>41750</v>
      </c>
      <c r="BF6095" s="1">
        <v>249000</v>
      </c>
      <c r="BG6095" t="s">
        <v>37036</v>
      </c>
      <c r="BH6095" s="1">
        <v>108.73</v>
      </c>
      <c r="BI6095" s="1">
        <v>250650</v>
      </c>
      <c r="BJ6095" s="3">
        <v>42521</v>
      </c>
      <c r="BK6095" t="s">
        <v>123</v>
      </c>
      <c r="BL6095" t="str">
        <f>"2016.374706"</f>
        <v>2016.374706</v>
      </c>
      <c r="BM6095" t="s">
        <v>402</v>
      </c>
      <c r="BO6095" t="s">
        <v>37037</v>
      </c>
      <c r="BS6095">
        <v>30</v>
      </c>
      <c r="BW6095" t="str">
        <f>""</f>
        <v/>
      </c>
      <c r="CH6095" t="str">
        <f>""</f>
        <v/>
      </c>
      <c r="CS6095" t="str">
        <f>""</f>
        <v/>
      </c>
    </row>
    <row r="6096" spans="1:97" x14ac:dyDescent="0.25">
      <c r="A6096" t="s">
        <v>668</v>
      </c>
      <c r="B6096" t="s">
        <v>37038</v>
      </c>
      <c r="E6096" t="s">
        <v>37039</v>
      </c>
      <c r="F6096" t="s">
        <v>108</v>
      </c>
      <c r="H6096" t="s">
        <v>37040</v>
      </c>
      <c r="I6096" t="s">
        <v>390</v>
      </c>
      <c r="J6096" t="s">
        <v>111</v>
      </c>
      <c r="K6096" t="str">
        <f>"85041"</f>
        <v>85041</v>
      </c>
      <c r="L6096" t="s">
        <v>226</v>
      </c>
      <c r="M6096" t="s">
        <v>37040</v>
      </c>
      <c r="N6096" t="s">
        <v>390</v>
      </c>
      <c r="O6096" t="s">
        <v>111</v>
      </c>
      <c r="P6096" t="str">
        <f>"85041-7811"</f>
        <v>85041-7811</v>
      </c>
      <c r="Q6096" t="s">
        <v>113</v>
      </c>
      <c r="R6096" t="str">
        <f>"300-46-027"</f>
        <v>300-46-027</v>
      </c>
      <c r="S6096" t="s">
        <v>37041</v>
      </c>
      <c r="T6096" t="s">
        <v>37041</v>
      </c>
      <c r="U6096">
        <v>2923</v>
      </c>
      <c r="V6096">
        <v>0</v>
      </c>
      <c r="W6096">
        <v>4</v>
      </c>
      <c r="X6096">
        <v>2005</v>
      </c>
      <c r="Z6096">
        <v>1</v>
      </c>
      <c r="AA6096" t="s">
        <v>26</v>
      </c>
      <c r="AB6096">
        <v>0</v>
      </c>
      <c r="AC6096" t="s">
        <v>115</v>
      </c>
      <c r="AD6096">
        <v>3</v>
      </c>
      <c r="AE6096" t="s">
        <v>115</v>
      </c>
      <c r="AF6096">
        <v>0</v>
      </c>
      <c r="AG6096">
        <v>0</v>
      </c>
      <c r="AH6096" t="s">
        <v>116</v>
      </c>
      <c r="AI6096" s="1">
        <v>53295</v>
      </c>
      <c r="AJ6096" s="2">
        <v>0.14000000000000001</v>
      </c>
      <c r="AK6096" s="1">
        <v>389368</v>
      </c>
      <c r="AL6096" t="s">
        <v>117</v>
      </c>
      <c r="AM6096" t="s">
        <v>616</v>
      </c>
      <c r="AN6096">
        <v>11726</v>
      </c>
      <c r="AO6096">
        <v>0.27</v>
      </c>
      <c r="AR6096">
        <v>1</v>
      </c>
      <c r="AS6096" s="1">
        <v>29080</v>
      </c>
      <c r="AT6096" s="1">
        <v>5810</v>
      </c>
      <c r="AU6096" s="1">
        <v>23270</v>
      </c>
      <c r="AV6096">
        <v>80.02</v>
      </c>
      <c r="AX6096" s="1">
        <v>3872.38</v>
      </c>
      <c r="AY6096" t="s">
        <v>23378</v>
      </c>
      <c r="AZ6096" t="s">
        <v>23378</v>
      </c>
      <c r="BA6096" t="s">
        <v>1661</v>
      </c>
      <c r="BE6096" s="3">
        <v>42216</v>
      </c>
      <c r="BF6096" s="1">
        <v>329000</v>
      </c>
      <c r="BG6096" t="s">
        <v>37042</v>
      </c>
      <c r="BH6096" s="1">
        <v>112.56</v>
      </c>
      <c r="BI6096" s="1">
        <v>336073</v>
      </c>
      <c r="BJ6096" s="3">
        <v>42216</v>
      </c>
      <c r="BK6096" t="s">
        <v>123</v>
      </c>
      <c r="BL6096" t="str">
        <f>"2015.557248"</f>
        <v>2015.557248</v>
      </c>
      <c r="BM6096" t="s">
        <v>2716</v>
      </c>
      <c r="BO6096" t="s">
        <v>37043</v>
      </c>
      <c r="BS6096">
        <v>30</v>
      </c>
      <c r="BW6096" t="str">
        <f>""</f>
        <v/>
      </c>
      <c r="CH6096" t="str">
        <f>""</f>
        <v/>
      </c>
      <c r="CS6096" t="str">
        <f>""</f>
        <v/>
      </c>
    </row>
    <row r="6097" spans="1:97" x14ac:dyDescent="0.25">
      <c r="A6097" t="s">
        <v>6821</v>
      </c>
      <c r="B6097" t="s">
        <v>32864</v>
      </c>
      <c r="C6097" t="s">
        <v>990</v>
      </c>
      <c r="D6097" t="s">
        <v>37044</v>
      </c>
      <c r="E6097" t="s">
        <v>37045</v>
      </c>
      <c r="F6097" t="s">
        <v>108</v>
      </c>
      <c r="H6097" t="s">
        <v>37046</v>
      </c>
      <c r="I6097" t="s">
        <v>203</v>
      </c>
      <c r="J6097" t="s">
        <v>111</v>
      </c>
      <c r="K6097" t="str">
        <f>"85298"</f>
        <v>85298</v>
      </c>
      <c r="L6097" t="s">
        <v>558</v>
      </c>
      <c r="M6097" t="s">
        <v>37046</v>
      </c>
      <c r="N6097" t="s">
        <v>203</v>
      </c>
      <c r="O6097" t="s">
        <v>111</v>
      </c>
      <c r="P6097" t="str">
        <f>"85298-9120"</f>
        <v>85298-9120</v>
      </c>
      <c r="Q6097" t="s">
        <v>113</v>
      </c>
      <c r="R6097" t="str">
        <f>"313-07-179"</f>
        <v>313-07-179</v>
      </c>
      <c r="S6097" t="s">
        <v>7802</v>
      </c>
      <c r="T6097" t="s">
        <v>2898</v>
      </c>
      <c r="U6097">
        <v>1486</v>
      </c>
      <c r="V6097">
        <v>0</v>
      </c>
      <c r="W6097">
        <v>3</v>
      </c>
      <c r="X6097">
        <v>2004</v>
      </c>
      <c r="Z6097">
        <v>1</v>
      </c>
      <c r="AB6097">
        <v>0</v>
      </c>
      <c r="AC6097" t="s">
        <v>115</v>
      </c>
      <c r="AD6097">
        <v>2</v>
      </c>
      <c r="AE6097" t="s">
        <v>115</v>
      </c>
      <c r="AF6097">
        <v>0</v>
      </c>
      <c r="AG6097">
        <v>0</v>
      </c>
      <c r="AH6097" t="s">
        <v>116</v>
      </c>
      <c r="AI6097" s="1">
        <v>72247</v>
      </c>
      <c r="AJ6097" s="2">
        <v>0.24</v>
      </c>
      <c r="AK6097" s="1">
        <v>297197</v>
      </c>
      <c r="AL6097" t="s">
        <v>117</v>
      </c>
      <c r="AM6097" t="s">
        <v>191</v>
      </c>
      <c r="AN6097">
        <v>8115</v>
      </c>
      <c r="AO6097">
        <v>0.19</v>
      </c>
      <c r="AP6097">
        <v>1</v>
      </c>
      <c r="AR6097">
        <v>1</v>
      </c>
      <c r="AS6097" s="1">
        <v>20250</v>
      </c>
      <c r="AT6097" s="1">
        <v>4050</v>
      </c>
      <c r="AU6097" s="1">
        <v>16200</v>
      </c>
      <c r="AV6097">
        <v>80</v>
      </c>
      <c r="AX6097" s="1">
        <v>1620.52</v>
      </c>
      <c r="AY6097" t="s">
        <v>5875</v>
      </c>
      <c r="AZ6097" t="s">
        <v>1134</v>
      </c>
      <c r="BA6097" t="s">
        <v>1134</v>
      </c>
      <c r="BE6097" s="3">
        <v>42240</v>
      </c>
      <c r="BF6097" s="1">
        <v>230000</v>
      </c>
      <c r="BG6097" t="s">
        <v>37047</v>
      </c>
      <c r="BH6097" s="1">
        <v>154.78</v>
      </c>
      <c r="BI6097" s="1">
        <v>224950</v>
      </c>
      <c r="BJ6097" s="3">
        <v>42240</v>
      </c>
      <c r="BK6097" t="s">
        <v>123</v>
      </c>
      <c r="BL6097" t="str">
        <f>"2015.611929"</f>
        <v>2015.611929</v>
      </c>
      <c r="BM6097" t="s">
        <v>175</v>
      </c>
      <c r="BO6097" t="s">
        <v>37048</v>
      </c>
      <c r="BP6097" t="s">
        <v>37049</v>
      </c>
      <c r="BS6097">
        <v>30</v>
      </c>
      <c r="BW6097" t="str">
        <f>""</f>
        <v/>
      </c>
      <c r="CH6097" t="str">
        <f>""</f>
        <v/>
      </c>
      <c r="CS6097" t="str">
        <f>""</f>
        <v/>
      </c>
    </row>
    <row r="6098" spans="1:97" x14ac:dyDescent="0.25">
      <c r="A6098" t="s">
        <v>305</v>
      </c>
      <c r="B6098" t="s">
        <v>37050</v>
      </c>
      <c r="E6098" t="s">
        <v>37051</v>
      </c>
      <c r="F6098" t="s">
        <v>108</v>
      </c>
      <c r="H6098" t="s">
        <v>37052</v>
      </c>
      <c r="I6098" t="s">
        <v>1936</v>
      </c>
      <c r="J6098" t="s">
        <v>111</v>
      </c>
      <c r="K6098" t="str">
        <f>"85254"</f>
        <v>85254</v>
      </c>
      <c r="L6098" t="s">
        <v>6460</v>
      </c>
      <c r="M6098" t="s">
        <v>37052</v>
      </c>
      <c r="N6098" t="s">
        <v>1936</v>
      </c>
      <c r="O6098" t="s">
        <v>111</v>
      </c>
      <c r="P6098" t="str">
        <f>"85254-4046"</f>
        <v>85254-4046</v>
      </c>
      <c r="Q6098" t="s">
        <v>113</v>
      </c>
      <c r="R6098" t="str">
        <f>"175-05-161"</f>
        <v>175-05-161</v>
      </c>
      <c r="S6098" t="s">
        <v>37053</v>
      </c>
      <c r="T6098" t="s">
        <v>37054</v>
      </c>
      <c r="U6098">
        <v>2759</v>
      </c>
      <c r="V6098">
        <v>0</v>
      </c>
      <c r="W6098">
        <v>3</v>
      </c>
      <c r="X6098">
        <v>1978</v>
      </c>
      <c r="Z6098">
        <v>1</v>
      </c>
      <c r="AA6098" t="s">
        <v>26</v>
      </c>
      <c r="AB6098">
        <v>0</v>
      </c>
      <c r="AC6098" t="s">
        <v>115</v>
      </c>
      <c r="AD6098">
        <v>2</v>
      </c>
      <c r="AE6098" t="s">
        <v>115</v>
      </c>
      <c r="AF6098">
        <v>0</v>
      </c>
      <c r="AG6098">
        <v>0</v>
      </c>
      <c r="AH6098" t="s">
        <v>116</v>
      </c>
      <c r="AI6098" s="1">
        <v>73064</v>
      </c>
      <c r="AJ6098" s="2">
        <v>0.12</v>
      </c>
      <c r="AK6098" s="1">
        <v>612290</v>
      </c>
      <c r="AL6098" t="s">
        <v>117</v>
      </c>
      <c r="AM6098" t="s">
        <v>9009</v>
      </c>
      <c r="AN6098">
        <v>29615</v>
      </c>
      <c r="AO6098">
        <v>0.68</v>
      </c>
      <c r="AP6098">
        <v>1</v>
      </c>
      <c r="AR6098">
        <v>1</v>
      </c>
      <c r="AS6098" s="1">
        <v>42750</v>
      </c>
      <c r="AT6098" s="1">
        <v>8550</v>
      </c>
      <c r="AU6098" s="1">
        <v>34200</v>
      </c>
      <c r="AV6098">
        <v>80</v>
      </c>
      <c r="AX6098" s="1">
        <v>3757.96</v>
      </c>
      <c r="AY6098" t="s">
        <v>19772</v>
      </c>
      <c r="AZ6098" t="s">
        <v>7739</v>
      </c>
      <c r="BA6098" t="s">
        <v>6302</v>
      </c>
      <c r="BE6098" s="3">
        <v>41826</v>
      </c>
      <c r="BF6098" s="1">
        <v>485000</v>
      </c>
      <c r="BG6098" t="s">
        <v>37055</v>
      </c>
      <c r="BH6098" s="1">
        <v>175.79</v>
      </c>
      <c r="BI6098" s="1">
        <v>539226</v>
      </c>
      <c r="BJ6098" s="3">
        <v>43644</v>
      </c>
      <c r="BK6098" t="s">
        <v>123</v>
      </c>
      <c r="BL6098" t="str">
        <f>"2019.496544"</f>
        <v>2019.496544</v>
      </c>
      <c r="BM6098" t="s">
        <v>2926</v>
      </c>
      <c r="BN6098" t="s">
        <v>545</v>
      </c>
      <c r="BO6098" t="s">
        <v>37056</v>
      </c>
      <c r="BR6098" t="s">
        <v>139</v>
      </c>
      <c r="BW6098" t="str">
        <f>""</f>
        <v/>
      </c>
      <c r="CH6098" t="str">
        <f>""</f>
        <v/>
      </c>
      <c r="CS6098" t="str">
        <f>""</f>
        <v/>
      </c>
    </row>
    <row r="6099" spans="1:97" x14ac:dyDescent="0.25">
      <c r="A6099" t="s">
        <v>16151</v>
      </c>
      <c r="B6099" t="s">
        <v>37057</v>
      </c>
      <c r="C6099" t="s">
        <v>1826</v>
      </c>
      <c r="D6099" t="s">
        <v>37057</v>
      </c>
      <c r="E6099" t="s">
        <v>37058</v>
      </c>
      <c r="F6099" t="s">
        <v>108</v>
      </c>
      <c r="H6099" t="s">
        <v>37059</v>
      </c>
      <c r="I6099" t="s">
        <v>5114</v>
      </c>
      <c r="J6099" t="s">
        <v>111</v>
      </c>
      <c r="K6099" t="str">
        <f>"85392"</f>
        <v>85392</v>
      </c>
      <c r="L6099" t="s">
        <v>6333</v>
      </c>
      <c r="M6099" t="s">
        <v>37059</v>
      </c>
      <c r="N6099" t="s">
        <v>5114</v>
      </c>
      <c r="O6099" t="s">
        <v>111</v>
      </c>
      <c r="P6099" t="str">
        <f>"85392-6670"</f>
        <v>85392-6670</v>
      </c>
      <c r="Q6099" t="s">
        <v>113</v>
      </c>
      <c r="R6099" t="str">
        <f>"508-03-365"</f>
        <v>508-03-365</v>
      </c>
      <c r="S6099" t="s">
        <v>11789</v>
      </c>
      <c r="T6099" t="s">
        <v>11789</v>
      </c>
      <c r="U6099">
        <v>2288</v>
      </c>
      <c r="V6099">
        <v>0</v>
      </c>
      <c r="W6099">
        <v>3</v>
      </c>
      <c r="X6099">
        <v>2001</v>
      </c>
      <c r="Z6099">
        <v>1</v>
      </c>
      <c r="AA6099" t="s">
        <v>26</v>
      </c>
      <c r="AB6099">
        <v>0</v>
      </c>
      <c r="AC6099" t="s">
        <v>115</v>
      </c>
      <c r="AD6099">
        <v>3</v>
      </c>
      <c r="AE6099" t="s">
        <v>115</v>
      </c>
      <c r="AF6099">
        <v>0</v>
      </c>
      <c r="AG6099">
        <v>0</v>
      </c>
      <c r="AH6099" t="s">
        <v>116</v>
      </c>
      <c r="AI6099" s="1">
        <v>50095</v>
      </c>
      <c r="AJ6099" s="2">
        <v>0.16</v>
      </c>
      <c r="AK6099" s="1">
        <v>311345</v>
      </c>
      <c r="AL6099" t="s">
        <v>117</v>
      </c>
      <c r="AM6099" t="s">
        <v>118</v>
      </c>
      <c r="AN6099">
        <v>6586</v>
      </c>
      <c r="AO6099">
        <v>0.15</v>
      </c>
      <c r="AP6099">
        <v>1</v>
      </c>
      <c r="AR6099">
        <v>1</v>
      </c>
      <c r="AS6099" s="1">
        <v>22150</v>
      </c>
      <c r="AT6099" s="1">
        <v>4430</v>
      </c>
      <c r="AU6099" s="1">
        <v>17720</v>
      </c>
      <c r="AV6099">
        <v>80</v>
      </c>
      <c r="AX6099" s="1">
        <v>1722.32</v>
      </c>
      <c r="AY6099" t="s">
        <v>6700</v>
      </c>
      <c r="AZ6099" t="s">
        <v>6701</v>
      </c>
      <c r="BA6099" t="s">
        <v>6702</v>
      </c>
      <c r="BE6099" s="3">
        <v>42151</v>
      </c>
      <c r="BF6099" s="1">
        <v>235000</v>
      </c>
      <c r="BG6099" t="s">
        <v>37060</v>
      </c>
      <c r="BH6099" s="1">
        <v>102.71</v>
      </c>
      <c r="BI6099" s="1">
        <v>261250</v>
      </c>
      <c r="BJ6099" s="3">
        <v>42913</v>
      </c>
      <c r="BK6099" t="s">
        <v>123</v>
      </c>
      <c r="BL6099" t="str">
        <f>"2017.469224"</f>
        <v>2017.469224</v>
      </c>
      <c r="BM6099" t="s">
        <v>37061</v>
      </c>
      <c r="BO6099" t="s">
        <v>37062</v>
      </c>
      <c r="BS6099">
        <v>30</v>
      </c>
      <c r="BW6099" t="str">
        <f>""</f>
        <v/>
      </c>
      <c r="CH6099" t="str">
        <f>""</f>
        <v/>
      </c>
      <c r="CS6099" t="str">
        <f>""</f>
        <v/>
      </c>
    </row>
    <row r="6100" spans="1:97" x14ac:dyDescent="0.25">
      <c r="A6100" t="s">
        <v>3089</v>
      </c>
      <c r="B6100" t="s">
        <v>37063</v>
      </c>
      <c r="C6100" t="s">
        <v>327</v>
      </c>
      <c r="D6100" t="s">
        <v>37063</v>
      </c>
      <c r="E6100" t="s">
        <v>37064</v>
      </c>
      <c r="F6100" t="s">
        <v>108</v>
      </c>
      <c r="H6100" t="s">
        <v>37065</v>
      </c>
      <c r="I6100" t="s">
        <v>390</v>
      </c>
      <c r="J6100" t="s">
        <v>111</v>
      </c>
      <c r="K6100" t="str">
        <f>"85028"</f>
        <v>85028</v>
      </c>
      <c r="L6100" t="s">
        <v>1300</v>
      </c>
      <c r="M6100" t="s">
        <v>37065</v>
      </c>
      <c r="N6100" t="s">
        <v>390</v>
      </c>
      <c r="O6100" t="s">
        <v>111</v>
      </c>
      <c r="P6100" t="str">
        <f>"85028-4406"</f>
        <v>85028-4406</v>
      </c>
      <c r="Q6100" t="s">
        <v>113</v>
      </c>
      <c r="R6100" t="str">
        <f>"165-27-034"</f>
        <v>165-27-034</v>
      </c>
      <c r="S6100" t="s">
        <v>37066</v>
      </c>
      <c r="T6100" t="s">
        <v>24401</v>
      </c>
      <c r="U6100">
        <v>1471</v>
      </c>
      <c r="V6100">
        <v>0</v>
      </c>
      <c r="W6100">
        <v>2</v>
      </c>
      <c r="X6100">
        <v>1968</v>
      </c>
      <c r="Z6100">
        <v>1</v>
      </c>
      <c r="AA6100" t="s">
        <v>26</v>
      </c>
      <c r="AB6100">
        <v>0</v>
      </c>
      <c r="AC6100" t="s">
        <v>5188</v>
      </c>
      <c r="AD6100">
        <v>2</v>
      </c>
      <c r="AE6100" t="s">
        <v>5188</v>
      </c>
      <c r="AF6100">
        <v>0</v>
      </c>
      <c r="AG6100">
        <v>0</v>
      </c>
      <c r="AH6100" t="s">
        <v>116</v>
      </c>
      <c r="AI6100" s="1">
        <v>26463</v>
      </c>
      <c r="AJ6100" s="2">
        <v>7.0000000000000007E-2</v>
      </c>
      <c r="AK6100" s="1">
        <v>380782</v>
      </c>
      <c r="AL6100" t="s">
        <v>117</v>
      </c>
      <c r="AM6100" t="s">
        <v>1302</v>
      </c>
      <c r="AN6100">
        <v>15425</v>
      </c>
      <c r="AO6100">
        <v>0.35</v>
      </c>
      <c r="AP6100">
        <v>1</v>
      </c>
      <c r="AR6100">
        <v>1</v>
      </c>
      <c r="AS6100" s="1">
        <v>26020</v>
      </c>
      <c r="AT6100" s="1">
        <v>5200</v>
      </c>
      <c r="AU6100" s="1">
        <v>20820</v>
      </c>
      <c r="AV6100">
        <v>80.02</v>
      </c>
      <c r="AX6100" s="1">
        <v>1912.26</v>
      </c>
      <c r="AY6100" t="s">
        <v>9580</v>
      </c>
      <c r="AZ6100" t="s">
        <v>5489</v>
      </c>
      <c r="BA6100" t="s">
        <v>5232</v>
      </c>
      <c r="BE6100" s="3">
        <v>42551</v>
      </c>
      <c r="BF6100" s="1">
        <v>343000</v>
      </c>
      <c r="BG6100" t="s">
        <v>37067</v>
      </c>
      <c r="BH6100" s="1">
        <v>233.17</v>
      </c>
      <c r="BI6100" s="1">
        <v>354319</v>
      </c>
      <c r="BJ6100" s="3">
        <v>42551</v>
      </c>
      <c r="BK6100" t="s">
        <v>123</v>
      </c>
      <c r="BL6100" t="str">
        <f>"2016.464068"</f>
        <v>2016.464068</v>
      </c>
      <c r="BM6100" t="s">
        <v>1287</v>
      </c>
      <c r="BO6100" t="s">
        <v>37068</v>
      </c>
      <c r="BS6100">
        <v>30</v>
      </c>
      <c r="BW6100" t="str">
        <f>""</f>
        <v/>
      </c>
      <c r="CH6100" t="str">
        <f>""</f>
        <v/>
      </c>
      <c r="CS6100" t="str">
        <f>""</f>
        <v/>
      </c>
    </row>
    <row r="6101" spans="1:97" x14ac:dyDescent="0.25">
      <c r="A6101" t="s">
        <v>37069</v>
      </c>
      <c r="B6101" t="s">
        <v>894</v>
      </c>
      <c r="C6101" t="s">
        <v>589</v>
      </c>
      <c r="D6101" t="s">
        <v>894</v>
      </c>
      <c r="E6101" t="s">
        <v>37070</v>
      </c>
      <c r="F6101" t="s">
        <v>108</v>
      </c>
      <c r="H6101" t="s">
        <v>37071</v>
      </c>
      <c r="I6101" t="s">
        <v>2874</v>
      </c>
      <c r="J6101" t="s">
        <v>111</v>
      </c>
      <c r="K6101" t="str">
        <f>"85308"</f>
        <v>85308</v>
      </c>
      <c r="L6101" t="s">
        <v>6788</v>
      </c>
      <c r="M6101" t="s">
        <v>37071</v>
      </c>
      <c r="N6101" t="s">
        <v>2874</v>
      </c>
      <c r="O6101" t="s">
        <v>111</v>
      </c>
      <c r="P6101" t="str">
        <f>"85308-8248"</f>
        <v>85308-8248</v>
      </c>
      <c r="Q6101" t="s">
        <v>113</v>
      </c>
      <c r="R6101" t="str">
        <f>"231-04-204"</f>
        <v>231-04-204</v>
      </c>
      <c r="S6101" t="s">
        <v>37072</v>
      </c>
      <c r="T6101" t="s">
        <v>21516</v>
      </c>
      <c r="U6101">
        <v>3168</v>
      </c>
      <c r="V6101">
        <v>0</v>
      </c>
      <c r="W6101">
        <v>3</v>
      </c>
      <c r="X6101">
        <v>1991</v>
      </c>
      <c r="Z6101">
        <v>1</v>
      </c>
      <c r="AA6101" t="s">
        <v>26</v>
      </c>
      <c r="AB6101">
        <v>0</v>
      </c>
      <c r="AC6101" t="s">
        <v>115</v>
      </c>
      <c r="AD6101">
        <v>3</v>
      </c>
      <c r="AE6101" t="s">
        <v>115</v>
      </c>
      <c r="AF6101">
        <v>0</v>
      </c>
      <c r="AG6101">
        <v>0</v>
      </c>
      <c r="AH6101" t="s">
        <v>116</v>
      </c>
      <c r="AI6101" s="1">
        <v>85515</v>
      </c>
      <c r="AJ6101" s="2">
        <v>0.17</v>
      </c>
      <c r="AK6101" s="1">
        <v>502465</v>
      </c>
      <c r="AL6101" t="s">
        <v>117</v>
      </c>
      <c r="AM6101" t="s">
        <v>5791</v>
      </c>
      <c r="AN6101">
        <v>16460</v>
      </c>
      <c r="AO6101">
        <v>0.38</v>
      </c>
      <c r="AP6101">
        <v>1</v>
      </c>
      <c r="AR6101">
        <v>1</v>
      </c>
      <c r="AS6101" s="1">
        <v>40580</v>
      </c>
      <c r="AT6101" s="1">
        <v>8110</v>
      </c>
      <c r="AU6101" s="1">
        <v>32470</v>
      </c>
      <c r="AV6101">
        <v>80.010000000000005</v>
      </c>
      <c r="AX6101" s="1">
        <v>3484.26</v>
      </c>
      <c r="AY6101" t="s">
        <v>8400</v>
      </c>
      <c r="AZ6101" t="s">
        <v>8400</v>
      </c>
      <c r="BA6101" t="s">
        <v>2223</v>
      </c>
      <c r="BE6101" s="3">
        <v>42398</v>
      </c>
      <c r="BF6101" s="1">
        <v>409900</v>
      </c>
      <c r="BG6101" t="s">
        <v>37073</v>
      </c>
      <c r="BH6101" s="1">
        <v>129.38999999999999</v>
      </c>
      <c r="BI6101" s="1">
        <v>416950</v>
      </c>
      <c r="BJ6101" s="3">
        <v>42398</v>
      </c>
      <c r="BK6101" t="s">
        <v>123</v>
      </c>
      <c r="BL6101" t="str">
        <f>"2016.62726"</f>
        <v>2016.62726</v>
      </c>
      <c r="BM6101" t="s">
        <v>196</v>
      </c>
      <c r="BO6101" t="s">
        <v>37074</v>
      </c>
      <c r="BS6101">
        <v>30</v>
      </c>
      <c r="BW6101" t="str">
        <f>""</f>
        <v/>
      </c>
      <c r="CH6101" t="str">
        <f>""</f>
        <v/>
      </c>
      <c r="CS6101" t="str">
        <f>""</f>
        <v/>
      </c>
    </row>
    <row r="6102" spans="1:97" x14ac:dyDescent="0.25">
      <c r="A6102" t="s">
        <v>2123</v>
      </c>
      <c r="B6102" t="s">
        <v>27362</v>
      </c>
      <c r="C6102" t="s">
        <v>6232</v>
      </c>
      <c r="D6102" t="s">
        <v>27362</v>
      </c>
      <c r="E6102" t="s">
        <v>37075</v>
      </c>
      <c r="F6102" t="s">
        <v>108</v>
      </c>
      <c r="H6102" t="s">
        <v>37076</v>
      </c>
      <c r="I6102" t="s">
        <v>390</v>
      </c>
      <c r="J6102" t="s">
        <v>111</v>
      </c>
      <c r="K6102" t="str">
        <f>"85044"</f>
        <v>85044</v>
      </c>
      <c r="L6102" t="s">
        <v>11097</v>
      </c>
      <c r="M6102" t="s">
        <v>37076</v>
      </c>
      <c r="N6102" t="s">
        <v>390</v>
      </c>
      <c r="O6102" t="s">
        <v>111</v>
      </c>
      <c r="P6102" t="str">
        <f>"85044-6800"</f>
        <v>85044-6800</v>
      </c>
      <c r="Q6102" t="s">
        <v>113</v>
      </c>
      <c r="R6102" t="str">
        <f>"301-83-593"</f>
        <v>301-83-593</v>
      </c>
      <c r="S6102" t="s">
        <v>37077</v>
      </c>
      <c r="T6102" t="s">
        <v>37078</v>
      </c>
      <c r="U6102">
        <v>2114</v>
      </c>
      <c r="V6102">
        <v>0</v>
      </c>
      <c r="W6102">
        <v>3</v>
      </c>
      <c r="X6102">
        <v>1992</v>
      </c>
      <c r="Z6102">
        <v>1</v>
      </c>
      <c r="AA6102" t="s">
        <v>26</v>
      </c>
      <c r="AB6102">
        <v>0</v>
      </c>
      <c r="AC6102" t="s">
        <v>115</v>
      </c>
      <c r="AD6102">
        <v>2</v>
      </c>
      <c r="AE6102" t="s">
        <v>115</v>
      </c>
      <c r="AF6102">
        <v>0</v>
      </c>
      <c r="AG6102">
        <v>0</v>
      </c>
      <c r="AH6102" t="s">
        <v>116</v>
      </c>
      <c r="AI6102" s="1">
        <v>71366</v>
      </c>
      <c r="AJ6102" s="2">
        <v>0.18</v>
      </c>
      <c r="AK6102" s="1">
        <v>396657</v>
      </c>
      <c r="AL6102" t="s">
        <v>117</v>
      </c>
      <c r="AM6102" t="s">
        <v>191</v>
      </c>
      <c r="AN6102">
        <v>7270</v>
      </c>
      <c r="AO6102">
        <v>0.17</v>
      </c>
      <c r="AP6102">
        <v>1</v>
      </c>
      <c r="AR6102">
        <v>1</v>
      </c>
      <c r="AS6102" s="1">
        <v>28250</v>
      </c>
      <c r="AT6102" s="1">
        <v>5650</v>
      </c>
      <c r="AU6102" s="1">
        <v>22600</v>
      </c>
      <c r="AV6102">
        <v>80</v>
      </c>
      <c r="AX6102" s="1">
        <v>2765.36</v>
      </c>
      <c r="AY6102" t="s">
        <v>7418</v>
      </c>
      <c r="AZ6102" t="s">
        <v>7255</v>
      </c>
      <c r="BA6102" t="s">
        <v>5328</v>
      </c>
      <c r="BE6102" s="3">
        <v>41995</v>
      </c>
      <c r="BF6102" s="1">
        <v>314900</v>
      </c>
      <c r="BG6102" t="s">
        <v>37079</v>
      </c>
      <c r="BH6102" s="1">
        <v>148.96</v>
      </c>
      <c r="BI6102" s="1">
        <v>325291</v>
      </c>
      <c r="BJ6102" s="3">
        <v>41995</v>
      </c>
      <c r="BK6102" t="s">
        <v>123</v>
      </c>
      <c r="BL6102" t="str">
        <f>"2014.842684"</f>
        <v>2014.842684</v>
      </c>
      <c r="BM6102" t="s">
        <v>1185</v>
      </c>
      <c r="BO6102" t="s">
        <v>37080</v>
      </c>
      <c r="BS6102">
        <v>30</v>
      </c>
      <c r="BW6102" t="str">
        <f>""</f>
        <v/>
      </c>
      <c r="CH6102" t="str">
        <f>""</f>
        <v/>
      </c>
      <c r="CS6102" t="str">
        <f>""</f>
        <v/>
      </c>
    </row>
    <row r="6103" spans="1:97" x14ac:dyDescent="0.25">
      <c r="A6103" t="s">
        <v>815</v>
      </c>
      <c r="B6103" t="s">
        <v>37081</v>
      </c>
      <c r="C6103" t="s">
        <v>9201</v>
      </c>
      <c r="D6103" t="s">
        <v>37081</v>
      </c>
      <c r="E6103" t="s">
        <v>37082</v>
      </c>
      <c r="F6103" t="s">
        <v>108</v>
      </c>
      <c r="H6103" t="s">
        <v>37083</v>
      </c>
      <c r="I6103" t="s">
        <v>453</v>
      </c>
      <c r="J6103" t="s">
        <v>111</v>
      </c>
      <c r="K6103" t="str">
        <f>"85381"</f>
        <v>85381</v>
      </c>
      <c r="L6103" t="s">
        <v>926</v>
      </c>
      <c r="M6103" t="s">
        <v>37083</v>
      </c>
      <c r="N6103" t="s">
        <v>453</v>
      </c>
      <c r="O6103" t="s">
        <v>111</v>
      </c>
      <c r="P6103" t="str">
        <f>"85381-4738"</f>
        <v>85381-4738</v>
      </c>
      <c r="Q6103" t="s">
        <v>113</v>
      </c>
      <c r="R6103" t="str">
        <f>"200-66-007-D"</f>
        <v>200-66-007-D</v>
      </c>
      <c r="U6103">
        <v>3156</v>
      </c>
      <c r="V6103">
        <v>0</v>
      </c>
      <c r="W6103">
        <v>4</v>
      </c>
      <c r="X6103">
        <v>2000</v>
      </c>
      <c r="Z6103">
        <v>2</v>
      </c>
      <c r="AB6103">
        <v>0</v>
      </c>
      <c r="AC6103" t="s">
        <v>115</v>
      </c>
      <c r="AD6103">
        <v>3</v>
      </c>
      <c r="AE6103" t="s">
        <v>115</v>
      </c>
      <c r="AF6103">
        <v>0</v>
      </c>
      <c r="AG6103">
        <v>0</v>
      </c>
      <c r="AH6103" t="s">
        <v>116</v>
      </c>
      <c r="AI6103" s="1">
        <v>107609</v>
      </c>
      <c r="AJ6103" s="2">
        <v>0.17</v>
      </c>
      <c r="AK6103" s="1">
        <v>634928</v>
      </c>
      <c r="AL6103" t="s">
        <v>117</v>
      </c>
      <c r="AM6103" t="s">
        <v>376</v>
      </c>
      <c r="AN6103">
        <v>89173</v>
      </c>
      <c r="AO6103">
        <v>2.0499999999999998</v>
      </c>
      <c r="AP6103">
        <v>1</v>
      </c>
      <c r="AR6103">
        <v>1</v>
      </c>
      <c r="AS6103" s="1">
        <v>44150</v>
      </c>
      <c r="AT6103" s="1">
        <v>8830</v>
      </c>
      <c r="AU6103" s="1">
        <v>35320</v>
      </c>
      <c r="AV6103">
        <v>80</v>
      </c>
      <c r="AX6103" s="1">
        <v>4198.42</v>
      </c>
      <c r="AY6103" t="s">
        <v>1799</v>
      </c>
      <c r="AZ6103" t="s">
        <v>1799</v>
      </c>
      <c r="BA6103" t="s">
        <v>3360</v>
      </c>
      <c r="BB6103" s="3">
        <v>42990</v>
      </c>
      <c r="BD6103" t="s">
        <v>157</v>
      </c>
      <c r="BE6103" s="3">
        <v>42156</v>
      </c>
      <c r="BF6103" s="1">
        <v>552000</v>
      </c>
      <c r="BG6103" t="s">
        <v>37084</v>
      </c>
      <c r="BH6103" s="1">
        <v>174.9</v>
      </c>
      <c r="BI6103" s="1">
        <v>527319</v>
      </c>
      <c r="BJ6103" s="3">
        <v>42156</v>
      </c>
      <c r="BK6103" t="s">
        <v>123</v>
      </c>
      <c r="BL6103" t="str">
        <f>"2015.389637"</f>
        <v>2015.389637</v>
      </c>
      <c r="BM6103" t="s">
        <v>2716</v>
      </c>
      <c r="BN6103" t="s">
        <v>13505</v>
      </c>
      <c r="BO6103" t="s">
        <v>37085</v>
      </c>
      <c r="BS6103">
        <v>30</v>
      </c>
      <c r="BW6103" t="str">
        <f>""</f>
        <v/>
      </c>
      <c r="CH6103" t="str">
        <f>""</f>
        <v/>
      </c>
      <c r="CS6103" t="str">
        <f>""</f>
        <v/>
      </c>
    </row>
    <row r="6104" spans="1:97" x14ac:dyDescent="0.25">
      <c r="A6104" t="s">
        <v>4888</v>
      </c>
      <c r="B6104" t="s">
        <v>37086</v>
      </c>
      <c r="E6104" t="s">
        <v>37087</v>
      </c>
      <c r="F6104" t="s">
        <v>108</v>
      </c>
      <c r="H6104" t="s">
        <v>37088</v>
      </c>
      <c r="I6104" t="s">
        <v>390</v>
      </c>
      <c r="J6104" t="s">
        <v>111</v>
      </c>
      <c r="K6104" t="str">
        <f>"85086"</f>
        <v>85086</v>
      </c>
      <c r="L6104" t="s">
        <v>1597</v>
      </c>
      <c r="M6104" t="s">
        <v>37088</v>
      </c>
      <c r="N6104" t="s">
        <v>390</v>
      </c>
      <c r="O6104" t="s">
        <v>111</v>
      </c>
      <c r="P6104" t="str">
        <f>"85086-7127"</f>
        <v>85086-7127</v>
      </c>
      <c r="Q6104" t="s">
        <v>113</v>
      </c>
      <c r="R6104" t="str">
        <f>"211-73-015-G"</f>
        <v>211-73-015-G</v>
      </c>
      <c r="U6104">
        <v>3319</v>
      </c>
      <c r="V6104">
        <v>0</v>
      </c>
      <c r="W6104">
        <v>4</v>
      </c>
      <c r="X6104">
        <v>2014</v>
      </c>
      <c r="Z6104">
        <v>1</v>
      </c>
      <c r="AB6104">
        <v>0</v>
      </c>
      <c r="AC6104" t="s">
        <v>115</v>
      </c>
      <c r="AD6104">
        <v>5</v>
      </c>
      <c r="AE6104" t="s">
        <v>115</v>
      </c>
      <c r="AF6104">
        <v>0</v>
      </c>
      <c r="AG6104">
        <v>0</v>
      </c>
      <c r="AH6104" t="s">
        <v>116</v>
      </c>
      <c r="AI6104" s="1">
        <v>54606</v>
      </c>
      <c r="AJ6104" s="2">
        <v>7.0000000000000007E-2</v>
      </c>
      <c r="AK6104" s="1">
        <v>738283</v>
      </c>
      <c r="AL6104" t="s">
        <v>117</v>
      </c>
      <c r="AM6104" t="s">
        <v>376</v>
      </c>
      <c r="AN6104">
        <v>43583</v>
      </c>
      <c r="AO6104">
        <v>1</v>
      </c>
      <c r="AR6104">
        <v>1</v>
      </c>
      <c r="AS6104" s="1">
        <v>50770</v>
      </c>
      <c r="AT6104" s="1">
        <v>10150</v>
      </c>
      <c r="AU6104" s="1">
        <v>40620</v>
      </c>
      <c r="AV6104">
        <v>80.010000000000005</v>
      </c>
      <c r="AX6104" s="1">
        <v>5016.22</v>
      </c>
      <c r="AY6104" t="s">
        <v>1587</v>
      </c>
      <c r="AZ6104" t="s">
        <v>1587</v>
      </c>
      <c r="BA6104" t="s">
        <v>378</v>
      </c>
      <c r="BB6104" s="3">
        <v>43557</v>
      </c>
      <c r="BC6104" s="1">
        <v>0</v>
      </c>
      <c r="BD6104" t="s">
        <v>247</v>
      </c>
      <c r="BE6104" s="3">
        <v>41810</v>
      </c>
      <c r="BF6104" s="1">
        <v>650000</v>
      </c>
      <c r="BG6104" t="s">
        <v>37089</v>
      </c>
      <c r="BH6104" s="1">
        <v>195.84</v>
      </c>
      <c r="BI6104" s="1">
        <v>683677</v>
      </c>
      <c r="BJ6104" s="3">
        <v>43557</v>
      </c>
      <c r="BK6104" t="s">
        <v>123</v>
      </c>
      <c r="BL6104" t="str">
        <f>"2019.231031"</f>
        <v>2019.231031</v>
      </c>
      <c r="BM6104" t="s">
        <v>4672</v>
      </c>
      <c r="BN6104" t="s">
        <v>1922</v>
      </c>
      <c r="BO6104" t="s">
        <v>37090</v>
      </c>
      <c r="BR6104" t="s">
        <v>139</v>
      </c>
      <c r="BW6104" t="str">
        <f>""</f>
        <v/>
      </c>
      <c r="CH6104" t="str">
        <f>""</f>
        <v/>
      </c>
      <c r="CS6104" t="str">
        <f>""</f>
        <v/>
      </c>
    </row>
    <row r="6105" spans="1:97" x14ac:dyDescent="0.25">
      <c r="A6105" t="s">
        <v>4515</v>
      </c>
      <c r="B6105" t="s">
        <v>37091</v>
      </c>
      <c r="C6105" t="s">
        <v>353</v>
      </c>
      <c r="D6105" t="s">
        <v>37091</v>
      </c>
      <c r="E6105" t="s">
        <v>37092</v>
      </c>
      <c r="F6105" t="s">
        <v>108</v>
      </c>
      <c r="H6105" t="s">
        <v>37093</v>
      </c>
      <c r="I6105" t="s">
        <v>390</v>
      </c>
      <c r="J6105" t="s">
        <v>111</v>
      </c>
      <c r="K6105" t="str">
        <f>"85053"</f>
        <v>85053</v>
      </c>
      <c r="L6105" t="s">
        <v>2963</v>
      </c>
      <c r="M6105" t="s">
        <v>37093</v>
      </c>
      <c r="N6105" t="s">
        <v>390</v>
      </c>
      <c r="O6105" t="s">
        <v>111</v>
      </c>
      <c r="P6105" t="str">
        <f>"85053-5611"</f>
        <v>85053-5611</v>
      </c>
      <c r="Q6105" t="s">
        <v>113</v>
      </c>
      <c r="R6105" t="str">
        <f>"207-08-301"</f>
        <v>207-08-301</v>
      </c>
      <c r="S6105" t="s">
        <v>26604</v>
      </c>
      <c r="T6105" t="s">
        <v>12539</v>
      </c>
      <c r="U6105">
        <v>2220</v>
      </c>
      <c r="V6105">
        <v>0</v>
      </c>
      <c r="W6105">
        <v>3</v>
      </c>
      <c r="X6105">
        <v>1970</v>
      </c>
      <c r="Z6105">
        <v>1</v>
      </c>
      <c r="AA6105" t="s">
        <v>26</v>
      </c>
      <c r="AB6105">
        <v>0</v>
      </c>
      <c r="AC6105" t="s">
        <v>115</v>
      </c>
      <c r="AD6105">
        <v>2</v>
      </c>
      <c r="AE6105" t="s">
        <v>115</v>
      </c>
      <c r="AF6105">
        <v>0</v>
      </c>
      <c r="AG6105">
        <v>0</v>
      </c>
      <c r="AH6105" t="s">
        <v>116</v>
      </c>
      <c r="AI6105" s="1">
        <v>43891</v>
      </c>
      <c r="AJ6105" s="2">
        <v>0.16</v>
      </c>
      <c r="AK6105" s="1">
        <v>278836</v>
      </c>
      <c r="AL6105" t="s">
        <v>117</v>
      </c>
      <c r="AM6105" t="s">
        <v>171</v>
      </c>
      <c r="AN6105">
        <v>9172</v>
      </c>
      <c r="AO6105">
        <v>0.21</v>
      </c>
      <c r="AP6105">
        <v>1</v>
      </c>
      <c r="AR6105">
        <v>1</v>
      </c>
      <c r="AS6105" s="1">
        <v>19500</v>
      </c>
      <c r="AT6105" s="1">
        <v>3900</v>
      </c>
      <c r="AU6105" s="1">
        <v>15600</v>
      </c>
      <c r="AV6105">
        <v>80</v>
      </c>
      <c r="AX6105" s="1">
        <v>1615.72</v>
      </c>
      <c r="AY6105" t="s">
        <v>18697</v>
      </c>
      <c r="AZ6105" t="s">
        <v>2997</v>
      </c>
      <c r="BA6105" t="s">
        <v>2998</v>
      </c>
      <c r="BE6105" s="3">
        <v>42551</v>
      </c>
      <c r="BF6105" s="1">
        <v>230000</v>
      </c>
      <c r="BG6105" t="s">
        <v>37094</v>
      </c>
      <c r="BH6105" s="1">
        <v>103.6</v>
      </c>
      <c r="BI6105" s="1">
        <v>234945</v>
      </c>
      <c r="BJ6105" s="3">
        <v>42551</v>
      </c>
      <c r="BK6105" t="s">
        <v>123</v>
      </c>
      <c r="BL6105" t="str">
        <f>"2016.460299"</f>
        <v>2016.460299</v>
      </c>
      <c r="BM6105" t="s">
        <v>594</v>
      </c>
      <c r="BO6105" t="s">
        <v>37095</v>
      </c>
      <c r="BS6105">
        <v>30</v>
      </c>
      <c r="BW6105" t="str">
        <f>""</f>
        <v/>
      </c>
      <c r="CH6105" t="str">
        <f>""</f>
        <v/>
      </c>
      <c r="CS6105" t="str">
        <f>""</f>
        <v/>
      </c>
    </row>
    <row r="6106" spans="1:97" x14ac:dyDescent="0.25">
      <c r="A6106" t="s">
        <v>13079</v>
      </c>
      <c r="B6106" t="s">
        <v>2760</v>
      </c>
      <c r="C6106" t="s">
        <v>16153</v>
      </c>
      <c r="D6106" t="s">
        <v>2760</v>
      </c>
      <c r="E6106" t="s">
        <v>37096</v>
      </c>
      <c r="F6106" t="s">
        <v>108</v>
      </c>
      <c r="H6106" t="s">
        <v>37097</v>
      </c>
      <c r="I6106" t="s">
        <v>6646</v>
      </c>
      <c r="J6106" t="s">
        <v>111</v>
      </c>
      <c r="K6106" t="str">
        <f>"85086"</f>
        <v>85086</v>
      </c>
      <c r="L6106" t="s">
        <v>3225</v>
      </c>
      <c r="M6106" t="s">
        <v>37097</v>
      </c>
      <c r="N6106" t="s">
        <v>6646</v>
      </c>
      <c r="O6106" t="s">
        <v>111</v>
      </c>
      <c r="P6106" t="str">
        <f>"85086-1787"</f>
        <v>85086-1787</v>
      </c>
      <c r="Q6106" t="s">
        <v>113</v>
      </c>
      <c r="R6106" t="str">
        <f>"203-06-126"</f>
        <v>203-06-126</v>
      </c>
      <c r="S6106" t="s">
        <v>11877</v>
      </c>
      <c r="U6106">
        <v>2738</v>
      </c>
      <c r="V6106">
        <v>0</v>
      </c>
      <c r="W6106">
        <v>4</v>
      </c>
      <c r="X6106">
        <v>2002</v>
      </c>
      <c r="Z6106">
        <v>1</v>
      </c>
      <c r="AA6106" t="s">
        <v>26</v>
      </c>
      <c r="AB6106">
        <v>0</v>
      </c>
      <c r="AC6106" t="s">
        <v>115</v>
      </c>
      <c r="AD6106">
        <v>3</v>
      </c>
      <c r="AE6106" t="s">
        <v>115</v>
      </c>
      <c r="AF6106">
        <v>0</v>
      </c>
      <c r="AG6106">
        <v>0</v>
      </c>
      <c r="AH6106" t="s">
        <v>116</v>
      </c>
      <c r="AI6106" s="1">
        <v>54937</v>
      </c>
      <c r="AJ6106" s="2">
        <v>0.13</v>
      </c>
      <c r="AK6106" s="1">
        <v>427333</v>
      </c>
      <c r="AL6106" t="s">
        <v>117</v>
      </c>
      <c r="AM6106" t="s">
        <v>1302</v>
      </c>
      <c r="AN6106">
        <v>9600</v>
      </c>
      <c r="AO6106">
        <v>0.22</v>
      </c>
      <c r="AP6106">
        <v>1</v>
      </c>
      <c r="AR6106">
        <v>1</v>
      </c>
      <c r="AS6106" s="1">
        <v>33470</v>
      </c>
      <c r="AT6106" s="1">
        <v>6690</v>
      </c>
      <c r="AU6106" s="1">
        <v>26780</v>
      </c>
      <c r="AV6106">
        <v>80.010000000000005</v>
      </c>
      <c r="AX6106" s="1">
        <v>3956.42</v>
      </c>
      <c r="AY6106" t="s">
        <v>665</v>
      </c>
      <c r="AZ6106" t="s">
        <v>665</v>
      </c>
      <c r="BA6106" t="s">
        <v>378</v>
      </c>
      <c r="BE6106" s="3">
        <v>42486</v>
      </c>
      <c r="BF6106" s="1">
        <v>360500</v>
      </c>
      <c r="BG6106" t="s">
        <v>37098</v>
      </c>
      <c r="BH6106" s="1">
        <v>131.66999999999999</v>
      </c>
      <c r="BI6106" s="1">
        <v>372396</v>
      </c>
      <c r="BJ6106" s="3">
        <v>42486</v>
      </c>
      <c r="BK6106" t="s">
        <v>123</v>
      </c>
      <c r="BL6106" t="str">
        <f>"2016.277694"</f>
        <v>2016.277694</v>
      </c>
      <c r="BM6106" t="s">
        <v>150</v>
      </c>
      <c r="BO6106" t="s">
        <v>37099</v>
      </c>
      <c r="BS6106">
        <v>30</v>
      </c>
      <c r="BW6106" t="str">
        <f>""</f>
        <v/>
      </c>
      <c r="CH6106" t="str">
        <f>""</f>
        <v/>
      </c>
      <c r="CS6106" t="str">
        <f>""</f>
        <v/>
      </c>
    </row>
    <row r="6107" spans="1:97" x14ac:dyDescent="0.25">
      <c r="A6107" t="s">
        <v>3296</v>
      </c>
      <c r="B6107" t="s">
        <v>37100</v>
      </c>
      <c r="E6107" t="s">
        <v>37101</v>
      </c>
      <c r="F6107" t="s">
        <v>108</v>
      </c>
      <c r="H6107" t="s">
        <v>37102</v>
      </c>
      <c r="I6107" t="s">
        <v>110</v>
      </c>
      <c r="J6107" t="s">
        <v>111</v>
      </c>
      <c r="K6107" t="str">
        <f>"85248"</f>
        <v>85248</v>
      </c>
      <c r="L6107" t="s">
        <v>558</v>
      </c>
      <c r="M6107" t="s">
        <v>37102</v>
      </c>
      <c r="N6107" t="s">
        <v>110</v>
      </c>
      <c r="O6107" t="s">
        <v>111</v>
      </c>
      <c r="P6107" t="str">
        <f>"85248-4886"</f>
        <v>85248-4886</v>
      </c>
      <c r="Q6107" t="s">
        <v>113</v>
      </c>
      <c r="R6107" t="str">
        <f>"303-48-813"</f>
        <v>303-48-813</v>
      </c>
      <c r="S6107" t="s">
        <v>27334</v>
      </c>
      <c r="T6107" t="s">
        <v>27334</v>
      </c>
      <c r="U6107">
        <v>3525</v>
      </c>
      <c r="V6107">
        <v>0</v>
      </c>
      <c r="W6107">
        <v>4</v>
      </c>
      <c r="X6107">
        <v>2006</v>
      </c>
      <c r="Z6107">
        <v>2</v>
      </c>
      <c r="AA6107" t="s">
        <v>26</v>
      </c>
      <c r="AB6107">
        <v>0</v>
      </c>
      <c r="AC6107" t="s">
        <v>115</v>
      </c>
      <c r="AD6107">
        <v>3</v>
      </c>
      <c r="AE6107" t="s">
        <v>115</v>
      </c>
      <c r="AF6107">
        <v>0</v>
      </c>
      <c r="AG6107">
        <v>0</v>
      </c>
      <c r="AH6107" t="s">
        <v>116</v>
      </c>
      <c r="AI6107" s="1">
        <v>119187</v>
      </c>
      <c r="AJ6107" s="2">
        <v>0.18</v>
      </c>
      <c r="AK6107" s="1">
        <v>662719</v>
      </c>
      <c r="AL6107" t="s">
        <v>117</v>
      </c>
      <c r="AM6107" t="s">
        <v>118</v>
      </c>
      <c r="AN6107">
        <v>8400</v>
      </c>
      <c r="AO6107">
        <v>0.19</v>
      </c>
      <c r="AP6107">
        <v>1</v>
      </c>
      <c r="AR6107">
        <v>1</v>
      </c>
      <c r="AS6107" s="1">
        <v>46620</v>
      </c>
      <c r="AT6107" s="1">
        <v>9320</v>
      </c>
      <c r="AU6107" s="1">
        <v>37300</v>
      </c>
      <c r="AV6107">
        <v>80.010000000000005</v>
      </c>
      <c r="AX6107" s="1">
        <v>4120.88</v>
      </c>
      <c r="AY6107" t="s">
        <v>3351</v>
      </c>
      <c r="AZ6107" t="s">
        <v>1882</v>
      </c>
      <c r="BA6107" t="s">
        <v>121</v>
      </c>
      <c r="BE6107" s="3">
        <v>42006</v>
      </c>
      <c r="BF6107" s="1">
        <v>575000</v>
      </c>
      <c r="BG6107" t="s">
        <v>37103</v>
      </c>
      <c r="BH6107" s="1">
        <v>163.12</v>
      </c>
      <c r="BI6107" s="1">
        <v>543532</v>
      </c>
      <c r="BJ6107" s="3">
        <v>42006</v>
      </c>
      <c r="BK6107" t="s">
        <v>123</v>
      </c>
      <c r="BL6107" t="str">
        <f>"2015.613"</f>
        <v>2015.613</v>
      </c>
      <c r="BM6107" t="s">
        <v>936</v>
      </c>
      <c r="BO6107" t="s">
        <v>37104</v>
      </c>
      <c r="BS6107">
        <v>30</v>
      </c>
      <c r="BW6107" t="str">
        <f>""</f>
        <v/>
      </c>
      <c r="CH6107" t="str">
        <f>""</f>
        <v/>
      </c>
      <c r="CS6107" t="str">
        <f>""</f>
        <v/>
      </c>
    </row>
    <row r="6108" spans="1:97" x14ac:dyDescent="0.25">
      <c r="A6108" t="s">
        <v>37105</v>
      </c>
      <c r="B6108" t="s">
        <v>37106</v>
      </c>
      <c r="C6108" t="s">
        <v>1620</v>
      </c>
      <c r="D6108" t="s">
        <v>37106</v>
      </c>
      <c r="E6108" t="s">
        <v>37107</v>
      </c>
      <c r="F6108" t="s">
        <v>108</v>
      </c>
      <c r="H6108" t="s">
        <v>37108</v>
      </c>
      <c r="I6108" t="s">
        <v>1936</v>
      </c>
      <c r="J6108" t="s">
        <v>111</v>
      </c>
      <c r="K6108" t="str">
        <f>"85259"</f>
        <v>85259</v>
      </c>
      <c r="L6108" t="s">
        <v>6416</v>
      </c>
      <c r="M6108" t="s">
        <v>37108</v>
      </c>
      <c r="N6108" t="s">
        <v>1936</v>
      </c>
      <c r="O6108" t="s">
        <v>111</v>
      </c>
      <c r="P6108" t="str">
        <f>"85259-5107"</f>
        <v>85259-5107</v>
      </c>
      <c r="Q6108" t="s">
        <v>113</v>
      </c>
      <c r="R6108" t="str">
        <f>"217-32-320"</f>
        <v>217-32-320</v>
      </c>
      <c r="S6108" t="s">
        <v>37109</v>
      </c>
      <c r="T6108" t="s">
        <v>37110</v>
      </c>
      <c r="U6108">
        <v>3840</v>
      </c>
      <c r="V6108">
        <v>0</v>
      </c>
      <c r="W6108">
        <v>5</v>
      </c>
      <c r="X6108">
        <v>1996</v>
      </c>
      <c r="Z6108">
        <v>1</v>
      </c>
      <c r="AA6108" t="s">
        <v>26</v>
      </c>
      <c r="AB6108">
        <v>0</v>
      </c>
      <c r="AC6108" t="s">
        <v>115</v>
      </c>
      <c r="AD6108">
        <v>3</v>
      </c>
      <c r="AE6108" t="s">
        <v>115</v>
      </c>
      <c r="AF6108">
        <v>0</v>
      </c>
      <c r="AG6108">
        <v>0</v>
      </c>
      <c r="AH6108" t="s">
        <v>116</v>
      </c>
      <c r="AI6108" s="1">
        <v>-48941</v>
      </c>
      <c r="AJ6108" s="2">
        <v>-0.06</v>
      </c>
      <c r="AK6108" s="1">
        <v>882884</v>
      </c>
      <c r="AL6108" t="s">
        <v>117</v>
      </c>
      <c r="AM6108" t="s">
        <v>616</v>
      </c>
      <c r="AN6108">
        <v>20719</v>
      </c>
      <c r="AO6108">
        <v>0.48</v>
      </c>
      <c r="AP6108">
        <v>1</v>
      </c>
      <c r="AR6108">
        <v>1</v>
      </c>
      <c r="AS6108" s="1">
        <v>72410</v>
      </c>
      <c r="AT6108" s="1">
        <v>14480</v>
      </c>
      <c r="AU6108" s="1">
        <v>57930</v>
      </c>
      <c r="AV6108">
        <v>80</v>
      </c>
      <c r="AX6108" s="1">
        <v>4788.68</v>
      </c>
      <c r="AY6108" t="s">
        <v>5761</v>
      </c>
      <c r="AZ6108" t="s">
        <v>5762</v>
      </c>
      <c r="BA6108" t="s">
        <v>5763</v>
      </c>
      <c r="BE6108" s="3">
        <v>41858</v>
      </c>
      <c r="BF6108" s="1">
        <v>935000</v>
      </c>
      <c r="BG6108" t="s">
        <v>37111</v>
      </c>
      <c r="BH6108" s="1">
        <v>243.49</v>
      </c>
      <c r="BI6108" s="1">
        <v>803325</v>
      </c>
      <c r="BJ6108" s="3">
        <v>42552</v>
      </c>
      <c r="BK6108" t="s">
        <v>123</v>
      </c>
      <c r="BL6108" t="str">
        <f>"2016.465486"</f>
        <v>2016.465486</v>
      </c>
      <c r="BM6108" t="s">
        <v>402</v>
      </c>
      <c r="BN6108" t="s">
        <v>461</v>
      </c>
      <c r="BO6108" t="s">
        <v>37112</v>
      </c>
      <c r="BS6108">
        <v>30</v>
      </c>
      <c r="BT6108" s="1">
        <v>128500</v>
      </c>
      <c r="BU6108" s="3">
        <v>43425</v>
      </c>
      <c r="BW6108" t="str">
        <f>"2018.864621"</f>
        <v>2018.864621</v>
      </c>
      <c r="BX6108" t="s">
        <v>1051</v>
      </c>
      <c r="BY6108" t="s">
        <v>1052</v>
      </c>
      <c r="BZ6108" t="s">
        <v>37113</v>
      </c>
      <c r="CA6108" t="s">
        <v>37114</v>
      </c>
      <c r="CC6108" t="s">
        <v>346</v>
      </c>
      <c r="CH6108" t="str">
        <f>""</f>
        <v/>
      </c>
      <c r="CS6108" t="str">
        <f>""</f>
        <v/>
      </c>
    </row>
    <row r="6109" spans="1:97" x14ac:dyDescent="0.25">
      <c r="A6109" t="s">
        <v>2776</v>
      </c>
      <c r="B6109" t="s">
        <v>37115</v>
      </c>
      <c r="C6109" t="s">
        <v>37116</v>
      </c>
      <c r="D6109" t="s">
        <v>37115</v>
      </c>
      <c r="E6109" t="s">
        <v>37117</v>
      </c>
      <c r="F6109" t="s">
        <v>108</v>
      </c>
      <c r="H6109" t="s">
        <v>37118</v>
      </c>
      <c r="I6109" t="s">
        <v>1788</v>
      </c>
      <c r="J6109" t="s">
        <v>111</v>
      </c>
      <c r="K6109" t="str">
        <f>"85355"</f>
        <v>85355</v>
      </c>
      <c r="L6109" t="s">
        <v>168</v>
      </c>
      <c r="M6109" t="s">
        <v>37118</v>
      </c>
      <c r="N6109" t="s">
        <v>1788</v>
      </c>
      <c r="O6109" t="s">
        <v>111</v>
      </c>
      <c r="P6109" t="str">
        <f>"85355-4423"</f>
        <v>85355-4423</v>
      </c>
      <c r="Q6109" t="s">
        <v>113</v>
      </c>
      <c r="R6109" t="str">
        <f>"502-90-260"</f>
        <v>502-90-260</v>
      </c>
      <c r="S6109" t="s">
        <v>8290</v>
      </c>
      <c r="U6109">
        <v>2745</v>
      </c>
      <c r="V6109">
        <v>0</v>
      </c>
      <c r="W6109">
        <v>4</v>
      </c>
      <c r="X6109">
        <v>2014</v>
      </c>
      <c r="Z6109">
        <v>2</v>
      </c>
      <c r="AB6109">
        <v>0</v>
      </c>
      <c r="AC6109" t="s">
        <v>115</v>
      </c>
      <c r="AD6109">
        <v>3</v>
      </c>
      <c r="AE6109" t="s">
        <v>115</v>
      </c>
      <c r="AF6109">
        <v>0</v>
      </c>
      <c r="AG6109">
        <v>0</v>
      </c>
      <c r="AH6109" t="s">
        <v>116</v>
      </c>
      <c r="AI6109" s="1">
        <v>82826</v>
      </c>
      <c r="AJ6109" s="2">
        <v>0.24</v>
      </c>
      <c r="AK6109" s="1">
        <v>338454</v>
      </c>
      <c r="AL6109" t="s">
        <v>117</v>
      </c>
      <c r="AM6109" t="s">
        <v>191</v>
      </c>
      <c r="AN6109">
        <v>6095</v>
      </c>
      <c r="AO6109">
        <v>0.14000000000000001</v>
      </c>
      <c r="AR6109">
        <v>1</v>
      </c>
      <c r="AS6109" s="1">
        <v>22900</v>
      </c>
      <c r="AT6109" s="1">
        <v>4580</v>
      </c>
      <c r="AU6109" s="1">
        <v>18320</v>
      </c>
      <c r="AV6109">
        <v>80</v>
      </c>
      <c r="AX6109" s="1">
        <v>1529.46</v>
      </c>
      <c r="AY6109" t="s">
        <v>5972</v>
      </c>
      <c r="AZ6109" t="s">
        <v>5972</v>
      </c>
      <c r="BA6109" t="s">
        <v>5061</v>
      </c>
      <c r="BE6109" s="3">
        <v>42055</v>
      </c>
      <c r="BF6109" s="1">
        <v>248558</v>
      </c>
      <c r="BG6109" t="s">
        <v>2780</v>
      </c>
      <c r="BH6109" s="1">
        <v>90.55</v>
      </c>
      <c r="BI6109" s="1">
        <v>255628</v>
      </c>
      <c r="BJ6109" s="3">
        <v>42055</v>
      </c>
      <c r="BK6109" t="s">
        <v>123</v>
      </c>
      <c r="BL6109" t="str">
        <f>"2015.111138"</f>
        <v>2015.111138</v>
      </c>
      <c r="BM6109" t="s">
        <v>175</v>
      </c>
      <c r="BO6109" t="s">
        <v>37119</v>
      </c>
      <c r="BS6109">
        <v>30</v>
      </c>
      <c r="BW6109" t="str">
        <f>""</f>
        <v/>
      </c>
      <c r="CH6109" t="str">
        <f>""</f>
        <v/>
      </c>
      <c r="CS6109" t="str">
        <f>""</f>
        <v/>
      </c>
    </row>
    <row r="6110" spans="1:97" x14ac:dyDescent="0.25">
      <c r="A6110" t="s">
        <v>140</v>
      </c>
      <c r="B6110" t="s">
        <v>37120</v>
      </c>
      <c r="C6110" t="s">
        <v>2544</v>
      </c>
      <c r="D6110" t="s">
        <v>37120</v>
      </c>
      <c r="E6110" t="s">
        <v>37121</v>
      </c>
      <c r="F6110" t="s">
        <v>108</v>
      </c>
      <c r="H6110" t="s">
        <v>37122</v>
      </c>
      <c r="I6110" t="s">
        <v>499</v>
      </c>
      <c r="J6110" t="s">
        <v>111</v>
      </c>
      <c r="K6110" t="str">
        <f>"85338"</f>
        <v>85338</v>
      </c>
      <c r="L6110" t="s">
        <v>6788</v>
      </c>
      <c r="M6110" t="s">
        <v>37122</v>
      </c>
      <c r="N6110" t="s">
        <v>499</v>
      </c>
      <c r="O6110" t="s">
        <v>111</v>
      </c>
      <c r="P6110" t="str">
        <f>"85338-1900"</f>
        <v>85338-1900</v>
      </c>
      <c r="Q6110" t="s">
        <v>113</v>
      </c>
      <c r="R6110" t="str">
        <f>"502-43-390"</f>
        <v>502-43-390</v>
      </c>
      <c r="S6110" t="s">
        <v>37123</v>
      </c>
      <c r="T6110" t="s">
        <v>15319</v>
      </c>
      <c r="U6110">
        <v>1686</v>
      </c>
      <c r="V6110">
        <v>0</v>
      </c>
      <c r="W6110">
        <v>3</v>
      </c>
      <c r="X6110">
        <v>2003</v>
      </c>
      <c r="Z6110">
        <v>1</v>
      </c>
      <c r="AA6110" t="s">
        <v>26</v>
      </c>
      <c r="AB6110">
        <v>0</v>
      </c>
      <c r="AC6110" t="s">
        <v>115</v>
      </c>
      <c r="AD6110">
        <v>2</v>
      </c>
      <c r="AE6110" t="s">
        <v>115</v>
      </c>
      <c r="AF6110">
        <v>0</v>
      </c>
      <c r="AG6110">
        <v>0</v>
      </c>
      <c r="AH6110" t="s">
        <v>116</v>
      </c>
      <c r="AI6110" s="1">
        <v>18024</v>
      </c>
      <c r="AJ6110" s="2">
        <v>7.0000000000000007E-2</v>
      </c>
      <c r="AK6110" s="1">
        <v>253209</v>
      </c>
      <c r="AL6110" t="s">
        <v>117</v>
      </c>
      <c r="AM6110" t="s">
        <v>118</v>
      </c>
      <c r="AN6110">
        <v>6028</v>
      </c>
      <c r="AO6110">
        <v>0.14000000000000001</v>
      </c>
      <c r="AP6110">
        <v>1</v>
      </c>
      <c r="AR6110">
        <v>1</v>
      </c>
      <c r="AS6110" s="1">
        <v>17500</v>
      </c>
      <c r="AT6110" s="1">
        <v>3500</v>
      </c>
      <c r="AU6110" s="1">
        <v>14000</v>
      </c>
      <c r="AV6110">
        <v>80</v>
      </c>
      <c r="AX6110" s="1">
        <v>1619.88</v>
      </c>
      <c r="AY6110" t="s">
        <v>6790</v>
      </c>
      <c r="AZ6110" t="s">
        <v>6790</v>
      </c>
      <c r="BA6110" t="s">
        <v>218</v>
      </c>
      <c r="BE6110" s="3">
        <v>42534</v>
      </c>
      <c r="BF6110" s="1">
        <v>220000</v>
      </c>
      <c r="BG6110" t="s">
        <v>37124</v>
      </c>
      <c r="BH6110" s="1">
        <v>130.49</v>
      </c>
      <c r="BI6110" s="1">
        <v>235185</v>
      </c>
      <c r="BJ6110" s="3">
        <v>42677</v>
      </c>
      <c r="BK6110" t="s">
        <v>123</v>
      </c>
      <c r="BL6110" t="str">
        <f>"2016.812011"</f>
        <v>2016.812011</v>
      </c>
      <c r="BM6110" t="s">
        <v>1837</v>
      </c>
      <c r="BO6110" t="s">
        <v>37125</v>
      </c>
      <c r="BS6110">
        <v>30</v>
      </c>
      <c r="BW6110" t="str">
        <f>""</f>
        <v/>
      </c>
      <c r="CH6110" t="str">
        <f>""</f>
        <v/>
      </c>
      <c r="CS6110" t="str">
        <f>""</f>
        <v/>
      </c>
    </row>
    <row r="6111" spans="1:97" x14ac:dyDescent="0.25">
      <c r="A6111" t="s">
        <v>37126</v>
      </c>
      <c r="B6111" t="s">
        <v>4694</v>
      </c>
      <c r="C6111" t="s">
        <v>9998</v>
      </c>
      <c r="D6111" t="s">
        <v>4694</v>
      </c>
      <c r="E6111" t="s">
        <v>37127</v>
      </c>
      <c r="F6111" t="s">
        <v>108</v>
      </c>
      <c r="H6111" t="s">
        <v>37128</v>
      </c>
      <c r="I6111" t="s">
        <v>390</v>
      </c>
      <c r="J6111" t="s">
        <v>111</v>
      </c>
      <c r="K6111" t="str">
        <f>"85041"</f>
        <v>85041</v>
      </c>
      <c r="L6111" t="s">
        <v>6891</v>
      </c>
      <c r="M6111" t="s">
        <v>37128</v>
      </c>
      <c r="N6111" t="s">
        <v>390</v>
      </c>
      <c r="O6111" t="s">
        <v>111</v>
      </c>
      <c r="P6111" t="str">
        <f>"85041-4432"</f>
        <v>85041-4432</v>
      </c>
      <c r="Q6111" t="s">
        <v>113</v>
      </c>
      <c r="R6111" t="str">
        <f>"105-46-426"</f>
        <v>105-46-426</v>
      </c>
      <c r="S6111" t="s">
        <v>9862</v>
      </c>
      <c r="T6111" t="s">
        <v>9862</v>
      </c>
      <c r="U6111">
        <v>2314</v>
      </c>
      <c r="V6111">
        <v>0</v>
      </c>
      <c r="W6111">
        <v>3</v>
      </c>
      <c r="X6111">
        <v>2016</v>
      </c>
      <c r="Z6111">
        <v>2</v>
      </c>
      <c r="AB6111">
        <v>0</v>
      </c>
      <c r="AC6111" t="s">
        <v>115</v>
      </c>
      <c r="AD6111">
        <v>2</v>
      </c>
      <c r="AE6111" t="s">
        <v>115</v>
      </c>
      <c r="AF6111">
        <v>0</v>
      </c>
      <c r="AG6111">
        <v>0</v>
      </c>
      <c r="AH6111" t="s">
        <v>116</v>
      </c>
      <c r="AI6111" s="1">
        <v>34241</v>
      </c>
      <c r="AJ6111" s="2">
        <v>0.13</v>
      </c>
      <c r="AK6111" s="1">
        <v>265863</v>
      </c>
      <c r="AL6111" t="s">
        <v>117</v>
      </c>
      <c r="AM6111" t="s">
        <v>191</v>
      </c>
      <c r="AN6111">
        <v>4950</v>
      </c>
      <c r="AO6111">
        <v>0.11</v>
      </c>
      <c r="AR6111">
        <v>1</v>
      </c>
      <c r="AS6111" s="1">
        <v>18120</v>
      </c>
      <c r="AT6111" s="1">
        <v>3620</v>
      </c>
      <c r="AU6111" s="1">
        <v>14500</v>
      </c>
      <c r="AV6111">
        <v>80.02</v>
      </c>
      <c r="AX6111" s="1">
        <v>2045.84</v>
      </c>
      <c r="AY6111" t="s">
        <v>5220</v>
      </c>
      <c r="AZ6111" t="s">
        <v>5220</v>
      </c>
      <c r="BA6111" t="s">
        <v>1661</v>
      </c>
      <c r="BE6111" s="3">
        <v>42521</v>
      </c>
      <c r="BF6111" s="1">
        <v>224850</v>
      </c>
      <c r="BG6111" t="s">
        <v>8843</v>
      </c>
      <c r="BH6111" s="1">
        <v>97.17</v>
      </c>
      <c r="BI6111" s="1">
        <v>231622</v>
      </c>
      <c r="BJ6111" s="3">
        <v>43068</v>
      </c>
      <c r="BK6111" t="s">
        <v>123</v>
      </c>
      <c r="BL6111" t="str">
        <f>"2017.882118"</f>
        <v>2017.882118</v>
      </c>
      <c r="BM6111" t="s">
        <v>5382</v>
      </c>
      <c r="BO6111" t="s">
        <v>37129</v>
      </c>
      <c r="BS6111">
        <v>30</v>
      </c>
      <c r="BW6111" t="str">
        <f>""</f>
        <v/>
      </c>
      <c r="CH6111" t="str">
        <f>""</f>
        <v/>
      </c>
      <c r="CS6111" t="str">
        <f>""</f>
        <v/>
      </c>
    </row>
    <row r="6112" spans="1:97" x14ac:dyDescent="0.25">
      <c r="A6112" t="s">
        <v>3718</v>
      </c>
      <c r="B6112" t="s">
        <v>29741</v>
      </c>
      <c r="C6112" t="s">
        <v>2852</v>
      </c>
      <c r="D6112" t="s">
        <v>29741</v>
      </c>
      <c r="E6112" t="s">
        <v>37130</v>
      </c>
      <c r="F6112" t="s">
        <v>108</v>
      </c>
      <c r="H6112" t="s">
        <v>37131</v>
      </c>
      <c r="I6112" t="s">
        <v>110</v>
      </c>
      <c r="J6112" t="s">
        <v>111</v>
      </c>
      <c r="K6112" t="str">
        <f>"85226"</f>
        <v>85226</v>
      </c>
      <c r="L6112" t="s">
        <v>6691</v>
      </c>
      <c r="M6112" t="s">
        <v>37131</v>
      </c>
      <c r="N6112" t="s">
        <v>110</v>
      </c>
      <c r="O6112" t="s">
        <v>111</v>
      </c>
      <c r="P6112" t="str">
        <f>"85226-1963"</f>
        <v>85226-1963</v>
      </c>
      <c r="Q6112" t="s">
        <v>113</v>
      </c>
      <c r="R6112" t="str">
        <f>"308-03-872"</f>
        <v>308-03-872</v>
      </c>
      <c r="S6112" t="s">
        <v>20229</v>
      </c>
      <c r="T6112" t="s">
        <v>20230</v>
      </c>
      <c r="U6112">
        <v>1715</v>
      </c>
      <c r="V6112">
        <v>0</v>
      </c>
      <c r="W6112">
        <v>3</v>
      </c>
      <c r="X6112">
        <v>1994</v>
      </c>
      <c r="Z6112">
        <v>1</v>
      </c>
      <c r="AA6112" t="s">
        <v>26</v>
      </c>
      <c r="AB6112">
        <v>0</v>
      </c>
      <c r="AC6112" t="s">
        <v>115</v>
      </c>
      <c r="AD6112">
        <v>2</v>
      </c>
      <c r="AE6112" t="s">
        <v>115</v>
      </c>
      <c r="AF6112">
        <v>0</v>
      </c>
      <c r="AG6112">
        <v>0</v>
      </c>
      <c r="AH6112" t="s">
        <v>116</v>
      </c>
      <c r="AI6112" s="1">
        <v>58717</v>
      </c>
      <c r="AJ6112" s="2">
        <v>0.17</v>
      </c>
      <c r="AK6112" s="1">
        <v>339731</v>
      </c>
      <c r="AL6112" t="s">
        <v>117</v>
      </c>
      <c r="AM6112" t="s">
        <v>118</v>
      </c>
      <c r="AN6112">
        <v>4957</v>
      </c>
      <c r="AO6112">
        <v>0.11</v>
      </c>
      <c r="AP6112">
        <v>1</v>
      </c>
      <c r="AR6112">
        <v>1</v>
      </c>
      <c r="AS6112" s="1">
        <v>25000</v>
      </c>
      <c r="AT6112" s="1">
        <v>5000</v>
      </c>
      <c r="AU6112" s="1">
        <v>20000</v>
      </c>
      <c r="AV6112">
        <v>80</v>
      </c>
      <c r="AX6112" s="1">
        <v>1938</v>
      </c>
      <c r="AY6112" t="s">
        <v>14847</v>
      </c>
      <c r="AZ6112" t="s">
        <v>5201</v>
      </c>
      <c r="BA6112" t="s">
        <v>5202</v>
      </c>
      <c r="BB6112" s="3">
        <v>42927</v>
      </c>
      <c r="BD6112" t="s">
        <v>157</v>
      </c>
      <c r="BE6112" s="3">
        <v>42531</v>
      </c>
      <c r="BF6112" s="1">
        <v>275000</v>
      </c>
      <c r="BG6112" t="s">
        <v>37132</v>
      </c>
      <c r="BH6112" s="1">
        <v>160.35</v>
      </c>
      <c r="BI6112" s="1">
        <v>281014</v>
      </c>
      <c r="BJ6112" s="3">
        <v>42886</v>
      </c>
      <c r="BK6112" t="s">
        <v>123</v>
      </c>
      <c r="BL6112" t="str">
        <f>"2017.392720"</f>
        <v>2017.392720</v>
      </c>
      <c r="BM6112" t="s">
        <v>4812</v>
      </c>
      <c r="BN6112">
        <v>98101</v>
      </c>
      <c r="BO6112" t="s">
        <v>37133</v>
      </c>
      <c r="BP6112" t="s">
        <v>37134</v>
      </c>
      <c r="BS6112">
        <v>30</v>
      </c>
      <c r="BW6112" t="str">
        <f>""</f>
        <v/>
      </c>
      <c r="CH6112" t="str">
        <f>""</f>
        <v/>
      </c>
      <c r="CS6112" t="str">
        <f>""</f>
        <v/>
      </c>
    </row>
    <row r="6113" spans="1:97" x14ac:dyDescent="0.25">
      <c r="A6113" t="s">
        <v>1344</v>
      </c>
      <c r="B6113" t="s">
        <v>37135</v>
      </c>
      <c r="E6113" t="s">
        <v>37136</v>
      </c>
      <c r="F6113" t="s">
        <v>108</v>
      </c>
      <c r="H6113" t="s">
        <v>37137</v>
      </c>
      <c r="I6113" t="s">
        <v>390</v>
      </c>
      <c r="J6113" t="s">
        <v>111</v>
      </c>
      <c r="K6113" t="str">
        <f>"85041"</f>
        <v>85041</v>
      </c>
      <c r="L6113" t="s">
        <v>226</v>
      </c>
      <c r="M6113" t="s">
        <v>37137</v>
      </c>
      <c r="N6113" t="s">
        <v>390</v>
      </c>
      <c r="O6113" t="s">
        <v>111</v>
      </c>
      <c r="P6113" t="str">
        <f>"85041-7817"</f>
        <v>85041-7817</v>
      </c>
      <c r="Q6113" t="s">
        <v>113</v>
      </c>
      <c r="R6113" t="str">
        <f>"300-46-031"</f>
        <v>300-46-031</v>
      </c>
      <c r="S6113" t="s">
        <v>37041</v>
      </c>
      <c r="T6113" t="s">
        <v>37041</v>
      </c>
      <c r="U6113">
        <v>3297</v>
      </c>
      <c r="V6113">
        <v>0</v>
      </c>
      <c r="W6113">
        <v>4</v>
      </c>
      <c r="X6113">
        <v>2005</v>
      </c>
      <c r="Z6113">
        <v>1</v>
      </c>
      <c r="AA6113" t="s">
        <v>26</v>
      </c>
      <c r="AB6113">
        <v>0</v>
      </c>
      <c r="AC6113" t="s">
        <v>115</v>
      </c>
      <c r="AD6113">
        <v>3</v>
      </c>
      <c r="AE6113" t="s">
        <v>115</v>
      </c>
      <c r="AF6113">
        <v>0</v>
      </c>
      <c r="AG6113">
        <v>0</v>
      </c>
      <c r="AH6113" t="s">
        <v>116</v>
      </c>
      <c r="AI6113" s="1">
        <v>49235</v>
      </c>
      <c r="AJ6113" s="2">
        <v>0.12</v>
      </c>
      <c r="AK6113" s="1">
        <v>424235</v>
      </c>
      <c r="AL6113" t="s">
        <v>117</v>
      </c>
      <c r="AM6113" t="s">
        <v>616</v>
      </c>
      <c r="AN6113">
        <v>11994</v>
      </c>
      <c r="AO6113">
        <v>0.28000000000000003</v>
      </c>
      <c r="AR6113">
        <v>1</v>
      </c>
      <c r="AS6113" s="1">
        <v>31030</v>
      </c>
      <c r="AT6113" s="1">
        <v>6200</v>
      </c>
      <c r="AU6113" s="1">
        <v>24830</v>
      </c>
      <c r="AV6113">
        <v>80.02</v>
      </c>
      <c r="AX6113" s="1">
        <v>4228.82</v>
      </c>
      <c r="AY6113" t="s">
        <v>23378</v>
      </c>
      <c r="AZ6113" t="s">
        <v>23378</v>
      </c>
      <c r="BA6113" t="s">
        <v>1661</v>
      </c>
      <c r="BE6113" s="3">
        <v>41926</v>
      </c>
      <c r="BF6113" s="1">
        <v>355000</v>
      </c>
      <c r="BG6113" t="s">
        <v>37138</v>
      </c>
      <c r="BH6113" s="1">
        <v>107.67</v>
      </c>
      <c r="BI6113" s="1">
        <v>375000</v>
      </c>
      <c r="BJ6113" s="3">
        <v>42744</v>
      </c>
      <c r="BK6113" t="s">
        <v>123</v>
      </c>
      <c r="BL6113" t="str">
        <f>"2017.16274"</f>
        <v>2017.16274</v>
      </c>
      <c r="BM6113" t="s">
        <v>544</v>
      </c>
      <c r="BO6113" t="s">
        <v>37139</v>
      </c>
      <c r="BS6113">
        <v>30</v>
      </c>
      <c r="BW6113" t="str">
        <f>""</f>
        <v/>
      </c>
      <c r="CH6113" t="str">
        <f>""</f>
        <v/>
      </c>
      <c r="CS6113" t="str">
        <f>""</f>
        <v/>
      </c>
    </row>
    <row r="6114" spans="1:97" x14ac:dyDescent="0.25">
      <c r="A6114" t="s">
        <v>23505</v>
      </c>
      <c r="B6114" t="s">
        <v>3091</v>
      </c>
      <c r="C6114" t="s">
        <v>2616</v>
      </c>
      <c r="D6114" t="s">
        <v>3091</v>
      </c>
      <c r="E6114" t="s">
        <v>37140</v>
      </c>
      <c r="F6114" t="s">
        <v>108</v>
      </c>
      <c r="H6114" t="s">
        <v>37141</v>
      </c>
      <c r="I6114" t="s">
        <v>453</v>
      </c>
      <c r="J6114" t="s">
        <v>111</v>
      </c>
      <c r="K6114" t="str">
        <f>"85383"</f>
        <v>85383</v>
      </c>
      <c r="L6114" t="s">
        <v>500</v>
      </c>
      <c r="M6114" t="s">
        <v>37141</v>
      </c>
      <c r="N6114" t="s">
        <v>453</v>
      </c>
      <c r="O6114" t="s">
        <v>111</v>
      </c>
      <c r="P6114" t="str">
        <f>"85383-4605"</f>
        <v>85383-4605</v>
      </c>
      <c r="Q6114" t="s">
        <v>113</v>
      </c>
      <c r="R6114" t="str">
        <f>"201-06-187"</f>
        <v>201-06-187</v>
      </c>
      <c r="S6114" t="s">
        <v>31530</v>
      </c>
      <c r="U6114">
        <v>2295</v>
      </c>
      <c r="V6114">
        <v>0</v>
      </c>
      <c r="W6114">
        <v>4</v>
      </c>
      <c r="X6114">
        <v>2003</v>
      </c>
      <c r="Z6114">
        <v>1</v>
      </c>
      <c r="AA6114" t="s">
        <v>26</v>
      </c>
      <c r="AB6114">
        <v>0</v>
      </c>
      <c r="AC6114" t="s">
        <v>115</v>
      </c>
      <c r="AD6114">
        <v>3</v>
      </c>
      <c r="AE6114" t="s">
        <v>115</v>
      </c>
      <c r="AF6114">
        <v>0</v>
      </c>
      <c r="AG6114">
        <v>0</v>
      </c>
      <c r="AH6114" t="s">
        <v>116</v>
      </c>
      <c r="AI6114" s="1">
        <v>97913</v>
      </c>
      <c r="AJ6114" s="2">
        <v>0.25</v>
      </c>
      <c r="AK6114" s="1">
        <v>396401</v>
      </c>
      <c r="AL6114" t="s">
        <v>117</v>
      </c>
      <c r="AM6114" t="s">
        <v>118</v>
      </c>
      <c r="AN6114">
        <v>9001</v>
      </c>
      <c r="AO6114">
        <v>0.21</v>
      </c>
      <c r="AP6114">
        <v>1</v>
      </c>
      <c r="AR6114">
        <v>1</v>
      </c>
      <c r="AS6114" s="1">
        <v>29480</v>
      </c>
      <c r="AT6114" s="1">
        <v>5890</v>
      </c>
      <c r="AU6114" s="1">
        <v>23590</v>
      </c>
      <c r="AV6114">
        <v>80.02</v>
      </c>
      <c r="AX6114" s="1">
        <v>2437.44</v>
      </c>
      <c r="AY6114" t="s">
        <v>8323</v>
      </c>
      <c r="AZ6114" t="s">
        <v>8323</v>
      </c>
      <c r="BA6114" t="s">
        <v>1386</v>
      </c>
      <c r="BE6114" s="3">
        <v>42264</v>
      </c>
      <c r="BF6114" s="1">
        <v>290000</v>
      </c>
      <c r="BG6114" t="s">
        <v>37142</v>
      </c>
      <c r="BH6114" s="1">
        <v>126.36</v>
      </c>
      <c r="BI6114" s="1">
        <v>298488</v>
      </c>
      <c r="BJ6114" s="3">
        <v>42584</v>
      </c>
      <c r="BK6114" t="s">
        <v>123</v>
      </c>
      <c r="BL6114" t="str">
        <f>"2016.550202"</f>
        <v>2016.550202</v>
      </c>
      <c r="BM6114" t="s">
        <v>1695</v>
      </c>
      <c r="BO6114" t="s">
        <v>37143</v>
      </c>
      <c r="BS6114">
        <v>30</v>
      </c>
      <c r="BW6114" t="str">
        <f>""</f>
        <v/>
      </c>
      <c r="CH6114" t="str">
        <f>""</f>
        <v/>
      </c>
      <c r="CS6114" t="str">
        <f>""</f>
        <v/>
      </c>
    </row>
    <row r="6115" spans="1:97" x14ac:dyDescent="0.25">
      <c r="A6115" t="s">
        <v>265</v>
      </c>
      <c r="B6115" t="s">
        <v>37144</v>
      </c>
      <c r="C6115" t="s">
        <v>24797</v>
      </c>
      <c r="D6115" t="s">
        <v>37144</v>
      </c>
      <c r="E6115" t="s">
        <v>37145</v>
      </c>
      <c r="F6115" t="s">
        <v>108</v>
      </c>
      <c r="H6115" t="s">
        <v>37146</v>
      </c>
      <c r="I6115" t="s">
        <v>5114</v>
      </c>
      <c r="J6115" t="s">
        <v>111</v>
      </c>
      <c r="K6115" t="str">
        <f>"85323"</f>
        <v>85323</v>
      </c>
      <c r="L6115" t="s">
        <v>2220</v>
      </c>
      <c r="M6115" t="s">
        <v>37146</v>
      </c>
      <c r="N6115" t="s">
        <v>5114</v>
      </c>
      <c r="O6115" t="s">
        <v>111</v>
      </c>
      <c r="P6115" t="str">
        <f>"85323-7645"</f>
        <v>85323-7645</v>
      </c>
      <c r="Q6115" t="s">
        <v>113</v>
      </c>
      <c r="R6115" t="str">
        <f>"500-32-326"</f>
        <v>500-32-326</v>
      </c>
      <c r="S6115" t="s">
        <v>9433</v>
      </c>
      <c r="U6115">
        <v>1870</v>
      </c>
      <c r="V6115">
        <v>0</v>
      </c>
      <c r="W6115">
        <v>2</v>
      </c>
      <c r="X6115">
        <v>2016</v>
      </c>
      <c r="Z6115">
        <v>1</v>
      </c>
      <c r="AB6115">
        <v>0</v>
      </c>
      <c r="AC6115" t="s">
        <v>115</v>
      </c>
      <c r="AD6115">
        <v>2</v>
      </c>
      <c r="AE6115" t="s">
        <v>115</v>
      </c>
      <c r="AF6115">
        <v>0</v>
      </c>
      <c r="AG6115">
        <v>0</v>
      </c>
      <c r="AH6115" t="s">
        <v>116</v>
      </c>
      <c r="AI6115" s="1">
        <v>37828</v>
      </c>
      <c r="AJ6115" s="2">
        <v>0.15</v>
      </c>
      <c r="AK6115" s="1">
        <v>255849</v>
      </c>
      <c r="AL6115" t="s">
        <v>117</v>
      </c>
      <c r="AM6115" t="s">
        <v>118</v>
      </c>
      <c r="AN6115">
        <v>5520</v>
      </c>
      <c r="AO6115">
        <v>0.13</v>
      </c>
      <c r="AR6115">
        <v>1</v>
      </c>
      <c r="AS6115" s="1">
        <v>17830</v>
      </c>
      <c r="AT6115" s="1">
        <v>3560</v>
      </c>
      <c r="AU6115" s="1">
        <v>14270</v>
      </c>
      <c r="AV6115">
        <v>80.03</v>
      </c>
      <c r="AX6115" s="1">
        <v>1915.06</v>
      </c>
      <c r="AY6115" t="s">
        <v>5458</v>
      </c>
      <c r="AZ6115" t="s">
        <v>5458</v>
      </c>
      <c r="BA6115" t="s">
        <v>4254</v>
      </c>
      <c r="BE6115" s="3">
        <v>42542</v>
      </c>
      <c r="BF6115" s="1">
        <v>211057</v>
      </c>
      <c r="BG6115" t="s">
        <v>4008</v>
      </c>
      <c r="BH6115" s="1">
        <v>112.86</v>
      </c>
      <c r="BI6115" s="1">
        <v>218021</v>
      </c>
      <c r="BJ6115" s="3">
        <v>42542</v>
      </c>
      <c r="BK6115" t="s">
        <v>123</v>
      </c>
      <c r="BL6115" t="str">
        <f>"2016.430725"</f>
        <v>2016.430725</v>
      </c>
      <c r="BM6115" t="s">
        <v>820</v>
      </c>
      <c r="BO6115" t="s">
        <v>37147</v>
      </c>
      <c r="BS6115">
        <v>30</v>
      </c>
      <c r="BW6115" t="str">
        <f>""</f>
        <v/>
      </c>
      <c r="CH6115" t="str">
        <f>""</f>
        <v/>
      </c>
      <c r="CS6115" t="str">
        <f>""</f>
        <v/>
      </c>
    </row>
    <row r="6116" spans="1:97" x14ac:dyDescent="0.25">
      <c r="A6116" t="s">
        <v>140</v>
      </c>
      <c r="B6116" t="s">
        <v>24158</v>
      </c>
      <c r="C6116" t="s">
        <v>7344</v>
      </c>
      <c r="D6116" t="s">
        <v>24158</v>
      </c>
      <c r="E6116" t="s">
        <v>37148</v>
      </c>
      <c r="F6116" t="s">
        <v>108</v>
      </c>
      <c r="H6116" t="s">
        <v>37149</v>
      </c>
      <c r="I6116" t="s">
        <v>110</v>
      </c>
      <c r="J6116" t="s">
        <v>111</v>
      </c>
      <c r="K6116" t="str">
        <f>"85249"</f>
        <v>85249</v>
      </c>
      <c r="L6116" t="s">
        <v>7725</v>
      </c>
      <c r="M6116" t="s">
        <v>37149</v>
      </c>
      <c r="N6116" t="s">
        <v>110</v>
      </c>
      <c r="O6116" t="s">
        <v>111</v>
      </c>
      <c r="P6116" t="str">
        <f>"85249-5353"</f>
        <v>85249-5353</v>
      </c>
      <c r="Q6116" t="s">
        <v>113</v>
      </c>
      <c r="R6116" t="str">
        <f>"303-46-660"</f>
        <v>303-46-660</v>
      </c>
      <c r="S6116" t="s">
        <v>9138</v>
      </c>
      <c r="T6116" t="s">
        <v>9138</v>
      </c>
      <c r="U6116">
        <v>2531</v>
      </c>
      <c r="V6116">
        <v>0</v>
      </c>
      <c r="W6116">
        <v>4</v>
      </c>
      <c r="X6116">
        <v>2005</v>
      </c>
      <c r="Z6116">
        <v>1</v>
      </c>
      <c r="AB6116">
        <v>0</v>
      </c>
      <c r="AC6116" t="s">
        <v>115</v>
      </c>
      <c r="AD6116">
        <v>2</v>
      </c>
      <c r="AE6116" t="s">
        <v>115</v>
      </c>
      <c r="AF6116">
        <v>0</v>
      </c>
      <c r="AG6116">
        <v>0</v>
      </c>
      <c r="AH6116" t="s">
        <v>116</v>
      </c>
      <c r="AI6116" s="1">
        <v>126703</v>
      </c>
      <c r="AJ6116" s="2">
        <v>0.27</v>
      </c>
      <c r="AK6116" s="1">
        <v>475578</v>
      </c>
      <c r="AL6116" t="s">
        <v>117</v>
      </c>
      <c r="AM6116" t="s">
        <v>118</v>
      </c>
      <c r="AN6116">
        <v>7020</v>
      </c>
      <c r="AO6116">
        <v>0.16</v>
      </c>
      <c r="AR6116">
        <v>1</v>
      </c>
      <c r="AS6116" s="1">
        <v>34060</v>
      </c>
      <c r="AT6116" s="1">
        <v>6810</v>
      </c>
      <c r="AU6116" s="1">
        <v>27250</v>
      </c>
      <c r="AV6116">
        <v>80.010000000000005</v>
      </c>
      <c r="AX6116" s="1">
        <v>2883.4</v>
      </c>
      <c r="AY6116" t="s">
        <v>119</v>
      </c>
      <c r="AZ6116" t="s">
        <v>120</v>
      </c>
      <c r="BA6116" t="s">
        <v>121</v>
      </c>
      <c r="BE6116" s="3">
        <v>42473</v>
      </c>
      <c r="BF6116" s="1">
        <v>415000</v>
      </c>
      <c r="BG6116" t="s">
        <v>37150</v>
      </c>
      <c r="BH6116" s="1">
        <v>163.97</v>
      </c>
      <c r="BI6116" s="1">
        <v>313875</v>
      </c>
      <c r="BJ6116" s="3">
        <v>42473</v>
      </c>
      <c r="BK6116" t="s">
        <v>123</v>
      </c>
      <c r="BL6116" t="str">
        <f>"2016.243596"</f>
        <v>2016.243596</v>
      </c>
      <c r="BM6116" t="s">
        <v>2107</v>
      </c>
      <c r="BN6116" t="s">
        <v>37151</v>
      </c>
      <c r="BO6116" t="s">
        <v>37152</v>
      </c>
      <c r="BS6116">
        <v>30</v>
      </c>
      <c r="BT6116" s="1">
        <v>35000</v>
      </c>
      <c r="BU6116" s="3">
        <v>43544</v>
      </c>
      <c r="BW6116" t="str">
        <f>"2019.191929"</f>
        <v>2019.191929</v>
      </c>
      <c r="BX6116" t="s">
        <v>20097</v>
      </c>
      <c r="BY6116" t="s">
        <v>20098</v>
      </c>
      <c r="BZ6116" t="s">
        <v>37153</v>
      </c>
      <c r="CA6116" t="s">
        <v>37154</v>
      </c>
      <c r="CC6116" t="s">
        <v>346</v>
      </c>
      <c r="CH6116" t="str">
        <f>""</f>
        <v/>
      </c>
      <c r="CS6116" t="str">
        <f>""</f>
        <v/>
      </c>
    </row>
    <row r="6117" spans="1:97" x14ac:dyDescent="0.25">
      <c r="A6117" t="s">
        <v>996</v>
      </c>
      <c r="B6117" t="s">
        <v>1820</v>
      </c>
      <c r="C6117" t="s">
        <v>28531</v>
      </c>
      <c r="D6117" t="s">
        <v>1820</v>
      </c>
      <c r="E6117" t="s">
        <v>37155</v>
      </c>
      <c r="F6117" t="s">
        <v>108</v>
      </c>
      <c r="H6117" t="s">
        <v>37156</v>
      </c>
      <c r="I6117" t="s">
        <v>390</v>
      </c>
      <c r="J6117" t="s">
        <v>111</v>
      </c>
      <c r="K6117" t="str">
        <f>"85083"</f>
        <v>85083</v>
      </c>
      <c r="L6117" t="s">
        <v>10399</v>
      </c>
      <c r="M6117" t="s">
        <v>37156</v>
      </c>
      <c r="N6117" t="s">
        <v>390</v>
      </c>
      <c r="O6117" t="s">
        <v>111</v>
      </c>
      <c r="P6117" t="str">
        <f>"85083-1244"</f>
        <v>85083-1244</v>
      </c>
      <c r="Q6117" t="s">
        <v>113</v>
      </c>
      <c r="R6117" t="str">
        <f>"201-38-872"</f>
        <v>201-38-872</v>
      </c>
      <c r="S6117" t="s">
        <v>16869</v>
      </c>
      <c r="T6117" t="s">
        <v>16870</v>
      </c>
      <c r="U6117">
        <v>4796</v>
      </c>
      <c r="V6117">
        <v>0</v>
      </c>
      <c r="W6117">
        <v>6</v>
      </c>
      <c r="X6117">
        <v>2006</v>
      </c>
      <c r="Z6117">
        <v>2</v>
      </c>
      <c r="AA6117" t="s">
        <v>26</v>
      </c>
      <c r="AB6117">
        <v>0</v>
      </c>
      <c r="AC6117" t="s">
        <v>115</v>
      </c>
      <c r="AD6117">
        <v>3</v>
      </c>
      <c r="AE6117" t="s">
        <v>115</v>
      </c>
      <c r="AF6117">
        <v>0</v>
      </c>
      <c r="AG6117">
        <v>0</v>
      </c>
      <c r="AH6117" t="s">
        <v>116</v>
      </c>
      <c r="AI6117" s="1">
        <v>199303</v>
      </c>
      <c r="AJ6117" s="2">
        <v>0.32</v>
      </c>
      <c r="AK6117" s="1">
        <v>615771</v>
      </c>
      <c r="AL6117" t="s">
        <v>117</v>
      </c>
      <c r="AM6117" t="s">
        <v>616</v>
      </c>
      <c r="AN6117">
        <v>14197</v>
      </c>
      <c r="AO6117">
        <v>0.33</v>
      </c>
      <c r="AR6117">
        <v>1</v>
      </c>
      <c r="AS6117" s="1">
        <v>48530</v>
      </c>
      <c r="AT6117" s="1">
        <v>9700</v>
      </c>
      <c r="AU6117" s="1">
        <v>38830</v>
      </c>
      <c r="AV6117">
        <v>80.010000000000005</v>
      </c>
      <c r="AX6117" s="1">
        <v>5534.3</v>
      </c>
      <c r="AY6117" t="s">
        <v>5125</v>
      </c>
      <c r="AZ6117" t="s">
        <v>3049</v>
      </c>
      <c r="BA6117" t="s">
        <v>1386</v>
      </c>
      <c r="BE6117" s="3">
        <v>42460</v>
      </c>
      <c r="BF6117" s="1">
        <v>530000</v>
      </c>
      <c r="BG6117" t="s">
        <v>37157</v>
      </c>
      <c r="BH6117" s="1">
        <v>110.51</v>
      </c>
      <c r="BI6117" s="1">
        <v>416468</v>
      </c>
      <c r="BJ6117" s="3">
        <v>42460</v>
      </c>
      <c r="BK6117" t="s">
        <v>123</v>
      </c>
      <c r="BL6117" t="str">
        <f>"2016.213567"</f>
        <v>2016.213567</v>
      </c>
      <c r="BM6117" t="s">
        <v>2383</v>
      </c>
      <c r="BO6117" t="s">
        <v>37158</v>
      </c>
      <c r="BS6117">
        <v>30</v>
      </c>
      <c r="BW6117" t="str">
        <f>""</f>
        <v/>
      </c>
      <c r="CH6117" t="str">
        <f>""</f>
        <v/>
      </c>
      <c r="CS6117" t="str">
        <f>""</f>
        <v/>
      </c>
    </row>
    <row r="6118" spans="1:97" x14ac:dyDescent="0.25">
      <c r="A6118" t="s">
        <v>11417</v>
      </c>
      <c r="B6118" t="s">
        <v>37159</v>
      </c>
      <c r="C6118" t="s">
        <v>37160</v>
      </c>
      <c r="D6118" t="s">
        <v>37159</v>
      </c>
      <c r="E6118" t="s">
        <v>37161</v>
      </c>
      <c r="F6118" t="s">
        <v>108</v>
      </c>
      <c r="H6118" t="s">
        <v>37162</v>
      </c>
      <c r="I6118" t="s">
        <v>144</v>
      </c>
      <c r="J6118" t="s">
        <v>111</v>
      </c>
      <c r="K6118" t="str">
        <f>"85396"</f>
        <v>85396</v>
      </c>
      <c r="L6118" t="s">
        <v>11339</v>
      </c>
      <c r="M6118" t="s">
        <v>37162</v>
      </c>
      <c r="N6118" t="s">
        <v>144</v>
      </c>
      <c r="O6118" t="s">
        <v>111</v>
      </c>
      <c r="P6118" t="str">
        <f>"85396-7237"</f>
        <v>85396-7237</v>
      </c>
      <c r="Q6118" t="s">
        <v>113</v>
      </c>
      <c r="R6118" t="str">
        <f>"503-85-210"</f>
        <v>503-85-210</v>
      </c>
      <c r="S6118" t="s">
        <v>11340</v>
      </c>
      <c r="U6118">
        <v>1995</v>
      </c>
      <c r="V6118">
        <v>0</v>
      </c>
      <c r="W6118">
        <v>3</v>
      </c>
      <c r="X6118">
        <v>2016</v>
      </c>
      <c r="Z6118">
        <v>1</v>
      </c>
      <c r="AB6118">
        <v>0</v>
      </c>
      <c r="AC6118" t="s">
        <v>115</v>
      </c>
      <c r="AD6118">
        <v>2</v>
      </c>
      <c r="AE6118" t="s">
        <v>115</v>
      </c>
      <c r="AF6118">
        <v>0</v>
      </c>
      <c r="AG6118">
        <v>0</v>
      </c>
      <c r="AH6118" t="s">
        <v>116</v>
      </c>
      <c r="AI6118" s="1">
        <v>38373</v>
      </c>
      <c r="AJ6118" s="2">
        <v>0.13</v>
      </c>
      <c r="AK6118" s="1">
        <v>293373</v>
      </c>
      <c r="AL6118" t="s">
        <v>117</v>
      </c>
      <c r="AM6118" t="s">
        <v>118</v>
      </c>
      <c r="AN6118">
        <v>7489</v>
      </c>
      <c r="AO6118">
        <v>0.17</v>
      </c>
      <c r="AR6118">
        <v>1</v>
      </c>
      <c r="AS6118" s="1">
        <v>19120</v>
      </c>
      <c r="AT6118" s="1">
        <v>3820</v>
      </c>
      <c r="AU6118" s="1">
        <v>15300</v>
      </c>
      <c r="AV6118">
        <v>80.02</v>
      </c>
      <c r="AX6118" s="1">
        <v>1983.36</v>
      </c>
      <c r="AY6118" t="s">
        <v>444</v>
      </c>
      <c r="AZ6118" t="s">
        <v>444</v>
      </c>
      <c r="BA6118" t="s">
        <v>445</v>
      </c>
      <c r="BE6118" s="3">
        <v>42534</v>
      </c>
      <c r="BF6118" s="1">
        <v>206142</v>
      </c>
      <c r="BG6118" t="s">
        <v>446</v>
      </c>
      <c r="BH6118" s="1">
        <v>103.33</v>
      </c>
      <c r="BI6118" s="1">
        <v>255000</v>
      </c>
      <c r="BJ6118" s="3">
        <v>43437</v>
      </c>
      <c r="BK6118" t="s">
        <v>123</v>
      </c>
      <c r="BL6118" t="str">
        <f>"2018.885991"</f>
        <v>2018.885991</v>
      </c>
      <c r="BM6118" t="s">
        <v>37163</v>
      </c>
      <c r="BN6118" t="s">
        <v>6390</v>
      </c>
      <c r="BO6118" t="s">
        <v>37164</v>
      </c>
      <c r="BP6118" t="s">
        <v>37165</v>
      </c>
      <c r="BR6118" t="s">
        <v>139</v>
      </c>
      <c r="BW6118" t="str">
        <f>""</f>
        <v/>
      </c>
      <c r="CH6118" t="str">
        <f>""</f>
        <v/>
      </c>
      <c r="CS6118" t="str">
        <f>""</f>
        <v/>
      </c>
    </row>
    <row r="6119" spans="1:97" x14ac:dyDescent="0.25">
      <c r="A6119" t="s">
        <v>1979</v>
      </c>
      <c r="B6119" t="s">
        <v>2699</v>
      </c>
      <c r="C6119" t="s">
        <v>37166</v>
      </c>
      <c r="D6119" t="s">
        <v>2699</v>
      </c>
      <c r="E6119" t="s">
        <v>37167</v>
      </c>
      <c r="F6119" t="s">
        <v>108</v>
      </c>
      <c r="H6119" t="s">
        <v>37168</v>
      </c>
      <c r="I6119" t="s">
        <v>225</v>
      </c>
      <c r="J6119" t="s">
        <v>111</v>
      </c>
      <c r="K6119" t="str">
        <f>"85207"</f>
        <v>85207</v>
      </c>
      <c r="L6119" t="s">
        <v>1796</v>
      </c>
      <c r="M6119" t="s">
        <v>37168</v>
      </c>
      <c r="N6119" t="s">
        <v>225</v>
      </c>
      <c r="O6119" t="s">
        <v>111</v>
      </c>
      <c r="P6119" t="str">
        <f>"85207-1074"</f>
        <v>85207-1074</v>
      </c>
      <c r="R6119" t="str">
        <f>"219-19-222"</f>
        <v>219-19-222</v>
      </c>
      <c r="S6119" t="s">
        <v>37169</v>
      </c>
      <c r="T6119" t="s">
        <v>34559</v>
      </c>
      <c r="U6119">
        <v>2827</v>
      </c>
      <c r="V6119">
        <v>0</v>
      </c>
      <c r="W6119">
        <v>4</v>
      </c>
      <c r="X6119">
        <v>1996</v>
      </c>
      <c r="Z6119">
        <v>1</v>
      </c>
      <c r="AA6119" t="s">
        <v>26</v>
      </c>
      <c r="AB6119">
        <v>0</v>
      </c>
      <c r="AC6119" t="s">
        <v>115</v>
      </c>
      <c r="AD6119">
        <v>3</v>
      </c>
      <c r="AE6119" t="s">
        <v>115</v>
      </c>
      <c r="AF6119">
        <v>0</v>
      </c>
      <c r="AG6119">
        <v>0</v>
      </c>
      <c r="AH6119" t="s">
        <v>116</v>
      </c>
      <c r="AI6119" s="1">
        <v>80083</v>
      </c>
      <c r="AJ6119" s="2">
        <v>0.16</v>
      </c>
      <c r="AK6119" s="1">
        <v>492250</v>
      </c>
      <c r="AL6119" t="s">
        <v>117</v>
      </c>
      <c r="AM6119" t="s">
        <v>917</v>
      </c>
      <c r="AN6119">
        <v>9422</v>
      </c>
      <c r="AO6119">
        <v>0.22</v>
      </c>
      <c r="AP6119">
        <v>1</v>
      </c>
      <c r="AR6119">
        <v>1</v>
      </c>
      <c r="AS6119" s="1">
        <v>35970</v>
      </c>
      <c r="AT6119" s="1">
        <v>7190</v>
      </c>
      <c r="AU6119" s="1">
        <v>28780</v>
      </c>
      <c r="AV6119">
        <v>80.010000000000005</v>
      </c>
      <c r="AX6119" s="1">
        <v>3395.94</v>
      </c>
      <c r="AY6119" t="s">
        <v>9337</v>
      </c>
      <c r="AZ6119" t="s">
        <v>231</v>
      </c>
      <c r="BA6119" t="s">
        <v>3119</v>
      </c>
      <c r="BB6119" s="3">
        <v>42984</v>
      </c>
      <c r="BD6119" t="s">
        <v>157</v>
      </c>
      <c r="BE6119" s="3">
        <v>42275</v>
      </c>
      <c r="BF6119" s="1">
        <v>399000</v>
      </c>
      <c r="BG6119" t="s">
        <v>37170</v>
      </c>
      <c r="BH6119" s="1">
        <v>141.13999999999999</v>
      </c>
      <c r="BI6119" s="1">
        <v>412167</v>
      </c>
      <c r="BJ6119" s="3">
        <v>42275</v>
      </c>
      <c r="BK6119" t="s">
        <v>123</v>
      </c>
      <c r="BL6119" t="str">
        <f>"2015.697690"</f>
        <v>2015.697690</v>
      </c>
      <c r="BM6119" t="s">
        <v>135</v>
      </c>
      <c r="BN6119" t="s">
        <v>136</v>
      </c>
      <c r="BO6119" t="s">
        <v>37171</v>
      </c>
      <c r="BS6119">
        <v>30</v>
      </c>
      <c r="BW6119" t="str">
        <f>""</f>
        <v/>
      </c>
      <c r="CH6119" t="str">
        <f>""</f>
        <v/>
      </c>
      <c r="CS6119" t="str">
        <f>""</f>
        <v/>
      </c>
    </row>
    <row r="6120" spans="1:97" x14ac:dyDescent="0.25">
      <c r="A6120" t="s">
        <v>37172</v>
      </c>
      <c r="B6120" t="s">
        <v>37173</v>
      </c>
      <c r="E6120" t="s">
        <v>37174</v>
      </c>
      <c r="F6120" t="s">
        <v>108</v>
      </c>
      <c r="H6120" t="s">
        <v>37175</v>
      </c>
      <c r="I6120" t="s">
        <v>110</v>
      </c>
      <c r="J6120" t="s">
        <v>111</v>
      </c>
      <c r="K6120" t="str">
        <f>"85286"</f>
        <v>85286</v>
      </c>
      <c r="L6120" t="s">
        <v>5260</v>
      </c>
      <c r="M6120" t="s">
        <v>37175</v>
      </c>
      <c r="N6120" t="s">
        <v>110</v>
      </c>
      <c r="O6120" t="s">
        <v>111</v>
      </c>
      <c r="P6120" t="str">
        <f>"85286-1184"</f>
        <v>85286-1184</v>
      </c>
      <c r="Q6120" t="s">
        <v>113</v>
      </c>
      <c r="R6120" t="str">
        <f>"303-29-377"</f>
        <v>303-29-377</v>
      </c>
      <c r="S6120" t="s">
        <v>11522</v>
      </c>
      <c r="T6120" t="s">
        <v>11522</v>
      </c>
      <c r="U6120">
        <v>2049</v>
      </c>
      <c r="V6120">
        <v>0</v>
      </c>
      <c r="W6120">
        <v>3</v>
      </c>
      <c r="X6120">
        <v>2001</v>
      </c>
      <c r="Z6120">
        <v>1</v>
      </c>
      <c r="AB6120">
        <v>0</v>
      </c>
      <c r="AC6120" t="s">
        <v>115</v>
      </c>
      <c r="AD6120">
        <v>2</v>
      </c>
      <c r="AE6120" t="s">
        <v>115</v>
      </c>
      <c r="AF6120">
        <v>0</v>
      </c>
      <c r="AG6120">
        <v>0</v>
      </c>
      <c r="AH6120" t="s">
        <v>116</v>
      </c>
      <c r="AI6120" s="1">
        <v>113272</v>
      </c>
      <c r="AJ6120" s="2">
        <v>0.33</v>
      </c>
      <c r="AK6120" s="1">
        <v>343989</v>
      </c>
      <c r="AL6120" t="s">
        <v>117</v>
      </c>
      <c r="AM6120" t="s">
        <v>118</v>
      </c>
      <c r="AN6120">
        <v>7800</v>
      </c>
      <c r="AO6120">
        <v>0.18</v>
      </c>
      <c r="AP6120">
        <v>1</v>
      </c>
      <c r="AR6120">
        <v>1</v>
      </c>
      <c r="AS6120" s="1">
        <v>24070</v>
      </c>
      <c r="AT6120" s="1">
        <v>4810</v>
      </c>
      <c r="AU6120" s="1">
        <v>19260</v>
      </c>
      <c r="AV6120">
        <v>80.02</v>
      </c>
      <c r="AX6120" s="1">
        <v>1941</v>
      </c>
      <c r="AY6120" t="s">
        <v>3185</v>
      </c>
      <c r="AZ6120" t="s">
        <v>120</v>
      </c>
      <c r="BA6120" t="s">
        <v>303</v>
      </c>
      <c r="BE6120" s="3">
        <v>41695</v>
      </c>
      <c r="BF6120" s="1">
        <v>237000</v>
      </c>
      <c r="BG6120" t="s">
        <v>37176</v>
      </c>
      <c r="BH6120" s="1">
        <v>115.67</v>
      </c>
      <c r="BI6120" s="1">
        <v>230717</v>
      </c>
      <c r="BJ6120" s="3">
        <v>42656</v>
      </c>
      <c r="BK6120" t="s">
        <v>123</v>
      </c>
      <c r="BL6120" t="str">
        <f>"2016.752208"</f>
        <v>2016.752208</v>
      </c>
      <c r="BM6120" t="s">
        <v>135</v>
      </c>
      <c r="BO6120" t="s">
        <v>37177</v>
      </c>
      <c r="BS6120">
        <v>30</v>
      </c>
      <c r="BW6120" t="str">
        <f>""</f>
        <v/>
      </c>
      <c r="CH6120" t="str">
        <f>""</f>
        <v/>
      </c>
      <c r="CS6120" t="str">
        <f>""</f>
        <v/>
      </c>
    </row>
    <row r="6121" spans="1:97" x14ac:dyDescent="0.25">
      <c r="A6121" t="s">
        <v>37178</v>
      </c>
      <c r="B6121" t="s">
        <v>589</v>
      </c>
      <c r="C6121" t="s">
        <v>37179</v>
      </c>
      <c r="D6121" t="s">
        <v>589</v>
      </c>
      <c r="E6121" t="s">
        <v>37180</v>
      </c>
      <c r="F6121" t="s">
        <v>108</v>
      </c>
      <c r="H6121" t="s">
        <v>37181</v>
      </c>
      <c r="I6121" t="s">
        <v>390</v>
      </c>
      <c r="J6121" t="s">
        <v>111</v>
      </c>
      <c r="K6121" t="str">
        <f>"85048"</f>
        <v>85048</v>
      </c>
      <c r="L6121" t="s">
        <v>2547</v>
      </c>
      <c r="M6121" t="s">
        <v>37181</v>
      </c>
      <c r="N6121" t="s">
        <v>390</v>
      </c>
      <c r="O6121" t="s">
        <v>111</v>
      </c>
      <c r="P6121" t="str">
        <f>"85048-4306"</f>
        <v>85048-4306</v>
      </c>
      <c r="Q6121" t="s">
        <v>113</v>
      </c>
      <c r="R6121" t="str">
        <f>"301-75-106"</f>
        <v>301-75-106</v>
      </c>
      <c r="S6121" t="s">
        <v>10119</v>
      </c>
      <c r="T6121" t="s">
        <v>10120</v>
      </c>
      <c r="U6121">
        <v>2581</v>
      </c>
      <c r="V6121">
        <v>0</v>
      </c>
      <c r="W6121">
        <v>4</v>
      </c>
      <c r="X6121">
        <v>1992</v>
      </c>
      <c r="Z6121">
        <v>2</v>
      </c>
      <c r="AA6121" t="s">
        <v>26</v>
      </c>
      <c r="AB6121">
        <v>0</v>
      </c>
      <c r="AC6121" t="s">
        <v>115</v>
      </c>
      <c r="AD6121">
        <v>3</v>
      </c>
      <c r="AE6121" t="s">
        <v>115</v>
      </c>
      <c r="AF6121">
        <v>0</v>
      </c>
      <c r="AG6121">
        <v>0</v>
      </c>
      <c r="AH6121" t="s">
        <v>116</v>
      </c>
      <c r="AI6121" s="1">
        <v>162394</v>
      </c>
      <c r="AJ6121" s="2">
        <v>0.37</v>
      </c>
      <c r="AK6121" s="1">
        <v>437655</v>
      </c>
      <c r="AL6121" t="s">
        <v>117</v>
      </c>
      <c r="AM6121" t="s">
        <v>191</v>
      </c>
      <c r="AN6121">
        <v>6155</v>
      </c>
      <c r="AO6121">
        <v>0.14000000000000001</v>
      </c>
      <c r="AP6121">
        <v>1</v>
      </c>
      <c r="AR6121">
        <v>1</v>
      </c>
      <c r="AS6121" s="1">
        <v>31430</v>
      </c>
      <c r="AT6121" s="1">
        <v>6280</v>
      </c>
      <c r="AU6121" s="1">
        <v>25150</v>
      </c>
      <c r="AV6121">
        <v>80.02</v>
      </c>
      <c r="AX6121" s="1">
        <v>3210.94</v>
      </c>
      <c r="AY6121" t="s">
        <v>10121</v>
      </c>
      <c r="AZ6121" t="s">
        <v>2967</v>
      </c>
      <c r="BA6121" t="s">
        <v>930</v>
      </c>
      <c r="BE6121" s="3">
        <v>42053</v>
      </c>
      <c r="BF6121" s="1">
        <v>240100</v>
      </c>
      <c r="BG6121" t="s">
        <v>37182</v>
      </c>
      <c r="BH6121" s="1">
        <v>93.03</v>
      </c>
      <c r="BI6121" s="1">
        <v>245261</v>
      </c>
      <c r="BJ6121" s="3">
        <v>42053</v>
      </c>
      <c r="BK6121" t="s">
        <v>123</v>
      </c>
      <c r="BL6121" t="str">
        <f>"2015.104496"</f>
        <v>2015.104496</v>
      </c>
      <c r="BM6121" t="s">
        <v>724</v>
      </c>
      <c r="BO6121" t="s">
        <v>37183</v>
      </c>
      <c r="BS6121">
        <v>30</v>
      </c>
      <c r="BT6121" s="1">
        <v>30000</v>
      </c>
      <c r="BU6121" s="3">
        <v>43077</v>
      </c>
      <c r="BW6121" t="str">
        <f>"2017.909587"</f>
        <v>2017.909587</v>
      </c>
      <c r="BX6121" t="s">
        <v>20097</v>
      </c>
      <c r="BZ6121" t="s">
        <v>37184</v>
      </c>
      <c r="CD6121">
        <v>15</v>
      </c>
      <c r="CH6121" t="str">
        <f>""</f>
        <v/>
      </c>
      <c r="CS6121" t="str">
        <f>""</f>
        <v/>
      </c>
    </row>
    <row r="6122" spans="1:97" x14ac:dyDescent="0.25">
      <c r="A6122" t="s">
        <v>325</v>
      </c>
      <c r="B6122" t="s">
        <v>37185</v>
      </c>
      <c r="C6122" t="s">
        <v>397</v>
      </c>
      <c r="D6122" t="s">
        <v>37185</v>
      </c>
      <c r="E6122" t="s">
        <v>37186</v>
      </c>
      <c r="F6122" t="s">
        <v>108</v>
      </c>
      <c r="H6122" t="s">
        <v>37187</v>
      </c>
      <c r="I6122" t="s">
        <v>225</v>
      </c>
      <c r="J6122" t="s">
        <v>111</v>
      </c>
      <c r="K6122" t="str">
        <f>"85212"</f>
        <v>85212</v>
      </c>
      <c r="L6122" t="s">
        <v>17845</v>
      </c>
      <c r="M6122" t="s">
        <v>37187</v>
      </c>
      <c r="N6122" t="s">
        <v>225</v>
      </c>
      <c r="O6122" t="s">
        <v>111</v>
      </c>
      <c r="P6122" t="str">
        <f>"85212-5117"</f>
        <v>85212-5117</v>
      </c>
      <c r="Q6122" t="s">
        <v>113</v>
      </c>
      <c r="R6122" t="str">
        <f>"312-08-330"</f>
        <v>312-08-330</v>
      </c>
      <c r="S6122" t="s">
        <v>18030</v>
      </c>
      <c r="T6122" t="s">
        <v>8810</v>
      </c>
      <c r="U6122">
        <v>2162</v>
      </c>
      <c r="V6122">
        <v>0</v>
      </c>
      <c r="W6122">
        <v>3</v>
      </c>
      <c r="X6122">
        <v>2008</v>
      </c>
      <c r="Z6122">
        <v>1</v>
      </c>
      <c r="AB6122">
        <v>0</v>
      </c>
      <c r="AC6122" t="s">
        <v>115</v>
      </c>
      <c r="AD6122">
        <v>3</v>
      </c>
      <c r="AE6122" t="s">
        <v>115</v>
      </c>
      <c r="AF6122">
        <v>0</v>
      </c>
      <c r="AG6122">
        <v>0</v>
      </c>
      <c r="AH6122" t="s">
        <v>116</v>
      </c>
      <c r="AI6122" s="1">
        <v>78471</v>
      </c>
      <c r="AJ6122" s="2">
        <v>0.24</v>
      </c>
      <c r="AK6122" s="1">
        <v>332119</v>
      </c>
      <c r="AL6122" t="s">
        <v>117</v>
      </c>
      <c r="AM6122" t="s">
        <v>191</v>
      </c>
      <c r="AN6122">
        <v>6385</v>
      </c>
      <c r="AO6122">
        <v>0.15</v>
      </c>
      <c r="AR6122">
        <v>1</v>
      </c>
      <c r="AS6122" s="1">
        <v>22930</v>
      </c>
      <c r="AT6122" s="1">
        <v>4580</v>
      </c>
      <c r="AU6122" s="1">
        <v>18350</v>
      </c>
      <c r="AV6122">
        <v>80.03</v>
      </c>
      <c r="AX6122" s="1">
        <v>2047.5</v>
      </c>
      <c r="AY6122" t="s">
        <v>560</v>
      </c>
      <c r="AZ6122" t="s">
        <v>561</v>
      </c>
      <c r="BA6122" t="s">
        <v>194</v>
      </c>
      <c r="BE6122" s="3">
        <v>42503</v>
      </c>
      <c r="BF6122" s="1">
        <v>264900</v>
      </c>
      <c r="BG6122" t="s">
        <v>37188</v>
      </c>
      <c r="BH6122" s="1">
        <v>122.53</v>
      </c>
      <c r="BI6122" s="1">
        <v>253648</v>
      </c>
      <c r="BJ6122" s="3">
        <v>42503</v>
      </c>
      <c r="BK6122" t="s">
        <v>123</v>
      </c>
      <c r="BL6122" t="str">
        <f>"2016.331298"</f>
        <v>2016.331298</v>
      </c>
      <c r="BM6122" t="s">
        <v>544</v>
      </c>
      <c r="BO6122" t="s">
        <v>37189</v>
      </c>
      <c r="BS6122">
        <v>30</v>
      </c>
      <c r="BW6122" t="str">
        <f>""</f>
        <v/>
      </c>
      <c r="CH6122" t="str">
        <f>""</f>
        <v/>
      </c>
      <c r="CS6122" t="str">
        <f>""</f>
        <v/>
      </c>
    </row>
    <row r="6123" spans="1:97" x14ac:dyDescent="0.25">
      <c r="A6123" t="s">
        <v>1187</v>
      </c>
      <c r="B6123" t="s">
        <v>22697</v>
      </c>
      <c r="C6123" t="s">
        <v>1594</v>
      </c>
      <c r="D6123" t="s">
        <v>22697</v>
      </c>
      <c r="E6123" t="s">
        <v>37190</v>
      </c>
      <c r="F6123" t="s">
        <v>108</v>
      </c>
      <c r="H6123" t="s">
        <v>37191</v>
      </c>
      <c r="I6123" t="s">
        <v>188</v>
      </c>
      <c r="J6123" t="s">
        <v>111</v>
      </c>
      <c r="K6123" t="str">
        <f>"85142"</f>
        <v>85142</v>
      </c>
      <c r="L6123" t="s">
        <v>5456</v>
      </c>
      <c r="M6123" t="s">
        <v>37191</v>
      </c>
      <c r="N6123" t="s">
        <v>188</v>
      </c>
      <c r="O6123" t="s">
        <v>111</v>
      </c>
      <c r="P6123" t="str">
        <f>"85142-6008"</f>
        <v>85142-6008</v>
      </c>
      <c r="Q6123" t="s">
        <v>113</v>
      </c>
      <c r="R6123" t="str">
        <f>"304-67-089"</f>
        <v>304-67-089</v>
      </c>
      <c r="S6123" t="s">
        <v>7390</v>
      </c>
      <c r="T6123" t="s">
        <v>7391</v>
      </c>
      <c r="U6123">
        <v>2506</v>
      </c>
      <c r="V6123">
        <v>0</v>
      </c>
      <c r="W6123">
        <v>4</v>
      </c>
      <c r="X6123">
        <v>2000</v>
      </c>
      <c r="Z6123">
        <v>1</v>
      </c>
      <c r="AB6123">
        <v>0</v>
      </c>
      <c r="AC6123" t="s">
        <v>115</v>
      </c>
      <c r="AD6123">
        <v>3</v>
      </c>
      <c r="AE6123" t="s">
        <v>115</v>
      </c>
      <c r="AF6123">
        <v>0</v>
      </c>
      <c r="AG6123">
        <v>0</v>
      </c>
      <c r="AH6123" t="s">
        <v>116</v>
      </c>
      <c r="AI6123" s="1">
        <v>121502</v>
      </c>
      <c r="AJ6123" s="2">
        <v>0.28999999999999998</v>
      </c>
      <c r="AK6123" s="1">
        <v>414962</v>
      </c>
      <c r="AL6123" t="s">
        <v>117</v>
      </c>
      <c r="AM6123" t="s">
        <v>171</v>
      </c>
      <c r="AN6123">
        <v>10228</v>
      </c>
      <c r="AO6123">
        <v>0.24</v>
      </c>
      <c r="AP6123">
        <v>1</v>
      </c>
      <c r="AR6123">
        <v>1</v>
      </c>
      <c r="AS6123" s="1">
        <v>29420</v>
      </c>
      <c r="AT6123" s="1">
        <v>5880</v>
      </c>
      <c r="AU6123" s="1">
        <v>23540</v>
      </c>
      <c r="AV6123">
        <v>80.010000000000005</v>
      </c>
      <c r="AX6123" s="1">
        <v>2893.96</v>
      </c>
      <c r="AY6123" t="s">
        <v>192</v>
      </c>
      <c r="AZ6123" t="s">
        <v>193</v>
      </c>
      <c r="BA6123" t="s">
        <v>194</v>
      </c>
      <c r="BE6123" s="3">
        <v>41753</v>
      </c>
      <c r="BF6123" s="1">
        <v>297700</v>
      </c>
      <c r="BG6123" t="s">
        <v>37192</v>
      </c>
      <c r="BH6123" s="1">
        <v>118.79</v>
      </c>
      <c r="BI6123" s="1">
        <v>293460</v>
      </c>
      <c r="BJ6123" s="3">
        <v>42640</v>
      </c>
      <c r="BK6123" t="s">
        <v>123</v>
      </c>
      <c r="BL6123" t="str">
        <f>"2016.704178"</f>
        <v>2016.704178</v>
      </c>
      <c r="BM6123" t="s">
        <v>20190</v>
      </c>
      <c r="BN6123" t="s">
        <v>674</v>
      </c>
      <c r="BO6123" t="s">
        <v>37193</v>
      </c>
      <c r="BS6123">
        <v>30</v>
      </c>
      <c r="BT6123" s="1">
        <v>293460</v>
      </c>
      <c r="BU6123" s="3">
        <v>42640</v>
      </c>
      <c r="BV6123" t="s">
        <v>123</v>
      </c>
      <c r="BW6123" t="str">
        <f>"2016.704178"</f>
        <v>2016.704178</v>
      </c>
      <c r="BX6123" t="s">
        <v>20190</v>
      </c>
      <c r="BZ6123" t="s">
        <v>37193</v>
      </c>
      <c r="CD6123">
        <v>30</v>
      </c>
      <c r="CH6123" t="str">
        <f>""</f>
        <v/>
      </c>
      <c r="CS6123" t="str">
        <f>""</f>
        <v/>
      </c>
    </row>
    <row r="6124" spans="1:97" x14ac:dyDescent="0.25">
      <c r="A6124" t="s">
        <v>894</v>
      </c>
      <c r="B6124" t="s">
        <v>37194</v>
      </c>
      <c r="C6124" t="s">
        <v>1119</v>
      </c>
      <c r="D6124" t="s">
        <v>37194</v>
      </c>
      <c r="E6124" t="s">
        <v>37195</v>
      </c>
      <c r="F6124" t="s">
        <v>108</v>
      </c>
      <c r="H6124" t="s">
        <v>37196</v>
      </c>
      <c r="I6124" t="s">
        <v>144</v>
      </c>
      <c r="J6124" t="s">
        <v>111</v>
      </c>
      <c r="K6124" t="str">
        <f>"85396"</f>
        <v>85396</v>
      </c>
      <c r="L6124" t="s">
        <v>1244</v>
      </c>
      <c r="M6124" t="s">
        <v>37196</v>
      </c>
      <c r="N6124" t="s">
        <v>144</v>
      </c>
      <c r="O6124" t="s">
        <v>111</v>
      </c>
      <c r="P6124" t="str">
        <f>"85396-7719"</f>
        <v>85396-7719</v>
      </c>
      <c r="Q6124" t="s">
        <v>113</v>
      </c>
      <c r="R6124" t="str">
        <f>"502-81-108"</f>
        <v>502-81-108</v>
      </c>
      <c r="S6124" t="s">
        <v>15535</v>
      </c>
      <c r="U6124">
        <v>2882</v>
      </c>
      <c r="V6124">
        <v>0</v>
      </c>
      <c r="W6124">
        <v>4</v>
      </c>
      <c r="X6124">
        <v>2014</v>
      </c>
      <c r="Z6124">
        <v>1</v>
      </c>
      <c r="AB6124">
        <v>0</v>
      </c>
      <c r="AC6124" t="s">
        <v>115</v>
      </c>
      <c r="AD6124">
        <v>3</v>
      </c>
      <c r="AE6124" t="s">
        <v>115</v>
      </c>
      <c r="AF6124">
        <v>0</v>
      </c>
      <c r="AG6124">
        <v>0</v>
      </c>
      <c r="AH6124" t="s">
        <v>116</v>
      </c>
      <c r="AI6124" s="1">
        <v>49850</v>
      </c>
      <c r="AJ6124" s="2">
        <v>0.11</v>
      </c>
      <c r="AK6124" s="1">
        <v>456850</v>
      </c>
      <c r="AL6124" t="s">
        <v>117</v>
      </c>
      <c r="AM6124" t="s">
        <v>118</v>
      </c>
      <c r="AN6124">
        <v>11569</v>
      </c>
      <c r="AO6124">
        <v>0.27</v>
      </c>
      <c r="AR6124">
        <v>1</v>
      </c>
      <c r="AS6124" s="1">
        <v>35650</v>
      </c>
      <c r="AT6124" s="1">
        <v>7130</v>
      </c>
      <c r="AU6124" s="1">
        <v>28520</v>
      </c>
      <c r="AV6124">
        <v>80</v>
      </c>
      <c r="AX6124" s="1">
        <v>4611.16</v>
      </c>
      <c r="AY6124" t="s">
        <v>217</v>
      </c>
      <c r="AZ6124" t="s">
        <v>217</v>
      </c>
      <c r="BA6124" t="s">
        <v>218</v>
      </c>
      <c r="BE6124" s="3">
        <v>41984</v>
      </c>
      <c r="BF6124" s="1">
        <v>396906</v>
      </c>
      <c r="BG6124" t="s">
        <v>14540</v>
      </c>
      <c r="BH6124" s="1">
        <v>137.72</v>
      </c>
      <c r="BI6124" s="1">
        <v>407000</v>
      </c>
      <c r="BJ6124" s="3">
        <v>42142</v>
      </c>
      <c r="BK6124" t="s">
        <v>123</v>
      </c>
      <c r="BL6124" t="str">
        <f>"2015.347509"</f>
        <v>2015.347509</v>
      </c>
      <c r="BM6124" t="s">
        <v>1122</v>
      </c>
      <c r="BO6124" t="s">
        <v>37197</v>
      </c>
      <c r="BS6124">
        <v>30</v>
      </c>
      <c r="BW6124" t="str">
        <f>""</f>
        <v/>
      </c>
      <c r="CH6124" t="str">
        <f>""</f>
        <v/>
      </c>
      <c r="CS6124" t="str">
        <f>""</f>
        <v/>
      </c>
    </row>
    <row r="6125" spans="1:97" x14ac:dyDescent="0.25">
      <c r="A6125" t="s">
        <v>10843</v>
      </c>
      <c r="B6125" t="s">
        <v>449</v>
      </c>
      <c r="C6125" t="s">
        <v>5633</v>
      </c>
      <c r="D6125" t="s">
        <v>449</v>
      </c>
      <c r="E6125" t="s">
        <v>37198</v>
      </c>
      <c r="F6125" t="s">
        <v>108</v>
      </c>
      <c r="H6125" t="s">
        <v>37199</v>
      </c>
      <c r="I6125" t="s">
        <v>5863</v>
      </c>
      <c r="J6125" t="s">
        <v>111</v>
      </c>
      <c r="K6125" t="str">
        <f>"85375"</f>
        <v>85375</v>
      </c>
      <c r="L6125" t="s">
        <v>8543</v>
      </c>
      <c r="M6125" t="s">
        <v>37199</v>
      </c>
      <c r="N6125" t="s">
        <v>5863</v>
      </c>
      <c r="O6125" t="s">
        <v>111</v>
      </c>
      <c r="P6125" t="str">
        <f>"85375-6674"</f>
        <v>85375-6674</v>
      </c>
      <c r="Q6125" t="s">
        <v>113</v>
      </c>
      <c r="R6125" t="str">
        <f>"232-20-422"</f>
        <v>232-20-422</v>
      </c>
      <c r="S6125" t="s">
        <v>37200</v>
      </c>
      <c r="U6125">
        <v>2031</v>
      </c>
      <c r="V6125">
        <v>0</v>
      </c>
      <c r="W6125">
        <v>4</v>
      </c>
      <c r="X6125">
        <v>1992</v>
      </c>
      <c r="Z6125">
        <v>1</v>
      </c>
      <c r="AB6125">
        <v>0</v>
      </c>
      <c r="AC6125" t="s">
        <v>115</v>
      </c>
      <c r="AD6125">
        <v>2</v>
      </c>
      <c r="AE6125" t="s">
        <v>115</v>
      </c>
      <c r="AF6125">
        <v>0</v>
      </c>
      <c r="AG6125">
        <v>0</v>
      </c>
      <c r="AH6125" t="s">
        <v>116</v>
      </c>
      <c r="AI6125" s="1">
        <v>85752</v>
      </c>
      <c r="AJ6125" s="2">
        <v>0.28000000000000003</v>
      </c>
      <c r="AK6125" s="1">
        <v>311225</v>
      </c>
      <c r="AL6125" t="s">
        <v>117</v>
      </c>
      <c r="AM6125" t="s">
        <v>393</v>
      </c>
      <c r="AN6125">
        <v>8700</v>
      </c>
      <c r="AO6125">
        <v>0.2</v>
      </c>
      <c r="AP6125">
        <v>1</v>
      </c>
      <c r="AR6125">
        <v>1</v>
      </c>
      <c r="AS6125" s="1">
        <v>20850</v>
      </c>
      <c r="AT6125" s="1">
        <v>4170</v>
      </c>
      <c r="AU6125" s="1">
        <v>16680</v>
      </c>
      <c r="AV6125">
        <v>80</v>
      </c>
      <c r="AX6125" s="1">
        <v>1695.72</v>
      </c>
      <c r="AY6125" t="s">
        <v>320</v>
      </c>
      <c r="AZ6125" t="s">
        <v>320</v>
      </c>
      <c r="BA6125" t="s">
        <v>321</v>
      </c>
      <c r="BE6125" s="3">
        <v>41961</v>
      </c>
      <c r="BF6125" s="1">
        <v>225000</v>
      </c>
      <c r="BG6125" t="s">
        <v>37201</v>
      </c>
      <c r="BH6125" s="1">
        <v>110.78</v>
      </c>
      <c r="BI6125" s="1">
        <v>225473</v>
      </c>
      <c r="BJ6125" s="3">
        <v>42193</v>
      </c>
      <c r="BK6125" t="s">
        <v>123</v>
      </c>
      <c r="BL6125" t="str">
        <f>"2015.490214"</f>
        <v>2015.490214</v>
      </c>
      <c r="BM6125" t="s">
        <v>8916</v>
      </c>
      <c r="BO6125" t="s">
        <v>37202</v>
      </c>
      <c r="BS6125">
        <v>30</v>
      </c>
      <c r="BW6125" t="str">
        <f>""</f>
        <v/>
      </c>
      <c r="CH6125" t="str">
        <f>""</f>
        <v/>
      </c>
      <c r="CS6125" t="str">
        <f>""</f>
        <v/>
      </c>
    </row>
    <row r="6126" spans="1:97" x14ac:dyDescent="0.25">
      <c r="A6126" t="s">
        <v>37203</v>
      </c>
      <c r="B6126" t="s">
        <v>1208</v>
      </c>
      <c r="E6126" t="s">
        <v>37204</v>
      </c>
      <c r="F6126" t="s">
        <v>108</v>
      </c>
      <c r="H6126" t="s">
        <v>37205</v>
      </c>
      <c r="I6126" t="s">
        <v>453</v>
      </c>
      <c r="J6126" t="s">
        <v>111</v>
      </c>
      <c r="K6126" t="str">
        <f>"85383"</f>
        <v>85383</v>
      </c>
      <c r="L6126" t="s">
        <v>5637</v>
      </c>
      <c r="M6126" t="s">
        <v>37205</v>
      </c>
      <c r="N6126" t="s">
        <v>453</v>
      </c>
      <c r="O6126" t="s">
        <v>111</v>
      </c>
      <c r="P6126" t="str">
        <f>"85383-1122"</f>
        <v>85383-1122</v>
      </c>
      <c r="Q6126" t="s">
        <v>113</v>
      </c>
      <c r="R6126" t="str">
        <f>"201-16-228"</f>
        <v>201-16-228</v>
      </c>
      <c r="S6126" t="s">
        <v>23953</v>
      </c>
      <c r="T6126" t="s">
        <v>23953</v>
      </c>
      <c r="U6126">
        <v>2017</v>
      </c>
      <c r="V6126">
        <v>0</v>
      </c>
      <c r="W6126">
        <v>3</v>
      </c>
      <c r="X6126">
        <v>1997</v>
      </c>
      <c r="Z6126">
        <v>1</v>
      </c>
      <c r="AB6126">
        <v>0</v>
      </c>
      <c r="AC6126" t="s">
        <v>115</v>
      </c>
      <c r="AD6126">
        <v>3</v>
      </c>
      <c r="AE6126" t="s">
        <v>115</v>
      </c>
      <c r="AF6126">
        <v>0</v>
      </c>
      <c r="AG6126">
        <v>0</v>
      </c>
      <c r="AH6126" t="s">
        <v>116</v>
      </c>
      <c r="AI6126" s="1">
        <v>28590</v>
      </c>
      <c r="AJ6126" s="2">
        <v>0.06</v>
      </c>
      <c r="AK6126" s="1">
        <v>452512</v>
      </c>
      <c r="AL6126" t="s">
        <v>117</v>
      </c>
      <c r="AM6126" t="s">
        <v>616</v>
      </c>
      <c r="AN6126">
        <v>18125</v>
      </c>
      <c r="AO6126">
        <v>0.42</v>
      </c>
      <c r="AP6126">
        <v>1</v>
      </c>
      <c r="AR6126">
        <v>1</v>
      </c>
      <c r="AS6126" s="1">
        <v>32170</v>
      </c>
      <c r="AT6126" s="1">
        <v>6430</v>
      </c>
      <c r="AU6126" s="1">
        <v>25740</v>
      </c>
      <c r="AV6126">
        <v>80.010000000000005</v>
      </c>
      <c r="AX6126" s="1">
        <v>2492.04</v>
      </c>
      <c r="AY6126" t="s">
        <v>1808</v>
      </c>
      <c r="AZ6126" t="s">
        <v>1808</v>
      </c>
      <c r="BA6126" t="s">
        <v>457</v>
      </c>
      <c r="BE6126" s="3">
        <v>42124</v>
      </c>
      <c r="BF6126" s="1">
        <v>415000</v>
      </c>
      <c r="BG6126" t="s">
        <v>37206</v>
      </c>
      <c r="BH6126" s="1">
        <v>205.75</v>
      </c>
      <c r="BI6126" s="1">
        <v>423922</v>
      </c>
      <c r="BJ6126" s="3">
        <v>42124</v>
      </c>
      <c r="BK6126" t="s">
        <v>123</v>
      </c>
      <c r="BL6126" t="str">
        <f>"2015.305326"</f>
        <v>2015.305326</v>
      </c>
      <c r="BM6126" t="s">
        <v>738</v>
      </c>
      <c r="BO6126" t="s">
        <v>37207</v>
      </c>
      <c r="BS6126">
        <v>30</v>
      </c>
      <c r="BW6126" t="str">
        <f>""</f>
        <v/>
      </c>
      <c r="CH6126" t="str">
        <f>""</f>
        <v/>
      </c>
      <c r="CS6126" t="str">
        <f>""</f>
        <v/>
      </c>
    </row>
    <row r="6127" spans="1:97" x14ac:dyDescent="0.25">
      <c r="B6127" t="s">
        <v>37208</v>
      </c>
      <c r="E6127" t="s">
        <v>37209</v>
      </c>
      <c r="F6127" t="s">
        <v>282</v>
      </c>
      <c r="H6127" t="s">
        <v>37210</v>
      </c>
      <c r="I6127" t="s">
        <v>390</v>
      </c>
      <c r="J6127" t="s">
        <v>111</v>
      </c>
      <c r="K6127" t="str">
        <f>"85028"</f>
        <v>85028</v>
      </c>
      <c r="L6127" t="s">
        <v>8543</v>
      </c>
      <c r="M6127" t="s">
        <v>37211</v>
      </c>
      <c r="N6127" t="s">
        <v>225</v>
      </c>
      <c r="O6127" t="s">
        <v>111</v>
      </c>
      <c r="P6127" t="str">
        <f>"85215-9792"</f>
        <v>85215-9792</v>
      </c>
      <c r="Q6127" t="s">
        <v>113</v>
      </c>
      <c r="R6127" t="str">
        <f>"165-13-017"</f>
        <v>165-13-017</v>
      </c>
      <c r="S6127" t="s">
        <v>31584</v>
      </c>
      <c r="T6127" t="s">
        <v>20316</v>
      </c>
      <c r="U6127">
        <v>2108</v>
      </c>
      <c r="V6127">
        <v>0</v>
      </c>
      <c r="W6127">
        <v>3</v>
      </c>
      <c r="X6127">
        <v>1971</v>
      </c>
      <c r="Z6127">
        <v>1</v>
      </c>
      <c r="AB6127">
        <v>0</v>
      </c>
      <c r="AC6127" t="s">
        <v>115</v>
      </c>
      <c r="AD6127">
        <v>2</v>
      </c>
      <c r="AE6127" t="s">
        <v>115</v>
      </c>
      <c r="AF6127">
        <v>0</v>
      </c>
      <c r="AG6127">
        <v>0</v>
      </c>
      <c r="AH6127" t="s">
        <v>116</v>
      </c>
      <c r="AI6127" s="1">
        <v>125237</v>
      </c>
      <c r="AJ6127" s="2">
        <v>0.28000000000000003</v>
      </c>
      <c r="AK6127" s="1">
        <v>447009</v>
      </c>
      <c r="AL6127" t="s">
        <v>117</v>
      </c>
      <c r="AM6127" t="s">
        <v>1302</v>
      </c>
      <c r="AN6127">
        <v>9905</v>
      </c>
      <c r="AO6127">
        <v>0.23</v>
      </c>
      <c r="AP6127">
        <v>1</v>
      </c>
      <c r="AR6127">
        <v>1</v>
      </c>
      <c r="AS6127" s="1">
        <v>31710</v>
      </c>
      <c r="AT6127" s="1">
        <v>6340</v>
      </c>
      <c r="AU6127" s="1">
        <v>25370</v>
      </c>
      <c r="AV6127">
        <v>80.010000000000005</v>
      </c>
      <c r="AX6127" s="1">
        <v>3513.64</v>
      </c>
      <c r="AY6127" t="s">
        <v>9580</v>
      </c>
      <c r="AZ6127" t="s">
        <v>5489</v>
      </c>
      <c r="BA6127" t="s">
        <v>5232</v>
      </c>
      <c r="BB6127" s="3">
        <v>42241</v>
      </c>
      <c r="BD6127" t="s">
        <v>458</v>
      </c>
      <c r="BE6127" s="3">
        <v>41835</v>
      </c>
      <c r="BF6127" s="1">
        <v>315000</v>
      </c>
      <c r="BG6127" t="s">
        <v>37212</v>
      </c>
      <c r="BH6127" s="1">
        <v>149.43</v>
      </c>
      <c r="BI6127" s="1">
        <v>321772</v>
      </c>
      <c r="BJ6127" s="3">
        <v>41835</v>
      </c>
      <c r="BK6127" t="s">
        <v>123</v>
      </c>
      <c r="BL6127" t="str">
        <f>"2014.464094"</f>
        <v>2014.464094</v>
      </c>
      <c r="BM6127" t="s">
        <v>724</v>
      </c>
      <c r="BO6127" t="s">
        <v>37213</v>
      </c>
      <c r="BS6127">
        <v>30</v>
      </c>
      <c r="BW6127" t="str">
        <f>""</f>
        <v/>
      </c>
      <c r="CH6127" t="str">
        <f>""</f>
        <v/>
      </c>
      <c r="CS6127" t="str">
        <f>""</f>
        <v/>
      </c>
    </row>
    <row r="6128" spans="1:97" x14ac:dyDescent="0.25">
      <c r="A6128" t="s">
        <v>1160</v>
      </c>
      <c r="B6128" t="s">
        <v>37214</v>
      </c>
      <c r="C6128" t="s">
        <v>2104</v>
      </c>
      <c r="D6128" t="s">
        <v>37214</v>
      </c>
      <c r="E6128" t="s">
        <v>37215</v>
      </c>
      <c r="F6128" t="s">
        <v>108</v>
      </c>
      <c r="H6128" t="s">
        <v>37216</v>
      </c>
      <c r="I6128" t="s">
        <v>203</v>
      </c>
      <c r="J6128" t="s">
        <v>111</v>
      </c>
      <c r="K6128" t="str">
        <f>"85295"</f>
        <v>85295</v>
      </c>
      <c r="L6128" t="s">
        <v>8435</v>
      </c>
      <c r="M6128" t="s">
        <v>37216</v>
      </c>
      <c r="N6128" t="s">
        <v>203</v>
      </c>
      <c r="O6128" t="s">
        <v>111</v>
      </c>
      <c r="P6128" t="str">
        <f>"85295-3506"</f>
        <v>85295-3506</v>
      </c>
      <c r="Q6128" t="s">
        <v>113</v>
      </c>
      <c r="R6128" t="str">
        <f>"304-39-643"</f>
        <v>304-39-643</v>
      </c>
      <c r="S6128" t="s">
        <v>37217</v>
      </c>
      <c r="U6128">
        <v>3076</v>
      </c>
      <c r="V6128">
        <v>0</v>
      </c>
      <c r="W6128">
        <v>4</v>
      </c>
      <c r="X6128">
        <v>2012</v>
      </c>
      <c r="Z6128">
        <v>1</v>
      </c>
      <c r="AA6128" t="s">
        <v>26</v>
      </c>
      <c r="AB6128">
        <v>0</v>
      </c>
      <c r="AC6128" t="s">
        <v>115</v>
      </c>
      <c r="AD6128">
        <v>3</v>
      </c>
      <c r="AE6128" t="s">
        <v>115</v>
      </c>
      <c r="AF6128">
        <v>0</v>
      </c>
      <c r="AG6128">
        <v>0</v>
      </c>
      <c r="AH6128" t="s">
        <v>116</v>
      </c>
      <c r="AI6128" s="1">
        <v>31679</v>
      </c>
      <c r="AJ6128" s="2">
        <v>0.06</v>
      </c>
      <c r="AK6128" s="1">
        <v>498679</v>
      </c>
      <c r="AL6128" t="s">
        <v>117</v>
      </c>
      <c r="AM6128" t="s">
        <v>288</v>
      </c>
      <c r="AN6128">
        <v>9262</v>
      </c>
      <c r="AO6128">
        <v>0.21</v>
      </c>
      <c r="AR6128">
        <v>1</v>
      </c>
      <c r="AS6128" s="1">
        <v>37600</v>
      </c>
      <c r="AT6128" s="1">
        <v>7520</v>
      </c>
      <c r="AU6128" s="1">
        <v>30080</v>
      </c>
      <c r="AV6128">
        <v>80</v>
      </c>
      <c r="AX6128" s="1">
        <v>3889.4</v>
      </c>
      <c r="AY6128" t="s">
        <v>5094</v>
      </c>
      <c r="AZ6128" t="s">
        <v>5094</v>
      </c>
      <c r="BA6128" t="s">
        <v>473</v>
      </c>
      <c r="BE6128" s="3">
        <v>41816</v>
      </c>
      <c r="BF6128" s="1">
        <v>409900</v>
      </c>
      <c r="BG6128" t="s">
        <v>37218</v>
      </c>
      <c r="BH6128" s="1">
        <v>133.26</v>
      </c>
      <c r="BI6128" s="1">
        <v>417000</v>
      </c>
      <c r="BJ6128" s="3">
        <v>41816</v>
      </c>
      <c r="BK6128" t="s">
        <v>123</v>
      </c>
      <c r="BL6128" t="str">
        <f>"2014.418332"</f>
        <v>2014.418332</v>
      </c>
      <c r="BM6128" t="s">
        <v>2472</v>
      </c>
      <c r="BO6128" t="s">
        <v>37219</v>
      </c>
      <c r="BS6128">
        <v>15</v>
      </c>
      <c r="BT6128" s="1">
        <v>50000</v>
      </c>
      <c r="BU6128" s="3">
        <v>42990</v>
      </c>
      <c r="BW6128" t="str">
        <f>"2017.673565"</f>
        <v>2017.673565</v>
      </c>
      <c r="BX6128" t="s">
        <v>37220</v>
      </c>
      <c r="BZ6128" t="s">
        <v>37219</v>
      </c>
      <c r="CC6128" t="s">
        <v>1633</v>
      </c>
      <c r="CH6128" t="str">
        <f>""</f>
        <v/>
      </c>
      <c r="CS6128" t="str">
        <f>""</f>
        <v/>
      </c>
    </row>
    <row r="6129" spans="1:97" x14ac:dyDescent="0.25">
      <c r="A6129" t="s">
        <v>37221</v>
      </c>
      <c r="B6129" t="s">
        <v>37222</v>
      </c>
      <c r="C6129" t="s">
        <v>11851</v>
      </c>
      <c r="D6129" t="s">
        <v>37223</v>
      </c>
      <c r="E6129" t="s">
        <v>37224</v>
      </c>
      <c r="F6129" t="s">
        <v>108</v>
      </c>
      <c r="H6129" t="s">
        <v>37225</v>
      </c>
      <c r="I6129" t="s">
        <v>390</v>
      </c>
      <c r="J6129" t="s">
        <v>111</v>
      </c>
      <c r="K6129" t="str">
        <f>"85085"</f>
        <v>85085</v>
      </c>
      <c r="L6129" t="s">
        <v>269</v>
      </c>
      <c r="M6129" t="s">
        <v>37225</v>
      </c>
      <c r="N6129" t="s">
        <v>390</v>
      </c>
      <c r="O6129" t="s">
        <v>111</v>
      </c>
      <c r="P6129" t="str">
        <f>"85085-6033"</f>
        <v>85085-6033</v>
      </c>
      <c r="Q6129" t="s">
        <v>113</v>
      </c>
      <c r="R6129" t="str">
        <f>"204-01-649"</f>
        <v>204-01-649</v>
      </c>
      <c r="S6129" t="s">
        <v>7475</v>
      </c>
      <c r="T6129" t="s">
        <v>6715</v>
      </c>
      <c r="U6129">
        <v>3098</v>
      </c>
      <c r="V6129">
        <v>0</v>
      </c>
      <c r="W6129">
        <v>4</v>
      </c>
      <c r="X6129">
        <v>2006</v>
      </c>
      <c r="Z6129">
        <v>2</v>
      </c>
      <c r="AA6129" t="s">
        <v>26</v>
      </c>
      <c r="AB6129">
        <v>0</v>
      </c>
      <c r="AC6129" t="s">
        <v>115</v>
      </c>
      <c r="AD6129">
        <v>2</v>
      </c>
      <c r="AE6129" t="s">
        <v>115</v>
      </c>
      <c r="AF6129">
        <v>0</v>
      </c>
      <c r="AG6129">
        <v>0</v>
      </c>
      <c r="AH6129" t="s">
        <v>116</v>
      </c>
      <c r="AI6129" s="1">
        <v>56080</v>
      </c>
      <c r="AJ6129" s="2">
        <v>0.13</v>
      </c>
      <c r="AK6129" s="1">
        <v>423717</v>
      </c>
      <c r="AL6129" t="s">
        <v>117</v>
      </c>
      <c r="AM6129" t="s">
        <v>171</v>
      </c>
      <c r="AN6129">
        <v>7150</v>
      </c>
      <c r="AO6129">
        <v>0.16</v>
      </c>
      <c r="AR6129">
        <v>1</v>
      </c>
      <c r="AS6129" s="1">
        <v>30020</v>
      </c>
      <c r="AT6129" s="1">
        <v>6000</v>
      </c>
      <c r="AU6129" s="1">
        <v>24020</v>
      </c>
      <c r="AV6129">
        <v>80.010000000000005</v>
      </c>
      <c r="AX6129" s="1">
        <v>2723.9</v>
      </c>
      <c r="AY6129" t="s">
        <v>1587</v>
      </c>
      <c r="AZ6129" t="s">
        <v>1587</v>
      </c>
      <c r="BA6129" t="s">
        <v>1462</v>
      </c>
      <c r="BB6129" s="3">
        <v>42549</v>
      </c>
      <c r="BD6129" t="s">
        <v>842</v>
      </c>
      <c r="BE6129" s="3">
        <v>42466</v>
      </c>
      <c r="BF6129" s="1">
        <v>359900</v>
      </c>
      <c r="BG6129" t="s">
        <v>37226</v>
      </c>
      <c r="BH6129" s="1">
        <v>116.17</v>
      </c>
      <c r="BI6129" s="1">
        <v>367637</v>
      </c>
      <c r="BJ6129" s="3">
        <v>42466</v>
      </c>
      <c r="BK6129" t="s">
        <v>123</v>
      </c>
      <c r="BL6129" t="str">
        <f>"2016.228279"</f>
        <v>2016.228279</v>
      </c>
      <c r="BM6129" t="s">
        <v>1033</v>
      </c>
      <c r="BO6129" t="s">
        <v>37227</v>
      </c>
      <c r="BP6129" t="s">
        <v>37228</v>
      </c>
      <c r="BS6129">
        <v>30</v>
      </c>
      <c r="BW6129" t="str">
        <f>""</f>
        <v/>
      </c>
      <c r="CH6129" t="str">
        <f>""</f>
        <v/>
      </c>
      <c r="CS6129" t="str">
        <f>""</f>
        <v/>
      </c>
    </row>
    <row r="6130" spans="1:97" x14ac:dyDescent="0.25">
      <c r="A6130" t="s">
        <v>6778</v>
      </c>
      <c r="B6130" t="s">
        <v>37229</v>
      </c>
      <c r="E6130" t="s">
        <v>37230</v>
      </c>
      <c r="F6130" t="s">
        <v>108</v>
      </c>
      <c r="H6130" t="s">
        <v>37231</v>
      </c>
      <c r="I6130" t="s">
        <v>225</v>
      </c>
      <c r="J6130" t="s">
        <v>111</v>
      </c>
      <c r="K6130" t="str">
        <f>"85204"</f>
        <v>85204</v>
      </c>
      <c r="L6130" t="s">
        <v>9069</v>
      </c>
      <c r="M6130" t="s">
        <v>37231</v>
      </c>
      <c r="N6130" t="s">
        <v>225</v>
      </c>
      <c r="O6130" t="s">
        <v>111</v>
      </c>
      <c r="P6130" t="str">
        <f>"85204-6325"</f>
        <v>85204-6325</v>
      </c>
      <c r="Q6130" t="s">
        <v>113</v>
      </c>
      <c r="R6130" t="str">
        <f>"140-59-119"</f>
        <v>140-59-119</v>
      </c>
      <c r="S6130" t="s">
        <v>37232</v>
      </c>
      <c r="T6130" t="s">
        <v>37233</v>
      </c>
      <c r="U6130">
        <v>2304</v>
      </c>
      <c r="V6130">
        <v>0</v>
      </c>
      <c r="W6130">
        <v>2</v>
      </c>
      <c r="X6130">
        <v>1981</v>
      </c>
      <c r="Z6130">
        <v>2</v>
      </c>
      <c r="AB6130">
        <v>0</v>
      </c>
      <c r="AC6130" t="s">
        <v>115</v>
      </c>
      <c r="AD6130">
        <v>2</v>
      </c>
      <c r="AE6130" t="s">
        <v>115</v>
      </c>
      <c r="AF6130">
        <v>0</v>
      </c>
      <c r="AG6130">
        <v>0</v>
      </c>
      <c r="AH6130" t="s">
        <v>116</v>
      </c>
      <c r="AI6130" s="1">
        <v>98415</v>
      </c>
      <c r="AJ6130" s="2">
        <v>0.3</v>
      </c>
      <c r="AK6130" s="1">
        <v>327074</v>
      </c>
      <c r="AL6130" t="s">
        <v>117</v>
      </c>
      <c r="AM6130" t="s">
        <v>393</v>
      </c>
      <c r="AN6130">
        <v>8103</v>
      </c>
      <c r="AO6130">
        <v>0.19</v>
      </c>
      <c r="AP6130">
        <v>1</v>
      </c>
      <c r="AR6130">
        <v>1</v>
      </c>
      <c r="AS6130" s="1">
        <v>22370</v>
      </c>
      <c r="AT6130" s="1">
        <v>4470</v>
      </c>
      <c r="AU6130" s="1">
        <v>17900</v>
      </c>
      <c r="AV6130">
        <v>80.02</v>
      </c>
      <c r="AX6130" s="1">
        <v>1421.74</v>
      </c>
      <c r="AY6130" t="s">
        <v>9600</v>
      </c>
      <c r="AZ6130" t="s">
        <v>5158</v>
      </c>
      <c r="BA6130" t="s">
        <v>5159</v>
      </c>
      <c r="BE6130" s="3">
        <v>42212</v>
      </c>
      <c r="BF6130" s="1">
        <v>220000</v>
      </c>
      <c r="BG6130" t="s">
        <v>37234</v>
      </c>
      <c r="BH6130" s="1">
        <v>95.49</v>
      </c>
      <c r="BI6130" s="1">
        <v>228659</v>
      </c>
      <c r="BJ6130" s="3">
        <v>42522</v>
      </c>
      <c r="BK6130" t="s">
        <v>123</v>
      </c>
      <c r="BL6130" t="str">
        <f>"2016.378012"</f>
        <v>2016.378012</v>
      </c>
      <c r="BM6130" t="s">
        <v>492</v>
      </c>
      <c r="BO6130" t="s">
        <v>37235</v>
      </c>
      <c r="BS6130">
        <v>30</v>
      </c>
      <c r="BW6130" t="str">
        <f>""</f>
        <v/>
      </c>
      <c r="CH6130" t="str">
        <f>""</f>
        <v/>
      </c>
      <c r="CS6130" t="str">
        <f>""</f>
        <v/>
      </c>
    </row>
    <row r="6131" spans="1:97" x14ac:dyDescent="0.25">
      <c r="A6131" t="s">
        <v>370</v>
      </c>
      <c r="B6131" t="s">
        <v>37236</v>
      </c>
      <c r="E6131" t="s">
        <v>37237</v>
      </c>
      <c r="F6131" t="s">
        <v>108</v>
      </c>
      <c r="H6131" t="s">
        <v>37238</v>
      </c>
      <c r="I6131" t="s">
        <v>203</v>
      </c>
      <c r="J6131" t="s">
        <v>111</v>
      </c>
      <c r="K6131" t="str">
        <f>"85297"</f>
        <v>85297</v>
      </c>
      <c r="L6131" t="s">
        <v>4698</v>
      </c>
      <c r="M6131" t="s">
        <v>37238</v>
      </c>
      <c r="N6131" t="s">
        <v>203</v>
      </c>
      <c r="O6131" t="s">
        <v>111</v>
      </c>
      <c r="P6131" t="str">
        <f>"85297-8257"</f>
        <v>85297-8257</v>
      </c>
      <c r="R6131" t="str">
        <f>"304-60-324"</f>
        <v>304-60-324</v>
      </c>
      <c r="S6131" t="s">
        <v>37239</v>
      </c>
      <c r="U6131">
        <v>1903</v>
      </c>
      <c r="V6131">
        <v>0</v>
      </c>
      <c r="W6131">
        <v>3</v>
      </c>
      <c r="X6131">
        <v>2002</v>
      </c>
      <c r="Z6131">
        <v>1</v>
      </c>
      <c r="AA6131" t="s">
        <v>26</v>
      </c>
      <c r="AB6131">
        <v>0</v>
      </c>
      <c r="AC6131" t="s">
        <v>115</v>
      </c>
      <c r="AD6131">
        <v>3</v>
      </c>
      <c r="AE6131" t="s">
        <v>115</v>
      </c>
      <c r="AF6131">
        <v>0</v>
      </c>
      <c r="AG6131">
        <v>0</v>
      </c>
      <c r="AH6131" t="s">
        <v>116</v>
      </c>
      <c r="AI6131" s="1">
        <v>99230</v>
      </c>
      <c r="AJ6131" s="2">
        <v>0.28999999999999998</v>
      </c>
      <c r="AK6131" s="1">
        <v>336950</v>
      </c>
      <c r="AL6131" t="s">
        <v>117</v>
      </c>
      <c r="AM6131" t="s">
        <v>393</v>
      </c>
      <c r="AN6131">
        <v>7700</v>
      </c>
      <c r="AO6131">
        <v>0.18</v>
      </c>
      <c r="AP6131">
        <v>1</v>
      </c>
      <c r="AR6131">
        <v>1</v>
      </c>
      <c r="AS6131" s="1">
        <v>25110</v>
      </c>
      <c r="AT6131" s="1">
        <v>5020</v>
      </c>
      <c r="AU6131" s="1">
        <v>20090</v>
      </c>
      <c r="AV6131">
        <v>80.010000000000005</v>
      </c>
      <c r="AX6131" s="1">
        <v>1928.64</v>
      </c>
      <c r="AY6131" t="s">
        <v>7512</v>
      </c>
      <c r="AZ6131" t="s">
        <v>7512</v>
      </c>
      <c r="BA6131" t="s">
        <v>473</v>
      </c>
      <c r="BE6131" s="3">
        <v>41820</v>
      </c>
      <c r="BF6131" s="1">
        <v>239900</v>
      </c>
      <c r="BG6131" t="s">
        <v>37240</v>
      </c>
      <c r="BH6131" s="1">
        <v>126.06</v>
      </c>
      <c r="BI6131" s="1">
        <v>237720</v>
      </c>
      <c r="BJ6131" s="3">
        <v>43068</v>
      </c>
      <c r="BK6131" t="s">
        <v>123</v>
      </c>
      <c r="BL6131" t="str">
        <f>"2017.883227"</f>
        <v>2017.883227</v>
      </c>
      <c r="BM6131" t="s">
        <v>724</v>
      </c>
      <c r="BN6131">
        <v>78288</v>
      </c>
      <c r="BO6131" t="s">
        <v>37241</v>
      </c>
      <c r="BS6131">
        <v>30</v>
      </c>
      <c r="BW6131" t="str">
        <f>""</f>
        <v/>
      </c>
      <c r="CH6131" t="str">
        <f>""</f>
        <v/>
      </c>
      <c r="CS6131" t="str">
        <f>""</f>
        <v/>
      </c>
    </row>
    <row r="6132" spans="1:97" x14ac:dyDescent="0.25">
      <c r="A6132" t="s">
        <v>140</v>
      </c>
      <c r="B6132" t="s">
        <v>37242</v>
      </c>
      <c r="C6132" t="s">
        <v>691</v>
      </c>
      <c r="D6132" t="s">
        <v>37242</v>
      </c>
      <c r="E6132" t="s">
        <v>37243</v>
      </c>
      <c r="F6132" t="s">
        <v>108</v>
      </c>
      <c r="H6132" t="s">
        <v>37244</v>
      </c>
      <c r="I6132" t="s">
        <v>390</v>
      </c>
      <c r="J6132" t="s">
        <v>111</v>
      </c>
      <c r="K6132" t="str">
        <f>"85028"</f>
        <v>85028</v>
      </c>
      <c r="L6132" t="s">
        <v>6541</v>
      </c>
      <c r="M6132" t="s">
        <v>37244</v>
      </c>
      <c r="N6132" t="s">
        <v>390</v>
      </c>
      <c r="O6132" t="s">
        <v>111</v>
      </c>
      <c r="P6132" t="str">
        <f>"85028-2562"</f>
        <v>85028-2562</v>
      </c>
      <c r="Q6132" t="s">
        <v>113</v>
      </c>
      <c r="R6132" t="str">
        <f>"166-30-245"</f>
        <v>166-30-245</v>
      </c>
      <c r="S6132" t="s">
        <v>12976</v>
      </c>
      <c r="T6132" t="s">
        <v>12976</v>
      </c>
      <c r="U6132">
        <v>2901</v>
      </c>
      <c r="V6132">
        <v>0</v>
      </c>
      <c r="W6132">
        <v>4</v>
      </c>
      <c r="X6132">
        <v>1973</v>
      </c>
      <c r="Z6132">
        <v>1</v>
      </c>
      <c r="AA6132" t="s">
        <v>26</v>
      </c>
      <c r="AB6132">
        <v>0</v>
      </c>
      <c r="AC6132" t="s">
        <v>115</v>
      </c>
      <c r="AD6132">
        <v>2</v>
      </c>
      <c r="AE6132" t="s">
        <v>115</v>
      </c>
      <c r="AF6132">
        <v>0</v>
      </c>
      <c r="AG6132">
        <v>0</v>
      </c>
      <c r="AH6132" t="s">
        <v>116</v>
      </c>
      <c r="AI6132" s="1">
        <v>72557</v>
      </c>
      <c r="AJ6132" s="2">
        <v>0.15</v>
      </c>
      <c r="AK6132" s="1">
        <v>485511</v>
      </c>
      <c r="AL6132" t="s">
        <v>117</v>
      </c>
      <c r="AM6132" t="s">
        <v>1302</v>
      </c>
      <c r="AN6132">
        <v>10509</v>
      </c>
      <c r="AO6132">
        <v>0.24</v>
      </c>
      <c r="AP6132">
        <v>1</v>
      </c>
      <c r="AR6132">
        <v>1</v>
      </c>
      <c r="AS6132" s="1">
        <v>36650</v>
      </c>
      <c r="AT6132" s="1">
        <v>7330</v>
      </c>
      <c r="AU6132" s="1">
        <v>29320</v>
      </c>
      <c r="AV6132">
        <v>80</v>
      </c>
      <c r="AX6132" s="1">
        <v>3225.46</v>
      </c>
      <c r="AY6132" t="s">
        <v>5488</v>
      </c>
      <c r="AZ6132" t="s">
        <v>5489</v>
      </c>
      <c r="BA6132" t="s">
        <v>5232</v>
      </c>
      <c r="BE6132" s="3">
        <v>42307</v>
      </c>
      <c r="BF6132" s="1">
        <v>402000</v>
      </c>
      <c r="BG6132" t="s">
        <v>37245</v>
      </c>
      <c r="BH6132" s="1">
        <v>138.57</v>
      </c>
      <c r="BI6132" s="1">
        <v>412954</v>
      </c>
      <c r="BJ6132" s="3">
        <v>42639</v>
      </c>
      <c r="BK6132" t="s">
        <v>123</v>
      </c>
      <c r="BL6132" t="str">
        <f>"2016.696965"</f>
        <v>2016.696965</v>
      </c>
      <c r="BM6132" t="s">
        <v>322</v>
      </c>
      <c r="BO6132" t="s">
        <v>37246</v>
      </c>
      <c r="BS6132">
        <v>30</v>
      </c>
      <c r="BW6132" t="str">
        <f>""</f>
        <v/>
      </c>
      <c r="CH6132" t="str">
        <f>""</f>
        <v/>
      </c>
      <c r="CS6132" t="str">
        <f>""</f>
        <v/>
      </c>
    </row>
    <row r="6133" spans="1:97" x14ac:dyDescent="0.25">
      <c r="A6133" t="s">
        <v>428</v>
      </c>
      <c r="B6133" t="s">
        <v>2255</v>
      </c>
      <c r="C6133" t="s">
        <v>489</v>
      </c>
      <c r="D6133" t="s">
        <v>37247</v>
      </c>
      <c r="E6133" t="s">
        <v>37248</v>
      </c>
      <c r="F6133" t="s">
        <v>108</v>
      </c>
      <c r="H6133" t="s">
        <v>37249</v>
      </c>
      <c r="I6133" t="s">
        <v>188</v>
      </c>
      <c r="J6133" t="s">
        <v>111</v>
      </c>
      <c r="K6133" t="str">
        <f>"85142"</f>
        <v>85142</v>
      </c>
      <c r="L6133" t="s">
        <v>3885</v>
      </c>
      <c r="M6133" t="s">
        <v>37249</v>
      </c>
      <c r="N6133" t="s">
        <v>188</v>
      </c>
      <c r="O6133" t="s">
        <v>111</v>
      </c>
      <c r="P6133" t="str">
        <f>"85142-5097"</f>
        <v>85142-5097</v>
      </c>
      <c r="Q6133" t="s">
        <v>113</v>
      </c>
      <c r="R6133" t="str">
        <f>"314-04-579"</f>
        <v>314-04-579</v>
      </c>
      <c r="S6133" t="s">
        <v>20263</v>
      </c>
      <c r="T6133" t="s">
        <v>3887</v>
      </c>
      <c r="U6133">
        <v>4007</v>
      </c>
      <c r="V6133">
        <v>0</v>
      </c>
      <c r="W6133">
        <v>5</v>
      </c>
      <c r="X6133">
        <v>2014</v>
      </c>
      <c r="Z6133">
        <v>1</v>
      </c>
      <c r="AA6133" t="s">
        <v>26</v>
      </c>
      <c r="AB6133">
        <v>0</v>
      </c>
      <c r="AC6133" t="s">
        <v>115</v>
      </c>
      <c r="AD6133">
        <v>4</v>
      </c>
      <c r="AE6133" t="s">
        <v>115</v>
      </c>
      <c r="AF6133">
        <v>0</v>
      </c>
      <c r="AG6133">
        <v>0</v>
      </c>
      <c r="AH6133" t="s">
        <v>116</v>
      </c>
      <c r="AI6133" s="1">
        <v>142428</v>
      </c>
      <c r="AJ6133" s="2">
        <v>0.18</v>
      </c>
      <c r="AK6133" s="1">
        <v>807758</v>
      </c>
      <c r="AL6133" t="s">
        <v>117</v>
      </c>
      <c r="AM6133" t="s">
        <v>616</v>
      </c>
      <c r="AN6133">
        <v>31401</v>
      </c>
      <c r="AO6133">
        <v>0.72</v>
      </c>
      <c r="AR6133">
        <v>1</v>
      </c>
      <c r="AS6133" s="1">
        <v>62530</v>
      </c>
      <c r="AT6133" s="1">
        <v>12180</v>
      </c>
      <c r="AU6133" s="1">
        <v>50350</v>
      </c>
      <c r="AV6133">
        <v>80.52</v>
      </c>
      <c r="AX6133" s="1">
        <v>5862.1</v>
      </c>
      <c r="AY6133" t="s">
        <v>1074</v>
      </c>
      <c r="AZ6133" t="s">
        <v>193</v>
      </c>
      <c r="BA6133" t="s">
        <v>194</v>
      </c>
      <c r="BE6133" s="3">
        <v>41719</v>
      </c>
      <c r="BF6133" s="1">
        <v>589845</v>
      </c>
      <c r="BG6133" t="s">
        <v>3120</v>
      </c>
      <c r="BH6133" s="1">
        <v>147.19999999999999</v>
      </c>
      <c r="BI6133" s="1">
        <v>545330</v>
      </c>
      <c r="BJ6133" s="3">
        <v>42066</v>
      </c>
      <c r="BK6133" t="s">
        <v>123</v>
      </c>
      <c r="BL6133" t="str">
        <f>"2015.139271"</f>
        <v>2015.139271</v>
      </c>
      <c r="BM6133" t="s">
        <v>322</v>
      </c>
      <c r="BO6133" t="s">
        <v>37250</v>
      </c>
      <c r="BP6133" t="s">
        <v>37251</v>
      </c>
      <c r="BS6133">
        <v>30</v>
      </c>
      <c r="BT6133" s="1">
        <v>120000</v>
      </c>
      <c r="BU6133" s="3">
        <v>43047</v>
      </c>
      <c r="BW6133" t="str">
        <f>"2017.830308"</f>
        <v>2017.830308</v>
      </c>
      <c r="BX6133" t="s">
        <v>3843</v>
      </c>
      <c r="BZ6133" t="s">
        <v>37252</v>
      </c>
      <c r="CA6133" t="s">
        <v>37253</v>
      </c>
      <c r="CC6133" t="s">
        <v>1633</v>
      </c>
      <c r="CH6133" t="str">
        <f>""</f>
        <v/>
      </c>
      <c r="CS6133" t="str">
        <f>""</f>
        <v/>
      </c>
    </row>
    <row r="6134" spans="1:97" x14ac:dyDescent="0.25">
      <c r="A6134" t="s">
        <v>9149</v>
      </c>
      <c r="B6134" t="s">
        <v>37254</v>
      </c>
      <c r="C6134" t="s">
        <v>6830</v>
      </c>
      <c r="D6134" t="s">
        <v>37254</v>
      </c>
      <c r="E6134" t="s">
        <v>37255</v>
      </c>
      <c r="F6134" t="s">
        <v>108</v>
      </c>
      <c r="H6134" t="s">
        <v>37256</v>
      </c>
      <c r="I6134" t="s">
        <v>632</v>
      </c>
      <c r="J6134" t="s">
        <v>111</v>
      </c>
      <c r="K6134" t="str">
        <f>"85388"</f>
        <v>85388</v>
      </c>
      <c r="L6134" t="s">
        <v>7607</v>
      </c>
      <c r="M6134" t="s">
        <v>37256</v>
      </c>
      <c r="N6134" t="s">
        <v>632</v>
      </c>
      <c r="O6134" t="s">
        <v>111</v>
      </c>
      <c r="P6134" t="str">
        <f>"85388-1622"</f>
        <v>85388-1622</v>
      </c>
      <c r="Q6134" t="s">
        <v>113</v>
      </c>
      <c r="R6134" t="str">
        <f>"502-02-209"</f>
        <v>502-02-209</v>
      </c>
      <c r="S6134" t="s">
        <v>13127</v>
      </c>
      <c r="T6134" t="s">
        <v>13128</v>
      </c>
      <c r="U6134">
        <v>2437</v>
      </c>
      <c r="V6134">
        <v>0</v>
      </c>
      <c r="W6134">
        <v>4</v>
      </c>
      <c r="X6134">
        <v>2013</v>
      </c>
      <c r="Z6134">
        <v>2</v>
      </c>
      <c r="AA6134" t="s">
        <v>26</v>
      </c>
      <c r="AB6134">
        <v>0</v>
      </c>
      <c r="AC6134" t="s">
        <v>115</v>
      </c>
      <c r="AD6134">
        <v>2</v>
      </c>
      <c r="AE6134" t="s">
        <v>115</v>
      </c>
      <c r="AF6134">
        <v>0</v>
      </c>
      <c r="AG6134">
        <v>0</v>
      </c>
      <c r="AH6134" t="s">
        <v>116</v>
      </c>
      <c r="AI6134" s="1">
        <v>66313</v>
      </c>
      <c r="AJ6134" s="2">
        <v>0.21</v>
      </c>
      <c r="AK6134" s="1">
        <v>310313</v>
      </c>
      <c r="AL6134" t="s">
        <v>117</v>
      </c>
      <c r="AM6134" t="s">
        <v>118</v>
      </c>
      <c r="AN6134">
        <v>6174</v>
      </c>
      <c r="AO6134">
        <v>0.14000000000000001</v>
      </c>
      <c r="AR6134">
        <v>1</v>
      </c>
      <c r="AS6134" s="1">
        <v>23880</v>
      </c>
      <c r="AT6134" s="1">
        <v>4770</v>
      </c>
      <c r="AU6134" s="1">
        <v>19110</v>
      </c>
      <c r="AV6134">
        <v>80.03</v>
      </c>
      <c r="AX6134" s="1">
        <v>1995.14</v>
      </c>
      <c r="AY6134" t="s">
        <v>5168</v>
      </c>
      <c r="AZ6134" t="s">
        <v>5168</v>
      </c>
      <c r="BA6134" t="s">
        <v>5109</v>
      </c>
      <c r="BE6134" s="3">
        <v>41705</v>
      </c>
      <c r="BF6134" s="1">
        <v>219900</v>
      </c>
      <c r="BG6134" t="s">
        <v>13129</v>
      </c>
      <c r="BH6134" s="1">
        <v>90.23</v>
      </c>
      <c r="BI6134" s="1">
        <v>244000</v>
      </c>
      <c r="BJ6134" s="3">
        <v>42584</v>
      </c>
      <c r="BK6134" t="s">
        <v>123</v>
      </c>
      <c r="BL6134" t="str">
        <f>"2016.547112"</f>
        <v>2016.547112</v>
      </c>
      <c r="BM6134" t="s">
        <v>402</v>
      </c>
      <c r="BO6134" t="s">
        <v>37257</v>
      </c>
      <c r="BS6134">
        <v>30</v>
      </c>
      <c r="BW6134" t="str">
        <f>""</f>
        <v/>
      </c>
      <c r="CH6134" t="str">
        <f>""</f>
        <v/>
      </c>
      <c r="CS6134" t="str">
        <f>""</f>
        <v/>
      </c>
    </row>
    <row r="6135" spans="1:97" x14ac:dyDescent="0.25">
      <c r="A6135" t="s">
        <v>37258</v>
      </c>
      <c r="B6135" t="s">
        <v>6628</v>
      </c>
      <c r="C6135" t="s">
        <v>5560</v>
      </c>
      <c r="D6135" t="s">
        <v>6628</v>
      </c>
      <c r="E6135" t="s">
        <v>37259</v>
      </c>
      <c r="F6135" t="s">
        <v>108</v>
      </c>
      <c r="H6135" t="s">
        <v>37260</v>
      </c>
      <c r="I6135" t="s">
        <v>390</v>
      </c>
      <c r="J6135" t="s">
        <v>111</v>
      </c>
      <c r="K6135" t="str">
        <f>"85050"</f>
        <v>85050</v>
      </c>
      <c r="L6135" t="s">
        <v>6308</v>
      </c>
      <c r="M6135" t="s">
        <v>37260</v>
      </c>
      <c r="N6135" t="s">
        <v>390</v>
      </c>
      <c r="O6135" t="s">
        <v>111</v>
      </c>
      <c r="P6135" t="str">
        <f>"85050-8574"</f>
        <v>85050-8574</v>
      </c>
      <c r="Q6135" t="s">
        <v>113</v>
      </c>
      <c r="R6135" t="str">
        <f>"212-09-597"</f>
        <v>212-09-597</v>
      </c>
      <c r="S6135" t="s">
        <v>37261</v>
      </c>
      <c r="T6135" t="s">
        <v>6360</v>
      </c>
      <c r="U6135">
        <v>3070</v>
      </c>
      <c r="V6135">
        <v>0</v>
      </c>
      <c r="W6135">
        <v>4</v>
      </c>
      <c r="X6135">
        <v>1997</v>
      </c>
      <c r="Z6135">
        <v>2</v>
      </c>
      <c r="AA6135" t="s">
        <v>26</v>
      </c>
      <c r="AB6135">
        <v>0</v>
      </c>
      <c r="AC6135" t="s">
        <v>115</v>
      </c>
      <c r="AD6135">
        <v>3</v>
      </c>
      <c r="AE6135" t="s">
        <v>115</v>
      </c>
      <c r="AF6135">
        <v>0</v>
      </c>
      <c r="AG6135">
        <v>0</v>
      </c>
      <c r="AH6135" t="s">
        <v>116</v>
      </c>
      <c r="AI6135" s="1">
        <v>27288</v>
      </c>
      <c r="AJ6135" s="2">
        <v>0.05</v>
      </c>
      <c r="AK6135" s="1">
        <v>511588</v>
      </c>
      <c r="AL6135" t="s">
        <v>117</v>
      </c>
      <c r="AM6135" t="s">
        <v>191</v>
      </c>
      <c r="AN6135">
        <v>7027</v>
      </c>
      <c r="AO6135">
        <v>0.16</v>
      </c>
      <c r="AP6135">
        <v>1</v>
      </c>
      <c r="AR6135">
        <v>1</v>
      </c>
      <c r="AS6135" s="1">
        <v>37410</v>
      </c>
      <c r="AT6135" s="1">
        <v>7480</v>
      </c>
      <c r="AU6135" s="1">
        <v>29930</v>
      </c>
      <c r="AV6135">
        <v>80.010000000000005</v>
      </c>
      <c r="AX6135" s="1">
        <v>3724.58</v>
      </c>
      <c r="AY6135" t="s">
        <v>7995</v>
      </c>
      <c r="AZ6135" t="s">
        <v>6352</v>
      </c>
      <c r="BA6135" t="s">
        <v>762</v>
      </c>
      <c r="BE6135" s="3">
        <v>42045</v>
      </c>
      <c r="BF6135" s="1">
        <v>425000</v>
      </c>
      <c r="BG6135" t="s">
        <v>37262</v>
      </c>
      <c r="BH6135" s="1">
        <v>138.44</v>
      </c>
      <c r="BI6135" s="1">
        <v>484300</v>
      </c>
      <c r="BJ6135" s="3">
        <v>43581</v>
      </c>
      <c r="BK6135" t="s">
        <v>123</v>
      </c>
      <c r="BL6135" t="str">
        <f>"2019.296620"</f>
        <v>2019.296620</v>
      </c>
      <c r="BM6135" t="s">
        <v>11185</v>
      </c>
      <c r="BN6135" t="s">
        <v>1282</v>
      </c>
      <c r="BO6135" t="s">
        <v>37263</v>
      </c>
      <c r="BP6135" t="s">
        <v>37264</v>
      </c>
      <c r="BR6135" t="s">
        <v>139</v>
      </c>
      <c r="BW6135" t="str">
        <f>""</f>
        <v/>
      </c>
      <c r="CH6135" t="str">
        <f>""</f>
        <v/>
      </c>
      <c r="CS6135" t="str">
        <f>""</f>
        <v/>
      </c>
    </row>
    <row r="6136" spans="1:97" x14ac:dyDescent="0.25">
      <c r="A6136" t="s">
        <v>6627</v>
      </c>
      <c r="B6136" t="s">
        <v>603</v>
      </c>
      <c r="C6136" t="s">
        <v>37265</v>
      </c>
      <c r="D6136" t="s">
        <v>603</v>
      </c>
      <c r="E6136" t="s">
        <v>37266</v>
      </c>
      <c r="F6136" t="s">
        <v>108</v>
      </c>
      <c r="H6136" t="s">
        <v>37267</v>
      </c>
      <c r="I6136" t="s">
        <v>453</v>
      </c>
      <c r="J6136" t="s">
        <v>111</v>
      </c>
      <c r="K6136" t="str">
        <f>"85382"</f>
        <v>85382</v>
      </c>
      <c r="L6136" t="s">
        <v>9293</v>
      </c>
      <c r="M6136" t="s">
        <v>37267</v>
      </c>
      <c r="N6136" t="s">
        <v>453</v>
      </c>
      <c r="O6136" t="s">
        <v>111</v>
      </c>
      <c r="P6136" t="str">
        <f>"85382-3784"</f>
        <v>85382-3784</v>
      </c>
      <c r="Q6136" t="s">
        <v>113</v>
      </c>
      <c r="R6136" t="str">
        <f>"200-54-453"</f>
        <v>200-54-453</v>
      </c>
      <c r="S6136" t="s">
        <v>9325</v>
      </c>
      <c r="T6136" t="s">
        <v>9325</v>
      </c>
      <c r="U6136">
        <v>2573</v>
      </c>
      <c r="V6136">
        <v>0</v>
      </c>
      <c r="W6136">
        <v>4</v>
      </c>
      <c r="X6136">
        <v>1994</v>
      </c>
      <c r="Z6136">
        <v>2</v>
      </c>
      <c r="AA6136" t="s">
        <v>26</v>
      </c>
      <c r="AB6136">
        <v>0</v>
      </c>
      <c r="AC6136" t="s">
        <v>115</v>
      </c>
      <c r="AD6136">
        <v>3</v>
      </c>
      <c r="AE6136" t="s">
        <v>115</v>
      </c>
      <c r="AF6136">
        <v>0</v>
      </c>
      <c r="AG6136">
        <v>0</v>
      </c>
      <c r="AH6136" t="s">
        <v>116</v>
      </c>
      <c r="AI6136" s="1">
        <v>49580</v>
      </c>
      <c r="AJ6136" s="2">
        <v>0.14000000000000001</v>
      </c>
      <c r="AK6136" s="1">
        <v>365140</v>
      </c>
      <c r="AL6136" t="s">
        <v>117</v>
      </c>
      <c r="AM6136" t="s">
        <v>191</v>
      </c>
      <c r="AN6136">
        <v>7700</v>
      </c>
      <c r="AO6136">
        <v>0.18</v>
      </c>
      <c r="AP6136">
        <v>1</v>
      </c>
      <c r="AR6136">
        <v>1</v>
      </c>
      <c r="AS6136" s="1">
        <v>25480</v>
      </c>
      <c r="AT6136" s="1">
        <v>5090</v>
      </c>
      <c r="AU6136" s="1">
        <v>20390</v>
      </c>
      <c r="AV6136">
        <v>80.02</v>
      </c>
      <c r="AX6136" s="1">
        <v>2227.2800000000002</v>
      </c>
      <c r="AY6136" t="s">
        <v>5573</v>
      </c>
      <c r="AZ6136" t="s">
        <v>5573</v>
      </c>
      <c r="BA6136" t="s">
        <v>1800</v>
      </c>
      <c r="BB6136" s="3">
        <v>41920</v>
      </c>
      <c r="BD6136" t="s">
        <v>240</v>
      </c>
      <c r="BE6136" s="3">
        <v>41920</v>
      </c>
      <c r="BF6136" s="1">
        <v>307800</v>
      </c>
      <c r="BG6136" t="s">
        <v>37268</v>
      </c>
      <c r="BH6136" s="1">
        <v>119.63</v>
      </c>
      <c r="BI6136" s="1">
        <v>285560</v>
      </c>
      <c r="BJ6136" s="3">
        <v>41920</v>
      </c>
      <c r="BK6136" t="s">
        <v>123</v>
      </c>
      <c r="BL6136" t="str">
        <f>"2014.666800"</f>
        <v>2014.666800</v>
      </c>
      <c r="BM6136" t="s">
        <v>5867</v>
      </c>
      <c r="BN6136" t="s">
        <v>9181</v>
      </c>
      <c r="BO6136" t="s">
        <v>37269</v>
      </c>
      <c r="BS6136">
        <v>30</v>
      </c>
      <c r="BT6136" s="1">
        <v>30000</v>
      </c>
      <c r="BU6136" s="3">
        <v>43531</v>
      </c>
      <c r="BW6136" t="str">
        <f>"2019.158238"</f>
        <v>2019.158238</v>
      </c>
      <c r="BX6136" t="s">
        <v>5002</v>
      </c>
      <c r="BY6136" t="s">
        <v>5003</v>
      </c>
      <c r="BZ6136" t="s">
        <v>37270</v>
      </c>
      <c r="CA6136" t="s">
        <v>37271</v>
      </c>
      <c r="CC6136" t="s">
        <v>346</v>
      </c>
      <c r="CH6136" t="str">
        <f>""</f>
        <v/>
      </c>
      <c r="CS6136" t="str">
        <f>""</f>
        <v/>
      </c>
    </row>
    <row r="6137" spans="1:97" x14ac:dyDescent="0.25">
      <c r="A6137" t="s">
        <v>8735</v>
      </c>
      <c r="B6137" t="s">
        <v>37272</v>
      </c>
      <c r="C6137" t="s">
        <v>2286</v>
      </c>
      <c r="D6137" t="s">
        <v>37272</v>
      </c>
      <c r="E6137" t="s">
        <v>37273</v>
      </c>
      <c r="F6137" t="s">
        <v>108</v>
      </c>
      <c r="H6137" t="s">
        <v>37274</v>
      </c>
      <c r="I6137" t="s">
        <v>390</v>
      </c>
      <c r="J6137" t="s">
        <v>111</v>
      </c>
      <c r="K6137" t="str">
        <f>"85086"</f>
        <v>85086</v>
      </c>
      <c r="L6137" t="s">
        <v>6035</v>
      </c>
      <c r="M6137" t="s">
        <v>37274</v>
      </c>
      <c r="N6137" t="s">
        <v>390</v>
      </c>
      <c r="O6137" t="s">
        <v>111</v>
      </c>
      <c r="P6137" t="str">
        <f>"85086-7478"</f>
        <v>85086-7478</v>
      </c>
      <c r="Q6137" t="s">
        <v>113</v>
      </c>
      <c r="R6137" t="str">
        <f>"211-68-015-C"</f>
        <v>211-68-015-C</v>
      </c>
      <c r="S6137" t="s">
        <v>6498</v>
      </c>
      <c r="T6137" t="s">
        <v>6498</v>
      </c>
      <c r="U6137">
        <v>2452</v>
      </c>
      <c r="V6137">
        <v>0</v>
      </c>
      <c r="W6137">
        <v>4</v>
      </c>
      <c r="X6137">
        <v>1994</v>
      </c>
      <c r="Z6137">
        <v>1</v>
      </c>
      <c r="AA6137" t="s">
        <v>26</v>
      </c>
      <c r="AB6137">
        <v>0</v>
      </c>
      <c r="AC6137" t="s">
        <v>115</v>
      </c>
      <c r="AD6137">
        <v>2</v>
      </c>
      <c r="AE6137" t="s">
        <v>115</v>
      </c>
      <c r="AF6137">
        <v>0</v>
      </c>
      <c r="AG6137">
        <v>0</v>
      </c>
      <c r="AH6137" t="s">
        <v>116</v>
      </c>
      <c r="AI6137" s="1">
        <v>100232</v>
      </c>
      <c r="AJ6137" s="2">
        <v>0.21</v>
      </c>
      <c r="AK6137" s="1">
        <v>472008</v>
      </c>
      <c r="AL6137" t="s">
        <v>117</v>
      </c>
      <c r="AM6137" t="s">
        <v>376</v>
      </c>
      <c r="AN6137">
        <v>55452</v>
      </c>
      <c r="AO6137">
        <v>1.27</v>
      </c>
      <c r="AP6137">
        <v>1</v>
      </c>
      <c r="AR6137">
        <v>1</v>
      </c>
      <c r="AS6137" s="1">
        <v>36370</v>
      </c>
      <c r="AT6137" s="1">
        <v>7270</v>
      </c>
      <c r="AU6137" s="1">
        <v>29100</v>
      </c>
      <c r="AV6137">
        <v>80.010000000000005</v>
      </c>
      <c r="AX6137" s="1">
        <v>3755.98</v>
      </c>
      <c r="AY6137" t="s">
        <v>1587</v>
      </c>
      <c r="AZ6137" t="s">
        <v>1587</v>
      </c>
      <c r="BA6137" t="s">
        <v>378</v>
      </c>
      <c r="BE6137" s="3">
        <v>42230</v>
      </c>
      <c r="BF6137" s="1">
        <v>359900</v>
      </c>
      <c r="BG6137" t="s">
        <v>37275</v>
      </c>
      <c r="BH6137" s="1">
        <v>146.78</v>
      </c>
      <c r="BI6137" s="1">
        <v>371776</v>
      </c>
      <c r="BJ6137" s="3">
        <v>42230</v>
      </c>
      <c r="BK6137" t="s">
        <v>123</v>
      </c>
      <c r="BL6137" t="str">
        <f>"2015.591945"</f>
        <v>2015.591945</v>
      </c>
      <c r="BM6137" t="s">
        <v>544</v>
      </c>
      <c r="BO6137" t="s">
        <v>37276</v>
      </c>
      <c r="BS6137">
        <v>30</v>
      </c>
      <c r="BW6137" t="str">
        <f>""</f>
        <v/>
      </c>
      <c r="CH6137" t="str">
        <f>""</f>
        <v/>
      </c>
      <c r="CS6137" t="str">
        <f>""</f>
        <v/>
      </c>
    </row>
    <row r="6138" spans="1:97" x14ac:dyDescent="0.25">
      <c r="A6138" t="s">
        <v>1009</v>
      </c>
      <c r="B6138" t="s">
        <v>37277</v>
      </c>
      <c r="C6138" t="s">
        <v>852</v>
      </c>
      <c r="D6138" t="s">
        <v>37277</v>
      </c>
      <c r="E6138" t="s">
        <v>37278</v>
      </c>
      <c r="F6138" t="s">
        <v>108</v>
      </c>
      <c r="H6138" t="s">
        <v>37279</v>
      </c>
      <c r="I6138" t="s">
        <v>499</v>
      </c>
      <c r="J6138" t="s">
        <v>111</v>
      </c>
      <c r="K6138" t="str">
        <f>"85338"</f>
        <v>85338</v>
      </c>
      <c r="L6138" t="s">
        <v>6788</v>
      </c>
      <c r="M6138" t="s">
        <v>37279</v>
      </c>
      <c r="N6138" t="s">
        <v>499</v>
      </c>
      <c r="O6138" t="s">
        <v>111</v>
      </c>
      <c r="P6138" t="str">
        <f>"85338-1714"</f>
        <v>85338-1714</v>
      </c>
      <c r="Q6138" t="s">
        <v>113</v>
      </c>
      <c r="R6138" t="str">
        <f>"502-43-901"</f>
        <v>502-43-901</v>
      </c>
      <c r="S6138" t="s">
        <v>37280</v>
      </c>
      <c r="T6138" t="s">
        <v>15319</v>
      </c>
      <c r="U6138">
        <v>2775</v>
      </c>
      <c r="V6138">
        <v>0</v>
      </c>
      <c r="W6138">
        <v>5</v>
      </c>
      <c r="X6138">
        <v>2004</v>
      </c>
      <c r="Z6138">
        <v>2</v>
      </c>
      <c r="AB6138">
        <v>0</v>
      </c>
      <c r="AC6138" t="s">
        <v>115</v>
      </c>
      <c r="AD6138">
        <v>2</v>
      </c>
      <c r="AE6138" t="s">
        <v>115</v>
      </c>
      <c r="AF6138">
        <v>0</v>
      </c>
      <c r="AG6138">
        <v>0</v>
      </c>
      <c r="AH6138" t="s">
        <v>116</v>
      </c>
      <c r="AI6138" s="1">
        <v>57985</v>
      </c>
      <c r="AJ6138" s="2">
        <v>0.2</v>
      </c>
      <c r="AK6138" s="1">
        <v>290310</v>
      </c>
      <c r="AL6138" t="s">
        <v>117</v>
      </c>
      <c r="AM6138" t="s">
        <v>118</v>
      </c>
      <c r="AN6138">
        <v>6594</v>
      </c>
      <c r="AO6138">
        <v>0.15</v>
      </c>
      <c r="AP6138">
        <v>1</v>
      </c>
      <c r="AR6138">
        <v>1</v>
      </c>
      <c r="AS6138" s="1">
        <v>20620</v>
      </c>
      <c r="AT6138" s="1">
        <v>4120</v>
      </c>
      <c r="AU6138" s="1">
        <v>16500</v>
      </c>
      <c r="AV6138">
        <v>80.02</v>
      </c>
      <c r="AX6138" s="1">
        <v>2009.02</v>
      </c>
      <c r="AY6138" t="s">
        <v>6790</v>
      </c>
      <c r="AZ6138" t="s">
        <v>6790</v>
      </c>
      <c r="BA6138" t="s">
        <v>218</v>
      </c>
      <c r="BE6138" s="3">
        <v>42429</v>
      </c>
      <c r="BF6138" s="1">
        <v>227500</v>
      </c>
      <c r="BG6138" t="s">
        <v>37281</v>
      </c>
      <c r="BH6138" s="1">
        <v>81.98</v>
      </c>
      <c r="BI6138" s="1">
        <v>232325</v>
      </c>
      <c r="BJ6138" s="3">
        <v>42515</v>
      </c>
      <c r="BK6138" t="s">
        <v>123</v>
      </c>
      <c r="BL6138" t="str">
        <f>"2016.358925"</f>
        <v>2016.358925</v>
      </c>
      <c r="BM6138" t="s">
        <v>248</v>
      </c>
      <c r="BO6138" t="s">
        <v>37282</v>
      </c>
      <c r="BS6138">
        <v>30</v>
      </c>
      <c r="BW6138" t="str">
        <f>""</f>
        <v/>
      </c>
      <c r="CH6138" t="str">
        <f>""</f>
        <v/>
      </c>
      <c r="CS6138" t="str">
        <f>""</f>
        <v/>
      </c>
    </row>
    <row r="6139" spans="1:97" x14ac:dyDescent="0.25">
      <c r="A6139" t="s">
        <v>2123</v>
      </c>
      <c r="B6139" t="s">
        <v>37283</v>
      </c>
      <c r="E6139" t="s">
        <v>37284</v>
      </c>
      <c r="F6139" t="s">
        <v>108</v>
      </c>
      <c r="H6139" t="s">
        <v>37285</v>
      </c>
      <c r="I6139" t="s">
        <v>167</v>
      </c>
      <c r="J6139" t="s">
        <v>111</v>
      </c>
      <c r="K6139" t="str">
        <f>"85339"</f>
        <v>85339</v>
      </c>
      <c r="L6139" t="s">
        <v>6788</v>
      </c>
      <c r="M6139" t="s">
        <v>37285</v>
      </c>
      <c r="N6139" t="s">
        <v>167</v>
      </c>
      <c r="O6139" t="s">
        <v>111</v>
      </c>
      <c r="P6139" t="str">
        <f>"85339-6319"</f>
        <v>85339-6319</v>
      </c>
      <c r="Q6139" t="s">
        <v>113</v>
      </c>
      <c r="R6139" t="str">
        <f>"104-78-385"</f>
        <v>104-78-385</v>
      </c>
      <c r="S6139" t="s">
        <v>9701</v>
      </c>
      <c r="U6139">
        <v>2949</v>
      </c>
      <c r="V6139">
        <v>0</v>
      </c>
      <c r="W6139">
        <v>4</v>
      </c>
      <c r="X6139">
        <v>2015</v>
      </c>
      <c r="Z6139">
        <v>2</v>
      </c>
      <c r="AB6139">
        <v>0</v>
      </c>
      <c r="AC6139" t="s">
        <v>115</v>
      </c>
      <c r="AD6139">
        <v>2</v>
      </c>
      <c r="AE6139" t="s">
        <v>115</v>
      </c>
      <c r="AF6139">
        <v>0</v>
      </c>
      <c r="AG6139">
        <v>0</v>
      </c>
      <c r="AH6139" t="s">
        <v>116</v>
      </c>
      <c r="AI6139" s="1">
        <v>64218</v>
      </c>
      <c r="AJ6139" s="2">
        <v>0.21</v>
      </c>
      <c r="AK6139" s="1">
        <v>308741</v>
      </c>
      <c r="AL6139" t="s">
        <v>117</v>
      </c>
      <c r="AM6139" t="s">
        <v>191</v>
      </c>
      <c r="AN6139">
        <v>5075</v>
      </c>
      <c r="AO6139">
        <v>0.12</v>
      </c>
      <c r="AR6139">
        <v>1</v>
      </c>
      <c r="AS6139" s="1">
        <v>22660</v>
      </c>
      <c r="AT6139" s="1">
        <v>4530</v>
      </c>
      <c r="AU6139" s="1">
        <v>18130</v>
      </c>
      <c r="AV6139">
        <v>80.010000000000005</v>
      </c>
      <c r="AX6139" s="1">
        <v>2690.14</v>
      </c>
      <c r="AY6139" t="s">
        <v>5777</v>
      </c>
      <c r="AZ6139" t="s">
        <v>5777</v>
      </c>
      <c r="BA6139" t="s">
        <v>173</v>
      </c>
      <c r="BE6139" s="3">
        <v>42457</v>
      </c>
      <c r="BF6139" s="1">
        <v>240000</v>
      </c>
      <c r="BG6139" t="s">
        <v>158</v>
      </c>
      <c r="BH6139" s="1">
        <v>81.38</v>
      </c>
      <c r="BI6139" s="1">
        <v>244523</v>
      </c>
      <c r="BJ6139" s="3">
        <v>42457</v>
      </c>
      <c r="BK6139" t="s">
        <v>123</v>
      </c>
      <c r="BL6139" t="str">
        <f>"2016.197951"</f>
        <v>2016.197951</v>
      </c>
      <c r="BM6139" t="s">
        <v>241</v>
      </c>
      <c r="BO6139" t="s">
        <v>37286</v>
      </c>
      <c r="BS6139">
        <v>30</v>
      </c>
      <c r="BW6139" t="str">
        <f>""</f>
        <v/>
      </c>
      <c r="CH6139" t="str">
        <f>""</f>
        <v/>
      </c>
      <c r="CS6139" t="str">
        <f>""</f>
        <v/>
      </c>
    </row>
    <row r="6140" spans="1:97" x14ac:dyDescent="0.25">
      <c r="A6140" t="s">
        <v>4864</v>
      </c>
      <c r="B6140" t="s">
        <v>37287</v>
      </c>
      <c r="E6140" t="s">
        <v>37288</v>
      </c>
      <c r="F6140" t="s">
        <v>108</v>
      </c>
      <c r="H6140" t="s">
        <v>37289</v>
      </c>
      <c r="I6140" t="s">
        <v>390</v>
      </c>
      <c r="J6140" t="s">
        <v>111</v>
      </c>
      <c r="K6140" t="str">
        <f>"85044"</f>
        <v>85044</v>
      </c>
      <c r="L6140" t="s">
        <v>8462</v>
      </c>
      <c r="M6140" t="s">
        <v>37289</v>
      </c>
      <c r="N6140" t="s">
        <v>390</v>
      </c>
      <c r="O6140" t="s">
        <v>111</v>
      </c>
      <c r="P6140" t="str">
        <f>"85044-2425"</f>
        <v>85044-2425</v>
      </c>
      <c r="Q6140" t="s">
        <v>113</v>
      </c>
      <c r="R6140" t="str">
        <f>"306-22-753"</f>
        <v>306-22-753</v>
      </c>
      <c r="S6140" t="s">
        <v>11871</v>
      </c>
      <c r="T6140" t="s">
        <v>11871</v>
      </c>
      <c r="U6140">
        <v>1814</v>
      </c>
      <c r="V6140">
        <v>0</v>
      </c>
      <c r="W6140">
        <v>3</v>
      </c>
      <c r="X6140">
        <v>1991</v>
      </c>
      <c r="Z6140">
        <v>1</v>
      </c>
      <c r="AA6140" t="s">
        <v>26</v>
      </c>
      <c r="AB6140">
        <v>0</v>
      </c>
      <c r="AC6140" t="s">
        <v>115</v>
      </c>
      <c r="AD6140">
        <v>2</v>
      </c>
      <c r="AE6140" t="s">
        <v>115</v>
      </c>
      <c r="AF6140">
        <v>0</v>
      </c>
      <c r="AG6140">
        <v>0</v>
      </c>
      <c r="AH6140" t="s">
        <v>116</v>
      </c>
      <c r="AI6140" s="1">
        <v>75751</v>
      </c>
      <c r="AJ6140" s="2">
        <v>0.21</v>
      </c>
      <c r="AK6140" s="1">
        <v>353651</v>
      </c>
      <c r="AL6140" t="s">
        <v>117</v>
      </c>
      <c r="AM6140" t="s">
        <v>3345</v>
      </c>
      <c r="AN6140">
        <v>6303</v>
      </c>
      <c r="AO6140">
        <v>0.14000000000000001</v>
      </c>
      <c r="AP6140">
        <v>1</v>
      </c>
      <c r="AR6140">
        <v>1</v>
      </c>
      <c r="AS6140" s="1">
        <v>25630</v>
      </c>
      <c r="AT6140" s="1">
        <v>5120</v>
      </c>
      <c r="AU6140" s="1">
        <v>20510</v>
      </c>
      <c r="AV6140">
        <v>80.02</v>
      </c>
      <c r="AX6140" s="1">
        <v>2224.96</v>
      </c>
      <c r="AY6140" t="s">
        <v>11872</v>
      </c>
      <c r="AZ6140" t="s">
        <v>7255</v>
      </c>
      <c r="BA6140" t="s">
        <v>5328</v>
      </c>
      <c r="BE6140" s="3">
        <v>41774</v>
      </c>
      <c r="BF6140" s="1">
        <v>277900</v>
      </c>
      <c r="BG6140" t="s">
        <v>37290</v>
      </c>
      <c r="BH6140" s="1">
        <v>153.19999999999999</v>
      </c>
      <c r="BI6140" s="1">
        <v>277900</v>
      </c>
      <c r="BJ6140" s="3">
        <v>41774</v>
      </c>
      <c r="BK6140" t="s">
        <v>123</v>
      </c>
      <c r="BL6140" t="str">
        <f>"2014.316977"</f>
        <v>2014.316977</v>
      </c>
      <c r="BM6140" t="s">
        <v>475</v>
      </c>
      <c r="BO6140" t="s">
        <v>37291</v>
      </c>
      <c r="BS6140">
        <v>30</v>
      </c>
      <c r="BW6140" t="str">
        <f>""</f>
        <v/>
      </c>
      <c r="CH6140" t="str">
        <f>""</f>
        <v/>
      </c>
      <c r="CS6140" t="str">
        <f>""</f>
        <v/>
      </c>
    </row>
    <row r="6141" spans="1:97" x14ac:dyDescent="0.25">
      <c r="A6141" t="s">
        <v>37292</v>
      </c>
      <c r="B6141" t="s">
        <v>465</v>
      </c>
      <c r="C6141" t="s">
        <v>794</v>
      </c>
      <c r="D6141" t="s">
        <v>13910</v>
      </c>
      <c r="E6141" t="s">
        <v>37293</v>
      </c>
      <c r="F6141" t="s">
        <v>108</v>
      </c>
      <c r="H6141" t="s">
        <v>37294</v>
      </c>
      <c r="I6141" t="s">
        <v>632</v>
      </c>
      <c r="J6141" t="s">
        <v>111</v>
      </c>
      <c r="K6141" t="str">
        <f>"85379"</f>
        <v>85379</v>
      </c>
      <c r="L6141" t="s">
        <v>7109</v>
      </c>
      <c r="M6141" t="s">
        <v>37294</v>
      </c>
      <c r="N6141" t="s">
        <v>632</v>
      </c>
      <c r="O6141" t="s">
        <v>111</v>
      </c>
      <c r="P6141" t="str">
        <f>"85379-5911"</f>
        <v>85379-5911</v>
      </c>
      <c r="Q6141" t="s">
        <v>113</v>
      </c>
      <c r="R6141" t="str">
        <f>"501-39-471"</f>
        <v>501-39-471</v>
      </c>
      <c r="S6141" t="s">
        <v>9613</v>
      </c>
      <c r="U6141">
        <v>2112</v>
      </c>
      <c r="V6141">
        <v>0</v>
      </c>
      <c r="W6141">
        <v>3</v>
      </c>
      <c r="X6141">
        <v>2003</v>
      </c>
      <c r="Z6141">
        <v>1</v>
      </c>
      <c r="AA6141" t="s">
        <v>26</v>
      </c>
      <c r="AB6141">
        <v>0</v>
      </c>
      <c r="AC6141" t="s">
        <v>115</v>
      </c>
      <c r="AD6141">
        <v>2</v>
      </c>
      <c r="AE6141" t="s">
        <v>115</v>
      </c>
      <c r="AF6141">
        <v>0</v>
      </c>
      <c r="AG6141">
        <v>0</v>
      </c>
      <c r="AH6141" t="s">
        <v>116</v>
      </c>
      <c r="AI6141" s="1">
        <v>56869</v>
      </c>
      <c r="AJ6141" s="2">
        <v>0.2</v>
      </c>
      <c r="AK6141" s="1">
        <v>284129</v>
      </c>
      <c r="AL6141" t="s">
        <v>117</v>
      </c>
      <c r="AM6141" t="s">
        <v>118</v>
      </c>
      <c r="AN6141">
        <v>7243</v>
      </c>
      <c r="AO6141">
        <v>0.17</v>
      </c>
      <c r="AP6141">
        <v>1</v>
      </c>
      <c r="AR6141">
        <v>1</v>
      </c>
      <c r="AS6141" s="1">
        <v>19970</v>
      </c>
      <c r="AT6141" s="1">
        <v>3990</v>
      </c>
      <c r="AU6141" s="1">
        <v>15980</v>
      </c>
      <c r="AV6141">
        <v>80.02</v>
      </c>
      <c r="AX6141" s="1">
        <v>1536.7</v>
      </c>
      <c r="AY6141" t="s">
        <v>634</v>
      </c>
      <c r="AZ6141" t="s">
        <v>634</v>
      </c>
      <c r="BA6141" t="s">
        <v>635</v>
      </c>
      <c r="BE6141" s="3">
        <v>42507</v>
      </c>
      <c r="BF6141" s="1">
        <v>230000</v>
      </c>
      <c r="BG6141" t="s">
        <v>37295</v>
      </c>
      <c r="BH6141" s="1">
        <v>108.9</v>
      </c>
      <c r="BI6141" s="1">
        <v>227260</v>
      </c>
      <c r="BJ6141" s="3">
        <v>42507</v>
      </c>
      <c r="BK6141" t="s">
        <v>123</v>
      </c>
      <c r="BL6141" t="str">
        <f>"2016.336538"</f>
        <v>2016.336538</v>
      </c>
      <c r="BM6141" t="s">
        <v>820</v>
      </c>
      <c r="BO6141" t="s">
        <v>37296</v>
      </c>
      <c r="BP6141" t="s">
        <v>37297</v>
      </c>
      <c r="BS6141">
        <v>30</v>
      </c>
      <c r="BW6141" t="str">
        <f>""</f>
        <v/>
      </c>
      <c r="CH6141" t="str">
        <f>""</f>
        <v/>
      </c>
      <c r="CS6141" t="str">
        <f>""</f>
        <v/>
      </c>
    </row>
    <row r="6142" spans="1:97" x14ac:dyDescent="0.25">
      <c r="A6142" t="s">
        <v>548</v>
      </c>
      <c r="B6142" t="s">
        <v>37298</v>
      </c>
      <c r="C6142" t="s">
        <v>1496</v>
      </c>
      <c r="D6142" t="s">
        <v>37298</v>
      </c>
      <c r="E6142" t="s">
        <v>37299</v>
      </c>
      <c r="F6142" t="s">
        <v>108</v>
      </c>
      <c r="H6142" t="s">
        <v>37300</v>
      </c>
      <c r="I6142" t="s">
        <v>390</v>
      </c>
      <c r="J6142" t="s">
        <v>111</v>
      </c>
      <c r="K6142" t="str">
        <f>"85086"</f>
        <v>85086</v>
      </c>
      <c r="L6142" t="s">
        <v>4698</v>
      </c>
      <c r="M6142" t="s">
        <v>37300</v>
      </c>
      <c r="N6142" t="s">
        <v>390</v>
      </c>
      <c r="O6142" t="s">
        <v>111</v>
      </c>
      <c r="P6142" t="str">
        <f>"85086-2172"</f>
        <v>85086-2172</v>
      </c>
      <c r="Q6142" t="s">
        <v>113</v>
      </c>
      <c r="R6142" t="str">
        <f>"203-27-614"</f>
        <v>203-27-614</v>
      </c>
      <c r="S6142" t="s">
        <v>25554</v>
      </c>
      <c r="T6142" t="s">
        <v>25555</v>
      </c>
      <c r="U6142">
        <v>1658</v>
      </c>
      <c r="V6142">
        <v>0</v>
      </c>
      <c r="W6142">
        <v>3</v>
      </c>
      <c r="X6142">
        <v>2005</v>
      </c>
      <c r="Z6142">
        <v>1</v>
      </c>
      <c r="AB6142">
        <v>0</v>
      </c>
      <c r="AC6142" t="s">
        <v>115</v>
      </c>
      <c r="AD6142">
        <v>2</v>
      </c>
      <c r="AE6142" t="s">
        <v>115</v>
      </c>
      <c r="AF6142">
        <v>0</v>
      </c>
      <c r="AG6142">
        <v>0</v>
      </c>
      <c r="AH6142" t="s">
        <v>116</v>
      </c>
      <c r="AI6142" s="1">
        <v>59537</v>
      </c>
      <c r="AJ6142" s="2">
        <v>0.21</v>
      </c>
      <c r="AK6142" s="1">
        <v>285737</v>
      </c>
      <c r="AL6142" t="s">
        <v>117</v>
      </c>
      <c r="AM6142" t="s">
        <v>1315</v>
      </c>
      <c r="AN6142">
        <v>4706</v>
      </c>
      <c r="AO6142">
        <v>0.11</v>
      </c>
      <c r="AP6142">
        <v>1</v>
      </c>
      <c r="AR6142">
        <v>1</v>
      </c>
      <c r="AS6142" s="1">
        <v>20200</v>
      </c>
      <c r="AT6142" s="1">
        <v>4040</v>
      </c>
      <c r="AU6142" s="1">
        <v>16160</v>
      </c>
      <c r="AV6142">
        <v>80</v>
      </c>
      <c r="AX6142" s="1">
        <v>1873.82</v>
      </c>
      <c r="AY6142" t="s">
        <v>8639</v>
      </c>
      <c r="AZ6142" t="s">
        <v>8639</v>
      </c>
      <c r="BA6142" t="s">
        <v>378</v>
      </c>
      <c r="BE6142" s="3">
        <v>42423</v>
      </c>
      <c r="BF6142" s="1">
        <v>230000</v>
      </c>
      <c r="BG6142" t="s">
        <v>37301</v>
      </c>
      <c r="BH6142" s="1">
        <v>138.72</v>
      </c>
      <c r="BI6142" s="1">
        <v>226200</v>
      </c>
      <c r="BJ6142" s="3">
        <v>42423</v>
      </c>
      <c r="BK6142" t="s">
        <v>123</v>
      </c>
      <c r="BL6142" t="str">
        <f>"2016.112278"</f>
        <v>2016.112278</v>
      </c>
      <c r="BM6142" t="s">
        <v>124</v>
      </c>
      <c r="BO6142" t="s">
        <v>37302</v>
      </c>
      <c r="BS6142">
        <v>30</v>
      </c>
      <c r="BW6142" t="str">
        <f>""</f>
        <v/>
      </c>
      <c r="CH6142" t="str">
        <f>""</f>
        <v/>
      </c>
      <c r="CS6142" t="str">
        <f>""</f>
        <v/>
      </c>
    </row>
    <row r="6143" spans="1:97" x14ac:dyDescent="0.25">
      <c r="A6143" t="s">
        <v>3718</v>
      </c>
      <c r="B6143" t="s">
        <v>10375</v>
      </c>
      <c r="E6143" t="s">
        <v>37303</v>
      </c>
      <c r="F6143" t="s">
        <v>108</v>
      </c>
      <c r="H6143" t="s">
        <v>37304</v>
      </c>
      <c r="I6143" t="s">
        <v>390</v>
      </c>
      <c r="J6143" t="s">
        <v>111</v>
      </c>
      <c r="K6143" t="str">
        <f>"85015"</f>
        <v>85015</v>
      </c>
      <c r="L6143" t="s">
        <v>926</v>
      </c>
      <c r="M6143" t="s">
        <v>37304</v>
      </c>
      <c r="N6143" t="s">
        <v>390</v>
      </c>
      <c r="O6143" t="s">
        <v>111</v>
      </c>
      <c r="P6143" t="str">
        <f>"85015-2420"</f>
        <v>85015-2420</v>
      </c>
      <c r="Q6143" t="s">
        <v>113</v>
      </c>
      <c r="R6143" t="str">
        <f>"153-08-057"</f>
        <v>153-08-057</v>
      </c>
      <c r="S6143" t="s">
        <v>37305</v>
      </c>
      <c r="T6143" t="s">
        <v>35536</v>
      </c>
      <c r="U6143">
        <v>1813</v>
      </c>
      <c r="V6143">
        <v>0</v>
      </c>
      <c r="W6143">
        <v>3</v>
      </c>
      <c r="X6143">
        <v>1955</v>
      </c>
      <c r="Z6143">
        <v>1</v>
      </c>
      <c r="AA6143" t="s">
        <v>26</v>
      </c>
      <c r="AB6143">
        <v>0</v>
      </c>
      <c r="AC6143" t="s">
        <v>5188</v>
      </c>
      <c r="AD6143">
        <v>1</v>
      </c>
      <c r="AE6143" t="s">
        <v>5188</v>
      </c>
      <c r="AF6143">
        <v>0</v>
      </c>
      <c r="AG6143">
        <v>0</v>
      </c>
      <c r="AH6143" t="s">
        <v>116</v>
      </c>
      <c r="AI6143" s="1">
        <v>59821</v>
      </c>
      <c r="AJ6143" s="2">
        <v>0.22</v>
      </c>
      <c r="AK6143" s="1">
        <v>277784</v>
      </c>
      <c r="AL6143" t="s">
        <v>117</v>
      </c>
      <c r="AM6143" t="s">
        <v>191</v>
      </c>
      <c r="AN6143">
        <v>7187</v>
      </c>
      <c r="AO6143">
        <v>0.16</v>
      </c>
      <c r="AP6143">
        <v>1</v>
      </c>
      <c r="AR6143">
        <v>1</v>
      </c>
      <c r="AS6143" s="1">
        <v>16230</v>
      </c>
      <c r="AT6143" s="1">
        <v>3240</v>
      </c>
      <c r="AU6143" s="1">
        <v>12990</v>
      </c>
      <c r="AV6143">
        <v>80.040000000000006</v>
      </c>
      <c r="AX6143" s="1">
        <v>1456.24</v>
      </c>
      <c r="AY6143" t="s">
        <v>35537</v>
      </c>
      <c r="AZ6143" t="s">
        <v>35538</v>
      </c>
      <c r="BA6143" t="s">
        <v>5691</v>
      </c>
      <c r="BE6143" s="3">
        <v>41828</v>
      </c>
      <c r="BF6143" s="1">
        <v>175000</v>
      </c>
      <c r="BG6143" t="s">
        <v>37306</v>
      </c>
      <c r="BH6143" s="1">
        <v>96.53</v>
      </c>
      <c r="BI6143" s="1">
        <v>217963</v>
      </c>
      <c r="BJ6143" s="3">
        <v>43312</v>
      </c>
      <c r="BK6143" t="s">
        <v>123</v>
      </c>
      <c r="BL6143" t="str">
        <f>"2018.576495"</f>
        <v>2018.576495</v>
      </c>
      <c r="BM6143" t="s">
        <v>1185</v>
      </c>
      <c r="BN6143" t="s">
        <v>6728</v>
      </c>
      <c r="BO6143" t="s">
        <v>37303</v>
      </c>
      <c r="BR6143" t="s">
        <v>139</v>
      </c>
      <c r="BW6143" t="str">
        <f>""</f>
        <v/>
      </c>
      <c r="CH6143" t="str">
        <f>""</f>
        <v/>
      </c>
      <c r="CS6143" t="str">
        <f>""</f>
        <v/>
      </c>
    </row>
    <row r="6144" spans="1:97" x14ac:dyDescent="0.25">
      <c r="A6144" t="s">
        <v>3580</v>
      </c>
      <c r="B6144" t="s">
        <v>1577</v>
      </c>
      <c r="C6144" t="s">
        <v>37307</v>
      </c>
      <c r="D6144" t="s">
        <v>1577</v>
      </c>
      <c r="E6144" t="s">
        <v>37308</v>
      </c>
      <c r="F6144" t="s">
        <v>108</v>
      </c>
      <c r="H6144" t="s">
        <v>37309</v>
      </c>
      <c r="I6144" t="s">
        <v>390</v>
      </c>
      <c r="J6144" t="s">
        <v>111</v>
      </c>
      <c r="K6144" t="str">
        <f>"85041"</f>
        <v>85041</v>
      </c>
      <c r="L6144" t="s">
        <v>6891</v>
      </c>
      <c r="M6144" t="s">
        <v>37309</v>
      </c>
      <c r="N6144" t="s">
        <v>390</v>
      </c>
      <c r="O6144" t="s">
        <v>111</v>
      </c>
      <c r="P6144" t="str">
        <f>"85041-6213"</f>
        <v>85041-6213</v>
      </c>
      <c r="Q6144" t="s">
        <v>113</v>
      </c>
      <c r="R6144" t="str">
        <f>"105-88-907"</f>
        <v>105-88-907</v>
      </c>
      <c r="S6144" t="s">
        <v>16123</v>
      </c>
      <c r="T6144" t="s">
        <v>15660</v>
      </c>
      <c r="U6144">
        <v>2357</v>
      </c>
      <c r="V6144">
        <v>0</v>
      </c>
      <c r="W6144">
        <v>4</v>
      </c>
      <c r="X6144">
        <v>2014</v>
      </c>
      <c r="Z6144">
        <v>1</v>
      </c>
      <c r="AB6144">
        <v>0</v>
      </c>
      <c r="AC6144" t="s">
        <v>115</v>
      </c>
      <c r="AD6144">
        <v>2</v>
      </c>
      <c r="AE6144" t="s">
        <v>115</v>
      </c>
      <c r="AF6144">
        <v>0</v>
      </c>
      <c r="AG6144">
        <v>0</v>
      </c>
      <c r="AH6144" t="s">
        <v>116</v>
      </c>
      <c r="AI6144" s="1">
        <v>45625</v>
      </c>
      <c r="AJ6144" s="2">
        <v>0.14000000000000001</v>
      </c>
      <c r="AK6144" s="1">
        <v>330524</v>
      </c>
      <c r="AL6144" t="s">
        <v>117</v>
      </c>
      <c r="AM6144" t="s">
        <v>760</v>
      </c>
      <c r="AN6144">
        <v>6891</v>
      </c>
      <c r="AO6144">
        <v>0.16</v>
      </c>
      <c r="AR6144">
        <v>1</v>
      </c>
      <c r="AS6144" s="1">
        <v>22980</v>
      </c>
      <c r="AT6144" s="1">
        <v>4590</v>
      </c>
      <c r="AU6144" s="1">
        <v>18390</v>
      </c>
      <c r="AV6144">
        <v>80.03</v>
      </c>
      <c r="AX6144" s="1">
        <v>2324.2800000000002</v>
      </c>
      <c r="AY6144" t="s">
        <v>5220</v>
      </c>
      <c r="AZ6144" t="s">
        <v>5220</v>
      </c>
      <c r="BA6144" t="s">
        <v>1661</v>
      </c>
      <c r="BE6144" s="3">
        <v>42060</v>
      </c>
      <c r="BF6144" s="1">
        <v>278186</v>
      </c>
      <c r="BG6144" t="s">
        <v>158</v>
      </c>
      <c r="BH6144" s="1">
        <v>118.03</v>
      </c>
      <c r="BI6144" s="1">
        <v>284899</v>
      </c>
      <c r="BJ6144" s="3">
        <v>42060</v>
      </c>
      <c r="BK6144" t="s">
        <v>123</v>
      </c>
      <c r="BL6144" t="str">
        <f>"2015.121730"</f>
        <v>2015.121730</v>
      </c>
      <c r="BM6144" t="s">
        <v>241</v>
      </c>
      <c r="BO6144" t="s">
        <v>37310</v>
      </c>
      <c r="BS6144">
        <v>30</v>
      </c>
      <c r="BW6144" t="str">
        <f>""</f>
        <v/>
      </c>
      <c r="CH6144" t="str">
        <f>""</f>
        <v/>
      </c>
      <c r="CS6144" t="str">
        <f>""</f>
        <v/>
      </c>
    </row>
    <row r="6145" spans="1:97" x14ac:dyDescent="0.25">
      <c r="A6145" t="s">
        <v>589</v>
      </c>
      <c r="B6145" t="s">
        <v>37311</v>
      </c>
      <c r="C6145" t="s">
        <v>12543</v>
      </c>
      <c r="D6145" t="s">
        <v>37311</v>
      </c>
      <c r="E6145" t="s">
        <v>37312</v>
      </c>
      <c r="F6145" t="s">
        <v>108</v>
      </c>
      <c r="H6145" t="s">
        <v>37313</v>
      </c>
      <c r="I6145" t="s">
        <v>390</v>
      </c>
      <c r="J6145" t="s">
        <v>111</v>
      </c>
      <c r="K6145" t="str">
        <f>"85032"</f>
        <v>85032</v>
      </c>
      <c r="L6145" t="s">
        <v>5185</v>
      </c>
      <c r="M6145" t="s">
        <v>37313</v>
      </c>
      <c r="N6145" t="s">
        <v>390</v>
      </c>
      <c r="O6145" t="s">
        <v>111</v>
      </c>
      <c r="P6145" t="str">
        <f>"85032-1599"</f>
        <v>85032-1599</v>
      </c>
      <c r="R6145" t="str">
        <f>"215-12-360"</f>
        <v>215-12-360</v>
      </c>
      <c r="S6145" t="s">
        <v>37314</v>
      </c>
      <c r="T6145" t="s">
        <v>37315</v>
      </c>
      <c r="U6145">
        <v>1498</v>
      </c>
      <c r="V6145">
        <v>0</v>
      </c>
      <c r="W6145">
        <v>3</v>
      </c>
      <c r="X6145">
        <v>1991</v>
      </c>
      <c r="Z6145">
        <v>1</v>
      </c>
      <c r="AA6145" t="s">
        <v>26</v>
      </c>
      <c r="AB6145">
        <v>0</v>
      </c>
      <c r="AC6145" t="s">
        <v>115</v>
      </c>
      <c r="AD6145">
        <v>2</v>
      </c>
      <c r="AE6145" t="s">
        <v>115</v>
      </c>
      <c r="AF6145">
        <v>0</v>
      </c>
      <c r="AG6145">
        <v>0</v>
      </c>
      <c r="AH6145" t="s">
        <v>116</v>
      </c>
      <c r="AI6145" s="1">
        <v>88867</v>
      </c>
      <c r="AJ6145" s="2">
        <v>0.25</v>
      </c>
      <c r="AK6145" s="1">
        <v>353182</v>
      </c>
      <c r="AL6145" t="s">
        <v>117</v>
      </c>
      <c r="AM6145" t="s">
        <v>191</v>
      </c>
      <c r="AN6145">
        <v>6244</v>
      </c>
      <c r="AO6145">
        <v>0.14000000000000001</v>
      </c>
      <c r="AP6145">
        <v>1</v>
      </c>
      <c r="AR6145">
        <v>1</v>
      </c>
      <c r="AS6145" s="1">
        <v>24930</v>
      </c>
      <c r="AT6145" s="1">
        <v>4980</v>
      </c>
      <c r="AU6145" s="1">
        <v>19950</v>
      </c>
      <c r="AV6145">
        <v>80.02</v>
      </c>
      <c r="AX6145" s="1">
        <v>2315.64</v>
      </c>
      <c r="AY6145" t="s">
        <v>1316</v>
      </c>
      <c r="AZ6145" t="s">
        <v>1317</v>
      </c>
      <c r="BA6145" t="s">
        <v>1318</v>
      </c>
      <c r="BE6145" s="3">
        <v>41851</v>
      </c>
      <c r="BF6145" s="1">
        <v>263000</v>
      </c>
      <c r="BG6145" t="s">
        <v>37316</v>
      </c>
      <c r="BH6145" s="1">
        <v>175.57</v>
      </c>
      <c r="BI6145" s="1">
        <v>264315</v>
      </c>
      <c r="BJ6145" s="3">
        <v>42620</v>
      </c>
      <c r="BK6145" t="s">
        <v>123</v>
      </c>
      <c r="BL6145" t="str">
        <f>"2016.648466"</f>
        <v>2016.648466</v>
      </c>
      <c r="BM6145" t="s">
        <v>1154</v>
      </c>
      <c r="BN6145" t="s">
        <v>1136</v>
      </c>
      <c r="BO6145" t="s">
        <v>37317</v>
      </c>
      <c r="BP6145" t="s">
        <v>37318</v>
      </c>
      <c r="BS6145">
        <v>30</v>
      </c>
      <c r="BW6145" t="str">
        <f>""</f>
        <v/>
      </c>
      <c r="CH6145" t="str">
        <f>""</f>
        <v/>
      </c>
      <c r="CS6145" t="str">
        <f>""</f>
        <v/>
      </c>
    </row>
    <row r="6146" spans="1:97" x14ac:dyDescent="0.25">
      <c r="A6146" t="s">
        <v>152</v>
      </c>
      <c r="B6146" t="s">
        <v>37319</v>
      </c>
      <c r="E6146" t="s">
        <v>37320</v>
      </c>
      <c r="F6146" t="s">
        <v>108</v>
      </c>
      <c r="H6146" t="s">
        <v>37321</v>
      </c>
      <c r="I6146" t="s">
        <v>390</v>
      </c>
      <c r="J6146" t="s">
        <v>111</v>
      </c>
      <c r="K6146" t="str">
        <f>"85006"</f>
        <v>85006</v>
      </c>
      <c r="L6146" t="s">
        <v>6691</v>
      </c>
      <c r="M6146" t="s">
        <v>37321</v>
      </c>
      <c r="N6146" t="s">
        <v>390</v>
      </c>
      <c r="O6146" t="s">
        <v>111</v>
      </c>
      <c r="P6146" t="str">
        <f>"85006-1008"</f>
        <v>85006-1008</v>
      </c>
      <c r="Q6146" t="s">
        <v>113</v>
      </c>
      <c r="R6146" t="str">
        <f>"117-29-135"</f>
        <v>117-29-135</v>
      </c>
      <c r="S6146" t="s">
        <v>25650</v>
      </c>
      <c r="T6146" t="s">
        <v>25651</v>
      </c>
      <c r="U6146">
        <v>1209</v>
      </c>
      <c r="V6146">
        <v>0</v>
      </c>
      <c r="W6146">
        <v>2</v>
      </c>
      <c r="X6146">
        <v>1945</v>
      </c>
      <c r="Z6146">
        <v>1</v>
      </c>
      <c r="AB6146">
        <v>0</v>
      </c>
      <c r="AC6146" t="s">
        <v>5188</v>
      </c>
      <c r="AD6146">
        <v>1</v>
      </c>
      <c r="AE6146" t="s">
        <v>5188</v>
      </c>
      <c r="AF6146">
        <v>0</v>
      </c>
      <c r="AG6146">
        <v>0</v>
      </c>
      <c r="AH6146" t="s">
        <v>116</v>
      </c>
      <c r="AI6146" s="1">
        <v>71246</v>
      </c>
      <c r="AJ6146" s="2">
        <v>0.2</v>
      </c>
      <c r="AK6146" s="1">
        <v>361246</v>
      </c>
      <c r="AL6146" t="s">
        <v>117</v>
      </c>
      <c r="AM6146" t="s">
        <v>191</v>
      </c>
      <c r="AN6146">
        <v>7767</v>
      </c>
      <c r="AO6146">
        <v>0.18</v>
      </c>
      <c r="AP6146">
        <v>1</v>
      </c>
      <c r="AR6146">
        <v>1</v>
      </c>
      <c r="AS6146" s="1">
        <v>12315</v>
      </c>
      <c r="AT6146" s="1">
        <v>2460</v>
      </c>
      <c r="AU6146" s="1">
        <v>9855</v>
      </c>
      <c r="AV6146">
        <v>80.02</v>
      </c>
      <c r="AX6146" s="1">
        <v>1161.78</v>
      </c>
      <c r="AY6146" t="s">
        <v>22774</v>
      </c>
      <c r="AZ6146" t="s">
        <v>22774</v>
      </c>
      <c r="BA6146" t="s">
        <v>8412</v>
      </c>
      <c r="BE6146" s="3">
        <v>42482</v>
      </c>
      <c r="BF6146" s="1">
        <v>290000</v>
      </c>
      <c r="BG6146" t="s">
        <v>37322</v>
      </c>
      <c r="BH6146" s="1">
        <v>222.56</v>
      </c>
      <c r="BI6146" s="1">
        <v>290000</v>
      </c>
      <c r="BJ6146" s="3">
        <v>42482</v>
      </c>
      <c r="BK6146" t="s">
        <v>123</v>
      </c>
      <c r="BL6146" t="str">
        <f>"2016.272783"</f>
        <v>2016.272783</v>
      </c>
      <c r="BM6146" t="s">
        <v>1033</v>
      </c>
      <c r="BO6146" t="s">
        <v>37323</v>
      </c>
      <c r="BS6146">
        <v>30</v>
      </c>
      <c r="BW6146" t="str">
        <f>""</f>
        <v/>
      </c>
      <c r="CH6146" t="str">
        <f>""</f>
        <v/>
      </c>
      <c r="CS6146" t="str">
        <f>""</f>
        <v/>
      </c>
    </row>
    <row r="6147" spans="1:97" x14ac:dyDescent="0.25">
      <c r="A6147" t="s">
        <v>37324</v>
      </c>
      <c r="B6147" t="s">
        <v>37325</v>
      </c>
      <c r="C6147" t="s">
        <v>1496</v>
      </c>
      <c r="D6147" t="s">
        <v>12491</v>
      </c>
      <c r="E6147" t="s">
        <v>37326</v>
      </c>
      <c r="F6147" t="s">
        <v>108</v>
      </c>
      <c r="H6147" t="s">
        <v>37327</v>
      </c>
      <c r="I6147" t="s">
        <v>5636</v>
      </c>
      <c r="J6147" t="s">
        <v>111</v>
      </c>
      <c r="K6147" t="str">
        <f>"85268"</f>
        <v>85268</v>
      </c>
      <c r="L6147" t="s">
        <v>168</v>
      </c>
      <c r="M6147" t="s">
        <v>37327</v>
      </c>
      <c r="N6147" t="s">
        <v>5636</v>
      </c>
      <c r="O6147" t="s">
        <v>111</v>
      </c>
      <c r="P6147" t="str">
        <f>"85268-3006"</f>
        <v>85268-3006</v>
      </c>
      <c r="Q6147" t="s">
        <v>113</v>
      </c>
      <c r="R6147" t="str">
        <f>"176-03-272"</f>
        <v>176-03-272</v>
      </c>
      <c r="S6147" t="s">
        <v>10825</v>
      </c>
      <c r="U6147">
        <v>2175</v>
      </c>
      <c r="V6147">
        <v>0</v>
      </c>
      <c r="W6147">
        <v>3</v>
      </c>
      <c r="X6147">
        <v>1986</v>
      </c>
      <c r="Z6147">
        <v>1</v>
      </c>
      <c r="AB6147">
        <v>0</v>
      </c>
      <c r="AC6147" t="s">
        <v>115</v>
      </c>
      <c r="AD6147">
        <v>2</v>
      </c>
      <c r="AE6147" t="s">
        <v>115</v>
      </c>
      <c r="AF6147">
        <v>0</v>
      </c>
      <c r="AG6147">
        <v>0</v>
      </c>
      <c r="AH6147" t="s">
        <v>116</v>
      </c>
      <c r="AI6147" s="1">
        <v>86482</v>
      </c>
      <c r="AJ6147" s="2">
        <v>0.21</v>
      </c>
      <c r="AK6147" s="1">
        <v>411482</v>
      </c>
      <c r="AL6147" t="s">
        <v>117</v>
      </c>
      <c r="AM6147" t="s">
        <v>171</v>
      </c>
      <c r="AN6147">
        <v>11195</v>
      </c>
      <c r="AO6147">
        <v>0.26</v>
      </c>
      <c r="AP6147">
        <v>1</v>
      </c>
      <c r="AR6147">
        <v>1</v>
      </c>
      <c r="AS6147" s="1">
        <v>27680</v>
      </c>
      <c r="AT6147" s="1">
        <v>5530</v>
      </c>
      <c r="AU6147" s="1">
        <v>22150</v>
      </c>
      <c r="AV6147">
        <v>80.02</v>
      </c>
      <c r="AX6147" s="1">
        <v>1658.54</v>
      </c>
      <c r="AY6147" t="s">
        <v>6485</v>
      </c>
      <c r="AZ6147" t="s">
        <v>5640</v>
      </c>
      <c r="BA6147" t="s">
        <v>5641</v>
      </c>
      <c r="BE6147" s="3">
        <v>41843</v>
      </c>
      <c r="BF6147" s="1">
        <v>325000</v>
      </c>
      <c r="BG6147" t="s">
        <v>37328</v>
      </c>
      <c r="BH6147" s="1">
        <v>149.43</v>
      </c>
      <c r="BI6147" s="1">
        <v>325000</v>
      </c>
      <c r="BJ6147" s="3">
        <v>41843</v>
      </c>
      <c r="BK6147" t="s">
        <v>123</v>
      </c>
      <c r="BL6147" t="str">
        <f>"2014.482205"</f>
        <v>2014.482205</v>
      </c>
      <c r="BM6147" t="s">
        <v>135</v>
      </c>
      <c r="BO6147" t="s">
        <v>37329</v>
      </c>
      <c r="BP6147" t="s">
        <v>37330</v>
      </c>
      <c r="BS6147">
        <v>30</v>
      </c>
      <c r="BW6147" t="str">
        <f>""</f>
        <v/>
      </c>
      <c r="CH6147" t="str">
        <f>""</f>
        <v/>
      </c>
      <c r="CS6147" t="str">
        <f>""</f>
        <v/>
      </c>
    </row>
    <row r="6148" spans="1:97" x14ac:dyDescent="0.25">
      <c r="A6148" t="s">
        <v>3187</v>
      </c>
      <c r="B6148" t="s">
        <v>37331</v>
      </c>
      <c r="C6148" t="s">
        <v>20843</v>
      </c>
      <c r="D6148" t="s">
        <v>37331</v>
      </c>
      <c r="E6148" t="s">
        <v>37332</v>
      </c>
      <c r="F6148" t="s">
        <v>108</v>
      </c>
      <c r="H6148" t="s">
        <v>37333</v>
      </c>
      <c r="I6148" t="s">
        <v>144</v>
      </c>
      <c r="J6148" t="s">
        <v>111</v>
      </c>
      <c r="K6148" t="str">
        <f>"85396"</f>
        <v>85396</v>
      </c>
      <c r="L6148" t="s">
        <v>7619</v>
      </c>
      <c r="M6148" t="s">
        <v>37333</v>
      </c>
      <c r="N6148" t="s">
        <v>144</v>
      </c>
      <c r="O6148" t="s">
        <v>111</v>
      </c>
      <c r="P6148" t="str">
        <f>"85396-9238"</f>
        <v>85396-9238</v>
      </c>
      <c r="Q6148" t="s">
        <v>113</v>
      </c>
      <c r="R6148" t="str">
        <f>"503-84-154"</f>
        <v>503-84-154</v>
      </c>
      <c r="S6148" t="s">
        <v>37334</v>
      </c>
      <c r="U6148">
        <v>1612</v>
      </c>
      <c r="V6148">
        <v>0</v>
      </c>
      <c r="W6148">
        <v>3</v>
      </c>
      <c r="X6148">
        <v>2006</v>
      </c>
      <c r="Z6148">
        <v>1</v>
      </c>
      <c r="AB6148">
        <v>0</v>
      </c>
      <c r="AC6148" t="s">
        <v>115</v>
      </c>
      <c r="AD6148">
        <v>3</v>
      </c>
      <c r="AE6148" t="s">
        <v>115</v>
      </c>
      <c r="AF6148">
        <v>0</v>
      </c>
      <c r="AG6148">
        <v>0</v>
      </c>
      <c r="AH6148" t="s">
        <v>116</v>
      </c>
      <c r="AI6148" s="1">
        <v>23894</v>
      </c>
      <c r="AJ6148" s="2">
        <v>0.08</v>
      </c>
      <c r="AK6148" s="1">
        <v>286276</v>
      </c>
      <c r="AL6148" t="s">
        <v>117</v>
      </c>
      <c r="AM6148" t="s">
        <v>118</v>
      </c>
      <c r="AN6148">
        <v>7363</v>
      </c>
      <c r="AO6148">
        <v>0.17</v>
      </c>
      <c r="AR6148">
        <v>1</v>
      </c>
      <c r="AS6148" s="1">
        <v>18850</v>
      </c>
      <c r="AT6148" s="1">
        <v>3770</v>
      </c>
      <c r="AU6148" s="1">
        <v>15080</v>
      </c>
      <c r="AV6148">
        <v>80</v>
      </c>
      <c r="AX6148" s="1">
        <v>2347.6999999999998</v>
      </c>
      <c r="AY6148" t="s">
        <v>444</v>
      </c>
      <c r="AZ6148" t="s">
        <v>444</v>
      </c>
      <c r="BA6148" t="s">
        <v>445</v>
      </c>
      <c r="BE6148" s="3">
        <v>42384</v>
      </c>
      <c r="BF6148" s="1">
        <v>245000</v>
      </c>
      <c r="BG6148" t="s">
        <v>37335</v>
      </c>
      <c r="BH6148" s="1">
        <v>151.99</v>
      </c>
      <c r="BI6148" s="1">
        <v>262382</v>
      </c>
      <c r="BJ6148" s="3">
        <v>43637</v>
      </c>
      <c r="BK6148" t="s">
        <v>123</v>
      </c>
      <c r="BL6148" t="str">
        <f>"2019.465676"</f>
        <v>2019.465676</v>
      </c>
      <c r="BM6148" t="s">
        <v>3562</v>
      </c>
      <c r="BN6148" t="s">
        <v>3686</v>
      </c>
      <c r="BO6148" t="s">
        <v>37336</v>
      </c>
      <c r="BP6148" t="s">
        <v>37337</v>
      </c>
      <c r="BR6148" t="s">
        <v>139</v>
      </c>
      <c r="BW6148" t="str">
        <f>""</f>
        <v/>
      </c>
      <c r="CH6148" t="str">
        <f>""</f>
        <v/>
      </c>
      <c r="CS6148" t="str">
        <f>""</f>
        <v/>
      </c>
    </row>
    <row r="6149" spans="1:97" x14ac:dyDescent="0.25">
      <c r="A6149" t="s">
        <v>370</v>
      </c>
      <c r="B6149" t="s">
        <v>37338</v>
      </c>
      <c r="C6149" t="s">
        <v>37339</v>
      </c>
      <c r="D6149" t="s">
        <v>37338</v>
      </c>
      <c r="E6149" t="s">
        <v>37340</v>
      </c>
      <c r="F6149" t="s">
        <v>108</v>
      </c>
      <c r="H6149" t="s">
        <v>37341</v>
      </c>
      <c r="I6149" t="s">
        <v>499</v>
      </c>
      <c r="J6149" t="s">
        <v>111</v>
      </c>
      <c r="K6149" t="str">
        <f>"85338"</f>
        <v>85338</v>
      </c>
      <c r="L6149" t="s">
        <v>6788</v>
      </c>
      <c r="M6149" t="s">
        <v>37341</v>
      </c>
      <c r="N6149" t="s">
        <v>499</v>
      </c>
      <c r="O6149" t="s">
        <v>111</v>
      </c>
      <c r="P6149" t="str">
        <f>"85338-1815"</f>
        <v>85338-1815</v>
      </c>
      <c r="Q6149" t="s">
        <v>113</v>
      </c>
      <c r="R6149" t="str">
        <f>"502-46-162"</f>
        <v>502-46-162</v>
      </c>
      <c r="S6149" t="s">
        <v>6789</v>
      </c>
      <c r="T6149" t="s">
        <v>6789</v>
      </c>
      <c r="U6149">
        <v>2561</v>
      </c>
      <c r="V6149">
        <v>0</v>
      </c>
      <c r="W6149">
        <v>2</v>
      </c>
      <c r="X6149">
        <v>2016</v>
      </c>
      <c r="Z6149">
        <v>1</v>
      </c>
      <c r="AB6149">
        <v>0</v>
      </c>
      <c r="AC6149" t="s">
        <v>115</v>
      </c>
      <c r="AD6149">
        <v>2</v>
      </c>
      <c r="AE6149" t="s">
        <v>115</v>
      </c>
      <c r="AF6149">
        <v>0</v>
      </c>
      <c r="AG6149">
        <v>0</v>
      </c>
      <c r="AH6149" t="s">
        <v>116</v>
      </c>
      <c r="AI6149" s="1">
        <v>107784</v>
      </c>
      <c r="AJ6149" s="2">
        <v>0.32</v>
      </c>
      <c r="AK6149" s="1">
        <v>340018</v>
      </c>
      <c r="AL6149" t="s">
        <v>117</v>
      </c>
      <c r="AM6149" t="s">
        <v>118</v>
      </c>
      <c r="AN6149">
        <v>8959</v>
      </c>
      <c r="AO6149">
        <v>0.21</v>
      </c>
      <c r="AR6149">
        <v>1</v>
      </c>
      <c r="AS6149" s="1">
        <v>23430</v>
      </c>
      <c r="AT6149" s="1">
        <v>4680</v>
      </c>
      <c r="AU6149" s="1">
        <v>18750</v>
      </c>
      <c r="AV6149">
        <v>80.03</v>
      </c>
      <c r="AX6149" s="1">
        <v>2128.6</v>
      </c>
      <c r="AY6149" t="s">
        <v>6790</v>
      </c>
      <c r="AZ6149" t="s">
        <v>6790</v>
      </c>
      <c r="BA6149" t="s">
        <v>218</v>
      </c>
      <c r="BE6149" s="3">
        <v>42460</v>
      </c>
      <c r="BF6149" s="1">
        <v>227347</v>
      </c>
      <c r="BG6149" t="s">
        <v>233</v>
      </c>
      <c r="BH6149" s="1">
        <v>88.77</v>
      </c>
      <c r="BI6149" s="1">
        <v>232234</v>
      </c>
      <c r="BJ6149" s="3">
        <v>42460</v>
      </c>
      <c r="BK6149" t="s">
        <v>123</v>
      </c>
      <c r="BL6149" t="str">
        <f>"2016.213671"</f>
        <v>2016.213671</v>
      </c>
      <c r="BM6149" t="s">
        <v>234</v>
      </c>
      <c r="BO6149" t="s">
        <v>37342</v>
      </c>
      <c r="BS6149">
        <v>30</v>
      </c>
      <c r="BW6149" t="str">
        <f>""</f>
        <v/>
      </c>
      <c r="CH6149" t="str">
        <f>""</f>
        <v/>
      </c>
      <c r="CS6149" t="str">
        <f>""</f>
        <v/>
      </c>
    </row>
    <row r="6150" spans="1:97" x14ac:dyDescent="0.25">
      <c r="A6150" t="s">
        <v>177</v>
      </c>
      <c r="B6150" t="s">
        <v>16905</v>
      </c>
      <c r="C6150" t="s">
        <v>9234</v>
      </c>
      <c r="D6150" t="s">
        <v>16905</v>
      </c>
      <c r="E6150" t="s">
        <v>37343</v>
      </c>
      <c r="F6150" t="s">
        <v>108</v>
      </c>
      <c r="H6150" t="s">
        <v>37344</v>
      </c>
      <c r="I6150" t="s">
        <v>499</v>
      </c>
      <c r="J6150" t="s">
        <v>111</v>
      </c>
      <c r="K6150" t="str">
        <f>"85395"</f>
        <v>85395</v>
      </c>
      <c r="L6150" t="s">
        <v>3885</v>
      </c>
      <c r="M6150" t="s">
        <v>37344</v>
      </c>
      <c r="N6150" t="s">
        <v>499</v>
      </c>
      <c r="O6150" t="s">
        <v>111</v>
      </c>
      <c r="P6150" t="str">
        <f>"85395-8359"</f>
        <v>85395-8359</v>
      </c>
      <c r="Q6150" t="s">
        <v>113</v>
      </c>
      <c r="R6150" t="str">
        <f>"501-70-545"</f>
        <v>501-70-545</v>
      </c>
      <c r="S6150" t="s">
        <v>10746</v>
      </c>
      <c r="T6150" t="s">
        <v>10747</v>
      </c>
      <c r="U6150">
        <v>2609</v>
      </c>
      <c r="V6150">
        <v>0</v>
      </c>
      <c r="W6150">
        <v>4</v>
      </c>
      <c r="X6150">
        <v>1999</v>
      </c>
      <c r="Z6150">
        <v>1</v>
      </c>
      <c r="AA6150" t="s">
        <v>26</v>
      </c>
      <c r="AB6150">
        <v>0</v>
      </c>
      <c r="AC6150" t="s">
        <v>115</v>
      </c>
      <c r="AD6150">
        <v>3</v>
      </c>
      <c r="AE6150" t="s">
        <v>115</v>
      </c>
      <c r="AF6150">
        <v>0</v>
      </c>
      <c r="AG6150">
        <v>0</v>
      </c>
      <c r="AH6150" t="s">
        <v>116</v>
      </c>
      <c r="AI6150" s="1">
        <v>19185</v>
      </c>
      <c r="AJ6150" s="2">
        <v>0.05</v>
      </c>
      <c r="AK6150" s="1">
        <v>360075</v>
      </c>
      <c r="AL6150" t="s">
        <v>117</v>
      </c>
      <c r="AM6150" t="s">
        <v>118</v>
      </c>
      <c r="AN6150">
        <v>10257</v>
      </c>
      <c r="AO6150">
        <v>0.24</v>
      </c>
      <c r="AP6150">
        <v>1</v>
      </c>
      <c r="AR6150">
        <v>1</v>
      </c>
      <c r="AS6150" s="1">
        <v>26160</v>
      </c>
      <c r="AT6150" s="1">
        <v>5230</v>
      </c>
      <c r="AU6150" s="1">
        <v>20930</v>
      </c>
      <c r="AV6150">
        <v>80.010000000000005</v>
      </c>
      <c r="AX6150" s="1">
        <v>3377</v>
      </c>
      <c r="AY6150" t="s">
        <v>3020</v>
      </c>
      <c r="AZ6150" t="s">
        <v>3020</v>
      </c>
      <c r="BA6150" t="s">
        <v>3154</v>
      </c>
      <c r="BE6150" s="3">
        <v>42524</v>
      </c>
      <c r="BF6150" s="1">
        <v>330000</v>
      </c>
      <c r="BG6150" t="s">
        <v>37345</v>
      </c>
      <c r="BH6150" s="1">
        <v>126.49</v>
      </c>
      <c r="BI6150" s="1">
        <v>340890</v>
      </c>
      <c r="BJ6150" s="3">
        <v>42524</v>
      </c>
      <c r="BK6150" t="s">
        <v>123</v>
      </c>
      <c r="BL6150" t="str">
        <f>"2016.386028"</f>
        <v>2016.386028</v>
      </c>
      <c r="BM6150" t="s">
        <v>2368</v>
      </c>
      <c r="BO6150" t="s">
        <v>37346</v>
      </c>
      <c r="BS6150">
        <v>30</v>
      </c>
      <c r="BW6150" t="str">
        <f>""</f>
        <v/>
      </c>
      <c r="CH6150" t="str">
        <f>""</f>
        <v/>
      </c>
      <c r="CS6150" t="str">
        <f>""</f>
        <v/>
      </c>
    </row>
    <row r="6151" spans="1:97" x14ac:dyDescent="0.25">
      <c r="A6151" t="s">
        <v>4364</v>
      </c>
      <c r="B6151" t="s">
        <v>37347</v>
      </c>
      <c r="E6151" t="s">
        <v>37348</v>
      </c>
      <c r="F6151" t="s">
        <v>108</v>
      </c>
      <c r="H6151" t="s">
        <v>37349</v>
      </c>
      <c r="I6151" t="s">
        <v>5387</v>
      </c>
      <c r="J6151" t="s">
        <v>111</v>
      </c>
      <c r="K6151" t="str">
        <f>"85283"</f>
        <v>85283</v>
      </c>
      <c r="L6151" t="s">
        <v>9737</v>
      </c>
      <c r="M6151" t="s">
        <v>37349</v>
      </c>
      <c r="N6151" t="s">
        <v>5387</v>
      </c>
      <c r="O6151" t="s">
        <v>111</v>
      </c>
      <c r="P6151" t="str">
        <f>"85283-2414"</f>
        <v>85283-2414</v>
      </c>
      <c r="Q6151" t="s">
        <v>113</v>
      </c>
      <c r="R6151" t="str">
        <f>"305-01-071"</f>
        <v>305-01-071</v>
      </c>
      <c r="S6151" t="s">
        <v>10740</v>
      </c>
      <c r="T6151" t="s">
        <v>9739</v>
      </c>
      <c r="U6151">
        <v>1572</v>
      </c>
      <c r="V6151">
        <v>0</v>
      </c>
      <c r="W6151">
        <v>2</v>
      </c>
      <c r="X6151">
        <v>1974</v>
      </c>
      <c r="Z6151">
        <v>1</v>
      </c>
      <c r="AA6151" t="s">
        <v>26</v>
      </c>
      <c r="AB6151">
        <v>0</v>
      </c>
      <c r="AC6151" t="s">
        <v>115</v>
      </c>
      <c r="AD6151">
        <v>2</v>
      </c>
      <c r="AE6151" t="s">
        <v>115</v>
      </c>
      <c r="AF6151">
        <v>0</v>
      </c>
      <c r="AG6151">
        <v>0</v>
      </c>
      <c r="AH6151" t="s">
        <v>116</v>
      </c>
      <c r="AI6151" s="1">
        <v>93533</v>
      </c>
      <c r="AJ6151" s="2">
        <v>0.28999999999999998</v>
      </c>
      <c r="AK6151" s="1">
        <v>322678</v>
      </c>
      <c r="AL6151" t="s">
        <v>117</v>
      </c>
      <c r="AM6151" t="s">
        <v>191</v>
      </c>
      <c r="AN6151">
        <v>7344</v>
      </c>
      <c r="AO6151">
        <v>0.17</v>
      </c>
      <c r="AP6151">
        <v>1</v>
      </c>
      <c r="AR6151">
        <v>1</v>
      </c>
      <c r="AS6151" s="1">
        <v>22280</v>
      </c>
      <c r="AT6151" s="1">
        <v>4450</v>
      </c>
      <c r="AU6151" s="1">
        <v>17830</v>
      </c>
      <c r="AV6151">
        <v>80.03</v>
      </c>
      <c r="AX6151" s="1">
        <v>2036.42</v>
      </c>
      <c r="AY6151" t="s">
        <v>9740</v>
      </c>
      <c r="AZ6151" t="s">
        <v>6726</v>
      </c>
      <c r="BA6151" t="s">
        <v>5392</v>
      </c>
      <c r="BE6151" s="3">
        <v>41863</v>
      </c>
      <c r="BF6151" s="1">
        <v>229000</v>
      </c>
      <c r="BG6151" t="s">
        <v>37350</v>
      </c>
      <c r="BH6151" s="1">
        <v>145.66999999999999</v>
      </c>
      <c r="BI6151" s="1">
        <v>229145</v>
      </c>
      <c r="BJ6151" s="3">
        <v>42565</v>
      </c>
      <c r="BK6151" t="s">
        <v>123</v>
      </c>
      <c r="BL6151" t="str">
        <f>"2016.496838"</f>
        <v>2016.496838</v>
      </c>
      <c r="BM6151" t="s">
        <v>402</v>
      </c>
      <c r="BO6151" t="s">
        <v>37351</v>
      </c>
      <c r="BS6151">
        <v>28</v>
      </c>
      <c r="BW6151" t="str">
        <f>""</f>
        <v/>
      </c>
      <c r="CH6151" t="str">
        <f>""</f>
        <v/>
      </c>
      <c r="CS6151" t="str">
        <f>""</f>
        <v/>
      </c>
    </row>
    <row r="6152" spans="1:97" x14ac:dyDescent="0.25">
      <c r="A6152" t="s">
        <v>37352</v>
      </c>
      <c r="B6152" t="s">
        <v>2761</v>
      </c>
      <c r="C6152" t="s">
        <v>37353</v>
      </c>
      <c r="D6152" t="s">
        <v>2761</v>
      </c>
      <c r="E6152" t="s">
        <v>37354</v>
      </c>
      <c r="F6152" t="s">
        <v>108</v>
      </c>
      <c r="H6152" t="s">
        <v>37355</v>
      </c>
      <c r="I6152" t="s">
        <v>110</v>
      </c>
      <c r="J6152" t="s">
        <v>111</v>
      </c>
      <c r="K6152" t="str">
        <f>"85225"</f>
        <v>85225</v>
      </c>
      <c r="L6152" t="s">
        <v>926</v>
      </c>
      <c r="M6152" t="s">
        <v>37355</v>
      </c>
      <c r="N6152" t="s">
        <v>110</v>
      </c>
      <c r="O6152" t="s">
        <v>111</v>
      </c>
      <c r="P6152" t="str">
        <f>"85225-9012"</f>
        <v>85225-9012</v>
      </c>
      <c r="Q6152" t="s">
        <v>113</v>
      </c>
      <c r="R6152" t="str">
        <f>"310-07-154"</f>
        <v>310-07-154</v>
      </c>
      <c r="S6152" t="s">
        <v>37356</v>
      </c>
      <c r="T6152" t="s">
        <v>7543</v>
      </c>
      <c r="U6152">
        <v>1627</v>
      </c>
      <c r="V6152">
        <v>0</v>
      </c>
      <c r="W6152">
        <v>3</v>
      </c>
      <c r="X6152">
        <v>1997</v>
      </c>
      <c r="Z6152">
        <v>1</v>
      </c>
      <c r="AB6152">
        <v>0</v>
      </c>
      <c r="AC6152" t="s">
        <v>115</v>
      </c>
      <c r="AD6152">
        <v>2</v>
      </c>
      <c r="AE6152" t="s">
        <v>115</v>
      </c>
      <c r="AF6152">
        <v>0</v>
      </c>
      <c r="AG6152">
        <v>0</v>
      </c>
      <c r="AH6152" t="s">
        <v>116</v>
      </c>
      <c r="AI6152" s="1">
        <v>77564</v>
      </c>
      <c r="AJ6152" s="2">
        <v>0.25</v>
      </c>
      <c r="AK6152" s="1">
        <v>308314</v>
      </c>
      <c r="AL6152" t="s">
        <v>117</v>
      </c>
      <c r="AM6152" t="s">
        <v>118</v>
      </c>
      <c r="AN6152">
        <v>5493</v>
      </c>
      <c r="AO6152">
        <v>0.13</v>
      </c>
      <c r="AP6152">
        <v>1</v>
      </c>
      <c r="AR6152">
        <v>1</v>
      </c>
      <c r="AS6152" s="1">
        <v>21130</v>
      </c>
      <c r="AT6152" s="1">
        <v>4220</v>
      </c>
      <c r="AU6152" s="1">
        <v>16910</v>
      </c>
      <c r="AV6152">
        <v>80.03</v>
      </c>
      <c r="AX6152" s="1">
        <v>1482.92</v>
      </c>
      <c r="AY6152" t="s">
        <v>2956</v>
      </c>
      <c r="AZ6152" t="s">
        <v>2906</v>
      </c>
      <c r="BA6152" t="s">
        <v>2957</v>
      </c>
      <c r="BE6152" s="3">
        <v>41830</v>
      </c>
      <c r="BF6152" s="1">
        <v>225900</v>
      </c>
      <c r="BG6152" t="s">
        <v>37357</v>
      </c>
      <c r="BH6152" s="1">
        <v>138.84</v>
      </c>
      <c r="BI6152" s="1">
        <v>230750</v>
      </c>
      <c r="BJ6152" s="3">
        <v>41830</v>
      </c>
      <c r="BK6152" t="s">
        <v>123</v>
      </c>
      <c r="BL6152" t="str">
        <f>"2014.450771"</f>
        <v>2014.450771</v>
      </c>
      <c r="BM6152" t="s">
        <v>1192</v>
      </c>
      <c r="BO6152" t="s">
        <v>37358</v>
      </c>
      <c r="BS6152">
        <v>30</v>
      </c>
      <c r="BW6152" t="str">
        <f>""</f>
        <v/>
      </c>
      <c r="CH6152" t="str">
        <f>""</f>
        <v/>
      </c>
      <c r="CS6152" t="str">
        <f>""</f>
        <v/>
      </c>
    </row>
    <row r="6153" spans="1:97" x14ac:dyDescent="0.25">
      <c r="A6153" t="s">
        <v>1938</v>
      </c>
      <c r="B6153" t="s">
        <v>3768</v>
      </c>
      <c r="C6153" t="s">
        <v>16024</v>
      </c>
      <c r="D6153" t="s">
        <v>3768</v>
      </c>
      <c r="E6153" t="s">
        <v>37359</v>
      </c>
      <c r="F6153" t="s">
        <v>108</v>
      </c>
      <c r="H6153" t="s">
        <v>37360</v>
      </c>
      <c r="I6153" t="s">
        <v>203</v>
      </c>
      <c r="J6153" t="s">
        <v>111</v>
      </c>
      <c r="K6153" t="str">
        <f>"85295"</f>
        <v>85295</v>
      </c>
      <c r="L6153" t="s">
        <v>7125</v>
      </c>
      <c r="M6153" t="s">
        <v>37360</v>
      </c>
      <c r="N6153" t="s">
        <v>203</v>
      </c>
      <c r="O6153" t="s">
        <v>111</v>
      </c>
      <c r="P6153" t="str">
        <f>"85295-2377"</f>
        <v>85295-2377</v>
      </c>
      <c r="Q6153" t="s">
        <v>113</v>
      </c>
      <c r="R6153" t="str">
        <f>"304-80-374"</f>
        <v>304-80-374</v>
      </c>
      <c r="S6153" t="s">
        <v>7127</v>
      </c>
      <c r="T6153" t="s">
        <v>7128</v>
      </c>
      <c r="U6153">
        <v>1684</v>
      </c>
      <c r="V6153">
        <v>0</v>
      </c>
      <c r="W6153">
        <v>4</v>
      </c>
      <c r="X6153">
        <v>2013</v>
      </c>
      <c r="Z6153">
        <v>2</v>
      </c>
      <c r="AB6153">
        <v>0</v>
      </c>
      <c r="AC6153" t="s">
        <v>115</v>
      </c>
      <c r="AD6153">
        <v>2</v>
      </c>
      <c r="AE6153" t="s">
        <v>115</v>
      </c>
      <c r="AF6153">
        <v>0</v>
      </c>
      <c r="AG6153">
        <v>0</v>
      </c>
      <c r="AH6153" t="s">
        <v>116</v>
      </c>
      <c r="AI6153" s="1">
        <v>40745</v>
      </c>
      <c r="AJ6153" s="2">
        <v>0.15</v>
      </c>
      <c r="AK6153" s="1">
        <v>265272</v>
      </c>
      <c r="AL6153" t="s">
        <v>117</v>
      </c>
      <c r="AM6153" t="s">
        <v>1315</v>
      </c>
      <c r="AN6153">
        <v>2400</v>
      </c>
      <c r="AO6153">
        <v>0.55000000000000004</v>
      </c>
      <c r="AR6153">
        <v>1</v>
      </c>
      <c r="AS6153" s="1">
        <v>19560</v>
      </c>
      <c r="AT6153" s="1">
        <v>3910</v>
      </c>
      <c r="AU6153" s="1">
        <v>15650</v>
      </c>
      <c r="AV6153">
        <v>80.010000000000005</v>
      </c>
      <c r="AX6153" s="1">
        <v>1732.08</v>
      </c>
      <c r="AY6153" t="s">
        <v>5087</v>
      </c>
      <c r="AZ6153" t="s">
        <v>5087</v>
      </c>
      <c r="BA6153" t="s">
        <v>473</v>
      </c>
      <c r="BE6153" s="3">
        <v>41725</v>
      </c>
      <c r="BF6153" s="1">
        <v>211625</v>
      </c>
      <c r="BG6153" t="s">
        <v>749</v>
      </c>
      <c r="BH6153" s="1">
        <v>125.67</v>
      </c>
      <c r="BI6153" s="1">
        <v>224527</v>
      </c>
      <c r="BJ6153" s="3">
        <v>42697</v>
      </c>
      <c r="BK6153" t="s">
        <v>123</v>
      </c>
      <c r="BL6153" t="str">
        <f>"2016.865765"</f>
        <v>2016.865765</v>
      </c>
      <c r="BM6153" t="s">
        <v>2181</v>
      </c>
      <c r="BO6153" t="s">
        <v>37361</v>
      </c>
      <c r="BS6153">
        <v>30</v>
      </c>
      <c r="BW6153" t="str">
        <f>""</f>
        <v/>
      </c>
      <c r="CH6153" t="str">
        <f>""</f>
        <v/>
      </c>
      <c r="CS6153" t="str">
        <f>""</f>
        <v/>
      </c>
    </row>
    <row r="6154" spans="1:97" x14ac:dyDescent="0.25">
      <c r="A6154" t="s">
        <v>152</v>
      </c>
      <c r="B6154" t="s">
        <v>37362</v>
      </c>
      <c r="C6154" t="s">
        <v>2184</v>
      </c>
      <c r="D6154" t="s">
        <v>37363</v>
      </c>
      <c r="E6154" t="s">
        <v>37364</v>
      </c>
      <c r="F6154" t="s">
        <v>108</v>
      </c>
      <c r="H6154" t="s">
        <v>37365</v>
      </c>
      <c r="I6154" t="s">
        <v>632</v>
      </c>
      <c r="J6154" t="s">
        <v>111</v>
      </c>
      <c r="K6154" t="str">
        <f>"85379"</f>
        <v>85379</v>
      </c>
      <c r="L6154" t="s">
        <v>454</v>
      </c>
      <c r="M6154" t="s">
        <v>37365</v>
      </c>
      <c r="N6154" t="s">
        <v>632</v>
      </c>
      <c r="O6154" t="s">
        <v>111</v>
      </c>
      <c r="P6154" t="str">
        <f>"85379-1049"</f>
        <v>85379-1049</v>
      </c>
      <c r="Q6154" t="s">
        <v>113</v>
      </c>
      <c r="R6154" t="str">
        <f>"501-46-745"</f>
        <v>501-46-745</v>
      </c>
      <c r="S6154" t="s">
        <v>5319</v>
      </c>
      <c r="U6154">
        <v>3185</v>
      </c>
      <c r="V6154">
        <v>0</v>
      </c>
      <c r="W6154">
        <v>3</v>
      </c>
      <c r="X6154">
        <v>2012</v>
      </c>
      <c r="Z6154">
        <v>2</v>
      </c>
      <c r="AB6154">
        <v>0</v>
      </c>
      <c r="AC6154" t="s">
        <v>115</v>
      </c>
      <c r="AD6154">
        <v>3</v>
      </c>
      <c r="AE6154" t="s">
        <v>115</v>
      </c>
      <c r="AF6154">
        <v>0</v>
      </c>
      <c r="AG6154">
        <v>0</v>
      </c>
      <c r="AH6154" t="s">
        <v>116</v>
      </c>
      <c r="AI6154" s="1">
        <v>103970</v>
      </c>
      <c r="AJ6154" s="2">
        <v>0.28000000000000003</v>
      </c>
      <c r="AK6154" s="1">
        <v>370407</v>
      </c>
      <c r="AL6154" t="s">
        <v>117</v>
      </c>
      <c r="AM6154" t="s">
        <v>118</v>
      </c>
      <c r="AN6154">
        <v>8050</v>
      </c>
      <c r="AO6154">
        <v>0.18</v>
      </c>
      <c r="AR6154">
        <v>1</v>
      </c>
      <c r="AS6154" s="1">
        <v>27070</v>
      </c>
      <c r="AT6154" s="1">
        <v>5410</v>
      </c>
      <c r="AU6154" s="1">
        <v>21660</v>
      </c>
      <c r="AV6154">
        <v>80.010000000000005</v>
      </c>
      <c r="AX6154" s="1">
        <v>2337.56</v>
      </c>
      <c r="AY6154" t="s">
        <v>5060</v>
      </c>
      <c r="AZ6154" t="s">
        <v>5060</v>
      </c>
      <c r="BA6154" t="s">
        <v>5061</v>
      </c>
      <c r="BE6154" s="3">
        <v>41890</v>
      </c>
      <c r="BF6154" s="1">
        <v>304500</v>
      </c>
      <c r="BG6154" t="s">
        <v>37366</v>
      </c>
      <c r="BH6154" s="1">
        <v>95.6</v>
      </c>
      <c r="BI6154" s="1">
        <v>266437</v>
      </c>
      <c r="BJ6154" s="3">
        <v>41890</v>
      </c>
      <c r="BK6154" t="s">
        <v>123</v>
      </c>
      <c r="BL6154" t="str">
        <f>"2014.593356"</f>
        <v>2014.593356</v>
      </c>
      <c r="BM6154" t="s">
        <v>2578</v>
      </c>
      <c r="BO6154" t="s">
        <v>37367</v>
      </c>
      <c r="BP6154" t="s">
        <v>37368</v>
      </c>
      <c r="BS6154">
        <v>30</v>
      </c>
      <c r="BW6154" t="str">
        <f>""</f>
        <v/>
      </c>
      <c r="CH6154" t="str">
        <f>""</f>
        <v/>
      </c>
      <c r="CS6154" t="str">
        <f>""</f>
        <v/>
      </c>
    </row>
    <row r="6155" spans="1:97" x14ac:dyDescent="0.25">
      <c r="A6155" t="s">
        <v>943</v>
      </c>
      <c r="B6155" t="s">
        <v>21479</v>
      </c>
      <c r="C6155" t="s">
        <v>37369</v>
      </c>
      <c r="D6155" t="s">
        <v>21479</v>
      </c>
      <c r="E6155" t="s">
        <v>37370</v>
      </c>
      <c r="F6155" t="s">
        <v>108</v>
      </c>
      <c r="H6155" t="s">
        <v>37371</v>
      </c>
      <c r="I6155" t="s">
        <v>390</v>
      </c>
      <c r="J6155" t="s">
        <v>111</v>
      </c>
      <c r="K6155" t="str">
        <f>"85032"</f>
        <v>85032</v>
      </c>
      <c r="L6155" t="s">
        <v>2547</v>
      </c>
      <c r="M6155" t="s">
        <v>37371</v>
      </c>
      <c r="N6155" t="s">
        <v>390</v>
      </c>
      <c r="O6155" t="s">
        <v>111</v>
      </c>
      <c r="P6155" t="str">
        <f>"85032-6940"</f>
        <v>85032-6940</v>
      </c>
      <c r="Q6155" t="s">
        <v>113</v>
      </c>
      <c r="R6155" t="str">
        <f>"166-54-432"</f>
        <v>166-54-432</v>
      </c>
      <c r="S6155" t="s">
        <v>34327</v>
      </c>
      <c r="T6155" t="s">
        <v>33333</v>
      </c>
      <c r="U6155">
        <v>1700</v>
      </c>
      <c r="V6155">
        <v>0</v>
      </c>
      <c r="W6155">
        <v>2</v>
      </c>
      <c r="X6155">
        <v>1972</v>
      </c>
      <c r="Z6155">
        <v>1</v>
      </c>
      <c r="AA6155" t="s">
        <v>26</v>
      </c>
      <c r="AB6155">
        <v>0</v>
      </c>
      <c r="AC6155" t="s">
        <v>115</v>
      </c>
      <c r="AD6155">
        <v>2</v>
      </c>
      <c r="AE6155" t="s">
        <v>115</v>
      </c>
      <c r="AF6155">
        <v>0</v>
      </c>
      <c r="AG6155">
        <v>0</v>
      </c>
      <c r="AH6155" t="s">
        <v>116</v>
      </c>
      <c r="AI6155" s="1">
        <v>54828</v>
      </c>
      <c r="AJ6155" s="2">
        <v>0.17</v>
      </c>
      <c r="AK6155" s="1">
        <v>323408</v>
      </c>
      <c r="AL6155" t="s">
        <v>117</v>
      </c>
      <c r="AM6155" t="s">
        <v>191</v>
      </c>
      <c r="AN6155">
        <v>7927</v>
      </c>
      <c r="AO6155">
        <v>0.18</v>
      </c>
      <c r="AP6155">
        <v>1</v>
      </c>
      <c r="AR6155">
        <v>1</v>
      </c>
      <c r="AS6155" s="1">
        <v>21750</v>
      </c>
      <c r="AT6155" s="1">
        <v>4350</v>
      </c>
      <c r="AU6155" s="1">
        <v>17400</v>
      </c>
      <c r="AV6155">
        <v>80</v>
      </c>
      <c r="AX6155" s="1">
        <v>1325.9</v>
      </c>
      <c r="AY6155" t="s">
        <v>6904</v>
      </c>
      <c r="AZ6155" t="s">
        <v>5489</v>
      </c>
      <c r="BA6155" t="s">
        <v>5232</v>
      </c>
      <c r="BE6155" s="3">
        <v>41677</v>
      </c>
      <c r="BF6155" s="1">
        <v>260000</v>
      </c>
      <c r="BG6155" t="s">
        <v>37372</v>
      </c>
      <c r="BH6155" s="1">
        <v>152.94</v>
      </c>
      <c r="BI6155" s="1">
        <v>268580</v>
      </c>
      <c r="BJ6155" s="3">
        <v>41677</v>
      </c>
      <c r="BK6155" t="s">
        <v>123</v>
      </c>
      <c r="BL6155" t="str">
        <f>"2014.82864"</f>
        <v>2014.82864</v>
      </c>
      <c r="BM6155" t="s">
        <v>475</v>
      </c>
      <c r="BO6155" t="s">
        <v>37373</v>
      </c>
      <c r="BS6155">
        <v>30</v>
      </c>
      <c r="BW6155" t="str">
        <f>""</f>
        <v/>
      </c>
      <c r="CH6155" t="str">
        <f>""</f>
        <v/>
      </c>
      <c r="CS6155" t="str">
        <f>""</f>
        <v/>
      </c>
    </row>
    <row r="6156" spans="1:97" x14ac:dyDescent="0.25">
      <c r="A6156" t="s">
        <v>1406</v>
      </c>
      <c r="B6156" t="s">
        <v>19673</v>
      </c>
      <c r="C6156" t="s">
        <v>1252</v>
      </c>
      <c r="D6156" t="s">
        <v>15419</v>
      </c>
      <c r="E6156" t="s">
        <v>37374</v>
      </c>
      <c r="F6156" t="s">
        <v>108</v>
      </c>
      <c r="H6156" t="s">
        <v>37375</v>
      </c>
      <c r="I6156" t="s">
        <v>499</v>
      </c>
      <c r="J6156" t="s">
        <v>111</v>
      </c>
      <c r="K6156" t="str">
        <f>"85338"</f>
        <v>85338</v>
      </c>
      <c r="L6156" t="s">
        <v>6308</v>
      </c>
      <c r="M6156" t="s">
        <v>37375</v>
      </c>
      <c r="N6156" t="s">
        <v>499</v>
      </c>
      <c r="O6156" t="s">
        <v>111</v>
      </c>
      <c r="P6156" t="str">
        <f>"85338-7741"</f>
        <v>85338-7741</v>
      </c>
      <c r="Q6156" t="s">
        <v>113</v>
      </c>
      <c r="R6156" t="str">
        <f>"400-83-425"</f>
        <v>400-83-425</v>
      </c>
      <c r="S6156" t="s">
        <v>6774</v>
      </c>
      <c r="T6156" t="s">
        <v>6775</v>
      </c>
      <c r="U6156">
        <v>2379</v>
      </c>
      <c r="V6156">
        <v>0</v>
      </c>
      <c r="W6156">
        <v>0</v>
      </c>
      <c r="X6156">
        <v>2013</v>
      </c>
      <c r="Z6156">
        <v>1</v>
      </c>
      <c r="AB6156">
        <v>0</v>
      </c>
      <c r="AC6156" t="s">
        <v>115</v>
      </c>
      <c r="AD6156">
        <v>3</v>
      </c>
      <c r="AE6156" t="s">
        <v>115</v>
      </c>
      <c r="AF6156">
        <v>0</v>
      </c>
      <c r="AG6156">
        <v>0</v>
      </c>
      <c r="AH6156" t="s">
        <v>116</v>
      </c>
      <c r="AI6156" s="1">
        <v>18578</v>
      </c>
      <c r="AJ6156" s="2">
        <v>0.05</v>
      </c>
      <c r="AK6156" s="1">
        <v>381578</v>
      </c>
      <c r="AL6156" t="s">
        <v>117</v>
      </c>
      <c r="AM6156" t="s">
        <v>118</v>
      </c>
      <c r="AN6156">
        <v>8379</v>
      </c>
      <c r="AO6156">
        <v>0.19</v>
      </c>
      <c r="AR6156">
        <v>1</v>
      </c>
      <c r="AS6156" s="1">
        <v>26780</v>
      </c>
      <c r="AT6156" s="1">
        <v>5350</v>
      </c>
      <c r="AU6156" s="1">
        <v>21430</v>
      </c>
      <c r="AV6156">
        <v>80.02</v>
      </c>
      <c r="AX6156" s="1">
        <v>3183.96</v>
      </c>
      <c r="AY6156" t="s">
        <v>1246</v>
      </c>
      <c r="AZ6156" t="s">
        <v>1246</v>
      </c>
      <c r="BA6156" t="s">
        <v>1247</v>
      </c>
      <c r="BE6156" s="3">
        <v>41899</v>
      </c>
      <c r="BF6156" s="1">
        <v>287987</v>
      </c>
      <c r="BG6156" t="s">
        <v>2780</v>
      </c>
      <c r="BH6156" s="1">
        <v>121.05</v>
      </c>
      <c r="BI6156" s="1">
        <v>363000</v>
      </c>
      <c r="BJ6156" s="3">
        <v>43565</v>
      </c>
      <c r="BK6156" t="s">
        <v>123</v>
      </c>
      <c r="BL6156" t="str">
        <f>"2019.253057"</f>
        <v>2019.253057</v>
      </c>
      <c r="BM6156" t="s">
        <v>4672</v>
      </c>
      <c r="BN6156" t="s">
        <v>1922</v>
      </c>
      <c r="BO6156" t="s">
        <v>37376</v>
      </c>
      <c r="BP6156" t="s">
        <v>37377</v>
      </c>
      <c r="BR6156" t="s">
        <v>139</v>
      </c>
      <c r="BW6156" t="str">
        <f>""</f>
        <v/>
      </c>
      <c r="CH6156" t="str">
        <f>""</f>
        <v/>
      </c>
      <c r="CS6156" t="str">
        <f>""</f>
        <v/>
      </c>
    </row>
    <row r="6157" spans="1:97" x14ac:dyDescent="0.25">
      <c r="A6157" t="s">
        <v>37378</v>
      </c>
      <c r="B6157" t="s">
        <v>3333</v>
      </c>
      <c r="C6157" t="s">
        <v>2930</v>
      </c>
      <c r="D6157" t="s">
        <v>37379</v>
      </c>
      <c r="E6157" t="s">
        <v>37380</v>
      </c>
      <c r="F6157" t="s">
        <v>108</v>
      </c>
      <c r="H6157" t="s">
        <v>37381</v>
      </c>
      <c r="I6157" t="s">
        <v>5523</v>
      </c>
      <c r="J6157" t="s">
        <v>111</v>
      </c>
      <c r="K6157" t="str">
        <f>"85351"</f>
        <v>85351</v>
      </c>
      <c r="L6157" t="s">
        <v>6631</v>
      </c>
      <c r="M6157" t="s">
        <v>37381</v>
      </c>
      <c r="N6157" t="s">
        <v>5523</v>
      </c>
      <c r="O6157" t="s">
        <v>111</v>
      </c>
      <c r="P6157" t="str">
        <f>"85351-1612"</f>
        <v>85351-1612</v>
      </c>
      <c r="Q6157" t="s">
        <v>113</v>
      </c>
      <c r="R6157" t="str">
        <f>"200-92-198"</f>
        <v>200-92-198</v>
      </c>
      <c r="S6157" t="s">
        <v>18588</v>
      </c>
      <c r="U6157">
        <v>1897</v>
      </c>
      <c r="V6157">
        <v>0</v>
      </c>
      <c r="W6157">
        <v>2</v>
      </c>
      <c r="X6157">
        <v>1972</v>
      </c>
      <c r="Z6157">
        <v>1</v>
      </c>
      <c r="AB6157">
        <v>0</v>
      </c>
      <c r="AC6157" t="s">
        <v>115</v>
      </c>
      <c r="AD6157">
        <v>2</v>
      </c>
      <c r="AE6157" t="s">
        <v>115</v>
      </c>
      <c r="AF6157">
        <v>0</v>
      </c>
      <c r="AG6157">
        <v>0</v>
      </c>
      <c r="AH6157" t="s">
        <v>116</v>
      </c>
      <c r="AI6157" s="1">
        <v>37168</v>
      </c>
      <c r="AJ6157" s="2">
        <v>0.14000000000000001</v>
      </c>
      <c r="AK6157" s="1">
        <v>272168</v>
      </c>
      <c r="AL6157" t="s">
        <v>117</v>
      </c>
      <c r="AM6157" t="s">
        <v>191</v>
      </c>
      <c r="AN6157">
        <v>10179</v>
      </c>
      <c r="AO6157">
        <v>0.23</v>
      </c>
      <c r="AP6157">
        <v>1</v>
      </c>
      <c r="AR6157">
        <v>1</v>
      </c>
      <c r="AS6157" s="1">
        <v>15700</v>
      </c>
      <c r="AT6157" s="1">
        <v>3140</v>
      </c>
      <c r="AU6157" s="1">
        <v>12560</v>
      </c>
      <c r="AV6157">
        <v>80</v>
      </c>
      <c r="AX6157" s="1">
        <v>1097.2</v>
      </c>
      <c r="AY6157" t="s">
        <v>5573</v>
      </c>
      <c r="AZ6157" t="s">
        <v>5573</v>
      </c>
      <c r="BA6157" t="s">
        <v>3360</v>
      </c>
      <c r="BE6157" s="3">
        <v>42090</v>
      </c>
      <c r="BF6157" s="1">
        <v>194500</v>
      </c>
      <c r="BG6157" t="s">
        <v>37382</v>
      </c>
      <c r="BH6157" s="1">
        <v>102.53</v>
      </c>
      <c r="BI6157" s="1">
        <v>235000</v>
      </c>
      <c r="BJ6157" s="3">
        <v>43432</v>
      </c>
      <c r="BK6157" t="s">
        <v>123</v>
      </c>
      <c r="BL6157" t="str">
        <f>"2018.873984"</f>
        <v>2018.873984</v>
      </c>
      <c r="BM6157" t="s">
        <v>1915</v>
      </c>
      <c r="BN6157" t="s">
        <v>1916</v>
      </c>
      <c r="BO6157" t="s">
        <v>37383</v>
      </c>
      <c r="BP6157" t="s">
        <v>37384</v>
      </c>
      <c r="BR6157" t="s">
        <v>139</v>
      </c>
      <c r="BW6157" t="str">
        <f>""</f>
        <v/>
      </c>
      <c r="CH6157" t="str">
        <f>""</f>
        <v/>
      </c>
      <c r="CS6157" t="str">
        <f>""</f>
        <v/>
      </c>
    </row>
    <row r="6158" spans="1:97" x14ac:dyDescent="0.25">
      <c r="A6158" t="s">
        <v>2433</v>
      </c>
      <c r="B6158" t="s">
        <v>25632</v>
      </c>
      <c r="C6158" t="s">
        <v>1170</v>
      </c>
      <c r="D6158" t="s">
        <v>25632</v>
      </c>
      <c r="E6158" t="s">
        <v>37385</v>
      </c>
      <c r="F6158" t="s">
        <v>108</v>
      </c>
      <c r="H6158" t="s">
        <v>37386</v>
      </c>
      <c r="I6158" t="s">
        <v>390</v>
      </c>
      <c r="J6158" t="s">
        <v>111</v>
      </c>
      <c r="K6158" t="str">
        <f>"85050"</f>
        <v>85050</v>
      </c>
      <c r="L6158" t="s">
        <v>9871</v>
      </c>
      <c r="M6158" t="s">
        <v>37386</v>
      </c>
      <c r="N6158" t="s">
        <v>390</v>
      </c>
      <c r="O6158" t="s">
        <v>111</v>
      </c>
      <c r="P6158" t="str">
        <f>"85050-4710"</f>
        <v>85050-4710</v>
      </c>
      <c r="Q6158" t="s">
        <v>113</v>
      </c>
      <c r="R6158" t="str">
        <f>"213-12-030"</f>
        <v>213-12-030</v>
      </c>
      <c r="S6158" t="s">
        <v>33082</v>
      </c>
      <c r="T6158" t="s">
        <v>24580</v>
      </c>
      <c r="U6158">
        <v>2096</v>
      </c>
      <c r="V6158">
        <v>0</v>
      </c>
      <c r="W6158">
        <v>4</v>
      </c>
      <c r="X6158">
        <v>1994</v>
      </c>
      <c r="Z6158">
        <v>2</v>
      </c>
      <c r="AA6158" t="s">
        <v>26</v>
      </c>
      <c r="AB6158">
        <v>0</v>
      </c>
      <c r="AC6158" t="s">
        <v>115</v>
      </c>
      <c r="AD6158">
        <v>2</v>
      </c>
      <c r="AE6158" t="s">
        <v>115</v>
      </c>
      <c r="AF6158">
        <v>0</v>
      </c>
      <c r="AG6158">
        <v>0</v>
      </c>
      <c r="AH6158" t="s">
        <v>116</v>
      </c>
      <c r="AI6158" s="1">
        <v>45666</v>
      </c>
      <c r="AJ6158" s="2">
        <v>0.13</v>
      </c>
      <c r="AK6158" s="1">
        <v>360185</v>
      </c>
      <c r="AL6158" t="s">
        <v>117</v>
      </c>
      <c r="AM6158" t="s">
        <v>1315</v>
      </c>
      <c r="AN6158">
        <v>5783</v>
      </c>
      <c r="AO6158">
        <v>0.13</v>
      </c>
      <c r="AP6158">
        <v>1</v>
      </c>
      <c r="AR6158">
        <v>1</v>
      </c>
      <c r="AS6158" s="1">
        <v>26730</v>
      </c>
      <c r="AT6158" s="1">
        <v>5340</v>
      </c>
      <c r="AU6158" s="1">
        <v>21390</v>
      </c>
      <c r="AV6158">
        <v>80.02</v>
      </c>
      <c r="AX6158" s="1">
        <v>2266.12</v>
      </c>
      <c r="AY6158" t="s">
        <v>5710</v>
      </c>
      <c r="AZ6158" t="s">
        <v>761</v>
      </c>
      <c r="BA6158" t="s">
        <v>762</v>
      </c>
      <c r="BE6158" s="3">
        <v>42391</v>
      </c>
      <c r="BF6158" s="1">
        <v>307900</v>
      </c>
      <c r="BG6158" t="s">
        <v>37387</v>
      </c>
      <c r="BH6158" s="1">
        <v>146.9</v>
      </c>
      <c r="BI6158" s="1">
        <v>314519</v>
      </c>
      <c r="BJ6158" s="3">
        <v>42391</v>
      </c>
      <c r="BK6158" t="s">
        <v>123</v>
      </c>
      <c r="BL6158" t="str">
        <f>"2016.43448"</f>
        <v>2016.43448</v>
      </c>
      <c r="BM6158" t="s">
        <v>475</v>
      </c>
      <c r="BO6158" t="s">
        <v>37388</v>
      </c>
      <c r="BS6158">
        <v>30</v>
      </c>
      <c r="BW6158" t="str">
        <f>""</f>
        <v/>
      </c>
      <c r="CH6158" t="str">
        <f>""</f>
        <v/>
      </c>
      <c r="CS6158" t="str">
        <f>""</f>
        <v/>
      </c>
    </row>
    <row r="6159" spans="1:97" x14ac:dyDescent="0.25">
      <c r="A6159" t="s">
        <v>243</v>
      </c>
      <c r="B6159" t="s">
        <v>37389</v>
      </c>
      <c r="C6159" t="s">
        <v>976</v>
      </c>
      <c r="D6159" t="s">
        <v>37389</v>
      </c>
      <c r="E6159" t="s">
        <v>37390</v>
      </c>
      <c r="F6159" t="s">
        <v>108</v>
      </c>
      <c r="H6159" t="s">
        <v>37391</v>
      </c>
      <c r="I6159" t="s">
        <v>453</v>
      </c>
      <c r="J6159" t="s">
        <v>111</v>
      </c>
      <c r="K6159" t="str">
        <f>"85381"</f>
        <v>85381</v>
      </c>
      <c r="L6159" t="s">
        <v>6333</v>
      </c>
      <c r="M6159" t="s">
        <v>37391</v>
      </c>
      <c r="N6159" t="s">
        <v>453</v>
      </c>
      <c r="O6159" t="s">
        <v>111</v>
      </c>
      <c r="P6159" t="str">
        <f>"85381-8502"</f>
        <v>85381-8502</v>
      </c>
      <c r="Q6159" t="s">
        <v>113</v>
      </c>
      <c r="R6159" t="str">
        <f>"200-62-252"</f>
        <v>200-62-252</v>
      </c>
      <c r="S6159" t="s">
        <v>24488</v>
      </c>
      <c r="T6159" t="s">
        <v>24489</v>
      </c>
      <c r="U6159">
        <v>2336</v>
      </c>
      <c r="V6159">
        <v>0</v>
      </c>
      <c r="W6159">
        <v>4</v>
      </c>
      <c r="X6159">
        <v>1995</v>
      </c>
      <c r="Z6159">
        <v>2</v>
      </c>
      <c r="AA6159" t="s">
        <v>26</v>
      </c>
      <c r="AB6159">
        <v>0</v>
      </c>
      <c r="AC6159" t="s">
        <v>115</v>
      </c>
      <c r="AD6159">
        <v>2</v>
      </c>
      <c r="AE6159" t="s">
        <v>115</v>
      </c>
      <c r="AF6159">
        <v>0</v>
      </c>
      <c r="AG6159">
        <v>0</v>
      </c>
      <c r="AH6159" t="s">
        <v>116</v>
      </c>
      <c r="AI6159" s="1">
        <v>86129</v>
      </c>
      <c r="AJ6159" s="2">
        <v>0.25</v>
      </c>
      <c r="AK6159" s="1">
        <v>350891</v>
      </c>
      <c r="AL6159" t="s">
        <v>117</v>
      </c>
      <c r="AM6159" t="s">
        <v>171</v>
      </c>
      <c r="AN6159">
        <v>7419</v>
      </c>
      <c r="AO6159">
        <v>0.17</v>
      </c>
      <c r="AP6159">
        <v>1</v>
      </c>
      <c r="AR6159">
        <v>1</v>
      </c>
      <c r="AS6159" s="1">
        <v>22870</v>
      </c>
      <c r="AT6159" s="1">
        <v>4570</v>
      </c>
      <c r="AU6159" s="1">
        <v>18300</v>
      </c>
      <c r="AV6159">
        <v>80.02</v>
      </c>
      <c r="AX6159" s="1">
        <v>1884.48</v>
      </c>
      <c r="AY6159" t="s">
        <v>1799</v>
      </c>
      <c r="AZ6159" t="s">
        <v>1799</v>
      </c>
      <c r="BA6159" t="s">
        <v>1800</v>
      </c>
      <c r="BE6159" s="3">
        <v>41922</v>
      </c>
      <c r="BF6159" s="1">
        <v>259900</v>
      </c>
      <c r="BG6159" t="s">
        <v>37392</v>
      </c>
      <c r="BH6159" s="1">
        <v>111.26</v>
      </c>
      <c r="BI6159" s="1">
        <v>254762</v>
      </c>
      <c r="BJ6159" s="3">
        <v>41922</v>
      </c>
      <c r="BK6159" t="s">
        <v>123</v>
      </c>
      <c r="BL6159" t="str">
        <f>"2014.672294"</f>
        <v>2014.672294</v>
      </c>
      <c r="BM6159" t="s">
        <v>1227</v>
      </c>
      <c r="BN6159" t="s">
        <v>24042</v>
      </c>
      <c r="BO6159" t="s">
        <v>37393</v>
      </c>
      <c r="BS6159">
        <v>30</v>
      </c>
      <c r="BT6159" s="1">
        <v>10000</v>
      </c>
      <c r="BU6159" s="3">
        <v>43284</v>
      </c>
      <c r="BW6159" t="str">
        <f>"2018.506850"</f>
        <v>2018.506850</v>
      </c>
      <c r="BX6159" t="s">
        <v>1227</v>
      </c>
      <c r="BY6159" t="s">
        <v>739</v>
      </c>
      <c r="BZ6159" t="s">
        <v>37394</v>
      </c>
      <c r="CA6159" t="s">
        <v>37395</v>
      </c>
      <c r="CC6159" t="s">
        <v>346</v>
      </c>
      <c r="CH6159" t="str">
        <f>""</f>
        <v/>
      </c>
      <c r="CS6159" t="str">
        <f>""</f>
        <v/>
      </c>
    </row>
    <row r="6160" spans="1:97" x14ac:dyDescent="0.25">
      <c r="B6160" t="s">
        <v>37396</v>
      </c>
      <c r="E6160" t="s">
        <v>37397</v>
      </c>
      <c r="F6160" t="s">
        <v>108</v>
      </c>
      <c r="H6160" t="s">
        <v>37398</v>
      </c>
      <c r="I6160" t="s">
        <v>5387</v>
      </c>
      <c r="J6160" t="s">
        <v>111</v>
      </c>
      <c r="K6160" t="str">
        <f>"85283"</f>
        <v>85283</v>
      </c>
      <c r="L6160" t="s">
        <v>5248</v>
      </c>
      <c r="M6160" t="s">
        <v>37398</v>
      </c>
      <c r="N6160" t="s">
        <v>5387</v>
      </c>
      <c r="O6160" t="s">
        <v>111</v>
      </c>
      <c r="P6160" t="str">
        <f>"85283-3805"</f>
        <v>85283-3805</v>
      </c>
      <c r="Q6160" t="s">
        <v>113</v>
      </c>
      <c r="R6160" t="str">
        <f>"301-48-328"</f>
        <v>301-48-328</v>
      </c>
      <c r="S6160" t="s">
        <v>37399</v>
      </c>
      <c r="U6160">
        <v>2998</v>
      </c>
      <c r="V6160">
        <v>0</v>
      </c>
      <c r="W6160">
        <v>4</v>
      </c>
      <c r="X6160">
        <v>1976</v>
      </c>
      <c r="Z6160">
        <v>1</v>
      </c>
      <c r="AA6160" t="s">
        <v>26</v>
      </c>
      <c r="AB6160">
        <v>0</v>
      </c>
      <c r="AC6160" t="s">
        <v>115</v>
      </c>
      <c r="AD6160">
        <v>2</v>
      </c>
      <c r="AE6160" t="s">
        <v>115</v>
      </c>
      <c r="AF6160">
        <v>0</v>
      </c>
      <c r="AG6160">
        <v>0</v>
      </c>
      <c r="AH6160" t="s">
        <v>116</v>
      </c>
      <c r="AI6160" s="1">
        <v>-34712</v>
      </c>
      <c r="AJ6160" s="2">
        <v>-0.08</v>
      </c>
      <c r="AK6160" s="1">
        <v>438350</v>
      </c>
      <c r="AL6160" t="s">
        <v>117</v>
      </c>
      <c r="AM6160" t="s">
        <v>171</v>
      </c>
      <c r="AN6160">
        <v>15002</v>
      </c>
      <c r="AO6160">
        <v>0.34</v>
      </c>
      <c r="AP6160">
        <v>1</v>
      </c>
      <c r="AR6160">
        <v>1</v>
      </c>
      <c r="AS6160" s="1">
        <v>34520</v>
      </c>
      <c r="AT6160" s="1">
        <v>6900</v>
      </c>
      <c r="AU6160" s="1">
        <v>27620</v>
      </c>
      <c r="AV6160">
        <v>80.010000000000005</v>
      </c>
      <c r="AX6160" s="1">
        <v>3175.24</v>
      </c>
      <c r="AY6160" t="s">
        <v>5390</v>
      </c>
      <c r="AZ6160" t="s">
        <v>5391</v>
      </c>
      <c r="BA6160" t="s">
        <v>5392</v>
      </c>
      <c r="BB6160" s="3">
        <v>42324</v>
      </c>
      <c r="BD6160" t="s">
        <v>240</v>
      </c>
      <c r="BE6160" s="3">
        <v>42034</v>
      </c>
      <c r="BF6160" s="1">
        <v>375000</v>
      </c>
      <c r="BG6160" t="s">
        <v>37400</v>
      </c>
      <c r="BH6160" s="1">
        <v>125.08</v>
      </c>
      <c r="BI6160" s="1">
        <v>383062</v>
      </c>
      <c r="BJ6160" s="3">
        <v>42034</v>
      </c>
      <c r="BK6160" t="s">
        <v>123</v>
      </c>
      <c r="BL6160" t="str">
        <f>"2015.63777"</f>
        <v>2015.63777</v>
      </c>
      <c r="BM6160" t="s">
        <v>175</v>
      </c>
      <c r="BN6160" t="s">
        <v>132</v>
      </c>
      <c r="BO6160" t="s">
        <v>37401</v>
      </c>
      <c r="BP6160" t="s">
        <v>37402</v>
      </c>
      <c r="BS6160">
        <v>30</v>
      </c>
      <c r="BT6160" s="1">
        <v>90000</v>
      </c>
      <c r="BU6160" s="3">
        <v>43243</v>
      </c>
      <c r="BV6160" t="s">
        <v>134</v>
      </c>
      <c r="BW6160" t="str">
        <f>"2018.393366"</f>
        <v>2018.393366</v>
      </c>
      <c r="BX6160" t="s">
        <v>37403</v>
      </c>
      <c r="BY6160" t="s">
        <v>37404</v>
      </c>
      <c r="BZ6160" t="s">
        <v>37405</v>
      </c>
      <c r="CC6160" t="s">
        <v>139</v>
      </c>
      <c r="CH6160" t="str">
        <f>""</f>
        <v/>
      </c>
      <c r="CS6160" t="str">
        <f>""</f>
        <v/>
      </c>
    </row>
    <row r="6161" spans="1:97" x14ac:dyDescent="0.25">
      <c r="A6161" t="s">
        <v>20099</v>
      </c>
      <c r="B6161" t="s">
        <v>104</v>
      </c>
      <c r="C6161" t="s">
        <v>9149</v>
      </c>
      <c r="D6161" t="s">
        <v>104</v>
      </c>
      <c r="E6161" t="s">
        <v>37406</v>
      </c>
      <c r="F6161" t="s">
        <v>108</v>
      </c>
      <c r="H6161" t="s">
        <v>37407</v>
      </c>
      <c r="I6161" t="s">
        <v>110</v>
      </c>
      <c r="J6161" t="s">
        <v>111</v>
      </c>
      <c r="K6161" t="str">
        <f>"85249"</f>
        <v>85249</v>
      </c>
      <c r="L6161" t="s">
        <v>3696</v>
      </c>
      <c r="M6161" t="s">
        <v>37407</v>
      </c>
      <c r="N6161" t="s">
        <v>110</v>
      </c>
      <c r="O6161" t="s">
        <v>111</v>
      </c>
      <c r="P6161" t="str">
        <f>"85249-4934"</f>
        <v>85249-4934</v>
      </c>
      <c r="Q6161" t="s">
        <v>113</v>
      </c>
      <c r="R6161" t="str">
        <f>"303-56-857"</f>
        <v>303-56-857</v>
      </c>
      <c r="S6161" t="s">
        <v>16343</v>
      </c>
      <c r="U6161">
        <v>3127</v>
      </c>
      <c r="V6161">
        <v>0</v>
      </c>
      <c r="W6161">
        <v>4</v>
      </c>
      <c r="X6161">
        <v>2001</v>
      </c>
      <c r="Z6161">
        <v>2</v>
      </c>
      <c r="AA6161" t="s">
        <v>26</v>
      </c>
      <c r="AB6161">
        <v>0</v>
      </c>
      <c r="AC6161" t="s">
        <v>115</v>
      </c>
      <c r="AD6161">
        <v>3</v>
      </c>
      <c r="AE6161" t="s">
        <v>115</v>
      </c>
      <c r="AF6161">
        <v>0</v>
      </c>
      <c r="AG6161">
        <v>0</v>
      </c>
      <c r="AH6161" t="s">
        <v>116</v>
      </c>
      <c r="AI6161" s="1">
        <v>107082</v>
      </c>
      <c r="AJ6161" s="2">
        <v>0.26</v>
      </c>
      <c r="AK6161" s="1">
        <v>410984</v>
      </c>
      <c r="AL6161" t="s">
        <v>117</v>
      </c>
      <c r="AM6161" t="s">
        <v>118</v>
      </c>
      <c r="AN6161">
        <v>6964</v>
      </c>
      <c r="AO6161">
        <v>0.16</v>
      </c>
      <c r="AP6161">
        <v>1</v>
      </c>
      <c r="AR6161">
        <v>1</v>
      </c>
      <c r="AS6161" s="1">
        <v>29350</v>
      </c>
      <c r="AT6161" s="1">
        <v>5870</v>
      </c>
      <c r="AU6161" s="1">
        <v>23480</v>
      </c>
      <c r="AV6161">
        <v>80</v>
      </c>
      <c r="AX6161" s="1">
        <v>2341.96</v>
      </c>
      <c r="AY6161" t="s">
        <v>5050</v>
      </c>
      <c r="AZ6161" t="s">
        <v>120</v>
      </c>
      <c r="BA6161" t="s">
        <v>274</v>
      </c>
      <c r="BE6161" s="3">
        <v>42150</v>
      </c>
      <c r="BF6161" s="1">
        <v>297500</v>
      </c>
      <c r="BG6161" t="s">
        <v>37408</v>
      </c>
      <c r="BH6161" s="1">
        <v>95.14</v>
      </c>
      <c r="BI6161" s="1">
        <v>303902</v>
      </c>
      <c r="BJ6161" s="3">
        <v>42640</v>
      </c>
      <c r="BK6161" t="s">
        <v>123</v>
      </c>
      <c r="BL6161" t="str">
        <f>"2016.703269"</f>
        <v>2016.703269</v>
      </c>
      <c r="BM6161" t="s">
        <v>3004</v>
      </c>
      <c r="BO6161" t="s">
        <v>37409</v>
      </c>
      <c r="BS6161">
        <v>30</v>
      </c>
      <c r="BW6161" t="str">
        <f>""</f>
        <v/>
      </c>
      <c r="CH6161" t="str">
        <f>""</f>
        <v/>
      </c>
      <c r="CS6161" t="str">
        <f>""</f>
        <v/>
      </c>
    </row>
    <row r="6162" spans="1:97" x14ac:dyDescent="0.25">
      <c r="A6162" t="s">
        <v>996</v>
      </c>
      <c r="B6162" t="s">
        <v>37410</v>
      </c>
      <c r="C6162" t="s">
        <v>4222</v>
      </c>
      <c r="D6162" t="s">
        <v>37410</v>
      </c>
      <c r="E6162" t="s">
        <v>37411</v>
      </c>
      <c r="F6162" t="s">
        <v>139</v>
      </c>
      <c r="H6162" t="s">
        <v>37412</v>
      </c>
      <c r="I6162" t="s">
        <v>203</v>
      </c>
      <c r="J6162" t="s">
        <v>111</v>
      </c>
      <c r="K6162" t="str">
        <f>"85296"</f>
        <v>85296</v>
      </c>
      <c r="L6162" t="s">
        <v>9293</v>
      </c>
      <c r="M6162" t="s">
        <v>37412</v>
      </c>
      <c r="N6162" t="s">
        <v>203</v>
      </c>
      <c r="O6162" t="s">
        <v>111</v>
      </c>
      <c r="P6162" t="str">
        <f>"85296-3335"</f>
        <v>85296-3335</v>
      </c>
      <c r="Q6162" t="s">
        <v>113</v>
      </c>
      <c r="R6162" t="str">
        <f>"304-21-975"</f>
        <v>304-21-975</v>
      </c>
      <c r="S6162" t="s">
        <v>37413</v>
      </c>
      <c r="T6162" t="s">
        <v>14454</v>
      </c>
      <c r="U6162">
        <v>1610</v>
      </c>
      <c r="V6162">
        <v>0</v>
      </c>
      <c r="W6162">
        <v>3</v>
      </c>
      <c r="X6162">
        <v>1997</v>
      </c>
      <c r="Z6162">
        <v>2</v>
      </c>
      <c r="AA6162" t="s">
        <v>26</v>
      </c>
      <c r="AB6162">
        <v>0</v>
      </c>
      <c r="AC6162" t="s">
        <v>115</v>
      </c>
      <c r="AD6162">
        <v>2</v>
      </c>
      <c r="AE6162" t="s">
        <v>115</v>
      </c>
      <c r="AF6162">
        <v>0</v>
      </c>
      <c r="AG6162">
        <v>0</v>
      </c>
      <c r="AH6162" t="s">
        <v>116</v>
      </c>
      <c r="AI6162" s="1">
        <v>7456</v>
      </c>
      <c r="AJ6162" s="2">
        <v>0.03</v>
      </c>
      <c r="AK6162" s="1">
        <v>291943</v>
      </c>
      <c r="AL6162" t="s">
        <v>117</v>
      </c>
      <c r="AM6162" t="s">
        <v>191</v>
      </c>
      <c r="AN6162">
        <v>5824</v>
      </c>
      <c r="AO6162">
        <v>0.13</v>
      </c>
      <c r="AP6162">
        <v>1</v>
      </c>
      <c r="AR6162">
        <v>1</v>
      </c>
      <c r="AS6162" s="1">
        <v>19320</v>
      </c>
      <c r="AT6162" s="1">
        <v>3860</v>
      </c>
      <c r="AU6162" s="1">
        <v>15460</v>
      </c>
      <c r="AV6162">
        <v>80.02</v>
      </c>
      <c r="AX6162" s="1">
        <v>1274.9000000000001</v>
      </c>
      <c r="AY6162" t="s">
        <v>5032</v>
      </c>
      <c r="AZ6162" t="s">
        <v>520</v>
      </c>
      <c r="BA6162" t="s">
        <v>5033</v>
      </c>
      <c r="BB6162" s="3">
        <v>43098</v>
      </c>
      <c r="BD6162" t="s">
        <v>157</v>
      </c>
      <c r="BE6162" s="3">
        <v>41857</v>
      </c>
      <c r="BF6162" s="1">
        <v>207000</v>
      </c>
      <c r="BG6162" t="s">
        <v>37414</v>
      </c>
      <c r="BH6162" s="1">
        <v>128.57</v>
      </c>
      <c r="BI6162" s="1">
        <v>284487</v>
      </c>
      <c r="BJ6162" s="3">
        <v>43605</v>
      </c>
      <c r="BK6162" t="s">
        <v>123</v>
      </c>
      <c r="BL6162" t="str">
        <f>"2019.366991"</f>
        <v>2019.366991</v>
      </c>
      <c r="BM6162" t="s">
        <v>361</v>
      </c>
      <c r="BN6162" t="s">
        <v>884</v>
      </c>
      <c r="BO6162" t="s">
        <v>37415</v>
      </c>
      <c r="BP6162" t="s">
        <v>37416</v>
      </c>
      <c r="BR6162" t="s">
        <v>139</v>
      </c>
      <c r="BW6162" t="str">
        <f>""</f>
        <v/>
      </c>
      <c r="CH6162" t="str">
        <f>""</f>
        <v/>
      </c>
      <c r="CS6162" t="str">
        <f>""</f>
        <v/>
      </c>
    </row>
    <row r="6163" spans="1:97" x14ac:dyDescent="0.25">
      <c r="A6163" t="s">
        <v>370</v>
      </c>
      <c r="B6163" t="s">
        <v>37417</v>
      </c>
      <c r="C6163" t="s">
        <v>37418</v>
      </c>
      <c r="D6163" t="s">
        <v>37417</v>
      </c>
      <c r="E6163" t="s">
        <v>37419</v>
      </c>
      <c r="F6163" t="s">
        <v>282</v>
      </c>
      <c r="H6163" t="s">
        <v>37420</v>
      </c>
      <c r="I6163" t="s">
        <v>453</v>
      </c>
      <c r="J6163" t="s">
        <v>111</v>
      </c>
      <c r="K6163" t="str">
        <f>"85345"</f>
        <v>85345</v>
      </c>
      <c r="L6163" t="s">
        <v>11566</v>
      </c>
      <c r="M6163" t="s">
        <v>37421</v>
      </c>
      <c r="N6163" t="s">
        <v>2874</v>
      </c>
      <c r="O6163" t="s">
        <v>111</v>
      </c>
      <c r="P6163" t="str">
        <f>"85306-2908"</f>
        <v>85306-2908</v>
      </c>
      <c r="Q6163" t="s">
        <v>113</v>
      </c>
      <c r="R6163" t="str">
        <f>"142-12-099"</f>
        <v>142-12-099</v>
      </c>
      <c r="S6163" t="s">
        <v>27747</v>
      </c>
      <c r="T6163" t="s">
        <v>27748</v>
      </c>
      <c r="U6163">
        <v>2258</v>
      </c>
      <c r="V6163">
        <v>0</v>
      </c>
      <c r="W6163">
        <v>4</v>
      </c>
      <c r="X6163">
        <v>1988</v>
      </c>
      <c r="Z6163">
        <v>2</v>
      </c>
      <c r="AA6163" t="s">
        <v>26</v>
      </c>
      <c r="AB6163">
        <v>0</v>
      </c>
      <c r="AC6163" t="s">
        <v>115</v>
      </c>
      <c r="AD6163">
        <v>2</v>
      </c>
      <c r="AE6163" t="s">
        <v>115</v>
      </c>
      <c r="AF6163">
        <v>0</v>
      </c>
      <c r="AG6163">
        <v>0</v>
      </c>
      <c r="AH6163" t="s">
        <v>116</v>
      </c>
      <c r="AI6163" s="1">
        <v>72181</v>
      </c>
      <c r="AJ6163" s="2">
        <v>0.26</v>
      </c>
      <c r="AK6163" s="1">
        <v>282181</v>
      </c>
      <c r="AL6163" t="s">
        <v>117</v>
      </c>
      <c r="AM6163" t="s">
        <v>171</v>
      </c>
      <c r="AN6163">
        <v>9374</v>
      </c>
      <c r="AO6163">
        <v>0.22</v>
      </c>
      <c r="AP6163">
        <v>1</v>
      </c>
      <c r="AR6163">
        <v>1</v>
      </c>
      <c r="AS6163" s="1">
        <v>18920</v>
      </c>
      <c r="AT6163" s="1">
        <v>3780</v>
      </c>
      <c r="AU6163" s="1">
        <v>15140</v>
      </c>
      <c r="AV6163">
        <v>80.02</v>
      </c>
      <c r="AX6163" s="1">
        <v>1430.74</v>
      </c>
      <c r="AY6163" t="s">
        <v>10781</v>
      </c>
      <c r="AZ6163" t="s">
        <v>10781</v>
      </c>
      <c r="BA6163" t="s">
        <v>4007</v>
      </c>
      <c r="BE6163" s="3">
        <v>42146</v>
      </c>
      <c r="BF6163" s="1">
        <v>218000</v>
      </c>
      <c r="BG6163" t="s">
        <v>37422</v>
      </c>
      <c r="BH6163" s="1">
        <v>96.55</v>
      </c>
      <c r="BI6163" s="1">
        <v>210000</v>
      </c>
      <c r="BJ6163" s="3">
        <v>42146</v>
      </c>
      <c r="BK6163" t="s">
        <v>123</v>
      </c>
      <c r="BL6163" t="str">
        <f>"2015.363197"</f>
        <v>2015.363197</v>
      </c>
      <c r="BM6163" t="s">
        <v>1185</v>
      </c>
      <c r="BO6163" t="s">
        <v>37423</v>
      </c>
      <c r="BS6163">
        <v>30</v>
      </c>
      <c r="BW6163" t="str">
        <f>""</f>
        <v/>
      </c>
      <c r="CH6163" t="str">
        <f>""</f>
        <v/>
      </c>
      <c r="CS6163" t="str">
        <f>""</f>
        <v/>
      </c>
    </row>
    <row r="6164" spans="1:97" x14ac:dyDescent="0.25">
      <c r="A6164" t="s">
        <v>1109</v>
      </c>
      <c r="B6164" t="s">
        <v>3901</v>
      </c>
      <c r="C6164" t="s">
        <v>703</v>
      </c>
      <c r="D6164" t="s">
        <v>3901</v>
      </c>
      <c r="E6164" t="s">
        <v>37424</v>
      </c>
      <c r="F6164" t="s">
        <v>108</v>
      </c>
      <c r="H6164" t="s">
        <v>37425</v>
      </c>
      <c r="I6164" t="s">
        <v>390</v>
      </c>
      <c r="J6164" t="s">
        <v>111</v>
      </c>
      <c r="K6164" t="str">
        <f>"85085"</f>
        <v>85085</v>
      </c>
      <c r="L6164" t="s">
        <v>1398</v>
      </c>
      <c r="M6164" t="s">
        <v>37425</v>
      </c>
      <c r="N6164" t="s">
        <v>390</v>
      </c>
      <c r="O6164" t="s">
        <v>111</v>
      </c>
      <c r="P6164" t="str">
        <f>"85085-6346"</f>
        <v>85085-6346</v>
      </c>
      <c r="Q6164" t="s">
        <v>113</v>
      </c>
      <c r="R6164" t="str">
        <f>"210-02-796"</f>
        <v>210-02-796</v>
      </c>
      <c r="S6164" t="s">
        <v>18491</v>
      </c>
      <c r="T6164" t="s">
        <v>37426</v>
      </c>
      <c r="U6164">
        <v>1496</v>
      </c>
      <c r="V6164">
        <v>0</v>
      </c>
      <c r="W6164">
        <v>3</v>
      </c>
      <c r="X6164">
        <v>2012</v>
      </c>
      <c r="Z6164">
        <v>1</v>
      </c>
      <c r="AB6164">
        <v>0</v>
      </c>
      <c r="AC6164" t="s">
        <v>115</v>
      </c>
      <c r="AD6164">
        <v>2</v>
      </c>
      <c r="AE6164" t="s">
        <v>115</v>
      </c>
      <c r="AF6164">
        <v>0</v>
      </c>
      <c r="AG6164">
        <v>0</v>
      </c>
      <c r="AH6164" t="s">
        <v>116</v>
      </c>
      <c r="AI6164" s="1">
        <v>95378</v>
      </c>
      <c r="AJ6164" s="2">
        <v>0.28000000000000003</v>
      </c>
      <c r="AK6164" s="1">
        <v>346208</v>
      </c>
      <c r="AL6164" t="s">
        <v>117</v>
      </c>
      <c r="AM6164" t="s">
        <v>1315</v>
      </c>
      <c r="AN6164">
        <v>5766</v>
      </c>
      <c r="AO6164">
        <v>0.13</v>
      </c>
      <c r="AR6164">
        <v>1</v>
      </c>
      <c r="AS6164" s="1">
        <v>25860</v>
      </c>
      <c r="AT6164" s="1">
        <v>5170</v>
      </c>
      <c r="AU6164" s="1">
        <v>20690</v>
      </c>
      <c r="AV6164">
        <v>80.010000000000005</v>
      </c>
      <c r="AX6164" s="1">
        <v>2677</v>
      </c>
      <c r="AY6164" t="s">
        <v>1461</v>
      </c>
      <c r="AZ6164" t="s">
        <v>1461</v>
      </c>
      <c r="BA6164" t="s">
        <v>1462</v>
      </c>
      <c r="BE6164" s="3">
        <v>42306</v>
      </c>
      <c r="BF6164" s="1">
        <v>275000</v>
      </c>
      <c r="BG6164" t="s">
        <v>37427</v>
      </c>
      <c r="BH6164" s="1">
        <v>183.82</v>
      </c>
      <c r="BI6164" s="1">
        <v>250830</v>
      </c>
      <c r="BJ6164" s="3">
        <v>42640</v>
      </c>
      <c r="BK6164" t="s">
        <v>123</v>
      </c>
      <c r="BL6164" t="str">
        <f>"2016.701795"</f>
        <v>2016.701795</v>
      </c>
      <c r="BM6164" t="s">
        <v>402</v>
      </c>
      <c r="BO6164" t="s">
        <v>37428</v>
      </c>
      <c r="BS6164">
        <v>30</v>
      </c>
      <c r="BW6164" t="str">
        <f>""</f>
        <v/>
      </c>
      <c r="CH6164" t="str">
        <f>""</f>
        <v/>
      </c>
      <c r="CS6164" t="str">
        <f>""</f>
        <v/>
      </c>
    </row>
    <row r="6165" spans="1:97" x14ac:dyDescent="0.25">
      <c r="A6165" t="s">
        <v>37429</v>
      </c>
      <c r="B6165" t="s">
        <v>37430</v>
      </c>
      <c r="C6165" t="s">
        <v>767</v>
      </c>
      <c r="D6165" t="s">
        <v>37430</v>
      </c>
      <c r="E6165" t="s">
        <v>37431</v>
      </c>
      <c r="F6165" t="s">
        <v>108</v>
      </c>
      <c r="H6165" t="s">
        <v>37432</v>
      </c>
      <c r="I6165" t="s">
        <v>390</v>
      </c>
      <c r="J6165" t="s">
        <v>111</v>
      </c>
      <c r="K6165" t="str">
        <f>"85037"</f>
        <v>85037</v>
      </c>
      <c r="L6165" t="s">
        <v>5325</v>
      </c>
      <c r="M6165" t="s">
        <v>37432</v>
      </c>
      <c r="N6165" t="s">
        <v>390</v>
      </c>
      <c r="O6165" t="s">
        <v>111</v>
      </c>
      <c r="P6165" t="str">
        <f>"85037-1058"</f>
        <v>85037-1058</v>
      </c>
      <c r="R6165" t="str">
        <f>"102-18-582"</f>
        <v>102-18-582</v>
      </c>
      <c r="S6165" t="s">
        <v>37433</v>
      </c>
      <c r="T6165" t="s">
        <v>11454</v>
      </c>
      <c r="U6165">
        <v>2663</v>
      </c>
      <c r="V6165">
        <v>0</v>
      </c>
      <c r="W6165">
        <v>4</v>
      </c>
      <c r="X6165">
        <v>2003</v>
      </c>
      <c r="Z6165">
        <v>2</v>
      </c>
      <c r="AA6165" t="s">
        <v>26</v>
      </c>
      <c r="AB6165">
        <v>0</v>
      </c>
      <c r="AC6165" t="s">
        <v>115</v>
      </c>
      <c r="AD6165">
        <v>2</v>
      </c>
      <c r="AE6165" t="s">
        <v>115</v>
      </c>
      <c r="AF6165">
        <v>0</v>
      </c>
      <c r="AG6165">
        <v>0</v>
      </c>
      <c r="AH6165" t="s">
        <v>116</v>
      </c>
      <c r="AI6165" s="1">
        <v>-185028</v>
      </c>
      <c r="AJ6165" s="2">
        <v>-0.63</v>
      </c>
      <c r="AK6165" s="1">
        <v>295076</v>
      </c>
      <c r="AL6165" t="s">
        <v>117</v>
      </c>
      <c r="AM6165" t="s">
        <v>191</v>
      </c>
      <c r="AN6165">
        <v>7158</v>
      </c>
      <c r="AO6165">
        <v>0.16</v>
      </c>
      <c r="AP6165">
        <v>1</v>
      </c>
      <c r="AR6165">
        <v>1</v>
      </c>
      <c r="AS6165" s="1">
        <v>20270</v>
      </c>
      <c r="AT6165" s="1">
        <v>4050</v>
      </c>
      <c r="AU6165" s="1">
        <v>16220</v>
      </c>
      <c r="AV6165">
        <v>80.02</v>
      </c>
      <c r="AX6165" s="1">
        <v>2056.12</v>
      </c>
      <c r="AY6165" t="s">
        <v>4285</v>
      </c>
      <c r="AZ6165" t="s">
        <v>4285</v>
      </c>
      <c r="BA6165" t="s">
        <v>4286</v>
      </c>
      <c r="BE6165" s="3">
        <v>42474</v>
      </c>
      <c r="BF6165" s="1">
        <v>235000</v>
      </c>
      <c r="BG6165" t="s">
        <v>37434</v>
      </c>
      <c r="BH6165" s="1">
        <v>88.25</v>
      </c>
      <c r="BI6165" s="1">
        <v>240052</v>
      </c>
      <c r="BJ6165" s="3">
        <v>42474</v>
      </c>
      <c r="BK6165" t="s">
        <v>123</v>
      </c>
      <c r="BL6165" t="str">
        <f>"2016.246389"</f>
        <v>2016.246389</v>
      </c>
      <c r="BM6165" t="s">
        <v>135</v>
      </c>
      <c r="BN6165" t="s">
        <v>136</v>
      </c>
      <c r="BO6165" t="s">
        <v>37435</v>
      </c>
      <c r="BS6165">
        <v>30</v>
      </c>
      <c r="BT6165" s="1">
        <v>240052</v>
      </c>
      <c r="BU6165" s="3">
        <v>42776</v>
      </c>
      <c r="BV6165" t="s">
        <v>123</v>
      </c>
      <c r="BW6165" t="str">
        <f>"2017.101171"</f>
        <v>2017.101171</v>
      </c>
      <c r="BX6165" t="s">
        <v>135</v>
      </c>
      <c r="BY6165" t="s">
        <v>136</v>
      </c>
      <c r="BZ6165" t="s">
        <v>37436</v>
      </c>
      <c r="CD6165">
        <v>30</v>
      </c>
      <c r="CH6165" t="str">
        <f>""</f>
        <v/>
      </c>
      <c r="CS6165" t="str">
        <f>""</f>
        <v/>
      </c>
    </row>
    <row r="6166" spans="1:97" x14ac:dyDescent="0.25">
      <c r="A6166" t="s">
        <v>7562</v>
      </c>
      <c r="B6166" t="s">
        <v>37437</v>
      </c>
      <c r="E6166" t="s">
        <v>37438</v>
      </c>
      <c r="F6166" t="s">
        <v>108</v>
      </c>
      <c r="H6166" t="s">
        <v>37439</v>
      </c>
      <c r="I6166" t="s">
        <v>390</v>
      </c>
      <c r="J6166" t="s">
        <v>111</v>
      </c>
      <c r="K6166" t="str">
        <f>"85032"</f>
        <v>85032</v>
      </c>
      <c r="L6166" t="s">
        <v>5918</v>
      </c>
      <c r="M6166" t="s">
        <v>37439</v>
      </c>
      <c r="N6166" t="s">
        <v>390</v>
      </c>
      <c r="O6166" t="s">
        <v>111</v>
      </c>
      <c r="P6166" t="str">
        <f>"85032-1614"</f>
        <v>85032-1614</v>
      </c>
      <c r="Q6166" t="s">
        <v>113</v>
      </c>
      <c r="R6166" t="str">
        <f>"214-04-028"</f>
        <v>214-04-028</v>
      </c>
      <c r="S6166" t="s">
        <v>37440</v>
      </c>
      <c r="T6166" t="s">
        <v>37440</v>
      </c>
      <c r="U6166">
        <v>1731</v>
      </c>
      <c r="V6166">
        <v>0</v>
      </c>
      <c r="W6166">
        <v>3</v>
      </c>
      <c r="X6166">
        <v>1997</v>
      </c>
      <c r="Z6166">
        <v>1</v>
      </c>
      <c r="AB6166">
        <v>0</v>
      </c>
      <c r="AC6166" t="s">
        <v>115</v>
      </c>
      <c r="AD6166">
        <v>2</v>
      </c>
      <c r="AE6166" t="s">
        <v>115</v>
      </c>
      <c r="AF6166">
        <v>0</v>
      </c>
      <c r="AG6166">
        <v>0</v>
      </c>
      <c r="AH6166" t="s">
        <v>116</v>
      </c>
      <c r="AI6166" s="1">
        <v>68018</v>
      </c>
      <c r="AJ6166" s="2">
        <v>0.23</v>
      </c>
      <c r="AK6166" s="1">
        <v>298518</v>
      </c>
      <c r="AL6166" t="s">
        <v>117</v>
      </c>
      <c r="AM6166" t="s">
        <v>191</v>
      </c>
      <c r="AN6166">
        <v>7004</v>
      </c>
      <c r="AO6166">
        <v>0.16</v>
      </c>
      <c r="AP6166">
        <v>1</v>
      </c>
      <c r="AR6166">
        <v>1</v>
      </c>
      <c r="AS6166" s="1">
        <v>20550</v>
      </c>
      <c r="AT6166" s="1">
        <v>4110</v>
      </c>
      <c r="AU6166" s="1">
        <v>16440</v>
      </c>
      <c r="AV6166">
        <v>80</v>
      </c>
      <c r="AX6166" s="1">
        <v>1471.38</v>
      </c>
      <c r="AY6166" t="s">
        <v>16266</v>
      </c>
      <c r="AZ6166" t="s">
        <v>2550</v>
      </c>
      <c r="BA6166" t="s">
        <v>2551</v>
      </c>
      <c r="BE6166" s="3">
        <v>42475</v>
      </c>
      <c r="BF6166" s="1">
        <v>230500</v>
      </c>
      <c r="BG6166" t="s">
        <v>37441</v>
      </c>
      <c r="BH6166" s="1">
        <v>133.16</v>
      </c>
      <c r="BI6166" s="1">
        <v>230500</v>
      </c>
      <c r="BJ6166" s="3">
        <v>42475</v>
      </c>
      <c r="BK6166" t="s">
        <v>123</v>
      </c>
      <c r="BL6166" t="str">
        <f>"2016.250935"</f>
        <v>2016.250935</v>
      </c>
      <c r="BM6166" t="s">
        <v>5938</v>
      </c>
      <c r="BO6166" t="s">
        <v>37442</v>
      </c>
      <c r="BS6166">
        <v>30</v>
      </c>
      <c r="BW6166" t="str">
        <f>""</f>
        <v/>
      </c>
      <c r="CH6166" t="str">
        <f>""</f>
        <v/>
      </c>
      <c r="CS6166" t="str">
        <f>""</f>
        <v/>
      </c>
    </row>
    <row r="6167" spans="1:97" x14ac:dyDescent="0.25">
      <c r="A6167" t="s">
        <v>610</v>
      </c>
      <c r="B6167" t="s">
        <v>37443</v>
      </c>
      <c r="E6167" t="s">
        <v>37444</v>
      </c>
      <c r="F6167" t="s">
        <v>108</v>
      </c>
      <c r="H6167" t="s">
        <v>37445</v>
      </c>
      <c r="I6167" t="s">
        <v>632</v>
      </c>
      <c r="J6167" t="s">
        <v>111</v>
      </c>
      <c r="K6167" t="str">
        <f>"85388"</f>
        <v>85388</v>
      </c>
      <c r="L6167" t="s">
        <v>4467</v>
      </c>
      <c r="M6167" t="s">
        <v>37445</v>
      </c>
      <c r="N6167" t="s">
        <v>632</v>
      </c>
      <c r="O6167" t="s">
        <v>111</v>
      </c>
      <c r="P6167" t="str">
        <f>"85388-2353"</f>
        <v>85388-2353</v>
      </c>
      <c r="Q6167" t="s">
        <v>113</v>
      </c>
      <c r="R6167" t="str">
        <f>"502-09-636"</f>
        <v>502-09-636</v>
      </c>
      <c r="S6167" t="s">
        <v>5359</v>
      </c>
      <c r="T6167" t="s">
        <v>5360</v>
      </c>
      <c r="U6167">
        <v>2519</v>
      </c>
      <c r="V6167">
        <v>0</v>
      </c>
      <c r="W6167">
        <v>3</v>
      </c>
      <c r="X6167">
        <v>2014</v>
      </c>
      <c r="Z6167">
        <v>1</v>
      </c>
      <c r="AB6167">
        <v>0</v>
      </c>
      <c r="AC6167" t="s">
        <v>115</v>
      </c>
      <c r="AD6167">
        <v>3</v>
      </c>
      <c r="AE6167" t="s">
        <v>115</v>
      </c>
      <c r="AF6167">
        <v>0</v>
      </c>
      <c r="AG6167">
        <v>0</v>
      </c>
      <c r="AH6167" t="s">
        <v>116</v>
      </c>
      <c r="AI6167" s="1">
        <v>58518</v>
      </c>
      <c r="AJ6167" s="2">
        <v>0.18</v>
      </c>
      <c r="AK6167" s="1">
        <v>325018</v>
      </c>
      <c r="AL6167" t="s">
        <v>117</v>
      </c>
      <c r="AM6167" t="s">
        <v>118</v>
      </c>
      <c r="AN6167">
        <v>7679</v>
      </c>
      <c r="AO6167">
        <v>0.18</v>
      </c>
      <c r="AR6167">
        <v>1</v>
      </c>
      <c r="AS6167" s="1">
        <v>23860</v>
      </c>
      <c r="AT6167" s="1">
        <v>4770</v>
      </c>
      <c r="AU6167" s="1">
        <v>19090</v>
      </c>
      <c r="AV6167">
        <v>80.010000000000005</v>
      </c>
      <c r="AX6167" s="1">
        <v>2001.76</v>
      </c>
      <c r="AY6167" t="s">
        <v>5168</v>
      </c>
      <c r="AZ6167" t="s">
        <v>5168</v>
      </c>
      <c r="BA6167" t="s">
        <v>5109</v>
      </c>
      <c r="BE6167" s="3">
        <v>41815</v>
      </c>
      <c r="BF6167" s="1">
        <v>236562</v>
      </c>
      <c r="BG6167" t="s">
        <v>2289</v>
      </c>
      <c r="BH6167" s="1">
        <v>93.91</v>
      </c>
      <c r="BI6167" s="1">
        <v>266500</v>
      </c>
      <c r="BJ6167" s="3">
        <v>43278</v>
      </c>
      <c r="BK6167" t="s">
        <v>123</v>
      </c>
      <c r="BL6167" t="str">
        <f>"2018.489004"</f>
        <v>2018.489004</v>
      </c>
      <c r="BM6167" t="s">
        <v>15330</v>
      </c>
      <c r="BN6167" t="s">
        <v>15331</v>
      </c>
      <c r="BO6167" t="s">
        <v>37444</v>
      </c>
      <c r="BR6167" t="s">
        <v>139</v>
      </c>
      <c r="BW6167" t="str">
        <f>""</f>
        <v/>
      </c>
      <c r="CH6167" t="str">
        <f>""</f>
        <v/>
      </c>
      <c r="CS6167" t="str">
        <f>""</f>
        <v/>
      </c>
    </row>
    <row r="6168" spans="1:97" x14ac:dyDescent="0.25">
      <c r="A6168" t="s">
        <v>37446</v>
      </c>
      <c r="B6168" t="s">
        <v>37447</v>
      </c>
      <c r="C6168" t="s">
        <v>12861</v>
      </c>
      <c r="D6168" t="s">
        <v>37447</v>
      </c>
      <c r="E6168" t="s">
        <v>37448</v>
      </c>
      <c r="F6168" t="s">
        <v>108</v>
      </c>
      <c r="H6168" t="s">
        <v>37449</v>
      </c>
      <c r="I6168" t="s">
        <v>499</v>
      </c>
      <c r="J6168" t="s">
        <v>111</v>
      </c>
      <c r="K6168" t="str">
        <f>"85338"</f>
        <v>85338</v>
      </c>
      <c r="L6168" t="s">
        <v>5775</v>
      </c>
      <c r="M6168" t="s">
        <v>37449</v>
      </c>
      <c r="N6168" t="s">
        <v>499</v>
      </c>
      <c r="O6168" t="s">
        <v>111</v>
      </c>
      <c r="P6168" t="str">
        <f>"85338-3236"</f>
        <v>85338-3236</v>
      </c>
      <c r="Q6168" t="s">
        <v>113</v>
      </c>
      <c r="R6168" t="str">
        <f>"500-10-553"</f>
        <v>500-10-553</v>
      </c>
      <c r="S6168" t="s">
        <v>9551</v>
      </c>
      <c r="T6168" t="s">
        <v>9551</v>
      </c>
      <c r="U6168">
        <v>3114</v>
      </c>
      <c r="V6168">
        <v>0</v>
      </c>
      <c r="W6168">
        <v>6</v>
      </c>
      <c r="X6168">
        <v>2014</v>
      </c>
      <c r="Z6168">
        <v>2</v>
      </c>
      <c r="AB6168">
        <v>0</v>
      </c>
      <c r="AC6168" t="s">
        <v>115</v>
      </c>
      <c r="AD6168">
        <v>2</v>
      </c>
      <c r="AE6168" t="s">
        <v>115</v>
      </c>
      <c r="AF6168">
        <v>0</v>
      </c>
      <c r="AG6168">
        <v>0</v>
      </c>
      <c r="AH6168" t="s">
        <v>116</v>
      </c>
      <c r="AI6168" s="1">
        <v>5387</v>
      </c>
      <c r="AJ6168" s="2">
        <v>0.01</v>
      </c>
      <c r="AK6168" s="1">
        <v>366937</v>
      </c>
      <c r="AL6168" t="s">
        <v>117</v>
      </c>
      <c r="AM6168" t="s">
        <v>118</v>
      </c>
      <c r="AN6168">
        <v>7200</v>
      </c>
      <c r="AO6168">
        <v>0.16</v>
      </c>
      <c r="AR6168">
        <v>1</v>
      </c>
      <c r="AS6168" s="1">
        <v>26430</v>
      </c>
      <c r="AT6168" s="1">
        <v>5280</v>
      </c>
      <c r="AU6168" s="1">
        <v>21150</v>
      </c>
      <c r="AV6168">
        <v>80.02</v>
      </c>
      <c r="AX6168" s="1">
        <v>2157.9</v>
      </c>
      <c r="AY6168" t="s">
        <v>4311</v>
      </c>
      <c r="AZ6168" t="s">
        <v>4311</v>
      </c>
      <c r="BA6168" t="s">
        <v>7186</v>
      </c>
      <c r="BE6168" s="3">
        <v>41885</v>
      </c>
      <c r="BF6168" s="1">
        <v>308659</v>
      </c>
      <c r="BG6168" t="s">
        <v>158</v>
      </c>
      <c r="BH6168" s="1">
        <v>99.12</v>
      </c>
      <c r="BI6168" s="1">
        <v>361550</v>
      </c>
      <c r="BJ6168" s="3">
        <v>43175</v>
      </c>
      <c r="BK6168" t="s">
        <v>123</v>
      </c>
      <c r="BL6168" t="str">
        <f>"2018.199819"</f>
        <v>2018.199819</v>
      </c>
      <c r="BM6168" t="s">
        <v>4672</v>
      </c>
      <c r="BN6168" t="s">
        <v>1922</v>
      </c>
      <c r="BO6168" t="s">
        <v>37450</v>
      </c>
      <c r="BP6168" t="s">
        <v>37451</v>
      </c>
      <c r="BR6168" t="s">
        <v>139</v>
      </c>
      <c r="BW6168" t="str">
        <f>""</f>
        <v/>
      </c>
      <c r="CH6168" t="str">
        <f>""</f>
        <v/>
      </c>
      <c r="CS6168" t="str">
        <f>""</f>
        <v/>
      </c>
    </row>
    <row r="6169" spans="1:97" x14ac:dyDescent="0.25">
      <c r="B6169" t="s">
        <v>37452</v>
      </c>
      <c r="E6169" t="s">
        <v>37452</v>
      </c>
      <c r="F6169" t="s">
        <v>108</v>
      </c>
      <c r="H6169" t="s">
        <v>37453</v>
      </c>
      <c r="I6169" t="s">
        <v>144</v>
      </c>
      <c r="J6169" t="s">
        <v>111</v>
      </c>
      <c r="K6169" t="str">
        <f>"85396"</f>
        <v>85396</v>
      </c>
      <c r="L6169" t="s">
        <v>215</v>
      </c>
      <c r="M6169" t="s">
        <v>37453</v>
      </c>
      <c r="N6169" t="s">
        <v>144</v>
      </c>
      <c r="O6169" t="s">
        <v>111</v>
      </c>
      <c r="P6169" t="str">
        <f>"85396-1684"</f>
        <v>85396-1684</v>
      </c>
      <c r="Q6169" t="s">
        <v>113</v>
      </c>
      <c r="R6169" t="str">
        <f>"502-80-670"</f>
        <v>502-80-670</v>
      </c>
      <c r="S6169" t="s">
        <v>37454</v>
      </c>
      <c r="U6169">
        <v>1892</v>
      </c>
      <c r="V6169">
        <v>0</v>
      </c>
      <c r="W6169">
        <v>3</v>
      </c>
      <c r="X6169">
        <v>2012</v>
      </c>
      <c r="Z6169">
        <v>1</v>
      </c>
      <c r="AB6169">
        <v>0</v>
      </c>
      <c r="AC6169" t="s">
        <v>115</v>
      </c>
      <c r="AD6169">
        <v>2</v>
      </c>
      <c r="AE6169" t="s">
        <v>115</v>
      </c>
      <c r="AF6169">
        <v>0</v>
      </c>
      <c r="AG6169">
        <v>0</v>
      </c>
      <c r="AH6169" t="s">
        <v>116</v>
      </c>
      <c r="AI6169" s="1">
        <v>49922</v>
      </c>
      <c r="AJ6169" s="2">
        <v>0.17</v>
      </c>
      <c r="AK6169" s="1">
        <v>288911</v>
      </c>
      <c r="AL6169" t="s">
        <v>117</v>
      </c>
      <c r="AM6169" t="s">
        <v>118</v>
      </c>
      <c r="AN6169">
        <v>7185</v>
      </c>
      <c r="AO6169">
        <v>0.16</v>
      </c>
      <c r="AR6169">
        <v>1</v>
      </c>
      <c r="AS6169" s="1">
        <v>20410</v>
      </c>
      <c r="AT6169" s="1">
        <v>4080</v>
      </c>
      <c r="AU6169" s="1">
        <v>16330</v>
      </c>
      <c r="AV6169">
        <v>80.010000000000005</v>
      </c>
      <c r="AX6169" s="1">
        <v>2644.36</v>
      </c>
      <c r="AY6169" t="s">
        <v>217</v>
      </c>
      <c r="AZ6169" t="s">
        <v>217</v>
      </c>
      <c r="BA6169" t="s">
        <v>218</v>
      </c>
      <c r="BB6169" s="3">
        <v>41925</v>
      </c>
      <c r="BD6169" t="s">
        <v>458</v>
      </c>
      <c r="BE6169" s="3">
        <v>41865</v>
      </c>
      <c r="BF6169" s="1">
        <v>237000</v>
      </c>
      <c r="BG6169" t="s">
        <v>37455</v>
      </c>
      <c r="BH6169" s="1">
        <v>125.26</v>
      </c>
      <c r="BI6169" s="1">
        <v>238989</v>
      </c>
      <c r="BJ6169" s="3">
        <v>42506</v>
      </c>
      <c r="BK6169" t="s">
        <v>123</v>
      </c>
      <c r="BL6169" t="str">
        <f>"2016.332732"</f>
        <v>2016.332732</v>
      </c>
      <c r="BM6169" t="s">
        <v>425</v>
      </c>
      <c r="BO6169" t="s">
        <v>37456</v>
      </c>
      <c r="BS6169">
        <v>30</v>
      </c>
      <c r="BW6169" t="str">
        <f>""</f>
        <v/>
      </c>
      <c r="CH6169" t="str">
        <f>""</f>
        <v/>
      </c>
      <c r="CS6169" t="str">
        <f>""</f>
        <v/>
      </c>
    </row>
    <row r="6170" spans="1:97" x14ac:dyDescent="0.25">
      <c r="A6170" t="s">
        <v>815</v>
      </c>
      <c r="B6170" t="s">
        <v>4660</v>
      </c>
      <c r="C6170" t="s">
        <v>1821</v>
      </c>
      <c r="D6170" t="s">
        <v>4660</v>
      </c>
      <c r="E6170" t="s">
        <v>37457</v>
      </c>
      <c r="F6170" t="s">
        <v>108</v>
      </c>
      <c r="H6170" t="s">
        <v>37458</v>
      </c>
      <c r="I6170" t="s">
        <v>390</v>
      </c>
      <c r="J6170" t="s">
        <v>111</v>
      </c>
      <c r="K6170" t="str">
        <f>"85044"</f>
        <v>85044</v>
      </c>
      <c r="L6170" t="s">
        <v>5209</v>
      </c>
      <c r="M6170" t="s">
        <v>37458</v>
      </c>
      <c r="N6170" t="s">
        <v>390</v>
      </c>
      <c r="O6170" t="s">
        <v>111</v>
      </c>
      <c r="P6170" t="str">
        <f>"85044-1008"</f>
        <v>85044-1008</v>
      </c>
      <c r="Q6170" t="s">
        <v>113</v>
      </c>
      <c r="R6170" t="str">
        <f>"301-40-432"</f>
        <v>301-40-432</v>
      </c>
      <c r="S6170" t="s">
        <v>37459</v>
      </c>
      <c r="T6170" t="s">
        <v>21946</v>
      </c>
      <c r="U6170">
        <v>1999</v>
      </c>
      <c r="V6170">
        <v>0</v>
      </c>
      <c r="W6170">
        <v>2</v>
      </c>
      <c r="X6170">
        <v>1979</v>
      </c>
      <c r="Z6170">
        <v>1</v>
      </c>
      <c r="AA6170" t="s">
        <v>26</v>
      </c>
      <c r="AB6170">
        <v>0</v>
      </c>
      <c r="AC6170" t="s">
        <v>115</v>
      </c>
      <c r="AD6170">
        <v>2</v>
      </c>
      <c r="AE6170" t="s">
        <v>115</v>
      </c>
      <c r="AF6170">
        <v>0</v>
      </c>
      <c r="AG6170">
        <v>0</v>
      </c>
      <c r="AH6170" t="s">
        <v>116</v>
      </c>
      <c r="AI6170" s="1">
        <v>62386</v>
      </c>
      <c r="AJ6170" s="2">
        <v>0.17</v>
      </c>
      <c r="AK6170" s="1">
        <v>368836</v>
      </c>
      <c r="AL6170" t="s">
        <v>117</v>
      </c>
      <c r="AM6170" t="s">
        <v>191</v>
      </c>
      <c r="AN6170">
        <v>10829</v>
      </c>
      <c r="AO6170">
        <v>0.25</v>
      </c>
      <c r="AP6170">
        <v>1</v>
      </c>
      <c r="AR6170">
        <v>1</v>
      </c>
      <c r="AS6170" s="1">
        <v>27250</v>
      </c>
      <c r="AT6170" s="1">
        <v>5450</v>
      </c>
      <c r="AU6170" s="1">
        <v>21800</v>
      </c>
      <c r="AV6170">
        <v>80</v>
      </c>
      <c r="AX6170" s="1">
        <v>2043.44</v>
      </c>
      <c r="AY6170" t="s">
        <v>11872</v>
      </c>
      <c r="AZ6170" t="s">
        <v>7255</v>
      </c>
      <c r="BA6170" t="s">
        <v>5328</v>
      </c>
      <c r="BE6170" s="3">
        <v>42222</v>
      </c>
      <c r="BF6170" s="1">
        <v>300000</v>
      </c>
      <c r="BG6170" t="s">
        <v>37460</v>
      </c>
      <c r="BH6170" s="1">
        <v>150.08000000000001</v>
      </c>
      <c r="BI6170" s="1">
        <v>306450</v>
      </c>
      <c r="BJ6170" s="3">
        <v>42222</v>
      </c>
      <c r="BK6170" t="s">
        <v>123</v>
      </c>
      <c r="BL6170" t="str">
        <f>"2015.570745"</f>
        <v>2015.570745</v>
      </c>
      <c r="BM6170" t="s">
        <v>709</v>
      </c>
      <c r="BO6170" t="s">
        <v>37461</v>
      </c>
      <c r="BS6170">
        <v>30</v>
      </c>
      <c r="BW6170" t="str">
        <f>""</f>
        <v/>
      </c>
      <c r="CH6170" t="str">
        <f>""</f>
        <v/>
      </c>
      <c r="CS6170" t="str">
        <f>""</f>
        <v/>
      </c>
    </row>
    <row r="6171" spans="1:97" x14ac:dyDescent="0.25">
      <c r="A6171" t="s">
        <v>140</v>
      </c>
      <c r="B6171" t="s">
        <v>11434</v>
      </c>
      <c r="C6171" t="s">
        <v>1930</v>
      </c>
      <c r="D6171" t="s">
        <v>1552</v>
      </c>
      <c r="E6171" t="s">
        <v>37462</v>
      </c>
      <c r="F6171" t="s">
        <v>108</v>
      </c>
      <c r="H6171" t="s">
        <v>37463</v>
      </c>
      <c r="I6171" t="s">
        <v>390</v>
      </c>
      <c r="J6171" t="s">
        <v>111</v>
      </c>
      <c r="K6171" t="str">
        <f>"85029"</f>
        <v>85029</v>
      </c>
      <c r="L6171" t="s">
        <v>5416</v>
      </c>
      <c r="M6171" t="s">
        <v>37463</v>
      </c>
      <c r="N6171" t="s">
        <v>390</v>
      </c>
      <c r="O6171" t="s">
        <v>111</v>
      </c>
      <c r="P6171" t="str">
        <f>"85029-1557"</f>
        <v>85029-1557</v>
      </c>
      <c r="Q6171" t="s">
        <v>113</v>
      </c>
      <c r="R6171" t="str">
        <f>"149-61-195"</f>
        <v>149-61-195</v>
      </c>
      <c r="S6171" t="s">
        <v>37464</v>
      </c>
      <c r="T6171" t="s">
        <v>19933</v>
      </c>
      <c r="U6171">
        <v>1823</v>
      </c>
      <c r="V6171">
        <v>0</v>
      </c>
      <c r="W6171">
        <v>2</v>
      </c>
      <c r="X6171">
        <v>1970</v>
      </c>
      <c r="Z6171">
        <v>1</v>
      </c>
      <c r="AA6171" t="s">
        <v>26</v>
      </c>
      <c r="AB6171">
        <v>0</v>
      </c>
      <c r="AC6171" t="s">
        <v>115</v>
      </c>
      <c r="AD6171">
        <v>2</v>
      </c>
      <c r="AE6171" t="s">
        <v>115</v>
      </c>
      <c r="AF6171">
        <v>0</v>
      </c>
      <c r="AG6171">
        <v>0</v>
      </c>
      <c r="AH6171" t="s">
        <v>116</v>
      </c>
      <c r="AI6171" s="1">
        <v>31583</v>
      </c>
      <c r="AJ6171" s="2">
        <v>0.11</v>
      </c>
      <c r="AK6171" s="1">
        <v>286614</v>
      </c>
      <c r="AL6171" t="s">
        <v>117</v>
      </c>
      <c r="AM6171" t="s">
        <v>171</v>
      </c>
      <c r="AN6171">
        <v>10020</v>
      </c>
      <c r="AO6171">
        <v>0.23</v>
      </c>
      <c r="AP6171">
        <v>1</v>
      </c>
      <c r="AR6171">
        <v>1</v>
      </c>
      <c r="AS6171" s="1">
        <v>18160</v>
      </c>
      <c r="AT6171" s="1">
        <v>3630</v>
      </c>
      <c r="AU6171" s="1">
        <v>14530</v>
      </c>
      <c r="AV6171">
        <v>80.010000000000005</v>
      </c>
      <c r="AX6171" s="1">
        <v>1593.44</v>
      </c>
      <c r="AY6171" t="s">
        <v>19934</v>
      </c>
      <c r="AZ6171" t="s">
        <v>8648</v>
      </c>
      <c r="BA6171" t="s">
        <v>8649</v>
      </c>
      <c r="BB6171" s="3">
        <v>42529</v>
      </c>
      <c r="BD6171" t="s">
        <v>458</v>
      </c>
      <c r="BE6171" s="3">
        <v>42482</v>
      </c>
      <c r="BF6171" s="1">
        <v>250000</v>
      </c>
      <c r="BG6171" t="s">
        <v>37465</v>
      </c>
      <c r="BH6171" s="1">
        <v>137.13999999999999</v>
      </c>
      <c r="BI6171" s="1">
        <v>255031</v>
      </c>
      <c r="BJ6171" s="3">
        <v>42635</v>
      </c>
      <c r="BK6171" t="s">
        <v>123</v>
      </c>
      <c r="BL6171" t="str">
        <f>"2016.688967"</f>
        <v>2016.688967</v>
      </c>
      <c r="BM6171" t="s">
        <v>402</v>
      </c>
      <c r="BO6171" t="s">
        <v>37466</v>
      </c>
      <c r="BP6171" t="s">
        <v>37467</v>
      </c>
      <c r="BS6171">
        <v>30</v>
      </c>
      <c r="BW6171" t="str">
        <f>""</f>
        <v/>
      </c>
      <c r="CH6171" t="str">
        <f>""</f>
        <v/>
      </c>
      <c r="CS6171" t="str">
        <f>""</f>
        <v/>
      </c>
    </row>
    <row r="6172" spans="1:97" x14ac:dyDescent="0.25">
      <c r="A6172" t="s">
        <v>996</v>
      </c>
      <c r="B6172" t="s">
        <v>37468</v>
      </c>
      <c r="E6172" t="s">
        <v>37469</v>
      </c>
      <c r="F6172" t="s">
        <v>108</v>
      </c>
      <c r="H6172" t="s">
        <v>37470</v>
      </c>
      <c r="I6172" t="s">
        <v>390</v>
      </c>
      <c r="J6172" t="s">
        <v>111</v>
      </c>
      <c r="K6172" t="str">
        <f>"85015"</f>
        <v>85015</v>
      </c>
      <c r="L6172" t="s">
        <v>7695</v>
      </c>
      <c r="M6172" t="s">
        <v>37470</v>
      </c>
      <c r="N6172" t="s">
        <v>390</v>
      </c>
      <c r="O6172" t="s">
        <v>111</v>
      </c>
      <c r="P6172" t="str">
        <f>"85015-5846"</f>
        <v>85015-5846</v>
      </c>
      <c r="Q6172" t="s">
        <v>113</v>
      </c>
      <c r="R6172" t="str">
        <f>"110-27-038"</f>
        <v>110-27-038</v>
      </c>
      <c r="S6172" t="s">
        <v>22760</v>
      </c>
      <c r="T6172" t="s">
        <v>22760</v>
      </c>
      <c r="U6172">
        <v>2004</v>
      </c>
      <c r="V6172">
        <v>0</v>
      </c>
      <c r="W6172">
        <v>3</v>
      </c>
      <c r="X6172">
        <v>1953</v>
      </c>
      <c r="Z6172">
        <v>1</v>
      </c>
      <c r="AA6172" t="s">
        <v>26</v>
      </c>
      <c r="AB6172">
        <v>0</v>
      </c>
      <c r="AC6172" t="s">
        <v>115</v>
      </c>
      <c r="AD6172">
        <v>1</v>
      </c>
      <c r="AE6172" t="s">
        <v>115</v>
      </c>
      <c r="AF6172">
        <v>0</v>
      </c>
      <c r="AG6172">
        <v>0</v>
      </c>
      <c r="AH6172" t="s">
        <v>116</v>
      </c>
      <c r="AI6172" s="1">
        <v>163037</v>
      </c>
      <c r="AJ6172" s="2">
        <v>0.39</v>
      </c>
      <c r="AK6172" s="1">
        <v>418309</v>
      </c>
      <c r="AL6172" t="s">
        <v>117</v>
      </c>
      <c r="AM6172" t="s">
        <v>191</v>
      </c>
      <c r="AN6172">
        <v>9771</v>
      </c>
      <c r="AO6172">
        <v>0.22</v>
      </c>
      <c r="AP6172">
        <v>1</v>
      </c>
      <c r="AR6172">
        <v>1</v>
      </c>
      <c r="AS6172" s="1">
        <v>14075</v>
      </c>
      <c r="AT6172" s="1">
        <v>2815</v>
      </c>
      <c r="AU6172" s="1">
        <v>11260</v>
      </c>
      <c r="AV6172">
        <v>80</v>
      </c>
      <c r="AX6172" s="1">
        <v>1541.88</v>
      </c>
      <c r="AY6172" t="s">
        <v>5468</v>
      </c>
      <c r="AZ6172" t="s">
        <v>5468</v>
      </c>
      <c r="BA6172" t="s">
        <v>5469</v>
      </c>
      <c r="BE6172" s="3">
        <v>42536</v>
      </c>
      <c r="BF6172" s="1">
        <v>249900</v>
      </c>
      <c r="BG6172" t="s">
        <v>37471</v>
      </c>
      <c r="BH6172" s="1">
        <v>124.7</v>
      </c>
      <c r="BI6172" s="1">
        <v>255272</v>
      </c>
      <c r="BJ6172" s="3">
        <v>42536</v>
      </c>
      <c r="BK6172" t="s">
        <v>123</v>
      </c>
      <c r="BL6172" t="str">
        <f>"2016.414738"</f>
        <v>2016.414738</v>
      </c>
      <c r="BM6172" t="s">
        <v>724</v>
      </c>
      <c r="BO6172" t="s">
        <v>37472</v>
      </c>
      <c r="BS6172">
        <v>30</v>
      </c>
      <c r="BW6172" t="str">
        <f>""</f>
        <v/>
      </c>
      <c r="CH6172" t="str">
        <f>""</f>
        <v/>
      </c>
      <c r="CS6172" t="str">
        <f>""</f>
        <v/>
      </c>
    </row>
    <row r="6173" spans="1:97" x14ac:dyDescent="0.25">
      <c r="A6173" t="s">
        <v>353</v>
      </c>
      <c r="B6173" t="s">
        <v>19436</v>
      </c>
      <c r="C6173" t="s">
        <v>15226</v>
      </c>
      <c r="D6173" t="s">
        <v>37473</v>
      </c>
      <c r="E6173" t="s">
        <v>37474</v>
      </c>
      <c r="F6173" t="s">
        <v>108</v>
      </c>
      <c r="H6173" t="s">
        <v>37475</v>
      </c>
      <c r="I6173" t="s">
        <v>632</v>
      </c>
      <c r="J6173" t="s">
        <v>111</v>
      </c>
      <c r="K6173" t="str">
        <f>"85374"</f>
        <v>85374</v>
      </c>
      <c r="L6173" t="s">
        <v>7746</v>
      </c>
      <c r="M6173" t="s">
        <v>37475</v>
      </c>
      <c r="N6173" t="s">
        <v>632</v>
      </c>
      <c r="O6173" t="s">
        <v>111</v>
      </c>
      <c r="P6173" t="str">
        <f>"85374-3428"</f>
        <v>85374-3428</v>
      </c>
      <c r="Q6173" t="s">
        <v>113</v>
      </c>
      <c r="R6173" t="str">
        <f>"503-98-041"</f>
        <v>503-98-041</v>
      </c>
      <c r="S6173" t="s">
        <v>37476</v>
      </c>
      <c r="U6173">
        <v>1518</v>
      </c>
      <c r="V6173">
        <v>0</v>
      </c>
      <c r="W6173">
        <v>3</v>
      </c>
      <c r="X6173">
        <v>1995</v>
      </c>
      <c r="Z6173">
        <v>2</v>
      </c>
      <c r="AB6173">
        <v>0</v>
      </c>
      <c r="AC6173" t="s">
        <v>115</v>
      </c>
      <c r="AD6173">
        <v>2</v>
      </c>
      <c r="AE6173" t="s">
        <v>115</v>
      </c>
      <c r="AF6173">
        <v>0</v>
      </c>
      <c r="AG6173">
        <v>0</v>
      </c>
      <c r="AH6173" t="s">
        <v>116</v>
      </c>
      <c r="AI6173" s="1">
        <v>21025</v>
      </c>
      <c r="AJ6173" s="2">
        <v>0.09</v>
      </c>
      <c r="AK6173" s="1">
        <v>228658</v>
      </c>
      <c r="AL6173" t="s">
        <v>117</v>
      </c>
      <c r="AM6173" t="s">
        <v>118</v>
      </c>
      <c r="AN6173">
        <v>4500</v>
      </c>
      <c r="AO6173">
        <v>0.1</v>
      </c>
      <c r="AP6173">
        <v>1</v>
      </c>
      <c r="AR6173">
        <v>1</v>
      </c>
      <c r="AS6173" s="1">
        <v>14800</v>
      </c>
      <c r="AT6173" s="1">
        <v>2960</v>
      </c>
      <c r="AU6173" s="1">
        <v>11840</v>
      </c>
      <c r="AV6173">
        <v>80</v>
      </c>
      <c r="AX6173" s="1">
        <v>980.58</v>
      </c>
      <c r="AY6173" t="s">
        <v>5108</v>
      </c>
      <c r="AZ6173" t="s">
        <v>5108</v>
      </c>
      <c r="BA6173" t="s">
        <v>5109</v>
      </c>
      <c r="BE6173" s="3">
        <v>42412</v>
      </c>
      <c r="BF6173" s="1">
        <v>167900</v>
      </c>
      <c r="BG6173" t="s">
        <v>37477</v>
      </c>
      <c r="BH6173" s="1">
        <v>110.61</v>
      </c>
      <c r="BI6173" s="1">
        <v>207633</v>
      </c>
      <c r="BJ6173" s="3">
        <v>43355</v>
      </c>
      <c r="BK6173" t="s">
        <v>123</v>
      </c>
      <c r="BL6173" t="str">
        <f>"2018.686119"</f>
        <v>2018.686119</v>
      </c>
      <c r="BM6173" t="s">
        <v>533</v>
      </c>
      <c r="BN6173" t="s">
        <v>534</v>
      </c>
      <c r="BO6173" t="s">
        <v>37478</v>
      </c>
      <c r="BP6173" t="s">
        <v>37479</v>
      </c>
      <c r="BR6173" t="s">
        <v>139</v>
      </c>
      <c r="BW6173" t="str">
        <f>""</f>
        <v/>
      </c>
      <c r="CH6173" t="str">
        <f>""</f>
        <v/>
      </c>
      <c r="CS6173" t="str">
        <f>""</f>
        <v/>
      </c>
    </row>
    <row r="6174" spans="1:97" x14ac:dyDescent="0.25">
      <c r="A6174" t="s">
        <v>325</v>
      </c>
      <c r="B6174" t="s">
        <v>1552</v>
      </c>
      <c r="C6174" t="s">
        <v>25189</v>
      </c>
      <c r="D6174" t="s">
        <v>1552</v>
      </c>
      <c r="E6174" t="s">
        <v>37480</v>
      </c>
      <c r="F6174" t="s">
        <v>108</v>
      </c>
      <c r="H6174" t="s">
        <v>37481</v>
      </c>
      <c r="I6174" t="s">
        <v>203</v>
      </c>
      <c r="J6174" t="s">
        <v>111</v>
      </c>
      <c r="K6174" t="str">
        <f>"85297"</f>
        <v>85297</v>
      </c>
      <c r="L6174" t="s">
        <v>26167</v>
      </c>
      <c r="M6174" t="s">
        <v>37482</v>
      </c>
      <c r="N6174" t="s">
        <v>203</v>
      </c>
      <c r="O6174" t="s">
        <v>111</v>
      </c>
      <c r="P6174" t="str">
        <f>"85297"</f>
        <v>85297</v>
      </c>
      <c r="Q6174" t="s">
        <v>113</v>
      </c>
      <c r="R6174" t="str">
        <f>"304-52-275"</f>
        <v>304-52-275</v>
      </c>
      <c r="S6174" t="s">
        <v>37483</v>
      </c>
      <c r="T6174" t="s">
        <v>14324</v>
      </c>
      <c r="U6174">
        <v>1776</v>
      </c>
      <c r="V6174">
        <v>0</v>
      </c>
      <c r="W6174">
        <v>4</v>
      </c>
      <c r="X6174">
        <v>2006</v>
      </c>
      <c r="Z6174">
        <v>2</v>
      </c>
      <c r="AB6174">
        <v>0</v>
      </c>
      <c r="AC6174" t="s">
        <v>115</v>
      </c>
      <c r="AD6174">
        <v>2</v>
      </c>
      <c r="AE6174" t="s">
        <v>115</v>
      </c>
      <c r="AF6174">
        <v>0</v>
      </c>
      <c r="AG6174">
        <v>0</v>
      </c>
      <c r="AH6174" t="s">
        <v>116</v>
      </c>
      <c r="AI6174" s="1">
        <v>81437</v>
      </c>
      <c r="AJ6174" s="2">
        <v>0.28000000000000003</v>
      </c>
      <c r="AK6174" s="1">
        <v>290086</v>
      </c>
      <c r="AL6174" t="s">
        <v>117</v>
      </c>
      <c r="AM6174" t="s">
        <v>288</v>
      </c>
      <c r="AN6174">
        <v>3959</v>
      </c>
      <c r="AO6174">
        <v>0.91</v>
      </c>
      <c r="AR6174">
        <v>1</v>
      </c>
      <c r="AS6174" s="1">
        <v>19860</v>
      </c>
      <c r="AT6174" s="1">
        <v>3970</v>
      </c>
      <c r="AU6174" s="1">
        <v>15890</v>
      </c>
      <c r="AV6174">
        <v>80.010000000000005</v>
      </c>
      <c r="AX6174" s="1">
        <v>1487.2</v>
      </c>
      <c r="AY6174" t="s">
        <v>8338</v>
      </c>
      <c r="AZ6174" t="s">
        <v>8338</v>
      </c>
      <c r="BA6174" t="s">
        <v>290</v>
      </c>
      <c r="BE6174" s="3">
        <v>42222</v>
      </c>
      <c r="BF6174" s="1">
        <v>205000</v>
      </c>
      <c r="BG6174" t="s">
        <v>37484</v>
      </c>
      <c r="BH6174" s="1">
        <v>115.43</v>
      </c>
      <c r="BI6174" s="1">
        <v>208649</v>
      </c>
      <c r="BJ6174" s="3">
        <v>42563</v>
      </c>
      <c r="BK6174" t="s">
        <v>123</v>
      </c>
      <c r="BL6174" t="str">
        <f>"2016.489497"</f>
        <v>2016.489497</v>
      </c>
      <c r="BM6174" t="s">
        <v>402</v>
      </c>
      <c r="BO6174" t="s">
        <v>37485</v>
      </c>
      <c r="BS6174">
        <v>30</v>
      </c>
      <c r="BW6174" t="str">
        <f>""</f>
        <v/>
      </c>
      <c r="CH6174" t="str">
        <f>""</f>
        <v/>
      </c>
      <c r="CS6174" t="str">
        <f>""</f>
        <v/>
      </c>
    </row>
    <row r="6175" spans="1:97" x14ac:dyDescent="0.25">
      <c r="A6175" t="s">
        <v>1388</v>
      </c>
      <c r="B6175" t="s">
        <v>37486</v>
      </c>
      <c r="C6175" t="s">
        <v>1620</v>
      </c>
      <c r="D6175" t="s">
        <v>37486</v>
      </c>
      <c r="E6175" t="s">
        <v>37487</v>
      </c>
      <c r="F6175" t="s">
        <v>108</v>
      </c>
      <c r="H6175" t="s">
        <v>37488</v>
      </c>
      <c r="I6175" t="s">
        <v>144</v>
      </c>
      <c r="J6175" t="s">
        <v>111</v>
      </c>
      <c r="K6175" t="str">
        <f>"85326"</f>
        <v>85326</v>
      </c>
      <c r="L6175" t="s">
        <v>8146</v>
      </c>
      <c r="M6175" t="s">
        <v>37488</v>
      </c>
      <c r="N6175" t="s">
        <v>144</v>
      </c>
      <c r="O6175" t="s">
        <v>111</v>
      </c>
      <c r="P6175" t="str">
        <f>"85326-6648"</f>
        <v>85326-6648</v>
      </c>
      <c r="Q6175" t="s">
        <v>113</v>
      </c>
      <c r="R6175" t="str">
        <f>"502-35-468"</f>
        <v>502-35-468</v>
      </c>
      <c r="S6175" t="s">
        <v>10984</v>
      </c>
      <c r="U6175">
        <v>1820</v>
      </c>
      <c r="V6175">
        <v>0</v>
      </c>
      <c r="W6175">
        <v>3</v>
      </c>
      <c r="X6175">
        <v>2016</v>
      </c>
      <c r="Z6175">
        <v>1</v>
      </c>
      <c r="AB6175">
        <v>0</v>
      </c>
      <c r="AC6175" t="s">
        <v>115</v>
      </c>
      <c r="AD6175">
        <v>2</v>
      </c>
      <c r="AE6175" t="s">
        <v>115</v>
      </c>
      <c r="AF6175">
        <v>0</v>
      </c>
      <c r="AG6175">
        <v>0</v>
      </c>
      <c r="AH6175" t="s">
        <v>116</v>
      </c>
      <c r="AI6175" s="1">
        <v>45052</v>
      </c>
      <c r="AJ6175" s="2">
        <v>0.17</v>
      </c>
      <c r="AK6175" s="1">
        <v>265223</v>
      </c>
      <c r="AL6175" t="s">
        <v>117</v>
      </c>
      <c r="AM6175" t="s">
        <v>118</v>
      </c>
      <c r="AN6175">
        <v>7795</v>
      </c>
      <c r="AO6175">
        <v>0.18</v>
      </c>
      <c r="AR6175">
        <v>1</v>
      </c>
      <c r="AS6175" s="1">
        <v>18280</v>
      </c>
      <c r="AT6175" s="1">
        <v>3650</v>
      </c>
      <c r="AU6175" s="1">
        <v>14630</v>
      </c>
      <c r="AV6175">
        <v>80.03</v>
      </c>
      <c r="AX6175" s="1">
        <v>1510.48</v>
      </c>
      <c r="AY6175" t="s">
        <v>2767</v>
      </c>
      <c r="AZ6175" t="s">
        <v>2767</v>
      </c>
      <c r="BA6175" t="s">
        <v>5025</v>
      </c>
      <c r="BB6175" s="3">
        <v>42451</v>
      </c>
      <c r="BD6175" t="s">
        <v>842</v>
      </c>
      <c r="BE6175" s="3">
        <v>42438</v>
      </c>
      <c r="BF6175" s="1">
        <v>204393</v>
      </c>
      <c r="BG6175" t="s">
        <v>1079</v>
      </c>
      <c r="BH6175" s="1">
        <v>112.3</v>
      </c>
      <c r="BI6175" s="1">
        <v>220171</v>
      </c>
      <c r="BJ6175" s="3">
        <v>42438</v>
      </c>
      <c r="BK6175" t="s">
        <v>123</v>
      </c>
      <c r="BL6175" t="str">
        <f>"2016.151685"</f>
        <v>2016.151685</v>
      </c>
      <c r="BM6175" t="s">
        <v>1080</v>
      </c>
      <c r="BO6175" t="s">
        <v>37489</v>
      </c>
      <c r="BS6175">
        <v>30</v>
      </c>
      <c r="BW6175" t="str">
        <f>""</f>
        <v/>
      </c>
      <c r="CH6175" t="str">
        <f>""</f>
        <v/>
      </c>
      <c r="CS6175" t="str">
        <f>""</f>
        <v/>
      </c>
    </row>
    <row r="6176" spans="1:97" x14ac:dyDescent="0.25">
      <c r="A6176" t="s">
        <v>37490</v>
      </c>
      <c r="B6176" t="s">
        <v>36646</v>
      </c>
      <c r="C6176" t="s">
        <v>370</v>
      </c>
      <c r="D6176" t="s">
        <v>2365</v>
      </c>
      <c r="E6176" t="s">
        <v>37491</v>
      </c>
      <c r="F6176" t="s">
        <v>108</v>
      </c>
      <c r="H6176" t="s">
        <v>37492</v>
      </c>
      <c r="I6176" t="s">
        <v>390</v>
      </c>
      <c r="J6176" t="s">
        <v>111</v>
      </c>
      <c r="K6176" t="str">
        <f>"85013"</f>
        <v>85013</v>
      </c>
      <c r="L6176" t="s">
        <v>5228</v>
      </c>
      <c r="M6176" t="s">
        <v>37492</v>
      </c>
      <c r="N6176" t="s">
        <v>390</v>
      </c>
      <c r="O6176" t="s">
        <v>111</v>
      </c>
      <c r="P6176" t="str">
        <f>"85013-1722"</f>
        <v>85013-1722</v>
      </c>
      <c r="Q6176" t="s">
        <v>113</v>
      </c>
      <c r="R6176" t="str">
        <f>"156-33-085"</f>
        <v>156-33-085</v>
      </c>
      <c r="S6176" t="s">
        <v>37493</v>
      </c>
      <c r="T6176" t="s">
        <v>30679</v>
      </c>
      <c r="U6176">
        <v>1624</v>
      </c>
      <c r="V6176">
        <v>0</v>
      </c>
      <c r="W6176">
        <v>2</v>
      </c>
      <c r="X6176">
        <v>1951</v>
      </c>
      <c r="Z6176">
        <v>1</v>
      </c>
      <c r="AB6176">
        <v>0</v>
      </c>
      <c r="AC6176" t="s">
        <v>7038</v>
      </c>
      <c r="AD6176">
        <v>0</v>
      </c>
      <c r="AE6176" t="s">
        <v>7038</v>
      </c>
      <c r="AF6176">
        <v>0</v>
      </c>
      <c r="AG6176">
        <v>0</v>
      </c>
      <c r="AH6176" t="s">
        <v>116</v>
      </c>
      <c r="AI6176" s="1">
        <v>58768</v>
      </c>
      <c r="AJ6176" s="2">
        <v>0.16</v>
      </c>
      <c r="AK6176" s="1">
        <v>365218</v>
      </c>
      <c r="AL6176" t="s">
        <v>117</v>
      </c>
      <c r="AM6176" t="s">
        <v>191</v>
      </c>
      <c r="AN6176">
        <v>8329</v>
      </c>
      <c r="AO6176">
        <v>0.19</v>
      </c>
      <c r="AP6176">
        <v>1</v>
      </c>
      <c r="AR6176">
        <v>1</v>
      </c>
      <c r="AS6176" s="1">
        <v>22180</v>
      </c>
      <c r="AT6176" s="1">
        <v>4430</v>
      </c>
      <c r="AU6176" s="1">
        <v>17750</v>
      </c>
      <c r="AV6176">
        <v>80.03</v>
      </c>
      <c r="AX6176" s="1">
        <v>1464.54</v>
      </c>
      <c r="AY6176" t="s">
        <v>16158</v>
      </c>
      <c r="AZ6176" t="s">
        <v>5690</v>
      </c>
      <c r="BA6176" t="s">
        <v>5691</v>
      </c>
      <c r="BE6176" s="3">
        <v>42341</v>
      </c>
      <c r="BF6176" s="1">
        <v>300000</v>
      </c>
      <c r="BG6176" t="s">
        <v>37494</v>
      </c>
      <c r="BH6176" s="1">
        <v>184.73</v>
      </c>
      <c r="BI6176" s="1">
        <v>306450</v>
      </c>
      <c r="BJ6176" s="3">
        <v>42341</v>
      </c>
      <c r="BK6176" t="s">
        <v>123</v>
      </c>
      <c r="BL6176" t="str">
        <f>"2015.858754"</f>
        <v>2015.858754</v>
      </c>
      <c r="BM6176" t="s">
        <v>2472</v>
      </c>
      <c r="BO6176" t="s">
        <v>37495</v>
      </c>
      <c r="BP6176" t="s">
        <v>37496</v>
      </c>
      <c r="BS6176">
        <v>30</v>
      </c>
      <c r="BW6176" t="str">
        <f>""</f>
        <v/>
      </c>
      <c r="CH6176" t="str">
        <f>""</f>
        <v/>
      </c>
      <c r="CS6176" t="str">
        <f>""</f>
        <v/>
      </c>
    </row>
    <row r="6177" spans="1:97" x14ac:dyDescent="0.25">
      <c r="A6177" t="s">
        <v>1344</v>
      </c>
      <c r="B6177" t="s">
        <v>37497</v>
      </c>
      <c r="C6177" t="s">
        <v>1366</v>
      </c>
      <c r="D6177" t="s">
        <v>37497</v>
      </c>
      <c r="E6177" t="s">
        <v>37498</v>
      </c>
      <c r="F6177" t="s">
        <v>108</v>
      </c>
      <c r="H6177" t="s">
        <v>37499</v>
      </c>
      <c r="I6177" t="s">
        <v>5523</v>
      </c>
      <c r="J6177" t="s">
        <v>111</v>
      </c>
      <c r="K6177" t="str">
        <f>"85373"</f>
        <v>85373</v>
      </c>
      <c r="L6177" t="s">
        <v>2197</v>
      </c>
      <c r="M6177" t="s">
        <v>37499</v>
      </c>
      <c r="N6177" t="s">
        <v>5523</v>
      </c>
      <c r="O6177" t="s">
        <v>111</v>
      </c>
      <c r="P6177" t="str">
        <f>"85373-5015"</f>
        <v>85373-5015</v>
      </c>
      <c r="Q6177" t="s">
        <v>113</v>
      </c>
      <c r="R6177" t="str">
        <f>"503-97-504"</f>
        <v>503-97-504</v>
      </c>
      <c r="S6177" t="s">
        <v>21924</v>
      </c>
      <c r="T6177" t="s">
        <v>21925</v>
      </c>
      <c r="U6177">
        <v>1531</v>
      </c>
      <c r="V6177">
        <v>0</v>
      </c>
      <c r="W6177">
        <v>2</v>
      </c>
      <c r="X6177">
        <v>2006</v>
      </c>
      <c r="Z6177">
        <v>1</v>
      </c>
      <c r="AB6177">
        <v>0</v>
      </c>
      <c r="AC6177" t="s">
        <v>115</v>
      </c>
      <c r="AD6177">
        <v>2</v>
      </c>
      <c r="AE6177" t="s">
        <v>115</v>
      </c>
      <c r="AF6177">
        <v>0</v>
      </c>
      <c r="AG6177">
        <v>0</v>
      </c>
      <c r="AH6177" t="s">
        <v>116</v>
      </c>
      <c r="AI6177" s="1">
        <v>36842</v>
      </c>
      <c r="AJ6177" s="2">
        <v>0.15</v>
      </c>
      <c r="AK6177" s="1">
        <v>243442</v>
      </c>
      <c r="AL6177" t="s">
        <v>117</v>
      </c>
      <c r="AM6177" t="s">
        <v>191</v>
      </c>
      <c r="AN6177">
        <v>4950</v>
      </c>
      <c r="AO6177">
        <v>0.11</v>
      </c>
      <c r="AR6177">
        <v>1</v>
      </c>
      <c r="AS6177" s="1">
        <v>16060</v>
      </c>
      <c r="AT6177" s="1">
        <v>3210</v>
      </c>
      <c r="AU6177" s="1">
        <v>12850</v>
      </c>
      <c r="AV6177">
        <v>80.010000000000005</v>
      </c>
      <c r="AX6177" s="1">
        <v>1436.92</v>
      </c>
      <c r="AY6177" t="s">
        <v>3228</v>
      </c>
      <c r="AZ6177" t="s">
        <v>3228</v>
      </c>
      <c r="BA6177" t="s">
        <v>457</v>
      </c>
      <c r="BE6177" s="3">
        <v>41799</v>
      </c>
      <c r="BF6177" s="1">
        <v>177900</v>
      </c>
      <c r="BG6177" t="s">
        <v>37500</v>
      </c>
      <c r="BH6177" s="1">
        <v>116.2</v>
      </c>
      <c r="BI6177" s="1">
        <v>206600</v>
      </c>
      <c r="BJ6177" s="3">
        <v>42654</v>
      </c>
      <c r="BK6177" t="s">
        <v>123</v>
      </c>
      <c r="BL6177" t="str">
        <f>"2016.745481"</f>
        <v>2016.745481</v>
      </c>
      <c r="BM6177" t="s">
        <v>1998</v>
      </c>
      <c r="BO6177" t="s">
        <v>37501</v>
      </c>
      <c r="BS6177">
        <v>30</v>
      </c>
      <c r="BW6177" t="str">
        <f>""</f>
        <v/>
      </c>
      <c r="CH6177" t="str">
        <f>""</f>
        <v/>
      </c>
      <c r="CS6177" t="str">
        <f>""</f>
        <v/>
      </c>
    </row>
    <row r="6178" spans="1:97" x14ac:dyDescent="0.25">
      <c r="A6178" t="s">
        <v>10843</v>
      </c>
      <c r="B6178" t="s">
        <v>2103</v>
      </c>
      <c r="C6178" t="s">
        <v>37502</v>
      </c>
      <c r="D6178" t="s">
        <v>2103</v>
      </c>
      <c r="E6178" t="s">
        <v>37503</v>
      </c>
      <c r="F6178" t="s">
        <v>108</v>
      </c>
      <c r="H6178" t="s">
        <v>37504</v>
      </c>
      <c r="I6178" t="s">
        <v>390</v>
      </c>
      <c r="J6178" t="s">
        <v>111</v>
      </c>
      <c r="K6178" t="str">
        <f>"85086"</f>
        <v>85086</v>
      </c>
      <c r="L6178" t="s">
        <v>3116</v>
      </c>
      <c r="M6178" t="s">
        <v>37504</v>
      </c>
      <c r="N6178" t="s">
        <v>390</v>
      </c>
      <c r="O6178" t="s">
        <v>111</v>
      </c>
      <c r="P6178" t="str">
        <f>"85086-4942"</f>
        <v>85086-4942</v>
      </c>
      <c r="Q6178" t="s">
        <v>113</v>
      </c>
      <c r="R6178" t="str">
        <f>"203-40-150"</f>
        <v>203-40-150</v>
      </c>
      <c r="S6178" t="s">
        <v>37505</v>
      </c>
      <c r="U6178">
        <v>1432</v>
      </c>
      <c r="V6178">
        <v>0</v>
      </c>
      <c r="W6178">
        <v>3</v>
      </c>
      <c r="X6178">
        <v>2003</v>
      </c>
      <c r="Z6178">
        <v>1</v>
      </c>
      <c r="AB6178">
        <v>0</v>
      </c>
      <c r="AC6178" t="s">
        <v>115</v>
      </c>
      <c r="AD6178">
        <v>2</v>
      </c>
      <c r="AE6178" t="s">
        <v>115</v>
      </c>
      <c r="AF6178">
        <v>0</v>
      </c>
      <c r="AG6178">
        <v>0</v>
      </c>
      <c r="AH6178" t="s">
        <v>116</v>
      </c>
      <c r="AI6178" s="1">
        <v>48264</v>
      </c>
      <c r="AJ6178" s="2">
        <v>0.18</v>
      </c>
      <c r="AK6178" s="1">
        <v>261164</v>
      </c>
      <c r="AL6178" t="s">
        <v>117</v>
      </c>
      <c r="AM6178" t="s">
        <v>3345</v>
      </c>
      <c r="AN6178">
        <v>5299</v>
      </c>
      <c r="AO6178">
        <v>0.12</v>
      </c>
      <c r="AP6178">
        <v>1</v>
      </c>
      <c r="AR6178">
        <v>1</v>
      </c>
      <c r="AS6178" s="1">
        <v>17630</v>
      </c>
      <c r="AT6178" s="1">
        <v>3520</v>
      </c>
      <c r="AU6178" s="1">
        <v>14110</v>
      </c>
      <c r="AV6178">
        <v>80.03</v>
      </c>
      <c r="AX6178" s="1">
        <v>1848.1</v>
      </c>
      <c r="AY6178" t="s">
        <v>665</v>
      </c>
      <c r="AZ6178" t="s">
        <v>665</v>
      </c>
      <c r="BA6178" t="s">
        <v>378</v>
      </c>
      <c r="BE6178" s="3">
        <v>42494</v>
      </c>
      <c r="BF6178" s="1">
        <v>212900</v>
      </c>
      <c r="BG6178" t="s">
        <v>37506</v>
      </c>
      <c r="BH6178" s="1">
        <v>148.66999999999999</v>
      </c>
      <c r="BI6178" s="1">
        <v>212900</v>
      </c>
      <c r="BJ6178" s="3">
        <v>42494</v>
      </c>
      <c r="BK6178" t="s">
        <v>123</v>
      </c>
      <c r="BL6178" t="str">
        <f>"2016.304983"</f>
        <v>2016.304983</v>
      </c>
      <c r="BM6178" t="s">
        <v>594</v>
      </c>
      <c r="BO6178" t="s">
        <v>37507</v>
      </c>
      <c r="BS6178">
        <v>30</v>
      </c>
      <c r="BW6178" t="str">
        <f>""</f>
        <v/>
      </c>
      <c r="CH6178" t="str">
        <f>""</f>
        <v/>
      </c>
      <c r="CS6178" t="str">
        <f>""</f>
        <v/>
      </c>
    </row>
    <row r="6179" spans="1:97" x14ac:dyDescent="0.25">
      <c r="A6179" t="s">
        <v>1160</v>
      </c>
      <c r="B6179" t="s">
        <v>25692</v>
      </c>
      <c r="C6179" t="s">
        <v>37508</v>
      </c>
      <c r="D6179" t="s">
        <v>25692</v>
      </c>
      <c r="E6179" t="s">
        <v>37509</v>
      </c>
      <c r="F6179" t="s">
        <v>108</v>
      </c>
      <c r="H6179" t="s">
        <v>37510</v>
      </c>
      <c r="I6179" t="s">
        <v>499</v>
      </c>
      <c r="J6179" t="s">
        <v>111</v>
      </c>
      <c r="K6179" t="str">
        <f>"85338"</f>
        <v>85338</v>
      </c>
      <c r="L6179" t="s">
        <v>8146</v>
      </c>
      <c r="M6179" t="s">
        <v>37510</v>
      </c>
      <c r="N6179" t="s">
        <v>499</v>
      </c>
      <c r="O6179" t="s">
        <v>111</v>
      </c>
      <c r="P6179" t="str">
        <f>"85338-7463"</f>
        <v>85338-7463</v>
      </c>
      <c r="Q6179" t="s">
        <v>113</v>
      </c>
      <c r="R6179" t="str">
        <f>"502-44-172"</f>
        <v>502-44-172</v>
      </c>
      <c r="S6179" t="s">
        <v>5101</v>
      </c>
      <c r="T6179" t="s">
        <v>5102</v>
      </c>
      <c r="U6179">
        <v>2976</v>
      </c>
      <c r="V6179">
        <v>0</v>
      </c>
      <c r="W6179">
        <v>4</v>
      </c>
      <c r="X6179">
        <v>2013</v>
      </c>
      <c r="Z6179">
        <v>2</v>
      </c>
      <c r="AB6179">
        <v>0</v>
      </c>
      <c r="AC6179" t="s">
        <v>115</v>
      </c>
      <c r="AD6179">
        <v>2</v>
      </c>
      <c r="AE6179" t="s">
        <v>115</v>
      </c>
      <c r="AF6179">
        <v>0</v>
      </c>
      <c r="AG6179">
        <v>0</v>
      </c>
      <c r="AH6179" t="s">
        <v>116</v>
      </c>
      <c r="AI6179" s="1">
        <v>50046</v>
      </c>
      <c r="AJ6179" s="2">
        <v>0.13</v>
      </c>
      <c r="AK6179" s="1">
        <v>377496</v>
      </c>
      <c r="AL6179" t="s">
        <v>117</v>
      </c>
      <c r="AM6179" t="s">
        <v>118</v>
      </c>
      <c r="AN6179">
        <v>9067</v>
      </c>
      <c r="AO6179">
        <v>0.21</v>
      </c>
      <c r="AR6179">
        <v>1</v>
      </c>
      <c r="AS6179" s="1">
        <v>23920</v>
      </c>
      <c r="AT6179" s="1">
        <v>4780</v>
      </c>
      <c r="AU6179" s="1">
        <v>19140</v>
      </c>
      <c r="AV6179">
        <v>80.02</v>
      </c>
      <c r="AX6179" s="1">
        <v>2198.2199999999998</v>
      </c>
      <c r="AY6179" t="s">
        <v>2767</v>
      </c>
      <c r="AZ6179" t="s">
        <v>2767</v>
      </c>
      <c r="BA6179" t="s">
        <v>1247</v>
      </c>
      <c r="BE6179" s="3">
        <v>42531</v>
      </c>
      <c r="BF6179" s="1">
        <v>317000</v>
      </c>
      <c r="BG6179" t="s">
        <v>275</v>
      </c>
      <c r="BH6179" s="1">
        <v>106.52</v>
      </c>
      <c r="BI6179" s="1">
        <v>327450</v>
      </c>
      <c r="BJ6179" s="3">
        <v>42531</v>
      </c>
      <c r="BK6179" t="s">
        <v>123</v>
      </c>
      <c r="BL6179" t="str">
        <f>"2016.404011"</f>
        <v>2016.404011</v>
      </c>
      <c r="BM6179" t="s">
        <v>124</v>
      </c>
      <c r="BO6179" t="s">
        <v>37511</v>
      </c>
      <c r="BS6179">
        <v>30</v>
      </c>
      <c r="BW6179" t="str">
        <f>""</f>
        <v/>
      </c>
      <c r="CH6179" t="str">
        <f>""</f>
        <v/>
      </c>
      <c r="CS6179" t="str">
        <f>""</f>
        <v/>
      </c>
    </row>
    <row r="6180" spans="1:97" x14ac:dyDescent="0.25">
      <c r="A6180" t="s">
        <v>5301</v>
      </c>
      <c r="B6180" t="s">
        <v>37512</v>
      </c>
      <c r="E6180" t="s">
        <v>37513</v>
      </c>
      <c r="F6180" t="s">
        <v>108</v>
      </c>
      <c r="H6180" t="s">
        <v>37514</v>
      </c>
      <c r="I6180" t="s">
        <v>390</v>
      </c>
      <c r="J6180" t="s">
        <v>111</v>
      </c>
      <c r="K6180" t="str">
        <f>"85041"</f>
        <v>85041</v>
      </c>
      <c r="L6180" t="s">
        <v>5209</v>
      </c>
      <c r="M6180" t="s">
        <v>37514</v>
      </c>
      <c r="N6180" t="s">
        <v>390</v>
      </c>
      <c r="O6180" t="s">
        <v>111</v>
      </c>
      <c r="P6180" t="str">
        <f>"85041-6527"</f>
        <v>85041-6527</v>
      </c>
      <c r="Q6180" t="s">
        <v>113</v>
      </c>
      <c r="R6180" t="str">
        <f>"105-86-603"</f>
        <v>105-86-603</v>
      </c>
      <c r="S6180" t="s">
        <v>5210</v>
      </c>
      <c r="T6180" t="s">
        <v>5210</v>
      </c>
      <c r="U6180">
        <v>2125</v>
      </c>
      <c r="V6180">
        <v>0</v>
      </c>
      <c r="W6180">
        <v>4</v>
      </c>
      <c r="X6180">
        <v>2003</v>
      </c>
      <c r="Z6180">
        <v>2</v>
      </c>
      <c r="AB6180">
        <v>0</v>
      </c>
      <c r="AC6180" t="s">
        <v>115</v>
      </c>
      <c r="AD6180">
        <v>3</v>
      </c>
      <c r="AE6180" t="s">
        <v>115</v>
      </c>
      <c r="AF6180">
        <v>0</v>
      </c>
      <c r="AG6180">
        <v>0</v>
      </c>
      <c r="AH6180" t="s">
        <v>116</v>
      </c>
      <c r="AI6180" s="1">
        <v>70117</v>
      </c>
      <c r="AJ6180" s="2">
        <v>0.25</v>
      </c>
      <c r="AK6180" s="1">
        <v>277481</v>
      </c>
      <c r="AL6180" t="s">
        <v>117</v>
      </c>
      <c r="AM6180" t="s">
        <v>760</v>
      </c>
      <c r="AN6180">
        <v>7623</v>
      </c>
      <c r="AO6180">
        <v>0.18</v>
      </c>
      <c r="AP6180">
        <v>1</v>
      </c>
      <c r="AR6180">
        <v>1</v>
      </c>
      <c r="AS6180" s="1">
        <v>19070</v>
      </c>
      <c r="AT6180" s="1">
        <v>3810</v>
      </c>
      <c r="AU6180" s="1">
        <v>15260</v>
      </c>
      <c r="AV6180">
        <v>80.02</v>
      </c>
      <c r="AX6180" s="1">
        <v>1853.9</v>
      </c>
      <c r="AY6180" t="s">
        <v>5211</v>
      </c>
      <c r="AZ6180" t="s">
        <v>5211</v>
      </c>
      <c r="BA6180" t="s">
        <v>1661</v>
      </c>
      <c r="BE6180" s="3">
        <v>42124</v>
      </c>
      <c r="BF6180" s="1">
        <v>203000</v>
      </c>
      <c r="BG6180" t="s">
        <v>37515</v>
      </c>
      <c r="BH6180" s="1">
        <v>95.53</v>
      </c>
      <c r="BI6180" s="1">
        <v>207364</v>
      </c>
      <c r="BJ6180" s="3">
        <v>42124</v>
      </c>
      <c r="BK6180" t="s">
        <v>123</v>
      </c>
      <c r="BL6180" t="str">
        <f>"2015.300149"</f>
        <v>2015.300149</v>
      </c>
      <c r="BM6180" t="s">
        <v>135</v>
      </c>
      <c r="BO6180" t="s">
        <v>37516</v>
      </c>
      <c r="BS6180">
        <v>30</v>
      </c>
      <c r="BW6180" t="str">
        <f>""</f>
        <v/>
      </c>
      <c r="CH6180" t="str">
        <f>""</f>
        <v/>
      </c>
      <c r="CS6180" t="str">
        <f>""</f>
        <v/>
      </c>
    </row>
    <row r="6181" spans="1:97" x14ac:dyDescent="0.25">
      <c r="A6181" t="s">
        <v>37517</v>
      </c>
      <c r="B6181" t="s">
        <v>37518</v>
      </c>
      <c r="E6181" t="s">
        <v>37519</v>
      </c>
      <c r="F6181" t="s">
        <v>108</v>
      </c>
      <c r="H6181" t="s">
        <v>37520</v>
      </c>
      <c r="I6181" t="s">
        <v>390</v>
      </c>
      <c r="J6181" t="s">
        <v>111</v>
      </c>
      <c r="K6181" t="str">
        <f>"85015"</f>
        <v>85015</v>
      </c>
      <c r="L6181" t="s">
        <v>6891</v>
      </c>
      <c r="M6181" t="s">
        <v>37520</v>
      </c>
      <c r="N6181" t="s">
        <v>390</v>
      </c>
      <c r="O6181" t="s">
        <v>111</v>
      </c>
      <c r="P6181" t="str">
        <f>"85015-4126"</f>
        <v>85015-4126</v>
      </c>
      <c r="Q6181" t="s">
        <v>113</v>
      </c>
      <c r="R6181" t="str">
        <f>"154-15-043"</f>
        <v>154-15-043</v>
      </c>
      <c r="S6181" t="s">
        <v>37521</v>
      </c>
      <c r="T6181" t="s">
        <v>37521</v>
      </c>
      <c r="U6181">
        <v>2231</v>
      </c>
      <c r="V6181">
        <v>0</v>
      </c>
      <c r="W6181">
        <v>3</v>
      </c>
      <c r="X6181">
        <v>1950</v>
      </c>
      <c r="Z6181">
        <v>1</v>
      </c>
      <c r="AA6181" t="s">
        <v>26</v>
      </c>
      <c r="AB6181">
        <v>0</v>
      </c>
      <c r="AC6181" t="s">
        <v>115</v>
      </c>
      <c r="AD6181">
        <v>1</v>
      </c>
      <c r="AE6181" t="s">
        <v>115</v>
      </c>
      <c r="AF6181">
        <v>0</v>
      </c>
      <c r="AG6181">
        <v>0</v>
      </c>
      <c r="AH6181" t="s">
        <v>116</v>
      </c>
      <c r="AI6181" s="1">
        <v>108808</v>
      </c>
      <c r="AJ6181" s="2">
        <v>0.32</v>
      </c>
      <c r="AK6181" s="1">
        <v>336068</v>
      </c>
      <c r="AL6181" t="s">
        <v>117</v>
      </c>
      <c r="AM6181" t="s">
        <v>191</v>
      </c>
      <c r="AN6181">
        <v>10093</v>
      </c>
      <c r="AO6181">
        <v>0.23</v>
      </c>
      <c r="AP6181">
        <v>1</v>
      </c>
      <c r="AR6181">
        <v>1</v>
      </c>
      <c r="AS6181" s="1">
        <v>22110</v>
      </c>
      <c r="AT6181" s="1">
        <v>4420</v>
      </c>
      <c r="AU6181" s="1">
        <v>17690</v>
      </c>
      <c r="AV6181">
        <v>80.010000000000005</v>
      </c>
      <c r="AX6181" s="1">
        <v>1782.04</v>
      </c>
      <c r="AY6181" t="s">
        <v>35537</v>
      </c>
      <c r="AZ6181" t="s">
        <v>35538</v>
      </c>
      <c r="BA6181" t="s">
        <v>5691</v>
      </c>
      <c r="BE6181" s="3">
        <v>42545</v>
      </c>
      <c r="BF6181" s="1">
        <v>220000</v>
      </c>
      <c r="BG6181" t="s">
        <v>37522</v>
      </c>
      <c r="BH6181" s="1">
        <v>98.61</v>
      </c>
      <c r="BI6181" s="1">
        <v>227260</v>
      </c>
      <c r="BJ6181" s="3">
        <v>42545</v>
      </c>
      <c r="BK6181" t="s">
        <v>123</v>
      </c>
      <c r="BL6181" t="str">
        <f>"2016.444866"</f>
        <v>2016.444866</v>
      </c>
      <c r="BM6181" t="s">
        <v>2683</v>
      </c>
      <c r="BO6181" t="s">
        <v>37523</v>
      </c>
      <c r="BS6181">
        <v>30</v>
      </c>
      <c r="BW6181" t="str">
        <f>""</f>
        <v/>
      </c>
      <c r="CH6181" t="str">
        <f>""</f>
        <v/>
      </c>
      <c r="CS6181" t="str">
        <f>""</f>
        <v/>
      </c>
    </row>
    <row r="6182" spans="1:97" x14ac:dyDescent="0.25">
      <c r="B6182" t="s">
        <v>37524</v>
      </c>
      <c r="E6182" t="s">
        <v>37525</v>
      </c>
      <c r="F6182" t="s">
        <v>108</v>
      </c>
      <c r="H6182" t="s">
        <v>37526</v>
      </c>
      <c r="I6182" t="s">
        <v>5523</v>
      </c>
      <c r="J6182" t="s">
        <v>111</v>
      </c>
      <c r="K6182" t="str">
        <f>"85373"</f>
        <v>85373</v>
      </c>
      <c r="L6182" t="s">
        <v>6983</v>
      </c>
      <c r="M6182" t="s">
        <v>37526</v>
      </c>
      <c r="N6182" t="s">
        <v>5523</v>
      </c>
      <c r="O6182" t="s">
        <v>111</v>
      </c>
      <c r="P6182" t="str">
        <f>"85373-1903"</f>
        <v>85373-1903</v>
      </c>
      <c r="Q6182" t="s">
        <v>113</v>
      </c>
      <c r="R6182" t="str">
        <f>"230-04-805"</f>
        <v>230-04-805</v>
      </c>
      <c r="S6182" t="s">
        <v>37527</v>
      </c>
      <c r="U6182">
        <v>2263</v>
      </c>
      <c r="V6182">
        <v>0</v>
      </c>
      <c r="W6182">
        <v>4</v>
      </c>
      <c r="X6182">
        <v>1975</v>
      </c>
      <c r="Z6182">
        <v>1</v>
      </c>
      <c r="AB6182">
        <v>0</v>
      </c>
      <c r="AC6182" t="s">
        <v>115</v>
      </c>
      <c r="AD6182">
        <v>2</v>
      </c>
      <c r="AE6182" t="s">
        <v>115</v>
      </c>
      <c r="AF6182">
        <v>0</v>
      </c>
      <c r="AG6182">
        <v>0</v>
      </c>
      <c r="AH6182" t="s">
        <v>116</v>
      </c>
      <c r="AI6182" s="1">
        <v>47955</v>
      </c>
      <c r="AJ6182" s="2">
        <v>0.15</v>
      </c>
      <c r="AK6182" s="1">
        <v>323760</v>
      </c>
      <c r="AL6182" t="s">
        <v>117</v>
      </c>
      <c r="AM6182" t="s">
        <v>191</v>
      </c>
      <c r="AN6182">
        <v>12065</v>
      </c>
      <c r="AO6182">
        <v>0.28000000000000003</v>
      </c>
      <c r="AP6182">
        <v>1</v>
      </c>
      <c r="AR6182">
        <v>1</v>
      </c>
      <c r="AS6182" s="1">
        <v>27160</v>
      </c>
      <c r="AT6182" s="1">
        <v>5430</v>
      </c>
      <c r="AU6182" s="1">
        <v>21730</v>
      </c>
      <c r="AV6182">
        <v>80.010000000000005</v>
      </c>
      <c r="AX6182" s="1">
        <v>2149.42</v>
      </c>
      <c r="AY6182" t="s">
        <v>4520</v>
      </c>
      <c r="AZ6182" t="s">
        <v>4520</v>
      </c>
      <c r="BA6182" t="s">
        <v>3360</v>
      </c>
      <c r="BB6182" s="3">
        <v>42418</v>
      </c>
      <c r="BD6182" t="s">
        <v>458</v>
      </c>
      <c r="BE6182" s="3">
        <v>42286</v>
      </c>
      <c r="BF6182" s="1">
        <v>76642</v>
      </c>
      <c r="BG6182" t="s">
        <v>37528</v>
      </c>
      <c r="BH6182" s="1">
        <v>33.869999999999997</v>
      </c>
      <c r="BI6182" s="1">
        <v>275805</v>
      </c>
      <c r="BJ6182" s="3">
        <v>42352</v>
      </c>
      <c r="BK6182" t="s">
        <v>123</v>
      </c>
      <c r="BL6182" t="str">
        <f>"2015.879448"</f>
        <v>2015.879448</v>
      </c>
      <c r="BM6182" t="s">
        <v>8868</v>
      </c>
      <c r="BO6182" t="s">
        <v>37529</v>
      </c>
      <c r="BS6182">
        <v>30</v>
      </c>
      <c r="BW6182" t="str">
        <f>""</f>
        <v/>
      </c>
      <c r="CH6182" t="str">
        <f>""</f>
        <v/>
      </c>
      <c r="CS6182" t="str">
        <f>""</f>
        <v/>
      </c>
    </row>
    <row r="6183" spans="1:97" x14ac:dyDescent="0.25">
      <c r="B6183" t="s">
        <v>37530</v>
      </c>
      <c r="C6183" t="s">
        <v>13379</v>
      </c>
      <c r="E6183" t="s">
        <v>37531</v>
      </c>
      <c r="F6183" t="s">
        <v>108</v>
      </c>
      <c r="H6183" t="s">
        <v>37532</v>
      </c>
      <c r="I6183" t="s">
        <v>5523</v>
      </c>
      <c r="J6183" t="s">
        <v>111</v>
      </c>
      <c r="K6183" t="str">
        <f>"85373"</f>
        <v>85373</v>
      </c>
      <c r="L6183" t="s">
        <v>5514</v>
      </c>
      <c r="M6183" t="s">
        <v>37532</v>
      </c>
      <c r="N6183" t="s">
        <v>5523</v>
      </c>
      <c r="O6183" t="s">
        <v>111</v>
      </c>
      <c r="P6183" t="str">
        <f>"85373-1138"</f>
        <v>85373-1138</v>
      </c>
      <c r="Q6183" t="s">
        <v>113</v>
      </c>
      <c r="R6183" t="str">
        <f>"200-96-333"</f>
        <v>200-96-333</v>
      </c>
      <c r="S6183" t="s">
        <v>21931</v>
      </c>
      <c r="U6183">
        <v>1827</v>
      </c>
      <c r="V6183">
        <v>0</v>
      </c>
      <c r="W6183">
        <v>2</v>
      </c>
      <c r="X6183">
        <v>1977</v>
      </c>
      <c r="Z6183">
        <v>1</v>
      </c>
      <c r="AB6183">
        <v>0</v>
      </c>
      <c r="AC6183" t="s">
        <v>115</v>
      </c>
      <c r="AD6183">
        <v>2</v>
      </c>
      <c r="AE6183" t="s">
        <v>115</v>
      </c>
      <c r="AF6183">
        <v>0</v>
      </c>
      <c r="AG6183">
        <v>0</v>
      </c>
      <c r="AH6183" t="s">
        <v>116</v>
      </c>
      <c r="AI6183" s="1">
        <v>54917</v>
      </c>
      <c r="AJ6183" s="2">
        <v>0.19</v>
      </c>
      <c r="AK6183" s="1">
        <v>289862</v>
      </c>
      <c r="AL6183" t="s">
        <v>117</v>
      </c>
      <c r="AM6183" t="s">
        <v>393</v>
      </c>
      <c r="AN6183">
        <v>9000</v>
      </c>
      <c r="AO6183">
        <v>0.21</v>
      </c>
      <c r="AP6183">
        <v>1</v>
      </c>
      <c r="AR6183">
        <v>1</v>
      </c>
      <c r="AS6183" s="1">
        <v>21250</v>
      </c>
      <c r="AT6183" s="1">
        <v>4250</v>
      </c>
      <c r="AU6183" s="1">
        <v>17000</v>
      </c>
      <c r="AV6183">
        <v>80</v>
      </c>
      <c r="AX6183" s="1">
        <v>1519.22</v>
      </c>
      <c r="AY6183" t="s">
        <v>4520</v>
      </c>
      <c r="AZ6183" t="s">
        <v>4520</v>
      </c>
      <c r="BA6183" t="s">
        <v>3360</v>
      </c>
      <c r="BB6183" s="3">
        <v>43783</v>
      </c>
      <c r="BC6183" s="1">
        <v>0</v>
      </c>
      <c r="BD6183" t="s">
        <v>247</v>
      </c>
      <c r="BE6183" s="3">
        <v>42459</v>
      </c>
      <c r="BF6183" s="1">
        <v>230000</v>
      </c>
      <c r="BG6183" t="s">
        <v>37533</v>
      </c>
      <c r="BH6183" s="1">
        <v>125.89</v>
      </c>
      <c r="BI6183" s="1">
        <v>234945</v>
      </c>
      <c r="BJ6183" s="3">
        <v>42459</v>
      </c>
      <c r="BK6183" t="s">
        <v>123</v>
      </c>
      <c r="BL6183" t="str">
        <f>"2016.205606"</f>
        <v>2016.205606</v>
      </c>
      <c r="BM6183" t="s">
        <v>544</v>
      </c>
      <c r="BN6183" t="s">
        <v>545</v>
      </c>
      <c r="BO6183" t="s">
        <v>37534</v>
      </c>
      <c r="BS6183">
        <v>30</v>
      </c>
      <c r="BW6183" t="str">
        <f>""</f>
        <v/>
      </c>
      <c r="CH6183" t="str">
        <f>""</f>
        <v/>
      </c>
      <c r="CS6183" t="str">
        <f>""</f>
        <v/>
      </c>
    </row>
    <row r="6184" spans="1:97" x14ac:dyDescent="0.25">
      <c r="A6184" t="s">
        <v>2915</v>
      </c>
      <c r="B6184" t="s">
        <v>37535</v>
      </c>
      <c r="E6184" t="s">
        <v>37536</v>
      </c>
      <c r="F6184" t="s">
        <v>108</v>
      </c>
      <c r="H6184" t="s">
        <v>37537</v>
      </c>
      <c r="I6184" t="s">
        <v>453</v>
      </c>
      <c r="J6184" t="s">
        <v>111</v>
      </c>
      <c r="K6184" t="str">
        <f>"85382"</f>
        <v>85382</v>
      </c>
      <c r="L6184" t="s">
        <v>6308</v>
      </c>
      <c r="M6184" t="s">
        <v>37537</v>
      </c>
      <c r="N6184" t="s">
        <v>453</v>
      </c>
      <c r="O6184" t="s">
        <v>111</v>
      </c>
      <c r="P6184" t="str">
        <f>"85382-2433"</f>
        <v>85382-2433</v>
      </c>
      <c r="Q6184" t="s">
        <v>113</v>
      </c>
      <c r="R6184" t="str">
        <f>"200-16-105"</f>
        <v>200-16-105</v>
      </c>
      <c r="S6184" t="s">
        <v>37538</v>
      </c>
      <c r="T6184" t="s">
        <v>12241</v>
      </c>
      <c r="U6184">
        <v>1792</v>
      </c>
      <c r="V6184">
        <v>0</v>
      </c>
      <c r="W6184">
        <v>3</v>
      </c>
      <c r="X6184">
        <v>1999</v>
      </c>
      <c r="Z6184">
        <v>1</v>
      </c>
      <c r="AA6184" t="s">
        <v>26</v>
      </c>
      <c r="AB6184">
        <v>0</v>
      </c>
      <c r="AC6184" t="s">
        <v>115</v>
      </c>
      <c r="AD6184">
        <v>3</v>
      </c>
      <c r="AE6184" t="s">
        <v>115</v>
      </c>
      <c r="AF6184">
        <v>0</v>
      </c>
      <c r="AG6184">
        <v>0</v>
      </c>
      <c r="AH6184" t="s">
        <v>116</v>
      </c>
      <c r="AI6184" s="1">
        <v>76259</v>
      </c>
      <c r="AJ6184" s="2">
        <v>0.24</v>
      </c>
      <c r="AK6184" s="1">
        <v>321316</v>
      </c>
      <c r="AL6184" t="s">
        <v>117</v>
      </c>
      <c r="AM6184" t="s">
        <v>118</v>
      </c>
      <c r="AN6184">
        <v>9733</v>
      </c>
      <c r="AO6184">
        <v>0.22</v>
      </c>
      <c r="AP6184">
        <v>1</v>
      </c>
      <c r="AR6184">
        <v>1</v>
      </c>
      <c r="AS6184" s="1">
        <v>22400</v>
      </c>
      <c r="AT6184" s="1">
        <v>4480</v>
      </c>
      <c r="AU6184" s="1">
        <v>17920</v>
      </c>
      <c r="AV6184">
        <v>80</v>
      </c>
      <c r="AX6184" s="1">
        <v>2106.54</v>
      </c>
      <c r="AY6184" t="s">
        <v>6311</v>
      </c>
      <c r="AZ6184" t="s">
        <v>6311</v>
      </c>
      <c r="BA6184" t="s">
        <v>4219</v>
      </c>
      <c r="BE6184" s="3">
        <v>41914</v>
      </c>
      <c r="BF6184" s="1">
        <v>239900</v>
      </c>
      <c r="BG6184" t="s">
        <v>37539</v>
      </c>
      <c r="BH6184" s="1">
        <v>133.87</v>
      </c>
      <c r="BI6184" s="1">
        <v>245057</v>
      </c>
      <c r="BJ6184" s="3">
        <v>41914</v>
      </c>
      <c r="BK6184" t="s">
        <v>123</v>
      </c>
      <c r="BL6184" t="str">
        <f>"2014.655243"</f>
        <v>2014.655243</v>
      </c>
      <c r="BM6184" t="s">
        <v>1214</v>
      </c>
      <c r="BO6184" t="s">
        <v>37540</v>
      </c>
      <c r="BS6184">
        <v>30</v>
      </c>
      <c r="BW6184" t="str">
        <f>""</f>
        <v/>
      </c>
      <c r="CH6184" t="str">
        <f>""</f>
        <v/>
      </c>
      <c r="CS6184" t="str">
        <f>""</f>
        <v/>
      </c>
    </row>
    <row r="6185" spans="1:97" x14ac:dyDescent="0.25">
      <c r="A6185" t="s">
        <v>434</v>
      </c>
      <c r="B6185" t="s">
        <v>37541</v>
      </c>
      <c r="C6185" t="s">
        <v>1845</v>
      </c>
      <c r="D6185" t="s">
        <v>37541</v>
      </c>
      <c r="E6185" t="s">
        <v>37542</v>
      </c>
      <c r="F6185" t="s">
        <v>108</v>
      </c>
      <c r="H6185" t="s">
        <v>37543</v>
      </c>
      <c r="I6185" t="s">
        <v>499</v>
      </c>
      <c r="J6185" t="s">
        <v>111</v>
      </c>
      <c r="K6185" t="str">
        <f>"85338"</f>
        <v>85338</v>
      </c>
      <c r="L6185" t="s">
        <v>4751</v>
      </c>
      <c r="M6185" t="s">
        <v>37543</v>
      </c>
      <c r="N6185" t="s">
        <v>499</v>
      </c>
      <c r="O6185" t="s">
        <v>111</v>
      </c>
      <c r="P6185" t="str">
        <f>"85338-7754"</f>
        <v>85338-7754</v>
      </c>
      <c r="Q6185" t="s">
        <v>113</v>
      </c>
      <c r="R6185" t="str">
        <f>"400-58-263"</f>
        <v>400-58-263</v>
      </c>
      <c r="S6185" t="s">
        <v>4752</v>
      </c>
      <c r="T6185" t="s">
        <v>17252</v>
      </c>
      <c r="U6185">
        <v>2129</v>
      </c>
      <c r="V6185">
        <v>0</v>
      </c>
      <c r="W6185">
        <v>4</v>
      </c>
      <c r="X6185">
        <v>2014</v>
      </c>
      <c r="Z6185">
        <v>1</v>
      </c>
      <c r="AB6185">
        <v>0</v>
      </c>
      <c r="AC6185" t="s">
        <v>115</v>
      </c>
      <c r="AD6185">
        <v>2</v>
      </c>
      <c r="AE6185" t="s">
        <v>115</v>
      </c>
      <c r="AF6185">
        <v>0</v>
      </c>
      <c r="AG6185">
        <v>0</v>
      </c>
      <c r="AH6185" t="s">
        <v>116</v>
      </c>
      <c r="AI6185" s="1">
        <v>53251</v>
      </c>
      <c r="AJ6185" s="2">
        <v>0.14000000000000001</v>
      </c>
      <c r="AK6185" s="1">
        <v>376107</v>
      </c>
      <c r="AL6185" t="s">
        <v>117</v>
      </c>
      <c r="AM6185" t="s">
        <v>118</v>
      </c>
      <c r="AN6185">
        <v>11788</v>
      </c>
      <c r="AO6185">
        <v>0.27</v>
      </c>
      <c r="AR6185">
        <v>1</v>
      </c>
      <c r="AS6185" s="1">
        <v>25310</v>
      </c>
      <c r="AT6185" s="1">
        <v>5060</v>
      </c>
      <c r="AU6185" s="1">
        <v>20250</v>
      </c>
      <c r="AV6185">
        <v>80.010000000000005</v>
      </c>
      <c r="AX6185" s="1">
        <v>2890.78</v>
      </c>
      <c r="AY6185" t="s">
        <v>1246</v>
      </c>
      <c r="AZ6185" t="s">
        <v>1246</v>
      </c>
      <c r="BA6185" t="s">
        <v>1247</v>
      </c>
      <c r="BE6185" s="3">
        <v>42090</v>
      </c>
      <c r="BF6185" s="1">
        <v>352074</v>
      </c>
      <c r="BG6185" t="s">
        <v>2780</v>
      </c>
      <c r="BH6185" s="1">
        <v>165.37</v>
      </c>
      <c r="BI6185" s="1">
        <v>322856</v>
      </c>
      <c r="BJ6185" s="3">
        <v>42732</v>
      </c>
      <c r="BK6185" t="s">
        <v>123</v>
      </c>
      <c r="BL6185" t="str">
        <f>"2016.954984"</f>
        <v>2016.954984</v>
      </c>
      <c r="BM6185" t="s">
        <v>709</v>
      </c>
      <c r="BO6185" t="s">
        <v>37544</v>
      </c>
      <c r="BS6185">
        <v>30</v>
      </c>
      <c r="BW6185" t="str">
        <f>""</f>
        <v/>
      </c>
      <c r="CH6185" t="str">
        <f>""</f>
        <v/>
      </c>
      <c r="CS6185" t="str">
        <f>""</f>
        <v/>
      </c>
    </row>
    <row r="6186" spans="1:97" x14ac:dyDescent="0.25">
      <c r="A6186" t="s">
        <v>8500</v>
      </c>
      <c r="B6186" t="s">
        <v>37545</v>
      </c>
      <c r="C6186" t="s">
        <v>4500</v>
      </c>
      <c r="D6186" t="s">
        <v>37545</v>
      </c>
      <c r="E6186" t="s">
        <v>37546</v>
      </c>
      <c r="F6186" t="s">
        <v>108</v>
      </c>
      <c r="H6186" t="s">
        <v>37547</v>
      </c>
      <c r="I6186" t="s">
        <v>203</v>
      </c>
      <c r="J6186" t="s">
        <v>111</v>
      </c>
      <c r="K6186" t="str">
        <f>"85296"</f>
        <v>85296</v>
      </c>
      <c r="L6186" t="s">
        <v>7834</v>
      </c>
      <c r="M6186" t="s">
        <v>37547</v>
      </c>
      <c r="N6186" t="s">
        <v>203</v>
      </c>
      <c r="O6186" t="s">
        <v>111</v>
      </c>
      <c r="P6186" t="str">
        <f>"85296-3662"</f>
        <v>85296-3662</v>
      </c>
      <c r="Q6186" t="s">
        <v>113</v>
      </c>
      <c r="R6186" t="str">
        <f>"309-17-729"</f>
        <v>309-17-729</v>
      </c>
      <c r="S6186" t="s">
        <v>7835</v>
      </c>
      <c r="T6186" t="s">
        <v>7836</v>
      </c>
      <c r="U6186">
        <v>1683</v>
      </c>
      <c r="V6186">
        <v>0</v>
      </c>
      <c r="W6186">
        <v>2</v>
      </c>
      <c r="X6186">
        <v>2000</v>
      </c>
      <c r="Z6186">
        <v>1</v>
      </c>
      <c r="AB6186">
        <v>0</v>
      </c>
      <c r="AC6186" t="s">
        <v>115</v>
      </c>
      <c r="AD6186">
        <v>2</v>
      </c>
      <c r="AE6186" t="s">
        <v>115</v>
      </c>
      <c r="AF6186">
        <v>0</v>
      </c>
      <c r="AG6186">
        <v>0</v>
      </c>
      <c r="AH6186" t="s">
        <v>116</v>
      </c>
      <c r="AI6186" s="1">
        <v>60695</v>
      </c>
      <c r="AJ6186" s="2">
        <v>0.2</v>
      </c>
      <c r="AK6186" s="1">
        <v>304695</v>
      </c>
      <c r="AL6186" t="s">
        <v>117</v>
      </c>
      <c r="AM6186" t="s">
        <v>191</v>
      </c>
      <c r="AN6186">
        <v>6812</v>
      </c>
      <c r="AO6186">
        <v>0.16</v>
      </c>
      <c r="AP6186">
        <v>1</v>
      </c>
      <c r="AR6186">
        <v>1</v>
      </c>
      <c r="AS6186" s="1">
        <v>21020</v>
      </c>
      <c r="AT6186" s="1">
        <v>4200</v>
      </c>
      <c r="AU6186" s="1">
        <v>16820</v>
      </c>
      <c r="AV6186">
        <v>80.02</v>
      </c>
      <c r="AX6186" s="1">
        <v>1395.5</v>
      </c>
      <c r="AY6186" t="s">
        <v>7837</v>
      </c>
      <c r="AZ6186" t="s">
        <v>207</v>
      </c>
      <c r="BA6186" t="s">
        <v>208</v>
      </c>
      <c r="BE6186" s="3">
        <v>42482</v>
      </c>
      <c r="BF6186" s="1">
        <v>244000</v>
      </c>
      <c r="BG6186" t="s">
        <v>37548</v>
      </c>
      <c r="BH6186" s="1">
        <v>144.97999999999999</v>
      </c>
      <c r="BI6186" s="1">
        <v>244000</v>
      </c>
      <c r="BJ6186" s="3">
        <v>42482</v>
      </c>
      <c r="BK6186" t="s">
        <v>123</v>
      </c>
      <c r="BL6186" t="str">
        <f>"2016.269554"</f>
        <v>2016.269554</v>
      </c>
      <c r="BM6186" t="s">
        <v>475</v>
      </c>
      <c r="BO6186" t="s">
        <v>37549</v>
      </c>
      <c r="BS6186">
        <v>30</v>
      </c>
      <c r="BW6186" t="str">
        <f>""</f>
        <v/>
      </c>
      <c r="CH6186" t="str">
        <f>""</f>
        <v/>
      </c>
      <c r="CS6186" t="str">
        <f>""</f>
        <v/>
      </c>
    </row>
    <row r="6187" spans="1:97" x14ac:dyDescent="0.25">
      <c r="A6187" t="s">
        <v>6830</v>
      </c>
      <c r="B6187" t="s">
        <v>4774</v>
      </c>
      <c r="E6187" t="s">
        <v>37550</v>
      </c>
      <c r="F6187" t="s">
        <v>108</v>
      </c>
      <c r="H6187" t="s">
        <v>37551</v>
      </c>
      <c r="I6187" t="s">
        <v>390</v>
      </c>
      <c r="J6187" t="s">
        <v>111</v>
      </c>
      <c r="K6187" t="str">
        <f>"85007"</f>
        <v>85007</v>
      </c>
      <c r="L6187" t="s">
        <v>5074</v>
      </c>
      <c r="M6187" t="s">
        <v>37551</v>
      </c>
      <c r="N6187" t="s">
        <v>390</v>
      </c>
      <c r="O6187" t="s">
        <v>111</v>
      </c>
      <c r="P6187" t="str">
        <f>"85007-1218"</f>
        <v>85007-1218</v>
      </c>
      <c r="Q6187" t="s">
        <v>113</v>
      </c>
      <c r="R6187" t="str">
        <f>"111-04-135"</f>
        <v>111-04-135</v>
      </c>
      <c r="S6187" t="s">
        <v>37552</v>
      </c>
      <c r="T6187" t="s">
        <v>16460</v>
      </c>
      <c r="U6187">
        <v>2482</v>
      </c>
      <c r="V6187">
        <v>0</v>
      </c>
      <c r="W6187">
        <v>4</v>
      </c>
      <c r="X6187">
        <v>1939</v>
      </c>
      <c r="Z6187">
        <v>1</v>
      </c>
      <c r="AB6187">
        <v>0</v>
      </c>
      <c r="AC6187" t="s">
        <v>115</v>
      </c>
      <c r="AD6187">
        <v>2</v>
      </c>
      <c r="AE6187" t="s">
        <v>115</v>
      </c>
      <c r="AF6187">
        <v>0</v>
      </c>
      <c r="AG6187">
        <v>0</v>
      </c>
      <c r="AH6187" t="s">
        <v>116</v>
      </c>
      <c r="AI6187" s="1">
        <v>82</v>
      </c>
      <c r="AJ6187" s="2">
        <v>0</v>
      </c>
      <c r="AK6187" s="1">
        <v>561776</v>
      </c>
      <c r="AL6187" t="s">
        <v>117</v>
      </c>
      <c r="AM6187" t="s">
        <v>191</v>
      </c>
      <c r="AN6187">
        <v>7314</v>
      </c>
      <c r="AO6187">
        <v>0.17</v>
      </c>
      <c r="AP6187">
        <v>1</v>
      </c>
      <c r="AR6187">
        <v>1</v>
      </c>
      <c r="AS6187" s="1">
        <v>19305</v>
      </c>
      <c r="AT6187" s="1">
        <v>3860</v>
      </c>
      <c r="AU6187" s="1">
        <v>15445</v>
      </c>
      <c r="AV6187">
        <v>80.010000000000005</v>
      </c>
      <c r="AX6187" s="1">
        <v>2089.94</v>
      </c>
      <c r="AY6187" t="s">
        <v>8243</v>
      </c>
      <c r="AZ6187" t="s">
        <v>8243</v>
      </c>
      <c r="BA6187" t="s">
        <v>5469</v>
      </c>
      <c r="BE6187" s="3">
        <v>42359</v>
      </c>
      <c r="BF6187" s="1">
        <v>425000</v>
      </c>
      <c r="BG6187" t="s">
        <v>37553</v>
      </c>
      <c r="BH6187" s="1">
        <v>188.39</v>
      </c>
      <c r="BI6187" s="1">
        <v>561694</v>
      </c>
      <c r="BJ6187" s="3">
        <v>42795</v>
      </c>
      <c r="BK6187" t="s">
        <v>123</v>
      </c>
      <c r="BL6187" t="str">
        <f>"2017.149755"</f>
        <v>2017.149755</v>
      </c>
      <c r="BM6187" t="s">
        <v>361</v>
      </c>
      <c r="BO6187" t="s">
        <v>37554</v>
      </c>
      <c r="BS6187">
        <v>30</v>
      </c>
      <c r="BW6187" t="str">
        <f>""</f>
        <v/>
      </c>
      <c r="CH6187" t="str">
        <f>""</f>
        <v/>
      </c>
      <c r="CS6187" t="str">
        <f>""</f>
        <v/>
      </c>
    </row>
    <row r="6188" spans="1:97" x14ac:dyDescent="0.25">
      <c r="B6188" t="s">
        <v>37555</v>
      </c>
      <c r="E6188" t="s">
        <v>5766</v>
      </c>
      <c r="F6188" t="s">
        <v>108</v>
      </c>
      <c r="H6188" t="s">
        <v>37556</v>
      </c>
      <c r="I6188" t="s">
        <v>144</v>
      </c>
      <c r="J6188" t="s">
        <v>111</v>
      </c>
      <c r="K6188" t="str">
        <f>"85326"</f>
        <v>85326</v>
      </c>
      <c r="L6188" t="s">
        <v>8146</v>
      </c>
      <c r="M6188" t="s">
        <v>37556</v>
      </c>
      <c r="N6188" t="s">
        <v>144</v>
      </c>
      <c r="O6188" t="s">
        <v>111</v>
      </c>
      <c r="P6188" t="str">
        <f>"85326-8286"</f>
        <v>85326-8286</v>
      </c>
      <c r="Q6188" t="s">
        <v>113</v>
      </c>
      <c r="R6188" t="str">
        <f>"502-35-308"</f>
        <v>502-35-308</v>
      </c>
      <c r="S6188" t="s">
        <v>23188</v>
      </c>
      <c r="U6188">
        <v>2361</v>
      </c>
      <c r="V6188">
        <v>0</v>
      </c>
      <c r="W6188">
        <v>3</v>
      </c>
      <c r="X6188">
        <v>2014</v>
      </c>
      <c r="Z6188">
        <v>2</v>
      </c>
      <c r="AB6188">
        <v>0</v>
      </c>
      <c r="AC6188" t="s">
        <v>115</v>
      </c>
      <c r="AD6188">
        <v>2</v>
      </c>
      <c r="AE6188" t="s">
        <v>115</v>
      </c>
      <c r="AF6188">
        <v>0</v>
      </c>
      <c r="AG6188">
        <v>0</v>
      </c>
      <c r="AH6188" t="s">
        <v>116</v>
      </c>
      <c r="AI6188" s="1">
        <v>63983</v>
      </c>
      <c r="AJ6188" s="2">
        <v>0.23</v>
      </c>
      <c r="AK6188" s="1">
        <v>278826</v>
      </c>
      <c r="AL6188" t="s">
        <v>117</v>
      </c>
      <c r="AM6188" t="s">
        <v>118</v>
      </c>
      <c r="AN6188">
        <v>4389</v>
      </c>
      <c r="AO6188">
        <v>0.1</v>
      </c>
      <c r="AR6188">
        <v>1</v>
      </c>
      <c r="AS6188" s="1">
        <v>18010</v>
      </c>
      <c r="AT6188" s="1">
        <v>3600</v>
      </c>
      <c r="AU6188" s="1">
        <v>14410</v>
      </c>
      <c r="AV6188">
        <v>80.010000000000005</v>
      </c>
      <c r="AX6188" s="1">
        <v>1581.68</v>
      </c>
      <c r="AY6188" t="s">
        <v>2767</v>
      </c>
      <c r="AZ6188" t="s">
        <v>2767</v>
      </c>
      <c r="BA6188" t="s">
        <v>5025</v>
      </c>
      <c r="BB6188" s="3">
        <v>43146</v>
      </c>
      <c r="BC6188" s="1">
        <v>0</v>
      </c>
      <c r="BD6188" t="s">
        <v>247</v>
      </c>
      <c r="BE6188" s="3">
        <v>41912</v>
      </c>
      <c r="BF6188" s="1">
        <v>203990</v>
      </c>
      <c r="BG6188" t="s">
        <v>195</v>
      </c>
      <c r="BH6188" s="1">
        <v>86.4</v>
      </c>
      <c r="BI6188" s="1">
        <v>214843</v>
      </c>
      <c r="BJ6188" s="3">
        <v>42053</v>
      </c>
      <c r="BK6188" t="s">
        <v>123</v>
      </c>
      <c r="BL6188" t="str">
        <f>"2015.102638"</f>
        <v>2015.102638</v>
      </c>
      <c r="BM6188" t="s">
        <v>6385</v>
      </c>
      <c r="BN6188" t="s">
        <v>3082</v>
      </c>
      <c r="BO6188" t="s">
        <v>37557</v>
      </c>
      <c r="BS6188">
        <v>30</v>
      </c>
      <c r="BW6188" t="str">
        <f>""</f>
        <v/>
      </c>
      <c r="CH6188" t="str">
        <f>""</f>
        <v/>
      </c>
      <c r="CS6188" t="str">
        <f>""</f>
        <v/>
      </c>
    </row>
    <row r="6189" spans="1:97" x14ac:dyDescent="0.25">
      <c r="A6189" t="s">
        <v>894</v>
      </c>
      <c r="B6189" t="s">
        <v>37558</v>
      </c>
      <c r="C6189" t="s">
        <v>37559</v>
      </c>
      <c r="D6189" t="s">
        <v>37558</v>
      </c>
      <c r="E6189" t="s">
        <v>37560</v>
      </c>
      <c r="F6189" t="s">
        <v>108</v>
      </c>
      <c r="H6189" t="s">
        <v>37561</v>
      </c>
      <c r="I6189" t="s">
        <v>632</v>
      </c>
      <c r="J6189" t="s">
        <v>111</v>
      </c>
      <c r="K6189" t="str">
        <f>"85374"</f>
        <v>85374</v>
      </c>
      <c r="L6189" t="s">
        <v>5408</v>
      </c>
      <c r="M6189" t="s">
        <v>37561</v>
      </c>
      <c r="N6189" t="s">
        <v>632</v>
      </c>
      <c r="O6189" t="s">
        <v>111</v>
      </c>
      <c r="P6189" t="str">
        <f>"85374-2942"</f>
        <v>85374-2942</v>
      </c>
      <c r="Q6189" t="s">
        <v>113</v>
      </c>
      <c r="R6189" t="str">
        <f>"503-75-368"</f>
        <v>503-75-368</v>
      </c>
      <c r="S6189" t="s">
        <v>37562</v>
      </c>
      <c r="U6189">
        <v>2065</v>
      </c>
      <c r="V6189">
        <v>0</v>
      </c>
      <c r="W6189">
        <v>3</v>
      </c>
      <c r="X6189">
        <v>1997</v>
      </c>
      <c r="Z6189">
        <v>1</v>
      </c>
      <c r="AB6189">
        <v>0</v>
      </c>
      <c r="AC6189" t="s">
        <v>115</v>
      </c>
      <c r="AD6189">
        <v>2</v>
      </c>
      <c r="AE6189" t="s">
        <v>115</v>
      </c>
      <c r="AF6189">
        <v>0</v>
      </c>
      <c r="AG6189">
        <v>0</v>
      </c>
      <c r="AH6189" t="s">
        <v>116</v>
      </c>
      <c r="AI6189" s="1">
        <v>67637</v>
      </c>
      <c r="AJ6189" s="2">
        <v>0.25</v>
      </c>
      <c r="AK6189" s="1">
        <v>271138</v>
      </c>
      <c r="AL6189" t="s">
        <v>117</v>
      </c>
      <c r="AM6189" t="s">
        <v>118</v>
      </c>
      <c r="AN6189">
        <v>8228</v>
      </c>
      <c r="AO6189">
        <v>0.19</v>
      </c>
      <c r="AP6189">
        <v>1</v>
      </c>
      <c r="AR6189">
        <v>1</v>
      </c>
      <c r="AS6189" s="1">
        <v>20780</v>
      </c>
      <c r="AT6189" s="1">
        <v>4150</v>
      </c>
      <c r="AU6189" s="1">
        <v>16630</v>
      </c>
      <c r="AV6189">
        <v>80.03</v>
      </c>
      <c r="AX6189" s="1">
        <v>1912.62</v>
      </c>
      <c r="AY6189" t="s">
        <v>5168</v>
      </c>
      <c r="AZ6189" t="s">
        <v>5168</v>
      </c>
      <c r="BA6189" t="s">
        <v>5109</v>
      </c>
      <c r="BB6189" s="3">
        <v>42660</v>
      </c>
      <c r="BC6189" s="1">
        <v>10</v>
      </c>
      <c r="BD6189" t="s">
        <v>458</v>
      </c>
      <c r="BE6189" s="3">
        <v>42048</v>
      </c>
      <c r="BF6189" s="1">
        <v>199000</v>
      </c>
      <c r="BG6189" t="s">
        <v>37563</v>
      </c>
      <c r="BH6189" s="1">
        <v>96.37</v>
      </c>
      <c r="BI6189" s="1">
        <v>203501</v>
      </c>
      <c r="BJ6189" s="3">
        <v>42660</v>
      </c>
      <c r="BK6189" t="s">
        <v>123</v>
      </c>
      <c r="BL6189" t="str">
        <f>"2016.757852"</f>
        <v>2016.757852</v>
      </c>
      <c r="BM6189" t="s">
        <v>361</v>
      </c>
      <c r="BO6189" t="s">
        <v>37564</v>
      </c>
      <c r="BS6189">
        <v>30</v>
      </c>
      <c r="BW6189" t="str">
        <f>""</f>
        <v/>
      </c>
      <c r="CH6189" t="str">
        <f>""</f>
        <v/>
      </c>
      <c r="CS6189" t="str">
        <f>""</f>
        <v/>
      </c>
    </row>
    <row r="6190" spans="1:97" x14ac:dyDescent="0.25">
      <c r="A6190" t="s">
        <v>37565</v>
      </c>
      <c r="B6190" t="s">
        <v>3770</v>
      </c>
      <c r="C6190" t="s">
        <v>37566</v>
      </c>
      <c r="D6190" t="s">
        <v>3770</v>
      </c>
      <c r="E6190" t="s">
        <v>37567</v>
      </c>
      <c r="F6190" t="s">
        <v>108</v>
      </c>
      <c r="H6190" t="s">
        <v>37568</v>
      </c>
      <c r="I6190" t="s">
        <v>632</v>
      </c>
      <c r="J6190" t="s">
        <v>111</v>
      </c>
      <c r="K6190" t="str">
        <f>"85379"</f>
        <v>85379</v>
      </c>
      <c r="L6190" t="s">
        <v>454</v>
      </c>
      <c r="M6190" t="s">
        <v>37568</v>
      </c>
      <c r="N6190" t="s">
        <v>632</v>
      </c>
      <c r="O6190" t="s">
        <v>111</v>
      </c>
      <c r="P6190" t="str">
        <f>"85379-1055"</f>
        <v>85379-1055</v>
      </c>
      <c r="Q6190" t="s">
        <v>113</v>
      </c>
      <c r="R6190" t="str">
        <f>"501-46-701"</f>
        <v>501-46-701</v>
      </c>
      <c r="S6190" t="s">
        <v>5319</v>
      </c>
      <c r="U6190">
        <v>4178</v>
      </c>
      <c r="V6190">
        <v>0</v>
      </c>
      <c r="W6190">
        <v>6</v>
      </c>
      <c r="X6190">
        <v>2014</v>
      </c>
      <c r="Z6190">
        <v>2</v>
      </c>
      <c r="AB6190">
        <v>0</v>
      </c>
      <c r="AC6190" t="s">
        <v>115</v>
      </c>
      <c r="AD6190">
        <v>2</v>
      </c>
      <c r="AE6190" t="s">
        <v>115</v>
      </c>
      <c r="AF6190">
        <v>0</v>
      </c>
      <c r="AG6190">
        <v>0</v>
      </c>
      <c r="AH6190" t="s">
        <v>116</v>
      </c>
      <c r="AI6190" s="1">
        <v>28858</v>
      </c>
      <c r="AJ6190" s="2">
        <v>7.0000000000000007E-2</v>
      </c>
      <c r="AK6190" s="1">
        <v>398858</v>
      </c>
      <c r="AL6190" t="s">
        <v>117</v>
      </c>
      <c r="AM6190" t="s">
        <v>118</v>
      </c>
      <c r="AN6190">
        <v>7244</v>
      </c>
      <c r="AO6190">
        <v>0.17</v>
      </c>
      <c r="AR6190">
        <v>1</v>
      </c>
      <c r="AS6190" s="1">
        <v>27400</v>
      </c>
      <c r="AT6190" s="1">
        <v>5480</v>
      </c>
      <c r="AU6190" s="1">
        <v>21920</v>
      </c>
      <c r="AV6190">
        <v>80</v>
      </c>
      <c r="AX6190" s="1">
        <v>2317.36</v>
      </c>
      <c r="AY6190" t="s">
        <v>5060</v>
      </c>
      <c r="AZ6190" t="s">
        <v>5060</v>
      </c>
      <c r="BA6190" t="s">
        <v>5061</v>
      </c>
      <c r="BE6190" s="3">
        <v>42055</v>
      </c>
      <c r="BF6190" s="1">
        <v>334408</v>
      </c>
      <c r="BG6190" t="s">
        <v>459</v>
      </c>
      <c r="BH6190" s="1">
        <v>80.040000000000006</v>
      </c>
      <c r="BI6190" s="1">
        <v>370000</v>
      </c>
      <c r="BJ6190" s="3">
        <v>43432</v>
      </c>
      <c r="BK6190" t="s">
        <v>123</v>
      </c>
      <c r="BL6190" t="str">
        <f>"2018.875190"</f>
        <v>2018.875190</v>
      </c>
      <c r="BM6190" t="s">
        <v>492</v>
      </c>
      <c r="BN6190" t="s">
        <v>4706</v>
      </c>
      <c r="BO6190" t="s">
        <v>37569</v>
      </c>
      <c r="BP6190" t="s">
        <v>37570</v>
      </c>
      <c r="BR6190" t="s">
        <v>139</v>
      </c>
      <c r="BW6190" t="str">
        <f>""</f>
        <v/>
      </c>
      <c r="CH6190" t="str">
        <f>""</f>
        <v/>
      </c>
      <c r="CS6190" t="str">
        <f>""</f>
        <v/>
      </c>
    </row>
    <row r="6191" spans="1:97" x14ac:dyDescent="0.25">
      <c r="A6191" t="s">
        <v>140</v>
      </c>
      <c r="B6191" t="s">
        <v>37571</v>
      </c>
      <c r="E6191" t="s">
        <v>37572</v>
      </c>
      <c r="F6191" t="s">
        <v>108</v>
      </c>
      <c r="H6191" t="s">
        <v>37573</v>
      </c>
      <c r="I6191" t="s">
        <v>110</v>
      </c>
      <c r="J6191" t="s">
        <v>111</v>
      </c>
      <c r="K6191" t="str">
        <f>"85225"</f>
        <v>85225</v>
      </c>
      <c r="L6191" t="s">
        <v>926</v>
      </c>
      <c r="M6191" t="s">
        <v>37573</v>
      </c>
      <c r="N6191" t="s">
        <v>110</v>
      </c>
      <c r="O6191" t="s">
        <v>111</v>
      </c>
      <c r="P6191" t="str">
        <f>"85225-3945"</f>
        <v>85225-3945</v>
      </c>
      <c r="Q6191" t="s">
        <v>113</v>
      </c>
      <c r="R6191" t="str">
        <f>"302-84-017"</f>
        <v>302-84-017</v>
      </c>
      <c r="S6191" t="s">
        <v>37574</v>
      </c>
      <c r="T6191" t="s">
        <v>37575</v>
      </c>
      <c r="U6191">
        <v>2251</v>
      </c>
      <c r="V6191">
        <v>0</v>
      </c>
      <c r="W6191">
        <v>3</v>
      </c>
      <c r="X6191">
        <v>1989</v>
      </c>
      <c r="Z6191">
        <v>2</v>
      </c>
      <c r="AA6191" t="s">
        <v>26</v>
      </c>
      <c r="AB6191">
        <v>0</v>
      </c>
      <c r="AC6191" t="s">
        <v>115</v>
      </c>
      <c r="AD6191">
        <v>2</v>
      </c>
      <c r="AE6191" t="s">
        <v>115</v>
      </c>
      <c r="AF6191">
        <v>0</v>
      </c>
      <c r="AG6191">
        <v>0</v>
      </c>
      <c r="AH6191" t="s">
        <v>116</v>
      </c>
      <c r="AI6191" s="1">
        <v>76742</v>
      </c>
      <c r="AJ6191" s="2">
        <v>0.21</v>
      </c>
      <c r="AK6191" s="1">
        <v>358742</v>
      </c>
      <c r="AL6191" t="s">
        <v>117</v>
      </c>
      <c r="AM6191" t="s">
        <v>118</v>
      </c>
      <c r="AN6191">
        <v>11038</v>
      </c>
      <c r="AO6191">
        <v>0.25</v>
      </c>
      <c r="AP6191">
        <v>1</v>
      </c>
      <c r="AR6191">
        <v>1</v>
      </c>
      <c r="AS6191" s="1">
        <v>26030</v>
      </c>
      <c r="AT6191" s="1">
        <v>5200</v>
      </c>
      <c r="AU6191" s="1">
        <v>20830</v>
      </c>
      <c r="AV6191">
        <v>80.02</v>
      </c>
      <c r="AX6191" s="1">
        <v>2030.92</v>
      </c>
      <c r="AY6191" t="s">
        <v>2956</v>
      </c>
      <c r="AZ6191" t="s">
        <v>2906</v>
      </c>
      <c r="BA6191" t="s">
        <v>2957</v>
      </c>
      <c r="BB6191" s="3">
        <v>42395</v>
      </c>
      <c r="BD6191" t="s">
        <v>842</v>
      </c>
      <c r="BE6191" s="3">
        <v>42388</v>
      </c>
      <c r="BF6191" s="1">
        <v>282000</v>
      </c>
      <c r="BG6191" t="s">
        <v>5034</v>
      </c>
      <c r="BH6191" s="1">
        <v>125.28</v>
      </c>
      <c r="BI6191" s="1">
        <v>282000</v>
      </c>
      <c r="BJ6191" s="3">
        <v>42388</v>
      </c>
      <c r="BK6191" t="s">
        <v>123</v>
      </c>
      <c r="BL6191" t="str">
        <f>"2016.34935"</f>
        <v>2016.34935</v>
      </c>
      <c r="BM6191" t="s">
        <v>1287</v>
      </c>
      <c r="BO6191" t="s">
        <v>37576</v>
      </c>
      <c r="BS6191">
        <v>30</v>
      </c>
      <c r="BW6191" t="str">
        <f>""</f>
        <v/>
      </c>
      <c r="CH6191" t="str">
        <f>""</f>
        <v/>
      </c>
      <c r="CS6191" t="str">
        <f>""</f>
        <v/>
      </c>
    </row>
    <row r="6192" spans="1:97" x14ac:dyDescent="0.25">
      <c r="A6192" t="s">
        <v>4578</v>
      </c>
      <c r="B6192" t="s">
        <v>10405</v>
      </c>
      <c r="E6192" t="s">
        <v>37577</v>
      </c>
      <c r="F6192" t="s">
        <v>108</v>
      </c>
      <c r="H6192" t="s">
        <v>37578</v>
      </c>
      <c r="I6192" t="s">
        <v>144</v>
      </c>
      <c r="J6192" t="s">
        <v>111</v>
      </c>
      <c r="K6192" t="str">
        <f>"85326"</f>
        <v>85326</v>
      </c>
      <c r="L6192" t="s">
        <v>500</v>
      </c>
      <c r="M6192" t="s">
        <v>37578</v>
      </c>
      <c r="N6192" t="s">
        <v>144</v>
      </c>
      <c r="O6192" t="s">
        <v>111</v>
      </c>
      <c r="P6192" t="str">
        <f>"85326-6560"</f>
        <v>85326-6560</v>
      </c>
      <c r="Q6192" t="s">
        <v>113</v>
      </c>
      <c r="R6192" t="str">
        <f>"504-61-266"</f>
        <v>504-61-266</v>
      </c>
      <c r="S6192" t="s">
        <v>37579</v>
      </c>
      <c r="T6192" t="s">
        <v>9408</v>
      </c>
      <c r="U6192">
        <v>2025</v>
      </c>
      <c r="V6192">
        <v>0</v>
      </c>
      <c r="W6192">
        <v>3</v>
      </c>
      <c r="X6192">
        <v>2014</v>
      </c>
      <c r="Z6192">
        <v>1</v>
      </c>
      <c r="AB6192">
        <v>0</v>
      </c>
      <c r="AC6192" t="s">
        <v>115</v>
      </c>
      <c r="AD6192">
        <v>3</v>
      </c>
      <c r="AE6192" t="s">
        <v>115</v>
      </c>
      <c r="AF6192">
        <v>0</v>
      </c>
      <c r="AG6192">
        <v>0</v>
      </c>
      <c r="AH6192" t="s">
        <v>116</v>
      </c>
      <c r="AI6192" s="1">
        <v>72049</v>
      </c>
      <c r="AJ6192" s="2">
        <v>0.26</v>
      </c>
      <c r="AK6192" s="1">
        <v>274049</v>
      </c>
      <c r="AL6192" t="s">
        <v>117</v>
      </c>
      <c r="AM6192" t="s">
        <v>118</v>
      </c>
      <c r="AN6192">
        <v>6507</v>
      </c>
      <c r="AO6192">
        <v>0.15</v>
      </c>
      <c r="AR6192">
        <v>1</v>
      </c>
      <c r="AS6192" s="1">
        <v>19930</v>
      </c>
      <c r="AT6192" s="1">
        <v>3980</v>
      </c>
      <c r="AU6192" s="1">
        <v>15950</v>
      </c>
      <c r="AV6192">
        <v>80.03</v>
      </c>
      <c r="AX6192" s="1">
        <v>1567.74</v>
      </c>
      <c r="AY6192" t="s">
        <v>8444</v>
      </c>
      <c r="AZ6192" t="s">
        <v>8444</v>
      </c>
      <c r="BA6192" t="s">
        <v>1247</v>
      </c>
      <c r="BE6192" s="3">
        <v>41989</v>
      </c>
      <c r="BF6192" s="1">
        <v>202000</v>
      </c>
      <c r="BG6192" t="s">
        <v>1404</v>
      </c>
      <c r="BH6192" s="1">
        <v>99.75</v>
      </c>
      <c r="BI6192" s="1">
        <v>202000</v>
      </c>
      <c r="BJ6192" s="3">
        <v>41989</v>
      </c>
      <c r="BK6192" t="s">
        <v>123</v>
      </c>
      <c r="BL6192" t="str">
        <f>"2014.823955"</f>
        <v>2014.823955</v>
      </c>
      <c r="BM6192" t="s">
        <v>3294</v>
      </c>
      <c r="BO6192" t="s">
        <v>37580</v>
      </c>
      <c r="BS6192">
        <v>30</v>
      </c>
      <c r="BW6192" t="str">
        <f>""</f>
        <v/>
      </c>
      <c r="CH6192" t="str">
        <f>""</f>
        <v/>
      </c>
      <c r="CS6192" t="str">
        <f>""</f>
        <v/>
      </c>
    </row>
    <row r="6193" spans="1:97" x14ac:dyDescent="0.25">
      <c r="A6193" t="s">
        <v>815</v>
      </c>
      <c r="B6193" t="s">
        <v>37581</v>
      </c>
      <c r="E6193" t="s">
        <v>37582</v>
      </c>
      <c r="F6193" t="s">
        <v>108</v>
      </c>
      <c r="H6193" t="s">
        <v>37583</v>
      </c>
      <c r="I6193" t="s">
        <v>144</v>
      </c>
      <c r="J6193" t="s">
        <v>111</v>
      </c>
      <c r="K6193" t="str">
        <f>"85396"</f>
        <v>85396</v>
      </c>
      <c r="L6193" t="s">
        <v>1244</v>
      </c>
      <c r="M6193" t="s">
        <v>37583</v>
      </c>
      <c r="N6193" t="s">
        <v>144</v>
      </c>
      <c r="O6193" t="s">
        <v>111</v>
      </c>
      <c r="P6193" t="str">
        <f>"85396-8386"</f>
        <v>85396-8386</v>
      </c>
      <c r="Q6193" t="s">
        <v>113</v>
      </c>
      <c r="R6193" t="str">
        <f>"502-81-526"</f>
        <v>502-81-526</v>
      </c>
      <c r="S6193" t="s">
        <v>37584</v>
      </c>
      <c r="U6193">
        <v>2642</v>
      </c>
      <c r="V6193">
        <v>0</v>
      </c>
      <c r="W6193">
        <v>3</v>
      </c>
      <c r="X6193">
        <v>2012</v>
      </c>
      <c r="Z6193">
        <v>2</v>
      </c>
      <c r="AA6193" t="s">
        <v>26</v>
      </c>
      <c r="AB6193">
        <v>0</v>
      </c>
      <c r="AC6193" t="s">
        <v>115</v>
      </c>
      <c r="AD6193">
        <v>3</v>
      </c>
      <c r="AE6193" t="s">
        <v>115</v>
      </c>
      <c r="AF6193">
        <v>0</v>
      </c>
      <c r="AG6193">
        <v>0</v>
      </c>
      <c r="AH6193" t="s">
        <v>116</v>
      </c>
      <c r="AI6193" s="1">
        <v>35831</v>
      </c>
      <c r="AJ6193" s="2">
        <v>0.1</v>
      </c>
      <c r="AK6193" s="1">
        <v>372072</v>
      </c>
      <c r="AL6193" t="s">
        <v>117</v>
      </c>
      <c r="AM6193" t="s">
        <v>118</v>
      </c>
      <c r="AN6193">
        <v>8005</v>
      </c>
      <c r="AO6193">
        <v>0.18</v>
      </c>
      <c r="AR6193">
        <v>1</v>
      </c>
      <c r="AS6193" s="1">
        <v>26600</v>
      </c>
      <c r="AT6193" s="1">
        <v>5320</v>
      </c>
      <c r="AU6193" s="1">
        <v>21280</v>
      </c>
      <c r="AV6193">
        <v>80</v>
      </c>
      <c r="AX6193" s="1">
        <v>3392.04</v>
      </c>
      <c r="AY6193" t="s">
        <v>217</v>
      </c>
      <c r="AZ6193" t="s">
        <v>217</v>
      </c>
      <c r="BA6193" t="s">
        <v>218</v>
      </c>
      <c r="BE6193" s="3">
        <v>42307</v>
      </c>
      <c r="BF6193" s="1">
        <v>325500</v>
      </c>
      <c r="BG6193" t="s">
        <v>37585</v>
      </c>
      <c r="BH6193" s="1">
        <v>123.2</v>
      </c>
      <c r="BI6193" s="1">
        <v>336241</v>
      </c>
      <c r="BJ6193" s="3">
        <v>42307</v>
      </c>
      <c r="BK6193" t="s">
        <v>123</v>
      </c>
      <c r="BL6193" t="str">
        <f>"2015.783879"</f>
        <v>2015.783879</v>
      </c>
      <c r="BM6193" t="s">
        <v>10036</v>
      </c>
      <c r="BO6193" t="s">
        <v>37586</v>
      </c>
      <c r="BS6193">
        <v>30</v>
      </c>
      <c r="BW6193" t="str">
        <f>""</f>
        <v/>
      </c>
      <c r="CH6193" t="str">
        <f>""</f>
        <v/>
      </c>
      <c r="CS6193" t="str">
        <f>""</f>
        <v/>
      </c>
    </row>
    <row r="6194" spans="1:97" x14ac:dyDescent="0.25">
      <c r="A6194" t="s">
        <v>1176</v>
      </c>
      <c r="B6194" t="s">
        <v>37587</v>
      </c>
      <c r="E6194" t="s">
        <v>37588</v>
      </c>
      <c r="F6194" t="s">
        <v>108</v>
      </c>
      <c r="H6194" t="s">
        <v>37589</v>
      </c>
      <c r="I6194" t="s">
        <v>390</v>
      </c>
      <c r="J6194" t="s">
        <v>111</v>
      </c>
      <c r="K6194" t="str">
        <f>"85044"</f>
        <v>85044</v>
      </c>
      <c r="L6194" t="s">
        <v>2875</v>
      </c>
      <c r="M6194" t="s">
        <v>37589</v>
      </c>
      <c r="N6194" t="s">
        <v>390</v>
      </c>
      <c r="O6194" t="s">
        <v>111</v>
      </c>
      <c r="P6194" t="str">
        <f>"85044-1222"</f>
        <v>85044-1222</v>
      </c>
      <c r="Q6194" t="s">
        <v>113</v>
      </c>
      <c r="R6194" t="str">
        <f>"301-41-099"</f>
        <v>301-41-099</v>
      </c>
      <c r="S6194" t="s">
        <v>21945</v>
      </c>
      <c r="T6194" t="s">
        <v>21946</v>
      </c>
      <c r="U6194">
        <v>1297</v>
      </c>
      <c r="V6194">
        <v>0</v>
      </c>
      <c r="W6194">
        <v>2</v>
      </c>
      <c r="X6194">
        <v>1981</v>
      </c>
      <c r="Z6194">
        <v>1</v>
      </c>
      <c r="AA6194" t="s">
        <v>26</v>
      </c>
      <c r="AB6194">
        <v>0</v>
      </c>
      <c r="AC6194" t="s">
        <v>115</v>
      </c>
      <c r="AD6194">
        <v>2</v>
      </c>
      <c r="AE6194" t="s">
        <v>115</v>
      </c>
      <c r="AF6194">
        <v>0</v>
      </c>
      <c r="AG6194">
        <v>0</v>
      </c>
      <c r="AH6194" t="s">
        <v>116</v>
      </c>
      <c r="AI6194" s="1">
        <v>63580</v>
      </c>
      <c r="AJ6194" s="2">
        <v>0.22</v>
      </c>
      <c r="AK6194" s="1">
        <v>284224</v>
      </c>
      <c r="AL6194" t="s">
        <v>117</v>
      </c>
      <c r="AM6194" t="s">
        <v>191</v>
      </c>
      <c r="AN6194">
        <v>7113</v>
      </c>
      <c r="AO6194">
        <v>0.16</v>
      </c>
      <c r="AP6194">
        <v>1</v>
      </c>
      <c r="AR6194">
        <v>1</v>
      </c>
      <c r="AS6194" s="1">
        <v>19610</v>
      </c>
      <c r="AT6194" s="1">
        <v>3920</v>
      </c>
      <c r="AU6194" s="1">
        <v>15690</v>
      </c>
      <c r="AV6194">
        <v>80.010000000000005</v>
      </c>
      <c r="AX6194" s="1">
        <v>1683.16</v>
      </c>
      <c r="AY6194" t="s">
        <v>11872</v>
      </c>
      <c r="AZ6194" t="s">
        <v>7255</v>
      </c>
      <c r="BA6194" t="s">
        <v>5328</v>
      </c>
      <c r="BB6194" s="3">
        <v>41822</v>
      </c>
      <c r="BD6194" t="s">
        <v>8588</v>
      </c>
      <c r="BE6194" s="3">
        <v>41800</v>
      </c>
      <c r="BF6194" s="1">
        <v>216000</v>
      </c>
      <c r="BG6194" t="s">
        <v>37590</v>
      </c>
      <c r="BH6194" s="1">
        <v>166.54</v>
      </c>
      <c r="BI6194" s="1">
        <v>220644</v>
      </c>
      <c r="BJ6194" s="3">
        <v>41800</v>
      </c>
      <c r="BK6194" t="s">
        <v>123</v>
      </c>
      <c r="BL6194" t="str">
        <f>"2014.378304"</f>
        <v>2014.378304</v>
      </c>
      <c r="BM6194" t="s">
        <v>131</v>
      </c>
      <c r="BO6194" t="s">
        <v>37591</v>
      </c>
      <c r="BS6194">
        <v>30</v>
      </c>
      <c r="BW6194" t="str">
        <f>""</f>
        <v/>
      </c>
      <c r="CH6194" t="str">
        <f>""</f>
        <v/>
      </c>
      <c r="CS6194" t="str">
        <f>""</f>
        <v/>
      </c>
    </row>
    <row r="6195" spans="1:97" x14ac:dyDescent="0.25">
      <c r="A6195" t="s">
        <v>37592</v>
      </c>
      <c r="B6195" t="s">
        <v>37593</v>
      </c>
      <c r="E6195" t="s">
        <v>37594</v>
      </c>
      <c r="F6195" t="s">
        <v>108</v>
      </c>
      <c r="H6195" t="s">
        <v>37595</v>
      </c>
      <c r="I6195" t="s">
        <v>5387</v>
      </c>
      <c r="J6195" t="s">
        <v>111</v>
      </c>
      <c r="K6195" t="str">
        <f>"85283"</f>
        <v>85283</v>
      </c>
      <c r="L6195" t="s">
        <v>7847</v>
      </c>
      <c r="M6195" t="s">
        <v>37595</v>
      </c>
      <c r="N6195" t="s">
        <v>5387</v>
      </c>
      <c r="O6195" t="s">
        <v>111</v>
      </c>
      <c r="P6195" t="str">
        <f>"85283-1971"</f>
        <v>85283-1971</v>
      </c>
      <c r="Q6195" t="s">
        <v>113</v>
      </c>
      <c r="R6195" t="str">
        <f>"301-80-435"</f>
        <v>301-80-435</v>
      </c>
      <c r="S6195" t="s">
        <v>37596</v>
      </c>
      <c r="T6195" t="s">
        <v>31169</v>
      </c>
      <c r="U6195">
        <v>1308</v>
      </c>
      <c r="V6195">
        <v>0</v>
      </c>
      <c r="W6195">
        <v>2</v>
      </c>
      <c r="X6195">
        <v>1973</v>
      </c>
      <c r="Z6195">
        <v>1</v>
      </c>
      <c r="AA6195" t="s">
        <v>26</v>
      </c>
      <c r="AB6195">
        <v>0</v>
      </c>
      <c r="AC6195" t="s">
        <v>5188</v>
      </c>
      <c r="AD6195">
        <v>1</v>
      </c>
      <c r="AE6195" t="s">
        <v>5188</v>
      </c>
      <c r="AF6195">
        <v>0</v>
      </c>
      <c r="AG6195">
        <v>0</v>
      </c>
      <c r="AH6195" t="s">
        <v>116</v>
      </c>
      <c r="AI6195" s="1">
        <v>47986</v>
      </c>
      <c r="AJ6195" s="2">
        <v>0.17</v>
      </c>
      <c r="AK6195" s="1">
        <v>278706</v>
      </c>
      <c r="AL6195" t="s">
        <v>117</v>
      </c>
      <c r="AM6195" t="s">
        <v>191</v>
      </c>
      <c r="AN6195">
        <v>6159</v>
      </c>
      <c r="AO6195">
        <v>0.14000000000000001</v>
      </c>
      <c r="AP6195">
        <v>1</v>
      </c>
      <c r="AR6195">
        <v>1</v>
      </c>
      <c r="AS6195" s="1">
        <v>18660</v>
      </c>
      <c r="AT6195" s="1">
        <v>3730</v>
      </c>
      <c r="AU6195" s="1">
        <v>14930</v>
      </c>
      <c r="AV6195">
        <v>80.010000000000005</v>
      </c>
      <c r="AX6195" s="1">
        <v>1620.26</v>
      </c>
      <c r="AY6195" t="s">
        <v>31170</v>
      </c>
      <c r="AZ6195" t="s">
        <v>6726</v>
      </c>
      <c r="BA6195" t="s">
        <v>5392</v>
      </c>
      <c r="BE6195" s="3">
        <v>42327</v>
      </c>
      <c r="BF6195" s="1">
        <v>224900</v>
      </c>
      <c r="BG6195" t="s">
        <v>37597</v>
      </c>
      <c r="BH6195" s="1">
        <v>171.94</v>
      </c>
      <c r="BI6195" s="1">
        <v>230720</v>
      </c>
      <c r="BJ6195" s="3">
        <v>42600</v>
      </c>
      <c r="BK6195" t="s">
        <v>123</v>
      </c>
      <c r="BL6195" t="str">
        <f>"2016.590508"</f>
        <v>2016.590508</v>
      </c>
      <c r="BM6195" t="s">
        <v>322</v>
      </c>
      <c r="BO6195" t="s">
        <v>37598</v>
      </c>
      <c r="BS6195">
        <v>30</v>
      </c>
      <c r="BW6195" t="str">
        <f>""</f>
        <v/>
      </c>
      <c r="CH6195" t="str">
        <f>""</f>
        <v/>
      </c>
      <c r="CS6195" t="str">
        <f>""</f>
        <v/>
      </c>
    </row>
    <row r="6196" spans="1:97" x14ac:dyDescent="0.25">
      <c r="A6196" t="s">
        <v>575</v>
      </c>
      <c r="B6196" t="s">
        <v>37599</v>
      </c>
      <c r="C6196" t="s">
        <v>10874</v>
      </c>
      <c r="D6196" t="s">
        <v>37599</v>
      </c>
      <c r="E6196" t="s">
        <v>37600</v>
      </c>
      <c r="F6196" t="s">
        <v>108</v>
      </c>
      <c r="H6196" t="s">
        <v>37601</v>
      </c>
      <c r="I6196" t="s">
        <v>390</v>
      </c>
      <c r="J6196" t="s">
        <v>111</v>
      </c>
      <c r="K6196" t="str">
        <f>"85013"</f>
        <v>85013</v>
      </c>
      <c r="L6196" t="s">
        <v>9006</v>
      </c>
      <c r="M6196" t="s">
        <v>37601</v>
      </c>
      <c r="N6196" t="s">
        <v>390</v>
      </c>
      <c r="O6196" t="s">
        <v>111</v>
      </c>
      <c r="P6196" t="str">
        <f>"85013-3324"</f>
        <v>85013-3324</v>
      </c>
      <c r="Q6196" t="s">
        <v>113</v>
      </c>
      <c r="R6196" t="str">
        <f>"110-13-083"</f>
        <v>110-13-083</v>
      </c>
      <c r="S6196" t="s">
        <v>18501</v>
      </c>
      <c r="T6196" t="s">
        <v>9544</v>
      </c>
      <c r="U6196">
        <v>1220</v>
      </c>
      <c r="V6196">
        <v>0</v>
      </c>
      <c r="W6196">
        <v>1</v>
      </c>
      <c r="X6196">
        <v>1950</v>
      </c>
      <c r="Z6196">
        <v>1</v>
      </c>
      <c r="AB6196">
        <v>0</v>
      </c>
      <c r="AC6196" t="s">
        <v>5188</v>
      </c>
      <c r="AD6196">
        <v>1</v>
      </c>
      <c r="AE6196" t="s">
        <v>5188</v>
      </c>
      <c r="AF6196">
        <v>0</v>
      </c>
      <c r="AG6196">
        <v>0</v>
      </c>
      <c r="AH6196" t="s">
        <v>5467</v>
      </c>
      <c r="AI6196" s="1">
        <v>68132</v>
      </c>
      <c r="AJ6196" s="2">
        <v>0.23</v>
      </c>
      <c r="AK6196" s="1">
        <v>293132</v>
      </c>
      <c r="AL6196" t="s">
        <v>117</v>
      </c>
      <c r="AM6196" t="s">
        <v>191</v>
      </c>
      <c r="AN6196">
        <v>6325</v>
      </c>
      <c r="AO6196">
        <v>0.14000000000000001</v>
      </c>
      <c r="AP6196">
        <v>1</v>
      </c>
      <c r="AR6196">
        <v>1</v>
      </c>
      <c r="AS6196" s="1">
        <v>18300</v>
      </c>
      <c r="AT6196" s="1">
        <v>3660</v>
      </c>
      <c r="AU6196" s="1">
        <v>14640</v>
      </c>
      <c r="AV6196">
        <v>80</v>
      </c>
      <c r="AX6196" s="1">
        <v>1156.98</v>
      </c>
      <c r="AY6196" t="s">
        <v>5468</v>
      </c>
      <c r="AZ6196" t="s">
        <v>5468</v>
      </c>
      <c r="BA6196" t="s">
        <v>5469</v>
      </c>
      <c r="BE6196" s="3">
        <v>42094</v>
      </c>
      <c r="BF6196" s="1">
        <v>225000</v>
      </c>
      <c r="BG6196" t="s">
        <v>37602</v>
      </c>
      <c r="BH6196" s="1">
        <v>184.43</v>
      </c>
      <c r="BI6196" s="1">
        <v>225000</v>
      </c>
      <c r="BJ6196" s="3">
        <v>42094</v>
      </c>
      <c r="BK6196" t="s">
        <v>123</v>
      </c>
      <c r="BL6196" t="str">
        <f>"2015.219607"</f>
        <v>2015.219607</v>
      </c>
      <c r="BM6196" t="s">
        <v>248</v>
      </c>
      <c r="BO6196" t="s">
        <v>37603</v>
      </c>
      <c r="BS6196">
        <v>30</v>
      </c>
      <c r="BW6196" t="str">
        <f>""</f>
        <v/>
      </c>
      <c r="CH6196" t="str">
        <f>""</f>
        <v/>
      </c>
      <c r="CS6196" t="str">
        <f>""</f>
        <v/>
      </c>
    </row>
    <row r="6197" spans="1:97" x14ac:dyDescent="0.25">
      <c r="A6197" t="s">
        <v>26491</v>
      </c>
      <c r="B6197" t="s">
        <v>16914</v>
      </c>
      <c r="E6197" t="s">
        <v>37604</v>
      </c>
      <c r="F6197" t="s">
        <v>108</v>
      </c>
      <c r="H6197" t="s">
        <v>37605</v>
      </c>
      <c r="I6197" t="s">
        <v>632</v>
      </c>
      <c r="J6197" t="s">
        <v>111</v>
      </c>
      <c r="K6197" t="str">
        <f>"85379"</f>
        <v>85379</v>
      </c>
      <c r="L6197" t="s">
        <v>5058</v>
      </c>
      <c r="M6197" t="s">
        <v>37605</v>
      </c>
      <c r="N6197" t="s">
        <v>632</v>
      </c>
      <c r="O6197" t="s">
        <v>111</v>
      </c>
      <c r="P6197" t="str">
        <f>"85379-1170"</f>
        <v>85379-1170</v>
      </c>
      <c r="Q6197" t="s">
        <v>113</v>
      </c>
      <c r="R6197" t="str">
        <f>"501-79-333"</f>
        <v>501-79-333</v>
      </c>
      <c r="S6197" t="s">
        <v>5059</v>
      </c>
      <c r="U6197">
        <v>3348</v>
      </c>
      <c r="V6197">
        <v>0</v>
      </c>
      <c r="W6197">
        <v>5</v>
      </c>
      <c r="X6197">
        <v>2015</v>
      </c>
      <c r="Z6197">
        <v>2</v>
      </c>
      <c r="AA6197" t="s">
        <v>26</v>
      </c>
      <c r="AB6197">
        <v>0</v>
      </c>
      <c r="AC6197" t="s">
        <v>115</v>
      </c>
      <c r="AD6197">
        <v>3</v>
      </c>
      <c r="AE6197" t="s">
        <v>115</v>
      </c>
      <c r="AF6197">
        <v>0</v>
      </c>
      <c r="AG6197">
        <v>0</v>
      </c>
      <c r="AH6197" t="s">
        <v>116</v>
      </c>
      <c r="AI6197" s="1">
        <v>31522</v>
      </c>
      <c r="AJ6197" s="2">
        <v>0.08</v>
      </c>
      <c r="AK6197" s="1">
        <v>400173</v>
      </c>
      <c r="AL6197" t="s">
        <v>117</v>
      </c>
      <c r="AM6197" t="s">
        <v>118</v>
      </c>
      <c r="AN6197">
        <v>7245</v>
      </c>
      <c r="AO6197">
        <v>0.17</v>
      </c>
      <c r="AR6197">
        <v>1</v>
      </c>
      <c r="AS6197" s="1">
        <v>30880</v>
      </c>
      <c r="AT6197" s="1">
        <v>6170</v>
      </c>
      <c r="AU6197" s="1">
        <v>24710</v>
      </c>
      <c r="AV6197">
        <v>80.02</v>
      </c>
      <c r="AX6197" s="1">
        <v>2365.16</v>
      </c>
      <c r="AY6197" t="s">
        <v>5060</v>
      </c>
      <c r="AZ6197" t="s">
        <v>5060</v>
      </c>
      <c r="BA6197" t="s">
        <v>5061</v>
      </c>
      <c r="BE6197" s="3">
        <v>42270</v>
      </c>
      <c r="BF6197" s="1">
        <v>326651</v>
      </c>
      <c r="BG6197" t="s">
        <v>292</v>
      </c>
      <c r="BH6197" s="1">
        <v>97.57</v>
      </c>
      <c r="BI6197" s="1">
        <v>326651</v>
      </c>
      <c r="BJ6197" s="3">
        <v>42270</v>
      </c>
      <c r="BK6197" t="s">
        <v>123</v>
      </c>
      <c r="BL6197" t="str">
        <f>"2015.685907"</f>
        <v>2015.685907</v>
      </c>
      <c r="BM6197" t="s">
        <v>724</v>
      </c>
      <c r="BO6197" t="s">
        <v>37606</v>
      </c>
      <c r="BS6197">
        <v>30</v>
      </c>
      <c r="BT6197" s="1">
        <v>42000</v>
      </c>
      <c r="BU6197" s="3">
        <v>43060</v>
      </c>
      <c r="BV6197" t="s">
        <v>134</v>
      </c>
      <c r="BW6197" t="str">
        <f>"2017.865820"</f>
        <v>2017.865820</v>
      </c>
      <c r="BX6197" t="s">
        <v>4945</v>
      </c>
      <c r="BZ6197" t="s">
        <v>37607</v>
      </c>
      <c r="CD6197">
        <v>10</v>
      </c>
      <c r="CH6197" t="str">
        <f>""</f>
        <v/>
      </c>
      <c r="CS6197" t="str">
        <f>""</f>
        <v/>
      </c>
    </row>
    <row r="6198" spans="1:97" x14ac:dyDescent="0.25">
      <c r="A6198" t="s">
        <v>27204</v>
      </c>
      <c r="B6198" t="s">
        <v>11886</v>
      </c>
      <c r="C6198" t="s">
        <v>7175</v>
      </c>
      <c r="D6198" t="s">
        <v>11886</v>
      </c>
      <c r="E6198" t="s">
        <v>37608</v>
      </c>
      <c r="F6198" t="s">
        <v>108</v>
      </c>
      <c r="H6198" t="s">
        <v>37609</v>
      </c>
      <c r="I6198" t="s">
        <v>390</v>
      </c>
      <c r="J6198" t="s">
        <v>111</v>
      </c>
      <c r="K6198" t="str">
        <f>"85022"</f>
        <v>85022</v>
      </c>
      <c r="L6198" t="s">
        <v>6145</v>
      </c>
      <c r="M6198" t="s">
        <v>37609</v>
      </c>
      <c r="N6198" t="s">
        <v>390</v>
      </c>
      <c r="O6198" t="s">
        <v>111</v>
      </c>
      <c r="P6198" t="str">
        <f>"85022-3715"</f>
        <v>85022-3715</v>
      </c>
      <c r="Q6198" t="s">
        <v>113</v>
      </c>
      <c r="R6198" t="str">
        <f>"214-42-067"</f>
        <v>214-42-067</v>
      </c>
      <c r="S6198" t="s">
        <v>23156</v>
      </c>
      <c r="T6198" t="s">
        <v>23156</v>
      </c>
      <c r="U6198">
        <v>1941</v>
      </c>
      <c r="V6198">
        <v>0</v>
      </c>
      <c r="W6198">
        <v>3</v>
      </c>
      <c r="X6198">
        <v>1977</v>
      </c>
      <c r="Z6198">
        <v>1</v>
      </c>
      <c r="AA6198" t="s">
        <v>26</v>
      </c>
      <c r="AB6198">
        <v>0</v>
      </c>
      <c r="AC6198" t="s">
        <v>115</v>
      </c>
      <c r="AD6198">
        <v>2</v>
      </c>
      <c r="AE6198" t="s">
        <v>115</v>
      </c>
      <c r="AF6198">
        <v>0</v>
      </c>
      <c r="AG6198">
        <v>0</v>
      </c>
      <c r="AH6198" t="s">
        <v>116</v>
      </c>
      <c r="AI6198" s="1">
        <v>52005</v>
      </c>
      <c r="AJ6198" s="2">
        <v>0.14000000000000001</v>
      </c>
      <c r="AK6198" s="1">
        <v>362005</v>
      </c>
      <c r="AL6198" t="s">
        <v>117</v>
      </c>
      <c r="AM6198" t="s">
        <v>1302</v>
      </c>
      <c r="AN6198">
        <v>9681</v>
      </c>
      <c r="AO6198">
        <v>0.22</v>
      </c>
      <c r="AP6198">
        <v>1</v>
      </c>
      <c r="AR6198">
        <v>1</v>
      </c>
      <c r="AS6198" s="1">
        <v>24480</v>
      </c>
      <c r="AT6198" s="1">
        <v>4890</v>
      </c>
      <c r="AU6198" s="1">
        <v>19590</v>
      </c>
      <c r="AV6198">
        <v>80.02</v>
      </c>
      <c r="AX6198" s="1">
        <v>2018.2</v>
      </c>
      <c r="AY6198" t="s">
        <v>5802</v>
      </c>
      <c r="AZ6198" t="s">
        <v>5489</v>
      </c>
      <c r="BA6198" t="s">
        <v>5232</v>
      </c>
      <c r="BE6198" s="3">
        <v>41995</v>
      </c>
      <c r="BF6198" s="1">
        <v>260000</v>
      </c>
      <c r="BG6198" t="s">
        <v>37610</v>
      </c>
      <c r="BH6198" s="1">
        <v>133.94999999999999</v>
      </c>
      <c r="BI6198" s="1">
        <v>260000</v>
      </c>
      <c r="BJ6198" s="3">
        <v>41995</v>
      </c>
      <c r="BK6198" t="s">
        <v>123</v>
      </c>
      <c r="BL6198" t="str">
        <f>"2014.842120"</f>
        <v>2014.842120</v>
      </c>
      <c r="BM6198" t="s">
        <v>135</v>
      </c>
      <c r="BO6198" t="s">
        <v>37611</v>
      </c>
      <c r="BS6198">
        <v>30</v>
      </c>
      <c r="BT6198" s="1">
        <v>50000</v>
      </c>
      <c r="BU6198" s="3">
        <v>42852</v>
      </c>
      <c r="BV6198" t="s">
        <v>134</v>
      </c>
      <c r="BW6198" t="str">
        <f>"2017.303390"</f>
        <v>2017.303390</v>
      </c>
      <c r="BX6198" t="s">
        <v>135</v>
      </c>
      <c r="BZ6198" t="s">
        <v>37611</v>
      </c>
      <c r="CD6198">
        <v>20</v>
      </c>
      <c r="CH6198" t="str">
        <f>""</f>
        <v/>
      </c>
      <c r="CS6198" t="str">
        <f>""</f>
        <v/>
      </c>
    </row>
    <row r="6199" spans="1:97" x14ac:dyDescent="0.25">
      <c r="A6199" t="s">
        <v>1109</v>
      </c>
      <c r="B6199" t="s">
        <v>37612</v>
      </c>
      <c r="C6199" t="s">
        <v>767</v>
      </c>
      <c r="D6199" t="s">
        <v>37612</v>
      </c>
      <c r="E6199" t="s">
        <v>37613</v>
      </c>
      <c r="F6199" t="s">
        <v>108</v>
      </c>
      <c r="H6199" t="s">
        <v>37614</v>
      </c>
      <c r="I6199" t="s">
        <v>3150</v>
      </c>
      <c r="J6199" t="s">
        <v>111</v>
      </c>
      <c r="K6199" t="str">
        <f>"85340"</f>
        <v>85340</v>
      </c>
      <c r="L6199" t="s">
        <v>2765</v>
      </c>
      <c r="M6199" t="s">
        <v>37614</v>
      </c>
      <c r="N6199" t="s">
        <v>3150</v>
      </c>
      <c r="O6199" t="s">
        <v>111</v>
      </c>
      <c r="P6199" t="str">
        <f>"85340-6247"</f>
        <v>85340-6247</v>
      </c>
      <c r="Q6199" t="s">
        <v>113</v>
      </c>
      <c r="R6199" t="str">
        <f>"502-27-633"</f>
        <v>502-27-633</v>
      </c>
      <c r="S6199" t="s">
        <v>7560</v>
      </c>
      <c r="T6199" t="s">
        <v>7560</v>
      </c>
      <c r="U6199">
        <v>2342</v>
      </c>
      <c r="V6199">
        <v>0</v>
      </c>
      <c r="W6199">
        <v>3</v>
      </c>
      <c r="X6199">
        <v>2008</v>
      </c>
      <c r="Z6199">
        <v>1</v>
      </c>
      <c r="AA6199" t="s">
        <v>26</v>
      </c>
      <c r="AB6199">
        <v>0</v>
      </c>
      <c r="AC6199" t="s">
        <v>115</v>
      </c>
      <c r="AD6199">
        <v>2</v>
      </c>
      <c r="AE6199" t="s">
        <v>115</v>
      </c>
      <c r="AF6199">
        <v>0</v>
      </c>
      <c r="AG6199">
        <v>0</v>
      </c>
      <c r="AH6199" t="s">
        <v>116</v>
      </c>
      <c r="AI6199" s="1">
        <v>53548</v>
      </c>
      <c r="AJ6199" s="2">
        <v>0.14000000000000001</v>
      </c>
      <c r="AK6199" s="1">
        <v>391339</v>
      </c>
      <c r="AL6199" t="s">
        <v>117</v>
      </c>
      <c r="AM6199" t="s">
        <v>1302</v>
      </c>
      <c r="AN6199">
        <v>11405</v>
      </c>
      <c r="AO6199">
        <v>0.26</v>
      </c>
      <c r="AR6199">
        <v>1</v>
      </c>
      <c r="AS6199" s="1">
        <v>25470</v>
      </c>
      <c r="AT6199" s="1">
        <v>5090</v>
      </c>
      <c r="AU6199" s="1">
        <v>20380</v>
      </c>
      <c r="AV6199">
        <v>80.02</v>
      </c>
      <c r="AX6199" s="1">
        <v>2803.8</v>
      </c>
      <c r="AY6199" t="s">
        <v>503</v>
      </c>
      <c r="AZ6199" t="s">
        <v>504</v>
      </c>
      <c r="BA6199" t="s">
        <v>218</v>
      </c>
      <c r="BE6199" s="3">
        <v>42124</v>
      </c>
      <c r="BF6199" s="1">
        <v>327000</v>
      </c>
      <c r="BG6199" t="s">
        <v>37615</v>
      </c>
      <c r="BH6199" s="1">
        <v>139.62</v>
      </c>
      <c r="BI6199" s="1">
        <v>337791</v>
      </c>
      <c r="BJ6199" s="3">
        <v>42124</v>
      </c>
      <c r="BK6199" t="s">
        <v>123</v>
      </c>
      <c r="BL6199" t="str">
        <f>"2015.301349"</f>
        <v>2015.301349</v>
      </c>
      <c r="BM6199" t="s">
        <v>7311</v>
      </c>
      <c r="BO6199" t="s">
        <v>37616</v>
      </c>
      <c r="BS6199">
        <v>30</v>
      </c>
      <c r="BW6199" t="str">
        <f>""</f>
        <v/>
      </c>
      <c r="CH6199" t="str">
        <f>""</f>
        <v/>
      </c>
      <c r="CS6199" t="str">
        <f>""</f>
        <v/>
      </c>
    </row>
    <row r="6200" spans="1:97" x14ac:dyDescent="0.25">
      <c r="A6200" t="s">
        <v>894</v>
      </c>
      <c r="B6200" t="s">
        <v>37617</v>
      </c>
      <c r="C6200" t="s">
        <v>998</v>
      </c>
      <c r="D6200" t="s">
        <v>37617</v>
      </c>
      <c r="E6200" t="s">
        <v>37618</v>
      </c>
      <c r="F6200" t="s">
        <v>108</v>
      </c>
      <c r="H6200" t="s">
        <v>37619</v>
      </c>
      <c r="I6200" t="s">
        <v>499</v>
      </c>
      <c r="J6200" t="s">
        <v>111</v>
      </c>
      <c r="K6200" t="str">
        <f>"85395"</f>
        <v>85395</v>
      </c>
      <c r="L6200" t="s">
        <v>3151</v>
      </c>
      <c r="M6200" t="s">
        <v>37619</v>
      </c>
      <c r="N6200" t="s">
        <v>499</v>
      </c>
      <c r="O6200" t="s">
        <v>111</v>
      </c>
      <c r="P6200" t="str">
        <f>"85395-8669"</f>
        <v>85395-8669</v>
      </c>
      <c r="Q6200" t="s">
        <v>113</v>
      </c>
      <c r="R6200" t="str">
        <f>"501-87-685"</f>
        <v>501-87-685</v>
      </c>
      <c r="S6200" t="s">
        <v>37620</v>
      </c>
      <c r="U6200">
        <v>2154</v>
      </c>
      <c r="V6200">
        <v>0</v>
      </c>
      <c r="W6200">
        <v>3</v>
      </c>
      <c r="X6200">
        <v>2000</v>
      </c>
      <c r="Z6200">
        <v>1</v>
      </c>
      <c r="AB6200">
        <v>0</v>
      </c>
      <c r="AC6200" t="s">
        <v>115</v>
      </c>
      <c r="AD6200">
        <v>2</v>
      </c>
      <c r="AE6200" t="s">
        <v>115</v>
      </c>
      <c r="AF6200">
        <v>0</v>
      </c>
      <c r="AG6200">
        <v>0</v>
      </c>
      <c r="AH6200" t="s">
        <v>116</v>
      </c>
      <c r="AI6200" s="1">
        <v>103558</v>
      </c>
      <c r="AJ6200" s="2">
        <v>0.28000000000000003</v>
      </c>
      <c r="AK6200" s="1">
        <v>369148</v>
      </c>
      <c r="AL6200" t="s">
        <v>117</v>
      </c>
      <c r="AM6200" t="s">
        <v>118</v>
      </c>
      <c r="AN6200">
        <v>7281</v>
      </c>
      <c r="AO6200">
        <v>0.17</v>
      </c>
      <c r="AP6200">
        <v>1</v>
      </c>
      <c r="AR6200">
        <v>1</v>
      </c>
      <c r="AS6200" s="1">
        <v>27180</v>
      </c>
      <c r="AT6200" s="1">
        <v>5430</v>
      </c>
      <c r="AU6200" s="1">
        <v>21750</v>
      </c>
      <c r="AV6200">
        <v>80.02</v>
      </c>
      <c r="AX6200" s="1">
        <v>3097.92</v>
      </c>
      <c r="AY6200" t="s">
        <v>3020</v>
      </c>
      <c r="AZ6200" t="s">
        <v>3020</v>
      </c>
      <c r="BA6200" t="s">
        <v>3154</v>
      </c>
      <c r="BE6200" s="3">
        <v>42191</v>
      </c>
      <c r="BF6200" s="1">
        <v>299000</v>
      </c>
      <c r="BG6200" t="s">
        <v>37621</v>
      </c>
      <c r="BH6200" s="1">
        <v>138.81</v>
      </c>
      <c r="BI6200" s="1">
        <v>265590</v>
      </c>
      <c r="BJ6200" s="3">
        <v>42191</v>
      </c>
      <c r="BK6200" t="s">
        <v>123</v>
      </c>
      <c r="BL6200" t="str">
        <f>"2015.484733"</f>
        <v>2015.484733</v>
      </c>
      <c r="BM6200" t="s">
        <v>475</v>
      </c>
      <c r="BO6200" t="s">
        <v>37622</v>
      </c>
      <c r="BS6200">
        <v>30</v>
      </c>
      <c r="BW6200" t="str">
        <f>""</f>
        <v/>
      </c>
      <c r="CH6200" t="str">
        <f>""</f>
        <v/>
      </c>
      <c r="CS6200" t="str">
        <f>""</f>
        <v/>
      </c>
    </row>
    <row r="6201" spans="1:97" x14ac:dyDescent="0.25">
      <c r="A6201" t="s">
        <v>610</v>
      </c>
      <c r="B6201" t="s">
        <v>1089</v>
      </c>
      <c r="C6201" t="s">
        <v>15679</v>
      </c>
      <c r="D6201" t="s">
        <v>1089</v>
      </c>
      <c r="E6201" t="s">
        <v>37623</v>
      </c>
      <c r="F6201" t="s">
        <v>108</v>
      </c>
      <c r="H6201" t="s">
        <v>37624</v>
      </c>
      <c r="I6201" t="s">
        <v>499</v>
      </c>
      <c r="J6201" t="s">
        <v>111</v>
      </c>
      <c r="K6201" t="str">
        <f>"85395"</f>
        <v>85395</v>
      </c>
      <c r="L6201" t="s">
        <v>7147</v>
      </c>
      <c r="M6201" t="s">
        <v>37624</v>
      </c>
      <c r="N6201" t="s">
        <v>499</v>
      </c>
      <c r="O6201" t="s">
        <v>111</v>
      </c>
      <c r="P6201" t="str">
        <f>"85395-8277"</f>
        <v>85395-8277</v>
      </c>
      <c r="Q6201" t="s">
        <v>113</v>
      </c>
      <c r="R6201" t="str">
        <f>"508-01-569"</f>
        <v>508-01-569</v>
      </c>
      <c r="S6201" t="s">
        <v>15264</v>
      </c>
      <c r="T6201" t="s">
        <v>15265</v>
      </c>
      <c r="U6201">
        <v>2610</v>
      </c>
      <c r="V6201">
        <v>0</v>
      </c>
      <c r="W6201">
        <v>3</v>
      </c>
      <c r="X6201">
        <v>2002</v>
      </c>
      <c r="Z6201">
        <v>1</v>
      </c>
      <c r="AB6201">
        <v>0</v>
      </c>
      <c r="AC6201" t="s">
        <v>115</v>
      </c>
      <c r="AD6201">
        <v>3</v>
      </c>
      <c r="AE6201" t="s">
        <v>115</v>
      </c>
      <c r="AF6201">
        <v>0</v>
      </c>
      <c r="AG6201">
        <v>0</v>
      </c>
      <c r="AH6201" t="s">
        <v>116</v>
      </c>
      <c r="AI6201" s="1">
        <v>92054</v>
      </c>
      <c r="AJ6201" s="2">
        <v>0.27</v>
      </c>
      <c r="AK6201" s="1">
        <v>346278</v>
      </c>
      <c r="AL6201" t="s">
        <v>117</v>
      </c>
      <c r="AM6201" t="s">
        <v>118</v>
      </c>
      <c r="AN6201">
        <v>8435</v>
      </c>
      <c r="AO6201">
        <v>0.19</v>
      </c>
      <c r="AP6201">
        <v>1</v>
      </c>
      <c r="AR6201">
        <v>1</v>
      </c>
      <c r="AS6201" s="1">
        <v>24510</v>
      </c>
      <c r="AT6201" s="1">
        <v>4900</v>
      </c>
      <c r="AU6201" s="1">
        <v>19610</v>
      </c>
      <c r="AV6201">
        <v>80.010000000000005</v>
      </c>
      <c r="AX6201" s="1">
        <v>2962.34</v>
      </c>
      <c r="AY6201" t="s">
        <v>3020</v>
      </c>
      <c r="AZ6201" t="s">
        <v>3020</v>
      </c>
      <c r="BA6201" t="s">
        <v>3154</v>
      </c>
      <c r="BE6201" s="3">
        <v>42011</v>
      </c>
      <c r="BF6201" s="1">
        <v>258000</v>
      </c>
      <c r="BG6201" t="s">
        <v>37625</v>
      </c>
      <c r="BH6201" s="1">
        <v>98.85</v>
      </c>
      <c r="BI6201" s="1">
        <v>254224</v>
      </c>
      <c r="BJ6201" s="3">
        <v>42607</v>
      </c>
      <c r="BK6201" t="s">
        <v>123</v>
      </c>
      <c r="BL6201" t="str">
        <f>"2016.612208"</f>
        <v>2016.612208</v>
      </c>
      <c r="BM6201" t="s">
        <v>402</v>
      </c>
      <c r="BO6201" t="s">
        <v>37626</v>
      </c>
      <c r="BS6201">
        <v>30</v>
      </c>
      <c r="BW6201" t="str">
        <f>""</f>
        <v/>
      </c>
      <c r="CH6201" t="str">
        <f>""</f>
        <v/>
      </c>
      <c r="CS6201" t="str">
        <f>""</f>
        <v/>
      </c>
    </row>
    <row r="6202" spans="1:97" x14ac:dyDescent="0.25">
      <c r="A6202" t="s">
        <v>4086</v>
      </c>
      <c r="B6202" t="s">
        <v>6380</v>
      </c>
      <c r="E6202" t="s">
        <v>37627</v>
      </c>
      <c r="F6202" t="s">
        <v>108</v>
      </c>
      <c r="H6202" t="s">
        <v>37628</v>
      </c>
      <c r="I6202" t="s">
        <v>225</v>
      </c>
      <c r="J6202" t="s">
        <v>111</v>
      </c>
      <c r="K6202" t="str">
        <f>"85213"</f>
        <v>85213</v>
      </c>
      <c r="L6202" t="s">
        <v>926</v>
      </c>
      <c r="M6202" t="s">
        <v>37628</v>
      </c>
      <c r="N6202" t="s">
        <v>225</v>
      </c>
      <c r="O6202" t="s">
        <v>111</v>
      </c>
      <c r="P6202" t="str">
        <f>"85213-7615"</f>
        <v>85213-7615</v>
      </c>
      <c r="Q6202" t="s">
        <v>113</v>
      </c>
      <c r="R6202" t="str">
        <f>"140-09-047"</f>
        <v>140-09-047</v>
      </c>
      <c r="S6202" t="s">
        <v>29801</v>
      </c>
      <c r="T6202" t="s">
        <v>29801</v>
      </c>
      <c r="U6202">
        <v>1515</v>
      </c>
      <c r="V6202">
        <v>0</v>
      </c>
      <c r="W6202">
        <v>2</v>
      </c>
      <c r="X6202">
        <v>1971</v>
      </c>
      <c r="Z6202">
        <v>1</v>
      </c>
      <c r="AA6202" t="s">
        <v>26</v>
      </c>
      <c r="AB6202">
        <v>0</v>
      </c>
      <c r="AC6202" t="s">
        <v>115</v>
      </c>
      <c r="AD6202">
        <v>2</v>
      </c>
      <c r="AE6202" t="s">
        <v>115</v>
      </c>
      <c r="AF6202">
        <v>0</v>
      </c>
      <c r="AG6202">
        <v>0</v>
      </c>
      <c r="AH6202" t="s">
        <v>116</v>
      </c>
      <c r="AI6202" s="1">
        <v>21167</v>
      </c>
      <c r="AJ6202" s="2">
        <v>7.0000000000000007E-2</v>
      </c>
      <c r="AK6202" s="1">
        <v>285657</v>
      </c>
      <c r="AL6202" t="s">
        <v>117</v>
      </c>
      <c r="AM6202" t="s">
        <v>191</v>
      </c>
      <c r="AN6202">
        <v>10740</v>
      </c>
      <c r="AO6202">
        <v>0.25</v>
      </c>
      <c r="AP6202">
        <v>1</v>
      </c>
      <c r="AR6202">
        <v>1</v>
      </c>
      <c r="AS6202" s="1">
        <v>19400</v>
      </c>
      <c r="AT6202" s="1">
        <v>3880</v>
      </c>
      <c r="AU6202" s="1">
        <v>15520</v>
      </c>
      <c r="AV6202">
        <v>80</v>
      </c>
      <c r="AX6202" s="1">
        <v>1402.8</v>
      </c>
      <c r="AY6202" t="s">
        <v>9091</v>
      </c>
      <c r="AZ6202" t="s">
        <v>1523</v>
      </c>
      <c r="BA6202" t="s">
        <v>1524</v>
      </c>
      <c r="BE6202" s="3">
        <v>42549</v>
      </c>
      <c r="BF6202" s="1">
        <v>265000</v>
      </c>
      <c r="BG6202" t="s">
        <v>37629</v>
      </c>
      <c r="BH6202" s="1">
        <v>174.92</v>
      </c>
      <c r="BI6202" s="1">
        <v>264490</v>
      </c>
      <c r="BJ6202" s="3">
        <v>42705</v>
      </c>
      <c r="BK6202" t="s">
        <v>123</v>
      </c>
      <c r="BL6202" t="str">
        <f>"2016.888296"</f>
        <v>2016.888296</v>
      </c>
      <c r="BM6202" t="s">
        <v>402</v>
      </c>
      <c r="BN6202" t="s">
        <v>461</v>
      </c>
      <c r="BO6202" t="s">
        <v>37630</v>
      </c>
      <c r="BS6202">
        <v>30</v>
      </c>
      <c r="BT6202" s="1">
        <v>264490</v>
      </c>
      <c r="BU6202" s="3">
        <v>42705</v>
      </c>
      <c r="BV6202" t="s">
        <v>123</v>
      </c>
      <c r="BW6202" t="str">
        <f>"2016.888296"</f>
        <v>2016.888296</v>
      </c>
      <c r="BX6202" t="s">
        <v>402</v>
      </c>
      <c r="BZ6202" t="s">
        <v>37630</v>
      </c>
      <c r="CD6202">
        <v>30</v>
      </c>
      <c r="CH6202" t="str">
        <f>""</f>
        <v/>
      </c>
      <c r="CS6202" t="str">
        <f>""</f>
        <v/>
      </c>
    </row>
    <row r="6203" spans="1:97" x14ac:dyDescent="0.25">
      <c r="A6203" t="s">
        <v>1208</v>
      </c>
      <c r="B6203" t="s">
        <v>37631</v>
      </c>
      <c r="C6203" t="s">
        <v>3306</v>
      </c>
      <c r="D6203" t="s">
        <v>37631</v>
      </c>
      <c r="E6203" t="s">
        <v>37632</v>
      </c>
      <c r="F6203" t="s">
        <v>108</v>
      </c>
      <c r="H6203" t="s">
        <v>37633</v>
      </c>
      <c r="I6203" t="s">
        <v>144</v>
      </c>
      <c r="J6203" t="s">
        <v>111</v>
      </c>
      <c r="K6203" t="str">
        <f>"85326"</f>
        <v>85326</v>
      </c>
      <c r="L6203" t="s">
        <v>8146</v>
      </c>
      <c r="M6203" t="s">
        <v>37633</v>
      </c>
      <c r="N6203" t="s">
        <v>144</v>
      </c>
      <c r="O6203" t="s">
        <v>111</v>
      </c>
      <c r="P6203" t="str">
        <f>"85326-6657"</f>
        <v>85326-6657</v>
      </c>
      <c r="Q6203" t="s">
        <v>113</v>
      </c>
      <c r="R6203" t="str">
        <f>"502-35-411"</f>
        <v>502-35-411</v>
      </c>
      <c r="S6203" t="s">
        <v>10984</v>
      </c>
      <c r="U6203">
        <v>2326</v>
      </c>
      <c r="V6203">
        <v>0</v>
      </c>
      <c r="W6203">
        <v>4</v>
      </c>
      <c r="X6203">
        <v>2014</v>
      </c>
      <c r="Z6203">
        <v>2</v>
      </c>
      <c r="AA6203" t="s">
        <v>26</v>
      </c>
      <c r="AB6203">
        <v>0</v>
      </c>
      <c r="AC6203" t="s">
        <v>115</v>
      </c>
      <c r="AD6203">
        <v>2</v>
      </c>
      <c r="AE6203" t="s">
        <v>115</v>
      </c>
      <c r="AF6203">
        <v>0</v>
      </c>
      <c r="AG6203">
        <v>0</v>
      </c>
      <c r="AH6203" t="s">
        <v>116</v>
      </c>
      <c r="AI6203" s="1">
        <v>90080</v>
      </c>
      <c r="AJ6203" s="2">
        <v>0.28999999999999998</v>
      </c>
      <c r="AK6203" s="1">
        <v>309030</v>
      </c>
      <c r="AL6203" t="s">
        <v>117</v>
      </c>
      <c r="AM6203" t="s">
        <v>118</v>
      </c>
      <c r="AN6203">
        <v>7458</v>
      </c>
      <c r="AO6203">
        <v>0.17</v>
      </c>
      <c r="AR6203">
        <v>1</v>
      </c>
      <c r="AS6203" s="1">
        <v>21470</v>
      </c>
      <c r="AT6203" s="1">
        <v>4290</v>
      </c>
      <c r="AU6203" s="1">
        <v>17180</v>
      </c>
      <c r="AV6203">
        <v>80.02</v>
      </c>
      <c r="AX6203" s="1">
        <v>1793.88</v>
      </c>
      <c r="AY6203" t="s">
        <v>2767</v>
      </c>
      <c r="AZ6203" t="s">
        <v>2767</v>
      </c>
      <c r="BA6203" t="s">
        <v>5025</v>
      </c>
      <c r="BE6203" s="3">
        <v>41900</v>
      </c>
      <c r="BF6203" s="1">
        <v>219367</v>
      </c>
      <c r="BG6203" t="s">
        <v>749</v>
      </c>
      <c r="BH6203" s="1">
        <v>94.31</v>
      </c>
      <c r="BI6203" s="1">
        <v>218950</v>
      </c>
      <c r="BJ6203" s="3">
        <v>42058</v>
      </c>
      <c r="BK6203" t="s">
        <v>123</v>
      </c>
      <c r="BL6203" t="str">
        <f>"2015.113205"</f>
        <v>2015.113205</v>
      </c>
      <c r="BM6203" t="s">
        <v>255</v>
      </c>
      <c r="BO6203" t="s">
        <v>37634</v>
      </c>
      <c r="BS6203">
        <v>30</v>
      </c>
      <c r="BW6203" t="str">
        <f>""</f>
        <v/>
      </c>
      <c r="CH6203" t="str">
        <f>""</f>
        <v/>
      </c>
      <c r="CS6203" t="str">
        <f>""</f>
        <v/>
      </c>
    </row>
    <row r="6204" spans="1:97" x14ac:dyDescent="0.25">
      <c r="A6204" t="s">
        <v>996</v>
      </c>
      <c r="B6204" t="s">
        <v>37635</v>
      </c>
      <c r="C6204" t="s">
        <v>4364</v>
      </c>
      <c r="D6204" t="s">
        <v>37635</v>
      </c>
      <c r="E6204" t="s">
        <v>37636</v>
      </c>
      <c r="F6204" t="s">
        <v>108</v>
      </c>
      <c r="H6204" t="s">
        <v>37637</v>
      </c>
      <c r="I6204" t="s">
        <v>225</v>
      </c>
      <c r="J6204" t="s">
        <v>111</v>
      </c>
      <c r="K6204" t="str">
        <f>"85208"</f>
        <v>85208</v>
      </c>
      <c r="L6204" t="s">
        <v>12359</v>
      </c>
      <c r="M6204" t="s">
        <v>37637</v>
      </c>
      <c r="N6204" t="s">
        <v>225</v>
      </c>
      <c r="O6204" t="s">
        <v>111</v>
      </c>
      <c r="P6204" t="str">
        <f>"85208-8776"</f>
        <v>85208-8776</v>
      </c>
      <c r="Q6204" t="s">
        <v>113</v>
      </c>
      <c r="R6204" t="str">
        <f>"220-53-345"</f>
        <v>220-53-345</v>
      </c>
      <c r="S6204" t="s">
        <v>30104</v>
      </c>
      <c r="T6204" t="s">
        <v>16299</v>
      </c>
      <c r="U6204">
        <v>2180</v>
      </c>
      <c r="V6204">
        <v>0</v>
      </c>
      <c r="W6204">
        <v>3</v>
      </c>
      <c r="X6204">
        <v>1998</v>
      </c>
      <c r="Z6204">
        <v>2</v>
      </c>
      <c r="AA6204" t="s">
        <v>26</v>
      </c>
      <c r="AB6204">
        <v>0</v>
      </c>
      <c r="AC6204" t="s">
        <v>115</v>
      </c>
      <c r="AD6204">
        <v>2</v>
      </c>
      <c r="AE6204" t="s">
        <v>115</v>
      </c>
      <c r="AF6204">
        <v>0</v>
      </c>
      <c r="AG6204">
        <v>0</v>
      </c>
      <c r="AH6204" t="s">
        <v>116</v>
      </c>
      <c r="AI6204" s="1">
        <v>66991</v>
      </c>
      <c r="AJ6204" s="2">
        <v>0.23</v>
      </c>
      <c r="AK6204" s="1">
        <v>296828</v>
      </c>
      <c r="AL6204" t="s">
        <v>117</v>
      </c>
      <c r="AM6204" t="s">
        <v>393</v>
      </c>
      <c r="AN6204">
        <v>10328</v>
      </c>
      <c r="AO6204">
        <v>0.24</v>
      </c>
      <c r="AP6204">
        <v>1</v>
      </c>
      <c r="AR6204">
        <v>1</v>
      </c>
      <c r="AS6204" s="1">
        <v>21200</v>
      </c>
      <c r="AT6204" s="1">
        <v>4240</v>
      </c>
      <c r="AU6204" s="1">
        <v>16960</v>
      </c>
      <c r="AV6204">
        <v>80</v>
      </c>
      <c r="AX6204" s="1">
        <v>1484.58</v>
      </c>
      <c r="AY6204" t="s">
        <v>272</v>
      </c>
      <c r="AZ6204" t="s">
        <v>3761</v>
      </c>
      <c r="BA6204" t="s">
        <v>232</v>
      </c>
      <c r="BE6204" s="3">
        <v>42398</v>
      </c>
      <c r="BF6204" s="1">
        <v>225000</v>
      </c>
      <c r="BG6204" t="s">
        <v>37638</v>
      </c>
      <c r="BH6204" s="1">
        <v>103.21</v>
      </c>
      <c r="BI6204" s="1">
        <v>229837</v>
      </c>
      <c r="BJ6204" s="3">
        <v>42398</v>
      </c>
      <c r="BK6204" t="s">
        <v>123</v>
      </c>
      <c r="BL6204" t="str">
        <f>"2016.62060"</f>
        <v>2016.62060</v>
      </c>
      <c r="BM6204" t="s">
        <v>135</v>
      </c>
      <c r="BO6204" t="s">
        <v>37639</v>
      </c>
      <c r="BS6204">
        <v>30</v>
      </c>
      <c r="BW6204" t="str">
        <f>""</f>
        <v/>
      </c>
      <c r="CH6204" t="str">
        <f>""</f>
        <v/>
      </c>
      <c r="CS6204" t="str">
        <f>""</f>
        <v/>
      </c>
    </row>
    <row r="6205" spans="1:97" x14ac:dyDescent="0.25">
      <c r="A6205" t="s">
        <v>37640</v>
      </c>
      <c r="B6205" t="s">
        <v>8295</v>
      </c>
      <c r="E6205" t="s">
        <v>37641</v>
      </c>
      <c r="F6205" t="s">
        <v>108</v>
      </c>
      <c r="H6205" t="s">
        <v>37642</v>
      </c>
      <c r="I6205" t="s">
        <v>499</v>
      </c>
      <c r="J6205" t="s">
        <v>111</v>
      </c>
      <c r="K6205" t="str">
        <f>"85338"</f>
        <v>85338</v>
      </c>
      <c r="L6205" t="s">
        <v>11566</v>
      </c>
      <c r="M6205" t="s">
        <v>37642</v>
      </c>
      <c r="N6205" t="s">
        <v>499</v>
      </c>
      <c r="O6205" t="s">
        <v>111</v>
      </c>
      <c r="P6205" t="str">
        <f>"85338-4105"</f>
        <v>85338-4105</v>
      </c>
      <c r="Q6205" t="s">
        <v>113</v>
      </c>
      <c r="R6205" t="str">
        <f>"500-04-156"</f>
        <v>500-04-156</v>
      </c>
      <c r="S6205" t="s">
        <v>33970</v>
      </c>
      <c r="T6205" t="s">
        <v>33970</v>
      </c>
      <c r="U6205">
        <v>2030</v>
      </c>
      <c r="V6205">
        <v>0</v>
      </c>
      <c r="W6205">
        <v>4</v>
      </c>
      <c r="X6205">
        <v>2001</v>
      </c>
      <c r="Z6205">
        <v>2</v>
      </c>
      <c r="AB6205">
        <v>0</v>
      </c>
      <c r="AC6205" t="s">
        <v>115</v>
      </c>
      <c r="AD6205">
        <v>2</v>
      </c>
      <c r="AE6205" t="s">
        <v>115</v>
      </c>
      <c r="AF6205">
        <v>0</v>
      </c>
      <c r="AG6205">
        <v>0</v>
      </c>
      <c r="AH6205" t="s">
        <v>116</v>
      </c>
      <c r="AI6205" s="1">
        <v>48655</v>
      </c>
      <c r="AJ6205" s="2">
        <v>0.19</v>
      </c>
      <c r="AK6205" s="1">
        <v>251116</v>
      </c>
      <c r="AL6205" t="s">
        <v>117</v>
      </c>
      <c r="AM6205" t="s">
        <v>118</v>
      </c>
      <c r="AN6205">
        <v>5810</v>
      </c>
      <c r="AO6205">
        <v>0.13</v>
      </c>
      <c r="AP6205">
        <v>1</v>
      </c>
      <c r="AR6205">
        <v>1</v>
      </c>
      <c r="AS6205" s="1">
        <v>16730</v>
      </c>
      <c r="AT6205" s="1">
        <v>3340</v>
      </c>
      <c r="AU6205" s="1">
        <v>13390</v>
      </c>
      <c r="AV6205">
        <v>80.040000000000006</v>
      </c>
      <c r="AX6205" s="1">
        <v>1259.54</v>
      </c>
      <c r="AY6205" t="s">
        <v>6790</v>
      </c>
      <c r="AZ6205" t="s">
        <v>6790</v>
      </c>
      <c r="BA6205" t="s">
        <v>7186</v>
      </c>
      <c r="BE6205" s="3">
        <v>41787</v>
      </c>
      <c r="BF6205" s="1">
        <v>155000</v>
      </c>
      <c r="BG6205" t="s">
        <v>37643</v>
      </c>
      <c r="BH6205" s="1">
        <v>76.349999999999994</v>
      </c>
      <c r="BI6205" s="1">
        <v>202461</v>
      </c>
      <c r="BJ6205" s="3">
        <v>43493</v>
      </c>
      <c r="BK6205" t="s">
        <v>123</v>
      </c>
      <c r="BL6205" t="str">
        <f>"2019.59204"</f>
        <v>2019.59204</v>
      </c>
      <c r="BM6205" t="s">
        <v>2926</v>
      </c>
      <c r="BN6205" t="s">
        <v>545</v>
      </c>
      <c r="BO6205" t="s">
        <v>37641</v>
      </c>
      <c r="BR6205" t="s">
        <v>139</v>
      </c>
      <c r="BW6205" t="str">
        <f>""</f>
        <v/>
      </c>
      <c r="CH6205" t="str">
        <f>""</f>
        <v/>
      </c>
      <c r="CS6205" t="str">
        <f>""</f>
        <v/>
      </c>
    </row>
    <row r="6206" spans="1:97" x14ac:dyDescent="0.25">
      <c r="A6206" t="s">
        <v>6280</v>
      </c>
      <c r="B6206" t="s">
        <v>4882</v>
      </c>
      <c r="E6206" t="s">
        <v>37644</v>
      </c>
      <c r="F6206" t="s">
        <v>108</v>
      </c>
      <c r="H6206" t="s">
        <v>37645</v>
      </c>
      <c r="I6206" t="s">
        <v>453</v>
      </c>
      <c r="J6206" t="s">
        <v>111</v>
      </c>
      <c r="K6206" t="str">
        <f>"85381"</f>
        <v>85381</v>
      </c>
      <c r="L6206" t="s">
        <v>9597</v>
      </c>
      <c r="M6206" t="s">
        <v>37645</v>
      </c>
      <c r="N6206" t="s">
        <v>453</v>
      </c>
      <c r="O6206" t="s">
        <v>111</v>
      </c>
      <c r="P6206" t="str">
        <f>"85381-3792"</f>
        <v>85381-3792</v>
      </c>
      <c r="Q6206" t="s">
        <v>113</v>
      </c>
      <c r="R6206" t="str">
        <f>"200-61-293"</f>
        <v>200-61-293</v>
      </c>
      <c r="S6206" t="s">
        <v>5607</v>
      </c>
      <c r="T6206" t="s">
        <v>5608</v>
      </c>
      <c r="U6206">
        <v>1513</v>
      </c>
      <c r="V6206">
        <v>0</v>
      </c>
      <c r="W6206">
        <v>3</v>
      </c>
      <c r="X6206">
        <v>1988</v>
      </c>
      <c r="Z6206">
        <v>1</v>
      </c>
      <c r="AA6206" t="s">
        <v>26</v>
      </c>
      <c r="AB6206">
        <v>0</v>
      </c>
      <c r="AC6206" t="s">
        <v>115</v>
      </c>
      <c r="AD6206">
        <v>2</v>
      </c>
      <c r="AE6206" t="s">
        <v>115</v>
      </c>
      <c r="AF6206">
        <v>0</v>
      </c>
      <c r="AG6206">
        <v>0</v>
      </c>
      <c r="AH6206" t="s">
        <v>116</v>
      </c>
      <c r="AI6206" s="1">
        <v>19180</v>
      </c>
      <c r="AJ6206" s="2">
        <v>7.0000000000000007E-2</v>
      </c>
      <c r="AK6206" s="1">
        <v>275180</v>
      </c>
      <c r="AL6206" t="s">
        <v>117</v>
      </c>
      <c r="AM6206" t="s">
        <v>393</v>
      </c>
      <c r="AN6206">
        <v>7452</v>
      </c>
      <c r="AO6206">
        <v>0.17</v>
      </c>
      <c r="AP6206">
        <v>1</v>
      </c>
      <c r="AR6206">
        <v>1</v>
      </c>
      <c r="AS6206" s="1">
        <v>18010</v>
      </c>
      <c r="AT6206" s="1">
        <v>3600</v>
      </c>
      <c r="AU6206" s="1">
        <v>14410</v>
      </c>
      <c r="AV6206">
        <v>80.010000000000005</v>
      </c>
      <c r="AX6206" s="1">
        <v>1454.92</v>
      </c>
      <c r="AY6206" t="s">
        <v>5573</v>
      </c>
      <c r="AZ6206" t="s">
        <v>5573</v>
      </c>
      <c r="BA6206" t="s">
        <v>1800</v>
      </c>
      <c r="BE6206" s="3">
        <v>42356</v>
      </c>
      <c r="BF6206" s="1">
        <v>244900</v>
      </c>
      <c r="BG6206" t="s">
        <v>9690</v>
      </c>
      <c r="BH6206" s="1">
        <v>161.86000000000001</v>
      </c>
      <c r="BI6206" s="1">
        <v>256000</v>
      </c>
      <c r="BJ6206" s="3">
        <v>42612</v>
      </c>
      <c r="BK6206" t="s">
        <v>123</v>
      </c>
      <c r="BL6206" t="str">
        <f>"2016.625591"</f>
        <v>2016.625591</v>
      </c>
      <c r="BM6206" t="s">
        <v>124</v>
      </c>
      <c r="BO6206" t="s">
        <v>37646</v>
      </c>
      <c r="BS6206">
        <v>30</v>
      </c>
      <c r="BW6206" t="str">
        <f>""</f>
        <v/>
      </c>
      <c r="CH6206" t="str">
        <f>""</f>
        <v/>
      </c>
      <c r="CS6206" t="str">
        <f>""</f>
        <v/>
      </c>
    </row>
    <row r="6207" spans="1:97" x14ac:dyDescent="0.25">
      <c r="A6207" t="s">
        <v>370</v>
      </c>
      <c r="B6207" t="s">
        <v>37647</v>
      </c>
      <c r="C6207" t="s">
        <v>37648</v>
      </c>
      <c r="D6207" t="s">
        <v>37647</v>
      </c>
      <c r="E6207" t="s">
        <v>37649</v>
      </c>
      <c r="F6207" t="s">
        <v>108</v>
      </c>
      <c r="H6207" t="s">
        <v>37650</v>
      </c>
      <c r="I6207" t="s">
        <v>1788</v>
      </c>
      <c r="J6207" t="s">
        <v>111</v>
      </c>
      <c r="K6207" t="str">
        <f>"85355"</f>
        <v>85355</v>
      </c>
      <c r="L6207" t="s">
        <v>2197</v>
      </c>
      <c r="M6207" t="s">
        <v>37650</v>
      </c>
      <c r="N6207" t="s">
        <v>1788</v>
      </c>
      <c r="O6207" t="s">
        <v>111</v>
      </c>
      <c r="P6207" t="str">
        <f>"85355-9379"</f>
        <v>85355-9379</v>
      </c>
      <c r="Q6207" t="s">
        <v>113</v>
      </c>
      <c r="R6207" t="str">
        <f>"502-14-053-C"</f>
        <v>502-14-053-C</v>
      </c>
      <c r="S6207" t="s">
        <v>16593</v>
      </c>
      <c r="U6207">
        <v>3816</v>
      </c>
      <c r="V6207">
        <v>0</v>
      </c>
      <c r="W6207">
        <v>5</v>
      </c>
      <c r="X6207">
        <v>1990</v>
      </c>
      <c r="Z6207">
        <v>2</v>
      </c>
      <c r="AB6207">
        <v>0</v>
      </c>
      <c r="AC6207" t="s">
        <v>115</v>
      </c>
      <c r="AD6207">
        <v>2</v>
      </c>
      <c r="AE6207" t="s">
        <v>115</v>
      </c>
      <c r="AF6207">
        <v>0</v>
      </c>
      <c r="AG6207">
        <v>0</v>
      </c>
      <c r="AH6207" t="s">
        <v>116</v>
      </c>
      <c r="AI6207" s="1">
        <v>130154</v>
      </c>
      <c r="AJ6207" s="2">
        <v>0.25</v>
      </c>
      <c r="AK6207" s="1">
        <v>527859</v>
      </c>
      <c r="AL6207" t="s">
        <v>117</v>
      </c>
      <c r="AM6207" t="s">
        <v>376</v>
      </c>
      <c r="AN6207">
        <v>87120</v>
      </c>
      <c r="AO6207">
        <v>2</v>
      </c>
      <c r="AP6207">
        <v>1</v>
      </c>
      <c r="AR6207">
        <v>1</v>
      </c>
      <c r="AS6207" s="1">
        <v>37750</v>
      </c>
      <c r="AT6207" s="1">
        <v>7550</v>
      </c>
      <c r="AU6207" s="1">
        <v>30200</v>
      </c>
      <c r="AV6207">
        <v>80</v>
      </c>
      <c r="AX6207" s="1">
        <v>2400.92</v>
      </c>
      <c r="AY6207" t="s">
        <v>503</v>
      </c>
      <c r="AZ6207" t="s">
        <v>504</v>
      </c>
      <c r="BA6207" t="s">
        <v>218</v>
      </c>
      <c r="BE6207" s="3">
        <v>42009</v>
      </c>
      <c r="BF6207" s="1">
        <v>385000</v>
      </c>
      <c r="BG6207" t="s">
        <v>37651</v>
      </c>
      <c r="BH6207" s="1">
        <v>100.89</v>
      </c>
      <c r="BI6207" s="1">
        <v>397705</v>
      </c>
      <c r="BJ6207" s="3">
        <v>42009</v>
      </c>
      <c r="BK6207" t="s">
        <v>123</v>
      </c>
      <c r="BL6207" t="str">
        <f>"2015.3986"</f>
        <v>2015.3986</v>
      </c>
      <c r="BM6207" t="s">
        <v>2716</v>
      </c>
      <c r="BO6207" t="s">
        <v>37652</v>
      </c>
      <c r="BS6207">
        <v>30</v>
      </c>
      <c r="BW6207" t="str">
        <f>""</f>
        <v/>
      </c>
      <c r="CH6207" t="str">
        <f>""</f>
        <v/>
      </c>
      <c r="CS6207" t="str">
        <f>""</f>
        <v/>
      </c>
    </row>
    <row r="6208" spans="1:97" x14ac:dyDescent="0.25">
      <c r="A6208" t="s">
        <v>1692</v>
      </c>
      <c r="B6208" t="s">
        <v>37653</v>
      </c>
      <c r="E6208" t="s">
        <v>37654</v>
      </c>
      <c r="F6208" t="s">
        <v>108</v>
      </c>
      <c r="H6208" t="s">
        <v>37655</v>
      </c>
      <c r="I6208" t="s">
        <v>3150</v>
      </c>
      <c r="J6208" t="s">
        <v>111</v>
      </c>
      <c r="K6208" t="str">
        <f>"85340"</f>
        <v>85340</v>
      </c>
      <c r="L6208" t="s">
        <v>734</v>
      </c>
      <c r="M6208" t="s">
        <v>37655</v>
      </c>
      <c r="N6208" t="s">
        <v>3150</v>
      </c>
      <c r="O6208" t="s">
        <v>111</v>
      </c>
      <c r="P6208" t="str">
        <f>"85340-6620"</f>
        <v>85340-6620</v>
      </c>
      <c r="Q6208" t="s">
        <v>113</v>
      </c>
      <c r="R6208" t="str">
        <f>"502-28-082"</f>
        <v>502-28-082</v>
      </c>
      <c r="S6208" t="s">
        <v>24665</v>
      </c>
      <c r="T6208" t="s">
        <v>24666</v>
      </c>
      <c r="U6208">
        <v>1883</v>
      </c>
      <c r="V6208">
        <v>0</v>
      </c>
      <c r="W6208">
        <v>3</v>
      </c>
      <c r="X6208">
        <v>2001</v>
      </c>
      <c r="Z6208">
        <v>1</v>
      </c>
      <c r="AB6208">
        <v>0</v>
      </c>
      <c r="AC6208" t="s">
        <v>115</v>
      </c>
      <c r="AD6208">
        <v>2</v>
      </c>
      <c r="AE6208" t="s">
        <v>115</v>
      </c>
      <c r="AF6208">
        <v>0</v>
      </c>
      <c r="AG6208">
        <v>0</v>
      </c>
      <c r="AH6208" t="s">
        <v>116</v>
      </c>
      <c r="AI6208" s="1">
        <v>73009</v>
      </c>
      <c r="AJ6208" s="2">
        <v>0.2</v>
      </c>
      <c r="AK6208" s="1">
        <v>373114</v>
      </c>
      <c r="AL6208" t="s">
        <v>117</v>
      </c>
      <c r="AM6208" t="s">
        <v>376</v>
      </c>
      <c r="AN6208">
        <v>44950</v>
      </c>
      <c r="AO6208">
        <v>1.03</v>
      </c>
      <c r="AP6208">
        <v>1</v>
      </c>
      <c r="AR6208">
        <v>1</v>
      </c>
      <c r="AS6208" s="1">
        <v>27350</v>
      </c>
      <c r="AT6208" s="1">
        <v>5470</v>
      </c>
      <c r="AU6208" s="1">
        <v>21880</v>
      </c>
      <c r="AV6208">
        <v>80</v>
      </c>
      <c r="AX6208" s="1">
        <v>3218.14</v>
      </c>
      <c r="AY6208" t="s">
        <v>543</v>
      </c>
      <c r="AZ6208" t="s">
        <v>504</v>
      </c>
      <c r="BA6208" t="s">
        <v>218</v>
      </c>
      <c r="BE6208" s="3">
        <v>42170</v>
      </c>
      <c r="BF6208" s="1">
        <v>275000</v>
      </c>
      <c r="BG6208" t="s">
        <v>37656</v>
      </c>
      <c r="BH6208" s="1">
        <v>146.04</v>
      </c>
      <c r="BI6208" s="1">
        <v>24593</v>
      </c>
      <c r="BJ6208" s="3">
        <v>42320</v>
      </c>
      <c r="BK6208" t="s">
        <v>134</v>
      </c>
      <c r="BL6208" t="str">
        <f>"2015.808469"</f>
        <v>2015.808469</v>
      </c>
      <c r="BM6208" t="s">
        <v>4440</v>
      </c>
      <c r="BO6208" t="s">
        <v>37657</v>
      </c>
      <c r="BS6208">
        <v>15</v>
      </c>
      <c r="BT6208" s="1">
        <v>275512</v>
      </c>
      <c r="BU6208" s="3">
        <v>42452</v>
      </c>
      <c r="BV6208" t="s">
        <v>123</v>
      </c>
      <c r="BW6208" t="str">
        <f>"2016.188942"</f>
        <v>2016.188942</v>
      </c>
      <c r="BX6208" t="s">
        <v>594</v>
      </c>
      <c r="BZ6208" t="s">
        <v>37657</v>
      </c>
      <c r="CD6208">
        <v>30</v>
      </c>
      <c r="CH6208" t="str">
        <f>""</f>
        <v/>
      </c>
      <c r="CS6208" t="str">
        <f>""</f>
        <v/>
      </c>
    </row>
    <row r="6209" spans="1:97" x14ac:dyDescent="0.25">
      <c r="A6209" t="s">
        <v>1514</v>
      </c>
      <c r="B6209" t="s">
        <v>3248</v>
      </c>
      <c r="C6209" t="s">
        <v>15858</v>
      </c>
      <c r="D6209" t="s">
        <v>3248</v>
      </c>
      <c r="E6209" t="s">
        <v>37658</v>
      </c>
      <c r="F6209" t="s">
        <v>108</v>
      </c>
      <c r="H6209" t="s">
        <v>37659</v>
      </c>
      <c r="I6209" t="s">
        <v>390</v>
      </c>
      <c r="J6209" t="s">
        <v>111</v>
      </c>
      <c r="K6209" t="str">
        <f>"85016"</f>
        <v>85016</v>
      </c>
      <c r="L6209" t="s">
        <v>9178</v>
      </c>
      <c r="M6209" t="s">
        <v>37659</v>
      </c>
      <c r="N6209" t="s">
        <v>390</v>
      </c>
      <c r="O6209" t="s">
        <v>111</v>
      </c>
      <c r="P6209" t="str">
        <f>"85016-6216"</f>
        <v>85016-6216</v>
      </c>
      <c r="Q6209" t="s">
        <v>113</v>
      </c>
      <c r="R6209" t="str">
        <f>"163-34-027"</f>
        <v>163-34-027</v>
      </c>
      <c r="S6209" t="s">
        <v>37660</v>
      </c>
      <c r="T6209" t="s">
        <v>37660</v>
      </c>
      <c r="U6209">
        <v>1350</v>
      </c>
      <c r="V6209">
        <v>0</v>
      </c>
      <c r="W6209">
        <v>1</v>
      </c>
      <c r="X6209">
        <v>1950</v>
      </c>
      <c r="Z6209">
        <v>1</v>
      </c>
      <c r="AA6209" t="s">
        <v>26</v>
      </c>
      <c r="AB6209">
        <v>0</v>
      </c>
      <c r="AC6209" t="s">
        <v>5188</v>
      </c>
      <c r="AD6209">
        <v>1</v>
      </c>
      <c r="AE6209" t="s">
        <v>5188</v>
      </c>
      <c r="AF6209">
        <v>0</v>
      </c>
      <c r="AG6209">
        <v>0</v>
      </c>
      <c r="AH6209" t="s">
        <v>5467</v>
      </c>
      <c r="AI6209" s="1">
        <v>29063</v>
      </c>
      <c r="AJ6209" s="2">
        <v>0.09</v>
      </c>
      <c r="AK6209" s="1">
        <v>327563</v>
      </c>
      <c r="AL6209" t="s">
        <v>117</v>
      </c>
      <c r="AM6209" t="s">
        <v>191</v>
      </c>
      <c r="AN6209">
        <v>8503</v>
      </c>
      <c r="AO6209">
        <v>0.2</v>
      </c>
      <c r="AP6209">
        <v>1</v>
      </c>
      <c r="AR6209">
        <v>1</v>
      </c>
      <c r="AS6209" s="1">
        <v>21510</v>
      </c>
      <c r="AT6209" s="1">
        <v>4300</v>
      </c>
      <c r="AU6209" s="1">
        <v>17210</v>
      </c>
      <c r="AV6209">
        <v>80.010000000000005</v>
      </c>
      <c r="AX6209" s="1">
        <v>2230.02</v>
      </c>
      <c r="AY6209" t="s">
        <v>8630</v>
      </c>
      <c r="AZ6209" t="s">
        <v>8631</v>
      </c>
      <c r="BA6209" t="s">
        <v>6255</v>
      </c>
      <c r="BE6209" s="3">
        <v>42307</v>
      </c>
      <c r="BF6209" s="1">
        <v>298500</v>
      </c>
      <c r="BG6209" t="s">
        <v>37661</v>
      </c>
      <c r="BH6209" s="1">
        <v>221.11</v>
      </c>
      <c r="BI6209" s="1">
        <v>298500</v>
      </c>
      <c r="BJ6209" s="3">
        <v>42307</v>
      </c>
      <c r="BK6209" t="s">
        <v>123</v>
      </c>
      <c r="BL6209" t="str">
        <f>"2015.782900"</f>
        <v>2015.782900</v>
      </c>
      <c r="BM6209" t="s">
        <v>724</v>
      </c>
      <c r="BO6209" t="s">
        <v>37662</v>
      </c>
      <c r="BS6209">
        <v>30</v>
      </c>
      <c r="BW6209" t="str">
        <f>""</f>
        <v/>
      </c>
      <c r="CH6209" t="str">
        <f>""</f>
        <v/>
      </c>
      <c r="CS6209" t="str">
        <f>""</f>
        <v/>
      </c>
    </row>
    <row r="6210" spans="1:97" x14ac:dyDescent="0.25">
      <c r="A6210" t="s">
        <v>589</v>
      </c>
      <c r="B6210" t="s">
        <v>6380</v>
      </c>
      <c r="C6210" t="s">
        <v>10874</v>
      </c>
      <c r="D6210" t="s">
        <v>6380</v>
      </c>
      <c r="E6210" t="s">
        <v>37663</v>
      </c>
      <c r="F6210" t="s">
        <v>108</v>
      </c>
      <c r="H6210" t="s">
        <v>37664</v>
      </c>
      <c r="I6210" t="s">
        <v>6844</v>
      </c>
      <c r="J6210" t="s">
        <v>111</v>
      </c>
      <c r="K6210" t="str">
        <f>"85361"</f>
        <v>85361</v>
      </c>
      <c r="L6210" t="s">
        <v>3758</v>
      </c>
      <c r="M6210" t="s">
        <v>37664</v>
      </c>
      <c r="N6210" t="s">
        <v>6844</v>
      </c>
      <c r="O6210" t="s">
        <v>111</v>
      </c>
      <c r="P6210" t="str">
        <f>"85361-8664"</f>
        <v>85361-8664</v>
      </c>
      <c r="Q6210" t="s">
        <v>113</v>
      </c>
      <c r="R6210" t="str">
        <f>"503-48-063-C"</f>
        <v>503-48-063-C</v>
      </c>
      <c r="S6210" t="s">
        <v>37665</v>
      </c>
      <c r="T6210" t="s">
        <v>37666</v>
      </c>
      <c r="U6210">
        <v>1779</v>
      </c>
      <c r="V6210">
        <v>0</v>
      </c>
      <c r="W6210">
        <v>3</v>
      </c>
      <c r="X6210">
        <v>2001</v>
      </c>
      <c r="Z6210">
        <v>1</v>
      </c>
      <c r="AB6210">
        <v>0</v>
      </c>
      <c r="AC6210" t="s">
        <v>115</v>
      </c>
      <c r="AD6210">
        <v>3</v>
      </c>
      <c r="AE6210" t="s">
        <v>115</v>
      </c>
      <c r="AF6210">
        <v>0</v>
      </c>
      <c r="AG6210">
        <v>0</v>
      </c>
      <c r="AH6210" t="s">
        <v>116</v>
      </c>
      <c r="AI6210" s="1">
        <v>34621</v>
      </c>
      <c r="AJ6210" s="2">
        <v>0.11</v>
      </c>
      <c r="AK6210" s="1">
        <v>303201</v>
      </c>
      <c r="AL6210" t="s">
        <v>117</v>
      </c>
      <c r="AM6210" t="s">
        <v>376</v>
      </c>
      <c r="AN6210">
        <v>44239</v>
      </c>
      <c r="AO6210">
        <v>1.02</v>
      </c>
      <c r="AP6210">
        <v>1</v>
      </c>
      <c r="AR6210">
        <v>1</v>
      </c>
      <c r="AS6210" s="1">
        <v>19610</v>
      </c>
      <c r="AT6210" s="1">
        <v>3920</v>
      </c>
      <c r="AU6210" s="1">
        <v>15690</v>
      </c>
      <c r="AV6210">
        <v>80.010000000000005</v>
      </c>
      <c r="AX6210" s="1">
        <v>1291</v>
      </c>
      <c r="AY6210" t="s">
        <v>6847</v>
      </c>
      <c r="AZ6210" t="s">
        <v>6847</v>
      </c>
      <c r="BE6210" s="3">
        <v>41732</v>
      </c>
      <c r="BF6210" s="1">
        <v>218000</v>
      </c>
      <c r="BG6210" t="s">
        <v>37667</v>
      </c>
      <c r="BH6210" s="1">
        <v>122.54</v>
      </c>
      <c r="BI6210" s="1">
        <v>268580</v>
      </c>
      <c r="BJ6210" s="3">
        <v>43404</v>
      </c>
      <c r="BK6210" t="s">
        <v>123</v>
      </c>
      <c r="BL6210" t="str">
        <f>"2018.814878"</f>
        <v>2018.814878</v>
      </c>
      <c r="BM6210" t="s">
        <v>4672</v>
      </c>
      <c r="BN6210" t="s">
        <v>1922</v>
      </c>
      <c r="BO6210" t="s">
        <v>37668</v>
      </c>
      <c r="BP6210" t="s">
        <v>37669</v>
      </c>
      <c r="BR6210" t="s">
        <v>139</v>
      </c>
      <c r="BW6210" t="str">
        <f>""</f>
        <v/>
      </c>
      <c r="CH6210" t="str">
        <f>""</f>
        <v/>
      </c>
      <c r="CS6210" t="str">
        <f>""</f>
        <v/>
      </c>
    </row>
    <row r="6211" spans="1:97" x14ac:dyDescent="0.25">
      <c r="A6211" t="s">
        <v>5560</v>
      </c>
      <c r="B6211" t="s">
        <v>37670</v>
      </c>
      <c r="C6211" t="s">
        <v>37671</v>
      </c>
      <c r="D6211" t="s">
        <v>37670</v>
      </c>
      <c r="E6211" t="s">
        <v>37672</v>
      </c>
      <c r="F6211" t="s">
        <v>108</v>
      </c>
      <c r="H6211" t="s">
        <v>37673</v>
      </c>
      <c r="I6211" t="s">
        <v>1936</v>
      </c>
      <c r="J6211" t="s">
        <v>111</v>
      </c>
      <c r="K6211" t="str">
        <f>"85260"</f>
        <v>85260</v>
      </c>
      <c r="L6211" t="s">
        <v>6325</v>
      </c>
      <c r="M6211" t="s">
        <v>37673</v>
      </c>
      <c r="N6211" t="s">
        <v>1936</v>
      </c>
      <c r="O6211" t="s">
        <v>111</v>
      </c>
      <c r="P6211" t="str">
        <f>"85260-8618"</f>
        <v>85260-8618</v>
      </c>
      <c r="Q6211" t="s">
        <v>113</v>
      </c>
      <c r="R6211" t="str">
        <f>"217-52-024"</f>
        <v>217-52-024</v>
      </c>
      <c r="S6211" t="s">
        <v>37674</v>
      </c>
      <c r="T6211" t="s">
        <v>37675</v>
      </c>
      <c r="U6211">
        <v>1258</v>
      </c>
      <c r="V6211">
        <v>0</v>
      </c>
      <c r="W6211">
        <v>3</v>
      </c>
      <c r="X6211">
        <v>1987</v>
      </c>
      <c r="Z6211">
        <v>1</v>
      </c>
      <c r="AB6211">
        <v>0</v>
      </c>
      <c r="AC6211" t="s">
        <v>115</v>
      </c>
      <c r="AD6211">
        <v>2</v>
      </c>
      <c r="AE6211" t="s">
        <v>115</v>
      </c>
      <c r="AF6211">
        <v>0</v>
      </c>
      <c r="AG6211">
        <v>0</v>
      </c>
      <c r="AH6211" t="s">
        <v>116</v>
      </c>
      <c r="AI6211" s="1">
        <v>144962</v>
      </c>
      <c r="AJ6211" s="2">
        <v>0.39</v>
      </c>
      <c r="AK6211" s="1">
        <v>369230</v>
      </c>
      <c r="AL6211" t="s">
        <v>117</v>
      </c>
      <c r="AM6211" t="s">
        <v>6533</v>
      </c>
      <c r="AN6211">
        <v>4905</v>
      </c>
      <c r="AO6211">
        <v>0.11</v>
      </c>
      <c r="AP6211">
        <v>1</v>
      </c>
      <c r="AR6211">
        <v>1</v>
      </c>
      <c r="AS6211" s="1">
        <v>25580</v>
      </c>
      <c r="AT6211" s="1">
        <v>5110</v>
      </c>
      <c r="AU6211" s="1">
        <v>20470</v>
      </c>
      <c r="AV6211">
        <v>80.02</v>
      </c>
      <c r="AX6211" s="1">
        <v>1415.84</v>
      </c>
      <c r="AY6211" t="s">
        <v>5904</v>
      </c>
      <c r="AZ6211" t="s">
        <v>5420</v>
      </c>
      <c r="BA6211" t="s">
        <v>5763</v>
      </c>
      <c r="BE6211" s="3">
        <v>41808</v>
      </c>
      <c r="BF6211" s="1">
        <v>246250</v>
      </c>
      <c r="BG6211" t="s">
        <v>37676</v>
      </c>
      <c r="BH6211" s="1">
        <v>195.75</v>
      </c>
      <c r="BI6211" s="1">
        <v>224268</v>
      </c>
      <c r="BJ6211" s="3">
        <v>41808</v>
      </c>
      <c r="BK6211" t="s">
        <v>123</v>
      </c>
      <c r="BL6211" t="str">
        <f>"2014.400877"</f>
        <v>2014.400877</v>
      </c>
      <c r="BM6211" t="s">
        <v>1287</v>
      </c>
      <c r="BO6211" t="s">
        <v>37677</v>
      </c>
      <c r="BS6211">
        <v>30</v>
      </c>
      <c r="BW6211" t="str">
        <f>""</f>
        <v/>
      </c>
      <c r="CH6211" t="str">
        <f>""</f>
        <v/>
      </c>
      <c r="CS6211" t="str">
        <f>""</f>
        <v/>
      </c>
    </row>
    <row r="6212" spans="1:97" x14ac:dyDescent="0.25">
      <c r="A6212" t="s">
        <v>703</v>
      </c>
      <c r="B6212" t="s">
        <v>37678</v>
      </c>
      <c r="E6212" t="s">
        <v>37679</v>
      </c>
      <c r="F6212" t="s">
        <v>108</v>
      </c>
      <c r="H6212" t="s">
        <v>37680</v>
      </c>
      <c r="I6212" t="s">
        <v>5636</v>
      </c>
      <c r="J6212" t="s">
        <v>111</v>
      </c>
      <c r="K6212" t="str">
        <f>"85268"</f>
        <v>85268</v>
      </c>
      <c r="L6212" t="s">
        <v>8103</v>
      </c>
      <c r="M6212" t="s">
        <v>37680</v>
      </c>
      <c r="N6212" t="s">
        <v>5636</v>
      </c>
      <c r="O6212" t="s">
        <v>111</v>
      </c>
      <c r="P6212" t="str">
        <f>"85268-4846"</f>
        <v>85268-4846</v>
      </c>
      <c r="Q6212" t="s">
        <v>113</v>
      </c>
      <c r="R6212" t="str">
        <f>"176-13-691"</f>
        <v>176-13-691</v>
      </c>
      <c r="S6212" t="s">
        <v>16889</v>
      </c>
      <c r="U6212">
        <v>2084</v>
      </c>
      <c r="V6212">
        <v>0</v>
      </c>
      <c r="W6212">
        <v>3</v>
      </c>
      <c r="X6212">
        <v>1994</v>
      </c>
      <c r="Z6212">
        <v>1</v>
      </c>
      <c r="AB6212">
        <v>0</v>
      </c>
      <c r="AC6212" t="s">
        <v>115</v>
      </c>
      <c r="AD6212">
        <v>2</v>
      </c>
      <c r="AE6212" t="s">
        <v>115</v>
      </c>
      <c r="AF6212">
        <v>0</v>
      </c>
      <c r="AG6212">
        <v>0</v>
      </c>
      <c r="AH6212" t="s">
        <v>116</v>
      </c>
      <c r="AI6212" s="1">
        <v>69518</v>
      </c>
      <c r="AJ6212" s="2">
        <v>0.15</v>
      </c>
      <c r="AK6212" s="1">
        <v>462768</v>
      </c>
      <c r="AL6212" t="s">
        <v>117</v>
      </c>
      <c r="AM6212" t="s">
        <v>171</v>
      </c>
      <c r="AN6212">
        <v>13162</v>
      </c>
      <c r="AO6212">
        <v>0.3</v>
      </c>
      <c r="AP6212">
        <v>1</v>
      </c>
      <c r="AR6212">
        <v>1</v>
      </c>
      <c r="AS6212" s="1">
        <v>33230</v>
      </c>
      <c r="AT6212" s="1">
        <v>6640</v>
      </c>
      <c r="AU6212" s="1">
        <v>26590</v>
      </c>
      <c r="AV6212">
        <v>80.02</v>
      </c>
      <c r="AX6212" s="1">
        <v>2119.92</v>
      </c>
      <c r="AY6212" t="s">
        <v>5639</v>
      </c>
      <c r="AZ6212" t="s">
        <v>5640</v>
      </c>
      <c r="BA6212" t="s">
        <v>5641</v>
      </c>
      <c r="BE6212" s="3">
        <v>42026</v>
      </c>
      <c r="BF6212" s="1">
        <v>387000</v>
      </c>
      <c r="BG6212" t="s">
        <v>37681</v>
      </c>
      <c r="BH6212" s="1">
        <v>185.7</v>
      </c>
      <c r="BI6212" s="1">
        <v>393250</v>
      </c>
      <c r="BJ6212" s="3">
        <v>42026</v>
      </c>
      <c r="BK6212" t="s">
        <v>123</v>
      </c>
      <c r="BL6212" t="str">
        <f>"2015.43911"</f>
        <v>2015.43911</v>
      </c>
      <c r="BM6212" t="s">
        <v>7531</v>
      </c>
      <c r="BO6212" t="s">
        <v>37682</v>
      </c>
      <c r="BS6212">
        <v>30</v>
      </c>
      <c r="BW6212" t="str">
        <f>""</f>
        <v/>
      </c>
      <c r="CH6212" t="str">
        <f>""</f>
        <v/>
      </c>
      <c r="CS6212" t="str">
        <f>""</f>
        <v/>
      </c>
    </row>
    <row r="6213" spans="1:97" x14ac:dyDescent="0.25">
      <c r="A6213" t="s">
        <v>2537</v>
      </c>
      <c r="B6213" t="s">
        <v>203</v>
      </c>
      <c r="C6213" t="s">
        <v>1496</v>
      </c>
      <c r="D6213" t="s">
        <v>37683</v>
      </c>
      <c r="E6213" t="s">
        <v>37684</v>
      </c>
      <c r="F6213" t="s">
        <v>108</v>
      </c>
      <c r="H6213" t="s">
        <v>37685</v>
      </c>
      <c r="I6213" t="s">
        <v>390</v>
      </c>
      <c r="J6213" t="s">
        <v>111</v>
      </c>
      <c r="K6213" t="str">
        <f>"85048"</f>
        <v>85048</v>
      </c>
      <c r="L6213" t="s">
        <v>6325</v>
      </c>
      <c r="M6213" t="s">
        <v>37685</v>
      </c>
      <c r="N6213" t="s">
        <v>390</v>
      </c>
      <c r="O6213" t="s">
        <v>111</v>
      </c>
      <c r="P6213" t="str">
        <f>"85048-7910"</f>
        <v>85048-7910</v>
      </c>
      <c r="Q6213" t="s">
        <v>113</v>
      </c>
      <c r="R6213" t="str">
        <f>"301-79-631"</f>
        <v>301-79-631</v>
      </c>
      <c r="S6213" t="s">
        <v>6326</v>
      </c>
      <c r="T6213" t="s">
        <v>6327</v>
      </c>
      <c r="U6213">
        <v>2489</v>
      </c>
      <c r="V6213">
        <v>0</v>
      </c>
      <c r="W6213">
        <v>4</v>
      </c>
      <c r="X6213">
        <v>1987</v>
      </c>
      <c r="Z6213">
        <v>2</v>
      </c>
      <c r="AA6213" t="s">
        <v>26</v>
      </c>
      <c r="AB6213">
        <v>0</v>
      </c>
      <c r="AC6213" t="s">
        <v>115</v>
      </c>
      <c r="AD6213">
        <v>3</v>
      </c>
      <c r="AE6213" t="s">
        <v>115</v>
      </c>
      <c r="AF6213">
        <v>0</v>
      </c>
      <c r="AG6213">
        <v>0</v>
      </c>
      <c r="AH6213" t="s">
        <v>116</v>
      </c>
      <c r="AI6213" s="1">
        <v>29499</v>
      </c>
      <c r="AJ6213" s="2">
        <v>7.0000000000000007E-2</v>
      </c>
      <c r="AK6213" s="1">
        <v>421899</v>
      </c>
      <c r="AL6213" t="s">
        <v>117</v>
      </c>
      <c r="AM6213" t="s">
        <v>171</v>
      </c>
      <c r="AN6213">
        <v>6100</v>
      </c>
      <c r="AO6213">
        <v>0.14000000000000001</v>
      </c>
      <c r="AP6213">
        <v>1</v>
      </c>
      <c r="AR6213">
        <v>1</v>
      </c>
      <c r="AS6213" s="1">
        <v>29570</v>
      </c>
      <c r="AT6213" s="1">
        <v>5910</v>
      </c>
      <c r="AU6213" s="1">
        <v>23660</v>
      </c>
      <c r="AV6213">
        <v>80.010000000000005</v>
      </c>
      <c r="AX6213" s="1">
        <v>2854.1</v>
      </c>
      <c r="AY6213" t="s">
        <v>928</v>
      </c>
      <c r="AZ6213" t="s">
        <v>929</v>
      </c>
      <c r="BA6213" t="s">
        <v>930</v>
      </c>
      <c r="BE6213" s="3">
        <v>42522</v>
      </c>
      <c r="BF6213" s="1">
        <v>379900</v>
      </c>
      <c r="BG6213" t="s">
        <v>37686</v>
      </c>
      <c r="BH6213" s="1">
        <v>152.63</v>
      </c>
      <c r="BI6213" s="1">
        <v>392400</v>
      </c>
      <c r="BJ6213" s="3">
        <v>42522</v>
      </c>
      <c r="BK6213" t="s">
        <v>123</v>
      </c>
      <c r="BL6213" t="str">
        <f>"2016.379453"</f>
        <v>2016.379453</v>
      </c>
      <c r="BM6213" t="s">
        <v>124</v>
      </c>
      <c r="BO6213" t="s">
        <v>37687</v>
      </c>
      <c r="BP6213" t="s">
        <v>37688</v>
      </c>
      <c r="BS6213">
        <v>30</v>
      </c>
      <c r="BW6213" t="str">
        <f>""</f>
        <v/>
      </c>
      <c r="CH6213" t="str">
        <f>""</f>
        <v/>
      </c>
      <c r="CS6213" t="str">
        <f>""</f>
        <v/>
      </c>
    </row>
    <row r="6214" spans="1:97" x14ac:dyDescent="0.25">
      <c r="A6214" t="s">
        <v>4854</v>
      </c>
      <c r="B6214" t="s">
        <v>37689</v>
      </c>
      <c r="E6214" t="s">
        <v>37690</v>
      </c>
      <c r="F6214" t="s">
        <v>108</v>
      </c>
      <c r="H6214" t="s">
        <v>37691</v>
      </c>
      <c r="I6214" t="s">
        <v>390</v>
      </c>
      <c r="J6214" t="s">
        <v>111</v>
      </c>
      <c r="K6214" t="str">
        <f>"85020"</f>
        <v>85020</v>
      </c>
      <c r="L6214" t="s">
        <v>15732</v>
      </c>
      <c r="M6214" t="s">
        <v>37691</v>
      </c>
      <c r="N6214" t="s">
        <v>390</v>
      </c>
      <c r="O6214" t="s">
        <v>111</v>
      </c>
      <c r="P6214" t="str">
        <f>"85020-4570"</f>
        <v>85020-4570</v>
      </c>
      <c r="Q6214" t="s">
        <v>113</v>
      </c>
      <c r="R6214" t="str">
        <f>"160-15-145"</f>
        <v>160-15-145</v>
      </c>
      <c r="S6214" t="s">
        <v>37692</v>
      </c>
      <c r="T6214" t="s">
        <v>37693</v>
      </c>
      <c r="U6214">
        <v>1780</v>
      </c>
      <c r="V6214">
        <v>0</v>
      </c>
      <c r="W6214">
        <v>4</v>
      </c>
      <c r="X6214">
        <v>2014</v>
      </c>
      <c r="Z6214">
        <v>2</v>
      </c>
      <c r="AB6214">
        <v>0</v>
      </c>
      <c r="AC6214" t="s">
        <v>115</v>
      </c>
      <c r="AD6214">
        <v>2</v>
      </c>
      <c r="AE6214" t="s">
        <v>115</v>
      </c>
      <c r="AF6214">
        <v>0</v>
      </c>
      <c r="AG6214">
        <v>0</v>
      </c>
      <c r="AH6214" t="s">
        <v>116</v>
      </c>
      <c r="AI6214" s="1">
        <v>14933</v>
      </c>
      <c r="AJ6214" s="2">
        <v>0.04</v>
      </c>
      <c r="AK6214" s="1">
        <v>391978</v>
      </c>
      <c r="AL6214" t="s">
        <v>117</v>
      </c>
      <c r="AM6214" t="s">
        <v>191</v>
      </c>
      <c r="AN6214">
        <v>5726</v>
      </c>
      <c r="AO6214">
        <v>0.13</v>
      </c>
      <c r="AR6214">
        <v>1</v>
      </c>
      <c r="AS6214" s="1">
        <v>27160</v>
      </c>
      <c r="AT6214" s="1">
        <v>5430</v>
      </c>
      <c r="AU6214" s="1">
        <v>21730</v>
      </c>
      <c r="AV6214">
        <v>80.010000000000005</v>
      </c>
      <c r="AX6214" s="1">
        <v>2953.14</v>
      </c>
      <c r="AY6214" t="s">
        <v>6253</v>
      </c>
      <c r="AZ6214" t="s">
        <v>6254</v>
      </c>
      <c r="BA6214" t="s">
        <v>5469</v>
      </c>
      <c r="BB6214" s="3">
        <v>41943</v>
      </c>
      <c r="BC6214" s="1">
        <v>101360</v>
      </c>
      <c r="BD6214" t="s">
        <v>842</v>
      </c>
      <c r="BE6214" s="3">
        <v>41942</v>
      </c>
      <c r="BF6214" s="1">
        <v>365000</v>
      </c>
      <c r="BG6214" t="s">
        <v>37694</v>
      </c>
      <c r="BH6214" s="1">
        <v>204.94</v>
      </c>
      <c r="BI6214" s="1">
        <v>377045</v>
      </c>
      <c r="BJ6214" s="3">
        <v>41942</v>
      </c>
      <c r="BK6214" t="s">
        <v>123</v>
      </c>
      <c r="BL6214" t="str">
        <f>"2014.721357"</f>
        <v>2014.721357</v>
      </c>
      <c r="BM6214" t="s">
        <v>10036</v>
      </c>
      <c r="BN6214" t="s">
        <v>37695</v>
      </c>
      <c r="BO6214" t="s">
        <v>37696</v>
      </c>
      <c r="BS6214">
        <v>30</v>
      </c>
      <c r="BW6214" t="str">
        <f>""</f>
        <v/>
      </c>
      <c r="CH6214" t="str">
        <f>""</f>
        <v/>
      </c>
      <c r="CS6214" t="str">
        <f>""</f>
        <v/>
      </c>
    </row>
    <row r="6215" spans="1:97" x14ac:dyDescent="0.25">
      <c r="A6215" t="s">
        <v>3613</v>
      </c>
      <c r="B6215" t="s">
        <v>434</v>
      </c>
      <c r="C6215" t="s">
        <v>3707</v>
      </c>
      <c r="D6215" t="s">
        <v>434</v>
      </c>
      <c r="E6215" t="s">
        <v>37697</v>
      </c>
      <c r="F6215" t="s">
        <v>108</v>
      </c>
      <c r="H6215" t="s">
        <v>37698</v>
      </c>
      <c r="I6215" t="s">
        <v>203</v>
      </c>
      <c r="J6215" t="s">
        <v>111</v>
      </c>
      <c r="K6215" t="str">
        <f>"85234"</f>
        <v>85234</v>
      </c>
      <c r="L6215" t="s">
        <v>2220</v>
      </c>
      <c r="M6215" t="s">
        <v>37698</v>
      </c>
      <c r="N6215" t="s">
        <v>203</v>
      </c>
      <c r="O6215" t="s">
        <v>111</v>
      </c>
      <c r="P6215" t="str">
        <f>"85234-1457"</f>
        <v>85234-1457</v>
      </c>
      <c r="Q6215" t="s">
        <v>113</v>
      </c>
      <c r="R6215" t="str">
        <f>"304-08-600"</f>
        <v>304-08-600</v>
      </c>
      <c r="S6215" t="s">
        <v>19499</v>
      </c>
      <c r="T6215" t="s">
        <v>19500</v>
      </c>
      <c r="U6215">
        <v>2318</v>
      </c>
      <c r="V6215">
        <v>0</v>
      </c>
      <c r="W6215">
        <v>3</v>
      </c>
      <c r="X6215">
        <v>2000</v>
      </c>
      <c r="Z6215">
        <v>1</v>
      </c>
      <c r="AA6215" t="s">
        <v>26</v>
      </c>
      <c r="AB6215">
        <v>0</v>
      </c>
      <c r="AC6215" t="s">
        <v>115</v>
      </c>
      <c r="AD6215">
        <v>3</v>
      </c>
      <c r="AE6215" t="s">
        <v>115</v>
      </c>
      <c r="AF6215">
        <v>0</v>
      </c>
      <c r="AG6215">
        <v>0</v>
      </c>
      <c r="AH6215" t="s">
        <v>116</v>
      </c>
      <c r="AI6215" s="1">
        <v>68049</v>
      </c>
      <c r="AJ6215" s="2">
        <v>0.17</v>
      </c>
      <c r="AK6215" s="1">
        <v>393907</v>
      </c>
      <c r="AL6215" t="s">
        <v>117</v>
      </c>
      <c r="AM6215" t="s">
        <v>393</v>
      </c>
      <c r="AN6215">
        <v>7710</v>
      </c>
      <c r="AO6215">
        <v>0.18</v>
      </c>
      <c r="AP6215">
        <v>1</v>
      </c>
      <c r="AR6215">
        <v>1</v>
      </c>
      <c r="AS6215" s="1">
        <v>28220</v>
      </c>
      <c r="AT6215" s="1">
        <v>5640</v>
      </c>
      <c r="AU6215" s="1">
        <v>22580</v>
      </c>
      <c r="AV6215">
        <v>80.010000000000005</v>
      </c>
      <c r="AX6215" s="1">
        <v>2063.1</v>
      </c>
      <c r="AY6215" t="s">
        <v>8450</v>
      </c>
      <c r="AZ6215" t="s">
        <v>571</v>
      </c>
      <c r="BA6215" t="s">
        <v>521</v>
      </c>
      <c r="BE6215" s="3">
        <v>42531</v>
      </c>
      <c r="BF6215" s="1">
        <v>319000</v>
      </c>
      <c r="BG6215" t="s">
        <v>37699</v>
      </c>
      <c r="BH6215" s="1">
        <v>137.62</v>
      </c>
      <c r="BI6215" s="1">
        <v>325858</v>
      </c>
      <c r="BJ6215" s="3">
        <v>42531</v>
      </c>
      <c r="BK6215" t="s">
        <v>123</v>
      </c>
      <c r="BL6215" t="str">
        <f>"2016.404046"</f>
        <v>2016.404046</v>
      </c>
      <c r="BM6215" t="s">
        <v>475</v>
      </c>
      <c r="BO6215" t="s">
        <v>37700</v>
      </c>
      <c r="BS6215">
        <v>30</v>
      </c>
      <c r="BW6215" t="str">
        <f>""</f>
        <v/>
      </c>
      <c r="CH6215" t="str">
        <f>""</f>
        <v/>
      </c>
      <c r="CS6215" t="str">
        <f>""</f>
        <v/>
      </c>
    </row>
    <row r="6216" spans="1:97" x14ac:dyDescent="0.25">
      <c r="B6216" t="s">
        <v>37701</v>
      </c>
      <c r="E6216" t="s">
        <v>603</v>
      </c>
      <c r="F6216" t="s">
        <v>108</v>
      </c>
      <c r="H6216" t="s">
        <v>37702</v>
      </c>
      <c r="I6216" t="s">
        <v>390</v>
      </c>
      <c r="J6216" t="s">
        <v>111</v>
      </c>
      <c r="K6216" t="str">
        <f>"85048"</f>
        <v>85048</v>
      </c>
      <c r="L6216" t="s">
        <v>6333</v>
      </c>
      <c r="M6216" t="s">
        <v>37702</v>
      </c>
      <c r="N6216" t="s">
        <v>390</v>
      </c>
      <c r="O6216" t="s">
        <v>111</v>
      </c>
      <c r="P6216" t="str">
        <f>"85048-9216"</f>
        <v>85048-9216</v>
      </c>
      <c r="Q6216" t="s">
        <v>113</v>
      </c>
      <c r="R6216" t="str">
        <f>"301-70-288"</f>
        <v>301-70-288</v>
      </c>
      <c r="S6216" t="s">
        <v>15800</v>
      </c>
      <c r="U6216">
        <v>3307</v>
      </c>
      <c r="V6216">
        <v>0</v>
      </c>
      <c r="W6216">
        <v>4</v>
      </c>
      <c r="X6216">
        <v>1991</v>
      </c>
      <c r="Z6216">
        <v>2</v>
      </c>
      <c r="AA6216" t="s">
        <v>26</v>
      </c>
      <c r="AB6216">
        <v>0</v>
      </c>
      <c r="AC6216" t="s">
        <v>115</v>
      </c>
      <c r="AD6216">
        <v>3</v>
      </c>
      <c r="AE6216" t="s">
        <v>115</v>
      </c>
      <c r="AF6216">
        <v>0</v>
      </c>
      <c r="AG6216">
        <v>0</v>
      </c>
      <c r="AH6216" t="s">
        <v>116</v>
      </c>
      <c r="AI6216" s="1">
        <v>65982</v>
      </c>
      <c r="AJ6216" s="2">
        <v>0.13</v>
      </c>
      <c r="AK6216" s="1">
        <v>522732</v>
      </c>
      <c r="AL6216" t="s">
        <v>117</v>
      </c>
      <c r="AM6216" t="s">
        <v>191</v>
      </c>
      <c r="AN6216">
        <v>8664</v>
      </c>
      <c r="AO6216">
        <v>0.2</v>
      </c>
      <c r="AP6216">
        <v>1</v>
      </c>
      <c r="AR6216">
        <v>1</v>
      </c>
      <c r="AS6216" s="1">
        <v>35850</v>
      </c>
      <c r="AT6216" s="1">
        <v>7170</v>
      </c>
      <c r="AU6216" s="1">
        <v>28680</v>
      </c>
      <c r="AV6216">
        <v>80</v>
      </c>
      <c r="AX6216" s="1">
        <v>3885.3</v>
      </c>
      <c r="AY6216" t="s">
        <v>928</v>
      </c>
      <c r="AZ6216" t="s">
        <v>929</v>
      </c>
      <c r="BA6216" t="s">
        <v>930</v>
      </c>
      <c r="BB6216" s="3">
        <v>42465</v>
      </c>
      <c r="BD6216" t="s">
        <v>480</v>
      </c>
      <c r="BE6216" s="3">
        <v>42180</v>
      </c>
      <c r="BF6216" s="1">
        <v>475000</v>
      </c>
      <c r="BG6216" t="s">
        <v>37703</v>
      </c>
      <c r="BH6216" s="1">
        <v>143.63</v>
      </c>
      <c r="BI6216" s="1">
        <v>456750</v>
      </c>
      <c r="BJ6216" s="3">
        <v>42180</v>
      </c>
      <c r="BK6216" t="s">
        <v>123</v>
      </c>
      <c r="BL6216" t="str">
        <f>"2015.453814"</f>
        <v>2015.453814</v>
      </c>
      <c r="BM6216" t="s">
        <v>1791</v>
      </c>
      <c r="BO6216" t="s">
        <v>37704</v>
      </c>
      <c r="BS6216">
        <v>30</v>
      </c>
      <c r="BW6216" t="str">
        <f>""</f>
        <v/>
      </c>
      <c r="CH6216" t="str">
        <f>""</f>
        <v/>
      </c>
      <c r="CS6216" t="str">
        <f>""</f>
        <v/>
      </c>
    </row>
    <row r="6217" spans="1:97" x14ac:dyDescent="0.25">
      <c r="B6217" t="s">
        <v>37705</v>
      </c>
      <c r="E6217" t="s">
        <v>37706</v>
      </c>
      <c r="F6217" t="s">
        <v>139</v>
      </c>
      <c r="H6217" t="s">
        <v>37707</v>
      </c>
      <c r="I6217" t="s">
        <v>225</v>
      </c>
      <c r="J6217" t="s">
        <v>111</v>
      </c>
      <c r="K6217" t="str">
        <f>"85207"</f>
        <v>85207</v>
      </c>
      <c r="L6217" t="s">
        <v>21230</v>
      </c>
      <c r="M6217" t="s">
        <v>37707</v>
      </c>
      <c r="N6217" t="s">
        <v>225</v>
      </c>
      <c r="O6217" t="s">
        <v>111</v>
      </c>
      <c r="P6217" t="str">
        <f>"85207-4116"</f>
        <v>85207-4116</v>
      </c>
      <c r="Q6217" t="s">
        <v>113</v>
      </c>
      <c r="R6217" t="str">
        <f>"218-06-122"</f>
        <v>218-06-122</v>
      </c>
      <c r="S6217" t="s">
        <v>37708</v>
      </c>
      <c r="T6217" t="s">
        <v>37709</v>
      </c>
      <c r="U6217">
        <v>3088</v>
      </c>
      <c r="V6217">
        <v>0</v>
      </c>
      <c r="W6217">
        <v>3</v>
      </c>
      <c r="X6217">
        <v>1995</v>
      </c>
      <c r="Z6217">
        <v>1</v>
      </c>
      <c r="AA6217" t="s">
        <v>26</v>
      </c>
      <c r="AB6217">
        <v>0</v>
      </c>
      <c r="AC6217" t="s">
        <v>115</v>
      </c>
      <c r="AD6217">
        <v>3</v>
      </c>
      <c r="AE6217" t="s">
        <v>115</v>
      </c>
      <c r="AF6217">
        <v>0</v>
      </c>
      <c r="AG6217">
        <v>0</v>
      </c>
      <c r="AH6217" t="s">
        <v>116</v>
      </c>
      <c r="AI6217" s="1">
        <v>167818</v>
      </c>
      <c r="AJ6217" s="2">
        <v>0.3</v>
      </c>
      <c r="AK6217" s="1">
        <v>566818</v>
      </c>
      <c r="AL6217" t="s">
        <v>117</v>
      </c>
      <c r="AM6217" t="s">
        <v>1521</v>
      </c>
      <c r="AN6217">
        <v>18051</v>
      </c>
      <c r="AO6217">
        <v>0.41</v>
      </c>
      <c r="AP6217">
        <v>1</v>
      </c>
      <c r="AR6217">
        <v>1</v>
      </c>
      <c r="AS6217" s="1">
        <v>42220</v>
      </c>
      <c r="AT6217" s="1">
        <v>8440</v>
      </c>
      <c r="AU6217" s="1">
        <v>33780</v>
      </c>
      <c r="AV6217">
        <v>80.010000000000005</v>
      </c>
      <c r="AX6217" s="1">
        <v>2872.48</v>
      </c>
      <c r="AY6217" t="s">
        <v>3118</v>
      </c>
      <c r="AZ6217" t="s">
        <v>231</v>
      </c>
      <c r="BA6217" t="s">
        <v>3119</v>
      </c>
      <c r="BB6217" s="3">
        <v>43343</v>
      </c>
      <c r="BC6217" s="1">
        <v>0</v>
      </c>
      <c r="BD6217" t="s">
        <v>247</v>
      </c>
      <c r="BE6217" s="3">
        <v>42320</v>
      </c>
      <c r="BF6217" s="1">
        <v>499000</v>
      </c>
      <c r="BG6217" t="s">
        <v>37710</v>
      </c>
      <c r="BH6217" s="1">
        <v>161.59</v>
      </c>
      <c r="BI6217" s="1">
        <v>399000</v>
      </c>
      <c r="BJ6217" s="3">
        <v>42320</v>
      </c>
      <c r="BK6217" t="s">
        <v>123</v>
      </c>
      <c r="BL6217" t="str">
        <f>"2015.810612"</f>
        <v>2015.810612</v>
      </c>
      <c r="BM6217" t="s">
        <v>1192</v>
      </c>
      <c r="BN6217" t="s">
        <v>11855</v>
      </c>
      <c r="BO6217" t="s">
        <v>37711</v>
      </c>
      <c r="BS6217">
        <v>30</v>
      </c>
      <c r="BW6217" t="str">
        <f>""</f>
        <v/>
      </c>
      <c r="CH6217" t="str">
        <f>""</f>
        <v/>
      </c>
      <c r="CS6217" t="str">
        <f>""</f>
        <v/>
      </c>
    </row>
    <row r="6218" spans="1:97" x14ac:dyDescent="0.25">
      <c r="A6218" t="s">
        <v>6478</v>
      </c>
      <c r="B6218" t="s">
        <v>10874</v>
      </c>
      <c r="C6218" t="s">
        <v>37712</v>
      </c>
      <c r="D6218" t="s">
        <v>10874</v>
      </c>
      <c r="E6218" t="s">
        <v>37713</v>
      </c>
      <c r="F6218" t="s">
        <v>108</v>
      </c>
      <c r="H6218" t="s">
        <v>37714</v>
      </c>
      <c r="I6218" t="s">
        <v>453</v>
      </c>
      <c r="J6218" t="s">
        <v>111</v>
      </c>
      <c r="K6218" t="str">
        <f>"85382"</f>
        <v>85382</v>
      </c>
      <c r="L6218" t="s">
        <v>6788</v>
      </c>
      <c r="M6218" t="s">
        <v>37714</v>
      </c>
      <c r="N6218" t="s">
        <v>453</v>
      </c>
      <c r="O6218" t="s">
        <v>111</v>
      </c>
      <c r="P6218" t="str">
        <f>"85382-4105"</f>
        <v>85382-4105</v>
      </c>
      <c r="Q6218" t="s">
        <v>113</v>
      </c>
      <c r="R6218" t="str">
        <f>"200-32-722"</f>
        <v>200-32-722</v>
      </c>
      <c r="S6218" t="s">
        <v>37715</v>
      </c>
      <c r="T6218" t="s">
        <v>37716</v>
      </c>
      <c r="U6218">
        <v>2238</v>
      </c>
      <c r="V6218">
        <v>0</v>
      </c>
      <c r="W6218">
        <v>3</v>
      </c>
      <c r="X6218">
        <v>1986</v>
      </c>
      <c r="Z6218">
        <v>1</v>
      </c>
      <c r="AA6218" t="s">
        <v>26</v>
      </c>
      <c r="AB6218">
        <v>0</v>
      </c>
      <c r="AC6218" t="s">
        <v>115</v>
      </c>
      <c r="AD6218">
        <v>2</v>
      </c>
      <c r="AE6218" t="s">
        <v>115</v>
      </c>
      <c r="AF6218">
        <v>0</v>
      </c>
      <c r="AG6218">
        <v>0</v>
      </c>
      <c r="AH6218" t="s">
        <v>116</v>
      </c>
      <c r="AI6218" s="1">
        <v>64649</v>
      </c>
      <c r="AJ6218" s="2">
        <v>0.18</v>
      </c>
      <c r="AK6218" s="1">
        <v>358649</v>
      </c>
      <c r="AL6218" t="s">
        <v>117</v>
      </c>
      <c r="AM6218" t="s">
        <v>393</v>
      </c>
      <c r="AN6218">
        <v>15335</v>
      </c>
      <c r="AO6218">
        <v>0.35</v>
      </c>
      <c r="AP6218">
        <v>1</v>
      </c>
      <c r="AR6218">
        <v>1</v>
      </c>
      <c r="AS6218" s="1">
        <v>26580</v>
      </c>
      <c r="AT6218" s="1">
        <v>5310</v>
      </c>
      <c r="AU6218" s="1">
        <v>21270</v>
      </c>
      <c r="AV6218">
        <v>80.02</v>
      </c>
      <c r="AX6218" s="1">
        <v>2340.14</v>
      </c>
      <c r="AY6218" t="s">
        <v>7828</v>
      </c>
      <c r="AZ6218" t="s">
        <v>7828</v>
      </c>
      <c r="BA6218" t="s">
        <v>4219</v>
      </c>
      <c r="BE6218" s="3">
        <v>42342</v>
      </c>
      <c r="BF6218" s="1">
        <v>294000</v>
      </c>
      <c r="BG6218" t="s">
        <v>37717</v>
      </c>
      <c r="BH6218" s="1">
        <v>131.37</v>
      </c>
      <c r="BI6218" s="1">
        <v>294000</v>
      </c>
      <c r="BJ6218" s="3">
        <v>42342</v>
      </c>
      <c r="BK6218" t="s">
        <v>123</v>
      </c>
      <c r="BL6218" t="str">
        <f>"2015.862322"</f>
        <v>2015.862322</v>
      </c>
      <c r="BM6218" t="s">
        <v>5747</v>
      </c>
      <c r="BO6218" t="s">
        <v>37718</v>
      </c>
      <c r="BS6218">
        <v>30</v>
      </c>
      <c r="BW6218" t="str">
        <f>""</f>
        <v/>
      </c>
      <c r="CH6218" t="str">
        <f>""</f>
        <v/>
      </c>
      <c r="CS6218" t="str">
        <f>""</f>
        <v/>
      </c>
    </row>
    <row r="6219" spans="1:97" x14ac:dyDescent="0.25">
      <c r="B6219" t="s">
        <v>37719</v>
      </c>
      <c r="E6219" t="s">
        <v>37720</v>
      </c>
      <c r="F6219" t="s">
        <v>108</v>
      </c>
      <c r="H6219" t="s">
        <v>37721</v>
      </c>
      <c r="I6219" t="s">
        <v>25003</v>
      </c>
      <c r="J6219" t="s">
        <v>111</v>
      </c>
      <c r="K6219" t="str">
        <f>"85263"</f>
        <v>85263</v>
      </c>
      <c r="L6219" t="s">
        <v>5893</v>
      </c>
      <c r="M6219" t="s">
        <v>37721</v>
      </c>
      <c r="N6219" t="s">
        <v>25003</v>
      </c>
      <c r="O6219" t="s">
        <v>111</v>
      </c>
      <c r="P6219" t="str">
        <f>"85263-7207"</f>
        <v>85263-7207</v>
      </c>
      <c r="Q6219" t="s">
        <v>113</v>
      </c>
      <c r="R6219" t="str">
        <f>"219-43-659"</f>
        <v>219-43-659</v>
      </c>
      <c r="S6219" t="s">
        <v>29128</v>
      </c>
      <c r="U6219">
        <v>3123</v>
      </c>
      <c r="V6219">
        <v>0</v>
      </c>
      <c r="W6219">
        <v>3</v>
      </c>
      <c r="X6219">
        <v>1993</v>
      </c>
      <c r="Z6219">
        <v>1</v>
      </c>
      <c r="AB6219">
        <v>0</v>
      </c>
      <c r="AC6219" t="s">
        <v>115</v>
      </c>
      <c r="AD6219">
        <v>3</v>
      </c>
      <c r="AE6219" t="s">
        <v>115</v>
      </c>
      <c r="AF6219">
        <v>0</v>
      </c>
      <c r="AG6219">
        <v>0</v>
      </c>
      <c r="AH6219" t="s">
        <v>116</v>
      </c>
      <c r="AI6219" s="1">
        <v>235067</v>
      </c>
      <c r="AJ6219" s="2">
        <v>0.31</v>
      </c>
      <c r="AK6219" s="1">
        <v>760067</v>
      </c>
      <c r="AL6219" t="s">
        <v>117</v>
      </c>
      <c r="AM6219" t="s">
        <v>171</v>
      </c>
      <c r="AN6219">
        <v>16828</v>
      </c>
      <c r="AO6219">
        <v>0.39</v>
      </c>
      <c r="AP6219">
        <v>1</v>
      </c>
      <c r="AR6219">
        <v>1</v>
      </c>
      <c r="AS6219" s="1">
        <v>43450</v>
      </c>
      <c r="AT6219" s="1">
        <v>8690</v>
      </c>
      <c r="AU6219" s="1">
        <v>34760</v>
      </c>
      <c r="AV6219">
        <v>80</v>
      </c>
      <c r="AX6219" s="1">
        <v>3543.18</v>
      </c>
      <c r="AY6219" t="s">
        <v>6485</v>
      </c>
      <c r="AZ6219" t="s">
        <v>5640</v>
      </c>
      <c r="BA6219" t="s">
        <v>5641</v>
      </c>
      <c r="BB6219" s="3">
        <v>43297</v>
      </c>
      <c r="BC6219" s="1">
        <v>0</v>
      </c>
      <c r="BD6219" t="s">
        <v>247</v>
      </c>
      <c r="BE6219" s="3">
        <v>42395</v>
      </c>
      <c r="BF6219" s="1">
        <v>609000</v>
      </c>
      <c r="BG6219" t="s">
        <v>37722</v>
      </c>
      <c r="BH6219" s="1">
        <v>195</v>
      </c>
      <c r="BI6219" s="1">
        <v>525000</v>
      </c>
      <c r="BJ6219" s="3">
        <v>42395</v>
      </c>
      <c r="BK6219" t="s">
        <v>123</v>
      </c>
      <c r="BL6219" t="str">
        <f>"2016.51046"</f>
        <v>2016.51046</v>
      </c>
      <c r="BM6219" t="s">
        <v>544</v>
      </c>
      <c r="BN6219" t="s">
        <v>545</v>
      </c>
      <c r="BO6219" t="s">
        <v>37723</v>
      </c>
      <c r="BP6219" t="s">
        <v>37724</v>
      </c>
      <c r="BS6219">
        <v>30</v>
      </c>
      <c r="BW6219" t="str">
        <f>""</f>
        <v/>
      </c>
      <c r="CH6219" t="str">
        <f>""</f>
        <v/>
      </c>
      <c r="CS6219" t="str">
        <f>""</f>
        <v/>
      </c>
    </row>
    <row r="6220" spans="1:97" x14ac:dyDescent="0.25">
      <c r="B6220" t="s">
        <v>37725</v>
      </c>
      <c r="E6220" t="s">
        <v>37726</v>
      </c>
      <c r="F6220" t="s">
        <v>108</v>
      </c>
      <c r="H6220" t="s">
        <v>37727</v>
      </c>
      <c r="I6220" t="s">
        <v>203</v>
      </c>
      <c r="J6220" t="s">
        <v>111</v>
      </c>
      <c r="K6220" t="str">
        <f>"85298"</f>
        <v>85298</v>
      </c>
      <c r="L6220" t="s">
        <v>558</v>
      </c>
      <c r="M6220" t="s">
        <v>37727</v>
      </c>
      <c r="N6220" t="s">
        <v>203</v>
      </c>
      <c r="O6220" t="s">
        <v>111</v>
      </c>
      <c r="P6220" t="str">
        <f>"85298-4293"</f>
        <v>85298-4293</v>
      </c>
      <c r="Q6220" t="s">
        <v>113</v>
      </c>
      <c r="R6220" t="str">
        <f>"304-79-666"</f>
        <v>304-79-666</v>
      </c>
      <c r="S6220" t="s">
        <v>37728</v>
      </c>
      <c r="T6220" t="s">
        <v>37729</v>
      </c>
      <c r="U6220">
        <v>3101</v>
      </c>
      <c r="V6220">
        <v>0</v>
      </c>
      <c r="W6220">
        <v>4</v>
      </c>
      <c r="X6220">
        <v>2011</v>
      </c>
      <c r="Z6220">
        <v>1</v>
      </c>
      <c r="AB6220">
        <v>0</v>
      </c>
      <c r="AC6220" t="s">
        <v>115</v>
      </c>
      <c r="AD6220">
        <v>3</v>
      </c>
      <c r="AE6220" t="s">
        <v>115</v>
      </c>
      <c r="AF6220">
        <v>0</v>
      </c>
      <c r="AG6220">
        <v>0</v>
      </c>
      <c r="AH6220" t="s">
        <v>116</v>
      </c>
      <c r="AI6220" s="1">
        <v>115923</v>
      </c>
      <c r="AJ6220" s="2">
        <v>0.19</v>
      </c>
      <c r="AK6220" s="1">
        <v>598885</v>
      </c>
      <c r="AL6220" t="s">
        <v>117</v>
      </c>
      <c r="AM6220" t="s">
        <v>393</v>
      </c>
      <c r="AN6220">
        <v>8750</v>
      </c>
      <c r="AO6220">
        <v>0.2</v>
      </c>
      <c r="AR6220">
        <v>1</v>
      </c>
      <c r="AS6220" s="1">
        <v>45080</v>
      </c>
      <c r="AT6220" s="1">
        <v>9010</v>
      </c>
      <c r="AU6220" s="1">
        <v>36070</v>
      </c>
      <c r="AV6220">
        <v>80.010000000000005</v>
      </c>
      <c r="AX6220" s="1">
        <v>4208.0600000000004</v>
      </c>
      <c r="AY6220" t="s">
        <v>5875</v>
      </c>
      <c r="AZ6220" t="s">
        <v>1134</v>
      </c>
      <c r="BA6220" t="s">
        <v>1134</v>
      </c>
      <c r="BB6220" s="3">
        <v>42755</v>
      </c>
      <c r="BD6220" t="s">
        <v>240</v>
      </c>
      <c r="BE6220" s="3">
        <v>42468</v>
      </c>
      <c r="BF6220" s="1">
        <v>530000</v>
      </c>
      <c r="BG6220" t="s">
        <v>37730</v>
      </c>
      <c r="BH6220" s="1">
        <v>170.91</v>
      </c>
      <c r="BI6220" s="1">
        <v>482962</v>
      </c>
      <c r="BJ6220" s="3">
        <v>42468</v>
      </c>
      <c r="BK6220" t="s">
        <v>123</v>
      </c>
      <c r="BL6220" t="str">
        <f>"2016.232881"</f>
        <v>2016.232881</v>
      </c>
      <c r="BM6220" t="s">
        <v>724</v>
      </c>
      <c r="BO6220" t="s">
        <v>37731</v>
      </c>
      <c r="BS6220">
        <v>30</v>
      </c>
      <c r="BW6220" t="str">
        <f>""</f>
        <v/>
      </c>
      <c r="CH6220" t="str">
        <f>""</f>
        <v/>
      </c>
      <c r="CS6220" t="str">
        <f>""</f>
        <v/>
      </c>
    </row>
    <row r="6221" spans="1:97" x14ac:dyDescent="0.25">
      <c r="A6221" t="s">
        <v>831</v>
      </c>
      <c r="B6221" t="s">
        <v>37732</v>
      </c>
      <c r="C6221" t="s">
        <v>164</v>
      </c>
      <c r="D6221" t="s">
        <v>37732</v>
      </c>
      <c r="E6221" t="s">
        <v>37733</v>
      </c>
      <c r="F6221" t="s">
        <v>108</v>
      </c>
      <c r="H6221" t="s">
        <v>37734</v>
      </c>
      <c r="I6221" t="s">
        <v>390</v>
      </c>
      <c r="J6221" t="s">
        <v>111</v>
      </c>
      <c r="K6221" t="str">
        <f>"85041"</f>
        <v>85041</v>
      </c>
      <c r="L6221" t="s">
        <v>5709</v>
      </c>
      <c r="M6221" t="s">
        <v>37734</v>
      </c>
      <c r="N6221" t="s">
        <v>390</v>
      </c>
      <c r="O6221" t="s">
        <v>111</v>
      </c>
      <c r="P6221" t="str">
        <f>"85041-4978"</f>
        <v>85041-4978</v>
      </c>
      <c r="Q6221" t="s">
        <v>113</v>
      </c>
      <c r="R6221" t="str">
        <f>"105-90-393"</f>
        <v>105-90-393</v>
      </c>
      <c r="S6221" t="s">
        <v>12983</v>
      </c>
      <c r="T6221" t="s">
        <v>12983</v>
      </c>
      <c r="U6221">
        <v>3370</v>
      </c>
      <c r="V6221">
        <v>0</v>
      </c>
      <c r="W6221">
        <v>4</v>
      </c>
      <c r="X6221">
        <v>2005</v>
      </c>
      <c r="Z6221">
        <v>2</v>
      </c>
      <c r="AA6221" t="s">
        <v>26</v>
      </c>
      <c r="AB6221">
        <v>0</v>
      </c>
      <c r="AC6221" t="s">
        <v>115</v>
      </c>
      <c r="AD6221">
        <v>2</v>
      </c>
      <c r="AE6221" t="s">
        <v>115</v>
      </c>
      <c r="AF6221">
        <v>0</v>
      </c>
      <c r="AG6221">
        <v>0</v>
      </c>
      <c r="AH6221" t="s">
        <v>116</v>
      </c>
      <c r="AI6221" s="1">
        <v>88838</v>
      </c>
      <c r="AJ6221" s="2">
        <v>0.24</v>
      </c>
      <c r="AK6221" s="1">
        <v>363126</v>
      </c>
      <c r="AL6221" t="s">
        <v>117</v>
      </c>
      <c r="AM6221" t="s">
        <v>171</v>
      </c>
      <c r="AN6221">
        <v>6050</v>
      </c>
      <c r="AO6221">
        <v>0.14000000000000001</v>
      </c>
      <c r="AR6221">
        <v>1</v>
      </c>
      <c r="AS6221" s="1">
        <v>25600</v>
      </c>
      <c r="AT6221" s="1">
        <v>5120</v>
      </c>
      <c r="AU6221" s="1">
        <v>20480</v>
      </c>
      <c r="AV6221">
        <v>80</v>
      </c>
      <c r="AX6221" s="1">
        <v>2539.4</v>
      </c>
      <c r="AY6221" t="s">
        <v>12984</v>
      </c>
      <c r="AZ6221" t="s">
        <v>12984</v>
      </c>
      <c r="BA6221" t="s">
        <v>1661</v>
      </c>
      <c r="BE6221" s="3">
        <v>42247</v>
      </c>
      <c r="BF6221" s="1">
        <v>269250</v>
      </c>
      <c r="BG6221" t="s">
        <v>37735</v>
      </c>
      <c r="BH6221" s="1">
        <v>79.900000000000006</v>
      </c>
      <c r="BI6221" s="1">
        <v>274288</v>
      </c>
      <c r="BJ6221" s="3">
        <v>42682</v>
      </c>
      <c r="BK6221" t="s">
        <v>123</v>
      </c>
      <c r="BL6221" t="str">
        <f>"2016.824679"</f>
        <v>2016.824679</v>
      </c>
      <c r="BM6221" t="s">
        <v>9665</v>
      </c>
      <c r="BO6221" t="s">
        <v>37736</v>
      </c>
      <c r="BS6221">
        <v>30</v>
      </c>
      <c r="BW6221" t="str">
        <f>""</f>
        <v/>
      </c>
      <c r="CH6221" t="str">
        <f>""</f>
        <v/>
      </c>
      <c r="CS6221" t="str">
        <f>""</f>
        <v/>
      </c>
    </row>
    <row r="6222" spans="1:97" x14ac:dyDescent="0.25">
      <c r="A6222" t="s">
        <v>106</v>
      </c>
      <c r="B6222" t="s">
        <v>4527</v>
      </c>
      <c r="E6222" t="s">
        <v>37737</v>
      </c>
      <c r="F6222" t="s">
        <v>108</v>
      </c>
      <c r="H6222" t="s">
        <v>37738</v>
      </c>
      <c r="I6222" t="s">
        <v>390</v>
      </c>
      <c r="J6222" t="s">
        <v>111</v>
      </c>
      <c r="K6222" t="str">
        <f>"85013"</f>
        <v>85013</v>
      </c>
      <c r="L6222" t="s">
        <v>8199</v>
      </c>
      <c r="M6222" t="s">
        <v>37738</v>
      </c>
      <c r="N6222" t="s">
        <v>390</v>
      </c>
      <c r="O6222" t="s">
        <v>111</v>
      </c>
      <c r="P6222" t="str">
        <f>"85013-2650"</f>
        <v>85013-2650</v>
      </c>
      <c r="Q6222" t="s">
        <v>113</v>
      </c>
      <c r="R6222" t="str">
        <f>"155-43-127"</f>
        <v>155-43-127</v>
      </c>
      <c r="S6222" t="s">
        <v>18605</v>
      </c>
      <c r="T6222" t="s">
        <v>18606</v>
      </c>
      <c r="U6222">
        <v>2016</v>
      </c>
      <c r="V6222">
        <v>0</v>
      </c>
      <c r="W6222">
        <v>2</v>
      </c>
      <c r="X6222">
        <v>1953</v>
      </c>
      <c r="Z6222">
        <v>1</v>
      </c>
      <c r="AA6222" t="s">
        <v>26</v>
      </c>
      <c r="AB6222">
        <v>0</v>
      </c>
      <c r="AC6222" t="s">
        <v>5188</v>
      </c>
      <c r="AD6222">
        <v>1</v>
      </c>
      <c r="AE6222" t="s">
        <v>5188</v>
      </c>
      <c r="AF6222">
        <v>0</v>
      </c>
      <c r="AG6222">
        <v>0</v>
      </c>
      <c r="AH6222" t="s">
        <v>116</v>
      </c>
      <c r="AI6222" s="1">
        <v>87473</v>
      </c>
      <c r="AJ6222" s="2">
        <v>0.24</v>
      </c>
      <c r="AK6222" s="1">
        <v>366383</v>
      </c>
      <c r="AL6222" t="s">
        <v>117</v>
      </c>
      <c r="AM6222" t="s">
        <v>191</v>
      </c>
      <c r="AN6222">
        <v>12088</v>
      </c>
      <c r="AO6222">
        <v>0.28000000000000003</v>
      </c>
      <c r="AP6222">
        <v>1</v>
      </c>
      <c r="AR6222">
        <v>1</v>
      </c>
      <c r="AS6222" s="1">
        <v>24530</v>
      </c>
      <c r="AT6222" s="1">
        <v>4900</v>
      </c>
      <c r="AU6222" s="1">
        <v>19630</v>
      </c>
      <c r="AV6222">
        <v>80.02</v>
      </c>
      <c r="AX6222" s="1">
        <v>2412.6</v>
      </c>
      <c r="AY6222" t="s">
        <v>5468</v>
      </c>
      <c r="AZ6222" t="s">
        <v>5468</v>
      </c>
      <c r="BA6222" t="s">
        <v>5691</v>
      </c>
      <c r="BE6222" s="3">
        <v>42038</v>
      </c>
      <c r="BF6222" s="1">
        <v>240000</v>
      </c>
      <c r="BG6222" t="s">
        <v>37739</v>
      </c>
      <c r="BH6222" s="1">
        <v>119.05</v>
      </c>
      <c r="BI6222" s="1">
        <v>278910</v>
      </c>
      <c r="BJ6222" s="3">
        <v>43012</v>
      </c>
      <c r="BK6222" t="s">
        <v>123</v>
      </c>
      <c r="BL6222" t="str">
        <f>"2017.736281"</f>
        <v>2017.736281</v>
      </c>
      <c r="BM6222" t="s">
        <v>1992</v>
      </c>
      <c r="BO6222" t="s">
        <v>37740</v>
      </c>
      <c r="BS6222">
        <v>30</v>
      </c>
      <c r="BW6222" t="str">
        <f>""</f>
        <v/>
      </c>
      <c r="CH6222" t="str">
        <f>""</f>
        <v/>
      </c>
      <c r="CS6222" t="str">
        <f>""</f>
        <v/>
      </c>
    </row>
    <row r="6223" spans="1:97" x14ac:dyDescent="0.25">
      <c r="A6223" t="s">
        <v>7969</v>
      </c>
      <c r="B6223" t="s">
        <v>1365</v>
      </c>
      <c r="C6223" t="s">
        <v>524</v>
      </c>
      <c r="D6223" t="s">
        <v>1365</v>
      </c>
      <c r="E6223" t="s">
        <v>37741</v>
      </c>
      <c r="F6223" t="s">
        <v>108</v>
      </c>
      <c r="H6223" t="s">
        <v>37742</v>
      </c>
      <c r="I6223" t="s">
        <v>144</v>
      </c>
      <c r="J6223" t="s">
        <v>111</v>
      </c>
      <c r="K6223" t="str">
        <f>"85326"</f>
        <v>85326</v>
      </c>
      <c r="L6223" t="s">
        <v>8146</v>
      </c>
      <c r="M6223" t="s">
        <v>37742</v>
      </c>
      <c r="N6223" t="s">
        <v>144</v>
      </c>
      <c r="O6223" t="s">
        <v>111</v>
      </c>
      <c r="P6223" t="str">
        <f>"85326-8171"</f>
        <v>85326-8171</v>
      </c>
      <c r="Q6223" t="s">
        <v>113</v>
      </c>
      <c r="R6223" t="str">
        <f>"502-35-627"</f>
        <v>502-35-627</v>
      </c>
      <c r="S6223" t="s">
        <v>9331</v>
      </c>
      <c r="U6223">
        <v>2068</v>
      </c>
      <c r="V6223">
        <v>0</v>
      </c>
      <c r="W6223">
        <v>4</v>
      </c>
      <c r="X6223">
        <v>2013</v>
      </c>
      <c r="Z6223">
        <v>1</v>
      </c>
      <c r="AB6223">
        <v>0</v>
      </c>
      <c r="AC6223" t="s">
        <v>115</v>
      </c>
      <c r="AD6223">
        <v>2</v>
      </c>
      <c r="AE6223" t="s">
        <v>115</v>
      </c>
      <c r="AF6223">
        <v>0</v>
      </c>
      <c r="AG6223">
        <v>0</v>
      </c>
      <c r="AH6223" t="s">
        <v>116</v>
      </c>
      <c r="AI6223" s="1">
        <v>90722</v>
      </c>
      <c r="AJ6223" s="2">
        <v>0.28999999999999998</v>
      </c>
      <c r="AK6223" s="1">
        <v>311018</v>
      </c>
      <c r="AL6223" t="s">
        <v>117</v>
      </c>
      <c r="AM6223" t="s">
        <v>118</v>
      </c>
      <c r="AN6223">
        <v>8571</v>
      </c>
      <c r="AO6223">
        <v>0.2</v>
      </c>
      <c r="AR6223">
        <v>1</v>
      </c>
      <c r="AS6223" s="1">
        <v>21730</v>
      </c>
      <c r="AT6223" s="1">
        <v>4340</v>
      </c>
      <c r="AU6223" s="1">
        <v>17390</v>
      </c>
      <c r="AV6223">
        <v>80.03</v>
      </c>
      <c r="AX6223" s="1">
        <v>1822.38</v>
      </c>
      <c r="AY6223" t="s">
        <v>2767</v>
      </c>
      <c r="AZ6223" t="s">
        <v>2767</v>
      </c>
      <c r="BA6223" t="s">
        <v>5025</v>
      </c>
      <c r="BE6223" s="3">
        <v>41660</v>
      </c>
      <c r="BF6223" s="1">
        <v>218821</v>
      </c>
      <c r="BG6223" t="s">
        <v>749</v>
      </c>
      <c r="BH6223" s="1">
        <v>105.81</v>
      </c>
      <c r="BI6223" s="1">
        <v>220296</v>
      </c>
      <c r="BJ6223" s="3">
        <v>42563</v>
      </c>
      <c r="BK6223" t="s">
        <v>123</v>
      </c>
      <c r="BL6223" t="str">
        <f>"2016.489779"</f>
        <v>2016.489779</v>
      </c>
      <c r="BM6223" t="s">
        <v>425</v>
      </c>
      <c r="BO6223" t="s">
        <v>37743</v>
      </c>
      <c r="BS6223">
        <v>30</v>
      </c>
      <c r="BW6223" t="str">
        <f>""</f>
        <v/>
      </c>
      <c r="CH6223" t="str">
        <f>""</f>
        <v/>
      </c>
      <c r="CS6223" t="str">
        <f>""</f>
        <v/>
      </c>
    </row>
    <row r="6224" spans="1:97" x14ac:dyDescent="0.25">
      <c r="A6224" t="s">
        <v>4024</v>
      </c>
      <c r="B6224" t="s">
        <v>37744</v>
      </c>
      <c r="C6224" t="s">
        <v>641</v>
      </c>
      <c r="D6224" t="s">
        <v>37744</v>
      </c>
      <c r="E6224" t="s">
        <v>37745</v>
      </c>
      <c r="F6224" t="s">
        <v>108</v>
      </c>
      <c r="H6224" t="s">
        <v>37746</v>
      </c>
      <c r="I6224" t="s">
        <v>390</v>
      </c>
      <c r="J6224" t="s">
        <v>111</v>
      </c>
      <c r="K6224" t="str">
        <f>"85086"</f>
        <v>85086</v>
      </c>
      <c r="L6224" t="s">
        <v>4698</v>
      </c>
      <c r="M6224" t="s">
        <v>37746</v>
      </c>
      <c r="N6224" t="s">
        <v>390</v>
      </c>
      <c r="O6224" t="s">
        <v>111</v>
      </c>
      <c r="P6224" t="str">
        <f>"85086-2177"</f>
        <v>85086-2177</v>
      </c>
      <c r="Q6224" t="s">
        <v>113</v>
      </c>
      <c r="R6224" t="str">
        <f>"203-27-674"</f>
        <v>203-27-674</v>
      </c>
      <c r="S6224" t="s">
        <v>27760</v>
      </c>
      <c r="U6224">
        <v>2455</v>
      </c>
      <c r="V6224">
        <v>0</v>
      </c>
      <c r="W6224">
        <v>4</v>
      </c>
      <c r="X6224">
        <v>2012</v>
      </c>
      <c r="Z6224">
        <v>2</v>
      </c>
      <c r="AB6224">
        <v>0</v>
      </c>
      <c r="AC6224" t="s">
        <v>115</v>
      </c>
      <c r="AD6224">
        <v>2</v>
      </c>
      <c r="AE6224" t="s">
        <v>115</v>
      </c>
      <c r="AF6224">
        <v>0</v>
      </c>
      <c r="AG6224">
        <v>0</v>
      </c>
      <c r="AH6224" t="s">
        <v>116</v>
      </c>
      <c r="AI6224" s="1">
        <v>39060</v>
      </c>
      <c r="AJ6224" s="2">
        <v>0.11</v>
      </c>
      <c r="AK6224" s="1">
        <v>360310</v>
      </c>
      <c r="AL6224" t="s">
        <v>117</v>
      </c>
      <c r="AM6224" t="s">
        <v>1315</v>
      </c>
      <c r="AN6224">
        <v>6790</v>
      </c>
      <c r="AO6224">
        <v>0.16</v>
      </c>
      <c r="AR6224">
        <v>1</v>
      </c>
      <c r="AS6224" s="1">
        <v>25720</v>
      </c>
      <c r="AT6224" s="1">
        <v>5140</v>
      </c>
      <c r="AU6224" s="1">
        <v>20580</v>
      </c>
      <c r="AV6224">
        <v>80.02</v>
      </c>
      <c r="AX6224" s="1">
        <v>2254.8200000000002</v>
      </c>
      <c r="AY6224" t="s">
        <v>8639</v>
      </c>
      <c r="AZ6224" t="s">
        <v>8639</v>
      </c>
      <c r="BA6224" t="s">
        <v>378</v>
      </c>
      <c r="BE6224" s="3">
        <v>42506</v>
      </c>
      <c r="BF6224" s="1">
        <v>309900</v>
      </c>
      <c r="BG6224" t="s">
        <v>37747</v>
      </c>
      <c r="BH6224" s="1">
        <v>126.23</v>
      </c>
      <c r="BI6224" s="1">
        <v>321250</v>
      </c>
      <c r="BJ6224" s="3">
        <v>42563</v>
      </c>
      <c r="BK6224" t="s">
        <v>123</v>
      </c>
      <c r="BL6224" t="str">
        <f>"2016.489708"</f>
        <v>2016.489708</v>
      </c>
      <c r="BM6224" t="s">
        <v>1122</v>
      </c>
      <c r="BO6224" t="s">
        <v>37748</v>
      </c>
      <c r="BS6224">
        <v>30</v>
      </c>
      <c r="BW6224" t="str">
        <f>""</f>
        <v/>
      </c>
      <c r="CH6224" t="str">
        <f>""</f>
        <v/>
      </c>
      <c r="CS6224" t="str">
        <f>""</f>
        <v/>
      </c>
    </row>
    <row r="6225" spans="1:97" x14ac:dyDescent="0.25">
      <c r="B6225" t="s">
        <v>37749</v>
      </c>
      <c r="E6225" t="s">
        <v>37750</v>
      </c>
      <c r="F6225" t="s">
        <v>108</v>
      </c>
      <c r="H6225" t="s">
        <v>37751</v>
      </c>
      <c r="I6225" t="s">
        <v>110</v>
      </c>
      <c r="J6225" t="s">
        <v>111</v>
      </c>
      <c r="K6225" t="str">
        <f>"85249"</f>
        <v>85249</v>
      </c>
      <c r="L6225" t="s">
        <v>5990</v>
      </c>
      <c r="M6225" t="s">
        <v>37751</v>
      </c>
      <c r="N6225" t="s">
        <v>110</v>
      </c>
      <c r="O6225" t="s">
        <v>111</v>
      </c>
      <c r="P6225" t="str">
        <f>"85249-3666"</f>
        <v>85249-3666</v>
      </c>
      <c r="Q6225" t="s">
        <v>113</v>
      </c>
      <c r="R6225" t="str">
        <f>"303-53-681"</f>
        <v>303-53-681</v>
      </c>
      <c r="S6225" t="s">
        <v>20182</v>
      </c>
      <c r="T6225" t="s">
        <v>20183</v>
      </c>
      <c r="U6225">
        <v>2778</v>
      </c>
      <c r="V6225">
        <v>0</v>
      </c>
      <c r="W6225">
        <v>5</v>
      </c>
      <c r="X6225">
        <v>2002</v>
      </c>
      <c r="Z6225">
        <v>2</v>
      </c>
      <c r="AA6225" t="s">
        <v>26</v>
      </c>
      <c r="AB6225">
        <v>0</v>
      </c>
      <c r="AC6225" t="s">
        <v>115</v>
      </c>
      <c r="AD6225">
        <v>3</v>
      </c>
      <c r="AE6225" t="s">
        <v>115</v>
      </c>
      <c r="AF6225">
        <v>0</v>
      </c>
      <c r="AG6225">
        <v>0</v>
      </c>
      <c r="AH6225" t="s">
        <v>116</v>
      </c>
      <c r="AI6225" s="1">
        <v>96155</v>
      </c>
      <c r="AJ6225" s="2">
        <v>0.22</v>
      </c>
      <c r="AK6225" s="1">
        <v>442155</v>
      </c>
      <c r="AL6225" t="s">
        <v>117</v>
      </c>
      <c r="AM6225" t="s">
        <v>118</v>
      </c>
      <c r="AN6225">
        <v>11411</v>
      </c>
      <c r="AO6225">
        <v>0.26</v>
      </c>
      <c r="AP6225">
        <v>1</v>
      </c>
      <c r="AR6225">
        <v>1</v>
      </c>
      <c r="AS6225" s="1">
        <v>32650</v>
      </c>
      <c r="AT6225" s="1">
        <v>6530</v>
      </c>
      <c r="AU6225" s="1">
        <v>26120</v>
      </c>
      <c r="AV6225">
        <v>80</v>
      </c>
      <c r="AX6225" s="1">
        <v>2845.94</v>
      </c>
      <c r="AY6225" t="s">
        <v>119</v>
      </c>
      <c r="AZ6225" t="s">
        <v>120</v>
      </c>
      <c r="BA6225" t="s">
        <v>121</v>
      </c>
      <c r="BB6225" s="3">
        <v>42879</v>
      </c>
      <c r="BD6225" t="s">
        <v>240</v>
      </c>
      <c r="BE6225" s="3">
        <v>42024</v>
      </c>
      <c r="BF6225" s="1">
        <v>346000</v>
      </c>
      <c r="BG6225" t="s">
        <v>37752</v>
      </c>
      <c r="BH6225" s="1">
        <v>124.55</v>
      </c>
      <c r="BI6225" s="1">
        <v>346000</v>
      </c>
      <c r="BJ6225" s="3">
        <v>42024</v>
      </c>
      <c r="BK6225" t="s">
        <v>123</v>
      </c>
      <c r="BL6225" t="str">
        <f>"2015.37427"</f>
        <v>2015.37427</v>
      </c>
      <c r="BM6225" t="s">
        <v>2683</v>
      </c>
      <c r="BN6225" t="s">
        <v>5052</v>
      </c>
      <c r="BO6225" t="s">
        <v>37753</v>
      </c>
      <c r="BS6225">
        <v>30</v>
      </c>
      <c r="BW6225" t="str">
        <f>""</f>
        <v/>
      </c>
      <c r="CH6225" t="str">
        <f>""</f>
        <v/>
      </c>
      <c r="CS6225" t="str">
        <f>""</f>
        <v/>
      </c>
    </row>
    <row r="6226" spans="1:97" x14ac:dyDescent="0.25">
      <c r="B6226" t="s">
        <v>37754</v>
      </c>
      <c r="C6226" t="s">
        <v>9954</v>
      </c>
      <c r="E6226" t="s">
        <v>37755</v>
      </c>
      <c r="F6226" t="s">
        <v>108</v>
      </c>
      <c r="H6226" t="s">
        <v>37756</v>
      </c>
      <c r="I6226" t="s">
        <v>5551</v>
      </c>
      <c r="J6226" t="s">
        <v>111</v>
      </c>
      <c r="K6226" t="str">
        <f>"85248"</f>
        <v>85248</v>
      </c>
      <c r="L6226" t="s">
        <v>5456</v>
      </c>
      <c r="M6226" t="s">
        <v>37756</v>
      </c>
      <c r="N6226" t="s">
        <v>5551</v>
      </c>
      <c r="O6226" t="s">
        <v>111</v>
      </c>
      <c r="P6226" t="str">
        <f>"85248"</f>
        <v>85248</v>
      </c>
      <c r="Q6226" t="s">
        <v>113</v>
      </c>
      <c r="R6226" t="str">
        <f>"303-50-457"</f>
        <v>303-50-457</v>
      </c>
      <c r="S6226" t="s">
        <v>22233</v>
      </c>
      <c r="U6226">
        <v>2151</v>
      </c>
      <c r="V6226">
        <v>0</v>
      </c>
      <c r="W6226">
        <v>4</v>
      </c>
      <c r="X6226">
        <v>1997</v>
      </c>
      <c r="Z6226">
        <v>1</v>
      </c>
      <c r="AB6226">
        <v>0</v>
      </c>
      <c r="AC6226" t="s">
        <v>115</v>
      </c>
      <c r="AD6226">
        <v>2</v>
      </c>
      <c r="AE6226" t="s">
        <v>115</v>
      </c>
      <c r="AF6226">
        <v>0</v>
      </c>
      <c r="AG6226">
        <v>0</v>
      </c>
      <c r="AH6226" t="s">
        <v>116</v>
      </c>
      <c r="AI6226" s="1">
        <v>87996</v>
      </c>
      <c r="AJ6226" s="2">
        <v>0.23</v>
      </c>
      <c r="AK6226" s="1">
        <v>384231</v>
      </c>
      <c r="AL6226" t="s">
        <v>117</v>
      </c>
      <c r="AM6226" t="s">
        <v>191</v>
      </c>
      <c r="AN6226">
        <v>7932</v>
      </c>
      <c r="AO6226">
        <v>0.18</v>
      </c>
      <c r="AP6226">
        <v>1</v>
      </c>
      <c r="AR6226">
        <v>1</v>
      </c>
      <c r="AS6226" s="1">
        <v>26670</v>
      </c>
      <c r="AT6226" s="1">
        <v>5330</v>
      </c>
      <c r="AU6226" s="1">
        <v>21340</v>
      </c>
      <c r="AV6226">
        <v>80.010000000000005</v>
      </c>
      <c r="AX6226" s="1">
        <v>3087.02</v>
      </c>
      <c r="AY6226" t="s">
        <v>1881</v>
      </c>
      <c r="AZ6226" t="s">
        <v>1882</v>
      </c>
      <c r="BA6226" t="s">
        <v>121</v>
      </c>
      <c r="BB6226" s="3">
        <v>43620</v>
      </c>
      <c r="BC6226" s="1">
        <v>0</v>
      </c>
      <c r="BD6226" t="s">
        <v>247</v>
      </c>
      <c r="BE6226" s="3">
        <v>42052</v>
      </c>
      <c r="BF6226" s="1">
        <v>290000</v>
      </c>
      <c r="BG6226" t="s">
        <v>37757</v>
      </c>
      <c r="BH6226" s="1">
        <v>134.82</v>
      </c>
      <c r="BI6226" s="1">
        <v>296235</v>
      </c>
      <c r="BJ6226" s="3">
        <v>42052</v>
      </c>
      <c r="BK6226" t="s">
        <v>123</v>
      </c>
      <c r="BL6226" t="str">
        <f>"2015.101226"</f>
        <v>2015.101226</v>
      </c>
      <c r="BM6226" t="s">
        <v>1033</v>
      </c>
      <c r="BN6226" t="s">
        <v>1052</v>
      </c>
      <c r="BO6226" t="s">
        <v>37758</v>
      </c>
      <c r="BS6226">
        <v>30</v>
      </c>
      <c r="BW6226" t="str">
        <f>""</f>
        <v/>
      </c>
      <c r="CH6226" t="str">
        <f>""</f>
        <v/>
      </c>
      <c r="CS6226" t="str">
        <f>""</f>
        <v/>
      </c>
    </row>
    <row r="6227" spans="1:97" x14ac:dyDescent="0.25">
      <c r="A6227" t="s">
        <v>26491</v>
      </c>
      <c r="B6227" t="s">
        <v>6495</v>
      </c>
      <c r="C6227" t="s">
        <v>327</v>
      </c>
      <c r="D6227" t="s">
        <v>6495</v>
      </c>
      <c r="E6227" t="s">
        <v>37759</v>
      </c>
      <c r="F6227" t="s">
        <v>108</v>
      </c>
      <c r="H6227" t="s">
        <v>37760</v>
      </c>
      <c r="I6227" t="s">
        <v>390</v>
      </c>
      <c r="J6227" t="s">
        <v>111</v>
      </c>
      <c r="K6227" t="str">
        <f>"85083"</f>
        <v>85083</v>
      </c>
      <c r="L6227" t="s">
        <v>4467</v>
      </c>
      <c r="M6227" t="s">
        <v>37760</v>
      </c>
      <c r="N6227" t="s">
        <v>390</v>
      </c>
      <c r="O6227" t="s">
        <v>111</v>
      </c>
      <c r="P6227" t="str">
        <f>"85083-7407"</f>
        <v>85083-7407</v>
      </c>
      <c r="Q6227" t="s">
        <v>113</v>
      </c>
      <c r="R6227" t="str">
        <f>"204-19-224"</f>
        <v>204-19-224</v>
      </c>
      <c r="S6227" t="s">
        <v>15586</v>
      </c>
      <c r="T6227" t="s">
        <v>15587</v>
      </c>
      <c r="U6227">
        <v>2602</v>
      </c>
      <c r="V6227">
        <v>0</v>
      </c>
      <c r="W6227">
        <v>4</v>
      </c>
      <c r="X6227">
        <v>2005</v>
      </c>
      <c r="Z6227">
        <v>1</v>
      </c>
      <c r="AA6227" t="s">
        <v>26</v>
      </c>
      <c r="AB6227">
        <v>0</v>
      </c>
      <c r="AC6227" t="s">
        <v>115</v>
      </c>
      <c r="AD6227">
        <v>3</v>
      </c>
      <c r="AE6227" t="s">
        <v>115</v>
      </c>
      <c r="AF6227">
        <v>0</v>
      </c>
      <c r="AG6227">
        <v>0</v>
      </c>
      <c r="AH6227" t="s">
        <v>116</v>
      </c>
      <c r="AI6227" s="1">
        <v>60754</v>
      </c>
      <c r="AJ6227" s="2">
        <v>0.14000000000000001</v>
      </c>
      <c r="AK6227" s="1">
        <v>431987</v>
      </c>
      <c r="AL6227" t="s">
        <v>117</v>
      </c>
      <c r="AM6227" t="s">
        <v>171</v>
      </c>
      <c r="AN6227">
        <v>9024</v>
      </c>
      <c r="AO6227">
        <v>0.21</v>
      </c>
      <c r="AR6227">
        <v>1</v>
      </c>
      <c r="AS6227" s="1">
        <v>32250</v>
      </c>
      <c r="AT6227" s="1">
        <v>6450</v>
      </c>
      <c r="AU6227" s="1">
        <v>25800</v>
      </c>
      <c r="AV6227">
        <v>80</v>
      </c>
      <c r="AX6227" s="1">
        <v>3057.48</v>
      </c>
      <c r="AY6227" t="s">
        <v>1385</v>
      </c>
      <c r="AZ6227" t="s">
        <v>1385</v>
      </c>
      <c r="BA6227" t="s">
        <v>1386</v>
      </c>
      <c r="BE6227" s="3">
        <v>42457</v>
      </c>
      <c r="BF6227" s="1">
        <v>362000</v>
      </c>
      <c r="BG6227" t="s">
        <v>37761</v>
      </c>
      <c r="BH6227" s="1">
        <v>139.12</v>
      </c>
      <c r="BI6227" s="1">
        <v>342000</v>
      </c>
      <c r="BJ6227" s="3">
        <v>42457</v>
      </c>
      <c r="BK6227" t="s">
        <v>123</v>
      </c>
      <c r="BL6227" t="str">
        <f>"2016.199138"</f>
        <v>2016.199138</v>
      </c>
      <c r="BM6227" t="s">
        <v>724</v>
      </c>
      <c r="BN6227" t="s">
        <v>5737</v>
      </c>
      <c r="BO6227" t="s">
        <v>37762</v>
      </c>
      <c r="BS6227">
        <v>30</v>
      </c>
      <c r="BT6227" s="1">
        <v>29233</v>
      </c>
      <c r="BU6227" s="3">
        <v>43412</v>
      </c>
      <c r="BW6227" t="str">
        <f>"2018.833463"</f>
        <v>2018.833463</v>
      </c>
      <c r="BX6227" t="s">
        <v>135</v>
      </c>
      <c r="BY6227" t="s">
        <v>136</v>
      </c>
      <c r="BZ6227" t="s">
        <v>37763</v>
      </c>
      <c r="CA6227" t="s">
        <v>37764</v>
      </c>
      <c r="CC6227" t="s">
        <v>346</v>
      </c>
      <c r="CH6227" t="str">
        <f>""</f>
        <v/>
      </c>
      <c r="CS6227" t="str">
        <f>""</f>
        <v/>
      </c>
    </row>
    <row r="6228" spans="1:97" x14ac:dyDescent="0.25">
      <c r="A6228" t="s">
        <v>177</v>
      </c>
      <c r="B6228" t="s">
        <v>37765</v>
      </c>
      <c r="C6228" t="s">
        <v>1649</v>
      </c>
      <c r="D6228" t="s">
        <v>37765</v>
      </c>
      <c r="E6228" t="s">
        <v>37766</v>
      </c>
      <c r="F6228" t="s">
        <v>282</v>
      </c>
      <c r="H6228" t="s">
        <v>37767</v>
      </c>
      <c r="I6228" t="s">
        <v>225</v>
      </c>
      <c r="J6228" t="s">
        <v>111</v>
      </c>
      <c r="K6228" t="str">
        <f>"85205"</f>
        <v>85205</v>
      </c>
      <c r="L6228" t="s">
        <v>6169</v>
      </c>
      <c r="M6228" t="s">
        <v>37768</v>
      </c>
      <c r="N6228" t="s">
        <v>225</v>
      </c>
      <c r="O6228" t="s">
        <v>111</v>
      </c>
      <c r="P6228" t="str">
        <f>"85205-4073"</f>
        <v>85205-4073</v>
      </c>
      <c r="Q6228" t="s">
        <v>113</v>
      </c>
      <c r="R6228" t="str">
        <f>"141-45-300"</f>
        <v>141-45-300</v>
      </c>
      <c r="S6228" t="s">
        <v>24807</v>
      </c>
      <c r="T6228" t="s">
        <v>24808</v>
      </c>
      <c r="U6228">
        <v>1747</v>
      </c>
      <c r="V6228">
        <v>0</v>
      </c>
      <c r="W6228">
        <v>3</v>
      </c>
      <c r="X6228">
        <v>1992</v>
      </c>
      <c r="Z6228">
        <v>1</v>
      </c>
      <c r="AB6228">
        <v>0</v>
      </c>
      <c r="AC6228" t="s">
        <v>115</v>
      </c>
      <c r="AD6228">
        <v>2</v>
      </c>
      <c r="AE6228" t="s">
        <v>115</v>
      </c>
      <c r="AF6228">
        <v>0</v>
      </c>
      <c r="AG6228">
        <v>0</v>
      </c>
      <c r="AH6228" t="s">
        <v>116</v>
      </c>
      <c r="AI6228" s="1">
        <v>114478</v>
      </c>
      <c r="AJ6228" s="2">
        <v>0.35</v>
      </c>
      <c r="AK6228" s="1">
        <v>323885</v>
      </c>
      <c r="AL6228" t="s">
        <v>117</v>
      </c>
      <c r="AM6228" t="s">
        <v>393</v>
      </c>
      <c r="AN6228">
        <v>9810</v>
      </c>
      <c r="AO6228">
        <v>0.22</v>
      </c>
      <c r="AP6228">
        <v>1</v>
      </c>
      <c r="AR6228">
        <v>1</v>
      </c>
      <c r="AS6228" s="1">
        <v>23010</v>
      </c>
      <c r="AT6228" s="1">
        <v>4600</v>
      </c>
      <c r="AU6228" s="1">
        <v>18410</v>
      </c>
      <c r="AV6228">
        <v>80.010000000000005</v>
      </c>
      <c r="AX6228" s="1">
        <v>1823.54</v>
      </c>
      <c r="AY6228" t="s">
        <v>5274</v>
      </c>
      <c r="AZ6228" t="s">
        <v>5275</v>
      </c>
      <c r="BA6228" t="s">
        <v>3119</v>
      </c>
      <c r="BB6228" s="3">
        <v>42887</v>
      </c>
      <c r="BD6228" t="s">
        <v>157</v>
      </c>
      <c r="BE6228" s="3">
        <v>42282</v>
      </c>
      <c r="BF6228" s="1">
        <v>205000</v>
      </c>
      <c r="BG6228" t="s">
        <v>37769</v>
      </c>
      <c r="BH6228" s="1">
        <v>117.34</v>
      </c>
      <c r="BI6228" s="1">
        <v>209407</v>
      </c>
      <c r="BJ6228" s="3">
        <v>42282</v>
      </c>
      <c r="BK6228" t="s">
        <v>123</v>
      </c>
      <c r="BL6228" t="str">
        <f>"2015.716395"</f>
        <v>2015.716395</v>
      </c>
      <c r="BM6228" t="s">
        <v>2683</v>
      </c>
      <c r="BN6228" t="s">
        <v>5052</v>
      </c>
      <c r="BO6228" t="s">
        <v>37770</v>
      </c>
      <c r="BS6228">
        <v>30</v>
      </c>
      <c r="BW6228" t="str">
        <f>""</f>
        <v/>
      </c>
      <c r="CH6228" t="str">
        <f>""</f>
        <v/>
      </c>
      <c r="CS6228" t="str">
        <f>""</f>
        <v/>
      </c>
    </row>
    <row r="6229" spans="1:97" x14ac:dyDescent="0.25">
      <c r="A6229" t="s">
        <v>464</v>
      </c>
      <c r="B6229" t="s">
        <v>10458</v>
      </c>
      <c r="C6229" t="s">
        <v>484</v>
      </c>
      <c r="D6229" t="s">
        <v>10458</v>
      </c>
      <c r="E6229" t="s">
        <v>37771</v>
      </c>
      <c r="F6229" t="s">
        <v>108</v>
      </c>
      <c r="H6229" t="s">
        <v>37772</v>
      </c>
      <c r="I6229" t="s">
        <v>203</v>
      </c>
      <c r="J6229" t="s">
        <v>111</v>
      </c>
      <c r="K6229" t="str">
        <f>"85233"</f>
        <v>85233</v>
      </c>
      <c r="L6229" t="s">
        <v>3161</v>
      </c>
      <c r="M6229" t="s">
        <v>37772</v>
      </c>
      <c r="N6229" t="s">
        <v>203</v>
      </c>
      <c r="O6229" t="s">
        <v>111</v>
      </c>
      <c r="P6229" t="str">
        <f>"85233-8410"</f>
        <v>85233-8410</v>
      </c>
      <c r="Q6229" t="s">
        <v>113</v>
      </c>
      <c r="R6229" t="str">
        <f>"302-82-354"</f>
        <v>302-82-354</v>
      </c>
      <c r="S6229" t="s">
        <v>37773</v>
      </c>
      <c r="T6229" t="s">
        <v>7045</v>
      </c>
      <c r="U6229">
        <v>1383</v>
      </c>
      <c r="V6229">
        <v>0</v>
      </c>
      <c r="W6229">
        <v>3</v>
      </c>
      <c r="X6229">
        <v>1999</v>
      </c>
      <c r="Z6229">
        <v>1</v>
      </c>
      <c r="AB6229">
        <v>0</v>
      </c>
      <c r="AC6229" t="s">
        <v>115</v>
      </c>
      <c r="AD6229">
        <v>2</v>
      </c>
      <c r="AE6229" t="s">
        <v>115</v>
      </c>
      <c r="AF6229">
        <v>0</v>
      </c>
      <c r="AG6229">
        <v>0</v>
      </c>
      <c r="AH6229" t="s">
        <v>116</v>
      </c>
      <c r="AI6229" s="1">
        <v>63599</v>
      </c>
      <c r="AJ6229" s="2">
        <v>0.23</v>
      </c>
      <c r="AK6229" s="1">
        <v>281662</v>
      </c>
      <c r="AL6229" t="s">
        <v>117</v>
      </c>
      <c r="AM6229" t="s">
        <v>191</v>
      </c>
      <c r="AN6229">
        <v>5863</v>
      </c>
      <c r="AO6229">
        <v>0.14000000000000001</v>
      </c>
      <c r="AP6229">
        <v>1</v>
      </c>
      <c r="AR6229">
        <v>1</v>
      </c>
      <c r="AS6229" s="1">
        <v>19450</v>
      </c>
      <c r="AT6229" s="1">
        <v>3890</v>
      </c>
      <c r="AU6229" s="1">
        <v>15560</v>
      </c>
      <c r="AV6229">
        <v>80</v>
      </c>
      <c r="AX6229" s="1">
        <v>1397.1</v>
      </c>
      <c r="AY6229" t="s">
        <v>7046</v>
      </c>
      <c r="AZ6229" t="s">
        <v>207</v>
      </c>
      <c r="BA6229" t="s">
        <v>5479</v>
      </c>
      <c r="BE6229" s="3">
        <v>42328</v>
      </c>
      <c r="BF6229" s="1">
        <v>212000</v>
      </c>
      <c r="BG6229" t="s">
        <v>37774</v>
      </c>
      <c r="BH6229" s="1">
        <v>153.29</v>
      </c>
      <c r="BI6229" s="1">
        <v>218063</v>
      </c>
      <c r="BJ6229" s="3">
        <v>42612</v>
      </c>
      <c r="BK6229" t="s">
        <v>123</v>
      </c>
      <c r="BL6229" t="str">
        <f>"2016.622739"</f>
        <v>2016.622739</v>
      </c>
      <c r="BM6229" t="s">
        <v>322</v>
      </c>
      <c r="BO6229" t="s">
        <v>37775</v>
      </c>
      <c r="BS6229">
        <v>30</v>
      </c>
      <c r="BW6229" t="str">
        <f>""</f>
        <v/>
      </c>
      <c r="CH6229" t="str">
        <f>""</f>
        <v/>
      </c>
      <c r="CS6229" t="str">
        <f>""</f>
        <v/>
      </c>
    </row>
    <row r="6230" spans="1:97" x14ac:dyDescent="0.25">
      <c r="A6230" t="s">
        <v>2148</v>
      </c>
      <c r="B6230" t="s">
        <v>36156</v>
      </c>
      <c r="E6230" t="s">
        <v>37776</v>
      </c>
      <c r="F6230" t="s">
        <v>108</v>
      </c>
      <c r="H6230" t="s">
        <v>37777</v>
      </c>
      <c r="I6230" t="s">
        <v>110</v>
      </c>
      <c r="J6230" t="s">
        <v>111</v>
      </c>
      <c r="K6230" t="str">
        <f>"85224"</f>
        <v>85224</v>
      </c>
      <c r="L6230" t="s">
        <v>9597</v>
      </c>
      <c r="M6230" t="s">
        <v>37777</v>
      </c>
      <c r="N6230" t="s">
        <v>110</v>
      </c>
      <c r="O6230" t="s">
        <v>111</v>
      </c>
      <c r="P6230" t="str">
        <f>"85224-2516"</f>
        <v>85224-2516</v>
      </c>
      <c r="Q6230" t="s">
        <v>113</v>
      </c>
      <c r="R6230" t="str">
        <f>"302-80-040"</f>
        <v>302-80-040</v>
      </c>
      <c r="S6230" t="s">
        <v>22387</v>
      </c>
      <c r="T6230" t="s">
        <v>20003</v>
      </c>
      <c r="U6230">
        <v>2167</v>
      </c>
      <c r="V6230">
        <v>0</v>
      </c>
      <c r="W6230">
        <v>3</v>
      </c>
      <c r="X6230">
        <v>1983</v>
      </c>
      <c r="Z6230">
        <v>1</v>
      </c>
      <c r="AB6230">
        <v>0</v>
      </c>
      <c r="AC6230" t="s">
        <v>115</v>
      </c>
      <c r="AD6230">
        <v>2</v>
      </c>
      <c r="AE6230" t="s">
        <v>115</v>
      </c>
      <c r="AF6230">
        <v>0</v>
      </c>
      <c r="AG6230">
        <v>0</v>
      </c>
      <c r="AH6230" t="s">
        <v>116</v>
      </c>
      <c r="AI6230" s="1">
        <v>88662</v>
      </c>
      <c r="AJ6230" s="2">
        <v>0.27</v>
      </c>
      <c r="AK6230" s="1">
        <v>332480</v>
      </c>
      <c r="AL6230" t="s">
        <v>117</v>
      </c>
      <c r="AM6230" t="s">
        <v>5077</v>
      </c>
      <c r="AN6230">
        <v>7449</v>
      </c>
      <c r="AO6230">
        <v>0.17</v>
      </c>
      <c r="AP6230">
        <v>1</v>
      </c>
      <c r="AR6230">
        <v>1</v>
      </c>
      <c r="AS6230" s="1">
        <v>22720</v>
      </c>
      <c r="AT6230" s="1">
        <v>4540</v>
      </c>
      <c r="AU6230" s="1">
        <v>18180</v>
      </c>
      <c r="AV6230">
        <v>80.02</v>
      </c>
      <c r="AX6230" s="1">
        <v>1541.92</v>
      </c>
      <c r="AY6230" t="s">
        <v>7749</v>
      </c>
      <c r="AZ6230" t="s">
        <v>5078</v>
      </c>
      <c r="BA6230" t="s">
        <v>2957</v>
      </c>
      <c r="BE6230" s="3">
        <v>42083</v>
      </c>
      <c r="BF6230" s="1">
        <v>242000</v>
      </c>
      <c r="BG6230" t="s">
        <v>37778</v>
      </c>
      <c r="BH6230" s="1">
        <v>111.68</v>
      </c>
      <c r="BI6230" s="1">
        <v>243818</v>
      </c>
      <c r="BJ6230" s="3">
        <v>42460</v>
      </c>
      <c r="BK6230" t="s">
        <v>123</v>
      </c>
      <c r="BL6230" t="str">
        <f>"2016.208135"</f>
        <v>2016.208135</v>
      </c>
      <c r="BM6230" t="s">
        <v>402</v>
      </c>
      <c r="BO6230" t="s">
        <v>37779</v>
      </c>
      <c r="BS6230">
        <v>30</v>
      </c>
      <c r="BW6230" t="str">
        <f>""</f>
        <v/>
      </c>
      <c r="CH6230" t="str">
        <f>""</f>
        <v/>
      </c>
      <c r="CS6230" t="str">
        <f>""</f>
        <v/>
      </c>
    </row>
    <row r="6231" spans="1:97" x14ac:dyDescent="0.25">
      <c r="A6231" t="s">
        <v>620</v>
      </c>
      <c r="B6231" t="s">
        <v>7313</v>
      </c>
      <c r="E6231" t="s">
        <v>37780</v>
      </c>
      <c r="F6231" t="s">
        <v>108</v>
      </c>
      <c r="H6231" t="s">
        <v>37781</v>
      </c>
      <c r="I6231" t="s">
        <v>110</v>
      </c>
      <c r="J6231" t="s">
        <v>111</v>
      </c>
      <c r="K6231" t="str">
        <f>"85249"</f>
        <v>85249</v>
      </c>
      <c r="L6231" t="s">
        <v>3696</v>
      </c>
      <c r="M6231" t="s">
        <v>37781</v>
      </c>
      <c r="N6231" t="s">
        <v>110</v>
      </c>
      <c r="O6231" t="s">
        <v>111</v>
      </c>
      <c r="P6231" t="str">
        <f>"85249-3903"</f>
        <v>85249-3903</v>
      </c>
      <c r="Q6231" t="s">
        <v>113</v>
      </c>
      <c r="R6231" t="str">
        <f>"304-83-097"</f>
        <v>304-83-097</v>
      </c>
      <c r="S6231" t="s">
        <v>20394</v>
      </c>
      <c r="T6231" t="s">
        <v>18164</v>
      </c>
      <c r="U6231">
        <v>1525</v>
      </c>
      <c r="V6231">
        <v>0</v>
      </c>
      <c r="W6231">
        <v>3</v>
      </c>
      <c r="X6231">
        <v>2003</v>
      </c>
      <c r="Z6231">
        <v>1</v>
      </c>
      <c r="AB6231">
        <v>0</v>
      </c>
      <c r="AC6231" t="s">
        <v>115</v>
      </c>
      <c r="AD6231">
        <v>2</v>
      </c>
      <c r="AE6231" t="s">
        <v>115</v>
      </c>
      <c r="AF6231">
        <v>0</v>
      </c>
      <c r="AG6231">
        <v>0</v>
      </c>
      <c r="AH6231" t="s">
        <v>116</v>
      </c>
      <c r="AI6231" s="1">
        <v>68369</v>
      </c>
      <c r="AJ6231" s="2">
        <v>0.23</v>
      </c>
      <c r="AK6231" s="1">
        <v>297369</v>
      </c>
      <c r="AL6231" t="s">
        <v>117</v>
      </c>
      <c r="AM6231" t="s">
        <v>118</v>
      </c>
      <c r="AN6231">
        <v>8207</v>
      </c>
      <c r="AO6231">
        <v>0.19</v>
      </c>
      <c r="AP6231">
        <v>1</v>
      </c>
      <c r="AR6231">
        <v>1</v>
      </c>
      <c r="AS6231" s="1">
        <v>20680</v>
      </c>
      <c r="AT6231" s="1">
        <v>4130</v>
      </c>
      <c r="AU6231" s="1">
        <v>16550</v>
      </c>
      <c r="AV6231">
        <v>80.03</v>
      </c>
      <c r="AX6231" s="1">
        <v>1677.92</v>
      </c>
      <c r="AY6231" t="s">
        <v>6269</v>
      </c>
      <c r="AZ6231" t="s">
        <v>273</v>
      </c>
      <c r="BA6231" t="s">
        <v>274</v>
      </c>
      <c r="BE6231" s="3">
        <v>42543</v>
      </c>
      <c r="BF6231" s="1">
        <v>229000</v>
      </c>
      <c r="BG6231" t="s">
        <v>37782</v>
      </c>
      <c r="BH6231" s="1">
        <v>150.16</v>
      </c>
      <c r="BI6231" s="1">
        <v>229000</v>
      </c>
      <c r="BJ6231" s="3">
        <v>42543</v>
      </c>
      <c r="BK6231" t="s">
        <v>123</v>
      </c>
      <c r="BL6231" t="str">
        <f>"2016.435823"</f>
        <v>2016.435823</v>
      </c>
      <c r="BM6231" t="s">
        <v>175</v>
      </c>
      <c r="BO6231" t="s">
        <v>37783</v>
      </c>
      <c r="BS6231">
        <v>30</v>
      </c>
      <c r="BW6231" t="str">
        <f>""</f>
        <v/>
      </c>
      <c r="CH6231" t="str">
        <f>""</f>
        <v/>
      </c>
      <c r="CS6231" t="str">
        <f>""</f>
        <v/>
      </c>
    </row>
    <row r="6232" spans="1:97" x14ac:dyDescent="0.25">
      <c r="A6232" t="s">
        <v>996</v>
      </c>
      <c r="B6232" t="s">
        <v>20330</v>
      </c>
      <c r="C6232" t="s">
        <v>37784</v>
      </c>
      <c r="D6232" t="s">
        <v>20330</v>
      </c>
      <c r="E6232" t="s">
        <v>37785</v>
      </c>
      <c r="F6232" t="s">
        <v>108</v>
      </c>
      <c r="H6232" t="s">
        <v>37786</v>
      </c>
      <c r="I6232" t="s">
        <v>632</v>
      </c>
      <c r="J6232" t="s">
        <v>111</v>
      </c>
      <c r="K6232" t="str">
        <f>"85388"</f>
        <v>85388</v>
      </c>
      <c r="L6232" t="s">
        <v>4467</v>
      </c>
      <c r="M6232" t="s">
        <v>37786</v>
      </c>
      <c r="N6232" t="s">
        <v>632</v>
      </c>
      <c r="O6232" t="s">
        <v>111</v>
      </c>
      <c r="P6232" t="str">
        <f>"85388-7657"</f>
        <v>85388-7657</v>
      </c>
      <c r="Q6232" t="s">
        <v>113</v>
      </c>
      <c r="R6232" t="str">
        <f>"502-03-862"</f>
        <v>502-03-862</v>
      </c>
      <c r="S6232" t="s">
        <v>10256</v>
      </c>
      <c r="T6232" t="s">
        <v>7876</v>
      </c>
      <c r="U6232">
        <v>3075</v>
      </c>
      <c r="V6232">
        <v>0</v>
      </c>
      <c r="W6232">
        <v>4</v>
      </c>
      <c r="X6232">
        <v>2006</v>
      </c>
      <c r="Z6232">
        <v>1</v>
      </c>
      <c r="AA6232" t="s">
        <v>26</v>
      </c>
      <c r="AB6232">
        <v>0</v>
      </c>
      <c r="AC6232" t="s">
        <v>115</v>
      </c>
      <c r="AD6232">
        <v>3</v>
      </c>
      <c r="AE6232" t="s">
        <v>115</v>
      </c>
      <c r="AF6232">
        <v>0</v>
      </c>
      <c r="AG6232">
        <v>0</v>
      </c>
      <c r="AH6232" t="s">
        <v>116</v>
      </c>
      <c r="AI6232" s="1">
        <v>50837</v>
      </c>
      <c r="AJ6232" s="2">
        <v>0.13</v>
      </c>
      <c r="AK6232" s="1">
        <v>400737</v>
      </c>
      <c r="AL6232" t="s">
        <v>117</v>
      </c>
      <c r="AM6232" t="s">
        <v>118</v>
      </c>
      <c r="AN6232">
        <v>12415</v>
      </c>
      <c r="AO6232">
        <v>0.28000000000000003</v>
      </c>
      <c r="AR6232">
        <v>1</v>
      </c>
      <c r="AS6232" s="1">
        <v>29460</v>
      </c>
      <c r="AT6232" s="1">
        <v>5890</v>
      </c>
      <c r="AU6232" s="1">
        <v>23570</v>
      </c>
      <c r="AV6232">
        <v>80.010000000000005</v>
      </c>
      <c r="AX6232" s="1">
        <v>2630.36</v>
      </c>
      <c r="AY6232" t="s">
        <v>6262</v>
      </c>
      <c r="AZ6232" t="s">
        <v>6262</v>
      </c>
      <c r="BA6232" t="s">
        <v>5061</v>
      </c>
      <c r="BE6232" s="3">
        <v>42460</v>
      </c>
      <c r="BF6232" s="1">
        <v>349900</v>
      </c>
      <c r="BG6232" t="s">
        <v>37787</v>
      </c>
      <c r="BH6232" s="1">
        <v>113.79</v>
      </c>
      <c r="BI6232" s="1">
        <v>349900</v>
      </c>
      <c r="BJ6232" s="3">
        <v>42460</v>
      </c>
      <c r="BK6232" t="s">
        <v>123</v>
      </c>
      <c r="BL6232" t="str">
        <f>"2016.211759"</f>
        <v>2016.211759</v>
      </c>
      <c r="BM6232" t="s">
        <v>475</v>
      </c>
      <c r="BO6232" t="s">
        <v>37788</v>
      </c>
      <c r="BS6232">
        <v>30</v>
      </c>
      <c r="BW6232" t="str">
        <f>""</f>
        <v/>
      </c>
      <c r="CH6232" t="str">
        <f>""</f>
        <v/>
      </c>
      <c r="CS6232" t="str">
        <f>""</f>
        <v/>
      </c>
    </row>
    <row r="6233" spans="1:97" x14ac:dyDescent="0.25">
      <c r="A6233" t="s">
        <v>2002</v>
      </c>
      <c r="B6233" t="s">
        <v>212</v>
      </c>
      <c r="C6233" t="s">
        <v>152</v>
      </c>
      <c r="D6233" t="s">
        <v>212</v>
      </c>
      <c r="E6233" t="s">
        <v>37789</v>
      </c>
      <c r="F6233" t="s">
        <v>108</v>
      </c>
      <c r="H6233" t="s">
        <v>37790</v>
      </c>
      <c r="I6233" t="s">
        <v>1788</v>
      </c>
      <c r="J6233" t="s">
        <v>111</v>
      </c>
      <c r="K6233" t="str">
        <f>"85355"</f>
        <v>85355</v>
      </c>
      <c r="L6233" t="s">
        <v>3758</v>
      </c>
      <c r="M6233" t="s">
        <v>37790</v>
      </c>
      <c r="N6233" t="s">
        <v>1788</v>
      </c>
      <c r="O6233" t="s">
        <v>111</v>
      </c>
      <c r="P6233" t="str">
        <f>"85355-7545"</f>
        <v>85355-7545</v>
      </c>
      <c r="Q6233" t="s">
        <v>113</v>
      </c>
      <c r="R6233" t="str">
        <f>"502-83-064"</f>
        <v>502-83-064</v>
      </c>
      <c r="S6233" t="s">
        <v>10365</v>
      </c>
      <c r="T6233" t="s">
        <v>5971</v>
      </c>
      <c r="U6233">
        <v>3548</v>
      </c>
      <c r="V6233">
        <v>0</v>
      </c>
      <c r="W6233">
        <v>5</v>
      </c>
      <c r="X6233">
        <v>2008</v>
      </c>
      <c r="Z6233">
        <v>2</v>
      </c>
      <c r="AA6233" t="s">
        <v>26</v>
      </c>
      <c r="AB6233">
        <v>0</v>
      </c>
      <c r="AC6233" t="s">
        <v>115</v>
      </c>
      <c r="AD6233">
        <v>3</v>
      </c>
      <c r="AE6233" t="s">
        <v>115</v>
      </c>
      <c r="AF6233">
        <v>0</v>
      </c>
      <c r="AG6233">
        <v>0</v>
      </c>
      <c r="AH6233" t="s">
        <v>116</v>
      </c>
      <c r="AI6233" s="1">
        <v>59845</v>
      </c>
      <c r="AJ6233" s="2">
        <v>0.16</v>
      </c>
      <c r="AK6233" s="1">
        <v>364845</v>
      </c>
      <c r="AL6233" t="s">
        <v>117</v>
      </c>
      <c r="AM6233" t="s">
        <v>393</v>
      </c>
      <c r="AN6233">
        <v>8419</v>
      </c>
      <c r="AO6233">
        <v>0.19</v>
      </c>
      <c r="AR6233">
        <v>1</v>
      </c>
      <c r="AS6233" s="1">
        <v>27330</v>
      </c>
      <c r="AT6233" s="1">
        <v>5460</v>
      </c>
      <c r="AU6233" s="1">
        <v>21870</v>
      </c>
      <c r="AV6233">
        <v>80.02</v>
      </c>
      <c r="AX6233" s="1">
        <v>2075.58</v>
      </c>
      <c r="AY6233" t="s">
        <v>5972</v>
      </c>
      <c r="AZ6233" t="s">
        <v>5972</v>
      </c>
      <c r="BA6233" t="s">
        <v>5061</v>
      </c>
      <c r="BE6233" s="3">
        <v>42136</v>
      </c>
      <c r="BF6233" s="1">
        <v>292500</v>
      </c>
      <c r="BG6233" t="s">
        <v>37791</v>
      </c>
      <c r="BH6233" s="1">
        <v>82.44</v>
      </c>
      <c r="BI6233" s="1">
        <v>305000</v>
      </c>
      <c r="BJ6233" s="3">
        <v>42720</v>
      </c>
      <c r="BK6233" t="s">
        <v>123</v>
      </c>
      <c r="BL6233" t="str">
        <f>"2016.928086"</f>
        <v>2016.928086</v>
      </c>
      <c r="BM6233" t="s">
        <v>1135</v>
      </c>
      <c r="BO6233" t="s">
        <v>37792</v>
      </c>
      <c r="BS6233">
        <v>30</v>
      </c>
      <c r="BW6233" t="str">
        <f>""</f>
        <v/>
      </c>
      <c r="CH6233" t="str">
        <f>""</f>
        <v/>
      </c>
      <c r="CS6233" t="str">
        <f>""</f>
        <v/>
      </c>
    </row>
    <row r="6234" spans="1:97" x14ac:dyDescent="0.25">
      <c r="A6234" t="s">
        <v>35605</v>
      </c>
      <c r="B6234" t="s">
        <v>14477</v>
      </c>
      <c r="E6234" t="s">
        <v>37793</v>
      </c>
      <c r="F6234" t="s">
        <v>108</v>
      </c>
      <c r="H6234" t="s">
        <v>37794</v>
      </c>
      <c r="I6234" t="s">
        <v>390</v>
      </c>
      <c r="J6234" t="s">
        <v>111</v>
      </c>
      <c r="K6234" t="str">
        <f>"85051"</f>
        <v>85051</v>
      </c>
      <c r="L6234" t="s">
        <v>6325</v>
      </c>
      <c r="M6234" t="s">
        <v>37794</v>
      </c>
      <c r="N6234" t="s">
        <v>390</v>
      </c>
      <c r="O6234" t="s">
        <v>111</v>
      </c>
      <c r="P6234" t="str">
        <f>"85051-1337"</f>
        <v>85051-1337</v>
      </c>
      <c r="Q6234" t="s">
        <v>113</v>
      </c>
      <c r="R6234" t="str">
        <f>"149-36-137"</f>
        <v>149-36-137</v>
      </c>
      <c r="S6234" t="s">
        <v>37795</v>
      </c>
      <c r="T6234" t="s">
        <v>26715</v>
      </c>
      <c r="U6234">
        <v>1612</v>
      </c>
      <c r="V6234">
        <v>0</v>
      </c>
      <c r="W6234">
        <v>2</v>
      </c>
      <c r="X6234">
        <v>1971</v>
      </c>
      <c r="Z6234">
        <v>1</v>
      </c>
      <c r="AA6234" t="s">
        <v>26</v>
      </c>
      <c r="AB6234">
        <v>0</v>
      </c>
      <c r="AC6234" t="s">
        <v>115</v>
      </c>
      <c r="AD6234">
        <v>2</v>
      </c>
      <c r="AE6234" t="s">
        <v>115</v>
      </c>
      <c r="AF6234">
        <v>0</v>
      </c>
      <c r="AG6234">
        <v>0</v>
      </c>
      <c r="AH6234" t="s">
        <v>116</v>
      </c>
      <c r="AI6234" s="1">
        <v>16573</v>
      </c>
      <c r="AJ6234" s="2">
        <v>7.0000000000000007E-2</v>
      </c>
      <c r="AK6234" s="1">
        <v>235573</v>
      </c>
      <c r="AL6234" t="s">
        <v>117</v>
      </c>
      <c r="AM6234" t="s">
        <v>191</v>
      </c>
      <c r="AN6234">
        <v>9257</v>
      </c>
      <c r="AO6234">
        <v>0.21</v>
      </c>
      <c r="AP6234">
        <v>1</v>
      </c>
      <c r="AR6234">
        <v>1</v>
      </c>
      <c r="AS6234" s="1">
        <v>16570</v>
      </c>
      <c r="AT6234" s="1">
        <v>3310</v>
      </c>
      <c r="AU6234" s="1">
        <v>13260</v>
      </c>
      <c r="AV6234">
        <v>80.02</v>
      </c>
      <c r="AX6234" s="1">
        <v>1111.32</v>
      </c>
      <c r="AY6234" t="s">
        <v>21334</v>
      </c>
      <c r="AZ6234" t="s">
        <v>6986</v>
      </c>
      <c r="BA6234" t="s">
        <v>21687</v>
      </c>
      <c r="BB6234" s="3">
        <v>43553</v>
      </c>
      <c r="BC6234" s="1">
        <v>0</v>
      </c>
      <c r="BD6234" t="s">
        <v>291</v>
      </c>
      <c r="BE6234" s="3">
        <v>41948</v>
      </c>
      <c r="BF6234" s="1">
        <v>144900</v>
      </c>
      <c r="BG6234" t="s">
        <v>37796</v>
      </c>
      <c r="BH6234" s="1">
        <v>89.89</v>
      </c>
      <c r="BI6234" s="1">
        <v>219000</v>
      </c>
      <c r="BJ6234" s="3">
        <v>43553</v>
      </c>
      <c r="BK6234" t="s">
        <v>123</v>
      </c>
      <c r="BL6234" t="str">
        <f>"2019.218467"</f>
        <v>2019.218467</v>
      </c>
      <c r="BM6234" t="s">
        <v>2671</v>
      </c>
      <c r="BN6234" t="s">
        <v>2672</v>
      </c>
      <c r="BO6234" t="s">
        <v>37793</v>
      </c>
      <c r="BR6234" t="s">
        <v>139</v>
      </c>
      <c r="BW6234" t="str">
        <f>""</f>
        <v/>
      </c>
      <c r="CH6234" t="str">
        <f>""</f>
        <v/>
      </c>
      <c r="CS6234" t="str">
        <f>""</f>
        <v/>
      </c>
    </row>
    <row r="6235" spans="1:97" x14ac:dyDescent="0.25">
      <c r="A6235" t="s">
        <v>2201</v>
      </c>
      <c r="B6235" t="s">
        <v>37797</v>
      </c>
      <c r="C6235" t="s">
        <v>37798</v>
      </c>
      <c r="D6235" t="s">
        <v>37797</v>
      </c>
      <c r="E6235" t="s">
        <v>37799</v>
      </c>
      <c r="F6235" t="s">
        <v>108</v>
      </c>
      <c r="H6235" t="s">
        <v>37800</v>
      </c>
      <c r="I6235" t="s">
        <v>632</v>
      </c>
      <c r="J6235" t="s">
        <v>111</v>
      </c>
      <c r="K6235" t="str">
        <f>"85387"</f>
        <v>85387</v>
      </c>
      <c r="L6235" t="s">
        <v>6529</v>
      </c>
      <c r="M6235" t="s">
        <v>37800</v>
      </c>
      <c r="N6235" t="s">
        <v>632</v>
      </c>
      <c r="O6235" t="s">
        <v>111</v>
      </c>
      <c r="P6235" t="str">
        <f>"85387-1052"</f>
        <v>85387-1052</v>
      </c>
      <c r="Q6235" t="s">
        <v>113</v>
      </c>
      <c r="R6235" t="str">
        <f>"510-04-793"</f>
        <v>510-04-793</v>
      </c>
      <c r="S6235" t="s">
        <v>8907</v>
      </c>
      <c r="T6235" t="s">
        <v>5498</v>
      </c>
      <c r="U6235">
        <v>2032</v>
      </c>
      <c r="V6235">
        <v>0</v>
      </c>
      <c r="W6235">
        <v>3</v>
      </c>
      <c r="X6235">
        <v>2016</v>
      </c>
      <c r="Z6235">
        <v>1</v>
      </c>
      <c r="AB6235">
        <v>0</v>
      </c>
      <c r="AC6235" t="s">
        <v>115</v>
      </c>
      <c r="AD6235">
        <v>2</v>
      </c>
      <c r="AE6235" t="s">
        <v>115</v>
      </c>
      <c r="AF6235">
        <v>0</v>
      </c>
      <c r="AG6235">
        <v>0</v>
      </c>
      <c r="AH6235" t="s">
        <v>116</v>
      </c>
      <c r="AI6235" s="1">
        <v>60923</v>
      </c>
      <c r="AJ6235" s="2">
        <v>0.2</v>
      </c>
      <c r="AK6235" s="1">
        <v>300923</v>
      </c>
      <c r="AL6235" t="s">
        <v>117</v>
      </c>
      <c r="AM6235" t="s">
        <v>118</v>
      </c>
      <c r="AN6235">
        <v>8490</v>
      </c>
      <c r="AO6235">
        <v>0.2</v>
      </c>
      <c r="AR6235">
        <v>1</v>
      </c>
      <c r="AS6235" s="1">
        <v>21710</v>
      </c>
      <c r="AT6235" s="1">
        <v>4340</v>
      </c>
      <c r="AU6235" s="1">
        <v>17370</v>
      </c>
      <c r="AV6235">
        <v>80.010000000000005</v>
      </c>
      <c r="AX6235" s="1">
        <v>1232.04</v>
      </c>
      <c r="AY6235" t="s">
        <v>5499</v>
      </c>
      <c r="AZ6235" t="s">
        <v>5499</v>
      </c>
      <c r="BE6235" s="3">
        <v>42527</v>
      </c>
      <c r="BF6235" s="1">
        <v>240000</v>
      </c>
      <c r="BG6235" t="s">
        <v>6320</v>
      </c>
      <c r="BH6235" s="1">
        <v>118.11</v>
      </c>
      <c r="BI6235" s="1">
        <v>240000</v>
      </c>
      <c r="BJ6235" s="3">
        <v>42527</v>
      </c>
      <c r="BK6235" t="s">
        <v>123</v>
      </c>
      <c r="BL6235" t="str">
        <f>"2016.388745"</f>
        <v>2016.388745</v>
      </c>
      <c r="BM6235" t="s">
        <v>573</v>
      </c>
      <c r="BO6235" t="s">
        <v>37801</v>
      </c>
      <c r="BS6235">
        <v>30</v>
      </c>
      <c r="BW6235" t="str">
        <f>""</f>
        <v/>
      </c>
      <c r="CH6235" t="str">
        <f>""</f>
        <v/>
      </c>
      <c r="CS6235" t="str">
        <f>""</f>
        <v/>
      </c>
    </row>
    <row r="6236" spans="1:97" x14ac:dyDescent="0.25">
      <c r="A6236" t="s">
        <v>1979</v>
      </c>
      <c r="B6236" t="s">
        <v>19489</v>
      </c>
      <c r="E6236" t="s">
        <v>37802</v>
      </c>
      <c r="F6236" t="s">
        <v>108</v>
      </c>
      <c r="H6236" t="s">
        <v>37803</v>
      </c>
      <c r="I6236" t="s">
        <v>203</v>
      </c>
      <c r="J6236" t="s">
        <v>111</v>
      </c>
      <c r="K6236" t="str">
        <f>"85295"</f>
        <v>85295</v>
      </c>
      <c r="L6236" t="s">
        <v>6316</v>
      </c>
      <c r="M6236" t="s">
        <v>37803</v>
      </c>
      <c r="N6236" t="s">
        <v>203</v>
      </c>
      <c r="O6236" t="s">
        <v>111</v>
      </c>
      <c r="P6236" t="str">
        <f>"85295-5457"</f>
        <v>85295-5457</v>
      </c>
      <c r="Q6236" t="s">
        <v>113</v>
      </c>
      <c r="R6236" t="str">
        <f>"304-42-683"</f>
        <v>304-42-683</v>
      </c>
      <c r="S6236" t="s">
        <v>20160</v>
      </c>
      <c r="T6236" t="s">
        <v>20161</v>
      </c>
      <c r="U6236">
        <v>2544</v>
      </c>
      <c r="V6236">
        <v>0</v>
      </c>
      <c r="W6236">
        <v>3</v>
      </c>
      <c r="X6236">
        <v>1999</v>
      </c>
      <c r="Z6236">
        <v>1</v>
      </c>
      <c r="AB6236">
        <v>0</v>
      </c>
      <c r="AC6236" t="s">
        <v>115</v>
      </c>
      <c r="AD6236">
        <v>2</v>
      </c>
      <c r="AE6236" t="s">
        <v>115</v>
      </c>
      <c r="AF6236">
        <v>0</v>
      </c>
      <c r="AG6236">
        <v>0</v>
      </c>
      <c r="AH6236" t="s">
        <v>116</v>
      </c>
      <c r="AI6236" s="1">
        <v>137574</v>
      </c>
      <c r="AJ6236" s="2">
        <v>0.35</v>
      </c>
      <c r="AK6236" s="1">
        <v>390597</v>
      </c>
      <c r="AL6236" t="s">
        <v>117</v>
      </c>
      <c r="AM6236" t="s">
        <v>393</v>
      </c>
      <c r="AN6236">
        <v>8170</v>
      </c>
      <c r="AO6236">
        <v>0.19</v>
      </c>
      <c r="AP6236">
        <v>1</v>
      </c>
      <c r="AR6236">
        <v>1</v>
      </c>
      <c r="AS6236" s="1">
        <v>27800</v>
      </c>
      <c r="AT6236" s="1">
        <v>5560</v>
      </c>
      <c r="AU6236" s="1">
        <v>22240</v>
      </c>
      <c r="AV6236">
        <v>80</v>
      </c>
      <c r="AX6236" s="1">
        <v>2002.02</v>
      </c>
      <c r="AY6236" t="s">
        <v>9212</v>
      </c>
      <c r="AZ6236" t="s">
        <v>207</v>
      </c>
      <c r="BA6236" t="s">
        <v>208</v>
      </c>
      <c r="BE6236" s="3">
        <v>42016</v>
      </c>
      <c r="BF6236" s="1">
        <v>289900</v>
      </c>
      <c r="BG6236" t="s">
        <v>37804</v>
      </c>
      <c r="BH6236" s="1">
        <v>113.95</v>
      </c>
      <c r="BI6236" s="1">
        <v>253023</v>
      </c>
      <c r="BJ6236" s="3">
        <v>42016</v>
      </c>
      <c r="BK6236" t="s">
        <v>123</v>
      </c>
      <c r="BL6236" t="str">
        <f>"2015.18421"</f>
        <v>2015.18421</v>
      </c>
      <c r="BM6236" t="s">
        <v>1038</v>
      </c>
      <c r="BO6236" t="s">
        <v>37805</v>
      </c>
      <c r="BS6236">
        <v>30</v>
      </c>
      <c r="BW6236" t="str">
        <f>""</f>
        <v/>
      </c>
      <c r="CH6236" t="str">
        <f>""</f>
        <v/>
      </c>
      <c r="CS6236" t="str">
        <f>""</f>
        <v/>
      </c>
    </row>
    <row r="6237" spans="1:97" x14ac:dyDescent="0.25">
      <c r="A6237" t="s">
        <v>7105</v>
      </c>
      <c r="B6237" t="s">
        <v>37806</v>
      </c>
      <c r="C6237" t="s">
        <v>154</v>
      </c>
      <c r="D6237" t="s">
        <v>37806</v>
      </c>
      <c r="E6237" t="s">
        <v>37807</v>
      </c>
      <c r="F6237" t="s">
        <v>108</v>
      </c>
      <c r="H6237" t="s">
        <v>37808</v>
      </c>
      <c r="I6237" t="s">
        <v>453</v>
      </c>
      <c r="J6237" t="s">
        <v>111</v>
      </c>
      <c r="K6237" t="str">
        <f>"85382"</f>
        <v>85382</v>
      </c>
      <c r="L6237" t="s">
        <v>1789</v>
      </c>
      <c r="M6237" t="s">
        <v>37808</v>
      </c>
      <c r="N6237" t="s">
        <v>453</v>
      </c>
      <c r="O6237" t="s">
        <v>111</v>
      </c>
      <c r="P6237" t="str">
        <f>"85382"</f>
        <v>85382</v>
      </c>
      <c r="Q6237" t="s">
        <v>113</v>
      </c>
      <c r="R6237" t="str">
        <f>"200-09-065"</f>
        <v>200-09-065</v>
      </c>
      <c r="S6237" t="s">
        <v>19464</v>
      </c>
      <c r="T6237" t="s">
        <v>19465</v>
      </c>
      <c r="U6237">
        <v>3320</v>
      </c>
      <c r="V6237">
        <v>0</v>
      </c>
      <c r="W6237">
        <v>4</v>
      </c>
      <c r="X6237">
        <v>2002</v>
      </c>
      <c r="Z6237">
        <v>2</v>
      </c>
      <c r="AA6237" t="s">
        <v>26</v>
      </c>
      <c r="AB6237">
        <v>0</v>
      </c>
      <c r="AC6237" t="s">
        <v>115</v>
      </c>
      <c r="AD6237">
        <v>3</v>
      </c>
      <c r="AE6237" t="s">
        <v>115</v>
      </c>
      <c r="AF6237">
        <v>0</v>
      </c>
      <c r="AG6237">
        <v>0</v>
      </c>
      <c r="AH6237" t="s">
        <v>116</v>
      </c>
      <c r="AI6237" s="1">
        <v>72123</v>
      </c>
      <c r="AJ6237" s="2">
        <v>0.18</v>
      </c>
      <c r="AK6237" s="1">
        <v>395089</v>
      </c>
      <c r="AL6237" t="s">
        <v>117</v>
      </c>
      <c r="AM6237" t="s">
        <v>191</v>
      </c>
      <c r="AN6237">
        <v>6380</v>
      </c>
      <c r="AO6237">
        <v>0.15</v>
      </c>
      <c r="AP6237">
        <v>1</v>
      </c>
      <c r="AR6237">
        <v>1</v>
      </c>
      <c r="AS6237" s="1">
        <v>29420</v>
      </c>
      <c r="AT6237" s="1">
        <v>5880</v>
      </c>
      <c r="AU6237" s="1">
        <v>23540</v>
      </c>
      <c r="AV6237">
        <v>80.010000000000005</v>
      </c>
      <c r="AX6237" s="1">
        <v>2505.8200000000002</v>
      </c>
      <c r="AY6237" t="s">
        <v>4520</v>
      </c>
      <c r="AZ6237" t="s">
        <v>4520</v>
      </c>
      <c r="BA6237" t="s">
        <v>4219</v>
      </c>
      <c r="BE6237" s="3">
        <v>42264</v>
      </c>
      <c r="BF6237" s="1">
        <v>319000</v>
      </c>
      <c r="BG6237" t="s">
        <v>37809</v>
      </c>
      <c r="BH6237" s="1">
        <v>96.08</v>
      </c>
      <c r="BI6237" s="1">
        <v>322966</v>
      </c>
      <c r="BJ6237" s="3">
        <v>42845</v>
      </c>
      <c r="BK6237" t="s">
        <v>123</v>
      </c>
      <c r="BL6237" t="str">
        <f>"2017.282294"</f>
        <v>2017.282294</v>
      </c>
      <c r="BM6237" t="s">
        <v>361</v>
      </c>
      <c r="BO6237" t="s">
        <v>37810</v>
      </c>
      <c r="BS6237">
        <v>30</v>
      </c>
      <c r="BW6237" t="str">
        <f>""</f>
        <v/>
      </c>
      <c r="CH6237" t="str">
        <f>""</f>
        <v/>
      </c>
      <c r="CS6237" t="str">
        <f>""</f>
        <v/>
      </c>
    </row>
    <row r="6238" spans="1:97" x14ac:dyDescent="0.25">
      <c r="A6238" t="s">
        <v>370</v>
      </c>
      <c r="B6238" t="s">
        <v>37811</v>
      </c>
      <c r="C6238" t="s">
        <v>1930</v>
      </c>
      <c r="D6238" t="s">
        <v>19436</v>
      </c>
      <c r="E6238" t="s">
        <v>37812</v>
      </c>
      <c r="F6238" t="s">
        <v>108</v>
      </c>
      <c r="H6238" t="s">
        <v>37813</v>
      </c>
      <c r="I6238" t="s">
        <v>225</v>
      </c>
      <c r="J6238" t="s">
        <v>111</v>
      </c>
      <c r="K6238" t="str">
        <f>"85207"</f>
        <v>85207</v>
      </c>
      <c r="L6238" t="s">
        <v>516</v>
      </c>
      <c r="M6238" t="s">
        <v>37813</v>
      </c>
      <c r="N6238" t="s">
        <v>225</v>
      </c>
      <c r="O6238" t="s">
        <v>111</v>
      </c>
      <c r="P6238" t="str">
        <f>"85207"</f>
        <v>85207</v>
      </c>
      <c r="Q6238" t="s">
        <v>113</v>
      </c>
      <c r="R6238" t="str">
        <f>"219-19-605"</f>
        <v>219-19-605</v>
      </c>
      <c r="S6238" t="s">
        <v>21763</v>
      </c>
      <c r="T6238" t="s">
        <v>9439</v>
      </c>
      <c r="U6238">
        <v>2451</v>
      </c>
      <c r="V6238">
        <v>0</v>
      </c>
      <c r="W6238">
        <v>4</v>
      </c>
      <c r="X6238">
        <v>1998</v>
      </c>
      <c r="Z6238">
        <v>2</v>
      </c>
      <c r="AA6238" t="s">
        <v>26</v>
      </c>
      <c r="AB6238">
        <v>0</v>
      </c>
      <c r="AC6238" t="s">
        <v>115</v>
      </c>
      <c r="AD6238">
        <v>3</v>
      </c>
      <c r="AE6238" t="s">
        <v>115</v>
      </c>
      <c r="AF6238">
        <v>0</v>
      </c>
      <c r="AG6238">
        <v>0</v>
      </c>
      <c r="AH6238" t="s">
        <v>116</v>
      </c>
      <c r="AI6238" s="1">
        <v>3937</v>
      </c>
      <c r="AJ6238" s="2">
        <v>0.01</v>
      </c>
      <c r="AK6238" s="1">
        <v>364232</v>
      </c>
      <c r="AL6238" t="s">
        <v>117</v>
      </c>
      <c r="AM6238" t="s">
        <v>917</v>
      </c>
      <c r="AN6238">
        <v>7130</v>
      </c>
      <c r="AO6238">
        <v>0.16</v>
      </c>
      <c r="AP6238">
        <v>1</v>
      </c>
      <c r="AR6238">
        <v>1</v>
      </c>
      <c r="AS6238" s="1">
        <v>28800</v>
      </c>
      <c r="AT6238" s="1">
        <v>5760</v>
      </c>
      <c r="AU6238" s="1">
        <v>23040</v>
      </c>
      <c r="AV6238">
        <v>80</v>
      </c>
      <c r="AX6238" s="1">
        <v>2951.48</v>
      </c>
      <c r="AY6238" t="s">
        <v>9337</v>
      </c>
      <c r="AZ6238" t="s">
        <v>231</v>
      </c>
      <c r="BA6238" t="s">
        <v>3119</v>
      </c>
      <c r="BB6238" s="3">
        <v>42431</v>
      </c>
      <c r="BD6238" t="s">
        <v>240</v>
      </c>
      <c r="BE6238" s="3">
        <v>41866</v>
      </c>
      <c r="BF6238" s="1">
        <v>357200</v>
      </c>
      <c r="BG6238" t="s">
        <v>37814</v>
      </c>
      <c r="BH6238" s="1">
        <v>145.74</v>
      </c>
      <c r="BI6238" s="1">
        <v>360295</v>
      </c>
      <c r="BJ6238" s="3">
        <v>42597</v>
      </c>
      <c r="BK6238" t="s">
        <v>123</v>
      </c>
      <c r="BL6238" t="str">
        <f>"2016.581150"</f>
        <v>2016.581150</v>
      </c>
      <c r="BM6238" t="s">
        <v>2378</v>
      </c>
      <c r="BO6238" t="s">
        <v>37815</v>
      </c>
      <c r="BS6238">
        <v>30</v>
      </c>
      <c r="BW6238" t="str">
        <f>""</f>
        <v/>
      </c>
      <c r="CH6238" t="str">
        <f>""</f>
        <v/>
      </c>
      <c r="CS6238" t="str">
        <f>""</f>
        <v/>
      </c>
    </row>
    <row r="6239" spans="1:97" x14ac:dyDescent="0.25">
      <c r="A6239" t="s">
        <v>1444</v>
      </c>
      <c r="B6239" t="s">
        <v>37816</v>
      </c>
      <c r="C6239" t="s">
        <v>365</v>
      </c>
      <c r="D6239" t="s">
        <v>37816</v>
      </c>
      <c r="E6239" t="s">
        <v>37817</v>
      </c>
      <c r="F6239" t="s">
        <v>108</v>
      </c>
      <c r="H6239" t="s">
        <v>37818</v>
      </c>
      <c r="I6239" t="s">
        <v>188</v>
      </c>
      <c r="J6239" t="s">
        <v>111</v>
      </c>
      <c r="K6239" t="str">
        <f>"85142"</f>
        <v>85142</v>
      </c>
      <c r="L6239" t="s">
        <v>625</v>
      </c>
      <c r="M6239" t="s">
        <v>37818</v>
      </c>
      <c r="N6239" t="s">
        <v>188</v>
      </c>
      <c r="O6239" t="s">
        <v>111</v>
      </c>
      <c r="P6239" t="str">
        <f>"85142-6347"</f>
        <v>85142-6347</v>
      </c>
      <c r="Q6239" t="s">
        <v>113</v>
      </c>
      <c r="R6239" t="str">
        <f>"304-64-551"</f>
        <v>304-64-551</v>
      </c>
      <c r="S6239" t="s">
        <v>12959</v>
      </c>
      <c r="T6239" t="s">
        <v>12959</v>
      </c>
      <c r="U6239">
        <v>3005</v>
      </c>
      <c r="V6239">
        <v>0</v>
      </c>
      <c r="W6239">
        <v>4</v>
      </c>
      <c r="X6239">
        <v>2014</v>
      </c>
      <c r="Z6239">
        <v>1</v>
      </c>
      <c r="AB6239">
        <v>0</v>
      </c>
      <c r="AC6239" t="s">
        <v>115</v>
      </c>
      <c r="AD6239">
        <v>3</v>
      </c>
      <c r="AE6239" t="s">
        <v>115</v>
      </c>
      <c r="AF6239">
        <v>0</v>
      </c>
      <c r="AG6239">
        <v>0</v>
      </c>
      <c r="AH6239" t="s">
        <v>116</v>
      </c>
      <c r="AI6239" s="1">
        <v>71185</v>
      </c>
      <c r="AJ6239" s="2">
        <v>0.13</v>
      </c>
      <c r="AK6239" s="1">
        <v>535495</v>
      </c>
      <c r="AL6239" t="s">
        <v>117</v>
      </c>
      <c r="AM6239" t="s">
        <v>1521</v>
      </c>
      <c r="AN6239">
        <v>19111</v>
      </c>
      <c r="AO6239">
        <v>0.44</v>
      </c>
      <c r="AR6239">
        <v>1</v>
      </c>
      <c r="AS6239" s="1">
        <v>42380</v>
      </c>
      <c r="AT6239" s="1">
        <v>8470</v>
      </c>
      <c r="AU6239" s="1">
        <v>33910</v>
      </c>
      <c r="AV6239">
        <v>80.010000000000005</v>
      </c>
      <c r="AX6239" s="1">
        <v>4128.2</v>
      </c>
      <c r="AY6239" t="s">
        <v>560</v>
      </c>
      <c r="AZ6239" t="s">
        <v>561</v>
      </c>
      <c r="BA6239" t="s">
        <v>194</v>
      </c>
      <c r="BE6239" s="3">
        <v>41879</v>
      </c>
      <c r="BF6239" s="1">
        <v>469292</v>
      </c>
      <c r="BG6239" t="s">
        <v>474</v>
      </c>
      <c r="BH6239" s="1">
        <v>156.16999999999999</v>
      </c>
      <c r="BI6239" s="1">
        <v>464310</v>
      </c>
      <c r="BJ6239" s="3">
        <v>42513</v>
      </c>
      <c r="BK6239" t="s">
        <v>123</v>
      </c>
      <c r="BL6239" t="str">
        <f>"2016.351168"</f>
        <v>2016.351168</v>
      </c>
      <c r="BM6239" t="s">
        <v>820</v>
      </c>
      <c r="BN6239" t="s">
        <v>2188</v>
      </c>
      <c r="BO6239" t="s">
        <v>37819</v>
      </c>
      <c r="BS6239">
        <v>30</v>
      </c>
      <c r="BT6239" s="1">
        <v>464310</v>
      </c>
      <c r="BU6239" s="3">
        <v>42513</v>
      </c>
      <c r="BV6239" t="s">
        <v>123</v>
      </c>
      <c r="BW6239" t="str">
        <f>"2016.351168"</f>
        <v>2016.351168</v>
      </c>
      <c r="BX6239" t="s">
        <v>820</v>
      </c>
      <c r="BZ6239" t="s">
        <v>37819</v>
      </c>
      <c r="CD6239">
        <v>30</v>
      </c>
      <c r="CH6239" t="str">
        <f>""</f>
        <v/>
      </c>
      <c r="CS6239" t="str">
        <f>""</f>
        <v/>
      </c>
    </row>
    <row r="6240" spans="1:97" x14ac:dyDescent="0.25">
      <c r="A6240" t="s">
        <v>610</v>
      </c>
      <c r="B6240" t="s">
        <v>37820</v>
      </c>
      <c r="C6240" t="s">
        <v>37821</v>
      </c>
      <c r="D6240" t="s">
        <v>10375</v>
      </c>
      <c r="E6240" t="s">
        <v>37822</v>
      </c>
      <c r="F6240" t="s">
        <v>108</v>
      </c>
      <c r="H6240" t="s">
        <v>37823</v>
      </c>
      <c r="I6240" t="s">
        <v>110</v>
      </c>
      <c r="J6240" t="s">
        <v>111</v>
      </c>
      <c r="K6240" t="str">
        <f>"85248"</f>
        <v>85248</v>
      </c>
      <c r="L6240" t="s">
        <v>4751</v>
      </c>
      <c r="M6240" t="s">
        <v>37823</v>
      </c>
      <c r="N6240" t="s">
        <v>110</v>
      </c>
      <c r="O6240" t="s">
        <v>111</v>
      </c>
      <c r="P6240" t="str">
        <f>"85248-6354"</f>
        <v>85248-6354</v>
      </c>
      <c r="Q6240" t="s">
        <v>113</v>
      </c>
      <c r="R6240" t="str">
        <f>"303-74-709"</f>
        <v>303-74-709</v>
      </c>
      <c r="S6240" t="s">
        <v>20954</v>
      </c>
      <c r="T6240" t="s">
        <v>20954</v>
      </c>
      <c r="U6240">
        <v>1346</v>
      </c>
      <c r="V6240">
        <v>0</v>
      </c>
      <c r="W6240">
        <v>3</v>
      </c>
      <c r="X6240">
        <v>2000</v>
      </c>
      <c r="Z6240">
        <v>1</v>
      </c>
      <c r="AB6240">
        <v>0</v>
      </c>
      <c r="AC6240" t="s">
        <v>115</v>
      </c>
      <c r="AD6240">
        <v>2</v>
      </c>
      <c r="AE6240" t="s">
        <v>115</v>
      </c>
      <c r="AF6240">
        <v>0</v>
      </c>
      <c r="AG6240">
        <v>0</v>
      </c>
      <c r="AH6240" t="s">
        <v>116</v>
      </c>
      <c r="AI6240" s="1">
        <v>81712</v>
      </c>
      <c r="AJ6240" s="2">
        <v>0.28000000000000003</v>
      </c>
      <c r="AK6240" s="1">
        <v>286712</v>
      </c>
      <c r="AL6240" t="s">
        <v>117</v>
      </c>
      <c r="AM6240" t="s">
        <v>118</v>
      </c>
      <c r="AN6240">
        <v>5981</v>
      </c>
      <c r="AO6240">
        <v>0.14000000000000001</v>
      </c>
      <c r="AP6240">
        <v>1</v>
      </c>
      <c r="AR6240">
        <v>1</v>
      </c>
      <c r="AS6240" s="1">
        <v>19260</v>
      </c>
      <c r="AT6240" s="1">
        <v>3850</v>
      </c>
      <c r="AU6240" s="1">
        <v>15410</v>
      </c>
      <c r="AV6240">
        <v>80.010000000000005</v>
      </c>
      <c r="AX6240" s="1">
        <v>1476.1</v>
      </c>
      <c r="AY6240" t="s">
        <v>1881</v>
      </c>
      <c r="AZ6240" t="s">
        <v>1882</v>
      </c>
      <c r="BA6240" t="s">
        <v>121</v>
      </c>
      <c r="BE6240" s="3">
        <v>41878</v>
      </c>
      <c r="BF6240" s="1">
        <v>205000</v>
      </c>
      <c r="BG6240" t="s">
        <v>37824</v>
      </c>
      <c r="BH6240" s="1">
        <v>152.30000000000001</v>
      </c>
      <c r="BI6240" s="1">
        <v>205000</v>
      </c>
      <c r="BJ6240" s="3">
        <v>41878</v>
      </c>
      <c r="BK6240" t="s">
        <v>123</v>
      </c>
      <c r="BL6240" t="str">
        <f>"2014.567706"</f>
        <v>2014.567706</v>
      </c>
      <c r="BM6240" t="s">
        <v>2683</v>
      </c>
      <c r="BO6240" t="s">
        <v>37825</v>
      </c>
      <c r="BP6240" t="s">
        <v>37826</v>
      </c>
      <c r="BS6240">
        <v>30</v>
      </c>
      <c r="BW6240" t="str">
        <f>""</f>
        <v/>
      </c>
      <c r="CH6240" t="str">
        <f>""</f>
        <v/>
      </c>
      <c r="CS6240" t="str">
        <f>""</f>
        <v/>
      </c>
    </row>
    <row r="6241" spans="1:97" x14ac:dyDescent="0.25">
      <c r="A6241" t="s">
        <v>211</v>
      </c>
      <c r="B6241" t="s">
        <v>37827</v>
      </c>
      <c r="C6241" t="s">
        <v>2693</v>
      </c>
      <c r="D6241" t="s">
        <v>37827</v>
      </c>
      <c r="E6241" t="s">
        <v>37828</v>
      </c>
      <c r="F6241" t="s">
        <v>108</v>
      </c>
      <c r="H6241" t="s">
        <v>37829</v>
      </c>
      <c r="I6241" t="s">
        <v>632</v>
      </c>
      <c r="J6241" t="s">
        <v>111</v>
      </c>
      <c r="K6241" t="str">
        <f>"85379"</f>
        <v>85379</v>
      </c>
      <c r="L6241" t="s">
        <v>6416</v>
      </c>
      <c r="M6241" t="s">
        <v>37829</v>
      </c>
      <c r="N6241" t="s">
        <v>632</v>
      </c>
      <c r="O6241" t="s">
        <v>111</v>
      </c>
      <c r="P6241" t="str">
        <f>"85379-4246"</f>
        <v>85379-4246</v>
      </c>
      <c r="Q6241" t="s">
        <v>113</v>
      </c>
      <c r="R6241" t="str">
        <f>"509-08-560"</f>
        <v>509-08-560</v>
      </c>
      <c r="S6241" t="s">
        <v>6417</v>
      </c>
      <c r="U6241">
        <v>2963</v>
      </c>
      <c r="V6241">
        <v>0</v>
      </c>
      <c r="W6241">
        <v>4</v>
      </c>
      <c r="X6241">
        <v>2014</v>
      </c>
      <c r="Z6241">
        <v>1</v>
      </c>
      <c r="AA6241" t="s">
        <v>26</v>
      </c>
      <c r="AB6241">
        <v>0</v>
      </c>
      <c r="AC6241" t="s">
        <v>115</v>
      </c>
      <c r="AD6241">
        <v>3</v>
      </c>
      <c r="AE6241" t="s">
        <v>115</v>
      </c>
      <c r="AF6241">
        <v>0</v>
      </c>
      <c r="AG6241">
        <v>0</v>
      </c>
      <c r="AH6241" t="s">
        <v>116</v>
      </c>
      <c r="AI6241" s="1">
        <v>113024</v>
      </c>
      <c r="AJ6241" s="2">
        <v>0.27</v>
      </c>
      <c r="AK6241" s="1">
        <v>419134</v>
      </c>
      <c r="AL6241" t="s">
        <v>117</v>
      </c>
      <c r="AM6241" t="s">
        <v>118</v>
      </c>
      <c r="AN6241">
        <v>9295</v>
      </c>
      <c r="AO6241">
        <v>0.21</v>
      </c>
      <c r="AR6241">
        <v>1</v>
      </c>
      <c r="AS6241" s="1">
        <v>31910</v>
      </c>
      <c r="AT6241" s="1">
        <v>6380</v>
      </c>
      <c r="AU6241" s="1">
        <v>25530</v>
      </c>
      <c r="AV6241">
        <v>80.010000000000005</v>
      </c>
      <c r="AX6241" s="1">
        <v>3431.16</v>
      </c>
      <c r="AY6241" t="s">
        <v>634</v>
      </c>
      <c r="AZ6241" t="s">
        <v>634</v>
      </c>
      <c r="BA6241" t="s">
        <v>635</v>
      </c>
      <c r="BE6241" s="3">
        <v>42026</v>
      </c>
      <c r="BF6241" s="1">
        <v>322060</v>
      </c>
      <c r="BG6241" t="s">
        <v>636</v>
      </c>
      <c r="BH6241" s="1">
        <v>108.69</v>
      </c>
      <c r="BI6241" s="1">
        <v>306110</v>
      </c>
      <c r="BJ6241" s="3">
        <v>42660</v>
      </c>
      <c r="BK6241" t="s">
        <v>123</v>
      </c>
      <c r="BL6241" t="str">
        <f>"2016.760760"</f>
        <v>2016.760760</v>
      </c>
      <c r="BM6241" t="s">
        <v>475</v>
      </c>
      <c r="BO6241" t="s">
        <v>37830</v>
      </c>
      <c r="BS6241">
        <v>30</v>
      </c>
      <c r="BW6241" t="str">
        <f>""</f>
        <v/>
      </c>
      <c r="CH6241" t="str">
        <f>""</f>
        <v/>
      </c>
      <c r="CS6241" t="str">
        <f>""</f>
        <v/>
      </c>
    </row>
    <row r="6242" spans="1:97" x14ac:dyDescent="0.25">
      <c r="B6242" t="s">
        <v>37831</v>
      </c>
      <c r="E6242" t="s">
        <v>37832</v>
      </c>
      <c r="F6242" t="s">
        <v>108</v>
      </c>
      <c r="H6242" t="s">
        <v>37833</v>
      </c>
      <c r="I6242" t="s">
        <v>499</v>
      </c>
      <c r="J6242" t="s">
        <v>111</v>
      </c>
      <c r="K6242" t="str">
        <f>"85395"</f>
        <v>85395</v>
      </c>
      <c r="L6242" t="s">
        <v>541</v>
      </c>
      <c r="M6242" t="s">
        <v>37834</v>
      </c>
      <c r="N6242" t="s">
        <v>499</v>
      </c>
      <c r="O6242" t="s">
        <v>111</v>
      </c>
      <c r="P6242" t="str">
        <f>"85395-7574"</f>
        <v>85395-7574</v>
      </c>
      <c r="Q6242" t="s">
        <v>113</v>
      </c>
      <c r="R6242" t="str">
        <f>"508-11-437"</f>
        <v>508-11-437</v>
      </c>
      <c r="S6242" t="s">
        <v>5752</v>
      </c>
      <c r="T6242" t="s">
        <v>5753</v>
      </c>
      <c r="U6242">
        <v>3706</v>
      </c>
      <c r="V6242">
        <v>0</v>
      </c>
      <c r="W6242">
        <v>6</v>
      </c>
      <c r="X6242">
        <v>2014</v>
      </c>
      <c r="Z6242">
        <v>1</v>
      </c>
      <c r="AB6242">
        <v>0</v>
      </c>
      <c r="AC6242" t="s">
        <v>115</v>
      </c>
      <c r="AD6242">
        <v>3</v>
      </c>
      <c r="AE6242" t="s">
        <v>115</v>
      </c>
      <c r="AF6242">
        <v>0</v>
      </c>
      <c r="AG6242">
        <v>0</v>
      </c>
      <c r="AH6242" t="s">
        <v>116</v>
      </c>
      <c r="AI6242" s="1">
        <v>-293301</v>
      </c>
      <c r="AJ6242" s="2">
        <v>-0.56999999999999995</v>
      </c>
      <c r="AK6242" s="1">
        <v>512959</v>
      </c>
      <c r="AL6242" t="s">
        <v>117</v>
      </c>
      <c r="AM6242" t="s">
        <v>118</v>
      </c>
      <c r="AN6242">
        <v>11145</v>
      </c>
      <c r="AO6242">
        <v>0.26</v>
      </c>
      <c r="AR6242">
        <v>1</v>
      </c>
      <c r="AS6242" s="1">
        <v>38310</v>
      </c>
      <c r="AT6242" s="1">
        <v>7550</v>
      </c>
      <c r="AU6242" s="1">
        <v>30760</v>
      </c>
      <c r="AV6242">
        <v>80.290000000000006</v>
      </c>
      <c r="AX6242" s="1">
        <v>4664.3</v>
      </c>
      <c r="AY6242" t="s">
        <v>3019</v>
      </c>
      <c r="AZ6242" t="s">
        <v>3020</v>
      </c>
      <c r="BA6242" t="s">
        <v>218</v>
      </c>
      <c r="BB6242" s="3">
        <v>43104</v>
      </c>
      <c r="BC6242" s="1">
        <v>0</v>
      </c>
      <c r="BD6242" t="s">
        <v>247</v>
      </c>
      <c r="BE6242" s="3">
        <v>41929</v>
      </c>
      <c r="BF6242" s="1">
        <v>389213</v>
      </c>
      <c r="BG6242" t="s">
        <v>562</v>
      </c>
      <c r="BH6242" s="1">
        <v>105.02</v>
      </c>
      <c r="BI6242" s="1">
        <v>403130</v>
      </c>
      <c r="BJ6242" s="3">
        <v>42053</v>
      </c>
      <c r="BK6242" t="s">
        <v>123</v>
      </c>
      <c r="BL6242" t="str">
        <f>"2015.101857"</f>
        <v>2015.101857</v>
      </c>
      <c r="BM6242" t="s">
        <v>1695</v>
      </c>
      <c r="BN6242" t="s">
        <v>3082</v>
      </c>
      <c r="BO6242" t="s">
        <v>37835</v>
      </c>
      <c r="BS6242">
        <v>30</v>
      </c>
      <c r="BT6242" s="1">
        <v>403130</v>
      </c>
      <c r="BU6242" s="3">
        <v>42226</v>
      </c>
      <c r="BV6242" t="s">
        <v>123</v>
      </c>
      <c r="BW6242" t="str">
        <f>"2015.576790"</f>
        <v>2015.576790</v>
      </c>
      <c r="BX6242" t="s">
        <v>1695</v>
      </c>
      <c r="BY6242" t="s">
        <v>3082</v>
      </c>
      <c r="BZ6242" t="s">
        <v>37835</v>
      </c>
      <c r="CD6242">
        <v>30</v>
      </c>
      <c r="CH6242" t="str">
        <f>""</f>
        <v/>
      </c>
      <c r="CS6242" t="str">
        <f>""</f>
        <v/>
      </c>
    </row>
    <row r="6243" spans="1:97" x14ac:dyDescent="0.25">
      <c r="B6243" t="s">
        <v>37836</v>
      </c>
      <c r="E6243" t="s">
        <v>37837</v>
      </c>
      <c r="F6243" t="s">
        <v>108</v>
      </c>
      <c r="H6243" t="s">
        <v>37838</v>
      </c>
      <c r="I6243" t="s">
        <v>453</v>
      </c>
      <c r="J6243" t="s">
        <v>111</v>
      </c>
      <c r="K6243" t="str">
        <f>"85383"</f>
        <v>85383</v>
      </c>
      <c r="L6243" t="s">
        <v>189</v>
      </c>
      <c r="M6243" t="s">
        <v>37838</v>
      </c>
      <c r="N6243" t="s">
        <v>453</v>
      </c>
      <c r="O6243" t="s">
        <v>111</v>
      </c>
      <c r="P6243" t="str">
        <f>"85383-5058"</f>
        <v>85383-5058</v>
      </c>
      <c r="Q6243" t="s">
        <v>113</v>
      </c>
      <c r="R6243" t="str">
        <f>"503-97-860"</f>
        <v>503-97-860</v>
      </c>
      <c r="S6243" t="s">
        <v>31758</v>
      </c>
      <c r="U6243">
        <v>3831</v>
      </c>
      <c r="V6243">
        <v>0</v>
      </c>
      <c r="W6243">
        <v>6</v>
      </c>
      <c r="X6243">
        <v>2013</v>
      </c>
      <c r="Z6243">
        <v>1</v>
      </c>
      <c r="AA6243" t="s">
        <v>26</v>
      </c>
      <c r="AB6243">
        <v>0</v>
      </c>
      <c r="AC6243" t="s">
        <v>115</v>
      </c>
      <c r="AD6243">
        <v>3</v>
      </c>
      <c r="AE6243" t="s">
        <v>115</v>
      </c>
      <c r="AF6243">
        <v>0</v>
      </c>
      <c r="AG6243">
        <v>0</v>
      </c>
      <c r="AH6243" t="s">
        <v>116</v>
      </c>
      <c r="AI6243" s="1">
        <v>407434</v>
      </c>
      <c r="AJ6243" s="2">
        <v>0.54</v>
      </c>
      <c r="AK6243" s="1">
        <v>760559</v>
      </c>
      <c r="AL6243" t="s">
        <v>117</v>
      </c>
      <c r="AM6243" t="s">
        <v>118</v>
      </c>
      <c r="AN6243">
        <v>18184</v>
      </c>
      <c r="AO6243">
        <v>0.42</v>
      </c>
      <c r="AR6243">
        <v>1</v>
      </c>
      <c r="AS6243" s="1">
        <v>61900</v>
      </c>
      <c r="AT6243" s="1">
        <v>12380</v>
      </c>
      <c r="AU6243" s="1">
        <v>49520</v>
      </c>
      <c r="AV6243">
        <v>80</v>
      </c>
      <c r="AX6243" s="1">
        <v>6591.8</v>
      </c>
      <c r="AY6243" t="s">
        <v>456</v>
      </c>
      <c r="AZ6243" t="s">
        <v>456</v>
      </c>
      <c r="BA6243" t="s">
        <v>457</v>
      </c>
      <c r="BB6243" s="3">
        <v>41761</v>
      </c>
      <c r="BD6243" t="s">
        <v>480</v>
      </c>
      <c r="BE6243" s="3">
        <v>41695</v>
      </c>
      <c r="BF6243" s="1">
        <v>733602</v>
      </c>
      <c r="BG6243" t="s">
        <v>2342</v>
      </c>
      <c r="BH6243" s="1">
        <v>191.49</v>
      </c>
      <c r="BI6243" s="1">
        <v>253125</v>
      </c>
      <c r="BJ6243" s="3">
        <v>41695</v>
      </c>
      <c r="BK6243" t="s">
        <v>123</v>
      </c>
      <c r="BL6243" t="str">
        <f>"2014.120637"</f>
        <v>2014.120637</v>
      </c>
      <c r="BM6243" t="s">
        <v>475</v>
      </c>
      <c r="BO6243" t="s">
        <v>37839</v>
      </c>
      <c r="BS6243">
        <v>30</v>
      </c>
      <c r="BT6243" s="1">
        <v>100000</v>
      </c>
      <c r="BU6243" s="3">
        <v>42544</v>
      </c>
      <c r="BV6243" t="s">
        <v>134</v>
      </c>
      <c r="BW6243" t="str">
        <f>"2016.439969"</f>
        <v>2016.439969</v>
      </c>
      <c r="BX6243" t="s">
        <v>3843</v>
      </c>
      <c r="BZ6243" t="s">
        <v>37836</v>
      </c>
      <c r="CD6243">
        <v>25</v>
      </c>
      <c r="CH6243" t="str">
        <f>""</f>
        <v/>
      </c>
      <c r="CS6243" t="str">
        <f>""</f>
        <v/>
      </c>
    </row>
    <row r="6244" spans="1:97" x14ac:dyDescent="0.25">
      <c r="A6244" t="s">
        <v>1009</v>
      </c>
      <c r="B6244" t="s">
        <v>37840</v>
      </c>
      <c r="C6244" t="s">
        <v>17672</v>
      </c>
      <c r="D6244" t="s">
        <v>37840</v>
      </c>
      <c r="E6244" t="s">
        <v>37841</v>
      </c>
      <c r="F6244" t="s">
        <v>108</v>
      </c>
      <c r="H6244" t="s">
        <v>37842</v>
      </c>
      <c r="I6244" t="s">
        <v>203</v>
      </c>
      <c r="J6244" t="s">
        <v>111</v>
      </c>
      <c r="K6244" t="str">
        <f>"85233"</f>
        <v>85233</v>
      </c>
      <c r="L6244" t="s">
        <v>6325</v>
      </c>
      <c r="M6244" t="s">
        <v>37842</v>
      </c>
      <c r="N6244" t="s">
        <v>203</v>
      </c>
      <c r="O6244" t="s">
        <v>111</v>
      </c>
      <c r="P6244" t="str">
        <f>"85233-3303"</f>
        <v>85233-3303</v>
      </c>
      <c r="Q6244" t="s">
        <v>113</v>
      </c>
      <c r="R6244" t="str">
        <f>"302-13-294"</f>
        <v>302-13-294</v>
      </c>
      <c r="S6244" t="s">
        <v>37843</v>
      </c>
      <c r="T6244" t="s">
        <v>28844</v>
      </c>
      <c r="U6244">
        <v>1323</v>
      </c>
      <c r="V6244">
        <v>0</v>
      </c>
      <c r="W6244">
        <v>2</v>
      </c>
      <c r="X6244">
        <v>1982</v>
      </c>
      <c r="Z6244">
        <v>1</v>
      </c>
      <c r="AB6244">
        <v>0</v>
      </c>
      <c r="AC6244" t="s">
        <v>115</v>
      </c>
      <c r="AD6244">
        <v>2</v>
      </c>
      <c r="AE6244" t="s">
        <v>115</v>
      </c>
      <c r="AF6244">
        <v>0</v>
      </c>
      <c r="AG6244">
        <v>0</v>
      </c>
      <c r="AH6244" t="s">
        <v>116</v>
      </c>
      <c r="AI6244" s="1">
        <v>46996</v>
      </c>
      <c r="AJ6244" s="2">
        <v>0.18</v>
      </c>
      <c r="AK6244" s="1">
        <v>261996</v>
      </c>
      <c r="AL6244" t="s">
        <v>117</v>
      </c>
      <c r="AM6244" t="s">
        <v>393</v>
      </c>
      <c r="AN6244">
        <v>7518</v>
      </c>
      <c r="AO6244">
        <v>0.17</v>
      </c>
      <c r="AP6244">
        <v>1</v>
      </c>
      <c r="AR6244">
        <v>1</v>
      </c>
      <c r="AS6244" s="1">
        <v>17180</v>
      </c>
      <c r="AT6244" s="1">
        <v>3430</v>
      </c>
      <c r="AU6244" s="1">
        <v>13750</v>
      </c>
      <c r="AV6244">
        <v>80.03</v>
      </c>
      <c r="AX6244" s="1">
        <v>890.02</v>
      </c>
      <c r="AY6244" t="s">
        <v>8604</v>
      </c>
      <c r="AZ6244" t="s">
        <v>5478</v>
      </c>
      <c r="BA6244" t="s">
        <v>5479</v>
      </c>
      <c r="BE6244" s="3">
        <v>42544</v>
      </c>
      <c r="BF6244" s="1">
        <v>215000</v>
      </c>
      <c r="BG6244" t="s">
        <v>9690</v>
      </c>
      <c r="BH6244" s="1">
        <v>162.51</v>
      </c>
      <c r="BI6244" s="1">
        <v>215000</v>
      </c>
      <c r="BJ6244" s="3">
        <v>42544</v>
      </c>
      <c r="BK6244" t="s">
        <v>123</v>
      </c>
      <c r="BL6244" t="str">
        <f>"2016.440547"</f>
        <v>2016.440547</v>
      </c>
      <c r="BM6244" t="s">
        <v>1325</v>
      </c>
      <c r="BO6244" t="s">
        <v>37844</v>
      </c>
      <c r="BS6244">
        <v>30</v>
      </c>
      <c r="BW6244" t="str">
        <f>""</f>
        <v/>
      </c>
      <c r="CH6244" t="str">
        <f>""</f>
        <v/>
      </c>
      <c r="CS6244" t="str">
        <f>""</f>
        <v/>
      </c>
    </row>
    <row r="6245" spans="1:97" x14ac:dyDescent="0.25">
      <c r="A6245" t="s">
        <v>2433</v>
      </c>
      <c r="B6245" t="s">
        <v>37845</v>
      </c>
      <c r="C6245" t="s">
        <v>3863</v>
      </c>
      <c r="D6245" t="s">
        <v>37845</v>
      </c>
      <c r="E6245" t="s">
        <v>37846</v>
      </c>
      <c r="F6245" t="s">
        <v>108</v>
      </c>
      <c r="H6245" t="s">
        <v>37847</v>
      </c>
      <c r="I6245" t="s">
        <v>499</v>
      </c>
      <c r="J6245" t="s">
        <v>111</v>
      </c>
      <c r="K6245" t="str">
        <f>"85395"</f>
        <v>85395</v>
      </c>
      <c r="L6245" t="s">
        <v>1312</v>
      </c>
      <c r="M6245" t="s">
        <v>37847</v>
      </c>
      <c r="N6245" t="s">
        <v>499</v>
      </c>
      <c r="O6245" t="s">
        <v>111</v>
      </c>
      <c r="P6245" t="str">
        <f>"85395-2028"</f>
        <v>85395-2028</v>
      </c>
      <c r="Q6245" t="s">
        <v>113</v>
      </c>
      <c r="R6245" t="str">
        <f>"501-76-359"</f>
        <v>501-76-359</v>
      </c>
      <c r="S6245" t="s">
        <v>20930</v>
      </c>
      <c r="T6245" t="s">
        <v>20931</v>
      </c>
      <c r="U6245">
        <v>2828</v>
      </c>
      <c r="V6245">
        <v>0</v>
      </c>
      <c r="W6245">
        <v>3</v>
      </c>
      <c r="X6245">
        <v>2005</v>
      </c>
      <c r="Z6245">
        <v>1</v>
      </c>
      <c r="AB6245">
        <v>0</v>
      </c>
      <c r="AC6245" t="s">
        <v>115</v>
      </c>
      <c r="AD6245">
        <v>2</v>
      </c>
      <c r="AE6245" t="s">
        <v>115</v>
      </c>
      <c r="AF6245">
        <v>0</v>
      </c>
      <c r="AG6245">
        <v>0</v>
      </c>
      <c r="AH6245" t="s">
        <v>116</v>
      </c>
      <c r="AI6245" s="1">
        <v>31948</v>
      </c>
      <c r="AJ6245" s="2">
        <v>0.08</v>
      </c>
      <c r="AK6245" s="1">
        <v>407960</v>
      </c>
      <c r="AL6245" t="s">
        <v>117</v>
      </c>
      <c r="AM6245" t="s">
        <v>118</v>
      </c>
      <c r="AN6245">
        <v>10801</v>
      </c>
      <c r="AO6245">
        <v>0.25</v>
      </c>
      <c r="AR6245">
        <v>1</v>
      </c>
      <c r="AS6245" s="1">
        <v>27510</v>
      </c>
      <c r="AT6245" s="1">
        <v>5500</v>
      </c>
      <c r="AU6245" s="1">
        <v>22010</v>
      </c>
      <c r="AV6245">
        <v>80.010000000000005</v>
      </c>
      <c r="AX6245" s="1">
        <v>3071.16</v>
      </c>
      <c r="AY6245" t="s">
        <v>6796</v>
      </c>
      <c r="AZ6245" t="s">
        <v>6796</v>
      </c>
      <c r="BA6245" t="s">
        <v>7186</v>
      </c>
      <c r="BE6245" s="3">
        <v>41912</v>
      </c>
      <c r="BF6245" s="1">
        <v>364000</v>
      </c>
      <c r="BG6245" t="s">
        <v>37848</v>
      </c>
      <c r="BH6245" s="1">
        <v>128.71</v>
      </c>
      <c r="BI6245" s="1">
        <v>376012</v>
      </c>
      <c r="BJ6245" s="3">
        <v>41912</v>
      </c>
      <c r="BK6245" t="s">
        <v>123</v>
      </c>
      <c r="BL6245" t="str">
        <f>"2014.650033"</f>
        <v>2014.650033</v>
      </c>
      <c r="BM6245" t="s">
        <v>4738</v>
      </c>
      <c r="BO6245" t="s">
        <v>37849</v>
      </c>
      <c r="BS6245">
        <v>30</v>
      </c>
      <c r="BW6245" t="str">
        <f>""</f>
        <v/>
      </c>
      <c r="CH6245" t="str">
        <f>""</f>
        <v/>
      </c>
      <c r="CS6245" t="str">
        <f>""</f>
        <v/>
      </c>
    </row>
    <row r="6246" spans="1:97" x14ac:dyDescent="0.25">
      <c r="A6246" t="s">
        <v>1938</v>
      </c>
      <c r="B6246" t="s">
        <v>10644</v>
      </c>
      <c r="E6246" t="s">
        <v>37850</v>
      </c>
      <c r="F6246" t="s">
        <v>108</v>
      </c>
      <c r="H6246" t="s">
        <v>37851</v>
      </c>
      <c r="I6246" t="s">
        <v>632</v>
      </c>
      <c r="J6246" t="s">
        <v>111</v>
      </c>
      <c r="K6246" t="str">
        <f>"85374"</f>
        <v>85374</v>
      </c>
      <c r="L6246" t="s">
        <v>7746</v>
      </c>
      <c r="M6246" t="s">
        <v>37851</v>
      </c>
      <c r="N6246" t="s">
        <v>632</v>
      </c>
      <c r="O6246" t="s">
        <v>111</v>
      </c>
      <c r="P6246" t="str">
        <f>"85374-9659"</f>
        <v>85374-9659</v>
      </c>
      <c r="Q6246" t="s">
        <v>113</v>
      </c>
      <c r="R6246" t="str">
        <f>"232-29-214"</f>
        <v>232-29-214</v>
      </c>
      <c r="S6246" t="s">
        <v>37852</v>
      </c>
      <c r="U6246">
        <v>1702</v>
      </c>
      <c r="V6246">
        <v>0</v>
      </c>
      <c r="W6246">
        <v>3</v>
      </c>
      <c r="X6246">
        <v>1996</v>
      </c>
      <c r="Z6246">
        <v>1</v>
      </c>
      <c r="AB6246">
        <v>0</v>
      </c>
      <c r="AC6246" t="s">
        <v>115</v>
      </c>
      <c r="AD6246">
        <v>2</v>
      </c>
      <c r="AE6246" t="s">
        <v>115</v>
      </c>
      <c r="AF6246">
        <v>0</v>
      </c>
      <c r="AG6246">
        <v>0</v>
      </c>
      <c r="AH6246" t="s">
        <v>116</v>
      </c>
      <c r="AI6246" s="1">
        <v>26605</v>
      </c>
      <c r="AJ6246" s="2">
        <v>0.11</v>
      </c>
      <c r="AK6246" s="1">
        <v>245035</v>
      </c>
      <c r="AL6246" t="s">
        <v>117</v>
      </c>
      <c r="AM6246" t="s">
        <v>118</v>
      </c>
      <c r="AN6246">
        <v>6808</v>
      </c>
      <c r="AO6246">
        <v>0.16</v>
      </c>
      <c r="AP6246">
        <v>1</v>
      </c>
      <c r="AR6246">
        <v>1</v>
      </c>
      <c r="AS6246" s="1">
        <v>16050</v>
      </c>
      <c r="AT6246" s="1">
        <v>3210</v>
      </c>
      <c r="AU6246" s="1">
        <v>12840</v>
      </c>
      <c r="AV6246">
        <v>80</v>
      </c>
      <c r="AX6246" s="1">
        <v>1118.0999999999999</v>
      </c>
      <c r="AY6246" t="s">
        <v>5108</v>
      </c>
      <c r="AZ6246" t="s">
        <v>5108</v>
      </c>
      <c r="BA6246" t="s">
        <v>5109</v>
      </c>
      <c r="BE6246" s="3">
        <v>42349</v>
      </c>
      <c r="BF6246" s="1">
        <v>179900</v>
      </c>
      <c r="BG6246" t="s">
        <v>37853</v>
      </c>
      <c r="BH6246" s="1">
        <v>105.7</v>
      </c>
      <c r="BI6246" s="1">
        <v>218430</v>
      </c>
      <c r="BJ6246" s="3">
        <v>43081</v>
      </c>
      <c r="BK6246" t="s">
        <v>123</v>
      </c>
      <c r="BL6246" t="str">
        <f>"2017.917599"</f>
        <v>2017.917599</v>
      </c>
      <c r="BM6246" t="s">
        <v>340</v>
      </c>
      <c r="BO6246" t="s">
        <v>37854</v>
      </c>
      <c r="BS6246">
        <v>31</v>
      </c>
      <c r="BW6246" t="str">
        <f>""</f>
        <v/>
      </c>
      <c r="CH6246" t="str">
        <f>""</f>
        <v/>
      </c>
      <c r="CS6246" t="str">
        <f>""</f>
        <v/>
      </c>
    </row>
    <row r="6247" spans="1:97" x14ac:dyDescent="0.25">
      <c r="A6247" t="s">
        <v>701</v>
      </c>
      <c r="B6247" t="s">
        <v>37855</v>
      </c>
      <c r="C6247" t="s">
        <v>1906</v>
      </c>
      <c r="D6247" t="s">
        <v>37855</v>
      </c>
      <c r="E6247" t="s">
        <v>37856</v>
      </c>
      <c r="F6247" t="s">
        <v>108</v>
      </c>
      <c r="H6247" t="s">
        <v>37857</v>
      </c>
      <c r="I6247" t="s">
        <v>110</v>
      </c>
      <c r="J6247" t="s">
        <v>111</v>
      </c>
      <c r="K6247" t="str">
        <f>"85224"</f>
        <v>85224</v>
      </c>
      <c r="L6247" t="s">
        <v>11566</v>
      </c>
      <c r="M6247" t="s">
        <v>37857</v>
      </c>
      <c r="N6247" t="s">
        <v>110</v>
      </c>
      <c r="O6247" t="s">
        <v>111</v>
      </c>
      <c r="P6247" t="str">
        <f>"85224-4129"</f>
        <v>85224-4129</v>
      </c>
      <c r="Q6247" t="s">
        <v>113</v>
      </c>
      <c r="R6247" t="str">
        <f>"302-47-289"</f>
        <v>302-47-289</v>
      </c>
      <c r="S6247" t="s">
        <v>37858</v>
      </c>
      <c r="T6247" t="s">
        <v>37858</v>
      </c>
      <c r="U6247">
        <v>3580</v>
      </c>
      <c r="V6247">
        <v>0</v>
      </c>
      <c r="W6247">
        <v>4</v>
      </c>
      <c r="X6247">
        <v>1997</v>
      </c>
      <c r="Z6247">
        <v>2</v>
      </c>
      <c r="AA6247" t="s">
        <v>26</v>
      </c>
      <c r="AB6247">
        <v>0</v>
      </c>
      <c r="AC6247" t="s">
        <v>115</v>
      </c>
      <c r="AD6247">
        <v>3</v>
      </c>
      <c r="AE6247" t="s">
        <v>115</v>
      </c>
      <c r="AF6247">
        <v>0</v>
      </c>
      <c r="AG6247">
        <v>0</v>
      </c>
      <c r="AH6247" t="s">
        <v>116</v>
      </c>
      <c r="AI6247" s="1">
        <v>188764</v>
      </c>
      <c r="AJ6247" s="2">
        <v>0.37</v>
      </c>
      <c r="AK6247" s="1">
        <v>509720</v>
      </c>
      <c r="AL6247" t="s">
        <v>117</v>
      </c>
      <c r="AM6247" t="s">
        <v>118</v>
      </c>
      <c r="AN6247">
        <v>10376</v>
      </c>
      <c r="AO6247">
        <v>0.24</v>
      </c>
      <c r="AP6247">
        <v>1</v>
      </c>
      <c r="AR6247">
        <v>1</v>
      </c>
      <c r="AS6247" s="1">
        <v>36960</v>
      </c>
      <c r="AT6247" s="1">
        <v>7390</v>
      </c>
      <c r="AU6247" s="1">
        <v>29570</v>
      </c>
      <c r="AV6247">
        <v>80.010000000000005</v>
      </c>
      <c r="AX6247" s="1">
        <v>2783.72</v>
      </c>
      <c r="AY6247" t="s">
        <v>6015</v>
      </c>
      <c r="AZ6247" t="s">
        <v>5078</v>
      </c>
      <c r="BA6247" t="s">
        <v>2957</v>
      </c>
      <c r="BE6247" s="3">
        <v>41891</v>
      </c>
      <c r="BF6247" s="1">
        <v>380000</v>
      </c>
      <c r="BG6247" t="s">
        <v>37859</v>
      </c>
      <c r="BH6247" s="1">
        <v>106.15</v>
      </c>
      <c r="BI6247" s="1">
        <v>320956</v>
      </c>
      <c r="BJ6247" s="3">
        <v>42842</v>
      </c>
      <c r="BK6247" t="s">
        <v>123</v>
      </c>
      <c r="BL6247" t="str">
        <f>"2017.270817"</f>
        <v>2017.270817</v>
      </c>
      <c r="BM6247" t="s">
        <v>724</v>
      </c>
      <c r="BO6247" t="s">
        <v>37860</v>
      </c>
      <c r="BS6247">
        <v>15</v>
      </c>
      <c r="BW6247" t="str">
        <f>""</f>
        <v/>
      </c>
      <c r="CH6247" t="str">
        <f>""</f>
        <v/>
      </c>
      <c r="CS6247" t="str">
        <f>""</f>
        <v/>
      </c>
    </row>
    <row r="6248" spans="1:97" x14ac:dyDescent="0.25">
      <c r="A6248" t="s">
        <v>701</v>
      </c>
      <c r="B6248" t="s">
        <v>212</v>
      </c>
      <c r="C6248" t="s">
        <v>1057</v>
      </c>
      <c r="D6248" t="s">
        <v>212</v>
      </c>
      <c r="E6248" t="s">
        <v>37861</v>
      </c>
      <c r="F6248" t="s">
        <v>108</v>
      </c>
      <c r="H6248" t="s">
        <v>37862</v>
      </c>
      <c r="I6248" t="s">
        <v>203</v>
      </c>
      <c r="J6248" t="s">
        <v>111</v>
      </c>
      <c r="K6248" t="str">
        <f>"85295"</f>
        <v>85295</v>
      </c>
      <c r="L6248" t="s">
        <v>10083</v>
      </c>
      <c r="M6248" t="s">
        <v>37862</v>
      </c>
      <c r="N6248" t="s">
        <v>203</v>
      </c>
      <c r="O6248" t="s">
        <v>111</v>
      </c>
      <c r="P6248" t="str">
        <f>"85295-5587"</f>
        <v>85295-5587</v>
      </c>
      <c r="Q6248" t="s">
        <v>113</v>
      </c>
      <c r="R6248" t="str">
        <f>"309-20-372"</f>
        <v>309-20-372</v>
      </c>
      <c r="S6248" t="s">
        <v>9211</v>
      </c>
      <c r="U6248">
        <v>2136</v>
      </c>
      <c r="V6248">
        <v>0</v>
      </c>
      <c r="W6248">
        <v>3</v>
      </c>
      <c r="X6248">
        <v>2001</v>
      </c>
      <c r="Z6248">
        <v>1</v>
      </c>
      <c r="AA6248" t="s">
        <v>26</v>
      </c>
      <c r="AB6248">
        <v>0</v>
      </c>
      <c r="AC6248" t="s">
        <v>115</v>
      </c>
      <c r="AD6248">
        <v>3</v>
      </c>
      <c r="AE6248" t="s">
        <v>115</v>
      </c>
      <c r="AF6248">
        <v>0</v>
      </c>
      <c r="AG6248">
        <v>0</v>
      </c>
      <c r="AH6248" t="s">
        <v>116</v>
      </c>
      <c r="AI6248" s="1">
        <v>67966</v>
      </c>
      <c r="AJ6248" s="2">
        <v>0.17</v>
      </c>
      <c r="AK6248" s="1">
        <v>398526</v>
      </c>
      <c r="AL6248" t="s">
        <v>117</v>
      </c>
      <c r="AM6248" t="s">
        <v>393</v>
      </c>
      <c r="AN6248">
        <v>8765</v>
      </c>
      <c r="AO6248">
        <v>0.2</v>
      </c>
      <c r="AP6248">
        <v>1</v>
      </c>
      <c r="AR6248">
        <v>1</v>
      </c>
      <c r="AS6248" s="1">
        <v>28720</v>
      </c>
      <c r="AT6248" s="1">
        <v>5740</v>
      </c>
      <c r="AU6248" s="1">
        <v>22980</v>
      </c>
      <c r="AV6248">
        <v>80.010000000000005</v>
      </c>
      <c r="AX6248" s="1">
        <v>2052.54</v>
      </c>
      <c r="AY6248" t="s">
        <v>9212</v>
      </c>
      <c r="AZ6248" t="s">
        <v>207</v>
      </c>
      <c r="BA6248" t="s">
        <v>208</v>
      </c>
      <c r="BE6248" s="3">
        <v>42195</v>
      </c>
      <c r="BF6248" s="1">
        <v>320000</v>
      </c>
      <c r="BG6248" t="s">
        <v>37863</v>
      </c>
      <c r="BH6248" s="1">
        <v>149.81</v>
      </c>
      <c r="BI6248" s="1">
        <v>330560</v>
      </c>
      <c r="BJ6248" s="3">
        <v>42195</v>
      </c>
      <c r="BK6248" t="s">
        <v>123</v>
      </c>
      <c r="BL6248" t="str">
        <f>"2015.496855"</f>
        <v>2015.496855</v>
      </c>
      <c r="BM6248" t="s">
        <v>820</v>
      </c>
      <c r="BO6248" t="s">
        <v>37864</v>
      </c>
      <c r="BS6248">
        <v>30</v>
      </c>
      <c r="BW6248" t="str">
        <f>""</f>
        <v/>
      </c>
      <c r="CH6248" t="str">
        <f>""</f>
        <v/>
      </c>
      <c r="CS6248" t="str">
        <f>""</f>
        <v/>
      </c>
    </row>
    <row r="6249" spans="1:97" x14ac:dyDescent="0.25">
      <c r="A6249" t="s">
        <v>996</v>
      </c>
      <c r="B6249" t="s">
        <v>37865</v>
      </c>
      <c r="E6249" t="s">
        <v>37866</v>
      </c>
      <c r="F6249" t="s">
        <v>108</v>
      </c>
      <c r="H6249" t="s">
        <v>37867</v>
      </c>
      <c r="I6249" t="s">
        <v>225</v>
      </c>
      <c r="J6249" t="s">
        <v>111</v>
      </c>
      <c r="K6249" t="str">
        <f>"85212"</f>
        <v>85212</v>
      </c>
      <c r="L6249" t="s">
        <v>17845</v>
      </c>
      <c r="M6249" t="s">
        <v>37867</v>
      </c>
      <c r="N6249" t="s">
        <v>225</v>
      </c>
      <c r="O6249" t="s">
        <v>111</v>
      </c>
      <c r="P6249" t="str">
        <f>"85212-5162"</f>
        <v>85212-5162</v>
      </c>
      <c r="Q6249" t="s">
        <v>113</v>
      </c>
      <c r="R6249" t="str">
        <f>"312-05-655"</f>
        <v>312-05-655</v>
      </c>
      <c r="S6249" t="s">
        <v>29710</v>
      </c>
      <c r="T6249" t="s">
        <v>8810</v>
      </c>
      <c r="U6249">
        <v>1982</v>
      </c>
      <c r="V6249">
        <v>0</v>
      </c>
      <c r="W6249">
        <v>3</v>
      </c>
      <c r="X6249">
        <v>2011</v>
      </c>
      <c r="Z6249">
        <v>1</v>
      </c>
      <c r="AB6249">
        <v>0</v>
      </c>
      <c r="AC6249" t="s">
        <v>115</v>
      </c>
      <c r="AD6249">
        <v>2</v>
      </c>
      <c r="AE6249" t="s">
        <v>115</v>
      </c>
      <c r="AF6249">
        <v>0</v>
      </c>
      <c r="AG6249">
        <v>0</v>
      </c>
      <c r="AH6249" t="s">
        <v>116</v>
      </c>
      <c r="AI6249" s="1">
        <v>96121</v>
      </c>
      <c r="AJ6249" s="2">
        <v>0.28000000000000003</v>
      </c>
      <c r="AK6249" s="1">
        <v>345811</v>
      </c>
      <c r="AL6249" t="s">
        <v>117</v>
      </c>
      <c r="AM6249" t="s">
        <v>191</v>
      </c>
      <c r="AN6249">
        <v>11626</v>
      </c>
      <c r="AO6249">
        <v>0.27</v>
      </c>
      <c r="AR6249">
        <v>1</v>
      </c>
      <c r="AS6249" s="1">
        <v>23820</v>
      </c>
      <c r="AT6249" s="1">
        <v>4760</v>
      </c>
      <c r="AU6249" s="1">
        <v>19060</v>
      </c>
      <c r="AV6249">
        <v>80.02</v>
      </c>
      <c r="AX6249" s="1">
        <v>2070.16</v>
      </c>
      <c r="AY6249" t="s">
        <v>560</v>
      </c>
      <c r="AZ6249" t="s">
        <v>561</v>
      </c>
      <c r="BA6249" t="s">
        <v>194</v>
      </c>
      <c r="BE6249" s="3">
        <v>41845</v>
      </c>
      <c r="BF6249" s="1">
        <v>260000</v>
      </c>
      <c r="BG6249" t="s">
        <v>37868</v>
      </c>
      <c r="BH6249" s="1">
        <v>131.18</v>
      </c>
      <c r="BI6249" s="1">
        <v>249690</v>
      </c>
      <c r="BJ6249" s="3">
        <v>41845</v>
      </c>
      <c r="BK6249" t="s">
        <v>123</v>
      </c>
      <c r="BL6249" t="str">
        <f>"2014.489337"</f>
        <v>2014.489337</v>
      </c>
      <c r="BM6249" t="s">
        <v>12558</v>
      </c>
      <c r="BO6249" t="s">
        <v>37869</v>
      </c>
      <c r="BS6249">
        <v>30</v>
      </c>
      <c r="BW6249" t="str">
        <f>""</f>
        <v/>
      </c>
      <c r="CH6249" t="str">
        <f>""</f>
        <v/>
      </c>
      <c r="CS6249" t="str">
        <f>""</f>
        <v/>
      </c>
    </row>
    <row r="6250" spans="1:97" x14ac:dyDescent="0.25">
      <c r="B6250" t="s">
        <v>37870</v>
      </c>
      <c r="E6250" t="s">
        <v>37871</v>
      </c>
      <c r="F6250" t="s">
        <v>108</v>
      </c>
      <c r="H6250" t="s">
        <v>37872</v>
      </c>
      <c r="I6250" t="s">
        <v>203</v>
      </c>
      <c r="J6250" t="s">
        <v>111</v>
      </c>
      <c r="K6250" t="str">
        <f>"85295"</f>
        <v>85295</v>
      </c>
      <c r="L6250" t="s">
        <v>5084</v>
      </c>
      <c r="M6250" t="s">
        <v>37872</v>
      </c>
      <c r="N6250" t="s">
        <v>203</v>
      </c>
      <c r="O6250" t="s">
        <v>111</v>
      </c>
      <c r="P6250" t="str">
        <f>"85295-2129"</f>
        <v>85295-2129</v>
      </c>
      <c r="Q6250" t="s">
        <v>113</v>
      </c>
      <c r="R6250" t="str">
        <f>"304-48-818"</f>
        <v>304-48-818</v>
      </c>
      <c r="S6250" t="s">
        <v>11698</v>
      </c>
      <c r="T6250" t="s">
        <v>11698</v>
      </c>
      <c r="U6250">
        <v>2485</v>
      </c>
      <c r="V6250">
        <v>0</v>
      </c>
      <c r="W6250">
        <v>4</v>
      </c>
      <c r="X6250">
        <v>2003</v>
      </c>
      <c r="Z6250">
        <v>1</v>
      </c>
      <c r="AA6250" t="s">
        <v>26</v>
      </c>
      <c r="AB6250">
        <v>0</v>
      </c>
      <c r="AC6250" t="s">
        <v>115</v>
      </c>
      <c r="AD6250">
        <v>3</v>
      </c>
      <c r="AE6250" t="s">
        <v>115</v>
      </c>
      <c r="AF6250">
        <v>0</v>
      </c>
      <c r="AG6250">
        <v>0</v>
      </c>
      <c r="AH6250" t="s">
        <v>116</v>
      </c>
      <c r="AI6250" s="1">
        <v>15599</v>
      </c>
      <c r="AJ6250" s="2">
        <v>0.04</v>
      </c>
      <c r="AK6250" s="1">
        <v>398874</v>
      </c>
      <c r="AL6250" t="s">
        <v>117</v>
      </c>
      <c r="AM6250" t="s">
        <v>393</v>
      </c>
      <c r="AN6250">
        <v>8050</v>
      </c>
      <c r="AO6250">
        <v>0.18</v>
      </c>
      <c r="AP6250">
        <v>1</v>
      </c>
      <c r="AR6250">
        <v>1</v>
      </c>
      <c r="AS6250" s="1">
        <v>29030</v>
      </c>
      <c r="AT6250" s="1">
        <v>5800</v>
      </c>
      <c r="AU6250" s="1">
        <v>23230</v>
      </c>
      <c r="AV6250">
        <v>80.02</v>
      </c>
      <c r="AX6250" s="1">
        <v>2458.88</v>
      </c>
      <c r="AY6250" t="s">
        <v>5087</v>
      </c>
      <c r="AZ6250" t="s">
        <v>5087</v>
      </c>
      <c r="BA6250" t="s">
        <v>473</v>
      </c>
      <c r="BB6250" s="3">
        <v>43556</v>
      </c>
      <c r="BC6250" s="1">
        <v>0</v>
      </c>
      <c r="BD6250" t="s">
        <v>247</v>
      </c>
      <c r="BE6250" s="3">
        <v>41677</v>
      </c>
      <c r="BF6250" s="1">
        <v>295000</v>
      </c>
      <c r="BG6250" t="s">
        <v>37873</v>
      </c>
      <c r="BH6250" s="1">
        <v>118.71</v>
      </c>
      <c r="BI6250" s="1">
        <v>383275</v>
      </c>
      <c r="BJ6250" s="3">
        <v>43376</v>
      </c>
      <c r="BK6250" t="s">
        <v>123</v>
      </c>
      <c r="BL6250" t="str">
        <f>"2018.742677"</f>
        <v>2018.742677</v>
      </c>
      <c r="BM6250" t="s">
        <v>1610</v>
      </c>
      <c r="BN6250" t="s">
        <v>1611</v>
      </c>
      <c r="BO6250" t="s">
        <v>37874</v>
      </c>
      <c r="BR6250" t="s">
        <v>139</v>
      </c>
      <c r="BW6250" t="str">
        <f>""</f>
        <v/>
      </c>
      <c r="CH6250" t="str">
        <f>""</f>
        <v/>
      </c>
      <c r="CS6250" t="str">
        <f>""</f>
        <v/>
      </c>
    </row>
    <row r="6251" spans="1:97" x14ac:dyDescent="0.25">
      <c r="A6251" t="s">
        <v>1664</v>
      </c>
      <c r="B6251" t="s">
        <v>37875</v>
      </c>
      <c r="C6251" t="s">
        <v>37876</v>
      </c>
      <c r="D6251" t="s">
        <v>37875</v>
      </c>
      <c r="E6251" t="s">
        <v>37877</v>
      </c>
      <c r="F6251" t="s">
        <v>108</v>
      </c>
      <c r="H6251" t="s">
        <v>37878</v>
      </c>
      <c r="I6251" t="s">
        <v>203</v>
      </c>
      <c r="J6251" t="s">
        <v>111</v>
      </c>
      <c r="K6251" t="str">
        <f>"85297"</f>
        <v>85297</v>
      </c>
      <c r="L6251" t="s">
        <v>299</v>
      </c>
      <c r="M6251" t="s">
        <v>37878</v>
      </c>
      <c r="N6251" t="s">
        <v>203</v>
      </c>
      <c r="O6251" t="s">
        <v>111</v>
      </c>
      <c r="P6251" t="str">
        <f>"85297-4518"</f>
        <v>85297-4518</v>
      </c>
      <c r="Q6251" t="s">
        <v>113</v>
      </c>
      <c r="R6251" t="str">
        <f>"304-57-023"</f>
        <v>304-57-023</v>
      </c>
      <c r="S6251" t="s">
        <v>15422</v>
      </c>
      <c r="T6251" t="s">
        <v>15422</v>
      </c>
      <c r="U6251">
        <v>3244</v>
      </c>
      <c r="V6251">
        <v>0</v>
      </c>
      <c r="W6251">
        <v>4</v>
      </c>
      <c r="X6251">
        <v>2004</v>
      </c>
      <c r="Z6251">
        <v>1</v>
      </c>
      <c r="AA6251" t="s">
        <v>26</v>
      </c>
      <c r="AB6251">
        <v>0</v>
      </c>
      <c r="AC6251" t="s">
        <v>115</v>
      </c>
      <c r="AD6251">
        <v>3</v>
      </c>
      <c r="AE6251" t="s">
        <v>115</v>
      </c>
      <c r="AF6251">
        <v>0</v>
      </c>
      <c r="AG6251">
        <v>0</v>
      </c>
      <c r="AH6251" t="s">
        <v>116</v>
      </c>
      <c r="AI6251" s="1">
        <v>79840</v>
      </c>
      <c r="AJ6251" s="2">
        <v>0.16</v>
      </c>
      <c r="AK6251" s="1">
        <v>507825</v>
      </c>
      <c r="AL6251" t="s">
        <v>117</v>
      </c>
      <c r="AM6251" t="s">
        <v>1302</v>
      </c>
      <c r="AN6251">
        <v>11645</v>
      </c>
      <c r="AO6251">
        <v>0.27</v>
      </c>
      <c r="AP6251">
        <v>1</v>
      </c>
      <c r="AR6251">
        <v>1</v>
      </c>
      <c r="AS6251" s="1">
        <v>37360</v>
      </c>
      <c r="AT6251" s="1">
        <v>7470</v>
      </c>
      <c r="AU6251" s="1">
        <v>29890</v>
      </c>
      <c r="AV6251">
        <v>80.010000000000005</v>
      </c>
      <c r="AX6251" s="1">
        <v>3254.96</v>
      </c>
      <c r="AY6251" t="s">
        <v>302</v>
      </c>
      <c r="AZ6251" t="s">
        <v>273</v>
      </c>
      <c r="BA6251" t="s">
        <v>303</v>
      </c>
      <c r="BE6251" s="3">
        <v>42529</v>
      </c>
      <c r="BF6251" s="1">
        <v>420000</v>
      </c>
      <c r="BG6251" t="s">
        <v>37879</v>
      </c>
      <c r="BH6251" s="1">
        <v>129.47</v>
      </c>
      <c r="BI6251" s="1">
        <v>427985</v>
      </c>
      <c r="BJ6251" s="3">
        <v>43011</v>
      </c>
      <c r="BK6251" t="s">
        <v>123</v>
      </c>
      <c r="BL6251" t="str">
        <f>"2017.730379"</f>
        <v>2017.730379</v>
      </c>
      <c r="BM6251" t="s">
        <v>340</v>
      </c>
      <c r="BO6251" t="s">
        <v>37880</v>
      </c>
      <c r="BS6251">
        <v>29</v>
      </c>
      <c r="BW6251" t="str">
        <f>""</f>
        <v/>
      </c>
      <c r="CH6251" t="str">
        <f>""</f>
        <v/>
      </c>
      <c r="CS6251" t="str">
        <f>""</f>
        <v/>
      </c>
    </row>
    <row r="6252" spans="1:97" x14ac:dyDescent="0.25">
      <c r="A6252" t="s">
        <v>589</v>
      </c>
      <c r="B6252" t="s">
        <v>2046</v>
      </c>
      <c r="E6252" t="s">
        <v>37881</v>
      </c>
      <c r="F6252" t="s">
        <v>108</v>
      </c>
      <c r="H6252" t="s">
        <v>37882</v>
      </c>
      <c r="I6252" t="s">
        <v>2874</v>
      </c>
      <c r="J6252" t="s">
        <v>111</v>
      </c>
      <c r="K6252" t="str">
        <f>"85308"</f>
        <v>85308</v>
      </c>
      <c r="L6252" t="s">
        <v>734</v>
      </c>
      <c r="M6252" t="s">
        <v>37882</v>
      </c>
      <c r="N6252" t="s">
        <v>2874</v>
      </c>
      <c r="O6252" t="s">
        <v>111</v>
      </c>
      <c r="P6252" t="str">
        <f>"85308-5435"</f>
        <v>85308-5435</v>
      </c>
      <c r="Q6252" t="s">
        <v>113</v>
      </c>
      <c r="R6252" t="str">
        <f>"206-31-010"</f>
        <v>206-31-010</v>
      </c>
      <c r="S6252" t="s">
        <v>37883</v>
      </c>
      <c r="T6252" t="s">
        <v>8586</v>
      </c>
      <c r="U6252">
        <v>1733</v>
      </c>
      <c r="V6252">
        <v>0</v>
      </c>
      <c r="W6252">
        <v>2</v>
      </c>
      <c r="X6252">
        <v>1986</v>
      </c>
      <c r="Z6252">
        <v>1</v>
      </c>
      <c r="AA6252" t="s">
        <v>26</v>
      </c>
      <c r="AB6252">
        <v>0</v>
      </c>
      <c r="AC6252" t="s">
        <v>115</v>
      </c>
      <c r="AD6252">
        <v>2</v>
      </c>
      <c r="AE6252" t="s">
        <v>115</v>
      </c>
      <c r="AF6252">
        <v>0</v>
      </c>
      <c r="AG6252">
        <v>0</v>
      </c>
      <c r="AH6252" t="s">
        <v>116</v>
      </c>
      <c r="AI6252" s="1">
        <v>45772</v>
      </c>
      <c r="AJ6252" s="2">
        <v>0.18</v>
      </c>
      <c r="AK6252" s="1">
        <v>261049</v>
      </c>
      <c r="AL6252" t="s">
        <v>117</v>
      </c>
      <c r="AM6252" t="s">
        <v>171</v>
      </c>
      <c r="AN6252">
        <v>7190</v>
      </c>
      <c r="AO6252">
        <v>0.16</v>
      </c>
      <c r="AP6252">
        <v>1</v>
      </c>
      <c r="AR6252">
        <v>1</v>
      </c>
      <c r="AS6252" s="1">
        <v>19600</v>
      </c>
      <c r="AT6252" s="1">
        <v>3920</v>
      </c>
      <c r="AU6252" s="1">
        <v>15680</v>
      </c>
      <c r="AV6252">
        <v>80</v>
      </c>
      <c r="AX6252" s="1">
        <v>1320.82</v>
      </c>
      <c r="AY6252" t="s">
        <v>8587</v>
      </c>
      <c r="AZ6252" t="s">
        <v>5142</v>
      </c>
      <c r="BA6252" t="s">
        <v>5143</v>
      </c>
      <c r="BE6252" s="3">
        <v>42135</v>
      </c>
      <c r="BF6252" s="1">
        <v>181000</v>
      </c>
      <c r="BG6252" t="s">
        <v>37884</v>
      </c>
      <c r="BH6252" s="1">
        <v>104.44</v>
      </c>
      <c r="BI6252" s="1">
        <v>215277</v>
      </c>
      <c r="BJ6252" s="3">
        <v>42997</v>
      </c>
      <c r="BK6252" t="s">
        <v>123</v>
      </c>
      <c r="BL6252" t="str">
        <f>"2017.689830"</f>
        <v>2017.689830</v>
      </c>
      <c r="BM6252" t="s">
        <v>4885</v>
      </c>
      <c r="BO6252" t="s">
        <v>37885</v>
      </c>
      <c r="BS6252">
        <v>30</v>
      </c>
      <c r="BW6252" t="str">
        <f>""</f>
        <v/>
      </c>
      <c r="CH6252" t="str">
        <f>""</f>
        <v/>
      </c>
      <c r="CS6252" t="str">
        <f>""</f>
        <v/>
      </c>
    </row>
    <row r="6253" spans="1:97" x14ac:dyDescent="0.25">
      <c r="A6253" t="s">
        <v>933</v>
      </c>
      <c r="B6253" t="s">
        <v>37886</v>
      </c>
      <c r="E6253" t="s">
        <v>37887</v>
      </c>
      <c r="F6253" t="s">
        <v>108</v>
      </c>
      <c r="H6253" t="s">
        <v>37888</v>
      </c>
      <c r="I6253" t="s">
        <v>203</v>
      </c>
      <c r="J6253" t="s">
        <v>111</v>
      </c>
      <c r="K6253" t="str">
        <f>"85233"</f>
        <v>85233</v>
      </c>
      <c r="L6253" t="s">
        <v>337</v>
      </c>
      <c r="M6253" t="s">
        <v>37888</v>
      </c>
      <c r="N6253" t="s">
        <v>203</v>
      </c>
      <c r="O6253" t="s">
        <v>111</v>
      </c>
      <c r="P6253" t="str">
        <f>"85233-7723"</f>
        <v>85233-7723</v>
      </c>
      <c r="Q6253" t="s">
        <v>113</v>
      </c>
      <c r="R6253" t="str">
        <f>"302-82-892"</f>
        <v>302-82-892</v>
      </c>
      <c r="S6253" t="s">
        <v>37889</v>
      </c>
      <c r="T6253" t="s">
        <v>37889</v>
      </c>
      <c r="U6253">
        <v>2243</v>
      </c>
      <c r="V6253">
        <v>0</v>
      </c>
      <c r="W6253">
        <v>3</v>
      </c>
      <c r="X6253">
        <v>2001</v>
      </c>
      <c r="Z6253">
        <v>1</v>
      </c>
      <c r="AB6253">
        <v>0</v>
      </c>
      <c r="AC6253" t="s">
        <v>115</v>
      </c>
      <c r="AD6253">
        <v>3</v>
      </c>
      <c r="AE6253" t="s">
        <v>115</v>
      </c>
      <c r="AF6253">
        <v>0</v>
      </c>
      <c r="AG6253">
        <v>0</v>
      </c>
      <c r="AH6253" t="s">
        <v>116</v>
      </c>
      <c r="AI6253" s="1">
        <v>128587</v>
      </c>
      <c r="AJ6253" s="2">
        <v>0.34</v>
      </c>
      <c r="AK6253" s="1">
        <v>376787</v>
      </c>
      <c r="AL6253" t="s">
        <v>117</v>
      </c>
      <c r="AM6253" t="s">
        <v>393</v>
      </c>
      <c r="AN6253">
        <v>7150</v>
      </c>
      <c r="AO6253">
        <v>0.16</v>
      </c>
      <c r="AP6253">
        <v>1</v>
      </c>
      <c r="AR6253">
        <v>1</v>
      </c>
      <c r="AS6253" s="1">
        <v>26950</v>
      </c>
      <c r="AT6253" s="1">
        <v>5390</v>
      </c>
      <c r="AU6253" s="1">
        <v>21560</v>
      </c>
      <c r="AV6253">
        <v>80</v>
      </c>
      <c r="AX6253" s="1">
        <v>2216.7800000000002</v>
      </c>
      <c r="AY6253" t="s">
        <v>7046</v>
      </c>
      <c r="AZ6253" t="s">
        <v>207</v>
      </c>
      <c r="BA6253" t="s">
        <v>5479</v>
      </c>
      <c r="BB6253" s="3">
        <v>42975</v>
      </c>
      <c r="BD6253" t="s">
        <v>240</v>
      </c>
      <c r="BE6253" s="3">
        <v>42272</v>
      </c>
      <c r="BF6253" s="1">
        <v>290000</v>
      </c>
      <c r="BG6253" t="s">
        <v>37890</v>
      </c>
      <c r="BH6253" s="1">
        <v>129.29</v>
      </c>
      <c r="BI6253" s="1">
        <v>248200</v>
      </c>
      <c r="BJ6253" s="3">
        <v>42874</v>
      </c>
      <c r="BK6253" t="s">
        <v>123</v>
      </c>
      <c r="BL6253" t="str">
        <f>"2017.364284"</f>
        <v>2017.364284</v>
      </c>
      <c r="BM6253" t="s">
        <v>2051</v>
      </c>
      <c r="BO6253" t="s">
        <v>37891</v>
      </c>
      <c r="BS6253">
        <v>30</v>
      </c>
      <c r="BW6253" t="str">
        <f>""</f>
        <v/>
      </c>
      <c r="CH6253" t="str">
        <f>""</f>
        <v/>
      </c>
      <c r="CS6253" t="str">
        <f>""</f>
        <v/>
      </c>
    </row>
    <row r="6254" spans="1:97" x14ac:dyDescent="0.25">
      <c r="A6254" t="s">
        <v>886</v>
      </c>
      <c r="B6254" t="s">
        <v>37892</v>
      </c>
      <c r="E6254" t="s">
        <v>37893</v>
      </c>
      <c r="F6254" t="s">
        <v>108</v>
      </c>
      <c r="H6254" t="s">
        <v>37894</v>
      </c>
      <c r="I6254" t="s">
        <v>110</v>
      </c>
      <c r="J6254" t="s">
        <v>111</v>
      </c>
      <c r="K6254" t="str">
        <f>"85225"</f>
        <v>85225</v>
      </c>
      <c r="L6254" t="s">
        <v>7626</v>
      </c>
      <c r="M6254" t="s">
        <v>37894</v>
      </c>
      <c r="N6254" t="s">
        <v>110</v>
      </c>
      <c r="O6254" t="s">
        <v>111</v>
      </c>
      <c r="P6254" t="str">
        <f>"85225-5403"</f>
        <v>85225-5403</v>
      </c>
      <c r="Q6254" t="s">
        <v>113</v>
      </c>
      <c r="R6254" t="str">
        <f>"303-69-126"</f>
        <v>303-69-126</v>
      </c>
      <c r="S6254" t="s">
        <v>13560</v>
      </c>
      <c r="T6254" t="s">
        <v>13561</v>
      </c>
      <c r="U6254">
        <v>1885</v>
      </c>
      <c r="V6254">
        <v>0</v>
      </c>
      <c r="W6254">
        <v>3</v>
      </c>
      <c r="X6254">
        <v>1985</v>
      </c>
      <c r="Z6254">
        <v>2</v>
      </c>
      <c r="AB6254">
        <v>0</v>
      </c>
      <c r="AC6254" t="s">
        <v>115</v>
      </c>
      <c r="AD6254">
        <v>2</v>
      </c>
      <c r="AE6254" t="s">
        <v>115</v>
      </c>
      <c r="AF6254">
        <v>0</v>
      </c>
      <c r="AG6254">
        <v>0</v>
      </c>
      <c r="AH6254" t="s">
        <v>116</v>
      </c>
      <c r="AI6254" s="1">
        <v>73249</v>
      </c>
      <c r="AJ6254" s="2">
        <v>0.24</v>
      </c>
      <c r="AK6254" s="1">
        <v>301043</v>
      </c>
      <c r="AL6254" t="s">
        <v>117</v>
      </c>
      <c r="AM6254" t="s">
        <v>118</v>
      </c>
      <c r="AN6254">
        <v>8032</v>
      </c>
      <c r="AO6254">
        <v>0.18</v>
      </c>
      <c r="AP6254">
        <v>1</v>
      </c>
      <c r="AR6254">
        <v>1</v>
      </c>
      <c r="AS6254" s="1">
        <v>20650</v>
      </c>
      <c r="AT6254" s="1">
        <v>4130</v>
      </c>
      <c r="AU6254" s="1">
        <v>16520</v>
      </c>
      <c r="AV6254">
        <v>80</v>
      </c>
      <c r="AX6254" s="1">
        <v>1525.52</v>
      </c>
      <c r="AY6254" t="s">
        <v>5650</v>
      </c>
      <c r="AZ6254" t="s">
        <v>2906</v>
      </c>
      <c r="BA6254" t="s">
        <v>303</v>
      </c>
      <c r="BE6254" s="3">
        <v>42088</v>
      </c>
      <c r="BF6254" s="1">
        <v>223000</v>
      </c>
      <c r="BG6254" t="s">
        <v>37895</v>
      </c>
      <c r="BH6254" s="1">
        <v>118.3</v>
      </c>
      <c r="BI6254" s="1">
        <v>227794</v>
      </c>
      <c r="BJ6254" s="3">
        <v>42088</v>
      </c>
      <c r="BK6254" t="s">
        <v>123</v>
      </c>
      <c r="BL6254" t="str">
        <f>"2015.197521"</f>
        <v>2015.197521</v>
      </c>
      <c r="BM6254" t="s">
        <v>594</v>
      </c>
      <c r="BO6254" t="s">
        <v>37896</v>
      </c>
      <c r="BS6254">
        <v>30</v>
      </c>
      <c r="BW6254" t="str">
        <f>""</f>
        <v/>
      </c>
      <c r="CH6254" t="str">
        <f>""</f>
        <v/>
      </c>
      <c r="CS6254" t="str">
        <f>""</f>
        <v/>
      </c>
    </row>
    <row r="6255" spans="1:97" x14ac:dyDescent="0.25">
      <c r="A6255" t="s">
        <v>13735</v>
      </c>
      <c r="B6255" t="s">
        <v>37897</v>
      </c>
      <c r="C6255" t="s">
        <v>10874</v>
      </c>
      <c r="D6255" t="s">
        <v>37897</v>
      </c>
      <c r="E6255" t="s">
        <v>37898</v>
      </c>
      <c r="F6255" t="s">
        <v>108</v>
      </c>
      <c r="H6255" t="s">
        <v>37899</v>
      </c>
      <c r="I6255" t="s">
        <v>390</v>
      </c>
      <c r="J6255" t="s">
        <v>111</v>
      </c>
      <c r="K6255" t="str">
        <f>"85083"</f>
        <v>85083</v>
      </c>
      <c r="L6255" t="s">
        <v>299</v>
      </c>
      <c r="M6255" t="s">
        <v>37899</v>
      </c>
      <c r="N6255" t="s">
        <v>390</v>
      </c>
      <c r="O6255" t="s">
        <v>111</v>
      </c>
      <c r="P6255" t="str">
        <f>"85083-2412"</f>
        <v>85083-2412</v>
      </c>
      <c r="Q6255" t="s">
        <v>113</v>
      </c>
      <c r="R6255" t="str">
        <f>"201-33-286"</f>
        <v>201-33-286</v>
      </c>
      <c r="S6255" t="s">
        <v>37900</v>
      </c>
      <c r="U6255">
        <v>2708</v>
      </c>
      <c r="V6255">
        <v>0</v>
      </c>
      <c r="W6255">
        <v>4</v>
      </c>
      <c r="X6255">
        <v>2000</v>
      </c>
      <c r="Z6255">
        <v>1</v>
      </c>
      <c r="AA6255" t="s">
        <v>26</v>
      </c>
      <c r="AB6255">
        <v>0</v>
      </c>
      <c r="AC6255" t="s">
        <v>115</v>
      </c>
      <c r="AD6255">
        <v>3</v>
      </c>
      <c r="AE6255" t="s">
        <v>115</v>
      </c>
      <c r="AF6255">
        <v>0</v>
      </c>
      <c r="AG6255">
        <v>0</v>
      </c>
      <c r="AH6255" t="s">
        <v>116</v>
      </c>
      <c r="AI6255" s="1">
        <v>36299</v>
      </c>
      <c r="AJ6255" s="2">
        <v>0.08</v>
      </c>
      <c r="AK6255" s="1">
        <v>447433</v>
      </c>
      <c r="AL6255" t="s">
        <v>117</v>
      </c>
      <c r="AM6255" t="s">
        <v>760</v>
      </c>
      <c r="AN6255">
        <v>8930</v>
      </c>
      <c r="AO6255">
        <v>0.2</v>
      </c>
      <c r="AP6255">
        <v>1</v>
      </c>
      <c r="AR6255">
        <v>1</v>
      </c>
      <c r="AS6255" s="1">
        <v>33420</v>
      </c>
      <c r="AT6255" s="1">
        <v>6680</v>
      </c>
      <c r="AU6255" s="1">
        <v>26740</v>
      </c>
      <c r="AV6255">
        <v>80.010000000000005</v>
      </c>
      <c r="AX6255" s="1">
        <v>3240.3</v>
      </c>
      <c r="AY6255" t="s">
        <v>3522</v>
      </c>
      <c r="AZ6255" t="s">
        <v>3522</v>
      </c>
      <c r="BA6255" t="s">
        <v>1386</v>
      </c>
      <c r="BE6255" s="3">
        <v>42474</v>
      </c>
      <c r="BF6255" s="1">
        <v>398000</v>
      </c>
      <c r="BG6255" t="s">
        <v>37901</v>
      </c>
      <c r="BH6255" s="1">
        <v>146.97</v>
      </c>
      <c r="BI6255" s="1">
        <v>411134</v>
      </c>
      <c r="BJ6255" s="3">
        <v>42474</v>
      </c>
      <c r="BK6255" t="s">
        <v>123</v>
      </c>
      <c r="BL6255" t="str">
        <f>"2016.246348"</f>
        <v>2016.246348</v>
      </c>
      <c r="BM6255" t="s">
        <v>6337</v>
      </c>
      <c r="BO6255" t="s">
        <v>37902</v>
      </c>
      <c r="BS6255">
        <v>30</v>
      </c>
      <c r="BW6255" t="str">
        <f>""</f>
        <v/>
      </c>
      <c r="CH6255" t="str">
        <f>""</f>
        <v/>
      </c>
      <c r="CS6255" t="str">
        <f>""</f>
        <v/>
      </c>
    </row>
    <row r="6256" spans="1:97" x14ac:dyDescent="0.25">
      <c r="A6256" t="s">
        <v>37903</v>
      </c>
      <c r="B6256" t="s">
        <v>37904</v>
      </c>
      <c r="C6256" t="s">
        <v>3718</v>
      </c>
      <c r="D6256" t="s">
        <v>37904</v>
      </c>
      <c r="E6256" t="s">
        <v>37905</v>
      </c>
      <c r="F6256" t="s">
        <v>108</v>
      </c>
      <c r="H6256" t="s">
        <v>37906</v>
      </c>
      <c r="I6256" t="s">
        <v>499</v>
      </c>
      <c r="J6256" t="s">
        <v>111</v>
      </c>
      <c r="K6256" t="str">
        <f>"85395"</f>
        <v>85395</v>
      </c>
      <c r="L6256" t="s">
        <v>3885</v>
      </c>
      <c r="M6256" t="s">
        <v>37906</v>
      </c>
      <c r="N6256" t="s">
        <v>499</v>
      </c>
      <c r="O6256" t="s">
        <v>111</v>
      </c>
      <c r="P6256" t="str">
        <f>"85395-1477"</f>
        <v>85395-1477</v>
      </c>
      <c r="Q6256" t="s">
        <v>113</v>
      </c>
      <c r="R6256" t="str">
        <f>"501-76-690"</f>
        <v>501-76-690</v>
      </c>
      <c r="S6256" t="s">
        <v>10516</v>
      </c>
      <c r="T6256" t="s">
        <v>10517</v>
      </c>
      <c r="U6256">
        <v>3412</v>
      </c>
      <c r="V6256">
        <v>0</v>
      </c>
      <c r="W6256">
        <v>4</v>
      </c>
      <c r="X6256">
        <v>2004</v>
      </c>
      <c r="Z6256">
        <v>2</v>
      </c>
      <c r="AA6256" t="s">
        <v>26</v>
      </c>
      <c r="AB6256">
        <v>0</v>
      </c>
      <c r="AC6256" t="s">
        <v>115</v>
      </c>
      <c r="AD6256">
        <v>3</v>
      </c>
      <c r="AE6256" t="s">
        <v>115</v>
      </c>
      <c r="AF6256">
        <v>0</v>
      </c>
      <c r="AG6256">
        <v>0</v>
      </c>
      <c r="AH6256" t="s">
        <v>116</v>
      </c>
      <c r="AI6256" s="1">
        <v>119170</v>
      </c>
      <c r="AJ6256" s="2">
        <v>0.28999999999999998</v>
      </c>
      <c r="AK6256" s="1">
        <v>413321</v>
      </c>
      <c r="AL6256" t="s">
        <v>117</v>
      </c>
      <c r="AM6256" t="s">
        <v>118</v>
      </c>
      <c r="AN6256">
        <v>9100</v>
      </c>
      <c r="AO6256">
        <v>0.21</v>
      </c>
      <c r="AP6256">
        <v>1</v>
      </c>
      <c r="AR6256">
        <v>1</v>
      </c>
      <c r="AS6256" s="1">
        <v>30730</v>
      </c>
      <c r="AT6256" s="1">
        <v>6140</v>
      </c>
      <c r="AU6256" s="1">
        <v>24590</v>
      </c>
      <c r="AV6256">
        <v>80.02</v>
      </c>
      <c r="AX6256" s="1">
        <v>3618.74</v>
      </c>
      <c r="AY6256" t="s">
        <v>6796</v>
      </c>
      <c r="AZ6256" t="s">
        <v>6796</v>
      </c>
      <c r="BA6256" t="s">
        <v>7186</v>
      </c>
      <c r="BE6256" s="3">
        <v>41656</v>
      </c>
      <c r="BF6256" s="1">
        <v>322800</v>
      </c>
      <c r="BG6256" t="s">
        <v>37907</v>
      </c>
      <c r="BH6256" s="1">
        <v>94.61</v>
      </c>
      <c r="BI6256" s="1">
        <v>294151</v>
      </c>
      <c r="BJ6256" s="3">
        <v>41656</v>
      </c>
      <c r="BK6256" t="s">
        <v>123</v>
      </c>
      <c r="BL6256" t="str">
        <f>"2014.36505"</f>
        <v>2014.36505</v>
      </c>
      <c r="BM6256" t="s">
        <v>135</v>
      </c>
      <c r="BO6256" t="s">
        <v>37908</v>
      </c>
      <c r="BS6256">
        <v>30</v>
      </c>
      <c r="BW6256" t="str">
        <f>""</f>
        <v/>
      </c>
      <c r="CH6256" t="str">
        <f>""</f>
        <v/>
      </c>
      <c r="CS6256" t="str">
        <f>""</f>
        <v/>
      </c>
    </row>
    <row r="6257" spans="1:97" x14ac:dyDescent="0.25">
      <c r="A6257" t="s">
        <v>4863</v>
      </c>
      <c r="B6257" t="s">
        <v>6979</v>
      </c>
      <c r="C6257" t="s">
        <v>2395</v>
      </c>
      <c r="D6257" t="s">
        <v>6979</v>
      </c>
      <c r="E6257" t="s">
        <v>37909</v>
      </c>
      <c r="F6257" t="s">
        <v>108</v>
      </c>
      <c r="H6257" t="s">
        <v>37910</v>
      </c>
      <c r="I6257" t="s">
        <v>632</v>
      </c>
      <c r="J6257" t="s">
        <v>111</v>
      </c>
      <c r="K6257" t="str">
        <f>"85387"</f>
        <v>85387</v>
      </c>
      <c r="L6257" t="s">
        <v>6529</v>
      </c>
      <c r="M6257" t="s">
        <v>37911</v>
      </c>
      <c r="N6257" t="s">
        <v>632</v>
      </c>
      <c r="O6257" t="s">
        <v>111</v>
      </c>
      <c r="P6257" t="str">
        <f>"85387"</f>
        <v>85387</v>
      </c>
      <c r="Q6257" t="s">
        <v>113</v>
      </c>
      <c r="R6257" t="str">
        <f>"510-04-818"</f>
        <v>510-04-818</v>
      </c>
      <c r="S6257" t="s">
        <v>8907</v>
      </c>
      <c r="T6257" t="s">
        <v>5498</v>
      </c>
      <c r="U6257">
        <v>2446</v>
      </c>
      <c r="V6257">
        <v>0</v>
      </c>
      <c r="W6257">
        <v>3</v>
      </c>
      <c r="X6257">
        <v>2015</v>
      </c>
      <c r="Z6257">
        <v>2</v>
      </c>
      <c r="AB6257">
        <v>0</v>
      </c>
      <c r="AC6257" t="s">
        <v>115</v>
      </c>
      <c r="AD6257">
        <v>2</v>
      </c>
      <c r="AE6257" t="s">
        <v>115</v>
      </c>
      <c r="AF6257">
        <v>0</v>
      </c>
      <c r="AG6257">
        <v>0</v>
      </c>
      <c r="AH6257" t="s">
        <v>116</v>
      </c>
      <c r="AI6257" s="1">
        <v>51323</v>
      </c>
      <c r="AJ6257" s="2">
        <v>0.16</v>
      </c>
      <c r="AK6257" s="1">
        <v>313440</v>
      </c>
      <c r="AL6257" t="s">
        <v>117</v>
      </c>
      <c r="AM6257" t="s">
        <v>118</v>
      </c>
      <c r="AN6257">
        <v>8195</v>
      </c>
      <c r="AO6257">
        <v>0.19</v>
      </c>
      <c r="AR6257">
        <v>1</v>
      </c>
      <c r="AS6257" s="1">
        <v>22370</v>
      </c>
      <c r="AT6257" s="1">
        <v>4470</v>
      </c>
      <c r="AU6257" s="1">
        <v>17900</v>
      </c>
      <c r="AV6257">
        <v>80.02</v>
      </c>
      <c r="AX6257" s="1">
        <v>1254.02</v>
      </c>
      <c r="AY6257" t="s">
        <v>5499</v>
      </c>
      <c r="AZ6257" t="s">
        <v>5499</v>
      </c>
      <c r="BE6257" s="3">
        <v>42298</v>
      </c>
      <c r="BF6257" s="1">
        <v>256601</v>
      </c>
      <c r="BG6257" t="s">
        <v>6320</v>
      </c>
      <c r="BH6257" s="1">
        <v>104.91</v>
      </c>
      <c r="BI6257" s="1">
        <v>262117</v>
      </c>
      <c r="BJ6257" s="3">
        <v>42298</v>
      </c>
      <c r="BK6257" t="s">
        <v>123</v>
      </c>
      <c r="BL6257" t="str">
        <f>"2015.757904"</f>
        <v>2015.757904</v>
      </c>
      <c r="BM6257" t="s">
        <v>475</v>
      </c>
      <c r="BO6257" t="s">
        <v>37912</v>
      </c>
      <c r="BS6257">
        <v>30</v>
      </c>
      <c r="BW6257" t="str">
        <f>""</f>
        <v/>
      </c>
      <c r="CH6257" t="str">
        <f>""</f>
        <v/>
      </c>
      <c r="CS6257" t="str">
        <f>""</f>
        <v/>
      </c>
    </row>
    <row r="6258" spans="1:97" x14ac:dyDescent="0.25">
      <c r="A6258" t="s">
        <v>7343</v>
      </c>
      <c r="B6258" t="s">
        <v>37913</v>
      </c>
      <c r="E6258" t="s">
        <v>37914</v>
      </c>
      <c r="F6258" t="s">
        <v>108</v>
      </c>
      <c r="H6258" t="s">
        <v>37915</v>
      </c>
      <c r="I6258" t="s">
        <v>203</v>
      </c>
      <c r="J6258" t="s">
        <v>111</v>
      </c>
      <c r="K6258" t="str">
        <f>"85297"</f>
        <v>85297</v>
      </c>
      <c r="L6258" t="s">
        <v>8335</v>
      </c>
      <c r="M6258" t="s">
        <v>37915</v>
      </c>
      <c r="N6258" t="s">
        <v>203</v>
      </c>
      <c r="O6258" t="s">
        <v>111</v>
      </c>
      <c r="P6258" t="str">
        <f>"85297-7493"</f>
        <v>85297-7493</v>
      </c>
      <c r="R6258" t="str">
        <f>"313-17-534"</f>
        <v>313-17-534</v>
      </c>
      <c r="S6258" t="s">
        <v>12166</v>
      </c>
      <c r="T6258" t="s">
        <v>8579</v>
      </c>
      <c r="U6258">
        <v>2105</v>
      </c>
      <c r="V6258">
        <v>0</v>
      </c>
      <c r="W6258">
        <v>3</v>
      </c>
      <c r="X6258">
        <v>2011</v>
      </c>
      <c r="Z6258">
        <v>2</v>
      </c>
      <c r="AB6258">
        <v>0</v>
      </c>
      <c r="AC6258" t="s">
        <v>115</v>
      </c>
      <c r="AD6258">
        <v>2</v>
      </c>
      <c r="AE6258" t="s">
        <v>115</v>
      </c>
      <c r="AF6258">
        <v>0</v>
      </c>
      <c r="AG6258">
        <v>0</v>
      </c>
      <c r="AH6258" t="s">
        <v>116</v>
      </c>
      <c r="AI6258" s="1">
        <v>59897</v>
      </c>
      <c r="AJ6258" s="2">
        <v>0.2</v>
      </c>
      <c r="AK6258" s="1">
        <v>305751</v>
      </c>
      <c r="AL6258" t="s">
        <v>117</v>
      </c>
      <c r="AM6258" t="s">
        <v>288</v>
      </c>
      <c r="AN6258">
        <v>2660</v>
      </c>
      <c r="AO6258">
        <v>0.61</v>
      </c>
      <c r="AR6258">
        <v>1</v>
      </c>
      <c r="AS6258" s="1">
        <v>20780</v>
      </c>
      <c r="AT6258" s="1">
        <v>4150</v>
      </c>
      <c r="AU6258" s="1">
        <v>16630</v>
      </c>
      <c r="AV6258">
        <v>80.03</v>
      </c>
      <c r="AX6258" s="1">
        <v>1922.64</v>
      </c>
      <c r="AY6258" t="s">
        <v>8338</v>
      </c>
      <c r="AZ6258" t="s">
        <v>8338</v>
      </c>
      <c r="BA6258" t="s">
        <v>290</v>
      </c>
      <c r="BE6258" s="3">
        <v>42550</v>
      </c>
      <c r="BF6258" s="1">
        <v>238000</v>
      </c>
      <c r="BG6258" t="s">
        <v>37916</v>
      </c>
      <c r="BH6258" s="1">
        <v>113.06</v>
      </c>
      <c r="BI6258" s="1">
        <v>245854</v>
      </c>
      <c r="BJ6258" s="3">
        <v>42550</v>
      </c>
      <c r="BK6258" t="s">
        <v>123</v>
      </c>
      <c r="BL6258" t="str">
        <f>"2016.457512"</f>
        <v>2016.457512</v>
      </c>
      <c r="BM6258" t="s">
        <v>544</v>
      </c>
      <c r="BN6258" t="s">
        <v>545</v>
      </c>
      <c r="BO6258" t="s">
        <v>37917</v>
      </c>
      <c r="BS6258">
        <v>30</v>
      </c>
      <c r="BW6258" t="str">
        <f>""</f>
        <v/>
      </c>
      <c r="CH6258" t="str">
        <f>""</f>
        <v/>
      </c>
      <c r="CS6258" t="str">
        <f>""</f>
        <v/>
      </c>
    </row>
    <row r="6259" spans="1:97" x14ac:dyDescent="0.25">
      <c r="A6259" t="s">
        <v>6060</v>
      </c>
      <c r="B6259" t="s">
        <v>37918</v>
      </c>
      <c r="C6259" t="s">
        <v>29281</v>
      </c>
      <c r="D6259" t="s">
        <v>37918</v>
      </c>
      <c r="E6259" t="s">
        <v>37919</v>
      </c>
      <c r="F6259" t="s">
        <v>108</v>
      </c>
      <c r="H6259" t="s">
        <v>37920</v>
      </c>
      <c r="I6259" t="s">
        <v>1936</v>
      </c>
      <c r="J6259" t="s">
        <v>111</v>
      </c>
      <c r="K6259" t="str">
        <f>"85254"</f>
        <v>85254</v>
      </c>
      <c r="L6259" t="s">
        <v>5408</v>
      </c>
      <c r="M6259" t="s">
        <v>37920</v>
      </c>
      <c r="N6259" t="s">
        <v>1936</v>
      </c>
      <c r="O6259" t="s">
        <v>111</v>
      </c>
      <c r="P6259" t="str">
        <f>"85254-3966"</f>
        <v>85254-3966</v>
      </c>
      <c r="Q6259" t="s">
        <v>113</v>
      </c>
      <c r="R6259" t="str">
        <f>"175-06-181"</f>
        <v>175-06-181</v>
      </c>
      <c r="S6259" t="s">
        <v>24954</v>
      </c>
      <c r="T6259" t="s">
        <v>24955</v>
      </c>
      <c r="U6259">
        <v>1617</v>
      </c>
      <c r="V6259">
        <v>0</v>
      </c>
      <c r="W6259">
        <v>2</v>
      </c>
      <c r="X6259">
        <v>1975</v>
      </c>
      <c r="Z6259">
        <v>1</v>
      </c>
      <c r="AA6259" t="s">
        <v>26</v>
      </c>
      <c r="AB6259">
        <v>0</v>
      </c>
      <c r="AC6259" t="s">
        <v>115</v>
      </c>
      <c r="AD6259">
        <v>2</v>
      </c>
      <c r="AE6259" t="s">
        <v>115</v>
      </c>
      <c r="AF6259">
        <v>0</v>
      </c>
      <c r="AG6259">
        <v>0</v>
      </c>
      <c r="AH6259" t="s">
        <v>116</v>
      </c>
      <c r="AI6259" s="1">
        <v>121621</v>
      </c>
      <c r="AJ6259" s="2">
        <v>0.3</v>
      </c>
      <c r="AK6259" s="1">
        <v>410861</v>
      </c>
      <c r="AL6259" t="s">
        <v>117</v>
      </c>
      <c r="AM6259" t="s">
        <v>9009</v>
      </c>
      <c r="AN6259">
        <v>10604</v>
      </c>
      <c r="AO6259">
        <v>0.24</v>
      </c>
      <c r="AP6259">
        <v>1</v>
      </c>
      <c r="AR6259">
        <v>1</v>
      </c>
      <c r="AS6259" s="1">
        <v>30100</v>
      </c>
      <c r="AT6259" s="1">
        <v>6020</v>
      </c>
      <c r="AU6259" s="1">
        <v>24080</v>
      </c>
      <c r="AV6259">
        <v>80</v>
      </c>
      <c r="AX6259" s="1">
        <v>2571.48</v>
      </c>
      <c r="AY6259" t="s">
        <v>19772</v>
      </c>
      <c r="AZ6259" t="s">
        <v>7739</v>
      </c>
      <c r="BA6259" t="s">
        <v>6302</v>
      </c>
      <c r="BE6259" s="3">
        <v>42485</v>
      </c>
      <c r="BF6259" s="1">
        <v>280000</v>
      </c>
      <c r="BG6259" t="s">
        <v>37921</v>
      </c>
      <c r="BH6259" s="1">
        <v>173.16</v>
      </c>
      <c r="BI6259" s="1">
        <v>289240</v>
      </c>
      <c r="BJ6259" s="3">
        <v>42485</v>
      </c>
      <c r="BK6259" t="s">
        <v>123</v>
      </c>
      <c r="BL6259" t="str">
        <f>"2016.275050"</f>
        <v>2016.275050</v>
      </c>
      <c r="BM6259" t="s">
        <v>6742</v>
      </c>
      <c r="BO6259" t="s">
        <v>37922</v>
      </c>
      <c r="BS6259">
        <v>30</v>
      </c>
      <c r="BW6259" t="str">
        <f>""</f>
        <v/>
      </c>
      <c r="CH6259" t="str">
        <f>""</f>
        <v/>
      </c>
      <c r="CS6259" t="str">
        <f>""</f>
        <v/>
      </c>
    </row>
    <row r="6260" spans="1:97" x14ac:dyDescent="0.25">
      <c r="B6260" t="s">
        <v>37923</v>
      </c>
      <c r="C6260" t="s">
        <v>37924</v>
      </c>
      <c r="E6260" t="s">
        <v>37925</v>
      </c>
      <c r="F6260" t="s">
        <v>108</v>
      </c>
      <c r="H6260" t="s">
        <v>37926</v>
      </c>
      <c r="I6260" t="s">
        <v>1936</v>
      </c>
      <c r="J6260" t="s">
        <v>111</v>
      </c>
      <c r="K6260" t="str">
        <f>"85260"</f>
        <v>85260</v>
      </c>
      <c r="L6260" t="s">
        <v>6891</v>
      </c>
      <c r="M6260" t="s">
        <v>37926</v>
      </c>
      <c r="N6260" t="s">
        <v>1936</v>
      </c>
      <c r="O6260" t="s">
        <v>111</v>
      </c>
      <c r="P6260" t="str">
        <f>"85260-7224"</f>
        <v>85260-7224</v>
      </c>
      <c r="Q6260" t="s">
        <v>113</v>
      </c>
      <c r="R6260" t="str">
        <f>"217-23-638"</f>
        <v>217-23-638</v>
      </c>
      <c r="S6260" t="s">
        <v>37927</v>
      </c>
      <c r="T6260" t="s">
        <v>21070</v>
      </c>
      <c r="U6260">
        <v>1951</v>
      </c>
      <c r="V6260">
        <v>0</v>
      </c>
      <c r="W6260">
        <v>3</v>
      </c>
      <c r="X6260">
        <v>1987</v>
      </c>
      <c r="Z6260">
        <v>1</v>
      </c>
      <c r="AA6260" t="s">
        <v>26</v>
      </c>
      <c r="AB6260">
        <v>0</v>
      </c>
      <c r="AC6260" t="s">
        <v>115</v>
      </c>
      <c r="AD6260">
        <v>2</v>
      </c>
      <c r="AE6260" t="s">
        <v>115</v>
      </c>
      <c r="AF6260">
        <v>0</v>
      </c>
      <c r="AG6260">
        <v>0</v>
      </c>
      <c r="AH6260" t="s">
        <v>116</v>
      </c>
      <c r="AI6260" s="1">
        <v>123203</v>
      </c>
      <c r="AJ6260" s="2">
        <v>0.25</v>
      </c>
      <c r="AK6260" s="1">
        <v>489918</v>
      </c>
      <c r="AL6260" t="s">
        <v>117</v>
      </c>
      <c r="AM6260" t="s">
        <v>393</v>
      </c>
      <c r="AN6260">
        <v>8773</v>
      </c>
      <c r="AO6260">
        <v>0.2</v>
      </c>
      <c r="AP6260">
        <v>1</v>
      </c>
      <c r="AR6260">
        <v>1</v>
      </c>
      <c r="AS6260" s="1">
        <v>35220</v>
      </c>
      <c r="AT6260" s="1">
        <v>7040</v>
      </c>
      <c r="AU6260" s="1">
        <v>28180</v>
      </c>
      <c r="AV6260">
        <v>80.010000000000005</v>
      </c>
      <c r="AX6260" s="1">
        <v>2453.3200000000002</v>
      </c>
      <c r="AY6260" t="s">
        <v>5904</v>
      </c>
      <c r="AZ6260" t="s">
        <v>5420</v>
      </c>
      <c r="BA6260" t="s">
        <v>5763</v>
      </c>
      <c r="BB6260" s="3">
        <v>43711</v>
      </c>
      <c r="BC6260" s="1">
        <v>0</v>
      </c>
      <c r="BD6260" t="s">
        <v>247</v>
      </c>
      <c r="BE6260" s="3">
        <v>42447</v>
      </c>
      <c r="BF6260" s="1">
        <v>355000</v>
      </c>
      <c r="BG6260" t="s">
        <v>37928</v>
      </c>
      <c r="BH6260" s="1">
        <v>181.96</v>
      </c>
      <c r="BI6260" s="1">
        <v>366715</v>
      </c>
      <c r="BJ6260" s="3">
        <v>42447</v>
      </c>
      <c r="BK6260" t="s">
        <v>123</v>
      </c>
      <c r="BL6260" t="str">
        <f>"2016.177393"</f>
        <v>2016.177393</v>
      </c>
      <c r="BM6260" t="s">
        <v>1154</v>
      </c>
      <c r="BN6260" t="s">
        <v>1136</v>
      </c>
      <c r="BO6260" t="s">
        <v>37929</v>
      </c>
      <c r="BP6260" t="s">
        <v>37930</v>
      </c>
      <c r="BS6260">
        <v>30</v>
      </c>
      <c r="BW6260" t="str">
        <f>""</f>
        <v/>
      </c>
      <c r="CH6260" t="str">
        <f>""</f>
        <v/>
      </c>
      <c r="CS6260" t="str">
        <f>""</f>
        <v/>
      </c>
    </row>
    <row r="6261" spans="1:97" x14ac:dyDescent="0.25">
      <c r="A6261" t="s">
        <v>31062</v>
      </c>
      <c r="B6261" t="s">
        <v>37931</v>
      </c>
      <c r="C6261" t="s">
        <v>9963</v>
      </c>
      <c r="D6261" t="s">
        <v>37931</v>
      </c>
      <c r="E6261" t="s">
        <v>37932</v>
      </c>
      <c r="F6261" t="s">
        <v>108</v>
      </c>
      <c r="H6261" t="s">
        <v>37933</v>
      </c>
      <c r="I6261" t="s">
        <v>188</v>
      </c>
      <c r="J6261" t="s">
        <v>111</v>
      </c>
      <c r="K6261" t="str">
        <f>"85142"</f>
        <v>85142</v>
      </c>
      <c r="L6261" t="s">
        <v>5910</v>
      </c>
      <c r="M6261" t="s">
        <v>37933</v>
      </c>
      <c r="N6261" t="s">
        <v>188</v>
      </c>
      <c r="O6261" t="s">
        <v>111</v>
      </c>
      <c r="P6261" t="str">
        <f>"85142-3662"</f>
        <v>85142-3662</v>
      </c>
      <c r="Q6261" t="s">
        <v>113</v>
      </c>
      <c r="R6261" t="str">
        <f>"314-04-084"</f>
        <v>314-04-084</v>
      </c>
      <c r="S6261" t="s">
        <v>36770</v>
      </c>
      <c r="U6261">
        <v>3862</v>
      </c>
      <c r="V6261">
        <v>0</v>
      </c>
      <c r="W6261">
        <v>4</v>
      </c>
      <c r="X6261">
        <v>2008</v>
      </c>
      <c r="Z6261">
        <v>2</v>
      </c>
      <c r="AB6261">
        <v>0</v>
      </c>
      <c r="AC6261" t="s">
        <v>115</v>
      </c>
      <c r="AD6261">
        <v>2</v>
      </c>
      <c r="AE6261" t="s">
        <v>115</v>
      </c>
      <c r="AF6261">
        <v>0</v>
      </c>
      <c r="AG6261">
        <v>0</v>
      </c>
      <c r="AH6261" t="s">
        <v>116</v>
      </c>
      <c r="AI6261" s="1">
        <v>55708</v>
      </c>
      <c r="AJ6261" s="2">
        <v>0.11</v>
      </c>
      <c r="AK6261" s="1">
        <v>496708</v>
      </c>
      <c r="AL6261" t="s">
        <v>117</v>
      </c>
      <c r="AM6261" t="s">
        <v>5791</v>
      </c>
      <c r="AN6261">
        <v>13397</v>
      </c>
      <c r="AO6261">
        <v>0.31</v>
      </c>
      <c r="AR6261">
        <v>1</v>
      </c>
      <c r="AS6261" s="1">
        <v>33100</v>
      </c>
      <c r="AT6261" s="1">
        <v>6620</v>
      </c>
      <c r="AU6261" s="1">
        <v>26480</v>
      </c>
      <c r="AV6261">
        <v>80</v>
      </c>
      <c r="AX6261" s="1">
        <v>3395.02</v>
      </c>
      <c r="AY6261" t="s">
        <v>5792</v>
      </c>
      <c r="AZ6261" t="s">
        <v>5792</v>
      </c>
      <c r="BA6261" t="s">
        <v>290</v>
      </c>
      <c r="BE6261" s="3">
        <v>42416</v>
      </c>
      <c r="BF6261" s="1">
        <v>440000</v>
      </c>
      <c r="BG6261" t="s">
        <v>37934</v>
      </c>
      <c r="BH6261" s="1">
        <v>113.93</v>
      </c>
      <c r="BI6261" s="1">
        <v>441000</v>
      </c>
      <c r="BJ6261" s="3">
        <v>42641</v>
      </c>
      <c r="BK6261" t="s">
        <v>123</v>
      </c>
      <c r="BL6261" t="str">
        <f>"2016.707865"</f>
        <v>2016.707865</v>
      </c>
      <c r="BM6261" t="s">
        <v>2980</v>
      </c>
      <c r="BO6261" t="s">
        <v>37935</v>
      </c>
      <c r="BS6261">
        <v>30</v>
      </c>
      <c r="BW6261" t="str">
        <f>""</f>
        <v/>
      </c>
      <c r="CH6261" t="str">
        <f>""</f>
        <v/>
      </c>
      <c r="CS6261" t="str">
        <f>""</f>
        <v/>
      </c>
    </row>
    <row r="6262" spans="1:97" x14ac:dyDescent="0.25">
      <c r="A6262" t="s">
        <v>325</v>
      </c>
      <c r="B6262" t="s">
        <v>37936</v>
      </c>
      <c r="C6262" t="s">
        <v>2762</v>
      </c>
      <c r="D6262" t="s">
        <v>37936</v>
      </c>
      <c r="E6262" t="s">
        <v>37937</v>
      </c>
      <c r="F6262" t="s">
        <v>108</v>
      </c>
      <c r="H6262" t="s">
        <v>37938</v>
      </c>
      <c r="I6262" t="s">
        <v>390</v>
      </c>
      <c r="J6262" t="s">
        <v>111</v>
      </c>
      <c r="K6262" t="str">
        <f>"85045"</f>
        <v>85045</v>
      </c>
      <c r="L6262" t="s">
        <v>8199</v>
      </c>
      <c r="M6262" t="s">
        <v>37938</v>
      </c>
      <c r="N6262" t="s">
        <v>390</v>
      </c>
      <c r="O6262" t="s">
        <v>111</v>
      </c>
      <c r="P6262" t="str">
        <f>"85045-1948"</f>
        <v>85045-1948</v>
      </c>
      <c r="Q6262" t="s">
        <v>113</v>
      </c>
      <c r="R6262" t="str">
        <f>"300-36-711"</f>
        <v>300-36-711</v>
      </c>
      <c r="S6262" t="s">
        <v>23788</v>
      </c>
      <c r="T6262" t="s">
        <v>12613</v>
      </c>
      <c r="U6262">
        <v>2329</v>
      </c>
      <c r="V6262">
        <v>0</v>
      </c>
      <c r="W6262">
        <v>4</v>
      </c>
      <c r="X6262">
        <v>1992</v>
      </c>
      <c r="Z6262">
        <v>2</v>
      </c>
      <c r="AA6262" t="s">
        <v>26</v>
      </c>
      <c r="AB6262">
        <v>0</v>
      </c>
      <c r="AC6262" t="s">
        <v>115</v>
      </c>
      <c r="AD6262">
        <v>3</v>
      </c>
      <c r="AE6262" t="s">
        <v>115</v>
      </c>
      <c r="AF6262">
        <v>0</v>
      </c>
      <c r="AG6262">
        <v>0</v>
      </c>
      <c r="AH6262" t="s">
        <v>116</v>
      </c>
      <c r="AI6262" s="1">
        <v>72462</v>
      </c>
      <c r="AJ6262" s="2">
        <v>0.18</v>
      </c>
      <c r="AK6262" s="1">
        <v>405042</v>
      </c>
      <c r="AL6262" t="s">
        <v>117</v>
      </c>
      <c r="AM6262" t="s">
        <v>191</v>
      </c>
      <c r="AN6262">
        <v>6129</v>
      </c>
      <c r="AO6262">
        <v>0.14000000000000001</v>
      </c>
      <c r="AP6262">
        <v>1</v>
      </c>
      <c r="AR6262">
        <v>1</v>
      </c>
      <c r="AS6262" s="1">
        <v>29170</v>
      </c>
      <c r="AT6262" s="1">
        <v>5830</v>
      </c>
      <c r="AU6262" s="1">
        <v>23340</v>
      </c>
      <c r="AV6262">
        <v>80.010000000000005</v>
      </c>
      <c r="AX6262" s="1">
        <v>3067.96</v>
      </c>
      <c r="AY6262" t="s">
        <v>6202</v>
      </c>
      <c r="AZ6262" t="s">
        <v>2967</v>
      </c>
      <c r="BA6262" t="s">
        <v>930</v>
      </c>
      <c r="BE6262" s="3">
        <v>41698</v>
      </c>
      <c r="BF6262" s="1">
        <v>332000</v>
      </c>
      <c r="BG6262" t="s">
        <v>37939</v>
      </c>
      <c r="BH6262" s="1">
        <v>142.55000000000001</v>
      </c>
      <c r="BI6262" s="1">
        <v>332580</v>
      </c>
      <c r="BJ6262" s="3">
        <v>42401</v>
      </c>
      <c r="BK6262" t="s">
        <v>123</v>
      </c>
      <c r="BL6262" t="str">
        <f>"2016.66365"</f>
        <v>2016.66365</v>
      </c>
      <c r="BM6262" t="s">
        <v>724</v>
      </c>
      <c r="BO6262" t="s">
        <v>37940</v>
      </c>
      <c r="BS6262">
        <v>30</v>
      </c>
      <c r="BW6262" t="str">
        <f>""</f>
        <v/>
      </c>
      <c r="CH6262" t="str">
        <f>""</f>
        <v/>
      </c>
      <c r="CS6262" t="str">
        <f>""</f>
        <v/>
      </c>
    </row>
    <row r="6263" spans="1:97" x14ac:dyDescent="0.25">
      <c r="A6263" t="s">
        <v>815</v>
      </c>
      <c r="B6263" t="s">
        <v>37941</v>
      </c>
      <c r="C6263" t="s">
        <v>4588</v>
      </c>
      <c r="D6263" t="s">
        <v>37942</v>
      </c>
      <c r="E6263" t="s">
        <v>37943</v>
      </c>
      <c r="F6263" t="s">
        <v>108</v>
      </c>
      <c r="H6263" t="s">
        <v>37944</v>
      </c>
      <c r="I6263" t="s">
        <v>453</v>
      </c>
      <c r="J6263" t="s">
        <v>111</v>
      </c>
      <c r="K6263" t="str">
        <f>"85382"</f>
        <v>85382</v>
      </c>
      <c r="L6263" t="s">
        <v>2765</v>
      </c>
      <c r="M6263" t="s">
        <v>37944</v>
      </c>
      <c r="N6263" t="s">
        <v>453</v>
      </c>
      <c r="O6263" t="s">
        <v>111</v>
      </c>
      <c r="P6263" t="str">
        <f>"85382-8520"</f>
        <v>85382-8520</v>
      </c>
      <c r="Q6263" t="s">
        <v>113</v>
      </c>
      <c r="R6263" t="str">
        <f>"200-31-024"</f>
        <v>200-31-024</v>
      </c>
      <c r="S6263" t="s">
        <v>37945</v>
      </c>
      <c r="T6263" t="s">
        <v>37946</v>
      </c>
      <c r="U6263">
        <v>1879</v>
      </c>
      <c r="V6263">
        <v>0</v>
      </c>
      <c r="W6263">
        <v>3</v>
      </c>
      <c r="X6263">
        <v>1991</v>
      </c>
      <c r="Z6263">
        <v>1</v>
      </c>
      <c r="AB6263">
        <v>0</v>
      </c>
      <c r="AC6263" t="s">
        <v>115</v>
      </c>
      <c r="AD6263">
        <v>2</v>
      </c>
      <c r="AE6263" t="s">
        <v>115</v>
      </c>
      <c r="AF6263">
        <v>0</v>
      </c>
      <c r="AG6263">
        <v>0</v>
      </c>
      <c r="AH6263" t="s">
        <v>116</v>
      </c>
      <c r="AI6263" s="1">
        <v>-24053</v>
      </c>
      <c r="AJ6263" s="2">
        <v>-0.08</v>
      </c>
      <c r="AK6263" s="1">
        <v>315947</v>
      </c>
      <c r="AL6263" t="s">
        <v>117</v>
      </c>
      <c r="AM6263" t="s">
        <v>118</v>
      </c>
      <c r="AN6263">
        <v>11544</v>
      </c>
      <c r="AO6263">
        <v>0.26</v>
      </c>
      <c r="AP6263">
        <v>1</v>
      </c>
      <c r="AR6263">
        <v>1</v>
      </c>
      <c r="AS6263" s="1">
        <v>22130</v>
      </c>
      <c r="AT6263" s="1">
        <v>4420</v>
      </c>
      <c r="AU6263" s="1">
        <v>17710</v>
      </c>
      <c r="AV6263">
        <v>80.03</v>
      </c>
      <c r="AX6263" s="1">
        <v>2036.66</v>
      </c>
      <c r="AY6263" t="s">
        <v>7828</v>
      </c>
      <c r="AZ6263" t="s">
        <v>7828</v>
      </c>
      <c r="BA6263" t="s">
        <v>4219</v>
      </c>
      <c r="BE6263" s="3">
        <v>42502</v>
      </c>
      <c r="BF6263" s="1">
        <v>255000</v>
      </c>
      <c r="BG6263" t="s">
        <v>37947</v>
      </c>
      <c r="BH6263" s="1">
        <v>135.71</v>
      </c>
      <c r="BI6263" s="1">
        <v>340000</v>
      </c>
      <c r="BJ6263" s="3">
        <v>43623</v>
      </c>
      <c r="BK6263" t="s">
        <v>123</v>
      </c>
      <c r="BL6263" t="str">
        <f>"2019.424089"</f>
        <v>2019.424089</v>
      </c>
      <c r="BM6263" t="s">
        <v>903</v>
      </c>
      <c r="BN6263" t="s">
        <v>904</v>
      </c>
      <c r="BO6263" t="s">
        <v>37948</v>
      </c>
      <c r="BP6263" t="s">
        <v>37949</v>
      </c>
      <c r="BR6263" t="s">
        <v>139</v>
      </c>
      <c r="BW6263" t="str">
        <f>""</f>
        <v/>
      </c>
      <c r="CH6263" t="str">
        <f>""</f>
        <v/>
      </c>
      <c r="CS6263" t="str">
        <f>""</f>
        <v/>
      </c>
    </row>
    <row r="6264" spans="1:97" x14ac:dyDescent="0.25">
      <c r="A6264" t="s">
        <v>602</v>
      </c>
      <c r="B6264" t="s">
        <v>4099</v>
      </c>
      <c r="C6264" t="s">
        <v>2530</v>
      </c>
      <c r="D6264" t="s">
        <v>4099</v>
      </c>
      <c r="E6264" t="s">
        <v>37950</v>
      </c>
      <c r="F6264" t="s">
        <v>108</v>
      </c>
      <c r="H6264" t="s">
        <v>37951</v>
      </c>
      <c r="I6264" t="s">
        <v>390</v>
      </c>
      <c r="J6264" t="s">
        <v>111</v>
      </c>
      <c r="K6264" t="str">
        <f>"85022"</f>
        <v>85022</v>
      </c>
      <c r="L6264" t="s">
        <v>9168</v>
      </c>
      <c r="M6264" t="s">
        <v>37952</v>
      </c>
      <c r="N6264" t="s">
        <v>390</v>
      </c>
      <c r="O6264" t="s">
        <v>111</v>
      </c>
      <c r="P6264" t="str">
        <f>"85022"</f>
        <v>85022</v>
      </c>
      <c r="Q6264" t="s">
        <v>113</v>
      </c>
      <c r="R6264" t="str">
        <f>"208-17-296"</f>
        <v>208-17-296</v>
      </c>
      <c r="S6264" t="s">
        <v>37953</v>
      </c>
      <c r="T6264" t="s">
        <v>27257</v>
      </c>
      <c r="U6264">
        <v>2236</v>
      </c>
      <c r="V6264">
        <v>0</v>
      </c>
      <c r="W6264">
        <v>2</v>
      </c>
      <c r="X6264">
        <v>1973</v>
      </c>
      <c r="Z6264">
        <v>1</v>
      </c>
      <c r="AA6264" t="s">
        <v>26</v>
      </c>
      <c r="AB6264">
        <v>0</v>
      </c>
      <c r="AC6264" t="s">
        <v>115</v>
      </c>
      <c r="AD6264">
        <v>2</v>
      </c>
      <c r="AE6264" t="s">
        <v>115</v>
      </c>
      <c r="AF6264">
        <v>0</v>
      </c>
      <c r="AG6264">
        <v>0</v>
      </c>
      <c r="AH6264" t="s">
        <v>116</v>
      </c>
      <c r="AI6264" s="1">
        <v>-34009</v>
      </c>
      <c r="AJ6264" s="2">
        <v>-0.08</v>
      </c>
      <c r="AK6264" s="1">
        <v>415991</v>
      </c>
      <c r="AL6264" t="s">
        <v>117</v>
      </c>
      <c r="AM6264" t="s">
        <v>1302</v>
      </c>
      <c r="AN6264">
        <v>10065</v>
      </c>
      <c r="AO6264">
        <v>0.23</v>
      </c>
      <c r="AP6264">
        <v>1</v>
      </c>
      <c r="AR6264">
        <v>1</v>
      </c>
      <c r="AS6264" s="1">
        <v>28810</v>
      </c>
      <c r="AT6264" s="1">
        <v>5760</v>
      </c>
      <c r="AU6264" s="1">
        <v>23050</v>
      </c>
      <c r="AV6264">
        <v>80.010000000000005</v>
      </c>
      <c r="AX6264" s="1">
        <v>3163.44</v>
      </c>
      <c r="AY6264" t="s">
        <v>9170</v>
      </c>
      <c r="AZ6264" t="s">
        <v>8648</v>
      </c>
      <c r="BA6264" t="s">
        <v>8649</v>
      </c>
      <c r="BB6264" s="3">
        <v>43494</v>
      </c>
      <c r="BC6264" s="1">
        <v>0</v>
      </c>
      <c r="BD6264" t="s">
        <v>247</v>
      </c>
      <c r="BE6264" s="3">
        <v>42167</v>
      </c>
      <c r="BF6264" s="1">
        <v>370000</v>
      </c>
      <c r="BG6264" t="s">
        <v>37954</v>
      </c>
      <c r="BH6264" s="1">
        <v>165.47</v>
      </c>
      <c r="BI6264" s="1">
        <v>450000</v>
      </c>
      <c r="BJ6264" s="3">
        <v>43544</v>
      </c>
      <c r="BK6264" t="s">
        <v>123</v>
      </c>
      <c r="BL6264" t="str">
        <f>"2019.194459"</f>
        <v>2019.194459</v>
      </c>
      <c r="BM6264" t="s">
        <v>37955</v>
      </c>
      <c r="BN6264" t="s">
        <v>37956</v>
      </c>
      <c r="BO6264" t="s">
        <v>37957</v>
      </c>
      <c r="BP6264" t="s">
        <v>37958</v>
      </c>
      <c r="BR6264" t="s">
        <v>139</v>
      </c>
      <c r="BW6264" t="str">
        <f>""</f>
        <v/>
      </c>
      <c r="CH6264" t="str">
        <f>""</f>
        <v/>
      </c>
      <c r="CS6264" t="str">
        <f>""</f>
        <v/>
      </c>
    </row>
    <row r="6265" spans="1:97" x14ac:dyDescent="0.25">
      <c r="A6265" t="s">
        <v>5947</v>
      </c>
      <c r="B6265" t="s">
        <v>37959</v>
      </c>
      <c r="E6265" t="s">
        <v>37960</v>
      </c>
      <c r="F6265" t="s">
        <v>108</v>
      </c>
      <c r="H6265" t="s">
        <v>37961</v>
      </c>
      <c r="I6265" t="s">
        <v>632</v>
      </c>
      <c r="J6265" t="s">
        <v>111</v>
      </c>
      <c r="K6265" t="str">
        <f>"85388"</f>
        <v>85388</v>
      </c>
      <c r="L6265" t="s">
        <v>5727</v>
      </c>
      <c r="M6265" t="s">
        <v>37961</v>
      </c>
      <c r="N6265" t="s">
        <v>632</v>
      </c>
      <c r="O6265" t="s">
        <v>111</v>
      </c>
      <c r="P6265" t="str">
        <f>"85388-5642"</f>
        <v>85388-5642</v>
      </c>
      <c r="Q6265" t="s">
        <v>113</v>
      </c>
      <c r="R6265" t="str">
        <f>"502-06-363"</f>
        <v>502-06-363</v>
      </c>
      <c r="S6265" t="s">
        <v>5728</v>
      </c>
      <c r="T6265" t="s">
        <v>5167</v>
      </c>
      <c r="U6265">
        <v>2302</v>
      </c>
      <c r="V6265">
        <v>0</v>
      </c>
      <c r="W6265">
        <v>3</v>
      </c>
      <c r="X6265">
        <v>2016</v>
      </c>
      <c r="Z6265">
        <v>1</v>
      </c>
      <c r="AA6265" t="s">
        <v>26</v>
      </c>
      <c r="AB6265">
        <v>0</v>
      </c>
      <c r="AC6265" t="s">
        <v>115</v>
      </c>
      <c r="AD6265">
        <v>4</v>
      </c>
      <c r="AE6265" t="s">
        <v>115</v>
      </c>
      <c r="AF6265">
        <v>0</v>
      </c>
      <c r="AG6265">
        <v>0</v>
      </c>
      <c r="AH6265" t="s">
        <v>116</v>
      </c>
      <c r="AI6265" s="1">
        <v>68619</v>
      </c>
      <c r="AJ6265" s="2">
        <v>0.18</v>
      </c>
      <c r="AK6265" s="1">
        <v>386558</v>
      </c>
      <c r="AL6265" t="s">
        <v>117</v>
      </c>
      <c r="AM6265" t="s">
        <v>118</v>
      </c>
      <c r="AN6265">
        <v>9525</v>
      </c>
      <c r="AO6265">
        <v>0.22</v>
      </c>
      <c r="AR6265">
        <v>1</v>
      </c>
      <c r="AS6265" s="1">
        <v>30810</v>
      </c>
      <c r="AT6265" s="1">
        <v>6160</v>
      </c>
      <c r="AU6265" s="1">
        <v>24650</v>
      </c>
      <c r="AV6265">
        <v>80.010000000000005</v>
      </c>
      <c r="AX6265" s="1">
        <v>2068.6</v>
      </c>
      <c r="AY6265" t="s">
        <v>5168</v>
      </c>
      <c r="AZ6265" t="s">
        <v>5168</v>
      </c>
      <c r="BA6265" t="s">
        <v>5061</v>
      </c>
      <c r="BE6265" s="3">
        <v>42391</v>
      </c>
      <c r="BF6265" s="1">
        <v>304709</v>
      </c>
      <c r="BG6265" t="s">
        <v>3524</v>
      </c>
      <c r="BH6265" s="1">
        <v>132.37</v>
      </c>
      <c r="BI6265" s="1">
        <v>317939</v>
      </c>
      <c r="BJ6265" s="3">
        <v>43074</v>
      </c>
      <c r="BK6265" t="s">
        <v>123</v>
      </c>
      <c r="BL6265" t="str">
        <f>"2017.898524"</f>
        <v>2017.898524</v>
      </c>
      <c r="BM6265" t="s">
        <v>2657</v>
      </c>
      <c r="BO6265" t="s">
        <v>37962</v>
      </c>
      <c r="BS6265">
        <v>30</v>
      </c>
      <c r="BW6265" t="str">
        <f>""</f>
        <v/>
      </c>
      <c r="CH6265" t="str">
        <f>""</f>
        <v/>
      </c>
      <c r="CS6265" t="str">
        <f>""</f>
        <v/>
      </c>
    </row>
    <row r="6266" spans="1:97" x14ac:dyDescent="0.25">
      <c r="A6266" t="s">
        <v>12368</v>
      </c>
      <c r="B6266" t="s">
        <v>1094</v>
      </c>
      <c r="C6266" t="s">
        <v>37963</v>
      </c>
      <c r="D6266" t="s">
        <v>1094</v>
      </c>
      <c r="E6266" t="s">
        <v>37964</v>
      </c>
      <c r="F6266" t="s">
        <v>108</v>
      </c>
      <c r="H6266" t="s">
        <v>37965</v>
      </c>
      <c r="I6266" t="s">
        <v>499</v>
      </c>
      <c r="J6266" t="s">
        <v>111</v>
      </c>
      <c r="K6266" t="str">
        <f>"85395"</f>
        <v>85395</v>
      </c>
      <c r="L6266" t="s">
        <v>541</v>
      </c>
      <c r="M6266" t="s">
        <v>37965</v>
      </c>
      <c r="N6266" t="s">
        <v>499</v>
      </c>
      <c r="O6266" t="s">
        <v>111</v>
      </c>
      <c r="P6266" t="str">
        <f>"85395-7547"</f>
        <v>85395-7547</v>
      </c>
      <c r="Q6266" t="s">
        <v>113</v>
      </c>
      <c r="R6266" t="str">
        <f>"508-11-330"</f>
        <v>508-11-330</v>
      </c>
      <c r="S6266" t="s">
        <v>5752</v>
      </c>
      <c r="T6266" t="s">
        <v>5753</v>
      </c>
      <c r="U6266">
        <v>2990</v>
      </c>
      <c r="V6266">
        <v>0</v>
      </c>
      <c r="W6266">
        <v>4</v>
      </c>
      <c r="X6266">
        <v>2014</v>
      </c>
      <c r="Z6266">
        <v>1</v>
      </c>
      <c r="AA6266" t="s">
        <v>26</v>
      </c>
      <c r="AB6266">
        <v>0</v>
      </c>
      <c r="AC6266" t="s">
        <v>115</v>
      </c>
      <c r="AD6266">
        <v>3</v>
      </c>
      <c r="AE6266" t="s">
        <v>115</v>
      </c>
      <c r="AF6266">
        <v>0</v>
      </c>
      <c r="AG6266">
        <v>0</v>
      </c>
      <c r="AH6266" t="s">
        <v>116</v>
      </c>
      <c r="AI6266" s="1">
        <v>51239</v>
      </c>
      <c r="AJ6266" s="2">
        <v>0.11</v>
      </c>
      <c r="AK6266" s="1">
        <v>485099</v>
      </c>
      <c r="AL6266" t="s">
        <v>117</v>
      </c>
      <c r="AM6266" t="s">
        <v>118</v>
      </c>
      <c r="AN6266">
        <v>9100</v>
      </c>
      <c r="AO6266">
        <v>0.21</v>
      </c>
      <c r="AR6266">
        <v>1</v>
      </c>
      <c r="AS6266" s="1">
        <v>35500</v>
      </c>
      <c r="AT6266" s="1">
        <v>7100</v>
      </c>
      <c r="AU6266" s="1">
        <v>28400</v>
      </c>
      <c r="AV6266">
        <v>80</v>
      </c>
      <c r="AX6266" s="1">
        <v>3497.96</v>
      </c>
      <c r="AY6266" t="s">
        <v>3019</v>
      </c>
      <c r="AZ6266" t="s">
        <v>3020</v>
      </c>
      <c r="BA6266" t="s">
        <v>218</v>
      </c>
      <c r="BB6266" s="3">
        <v>42796</v>
      </c>
      <c r="BD6266" t="s">
        <v>458</v>
      </c>
      <c r="BE6266" s="3">
        <v>41960</v>
      </c>
      <c r="BF6266" s="1">
        <v>355195</v>
      </c>
      <c r="BG6266" t="s">
        <v>562</v>
      </c>
      <c r="BH6266" s="1">
        <v>118.79</v>
      </c>
      <c r="BI6266" s="1">
        <v>433860</v>
      </c>
      <c r="BJ6266" s="3">
        <v>42796</v>
      </c>
      <c r="BK6266" t="s">
        <v>123</v>
      </c>
      <c r="BL6266" t="str">
        <f>"2017.151816"</f>
        <v>2017.151816</v>
      </c>
      <c r="BM6266" t="s">
        <v>5534</v>
      </c>
      <c r="BO6266" t="s">
        <v>37966</v>
      </c>
      <c r="BS6266">
        <v>30</v>
      </c>
      <c r="BW6266" t="str">
        <f>""</f>
        <v/>
      </c>
      <c r="CH6266" t="str">
        <f>""</f>
        <v/>
      </c>
      <c r="CS6266" t="str">
        <f>""</f>
        <v/>
      </c>
    </row>
    <row r="6267" spans="1:97" x14ac:dyDescent="0.25">
      <c r="A6267" t="s">
        <v>2915</v>
      </c>
      <c r="B6267" t="s">
        <v>37967</v>
      </c>
      <c r="C6267" t="s">
        <v>37968</v>
      </c>
      <c r="D6267" t="s">
        <v>37967</v>
      </c>
      <c r="E6267" t="s">
        <v>37969</v>
      </c>
      <c r="F6267" t="s">
        <v>108</v>
      </c>
      <c r="H6267" t="s">
        <v>37970</v>
      </c>
      <c r="I6267" t="s">
        <v>632</v>
      </c>
      <c r="J6267" t="s">
        <v>111</v>
      </c>
      <c r="K6267" t="str">
        <f>"85379"</f>
        <v>85379</v>
      </c>
      <c r="L6267" t="s">
        <v>7243</v>
      </c>
      <c r="M6267" t="s">
        <v>37970</v>
      </c>
      <c r="N6267" t="s">
        <v>632</v>
      </c>
      <c r="O6267" t="s">
        <v>111</v>
      </c>
      <c r="P6267" t="str">
        <f>"85379-8542"</f>
        <v>85379-8542</v>
      </c>
      <c r="Q6267" t="s">
        <v>113</v>
      </c>
      <c r="R6267" t="str">
        <f>"501-17-894"</f>
        <v>501-17-894</v>
      </c>
      <c r="S6267" t="s">
        <v>22568</v>
      </c>
      <c r="U6267">
        <v>4313</v>
      </c>
      <c r="V6267">
        <v>0</v>
      </c>
      <c r="W6267">
        <v>4</v>
      </c>
      <c r="X6267">
        <v>2006</v>
      </c>
      <c r="Z6267">
        <v>2</v>
      </c>
      <c r="AA6267" t="s">
        <v>26</v>
      </c>
      <c r="AB6267">
        <v>0</v>
      </c>
      <c r="AC6267" t="s">
        <v>115</v>
      </c>
      <c r="AD6267">
        <v>2</v>
      </c>
      <c r="AE6267" t="s">
        <v>115</v>
      </c>
      <c r="AF6267">
        <v>0</v>
      </c>
      <c r="AG6267">
        <v>0</v>
      </c>
      <c r="AH6267" t="s">
        <v>116</v>
      </c>
      <c r="AI6267" s="1">
        <v>92416</v>
      </c>
      <c r="AJ6267" s="2">
        <v>0.24</v>
      </c>
      <c r="AK6267" s="1">
        <v>391986</v>
      </c>
      <c r="AL6267" t="s">
        <v>117</v>
      </c>
      <c r="AM6267" t="s">
        <v>118</v>
      </c>
      <c r="AN6267">
        <v>8850</v>
      </c>
      <c r="AO6267">
        <v>0.2</v>
      </c>
      <c r="AR6267">
        <v>1</v>
      </c>
      <c r="AS6267" s="1">
        <v>29220</v>
      </c>
      <c r="AT6267" s="1">
        <v>5840</v>
      </c>
      <c r="AU6267" s="1">
        <v>23380</v>
      </c>
      <c r="AV6267">
        <v>80.010000000000005</v>
      </c>
      <c r="AX6267" s="1">
        <v>2446.2600000000002</v>
      </c>
      <c r="AY6267" t="s">
        <v>5818</v>
      </c>
      <c r="AZ6267" t="s">
        <v>5818</v>
      </c>
      <c r="BA6267" t="s">
        <v>321</v>
      </c>
      <c r="BE6267" s="3">
        <v>42170</v>
      </c>
      <c r="BF6267" s="1">
        <v>294000</v>
      </c>
      <c r="BG6267" t="s">
        <v>37971</v>
      </c>
      <c r="BH6267" s="1">
        <v>68.17</v>
      </c>
      <c r="BI6267" s="1">
        <v>299570</v>
      </c>
      <c r="BJ6267" s="3">
        <v>42170</v>
      </c>
      <c r="BK6267" t="s">
        <v>123</v>
      </c>
      <c r="BL6267" t="str">
        <f>"2015.425286"</f>
        <v>2015.425286</v>
      </c>
      <c r="BM6267" t="s">
        <v>4014</v>
      </c>
      <c r="BO6267" t="s">
        <v>37972</v>
      </c>
      <c r="BS6267">
        <v>30</v>
      </c>
      <c r="BW6267" t="str">
        <f>""</f>
        <v/>
      </c>
      <c r="CH6267" t="str">
        <f>""</f>
        <v/>
      </c>
      <c r="CS6267" t="str">
        <f>""</f>
        <v/>
      </c>
    </row>
    <row r="6268" spans="1:97" x14ac:dyDescent="0.25">
      <c r="A6268" t="s">
        <v>12368</v>
      </c>
      <c r="B6268" t="s">
        <v>37973</v>
      </c>
      <c r="C6268" t="s">
        <v>976</v>
      </c>
      <c r="D6268" t="s">
        <v>37973</v>
      </c>
      <c r="E6268" t="s">
        <v>37974</v>
      </c>
      <c r="F6268" t="s">
        <v>108</v>
      </c>
      <c r="H6268" t="s">
        <v>37975</v>
      </c>
      <c r="I6268" t="s">
        <v>632</v>
      </c>
      <c r="J6268" t="s">
        <v>111</v>
      </c>
      <c r="K6268" t="str">
        <f>"85379"</f>
        <v>85379</v>
      </c>
      <c r="L6268" t="s">
        <v>4751</v>
      </c>
      <c r="M6268" t="s">
        <v>37975</v>
      </c>
      <c r="N6268" t="s">
        <v>632</v>
      </c>
      <c r="O6268" t="s">
        <v>111</v>
      </c>
      <c r="P6268" t="str">
        <f>"85379-5145"</f>
        <v>85379-5145</v>
      </c>
      <c r="Q6268" t="s">
        <v>113</v>
      </c>
      <c r="R6268" t="str">
        <f>"501-92-804"</f>
        <v>501-92-804</v>
      </c>
      <c r="S6268" t="s">
        <v>37976</v>
      </c>
      <c r="U6268">
        <v>2958</v>
      </c>
      <c r="V6268">
        <v>0</v>
      </c>
      <c r="W6268">
        <v>4</v>
      </c>
      <c r="X6268">
        <v>2002</v>
      </c>
      <c r="Z6268">
        <v>2</v>
      </c>
      <c r="AA6268" t="s">
        <v>26</v>
      </c>
      <c r="AB6268">
        <v>0</v>
      </c>
      <c r="AC6268" t="s">
        <v>115</v>
      </c>
      <c r="AD6268">
        <v>3</v>
      </c>
      <c r="AE6268" t="s">
        <v>115</v>
      </c>
      <c r="AF6268">
        <v>0</v>
      </c>
      <c r="AG6268">
        <v>0</v>
      </c>
      <c r="AH6268" t="s">
        <v>116</v>
      </c>
      <c r="AI6268" s="1">
        <v>119194</v>
      </c>
      <c r="AJ6268" s="2">
        <v>0.36</v>
      </c>
      <c r="AK6268" s="1">
        <v>330194</v>
      </c>
      <c r="AL6268" t="s">
        <v>117</v>
      </c>
      <c r="AM6268" t="s">
        <v>118</v>
      </c>
      <c r="AN6268">
        <v>5951</v>
      </c>
      <c r="AO6268">
        <v>0.14000000000000001</v>
      </c>
      <c r="AP6268">
        <v>1</v>
      </c>
      <c r="AR6268">
        <v>1</v>
      </c>
      <c r="AS6268" s="1">
        <v>23480</v>
      </c>
      <c r="AT6268" s="1">
        <v>4690</v>
      </c>
      <c r="AU6268" s="1">
        <v>18790</v>
      </c>
      <c r="AV6268">
        <v>80.03</v>
      </c>
      <c r="AX6268" s="1">
        <v>1790.94</v>
      </c>
      <c r="AY6268" t="s">
        <v>6615</v>
      </c>
      <c r="AZ6268" t="s">
        <v>6615</v>
      </c>
      <c r="BA6268" t="s">
        <v>5061</v>
      </c>
      <c r="BE6268" s="3">
        <v>41808</v>
      </c>
      <c r="BF6268" s="1">
        <v>211000</v>
      </c>
      <c r="BG6268" t="s">
        <v>5716</v>
      </c>
      <c r="BH6268" s="1">
        <v>71.33</v>
      </c>
      <c r="BI6268" s="1">
        <v>211000</v>
      </c>
      <c r="BJ6268" s="3">
        <v>41808</v>
      </c>
      <c r="BK6268" t="s">
        <v>123</v>
      </c>
      <c r="BL6268" t="str">
        <f>"2014.397922"</f>
        <v>2014.397922</v>
      </c>
      <c r="BM6268" t="s">
        <v>544</v>
      </c>
      <c r="BO6268" t="s">
        <v>37977</v>
      </c>
      <c r="BS6268">
        <v>30</v>
      </c>
      <c r="BW6268" t="str">
        <f>""</f>
        <v/>
      </c>
      <c r="CH6268" t="str">
        <f>""</f>
        <v/>
      </c>
      <c r="CS6268" t="str">
        <f>""</f>
        <v/>
      </c>
    </row>
    <row r="6269" spans="1:97" x14ac:dyDescent="0.25">
      <c r="A6269" t="s">
        <v>370</v>
      </c>
      <c r="B6269" t="s">
        <v>37978</v>
      </c>
      <c r="C6269" t="s">
        <v>37979</v>
      </c>
      <c r="D6269" t="s">
        <v>37978</v>
      </c>
      <c r="E6269" t="s">
        <v>37980</v>
      </c>
      <c r="F6269" t="s">
        <v>108</v>
      </c>
      <c r="H6269" t="s">
        <v>37981</v>
      </c>
      <c r="I6269" t="s">
        <v>110</v>
      </c>
      <c r="J6269" t="s">
        <v>111</v>
      </c>
      <c r="K6269" t="str">
        <f>"85249"</f>
        <v>85249</v>
      </c>
      <c r="L6269" t="s">
        <v>567</v>
      </c>
      <c r="M6269" t="s">
        <v>37981</v>
      </c>
      <c r="N6269" t="s">
        <v>110</v>
      </c>
      <c r="O6269" t="s">
        <v>111</v>
      </c>
      <c r="P6269" t="str">
        <f>"85249-7370"</f>
        <v>85249-7370</v>
      </c>
      <c r="Q6269" t="s">
        <v>113</v>
      </c>
      <c r="R6269" t="str">
        <f>"313-09-807"</f>
        <v>313-09-807</v>
      </c>
      <c r="S6269" t="s">
        <v>24948</v>
      </c>
      <c r="U6269">
        <v>2396</v>
      </c>
      <c r="V6269">
        <v>0</v>
      </c>
      <c r="W6269">
        <v>3</v>
      </c>
      <c r="X6269">
        <v>2004</v>
      </c>
      <c r="Z6269">
        <v>1</v>
      </c>
      <c r="AA6269" t="s">
        <v>26</v>
      </c>
      <c r="AB6269">
        <v>0</v>
      </c>
      <c r="AC6269" t="s">
        <v>115</v>
      </c>
      <c r="AD6269">
        <v>2</v>
      </c>
      <c r="AE6269" t="s">
        <v>115</v>
      </c>
      <c r="AF6269">
        <v>0</v>
      </c>
      <c r="AG6269">
        <v>0</v>
      </c>
      <c r="AH6269" t="s">
        <v>116</v>
      </c>
      <c r="AI6269" s="1">
        <v>139514</v>
      </c>
      <c r="AJ6269" s="2">
        <v>0.37</v>
      </c>
      <c r="AK6269" s="1">
        <v>373812</v>
      </c>
      <c r="AL6269" t="s">
        <v>117</v>
      </c>
      <c r="AM6269" t="s">
        <v>118</v>
      </c>
      <c r="AN6269">
        <v>8090</v>
      </c>
      <c r="AO6269">
        <v>0.19</v>
      </c>
      <c r="AP6269">
        <v>1</v>
      </c>
      <c r="AR6269">
        <v>1</v>
      </c>
      <c r="AS6269" s="1">
        <v>26400</v>
      </c>
      <c r="AT6269" s="1">
        <v>5280</v>
      </c>
      <c r="AU6269" s="1">
        <v>21120</v>
      </c>
      <c r="AV6269">
        <v>80</v>
      </c>
      <c r="AX6269" s="1">
        <v>2100.06</v>
      </c>
      <c r="AY6269" t="s">
        <v>6269</v>
      </c>
      <c r="AZ6269" t="s">
        <v>273</v>
      </c>
      <c r="BA6269" t="s">
        <v>274</v>
      </c>
      <c r="BE6269" s="3">
        <v>41758</v>
      </c>
      <c r="BF6269" s="1">
        <v>289000</v>
      </c>
      <c r="BG6269" t="s">
        <v>37982</v>
      </c>
      <c r="BH6269" s="1">
        <v>120.62</v>
      </c>
      <c r="BI6269" s="1">
        <v>234298</v>
      </c>
      <c r="BJ6269" s="3">
        <v>42058</v>
      </c>
      <c r="BK6269" t="s">
        <v>123</v>
      </c>
      <c r="BL6269" t="str">
        <f>"2015.113207"</f>
        <v>2015.113207</v>
      </c>
      <c r="BM6269" t="s">
        <v>255</v>
      </c>
      <c r="BO6269" t="s">
        <v>37983</v>
      </c>
      <c r="BS6269">
        <v>30</v>
      </c>
      <c r="BW6269" t="str">
        <f>""</f>
        <v/>
      </c>
      <c r="CH6269" t="str">
        <f>""</f>
        <v/>
      </c>
      <c r="CS6269" t="str">
        <f>""</f>
        <v/>
      </c>
    </row>
    <row r="6270" spans="1:97" x14ac:dyDescent="0.25">
      <c r="A6270" t="s">
        <v>1444</v>
      </c>
      <c r="B6270" t="s">
        <v>37984</v>
      </c>
      <c r="C6270" t="s">
        <v>37985</v>
      </c>
      <c r="D6270" t="s">
        <v>37984</v>
      </c>
      <c r="E6270" t="s">
        <v>37986</v>
      </c>
      <c r="F6270" t="s">
        <v>108</v>
      </c>
      <c r="H6270" t="s">
        <v>37987</v>
      </c>
      <c r="I6270" t="s">
        <v>203</v>
      </c>
      <c r="J6270" t="s">
        <v>111</v>
      </c>
      <c r="K6270" t="str">
        <f>"85297"</f>
        <v>85297</v>
      </c>
      <c r="L6270" t="s">
        <v>26167</v>
      </c>
      <c r="M6270" t="s">
        <v>37987</v>
      </c>
      <c r="N6270" t="s">
        <v>203</v>
      </c>
      <c r="O6270" t="s">
        <v>111</v>
      </c>
      <c r="P6270" t="str">
        <f>"85297-4908"</f>
        <v>85297-4908</v>
      </c>
      <c r="Q6270" t="s">
        <v>113</v>
      </c>
      <c r="R6270" t="str">
        <f>"313-06-427"</f>
        <v>313-06-427</v>
      </c>
      <c r="S6270" t="s">
        <v>37988</v>
      </c>
      <c r="T6270" t="s">
        <v>26169</v>
      </c>
      <c r="U6270">
        <v>4236</v>
      </c>
      <c r="V6270">
        <v>0</v>
      </c>
      <c r="W6270">
        <v>6</v>
      </c>
      <c r="X6270">
        <v>2005</v>
      </c>
      <c r="Z6270">
        <v>2</v>
      </c>
      <c r="AA6270" t="s">
        <v>26</v>
      </c>
      <c r="AB6270">
        <v>0</v>
      </c>
      <c r="AC6270" t="s">
        <v>115</v>
      </c>
      <c r="AD6270">
        <v>5</v>
      </c>
      <c r="AE6270" t="s">
        <v>115</v>
      </c>
      <c r="AF6270">
        <v>0</v>
      </c>
      <c r="AG6270">
        <v>0</v>
      </c>
      <c r="AH6270" t="s">
        <v>116</v>
      </c>
      <c r="AI6270" s="1">
        <v>83748</v>
      </c>
      <c r="AJ6270" s="2">
        <v>0.14000000000000001</v>
      </c>
      <c r="AK6270" s="1">
        <v>587858</v>
      </c>
      <c r="AL6270" t="s">
        <v>117</v>
      </c>
      <c r="AM6270" t="s">
        <v>171</v>
      </c>
      <c r="AN6270">
        <v>10500</v>
      </c>
      <c r="AO6270">
        <v>0.24</v>
      </c>
      <c r="AR6270">
        <v>1</v>
      </c>
      <c r="AS6270" s="1">
        <v>45020</v>
      </c>
      <c r="AT6270" s="1">
        <v>9000</v>
      </c>
      <c r="AU6270" s="1">
        <v>36020</v>
      </c>
      <c r="AV6270">
        <v>80.010000000000005</v>
      </c>
      <c r="AX6270" s="1">
        <v>4397.28</v>
      </c>
      <c r="AY6270" t="s">
        <v>8338</v>
      </c>
      <c r="AZ6270" t="s">
        <v>8338</v>
      </c>
      <c r="BA6270" t="s">
        <v>290</v>
      </c>
      <c r="BE6270" s="3">
        <v>42293</v>
      </c>
      <c r="BF6270" s="1">
        <v>519000</v>
      </c>
      <c r="BG6270" t="s">
        <v>37989</v>
      </c>
      <c r="BH6270" s="1">
        <v>122.52</v>
      </c>
      <c r="BI6270" s="1">
        <v>504110</v>
      </c>
      <c r="BJ6270" s="3">
        <v>42293</v>
      </c>
      <c r="BK6270" t="s">
        <v>123</v>
      </c>
      <c r="BL6270" t="str">
        <f>"2015.745415"</f>
        <v>2015.745415</v>
      </c>
      <c r="BM6270" t="s">
        <v>2716</v>
      </c>
      <c r="BO6270" t="s">
        <v>37990</v>
      </c>
      <c r="BS6270">
        <v>30</v>
      </c>
      <c r="BW6270" t="str">
        <f>""</f>
        <v/>
      </c>
      <c r="CH6270" t="str">
        <f>""</f>
        <v/>
      </c>
      <c r="CS6270" t="str">
        <f>""</f>
        <v/>
      </c>
    </row>
    <row r="6271" spans="1:97" x14ac:dyDescent="0.25">
      <c r="A6271" t="s">
        <v>1755</v>
      </c>
      <c r="B6271" t="s">
        <v>37991</v>
      </c>
      <c r="C6271" t="s">
        <v>259</v>
      </c>
      <c r="D6271" t="s">
        <v>37991</v>
      </c>
      <c r="E6271" t="s">
        <v>37992</v>
      </c>
      <c r="F6271" t="s">
        <v>108</v>
      </c>
      <c r="H6271" t="s">
        <v>37993</v>
      </c>
      <c r="I6271" t="s">
        <v>225</v>
      </c>
      <c r="J6271" t="s">
        <v>111</v>
      </c>
      <c r="K6271" t="str">
        <f>"85215"</f>
        <v>85215</v>
      </c>
      <c r="L6271" t="s">
        <v>4751</v>
      </c>
      <c r="M6271" t="s">
        <v>37993</v>
      </c>
      <c r="N6271" t="s">
        <v>225</v>
      </c>
      <c r="O6271" t="s">
        <v>111</v>
      </c>
      <c r="P6271" t="str">
        <f>"85215"</f>
        <v>85215</v>
      </c>
      <c r="Q6271" t="s">
        <v>113</v>
      </c>
      <c r="R6271" t="str">
        <f>"141-70-874"</f>
        <v>141-70-874</v>
      </c>
      <c r="S6271" t="s">
        <v>37994</v>
      </c>
      <c r="U6271">
        <v>2544</v>
      </c>
      <c r="V6271">
        <v>0</v>
      </c>
      <c r="W6271">
        <v>4</v>
      </c>
      <c r="X6271">
        <v>1992</v>
      </c>
      <c r="Z6271">
        <v>2</v>
      </c>
      <c r="AA6271" t="s">
        <v>26</v>
      </c>
      <c r="AB6271">
        <v>0</v>
      </c>
      <c r="AC6271" t="s">
        <v>115</v>
      </c>
      <c r="AD6271">
        <v>3</v>
      </c>
      <c r="AE6271" t="s">
        <v>115</v>
      </c>
      <c r="AF6271">
        <v>0</v>
      </c>
      <c r="AG6271">
        <v>0</v>
      </c>
      <c r="AH6271" t="s">
        <v>116</v>
      </c>
      <c r="AI6271" s="1">
        <v>80743</v>
      </c>
      <c r="AJ6271" s="2">
        <v>0.2</v>
      </c>
      <c r="AK6271" s="1">
        <v>413764</v>
      </c>
      <c r="AL6271" t="s">
        <v>117</v>
      </c>
      <c r="AM6271" t="s">
        <v>917</v>
      </c>
      <c r="AN6271">
        <v>8433</v>
      </c>
      <c r="AO6271">
        <v>0.19</v>
      </c>
      <c r="AP6271">
        <v>1</v>
      </c>
      <c r="AR6271">
        <v>1</v>
      </c>
      <c r="AS6271" s="1">
        <v>29780</v>
      </c>
      <c r="AT6271" s="1">
        <v>5950</v>
      </c>
      <c r="AU6271" s="1">
        <v>23830</v>
      </c>
      <c r="AV6271">
        <v>80.02</v>
      </c>
      <c r="AX6271" s="1">
        <v>3019.6</v>
      </c>
      <c r="AY6271" t="s">
        <v>6662</v>
      </c>
      <c r="AZ6271" t="s">
        <v>5275</v>
      </c>
      <c r="BA6271" t="s">
        <v>3119</v>
      </c>
      <c r="BE6271" s="3">
        <v>41858</v>
      </c>
      <c r="BF6271" s="1">
        <v>317500</v>
      </c>
      <c r="BG6271" t="s">
        <v>37995</v>
      </c>
      <c r="BH6271" s="1">
        <v>124.8</v>
      </c>
      <c r="BI6271" s="1">
        <v>261363</v>
      </c>
      <c r="BJ6271" s="3">
        <v>42830</v>
      </c>
      <c r="BK6271" t="s">
        <v>123</v>
      </c>
      <c r="BL6271" t="str">
        <f>"2017.239317"</f>
        <v>2017.239317</v>
      </c>
      <c r="BM6271" t="s">
        <v>402</v>
      </c>
      <c r="BN6271" t="s">
        <v>461</v>
      </c>
      <c r="BO6271" t="s">
        <v>37996</v>
      </c>
      <c r="BS6271">
        <v>27</v>
      </c>
      <c r="BT6271" s="1">
        <v>71658</v>
      </c>
      <c r="BU6271" s="3">
        <v>43689</v>
      </c>
      <c r="BV6271" t="s">
        <v>134</v>
      </c>
      <c r="BW6271" t="str">
        <f>"2019.614018"</f>
        <v>2019.614018</v>
      </c>
      <c r="BX6271" t="s">
        <v>383</v>
      </c>
      <c r="BY6271" t="s">
        <v>384</v>
      </c>
      <c r="BZ6271" t="s">
        <v>37997</v>
      </c>
      <c r="CA6271" t="s">
        <v>37998</v>
      </c>
      <c r="CC6271" t="s">
        <v>139</v>
      </c>
      <c r="CH6271" t="str">
        <f>""</f>
        <v/>
      </c>
      <c r="CS6271" t="str">
        <f>""</f>
        <v/>
      </c>
    </row>
    <row r="6272" spans="1:97" x14ac:dyDescent="0.25">
      <c r="B6272" t="s">
        <v>37999</v>
      </c>
      <c r="E6272" t="s">
        <v>38000</v>
      </c>
      <c r="F6272" t="s">
        <v>282</v>
      </c>
      <c r="H6272" t="s">
        <v>38001</v>
      </c>
      <c r="I6272" t="s">
        <v>9186</v>
      </c>
      <c r="J6272" t="s">
        <v>111</v>
      </c>
      <c r="K6272" t="str">
        <f>"85377"</f>
        <v>85377</v>
      </c>
      <c r="M6272" t="s">
        <v>38002</v>
      </c>
      <c r="N6272" t="s">
        <v>9186</v>
      </c>
      <c r="O6272" t="s">
        <v>111</v>
      </c>
      <c r="P6272" t="str">
        <f>"85377-3315"</f>
        <v>85377-3315</v>
      </c>
      <c r="Q6272" t="s">
        <v>113</v>
      </c>
      <c r="R6272" t="str">
        <f>"219-11-293"</f>
        <v>219-11-293</v>
      </c>
      <c r="S6272" t="s">
        <v>38003</v>
      </c>
      <c r="T6272" t="s">
        <v>10505</v>
      </c>
      <c r="U6272">
        <v>2645</v>
      </c>
      <c r="V6272">
        <v>0</v>
      </c>
      <c r="W6272">
        <v>3</v>
      </c>
      <c r="X6272">
        <v>1996</v>
      </c>
      <c r="Z6272">
        <v>1</v>
      </c>
      <c r="AA6272" t="s">
        <v>26</v>
      </c>
      <c r="AB6272">
        <v>0</v>
      </c>
      <c r="AC6272" t="s">
        <v>115</v>
      </c>
      <c r="AD6272">
        <v>3</v>
      </c>
      <c r="AE6272" t="s">
        <v>115</v>
      </c>
      <c r="AF6272">
        <v>0</v>
      </c>
      <c r="AG6272">
        <v>0</v>
      </c>
      <c r="AH6272" t="s">
        <v>116</v>
      </c>
      <c r="AI6272" s="1">
        <v>87852</v>
      </c>
      <c r="AJ6272" s="2">
        <v>0.12</v>
      </c>
      <c r="AK6272" s="1">
        <v>732509</v>
      </c>
      <c r="AL6272" t="s">
        <v>117</v>
      </c>
      <c r="AM6272" t="s">
        <v>376</v>
      </c>
      <c r="AN6272">
        <v>44000</v>
      </c>
      <c r="AO6272">
        <v>1.01</v>
      </c>
      <c r="AP6272">
        <v>1</v>
      </c>
      <c r="AR6272">
        <v>1</v>
      </c>
      <c r="AS6272" s="1">
        <v>49820</v>
      </c>
      <c r="AT6272" s="1">
        <v>9960</v>
      </c>
      <c r="AU6272" s="1">
        <v>39860</v>
      </c>
      <c r="AV6272">
        <v>80.010000000000005</v>
      </c>
      <c r="AX6272" s="1">
        <v>2288</v>
      </c>
      <c r="AY6272" t="s">
        <v>7359</v>
      </c>
      <c r="AZ6272" t="s">
        <v>1402</v>
      </c>
      <c r="BA6272" t="s">
        <v>1403</v>
      </c>
      <c r="BB6272" s="3">
        <v>43572</v>
      </c>
      <c r="BC6272" s="1">
        <v>0</v>
      </c>
      <c r="BD6272" t="s">
        <v>247</v>
      </c>
      <c r="BE6272" s="3">
        <v>42193</v>
      </c>
      <c r="BF6272" s="1">
        <v>675000</v>
      </c>
      <c r="BG6272" t="s">
        <v>38004</v>
      </c>
      <c r="BH6272" s="1">
        <v>255.2</v>
      </c>
      <c r="BI6272" s="1">
        <v>619657</v>
      </c>
      <c r="BJ6272" s="3">
        <v>42193</v>
      </c>
      <c r="BK6272" t="s">
        <v>123</v>
      </c>
      <c r="BL6272" t="str">
        <f>"2015.490102"</f>
        <v>2015.490102</v>
      </c>
      <c r="BM6272" t="s">
        <v>724</v>
      </c>
      <c r="BN6272" t="s">
        <v>5737</v>
      </c>
      <c r="BO6272" t="s">
        <v>38005</v>
      </c>
      <c r="BS6272">
        <v>30</v>
      </c>
      <c r="BT6272" s="1">
        <v>25000</v>
      </c>
      <c r="BU6272" s="3">
        <v>43097</v>
      </c>
      <c r="BW6272" t="str">
        <f>"2017.962203"</f>
        <v>2017.962203</v>
      </c>
      <c r="BX6272" t="s">
        <v>38006</v>
      </c>
      <c r="BY6272">
        <v>30269</v>
      </c>
      <c r="BZ6272" t="s">
        <v>38007</v>
      </c>
      <c r="CC6272" t="s">
        <v>1633</v>
      </c>
      <c r="CD6272">
        <v>21</v>
      </c>
      <c r="CH6272" t="str">
        <f>""</f>
        <v/>
      </c>
      <c r="CS6272" t="str">
        <f>""</f>
        <v/>
      </c>
    </row>
    <row r="6273" spans="1:97" x14ac:dyDescent="0.25">
      <c r="A6273" t="s">
        <v>3613</v>
      </c>
      <c r="B6273" t="s">
        <v>2433</v>
      </c>
      <c r="E6273" t="s">
        <v>38008</v>
      </c>
      <c r="F6273" t="s">
        <v>108</v>
      </c>
      <c r="H6273" t="s">
        <v>38009</v>
      </c>
      <c r="I6273" t="s">
        <v>144</v>
      </c>
      <c r="J6273" t="s">
        <v>111</v>
      </c>
      <c r="K6273" t="str">
        <f>"85326"</f>
        <v>85326</v>
      </c>
      <c r="L6273" t="s">
        <v>6308</v>
      </c>
      <c r="M6273" t="s">
        <v>38009</v>
      </c>
      <c r="N6273" t="s">
        <v>144</v>
      </c>
      <c r="O6273" t="s">
        <v>111</v>
      </c>
      <c r="P6273" t="str">
        <f>"85326-3396"</f>
        <v>85326-3396</v>
      </c>
      <c r="Q6273" t="s">
        <v>113</v>
      </c>
      <c r="R6273" t="str">
        <f>"504-24-254"</f>
        <v>504-24-254</v>
      </c>
      <c r="S6273" t="s">
        <v>15209</v>
      </c>
      <c r="T6273" t="s">
        <v>15209</v>
      </c>
      <c r="U6273">
        <v>2228</v>
      </c>
      <c r="V6273">
        <v>0</v>
      </c>
      <c r="W6273">
        <v>4</v>
      </c>
      <c r="X6273">
        <v>2013</v>
      </c>
      <c r="Z6273">
        <v>1</v>
      </c>
      <c r="AB6273">
        <v>0</v>
      </c>
      <c r="AC6273" t="s">
        <v>115</v>
      </c>
      <c r="AD6273">
        <v>2</v>
      </c>
      <c r="AE6273" t="s">
        <v>115</v>
      </c>
      <c r="AF6273">
        <v>0</v>
      </c>
      <c r="AG6273">
        <v>0</v>
      </c>
      <c r="AH6273" t="s">
        <v>116</v>
      </c>
      <c r="AI6273" s="1">
        <v>34715</v>
      </c>
      <c r="AJ6273" s="2">
        <v>0.14000000000000001</v>
      </c>
      <c r="AK6273" s="1">
        <v>251715</v>
      </c>
      <c r="AL6273" t="s">
        <v>117</v>
      </c>
      <c r="AM6273" t="s">
        <v>5023</v>
      </c>
      <c r="AN6273">
        <v>6670</v>
      </c>
      <c r="AO6273">
        <v>0.15</v>
      </c>
      <c r="AR6273">
        <v>1</v>
      </c>
      <c r="AS6273" s="1">
        <v>18120</v>
      </c>
      <c r="AT6273" s="1">
        <v>3620</v>
      </c>
      <c r="AU6273" s="1">
        <v>14500</v>
      </c>
      <c r="AV6273">
        <v>80.02</v>
      </c>
      <c r="AX6273" s="1">
        <v>1593.24</v>
      </c>
      <c r="AY6273" t="s">
        <v>9621</v>
      </c>
      <c r="AZ6273" t="s">
        <v>9621</v>
      </c>
      <c r="BA6273" t="s">
        <v>5025</v>
      </c>
      <c r="BB6273" s="3">
        <v>43132</v>
      </c>
      <c r="BC6273" s="1">
        <v>0</v>
      </c>
      <c r="BD6273" t="s">
        <v>247</v>
      </c>
      <c r="BE6273" s="3">
        <v>41723</v>
      </c>
      <c r="BF6273" s="1">
        <v>176750</v>
      </c>
      <c r="BG6273" t="s">
        <v>1404</v>
      </c>
      <c r="BH6273" s="1">
        <v>79.33</v>
      </c>
      <c r="BI6273" s="1">
        <v>217000</v>
      </c>
      <c r="BJ6273" s="3">
        <v>43132</v>
      </c>
      <c r="BK6273" t="s">
        <v>123</v>
      </c>
      <c r="BL6273" t="str">
        <f>"2018.81278"</f>
        <v>2018.81278</v>
      </c>
      <c r="BM6273" t="s">
        <v>13076</v>
      </c>
      <c r="BN6273" t="s">
        <v>18878</v>
      </c>
      <c r="BO6273" t="s">
        <v>38008</v>
      </c>
      <c r="BR6273" t="s">
        <v>139</v>
      </c>
      <c r="BW6273" t="str">
        <f>""</f>
        <v/>
      </c>
      <c r="CH6273" t="str">
        <f>""</f>
        <v/>
      </c>
      <c r="CS6273" t="str">
        <f>""</f>
        <v/>
      </c>
    </row>
    <row r="6274" spans="1:97" x14ac:dyDescent="0.25">
      <c r="A6274" t="s">
        <v>6800</v>
      </c>
      <c r="B6274" t="s">
        <v>38010</v>
      </c>
      <c r="E6274" t="s">
        <v>38011</v>
      </c>
      <c r="F6274" t="s">
        <v>108</v>
      </c>
      <c r="H6274" t="s">
        <v>38012</v>
      </c>
      <c r="I6274" t="s">
        <v>632</v>
      </c>
      <c r="J6274" t="s">
        <v>111</v>
      </c>
      <c r="K6274" t="str">
        <f>"85374"</f>
        <v>85374</v>
      </c>
      <c r="L6274" t="s">
        <v>5106</v>
      </c>
      <c r="M6274" t="s">
        <v>38013</v>
      </c>
      <c r="N6274" t="s">
        <v>632</v>
      </c>
      <c r="O6274" t="s">
        <v>111</v>
      </c>
      <c r="P6274" t="str">
        <f>"85374-4800"</f>
        <v>85374-4800</v>
      </c>
      <c r="Q6274" t="s">
        <v>113</v>
      </c>
      <c r="R6274" t="str">
        <f>"232-29-657"</f>
        <v>232-29-657</v>
      </c>
      <c r="S6274" t="s">
        <v>38014</v>
      </c>
      <c r="U6274">
        <v>1821</v>
      </c>
      <c r="V6274">
        <v>0</v>
      </c>
      <c r="W6274">
        <v>3</v>
      </c>
      <c r="X6274">
        <v>1998</v>
      </c>
      <c r="Z6274">
        <v>1</v>
      </c>
      <c r="AB6274">
        <v>0</v>
      </c>
      <c r="AC6274" t="s">
        <v>115</v>
      </c>
      <c r="AD6274">
        <v>2</v>
      </c>
      <c r="AE6274" t="s">
        <v>115</v>
      </c>
      <c r="AF6274">
        <v>0</v>
      </c>
      <c r="AG6274">
        <v>0</v>
      </c>
      <c r="AH6274" t="s">
        <v>116</v>
      </c>
      <c r="AI6274" s="1">
        <v>56273</v>
      </c>
      <c r="AJ6274" s="2">
        <v>0.21</v>
      </c>
      <c r="AK6274" s="1">
        <v>262616</v>
      </c>
      <c r="AL6274" t="s">
        <v>117</v>
      </c>
      <c r="AM6274" t="s">
        <v>118</v>
      </c>
      <c r="AN6274">
        <v>8058</v>
      </c>
      <c r="AO6274">
        <v>0.18</v>
      </c>
      <c r="AP6274">
        <v>1</v>
      </c>
      <c r="AR6274">
        <v>1</v>
      </c>
      <c r="AS6274" s="1">
        <v>17400</v>
      </c>
      <c r="AT6274" s="1">
        <v>3480</v>
      </c>
      <c r="AU6274" s="1">
        <v>13920</v>
      </c>
      <c r="AV6274">
        <v>80</v>
      </c>
      <c r="AX6274" s="1">
        <v>1218.08</v>
      </c>
      <c r="AY6274" t="s">
        <v>5108</v>
      </c>
      <c r="AZ6274" t="s">
        <v>5108</v>
      </c>
      <c r="BA6274" t="s">
        <v>5109</v>
      </c>
      <c r="BB6274" s="3">
        <v>43592</v>
      </c>
      <c r="BC6274" s="1">
        <v>0</v>
      </c>
      <c r="BD6274" t="s">
        <v>247</v>
      </c>
      <c r="BE6274" s="3">
        <v>42544</v>
      </c>
      <c r="BF6274" s="1">
        <v>202000</v>
      </c>
      <c r="BG6274" t="s">
        <v>38015</v>
      </c>
      <c r="BH6274" s="1">
        <v>110.93</v>
      </c>
      <c r="BI6274" s="1">
        <v>206343</v>
      </c>
      <c r="BJ6274" s="3">
        <v>42544</v>
      </c>
      <c r="BK6274" t="s">
        <v>123</v>
      </c>
      <c r="BL6274" t="str">
        <f>"2016.440724"</f>
        <v>2016.440724</v>
      </c>
      <c r="BM6274" t="s">
        <v>2716</v>
      </c>
      <c r="BN6274" t="s">
        <v>13505</v>
      </c>
      <c r="BO6274" t="s">
        <v>38016</v>
      </c>
      <c r="BS6274">
        <v>30</v>
      </c>
      <c r="BW6274" t="str">
        <f>""</f>
        <v/>
      </c>
      <c r="CH6274" t="str">
        <f>""</f>
        <v/>
      </c>
      <c r="CS6274" t="str">
        <f>""</f>
        <v/>
      </c>
    </row>
    <row r="6275" spans="1:97" x14ac:dyDescent="0.25">
      <c r="A6275" t="s">
        <v>589</v>
      </c>
      <c r="B6275" t="s">
        <v>11670</v>
      </c>
      <c r="C6275" t="s">
        <v>21546</v>
      </c>
      <c r="D6275" t="s">
        <v>11670</v>
      </c>
      <c r="E6275" t="s">
        <v>38017</v>
      </c>
      <c r="F6275" t="s">
        <v>108</v>
      </c>
      <c r="H6275" t="s">
        <v>38018</v>
      </c>
      <c r="I6275" t="s">
        <v>144</v>
      </c>
      <c r="J6275" t="s">
        <v>111</v>
      </c>
      <c r="K6275" t="str">
        <f>"85326"</f>
        <v>85326</v>
      </c>
      <c r="L6275" t="s">
        <v>6316</v>
      </c>
      <c r="M6275" t="s">
        <v>38018</v>
      </c>
      <c r="N6275" t="s">
        <v>144</v>
      </c>
      <c r="O6275" t="s">
        <v>111</v>
      </c>
      <c r="P6275" t="str">
        <f>"85326-2259"</f>
        <v>85326-2259</v>
      </c>
      <c r="Q6275" t="s">
        <v>113</v>
      </c>
      <c r="R6275" t="str">
        <f>"504-33-549"</f>
        <v>504-33-549</v>
      </c>
      <c r="S6275" t="s">
        <v>35326</v>
      </c>
      <c r="U6275">
        <v>1806</v>
      </c>
      <c r="V6275">
        <v>0</v>
      </c>
      <c r="W6275">
        <v>3</v>
      </c>
      <c r="X6275">
        <v>2016</v>
      </c>
      <c r="Z6275">
        <v>1</v>
      </c>
      <c r="AB6275">
        <v>0</v>
      </c>
      <c r="AC6275" t="s">
        <v>115</v>
      </c>
      <c r="AD6275">
        <v>2</v>
      </c>
      <c r="AE6275" t="s">
        <v>115</v>
      </c>
      <c r="AF6275">
        <v>0</v>
      </c>
      <c r="AG6275">
        <v>0</v>
      </c>
      <c r="AH6275" t="s">
        <v>116</v>
      </c>
      <c r="AI6275" s="1">
        <v>44244</v>
      </c>
      <c r="AJ6275" s="2">
        <v>0.17</v>
      </c>
      <c r="AK6275" s="1">
        <v>257779</v>
      </c>
      <c r="AL6275" t="s">
        <v>117</v>
      </c>
      <c r="AM6275" t="s">
        <v>118</v>
      </c>
      <c r="AN6275">
        <v>5500</v>
      </c>
      <c r="AO6275">
        <v>0.13</v>
      </c>
      <c r="AR6275">
        <v>1</v>
      </c>
      <c r="AS6275" s="1">
        <v>18250</v>
      </c>
      <c r="AT6275" s="1">
        <v>3650</v>
      </c>
      <c r="AU6275" s="1">
        <v>14600</v>
      </c>
      <c r="AV6275">
        <v>80</v>
      </c>
      <c r="AX6275" s="1">
        <v>2445.04</v>
      </c>
      <c r="AY6275" t="s">
        <v>7333</v>
      </c>
      <c r="AZ6275" t="s">
        <v>7333</v>
      </c>
      <c r="BA6275" t="s">
        <v>5025</v>
      </c>
      <c r="BE6275" s="3">
        <v>42507</v>
      </c>
      <c r="BF6275" s="1">
        <v>206714</v>
      </c>
      <c r="BG6275" t="s">
        <v>209</v>
      </c>
      <c r="BH6275" s="1">
        <v>114.46</v>
      </c>
      <c r="BI6275" s="1">
        <v>213535</v>
      </c>
      <c r="BJ6275" s="3">
        <v>42507</v>
      </c>
      <c r="BK6275" t="s">
        <v>123</v>
      </c>
      <c r="BL6275" t="str">
        <f>"2016.338519"</f>
        <v>2016.338519</v>
      </c>
      <c r="BM6275" t="s">
        <v>175</v>
      </c>
      <c r="BO6275" t="s">
        <v>38019</v>
      </c>
      <c r="BS6275">
        <v>30</v>
      </c>
      <c r="BW6275" t="str">
        <f>""</f>
        <v/>
      </c>
      <c r="CH6275" t="str">
        <f>""</f>
        <v/>
      </c>
      <c r="CS6275" t="str">
        <f>""</f>
        <v/>
      </c>
    </row>
    <row r="6276" spans="1:97" x14ac:dyDescent="0.25">
      <c r="A6276" t="s">
        <v>1963</v>
      </c>
      <c r="B6276" t="s">
        <v>24127</v>
      </c>
      <c r="E6276" t="s">
        <v>38020</v>
      </c>
      <c r="F6276" t="s">
        <v>108</v>
      </c>
      <c r="H6276" t="s">
        <v>38021</v>
      </c>
      <c r="I6276" t="s">
        <v>203</v>
      </c>
      <c r="J6276" t="s">
        <v>111</v>
      </c>
      <c r="K6276" t="str">
        <f>"85295"</f>
        <v>85295</v>
      </c>
      <c r="L6276" t="s">
        <v>5496</v>
      </c>
      <c r="M6276" t="s">
        <v>38021</v>
      </c>
      <c r="N6276" t="s">
        <v>203</v>
      </c>
      <c r="O6276" t="s">
        <v>111</v>
      </c>
      <c r="P6276" t="str">
        <f>"85295"</f>
        <v>85295</v>
      </c>
      <c r="Q6276" t="s">
        <v>113</v>
      </c>
      <c r="R6276" t="str">
        <f>"313-13-580"</f>
        <v>313-13-580</v>
      </c>
      <c r="S6276" t="s">
        <v>10498</v>
      </c>
      <c r="U6276">
        <v>3059</v>
      </c>
      <c r="V6276">
        <v>0</v>
      </c>
      <c r="W6276">
        <v>4</v>
      </c>
      <c r="X6276">
        <v>2014</v>
      </c>
      <c r="Z6276">
        <v>2</v>
      </c>
      <c r="AB6276">
        <v>0</v>
      </c>
      <c r="AC6276" t="s">
        <v>115</v>
      </c>
      <c r="AD6276">
        <v>3</v>
      </c>
      <c r="AE6276" t="s">
        <v>115</v>
      </c>
      <c r="AF6276">
        <v>0</v>
      </c>
      <c r="AG6276">
        <v>0</v>
      </c>
      <c r="AH6276" t="s">
        <v>116</v>
      </c>
      <c r="AI6276" s="1">
        <v>84798</v>
      </c>
      <c r="AJ6276" s="2">
        <v>0.21</v>
      </c>
      <c r="AK6276" s="1">
        <v>405978</v>
      </c>
      <c r="AL6276" t="s">
        <v>117</v>
      </c>
      <c r="AM6276" t="s">
        <v>288</v>
      </c>
      <c r="AN6276">
        <v>5150</v>
      </c>
      <c r="AO6276">
        <v>0.12</v>
      </c>
      <c r="AR6276">
        <v>1</v>
      </c>
      <c r="AS6276" s="1">
        <v>29230</v>
      </c>
      <c r="AT6276" s="1">
        <v>5840</v>
      </c>
      <c r="AU6276" s="1">
        <v>23390</v>
      </c>
      <c r="AV6276">
        <v>80.02</v>
      </c>
      <c r="AX6276" s="1">
        <v>2576.34</v>
      </c>
      <c r="AY6276" t="s">
        <v>5094</v>
      </c>
      <c r="AZ6276" t="s">
        <v>5094</v>
      </c>
      <c r="BA6276" t="s">
        <v>473</v>
      </c>
      <c r="BE6276" s="3">
        <v>42093</v>
      </c>
      <c r="BF6276" s="1">
        <v>321180</v>
      </c>
      <c r="BG6276" t="s">
        <v>209</v>
      </c>
      <c r="BH6276" s="1">
        <v>105</v>
      </c>
      <c r="BI6276" s="1">
        <v>321180</v>
      </c>
      <c r="BJ6276" s="3">
        <v>42093</v>
      </c>
      <c r="BK6276" t="s">
        <v>123</v>
      </c>
      <c r="BL6276" t="str">
        <f>"2015.212219"</f>
        <v>2015.212219</v>
      </c>
      <c r="BM6276" t="s">
        <v>175</v>
      </c>
      <c r="BO6276" t="s">
        <v>38022</v>
      </c>
      <c r="BS6276">
        <v>30</v>
      </c>
      <c r="BW6276" t="str">
        <f>""</f>
        <v/>
      </c>
      <c r="CH6276" t="str">
        <f>""</f>
        <v/>
      </c>
      <c r="CS6276" t="str">
        <f>""</f>
        <v/>
      </c>
    </row>
    <row r="6277" spans="1:97" x14ac:dyDescent="0.25">
      <c r="A6277" t="s">
        <v>4959</v>
      </c>
      <c r="B6277" t="s">
        <v>5013</v>
      </c>
      <c r="C6277" t="s">
        <v>894</v>
      </c>
      <c r="D6277" t="s">
        <v>5013</v>
      </c>
      <c r="E6277" t="s">
        <v>38023</v>
      </c>
      <c r="F6277" t="s">
        <v>108</v>
      </c>
      <c r="H6277" t="s">
        <v>38024</v>
      </c>
      <c r="I6277" t="s">
        <v>203</v>
      </c>
      <c r="J6277" t="s">
        <v>111</v>
      </c>
      <c r="K6277" t="str">
        <f>"85298"</f>
        <v>85298</v>
      </c>
      <c r="L6277" t="s">
        <v>21230</v>
      </c>
      <c r="M6277" t="s">
        <v>38024</v>
      </c>
      <c r="N6277" t="s">
        <v>203</v>
      </c>
      <c r="O6277" t="s">
        <v>111</v>
      </c>
      <c r="P6277" t="str">
        <f>"85298-5724"</f>
        <v>85298-5724</v>
      </c>
      <c r="Q6277" t="s">
        <v>113</v>
      </c>
      <c r="R6277" t="str">
        <f>"313-08-665"</f>
        <v>313-08-665</v>
      </c>
      <c r="S6277" t="s">
        <v>29672</v>
      </c>
      <c r="U6277">
        <v>2816</v>
      </c>
      <c r="V6277">
        <v>0</v>
      </c>
      <c r="W6277">
        <v>4</v>
      </c>
      <c r="X6277">
        <v>2011</v>
      </c>
      <c r="Z6277">
        <v>2</v>
      </c>
      <c r="AA6277" t="s">
        <v>26</v>
      </c>
      <c r="AB6277">
        <v>0</v>
      </c>
      <c r="AC6277" t="s">
        <v>115</v>
      </c>
      <c r="AD6277">
        <v>2</v>
      </c>
      <c r="AE6277" t="s">
        <v>115</v>
      </c>
      <c r="AF6277">
        <v>0</v>
      </c>
      <c r="AG6277">
        <v>0</v>
      </c>
      <c r="AH6277" t="s">
        <v>116</v>
      </c>
      <c r="AI6277" s="1">
        <v>112432</v>
      </c>
      <c r="AJ6277" s="2">
        <v>0.25</v>
      </c>
      <c r="AK6277" s="1">
        <v>458487</v>
      </c>
      <c r="AL6277" t="s">
        <v>117</v>
      </c>
      <c r="AM6277" t="s">
        <v>191</v>
      </c>
      <c r="AN6277">
        <v>15359</v>
      </c>
      <c r="AO6277">
        <v>0.35</v>
      </c>
      <c r="AR6277">
        <v>1</v>
      </c>
      <c r="AS6277" s="1">
        <v>32750</v>
      </c>
      <c r="AT6277" s="1">
        <v>6550</v>
      </c>
      <c r="AU6277" s="1">
        <v>26200</v>
      </c>
      <c r="AV6277">
        <v>80</v>
      </c>
      <c r="AX6277" s="1">
        <v>3013.24</v>
      </c>
      <c r="AY6277" t="s">
        <v>272</v>
      </c>
      <c r="AZ6277" t="s">
        <v>273</v>
      </c>
      <c r="BA6277" t="s">
        <v>274</v>
      </c>
      <c r="BE6277" s="3">
        <v>41703</v>
      </c>
      <c r="BF6277" s="1">
        <v>335000</v>
      </c>
      <c r="BG6277" t="s">
        <v>38025</v>
      </c>
      <c r="BH6277" s="1">
        <v>118.96</v>
      </c>
      <c r="BI6277" s="1">
        <v>346055</v>
      </c>
      <c r="BJ6277" s="3">
        <v>41703</v>
      </c>
      <c r="BK6277" t="s">
        <v>123</v>
      </c>
      <c r="BL6277" t="str">
        <f>"2014.142778"</f>
        <v>2014.142778</v>
      </c>
      <c r="BM6277" t="s">
        <v>738</v>
      </c>
      <c r="BN6277" t="s">
        <v>739</v>
      </c>
      <c r="BO6277" t="s">
        <v>38026</v>
      </c>
      <c r="BS6277">
        <v>30</v>
      </c>
      <c r="BW6277" t="str">
        <f>""</f>
        <v/>
      </c>
      <c r="CH6277" t="str">
        <f>""</f>
        <v/>
      </c>
      <c r="CS6277" t="str">
        <f>""</f>
        <v/>
      </c>
    </row>
    <row r="6278" spans="1:97" x14ac:dyDescent="0.25">
      <c r="A6278" t="s">
        <v>2776</v>
      </c>
      <c r="B6278" t="s">
        <v>38027</v>
      </c>
      <c r="E6278" t="s">
        <v>38028</v>
      </c>
      <c r="F6278" t="s">
        <v>108</v>
      </c>
      <c r="H6278" t="s">
        <v>38029</v>
      </c>
      <c r="I6278" t="s">
        <v>110</v>
      </c>
      <c r="J6278" t="s">
        <v>111</v>
      </c>
      <c r="K6278" t="str">
        <f>"85249"</f>
        <v>85249</v>
      </c>
      <c r="L6278" t="s">
        <v>6529</v>
      </c>
      <c r="M6278" t="s">
        <v>38029</v>
      </c>
      <c r="N6278" t="s">
        <v>110</v>
      </c>
      <c r="O6278" t="s">
        <v>111</v>
      </c>
      <c r="P6278" t="str">
        <f>"85249-4882"</f>
        <v>85249-4882</v>
      </c>
      <c r="Q6278" t="s">
        <v>113</v>
      </c>
      <c r="R6278" t="str">
        <f>"303-84-249"</f>
        <v>303-84-249</v>
      </c>
      <c r="S6278" t="s">
        <v>38030</v>
      </c>
      <c r="U6278">
        <v>2130</v>
      </c>
      <c r="V6278">
        <v>0</v>
      </c>
      <c r="W6278">
        <v>3</v>
      </c>
      <c r="X6278">
        <v>2001</v>
      </c>
      <c r="Z6278">
        <v>1</v>
      </c>
      <c r="AA6278" t="s">
        <v>26</v>
      </c>
      <c r="AB6278">
        <v>0</v>
      </c>
      <c r="AC6278" t="s">
        <v>115</v>
      </c>
      <c r="AD6278">
        <v>2</v>
      </c>
      <c r="AE6278" t="s">
        <v>115</v>
      </c>
      <c r="AF6278">
        <v>0</v>
      </c>
      <c r="AG6278">
        <v>0</v>
      </c>
      <c r="AH6278" t="s">
        <v>116</v>
      </c>
      <c r="AI6278" s="1">
        <v>94921</v>
      </c>
      <c r="AJ6278" s="2">
        <v>0.24</v>
      </c>
      <c r="AK6278" s="1">
        <v>396557</v>
      </c>
      <c r="AL6278" t="s">
        <v>117</v>
      </c>
      <c r="AM6278" t="s">
        <v>118</v>
      </c>
      <c r="AN6278">
        <v>17387</v>
      </c>
      <c r="AO6278">
        <v>0.4</v>
      </c>
      <c r="AP6278">
        <v>1</v>
      </c>
      <c r="AR6278">
        <v>1</v>
      </c>
      <c r="AS6278" s="1">
        <v>28210</v>
      </c>
      <c r="AT6278" s="1">
        <v>5640</v>
      </c>
      <c r="AU6278" s="1">
        <v>22570</v>
      </c>
      <c r="AV6278">
        <v>80.010000000000005</v>
      </c>
      <c r="AX6278" s="1">
        <v>2300.98</v>
      </c>
      <c r="AY6278" t="s">
        <v>5050</v>
      </c>
      <c r="AZ6278" t="s">
        <v>120</v>
      </c>
      <c r="BA6278" t="s">
        <v>274</v>
      </c>
      <c r="BE6278" s="3">
        <v>41848</v>
      </c>
      <c r="BF6278" s="1">
        <v>292000</v>
      </c>
      <c r="BG6278" t="s">
        <v>38031</v>
      </c>
      <c r="BH6278" s="1">
        <v>137.09</v>
      </c>
      <c r="BI6278" s="1">
        <v>301636</v>
      </c>
      <c r="BJ6278" s="3">
        <v>41848</v>
      </c>
      <c r="BK6278" t="s">
        <v>123</v>
      </c>
      <c r="BL6278" t="str">
        <f>"2014.492603"</f>
        <v>2014.492603</v>
      </c>
      <c r="BM6278" t="s">
        <v>255</v>
      </c>
      <c r="BO6278" t="s">
        <v>38032</v>
      </c>
      <c r="BS6278">
        <v>30</v>
      </c>
      <c r="BW6278" t="str">
        <f>""</f>
        <v/>
      </c>
      <c r="CH6278" t="str">
        <f>""</f>
        <v/>
      </c>
      <c r="CS6278" t="str">
        <f>""</f>
        <v/>
      </c>
    </row>
    <row r="6279" spans="1:97" x14ac:dyDescent="0.25">
      <c r="A6279" t="s">
        <v>2537</v>
      </c>
      <c r="B6279" t="s">
        <v>8664</v>
      </c>
      <c r="C6279" t="s">
        <v>3831</v>
      </c>
      <c r="D6279" t="s">
        <v>8664</v>
      </c>
      <c r="E6279" t="s">
        <v>38033</v>
      </c>
      <c r="F6279" t="s">
        <v>108</v>
      </c>
      <c r="H6279" t="s">
        <v>38034</v>
      </c>
      <c r="I6279" t="s">
        <v>390</v>
      </c>
      <c r="J6279" t="s">
        <v>111</v>
      </c>
      <c r="K6279" t="str">
        <f>"85044"</f>
        <v>85044</v>
      </c>
      <c r="L6279" t="s">
        <v>7626</v>
      </c>
      <c r="M6279" t="s">
        <v>38034</v>
      </c>
      <c r="N6279" t="s">
        <v>390</v>
      </c>
      <c r="O6279" t="s">
        <v>111</v>
      </c>
      <c r="P6279" t="str">
        <f>"85044-4840"</f>
        <v>85044-4840</v>
      </c>
      <c r="Q6279" t="s">
        <v>113</v>
      </c>
      <c r="R6279" t="str">
        <f>"306-03-265"</f>
        <v>306-03-265</v>
      </c>
      <c r="S6279" t="s">
        <v>38035</v>
      </c>
      <c r="T6279" t="s">
        <v>38035</v>
      </c>
      <c r="U6279">
        <v>1833</v>
      </c>
      <c r="V6279">
        <v>0</v>
      </c>
      <c r="W6279">
        <v>3</v>
      </c>
      <c r="X6279">
        <v>1994</v>
      </c>
      <c r="Z6279">
        <v>1</v>
      </c>
      <c r="AA6279" t="s">
        <v>26</v>
      </c>
      <c r="AB6279">
        <v>0</v>
      </c>
      <c r="AC6279" t="s">
        <v>115</v>
      </c>
      <c r="AD6279">
        <v>2</v>
      </c>
      <c r="AE6279" t="s">
        <v>115</v>
      </c>
      <c r="AF6279">
        <v>0</v>
      </c>
      <c r="AG6279">
        <v>0</v>
      </c>
      <c r="AH6279" t="s">
        <v>116</v>
      </c>
      <c r="AI6279" s="1">
        <v>69148</v>
      </c>
      <c r="AJ6279" s="2">
        <v>0.2</v>
      </c>
      <c r="AK6279" s="1">
        <v>354044</v>
      </c>
      <c r="AL6279" t="s">
        <v>117</v>
      </c>
      <c r="AM6279" t="s">
        <v>1315</v>
      </c>
      <c r="AN6279">
        <v>6582</v>
      </c>
      <c r="AO6279">
        <v>0.15</v>
      </c>
      <c r="AP6279">
        <v>1</v>
      </c>
      <c r="AR6279">
        <v>1</v>
      </c>
      <c r="AS6279" s="1">
        <v>25530</v>
      </c>
      <c r="AT6279" s="1">
        <v>5100</v>
      </c>
      <c r="AU6279" s="1">
        <v>20430</v>
      </c>
      <c r="AV6279">
        <v>80.02</v>
      </c>
      <c r="AX6279" s="1">
        <v>2355.86</v>
      </c>
      <c r="AY6279" t="s">
        <v>7254</v>
      </c>
      <c r="AZ6279" t="s">
        <v>7255</v>
      </c>
      <c r="BA6279" t="s">
        <v>5328</v>
      </c>
      <c r="BE6279" s="3">
        <v>42136</v>
      </c>
      <c r="BF6279" s="1">
        <v>278900</v>
      </c>
      <c r="BG6279" t="s">
        <v>38036</v>
      </c>
      <c r="BH6279" s="1">
        <v>152.15</v>
      </c>
      <c r="BI6279" s="1">
        <v>284896</v>
      </c>
      <c r="BJ6279" s="3">
        <v>42136</v>
      </c>
      <c r="BK6279" t="s">
        <v>123</v>
      </c>
      <c r="BL6279" t="str">
        <f>"2015.332854"</f>
        <v>2015.332854</v>
      </c>
      <c r="BM6279" t="s">
        <v>7181</v>
      </c>
      <c r="BO6279" t="s">
        <v>38037</v>
      </c>
      <c r="BS6279">
        <v>30</v>
      </c>
      <c r="BW6279" t="str">
        <f>""</f>
        <v/>
      </c>
      <c r="CH6279" t="str">
        <f>""</f>
        <v/>
      </c>
      <c r="CS6279" t="str">
        <f>""</f>
        <v/>
      </c>
    </row>
    <row r="6280" spans="1:97" x14ac:dyDescent="0.25">
      <c r="A6280" t="s">
        <v>38038</v>
      </c>
      <c r="B6280" t="s">
        <v>38039</v>
      </c>
      <c r="C6280" t="s">
        <v>4072</v>
      </c>
      <c r="D6280" t="s">
        <v>38039</v>
      </c>
      <c r="E6280" t="s">
        <v>38040</v>
      </c>
      <c r="F6280" t="s">
        <v>108</v>
      </c>
      <c r="H6280" t="s">
        <v>38041</v>
      </c>
      <c r="I6280" t="s">
        <v>188</v>
      </c>
      <c r="J6280" t="s">
        <v>111</v>
      </c>
      <c r="K6280" t="str">
        <f>"85142"</f>
        <v>85142</v>
      </c>
      <c r="L6280" t="s">
        <v>11339</v>
      </c>
      <c r="M6280" t="s">
        <v>38041</v>
      </c>
      <c r="N6280" t="s">
        <v>188</v>
      </c>
      <c r="O6280" t="s">
        <v>111</v>
      </c>
      <c r="P6280" t="str">
        <f>"85142-5495"</f>
        <v>85142-5495</v>
      </c>
      <c r="Q6280" t="s">
        <v>113</v>
      </c>
      <c r="R6280" t="str">
        <f>"304-62-594"</f>
        <v>304-62-594</v>
      </c>
      <c r="S6280" t="s">
        <v>15775</v>
      </c>
      <c r="T6280" t="s">
        <v>15775</v>
      </c>
      <c r="U6280">
        <v>2921</v>
      </c>
      <c r="V6280">
        <v>0</v>
      </c>
      <c r="W6280">
        <v>5</v>
      </c>
      <c r="X6280">
        <v>2014</v>
      </c>
      <c r="Z6280">
        <v>1</v>
      </c>
      <c r="AA6280" t="s">
        <v>26</v>
      </c>
      <c r="AB6280">
        <v>0</v>
      </c>
      <c r="AC6280" t="s">
        <v>115</v>
      </c>
      <c r="AD6280">
        <v>3</v>
      </c>
      <c r="AE6280" t="s">
        <v>115</v>
      </c>
      <c r="AF6280">
        <v>0</v>
      </c>
      <c r="AG6280">
        <v>0</v>
      </c>
      <c r="AH6280" t="s">
        <v>116</v>
      </c>
      <c r="AI6280" s="1">
        <v>124157</v>
      </c>
      <c r="AJ6280" s="2">
        <v>0.27</v>
      </c>
      <c r="AK6280" s="1">
        <v>454157</v>
      </c>
      <c r="AL6280" t="s">
        <v>117</v>
      </c>
      <c r="AM6280" t="s">
        <v>171</v>
      </c>
      <c r="AN6280">
        <v>9600</v>
      </c>
      <c r="AO6280">
        <v>0.22</v>
      </c>
      <c r="AR6280">
        <v>1</v>
      </c>
      <c r="AS6280" s="1">
        <v>34220</v>
      </c>
      <c r="AT6280" s="1">
        <v>6840</v>
      </c>
      <c r="AU6280" s="1">
        <v>27380</v>
      </c>
      <c r="AV6280">
        <v>80.010000000000005</v>
      </c>
      <c r="AX6280" s="1">
        <v>3124.36</v>
      </c>
      <c r="AY6280" t="s">
        <v>560</v>
      </c>
      <c r="AZ6280" t="s">
        <v>561</v>
      </c>
      <c r="BA6280" t="s">
        <v>194</v>
      </c>
      <c r="BE6280" s="3">
        <v>41879</v>
      </c>
      <c r="BF6280" s="1">
        <v>339811</v>
      </c>
      <c r="BG6280" t="s">
        <v>15776</v>
      </c>
      <c r="BH6280" s="1">
        <v>116.33</v>
      </c>
      <c r="BI6280" s="1">
        <v>330000</v>
      </c>
      <c r="BJ6280" s="3">
        <v>42600</v>
      </c>
      <c r="BK6280" t="s">
        <v>123</v>
      </c>
      <c r="BL6280" t="str">
        <f>"2016.590707"</f>
        <v>2016.590707</v>
      </c>
      <c r="BM6280" t="s">
        <v>903</v>
      </c>
      <c r="BO6280" t="s">
        <v>38042</v>
      </c>
      <c r="BS6280">
        <v>25</v>
      </c>
      <c r="BW6280" t="str">
        <f>""</f>
        <v/>
      </c>
      <c r="CH6280" t="str">
        <f>""</f>
        <v/>
      </c>
      <c r="CS6280" t="str">
        <f>""</f>
        <v/>
      </c>
    </row>
    <row r="6281" spans="1:97" x14ac:dyDescent="0.25">
      <c r="A6281" t="s">
        <v>243</v>
      </c>
      <c r="B6281" t="s">
        <v>38043</v>
      </c>
      <c r="C6281" t="s">
        <v>2319</v>
      </c>
      <c r="D6281" t="s">
        <v>38043</v>
      </c>
      <c r="E6281" t="s">
        <v>38044</v>
      </c>
      <c r="F6281" t="s">
        <v>108</v>
      </c>
      <c r="H6281" t="s">
        <v>38045</v>
      </c>
      <c r="I6281" t="s">
        <v>632</v>
      </c>
      <c r="J6281" t="s">
        <v>111</v>
      </c>
      <c r="K6281" t="str">
        <f>"85388"</f>
        <v>85388</v>
      </c>
      <c r="L6281" t="s">
        <v>7607</v>
      </c>
      <c r="M6281" t="s">
        <v>38045</v>
      </c>
      <c r="N6281" t="s">
        <v>632</v>
      </c>
      <c r="O6281" t="s">
        <v>111</v>
      </c>
      <c r="P6281" t="str">
        <f>"85388-1850"</f>
        <v>85388-1850</v>
      </c>
      <c r="Q6281" t="s">
        <v>113</v>
      </c>
      <c r="R6281" t="str">
        <f>"502-89-528"</f>
        <v>502-89-528</v>
      </c>
      <c r="S6281" t="s">
        <v>7646</v>
      </c>
      <c r="U6281">
        <v>2645</v>
      </c>
      <c r="V6281">
        <v>0</v>
      </c>
      <c r="W6281">
        <v>5</v>
      </c>
      <c r="X6281">
        <v>2011</v>
      </c>
      <c r="Z6281">
        <v>2</v>
      </c>
      <c r="AB6281">
        <v>0</v>
      </c>
      <c r="AC6281" t="s">
        <v>115</v>
      </c>
      <c r="AD6281">
        <v>2</v>
      </c>
      <c r="AE6281" t="s">
        <v>115</v>
      </c>
      <c r="AF6281">
        <v>0</v>
      </c>
      <c r="AG6281">
        <v>0</v>
      </c>
      <c r="AH6281" t="s">
        <v>116</v>
      </c>
      <c r="AI6281" s="1">
        <v>59347</v>
      </c>
      <c r="AJ6281" s="2">
        <v>0.19</v>
      </c>
      <c r="AK6281" s="1">
        <v>318347</v>
      </c>
      <c r="AL6281" t="s">
        <v>117</v>
      </c>
      <c r="AM6281" t="s">
        <v>118</v>
      </c>
      <c r="AN6281">
        <v>5953</v>
      </c>
      <c r="AO6281">
        <v>0.14000000000000001</v>
      </c>
      <c r="AR6281">
        <v>1</v>
      </c>
      <c r="AS6281" s="1">
        <v>22720</v>
      </c>
      <c r="AT6281" s="1">
        <v>4540</v>
      </c>
      <c r="AU6281" s="1">
        <v>18180</v>
      </c>
      <c r="AV6281">
        <v>80.02</v>
      </c>
      <c r="AX6281" s="1">
        <v>2073.94</v>
      </c>
      <c r="AY6281" t="s">
        <v>5168</v>
      </c>
      <c r="AZ6281" t="s">
        <v>5168</v>
      </c>
      <c r="BA6281" t="s">
        <v>5109</v>
      </c>
      <c r="BB6281" s="3">
        <v>42262</v>
      </c>
      <c r="BD6281" t="s">
        <v>240</v>
      </c>
      <c r="BE6281" s="3">
        <v>41719</v>
      </c>
      <c r="BF6281" s="1">
        <v>233500</v>
      </c>
      <c r="BG6281" t="s">
        <v>38046</v>
      </c>
      <c r="BH6281" s="1">
        <v>88.28</v>
      </c>
      <c r="BI6281" s="1">
        <v>259000</v>
      </c>
      <c r="BJ6281" s="3">
        <v>42262</v>
      </c>
      <c r="BK6281" t="s">
        <v>123</v>
      </c>
      <c r="BL6281" t="str">
        <f>"2015.665488"</f>
        <v>2015.665488</v>
      </c>
      <c r="BM6281" t="s">
        <v>4014</v>
      </c>
      <c r="BO6281" t="s">
        <v>38047</v>
      </c>
      <c r="BS6281">
        <v>30</v>
      </c>
      <c r="BW6281" t="str">
        <f>""</f>
        <v/>
      </c>
      <c r="CH6281" t="str">
        <f>""</f>
        <v/>
      </c>
      <c r="CS6281" t="str">
        <f>""</f>
        <v/>
      </c>
    </row>
    <row r="6282" spans="1:97" x14ac:dyDescent="0.25">
      <c r="A6282" t="s">
        <v>1979</v>
      </c>
      <c r="B6282" t="s">
        <v>38048</v>
      </c>
      <c r="C6282" t="s">
        <v>908</v>
      </c>
      <c r="D6282" t="s">
        <v>38048</v>
      </c>
      <c r="E6282" t="s">
        <v>38049</v>
      </c>
      <c r="F6282" t="s">
        <v>108</v>
      </c>
      <c r="H6282" t="s">
        <v>38050</v>
      </c>
      <c r="I6282" t="s">
        <v>2874</v>
      </c>
      <c r="J6282" t="s">
        <v>111</v>
      </c>
      <c r="K6282" t="str">
        <f>"85307"</f>
        <v>85307</v>
      </c>
      <c r="L6282" t="s">
        <v>2857</v>
      </c>
      <c r="M6282" t="s">
        <v>38050</v>
      </c>
      <c r="N6282" t="s">
        <v>2874</v>
      </c>
      <c r="O6282" t="s">
        <v>111</v>
      </c>
      <c r="P6282" t="str">
        <f>"85307-1644"</f>
        <v>85307-1644</v>
      </c>
      <c r="Q6282" t="s">
        <v>113</v>
      </c>
      <c r="R6282" t="str">
        <f>"142-75-596"</f>
        <v>142-75-596</v>
      </c>
      <c r="S6282" t="s">
        <v>38051</v>
      </c>
      <c r="U6282">
        <v>1536</v>
      </c>
      <c r="V6282">
        <v>0</v>
      </c>
      <c r="W6282">
        <v>3</v>
      </c>
      <c r="X6282">
        <v>1999</v>
      </c>
      <c r="Z6282">
        <v>1</v>
      </c>
      <c r="AB6282">
        <v>0</v>
      </c>
      <c r="AC6282" t="s">
        <v>115</v>
      </c>
      <c r="AD6282">
        <v>2</v>
      </c>
      <c r="AE6282" t="s">
        <v>115</v>
      </c>
      <c r="AF6282">
        <v>0</v>
      </c>
      <c r="AG6282">
        <v>0</v>
      </c>
      <c r="AH6282" t="s">
        <v>116</v>
      </c>
      <c r="AI6282" s="1">
        <v>24546</v>
      </c>
      <c r="AJ6282" s="2">
        <v>0.1</v>
      </c>
      <c r="AK6282" s="1">
        <v>241476</v>
      </c>
      <c r="AL6282" t="s">
        <v>117</v>
      </c>
      <c r="AM6282" t="s">
        <v>393</v>
      </c>
      <c r="AN6282">
        <v>7260</v>
      </c>
      <c r="AO6282">
        <v>0.17</v>
      </c>
      <c r="AP6282">
        <v>1</v>
      </c>
      <c r="AR6282">
        <v>1</v>
      </c>
      <c r="AS6282" s="1">
        <v>16180</v>
      </c>
      <c r="AT6282" s="1">
        <v>3230</v>
      </c>
      <c r="AU6282" s="1">
        <v>12950</v>
      </c>
      <c r="AV6282">
        <v>80.040000000000006</v>
      </c>
      <c r="AX6282" s="1">
        <v>995.88</v>
      </c>
      <c r="AY6282" t="s">
        <v>12259</v>
      </c>
      <c r="AZ6282" t="s">
        <v>12259</v>
      </c>
      <c r="BA6282" t="s">
        <v>6945</v>
      </c>
      <c r="BE6282" s="3">
        <v>41691</v>
      </c>
      <c r="BF6282" s="1">
        <v>151900</v>
      </c>
      <c r="BG6282" t="s">
        <v>38052</v>
      </c>
      <c r="BH6282" s="1">
        <v>98.89</v>
      </c>
      <c r="BI6282" s="1">
        <v>216930</v>
      </c>
      <c r="BJ6282" s="3">
        <v>43549</v>
      </c>
      <c r="BK6282" t="s">
        <v>123</v>
      </c>
      <c r="BL6282" t="str">
        <f>"2019.204347"</f>
        <v>2019.204347</v>
      </c>
      <c r="BM6282" t="s">
        <v>3491</v>
      </c>
      <c r="BN6282" t="s">
        <v>1624</v>
      </c>
      <c r="BO6282" t="s">
        <v>38053</v>
      </c>
      <c r="BP6282" t="s">
        <v>38054</v>
      </c>
      <c r="BR6282" t="s">
        <v>139</v>
      </c>
      <c r="BW6282" t="str">
        <f>""</f>
        <v/>
      </c>
      <c r="CH6282" t="str">
        <f>""</f>
        <v/>
      </c>
      <c r="CS6282" t="str">
        <f>""</f>
        <v/>
      </c>
    </row>
    <row r="6283" spans="1:97" x14ac:dyDescent="0.25">
      <c r="A6283" t="s">
        <v>465</v>
      </c>
      <c r="B6283" t="s">
        <v>348</v>
      </c>
      <c r="C6283" t="s">
        <v>9149</v>
      </c>
      <c r="D6283" t="s">
        <v>348</v>
      </c>
      <c r="E6283" t="s">
        <v>38055</v>
      </c>
      <c r="F6283" t="s">
        <v>108</v>
      </c>
      <c r="H6283" t="s">
        <v>38056</v>
      </c>
      <c r="I6283" t="s">
        <v>390</v>
      </c>
      <c r="J6283" t="s">
        <v>111</v>
      </c>
      <c r="K6283" t="str">
        <f>"85023"</f>
        <v>85023</v>
      </c>
      <c r="L6283" t="s">
        <v>15732</v>
      </c>
      <c r="M6283" t="s">
        <v>38056</v>
      </c>
      <c r="N6283" t="s">
        <v>390</v>
      </c>
      <c r="O6283" t="s">
        <v>111</v>
      </c>
      <c r="P6283" t="str">
        <f>"85023-2326"</f>
        <v>85023-2326</v>
      </c>
      <c r="Q6283" t="s">
        <v>113</v>
      </c>
      <c r="R6283" t="str">
        <f>"208-07-027"</f>
        <v>208-07-027</v>
      </c>
      <c r="S6283" t="s">
        <v>38057</v>
      </c>
      <c r="T6283" t="s">
        <v>23316</v>
      </c>
      <c r="U6283">
        <v>1682</v>
      </c>
      <c r="V6283">
        <v>0</v>
      </c>
      <c r="W6283">
        <v>2</v>
      </c>
      <c r="X6283">
        <v>1964</v>
      </c>
      <c r="Z6283">
        <v>1</v>
      </c>
      <c r="AA6283" t="s">
        <v>26</v>
      </c>
      <c r="AB6283">
        <v>0</v>
      </c>
      <c r="AC6283" t="s">
        <v>5188</v>
      </c>
      <c r="AD6283">
        <v>2</v>
      </c>
      <c r="AE6283" t="s">
        <v>5188</v>
      </c>
      <c r="AF6283">
        <v>0</v>
      </c>
      <c r="AG6283">
        <v>0</v>
      </c>
      <c r="AH6283" t="s">
        <v>116</v>
      </c>
      <c r="AI6283" s="1">
        <v>23456</v>
      </c>
      <c r="AJ6283" s="2">
        <v>0.09</v>
      </c>
      <c r="AK6283" s="1">
        <v>264456</v>
      </c>
      <c r="AL6283" t="s">
        <v>117</v>
      </c>
      <c r="AM6283" t="s">
        <v>171</v>
      </c>
      <c r="AN6283">
        <v>13167</v>
      </c>
      <c r="AO6283">
        <v>0.3</v>
      </c>
      <c r="AP6283">
        <v>1</v>
      </c>
      <c r="AR6283">
        <v>1</v>
      </c>
      <c r="AS6283" s="1">
        <v>17680</v>
      </c>
      <c r="AT6283" s="1">
        <v>3530</v>
      </c>
      <c r="AU6283" s="1">
        <v>14150</v>
      </c>
      <c r="AV6283">
        <v>80.03</v>
      </c>
      <c r="AX6283" s="1">
        <v>1099.9000000000001</v>
      </c>
      <c r="AY6283" t="s">
        <v>9648</v>
      </c>
      <c r="AZ6283" t="s">
        <v>2357</v>
      </c>
      <c r="BA6283" t="s">
        <v>1462</v>
      </c>
      <c r="BE6283" s="3">
        <v>42489</v>
      </c>
      <c r="BF6283" s="1">
        <v>225000</v>
      </c>
      <c r="BG6283" t="s">
        <v>38058</v>
      </c>
      <c r="BH6283" s="1">
        <v>133.77000000000001</v>
      </c>
      <c r="BI6283" s="1">
        <v>241000</v>
      </c>
      <c r="BJ6283" s="3">
        <v>43616</v>
      </c>
      <c r="BK6283" t="s">
        <v>123</v>
      </c>
      <c r="BL6283" t="str">
        <f>"2019.401080"</f>
        <v>2019.401080</v>
      </c>
      <c r="BM6283" t="s">
        <v>12508</v>
      </c>
      <c r="BN6283" t="s">
        <v>8917</v>
      </c>
      <c r="BO6283" t="s">
        <v>38059</v>
      </c>
      <c r="BP6283" t="s">
        <v>38060</v>
      </c>
      <c r="BR6283" t="s">
        <v>139</v>
      </c>
      <c r="BW6283" t="str">
        <f>""</f>
        <v/>
      </c>
      <c r="CH6283" t="str">
        <f>""</f>
        <v/>
      </c>
      <c r="CS6283" t="str">
        <f>""</f>
        <v/>
      </c>
    </row>
    <row r="6284" spans="1:97" x14ac:dyDescent="0.25">
      <c r="A6284" t="s">
        <v>465</v>
      </c>
      <c r="B6284" t="s">
        <v>2104</v>
      </c>
      <c r="C6284" t="s">
        <v>38061</v>
      </c>
      <c r="D6284" t="s">
        <v>2104</v>
      </c>
      <c r="E6284" t="s">
        <v>38062</v>
      </c>
      <c r="F6284" t="s">
        <v>108</v>
      </c>
      <c r="H6284" t="s">
        <v>38063</v>
      </c>
      <c r="I6284" t="s">
        <v>203</v>
      </c>
      <c r="J6284" t="s">
        <v>111</v>
      </c>
      <c r="K6284" t="str">
        <f>"85296"</f>
        <v>85296</v>
      </c>
      <c r="L6284" t="s">
        <v>5588</v>
      </c>
      <c r="M6284" t="s">
        <v>38063</v>
      </c>
      <c r="N6284" t="s">
        <v>203</v>
      </c>
      <c r="O6284" t="s">
        <v>111</v>
      </c>
      <c r="P6284" t="str">
        <f>"85296-7367"</f>
        <v>85296-7367</v>
      </c>
      <c r="Q6284" t="s">
        <v>113</v>
      </c>
      <c r="R6284" t="str">
        <f>"313-15-071"</f>
        <v>313-15-071</v>
      </c>
      <c r="S6284" t="s">
        <v>5589</v>
      </c>
      <c r="U6284">
        <v>2701</v>
      </c>
      <c r="V6284">
        <v>0</v>
      </c>
      <c r="W6284">
        <v>4</v>
      </c>
      <c r="X6284">
        <v>2006</v>
      </c>
      <c r="Z6284">
        <v>2</v>
      </c>
      <c r="AB6284">
        <v>0</v>
      </c>
      <c r="AC6284" t="s">
        <v>115</v>
      </c>
      <c r="AD6284">
        <v>3</v>
      </c>
      <c r="AE6284" t="s">
        <v>115</v>
      </c>
      <c r="AF6284">
        <v>0</v>
      </c>
      <c r="AG6284">
        <v>0</v>
      </c>
      <c r="AH6284" t="s">
        <v>116</v>
      </c>
      <c r="AI6284" s="1">
        <v>88194</v>
      </c>
      <c r="AJ6284" s="2">
        <v>0.25</v>
      </c>
      <c r="AK6284" s="1">
        <v>353833</v>
      </c>
      <c r="AL6284" t="s">
        <v>117</v>
      </c>
      <c r="AM6284" t="s">
        <v>288</v>
      </c>
      <c r="AN6284">
        <v>4460</v>
      </c>
      <c r="AO6284">
        <v>0.1</v>
      </c>
      <c r="AR6284">
        <v>1</v>
      </c>
      <c r="AS6284" s="1">
        <v>24330</v>
      </c>
      <c r="AT6284" s="1">
        <v>4860</v>
      </c>
      <c r="AU6284" s="1">
        <v>19470</v>
      </c>
      <c r="AV6284">
        <v>80.02</v>
      </c>
      <c r="AX6284" s="1">
        <v>2208.66</v>
      </c>
      <c r="AY6284" t="s">
        <v>472</v>
      </c>
      <c r="AZ6284" t="s">
        <v>472</v>
      </c>
      <c r="BA6284" t="s">
        <v>473</v>
      </c>
      <c r="BB6284" s="3">
        <v>42482</v>
      </c>
      <c r="BD6284" t="s">
        <v>240</v>
      </c>
      <c r="BE6284" s="3">
        <v>41845</v>
      </c>
      <c r="BF6284" s="1">
        <v>279900</v>
      </c>
      <c r="BG6284" t="s">
        <v>38064</v>
      </c>
      <c r="BH6284" s="1">
        <v>103.63</v>
      </c>
      <c r="BI6284" s="1">
        <v>265639</v>
      </c>
      <c r="BJ6284" s="3">
        <v>42193</v>
      </c>
      <c r="BK6284" t="s">
        <v>123</v>
      </c>
      <c r="BL6284" t="str">
        <f>"2015.489365"</f>
        <v>2015.489365</v>
      </c>
      <c r="BM6284" t="s">
        <v>9702</v>
      </c>
      <c r="BO6284" t="s">
        <v>38065</v>
      </c>
      <c r="BS6284">
        <v>30</v>
      </c>
      <c r="BW6284" t="str">
        <f>""</f>
        <v/>
      </c>
      <c r="CH6284" t="str">
        <f>""</f>
        <v/>
      </c>
      <c r="CS6284" t="str">
        <f>""</f>
        <v/>
      </c>
    </row>
    <row r="6285" spans="1:97" x14ac:dyDescent="0.25">
      <c r="A6285" t="s">
        <v>6821</v>
      </c>
      <c r="B6285" t="s">
        <v>38066</v>
      </c>
      <c r="C6285" t="s">
        <v>38067</v>
      </c>
      <c r="D6285" t="s">
        <v>38066</v>
      </c>
      <c r="E6285" t="s">
        <v>38068</v>
      </c>
      <c r="F6285" t="s">
        <v>108</v>
      </c>
      <c r="H6285" t="s">
        <v>38069</v>
      </c>
      <c r="I6285" t="s">
        <v>2874</v>
      </c>
      <c r="J6285" t="s">
        <v>111</v>
      </c>
      <c r="K6285" t="str">
        <f>"85302"</f>
        <v>85302</v>
      </c>
      <c r="L6285" t="s">
        <v>6003</v>
      </c>
      <c r="M6285" t="s">
        <v>38069</v>
      </c>
      <c r="N6285" t="s">
        <v>2874</v>
      </c>
      <c r="O6285" t="s">
        <v>111</v>
      </c>
      <c r="P6285" t="str">
        <f>"85302-6031"</f>
        <v>85302-6031</v>
      </c>
      <c r="Q6285" t="s">
        <v>113</v>
      </c>
      <c r="R6285" t="str">
        <f>"148-14-120"</f>
        <v>148-14-120</v>
      </c>
      <c r="S6285" t="s">
        <v>38070</v>
      </c>
      <c r="T6285" t="s">
        <v>38070</v>
      </c>
      <c r="U6285">
        <v>1821</v>
      </c>
      <c r="V6285">
        <v>0</v>
      </c>
      <c r="W6285">
        <v>3</v>
      </c>
      <c r="X6285">
        <v>2002</v>
      </c>
      <c r="Z6285">
        <v>1</v>
      </c>
      <c r="AA6285" t="s">
        <v>26</v>
      </c>
      <c r="AB6285">
        <v>0</v>
      </c>
      <c r="AC6285" t="s">
        <v>115</v>
      </c>
      <c r="AD6285">
        <v>2</v>
      </c>
      <c r="AE6285" t="s">
        <v>115</v>
      </c>
      <c r="AF6285">
        <v>0</v>
      </c>
      <c r="AG6285">
        <v>0</v>
      </c>
      <c r="AH6285" t="s">
        <v>116</v>
      </c>
      <c r="AI6285" s="1">
        <v>79952</v>
      </c>
      <c r="AJ6285" s="2">
        <v>0.27</v>
      </c>
      <c r="AK6285" s="1">
        <v>298587</v>
      </c>
      <c r="AL6285" t="s">
        <v>117</v>
      </c>
      <c r="AM6285" t="s">
        <v>191</v>
      </c>
      <c r="AN6285">
        <v>7020</v>
      </c>
      <c r="AO6285">
        <v>0.16</v>
      </c>
      <c r="AP6285">
        <v>1</v>
      </c>
      <c r="AR6285">
        <v>1</v>
      </c>
      <c r="AS6285" s="1">
        <v>21060</v>
      </c>
      <c r="AT6285" s="1">
        <v>4210</v>
      </c>
      <c r="AU6285" s="1">
        <v>16850</v>
      </c>
      <c r="AV6285">
        <v>80.010000000000005</v>
      </c>
      <c r="AX6285" s="1">
        <v>1858.34</v>
      </c>
      <c r="AY6285" t="s">
        <v>6006</v>
      </c>
      <c r="AZ6285" t="s">
        <v>6006</v>
      </c>
      <c r="BA6285" t="s">
        <v>6007</v>
      </c>
      <c r="BE6285" s="3">
        <v>42173</v>
      </c>
      <c r="BF6285" s="1">
        <v>220000</v>
      </c>
      <c r="BG6285" t="s">
        <v>38071</v>
      </c>
      <c r="BH6285" s="1">
        <v>121.95</v>
      </c>
      <c r="BI6285" s="1">
        <v>218635</v>
      </c>
      <c r="BJ6285" s="3">
        <v>42597</v>
      </c>
      <c r="BK6285" t="s">
        <v>123</v>
      </c>
      <c r="BL6285" t="str">
        <f>"2016.578938"</f>
        <v>2016.578938</v>
      </c>
      <c r="BM6285" t="s">
        <v>1185</v>
      </c>
      <c r="BO6285" t="s">
        <v>38072</v>
      </c>
      <c r="BS6285">
        <v>30</v>
      </c>
      <c r="BW6285" t="str">
        <f>""</f>
        <v/>
      </c>
      <c r="CH6285" t="str">
        <f>""</f>
        <v/>
      </c>
      <c r="CS6285" t="str">
        <f>""</f>
        <v/>
      </c>
    </row>
    <row r="6286" spans="1:97" x14ac:dyDescent="0.25">
      <c r="A6286" t="s">
        <v>177</v>
      </c>
      <c r="B6286" t="s">
        <v>13334</v>
      </c>
      <c r="E6286" t="s">
        <v>38073</v>
      </c>
      <c r="F6286" t="s">
        <v>108</v>
      </c>
      <c r="H6286" t="s">
        <v>38074</v>
      </c>
      <c r="I6286" t="s">
        <v>5114</v>
      </c>
      <c r="J6286" t="s">
        <v>111</v>
      </c>
      <c r="K6286" t="str">
        <f>"85323"</f>
        <v>85323</v>
      </c>
      <c r="L6286" t="s">
        <v>189</v>
      </c>
      <c r="M6286" t="s">
        <v>38074</v>
      </c>
      <c r="N6286" t="s">
        <v>5114</v>
      </c>
      <c r="O6286" t="s">
        <v>111</v>
      </c>
      <c r="P6286" t="str">
        <f>"85323-1163"</f>
        <v>85323-1163</v>
      </c>
      <c r="Q6286" t="s">
        <v>113</v>
      </c>
      <c r="R6286" t="str">
        <f>"101-54-909"</f>
        <v>101-54-909</v>
      </c>
      <c r="S6286" t="s">
        <v>38075</v>
      </c>
      <c r="T6286" t="s">
        <v>17710</v>
      </c>
      <c r="U6286">
        <v>2646</v>
      </c>
      <c r="V6286">
        <v>0</v>
      </c>
      <c r="W6286">
        <v>4</v>
      </c>
      <c r="X6286">
        <v>2004</v>
      </c>
      <c r="Z6286">
        <v>2</v>
      </c>
      <c r="AA6286" t="s">
        <v>26</v>
      </c>
      <c r="AB6286">
        <v>0</v>
      </c>
      <c r="AC6286" t="s">
        <v>115</v>
      </c>
      <c r="AD6286">
        <v>3</v>
      </c>
      <c r="AE6286" t="s">
        <v>115</v>
      </c>
      <c r="AF6286">
        <v>0</v>
      </c>
      <c r="AG6286">
        <v>0</v>
      </c>
      <c r="AH6286" t="s">
        <v>116</v>
      </c>
      <c r="AI6286" s="1">
        <v>92205</v>
      </c>
      <c r="AJ6286" s="2">
        <v>0.3</v>
      </c>
      <c r="AK6286" s="1">
        <v>311051</v>
      </c>
      <c r="AL6286" t="s">
        <v>117</v>
      </c>
      <c r="AM6286" t="s">
        <v>118</v>
      </c>
      <c r="AN6286">
        <v>7150</v>
      </c>
      <c r="AO6286">
        <v>0.16</v>
      </c>
      <c r="AP6286">
        <v>1</v>
      </c>
      <c r="AR6286">
        <v>1</v>
      </c>
      <c r="AS6286" s="1">
        <v>21130</v>
      </c>
      <c r="AT6286" s="1">
        <v>4220</v>
      </c>
      <c r="AU6286" s="1">
        <v>16910</v>
      </c>
      <c r="AV6286">
        <v>80.03</v>
      </c>
      <c r="AX6286" s="1">
        <v>1697.6</v>
      </c>
      <c r="AY6286" t="s">
        <v>17711</v>
      </c>
      <c r="AZ6286" t="s">
        <v>17711</v>
      </c>
      <c r="BA6286" t="s">
        <v>4254</v>
      </c>
      <c r="BB6286" s="3">
        <v>42122</v>
      </c>
      <c r="BD6286" t="s">
        <v>240</v>
      </c>
      <c r="BE6286" s="3">
        <v>41865</v>
      </c>
      <c r="BF6286" s="1">
        <v>225000</v>
      </c>
      <c r="BG6286" t="s">
        <v>38076</v>
      </c>
      <c r="BH6286" s="1">
        <v>85.03</v>
      </c>
      <c r="BI6286" s="1">
        <v>218846</v>
      </c>
      <c r="BJ6286" s="3">
        <v>42122</v>
      </c>
      <c r="BK6286" t="s">
        <v>123</v>
      </c>
      <c r="BL6286" t="str">
        <f>"2015.293068"</f>
        <v>2015.293068</v>
      </c>
      <c r="BM6286" t="s">
        <v>255</v>
      </c>
      <c r="BO6286" t="s">
        <v>38077</v>
      </c>
      <c r="BP6286" t="s">
        <v>38078</v>
      </c>
      <c r="BS6286">
        <v>30</v>
      </c>
      <c r="BW6286" t="str">
        <f>""</f>
        <v/>
      </c>
      <c r="CH6286" t="str">
        <f>""</f>
        <v/>
      </c>
      <c r="CS6286" t="str">
        <f>""</f>
        <v/>
      </c>
    </row>
    <row r="6287" spans="1:97" x14ac:dyDescent="0.25">
      <c r="A6287" t="s">
        <v>7387</v>
      </c>
      <c r="B6287" t="s">
        <v>38079</v>
      </c>
      <c r="C6287" t="s">
        <v>2281</v>
      </c>
      <c r="D6287" t="s">
        <v>38079</v>
      </c>
      <c r="E6287" t="s">
        <v>38080</v>
      </c>
      <c r="F6287" t="s">
        <v>108</v>
      </c>
      <c r="H6287" t="s">
        <v>38081</v>
      </c>
      <c r="I6287" t="s">
        <v>390</v>
      </c>
      <c r="J6287" t="s">
        <v>111</v>
      </c>
      <c r="K6287" t="str">
        <f>"85014"</f>
        <v>85014</v>
      </c>
      <c r="L6287" t="s">
        <v>6541</v>
      </c>
      <c r="M6287" t="s">
        <v>38081</v>
      </c>
      <c r="N6287" t="s">
        <v>390</v>
      </c>
      <c r="O6287" t="s">
        <v>111</v>
      </c>
      <c r="P6287" t="str">
        <f>"85014-2837"</f>
        <v>85014-2837</v>
      </c>
      <c r="Q6287" t="s">
        <v>113</v>
      </c>
      <c r="R6287" t="str">
        <f>"162-15-053"</f>
        <v>162-15-053</v>
      </c>
      <c r="S6287" t="s">
        <v>7155</v>
      </c>
      <c r="T6287" t="s">
        <v>7155</v>
      </c>
      <c r="U6287">
        <v>1451</v>
      </c>
      <c r="V6287">
        <v>0</v>
      </c>
      <c r="W6287">
        <v>2</v>
      </c>
      <c r="X6287">
        <v>1951</v>
      </c>
      <c r="Z6287">
        <v>1</v>
      </c>
      <c r="AB6287">
        <v>0</v>
      </c>
      <c r="AC6287" t="s">
        <v>5188</v>
      </c>
      <c r="AD6287">
        <v>1</v>
      </c>
      <c r="AE6287" t="s">
        <v>5188</v>
      </c>
      <c r="AF6287">
        <v>0</v>
      </c>
      <c r="AG6287">
        <v>0</v>
      </c>
      <c r="AH6287" t="s">
        <v>116</v>
      </c>
      <c r="AI6287" s="1">
        <v>52589</v>
      </c>
      <c r="AJ6287" s="2">
        <v>0.14000000000000001</v>
      </c>
      <c r="AK6287" s="1">
        <v>372819</v>
      </c>
      <c r="AL6287" t="s">
        <v>117</v>
      </c>
      <c r="AM6287" t="s">
        <v>191</v>
      </c>
      <c r="AN6287">
        <v>7395</v>
      </c>
      <c r="AO6287">
        <v>0.17</v>
      </c>
      <c r="AP6287">
        <v>1</v>
      </c>
      <c r="AR6287">
        <v>1</v>
      </c>
      <c r="AS6287" s="1">
        <v>24570</v>
      </c>
      <c r="AT6287" s="1">
        <v>4910</v>
      </c>
      <c r="AU6287" s="1">
        <v>19660</v>
      </c>
      <c r="AV6287">
        <v>80.02</v>
      </c>
      <c r="AX6287" s="1">
        <v>2137.1799999999998</v>
      </c>
      <c r="AY6287" t="s">
        <v>6998</v>
      </c>
      <c r="AZ6287" t="s">
        <v>6254</v>
      </c>
      <c r="BA6287" t="s">
        <v>5469</v>
      </c>
      <c r="BE6287" s="3">
        <v>42030</v>
      </c>
      <c r="BF6287" s="1">
        <v>250000</v>
      </c>
      <c r="BG6287" t="s">
        <v>38082</v>
      </c>
      <c r="BH6287" s="1">
        <v>172.29</v>
      </c>
      <c r="BI6287" s="1">
        <v>320230</v>
      </c>
      <c r="BJ6287" s="3">
        <v>43007</v>
      </c>
      <c r="BK6287" t="s">
        <v>123</v>
      </c>
      <c r="BL6287" t="str">
        <f>"2017.720529"</f>
        <v>2017.720529</v>
      </c>
      <c r="BM6287" t="s">
        <v>6235</v>
      </c>
      <c r="BN6287">
        <v>37207</v>
      </c>
      <c r="BO6287" t="s">
        <v>38083</v>
      </c>
      <c r="BS6287">
        <v>30</v>
      </c>
      <c r="BW6287" t="str">
        <f>""</f>
        <v/>
      </c>
      <c r="CH6287" t="str">
        <f>""</f>
        <v/>
      </c>
      <c r="CS6287" t="str">
        <f>""</f>
        <v/>
      </c>
    </row>
    <row r="6288" spans="1:97" x14ac:dyDescent="0.25">
      <c r="A6288" t="s">
        <v>575</v>
      </c>
      <c r="B6288" t="s">
        <v>38084</v>
      </c>
      <c r="E6288" t="s">
        <v>38085</v>
      </c>
      <c r="F6288" t="s">
        <v>108</v>
      </c>
      <c r="H6288" t="s">
        <v>38086</v>
      </c>
      <c r="I6288" t="s">
        <v>390</v>
      </c>
      <c r="J6288" t="s">
        <v>111</v>
      </c>
      <c r="K6288" t="str">
        <f>"85041"</f>
        <v>85041</v>
      </c>
      <c r="L6288" t="s">
        <v>5218</v>
      </c>
      <c r="M6288" t="s">
        <v>38086</v>
      </c>
      <c r="N6288" t="s">
        <v>390</v>
      </c>
      <c r="O6288" t="s">
        <v>111</v>
      </c>
      <c r="P6288" t="str">
        <f>"85041-6380"</f>
        <v>85041-6380</v>
      </c>
      <c r="Q6288" t="s">
        <v>113</v>
      </c>
      <c r="R6288" t="str">
        <f>"105-91-079"</f>
        <v>105-91-079</v>
      </c>
      <c r="S6288" t="s">
        <v>15659</v>
      </c>
      <c r="T6288" t="s">
        <v>15660</v>
      </c>
      <c r="U6288">
        <v>2946</v>
      </c>
      <c r="V6288">
        <v>0</v>
      </c>
      <c r="W6288">
        <v>3</v>
      </c>
      <c r="X6288">
        <v>2004</v>
      </c>
      <c r="Z6288">
        <v>2</v>
      </c>
      <c r="AB6288">
        <v>0</v>
      </c>
      <c r="AC6288" t="s">
        <v>115</v>
      </c>
      <c r="AD6288">
        <v>3</v>
      </c>
      <c r="AE6288" t="s">
        <v>115</v>
      </c>
      <c r="AF6288">
        <v>0</v>
      </c>
      <c r="AG6288">
        <v>0</v>
      </c>
      <c r="AH6288" t="s">
        <v>116</v>
      </c>
      <c r="AI6288" s="1">
        <v>92459</v>
      </c>
      <c r="AJ6288" s="2">
        <v>0.31</v>
      </c>
      <c r="AK6288" s="1">
        <v>299349</v>
      </c>
      <c r="AL6288" t="s">
        <v>117</v>
      </c>
      <c r="AM6288" t="s">
        <v>760</v>
      </c>
      <c r="AN6288">
        <v>10558</v>
      </c>
      <c r="AO6288">
        <v>0.24</v>
      </c>
      <c r="AP6288">
        <v>1</v>
      </c>
      <c r="AR6288">
        <v>1</v>
      </c>
      <c r="AS6288" s="1">
        <v>20720</v>
      </c>
      <c r="AT6288" s="1">
        <v>4140</v>
      </c>
      <c r="AU6288" s="1">
        <v>16580</v>
      </c>
      <c r="AV6288">
        <v>80.02</v>
      </c>
      <c r="AX6288" s="1">
        <v>2407.1799999999998</v>
      </c>
      <c r="AY6288" t="s">
        <v>5220</v>
      </c>
      <c r="AZ6288" t="s">
        <v>5220</v>
      </c>
      <c r="BA6288" t="s">
        <v>1661</v>
      </c>
      <c r="BE6288" s="3">
        <v>42307</v>
      </c>
      <c r="BF6288" s="1">
        <v>209000</v>
      </c>
      <c r="BG6288" t="s">
        <v>38087</v>
      </c>
      <c r="BH6288" s="1">
        <v>70.94</v>
      </c>
      <c r="BI6288" s="1">
        <v>206890</v>
      </c>
      <c r="BJ6288" s="3">
        <v>42950</v>
      </c>
      <c r="BK6288" t="s">
        <v>123</v>
      </c>
      <c r="BL6288" t="str">
        <f>"2017.569886"</f>
        <v>2017.569886</v>
      </c>
      <c r="BM6288" t="s">
        <v>3638</v>
      </c>
      <c r="BO6288" t="s">
        <v>38088</v>
      </c>
      <c r="BS6288">
        <v>30</v>
      </c>
      <c r="BW6288" t="str">
        <f>""</f>
        <v/>
      </c>
      <c r="CH6288" t="str">
        <f>""</f>
        <v/>
      </c>
      <c r="CS6288" t="str">
        <f>""</f>
        <v/>
      </c>
    </row>
    <row r="6289" spans="1:97" x14ac:dyDescent="0.25">
      <c r="A6289" t="s">
        <v>6060</v>
      </c>
      <c r="B6289" t="s">
        <v>24621</v>
      </c>
      <c r="E6289" t="s">
        <v>38089</v>
      </c>
      <c r="F6289" t="s">
        <v>108</v>
      </c>
      <c r="H6289" t="s">
        <v>38090</v>
      </c>
      <c r="I6289" t="s">
        <v>2874</v>
      </c>
      <c r="J6289" t="s">
        <v>111</v>
      </c>
      <c r="K6289" t="str">
        <f>"85305"</f>
        <v>85305</v>
      </c>
      <c r="L6289" t="s">
        <v>10474</v>
      </c>
      <c r="M6289" t="s">
        <v>38090</v>
      </c>
      <c r="N6289" t="s">
        <v>2874</v>
      </c>
      <c r="O6289" t="s">
        <v>111</v>
      </c>
      <c r="P6289" t="str">
        <f>"85305-3936"</f>
        <v>85305-3936</v>
      </c>
      <c r="Q6289" t="s">
        <v>113</v>
      </c>
      <c r="R6289" t="str">
        <f>"142-28-378"</f>
        <v>142-28-378</v>
      </c>
      <c r="S6289" t="s">
        <v>10475</v>
      </c>
      <c r="T6289" t="s">
        <v>10475</v>
      </c>
      <c r="U6289">
        <v>3225</v>
      </c>
      <c r="V6289">
        <v>0</v>
      </c>
      <c r="W6289">
        <v>4</v>
      </c>
      <c r="X6289">
        <v>2004</v>
      </c>
      <c r="Z6289">
        <v>1</v>
      </c>
      <c r="AA6289" t="s">
        <v>26</v>
      </c>
      <c r="AB6289">
        <v>0</v>
      </c>
      <c r="AC6289" t="s">
        <v>115</v>
      </c>
      <c r="AD6289">
        <v>3</v>
      </c>
      <c r="AE6289" t="s">
        <v>115</v>
      </c>
      <c r="AF6289">
        <v>0</v>
      </c>
      <c r="AG6289">
        <v>0</v>
      </c>
      <c r="AH6289" t="s">
        <v>116</v>
      </c>
      <c r="AI6289" s="1">
        <v>106024</v>
      </c>
      <c r="AJ6289" s="2">
        <v>0.25</v>
      </c>
      <c r="AK6289" s="1">
        <v>419364</v>
      </c>
      <c r="AL6289" t="s">
        <v>117</v>
      </c>
      <c r="AM6289" t="s">
        <v>1302</v>
      </c>
      <c r="AN6289">
        <v>12812</v>
      </c>
      <c r="AO6289">
        <v>0.28999999999999998</v>
      </c>
      <c r="AP6289">
        <v>1</v>
      </c>
      <c r="AR6289">
        <v>1</v>
      </c>
      <c r="AS6289" s="1">
        <v>33220</v>
      </c>
      <c r="AT6289" s="1">
        <v>6640</v>
      </c>
      <c r="AU6289" s="1">
        <v>26580</v>
      </c>
      <c r="AV6289">
        <v>80.010000000000005</v>
      </c>
      <c r="AX6289" s="1">
        <v>2572.1799999999998</v>
      </c>
      <c r="AY6289" t="s">
        <v>6944</v>
      </c>
      <c r="AZ6289" t="s">
        <v>6944</v>
      </c>
      <c r="BA6289" t="s">
        <v>6945</v>
      </c>
      <c r="BE6289" s="3">
        <v>41663</v>
      </c>
      <c r="BF6289" s="1">
        <v>309000</v>
      </c>
      <c r="BG6289" t="s">
        <v>38091</v>
      </c>
      <c r="BH6289" s="1">
        <v>95.81</v>
      </c>
      <c r="BI6289" s="1">
        <v>313340</v>
      </c>
      <c r="BJ6289" s="3">
        <v>42124</v>
      </c>
      <c r="BK6289" t="s">
        <v>123</v>
      </c>
      <c r="BL6289" t="str">
        <f>"2015.304456"</f>
        <v>2015.304456</v>
      </c>
      <c r="BM6289" t="s">
        <v>2378</v>
      </c>
      <c r="BO6289" t="s">
        <v>38092</v>
      </c>
      <c r="BS6289">
        <v>30</v>
      </c>
      <c r="BW6289" t="str">
        <f>""</f>
        <v/>
      </c>
      <c r="CH6289" t="str">
        <f>""</f>
        <v/>
      </c>
      <c r="CS6289" t="str">
        <f>""</f>
        <v/>
      </c>
    </row>
    <row r="6290" spans="1:97" x14ac:dyDescent="0.25">
      <c r="A6290" t="s">
        <v>996</v>
      </c>
      <c r="B6290" t="s">
        <v>3001</v>
      </c>
      <c r="C6290" t="s">
        <v>38093</v>
      </c>
      <c r="D6290" t="s">
        <v>3001</v>
      </c>
      <c r="E6290" t="s">
        <v>38094</v>
      </c>
      <c r="F6290" t="s">
        <v>108</v>
      </c>
      <c r="H6290" t="s">
        <v>38095</v>
      </c>
      <c r="I6290" t="s">
        <v>5636</v>
      </c>
      <c r="J6290" t="s">
        <v>111</v>
      </c>
      <c r="K6290" t="str">
        <f>"85268"</f>
        <v>85268</v>
      </c>
      <c r="L6290" t="s">
        <v>5021</v>
      </c>
      <c r="M6290" t="s">
        <v>38095</v>
      </c>
      <c r="N6290" t="s">
        <v>5636</v>
      </c>
      <c r="O6290" t="s">
        <v>111</v>
      </c>
      <c r="P6290" t="str">
        <f>"85268-8506"</f>
        <v>85268-8506</v>
      </c>
      <c r="Q6290" t="s">
        <v>113</v>
      </c>
      <c r="R6290" t="str">
        <f>"176-07-505"</f>
        <v>176-07-505</v>
      </c>
      <c r="S6290" t="s">
        <v>38096</v>
      </c>
      <c r="T6290" t="s">
        <v>38097</v>
      </c>
      <c r="U6290">
        <v>1662</v>
      </c>
      <c r="V6290">
        <v>0</v>
      </c>
      <c r="W6290">
        <v>2</v>
      </c>
      <c r="X6290">
        <v>1995</v>
      </c>
      <c r="Z6290">
        <v>1</v>
      </c>
      <c r="AB6290">
        <v>0</v>
      </c>
      <c r="AC6290" t="s">
        <v>115</v>
      </c>
      <c r="AD6290">
        <v>2</v>
      </c>
      <c r="AE6290" t="s">
        <v>115</v>
      </c>
      <c r="AF6290">
        <v>0</v>
      </c>
      <c r="AG6290">
        <v>0</v>
      </c>
      <c r="AH6290" t="s">
        <v>116</v>
      </c>
      <c r="AI6290" s="1">
        <v>54557</v>
      </c>
      <c r="AJ6290" s="2">
        <v>0.14000000000000001</v>
      </c>
      <c r="AK6290" s="1">
        <v>376907</v>
      </c>
      <c r="AL6290" t="s">
        <v>117</v>
      </c>
      <c r="AM6290" t="s">
        <v>229</v>
      </c>
      <c r="AN6290">
        <v>6176</v>
      </c>
      <c r="AO6290">
        <v>0.14000000000000001</v>
      </c>
      <c r="AP6290">
        <v>1</v>
      </c>
      <c r="AR6290">
        <v>1</v>
      </c>
      <c r="AS6290" s="1">
        <v>26100</v>
      </c>
      <c r="AT6290" s="1">
        <v>5220</v>
      </c>
      <c r="AU6290" s="1">
        <v>20880</v>
      </c>
      <c r="AV6290">
        <v>80</v>
      </c>
      <c r="AX6290" s="1">
        <v>1787.3</v>
      </c>
      <c r="AY6290" t="s">
        <v>6485</v>
      </c>
      <c r="AZ6290" t="s">
        <v>5640</v>
      </c>
      <c r="BA6290" t="s">
        <v>5641</v>
      </c>
      <c r="BB6290" s="3">
        <v>42142</v>
      </c>
      <c r="BD6290" t="s">
        <v>22018</v>
      </c>
      <c r="BE6290" s="3">
        <v>41995</v>
      </c>
      <c r="BF6290" s="1">
        <v>328000</v>
      </c>
      <c r="BG6290" t="s">
        <v>38098</v>
      </c>
      <c r="BH6290" s="1">
        <v>197.35</v>
      </c>
      <c r="BI6290" s="1">
        <v>322350</v>
      </c>
      <c r="BJ6290" s="3">
        <v>42548</v>
      </c>
      <c r="BK6290" t="s">
        <v>123</v>
      </c>
      <c r="BL6290" t="str">
        <f>"2016.446491"</f>
        <v>2016.446491</v>
      </c>
      <c r="BM6290" t="s">
        <v>3611</v>
      </c>
      <c r="BO6290" t="s">
        <v>38099</v>
      </c>
      <c r="BS6290">
        <v>30</v>
      </c>
      <c r="BW6290" t="str">
        <f>""</f>
        <v/>
      </c>
      <c r="CH6290" t="str">
        <f>""</f>
        <v/>
      </c>
      <c r="CS6290" t="str">
        <f>""</f>
        <v/>
      </c>
    </row>
    <row r="6291" spans="1:97" x14ac:dyDescent="0.25">
      <c r="B6291" t="s">
        <v>38100</v>
      </c>
      <c r="E6291" t="s">
        <v>38101</v>
      </c>
      <c r="F6291" t="s">
        <v>108</v>
      </c>
      <c r="H6291" t="s">
        <v>38102</v>
      </c>
      <c r="I6291" t="s">
        <v>203</v>
      </c>
      <c r="J6291" t="s">
        <v>111</v>
      </c>
      <c r="K6291" t="str">
        <f>"85298"</f>
        <v>85298</v>
      </c>
      <c r="L6291" t="s">
        <v>5291</v>
      </c>
      <c r="M6291" t="s">
        <v>38102</v>
      </c>
      <c r="N6291" t="s">
        <v>203</v>
      </c>
      <c r="O6291" t="s">
        <v>111</v>
      </c>
      <c r="P6291" t="str">
        <f>"85298-8478"</f>
        <v>85298-8478</v>
      </c>
      <c r="Q6291" t="s">
        <v>113</v>
      </c>
      <c r="R6291" t="str">
        <f>"304-70-309"</f>
        <v>304-70-309</v>
      </c>
      <c r="S6291" t="s">
        <v>7529</v>
      </c>
      <c r="T6291" t="s">
        <v>2213</v>
      </c>
      <c r="U6291">
        <v>3936</v>
      </c>
      <c r="V6291">
        <v>0</v>
      </c>
      <c r="W6291">
        <v>5</v>
      </c>
      <c r="X6291">
        <v>2007</v>
      </c>
      <c r="Z6291">
        <v>2</v>
      </c>
      <c r="AB6291">
        <v>0</v>
      </c>
      <c r="AC6291" t="s">
        <v>115</v>
      </c>
      <c r="AD6291">
        <v>3</v>
      </c>
      <c r="AE6291" t="s">
        <v>115</v>
      </c>
      <c r="AF6291">
        <v>0</v>
      </c>
      <c r="AG6291">
        <v>0</v>
      </c>
      <c r="AH6291" t="s">
        <v>116</v>
      </c>
      <c r="AI6291" s="1">
        <v>96457</v>
      </c>
      <c r="AJ6291" s="2">
        <v>0.18</v>
      </c>
      <c r="AK6291" s="1">
        <v>540809</v>
      </c>
      <c r="AL6291" t="s">
        <v>117</v>
      </c>
      <c r="AM6291" t="s">
        <v>393</v>
      </c>
      <c r="AN6291">
        <v>9578</v>
      </c>
      <c r="AO6291">
        <v>0.22</v>
      </c>
      <c r="AP6291">
        <v>1</v>
      </c>
      <c r="AR6291">
        <v>1</v>
      </c>
      <c r="AS6291" s="1">
        <v>37610</v>
      </c>
      <c r="AT6291" s="1">
        <v>7520</v>
      </c>
      <c r="AU6291" s="1">
        <v>30090</v>
      </c>
      <c r="AV6291">
        <v>80.010000000000005</v>
      </c>
      <c r="AX6291" s="1">
        <v>3935.74</v>
      </c>
      <c r="AY6291" t="s">
        <v>7512</v>
      </c>
      <c r="AZ6291" t="s">
        <v>7512</v>
      </c>
      <c r="BA6291" t="s">
        <v>473</v>
      </c>
      <c r="BB6291" s="3">
        <v>42605</v>
      </c>
      <c r="BD6291" t="s">
        <v>240</v>
      </c>
      <c r="BE6291" s="3">
        <v>42209</v>
      </c>
      <c r="BF6291" s="1">
        <v>441000</v>
      </c>
      <c r="BG6291" t="s">
        <v>38103</v>
      </c>
      <c r="BH6291" s="1">
        <v>112.04</v>
      </c>
      <c r="BI6291" s="1">
        <v>444352</v>
      </c>
      <c r="BJ6291" s="3">
        <v>42209</v>
      </c>
      <c r="BK6291" t="s">
        <v>123</v>
      </c>
      <c r="BL6291" t="str">
        <f>"2015.535288"</f>
        <v>2015.535288</v>
      </c>
      <c r="BM6291" t="s">
        <v>131</v>
      </c>
      <c r="BO6291" t="s">
        <v>38104</v>
      </c>
      <c r="BS6291">
        <v>30</v>
      </c>
      <c r="BW6291" t="str">
        <f>""</f>
        <v/>
      </c>
      <c r="CH6291" t="str">
        <f>""</f>
        <v/>
      </c>
      <c r="CS6291" t="str">
        <f>""</f>
        <v/>
      </c>
    </row>
    <row r="6292" spans="1:97" x14ac:dyDescent="0.25">
      <c r="A6292" t="s">
        <v>894</v>
      </c>
      <c r="B6292" t="s">
        <v>1428</v>
      </c>
      <c r="C6292" t="s">
        <v>703</v>
      </c>
      <c r="D6292" t="s">
        <v>1428</v>
      </c>
      <c r="E6292" t="s">
        <v>38105</v>
      </c>
      <c r="F6292" t="s">
        <v>108</v>
      </c>
      <c r="H6292" t="s">
        <v>38106</v>
      </c>
      <c r="I6292" t="s">
        <v>110</v>
      </c>
      <c r="J6292" t="s">
        <v>111</v>
      </c>
      <c r="K6292" t="str">
        <f>"85225"</f>
        <v>85225</v>
      </c>
      <c r="L6292" t="s">
        <v>7626</v>
      </c>
      <c r="M6292" t="s">
        <v>38106</v>
      </c>
      <c r="N6292" t="s">
        <v>110</v>
      </c>
      <c r="O6292" t="s">
        <v>111</v>
      </c>
      <c r="P6292" t="str">
        <f>"85225-5784"</f>
        <v>85225-5784</v>
      </c>
      <c r="Q6292" t="s">
        <v>113</v>
      </c>
      <c r="R6292" t="str">
        <f>"303-69-038"</f>
        <v>303-69-038</v>
      </c>
      <c r="S6292" t="s">
        <v>13560</v>
      </c>
      <c r="T6292" t="s">
        <v>13561</v>
      </c>
      <c r="U6292">
        <v>1571</v>
      </c>
      <c r="V6292">
        <v>0</v>
      </c>
      <c r="W6292">
        <v>3</v>
      </c>
      <c r="X6292">
        <v>1991</v>
      </c>
      <c r="Z6292">
        <v>1</v>
      </c>
      <c r="AA6292" t="s">
        <v>26</v>
      </c>
      <c r="AB6292">
        <v>0</v>
      </c>
      <c r="AC6292" t="s">
        <v>115</v>
      </c>
      <c r="AD6292">
        <v>2</v>
      </c>
      <c r="AE6292" t="s">
        <v>115</v>
      </c>
      <c r="AF6292">
        <v>0</v>
      </c>
      <c r="AG6292">
        <v>0</v>
      </c>
      <c r="AH6292" t="s">
        <v>116</v>
      </c>
      <c r="AI6292" s="1">
        <v>34265</v>
      </c>
      <c r="AJ6292" s="2">
        <v>0.1</v>
      </c>
      <c r="AK6292" s="1">
        <v>330993</v>
      </c>
      <c r="AL6292" t="s">
        <v>117</v>
      </c>
      <c r="AM6292" t="s">
        <v>118</v>
      </c>
      <c r="AN6292">
        <v>4552</v>
      </c>
      <c r="AO6292">
        <v>0.1</v>
      </c>
      <c r="AP6292">
        <v>1</v>
      </c>
      <c r="AR6292">
        <v>1</v>
      </c>
      <c r="AS6292" s="1">
        <v>23880</v>
      </c>
      <c r="AT6292" s="1">
        <v>4770</v>
      </c>
      <c r="AU6292" s="1">
        <v>19110</v>
      </c>
      <c r="AV6292">
        <v>80.03</v>
      </c>
      <c r="AX6292" s="1">
        <v>1433.64</v>
      </c>
      <c r="AY6292" t="s">
        <v>5650</v>
      </c>
      <c r="AZ6292" t="s">
        <v>2906</v>
      </c>
      <c r="BA6292" t="s">
        <v>303</v>
      </c>
      <c r="BB6292" s="3">
        <v>42622</v>
      </c>
      <c r="BD6292" t="s">
        <v>240</v>
      </c>
      <c r="BE6292" s="3">
        <v>42405</v>
      </c>
      <c r="BF6292" s="1">
        <v>288000</v>
      </c>
      <c r="BG6292" t="s">
        <v>38107</v>
      </c>
      <c r="BH6292" s="1">
        <v>183.32</v>
      </c>
      <c r="BI6292" s="1">
        <v>296728</v>
      </c>
      <c r="BJ6292" s="3">
        <v>42622</v>
      </c>
      <c r="BK6292" t="s">
        <v>123</v>
      </c>
      <c r="BL6292" t="str">
        <f>"2016.656829"</f>
        <v>2016.656829</v>
      </c>
      <c r="BM6292" t="s">
        <v>8916</v>
      </c>
      <c r="BO6292" t="s">
        <v>38108</v>
      </c>
      <c r="BS6292">
        <v>30</v>
      </c>
      <c r="BW6292" t="str">
        <f>""</f>
        <v/>
      </c>
      <c r="CH6292" t="str">
        <f>""</f>
        <v/>
      </c>
      <c r="CS6292" t="str">
        <f>""</f>
        <v/>
      </c>
    </row>
    <row r="6293" spans="1:97" x14ac:dyDescent="0.25">
      <c r="A6293" t="s">
        <v>38109</v>
      </c>
      <c r="B6293" t="s">
        <v>3713</v>
      </c>
      <c r="C6293" t="s">
        <v>1252</v>
      </c>
      <c r="D6293" t="s">
        <v>3713</v>
      </c>
      <c r="E6293" t="s">
        <v>38110</v>
      </c>
      <c r="F6293" t="s">
        <v>108</v>
      </c>
      <c r="H6293" t="s">
        <v>38111</v>
      </c>
      <c r="I6293" t="s">
        <v>144</v>
      </c>
      <c r="J6293" t="s">
        <v>111</v>
      </c>
      <c r="K6293" t="str">
        <f>"85326"</f>
        <v>85326</v>
      </c>
      <c r="L6293" t="s">
        <v>1796</v>
      </c>
      <c r="M6293" t="s">
        <v>38111</v>
      </c>
      <c r="N6293" t="s">
        <v>144</v>
      </c>
      <c r="O6293" t="s">
        <v>111</v>
      </c>
      <c r="P6293" t="str">
        <f>"85326-4041"</f>
        <v>85326-4041</v>
      </c>
      <c r="Q6293" t="s">
        <v>113</v>
      </c>
      <c r="R6293" t="str">
        <f>"504-60-177"</f>
        <v>504-60-177</v>
      </c>
      <c r="S6293" t="s">
        <v>23467</v>
      </c>
      <c r="U6293">
        <v>2469</v>
      </c>
      <c r="V6293">
        <v>0</v>
      </c>
      <c r="W6293">
        <v>4</v>
      </c>
      <c r="X6293">
        <v>2005</v>
      </c>
      <c r="Z6293">
        <v>2</v>
      </c>
      <c r="AB6293">
        <v>0</v>
      </c>
      <c r="AC6293" t="s">
        <v>115</v>
      </c>
      <c r="AD6293">
        <v>2</v>
      </c>
      <c r="AE6293" t="s">
        <v>115</v>
      </c>
      <c r="AF6293">
        <v>0</v>
      </c>
      <c r="AG6293">
        <v>0</v>
      </c>
      <c r="AH6293" t="s">
        <v>116</v>
      </c>
      <c r="AI6293" s="1">
        <v>30566</v>
      </c>
      <c r="AJ6293" s="2">
        <v>0.12</v>
      </c>
      <c r="AK6293" s="1">
        <v>251111</v>
      </c>
      <c r="AL6293" t="s">
        <v>117</v>
      </c>
      <c r="AM6293" t="s">
        <v>118</v>
      </c>
      <c r="AN6293">
        <v>7376</v>
      </c>
      <c r="AO6293">
        <v>0.17</v>
      </c>
      <c r="AR6293">
        <v>1</v>
      </c>
      <c r="AS6293" s="1">
        <v>16850</v>
      </c>
      <c r="AT6293" s="1">
        <v>3370</v>
      </c>
      <c r="AU6293" s="1">
        <v>13480</v>
      </c>
      <c r="AV6293">
        <v>80</v>
      </c>
      <c r="AX6293" s="1">
        <v>1666.5</v>
      </c>
      <c r="AY6293" t="s">
        <v>5024</v>
      </c>
      <c r="AZ6293" t="s">
        <v>5024</v>
      </c>
      <c r="BA6293" t="s">
        <v>5025</v>
      </c>
      <c r="BB6293" s="3">
        <v>42160</v>
      </c>
      <c r="BD6293" t="s">
        <v>240</v>
      </c>
      <c r="BE6293" s="3">
        <v>42160</v>
      </c>
      <c r="BF6293" s="1">
        <v>149900</v>
      </c>
      <c r="BG6293" t="s">
        <v>38112</v>
      </c>
      <c r="BH6293" s="1">
        <v>60.71</v>
      </c>
      <c r="BI6293" s="1">
        <v>220545</v>
      </c>
      <c r="BJ6293" s="3">
        <v>43147</v>
      </c>
      <c r="BK6293" t="s">
        <v>123</v>
      </c>
      <c r="BL6293" t="str">
        <f>"2018.119587"</f>
        <v>2018.119587</v>
      </c>
      <c r="BM6293" t="s">
        <v>5534</v>
      </c>
      <c r="BN6293" t="s">
        <v>6390</v>
      </c>
      <c r="BO6293" t="s">
        <v>38113</v>
      </c>
      <c r="BP6293" t="s">
        <v>38114</v>
      </c>
      <c r="BR6293" t="s">
        <v>139</v>
      </c>
      <c r="BW6293" t="str">
        <f>""</f>
        <v/>
      </c>
      <c r="CH6293" t="str">
        <f>""</f>
        <v/>
      </c>
      <c r="CS6293" t="str">
        <f>""</f>
        <v/>
      </c>
    </row>
    <row r="6294" spans="1:97" x14ac:dyDescent="0.25">
      <c r="A6294" t="s">
        <v>2019</v>
      </c>
      <c r="B6294" t="s">
        <v>29775</v>
      </c>
      <c r="C6294" t="s">
        <v>370</v>
      </c>
      <c r="D6294" t="s">
        <v>29775</v>
      </c>
      <c r="E6294" t="s">
        <v>38115</v>
      </c>
      <c r="F6294" t="s">
        <v>108</v>
      </c>
      <c r="H6294" t="s">
        <v>38116</v>
      </c>
      <c r="I6294" t="s">
        <v>499</v>
      </c>
      <c r="J6294" t="s">
        <v>111</v>
      </c>
      <c r="K6294" t="str">
        <f>"85338"</f>
        <v>85338</v>
      </c>
      <c r="L6294" t="s">
        <v>316</v>
      </c>
      <c r="M6294" t="s">
        <v>38116</v>
      </c>
      <c r="N6294" t="s">
        <v>499</v>
      </c>
      <c r="O6294" t="s">
        <v>111</v>
      </c>
      <c r="P6294" t="str">
        <f>"85338-6190"</f>
        <v>85338-6190</v>
      </c>
      <c r="Q6294" t="s">
        <v>113</v>
      </c>
      <c r="R6294" t="str">
        <f>"500-89-268"</f>
        <v>500-89-268</v>
      </c>
      <c r="S6294" t="s">
        <v>18533</v>
      </c>
      <c r="U6294">
        <v>3043</v>
      </c>
      <c r="V6294">
        <v>0</v>
      </c>
      <c r="W6294">
        <v>4</v>
      </c>
      <c r="X6294">
        <v>2001</v>
      </c>
      <c r="Z6294">
        <v>2</v>
      </c>
      <c r="AA6294" t="s">
        <v>26</v>
      </c>
      <c r="AB6294">
        <v>0</v>
      </c>
      <c r="AC6294" t="s">
        <v>115</v>
      </c>
      <c r="AD6294">
        <v>3</v>
      </c>
      <c r="AE6294" t="s">
        <v>115</v>
      </c>
      <c r="AF6294">
        <v>0</v>
      </c>
      <c r="AG6294">
        <v>0</v>
      </c>
      <c r="AH6294" t="s">
        <v>116</v>
      </c>
      <c r="AI6294" s="1">
        <v>42879</v>
      </c>
      <c r="AJ6294" s="2">
        <v>0.12</v>
      </c>
      <c r="AK6294" s="1">
        <v>358237</v>
      </c>
      <c r="AL6294" t="s">
        <v>117</v>
      </c>
      <c r="AM6294" t="s">
        <v>118</v>
      </c>
      <c r="AN6294">
        <v>9600</v>
      </c>
      <c r="AO6294">
        <v>0.22</v>
      </c>
      <c r="AP6294">
        <v>1</v>
      </c>
      <c r="AR6294">
        <v>1</v>
      </c>
      <c r="AS6294" s="1">
        <v>24370</v>
      </c>
      <c r="AT6294" s="1">
        <v>4870</v>
      </c>
      <c r="AU6294" s="1">
        <v>19500</v>
      </c>
      <c r="AV6294">
        <v>80.02</v>
      </c>
      <c r="AX6294" s="1">
        <v>1968.36</v>
      </c>
      <c r="AY6294" t="s">
        <v>4311</v>
      </c>
      <c r="AZ6294" t="s">
        <v>4311</v>
      </c>
      <c r="BA6294" t="s">
        <v>218</v>
      </c>
      <c r="BE6294" s="3">
        <v>42181</v>
      </c>
      <c r="BF6294" s="1">
        <v>305000</v>
      </c>
      <c r="BG6294" t="s">
        <v>38117</v>
      </c>
      <c r="BH6294" s="1">
        <v>100.23</v>
      </c>
      <c r="BI6294" s="1">
        <v>315358</v>
      </c>
      <c r="BJ6294" s="3">
        <v>42489</v>
      </c>
      <c r="BK6294" t="s">
        <v>123</v>
      </c>
      <c r="BL6294" t="str">
        <f>"2016.290128"</f>
        <v>2016.290128</v>
      </c>
      <c r="BM6294" t="s">
        <v>820</v>
      </c>
      <c r="BO6294" t="s">
        <v>38118</v>
      </c>
      <c r="BS6294">
        <v>30</v>
      </c>
      <c r="BW6294" t="str">
        <f>""</f>
        <v/>
      </c>
      <c r="CH6294" t="str">
        <f>""</f>
        <v/>
      </c>
      <c r="CS6294" t="str">
        <f>""</f>
        <v/>
      </c>
    </row>
    <row r="6295" spans="1:97" x14ac:dyDescent="0.25">
      <c r="A6295" t="s">
        <v>17886</v>
      </c>
      <c r="B6295" t="s">
        <v>163</v>
      </c>
      <c r="C6295" t="s">
        <v>4644</v>
      </c>
      <c r="D6295" t="s">
        <v>163</v>
      </c>
      <c r="E6295" t="s">
        <v>38119</v>
      </c>
      <c r="F6295" t="s">
        <v>108</v>
      </c>
      <c r="H6295" t="s">
        <v>38120</v>
      </c>
      <c r="I6295" t="s">
        <v>188</v>
      </c>
      <c r="J6295" t="s">
        <v>111</v>
      </c>
      <c r="K6295" t="str">
        <f>"85142"</f>
        <v>85142</v>
      </c>
      <c r="L6295" t="s">
        <v>3161</v>
      </c>
      <c r="M6295" t="s">
        <v>38120</v>
      </c>
      <c r="N6295" t="s">
        <v>188</v>
      </c>
      <c r="O6295" t="s">
        <v>111</v>
      </c>
      <c r="P6295" t="str">
        <f>"85142-8804"</f>
        <v>85142-8804</v>
      </c>
      <c r="Q6295" t="s">
        <v>113</v>
      </c>
      <c r="R6295" t="str">
        <f>"304-68-003-X"</f>
        <v>304-68-003-X</v>
      </c>
      <c r="S6295" t="s">
        <v>38121</v>
      </c>
      <c r="U6295">
        <v>1845</v>
      </c>
      <c r="V6295">
        <v>0</v>
      </c>
      <c r="W6295">
        <v>3</v>
      </c>
      <c r="X6295">
        <v>1999</v>
      </c>
      <c r="Z6295">
        <v>1</v>
      </c>
      <c r="AA6295" t="s">
        <v>26</v>
      </c>
      <c r="AB6295">
        <v>0</v>
      </c>
      <c r="AC6295" t="s">
        <v>115</v>
      </c>
      <c r="AD6295">
        <v>6</v>
      </c>
      <c r="AE6295" t="s">
        <v>115</v>
      </c>
      <c r="AF6295">
        <v>0</v>
      </c>
      <c r="AG6295">
        <v>0</v>
      </c>
      <c r="AH6295" t="s">
        <v>116</v>
      </c>
      <c r="AI6295" s="1">
        <v>34054</v>
      </c>
      <c r="AJ6295" s="2">
        <v>7.0000000000000007E-2</v>
      </c>
      <c r="AK6295" s="1">
        <v>471686</v>
      </c>
      <c r="AL6295" t="s">
        <v>117</v>
      </c>
      <c r="AM6295" t="s">
        <v>376</v>
      </c>
      <c r="AN6295">
        <v>55931</v>
      </c>
      <c r="AO6295">
        <v>1.28</v>
      </c>
      <c r="AP6295">
        <v>1</v>
      </c>
      <c r="AR6295">
        <v>1</v>
      </c>
      <c r="AS6295" s="1">
        <v>34150</v>
      </c>
      <c r="AT6295" s="1">
        <v>6830</v>
      </c>
      <c r="AU6295" s="1">
        <v>27320</v>
      </c>
      <c r="AV6295">
        <v>80</v>
      </c>
      <c r="AX6295" s="1">
        <v>2967</v>
      </c>
      <c r="AY6295" t="s">
        <v>192</v>
      </c>
      <c r="AZ6295" t="s">
        <v>193</v>
      </c>
      <c r="BA6295" t="s">
        <v>194</v>
      </c>
      <c r="BE6295" s="3">
        <v>41932</v>
      </c>
      <c r="BF6295" s="1">
        <v>355000</v>
      </c>
      <c r="BG6295" t="s">
        <v>38122</v>
      </c>
      <c r="BH6295" s="1">
        <v>192.41</v>
      </c>
      <c r="BI6295" s="1">
        <v>362632</v>
      </c>
      <c r="BJ6295" s="3">
        <v>41932</v>
      </c>
      <c r="BK6295" t="s">
        <v>123</v>
      </c>
      <c r="BL6295" t="str">
        <f>"2014.693673"</f>
        <v>2014.693673</v>
      </c>
      <c r="BM6295" t="s">
        <v>11747</v>
      </c>
      <c r="BN6295" t="s">
        <v>3122</v>
      </c>
      <c r="BO6295" t="s">
        <v>38123</v>
      </c>
      <c r="BS6295">
        <v>30</v>
      </c>
      <c r="BT6295" s="1">
        <v>75000</v>
      </c>
      <c r="BU6295" s="3">
        <v>43570</v>
      </c>
      <c r="BW6295" t="str">
        <f>"2019.260499"</f>
        <v>2019.260499</v>
      </c>
      <c r="BX6295" t="s">
        <v>135</v>
      </c>
      <c r="BY6295" t="s">
        <v>136</v>
      </c>
      <c r="BZ6295" t="s">
        <v>38124</v>
      </c>
      <c r="CA6295" t="s">
        <v>38125</v>
      </c>
      <c r="CC6295" t="s">
        <v>346</v>
      </c>
      <c r="CH6295" t="str">
        <f>""</f>
        <v/>
      </c>
      <c r="CS6295" t="str">
        <f>""</f>
        <v/>
      </c>
    </row>
    <row r="6296" spans="1:97" x14ac:dyDescent="0.25">
      <c r="A6296" t="s">
        <v>938</v>
      </c>
      <c r="B6296" t="s">
        <v>38126</v>
      </c>
      <c r="E6296" t="s">
        <v>38127</v>
      </c>
      <c r="F6296" t="s">
        <v>108</v>
      </c>
      <c r="H6296" t="s">
        <v>38128</v>
      </c>
      <c r="I6296" t="s">
        <v>1936</v>
      </c>
      <c r="J6296" t="s">
        <v>111</v>
      </c>
      <c r="K6296" t="str">
        <f>"85260"</f>
        <v>85260</v>
      </c>
      <c r="L6296" t="s">
        <v>6438</v>
      </c>
      <c r="M6296" t="s">
        <v>38128</v>
      </c>
      <c r="N6296" t="s">
        <v>1936</v>
      </c>
      <c r="O6296" t="s">
        <v>111</v>
      </c>
      <c r="P6296" t="str">
        <f>"85260-4272"</f>
        <v>85260-4272</v>
      </c>
      <c r="Q6296" t="s">
        <v>113</v>
      </c>
      <c r="R6296" t="str">
        <f>"217-24-503"</f>
        <v>217-24-503</v>
      </c>
      <c r="S6296" t="s">
        <v>38129</v>
      </c>
      <c r="T6296" t="s">
        <v>38130</v>
      </c>
      <c r="U6296">
        <v>1440</v>
      </c>
      <c r="V6296">
        <v>0</v>
      </c>
      <c r="W6296">
        <v>3</v>
      </c>
      <c r="X6296">
        <v>1988</v>
      </c>
      <c r="Z6296">
        <v>1</v>
      </c>
      <c r="AB6296">
        <v>0</v>
      </c>
      <c r="AC6296" t="s">
        <v>115</v>
      </c>
      <c r="AD6296">
        <v>2</v>
      </c>
      <c r="AE6296" t="s">
        <v>115</v>
      </c>
      <c r="AF6296">
        <v>0</v>
      </c>
      <c r="AG6296">
        <v>0</v>
      </c>
      <c r="AH6296" t="s">
        <v>116</v>
      </c>
      <c r="AI6296" s="1">
        <v>88145</v>
      </c>
      <c r="AJ6296" s="2">
        <v>0.23</v>
      </c>
      <c r="AK6296" s="1">
        <v>379272</v>
      </c>
      <c r="AL6296" t="s">
        <v>117</v>
      </c>
      <c r="AM6296" t="s">
        <v>393</v>
      </c>
      <c r="AN6296">
        <v>4500</v>
      </c>
      <c r="AO6296">
        <v>0.1</v>
      </c>
      <c r="AP6296">
        <v>1</v>
      </c>
      <c r="AR6296">
        <v>1</v>
      </c>
      <c r="AS6296" s="1">
        <v>26320</v>
      </c>
      <c r="AT6296" s="1">
        <v>5260</v>
      </c>
      <c r="AU6296" s="1">
        <v>21060</v>
      </c>
      <c r="AV6296">
        <v>80.02</v>
      </c>
      <c r="AX6296" s="1">
        <v>1766.14</v>
      </c>
      <c r="AY6296" t="s">
        <v>5904</v>
      </c>
      <c r="AZ6296" t="s">
        <v>5420</v>
      </c>
      <c r="BA6296" t="s">
        <v>5763</v>
      </c>
      <c r="BE6296" s="3">
        <v>42027</v>
      </c>
      <c r="BF6296" s="1">
        <v>285000</v>
      </c>
      <c r="BG6296" t="s">
        <v>38131</v>
      </c>
      <c r="BH6296" s="1">
        <v>197.92</v>
      </c>
      <c r="BI6296" s="1">
        <v>291127</v>
      </c>
      <c r="BJ6296" s="3">
        <v>42027</v>
      </c>
      <c r="BK6296" t="s">
        <v>123</v>
      </c>
      <c r="BL6296" t="str">
        <f>"2015.47038"</f>
        <v>2015.47038</v>
      </c>
      <c r="BM6296" t="s">
        <v>1185</v>
      </c>
      <c r="BO6296" t="s">
        <v>38132</v>
      </c>
      <c r="BS6296">
        <v>30</v>
      </c>
      <c r="BW6296" t="str">
        <f>""</f>
        <v/>
      </c>
      <c r="CH6296" t="str">
        <f>""</f>
        <v/>
      </c>
      <c r="CS6296" t="str">
        <f>""</f>
        <v/>
      </c>
    </row>
    <row r="6297" spans="1:97" x14ac:dyDescent="0.25">
      <c r="A6297" t="s">
        <v>996</v>
      </c>
      <c r="B6297" t="s">
        <v>38133</v>
      </c>
      <c r="C6297" t="s">
        <v>38134</v>
      </c>
      <c r="D6297" t="s">
        <v>38133</v>
      </c>
      <c r="E6297" t="s">
        <v>38135</v>
      </c>
      <c r="F6297" t="s">
        <v>108</v>
      </c>
      <c r="H6297" t="s">
        <v>38136</v>
      </c>
      <c r="I6297" t="s">
        <v>110</v>
      </c>
      <c r="J6297" t="s">
        <v>111</v>
      </c>
      <c r="K6297" t="str">
        <f>"85286"</f>
        <v>85286</v>
      </c>
      <c r="L6297" t="s">
        <v>3520</v>
      </c>
      <c r="M6297" t="s">
        <v>38136</v>
      </c>
      <c r="N6297" t="s">
        <v>110</v>
      </c>
      <c r="O6297" t="s">
        <v>111</v>
      </c>
      <c r="P6297" t="str">
        <f>"85286-1903"</f>
        <v>85286-1903</v>
      </c>
      <c r="Q6297" t="s">
        <v>113</v>
      </c>
      <c r="R6297" t="str">
        <f>"303-32-021-C"</f>
        <v>303-32-021-C</v>
      </c>
      <c r="U6297">
        <v>3052</v>
      </c>
      <c r="V6297">
        <v>0</v>
      </c>
      <c r="W6297">
        <v>4</v>
      </c>
      <c r="X6297">
        <v>1985</v>
      </c>
      <c r="Z6297">
        <v>2</v>
      </c>
      <c r="AB6297">
        <v>0</v>
      </c>
      <c r="AC6297" t="s">
        <v>7038</v>
      </c>
      <c r="AD6297">
        <v>0</v>
      </c>
      <c r="AE6297" t="s">
        <v>7038</v>
      </c>
      <c r="AF6297">
        <v>0</v>
      </c>
      <c r="AG6297">
        <v>2240</v>
      </c>
      <c r="AH6297" t="s">
        <v>38137</v>
      </c>
      <c r="AI6297" s="1">
        <v>27659</v>
      </c>
      <c r="AJ6297" s="2">
        <v>0.06</v>
      </c>
      <c r="AK6297" s="1">
        <v>440659</v>
      </c>
      <c r="AL6297" t="s">
        <v>117</v>
      </c>
      <c r="AM6297" t="s">
        <v>376</v>
      </c>
      <c r="AN6297">
        <v>62672</v>
      </c>
      <c r="AO6297">
        <v>1.44</v>
      </c>
      <c r="AP6297">
        <v>1</v>
      </c>
      <c r="AR6297">
        <v>1</v>
      </c>
      <c r="AS6297" s="1">
        <v>28350</v>
      </c>
      <c r="AT6297" s="1">
        <v>5670</v>
      </c>
      <c r="AU6297" s="1">
        <v>22680</v>
      </c>
      <c r="AV6297">
        <v>80</v>
      </c>
      <c r="AX6297" s="1">
        <v>2279.7600000000002</v>
      </c>
      <c r="AY6297" t="s">
        <v>25405</v>
      </c>
      <c r="AZ6297" t="s">
        <v>120</v>
      </c>
      <c r="BA6297" t="s">
        <v>303</v>
      </c>
      <c r="BB6297" s="3">
        <v>42185</v>
      </c>
      <c r="BD6297" t="s">
        <v>240</v>
      </c>
      <c r="BE6297" s="3">
        <v>42177</v>
      </c>
      <c r="BF6297" s="1">
        <v>413000</v>
      </c>
      <c r="BG6297" t="s">
        <v>38138</v>
      </c>
      <c r="BH6297" s="1">
        <v>152.29</v>
      </c>
      <c r="BI6297" s="1">
        <v>413000</v>
      </c>
      <c r="BJ6297" s="3">
        <v>42177</v>
      </c>
      <c r="BK6297" t="s">
        <v>123</v>
      </c>
      <c r="BL6297" t="str">
        <f>"2015.441723"</f>
        <v>2015.441723</v>
      </c>
      <c r="BM6297" t="s">
        <v>1192</v>
      </c>
      <c r="BO6297" t="s">
        <v>38139</v>
      </c>
      <c r="BS6297">
        <v>30</v>
      </c>
      <c r="BW6297" t="str">
        <f>""</f>
        <v/>
      </c>
      <c r="CH6297" t="str">
        <f>""</f>
        <v/>
      </c>
      <c r="CS6297" t="str">
        <f>""</f>
        <v/>
      </c>
    </row>
    <row r="6298" spans="1:97" x14ac:dyDescent="0.25">
      <c r="A6298" t="s">
        <v>1067</v>
      </c>
      <c r="B6298" t="s">
        <v>38140</v>
      </c>
      <c r="C6298" t="s">
        <v>2261</v>
      </c>
      <c r="D6298" t="s">
        <v>38140</v>
      </c>
      <c r="E6298" t="s">
        <v>38141</v>
      </c>
      <c r="F6298" t="s">
        <v>108</v>
      </c>
      <c r="H6298" t="s">
        <v>38142</v>
      </c>
      <c r="I6298" t="s">
        <v>374</v>
      </c>
      <c r="J6298" t="s">
        <v>111</v>
      </c>
      <c r="K6298" t="str">
        <f>"85087"</f>
        <v>85087</v>
      </c>
      <c r="L6298" t="s">
        <v>11846</v>
      </c>
      <c r="M6298" t="s">
        <v>38142</v>
      </c>
      <c r="N6298" t="s">
        <v>374</v>
      </c>
      <c r="O6298" t="s">
        <v>111</v>
      </c>
      <c r="P6298" t="str">
        <f>"85087-6520"</f>
        <v>85087-6520</v>
      </c>
      <c r="Q6298" t="s">
        <v>113</v>
      </c>
      <c r="R6298" t="str">
        <f>"202-20-334-B"</f>
        <v>202-20-334-B</v>
      </c>
      <c r="U6298">
        <v>1747</v>
      </c>
      <c r="V6298">
        <v>0</v>
      </c>
      <c r="W6298">
        <v>3</v>
      </c>
      <c r="X6298">
        <v>2000</v>
      </c>
      <c r="Z6298">
        <v>1</v>
      </c>
      <c r="AA6298" t="s">
        <v>26</v>
      </c>
      <c r="AB6298">
        <v>0</v>
      </c>
      <c r="AC6298" t="s">
        <v>115</v>
      </c>
      <c r="AD6298">
        <v>3</v>
      </c>
      <c r="AE6298" t="s">
        <v>115</v>
      </c>
      <c r="AF6298">
        <v>0</v>
      </c>
      <c r="AG6298">
        <v>0</v>
      </c>
      <c r="AH6298" t="s">
        <v>116</v>
      </c>
      <c r="AI6298" s="1">
        <v>93240</v>
      </c>
      <c r="AJ6298" s="2">
        <v>0.22</v>
      </c>
      <c r="AK6298" s="1">
        <v>423641</v>
      </c>
      <c r="AL6298" t="s">
        <v>117</v>
      </c>
      <c r="AM6298" t="s">
        <v>376</v>
      </c>
      <c r="AN6298">
        <v>51968</v>
      </c>
      <c r="AO6298">
        <v>1.19</v>
      </c>
      <c r="AP6298">
        <v>1</v>
      </c>
      <c r="AR6298">
        <v>1</v>
      </c>
      <c r="AS6298" s="1">
        <v>29450</v>
      </c>
      <c r="AT6298" s="1">
        <v>5890</v>
      </c>
      <c r="AU6298" s="1">
        <v>23560</v>
      </c>
      <c r="AV6298">
        <v>80</v>
      </c>
      <c r="AX6298" s="1">
        <v>2767.28</v>
      </c>
      <c r="AY6298" t="s">
        <v>665</v>
      </c>
      <c r="AZ6298" t="s">
        <v>665</v>
      </c>
      <c r="BA6298" t="s">
        <v>378</v>
      </c>
      <c r="BE6298" s="3">
        <v>42240</v>
      </c>
      <c r="BF6298" s="1">
        <v>342000</v>
      </c>
      <c r="BG6298" t="s">
        <v>38143</v>
      </c>
      <c r="BH6298" s="1">
        <v>195.76</v>
      </c>
      <c r="BI6298" s="1">
        <v>330401</v>
      </c>
      <c r="BJ6298" s="3">
        <v>42689</v>
      </c>
      <c r="BK6298" t="s">
        <v>123</v>
      </c>
      <c r="BL6298" t="str">
        <f>"2016.842810"</f>
        <v>2016.842810</v>
      </c>
      <c r="BM6298" t="s">
        <v>1154</v>
      </c>
      <c r="BO6298" t="s">
        <v>38144</v>
      </c>
      <c r="BS6298">
        <v>30</v>
      </c>
      <c r="BW6298" t="str">
        <f>""</f>
        <v/>
      </c>
      <c r="CH6298" t="str">
        <f>""</f>
        <v/>
      </c>
      <c r="CS6298" t="str">
        <f>""</f>
        <v/>
      </c>
    </row>
    <row r="6299" spans="1:97" x14ac:dyDescent="0.25">
      <c r="B6299" t="s">
        <v>38145</v>
      </c>
      <c r="C6299" t="s">
        <v>364</v>
      </c>
      <c r="E6299" t="s">
        <v>38146</v>
      </c>
      <c r="F6299" t="s">
        <v>108</v>
      </c>
      <c r="H6299" t="s">
        <v>38147</v>
      </c>
      <c r="I6299" t="s">
        <v>188</v>
      </c>
      <c r="J6299" t="s">
        <v>111</v>
      </c>
      <c r="K6299" t="str">
        <f>"85142"</f>
        <v>85142</v>
      </c>
      <c r="L6299" t="s">
        <v>5456</v>
      </c>
      <c r="M6299" t="s">
        <v>38147</v>
      </c>
      <c r="N6299" t="s">
        <v>188</v>
      </c>
      <c r="O6299" t="s">
        <v>111</v>
      </c>
      <c r="P6299" t="str">
        <f>"85142-5100"</f>
        <v>85142-5100</v>
      </c>
      <c r="Q6299" t="s">
        <v>113</v>
      </c>
      <c r="R6299" t="str">
        <f>"304-67-217"</f>
        <v>304-67-217</v>
      </c>
      <c r="S6299" t="s">
        <v>31923</v>
      </c>
      <c r="T6299" t="s">
        <v>31924</v>
      </c>
      <c r="U6299">
        <v>2308</v>
      </c>
      <c r="V6299">
        <v>0</v>
      </c>
      <c r="W6299">
        <v>4</v>
      </c>
      <c r="X6299">
        <v>2003</v>
      </c>
      <c r="Z6299">
        <v>1</v>
      </c>
      <c r="AA6299" t="s">
        <v>26</v>
      </c>
      <c r="AB6299">
        <v>0</v>
      </c>
      <c r="AC6299" t="s">
        <v>115</v>
      </c>
      <c r="AD6299">
        <v>3</v>
      </c>
      <c r="AE6299" t="s">
        <v>115</v>
      </c>
      <c r="AF6299">
        <v>0</v>
      </c>
      <c r="AG6299">
        <v>0</v>
      </c>
      <c r="AH6299" t="s">
        <v>116</v>
      </c>
      <c r="AI6299" s="1">
        <v>100701</v>
      </c>
      <c r="AJ6299" s="2">
        <v>0.22</v>
      </c>
      <c r="AK6299" s="1">
        <v>450701</v>
      </c>
      <c r="AL6299" t="s">
        <v>117</v>
      </c>
      <c r="AM6299" t="s">
        <v>616</v>
      </c>
      <c r="AN6299">
        <v>19757</v>
      </c>
      <c r="AO6299">
        <v>0.45</v>
      </c>
      <c r="AP6299">
        <v>1</v>
      </c>
      <c r="AR6299">
        <v>1</v>
      </c>
      <c r="AS6299" s="1">
        <v>32600</v>
      </c>
      <c r="AT6299" s="1">
        <v>6520</v>
      </c>
      <c r="AU6299" s="1">
        <v>26080</v>
      </c>
      <c r="AV6299">
        <v>80</v>
      </c>
      <c r="AX6299" s="1">
        <v>2906.42</v>
      </c>
      <c r="AY6299" t="s">
        <v>192</v>
      </c>
      <c r="AZ6299" t="s">
        <v>193</v>
      </c>
      <c r="BA6299" t="s">
        <v>194</v>
      </c>
      <c r="BB6299" s="3">
        <v>43550</v>
      </c>
      <c r="BC6299" s="1">
        <v>0</v>
      </c>
      <c r="BD6299" t="s">
        <v>247</v>
      </c>
      <c r="BE6299" s="3">
        <v>42293</v>
      </c>
      <c r="BF6299" s="1">
        <v>350000</v>
      </c>
      <c r="BG6299" t="s">
        <v>38148</v>
      </c>
      <c r="BH6299" s="1">
        <v>151.65</v>
      </c>
      <c r="BI6299" s="1">
        <v>350000</v>
      </c>
      <c r="BJ6299" s="3">
        <v>42293</v>
      </c>
      <c r="BK6299" t="s">
        <v>123</v>
      </c>
      <c r="BL6299" t="str">
        <f>"2015.745069"</f>
        <v>2015.745069</v>
      </c>
      <c r="BM6299" t="s">
        <v>2051</v>
      </c>
      <c r="BN6299" t="s">
        <v>13281</v>
      </c>
      <c r="BO6299" t="s">
        <v>38149</v>
      </c>
      <c r="BS6299">
        <v>30</v>
      </c>
      <c r="BW6299" t="str">
        <f>""</f>
        <v/>
      </c>
      <c r="CH6299" t="str">
        <f>""</f>
        <v/>
      </c>
      <c r="CS6299" t="str">
        <f>""</f>
        <v/>
      </c>
    </row>
    <row r="6300" spans="1:97" x14ac:dyDescent="0.25">
      <c r="A6300" t="s">
        <v>3306</v>
      </c>
      <c r="B6300" t="s">
        <v>26367</v>
      </c>
      <c r="C6300" t="s">
        <v>3248</v>
      </c>
      <c r="D6300" t="s">
        <v>26367</v>
      </c>
      <c r="E6300" t="s">
        <v>38150</v>
      </c>
      <c r="F6300" t="s">
        <v>108</v>
      </c>
      <c r="H6300" t="s">
        <v>38151</v>
      </c>
      <c r="I6300" t="s">
        <v>1936</v>
      </c>
      <c r="J6300" t="s">
        <v>111</v>
      </c>
      <c r="K6300" t="str">
        <f>"85262"</f>
        <v>85262</v>
      </c>
      <c r="L6300" t="s">
        <v>1130</v>
      </c>
      <c r="M6300" t="s">
        <v>38151</v>
      </c>
      <c r="N6300" t="s">
        <v>1936</v>
      </c>
      <c r="O6300" t="s">
        <v>111</v>
      </c>
      <c r="P6300" t="str">
        <f>"85262-3906"</f>
        <v>85262-3906</v>
      </c>
      <c r="Q6300" t="s">
        <v>113</v>
      </c>
      <c r="R6300" t="str">
        <f>"219-60-155"</f>
        <v>219-60-155</v>
      </c>
      <c r="S6300" t="s">
        <v>38152</v>
      </c>
      <c r="T6300" t="s">
        <v>38152</v>
      </c>
      <c r="U6300">
        <v>3834</v>
      </c>
      <c r="V6300">
        <v>0</v>
      </c>
      <c r="W6300">
        <v>5</v>
      </c>
      <c r="X6300">
        <v>2006</v>
      </c>
      <c r="Z6300">
        <v>1</v>
      </c>
      <c r="AA6300" t="s">
        <v>26</v>
      </c>
      <c r="AB6300">
        <v>0</v>
      </c>
      <c r="AC6300" t="s">
        <v>115</v>
      </c>
      <c r="AD6300">
        <v>3</v>
      </c>
      <c r="AE6300" t="s">
        <v>115</v>
      </c>
      <c r="AF6300">
        <v>0</v>
      </c>
      <c r="AG6300">
        <v>0</v>
      </c>
      <c r="AH6300" t="s">
        <v>116</v>
      </c>
      <c r="AI6300" s="1">
        <v>278295</v>
      </c>
      <c r="AJ6300" s="2">
        <v>0.28000000000000003</v>
      </c>
      <c r="AK6300" s="1">
        <v>1010256</v>
      </c>
      <c r="AL6300" t="s">
        <v>117</v>
      </c>
      <c r="AM6300" t="s">
        <v>376</v>
      </c>
      <c r="AN6300">
        <v>47123</v>
      </c>
      <c r="AO6300">
        <v>1.08</v>
      </c>
      <c r="AP6300">
        <v>1</v>
      </c>
      <c r="AR6300">
        <v>1</v>
      </c>
      <c r="AS6300" s="1">
        <v>76160</v>
      </c>
      <c r="AT6300" s="1">
        <v>15230</v>
      </c>
      <c r="AU6300" s="1">
        <v>60930</v>
      </c>
      <c r="AV6300">
        <v>80</v>
      </c>
      <c r="AX6300" s="1">
        <v>4321.42</v>
      </c>
      <c r="AY6300" t="s">
        <v>7359</v>
      </c>
      <c r="AZ6300" t="s">
        <v>1402</v>
      </c>
      <c r="BA6300" t="s">
        <v>1403</v>
      </c>
      <c r="BE6300" s="3">
        <v>42460</v>
      </c>
      <c r="BF6300" s="1">
        <v>824900</v>
      </c>
      <c r="BG6300" t="s">
        <v>38153</v>
      </c>
      <c r="BH6300" s="1">
        <v>215.15</v>
      </c>
      <c r="BI6300" s="1">
        <v>731961</v>
      </c>
      <c r="BJ6300" s="3">
        <v>42460</v>
      </c>
      <c r="BK6300" t="s">
        <v>123</v>
      </c>
      <c r="BL6300" t="str">
        <f>"2016.212088"</f>
        <v>2016.212088</v>
      </c>
      <c r="BM6300" t="s">
        <v>2683</v>
      </c>
      <c r="BO6300" t="s">
        <v>38154</v>
      </c>
      <c r="BS6300">
        <v>30</v>
      </c>
      <c r="BW6300" t="str">
        <f>""</f>
        <v/>
      </c>
      <c r="CH6300" t="str">
        <f>""</f>
        <v/>
      </c>
      <c r="CS6300" t="str">
        <f>""</f>
        <v/>
      </c>
    </row>
    <row r="6301" spans="1:97" x14ac:dyDescent="0.25">
      <c r="A6301" t="s">
        <v>1009</v>
      </c>
      <c r="B6301" t="s">
        <v>5280</v>
      </c>
      <c r="C6301" t="s">
        <v>888</v>
      </c>
      <c r="D6301" t="s">
        <v>5280</v>
      </c>
      <c r="E6301" t="s">
        <v>38155</v>
      </c>
      <c r="F6301" t="s">
        <v>108</v>
      </c>
      <c r="H6301" t="s">
        <v>38156</v>
      </c>
      <c r="I6301" t="s">
        <v>6646</v>
      </c>
      <c r="J6301" t="s">
        <v>111</v>
      </c>
      <c r="K6301" t="str">
        <f>"85086"</f>
        <v>85086</v>
      </c>
      <c r="L6301" t="s">
        <v>3225</v>
      </c>
      <c r="M6301" t="s">
        <v>38156</v>
      </c>
      <c r="N6301" t="s">
        <v>6646</v>
      </c>
      <c r="O6301" t="s">
        <v>111</v>
      </c>
      <c r="P6301" t="str">
        <f>"85086-1798"</f>
        <v>85086-1798</v>
      </c>
      <c r="Q6301" t="s">
        <v>113</v>
      </c>
      <c r="R6301" t="str">
        <f>"203-06-116"</f>
        <v>203-06-116</v>
      </c>
      <c r="S6301" t="s">
        <v>11877</v>
      </c>
      <c r="U6301">
        <v>2939</v>
      </c>
      <c r="V6301">
        <v>0</v>
      </c>
      <c r="W6301">
        <v>4</v>
      </c>
      <c r="X6301">
        <v>2002</v>
      </c>
      <c r="Z6301">
        <v>1</v>
      </c>
      <c r="AA6301" t="s">
        <v>26</v>
      </c>
      <c r="AB6301">
        <v>0</v>
      </c>
      <c r="AC6301" t="s">
        <v>115</v>
      </c>
      <c r="AD6301">
        <v>3</v>
      </c>
      <c r="AE6301" t="s">
        <v>115</v>
      </c>
      <c r="AF6301">
        <v>0</v>
      </c>
      <c r="AG6301">
        <v>0</v>
      </c>
      <c r="AH6301" t="s">
        <v>116</v>
      </c>
      <c r="AI6301" s="1">
        <v>60238</v>
      </c>
      <c r="AJ6301" s="2">
        <v>0.13</v>
      </c>
      <c r="AK6301" s="1">
        <v>457246</v>
      </c>
      <c r="AL6301" t="s">
        <v>117</v>
      </c>
      <c r="AM6301" t="s">
        <v>1302</v>
      </c>
      <c r="AN6301">
        <v>10402</v>
      </c>
      <c r="AO6301">
        <v>0.24</v>
      </c>
      <c r="AP6301">
        <v>1</v>
      </c>
      <c r="AR6301">
        <v>1</v>
      </c>
      <c r="AS6301" s="1">
        <v>34870</v>
      </c>
      <c r="AT6301" s="1">
        <v>6970</v>
      </c>
      <c r="AU6301" s="1">
        <v>27900</v>
      </c>
      <c r="AV6301">
        <v>80.010000000000005</v>
      </c>
      <c r="AX6301" s="1">
        <v>4137.68</v>
      </c>
      <c r="AY6301" t="s">
        <v>665</v>
      </c>
      <c r="AZ6301" t="s">
        <v>665</v>
      </c>
      <c r="BA6301" t="s">
        <v>378</v>
      </c>
      <c r="BE6301" s="3">
        <v>42488</v>
      </c>
      <c r="BF6301" s="1">
        <v>385000</v>
      </c>
      <c r="BG6301" t="s">
        <v>38157</v>
      </c>
      <c r="BH6301" s="1">
        <v>131</v>
      </c>
      <c r="BI6301" s="1">
        <v>397008</v>
      </c>
      <c r="BJ6301" s="3">
        <v>42647</v>
      </c>
      <c r="BK6301" t="s">
        <v>123</v>
      </c>
      <c r="BL6301" t="str">
        <f>"2016.724216"</f>
        <v>2016.724216</v>
      </c>
      <c r="BM6301" t="s">
        <v>402</v>
      </c>
      <c r="BO6301" t="s">
        <v>38158</v>
      </c>
      <c r="BS6301">
        <v>27</v>
      </c>
      <c r="BW6301" t="str">
        <f>""</f>
        <v/>
      </c>
      <c r="CH6301" t="str">
        <f>""</f>
        <v/>
      </c>
      <c r="CS6301" t="str">
        <f>""</f>
        <v/>
      </c>
    </row>
    <row r="6302" spans="1:97" x14ac:dyDescent="0.25">
      <c r="A6302" t="s">
        <v>6778</v>
      </c>
      <c r="B6302" t="s">
        <v>1577</v>
      </c>
      <c r="C6302" t="s">
        <v>1047</v>
      </c>
      <c r="D6302" t="s">
        <v>1577</v>
      </c>
      <c r="E6302" t="s">
        <v>38159</v>
      </c>
      <c r="F6302" t="s">
        <v>108</v>
      </c>
      <c r="H6302" t="s">
        <v>38160</v>
      </c>
      <c r="I6302" t="s">
        <v>6646</v>
      </c>
      <c r="J6302" t="s">
        <v>111</v>
      </c>
      <c r="K6302" t="str">
        <f>"85086"</f>
        <v>85086</v>
      </c>
      <c r="L6302" t="s">
        <v>284</v>
      </c>
      <c r="M6302" t="s">
        <v>38160</v>
      </c>
      <c r="N6302" t="s">
        <v>6646</v>
      </c>
      <c r="O6302" t="s">
        <v>111</v>
      </c>
      <c r="P6302" t="str">
        <f>"85086-1022"</f>
        <v>85086-1022</v>
      </c>
      <c r="Q6302" t="s">
        <v>113</v>
      </c>
      <c r="R6302" t="str">
        <f>"203-02-687"</f>
        <v>203-02-687</v>
      </c>
      <c r="S6302" t="s">
        <v>19323</v>
      </c>
      <c r="T6302" t="s">
        <v>6514</v>
      </c>
      <c r="U6302">
        <v>3246</v>
      </c>
      <c r="V6302">
        <v>0</v>
      </c>
      <c r="W6302">
        <v>5</v>
      </c>
      <c r="X6302">
        <v>2000</v>
      </c>
      <c r="Z6302">
        <v>1</v>
      </c>
      <c r="AB6302">
        <v>0</v>
      </c>
      <c r="AC6302" t="s">
        <v>115</v>
      </c>
      <c r="AD6302">
        <v>2</v>
      </c>
      <c r="AE6302" t="s">
        <v>115</v>
      </c>
      <c r="AF6302">
        <v>0</v>
      </c>
      <c r="AG6302">
        <v>0</v>
      </c>
      <c r="AH6302" t="s">
        <v>116</v>
      </c>
      <c r="AI6302" s="1">
        <v>61631</v>
      </c>
      <c r="AJ6302" s="2">
        <v>0.13</v>
      </c>
      <c r="AK6302" s="1">
        <v>472381</v>
      </c>
      <c r="AL6302" t="s">
        <v>117</v>
      </c>
      <c r="AM6302" t="s">
        <v>1302</v>
      </c>
      <c r="AN6302">
        <v>12210</v>
      </c>
      <c r="AO6302">
        <v>0.28000000000000003</v>
      </c>
      <c r="AP6302">
        <v>1</v>
      </c>
      <c r="AR6302">
        <v>1</v>
      </c>
      <c r="AS6302" s="1">
        <v>36570</v>
      </c>
      <c r="AT6302" s="1">
        <v>7310</v>
      </c>
      <c r="AU6302" s="1">
        <v>29260</v>
      </c>
      <c r="AV6302">
        <v>80.010000000000005</v>
      </c>
      <c r="AX6302" s="1">
        <v>4248.78</v>
      </c>
      <c r="AY6302" t="s">
        <v>6648</v>
      </c>
      <c r="AZ6302" t="s">
        <v>6648</v>
      </c>
      <c r="BA6302" t="s">
        <v>378</v>
      </c>
      <c r="BE6302" s="3">
        <v>42551</v>
      </c>
      <c r="BF6302" s="1">
        <v>398000</v>
      </c>
      <c r="BG6302" t="s">
        <v>38161</v>
      </c>
      <c r="BH6302" s="1">
        <v>122.61</v>
      </c>
      <c r="BI6302" s="1">
        <v>410750</v>
      </c>
      <c r="BJ6302" s="3">
        <v>42632</v>
      </c>
      <c r="BK6302" t="s">
        <v>123</v>
      </c>
      <c r="BL6302" t="str">
        <f>"2016.679658"</f>
        <v>2016.679658</v>
      </c>
      <c r="BM6302" t="s">
        <v>1122</v>
      </c>
      <c r="BO6302" t="s">
        <v>38162</v>
      </c>
      <c r="BS6302">
        <v>30</v>
      </c>
      <c r="BW6302" t="str">
        <f>""</f>
        <v/>
      </c>
      <c r="CH6302" t="str">
        <f>""</f>
        <v/>
      </c>
      <c r="CS6302" t="str">
        <f>""</f>
        <v/>
      </c>
    </row>
    <row r="6303" spans="1:97" x14ac:dyDescent="0.25">
      <c r="A6303" t="s">
        <v>701</v>
      </c>
      <c r="B6303" t="s">
        <v>3333</v>
      </c>
      <c r="C6303" t="s">
        <v>21426</v>
      </c>
      <c r="D6303" t="s">
        <v>3333</v>
      </c>
      <c r="E6303" t="s">
        <v>38163</v>
      </c>
      <c r="F6303" t="s">
        <v>108</v>
      </c>
      <c r="H6303" t="s">
        <v>38164</v>
      </c>
      <c r="I6303" t="s">
        <v>225</v>
      </c>
      <c r="J6303" t="s">
        <v>111</v>
      </c>
      <c r="K6303" t="str">
        <f>"85205"</f>
        <v>85205</v>
      </c>
      <c r="L6303" t="s">
        <v>1518</v>
      </c>
      <c r="M6303" t="s">
        <v>38164</v>
      </c>
      <c r="N6303" t="s">
        <v>225</v>
      </c>
      <c r="O6303" t="s">
        <v>111</v>
      </c>
      <c r="P6303" t="str">
        <f>"85205-5015"</f>
        <v>85205-5015</v>
      </c>
      <c r="Q6303" t="s">
        <v>113</v>
      </c>
      <c r="R6303" t="str">
        <f>"140-03-225"</f>
        <v>140-03-225</v>
      </c>
      <c r="S6303" t="s">
        <v>13165</v>
      </c>
      <c r="T6303" t="s">
        <v>13165</v>
      </c>
      <c r="U6303">
        <v>4444</v>
      </c>
      <c r="V6303">
        <v>0</v>
      </c>
      <c r="W6303">
        <v>5</v>
      </c>
      <c r="X6303">
        <v>1999</v>
      </c>
      <c r="Z6303">
        <v>2</v>
      </c>
      <c r="AA6303" t="s">
        <v>26</v>
      </c>
      <c r="AB6303">
        <v>0</v>
      </c>
      <c r="AC6303" t="s">
        <v>115</v>
      </c>
      <c r="AD6303">
        <v>3</v>
      </c>
      <c r="AE6303" t="s">
        <v>115</v>
      </c>
      <c r="AF6303">
        <v>0</v>
      </c>
      <c r="AG6303">
        <v>0</v>
      </c>
      <c r="AH6303" t="s">
        <v>116</v>
      </c>
      <c r="AI6303" s="1">
        <v>48173</v>
      </c>
      <c r="AJ6303" s="2">
        <v>0.09</v>
      </c>
      <c r="AK6303" s="1">
        <v>548173</v>
      </c>
      <c r="AL6303" t="s">
        <v>117</v>
      </c>
      <c r="AM6303" t="s">
        <v>1521</v>
      </c>
      <c r="AN6303">
        <v>20092</v>
      </c>
      <c r="AO6303">
        <v>0.46</v>
      </c>
      <c r="AP6303">
        <v>1</v>
      </c>
      <c r="AR6303">
        <v>1</v>
      </c>
      <c r="AS6303" s="1">
        <v>47770</v>
      </c>
      <c r="AT6303" s="1">
        <v>9550</v>
      </c>
      <c r="AU6303" s="1">
        <v>38220</v>
      </c>
      <c r="AV6303">
        <v>80.010000000000005</v>
      </c>
      <c r="AX6303" s="1">
        <v>4895.92</v>
      </c>
      <c r="AY6303" t="s">
        <v>6044</v>
      </c>
      <c r="AZ6303" t="s">
        <v>4163</v>
      </c>
      <c r="BA6303" t="s">
        <v>1524</v>
      </c>
      <c r="BB6303" s="3">
        <v>42947</v>
      </c>
      <c r="BD6303" t="s">
        <v>157</v>
      </c>
      <c r="BE6303" s="3">
        <v>41845</v>
      </c>
      <c r="BF6303" s="1">
        <v>501000</v>
      </c>
      <c r="BG6303" t="s">
        <v>38165</v>
      </c>
      <c r="BH6303" s="1">
        <v>112.74</v>
      </c>
      <c r="BI6303" s="1">
        <v>500000</v>
      </c>
      <c r="BJ6303" s="3">
        <v>43280</v>
      </c>
      <c r="BK6303" t="s">
        <v>123</v>
      </c>
      <c r="BL6303" t="str">
        <f>"2018.498675"</f>
        <v>2018.498675</v>
      </c>
      <c r="BM6303" t="s">
        <v>38166</v>
      </c>
      <c r="BN6303" t="s">
        <v>38167</v>
      </c>
      <c r="BO6303" t="s">
        <v>38168</v>
      </c>
      <c r="BP6303" t="s">
        <v>38169</v>
      </c>
      <c r="BR6303" t="s">
        <v>139</v>
      </c>
      <c r="BT6303" s="1">
        <v>500000</v>
      </c>
      <c r="BU6303" s="3">
        <v>43280</v>
      </c>
      <c r="BV6303" t="s">
        <v>123</v>
      </c>
      <c r="BW6303" t="str">
        <f>"2018.498675"</f>
        <v>2018.498675</v>
      </c>
      <c r="BX6303" t="s">
        <v>38166</v>
      </c>
      <c r="BY6303" t="s">
        <v>38167</v>
      </c>
      <c r="BZ6303" t="s">
        <v>38168</v>
      </c>
      <c r="CA6303" t="s">
        <v>38169</v>
      </c>
      <c r="CC6303" t="s">
        <v>139</v>
      </c>
      <c r="CH6303" t="str">
        <f>""</f>
        <v/>
      </c>
      <c r="CS6303" t="str">
        <f>""</f>
        <v/>
      </c>
    </row>
    <row r="6304" spans="1:97" x14ac:dyDescent="0.25">
      <c r="A6304" t="s">
        <v>4854</v>
      </c>
      <c r="B6304" t="s">
        <v>38170</v>
      </c>
      <c r="C6304" t="s">
        <v>2099</v>
      </c>
      <c r="D6304" t="s">
        <v>38170</v>
      </c>
      <c r="E6304" t="s">
        <v>38171</v>
      </c>
      <c r="F6304" t="s">
        <v>108</v>
      </c>
      <c r="H6304" t="s">
        <v>38172</v>
      </c>
      <c r="I6304" t="s">
        <v>203</v>
      </c>
      <c r="J6304" t="s">
        <v>111</v>
      </c>
      <c r="K6304" t="str">
        <f>"85298"</f>
        <v>85298</v>
      </c>
      <c r="L6304" t="s">
        <v>21230</v>
      </c>
      <c r="M6304" t="s">
        <v>38172</v>
      </c>
      <c r="N6304" t="s">
        <v>203</v>
      </c>
      <c r="O6304" t="s">
        <v>111</v>
      </c>
      <c r="P6304" t="str">
        <f>"85298-2079"</f>
        <v>85298-2079</v>
      </c>
      <c r="Q6304" t="s">
        <v>113</v>
      </c>
      <c r="R6304" t="str">
        <f>"304-79-093"</f>
        <v>304-79-093</v>
      </c>
      <c r="S6304" t="s">
        <v>38173</v>
      </c>
      <c r="T6304" t="s">
        <v>38173</v>
      </c>
      <c r="U6304">
        <v>3003</v>
      </c>
      <c r="V6304">
        <v>0</v>
      </c>
      <c r="W6304">
        <v>3</v>
      </c>
      <c r="X6304">
        <v>2002</v>
      </c>
      <c r="Z6304">
        <v>1</v>
      </c>
      <c r="AA6304" t="s">
        <v>26</v>
      </c>
      <c r="AB6304">
        <v>0</v>
      </c>
      <c r="AC6304" t="s">
        <v>115</v>
      </c>
      <c r="AD6304">
        <v>3</v>
      </c>
      <c r="AE6304" t="s">
        <v>115</v>
      </c>
      <c r="AF6304">
        <v>0</v>
      </c>
      <c r="AG6304">
        <v>0</v>
      </c>
      <c r="AH6304" t="s">
        <v>116</v>
      </c>
      <c r="AI6304" s="1">
        <v>246349</v>
      </c>
      <c r="AJ6304" s="2">
        <v>0.37</v>
      </c>
      <c r="AK6304" s="1">
        <v>657549</v>
      </c>
      <c r="AL6304" t="s">
        <v>117</v>
      </c>
      <c r="AM6304" t="s">
        <v>376</v>
      </c>
      <c r="AN6304">
        <v>44533</v>
      </c>
      <c r="AO6304">
        <v>1.02</v>
      </c>
      <c r="AP6304">
        <v>1</v>
      </c>
      <c r="AR6304">
        <v>1</v>
      </c>
      <c r="AS6304" s="1">
        <v>52980</v>
      </c>
      <c r="AT6304" s="1">
        <v>10590</v>
      </c>
      <c r="AU6304" s="1">
        <v>42390</v>
      </c>
      <c r="AV6304">
        <v>80.010000000000005</v>
      </c>
      <c r="AX6304" s="1">
        <v>4772.28</v>
      </c>
      <c r="AY6304" t="s">
        <v>272</v>
      </c>
      <c r="AZ6304" t="s">
        <v>273</v>
      </c>
      <c r="BA6304" t="s">
        <v>274</v>
      </c>
      <c r="BE6304" s="3">
        <v>41711</v>
      </c>
      <c r="BF6304" s="1">
        <v>510000</v>
      </c>
      <c r="BG6304" t="s">
        <v>38174</v>
      </c>
      <c r="BH6304" s="1">
        <v>169.83</v>
      </c>
      <c r="BI6304" s="1">
        <v>411200</v>
      </c>
      <c r="BJ6304" s="3">
        <v>42202</v>
      </c>
      <c r="BK6304" t="s">
        <v>123</v>
      </c>
      <c r="BL6304" t="str">
        <f>"2015.514920"</f>
        <v>2015.514920</v>
      </c>
      <c r="BM6304" t="s">
        <v>2224</v>
      </c>
      <c r="BO6304" t="s">
        <v>38175</v>
      </c>
      <c r="BS6304">
        <v>30</v>
      </c>
      <c r="BW6304" t="str">
        <f>""</f>
        <v/>
      </c>
      <c r="CH6304" t="str">
        <f>""</f>
        <v/>
      </c>
      <c r="CS6304" t="str">
        <f>""</f>
        <v/>
      </c>
    </row>
    <row r="6305" spans="1:97" x14ac:dyDescent="0.25">
      <c r="A6305" t="s">
        <v>5962</v>
      </c>
      <c r="B6305" t="s">
        <v>3689</v>
      </c>
      <c r="E6305" t="s">
        <v>38176</v>
      </c>
      <c r="F6305" t="s">
        <v>108</v>
      </c>
      <c r="H6305" t="s">
        <v>38177</v>
      </c>
      <c r="I6305" t="s">
        <v>1936</v>
      </c>
      <c r="J6305" t="s">
        <v>111</v>
      </c>
      <c r="K6305" t="str">
        <f>"85255"</f>
        <v>85255</v>
      </c>
      <c r="L6305" t="s">
        <v>8255</v>
      </c>
      <c r="M6305" t="s">
        <v>38177</v>
      </c>
      <c r="N6305" t="s">
        <v>1936</v>
      </c>
      <c r="O6305" t="s">
        <v>111</v>
      </c>
      <c r="P6305" t="str">
        <f>"85255-2815"</f>
        <v>85255-2815</v>
      </c>
      <c r="Q6305" t="s">
        <v>113</v>
      </c>
      <c r="R6305" t="str">
        <f>"212-06-327"</f>
        <v>212-06-327</v>
      </c>
      <c r="S6305" t="s">
        <v>38178</v>
      </c>
      <c r="T6305" t="s">
        <v>38178</v>
      </c>
      <c r="U6305">
        <v>5770</v>
      </c>
      <c r="V6305">
        <v>0</v>
      </c>
      <c r="W6305">
        <v>6</v>
      </c>
      <c r="X6305">
        <v>2006</v>
      </c>
      <c r="Z6305">
        <v>2</v>
      </c>
      <c r="AA6305" t="s">
        <v>26</v>
      </c>
      <c r="AB6305">
        <v>0</v>
      </c>
      <c r="AC6305" t="s">
        <v>115</v>
      </c>
      <c r="AD6305">
        <v>3</v>
      </c>
      <c r="AE6305" t="s">
        <v>115</v>
      </c>
      <c r="AF6305">
        <v>0</v>
      </c>
      <c r="AG6305">
        <v>0</v>
      </c>
      <c r="AH6305" t="s">
        <v>116</v>
      </c>
      <c r="AI6305" s="1">
        <v>316647</v>
      </c>
      <c r="AJ6305" s="2">
        <v>0.3</v>
      </c>
      <c r="AK6305" s="1">
        <v>1065806</v>
      </c>
      <c r="AL6305" t="s">
        <v>117</v>
      </c>
      <c r="AM6305" t="s">
        <v>376</v>
      </c>
      <c r="AN6305">
        <v>34733</v>
      </c>
      <c r="AO6305">
        <v>0.8</v>
      </c>
      <c r="AR6305">
        <v>1</v>
      </c>
      <c r="AS6305" s="1">
        <v>83670</v>
      </c>
      <c r="AT6305" s="1">
        <v>16730</v>
      </c>
      <c r="AU6305" s="1">
        <v>66940</v>
      </c>
      <c r="AV6305">
        <v>80</v>
      </c>
      <c r="AX6305" s="1">
        <v>9017.1200000000008</v>
      </c>
      <c r="AY6305" t="s">
        <v>9968</v>
      </c>
      <c r="AZ6305" t="s">
        <v>761</v>
      </c>
      <c r="BA6305" t="s">
        <v>762</v>
      </c>
      <c r="BE6305" s="3">
        <v>42081</v>
      </c>
      <c r="BF6305" s="1">
        <v>865000</v>
      </c>
      <c r="BG6305" t="s">
        <v>38179</v>
      </c>
      <c r="BH6305" s="1">
        <v>149.91</v>
      </c>
      <c r="BI6305" s="1">
        <v>749159</v>
      </c>
      <c r="BJ6305" s="3">
        <v>42629</v>
      </c>
      <c r="BK6305" t="s">
        <v>123</v>
      </c>
      <c r="BL6305" t="str">
        <f>"2016.674719"</f>
        <v>2016.674719</v>
      </c>
      <c r="BM6305" t="s">
        <v>6517</v>
      </c>
      <c r="BO6305" t="s">
        <v>38180</v>
      </c>
      <c r="BS6305">
        <v>30</v>
      </c>
      <c r="BW6305" t="str">
        <f>""</f>
        <v/>
      </c>
      <c r="CH6305" t="str">
        <f>""</f>
        <v/>
      </c>
      <c r="CS6305" t="str">
        <f>""</f>
        <v/>
      </c>
    </row>
    <row r="6306" spans="1:97" x14ac:dyDescent="0.25">
      <c r="A6306" t="s">
        <v>9660</v>
      </c>
      <c r="B6306" t="s">
        <v>38181</v>
      </c>
      <c r="C6306" t="s">
        <v>34278</v>
      </c>
      <c r="D6306" t="s">
        <v>38181</v>
      </c>
      <c r="E6306" t="s">
        <v>38182</v>
      </c>
      <c r="F6306" t="s">
        <v>108</v>
      </c>
      <c r="H6306" t="s">
        <v>38183</v>
      </c>
      <c r="I6306" t="s">
        <v>225</v>
      </c>
      <c r="J6306" t="s">
        <v>111</v>
      </c>
      <c r="K6306" t="str">
        <f>"85205"</f>
        <v>85205</v>
      </c>
      <c r="L6306" t="s">
        <v>5218</v>
      </c>
      <c r="M6306" t="s">
        <v>38183</v>
      </c>
      <c r="N6306" t="s">
        <v>225</v>
      </c>
      <c r="O6306" t="s">
        <v>111</v>
      </c>
      <c r="P6306" t="str">
        <f>"85205-6339"</f>
        <v>85205-6339</v>
      </c>
      <c r="Q6306" t="s">
        <v>113</v>
      </c>
      <c r="R6306" t="str">
        <f>"140-15-363"</f>
        <v>140-15-363</v>
      </c>
      <c r="S6306" t="s">
        <v>8914</v>
      </c>
      <c r="T6306" t="s">
        <v>8914</v>
      </c>
      <c r="U6306">
        <v>3799</v>
      </c>
      <c r="V6306">
        <v>0</v>
      </c>
      <c r="W6306">
        <v>4</v>
      </c>
      <c r="X6306">
        <v>2002</v>
      </c>
      <c r="Z6306">
        <v>2</v>
      </c>
      <c r="AA6306" t="s">
        <v>26</v>
      </c>
      <c r="AB6306">
        <v>0</v>
      </c>
      <c r="AC6306" t="s">
        <v>115</v>
      </c>
      <c r="AD6306">
        <v>3</v>
      </c>
      <c r="AE6306" t="s">
        <v>115</v>
      </c>
      <c r="AF6306">
        <v>0</v>
      </c>
      <c r="AG6306">
        <v>0</v>
      </c>
      <c r="AH6306" t="s">
        <v>116</v>
      </c>
      <c r="AI6306" s="1">
        <v>103209</v>
      </c>
      <c r="AJ6306" s="2">
        <v>0.2</v>
      </c>
      <c r="AK6306" s="1">
        <v>518209</v>
      </c>
      <c r="AL6306" t="s">
        <v>117</v>
      </c>
      <c r="AM6306" t="s">
        <v>917</v>
      </c>
      <c r="AN6306">
        <v>9450</v>
      </c>
      <c r="AO6306">
        <v>0.22</v>
      </c>
      <c r="AP6306">
        <v>1</v>
      </c>
      <c r="AR6306">
        <v>1</v>
      </c>
      <c r="AS6306" s="1">
        <v>35560</v>
      </c>
      <c r="AT6306" s="1">
        <v>7110</v>
      </c>
      <c r="AU6306" s="1">
        <v>28450</v>
      </c>
      <c r="AV6306">
        <v>80.010000000000005</v>
      </c>
      <c r="AX6306" s="1">
        <v>3118.04</v>
      </c>
      <c r="AY6306" t="s">
        <v>7054</v>
      </c>
      <c r="AZ6306" t="s">
        <v>5275</v>
      </c>
      <c r="BA6306" t="s">
        <v>3119</v>
      </c>
      <c r="BE6306" s="3">
        <v>41698</v>
      </c>
      <c r="BF6306" s="1">
        <v>415000</v>
      </c>
      <c r="BG6306" t="s">
        <v>38184</v>
      </c>
      <c r="BH6306" s="1">
        <v>109.24</v>
      </c>
      <c r="BI6306" s="1">
        <v>415000</v>
      </c>
      <c r="BJ6306" s="3">
        <v>41698</v>
      </c>
      <c r="BK6306" t="s">
        <v>123</v>
      </c>
      <c r="BL6306" t="str">
        <f>"2014.134531"</f>
        <v>2014.134531</v>
      </c>
      <c r="BM6306" t="s">
        <v>1033</v>
      </c>
      <c r="BO6306" t="s">
        <v>38185</v>
      </c>
      <c r="BS6306">
        <v>30</v>
      </c>
      <c r="BW6306" t="str">
        <f>""</f>
        <v/>
      </c>
      <c r="CH6306" t="str">
        <f>""</f>
        <v/>
      </c>
      <c r="CS6306" t="str">
        <f>""</f>
        <v/>
      </c>
    </row>
    <row r="6307" spans="1:97" x14ac:dyDescent="0.25">
      <c r="A6307" t="s">
        <v>3089</v>
      </c>
      <c r="B6307" t="s">
        <v>38186</v>
      </c>
      <c r="C6307" t="s">
        <v>348</v>
      </c>
      <c r="D6307" t="s">
        <v>38186</v>
      </c>
      <c r="E6307" t="s">
        <v>38187</v>
      </c>
      <c r="F6307" t="s">
        <v>108</v>
      </c>
      <c r="H6307" t="s">
        <v>38188</v>
      </c>
      <c r="I6307" t="s">
        <v>632</v>
      </c>
      <c r="J6307" t="s">
        <v>111</v>
      </c>
      <c r="K6307" t="str">
        <f>"85387"</f>
        <v>85387</v>
      </c>
      <c r="L6307" t="s">
        <v>3758</v>
      </c>
      <c r="M6307" t="s">
        <v>38188</v>
      </c>
      <c r="N6307" t="s">
        <v>632</v>
      </c>
      <c r="O6307" t="s">
        <v>111</v>
      </c>
      <c r="P6307" t="str">
        <f>"85387-6722"</f>
        <v>85387-6722</v>
      </c>
      <c r="Q6307" t="s">
        <v>113</v>
      </c>
      <c r="R6307" t="str">
        <f>"503-52-100-T"</f>
        <v>503-52-100-T</v>
      </c>
      <c r="U6307">
        <v>3219</v>
      </c>
      <c r="V6307">
        <v>0</v>
      </c>
      <c r="W6307">
        <v>4</v>
      </c>
      <c r="X6307">
        <v>2007</v>
      </c>
      <c r="Z6307">
        <v>1</v>
      </c>
      <c r="AB6307">
        <v>0</v>
      </c>
      <c r="AC6307" t="s">
        <v>115</v>
      </c>
      <c r="AD6307">
        <v>4</v>
      </c>
      <c r="AE6307" t="s">
        <v>115</v>
      </c>
      <c r="AF6307">
        <v>0</v>
      </c>
      <c r="AG6307">
        <v>0</v>
      </c>
      <c r="AH6307" t="s">
        <v>116</v>
      </c>
      <c r="AI6307" s="1">
        <v>110018</v>
      </c>
      <c r="AJ6307" s="2">
        <v>0.21</v>
      </c>
      <c r="AK6307" s="1">
        <v>518618</v>
      </c>
      <c r="AL6307" t="s">
        <v>117</v>
      </c>
      <c r="AM6307" t="s">
        <v>376</v>
      </c>
      <c r="AN6307">
        <v>43562</v>
      </c>
      <c r="AO6307">
        <v>1</v>
      </c>
      <c r="AR6307">
        <v>1</v>
      </c>
      <c r="AS6307" s="1">
        <v>40200</v>
      </c>
      <c r="AT6307" s="1">
        <v>8040</v>
      </c>
      <c r="AU6307" s="1">
        <v>32160</v>
      </c>
      <c r="AV6307">
        <v>80</v>
      </c>
      <c r="AX6307" s="1">
        <v>2336.06</v>
      </c>
      <c r="AY6307" t="s">
        <v>5499</v>
      </c>
      <c r="AZ6307" t="s">
        <v>5499</v>
      </c>
      <c r="BE6307" s="3">
        <v>42167</v>
      </c>
      <c r="BF6307" s="1">
        <v>400000</v>
      </c>
      <c r="BG6307" t="s">
        <v>38189</v>
      </c>
      <c r="BH6307" s="1">
        <v>124.26</v>
      </c>
      <c r="BI6307" s="1">
        <v>408600</v>
      </c>
      <c r="BJ6307" s="3">
        <v>42167</v>
      </c>
      <c r="BK6307" t="s">
        <v>123</v>
      </c>
      <c r="BL6307" t="str">
        <f>"2015.422448"</f>
        <v>2015.422448</v>
      </c>
      <c r="BM6307" t="s">
        <v>2683</v>
      </c>
      <c r="BO6307" t="s">
        <v>38190</v>
      </c>
      <c r="BS6307">
        <v>30</v>
      </c>
      <c r="BW6307" t="str">
        <f>""</f>
        <v/>
      </c>
      <c r="CH6307" t="str">
        <f>""</f>
        <v/>
      </c>
      <c r="CS6307" t="str">
        <f>""</f>
        <v/>
      </c>
    </row>
    <row r="6308" spans="1:97" x14ac:dyDescent="0.25">
      <c r="A6308" t="s">
        <v>8094</v>
      </c>
      <c r="B6308" t="s">
        <v>38191</v>
      </c>
      <c r="C6308" t="s">
        <v>179</v>
      </c>
      <c r="D6308" t="s">
        <v>38191</v>
      </c>
      <c r="E6308" t="s">
        <v>38192</v>
      </c>
      <c r="F6308" t="s">
        <v>108</v>
      </c>
      <c r="H6308" t="s">
        <v>38193</v>
      </c>
      <c r="I6308" t="s">
        <v>1397</v>
      </c>
      <c r="J6308" t="s">
        <v>111</v>
      </c>
      <c r="K6308" t="str">
        <f>"85331"</f>
        <v>85331</v>
      </c>
      <c r="L6308" t="s">
        <v>12821</v>
      </c>
      <c r="M6308" t="s">
        <v>38193</v>
      </c>
      <c r="N6308" t="s">
        <v>1397</v>
      </c>
      <c r="O6308" t="s">
        <v>111</v>
      </c>
      <c r="P6308" t="str">
        <f>"85331-9064"</f>
        <v>85331-9064</v>
      </c>
      <c r="R6308" t="str">
        <f>"211-16-005-K"</f>
        <v>211-16-005-K</v>
      </c>
      <c r="U6308">
        <v>5536</v>
      </c>
      <c r="V6308">
        <v>0</v>
      </c>
      <c r="W6308">
        <v>5</v>
      </c>
      <c r="X6308">
        <v>1999</v>
      </c>
      <c r="Z6308">
        <v>1</v>
      </c>
      <c r="AA6308" t="s">
        <v>26</v>
      </c>
      <c r="AB6308">
        <v>0</v>
      </c>
      <c r="AC6308" t="s">
        <v>115</v>
      </c>
      <c r="AD6308">
        <v>8</v>
      </c>
      <c r="AE6308" t="s">
        <v>115</v>
      </c>
      <c r="AF6308">
        <v>0</v>
      </c>
      <c r="AG6308">
        <v>0</v>
      </c>
      <c r="AH6308" t="s">
        <v>116</v>
      </c>
      <c r="AI6308" s="1">
        <v>194227</v>
      </c>
      <c r="AJ6308" s="2">
        <v>0.11</v>
      </c>
      <c r="AK6308" s="1">
        <v>1776317</v>
      </c>
      <c r="AL6308" t="s">
        <v>117</v>
      </c>
      <c r="AM6308" t="s">
        <v>6484</v>
      </c>
      <c r="AN6308">
        <v>190613</v>
      </c>
      <c r="AO6308">
        <v>4.38</v>
      </c>
      <c r="AR6308">
        <v>1</v>
      </c>
      <c r="AS6308" s="1">
        <v>145630</v>
      </c>
      <c r="AT6308" s="1">
        <v>29120</v>
      </c>
      <c r="AU6308" s="1">
        <v>116510</v>
      </c>
      <c r="AV6308">
        <v>80</v>
      </c>
      <c r="AX6308" s="1">
        <v>7397.86</v>
      </c>
      <c r="AY6308" t="s">
        <v>7359</v>
      </c>
      <c r="AZ6308" t="s">
        <v>1402</v>
      </c>
      <c r="BA6308" t="s">
        <v>1403</v>
      </c>
      <c r="BE6308" s="3">
        <v>42468</v>
      </c>
      <c r="BF6308" s="1">
        <v>1790000</v>
      </c>
      <c r="BG6308" t="s">
        <v>38194</v>
      </c>
      <c r="BH6308" s="1">
        <v>323.33999999999997</v>
      </c>
      <c r="BI6308" s="1">
        <v>1439720</v>
      </c>
      <c r="BJ6308" s="3">
        <v>43045</v>
      </c>
      <c r="BK6308" t="s">
        <v>123</v>
      </c>
      <c r="BL6308" t="str">
        <f>"2017.822490"</f>
        <v>2017.822490</v>
      </c>
      <c r="BM6308" t="s">
        <v>340</v>
      </c>
      <c r="BN6308">
        <v>8054</v>
      </c>
      <c r="BO6308" t="s">
        <v>38195</v>
      </c>
      <c r="BS6308">
        <v>29</v>
      </c>
      <c r="BT6308" s="1">
        <v>142370</v>
      </c>
      <c r="BU6308" s="3">
        <v>42495</v>
      </c>
      <c r="BV6308" t="s">
        <v>134</v>
      </c>
      <c r="BW6308" t="str">
        <f>"2016.307924"</f>
        <v>2016.307924</v>
      </c>
      <c r="BX6308" t="s">
        <v>654</v>
      </c>
      <c r="BY6308" t="s">
        <v>655</v>
      </c>
      <c r="BZ6308" t="s">
        <v>38195</v>
      </c>
      <c r="CD6308">
        <v>30</v>
      </c>
      <c r="CH6308" t="str">
        <f>""</f>
        <v/>
      </c>
      <c r="CS6308" t="str">
        <f>""</f>
        <v/>
      </c>
    </row>
    <row r="6309" spans="1:97" x14ac:dyDescent="0.25">
      <c r="A6309" t="s">
        <v>894</v>
      </c>
      <c r="B6309" t="s">
        <v>38196</v>
      </c>
      <c r="C6309" t="s">
        <v>489</v>
      </c>
      <c r="D6309" t="s">
        <v>38196</v>
      </c>
      <c r="E6309" t="s">
        <v>38197</v>
      </c>
      <c r="F6309" t="s">
        <v>108</v>
      </c>
      <c r="H6309" t="s">
        <v>38198</v>
      </c>
      <c r="I6309" t="s">
        <v>1936</v>
      </c>
      <c r="J6309" t="s">
        <v>111</v>
      </c>
      <c r="K6309" t="str">
        <f>"85260"</f>
        <v>85260</v>
      </c>
      <c r="L6309" t="s">
        <v>5438</v>
      </c>
      <c r="M6309" t="s">
        <v>38198</v>
      </c>
      <c r="N6309" t="s">
        <v>1936</v>
      </c>
      <c r="O6309" t="s">
        <v>111</v>
      </c>
      <c r="P6309" t="str">
        <f>"85260-2196"</f>
        <v>85260-2196</v>
      </c>
      <c r="Q6309" t="s">
        <v>113</v>
      </c>
      <c r="R6309" t="str">
        <f>"217-73-115"</f>
        <v>217-73-115</v>
      </c>
      <c r="S6309" t="s">
        <v>38199</v>
      </c>
      <c r="T6309" t="s">
        <v>38200</v>
      </c>
      <c r="U6309">
        <v>2311</v>
      </c>
      <c r="V6309">
        <v>0</v>
      </c>
      <c r="W6309">
        <v>3</v>
      </c>
      <c r="X6309">
        <v>2003</v>
      </c>
      <c r="Z6309">
        <v>1</v>
      </c>
      <c r="AA6309" t="s">
        <v>26</v>
      </c>
      <c r="AB6309">
        <v>0</v>
      </c>
      <c r="AC6309" t="s">
        <v>115</v>
      </c>
      <c r="AD6309">
        <v>2</v>
      </c>
      <c r="AE6309" t="s">
        <v>115</v>
      </c>
      <c r="AF6309">
        <v>0</v>
      </c>
      <c r="AG6309">
        <v>0</v>
      </c>
      <c r="AH6309" t="s">
        <v>116</v>
      </c>
      <c r="AI6309" s="1">
        <v>143798</v>
      </c>
      <c r="AJ6309" s="2">
        <v>0.26</v>
      </c>
      <c r="AK6309" s="1">
        <v>560798</v>
      </c>
      <c r="AL6309" t="s">
        <v>117</v>
      </c>
      <c r="AM6309" t="s">
        <v>5516</v>
      </c>
      <c r="AN6309">
        <v>8361</v>
      </c>
      <c r="AO6309">
        <v>0.19</v>
      </c>
      <c r="AP6309">
        <v>1</v>
      </c>
      <c r="AR6309">
        <v>1</v>
      </c>
      <c r="AS6309" s="1">
        <v>43520</v>
      </c>
      <c r="AT6309" s="1">
        <v>8700</v>
      </c>
      <c r="AU6309" s="1">
        <v>34820</v>
      </c>
      <c r="AV6309">
        <v>80.010000000000005</v>
      </c>
      <c r="AX6309" s="1">
        <v>2965.18</v>
      </c>
      <c r="AY6309" t="s">
        <v>11360</v>
      </c>
      <c r="AZ6309" t="s">
        <v>5420</v>
      </c>
      <c r="BA6309" t="s">
        <v>5763</v>
      </c>
      <c r="BE6309" s="3">
        <v>42423</v>
      </c>
      <c r="BF6309" s="1">
        <v>465000</v>
      </c>
      <c r="BG6309" t="s">
        <v>38201</v>
      </c>
      <c r="BH6309" s="1">
        <v>201.21</v>
      </c>
      <c r="BI6309" s="1">
        <v>417000</v>
      </c>
      <c r="BJ6309" s="3">
        <v>42423</v>
      </c>
      <c r="BK6309" t="s">
        <v>123</v>
      </c>
      <c r="BL6309" t="str">
        <f>"2016.112985"</f>
        <v>2016.112985</v>
      </c>
      <c r="BM6309" t="s">
        <v>1154</v>
      </c>
      <c r="BO6309" t="s">
        <v>38202</v>
      </c>
      <c r="BS6309">
        <v>30</v>
      </c>
      <c r="BW6309" t="str">
        <f>""</f>
        <v/>
      </c>
      <c r="CH6309" t="str">
        <f>""</f>
        <v/>
      </c>
      <c r="CS6309" t="str">
        <f>""</f>
        <v/>
      </c>
    </row>
    <row r="6310" spans="1:97" x14ac:dyDescent="0.25">
      <c r="A6310" t="s">
        <v>464</v>
      </c>
      <c r="B6310" t="s">
        <v>4899</v>
      </c>
      <c r="C6310" t="s">
        <v>38203</v>
      </c>
      <c r="D6310" t="s">
        <v>4899</v>
      </c>
      <c r="E6310" t="s">
        <v>38204</v>
      </c>
      <c r="F6310" t="s">
        <v>108</v>
      </c>
      <c r="H6310" t="s">
        <v>38205</v>
      </c>
      <c r="I6310" t="s">
        <v>110</v>
      </c>
      <c r="J6310" t="s">
        <v>111</v>
      </c>
      <c r="K6310" t="str">
        <f>"85286"</f>
        <v>85286</v>
      </c>
      <c r="L6310" t="s">
        <v>5429</v>
      </c>
      <c r="M6310" t="s">
        <v>38205</v>
      </c>
      <c r="N6310" t="s">
        <v>110</v>
      </c>
      <c r="O6310" t="s">
        <v>111</v>
      </c>
      <c r="P6310" t="str">
        <f>"85286"</f>
        <v>85286</v>
      </c>
      <c r="Q6310" t="s">
        <v>113</v>
      </c>
      <c r="R6310" t="str">
        <f>"303-26-737"</f>
        <v>303-26-737</v>
      </c>
      <c r="S6310" t="s">
        <v>6014</v>
      </c>
      <c r="T6310" t="s">
        <v>6014</v>
      </c>
      <c r="U6310">
        <v>2279</v>
      </c>
      <c r="V6310">
        <v>0</v>
      </c>
      <c r="W6310">
        <v>3</v>
      </c>
      <c r="X6310">
        <v>1995</v>
      </c>
      <c r="Z6310">
        <v>1</v>
      </c>
      <c r="AA6310" t="s">
        <v>26</v>
      </c>
      <c r="AB6310">
        <v>0</v>
      </c>
      <c r="AC6310" t="s">
        <v>115</v>
      </c>
      <c r="AD6310">
        <v>3</v>
      </c>
      <c r="AE6310" t="s">
        <v>115</v>
      </c>
      <c r="AF6310">
        <v>0</v>
      </c>
      <c r="AG6310">
        <v>0</v>
      </c>
      <c r="AH6310" t="s">
        <v>116</v>
      </c>
      <c r="AI6310" s="1">
        <v>24513</v>
      </c>
      <c r="AJ6310" s="2">
        <v>0.08</v>
      </c>
      <c r="AK6310" s="1">
        <v>313379</v>
      </c>
      <c r="AL6310" t="s">
        <v>117</v>
      </c>
      <c r="AM6310" t="s">
        <v>118</v>
      </c>
      <c r="AN6310">
        <v>12127</v>
      </c>
      <c r="AO6310">
        <v>0.28000000000000003</v>
      </c>
      <c r="AP6310">
        <v>1</v>
      </c>
      <c r="AR6310">
        <v>1</v>
      </c>
      <c r="AS6310" s="1">
        <v>30010</v>
      </c>
      <c r="AT6310" s="1">
        <v>6000</v>
      </c>
      <c r="AU6310" s="1">
        <v>24010</v>
      </c>
      <c r="AV6310">
        <v>80.010000000000005</v>
      </c>
      <c r="AX6310" s="1">
        <v>2452.06</v>
      </c>
      <c r="AY6310" t="s">
        <v>6015</v>
      </c>
      <c r="AZ6310" t="s">
        <v>1882</v>
      </c>
      <c r="BA6310" t="s">
        <v>121</v>
      </c>
      <c r="BE6310" s="3">
        <v>42277</v>
      </c>
      <c r="BF6310" s="1">
        <v>317000</v>
      </c>
      <c r="BG6310" t="s">
        <v>5034</v>
      </c>
      <c r="BH6310" s="1">
        <v>139.1</v>
      </c>
      <c r="BI6310" s="1">
        <v>288866</v>
      </c>
      <c r="BJ6310" s="3">
        <v>42277</v>
      </c>
      <c r="BK6310" t="s">
        <v>123</v>
      </c>
      <c r="BL6310" t="str">
        <f>"2015.705653"</f>
        <v>2015.705653</v>
      </c>
      <c r="BM6310" t="s">
        <v>573</v>
      </c>
      <c r="BO6310" t="s">
        <v>38206</v>
      </c>
      <c r="BP6310" t="s">
        <v>38207</v>
      </c>
      <c r="BS6310">
        <v>15</v>
      </c>
      <c r="BW6310" t="str">
        <f>""</f>
        <v/>
      </c>
      <c r="CH6310" t="str">
        <f>""</f>
        <v/>
      </c>
      <c r="CS6310" t="str">
        <f>""</f>
        <v/>
      </c>
    </row>
    <row r="6311" spans="1:97" x14ac:dyDescent="0.25">
      <c r="A6311" t="s">
        <v>38208</v>
      </c>
      <c r="B6311" t="s">
        <v>9522</v>
      </c>
      <c r="C6311" t="s">
        <v>894</v>
      </c>
      <c r="D6311" t="s">
        <v>9522</v>
      </c>
      <c r="E6311" t="s">
        <v>38209</v>
      </c>
      <c r="F6311" t="s">
        <v>108</v>
      </c>
      <c r="H6311" t="s">
        <v>38210</v>
      </c>
      <c r="I6311" t="s">
        <v>632</v>
      </c>
      <c r="J6311" t="s">
        <v>111</v>
      </c>
      <c r="K6311" t="str">
        <f>"85388"</f>
        <v>85388</v>
      </c>
      <c r="L6311" t="s">
        <v>7607</v>
      </c>
      <c r="M6311" t="s">
        <v>38210</v>
      </c>
      <c r="N6311" t="s">
        <v>632</v>
      </c>
      <c r="O6311" t="s">
        <v>111</v>
      </c>
      <c r="P6311" t="str">
        <f>"85388-1803"</f>
        <v>85388-1803</v>
      </c>
      <c r="Q6311" t="s">
        <v>113</v>
      </c>
      <c r="R6311" t="str">
        <f>"502-89-326"</f>
        <v>502-89-326</v>
      </c>
      <c r="S6311" t="s">
        <v>7646</v>
      </c>
      <c r="U6311">
        <v>3024</v>
      </c>
      <c r="V6311">
        <v>0</v>
      </c>
      <c r="W6311">
        <v>5</v>
      </c>
      <c r="X6311">
        <v>2014</v>
      </c>
      <c r="Z6311">
        <v>1</v>
      </c>
      <c r="AB6311">
        <v>0</v>
      </c>
      <c r="AC6311" t="s">
        <v>115</v>
      </c>
      <c r="AD6311">
        <v>3</v>
      </c>
      <c r="AE6311" t="s">
        <v>115</v>
      </c>
      <c r="AF6311">
        <v>0</v>
      </c>
      <c r="AG6311">
        <v>0</v>
      </c>
      <c r="AH6311" t="s">
        <v>116</v>
      </c>
      <c r="AI6311" s="1">
        <v>57020</v>
      </c>
      <c r="AJ6311" s="2">
        <v>0.15</v>
      </c>
      <c r="AK6311" s="1">
        <v>391610</v>
      </c>
      <c r="AL6311" t="s">
        <v>117</v>
      </c>
      <c r="AM6311" t="s">
        <v>118</v>
      </c>
      <c r="AN6311">
        <v>10328</v>
      </c>
      <c r="AO6311">
        <v>0.24</v>
      </c>
      <c r="AR6311">
        <v>1</v>
      </c>
      <c r="AS6311" s="1">
        <v>28560</v>
      </c>
      <c r="AT6311" s="1">
        <v>5710</v>
      </c>
      <c r="AU6311" s="1">
        <v>22850</v>
      </c>
      <c r="AV6311">
        <v>80.010000000000005</v>
      </c>
      <c r="AX6311" s="1">
        <v>2338.2399999999998</v>
      </c>
      <c r="AY6311" t="s">
        <v>5168</v>
      </c>
      <c r="AZ6311" t="s">
        <v>5168</v>
      </c>
      <c r="BA6311" t="s">
        <v>5109</v>
      </c>
      <c r="BE6311" s="3">
        <v>42060</v>
      </c>
      <c r="BF6311" s="1">
        <v>334590</v>
      </c>
      <c r="BG6311" t="s">
        <v>275</v>
      </c>
      <c r="BH6311" s="1">
        <v>110.64</v>
      </c>
      <c r="BI6311" s="1">
        <v>334590</v>
      </c>
      <c r="BJ6311" s="3">
        <v>42060</v>
      </c>
      <c r="BK6311" t="s">
        <v>123</v>
      </c>
      <c r="BL6311" t="str">
        <f>"2015.122421"</f>
        <v>2015.122421</v>
      </c>
      <c r="BM6311" t="s">
        <v>651</v>
      </c>
      <c r="BO6311" t="s">
        <v>38211</v>
      </c>
      <c r="BS6311">
        <v>30</v>
      </c>
      <c r="BW6311" t="str">
        <f>""</f>
        <v/>
      </c>
      <c r="CH6311" t="str">
        <f>""</f>
        <v/>
      </c>
      <c r="CS6311" t="str">
        <f>""</f>
        <v/>
      </c>
    </row>
    <row r="6312" spans="1:97" x14ac:dyDescent="0.25">
      <c r="A6312" t="s">
        <v>177</v>
      </c>
      <c r="B6312" t="s">
        <v>5585</v>
      </c>
      <c r="E6312" t="s">
        <v>38212</v>
      </c>
      <c r="F6312" t="s">
        <v>108</v>
      </c>
      <c r="H6312" t="s">
        <v>38213</v>
      </c>
      <c r="I6312" t="s">
        <v>203</v>
      </c>
      <c r="J6312" t="s">
        <v>111</v>
      </c>
      <c r="K6312" t="str">
        <f>"85297"</f>
        <v>85297</v>
      </c>
      <c r="L6312" t="s">
        <v>5893</v>
      </c>
      <c r="M6312" t="s">
        <v>38213</v>
      </c>
      <c r="N6312" t="s">
        <v>203</v>
      </c>
      <c r="O6312" t="s">
        <v>111</v>
      </c>
      <c r="P6312" t="str">
        <f>"85297-9665"</f>
        <v>85297-9665</v>
      </c>
      <c r="Q6312" t="s">
        <v>113</v>
      </c>
      <c r="R6312" t="str">
        <f>"313-01-741"</f>
        <v>313-01-741</v>
      </c>
      <c r="S6312" t="s">
        <v>19697</v>
      </c>
      <c r="T6312" t="s">
        <v>19698</v>
      </c>
      <c r="U6312">
        <v>2984</v>
      </c>
      <c r="V6312">
        <v>0</v>
      </c>
      <c r="W6312">
        <v>4</v>
      </c>
      <c r="X6312">
        <v>2001</v>
      </c>
      <c r="Z6312">
        <v>2</v>
      </c>
      <c r="AA6312" t="s">
        <v>26</v>
      </c>
      <c r="AB6312">
        <v>0</v>
      </c>
      <c r="AC6312" t="s">
        <v>115</v>
      </c>
      <c r="AD6312">
        <v>3</v>
      </c>
      <c r="AE6312" t="s">
        <v>115</v>
      </c>
      <c r="AF6312">
        <v>0</v>
      </c>
      <c r="AG6312">
        <v>0</v>
      </c>
      <c r="AH6312" t="s">
        <v>116</v>
      </c>
      <c r="AI6312" s="1">
        <v>86021</v>
      </c>
      <c r="AJ6312" s="2">
        <v>0.2</v>
      </c>
      <c r="AK6312" s="1">
        <v>426911</v>
      </c>
      <c r="AL6312" t="s">
        <v>117</v>
      </c>
      <c r="AM6312" t="s">
        <v>288</v>
      </c>
      <c r="AN6312">
        <v>9360</v>
      </c>
      <c r="AO6312">
        <v>0.22</v>
      </c>
      <c r="AP6312">
        <v>1</v>
      </c>
      <c r="AR6312">
        <v>1</v>
      </c>
      <c r="AS6312" s="1">
        <v>30770</v>
      </c>
      <c r="AT6312" s="1">
        <v>6150</v>
      </c>
      <c r="AU6312" s="1">
        <v>24620</v>
      </c>
      <c r="AV6312">
        <v>80.010000000000005</v>
      </c>
      <c r="AX6312" s="1">
        <v>2627.22</v>
      </c>
      <c r="AY6312" t="s">
        <v>8338</v>
      </c>
      <c r="AZ6312" t="s">
        <v>8338</v>
      </c>
      <c r="BA6312" t="s">
        <v>290</v>
      </c>
      <c r="BE6312" s="3">
        <v>42202</v>
      </c>
      <c r="BF6312" s="1">
        <v>330000</v>
      </c>
      <c r="BG6312" t="s">
        <v>38214</v>
      </c>
      <c r="BH6312" s="1">
        <v>110.59</v>
      </c>
      <c r="BI6312" s="1">
        <v>340890</v>
      </c>
      <c r="BJ6312" s="3">
        <v>42202</v>
      </c>
      <c r="BK6312" t="s">
        <v>123</v>
      </c>
      <c r="BL6312" t="str">
        <f>"2015.515619"</f>
        <v>2015.515619</v>
      </c>
      <c r="BM6312" t="s">
        <v>544</v>
      </c>
      <c r="BO6312" t="s">
        <v>38215</v>
      </c>
      <c r="BS6312">
        <v>30</v>
      </c>
      <c r="BW6312" t="str">
        <f>""</f>
        <v/>
      </c>
      <c r="CH6312" t="str">
        <f>""</f>
        <v/>
      </c>
      <c r="CS6312" t="str">
        <f>""</f>
        <v/>
      </c>
    </row>
    <row r="6313" spans="1:97" x14ac:dyDescent="0.25">
      <c r="A6313" t="s">
        <v>12368</v>
      </c>
      <c r="B6313" t="s">
        <v>1577</v>
      </c>
      <c r="C6313" t="s">
        <v>976</v>
      </c>
      <c r="D6313" t="s">
        <v>1577</v>
      </c>
      <c r="E6313" t="s">
        <v>38216</v>
      </c>
      <c r="F6313" t="s">
        <v>108</v>
      </c>
      <c r="H6313" t="s">
        <v>38217</v>
      </c>
      <c r="I6313" t="s">
        <v>203</v>
      </c>
      <c r="J6313" t="s">
        <v>111</v>
      </c>
      <c r="K6313" t="str">
        <f>"85234"</f>
        <v>85234</v>
      </c>
      <c r="L6313" t="s">
        <v>6891</v>
      </c>
      <c r="M6313" t="s">
        <v>38217</v>
      </c>
      <c r="N6313" t="s">
        <v>203</v>
      </c>
      <c r="O6313" t="s">
        <v>111</v>
      </c>
      <c r="P6313" t="str">
        <f>"85234-3851"</f>
        <v>85234-3851</v>
      </c>
      <c r="Q6313" t="s">
        <v>113</v>
      </c>
      <c r="R6313" t="str">
        <f>"304-98-036"</f>
        <v>304-98-036</v>
      </c>
      <c r="S6313" t="s">
        <v>38218</v>
      </c>
      <c r="T6313" t="s">
        <v>38219</v>
      </c>
      <c r="U6313">
        <v>2745</v>
      </c>
      <c r="V6313">
        <v>0</v>
      </c>
      <c r="W6313">
        <v>4</v>
      </c>
      <c r="X6313">
        <v>1987</v>
      </c>
      <c r="Z6313">
        <v>2</v>
      </c>
      <c r="AB6313">
        <v>0</v>
      </c>
      <c r="AC6313" t="s">
        <v>115</v>
      </c>
      <c r="AD6313">
        <v>3</v>
      </c>
      <c r="AE6313" t="s">
        <v>115</v>
      </c>
      <c r="AF6313">
        <v>0</v>
      </c>
      <c r="AG6313">
        <v>0</v>
      </c>
      <c r="AH6313" t="s">
        <v>116</v>
      </c>
      <c r="AI6313" s="1">
        <v>83235</v>
      </c>
      <c r="AJ6313" s="2">
        <v>0.2</v>
      </c>
      <c r="AK6313" s="1">
        <v>419235</v>
      </c>
      <c r="AL6313" t="s">
        <v>117</v>
      </c>
      <c r="AM6313" t="s">
        <v>393</v>
      </c>
      <c r="AN6313">
        <v>8485</v>
      </c>
      <c r="AO6313">
        <v>0.2</v>
      </c>
      <c r="AP6313">
        <v>1</v>
      </c>
      <c r="AR6313">
        <v>1</v>
      </c>
      <c r="AS6313" s="1">
        <v>29510</v>
      </c>
      <c r="AT6313" s="1">
        <v>5900</v>
      </c>
      <c r="AU6313" s="1">
        <v>23610</v>
      </c>
      <c r="AV6313">
        <v>80.010000000000005</v>
      </c>
      <c r="AX6313" s="1">
        <v>2299.86</v>
      </c>
      <c r="AY6313" t="s">
        <v>10191</v>
      </c>
      <c r="AZ6313" t="s">
        <v>571</v>
      </c>
      <c r="BA6313" t="s">
        <v>521</v>
      </c>
      <c r="BE6313" s="3">
        <v>42230</v>
      </c>
      <c r="BF6313" s="1">
        <v>336000</v>
      </c>
      <c r="BG6313" t="s">
        <v>5034</v>
      </c>
      <c r="BH6313" s="1">
        <v>122.4</v>
      </c>
      <c r="BI6313" s="1">
        <v>336000</v>
      </c>
      <c r="BJ6313" s="3">
        <v>42230</v>
      </c>
      <c r="BK6313" t="s">
        <v>123</v>
      </c>
      <c r="BL6313" t="str">
        <f>"2015.590330"</f>
        <v>2015.590330</v>
      </c>
      <c r="BM6313" t="s">
        <v>724</v>
      </c>
      <c r="BO6313" t="s">
        <v>38220</v>
      </c>
      <c r="BS6313">
        <v>30</v>
      </c>
      <c r="BW6313" t="str">
        <f>""</f>
        <v/>
      </c>
      <c r="CH6313" t="str">
        <f>""</f>
        <v/>
      </c>
      <c r="CS6313" t="str">
        <f>""</f>
        <v/>
      </c>
    </row>
    <row r="6314" spans="1:97" x14ac:dyDescent="0.25">
      <c r="A6314" t="s">
        <v>38221</v>
      </c>
      <c r="B6314" t="s">
        <v>846</v>
      </c>
      <c r="C6314" t="s">
        <v>1021</v>
      </c>
      <c r="D6314" t="s">
        <v>846</v>
      </c>
      <c r="E6314" t="s">
        <v>38222</v>
      </c>
      <c r="F6314" t="s">
        <v>108</v>
      </c>
      <c r="H6314" t="s">
        <v>38223</v>
      </c>
      <c r="I6314" t="s">
        <v>203</v>
      </c>
      <c r="J6314" t="s">
        <v>111</v>
      </c>
      <c r="K6314" t="str">
        <f>"85233"</f>
        <v>85233</v>
      </c>
      <c r="L6314" t="s">
        <v>3161</v>
      </c>
      <c r="M6314" t="s">
        <v>38223</v>
      </c>
      <c r="N6314" t="s">
        <v>203</v>
      </c>
      <c r="O6314" t="s">
        <v>111</v>
      </c>
      <c r="P6314" t="str">
        <f>"85233-8276"</f>
        <v>85233-8276</v>
      </c>
      <c r="Q6314" t="s">
        <v>113</v>
      </c>
      <c r="R6314" t="str">
        <f>"302-82-578"</f>
        <v>302-82-578</v>
      </c>
      <c r="S6314" t="s">
        <v>38224</v>
      </c>
      <c r="T6314" t="s">
        <v>7045</v>
      </c>
      <c r="U6314">
        <v>2374</v>
      </c>
      <c r="V6314">
        <v>0</v>
      </c>
      <c r="W6314">
        <v>3</v>
      </c>
      <c r="X6314">
        <v>1995</v>
      </c>
      <c r="Z6314">
        <v>1</v>
      </c>
      <c r="AB6314">
        <v>0</v>
      </c>
      <c r="AC6314" t="s">
        <v>115</v>
      </c>
      <c r="AD6314">
        <v>3</v>
      </c>
      <c r="AE6314" t="s">
        <v>115</v>
      </c>
      <c r="AF6314">
        <v>0</v>
      </c>
      <c r="AG6314">
        <v>0</v>
      </c>
      <c r="AH6314" t="s">
        <v>116</v>
      </c>
      <c r="AI6314" s="1">
        <v>75474</v>
      </c>
      <c r="AJ6314" s="2">
        <v>0.19</v>
      </c>
      <c r="AK6314" s="1">
        <v>404961</v>
      </c>
      <c r="AL6314" t="s">
        <v>117</v>
      </c>
      <c r="AM6314" t="s">
        <v>393</v>
      </c>
      <c r="AN6314">
        <v>12258</v>
      </c>
      <c r="AO6314">
        <v>0.28000000000000003</v>
      </c>
      <c r="AP6314">
        <v>1</v>
      </c>
      <c r="AR6314">
        <v>1</v>
      </c>
      <c r="AS6314" s="1">
        <v>28980</v>
      </c>
      <c r="AT6314" s="1">
        <v>5790</v>
      </c>
      <c r="AU6314" s="1">
        <v>23190</v>
      </c>
      <c r="AV6314">
        <v>80.02</v>
      </c>
      <c r="AX6314" s="1">
        <v>2231.42</v>
      </c>
      <c r="AY6314" t="s">
        <v>7046</v>
      </c>
      <c r="AZ6314" t="s">
        <v>207</v>
      </c>
      <c r="BA6314" t="s">
        <v>5479</v>
      </c>
      <c r="BE6314" s="3">
        <v>42222</v>
      </c>
      <c r="BF6314" s="1">
        <v>325000</v>
      </c>
      <c r="BG6314" t="s">
        <v>38225</v>
      </c>
      <c r="BH6314" s="1">
        <v>136.9</v>
      </c>
      <c r="BI6314" s="1">
        <v>329487</v>
      </c>
      <c r="BJ6314" s="3">
        <v>42466</v>
      </c>
      <c r="BK6314" t="s">
        <v>123</v>
      </c>
      <c r="BL6314" t="str">
        <f>"2016.225500"</f>
        <v>2016.225500</v>
      </c>
      <c r="BM6314" t="s">
        <v>492</v>
      </c>
      <c r="BO6314" t="s">
        <v>38226</v>
      </c>
      <c r="BS6314">
        <v>30</v>
      </c>
      <c r="BW6314" t="str">
        <f>""</f>
        <v/>
      </c>
      <c r="CH6314" t="str">
        <f>""</f>
        <v/>
      </c>
      <c r="CS6314" t="str">
        <f>""</f>
        <v/>
      </c>
    </row>
    <row r="6315" spans="1:97" x14ac:dyDescent="0.25">
      <c r="A6315" t="s">
        <v>489</v>
      </c>
      <c r="B6315" t="s">
        <v>38227</v>
      </c>
      <c r="C6315" t="s">
        <v>3089</v>
      </c>
      <c r="D6315" t="s">
        <v>38227</v>
      </c>
      <c r="E6315" t="s">
        <v>38228</v>
      </c>
      <c r="F6315" t="s">
        <v>108</v>
      </c>
      <c r="H6315" t="s">
        <v>38229</v>
      </c>
      <c r="I6315" t="s">
        <v>188</v>
      </c>
      <c r="J6315" t="s">
        <v>111</v>
      </c>
      <c r="K6315" t="str">
        <f>"85142"</f>
        <v>85142</v>
      </c>
      <c r="L6315" t="s">
        <v>11339</v>
      </c>
      <c r="M6315" t="s">
        <v>38229</v>
      </c>
      <c r="N6315" t="s">
        <v>188</v>
      </c>
      <c r="O6315" t="s">
        <v>111</v>
      </c>
      <c r="P6315" t="str">
        <f>"85142-5479"</f>
        <v>85142-5479</v>
      </c>
      <c r="Q6315" t="s">
        <v>113</v>
      </c>
      <c r="R6315" t="str">
        <f>"304-62-558"</f>
        <v>304-62-558</v>
      </c>
      <c r="S6315" t="s">
        <v>15775</v>
      </c>
      <c r="T6315" t="s">
        <v>15775</v>
      </c>
      <c r="U6315">
        <v>2920</v>
      </c>
      <c r="V6315">
        <v>0</v>
      </c>
      <c r="W6315">
        <v>4</v>
      </c>
      <c r="X6315">
        <v>2014</v>
      </c>
      <c r="Z6315">
        <v>1</v>
      </c>
      <c r="AB6315">
        <v>0</v>
      </c>
      <c r="AC6315" t="s">
        <v>115</v>
      </c>
      <c r="AD6315">
        <v>3</v>
      </c>
      <c r="AE6315" t="s">
        <v>115</v>
      </c>
      <c r="AF6315">
        <v>0</v>
      </c>
      <c r="AG6315">
        <v>0</v>
      </c>
      <c r="AH6315" t="s">
        <v>116</v>
      </c>
      <c r="AI6315" s="1">
        <v>78625</v>
      </c>
      <c r="AJ6315" s="2">
        <v>0.18</v>
      </c>
      <c r="AK6315" s="1">
        <v>443995</v>
      </c>
      <c r="AL6315" t="s">
        <v>117</v>
      </c>
      <c r="AM6315" t="s">
        <v>171</v>
      </c>
      <c r="AN6315">
        <v>11400</v>
      </c>
      <c r="AO6315">
        <v>0.26</v>
      </c>
      <c r="AR6315">
        <v>1</v>
      </c>
      <c r="AS6315" s="1">
        <v>32930</v>
      </c>
      <c r="AT6315" s="1">
        <v>6580</v>
      </c>
      <c r="AU6315" s="1">
        <v>26350</v>
      </c>
      <c r="AV6315">
        <v>80.02</v>
      </c>
      <c r="AX6315" s="1">
        <v>3365.02</v>
      </c>
      <c r="AY6315" t="s">
        <v>560</v>
      </c>
      <c r="AZ6315" t="s">
        <v>561</v>
      </c>
      <c r="BA6315" t="s">
        <v>194</v>
      </c>
      <c r="BE6315" s="3">
        <v>41816</v>
      </c>
      <c r="BF6315" s="1">
        <v>360039</v>
      </c>
      <c r="BG6315" t="s">
        <v>15776</v>
      </c>
      <c r="BH6315" s="1">
        <v>123.3</v>
      </c>
      <c r="BI6315" s="1">
        <v>365370</v>
      </c>
      <c r="BJ6315" s="3">
        <v>42465</v>
      </c>
      <c r="BK6315" t="s">
        <v>123</v>
      </c>
      <c r="BL6315" t="str">
        <f>"2016.221578"</f>
        <v>2016.221578</v>
      </c>
      <c r="BM6315" t="s">
        <v>903</v>
      </c>
      <c r="BO6315" t="s">
        <v>38230</v>
      </c>
      <c r="BS6315">
        <v>30</v>
      </c>
      <c r="BW6315" t="str">
        <f>""</f>
        <v/>
      </c>
      <c r="CH6315" t="str">
        <f>""</f>
        <v/>
      </c>
      <c r="CS6315" t="str">
        <f>""</f>
        <v/>
      </c>
    </row>
    <row r="6316" spans="1:97" x14ac:dyDescent="0.25">
      <c r="B6316" t="s">
        <v>38231</v>
      </c>
      <c r="C6316" t="s">
        <v>38232</v>
      </c>
      <c r="E6316" t="s">
        <v>38233</v>
      </c>
      <c r="F6316" t="s">
        <v>108</v>
      </c>
      <c r="H6316" t="s">
        <v>38234</v>
      </c>
      <c r="I6316" t="s">
        <v>390</v>
      </c>
      <c r="J6316" t="s">
        <v>111</v>
      </c>
      <c r="K6316" t="str">
        <f>"85083"</f>
        <v>85083</v>
      </c>
      <c r="L6316" t="s">
        <v>4467</v>
      </c>
      <c r="M6316" t="s">
        <v>38234</v>
      </c>
      <c r="N6316" t="s">
        <v>390</v>
      </c>
      <c r="O6316" t="s">
        <v>111</v>
      </c>
      <c r="P6316" t="str">
        <f>"85083-6509"</f>
        <v>85083-6509</v>
      </c>
      <c r="Q6316" t="s">
        <v>113</v>
      </c>
      <c r="R6316" t="str">
        <f>"201-07-021"</f>
        <v>201-07-021</v>
      </c>
      <c r="S6316" t="s">
        <v>17920</v>
      </c>
      <c r="T6316" t="s">
        <v>17920</v>
      </c>
      <c r="U6316">
        <v>1845</v>
      </c>
      <c r="V6316">
        <v>0</v>
      </c>
      <c r="W6316">
        <v>3</v>
      </c>
      <c r="X6316">
        <v>2002</v>
      </c>
      <c r="Z6316">
        <v>1</v>
      </c>
      <c r="AB6316">
        <v>0</v>
      </c>
      <c r="AC6316" t="s">
        <v>115</v>
      </c>
      <c r="AD6316">
        <v>3</v>
      </c>
      <c r="AE6316" t="s">
        <v>115</v>
      </c>
      <c r="AF6316">
        <v>0</v>
      </c>
      <c r="AG6316">
        <v>0</v>
      </c>
      <c r="AH6316" t="s">
        <v>116</v>
      </c>
      <c r="AI6316" s="1">
        <v>78611</v>
      </c>
      <c r="AJ6316" s="2">
        <v>0.25</v>
      </c>
      <c r="AK6316" s="1">
        <v>311580</v>
      </c>
      <c r="AL6316" t="s">
        <v>117</v>
      </c>
      <c r="AM6316" t="s">
        <v>171</v>
      </c>
      <c r="AN6316">
        <v>6176</v>
      </c>
      <c r="AO6316">
        <v>0.14000000000000001</v>
      </c>
      <c r="AP6316">
        <v>1</v>
      </c>
      <c r="AR6316">
        <v>1</v>
      </c>
      <c r="AS6316" s="1">
        <v>22380</v>
      </c>
      <c r="AT6316" s="1">
        <v>4470</v>
      </c>
      <c r="AU6316" s="1">
        <v>17910</v>
      </c>
      <c r="AV6316">
        <v>80.03</v>
      </c>
      <c r="AX6316" s="1">
        <v>1913.4</v>
      </c>
      <c r="AY6316" t="s">
        <v>1385</v>
      </c>
      <c r="AZ6316" t="s">
        <v>1385</v>
      </c>
      <c r="BA6316" t="s">
        <v>1386</v>
      </c>
      <c r="BB6316" s="3">
        <v>43629</v>
      </c>
      <c r="BC6316" s="1">
        <v>0</v>
      </c>
      <c r="BD6316" t="s">
        <v>247</v>
      </c>
      <c r="BE6316" s="3">
        <v>41688</v>
      </c>
      <c r="BF6316" s="1">
        <v>225000</v>
      </c>
      <c r="BG6316" t="s">
        <v>38235</v>
      </c>
      <c r="BH6316" s="1">
        <v>121.95</v>
      </c>
      <c r="BI6316" s="1">
        <v>232969</v>
      </c>
      <c r="BJ6316" s="3">
        <v>41963</v>
      </c>
      <c r="BK6316" t="s">
        <v>123</v>
      </c>
      <c r="BL6316" t="str">
        <f>"2014.769431"</f>
        <v>2014.769431</v>
      </c>
      <c r="BM6316" t="s">
        <v>9928</v>
      </c>
      <c r="BN6316" t="s">
        <v>9929</v>
      </c>
      <c r="BO6316" t="s">
        <v>38236</v>
      </c>
      <c r="BS6316">
        <v>30</v>
      </c>
      <c r="BW6316" t="str">
        <f>""</f>
        <v/>
      </c>
      <c r="CH6316" t="str">
        <f>""</f>
        <v/>
      </c>
      <c r="CS6316" t="str">
        <f>""</f>
        <v/>
      </c>
    </row>
    <row r="6317" spans="1:97" x14ac:dyDescent="0.25">
      <c r="A6317" t="s">
        <v>38237</v>
      </c>
      <c r="B6317" t="s">
        <v>364</v>
      </c>
      <c r="C6317" t="s">
        <v>8332</v>
      </c>
      <c r="D6317" t="s">
        <v>364</v>
      </c>
      <c r="E6317" t="s">
        <v>38238</v>
      </c>
      <c r="F6317" t="s">
        <v>108</v>
      </c>
      <c r="H6317" t="s">
        <v>38239</v>
      </c>
      <c r="I6317" t="s">
        <v>632</v>
      </c>
      <c r="J6317" t="s">
        <v>111</v>
      </c>
      <c r="K6317" t="str">
        <f>"85387"</f>
        <v>85387</v>
      </c>
      <c r="L6317" t="s">
        <v>6529</v>
      </c>
      <c r="M6317" t="s">
        <v>38239</v>
      </c>
      <c r="N6317" t="s">
        <v>632</v>
      </c>
      <c r="O6317" t="s">
        <v>111</v>
      </c>
      <c r="P6317" t="str">
        <f>"85387-1094"</f>
        <v>85387-1094</v>
      </c>
      <c r="Q6317" t="s">
        <v>113</v>
      </c>
      <c r="R6317" t="str">
        <f>"510-04-904"</f>
        <v>510-04-904</v>
      </c>
      <c r="S6317" t="s">
        <v>8907</v>
      </c>
      <c r="T6317" t="s">
        <v>5498</v>
      </c>
      <c r="U6317">
        <v>2885</v>
      </c>
      <c r="V6317">
        <v>0</v>
      </c>
      <c r="W6317">
        <v>4</v>
      </c>
      <c r="X6317">
        <v>2016</v>
      </c>
      <c r="Z6317">
        <v>2</v>
      </c>
      <c r="AA6317" t="s">
        <v>26</v>
      </c>
      <c r="AB6317">
        <v>0</v>
      </c>
      <c r="AC6317" t="s">
        <v>115</v>
      </c>
      <c r="AD6317">
        <v>2</v>
      </c>
      <c r="AE6317" t="s">
        <v>115</v>
      </c>
      <c r="AF6317">
        <v>0</v>
      </c>
      <c r="AG6317">
        <v>0</v>
      </c>
      <c r="AH6317" t="s">
        <v>116</v>
      </c>
      <c r="AI6317" s="1">
        <v>97225</v>
      </c>
      <c r="AJ6317" s="2">
        <v>0.27</v>
      </c>
      <c r="AK6317" s="1">
        <v>364875</v>
      </c>
      <c r="AL6317" t="s">
        <v>117</v>
      </c>
      <c r="AM6317" t="s">
        <v>118</v>
      </c>
      <c r="AN6317">
        <v>9507</v>
      </c>
      <c r="AO6317">
        <v>0.22</v>
      </c>
      <c r="AR6317">
        <v>1</v>
      </c>
      <c r="AS6317" s="1">
        <v>27620</v>
      </c>
      <c r="AT6317" s="1">
        <v>5520</v>
      </c>
      <c r="AU6317" s="1">
        <v>22100</v>
      </c>
      <c r="AV6317">
        <v>80.010000000000005</v>
      </c>
      <c r="AX6317" s="1">
        <v>1501.42</v>
      </c>
      <c r="AY6317" t="s">
        <v>5499</v>
      </c>
      <c r="AZ6317" t="s">
        <v>5499</v>
      </c>
      <c r="BE6317" s="3">
        <v>42551</v>
      </c>
      <c r="BF6317" s="1">
        <v>295000</v>
      </c>
      <c r="BG6317" t="s">
        <v>6320</v>
      </c>
      <c r="BH6317" s="1">
        <v>102.25</v>
      </c>
      <c r="BI6317" s="1">
        <v>267650</v>
      </c>
      <c r="BJ6317" s="3">
        <v>42720</v>
      </c>
      <c r="BK6317" t="s">
        <v>123</v>
      </c>
      <c r="BL6317" t="str">
        <f>"2016.928360"</f>
        <v>2016.928360</v>
      </c>
      <c r="BM6317" t="s">
        <v>369</v>
      </c>
      <c r="BO6317" t="s">
        <v>38240</v>
      </c>
      <c r="BS6317">
        <v>30</v>
      </c>
      <c r="BW6317" t="str">
        <f>""</f>
        <v/>
      </c>
      <c r="CH6317" t="str">
        <f>""</f>
        <v/>
      </c>
      <c r="CS6317" t="str">
        <f>""</f>
        <v/>
      </c>
    </row>
    <row r="6318" spans="1:97" x14ac:dyDescent="0.25">
      <c r="A6318" t="s">
        <v>20339</v>
      </c>
      <c r="B6318" t="s">
        <v>38241</v>
      </c>
      <c r="C6318" t="s">
        <v>34961</v>
      </c>
      <c r="D6318" t="s">
        <v>38241</v>
      </c>
      <c r="E6318" t="s">
        <v>38242</v>
      </c>
      <c r="F6318" t="s">
        <v>108</v>
      </c>
      <c r="H6318" t="s">
        <v>38243</v>
      </c>
      <c r="I6318" t="s">
        <v>390</v>
      </c>
      <c r="J6318" t="s">
        <v>111</v>
      </c>
      <c r="K6318" t="str">
        <f>"85041"</f>
        <v>85041</v>
      </c>
      <c r="L6318" t="s">
        <v>226</v>
      </c>
      <c r="M6318" t="s">
        <v>38243</v>
      </c>
      <c r="N6318" t="s">
        <v>390</v>
      </c>
      <c r="O6318" t="s">
        <v>111</v>
      </c>
      <c r="P6318" t="str">
        <f>"85041-9551"</f>
        <v>85041-9551</v>
      </c>
      <c r="Q6318" t="s">
        <v>113</v>
      </c>
      <c r="R6318" t="str">
        <f>"300-16-314"</f>
        <v>300-16-314</v>
      </c>
      <c r="S6318" t="s">
        <v>38244</v>
      </c>
      <c r="T6318" t="s">
        <v>38245</v>
      </c>
      <c r="U6318">
        <v>1962</v>
      </c>
      <c r="V6318">
        <v>0</v>
      </c>
      <c r="W6318">
        <v>3</v>
      </c>
      <c r="X6318">
        <v>2010</v>
      </c>
      <c r="Z6318">
        <v>1</v>
      </c>
      <c r="AB6318">
        <v>0</v>
      </c>
      <c r="AC6318" t="s">
        <v>115</v>
      </c>
      <c r="AD6318">
        <v>2</v>
      </c>
      <c r="AE6318" t="s">
        <v>115</v>
      </c>
      <c r="AF6318">
        <v>0</v>
      </c>
      <c r="AG6318">
        <v>0</v>
      </c>
      <c r="AH6318" t="s">
        <v>116</v>
      </c>
      <c r="AI6318" s="1">
        <v>72297</v>
      </c>
      <c r="AJ6318" s="2">
        <v>0.22</v>
      </c>
      <c r="AK6318" s="1">
        <v>322555</v>
      </c>
      <c r="AL6318" t="s">
        <v>117</v>
      </c>
      <c r="AM6318" t="s">
        <v>1302</v>
      </c>
      <c r="AN6318">
        <v>8326</v>
      </c>
      <c r="AO6318">
        <v>0.19</v>
      </c>
      <c r="AR6318">
        <v>1</v>
      </c>
      <c r="AS6318" s="1">
        <v>22170</v>
      </c>
      <c r="AT6318" s="1">
        <v>4430</v>
      </c>
      <c r="AU6318" s="1">
        <v>17740</v>
      </c>
      <c r="AV6318">
        <v>80.02</v>
      </c>
      <c r="AX6318" s="1">
        <v>2932.64</v>
      </c>
      <c r="AY6318" t="s">
        <v>7015</v>
      </c>
      <c r="AZ6318" t="s">
        <v>7015</v>
      </c>
      <c r="BA6318" t="s">
        <v>1661</v>
      </c>
      <c r="BE6318" s="3">
        <v>42115</v>
      </c>
      <c r="BF6318" s="1">
        <v>245000</v>
      </c>
      <c r="BG6318" t="s">
        <v>38246</v>
      </c>
      <c r="BH6318" s="1">
        <v>124.87</v>
      </c>
      <c r="BI6318" s="1">
        <v>250258</v>
      </c>
      <c r="BJ6318" s="3">
        <v>42636</v>
      </c>
      <c r="BK6318" t="s">
        <v>123</v>
      </c>
      <c r="BL6318" t="str">
        <f>"2016.695997"</f>
        <v>2016.695997</v>
      </c>
      <c r="BM6318" t="s">
        <v>5867</v>
      </c>
      <c r="BO6318" t="s">
        <v>38247</v>
      </c>
      <c r="BP6318" t="s">
        <v>38248</v>
      </c>
      <c r="BS6318">
        <v>30</v>
      </c>
      <c r="BW6318" t="str">
        <f>""</f>
        <v/>
      </c>
      <c r="CH6318" t="str">
        <f>""</f>
        <v/>
      </c>
      <c r="CS6318" t="str">
        <f>""</f>
        <v/>
      </c>
    </row>
    <row r="6319" spans="1:97" x14ac:dyDescent="0.25">
      <c r="A6319" t="s">
        <v>7797</v>
      </c>
      <c r="B6319" t="s">
        <v>10086</v>
      </c>
      <c r="C6319" t="s">
        <v>976</v>
      </c>
      <c r="D6319" t="s">
        <v>10086</v>
      </c>
      <c r="E6319" t="s">
        <v>38249</v>
      </c>
      <c r="F6319" t="s">
        <v>108</v>
      </c>
      <c r="H6319" t="s">
        <v>38250</v>
      </c>
      <c r="I6319" t="s">
        <v>390</v>
      </c>
      <c r="J6319" t="s">
        <v>111</v>
      </c>
      <c r="K6319" t="str">
        <f>"85016"</f>
        <v>85016</v>
      </c>
      <c r="L6319" t="s">
        <v>9764</v>
      </c>
      <c r="M6319" t="s">
        <v>38250</v>
      </c>
      <c r="N6319" t="s">
        <v>390</v>
      </c>
      <c r="O6319" t="s">
        <v>111</v>
      </c>
      <c r="P6319" t="str">
        <f>"85016-3128"</f>
        <v>85016-3128</v>
      </c>
      <c r="Q6319" t="s">
        <v>113</v>
      </c>
      <c r="R6319" t="str">
        <f>"164-47-006"</f>
        <v>164-47-006</v>
      </c>
      <c r="S6319" t="s">
        <v>38251</v>
      </c>
      <c r="T6319" t="s">
        <v>38251</v>
      </c>
      <c r="U6319">
        <v>2635</v>
      </c>
      <c r="V6319">
        <v>0</v>
      </c>
      <c r="W6319">
        <v>3</v>
      </c>
      <c r="X6319">
        <v>1957</v>
      </c>
      <c r="Z6319">
        <v>1</v>
      </c>
      <c r="AA6319" t="s">
        <v>26</v>
      </c>
      <c r="AB6319">
        <v>0</v>
      </c>
      <c r="AC6319" t="s">
        <v>5188</v>
      </c>
      <c r="AD6319">
        <v>2</v>
      </c>
      <c r="AE6319" t="s">
        <v>5188</v>
      </c>
      <c r="AF6319">
        <v>0</v>
      </c>
      <c r="AG6319">
        <v>0</v>
      </c>
      <c r="AH6319" t="s">
        <v>116</v>
      </c>
      <c r="AI6319" s="1">
        <v>220662</v>
      </c>
      <c r="AJ6319" s="2">
        <v>0.35</v>
      </c>
      <c r="AK6319" s="1">
        <v>627938</v>
      </c>
      <c r="AL6319" t="s">
        <v>117</v>
      </c>
      <c r="AM6319" t="s">
        <v>1302</v>
      </c>
      <c r="AN6319">
        <v>11491</v>
      </c>
      <c r="AO6319">
        <v>0.26</v>
      </c>
      <c r="AP6319">
        <v>1</v>
      </c>
      <c r="AR6319">
        <v>1</v>
      </c>
      <c r="AS6319" s="1">
        <v>48670</v>
      </c>
      <c r="AT6319" s="1">
        <v>9730</v>
      </c>
      <c r="AU6319" s="1">
        <v>38940</v>
      </c>
      <c r="AV6319">
        <v>80.010000000000005</v>
      </c>
      <c r="AX6319" s="1">
        <v>5441.76</v>
      </c>
      <c r="AY6319" t="s">
        <v>6998</v>
      </c>
      <c r="AZ6319" t="s">
        <v>6254</v>
      </c>
      <c r="BA6319" t="s">
        <v>6255</v>
      </c>
      <c r="BE6319" s="3">
        <v>41771</v>
      </c>
      <c r="BF6319" s="1">
        <v>407500</v>
      </c>
      <c r="BG6319" t="s">
        <v>38252</v>
      </c>
      <c r="BH6319" s="1">
        <v>154.65</v>
      </c>
      <c r="BI6319" s="1">
        <v>407276</v>
      </c>
      <c r="BJ6319" s="3">
        <v>42279</v>
      </c>
      <c r="BK6319" t="s">
        <v>123</v>
      </c>
      <c r="BL6319" t="str">
        <f>"2015.712172"</f>
        <v>2015.712172</v>
      </c>
      <c r="BM6319" t="s">
        <v>361</v>
      </c>
      <c r="BO6319" t="s">
        <v>38253</v>
      </c>
      <c r="BS6319">
        <v>30</v>
      </c>
      <c r="BW6319" t="str">
        <f>""</f>
        <v/>
      </c>
      <c r="CH6319" t="str">
        <f>""</f>
        <v/>
      </c>
      <c r="CS6319" t="str">
        <f>""</f>
        <v/>
      </c>
    </row>
    <row r="6320" spans="1:97" x14ac:dyDescent="0.25">
      <c r="A6320" t="s">
        <v>3958</v>
      </c>
      <c r="B6320" t="s">
        <v>38254</v>
      </c>
      <c r="C6320" t="s">
        <v>38255</v>
      </c>
      <c r="D6320" t="s">
        <v>38254</v>
      </c>
      <c r="E6320" t="s">
        <v>38256</v>
      </c>
      <c r="F6320" t="s">
        <v>108</v>
      </c>
      <c r="H6320" t="s">
        <v>38257</v>
      </c>
      <c r="I6320" t="s">
        <v>203</v>
      </c>
      <c r="J6320" t="s">
        <v>111</v>
      </c>
      <c r="K6320" t="str">
        <f>"85234"</f>
        <v>85234</v>
      </c>
      <c r="L6320" t="s">
        <v>3108</v>
      </c>
      <c r="M6320" t="s">
        <v>38257</v>
      </c>
      <c r="N6320" t="s">
        <v>203</v>
      </c>
      <c r="O6320" t="s">
        <v>111</v>
      </c>
      <c r="P6320" t="str">
        <f>"85234"</f>
        <v>85234</v>
      </c>
      <c r="Q6320" t="s">
        <v>113</v>
      </c>
      <c r="R6320" t="str">
        <f>"309-05-108"</f>
        <v>309-05-108</v>
      </c>
      <c r="S6320" t="s">
        <v>9196</v>
      </c>
      <c r="T6320" t="s">
        <v>9197</v>
      </c>
      <c r="U6320">
        <v>3275</v>
      </c>
      <c r="V6320">
        <v>0</v>
      </c>
      <c r="W6320">
        <v>4</v>
      </c>
      <c r="X6320">
        <v>1995</v>
      </c>
      <c r="Z6320">
        <v>2</v>
      </c>
      <c r="AA6320" t="s">
        <v>26</v>
      </c>
      <c r="AB6320">
        <v>0</v>
      </c>
      <c r="AC6320" t="s">
        <v>115</v>
      </c>
      <c r="AD6320">
        <v>3</v>
      </c>
      <c r="AE6320" t="s">
        <v>115</v>
      </c>
      <c r="AF6320">
        <v>0</v>
      </c>
      <c r="AG6320">
        <v>0</v>
      </c>
      <c r="AH6320" t="s">
        <v>116</v>
      </c>
      <c r="AI6320" s="1">
        <v>68222</v>
      </c>
      <c r="AJ6320" s="2">
        <v>0.15</v>
      </c>
      <c r="AK6320" s="1">
        <v>443112</v>
      </c>
      <c r="AL6320" t="s">
        <v>117</v>
      </c>
      <c r="AM6320" t="s">
        <v>393</v>
      </c>
      <c r="AN6320">
        <v>10337</v>
      </c>
      <c r="AO6320">
        <v>0.24</v>
      </c>
      <c r="AP6320">
        <v>1</v>
      </c>
      <c r="AR6320">
        <v>1</v>
      </c>
      <c r="AS6320" s="1">
        <v>32250</v>
      </c>
      <c r="AT6320" s="1">
        <v>6450</v>
      </c>
      <c r="AU6320" s="1">
        <v>25800</v>
      </c>
      <c r="AV6320">
        <v>80</v>
      </c>
      <c r="AX6320" s="1">
        <v>2405.84</v>
      </c>
      <c r="AY6320" t="s">
        <v>7213</v>
      </c>
      <c r="AZ6320" t="s">
        <v>571</v>
      </c>
      <c r="BA6320" t="s">
        <v>521</v>
      </c>
      <c r="BE6320" s="3">
        <v>42144</v>
      </c>
      <c r="BF6320" s="1">
        <v>367000</v>
      </c>
      <c r="BG6320" t="s">
        <v>38258</v>
      </c>
      <c r="BH6320" s="1">
        <v>112.06</v>
      </c>
      <c r="BI6320" s="1">
        <v>374890</v>
      </c>
      <c r="BJ6320" s="3">
        <v>42144</v>
      </c>
      <c r="BK6320" t="s">
        <v>123</v>
      </c>
      <c r="BL6320" t="str">
        <f>"2015.355934"</f>
        <v>2015.355934</v>
      </c>
      <c r="BM6320" t="s">
        <v>3810</v>
      </c>
      <c r="BO6320" t="s">
        <v>38259</v>
      </c>
      <c r="BS6320">
        <v>30</v>
      </c>
      <c r="BW6320" t="str">
        <f>""</f>
        <v/>
      </c>
      <c r="CH6320" t="str">
        <f>""</f>
        <v/>
      </c>
      <c r="CS6320" t="str">
        <f>""</f>
        <v/>
      </c>
    </row>
    <row r="6321" spans="1:97" x14ac:dyDescent="0.25">
      <c r="A6321" t="s">
        <v>7969</v>
      </c>
      <c r="B6321" t="s">
        <v>38260</v>
      </c>
      <c r="E6321" t="s">
        <v>38261</v>
      </c>
      <c r="F6321" t="s">
        <v>108</v>
      </c>
      <c r="H6321" t="s">
        <v>38262</v>
      </c>
      <c r="I6321" t="s">
        <v>203</v>
      </c>
      <c r="J6321" t="s">
        <v>111</v>
      </c>
      <c r="K6321" t="str">
        <f>"85297"</f>
        <v>85297</v>
      </c>
      <c r="L6321" t="s">
        <v>7339</v>
      </c>
      <c r="M6321" t="s">
        <v>38262</v>
      </c>
      <c r="N6321" t="s">
        <v>203</v>
      </c>
      <c r="O6321" t="s">
        <v>111</v>
      </c>
      <c r="P6321" t="str">
        <f>"85297-7852"</f>
        <v>85297-7852</v>
      </c>
      <c r="Q6321" t="s">
        <v>113</v>
      </c>
      <c r="R6321" t="str">
        <f>"309-24-457"</f>
        <v>309-24-457</v>
      </c>
      <c r="S6321" t="s">
        <v>38263</v>
      </c>
      <c r="U6321">
        <v>2136</v>
      </c>
      <c r="V6321">
        <v>0</v>
      </c>
      <c r="W6321">
        <v>3</v>
      </c>
      <c r="X6321">
        <v>2001</v>
      </c>
      <c r="Z6321">
        <v>1</v>
      </c>
      <c r="AA6321" t="s">
        <v>26</v>
      </c>
      <c r="AB6321">
        <v>0</v>
      </c>
      <c r="AC6321" t="s">
        <v>115</v>
      </c>
      <c r="AD6321">
        <v>3</v>
      </c>
      <c r="AE6321" t="s">
        <v>115</v>
      </c>
      <c r="AF6321">
        <v>0</v>
      </c>
      <c r="AG6321">
        <v>0</v>
      </c>
      <c r="AH6321" t="s">
        <v>116</v>
      </c>
      <c r="AI6321" s="1">
        <v>28230</v>
      </c>
      <c r="AJ6321" s="2">
        <v>0.08</v>
      </c>
      <c r="AK6321" s="1">
        <v>363955</v>
      </c>
      <c r="AL6321" t="s">
        <v>117</v>
      </c>
      <c r="AM6321" t="s">
        <v>393</v>
      </c>
      <c r="AN6321">
        <v>6900</v>
      </c>
      <c r="AO6321">
        <v>0.16</v>
      </c>
      <c r="AP6321">
        <v>1</v>
      </c>
      <c r="AR6321">
        <v>1</v>
      </c>
      <c r="AS6321" s="1">
        <v>25160</v>
      </c>
      <c r="AT6321" s="1">
        <v>5030</v>
      </c>
      <c r="AU6321" s="1">
        <v>20130</v>
      </c>
      <c r="AV6321">
        <v>80.010000000000005</v>
      </c>
      <c r="AX6321" s="1">
        <v>2128.6</v>
      </c>
      <c r="AY6321" t="s">
        <v>394</v>
      </c>
      <c r="AZ6321" t="s">
        <v>394</v>
      </c>
      <c r="BA6321" t="s">
        <v>290</v>
      </c>
      <c r="BE6321" s="3">
        <v>41894</v>
      </c>
      <c r="BF6321" s="1">
        <v>286000</v>
      </c>
      <c r="BG6321" t="s">
        <v>38264</v>
      </c>
      <c r="BH6321" s="1">
        <v>133.9</v>
      </c>
      <c r="BI6321" s="1">
        <v>335725</v>
      </c>
      <c r="BJ6321" s="3">
        <v>43278</v>
      </c>
      <c r="BK6321" t="s">
        <v>123</v>
      </c>
      <c r="BL6321" t="str">
        <f>"2018.490433"</f>
        <v>2018.490433</v>
      </c>
      <c r="BM6321" t="s">
        <v>2891</v>
      </c>
      <c r="BN6321" t="s">
        <v>381</v>
      </c>
      <c r="BO6321" t="s">
        <v>38261</v>
      </c>
      <c r="BR6321" t="s">
        <v>139</v>
      </c>
      <c r="BW6321" t="str">
        <f>""</f>
        <v/>
      </c>
      <c r="CH6321" t="str">
        <f>""</f>
        <v/>
      </c>
      <c r="CS6321" t="str">
        <f>""</f>
        <v/>
      </c>
    </row>
    <row r="6322" spans="1:97" x14ac:dyDescent="0.25">
      <c r="A6322" t="s">
        <v>243</v>
      </c>
      <c r="B6322" t="s">
        <v>3719</v>
      </c>
      <c r="E6322" t="s">
        <v>38265</v>
      </c>
      <c r="F6322" t="s">
        <v>108</v>
      </c>
      <c r="H6322" t="s">
        <v>38266</v>
      </c>
      <c r="I6322" t="s">
        <v>390</v>
      </c>
      <c r="J6322" t="s">
        <v>111</v>
      </c>
      <c r="K6322" t="str">
        <f>"85024"</f>
        <v>85024</v>
      </c>
      <c r="L6322" t="s">
        <v>6316</v>
      </c>
      <c r="M6322" t="s">
        <v>38266</v>
      </c>
      <c r="N6322" t="s">
        <v>390</v>
      </c>
      <c r="O6322" t="s">
        <v>111</v>
      </c>
      <c r="P6322" t="str">
        <f>"85024-8681"</f>
        <v>85024-8681</v>
      </c>
      <c r="Q6322" t="s">
        <v>113</v>
      </c>
      <c r="R6322" t="str">
        <f>"212-15-369"</f>
        <v>212-15-369</v>
      </c>
      <c r="S6322" t="s">
        <v>26946</v>
      </c>
      <c r="T6322" t="s">
        <v>15594</v>
      </c>
      <c r="U6322">
        <v>1518</v>
      </c>
      <c r="V6322">
        <v>0</v>
      </c>
      <c r="W6322">
        <v>2</v>
      </c>
      <c r="X6322">
        <v>1998</v>
      </c>
      <c r="Z6322">
        <v>1</v>
      </c>
      <c r="AB6322">
        <v>0</v>
      </c>
      <c r="AC6322" t="s">
        <v>115</v>
      </c>
      <c r="AD6322">
        <v>2</v>
      </c>
      <c r="AE6322" t="s">
        <v>115</v>
      </c>
      <c r="AF6322">
        <v>0</v>
      </c>
      <c r="AG6322">
        <v>0</v>
      </c>
      <c r="AH6322" t="s">
        <v>116</v>
      </c>
      <c r="AI6322" s="1">
        <v>58040</v>
      </c>
      <c r="AJ6322" s="2">
        <v>0.18</v>
      </c>
      <c r="AK6322" s="1">
        <v>320196</v>
      </c>
      <c r="AL6322" t="s">
        <v>117</v>
      </c>
      <c r="AM6322" t="s">
        <v>191</v>
      </c>
      <c r="AN6322">
        <v>5500</v>
      </c>
      <c r="AO6322">
        <v>0.13</v>
      </c>
      <c r="AP6322">
        <v>1</v>
      </c>
      <c r="AR6322">
        <v>1</v>
      </c>
      <c r="AS6322" s="1">
        <v>22880</v>
      </c>
      <c r="AT6322" s="1">
        <v>4570</v>
      </c>
      <c r="AU6322" s="1">
        <v>18310</v>
      </c>
      <c r="AV6322">
        <v>80.03</v>
      </c>
      <c r="AX6322" s="1">
        <v>1935.06</v>
      </c>
      <c r="AY6322" t="s">
        <v>570</v>
      </c>
      <c r="AZ6322" t="s">
        <v>761</v>
      </c>
      <c r="BA6322" t="s">
        <v>762</v>
      </c>
      <c r="BE6322" s="3">
        <v>41919</v>
      </c>
      <c r="BF6322" s="1">
        <v>261500</v>
      </c>
      <c r="BG6322" t="s">
        <v>33857</v>
      </c>
      <c r="BH6322" s="1">
        <v>172.27</v>
      </c>
      <c r="BI6322" s="1">
        <v>262156</v>
      </c>
      <c r="BJ6322" s="3">
        <v>42353</v>
      </c>
      <c r="BK6322" t="s">
        <v>123</v>
      </c>
      <c r="BL6322" t="str">
        <f>"2015.884004"</f>
        <v>2015.884004</v>
      </c>
      <c r="BM6322" t="s">
        <v>594</v>
      </c>
      <c r="BO6322" t="s">
        <v>38267</v>
      </c>
      <c r="BS6322">
        <v>30</v>
      </c>
      <c r="BW6322" t="str">
        <f>""</f>
        <v/>
      </c>
      <c r="CH6322" t="str">
        <f>""</f>
        <v/>
      </c>
      <c r="CS6322" t="str">
        <f>""</f>
        <v/>
      </c>
    </row>
    <row r="6323" spans="1:97" x14ac:dyDescent="0.25">
      <c r="B6323" t="s">
        <v>38268</v>
      </c>
      <c r="E6323" t="s">
        <v>38269</v>
      </c>
      <c r="F6323" t="s">
        <v>108</v>
      </c>
      <c r="H6323" t="s">
        <v>38270</v>
      </c>
      <c r="I6323" t="s">
        <v>453</v>
      </c>
      <c r="J6323" t="s">
        <v>111</v>
      </c>
      <c r="K6323" t="str">
        <f>"85383"</f>
        <v>85383</v>
      </c>
      <c r="L6323" t="s">
        <v>2820</v>
      </c>
      <c r="M6323" t="s">
        <v>38270</v>
      </c>
      <c r="N6323" t="s">
        <v>453</v>
      </c>
      <c r="O6323" t="s">
        <v>111</v>
      </c>
      <c r="P6323" t="str">
        <f>"85383-2577"</f>
        <v>85383-2577</v>
      </c>
      <c r="Q6323" t="s">
        <v>113</v>
      </c>
      <c r="R6323" t="str">
        <f>"510-02-051"</f>
        <v>510-02-051</v>
      </c>
      <c r="S6323" t="s">
        <v>38271</v>
      </c>
      <c r="T6323" t="s">
        <v>38272</v>
      </c>
      <c r="U6323">
        <v>1874</v>
      </c>
      <c r="V6323">
        <v>0</v>
      </c>
      <c r="W6323">
        <v>3</v>
      </c>
      <c r="X6323">
        <v>2004</v>
      </c>
      <c r="Z6323">
        <v>1</v>
      </c>
      <c r="AB6323">
        <v>0</v>
      </c>
      <c r="AC6323" t="s">
        <v>115</v>
      </c>
      <c r="AD6323">
        <v>2</v>
      </c>
      <c r="AE6323" t="s">
        <v>115</v>
      </c>
      <c r="AF6323">
        <v>0</v>
      </c>
      <c r="AG6323">
        <v>0</v>
      </c>
      <c r="AH6323" t="s">
        <v>116</v>
      </c>
      <c r="AI6323" s="1">
        <v>99617</v>
      </c>
      <c r="AJ6323" s="2">
        <v>0.25</v>
      </c>
      <c r="AK6323" s="1">
        <v>391217</v>
      </c>
      <c r="AL6323" t="s">
        <v>117</v>
      </c>
      <c r="AM6323" t="s">
        <v>118</v>
      </c>
      <c r="AN6323">
        <v>7372</v>
      </c>
      <c r="AO6323">
        <v>0.17</v>
      </c>
      <c r="AP6323">
        <v>1</v>
      </c>
      <c r="AR6323">
        <v>1</v>
      </c>
      <c r="AS6323" s="1">
        <v>26860</v>
      </c>
      <c r="AT6323" s="1">
        <v>5370</v>
      </c>
      <c r="AU6323" s="1">
        <v>21490</v>
      </c>
      <c r="AV6323">
        <v>80.010000000000005</v>
      </c>
      <c r="AX6323" s="1">
        <v>3389.6</v>
      </c>
      <c r="AY6323" t="s">
        <v>456</v>
      </c>
      <c r="AZ6323" t="s">
        <v>456</v>
      </c>
      <c r="BA6323" t="s">
        <v>457</v>
      </c>
      <c r="BB6323" s="3">
        <v>42347</v>
      </c>
      <c r="BD6323" t="s">
        <v>458</v>
      </c>
      <c r="BE6323" s="3">
        <v>42128</v>
      </c>
      <c r="BF6323" s="1">
        <v>320000</v>
      </c>
      <c r="BG6323" t="s">
        <v>38273</v>
      </c>
      <c r="BH6323" s="1">
        <v>170.76</v>
      </c>
      <c r="BI6323" s="1">
        <v>291600</v>
      </c>
      <c r="BJ6323" s="3">
        <v>42128</v>
      </c>
      <c r="BK6323" t="s">
        <v>123</v>
      </c>
      <c r="BL6323" t="str">
        <f>"2015.313414"</f>
        <v>2015.313414</v>
      </c>
      <c r="BM6323" t="s">
        <v>4738</v>
      </c>
      <c r="BO6323" t="s">
        <v>38274</v>
      </c>
      <c r="BS6323">
        <v>30</v>
      </c>
      <c r="BW6323" t="str">
        <f>""</f>
        <v/>
      </c>
      <c r="CH6323" t="str">
        <f>""</f>
        <v/>
      </c>
      <c r="CS6323" t="str">
        <f>""</f>
        <v/>
      </c>
    </row>
    <row r="6324" spans="1:97" x14ac:dyDescent="0.25">
      <c r="A6324" t="s">
        <v>370</v>
      </c>
      <c r="B6324" t="s">
        <v>38275</v>
      </c>
      <c r="C6324" t="s">
        <v>29281</v>
      </c>
      <c r="D6324" t="s">
        <v>38275</v>
      </c>
      <c r="E6324" t="s">
        <v>38276</v>
      </c>
      <c r="F6324" t="s">
        <v>108</v>
      </c>
      <c r="H6324" t="s">
        <v>38277</v>
      </c>
      <c r="I6324" t="s">
        <v>2874</v>
      </c>
      <c r="J6324" t="s">
        <v>111</v>
      </c>
      <c r="K6324" t="str">
        <f>"85302"</f>
        <v>85302</v>
      </c>
      <c r="L6324" t="s">
        <v>6682</v>
      </c>
      <c r="M6324" t="s">
        <v>38277</v>
      </c>
      <c r="N6324" t="s">
        <v>2874</v>
      </c>
      <c r="O6324" t="s">
        <v>111</v>
      </c>
      <c r="P6324" t="str">
        <f>"85302-5201"</f>
        <v>85302-5201</v>
      </c>
      <c r="Q6324" t="s">
        <v>113</v>
      </c>
      <c r="R6324" t="str">
        <f>"148-10-078"</f>
        <v>148-10-078</v>
      </c>
      <c r="S6324" t="s">
        <v>17857</v>
      </c>
      <c r="U6324">
        <v>2836</v>
      </c>
      <c r="V6324">
        <v>0</v>
      </c>
      <c r="W6324">
        <v>2</v>
      </c>
      <c r="X6324">
        <v>1973</v>
      </c>
      <c r="Z6324">
        <v>1</v>
      </c>
      <c r="AA6324" t="s">
        <v>26</v>
      </c>
      <c r="AB6324">
        <v>0</v>
      </c>
      <c r="AC6324" t="s">
        <v>5188</v>
      </c>
      <c r="AD6324">
        <v>2</v>
      </c>
      <c r="AE6324" t="s">
        <v>5188</v>
      </c>
      <c r="AF6324">
        <v>0</v>
      </c>
      <c r="AG6324">
        <v>0</v>
      </c>
      <c r="AH6324" t="s">
        <v>116</v>
      </c>
      <c r="AI6324" s="1">
        <v>72547</v>
      </c>
      <c r="AJ6324" s="2">
        <v>0.23</v>
      </c>
      <c r="AK6324" s="1">
        <v>312347</v>
      </c>
      <c r="AL6324" t="s">
        <v>117</v>
      </c>
      <c r="AM6324" t="s">
        <v>191</v>
      </c>
      <c r="AN6324">
        <v>13560</v>
      </c>
      <c r="AO6324">
        <v>0.31</v>
      </c>
      <c r="AP6324">
        <v>1</v>
      </c>
      <c r="AR6324">
        <v>1</v>
      </c>
      <c r="AS6324" s="1">
        <v>21250</v>
      </c>
      <c r="AT6324" s="1">
        <v>4250</v>
      </c>
      <c r="AU6324" s="1">
        <v>17000</v>
      </c>
      <c r="AV6324">
        <v>80</v>
      </c>
      <c r="AX6324" s="1">
        <v>2457.1799999999998</v>
      </c>
      <c r="AY6324" t="s">
        <v>17858</v>
      </c>
      <c r="AZ6324" t="s">
        <v>17858</v>
      </c>
      <c r="BA6324" t="s">
        <v>6987</v>
      </c>
      <c r="BE6324" s="3">
        <v>42117</v>
      </c>
      <c r="BF6324" s="1">
        <v>170000</v>
      </c>
      <c r="BG6324" t="s">
        <v>38278</v>
      </c>
      <c r="BH6324" s="1">
        <v>63.53</v>
      </c>
      <c r="BI6324" s="1">
        <v>239800</v>
      </c>
      <c r="BJ6324" s="3">
        <v>43028</v>
      </c>
      <c r="BK6324" t="s">
        <v>123</v>
      </c>
      <c r="BL6324" t="str">
        <f>"2017.779499"</f>
        <v>2017.779499</v>
      </c>
      <c r="BM6324" t="s">
        <v>22136</v>
      </c>
      <c r="BO6324" t="s">
        <v>38279</v>
      </c>
      <c r="BP6324" t="s">
        <v>38280</v>
      </c>
      <c r="BS6324">
        <v>30</v>
      </c>
      <c r="BW6324" t="str">
        <f>""</f>
        <v/>
      </c>
      <c r="CH6324" t="str">
        <f>""</f>
        <v/>
      </c>
      <c r="CS6324" t="str">
        <f>""</f>
        <v/>
      </c>
    </row>
    <row r="6325" spans="1:97" x14ac:dyDescent="0.25">
      <c r="A6325" t="s">
        <v>222</v>
      </c>
      <c r="B6325" t="s">
        <v>38281</v>
      </c>
      <c r="C6325" t="s">
        <v>1170</v>
      </c>
      <c r="D6325" t="s">
        <v>38281</v>
      </c>
      <c r="E6325" t="s">
        <v>38282</v>
      </c>
      <c r="F6325" t="s">
        <v>108</v>
      </c>
      <c r="H6325" t="s">
        <v>38283</v>
      </c>
      <c r="I6325" t="s">
        <v>632</v>
      </c>
      <c r="J6325" t="s">
        <v>111</v>
      </c>
      <c r="K6325" t="str">
        <f>"85379"</f>
        <v>85379</v>
      </c>
      <c r="L6325" t="s">
        <v>269</v>
      </c>
      <c r="M6325" t="s">
        <v>38283</v>
      </c>
      <c r="N6325" t="s">
        <v>632</v>
      </c>
      <c r="O6325" t="s">
        <v>111</v>
      </c>
      <c r="P6325" t="str">
        <f>"85379-4639"</f>
        <v>85379-4639</v>
      </c>
      <c r="Q6325" t="s">
        <v>113</v>
      </c>
      <c r="R6325" t="str">
        <f>"501-40-130"</f>
        <v>501-40-130</v>
      </c>
      <c r="S6325" t="s">
        <v>20516</v>
      </c>
      <c r="U6325">
        <v>3905</v>
      </c>
      <c r="V6325">
        <v>0</v>
      </c>
      <c r="W6325">
        <v>5</v>
      </c>
      <c r="X6325">
        <v>2005</v>
      </c>
      <c r="Z6325">
        <v>2</v>
      </c>
      <c r="AB6325">
        <v>0</v>
      </c>
      <c r="AC6325" t="s">
        <v>115</v>
      </c>
      <c r="AD6325">
        <v>3</v>
      </c>
      <c r="AE6325" t="s">
        <v>115</v>
      </c>
      <c r="AF6325">
        <v>0</v>
      </c>
      <c r="AG6325">
        <v>0</v>
      </c>
      <c r="AH6325" t="s">
        <v>116</v>
      </c>
      <c r="AI6325" s="1">
        <v>62871</v>
      </c>
      <c r="AJ6325" s="2">
        <v>0.17</v>
      </c>
      <c r="AK6325" s="1">
        <v>372771</v>
      </c>
      <c r="AL6325" t="s">
        <v>117</v>
      </c>
      <c r="AM6325" t="s">
        <v>118</v>
      </c>
      <c r="AN6325">
        <v>9187</v>
      </c>
      <c r="AO6325">
        <v>0.21</v>
      </c>
      <c r="AR6325">
        <v>1</v>
      </c>
      <c r="AS6325" s="1">
        <v>27180</v>
      </c>
      <c r="AT6325" s="1">
        <v>5430</v>
      </c>
      <c r="AU6325" s="1">
        <v>21750</v>
      </c>
      <c r="AV6325">
        <v>80.02</v>
      </c>
      <c r="AX6325" s="1">
        <v>2262.34</v>
      </c>
      <c r="AY6325" t="s">
        <v>5060</v>
      </c>
      <c r="AZ6325" t="s">
        <v>5060</v>
      </c>
      <c r="BA6325" t="s">
        <v>5061</v>
      </c>
      <c r="BE6325" s="3">
        <v>41955</v>
      </c>
      <c r="BF6325" s="1">
        <v>284900</v>
      </c>
      <c r="BG6325" t="s">
        <v>38284</v>
      </c>
      <c r="BH6325" s="1">
        <v>72.959999999999994</v>
      </c>
      <c r="BI6325" s="1">
        <v>284900</v>
      </c>
      <c r="BJ6325" s="3">
        <v>41955</v>
      </c>
      <c r="BK6325" t="s">
        <v>123</v>
      </c>
      <c r="BL6325" t="str">
        <f>"2014.747047"</f>
        <v>2014.747047</v>
      </c>
      <c r="BM6325" t="s">
        <v>135</v>
      </c>
      <c r="BO6325" t="s">
        <v>38285</v>
      </c>
      <c r="BS6325">
        <v>30</v>
      </c>
      <c r="BT6325" s="1">
        <v>25000</v>
      </c>
      <c r="BU6325" s="3">
        <v>42160</v>
      </c>
      <c r="BV6325" t="s">
        <v>134</v>
      </c>
      <c r="BW6325" t="str">
        <f>"2015.402843"</f>
        <v>2015.402843</v>
      </c>
      <c r="BX6325" t="s">
        <v>4440</v>
      </c>
      <c r="BZ6325" t="s">
        <v>38286</v>
      </c>
      <c r="CD6325">
        <v>20</v>
      </c>
      <c r="CH6325" t="str">
        <f>""</f>
        <v/>
      </c>
      <c r="CS6325" t="str">
        <f>""</f>
        <v/>
      </c>
    </row>
    <row r="6326" spans="1:97" x14ac:dyDescent="0.25">
      <c r="A6326" t="s">
        <v>177</v>
      </c>
      <c r="B6326" t="s">
        <v>1208</v>
      </c>
      <c r="C6326" t="s">
        <v>513</v>
      </c>
      <c r="D6326" t="s">
        <v>38287</v>
      </c>
      <c r="E6326" t="s">
        <v>38288</v>
      </c>
      <c r="F6326" t="s">
        <v>282</v>
      </c>
      <c r="H6326" t="s">
        <v>38289</v>
      </c>
      <c r="I6326" t="s">
        <v>632</v>
      </c>
      <c r="J6326" t="s">
        <v>111</v>
      </c>
      <c r="K6326" t="str">
        <f>"85388"</f>
        <v>85388</v>
      </c>
      <c r="L6326" t="s">
        <v>4467</v>
      </c>
      <c r="M6326" t="s">
        <v>38290</v>
      </c>
      <c r="N6326" t="s">
        <v>632</v>
      </c>
      <c r="O6326" t="s">
        <v>111</v>
      </c>
      <c r="P6326" t="str">
        <f>"85379-8525"</f>
        <v>85379-8525</v>
      </c>
      <c r="Q6326" t="s">
        <v>113</v>
      </c>
      <c r="R6326" t="str">
        <f>"502-03-641"</f>
        <v>502-03-641</v>
      </c>
      <c r="S6326" t="s">
        <v>6261</v>
      </c>
      <c r="U6326">
        <v>3626</v>
      </c>
      <c r="V6326">
        <v>0</v>
      </c>
      <c r="W6326">
        <v>4</v>
      </c>
      <c r="X6326">
        <v>2005</v>
      </c>
      <c r="Z6326">
        <v>2</v>
      </c>
      <c r="AA6326" t="s">
        <v>26</v>
      </c>
      <c r="AB6326">
        <v>0</v>
      </c>
      <c r="AC6326" t="s">
        <v>115</v>
      </c>
      <c r="AD6326">
        <v>3</v>
      </c>
      <c r="AE6326" t="s">
        <v>115</v>
      </c>
      <c r="AF6326">
        <v>0</v>
      </c>
      <c r="AG6326">
        <v>0</v>
      </c>
      <c r="AH6326" t="s">
        <v>116</v>
      </c>
      <c r="AI6326" s="1">
        <v>55816</v>
      </c>
      <c r="AJ6326" s="2">
        <v>0.15</v>
      </c>
      <c r="AK6326" s="1">
        <v>365716</v>
      </c>
      <c r="AL6326" t="s">
        <v>117</v>
      </c>
      <c r="AM6326" t="s">
        <v>118</v>
      </c>
      <c r="AN6326">
        <v>7820</v>
      </c>
      <c r="AO6326">
        <v>0.18</v>
      </c>
      <c r="AR6326">
        <v>1</v>
      </c>
      <c r="AS6326" s="1">
        <v>25770</v>
      </c>
      <c r="AT6326" s="1">
        <v>5150</v>
      </c>
      <c r="AU6326" s="1">
        <v>20620</v>
      </c>
      <c r="AV6326">
        <v>80.02</v>
      </c>
      <c r="AX6326" s="1">
        <v>2144.6999999999998</v>
      </c>
      <c r="AY6326" t="s">
        <v>6262</v>
      </c>
      <c r="AZ6326" t="s">
        <v>6262</v>
      </c>
      <c r="BA6326" t="s">
        <v>5061</v>
      </c>
      <c r="BB6326" s="3">
        <v>42800</v>
      </c>
      <c r="BD6326" t="s">
        <v>1830</v>
      </c>
      <c r="BE6326" s="3">
        <v>42402</v>
      </c>
      <c r="BF6326" s="1">
        <v>300000</v>
      </c>
      <c r="BG6326" t="s">
        <v>38291</v>
      </c>
      <c r="BH6326" s="1">
        <v>82.74</v>
      </c>
      <c r="BI6326" s="1">
        <v>309900</v>
      </c>
      <c r="BJ6326" s="3">
        <v>42402</v>
      </c>
      <c r="BK6326" t="s">
        <v>123</v>
      </c>
      <c r="BL6326" t="str">
        <f>"2016.69455"</f>
        <v>2016.69455</v>
      </c>
      <c r="BM6326" t="s">
        <v>1554</v>
      </c>
      <c r="BO6326" t="s">
        <v>38292</v>
      </c>
      <c r="BS6326">
        <v>30</v>
      </c>
      <c r="BW6326" t="str">
        <f>""</f>
        <v/>
      </c>
      <c r="CH6326" t="str">
        <f>""</f>
        <v/>
      </c>
      <c r="CS6326" t="str">
        <f>""</f>
        <v/>
      </c>
    </row>
    <row r="6327" spans="1:97" x14ac:dyDescent="0.25">
      <c r="A6327" t="s">
        <v>1083</v>
      </c>
      <c r="B6327" t="s">
        <v>4845</v>
      </c>
      <c r="C6327" t="s">
        <v>767</v>
      </c>
      <c r="D6327" t="s">
        <v>4845</v>
      </c>
      <c r="E6327" t="s">
        <v>38293</v>
      </c>
      <c r="F6327" t="s">
        <v>108</v>
      </c>
      <c r="H6327" t="s">
        <v>38294</v>
      </c>
      <c r="I6327" t="s">
        <v>203</v>
      </c>
      <c r="J6327" t="s">
        <v>111</v>
      </c>
      <c r="K6327" t="str">
        <f>"85296"</f>
        <v>85296</v>
      </c>
      <c r="L6327" t="s">
        <v>2820</v>
      </c>
      <c r="M6327" t="s">
        <v>38294</v>
      </c>
      <c r="N6327" t="s">
        <v>203</v>
      </c>
      <c r="O6327" t="s">
        <v>111</v>
      </c>
      <c r="P6327" t="str">
        <f>"85296-1886"</f>
        <v>85296-1886</v>
      </c>
      <c r="Q6327" t="s">
        <v>113</v>
      </c>
      <c r="R6327" t="str">
        <f>"304-19-350"</f>
        <v>304-19-350</v>
      </c>
      <c r="S6327" t="s">
        <v>7786</v>
      </c>
      <c r="T6327" t="s">
        <v>7786</v>
      </c>
      <c r="U6327">
        <v>2326</v>
      </c>
      <c r="V6327">
        <v>0</v>
      </c>
      <c r="W6327">
        <v>3</v>
      </c>
      <c r="X6327">
        <v>2009</v>
      </c>
      <c r="Z6327">
        <v>1</v>
      </c>
      <c r="AB6327">
        <v>0</v>
      </c>
      <c r="AC6327" t="s">
        <v>115</v>
      </c>
      <c r="AD6327">
        <v>2</v>
      </c>
      <c r="AE6327" t="s">
        <v>115</v>
      </c>
      <c r="AF6327">
        <v>0</v>
      </c>
      <c r="AG6327">
        <v>0</v>
      </c>
      <c r="AH6327" t="s">
        <v>116</v>
      </c>
      <c r="AI6327" s="1">
        <v>43787</v>
      </c>
      <c r="AJ6327" s="2">
        <v>0.1</v>
      </c>
      <c r="AK6327" s="1">
        <v>428501</v>
      </c>
      <c r="AL6327" t="s">
        <v>117</v>
      </c>
      <c r="AM6327" t="s">
        <v>393</v>
      </c>
      <c r="AN6327">
        <v>8390</v>
      </c>
      <c r="AO6327">
        <v>0.19</v>
      </c>
      <c r="AR6327">
        <v>1</v>
      </c>
      <c r="AS6327" s="1">
        <v>30030</v>
      </c>
      <c r="AT6327" s="1">
        <v>6000</v>
      </c>
      <c r="AU6327" s="1">
        <v>24030</v>
      </c>
      <c r="AV6327">
        <v>80.02</v>
      </c>
      <c r="AX6327" s="1">
        <v>2521.56</v>
      </c>
      <c r="AY6327" t="s">
        <v>519</v>
      </c>
      <c r="AZ6327" t="s">
        <v>520</v>
      </c>
      <c r="BA6327" t="s">
        <v>521</v>
      </c>
      <c r="BE6327" s="3">
        <v>41863</v>
      </c>
      <c r="BF6327" s="1">
        <v>340000</v>
      </c>
      <c r="BG6327" t="s">
        <v>38295</v>
      </c>
      <c r="BH6327" s="1">
        <v>146.16999999999999</v>
      </c>
      <c r="BI6327" s="1">
        <v>384714</v>
      </c>
      <c r="BJ6327" s="3">
        <v>42643</v>
      </c>
      <c r="BK6327" t="s">
        <v>123</v>
      </c>
      <c r="BL6327" t="str">
        <f>"2016.718403"</f>
        <v>2016.718403</v>
      </c>
      <c r="BM6327" t="s">
        <v>425</v>
      </c>
      <c r="BO6327" t="s">
        <v>38296</v>
      </c>
      <c r="BS6327">
        <v>30</v>
      </c>
      <c r="BW6327" t="str">
        <f>""</f>
        <v/>
      </c>
      <c r="CH6327" t="str">
        <f>""</f>
        <v/>
      </c>
      <c r="CS6327" t="str">
        <f>""</f>
        <v/>
      </c>
    </row>
    <row r="6328" spans="1:97" x14ac:dyDescent="0.25">
      <c r="A6328" t="s">
        <v>325</v>
      </c>
      <c r="B6328" t="s">
        <v>32169</v>
      </c>
      <c r="E6328" t="s">
        <v>38297</v>
      </c>
      <c r="F6328" t="s">
        <v>108</v>
      </c>
      <c r="H6328" t="s">
        <v>38298</v>
      </c>
      <c r="I6328" t="s">
        <v>632</v>
      </c>
      <c r="J6328" t="s">
        <v>111</v>
      </c>
      <c r="K6328" t="str">
        <f>"85388"</f>
        <v>85388</v>
      </c>
      <c r="L6328" t="s">
        <v>7607</v>
      </c>
      <c r="M6328" t="s">
        <v>38298</v>
      </c>
      <c r="N6328" t="s">
        <v>632</v>
      </c>
      <c r="O6328" t="s">
        <v>111</v>
      </c>
      <c r="P6328" t="str">
        <f>"85388-1612"</f>
        <v>85388-1612</v>
      </c>
      <c r="Q6328" t="s">
        <v>113</v>
      </c>
      <c r="R6328" t="str">
        <f>"502-02-529"</f>
        <v>502-02-529</v>
      </c>
      <c r="S6328" t="s">
        <v>10965</v>
      </c>
      <c r="T6328" t="s">
        <v>10966</v>
      </c>
      <c r="U6328">
        <v>1948</v>
      </c>
      <c r="V6328">
        <v>0</v>
      </c>
      <c r="W6328">
        <v>4</v>
      </c>
      <c r="X6328">
        <v>2007</v>
      </c>
      <c r="Z6328">
        <v>2</v>
      </c>
      <c r="AA6328" t="s">
        <v>26</v>
      </c>
      <c r="AB6328">
        <v>0</v>
      </c>
      <c r="AC6328" t="s">
        <v>115</v>
      </c>
      <c r="AD6328">
        <v>2</v>
      </c>
      <c r="AE6328" t="s">
        <v>115</v>
      </c>
      <c r="AF6328">
        <v>0</v>
      </c>
      <c r="AG6328">
        <v>0</v>
      </c>
      <c r="AH6328" t="s">
        <v>116</v>
      </c>
      <c r="AI6328" s="1">
        <v>38063</v>
      </c>
      <c r="AJ6328" s="2">
        <v>0.14000000000000001</v>
      </c>
      <c r="AK6328" s="1">
        <v>268911</v>
      </c>
      <c r="AL6328" t="s">
        <v>117</v>
      </c>
      <c r="AM6328" t="s">
        <v>118</v>
      </c>
      <c r="AN6328">
        <v>5175</v>
      </c>
      <c r="AO6328">
        <v>0.12</v>
      </c>
      <c r="AR6328">
        <v>1</v>
      </c>
      <c r="AS6328" s="1">
        <v>18760</v>
      </c>
      <c r="AT6328" s="1">
        <v>3750</v>
      </c>
      <c r="AU6328" s="1">
        <v>15010</v>
      </c>
      <c r="AV6328">
        <v>80.010000000000005</v>
      </c>
      <c r="AX6328" s="1">
        <v>1383.68</v>
      </c>
      <c r="AY6328" t="s">
        <v>5168</v>
      </c>
      <c r="AZ6328" t="s">
        <v>5168</v>
      </c>
      <c r="BA6328" t="s">
        <v>5109</v>
      </c>
      <c r="BE6328" s="3">
        <v>42457</v>
      </c>
      <c r="BF6328" s="1">
        <v>230000</v>
      </c>
      <c r="BG6328" t="s">
        <v>36256</v>
      </c>
      <c r="BH6328" s="1">
        <v>118.07</v>
      </c>
      <c r="BI6328" s="1">
        <v>230848</v>
      </c>
      <c r="BJ6328" s="3">
        <v>42457</v>
      </c>
      <c r="BK6328" t="s">
        <v>123</v>
      </c>
      <c r="BL6328" t="str">
        <f>"2016.198125"</f>
        <v>2016.198125</v>
      </c>
      <c r="BM6328" t="s">
        <v>1185</v>
      </c>
      <c r="BO6328" t="s">
        <v>38299</v>
      </c>
      <c r="BS6328">
        <v>30</v>
      </c>
      <c r="BW6328" t="str">
        <f>""</f>
        <v/>
      </c>
      <c r="CH6328" t="str">
        <f>""</f>
        <v/>
      </c>
      <c r="CS6328" t="str">
        <f>""</f>
        <v/>
      </c>
    </row>
    <row r="6329" spans="1:97" x14ac:dyDescent="0.25">
      <c r="A6329" t="s">
        <v>2915</v>
      </c>
      <c r="B6329" t="s">
        <v>1450</v>
      </c>
      <c r="C6329" t="s">
        <v>484</v>
      </c>
      <c r="D6329" t="s">
        <v>38300</v>
      </c>
      <c r="E6329" t="s">
        <v>38301</v>
      </c>
      <c r="F6329" t="s">
        <v>108</v>
      </c>
      <c r="H6329" t="s">
        <v>38302</v>
      </c>
      <c r="I6329" t="s">
        <v>390</v>
      </c>
      <c r="J6329" t="s">
        <v>111</v>
      </c>
      <c r="K6329" t="str">
        <f>"85020"</f>
        <v>85020</v>
      </c>
      <c r="L6329" t="s">
        <v>9597</v>
      </c>
      <c r="M6329" t="s">
        <v>38302</v>
      </c>
      <c r="N6329" t="s">
        <v>390</v>
      </c>
      <c r="O6329" t="s">
        <v>111</v>
      </c>
      <c r="P6329" t="str">
        <f>"85020-3229"</f>
        <v>85020-3229</v>
      </c>
      <c r="Q6329" t="s">
        <v>113</v>
      </c>
      <c r="R6329" t="str">
        <f>"160-65-129"</f>
        <v>160-65-129</v>
      </c>
      <c r="S6329" t="s">
        <v>38303</v>
      </c>
      <c r="T6329" t="s">
        <v>38304</v>
      </c>
      <c r="U6329">
        <v>1620</v>
      </c>
      <c r="V6329">
        <v>0</v>
      </c>
      <c r="W6329">
        <v>2</v>
      </c>
      <c r="X6329">
        <v>1962</v>
      </c>
      <c r="Z6329">
        <v>1</v>
      </c>
      <c r="AB6329">
        <v>0</v>
      </c>
      <c r="AC6329" t="s">
        <v>5188</v>
      </c>
      <c r="AD6329">
        <v>1</v>
      </c>
      <c r="AE6329" t="s">
        <v>5188</v>
      </c>
      <c r="AF6329">
        <v>0</v>
      </c>
      <c r="AG6329">
        <v>0</v>
      </c>
      <c r="AH6329" t="s">
        <v>116</v>
      </c>
      <c r="AI6329" s="1">
        <v>72372</v>
      </c>
      <c r="AJ6329" s="2">
        <v>0.24</v>
      </c>
      <c r="AK6329" s="1">
        <v>307317</v>
      </c>
      <c r="AL6329" t="s">
        <v>117</v>
      </c>
      <c r="AM6329" t="s">
        <v>191</v>
      </c>
      <c r="AN6329">
        <v>6787</v>
      </c>
      <c r="AO6329">
        <v>0.16</v>
      </c>
      <c r="AP6329">
        <v>1</v>
      </c>
      <c r="AR6329">
        <v>1</v>
      </c>
      <c r="AS6329" s="1">
        <v>20230</v>
      </c>
      <c r="AT6329" s="1">
        <v>4040</v>
      </c>
      <c r="AU6329" s="1">
        <v>16190</v>
      </c>
      <c r="AV6329">
        <v>80.03</v>
      </c>
      <c r="AX6329" s="1">
        <v>1400.82</v>
      </c>
      <c r="AY6329" t="s">
        <v>20037</v>
      </c>
      <c r="AZ6329" t="s">
        <v>6148</v>
      </c>
      <c r="BA6329" t="s">
        <v>6149</v>
      </c>
      <c r="BE6329" s="3">
        <v>42384</v>
      </c>
      <c r="BF6329" s="1">
        <v>230000</v>
      </c>
      <c r="BG6329" t="s">
        <v>38305</v>
      </c>
      <c r="BH6329" s="1">
        <v>144.65</v>
      </c>
      <c r="BI6329" s="1">
        <v>234945</v>
      </c>
      <c r="BJ6329" s="3">
        <v>42384</v>
      </c>
      <c r="BK6329" t="s">
        <v>123</v>
      </c>
      <c r="BL6329" t="str">
        <f>"2016.30561"</f>
        <v>2016.30561</v>
      </c>
      <c r="BM6329" t="s">
        <v>1325</v>
      </c>
      <c r="BO6329" t="s">
        <v>38306</v>
      </c>
      <c r="BP6329" t="s">
        <v>38307</v>
      </c>
      <c r="BS6329">
        <v>30</v>
      </c>
      <c r="BW6329" t="str">
        <f>""</f>
        <v/>
      </c>
      <c r="CH6329" t="str">
        <f>""</f>
        <v/>
      </c>
      <c r="CS6329" t="str">
        <f>""</f>
        <v/>
      </c>
    </row>
    <row r="6330" spans="1:97" x14ac:dyDescent="0.25">
      <c r="A6330" t="s">
        <v>9984</v>
      </c>
      <c r="B6330" t="s">
        <v>17288</v>
      </c>
      <c r="C6330" t="s">
        <v>3137</v>
      </c>
      <c r="D6330" t="s">
        <v>17288</v>
      </c>
      <c r="E6330" t="s">
        <v>38308</v>
      </c>
      <c r="F6330" t="s">
        <v>108</v>
      </c>
      <c r="H6330" t="s">
        <v>38309</v>
      </c>
      <c r="I6330" t="s">
        <v>110</v>
      </c>
      <c r="J6330" t="s">
        <v>111</v>
      </c>
      <c r="K6330" t="str">
        <f>"85226"</f>
        <v>85226</v>
      </c>
      <c r="L6330" t="s">
        <v>5464</v>
      </c>
      <c r="M6330" t="s">
        <v>38309</v>
      </c>
      <c r="N6330" t="s">
        <v>110</v>
      </c>
      <c r="O6330" t="s">
        <v>111</v>
      </c>
      <c r="P6330" t="str">
        <f>"85226-5911"</f>
        <v>85226-5911</v>
      </c>
      <c r="Q6330" t="s">
        <v>113</v>
      </c>
      <c r="R6330" t="str">
        <f>"308-08-208"</f>
        <v>308-08-208</v>
      </c>
      <c r="S6330" t="s">
        <v>36346</v>
      </c>
      <c r="T6330" t="s">
        <v>36346</v>
      </c>
      <c r="U6330">
        <v>2090</v>
      </c>
      <c r="V6330">
        <v>0</v>
      </c>
      <c r="W6330">
        <v>3</v>
      </c>
      <c r="X6330">
        <v>1990</v>
      </c>
      <c r="Z6330">
        <v>1</v>
      </c>
      <c r="AA6330" t="s">
        <v>26</v>
      </c>
      <c r="AB6330">
        <v>0</v>
      </c>
      <c r="AC6330" t="s">
        <v>115</v>
      </c>
      <c r="AD6330">
        <v>2</v>
      </c>
      <c r="AE6330" t="s">
        <v>115</v>
      </c>
      <c r="AF6330">
        <v>0</v>
      </c>
      <c r="AG6330">
        <v>0</v>
      </c>
      <c r="AH6330" t="s">
        <v>116</v>
      </c>
      <c r="AI6330" s="1">
        <v>95127</v>
      </c>
      <c r="AJ6330" s="2">
        <v>0.24</v>
      </c>
      <c r="AK6330" s="1">
        <v>394177</v>
      </c>
      <c r="AL6330" t="s">
        <v>117</v>
      </c>
      <c r="AM6330" t="s">
        <v>118</v>
      </c>
      <c r="AN6330">
        <v>6874</v>
      </c>
      <c r="AO6330">
        <v>0.16</v>
      </c>
      <c r="AP6330">
        <v>1</v>
      </c>
      <c r="AR6330">
        <v>1</v>
      </c>
      <c r="AS6330" s="1">
        <v>28260</v>
      </c>
      <c r="AT6330" s="1">
        <v>5650</v>
      </c>
      <c r="AU6330" s="1">
        <v>22610</v>
      </c>
      <c r="AV6330">
        <v>80.010000000000005</v>
      </c>
      <c r="AX6330" s="1">
        <v>2193.16</v>
      </c>
      <c r="AY6330" t="s">
        <v>8225</v>
      </c>
      <c r="AZ6330" t="s">
        <v>5922</v>
      </c>
      <c r="BA6330" t="s">
        <v>5202</v>
      </c>
      <c r="BE6330" s="3">
        <v>42279</v>
      </c>
      <c r="BF6330" s="1">
        <v>295000</v>
      </c>
      <c r="BG6330" t="s">
        <v>38310</v>
      </c>
      <c r="BH6330" s="1">
        <v>141.15</v>
      </c>
      <c r="BI6330" s="1">
        <v>299050</v>
      </c>
      <c r="BJ6330" s="3">
        <v>42279</v>
      </c>
      <c r="BK6330" t="s">
        <v>123</v>
      </c>
      <c r="BL6330" t="str">
        <f>"2015.713827"</f>
        <v>2015.713827</v>
      </c>
      <c r="BM6330" t="s">
        <v>1192</v>
      </c>
      <c r="BO6330" t="s">
        <v>38311</v>
      </c>
      <c r="BS6330">
        <v>30</v>
      </c>
      <c r="BW6330" t="str">
        <f>""</f>
        <v/>
      </c>
      <c r="CH6330" t="str">
        <f>""</f>
        <v/>
      </c>
      <c r="CS6330" t="str">
        <f>""</f>
        <v/>
      </c>
    </row>
    <row r="6331" spans="1:97" x14ac:dyDescent="0.25">
      <c r="A6331" t="s">
        <v>38312</v>
      </c>
      <c r="B6331" t="s">
        <v>16719</v>
      </c>
      <c r="E6331" t="s">
        <v>38313</v>
      </c>
      <c r="F6331" t="s">
        <v>108</v>
      </c>
      <c r="H6331" t="s">
        <v>38314</v>
      </c>
      <c r="I6331" t="s">
        <v>5523</v>
      </c>
      <c r="J6331" t="s">
        <v>111</v>
      </c>
      <c r="K6331" t="str">
        <f>"85373"</f>
        <v>85373</v>
      </c>
      <c r="L6331" t="s">
        <v>5524</v>
      </c>
      <c r="M6331" t="s">
        <v>38314</v>
      </c>
      <c r="N6331" t="s">
        <v>5523</v>
      </c>
      <c r="O6331" t="s">
        <v>111</v>
      </c>
      <c r="P6331" t="str">
        <f>"85373-5426"</f>
        <v>85373-5426</v>
      </c>
      <c r="R6331" t="str">
        <f>"503-88-468"</f>
        <v>503-88-468</v>
      </c>
      <c r="S6331" t="s">
        <v>8902</v>
      </c>
      <c r="T6331" t="s">
        <v>6818</v>
      </c>
      <c r="U6331">
        <v>3437</v>
      </c>
      <c r="V6331">
        <v>0</v>
      </c>
      <c r="W6331">
        <v>5</v>
      </c>
      <c r="X6331">
        <v>2006</v>
      </c>
      <c r="Z6331">
        <v>2</v>
      </c>
      <c r="AA6331" t="s">
        <v>26</v>
      </c>
      <c r="AB6331">
        <v>0</v>
      </c>
      <c r="AC6331" t="s">
        <v>115</v>
      </c>
      <c r="AD6331">
        <v>4</v>
      </c>
      <c r="AE6331" t="s">
        <v>115</v>
      </c>
      <c r="AF6331">
        <v>0</v>
      </c>
      <c r="AG6331">
        <v>0</v>
      </c>
      <c r="AH6331" t="s">
        <v>116</v>
      </c>
      <c r="AI6331" s="1">
        <v>142588</v>
      </c>
      <c r="AJ6331" s="2">
        <v>0.32</v>
      </c>
      <c r="AK6331" s="1">
        <v>452588</v>
      </c>
      <c r="AL6331" t="s">
        <v>117</v>
      </c>
      <c r="AM6331" t="s">
        <v>393</v>
      </c>
      <c r="AN6331">
        <v>48346</v>
      </c>
      <c r="AO6331">
        <v>1.1100000000000001</v>
      </c>
      <c r="AR6331">
        <v>1</v>
      </c>
      <c r="AS6331" s="1">
        <v>38650</v>
      </c>
      <c r="AT6331" s="1">
        <v>7730</v>
      </c>
      <c r="AU6331" s="1">
        <v>30920</v>
      </c>
      <c r="AV6331">
        <v>80</v>
      </c>
      <c r="AX6331" s="1">
        <v>3672.14</v>
      </c>
      <c r="AY6331" t="s">
        <v>3228</v>
      </c>
      <c r="AZ6331" t="s">
        <v>3228</v>
      </c>
      <c r="BA6331" t="s">
        <v>457</v>
      </c>
      <c r="BE6331" s="3">
        <v>42216</v>
      </c>
      <c r="BF6331" s="1">
        <v>290000</v>
      </c>
      <c r="BG6331" t="s">
        <v>38315</v>
      </c>
      <c r="BH6331" s="1">
        <v>84.38</v>
      </c>
      <c r="BI6331" s="1">
        <v>310000</v>
      </c>
      <c r="BJ6331" s="3">
        <v>42524</v>
      </c>
      <c r="BK6331" t="s">
        <v>123</v>
      </c>
      <c r="BL6331" t="str">
        <f>"2016.385337"</f>
        <v>2016.385337</v>
      </c>
      <c r="BM6331" t="s">
        <v>6517</v>
      </c>
      <c r="BN6331" t="s">
        <v>14173</v>
      </c>
      <c r="BO6331" t="s">
        <v>38316</v>
      </c>
      <c r="BS6331">
        <v>30</v>
      </c>
      <c r="BW6331" t="str">
        <f>""</f>
        <v/>
      </c>
      <c r="CH6331" t="str">
        <f>""</f>
        <v/>
      </c>
      <c r="CS6331" t="str">
        <f>""</f>
        <v/>
      </c>
    </row>
    <row r="6332" spans="1:97" x14ac:dyDescent="0.25">
      <c r="A6332" t="s">
        <v>9998</v>
      </c>
      <c r="B6332" t="s">
        <v>38317</v>
      </c>
      <c r="E6332" t="s">
        <v>38318</v>
      </c>
      <c r="F6332" t="s">
        <v>108</v>
      </c>
      <c r="H6332" t="s">
        <v>38319</v>
      </c>
      <c r="I6332" t="s">
        <v>453</v>
      </c>
      <c r="J6332" t="s">
        <v>111</v>
      </c>
      <c r="K6332" t="str">
        <f>"85382"</f>
        <v>85382</v>
      </c>
      <c r="L6332" t="s">
        <v>2765</v>
      </c>
      <c r="M6332" t="s">
        <v>38319</v>
      </c>
      <c r="N6332" t="s">
        <v>453</v>
      </c>
      <c r="O6332" t="s">
        <v>111</v>
      </c>
      <c r="P6332" t="str">
        <f>"85382-4676"</f>
        <v>85382-4676</v>
      </c>
      <c r="Q6332" t="s">
        <v>113</v>
      </c>
      <c r="R6332" t="str">
        <f>"231-12-303"</f>
        <v>231-12-303</v>
      </c>
      <c r="S6332" t="s">
        <v>38320</v>
      </c>
      <c r="T6332" t="s">
        <v>10467</v>
      </c>
      <c r="U6332">
        <v>2254</v>
      </c>
      <c r="V6332">
        <v>0</v>
      </c>
      <c r="W6332">
        <v>3</v>
      </c>
      <c r="X6332">
        <v>1996</v>
      </c>
      <c r="Z6332">
        <v>1</v>
      </c>
      <c r="AB6332">
        <v>0</v>
      </c>
      <c r="AC6332" t="s">
        <v>115</v>
      </c>
      <c r="AD6332">
        <v>3</v>
      </c>
      <c r="AE6332" t="s">
        <v>115</v>
      </c>
      <c r="AF6332">
        <v>0</v>
      </c>
      <c r="AG6332">
        <v>0</v>
      </c>
      <c r="AH6332" t="s">
        <v>116</v>
      </c>
      <c r="AI6332" s="1">
        <v>85761</v>
      </c>
      <c r="AJ6332" s="2">
        <v>0.23</v>
      </c>
      <c r="AK6332" s="1">
        <v>378100</v>
      </c>
      <c r="AL6332" t="s">
        <v>117</v>
      </c>
      <c r="AM6332" t="s">
        <v>118</v>
      </c>
      <c r="AN6332">
        <v>8000</v>
      </c>
      <c r="AO6332">
        <v>0.18</v>
      </c>
      <c r="AP6332">
        <v>1</v>
      </c>
      <c r="AR6332">
        <v>1</v>
      </c>
      <c r="AS6332" s="1">
        <v>27660</v>
      </c>
      <c r="AT6332" s="1">
        <v>5530</v>
      </c>
      <c r="AU6332" s="1">
        <v>22130</v>
      </c>
      <c r="AV6332">
        <v>80.010000000000005</v>
      </c>
      <c r="AX6332" s="1">
        <v>2750.04</v>
      </c>
      <c r="AY6332" t="s">
        <v>7828</v>
      </c>
      <c r="AZ6332" t="s">
        <v>7828</v>
      </c>
      <c r="BA6332" t="s">
        <v>4219</v>
      </c>
      <c r="BE6332" s="3">
        <v>42083</v>
      </c>
      <c r="BF6332" s="1">
        <v>283000</v>
      </c>
      <c r="BG6332" t="s">
        <v>38321</v>
      </c>
      <c r="BH6332" s="1">
        <v>125.55</v>
      </c>
      <c r="BI6332" s="1">
        <v>292339</v>
      </c>
      <c r="BJ6332" s="3">
        <v>42083</v>
      </c>
      <c r="BK6332" t="s">
        <v>123</v>
      </c>
      <c r="BL6332" t="str">
        <f>"2015.187124"</f>
        <v>2015.187124</v>
      </c>
      <c r="BM6332" t="s">
        <v>5747</v>
      </c>
      <c r="BO6332" t="s">
        <v>38322</v>
      </c>
      <c r="BS6332">
        <v>30</v>
      </c>
      <c r="BW6332" t="str">
        <f>""</f>
        <v/>
      </c>
      <c r="CH6332" t="str">
        <f>""</f>
        <v/>
      </c>
      <c r="CS6332" t="str">
        <f>""</f>
        <v/>
      </c>
    </row>
    <row r="6333" spans="1:97" x14ac:dyDescent="0.25">
      <c r="A6333" t="s">
        <v>2374</v>
      </c>
      <c r="B6333" t="s">
        <v>252</v>
      </c>
      <c r="C6333" t="s">
        <v>38323</v>
      </c>
      <c r="D6333" t="s">
        <v>252</v>
      </c>
      <c r="E6333" t="s">
        <v>38324</v>
      </c>
      <c r="F6333" t="s">
        <v>108</v>
      </c>
      <c r="H6333" t="s">
        <v>38325</v>
      </c>
      <c r="I6333" t="s">
        <v>390</v>
      </c>
      <c r="J6333" t="s">
        <v>111</v>
      </c>
      <c r="K6333" t="str">
        <f>"85042"</f>
        <v>85042</v>
      </c>
      <c r="L6333" t="s">
        <v>6112</v>
      </c>
      <c r="M6333" t="s">
        <v>38325</v>
      </c>
      <c r="N6333" t="s">
        <v>390</v>
      </c>
      <c r="O6333" t="s">
        <v>111</v>
      </c>
      <c r="P6333" t="str">
        <f>"85042-7106"</f>
        <v>85042-7106</v>
      </c>
      <c r="Q6333" t="s">
        <v>113</v>
      </c>
      <c r="R6333" t="str">
        <f>"301-26-453"</f>
        <v>301-26-453</v>
      </c>
      <c r="S6333" t="s">
        <v>38326</v>
      </c>
      <c r="T6333" t="s">
        <v>38326</v>
      </c>
      <c r="U6333">
        <v>2545</v>
      </c>
      <c r="V6333">
        <v>0</v>
      </c>
      <c r="W6333">
        <v>4</v>
      </c>
      <c r="X6333">
        <v>2002</v>
      </c>
      <c r="Z6333">
        <v>1</v>
      </c>
      <c r="AA6333" t="s">
        <v>26</v>
      </c>
      <c r="AB6333">
        <v>0</v>
      </c>
      <c r="AC6333" t="s">
        <v>115</v>
      </c>
      <c r="AD6333">
        <v>3</v>
      </c>
      <c r="AE6333" t="s">
        <v>115</v>
      </c>
      <c r="AF6333">
        <v>0</v>
      </c>
      <c r="AG6333">
        <v>0</v>
      </c>
      <c r="AH6333" t="s">
        <v>116</v>
      </c>
      <c r="AI6333" s="1">
        <v>76335</v>
      </c>
      <c r="AJ6333" s="2">
        <v>0.15</v>
      </c>
      <c r="AK6333" s="1">
        <v>503933</v>
      </c>
      <c r="AL6333" t="s">
        <v>117</v>
      </c>
      <c r="AM6333" t="s">
        <v>6114</v>
      </c>
      <c r="AN6333">
        <v>20597</v>
      </c>
      <c r="AO6333">
        <v>0.47</v>
      </c>
      <c r="AP6333">
        <v>1</v>
      </c>
      <c r="AR6333">
        <v>1</v>
      </c>
      <c r="AS6333" s="1">
        <v>37710</v>
      </c>
      <c r="AT6333" s="1">
        <v>7540</v>
      </c>
      <c r="AU6333" s="1">
        <v>30170</v>
      </c>
      <c r="AV6333">
        <v>80.010000000000005</v>
      </c>
      <c r="AX6333" s="1">
        <v>4987.84</v>
      </c>
      <c r="AY6333" t="s">
        <v>6115</v>
      </c>
      <c r="AZ6333" t="s">
        <v>6115</v>
      </c>
      <c r="BA6333" t="s">
        <v>2860</v>
      </c>
      <c r="BB6333" s="3">
        <v>42061</v>
      </c>
      <c r="BD6333" t="s">
        <v>458</v>
      </c>
      <c r="BE6333" s="3">
        <v>41652</v>
      </c>
      <c r="BF6333" s="1">
        <v>380000</v>
      </c>
      <c r="BG6333" t="s">
        <v>38327</v>
      </c>
      <c r="BH6333" s="1">
        <v>149.31</v>
      </c>
      <c r="BI6333" s="1">
        <v>391598</v>
      </c>
      <c r="BJ6333" s="3">
        <v>42061</v>
      </c>
      <c r="BK6333" t="s">
        <v>123</v>
      </c>
      <c r="BL6333" t="str">
        <f>"2015.127622"</f>
        <v>2015.127622</v>
      </c>
      <c r="BM6333" t="s">
        <v>25589</v>
      </c>
      <c r="BO6333" t="s">
        <v>38328</v>
      </c>
      <c r="BS6333">
        <v>30</v>
      </c>
      <c r="BT6333" s="1">
        <v>36000</v>
      </c>
      <c r="BU6333" s="3">
        <v>42944</v>
      </c>
      <c r="BW6333" t="str">
        <f>"2017.552794"</f>
        <v>2017.552794</v>
      </c>
      <c r="BX6333" t="s">
        <v>26391</v>
      </c>
      <c r="BZ6333" t="s">
        <v>38328</v>
      </c>
      <c r="CC6333" t="s">
        <v>1633</v>
      </c>
      <c r="CD6333">
        <v>35</v>
      </c>
      <c r="CH6333" t="str">
        <f>""</f>
        <v/>
      </c>
      <c r="CS6333" t="str">
        <f>""</f>
        <v/>
      </c>
    </row>
    <row r="6334" spans="1:97" x14ac:dyDescent="0.25">
      <c r="A6334" t="s">
        <v>1393</v>
      </c>
      <c r="B6334" t="s">
        <v>3871</v>
      </c>
      <c r="E6334" t="s">
        <v>38329</v>
      </c>
      <c r="F6334" t="s">
        <v>108</v>
      </c>
      <c r="H6334" t="s">
        <v>38330</v>
      </c>
      <c r="I6334" t="s">
        <v>3150</v>
      </c>
      <c r="J6334" t="s">
        <v>111</v>
      </c>
      <c r="K6334" t="str">
        <f>"85340"</f>
        <v>85340</v>
      </c>
      <c r="L6334" t="s">
        <v>3151</v>
      </c>
      <c r="M6334" t="s">
        <v>38330</v>
      </c>
      <c r="N6334" t="s">
        <v>3150</v>
      </c>
      <c r="O6334" t="s">
        <v>111</v>
      </c>
      <c r="P6334" t="str">
        <f>"85340-8558"</f>
        <v>85340-8558</v>
      </c>
      <c r="Q6334" t="s">
        <v>113</v>
      </c>
      <c r="R6334" t="str">
        <f>"502-64-181"</f>
        <v>502-64-181</v>
      </c>
      <c r="S6334" t="s">
        <v>13135</v>
      </c>
      <c r="T6334" t="s">
        <v>13136</v>
      </c>
      <c r="U6334">
        <v>2560</v>
      </c>
      <c r="V6334">
        <v>0</v>
      </c>
      <c r="W6334">
        <v>3</v>
      </c>
      <c r="X6334">
        <v>2003</v>
      </c>
      <c r="Z6334">
        <v>1</v>
      </c>
      <c r="AA6334" t="s">
        <v>26</v>
      </c>
      <c r="AB6334">
        <v>0</v>
      </c>
      <c r="AC6334" t="s">
        <v>115</v>
      </c>
      <c r="AD6334">
        <v>3</v>
      </c>
      <c r="AE6334" t="s">
        <v>115</v>
      </c>
      <c r="AF6334">
        <v>0</v>
      </c>
      <c r="AG6334">
        <v>0</v>
      </c>
      <c r="AH6334" t="s">
        <v>116</v>
      </c>
      <c r="AI6334" s="1">
        <v>101408</v>
      </c>
      <c r="AJ6334" s="2">
        <v>0.23</v>
      </c>
      <c r="AK6334" s="1">
        <v>446408</v>
      </c>
      <c r="AL6334" t="s">
        <v>117</v>
      </c>
      <c r="AM6334" t="s">
        <v>376</v>
      </c>
      <c r="AN6334">
        <v>48423</v>
      </c>
      <c r="AO6334">
        <v>1.1100000000000001</v>
      </c>
      <c r="AP6334">
        <v>1</v>
      </c>
      <c r="AR6334">
        <v>1</v>
      </c>
      <c r="AS6334" s="1">
        <v>31180</v>
      </c>
      <c r="AT6334" s="1">
        <v>6230</v>
      </c>
      <c r="AU6334" s="1">
        <v>24950</v>
      </c>
      <c r="AV6334">
        <v>80.02</v>
      </c>
      <c r="AX6334" s="1">
        <v>4008.04</v>
      </c>
      <c r="AY6334" t="s">
        <v>503</v>
      </c>
      <c r="AZ6334" t="s">
        <v>503</v>
      </c>
      <c r="BA6334" t="s">
        <v>218</v>
      </c>
      <c r="BE6334" s="3">
        <v>42060</v>
      </c>
      <c r="BF6334" s="1">
        <v>345000</v>
      </c>
      <c r="BG6334" t="s">
        <v>38331</v>
      </c>
      <c r="BH6334" s="1">
        <v>134.77000000000001</v>
      </c>
      <c r="BI6334" s="1">
        <v>345000</v>
      </c>
      <c r="BJ6334" s="3">
        <v>42060</v>
      </c>
      <c r="BK6334" t="s">
        <v>123</v>
      </c>
      <c r="BL6334" t="str">
        <f>"2015.121880"</f>
        <v>2015.121880</v>
      </c>
      <c r="BM6334" t="s">
        <v>544</v>
      </c>
      <c r="BO6334" t="s">
        <v>38332</v>
      </c>
      <c r="BS6334">
        <v>30</v>
      </c>
      <c r="BW6334" t="str">
        <f>""</f>
        <v/>
      </c>
      <c r="CH6334" t="str">
        <f>""</f>
        <v/>
      </c>
      <c r="CS6334" t="str">
        <f>""</f>
        <v/>
      </c>
    </row>
    <row r="6335" spans="1:97" x14ac:dyDescent="0.25">
      <c r="A6335" t="s">
        <v>38333</v>
      </c>
      <c r="B6335" t="s">
        <v>2582</v>
      </c>
      <c r="C6335" t="s">
        <v>2286</v>
      </c>
      <c r="D6335" t="s">
        <v>2582</v>
      </c>
      <c r="E6335" t="s">
        <v>38334</v>
      </c>
      <c r="F6335" t="s">
        <v>108</v>
      </c>
      <c r="H6335" t="s">
        <v>38335</v>
      </c>
      <c r="I6335" t="s">
        <v>1936</v>
      </c>
      <c r="J6335" t="s">
        <v>111</v>
      </c>
      <c r="K6335" t="str">
        <f>"85262"</f>
        <v>85262</v>
      </c>
      <c r="L6335" t="s">
        <v>12111</v>
      </c>
      <c r="M6335" t="s">
        <v>38335</v>
      </c>
      <c r="N6335" t="s">
        <v>1936</v>
      </c>
      <c r="O6335" t="s">
        <v>111</v>
      </c>
      <c r="P6335" t="str">
        <f>"85262-6921"</f>
        <v>85262-6921</v>
      </c>
      <c r="Q6335" t="s">
        <v>113</v>
      </c>
      <c r="R6335" t="str">
        <f>"219-39-152"</f>
        <v>219-39-152</v>
      </c>
      <c r="U6335">
        <v>2671</v>
      </c>
      <c r="V6335">
        <v>0</v>
      </c>
      <c r="W6335">
        <v>4</v>
      </c>
      <c r="X6335">
        <v>2001</v>
      </c>
      <c r="Z6335">
        <v>1</v>
      </c>
      <c r="AA6335" t="s">
        <v>26</v>
      </c>
      <c r="AB6335">
        <v>0</v>
      </c>
      <c r="AC6335" t="s">
        <v>115</v>
      </c>
      <c r="AD6335">
        <v>4</v>
      </c>
      <c r="AE6335" t="s">
        <v>115</v>
      </c>
      <c r="AF6335">
        <v>0</v>
      </c>
      <c r="AG6335">
        <v>0</v>
      </c>
      <c r="AH6335" t="s">
        <v>116</v>
      </c>
      <c r="AI6335" s="1">
        <v>46695</v>
      </c>
      <c r="AJ6335" s="2">
        <v>0.09</v>
      </c>
      <c r="AK6335" s="1">
        <v>502248</v>
      </c>
      <c r="AL6335" t="s">
        <v>117</v>
      </c>
      <c r="AM6335" t="s">
        <v>376</v>
      </c>
      <c r="AN6335">
        <v>54450</v>
      </c>
      <c r="AO6335">
        <v>1.25</v>
      </c>
      <c r="AP6335">
        <v>1</v>
      </c>
      <c r="AR6335">
        <v>1</v>
      </c>
      <c r="AS6335" s="1">
        <v>42180</v>
      </c>
      <c r="AT6335" s="1">
        <v>8430</v>
      </c>
      <c r="AU6335" s="1">
        <v>33750</v>
      </c>
      <c r="AV6335">
        <v>80.010000000000005</v>
      </c>
      <c r="AX6335" s="1">
        <v>1778.98</v>
      </c>
      <c r="AY6335" t="s">
        <v>5017</v>
      </c>
      <c r="AZ6335" t="s">
        <v>1402</v>
      </c>
      <c r="BA6335" t="s">
        <v>1403</v>
      </c>
      <c r="BE6335" s="3">
        <v>42013</v>
      </c>
      <c r="BF6335" s="1">
        <v>460000</v>
      </c>
      <c r="BG6335" t="s">
        <v>3421</v>
      </c>
      <c r="BH6335" s="1">
        <v>172.22</v>
      </c>
      <c r="BI6335" s="1">
        <v>455553</v>
      </c>
      <c r="BJ6335" s="3">
        <v>42013</v>
      </c>
      <c r="BK6335" t="s">
        <v>123</v>
      </c>
      <c r="BL6335" t="str">
        <f>"2015.15448"</f>
        <v>2015.15448</v>
      </c>
      <c r="BM6335" t="s">
        <v>4014</v>
      </c>
      <c r="BO6335" t="s">
        <v>38336</v>
      </c>
      <c r="BS6335">
        <v>30</v>
      </c>
      <c r="BW6335" t="str">
        <f>""</f>
        <v/>
      </c>
      <c r="CH6335" t="str">
        <f>""</f>
        <v/>
      </c>
      <c r="CS6335" t="str">
        <f>""</f>
        <v/>
      </c>
    </row>
    <row r="6336" spans="1:97" x14ac:dyDescent="0.25">
      <c r="A6336" t="s">
        <v>38337</v>
      </c>
      <c r="B6336" t="s">
        <v>38338</v>
      </c>
      <c r="C6336" t="s">
        <v>970</v>
      </c>
      <c r="D6336" t="s">
        <v>38338</v>
      </c>
      <c r="E6336" t="s">
        <v>38339</v>
      </c>
      <c r="F6336" t="s">
        <v>108</v>
      </c>
      <c r="H6336" t="s">
        <v>38340</v>
      </c>
      <c r="I6336" t="s">
        <v>110</v>
      </c>
      <c r="J6336" t="s">
        <v>111</v>
      </c>
      <c r="K6336" t="str">
        <f>"85249"</f>
        <v>85249</v>
      </c>
      <c r="L6336" t="s">
        <v>3696</v>
      </c>
      <c r="M6336" t="s">
        <v>38340</v>
      </c>
      <c r="N6336" t="s">
        <v>110</v>
      </c>
      <c r="O6336" t="s">
        <v>111</v>
      </c>
      <c r="P6336" t="str">
        <f>"85249-3858"</f>
        <v>85249-3858</v>
      </c>
      <c r="Q6336" t="s">
        <v>113</v>
      </c>
      <c r="R6336" t="str">
        <f>"304-82-018-Z"</f>
        <v>304-82-018-Z</v>
      </c>
      <c r="U6336">
        <v>2047</v>
      </c>
      <c r="V6336">
        <v>0</v>
      </c>
      <c r="W6336">
        <v>4</v>
      </c>
      <c r="X6336">
        <v>2002</v>
      </c>
      <c r="Z6336">
        <v>1</v>
      </c>
      <c r="AA6336" t="s">
        <v>26</v>
      </c>
      <c r="AB6336">
        <v>0</v>
      </c>
      <c r="AC6336" t="s">
        <v>115</v>
      </c>
      <c r="AD6336">
        <v>3</v>
      </c>
      <c r="AE6336" t="s">
        <v>115</v>
      </c>
      <c r="AF6336">
        <v>0</v>
      </c>
      <c r="AG6336">
        <v>0</v>
      </c>
      <c r="AH6336" t="s">
        <v>116</v>
      </c>
      <c r="AI6336" s="1">
        <v>80152</v>
      </c>
      <c r="AJ6336" s="2">
        <v>0.16</v>
      </c>
      <c r="AK6336" s="1">
        <v>508320</v>
      </c>
      <c r="AL6336" t="s">
        <v>117</v>
      </c>
      <c r="AM6336" t="s">
        <v>376</v>
      </c>
      <c r="AN6336">
        <v>40249</v>
      </c>
      <c r="AO6336">
        <v>0.92</v>
      </c>
      <c r="AP6336">
        <v>1</v>
      </c>
      <c r="AR6336">
        <v>1</v>
      </c>
      <c r="AS6336" s="1">
        <v>38050</v>
      </c>
      <c r="AT6336" s="1">
        <v>7610</v>
      </c>
      <c r="AU6336" s="1">
        <v>30440</v>
      </c>
      <c r="AV6336">
        <v>80</v>
      </c>
      <c r="AX6336" s="1">
        <v>3321.64</v>
      </c>
      <c r="AY6336" t="s">
        <v>3699</v>
      </c>
      <c r="AZ6336" t="s">
        <v>273</v>
      </c>
      <c r="BA6336" t="s">
        <v>274</v>
      </c>
      <c r="BE6336" s="3">
        <v>41989</v>
      </c>
      <c r="BF6336" s="1">
        <v>386000</v>
      </c>
      <c r="BG6336" t="s">
        <v>3408</v>
      </c>
      <c r="BH6336" s="1">
        <v>188.57</v>
      </c>
      <c r="BI6336" s="1">
        <v>388168</v>
      </c>
      <c r="BJ6336" s="3">
        <v>41989</v>
      </c>
      <c r="BK6336" t="s">
        <v>123</v>
      </c>
      <c r="BL6336" t="str">
        <f>"2014.825991"</f>
        <v>2014.825991</v>
      </c>
      <c r="BM6336" t="s">
        <v>1185</v>
      </c>
      <c r="BO6336" t="s">
        <v>38341</v>
      </c>
      <c r="BS6336">
        <v>30</v>
      </c>
      <c r="BT6336" s="1">
        <v>40000</v>
      </c>
      <c r="BU6336" s="3">
        <v>42643</v>
      </c>
      <c r="BV6336" t="s">
        <v>134</v>
      </c>
      <c r="BW6336" t="str">
        <f>"2016.718331"</f>
        <v>2016.718331</v>
      </c>
      <c r="BX6336" t="s">
        <v>369</v>
      </c>
      <c r="BZ6336" t="s">
        <v>38342</v>
      </c>
      <c r="CD6336">
        <v>25</v>
      </c>
      <c r="CH6336" t="str">
        <f>""</f>
        <v/>
      </c>
      <c r="CS6336" t="str">
        <f>""</f>
        <v/>
      </c>
    </row>
    <row r="6337" spans="1:97" x14ac:dyDescent="0.25">
      <c r="B6337" t="s">
        <v>13118</v>
      </c>
      <c r="E6337" t="s">
        <v>1552</v>
      </c>
      <c r="F6337" t="s">
        <v>108</v>
      </c>
      <c r="H6337" t="s">
        <v>38343</v>
      </c>
      <c r="I6337" t="s">
        <v>2874</v>
      </c>
      <c r="J6337" t="s">
        <v>111</v>
      </c>
      <c r="K6337" t="str">
        <f>"85308"</f>
        <v>85308</v>
      </c>
      <c r="L6337" t="s">
        <v>15475</v>
      </c>
      <c r="M6337" t="s">
        <v>38343</v>
      </c>
      <c r="N6337" t="s">
        <v>2874</v>
      </c>
      <c r="O6337" t="s">
        <v>111</v>
      </c>
      <c r="P6337" t="str">
        <f>"85308-6210"</f>
        <v>85308-6210</v>
      </c>
      <c r="Q6337" t="s">
        <v>113</v>
      </c>
      <c r="R6337" t="str">
        <f>"200-23-074"</f>
        <v>200-23-074</v>
      </c>
      <c r="S6337" t="s">
        <v>38344</v>
      </c>
      <c r="T6337" t="s">
        <v>38345</v>
      </c>
      <c r="U6337">
        <v>3404</v>
      </c>
      <c r="V6337">
        <v>0</v>
      </c>
      <c r="W6337">
        <v>5</v>
      </c>
      <c r="X6337">
        <v>1987</v>
      </c>
      <c r="Z6337">
        <v>2</v>
      </c>
      <c r="AB6337">
        <v>0</v>
      </c>
      <c r="AC6337" t="s">
        <v>115</v>
      </c>
      <c r="AD6337">
        <v>3</v>
      </c>
      <c r="AE6337" t="s">
        <v>115</v>
      </c>
      <c r="AF6337">
        <v>0</v>
      </c>
      <c r="AG6337">
        <v>0</v>
      </c>
      <c r="AH6337" t="s">
        <v>116</v>
      </c>
      <c r="AI6337" s="1">
        <v>184143</v>
      </c>
      <c r="AJ6337" s="2">
        <v>0.31</v>
      </c>
      <c r="AK6337" s="1">
        <v>591065</v>
      </c>
      <c r="AL6337" t="s">
        <v>117</v>
      </c>
      <c r="AM6337" t="s">
        <v>191</v>
      </c>
      <c r="AN6337">
        <v>8190</v>
      </c>
      <c r="AO6337">
        <v>0.19</v>
      </c>
      <c r="AP6337">
        <v>1</v>
      </c>
      <c r="AR6337">
        <v>1</v>
      </c>
      <c r="AS6337" s="1">
        <v>44380</v>
      </c>
      <c r="AT6337" s="1">
        <v>8870</v>
      </c>
      <c r="AU6337" s="1">
        <v>35510</v>
      </c>
      <c r="AV6337">
        <v>80.010000000000005</v>
      </c>
      <c r="AX6337" s="1">
        <v>4029.5</v>
      </c>
      <c r="AY6337" t="s">
        <v>7455</v>
      </c>
      <c r="AZ6337" t="s">
        <v>3049</v>
      </c>
      <c r="BA6337" t="s">
        <v>2223</v>
      </c>
      <c r="BB6337" s="3">
        <v>42683</v>
      </c>
      <c r="BD6337" t="s">
        <v>240</v>
      </c>
      <c r="BE6337" s="3">
        <v>41767</v>
      </c>
      <c r="BF6337" s="1">
        <v>464000</v>
      </c>
      <c r="BG6337" t="s">
        <v>38346</v>
      </c>
      <c r="BH6337" s="1">
        <v>136.31</v>
      </c>
      <c r="BI6337" s="1">
        <v>406922</v>
      </c>
      <c r="BJ6337" s="3">
        <v>42587</v>
      </c>
      <c r="BK6337" t="s">
        <v>123</v>
      </c>
      <c r="BL6337" t="str">
        <f>"2016.556785"</f>
        <v>2016.556785</v>
      </c>
      <c r="BM6337" t="s">
        <v>6761</v>
      </c>
      <c r="BO6337" t="s">
        <v>38347</v>
      </c>
      <c r="BS6337">
        <v>30</v>
      </c>
      <c r="BW6337" t="str">
        <f>""</f>
        <v/>
      </c>
      <c r="CH6337" t="str">
        <f>""</f>
        <v/>
      </c>
      <c r="CS6337" t="str">
        <f>""</f>
        <v/>
      </c>
    </row>
    <row r="6338" spans="1:97" x14ac:dyDescent="0.25">
      <c r="A6338" t="s">
        <v>1160</v>
      </c>
      <c r="B6338" t="s">
        <v>11417</v>
      </c>
      <c r="E6338" t="s">
        <v>38348</v>
      </c>
      <c r="F6338" t="s">
        <v>108</v>
      </c>
      <c r="H6338" t="s">
        <v>38349</v>
      </c>
      <c r="I6338" t="s">
        <v>110</v>
      </c>
      <c r="J6338" t="s">
        <v>111</v>
      </c>
      <c r="K6338" t="str">
        <f>"85249"</f>
        <v>85249</v>
      </c>
      <c r="L6338" t="s">
        <v>417</v>
      </c>
      <c r="M6338" t="s">
        <v>38349</v>
      </c>
      <c r="N6338" t="s">
        <v>110</v>
      </c>
      <c r="O6338" t="s">
        <v>111</v>
      </c>
      <c r="P6338" t="str">
        <f>"85249-6089"</f>
        <v>85249-6089</v>
      </c>
      <c r="Q6338" t="s">
        <v>113</v>
      </c>
      <c r="R6338" t="str">
        <f>"304-85-637"</f>
        <v>304-85-637</v>
      </c>
      <c r="S6338" t="s">
        <v>38350</v>
      </c>
      <c r="T6338" t="s">
        <v>9862</v>
      </c>
      <c r="U6338">
        <v>2742</v>
      </c>
      <c r="V6338">
        <v>0</v>
      </c>
      <c r="W6338">
        <v>5</v>
      </c>
      <c r="X6338">
        <v>2014</v>
      </c>
      <c r="Z6338">
        <v>1</v>
      </c>
      <c r="AA6338" t="s">
        <v>26</v>
      </c>
      <c r="AB6338">
        <v>0</v>
      </c>
      <c r="AC6338" t="s">
        <v>115</v>
      </c>
      <c r="AD6338">
        <v>3</v>
      </c>
      <c r="AE6338" t="s">
        <v>115</v>
      </c>
      <c r="AF6338">
        <v>0</v>
      </c>
      <c r="AG6338">
        <v>0</v>
      </c>
      <c r="AH6338" t="s">
        <v>116</v>
      </c>
      <c r="AI6338" s="1">
        <v>72698</v>
      </c>
      <c r="AJ6338" s="2">
        <v>0.13</v>
      </c>
      <c r="AK6338" s="1">
        <v>567234</v>
      </c>
      <c r="AL6338" t="s">
        <v>117</v>
      </c>
      <c r="AM6338" t="s">
        <v>118</v>
      </c>
      <c r="AN6338">
        <v>8846</v>
      </c>
      <c r="AO6338">
        <v>0.2</v>
      </c>
      <c r="AR6338">
        <v>1</v>
      </c>
      <c r="AS6338" s="1">
        <v>45680</v>
      </c>
      <c r="AT6338" s="1">
        <v>9130</v>
      </c>
      <c r="AU6338" s="1">
        <v>36550</v>
      </c>
      <c r="AV6338">
        <v>80.010000000000005</v>
      </c>
      <c r="AX6338" s="1">
        <v>3844.28</v>
      </c>
      <c r="AY6338" t="s">
        <v>3699</v>
      </c>
      <c r="AZ6338" t="s">
        <v>273</v>
      </c>
      <c r="BA6338" t="s">
        <v>274</v>
      </c>
      <c r="BB6338" s="3">
        <v>43262</v>
      </c>
      <c r="BC6338" s="1">
        <v>40000</v>
      </c>
      <c r="BD6338" t="s">
        <v>247</v>
      </c>
      <c r="BE6338" s="3">
        <v>41691</v>
      </c>
      <c r="BF6338" s="1">
        <v>583884</v>
      </c>
      <c r="BG6338" t="s">
        <v>2342</v>
      </c>
      <c r="BH6338" s="1">
        <v>212.94</v>
      </c>
      <c r="BI6338" s="1">
        <v>494536</v>
      </c>
      <c r="BJ6338" s="3">
        <v>43262</v>
      </c>
      <c r="BK6338" t="s">
        <v>123</v>
      </c>
      <c r="BL6338" t="str">
        <f>"2018.442112"</f>
        <v>2018.442112</v>
      </c>
      <c r="BM6338" t="s">
        <v>5842</v>
      </c>
      <c r="BN6338" t="s">
        <v>5843</v>
      </c>
      <c r="BO6338" t="s">
        <v>38351</v>
      </c>
      <c r="BR6338" t="s">
        <v>139</v>
      </c>
      <c r="BW6338" t="str">
        <f>""</f>
        <v/>
      </c>
      <c r="CH6338" t="str">
        <f>""</f>
        <v/>
      </c>
      <c r="CS6338" t="str">
        <f>""</f>
        <v/>
      </c>
    </row>
    <row r="6339" spans="1:97" x14ac:dyDescent="0.25">
      <c r="A6339" t="s">
        <v>894</v>
      </c>
      <c r="B6339" t="s">
        <v>38352</v>
      </c>
      <c r="E6339" t="s">
        <v>38353</v>
      </c>
      <c r="F6339" t="s">
        <v>108</v>
      </c>
      <c r="H6339" t="s">
        <v>38354</v>
      </c>
      <c r="I6339" t="s">
        <v>390</v>
      </c>
      <c r="J6339" t="s">
        <v>111</v>
      </c>
      <c r="K6339" t="str">
        <f>"85022"</f>
        <v>85022</v>
      </c>
      <c r="L6339" t="s">
        <v>5438</v>
      </c>
      <c r="M6339" t="s">
        <v>38354</v>
      </c>
      <c r="N6339" t="s">
        <v>390</v>
      </c>
      <c r="O6339" t="s">
        <v>111</v>
      </c>
      <c r="P6339" t="str">
        <f>"85022-2606"</f>
        <v>85022-2606</v>
      </c>
      <c r="Q6339" t="s">
        <v>113</v>
      </c>
      <c r="R6339" t="str">
        <f>"214-16-010"</f>
        <v>214-16-010</v>
      </c>
      <c r="S6339" t="s">
        <v>5439</v>
      </c>
      <c r="T6339" t="s">
        <v>5440</v>
      </c>
      <c r="U6339">
        <v>1921</v>
      </c>
      <c r="V6339">
        <v>0</v>
      </c>
      <c r="W6339">
        <v>3</v>
      </c>
      <c r="X6339">
        <v>1979</v>
      </c>
      <c r="Z6339">
        <v>1</v>
      </c>
      <c r="AA6339" t="s">
        <v>26</v>
      </c>
      <c r="AB6339">
        <v>0</v>
      </c>
      <c r="AC6339" t="s">
        <v>115</v>
      </c>
      <c r="AD6339">
        <v>2</v>
      </c>
      <c r="AE6339" t="s">
        <v>115</v>
      </c>
      <c r="AF6339">
        <v>0</v>
      </c>
      <c r="AG6339">
        <v>0</v>
      </c>
      <c r="AH6339" t="s">
        <v>116</v>
      </c>
      <c r="AI6339" s="1">
        <v>56622</v>
      </c>
      <c r="AJ6339" s="2">
        <v>0.16</v>
      </c>
      <c r="AK6339" s="1">
        <v>351027</v>
      </c>
      <c r="AL6339" t="s">
        <v>117</v>
      </c>
      <c r="AM6339" t="s">
        <v>5441</v>
      </c>
      <c r="AN6339">
        <v>9089</v>
      </c>
      <c r="AO6339">
        <v>0.21</v>
      </c>
      <c r="AP6339">
        <v>1</v>
      </c>
      <c r="AR6339">
        <v>1</v>
      </c>
      <c r="AS6339" s="1">
        <v>23780</v>
      </c>
      <c r="AT6339" s="1">
        <v>4750</v>
      </c>
      <c r="AU6339" s="1">
        <v>19030</v>
      </c>
      <c r="AV6339">
        <v>80.03</v>
      </c>
      <c r="AX6339" s="1">
        <v>2036.08</v>
      </c>
      <c r="AY6339" t="s">
        <v>5442</v>
      </c>
      <c r="AZ6339" t="s">
        <v>5231</v>
      </c>
      <c r="BA6339" t="s">
        <v>2551</v>
      </c>
      <c r="BE6339" s="3">
        <v>42459</v>
      </c>
      <c r="BF6339" s="1">
        <v>285000</v>
      </c>
      <c r="BG6339" t="s">
        <v>38355</v>
      </c>
      <c r="BH6339" s="1">
        <v>148.36000000000001</v>
      </c>
      <c r="BI6339" s="1">
        <v>294405</v>
      </c>
      <c r="BJ6339" s="3">
        <v>42459</v>
      </c>
      <c r="BK6339" t="s">
        <v>123</v>
      </c>
      <c r="BL6339" t="str">
        <f>"2016.206760"</f>
        <v>2016.206760</v>
      </c>
      <c r="BM6339" t="s">
        <v>1185</v>
      </c>
      <c r="BO6339" t="s">
        <v>38356</v>
      </c>
      <c r="BS6339">
        <v>30</v>
      </c>
      <c r="BW6339" t="str">
        <f>""</f>
        <v/>
      </c>
      <c r="CH6339" t="str">
        <f>""</f>
        <v/>
      </c>
      <c r="CS6339" t="str">
        <f>""</f>
        <v/>
      </c>
    </row>
    <row r="6340" spans="1:97" x14ac:dyDescent="0.25">
      <c r="A6340" t="s">
        <v>2374</v>
      </c>
      <c r="B6340" t="s">
        <v>38357</v>
      </c>
      <c r="C6340" t="s">
        <v>29248</v>
      </c>
      <c r="D6340" t="s">
        <v>38357</v>
      </c>
      <c r="E6340" t="s">
        <v>38358</v>
      </c>
      <c r="F6340" t="s">
        <v>108</v>
      </c>
      <c r="H6340" t="s">
        <v>38359</v>
      </c>
      <c r="I6340" t="s">
        <v>499</v>
      </c>
      <c r="J6340" t="s">
        <v>111</v>
      </c>
      <c r="K6340" t="str">
        <f>"85338"</f>
        <v>85338</v>
      </c>
      <c r="L6340" t="s">
        <v>316</v>
      </c>
      <c r="M6340" t="s">
        <v>38359</v>
      </c>
      <c r="N6340" t="s">
        <v>499</v>
      </c>
      <c r="O6340" t="s">
        <v>111</v>
      </c>
      <c r="P6340" t="str">
        <f>"85338-7025"</f>
        <v>85338-7025</v>
      </c>
      <c r="Q6340" t="s">
        <v>113</v>
      </c>
      <c r="R6340" t="str">
        <f>"500-89-694"</f>
        <v>500-89-694</v>
      </c>
      <c r="S6340" t="s">
        <v>5041</v>
      </c>
      <c r="T6340" t="s">
        <v>5042</v>
      </c>
      <c r="U6340">
        <v>1843</v>
      </c>
      <c r="V6340">
        <v>0</v>
      </c>
      <c r="W6340">
        <v>3</v>
      </c>
      <c r="X6340">
        <v>2015</v>
      </c>
      <c r="Z6340">
        <v>1</v>
      </c>
      <c r="AB6340">
        <v>0</v>
      </c>
      <c r="AC6340" t="s">
        <v>115</v>
      </c>
      <c r="AD6340">
        <v>2</v>
      </c>
      <c r="AE6340" t="s">
        <v>115</v>
      </c>
      <c r="AF6340">
        <v>0</v>
      </c>
      <c r="AG6340">
        <v>0</v>
      </c>
      <c r="AH6340" t="s">
        <v>116</v>
      </c>
      <c r="AI6340" s="1">
        <v>57138</v>
      </c>
      <c r="AJ6340" s="2">
        <v>0.21</v>
      </c>
      <c r="AK6340" s="1">
        <v>268491</v>
      </c>
      <c r="AL6340" t="s">
        <v>117</v>
      </c>
      <c r="AM6340" t="s">
        <v>118</v>
      </c>
      <c r="AN6340">
        <v>5854</v>
      </c>
      <c r="AO6340">
        <v>0.13</v>
      </c>
      <c r="AR6340">
        <v>1</v>
      </c>
      <c r="AS6340" s="1">
        <v>17760</v>
      </c>
      <c r="AT6340" s="1">
        <v>3550</v>
      </c>
      <c r="AU6340" s="1">
        <v>14210</v>
      </c>
      <c r="AV6340">
        <v>80.010000000000005</v>
      </c>
      <c r="AX6340" s="1">
        <v>1460.42</v>
      </c>
      <c r="AY6340" t="s">
        <v>4311</v>
      </c>
      <c r="AZ6340" t="s">
        <v>4311</v>
      </c>
      <c r="BA6340" t="s">
        <v>218</v>
      </c>
      <c r="BE6340" s="3">
        <v>42265</v>
      </c>
      <c r="BF6340" s="1">
        <v>204602</v>
      </c>
      <c r="BG6340" t="s">
        <v>2780</v>
      </c>
      <c r="BH6340" s="1">
        <v>111.02</v>
      </c>
      <c r="BI6340" s="1">
        <v>211353</v>
      </c>
      <c r="BJ6340" s="3">
        <v>42265</v>
      </c>
      <c r="BK6340" t="s">
        <v>123</v>
      </c>
      <c r="BL6340" t="str">
        <f>"2015.675048"</f>
        <v>2015.675048</v>
      </c>
      <c r="BM6340" t="s">
        <v>3810</v>
      </c>
      <c r="BO6340" t="s">
        <v>38360</v>
      </c>
      <c r="BS6340">
        <v>30</v>
      </c>
      <c r="BW6340" t="str">
        <f>""</f>
        <v/>
      </c>
      <c r="CH6340" t="str">
        <f>""</f>
        <v/>
      </c>
      <c r="CS6340" t="str">
        <f>""</f>
        <v/>
      </c>
    </row>
    <row r="6341" spans="1:97" x14ac:dyDescent="0.25">
      <c r="A6341" t="s">
        <v>2580</v>
      </c>
      <c r="B6341" t="s">
        <v>38361</v>
      </c>
      <c r="C6341" t="s">
        <v>1963</v>
      </c>
      <c r="D6341" t="s">
        <v>8100</v>
      </c>
      <c r="E6341" t="s">
        <v>38362</v>
      </c>
      <c r="F6341" t="s">
        <v>108</v>
      </c>
      <c r="H6341" t="s">
        <v>38363</v>
      </c>
      <c r="I6341" t="s">
        <v>5636</v>
      </c>
      <c r="J6341" t="s">
        <v>111</v>
      </c>
      <c r="K6341" t="str">
        <f>"85268"</f>
        <v>85268</v>
      </c>
      <c r="L6341" t="s">
        <v>7243</v>
      </c>
      <c r="M6341" t="s">
        <v>38363</v>
      </c>
      <c r="N6341" t="s">
        <v>5636</v>
      </c>
      <c r="O6341" t="s">
        <v>111</v>
      </c>
      <c r="P6341" t="str">
        <f>"85268-1805"</f>
        <v>85268-1805</v>
      </c>
      <c r="Q6341" t="s">
        <v>113</v>
      </c>
      <c r="R6341" t="str">
        <f>"176-22-007"</f>
        <v>176-22-007</v>
      </c>
      <c r="S6341" t="s">
        <v>26509</v>
      </c>
      <c r="U6341">
        <v>1464</v>
      </c>
      <c r="V6341">
        <v>0</v>
      </c>
      <c r="W6341">
        <v>2</v>
      </c>
      <c r="X6341">
        <v>1976</v>
      </c>
      <c r="Z6341">
        <v>1</v>
      </c>
      <c r="AA6341" t="s">
        <v>26</v>
      </c>
      <c r="AB6341">
        <v>0</v>
      </c>
      <c r="AC6341" t="s">
        <v>5188</v>
      </c>
      <c r="AD6341">
        <v>2</v>
      </c>
      <c r="AE6341" t="s">
        <v>5188</v>
      </c>
      <c r="AF6341">
        <v>0</v>
      </c>
      <c r="AG6341">
        <v>0</v>
      </c>
      <c r="AH6341" t="s">
        <v>116</v>
      </c>
      <c r="AI6341" s="1">
        <v>120554</v>
      </c>
      <c r="AJ6341" s="2">
        <v>0.37</v>
      </c>
      <c r="AK6341" s="1">
        <v>326554</v>
      </c>
      <c r="AL6341" t="s">
        <v>117</v>
      </c>
      <c r="AM6341" t="s">
        <v>1302</v>
      </c>
      <c r="AN6341">
        <v>11591</v>
      </c>
      <c r="AO6341">
        <v>0.27</v>
      </c>
      <c r="AP6341">
        <v>1</v>
      </c>
      <c r="AR6341">
        <v>1</v>
      </c>
      <c r="AS6341" s="1">
        <v>21620</v>
      </c>
      <c r="AT6341" s="1">
        <v>4320</v>
      </c>
      <c r="AU6341" s="1">
        <v>17300</v>
      </c>
      <c r="AV6341">
        <v>80.02</v>
      </c>
      <c r="AX6341" s="1">
        <v>1250.54</v>
      </c>
      <c r="AY6341" t="s">
        <v>5639</v>
      </c>
      <c r="AZ6341" t="s">
        <v>5640</v>
      </c>
      <c r="BA6341" t="s">
        <v>5641</v>
      </c>
      <c r="BE6341" s="3">
        <v>42200</v>
      </c>
      <c r="BF6341" s="1">
        <v>206000</v>
      </c>
      <c r="BG6341" t="s">
        <v>38364</v>
      </c>
      <c r="BH6341" s="1">
        <v>140.71</v>
      </c>
      <c r="BI6341" s="1">
        <v>206000</v>
      </c>
      <c r="BJ6341" s="3">
        <v>42200</v>
      </c>
      <c r="BK6341" t="s">
        <v>123</v>
      </c>
      <c r="BL6341" t="str">
        <f>"2015.507385"</f>
        <v>2015.507385</v>
      </c>
      <c r="BM6341" t="s">
        <v>724</v>
      </c>
      <c r="BO6341" t="s">
        <v>38365</v>
      </c>
      <c r="BP6341" t="s">
        <v>38366</v>
      </c>
      <c r="BS6341">
        <v>30</v>
      </c>
      <c r="BW6341" t="str">
        <f>""</f>
        <v/>
      </c>
      <c r="CH6341" t="str">
        <f>""</f>
        <v/>
      </c>
      <c r="CS6341" t="str">
        <f>""</f>
        <v/>
      </c>
    </row>
    <row r="6342" spans="1:97" x14ac:dyDescent="0.25">
      <c r="A6342" t="s">
        <v>1109</v>
      </c>
      <c r="B6342" t="s">
        <v>2692</v>
      </c>
      <c r="C6342" t="s">
        <v>2184</v>
      </c>
      <c r="D6342" t="s">
        <v>2692</v>
      </c>
      <c r="E6342" t="s">
        <v>38367</v>
      </c>
      <c r="F6342" t="s">
        <v>108</v>
      </c>
      <c r="H6342" t="s">
        <v>38368</v>
      </c>
      <c r="I6342" t="s">
        <v>390</v>
      </c>
      <c r="J6342" t="s">
        <v>111</v>
      </c>
      <c r="K6342" t="str">
        <f>"85029"</f>
        <v>85029</v>
      </c>
      <c r="L6342" t="s">
        <v>9764</v>
      </c>
      <c r="M6342" t="s">
        <v>38368</v>
      </c>
      <c r="N6342" t="s">
        <v>390</v>
      </c>
      <c r="O6342" t="s">
        <v>111</v>
      </c>
      <c r="P6342" t="str">
        <f>"85029-3108"</f>
        <v>85029-3108</v>
      </c>
      <c r="Q6342" t="s">
        <v>113</v>
      </c>
      <c r="R6342" t="str">
        <f>"149-32-230"</f>
        <v>149-32-230</v>
      </c>
      <c r="S6342" t="s">
        <v>38369</v>
      </c>
      <c r="T6342" t="s">
        <v>21333</v>
      </c>
      <c r="U6342">
        <v>2428</v>
      </c>
      <c r="V6342">
        <v>0</v>
      </c>
      <c r="W6342">
        <v>2</v>
      </c>
      <c r="X6342">
        <v>1969</v>
      </c>
      <c r="Z6342">
        <v>1</v>
      </c>
      <c r="AA6342" t="s">
        <v>26</v>
      </c>
      <c r="AB6342">
        <v>0</v>
      </c>
      <c r="AC6342" t="s">
        <v>115</v>
      </c>
      <c r="AD6342">
        <v>2</v>
      </c>
      <c r="AE6342" t="s">
        <v>115</v>
      </c>
      <c r="AF6342">
        <v>0</v>
      </c>
      <c r="AG6342">
        <v>0</v>
      </c>
      <c r="AH6342" t="s">
        <v>116</v>
      </c>
      <c r="AI6342" s="1">
        <v>46386</v>
      </c>
      <c r="AJ6342" s="2">
        <v>0.16</v>
      </c>
      <c r="AK6342" s="1">
        <v>294386</v>
      </c>
      <c r="AL6342" t="s">
        <v>117</v>
      </c>
      <c r="AM6342" t="s">
        <v>191</v>
      </c>
      <c r="AN6342">
        <v>9779</v>
      </c>
      <c r="AO6342">
        <v>0.22</v>
      </c>
      <c r="AP6342">
        <v>1</v>
      </c>
      <c r="AR6342">
        <v>1</v>
      </c>
      <c r="AS6342" s="1">
        <v>20120</v>
      </c>
      <c r="AT6342" s="1">
        <v>4020</v>
      </c>
      <c r="AU6342" s="1">
        <v>16100</v>
      </c>
      <c r="AV6342">
        <v>80.02</v>
      </c>
      <c r="AX6342" s="1">
        <v>1524.18</v>
      </c>
      <c r="AY6342" t="s">
        <v>21334</v>
      </c>
      <c r="AZ6342" t="s">
        <v>6986</v>
      </c>
      <c r="BA6342" t="s">
        <v>10888</v>
      </c>
      <c r="BE6342" s="3">
        <v>42298</v>
      </c>
      <c r="BF6342" s="1">
        <v>251888</v>
      </c>
      <c r="BG6342" t="s">
        <v>38370</v>
      </c>
      <c r="BH6342" s="1">
        <v>103.74</v>
      </c>
      <c r="BI6342" s="1">
        <v>248000</v>
      </c>
      <c r="BJ6342" s="3">
        <v>42298</v>
      </c>
      <c r="BK6342" t="s">
        <v>123</v>
      </c>
      <c r="BL6342" t="str">
        <f>"2015.756016"</f>
        <v>2015.756016</v>
      </c>
      <c r="BM6342" t="s">
        <v>131</v>
      </c>
      <c r="BO6342" t="s">
        <v>38371</v>
      </c>
      <c r="BS6342">
        <v>30</v>
      </c>
      <c r="BW6342" t="str">
        <f>""</f>
        <v/>
      </c>
      <c r="CH6342" t="str">
        <f>""</f>
        <v/>
      </c>
      <c r="CS6342" t="str">
        <f>""</f>
        <v/>
      </c>
    </row>
    <row r="6343" spans="1:97" x14ac:dyDescent="0.25">
      <c r="A6343" t="s">
        <v>13060</v>
      </c>
      <c r="B6343" t="s">
        <v>36463</v>
      </c>
      <c r="C6343" t="s">
        <v>2762</v>
      </c>
      <c r="D6343" t="s">
        <v>36463</v>
      </c>
      <c r="E6343" t="s">
        <v>38372</v>
      </c>
      <c r="F6343" t="s">
        <v>108</v>
      </c>
      <c r="H6343" t="s">
        <v>38373</v>
      </c>
      <c r="I6343" t="s">
        <v>1788</v>
      </c>
      <c r="J6343" t="s">
        <v>111</v>
      </c>
      <c r="K6343" t="str">
        <f>"85355"</f>
        <v>85355</v>
      </c>
      <c r="L6343" t="s">
        <v>168</v>
      </c>
      <c r="M6343" t="s">
        <v>38373</v>
      </c>
      <c r="N6343" t="s">
        <v>1788</v>
      </c>
      <c r="O6343" t="s">
        <v>111</v>
      </c>
      <c r="P6343" t="str">
        <f>"85355-4472"</f>
        <v>85355-4472</v>
      </c>
      <c r="Q6343" t="s">
        <v>113</v>
      </c>
      <c r="R6343" t="str">
        <f>"502-90-497"</f>
        <v>502-90-497</v>
      </c>
      <c r="S6343" t="s">
        <v>8290</v>
      </c>
      <c r="T6343" t="s">
        <v>8290</v>
      </c>
      <c r="U6343">
        <v>2507</v>
      </c>
      <c r="V6343">
        <v>0</v>
      </c>
      <c r="W6343">
        <v>4</v>
      </c>
      <c r="X6343">
        <v>2015</v>
      </c>
      <c r="Z6343">
        <v>1</v>
      </c>
      <c r="AB6343">
        <v>0</v>
      </c>
      <c r="AC6343" t="s">
        <v>115</v>
      </c>
      <c r="AD6343">
        <v>3</v>
      </c>
      <c r="AE6343" t="s">
        <v>115</v>
      </c>
      <c r="AF6343">
        <v>0</v>
      </c>
      <c r="AG6343">
        <v>0</v>
      </c>
      <c r="AH6343" t="s">
        <v>116</v>
      </c>
      <c r="AI6343" s="1">
        <v>82333</v>
      </c>
      <c r="AJ6343" s="2">
        <v>0.24</v>
      </c>
      <c r="AK6343" s="1">
        <v>340627</v>
      </c>
      <c r="AL6343" t="s">
        <v>117</v>
      </c>
      <c r="AM6343" t="s">
        <v>191</v>
      </c>
      <c r="AN6343">
        <v>8750</v>
      </c>
      <c r="AO6343">
        <v>0.2</v>
      </c>
      <c r="AR6343">
        <v>1</v>
      </c>
      <c r="AS6343" s="1">
        <v>25350</v>
      </c>
      <c r="AT6343" s="1">
        <v>5070</v>
      </c>
      <c r="AU6343" s="1">
        <v>20280</v>
      </c>
      <c r="AV6343">
        <v>80</v>
      </c>
      <c r="AX6343" s="1">
        <v>1671.36</v>
      </c>
      <c r="AY6343" t="s">
        <v>5972</v>
      </c>
      <c r="AZ6343" t="s">
        <v>5972</v>
      </c>
      <c r="BA6343" t="s">
        <v>5061</v>
      </c>
      <c r="BE6343" s="3">
        <v>42262</v>
      </c>
      <c r="BF6343" s="1">
        <v>274477</v>
      </c>
      <c r="BG6343" t="s">
        <v>158</v>
      </c>
      <c r="BH6343" s="1">
        <v>109.48</v>
      </c>
      <c r="BI6343" s="1">
        <v>258294</v>
      </c>
      <c r="BJ6343" s="3">
        <v>42262</v>
      </c>
      <c r="BK6343" t="s">
        <v>123</v>
      </c>
      <c r="BL6343" t="str">
        <f>"2015.664861"</f>
        <v>2015.664861</v>
      </c>
      <c r="BM6343" t="s">
        <v>241</v>
      </c>
      <c r="BO6343" t="s">
        <v>38374</v>
      </c>
      <c r="BS6343">
        <v>30</v>
      </c>
      <c r="BW6343" t="str">
        <f>""</f>
        <v/>
      </c>
      <c r="CH6343" t="str">
        <f>""</f>
        <v/>
      </c>
      <c r="CS6343" t="str">
        <f>""</f>
        <v/>
      </c>
    </row>
    <row r="6344" spans="1:97" x14ac:dyDescent="0.25">
      <c r="A6344" t="s">
        <v>1124</v>
      </c>
      <c r="B6344" t="s">
        <v>38375</v>
      </c>
      <c r="E6344" t="s">
        <v>38376</v>
      </c>
      <c r="F6344" t="s">
        <v>108</v>
      </c>
      <c r="H6344" t="s">
        <v>38377</v>
      </c>
      <c r="I6344" t="s">
        <v>225</v>
      </c>
      <c r="J6344" t="s">
        <v>111</v>
      </c>
      <c r="K6344" t="str">
        <f>"85203"</f>
        <v>85203</v>
      </c>
      <c r="L6344" t="s">
        <v>7626</v>
      </c>
      <c r="M6344" t="s">
        <v>38377</v>
      </c>
      <c r="N6344" t="s">
        <v>225</v>
      </c>
      <c r="O6344" t="s">
        <v>111</v>
      </c>
      <c r="P6344" t="str">
        <f>"85203-8012"</f>
        <v>85203-8012</v>
      </c>
      <c r="Q6344" t="s">
        <v>113</v>
      </c>
      <c r="R6344" t="str">
        <f>"138-20-085"</f>
        <v>138-20-085</v>
      </c>
      <c r="S6344" t="s">
        <v>38378</v>
      </c>
      <c r="T6344" t="s">
        <v>38379</v>
      </c>
      <c r="U6344">
        <v>1785</v>
      </c>
      <c r="V6344">
        <v>0</v>
      </c>
      <c r="W6344">
        <v>2</v>
      </c>
      <c r="X6344">
        <v>1964</v>
      </c>
      <c r="Z6344">
        <v>1</v>
      </c>
      <c r="AA6344" t="s">
        <v>26</v>
      </c>
      <c r="AB6344">
        <v>0</v>
      </c>
      <c r="AC6344" t="s">
        <v>5188</v>
      </c>
      <c r="AD6344">
        <v>2</v>
      </c>
      <c r="AE6344" t="s">
        <v>5188</v>
      </c>
      <c r="AF6344">
        <v>0</v>
      </c>
      <c r="AG6344">
        <v>0</v>
      </c>
      <c r="AH6344" t="s">
        <v>116</v>
      </c>
      <c r="AI6344" s="1">
        <v>27285</v>
      </c>
      <c r="AJ6344" s="2">
        <v>0.1</v>
      </c>
      <c r="AK6344" s="1">
        <v>276702</v>
      </c>
      <c r="AL6344" t="s">
        <v>117</v>
      </c>
      <c r="AM6344" t="s">
        <v>229</v>
      </c>
      <c r="AN6344">
        <v>7828</v>
      </c>
      <c r="AO6344">
        <v>0.18</v>
      </c>
      <c r="AP6344">
        <v>1</v>
      </c>
      <c r="AR6344">
        <v>1</v>
      </c>
      <c r="AS6344" s="1">
        <v>18500</v>
      </c>
      <c r="AT6344" s="1">
        <v>3700</v>
      </c>
      <c r="AU6344" s="1">
        <v>14800</v>
      </c>
      <c r="AV6344">
        <v>80</v>
      </c>
      <c r="AX6344" s="1">
        <v>969.06</v>
      </c>
      <c r="AY6344" t="s">
        <v>8876</v>
      </c>
      <c r="AZ6344" t="s">
        <v>5190</v>
      </c>
      <c r="BA6344" t="s">
        <v>5191</v>
      </c>
      <c r="BE6344" s="3">
        <v>42503</v>
      </c>
      <c r="BF6344" s="1">
        <v>241450</v>
      </c>
      <c r="BG6344" t="s">
        <v>38380</v>
      </c>
      <c r="BH6344" s="1">
        <v>135.27000000000001</v>
      </c>
      <c r="BI6344" s="1">
        <v>249417</v>
      </c>
      <c r="BJ6344" s="3">
        <v>42503</v>
      </c>
      <c r="BK6344" t="s">
        <v>123</v>
      </c>
      <c r="BL6344" t="str">
        <f>"2016.331137"</f>
        <v>2016.331137</v>
      </c>
      <c r="BM6344" t="s">
        <v>2472</v>
      </c>
      <c r="BO6344" t="s">
        <v>38381</v>
      </c>
      <c r="BS6344">
        <v>30</v>
      </c>
      <c r="BW6344" t="str">
        <f>""</f>
        <v/>
      </c>
      <c r="CH6344" t="str">
        <f>""</f>
        <v/>
      </c>
      <c r="CS6344" t="str">
        <f>""</f>
        <v/>
      </c>
    </row>
    <row r="6345" spans="1:97" x14ac:dyDescent="0.25">
      <c r="A6345" t="s">
        <v>22890</v>
      </c>
      <c r="B6345" t="s">
        <v>7313</v>
      </c>
      <c r="E6345" t="s">
        <v>38382</v>
      </c>
      <c r="F6345" t="s">
        <v>108</v>
      </c>
      <c r="H6345" t="s">
        <v>38383</v>
      </c>
      <c r="I6345" t="s">
        <v>390</v>
      </c>
      <c r="J6345" t="s">
        <v>111</v>
      </c>
      <c r="K6345" t="str">
        <f>"85041"</f>
        <v>85041</v>
      </c>
      <c r="L6345" t="s">
        <v>8462</v>
      </c>
      <c r="M6345" t="s">
        <v>38383</v>
      </c>
      <c r="N6345" t="s">
        <v>390</v>
      </c>
      <c r="O6345" t="s">
        <v>111</v>
      </c>
      <c r="P6345" t="str">
        <f>"85041-2933"</f>
        <v>85041-2933</v>
      </c>
      <c r="Q6345" t="s">
        <v>113</v>
      </c>
      <c r="R6345" t="str">
        <f>"105-65-570"</f>
        <v>105-65-570</v>
      </c>
      <c r="S6345" t="s">
        <v>38384</v>
      </c>
      <c r="T6345" t="s">
        <v>38385</v>
      </c>
      <c r="U6345">
        <v>2663</v>
      </c>
      <c r="V6345">
        <v>0</v>
      </c>
      <c r="W6345">
        <v>4</v>
      </c>
      <c r="X6345">
        <v>2005</v>
      </c>
      <c r="Z6345">
        <v>2</v>
      </c>
      <c r="AB6345">
        <v>0</v>
      </c>
      <c r="AC6345" t="s">
        <v>115</v>
      </c>
      <c r="AD6345">
        <v>2</v>
      </c>
      <c r="AE6345" t="s">
        <v>115</v>
      </c>
      <c r="AF6345">
        <v>0</v>
      </c>
      <c r="AG6345">
        <v>0</v>
      </c>
      <c r="AH6345" t="s">
        <v>116</v>
      </c>
      <c r="AI6345" s="1">
        <v>47024</v>
      </c>
      <c r="AJ6345" s="2">
        <v>0.17</v>
      </c>
      <c r="AK6345" s="1">
        <v>272024</v>
      </c>
      <c r="AL6345" t="s">
        <v>117</v>
      </c>
      <c r="AM6345" t="s">
        <v>191</v>
      </c>
      <c r="AN6345">
        <v>6513</v>
      </c>
      <c r="AO6345">
        <v>0.15</v>
      </c>
      <c r="AR6345">
        <v>1</v>
      </c>
      <c r="AS6345" s="1">
        <v>17460</v>
      </c>
      <c r="AT6345" s="1">
        <v>3490</v>
      </c>
      <c r="AU6345" s="1">
        <v>13970</v>
      </c>
      <c r="AV6345">
        <v>80.010000000000005</v>
      </c>
      <c r="AX6345" s="1">
        <v>1821.6</v>
      </c>
      <c r="AY6345" t="s">
        <v>5220</v>
      </c>
      <c r="AZ6345" t="s">
        <v>5220</v>
      </c>
      <c r="BA6345" t="s">
        <v>1661</v>
      </c>
      <c r="BE6345" s="3">
        <v>42090</v>
      </c>
      <c r="BF6345" s="1">
        <v>185000</v>
      </c>
      <c r="BG6345" t="s">
        <v>38386</v>
      </c>
      <c r="BH6345" s="1">
        <v>69.47</v>
      </c>
      <c r="BI6345" s="1">
        <v>225000</v>
      </c>
      <c r="BJ6345" s="3">
        <v>43584</v>
      </c>
      <c r="BK6345" t="s">
        <v>123</v>
      </c>
      <c r="BL6345" t="str">
        <f>"2019.304781"</f>
        <v>2019.304781</v>
      </c>
      <c r="BM6345" t="s">
        <v>1809</v>
      </c>
      <c r="BN6345" t="s">
        <v>1810</v>
      </c>
      <c r="BO6345" t="s">
        <v>38387</v>
      </c>
      <c r="BR6345" t="s">
        <v>139</v>
      </c>
      <c r="BW6345" t="str">
        <f>""</f>
        <v/>
      </c>
      <c r="CH6345" t="str">
        <f>""</f>
        <v/>
      </c>
      <c r="CS6345" t="str">
        <f>""</f>
        <v/>
      </c>
    </row>
    <row r="6346" spans="1:97" x14ac:dyDescent="0.25">
      <c r="A6346" t="s">
        <v>945</v>
      </c>
      <c r="B6346" t="s">
        <v>38388</v>
      </c>
      <c r="C6346" t="s">
        <v>20867</v>
      </c>
      <c r="D6346" t="s">
        <v>38388</v>
      </c>
      <c r="E6346" t="s">
        <v>38389</v>
      </c>
      <c r="F6346" t="s">
        <v>108</v>
      </c>
      <c r="H6346" t="s">
        <v>38390</v>
      </c>
      <c r="I6346" t="s">
        <v>632</v>
      </c>
      <c r="J6346" t="s">
        <v>111</v>
      </c>
      <c r="K6346" t="str">
        <f>"85374"</f>
        <v>85374</v>
      </c>
      <c r="L6346" t="s">
        <v>5990</v>
      </c>
      <c r="M6346" t="s">
        <v>38390</v>
      </c>
      <c r="N6346" t="s">
        <v>632</v>
      </c>
      <c r="O6346" t="s">
        <v>111</v>
      </c>
      <c r="P6346" t="str">
        <f>"85374-8828"</f>
        <v>85374-8828</v>
      </c>
      <c r="Q6346" t="s">
        <v>113</v>
      </c>
      <c r="R6346" t="str">
        <f>"501-93-961"</f>
        <v>501-93-961</v>
      </c>
      <c r="S6346" t="s">
        <v>13431</v>
      </c>
      <c r="U6346">
        <v>2274</v>
      </c>
      <c r="V6346">
        <v>0</v>
      </c>
      <c r="W6346">
        <v>4</v>
      </c>
      <c r="X6346">
        <v>2004</v>
      </c>
      <c r="Z6346">
        <v>2</v>
      </c>
      <c r="AA6346" t="s">
        <v>26</v>
      </c>
      <c r="AB6346">
        <v>0</v>
      </c>
      <c r="AC6346" t="s">
        <v>115</v>
      </c>
      <c r="AD6346">
        <v>2</v>
      </c>
      <c r="AE6346" t="s">
        <v>115</v>
      </c>
      <c r="AF6346">
        <v>0</v>
      </c>
      <c r="AG6346">
        <v>0</v>
      </c>
      <c r="AH6346" t="s">
        <v>116</v>
      </c>
      <c r="AI6346" s="1">
        <v>56507</v>
      </c>
      <c r="AJ6346" s="2">
        <v>0.19</v>
      </c>
      <c r="AK6346" s="1">
        <v>296559</v>
      </c>
      <c r="AL6346" t="s">
        <v>117</v>
      </c>
      <c r="AM6346" t="s">
        <v>118</v>
      </c>
      <c r="AN6346">
        <v>6252</v>
      </c>
      <c r="AO6346">
        <v>0.14000000000000001</v>
      </c>
      <c r="AP6346">
        <v>1</v>
      </c>
      <c r="AR6346">
        <v>1</v>
      </c>
      <c r="AS6346" s="1">
        <v>20080</v>
      </c>
      <c r="AT6346" s="1">
        <v>4010</v>
      </c>
      <c r="AU6346" s="1">
        <v>16070</v>
      </c>
      <c r="AV6346">
        <v>80.03</v>
      </c>
      <c r="AX6346" s="1">
        <v>1485.12</v>
      </c>
      <c r="AY6346" t="s">
        <v>5983</v>
      </c>
      <c r="AZ6346" t="s">
        <v>5983</v>
      </c>
      <c r="BA6346" t="s">
        <v>5109</v>
      </c>
      <c r="BE6346" s="3">
        <v>41957</v>
      </c>
      <c r="BF6346" s="1">
        <v>218000</v>
      </c>
      <c r="BG6346" t="s">
        <v>38391</v>
      </c>
      <c r="BH6346" s="1">
        <v>95.87</v>
      </c>
      <c r="BI6346" s="1">
        <v>240052</v>
      </c>
      <c r="BJ6346" s="3">
        <v>42611</v>
      </c>
      <c r="BK6346" t="s">
        <v>123</v>
      </c>
      <c r="BL6346" t="str">
        <f>"2016.619624"</f>
        <v>2016.619624</v>
      </c>
      <c r="BM6346" t="s">
        <v>1998</v>
      </c>
      <c r="BO6346" t="s">
        <v>38392</v>
      </c>
      <c r="BS6346">
        <v>30</v>
      </c>
      <c r="BW6346" t="str">
        <f>""</f>
        <v/>
      </c>
      <c r="CH6346" t="str">
        <f>""</f>
        <v/>
      </c>
      <c r="CS6346" t="str">
        <f>""</f>
        <v/>
      </c>
    </row>
    <row r="6347" spans="1:97" x14ac:dyDescent="0.25">
      <c r="A6347" t="s">
        <v>1160</v>
      </c>
      <c r="B6347" t="s">
        <v>1728</v>
      </c>
      <c r="E6347" t="s">
        <v>38393</v>
      </c>
      <c r="F6347" t="s">
        <v>108</v>
      </c>
      <c r="H6347" t="s">
        <v>38394</v>
      </c>
      <c r="I6347" t="s">
        <v>225</v>
      </c>
      <c r="J6347" t="s">
        <v>111</v>
      </c>
      <c r="K6347" t="str">
        <f>"85209"</f>
        <v>85209</v>
      </c>
      <c r="L6347" t="s">
        <v>7725</v>
      </c>
      <c r="M6347" t="s">
        <v>38394</v>
      </c>
      <c r="N6347" t="s">
        <v>225</v>
      </c>
      <c r="O6347" t="s">
        <v>111</v>
      </c>
      <c r="P6347" t="str">
        <f>"85209-2438"</f>
        <v>85209-2438</v>
      </c>
      <c r="R6347" t="str">
        <f>"312-04-552"</f>
        <v>312-04-552</v>
      </c>
      <c r="S6347" t="s">
        <v>33223</v>
      </c>
      <c r="U6347">
        <v>1696</v>
      </c>
      <c r="V6347">
        <v>0</v>
      </c>
      <c r="W6347">
        <v>3</v>
      </c>
      <c r="X6347">
        <v>2001</v>
      </c>
      <c r="Z6347">
        <v>1</v>
      </c>
      <c r="AB6347">
        <v>0</v>
      </c>
      <c r="AC6347" t="s">
        <v>115</v>
      </c>
      <c r="AD6347">
        <v>2</v>
      </c>
      <c r="AE6347" t="s">
        <v>115</v>
      </c>
      <c r="AF6347">
        <v>0</v>
      </c>
      <c r="AG6347">
        <v>0</v>
      </c>
      <c r="AH6347" t="s">
        <v>116</v>
      </c>
      <c r="AI6347" s="1">
        <v>69115</v>
      </c>
      <c r="AJ6347" s="2">
        <v>0.25</v>
      </c>
      <c r="AK6347" s="1">
        <v>281615</v>
      </c>
      <c r="AL6347" t="s">
        <v>117</v>
      </c>
      <c r="AM6347" t="s">
        <v>191</v>
      </c>
      <c r="AN6347">
        <v>5493</v>
      </c>
      <c r="AO6347">
        <v>0.13</v>
      </c>
      <c r="AP6347">
        <v>1</v>
      </c>
      <c r="AR6347">
        <v>1</v>
      </c>
      <c r="AS6347" s="1">
        <v>18870</v>
      </c>
      <c r="AT6347" s="1">
        <v>3770</v>
      </c>
      <c r="AU6347" s="1">
        <v>15100</v>
      </c>
      <c r="AV6347">
        <v>80.02</v>
      </c>
      <c r="AX6347" s="1">
        <v>1269.8599999999999</v>
      </c>
      <c r="AY6347" t="s">
        <v>4370</v>
      </c>
      <c r="AZ6347" t="s">
        <v>777</v>
      </c>
      <c r="BA6347" t="s">
        <v>572</v>
      </c>
      <c r="BE6347" s="3">
        <v>42438</v>
      </c>
      <c r="BF6347" s="1">
        <v>212500</v>
      </c>
      <c r="BG6347" t="s">
        <v>38395</v>
      </c>
      <c r="BH6347" s="1">
        <v>125.29</v>
      </c>
      <c r="BI6347" s="1">
        <v>212500</v>
      </c>
      <c r="BJ6347" s="3">
        <v>42438</v>
      </c>
      <c r="BK6347" t="s">
        <v>123</v>
      </c>
      <c r="BL6347" t="str">
        <f>"2016.152587"</f>
        <v>2016.152587</v>
      </c>
      <c r="BM6347" t="s">
        <v>594</v>
      </c>
      <c r="BN6347" t="s">
        <v>595</v>
      </c>
      <c r="BO6347" t="s">
        <v>38396</v>
      </c>
      <c r="BS6347">
        <v>30</v>
      </c>
      <c r="BW6347" t="str">
        <f>""</f>
        <v/>
      </c>
      <c r="CH6347" t="str">
        <f>""</f>
        <v/>
      </c>
      <c r="CS6347" t="str">
        <f>""</f>
        <v/>
      </c>
    </row>
    <row r="6348" spans="1:97" x14ac:dyDescent="0.25">
      <c r="A6348" t="s">
        <v>26917</v>
      </c>
      <c r="B6348" t="s">
        <v>22305</v>
      </c>
      <c r="C6348" t="s">
        <v>38397</v>
      </c>
      <c r="D6348" t="s">
        <v>22305</v>
      </c>
      <c r="E6348" t="s">
        <v>38398</v>
      </c>
      <c r="F6348" t="s">
        <v>108</v>
      </c>
      <c r="H6348" t="s">
        <v>38399</v>
      </c>
      <c r="I6348" t="s">
        <v>453</v>
      </c>
      <c r="J6348" t="s">
        <v>111</v>
      </c>
      <c r="K6348" t="str">
        <f>"85345"</f>
        <v>85345</v>
      </c>
      <c r="L6348" t="s">
        <v>9764</v>
      </c>
      <c r="M6348" t="s">
        <v>38399</v>
      </c>
      <c r="N6348" t="s">
        <v>453</v>
      </c>
      <c r="O6348" t="s">
        <v>111</v>
      </c>
      <c r="P6348" t="str">
        <f>"85345-4140"</f>
        <v>85345-4140</v>
      </c>
      <c r="Q6348" t="s">
        <v>113</v>
      </c>
      <c r="R6348" t="str">
        <f>"142-45-785"</f>
        <v>142-45-785</v>
      </c>
      <c r="S6348" t="s">
        <v>9765</v>
      </c>
      <c r="T6348" t="s">
        <v>9765</v>
      </c>
      <c r="U6348">
        <v>2054</v>
      </c>
      <c r="V6348">
        <v>0</v>
      </c>
      <c r="W6348">
        <v>4</v>
      </c>
      <c r="X6348">
        <v>1996</v>
      </c>
      <c r="Z6348">
        <v>2</v>
      </c>
      <c r="AB6348">
        <v>0</v>
      </c>
      <c r="AC6348" t="s">
        <v>115</v>
      </c>
      <c r="AD6348">
        <v>2</v>
      </c>
      <c r="AE6348" t="s">
        <v>115</v>
      </c>
      <c r="AF6348">
        <v>0</v>
      </c>
      <c r="AG6348">
        <v>0</v>
      </c>
      <c r="AH6348" t="s">
        <v>116</v>
      </c>
      <c r="AI6348" s="1">
        <v>64404</v>
      </c>
      <c r="AJ6348" s="2">
        <v>0.23</v>
      </c>
      <c r="AK6348" s="1">
        <v>284026</v>
      </c>
      <c r="AL6348" t="s">
        <v>117</v>
      </c>
      <c r="AM6348" t="s">
        <v>3345</v>
      </c>
      <c r="AN6348">
        <v>4953</v>
      </c>
      <c r="AO6348">
        <v>0.11</v>
      </c>
      <c r="AP6348">
        <v>1</v>
      </c>
      <c r="AR6348">
        <v>1</v>
      </c>
      <c r="AS6348" s="1">
        <v>17870</v>
      </c>
      <c r="AT6348" s="1">
        <v>3570</v>
      </c>
      <c r="AU6348" s="1">
        <v>14300</v>
      </c>
      <c r="AV6348">
        <v>80.02</v>
      </c>
      <c r="AX6348" s="1">
        <v>1445.18</v>
      </c>
      <c r="AY6348" t="s">
        <v>4006</v>
      </c>
      <c r="AZ6348" t="s">
        <v>4006</v>
      </c>
      <c r="BA6348" t="s">
        <v>4007</v>
      </c>
      <c r="BE6348" s="3">
        <v>42150</v>
      </c>
      <c r="BF6348" s="1">
        <v>215000</v>
      </c>
      <c r="BG6348" t="s">
        <v>38400</v>
      </c>
      <c r="BH6348" s="1">
        <v>104.67</v>
      </c>
      <c r="BI6348" s="1">
        <v>219622</v>
      </c>
      <c r="BJ6348" s="3">
        <v>42150</v>
      </c>
      <c r="BK6348" t="s">
        <v>123</v>
      </c>
      <c r="BL6348" t="str">
        <f>"2015.370238"</f>
        <v>2015.370238</v>
      </c>
      <c r="BM6348" t="s">
        <v>2716</v>
      </c>
      <c r="BO6348" t="s">
        <v>38401</v>
      </c>
      <c r="BS6348">
        <v>30</v>
      </c>
      <c r="BW6348" t="str">
        <f>""</f>
        <v/>
      </c>
      <c r="CH6348" t="str">
        <f>""</f>
        <v/>
      </c>
      <c r="CS6348" t="str">
        <f>""</f>
        <v/>
      </c>
    </row>
    <row r="6349" spans="1:97" x14ac:dyDescent="0.25">
      <c r="A6349" t="s">
        <v>938</v>
      </c>
      <c r="B6349" t="s">
        <v>295</v>
      </c>
      <c r="E6349" t="s">
        <v>38402</v>
      </c>
      <c r="F6349" t="s">
        <v>139</v>
      </c>
      <c r="H6349" t="s">
        <v>38403</v>
      </c>
      <c r="I6349" t="s">
        <v>225</v>
      </c>
      <c r="J6349" t="s">
        <v>111</v>
      </c>
      <c r="K6349" t="str">
        <f>"85212"</f>
        <v>85212</v>
      </c>
      <c r="L6349" t="s">
        <v>5084</v>
      </c>
      <c r="M6349" t="s">
        <v>38404</v>
      </c>
      <c r="N6349" t="s">
        <v>225</v>
      </c>
      <c r="O6349" t="s">
        <v>111</v>
      </c>
      <c r="P6349" t="str">
        <f>"85212-2846"</f>
        <v>85212-2846</v>
      </c>
      <c r="Q6349" t="s">
        <v>113</v>
      </c>
      <c r="R6349" t="str">
        <f>"312-09-173"</f>
        <v>312-09-173</v>
      </c>
      <c r="S6349" t="s">
        <v>18595</v>
      </c>
      <c r="T6349" t="s">
        <v>18595</v>
      </c>
      <c r="U6349">
        <v>2145</v>
      </c>
      <c r="V6349">
        <v>0</v>
      </c>
      <c r="W6349">
        <v>3</v>
      </c>
      <c r="X6349">
        <v>2003</v>
      </c>
      <c r="Z6349">
        <v>2</v>
      </c>
      <c r="AB6349">
        <v>0</v>
      </c>
      <c r="AC6349" t="s">
        <v>115</v>
      </c>
      <c r="AD6349">
        <v>2</v>
      </c>
      <c r="AE6349" t="s">
        <v>115</v>
      </c>
      <c r="AF6349">
        <v>0</v>
      </c>
      <c r="AG6349">
        <v>0</v>
      </c>
      <c r="AH6349" t="s">
        <v>116</v>
      </c>
      <c r="AI6349" s="1">
        <v>56086</v>
      </c>
      <c r="AJ6349" s="2">
        <v>0.2</v>
      </c>
      <c r="AK6349" s="1">
        <v>278773</v>
      </c>
      <c r="AL6349" t="s">
        <v>117</v>
      </c>
      <c r="AM6349" t="s">
        <v>229</v>
      </c>
      <c r="AN6349">
        <v>4283</v>
      </c>
      <c r="AO6349">
        <v>0.98</v>
      </c>
      <c r="AP6349">
        <v>1</v>
      </c>
      <c r="AR6349">
        <v>1</v>
      </c>
      <c r="AS6349" s="1">
        <v>18830</v>
      </c>
      <c r="AT6349" s="1">
        <v>3760</v>
      </c>
      <c r="AU6349" s="1">
        <v>15070</v>
      </c>
      <c r="AV6349">
        <v>80.03</v>
      </c>
      <c r="AX6349" s="1">
        <v>1200.92</v>
      </c>
      <c r="AY6349" t="s">
        <v>7302</v>
      </c>
      <c r="AZ6349" t="s">
        <v>777</v>
      </c>
      <c r="BA6349" t="s">
        <v>572</v>
      </c>
      <c r="BE6349" s="3">
        <v>42397</v>
      </c>
      <c r="BF6349" s="1">
        <v>218000</v>
      </c>
      <c r="BG6349" t="s">
        <v>38405</v>
      </c>
      <c r="BH6349" s="1">
        <v>101.63</v>
      </c>
      <c r="BI6349" s="1">
        <v>222687</v>
      </c>
      <c r="BJ6349" s="3">
        <v>42397</v>
      </c>
      <c r="BK6349" t="s">
        <v>123</v>
      </c>
      <c r="BL6349" t="str">
        <f>"2016.57396"</f>
        <v>2016.57396</v>
      </c>
      <c r="BM6349" t="s">
        <v>820</v>
      </c>
      <c r="BO6349" t="s">
        <v>38406</v>
      </c>
      <c r="BS6349">
        <v>30</v>
      </c>
      <c r="BW6349" t="str">
        <f>""</f>
        <v/>
      </c>
      <c r="CH6349" t="str">
        <f>""</f>
        <v/>
      </c>
      <c r="CS6349" t="str">
        <f>""</f>
        <v/>
      </c>
    </row>
    <row r="6350" spans="1:97" x14ac:dyDescent="0.25">
      <c r="A6350" t="s">
        <v>815</v>
      </c>
      <c r="B6350" t="s">
        <v>38407</v>
      </c>
      <c r="C6350" t="s">
        <v>888</v>
      </c>
      <c r="D6350" t="s">
        <v>38407</v>
      </c>
      <c r="E6350" t="s">
        <v>38408</v>
      </c>
      <c r="F6350" t="s">
        <v>108</v>
      </c>
      <c r="H6350" t="s">
        <v>38409</v>
      </c>
      <c r="I6350" t="s">
        <v>2874</v>
      </c>
      <c r="J6350" t="s">
        <v>111</v>
      </c>
      <c r="K6350" t="str">
        <f>"85308"</f>
        <v>85308</v>
      </c>
      <c r="L6350" t="s">
        <v>8255</v>
      </c>
      <c r="M6350" t="s">
        <v>38409</v>
      </c>
      <c r="N6350" t="s">
        <v>2874</v>
      </c>
      <c r="O6350" t="s">
        <v>111</v>
      </c>
      <c r="P6350" t="str">
        <f>"85308-9694"</f>
        <v>85308-9694</v>
      </c>
      <c r="Q6350" t="s">
        <v>113</v>
      </c>
      <c r="R6350" t="str">
        <f>"231-23-703"</f>
        <v>231-23-703</v>
      </c>
      <c r="S6350" t="s">
        <v>38410</v>
      </c>
      <c r="T6350" t="s">
        <v>38411</v>
      </c>
      <c r="U6350">
        <v>2146</v>
      </c>
      <c r="V6350">
        <v>0</v>
      </c>
      <c r="W6350">
        <v>4</v>
      </c>
      <c r="X6350">
        <v>1999</v>
      </c>
      <c r="Z6350">
        <v>2</v>
      </c>
      <c r="AA6350" t="s">
        <v>26</v>
      </c>
      <c r="AB6350">
        <v>0</v>
      </c>
      <c r="AC6350" t="s">
        <v>115</v>
      </c>
      <c r="AD6350">
        <v>2</v>
      </c>
      <c r="AE6350" t="s">
        <v>115</v>
      </c>
      <c r="AF6350">
        <v>0</v>
      </c>
      <c r="AG6350">
        <v>0</v>
      </c>
      <c r="AH6350" t="s">
        <v>116</v>
      </c>
      <c r="AI6350" s="1">
        <v>77348</v>
      </c>
      <c r="AJ6350" s="2">
        <v>0.22</v>
      </c>
      <c r="AK6350" s="1">
        <v>349934</v>
      </c>
      <c r="AL6350" t="s">
        <v>117</v>
      </c>
      <c r="AM6350" t="s">
        <v>191</v>
      </c>
      <c r="AN6350">
        <v>6600</v>
      </c>
      <c r="AO6350">
        <v>0.15</v>
      </c>
      <c r="AP6350">
        <v>1</v>
      </c>
      <c r="AR6350">
        <v>1</v>
      </c>
      <c r="AS6350" s="1">
        <v>25030</v>
      </c>
      <c r="AT6350" s="1">
        <v>5000</v>
      </c>
      <c r="AU6350" s="1">
        <v>20030</v>
      </c>
      <c r="AV6350">
        <v>80.02</v>
      </c>
      <c r="AX6350" s="1">
        <v>2229.6999999999998</v>
      </c>
      <c r="AY6350" t="s">
        <v>8358</v>
      </c>
      <c r="AZ6350" t="s">
        <v>8358</v>
      </c>
      <c r="BA6350" t="s">
        <v>2223</v>
      </c>
      <c r="BE6350" s="3">
        <v>41803</v>
      </c>
      <c r="BF6350" s="1">
        <v>270000</v>
      </c>
      <c r="BG6350" t="s">
        <v>38412</v>
      </c>
      <c r="BH6350" s="1">
        <v>125.82</v>
      </c>
      <c r="BI6350" s="1">
        <v>272586</v>
      </c>
      <c r="BJ6350" s="3">
        <v>42492</v>
      </c>
      <c r="BK6350" t="s">
        <v>123</v>
      </c>
      <c r="BL6350" t="str">
        <f>"2016.295075"</f>
        <v>2016.295075</v>
      </c>
      <c r="BM6350" t="s">
        <v>8916</v>
      </c>
      <c r="BO6350" t="s">
        <v>38413</v>
      </c>
      <c r="BS6350">
        <v>30</v>
      </c>
      <c r="BW6350" t="str">
        <f>""</f>
        <v/>
      </c>
      <c r="CH6350" t="str">
        <f>""</f>
        <v/>
      </c>
      <c r="CS6350" t="str">
        <f>""</f>
        <v/>
      </c>
    </row>
    <row r="6351" spans="1:97" x14ac:dyDescent="0.25">
      <c r="A6351" t="s">
        <v>938</v>
      </c>
      <c r="B6351" t="s">
        <v>38414</v>
      </c>
      <c r="C6351" t="s">
        <v>38415</v>
      </c>
      <c r="D6351" t="s">
        <v>38414</v>
      </c>
      <c r="E6351" t="s">
        <v>38416</v>
      </c>
      <c r="F6351" t="s">
        <v>108</v>
      </c>
      <c r="H6351" t="s">
        <v>38417</v>
      </c>
      <c r="I6351" t="s">
        <v>632</v>
      </c>
      <c r="J6351" t="s">
        <v>111</v>
      </c>
      <c r="K6351" t="str">
        <f>"85374"</f>
        <v>85374</v>
      </c>
      <c r="L6351" t="s">
        <v>5990</v>
      </c>
      <c r="M6351" t="s">
        <v>38417</v>
      </c>
      <c r="N6351" t="s">
        <v>632</v>
      </c>
      <c r="O6351" t="s">
        <v>111</v>
      </c>
      <c r="P6351" t="str">
        <f>"85374-5809"</f>
        <v>85374-5809</v>
      </c>
      <c r="Q6351" t="s">
        <v>113</v>
      </c>
      <c r="R6351" t="str">
        <f>"501-77-783"</f>
        <v>501-77-783</v>
      </c>
      <c r="S6351" t="s">
        <v>38418</v>
      </c>
      <c r="U6351">
        <v>2214</v>
      </c>
      <c r="V6351">
        <v>0</v>
      </c>
      <c r="W6351">
        <v>3</v>
      </c>
      <c r="X6351">
        <v>1998</v>
      </c>
      <c r="Z6351">
        <v>1</v>
      </c>
      <c r="AA6351" t="s">
        <v>26</v>
      </c>
      <c r="AB6351">
        <v>0</v>
      </c>
      <c r="AC6351" t="s">
        <v>115</v>
      </c>
      <c r="AD6351">
        <v>3</v>
      </c>
      <c r="AE6351" t="s">
        <v>115</v>
      </c>
      <c r="AF6351">
        <v>0</v>
      </c>
      <c r="AG6351">
        <v>0</v>
      </c>
      <c r="AH6351" t="s">
        <v>116</v>
      </c>
      <c r="AI6351" s="1">
        <v>59451</v>
      </c>
      <c r="AJ6351" s="2">
        <v>0.19</v>
      </c>
      <c r="AK6351" s="1">
        <v>311761</v>
      </c>
      <c r="AL6351" t="s">
        <v>117</v>
      </c>
      <c r="AM6351" t="s">
        <v>118</v>
      </c>
      <c r="AN6351">
        <v>7915</v>
      </c>
      <c r="AO6351">
        <v>0.18</v>
      </c>
      <c r="AP6351">
        <v>1</v>
      </c>
      <c r="AR6351">
        <v>1</v>
      </c>
      <c r="AS6351" s="1">
        <v>22110</v>
      </c>
      <c r="AT6351" s="1">
        <v>4420</v>
      </c>
      <c r="AU6351" s="1">
        <v>17690</v>
      </c>
      <c r="AV6351">
        <v>80.010000000000005</v>
      </c>
      <c r="AX6351" s="1">
        <v>1408.6</v>
      </c>
      <c r="AY6351" t="s">
        <v>5983</v>
      </c>
      <c r="AZ6351" t="s">
        <v>5983</v>
      </c>
      <c r="BA6351" t="s">
        <v>5109</v>
      </c>
      <c r="BE6351" s="3">
        <v>42486</v>
      </c>
      <c r="BF6351" s="1">
        <v>247000</v>
      </c>
      <c r="BG6351" t="s">
        <v>38419</v>
      </c>
      <c r="BH6351" s="1">
        <v>111.56</v>
      </c>
      <c r="BI6351" s="1">
        <v>252310</v>
      </c>
      <c r="BJ6351" s="3">
        <v>42486</v>
      </c>
      <c r="BK6351" t="s">
        <v>123</v>
      </c>
      <c r="BL6351" t="str">
        <f>"2016.276937"</f>
        <v>2016.276937</v>
      </c>
      <c r="BM6351" t="s">
        <v>135</v>
      </c>
      <c r="BO6351" t="s">
        <v>38420</v>
      </c>
      <c r="BS6351">
        <v>30</v>
      </c>
      <c r="BW6351" t="str">
        <f>""</f>
        <v/>
      </c>
      <c r="CH6351" t="str">
        <f>""</f>
        <v/>
      </c>
      <c r="CS6351" t="str">
        <f>""</f>
        <v/>
      </c>
    </row>
    <row r="6352" spans="1:97" x14ac:dyDescent="0.25">
      <c r="A6352" t="s">
        <v>177</v>
      </c>
      <c r="B6352" t="s">
        <v>16989</v>
      </c>
      <c r="C6352" t="s">
        <v>1451</v>
      </c>
      <c r="D6352" t="s">
        <v>16989</v>
      </c>
      <c r="E6352" t="s">
        <v>38421</v>
      </c>
      <c r="F6352" t="s">
        <v>108</v>
      </c>
      <c r="H6352" t="s">
        <v>38422</v>
      </c>
      <c r="I6352" t="s">
        <v>2874</v>
      </c>
      <c r="J6352" t="s">
        <v>111</v>
      </c>
      <c r="K6352" t="str">
        <f>"85304"</f>
        <v>85304</v>
      </c>
      <c r="L6352" t="s">
        <v>8345</v>
      </c>
      <c r="M6352" t="s">
        <v>38422</v>
      </c>
      <c r="N6352" t="s">
        <v>2874</v>
      </c>
      <c r="O6352" t="s">
        <v>111</v>
      </c>
      <c r="P6352" t="str">
        <f>"85304-2521"</f>
        <v>85304-2521</v>
      </c>
      <c r="Q6352" t="s">
        <v>113</v>
      </c>
      <c r="R6352" t="str">
        <f>"143-01-265"</f>
        <v>143-01-265</v>
      </c>
      <c r="S6352" t="s">
        <v>38423</v>
      </c>
      <c r="T6352" t="s">
        <v>38424</v>
      </c>
      <c r="U6352">
        <v>2085</v>
      </c>
      <c r="V6352">
        <v>0</v>
      </c>
      <c r="W6352">
        <v>3</v>
      </c>
      <c r="X6352">
        <v>1979</v>
      </c>
      <c r="Z6352">
        <v>1</v>
      </c>
      <c r="AA6352" t="s">
        <v>26</v>
      </c>
      <c r="AB6352">
        <v>0</v>
      </c>
      <c r="AC6352" t="s">
        <v>115</v>
      </c>
      <c r="AD6352">
        <v>2</v>
      </c>
      <c r="AE6352" t="s">
        <v>115</v>
      </c>
      <c r="AF6352">
        <v>0</v>
      </c>
      <c r="AG6352">
        <v>0</v>
      </c>
      <c r="AH6352" t="s">
        <v>116</v>
      </c>
      <c r="AI6352" s="1">
        <v>60792</v>
      </c>
      <c r="AJ6352" s="2">
        <v>0.2</v>
      </c>
      <c r="AK6352" s="1">
        <v>311382</v>
      </c>
      <c r="AL6352" t="s">
        <v>117</v>
      </c>
      <c r="AM6352" t="s">
        <v>191</v>
      </c>
      <c r="AN6352">
        <v>8729</v>
      </c>
      <c r="AO6352">
        <v>0.2</v>
      </c>
      <c r="AP6352">
        <v>1</v>
      </c>
      <c r="AR6352">
        <v>1</v>
      </c>
      <c r="AS6352" s="1">
        <v>21770</v>
      </c>
      <c r="AT6352" s="1">
        <v>4350</v>
      </c>
      <c r="AU6352" s="1">
        <v>17420</v>
      </c>
      <c r="AV6352">
        <v>80.02</v>
      </c>
      <c r="AX6352" s="1">
        <v>1477.24</v>
      </c>
      <c r="AY6352" t="s">
        <v>16967</v>
      </c>
      <c r="AZ6352" t="s">
        <v>16967</v>
      </c>
      <c r="BA6352" t="s">
        <v>8681</v>
      </c>
      <c r="BE6352" s="3">
        <v>42251</v>
      </c>
      <c r="BF6352" s="1">
        <v>255000</v>
      </c>
      <c r="BG6352" t="s">
        <v>27540</v>
      </c>
      <c r="BH6352" s="1">
        <v>122.3</v>
      </c>
      <c r="BI6352" s="1">
        <v>250590</v>
      </c>
      <c r="BJ6352" s="3">
        <v>42983</v>
      </c>
      <c r="BK6352" t="s">
        <v>123</v>
      </c>
      <c r="BL6352" t="str">
        <f>"2017.652898"</f>
        <v>2017.652898</v>
      </c>
      <c r="BM6352" t="s">
        <v>724</v>
      </c>
      <c r="BO6352" t="s">
        <v>38425</v>
      </c>
      <c r="BS6352">
        <v>30</v>
      </c>
      <c r="BW6352" t="str">
        <f>""</f>
        <v/>
      </c>
      <c r="CH6352" t="str">
        <f>""</f>
        <v/>
      </c>
      <c r="CS6352" t="str">
        <f>""</f>
        <v/>
      </c>
    </row>
    <row r="6353" spans="1:97" x14ac:dyDescent="0.25">
      <c r="A6353" t="s">
        <v>933</v>
      </c>
      <c r="B6353" t="s">
        <v>16302</v>
      </c>
      <c r="E6353" t="s">
        <v>38426</v>
      </c>
      <c r="F6353" t="s">
        <v>108</v>
      </c>
      <c r="H6353" t="s">
        <v>38427</v>
      </c>
      <c r="I6353" t="s">
        <v>167</v>
      </c>
      <c r="J6353" t="s">
        <v>111</v>
      </c>
      <c r="K6353" t="str">
        <f>"85339"</f>
        <v>85339</v>
      </c>
      <c r="L6353" t="s">
        <v>5239</v>
      </c>
      <c r="M6353" t="s">
        <v>38427</v>
      </c>
      <c r="N6353" t="s">
        <v>167</v>
      </c>
      <c r="O6353" t="s">
        <v>111</v>
      </c>
      <c r="P6353" t="str">
        <f>"85339-3409"</f>
        <v>85339-3409</v>
      </c>
      <c r="Q6353" t="s">
        <v>113</v>
      </c>
      <c r="R6353" t="str">
        <f>"300-01-923"</f>
        <v>300-01-923</v>
      </c>
      <c r="S6353" t="s">
        <v>38428</v>
      </c>
      <c r="T6353" t="s">
        <v>38429</v>
      </c>
      <c r="U6353">
        <v>1340</v>
      </c>
      <c r="V6353">
        <v>0</v>
      </c>
      <c r="W6353">
        <v>2</v>
      </c>
      <c r="X6353">
        <v>2006</v>
      </c>
      <c r="Z6353">
        <v>1</v>
      </c>
      <c r="AB6353">
        <v>0</v>
      </c>
      <c r="AC6353" t="s">
        <v>115</v>
      </c>
      <c r="AD6353">
        <v>2</v>
      </c>
      <c r="AE6353" t="s">
        <v>115</v>
      </c>
      <c r="AF6353">
        <v>0</v>
      </c>
      <c r="AG6353">
        <v>0</v>
      </c>
      <c r="AH6353" t="s">
        <v>116</v>
      </c>
      <c r="AI6353" s="1">
        <v>1997</v>
      </c>
      <c r="AJ6353" s="2">
        <v>0.01</v>
      </c>
      <c r="AK6353" s="1">
        <v>211997</v>
      </c>
      <c r="AL6353" t="s">
        <v>117</v>
      </c>
      <c r="AM6353" t="s">
        <v>191</v>
      </c>
      <c r="AN6353">
        <v>4950</v>
      </c>
      <c r="AO6353">
        <v>0.11</v>
      </c>
      <c r="AR6353">
        <v>1</v>
      </c>
      <c r="AS6353" s="1">
        <v>13410</v>
      </c>
      <c r="AT6353" s="1">
        <v>2680</v>
      </c>
      <c r="AU6353" s="1">
        <v>10730</v>
      </c>
      <c r="AV6353">
        <v>80.010000000000005</v>
      </c>
      <c r="AX6353" s="1">
        <v>1383.54</v>
      </c>
      <c r="AY6353" t="s">
        <v>5532</v>
      </c>
      <c r="AZ6353" t="s">
        <v>5532</v>
      </c>
      <c r="BA6353" t="s">
        <v>173</v>
      </c>
      <c r="BE6353" s="3">
        <v>41717</v>
      </c>
      <c r="BF6353" s="1">
        <v>129900</v>
      </c>
      <c r="BG6353" t="s">
        <v>38430</v>
      </c>
      <c r="BH6353" s="1">
        <v>96.94</v>
      </c>
      <c r="BI6353" s="1">
        <v>210000</v>
      </c>
      <c r="BJ6353" s="3">
        <v>43531</v>
      </c>
      <c r="BK6353" t="s">
        <v>123</v>
      </c>
      <c r="BL6353" t="str">
        <f>"2019.156253"</f>
        <v>2019.156253</v>
      </c>
      <c r="BM6353" t="s">
        <v>673</v>
      </c>
      <c r="BN6353" t="s">
        <v>674</v>
      </c>
      <c r="BO6353" t="s">
        <v>38431</v>
      </c>
      <c r="BR6353" t="s">
        <v>139</v>
      </c>
      <c r="BW6353" t="str">
        <f>""</f>
        <v/>
      </c>
      <c r="CH6353" t="str">
        <f>""</f>
        <v/>
      </c>
      <c r="CS6353" t="str">
        <f>""</f>
        <v/>
      </c>
    </row>
    <row r="6354" spans="1:97" x14ac:dyDescent="0.25">
      <c r="A6354" t="s">
        <v>370</v>
      </c>
      <c r="B6354" t="s">
        <v>12961</v>
      </c>
      <c r="E6354" t="s">
        <v>38432</v>
      </c>
      <c r="F6354" t="s">
        <v>108</v>
      </c>
      <c r="H6354" t="s">
        <v>38433</v>
      </c>
      <c r="I6354" t="s">
        <v>632</v>
      </c>
      <c r="J6354" t="s">
        <v>111</v>
      </c>
      <c r="K6354" t="str">
        <f>"85379"</f>
        <v>85379</v>
      </c>
      <c r="L6354" t="s">
        <v>558</v>
      </c>
      <c r="M6354" t="s">
        <v>38433</v>
      </c>
      <c r="N6354" t="s">
        <v>632</v>
      </c>
      <c r="O6354" t="s">
        <v>111</v>
      </c>
      <c r="P6354" t="str">
        <f>"85379-7235"</f>
        <v>85379-7235</v>
      </c>
      <c r="Q6354" t="s">
        <v>113</v>
      </c>
      <c r="R6354" t="str">
        <f>"509-14-324"</f>
        <v>509-14-324</v>
      </c>
      <c r="S6354" t="s">
        <v>5614</v>
      </c>
      <c r="U6354">
        <v>2552</v>
      </c>
      <c r="V6354">
        <v>0</v>
      </c>
      <c r="W6354">
        <v>4</v>
      </c>
      <c r="X6354">
        <v>2004</v>
      </c>
      <c r="Z6354">
        <v>2</v>
      </c>
      <c r="AA6354" t="s">
        <v>26</v>
      </c>
      <c r="AB6354">
        <v>0</v>
      </c>
      <c r="AC6354" t="s">
        <v>115</v>
      </c>
      <c r="AD6354">
        <v>3</v>
      </c>
      <c r="AE6354" t="s">
        <v>115</v>
      </c>
      <c r="AF6354">
        <v>0</v>
      </c>
      <c r="AG6354">
        <v>0</v>
      </c>
      <c r="AH6354" t="s">
        <v>116</v>
      </c>
      <c r="AI6354" s="1">
        <v>105683</v>
      </c>
      <c r="AJ6354" s="2">
        <v>0.33</v>
      </c>
      <c r="AK6354" s="1">
        <v>316833</v>
      </c>
      <c r="AL6354" t="s">
        <v>117</v>
      </c>
      <c r="AM6354" t="s">
        <v>118</v>
      </c>
      <c r="AN6354">
        <v>7245</v>
      </c>
      <c r="AO6354">
        <v>0.17</v>
      </c>
      <c r="AR6354">
        <v>1</v>
      </c>
      <c r="AS6354" s="1">
        <v>22750</v>
      </c>
      <c r="AT6354" s="1">
        <v>4550</v>
      </c>
      <c r="AU6354" s="1">
        <v>18200</v>
      </c>
      <c r="AV6354">
        <v>80</v>
      </c>
      <c r="AX6354" s="1">
        <v>1733.22</v>
      </c>
      <c r="AY6354" t="s">
        <v>5615</v>
      </c>
      <c r="AZ6354" t="s">
        <v>5615</v>
      </c>
      <c r="BA6354" t="s">
        <v>635</v>
      </c>
      <c r="BE6354" s="3">
        <v>41906</v>
      </c>
      <c r="BF6354" s="1">
        <v>211150</v>
      </c>
      <c r="BG6354" t="s">
        <v>38434</v>
      </c>
      <c r="BH6354" s="1">
        <v>82.74</v>
      </c>
      <c r="BI6354" s="1">
        <v>211150</v>
      </c>
      <c r="BJ6354" s="3">
        <v>41906</v>
      </c>
      <c r="BK6354" t="s">
        <v>123</v>
      </c>
      <c r="BL6354" t="str">
        <f>"2014.632787"</f>
        <v>2014.632787</v>
      </c>
      <c r="BM6354" t="s">
        <v>175</v>
      </c>
      <c r="BO6354" t="s">
        <v>12967</v>
      </c>
      <c r="BS6354">
        <v>30</v>
      </c>
      <c r="BW6354" t="str">
        <f>""</f>
        <v/>
      </c>
      <c r="CH6354" t="str">
        <f>""</f>
        <v/>
      </c>
      <c r="CS6354" t="str">
        <f>""</f>
        <v/>
      </c>
    </row>
    <row r="6355" spans="1:97" x14ac:dyDescent="0.25">
      <c r="A6355" t="s">
        <v>1388</v>
      </c>
      <c r="B6355" t="s">
        <v>38435</v>
      </c>
      <c r="C6355" t="s">
        <v>21674</v>
      </c>
      <c r="D6355" t="s">
        <v>38435</v>
      </c>
      <c r="E6355" t="s">
        <v>38436</v>
      </c>
      <c r="F6355" t="s">
        <v>108</v>
      </c>
      <c r="H6355" t="s">
        <v>38437</v>
      </c>
      <c r="I6355" t="s">
        <v>499</v>
      </c>
      <c r="J6355" t="s">
        <v>111</v>
      </c>
      <c r="K6355" t="str">
        <f>"85338"</f>
        <v>85338</v>
      </c>
      <c r="L6355" t="s">
        <v>4751</v>
      </c>
      <c r="M6355" t="s">
        <v>38437</v>
      </c>
      <c r="N6355" t="s">
        <v>499</v>
      </c>
      <c r="O6355" t="s">
        <v>111</v>
      </c>
      <c r="P6355" t="str">
        <f>"85338-7749"</f>
        <v>85338-7749</v>
      </c>
      <c r="Q6355" t="s">
        <v>113</v>
      </c>
      <c r="R6355" t="str">
        <f>"400-58-189"</f>
        <v>400-58-189</v>
      </c>
      <c r="S6355" t="s">
        <v>4752</v>
      </c>
      <c r="T6355" t="s">
        <v>6885</v>
      </c>
      <c r="U6355">
        <v>3022</v>
      </c>
      <c r="V6355">
        <v>0</v>
      </c>
      <c r="W6355">
        <v>4</v>
      </c>
      <c r="X6355">
        <v>2011</v>
      </c>
      <c r="Z6355">
        <v>1</v>
      </c>
      <c r="AB6355">
        <v>0</v>
      </c>
      <c r="AC6355" t="s">
        <v>115</v>
      </c>
      <c r="AD6355">
        <v>3</v>
      </c>
      <c r="AE6355" t="s">
        <v>115</v>
      </c>
      <c r="AF6355">
        <v>0</v>
      </c>
      <c r="AG6355">
        <v>0</v>
      </c>
      <c r="AH6355" t="s">
        <v>116</v>
      </c>
      <c r="AI6355" s="1">
        <v>88539</v>
      </c>
      <c r="AJ6355" s="2">
        <v>0.22</v>
      </c>
      <c r="AK6355" s="1">
        <v>399039</v>
      </c>
      <c r="AL6355" t="s">
        <v>117</v>
      </c>
      <c r="AM6355" t="s">
        <v>118</v>
      </c>
      <c r="AN6355">
        <v>9257</v>
      </c>
      <c r="AO6355">
        <v>0.21</v>
      </c>
      <c r="AR6355">
        <v>1</v>
      </c>
      <c r="AS6355" s="1">
        <v>28630</v>
      </c>
      <c r="AT6355" s="1">
        <v>5720</v>
      </c>
      <c r="AU6355" s="1">
        <v>22910</v>
      </c>
      <c r="AV6355">
        <v>80.02</v>
      </c>
      <c r="AX6355" s="1">
        <v>3091.14</v>
      </c>
      <c r="AY6355" t="s">
        <v>1246</v>
      </c>
      <c r="AZ6355" t="s">
        <v>1246</v>
      </c>
      <c r="BA6355" t="s">
        <v>1247</v>
      </c>
      <c r="BE6355" s="3">
        <v>41820</v>
      </c>
      <c r="BF6355" s="1">
        <v>305000</v>
      </c>
      <c r="BG6355" t="s">
        <v>38438</v>
      </c>
      <c r="BH6355" s="1">
        <v>100.93</v>
      </c>
      <c r="BI6355" s="1">
        <v>310500</v>
      </c>
      <c r="BJ6355" s="3">
        <v>43154</v>
      </c>
      <c r="BK6355" t="s">
        <v>123</v>
      </c>
      <c r="BL6355" t="str">
        <f>"2018.135771"</f>
        <v>2018.135771</v>
      </c>
      <c r="BM6355" t="s">
        <v>1051</v>
      </c>
      <c r="BN6355" t="s">
        <v>9602</v>
      </c>
      <c r="BO6355" t="s">
        <v>38439</v>
      </c>
      <c r="BP6355" t="s">
        <v>38440</v>
      </c>
      <c r="BR6355" t="s">
        <v>139</v>
      </c>
      <c r="BW6355" t="str">
        <f>""</f>
        <v/>
      </c>
      <c r="CH6355" t="str">
        <f>""</f>
        <v/>
      </c>
      <c r="CS6355" t="str">
        <f>""</f>
        <v/>
      </c>
    </row>
    <row r="6356" spans="1:97" x14ac:dyDescent="0.25">
      <c r="A6356" t="s">
        <v>364</v>
      </c>
      <c r="B6356" t="s">
        <v>1929</v>
      </c>
      <c r="C6356" t="s">
        <v>38441</v>
      </c>
      <c r="D6356" t="s">
        <v>1929</v>
      </c>
      <c r="E6356" t="s">
        <v>38442</v>
      </c>
      <c r="F6356" t="s">
        <v>108</v>
      </c>
      <c r="H6356" t="s">
        <v>38443</v>
      </c>
      <c r="I6356" t="s">
        <v>390</v>
      </c>
      <c r="J6356" t="s">
        <v>111</v>
      </c>
      <c r="K6356" t="str">
        <f>"85037"</f>
        <v>85037</v>
      </c>
      <c r="L6356" t="s">
        <v>38444</v>
      </c>
      <c r="M6356" t="s">
        <v>38443</v>
      </c>
      <c r="N6356" t="s">
        <v>390</v>
      </c>
      <c r="O6356" t="s">
        <v>111</v>
      </c>
      <c r="P6356" t="str">
        <f>"85037-8341"</f>
        <v>85037-8341</v>
      </c>
      <c r="Q6356" t="s">
        <v>113</v>
      </c>
      <c r="R6356" t="str">
        <f>"102-90-626"</f>
        <v>102-90-626</v>
      </c>
      <c r="S6356" t="s">
        <v>38445</v>
      </c>
      <c r="T6356" t="s">
        <v>11091</v>
      </c>
      <c r="U6356">
        <v>2178</v>
      </c>
      <c r="V6356">
        <v>0</v>
      </c>
      <c r="W6356">
        <v>3</v>
      </c>
      <c r="X6356">
        <v>2007</v>
      </c>
      <c r="Z6356">
        <v>2</v>
      </c>
      <c r="AB6356">
        <v>0</v>
      </c>
      <c r="AC6356" t="s">
        <v>115</v>
      </c>
      <c r="AD6356">
        <v>2</v>
      </c>
      <c r="AE6356" t="s">
        <v>115</v>
      </c>
      <c r="AF6356">
        <v>0</v>
      </c>
      <c r="AG6356">
        <v>0</v>
      </c>
      <c r="AH6356" t="s">
        <v>116</v>
      </c>
      <c r="AI6356" s="1">
        <v>59997</v>
      </c>
      <c r="AJ6356" s="2">
        <v>0.23</v>
      </c>
      <c r="AK6356" s="1">
        <v>261432</v>
      </c>
      <c r="AL6356" t="s">
        <v>117</v>
      </c>
      <c r="AM6356" t="s">
        <v>191</v>
      </c>
      <c r="AN6356">
        <v>7060</v>
      </c>
      <c r="AO6356">
        <v>0.16</v>
      </c>
      <c r="AR6356">
        <v>1</v>
      </c>
      <c r="AS6356" s="1">
        <v>17350</v>
      </c>
      <c r="AT6356" s="1">
        <v>3470</v>
      </c>
      <c r="AU6356" s="1">
        <v>13880</v>
      </c>
      <c r="AV6356">
        <v>80</v>
      </c>
      <c r="AX6356" s="1">
        <v>1682.46</v>
      </c>
      <c r="AY6356" t="s">
        <v>11092</v>
      </c>
      <c r="AZ6356" t="s">
        <v>11092</v>
      </c>
      <c r="BA6356" t="s">
        <v>5118</v>
      </c>
      <c r="BE6356" s="3">
        <v>42116</v>
      </c>
      <c r="BF6356" s="1">
        <v>172000</v>
      </c>
      <c r="BG6356" t="s">
        <v>38446</v>
      </c>
      <c r="BH6356" s="1">
        <v>78.97</v>
      </c>
      <c r="BI6356" s="1">
        <v>201435</v>
      </c>
      <c r="BJ6356" s="3">
        <v>43545</v>
      </c>
      <c r="BK6356" t="s">
        <v>123</v>
      </c>
      <c r="BL6356" t="str">
        <f>"2019.196087"</f>
        <v>2019.196087</v>
      </c>
      <c r="BM6356" t="s">
        <v>20709</v>
      </c>
      <c r="BN6356" t="s">
        <v>9929</v>
      </c>
      <c r="BO6356" t="s">
        <v>38447</v>
      </c>
      <c r="BP6356" t="s">
        <v>38448</v>
      </c>
      <c r="BR6356" t="s">
        <v>139</v>
      </c>
      <c r="BW6356" t="str">
        <f>""</f>
        <v/>
      </c>
      <c r="CH6356" t="str">
        <f>""</f>
        <v/>
      </c>
      <c r="CS6356" t="str">
        <f>""</f>
        <v/>
      </c>
    </row>
    <row r="6357" spans="1:97" x14ac:dyDescent="0.25">
      <c r="A6357" t="s">
        <v>996</v>
      </c>
      <c r="B6357" t="s">
        <v>12627</v>
      </c>
      <c r="E6357" t="s">
        <v>38449</v>
      </c>
      <c r="F6357" t="s">
        <v>108</v>
      </c>
      <c r="H6357" t="s">
        <v>38450</v>
      </c>
      <c r="I6357" t="s">
        <v>5114</v>
      </c>
      <c r="J6357" t="s">
        <v>111</v>
      </c>
      <c r="K6357" t="str">
        <f>"85392"</f>
        <v>85392</v>
      </c>
      <c r="L6357" t="s">
        <v>6691</v>
      </c>
      <c r="M6357" t="s">
        <v>38450</v>
      </c>
      <c r="N6357" t="s">
        <v>5114</v>
      </c>
      <c r="O6357" t="s">
        <v>111</v>
      </c>
      <c r="P6357" t="str">
        <f>"85392-5544"</f>
        <v>85392-5544</v>
      </c>
      <c r="Q6357" t="s">
        <v>113</v>
      </c>
      <c r="R6357" t="str">
        <f>"501-88-495"</f>
        <v>501-88-495</v>
      </c>
      <c r="S6357" t="s">
        <v>38451</v>
      </c>
      <c r="T6357" t="s">
        <v>38452</v>
      </c>
      <c r="U6357">
        <v>2038</v>
      </c>
      <c r="V6357">
        <v>0</v>
      </c>
      <c r="W6357">
        <v>4</v>
      </c>
      <c r="X6357">
        <v>1996</v>
      </c>
      <c r="Z6357">
        <v>2</v>
      </c>
      <c r="AA6357" t="s">
        <v>26</v>
      </c>
      <c r="AB6357">
        <v>0</v>
      </c>
      <c r="AC6357" t="s">
        <v>115</v>
      </c>
      <c r="AD6357">
        <v>2</v>
      </c>
      <c r="AE6357" t="s">
        <v>115</v>
      </c>
      <c r="AF6357">
        <v>0</v>
      </c>
      <c r="AG6357">
        <v>0</v>
      </c>
      <c r="AH6357" t="s">
        <v>116</v>
      </c>
      <c r="AI6357" s="1">
        <v>30358</v>
      </c>
      <c r="AJ6357" s="2">
        <v>0.11</v>
      </c>
      <c r="AK6357" s="1">
        <v>272453</v>
      </c>
      <c r="AL6357" t="s">
        <v>117</v>
      </c>
      <c r="AM6357" t="s">
        <v>118</v>
      </c>
      <c r="AN6357">
        <v>5220</v>
      </c>
      <c r="AO6357">
        <v>0.12</v>
      </c>
      <c r="AP6357">
        <v>1</v>
      </c>
      <c r="AR6357">
        <v>1</v>
      </c>
      <c r="AS6357" s="1">
        <v>18160</v>
      </c>
      <c r="AT6357" s="1">
        <v>3630</v>
      </c>
      <c r="AU6357" s="1">
        <v>14530</v>
      </c>
      <c r="AV6357">
        <v>80.010000000000005</v>
      </c>
      <c r="AX6357" s="1">
        <v>1298.72</v>
      </c>
      <c r="AY6357" t="s">
        <v>7636</v>
      </c>
      <c r="AZ6357" t="s">
        <v>6701</v>
      </c>
      <c r="BA6357" t="s">
        <v>6702</v>
      </c>
      <c r="BE6357" s="3">
        <v>42538</v>
      </c>
      <c r="BF6357" s="1">
        <v>237000</v>
      </c>
      <c r="BG6357" t="s">
        <v>38453</v>
      </c>
      <c r="BH6357" s="1">
        <v>116.29</v>
      </c>
      <c r="BI6357" s="1">
        <v>242095</v>
      </c>
      <c r="BJ6357" s="3">
        <v>42538</v>
      </c>
      <c r="BK6357" t="s">
        <v>123</v>
      </c>
      <c r="BL6357" t="str">
        <f>"2016.425299"</f>
        <v>2016.425299</v>
      </c>
      <c r="BM6357" t="s">
        <v>150</v>
      </c>
      <c r="BO6357" t="s">
        <v>38454</v>
      </c>
      <c r="BS6357">
        <v>30</v>
      </c>
      <c r="BW6357" t="str">
        <f>""</f>
        <v/>
      </c>
      <c r="CH6357" t="str">
        <f>""</f>
        <v/>
      </c>
      <c r="CS6357" t="str">
        <f>""</f>
        <v/>
      </c>
    </row>
    <row r="6358" spans="1:97" x14ac:dyDescent="0.25">
      <c r="A6358" t="s">
        <v>3478</v>
      </c>
      <c r="B6358" t="s">
        <v>37942</v>
      </c>
      <c r="C6358" t="s">
        <v>4863</v>
      </c>
      <c r="D6358" t="s">
        <v>37942</v>
      </c>
      <c r="E6358" t="s">
        <v>38455</v>
      </c>
      <c r="F6358" t="s">
        <v>108</v>
      </c>
      <c r="H6358" t="s">
        <v>38456</v>
      </c>
      <c r="I6358" t="s">
        <v>499</v>
      </c>
      <c r="J6358" t="s">
        <v>111</v>
      </c>
      <c r="K6358" t="str">
        <f>"85338"</f>
        <v>85338</v>
      </c>
      <c r="L6358" t="s">
        <v>3758</v>
      </c>
      <c r="M6358" t="s">
        <v>38456</v>
      </c>
      <c r="N6358" t="s">
        <v>499</v>
      </c>
      <c r="O6358" t="s">
        <v>111</v>
      </c>
      <c r="P6358" t="str">
        <f>"85338-9637"</f>
        <v>85338-9637</v>
      </c>
      <c r="Q6358" t="s">
        <v>113</v>
      </c>
      <c r="R6358" t="str">
        <f>"400-52-602"</f>
        <v>400-52-602</v>
      </c>
      <c r="S6358" t="s">
        <v>20632</v>
      </c>
      <c r="U6358">
        <v>2084</v>
      </c>
      <c r="V6358">
        <v>0</v>
      </c>
      <c r="W6358">
        <v>4</v>
      </c>
      <c r="X6358">
        <v>1993</v>
      </c>
      <c r="Z6358">
        <v>2</v>
      </c>
      <c r="AB6358">
        <v>0</v>
      </c>
      <c r="AC6358" t="s">
        <v>115</v>
      </c>
      <c r="AD6358">
        <v>2</v>
      </c>
      <c r="AE6358" t="s">
        <v>115</v>
      </c>
      <c r="AF6358">
        <v>0</v>
      </c>
      <c r="AG6358">
        <v>0</v>
      </c>
      <c r="AH6358" t="s">
        <v>116</v>
      </c>
      <c r="AI6358" s="1">
        <v>41027</v>
      </c>
      <c r="AJ6358" s="2">
        <v>0.13</v>
      </c>
      <c r="AK6358" s="1">
        <v>319937</v>
      </c>
      <c r="AL6358" t="s">
        <v>117</v>
      </c>
      <c r="AM6358" t="s">
        <v>118</v>
      </c>
      <c r="AN6358">
        <v>6300</v>
      </c>
      <c r="AO6358">
        <v>0.14000000000000001</v>
      </c>
      <c r="AP6358">
        <v>1</v>
      </c>
      <c r="AR6358">
        <v>1</v>
      </c>
      <c r="AS6358" s="1">
        <v>18370</v>
      </c>
      <c r="AT6358" s="1">
        <v>3670</v>
      </c>
      <c r="AU6358" s="1">
        <v>14700</v>
      </c>
      <c r="AV6358">
        <v>80.02</v>
      </c>
      <c r="AX6358" s="1">
        <v>1582.68</v>
      </c>
      <c r="AY6358" t="s">
        <v>4236</v>
      </c>
      <c r="AZ6358" t="s">
        <v>4236</v>
      </c>
      <c r="BA6358" t="s">
        <v>1247</v>
      </c>
      <c r="BE6358" s="3">
        <v>41849</v>
      </c>
      <c r="BF6358" s="1">
        <v>230000</v>
      </c>
      <c r="BG6358" t="s">
        <v>38457</v>
      </c>
      <c r="BH6358" s="1">
        <v>110.36</v>
      </c>
      <c r="BI6358" s="1">
        <v>278910</v>
      </c>
      <c r="BJ6358" s="3">
        <v>43357</v>
      </c>
      <c r="BK6358" t="s">
        <v>123</v>
      </c>
      <c r="BL6358" t="str">
        <f>"2018.693793"</f>
        <v>2018.693793</v>
      </c>
      <c r="BM6358" t="s">
        <v>135</v>
      </c>
      <c r="BN6358" t="s">
        <v>136</v>
      </c>
      <c r="BO6358" t="s">
        <v>38458</v>
      </c>
      <c r="BP6358" t="s">
        <v>38459</v>
      </c>
      <c r="BR6358" t="s">
        <v>139</v>
      </c>
      <c r="BW6358" t="str">
        <f>""</f>
        <v/>
      </c>
      <c r="CH6358" t="str">
        <f>""</f>
        <v/>
      </c>
      <c r="CS6358" t="str">
        <f>""</f>
        <v/>
      </c>
    </row>
    <row r="6359" spans="1:97" x14ac:dyDescent="0.25">
      <c r="A6359" t="s">
        <v>894</v>
      </c>
      <c r="B6359" t="s">
        <v>38460</v>
      </c>
      <c r="C6359" t="s">
        <v>38461</v>
      </c>
      <c r="D6359" t="s">
        <v>38460</v>
      </c>
      <c r="E6359" t="s">
        <v>38462</v>
      </c>
      <c r="F6359" t="s">
        <v>108</v>
      </c>
      <c r="H6359" t="s">
        <v>38463</v>
      </c>
      <c r="I6359" t="s">
        <v>499</v>
      </c>
      <c r="J6359" t="s">
        <v>111</v>
      </c>
      <c r="K6359" t="str">
        <f>"85395"</f>
        <v>85395</v>
      </c>
      <c r="L6359" t="s">
        <v>5524</v>
      </c>
      <c r="M6359" t="s">
        <v>38463</v>
      </c>
      <c r="N6359" t="s">
        <v>499</v>
      </c>
      <c r="O6359" t="s">
        <v>111</v>
      </c>
      <c r="P6359" t="str">
        <f>"85395-8633"</f>
        <v>85395-8633</v>
      </c>
      <c r="Q6359" t="s">
        <v>113</v>
      </c>
      <c r="R6359" t="str">
        <f>"501-69-858"</f>
        <v>501-69-858</v>
      </c>
      <c r="S6359" t="s">
        <v>18891</v>
      </c>
      <c r="U6359">
        <v>1445</v>
      </c>
      <c r="V6359">
        <v>0</v>
      </c>
      <c r="W6359">
        <v>3</v>
      </c>
      <c r="X6359">
        <v>1995</v>
      </c>
      <c r="Z6359">
        <v>1</v>
      </c>
      <c r="AB6359">
        <v>0</v>
      </c>
      <c r="AC6359" t="s">
        <v>115</v>
      </c>
      <c r="AD6359">
        <v>2</v>
      </c>
      <c r="AE6359" t="s">
        <v>115</v>
      </c>
      <c r="AF6359">
        <v>0</v>
      </c>
      <c r="AG6359">
        <v>0</v>
      </c>
      <c r="AH6359" t="s">
        <v>116</v>
      </c>
      <c r="AI6359" s="1">
        <v>74007</v>
      </c>
      <c r="AJ6359" s="2">
        <v>0.27</v>
      </c>
      <c r="AK6359" s="1">
        <v>274007</v>
      </c>
      <c r="AL6359" t="s">
        <v>117</v>
      </c>
      <c r="AM6359" t="s">
        <v>118</v>
      </c>
      <c r="AN6359">
        <v>4979</v>
      </c>
      <c r="AO6359">
        <v>0.11</v>
      </c>
      <c r="AP6359">
        <v>1</v>
      </c>
      <c r="AR6359">
        <v>1</v>
      </c>
      <c r="AS6359" s="1">
        <v>19050</v>
      </c>
      <c r="AT6359" s="1">
        <v>3810</v>
      </c>
      <c r="AU6359" s="1">
        <v>15240</v>
      </c>
      <c r="AV6359">
        <v>80</v>
      </c>
      <c r="AX6359" s="1">
        <v>2094.3200000000002</v>
      </c>
      <c r="AY6359" t="s">
        <v>3020</v>
      </c>
      <c r="AZ6359" t="s">
        <v>3020</v>
      </c>
      <c r="BA6359" t="s">
        <v>3154</v>
      </c>
      <c r="BE6359" s="3">
        <v>41745</v>
      </c>
      <c r="BF6359" s="1">
        <v>218000</v>
      </c>
      <c r="BG6359" t="s">
        <v>38464</v>
      </c>
      <c r="BH6359" s="1">
        <v>150.87</v>
      </c>
      <c r="BI6359" s="1">
        <v>200000</v>
      </c>
      <c r="BJ6359" s="3">
        <v>42886</v>
      </c>
      <c r="BK6359" t="s">
        <v>123</v>
      </c>
      <c r="BL6359" t="str">
        <f>"2017.395637"</f>
        <v>2017.395637</v>
      </c>
      <c r="BM6359" t="s">
        <v>13159</v>
      </c>
      <c r="BO6359" t="s">
        <v>38465</v>
      </c>
      <c r="BS6359">
        <v>30</v>
      </c>
      <c r="BW6359" t="str">
        <f>""</f>
        <v/>
      </c>
      <c r="CH6359" t="str">
        <f>""</f>
        <v/>
      </c>
      <c r="CS6359" t="str">
        <f>""</f>
        <v/>
      </c>
    </row>
    <row r="6360" spans="1:97" x14ac:dyDescent="0.25">
      <c r="A6360" t="s">
        <v>711</v>
      </c>
      <c r="B6360" t="s">
        <v>38466</v>
      </c>
      <c r="C6360" t="s">
        <v>12543</v>
      </c>
      <c r="D6360" t="s">
        <v>38466</v>
      </c>
      <c r="E6360" t="s">
        <v>38467</v>
      </c>
      <c r="F6360" t="s">
        <v>108</v>
      </c>
      <c r="H6360" t="s">
        <v>38468</v>
      </c>
      <c r="I6360" t="s">
        <v>2874</v>
      </c>
      <c r="J6360" t="s">
        <v>111</v>
      </c>
      <c r="K6360" t="str">
        <f>"85305"</f>
        <v>85305</v>
      </c>
      <c r="L6360" t="s">
        <v>10238</v>
      </c>
      <c r="M6360" t="s">
        <v>38468</v>
      </c>
      <c r="N6360" t="s">
        <v>2874</v>
      </c>
      <c r="O6360" t="s">
        <v>111</v>
      </c>
      <c r="P6360" t="str">
        <f>"85305-2056"</f>
        <v>85305-2056</v>
      </c>
      <c r="Q6360" t="s">
        <v>113</v>
      </c>
      <c r="R6360" t="str">
        <f>"102-02-473"</f>
        <v>102-02-473</v>
      </c>
      <c r="S6360" t="s">
        <v>16056</v>
      </c>
      <c r="U6360">
        <v>1776</v>
      </c>
      <c r="V6360">
        <v>0</v>
      </c>
      <c r="W6360">
        <v>2</v>
      </c>
      <c r="X6360">
        <v>1995</v>
      </c>
      <c r="Z6360">
        <v>1</v>
      </c>
      <c r="AB6360">
        <v>0</v>
      </c>
      <c r="AC6360" t="s">
        <v>115</v>
      </c>
      <c r="AD6360">
        <v>2</v>
      </c>
      <c r="AE6360" t="s">
        <v>115</v>
      </c>
      <c r="AF6360">
        <v>0</v>
      </c>
      <c r="AG6360">
        <v>0</v>
      </c>
      <c r="AH6360" t="s">
        <v>116</v>
      </c>
      <c r="AI6360" s="1">
        <v>46548</v>
      </c>
      <c r="AJ6360" s="2">
        <v>0.19</v>
      </c>
      <c r="AK6360" s="1">
        <v>250049</v>
      </c>
      <c r="AL6360" t="s">
        <v>117</v>
      </c>
      <c r="AM6360" t="s">
        <v>171</v>
      </c>
      <c r="AN6360">
        <v>6199</v>
      </c>
      <c r="AO6360">
        <v>0.14000000000000001</v>
      </c>
      <c r="AP6360">
        <v>1</v>
      </c>
      <c r="AR6360">
        <v>1</v>
      </c>
      <c r="AS6360" s="1">
        <v>16150</v>
      </c>
      <c r="AT6360" s="1">
        <v>3230</v>
      </c>
      <c r="AU6360" s="1">
        <v>12920</v>
      </c>
      <c r="AV6360">
        <v>80</v>
      </c>
      <c r="AX6360" s="1">
        <v>1542.78</v>
      </c>
      <c r="AY6360" t="s">
        <v>16057</v>
      </c>
      <c r="AZ6360" t="s">
        <v>16057</v>
      </c>
      <c r="BA6360" t="s">
        <v>4286</v>
      </c>
      <c r="BE6360" s="3">
        <v>42374</v>
      </c>
      <c r="BF6360" s="1">
        <v>197000</v>
      </c>
      <c r="BG6360" t="s">
        <v>38469</v>
      </c>
      <c r="BH6360" s="1">
        <v>110.92</v>
      </c>
      <c r="BI6360" s="1">
        <v>203501</v>
      </c>
      <c r="BJ6360" s="3">
        <v>42374</v>
      </c>
      <c r="BK6360" t="s">
        <v>123</v>
      </c>
      <c r="BL6360" t="str">
        <f>"2016.5102"</f>
        <v>2016.5102</v>
      </c>
      <c r="BM6360" t="s">
        <v>7000</v>
      </c>
      <c r="BO6360" t="s">
        <v>38470</v>
      </c>
      <c r="BS6360">
        <v>30</v>
      </c>
      <c r="BW6360" t="str">
        <f>""</f>
        <v/>
      </c>
      <c r="CH6360" t="str">
        <f>""</f>
        <v/>
      </c>
      <c r="CS6360" t="str">
        <f>""</f>
        <v/>
      </c>
    </row>
    <row r="6361" spans="1:97" x14ac:dyDescent="0.25">
      <c r="A6361" t="s">
        <v>243</v>
      </c>
      <c r="B6361" t="s">
        <v>1607</v>
      </c>
      <c r="E6361" t="s">
        <v>38471</v>
      </c>
      <c r="F6361" t="s">
        <v>108</v>
      </c>
      <c r="H6361" t="s">
        <v>38472</v>
      </c>
      <c r="I6361" t="s">
        <v>390</v>
      </c>
      <c r="J6361" t="s">
        <v>111</v>
      </c>
      <c r="K6361" t="str">
        <f>"85041"</f>
        <v>85041</v>
      </c>
      <c r="L6361" t="s">
        <v>6891</v>
      </c>
      <c r="M6361" t="s">
        <v>38472</v>
      </c>
      <c r="N6361" t="s">
        <v>390</v>
      </c>
      <c r="O6361" t="s">
        <v>111</v>
      </c>
      <c r="P6361" t="str">
        <f>"85041-6200"</f>
        <v>85041-6200</v>
      </c>
      <c r="Q6361" t="s">
        <v>113</v>
      </c>
      <c r="R6361" t="str">
        <f>"105-88-885"</f>
        <v>105-88-885</v>
      </c>
      <c r="S6361" t="s">
        <v>16123</v>
      </c>
      <c r="T6361" t="s">
        <v>15660</v>
      </c>
      <c r="U6361">
        <v>3549</v>
      </c>
      <c r="V6361">
        <v>0</v>
      </c>
      <c r="W6361">
        <v>5</v>
      </c>
      <c r="X6361">
        <v>2014</v>
      </c>
      <c r="Z6361">
        <v>2</v>
      </c>
      <c r="AB6361">
        <v>0</v>
      </c>
      <c r="AC6361" t="s">
        <v>115</v>
      </c>
      <c r="AD6361">
        <v>3</v>
      </c>
      <c r="AE6361" t="s">
        <v>115</v>
      </c>
      <c r="AF6361">
        <v>0</v>
      </c>
      <c r="AG6361">
        <v>0</v>
      </c>
      <c r="AH6361" t="s">
        <v>116</v>
      </c>
      <c r="AI6361" s="1">
        <v>83031</v>
      </c>
      <c r="AJ6361" s="2">
        <v>0.22</v>
      </c>
      <c r="AK6361" s="1">
        <v>369925</v>
      </c>
      <c r="AL6361" t="s">
        <v>117</v>
      </c>
      <c r="AM6361" t="s">
        <v>760</v>
      </c>
      <c r="AN6361">
        <v>6912</v>
      </c>
      <c r="AO6361">
        <v>0.16</v>
      </c>
      <c r="AR6361">
        <v>1</v>
      </c>
      <c r="AS6361" s="1">
        <v>27200</v>
      </c>
      <c r="AT6361" s="1">
        <v>5440</v>
      </c>
      <c r="AU6361" s="1">
        <v>21760</v>
      </c>
      <c r="AV6361">
        <v>80</v>
      </c>
      <c r="AX6361" s="1">
        <v>2874.76</v>
      </c>
      <c r="AY6361" t="s">
        <v>5220</v>
      </c>
      <c r="AZ6361" t="s">
        <v>5220</v>
      </c>
      <c r="BA6361" t="s">
        <v>1661</v>
      </c>
      <c r="BE6361" s="3">
        <v>41774</v>
      </c>
      <c r="BF6361" s="1">
        <v>306588</v>
      </c>
      <c r="BG6361" t="s">
        <v>158</v>
      </c>
      <c r="BH6361" s="1">
        <v>86.39</v>
      </c>
      <c r="BI6361" s="1">
        <v>286894</v>
      </c>
      <c r="BJ6361" s="3">
        <v>42572</v>
      </c>
      <c r="BK6361" t="s">
        <v>123</v>
      </c>
      <c r="BL6361" t="str">
        <f>"2016.513120"</f>
        <v>2016.513120</v>
      </c>
      <c r="BM6361" t="s">
        <v>322</v>
      </c>
      <c r="BO6361" t="s">
        <v>38473</v>
      </c>
      <c r="BS6361">
        <v>30</v>
      </c>
      <c r="BW6361" t="str">
        <f>""</f>
        <v/>
      </c>
      <c r="CH6361" t="str">
        <f>""</f>
        <v/>
      </c>
      <c r="CS6361" t="str">
        <f>""</f>
        <v/>
      </c>
    </row>
    <row r="6362" spans="1:97" x14ac:dyDescent="0.25">
      <c r="A6362" t="s">
        <v>1109</v>
      </c>
      <c r="B6362" t="s">
        <v>38474</v>
      </c>
      <c r="C6362" t="s">
        <v>164</v>
      </c>
      <c r="D6362" t="s">
        <v>38474</v>
      </c>
      <c r="E6362" t="s">
        <v>38475</v>
      </c>
      <c r="F6362" t="s">
        <v>108</v>
      </c>
      <c r="H6362" t="s">
        <v>38476</v>
      </c>
      <c r="I6362" t="s">
        <v>5114</v>
      </c>
      <c r="J6362" t="s">
        <v>111</v>
      </c>
      <c r="K6362" t="str">
        <f>"85323"</f>
        <v>85323</v>
      </c>
      <c r="L6362" t="s">
        <v>337</v>
      </c>
      <c r="M6362" t="s">
        <v>38476</v>
      </c>
      <c r="N6362" t="s">
        <v>5114</v>
      </c>
      <c r="O6362" t="s">
        <v>111</v>
      </c>
      <c r="P6362" t="str">
        <f>"85323-1769"</f>
        <v>85323-1769</v>
      </c>
      <c r="Q6362" t="s">
        <v>113</v>
      </c>
      <c r="R6362" t="str">
        <f>"500-95-684"</f>
        <v>500-95-684</v>
      </c>
      <c r="S6362" t="s">
        <v>16010</v>
      </c>
      <c r="U6362">
        <v>2510</v>
      </c>
      <c r="V6362">
        <v>0</v>
      </c>
      <c r="W6362">
        <v>4</v>
      </c>
      <c r="X6362">
        <v>2006</v>
      </c>
      <c r="Z6362">
        <v>2</v>
      </c>
      <c r="AB6362">
        <v>0</v>
      </c>
      <c r="AC6362" t="s">
        <v>115</v>
      </c>
      <c r="AD6362">
        <v>2</v>
      </c>
      <c r="AE6362" t="s">
        <v>115</v>
      </c>
      <c r="AF6362">
        <v>0</v>
      </c>
      <c r="AG6362">
        <v>0</v>
      </c>
      <c r="AH6362" t="s">
        <v>116</v>
      </c>
      <c r="AI6362" s="1">
        <v>83562</v>
      </c>
      <c r="AJ6362" s="2">
        <v>0.28999999999999998</v>
      </c>
      <c r="AK6362" s="1">
        <v>289062</v>
      </c>
      <c r="AL6362" t="s">
        <v>117</v>
      </c>
      <c r="AM6362" t="s">
        <v>118</v>
      </c>
      <c r="AN6362">
        <v>5703</v>
      </c>
      <c r="AO6362">
        <v>0.13</v>
      </c>
      <c r="AR6362">
        <v>1</v>
      </c>
      <c r="AS6362" s="1">
        <v>18510</v>
      </c>
      <c r="AT6362" s="1">
        <v>3700</v>
      </c>
      <c r="AU6362" s="1">
        <v>14810</v>
      </c>
      <c r="AV6362">
        <v>80.010000000000005</v>
      </c>
      <c r="AX6362" s="1">
        <v>1746.8</v>
      </c>
      <c r="AY6362" t="s">
        <v>9447</v>
      </c>
      <c r="AZ6362" t="s">
        <v>9447</v>
      </c>
      <c r="BA6362" t="s">
        <v>4254</v>
      </c>
      <c r="BE6362" s="3">
        <v>42045</v>
      </c>
      <c r="BF6362" s="1">
        <v>205500</v>
      </c>
      <c r="BG6362" t="s">
        <v>38477</v>
      </c>
      <c r="BH6362" s="1">
        <v>81.87</v>
      </c>
      <c r="BI6362" s="1">
        <v>205500</v>
      </c>
      <c r="BJ6362" s="3">
        <v>42045</v>
      </c>
      <c r="BK6362" t="s">
        <v>123</v>
      </c>
      <c r="BL6362" t="str">
        <f>"2015.86250"</f>
        <v>2015.86250</v>
      </c>
      <c r="BM6362" t="s">
        <v>544</v>
      </c>
      <c r="BO6362" t="s">
        <v>38478</v>
      </c>
      <c r="BS6362">
        <v>30</v>
      </c>
      <c r="BW6362" t="str">
        <f>""</f>
        <v/>
      </c>
      <c r="CH6362" t="str">
        <f>""</f>
        <v/>
      </c>
      <c r="CS6362" t="str">
        <f>""</f>
        <v/>
      </c>
    </row>
    <row r="6363" spans="1:97" x14ac:dyDescent="0.25">
      <c r="A6363" t="s">
        <v>8500</v>
      </c>
      <c r="B6363" t="s">
        <v>38479</v>
      </c>
      <c r="E6363" t="s">
        <v>38480</v>
      </c>
      <c r="F6363" t="s">
        <v>108</v>
      </c>
      <c r="H6363" t="s">
        <v>38481</v>
      </c>
      <c r="I6363" t="s">
        <v>203</v>
      </c>
      <c r="J6363" t="s">
        <v>111</v>
      </c>
      <c r="K6363" t="str">
        <f>"85234"</f>
        <v>85234</v>
      </c>
      <c r="L6363" t="s">
        <v>2220</v>
      </c>
      <c r="M6363" t="s">
        <v>38481</v>
      </c>
      <c r="N6363" t="s">
        <v>203</v>
      </c>
      <c r="O6363" t="s">
        <v>111</v>
      </c>
      <c r="P6363" t="str">
        <f>"85234-1454"</f>
        <v>85234-1454</v>
      </c>
      <c r="Q6363" t="s">
        <v>113</v>
      </c>
      <c r="R6363" t="str">
        <f>"304-08-679"</f>
        <v>304-08-679</v>
      </c>
      <c r="S6363" t="s">
        <v>19499</v>
      </c>
      <c r="T6363" t="s">
        <v>19500</v>
      </c>
      <c r="U6363">
        <v>1763</v>
      </c>
      <c r="V6363">
        <v>0</v>
      </c>
      <c r="W6363">
        <v>3</v>
      </c>
      <c r="X6363">
        <v>1999</v>
      </c>
      <c r="Z6363">
        <v>1</v>
      </c>
      <c r="AA6363" t="s">
        <v>26</v>
      </c>
      <c r="AB6363">
        <v>0</v>
      </c>
      <c r="AC6363" t="s">
        <v>115</v>
      </c>
      <c r="AD6363">
        <v>2</v>
      </c>
      <c r="AE6363" t="s">
        <v>115</v>
      </c>
      <c r="AF6363">
        <v>0</v>
      </c>
      <c r="AG6363">
        <v>0</v>
      </c>
      <c r="AH6363" t="s">
        <v>116</v>
      </c>
      <c r="AI6363" s="1">
        <v>89143</v>
      </c>
      <c r="AJ6363" s="2">
        <v>0.27</v>
      </c>
      <c r="AK6363" s="1">
        <v>332143</v>
      </c>
      <c r="AL6363" t="s">
        <v>117</v>
      </c>
      <c r="AM6363" t="s">
        <v>191</v>
      </c>
      <c r="AN6363">
        <v>6608</v>
      </c>
      <c r="AO6363">
        <v>0.15</v>
      </c>
      <c r="AP6363">
        <v>1</v>
      </c>
      <c r="AR6363">
        <v>1</v>
      </c>
      <c r="AS6363" s="1">
        <v>23130</v>
      </c>
      <c r="AT6363" s="1">
        <v>4620</v>
      </c>
      <c r="AU6363" s="1">
        <v>18510</v>
      </c>
      <c r="AV6363">
        <v>80.03</v>
      </c>
      <c r="AX6363" s="1">
        <v>1638.76</v>
      </c>
      <c r="AY6363" t="s">
        <v>8450</v>
      </c>
      <c r="AZ6363" t="s">
        <v>571</v>
      </c>
      <c r="BA6363" t="s">
        <v>521</v>
      </c>
      <c r="BE6363" s="3">
        <v>42212</v>
      </c>
      <c r="BF6363" s="1">
        <v>245000</v>
      </c>
      <c r="BG6363" t="s">
        <v>38482</v>
      </c>
      <c r="BH6363" s="1">
        <v>138.97</v>
      </c>
      <c r="BI6363" s="1">
        <v>243000</v>
      </c>
      <c r="BJ6363" s="3">
        <v>42212</v>
      </c>
      <c r="BK6363" t="s">
        <v>123</v>
      </c>
      <c r="BL6363" t="str">
        <f>"2015.538941"</f>
        <v>2015.538941</v>
      </c>
      <c r="BM6363" t="s">
        <v>38483</v>
      </c>
      <c r="BO6363" t="s">
        <v>38484</v>
      </c>
      <c r="BS6363">
        <v>30</v>
      </c>
      <c r="BW6363" t="str">
        <f>""</f>
        <v/>
      </c>
      <c r="CH6363" t="str">
        <f>""</f>
        <v/>
      </c>
      <c r="CS6363" t="str">
        <f>""</f>
        <v/>
      </c>
    </row>
    <row r="6364" spans="1:97" x14ac:dyDescent="0.25">
      <c r="A6364" t="s">
        <v>38485</v>
      </c>
      <c r="B6364" t="s">
        <v>3333</v>
      </c>
      <c r="E6364" t="s">
        <v>38486</v>
      </c>
      <c r="F6364" t="s">
        <v>108</v>
      </c>
      <c r="H6364" t="s">
        <v>38487</v>
      </c>
      <c r="I6364" t="s">
        <v>225</v>
      </c>
      <c r="J6364" t="s">
        <v>111</v>
      </c>
      <c r="K6364" t="str">
        <f>"85206"</f>
        <v>85206</v>
      </c>
      <c r="L6364" t="s">
        <v>6169</v>
      </c>
      <c r="M6364" t="s">
        <v>38487</v>
      </c>
      <c r="N6364" t="s">
        <v>225</v>
      </c>
      <c r="O6364" t="s">
        <v>111</v>
      </c>
      <c r="P6364" t="str">
        <f>"85206-2930"</f>
        <v>85206-2930</v>
      </c>
      <c r="Q6364" t="s">
        <v>113</v>
      </c>
      <c r="R6364" t="str">
        <f>"141-83-914"</f>
        <v>141-83-914</v>
      </c>
      <c r="S6364" t="s">
        <v>38488</v>
      </c>
      <c r="U6364">
        <v>1565</v>
      </c>
      <c r="V6364">
        <v>0</v>
      </c>
      <c r="W6364">
        <v>3</v>
      </c>
      <c r="X6364">
        <v>1993</v>
      </c>
      <c r="Z6364">
        <v>1</v>
      </c>
      <c r="AA6364" t="s">
        <v>26</v>
      </c>
      <c r="AB6364">
        <v>0</v>
      </c>
      <c r="AC6364" t="s">
        <v>115</v>
      </c>
      <c r="AD6364">
        <v>2</v>
      </c>
      <c r="AE6364" t="s">
        <v>115</v>
      </c>
      <c r="AF6364">
        <v>0</v>
      </c>
      <c r="AG6364">
        <v>0</v>
      </c>
      <c r="AH6364" t="s">
        <v>116</v>
      </c>
      <c r="AI6364" s="1">
        <v>71395</v>
      </c>
      <c r="AJ6364" s="2">
        <v>0.25</v>
      </c>
      <c r="AK6364" s="1">
        <v>287846</v>
      </c>
      <c r="AL6364" t="s">
        <v>117</v>
      </c>
      <c r="AM6364" t="s">
        <v>393</v>
      </c>
      <c r="AN6364">
        <v>7496</v>
      </c>
      <c r="AO6364">
        <v>0.17</v>
      </c>
      <c r="AP6364">
        <v>1</v>
      </c>
      <c r="AR6364">
        <v>1</v>
      </c>
      <c r="AS6364" s="1">
        <v>19120</v>
      </c>
      <c r="AT6364" s="1">
        <v>3820</v>
      </c>
      <c r="AU6364" s="1">
        <v>15300</v>
      </c>
      <c r="AV6364">
        <v>80.02</v>
      </c>
      <c r="AX6364" s="1">
        <v>1557.74</v>
      </c>
      <c r="AY6364" t="s">
        <v>230</v>
      </c>
      <c r="AZ6364" t="s">
        <v>5158</v>
      </c>
      <c r="BA6364" t="s">
        <v>5159</v>
      </c>
      <c r="BE6364" s="3">
        <v>42139</v>
      </c>
      <c r="BF6364" s="1">
        <v>215000</v>
      </c>
      <c r="BG6364" t="s">
        <v>38489</v>
      </c>
      <c r="BH6364" s="1">
        <v>137.38</v>
      </c>
      <c r="BI6364" s="1">
        <v>216451</v>
      </c>
      <c r="BJ6364" s="3">
        <v>42723</v>
      </c>
      <c r="BK6364" t="s">
        <v>123</v>
      </c>
      <c r="BL6364" t="str">
        <f>"2016.931050"</f>
        <v>2016.931050</v>
      </c>
      <c r="BM6364" t="s">
        <v>322</v>
      </c>
      <c r="BO6364" t="s">
        <v>38490</v>
      </c>
      <c r="BS6364">
        <v>30</v>
      </c>
      <c r="BW6364" t="str">
        <f>""</f>
        <v/>
      </c>
      <c r="CH6364" t="str">
        <f>""</f>
        <v/>
      </c>
      <c r="CS6364" t="str">
        <f>""</f>
        <v/>
      </c>
    </row>
    <row r="6365" spans="1:97" x14ac:dyDescent="0.25">
      <c r="A6365" t="s">
        <v>370</v>
      </c>
      <c r="B6365" t="s">
        <v>2058</v>
      </c>
      <c r="C6365" t="s">
        <v>2099</v>
      </c>
      <c r="D6365" t="s">
        <v>2058</v>
      </c>
      <c r="E6365" t="s">
        <v>38491</v>
      </c>
      <c r="F6365" t="s">
        <v>108</v>
      </c>
      <c r="H6365" t="s">
        <v>38492</v>
      </c>
      <c r="I6365" t="s">
        <v>632</v>
      </c>
      <c r="J6365" t="s">
        <v>111</v>
      </c>
      <c r="K6365" t="str">
        <f>"85374"</f>
        <v>85374</v>
      </c>
      <c r="L6365" t="s">
        <v>5990</v>
      </c>
      <c r="M6365" t="s">
        <v>38492</v>
      </c>
      <c r="N6365" t="s">
        <v>632</v>
      </c>
      <c r="O6365" t="s">
        <v>111</v>
      </c>
      <c r="P6365" t="str">
        <f>"85374-7841"</f>
        <v>85374-7841</v>
      </c>
      <c r="Q6365" t="s">
        <v>113</v>
      </c>
      <c r="R6365" t="str">
        <f>"509-01-095"</f>
        <v>509-01-095</v>
      </c>
      <c r="S6365" t="s">
        <v>8526</v>
      </c>
      <c r="U6365">
        <v>2037</v>
      </c>
      <c r="V6365">
        <v>0</v>
      </c>
      <c r="W6365">
        <v>3</v>
      </c>
      <c r="X6365">
        <v>2001</v>
      </c>
      <c r="Z6365">
        <v>2</v>
      </c>
      <c r="AA6365" t="s">
        <v>26</v>
      </c>
      <c r="AB6365">
        <v>0</v>
      </c>
      <c r="AC6365" t="s">
        <v>115</v>
      </c>
      <c r="AD6365">
        <v>2</v>
      </c>
      <c r="AE6365" t="s">
        <v>115</v>
      </c>
      <c r="AF6365">
        <v>0</v>
      </c>
      <c r="AG6365">
        <v>0</v>
      </c>
      <c r="AH6365" t="s">
        <v>116</v>
      </c>
      <c r="AI6365" s="1">
        <v>57248</v>
      </c>
      <c r="AJ6365" s="2">
        <v>0.21</v>
      </c>
      <c r="AK6365" s="1">
        <v>276053</v>
      </c>
      <c r="AL6365" t="s">
        <v>117</v>
      </c>
      <c r="AM6365" t="s">
        <v>118</v>
      </c>
      <c r="AN6365">
        <v>6713</v>
      </c>
      <c r="AO6365">
        <v>0.15</v>
      </c>
      <c r="AP6365">
        <v>1</v>
      </c>
      <c r="AR6365">
        <v>1</v>
      </c>
      <c r="AS6365" s="1">
        <v>20120</v>
      </c>
      <c r="AT6365" s="1">
        <v>4020</v>
      </c>
      <c r="AU6365" s="1">
        <v>16100</v>
      </c>
      <c r="AV6365">
        <v>80.02</v>
      </c>
      <c r="AX6365" s="1">
        <v>1407.04</v>
      </c>
      <c r="AY6365" t="s">
        <v>5983</v>
      </c>
      <c r="AZ6365" t="s">
        <v>5983</v>
      </c>
      <c r="BA6365" t="s">
        <v>5109</v>
      </c>
      <c r="BE6365" s="3">
        <v>41950</v>
      </c>
      <c r="BF6365" s="1">
        <v>178000</v>
      </c>
      <c r="BG6365" t="s">
        <v>38493</v>
      </c>
      <c r="BH6365" s="1">
        <v>87.38</v>
      </c>
      <c r="BI6365" s="1">
        <v>218805</v>
      </c>
      <c r="BJ6365" s="3">
        <v>42823</v>
      </c>
      <c r="BK6365" t="s">
        <v>123</v>
      </c>
      <c r="BL6365" t="str">
        <f>"2017.218226"</f>
        <v>2017.218226</v>
      </c>
      <c r="BM6365" t="s">
        <v>709</v>
      </c>
      <c r="BO6365" t="s">
        <v>38494</v>
      </c>
      <c r="BS6365">
        <v>30</v>
      </c>
      <c r="BW6365" t="str">
        <f>""</f>
        <v/>
      </c>
      <c r="CH6365" t="str">
        <f>""</f>
        <v/>
      </c>
      <c r="CS6365" t="str">
        <f>""</f>
        <v/>
      </c>
    </row>
    <row r="6366" spans="1:97" x14ac:dyDescent="0.25">
      <c r="A6366" t="s">
        <v>1067</v>
      </c>
      <c r="B6366" t="s">
        <v>38495</v>
      </c>
      <c r="E6366" t="s">
        <v>38496</v>
      </c>
      <c r="F6366" t="s">
        <v>108</v>
      </c>
      <c r="H6366" t="s">
        <v>38497</v>
      </c>
      <c r="I6366" t="s">
        <v>632</v>
      </c>
      <c r="J6366" t="s">
        <v>111</v>
      </c>
      <c r="K6366" t="str">
        <f>"85388"</f>
        <v>85388</v>
      </c>
      <c r="L6366" t="s">
        <v>5727</v>
      </c>
      <c r="M6366" t="s">
        <v>38497</v>
      </c>
      <c r="N6366" t="s">
        <v>632</v>
      </c>
      <c r="O6366" t="s">
        <v>111</v>
      </c>
      <c r="P6366" t="str">
        <f>"85388-5639"</f>
        <v>85388-5639</v>
      </c>
      <c r="Q6366" t="s">
        <v>113</v>
      </c>
      <c r="R6366" t="str">
        <f>"502-06-182"</f>
        <v>502-06-182</v>
      </c>
      <c r="S6366" t="s">
        <v>5728</v>
      </c>
      <c r="T6366" t="s">
        <v>5167</v>
      </c>
      <c r="U6366">
        <v>1892</v>
      </c>
      <c r="V6366">
        <v>0</v>
      </c>
      <c r="W6366">
        <v>3</v>
      </c>
      <c r="X6366">
        <v>2008</v>
      </c>
      <c r="Z6366">
        <v>1</v>
      </c>
      <c r="AA6366" t="s">
        <v>26</v>
      </c>
      <c r="AB6366">
        <v>0</v>
      </c>
      <c r="AC6366" t="s">
        <v>115</v>
      </c>
      <c r="AD6366">
        <v>2</v>
      </c>
      <c r="AE6366" t="s">
        <v>115</v>
      </c>
      <c r="AF6366">
        <v>0</v>
      </c>
      <c r="AG6366">
        <v>0</v>
      </c>
      <c r="AH6366" t="s">
        <v>116</v>
      </c>
      <c r="AI6366" s="1">
        <v>67556</v>
      </c>
      <c r="AJ6366" s="2">
        <v>0.24</v>
      </c>
      <c r="AK6366" s="1">
        <v>287178</v>
      </c>
      <c r="AL6366" t="s">
        <v>117</v>
      </c>
      <c r="AM6366" t="s">
        <v>118</v>
      </c>
      <c r="AN6366">
        <v>7245</v>
      </c>
      <c r="AO6366">
        <v>0.17</v>
      </c>
      <c r="AR6366">
        <v>1</v>
      </c>
      <c r="AS6366" s="1">
        <v>20050</v>
      </c>
      <c r="AT6366" s="1">
        <v>4010</v>
      </c>
      <c r="AU6366" s="1">
        <v>16040</v>
      </c>
      <c r="AV6366">
        <v>80</v>
      </c>
      <c r="AX6366" s="1">
        <v>1680.84</v>
      </c>
      <c r="AY6366" t="s">
        <v>5168</v>
      </c>
      <c r="AZ6366" t="s">
        <v>5168</v>
      </c>
      <c r="BA6366" t="s">
        <v>5061</v>
      </c>
      <c r="BE6366" s="3">
        <v>41977</v>
      </c>
      <c r="BF6366" s="1">
        <v>215000</v>
      </c>
      <c r="BG6366" t="s">
        <v>38498</v>
      </c>
      <c r="BH6366" s="1">
        <v>113.64</v>
      </c>
      <c r="BI6366" s="1">
        <v>219622</v>
      </c>
      <c r="BJ6366" s="3">
        <v>41977</v>
      </c>
      <c r="BK6366" t="s">
        <v>123</v>
      </c>
      <c r="BL6366" t="str">
        <f>"2014.797984"</f>
        <v>2014.797984</v>
      </c>
      <c r="BM6366" t="s">
        <v>1185</v>
      </c>
      <c r="BO6366" t="s">
        <v>38499</v>
      </c>
      <c r="BS6366">
        <v>30</v>
      </c>
      <c r="BW6366" t="str">
        <f>""</f>
        <v/>
      </c>
      <c r="CH6366" t="str">
        <f>""</f>
        <v/>
      </c>
      <c r="CS6366" t="str">
        <f>""</f>
        <v/>
      </c>
    </row>
    <row r="6367" spans="1:97" x14ac:dyDescent="0.25">
      <c r="A6367" t="s">
        <v>589</v>
      </c>
      <c r="B6367" t="s">
        <v>8582</v>
      </c>
      <c r="C6367" t="s">
        <v>8675</v>
      </c>
      <c r="D6367" t="s">
        <v>8582</v>
      </c>
      <c r="E6367" t="s">
        <v>38500</v>
      </c>
      <c r="F6367" t="s">
        <v>108</v>
      </c>
      <c r="H6367" t="s">
        <v>38501</v>
      </c>
      <c r="I6367" t="s">
        <v>632</v>
      </c>
      <c r="J6367" t="s">
        <v>111</v>
      </c>
      <c r="K6367" t="str">
        <f>"85379"</f>
        <v>85379</v>
      </c>
      <c r="L6367" t="s">
        <v>454</v>
      </c>
      <c r="M6367" t="s">
        <v>38501</v>
      </c>
      <c r="N6367" t="s">
        <v>632</v>
      </c>
      <c r="O6367" t="s">
        <v>111</v>
      </c>
      <c r="P6367" t="str">
        <f>"85379-1002"</f>
        <v>85379-1002</v>
      </c>
      <c r="Q6367" t="s">
        <v>113</v>
      </c>
      <c r="R6367" t="str">
        <f>"501-46-408"</f>
        <v>501-46-408</v>
      </c>
      <c r="S6367" t="s">
        <v>5319</v>
      </c>
      <c r="U6367">
        <v>2423</v>
      </c>
      <c r="V6367">
        <v>0</v>
      </c>
      <c r="W6367">
        <v>3</v>
      </c>
      <c r="X6367">
        <v>2014</v>
      </c>
      <c r="Z6367">
        <v>1</v>
      </c>
      <c r="AB6367">
        <v>0</v>
      </c>
      <c r="AC6367" t="s">
        <v>115</v>
      </c>
      <c r="AD6367">
        <v>2</v>
      </c>
      <c r="AE6367" t="s">
        <v>115</v>
      </c>
      <c r="AF6367">
        <v>0</v>
      </c>
      <c r="AG6367">
        <v>0</v>
      </c>
      <c r="AH6367" t="s">
        <v>116</v>
      </c>
      <c r="AI6367" s="1">
        <v>56543</v>
      </c>
      <c r="AJ6367" s="2">
        <v>0.18</v>
      </c>
      <c r="AK6367" s="1">
        <v>320601</v>
      </c>
      <c r="AL6367" t="s">
        <v>117</v>
      </c>
      <c r="AM6367" t="s">
        <v>118</v>
      </c>
      <c r="AN6367">
        <v>7245</v>
      </c>
      <c r="AO6367">
        <v>0.17</v>
      </c>
      <c r="AR6367">
        <v>1</v>
      </c>
      <c r="AS6367" s="1">
        <v>22610</v>
      </c>
      <c r="AT6367" s="1">
        <v>4520</v>
      </c>
      <c r="AU6367" s="1">
        <v>18090</v>
      </c>
      <c r="AV6367">
        <v>80.010000000000005</v>
      </c>
      <c r="AX6367" s="1">
        <v>2122.2399999999998</v>
      </c>
      <c r="AY6367" t="s">
        <v>5060</v>
      </c>
      <c r="AZ6367" t="s">
        <v>5060</v>
      </c>
      <c r="BA6367" t="s">
        <v>5061</v>
      </c>
      <c r="BE6367" s="3">
        <v>41814</v>
      </c>
      <c r="BF6367" s="1">
        <v>255623</v>
      </c>
      <c r="BG6367" t="s">
        <v>233</v>
      </c>
      <c r="BH6367" s="1">
        <v>105.5</v>
      </c>
      <c r="BI6367" s="1">
        <v>264058</v>
      </c>
      <c r="BJ6367" s="3">
        <v>41814</v>
      </c>
      <c r="BK6367" t="s">
        <v>123</v>
      </c>
      <c r="BL6367" t="str">
        <f>"2014.413676"</f>
        <v>2014.413676</v>
      </c>
      <c r="BM6367" t="s">
        <v>4076</v>
      </c>
      <c r="BO6367" t="s">
        <v>38502</v>
      </c>
      <c r="BS6367">
        <v>30</v>
      </c>
      <c r="BW6367" t="str">
        <f>""</f>
        <v/>
      </c>
      <c r="CH6367" t="str">
        <f>""</f>
        <v/>
      </c>
      <c r="CS6367" t="str">
        <f>""</f>
        <v/>
      </c>
    </row>
    <row r="6368" spans="1:97" x14ac:dyDescent="0.25">
      <c r="A6368" t="s">
        <v>1393</v>
      </c>
      <c r="B6368" t="s">
        <v>4491</v>
      </c>
      <c r="C6368" t="s">
        <v>2286</v>
      </c>
      <c r="D6368" t="s">
        <v>4491</v>
      </c>
      <c r="E6368" t="s">
        <v>38503</v>
      </c>
      <c r="F6368" t="s">
        <v>108</v>
      </c>
      <c r="H6368" t="s">
        <v>38504</v>
      </c>
      <c r="I6368" t="s">
        <v>225</v>
      </c>
      <c r="J6368" t="s">
        <v>111</v>
      </c>
      <c r="K6368" t="str">
        <f>"85213"</f>
        <v>85213</v>
      </c>
      <c r="L6368" t="s">
        <v>926</v>
      </c>
      <c r="M6368" t="s">
        <v>38504</v>
      </c>
      <c r="N6368" t="s">
        <v>225</v>
      </c>
      <c r="O6368" t="s">
        <v>111</v>
      </c>
      <c r="P6368" t="str">
        <f>"85213-6728"</f>
        <v>85213-6728</v>
      </c>
      <c r="Q6368" t="s">
        <v>113</v>
      </c>
      <c r="R6368" t="str">
        <f>"140-09-462"</f>
        <v>140-09-462</v>
      </c>
      <c r="S6368" t="s">
        <v>38505</v>
      </c>
      <c r="T6368" t="s">
        <v>38506</v>
      </c>
      <c r="U6368">
        <v>1775</v>
      </c>
      <c r="V6368">
        <v>0</v>
      </c>
      <c r="W6368">
        <v>2</v>
      </c>
      <c r="X6368">
        <v>1980</v>
      </c>
      <c r="Z6368">
        <v>1</v>
      </c>
      <c r="AB6368">
        <v>0</v>
      </c>
      <c r="AC6368" t="s">
        <v>115</v>
      </c>
      <c r="AD6368">
        <v>2</v>
      </c>
      <c r="AE6368" t="s">
        <v>115</v>
      </c>
      <c r="AF6368">
        <v>0</v>
      </c>
      <c r="AG6368">
        <v>0</v>
      </c>
      <c r="AH6368" t="s">
        <v>116</v>
      </c>
      <c r="AI6368" s="1">
        <v>46238</v>
      </c>
      <c r="AJ6368" s="2">
        <v>0.14000000000000001</v>
      </c>
      <c r="AK6368" s="1">
        <v>331708</v>
      </c>
      <c r="AL6368" t="s">
        <v>117</v>
      </c>
      <c r="AM6368" t="s">
        <v>917</v>
      </c>
      <c r="AN6368">
        <v>11329</v>
      </c>
      <c r="AO6368">
        <v>0.26</v>
      </c>
      <c r="AP6368">
        <v>1</v>
      </c>
      <c r="AR6368">
        <v>1</v>
      </c>
      <c r="AS6368" s="1">
        <v>23470</v>
      </c>
      <c r="AT6368" s="1">
        <v>4690</v>
      </c>
      <c r="AU6368" s="1">
        <v>18780</v>
      </c>
      <c r="AV6368">
        <v>80.02</v>
      </c>
      <c r="AX6368" s="1">
        <v>1581.3</v>
      </c>
      <c r="AY6368" t="s">
        <v>9091</v>
      </c>
      <c r="AZ6368" t="s">
        <v>1523</v>
      </c>
      <c r="BA6368" t="s">
        <v>1524</v>
      </c>
      <c r="BE6368" s="3">
        <v>42228</v>
      </c>
      <c r="BF6368" s="1">
        <v>275000</v>
      </c>
      <c r="BG6368" t="s">
        <v>38507</v>
      </c>
      <c r="BH6368" s="1">
        <v>154.93</v>
      </c>
      <c r="BI6368" s="1">
        <v>285470</v>
      </c>
      <c r="BJ6368" s="3">
        <v>42537</v>
      </c>
      <c r="BK6368" t="s">
        <v>123</v>
      </c>
      <c r="BL6368" t="str">
        <f>"2016.420307"</f>
        <v>2016.420307</v>
      </c>
      <c r="BM6368" t="s">
        <v>2107</v>
      </c>
      <c r="BO6368" t="s">
        <v>38508</v>
      </c>
      <c r="BS6368">
        <v>30</v>
      </c>
      <c r="BW6368" t="str">
        <f>""</f>
        <v/>
      </c>
      <c r="CH6368" t="str">
        <f>""</f>
        <v/>
      </c>
      <c r="CS6368" t="str">
        <f>""</f>
        <v/>
      </c>
    </row>
    <row r="6369" spans="1:97" x14ac:dyDescent="0.25">
      <c r="A6369" t="s">
        <v>1514</v>
      </c>
      <c r="B6369" t="s">
        <v>38509</v>
      </c>
      <c r="E6369" t="s">
        <v>38510</v>
      </c>
      <c r="F6369" t="s">
        <v>108</v>
      </c>
      <c r="H6369" t="s">
        <v>38511</v>
      </c>
      <c r="I6369" t="s">
        <v>110</v>
      </c>
      <c r="J6369" t="s">
        <v>111</v>
      </c>
      <c r="K6369" t="str">
        <f>"85224"</f>
        <v>85224</v>
      </c>
      <c r="L6369" t="s">
        <v>5308</v>
      </c>
      <c r="M6369" t="s">
        <v>38511</v>
      </c>
      <c r="N6369" t="s">
        <v>110</v>
      </c>
      <c r="O6369" t="s">
        <v>111</v>
      </c>
      <c r="P6369" t="str">
        <f>"85224-1050"</f>
        <v>85224-1050</v>
      </c>
      <c r="Q6369" t="s">
        <v>113</v>
      </c>
      <c r="R6369" t="str">
        <f>"302-87-659"</f>
        <v>302-87-659</v>
      </c>
      <c r="S6369" t="s">
        <v>38512</v>
      </c>
      <c r="U6369">
        <v>1462</v>
      </c>
      <c r="V6369">
        <v>0</v>
      </c>
      <c r="W6369">
        <v>2</v>
      </c>
      <c r="X6369">
        <v>1984</v>
      </c>
      <c r="Z6369">
        <v>1</v>
      </c>
      <c r="AA6369" t="s">
        <v>26</v>
      </c>
      <c r="AB6369">
        <v>0</v>
      </c>
      <c r="AC6369" t="s">
        <v>115</v>
      </c>
      <c r="AD6369">
        <v>2</v>
      </c>
      <c r="AE6369" t="s">
        <v>115</v>
      </c>
      <c r="AF6369">
        <v>0</v>
      </c>
      <c r="AG6369">
        <v>0</v>
      </c>
      <c r="AH6369" t="s">
        <v>116</v>
      </c>
      <c r="AI6369" s="1">
        <v>41702</v>
      </c>
      <c r="AJ6369" s="2">
        <v>0.14000000000000001</v>
      </c>
      <c r="AK6369" s="1">
        <v>295502</v>
      </c>
      <c r="AL6369" t="s">
        <v>117</v>
      </c>
      <c r="AM6369" t="s">
        <v>5077</v>
      </c>
      <c r="AN6369">
        <v>7292</v>
      </c>
      <c r="AO6369">
        <v>0.17</v>
      </c>
      <c r="AP6369">
        <v>1</v>
      </c>
      <c r="AR6369">
        <v>1</v>
      </c>
      <c r="AS6369" s="1">
        <v>19720</v>
      </c>
      <c r="AT6369" s="1">
        <v>3940</v>
      </c>
      <c r="AU6369" s="1">
        <v>15780</v>
      </c>
      <c r="AV6369">
        <v>80.02</v>
      </c>
      <c r="AX6369" s="1">
        <v>1328.46</v>
      </c>
      <c r="AY6369" t="s">
        <v>5310</v>
      </c>
      <c r="AZ6369" t="s">
        <v>5310</v>
      </c>
      <c r="BA6369" t="s">
        <v>5311</v>
      </c>
      <c r="BB6369" s="3">
        <v>43390</v>
      </c>
      <c r="BC6369" s="1">
        <v>0</v>
      </c>
      <c r="BD6369" t="s">
        <v>247</v>
      </c>
      <c r="BE6369" s="3">
        <v>41702</v>
      </c>
      <c r="BF6369" s="1">
        <v>208000</v>
      </c>
      <c r="BG6369" t="s">
        <v>12640</v>
      </c>
      <c r="BH6369" s="1">
        <v>142.27000000000001</v>
      </c>
      <c r="BI6369" s="1">
        <v>253800</v>
      </c>
      <c r="BJ6369" s="3">
        <v>43390</v>
      </c>
      <c r="BK6369" t="s">
        <v>123</v>
      </c>
      <c r="BL6369" t="str">
        <f>"2018.777050"</f>
        <v>2018.777050</v>
      </c>
      <c r="BM6369" t="s">
        <v>5842</v>
      </c>
      <c r="BN6369" t="s">
        <v>5843</v>
      </c>
      <c r="BO6369" t="s">
        <v>38513</v>
      </c>
      <c r="BR6369" t="s">
        <v>139</v>
      </c>
      <c r="BW6369" t="str">
        <f>""</f>
        <v/>
      </c>
      <c r="CH6369" t="str">
        <f>""</f>
        <v/>
      </c>
      <c r="CS6369" t="str">
        <f>""</f>
        <v/>
      </c>
    </row>
    <row r="6370" spans="1:97" x14ac:dyDescent="0.25">
      <c r="A6370" t="s">
        <v>1514</v>
      </c>
      <c r="B6370" t="s">
        <v>35462</v>
      </c>
      <c r="C6370" t="s">
        <v>179</v>
      </c>
      <c r="D6370" t="s">
        <v>35462</v>
      </c>
      <c r="E6370" t="s">
        <v>38514</v>
      </c>
      <c r="F6370" t="s">
        <v>108</v>
      </c>
      <c r="H6370" t="s">
        <v>38515</v>
      </c>
      <c r="I6370" t="s">
        <v>453</v>
      </c>
      <c r="J6370" t="s">
        <v>111</v>
      </c>
      <c r="K6370" t="str">
        <f>"85383"</f>
        <v>85383</v>
      </c>
      <c r="L6370" t="s">
        <v>3161</v>
      </c>
      <c r="M6370" t="s">
        <v>38515</v>
      </c>
      <c r="N6370" t="s">
        <v>453</v>
      </c>
      <c r="O6370" t="s">
        <v>111</v>
      </c>
      <c r="P6370" t="str">
        <f>"85383"</f>
        <v>85383</v>
      </c>
      <c r="Q6370" t="s">
        <v>113</v>
      </c>
      <c r="R6370" t="str">
        <f>"510-04-449"</f>
        <v>510-04-449</v>
      </c>
      <c r="S6370" t="s">
        <v>8376</v>
      </c>
      <c r="T6370" t="s">
        <v>8377</v>
      </c>
      <c r="U6370">
        <v>2600</v>
      </c>
      <c r="V6370">
        <v>0</v>
      </c>
      <c r="W6370">
        <v>3</v>
      </c>
      <c r="X6370">
        <v>2014</v>
      </c>
      <c r="Z6370">
        <v>2</v>
      </c>
      <c r="AB6370">
        <v>0</v>
      </c>
      <c r="AC6370" t="s">
        <v>115</v>
      </c>
      <c r="AD6370">
        <v>3</v>
      </c>
      <c r="AE6370" t="s">
        <v>115</v>
      </c>
      <c r="AF6370">
        <v>0</v>
      </c>
      <c r="AG6370">
        <v>0</v>
      </c>
      <c r="AH6370" t="s">
        <v>116</v>
      </c>
      <c r="AI6370" s="1">
        <v>85774</v>
      </c>
      <c r="AJ6370" s="2">
        <v>0.25</v>
      </c>
      <c r="AK6370" s="1">
        <v>346079</v>
      </c>
      <c r="AL6370" t="s">
        <v>117</v>
      </c>
      <c r="AM6370" t="s">
        <v>118</v>
      </c>
      <c r="AN6370">
        <v>4188</v>
      </c>
      <c r="AO6370">
        <v>0.96</v>
      </c>
      <c r="AR6370">
        <v>1</v>
      </c>
      <c r="AS6370" s="1">
        <v>23350</v>
      </c>
      <c r="AT6370" s="1">
        <v>4670</v>
      </c>
      <c r="AU6370" s="1">
        <v>18680</v>
      </c>
      <c r="AV6370">
        <v>80</v>
      </c>
      <c r="AX6370" s="1">
        <v>2306.48</v>
      </c>
      <c r="AY6370" t="s">
        <v>627</v>
      </c>
      <c r="AZ6370" t="s">
        <v>627</v>
      </c>
      <c r="BA6370" t="s">
        <v>457</v>
      </c>
      <c r="BE6370" s="3">
        <v>41815</v>
      </c>
      <c r="BF6370" s="1">
        <v>251990</v>
      </c>
      <c r="BG6370" t="s">
        <v>617</v>
      </c>
      <c r="BH6370" s="1">
        <v>96.92</v>
      </c>
      <c r="BI6370" s="1">
        <v>260305</v>
      </c>
      <c r="BJ6370" s="3">
        <v>41815</v>
      </c>
      <c r="BK6370" t="s">
        <v>123</v>
      </c>
      <c r="BL6370" t="str">
        <f>"2014.415219"</f>
        <v>2014.415219</v>
      </c>
      <c r="BM6370" t="s">
        <v>618</v>
      </c>
      <c r="BO6370" t="s">
        <v>38516</v>
      </c>
      <c r="BS6370">
        <v>30</v>
      </c>
      <c r="BW6370" t="str">
        <f>""</f>
        <v/>
      </c>
      <c r="CH6370" t="str">
        <f>""</f>
        <v/>
      </c>
      <c r="CS6370" t="str">
        <f>""</f>
        <v/>
      </c>
    </row>
    <row r="6371" spans="1:97" x14ac:dyDescent="0.25">
      <c r="A6371" t="s">
        <v>1755</v>
      </c>
      <c r="B6371" t="s">
        <v>38517</v>
      </c>
      <c r="E6371" t="s">
        <v>38518</v>
      </c>
      <c r="F6371" t="s">
        <v>108</v>
      </c>
      <c r="H6371" t="s">
        <v>38519</v>
      </c>
      <c r="I6371" t="s">
        <v>5114</v>
      </c>
      <c r="J6371" t="s">
        <v>111</v>
      </c>
      <c r="K6371" t="str">
        <f>"85323"</f>
        <v>85323</v>
      </c>
      <c r="L6371" t="s">
        <v>734</v>
      </c>
      <c r="M6371" t="s">
        <v>38519</v>
      </c>
      <c r="N6371" t="s">
        <v>5114</v>
      </c>
      <c r="O6371" t="s">
        <v>111</v>
      </c>
      <c r="P6371" t="str">
        <f>"85323-9731"</f>
        <v>85323-9731</v>
      </c>
      <c r="Q6371" t="s">
        <v>113</v>
      </c>
      <c r="R6371" t="str">
        <f>"500-74-001-W"</f>
        <v>500-74-001-W</v>
      </c>
      <c r="U6371">
        <v>1649</v>
      </c>
      <c r="V6371">
        <v>0</v>
      </c>
      <c r="W6371">
        <v>2</v>
      </c>
      <c r="X6371">
        <v>1971</v>
      </c>
      <c r="Z6371">
        <v>1</v>
      </c>
      <c r="AA6371" t="s">
        <v>26</v>
      </c>
      <c r="AB6371">
        <v>0</v>
      </c>
      <c r="AC6371" t="s">
        <v>115</v>
      </c>
      <c r="AD6371">
        <v>2</v>
      </c>
      <c r="AE6371" t="s">
        <v>115</v>
      </c>
      <c r="AF6371">
        <v>0</v>
      </c>
      <c r="AG6371">
        <v>0</v>
      </c>
      <c r="AH6371" t="s">
        <v>116</v>
      </c>
      <c r="AI6371" s="1">
        <v>59840</v>
      </c>
      <c r="AJ6371" s="2">
        <v>0.2</v>
      </c>
      <c r="AK6371" s="1">
        <v>292265</v>
      </c>
      <c r="AL6371" t="s">
        <v>117</v>
      </c>
      <c r="AM6371" t="s">
        <v>376</v>
      </c>
      <c r="AN6371">
        <v>37897</v>
      </c>
      <c r="AO6371">
        <v>0.87</v>
      </c>
      <c r="AP6371">
        <v>1</v>
      </c>
      <c r="AR6371">
        <v>1</v>
      </c>
      <c r="AS6371" s="1">
        <v>19350</v>
      </c>
      <c r="AT6371" s="1">
        <v>3870</v>
      </c>
      <c r="AU6371" s="1">
        <v>15480</v>
      </c>
      <c r="AV6371">
        <v>80</v>
      </c>
      <c r="AX6371" s="1">
        <v>1510.96</v>
      </c>
      <c r="AY6371" t="s">
        <v>4253</v>
      </c>
      <c r="AZ6371" t="s">
        <v>4253</v>
      </c>
      <c r="BA6371" t="s">
        <v>4254</v>
      </c>
      <c r="BE6371" s="3">
        <v>42111</v>
      </c>
      <c r="BF6371" s="1">
        <v>225000</v>
      </c>
      <c r="BG6371" t="s">
        <v>38520</v>
      </c>
      <c r="BH6371" s="1">
        <v>136.44999999999999</v>
      </c>
      <c r="BI6371" s="1">
        <v>232425</v>
      </c>
      <c r="BJ6371" s="3">
        <v>42111</v>
      </c>
      <c r="BK6371" t="s">
        <v>123</v>
      </c>
      <c r="BL6371" t="str">
        <f>"2015.267033"</f>
        <v>2015.267033</v>
      </c>
      <c r="BM6371" t="s">
        <v>3453</v>
      </c>
      <c r="BO6371" t="s">
        <v>38521</v>
      </c>
      <c r="BS6371">
        <v>30</v>
      </c>
      <c r="BW6371" t="str">
        <f>""</f>
        <v/>
      </c>
      <c r="CH6371" t="str">
        <f>""</f>
        <v/>
      </c>
      <c r="CS6371" t="str">
        <f>""</f>
        <v/>
      </c>
    </row>
    <row r="6372" spans="1:97" x14ac:dyDescent="0.25">
      <c r="A6372" t="s">
        <v>140</v>
      </c>
      <c r="B6372" t="s">
        <v>38522</v>
      </c>
      <c r="C6372" t="s">
        <v>1451</v>
      </c>
      <c r="D6372" t="s">
        <v>38523</v>
      </c>
      <c r="E6372" t="s">
        <v>38524</v>
      </c>
      <c r="F6372" t="s">
        <v>108</v>
      </c>
      <c r="H6372" t="s">
        <v>38525</v>
      </c>
      <c r="I6372" t="s">
        <v>203</v>
      </c>
      <c r="J6372" t="s">
        <v>111</v>
      </c>
      <c r="K6372" t="str">
        <f>"85296"</f>
        <v>85296</v>
      </c>
      <c r="L6372" t="s">
        <v>8103</v>
      </c>
      <c r="M6372" t="s">
        <v>38525</v>
      </c>
      <c r="N6372" t="s">
        <v>203</v>
      </c>
      <c r="O6372" t="s">
        <v>111</v>
      </c>
      <c r="P6372" t="str">
        <f>"85296-8837"</f>
        <v>85296-8837</v>
      </c>
      <c r="Q6372" t="s">
        <v>113</v>
      </c>
      <c r="R6372" t="str">
        <f>"304-27-400"</f>
        <v>304-27-400</v>
      </c>
      <c r="S6372" t="s">
        <v>38526</v>
      </c>
      <c r="U6372">
        <v>1967</v>
      </c>
      <c r="V6372">
        <v>0</v>
      </c>
      <c r="W6372">
        <v>3</v>
      </c>
      <c r="X6372">
        <v>1997</v>
      </c>
      <c r="Z6372">
        <v>1</v>
      </c>
      <c r="AA6372" t="s">
        <v>26</v>
      </c>
      <c r="AB6372">
        <v>0</v>
      </c>
      <c r="AC6372" t="s">
        <v>115</v>
      </c>
      <c r="AD6372">
        <v>3</v>
      </c>
      <c r="AE6372" t="s">
        <v>115</v>
      </c>
      <c r="AF6372">
        <v>0</v>
      </c>
      <c r="AG6372">
        <v>0</v>
      </c>
      <c r="AH6372" t="s">
        <v>116</v>
      </c>
      <c r="AI6372" s="1">
        <v>2033</v>
      </c>
      <c r="AJ6372" s="2">
        <v>0.01</v>
      </c>
      <c r="AK6372" s="1">
        <v>342033</v>
      </c>
      <c r="AL6372" t="s">
        <v>117</v>
      </c>
      <c r="AM6372" t="s">
        <v>393</v>
      </c>
      <c r="AN6372">
        <v>8307</v>
      </c>
      <c r="AO6372">
        <v>0.19</v>
      </c>
      <c r="AP6372">
        <v>1</v>
      </c>
      <c r="AR6372">
        <v>1</v>
      </c>
      <c r="AS6372" s="1">
        <v>25100</v>
      </c>
      <c r="AT6372" s="1">
        <v>5020</v>
      </c>
      <c r="AU6372" s="1">
        <v>20080</v>
      </c>
      <c r="AV6372">
        <v>80</v>
      </c>
      <c r="AX6372" s="1">
        <v>2010.68</v>
      </c>
      <c r="AY6372" t="s">
        <v>5094</v>
      </c>
      <c r="AZ6372" t="s">
        <v>5094</v>
      </c>
      <c r="BA6372" t="s">
        <v>473</v>
      </c>
      <c r="BB6372" s="3">
        <v>43231</v>
      </c>
      <c r="BC6372" s="1">
        <v>0</v>
      </c>
      <c r="BD6372" t="s">
        <v>291</v>
      </c>
      <c r="BE6372" s="3">
        <v>41814</v>
      </c>
      <c r="BF6372" s="1">
        <v>281000</v>
      </c>
      <c r="BG6372" t="s">
        <v>38527</v>
      </c>
      <c r="BH6372" s="1">
        <v>142.86000000000001</v>
      </c>
      <c r="BI6372" s="1">
        <v>340000</v>
      </c>
      <c r="BJ6372" s="3">
        <v>43585</v>
      </c>
      <c r="BK6372" t="s">
        <v>123</v>
      </c>
      <c r="BL6372" t="str">
        <f>"2019.307512"</f>
        <v>2019.307512</v>
      </c>
      <c r="BM6372" t="s">
        <v>1038</v>
      </c>
      <c r="BN6372" t="s">
        <v>1624</v>
      </c>
      <c r="BO6372" t="s">
        <v>38528</v>
      </c>
      <c r="BP6372" t="s">
        <v>38529</v>
      </c>
      <c r="BR6372" t="s">
        <v>139</v>
      </c>
      <c r="BW6372" t="str">
        <f>""</f>
        <v/>
      </c>
      <c r="CH6372" t="str">
        <f>""</f>
        <v/>
      </c>
      <c r="CS6372" t="str">
        <f>""</f>
        <v/>
      </c>
    </row>
    <row r="6373" spans="1:97" x14ac:dyDescent="0.25">
      <c r="A6373" t="s">
        <v>701</v>
      </c>
      <c r="B6373" t="s">
        <v>38530</v>
      </c>
      <c r="C6373" t="s">
        <v>9234</v>
      </c>
      <c r="D6373" t="s">
        <v>958</v>
      </c>
      <c r="E6373" t="s">
        <v>38531</v>
      </c>
      <c r="F6373" t="s">
        <v>108</v>
      </c>
      <c r="H6373" t="s">
        <v>38532</v>
      </c>
      <c r="I6373" t="s">
        <v>225</v>
      </c>
      <c r="J6373" t="s">
        <v>111</v>
      </c>
      <c r="K6373" t="str">
        <f>"85205"</f>
        <v>85205</v>
      </c>
      <c r="L6373" t="s">
        <v>226</v>
      </c>
      <c r="M6373" t="s">
        <v>38532</v>
      </c>
      <c r="N6373" t="s">
        <v>225</v>
      </c>
      <c r="O6373" t="s">
        <v>111</v>
      </c>
      <c r="P6373" t="str">
        <f>"85205-5533"</f>
        <v>85205-5533</v>
      </c>
      <c r="Q6373" t="s">
        <v>113</v>
      </c>
      <c r="R6373" t="str">
        <f>"141-78-495"</f>
        <v>141-78-495</v>
      </c>
      <c r="S6373" t="s">
        <v>38533</v>
      </c>
      <c r="T6373" t="s">
        <v>23692</v>
      </c>
      <c r="U6373">
        <v>2144</v>
      </c>
      <c r="V6373">
        <v>0</v>
      </c>
      <c r="W6373">
        <v>4</v>
      </c>
      <c r="X6373">
        <v>1986</v>
      </c>
      <c r="Z6373">
        <v>2</v>
      </c>
      <c r="AA6373" t="s">
        <v>26</v>
      </c>
      <c r="AB6373">
        <v>0</v>
      </c>
      <c r="AC6373" t="s">
        <v>115</v>
      </c>
      <c r="AD6373">
        <v>3</v>
      </c>
      <c r="AE6373" t="s">
        <v>115</v>
      </c>
      <c r="AF6373">
        <v>0</v>
      </c>
      <c r="AG6373">
        <v>0</v>
      </c>
      <c r="AH6373" t="s">
        <v>116</v>
      </c>
      <c r="AI6373" s="1">
        <v>101979</v>
      </c>
      <c r="AJ6373" s="2">
        <v>0.31</v>
      </c>
      <c r="AK6373" s="1">
        <v>331816</v>
      </c>
      <c r="AL6373" t="s">
        <v>117</v>
      </c>
      <c r="AM6373" t="s">
        <v>393</v>
      </c>
      <c r="AN6373">
        <v>8061</v>
      </c>
      <c r="AO6373">
        <v>0.18</v>
      </c>
      <c r="AP6373">
        <v>1</v>
      </c>
      <c r="AR6373">
        <v>1</v>
      </c>
      <c r="AS6373" s="1">
        <v>23750</v>
      </c>
      <c r="AT6373" s="1">
        <v>4750</v>
      </c>
      <c r="AU6373" s="1">
        <v>19000</v>
      </c>
      <c r="AV6373">
        <v>80</v>
      </c>
      <c r="AX6373" s="1">
        <v>1988.96</v>
      </c>
      <c r="AY6373" t="s">
        <v>5274</v>
      </c>
      <c r="AZ6373" t="s">
        <v>5275</v>
      </c>
      <c r="BA6373" t="s">
        <v>3119</v>
      </c>
      <c r="BE6373" s="3">
        <v>41877</v>
      </c>
      <c r="BF6373" s="1">
        <v>225000</v>
      </c>
      <c r="BG6373" t="s">
        <v>38534</v>
      </c>
      <c r="BH6373" s="1">
        <v>104.94</v>
      </c>
      <c r="BI6373" s="1">
        <v>229837</v>
      </c>
      <c r="BJ6373" s="3">
        <v>41877</v>
      </c>
      <c r="BK6373" t="s">
        <v>123</v>
      </c>
      <c r="BL6373" t="str">
        <f>"2014.565375"</f>
        <v>2014.565375</v>
      </c>
      <c r="BM6373" t="s">
        <v>9928</v>
      </c>
      <c r="BO6373" t="s">
        <v>38535</v>
      </c>
      <c r="BP6373" t="s">
        <v>38536</v>
      </c>
      <c r="BS6373">
        <v>30</v>
      </c>
      <c r="BW6373" t="str">
        <f>""</f>
        <v/>
      </c>
      <c r="CH6373" t="str">
        <f>""</f>
        <v/>
      </c>
      <c r="CS6373" t="str">
        <f>""</f>
        <v/>
      </c>
    </row>
    <row r="6374" spans="1:97" x14ac:dyDescent="0.25">
      <c r="A6374" t="s">
        <v>1047</v>
      </c>
      <c r="B6374" t="s">
        <v>38537</v>
      </c>
      <c r="C6374" t="s">
        <v>38538</v>
      </c>
      <c r="D6374" t="s">
        <v>38537</v>
      </c>
      <c r="E6374" t="s">
        <v>38539</v>
      </c>
      <c r="F6374" t="s">
        <v>108</v>
      </c>
      <c r="H6374" t="s">
        <v>38540</v>
      </c>
      <c r="I6374" t="s">
        <v>167</v>
      </c>
      <c r="J6374" t="s">
        <v>111</v>
      </c>
      <c r="K6374" t="str">
        <f>"85339"</f>
        <v>85339</v>
      </c>
      <c r="L6374" t="s">
        <v>2765</v>
      </c>
      <c r="M6374" t="s">
        <v>38540</v>
      </c>
      <c r="N6374" t="s">
        <v>167</v>
      </c>
      <c r="O6374" t="s">
        <v>111</v>
      </c>
      <c r="P6374" t="str">
        <f>"85339-2510"</f>
        <v>85339-2510</v>
      </c>
      <c r="Q6374" t="s">
        <v>113</v>
      </c>
      <c r="R6374" t="str">
        <f>"300-14-840"</f>
        <v>300-14-840</v>
      </c>
      <c r="S6374" t="s">
        <v>8158</v>
      </c>
      <c r="T6374" t="s">
        <v>8158</v>
      </c>
      <c r="U6374">
        <v>2522</v>
      </c>
      <c r="V6374">
        <v>0</v>
      </c>
      <c r="W6374">
        <v>3</v>
      </c>
      <c r="X6374">
        <v>2014</v>
      </c>
      <c r="Z6374">
        <v>1</v>
      </c>
      <c r="AB6374">
        <v>0</v>
      </c>
      <c r="AC6374" t="s">
        <v>115</v>
      </c>
      <c r="AD6374">
        <v>3</v>
      </c>
      <c r="AE6374" t="s">
        <v>115</v>
      </c>
      <c r="AF6374">
        <v>0</v>
      </c>
      <c r="AG6374">
        <v>0</v>
      </c>
      <c r="AH6374" t="s">
        <v>116</v>
      </c>
      <c r="AI6374" s="1">
        <v>94734</v>
      </c>
      <c r="AJ6374" s="2">
        <v>0.28000000000000003</v>
      </c>
      <c r="AK6374" s="1">
        <v>339734</v>
      </c>
      <c r="AL6374" t="s">
        <v>117</v>
      </c>
      <c r="AM6374" t="s">
        <v>191</v>
      </c>
      <c r="AN6374">
        <v>7150</v>
      </c>
      <c r="AO6374">
        <v>0.16</v>
      </c>
      <c r="AR6374">
        <v>1</v>
      </c>
      <c r="AS6374" s="1">
        <v>24910</v>
      </c>
      <c r="AT6374" s="1">
        <v>4980</v>
      </c>
      <c r="AU6374" s="1">
        <v>19930</v>
      </c>
      <c r="AV6374">
        <v>80.010000000000005</v>
      </c>
      <c r="AX6374" s="1">
        <v>3461.94</v>
      </c>
      <c r="AY6374" t="s">
        <v>8159</v>
      </c>
      <c r="AZ6374" t="s">
        <v>8159</v>
      </c>
      <c r="BA6374" t="s">
        <v>1661</v>
      </c>
      <c r="BE6374" s="3">
        <v>42185</v>
      </c>
      <c r="BF6374" s="1">
        <v>255000</v>
      </c>
      <c r="BG6374" t="s">
        <v>2289</v>
      </c>
      <c r="BH6374" s="1">
        <v>101.11</v>
      </c>
      <c r="BI6374" s="1">
        <v>245000</v>
      </c>
      <c r="BJ6374" s="3">
        <v>42185</v>
      </c>
      <c r="BK6374" t="s">
        <v>123</v>
      </c>
      <c r="BL6374" t="str">
        <f>"2015.472749"</f>
        <v>2015.472749</v>
      </c>
      <c r="BM6374" t="s">
        <v>150</v>
      </c>
      <c r="BO6374" t="s">
        <v>38541</v>
      </c>
      <c r="BS6374">
        <v>30</v>
      </c>
      <c r="BW6374" t="str">
        <f>""</f>
        <v/>
      </c>
      <c r="CH6374" t="str">
        <f>""</f>
        <v/>
      </c>
      <c r="CS6374" t="str">
        <f>""</f>
        <v/>
      </c>
    </row>
    <row r="6375" spans="1:97" x14ac:dyDescent="0.25">
      <c r="A6375" t="s">
        <v>177</v>
      </c>
      <c r="B6375" t="s">
        <v>37378</v>
      </c>
      <c r="E6375" t="s">
        <v>38542</v>
      </c>
      <c r="F6375" t="s">
        <v>108</v>
      </c>
      <c r="H6375" t="s">
        <v>38543</v>
      </c>
      <c r="I6375" t="s">
        <v>390</v>
      </c>
      <c r="J6375" t="s">
        <v>111</v>
      </c>
      <c r="K6375" t="str">
        <f>"85042"</f>
        <v>85042</v>
      </c>
      <c r="L6375" t="s">
        <v>6803</v>
      </c>
      <c r="M6375" t="s">
        <v>38543</v>
      </c>
      <c r="N6375" t="s">
        <v>390</v>
      </c>
      <c r="O6375" t="s">
        <v>111</v>
      </c>
      <c r="P6375" t="str">
        <f>"85042-5913"</f>
        <v>85042-5913</v>
      </c>
      <c r="R6375" t="str">
        <f>"122-96-028"</f>
        <v>122-96-028</v>
      </c>
      <c r="S6375" t="s">
        <v>38544</v>
      </c>
      <c r="T6375" t="s">
        <v>38545</v>
      </c>
      <c r="U6375">
        <v>1929</v>
      </c>
      <c r="V6375">
        <v>0</v>
      </c>
      <c r="W6375">
        <v>3</v>
      </c>
      <c r="X6375">
        <v>2000</v>
      </c>
      <c r="Z6375">
        <v>1</v>
      </c>
      <c r="AB6375">
        <v>0</v>
      </c>
      <c r="AC6375" t="s">
        <v>115</v>
      </c>
      <c r="AD6375">
        <v>3</v>
      </c>
      <c r="AE6375" t="s">
        <v>115</v>
      </c>
      <c r="AF6375">
        <v>0</v>
      </c>
      <c r="AG6375">
        <v>0</v>
      </c>
      <c r="AH6375" t="s">
        <v>116</v>
      </c>
      <c r="AI6375" s="1">
        <v>31427</v>
      </c>
      <c r="AJ6375" s="2">
        <v>0.1</v>
      </c>
      <c r="AK6375" s="1">
        <v>329918</v>
      </c>
      <c r="AL6375" t="s">
        <v>117</v>
      </c>
      <c r="AM6375" t="s">
        <v>171</v>
      </c>
      <c r="AN6375">
        <v>7196</v>
      </c>
      <c r="AO6375">
        <v>0.16</v>
      </c>
      <c r="AP6375">
        <v>1</v>
      </c>
      <c r="AR6375">
        <v>1</v>
      </c>
      <c r="AS6375" s="1">
        <v>25470</v>
      </c>
      <c r="AT6375" s="1">
        <v>5090</v>
      </c>
      <c r="AU6375" s="1">
        <v>20380</v>
      </c>
      <c r="AV6375">
        <v>80.02</v>
      </c>
      <c r="AX6375" s="1">
        <v>3576.12</v>
      </c>
      <c r="AY6375" t="s">
        <v>5251</v>
      </c>
      <c r="AZ6375" t="s">
        <v>5251</v>
      </c>
      <c r="BA6375" t="s">
        <v>2860</v>
      </c>
      <c r="BE6375" s="3">
        <v>42111</v>
      </c>
      <c r="BF6375" s="1">
        <v>305000</v>
      </c>
      <c r="BG6375" t="s">
        <v>38546</v>
      </c>
      <c r="BH6375" s="1">
        <v>158.11000000000001</v>
      </c>
      <c r="BI6375" s="1">
        <v>298491</v>
      </c>
      <c r="BJ6375" s="3">
        <v>43332</v>
      </c>
      <c r="BK6375" t="s">
        <v>123</v>
      </c>
      <c r="BL6375" t="str">
        <f>"2018.627653"</f>
        <v>2018.627653</v>
      </c>
      <c r="BM6375" t="s">
        <v>7228</v>
      </c>
      <c r="BN6375" t="s">
        <v>7229</v>
      </c>
      <c r="BO6375" t="s">
        <v>38547</v>
      </c>
      <c r="BR6375" t="s">
        <v>139</v>
      </c>
      <c r="BW6375" t="str">
        <f>""</f>
        <v/>
      </c>
      <c r="CH6375" t="str">
        <f>""</f>
        <v/>
      </c>
      <c r="CS6375" t="str">
        <f>""</f>
        <v/>
      </c>
    </row>
    <row r="6376" spans="1:97" x14ac:dyDescent="0.25">
      <c r="A6376" t="s">
        <v>1344</v>
      </c>
      <c r="B6376" t="s">
        <v>7797</v>
      </c>
      <c r="C6376" t="s">
        <v>38548</v>
      </c>
      <c r="D6376" t="s">
        <v>7797</v>
      </c>
      <c r="E6376" t="s">
        <v>38549</v>
      </c>
      <c r="F6376" t="s">
        <v>108</v>
      </c>
      <c r="H6376" t="s">
        <v>38550</v>
      </c>
      <c r="I6376" t="s">
        <v>225</v>
      </c>
      <c r="J6376" t="s">
        <v>111</v>
      </c>
      <c r="K6376" t="str">
        <f>"85207"</f>
        <v>85207</v>
      </c>
      <c r="L6376" t="s">
        <v>3116</v>
      </c>
      <c r="M6376" t="s">
        <v>38550</v>
      </c>
      <c r="N6376" t="s">
        <v>225</v>
      </c>
      <c r="O6376" t="s">
        <v>111</v>
      </c>
      <c r="P6376" t="str">
        <f>"85207-4203"</f>
        <v>85207-4203</v>
      </c>
      <c r="Q6376" t="s">
        <v>113</v>
      </c>
      <c r="R6376" t="str">
        <f>"218-06-195"</f>
        <v>218-06-195</v>
      </c>
      <c r="S6376" t="s">
        <v>12252</v>
      </c>
      <c r="T6376" t="s">
        <v>12252</v>
      </c>
      <c r="U6376">
        <v>2293</v>
      </c>
      <c r="V6376">
        <v>0</v>
      </c>
      <c r="W6376">
        <v>3</v>
      </c>
      <c r="X6376">
        <v>2000</v>
      </c>
      <c r="Z6376">
        <v>1</v>
      </c>
      <c r="AA6376" t="s">
        <v>26</v>
      </c>
      <c r="AB6376">
        <v>0</v>
      </c>
      <c r="AC6376" t="s">
        <v>115</v>
      </c>
      <c r="AD6376">
        <v>3</v>
      </c>
      <c r="AE6376" t="s">
        <v>115</v>
      </c>
      <c r="AF6376">
        <v>0</v>
      </c>
      <c r="AG6376">
        <v>0</v>
      </c>
      <c r="AH6376" t="s">
        <v>116</v>
      </c>
      <c r="AI6376" s="1">
        <v>77051</v>
      </c>
      <c r="AJ6376" s="2">
        <v>0.21</v>
      </c>
      <c r="AK6376" s="1">
        <v>370586</v>
      </c>
      <c r="AL6376" t="s">
        <v>117</v>
      </c>
      <c r="AM6376" t="s">
        <v>393</v>
      </c>
      <c r="AN6376">
        <v>7820</v>
      </c>
      <c r="AO6376">
        <v>0.18</v>
      </c>
      <c r="AP6376">
        <v>1</v>
      </c>
      <c r="AR6376">
        <v>1</v>
      </c>
      <c r="AS6376" s="1">
        <v>26930</v>
      </c>
      <c r="AT6376" s="1">
        <v>5380</v>
      </c>
      <c r="AU6376" s="1">
        <v>21550</v>
      </c>
      <c r="AV6376">
        <v>80.02</v>
      </c>
      <c r="AX6376" s="1">
        <v>2379.12</v>
      </c>
      <c r="AY6376" t="s">
        <v>3118</v>
      </c>
      <c r="AZ6376" t="s">
        <v>231</v>
      </c>
      <c r="BA6376" t="s">
        <v>3119</v>
      </c>
      <c r="BE6376" s="3">
        <v>42062</v>
      </c>
      <c r="BF6376" s="1">
        <v>290000</v>
      </c>
      <c r="BG6376" t="s">
        <v>38551</v>
      </c>
      <c r="BH6376" s="1">
        <v>126.47</v>
      </c>
      <c r="BI6376" s="1">
        <v>293535</v>
      </c>
      <c r="BJ6376" s="3">
        <v>42062</v>
      </c>
      <c r="BK6376" t="s">
        <v>123</v>
      </c>
      <c r="BL6376" t="str">
        <f>"2015.133164"</f>
        <v>2015.133164</v>
      </c>
      <c r="BM6376" t="s">
        <v>724</v>
      </c>
      <c r="BO6376" t="s">
        <v>38552</v>
      </c>
      <c r="BS6376">
        <v>30</v>
      </c>
      <c r="BW6376" t="str">
        <f>""</f>
        <v/>
      </c>
      <c r="CH6376" t="str">
        <f>""</f>
        <v/>
      </c>
      <c r="CS6376" t="str">
        <f>""</f>
        <v/>
      </c>
    </row>
    <row r="6377" spans="1:97" x14ac:dyDescent="0.25">
      <c r="A6377" t="s">
        <v>38553</v>
      </c>
      <c r="B6377" t="s">
        <v>34182</v>
      </c>
      <c r="E6377" t="s">
        <v>38554</v>
      </c>
      <c r="F6377" t="s">
        <v>108</v>
      </c>
      <c r="H6377" t="s">
        <v>38555</v>
      </c>
      <c r="I6377" t="s">
        <v>110</v>
      </c>
      <c r="J6377" t="s">
        <v>111</v>
      </c>
      <c r="K6377" t="str">
        <f>"85226"</f>
        <v>85226</v>
      </c>
      <c r="L6377" t="s">
        <v>7339</v>
      </c>
      <c r="M6377" t="s">
        <v>38555</v>
      </c>
      <c r="N6377" t="s">
        <v>110</v>
      </c>
      <c r="O6377" t="s">
        <v>111</v>
      </c>
      <c r="P6377" t="str">
        <f>"85226-3603"</f>
        <v>85226-3603</v>
      </c>
      <c r="Q6377" t="s">
        <v>113</v>
      </c>
      <c r="R6377" t="str">
        <f>"301-88-651"</f>
        <v>301-88-651</v>
      </c>
      <c r="S6377" t="s">
        <v>20030</v>
      </c>
      <c r="T6377" t="s">
        <v>38556</v>
      </c>
      <c r="U6377">
        <v>1280</v>
      </c>
      <c r="V6377">
        <v>0</v>
      </c>
      <c r="W6377">
        <v>2</v>
      </c>
      <c r="X6377">
        <v>1988</v>
      </c>
      <c r="Z6377">
        <v>1</v>
      </c>
      <c r="AB6377">
        <v>0</v>
      </c>
      <c r="AC6377" t="s">
        <v>115</v>
      </c>
      <c r="AD6377">
        <v>2</v>
      </c>
      <c r="AE6377" t="s">
        <v>115</v>
      </c>
      <c r="AF6377">
        <v>0</v>
      </c>
      <c r="AG6377">
        <v>0</v>
      </c>
      <c r="AH6377" t="s">
        <v>116</v>
      </c>
      <c r="AI6377" s="1">
        <v>49988</v>
      </c>
      <c r="AJ6377" s="2">
        <v>0.18</v>
      </c>
      <c r="AK6377" s="1">
        <v>281988</v>
      </c>
      <c r="AL6377" t="s">
        <v>117</v>
      </c>
      <c r="AM6377" t="s">
        <v>118</v>
      </c>
      <c r="AN6377">
        <v>5724</v>
      </c>
      <c r="AO6377">
        <v>0.13</v>
      </c>
      <c r="AP6377">
        <v>1</v>
      </c>
      <c r="AR6377">
        <v>1</v>
      </c>
      <c r="AS6377" s="1">
        <v>18460</v>
      </c>
      <c r="AT6377" s="1">
        <v>3690</v>
      </c>
      <c r="AU6377" s="1">
        <v>14770</v>
      </c>
      <c r="AV6377">
        <v>80.010000000000005</v>
      </c>
      <c r="AX6377" s="1">
        <v>1323.8</v>
      </c>
      <c r="AY6377" t="s">
        <v>5200</v>
      </c>
      <c r="AZ6377" t="s">
        <v>5201</v>
      </c>
      <c r="BA6377" t="s">
        <v>5202</v>
      </c>
      <c r="BE6377" s="3">
        <v>42265</v>
      </c>
      <c r="BF6377" s="1">
        <v>232000</v>
      </c>
      <c r="BG6377" t="s">
        <v>38557</v>
      </c>
      <c r="BH6377" s="1">
        <v>181.25</v>
      </c>
      <c r="BI6377" s="1">
        <v>232000</v>
      </c>
      <c r="BJ6377" s="3">
        <v>42265</v>
      </c>
      <c r="BK6377" t="s">
        <v>123</v>
      </c>
      <c r="BL6377" t="str">
        <f>"2015.674948"</f>
        <v>2015.674948</v>
      </c>
      <c r="BM6377" t="s">
        <v>2683</v>
      </c>
      <c r="BO6377" t="s">
        <v>38558</v>
      </c>
      <c r="BS6377">
        <v>30</v>
      </c>
      <c r="BW6377" t="str">
        <f>""</f>
        <v/>
      </c>
      <c r="CH6377" t="str">
        <f>""</f>
        <v/>
      </c>
      <c r="CS6377" t="str">
        <f>""</f>
        <v/>
      </c>
    </row>
    <row r="6378" spans="1:97" x14ac:dyDescent="0.25">
      <c r="A6378" t="s">
        <v>1187</v>
      </c>
      <c r="B6378" t="s">
        <v>38559</v>
      </c>
      <c r="E6378" t="s">
        <v>38560</v>
      </c>
      <c r="F6378" t="s">
        <v>108</v>
      </c>
      <c r="H6378" t="s">
        <v>38561</v>
      </c>
      <c r="I6378" t="s">
        <v>203</v>
      </c>
      <c r="J6378" t="s">
        <v>111</v>
      </c>
      <c r="K6378" t="str">
        <f>"85295"</f>
        <v>85295</v>
      </c>
      <c r="L6378" t="s">
        <v>5260</v>
      </c>
      <c r="M6378" t="s">
        <v>38561</v>
      </c>
      <c r="N6378" t="s">
        <v>203</v>
      </c>
      <c r="O6378" t="s">
        <v>111</v>
      </c>
      <c r="P6378" t="str">
        <f>"85295-2058"</f>
        <v>85295-2058</v>
      </c>
      <c r="Q6378" t="s">
        <v>113</v>
      </c>
      <c r="R6378" t="str">
        <f>"304-48-282"</f>
        <v>304-48-282</v>
      </c>
      <c r="S6378" t="s">
        <v>5261</v>
      </c>
      <c r="T6378" t="s">
        <v>5262</v>
      </c>
      <c r="U6378">
        <v>1623</v>
      </c>
      <c r="V6378">
        <v>0</v>
      </c>
      <c r="W6378">
        <v>3</v>
      </c>
      <c r="X6378">
        <v>2002</v>
      </c>
      <c r="Z6378">
        <v>1</v>
      </c>
      <c r="AA6378" t="s">
        <v>26</v>
      </c>
      <c r="AB6378">
        <v>0</v>
      </c>
      <c r="AC6378" t="s">
        <v>115</v>
      </c>
      <c r="AD6378">
        <v>2</v>
      </c>
      <c r="AE6378" t="s">
        <v>115</v>
      </c>
      <c r="AF6378">
        <v>0</v>
      </c>
      <c r="AG6378">
        <v>0</v>
      </c>
      <c r="AH6378" t="s">
        <v>116</v>
      </c>
      <c r="AI6378" s="1">
        <v>63367</v>
      </c>
      <c r="AJ6378" s="2">
        <v>0.19</v>
      </c>
      <c r="AK6378" s="1">
        <v>325267</v>
      </c>
      <c r="AL6378" t="s">
        <v>117</v>
      </c>
      <c r="AM6378" t="s">
        <v>191</v>
      </c>
      <c r="AN6378">
        <v>7020</v>
      </c>
      <c r="AO6378">
        <v>0.16</v>
      </c>
      <c r="AP6378">
        <v>1</v>
      </c>
      <c r="AR6378">
        <v>1</v>
      </c>
      <c r="AS6378" s="1">
        <v>21170</v>
      </c>
      <c r="AT6378" s="1">
        <v>4230</v>
      </c>
      <c r="AU6378" s="1">
        <v>16940</v>
      </c>
      <c r="AV6378">
        <v>80.02</v>
      </c>
      <c r="AX6378" s="1">
        <v>1664.16</v>
      </c>
      <c r="AY6378" t="s">
        <v>5087</v>
      </c>
      <c r="AZ6378" t="s">
        <v>5087</v>
      </c>
      <c r="BA6378" t="s">
        <v>473</v>
      </c>
      <c r="BE6378" s="3">
        <v>41801</v>
      </c>
      <c r="BF6378" s="1">
        <v>255000</v>
      </c>
      <c r="BG6378" t="s">
        <v>38562</v>
      </c>
      <c r="BH6378" s="1">
        <v>157.12</v>
      </c>
      <c r="BI6378" s="1">
        <v>261900</v>
      </c>
      <c r="BJ6378" s="3">
        <v>42038</v>
      </c>
      <c r="BK6378" t="s">
        <v>123</v>
      </c>
      <c r="BL6378" t="str">
        <f>"2015.69569"</f>
        <v>2015.69569</v>
      </c>
      <c r="BM6378" t="s">
        <v>1998</v>
      </c>
      <c r="BO6378" t="s">
        <v>38563</v>
      </c>
      <c r="BS6378">
        <v>30</v>
      </c>
      <c r="BW6378" t="str">
        <f>""</f>
        <v/>
      </c>
      <c r="CH6378" t="str">
        <f>""</f>
        <v/>
      </c>
      <c r="CS6378" t="str">
        <f>""</f>
        <v/>
      </c>
    </row>
    <row r="6379" spans="1:97" x14ac:dyDescent="0.25">
      <c r="A6379" t="s">
        <v>211</v>
      </c>
      <c r="B6379" t="s">
        <v>2408</v>
      </c>
      <c r="C6379" t="s">
        <v>38564</v>
      </c>
      <c r="D6379" t="s">
        <v>2408</v>
      </c>
      <c r="E6379" t="s">
        <v>38565</v>
      </c>
      <c r="F6379" t="s">
        <v>108</v>
      </c>
      <c r="H6379" t="s">
        <v>38566</v>
      </c>
      <c r="I6379" t="s">
        <v>167</v>
      </c>
      <c r="J6379" t="s">
        <v>111</v>
      </c>
      <c r="K6379" t="str">
        <f>"85339"</f>
        <v>85339</v>
      </c>
      <c r="L6379" t="s">
        <v>5367</v>
      </c>
      <c r="M6379" t="s">
        <v>38566</v>
      </c>
      <c r="N6379" t="s">
        <v>167</v>
      </c>
      <c r="O6379" t="s">
        <v>111</v>
      </c>
      <c r="P6379" t="str">
        <f>"85339-5077"</f>
        <v>85339-5077</v>
      </c>
      <c r="Q6379" t="s">
        <v>113</v>
      </c>
      <c r="R6379" t="str">
        <f>"104-84-363"</f>
        <v>104-84-363</v>
      </c>
      <c r="S6379" t="s">
        <v>38567</v>
      </c>
      <c r="T6379" t="s">
        <v>38568</v>
      </c>
      <c r="U6379">
        <v>2296</v>
      </c>
      <c r="V6379">
        <v>0</v>
      </c>
      <c r="W6379">
        <v>3</v>
      </c>
      <c r="X6379">
        <v>2007</v>
      </c>
      <c r="Z6379">
        <v>1</v>
      </c>
      <c r="AB6379">
        <v>0</v>
      </c>
      <c r="AC6379" t="s">
        <v>115</v>
      </c>
      <c r="AD6379">
        <v>3</v>
      </c>
      <c r="AE6379" t="s">
        <v>115</v>
      </c>
      <c r="AF6379">
        <v>0</v>
      </c>
      <c r="AG6379">
        <v>0</v>
      </c>
      <c r="AH6379" t="s">
        <v>116</v>
      </c>
      <c r="AI6379" s="1">
        <v>66210</v>
      </c>
      <c r="AJ6379" s="2">
        <v>0.25</v>
      </c>
      <c r="AK6379" s="1">
        <v>266210</v>
      </c>
      <c r="AL6379" t="s">
        <v>117</v>
      </c>
      <c r="AM6379" t="s">
        <v>171</v>
      </c>
      <c r="AN6379">
        <v>8545</v>
      </c>
      <c r="AO6379">
        <v>0.2</v>
      </c>
      <c r="AR6379">
        <v>1</v>
      </c>
      <c r="AS6379" s="1">
        <v>18920</v>
      </c>
      <c r="AT6379" s="1">
        <v>3780</v>
      </c>
      <c r="AU6379" s="1">
        <v>15140</v>
      </c>
      <c r="AV6379">
        <v>80.02</v>
      </c>
      <c r="AX6379" s="1">
        <v>2257.7199999999998</v>
      </c>
      <c r="AY6379" t="s">
        <v>172</v>
      </c>
      <c r="AZ6379" t="s">
        <v>172</v>
      </c>
      <c r="BA6379" t="s">
        <v>173</v>
      </c>
      <c r="BE6379" s="3">
        <v>42194</v>
      </c>
      <c r="BF6379" s="1">
        <v>200000</v>
      </c>
      <c r="BG6379" t="s">
        <v>38569</v>
      </c>
      <c r="BH6379" s="1">
        <v>87.11</v>
      </c>
      <c r="BI6379" s="1">
        <v>200000</v>
      </c>
      <c r="BJ6379" s="3">
        <v>42194</v>
      </c>
      <c r="BK6379" t="s">
        <v>123</v>
      </c>
      <c r="BL6379" t="str">
        <f>"2015.493852"</f>
        <v>2015.493852</v>
      </c>
      <c r="BM6379" t="s">
        <v>7181</v>
      </c>
      <c r="BO6379" t="s">
        <v>38570</v>
      </c>
      <c r="BS6379">
        <v>30</v>
      </c>
      <c r="BW6379" t="str">
        <f>""</f>
        <v/>
      </c>
      <c r="CH6379" t="str">
        <f>""</f>
        <v/>
      </c>
      <c r="CS6379" t="str">
        <f>""</f>
        <v/>
      </c>
    </row>
    <row r="6380" spans="1:97" x14ac:dyDescent="0.25">
      <c r="A6380" t="s">
        <v>996</v>
      </c>
      <c r="B6380" t="s">
        <v>38571</v>
      </c>
      <c r="C6380" t="s">
        <v>36805</v>
      </c>
      <c r="D6380" t="s">
        <v>38571</v>
      </c>
      <c r="E6380" t="s">
        <v>38572</v>
      </c>
      <c r="F6380" t="s">
        <v>108</v>
      </c>
      <c r="H6380" t="s">
        <v>38573</v>
      </c>
      <c r="I6380" t="s">
        <v>390</v>
      </c>
      <c r="J6380" t="s">
        <v>111</v>
      </c>
      <c r="K6380" t="str">
        <f>"85044"</f>
        <v>85044</v>
      </c>
      <c r="L6380" t="s">
        <v>1518</v>
      </c>
      <c r="M6380" t="s">
        <v>38573</v>
      </c>
      <c r="N6380" t="s">
        <v>390</v>
      </c>
      <c r="O6380" t="s">
        <v>111</v>
      </c>
      <c r="P6380" t="str">
        <f>"85044-1722"</f>
        <v>85044-1722</v>
      </c>
      <c r="Q6380" t="s">
        <v>113</v>
      </c>
      <c r="R6380" t="str">
        <f>"301-54-740"</f>
        <v>301-54-740</v>
      </c>
      <c r="S6380" t="s">
        <v>38574</v>
      </c>
      <c r="U6380">
        <v>1426</v>
      </c>
      <c r="V6380">
        <v>0</v>
      </c>
      <c r="W6380">
        <v>2</v>
      </c>
      <c r="X6380">
        <v>1985</v>
      </c>
      <c r="Z6380">
        <v>1</v>
      </c>
      <c r="AB6380">
        <v>0</v>
      </c>
      <c r="AC6380" t="s">
        <v>115</v>
      </c>
      <c r="AD6380">
        <v>2</v>
      </c>
      <c r="AE6380" t="s">
        <v>115</v>
      </c>
      <c r="AF6380">
        <v>0</v>
      </c>
      <c r="AG6380">
        <v>0</v>
      </c>
      <c r="AH6380" t="s">
        <v>116</v>
      </c>
      <c r="AI6380" s="1">
        <v>49081</v>
      </c>
      <c r="AJ6380" s="2">
        <v>0.19</v>
      </c>
      <c r="AK6380" s="1">
        <v>260742</v>
      </c>
      <c r="AL6380" t="s">
        <v>117</v>
      </c>
      <c r="AM6380" t="s">
        <v>191</v>
      </c>
      <c r="AN6380">
        <v>7832</v>
      </c>
      <c r="AO6380">
        <v>0.18</v>
      </c>
      <c r="AP6380">
        <v>1</v>
      </c>
      <c r="AR6380">
        <v>1</v>
      </c>
      <c r="AS6380" s="1">
        <v>17880</v>
      </c>
      <c r="AT6380" s="1">
        <v>3570</v>
      </c>
      <c r="AU6380" s="1">
        <v>14310</v>
      </c>
      <c r="AV6380">
        <v>80.03</v>
      </c>
      <c r="AX6380" s="1">
        <v>1708.64</v>
      </c>
      <c r="AY6380" t="s">
        <v>11872</v>
      </c>
      <c r="AZ6380" t="s">
        <v>7255</v>
      </c>
      <c r="BA6380" t="s">
        <v>5328</v>
      </c>
      <c r="BE6380" s="3">
        <v>42153</v>
      </c>
      <c r="BF6380" s="1">
        <v>204900</v>
      </c>
      <c r="BG6380" t="s">
        <v>38575</v>
      </c>
      <c r="BH6380" s="1">
        <v>143.69</v>
      </c>
      <c r="BI6380" s="1">
        <v>211661</v>
      </c>
      <c r="BJ6380" s="3">
        <v>42153</v>
      </c>
      <c r="BK6380" t="s">
        <v>123</v>
      </c>
      <c r="BL6380" t="str">
        <f>"2015.382122"</f>
        <v>2015.382122</v>
      </c>
      <c r="BM6380" t="s">
        <v>544</v>
      </c>
      <c r="BO6380" t="s">
        <v>38576</v>
      </c>
      <c r="BS6380">
        <v>30</v>
      </c>
      <c r="BW6380" t="str">
        <f>""</f>
        <v/>
      </c>
      <c r="CH6380" t="str">
        <f>""</f>
        <v/>
      </c>
      <c r="CS6380" t="str">
        <f>""</f>
        <v/>
      </c>
    </row>
    <row r="6381" spans="1:97" x14ac:dyDescent="0.25">
      <c r="A6381" t="s">
        <v>610</v>
      </c>
      <c r="B6381" t="s">
        <v>38577</v>
      </c>
      <c r="E6381" t="s">
        <v>38578</v>
      </c>
      <c r="F6381" t="s">
        <v>108</v>
      </c>
      <c r="H6381" t="s">
        <v>38579</v>
      </c>
      <c r="I6381" t="s">
        <v>203</v>
      </c>
      <c r="J6381" t="s">
        <v>111</v>
      </c>
      <c r="K6381" t="str">
        <f>"85297"</f>
        <v>85297</v>
      </c>
      <c r="L6381" t="s">
        <v>5893</v>
      </c>
      <c r="M6381" t="s">
        <v>38579</v>
      </c>
      <c r="N6381" t="s">
        <v>203</v>
      </c>
      <c r="O6381" t="s">
        <v>111</v>
      </c>
      <c r="P6381" t="str">
        <f>"85297-9656"</f>
        <v>85297-9656</v>
      </c>
      <c r="Q6381" t="s">
        <v>113</v>
      </c>
      <c r="R6381" t="str">
        <f>"313-06-298"</f>
        <v>313-06-298</v>
      </c>
      <c r="S6381" t="s">
        <v>16731</v>
      </c>
      <c r="T6381" t="s">
        <v>16732</v>
      </c>
      <c r="U6381">
        <v>2120</v>
      </c>
      <c r="V6381">
        <v>0</v>
      </c>
      <c r="W6381">
        <v>4</v>
      </c>
      <c r="X6381">
        <v>2004</v>
      </c>
      <c r="Z6381">
        <v>2</v>
      </c>
      <c r="AA6381" t="s">
        <v>26</v>
      </c>
      <c r="AB6381">
        <v>0</v>
      </c>
      <c r="AC6381" t="s">
        <v>115</v>
      </c>
      <c r="AD6381">
        <v>2</v>
      </c>
      <c r="AE6381" t="s">
        <v>115</v>
      </c>
      <c r="AF6381">
        <v>0</v>
      </c>
      <c r="AG6381">
        <v>0</v>
      </c>
      <c r="AH6381" t="s">
        <v>116</v>
      </c>
      <c r="AI6381" s="1">
        <v>78159</v>
      </c>
      <c r="AJ6381" s="2">
        <v>0.22</v>
      </c>
      <c r="AK6381" s="1">
        <v>358161</v>
      </c>
      <c r="AL6381" t="s">
        <v>117</v>
      </c>
      <c r="AM6381" t="s">
        <v>191</v>
      </c>
      <c r="AN6381">
        <v>9443</v>
      </c>
      <c r="AO6381">
        <v>0.22</v>
      </c>
      <c r="AP6381">
        <v>1</v>
      </c>
      <c r="AR6381">
        <v>1</v>
      </c>
      <c r="AS6381" s="1">
        <v>24660</v>
      </c>
      <c r="AT6381" s="1">
        <v>4930</v>
      </c>
      <c r="AU6381" s="1">
        <v>19730</v>
      </c>
      <c r="AV6381">
        <v>80.010000000000005</v>
      </c>
      <c r="AX6381" s="1">
        <v>1992.94</v>
      </c>
      <c r="AY6381" t="s">
        <v>8338</v>
      </c>
      <c r="AZ6381" t="s">
        <v>8338</v>
      </c>
      <c r="BA6381" t="s">
        <v>290</v>
      </c>
      <c r="BE6381" s="3">
        <v>41985</v>
      </c>
      <c r="BF6381" s="1">
        <v>275000</v>
      </c>
      <c r="BG6381" t="s">
        <v>38580</v>
      </c>
      <c r="BH6381" s="1">
        <v>129.72</v>
      </c>
      <c r="BI6381" s="1">
        <v>280002</v>
      </c>
      <c r="BJ6381" s="3">
        <v>42640</v>
      </c>
      <c r="BK6381" t="s">
        <v>123</v>
      </c>
      <c r="BL6381" t="str">
        <f>"2016.704104"</f>
        <v>2016.704104</v>
      </c>
      <c r="BM6381" t="s">
        <v>402</v>
      </c>
      <c r="BO6381" t="s">
        <v>38581</v>
      </c>
      <c r="BS6381">
        <v>30</v>
      </c>
      <c r="BW6381" t="str">
        <f>""</f>
        <v/>
      </c>
      <c r="CH6381" t="str">
        <f>""</f>
        <v/>
      </c>
      <c r="CS6381" t="str">
        <f>""</f>
        <v/>
      </c>
    </row>
    <row r="6382" spans="1:97" x14ac:dyDescent="0.25">
      <c r="A6382" t="s">
        <v>305</v>
      </c>
      <c r="B6382" t="s">
        <v>38582</v>
      </c>
      <c r="C6382" t="s">
        <v>15429</v>
      </c>
      <c r="D6382" t="s">
        <v>38582</v>
      </c>
      <c r="E6382" t="s">
        <v>38583</v>
      </c>
      <c r="F6382" t="s">
        <v>108</v>
      </c>
      <c r="H6382" t="s">
        <v>38584</v>
      </c>
      <c r="I6382" t="s">
        <v>453</v>
      </c>
      <c r="J6382" t="s">
        <v>111</v>
      </c>
      <c r="K6382" t="str">
        <f>"85345"</f>
        <v>85345</v>
      </c>
      <c r="L6382" t="s">
        <v>5185</v>
      </c>
      <c r="M6382" t="s">
        <v>38584</v>
      </c>
      <c r="N6382" t="s">
        <v>453</v>
      </c>
      <c r="O6382" t="s">
        <v>111</v>
      </c>
      <c r="P6382" t="str">
        <f>"85345-6374"</f>
        <v>85345-6374</v>
      </c>
      <c r="R6382" t="str">
        <f>"142-90-054"</f>
        <v>142-90-054</v>
      </c>
      <c r="S6382" t="s">
        <v>36590</v>
      </c>
      <c r="T6382" t="s">
        <v>36590</v>
      </c>
      <c r="U6382">
        <v>1600</v>
      </c>
      <c r="V6382">
        <v>0</v>
      </c>
      <c r="W6382">
        <v>3</v>
      </c>
      <c r="X6382">
        <v>1998</v>
      </c>
      <c r="Z6382">
        <v>2</v>
      </c>
      <c r="AA6382" t="s">
        <v>26</v>
      </c>
      <c r="AB6382">
        <v>0</v>
      </c>
      <c r="AC6382" t="s">
        <v>115</v>
      </c>
      <c r="AD6382">
        <v>2</v>
      </c>
      <c r="AE6382" t="s">
        <v>115</v>
      </c>
      <c r="AF6382">
        <v>0</v>
      </c>
      <c r="AG6382">
        <v>0</v>
      </c>
      <c r="AH6382" t="s">
        <v>116</v>
      </c>
      <c r="AI6382" s="1">
        <v>50410</v>
      </c>
      <c r="AJ6382" s="2">
        <v>0.19</v>
      </c>
      <c r="AK6382" s="1">
        <v>262175</v>
      </c>
      <c r="AL6382" t="s">
        <v>117</v>
      </c>
      <c r="AM6382" t="s">
        <v>118</v>
      </c>
      <c r="AN6382">
        <v>15072</v>
      </c>
      <c r="AO6382">
        <v>0.35</v>
      </c>
      <c r="AP6382">
        <v>1</v>
      </c>
      <c r="AR6382">
        <v>1</v>
      </c>
      <c r="AS6382" s="1">
        <v>19710</v>
      </c>
      <c r="AT6382" s="1">
        <v>3940</v>
      </c>
      <c r="AU6382" s="1">
        <v>15770</v>
      </c>
      <c r="AV6382">
        <v>80.010000000000005</v>
      </c>
      <c r="AX6382" s="1">
        <v>1264.22</v>
      </c>
      <c r="AY6382" t="s">
        <v>12482</v>
      </c>
      <c r="AZ6382" t="s">
        <v>12482</v>
      </c>
      <c r="BA6382" t="s">
        <v>6945</v>
      </c>
      <c r="BE6382" s="3">
        <v>41718</v>
      </c>
      <c r="BF6382" s="1">
        <v>180000</v>
      </c>
      <c r="BG6382" t="s">
        <v>38585</v>
      </c>
      <c r="BH6382" s="1">
        <v>112.5</v>
      </c>
      <c r="BI6382" s="1">
        <v>211765</v>
      </c>
      <c r="BJ6382" s="3">
        <v>42941</v>
      </c>
      <c r="BK6382" t="s">
        <v>123</v>
      </c>
      <c r="BL6382" t="str">
        <f>"2017.541682"</f>
        <v>2017.541682</v>
      </c>
      <c r="BM6382" t="s">
        <v>699</v>
      </c>
      <c r="BN6382">
        <v>66502</v>
      </c>
      <c r="BO6382" t="s">
        <v>38586</v>
      </c>
      <c r="BS6382">
        <v>30</v>
      </c>
      <c r="BW6382" t="str">
        <f>""</f>
        <v/>
      </c>
      <c r="CH6382" t="str">
        <f>""</f>
        <v/>
      </c>
      <c r="CS6382" t="str">
        <f>""</f>
        <v/>
      </c>
    </row>
    <row r="6383" spans="1:97" x14ac:dyDescent="0.25">
      <c r="A6383" t="s">
        <v>4306</v>
      </c>
      <c r="B6383" t="s">
        <v>38587</v>
      </c>
      <c r="E6383" t="s">
        <v>38588</v>
      </c>
      <c r="F6383" t="s">
        <v>139</v>
      </c>
      <c r="H6383" t="s">
        <v>38589</v>
      </c>
      <c r="I6383" t="s">
        <v>390</v>
      </c>
      <c r="J6383" t="s">
        <v>111</v>
      </c>
      <c r="K6383" t="str">
        <f>"85020"</f>
        <v>85020</v>
      </c>
      <c r="L6383" t="s">
        <v>9597</v>
      </c>
      <c r="M6383" t="s">
        <v>38590</v>
      </c>
      <c r="N6383" t="s">
        <v>390</v>
      </c>
      <c r="O6383" t="s">
        <v>111</v>
      </c>
      <c r="P6383" t="str">
        <f>"85067-4712"</f>
        <v>85067-4712</v>
      </c>
      <c r="Q6383" t="s">
        <v>113</v>
      </c>
      <c r="R6383" t="str">
        <f>"160-05-108"</f>
        <v>160-05-108</v>
      </c>
      <c r="S6383" t="s">
        <v>38591</v>
      </c>
      <c r="U6383">
        <v>1468</v>
      </c>
      <c r="V6383">
        <v>0</v>
      </c>
      <c r="W6383">
        <v>2</v>
      </c>
      <c r="X6383">
        <v>1958</v>
      </c>
      <c r="Z6383">
        <v>1</v>
      </c>
      <c r="AA6383" t="s">
        <v>26</v>
      </c>
      <c r="AB6383">
        <v>0</v>
      </c>
      <c r="AC6383" t="s">
        <v>5188</v>
      </c>
      <c r="AD6383">
        <v>1</v>
      </c>
      <c r="AE6383" t="s">
        <v>5188</v>
      </c>
      <c r="AF6383">
        <v>0</v>
      </c>
      <c r="AG6383">
        <v>0</v>
      </c>
      <c r="AH6383" t="s">
        <v>116</v>
      </c>
      <c r="AI6383" s="1">
        <v>30735</v>
      </c>
      <c r="AJ6383" s="2">
        <v>0.11</v>
      </c>
      <c r="AK6383" s="1">
        <v>281002</v>
      </c>
      <c r="AL6383" t="s">
        <v>117</v>
      </c>
      <c r="AM6383" t="s">
        <v>191</v>
      </c>
      <c r="AN6383">
        <v>6056</v>
      </c>
      <c r="AO6383">
        <v>0.14000000000000001</v>
      </c>
      <c r="AP6383">
        <v>1</v>
      </c>
      <c r="AR6383">
        <v>1</v>
      </c>
      <c r="AS6383" s="1">
        <v>18330</v>
      </c>
      <c r="AT6383" s="1">
        <v>3660</v>
      </c>
      <c r="AU6383" s="1">
        <v>14670</v>
      </c>
      <c r="AV6383">
        <v>80.03</v>
      </c>
      <c r="AX6383" s="1">
        <v>1845.38</v>
      </c>
      <c r="AY6383" t="s">
        <v>20037</v>
      </c>
      <c r="AZ6383" t="s">
        <v>6148</v>
      </c>
      <c r="BA6383" t="s">
        <v>6149</v>
      </c>
      <c r="BE6383" s="3">
        <v>42198</v>
      </c>
      <c r="BF6383" s="1">
        <v>245000</v>
      </c>
      <c r="BG6383" t="s">
        <v>38592</v>
      </c>
      <c r="BH6383" s="1">
        <v>166.89</v>
      </c>
      <c r="BI6383" s="1">
        <v>250267</v>
      </c>
      <c r="BJ6383" s="3">
        <v>42198</v>
      </c>
      <c r="BK6383" t="s">
        <v>123</v>
      </c>
      <c r="BL6383" t="str">
        <f>"2015.502969"</f>
        <v>2015.502969</v>
      </c>
      <c r="BM6383" t="s">
        <v>475</v>
      </c>
      <c r="BO6383" t="s">
        <v>38593</v>
      </c>
      <c r="BS6383">
        <v>30</v>
      </c>
      <c r="BW6383" t="str">
        <f>""</f>
        <v/>
      </c>
      <c r="CH6383" t="str">
        <f>""</f>
        <v/>
      </c>
      <c r="CS6383" t="str">
        <f>""</f>
        <v/>
      </c>
    </row>
    <row r="6384" spans="1:97" x14ac:dyDescent="0.25">
      <c r="A6384" t="s">
        <v>1344</v>
      </c>
      <c r="B6384" t="s">
        <v>1743</v>
      </c>
      <c r="E6384" t="s">
        <v>38594</v>
      </c>
      <c r="F6384" t="s">
        <v>108</v>
      </c>
      <c r="H6384" t="s">
        <v>38595</v>
      </c>
      <c r="I6384" t="s">
        <v>203</v>
      </c>
      <c r="J6384" t="s">
        <v>111</v>
      </c>
      <c r="K6384" t="str">
        <f>"85233"</f>
        <v>85233</v>
      </c>
      <c r="L6384" t="s">
        <v>3161</v>
      </c>
      <c r="M6384" t="s">
        <v>38595</v>
      </c>
      <c r="N6384" t="s">
        <v>203</v>
      </c>
      <c r="O6384" t="s">
        <v>111</v>
      </c>
      <c r="P6384" t="str">
        <f>"85233-8552"</f>
        <v>85233-8552</v>
      </c>
      <c r="Q6384" t="s">
        <v>113</v>
      </c>
      <c r="R6384" t="str">
        <f>"302-36-341"</f>
        <v>302-36-341</v>
      </c>
      <c r="S6384" t="s">
        <v>17510</v>
      </c>
      <c r="T6384" t="s">
        <v>17510</v>
      </c>
      <c r="U6384">
        <v>2104</v>
      </c>
      <c r="V6384">
        <v>0</v>
      </c>
      <c r="W6384">
        <v>4</v>
      </c>
      <c r="X6384">
        <v>1999</v>
      </c>
      <c r="Z6384">
        <v>2</v>
      </c>
      <c r="AA6384" t="s">
        <v>26</v>
      </c>
      <c r="AB6384">
        <v>0</v>
      </c>
      <c r="AC6384" t="s">
        <v>115</v>
      </c>
      <c r="AD6384">
        <v>3</v>
      </c>
      <c r="AE6384" t="s">
        <v>115</v>
      </c>
      <c r="AF6384">
        <v>0</v>
      </c>
      <c r="AG6384">
        <v>0</v>
      </c>
      <c r="AH6384" t="s">
        <v>116</v>
      </c>
      <c r="AI6384" s="1">
        <v>105296</v>
      </c>
      <c r="AJ6384" s="2">
        <v>0.3</v>
      </c>
      <c r="AK6384" s="1">
        <v>355889</v>
      </c>
      <c r="AL6384" t="s">
        <v>117</v>
      </c>
      <c r="AM6384" t="s">
        <v>393</v>
      </c>
      <c r="AN6384">
        <v>7919</v>
      </c>
      <c r="AO6384">
        <v>0.18</v>
      </c>
      <c r="AP6384">
        <v>1</v>
      </c>
      <c r="AR6384">
        <v>1</v>
      </c>
      <c r="AS6384" s="1">
        <v>24910</v>
      </c>
      <c r="AT6384" s="1">
        <v>4980</v>
      </c>
      <c r="AU6384" s="1">
        <v>19930</v>
      </c>
      <c r="AV6384">
        <v>80.010000000000005</v>
      </c>
      <c r="AX6384" s="1">
        <v>1845.14</v>
      </c>
      <c r="AY6384" t="s">
        <v>7046</v>
      </c>
      <c r="AZ6384" t="s">
        <v>207</v>
      </c>
      <c r="BA6384" t="s">
        <v>5479</v>
      </c>
      <c r="BE6384" s="3">
        <v>42052</v>
      </c>
      <c r="BF6384" s="1">
        <v>275000</v>
      </c>
      <c r="BG6384" t="s">
        <v>38596</v>
      </c>
      <c r="BH6384" s="1">
        <v>130.69999999999999</v>
      </c>
      <c r="BI6384" s="1">
        <v>250593</v>
      </c>
      <c r="BJ6384" s="3">
        <v>42052</v>
      </c>
      <c r="BK6384" t="s">
        <v>123</v>
      </c>
      <c r="BL6384" t="str">
        <f>"2015.101299"</f>
        <v>2015.101299</v>
      </c>
      <c r="BM6384" t="s">
        <v>2094</v>
      </c>
      <c r="BO6384" t="s">
        <v>38597</v>
      </c>
      <c r="BS6384">
        <v>30</v>
      </c>
      <c r="BW6384" t="str">
        <f>""</f>
        <v/>
      </c>
      <c r="CH6384" t="str">
        <f>""</f>
        <v/>
      </c>
      <c r="CS6384" t="str">
        <f>""</f>
        <v/>
      </c>
    </row>
    <row r="6385" spans="1:97" x14ac:dyDescent="0.25">
      <c r="A6385" t="s">
        <v>1607</v>
      </c>
      <c r="B6385" t="s">
        <v>7927</v>
      </c>
      <c r="C6385" t="s">
        <v>670</v>
      </c>
      <c r="D6385" t="s">
        <v>19948</v>
      </c>
      <c r="E6385" t="s">
        <v>38598</v>
      </c>
      <c r="F6385" t="s">
        <v>108</v>
      </c>
      <c r="H6385" t="s">
        <v>38599</v>
      </c>
      <c r="I6385" t="s">
        <v>225</v>
      </c>
      <c r="J6385" t="s">
        <v>111</v>
      </c>
      <c r="K6385" t="str">
        <f>"85208"</f>
        <v>85208</v>
      </c>
      <c r="L6385" t="s">
        <v>6438</v>
      </c>
      <c r="M6385" t="s">
        <v>38599</v>
      </c>
      <c r="N6385" t="s">
        <v>225</v>
      </c>
      <c r="O6385" t="s">
        <v>111</v>
      </c>
      <c r="P6385" t="str">
        <f>"85208-7196"</f>
        <v>85208-7196</v>
      </c>
      <c r="R6385" t="str">
        <f>"220-85-112"</f>
        <v>220-85-112</v>
      </c>
      <c r="S6385" t="s">
        <v>6825</v>
      </c>
      <c r="T6385" t="s">
        <v>6826</v>
      </c>
      <c r="U6385">
        <v>2094</v>
      </c>
      <c r="V6385">
        <v>0</v>
      </c>
      <c r="W6385">
        <v>4</v>
      </c>
      <c r="X6385">
        <v>2000</v>
      </c>
      <c r="Z6385">
        <v>2</v>
      </c>
      <c r="AB6385">
        <v>0</v>
      </c>
      <c r="AC6385" t="s">
        <v>115</v>
      </c>
      <c r="AD6385">
        <v>2</v>
      </c>
      <c r="AE6385" t="s">
        <v>115</v>
      </c>
      <c r="AF6385">
        <v>0</v>
      </c>
      <c r="AG6385">
        <v>0</v>
      </c>
      <c r="AH6385" t="s">
        <v>116</v>
      </c>
      <c r="AI6385" s="1">
        <v>38340</v>
      </c>
      <c r="AJ6385" s="2">
        <v>0.13</v>
      </c>
      <c r="AK6385" s="1">
        <v>297253</v>
      </c>
      <c r="AL6385" t="s">
        <v>117</v>
      </c>
      <c r="AM6385" t="s">
        <v>191</v>
      </c>
      <c r="AN6385">
        <v>6600</v>
      </c>
      <c r="AO6385">
        <v>0.15</v>
      </c>
      <c r="AP6385">
        <v>1</v>
      </c>
      <c r="AR6385">
        <v>1</v>
      </c>
      <c r="AS6385" s="1">
        <v>20630</v>
      </c>
      <c r="AT6385" s="1">
        <v>4120</v>
      </c>
      <c r="AU6385" s="1">
        <v>16510</v>
      </c>
      <c r="AV6385">
        <v>80.03</v>
      </c>
      <c r="AX6385" s="1">
        <v>1435.26</v>
      </c>
      <c r="AY6385" t="s">
        <v>272</v>
      </c>
      <c r="AZ6385" t="s">
        <v>3761</v>
      </c>
      <c r="BA6385" t="s">
        <v>232</v>
      </c>
      <c r="BE6385" s="3">
        <v>42537</v>
      </c>
      <c r="BF6385" s="1">
        <v>247000</v>
      </c>
      <c r="BG6385" t="s">
        <v>38600</v>
      </c>
      <c r="BH6385" s="1">
        <v>117.96</v>
      </c>
      <c r="BI6385" s="1">
        <v>258913</v>
      </c>
      <c r="BJ6385" s="3">
        <v>43038</v>
      </c>
      <c r="BK6385" t="s">
        <v>123</v>
      </c>
      <c r="BL6385" t="str">
        <f>"2017.803064"</f>
        <v>2017.803064</v>
      </c>
      <c r="BM6385" t="s">
        <v>15109</v>
      </c>
      <c r="BN6385">
        <v>89052</v>
      </c>
      <c r="BO6385" t="s">
        <v>38601</v>
      </c>
      <c r="BP6385" t="s">
        <v>38602</v>
      </c>
      <c r="BQ6385" t="str">
        <f>"2.2500%"</f>
        <v>2.2500%</v>
      </c>
      <c r="BR6385" t="s">
        <v>1480</v>
      </c>
      <c r="BS6385">
        <v>30</v>
      </c>
      <c r="BW6385" t="str">
        <f>""</f>
        <v/>
      </c>
      <c r="CH6385" t="str">
        <f>""</f>
        <v/>
      </c>
      <c r="CS6385" t="str">
        <f>""</f>
        <v/>
      </c>
    </row>
    <row r="6386" spans="1:97" x14ac:dyDescent="0.25">
      <c r="A6386" t="s">
        <v>4554</v>
      </c>
      <c r="B6386" t="s">
        <v>20579</v>
      </c>
      <c r="C6386" t="s">
        <v>7616</v>
      </c>
      <c r="D6386" t="s">
        <v>38603</v>
      </c>
      <c r="E6386" t="s">
        <v>38604</v>
      </c>
      <c r="F6386" t="s">
        <v>108</v>
      </c>
      <c r="H6386" t="s">
        <v>38605</v>
      </c>
      <c r="I6386" t="s">
        <v>3150</v>
      </c>
      <c r="J6386" t="s">
        <v>111</v>
      </c>
      <c r="K6386" t="str">
        <f>"85340"</f>
        <v>85340</v>
      </c>
      <c r="L6386" t="s">
        <v>3758</v>
      </c>
      <c r="M6386" t="s">
        <v>38605</v>
      </c>
      <c r="N6386" t="s">
        <v>3150</v>
      </c>
      <c r="O6386" t="s">
        <v>111</v>
      </c>
      <c r="P6386" t="str">
        <f>"85340-3422"</f>
        <v>85340-3422</v>
      </c>
      <c r="Q6386" t="s">
        <v>113</v>
      </c>
      <c r="R6386" t="str">
        <f>"508-12-589"</f>
        <v>508-12-589</v>
      </c>
      <c r="S6386" t="s">
        <v>5240</v>
      </c>
      <c r="U6386">
        <v>1782</v>
      </c>
      <c r="V6386">
        <v>0</v>
      </c>
      <c r="W6386">
        <v>3</v>
      </c>
      <c r="X6386">
        <v>2004</v>
      </c>
      <c r="Z6386">
        <v>1</v>
      </c>
      <c r="AB6386">
        <v>0</v>
      </c>
      <c r="AC6386" t="s">
        <v>115</v>
      </c>
      <c r="AD6386">
        <v>2</v>
      </c>
      <c r="AE6386" t="s">
        <v>115</v>
      </c>
      <c r="AF6386">
        <v>0</v>
      </c>
      <c r="AG6386">
        <v>0</v>
      </c>
      <c r="AH6386" t="s">
        <v>116</v>
      </c>
      <c r="AI6386" s="1">
        <v>39479</v>
      </c>
      <c r="AJ6386" s="2">
        <v>0.16</v>
      </c>
      <c r="AK6386" s="1">
        <v>253186</v>
      </c>
      <c r="AL6386" t="s">
        <v>117</v>
      </c>
      <c r="AM6386" t="s">
        <v>191</v>
      </c>
      <c r="AN6386">
        <v>5274</v>
      </c>
      <c r="AO6386">
        <v>0.12</v>
      </c>
      <c r="AP6386">
        <v>1</v>
      </c>
      <c r="AR6386">
        <v>1</v>
      </c>
      <c r="AS6386" s="1">
        <v>16170</v>
      </c>
      <c r="AT6386" s="1">
        <v>3230</v>
      </c>
      <c r="AU6386" s="1">
        <v>12940</v>
      </c>
      <c r="AV6386">
        <v>80.02</v>
      </c>
      <c r="AX6386" s="1">
        <v>1121.6600000000001</v>
      </c>
      <c r="AY6386" t="s">
        <v>5241</v>
      </c>
      <c r="AZ6386" t="s">
        <v>3153</v>
      </c>
      <c r="BA6386" t="s">
        <v>3154</v>
      </c>
      <c r="BB6386" s="3">
        <v>43109</v>
      </c>
      <c r="BC6386" s="1">
        <v>0</v>
      </c>
      <c r="BD6386" t="s">
        <v>247</v>
      </c>
      <c r="BE6386" s="3">
        <v>42369</v>
      </c>
      <c r="BF6386" s="1">
        <v>186000</v>
      </c>
      <c r="BG6386" t="s">
        <v>38606</v>
      </c>
      <c r="BH6386" s="1">
        <v>104.38</v>
      </c>
      <c r="BI6386" s="1">
        <v>213707</v>
      </c>
      <c r="BJ6386" s="3">
        <v>43109</v>
      </c>
      <c r="BK6386" t="s">
        <v>123</v>
      </c>
      <c r="BL6386" t="str">
        <f>"2018.17503"</f>
        <v>2018.17503</v>
      </c>
      <c r="BM6386" t="s">
        <v>6896</v>
      </c>
      <c r="BN6386" t="s">
        <v>6128</v>
      </c>
      <c r="BO6386" t="s">
        <v>38607</v>
      </c>
      <c r="BP6386" t="s">
        <v>38608</v>
      </c>
      <c r="BR6386" t="s">
        <v>139</v>
      </c>
      <c r="BW6386" t="str">
        <f>""</f>
        <v/>
      </c>
      <c r="CH6386" t="str">
        <f>""</f>
        <v/>
      </c>
      <c r="CS6386" t="str">
        <f>""</f>
        <v/>
      </c>
    </row>
    <row r="6387" spans="1:97" x14ac:dyDescent="0.25">
      <c r="A6387" t="s">
        <v>4888</v>
      </c>
      <c r="B6387" t="s">
        <v>38609</v>
      </c>
      <c r="C6387" t="s">
        <v>104</v>
      </c>
      <c r="D6387" t="s">
        <v>38609</v>
      </c>
      <c r="E6387" t="s">
        <v>38610</v>
      </c>
      <c r="F6387" t="s">
        <v>108</v>
      </c>
      <c r="H6387" t="s">
        <v>38611</v>
      </c>
      <c r="I6387" t="s">
        <v>203</v>
      </c>
      <c r="J6387" t="s">
        <v>111</v>
      </c>
      <c r="K6387" t="str">
        <f>"85234"</f>
        <v>85234</v>
      </c>
      <c r="L6387" t="s">
        <v>2963</v>
      </c>
      <c r="M6387" t="s">
        <v>38611</v>
      </c>
      <c r="N6387" t="s">
        <v>203</v>
      </c>
      <c r="O6387" t="s">
        <v>111</v>
      </c>
      <c r="P6387" t="str">
        <f>"85234-2695"</f>
        <v>85234-2695</v>
      </c>
      <c r="Q6387" t="s">
        <v>113</v>
      </c>
      <c r="R6387" t="str">
        <f>"309-03-706"</f>
        <v>309-03-706</v>
      </c>
      <c r="S6387" t="s">
        <v>18513</v>
      </c>
      <c r="T6387" t="s">
        <v>18514</v>
      </c>
      <c r="U6387">
        <v>1466</v>
      </c>
      <c r="V6387">
        <v>0</v>
      </c>
      <c r="W6387">
        <v>3</v>
      </c>
      <c r="X6387">
        <v>1992</v>
      </c>
      <c r="Z6387">
        <v>1</v>
      </c>
      <c r="AB6387">
        <v>0</v>
      </c>
      <c r="AC6387" t="s">
        <v>115</v>
      </c>
      <c r="AD6387">
        <v>2</v>
      </c>
      <c r="AE6387" t="s">
        <v>115</v>
      </c>
      <c r="AF6387">
        <v>0</v>
      </c>
      <c r="AG6387">
        <v>0</v>
      </c>
      <c r="AH6387" t="s">
        <v>116</v>
      </c>
      <c r="AI6387" s="1">
        <v>69738</v>
      </c>
      <c r="AJ6387" s="2">
        <v>0.25</v>
      </c>
      <c r="AK6387" s="1">
        <v>279738</v>
      </c>
      <c r="AL6387" t="s">
        <v>117</v>
      </c>
      <c r="AM6387" t="s">
        <v>288</v>
      </c>
      <c r="AN6387">
        <v>5293</v>
      </c>
      <c r="AO6387">
        <v>0.12</v>
      </c>
      <c r="AP6387">
        <v>1</v>
      </c>
      <c r="AR6387">
        <v>1</v>
      </c>
      <c r="AS6387" s="1">
        <v>19270</v>
      </c>
      <c r="AT6387" s="1">
        <v>3850</v>
      </c>
      <c r="AU6387" s="1">
        <v>15420</v>
      </c>
      <c r="AV6387">
        <v>80.02</v>
      </c>
      <c r="AX6387" s="1">
        <v>1401.04</v>
      </c>
      <c r="AY6387" t="s">
        <v>10191</v>
      </c>
      <c r="AZ6387" t="s">
        <v>571</v>
      </c>
      <c r="BA6387" t="s">
        <v>521</v>
      </c>
      <c r="BE6387" s="3">
        <v>42436</v>
      </c>
      <c r="BF6387" s="1">
        <v>210000</v>
      </c>
      <c r="BG6387" t="s">
        <v>38612</v>
      </c>
      <c r="BH6387" s="1">
        <v>143.25</v>
      </c>
      <c r="BI6387" s="1">
        <v>210000</v>
      </c>
      <c r="BJ6387" s="3">
        <v>42436</v>
      </c>
      <c r="BK6387" t="s">
        <v>123</v>
      </c>
      <c r="BL6387" t="str">
        <f>"2016.144157"</f>
        <v>2016.144157</v>
      </c>
      <c r="BM6387" t="s">
        <v>135</v>
      </c>
      <c r="BO6387" t="s">
        <v>38613</v>
      </c>
      <c r="BS6387">
        <v>30</v>
      </c>
      <c r="BW6387" t="str">
        <f>""</f>
        <v/>
      </c>
      <c r="CH6387" t="str">
        <f>""</f>
        <v/>
      </c>
      <c r="CS6387" t="str">
        <f>""</f>
        <v/>
      </c>
    </row>
    <row r="6388" spans="1:97" x14ac:dyDescent="0.25">
      <c r="A6388" t="s">
        <v>370</v>
      </c>
      <c r="B6388" t="s">
        <v>13286</v>
      </c>
      <c r="C6388" t="s">
        <v>4386</v>
      </c>
      <c r="D6388" t="s">
        <v>13286</v>
      </c>
      <c r="E6388" t="s">
        <v>38614</v>
      </c>
      <c r="F6388" t="s">
        <v>108</v>
      </c>
      <c r="H6388" t="s">
        <v>38615</v>
      </c>
      <c r="I6388" t="s">
        <v>453</v>
      </c>
      <c r="J6388" t="s">
        <v>111</v>
      </c>
      <c r="K6388" t="str">
        <f>"85345"</f>
        <v>85345</v>
      </c>
      <c r="L6388" t="s">
        <v>5176</v>
      </c>
      <c r="M6388" t="s">
        <v>38615</v>
      </c>
      <c r="N6388" t="s">
        <v>453</v>
      </c>
      <c r="O6388" t="s">
        <v>111</v>
      </c>
      <c r="P6388" t="str">
        <f>"85345-7720"</f>
        <v>85345-7720</v>
      </c>
      <c r="Q6388" t="s">
        <v>113</v>
      </c>
      <c r="R6388" t="str">
        <f>"142-55-272"</f>
        <v>142-55-272</v>
      </c>
      <c r="S6388" t="s">
        <v>12481</v>
      </c>
      <c r="T6388" t="s">
        <v>12481</v>
      </c>
      <c r="U6388">
        <v>2313</v>
      </c>
      <c r="V6388">
        <v>0</v>
      </c>
      <c r="W6388">
        <v>3</v>
      </c>
      <c r="X6388">
        <v>2001</v>
      </c>
      <c r="Z6388">
        <v>1</v>
      </c>
      <c r="AA6388" t="s">
        <v>26</v>
      </c>
      <c r="AB6388">
        <v>0</v>
      </c>
      <c r="AC6388" t="s">
        <v>115</v>
      </c>
      <c r="AD6388">
        <v>2</v>
      </c>
      <c r="AE6388" t="s">
        <v>115</v>
      </c>
      <c r="AF6388">
        <v>0</v>
      </c>
      <c r="AG6388">
        <v>0</v>
      </c>
      <c r="AH6388" t="s">
        <v>116</v>
      </c>
      <c r="AI6388" s="1">
        <v>67284</v>
      </c>
      <c r="AJ6388" s="2">
        <v>0.2</v>
      </c>
      <c r="AK6388" s="1">
        <v>332284</v>
      </c>
      <c r="AL6388" t="s">
        <v>117</v>
      </c>
      <c r="AM6388" t="s">
        <v>171</v>
      </c>
      <c r="AN6388">
        <v>8392</v>
      </c>
      <c r="AO6388">
        <v>0.19</v>
      </c>
      <c r="AP6388">
        <v>1</v>
      </c>
      <c r="AR6388">
        <v>1</v>
      </c>
      <c r="AS6388" s="1">
        <v>22380</v>
      </c>
      <c r="AT6388" s="1">
        <v>4470</v>
      </c>
      <c r="AU6388" s="1">
        <v>17910</v>
      </c>
      <c r="AV6388">
        <v>80.03</v>
      </c>
      <c r="AX6388" s="1">
        <v>1791.12</v>
      </c>
      <c r="AY6388" t="s">
        <v>12482</v>
      </c>
      <c r="AZ6388" t="s">
        <v>12482</v>
      </c>
      <c r="BA6388" t="s">
        <v>6945</v>
      </c>
      <c r="BB6388" s="3">
        <v>42521</v>
      </c>
      <c r="BD6388" t="s">
        <v>240</v>
      </c>
      <c r="BE6388" s="3">
        <v>42515</v>
      </c>
      <c r="BF6388" s="1">
        <v>265000</v>
      </c>
      <c r="BG6388" t="s">
        <v>38616</v>
      </c>
      <c r="BH6388" s="1">
        <v>114.57</v>
      </c>
      <c r="BI6388" s="1">
        <v>265000</v>
      </c>
      <c r="BJ6388" s="3">
        <v>42515</v>
      </c>
      <c r="BK6388" t="s">
        <v>123</v>
      </c>
      <c r="BL6388" t="str">
        <f>"2016.358984"</f>
        <v>2016.358984</v>
      </c>
      <c r="BM6388" t="s">
        <v>150</v>
      </c>
      <c r="BN6388" t="s">
        <v>1282</v>
      </c>
      <c r="BO6388" t="s">
        <v>38617</v>
      </c>
      <c r="BS6388">
        <v>30</v>
      </c>
      <c r="BW6388" t="str">
        <f>""</f>
        <v/>
      </c>
      <c r="CH6388" t="str">
        <f>""</f>
        <v/>
      </c>
      <c r="CS6388" t="str">
        <f>""</f>
        <v/>
      </c>
    </row>
    <row r="6389" spans="1:97" x14ac:dyDescent="0.25">
      <c r="A6389" t="s">
        <v>4327</v>
      </c>
      <c r="B6389" t="s">
        <v>3248</v>
      </c>
      <c r="C6389" t="s">
        <v>38618</v>
      </c>
      <c r="D6389" t="s">
        <v>3248</v>
      </c>
      <c r="E6389" t="s">
        <v>38619</v>
      </c>
      <c r="F6389" t="s">
        <v>108</v>
      </c>
      <c r="H6389" t="s">
        <v>38620</v>
      </c>
      <c r="I6389" t="s">
        <v>499</v>
      </c>
      <c r="J6389" t="s">
        <v>111</v>
      </c>
      <c r="K6389" t="str">
        <f>"85338"</f>
        <v>85338</v>
      </c>
      <c r="L6389" t="s">
        <v>316</v>
      </c>
      <c r="M6389" t="s">
        <v>38620</v>
      </c>
      <c r="N6389" t="s">
        <v>499</v>
      </c>
      <c r="O6389" t="s">
        <v>111</v>
      </c>
      <c r="P6389" t="str">
        <f>"85338-6193"</f>
        <v>85338-6193</v>
      </c>
      <c r="Q6389" t="s">
        <v>113</v>
      </c>
      <c r="R6389" t="str">
        <f>"500-89-259"</f>
        <v>500-89-259</v>
      </c>
      <c r="S6389" t="s">
        <v>18533</v>
      </c>
      <c r="U6389">
        <v>3518</v>
      </c>
      <c r="V6389">
        <v>0</v>
      </c>
      <c r="W6389">
        <v>4</v>
      </c>
      <c r="X6389">
        <v>2001</v>
      </c>
      <c r="Z6389">
        <v>2</v>
      </c>
      <c r="AB6389">
        <v>0</v>
      </c>
      <c r="AC6389" t="s">
        <v>115</v>
      </c>
      <c r="AD6389">
        <v>3</v>
      </c>
      <c r="AE6389" t="s">
        <v>115</v>
      </c>
      <c r="AF6389">
        <v>0</v>
      </c>
      <c r="AG6389">
        <v>0</v>
      </c>
      <c r="AH6389" t="s">
        <v>116</v>
      </c>
      <c r="AI6389" s="1">
        <v>57450</v>
      </c>
      <c r="AJ6389" s="2">
        <v>0.15</v>
      </c>
      <c r="AK6389" s="1">
        <v>392333</v>
      </c>
      <c r="AL6389" t="s">
        <v>117</v>
      </c>
      <c r="AM6389" t="s">
        <v>118</v>
      </c>
      <c r="AN6389">
        <v>10961</v>
      </c>
      <c r="AO6389">
        <v>0.25</v>
      </c>
      <c r="AP6389">
        <v>1</v>
      </c>
      <c r="AR6389">
        <v>1</v>
      </c>
      <c r="AS6389" s="1">
        <v>25370</v>
      </c>
      <c r="AT6389" s="1">
        <v>5070</v>
      </c>
      <c r="AU6389" s="1">
        <v>20300</v>
      </c>
      <c r="AV6389">
        <v>80.02</v>
      </c>
      <c r="AX6389" s="1">
        <v>2089.36</v>
      </c>
      <c r="AY6389" t="s">
        <v>4311</v>
      </c>
      <c r="AZ6389" t="s">
        <v>4311</v>
      </c>
      <c r="BA6389" t="s">
        <v>218</v>
      </c>
      <c r="BE6389" s="3">
        <v>41662</v>
      </c>
      <c r="BF6389" s="1">
        <v>296000</v>
      </c>
      <c r="BG6389" t="s">
        <v>38621</v>
      </c>
      <c r="BH6389" s="1">
        <v>84.14</v>
      </c>
      <c r="BI6389" s="1">
        <v>334883</v>
      </c>
      <c r="BJ6389" s="3">
        <v>42957</v>
      </c>
      <c r="BK6389" t="s">
        <v>123</v>
      </c>
      <c r="BL6389" t="str">
        <f>"2017.587829"</f>
        <v>2017.587829</v>
      </c>
      <c r="BM6389" t="s">
        <v>25327</v>
      </c>
      <c r="BO6389" t="s">
        <v>38622</v>
      </c>
      <c r="BS6389">
        <v>30</v>
      </c>
      <c r="BW6389" t="str">
        <f>""</f>
        <v/>
      </c>
      <c r="CH6389" t="str">
        <f>""</f>
        <v/>
      </c>
      <c r="CS6389" t="str">
        <f>""</f>
        <v/>
      </c>
    </row>
    <row r="6390" spans="1:97" x14ac:dyDescent="0.25">
      <c r="A6390" t="s">
        <v>1514</v>
      </c>
      <c r="B6390" t="s">
        <v>38623</v>
      </c>
      <c r="C6390" t="s">
        <v>2002</v>
      </c>
      <c r="D6390" t="s">
        <v>38623</v>
      </c>
      <c r="E6390" t="s">
        <v>38624</v>
      </c>
      <c r="F6390" t="s">
        <v>108</v>
      </c>
      <c r="H6390" t="s">
        <v>38625</v>
      </c>
      <c r="I6390" t="s">
        <v>632</v>
      </c>
      <c r="J6390" t="s">
        <v>111</v>
      </c>
      <c r="K6390" t="str">
        <f>"85378"</f>
        <v>85378</v>
      </c>
      <c r="L6390" t="s">
        <v>8345</v>
      </c>
      <c r="M6390" t="s">
        <v>38625</v>
      </c>
      <c r="N6390" t="s">
        <v>632</v>
      </c>
      <c r="O6390" t="s">
        <v>111</v>
      </c>
      <c r="P6390" t="str">
        <f>"85378-2531"</f>
        <v>85378-2531</v>
      </c>
      <c r="Q6390" t="s">
        <v>113</v>
      </c>
      <c r="R6390" t="str">
        <f>"507-05-922"</f>
        <v>507-05-922</v>
      </c>
      <c r="S6390" t="s">
        <v>38626</v>
      </c>
      <c r="T6390" t="s">
        <v>35424</v>
      </c>
      <c r="U6390">
        <v>1775</v>
      </c>
      <c r="V6390">
        <v>0</v>
      </c>
      <c r="W6390">
        <v>3</v>
      </c>
      <c r="X6390">
        <v>1997</v>
      </c>
      <c r="Z6390">
        <v>1</v>
      </c>
      <c r="AA6390" t="s">
        <v>26</v>
      </c>
      <c r="AB6390">
        <v>0</v>
      </c>
      <c r="AC6390" t="s">
        <v>115</v>
      </c>
      <c r="AD6390">
        <v>2</v>
      </c>
      <c r="AE6390" t="s">
        <v>115</v>
      </c>
      <c r="AF6390">
        <v>0</v>
      </c>
      <c r="AG6390">
        <v>0</v>
      </c>
      <c r="AH6390" t="s">
        <v>116</v>
      </c>
      <c r="AI6390" s="1">
        <v>58757</v>
      </c>
      <c r="AJ6390" s="2">
        <v>0.18</v>
      </c>
      <c r="AK6390" s="1">
        <v>320622</v>
      </c>
      <c r="AL6390" t="s">
        <v>117</v>
      </c>
      <c r="AM6390" t="s">
        <v>118</v>
      </c>
      <c r="AN6390">
        <v>6653</v>
      </c>
      <c r="AO6390">
        <v>0.15</v>
      </c>
      <c r="AP6390">
        <v>1</v>
      </c>
      <c r="AR6390">
        <v>1</v>
      </c>
      <c r="AS6390" s="1">
        <v>22400</v>
      </c>
      <c r="AT6390" s="1">
        <v>4480</v>
      </c>
      <c r="AU6390" s="1">
        <v>17920</v>
      </c>
      <c r="AV6390">
        <v>80</v>
      </c>
      <c r="AX6390" s="1">
        <v>1960.38</v>
      </c>
      <c r="AY6390" t="s">
        <v>320</v>
      </c>
      <c r="AZ6390" t="s">
        <v>320</v>
      </c>
      <c r="BA6390" t="s">
        <v>321</v>
      </c>
      <c r="BE6390" s="3">
        <v>41801</v>
      </c>
      <c r="BF6390" s="1">
        <v>253500</v>
      </c>
      <c r="BG6390" t="s">
        <v>38627</v>
      </c>
      <c r="BH6390" s="1">
        <v>142.82</v>
      </c>
      <c r="BI6390" s="1">
        <v>261865</v>
      </c>
      <c r="BJ6390" s="3">
        <v>41801</v>
      </c>
      <c r="BK6390" t="s">
        <v>123</v>
      </c>
      <c r="BL6390" t="str">
        <f>"2014.381544"</f>
        <v>2014.381544</v>
      </c>
      <c r="BM6390" t="s">
        <v>2716</v>
      </c>
      <c r="BO6390" t="s">
        <v>38628</v>
      </c>
      <c r="BS6390">
        <v>30</v>
      </c>
      <c r="BW6390" t="str">
        <f>""</f>
        <v/>
      </c>
      <c r="CH6390" t="str">
        <f>""</f>
        <v/>
      </c>
      <c r="CS6390" t="str">
        <f>""</f>
        <v/>
      </c>
    </row>
    <row r="6391" spans="1:97" x14ac:dyDescent="0.25">
      <c r="A6391" t="s">
        <v>894</v>
      </c>
      <c r="B6391" t="s">
        <v>38629</v>
      </c>
      <c r="C6391" t="s">
        <v>7364</v>
      </c>
      <c r="D6391" t="s">
        <v>38629</v>
      </c>
      <c r="E6391" t="s">
        <v>38630</v>
      </c>
      <c r="F6391" t="s">
        <v>108</v>
      </c>
      <c r="H6391" t="s">
        <v>38631</v>
      </c>
      <c r="I6391" t="s">
        <v>632</v>
      </c>
      <c r="J6391" t="s">
        <v>111</v>
      </c>
      <c r="K6391" t="str">
        <f>"85379"</f>
        <v>85379</v>
      </c>
      <c r="L6391" t="s">
        <v>454</v>
      </c>
      <c r="M6391" t="s">
        <v>38631</v>
      </c>
      <c r="N6391" t="s">
        <v>632</v>
      </c>
      <c r="O6391" t="s">
        <v>111</v>
      </c>
      <c r="P6391" t="str">
        <f>"85379-1020"</f>
        <v>85379-1020</v>
      </c>
      <c r="Q6391" t="s">
        <v>113</v>
      </c>
      <c r="R6391" t="str">
        <f>"501-46-607"</f>
        <v>501-46-607</v>
      </c>
      <c r="S6391" t="s">
        <v>5319</v>
      </c>
      <c r="U6391">
        <v>1900</v>
      </c>
      <c r="V6391">
        <v>0</v>
      </c>
      <c r="W6391">
        <v>4</v>
      </c>
      <c r="X6391">
        <v>2014</v>
      </c>
      <c r="Z6391">
        <v>1</v>
      </c>
      <c r="AA6391" t="s">
        <v>26</v>
      </c>
      <c r="AB6391">
        <v>0</v>
      </c>
      <c r="AC6391" t="s">
        <v>115</v>
      </c>
      <c r="AD6391">
        <v>3</v>
      </c>
      <c r="AE6391" t="s">
        <v>115</v>
      </c>
      <c r="AF6391">
        <v>0</v>
      </c>
      <c r="AG6391">
        <v>0</v>
      </c>
      <c r="AH6391" t="s">
        <v>116</v>
      </c>
      <c r="AI6391" s="1">
        <v>111789</v>
      </c>
      <c r="AJ6391" s="2">
        <v>0.36</v>
      </c>
      <c r="AK6391" s="1">
        <v>311967</v>
      </c>
      <c r="AL6391" t="s">
        <v>117</v>
      </c>
      <c r="AM6391" t="s">
        <v>118</v>
      </c>
      <c r="AN6391">
        <v>6095</v>
      </c>
      <c r="AO6391">
        <v>0.14000000000000001</v>
      </c>
      <c r="AR6391">
        <v>1</v>
      </c>
      <c r="AS6391" s="1">
        <v>22850</v>
      </c>
      <c r="AT6391" s="1">
        <v>4570</v>
      </c>
      <c r="AU6391" s="1">
        <v>18280</v>
      </c>
      <c r="AV6391">
        <v>80</v>
      </c>
      <c r="AX6391" s="1">
        <v>1534.04</v>
      </c>
      <c r="AY6391" t="s">
        <v>5060</v>
      </c>
      <c r="AZ6391" t="s">
        <v>5060</v>
      </c>
      <c r="BA6391" t="s">
        <v>5061</v>
      </c>
      <c r="BE6391" s="3">
        <v>41649</v>
      </c>
      <c r="BF6391" s="1">
        <v>247134</v>
      </c>
      <c r="BG6391" t="s">
        <v>158</v>
      </c>
      <c r="BH6391" s="1">
        <v>130.07</v>
      </c>
      <c r="BI6391" s="1">
        <v>200178</v>
      </c>
      <c r="BJ6391" s="3">
        <v>41649</v>
      </c>
      <c r="BK6391" t="s">
        <v>123</v>
      </c>
      <c r="BL6391" t="str">
        <f>"2014.19995"</f>
        <v>2014.19995</v>
      </c>
      <c r="BM6391" t="s">
        <v>241</v>
      </c>
      <c r="BO6391" t="s">
        <v>38632</v>
      </c>
      <c r="BS6391">
        <v>30</v>
      </c>
      <c r="BW6391" t="str">
        <f>""</f>
        <v/>
      </c>
      <c r="CH6391" t="str">
        <f>""</f>
        <v/>
      </c>
      <c r="CS6391" t="str">
        <f>""</f>
        <v/>
      </c>
    </row>
    <row r="6392" spans="1:97" x14ac:dyDescent="0.25">
      <c r="A6392" t="s">
        <v>2006</v>
      </c>
      <c r="B6392" t="s">
        <v>2894</v>
      </c>
      <c r="C6392" t="s">
        <v>365</v>
      </c>
      <c r="D6392" t="s">
        <v>2894</v>
      </c>
      <c r="E6392" t="s">
        <v>38633</v>
      </c>
      <c r="F6392" t="s">
        <v>108</v>
      </c>
      <c r="H6392" t="s">
        <v>38634</v>
      </c>
      <c r="I6392" t="s">
        <v>2874</v>
      </c>
      <c r="J6392" t="s">
        <v>111</v>
      </c>
      <c r="K6392" t="str">
        <f>"85310"</f>
        <v>85310</v>
      </c>
      <c r="L6392" t="s">
        <v>1244</v>
      </c>
      <c r="M6392" t="s">
        <v>38634</v>
      </c>
      <c r="N6392" t="s">
        <v>2874</v>
      </c>
      <c r="O6392" t="s">
        <v>111</v>
      </c>
      <c r="P6392" t="str">
        <f>"85310-4015"</f>
        <v>85310-4015</v>
      </c>
      <c r="Q6392" t="s">
        <v>113</v>
      </c>
      <c r="R6392" t="str">
        <f>"205-11-025"</f>
        <v>205-11-025</v>
      </c>
      <c r="S6392" t="s">
        <v>38635</v>
      </c>
      <c r="T6392" t="s">
        <v>38636</v>
      </c>
      <c r="U6392">
        <v>1719</v>
      </c>
      <c r="V6392">
        <v>0</v>
      </c>
      <c r="W6392">
        <v>2</v>
      </c>
      <c r="X6392">
        <v>1990</v>
      </c>
      <c r="Z6392">
        <v>1</v>
      </c>
      <c r="AA6392" t="s">
        <v>26</v>
      </c>
      <c r="AB6392">
        <v>0</v>
      </c>
      <c r="AC6392" t="s">
        <v>115</v>
      </c>
      <c r="AD6392">
        <v>2</v>
      </c>
      <c r="AE6392" t="s">
        <v>115</v>
      </c>
      <c r="AF6392">
        <v>0</v>
      </c>
      <c r="AG6392">
        <v>0</v>
      </c>
      <c r="AH6392" t="s">
        <v>116</v>
      </c>
      <c r="AI6392" s="1">
        <v>59492</v>
      </c>
      <c r="AJ6392" s="2">
        <v>0.23</v>
      </c>
      <c r="AK6392" s="1">
        <v>262492</v>
      </c>
      <c r="AL6392" t="s">
        <v>117</v>
      </c>
      <c r="AM6392" t="s">
        <v>191</v>
      </c>
      <c r="AN6392">
        <v>6888</v>
      </c>
      <c r="AO6392">
        <v>0.16</v>
      </c>
      <c r="AP6392">
        <v>1</v>
      </c>
      <c r="AR6392">
        <v>1</v>
      </c>
      <c r="AS6392" s="1">
        <v>20200</v>
      </c>
      <c r="AT6392" s="1">
        <v>4040</v>
      </c>
      <c r="AU6392" s="1">
        <v>16160</v>
      </c>
      <c r="AV6392">
        <v>80</v>
      </c>
      <c r="AX6392" s="1">
        <v>1401.54</v>
      </c>
      <c r="AY6392" t="s">
        <v>5701</v>
      </c>
      <c r="AZ6392" t="s">
        <v>3049</v>
      </c>
      <c r="BA6392" t="s">
        <v>1386</v>
      </c>
      <c r="BB6392" s="3">
        <v>42352</v>
      </c>
      <c r="BD6392" t="s">
        <v>240</v>
      </c>
      <c r="BE6392" s="3">
        <v>42292</v>
      </c>
      <c r="BF6392" s="1">
        <v>203000</v>
      </c>
      <c r="BG6392" t="s">
        <v>38637</v>
      </c>
      <c r="BH6392" s="1">
        <v>118.09</v>
      </c>
      <c r="BI6392" s="1">
        <v>203000</v>
      </c>
      <c r="BJ6392" s="3">
        <v>42292</v>
      </c>
      <c r="BK6392" t="s">
        <v>123</v>
      </c>
      <c r="BL6392" t="str">
        <f>"2015.743641"</f>
        <v>2015.743641</v>
      </c>
      <c r="BM6392" t="s">
        <v>150</v>
      </c>
      <c r="BO6392" t="s">
        <v>38638</v>
      </c>
      <c r="BS6392">
        <v>30</v>
      </c>
      <c r="BW6392" t="str">
        <f>""</f>
        <v/>
      </c>
      <c r="CH6392" t="str">
        <f>""</f>
        <v/>
      </c>
      <c r="CS6392" t="str">
        <f>""</f>
        <v/>
      </c>
    </row>
    <row r="6393" spans="1:97" x14ac:dyDescent="0.25">
      <c r="A6393" t="s">
        <v>328</v>
      </c>
      <c r="B6393" t="s">
        <v>38639</v>
      </c>
      <c r="E6393" t="s">
        <v>38640</v>
      </c>
      <c r="F6393" t="s">
        <v>108</v>
      </c>
      <c r="H6393" t="s">
        <v>38641</v>
      </c>
      <c r="I6393" t="s">
        <v>110</v>
      </c>
      <c r="J6393" t="s">
        <v>111</v>
      </c>
      <c r="K6393" t="str">
        <f>"85226"</f>
        <v>85226</v>
      </c>
      <c r="L6393" t="s">
        <v>3318</v>
      </c>
      <c r="M6393" t="s">
        <v>38641</v>
      </c>
      <c r="N6393" t="s">
        <v>110</v>
      </c>
      <c r="O6393" t="s">
        <v>111</v>
      </c>
      <c r="P6393" t="str">
        <f>"85226-4810"</f>
        <v>85226-4810</v>
      </c>
      <c r="Q6393" t="s">
        <v>113</v>
      </c>
      <c r="R6393" t="str">
        <f>"301-89-516"</f>
        <v>301-89-516</v>
      </c>
      <c r="S6393" t="s">
        <v>38642</v>
      </c>
      <c r="T6393" t="s">
        <v>5199</v>
      </c>
      <c r="U6393">
        <v>2004</v>
      </c>
      <c r="V6393">
        <v>0</v>
      </c>
      <c r="W6393">
        <v>3</v>
      </c>
      <c r="X6393">
        <v>1983</v>
      </c>
      <c r="Z6393">
        <v>2</v>
      </c>
      <c r="AB6393">
        <v>0</v>
      </c>
      <c r="AC6393" t="s">
        <v>115</v>
      </c>
      <c r="AD6393">
        <v>2</v>
      </c>
      <c r="AE6393" t="s">
        <v>115</v>
      </c>
      <c r="AF6393">
        <v>0</v>
      </c>
      <c r="AG6393">
        <v>0</v>
      </c>
      <c r="AH6393" t="s">
        <v>116</v>
      </c>
      <c r="AI6393" s="1">
        <v>87824</v>
      </c>
      <c r="AJ6393" s="2">
        <v>0.24</v>
      </c>
      <c r="AK6393" s="1">
        <v>359542</v>
      </c>
      <c r="AL6393" t="s">
        <v>117</v>
      </c>
      <c r="AM6393" t="s">
        <v>5077</v>
      </c>
      <c r="AN6393">
        <v>7288</v>
      </c>
      <c r="AO6393">
        <v>0.17</v>
      </c>
      <c r="AP6393">
        <v>1</v>
      </c>
      <c r="AR6393">
        <v>1</v>
      </c>
      <c r="AS6393" s="1">
        <v>22820</v>
      </c>
      <c r="AT6393" s="1">
        <v>4560</v>
      </c>
      <c r="AU6393" s="1">
        <v>18260</v>
      </c>
      <c r="AV6393">
        <v>80.02</v>
      </c>
      <c r="AX6393" s="1">
        <v>1562.62</v>
      </c>
      <c r="AY6393" t="s">
        <v>5200</v>
      </c>
      <c r="AZ6393" t="s">
        <v>5201</v>
      </c>
      <c r="BA6393" t="s">
        <v>5202</v>
      </c>
      <c r="BE6393" s="3">
        <v>41753</v>
      </c>
      <c r="BF6393" s="1">
        <v>266000</v>
      </c>
      <c r="BG6393" t="s">
        <v>38643</v>
      </c>
      <c r="BH6393" s="1">
        <v>132.72999999999999</v>
      </c>
      <c r="BI6393" s="1">
        <v>271718</v>
      </c>
      <c r="BJ6393" s="3">
        <v>41753</v>
      </c>
      <c r="BK6393" t="s">
        <v>123</v>
      </c>
      <c r="BL6393" t="str">
        <f>"2014.265819"</f>
        <v>2014.265819</v>
      </c>
      <c r="BM6393" t="s">
        <v>724</v>
      </c>
      <c r="BO6393" t="s">
        <v>38644</v>
      </c>
      <c r="BS6393">
        <v>30</v>
      </c>
      <c r="BW6393" t="str">
        <f>""</f>
        <v/>
      </c>
      <c r="CH6393" t="str">
        <f>""</f>
        <v/>
      </c>
      <c r="CS6393" t="str">
        <f>""</f>
        <v/>
      </c>
    </row>
    <row r="6394" spans="1:97" x14ac:dyDescent="0.25">
      <c r="A6394" t="s">
        <v>1514</v>
      </c>
      <c r="B6394" t="s">
        <v>38645</v>
      </c>
      <c r="C6394" t="s">
        <v>16694</v>
      </c>
      <c r="D6394" t="s">
        <v>38645</v>
      </c>
      <c r="E6394" t="s">
        <v>38646</v>
      </c>
      <c r="F6394" t="s">
        <v>108</v>
      </c>
      <c r="H6394" t="s">
        <v>38647</v>
      </c>
      <c r="I6394" t="s">
        <v>453</v>
      </c>
      <c r="J6394" t="s">
        <v>111</v>
      </c>
      <c r="K6394" t="str">
        <f>"85383"</f>
        <v>85383</v>
      </c>
      <c r="L6394" t="s">
        <v>5893</v>
      </c>
      <c r="M6394" t="s">
        <v>38647</v>
      </c>
      <c r="N6394" t="s">
        <v>453</v>
      </c>
      <c r="O6394" t="s">
        <v>111</v>
      </c>
      <c r="P6394" t="str">
        <f>"85383-4420"</f>
        <v>85383-4420</v>
      </c>
      <c r="Q6394" t="s">
        <v>113</v>
      </c>
      <c r="R6394" t="str">
        <f>"510-01-314"</f>
        <v>510-01-314</v>
      </c>
      <c r="S6394" t="s">
        <v>17177</v>
      </c>
      <c r="T6394" t="s">
        <v>17178</v>
      </c>
      <c r="U6394">
        <v>2398</v>
      </c>
      <c r="V6394">
        <v>0</v>
      </c>
      <c r="W6394">
        <v>4</v>
      </c>
      <c r="X6394">
        <v>2005</v>
      </c>
      <c r="Z6394">
        <v>2</v>
      </c>
      <c r="AB6394">
        <v>0</v>
      </c>
      <c r="AC6394" t="s">
        <v>115</v>
      </c>
      <c r="AD6394">
        <v>2</v>
      </c>
      <c r="AE6394" t="s">
        <v>115</v>
      </c>
      <c r="AF6394">
        <v>0</v>
      </c>
      <c r="AG6394">
        <v>0</v>
      </c>
      <c r="AH6394" t="s">
        <v>116</v>
      </c>
      <c r="AI6394" s="1">
        <v>15638</v>
      </c>
      <c r="AJ6394" s="2">
        <v>0.05</v>
      </c>
      <c r="AK6394" s="1">
        <v>341033</v>
      </c>
      <c r="AL6394" t="s">
        <v>117</v>
      </c>
      <c r="AM6394" t="s">
        <v>118</v>
      </c>
      <c r="AN6394">
        <v>10258</v>
      </c>
      <c r="AO6394">
        <v>0.24</v>
      </c>
      <c r="AR6394">
        <v>1</v>
      </c>
      <c r="AS6394" s="1">
        <v>23620</v>
      </c>
      <c r="AT6394" s="1">
        <v>4720</v>
      </c>
      <c r="AU6394" s="1">
        <v>18900</v>
      </c>
      <c r="AV6394">
        <v>80.02</v>
      </c>
      <c r="AX6394" s="1">
        <v>2632.68</v>
      </c>
      <c r="AY6394" t="s">
        <v>627</v>
      </c>
      <c r="AZ6394" t="s">
        <v>627</v>
      </c>
      <c r="BA6394" t="s">
        <v>457</v>
      </c>
      <c r="BE6394" s="3">
        <v>42076</v>
      </c>
      <c r="BF6394" s="1">
        <v>221150</v>
      </c>
      <c r="BG6394" t="s">
        <v>15371</v>
      </c>
      <c r="BH6394" s="1">
        <v>92.22</v>
      </c>
      <c r="BI6394" s="1">
        <v>325395</v>
      </c>
      <c r="BJ6394" s="3">
        <v>43605</v>
      </c>
      <c r="BK6394" t="s">
        <v>123</v>
      </c>
      <c r="BL6394" t="str">
        <f>"2019.366832"</f>
        <v>2019.366832</v>
      </c>
      <c r="BM6394" t="s">
        <v>3562</v>
      </c>
      <c r="BN6394" t="s">
        <v>3686</v>
      </c>
      <c r="BO6394" t="s">
        <v>38648</v>
      </c>
      <c r="BP6394" t="s">
        <v>38649</v>
      </c>
      <c r="BR6394" t="s">
        <v>139</v>
      </c>
      <c r="BW6394" t="str">
        <f>""</f>
        <v/>
      </c>
      <c r="CH6394" t="str">
        <f>""</f>
        <v/>
      </c>
      <c r="CS6394" t="str">
        <f>""</f>
        <v/>
      </c>
    </row>
    <row r="6395" spans="1:97" x14ac:dyDescent="0.25">
      <c r="B6395" t="s">
        <v>38650</v>
      </c>
      <c r="E6395" t="s">
        <v>19161</v>
      </c>
      <c r="F6395" t="s">
        <v>139</v>
      </c>
      <c r="H6395" t="s">
        <v>38651</v>
      </c>
      <c r="I6395" t="s">
        <v>203</v>
      </c>
      <c r="J6395" t="s">
        <v>111</v>
      </c>
      <c r="K6395" t="str">
        <f>"85296"</f>
        <v>85296</v>
      </c>
      <c r="L6395" t="s">
        <v>4035</v>
      </c>
      <c r="M6395" t="s">
        <v>38651</v>
      </c>
      <c r="N6395" t="s">
        <v>203</v>
      </c>
      <c r="O6395" t="s">
        <v>111</v>
      </c>
      <c r="P6395" t="str">
        <f>"85296-2898"</f>
        <v>85296-2898</v>
      </c>
      <c r="Q6395" t="s">
        <v>113</v>
      </c>
      <c r="R6395" t="str">
        <f>"314-07-067"</f>
        <v>314-07-067</v>
      </c>
      <c r="S6395" t="s">
        <v>18404</v>
      </c>
      <c r="T6395" t="s">
        <v>4037</v>
      </c>
      <c r="U6395">
        <v>1817</v>
      </c>
      <c r="V6395">
        <v>0</v>
      </c>
      <c r="W6395">
        <v>3</v>
      </c>
      <c r="X6395">
        <v>2008</v>
      </c>
      <c r="Z6395">
        <v>2</v>
      </c>
      <c r="AB6395">
        <v>0</v>
      </c>
      <c r="AC6395" t="s">
        <v>115</v>
      </c>
      <c r="AD6395">
        <v>2</v>
      </c>
      <c r="AE6395" t="s">
        <v>115</v>
      </c>
      <c r="AF6395">
        <v>0</v>
      </c>
      <c r="AG6395">
        <v>0</v>
      </c>
      <c r="AH6395" t="s">
        <v>116</v>
      </c>
      <c r="AI6395" s="1">
        <v>52008</v>
      </c>
      <c r="AJ6395" s="2">
        <v>0.19</v>
      </c>
      <c r="AK6395" s="1">
        <v>273673</v>
      </c>
      <c r="AL6395" t="s">
        <v>117</v>
      </c>
      <c r="AM6395" t="s">
        <v>288</v>
      </c>
      <c r="AN6395">
        <v>2975</v>
      </c>
      <c r="AO6395">
        <v>0.68</v>
      </c>
      <c r="AR6395">
        <v>1</v>
      </c>
      <c r="AS6395" s="1">
        <v>18320</v>
      </c>
      <c r="AT6395" s="1">
        <v>3660</v>
      </c>
      <c r="AU6395" s="1">
        <v>14660</v>
      </c>
      <c r="AV6395">
        <v>80.02</v>
      </c>
      <c r="AX6395" s="1">
        <v>1639.56</v>
      </c>
      <c r="AY6395" t="s">
        <v>472</v>
      </c>
      <c r="AZ6395" t="s">
        <v>472</v>
      </c>
      <c r="BA6395" t="s">
        <v>473</v>
      </c>
      <c r="BB6395" s="3">
        <v>43182</v>
      </c>
      <c r="BC6395" s="1">
        <v>0</v>
      </c>
      <c r="BD6395" t="s">
        <v>247</v>
      </c>
      <c r="BE6395" s="3">
        <v>42342</v>
      </c>
      <c r="BF6395" s="1">
        <v>217000</v>
      </c>
      <c r="BG6395" t="s">
        <v>38652</v>
      </c>
      <c r="BH6395" s="1">
        <v>119.43</v>
      </c>
      <c r="BI6395" s="1">
        <v>221665</v>
      </c>
      <c r="BJ6395" s="3">
        <v>42342</v>
      </c>
      <c r="BK6395" t="s">
        <v>123</v>
      </c>
      <c r="BL6395" t="str">
        <f>"2015.862194"</f>
        <v>2015.862194</v>
      </c>
      <c r="BM6395" t="s">
        <v>475</v>
      </c>
      <c r="BN6395" t="s">
        <v>1282</v>
      </c>
      <c r="BO6395" t="s">
        <v>38653</v>
      </c>
      <c r="BS6395">
        <v>30</v>
      </c>
      <c r="BW6395" t="str">
        <f>""</f>
        <v/>
      </c>
      <c r="CH6395" t="str">
        <f>""</f>
        <v/>
      </c>
      <c r="CS6395" t="str">
        <f>""</f>
        <v/>
      </c>
    </row>
    <row r="6396" spans="1:97" x14ac:dyDescent="0.25">
      <c r="A6396" t="s">
        <v>222</v>
      </c>
      <c r="B6396" t="s">
        <v>22634</v>
      </c>
      <c r="E6396" t="s">
        <v>38654</v>
      </c>
      <c r="F6396" t="s">
        <v>108</v>
      </c>
      <c r="H6396" t="s">
        <v>38655</v>
      </c>
      <c r="I6396" t="s">
        <v>144</v>
      </c>
      <c r="J6396" t="s">
        <v>111</v>
      </c>
      <c r="K6396" t="str">
        <f>"85396"</f>
        <v>85396</v>
      </c>
      <c r="L6396" t="s">
        <v>215</v>
      </c>
      <c r="M6396" t="s">
        <v>38655</v>
      </c>
      <c r="N6396" t="s">
        <v>144</v>
      </c>
      <c r="O6396" t="s">
        <v>111</v>
      </c>
      <c r="P6396" t="str">
        <f>"85396-1622"</f>
        <v>85396-1622</v>
      </c>
      <c r="Q6396" t="s">
        <v>113</v>
      </c>
      <c r="R6396" t="str">
        <f>"502-81-784"</f>
        <v>502-81-784</v>
      </c>
      <c r="S6396" t="s">
        <v>33235</v>
      </c>
      <c r="U6396">
        <v>2327</v>
      </c>
      <c r="V6396">
        <v>0</v>
      </c>
      <c r="W6396">
        <v>3</v>
      </c>
      <c r="X6396">
        <v>2013</v>
      </c>
      <c r="Z6396">
        <v>2</v>
      </c>
      <c r="AB6396">
        <v>0</v>
      </c>
      <c r="AC6396" t="s">
        <v>115</v>
      </c>
      <c r="AD6396">
        <v>2</v>
      </c>
      <c r="AE6396" t="s">
        <v>115</v>
      </c>
      <c r="AF6396">
        <v>0</v>
      </c>
      <c r="AG6396">
        <v>0</v>
      </c>
      <c r="AH6396" t="s">
        <v>116</v>
      </c>
      <c r="AI6396" s="1">
        <v>-3382</v>
      </c>
      <c r="AJ6396" s="2">
        <v>-0.01</v>
      </c>
      <c r="AK6396" s="1">
        <v>287745</v>
      </c>
      <c r="AL6396" t="s">
        <v>117</v>
      </c>
      <c r="AM6396" t="s">
        <v>118</v>
      </c>
      <c r="AN6396">
        <v>3771</v>
      </c>
      <c r="AO6396">
        <v>0.87</v>
      </c>
      <c r="AR6396">
        <v>1</v>
      </c>
      <c r="AS6396" s="1">
        <v>19380</v>
      </c>
      <c r="AT6396" s="1">
        <v>3870</v>
      </c>
      <c r="AU6396" s="1">
        <v>15510</v>
      </c>
      <c r="AV6396">
        <v>80.03</v>
      </c>
      <c r="AX6396" s="1">
        <v>2599.2600000000002</v>
      </c>
      <c r="AY6396" t="s">
        <v>217</v>
      </c>
      <c r="AZ6396" t="s">
        <v>217</v>
      </c>
      <c r="BA6396" t="s">
        <v>218</v>
      </c>
      <c r="BB6396" s="3">
        <v>43311</v>
      </c>
      <c r="BC6396" s="1">
        <v>0</v>
      </c>
      <c r="BD6396" t="s">
        <v>247</v>
      </c>
      <c r="BE6396" s="3">
        <v>41758</v>
      </c>
      <c r="BF6396" s="1">
        <v>250433</v>
      </c>
      <c r="BG6396" t="s">
        <v>3062</v>
      </c>
      <c r="BH6396" s="1">
        <v>107.62</v>
      </c>
      <c r="BI6396" s="1">
        <v>291127</v>
      </c>
      <c r="BJ6396" s="3">
        <v>43311</v>
      </c>
      <c r="BK6396" t="s">
        <v>123</v>
      </c>
      <c r="BL6396" t="str">
        <f>"2018.574911"</f>
        <v>2018.574911</v>
      </c>
      <c r="BM6396" t="s">
        <v>1185</v>
      </c>
      <c r="BN6396" t="s">
        <v>6728</v>
      </c>
      <c r="BO6396" t="s">
        <v>38656</v>
      </c>
      <c r="BR6396" t="s">
        <v>139</v>
      </c>
      <c r="BW6396" t="str">
        <f>""</f>
        <v/>
      </c>
      <c r="CH6396" t="str">
        <f>""</f>
        <v/>
      </c>
      <c r="CS6396" t="str">
        <f>""</f>
        <v/>
      </c>
    </row>
    <row r="6397" spans="1:97" x14ac:dyDescent="0.25">
      <c r="B6397" t="s">
        <v>38657</v>
      </c>
      <c r="C6397" t="s">
        <v>325</v>
      </c>
      <c r="E6397" t="s">
        <v>38658</v>
      </c>
      <c r="F6397" t="s">
        <v>108</v>
      </c>
      <c r="H6397" t="s">
        <v>38659</v>
      </c>
      <c r="I6397" t="s">
        <v>1397</v>
      </c>
      <c r="J6397" t="s">
        <v>111</v>
      </c>
      <c r="K6397" t="str">
        <f>"85331"</f>
        <v>85331</v>
      </c>
      <c r="L6397" t="s">
        <v>3101</v>
      </c>
      <c r="M6397" t="s">
        <v>38659</v>
      </c>
      <c r="N6397" t="s">
        <v>1397</v>
      </c>
      <c r="O6397" t="s">
        <v>111</v>
      </c>
      <c r="P6397" t="str">
        <f>"85331-5840"</f>
        <v>85331-5840</v>
      </c>
      <c r="Q6397" t="s">
        <v>113</v>
      </c>
      <c r="R6397" t="str">
        <f>"211-62-289"</f>
        <v>211-62-289</v>
      </c>
      <c r="S6397" t="s">
        <v>38660</v>
      </c>
      <c r="T6397" t="s">
        <v>38661</v>
      </c>
      <c r="U6397">
        <v>2195</v>
      </c>
      <c r="V6397">
        <v>0</v>
      </c>
      <c r="W6397">
        <v>4</v>
      </c>
      <c r="X6397">
        <v>1990</v>
      </c>
      <c r="Z6397">
        <v>2</v>
      </c>
      <c r="AA6397" t="s">
        <v>26</v>
      </c>
      <c r="AB6397">
        <v>0</v>
      </c>
      <c r="AC6397" t="s">
        <v>115</v>
      </c>
      <c r="AD6397">
        <v>3</v>
      </c>
      <c r="AE6397" t="s">
        <v>115</v>
      </c>
      <c r="AF6397">
        <v>0</v>
      </c>
      <c r="AG6397">
        <v>0</v>
      </c>
      <c r="AH6397" t="s">
        <v>116</v>
      </c>
      <c r="AI6397" s="1">
        <v>80109</v>
      </c>
      <c r="AJ6397" s="2">
        <v>0.18</v>
      </c>
      <c r="AK6397" s="1">
        <v>438509</v>
      </c>
      <c r="AL6397" t="s">
        <v>117</v>
      </c>
      <c r="AM6397" t="s">
        <v>171</v>
      </c>
      <c r="AN6397">
        <v>7592</v>
      </c>
      <c r="AO6397">
        <v>0.17</v>
      </c>
      <c r="AP6397">
        <v>1</v>
      </c>
      <c r="AR6397">
        <v>1</v>
      </c>
      <c r="AS6397" s="1">
        <v>29410</v>
      </c>
      <c r="AT6397" s="1">
        <v>5880</v>
      </c>
      <c r="AU6397" s="1">
        <v>23530</v>
      </c>
      <c r="AV6397">
        <v>80.010000000000005</v>
      </c>
      <c r="AX6397" s="1">
        <v>1781.98</v>
      </c>
      <c r="AY6397" t="s">
        <v>7763</v>
      </c>
      <c r="AZ6397" t="s">
        <v>1402</v>
      </c>
      <c r="BA6397" t="s">
        <v>1403</v>
      </c>
      <c r="BB6397" s="3">
        <v>43409</v>
      </c>
      <c r="BC6397" s="1">
        <v>0</v>
      </c>
      <c r="BD6397" t="s">
        <v>247</v>
      </c>
      <c r="BE6397" s="3">
        <v>42094</v>
      </c>
      <c r="BF6397" s="1">
        <v>350000</v>
      </c>
      <c r="BG6397" t="s">
        <v>38662</v>
      </c>
      <c r="BH6397" s="1">
        <v>159.44999999999999</v>
      </c>
      <c r="BI6397" s="1">
        <v>358400</v>
      </c>
      <c r="BJ6397" s="3">
        <v>42094</v>
      </c>
      <c r="BK6397" t="s">
        <v>123</v>
      </c>
      <c r="BL6397" t="str">
        <f>"2015.219155"</f>
        <v>2015.219155</v>
      </c>
      <c r="BM6397" t="s">
        <v>1038</v>
      </c>
      <c r="BN6397" t="s">
        <v>3440</v>
      </c>
      <c r="BO6397" t="s">
        <v>38663</v>
      </c>
      <c r="BS6397">
        <v>30</v>
      </c>
      <c r="BW6397" t="str">
        <f>""</f>
        <v/>
      </c>
      <c r="CH6397" t="str">
        <f>""</f>
        <v/>
      </c>
      <c r="CS6397" t="str">
        <f>""</f>
        <v/>
      </c>
    </row>
    <row r="6398" spans="1:97" x14ac:dyDescent="0.25">
      <c r="A6398" t="s">
        <v>305</v>
      </c>
      <c r="B6398" t="s">
        <v>26523</v>
      </c>
      <c r="C6398" t="s">
        <v>3958</v>
      </c>
      <c r="D6398" t="s">
        <v>26523</v>
      </c>
      <c r="E6398" t="s">
        <v>38664</v>
      </c>
      <c r="F6398" t="s">
        <v>108</v>
      </c>
      <c r="H6398" t="s">
        <v>38665</v>
      </c>
      <c r="I6398" t="s">
        <v>1788</v>
      </c>
      <c r="J6398" t="s">
        <v>111</v>
      </c>
      <c r="K6398" t="str">
        <f>"85355"</f>
        <v>85355</v>
      </c>
      <c r="L6398" t="s">
        <v>734</v>
      </c>
      <c r="M6398" t="s">
        <v>38665</v>
      </c>
      <c r="N6398" t="s">
        <v>1788</v>
      </c>
      <c r="O6398" t="s">
        <v>111</v>
      </c>
      <c r="P6398" t="str">
        <f>"85355-9859"</f>
        <v>85355-9859</v>
      </c>
      <c r="Q6398" t="s">
        <v>113</v>
      </c>
      <c r="R6398" t="str">
        <f>"502-18-079"</f>
        <v>502-18-079</v>
      </c>
      <c r="S6398" t="s">
        <v>9913</v>
      </c>
      <c r="U6398">
        <v>1762</v>
      </c>
      <c r="V6398">
        <v>0</v>
      </c>
      <c r="W6398">
        <v>3</v>
      </c>
      <c r="X6398">
        <v>1984</v>
      </c>
      <c r="Z6398">
        <v>2</v>
      </c>
      <c r="AA6398" t="s">
        <v>26</v>
      </c>
      <c r="AB6398">
        <v>0</v>
      </c>
      <c r="AC6398" t="s">
        <v>7038</v>
      </c>
      <c r="AD6398">
        <v>1</v>
      </c>
      <c r="AE6398" t="s">
        <v>7038</v>
      </c>
      <c r="AF6398">
        <v>0</v>
      </c>
      <c r="AG6398">
        <v>0</v>
      </c>
      <c r="AH6398" t="s">
        <v>116</v>
      </c>
      <c r="AI6398" s="1">
        <v>42431</v>
      </c>
      <c r="AJ6398" s="2">
        <v>0.1</v>
      </c>
      <c r="AK6398" s="1">
        <v>423741</v>
      </c>
      <c r="AL6398" t="s">
        <v>117</v>
      </c>
      <c r="AM6398" t="s">
        <v>376</v>
      </c>
      <c r="AN6398">
        <v>79304</v>
      </c>
      <c r="AO6398">
        <v>1.82</v>
      </c>
      <c r="AP6398">
        <v>1</v>
      </c>
      <c r="AR6398">
        <v>1</v>
      </c>
      <c r="AS6398" s="1">
        <v>25850</v>
      </c>
      <c r="AT6398" s="1">
        <v>5170</v>
      </c>
      <c r="AU6398" s="1">
        <v>20680</v>
      </c>
      <c r="AV6398">
        <v>80</v>
      </c>
      <c r="AX6398" s="1">
        <v>1715.8</v>
      </c>
      <c r="AY6398" t="s">
        <v>503</v>
      </c>
      <c r="AZ6398" t="s">
        <v>504</v>
      </c>
      <c r="BA6398" t="s">
        <v>218</v>
      </c>
      <c r="BE6398" s="3">
        <v>42508</v>
      </c>
      <c r="BF6398" s="1">
        <v>409900</v>
      </c>
      <c r="BG6398" t="s">
        <v>38666</v>
      </c>
      <c r="BH6398" s="1">
        <v>232.63</v>
      </c>
      <c r="BI6398" s="1">
        <v>381310</v>
      </c>
      <c r="BJ6398" s="3">
        <v>42508</v>
      </c>
      <c r="BK6398" t="s">
        <v>123</v>
      </c>
      <c r="BL6398" t="str">
        <f>"2016.342422"</f>
        <v>2016.342422</v>
      </c>
      <c r="BM6398" t="s">
        <v>3453</v>
      </c>
      <c r="BO6398" t="s">
        <v>38667</v>
      </c>
      <c r="BS6398">
        <v>30</v>
      </c>
      <c r="BW6398" t="str">
        <f>""</f>
        <v/>
      </c>
      <c r="CH6398" t="str">
        <f>""</f>
        <v/>
      </c>
      <c r="CS6398" t="str">
        <f>""</f>
        <v/>
      </c>
    </row>
    <row r="6399" spans="1:97" x14ac:dyDescent="0.25">
      <c r="B6399" t="s">
        <v>38668</v>
      </c>
      <c r="E6399" t="s">
        <v>3768</v>
      </c>
      <c r="F6399" t="s">
        <v>108</v>
      </c>
      <c r="H6399" t="s">
        <v>38669</v>
      </c>
      <c r="I6399" t="s">
        <v>203</v>
      </c>
      <c r="J6399" t="s">
        <v>111</v>
      </c>
      <c r="K6399" t="str">
        <f>"85234"</f>
        <v>85234</v>
      </c>
      <c r="L6399" t="s">
        <v>3758</v>
      </c>
      <c r="M6399" t="s">
        <v>38669</v>
      </c>
      <c r="N6399" t="s">
        <v>203</v>
      </c>
      <c r="O6399" t="s">
        <v>111</v>
      </c>
      <c r="P6399" t="str">
        <f>"85234-5913"</f>
        <v>85234-5913</v>
      </c>
      <c r="Q6399" t="s">
        <v>113</v>
      </c>
      <c r="R6399" t="str">
        <f>"304-13-266"</f>
        <v>304-13-266</v>
      </c>
      <c r="S6399" t="s">
        <v>15222</v>
      </c>
      <c r="T6399" t="s">
        <v>15223</v>
      </c>
      <c r="U6399">
        <v>1530</v>
      </c>
      <c r="V6399">
        <v>0</v>
      </c>
      <c r="W6399">
        <v>3</v>
      </c>
      <c r="X6399">
        <v>1986</v>
      </c>
      <c r="Z6399">
        <v>1</v>
      </c>
      <c r="AA6399" t="s">
        <v>26</v>
      </c>
      <c r="AB6399">
        <v>0</v>
      </c>
      <c r="AC6399" t="s">
        <v>115</v>
      </c>
      <c r="AD6399">
        <v>2</v>
      </c>
      <c r="AE6399" t="s">
        <v>115</v>
      </c>
      <c r="AF6399">
        <v>0</v>
      </c>
      <c r="AG6399">
        <v>0</v>
      </c>
      <c r="AH6399" t="s">
        <v>116</v>
      </c>
      <c r="AI6399" s="1">
        <v>59484</v>
      </c>
      <c r="AJ6399" s="2">
        <v>0.21</v>
      </c>
      <c r="AK6399" s="1">
        <v>289946</v>
      </c>
      <c r="AL6399" t="s">
        <v>117</v>
      </c>
      <c r="AM6399" t="s">
        <v>393</v>
      </c>
      <c r="AN6399">
        <v>5907</v>
      </c>
      <c r="AO6399">
        <v>0.14000000000000001</v>
      </c>
      <c r="AP6399">
        <v>1</v>
      </c>
      <c r="AR6399">
        <v>1</v>
      </c>
      <c r="AS6399" s="1">
        <v>19700</v>
      </c>
      <c r="AT6399" s="1">
        <v>3940</v>
      </c>
      <c r="AU6399" s="1">
        <v>15760</v>
      </c>
      <c r="AV6399">
        <v>80</v>
      </c>
      <c r="AX6399" s="1">
        <v>1319.18</v>
      </c>
      <c r="AY6399" t="s">
        <v>6506</v>
      </c>
      <c r="AZ6399" t="s">
        <v>520</v>
      </c>
      <c r="BA6399" t="s">
        <v>5033</v>
      </c>
      <c r="BB6399" s="3">
        <v>42774</v>
      </c>
      <c r="BD6399" t="s">
        <v>240</v>
      </c>
      <c r="BE6399" s="3">
        <v>41845</v>
      </c>
      <c r="BF6399" s="1">
        <v>223100</v>
      </c>
      <c r="BG6399" t="s">
        <v>38670</v>
      </c>
      <c r="BH6399" s="1">
        <v>145.82</v>
      </c>
      <c r="BI6399" s="1">
        <v>230462</v>
      </c>
      <c r="BJ6399" s="3">
        <v>41845</v>
      </c>
      <c r="BK6399" t="s">
        <v>123</v>
      </c>
      <c r="BL6399" t="str">
        <f>"2014.488942"</f>
        <v>2014.488942</v>
      </c>
      <c r="BM6399" t="s">
        <v>594</v>
      </c>
      <c r="BO6399" t="s">
        <v>38671</v>
      </c>
      <c r="BS6399">
        <v>30</v>
      </c>
      <c r="BW6399" t="str">
        <f>""</f>
        <v/>
      </c>
      <c r="CH6399" t="str">
        <f>""</f>
        <v/>
      </c>
      <c r="CS6399" t="str">
        <f>""</f>
        <v/>
      </c>
    </row>
    <row r="6400" spans="1:97" x14ac:dyDescent="0.25">
      <c r="A6400" t="s">
        <v>938</v>
      </c>
      <c r="B6400" t="s">
        <v>18634</v>
      </c>
      <c r="C6400" t="s">
        <v>2294</v>
      </c>
      <c r="D6400" t="s">
        <v>18634</v>
      </c>
      <c r="E6400" t="s">
        <v>38672</v>
      </c>
      <c r="F6400" t="s">
        <v>108</v>
      </c>
      <c r="H6400" t="s">
        <v>38673</v>
      </c>
      <c r="I6400" t="s">
        <v>499</v>
      </c>
      <c r="J6400" t="s">
        <v>111</v>
      </c>
      <c r="K6400" t="str">
        <f>"85338"</f>
        <v>85338</v>
      </c>
      <c r="L6400" t="s">
        <v>7339</v>
      </c>
      <c r="M6400" t="s">
        <v>38673</v>
      </c>
      <c r="N6400" t="s">
        <v>499</v>
      </c>
      <c r="O6400" t="s">
        <v>111</v>
      </c>
      <c r="P6400" t="str">
        <f>"85338-5806"</f>
        <v>85338-5806</v>
      </c>
      <c r="Q6400" t="s">
        <v>113</v>
      </c>
      <c r="R6400" t="str">
        <f>"400-81-041"</f>
        <v>400-81-041</v>
      </c>
      <c r="S6400" t="s">
        <v>7340</v>
      </c>
      <c r="U6400">
        <v>1854</v>
      </c>
      <c r="V6400">
        <v>0</v>
      </c>
      <c r="W6400">
        <v>3</v>
      </c>
      <c r="X6400">
        <v>2003</v>
      </c>
      <c r="Z6400">
        <v>1</v>
      </c>
      <c r="AB6400">
        <v>0</v>
      </c>
      <c r="AC6400" t="s">
        <v>115</v>
      </c>
      <c r="AD6400">
        <v>2</v>
      </c>
      <c r="AE6400" t="s">
        <v>115</v>
      </c>
      <c r="AF6400">
        <v>0</v>
      </c>
      <c r="AG6400">
        <v>0</v>
      </c>
      <c r="AH6400" t="s">
        <v>116</v>
      </c>
      <c r="AI6400" s="1">
        <v>36269</v>
      </c>
      <c r="AJ6400" s="2">
        <v>0.15</v>
      </c>
      <c r="AK6400" s="1">
        <v>238737</v>
      </c>
      <c r="AL6400" t="s">
        <v>117</v>
      </c>
      <c r="AM6400" t="s">
        <v>118</v>
      </c>
      <c r="AN6400">
        <v>6875</v>
      </c>
      <c r="AO6400">
        <v>0.16</v>
      </c>
      <c r="AP6400">
        <v>1</v>
      </c>
      <c r="AR6400">
        <v>1</v>
      </c>
      <c r="AS6400" s="1">
        <v>19030</v>
      </c>
      <c r="AT6400" s="1">
        <v>3800</v>
      </c>
      <c r="AU6400" s="1">
        <v>15230</v>
      </c>
      <c r="AV6400">
        <v>80.03</v>
      </c>
      <c r="AX6400" s="1">
        <v>2413.96</v>
      </c>
      <c r="AY6400" t="s">
        <v>1246</v>
      </c>
      <c r="AZ6400" t="s">
        <v>1246</v>
      </c>
      <c r="BA6400" t="s">
        <v>1247</v>
      </c>
      <c r="BE6400" s="3">
        <v>42024</v>
      </c>
      <c r="BF6400" s="1">
        <v>196000</v>
      </c>
      <c r="BG6400" t="s">
        <v>38674</v>
      </c>
      <c r="BH6400" s="1">
        <v>105.72</v>
      </c>
      <c r="BI6400" s="1">
        <v>202468</v>
      </c>
      <c r="BJ6400" s="3">
        <v>42024</v>
      </c>
      <c r="BK6400" t="s">
        <v>123</v>
      </c>
      <c r="BL6400" t="str">
        <f>"2015.37014"</f>
        <v>2015.37014</v>
      </c>
      <c r="BM6400" t="s">
        <v>135</v>
      </c>
      <c r="BO6400" t="s">
        <v>38675</v>
      </c>
      <c r="BS6400">
        <v>30</v>
      </c>
      <c r="BW6400" t="str">
        <f>""</f>
        <v/>
      </c>
      <c r="CH6400" t="str">
        <f>""</f>
        <v/>
      </c>
      <c r="CS6400" t="str">
        <f>""</f>
        <v/>
      </c>
    </row>
    <row r="6401" spans="1:97" x14ac:dyDescent="0.25">
      <c r="A6401" t="s">
        <v>370</v>
      </c>
      <c r="B6401" t="s">
        <v>38676</v>
      </c>
      <c r="E6401" t="s">
        <v>38677</v>
      </c>
      <c r="F6401" t="s">
        <v>108</v>
      </c>
      <c r="H6401" t="s">
        <v>38678</v>
      </c>
      <c r="I6401" t="s">
        <v>203</v>
      </c>
      <c r="J6401" t="s">
        <v>111</v>
      </c>
      <c r="K6401" t="str">
        <f>"85234"</f>
        <v>85234</v>
      </c>
      <c r="L6401" t="s">
        <v>688</v>
      </c>
      <c r="M6401" t="s">
        <v>38678</v>
      </c>
      <c r="N6401" t="s">
        <v>203</v>
      </c>
      <c r="O6401" t="s">
        <v>111</v>
      </c>
      <c r="P6401" t="str">
        <f>"85234-2946"</f>
        <v>85234-2946</v>
      </c>
      <c r="Q6401" t="s">
        <v>113</v>
      </c>
      <c r="R6401" t="str">
        <f>"304-07-172"</f>
        <v>304-07-172</v>
      </c>
      <c r="S6401" t="s">
        <v>10653</v>
      </c>
      <c r="T6401" t="s">
        <v>10653</v>
      </c>
      <c r="U6401">
        <v>1387</v>
      </c>
      <c r="V6401">
        <v>0</v>
      </c>
      <c r="W6401">
        <v>3</v>
      </c>
      <c r="X6401">
        <v>1996</v>
      </c>
      <c r="Z6401">
        <v>1</v>
      </c>
      <c r="AA6401" t="s">
        <v>26</v>
      </c>
      <c r="AB6401">
        <v>0</v>
      </c>
      <c r="AC6401" t="s">
        <v>115</v>
      </c>
      <c r="AD6401">
        <v>2</v>
      </c>
      <c r="AE6401" t="s">
        <v>115</v>
      </c>
      <c r="AF6401">
        <v>0</v>
      </c>
      <c r="AG6401">
        <v>0</v>
      </c>
      <c r="AH6401" t="s">
        <v>116</v>
      </c>
      <c r="AI6401" s="1">
        <v>24051</v>
      </c>
      <c r="AJ6401" s="2">
        <v>0.08</v>
      </c>
      <c r="AK6401" s="1">
        <v>287466</v>
      </c>
      <c r="AL6401" t="s">
        <v>117</v>
      </c>
      <c r="AM6401" t="s">
        <v>393</v>
      </c>
      <c r="AN6401">
        <v>6900</v>
      </c>
      <c r="AO6401">
        <v>0.16</v>
      </c>
      <c r="AP6401">
        <v>1</v>
      </c>
      <c r="AR6401">
        <v>1</v>
      </c>
      <c r="AS6401" s="1">
        <v>20270</v>
      </c>
      <c r="AT6401" s="1">
        <v>4050</v>
      </c>
      <c r="AU6401" s="1">
        <v>16220</v>
      </c>
      <c r="AV6401">
        <v>80.02</v>
      </c>
      <c r="AX6401" s="1">
        <v>1409.54</v>
      </c>
      <c r="AY6401" t="s">
        <v>10654</v>
      </c>
      <c r="AZ6401" t="s">
        <v>571</v>
      </c>
      <c r="BA6401" t="s">
        <v>521</v>
      </c>
      <c r="BE6401" s="3">
        <v>42521</v>
      </c>
      <c r="BF6401" s="1">
        <v>220000</v>
      </c>
      <c r="BG6401" t="s">
        <v>38679</v>
      </c>
      <c r="BH6401" s="1">
        <v>158.62</v>
      </c>
      <c r="BI6401" s="1">
        <v>263415</v>
      </c>
      <c r="BJ6401" s="3">
        <v>43158</v>
      </c>
      <c r="BK6401" t="s">
        <v>123</v>
      </c>
      <c r="BL6401" t="str">
        <f>"2018.146975"</f>
        <v>2018.146975</v>
      </c>
      <c r="BM6401" t="s">
        <v>6517</v>
      </c>
      <c r="BN6401" t="s">
        <v>14173</v>
      </c>
      <c r="BO6401" t="s">
        <v>38677</v>
      </c>
      <c r="BR6401" t="s">
        <v>139</v>
      </c>
      <c r="BW6401" t="str">
        <f>""</f>
        <v/>
      </c>
      <c r="CH6401" t="str">
        <f>""</f>
        <v/>
      </c>
      <c r="CS6401" t="str">
        <f>""</f>
        <v/>
      </c>
    </row>
    <row r="6402" spans="1:97" x14ac:dyDescent="0.25">
      <c r="A6402" t="s">
        <v>38680</v>
      </c>
      <c r="B6402" t="s">
        <v>38681</v>
      </c>
      <c r="C6402" t="s">
        <v>24837</v>
      </c>
      <c r="D6402" t="s">
        <v>38681</v>
      </c>
      <c r="E6402" t="s">
        <v>38682</v>
      </c>
      <c r="F6402" t="s">
        <v>108</v>
      </c>
      <c r="H6402" t="s">
        <v>38683</v>
      </c>
      <c r="I6402" t="s">
        <v>188</v>
      </c>
      <c r="J6402" t="s">
        <v>111</v>
      </c>
      <c r="K6402" t="str">
        <f>"85142"</f>
        <v>85142</v>
      </c>
      <c r="L6402" t="s">
        <v>3161</v>
      </c>
      <c r="M6402" t="s">
        <v>38683</v>
      </c>
      <c r="N6402" t="s">
        <v>188</v>
      </c>
      <c r="O6402" t="s">
        <v>111</v>
      </c>
      <c r="P6402" t="str">
        <f>"85142-7728"</f>
        <v>85142-7728</v>
      </c>
      <c r="Q6402" t="s">
        <v>113</v>
      </c>
      <c r="R6402" t="str">
        <f>"314-05-942"</f>
        <v>314-05-942</v>
      </c>
      <c r="S6402" t="s">
        <v>13083</v>
      </c>
      <c r="T6402" t="s">
        <v>691</v>
      </c>
      <c r="U6402">
        <v>2712</v>
      </c>
      <c r="V6402">
        <v>0</v>
      </c>
      <c r="W6402">
        <v>5</v>
      </c>
      <c r="X6402">
        <v>2016</v>
      </c>
      <c r="Z6402">
        <v>1</v>
      </c>
      <c r="AA6402" t="s">
        <v>26</v>
      </c>
      <c r="AB6402">
        <v>0</v>
      </c>
      <c r="AC6402" t="s">
        <v>115</v>
      </c>
      <c r="AD6402">
        <v>2</v>
      </c>
      <c r="AE6402" t="s">
        <v>115</v>
      </c>
      <c r="AF6402">
        <v>0</v>
      </c>
      <c r="AG6402">
        <v>0</v>
      </c>
      <c r="AH6402" t="s">
        <v>116</v>
      </c>
      <c r="AI6402" s="1">
        <v>109301</v>
      </c>
      <c r="AJ6402" s="2">
        <v>0.25</v>
      </c>
      <c r="AK6402" s="1">
        <v>433204</v>
      </c>
      <c r="AL6402" t="s">
        <v>117</v>
      </c>
      <c r="AM6402" t="s">
        <v>393</v>
      </c>
      <c r="AN6402">
        <v>7784</v>
      </c>
      <c r="AO6402">
        <v>0.18</v>
      </c>
      <c r="AR6402">
        <v>1</v>
      </c>
      <c r="AS6402" s="1">
        <v>30660</v>
      </c>
      <c r="AT6402" s="1">
        <v>6130</v>
      </c>
      <c r="AU6402" s="1">
        <v>24530</v>
      </c>
      <c r="AV6402">
        <v>80.010000000000005</v>
      </c>
      <c r="AX6402" s="1">
        <v>2703.12</v>
      </c>
      <c r="AY6402" t="s">
        <v>192</v>
      </c>
      <c r="AZ6402" t="s">
        <v>193</v>
      </c>
      <c r="BA6402" t="s">
        <v>194</v>
      </c>
      <c r="BE6402" s="3">
        <v>42472</v>
      </c>
      <c r="BF6402" s="1">
        <v>317086</v>
      </c>
      <c r="BG6402" t="s">
        <v>275</v>
      </c>
      <c r="BH6402" s="1">
        <v>116.92</v>
      </c>
      <c r="BI6402" s="1">
        <v>323903</v>
      </c>
      <c r="BJ6402" s="3">
        <v>42472</v>
      </c>
      <c r="BK6402" t="s">
        <v>123</v>
      </c>
      <c r="BL6402" t="str">
        <f>"2016.242728"</f>
        <v>2016.242728</v>
      </c>
      <c r="BM6402" t="s">
        <v>651</v>
      </c>
      <c r="BO6402" t="s">
        <v>38684</v>
      </c>
      <c r="BS6402">
        <v>30</v>
      </c>
      <c r="BW6402" t="str">
        <f>""</f>
        <v/>
      </c>
      <c r="CH6402" t="str">
        <f>""</f>
        <v/>
      </c>
      <c r="CS6402" t="str">
        <f>""</f>
        <v/>
      </c>
    </row>
    <row r="6403" spans="1:97" x14ac:dyDescent="0.25">
      <c r="A6403" t="s">
        <v>38685</v>
      </c>
      <c r="B6403" t="s">
        <v>8857</v>
      </c>
      <c r="E6403" t="s">
        <v>38686</v>
      </c>
      <c r="F6403" t="s">
        <v>108</v>
      </c>
      <c r="H6403" t="s">
        <v>38687</v>
      </c>
      <c r="I6403" t="s">
        <v>632</v>
      </c>
      <c r="J6403" t="s">
        <v>111</v>
      </c>
      <c r="K6403" t="str">
        <f>"85379"</f>
        <v>85379</v>
      </c>
      <c r="L6403" t="s">
        <v>2820</v>
      </c>
      <c r="M6403" t="s">
        <v>38687</v>
      </c>
      <c r="N6403" t="s">
        <v>632</v>
      </c>
      <c r="O6403" t="s">
        <v>111</v>
      </c>
      <c r="P6403" t="str">
        <f>"85379-8302"</f>
        <v>85379-8302</v>
      </c>
      <c r="Q6403" t="s">
        <v>113</v>
      </c>
      <c r="R6403" t="str">
        <f>"501-15-495"</f>
        <v>501-15-495</v>
      </c>
      <c r="S6403" t="s">
        <v>20354</v>
      </c>
      <c r="U6403">
        <v>2700</v>
      </c>
      <c r="V6403">
        <v>0</v>
      </c>
      <c r="W6403">
        <v>4</v>
      </c>
      <c r="X6403">
        <v>2004</v>
      </c>
      <c r="Z6403">
        <v>2</v>
      </c>
      <c r="AA6403" t="s">
        <v>26</v>
      </c>
      <c r="AB6403">
        <v>0</v>
      </c>
      <c r="AC6403" t="s">
        <v>115</v>
      </c>
      <c r="AD6403">
        <v>3</v>
      </c>
      <c r="AE6403" t="s">
        <v>115</v>
      </c>
      <c r="AF6403">
        <v>0</v>
      </c>
      <c r="AG6403">
        <v>0</v>
      </c>
      <c r="AH6403" t="s">
        <v>116</v>
      </c>
      <c r="AI6403" s="1">
        <v>75567</v>
      </c>
      <c r="AJ6403" s="2">
        <v>0.23</v>
      </c>
      <c r="AK6403" s="1">
        <v>321805</v>
      </c>
      <c r="AL6403" t="s">
        <v>117</v>
      </c>
      <c r="AM6403" t="s">
        <v>5516</v>
      </c>
      <c r="AN6403">
        <v>6785</v>
      </c>
      <c r="AO6403">
        <v>0.16</v>
      </c>
      <c r="AR6403">
        <v>1</v>
      </c>
      <c r="AS6403" s="1">
        <v>23100</v>
      </c>
      <c r="AT6403" s="1">
        <v>4620</v>
      </c>
      <c r="AU6403" s="1">
        <v>18480</v>
      </c>
      <c r="AV6403">
        <v>80</v>
      </c>
      <c r="AX6403" s="1">
        <v>1666.74</v>
      </c>
      <c r="AY6403" t="s">
        <v>5983</v>
      </c>
      <c r="AZ6403" t="s">
        <v>5983</v>
      </c>
      <c r="BA6403" t="s">
        <v>321</v>
      </c>
      <c r="BE6403" s="3">
        <v>42445</v>
      </c>
      <c r="BF6403" s="1">
        <v>259900</v>
      </c>
      <c r="BG6403" t="s">
        <v>38688</v>
      </c>
      <c r="BH6403" s="1">
        <v>96.26</v>
      </c>
      <c r="BI6403" s="1">
        <v>246238</v>
      </c>
      <c r="BJ6403" s="3">
        <v>42445</v>
      </c>
      <c r="BK6403" t="s">
        <v>123</v>
      </c>
      <c r="BL6403" t="str">
        <f>"2016.168518"</f>
        <v>2016.168518</v>
      </c>
      <c r="BM6403" t="s">
        <v>1185</v>
      </c>
      <c r="BO6403" t="s">
        <v>38689</v>
      </c>
      <c r="BS6403">
        <v>30</v>
      </c>
      <c r="BW6403" t="str">
        <f>""</f>
        <v/>
      </c>
      <c r="CH6403" t="str">
        <f>""</f>
        <v/>
      </c>
      <c r="CS6403" t="str">
        <f>""</f>
        <v/>
      </c>
    </row>
    <row r="6404" spans="1:97" x14ac:dyDescent="0.25">
      <c r="A6404" t="s">
        <v>1344</v>
      </c>
      <c r="B6404" t="s">
        <v>20335</v>
      </c>
      <c r="C6404" t="s">
        <v>4364</v>
      </c>
      <c r="D6404" t="s">
        <v>20335</v>
      </c>
      <c r="E6404" t="s">
        <v>38690</v>
      </c>
      <c r="F6404" t="s">
        <v>108</v>
      </c>
      <c r="H6404" t="s">
        <v>38691</v>
      </c>
      <c r="I6404" t="s">
        <v>499</v>
      </c>
      <c r="J6404" t="s">
        <v>111</v>
      </c>
      <c r="K6404" t="str">
        <f>"85338"</f>
        <v>85338</v>
      </c>
      <c r="L6404" t="s">
        <v>6416</v>
      </c>
      <c r="M6404" t="s">
        <v>38691</v>
      </c>
      <c r="N6404" t="s">
        <v>499</v>
      </c>
      <c r="O6404" t="s">
        <v>111</v>
      </c>
      <c r="P6404" t="str">
        <f>"85338-7717"</f>
        <v>85338-7717</v>
      </c>
      <c r="Q6404" t="s">
        <v>113</v>
      </c>
      <c r="R6404" t="str">
        <f>"400-82-761"</f>
        <v>400-82-761</v>
      </c>
      <c r="S6404" t="s">
        <v>20418</v>
      </c>
      <c r="T6404" t="s">
        <v>17252</v>
      </c>
      <c r="U6404">
        <v>3412</v>
      </c>
      <c r="V6404">
        <v>0</v>
      </c>
      <c r="W6404">
        <v>6</v>
      </c>
      <c r="X6404">
        <v>2007</v>
      </c>
      <c r="Z6404">
        <v>2</v>
      </c>
      <c r="AB6404">
        <v>0</v>
      </c>
      <c r="AC6404" t="s">
        <v>115</v>
      </c>
      <c r="AD6404">
        <v>3</v>
      </c>
      <c r="AE6404" t="s">
        <v>115</v>
      </c>
      <c r="AF6404">
        <v>0</v>
      </c>
      <c r="AG6404">
        <v>0</v>
      </c>
      <c r="AH6404" t="s">
        <v>116</v>
      </c>
      <c r="AI6404" s="1">
        <v>122575</v>
      </c>
      <c r="AJ6404" s="2">
        <v>0.3</v>
      </c>
      <c r="AK6404" s="1">
        <v>407705</v>
      </c>
      <c r="AL6404" t="s">
        <v>117</v>
      </c>
      <c r="AM6404" t="s">
        <v>118</v>
      </c>
      <c r="AN6404">
        <v>9546</v>
      </c>
      <c r="AO6404">
        <v>0.22</v>
      </c>
      <c r="AP6404">
        <v>1</v>
      </c>
      <c r="AR6404">
        <v>1</v>
      </c>
      <c r="AS6404" s="1">
        <v>29470</v>
      </c>
      <c r="AT6404" s="1">
        <v>5890</v>
      </c>
      <c r="AU6404" s="1">
        <v>23580</v>
      </c>
      <c r="AV6404">
        <v>80.010000000000005</v>
      </c>
      <c r="AX6404" s="1">
        <v>4035.8</v>
      </c>
      <c r="AY6404" t="s">
        <v>1246</v>
      </c>
      <c r="AZ6404" t="s">
        <v>1246</v>
      </c>
      <c r="BA6404" t="s">
        <v>1247</v>
      </c>
      <c r="BE6404" s="3">
        <v>41837</v>
      </c>
      <c r="BF6404" s="1">
        <v>310000</v>
      </c>
      <c r="BG6404" t="s">
        <v>8049</v>
      </c>
      <c r="BH6404" s="1">
        <v>90.86</v>
      </c>
      <c r="BI6404" s="1">
        <v>285130</v>
      </c>
      <c r="BJ6404" s="3">
        <v>42531</v>
      </c>
      <c r="BK6404" t="s">
        <v>123</v>
      </c>
      <c r="BL6404" t="str">
        <f>"2016.404906"</f>
        <v>2016.404906</v>
      </c>
      <c r="BM6404" t="s">
        <v>843</v>
      </c>
      <c r="BO6404" t="s">
        <v>38692</v>
      </c>
      <c r="BS6404">
        <v>30</v>
      </c>
      <c r="BW6404" t="str">
        <f>""</f>
        <v/>
      </c>
      <c r="CH6404" t="str">
        <f>""</f>
        <v/>
      </c>
      <c r="CS6404" t="str">
        <f>""</f>
        <v/>
      </c>
    </row>
    <row r="6405" spans="1:97" x14ac:dyDescent="0.25">
      <c r="A6405" t="s">
        <v>370</v>
      </c>
      <c r="B6405" t="s">
        <v>38693</v>
      </c>
      <c r="E6405" t="s">
        <v>38694</v>
      </c>
      <c r="F6405" t="s">
        <v>108</v>
      </c>
      <c r="H6405" t="s">
        <v>38695</v>
      </c>
      <c r="I6405" t="s">
        <v>225</v>
      </c>
      <c r="J6405" t="s">
        <v>111</v>
      </c>
      <c r="K6405" t="str">
        <f>"85212"</f>
        <v>85212</v>
      </c>
      <c r="L6405" t="s">
        <v>567</v>
      </c>
      <c r="M6405" t="s">
        <v>38695</v>
      </c>
      <c r="N6405" t="s">
        <v>225</v>
      </c>
      <c r="O6405" t="s">
        <v>111</v>
      </c>
      <c r="P6405" t="str">
        <f>"85212-1507"</f>
        <v>85212-1507</v>
      </c>
      <c r="Q6405" t="s">
        <v>113</v>
      </c>
      <c r="R6405" t="str">
        <f>"304-04-041"</f>
        <v>304-04-041</v>
      </c>
      <c r="S6405" t="s">
        <v>34433</v>
      </c>
      <c r="U6405">
        <v>1670</v>
      </c>
      <c r="V6405">
        <v>0</v>
      </c>
      <c r="W6405">
        <v>3</v>
      </c>
      <c r="X6405">
        <v>1997</v>
      </c>
      <c r="Z6405">
        <v>1</v>
      </c>
      <c r="AA6405" t="s">
        <v>26</v>
      </c>
      <c r="AB6405">
        <v>0</v>
      </c>
      <c r="AC6405" t="s">
        <v>115</v>
      </c>
      <c r="AD6405">
        <v>2</v>
      </c>
      <c r="AE6405" t="s">
        <v>115</v>
      </c>
      <c r="AF6405">
        <v>0</v>
      </c>
      <c r="AG6405">
        <v>0</v>
      </c>
      <c r="AH6405" t="s">
        <v>116</v>
      </c>
      <c r="AI6405" s="1">
        <v>63033</v>
      </c>
      <c r="AJ6405" s="2">
        <v>0.21</v>
      </c>
      <c r="AK6405" s="1">
        <v>302833</v>
      </c>
      <c r="AL6405" t="s">
        <v>117</v>
      </c>
      <c r="AM6405" t="s">
        <v>191</v>
      </c>
      <c r="AN6405">
        <v>9270</v>
      </c>
      <c r="AO6405">
        <v>0.21</v>
      </c>
      <c r="AP6405">
        <v>1</v>
      </c>
      <c r="AR6405">
        <v>1</v>
      </c>
      <c r="AS6405" s="1">
        <v>20660</v>
      </c>
      <c r="AT6405" s="1">
        <v>4130</v>
      </c>
      <c r="AU6405" s="1">
        <v>16530</v>
      </c>
      <c r="AV6405">
        <v>80.010000000000005</v>
      </c>
      <c r="AX6405" s="1">
        <v>1418.24</v>
      </c>
      <c r="AY6405" t="s">
        <v>570</v>
      </c>
      <c r="AZ6405" t="s">
        <v>777</v>
      </c>
      <c r="BA6405" t="s">
        <v>572</v>
      </c>
      <c r="BE6405" s="3">
        <v>42012</v>
      </c>
      <c r="BF6405" s="1">
        <v>234800</v>
      </c>
      <c r="BG6405" t="s">
        <v>38696</v>
      </c>
      <c r="BH6405" s="1">
        <v>140.6</v>
      </c>
      <c r="BI6405" s="1">
        <v>239800</v>
      </c>
      <c r="BJ6405" s="3">
        <v>42012</v>
      </c>
      <c r="BK6405" t="s">
        <v>123</v>
      </c>
      <c r="BL6405" t="str">
        <f>"2015.12215"</f>
        <v>2015.12215</v>
      </c>
      <c r="BM6405" t="s">
        <v>124</v>
      </c>
      <c r="BO6405" t="s">
        <v>38697</v>
      </c>
      <c r="BS6405">
        <v>30</v>
      </c>
      <c r="BW6405" t="str">
        <f>""</f>
        <v/>
      </c>
      <c r="CH6405" t="str">
        <f>""</f>
        <v/>
      </c>
      <c r="CS6405" t="str">
        <f>""</f>
        <v/>
      </c>
    </row>
    <row r="6406" spans="1:97" x14ac:dyDescent="0.25">
      <c r="A6406" t="s">
        <v>894</v>
      </c>
      <c r="B6406" t="s">
        <v>3754</v>
      </c>
      <c r="C6406" t="s">
        <v>1857</v>
      </c>
      <c r="D6406" t="s">
        <v>3754</v>
      </c>
      <c r="E6406" t="s">
        <v>38698</v>
      </c>
      <c r="F6406" t="s">
        <v>108</v>
      </c>
      <c r="H6406" t="s">
        <v>38699</v>
      </c>
      <c r="I6406" t="s">
        <v>453</v>
      </c>
      <c r="J6406" t="s">
        <v>111</v>
      </c>
      <c r="K6406" t="str">
        <f>"85383"</f>
        <v>85383</v>
      </c>
      <c r="L6406" t="s">
        <v>2015</v>
      </c>
      <c r="M6406" t="s">
        <v>38699</v>
      </c>
      <c r="N6406" t="s">
        <v>453</v>
      </c>
      <c r="O6406" t="s">
        <v>111</v>
      </c>
      <c r="P6406" t="str">
        <f>"85383-9680"</f>
        <v>85383-9680</v>
      </c>
      <c r="Q6406" t="s">
        <v>113</v>
      </c>
      <c r="R6406" t="str">
        <f>"201-17-449"</f>
        <v>201-17-449</v>
      </c>
      <c r="S6406" t="s">
        <v>28713</v>
      </c>
      <c r="U6406">
        <v>2058</v>
      </c>
      <c r="V6406">
        <v>0</v>
      </c>
      <c r="W6406">
        <v>3</v>
      </c>
      <c r="X6406">
        <v>2012</v>
      </c>
      <c r="Z6406">
        <v>1</v>
      </c>
      <c r="AB6406">
        <v>0</v>
      </c>
      <c r="AC6406" t="s">
        <v>115</v>
      </c>
      <c r="AD6406">
        <v>2</v>
      </c>
      <c r="AE6406" t="s">
        <v>115</v>
      </c>
      <c r="AF6406">
        <v>0</v>
      </c>
      <c r="AG6406">
        <v>0</v>
      </c>
      <c r="AH6406" t="s">
        <v>116</v>
      </c>
      <c r="AI6406" s="1">
        <v>94889</v>
      </c>
      <c r="AJ6406" s="2">
        <v>0.27</v>
      </c>
      <c r="AK6406" s="1">
        <v>349889</v>
      </c>
      <c r="AL6406" t="s">
        <v>117</v>
      </c>
      <c r="AM6406" t="s">
        <v>118</v>
      </c>
      <c r="AN6406">
        <v>5750</v>
      </c>
      <c r="AO6406">
        <v>0.13</v>
      </c>
      <c r="AR6406">
        <v>1</v>
      </c>
      <c r="AS6406" s="1">
        <v>24410</v>
      </c>
      <c r="AT6406" s="1">
        <v>4880</v>
      </c>
      <c r="AU6406" s="1">
        <v>19530</v>
      </c>
      <c r="AV6406">
        <v>80.010000000000005</v>
      </c>
      <c r="AX6406" s="1">
        <v>2447.2800000000002</v>
      </c>
      <c r="AY6406" t="s">
        <v>456</v>
      </c>
      <c r="AZ6406" t="s">
        <v>456</v>
      </c>
      <c r="BA6406" t="s">
        <v>457</v>
      </c>
      <c r="BE6406" s="3">
        <v>42380</v>
      </c>
      <c r="BF6406" s="1">
        <v>265000</v>
      </c>
      <c r="BG6406" t="s">
        <v>33298</v>
      </c>
      <c r="BH6406" s="1">
        <v>128.77000000000001</v>
      </c>
      <c r="BI6406" s="1">
        <v>255000</v>
      </c>
      <c r="BJ6406" s="3">
        <v>42380</v>
      </c>
      <c r="BK6406" t="s">
        <v>123</v>
      </c>
      <c r="BL6406" t="str">
        <f>"2016.18198"</f>
        <v>2016.18198</v>
      </c>
      <c r="BM6406" t="s">
        <v>475</v>
      </c>
      <c r="BO6406" t="s">
        <v>38700</v>
      </c>
      <c r="BS6406">
        <v>30</v>
      </c>
      <c r="BW6406" t="str">
        <f>""</f>
        <v/>
      </c>
      <c r="CH6406" t="str">
        <f>""</f>
        <v/>
      </c>
      <c r="CS6406" t="str">
        <f>""</f>
        <v/>
      </c>
    </row>
    <row r="6407" spans="1:97" x14ac:dyDescent="0.25">
      <c r="A6407" t="s">
        <v>38701</v>
      </c>
      <c r="B6407" t="s">
        <v>3333</v>
      </c>
      <c r="C6407" t="s">
        <v>20308</v>
      </c>
      <c r="D6407" t="s">
        <v>38702</v>
      </c>
      <c r="E6407" t="s">
        <v>38703</v>
      </c>
      <c r="F6407" t="s">
        <v>108</v>
      </c>
      <c r="H6407" t="s">
        <v>38704</v>
      </c>
      <c r="I6407" t="s">
        <v>203</v>
      </c>
      <c r="J6407" t="s">
        <v>111</v>
      </c>
      <c r="K6407" t="str">
        <f>"85298"</f>
        <v>85298</v>
      </c>
      <c r="L6407" t="s">
        <v>5291</v>
      </c>
      <c r="M6407" t="s">
        <v>38704</v>
      </c>
      <c r="N6407" t="s">
        <v>203</v>
      </c>
      <c r="O6407" t="s">
        <v>111</v>
      </c>
      <c r="P6407" t="str">
        <f>"85298-8484"</f>
        <v>85298-8484</v>
      </c>
      <c r="Q6407" t="s">
        <v>113</v>
      </c>
      <c r="R6407" t="str">
        <f>"304-70-116"</f>
        <v>304-70-116</v>
      </c>
      <c r="S6407" t="s">
        <v>7529</v>
      </c>
      <c r="T6407" t="s">
        <v>2213</v>
      </c>
      <c r="U6407">
        <v>2692</v>
      </c>
      <c r="V6407">
        <v>0</v>
      </c>
      <c r="W6407">
        <v>4</v>
      </c>
      <c r="X6407">
        <v>2010</v>
      </c>
      <c r="Z6407">
        <v>1</v>
      </c>
      <c r="AA6407" t="s">
        <v>26</v>
      </c>
      <c r="AB6407">
        <v>0</v>
      </c>
      <c r="AC6407" t="s">
        <v>115</v>
      </c>
      <c r="AD6407">
        <v>3</v>
      </c>
      <c r="AE6407" t="s">
        <v>115</v>
      </c>
      <c r="AF6407">
        <v>0</v>
      </c>
      <c r="AG6407">
        <v>0</v>
      </c>
      <c r="AH6407" t="s">
        <v>116</v>
      </c>
      <c r="AI6407" s="1">
        <v>74004</v>
      </c>
      <c r="AJ6407" s="2">
        <v>0.15</v>
      </c>
      <c r="AK6407" s="1">
        <v>490776</v>
      </c>
      <c r="AL6407" t="s">
        <v>117</v>
      </c>
      <c r="AM6407" t="s">
        <v>1302</v>
      </c>
      <c r="AN6407">
        <v>11050</v>
      </c>
      <c r="AO6407">
        <v>0.25</v>
      </c>
      <c r="AR6407">
        <v>1</v>
      </c>
      <c r="AS6407" s="1">
        <v>35530</v>
      </c>
      <c r="AT6407" s="1">
        <v>7100</v>
      </c>
      <c r="AU6407" s="1">
        <v>28430</v>
      </c>
      <c r="AV6407">
        <v>80.02</v>
      </c>
      <c r="AX6407" s="1">
        <v>3558.9</v>
      </c>
      <c r="AY6407" t="s">
        <v>7512</v>
      </c>
      <c r="AZ6407" t="s">
        <v>7512</v>
      </c>
      <c r="BA6407" t="s">
        <v>473</v>
      </c>
      <c r="BE6407" s="3">
        <v>42551</v>
      </c>
      <c r="BF6407" s="1">
        <v>408000</v>
      </c>
      <c r="BG6407" t="s">
        <v>38705</v>
      </c>
      <c r="BH6407" s="1">
        <v>151.56</v>
      </c>
      <c r="BI6407" s="1">
        <v>416772</v>
      </c>
      <c r="BJ6407" s="3">
        <v>42551</v>
      </c>
      <c r="BK6407" t="s">
        <v>123</v>
      </c>
      <c r="BL6407" t="str">
        <f>"2016.458832"</f>
        <v>2016.458832</v>
      </c>
      <c r="BM6407" t="s">
        <v>1033</v>
      </c>
      <c r="BO6407" t="s">
        <v>38706</v>
      </c>
      <c r="BP6407" t="s">
        <v>38707</v>
      </c>
      <c r="BS6407">
        <v>30</v>
      </c>
      <c r="BW6407" t="str">
        <f>""</f>
        <v/>
      </c>
      <c r="CH6407" t="str">
        <f>""</f>
        <v/>
      </c>
      <c r="CS6407" t="str">
        <f>""</f>
        <v/>
      </c>
    </row>
    <row r="6408" spans="1:97" x14ac:dyDescent="0.25">
      <c r="A6408" t="s">
        <v>13462</v>
      </c>
      <c r="B6408" t="s">
        <v>38708</v>
      </c>
      <c r="C6408" t="s">
        <v>38709</v>
      </c>
      <c r="D6408" t="s">
        <v>38708</v>
      </c>
      <c r="E6408" t="s">
        <v>38710</v>
      </c>
      <c r="F6408" t="s">
        <v>108</v>
      </c>
      <c r="H6408" t="s">
        <v>38711</v>
      </c>
      <c r="I6408" t="s">
        <v>167</v>
      </c>
      <c r="J6408" t="s">
        <v>111</v>
      </c>
      <c r="K6408" t="str">
        <f>"85339"</f>
        <v>85339</v>
      </c>
      <c r="L6408" t="s">
        <v>3758</v>
      </c>
      <c r="M6408" t="s">
        <v>38711</v>
      </c>
      <c r="N6408" t="s">
        <v>167</v>
      </c>
      <c r="O6408" t="s">
        <v>111</v>
      </c>
      <c r="P6408" t="str">
        <f>"85339-3271"</f>
        <v>85339-3271</v>
      </c>
      <c r="Q6408" t="s">
        <v>113</v>
      </c>
      <c r="R6408" t="str">
        <f>"300-81-010-D"</f>
        <v>300-81-010-D</v>
      </c>
      <c r="S6408" t="s">
        <v>26107</v>
      </c>
      <c r="T6408" t="s">
        <v>26107</v>
      </c>
      <c r="U6408">
        <v>2871</v>
      </c>
      <c r="V6408">
        <v>0</v>
      </c>
      <c r="W6408">
        <v>4</v>
      </c>
      <c r="X6408">
        <v>2002</v>
      </c>
      <c r="Z6408">
        <v>1</v>
      </c>
      <c r="AB6408">
        <v>0</v>
      </c>
      <c r="AC6408" t="s">
        <v>115</v>
      </c>
      <c r="AD6408">
        <v>3</v>
      </c>
      <c r="AE6408" t="s">
        <v>115</v>
      </c>
      <c r="AF6408">
        <v>0</v>
      </c>
      <c r="AG6408">
        <v>0</v>
      </c>
      <c r="AH6408" t="s">
        <v>116</v>
      </c>
      <c r="AI6408" s="1">
        <v>72055</v>
      </c>
      <c r="AJ6408" s="2">
        <v>0.15</v>
      </c>
      <c r="AK6408" s="1">
        <v>467325</v>
      </c>
      <c r="AL6408" t="s">
        <v>117</v>
      </c>
      <c r="AM6408" t="s">
        <v>376</v>
      </c>
      <c r="AN6408">
        <v>43648</v>
      </c>
      <c r="AO6408">
        <v>1</v>
      </c>
      <c r="AP6408">
        <v>1</v>
      </c>
      <c r="AR6408">
        <v>1</v>
      </c>
      <c r="AS6408" s="1">
        <v>33650</v>
      </c>
      <c r="AT6408" s="1">
        <v>6730</v>
      </c>
      <c r="AU6408" s="1">
        <v>26920</v>
      </c>
      <c r="AV6408">
        <v>80</v>
      </c>
      <c r="AX6408" s="1">
        <v>4473</v>
      </c>
      <c r="AY6408" t="s">
        <v>806</v>
      </c>
      <c r="AZ6408" t="s">
        <v>806</v>
      </c>
      <c r="BA6408" t="s">
        <v>1661</v>
      </c>
      <c r="BE6408" s="3">
        <v>42307</v>
      </c>
      <c r="BF6408" s="1">
        <v>390000</v>
      </c>
      <c r="BG6408" t="s">
        <v>38712</v>
      </c>
      <c r="BH6408" s="1">
        <v>135.84</v>
      </c>
      <c r="BI6408" s="1">
        <v>395270</v>
      </c>
      <c r="BJ6408" s="3">
        <v>42307</v>
      </c>
      <c r="BK6408" t="s">
        <v>123</v>
      </c>
      <c r="BL6408" t="str">
        <f>"2015.785018"</f>
        <v>2015.785018</v>
      </c>
      <c r="BM6408" t="s">
        <v>1185</v>
      </c>
      <c r="BO6408" t="s">
        <v>38713</v>
      </c>
      <c r="BS6408">
        <v>30</v>
      </c>
      <c r="BW6408" t="str">
        <f>""</f>
        <v/>
      </c>
      <c r="CH6408" t="str">
        <f>""</f>
        <v/>
      </c>
      <c r="CS6408" t="str">
        <f>""</f>
        <v/>
      </c>
    </row>
    <row r="6409" spans="1:97" x14ac:dyDescent="0.25">
      <c r="A6409" t="s">
        <v>243</v>
      </c>
      <c r="B6409" t="s">
        <v>38714</v>
      </c>
      <c r="C6409" t="s">
        <v>6221</v>
      </c>
      <c r="D6409" t="s">
        <v>38714</v>
      </c>
      <c r="E6409" t="s">
        <v>38715</v>
      </c>
      <c r="F6409" t="s">
        <v>108</v>
      </c>
      <c r="H6409" t="s">
        <v>38716</v>
      </c>
      <c r="I6409" t="s">
        <v>2874</v>
      </c>
      <c r="J6409" t="s">
        <v>111</v>
      </c>
      <c r="K6409" t="str">
        <f>"85310"</f>
        <v>85310</v>
      </c>
      <c r="L6409" t="s">
        <v>5990</v>
      </c>
      <c r="M6409" t="s">
        <v>38716</v>
      </c>
      <c r="N6409" t="s">
        <v>2874</v>
      </c>
      <c r="O6409" t="s">
        <v>111</v>
      </c>
      <c r="P6409" t="str">
        <f>"85310-4275"</f>
        <v>85310-4275</v>
      </c>
      <c r="Q6409" t="s">
        <v>113</v>
      </c>
      <c r="R6409" t="str">
        <f>"200-05-217"</f>
        <v>200-05-217</v>
      </c>
      <c r="S6409" t="s">
        <v>7453</v>
      </c>
      <c r="T6409" t="s">
        <v>7454</v>
      </c>
      <c r="U6409">
        <v>3169</v>
      </c>
      <c r="V6409">
        <v>0</v>
      </c>
      <c r="W6409">
        <v>5</v>
      </c>
      <c r="X6409">
        <v>1994</v>
      </c>
      <c r="Z6409">
        <v>2</v>
      </c>
      <c r="AA6409" t="s">
        <v>26</v>
      </c>
      <c r="AB6409">
        <v>0</v>
      </c>
      <c r="AC6409" t="s">
        <v>115</v>
      </c>
      <c r="AD6409">
        <v>3</v>
      </c>
      <c r="AE6409" t="s">
        <v>115</v>
      </c>
      <c r="AF6409">
        <v>0</v>
      </c>
      <c r="AG6409">
        <v>0</v>
      </c>
      <c r="AH6409" t="s">
        <v>116</v>
      </c>
      <c r="AI6409" s="1">
        <v>50109</v>
      </c>
      <c r="AJ6409" s="2">
        <v>0.1</v>
      </c>
      <c r="AK6409" s="1">
        <v>478804</v>
      </c>
      <c r="AL6409" t="s">
        <v>117</v>
      </c>
      <c r="AM6409" t="s">
        <v>393</v>
      </c>
      <c r="AN6409">
        <v>8162</v>
      </c>
      <c r="AO6409">
        <v>0.19</v>
      </c>
      <c r="AP6409">
        <v>1</v>
      </c>
      <c r="AR6409">
        <v>1</v>
      </c>
      <c r="AS6409" s="1">
        <v>35530</v>
      </c>
      <c r="AT6409" s="1">
        <v>7100</v>
      </c>
      <c r="AU6409" s="1">
        <v>28430</v>
      </c>
      <c r="AV6409">
        <v>80.02</v>
      </c>
      <c r="AX6409" s="1">
        <v>3794.76</v>
      </c>
      <c r="AY6409" t="s">
        <v>7455</v>
      </c>
      <c r="AZ6409" t="s">
        <v>3049</v>
      </c>
      <c r="BA6409" t="s">
        <v>2223</v>
      </c>
      <c r="BE6409" s="3">
        <v>42181</v>
      </c>
      <c r="BF6409" s="1">
        <v>384000</v>
      </c>
      <c r="BG6409" t="s">
        <v>38717</v>
      </c>
      <c r="BH6409" s="1">
        <v>121.17</v>
      </c>
      <c r="BI6409" s="1">
        <v>428695</v>
      </c>
      <c r="BJ6409" s="3">
        <v>42676</v>
      </c>
      <c r="BK6409" t="s">
        <v>123</v>
      </c>
      <c r="BL6409" t="str">
        <f>"2016.808125"</f>
        <v>2016.808125</v>
      </c>
      <c r="BM6409" t="s">
        <v>820</v>
      </c>
      <c r="BO6409" t="s">
        <v>38718</v>
      </c>
      <c r="BS6409">
        <v>30</v>
      </c>
      <c r="BW6409" t="str">
        <f>""</f>
        <v/>
      </c>
      <c r="CH6409" t="str">
        <f>""</f>
        <v/>
      </c>
      <c r="CS6409" t="str">
        <f>""</f>
        <v/>
      </c>
    </row>
    <row r="6410" spans="1:97" x14ac:dyDescent="0.25">
      <c r="A6410" t="s">
        <v>1727</v>
      </c>
      <c r="B6410" t="s">
        <v>38719</v>
      </c>
      <c r="C6410" t="s">
        <v>14800</v>
      </c>
      <c r="D6410" t="s">
        <v>38720</v>
      </c>
      <c r="E6410" t="s">
        <v>38721</v>
      </c>
      <c r="F6410" t="s">
        <v>108</v>
      </c>
      <c r="H6410" t="s">
        <v>38722</v>
      </c>
      <c r="I6410" t="s">
        <v>390</v>
      </c>
      <c r="J6410" t="s">
        <v>111</v>
      </c>
      <c r="K6410" t="str">
        <f>"85029"</f>
        <v>85029</v>
      </c>
      <c r="L6410" t="s">
        <v>9069</v>
      </c>
      <c r="M6410" t="s">
        <v>38722</v>
      </c>
      <c r="N6410" t="s">
        <v>390</v>
      </c>
      <c r="O6410" t="s">
        <v>111</v>
      </c>
      <c r="P6410" t="str">
        <f>"85029-1850"</f>
        <v>85029-1850</v>
      </c>
      <c r="Q6410" t="s">
        <v>113</v>
      </c>
      <c r="R6410" t="str">
        <f>"159-02-443"</f>
        <v>159-02-443</v>
      </c>
      <c r="S6410" t="s">
        <v>38723</v>
      </c>
      <c r="T6410" t="s">
        <v>38724</v>
      </c>
      <c r="U6410">
        <v>2581</v>
      </c>
      <c r="V6410">
        <v>0</v>
      </c>
      <c r="W6410">
        <v>3</v>
      </c>
      <c r="X6410">
        <v>1981</v>
      </c>
      <c r="Z6410">
        <v>1</v>
      </c>
      <c r="AA6410" t="s">
        <v>26</v>
      </c>
      <c r="AB6410">
        <v>0</v>
      </c>
      <c r="AC6410" t="s">
        <v>115</v>
      </c>
      <c r="AD6410">
        <v>2</v>
      </c>
      <c r="AE6410" t="s">
        <v>115</v>
      </c>
      <c r="AF6410">
        <v>0</v>
      </c>
      <c r="AG6410">
        <v>0</v>
      </c>
      <c r="AH6410" t="s">
        <v>116</v>
      </c>
      <c r="AI6410" s="1">
        <v>125366</v>
      </c>
      <c r="AJ6410" s="2">
        <v>0.25</v>
      </c>
      <c r="AK6410" s="1">
        <v>499808</v>
      </c>
      <c r="AL6410" t="s">
        <v>117</v>
      </c>
      <c r="AM6410" t="s">
        <v>5441</v>
      </c>
      <c r="AN6410">
        <v>9535</v>
      </c>
      <c r="AO6410">
        <v>0.22</v>
      </c>
      <c r="AP6410">
        <v>1</v>
      </c>
      <c r="AR6410">
        <v>1</v>
      </c>
      <c r="AS6410" s="1">
        <v>37230</v>
      </c>
      <c r="AT6410" s="1">
        <v>7440</v>
      </c>
      <c r="AU6410" s="1">
        <v>29790</v>
      </c>
      <c r="AV6410">
        <v>80.02</v>
      </c>
      <c r="AX6410" s="1">
        <v>3813.8</v>
      </c>
      <c r="AY6410" t="s">
        <v>9170</v>
      </c>
      <c r="AZ6410" t="s">
        <v>8648</v>
      </c>
      <c r="BA6410" t="s">
        <v>8649</v>
      </c>
      <c r="BE6410" s="3">
        <v>42338</v>
      </c>
      <c r="BF6410" s="1">
        <v>385000</v>
      </c>
      <c r="BG6410" t="s">
        <v>38725</v>
      </c>
      <c r="BH6410" s="1">
        <v>149.16999999999999</v>
      </c>
      <c r="BI6410" s="1">
        <v>374442</v>
      </c>
      <c r="BJ6410" s="3">
        <v>42639</v>
      </c>
      <c r="BK6410" t="s">
        <v>123</v>
      </c>
      <c r="BL6410" t="str">
        <f>"2016.699920"</f>
        <v>2016.699920</v>
      </c>
      <c r="BM6410" t="s">
        <v>936</v>
      </c>
      <c r="BO6410" t="s">
        <v>38726</v>
      </c>
      <c r="BP6410" t="s">
        <v>38727</v>
      </c>
      <c r="BS6410">
        <v>30</v>
      </c>
      <c r="BW6410" t="str">
        <f>""</f>
        <v/>
      </c>
      <c r="CH6410" t="str">
        <f>""</f>
        <v/>
      </c>
      <c r="CS6410" t="str">
        <f>""</f>
        <v/>
      </c>
    </row>
    <row r="6411" spans="1:97" x14ac:dyDescent="0.25">
      <c r="A6411" t="s">
        <v>3641</v>
      </c>
      <c r="B6411" t="s">
        <v>21035</v>
      </c>
      <c r="C6411" t="s">
        <v>38728</v>
      </c>
      <c r="D6411" t="s">
        <v>21035</v>
      </c>
      <c r="E6411" t="s">
        <v>38729</v>
      </c>
      <c r="F6411" t="s">
        <v>108</v>
      </c>
      <c r="H6411" t="s">
        <v>38730</v>
      </c>
      <c r="I6411" t="s">
        <v>453</v>
      </c>
      <c r="J6411" t="s">
        <v>111</v>
      </c>
      <c r="K6411" t="str">
        <f>"85383"</f>
        <v>85383</v>
      </c>
      <c r="L6411" t="s">
        <v>454</v>
      </c>
      <c r="M6411" t="s">
        <v>38730</v>
      </c>
      <c r="N6411" t="s">
        <v>453</v>
      </c>
      <c r="O6411" t="s">
        <v>111</v>
      </c>
      <c r="P6411" t="str">
        <f>"85383-8038"</f>
        <v>85383-8038</v>
      </c>
      <c r="Q6411" t="s">
        <v>113</v>
      </c>
      <c r="R6411" t="str">
        <f>"503-81-315"</f>
        <v>503-81-315</v>
      </c>
      <c r="S6411" t="s">
        <v>14111</v>
      </c>
      <c r="U6411">
        <v>3179</v>
      </c>
      <c r="V6411">
        <v>0</v>
      </c>
      <c r="W6411">
        <v>5</v>
      </c>
      <c r="X6411">
        <v>2015</v>
      </c>
      <c r="Z6411">
        <v>2</v>
      </c>
      <c r="AB6411">
        <v>0</v>
      </c>
      <c r="AC6411" t="s">
        <v>115</v>
      </c>
      <c r="AD6411">
        <v>3</v>
      </c>
      <c r="AE6411" t="s">
        <v>115</v>
      </c>
      <c r="AF6411">
        <v>0</v>
      </c>
      <c r="AG6411">
        <v>0</v>
      </c>
      <c r="AH6411" t="s">
        <v>116</v>
      </c>
      <c r="AI6411" s="1">
        <v>68068</v>
      </c>
      <c r="AJ6411" s="2">
        <v>0.16</v>
      </c>
      <c r="AK6411" s="1">
        <v>435797</v>
      </c>
      <c r="AL6411" t="s">
        <v>117</v>
      </c>
      <c r="AM6411" t="s">
        <v>118</v>
      </c>
      <c r="AN6411">
        <v>6536</v>
      </c>
      <c r="AO6411">
        <v>0.15</v>
      </c>
      <c r="AR6411">
        <v>1</v>
      </c>
      <c r="AS6411" s="1">
        <v>31220</v>
      </c>
      <c r="AT6411" s="1">
        <v>6240</v>
      </c>
      <c r="AU6411" s="1">
        <v>24980</v>
      </c>
      <c r="AV6411">
        <v>80.010000000000005</v>
      </c>
      <c r="AX6411" s="1">
        <v>3244.16</v>
      </c>
      <c r="AY6411" t="s">
        <v>456</v>
      </c>
      <c r="AZ6411" t="s">
        <v>456</v>
      </c>
      <c r="BA6411" t="s">
        <v>457</v>
      </c>
      <c r="BE6411" s="3">
        <v>42187</v>
      </c>
      <c r="BF6411" s="1">
        <v>347431</v>
      </c>
      <c r="BG6411" t="s">
        <v>38731</v>
      </c>
      <c r="BH6411" s="1">
        <v>109.29</v>
      </c>
      <c r="BI6411" s="1">
        <v>367729</v>
      </c>
      <c r="BJ6411" s="3">
        <v>42676</v>
      </c>
      <c r="BK6411" t="s">
        <v>123</v>
      </c>
      <c r="BL6411" t="str">
        <f>"2016.806892"</f>
        <v>2016.806892</v>
      </c>
      <c r="BM6411" t="s">
        <v>750</v>
      </c>
      <c r="BO6411" t="s">
        <v>38732</v>
      </c>
      <c r="BS6411">
        <v>30</v>
      </c>
      <c r="BW6411" t="str">
        <f>""</f>
        <v/>
      </c>
      <c r="CH6411" t="str">
        <f>""</f>
        <v/>
      </c>
      <c r="CS6411" t="str">
        <f>""</f>
        <v/>
      </c>
    </row>
    <row r="6412" spans="1:97" x14ac:dyDescent="0.25">
      <c r="A6412" t="s">
        <v>140</v>
      </c>
      <c r="B6412" t="s">
        <v>38733</v>
      </c>
      <c r="C6412" t="s">
        <v>1289</v>
      </c>
      <c r="D6412" t="s">
        <v>38733</v>
      </c>
      <c r="E6412" t="s">
        <v>38734</v>
      </c>
      <c r="F6412" t="s">
        <v>108</v>
      </c>
      <c r="H6412" t="s">
        <v>38735</v>
      </c>
      <c r="I6412" t="s">
        <v>188</v>
      </c>
      <c r="J6412" t="s">
        <v>111</v>
      </c>
      <c r="K6412" t="str">
        <f>"85142"</f>
        <v>85142</v>
      </c>
      <c r="L6412" t="s">
        <v>1070</v>
      </c>
      <c r="M6412" t="s">
        <v>38735</v>
      </c>
      <c r="N6412" t="s">
        <v>188</v>
      </c>
      <c r="O6412" t="s">
        <v>111</v>
      </c>
      <c r="P6412" t="str">
        <f>"85142-5055"</f>
        <v>85142-5055</v>
      </c>
      <c r="Q6412" t="s">
        <v>113</v>
      </c>
      <c r="R6412" t="str">
        <f>"314-09-213"</f>
        <v>314-09-213</v>
      </c>
      <c r="S6412" t="s">
        <v>27241</v>
      </c>
      <c r="T6412" t="s">
        <v>17034</v>
      </c>
      <c r="U6412">
        <v>3626</v>
      </c>
      <c r="V6412">
        <v>0</v>
      </c>
      <c r="W6412">
        <v>5</v>
      </c>
      <c r="X6412">
        <v>2013</v>
      </c>
      <c r="Z6412">
        <v>1</v>
      </c>
      <c r="AB6412">
        <v>0</v>
      </c>
      <c r="AC6412" t="s">
        <v>115</v>
      </c>
      <c r="AD6412">
        <v>3</v>
      </c>
      <c r="AE6412" t="s">
        <v>115</v>
      </c>
      <c r="AF6412">
        <v>0</v>
      </c>
      <c r="AG6412">
        <v>0</v>
      </c>
      <c r="AH6412" t="s">
        <v>116</v>
      </c>
      <c r="AI6412" s="1">
        <v>73729</v>
      </c>
      <c r="AJ6412" s="2">
        <v>0.16</v>
      </c>
      <c r="AK6412" s="1">
        <v>456629</v>
      </c>
      <c r="AL6412" t="s">
        <v>117</v>
      </c>
      <c r="AM6412" t="s">
        <v>5379</v>
      </c>
      <c r="AN6412">
        <v>12600</v>
      </c>
      <c r="AO6412">
        <v>0.28999999999999998</v>
      </c>
      <c r="AR6412">
        <v>1</v>
      </c>
      <c r="AS6412" s="1">
        <v>31730</v>
      </c>
      <c r="AT6412" s="1">
        <v>6340</v>
      </c>
      <c r="AU6412" s="1">
        <v>25390</v>
      </c>
      <c r="AV6412">
        <v>80.02</v>
      </c>
      <c r="AX6412" s="1">
        <v>3586.14</v>
      </c>
      <c r="AY6412" t="s">
        <v>1074</v>
      </c>
      <c r="AZ6412" t="s">
        <v>193</v>
      </c>
      <c r="BA6412" t="s">
        <v>194</v>
      </c>
      <c r="BE6412" s="3">
        <v>42398</v>
      </c>
      <c r="BF6412" s="1">
        <v>370000</v>
      </c>
      <c r="BG6412" t="s">
        <v>38736</v>
      </c>
      <c r="BH6412" s="1">
        <v>102.04</v>
      </c>
      <c r="BI6412" s="1">
        <v>382900</v>
      </c>
      <c r="BJ6412" s="3">
        <v>42669</v>
      </c>
      <c r="BK6412" t="s">
        <v>123</v>
      </c>
      <c r="BL6412" t="str">
        <f>"2016.784964"</f>
        <v>2016.784964</v>
      </c>
      <c r="BM6412" t="s">
        <v>38737</v>
      </c>
      <c r="BO6412" t="s">
        <v>38738</v>
      </c>
      <c r="BS6412">
        <v>30</v>
      </c>
      <c r="BW6412" t="str">
        <f>""</f>
        <v/>
      </c>
      <c r="CH6412" t="str">
        <f>""</f>
        <v/>
      </c>
      <c r="CS6412" t="str">
        <f>""</f>
        <v/>
      </c>
    </row>
    <row r="6413" spans="1:97" x14ac:dyDescent="0.25">
      <c r="A6413" t="s">
        <v>38739</v>
      </c>
      <c r="B6413" t="s">
        <v>677</v>
      </c>
      <c r="E6413" t="s">
        <v>38740</v>
      </c>
      <c r="F6413" t="s">
        <v>108</v>
      </c>
      <c r="H6413" t="s">
        <v>38741</v>
      </c>
      <c r="I6413" t="s">
        <v>390</v>
      </c>
      <c r="J6413" t="s">
        <v>111</v>
      </c>
      <c r="K6413" t="str">
        <f>"85041"</f>
        <v>85041</v>
      </c>
      <c r="L6413" t="s">
        <v>226</v>
      </c>
      <c r="M6413" t="s">
        <v>38741</v>
      </c>
      <c r="N6413" t="s">
        <v>390</v>
      </c>
      <c r="O6413" t="s">
        <v>111</v>
      </c>
      <c r="P6413" t="str">
        <f>"85041-9564"</f>
        <v>85041-9564</v>
      </c>
      <c r="Q6413" t="s">
        <v>113</v>
      </c>
      <c r="R6413" t="str">
        <f>"300-16-242"</f>
        <v>300-16-242</v>
      </c>
      <c r="S6413" t="s">
        <v>38244</v>
      </c>
      <c r="T6413" t="s">
        <v>38245</v>
      </c>
      <c r="U6413">
        <v>3589</v>
      </c>
      <c r="V6413">
        <v>0</v>
      </c>
      <c r="W6413">
        <v>4</v>
      </c>
      <c r="X6413">
        <v>2009</v>
      </c>
      <c r="Z6413">
        <v>2</v>
      </c>
      <c r="AB6413">
        <v>0</v>
      </c>
      <c r="AC6413" t="s">
        <v>115</v>
      </c>
      <c r="AD6413">
        <v>3</v>
      </c>
      <c r="AE6413" t="s">
        <v>115</v>
      </c>
      <c r="AF6413">
        <v>0</v>
      </c>
      <c r="AG6413">
        <v>0</v>
      </c>
      <c r="AH6413" t="s">
        <v>116</v>
      </c>
      <c r="AI6413" s="1">
        <v>35017</v>
      </c>
      <c r="AJ6413" s="2">
        <v>0.09</v>
      </c>
      <c r="AK6413" s="1">
        <v>402344</v>
      </c>
      <c r="AL6413" t="s">
        <v>117</v>
      </c>
      <c r="AM6413" t="s">
        <v>1302</v>
      </c>
      <c r="AN6413">
        <v>9222</v>
      </c>
      <c r="AO6413">
        <v>0.21</v>
      </c>
      <c r="AR6413">
        <v>1</v>
      </c>
      <c r="AS6413" s="1">
        <v>29420</v>
      </c>
      <c r="AT6413" s="1">
        <v>5880</v>
      </c>
      <c r="AU6413" s="1">
        <v>23540</v>
      </c>
      <c r="AV6413">
        <v>80.010000000000005</v>
      </c>
      <c r="AX6413" s="1">
        <v>4374.5200000000004</v>
      </c>
      <c r="AY6413" t="s">
        <v>7015</v>
      </c>
      <c r="AZ6413" t="s">
        <v>7015</v>
      </c>
      <c r="BA6413" t="s">
        <v>1661</v>
      </c>
      <c r="BE6413" s="3">
        <v>42264</v>
      </c>
      <c r="BF6413" s="1">
        <v>353000</v>
      </c>
      <c r="BG6413" t="s">
        <v>38742</v>
      </c>
      <c r="BH6413" s="1">
        <v>98.36</v>
      </c>
      <c r="BI6413" s="1">
        <v>367327</v>
      </c>
      <c r="BJ6413" s="3">
        <v>42550</v>
      </c>
      <c r="BK6413" t="s">
        <v>123</v>
      </c>
      <c r="BL6413" t="str">
        <f>"2016.456792"</f>
        <v>2016.456792</v>
      </c>
      <c r="BM6413" t="s">
        <v>1038</v>
      </c>
      <c r="BO6413" t="s">
        <v>38743</v>
      </c>
      <c r="BS6413">
        <v>30</v>
      </c>
      <c r="BW6413" t="str">
        <f>""</f>
        <v/>
      </c>
      <c r="CH6413" t="str">
        <f>""</f>
        <v/>
      </c>
      <c r="CS6413" t="str">
        <f>""</f>
        <v/>
      </c>
    </row>
    <row r="6414" spans="1:97" x14ac:dyDescent="0.25">
      <c r="A6414" t="s">
        <v>305</v>
      </c>
      <c r="B6414" t="s">
        <v>38744</v>
      </c>
      <c r="C6414" t="s">
        <v>7856</v>
      </c>
      <c r="D6414" t="s">
        <v>38744</v>
      </c>
      <c r="E6414" t="s">
        <v>38745</v>
      </c>
      <c r="F6414" t="s">
        <v>108</v>
      </c>
      <c r="H6414" t="s">
        <v>38746</v>
      </c>
      <c r="I6414" t="s">
        <v>1397</v>
      </c>
      <c r="J6414" t="s">
        <v>111</v>
      </c>
      <c r="K6414" t="str">
        <f>"85331"</f>
        <v>85331</v>
      </c>
      <c r="L6414" t="s">
        <v>38747</v>
      </c>
      <c r="M6414" t="s">
        <v>38746</v>
      </c>
      <c r="N6414" t="s">
        <v>1397</v>
      </c>
      <c r="O6414" t="s">
        <v>111</v>
      </c>
      <c r="P6414" t="str">
        <f>"85331-4054"</f>
        <v>85331-4054</v>
      </c>
      <c r="Q6414" t="s">
        <v>113</v>
      </c>
      <c r="R6414" t="str">
        <f>"211-90-062"</f>
        <v>211-90-062</v>
      </c>
      <c r="S6414" t="s">
        <v>38748</v>
      </c>
      <c r="T6414" t="s">
        <v>7924</v>
      </c>
      <c r="U6414">
        <v>1775</v>
      </c>
      <c r="V6414">
        <v>0</v>
      </c>
      <c r="W6414">
        <v>3</v>
      </c>
      <c r="X6414">
        <v>2001</v>
      </c>
      <c r="Z6414">
        <v>1</v>
      </c>
      <c r="AA6414" t="s">
        <v>26</v>
      </c>
      <c r="AB6414">
        <v>0</v>
      </c>
      <c r="AC6414" t="s">
        <v>115</v>
      </c>
      <c r="AD6414">
        <v>3</v>
      </c>
      <c r="AE6414" t="s">
        <v>115</v>
      </c>
      <c r="AF6414">
        <v>0</v>
      </c>
      <c r="AG6414">
        <v>0</v>
      </c>
      <c r="AH6414" t="s">
        <v>116</v>
      </c>
      <c r="AI6414" s="1">
        <v>64448</v>
      </c>
      <c r="AJ6414" s="2">
        <v>0.16</v>
      </c>
      <c r="AK6414" s="1">
        <v>403448</v>
      </c>
      <c r="AL6414" t="s">
        <v>117</v>
      </c>
      <c r="AM6414" t="s">
        <v>760</v>
      </c>
      <c r="AN6414">
        <v>8035</v>
      </c>
      <c r="AO6414">
        <v>0.18</v>
      </c>
      <c r="AP6414">
        <v>1</v>
      </c>
      <c r="AR6414">
        <v>1</v>
      </c>
      <c r="AS6414" s="1">
        <v>29160</v>
      </c>
      <c r="AT6414" s="1">
        <v>5830</v>
      </c>
      <c r="AU6414" s="1">
        <v>23330</v>
      </c>
      <c r="AV6414">
        <v>80.010000000000005</v>
      </c>
      <c r="AX6414" s="1">
        <v>1934.16</v>
      </c>
      <c r="AY6414" t="s">
        <v>1401</v>
      </c>
      <c r="AZ6414" t="s">
        <v>1402</v>
      </c>
      <c r="BA6414" t="s">
        <v>1403</v>
      </c>
      <c r="BE6414" s="3">
        <v>41991</v>
      </c>
      <c r="BF6414" s="1">
        <v>328200</v>
      </c>
      <c r="BG6414" t="s">
        <v>11305</v>
      </c>
      <c r="BH6414" s="1">
        <v>184.9</v>
      </c>
      <c r="BI6414" s="1">
        <v>339000</v>
      </c>
      <c r="BJ6414" s="3">
        <v>41991</v>
      </c>
      <c r="BK6414" t="s">
        <v>123</v>
      </c>
      <c r="BL6414" t="str">
        <f>"2014.832771"</f>
        <v>2014.832771</v>
      </c>
      <c r="BM6414" t="s">
        <v>1192</v>
      </c>
      <c r="BO6414" t="s">
        <v>38749</v>
      </c>
      <c r="BS6414">
        <v>30</v>
      </c>
      <c r="BW6414" t="str">
        <f>""</f>
        <v/>
      </c>
      <c r="CH6414" t="str">
        <f>""</f>
        <v/>
      </c>
      <c r="CS6414" t="str">
        <f>""</f>
        <v/>
      </c>
    </row>
    <row r="6415" spans="1:97" x14ac:dyDescent="0.25">
      <c r="A6415" t="s">
        <v>695</v>
      </c>
      <c r="B6415" t="s">
        <v>3730</v>
      </c>
      <c r="E6415" t="s">
        <v>38750</v>
      </c>
      <c r="F6415" t="s">
        <v>108</v>
      </c>
      <c r="H6415" t="s">
        <v>38751</v>
      </c>
      <c r="I6415" t="s">
        <v>144</v>
      </c>
      <c r="J6415" t="s">
        <v>111</v>
      </c>
      <c r="K6415" t="str">
        <f>"85396"</f>
        <v>85396</v>
      </c>
      <c r="L6415" t="s">
        <v>1244</v>
      </c>
      <c r="M6415" t="s">
        <v>38751</v>
      </c>
      <c r="N6415" t="s">
        <v>144</v>
      </c>
      <c r="O6415" t="s">
        <v>111</v>
      </c>
      <c r="P6415" t="str">
        <f>"85396-8404"</f>
        <v>85396-8404</v>
      </c>
      <c r="Q6415" t="s">
        <v>113</v>
      </c>
      <c r="R6415" t="str">
        <f>"502-80-368"</f>
        <v>502-80-368</v>
      </c>
      <c r="S6415" t="s">
        <v>38752</v>
      </c>
      <c r="U6415">
        <v>3373</v>
      </c>
      <c r="V6415">
        <v>0</v>
      </c>
      <c r="W6415">
        <v>5</v>
      </c>
      <c r="X6415">
        <v>2013</v>
      </c>
      <c r="Z6415">
        <v>1</v>
      </c>
      <c r="AA6415" t="s">
        <v>26</v>
      </c>
      <c r="AB6415">
        <v>0</v>
      </c>
      <c r="AC6415" t="s">
        <v>115</v>
      </c>
      <c r="AD6415">
        <v>3</v>
      </c>
      <c r="AE6415" t="s">
        <v>115</v>
      </c>
      <c r="AF6415">
        <v>0</v>
      </c>
      <c r="AG6415">
        <v>0</v>
      </c>
      <c r="AH6415" t="s">
        <v>116</v>
      </c>
      <c r="AI6415" s="1">
        <v>156611</v>
      </c>
      <c r="AJ6415" s="2">
        <v>0.28000000000000003</v>
      </c>
      <c r="AK6415" s="1">
        <v>556929</v>
      </c>
      <c r="AL6415" t="s">
        <v>117</v>
      </c>
      <c r="AM6415" t="s">
        <v>118</v>
      </c>
      <c r="AN6415">
        <v>15305</v>
      </c>
      <c r="AO6415">
        <v>0.35</v>
      </c>
      <c r="AR6415">
        <v>1</v>
      </c>
      <c r="AS6415" s="1">
        <v>43430</v>
      </c>
      <c r="AT6415" s="1">
        <v>8680</v>
      </c>
      <c r="AU6415" s="1">
        <v>34750</v>
      </c>
      <c r="AV6415">
        <v>80.010000000000005</v>
      </c>
      <c r="AX6415" s="1">
        <v>5215.88</v>
      </c>
      <c r="AY6415" t="s">
        <v>543</v>
      </c>
      <c r="AZ6415" t="s">
        <v>504</v>
      </c>
      <c r="BA6415" t="s">
        <v>218</v>
      </c>
      <c r="BE6415" s="3">
        <v>41754</v>
      </c>
      <c r="BF6415" s="1">
        <v>464717</v>
      </c>
      <c r="BG6415" t="s">
        <v>38753</v>
      </c>
      <c r="BH6415" s="1">
        <v>137.78</v>
      </c>
      <c r="BI6415" s="1">
        <v>400318</v>
      </c>
      <c r="BJ6415" s="3">
        <v>42650</v>
      </c>
      <c r="BK6415" t="s">
        <v>123</v>
      </c>
      <c r="BL6415" t="str">
        <f>"2016.736137"</f>
        <v>2016.736137</v>
      </c>
      <c r="BM6415" t="s">
        <v>2383</v>
      </c>
      <c r="BO6415" t="s">
        <v>38754</v>
      </c>
      <c r="BS6415">
        <v>30</v>
      </c>
      <c r="BW6415" t="str">
        <f>""</f>
        <v/>
      </c>
      <c r="CH6415" t="str">
        <f>""</f>
        <v/>
      </c>
      <c r="CS6415" t="str">
        <f>""</f>
        <v/>
      </c>
    </row>
    <row r="6416" spans="1:97" x14ac:dyDescent="0.25">
      <c r="A6416" t="s">
        <v>1088</v>
      </c>
      <c r="B6416" t="s">
        <v>38755</v>
      </c>
      <c r="C6416" t="s">
        <v>38756</v>
      </c>
      <c r="D6416" t="s">
        <v>38755</v>
      </c>
      <c r="E6416" t="s">
        <v>38757</v>
      </c>
      <c r="F6416" t="s">
        <v>108</v>
      </c>
      <c r="H6416" t="s">
        <v>38758</v>
      </c>
      <c r="I6416" t="s">
        <v>499</v>
      </c>
      <c r="J6416" t="s">
        <v>111</v>
      </c>
      <c r="K6416" t="str">
        <f>"85395"</f>
        <v>85395</v>
      </c>
      <c r="L6416" t="s">
        <v>9069</v>
      </c>
      <c r="M6416" t="s">
        <v>38758</v>
      </c>
      <c r="N6416" t="s">
        <v>499</v>
      </c>
      <c r="O6416" t="s">
        <v>111</v>
      </c>
      <c r="P6416" t="str">
        <f>"85395-1653"</f>
        <v>85395-1653</v>
      </c>
      <c r="Q6416" t="s">
        <v>113</v>
      </c>
      <c r="R6416" t="str">
        <f>"501-76-911"</f>
        <v>501-76-911</v>
      </c>
      <c r="S6416" t="s">
        <v>10065</v>
      </c>
      <c r="T6416" t="s">
        <v>10065</v>
      </c>
      <c r="U6416">
        <v>2087</v>
      </c>
      <c r="V6416">
        <v>0</v>
      </c>
      <c r="W6416">
        <v>3</v>
      </c>
      <c r="X6416">
        <v>2012</v>
      </c>
      <c r="Z6416">
        <v>1</v>
      </c>
      <c r="AB6416">
        <v>0</v>
      </c>
      <c r="AC6416" t="s">
        <v>115</v>
      </c>
      <c r="AD6416">
        <v>2</v>
      </c>
      <c r="AE6416" t="s">
        <v>115</v>
      </c>
      <c r="AF6416">
        <v>0</v>
      </c>
      <c r="AG6416">
        <v>0</v>
      </c>
      <c r="AH6416" t="s">
        <v>116</v>
      </c>
      <c r="AI6416" s="1">
        <v>89446</v>
      </c>
      <c r="AJ6416" s="2">
        <v>0.28000000000000003</v>
      </c>
      <c r="AK6416" s="1">
        <v>320510</v>
      </c>
      <c r="AL6416" t="s">
        <v>117</v>
      </c>
      <c r="AM6416" t="s">
        <v>118</v>
      </c>
      <c r="AN6416">
        <v>5348</v>
      </c>
      <c r="AO6416">
        <v>0.12</v>
      </c>
      <c r="AR6416">
        <v>1</v>
      </c>
      <c r="AS6416" s="1">
        <v>23100</v>
      </c>
      <c r="AT6416" s="1">
        <v>4620</v>
      </c>
      <c r="AU6416" s="1">
        <v>18480</v>
      </c>
      <c r="AV6416">
        <v>80</v>
      </c>
      <c r="AX6416" s="1">
        <v>2310.54</v>
      </c>
      <c r="AY6416" t="s">
        <v>6796</v>
      </c>
      <c r="AZ6416" t="s">
        <v>6796</v>
      </c>
      <c r="BA6416" t="s">
        <v>7186</v>
      </c>
      <c r="BE6416" s="3">
        <v>42046</v>
      </c>
      <c r="BF6416" s="1">
        <v>240000</v>
      </c>
      <c r="BG6416" t="s">
        <v>38759</v>
      </c>
      <c r="BH6416" s="1">
        <v>115</v>
      </c>
      <c r="BI6416" s="1">
        <v>231064</v>
      </c>
      <c r="BJ6416" s="3">
        <v>42466</v>
      </c>
      <c r="BK6416" t="s">
        <v>123</v>
      </c>
      <c r="BL6416" t="str">
        <f>"2016.225128"</f>
        <v>2016.225128</v>
      </c>
      <c r="BM6416" t="s">
        <v>322</v>
      </c>
      <c r="BO6416" t="s">
        <v>38760</v>
      </c>
      <c r="BS6416">
        <v>30</v>
      </c>
      <c r="BW6416" t="str">
        <f>""</f>
        <v/>
      </c>
      <c r="CH6416" t="str">
        <f>""</f>
        <v/>
      </c>
      <c r="CS6416" t="str">
        <f>""</f>
        <v/>
      </c>
    </row>
    <row r="6417" spans="1:97" x14ac:dyDescent="0.25">
      <c r="B6417" t="s">
        <v>38761</v>
      </c>
      <c r="E6417" t="s">
        <v>38761</v>
      </c>
      <c r="F6417" t="s">
        <v>282</v>
      </c>
      <c r="H6417" t="s">
        <v>38762</v>
      </c>
      <c r="I6417" t="s">
        <v>225</v>
      </c>
      <c r="J6417" t="s">
        <v>111</v>
      </c>
      <c r="K6417" t="str">
        <f>"85207"</f>
        <v>85207</v>
      </c>
      <c r="L6417" t="s">
        <v>5775</v>
      </c>
      <c r="M6417" t="s">
        <v>38763</v>
      </c>
      <c r="N6417" t="s">
        <v>38764</v>
      </c>
      <c r="O6417" t="s">
        <v>111</v>
      </c>
      <c r="P6417" t="str">
        <f>"85541-9213"</f>
        <v>85541-9213</v>
      </c>
      <c r="Q6417" t="s">
        <v>113</v>
      </c>
      <c r="R6417" t="str">
        <f>"220-43-106"</f>
        <v>220-43-106</v>
      </c>
      <c r="S6417" t="s">
        <v>6571</v>
      </c>
      <c r="T6417" t="s">
        <v>6571</v>
      </c>
      <c r="U6417">
        <v>1656</v>
      </c>
      <c r="V6417">
        <v>0</v>
      </c>
      <c r="W6417">
        <v>3</v>
      </c>
      <c r="X6417">
        <v>2007</v>
      </c>
      <c r="Z6417">
        <v>1</v>
      </c>
      <c r="AB6417">
        <v>0</v>
      </c>
      <c r="AC6417" t="s">
        <v>115</v>
      </c>
      <c r="AD6417">
        <v>2</v>
      </c>
      <c r="AE6417" t="s">
        <v>115</v>
      </c>
      <c r="AF6417">
        <v>0</v>
      </c>
      <c r="AG6417">
        <v>0</v>
      </c>
      <c r="AH6417" t="s">
        <v>116</v>
      </c>
      <c r="AI6417" s="1">
        <v>46901</v>
      </c>
      <c r="AJ6417" s="2">
        <v>0.18</v>
      </c>
      <c r="AK6417" s="1">
        <v>256600</v>
      </c>
      <c r="AL6417" t="s">
        <v>117</v>
      </c>
      <c r="AM6417" t="s">
        <v>393</v>
      </c>
      <c r="AN6417">
        <v>5307</v>
      </c>
      <c r="AO6417">
        <v>0.12</v>
      </c>
      <c r="AR6417">
        <v>1</v>
      </c>
      <c r="AS6417" s="1">
        <v>19720</v>
      </c>
      <c r="AT6417" s="1">
        <v>3940</v>
      </c>
      <c r="AU6417" s="1">
        <v>15780</v>
      </c>
      <c r="AV6417">
        <v>80.02</v>
      </c>
      <c r="AX6417" s="1">
        <v>1163.52</v>
      </c>
      <c r="AY6417" t="s">
        <v>6572</v>
      </c>
      <c r="AZ6417" t="s">
        <v>3761</v>
      </c>
      <c r="BA6417" t="s">
        <v>232</v>
      </c>
      <c r="BE6417" s="3">
        <v>42367</v>
      </c>
      <c r="BF6417" s="1">
        <v>203000</v>
      </c>
      <c r="BG6417" t="s">
        <v>38765</v>
      </c>
      <c r="BH6417" s="1">
        <v>122.58</v>
      </c>
      <c r="BI6417" s="1">
        <v>209699</v>
      </c>
      <c r="BJ6417" s="3">
        <v>42367</v>
      </c>
      <c r="BK6417" t="s">
        <v>123</v>
      </c>
      <c r="BL6417" t="str">
        <f>"2015.914990"</f>
        <v>2015.914990</v>
      </c>
      <c r="BM6417" t="s">
        <v>10036</v>
      </c>
      <c r="BN6417" t="s">
        <v>38766</v>
      </c>
      <c r="BO6417" t="s">
        <v>38767</v>
      </c>
      <c r="BS6417">
        <v>30</v>
      </c>
      <c r="BW6417" t="str">
        <f>""</f>
        <v/>
      </c>
      <c r="CH6417" t="str">
        <f>""</f>
        <v/>
      </c>
      <c r="CS6417" t="str">
        <f>""</f>
        <v/>
      </c>
    </row>
    <row r="6418" spans="1:97" x14ac:dyDescent="0.25">
      <c r="A6418" t="s">
        <v>38768</v>
      </c>
      <c r="B6418" t="s">
        <v>1898</v>
      </c>
      <c r="C6418" t="s">
        <v>610</v>
      </c>
      <c r="D6418" t="s">
        <v>1898</v>
      </c>
      <c r="E6418" t="s">
        <v>38769</v>
      </c>
      <c r="F6418" t="s">
        <v>108</v>
      </c>
      <c r="H6418" t="s">
        <v>38770</v>
      </c>
      <c r="I6418" t="s">
        <v>144</v>
      </c>
      <c r="J6418" t="s">
        <v>111</v>
      </c>
      <c r="K6418" t="str">
        <f>"85326"</f>
        <v>85326</v>
      </c>
      <c r="L6418" t="s">
        <v>5021</v>
      </c>
      <c r="M6418" t="s">
        <v>38770</v>
      </c>
      <c r="N6418" t="s">
        <v>144</v>
      </c>
      <c r="O6418" t="s">
        <v>111</v>
      </c>
      <c r="P6418" t="str">
        <f>"85326-3605"</f>
        <v>85326-3605</v>
      </c>
      <c r="Q6418" t="s">
        <v>113</v>
      </c>
      <c r="R6418" t="str">
        <f>"504-28-237"</f>
        <v>504-28-237</v>
      </c>
      <c r="S6418" t="s">
        <v>5022</v>
      </c>
      <c r="U6418">
        <v>2945</v>
      </c>
      <c r="V6418">
        <v>0</v>
      </c>
      <c r="W6418">
        <v>4</v>
      </c>
      <c r="X6418">
        <v>2009</v>
      </c>
      <c r="Z6418">
        <v>2</v>
      </c>
      <c r="AB6418">
        <v>0</v>
      </c>
      <c r="AC6418" t="s">
        <v>115</v>
      </c>
      <c r="AD6418">
        <v>3</v>
      </c>
      <c r="AE6418" t="s">
        <v>115</v>
      </c>
      <c r="AF6418">
        <v>0</v>
      </c>
      <c r="AG6418">
        <v>0</v>
      </c>
      <c r="AH6418" t="s">
        <v>116</v>
      </c>
      <c r="AI6418" s="1">
        <v>52586</v>
      </c>
      <c r="AJ6418" s="2">
        <v>0.19</v>
      </c>
      <c r="AK6418" s="1">
        <v>282486</v>
      </c>
      <c r="AL6418" t="s">
        <v>117</v>
      </c>
      <c r="AM6418" t="s">
        <v>5023</v>
      </c>
      <c r="AN6418">
        <v>6945</v>
      </c>
      <c r="AO6418">
        <v>0.16</v>
      </c>
      <c r="AR6418">
        <v>1</v>
      </c>
      <c r="AS6418" s="1">
        <v>19300</v>
      </c>
      <c r="AT6418" s="1">
        <v>3860</v>
      </c>
      <c r="AU6418" s="1">
        <v>15440</v>
      </c>
      <c r="AV6418">
        <v>80</v>
      </c>
      <c r="AX6418" s="1">
        <v>2471.62</v>
      </c>
      <c r="AY6418" t="s">
        <v>5024</v>
      </c>
      <c r="AZ6418" t="s">
        <v>5024</v>
      </c>
      <c r="BA6418" t="s">
        <v>5025</v>
      </c>
      <c r="BE6418" s="3">
        <v>42465</v>
      </c>
      <c r="BF6418" s="1">
        <v>229900</v>
      </c>
      <c r="BG6418" t="s">
        <v>38771</v>
      </c>
      <c r="BH6418" s="1">
        <v>78.06</v>
      </c>
      <c r="BI6418" s="1">
        <v>229900</v>
      </c>
      <c r="BJ6418" s="3">
        <v>42465</v>
      </c>
      <c r="BK6418" t="s">
        <v>123</v>
      </c>
      <c r="BL6418" t="str">
        <f>"2016.224005"</f>
        <v>2016.224005</v>
      </c>
      <c r="BM6418" t="s">
        <v>8916</v>
      </c>
      <c r="BO6418" t="s">
        <v>38772</v>
      </c>
      <c r="BS6418">
        <v>30</v>
      </c>
      <c r="BW6418" t="str">
        <f>""</f>
        <v/>
      </c>
      <c r="CH6418" t="str">
        <f>""</f>
        <v/>
      </c>
      <c r="CS6418" t="str">
        <f>""</f>
        <v/>
      </c>
    </row>
    <row r="6419" spans="1:97" x14ac:dyDescent="0.25">
      <c r="A6419" t="s">
        <v>2019</v>
      </c>
      <c r="B6419" t="s">
        <v>8107</v>
      </c>
      <c r="E6419" t="s">
        <v>38773</v>
      </c>
      <c r="F6419" t="s">
        <v>108</v>
      </c>
      <c r="H6419" t="s">
        <v>38774</v>
      </c>
      <c r="I6419" t="s">
        <v>203</v>
      </c>
      <c r="J6419" t="s">
        <v>111</v>
      </c>
      <c r="K6419" t="str">
        <f>"85295"</f>
        <v>85295</v>
      </c>
      <c r="L6419" t="s">
        <v>8747</v>
      </c>
      <c r="M6419" t="s">
        <v>38774</v>
      </c>
      <c r="N6419" t="s">
        <v>203</v>
      </c>
      <c r="O6419" t="s">
        <v>111</v>
      </c>
      <c r="P6419" t="str">
        <f>"85295-5405"</f>
        <v>85295-5405</v>
      </c>
      <c r="Q6419" t="s">
        <v>113</v>
      </c>
      <c r="R6419" t="str">
        <f>"309-20-135"</f>
        <v>309-20-135</v>
      </c>
      <c r="S6419" t="s">
        <v>9211</v>
      </c>
      <c r="U6419">
        <v>2493</v>
      </c>
      <c r="V6419">
        <v>0</v>
      </c>
      <c r="W6419">
        <v>4</v>
      </c>
      <c r="X6419">
        <v>1999</v>
      </c>
      <c r="Z6419">
        <v>2</v>
      </c>
      <c r="AA6419" t="s">
        <v>26</v>
      </c>
      <c r="AB6419">
        <v>0</v>
      </c>
      <c r="AC6419" t="s">
        <v>115</v>
      </c>
      <c r="AD6419">
        <v>3</v>
      </c>
      <c r="AE6419" t="s">
        <v>115</v>
      </c>
      <c r="AF6419">
        <v>0</v>
      </c>
      <c r="AG6419">
        <v>0</v>
      </c>
      <c r="AH6419" t="s">
        <v>116</v>
      </c>
      <c r="AI6419" s="1">
        <v>62508</v>
      </c>
      <c r="AJ6419" s="2">
        <v>0.15</v>
      </c>
      <c r="AK6419" s="1">
        <v>423869</v>
      </c>
      <c r="AL6419" t="s">
        <v>117</v>
      </c>
      <c r="AM6419" t="s">
        <v>393</v>
      </c>
      <c r="AN6419">
        <v>13556</v>
      </c>
      <c r="AO6419">
        <v>0.31</v>
      </c>
      <c r="AP6419">
        <v>1</v>
      </c>
      <c r="AR6419">
        <v>1</v>
      </c>
      <c r="AS6419" s="1">
        <v>31160</v>
      </c>
      <c r="AT6419" s="1">
        <v>6230</v>
      </c>
      <c r="AU6419" s="1">
        <v>24930</v>
      </c>
      <c r="AV6419">
        <v>80.010000000000005</v>
      </c>
      <c r="AX6419" s="1">
        <v>2275.3200000000002</v>
      </c>
      <c r="AY6419" t="s">
        <v>9212</v>
      </c>
      <c r="AZ6419" t="s">
        <v>207</v>
      </c>
      <c r="BA6419" t="s">
        <v>208</v>
      </c>
      <c r="BE6419" s="3">
        <v>42426</v>
      </c>
      <c r="BF6419" s="1">
        <v>347500</v>
      </c>
      <c r="BG6419" t="s">
        <v>38775</v>
      </c>
      <c r="BH6419" s="1">
        <v>139.38999999999999</v>
      </c>
      <c r="BI6419" s="1">
        <v>361361</v>
      </c>
      <c r="BJ6419" s="3">
        <v>42650</v>
      </c>
      <c r="BK6419" t="s">
        <v>123</v>
      </c>
      <c r="BL6419" t="str">
        <f>"2016.738568"</f>
        <v>2016.738568</v>
      </c>
      <c r="BM6419" t="s">
        <v>1695</v>
      </c>
      <c r="BO6419" t="s">
        <v>38776</v>
      </c>
      <c r="BS6419">
        <v>30</v>
      </c>
      <c r="BW6419" t="str">
        <f>""</f>
        <v/>
      </c>
      <c r="CH6419" t="str">
        <f>""</f>
        <v/>
      </c>
      <c r="CS6419" t="str">
        <f>""</f>
        <v/>
      </c>
    </row>
    <row r="6420" spans="1:97" x14ac:dyDescent="0.25">
      <c r="A6420" t="s">
        <v>3526</v>
      </c>
      <c r="B6420" t="s">
        <v>38777</v>
      </c>
      <c r="C6420" t="s">
        <v>14565</v>
      </c>
      <c r="D6420" t="s">
        <v>38777</v>
      </c>
      <c r="E6420" t="s">
        <v>38778</v>
      </c>
      <c r="F6420" t="s">
        <v>108</v>
      </c>
      <c r="H6420" t="s">
        <v>38779</v>
      </c>
      <c r="I6420" t="s">
        <v>5636</v>
      </c>
      <c r="J6420" t="s">
        <v>111</v>
      </c>
      <c r="K6420" t="str">
        <f>"85268"</f>
        <v>85268</v>
      </c>
      <c r="L6420" t="s">
        <v>3116</v>
      </c>
      <c r="M6420" t="s">
        <v>38779</v>
      </c>
      <c r="N6420" t="s">
        <v>5636</v>
      </c>
      <c r="O6420" t="s">
        <v>111</v>
      </c>
      <c r="P6420" t="str">
        <f>"85268-4129"</f>
        <v>85268-4129</v>
      </c>
      <c r="Q6420" t="s">
        <v>113</v>
      </c>
      <c r="R6420" t="str">
        <f>"176-18-869"</f>
        <v>176-18-869</v>
      </c>
      <c r="S6420" t="s">
        <v>38780</v>
      </c>
      <c r="T6420" t="s">
        <v>38781</v>
      </c>
      <c r="U6420">
        <v>2025</v>
      </c>
      <c r="V6420">
        <v>0</v>
      </c>
      <c r="W6420">
        <v>3</v>
      </c>
      <c r="X6420">
        <v>1998</v>
      </c>
      <c r="Z6420">
        <v>1</v>
      </c>
      <c r="AA6420" t="s">
        <v>26</v>
      </c>
      <c r="AB6420">
        <v>0</v>
      </c>
      <c r="AC6420" t="s">
        <v>115</v>
      </c>
      <c r="AD6420">
        <v>3</v>
      </c>
      <c r="AE6420" t="s">
        <v>115</v>
      </c>
      <c r="AF6420">
        <v>0</v>
      </c>
      <c r="AG6420">
        <v>0</v>
      </c>
      <c r="AH6420" t="s">
        <v>116</v>
      </c>
      <c r="AI6420" s="1">
        <v>161621</v>
      </c>
      <c r="AJ6420" s="2">
        <v>0.28999999999999998</v>
      </c>
      <c r="AK6420" s="1">
        <v>552421</v>
      </c>
      <c r="AL6420" t="s">
        <v>117</v>
      </c>
      <c r="AM6420" t="s">
        <v>191</v>
      </c>
      <c r="AN6420">
        <v>8287</v>
      </c>
      <c r="AO6420">
        <v>0.19</v>
      </c>
      <c r="AP6420">
        <v>1</v>
      </c>
      <c r="AR6420">
        <v>1</v>
      </c>
      <c r="AS6420" s="1">
        <v>40680</v>
      </c>
      <c r="AT6420" s="1">
        <v>8130</v>
      </c>
      <c r="AU6420" s="1">
        <v>32550</v>
      </c>
      <c r="AV6420">
        <v>80.010000000000005</v>
      </c>
      <c r="AX6420" s="1">
        <v>2826.88</v>
      </c>
      <c r="AY6420" t="s">
        <v>5639</v>
      </c>
      <c r="AZ6420" t="s">
        <v>5640</v>
      </c>
      <c r="BA6420" t="s">
        <v>5641</v>
      </c>
      <c r="BE6420" s="3">
        <v>41716</v>
      </c>
      <c r="BF6420" s="1">
        <v>485000</v>
      </c>
      <c r="BG6420" t="s">
        <v>38782</v>
      </c>
      <c r="BH6420" s="1">
        <v>239.51</v>
      </c>
      <c r="BI6420" s="1">
        <v>390800</v>
      </c>
      <c r="BJ6420" s="3">
        <v>42611</v>
      </c>
      <c r="BK6420" t="s">
        <v>123</v>
      </c>
      <c r="BL6420" t="str">
        <f>"2016.618479"</f>
        <v>2016.618479</v>
      </c>
      <c r="BM6420" t="s">
        <v>709</v>
      </c>
      <c r="BO6420" t="s">
        <v>38783</v>
      </c>
      <c r="BS6420">
        <v>30</v>
      </c>
      <c r="BW6420" t="str">
        <f>""</f>
        <v/>
      </c>
      <c r="CH6420" t="str">
        <f>""</f>
        <v/>
      </c>
      <c r="CS6420" t="str">
        <f>""</f>
        <v/>
      </c>
    </row>
    <row r="6421" spans="1:97" x14ac:dyDescent="0.25">
      <c r="A6421" t="s">
        <v>1444</v>
      </c>
      <c r="B6421" t="s">
        <v>38784</v>
      </c>
      <c r="C6421" t="s">
        <v>179</v>
      </c>
      <c r="D6421" t="s">
        <v>38784</v>
      </c>
      <c r="E6421" t="s">
        <v>38785</v>
      </c>
      <c r="F6421" t="s">
        <v>139</v>
      </c>
      <c r="H6421" t="s">
        <v>38786</v>
      </c>
      <c r="I6421" t="s">
        <v>3150</v>
      </c>
      <c r="J6421" t="s">
        <v>111</v>
      </c>
      <c r="K6421" t="str">
        <f>"85340"</f>
        <v>85340</v>
      </c>
      <c r="L6421" t="s">
        <v>5176</v>
      </c>
      <c r="M6421" t="s">
        <v>38786</v>
      </c>
      <c r="N6421" t="s">
        <v>3150</v>
      </c>
      <c r="O6421" t="s">
        <v>111</v>
      </c>
      <c r="P6421" t="str">
        <f>"85340-2740"</f>
        <v>85340-2740</v>
      </c>
      <c r="Q6421" t="s">
        <v>113</v>
      </c>
      <c r="R6421" t="str">
        <f>"508-15-341"</f>
        <v>508-15-341</v>
      </c>
      <c r="S6421" t="s">
        <v>5177</v>
      </c>
      <c r="T6421" t="s">
        <v>5178</v>
      </c>
      <c r="U6421">
        <v>3270</v>
      </c>
      <c r="V6421">
        <v>0</v>
      </c>
      <c r="W6421">
        <v>5</v>
      </c>
      <c r="X6421">
        <v>2014</v>
      </c>
      <c r="Z6421">
        <v>1</v>
      </c>
      <c r="AA6421" t="s">
        <v>26</v>
      </c>
      <c r="AB6421">
        <v>0</v>
      </c>
      <c r="AC6421" t="s">
        <v>115</v>
      </c>
      <c r="AD6421">
        <v>4</v>
      </c>
      <c r="AE6421" t="s">
        <v>115</v>
      </c>
      <c r="AF6421">
        <v>0</v>
      </c>
      <c r="AG6421">
        <v>0</v>
      </c>
      <c r="AH6421" t="s">
        <v>116</v>
      </c>
      <c r="AI6421" s="1">
        <v>76333</v>
      </c>
      <c r="AJ6421" s="2">
        <v>0.12</v>
      </c>
      <c r="AK6421" s="1">
        <v>622598</v>
      </c>
      <c r="AL6421" t="s">
        <v>117</v>
      </c>
      <c r="AM6421" t="s">
        <v>191</v>
      </c>
      <c r="AN6421">
        <v>15189</v>
      </c>
      <c r="AO6421">
        <v>0.35</v>
      </c>
      <c r="AR6421">
        <v>1</v>
      </c>
      <c r="AS6421" s="1">
        <v>53430</v>
      </c>
      <c r="AT6421" s="1">
        <v>10680</v>
      </c>
      <c r="AU6421" s="1">
        <v>42750</v>
      </c>
      <c r="AV6421">
        <v>80.010000000000005</v>
      </c>
      <c r="AX6421" s="1">
        <v>5744.44</v>
      </c>
      <c r="AY6421" t="s">
        <v>3020</v>
      </c>
      <c r="AZ6421" t="s">
        <v>3020</v>
      </c>
      <c r="BA6421" t="s">
        <v>3154</v>
      </c>
      <c r="BB6421" s="3">
        <v>43250</v>
      </c>
      <c r="BC6421" s="1">
        <v>0</v>
      </c>
      <c r="BD6421" t="s">
        <v>247</v>
      </c>
      <c r="BE6421" s="3">
        <v>41969</v>
      </c>
      <c r="BF6421" s="1">
        <v>619850</v>
      </c>
      <c r="BG6421" t="s">
        <v>38787</v>
      </c>
      <c r="BH6421" s="1">
        <v>189.56</v>
      </c>
      <c r="BI6421" s="1">
        <v>546265</v>
      </c>
      <c r="BJ6421" s="3">
        <v>41969</v>
      </c>
      <c r="BK6421" t="s">
        <v>123</v>
      </c>
      <c r="BL6421" t="str">
        <f>"2014.788273"</f>
        <v>2014.788273</v>
      </c>
      <c r="BM6421" t="s">
        <v>150</v>
      </c>
      <c r="BN6421" t="s">
        <v>1282</v>
      </c>
      <c r="BO6421" t="s">
        <v>38788</v>
      </c>
      <c r="BS6421">
        <v>30</v>
      </c>
      <c r="BW6421" t="str">
        <f>""</f>
        <v/>
      </c>
      <c r="CH6421" t="str">
        <f>""</f>
        <v/>
      </c>
      <c r="CS6421" t="str">
        <f>""</f>
        <v/>
      </c>
    </row>
    <row r="6422" spans="1:97" x14ac:dyDescent="0.25">
      <c r="A6422" t="s">
        <v>1833</v>
      </c>
      <c r="B6422" t="s">
        <v>38789</v>
      </c>
      <c r="C6422" t="s">
        <v>2620</v>
      </c>
      <c r="D6422" t="s">
        <v>38789</v>
      </c>
      <c r="E6422" t="s">
        <v>38790</v>
      </c>
      <c r="F6422" t="s">
        <v>108</v>
      </c>
      <c r="H6422" t="s">
        <v>38791</v>
      </c>
      <c r="I6422" t="s">
        <v>225</v>
      </c>
      <c r="J6422" t="s">
        <v>111</v>
      </c>
      <c r="K6422" t="str">
        <f>"85205"</f>
        <v>85205</v>
      </c>
      <c r="L6422" t="s">
        <v>5228</v>
      </c>
      <c r="M6422" t="s">
        <v>38791</v>
      </c>
      <c r="N6422" t="s">
        <v>225</v>
      </c>
      <c r="O6422" t="s">
        <v>111</v>
      </c>
      <c r="P6422" t="str">
        <f>"85205-5450"</f>
        <v>85205-5450</v>
      </c>
      <c r="Q6422" t="s">
        <v>113</v>
      </c>
      <c r="R6422" t="str">
        <f>"141-78-190"</f>
        <v>141-78-190</v>
      </c>
      <c r="S6422" t="s">
        <v>26969</v>
      </c>
      <c r="T6422" t="s">
        <v>15808</v>
      </c>
      <c r="U6422">
        <v>2268</v>
      </c>
      <c r="V6422">
        <v>0</v>
      </c>
      <c r="W6422">
        <v>3</v>
      </c>
      <c r="X6422">
        <v>1986</v>
      </c>
      <c r="Z6422">
        <v>1</v>
      </c>
      <c r="AA6422" t="s">
        <v>26</v>
      </c>
      <c r="AB6422">
        <v>0</v>
      </c>
      <c r="AC6422" t="s">
        <v>115</v>
      </c>
      <c r="AD6422">
        <v>3</v>
      </c>
      <c r="AE6422" t="s">
        <v>115</v>
      </c>
      <c r="AF6422">
        <v>0</v>
      </c>
      <c r="AG6422">
        <v>0</v>
      </c>
      <c r="AH6422" t="s">
        <v>116</v>
      </c>
      <c r="AI6422" s="1">
        <v>68480</v>
      </c>
      <c r="AJ6422" s="2">
        <v>0.2</v>
      </c>
      <c r="AK6422" s="1">
        <v>340780</v>
      </c>
      <c r="AL6422" t="s">
        <v>117</v>
      </c>
      <c r="AM6422" t="s">
        <v>393</v>
      </c>
      <c r="AN6422">
        <v>8726</v>
      </c>
      <c r="AO6422">
        <v>0.2</v>
      </c>
      <c r="AP6422">
        <v>1</v>
      </c>
      <c r="AR6422">
        <v>1</v>
      </c>
      <c r="AS6422" s="1">
        <v>26860</v>
      </c>
      <c r="AT6422" s="1">
        <v>5370</v>
      </c>
      <c r="AU6422" s="1">
        <v>21490</v>
      </c>
      <c r="AV6422">
        <v>80.010000000000005</v>
      </c>
      <c r="AX6422" s="1">
        <v>2173.1799999999998</v>
      </c>
      <c r="AY6422" t="s">
        <v>5274</v>
      </c>
      <c r="AZ6422" t="s">
        <v>5275</v>
      </c>
      <c r="BA6422" t="s">
        <v>3119</v>
      </c>
      <c r="BE6422" s="3">
        <v>42380</v>
      </c>
      <c r="BF6422" s="1">
        <v>272500</v>
      </c>
      <c r="BG6422" t="s">
        <v>38792</v>
      </c>
      <c r="BH6422" s="1">
        <v>120.15</v>
      </c>
      <c r="BI6422" s="1">
        <v>272300</v>
      </c>
      <c r="BJ6422" s="3">
        <v>42643</v>
      </c>
      <c r="BK6422" t="s">
        <v>123</v>
      </c>
      <c r="BL6422" t="str">
        <f>"2016.717846"</f>
        <v>2016.717846</v>
      </c>
      <c r="BM6422" t="s">
        <v>9371</v>
      </c>
      <c r="BO6422" t="s">
        <v>38793</v>
      </c>
      <c r="BS6422">
        <v>30</v>
      </c>
      <c r="BW6422" t="str">
        <f>""</f>
        <v/>
      </c>
      <c r="CH6422" t="str">
        <f>""</f>
        <v/>
      </c>
      <c r="CS6422" t="str">
        <f>""</f>
        <v/>
      </c>
    </row>
    <row r="6423" spans="1:97" x14ac:dyDescent="0.25">
      <c r="A6423" t="s">
        <v>9020</v>
      </c>
      <c r="B6423" t="s">
        <v>10633</v>
      </c>
      <c r="C6423" t="s">
        <v>38794</v>
      </c>
      <c r="D6423" t="s">
        <v>10633</v>
      </c>
      <c r="E6423" t="s">
        <v>38795</v>
      </c>
      <c r="F6423" t="s">
        <v>108</v>
      </c>
      <c r="H6423" t="s">
        <v>38796</v>
      </c>
      <c r="I6423" t="s">
        <v>203</v>
      </c>
      <c r="J6423" t="s">
        <v>111</v>
      </c>
      <c r="K6423" t="str">
        <f>"85295"</f>
        <v>85295</v>
      </c>
      <c r="L6423" t="s">
        <v>8747</v>
      </c>
      <c r="M6423" t="s">
        <v>38796</v>
      </c>
      <c r="N6423" t="s">
        <v>203</v>
      </c>
      <c r="O6423" t="s">
        <v>111</v>
      </c>
      <c r="P6423" t="str">
        <f>"85295-4926"</f>
        <v>85295-4926</v>
      </c>
      <c r="Q6423" t="s">
        <v>113</v>
      </c>
      <c r="R6423" t="str">
        <f>"309-20-507"</f>
        <v>309-20-507</v>
      </c>
      <c r="S6423" t="s">
        <v>9211</v>
      </c>
      <c r="U6423">
        <v>2103</v>
      </c>
      <c r="V6423">
        <v>0</v>
      </c>
      <c r="W6423">
        <v>3</v>
      </c>
      <c r="X6423">
        <v>2000</v>
      </c>
      <c r="Z6423">
        <v>1</v>
      </c>
      <c r="AA6423" t="s">
        <v>26</v>
      </c>
      <c r="AB6423">
        <v>0</v>
      </c>
      <c r="AC6423" t="s">
        <v>115</v>
      </c>
      <c r="AD6423">
        <v>3</v>
      </c>
      <c r="AE6423" t="s">
        <v>115</v>
      </c>
      <c r="AF6423">
        <v>0</v>
      </c>
      <c r="AG6423">
        <v>0</v>
      </c>
      <c r="AH6423" t="s">
        <v>116</v>
      </c>
      <c r="AI6423" s="1">
        <v>177550</v>
      </c>
      <c r="AJ6423" s="2">
        <v>0.44</v>
      </c>
      <c r="AK6423" s="1">
        <v>402100</v>
      </c>
      <c r="AL6423" t="s">
        <v>117</v>
      </c>
      <c r="AM6423" t="s">
        <v>171</v>
      </c>
      <c r="AN6423">
        <v>11707</v>
      </c>
      <c r="AO6423">
        <v>0.27</v>
      </c>
      <c r="AP6423">
        <v>1</v>
      </c>
      <c r="AR6423">
        <v>1</v>
      </c>
      <c r="AS6423" s="1">
        <v>30430</v>
      </c>
      <c r="AT6423" s="1">
        <v>6080</v>
      </c>
      <c r="AU6423" s="1">
        <v>24350</v>
      </c>
      <c r="AV6423">
        <v>80.02</v>
      </c>
      <c r="AX6423" s="1">
        <v>2185.88</v>
      </c>
      <c r="AY6423" t="s">
        <v>9212</v>
      </c>
      <c r="AZ6423" t="s">
        <v>207</v>
      </c>
      <c r="BA6423" t="s">
        <v>208</v>
      </c>
      <c r="BE6423" s="3">
        <v>42487</v>
      </c>
      <c r="BF6423" s="1">
        <v>324550</v>
      </c>
      <c r="BG6423" t="s">
        <v>38797</v>
      </c>
      <c r="BH6423" s="1">
        <v>154.33000000000001</v>
      </c>
      <c r="BI6423" s="1">
        <v>224550</v>
      </c>
      <c r="BJ6423" s="3">
        <v>42487</v>
      </c>
      <c r="BK6423" t="s">
        <v>123</v>
      </c>
      <c r="BL6423" t="str">
        <f>"2016.281052"</f>
        <v>2016.281052</v>
      </c>
      <c r="BM6423" t="s">
        <v>544</v>
      </c>
      <c r="BN6423" t="s">
        <v>545</v>
      </c>
      <c r="BO6423" t="s">
        <v>38798</v>
      </c>
      <c r="BS6423">
        <v>30</v>
      </c>
      <c r="BW6423" t="str">
        <f>""</f>
        <v/>
      </c>
      <c r="CH6423" t="str">
        <f>""</f>
        <v/>
      </c>
      <c r="CS6423" t="str">
        <f>""</f>
        <v/>
      </c>
    </row>
    <row r="6424" spans="1:97" x14ac:dyDescent="0.25">
      <c r="A6424" t="s">
        <v>38799</v>
      </c>
      <c r="B6424" t="s">
        <v>38800</v>
      </c>
      <c r="C6424" t="s">
        <v>38801</v>
      </c>
      <c r="D6424" t="s">
        <v>38800</v>
      </c>
      <c r="E6424" t="s">
        <v>38802</v>
      </c>
      <c r="F6424" t="s">
        <v>139</v>
      </c>
      <c r="H6424" t="s">
        <v>38803</v>
      </c>
      <c r="I6424" t="s">
        <v>499</v>
      </c>
      <c r="J6424" t="s">
        <v>111</v>
      </c>
      <c r="K6424" t="str">
        <f>"85395"</f>
        <v>85395</v>
      </c>
      <c r="L6424" t="s">
        <v>6145</v>
      </c>
      <c r="M6424" t="s">
        <v>38804</v>
      </c>
      <c r="N6424" t="s">
        <v>4137</v>
      </c>
      <c r="O6424" t="s">
        <v>38805</v>
      </c>
      <c r="P6424" t="str">
        <f>"89077-7294"</f>
        <v>89077-7294</v>
      </c>
      <c r="Q6424" t="s">
        <v>113</v>
      </c>
      <c r="R6424" t="str">
        <f>"501-75-499"</f>
        <v>501-75-499</v>
      </c>
      <c r="S6424" t="s">
        <v>6811</v>
      </c>
      <c r="T6424" t="s">
        <v>6795</v>
      </c>
      <c r="U6424">
        <v>3123</v>
      </c>
      <c r="V6424">
        <v>0</v>
      </c>
      <c r="W6424">
        <v>4</v>
      </c>
      <c r="X6424">
        <v>1993</v>
      </c>
      <c r="Z6424">
        <v>2</v>
      </c>
      <c r="AA6424" t="s">
        <v>26</v>
      </c>
      <c r="AB6424">
        <v>0</v>
      </c>
      <c r="AC6424" t="s">
        <v>115</v>
      </c>
      <c r="AD6424">
        <v>3</v>
      </c>
      <c r="AE6424" t="s">
        <v>115</v>
      </c>
      <c r="AF6424">
        <v>0</v>
      </c>
      <c r="AG6424">
        <v>0</v>
      </c>
      <c r="AH6424" t="s">
        <v>116</v>
      </c>
      <c r="AI6424" s="1">
        <v>30292</v>
      </c>
      <c r="AJ6424" s="2">
        <v>0.08</v>
      </c>
      <c r="AK6424" s="1">
        <v>386292</v>
      </c>
      <c r="AL6424" t="s">
        <v>117</v>
      </c>
      <c r="AM6424" t="s">
        <v>118</v>
      </c>
      <c r="AN6424">
        <v>11139</v>
      </c>
      <c r="AO6424">
        <v>0.26</v>
      </c>
      <c r="AP6424">
        <v>1</v>
      </c>
      <c r="AR6424">
        <v>1</v>
      </c>
      <c r="AS6424" s="1">
        <v>28300</v>
      </c>
      <c r="AT6424" s="1">
        <v>5660</v>
      </c>
      <c r="AU6424" s="1">
        <v>22640</v>
      </c>
      <c r="AV6424">
        <v>80</v>
      </c>
      <c r="AX6424" s="1">
        <v>2425.98</v>
      </c>
      <c r="AY6424" t="s">
        <v>6796</v>
      </c>
      <c r="AZ6424" t="s">
        <v>6796</v>
      </c>
      <c r="BA6424" t="s">
        <v>3154</v>
      </c>
      <c r="BE6424" s="3">
        <v>42545</v>
      </c>
      <c r="BF6424" s="1">
        <v>306000</v>
      </c>
      <c r="BG6424" t="s">
        <v>38806</v>
      </c>
      <c r="BH6424" s="1">
        <v>97.98</v>
      </c>
      <c r="BI6424" s="1">
        <v>356000</v>
      </c>
      <c r="BJ6424" s="3">
        <v>43556</v>
      </c>
      <c r="BK6424" t="s">
        <v>123</v>
      </c>
      <c r="BL6424" t="str">
        <f>"2019.226256"</f>
        <v>2019.226256</v>
      </c>
      <c r="BM6424" t="s">
        <v>3562</v>
      </c>
      <c r="BN6424" t="s">
        <v>3686</v>
      </c>
      <c r="BO6424" t="s">
        <v>38807</v>
      </c>
      <c r="BP6424" t="s">
        <v>38808</v>
      </c>
      <c r="BR6424" t="s">
        <v>139</v>
      </c>
      <c r="BW6424" t="str">
        <f>""</f>
        <v/>
      </c>
      <c r="CH6424" t="str">
        <f>""</f>
        <v/>
      </c>
      <c r="CS6424" t="str">
        <f>""</f>
        <v/>
      </c>
    </row>
    <row r="6425" spans="1:97" x14ac:dyDescent="0.25">
      <c r="A6425" t="s">
        <v>38809</v>
      </c>
      <c r="B6425" t="s">
        <v>141</v>
      </c>
      <c r="E6425" t="s">
        <v>38810</v>
      </c>
      <c r="F6425" t="s">
        <v>108</v>
      </c>
      <c r="H6425" t="s">
        <v>38811</v>
      </c>
      <c r="I6425" t="s">
        <v>110</v>
      </c>
      <c r="J6425" t="s">
        <v>111</v>
      </c>
      <c r="K6425" t="str">
        <f>"85224"</f>
        <v>85224</v>
      </c>
      <c r="L6425" t="s">
        <v>8199</v>
      </c>
      <c r="M6425" t="s">
        <v>38811</v>
      </c>
      <c r="N6425" t="s">
        <v>110</v>
      </c>
      <c r="O6425" t="s">
        <v>111</v>
      </c>
      <c r="P6425" t="str">
        <f>"85224-8195"</f>
        <v>85224-8195</v>
      </c>
      <c r="Q6425" t="s">
        <v>113</v>
      </c>
      <c r="R6425" t="str">
        <f>"303-23-716"</f>
        <v>303-23-716</v>
      </c>
      <c r="S6425" t="s">
        <v>8200</v>
      </c>
      <c r="T6425" t="s">
        <v>8201</v>
      </c>
      <c r="U6425">
        <v>2312</v>
      </c>
      <c r="V6425">
        <v>0</v>
      </c>
      <c r="W6425">
        <v>4</v>
      </c>
      <c r="X6425">
        <v>1993</v>
      </c>
      <c r="Z6425">
        <v>2</v>
      </c>
      <c r="AA6425" t="s">
        <v>26</v>
      </c>
      <c r="AB6425">
        <v>0</v>
      </c>
      <c r="AC6425" t="s">
        <v>115</v>
      </c>
      <c r="AD6425">
        <v>3</v>
      </c>
      <c r="AE6425" t="s">
        <v>115</v>
      </c>
      <c r="AF6425">
        <v>0</v>
      </c>
      <c r="AG6425">
        <v>0</v>
      </c>
      <c r="AH6425" t="s">
        <v>116</v>
      </c>
      <c r="AI6425" s="1">
        <v>59989</v>
      </c>
      <c r="AJ6425" s="2">
        <v>0.16</v>
      </c>
      <c r="AK6425" s="1">
        <v>383804</v>
      </c>
      <c r="AL6425" t="s">
        <v>117</v>
      </c>
      <c r="AM6425" t="s">
        <v>118</v>
      </c>
      <c r="AN6425">
        <v>7806</v>
      </c>
      <c r="AO6425">
        <v>0.18</v>
      </c>
      <c r="AP6425">
        <v>1</v>
      </c>
      <c r="AR6425">
        <v>1</v>
      </c>
      <c r="AS6425" s="1">
        <v>27270</v>
      </c>
      <c r="AT6425" s="1">
        <v>5450</v>
      </c>
      <c r="AU6425" s="1">
        <v>21820</v>
      </c>
      <c r="AV6425">
        <v>80.010000000000005</v>
      </c>
      <c r="AX6425" s="1">
        <v>2202.94</v>
      </c>
      <c r="AY6425" t="s">
        <v>6015</v>
      </c>
      <c r="AZ6425" t="s">
        <v>5078</v>
      </c>
      <c r="BA6425" t="s">
        <v>121</v>
      </c>
      <c r="BE6425" s="3">
        <v>42458</v>
      </c>
      <c r="BF6425" s="1">
        <v>317000</v>
      </c>
      <c r="BG6425" t="s">
        <v>38812</v>
      </c>
      <c r="BH6425" s="1">
        <v>137.11000000000001</v>
      </c>
      <c r="BI6425" s="1">
        <v>323815</v>
      </c>
      <c r="BJ6425" s="3">
        <v>42458</v>
      </c>
      <c r="BK6425" t="s">
        <v>123</v>
      </c>
      <c r="BL6425" t="str">
        <f>"2016.202609"</f>
        <v>2016.202609</v>
      </c>
      <c r="BM6425" t="s">
        <v>724</v>
      </c>
      <c r="BO6425" t="s">
        <v>38813</v>
      </c>
      <c r="BS6425">
        <v>30</v>
      </c>
      <c r="BW6425" t="str">
        <f>""</f>
        <v/>
      </c>
      <c r="CH6425" t="str">
        <f>""</f>
        <v/>
      </c>
      <c r="CS6425" t="str">
        <f>""</f>
        <v/>
      </c>
    </row>
    <row r="6426" spans="1:97" x14ac:dyDescent="0.25">
      <c r="A6426" t="s">
        <v>464</v>
      </c>
      <c r="B6426" t="s">
        <v>38814</v>
      </c>
      <c r="C6426" t="s">
        <v>3543</v>
      </c>
      <c r="D6426" t="s">
        <v>38814</v>
      </c>
      <c r="E6426" t="s">
        <v>38815</v>
      </c>
      <c r="F6426" t="s">
        <v>108</v>
      </c>
      <c r="H6426" t="s">
        <v>38816</v>
      </c>
      <c r="I6426" t="s">
        <v>203</v>
      </c>
      <c r="J6426" t="s">
        <v>111</v>
      </c>
      <c r="K6426" t="str">
        <f>"85295"</f>
        <v>85295</v>
      </c>
      <c r="L6426" t="s">
        <v>4534</v>
      </c>
      <c r="M6426" t="s">
        <v>38816</v>
      </c>
      <c r="N6426" t="s">
        <v>203</v>
      </c>
      <c r="O6426" t="s">
        <v>111</v>
      </c>
      <c r="P6426" t="str">
        <f>"85295-1511"</f>
        <v>85295-1511</v>
      </c>
      <c r="Q6426" t="s">
        <v>113</v>
      </c>
      <c r="R6426" t="str">
        <f>"304-44-575"</f>
        <v>304-44-575</v>
      </c>
      <c r="S6426" t="s">
        <v>8955</v>
      </c>
      <c r="T6426" t="s">
        <v>8956</v>
      </c>
      <c r="U6426">
        <v>2871</v>
      </c>
      <c r="V6426">
        <v>0</v>
      </c>
      <c r="W6426">
        <v>4</v>
      </c>
      <c r="X6426">
        <v>2002</v>
      </c>
      <c r="Z6426">
        <v>1</v>
      </c>
      <c r="AA6426" t="s">
        <v>26</v>
      </c>
      <c r="AB6426">
        <v>0</v>
      </c>
      <c r="AC6426" t="s">
        <v>115</v>
      </c>
      <c r="AD6426">
        <v>3</v>
      </c>
      <c r="AE6426" t="s">
        <v>115</v>
      </c>
      <c r="AF6426">
        <v>0</v>
      </c>
      <c r="AG6426">
        <v>0</v>
      </c>
      <c r="AH6426" t="s">
        <v>116</v>
      </c>
      <c r="AI6426" s="1">
        <v>78341</v>
      </c>
      <c r="AJ6426" s="2">
        <v>0.16</v>
      </c>
      <c r="AK6426" s="1">
        <v>495341</v>
      </c>
      <c r="AL6426" t="s">
        <v>117</v>
      </c>
      <c r="AM6426" t="s">
        <v>1302</v>
      </c>
      <c r="AN6426">
        <v>10323</v>
      </c>
      <c r="AO6426">
        <v>0.24</v>
      </c>
      <c r="AP6426">
        <v>1</v>
      </c>
      <c r="AR6426">
        <v>1</v>
      </c>
      <c r="AS6426" s="1">
        <v>35720</v>
      </c>
      <c r="AT6426" s="1">
        <v>7140</v>
      </c>
      <c r="AU6426" s="1">
        <v>28580</v>
      </c>
      <c r="AV6426">
        <v>80.010000000000005</v>
      </c>
      <c r="AX6426" s="1">
        <v>2845.6</v>
      </c>
      <c r="AY6426" t="s">
        <v>206</v>
      </c>
      <c r="AZ6426" t="s">
        <v>207</v>
      </c>
      <c r="BA6426" t="s">
        <v>208</v>
      </c>
      <c r="BE6426" s="3">
        <v>41863</v>
      </c>
      <c r="BF6426" s="1">
        <v>405000</v>
      </c>
      <c r="BG6426" t="s">
        <v>38817</v>
      </c>
      <c r="BH6426" s="1">
        <v>141.07</v>
      </c>
      <c r="BI6426" s="1">
        <v>417000</v>
      </c>
      <c r="BJ6426" s="3">
        <v>41863</v>
      </c>
      <c r="BK6426" t="s">
        <v>123</v>
      </c>
      <c r="BL6426" t="str">
        <f>"2014.529050"</f>
        <v>2014.529050</v>
      </c>
      <c r="BM6426" t="s">
        <v>724</v>
      </c>
      <c r="BO6426" t="s">
        <v>38818</v>
      </c>
      <c r="BS6426">
        <v>30</v>
      </c>
      <c r="BW6426" t="str">
        <f>""</f>
        <v/>
      </c>
      <c r="CH6426" t="str">
        <f>""</f>
        <v/>
      </c>
      <c r="CS6426" t="str">
        <f>""</f>
        <v/>
      </c>
    </row>
    <row r="6427" spans="1:97" x14ac:dyDescent="0.25">
      <c r="A6427" t="s">
        <v>5771</v>
      </c>
      <c r="B6427" t="s">
        <v>38819</v>
      </c>
      <c r="C6427" t="s">
        <v>986</v>
      </c>
      <c r="D6427" t="s">
        <v>38820</v>
      </c>
      <c r="E6427" t="s">
        <v>38821</v>
      </c>
      <c r="F6427" t="s">
        <v>108</v>
      </c>
      <c r="H6427" t="s">
        <v>38822</v>
      </c>
      <c r="I6427" t="s">
        <v>390</v>
      </c>
      <c r="J6427" t="s">
        <v>111</v>
      </c>
      <c r="K6427" t="str">
        <f>"85044"</f>
        <v>85044</v>
      </c>
      <c r="L6427" t="s">
        <v>6438</v>
      </c>
      <c r="M6427" t="s">
        <v>38822</v>
      </c>
      <c r="N6427" t="s">
        <v>390</v>
      </c>
      <c r="O6427" t="s">
        <v>111</v>
      </c>
      <c r="P6427" t="str">
        <f>"85044-6060"</f>
        <v>85044-6060</v>
      </c>
      <c r="Q6427" t="s">
        <v>113</v>
      </c>
      <c r="R6427" t="str">
        <f>"307-05-158"</f>
        <v>307-05-158</v>
      </c>
      <c r="S6427" t="s">
        <v>29750</v>
      </c>
      <c r="T6427" t="s">
        <v>29751</v>
      </c>
      <c r="U6427">
        <v>2710</v>
      </c>
      <c r="V6427">
        <v>0</v>
      </c>
      <c r="W6427">
        <v>4</v>
      </c>
      <c r="X6427">
        <v>1994</v>
      </c>
      <c r="Z6427">
        <v>2</v>
      </c>
      <c r="AA6427" t="s">
        <v>26</v>
      </c>
      <c r="AB6427">
        <v>0</v>
      </c>
      <c r="AC6427" t="s">
        <v>115</v>
      </c>
      <c r="AD6427">
        <v>3</v>
      </c>
      <c r="AE6427" t="s">
        <v>115</v>
      </c>
      <c r="AF6427">
        <v>0</v>
      </c>
      <c r="AG6427">
        <v>0</v>
      </c>
      <c r="AH6427" t="s">
        <v>116</v>
      </c>
      <c r="AI6427" s="1">
        <v>106691</v>
      </c>
      <c r="AJ6427" s="2">
        <v>0.23</v>
      </c>
      <c r="AK6427" s="1">
        <v>467016</v>
      </c>
      <c r="AL6427" t="s">
        <v>117</v>
      </c>
      <c r="AM6427" t="s">
        <v>191</v>
      </c>
      <c r="AN6427">
        <v>8289</v>
      </c>
      <c r="AO6427">
        <v>0.19</v>
      </c>
      <c r="AP6427">
        <v>1</v>
      </c>
      <c r="AR6427">
        <v>1</v>
      </c>
      <c r="AS6427" s="1">
        <v>32760</v>
      </c>
      <c r="AT6427" s="1">
        <v>6550</v>
      </c>
      <c r="AU6427" s="1">
        <v>26210</v>
      </c>
      <c r="AV6427">
        <v>80.010000000000005</v>
      </c>
      <c r="AX6427" s="1">
        <v>3429.16</v>
      </c>
      <c r="AY6427" t="s">
        <v>7418</v>
      </c>
      <c r="AZ6427" t="s">
        <v>7255</v>
      </c>
      <c r="BA6427" t="s">
        <v>5328</v>
      </c>
      <c r="BE6427" s="3">
        <v>42537</v>
      </c>
      <c r="BF6427" s="1">
        <v>400000</v>
      </c>
      <c r="BG6427" t="s">
        <v>24964</v>
      </c>
      <c r="BH6427" s="1">
        <v>147.6</v>
      </c>
      <c r="BI6427" s="1">
        <v>360325</v>
      </c>
      <c r="BJ6427" s="3">
        <v>42537</v>
      </c>
      <c r="BK6427" t="s">
        <v>123</v>
      </c>
      <c r="BL6427" t="str">
        <f>"2016.419502"</f>
        <v>2016.419502</v>
      </c>
      <c r="BM6427" t="s">
        <v>2224</v>
      </c>
      <c r="BO6427" t="s">
        <v>38823</v>
      </c>
      <c r="BP6427" t="s">
        <v>38824</v>
      </c>
      <c r="BS6427">
        <v>30</v>
      </c>
      <c r="BW6427" t="str">
        <f>""</f>
        <v/>
      </c>
      <c r="CH6427" t="str">
        <f>""</f>
        <v/>
      </c>
      <c r="CS6427" t="str">
        <f>""</f>
        <v/>
      </c>
    </row>
    <row r="6428" spans="1:97" x14ac:dyDescent="0.25">
      <c r="A6428" t="s">
        <v>815</v>
      </c>
      <c r="B6428" t="s">
        <v>38825</v>
      </c>
      <c r="E6428" t="s">
        <v>38826</v>
      </c>
      <c r="F6428" t="s">
        <v>139</v>
      </c>
      <c r="H6428" t="s">
        <v>38827</v>
      </c>
      <c r="I6428" t="s">
        <v>110</v>
      </c>
      <c r="J6428" t="s">
        <v>111</v>
      </c>
      <c r="K6428" t="str">
        <f>"85286"</f>
        <v>85286</v>
      </c>
      <c r="L6428" t="s">
        <v>5260</v>
      </c>
      <c r="M6428" t="s">
        <v>38828</v>
      </c>
      <c r="N6428" t="s">
        <v>390</v>
      </c>
      <c r="O6428" t="s">
        <v>111</v>
      </c>
      <c r="P6428" t="str">
        <f>"85050-1023"</f>
        <v>85050-1023</v>
      </c>
      <c r="Q6428" t="s">
        <v>113</v>
      </c>
      <c r="R6428" t="str">
        <f>"303-29-414"</f>
        <v>303-29-414</v>
      </c>
      <c r="S6428" t="s">
        <v>11522</v>
      </c>
      <c r="T6428" t="s">
        <v>11522</v>
      </c>
      <c r="U6428">
        <v>2342</v>
      </c>
      <c r="V6428">
        <v>0</v>
      </c>
      <c r="W6428">
        <v>3</v>
      </c>
      <c r="X6428">
        <v>2001</v>
      </c>
      <c r="Z6428">
        <v>1</v>
      </c>
      <c r="AA6428" t="s">
        <v>26</v>
      </c>
      <c r="AB6428">
        <v>0</v>
      </c>
      <c r="AC6428" t="s">
        <v>115</v>
      </c>
      <c r="AD6428">
        <v>2</v>
      </c>
      <c r="AE6428" t="s">
        <v>115</v>
      </c>
      <c r="AF6428">
        <v>0</v>
      </c>
      <c r="AG6428">
        <v>0</v>
      </c>
      <c r="AH6428" t="s">
        <v>116</v>
      </c>
      <c r="AI6428" s="1">
        <v>64676</v>
      </c>
      <c r="AJ6428" s="2">
        <v>0.15</v>
      </c>
      <c r="AK6428" s="1">
        <v>419126</v>
      </c>
      <c r="AL6428" t="s">
        <v>117</v>
      </c>
      <c r="AM6428" t="s">
        <v>118</v>
      </c>
      <c r="AN6428">
        <v>18174</v>
      </c>
      <c r="AO6428">
        <v>0.42</v>
      </c>
      <c r="AP6428">
        <v>1</v>
      </c>
      <c r="AR6428">
        <v>1</v>
      </c>
      <c r="AS6428" s="1">
        <v>30410</v>
      </c>
      <c r="AT6428" s="1">
        <v>6080</v>
      </c>
      <c r="AU6428" s="1">
        <v>24330</v>
      </c>
      <c r="AV6428">
        <v>80.010000000000005</v>
      </c>
      <c r="AX6428" s="1">
        <v>2412.2600000000002</v>
      </c>
      <c r="AY6428" t="s">
        <v>3185</v>
      </c>
      <c r="AZ6428" t="s">
        <v>120</v>
      </c>
      <c r="BA6428" t="s">
        <v>303</v>
      </c>
      <c r="BE6428" s="3">
        <v>42535</v>
      </c>
      <c r="BF6428" s="1">
        <v>350000</v>
      </c>
      <c r="BG6428" t="s">
        <v>38829</v>
      </c>
      <c r="BH6428" s="1">
        <v>149.44</v>
      </c>
      <c r="BI6428" s="1">
        <v>354450</v>
      </c>
      <c r="BJ6428" s="3">
        <v>42535</v>
      </c>
      <c r="BK6428" t="s">
        <v>123</v>
      </c>
      <c r="BL6428" t="str">
        <f>"2016.411791"</f>
        <v>2016.411791</v>
      </c>
      <c r="BM6428" t="s">
        <v>1192</v>
      </c>
      <c r="BO6428" t="s">
        <v>38830</v>
      </c>
      <c r="BS6428">
        <v>30</v>
      </c>
      <c r="BW6428" t="str">
        <f>""</f>
        <v/>
      </c>
      <c r="CH6428" t="str">
        <f>""</f>
        <v/>
      </c>
      <c r="CS6428" t="str">
        <f>""</f>
        <v/>
      </c>
    </row>
    <row r="6429" spans="1:97" x14ac:dyDescent="0.25">
      <c r="A6429" t="s">
        <v>177</v>
      </c>
      <c r="B6429" t="s">
        <v>38831</v>
      </c>
      <c r="C6429" t="s">
        <v>38832</v>
      </c>
      <c r="D6429" t="s">
        <v>38831</v>
      </c>
      <c r="E6429" t="s">
        <v>38833</v>
      </c>
      <c r="F6429" t="s">
        <v>108</v>
      </c>
      <c r="H6429" t="s">
        <v>38834</v>
      </c>
      <c r="I6429" t="s">
        <v>1936</v>
      </c>
      <c r="J6429" t="s">
        <v>111</v>
      </c>
      <c r="K6429" t="str">
        <f>"85254"</f>
        <v>85254</v>
      </c>
      <c r="L6429" t="s">
        <v>2875</v>
      </c>
      <c r="M6429" t="s">
        <v>38834</v>
      </c>
      <c r="N6429" t="s">
        <v>1936</v>
      </c>
      <c r="O6429" t="s">
        <v>111</v>
      </c>
      <c r="P6429" t="str">
        <f>"85254-1063"</f>
        <v>85254-1063</v>
      </c>
      <c r="Q6429" t="s">
        <v>113</v>
      </c>
      <c r="R6429" t="str">
        <f>"215-32-514"</f>
        <v>215-32-514</v>
      </c>
      <c r="S6429" t="s">
        <v>38835</v>
      </c>
      <c r="T6429" t="s">
        <v>38835</v>
      </c>
      <c r="U6429">
        <v>3528</v>
      </c>
      <c r="V6429">
        <v>0</v>
      </c>
      <c r="W6429">
        <v>5</v>
      </c>
      <c r="X6429">
        <v>1997</v>
      </c>
      <c r="Z6429">
        <v>2</v>
      </c>
      <c r="AB6429">
        <v>0</v>
      </c>
      <c r="AC6429" t="s">
        <v>115</v>
      </c>
      <c r="AD6429">
        <v>3</v>
      </c>
      <c r="AE6429" t="s">
        <v>115</v>
      </c>
      <c r="AF6429">
        <v>0</v>
      </c>
      <c r="AG6429">
        <v>0</v>
      </c>
      <c r="AH6429" t="s">
        <v>116</v>
      </c>
      <c r="AI6429" s="1">
        <v>211533</v>
      </c>
      <c r="AJ6429" s="2">
        <v>0.34</v>
      </c>
      <c r="AK6429" s="1">
        <v>623263</v>
      </c>
      <c r="AL6429" t="s">
        <v>117</v>
      </c>
      <c r="AM6429" t="s">
        <v>1302</v>
      </c>
      <c r="AN6429">
        <v>8288</v>
      </c>
      <c r="AO6429">
        <v>0.19</v>
      </c>
      <c r="AP6429">
        <v>1</v>
      </c>
      <c r="AR6429">
        <v>1</v>
      </c>
      <c r="AS6429" s="1">
        <v>47250</v>
      </c>
      <c r="AT6429" s="1">
        <v>9450</v>
      </c>
      <c r="AU6429" s="1">
        <v>37800</v>
      </c>
      <c r="AV6429">
        <v>80</v>
      </c>
      <c r="AX6429" s="1">
        <v>4374.3599999999997</v>
      </c>
      <c r="AY6429" t="s">
        <v>1316</v>
      </c>
      <c r="AZ6429" t="s">
        <v>1317</v>
      </c>
      <c r="BA6429" t="s">
        <v>6302</v>
      </c>
      <c r="BE6429" s="3">
        <v>42153</v>
      </c>
      <c r="BF6429" s="1">
        <v>465000</v>
      </c>
      <c r="BG6429" t="s">
        <v>38836</v>
      </c>
      <c r="BH6429" s="1">
        <v>131.80000000000001</v>
      </c>
      <c r="BI6429" s="1">
        <v>411730</v>
      </c>
      <c r="BJ6429" s="3">
        <v>42803</v>
      </c>
      <c r="BK6429" t="s">
        <v>123</v>
      </c>
      <c r="BL6429" t="str">
        <f>"2017.168204"</f>
        <v>2017.168204</v>
      </c>
      <c r="BM6429" t="s">
        <v>402</v>
      </c>
      <c r="BN6429" t="s">
        <v>461</v>
      </c>
      <c r="BO6429" t="s">
        <v>38837</v>
      </c>
      <c r="BS6429">
        <v>28</v>
      </c>
      <c r="BW6429" t="str">
        <f>""</f>
        <v/>
      </c>
      <c r="CH6429" t="str">
        <f>""</f>
        <v/>
      </c>
      <c r="CS6429" t="str">
        <f>""</f>
        <v/>
      </c>
    </row>
    <row r="6430" spans="1:97" x14ac:dyDescent="0.25">
      <c r="A6430" t="s">
        <v>8013</v>
      </c>
      <c r="B6430" t="s">
        <v>38838</v>
      </c>
      <c r="C6430" t="s">
        <v>1496</v>
      </c>
      <c r="D6430" t="s">
        <v>38838</v>
      </c>
      <c r="E6430" t="s">
        <v>38839</v>
      </c>
      <c r="F6430" t="s">
        <v>108</v>
      </c>
      <c r="H6430" t="s">
        <v>38840</v>
      </c>
      <c r="I6430" t="s">
        <v>390</v>
      </c>
      <c r="J6430" t="s">
        <v>111</v>
      </c>
      <c r="K6430" t="str">
        <f>"85027"</f>
        <v>85027</v>
      </c>
      <c r="L6430" t="s">
        <v>6460</v>
      </c>
      <c r="M6430" t="s">
        <v>38840</v>
      </c>
      <c r="N6430" t="s">
        <v>390</v>
      </c>
      <c r="O6430" t="s">
        <v>111</v>
      </c>
      <c r="P6430" t="str">
        <f>"85027-1657"</f>
        <v>85027-1657</v>
      </c>
      <c r="Q6430" t="s">
        <v>113</v>
      </c>
      <c r="R6430" t="str">
        <f>"206-03-701"</f>
        <v>206-03-701</v>
      </c>
      <c r="S6430" t="s">
        <v>17301</v>
      </c>
      <c r="T6430" t="s">
        <v>17301</v>
      </c>
      <c r="U6430">
        <v>2346</v>
      </c>
      <c r="V6430">
        <v>0</v>
      </c>
      <c r="W6430">
        <v>4</v>
      </c>
      <c r="X6430">
        <v>1998</v>
      </c>
      <c r="Z6430">
        <v>2</v>
      </c>
      <c r="AB6430">
        <v>0</v>
      </c>
      <c r="AC6430" t="s">
        <v>115</v>
      </c>
      <c r="AD6430">
        <v>3</v>
      </c>
      <c r="AE6430" t="s">
        <v>115</v>
      </c>
      <c r="AF6430">
        <v>0</v>
      </c>
      <c r="AG6430">
        <v>0</v>
      </c>
      <c r="AH6430" t="s">
        <v>116</v>
      </c>
      <c r="AI6430" s="1">
        <v>68493</v>
      </c>
      <c r="AJ6430" s="2">
        <v>0.2</v>
      </c>
      <c r="AK6430" s="1">
        <v>350785</v>
      </c>
      <c r="AL6430" t="s">
        <v>117</v>
      </c>
      <c r="AM6430" t="s">
        <v>191</v>
      </c>
      <c r="AN6430">
        <v>6510</v>
      </c>
      <c r="AO6430">
        <v>0.15</v>
      </c>
      <c r="AP6430">
        <v>1</v>
      </c>
      <c r="AR6430">
        <v>1</v>
      </c>
      <c r="AS6430" s="1">
        <v>23800</v>
      </c>
      <c r="AT6430" s="1">
        <v>4760</v>
      </c>
      <c r="AU6430" s="1">
        <v>19040</v>
      </c>
      <c r="AV6430">
        <v>80</v>
      </c>
      <c r="AX6430" s="1">
        <v>1652.3</v>
      </c>
      <c r="AY6430" t="s">
        <v>6926</v>
      </c>
      <c r="AZ6430" t="s">
        <v>6926</v>
      </c>
      <c r="BA6430" t="s">
        <v>1462</v>
      </c>
      <c r="BE6430" s="3">
        <v>42535</v>
      </c>
      <c r="BF6430" s="1">
        <v>280000</v>
      </c>
      <c r="BG6430" t="s">
        <v>38841</v>
      </c>
      <c r="BH6430" s="1">
        <v>119.35</v>
      </c>
      <c r="BI6430" s="1">
        <v>282292</v>
      </c>
      <c r="BJ6430" s="3">
        <v>42670</v>
      </c>
      <c r="BK6430" t="s">
        <v>123</v>
      </c>
      <c r="BL6430" t="str">
        <f>"2016.789055"</f>
        <v>2016.789055</v>
      </c>
      <c r="BM6430" t="s">
        <v>1695</v>
      </c>
      <c r="BO6430" t="s">
        <v>38842</v>
      </c>
      <c r="BS6430">
        <v>30</v>
      </c>
      <c r="BW6430" t="str">
        <f>""</f>
        <v/>
      </c>
      <c r="CH6430" t="str">
        <f>""</f>
        <v/>
      </c>
      <c r="CS6430" t="str">
        <f>""</f>
        <v/>
      </c>
    </row>
    <row r="6431" spans="1:97" x14ac:dyDescent="0.25">
      <c r="A6431" t="s">
        <v>996</v>
      </c>
      <c r="B6431" t="s">
        <v>38843</v>
      </c>
      <c r="C6431" t="s">
        <v>1289</v>
      </c>
      <c r="D6431" t="s">
        <v>38843</v>
      </c>
      <c r="E6431" t="s">
        <v>38844</v>
      </c>
      <c r="F6431" t="s">
        <v>108</v>
      </c>
      <c r="H6431" t="s">
        <v>38845</v>
      </c>
      <c r="I6431" t="s">
        <v>390</v>
      </c>
      <c r="J6431" t="s">
        <v>111</v>
      </c>
      <c r="K6431" t="str">
        <f>"85083"</f>
        <v>85083</v>
      </c>
      <c r="L6431" t="s">
        <v>5743</v>
      </c>
      <c r="M6431" t="s">
        <v>38845</v>
      </c>
      <c r="N6431" t="s">
        <v>390</v>
      </c>
      <c r="O6431" t="s">
        <v>111</v>
      </c>
      <c r="P6431" t="str">
        <f>"85083-5440"</f>
        <v>85083-5440</v>
      </c>
      <c r="Q6431" t="s">
        <v>113</v>
      </c>
      <c r="R6431" t="str">
        <f>"201-38-425"</f>
        <v>201-38-425</v>
      </c>
      <c r="S6431" t="s">
        <v>17969</v>
      </c>
      <c r="U6431">
        <v>4265</v>
      </c>
      <c r="V6431">
        <v>0</v>
      </c>
      <c r="W6431">
        <v>6</v>
      </c>
      <c r="X6431">
        <v>2005</v>
      </c>
      <c r="Z6431">
        <v>2</v>
      </c>
      <c r="AA6431" t="s">
        <v>26</v>
      </c>
      <c r="AB6431">
        <v>0</v>
      </c>
      <c r="AC6431" t="s">
        <v>115</v>
      </c>
      <c r="AD6431">
        <v>3</v>
      </c>
      <c r="AE6431" t="s">
        <v>115</v>
      </c>
      <c r="AF6431">
        <v>0</v>
      </c>
      <c r="AG6431">
        <v>0</v>
      </c>
      <c r="AH6431" t="s">
        <v>116</v>
      </c>
      <c r="AI6431" s="1">
        <v>9863</v>
      </c>
      <c r="AJ6431" s="2">
        <v>0.02</v>
      </c>
      <c r="AK6431" s="1">
        <v>497319</v>
      </c>
      <c r="AL6431" t="s">
        <v>117</v>
      </c>
      <c r="AM6431" t="s">
        <v>191</v>
      </c>
      <c r="AN6431">
        <v>11462</v>
      </c>
      <c r="AO6431">
        <v>0.26</v>
      </c>
      <c r="AR6431">
        <v>1</v>
      </c>
      <c r="AS6431" s="1">
        <v>42330</v>
      </c>
      <c r="AT6431" s="1">
        <v>8460</v>
      </c>
      <c r="AU6431" s="1">
        <v>33870</v>
      </c>
      <c r="AV6431">
        <v>80.010000000000005</v>
      </c>
      <c r="AX6431" s="1">
        <v>4223.26</v>
      </c>
      <c r="AY6431" t="s">
        <v>5125</v>
      </c>
      <c r="AZ6431" t="s">
        <v>3049</v>
      </c>
      <c r="BA6431" t="s">
        <v>1386</v>
      </c>
      <c r="BE6431" s="3">
        <v>42220</v>
      </c>
      <c r="BF6431" s="1">
        <v>502000</v>
      </c>
      <c r="BG6431" t="s">
        <v>38846</v>
      </c>
      <c r="BH6431" s="1">
        <v>117.7</v>
      </c>
      <c r="BI6431" s="1">
        <v>487456</v>
      </c>
      <c r="BJ6431" s="3">
        <v>42402</v>
      </c>
      <c r="BK6431" t="s">
        <v>123</v>
      </c>
      <c r="BL6431" t="str">
        <f>"2016.68659"</f>
        <v>2016.68659</v>
      </c>
      <c r="BM6431" t="s">
        <v>1185</v>
      </c>
      <c r="BO6431" t="s">
        <v>38847</v>
      </c>
      <c r="BS6431">
        <v>30</v>
      </c>
      <c r="BW6431" t="str">
        <f>""</f>
        <v/>
      </c>
      <c r="CH6431" t="str">
        <f>""</f>
        <v/>
      </c>
      <c r="CS6431" t="str">
        <f>""</f>
        <v/>
      </c>
    </row>
    <row r="6432" spans="1:97" x14ac:dyDescent="0.25">
      <c r="A6432" t="s">
        <v>334</v>
      </c>
      <c r="B6432" t="s">
        <v>38848</v>
      </c>
      <c r="C6432" t="s">
        <v>3958</v>
      </c>
      <c r="D6432" t="s">
        <v>38848</v>
      </c>
      <c r="E6432" t="s">
        <v>38849</v>
      </c>
      <c r="F6432" t="s">
        <v>108</v>
      </c>
      <c r="H6432" t="s">
        <v>38850</v>
      </c>
      <c r="I6432" t="s">
        <v>225</v>
      </c>
      <c r="J6432" t="s">
        <v>111</v>
      </c>
      <c r="K6432" t="str">
        <f>"85209"</f>
        <v>85209</v>
      </c>
      <c r="L6432" t="s">
        <v>3530</v>
      </c>
      <c r="M6432" t="s">
        <v>38850</v>
      </c>
      <c r="N6432" t="s">
        <v>225</v>
      </c>
      <c r="O6432" t="s">
        <v>111</v>
      </c>
      <c r="P6432" t="str">
        <f>"85209-1535"</f>
        <v>85209-1535</v>
      </c>
      <c r="Q6432" t="s">
        <v>113</v>
      </c>
      <c r="R6432" t="str">
        <f>"312-11-255"</f>
        <v>312-11-255</v>
      </c>
      <c r="S6432" t="s">
        <v>38851</v>
      </c>
      <c r="U6432">
        <v>2331</v>
      </c>
      <c r="V6432">
        <v>0</v>
      </c>
      <c r="W6432">
        <v>3</v>
      </c>
      <c r="X6432">
        <v>2005</v>
      </c>
      <c r="Z6432">
        <v>1</v>
      </c>
      <c r="AA6432" t="s">
        <v>26</v>
      </c>
      <c r="AB6432">
        <v>0</v>
      </c>
      <c r="AC6432" t="s">
        <v>115</v>
      </c>
      <c r="AD6432">
        <v>2</v>
      </c>
      <c r="AE6432" t="s">
        <v>115</v>
      </c>
      <c r="AF6432">
        <v>0</v>
      </c>
      <c r="AG6432">
        <v>0</v>
      </c>
      <c r="AH6432" t="s">
        <v>116</v>
      </c>
      <c r="AI6432" s="1">
        <v>83860</v>
      </c>
      <c r="AJ6432" s="2">
        <v>0.23</v>
      </c>
      <c r="AK6432" s="1">
        <v>368260</v>
      </c>
      <c r="AL6432" t="s">
        <v>117</v>
      </c>
      <c r="AM6432" t="s">
        <v>393</v>
      </c>
      <c r="AN6432">
        <v>7674</v>
      </c>
      <c r="AO6432">
        <v>0.18</v>
      </c>
      <c r="AR6432">
        <v>1</v>
      </c>
      <c r="AS6432" s="1">
        <v>26130</v>
      </c>
      <c r="AT6432" s="1">
        <v>5220</v>
      </c>
      <c r="AU6432" s="1">
        <v>20910</v>
      </c>
      <c r="AV6432">
        <v>80.02</v>
      </c>
      <c r="AX6432" s="1">
        <v>1928.22</v>
      </c>
      <c r="AY6432" t="s">
        <v>4370</v>
      </c>
      <c r="AZ6432" t="s">
        <v>777</v>
      </c>
      <c r="BA6432" t="s">
        <v>572</v>
      </c>
      <c r="BE6432" s="3">
        <v>42209</v>
      </c>
      <c r="BF6432" s="1">
        <v>284400</v>
      </c>
      <c r="BG6432" t="s">
        <v>38852</v>
      </c>
      <c r="BH6432" s="1">
        <v>122.01</v>
      </c>
      <c r="BI6432" s="1">
        <v>284400</v>
      </c>
      <c r="BJ6432" s="3">
        <v>42209</v>
      </c>
      <c r="BK6432" t="s">
        <v>123</v>
      </c>
      <c r="BL6432" t="str">
        <f>"2015.536154"</f>
        <v>2015.536154</v>
      </c>
      <c r="BM6432" t="s">
        <v>175</v>
      </c>
      <c r="BO6432" t="s">
        <v>38853</v>
      </c>
      <c r="BP6432" t="s">
        <v>38854</v>
      </c>
      <c r="BS6432">
        <v>30</v>
      </c>
      <c r="BW6432" t="str">
        <f>""</f>
        <v/>
      </c>
      <c r="CH6432" t="str">
        <f>""</f>
        <v/>
      </c>
      <c r="CS6432" t="str">
        <f>""</f>
        <v/>
      </c>
    </row>
    <row r="6433" spans="1:97" x14ac:dyDescent="0.25">
      <c r="A6433" t="s">
        <v>11735</v>
      </c>
      <c r="B6433" t="s">
        <v>7072</v>
      </c>
      <c r="E6433" t="s">
        <v>38855</v>
      </c>
      <c r="F6433" t="s">
        <v>108</v>
      </c>
      <c r="H6433" t="s">
        <v>38856</v>
      </c>
      <c r="I6433" t="s">
        <v>5114</v>
      </c>
      <c r="J6433" t="s">
        <v>111</v>
      </c>
      <c r="K6433" t="str">
        <f>"85392"</f>
        <v>85392</v>
      </c>
      <c r="L6433" t="s">
        <v>226</v>
      </c>
      <c r="M6433" t="s">
        <v>38856</v>
      </c>
      <c r="N6433" t="s">
        <v>5114</v>
      </c>
      <c r="O6433" t="s">
        <v>111</v>
      </c>
      <c r="P6433" t="str">
        <f>"85392-4509"</f>
        <v>85392-4509</v>
      </c>
      <c r="Q6433" t="s">
        <v>113</v>
      </c>
      <c r="R6433" t="str">
        <f>"102-27-040"</f>
        <v>102-27-040</v>
      </c>
      <c r="S6433" t="s">
        <v>38857</v>
      </c>
      <c r="T6433" t="s">
        <v>14815</v>
      </c>
      <c r="U6433">
        <v>2980</v>
      </c>
      <c r="V6433">
        <v>0</v>
      </c>
      <c r="W6433">
        <v>3</v>
      </c>
      <c r="X6433">
        <v>1980</v>
      </c>
      <c r="Z6433">
        <v>1</v>
      </c>
      <c r="AB6433">
        <v>0</v>
      </c>
      <c r="AC6433" t="s">
        <v>115</v>
      </c>
      <c r="AD6433">
        <v>2</v>
      </c>
      <c r="AE6433" t="s">
        <v>115</v>
      </c>
      <c r="AF6433">
        <v>0</v>
      </c>
      <c r="AG6433">
        <v>0</v>
      </c>
      <c r="AH6433" t="s">
        <v>116</v>
      </c>
      <c r="AI6433" s="1">
        <v>92836</v>
      </c>
      <c r="AJ6433" s="2">
        <v>0.22</v>
      </c>
      <c r="AK6433" s="1">
        <v>414523</v>
      </c>
      <c r="AL6433" t="s">
        <v>117</v>
      </c>
      <c r="AM6433" t="s">
        <v>7948</v>
      </c>
      <c r="AN6433">
        <v>26567</v>
      </c>
      <c r="AO6433">
        <v>0.61</v>
      </c>
      <c r="AP6433">
        <v>1</v>
      </c>
      <c r="AR6433">
        <v>1</v>
      </c>
      <c r="AS6433" s="1">
        <v>29720</v>
      </c>
      <c r="AT6433" s="1">
        <v>5940</v>
      </c>
      <c r="AU6433" s="1">
        <v>23780</v>
      </c>
      <c r="AV6433">
        <v>80.010000000000005</v>
      </c>
      <c r="AX6433" s="1">
        <v>3391.72</v>
      </c>
      <c r="AY6433" t="s">
        <v>8084</v>
      </c>
      <c r="AZ6433" t="s">
        <v>8084</v>
      </c>
      <c r="BA6433" t="s">
        <v>5118</v>
      </c>
      <c r="BE6433" s="3">
        <v>41807</v>
      </c>
      <c r="BF6433" s="1">
        <v>317000</v>
      </c>
      <c r="BG6433" t="s">
        <v>38858</v>
      </c>
      <c r="BH6433" s="1">
        <v>106.38</v>
      </c>
      <c r="BI6433" s="1">
        <v>321687</v>
      </c>
      <c r="BJ6433" s="3">
        <v>42706</v>
      </c>
      <c r="BK6433" t="s">
        <v>123</v>
      </c>
      <c r="BL6433" t="str">
        <f>"2016.890184"</f>
        <v>2016.890184</v>
      </c>
      <c r="BM6433" t="s">
        <v>492</v>
      </c>
      <c r="BO6433" t="s">
        <v>38859</v>
      </c>
      <c r="BS6433">
        <v>30</v>
      </c>
      <c r="BW6433" t="str">
        <f>""</f>
        <v/>
      </c>
      <c r="CH6433" t="str">
        <f>""</f>
        <v/>
      </c>
      <c r="CS6433" t="str">
        <f>""</f>
        <v/>
      </c>
    </row>
    <row r="6434" spans="1:97" x14ac:dyDescent="0.25">
      <c r="A6434" t="s">
        <v>464</v>
      </c>
      <c r="B6434" t="s">
        <v>38860</v>
      </c>
      <c r="E6434" t="s">
        <v>38861</v>
      </c>
      <c r="F6434" t="s">
        <v>108</v>
      </c>
      <c r="H6434" t="s">
        <v>38862</v>
      </c>
      <c r="I6434" t="s">
        <v>453</v>
      </c>
      <c r="J6434" t="s">
        <v>111</v>
      </c>
      <c r="K6434" t="str">
        <f>"85383"</f>
        <v>85383</v>
      </c>
      <c r="L6434" t="s">
        <v>2220</v>
      </c>
      <c r="M6434" t="s">
        <v>38862</v>
      </c>
      <c r="N6434" t="s">
        <v>453</v>
      </c>
      <c r="O6434" t="s">
        <v>111</v>
      </c>
      <c r="P6434" t="str">
        <f>"85383-7336"</f>
        <v>85383-7336</v>
      </c>
      <c r="Q6434" t="s">
        <v>113</v>
      </c>
      <c r="R6434" t="str">
        <f>"201-34-458"</f>
        <v>201-34-458</v>
      </c>
      <c r="S6434" t="s">
        <v>38863</v>
      </c>
      <c r="T6434" t="s">
        <v>2222</v>
      </c>
      <c r="U6434">
        <v>2507</v>
      </c>
      <c r="V6434">
        <v>0</v>
      </c>
      <c r="W6434">
        <v>4</v>
      </c>
      <c r="X6434">
        <v>2001</v>
      </c>
      <c r="Z6434">
        <v>1</v>
      </c>
      <c r="AB6434">
        <v>0</v>
      </c>
      <c r="AC6434" t="s">
        <v>115</v>
      </c>
      <c r="AD6434">
        <v>3</v>
      </c>
      <c r="AE6434" t="s">
        <v>115</v>
      </c>
      <c r="AF6434">
        <v>0</v>
      </c>
      <c r="AG6434">
        <v>0</v>
      </c>
      <c r="AH6434" t="s">
        <v>116</v>
      </c>
      <c r="AI6434" s="1">
        <v>80935</v>
      </c>
      <c r="AJ6434" s="2">
        <v>0.22</v>
      </c>
      <c r="AK6434" s="1">
        <v>372935</v>
      </c>
      <c r="AL6434" t="s">
        <v>117</v>
      </c>
      <c r="AM6434" t="s">
        <v>171</v>
      </c>
      <c r="AN6434">
        <v>8900</v>
      </c>
      <c r="AO6434">
        <v>0.2</v>
      </c>
      <c r="AP6434">
        <v>1</v>
      </c>
      <c r="AR6434">
        <v>1</v>
      </c>
      <c r="AS6434" s="1">
        <v>28070</v>
      </c>
      <c r="AT6434" s="1">
        <v>5610</v>
      </c>
      <c r="AU6434" s="1">
        <v>22460</v>
      </c>
      <c r="AV6434">
        <v>80.010000000000005</v>
      </c>
      <c r="AX6434" s="1">
        <v>2468.2600000000002</v>
      </c>
      <c r="AY6434" t="s">
        <v>1385</v>
      </c>
      <c r="AZ6434" t="s">
        <v>1385</v>
      </c>
      <c r="BA6434" t="s">
        <v>2223</v>
      </c>
      <c r="BE6434" s="3">
        <v>42059</v>
      </c>
      <c r="BF6434" s="1">
        <v>292000</v>
      </c>
      <c r="BG6434" t="s">
        <v>38864</v>
      </c>
      <c r="BH6434" s="1">
        <v>116.47</v>
      </c>
      <c r="BI6434" s="1">
        <v>292000</v>
      </c>
      <c r="BJ6434" s="3">
        <v>42059</v>
      </c>
      <c r="BK6434" t="s">
        <v>123</v>
      </c>
      <c r="BL6434" t="str">
        <f>"2015.118194"</f>
        <v>2015.118194</v>
      </c>
      <c r="BM6434" t="s">
        <v>1325</v>
      </c>
      <c r="BO6434" t="s">
        <v>38865</v>
      </c>
      <c r="BS6434">
        <v>30</v>
      </c>
      <c r="BW6434" t="str">
        <f>""</f>
        <v/>
      </c>
      <c r="CH6434" t="str">
        <f>""</f>
        <v/>
      </c>
      <c r="CS6434" t="str">
        <f>""</f>
        <v/>
      </c>
    </row>
    <row r="6435" spans="1:97" x14ac:dyDescent="0.25">
      <c r="A6435" t="s">
        <v>4024</v>
      </c>
      <c r="B6435" t="s">
        <v>38866</v>
      </c>
      <c r="E6435" t="s">
        <v>38867</v>
      </c>
      <c r="F6435" t="s">
        <v>108</v>
      </c>
      <c r="H6435" t="s">
        <v>38868</v>
      </c>
      <c r="I6435" t="s">
        <v>110</v>
      </c>
      <c r="J6435" t="s">
        <v>111</v>
      </c>
      <c r="K6435" t="str">
        <f>"85226"</f>
        <v>85226</v>
      </c>
      <c r="L6435" t="s">
        <v>5325</v>
      </c>
      <c r="M6435" t="s">
        <v>38868</v>
      </c>
      <c r="N6435" t="s">
        <v>110</v>
      </c>
      <c r="O6435" t="s">
        <v>111</v>
      </c>
      <c r="P6435" t="str">
        <f>"85226-4543"</f>
        <v>85226-4543</v>
      </c>
      <c r="Q6435" t="s">
        <v>113</v>
      </c>
      <c r="R6435" t="str">
        <f>"308-09-218"</f>
        <v>308-09-218</v>
      </c>
      <c r="S6435" t="s">
        <v>38869</v>
      </c>
      <c r="T6435" t="s">
        <v>15819</v>
      </c>
      <c r="U6435">
        <v>1604</v>
      </c>
      <c r="V6435">
        <v>0</v>
      </c>
      <c r="W6435">
        <v>3</v>
      </c>
      <c r="X6435">
        <v>1993</v>
      </c>
      <c r="Z6435">
        <v>1</v>
      </c>
      <c r="AA6435" t="s">
        <v>15127</v>
      </c>
      <c r="AB6435">
        <v>0</v>
      </c>
      <c r="AC6435" t="s">
        <v>115</v>
      </c>
      <c r="AD6435">
        <v>2</v>
      </c>
      <c r="AE6435" t="s">
        <v>115</v>
      </c>
      <c r="AF6435">
        <v>0</v>
      </c>
      <c r="AG6435">
        <v>0</v>
      </c>
      <c r="AH6435" t="s">
        <v>116</v>
      </c>
      <c r="AI6435" s="1">
        <v>76237</v>
      </c>
      <c r="AJ6435" s="2">
        <v>0.24</v>
      </c>
      <c r="AK6435" s="1">
        <v>316037</v>
      </c>
      <c r="AL6435" t="s">
        <v>117</v>
      </c>
      <c r="AM6435" t="s">
        <v>118</v>
      </c>
      <c r="AN6435">
        <v>5489</v>
      </c>
      <c r="AO6435">
        <v>0.13</v>
      </c>
      <c r="AP6435">
        <v>1</v>
      </c>
      <c r="AR6435">
        <v>1</v>
      </c>
      <c r="AS6435" s="1">
        <v>23020</v>
      </c>
      <c r="AT6435" s="1">
        <v>4600</v>
      </c>
      <c r="AU6435" s="1">
        <v>18420</v>
      </c>
      <c r="AV6435">
        <v>80.02</v>
      </c>
      <c r="AX6435" s="1">
        <v>1699.12</v>
      </c>
      <c r="AY6435" t="s">
        <v>5200</v>
      </c>
      <c r="AZ6435" t="s">
        <v>5201</v>
      </c>
      <c r="BA6435" t="s">
        <v>5202</v>
      </c>
      <c r="BE6435" s="3">
        <v>42202</v>
      </c>
      <c r="BF6435" s="1">
        <v>239900</v>
      </c>
      <c r="BG6435" t="s">
        <v>38870</v>
      </c>
      <c r="BH6435" s="1">
        <v>149.56</v>
      </c>
      <c r="BI6435" s="1">
        <v>239800</v>
      </c>
      <c r="BJ6435" s="3">
        <v>42752</v>
      </c>
      <c r="BK6435" t="s">
        <v>123</v>
      </c>
      <c r="BL6435" t="str">
        <f>"2017.32708"</f>
        <v>2017.32708</v>
      </c>
      <c r="BM6435" t="s">
        <v>1915</v>
      </c>
      <c r="BO6435" t="s">
        <v>38871</v>
      </c>
      <c r="BS6435">
        <v>30</v>
      </c>
      <c r="BW6435" t="str">
        <f>""</f>
        <v/>
      </c>
      <c r="CH6435" t="str">
        <f>""</f>
        <v/>
      </c>
      <c r="CS6435" t="str">
        <f>""</f>
        <v/>
      </c>
    </row>
    <row r="6436" spans="1:97" x14ac:dyDescent="0.25">
      <c r="A6436" t="s">
        <v>6443</v>
      </c>
      <c r="B6436" t="s">
        <v>327</v>
      </c>
      <c r="C6436" t="s">
        <v>945</v>
      </c>
      <c r="D6436" t="s">
        <v>327</v>
      </c>
      <c r="E6436" t="s">
        <v>38872</v>
      </c>
      <c r="F6436" t="s">
        <v>108</v>
      </c>
      <c r="H6436" t="s">
        <v>38873</v>
      </c>
      <c r="I6436" t="s">
        <v>453</v>
      </c>
      <c r="J6436" t="s">
        <v>111</v>
      </c>
      <c r="K6436" t="str">
        <f>"85382"</f>
        <v>85382</v>
      </c>
      <c r="L6436" t="s">
        <v>2765</v>
      </c>
      <c r="M6436" t="s">
        <v>38873</v>
      </c>
      <c r="N6436" t="s">
        <v>453</v>
      </c>
      <c r="O6436" t="s">
        <v>111</v>
      </c>
      <c r="P6436" t="str">
        <f>"85382-4653"</f>
        <v>85382-4653</v>
      </c>
      <c r="Q6436" t="s">
        <v>113</v>
      </c>
      <c r="R6436" t="str">
        <f>"231-12-170"</f>
        <v>231-12-170</v>
      </c>
      <c r="S6436" t="s">
        <v>10466</v>
      </c>
      <c r="T6436" t="s">
        <v>10467</v>
      </c>
      <c r="U6436">
        <v>1713</v>
      </c>
      <c r="V6436">
        <v>0</v>
      </c>
      <c r="W6436">
        <v>3</v>
      </c>
      <c r="X6436">
        <v>1994</v>
      </c>
      <c r="Z6436">
        <v>1</v>
      </c>
      <c r="AB6436">
        <v>0</v>
      </c>
      <c r="AC6436" t="s">
        <v>115</v>
      </c>
      <c r="AD6436">
        <v>2</v>
      </c>
      <c r="AE6436" t="s">
        <v>115</v>
      </c>
      <c r="AF6436">
        <v>0</v>
      </c>
      <c r="AG6436">
        <v>0</v>
      </c>
      <c r="AH6436" t="s">
        <v>116</v>
      </c>
      <c r="AI6436" s="1">
        <v>40221</v>
      </c>
      <c r="AJ6436" s="2">
        <v>0.14000000000000001</v>
      </c>
      <c r="AK6436" s="1">
        <v>293089</v>
      </c>
      <c r="AL6436" t="s">
        <v>117</v>
      </c>
      <c r="AM6436" t="s">
        <v>118</v>
      </c>
      <c r="AN6436">
        <v>7000</v>
      </c>
      <c r="AO6436">
        <v>0.16</v>
      </c>
      <c r="AP6436">
        <v>1</v>
      </c>
      <c r="AR6436">
        <v>1</v>
      </c>
      <c r="AS6436" s="1">
        <v>20700</v>
      </c>
      <c r="AT6436" s="1">
        <v>4140</v>
      </c>
      <c r="AU6436" s="1">
        <v>16560</v>
      </c>
      <c r="AV6436">
        <v>80</v>
      </c>
      <c r="AX6436" s="1">
        <v>1932.2</v>
      </c>
      <c r="AY6436" t="s">
        <v>7828</v>
      </c>
      <c r="AZ6436" t="s">
        <v>7828</v>
      </c>
      <c r="BA6436" t="s">
        <v>4219</v>
      </c>
      <c r="BE6436" s="3">
        <v>42069</v>
      </c>
      <c r="BF6436" s="1">
        <v>205000</v>
      </c>
      <c r="BG6436" t="s">
        <v>38874</v>
      </c>
      <c r="BH6436" s="1">
        <v>119.67</v>
      </c>
      <c r="BI6436" s="1">
        <v>252868</v>
      </c>
      <c r="BJ6436" s="3">
        <v>42502</v>
      </c>
      <c r="BK6436" t="s">
        <v>123</v>
      </c>
      <c r="BL6436" t="str">
        <f>"2016.324445"</f>
        <v>2016.324445</v>
      </c>
      <c r="BM6436" t="s">
        <v>1695</v>
      </c>
      <c r="BO6436" t="s">
        <v>38875</v>
      </c>
      <c r="BS6436">
        <v>30</v>
      </c>
      <c r="BW6436" t="str">
        <f>""</f>
        <v/>
      </c>
      <c r="CH6436" t="str">
        <f>""</f>
        <v/>
      </c>
      <c r="CS6436" t="str">
        <f>""</f>
        <v/>
      </c>
    </row>
    <row r="6437" spans="1:97" x14ac:dyDescent="0.25">
      <c r="A6437" t="s">
        <v>1514</v>
      </c>
      <c r="B6437" t="s">
        <v>38876</v>
      </c>
      <c r="C6437" t="s">
        <v>1162</v>
      </c>
      <c r="D6437" t="s">
        <v>38876</v>
      </c>
      <c r="E6437" t="s">
        <v>38877</v>
      </c>
      <c r="F6437" t="s">
        <v>108</v>
      </c>
      <c r="H6437" t="s">
        <v>38878</v>
      </c>
      <c r="I6437" t="s">
        <v>632</v>
      </c>
      <c r="J6437" t="s">
        <v>111</v>
      </c>
      <c r="K6437" t="str">
        <f>"85379"</f>
        <v>85379</v>
      </c>
      <c r="L6437" t="s">
        <v>269</v>
      </c>
      <c r="M6437" t="s">
        <v>38878</v>
      </c>
      <c r="N6437" t="s">
        <v>632</v>
      </c>
      <c r="O6437" t="s">
        <v>111</v>
      </c>
      <c r="P6437" t="str">
        <f>"85379-4822"</f>
        <v>85379-4822</v>
      </c>
      <c r="Q6437" t="s">
        <v>113</v>
      </c>
      <c r="R6437" t="str">
        <f>"501-40-204"</f>
        <v>501-40-204</v>
      </c>
      <c r="S6437" t="s">
        <v>10207</v>
      </c>
      <c r="U6437">
        <v>3077</v>
      </c>
      <c r="V6437">
        <v>0</v>
      </c>
      <c r="W6437">
        <v>4</v>
      </c>
      <c r="X6437">
        <v>2005</v>
      </c>
      <c r="Z6437">
        <v>2</v>
      </c>
      <c r="AB6437">
        <v>0</v>
      </c>
      <c r="AC6437" t="s">
        <v>115</v>
      </c>
      <c r="AD6437">
        <v>3</v>
      </c>
      <c r="AE6437" t="s">
        <v>115</v>
      </c>
      <c r="AF6437">
        <v>0</v>
      </c>
      <c r="AG6437">
        <v>0</v>
      </c>
      <c r="AH6437" t="s">
        <v>116</v>
      </c>
      <c r="AI6437" s="1">
        <v>42300</v>
      </c>
      <c r="AJ6437" s="2">
        <v>0.13</v>
      </c>
      <c r="AK6437" s="1">
        <v>321210</v>
      </c>
      <c r="AL6437" t="s">
        <v>117</v>
      </c>
      <c r="AM6437" t="s">
        <v>118</v>
      </c>
      <c r="AN6437">
        <v>8206</v>
      </c>
      <c r="AO6437">
        <v>0.19</v>
      </c>
      <c r="AR6437">
        <v>1</v>
      </c>
      <c r="AS6437" s="1">
        <v>22660</v>
      </c>
      <c r="AT6437" s="1">
        <v>4530</v>
      </c>
      <c r="AU6437" s="1">
        <v>18130</v>
      </c>
      <c r="AV6437">
        <v>80.010000000000005</v>
      </c>
      <c r="AX6437" s="1">
        <v>1832.2</v>
      </c>
      <c r="AY6437" t="s">
        <v>5060</v>
      </c>
      <c r="AZ6437" t="s">
        <v>5060</v>
      </c>
      <c r="BA6437" t="s">
        <v>5061</v>
      </c>
      <c r="BE6437" s="3">
        <v>42460</v>
      </c>
      <c r="BF6437" s="1">
        <v>165000</v>
      </c>
      <c r="BG6437" t="s">
        <v>38879</v>
      </c>
      <c r="BH6437" s="1">
        <v>53.62</v>
      </c>
      <c r="BI6437" s="1">
        <v>278910</v>
      </c>
      <c r="BJ6437" s="3">
        <v>43431</v>
      </c>
      <c r="BK6437" t="s">
        <v>123</v>
      </c>
      <c r="BL6437" t="str">
        <f>"2018.870966"</f>
        <v>2018.870966</v>
      </c>
      <c r="BM6437" t="s">
        <v>1809</v>
      </c>
      <c r="BN6437" t="s">
        <v>1810</v>
      </c>
      <c r="BO6437" t="s">
        <v>38880</v>
      </c>
      <c r="BP6437" t="s">
        <v>38881</v>
      </c>
      <c r="BR6437" t="s">
        <v>139</v>
      </c>
      <c r="BW6437" t="str">
        <f>""</f>
        <v/>
      </c>
      <c r="CH6437" t="str">
        <f>""</f>
        <v/>
      </c>
      <c r="CS6437" t="str">
        <f>""</f>
        <v/>
      </c>
    </row>
    <row r="6438" spans="1:97" x14ac:dyDescent="0.25">
      <c r="A6438" t="s">
        <v>370</v>
      </c>
      <c r="B6438" t="s">
        <v>38882</v>
      </c>
      <c r="E6438" t="s">
        <v>38883</v>
      </c>
      <c r="F6438" t="s">
        <v>108</v>
      </c>
      <c r="H6438" t="s">
        <v>38884</v>
      </c>
      <c r="I6438" t="s">
        <v>225</v>
      </c>
      <c r="J6438" t="s">
        <v>111</v>
      </c>
      <c r="K6438" t="str">
        <f>"85205"</f>
        <v>85205</v>
      </c>
      <c r="L6438" t="s">
        <v>3982</v>
      </c>
      <c r="M6438" t="s">
        <v>38884</v>
      </c>
      <c r="N6438" t="s">
        <v>225</v>
      </c>
      <c r="O6438" t="s">
        <v>111</v>
      </c>
      <c r="P6438" t="str">
        <f>"85205-4514"</f>
        <v>85205-4514</v>
      </c>
      <c r="Q6438" t="s">
        <v>113</v>
      </c>
      <c r="R6438" t="str">
        <f>"141-65-222"</f>
        <v>141-65-222</v>
      </c>
      <c r="S6438" t="s">
        <v>15648</v>
      </c>
      <c r="T6438" t="s">
        <v>15649</v>
      </c>
      <c r="U6438">
        <v>1713</v>
      </c>
      <c r="V6438">
        <v>0</v>
      </c>
      <c r="W6438">
        <v>2</v>
      </c>
      <c r="X6438">
        <v>1980</v>
      </c>
      <c r="Z6438">
        <v>1</v>
      </c>
      <c r="AB6438">
        <v>0</v>
      </c>
      <c r="AC6438" t="s">
        <v>115</v>
      </c>
      <c r="AD6438">
        <v>2</v>
      </c>
      <c r="AE6438" t="s">
        <v>115</v>
      </c>
      <c r="AF6438">
        <v>0</v>
      </c>
      <c r="AG6438">
        <v>0</v>
      </c>
      <c r="AH6438" t="s">
        <v>116</v>
      </c>
      <c r="AI6438" s="1">
        <v>76114</v>
      </c>
      <c r="AJ6438" s="2">
        <v>0.27</v>
      </c>
      <c r="AK6438" s="1">
        <v>280914</v>
      </c>
      <c r="AL6438" t="s">
        <v>117</v>
      </c>
      <c r="AM6438" t="s">
        <v>917</v>
      </c>
      <c r="AN6438">
        <v>11231</v>
      </c>
      <c r="AO6438">
        <v>0.26</v>
      </c>
      <c r="AP6438">
        <v>1</v>
      </c>
      <c r="AR6438">
        <v>1</v>
      </c>
      <c r="AS6438" s="1">
        <v>18370</v>
      </c>
      <c r="AT6438" s="1">
        <v>3670</v>
      </c>
      <c r="AU6438" s="1">
        <v>14700</v>
      </c>
      <c r="AV6438">
        <v>80.02</v>
      </c>
      <c r="AX6438" s="1">
        <v>1574.66</v>
      </c>
      <c r="AY6438" t="s">
        <v>5274</v>
      </c>
      <c r="AZ6438" t="s">
        <v>5275</v>
      </c>
      <c r="BA6438" t="s">
        <v>3119</v>
      </c>
      <c r="BE6438" s="3">
        <v>41711</v>
      </c>
      <c r="BF6438" s="1">
        <v>200000</v>
      </c>
      <c r="BG6438" t="s">
        <v>38885</v>
      </c>
      <c r="BH6438" s="1">
        <v>116.75</v>
      </c>
      <c r="BI6438" s="1">
        <v>204800</v>
      </c>
      <c r="BJ6438" s="3">
        <v>41711</v>
      </c>
      <c r="BK6438" t="s">
        <v>123</v>
      </c>
      <c r="BL6438" t="str">
        <f>"2014.159764"</f>
        <v>2014.159764</v>
      </c>
      <c r="BM6438" t="s">
        <v>2716</v>
      </c>
      <c r="BO6438" t="s">
        <v>38886</v>
      </c>
      <c r="BS6438">
        <v>30</v>
      </c>
      <c r="BW6438" t="str">
        <f>""</f>
        <v/>
      </c>
      <c r="CH6438" t="str">
        <f>""</f>
        <v/>
      </c>
      <c r="CS6438" t="str">
        <f>""</f>
        <v/>
      </c>
    </row>
    <row r="6439" spans="1:97" x14ac:dyDescent="0.25">
      <c r="A6439" t="s">
        <v>140</v>
      </c>
      <c r="B6439" t="s">
        <v>14002</v>
      </c>
      <c r="C6439" t="s">
        <v>2582</v>
      </c>
      <c r="D6439" t="s">
        <v>14002</v>
      </c>
      <c r="E6439" t="s">
        <v>38887</v>
      </c>
      <c r="F6439" t="s">
        <v>108</v>
      </c>
      <c r="H6439" t="s">
        <v>38888</v>
      </c>
      <c r="I6439" t="s">
        <v>1788</v>
      </c>
      <c r="J6439" t="s">
        <v>111</v>
      </c>
      <c r="K6439" t="str">
        <f>"85355"</f>
        <v>85355</v>
      </c>
      <c r="L6439" t="s">
        <v>734</v>
      </c>
      <c r="M6439" t="s">
        <v>38888</v>
      </c>
      <c r="N6439" t="s">
        <v>1788</v>
      </c>
      <c r="O6439" t="s">
        <v>111</v>
      </c>
      <c r="P6439" t="str">
        <f>"85355-9807"</f>
        <v>85355-9807</v>
      </c>
      <c r="Q6439" t="s">
        <v>113</v>
      </c>
      <c r="R6439" t="str">
        <f>"502-24-001-L"</f>
        <v>502-24-001-L</v>
      </c>
      <c r="S6439" t="s">
        <v>38889</v>
      </c>
      <c r="U6439">
        <v>1865</v>
      </c>
      <c r="V6439">
        <v>0</v>
      </c>
      <c r="W6439">
        <v>4</v>
      </c>
      <c r="X6439">
        <v>1994</v>
      </c>
      <c r="Z6439">
        <v>1</v>
      </c>
      <c r="AB6439">
        <v>0</v>
      </c>
      <c r="AC6439" t="s">
        <v>115</v>
      </c>
      <c r="AD6439">
        <v>2</v>
      </c>
      <c r="AE6439" t="s">
        <v>115</v>
      </c>
      <c r="AF6439">
        <v>0</v>
      </c>
      <c r="AG6439">
        <v>0</v>
      </c>
      <c r="AH6439" t="s">
        <v>116</v>
      </c>
      <c r="AI6439" s="1">
        <v>174</v>
      </c>
      <c r="AJ6439" s="2">
        <v>0</v>
      </c>
      <c r="AK6439" s="1">
        <v>440334</v>
      </c>
      <c r="AL6439" t="s">
        <v>117</v>
      </c>
      <c r="AM6439" t="s">
        <v>376</v>
      </c>
      <c r="AN6439">
        <v>87120</v>
      </c>
      <c r="AO6439">
        <v>2</v>
      </c>
      <c r="AP6439">
        <v>1</v>
      </c>
      <c r="AR6439">
        <v>1</v>
      </c>
      <c r="AS6439" s="1">
        <v>29850</v>
      </c>
      <c r="AT6439" s="1">
        <v>5970</v>
      </c>
      <c r="AU6439" s="1">
        <v>23880</v>
      </c>
      <c r="AV6439">
        <v>80</v>
      </c>
      <c r="AX6439" s="1">
        <v>2150.6999999999998</v>
      </c>
      <c r="AY6439" t="s">
        <v>503</v>
      </c>
      <c r="AZ6439" t="s">
        <v>504</v>
      </c>
      <c r="BA6439" t="s">
        <v>218</v>
      </c>
      <c r="BE6439" s="3">
        <v>42219</v>
      </c>
      <c r="BF6439" s="1">
        <v>360000</v>
      </c>
      <c r="BG6439" t="s">
        <v>38890</v>
      </c>
      <c r="BH6439" s="1">
        <v>193.03</v>
      </c>
      <c r="BI6439" s="1">
        <v>365360</v>
      </c>
      <c r="BJ6439" s="3">
        <v>42534</v>
      </c>
      <c r="BK6439" t="s">
        <v>123</v>
      </c>
      <c r="BL6439" t="str">
        <f>"2016.409112"</f>
        <v>2016.409112</v>
      </c>
      <c r="BM6439" t="s">
        <v>255</v>
      </c>
      <c r="BN6439" t="s">
        <v>2398</v>
      </c>
      <c r="BO6439" t="s">
        <v>38891</v>
      </c>
      <c r="BS6439">
        <v>30</v>
      </c>
      <c r="BT6439" s="1">
        <v>74800</v>
      </c>
      <c r="BU6439" s="3">
        <v>43299</v>
      </c>
      <c r="BW6439" t="str">
        <f>"2018.545013"</f>
        <v>2018.545013</v>
      </c>
      <c r="BX6439" t="s">
        <v>5065</v>
      </c>
      <c r="BY6439" t="s">
        <v>5066</v>
      </c>
      <c r="BZ6439" t="s">
        <v>38892</v>
      </c>
      <c r="CA6439" t="s">
        <v>38893</v>
      </c>
      <c r="CC6439" t="s">
        <v>346</v>
      </c>
      <c r="CH6439" t="str">
        <f>""</f>
        <v/>
      </c>
      <c r="CS6439" t="str">
        <f>""</f>
        <v/>
      </c>
    </row>
    <row r="6440" spans="1:97" x14ac:dyDescent="0.25">
      <c r="A6440" t="s">
        <v>8500</v>
      </c>
      <c r="B6440" t="s">
        <v>38894</v>
      </c>
      <c r="E6440" t="s">
        <v>38895</v>
      </c>
      <c r="F6440" t="s">
        <v>108</v>
      </c>
      <c r="H6440" t="s">
        <v>38896</v>
      </c>
      <c r="I6440" t="s">
        <v>632</v>
      </c>
      <c r="J6440" t="s">
        <v>111</v>
      </c>
      <c r="K6440" t="str">
        <f>"85388"</f>
        <v>85388</v>
      </c>
      <c r="L6440" t="s">
        <v>5429</v>
      </c>
      <c r="M6440" t="s">
        <v>38896</v>
      </c>
      <c r="N6440" t="s">
        <v>632</v>
      </c>
      <c r="O6440" t="s">
        <v>111</v>
      </c>
      <c r="P6440" t="str">
        <f>"85388"</f>
        <v>85388</v>
      </c>
      <c r="Q6440" t="s">
        <v>113</v>
      </c>
      <c r="R6440" t="str">
        <f>"502-84-014"</f>
        <v>502-84-014</v>
      </c>
      <c r="S6440" t="s">
        <v>12218</v>
      </c>
      <c r="T6440" t="s">
        <v>12219</v>
      </c>
      <c r="U6440">
        <v>3166</v>
      </c>
      <c r="V6440">
        <v>0</v>
      </c>
      <c r="W6440">
        <v>4</v>
      </c>
      <c r="X6440">
        <v>2005</v>
      </c>
      <c r="Z6440">
        <v>2</v>
      </c>
      <c r="AB6440">
        <v>0</v>
      </c>
      <c r="AC6440" t="s">
        <v>115</v>
      </c>
      <c r="AD6440">
        <v>3</v>
      </c>
      <c r="AE6440" t="s">
        <v>115</v>
      </c>
      <c r="AF6440">
        <v>0</v>
      </c>
      <c r="AG6440">
        <v>0</v>
      </c>
      <c r="AH6440" t="s">
        <v>116</v>
      </c>
      <c r="AI6440" s="1">
        <v>57039</v>
      </c>
      <c r="AJ6440" s="2">
        <v>0.18</v>
      </c>
      <c r="AK6440" s="1">
        <v>325220</v>
      </c>
      <c r="AL6440" t="s">
        <v>117</v>
      </c>
      <c r="AM6440" t="s">
        <v>118</v>
      </c>
      <c r="AN6440">
        <v>6303</v>
      </c>
      <c r="AO6440">
        <v>0.14000000000000001</v>
      </c>
      <c r="AR6440">
        <v>1</v>
      </c>
      <c r="AS6440" s="1">
        <v>22360</v>
      </c>
      <c r="AT6440" s="1">
        <v>4470</v>
      </c>
      <c r="AU6440" s="1">
        <v>17890</v>
      </c>
      <c r="AV6440">
        <v>80.010000000000005</v>
      </c>
      <c r="AX6440" s="1">
        <v>1802.88</v>
      </c>
      <c r="AY6440" t="s">
        <v>5432</v>
      </c>
      <c r="AZ6440" t="s">
        <v>5432</v>
      </c>
      <c r="BA6440" t="s">
        <v>5109</v>
      </c>
      <c r="BE6440" s="3">
        <v>42485</v>
      </c>
      <c r="BF6440" s="1">
        <v>266000</v>
      </c>
      <c r="BG6440" t="s">
        <v>38897</v>
      </c>
      <c r="BH6440" s="1">
        <v>84.02</v>
      </c>
      <c r="BI6440" s="1">
        <v>268181</v>
      </c>
      <c r="BJ6440" s="3">
        <v>43052</v>
      </c>
      <c r="BK6440" t="s">
        <v>123</v>
      </c>
      <c r="BL6440" t="str">
        <f>"2017.840581"</f>
        <v>2017.840581</v>
      </c>
      <c r="BM6440" t="s">
        <v>340</v>
      </c>
      <c r="BO6440" t="s">
        <v>38898</v>
      </c>
      <c r="BS6440">
        <v>29</v>
      </c>
      <c r="BW6440" t="str">
        <f>""</f>
        <v/>
      </c>
      <c r="CH6440" t="str">
        <f>""</f>
        <v/>
      </c>
      <c r="CS6440" t="str">
        <f>""</f>
        <v/>
      </c>
    </row>
    <row r="6441" spans="1:97" x14ac:dyDescent="0.25">
      <c r="A6441" t="s">
        <v>251</v>
      </c>
      <c r="B6441" t="s">
        <v>38899</v>
      </c>
      <c r="C6441" t="s">
        <v>7175</v>
      </c>
      <c r="D6441" t="s">
        <v>38899</v>
      </c>
      <c r="E6441" t="s">
        <v>38900</v>
      </c>
      <c r="F6441" t="s">
        <v>108</v>
      </c>
      <c r="H6441" t="s">
        <v>38901</v>
      </c>
      <c r="I6441" t="s">
        <v>188</v>
      </c>
      <c r="J6441" t="s">
        <v>111</v>
      </c>
      <c r="K6441" t="str">
        <f>"85142"</f>
        <v>85142</v>
      </c>
      <c r="L6441" t="s">
        <v>2197</v>
      </c>
      <c r="M6441" t="s">
        <v>38901</v>
      </c>
      <c r="N6441" t="s">
        <v>188</v>
      </c>
      <c r="O6441" t="s">
        <v>111</v>
      </c>
      <c r="P6441" t="str">
        <f>"85142-6208"</f>
        <v>85142-6208</v>
      </c>
      <c r="Q6441" t="s">
        <v>113</v>
      </c>
      <c r="R6441" t="str">
        <f>"314-04-163"</f>
        <v>314-04-163</v>
      </c>
      <c r="S6441" t="s">
        <v>38902</v>
      </c>
      <c r="T6441" t="s">
        <v>30630</v>
      </c>
      <c r="U6441">
        <v>2878</v>
      </c>
      <c r="V6441">
        <v>0</v>
      </c>
      <c r="W6441">
        <v>3</v>
      </c>
      <c r="X6441">
        <v>2005</v>
      </c>
      <c r="Z6441">
        <v>1</v>
      </c>
      <c r="AA6441" t="s">
        <v>26</v>
      </c>
      <c r="AB6441">
        <v>0</v>
      </c>
      <c r="AC6441" t="s">
        <v>115</v>
      </c>
      <c r="AD6441">
        <v>3</v>
      </c>
      <c r="AE6441" t="s">
        <v>115</v>
      </c>
      <c r="AF6441">
        <v>0</v>
      </c>
      <c r="AG6441">
        <v>0</v>
      </c>
      <c r="AH6441" t="s">
        <v>116</v>
      </c>
      <c r="AI6441" s="1">
        <v>93665</v>
      </c>
      <c r="AJ6441" s="2">
        <v>0.2</v>
      </c>
      <c r="AK6441" s="1">
        <v>479865</v>
      </c>
      <c r="AL6441" t="s">
        <v>117</v>
      </c>
      <c r="AM6441" t="s">
        <v>616</v>
      </c>
      <c r="AN6441">
        <v>18000</v>
      </c>
      <c r="AO6441">
        <v>0.41</v>
      </c>
      <c r="AR6441">
        <v>1</v>
      </c>
      <c r="AS6441" s="1">
        <v>35770</v>
      </c>
      <c r="AT6441" s="1">
        <v>7150</v>
      </c>
      <c r="AU6441" s="1">
        <v>28620</v>
      </c>
      <c r="AV6441">
        <v>80.010000000000005</v>
      </c>
      <c r="AX6441" s="1">
        <v>3303.84</v>
      </c>
      <c r="AY6441" t="s">
        <v>192</v>
      </c>
      <c r="AZ6441" t="s">
        <v>193</v>
      </c>
      <c r="BA6441" t="s">
        <v>194</v>
      </c>
      <c r="BE6441" s="3">
        <v>42311</v>
      </c>
      <c r="BF6441" s="1">
        <v>384900</v>
      </c>
      <c r="BG6441" t="s">
        <v>38903</v>
      </c>
      <c r="BH6441" s="1">
        <v>133.74</v>
      </c>
      <c r="BI6441" s="1">
        <v>386200</v>
      </c>
      <c r="BJ6441" s="3">
        <v>42542</v>
      </c>
      <c r="BK6441" t="s">
        <v>123</v>
      </c>
      <c r="BL6441" t="str">
        <f>"2016.432568"</f>
        <v>2016.432568</v>
      </c>
      <c r="BM6441" t="s">
        <v>2051</v>
      </c>
      <c r="BO6441" t="s">
        <v>38904</v>
      </c>
      <c r="BS6441">
        <v>30</v>
      </c>
      <c r="BW6441" t="str">
        <f>""</f>
        <v/>
      </c>
      <c r="CH6441" t="str">
        <f>""</f>
        <v/>
      </c>
      <c r="CS6441" t="str">
        <f>""</f>
        <v/>
      </c>
    </row>
    <row r="6442" spans="1:97" x14ac:dyDescent="0.25">
      <c r="A6442" t="s">
        <v>38905</v>
      </c>
      <c r="B6442" t="s">
        <v>38906</v>
      </c>
      <c r="C6442" t="s">
        <v>259</v>
      </c>
      <c r="D6442" t="s">
        <v>38906</v>
      </c>
      <c r="E6442" t="s">
        <v>38907</v>
      </c>
      <c r="F6442" t="s">
        <v>108</v>
      </c>
      <c r="H6442" t="s">
        <v>38908</v>
      </c>
      <c r="I6442" t="s">
        <v>453</v>
      </c>
      <c r="J6442" t="s">
        <v>111</v>
      </c>
      <c r="K6442" t="str">
        <f>"85383"</f>
        <v>85383</v>
      </c>
      <c r="L6442" t="s">
        <v>2220</v>
      </c>
      <c r="M6442" t="s">
        <v>38908</v>
      </c>
      <c r="N6442" t="s">
        <v>453</v>
      </c>
      <c r="O6442" t="s">
        <v>111</v>
      </c>
      <c r="P6442" t="str">
        <f>"85383-7193"</f>
        <v>85383-7193</v>
      </c>
      <c r="Q6442" t="s">
        <v>113</v>
      </c>
      <c r="R6442" t="str">
        <f>"201-09-551"</f>
        <v>201-09-551</v>
      </c>
      <c r="S6442" t="s">
        <v>28157</v>
      </c>
      <c r="T6442" t="s">
        <v>2222</v>
      </c>
      <c r="U6442">
        <v>2776</v>
      </c>
      <c r="V6442">
        <v>0</v>
      </c>
      <c r="W6442">
        <v>4</v>
      </c>
      <c r="X6442">
        <v>2000</v>
      </c>
      <c r="Z6442">
        <v>1</v>
      </c>
      <c r="AA6442" t="s">
        <v>26</v>
      </c>
      <c r="AB6442">
        <v>0</v>
      </c>
      <c r="AC6442" t="s">
        <v>115</v>
      </c>
      <c r="AD6442">
        <v>3</v>
      </c>
      <c r="AE6442" t="s">
        <v>115</v>
      </c>
      <c r="AF6442">
        <v>0</v>
      </c>
      <c r="AG6442">
        <v>0</v>
      </c>
      <c r="AH6442" t="s">
        <v>116</v>
      </c>
      <c r="AI6442" s="1">
        <v>60550</v>
      </c>
      <c r="AJ6442" s="2">
        <v>0.14000000000000001</v>
      </c>
      <c r="AK6442" s="1">
        <v>445850</v>
      </c>
      <c r="AL6442" t="s">
        <v>117</v>
      </c>
      <c r="AM6442" t="s">
        <v>171</v>
      </c>
      <c r="AN6442">
        <v>15180</v>
      </c>
      <c r="AO6442">
        <v>0.35</v>
      </c>
      <c r="AP6442">
        <v>1</v>
      </c>
      <c r="AR6442">
        <v>1</v>
      </c>
      <c r="AS6442" s="1">
        <v>33560</v>
      </c>
      <c r="AT6442" s="1">
        <v>6710</v>
      </c>
      <c r="AU6442" s="1">
        <v>26850</v>
      </c>
      <c r="AV6442">
        <v>80.010000000000005</v>
      </c>
      <c r="AX6442" s="1">
        <v>2927.4</v>
      </c>
      <c r="AY6442" t="s">
        <v>1385</v>
      </c>
      <c r="AZ6442" t="s">
        <v>1385</v>
      </c>
      <c r="BA6442" t="s">
        <v>2223</v>
      </c>
      <c r="BB6442" s="3">
        <v>42495</v>
      </c>
      <c r="BD6442" t="s">
        <v>3523</v>
      </c>
      <c r="BE6442" s="3">
        <v>42360</v>
      </c>
      <c r="BF6442" s="1">
        <v>385000</v>
      </c>
      <c r="BG6442" t="s">
        <v>38909</v>
      </c>
      <c r="BH6442" s="1">
        <v>138.69</v>
      </c>
      <c r="BI6442" s="1">
        <v>385300</v>
      </c>
      <c r="BJ6442" s="3">
        <v>42475</v>
      </c>
      <c r="BK6442" t="s">
        <v>123</v>
      </c>
      <c r="BL6442" t="str">
        <f>"2016.249810"</f>
        <v>2016.249810</v>
      </c>
      <c r="BM6442" t="s">
        <v>3611</v>
      </c>
      <c r="BO6442" t="s">
        <v>38910</v>
      </c>
      <c r="BP6442" t="s">
        <v>38911</v>
      </c>
      <c r="BS6442">
        <v>30</v>
      </c>
      <c r="BW6442" t="str">
        <f>""</f>
        <v/>
      </c>
      <c r="CH6442" t="str">
        <f>""</f>
        <v/>
      </c>
      <c r="CS6442" t="str">
        <f>""</f>
        <v/>
      </c>
    </row>
    <row r="6443" spans="1:97" x14ac:dyDescent="0.25">
      <c r="B6443" t="s">
        <v>38912</v>
      </c>
      <c r="E6443" t="s">
        <v>38913</v>
      </c>
      <c r="F6443" t="s">
        <v>108</v>
      </c>
      <c r="H6443" t="s">
        <v>38914</v>
      </c>
      <c r="I6443" t="s">
        <v>390</v>
      </c>
      <c r="J6443" t="s">
        <v>111</v>
      </c>
      <c r="K6443" t="str">
        <f>"85053"</f>
        <v>85053</v>
      </c>
      <c r="L6443" t="s">
        <v>5900</v>
      </c>
      <c r="M6443" t="s">
        <v>38914</v>
      </c>
      <c r="N6443" t="s">
        <v>390</v>
      </c>
      <c r="O6443" t="s">
        <v>111</v>
      </c>
      <c r="P6443" t="str">
        <f>"85053-3037"</f>
        <v>85053-3037</v>
      </c>
      <c r="Q6443" t="s">
        <v>113</v>
      </c>
      <c r="R6443" t="str">
        <f>"207-39-754"</f>
        <v>207-39-754</v>
      </c>
      <c r="S6443" t="s">
        <v>38915</v>
      </c>
      <c r="T6443" t="s">
        <v>20743</v>
      </c>
      <c r="U6443">
        <v>1861</v>
      </c>
      <c r="V6443">
        <v>0</v>
      </c>
      <c r="W6443">
        <v>2</v>
      </c>
      <c r="X6443">
        <v>1979</v>
      </c>
      <c r="Z6443">
        <v>1</v>
      </c>
      <c r="AA6443" t="s">
        <v>26</v>
      </c>
      <c r="AB6443">
        <v>0</v>
      </c>
      <c r="AC6443" t="s">
        <v>115</v>
      </c>
      <c r="AD6443">
        <v>2</v>
      </c>
      <c r="AE6443" t="s">
        <v>115</v>
      </c>
      <c r="AF6443">
        <v>0</v>
      </c>
      <c r="AG6443">
        <v>0</v>
      </c>
      <c r="AH6443" t="s">
        <v>116</v>
      </c>
      <c r="AI6443" s="1">
        <v>61169</v>
      </c>
      <c r="AJ6443" s="2">
        <v>0.21</v>
      </c>
      <c r="AK6443" s="1">
        <v>291006</v>
      </c>
      <c r="AL6443" t="s">
        <v>117</v>
      </c>
      <c r="AM6443" t="s">
        <v>171</v>
      </c>
      <c r="AN6443">
        <v>11205</v>
      </c>
      <c r="AO6443">
        <v>0.26</v>
      </c>
      <c r="AP6443">
        <v>1</v>
      </c>
      <c r="AR6443">
        <v>1</v>
      </c>
      <c r="AS6443" s="1">
        <v>20970</v>
      </c>
      <c r="AT6443" s="1">
        <v>4190</v>
      </c>
      <c r="AU6443" s="1">
        <v>16780</v>
      </c>
      <c r="AV6443">
        <v>80.02</v>
      </c>
      <c r="AX6443" s="1">
        <v>1815.6</v>
      </c>
      <c r="AY6443" t="s">
        <v>8546</v>
      </c>
      <c r="AZ6443" t="s">
        <v>2997</v>
      </c>
      <c r="BA6443" t="s">
        <v>2998</v>
      </c>
      <c r="BB6443" s="3">
        <v>43413</v>
      </c>
      <c r="BC6443" s="1">
        <v>0</v>
      </c>
      <c r="BD6443" t="s">
        <v>247</v>
      </c>
      <c r="BE6443" s="3">
        <v>42412</v>
      </c>
      <c r="BF6443" s="1">
        <v>225000</v>
      </c>
      <c r="BG6443" t="s">
        <v>38916</v>
      </c>
      <c r="BH6443" s="1">
        <v>120.9</v>
      </c>
      <c r="BI6443" s="1">
        <v>229837</v>
      </c>
      <c r="BJ6443" s="3">
        <v>42412</v>
      </c>
      <c r="BK6443" t="s">
        <v>123</v>
      </c>
      <c r="BL6443" t="str">
        <f>"2016.93625"</f>
        <v>2016.93625</v>
      </c>
      <c r="BM6443" t="s">
        <v>724</v>
      </c>
      <c r="BN6443" t="s">
        <v>5423</v>
      </c>
      <c r="BO6443" t="s">
        <v>38917</v>
      </c>
      <c r="BS6443">
        <v>30</v>
      </c>
      <c r="BW6443" t="str">
        <f>""</f>
        <v/>
      </c>
      <c r="CH6443" t="str">
        <f>""</f>
        <v/>
      </c>
      <c r="CS6443" t="str">
        <f>""</f>
        <v/>
      </c>
    </row>
    <row r="6444" spans="1:97" x14ac:dyDescent="0.25">
      <c r="A6444" t="s">
        <v>325</v>
      </c>
      <c r="B6444" t="s">
        <v>38918</v>
      </c>
      <c r="C6444" t="s">
        <v>2099</v>
      </c>
      <c r="D6444" t="s">
        <v>38918</v>
      </c>
      <c r="E6444" t="s">
        <v>38919</v>
      </c>
      <c r="F6444" t="s">
        <v>108</v>
      </c>
      <c r="H6444" t="s">
        <v>38920</v>
      </c>
      <c r="I6444" t="s">
        <v>2874</v>
      </c>
      <c r="J6444" t="s">
        <v>111</v>
      </c>
      <c r="K6444" t="str">
        <f>"85305"</f>
        <v>85305</v>
      </c>
      <c r="L6444" t="s">
        <v>10474</v>
      </c>
      <c r="M6444" t="s">
        <v>38920</v>
      </c>
      <c r="N6444" t="s">
        <v>2874</v>
      </c>
      <c r="O6444" t="s">
        <v>111</v>
      </c>
      <c r="P6444" t="str">
        <f>"85305-6910"</f>
        <v>85305-6910</v>
      </c>
      <c r="Q6444" t="s">
        <v>113</v>
      </c>
      <c r="R6444" t="str">
        <f>"142-28-800"</f>
        <v>142-28-800</v>
      </c>
      <c r="S6444" t="s">
        <v>23728</v>
      </c>
      <c r="T6444" t="s">
        <v>23729</v>
      </c>
      <c r="U6444">
        <v>2000</v>
      </c>
      <c r="V6444">
        <v>0</v>
      </c>
      <c r="W6444">
        <v>3</v>
      </c>
      <c r="X6444">
        <v>2004</v>
      </c>
      <c r="Z6444">
        <v>1</v>
      </c>
      <c r="AB6444">
        <v>0</v>
      </c>
      <c r="AC6444" t="s">
        <v>115</v>
      </c>
      <c r="AD6444">
        <v>3</v>
      </c>
      <c r="AE6444" t="s">
        <v>115</v>
      </c>
      <c r="AF6444">
        <v>0</v>
      </c>
      <c r="AG6444">
        <v>0</v>
      </c>
      <c r="AH6444" t="s">
        <v>116</v>
      </c>
      <c r="AI6444" s="1">
        <v>80605</v>
      </c>
      <c r="AJ6444" s="2">
        <v>0.26</v>
      </c>
      <c r="AK6444" s="1">
        <v>307855</v>
      </c>
      <c r="AL6444" t="s">
        <v>117</v>
      </c>
      <c r="AM6444" t="s">
        <v>393</v>
      </c>
      <c r="AN6444">
        <v>7115</v>
      </c>
      <c r="AO6444">
        <v>0.16</v>
      </c>
      <c r="AP6444">
        <v>1</v>
      </c>
      <c r="AR6444">
        <v>1</v>
      </c>
      <c r="AS6444" s="1">
        <v>22830</v>
      </c>
      <c r="AT6444" s="1">
        <v>4560</v>
      </c>
      <c r="AU6444" s="1">
        <v>18270</v>
      </c>
      <c r="AV6444">
        <v>80.03</v>
      </c>
      <c r="AX6444" s="1">
        <v>1632.36</v>
      </c>
      <c r="AY6444" t="s">
        <v>6944</v>
      </c>
      <c r="AZ6444" t="s">
        <v>6944</v>
      </c>
      <c r="BA6444" t="s">
        <v>6945</v>
      </c>
      <c r="BE6444" s="3">
        <v>41856</v>
      </c>
      <c r="BF6444" s="1">
        <v>220000</v>
      </c>
      <c r="BG6444" t="s">
        <v>38921</v>
      </c>
      <c r="BH6444" s="1">
        <v>110</v>
      </c>
      <c r="BI6444" s="1">
        <v>227250</v>
      </c>
      <c r="BJ6444" s="3">
        <v>41856</v>
      </c>
      <c r="BK6444" t="s">
        <v>123</v>
      </c>
      <c r="BL6444" t="str">
        <f>"2014.515259"</f>
        <v>2014.515259</v>
      </c>
      <c r="BM6444" t="s">
        <v>124</v>
      </c>
      <c r="BO6444" t="s">
        <v>38922</v>
      </c>
      <c r="BS6444">
        <v>30</v>
      </c>
      <c r="BW6444" t="str">
        <f>""</f>
        <v/>
      </c>
      <c r="CH6444" t="str">
        <f>""</f>
        <v/>
      </c>
      <c r="CS6444" t="str">
        <f>""</f>
        <v/>
      </c>
    </row>
    <row r="6445" spans="1:97" x14ac:dyDescent="0.25">
      <c r="A6445" t="s">
        <v>1514</v>
      </c>
      <c r="B6445" t="s">
        <v>38923</v>
      </c>
      <c r="C6445" t="s">
        <v>7144</v>
      </c>
      <c r="D6445" t="s">
        <v>38923</v>
      </c>
      <c r="E6445" t="s">
        <v>38924</v>
      </c>
      <c r="F6445" t="s">
        <v>108</v>
      </c>
      <c r="H6445" t="s">
        <v>38925</v>
      </c>
      <c r="I6445" t="s">
        <v>110</v>
      </c>
      <c r="J6445" t="s">
        <v>111</v>
      </c>
      <c r="K6445" t="str">
        <f>"85224"</f>
        <v>85224</v>
      </c>
      <c r="L6445" t="s">
        <v>5074</v>
      </c>
      <c r="M6445" t="s">
        <v>38925</v>
      </c>
      <c r="N6445" t="s">
        <v>110</v>
      </c>
      <c r="O6445" t="s">
        <v>111</v>
      </c>
      <c r="P6445" t="str">
        <f>"85224-8900"</f>
        <v>85224-8900</v>
      </c>
      <c r="Q6445" t="s">
        <v>113</v>
      </c>
      <c r="R6445" t="str">
        <f>"302-81-834"</f>
        <v>302-81-834</v>
      </c>
      <c r="S6445" t="s">
        <v>38926</v>
      </c>
      <c r="T6445" t="s">
        <v>38927</v>
      </c>
      <c r="U6445">
        <v>1625</v>
      </c>
      <c r="V6445">
        <v>0</v>
      </c>
      <c r="W6445">
        <v>3</v>
      </c>
      <c r="X6445">
        <v>1984</v>
      </c>
      <c r="Z6445">
        <v>2</v>
      </c>
      <c r="AB6445">
        <v>0</v>
      </c>
      <c r="AC6445" t="s">
        <v>115</v>
      </c>
      <c r="AD6445">
        <v>2</v>
      </c>
      <c r="AE6445" t="s">
        <v>115</v>
      </c>
      <c r="AF6445">
        <v>0</v>
      </c>
      <c r="AG6445">
        <v>0</v>
      </c>
      <c r="AH6445" t="s">
        <v>116</v>
      </c>
      <c r="AI6445" s="1">
        <v>67647</v>
      </c>
      <c r="AJ6445" s="2">
        <v>0.24</v>
      </c>
      <c r="AK6445" s="1">
        <v>282647</v>
      </c>
      <c r="AL6445" t="s">
        <v>117</v>
      </c>
      <c r="AM6445" t="s">
        <v>118</v>
      </c>
      <c r="AN6445">
        <v>5950</v>
      </c>
      <c r="AO6445">
        <v>0.14000000000000001</v>
      </c>
      <c r="AP6445">
        <v>1</v>
      </c>
      <c r="AR6445">
        <v>1</v>
      </c>
      <c r="AS6445" s="1">
        <v>18350</v>
      </c>
      <c r="AT6445" s="1">
        <v>3670</v>
      </c>
      <c r="AU6445" s="1">
        <v>14680</v>
      </c>
      <c r="AV6445">
        <v>80</v>
      </c>
      <c r="AX6445" s="1">
        <v>1223.96</v>
      </c>
      <c r="AY6445" t="s">
        <v>5722</v>
      </c>
      <c r="AZ6445" t="s">
        <v>5078</v>
      </c>
      <c r="BA6445" t="s">
        <v>2957</v>
      </c>
      <c r="BE6445" s="3">
        <v>42194</v>
      </c>
      <c r="BF6445" s="1">
        <v>215000</v>
      </c>
      <c r="BG6445" t="s">
        <v>38928</v>
      </c>
      <c r="BH6445" s="1">
        <v>132.31</v>
      </c>
      <c r="BI6445" s="1">
        <v>215000</v>
      </c>
      <c r="BJ6445" s="3">
        <v>42194</v>
      </c>
      <c r="BK6445" t="s">
        <v>123</v>
      </c>
      <c r="BL6445" t="str">
        <f>"2015.494858"</f>
        <v>2015.494858</v>
      </c>
      <c r="BM6445" t="s">
        <v>1185</v>
      </c>
      <c r="BO6445" t="s">
        <v>38929</v>
      </c>
      <c r="BS6445">
        <v>30</v>
      </c>
      <c r="BW6445" t="str">
        <f>""</f>
        <v/>
      </c>
      <c r="CH6445" t="str">
        <f>""</f>
        <v/>
      </c>
      <c r="CS6445" t="str">
        <f>""</f>
        <v/>
      </c>
    </row>
    <row r="6446" spans="1:97" x14ac:dyDescent="0.25">
      <c r="A6446" t="s">
        <v>2770</v>
      </c>
      <c r="B6446" t="s">
        <v>8295</v>
      </c>
      <c r="C6446" t="s">
        <v>9992</v>
      </c>
      <c r="D6446" t="s">
        <v>38930</v>
      </c>
      <c r="E6446" t="s">
        <v>38931</v>
      </c>
      <c r="F6446" t="s">
        <v>108</v>
      </c>
      <c r="H6446" t="s">
        <v>38932</v>
      </c>
      <c r="I6446" t="s">
        <v>632</v>
      </c>
      <c r="J6446" t="s">
        <v>111</v>
      </c>
      <c r="K6446" t="str">
        <f>"85388"</f>
        <v>85388</v>
      </c>
      <c r="L6446" t="s">
        <v>7607</v>
      </c>
      <c r="M6446" t="s">
        <v>38932</v>
      </c>
      <c r="N6446" t="s">
        <v>632</v>
      </c>
      <c r="O6446" t="s">
        <v>111</v>
      </c>
      <c r="P6446" t="str">
        <f>"85388-1617"</f>
        <v>85388-1617</v>
      </c>
      <c r="Q6446" t="s">
        <v>113</v>
      </c>
      <c r="R6446" t="str">
        <f>"502-02-225"</f>
        <v>502-02-225</v>
      </c>
      <c r="S6446" t="s">
        <v>13127</v>
      </c>
      <c r="T6446" t="s">
        <v>13128</v>
      </c>
      <c r="U6446">
        <v>2090</v>
      </c>
      <c r="V6446">
        <v>0</v>
      </c>
      <c r="W6446">
        <v>3</v>
      </c>
      <c r="X6446">
        <v>2014</v>
      </c>
      <c r="Z6446">
        <v>1</v>
      </c>
      <c r="AB6446">
        <v>0</v>
      </c>
      <c r="AC6446" t="s">
        <v>115</v>
      </c>
      <c r="AD6446">
        <v>3</v>
      </c>
      <c r="AE6446" t="s">
        <v>115</v>
      </c>
      <c r="AF6446">
        <v>0</v>
      </c>
      <c r="AG6446">
        <v>0</v>
      </c>
      <c r="AH6446" t="s">
        <v>116</v>
      </c>
      <c r="AI6446" s="1">
        <v>41564</v>
      </c>
      <c r="AJ6446" s="2">
        <v>0.14000000000000001</v>
      </c>
      <c r="AK6446" s="1">
        <v>296564</v>
      </c>
      <c r="AL6446" t="s">
        <v>117</v>
      </c>
      <c r="AM6446" t="s">
        <v>118</v>
      </c>
      <c r="AN6446">
        <v>6181</v>
      </c>
      <c r="AO6446">
        <v>0.14000000000000001</v>
      </c>
      <c r="AR6446">
        <v>1</v>
      </c>
      <c r="AS6446" s="1">
        <v>21810</v>
      </c>
      <c r="AT6446" s="1">
        <v>4360</v>
      </c>
      <c r="AU6446" s="1">
        <v>17450</v>
      </c>
      <c r="AV6446">
        <v>80.010000000000005</v>
      </c>
      <c r="AX6446" s="1">
        <v>1745.86</v>
      </c>
      <c r="AY6446" t="s">
        <v>5168</v>
      </c>
      <c r="AZ6446" t="s">
        <v>5168</v>
      </c>
      <c r="BA6446" t="s">
        <v>5109</v>
      </c>
      <c r="BE6446" s="3">
        <v>42033</v>
      </c>
      <c r="BF6446" s="1">
        <v>210283</v>
      </c>
      <c r="BG6446" t="s">
        <v>13129</v>
      </c>
      <c r="BH6446" s="1">
        <v>100.61</v>
      </c>
      <c r="BI6446" s="1">
        <v>255000</v>
      </c>
      <c r="BJ6446" s="3">
        <v>43048</v>
      </c>
      <c r="BK6446" t="s">
        <v>123</v>
      </c>
      <c r="BL6446" t="str">
        <f>"2017.833097"</f>
        <v>2017.833097</v>
      </c>
      <c r="BM6446" t="s">
        <v>980</v>
      </c>
      <c r="BO6446" t="s">
        <v>38933</v>
      </c>
      <c r="BP6446" t="s">
        <v>38934</v>
      </c>
      <c r="BS6446">
        <v>30</v>
      </c>
      <c r="BW6446" t="str">
        <f>""</f>
        <v/>
      </c>
      <c r="CH6446" t="str">
        <f>""</f>
        <v/>
      </c>
      <c r="CS6446" t="str">
        <f>""</f>
        <v/>
      </c>
    </row>
    <row r="6447" spans="1:97" x14ac:dyDescent="0.25">
      <c r="A6447" t="s">
        <v>2008</v>
      </c>
      <c r="B6447" t="s">
        <v>1366</v>
      </c>
      <c r="C6447" t="s">
        <v>7732</v>
      </c>
      <c r="D6447" t="s">
        <v>1366</v>
      </c>
      <c r="E6447" t="s">
        <v>38935</v>
      </c>
      <c r="F6447" t="s">
        <v>108</v>
      </c>
      <c r="H6447" t="s">
        <v>38936</v>
      </c>
      <c r="I6447" t="s">
        <v>225</v>
      </c>
      <c r="J6447" t="s">
        <v>111</v>
      </c>
      <c r="K6447" t="str">
        <f>"85215"</f>
        <v>85215</v>
      </c>
      <c r="L6447" t="s">
        <v>8255</v>
      </c>
      <c r="M6447" t="s">
        <v>38936</v>
      </c>
      <c r="N6447" t="s">
        <v>225</v>
      </c>
      <c r="O6447" t="s">
        <v>111</v>
      </c>
      <c r="P6447" t="str">
        <f>"85215"</f>
        <v>85215</v>
      </c>
      <c r="Q6447" t="s">
        <v>113</v>
      </c>
      <c r="R6447" t="str">
        <f>"141-69-617"</f>
        <v>141-69-617</v>
      </c>
      <c r="S6447" t="s">
        <v>16959</v>
      </c>
      <c r="T6447" t="s">
        <v>758</v>
      </c>
      <c r="U6447">
        <v>2709</v>
      </c>
      <c r="V6447">
        <v>0</v>
      </c>
      <c r="W6447">
        <v>4</v>
      </c>
      <c r="X6447">
        <v>1993</v>
      </c>
      <c r="Z6447">
        <v>2</v>
      </c>
      <c r="AA6447" t="s">
        <v>26</v>
      </c>
      <c r="AB6447">
        <v>0</v>
      </c>
      <c r="AC6447" t="s">
        <v>115</v>
      </c>
      <c r="AD6447">
        <v>3</v>
      </c>
      <c r="AE6447" t="s">
        <v>115</v>
      </c>
      <c r="AF6447">
        <v>0</v>
      </c>
      <c r="AG6447">
        <v>0</v>
      </c>
      <c r="AH6447" t="s">
        <v>116</v>
      </c>
      <c r="AI6447" s="1">
        <v>77348</v>
      </c>
      <c r="AJ6447" s="2">
        <v>0.18</v>
      </c>
      <c r="AK6447" s="1">
        <v>419048</v>
      </c>
      <c r="AL6447" t="s">
        <v>117</v>
      </c>
      <c r="AM6447" t="s">
        <v>917</v>
      </c>
      <c r="AN6447">
        <v>12361</v>
      </c>
      <c r="AO6447">
        <v>0.28000000000000003</v>
      </c>
      <c r="AP6447">
        <v>1</v>
      </c>
      <c r="AR6447">
        <v>1</v>
      </c>
      <c r="AS6447" s="1">
        <v>29910</v>
      </c>
      <c r="AT6447" s="1">
        <v>5980</v>
      </c>
      <c r="AU6447" s="1">
        <v>23930</v>
      </c>
      <c r="AV6447">
        <v>80.010000000000005</v>
      </c>
      <c r="AX6447" s="1">
        <v>2554.7199999999998</v>
      </c>
      <c r="AY6447" t="s">
        <v>6662</v>
      </c>
      <c r="AZ6447" t="s">
        <v>5275</v>
      </c>
      <c r="BA6447" t="s">
        <v>3119</v>
      </c>
      <c r="BE6447" s="3">
        <v>42034</v>
      </c>
      <c r="BF6447" s="1">
        <v>338000</v>
      </c>
      <c r="BG6447" t="s">
        <v>38937</v>
      </c>
      <c r="BH6447" s="1">
        <v>124.77</v>
      </c>
      <c r="BI6447" s="1">
        <v>341700</v>
      </c>
      <c r="BJ6447" s="3">
        <v>42713</v>
      </c>
      <c r="BK6447" t="s">
        <v>123</v>
      </c>
      <c r="BL6447" t="str">
        <f>"2016.907739"</f>
        <v>2016.907739</v>
      </c>
      <c r="BM6447" t="s">
        <v>322</v>
      </c>
      <c r="BO6447" t="s">
        <v>38938</v>
      </c>
      <c r="BS6447">
        <v>30</v>
      </c>
      <c r="BW6447" t="str">
        <f>""</f>
        <v/>
      </c>
      <c r="CH6447" t="str">
        <f>""</f>
        <v/>
      </c>
      <c r="CS6447" t="str">
        <f>""</f>
        <v/>
      </c>
    </row>
    <row r="6448" spans="1:97" x14ac:dyDescent="0.25">
      <c r="A6448" t="s">
        <v>668</v>
      </c>
      <c r="B6448" t="s">
        <v>38939</v>
      </c>
      <c r="C6448" t="s">
        <v>38940</v>
      </c>
      <c r="D6448" t="s">
        <v>38939</v>
      </c>
      <c r="E6448" t="s">
        <v>38941</v>
      </c>
      <c r="F6448" t="s">
        <v>108</v>
      </c>
      <c r="H6448" t="s">
        <v>38942</v>
      </c>
      <c r="I6448" t="s">
        <v>110</v>
      </c>
      <c r="J6448" t="s">
        <v>111</v>
      </c>
      <c r="K6448" t="str">
        <f>"85286"</f>
        <v>85286</v>
      </c>
      <c r="L6448" t="s">
        <v>3758</v>
      </c>
      <c r="M6448" t="s">
        <v>38942</v>
      </c>
      <c r="N6448" t="s">
        <v>110</v>
      </c>
      <c r="O6448" t="s">
        <v>111</v>
      </c>
      <c r="P6448" t="str">
        <f>"85286-1605"</f>
        <v>85286-1605</v>
      </c>
      <c r="Q6448" t="s">
        <v>113</v>
      </c>
      <c r="R6448" t="str">
        <f>"303-44-940"</f>
        <v>303-44-940</v>
      </c>
      <c r="S6448" t="s">
        <v>34605</v>
      </c>
      <c r="U6448">
        <v>2656</v>
      </c>
      <c r="V6448">
        <v>0</v>
      </c>
      <c r="W6448">
        <v>4</v>
      </c>
      <c r="X6448">
        <v>2006</v>
      </c>
      <c r="Z6448">
        <v>1</v>
      </c>
      <c r="AB6448">
        <v>0</v>
      </c>
      <c r="AC6448" t="s">
        <v>115</v>
      </c>
      <c r="AD6448">
        <v>2</v>
      </c>
      <c r="AE6448" t="s">
        <v>115</v>
      </c>
      <c r="AF6448">
        <v>0</v>
      </c>
      <c r="AG6448">
        <v>0</v>
      </c>
      <c r="AH6448" t="s">
        <v>116</v>
      </c>
      <c r="AI6448" s="1">
        <v>77631</v>
      </c>
      <c r="AJ6448" s="2">
        <v>0.17</v>
      </c>
      <c r="AK6448" s="1">
        <v>446606</v>
      </c>
      <c r="AL6448" t="s">
        <v>117</v>
      </c>
      <c r="AM6448" t="s">
        <v>118</v>
      </c>
      <c r="AN6448">
        <v>10917</v>
      </c>
      <c r="AO6448">
        <v>0.25</v>
      </c>
      <c r="AR6448">
        <v>1</v>
      </c>
      <c r="AS6448" s="1">
        <v>31430</v>
      </c>
      <c r="AT6448" s="1">
        <v>6280</v>
      </c>
      <c r="AU6448" s="1">
        <v>25150</v>
      </c>
      <c r="AV6448">
        <v>80.02</v>
      </c>
      <c r="AX6448" s="1">
        <v>2667.54</v>
      </c>
      <c r="AY6448" t="s">
        <v>737</v>
      </c>
      <c r="AZ6448" t="s">
        <v>120</v>
      </c>
      <c r="BA6448" t="s">
        <v>303</v>
      </c>
      <c r="BE6448" s="3">
        <v>41768</v>
      </c>
      <c r="BF6448" s="1">
        <v>359900</v>
      </c>
      <c r="BG6448" t="s">
        <v>38943</v>
      </c>
      <c r="BH6448" s="1">
        <v>135.5</v>
      </c>
      <c r="BI6448" s="1">
        <v>368975</v>
      </c>
      <c r="BJ6448" s="3">
        <v>42060</v>
      </c>
      <c r="BK6448" t="s">
        <v>123</v>
      </c>
      <c r="BL6448" t="str">
        <f>"2015.122910"</f>
        <v>2015.122910</v>
      </c>
      <c r="BM6448" t="s">
        <v>1185</v>
      </c>
      <c r="BO6448" t="s">
        <v>38944</v>
      </c>
      <c r="BS6448">
        <v>30</v>
      </c>
      <c r="BW6448" t="str">
        <f>""</f>
        <v/>
      </c>
      <c r="CH6448" t="str">
        <f>""</f>
        <v/>
      </c>
      <c r="CS6448" t="str">
        <f>""</f>
        <v/>
      </c>
    </row>
    <row r="6449" spans="1:97" x14ac:dyDescent="0.25">
      <c r="A6449" t="s">
        <v>2374</v>
      </c>
      <c r="B6449" t="s">
        <v>38945</v>
      </c>
      <c r="C6449" t="s">
        <v>1119</v>
      </c>
      <c r="D6449" t="s">
        <v>38946</v>
      </c>
      <c r="E6449" t="s">
        <v>38947</v>
      </c>
      <c r="F6449" t="s">
        <v>108</v>
      </c>
      <c r="H6449" t="s">
        <v>38948</v>
      </c>
      <c r="I6449" t="s">
        <v>110</v>
      </c>
      <c r="J6449" t="s">
        <v>111</v>
      </c>
      <c r="K6449" t="str">
        <f>"85225"</f>
        <v>85225</v>
      </c>
      <c r="L6449" t="s">
        <v>6169</v>
      </c>
      <c r="M6449" t="s">
        <v>38948</v>
      </c>
      <c r="N6449" t="s">
        <v>110</v>
      </c>
      <c r="O6449" t="s">
        <v>111</v>
      </c>
      <c r="P6449" t="str">
        <f>"85225-2206"</f>
        <v>85225-2206</v>
      </c>
      <c r="Q6449" t="s">
        <v>113</v>
      </c>
      <c r="R6449" t="str">
        <f>"303-69-606"</f>
        <v>303-69-606</v>
      </c>
      <c r="S6449" t="s">
        <v>14002</v>
      </c>
      <c r="U6449">
        <v>1729</v>
      </c>
      <c r="V6449">
        <v>0</v>
      </c>
      <c r="W6449">
        <v>3</v>
      </c>
      <c r="X6449">
        <v>1988</v>
      </c>
      <c r="Z6449">
        <v>1</v>
      </c>
      <c r="AB6449">
        <v>0</v>
      </c>
      <c r="AC6449" t="s">
        <v>115</v>
      </c>
      <c r="AD6449">
        <v>2</v>
      </c>
      <c r="AE6449" t="s">
        <v>115</v>
      </c>
      <c r="AF6449">
        <v>0</v>
      </c>
      <c r="AG6449">
        <v>0</v>
      </c>
      <c r="AH6449" t="s">
        <v>116</v>
      </c>
      <c r="AI6449" s="1">
        <v>21728</v>
      </c>
      <c r="AJ6449" s="2">
        <v>0.08</v>
      </c>
      <c r="AK6449" s="1">
        <v>286296</v>
      </c>
      <c r="AL6449" t="s">
        <v>117</v>
      </c>
      <c r="AM6449" t="s">
        <v>118</v>
      </c>
      <c r="AN6449">
        <v>7314</v>
      </c>
      <c r="AO6449">
        <v>0.17</v>
      </c>
      <c r="AP6449">
        <v>1</v>
      </c>
      <c r="AR6449">
        <v>1</v>
      </c>
      <c r="AS6449" s="1">
        <v>20350</v>
      </c>
      <c r="AT6449" s="1">
        <v>4070</v>
      </c>
      <c r="AU6449" s="1">
        <v>16280</v>
      </c>
      <c r="AV6449">
        <v>80</v>
      </c>
      <c r="AX6449" s="1">
        <v>1489.86</v>
      </c>
      <c r="AY6449" t="s">
        <v>5650</v>
      </c>
      <c r="AZ6449" t="s">
        <v>2906</v>
      </c>
      <c r="BA6449" t="s">
        <v>303</v>
      </c>
      <c r="BE6449" s="3">
        <v>42286</v>
      </c>
      <c r="BF6449" s="1">
        <v>259000</v>
      </c>
      <c r="BG6449" t="s">
        <v>38949</v>
      </c>
      <c r="BH6449" s="1">
        <v>149.80000000000001</v>
      </c>
      <c r="BI6449" s="1">
        <v>264568</v>
      </c>
      <c r="BJ6449" s="3">
        <v>42286</v>
      </c>
      <c r="BK6449" t="s">
        <v>123</v>
      </c>
      <c r="BL6449" t="str">
        <f>"2015.728570"</f>
        <v>2015.728570</v>
      </c>
      <c r="BM6449" t="s">
        <v>724</v>
      </c>
      <c r="BO6449" t="s">
        <v>38950</v>
      </c>
      <c r="BP6449" t="s">
        <v>38951</v>
      </c>
      <c r="BS6449">
        <v>30</v>
      </c>
      <c r="BW6449" t="str">
        <f>""</f>
        <v/>
      </c>
      <c r="CH6449" t="str">
        <f>""</f>
        <v/>
      </c>
      <c r="CS6449" t="str">
        <f>""</f>
        <v/>
      </c>
    </row>
    <row r="6450" spans="1:97" x14ac:dyDescent="0.25">
      <c r="A6450" t="s">
        <v>5301</v>
      </c>
      <c r="B6450" t="s">
        <v>12517</v>
      </c>
      <c r="C6450" t="s">
        <v>38952</v>
      </c>
      <c r="D6450" t="s">
        <v>12517</v>
      </c>
      <c r="E6450" t="s">
        <v>38953</v>
      </c>
      <c r="F6450" t="s">
        <v>108</v>
      </c>
      <c r="H6450" t="s">
        <v>38954</v>
      </c>
      <c r="I6450" t="s">
        <v>203</v>
      </c>
      <c r="J6450" t="s">
        <v>111</v>
      </c>
      <c r="K6450" t="str">
        <f>"85295"</f>
        <v>85295</v>
      </c>
      <c r="L6450" t="s">
        <v>8747</v>
      </c>
      <c r="M6450" t="s">
        <v>38954</v>
      </c>
      <c r="N6450" t="s">
        <v>203</v>
      </c>
      <c r="O6450" t="s">
        <v>111</v>
      </c>
      <c r="P6450" t="str">
        <f>"85295-4828"</f>
        <v>85295-4828</v>
      </c>
      <c r="Q6450" t="s">
        <v>113</v>
      </c>
      <c r="R6450" t="str">
        <f>"304-42-116"</f>
        <v>304-42-116</v>
      </c>
      <c r="S6450" t="s">
        <v>21464</v>
      </c>
      <c r="T6450" t="s">
        <v>21465</v>
      </c>
      <c r="U6450">
        <v>1945</v>
      </c>
      <c r="V6450">
        <v>0</v>
      </c>
      <c r="W6450">
        <v>3</v>
      </c>
      <c r="X6450">
        <v>1997</v>
      </c>
      <c r="Z6450">
        <v>1</v>
      </c>
      <c r="AB6450">
        <v>0</v>
      </c>
      <c r="AC6450" t="s">
        <v>115</v>
      </c>
      <c r="AD6450">
        <v>2</v>
      </c>
      <c r="AE6450" t="s">
        <v>115</v>
      </c>
      <c r="AF6450">
        <v>0</v>
      </c>
      <c r="AG6450">
        <v>0</v>
      </c>
      <c r="AH6450" t="s">
        <v>116</v>
      </c>
      <c r="AI6450" s="1">
        <v>39102</v>
      </c>
      <c r="AJ6450" s="2">
        <v>0.13</v>
      </c>
      <c r="AK6450" s="1">
        <v>306649</v>
      </c>
      <c r="AL6450" t="s">
        <v>117</v>
      </c>
      <c r="AM6450" t="s">
        <v>393</v>
      </c>
      <c r="AN6450">
        <v>7710</v>
      </c>
      <c r="AO6450">
        <v>0.18</v>
      </c>
      <c r="AP6450">
        <v>1</v>
      </c>
      <c r="AR6450">
        <v>1</v>
      </c>
      <c r="AS6450" s="1">
        <v>23680</v>
      </c>
      <c r="AT6450" s="1">
        <v>4730</v>
      </c>
      <c r="AU6450" s="1">
        <v>18950</v>
      </c>
      <c r="AV6450">
        <v>80.03</v>
      </c>
      <c r="AX6450" s="1">
        <v>1660.88</v>
      </c>
      <c r="AY6450" t="s">
        <v>9212</v>
      </c>
      <c r="AZ6450" t="s">
        <v>207</v>
      </c>
      <c r="BA6450" t="s">
        <v>208</v>
      </c>
      <c r="BB6450" s="3">
        <v>42256</v>
      </c>
      <c r="BD6450" t="s">
        <v>240</v>
      </c>
      <c r="BE6450" s="3">
        <v>42251</v>
      </c>
      <c r="BF6450" s="1">
        <v>259000</v>
      </c>
      <c r="BG6450" t="s">
        <v>38955</v>
      </c>
      <c r="BH6450" s="1">
        <v>133.16</v>
      </c>
      <c r="BI6450" s="1">
        <v>267547</v>
      </c>
      <c r="BJ6450" s="3">
        <v>42251</v>
      </c>
      <c r="BK6450" t="s">
        <v>123</v>
      </c>
      <c r="BL6450" t="str">
        <f>"2015.645295"</f>
        <v>2015.645295</v>
      </c>
      <c r="BM6450" t="s">
        <v>594</v>
      </c>
      <c r="BO6450" t="s">
        <v>38956</v>
      </c>
      <c r="BS6450">
        <v>30</v>
      </c>
      <c r="BW6450" t="str">
        <f>""</f>
        <v/>
      </c>
      <c r="CH6450" t="str">
        <f>""</f>
        <v/>
      </c>
      <c r="CS6450" t="str">
        <f>""</f>
        <v/>
      </c>
    </row>
    <row r="6451" spans="1:97" x14ac:dyDescent="0.25">
      <c r="A6451" t="s">
        <v>370</v>
      </c>
      <c r="B6451" t="s">
        <v>38957</v>
      </c>
      <c r="E6451" t="s">
        <v>38958</v>
      </c>
      <c r="F6451" t="s">
        <v>108</v>
      </c>
      <c r="H6451" t="s">
        <v>38959</v>
      </c>
      <c r="I6451" t="s">
        <v>203</v>
      </c>
      <c r="J6451" t="s">
        <v>111</v>
      </c>
      <c r="K6451" t="str">
        <f>"85234"</f>
        <v>85234</v>
      </c>
      <c r="L6451" t="s">
        <v>189</v>
      </c>
      <c r="M6451" t="s">
        <v>38959</v>
      </c>
      <c r="N6451" t="s">
        <v>203</v>
      </c>
      <c r="O6451" t="s">
        <v>111</v>
      </c>
      <c r="P6451" t="str">
        <f>"85234-3203"</f>
        <v>85234-3203</v>
      </c>
      <c r="Q6451" t="s">
        <v>113</v>
      </c>
      <c r="R6451" t="str">
        <f>"304-15-501"</f>
        <v>304-15-501</v>
      </c>
      <c r="S6451" t="s">
        <v>5564</v>
      </c>
      <c r="T6451" t="s">
        <v>5564</v>
      </c>
      <c r="U6451">
        <v>2493</v>
      </c>
      <c r="V6451">
        <v>0</v>
      </c>
      <c r="W6451">
        <v>4</v>
      </c>
      <c r="X6451">
        <v>1998</v>
      </c>
      <c r="Z6451">
        <v>2</v>
      </c>
      <c r="AA6451" t="s">
        <v>26</v>
      </c>
      <c r="AB6451">
        <v>0</v>
      </c>
      <c r="AC6451" t="s">
        <v>115</v>
      </c>
      <c r="AD6451">
        <v>3</v>
      </c>
      <c r="AE6451" t="s">
        <v>115</v>
      </c>
      <c r="AF6451">
        <v>0</v>
      </c>
      <c r="AG6451">
        <v>0</v>
      </c>
      <c r="AH6451" t="s">
        <v>116</v>
      </c>
      <c r="AI6451" s="1">
        <v>104762</v>
      </c>
      <c r="AJ6451" s="2">
        <v>0.26</v>
      </c>
      <c r="AK6451" s="1">
        <v>400997</v>
      </c>
      <c r="AL6451" t="s">
        <v>117</v>
      </c>
      <c r="AM6451" t="s">
        <v>393</v>
      </c>
      <c r="AN6451">
        <v>6987</v>
      </c>
      <c r="AO6451">
        <v>0.16</v>
      </c>
      <c r="AP6451">
        <v>1</v>
      </c>
      <c r="AR6451">
        <v>1</v>
      </c>
      <c r="AS6451" s="1">
        <v>26980</v>
      </c>
      <c r="AT6451" s="1">
        <v>5390</v>
      </c>
      <c r="AU6451" s="1">
        <v>21590</v>
      </c>
      <c r="AV6451">
        <v>80.02</v>
      </c>
      <c r="AX6451" s="1">
        <v>2036.58</v>
      </c>
      <c r="AY6451" t="s">
        <v>5565</v>
      </c>
      <c r="AZ6451" t="s">
        <v>571</v>
      </c>
      <c r="BA6451" t="s">
        <v>521</v>
      </c>
      <c r="BE6451" s="3">
        <v>42139</v>
      </c>
      <c r="BF6451" s="1">
        <v>334990</v>
      </c>
      <c r="BG6451" t="s">
        <v>38960</v>
      </c>
      <c r="BH6451" s="1">
        <v>134.37</v>
      </c>
      <c r="BI6451" s="1">
        <v>296235</v>
      </c>
      <c r="BJ6451" s="3">
        <v>42356</v>
      </c>
      <c r="BK6451" t="s">
        <v>123</v>
      </c>
      <c r="BL6451" t="str">
        <f>"2015.892627"</f>
        <v>2015.892627</v>
      </c>
      <c r="BM6451" t="s">
        <v>135</v>
      </c>
      <c r="BO6451" t="s">
        <v>38961</v>
      </c>
      <c r="BS6451">
        <v>30</v>
      </c>
      <c r="BW6451" t="str">
        <f>""</f>
        <v/>
      </c>
      <c r="CH6451" t="str">
        <f>""</f>
        <v/>
      </c>
      <c r="CS6451" t="str">
        <f>""</f>
        <v/>
      </c>
    </row>
    <row r="6452" spans="1:97" x14ac:dyDescent="0.25">
      <c r="A6452" t="s">
        <v>177</v>
      </c>
      <c r="B6452" t="s">
        <v>38962</v>
      </c>
      <c r="C6452" t="s">
        <v>4874</v>
      </c>
      <c r="D6452" t="s">
        <v>38962</v>
      </c>
      <c r="E6452" t="s">
        <v>38963</v>
      </c>
      <c r="F6452" t="s">
        <v>108</v>
      </c>
      <c r="H6452" t="s">
        <v>38964</v>
      </c>
      <c r="I6452" t="s">
        <v>499</v>
      </c>
      <c r="J6452" t="s">
        <v>111</v>
      </c>
      <c r="K6452" t="str">
        <f>"85395"</f>
        <v>85395</v>
      </c>
      <c r="L6452" t="s">
        <v>500</v>
      </c>
      <c r="M6452" t="s">
        <v>38964</v>
      </c>
      <c r="N6452" t="s">
        <v>499</v>
      </c>
      <c r="O6452" t="s">
        <v>111</v>
      </c>
      <c r="P6452" t="str">
        <f>"85395-5236"</f>
        <v>85395-5236</v>
      </c>
      <c r="Q6452" t="s">
        <v>113</v>
      </c>
      <c r="R6452" t="str">
        <f>"502-30-235"</f>
        <v>502-30-235</v>
      </c>
      <c r="S6452" t="s">
        <v>5769</v>
      </c>
      <c r="T6452" t="s">
        <v>502</v>
      </c>
      <c r="U6452">
        <v>2630</v>
      </c>
      <c r="V6452">
        <v>0</v>
      </c>
      <c r="W6452">
        <v>3</v>
      </c>
      <c r="X6452">
        <v>2014</v>
      </c>
      <c r="Z6452">
        <v>1</v>
      </c>
      <c r="AB6452">
        <v>0</v>
      </c>
      <c r="AC6452" t="s">
        <v>115</v>
      </c>
      <c r="AD6452">
        <v>3</v>
      </c>
      <c r="AE6452" t="s">
        <v>115</v>
      </c>
      <c r="AF6452">
        <v>0</v>
      </c>
      <c r="AG6452">
        <v>0</v>
      </c>
      <c r="AH6452" t="s">
        <v>116</v>
      </c>
      <c r="AI6452" s="1">
        <v>81380</v>
      </c>
      <c r="AJ6452" s="2">
        <v>0.23</v>
      </c>
      <c r="AK6452" s="1">
        <v>361370</v>
      </c>
      <c r="AL6452" t="s">
        <v>117</v>
      </c>
      <c r="AM6452" t="s">
        <v>118</v>
      </c>
      <c r="AN6452">
        <v>10192</v>
      </c>
      <c r="AO6452">
        <v>0.23</v>
      </c>
      <c r="AR6452">
        <v>1</v>
      </c>
      <c r="AS6452" s="1">
        <v>26120</v>
      </c>
      <c r="AT6452" s="1">
        <v>5220</v>
      </c>
      <c r="AU6452" s="1">
        <v>20900</v>
      </c>
      <c r="AV6452">
        <v>80.02</v>
      </c>
      <c r="AX6452" s="1">
        <v>2303.52</v>
      </c>
      <c r="AY6452" t="s">
        <v>503</v>
      </c>
      <c r="AZ6452" t="s">
        <v>504</v>
      </c>
      <c r="BA6452" t="s">
        <v>218</v>
      </c>
      <c r="BE6452" s="3">
        <v>42088</v>
      </c>
      <c r="BF6452" s="1">
        <v>279990</v>
      </c>
      <c r="BG6452" t="s">
        <v>209</v>
      </c>
      <c r="BH6452" s="1">
        <v>106.46</v>
      </c>
      <c r="BI6452" s="1">
        <v>279990</v>
      </c>
      <c r="BJ6452" s="3">
        <v>42088</v>
      </c>
      <c r="BK6452" t="s">
        <v>123</v>
      </c>
      <c r="BL6452" t="str">
        <f>"2015.199282"</f>
        <v>2015.199282</v>
      </c>
      <c r="BM6452" t="s">
        <v>175</v>
      </c>
      <c r="BO6452" t="s">
        <v>38965</v>
      </c>
      <c r="BS6452">
        <v>30</v>
      </c>
      <c r="BW6452" t="str">
        <f>""</f>
        <v/>
      </c>
      <c r="CH6452" t="str">
        <f>""</f>
        <v/>
      </c>
      <c r="CS6452" t="str">
        <f>""</f>
        <v/>
      </c>
    </row>
    <row r="6453" spans="1:97" x14ac:dyDescent="0.25">
      <c r="A6453" t="s">
        <v>243</v>
      </c>
      <c r="B6453" t="s">
        <v>8182</v>
      </c>
      <c r="C6453" t="s">
        <v>38966</v>
      </c>
      <c r="D6453" t="s">
        <v>8182</v>
      </c>
      <c r="E6453" t="s">
        <v>38967</v>
      </c>
      <c r="F6453" t="s">
        <v>108</v>
      </c>
      <c r="H6453" t="s">
        <v>38968</v>
      </c>
      <c r="I6453" t="s">
        <v>4251</v>
      </c>
      <c r="J6453" t="s">
        <v>111</v>
      </c>
      <c r="K6453" t="str">
        <f>"85353"</f>
        <v>85353</v>
      </c>
      <c r="L6453" t="s">
        <v>734</v>
      </c>
      <c r="M6453" t="s">
        <v>38968</v>
      </c>
      <c r="N6453" t="s">
        <v>4251</v>
      </c>
      <c r="O6453" t="s">
        <v>111</v>
      </c>
      <c r="P6453" t="str">
        <f>"85353-1293"</f>
        <v>85353-1293</v>
      </c>
      <c r="Q6453" t="s">
        <v>113</v>
      </c>
      <c r="R6453" t="str">
        <f>"101-15-661"</f>
        <v>101-15-661</v>
      </c>
      <c r="S6453" t="s">
        <v>38969</v>
      </c>
      <c r="U6453">
        <v>2232</v>
      </c>
      <c r="V6453">
        <v>0</v>
      </c>
      <c r="W6453">
        <v>3</v>
      </c>
      <c r="X6453">
        <v>2012</v>
      </c>
      <c r="Z6453">
        <v>2</v>
      </c>
      <c r="AB6453">
        <v>0</v>
      </c>
      <c r="AC6453" t="s">
        <v>115</v>
      </c>
      <c r="AD6453">
        <v>2</v>
      </c>
      <c r="AE6453" t="s">
        <v>115</v>
      </c>
      <c r="AF6453">
        <v>0</v>
      </c>
      <c r="AG6453">
        <v>0</v>
      </c>
      <c r="AH6453" t="s">
        <v>116</v>
      </c>
      <c r="AI6453" s="1">
        <v>41264</v>
      </c>
      <c r="AJ6453" s="2">
        <v>0.16</v>
      </c>
      <c r="AK6453" s="1">
        <v>258843</v>
      </c>
      <c r="AL6453" t="s">
        <v>117</v>
      </c>
      <c r="AM6453" t="s">
        <v>171</v>
      </c>
      <c r="AN6453">
        <v>5500</v>
      </c>
      <c r="AO6453">
        <v>0.13</v>
      </c>
      <c r="AR6453">
        <v>1</v>
      </c>
      <c r="AS6453" s="1">
        <v>17410</v>
      </c>
      <c r="AT6453" s="1">
        <v>3480</v>
      </c>
      <c r="AU6453" s="1">
        <v>13930</v>
      </c>
      <c r="AV6453">
        <v>80.010000000000005</v>
      </c>
      <c r="AX6453" s="1">
        <v>2267.3200000000002</v>
      </c>
      <c r="AY6453" t="s">
        <v>4253</v>
      </c>
      <c r="AZ6453" t="s">
        <v>4253</v>
      </c>
      <c r="BA6453" t="s">
        <v>4254</v>
      </c>
      <c r="BE6453" s="3">
        <v>42488</v>
      </c>
      <c r="BF6453" s="1">
        <v>213000</v>
      </c>
      <c r="BG6453" t="s">
        <v>38970</v>
      </c>
      <c r="BH6453" s="1">
        <v>95.43</v>
      </c>
      <c r="BI6453" s="1">
        <v>217579</v>
      </c>
      <c r="BJ6453" s="3">
        <v>42488</v>
      </c>
      <c r="BK6453" t="s">
        <v>123</v>
      </c>
      <c r="BL6453" t="str">
        <f>"2016.286898"</f>
        <v>2016.286898</v>
      </c>
      <c r="BM6453" t="s">
        <v>724</v>
      </c>
      <c r="BO6453" t="s">
        <v>38971</v>
      </c>
      <c r="BS6453">
        <v>30</v>
      </c>
      <c r="BW6453" t="str">
        <f>""</f>
        <v/>
      </c>
      <c r="CH6453" t="str">
        <f>""</f>
        <v/>
      </c>
      <c r="CS6453" t="str">
        <f>""</f>
        <v/>
      </c>
    </row>
    <row r="6454" spans="1:97" x14ac:dyDescent="0.25">
      <c r="A6454" t="s">
        <v>177</v>
      </c>
      <c r="B6454" t="s">
        <v>38972</v>
      </c>
      <c r="C6454" t="s">
        <v>2852</v>
      </c>
      <c r="D6454" t="s">
        <v>38972</v>
      </c>
      <c r="E6454" t="s">
        <v>38973</v>
      </c>
      <c r="F6454" t="s">
        <v>108</v>
      </c>
      <c r="H6454" t="s">
        <v>38974</v>
      </c>
      <c r="I6454" t="s">
        <v>453</v>
      </c>
      <c r="J6454" t="s">
        <v>111</v>
      </c>
      <c r="K6454" t="str">
        <f>"85383"</f>
        <v>85383</v>
      </c>
      <c r="L6454" t="s">
        <v>454</v>
      </c>
      <c r="M6454" t="s">
        <v>38974</v>
      </c>
      <c r="N6454" t="s">
        <v>453</v>
      </c>
      <c r="O6454" t="s">
        <v>111</v>
      </c>
      <c r="P6454" t="str">
        <f>"85383-7999"</f>
        <v>85383-7999</v>
      </c>
      <c r="Q6454" t="s">
        <v>113</v>
      </c>
      <c r="R6454" t="str">
        <f>"503-81-290"</f>
        <v>503-81-290</v>
      </c>
      <c r="S6454" t="s">
        <v>14111</v>
      </c>
      <c r="U6454">
        <v>3486</v>
      </c>
      <c r="V6454">
        <v>0</v>
      </c>
      <c r="W6454">
        <v>4</v>
      </c>
      <c r="X6454">
        <v>2013</v>
      </c>
      <c r="Z6454">
        <v>2</v>
      </c>
      <c r="AB6454">
        <v>0</v>
      </c>
      <c r="AC6454" t="s">
        <v>115</v>
      </c>
      <c r="AD6454">
        <v>3</v>
      </c>
      <c r="AE6454" t="s">
        <v>115</v>
      </c>
      <c r="AF6454">
        <v>0</v>
      </c>
      <c r="AG6454">
        <v>0</v>
      </c>
      <c r="AH6454" t="s">
        <v>116</v>
      </c>
      <c r="AI6454" s="1">
        <v>33236</v>
      </c>
      <c r="AJ6454" s="2">
        <v>0.09</v>
      </c>
      <c r="AK6454" s="1">
        <v>386584</v>
      </c>
      <c r="AL6454" t="s">
        <v>117</v>
      </c>
      <c r="AM6454" t="s">
        <v>118</v>
      </c>
      <c r="AN6454">
        <v>7164</v>
      </c>
      <c r="AO6454">
        <v>0.16</v>
      </c>
      <c r="AR6454">
        <v>1</v>
      </c>
      <c r="AS6454" s="1">
        <v>29310</v>
      </c>
      <c r="AT6454" s="1">
        <v>5860</v>
      </c>
      <c r="AU6454" s="1">
        <v>23450</v>
      </c>
      <c r="AV6454">
        <v>80.010000000000005</v>
      </c>
      <c r="AX6454" s="1">
        <v>3691.14</v>
      </c>
      <c r="AY6454" t="s">
        <v>456</v>
      </c>
      <c r="AZ6454" t="s">
        <v>456</v>
      </c>
      <c r="BA6454" t="s">
        <v>457</v>
      </c>
      <c r="BB6454" s="3">
        <v>41813</v>
      </c>
      <c r="BD6454" t="s">
        <v>240</v>
      </c>
      <c r="BE6454" s="3">
        <v>41782</v>
      </c>
      <c r="BF6454" s="1">
        <v>345282</v>
      </c>
      <c r="BG6454" t="s">
        <v>38975</v>
      </c>
      <c r="BH6454" s="1">
        <v>99.05</v>
      </c>
      <c r="BI6454" s="1">
        <v>353348</v>
      </c>
      <c r="BJ6454" s="3">
        <v>42475</v>
      </c>
      <c r="BK6454" t="s">
        <v>123</v>
      </c>
      <c r="BL6454" t="str">
        <f>"2016.250548"</f>
        <v>2016.250548</v>
      </c>
      <c r="BM6454" t="s">
        <v>544</v>
      </c>
      <c r="BO6454" t="s">
        <v>38976</v>
      </c>
      <c r="BS6454">
        <v>30</v>
      </c>
      <c r="BW6454" t="str">
        <f>""</f>
        <v/>
      </c>
      <c r="CH6454" t="str">
        <f>""</f>
        <v/>
      </c>
      <c r="CS6454" t="str">
        <f>""</f>
        <v/>
      </c>
    </row>
    <row r="6455" spans="1:97" x14ac:dyDescent="0.25">
      <c r="A6455" t="s">
        <v>1444</v>
      </c>
      <c r="B6455" t="s">
        <v>38977</v>
      </c>
      <c r="C6455" t="s">
        <v>1674</v>
      </c>
      <c r="D6455" t="s">
        <v>38977</v>
      </c>
      <c r="E6455" t="s">
        <v>38978</v>
      </c>
      <c r="F6455" t="s">
        <v>108</v>
      </c>
      <c r="H6455" t="s">
        <v>38979</v>
      </c>
      <c r="I6455" t="s">
        <v>390</v>
      </c>
      <c r="J6455" t="s">
        <v>111</v>
      </c>
      <c r="K6455" t="str">
        <f>"85083"</f>
        <v>85083</v>
      </c>
      <c r="L6455" t="s">
        <v>5743</v>
      </c>
      <c r="M6455" t="s">
        <v>38979</v>
      </c>
      <c r="N6455" t="s">
        <v>390</v>
      </c>
      <c r="O6455" t="s">
        <v>111</v>
      </c>
      <c r="P6455" t="str">
        <f>"85083-4425"</f>
        <v>85083-4425</v>
      </c>
      <c r="Q6455" t="s">
        <v>113</v>
      </c>
      <c r="R6455" t="str">
        <f>"201-38-654"</f>
        <v>201-38-654</v>
      </c>
      <c r="S6455" t="s">
        <v>7771</v>
      </c>
      <c r="U6455">
        <v>4070</v>
      </c>
      <c r="V6455">
        <v>0</v>
      </c>
      <c r="W6455">
        <v>5</v>
      </c>
      <c r="X6455">
        <v>2006</v>
      </c>
      <c r="Z6455">
        <v>2</v>
      </c>
      <c r="AA6455" t="s">
        <v>26</v>
      </c>
      <c r="AB6455">
        <v>0</v>
      </c>
      <c r="AC6455" t="s">
        <v>115</v>
      </c>
      <c r="AD6455">
        <v>3</v>
      </c>
      <c r="AE6455" t="s">
        <v>115</v>
      </c>
      <c r="AF6455">
        <v>0</v>
      </c>
      <c r="AG6455">
        <v>0</v>
      </c>
      <c r="AH6455" t="s">
        <v>116</v>
      </c>
      <c r="AI6455" s="1">
        <v>67802</v>
      </c>
      <c r="AJ6455" s="2">
        <v>0.14000000000000001</v>
      </c>
      <c r="AK6455" s="1">
        <v>500952</v>
      </c>
      <c r="AL6455" t="s">
        <v>117</v>
      </c>
      <c r="AM6455" t="s">
        <v>1302</v>
      </c>
      <c r="AN6455">
        <v>7048</v>
      </c>
      <c r="AO6455">
        <v>0.16</v>
      </c>
      <c r="AR6455">
        <v>1</v>
      </c>
      <c r="AS6455" s="1">
        <v>37150</v>
      </c>
      <c r="AT6455" s="1">
        <v>7430</v>
      </c>
      <c r="AU6455" s="1">
        <v>29720</v>
      </c>
      <c r="AV6455">
        <v>80</v>
      </c>
      <c r="AX6455" s="1">
        <v>3687.42</v>
      </c>
      <c r="AY6455" t="s">
        <v>5125</v>
      </c>
      <c r="AZ6455" t="s">
        <v>3049</v>
      </c>
      <c r="BA6455" t="s">
        <v>1386</v>
      </c>
      <c r="BE6455" s="3">
        <v>42538</v>
      </c>
      <c r="BF6455" s="1">
        <v>425000</v>
      </c>
      <c r="BG6455" t="s">
        <v>38980</v>
      </c>
      <c r="BH6455" s="1">
        <v>104.42</v>
      </c>
      <c r="BI6455" s="1">
        <v>433150</v>
      </c>
      <c r="BJ6455" s="3">
        <v>42538</v>
      </c>
      <c r="BK6455" t="s">
        <v>123</v>
      </c>
      <c r="BL6455" t="str">
        <f>"2016.424315"</f>
        <v>2016.424315</v>
      </c>
      <c r="BM6455" t="s">
        <v>124</v>
      </c>
      <c r="BO6455" t="s">
        <v>38981</v>
      </c>
      <c r="BS6455">
        <v>30</v>
      </c>
      <c r="BW6455" t="str">
        <f>""</f>
        <v/>
      </c>
      <c r="CH6455" t="str">
        <f>""</f>
        <v/>
      </c>
      <c r="CS6455" t="str">
        <f>""</f>
        <v/>
      </c>
    </row>
    <row r="6456" spans="1:97" x14ac:dyDescent="0.25">
      <c r="A6456" t="s">
        <v>4320</v>
      </c>
      <c r="B6456" t="s">
        <v>33279</v>
      </c>
      <c r="E6456" t="s">
        <v>38982</v>
      </c>
      <c r="F6456" t="s">
        <v>108</v>
      </c>
      <c r="H6456" t="s">
        <v>38983</v>
      </c>
      <c r="I6456" t="s">
        <v>390</v>
      </c>
      <c r="J6456" t="s">
        <v>111</v>
      </c>
      <c r="K6456" t="str">
        <f>"85023"</f>
        <v>85023</v>
      </c>
      <c r="L6456" t="s">
        <v>8345</v>
      </c>
      <c r="M6456" t="s">
        <v>38983</v>
      </c>
      <c r="N6456" t="s">
        <v>390</v>
      </c>
      <c r="O6456" t="s">
        <v>111</v>
      </c>
      <c r="P6456" t="str">
        <f>"85023-6103"</f>
        <v>85023-6103</v>
      </c>
      <c r="Q6456" t="s">
        <v>113</v>
      </c>
      <c r="R6456" t="str">
        <f>"208-16-063"</f>
        <v>208-16-063</v>
      </c>
      <c r="S6456" t="s">
        <v>38984</v>
      </c>
      <c r="T6456" t="s">
        <v>19933</v>
      </c>
      <c r="U6456">
        <v>1470</v>
      </c>
      <c r="V6456">
        <v>0</v>
      </c>
      <c r="W6456">
        <v>2</v>
      </c>
      <c r="X6456">
        <v>1969</v>
      </c>
      <c r="Z6456">
        <v>1</v>
      </c>
      <c r="AA6456" t="s">
        <v>26</v>
      </c>
      <c r="AB6456">
        <v>0</v>
      </c>
      <c r="AC6456" t="s">
        <v>115</v>
      </c>
      <c r="AD6456">
        <v>2</v>
      </c>
      <c r="AE6456" t="s">
        <v>115</v>
      </c>
      <c r="AF6456">
        <v>0</v>
      </c>
      <c r="AG6456">
        <v>0</v>
      </c>
      <c r="AH6456" t="s">
        <v>5467</v>
      </c>
      <c r="AI6456" s="1">
        <v>-2768</v>
      </c>
      <c r="AJ6456" s="2">
        <v>-0.01</v>
      </c>
      <c r="AK6456" s="1">
        <v>264032</v>
      </c>
      <c r="AL6456" t="s">
        <v>117</v>
      </c>
      <c r="AM6456" t="s">
        <v>171</v>
      </c>
      <c r="AN6456">
        <v>8318</v>
      </c>
      <c r="AO6456">
        <v>0.19</v>
      </c>
      <c r="AP6456">
        <v>1</v>
      </c>
      <c r="AR6456">
        <v>1</v>
      </c>
      <c r="AS6456" s="1">
        <v>16860</v>
      </c>
      <c r="AT6456" s="1">
        <v>3370</v>
      </c>
      <c r="AU6456" s="1">
        <v>13490</v>
      </c>
      <c r="AV6456">
        <v>80.010000000000005</v>
      </c>
      <c r="AX6456" s="1">
        <v>1395.28</v>
      </c>
      <c r="AY6456" t="s">
        <v>19934</v>
      </c>
      <c r="AZ6456" t="s">
        <v>8648</v>
      </c>
      <c r="BA6456" t="s">
        <v>8649</v>
      </c>
      <c r="BE6456" s="3">
        <v>42369</v>
      </c>
      <c r="BF6456" s="1">
        <v>230000</v>
      </c>
      <c r="BG6456" t="s">
        <v>38985</v>
      </c>
      <c r="BH6456" s="1">
        <v>156.46</v>
      </c>
      <c r="BI6456" s="1">
        <v>266800</v>
      </c>
      <c r="BJ6456" s="3">
        <v>43567</v>
      </c>
      <c r="BK6456" t="s">
        <v>123</v>
      </c>
      <c r="BL6456" t="str">
        <f>"2019.258361"</f>
        <v>2019.258361</v>
      </c>
      <c r="BM6456" t="s">
        <v>673</v>
      </c>
      <c r="BN6456" t="s">
        <v>674</v>
      </c>
      <c r="BO6456" t="s">
        <v>38986</v>
      </c>
      <c r="BR6456" t="s">
        <v>139</v>
      </c>
      <c r="BW6456" t="str">
        <f>""</f>
        <v/>
      </c>
      <c r="CH6456" t="str">
        <f>""</f>
        <v/>
      </c>
      <c r="CS6456" t="str">
        <f>""</f>
        <v/>
      </c>
    </row>
    <row r="6457" spans="1:97" x14ac:dyDescent="0.25">
      <c r="A6457" t="s">
        <v>2915</v>
      </c>
      <c r="B6457" t="s">
        <v>38987</v>
      </c>
      <c r="C6457" t="s">
        <v>305</v>
      </c>
      <c r="D6457" t="s">
        <v>38987</v>
      </c>
      <c r="E6457" t="s">
        <v>38988</v>
      </c>
      <c r="F6457" t="s">
        <v>282</v>
      </c>
      <c r="H6457" t="s">
        <v>38989</v>
      </c>
      <c r="I6457" t="s">
        <v>1936</v>
      </c>
      <c r="J6457" t="s">
        <v>111</v>
      </c>
      <c r="K6457" t="str">
        <f>"85254"</f>
        <v>85254</v>
      </c>
      <c r="L6457" t="s">
        <v>1658</v>
      </c>
      <c r="M6457" t="s">
        <v>38990</v>
      </c>
      <c r="N6457" t="s">
        <v>1936</v>
      </c>
      <c r="O6457" t="s">
        <v>111</v>
      </c>
      <c r="P6457" t="str">
        <f>"85255-9026"</f>
        <v>85255-9026</v>
      </c>
      <c r="Q6457" t="s">
        <v>113</v>
      </c>
      <c r="R6457" t="str">
        <f>"215-40-093"</f>
        <v>215-40-093</v>
      </c>
      <c r="S6457" t="s">
        <v>38991</v>
      </c>
      <c r="T6457" t="s">
        <v>38992</v>
      </c>
      <c r="U6457">
        <v>1634</v>
      </c>
      <c r="V6457">
        <v>0</v>
      </c>
      <c r="W6457">
        <v>2</v>
      </c>
      <c r="X6457">
        <v>1982</v>
      </c>
      <c r="Z6457">
        <v>1</v>
      </c>
      <c r="AB6457">
        <v>0</v>
      </c>
      <c r="AC6457" t="s">
        <v>115</v>
      </c>
      <c r="AD6457">
        <v>2</v>
      </c>
      <c r="AE6457" t="s">
        <v>115</v>
      </c>
      <c r="AF6457">
        <v>0</v>
      </c>
      <c r="AG6457">
        <v>0</v>
      </c>
      <c r="AH6457" t="s">
        <v>116</v>
      </c>
      <c r="AI6457" s="1">
        <v>79946</v>
      </c>
      <c r="AJ6457" s="2">
        <v>0.2</v>
      </c>
      <c r="AK6457" s="1">
        <v>400176</v>
      </c>
      <c r="AL6457" t="s">
        <v>117</v>
      </c>
      <c r="AM6457" t="s">
        <v>1302</v>
      </c>
      <c r="AN6457">
        <v>10118</v>
      </c>
      <c r="AO6457">
        <v>0.23</v>
      </c>
      <c r="AP6457">
        <v>1</v>
      </c>
      <c r="AR6457">
        <v>1</v>
      </c>
      <c r="AS6457" s="1">
        <v>27520</v>
      </c>
      <c r="AT6457" s="1">
        <v>5500</v>
      </c>
      <c r="AU6457" s="1">
        <v>22020</v>
      </c>
      <c r="AV6457">
        <v>80.010000000000005</v>
      </c>
      <c r="AX6457" s="1">
        <v>2456.3000000000002</v>
      </c>
      <c r="AY6457" t="s">
        <v>15787</v>
      </c>
      <c r="AZ6457" t="s">
        <v>7739</v>
      </c>
      <c r="BA6457" t="s">
        <v>6302</v>
      </c>
      <c r="BB6457" s="3">
        <v>43483</v>
      </c>
      <c r="BC6457" s="1">
        <v>0</v>
      </c>
      <c r="BD6457" t="s">
        <v>247</v>
      </c>
      <c r="BE6457" s="3">
        <v>42299</v>
      </c>
      <c r="BF6457" s="1">
        <v>310000</v>
      </c>
      <c r="BG6457" t="s">
        <v>38993</v>
      </c>
      <c r="BH6457" s="1">
        <v>189.72</v>
      </c>
      <c r="BI6457" s="1">
        <v>320230</v>
      </c>
      <c r="BJ6457" s="3">
        <v>42299</v>
      </c>
      <c r="BK6457" t="s">
        <v>123</v>
      </c>
      <c r="BL6457" t="str">
        <f>"2015.760528"</f>
        <v>2015.760528</v>
      </c>
      <c r="BM6457" t="s">
        <v>2716</v>
      </c>
      <c r="BN6457" t="s">
        <v>13505</v>
      </c>
      <c r="BO6457" t="s">
        <v>38994</v>
      </c>
      <c r="BS6457">
        <v>30</v>
      </c>
      <c r="BW6457" t="str">
        <f>""</f>
        <v/>
      </c>
      <c r="CH6457" t="str">
        <f>""</f>
        <v/>
      </c>
      <c r="CS6457" t="str">
        <f>""</f>
        <v/>
      </c>
    </row>
    <row r="6458" spans="1:97" x14ac:dyDescent="0.25">
      <c r="A6458" t="s">
        <v>610</v>
      </c>
      <c r="B6458" t="s">
        <v>1720</v>
      </c>
      <c r="C6458" t="s">
        <v>38995</v>
      </c>
      <c r="D6458" t="s">
        <v>1720</v>
      </c>
      <c r="E6458" t="s">
        <v>38996</v>
      </c>
      <c r="F6458" t="s">
        <v>108</v>
      </c>
      <c r="H6458" t="s">
        <v>38997</v>
      </c>
      <c r="I6458" t="s">
        <v>203</v>
      </c>
      <c r="J6458" t="s">
        <v>111</v>
      </c>
      <c r="K6458" t="str">
        <f>"85234"</f>
        <v>85234</v>
      </c>
      <c r="L6458" t="s">
        <v>2220</v>
      </c>
      <c r="M6458" t="s">
        <v>38997</v>
      </c>
      <c r="N6458" t="s">
        <v>203</v>
      </c>
      <c r="O6458" t="s">
        <v>111</v>
      </c>
      <c r="P6458" t="str">
        <f>"85234-1479"</f>
        <v>85234-1479</v>
      </c>
      <c r="Q6458" t="s">
        <v>113</v>
      </c>
      <c r="R6458" t="str">
        <f>"304-08-813"</f>
        <v>304-08-813</v>
      </c>
      <c r="S6458" t="s">
        <v>38998</v>
      </c>
      <c r="T6458" t="s">
        <v>38998</v>
      </c>
      <c r="U6458">
        <v>2273</v>
      </c>
      <c r="V6458">
        <v>0</v>
      </c>
      <c r="W6458">
        <v>3</v>
      </c>
      <c r="X6458">
        <v>2000</v>
      </c>
      <c r="Z6458">
        <v>1</v>
      </c>
      <c r="AB6458">
        <v>0</v>
      </c>
      <c r="AC6458" t="s">
        <v>115</v>
      </c>
      <c r="AD6458">
        <v>3</v>
      </c>
      <c r="AE6458" t="s">
        <v>115</v>
      </c>
      <c r="AF6458">
        <v>0</v>
      </c>
      <c r="AG6458">
        <v>0</v>
      </c>
      <c r="AH6458" t="s">
        <v>116</v>
      </c>
      <c r="AI6458" s="1">
        <v>76995</v>
      </c>
      <c r="AJ6458" s="2">
        <v>0.21</v>
      </c>
      <c r="AK6458" s="1">
        <v>374615</v>
      </c>
      <c r="AL6458" t="s">
        <v>117</v>
      </c>
      <c r="AM6458" t="s">
        <v>393</v>
      </c>
      <c r="AN6458">
        <v>7525</v>
      </c>
      <c r="AO6458">
        <v>0.17</v>
      </c>
      <c r="AP6458">
        <v>1</v>
      </c>
      <c r="AR6458">
        <v>1</v>
      </c>
      <c r="AS6458" s="1">
        <v>26300</v>
      </c>
      <c r="AT6458" s="1">
        <v>5260</v>
      </c>
      <c r="AU6458" s="1">
        <v>21040</v>
      </c>
      <c r="AV6458">
        <v>80</v>
      </c>
      <c r="AX6458" s="1">
        <v>1808.52</v>
      </c>
      <c r="AY6458" t="s">
        <v>8450</v>
      </c>
      <c r="AZ6458" t="s">
        <v>571</v>
      </c>
      <c r="BA6458" t="s">
        <v>521</v>
      </c>
      <c r="BE6458" s="3">
        <v>42388</v>
      </c>
      <c r="BF6458" s="1">
        <v>291000</v>
      </c>
      <c r="BG6458" t="s">
        <v>38999</v>
      </c>
      <c r="BH6458" s="1">
        <v>128.02000000000001</v>
      </c>
      <c r="BI6458" s="1">
        <v>297620</v>
      </c>
      <c r="BJ6458" s="3">
        <v>42388</v>
      </c>
      <c r="BK6458" t="s">
        <v>123</v>
      </c>
      <c r="BL6458" t="str">
        <f>"2016.34048"</f>
        <v>2016.34048</v>
      </c>
      <c r="BM6458" t="s">
        <v>361</v>
      </c>
      <c r="BO6458" t="s">
        <v>39000</v>
      </c>
      <c r="BS6458">
        <v>30</v>
      </c>
      <c r="BW6458" t="str">
        <f>""</f>
        <v/>
      </c>
      <c r="CH6458" t="str">
        <f>""</f>
        <v/>
      </c>
      <c r="CS6458" t="str">
        <f>""</f>
        <v/>
      </c>
    </row>
    <row r="6459" spans="1:97" x14ac:dyDescent="0.25">
      <c r="A6459" t="s">
        <v>886</v>
      </c>
      <c r="B6459" t="s">
        <v>106</v>
      </c>
      <c r="C6459" t="s">
        <v>23357</v>
      </c>
      <c r="D6459" t="s">
        <v>19271</v>
      </c>
      <c r="E6459" t="s">
        <v>39001</v>
      </c>
      <c r="F6459" t="s">
        <v>108</v>
      </c>
      <c r="H6459" t="s">
        <v>39002</v>
      </c>
      <c r="I6459" t="s">
        <v>1936</v>
      </c>
      <c r="J6459" t="s">
        <v>111</v>
      </c>
      <c r="K6459" t="str">
        <f>"85258"</f>
        <v>85258</v>
      </c>
      <c r="L6459" t="s">
        <v>6691</v>
      </c>
      <c r="M6459" t="s">
        <v>39002</v>
      </c>
      <c r="N6459" t="s">
        <v>1936</v>
      </c>
      <c r="O6459" t="s">
        <v>111</v>
      </c>
      <c r="P6459" t="str">
        <f>"85258-3805"</f>
        <v>85258-3805</v>
      </c>
      <c r="Q6459" t="s">
        <v>113</v>
      </c>
      <c r="R6459" t="str">
        <f>"177-03-114"</f>
        <v>177-03-114</v>
      </c>
      <c r="S6459" t="s">
        <v>13021</v>
      </c>
      <c r="U6459">
        <v>2010</v>
      </c>
      <c r="V6459">
        <v>0</v>
      </c>
      <c r="W6459">
        <v>3</v>
      </c>
      <c r="X6459">
        <v>1974</v>
      </c>
      <c r="Z6459">
        <v>1</v>
      </c>
      <c r="AA6459" t="s">
        <v>26</v>
      </c>
      <c r="AB6459">
        <v>0</v>
      </c>
      <c r="AC6459" t="s">
        <v>115</v>
      </c>
      <c r="AD6459">
        <v>2</v>
      </c>
      <c r="AE6459" t="s">
        <v>115</v>
      </c>
      <c r="AF6459">
        <v>0</v>
      </c>
      <c r="AG6459">
        <v>0</v>
      </c>
      <c r="AH6459" t="s">
        <v>116</v>
      </c>
      <c r="AI6459" s="1">
        <v>65211</v>
      </c>
      <c r="AJ6459" s="2">
        <v>0.12</v>
      </c>
      <c r="AK6459" s="1">
        <v>527086</v>
      </c>
      <c r="AL6459" t="s">
        <v>117</v>
      </c>
      <c r="AM6459" t="str">
        <f>"R1-10"</f>
        <v>R1-10</v>
      </c>
      <c r="AN6459">
        <v>9351</v>
      </c>
      <c r="AO6459">
        <v>0.22</v>
      </c>
      <c r="AP6459">
        <v>1</v>
      </c>
      <c r="AR6459">
        <v>1</v>
      </c>
      <c r="AS6459" s="1">
        <v>38660</v>
      </c>
      <c r="AT6459" s="1">
        <v>7730</v>
      </c>
      <c r="AU6459" s="1">
        <v>30930</v>
      </c>
      <c r="AV6459">
        <v>80.010000000000005</v>
      </c>
      <c r="AX6459" s="1">
        <v>2588.94</v>
      </c>
      <c r="AY6459" t="s">
        <v>13022</v>
      </c>
      <c r="AZ6459" t="s">
        <v>6975</v>
      </c>
      <c r="BA6459" t="s">
        <v>6976</v>
      </c>
      <c r="BE6459" s="3">
        <v>42482</v>
      </c>
      <c r="BF6459" s="1">
        <v>479000</v>
      </c>
      <c r="BG6459" t="s">
        <v>39003</v>
      </c>
      <c r="BH6459" s="1">
        <v>238.31</v>
      </c>
      <c r="BI6459" s="1">
        <v>461875</v>
      </c>
      <c r="BJ6459" s="3">
        <v>42482</v>
      </c>
      <c r="BK6459" t="s">
        <v>123</v>
      </c>
      <c r="BL6459" t="str">
        <f>"2016.269575"</f>
        <v>2016.269575</v>
      </c>
      <c r="BM6459" t="s">
        <v>2472</v>
      </c>
      <c r="BO6459" t="s">
        <v>39004</v>
      </c>
      <c r="BP6459" t="s">
        <v>39005</v>
      </c>
      <c r="BS6459">
        <v>30</v>
      </c>
      <c r="BW6459" t="str">
        <f>""</f>
        <v/>
      </c>
      <c r="CH6459" t="str">
        <f>""</f>
        <v/>
      </c>
      <c r="CS6459" t="str">
        <f>""</f>
        <v/>
      </c>
    </row>
    <row r="6460" spans="1:97" x14ac:dyDescent="0.25">
      <c r="B6460" t="s">
        <v>39006</v>
      </c>
      <c r="E6460" t="s">
        <v>39007</v>
      </c>
      <c r="F6460" t="s">
        <v>108</v>
      </c>
      <c r="H6460" t="s">
        <v>39008</v>
      </c>
      <c r="I6460" t="s">
        <v>1936</v>
      </c>
      <c r="J6460" t="s">
        <v>111</v>
      </c>
      <c r="K6460" t="str">
        <f>"85260"</f>
        <v>85260</v>
      </c>
      <c r="L6460" t="s">
        <v>5218</v>
      </c>
      <c r="M6460" t="s">
        <v>39008</v>
      </c>
      <c r="N6460" t="s">
        <v>1936</v>
      </c>
      <c r="O6460" t="s">
        <v>111</v>
      </c>
      <c r="P6460" t="str">
        <f>"85260-6645"</f>
        <v>85260-6645</v>
      </c>
      <c r="Q6460" t="s">
        <v>113</v>
      </c>
      <c r="R6460" t="str">
        <f>"175-29-035"</f>
        <v>175-29-035</v>
      </c>
      <c r="S6460" t="s">
        <v>39009</v>
      </c>
      <c r="T6460" t="s">
        <v>39009</v>
      </c>
      <c r="U6460">
        <v>2094</v>
      </c>
      <c r="V6460">
        <v>0</v>
      </c>
      <c r="W6460">
        <v>4</v>
      </c>
      <c r="X6460">
        <v>1994</v>
      </c>
      <c r="Z6460">
        <v>2</v>
      </c>
      <c r="AA6460" t="s">
        <v>26</v>
      </c>
      <c r="AB6460">
        <v>0</v>
      </c>
      <c r="AC6460" t="s">
        <v>115</v>
      </c>
      <c r="AD6460">
        <v>2</v>
      </c>
      <c r="AE6460" t="s">
        <v>115</v>
      </c>
      <c r="AF6460">
        <v>0</v>
      </c>
      <c r="AG6460">
        <v>0</v>
      </c>
      <c r="AH6460" t="s">
        <v>116</v>
      </c>
      <c r="AI6460" s="1">
        <v>124300</v>
      </c>
      <c r="AJ6460" s="2">
        <v>0.23</v>
      </c>
      <c r="AK6460" s="1">
        <v>543115</v>
      </c>
      <c r="AL6460" t="s">
        <v>117</v>
      </c>
      <c r="AM6460" t="s">
        <v>5516</v>
      </c>
      <c r="AN6460">
        <v>12358</v>
      </c>
      <c r="AO6460">
        <v>0.28000000000000003</v>
      </c>
      <c r="AP6460">
        <v>1</v>
      </c>
      <c r="AR6460">
        <v>1</v>
      </c>
      <c r="AS6460" s="1">
        <v>41270</v>
      </c>
      <c r="AT6460" s="1">
        <v>8250</v>
      </c>
      <c r="AU6460" s="1">
        <v>33020</v>
      </c>
      <c r="AV6460">
        <v>80.010000000000005</v>
      </c>
      <c r="AX6460" s="1">
        <v>2563.7399999999998</v>
      </c>
      <c r="AY6460" t="s">
        <v>14284</v>
      </c>
      <c r="AZ6460" t="s">
        <v>8949</v>
      </c>
      <c r="BA6460" t="s">
        <v>7868</v>
      </c>
      <c r="BB6460" s="3">
        <v>43129</v>
      </c>
      <c r="BC6460" s="1">
        <v>0</v>
      </c>
      <c r="BD6460" t="s">
        <v>247</v>
      </c>
      <c r="BE6460" s="3">
        <v>41831</v>
      </c>
      <c r="BF6460" s="1">
        <v>410000</v>
      </c>
      <c r="BG6460" t="s">
        <v>39010</v>
      </c>
      <c r="BH6460" s="1">
        <v>195.8</v>
      </c>
      <c r="BI6460" s="1">
        <v>418815</v>
      </c>
      <c r="BJ6460" s="3">
        <v>41831</v>
      </c>
      <c r="BK6460" t="s">
        <v>123</v>
      </c>
      <c r="BL6460" t="str">
        <f>"2014.454124"</f>
        <v>2014.454124</v>
      </c>
      <c r="BM6460" t="s">
        <v>4738</v>
      </c>
      <c r="BN6460" t="s">
        <v>15550</v>
      </c>
      <c r="BO6460" t="s">
        <v>39011</v>
      </c>
      <c r="BQ6460" t="str">
        <f>"3.0000%"</f>
        <v>3.0000%</v>
      </c>
      <c r="BR6460" t="s">
        <v>1480</v>
      </c>
      <c r="BS6460">
        <v>30</v>
      </c>
      <c r="BW6460" t="str">
        <f>""</f>
        <v/>
      </c>
      <c r="CH6460" t="str">
        <f>""</f>
        <v/>
      </c>
      <c r="CS6460" t="str">
        <f>""</f>
        <v/>
      </c>
    </row>
    <row r="6461" spans="1:97" x14ac:dyDescent="0.25">
      <c r="A6461" t="s">
        <v>370</v>
      </c>
      <c r="B6461" t="s">
        <v>6898</v>
      </c>
      <c r="C6461" t="s">
        <v>4051</v>
      </c>
      <c r="D6461" t="s">
        <v>6898</v>
      </c>
      <c r="E6461" t="s">
        <v>39012</v>
      </c>
      <c r="F6461" t="s">
        <v>108</v>
      </c>
      <c r="H6461" t="s">
        <v>39013</v>
      </c>
      <c r="I6461" t="s">
        <v>203</v>
      </c>
      <c r="J6461" t="s">
        <v>111</v>
      </c>
      <c r="K6461" t="str">
        <f>"85296"</f>
        <v>85296</v>
      </c>
      <c r="L6461" t="s">
        <v>4035</v>
      </c>
      <c r="M6461" t="s">
        <v>39013</v>
      </c>
      <c r="N6461" t="s">
        <v>203</v>
      </c>
      <c r="O6461" t="s">
        <v>111</v>
      </c>
      <c r="P6461" t="str">
        <f>"85296-8250"</f>
        <v>85296-8250</v>
      </c>
      <c r="Q6461" t="s">
        <v>113</v>
      </c>
      <c r="R6461" t="str">
        <f>"304-28-245"</f>
        <v>304-28-245</v>
      </c>
      <c r="S6461" t="s">
        <v>39014</v>
      </c>
      <c r="T6461" t="s">
        <v>8669</v>
      </c>
      <c r="U6461">
        <v>1357</v>
      </c>
      <c r="V6461">
        <v>0</v>
      </c>
      <c r="W6461">
        <v>3</v>
      </c>
      <c r="X6461">
        <v>2003</v>
      </c>
      <c r="Z6461">
        <v>1</v>
      </c>
      <c r="AB6461">
        <v>0</v>
      </c>
      <c r="AC6461" t="s">
        <v>115</v>
      </c>
      <c r="AD6461">
        <v>2</v>
      </c>
      <c r="AE6461" t="s">
        <v>115</v>
      </c>
      <c r="AF6461">
        <v>0</v>
      </c>
      <c r="AG6461">
        <v>0</v>
      </c>
      <c r="AH6461" t="s">
        <v>116</v>
      </c>
      <c r="AI6461" s="1">
        <v>50389</v>
      </c>
      <c r="AJ6461" s="2">
        <v>0.19</v>
      </c>
      <c r="AK6461" s="1">
        <v>260206</v>
      </c>
      <c r="AL6461" t="s">
        <v>117</v>
      </c>
      <c r="AM6461" t="s">
        <v>288</v>
      </c>
      <c r="AN6461">
        <v>5028</v>
      </c>
      <c r="AO6461">
        <v>0.12</v>
      </c>
      <c r="AP6461">
        <v>1</v>
      </c>
      <c r="AR6461">
        <v>1</v>
      </c>
      <c r="AS6461" s="1">
        <v>17320</v>
      </c>
      <c r="AT6461" s="1">
        <v>3460</v>
      </c>
      <c r="AU6461" s="1">
        <v>13860</v>
      </c>
      <c r="AV6461">
        <v>80.02</v>
      </c>
      <c r="AX6461" s="1">
        <v>1265.92</v>
      </c>
      <c r="AY6461" t="s">
        <v>472</v>
      </c>
      <c r="AZ6461" t="s">
        <v>472</v>
      </c>
      <c r="BA6461" t="s">
        <v>473</v>
      </c>
      <c r="BE6461" s="3">
        <v>42429</v>
      </c>
      <c r="BF6461" s="1">
        <v>204900</v>
      </c>
      <c r="BG6461" t="s">
        <v>39015</v>
      </c>
      <c r="BH6461" s="1">
        <v>150.99</v>
      </c>
      <c r="BI6461" s="1">
        <v>209817</v>
      </c>
      <c r="BJ6461" s="3">
        <v>42429</v>
      </c>
      <c r="BK6461" t="s">
        <v>123</v>
      </c>
      <c r="BL6461" t="str">
        <f>"2016.129972"</f>
        <v>2016.129972</v>
      </c>
      <c r="BM6461" t="s">
        <v>2683</v>
      </c>
      <c r="BO6461" t="s">
        <v>39016</v>
      </c>
      <c r="BS6461">
        <v>30</v>
      </c>
      <c r="BW6461" t="str">
        <f>""</f>
        <v/>
      </c>
      <c r="CH6461" t="str">
        <f>""</f>
        <v/>
      </c>
      <c r="CS6461" t="str">
        <f>""</f>
        <v/>
      </c>
    </row>
    <row r="6462" spans="1:97" x14ac:dyDescent="0.25">
      <c r="A6462" t="s">
        <v>24545</v>
      </c>
      <c r="B6462" t="s">
        <v>39017</v>
      </c>
      <c r="C6462" t="s">
        <v>1272</v>
      </c>
      <c r="D6462" t="s">
        <v>39017</v>
      </c>
      <c r="E6462" t="s">
        <v>39018</v>
      </c>
      <c r="F6462" t="s">
        <v>108</v>
      </c>
      <c r="H6462" t="s">
        <v>39019</v>
      </c>
      <c r="I6462" t="s">
        <v>2874</v>
      </c>
      <c r="J6462" t="s">
        <v>111</v>
      </c>
      <c r="K6462" t="str">
        <f>"85306"</f>
        <v>85306</v>
      </c>
      <c r="L6462" t="s">
        <v>9764</v>
      </c>
      <c r="M6462" t="s">
        <v>39019</v>
      </c>
      <c r="N6462" t="s">
        <v>2874</v>
      </c>
      <c r="O6462" t="s">
        <v>111</v>
      </c>
      <c r="P6462" t="str">
        <f>"85306-2602"</f>
        <v>85306-2602</v>
      </c>
      <c r="Q6462" t="s">
        <v>113</v>
      </c>
      <c r="R6462" t="str">
        <f>"207-28-081"</f>
        <v>207-28-081</v>
      </c>
      <c r="S6462" t="s">
        <v>34086</v>
      </c>
      <c r="T6462" t="s">
        <v>34087</v>
      </c>
      <c r="U6462">
        <v>1968</v>
      </c>
      <c r="V6462">
        <v>0</v>
      </c>
      <c r="W6462">
        <v>2</v>
      </c>
      <c r="X6462">
        <v>1978</v>
      </c>
      <c r="Z6462">
        <v>1</v>
      </c>
      <c r="AA6462" t="s">
        <v>26</v>
      </c>
      <c r="AB6462">
        <v>0</v>
      </c>
      <c r="AC6462" t="s">
        <v>115</v>
      </c>
      <c r="AD6462">
        <v>2</v>
      </c>
      <c r="AE6462" t="s">
        <v>115</v>
      </c>
      <c r="AF6462">
        <v>0</v>
      </c>
      <c r="AG6462">
        <v>0</v>
      </c>
      <c r="AH6462" t="s">
        <v>116</v>
      </c>
      <c r="AI6462" s="1">
        <v>56000</v>
      </c>
      <c r="AJ6462" s="2">
        <v>0.19</v>
      </c>
      <c r="AK6462" s="1">
        <v>296052</v>
      </c>
      <c r="AL6462" t="s">
        <v>117</v>
      </c>
      <c r="AM6462" t="s">
        <v>171</v>
      </c>
      <c r="AN6462">
        <v>8423</v>
      </c>
      <c r="AO6462">
        <v>0.19</v>
      </c>
      <c r="AP6462">
        <v>1</v>
      </c>
      <c r="AR6462">
        <v>1</v>
      </c>
      <c r="AS6462" s="1">
        <v>20060</v>
      </c>
      <c r="AT6462" s="1">
        <v>4010</v>
      </c>
      <c r="AU6462" s="1">
        <v>16050</v>
      </c>
      <c r="AV6462">
        <v>80.010000000000005</v>
      </c>
      <c r="AX6462" s="1">
        <v>1453.28</v>
      </c>
      <c r="AY6462" t="s">
        <v>2996</v>
      </c>
      <c r="AZ6462" t="s">
        <v>2997</v>
      </c>
      <c r="BA6462" t="s">
        <v>2998</v>
      </c>
      <c r="BE6462" s="3">
        <v>42125</v>
      </c>
      <c r="BF6462" s="1">
        <v>235000</v>
      </c>
      <c r="BG6462" t="s">
        <v>39020</v>
      </c>
      <c r="BH6462" s="1">
        <v>119.41</v>
      </c>
      <c r="BI6462" s="1">
        <v>240052</v>
      </c>
      <c r="BJ6462" s="3">
        <v>42125</v>
      </c>
      <c r="BK6462" t="s">
        <v>123</v>
      </c>
      <c r="BL6462" t="str">
        <f>"2015.310374"</f>
        <v>2015.310374</v>
      </c>
      <c r="BM6462" t="s">
        <v>2489</v>
      </c>
      <c r="BO6462" t="s">
        <v>39021</v>
      </c>
      <c r="BS6462">
        <v>30</v>
      </c>
      <c r="BW6462" t="str">
        <f>""</f>
        <v/>
      </c>
      <c r="CH6462" t="str">
        <f>""</f>
        <v/>
      </c>
      <c r="CS6462" t="str">
        <f>""</f>
        <v/>
      </c>
    </row>
    <row r="6463" spans="1:97" x14ac:dyDescent="0.25">
      <c r="A6463" t="s">
        <v>589</v>
      </c>
      <c r="B6463" t="s">
        <v>4221</v>
      </c>
      <c r="C6463" t="s">
        <v>4874</v>
      </c>
      <c r="D6463" t="s">
        <v>19003</v>
      </c>
      <c r="E6463" t="s">
        <v>39022</v>
      </c>
      <c r="F6463" t="s">
        <v>108</v>
      </c>
      <c r="H6463" t="s">
        <v>39023</v>
      </c>
      <c r="I6463" t="s">
        <v>144</v>
      </c>
      <c r="J6463" t="s">
        <v>111</v>
      </c>
      <c r="K6463" t="str">
        <f>"85396"</f>
        <v>85396</v>
      </c>
      <c r="L6463" t="s">
        <v>439</v>
      </c>
      <c r="M6463" t="s">
        <v>39023</v>
      </c>
      <c r="N6463" t="s">
        <v>144</v>
      </c>
      <c r="O6463" t="s">
        <v>111</v>
      </c>
      <c r="P6463" t="str">
        <f>"85396-7953"</f>
        <v>85396-7953</v>
      </c>
      <c r="Q6463" t="s">
        <v>113</v>
      </c>
      <c r="R6463" t="str">
        <f>"510-08-841"</f>
        <v>510-08-841</v>
      </c>
      <c r="S6463" t="s">
        <v>29374</v>
      </c>
      <c r="U6463">
        <v>2079</v>
      </c>
      <c r="V6463">
        <v>0</v>
      </c>
      <c r="W6463">
        <v>3</v>
      </c>
      <c r="X6463">
        <v>2016</v>
      </c>
      <c r="Z6463">
        <v>1</v>
      </c>
      <c r="AB6463">
        <v>0</v>
      </c>
      <c r="AC6463" t="s">
        <v>115</v>
      </c>
      <c r="AD6463">
        <v>2</v>
      </c>
      <c r="AE6463" t="s">
        <v>115</v>
      </c>
      <c r="AF6463">
        <v>0</v>
      </c>
      <c r="AG6463">
        <v>0</v>
      </c>
      <c r="AH6463" t="s">
        <v>116</v>
      </c>
      <c r="AI6463" s="1">
        <v>36954</v>
      </c>
      <c r="AJ6463" s="2">
        <v>0.1</v>
      </c>
      <c r="AK6463" s="1">
        <v>354095</v>
      </c>
      <c r="AL6463" t="s">
        <v>117</v>
      </c>
      <c r="AM6463" t="s">
        <v>118</v>
      </c>
      <c r="AN6463">
        <v>7451</v>
      </c>
      <c r="AO6463">
        <v>0.17</v>
      </c>
      <c r="AR6463">
        <v>1</v>
      </c>
      <c r="AS6463" s="1">
        <v>26350</v>
      </c>
      <c r="AT6463" s="1">
        <v>5270</v>
      </c>
      <c r="AU6463" s="1">
        <v>21080</v>
      </c>
      <c r="AV6463">
        <v>80</v>
      </c>
      <c r="AX6463" s="1">
        <v>2674.46</v>
      </c>
      <c r="AY6463" t="s">
        <v>444</v>
      </c>
      <c r="AZ6463" t="s">
        <v>444</v>
      </c>
      <c r="BA6463" t="s">
        <v>445</v>
      </c>
      <c r="BE6463" s="3">
        <v>42429</v>
      </c>
      <c r="BF6463" s="1">
        <v>317141</v>
      </c>
      <c r="BG6463" t="s">
        <v>446</v>
      </c>
      <c r="BH6463" s="1">
        <v>152.54</v>
      </c>
      <c r="BI6463" s="1">
        <v>317141</v>
      </c>
      <c r="BJ6463" s="3">
        <v>42429</v>
      </c>
      <c r="BK6463" t="s">
        <v>123</v>
      </c>
      <c r="BL6463" t="str">
        <f>"2016.126253"</f>
        <v>2016.126253</v>
      </c>
      <c r="BM6463" t="s">
        <v>573</v>
      </c>
      <c r="BO6463" t="s">
        <v>11790</v>
      </c>
      <c r="BP6463" t="s">
        <v>39024</v>
      </c>
      <c r="BS6463">
        <v>30</v>
      </c>
      <c r="BW6463" t="str">
        <f>""</f>
        <v/>
      </c>
      <c r="CH6463" t="str">
        <f>""</f>
        <v/>
      </c>
      <c r="CS6463" t="str">
        <f>""</f>
        <v/>
      </c>
    </row>
    <row r="6464" spans="1:97" x14ac:dyDescent="0.25">
      <c r="A6464" t="s">
        <v>8207</v>
      </c>
      <c r="B6464" t="s">
        <v>163</v>
      </c>
      <c r="E6464" t="s">
        <v>39025</v>
      </c>
      <c r="F6464" t="s">
        <v>108</v>
      </c>
      <c r="H6464" t="s">
        <v>39026</v>
      </c>
      <c r="I6464" t="s">
        <v>453</v>
      </c>
      <c r="J6464" t="s">
        <v>111</v>
      </c>
      <c r="K6464" t="str">
        <f>"85383"</f>
        <v>85383</v>
      </c>
      <c r="L6464" t="s">
        <v>7235</v>
      </c>
      <c r="M6464" t="s">
        <v>39026</v>
      </c>
      <c r="N6464" t="s">
        <v>453</v>
      </c>
      <c r="O6464" t="s">
        <v>111</v>
      </c>
      <c r="P6464" t="str">
        <f>"85383-5841"</f>
        <v>85383-5841</v>
      </c>
      <c r="Q6464" t="s">
        <v>113</v>
      </c>
      <c r="R6464" t="str">
        <f>"503-66-386"</f>
        <v>503-66-386</v>
      </c>
      <c r="S6464" t="s">
        <v>9145</v>
      </c>
      <c r="U6464">
        <v>2181</v>
      </c>
      <c r="V6464">
        <v>0</v>
      </c>
      <c r="W6464">
        <v>3</v>
      </c>
      <c r="X6464">
        <v>2015</v>
      </c>
      <c r="Z6464">
        <v>2</v>
      </c>
      <c r="AB6464">
        <v>0</v>
      </c>
      <c r="AC6464" t="s">
        <v>115</v>
      </c>
      <c r="AD6464">
        <v>2</v>
      </c>
      <c r="AE6464" t="s">
        <v>115</v>
      </c>
      <c r="AF6464">
        <v>0</v>
      </c>
      <c r="AG6464">
        <v>0</v>
      </c>
      <c r="AH6464" t="s">
        <v>116</v>
      </c>
      <c r="AI6464" s="1">
        <v>34045</v>
      </c>
      <c r="AJ6464" s="2">
        <v>0.11</v>
      </c>
      <c r="AK6464" s="1">
        <v>309045</v>
      </c>
      <c r="AL6464" t="s">
        <v>117</v>
      </c>
      <c r="AM6464" t="s">
        <v>5379</v>
      </c>
      <c r="AN6464">
        <v>4050</v>
      </c>
      <c r="AO6464">
        <v>0.93</v>
      </c>
      <c r="AR6464">
        <v>1</v>
      </c>
      <c r="AS6464" s="1">
        <v>20770</v>
      </c>
      <c r="AT6464" s="1">
        <v>4150</v>
      </c>
      <c r="AU6464" s="1">
        <v>16620</v>
      </c>
      <c r="AV6464">
        <v>80.02</v>
      </c>
      <c r="AX6464" s="1">
        <v>1867.78</v>
      </c>
      <c r="AY6464" t="s">
        <v>456</v>
      </c>
      <c r="AZ6464" t="s">
        <v>456</v>
      </c>
      <c r="BA6464" t="s">
        <v>457</v>
      </c>
      <c r="BE6464" s="3">
        <v>42333</v>
      </c>
      <c r="BF6464" s="1">
        <v>209051</v>
      </c>
      <c r="BG6464" t="s">
        <v>233</v>
      </c>
      <c r="BH6464" s="1">
        <v>95.85</v>
      </c>
      <c r="BI6464" s="1">
        <v>275000</v>
      </c>
      <c r="BJ6464" s="3">
        <v>43444</v>
      </c>
      <c r="BK6464" t="s">
        <v>123</v>
      </c>
      <c r="BL6464" t="str">
        <f>"2018.902637"</f>
        <v>2018.902637</v>
      </c>
      <c r="BM6464" t="s">
        <v>135</v>
      </c>
      <c r="BN6464" t="s">
        <v>136</v>
      </c>
      <c r="BO6464" t="s">
        <v>39027</v>
      </c>
      <c r="BR6464" t="s">
        <v>139</v>
      </c>
      <c r="BW6464" t="str">
        <f>""</f>
        <v/>
      </c>
      <c r="CH6464" t="str">
        <f>""</f>
        <v/>
      </c>
      <c r="CS6464" t="str">
        <f>""</f>
        <v/>
      </c>
    </row>
    <row r="6465" spans="1:97" x14ac:dyDescent="0.25">
      <c r="A6465" t="s">
        <v>3067</v>
      </c>
      <c r="B6465" t="s">
        <v>4214</v>
      </c>
      <c r="C6465" t="s">
        <v>203</v>
      </c>
      <c r="D6465" t="s">
        <v>4214</v>
      </c>
      <c r="E6465" t="s">
        <v>39028</v>
      </c>
      <c r="F6465" t="s">
        <v>139</v>
      </c>
      <c r="H6465" t="s">
        <v>39029</v>
      </c>
      <c r="I6465" t="s">
        <v>203</v>
      </c>
      <c r="J6465" t="s">
        <v>111</v>
      </c>
      <c r="K6465" t="str">
        <f>"85233"</f>
        <v>85233</v>
      </c>
      <c r="L6465" t="s">
        <v>5429</v>
      </c>
      <c r="M6465" t="s">
        <v>39030</v>
      </c>
      <c r="N6465" t="s">
        <v>1936</v>
      </c>
      <c r="O6465" t="s">
        <v>111</v>
      </c>
      <c r="P6465" t="str">
        <f>"85252-1166"</f>
        <v>85252-1166</v>
      </c>
      <c r="Q6465" t="s">
        <v>113</v>
      </c>
      <c r="R6465" t="str">
        <f>"302-98-388"</f>
        <v>302-98-388</v>
      </c>
      <c r="S6465" t="s">
        <v>22484</v>
      </c>
      <c r="T6465" t="s">
        <v>7445</v>
      </c>
      <c r="U6465">
        <v>3292</v>
      </c>
      <c r="V6465">
        <v>0</v>
      </c>
      <c r="W6465">
        <v>4</v>
      </c>
      <c r="X6465">
        <v>1991</v>
      </c>
      <c r="Z6465">
        <v>2</v>
      </c>
      <c r="AA6465" t="s">
        <v>26</v>
      </c>
      <c r="AB6465">
        <v>0</v>
      </c>
      <c r="AC6465" t="s">
        <v>115</v>
      </c>
      <c r="AD6465">
        <v>3</v>
      </c>
      <c r="AE6465" t="s">
        <v>115</v>
      </c>
      <c r="AF6465">
        <v>0</v>
      </c>
      <c r="AG6465">
        <v>0</v>
      </c>
      <c r="AH6465" t="s">
        <v>116</v>
      </c>
      <c r="AI6465" s="1">
        <v>74227</v>
      </c>
      <c r="AJ6465" s="2">
        <v>0.16</v>
      </c>
      <c r="AK6465" s="1">
        <v>473587</v>
      </c>
      <c r="AL6465" t="s">
        <v>117</v>
      </c>
      <c r="AM6465" t="s">
        <v>393</v>
      </c>
      <c r="AN6465">
        <v>8577</v>
      </c>
      <c r="AO6465">
        <v>0.2</v>
      </c>
      <c r="AP6465">
        <v>1</v>
      </c>
      <c r="AR6465">
        <v>1</v>
      </c>
      <c r="AS6465" s="1">
        <v>32430</v>
      </c>
      <c r="AT6465" s="1">
        <v>6480</v>
      </c>
      <c r="AU6465" s="1">
        <v>25950</v>
      </c>
      <c r="AV6465">
        <v>80.02</v>
      </c>
      <c r="AX6465" s="1">
        <v>2806.38</v>
      </c>
      <c r="AY6465" t="s">
        <v>6163</v>
      </c>
      <c r="AZ6465" t="s">
        <v>2906</v>
      </c>
      <c r="BA6465" t="s">
        <v>2957</v>
      </c>
      <c r="BE6465" s="3">
        <v>42131</v>
      </c>
      <c r="BF6465" s="1">
        <v>390000</v>
      </c>
      <c r="BG6465" t="s">
        <v>39031</v>
      </c>
      <c r="BH6465" s="1">
        <v>118.47</v>
      </c>
      <c r="BI6465" s="1">
        <v>399360</v>
      </c>
      <c r="BJ6465" s="3">
        <v>42131</v>
      </c>
      <c r="BK6465" t="s">
        <v>123</v>
      </c>
      <c r="BL6465" t="str">
        <f>"2015.321721"</f>
        <v>2015.321721</v>
      </c>
      <c r="BM6465" t="s">
        <v>2716</v>
      </c>
      <c r="BO6465" t="s">
        <v>39032</v>
      </c>
      <c r="BS6465">
        <v>30</v>
      </c>
      <c r="BW6465" t="str">
        <f>""</f>
        <v/>
      </c>
      <c r="CH6465" t="str">
        <f>""</f>
        <v/>
      </c>
      <c r="CS6465" t="str">
        <f>""</f>
        <v/>
      </c>
    </row>
    <row r="6466" spans="1:97" x14ac:dyDescent="0.25">
      <c r="A6466" t="s">
        <v>39033</v>
      </c>
      <c r="B6466" t="s">
        <v>327</v>
      </c>
      <c r="C6466" t="s">
        <v>7856</v>
      </c>
      <c r="D6466" t="s">
        <v>327</v>
      </c>
      <c r="E6466" t="s">
        <v>39034</v>
      </c>
      <c r="F6466" t="s">
        <v>108</v>
      </c>
      <c r="H6466" t="s">
        <v>39035</v>
      </c>
      <c r="I6466" t="s">
        <v>110</v>
      </c>
      <c r="J6466" t="s">
        <v>111</v>
      </c>
      <c r="K6466" t="str">
        <f>"85225"</f>
        <v>85225</v>
      </c>
      <c r="L6466" t="s">
        <v>6682</v>
      </c>
      <c r="M6466" t="s">
        <v>39035</v>
      </c>
      <c r="N6466" t="s">
        <v>110</v>
      </c>
      <c r="O6466" t="s">
        <v>111</v>
      </c>
      <c r="P6466" t="str">
        <f>"85225-6801"</f>
        <v>85225-6801</v>
      </c>
      <c r="Q6466" t="s">
        <v>113</v>
      </c>
      <c r="R6466" t="str">
        <f>"303-21-118"</f>
        <v>303-21-118</v>
      </c>
      <c r="S6466" t="s">
        <v>9045</v>
      </c>
      <c r="T6466" t="s">
        <v>9046</v>
      </c>
      <c r="U6466">
        <v>2058</v>
      </c>
      <c r="V6466">
        <v>0</v>
      </c>
      <c r="W6466">
        <v>3</v>
      </c>
      <c r="X6466">
        <v>1992</v>
      </c>
      <c r="Z6466">
        <v>1</v>
      </c>
      <c r="AA6466" t="s">
        <v>26</v>
      </c>
      <c r="AB6466">
        <v>0</v>
      </c>
      <c r="AC6466" t="s">
        <v>115</v>
      </c>
      <c r="AD6466">
        <v>2</v>
      </c>
      <c r="AE6466" t="s">
        <v>115</v>
      </c>
      <c r="AF6466">
        <v>0</v>
      </c>
      <c r="AG6466">
        <v>0</v>
      </c>
      <c r="AH6466" t="s">
        <v>116</v>
      </c>
      <c r="AI6466" s="1">
        <v>29262</v>
      </c>
      <c r="AJ6466" s="2">
        <v>0.08</v>
      </c>
      <c r="AK6466" s="1">
        <v>348459</v>
      </c>
      <c r="AL6466" t="s">
        <v>117</v>
      </c>
      <c r="AM6466" t="s">
        <v>118</v>
      </c>
      <c r="AN6466">
        <v>7061</v>
      </c>
      <c r="AO6466">
        <v>0.16</v>
      </c>
      <c r="AP6466">
        <v>1</v>
      </c>
      <c r="AR6466">
        <v>1</v>
      </c>
      <c r="AS6466" s="1">
        <v>24930</v>
      </c>
      <c r="AT6466" s="1">
        <v>4980</v>
      </c>
      <c r="AU6466" s="1">
        <v>19950</v>
      </c>
      <c r="AV6466">
        <v>80.02</v>
      </c>
      <c r="AX6466" s="1">
        <v>1877.72</v>
      </c>
      <c r="AY6466" t="s">
        <v>9047</v>
      </c>
      <c r="AZ6466" t="s">
        <v>1882</v>
      </c>
      <c r="BA6466" t="s">
        <v>121</v>
      </c>
      <c r="BE6466" s="3">
        <v>42354</v>
      </c>
      <c r="BF6466" s="1">
        <v>275000</v>
      </c>
      <c r="BG6466" t="s">
        <v>39036</v>
      </c>
      <c r="BH6466" s="1">
        <v>133.62</v>
      </c>
      <c r="BI6466" s="1">
        <v>319197</v>
      </c>
      <c r="BJ6466" s="3">
        <v>43628</v>
      </c>
      <c r="BK6466" t="s">
        <v>123</v>
      </c>
      <c r="BL6466" t="str">
        <f>"2019.436250"</f>
        <v>2019.436250</v>
      </c>
      <c r="BM6466" t="s">
        <v>25371</v>
      </c>
      <c r="BN6466" t="s">
        <v>25372</v>
      </c>
      <c r="BO6466" t="s">
        <v>39037</v>
      </c>
      <c r="BP6466" t="s">
        <v>39038</v>
      </c>
      <c r="BR6466" t="s">
        <v>139</v>
      </c>
      <c r="BW6466" t="str">
        <f>""</f>
        <v/>
      </c>
      <c r="CH6466" t="str">
        <f>""</f>
        <v/>
      </c>
      <c r="CS6466" t="str">
        <f>""</f>
        <v/>
      </c>
    </row>
    <row r="6467" spans="1:97" x14ac:dyDescent="0.25">
      <c r="A6467" t="s">
        <v>484</v>
      </c>
      <c r="B6467" t="s">
        <v>39039</v>
      </c>
      <c r="C6467" t="s">
        <v>177</v>
      </c>
      <c r="D6467" t="s">
        <v>39039</v>
      </c>
      <c r="E6467" t="s">
        <v>39040</v>
      </c>
      <c r="F6467" t="s">
        <v>108</v>
      </c>
      <c r="H6467" t="s">
        <v>39041</v>
      </c>
      <c r="I6467" t="s">
        <v>632</v>
      </c>
      <c r="J6467" t="s">
        <v>111</v>
      </c>
      <c r="K6467" t="str">
        <f>"85387"</f>
        <v>85387</v>
      </c>
      <c r="L6467" t="s">
        <v>6529</v>
      </c>
      <c r="M6467" t="s">
        <v>39041</v>
      </c>
      <c r="N6467" t="s">
        <v>632</v>
      </c>
      <c r="O6467" t="s">
        <v>111</v>
      </c>
      <c r="P6467" t="str">
        <f>"85387-1092"</f>
        <v>85387-1092</v>
      </c>
      <c r="Q6467" t="s">
        <v>113</v>
      </c>
      <c r="R6467" t="str">
        <f>"510-04-850"</f>
        <v>510-04-850</v>
      </c>
      <c r="S6467" t="s">
        <v>8907</v>
      </c>
      <c r="T6467" t="s">
        <v>5498</v>
      </c>
      <c r="U6467">
        <v>2032</v>
      </c>
      <c r="V6467">
        <v>0</v>
      </c>
      <c r="W6467">
        <v>3</v>
      </c>
      <c r="X6467">
        <v>2015</v>
      </c>
      <c r="Z6467">
        <v>1</v>
      </c>
      <c r="AB6467">
        <v>0</v>
      </c>
      <c r="AC6467" t="s">
        <v>115</v>
      </c>
      <c r="AD6467">
        <v>3</v>
      </c>
      <c r="AE6467" t="s">
        <v>115</v>
      </c>
      <c r="AF6467">
        <v>0</v>
      </c>
      <c r="AG6467">
        <v>0</v>
      </c>
      <c r="AH6467" t="s">
        <v>116</v>
      </c>
      <c r="AI6467" s="1">
        <v>34292</v>
      </c>
      <c r="AJ6467" s="2">
        <v>0.11</v>
      </c>
      <c r="AK6467" s="1">
        <v>301821</v>
      </c>
      <c r="AL6467" t="s">
        <v>117</v>
      </c>
      <c r="AM6467" t="s">
        <v>118</v>
      </c>
      <c r="AN6467">
        <v>7475</v>
      </c>
      <c r="AO6467">
        <v>0.17</v>
      </c>
      <c r="AR6467">
        <v>1</v>
      </c>
      <c r="AS6467" s="1">
        <v>21910</v>
      </c>
      <c r="AT6467" s="1">
        <v>4380</v>
      </c>
      <c r="AU6467" s="1">
        <v>17530</v>
      </c>
      <c r="AV6467">
        <v>80.010000000000005</v>
      </c>
      <c r="AX6467" s="1">
        <v>1186.44</v>
      </c>
      <c r="AY6467" t="s">
        <v>5499</v>
      </c>
      <c r="AZ6467" t="s">
        <v>5499</v>
      </c>
      <c r="BE6467" s="3">
        <v>42297</v>
      </c>
      <c r="BF6467" s="1">
        <v>267529</v>
      </c>
      <c r="BG6467" t="s">
        <v>6320</v>
      </c>
      <c r="BH6467" s="1">
        <v>131.66</v>
      </c>
      <c r="BI6467" s="1">
        <v>267529</v>
      </c>
      <c r="BJ6467" s="3">
        <v>42297</v>
      </c>
      <c r="BK6467" t="s">
        <v>123</v>
      </c>
      <c r="BL6467" t="str">
        <f>"2015.751731"</f>
        <v>2015.751731</v>
      </c>
      <c r="BM6467" t="s">
        <v>573</v>
      </c>
      <c r="BO6467" t="s">
        <v>39042</v>
      </c>
      <c r="BS6467">
        <v>30</v>
      </c>
      <c r="BW6467" t="str">
        <f>""</f>
        <v/>
      </c>
      <c r="CH6467" t="str">
        <f>""</f>
        <v/>
      </c>
      <c r="CS6467" t="str">
        <f>""</f>
        <v/>
      </c>
    </row>
    <row r="6468" spans="1:97" x14ac:dyDescent="0.25">
      <c r="A6468" t="s">
        <v>305</v>
      </c>
      <c r="B6468" t="s">
        <v>4306</v>
      </c>
      <c r="C6468" t="s">
        <v>39043</v>
      </c>
      <c r="D6468" t="s">
        <v>39044</v>
      </c>
      <c r="E6468" t="s">
        <v>39045</v>
      </c>
      <c r="F6468" t="s">
        <v>108</v>
      </c>
      <c r="H6468" t="s">
        <v>39046</v>
      </c>
      <c r="I6468" t="s">
        <v>390</v>
      </c>
      <c r="J6468" t="s">
        <v>111</v>
      </c>
      <c r="K6468" t="str">
        <f>"85021"</f>
        <v>85021</v>
      </c>
      <c r="L6468" t="s">
        <v>8199</v>
      </c>
      <c r="M6468" t="s">
        <v>39046</v>
      </c>
      <c r="N6468" t="s">
        <v>390</v>
      </c>
      <c r="O6468" t="s">
        <v>111</v>
      </c>
      <c r="P6468" t="str">
        <f>"85021-5406"</f>
        <v>85021-5406</v>
      </c>
      <c r="Q6468" t="s">
        <v>113</v>
      </c>
      <c r="R6468" t="str">
        <f>"158-10-032"</f>
        <v>158-10-032</v>
      </c>
      <c r="S6468" t="s">
        <v>39047</v>
      </c>
      <c r="T6468" t="s">
        <v>39047</v>
      </c>
      <c r="U6468">
        <v>1806</v>
      </c>
      <c r="V6468">
        <v>0</v>
      </c>
      <c r="W6468">
        <v>2</v>
      </c>
      <c r="X6468">
        <v>1958</v>
      </c>
      <c r="Z6468">
        <v>1</v>
      </c>
      <c r="AA6468" t="s">
        <v>26</v>
      </c>
      <c r="AB6468">
        <v>0</v>
      </c>
      <c r="AC6468" t="s">
        <v>115</v>
      </c>
      <c r="AD6468">
        <v>3</v>
      </c>
      <c r="AE6468" t="s">
        <v>115</v>
      </c>
      <c r="AF6468">
        <v>0</v>
      </c>
      <c r="AG6468">
        <v>0</v>
      </c>
      <c r="AH6468" t="s">
        <v>116</v>
      </c>
      <c r="AI6468" s="1">
        <v>38559</v>
      </c>
      <c r="AJ6468" s="2">
        <v>0.08</v>
      </c>
      <c r="AK6468" s="1">
        <v>455448</v>
      </c>
      <c r="AL6468" t="s">
        <v>117</v>
      </c>
      <c r="AM6468" t="s">
        <v>1302</v>
      </c>
      <c r="AN6468">
        <v>14619</v>
      </c>
      <c r="AO6468">
        <v>0.34</v>
      </c>
      <c r="AP6468">
        <v>1</v>
      </c>
      <c r="AR6468">
        <v>1</v>
      </c>
      <c r="AS6468" s="1">
        <v>33320</v>
      </c>
      <c r="AT6468" s="1">
        <v>6660</v>
      </c>
      <c r="AU6468" s="1">
        <v>26660</v>
      </c>
      <c r="AV6468">
        <v>80.010000000000005</v>
      </c>
      <c r="AX6468" s="1">
        <v>2301.1999999999998</v>
      </c>
      <c r="AY6468" t="s">
        <v>6147</v>
      </c>
      <c r="AZ6468" t="s">
        <v>6148</v>
      </c>
      <c r="BA6468" t="s">
        <v>6149</v>
      </c>
      <c r="BE6468" s="3">
        <v>42298</v>
      </c>
      <c r="BF6468" s="1">
        <v>412000</v>
      </c>
      <c r="BG6468" t="s">
        <v>39048</v>
      </c>
      <c r="BH6468" s="1">
        <v>228.13</v>
      </c>
      <c r="BI6468" s="1">
        <v>416889</v>
      </c>
      <c r="BJ6468" s="3">
        <v>42298</v>
      </c>
      <c r="BK6468" t="s">
        <v>123</v>
      </c>
      <c r="BL6468" t="str">
        <f>"2015.757858"</f>
        <v>2015.757858</v>
      </c>
      <c r="BM6468" t="s">
        <v>544</v>
      </c>
      <c r="BO6468" t="s">
        <v>39049</v>
      </c>
      <c r="BS6468">
        <v>30</v>
      </c>
      <c r="BW6468" t="str">
        <f>""</f>
        <v/>
      </c>
      <c r="CH6468" t="str">
        <f>""</f>
        <v/>
      </c>
      <c r="CS6468" t="str">
        <f>""</f>
        <v/>
      </c>
    </row>
    <row r="6469" spans="1:97" x14ac:dyDescent="0.25">
      <c r="B6469" t="s">
        <v>39050</v>
      </c>
      <c r="E6469" t="s">
        <v>28647</v>
      </c>
      <c r="F6469" t="s">
        <v>108</v>
      </c>
      <c r="H6469" t="s">
        <v>39051</v>
      </c>
      <c r="I6469" t="s">
        <v>2874</v>
      </c>
      <c r="J6469" t="s">
        <v>111</v>
      </c>
      <c r="K6469" t="str">
        <f>"85308"</f>
        <v>85308</v>
      </c>
      <c r="L6469" t="s">
        <v>5408</v>
      </c>
      <c r="M6469" t="s">
        <v>39051</v>
      </c>
      <c r="N6469" t="s">
        <v>2874</v>
      </c>
      <c r="O6469" t="s">
        <v>111</v>
      </c>
      <c r="P6469" t="str">
        <f>"85308-2605"</f>
        <v>85308-2605</v>
      </c>
      <c r="Q6469" t="s">
        <v>113</v>
      </c>
      <c r="R6469" t="str">
        <f>"207-21-179"</f>
        <v>207-21-179</v>
      </c>
      <c r="S6469" t="s">
        <v>39052</v>
      </c>
      <c r="T6469" t="s">
        <v>39053</v>
      </c>
      <c r="U6469">
        <v>1417</v>
      </c>
      <c r="V6469">
        <v>0</v>
      </c>
      <c r="W6469">
        <v>2</v>
      </c>
      <c r="X6469">
        <v>1982</v>
      </c>
      <c r="Z6469">
        <v>1</v>
      </c>
      <c r="AB6469">
        <v>0</v>
      </c>
      <c r="AC6469" t="s">
        <v>115</v>
      </c>
      <c r="AD6469">
        <v>2</v>
      </c>
      <c r="AE6469" t="s">
        <v>115</v>
      </c>
      <c r="AF6469">
        <v>0</v>
      </c>
      <c r="AG6469">
        <v>0</v>
      </c>
      <c r="AH6469" t="s">
        <v>116</v>
      </c>
      <c r="AI6469" s="1">
        <v>37788</v>
      </c>
      <c r="AJ6469" s="2">
        <v>0.15</v>
      </c>
      <c r="AK6469" s="1">
        <v>251788</v>
      </c>
      <c r="AL6469" t="s">
        <v>117</v>
      </c>
      <c r="AM6469" t="s">
        <v>171</v>
      </c>
      <c r="AN6469">
        <v>8767</v>
      </c>
      <c r="AO6469">
        <v>0.2</v>
      </c>
      <c r="AP6469">
        <v>1</v>
      </c>
      <c r="AR6469">
        <v>1</v>
      </c>
      <c r="AS6469" s="1">
        <v>16810</v>
      </c>
      <c r="AT6469" s="1">
        <v>3360</v>
      </c>
      <c r="AU6469" s="1">
        <v>13450</v>
      </c>
      <c r="AV6469">
        <v>80.010000000000005</v>
      </c>
      <c r="AX6469" s="1">
        <v>990.2</v>
      </c>
      <c r="AY6469" t="s">
        <v>8466</v>
      </c>
      <c r="AZ6469" t="s">
        <v>5142</v>
      </c>
      <c r="BA6469" t="s">
        <v>5143</v>
      </c>
      <c r="BB6469" s="3">
        <v>43473</v>
      </c>
      <c r="BC6469" s="1">
        <v>0</v>
      </c>
      <c r="BD6469" t="s">
        <v>247</v>
      </c>
      <c r="BE6469" s="3">
        <v>42517</v>
      </c>
      <c r="BF6469" s="1">
        <v>214000</v>
      </c>
      <c r="BG6469" t="s">
        <v>39054</v>
      </c>
      <c r="BH6469" s="1">
        <v>151.02000000000001</v>
      </c>
      <c r="BI6469" s="1">
        <v>214000</v>
      </c>
      <c r="BJ6469" s="3">
        <v>42517</v>
      </c>
      <c r="BK6469" t="s">
        <v>123</v>
      </c>
      <c r="BL6469" t="str">
        <f>"2016.366544"</f>
        <v>2016.366544</v>
      </c>
      <c r="BM6469" t="s">
        <v>1038</v>
      </c>
      <c r="BN6469" t="s">
        <v>132</v>
      </c>
      <c r="BO6469" t="s">
        <v>39055</v>
      </c>
      <c r="BS6469">
        <v>30</v>
      </c>
      <c r="BW6469" t="str">
        <f>""</f>
        <v/>
      </c>
      <c r="CH6469" t="str">
        <f>""</f>
        <v/>
      </c>
      <c r="CS6469" t="str">
        <f>""</f>
        <v/>
      </c>
    </row>
    <row r="6470" spans="1:97" x14ac:dyDescent="0.25">
      <c r="A6470" t="s">
        <v>1393</v>
      </c>
      <c r="B6470" t="s">
        <v>6322</v>
      </c>
      <c r="C6470" t="s">
        <v>524</v>
      </c>
      <c r="D6470" t="s">
        <v>6322</v>
      </c>
      <c r="E6470" t="s">
        <v>39056</v>
      </c>
      <c r="F6470" t="s">
        <v>108</v>
      </c>
      <c r="H6470" t="s">
        <v>39057</v>
      </c>
      <c r="I6470" t="s">
        <v>374</v>
      </c>
      <c r="J6470" t="s">
        <v>111</v>
      </c>
      <c r="K6470" t="str">
        <f>"85087"</f>
        <v>85087</v>
      </c>
      <c r="L6470" t="s">
        <v>11089</v>
      </c>
      <c r="M6470" t="s">
        <v>39057</v>
      </c>
      <c r="N6470" t="s">
        <v>374</v>
      </c>
      <c r="O6470" t="s">
        <v>111</v>
      </c>
      <c r="P6470" t="str">
        <f>"85087-3024"</f>
        <v>85087-3024</v>
      </c>
      <c r="Q6470" t="s">
        <v>113</v>
      </c>
      <c r="R6470" t="str">
        <f>"202-22-647"</f>
        <v>202-22-647</v>
      </c>
      <c r="S6470" t="s">
        <v>39058</v>
      </c>
      <c r="U6470">
        <v>1998</v>
      </c>
      <c r="V6470">
        <v>0</v>
      </c>
      <c r="W6470">
        <v>3</v>
      </c>
      <c r="X6470">
        <v>2010</v>
      </c>
      <c r="Z6470">
        <v>1</v>
      </c>
      <c r="AA6470" t="s">
        <v>26</v>
      </c>
      <c r="AB6470">
        <v>0</v>
      </c>
      <c r="AC6470" t="s">
        <v>115</v>
      </c>
      <c r="AD6470">
        <v>2</v>
      </c>
      <c r="AE6470" t="s">
        <v>115</v>
      </c>
      <c r="AF6470">
        <v>0</v>
      </c>
      <c r="AG6470">
        <v>0</v>
      </c>
      <c r="AH6470" t="s">
        <v>116</v>
      </c>
      <c r="AI6470" s="1">
        <v>71154</v>
      </c>
      <c r="AJ6470" s="2">
        <v>0.19</v>
      </c>
      <c r="AK6470" s="1">
        <v>382599</v>
      </c>
      <c r="AL6470" t="s">
        <v>117</v>
      </c>
      <c r="AM6470" t="s">
        <v>3973</v>
      </c>
      <c r="AN6470">
        <v>11245</v>
      </c>
      <c r="AO6470">
        <v>0.26</v>
      </c>
      <c r="AR6470">
        <v>1</v>
      </c>
      <c r="AS6470" s="1">
        <v>27520</v>
      </c>
      <c r="AT6470" s="1">
        <v>5500</v>
      </c>
      <c r="AU6470" s="1">
        <v>22020</v>
      </c>
      <c r="AV6470">
        <v>80.010000000000005</v>
      </c>
      <c r="AX6470" s="1">
        <v>2508.08</v>
      </c>
      <c r="AY6470" t="s">
        <v>665</v>
      </c>
      <c r="AZ6470" t="s">
        <v>665</v>
      </c>
      <c r="BA6470" t="s">
        <v>378</v>
      </c>
      <c r="BE6470" s="3">
        <v>41705</v>
      </c>
      <c r="BF6470" s="1">
        <v>289000</v>
      </c>
      <c r="BG6470" t="s">
        <v>39059</v>
      </c>
      <c r="BH6470" s="1">
        <v>144.63999999999999</v>
      </c>
      <c r="BI6470" s="1">
        <v>311445</v>
      </c>
      <c r="BJ6470" s="3">
        <v>43264</v>
      </c>
      <c r="BK6470" t="s">
        <v>123</v>
      </c>
      <c r="BL6470" t="str">
        <f>"2018.451209"</f>
        <v>2018.451209</v>
      </c>
      <c r="BM6470" t="s">
        <v>1809</v>
      </c>
      <c r="BN6470" t="s">
        <v>1810</v>
      </c>
      <c r="BO6470" t="s">
        <v>39060</v>
      </c>
      <c r="BP6470" t="s">
        <v>39061</v>
      </c>
      <c r="BR6470" t="s">
        <v>139</v>
      </c>
      <c r="BW6470" t="str">
        <f>""</f>
        <v/>
      </c>
      <c r="CH6470" t="str">
        <f>""</f>
        <v/>
      </c>
      <c r="CS6470" t="str">
        <f>""</f>
        <v/>
      </c>
    </row>
    <row r="6471" spans="1:97" x14ac:dyDescent="0.25">
      <c r="A6471" t="s">
        <v>211</v>
      </c>
      <c r="B6471" t="s">
        <v>39062</v>
      </c>
      <c r="C6471" t="s">
        <v>767</v>
      </c>
      <c r="D6471" t="s">
        <v>39062</v>
      </c>
      <c r="E6471" t="s">
        <v>39063</v>
      </c>
      <c r="F6471" t="s">
        <v>108</v>
      </c>
      <c r="H6471" t="s">
        <v>39064</v>
      </c>
      <c r="I6471" t="s">
        <v>203</v>
      </c>
      <c r="J6471" t="s">
        <v>111</v>
      </c>
      <c r="K6471" t="str">
        <f>"85233"</f>
        <v>85233</v>
      </c>
      <c r="L6471" t="s">
        <v>6325</v>
      </c>
      <c r="M6471" t="s">
        <v>39064</v>
      </c>
      <c r="N6471" t="s">
        <v>203</v>
      </c>
      <c r="O6471" t="s">
        <v>111</v>
      </c>
      <c r="P6471" t="str">
        <f>"85233-3229"</f>
        <v>85233-3229</v>
      </c>
      <c r="Q6471" t="s">
        <v>113</v>
      </c>
      <c r="R6471" t="str">
        <f>"310-05-171"</f>
        <v>310-05-171</v>
      </c>
      <c r="S6471" t="s">
        <v>9439</v>
      </c>
      <c r="T6471" t="s">
        <v>9439</v>
      </c>
      <c r="U6471">
        <v>1409</v>
      </c>
      <c r="V6471">
        <v>0</v>
      </c>
      <c r="W6471">
        <v>3</v>
      </c>
      <c r="X6471">
        <v>1996</v>
      </c>
      <c r="Z6471">
        <v>1</v>
      </c>
      <c r="AA6471" t="s">
        <v>26</v>
      </c>
      <c r="AB6471">
        <v>0</v>
      </c>
      <c r="AC6471" t="s">
        <v>115</v>
      </c>
      <c r="AD6471">
        <v>2</v>
      </c>
      <c r="AE6471" t="s">
        <v>115</v>
      </c>
      <c r="AF6471">
        <v>0</v>
      </c>
      <c r="AG6471">
        <v>0</v>
      </c>
      <c r="AH6471" t="s">
        <v>116</v>
      </c>
      <c r="AI6471" s="1">
        <v>60607</v>
      </c>
      <c r="AJ6471" s="2">
        <v>0.2</v>
      </c>
      <c r="AK6471" s="1">
        <v>303362</v>
      </c>
      <c r="AL6471" t="s">
        <v>117</v>
      </c>
      <c r="AM6471" t="s">
        <v>288</v>
      </c>
      <c r="AN6471">
        <v>9544</v>
      </c>
      <c r="AO6471">
        <v>0.22</v>
      </c>
      <c r="AP6471">
        <v>1</v>
      </c>
      <c r="AR6471">
        <v>1</v>
      </c>
      <c r="AS6471" s="1">
        <v>22330</v>
      </c>
      <c r="AT6471" s="1">
        <v>4460</v>
      </c>
      <c r="AU6471" s="1">
        <v>17870</v>
      </c>
      <c r="AV6471">
        <v>80.03</v>
      </c>
      <c r="AX6471" s="1">
        <v>1544.9</v>
      </c>
      <c r="AY6471" t="s">
        <v>8604</v>
      </c>
      <c r="AZ6471" t="s">
        <v>5478</v>
      </c>
      <c r="BA6471" t="s">
        <v>5479</v>
      </c>
      <c r="BE6471" s="3">
        <v>42444</v>
      </c>
      <c r="BF6471" s="1">
        <v>235000</v>
      </c>
      <c r="BG6471" t="s">
        <v>39065</v>
      </c>
      <c r="BH6471" s="1">
        <v>166.78</v>
      </c>
      <c r="BI6471" s="1">
        <v>242755</v>
      </c>
      <c r="BJ6471" s="3">
        <v>42444</v>
      </c>
      <c r="BK6471" t="s">
        <v>123</v>
      </c>
      <c r="BL6471" t="str">
        <f>"2016.166266"</f>
        <v>2016.166266</v>
      </c>
      <c r="BM6471" t="s">
        <v>175</v>
      </c>
      <c r="BO6471" t="s">
        <v>39066</v>
      </c>
      <c r="BS6471">
        <v>30</v>
      </c>
      <c r="BW6471" t="str">
        <f>""</f>
        <v/>
      </c>
      <c r="CH6471" t="str">
        <f>""</f>
        <v/>
      </c>
      <c r="CS6471" t="str">
        <f>""</f>
        <v/>
      </c>
    </row>
    <row r="6472" spans="1:97" x14ac:dyDescent="0.25">
      <c r="A6472" t="s">
        <v>1938</v>
      </c>
      <c r="B6472" t="s">
        <v>39067</v>
      </c>
      <c r="E6472" t="s">
        <v>39068</v>
      </c>
      <c r="F6472" t="s">
        <v>108</v>
      </c>
      <c r="H6472" t="s">
        <v>39069</v>
      </c>
      <c r="I6472" t="s">
        <v>390</v>
      </c>
      <c r="J6472" t="s">
        <v>111</v>
      </c>
      <c r="K6472" t="str">
        <f>"85032"</f>
        <v>85032</v>
      </c>
      <c r="L6472" t="s">
        <v>4003</v>
      </c>
      <c r="M6472" t="s">
        <v>39069</v>
      </c>
      <c r="N6472" t="s">
        <v>390</v>
      </c>
      <c r="O6472" t="s">
        <v>111</v>
      </c>
      <c r="P6472" t="str">
        <f>"85032-5832"</f>
        <v>85032-5832</v>
      </c>
      <c r="Q6472" t="s">
        <v>113</v>
      </c>
      <c r="R6472" t="str">
        <f>"215-72-271"</f>
        <v>215-72-271</v>
      </c>
      <c r="S6472" t="s">
        <v>39070</v>
      </c>
      <c r="T6472" t="s">
        <v>14300</v>
      </c>
      <c r="U6472">
        <v>1842</v>
      </c>
      <c r="V6472">
        <v>0</v>
      </c>
      <c r="W6472">
        <v>3</v>
      </c>
      <c r="X6472">
        <v>1979</v>
      </c>
      <c r="Z6472">
        <v>1</v>
      </c>
      <c r="AB6472">
        <v>0</v>
      </c>
      <c r="AC6472" t="s">
        <v>115</v>
      </c>
      <c r="AD6472">
        <v>2</v>
      </c>
      <c r="AE6472" t="s">
        <v>115</v>
      </c>
      <c r="AF6472">
        <v>0</v>
      </c>
      <c r="AG6472">
        <v>0</v>
      </c>
      <c r="AH6472" t="s">
        <v>116</v>
      </c>
      <c r="AI6472" s="1">
        <v>134868</v>
      </c>
      <c r="AJ6472" s="2">
        <v>0.4</v>
      </c>
      <c r="AK6472" s="1">
        <v>339168</v>
      </c>
      <c r="AL6472" t="s">
        <v>117</v>
      </c>
      <c r="AM6472" t="s">
        <v>1302</v>
      </c>
      <c r="AN6472">
        <v>10395</v>
      </c>
      <c r="AO6472">
        <v>0.24</v>
      </c>
      <c r="AR6472">
        <v>1</v>
      </c>
      <c r="AS6472" s="1">
        <v>24370</v>
      </c>
      <c r="AT6472" s="1">
        <v>4870</v>
      </c>
      <c r="AU6472" s="1">
        <v>19500</v>
      </c>
      <c r="AV6472">
        <v>80.02</v>
      </c>
      <c r="AX6472" s="1">
        <v>2089.7399999999998</v>
      </c>
      <c r="AY6472" t="s">
        <v>5230</v>
      </c>
      <c r="AZ6472" t="s">
        <v>1317</v>
      </c>
      <c r="BA6472" t="s">
        <v>1318</v>
      </c>
      <c r="BE6472" s="3">
        <v>42065</v>
      </c>
      <c r="BF6472" s="1">
        <v>200000</v>
      </c>
      <c r="BG6472" t="s">
        <v>39071</v>
      </c>
      <c r="BH6472" s="1">
        <v>108.58</v>
      </c>
      <c r="BI6472" s="1">
        <v>204300</v>
      </c>
      <c r="BJ6472" s="3">
        <v>42065</v>
      </c>
      <c r="BK6472" t="s">
        <v>123</v>
      </c>
      <c r="BL6472" t="str">
        <f>"2015.138343"</f>
        <v>2015.138343</v>
      </c>
      <c r="BM6472" t="s">
        <v>738</v>
      </c>
      <c r="BO6472" t="s">
        <v>39072</v>
      </c>
      <c r="BS6472">
        <v>30</v>
      </c>
      <c r="BW6472" t="str">
        <f>""</f>
        <v/>
      </c>
      <c r="CH6472" t="str">
        <f>""</f>
        <v/>
      </c>
      <c r="CS6472" t="str">
        <f>""</f>
        <v/>
      </c>
    </row>
    <row r="6473" spans="1:97" x14ac:dyDescent="0.25">
      <c r="A6473" t="s">
        <v>1011</v>
      </c>
      <c r="B6473" t="s">
        <v>39073</v>
      </c>
      <c r="C6473" t="s">
        <v>753</v>
      </c>
      <c r="D6473" t="s">
        <v>39073</v>
      </c>
      <c r="E6473" t="s">
        <v>39074</v>
      </c>
      <c r="F6473" t="s">
        <v>108</v>
      </c>
      <c r="H6473" t="s">
        <v>39075</v>
      </c>
      <c r="I6473" t="s">
        <v>188</v>
      </c>
      <c r="J6473" t="s">
        <v>111</v>
      </c>
      <c r="K6473" t="str">
        <f>"85142"</f>
        <v>85142</v>
      </c>
      <c r="L6473" t="s">
        <v>1070</v>
      </c>
      <c r="M6473" t="s">
        <v>39075</v>
      </c>
      <c r="N6473" t="s">
        <v>188</v>
      </c>
      <c r="O6473" t="s">
        <v>111</v>
      </c>
      <c r="P6473" t="str">
        <f>"85142-5196"</f>
        <v>85142-5196</v>
      </c>
      <c r="Q6473" t="s">
        <v>113</v>
      </c>
      <c r="R6473" t="str">
        <f>"314-09-301"</f>
        <v>314-09-301</v>
      </c>
      <c r="S6473" t="s">
        <v>31741</v>
      </c>
      <c r="T6473" t="s">
        <v>17034</v>
      </c>
      <c r="U6473">
        <v>3626</v>
      </c>
      <c r="V6473">
        <v>0</v>
      </c>
      <c r="W6473">
        <v>5</v>
      </c>
      <c r="X6473">
        <v>2013</v>
      </c>
      <c r="Z6473">
        <v>1</v>
      </c>
      <c r="AA6473" t="s">
        <v>26</v>
      </c>
      <c r="AB6473">
        <v>0</v>
      </c>
      <c r="AC6473" t="s">
        <v>115</v>
      </c>
      <c r="AD6473">
        <v>3</v>
      </c>
      <c r="AE6473" t="s">
        <v>115</v>
      </c>
      <c r="AF6473">
        <v>0</v>
      </c>
      <c r="AG6473">
        <v>0</v>
      </c>
      <c r="AH6473" t="s">
        <v>116</v>
      </c>
      <c r="AI6473" s="1">
        <v>157637</v>
      </c>
      <c r="AJ6473" s="2">
        <v>0.34</v>
      </c>
      <c r="AK6473" s="1">
        <v>466612</v>
      </c>
      <c r="AL6473" t="s">
        <v>117</v>
      </c>
      <c r="AM6473" t="s">
        <v>5791</v>
      </c>
      <c r="AN6473">
        <v>13556</v>
      </c>
      <c r="AO6473">
        <v>0.31</v>
      </c>
      <c r="AR6473">
        <v>1</v>
      </c>
      <c r="AS6473" s="1">
        <v>33560</v>
      </c>
      <c r="AT6473" s="1">
        <v>6710</v>
      </c>
      <c r="AU6473" s="1">
        <v>26850</v>
      </c>
      <c r="AV6473">
        <v>80.010000000000005</v>
      </c>
      <c r="AX6473" s="1">
        <v>3701.5</v>
      </c>
      <c r="AY6473" t="s">
        <v>1074</v>
      </c>
      <c r="AZ6473" t="s">
        <v>193</v>
      </c>
      <c r="BA6473" t="s">
        <v>194</v>
      </c>
      <c r="BE6473" s="3">
        <v>41781</v>
      </c>
      <c r="BF6473" s="1">
        <v>340892</v>
      </c>
      <c r="BG6473" t="s">
        <v>2842</v>
      </c>
      <c r="BH6473" s="1">
        <v>94.01</v>
      </c>
      <c r="BI6473" s="1">
        <v>308975</v>
      </c>
      <c r="BJ6473" s="3">
        <v>42311</v>
      </c>
      <c r="BK6473" t="s">
        <v>123</v>
      </c>
      <c r="BL6473" t="str">
        <f>"2015.790649"</f>
        <v>2015.790649</v>
      </c>
      <c r="BM6473" t="s">
        <v>709</v>
      </c>
      <c r="BO6473" t="s">
        <v>39076</v>
      </c>
      <c r="BS6473">
        <v>30</v>
      </c>
      <c r="BW6473" t="str">
        <f>""</f>
        <v/>
      </c>
      <c r="CH6473" t="str">
        <f>""</f>
        <v/>
      </c>
      <c r="CS6473" t="str">
        <f>""</f>
        <v/>
      </c>
    </row>
    <row r="6474" spans="1:97" x14ac:dyDescent="0.25">
      <c r="A6474" t="s">
        <v>2750</v>
      </c>
      <c r="B6474" t="s">
        <v>5890</v>
      </c>
      <c r="C6474" t="s">
        <v>355</v>
      </c>
      <c r="D6474" t="s">
        <v>5890</v>
      </c>
      <c r="E6474" t="s">
        <v>39077</v>
      </c>
      <c r="F6474" t="s">
        <v>108</v>
      </c>
      <c r="H6474" t="s">
        <v>39078</v>
      </c>
      <c r="I6474" t="s">
        <v>632</v>
      </c>
      <c r="J6474" t="s">
        <v>111</v>
      </c>
      <c r="K6474" t="str">
        <f>"85374"</f>
        <v>85374</v>
      </c>
      <c r="L6474" t="s">
        <v>5514</v>
      </c>
      <c r="M6474" t="s">
        <v>39078</v>
      </c>
      <c r="N6474" t="s">
        <v>632</v>
      </c>
      <c r="O6474" t="s">
        <v>111</v>
      </c>
      <c r="P6474" t="str">
        <f>"85374-1804"</f>
        <v>85374-1804</v>
      </c>
      <c r="Q6474" t="s">
        <v>113</v>
      </c>
      <c r="R6474" t="str">
        <f>"232-39-920"</f>
        <v>232-39-920</v>
      </c>
      <c r="S6474" t="s">
        <v>14722</v>
      </c>
      <c r="U6474">
        <v>2166</v>
      </c>
      <c r="V6474">
        <v>0</v>
      </c>
      <c r="W6474">
        <v>3</v>
      </c>
      <c r="X6474">
        <v>2005</v>
      </c>
      <c r="Z6474">
        <v>1</v>
      </c>
      <c r="AB6474">
        <v>0</v>
      </c>
      <c r="AC6474" t="s">
        <v>115</v>
      </c>
      <c r="AD6474">
        <v>2</v>
      </c>
      <c r="AE6474" t="s">
        <v>115</v>
      </c>
      <c r="AF6474">
        <v>0</v>
      </c>
      <c r="AG6474">
        <v>0</v>
      </c>
      <c r="AH6474" t="s">
        <v>116</v>
      </c>
      <c r="AI6474" s="1">
        <v>78068</v>
      </c>
      <c r="AJ6474" s="2">
        <v>0.27</v>
      </c>
      <c r="AK6474" s="1">
        <v>288568</v>
      </c>
      <c r="AL6474" t="s">
        <v>117</v>
      </c>
      <c r="AM6474" t="s">
        <v>5516</v>
      </c>
      <c r="AN6474">
        <v>10192</v>
      </c>
      <c r="AO6474">
        <v>0.23</v>
      </c>
      <c r="AR6474">
        <v>1</v>
      </c>
      <c r="AS6474" s="1">
        <v>20130</v>
      </c>
      <c r="AT6474" s="1">
        <v>4020</v>
      </c>
      <c r="AU6474" s="1">
        <v>16110</v>
      </c>
      <c r="AV6474">
        <v>80.03</v>
      </c>
      <c r="AX6474" s="1">
        <v>1410.52</v>
      </c>
      <c r="AY6474" t="s">
        <v>5517</v>
      </c>
      <c r="AZ6474" t="s">
        <v>5517</v>
      </c>
      <c r="BA6474" t="s">
        <v>5109</v>
      </c>
      <c r="BE6474" s="3">
        <v>41915</v>
      </c>
      <c r="BF6474" s="1">
        <v>200000</v>
      </c>
      <c r="BG6474" t="s">
        <v>39079</v>
      </c>
      <c r="BH6474" s="1">
        <v>92.34</v>
      </c>
      <c r="BI6474" s="1">
        <v>210500</v>
      </c>
      <c r="BJ6474" s="3">
        <v>43306</v>
      </c>
      <c r="BK6474" t="s">
        <v>123</v>
      </c>
      <c r="BL6474" t="str">
        <f>"2018.561364"</f>
        <v>2018.561364</v>
      </c>
      <c r="BM6474" t="s">
        <v>1809</v>
      </c>
      <c r="BN6474" t="s">
        <v>1810</v>
      </c>
      <c r="BO6474" t="s">
        <v>39080</v>
      </c>
      <c r="BP6474" t="s">
        <v>39081</v>
      </c>
      <c r="BR6474" t="s">
        <v>139</v>
      </c>
      <c r="BW6474" t="str">
        <f>""</f>
        <v/>
      </c>
      <c r="CH6474" t="str">
        <f>""</f>
        <v/>
      </c>
      <c r="CS6474" t="str">
        <f>""</f>
        <v/>
      </c>
    </row>
    <row r="6475" spans="1:97" x14ac:dyDescent="0.25">
      <c r="A6475" t="s">
        <v>894</v>
      </c>
      <c r="B6475" t="s">
        <v>39082</v>
      </c>
      <c r="C6475" t="s">
        <v>1857</v>
      </c>
      <c r="D6475" t="s">
        <v>39082</v>
      </c>
      <c r="E6475" t="s">
        <v>39083</v>
      </c>
      <c r="F6475" t="s">
        <v>108</v>
      </c>
      <c r="H6475" t="s">
        <v>39084</v>
      </c>
      <c r="I6475" t="s">
        <v>453</v>
      </c>
      <c r="J6475" t="s">
        <v>111</v>
      </c>
      <c r="K6475" t="str">
        <f>"85382"</f>
        <v>85382</v>
      </c>
      <c r="L6475" t="s">
        <v>7147</v>
      </c>
      <c r="M6475" t="s">
        <v>39084</v>
      </c>
      <c r="N6475" t="s">
        <v>453</v>
      </c>
      <c r="O6475" t="s">
        <v>111</v>
      </c>
      <c r="P6475" t="str">
        <f>"85382-8214"</f>
        <v>85382-8214</v>
      </c>
      <c r="Q6475" t="s">
        <v>113</v>
      </c>
      <c r="R6475" t="str">
        <f>"200-43-521"</f>
        <v>200-43-521</v>
      </c>
      <c r="S6475" t="s">
        <v>8285</v>
      </c>
      <c r="T6475" t="s">
        <v>8285</v>
      </c>
      <c r="U6475">
        <v>2211</v>
      </c>
      <c r="V6475">
        <v>0</v>
      </c>
      <c r="W6475">
        <v>4</v>
      </c>
      <c r="X6475">
        <v>2014</v>
      </c>
      <c r="Z6475">
        <v>2</v>
      </c>
      <c r="AB6475">
        <v>0</v>
      </c>
      <c r="AC6475" t="s">
        <v>115</v>
      </c>
      <c r="AD6475">
        <v>2</v>
      </c>
      <c r="AE6475" t="s">
        <v>115</v>
      </c>
      <c r="AF6475">
        <v>0</v>
      </c>
      <c r="AG6475">
        <v>0</v>
      </c>
      <c r="AH6475" t="s">
        <v>116</v>
      </c>
      <c r="AI6475" s="1">
        <v>76883</v>
      </c>
      <c r="AJ6475" s="2">
        <v>0.25</v>
      </c>
      <c r="AK6475" s="1">
        <v>309249</v>
      </c>
      <c r="AL6475" t="s">
        <v>117</v>
      </c>
      <c r="AM6475" t="s">
        <v>118</v>
      </c>
      <c r="AN6475">
        <v>2521</v>
      </c>
      <c r="AO6475">
        <v>0.57999999999999996</v>
      </c>
      <c r="AR6475">
        <v>1</v>
      </c>
      <c r="AS6475" s="1">
        <v>22350</v>
      </c>
      <c r="AT6475" s="1">
        <v>4470</v>
      </c>
      <c r="AU6475" s="1">
        <v>17880</v>
      </c>
      <c r="AV6475">
        <v>80</v>
      </c>
      <c r="AX6475" s="1">
        <v>1832.74</v>
      </c>
      <c r="AY6475" t="s">
        <v>7828</v>
      </c>
      <c r="AZ6475" t="s">
        <v>7828</v>
      </c>
      <c r="BA6475" t="s">
        <v>4219</v>
      </c>
      <c r="BE6475" s="3">
        <v>42103</v>
      </c>
      <c r="BF6475" s="1">
        <v>224943</v>
      </c>
      <c r="BG6475" t="s">
        <v>2199</v>
      </c>
      <c r="BH6475" s="1">
        <v>101.74</v>
      </c>
      <c r="BI6475" s="1">
        <v>232366</v>
      </c>
      <c r="BJ6475" s="3">
        <v>42103</v>
      </c>
      <c r="BK6475" t="s">
        <v>123</v>
      </c>
      <c r="BL6475" t="str">
        <f>"2015.241712"</f>
        <v>2015.241712</v>
      </c>
      <c r="BM6475" t="s">
        <v>2245</v>
      </c>
      <c r="BO6475" t="s">
        <v>39085</v>
      </c>
      <c r="BS6475">
        <v>30</v>
      </c>
      <c r="BW6475" t="str">
        <f>""</f>
        <v/>
      </c>
      <c r="CH6475" t="str">
        <f>""</f>
        <v/>
      </c>
      <c r="CS6475" t="str">
        <f>""</f>
        <v/>
      </c>
    </row>
    <row r="6476" spans="1:97" x14ac:dyDescent="0.25">
      <c r="A6476" t="s">
        <v>305</v>
      </c>
      <c r="B6476" t="s">
        <v>39086</v>
      </c>
      <c r="C6476" t="s">
        <v>2019</v>
      </c>
      <c r="D6476" t="s">
        <v>39086</v>
      </c>
      <c r="E6476" t="s">
        <v>39087</v>
      </c>
      <c r="F6476" t="s">
        <v>108</v>
      </c>
      <c r="H6476" t="s">
        <v>39088</v>
      </c>
      <c r="I6476" t="s">
        <v>110</v>
      </c>
      <c r="J6476" t="s">
        <v>111</v>
      </c>
      <c r="K6476" t="str">
        <f>"85249"</f>
        <v>85249</v>
      </c>
      <c r="L6476" t="s">
        <v>7904</v>
      </c>
      <c r="M6476" t="s">
        <v>39088</v>
      </c>
      <c r="N6476" t="s">
        <v>110</v>
      </c>
      <c r="O6476" t="s">
        <v>111</v>
      </c>
      <c r="P6476" t="str">
        <f>"85249-6920"</f>
        <v>85249-6920</v>
      </c>
      <c r="Q6476" t="s">
        <v>113</v>
      </c>
      <c r="R6476" t="str">
        <f>"303-58-319"</f>
        <v>303-58-319</v>
      </c>
      <c r="S6476" t="s">
        <v>32246</v>
      </c>
      <c r="T6476" t="s">
        <v>32247</v>
      </c>
      <c r="U6476">
        <v>2780</v>
      </c>
      <c r="V6476">
        <v>0</v>
      </c>
      <c r="W6476">
        <v>4</v>
      </c>
      <c r="X6476">
        <v>2004</v>
      </c>
      <c r="Z6476">
        <v>1</v>
      </c>
      <c r="AA6476" t="s">
        <v>26</v>
      </c>
      <c r="AB6476">
        <v>0</v>
      </c>
      <c r="AC6476" t="s">
        <v>115</v>
      </c>
      <c r="AD6476">
        <v>3</v>
      </c>
      <c r="AE6476" t="s">
        <v>115</v>
      </c>
      <c r="AF6476">
        <v>0</v>
      </c>
      <c r="AG6476">
        <v>0</v>
      </c>
      <c r="AH6476" t="s">
        <v>116</v>
      </c>
      <c r="AI6476" s="1">
        <v>46219</v>
      </c>
      <c r="AJ6476" s="2">
        <v>0.1</v>
      </c>
      <c r="AK6476" s="1">
        <v>463394</v>
      </c>
      <c r="AL6476" t="s">
        <v>117</v>
      </c>
      <c r="AM6476" t="s">
        <v>118</v>
      </c>
      <c r="AN6476">
        <v>9600</v>
      </c>
      <c r="AO6476">
        <v>0.22</v>
      </c>
      <c r="AP6476">
        <v>1</v>
      </c>
      <c r="AR6476">
        <v>1</v>
      </c>
      <c r="AS6476" s="1">
        <v>33470</v>
      </c>
      <c r="AT6476" s="1">
        <v>6690</v>
      </c>
      <c r="AU6476" s="1">
        <v>26780</v>
      </c>
      <c r="AV6476">
        <v>80.010000000000005</v>
      </c>
      <c r="AX6476" s="1">
        <v>2760.08</v>
      </c>
      <c r="AY6476" t="s">
        <v>119</v>
      </c>
      <c r="AZ6476" t="s">
        <v>120</v>
      </c>
      <c r="BA6476" t="s">
        <v>121</v>
      </c>
      <c r="BB6476" s="3">
        <v>42314</v>
      </c>
      <c r="BD6476" t="s">
        <v>240</v>
      </c>
      <c r="BE6476" s="3">
        <v>42257</v>
      </c>
      <c r="BF6476" s="1">
        <v>399900</v>
      </c>
      <c r="BG6476" t="s">
        <v>39089</v>
      </c>
      <c r="BH6476" s="1">
        <v>143.85</v>
      </c>
      <c r="BI6476" s="1">
        <v>417175</v>
      </c>
      <c r="BJ6476" s="3">
        <v>42625</v>
      </c>
      <c r="BK6476" t="s">
        <v>123</v>
      </c>
      <c r="BL6476" t="str">
        <f>"2016.657628"</f>
        <v>2016.657628</v>
      </c>
      <c r="BM6476" t="s">
        <v>1791</v>
      </c>
      <c r="BO6476" t="s">
        <v>39090</v>
      </c>
      <c r="BS6476">
        <v>30</v>
      </c>
      <c r="BW6476" t="str">
        <f>""</f>
        <v/>
      </c>
      <c r="CH6476" t="str">
        <f>""</f>
        <v/>
      </c>
      <c r="CS6476" t="str">
        <f>""</f>
        <v/>
      </c>
    </row>
    <row r="6477" spans="1:97" x14ac:dyDescent="0.25">
      <c r="A6477" t="s">
        <v>4221</v>
      </c>
      <c r="B6477" t="s">
        <v>39091</v>
      </c>
      <c r="C6477" t="s">
        <v>852</v>
      </c>
      <c r="D6477" t="s">
        <v>39091</v>
      </c>
      <c r="E6477" t="s">
        <v>39092</v>
      </c>
      <c r="F6477" t="s">
        <v>108</v>
      </c>
      <c r="H6477" t="s">
        <v>39093</v>
      </c>
      <c r="I6477" t="s">
        <v>225</v>
      </c>
      <c r="J6477" t="s">
        <v>111</v>
      </c>
      <c r="K6477" t="str">
        <f>"85212"</f>
        <v>85212</v>
      </c>
      <c r="L6477" t="s">
        <v>5239</v>
      </c>
      <c r="M6477" t="s">
        <v>39093</v>
      </c>
      <c r="N6477" t="s">
        <v>225</v>
      </c>
      <c r="O6477" t="s">
        <v>111</v>
      </c>
      <c r="P6477" t="str">
        <f>"85212-7088"</f>
        <v>85212-7088</v>
      </c>
      <c r="Q6477" t="s">
        <v>113</v>
      </c>
      <c r="R6477" t="str">
        <f>"312-14-660"</f>
        <v>312-14-660</v>
      </c>
      <c r="S6477" t="s">
        <v>8852</v>
      </c>
      <c r="T6477" t="s">
        <v>8853</v>
      </c>
      <c r="U6477">
        <v>2234</v>
      </c>
      <c r="V6477">
        <v>0</v>
      </c>
      <c r="W6477">
        <v>3</v>
      </c>
      <c r="X6477">
        <v>2006</v>
      </c>
      <c r="Z6477">
        <v>1</v>
      </c>
      <c r="AA6477" t="s">
        <v>26</v>
      </c>
      <c r="AB6477">
        <v>0</v>
      </c>
      <c r="AC6477" t="s">
        <v>115</v>
      </c>
      <c r="AD6477">
        <v>2</v>
      </c>
      <c r="AE6477" t="s">
        <v>115</v>
      </c>
      <c r="AF6477">
        <v>0</v>
      </c>
      <c r="AG6477">
        <v>0</v>
      </c>
      <c r="AH6477" t="s">
        <v>116</v>
      </c>
      <c r="AI6477" s="1">
        <v>88251</v>
      </c>
      <c r="AJ6477" s="2">
        <v>0.25</v>
      </c>
      <c r="AK6477" s="1">
        <v>358251</v>
      </c>
      <c r="AL6477" t="s">
        <v>117</v>
      </c>
      <c r="AM6477" t="s">
        <v>191</v>
      </c>
      <c r="AN6477">
        <v>12364</v>
      </c>
      <c r="AO6477">
        <v>0.28000000000000003</v>
      </c>
      <c r="AR6477">
        <v>1</v>
      </c>
      <c r="AS6477" s="1">
        <v>24950</v>
      </c>
      <c r="AT6477" s="1">
        <v>4990</v>
      </c>
      <c r="AU6477" s="1">
        <v>19960</v>
      </c>
      <c r="AV6477">
        <v>80</v>
      </c>
      <c r="AX6477" s="1">
        <v>2009.48</v>
      </c>
      <c r="AY6477" t="s">
        <v>560</v>
      </c>
      <c r="AZ6477" t="s">
        <v>561</v>
      </c>
      <c r="BA6477" t="s">
        <v>194</v>
      </c>
      <c r="BE6477" s="3">
        <v>42170</v>
      </c>
      <c r="BF6477" s="1">
        <v>270000</v>
      </c>
      <c r="BG6477" t="s">
        <v>39094</v>
      </c>
      <c r="BH6477" s="1">
        <v>120.86</v>
      </c>
      <c r="BI6477" s="1">
        <v>270000</v>
      </c>
      <c r="BJ6477" s="3">
        <v>42170</v>
      </c>
      <c r="BK6477" t="s">
        <v>123</v>
      </c>
      <c r="BL6477" t="str">
        <f>"2015.425855"</f>
        <v>2015.425855</v>
      </c>
      <c r="BM6477" t="s">
        <v>7531</v>
      </c>
      <c r="BO6477" t="s">
        <v>39095</v>
      </c>
      <c r="BS6477">
        <v>30</v>
      </c>
      <c r="BW6477" t="str">
        <f>""</f>
        <v/>
      </c>
      <c r="CH6477" t="str">
        <f>""</f>
        <v/>
      </c>
      <c r="CS6477" t="str">
        <f>""</f>
        <v/>
      </c>
    </row>
    <row r="6478" spans="1:97" x14ac:dyDescent="0.25">
      <c r="A6478" t="s">
        <v>4515</v>
      </c>
      <c r="B6478" t="s">
        <v>39096</v>
      </c>
      <c r="C6478" t="s">
        <v>511</v>
      </c>
      <c r="D6478" t="s">
        <v>39096</v>
      </c>
      <c r="E6478" t="s">
        <v>39097</v>
      </c>
      <c r="F6478" t="s">
        <v>108</v>
      </c>
      <c r="H6478" t="s">
        <v>39098</v>
      </c>
      <c r="I6478" t="s">
        <v>499</v>
      </c>
      <c r="J6478" t="s">
        <v>111</v>
      </c>
      <c r="K6478" t="str">
        <f>"85338"</f>
        <v>85338</v>
      </c>
      <c r="L6478" t="s">
        <v>6431</v>
      </c>
      <c r="M6478" t="s">
        <v>39098</v>
      </c>
      <c r="N6478" t="s">
        <v>499</v>
      </c>
      <c r="O6478" t="s">
        <v>111</v>
      </c>
      <c r="P6478" t="str">
        <f>"85338-7434"</f>
        <v>85338-7434</v>
      </c>
      <c r="Q6478" t="s">
        <v>113</v>
      </c>
      <c r="R6478" t="str">
        <f>"500-97-699"</f>
        <v>500-97-699</v>
      </c>
      <c r="S6478" t="s">
        <v>6432</v>
      </c>
      <c r="U6478">
        <v>2920</v>
      </c>
      <c r="V6478">
        <v>0</v>
      </c>
      <c r="W6478">
        <v>4</v>
      </c>
      <c r="X6478">
        <v>2007</v>
      </c>
      <c r="Z6478">
        <v>1</v>
      </c>
      <c r="AA6478" t="s">
        <v>26</v>
      </c>
      <c r="AB6478">
        <v>0</v>
      </c>
      <c r="AC6478" t="s">
        <v>115</v>
      </c>
      <c r="AD6478">
        <v>2</v>
      </c>
      <c r="AE6478" t="s">
        <v>115</v>
      </c>
      <c r="AF6478">
        <v>0</v>
      </c>
      <c r="AG6478">
        <v>0</v>
      </c>
      <c r="AH6478" t="s">
        <v>116</v>
      </c>
      <c r="AI6478" s="1">
        <v>53672</v>
      </c>
      <c r="AJ6478" s="2">
        <v>0.14000000000000001</v>
      </c>
      <c r="AK6478" s="1">
        <v>371572</v>
      </c>
      <c r="AL6478" t="s">
        <v>117</v>
      </c>
      <c r="AM6478" t="s">
        <v>118</v>
      </c>
      <c r="AN6478">
        <v>10003</v>
      </c>
      <c r="AO6478">
        <v>0.23</v>
      </c>
      <c r="AR6478">
        <v>1</v>
      </c>
      <c r="AS6478" s="1">
        <v>27660</v>
      </c>
      <c r="AT6478" s="1">
        <v>5530</v>
      </c>
      <c r="AU6478" s="1">
        <v>22130</v>
      </c>
      <c r="AV6478">
        <v>80.010000000000005</v>
      </c>
      <c r="AX6478" s="1">
        <v>2962.8</v>
      </c>
      <c r="AY6478" t="s">
        <v>6319</v>
      </c>
      <c r="AZ6478" t="s">
        <v>6319</v>
      </c>
      <c r="BA6478" t="s">
        <v>218</v>
      </c>
      <c r="BE6478" s="3">
        <v>42269</v>
      </c>
      <c r="BF6478" s="1">
        <v>315000</v>
      </c>
      <c r="BG6478" t="s">
        <v>39099</v>
      </c>
      <c r="BH6478" s="1">
        <v>107.88</v>
      </c>
      <c r="BI6478" s="1">
        <v>317900</v>
      </c>
      <c r="BJ6478" s="3">
        <v>42683</v>
      </c>
      <c r="BK6478" t="s">
        <v>123</v>
      </c>
      <c r="BL6478" t="str">
        <f>"2016.827167"</f>
        <v>2016.827167</v>
      </c>
      <c r="BM6478" t="s">
        <v>248</v>
      </c>
      <c r="BO6478" t="s">
        <v>39100</v>
      </c>
      <c r="BS6478">
        <v>30</v>
      </c>
      <c r="BW6478" t="str">
        <f>""</f>
        <v/>
      </c>
      <c r="CH6478" t="str">
        <f>""</f>
        <v/>
      </c>
      <c r="CS6478" t="str">
        <f>""</f>
        <v/>
      </c>
    </row>
    <row r="6479" spans="1:97" x14ac:dyDescent="0.25">
      <c r="A6479" t="s">
        <v>17442</v>
      </c>
      <c r="B6479" t="s">
        <v>39101</v>
      </c>
      <c r="C6479" t="s">
        <v>39102</v>
      </c>
      <c r="D6479" t="s">
        <v>39101</v>
      </c>
      <c r="E6479" t="s">
        <v>39103</v>
      </c>
      <c r="F6479" t="s">
        <v>108</v>
      </c>
      <c r="H6479" t="s">
        <v>39104</v>
      </c>
      <c r="I6479" t="s">
        <v>390</v>
      </c>
      <c r="J6479" t="s">
        <v>111</v>
      </c>
      <c r="K6479" t="str">
        <f>"85022"</f>
        <v>85022</v>
      </c>
      <c r="L6479" t="s">
        <v>5709</v>
      </c>
      <c r="M6479" t="s">
        <v>39104</v>
      </c>
      <c r="N6479" t="s">
        <v>390</v>
      </c>
      <c r="O6479" t="s">
        <v>111</v>
      </c>
      <c r="P6479" t="str">
        <f>"85022-3050"</f>
        <v>85022-3050</v>
      </c>
      <c r="Q6479" t="s">
        <v>113</v>
      </c>
      <c r="R6479" t="str">
        <f>"208-12-502"</f>
        <v>208-12-502</v>
      </c>
      <c r="S6479" t="s">
        <v>25136</v>
      </c>
      <c r="T6479" t="s">
        <v>10616</v>
      </c>
      <c r="U6479">
        <v>2644</v>
      </c>
      <c r="V6479">
        <v>0</v>
      </c>
      <c r="W6479">
        <v>3</v>
      </c>
      <c r="X6479">
        <v>1979</v>
      </c>
      <c r="Z6479">
        <v>1</v>
      </c>
      <c r="AA6479" t="s">
        <v>26</v>
      </c>
      <c r="AB6479">
        <v>0</v>
      </c>
      <c r="AC6479" t="s">
        <v>115</v>
      </c>
      <c r="AD6479">
        <v>2</v>
      </c>
      <c r="AE6479" t="s">
        <v>115</v>
      </c>
      <c r="AF6479">
        <v>0</v>
      </c>
      <c r="AG6479">
        <v>0</v>
      </c>
      <c r="AH6479" t="s">
        <v>116</v>
      </c>
      <c r="AI6479" s="1">
        <v>77242</v>
      </c>
      <c r="AJ6479" s="2">
        <v>0.16</v>
      </c>
      <c r="AK6479" s="1">
        <v>482242</v>
      </c>
      <c r="AL6479" t="s">
        <v>117</v>
      </c>
      <c r="AM6479" t="s">
        <v>191</v>
      </c>
      <c r="AN6479">
        <v>11696</v>
      </c>
      <c r="AO6479">
        <v>0.27</v>
      </c>
      <c r="AP6479">
        <v>1</v>
      </c>
      <c r="AR6479">
        <v>1</v>
      </c>
      <c r="AS6479" s="1">
        <v>34350</v>
      </c>
      <c r="AT6479" s="1">
        <v>6870</v>
      </c>
      <c r="AU6479" s="1">
        <v>27480</v>
      </c>
      <c r="AV6479">
        <v>80</v>
      </c>
      <c r="AX6479" s="1">
        <v>3829.12</v>
      </c>
      <c r="AY6479" t="s">
        <v>9170</v>
      </c>
      <c r="AZ6479" t="s">
        <v>8648</v>
      </c>
      <c r="BA6479" t="s">
        <v>8649</v>
      </c>
      <c r="BE6479" s="3">
        <v>42128</v>
      </c>
      <c r="BF6479" s="1">
        <v>405000</v>
      </c>
      <c r="BG6479" t="s">
        <v>39105</v>
      </c>
      <c r="BH6479" s="1">
        <v>153.18</v>
      </c>
      <c r="BI6479" s="1">
        <v>405000</v>
      </c>
      <c r="BJ6479" s="3">
        <v>42128</v>
      </c>
      <c r="BK6479" t="s">
        <v>123</v>
      </c>
      <c r="BL6479" t="str">
        <f>"2015.312372"</f>
        <v>2015.312372</v>
      </c>
      <c r="BM6479" t="s">
        <v>475</v>
      </c>
      <c r="BO6479" t="s">
        <v>39106</v>
      </c>
      <c r="BS6479">
        <v>30</v>
      </c>
      <c r="BW6479" t="str">
        <f>""</f>
        <v/>
      </c>
      <c r="CH6479" t="str">
        <f>""</f>
        <v/>
      </c>
      <c r="CS6479" t="str">
        <f>""</f>
        <v/>
      </c>
    </row>
    <row r="6480" spans="1:97" x14ac:dyDescent="0.25">
      <c r="B6480" t="s">
        <v>39107</v>
      </c>
      <c r="E6480" t="s">
        <v>39107</v>
      </c>
      <c r="F6480" t="s">
        <v>108</v>
      </c>
      <c r="H6480" t="s">
        <v>39108</v>
      </c>
      <c r="I6480" t="s">
        <v>5523</v>
      </c>
      <c r="J6480" t="s">
        <v>111</v>
      </c>
      <c r="K6480" t="str">
        <f>"85373"</f>
        <v>85373</v>
      </c>
      <c r="L6480" t="s">
        <v>734</v>
      </c>
      <c r="M6480" t="s">
        <v>39108</v>
      </c>
      <c r="N6480" t="s">
        <v>5523</v>
      </c>
      <c r="O6480" t="s">
        <v>111</v>
      </c>
      <c r="P6480" t="str">
        <f>"85373-8724"</f>
        <v>85373-8724</v>
      </c>
      <c r="Q6480" t="s">
        <v>113</v>
      </c>
      <c r="R6480" t="str">
        <f>"200-12-589"</f>
        <v>200-12-589</v>
      </c>
      <c r="S6480" t="s">
        <v>24194</v>
      </c>
      <c r="T6480" t="s">
        <v>24195</v>
      </c>
      <c r="U6480">
        <v>2568</v>
      </c>
      <c r="V6480">
        <v>0</v>
      </c>
      <c r="W6480">
        <v>4</v>
      </c>
      <c r="X6480">
        <v>1996</v>
      </c>
      <c r="Z6480">
        <v>2</v>
      </c>
      <c r="AA6480" t="s">
        <v>26</v>
      </c>
      <c r="AB6480">
        <v>0</v>
      </c>
      <c r="AC6480" t="s">
        <v>115</v>
      </c>
      <c r="AD6480">
        <v>2</v>
      </c>
      <c r="AE6480" t="s">
        <v>115</v>
      </c>
      <c r="AF6480">
        <v>0</v>
      </c>
      <c r="AG6480">
        <v>0</v>
      </c>
      <c r="AH6480" t="s">
        <v>116</v>
      </c>
      <c r="AI6480" s="1">
        <v>66904</v>
      </c>
      <c r="AJ6480" s="2">
        <v>0.19</v>
      </c>
      <c r="AK6480" s="1">
        <v>344781</v>
      </c>
      <c r="AL6480" t="s">
        <v>117</v>
      </c>
      <c r="AM6480" t="s">
        <v>191</v>
      </c>
      <c r="AN6480">
        <v>9805</v>
      </c>
      <c r="AO6480">
        <v>0.22</v>
      </c>
      <c r="AP6480">
        <v>1</v>
      </c>
      <c r="AR6480">
        <v>1</v>
      </c>
      <c r="AS6480" s="1">
        <v>24630</v>
      </c>
      <c r="AT6480" s="1">
        <v>4920</v>
      </c>
      <c r="AU6480" s="1">
        <v>19710</v>
      </c>
      <c r="AV6480">
        <v>80.02</v>
      </c>
      <c r="AX6480" s="1">
        <v>1991.56</v>
      </c>
      <c r="AY6480" t="s">
        <v>4520</v>
      </c>
      <c r="AZ6480" t="s">
        <v>4520</v>
      </c>
      <c r="BA6480" t="s">
        <v>4219</v>
      </c>
      <c r="BE6480" s="3">
        <v>41781</v>
      </c>
      <c r="BF6480" s="1">
        <v>269000</v>
      </c>
      <c r="BG6480" t="s">
        <v>39109</v>
      </c>
      <c r="BH6480" s="1">
        <v>104.75</v>
      </c>
      <c r="BI6480" s="1">
        <v>277877</v>
      </c>
      <c r="BJ6480" s="3">
        <v>41781</v>
      </c>
      <c r="BK6480" t="s">
        <v>123</v>
      </c>
      <c r="BL6480" t="str">
        <f>"2014.332908"</f>
        <v>2014.332908</v>
      </c>
      <c r="BM6480" t="s">
        <v>903</v>
      </c>
      <c r="BO6480" t="s">
        <v>39107</v>
      </c>
      <c r="BS6480">
        <v>30</v>
      </c>
      <c r="BW6480" t="str">
        <f>""</f>
        <v/>
      </c>
      <c r="CH6480" t="str">
        <f>""</f>
        <v/>
      </c>
      <c r="CS6480" t="str">
        <f>""</f>
        <v/>
      </c>
    </row>
    <row r="6481" spans="1:97" x14ac:dyDescent="0.25">
      <c r="A6481" t="s">
        <v>2374</v>
      </c>
      <c r="B6481" t="s">
        <v>1415</v>
      </c>
      <c r="E6481" t="s">
        <v>39110</v>
      </c>
      <c r="F6481" t="s">
        <v>108</v>
      </c>
      <c r="H6481" t="s">
        <v>39111</v>
      </c>
      <c r="I6481" t="s">
        <v>499</v>
      </c>
      <c r="J6481" t="s">
        <v>111</v>
      </c>
      <c r="K6481" t="str">
        <f>"85338"</f>
        <v>85338</v>
      </c>
      <c r="L6481" t="s">
        <v>4751</v>
      </c>
      <c r="M6481" t="s">
        <v>39111</v>
      </c>
      <c r="N6481" t="s">
        <v>499</v>
      </c>
      <c r="O6481" t="s">
        <v>111</v>
      </c>
      <c r="P6481" t="str">
        <f>"85338-7696"</f>
        <v>85338-7696</v>
      </c>
      <c r="Q6481" t="s">
        <v>113</v>
      </c>
      <c r="R6481" t="str">
        <f>"400-82-850"</f>
        <v>400-82-850</v>
      </c>
      <c r="S6481" t="s">
        <v>20418</v>
      </c>
      <c r="T6481" t="s">
        <v>17252</v>
      </c>
      <c r="U6481">
        <v>2622</v>
      </c>
      <c r="V6481">
        <v>0</v>
      </c>
      <c r="W6481">
        <v>4</v>
      </c>
      <c r="X6481">
        <v>2014</v>
      </c>
      <c r="Z6481">
        <v>1</v>
      </c>
      <c r="AA6481" t="s">
        <v>26</v>
      </c>
      <c r="AB6481">
        <v>0</v>
      </c>
      <c r="AC6481" t="s">
        <v>115</v>
      </c>
      <c r="AD6481">
        <v>3</v>
      </c>
      <c r="AE6481" t="s">
        <v>115</v>
      </c>
      <c r="AF6481">
        <v>0</v>
      </c>
      <c r="AG6481">
        <v>0</v>
      </c>
      <c r="AH6481" t="s">
        <v>116</v>
      </c>
      <c r="AI6481" s="1">
        <v>41824</v>
      </c>
      <c r="AJ6481" s="2">
        <v>0.1</v>
      </c>
      <c r="AK6481" s="1">
        <v>409352</v>
      </c>
      <c r="AL6481" t="s">
        <v>117</v>
      </c>
      <c r="AM6481" t="s">
        <v>118</v>
      </c>
      <c r="AN6481">
        <v>10708</v>
      </c>
      <c r="AO6481">
        <v>0.25</v>
      </c>
      <c r="AR6481">
        <v>1</v>
      </c>
      <c r="AS6481" s="1">
        <v>29660</v>
      </c>
      <c r="AT6481" s="1">
        <v>5930</v>
      </c>
      <c r="AU6481" s="1">
        <v>23730</v>
      </c>
      <c r="AV6481">
        <v>80.010000000000005</v>
      </c>
      <c r="AX6481" s="1">
        <v>3422.74</v>
      </c>
      <c r="AY6481" t="s">
        <v>1246</v>
      </c>
      <c r="AZ6481" t="s">
        <v>1246</v>
      </c>
      <c r="BA6481" t="s">
        <v>1247</v>
      </c>
      <c r="BB6481" s="3">
        <v>42583</v>
      </c>
      <c r="BD6481" t="s">
        <v>240</v>
      </c>
      <c r="BE6481" s="3">
        <v>41809</v>
      </c>
      <c r="BF6481" s="1">
        <v>338700</v>
      </c>
      <c r="BG6481" t="s">
        <v>33495</v>
      </c>
      <c r="BH6481" s="1">
        <v>129.18</v>
      </c>
      <c r="BI6481" s="1">
        <v>367528</v>
      </c>
      <c r="BJ6481" s="3">
        <v>43635</v>
      </c>
      <c r="BK6481" t="s">
        <v>123</v>
      </c>
      <c r="BL6481" t="str">
        <f>"2019.459571"</f>
        <v>2019.459571</v>
      </c>
      <c r="BM6481" t="s">
        <v>7638</v>
      </c>
      <c r="BN6481" t="s">
        <v>7639</v>
      </c>
      <c r="BO6481" t="s">
        <v>39110</v>
      </c>
      <c r="BR6481" t="s">
        <v>139</v>
      </c>
      <c r="BW6481" t="str">
        <f>""</f>
        <v/>
      </c>
      <c r="CH6481" t="str">
        <f>""</f>
        <v/>
      </c>
      <c r="CS6481" t="str">
        <f>""</f>
        <v/>
      </c>
    </row>
    <row r="6482" spans="1:97" x14ac:dyDescent="0.25">
      <c r="A6482" t="s">
        <v>1876</v>
      </c>
      <c r="B6482" t="s">
        <v>802</v>
      </c>
      <c r="C6482" t="s">
        <v>3067</v>
      </c>
      <c r="D6482" t="s">
        <v>802</v>
      </c>
      <c r="E6482" t="s">
        <v>39112</v>
      </c>
      <c r="F6482" t="s">
        <v>108</v>
      </c>
      <c r="H6482" t="s">
        <v>39113</v>
      </c>
      <c r="I6482" t="s">
        <v>453</v>
      </c>
      <c r="J6482" t="s">
        <v>111</v>
      </c>
      <c r="K6482" t="str">
        <f>"85383"</f>
        <v>85383</v>
      </c>
      <c r="L6482" t="s">
        <v>3225</v>
      </c>
      <c r="M6482" t="s">
        <v>39113</v>
      </c>
      <c r="N6482" t="s">
        <v>453</v>
      </c>
      <c r="O6482" t="s">
        <v>111</v>
      </c>
      <c r="P6482" t="str">
        <f>"85383-5833"</f>
        <v>85383-5833</v>
      </c>
      <c r="Q6482" t="s">
        <v>113</v>
      </c>
      <c r="R6482" t="str">
        <f>"503-66-724"</f>
        <v>503-66-724</v>
      </c>
      <c r="S6482" t="s">
        <v>7703</v>
      </c>
      <c r="T6482" t="s">
        <v>7704</v>
      </c>
      <c r="U6482">
        <v>2719</v>
      </c>
      <c r="V6482">
        <v>0</v>
      </c>
      <c r="W6482">
        <v>4</v>
      </c>
      <c r="X6482">
        <v>2015</v>
      </c>
      <c r="Z6482">
        <v>2</v>
      </c>
      <c r="AB6482">
        <v>0</v>
      </c>
      <c r="AC6482" t="s">
        <v>115</v>
      </c>
      <c r="AD6482">
        <v>2</v>
      </c>
      <c r="AE6482" t="s">
        <v>115</v>
      </c>
      <c r="AF6482">
        <v>0</v>
      </c>
      <c r="AG6482">
        <v>0</v>
      </c>
      <c r="AH6482" t="s">
        <v>116</v>
      </c>
      <c r="AI6482" s="1">
        <v>96061</v>
      </c>
      <c r="AJ6482" s="2">
        <v>0.27</v>
      </c>
      <c r="AK6482" s="1">
        <v>358767</v>
      </c>
      <c r="AL6482" t="s">
        <v>117</v>
      </c>
      <c r="AM6482" t="s">
        <v>191</v>
      </c>
      <c r="AN6482">
        <v>5500</v>
      </c>
      <c r="AO6482">
        <v>0.13</v>
      </c>
      <c r="AR6482">
        <v>1</v>
      </c>
      <c r="AS6482" s="1">
        <v>24710</v>
      </c>
      <c r="AT6482" s="1">
        <v>4940</v>
      </c>
      <c r="AU6482" s="1">
        <v>19770</v>
      </c>
      <c r="AV6482">
        <v>80.010000000000005</v>
      </c>
      <c r="AX6482" s="1">
        <v>2297.1</v>
      </c>
      <c r="AY6482" t="s">
        <v>456</v>
      </c>
      <c r="AZ6482" t="s">
        <v>456</v>
      </c>
      <c r="BA6482" t="s">
        <v>457</v>
      </c>
      <c r="BB6482" s="3">
        <v>42451</v>
      </c>
      <c r="BD6482" t="s">
        <v>842</v>
      </c>
      <c r="BE6482" s="3">
        <v>42440</v>
      </c>
      <c r="BF6482" s="1">
        <v>254314</v>
      </c>
      <c r="BG6482" t="s">
        <v>39114</v>
      </c>
      <c r="BH6482" s="1">
        <v>93.53</v>
      </c>
      <c r="BI6482" s="1">
        <v>262706</v>
      </c>
      <c r="BJ6482" s="3">
        <v>42440</v>
      </c>
      <c r="BK6482" t="s">
        <v>123</v>
      </c>
      <c r="BL6482" t="str">
        <f>"2016.157669"</f>
        <v>2016.157669</v>
      </c>
      <c r="BM6482" t="s">
        <v>1080</v>
      </c>
      <c r="BO6482" t="s">
        <v>39115</v>
      </c>
      <c r="BS6482">
        <v>30</v>
      </c>
      <c r="BW6482" t="str">
        <f>""</f>
        <v/>
      </c>
      <c r="CH6482" t="str">
        <f>""</f>
        <v/>
      </c>
      <c r="CS6482" t="str">
        <f>""</f>
        <v/>
      </c>
    </row>
    <row r="6483" spans="1:97" x14ac:dyDescent="0.25">
      <c r="A6483" t="s">
        <v>996</v>
      </c>
      <c r="B6483" t="s">
        <v>39116</v>
      </c>
      <c r="E6483" t="s">
        <v>39117</v>
      </c>
      <c r="F6483" t="s">
        <v>108</v>
      </c>
      <c r="H6483" t="s">
        <v>39118</v>
      </c>
      <c r="I6483" t="s">
        <v>390</v>
      </c>
      <c r="J6483" t="s">
        <v>111</v>
      </c>
      <c r="K6483" t="str">
        <f>"85051"</f>
        <v>85051</v>
      </c>
      <c r="L6483" t="s">
        <v>8543</v>
      </c>
      <c r="M6483" t="s">
        <v>39118</v>
      </c>
      <c r="N6483" t="s">
        <v>390</v>
      </c>
      <c r="O6483" t="s">
        <v>111</v>
      </c>
      <c r="P6483" t="str">
        <f>"85051-1011"</f>
        <v>85051-1011</v>
      </c>
      <c r="R6483" t="str">
        <f>"149-38-202"</f>
        <v>149-38-202</v>
      </c>
      <c r="S6483" t="s">
        <v>39119</v>
      </c>
      <c r="T6483" t="s">
        <v>22186</v>
      </c>
      <c r="U6483">
        <v>1759</v>
      </c>
      <c r="V6483">
        <v>0</v>
      </c>
      <c r="W6483">
        <v>2</v>
      </c>
      <c r="X6483">
        <v>1969</v>
      </c>
      <c r="Z6483">
        <v>1</v>
      </c>
      <c r="AA6483" t="s">
        <v>26</v>
      </c>
      <c r="AB6483">
        <v>0</v>
      </c>
      <c r="AC6483" t="s">
        <v>115</v>
      </c>
      <c r="AD6483">
        <v>2</v>
      </c>
      <c r="AE6483" t="s">
        <v>115</v>
      </c>
      <c r="AF6483">
        <v>0</v>
      </c>
      <c r="AG6483">
        <v>0</v>
      </c>
      <c r="AH6483" t="s">
        <v>116</v>
      </c>
      <c r="AI6483" s="1">
        <v>16357</v>
      </c>
      <c r="AJ6483" s="2">
        <v>0.06</v>
      </c>
      <c r="AK6483" s="1">
        <v>291357</v>
      </c>
      <c r="AL6483" t="s">
        <v>117</v>
      </c>
      <c r="AM6483" t="s">
        <v>191</v>
      </c>
      <c r="AN6483">
        <v>12352</v>
      </c>
      <c r="AO6483">
        <v>0.28000000000000003</v>
      </c>
      <c r="AP6483">
        <v>1</v>
      </c>
      <c r="AR6483">
        <v>1</v>
      </c>
      <c r="AS6483" s="1">
        <v>20810</v>
      </c>
      <c r="AT6483" s="1">
        <v>4160</v>
      </c>
      <c r="AU6483" s="1">
        <v>16650</v>
      </c>
      <c r="AV6483">
        <v>80.010000000000005</v>
      </c>
      <c r="AX6483" s="1">
        <v>1901.36</v>
      </c>
      <c r="AY6483" t="s">
        <v>22187</v>
      </c>
      <c r="AZ6483" t="s">
        <v>6986</v>
      </c>
      <c r="BA6483" t="s">
        <v>21687</v>
      </c>
      <c r="BE6483" s="3">
        <v>42138</v>
      </c>
      <c r="BF6483" s="1">
        <v>205000</v>
      </c>
      <c r="BG6483" t="s">
        <v>39120</v>
      </c>
      <c r="BH6483" s="1">
        <v>116.54</v>
      </c>
      <c r="BI6483" s="1">
        <v>275000</v>
      </c>
      <c r="BJ6483" s="3">
        <v>43347</v>
      </c>
      <c r="BK6483" t="s">
        <v>123</v>
      </c>
      <c r="BL6483" t="str">
        <f>"2018.665031"</f>
        <v>2018.665031</v>
      </c>
      <c r="BM6483" t="s">
        <v>533</v>
      </c>
      <c r="BN6483" t="s">
        <v>534</v>
      </c>
      <c r="BO6483" t="s">
        <v>39121</v>
      </c>
      <c r="BR6483" t="s">
        <v>139</v>
      </c>
      <c r="BW6483" t="str">
        <f>""</f>
        <v/>
      </c>
      <c r="CH6483" t="str">
        <f>""</f>
        <v/>
      </c>
      <c r="CS6483" t="str">
        <f>""</f>
        <v/>
      </c>
    </row>
    <row r="6484" spans="1:97" x14ac:dyDescent="0.25">
      <c r="A6484" t="s">
        <v>1187</v>
      </c>
      <c r="B6484" t="s">
        <v>18739</v>
      </c>
      <c r="C6484" t="s">
        <v>1888</v>
      </c>
      <c r="D6484" t="s">
        <v>18739</v>
      </c>
      <c r="E6484" t="s">
        <v>39122</v>
      </c>
      <c r="F6484" t="s">
        <v>139</v>
      </c>
      <c r="H6484" t="s">
        <v>39123</v>
      </c>
      <c r="I6484" t="s">
        <v>5636</v>
      </c>
      <c r="J6484" t="s">
        <v>111</v>
      </c>
      <c r="K6484" t="str">
        <f>"85268"</f>
        <v>85268</v>
      </c>
      <c r="L6484" t="s">
        <v>168</v>
      </c>
      <c r="M6484" t="s">
        <v>39124</v>
      </c>
      <c r="N6484" t="s">
        <v>5636</v>
      </c>
      <c r="O6484" t="s">
        <v>111</v>
      </c>
      <c r="P6484" t="str">
        <f>"85269-8223"</f>
        <v>85269-8223</v>
      </c>
      <c r="Q6484" t="s">
        <v>113</v>
      </c>
      <c r="R6484" t="str">
        <f>"176-04-267"</f>
        <v>176-04-267</v>
      </c>
      <c r="S6484" t="s">
        <v>10825</v>
      </c>
      <c r="U6484">
        <v>1788</v>
      </c>
      <c r="V6484">
        <v>0</v>
      </c>
      <c r="W6484">
        <v>3</v>
      </c>
      <c r="X6484">
        <v>1995</v>
      </c>
      <c r="Z6484">
        <v>1</v>
      </c>
      <c r="AA6484" t="s">
        <v>26</v>
      </c>
      <c r="AB6484">
        <v>0</v>
      </c>
      <c r="AC6484" t="s">
        <v>115</v>
      </c>
      <c r="AD6484">
        <v>2</v>
      </c>
      <c r="AE6484" t="s">
        <v>115</v>
      </c>
      <c r="AF6484">
        <v>0</v>
      </c>
      <c r="AG6484">
        <v>0</v>
      </c>
      <c r="AH6484" t="s">
        <v>116</v>
      </c>
      <c r="AI6484" s="1">
        <v>80598</v>
      </c>
      <c r="AJ6484" s="2">
        <v>0.2</v>
      </c>
      <c r="AK6484" s="1">
        <v>396168</v>
      </c>
      <c r="AL6484" t="s">
        <v>117</v>
      </c>
      <c r="AM6484" t="s">
        <v>171</v>
      </c>
      <c r="AN6484">
        <v>12837</v>
      </c>
      <c r="AO6484">
        <v>0.3</v>
      </c>
      <c r="AP6484">
        <v>1</v>
      </c>
      <c r="AR6484">
        <v>1</v>
      </c>
      <c r="AS6484" s="1">
        <v>28950</v>
      </c>
      <c r="AT6484" s="1">
        <v>5790</v>
      </c>
      <c r="AU6484" s="1">
        <v>23160</v>
      </c>
      <c r="AV6484">
        <v>80</v>
      </c>
      <c r="AX6484" s="1">
        <v>1792.14</v>
      </c>
      <c r="AY6484" t="s">
        <v>6485</v>
      </c>
      <c r="AZ6484" t="s">
        <v>5640</v>
      </c>
      <c r="BA6484" t="s">
        <v>5641</v>
      </c>
      <c r="BE6484" s="3">
        <v>42354</v>
      </c>
      <c r="BF6484" s="1">
        <v>310000</v>
      </c>
      <c r="BG6484" t="s">
        <v>39125</v>
      </c>
      <c r="BH6484" s="1">
        <v>173.38</v>
      </c>
      <c r="BI6484" s="1">
        <v>315570</v>
      </c>
      <c r="BJ6484" s="3">
        <v>42671</v>
      </c>
      <c r="BK6484" t="s">
        <v>123</v>
      </c>
      <c r="BL6484" t="str">
        <f>"2016.795513"</f>
        <v>2016.795513</v>
      </c>
      <c r="BM6484" t="s">
        <v>131</v>
      </c>
      <c r="BO6484" t="s">
        <v>39126</v>
      </c>
      <c r="BS6484">
        <v>30</v>
      </c>
      <c r="BW6484" t="str">
        <f>""</f>
        <v/>
      </c>
      <c r="CH6484" t="str">
        <f>""</f>
        <v/>
      </c>
      <c r="CS6484" t="str">
        <f>""</f>
        <v/>
      </c>
    </row>
    <row r="6485" spans="1:97" x14ac:dyDescent="0.25">
      <c r="A6485" t="s">
        <v>7232</v>
      </c>
      <c r="B6485" t="s">
        <v>39127</v>
      </c>
      <c r="C6485" t="s">
        <v>815</v>
      </c>
      <c r="D6485" t="s">
        <v>39127</v>
      </c>
      <c r="E6485" t="s">
        <v>39128</v>
      </c>
      <c r="F6485" t="s">
        <v>108</v>
      </c>
      <c r="H6485" t="s">
        <v>39129</v>
      </c>
      <c r="I6485" t="s">
        <v>203</v>
      </c>
      <c r="J6485" t="s">
        <v>111</v>
      </c>
      <c r="K6485" t="str">
        <f>"85234"</f>
        <v>85234</v>
      </c>
      <c r="L6485" t="s">
        <v>4751</v>
      </c>
      <c r="M6485" t="s">
        <v>39129</v>
      </c>
      <c r="N6485" t="s">
        <v>203</v>
      </c>
      <c r="O6485" t="s">
        <v>111</v>
      </c>
      <c r="P6485" t="str">
        <f>"85234-5047"</f>
        <v>85234-5047</v>
      </c>
      <c r="Q6485" t="s">
        <v>113</v>
      </c>
      <c r="R6485" t="str">
        <f>"304-09-113"</f>
        <v>304-09-113</v>
      </c>
      <c r="S6485" t="s">
        <v>39130</v>
      </c>
      <c r="T6485" t="s">
        <v>39131</v>
      </c>
      <c r="U6485">
        <v>3684</v>
      </c>
      <c r="V6485">
        <v>0</v>
      </c>
      <c r="W6485">
        <v>5</v>
      </c>
      <c r="X6485">
        <v>1980</v>
      </c>
      <c r="Z6485">
        <v>1</v>
      </c>
      <c r="AA6485" t="s">
        <v>26</v>
      </c>
      <c r="AB6485">
        <v>0</v>
      </c>
      <c r="AC6485" t="s">
        <v>115</v>
      </c>
      <c r="AD6485">
        <v>3</v>
      </c>
      <c r="AE6485" t="s">
        <v>115</v>
      </c>
      <c r="AF6485">
        <v>0</v>
      </c>
      <c r="AG6485">
        <v>0</v>
      </c>
      <c r="AH6485" t="s">
        <v>116</v>
      </c>
      <c r="AI6485" s="1">
        <v>111457</v>
      </c>
      <c r="AJ6485" s="2">
        <v>0.17</v>
      </c>
      <c r="AK6485" s="1">
        <v>654957</v>
      </c>
      <c r="AL6485" t="s">
        <v>117</v>
      </c>
      <c r="AM6485" t="s">
        <v>376</v>
      </c>
      <c r="AN6485">
        <v>43473</v>
      </c>
      <c r="AO6485">
        <v>1</v>
      </c>
      <c r="AP6485">
        <v>1</v>
      </c>
      <c r="AR6485">
        <v>1</v>
      </c>
      <c r="AS6485" s="1">
        <v>49250</v>
      </c>
      <c r="AT6485" s="1">
        <v>9850</v>
      </c>
      <c r="AU6485" s="1">
        <v>39400</v>
      </c>
      <c r="AV6485">
        <v>80</v>
      </c>
      <c r="AX6485" s="1">
        <v>3583.82</v>
      </c>
      <c r="AY6485" t="s">
        <v>6506</v>
      </c>
      <c r="AZ6485" t="s">
        <v>520</v>
      </c>
      <c r="BA6485" t="s">
        <v>5033</v>
      </c>
      <c r="BE6485" s="3">
        <v>42550</v>
      </c>
      <c r="BF6485" s="1">
        <v>575000</v>
      </c>
      <c r="BG6485" t="s">
        <v>39132</v>
      </c>
      <c r="BH6485" s="1">
        <v>156.08000000000001</v>
      </c>
      <c r="BI6485" s="1">
        <v>543500</v>
      </c>
      <c r="BJ6485" s="3">
        <v>42550</v>
      </c>
      <c r="BK6485" t="s">
        <v>123</v>
      </c>
      <c r="BL6485" t="str">
        <f>"2016.457000"</f>
        <v>2016.457000</v>
      </c>
      <c r="BM6485" t="s">
        <v>124</v>
      </c>
      <c r="BO6485" t="s">
        <v>39133</v>
      </c>
      <c r="BS6485">
        <v>30</v>
      </c>
      <c r="BW6485" t="str">
        <f>""</f>
        <v/>
      </c>
      <c r="CH6485" t="str">
        <f>""</f>
        <v/>
      </c>
      <c r="CS6485" t="str">
        <f>""</f>
        <v/>
      </c>
    </row>
    <row r="6486" spans="1:97" x14ac:dyDescent="0.25">
      <c r="A6486" t="s">
        <v>1526</v>
      </c>
      <c r="B6486" t="s">
        <v>23258</v>
      </c>
      <c r="C6486" t="s">
        <v>16322</v>
      </c>
      <c r="D6486" t="s">
        <v>39134</v>
      </c>
      <c r="E6486" t="s">
        <v>39135</v>
      </c>
      <c r="F6486" t="s">
        <v>108</v>
      </c>
      <c r="H6486" t="s">
        <v>39136</v>
      </c>
      <c r="I6486" t="s">
        <v>499</v>
      </c>
      <c r="J6486" t="s">
        <v>111</v>
      </c>
      <c r="K6486" t="str">
        <f>"85395"</f>
        <v>85395</v>
      </c>
      <c r="L6486" t="s">
        <v>7243</v>
      </c>
      <c r="M6486" t="s">
        <v>39136</v>
      </c>
      <c r="N6486" t="s">
        <v>499</v>
      </c>
      <c r="O6486" t="s">
        <v>111</v>
      </c>
      <c r="P6486" t="str">
        <f>"85395-6311"</f>
        <v>85395-6311</v>
      </c>
      <c r="R6486" t="str">
        <f>"508-13-016"</f>
        <v>508-13-016</v>
      </c>
      <c r="S6486" t="s">
        <v>7244</v>
      </c>
      <c r="T6486" t="s">
        <v>7245</v>
      </c>
      <c r="U6486">
        <v>2152</v>
      </c>
      <c r="V6486">
        <v>0</v>
      </c>
      <c r="W6486">
        <v>3</v>
      </c>
      <c r="X6486">
        <v>2006</v>
      </c>
      <c r="Z6486">
        <v>2</v>
      </c>
      <c r="AA6486" t="s">
        <v>26</v>
      </c>
      <c r="AB6486">
        <v>0</v>
      </c>
      <c r="AC6486" t="s">
        <v>115</v>
      </c>
      <c r="AD6486">
        <v>2</v>
      </c>
      <c r="AE6486" t="s">
        <v>115</v>
      </c>
      <c r="AF6486">
        <v>0</v>
      </c>
      <c r="AG6486">
        <v>0</v>
      </c>
      <c r="AH6486" t="s">
        <v>116</v>
      </c>
      <c r="AI6486" s="1">
        <v>89825</v>
      </c>
      <c r="AJ6486" s="2">
        <v>0.27</v>
      </c>
      <c r="AK6486" s="1">
        <v>330465</v>
      </c>
      <c r="AL6486" t="s">
        <v>117</v>
      </c>
      <c r="AM6486" t="s">
        <v>118</v>
      </c>
      <c r="AN6486">
        <v>13564</v>
      </c>
      <c r="AO6486">
        <v>0.31</v>
      </c>
      <c r="AR6486">
        <v>1</v>
      </c>
      <c r="AS6486" s="1">
        <v>23300</v>
      </c>
      <c r="AT6486" s="1">
        <v>4660</v>
      </c>
      <c r="AU6486" s="1">
        <v>18640</v>
      </c>
      <c r="AV6486">
        <v>80</v>
      </c>
      <c r="AX6486" s="1">
        <v>2598.12</v>
      </c>
      <c r="AY6486" t="s">
        <v>3020</v>
      </c>
      <c r="AZ6486" t="s">
        <v>3020</v>
      </c>
      <c r="BA6486" t="s">
        <v>3154</v>
      </c>
      <c r="BE6486" s="3">
        <v>42390</v>
      </c>
      <c r="BF6486" s="1">
        <v>235000</v>
      </c>
      <c r="BG6486" t="s">
        <v>39137</v>
      </c>
      <c r="BH6486" s="1">
        <v>109.2</v>
      </c>
      <c r="BI6486" s="1">
        <v>240640</v>
      </c>
      <c r="BJ6486" s="3">
        <v>42390</v>
      </c>
      <c r="BK6486" t="s">
        <v>123</v>
      </c>
      <c r="BL6486" t="str">
        <f>"2016.42579"</f>
        <v>2016.42579</v>
      </c>
      <c r="BM6486" t="s">
        <v>820</v>
      </c>
      <c r="BN6486" t="s">
        <v>2188</v>
      </c>
      <c r="BO6486" t="s">
        <v>39138</v>
      </c>
      <c r="BP6486" t="s">
        <v>39139</v>
      </c>
      <c r="BS6486">
        <v>30</v>
      </c>
      <c r="BW6486" t="str">
        <f>""</f>
        <v/>
      </c>
      <c r="CH6486" t="str">
        <f>""</f>
        <v/>
      </c>
      <c r="CS6486" t="str">
        <f>""</f>
        <v/>
      </c>
    </row>
    <row r="6487" spans="1:97" x14ac:dyDescent="0.25">
      <c r="A6487" t="s">
        <v>305</v>
      </c>
      <c r="B6487" t="s">
        <v>39140</v>
      </c>
      <c r="E6487" t="s">
        <v>39141</v>
      </c>
      <c r="F6487" t="s">
        <v>282</v>
      </c>
      <c r="H6487" t="s">
        <v>39142</v>
      </c>
      <c r="I6487" t="s">
        <v>110</v>
      </c>
      <c r="J6487" t="s">
        <v>111</v>
      </c>
      <c r="K6487" t="str">
        <f>"85226"</f>
        <v>85226</v>
      </c>
      <c r="L6487" t="s">
        <v>3318</v>
      </c>
      <c r="M6487" t="s">
        <v>39143</v>
      </c>
      <c r="N6487" t="s">
        <v>5387</v>
      </c>
      <c r="O6487" t="s">
        <v>111</v>
      </c>
      <c r="P6487" t="str">
        <f>"85282-4819"</f>
        <v>85282-4819</v>
      </c>
      <c r="Q6487" t="s">
        <v>113</v>
      </c>
      <c r="R6487" t="str">
        <f>"301-89-034"</f>
        <v>301-89-034</v>
      </c>
      <c r="S6487" t="s">
        <v>16845</v>
      </c>
      <c r="T6487" t="s">
        <v>16845</v>
      </c>
      <c r="U6487">
        <v>1990</v>
      </c>
      <c r="V6487">
        <v>0</v>
      </c>
      <c r="W6487">
        <v>3</v>
      </c>
      <c r="X6487">
        <v>1987</v>
      </c>
      <c r="Z6487">
        <v>1</v>
      </c>
      <c r="AB6487">
        <v>0</v>
      </c>
      <c r="AC6487" t="s">
        <v>115</v>
      </c>
      <c r="AD6487">
        <v>4</v>
      </c>
      <c r="AE6487" t="s">
        <v>115</v>
      </c>
      <c r="AF6487">
        <v>0</v>
      </c>
      <c r="AG6487">
        <v>0</v>
      </c>
      <c r="AH6487" t="s">
        <v>116</v>
      </c>
      <c r="AI6487" s="1">
        <v>41806</v>
      </c>
      <c r="AJ6487" s="2">
        <v>0.1</v>
      </c>
      <c r="AK6487" s="1">
        <v>424016</v>
      </c>
      <c r="AL6487" t="s">
        <v>117</v>
      </c>
      <c r="AM6487" t="s">
        <v>5077</v>
      </c>
      <c r="AN6487">
        <v>13996</v>
      </c>
      <c r="AO6487">
        <v>0.32</v>
      </c>
      <c r="AP6487">
        <v>1</v>
      </c>
      <c r="AR6487">
        <v>1</v>
      </c>
      <c r="AS6487" s="1">
        <v>31610</v>
      </c>
      <c r="AT6487" s="1">
        <v>6320</v>
      </c>
      <c r="AU6487" s="1">
        <v>25290</v>
      </c>
      <c r="AV6487">
        <v>80.010000000000005</v>
      </c>
      <c r="AX6487" s="1">
        <v>2839.14</v>
      </c>
      <c r="AY6487" t="s">
        <v>5200</v>
      </c>
      <c r="AZ6487" t="s">
        <v>5201</v>
      </c>
      <c r="BA6487" t="s">
        <v>5202</v>
      </c>
      <c r="BE6487" s="3">
        <v>41936</v>
      </c>
      <c r="BF6487" s="1">
        <v>370000</v>
      </c>
      <c r="BG6487" t="s">
        <v>39144</v>
      </c>
      <c r="BH6487" s="1">
        <v>185.93</v>
      </c>
      <c r="BI6487" s="1">
        <v>382210</v>
      </c>
      <c r="BJ6487" s="3">
        <v>41936</v>
      </c>
      <c r="BK6487" t="s">
        <v>123</v>
      </c>
      <c r="BL6487" t="str">
        <f>"2014.706793"</f>
        <v>2014.706793</v>
      </c>
      <c r="BM6487" t="s">
        <v>2489</v>
      </c>
      <c r="BO6487" t="s">
        <v>39145</v>
      </c>
      <c r="BS6487">
        <v>30</v>
      </c>
      <c r="BW6487" t="str">
        <f>""</f>
        <v/>
      </c>
      <c r="CH6487" t="str">
        <f>""</f>
        <v/>
      </c>
      <c r="CS6487" t="str">
        <f>""</f>
        <v/>
      </c>
    </row>
    <row r="6488" spans="1:97" x14ac:dyDescent="0.25">
      <c r="A6488" t="s">
        <v>3613</v>
      </c>
      <c r="B6488" t="s">
        <v>39146</v>
      </c>
      <c r="C6488" t="s">
        <v>10325</v>
      </c>
      <c r="D6488" t="s">
        <v>39147</v>
      </c>
      <c r="E6488" t="s">
        <v>39148</v>
      </c>
      <c r="F6488" t="s">
        <v>108</v>
      </c>
      <c r="H6488" t="s">
        <v>39149</v>
      </c>
      <c r="I6488" t="s">
        <v>110</v>
      </c>
      <c r="J6488" t="s">
        <v>111</v>
      </c>
      <c r="K6488" t="str">
        <f>"85225"</f>
        <v>85225</v>
      </c>
      <c r="L6488" t="s">
        <v>1244</v>
      </c>
      <c r="M6488" t="s">
        <v>39149</v>
      </c>
      <c r="N6488" t="s">
        <v>110</v>
      </c>
      <c r="O6488" t="s">
        <v>111</v>
      </c>
      <c r="P6488" t="str">
        <f>"85225-2803"</f>
        <v>85225-2803</v>
      </c>
      <c r="Q6488" t="s">
        <v>113</v>
      </c>
      <c r="R6488" t="str">
        <f>"303-71-537"</f>
        <v>303-71-537</v>
      </c>
      <c r="S6488" t="s">
        <v>3184</v>
      </c>
      <c r="T6488" t="s">
        <v>3184</v>
      </c>
      <c r="U6488">
        <v>1713</v>
      </c>
      <c r="V6488">
        <v>0</v>
      </c>
      <c r="W6488">
        <v>3</v>
      </c>
      <c r="X6488">
        <v>1999</v>
      </c>
      <c r="Z6488">
        <v>1</v>
      </c>
      <c r="AA6488" t="s">
        <v>26</v>
      </c>
      <c r="AB6488">
        <v>0</v>
      </c>
      <c r="AC6488" t="s">
        <v>115</v>
      </c>
      <c r="AD6488">
        <v>2</v>
      </c>
      <c r="AE6488" t="s">
        <v>115</v>
      </c>
      <c r="AF6488">
        <v>0</v>
      </c>
      <c r="AG6488">
        <v>0</v>
      </c>
      <c r="AH6488" t="s">
        <v>116</v>
      </c>
      <c r="AI6488" s="1">
        <v>3548</v>
      </c>
      <c r="AJ6488" s="2">
        <v>0.01</v>
      </c>
      <c r="AK6488" s="1">
        <v>338248</v>
      </c>
      <c r="AL6488" t="s">
        <v>117</v>
      </c>
      <c r="AM6488" t="s">
        <v>5077</v>
      </c>
      <c r="AN6488">
        <v>8500</v>
      </c>
      <c r="AO6488">
        <v>0.2</v>
      </c>
      <c r="AP6488">
        <v>1</v>
      </c>
      <c r="AR6488">
        <v>1</v>
      </c>
      <c r="AS6488" s="1">
        <v>24560</v>
      </c>
      <c r="AT6488" s="1">
        <v>4910</v>
      </c>
      <c r="AU6488" s="1">
        <v>19650</v>
      </c>
      <c r="AV6488">
        <v>80.010000000000005</v>
      </c>
      <c r="AX6488" s="1">
        <v>1899.58</v>
      </c>
      <c r="AY6488" t="s">
        <v>3185</v>
      </c>
      <c r="AZ6488" t="s">
        <v>2906</v>
      </c>
      <c r="BA6488" t="s">
        <v>303</v>
      </c>
      <c r="BE6488" s="3">
        <v>42377</v>
      </c>
      <c r="BF6488" s="1">
        <v>258000</v>
      </c>
      <c r="BG6488" t="s">
        <v>39150</v>
      </c>
      <c r="BH6488" s="1">
        <v>150.61000000000001</v>
      </c>
      <c r="BI6488" s="1">
        <v>334700</v>
      </c>
      <c r="BJ6488" s="3">
        <v>43633</v>
      </c>
      <c r="BK6488" t="s">
        <v>123</v>
      </c>
      <c r="BL6488" t="str">
        <f>"2019.451367"</f>
        <v>2019.451367</v>
      </c>
      <c r="BM6488" t="s">
        <v>673</v>
      </c>
      <c r="BN6488" t="s">
        <v>674</v>
      </c>
      <c r="BO6488" t="s">
        <v>39151</v>
      </c>
      <c r="BP6488" t="s">
        <v>39152</v>
      </c>
      <c r="BR6488" t="s">
        <v>139</v>
      </c>
      <c r="BT6488" s="1">
        <v>334700</v>
      </c>
      <c r="BU6488" s="3">
        <v>43633</v>
      </c>
      <c r="BV6488" t="s">
        <v>123</v>
      </c>
      <c r="BW6488" t="str">
        <f>"2019.451367"</f>
        <v>2019.451367</v>
      </c>
      <c r="BX6488" t="s">
        <v>673</v>
      </c>
      <c r="BY6488" t="s">
        <v>674</v>
      </c>
      <c r="BZ6488" t="s">
        <v>39151</v>
      </c>
      <c r="CA6488" t="s">
        <v>39152</v>
      </c>
      <c r="CC6488" t="s">
        <v>139</v>
      </c>
      <c r="CH6488" t="str">
        <f>""</f>
        <v/>
      </c>
      <c r="CS6488" t="str">
        <f>""</f>
        <v/>
      </c>
    </row>
    <row r="6489" spans="1:97" x14ac:dyDescent="0.25">
      <c r="A6489" t="s">
        <v>1995</v>
      </c>
      <c r="B6489" t="s">
        <v>39153</v>
      </c>
      <c r="C6489" t="s">
        <v>370</v>
      </c>
      <c r="D6489" t="s">
        <v>328</v>
      </c>
      <c r="E6489" t="s">
        <v>39154</v>
      </c>
      <c r="F6489" t="s">
        <v>282</v>
      </c>
      <c r="H6489" t="s">
        <v>39155</v>
      </c>
      <c r="I6489" t="s">
        <v>390</v>
      </c>
      <c r="J6489" t="s">
        <v>111</v>
      </c>
      <c r="K6489" t="str">
        <f>"85022"</f>
        <v>85022</v>
      </c>
      <c r="L6489" t="s">
        <v>7626</v>
      </c>
      <c r="M6489" t="s">
        <v>39156</v>
      </c>
      <c r="N6489" t="s">
        <v>390</v>
      </c>
      <c r="O6489" t="s">
        <v>111</v>
      </c>
      <c r="P6489" t="str">
        <f>"85022-4203"</f>
        <v>85022-4203</v>
      </c>
      <c r="Q6489" t="s">
        <v>113</v>
      </c>
      <c r="R6489" t="str">
        <f>"208-27-568"</f>
        <v>208-27-568</v>
      </c>
      <c r="S6489" t="s">
        <v>12788</v>
      </c>
      <c r="U6489">
        <v>2232</v>
      </c>
      <c r="V6489">
        <v>0</v>
      </c>
      <c r="W6489">
        <v>2</v>
      </c>
      <c r="X6489">
        <v>1968</v>
      </c>
      <c r="Z6489">
        <v>1</v>
      </c>
      <c r="AA6489" t="s">
        <v>26</v>
      </c>
      <c r="AB6489">
        <v>0</v>
      </c>
      <c r="AC6489" t="s">
        <v>115</v>
      </c>
      <c r="AD6489">
        <v>2</v>
      </c>
      <c r="AE6489" t="s">
        <v>115</v>
      </c>
      <c r="AF6489">
        <v>0</v>
      </c>
      <c r="AG6489">
        <v>0</v>
      </c>
      <c r="AH6489" t="s">
        <v>116</v>
      </c>
      <c r="AI6489" s="1">
        <v>-12810</v>
      </c>
      <c r="AJ6489" s="2">
        <v>-0.03</v>
      </c>
      <c r="AK6489" s="1">
        <v>408688</v>
      </c>
      <c r="AL6489" t="s">
        <v>117</v>
      </c>
      <c r="AM6489" t="s">
        <v>1302</v>
      </c>
      <c r="AN6489">
        <v>11954</v>
      </c>
      <c r="AO6489">
        <v>0.27</v>
      </c>
      <c r="AP6489">
        <v>1</v>
      </c>
      <c r="AR6489">
        <v>1</v>
      </c>
      <c r="AS6489" s="1">
        <v>28120</v>
      </c>
      <c r="AT6489" s="1">
        <v>5620</v>
      </c>
      <c r="AU6489" s="1">
        <v>22500</v>
      </c>
      <c r="AV6489">
        <v>80.010000000000005</v>
      </c>
      <c r="AX6489" s="1">
        <v>3170.24</v>
      </c>
      <c r="AY6489" t="s">
        <v>9170</v>
      </c>
      <c r="AZ6489" t="s">
        <v>8648</v>
      </c>
      <c r="BA6489" t="s">
        <v>8649</v>
      </c>
      <c r="BE6489" s="3">
        <v>42076</v>
      </c>
      <c r="BF6489" s="1">
        <v>385000</v>
      </c>
      <c r="BG6489" t="s">
        <v>39157</v>
      </c>
      <c r="BH6489" s="1">
        <v>172.49</v>
      </c>
      <c r="BI6489" s="1">
        <v>381498</v>
      </c>
      <c r="BJ6489" s="3">
        <v>42632</v>
      </c>
      <c r="BK6489" t="s">
        <v>123</v>
      </c>
      <c r="BL6489" t="str">
        <f>"2016.679835"</f>
        <v>2016.679835</v>
      </c>
      <c r="BM6489" t="s">
        <v>255</v>
      </c>
      <c r="BN6489" t="s">
        <v>2398</v>
      </c>
      <c r="BO6489" t="s">
        <v>39158</v>
      </c>
      <c r="BS6489">
        <v>30</v>
      </c>
      <c r="BT6489" s="1">
        <v>40000</v>
      </c>
      <c r="BU6489" s="3">
        <v>43315</v>
      </c>
      <c r="BV6489" t="s">
        <v>134</v>
      </c>
      <c r="BW6489" t="str">
        <f>"2018.589923"</f>
        <v>2018.589923</v>
      </c>
      <c r="BX6489" t="s">
        <v>135</v>
      </c>
      <c r="BY6489" t="s">
        <v>136</v>
      </c>
      <c r="BZ6489" t="s">
        <v>39159</v>
      </c>
      <c r="CA6489" t="s">
        <v>39160</v>
      </c>
      <c r="CC6489" t="s">
        <v>139</v>
      </c>
      <c r="CH6489" t="str">
        <f>""</f>
        <v/>
      </c>
      <c r="CS6489" t="str">
        <f>""</f>
        <v/>
      </c>
    </row>
    <row r="6490" spans="1:97" x14ac:dyDescent="0.25">
      <c r="A6490" t="s">
        <v>815</v>
      </c>
      <c r="B6490" t="s">
        <v>10031</v>
      </c>
      <c r="C6490" t="s">
        <v>1692</v>
      </c>
      <c r="D6490" t="s">
        <v>10031</v>
      </c>
      <c r="E6490" t="s">
        <v>39161</v>
      </c>
      <c r="F6490" t="s">
        <v>139</v>
      </c>
      <c r="H6490" t="s">
        <v>39162</v>
      </c>
      <c r="I6490" t="s">
        <v>1936</v>
      </c>
      <c r="J6490" t="s">
        <v>111</v>
      </c>
      <c r="K6490" t="str">
        <f>"85254"</f>
        <v>85254</v>
      </c>
      <c r="L6490" t="s">
        <v>2903</v>
      </c>
      <c r="M6490" t="s">
        <v>39163</v>
      </c>
      <c r="N6490" t="s">
        <v>1936</v>
      </c>
      <c r="O6490" t="s">
        <v>111</v>
      </c>
      <c r="P6490" t="str">
        <f>"85267-3961"</f>
        <v>85267-3961</v>
      </c>
      <c r="Q6490" t="s">
        <v>113</v>
      </c>
      <c r="R6490" t="str">
        <f>"167-07-017"</f>
        <v>167-07-017</v>
      </c>
      <c r="S6490" t="s">
        <v>39164</v>
      </c>
      <c r="T6490" t="s">
        <v>39165</v>
      </c>
      <c r="U6490">
        <v>2359</v>
      </c>
      <c r="V6490">
        <v>0</v>
      </c>
      <c r="W6490">
        <v>3</v>
      </c>
      <c r="X6490">
        <v>1978</v>
      </c>
      <c r="Z6490">
        <v>1</v>
      </c>
      <c r="AA6490" t="s">
        <v>26</v>
      </c>
      <c r="AB6490">
        <v>0</v>
      </c>
      <c r="AC6490" t="s">
        <v>115</v>
      </c>
      <c r="AD6490">
        <v>2</v>
      </c>
      <c r="AE6490" t="s">
        <v>115</v>
      </c>
      <c r="AF6490">
        <v>0</v>
      </c>
      <c r="AG6490">
        <v>0</v>
      </c>
      <c r="AH6490" t="s">
        <v>116</v>
      </c>
      <c r="AI6490" s="1">
        <v>65305</v>
      </c>
      <c r="AJ6490" s="2">
        <v>0.12</v>
      </c>
      <c r="AK6490" s="1">
        <v>526595</v>
      </c>
      <c r="AL6490" t="s">
        <v>117</v>
      </c>
      <c r="AM6490" t="s">
        <v>6114</v>
      </c>
      <c r="AN6490">
        <v>15064</v>
      </c>
      <c r="AO6490">
        <v>0.35</v>
      </c>
      <c r="AP6490">
        <v>1</v>
      </c>
      <c r="AR6490">
        <v>1</v>
      </c>
      <c r="AS6490" s="1">
        <v>38600</v>
      </c>
      <c r="AT6490" s="1">
        <v>7720</v>
      </c>
      <c r="AU6490" s="1">
        <v>30880</v>
      </c>
      <c r="AV6490">
        <v>80</v>
      </c>
      <c r="AX6490" s="1">
        <v>3462.58</v>
      </c>
      <c r="AY6490" t="s">
        <v>9010</v>
      </c>
      <c r="AZ6490" t="s">
        <v>7739</v>
      </c>
      <c r="BA6490" t="s">
        <v>6302</v>
      </c>
      <c r="BE6490" s="3">
        <v>41848</v>
      </c>
      <c r="BF6490" s="1">
        <v>340000</v>
      </c>
      <c r="BG6490" t="s">
        <v>39166</v>
      </c>
      <c r="BH6490" s="1">
        <v>144.13</v>
      </c>
      <c r="BI6490" s="1">
        <v>350179</v>
      </c>
      <c r="BJ6490" s="3">
        <v>42605</v>
      </c>
      <c r="BK6490" t="s">
        <v>123</v>
      </c>
      <c r="BL6490" t="str">
        <f>"2016.604730"</f>
        <v>2016.604730</v>
      </c>
      <c r="BM6490" t="s">
        <v>402</v>
      </c>
      <c r="BN6490" t="s">
        <v>461</v>
      </c>
      <c r="BO6490" t="s">
        <v>39167</v>
      </c>
      <c r="BS6490">
        <v>30</v>
      </c>
      <c r="BT6490" s="1">
        <v>111111</v>
      </c>
      <c r="BU6490" s="3">
        <v>43291</v>
      </c>
      <c r="BW6490" t="str">
        <f>"2018.522571"</f>
        <v>2018.522571</v>
      </c>
      <c r="BX6490" t="s">
        <v>383</v>
      </c>
      <c r="BY6490" t="s">
        <v>384</v>
      </c>
      <c r="BZ6490" t="s">
        <v>39168</v>
      </c>
      <c r="CA6490" t="s">
        <v>39169</v>
      </c>
      <c r="CC6490" t="s">
        <v>346</v>
      </c>
      <c r="CH6490" t="str">
        <f>""</f>
        <v/>
      </c>
      <c r="CS6490" t="str">
        <f>""</f>
        <v/>
      </c>
    </row>
    <row r="6491" spans="1:97" x14ac:dyDescent="0.25">
      <c r="A6491" t="s">
        <v>1160</v>
      </c>
      <c r="B6491" t="s">
        <v>39170</v>
      </c>
      <c r="C6491" t="s">
        <v>1900</v>
      </c>
      <c r="D6491" t="s">
        <v>39170</v>
      </c>
      <c r="E6491" t="s">
        <v>39171</v>
      </c>
      <c r="F6491" t="s">
        <v>108</v>
      </c>
      <c r="H6491" t="s">
        <v>39172</v>
      </c>
      <c r="I6491" t="s">
        <v>499</v>
      </c>
      <c r="J6491" t="s">
        <v>111</v>
      </c>
      <c r="K6491" t="str">
        <f>"85395"</f>
        <v>85395</v>
      </c>
      <c r="L6491" t="s">
        <v>5524</v>
      </c>
      <c r="M6491" t="s">
        <v>39172</v>
      </c>
      <c r="N6491" t="s">
        <v>499</v>
      </c>
      <c r="O6491" t="s">
        <v>111</v>
      </c>
      <c r="P6491" t="str">
        <f>"85395-8548"</f>
        <v>85395-8548</v>
      </c>
      <c r="Q6491" t="s">
        <v>113</v>
      </c>
      <c r="R6491" t="str">
        <f>"501-69-203"</f>
        <v>501-69-203</v>
      </c>
      <c r="S6491" t="s">
        <v>12276</v>
      </c>
      <c r="U6491">
        <v>3161</v>
      </c>
      <c r="V6491">
        <v>0</v>
      </c>
      <c r="W6491">
        <v>4</v>
      </c>
      <c r="X6491">
        <v>1995</v>
      </c>
      <c r="Z6491">
        <v>2</v>
      </c>
      <c r="AB6491">
        <v>0</v>
      </c>
      <c r="AC6491" t="s">
        <v>115</v>
      </c>
      <c r="AD6491">
        <v>3</v>
      </c>
      <c r="AE6491" t="s">
        <v>115</v>
      </c>
      <c r="AF6491">
        <v>0</v>
      </c>
      <c r="AG6491">
        <v>0</v>
      </c>
      <c r="AH6491" t="s">
        <v>116</v>
      </c>
      <c r="AI6491" s="1">
        <v>115364</v>
      </c>
      <c r="AJ6491" s="2">
        <v>0.27</v>
      </c>
      <c r="AK6491" s="1">
        <v>423214</v>
      </c>
      <c r="AL6491" t="s">
        <v>117</v>
      </c>
      <c r="AM6491" t="s">
        <v>118</v>
      </c>
      <c r="AN6491">
        <v>9600</v>
      </c>
      <c r="AO6491">
        <v>0.22</v>
      </c>
      <c r="AP6491">
        <v>1</v>
      </c>
      <c r="AR6491">
        <v>1</v>
      </c>
      <c r="AS6491" s="1">
        <v>32050</v>
      </c>
      <c r="AT6491" s="1">
        <v>6410</v>
      </c>
      <c r="AU6491" s="1">
        <v>25640</v>
      </c>
      <c r="AV6491">
        <v>80</v>
      </c>
      <c r="AX6491" s="1">
        <v>3777.36</v>
      </c>
      <c r="AY6491" t="s">
        <v>3020</v>
      </c>
      <c r="AZ6491" t="s">
        <v>3020</v>
      </c>
      <c r="BA6491" t="s">
        <v>3154</v>
      </c>
      <c r="BE6491" s="3">
        <v>42065</v>
      </c>
      <c r="BF6491" s="1">
        <v>335000</v>
      </c>
      <c r="BG6491" t="s">
        <v>39173</v>
      </c>
      <c r="BH6491" s="1">
        <v>105.98</v>
      </c>
      <c r="BI6491" s="1">
        <v>271350</v>
      </c>
      <c r="BJ6491" s="3">
        <v>42065</v>
      </c>
      <c r="BK6491" t="s">
        <v>123</v>
      </c>
      <c r="BL6491" t="str">
        <f>"2015.137425"</f>
        <v>2015.137425</v>
      </c>
      <c r="BM6491" t="s">
        <v>1544</v>
      </c>
      <c r="BO6491" t="s">
        <v>39174</v>
      </c>
      <c r="BS6491">
        <v>30</v>
      </c>
      <c r="BT6491" s="1">
        <v>36500</v>
      </c>
      <c r="BU6491" s="3">
        <v>42969</v>
      </c>
      <c r="BW6491" t="str">
        <f>"2017.618119"</f>
        <v>2017.618119</v>
      </c>
      <c r="BX6491" t="s">
        <v>13159</v>
      </c>
      <c r="BZ6491" t="s">
        <v>39174</v>
      </c>
      <c r="CC6491" t="s">
        <v>1633</v>
      </c>
      <c r="CD6491">
        <v>30</v>
      </c>
      <c r="CH6491" t="str">
        <f>""</f>
        <v/>
      </c>
      <c r="CS6491" t="str">
        <f>""</f>
        <v/>
      </c>
    </row>
    <row r="6492" spans="1:97" x14ac:dyDescent="0.25">
      <c r="A6492" t="s">
        <v>938</v>
      </c>
      <c r="B6492" t="s">
        <v>15145</v>
      </c>
      <c r="E6492" t="s">
        <v>39175</v>
      </c>
      <c r="F6492" t="s">
        <v>108</v>
      </c>
      <c r="H6492" t="s">
        <v>39176</v>
      </c>
      <c r="I6492" t="s">
        <v>1788</v>
      </c>
      <c r="J6492" t="s">
        <v>111</v>
      </c>
      <c r="K6492" t="str">
        <f>"85355"</f>
        <v>85355</v>
      </c>
      <c r="L6492" t="s">
        <v>3758</v>
      </c>
      <c r="M6492" t="s">
        <v>39176</v>
      </c>
      <c r="N6492" t="s">
        <v>1788</v>
      </c>
      <c r="O6492" t="s">
        <v>111</v>
      </c>
      <c r="P6492" t="str">
        <f>"85355-7836"</f>
        <v>85355-7836</v>
      </c>
      <c r="Q6492" t="s">
        <v>113</v>
      </c>
      <c r="R6492" t="str">
        <f>"502-10-230"</f>
        <v>502-10-230</v>
      </c>
      <c r="S6492" t="s">
        <v>7537</v>
      </c>
      <c r="T6492" t="s">
        <v>5971</v>
      </c>
      <c r="U6492">
        <v>2144</v>
      </c>
      <c r="V6492">
        <v>0</v>
      </c>
      <c r="W6492">
        <v>3</v>
      </c>
      <c r="X6492">
        <v>2008</v>
      </c>
      <c r="Z6492">
        <v>1</v>
      </c>
      <c r="AA6492" t="s">
        <v>26</v>
      </c>
      <c r="AB6492">
        <v>0</v>
      </c>
      <c r="AC6492" t="s">
        <v>115</v>
      </c>
      <c r="AD6492">
        <v>3</v>
      </c>
      <c r="AE6492" t="s">
        <v>115</v>
      </c>
      <c r="AF6492">
        <v>0</v>
      </c>
      <c r="AG6492">
        <v>0</v>
      </c>
      <c r="AH6492" t="s">
        <v>116</v>
      </c>
      <c r="AI6492" s="1">
        <v>66551</v>
      </c>
      <c r="AJ6492" s="2">
        <v>0.19</v>
      </c>
      <c r="AK6492" s="1">
        <v>343144</v>
      </c>
      <c r="AL6492" t="s">
        <v>117</v>
      </c>
      <c r="AM6492" t="s">
        <v>393</v>
      </c>
      <c r="AN6492">
        <v>10099</v>
      </c>
      <c r="AO6492">
        <v>0.23</v>
      </c>
      <c r="AR6492">
        <v>1</v>
      </c>
      <c r="AS6492" s="1">
        <v>25470</v>
      </c>
      <c r="AT6492" s="1">
        <v>5090</v>
      </c>
      <c r="AU6492" s="1">
        <v>20380</v>
      </c>
      <c r="AV6492">
        <v>80.02</v>
      </c>
      <c r="AX6492" s="1">
        <v>1959.02</v>
      </c>
      <c r="AY6492" t="s">
        <v>5972</v>
      </c>
      <c r="AZ6492" t="s">
        <v>5972</v>
      </c>
      <c r="BA6492" t="s">
        <v>5061</v>
      </c>
      <c r="BE6492" s="3">
        <v>42451</v>
      </c>
      <c r="BF6492" s="1">
        <v>270000</v>
      </c>
      <c r="BG6492" t="s">
        <v>39177</v>
      </c>
      <c r="BH6492" s="1">
        <v>125.93</v>
      </c>
      <c r="BI6492" s="1">
        <v>276593</v>
      </c>
      <c r="BJ6492" s="3">
        <v>42451</v>
      </c>
      <c r="BK6492" t="s">
        <v>123</v>
      </c>
      <c r="BL6492" t="str">
        <f>"2016.183561"</f>
        <v>2016.183561</v>
      </c>
      <c r="BM6492" t="s">
        <v>309</v>
      </c>
      <c r="BO6492" t="s">
        <v>39178</v>
      </c>
      <c r="BS6492">
        <v>30</v>
      </c>
      <c r="BW6492" t="str">
        <f>""</f>
        <v/>
      </c>
      <c r="CH6492" t="str">
        <f>""</f>
        <v/>
      </c>
      <c r="CS6492" t="str">
        <f>""</f>
        <v/>
      </c>
    </row>
    <row r="6493" spans="1:97" x14ac:dyDescent="0.25">
      <c r="A6493" t="s">
        <v>5941</v>
      </c>
      <c r="B6493" t="s">
        <v>39179</v>
      </c>
      <c r="E6493" t="s">
        <v>39180</v>
      </c>
      <c r="F6493" t="s">
        <v>108</v>
      </c>
      <c r="H6493" t="s">
        <v>39181</v>
      </c>
      <c r="I6493" t="s">
        <v>1397</v>
      </c>
      <c r="J6493" t="s">
        <v>111</v>
      </c>
      <c r="K6493" t="str">
        <f>"85331"</f>
        <v>85331</v>
      </c>
      <c r="L6493" t="s">
        <v>39182</v>
      </c>
      <c r="M6493" t="s">
        <v>39181</v>
      </c>
      <c r="N6493" t="s">
        <v>1397</v>
      </c>
      <c r="O6493" t="s">
        <v>111</v>
      </c>
      <c r="P6493" t="str">
        <f>"85331-3629"</f>
        <v>85331-3629</v>
      </c>
      <c r="Q6493" t="s">
        <v>113</v>
      </c>
      <c r="R6493" t="str">
        <f>"212-12-008-P"</f>
        <v>212-12-008-P</v>
      </c>
      <c r="U6493">
        <v>2603</v>
      </c>
      <c r="V6493">
        <v>0</v>
      </c>
      <c r="W6493">
        <v>4</v>
      </c>
      <c r="X6493">
        <v>2001</v>
      </c>
      <c r="Z6493">
        <v>1</v>
      </c>
      <c r="AB6493">
        <v>0</v>
      </c>
      <c r="AC6493" t="s">
        <v>115</v>
      </c>
      <c r="AD6493">
        <v>3</v>
      </c>
      <c r="AE6493" t="s">
        <v>115</v>
      </c>
      <c r="AF6493">
        <v>0</v>
      </c>
      <c r="AG6493">
        <v>0</v>
      </c>
      <c r="AH6493" t="s">
        <v>116</v>
      </c>
      <c r="AI6493" s="1">
        <v>197790</v>
      </c>
      <c r="AJ6493" s="2">
        <v>0.33</v>
      </c>
      <c r="AK6493" s="1">
        <v>599239</v>
      </c>
      <c r="AL6493" t="s">
        <v>117</v>
      </c>
      <c r="AM6493" t="s">
        <v>376</v>
      </c>
      <c r="AN6493">
        <v>51310</v>
      </c>
      <c r="AO6493">
        <v>1.18</v>
      </c>
      <c r="AP6493">
        <v>1</v>
      </c>
      <c r="AR6493">
        <v>1</v>
      </c>
      <c r="AS6493" s="1">
        <v>46520</v>
      </c>
      <c r="AT6493" s="1">
        <v>9300</v>
      </c>
      <c r="AU6493" s="1">
        <v>37220</v>
      </c>
      <c r="AV6493">
        <v>80.010000000000005</v>
      </c>
      <c r="AX6493" s="1">
        <v>2138.38</v>
      </c>
      <c r="AY6493" t="s">
        <v>6361</v>
      </c>
      <c r="AZ6493" t="s">
        <v>1402</v>
      </c>
      <c r="BA6493" t="s">
        <v>1403</v>
      </c>
      <c r="BE6493" s="3">
        <v>41852</v>
      </c>
      <c r="BF6493" s="1">
        <v>393000</v>
      </c>
      <c r="BG6493" t="s">
        <v>39183</v>
      </c>
      <c r="BH6493" s="1">
        <v>150.97999999999999</v>
      </c>
      <c r="BI6493" s="1">
        <v>401449</v>
      </c>
      <c r="BJ6493" s="3">
        <v>41852</v>
      </c>
      <c r="BK6493" t="s">
        <v>123</v>
      </c>
      <c r="BL6493" t="str">
        <f>"2014.508436"</f>
        <v>2014.508436</v>
      </c>
      <c r="BM6493" t="s">
        <v>1185</v>
      </c>
      <c r="BO6493" t="s">
        <v>39184</v>
      </c>
      <c r="BS6493">
        <v>30</v>
      </c>
      <c r="BW6493" t="str">
        <f>""</f>
        <v/>
      </c>
      <c r="CH6493" t="str">
        <f>""</f>
        <v/>
      </c>
      <c r="CS6493" t="str">
        <f>""</f>
        <v/>
      </c>
    </row>
    <row r="6494" spans="1:97" x14ac:dyDescent="0.25">
      <c r="A6494" t="s">
        <v>25570</v>
      </c>
      <c r="B6494" t="s">
        <v>39185</v>
      </c>
      <c r="E6494" t="s">
        <v>39186</v>
      </c>
      <c r="F6494" t="s">
        <v>108</v>
      </c>
      <c r="H6494" t="s">
        <v>39187</v>
      </c>
      <c r="I6494" t="s">
        <v>390</v>
      </c>
      <c r="J6494" t="s">
        <v>111</v>
      </c>
      <c r="K6494" t="str">
        <f>"85027"</f>
        <v>85027</v>
      </c>
      <c r="L6494" t="s">
        <v>3430</v>
      </c>
      <c r="M6494" t="s">
        <v>39187</v>
      </c>
      <c r="N6494" t="s">
        <v>390</v>
      </c>
      <c r="O6494" t="s">
        <v>111</v>
      </c>
      <c r="P6494" t="str">
        <f>"85027-4654"</f>
        <v>85027-4654</v>
      </c>
      <c r="R6494" t="str">
        <f>"209-13-944"</f>
        <v>209-13-944</v>
      </c>
      <c r="S6494" t="s">
        <v>39188</v>
      </c>
      <c r="T6494" t="s">
        <v>39189</v>
      </c>
      <c r="U6494">
        <v>1456</v>
      </c>
      <c r="V6494">
        <v>0</v>
      </c>
      <c r="W6494">
        <v>3</v>
      </c>
      <c r="X6494">
        <v>1986</v>
      </c>
      <c r="Z6494">
        <v>1</v>
      </c>
      <c r="AA6494" t="s">
        <v>26</v>
      </c>
      <c r="AB6494">
        <v>0</v>
      </c>
      <c r="AC6494" t="s">
        <v>115</v>
      </c>
      <c r="AD6494">
        <v>2</v>
      </c>
      <c r="AE6494" t="s">
        <v>115</v>
      </c>
      <c r="AF6494">
        <v>0</v>
      </c>
      <c r="AG6494">
        <v>0</v>
      </c>
      <c r="AH6494" t="s">
        <v>116</v>
      </c>
      <c r="AI6494" s="1">
        <v>55589</v>
      </c>
      <c r="AJ6494" s="2">
        <v>0.21</v>
      </c>
      <c r="AK6494" s="1">
        <v>262189</v>
      </c>
      <c r="AL6494" t="s">
        <v>117</v>
      </c>
      <c r="AM6494" t="s">
        <v>191</v>
      </c>
      <c r="AN6494">
        <v>8132</v>
      </c>
      <c r="AO6494">
        <v>0.19</v>
      </c>
      <c r="AP6494">
        <v>1</v>
      </c>
      <c r="AR6494">
        <v>1</v>
      </c>
      <c r="AS6494" s="1">
        <v>19120</v>
      </c>
      <c r="AT6494" s="1">
        <v>3820</v>
      </c>
      <c r="AU6494" s="1">
        <v>15300</v>
      </c>
      <c r="AV6494">
        <v>80.02</v>
      </c>
      <c r="AX6494" s="1">
        <v>1257.52</v>
      </c>
      <c r="AY6494" t="s">
        <v>10684</v>
      </c>
      <c r="AZ6494" t="s">
        <v>2357</v>
      </c>
      <c r="BA6494" t="s">
        <v>1462</v>
      </c>
      <c r="BE6494" s="3">
        <v>41898</v>
      </c>
      <c r="BF6494" s="1">
        <v>171000</v>
      </c>
      <c r="BG6494" t="s">
        <v>39190</v>
      </c>
      <c r="BH6494" s="1">
        <v>117.45</v>
      </c>
      <c r="BI6494" s="1">
        <v>206600</v>
      </c>
      <c r="BJ6494" s="3">
        <v>43126</v>
      </c>
      <c r="BK6494" t="s">
        <v>123</v>
      </c>
      <c r="BL6494" t="str">
        <f>"2018.64833"</f>
        <v>2018.64833</v>
      </c>
      <c r="BM6494" t="s">
        <v>1319</v>
      </c>
      <c r="BN6494" t="s">
        <v>18878</v>
      </c>
      <c r="BO6494" t="s">
        <v>39186</v>
      </c>
      <c r="BR6494" t="s">
        <v>139</v>
      </c>
      <c r="BW6494" t="str">
        <f>""</f>
        <v/>
      </c>
      <c r="CH6494" t="str">
        <f>""</f>
        <v/>
      </c>
      <c r="CS6494" t="str">
        <f>""</f>
        <v/>
      </c>
    </row>
    <row r="6495" spans="1:97" x14ac:dyDescent="0.25">
      <c r="A6495" t="s">
        <v>39191</v>
      </c>
      <c r="B6495" t="s">
        <v>39192</v>
      </c>
      <c r="E6495" t="s">
        <v>39193</v>
      </c>
      <c r="F6495" t="s">
        <v>108</v>
      </c>
      <c r="H6495" t="s">
        <v>39194</v>
      </c>
      <c r="I6495" t="s">
        <v>110</v>
      </c>
      <c r="J6495" t="s">
        <v>111</v>
      </c>
      <c r="K6495" t="str">
        <f>"85226"</f>
        <v>85226</v>
      </c>
      <c r="L6495" t="s">
        <v>5138</v>
      </c>
      <c r="M6495" t="s">
        <v>39194</v>
      </c>
      <c r="N6495" t="s">
        <v>110</v>
      </c>
      <c r="O6495" t="s">
        <v>111</v>
      </c>
      <c r="P6495" t="str">
        <f>"85226-2027"</f>
        <v>85226-2027</v>
      </c>
      <c r="Q6495" t="s">
        <v>113</v>
      </c>
      <c r="R6495" t="str">
        <f>"301-67-092"</f>
        <v>301-67-092</v>
      </c>
      <c r="S6495" t="s">
        <v>39195</v>
      </c>
      <c r="T6495" t="s">
        <v>2019</v>
      </c>
      <c r="U6495">
        <v>1978</v>
      </c>
      <c r="V6495">
        <v>0</v>
      </c>
      <c r="W6495">
        <v>4</v>
      </c>
      <c r="X6495">
        <v>1991</v>
      </c>
      <c r="Z6495">
        <v>2</v>
      </c>
      <c r="AB6495">
        <v>0</v>
      </c>
      <c r="AC6495" t="s">
        <v>115</v>
      </c>
      <c r="AD6495">
        <v>2</v>
      </c>
      <c r="AE6495" t="s">
        <v>115</v>
      </c>
      <c r="AF6495">
        <v>0</v>
      </c>
      <c r="AG6495">
        <v>0</v>
      </c>
      <c r="AH6495" t="s">
        <v>116</v>
      </c>
      <c r="AI6495" s="1">
        <v>78707</v>
      </c>
      <c r="AJ6495" s="2">
        <v>0.24</v>
      </c>
      <c r="AK6495" s="1">
        <v>329519</v>
      </c>
      <c r="AL6495" t="s">
        <v>117</v>
      </c>
      <c r="AM6495" t="s">
        <v>118</v>
      </c>
      <c r="AN6495">
        <v>4247</v>
      </c>
      <c r="AO6495">
        <v>0.97</v>
      </c>
      <c r="AP6495">
        <v>1</v>
      </c>
      <c r="AR6495">
        <v>1</v>
      </c>
      <c r="AS6495" s="1">
        <v>23620</v>
      </c>
      <c r="AT6495" s="1">
        <v>4720</v>
      </c>
      <c r="AU6495" s="1">
        <v>18900</v>
      </c>
      <c r="AV6495">
        <v>80.02</v>
      </c>
      <c r="AX6495" s="1">
        <v>1775.6</v>
      </c>
      <c r="AY6495" t="s">
        <v>15704</v>
      </c>
      <c r="AZ6495" t="s">
        <v>5922</v>
      </c>
      <c r="BA6495" t="s">
        <v>5202</v>
      </c>
      <c r="BE6495" s="3">
        <v>42215</v>
      </c>
      <c r="BF6495" s="1">
        <v>250000</v>
      </c>
      <c r="BG6495" t="s">
        <v>39196</v>
      </c>
      <c r="BH6495" s="1">
        <v>126.39</v>
      </c>
      <c r="BI6495" s="1">
        <v>227812</v>
      </c>
      <c r="BJ6495" s="3">
        <v>42215</v>
      </c>
      <c r="BK6495" t="s">
        <v>123</v>
      </c>
      <c r="BL6495" t="str">
        <f>"2015.553489"</f>
        <v>2015.553489</v>
      </c>
      <c r="BM6495" t="s">
        <v>1791</v>
      </c>
      <c r="BO6495" t="s">
        <v>39197</v>
      </c>
      <c r="BS6495">
        <v>30</v>
      </c>
      <c r="BT6495" s="1">
        <v>23000</v>
      </c>
      <c r="BU6495" s="3">
        <v>42703</v>
      </c>
      <c r="BV6495" t="s">
        <v>134</v>
      </c>
      <c r="BW6495" t="str">
        <f>"2016.875511"</f>
        <v>2016.875511</v>
      </c>
      <c r="BX6495" t="s">
        <v>20097</v>
      </c>
      <c r="BZ6495" t="s">
        <v>39197</v>
      </c>
      <c r="CH6495" t="str">
        <f>""</f>
        <v/>
      </c>
      <c r="CS6495" t="str">
        <f>""</f>
        <v/>
      </c>
    </row>
    <row r="6496" spans="1:97" x14ac:dyDescent="0.25">
      <c r="A6496" t="s">
        <v>1109</v>
      </c>
      <c r="B6496" t="s">
        <v>1552</v>
      </c>
      <c r="C6496" t="s">
        <v>3714</v>
      </c>
      <c r="D6496" t="s">
        <v>1552</v>
      </c>
      <c r="E6496" t="s">
        <v>39198</v>
      </c>
      <c r="F6496" t="s">
        <v>108</v>
      </c>
      <c r="H6496" t="s">
        <v>39199</v>
      </c>
      <c r="I6496" t="s">
        <v>225</v>
      </c>
      <c r="J6496" t="s">
        <v>111</v>
      </c>
      <c r="K6496" t="str">
        <f>"85205"</f>
        <v>85205</v>
      </c>
      <c r="L6496" t="s">
        <v>5408</v>
      </c>
      <c r="M6496" t="s">
        <v>39199</v>
      </c>
      <c r="N6496" t="s">
        <v>225</v>
      </c>
      <c r="O6496" t="s">
        <v>111</v>
      </c>
      <c r="P6496" t="str">
        <f>"85205-6148"</f>
        <v>85205-6148</v>
      </c>
      <c r="Q6496" t="s">
        <v>113</v>
      </c>
      <c r="R6496" t="str">
        <f>"140-13-278"</f>
        <v>140-13-278</v>
      </c>
      <c r="S6496" t="s">
        <v>29696</v>
      </c>
      <c r="T6496" t="s">
        <v>6943</v>
      </c>
      <c r="U6496">
        <v>2188</v>
      </c>
      <c r="V6496">
        <v>0</v>
      </c>
      <c r="W6496">
        <v>3</v>
      </c>
      <c r="X6496">
        <v>1986</v>
      </c>
      <c r="Z6496">
        <v>2</v>
      </c>
      <c r="AA6496" t="s">
        <v>26</v>
      </c>
      <c r="AB6496">
        <v>0</v>
      </c>
      <c r="AC6496" t="s">
        <v>115</v>
      </c>
      <c r="AD6496">
        <v>2</v>
      </c>
      <c r="AE6496" t="s">
        <v>115</v>
      </c>
      <c r="AF6496">
        <v>0</v>
      </c>
      <c r="AG6496">
        <v>0</v>
      </c>
      <c r="AH6496" t="s">
        <v>116</v>
      </c>
      <c r="AI6496" s="1">
        <v>66350</v>
      </c>
      <c r="AJ6496" s="2">
        <v>0.19</v>
      </c>
      <c r="AK6496" s="1">
        <v>345260</v>
      </c>
      <c r="AL6496" t="s">
        <v>117</v>
      </c>
      <c r="AM6496" t="s">
        <v>393</v>
      </c>
      <c r="AN6496">
        <v>8432</v>
      </c>
      <c r="AO6496">
        <v>0.19</v>
      </c>
      <c r="AP6496">
        <v>1</v>
      </c>
      <c r="AR6496">
        <v>1</v>
      </c>
      <c r="AS6496" s="1">
        <v>23300</v>
      </c>
      <c r="AT6496" s="1">
        <v>4660</v>
      </c>
      <c r="AU6496" s="1">
        <v>18640</v>
      </c>
      <c r="AV6496">
        <v>80</v>
      </c>
      <c r="AX6496" s="1">
        <v>1807.6</v>
      </c>
      <c r="AY6496" t="s">
        <v>1522</v>
      </c>
      <c r="AZ6496" t="s">
        <v>1523</v>
      </c>
      <c r="BA6496" t="s">
        <v>1524</v>
      </c>
      <c r="BE6496" s="3">
        <v>42040</v>
      </c>
      <c r="BF6496" s="1">
        <v>270000</v>
      </c>
      <c r="BG6496" t="s">
        <v>39200</v>
      </c>
      <c r="BH6496" s="1">
        <v>123.4</v>
      </c>
      <c r="BI6496" s="1">
        <v>278910</v>
      </c>
      <c r="BJ6496" s="3">
        <v>42040</v>
      </c>
      <c r="BK6496" t="s">
        <v>123</v>
      </c>
      <c r="BL6496" t="str">
        <f>"2015.74453"</f>
        <v>2015.74453</v>
      </c>
      <c r="BM6496" t="s">
        <v>683</v>
      </c>
      <c r="BO6496" t="s">
        <v>39201</v>
      </c>
      <c r="BS6496">
        <v>30</v>
      </c>
      <c r="BW6496" t="str">
        <f>""</f>
        <v/>
      </c>
      <c r="CH6496" t="str">
        <f>""</f>
        <v/>
      </c>
      <c r="CS6496" t="str">
        <f>""</f>
        <v/>
      </c>
    </row>
    <row r="6497" spans="1:97" x14ac:dyDescent="0.25">
      <c r="A6497" t="s">
        <v>1433</v>
      </c>
      <c r="B6497" t="s">
        <v>39202</v>
      </c>
      <c r="C6497" t="s">
        <v>11764</v>
      </c>
      <c r="D6497" t="s">
        <v>39202</v>
      </c>
      <c r="E6497" t="s">
        <v>39203</v>
      </c>
      <c r="F6497" t="s">
        <v>108</v>
      </c>
      <c r="H6497" t="s">
        <v>39204</v>
      </c>
      <c r="I6497" t="s">
        <v>390</v>
      </c>
      <c r="J6497" t="s">
        <v>111</v>
      </c>
      <c r="K6497" t="str">
        <f>"85018"</f>
        <v>85018</v>
      </c>
      <c r="L6497" t="s">
        <v>1518</v>
      </c>
      <c r="M6497" t="s">
        <v>39204</v>
      </c>
      <c r="N6497" t="s">
        <v>390</v>
      </c>
      <c r="O6497" t="s">
        <v>111</v>
      </c>
      <c r="P6497" t="str">
        <f>"85018-6533"</f>
        <v>85018-6533</v>
      </c>
      <c r="Q6497" t="s">
        <v>113</v>
      </c>
      <c r="R6497" t="str">
        <f>"127-03-061"</f>
        <v>127-03-061</v>
      </c>
      <c r="S6497" t="s">
        <v>39205</v>
      </c>
      <c r="T6497" t="s">
        <v>39206</v>
      </c>
      <c r="U6497">
        <v>2770</v>
      </c>
      <c r="V6497">
        <v>0</v>
      </c>
      <c r="W6497">
        <v>3</v>
      </c>
      <c r="X6497">
        <v>1959</v>
      </c>
      <c r="Z6497">
        <v>1</v>
      </c>
      <c r="AA6497" t="s">
        <v>26</v>
      </c>
      <c r="AB6497">
        <v>0</v>
      </c>
      <c r="AC6497" t="s">
        <v>115</v>
      </c>
      <c r="AD6497">
        <v>2</v>
      </c>
      <c r="AE6497" t="s">
        <v>115</v>
      </c>
      <c r="AF6497">
        <v>0</v>
      </c>
      <c r="AG6497">
        <v>0</v>
      </c>
      <c r="AH6497" t="s">
        <v>116</v>
      </c>
      <c r="AI6497" s="1">
        <v>-77510</v>
      </c>
      <c r="AJ6497" s="2">
        <v>-0.11</v>
      </c>
      <c r="AK6497" s="1">
        <v>724605</v>
      </c>
      <c r="AL6497" t="s">
        <v>117</v>
      </c>
      <c r="AM6497" t="s">
        <v>1302</v>
      </c>
      <c r="AN6497">
        <v>13486</v>
      </c>
      <c r="AO6497">
        <v>0.31</v>
      </c>
      <c r="AP6497">
        <v>1</v>
      </c>
      <c r="AR6497">
        <v>1</v>
      </c>
      <c r="AS6497" s="1">
        <v>53000</v>
      </c>
      <c r="AT6497" s="1">
        <v>10600</v>
      </c>
      <c r="AU6497" s="1">
        <v>42400</v>
      </c>
      <c r="AV6497">
        <v>80</v>
      </c>
      <c r="AX6497" s="1">
        <v>3186.62</v>
      </c>
      <c r="AY6497" t="s">
        <v>8347</v>
      </c>
      <c r="AZ6497" t="s">
        <v>8348</v>
      </c>
      <c r="BA6497" t="s">
        <v>8349</v>
      </c>
      <c r="BE6497" s="3">
        <v>42503</v>
      </c>
      <c r="BF6497" s="1">
        <v>700000</v>
      </c>
      <c r="BG6497" t="s">
        <v>39207</v>
      </c>
      <c r="BH6497" s="1">
        <v>252.71</v>
      </c>
      <c r="BI6497" s="1">
        <v>637115</v>
      </c>
      <c r="BJ6497" s="3">
        <v>42503</v>
      </c>
      <c r="BK6497" t="s">
        <v>123</v>
      </c>
      <c r="BL6497" t="str">
        <f>"2016.331265"</f>
        <v>2016.331265</v>
      </c>
      <c r="BM6497" t="s">
        <v>1038</v>
      </c>
      <c r="BN6497" t="s">
        <v>132</v>
      </c>
      <c r="BO6497" t="s">
        <v>39208</v>
      </c>
      <c r="BS6497">
        <v>30</v>
      </c>
      <c r="BT6497" s="1">
        <v>165000</v>
      </c>
      <c r="BU6497" s="3">
        <v>43606</v>
      </c>
      <c r="BW6497" t="str">
        <f>"2019.373712"</f>
        <v>2019.373712</v>
      </c>
      <c r="BX6497" t="s">
        <v>654</v>
      </c>
      <c r="BY6497" t="s">
        <v>655</v>
      </c>
      <c r="BZ6497" t="s">
        <v>39209</v>
      </c>
      <c r="CA6497" t="s">
        <v>39210</v>
      </c>
      <c r="CC6497" t="s">
        <v>346</v>
      </c>
      <c r="CH6497" t="str">
        <f>""</f>
        <v/>
      </c>
      <c r="CS6497" t="str">
        <f>""</f>
        <v/>
      </c>
    </row>
    <row r="6498" spans="1:97" x14ac:dyDescent="0.25">
      <c r="A6498" t="s">
        <v>1009</v>
      </c>
      <c r="B6498" t="s">
        <v>5205</v>
      </c>
      <c r="C6498" t="s">
        <v>39211</v>
      </c>
      <c r="D6498" t="s">
        <v>5205</v>
      </c>
      <c r="E6498" t="s">
        <v>39212</v>
      </c>
      <c r="F6498" t="s">
        <v>108</v>
      </c>
      <c r="H6498" t="s">
        <v>39213</v>
      </c>
      <c r="I6498" t="s">
        <v>203</v>
      </c>
      <c r="J6498" t="s">
        <v>111</v>
      </c>
      <c r="K6498" t="str">
        <f>"85298"</f>
        <v>85298</v>
      </c>
      <c r="L6498" t="s">
        <v>5872</v>
      </c>
      <c r="M6498" t="s">
        <v>39213</v>
      </c>
      <c r="N6498" t="s">
        <v>203</v>
      </c>
      <c r="O6498" t="s">
        <v>111</v>
      </c>
      <c r="P6498" t="str">
        <f>"85298-9264"</f>
        <v>85298-9264</v>
      </c>
      <c r="Q6498" t="s">
        <v>113</v>
      </c>
      <c r="R6498" t="str">
        <f>"304-79-858"</f>
        <v>304-79-858</v>
      </c>
      <c r="S6498" t="s">
        <v>39214</v>
      </c>
      <c r="T6498" t="s">
        <v>5874</v>
      </c>
      <c r="U6498">
        <v>1777</v>
      </c>
      <c r="V6498">
        <v>0</v>
      </c>
      <c r="W6498">
        <v>3</v>
      </c>
      <c r="X6498">
        <v>2010</v>
      </c>
      <c r="Z6498">
        <v>1</v>
      </c>
      <c r="AA6498" t="s">
        <v>26</v>
      </c>
      <c r="AB6498">
        <v>0</v>
      </c>
      <c r="AC6498" t="s">
        <v>115</v>
      </c>
      <c r="AD6498">
        <v>2</v>
      </c>
      <c r="AE6498" t="s">
        <v>115</v>
      </c>
      <c r="AF6498">
        <v>0</v>
      </c>
      <c r="AG6498">
        <v>0</v>
      </c>
      <c r="AH6498" t="s">
        <v>116</v>
      </c>
      <c r="AI6498" s="1">
        <v>72421</v>
      </c>
      <c r="AJ6498" s="2">
        <v>0.2</v>
      </c>
      <c r="AK6498" s="1">
        <v>366421</v>
      </c>
      <c r="AL6498" t="s">
        <v>117</v>
      </c>
      <c r="AM6498" t="s">
        <v>191</v>
      </c>
      <c r="AN6498">
        <v>6327</v>
      </c>
      <c r="AO6498">
        <v>0.14000000000000001</v>
      </c>
      <c r="AR6498">
        <v>1</v>
      </c>
      <c r="AS6498" s="1">
        <v>25910</v>
      </c>
      <c r="AT6498" s="1">
        <v>5180</v>
      </c>
      <c r="AU6498" s="1">
        <v>20730</v>
      </c>
      <c r="AV6498">
        <v>80.010000000000005</v>
      </c>
      <c r="AX6498" s="1">
        <v>2173.9</v>
      </c>
      <c r="AY6498" t="s">
        <v>5875</v>
      </c>
      <c r="AZ6498" t="s">
        <v>1134</v>
      </c>
      <c r="BA6498" t="s">
        <v>1134</v>
      </c>
      <c r="BE6498" s="3">
        <v>42499</v>
      </c>
      <c r="BF6498" s="1">
        <v>300000</v>
      </c>
      <c r="BG6498" t="s">
        <v>39215</v>
      </c>
      <c r="BH6498" s="1">
        <v>168.82</v>
      </c>
      <c r="BI6498" s="1">
        <v>294000</v>
      </c>
      <c r="BJ6498" s="3">
        <v>42585</v>
      </c>
      <c r="BK6498" t="s">
        <v>123</v>
      </c>
      <c r="BL6498" t="str">
        <f>"2016.552051"</f>
        <v>2016.552051</v>
      </c>
      <c r="BM6498" t="s">
        <v>3004</v>
      </c>
      <c r="BO6498" t="s">
        <v>39216</v>
      </c>
      <c r="BS6498">
        <v>30</v>
      </c>
      <c r="BW6498" t="str">
        <f>""</f>
        <v/>
      </c>
      <c r="CH6498" t="str">
        <f>""</f>
        <v/>
      </c>
      <c r="CS6498" t="str">
        <f>""</f>
        <v/>
      </c>
    </row>
    <row r="6499" spans="1:97" x14ac:dyDescent="0.25">
      <c r="A6499" t="s">
        <v>464</v>
      </c>
      <c r="B6499" t="s">
        <v>22607</v>
      </c>
      <c r="C6499" t="s">
        <v>908</v>
      </c>
      <c r="D6499" t="s">
        <v>22607</v>
      </c>
      <c r="E6499" t="s">
        <v>39217</v>
      </c>
      <c r="F6499" t="s">
        <v>108</v>
      </c>
      <c r="H6499" t="s">
        <v>39218</v>
      </c>
      <c r="I6499" t="s">
        <v>390</v>
      </c>
      <c r="J6499" t="s">
        <v>111</v>
      </c>
      <c r="K6499" t="str">
        <f>"85022"</f>
        <v>85022</v>
      </c>
      <c r="L6499" t="s">
        <v>5709</v>
      </c>
      <c r="M6499" t="s">
        <v>39218</v>
      </c>
      <c r="N6499" t="s">
        <v>390</v>
      </c>
      <c r="O6499" t="s">
        <v>111</v>
      </c>
      <c r="P6499" t="str">
        <f>"85022-3019"</f>
        <v>85022-3019</v>
      </c>
      <c r="Q6499" t="s">
        <v>113</v>
      </c>
      <c r="R6499" t="str">
        <f>"208-12-492"</f>
        <v>208-12-492</v>
      </c>
      <c r="S6499" t="s">
        <v>25136</v>
      </c>
      <c r="T6499" t="s">
        <v>10616</v>
      </c>
      <c r="U6499">
        <v>2564</v>
      </c>
      <c r="V6499">
        <v>0</v>
      </c>
      <c r="W6499">
        <v>4</v>
      </c>
      <c r="X6499">
        <v>1979</v>
      </c>
      <c r="Z6499">
        <v>1</v>
      </c>
      <c r="AA6499" t="s">
        <v>26</v>
      </c>
      <c r="AB6499">
        <v>0</v>
      </c>
      <c r="AC6499" t="s">
        <v>115</v>
      </c>
      <c r="AD6499">
        <v>2</v>
      </c>
      <c r="AE6499" t="s">
        <v>115</v>
      </c>
      <c r="AF6499">
        <v>0</v>
      </c>
      <c r="AG6499">
        <v>0</v>
      </c>
      <c r="AH6499" t="s">
        <v>116</v>
      </c>
      <c r="AI6499" s="1">
        <v>62915</v>
      </c>
      <c r="AJ6499" s="2">
        <v>0.12</v>
      </c>
      <c r="AK6499" s="1">
        <v>511515</v>
      </c>
      <c r="AL6499" t="s">
        <v>117</v>
      </c>
      <c r="AM6499" t="s">
        <v>191</v>
      </c>
      <c r="AN6499">
        <v>19527</v>
      </c>
      <c r="AO6499">
        <v>0.45</v>
      </c>
      <c r="AP6499">
        <v>1</v>
      </c>
      <c r="AR6499">
        <v>1</v>
      </c>
      <c r="AS6499" s="1">
        <v>37580</v>
      </c>
      <c r="AT6499" s="1">
        <v>7510</v>
      </c>
      <c r="AU6499" s="1">
        <v>30070</v>
      </c>
      <c r="AV6499">
        <v>80.02</v>
      </c>
      <c r="AX6499" s="1">
        <v>4318.18</v>
      </c>
      <c r="AY6499" t="s">
        <v>9170</v>
      </c>
      <c r="AZ6499" t="s">
        <v>8648</v>
      </c>
      <c r="BA6499" t="s">
        <v>8649</v>
      </c>
      <c r="BE6499" s="3">
        <v>42165</v>
      </c>
      <c r="BF6499" s="1">
        <v>440000</v>
      </c>
      <c r="BG6499" t="s">
        <v>39219</v>
      </c>
      <c r="BH6499" s="1">
        <v>171.61</v>
      </c>
      <c r="BI6499" s="1">
        <v>396000</v>
      </c>
      <c r="BJ6499" s="3">
        <v>42165</v>
      </c>
      <c r="BK6499" t="s">
        <v>123</v>
      </c>
      <c r="BL6499" t="str">
        <f>"2015.415554"</f>
        <v>2015.415554</v>
      </c>
      <c r="BM6499" t="s">
        <v>7181</v>
      </c>
      <c r="BN6499" t="s">
        <v>21414</v>
      </c>
      <c r="BO6499" t="s">
        <v>39220</v>
      </c>
      <c r="BS6499">
        <v>15</v>
      </c>
      <c r="BT6499" s="1">
        <v>52600</v>
      </c>
      <c r="BU6499" s="3">
        <v>43300</v>
      </c>
      <c r="BV6499" t="s">
        <v>134</v>
      </c>
      <c r="BW6499" t="str">
        <f>"2018.545740"</f>
        <v>2018.545740</v>
      </c>
      <c r="BX6499" t="s">
        <v>33508</v>
      </c>
      <c r="BY6499" t="s">
        <v>739</v>
      </c>
      <c r="BZ6499" t="s">
        <v>39221</v>
      </c>
      <c r="CA6499" t="s">
        <v>39222</v>
      </c>
      <c r="CC6499" t="s">
        <v>346</v>
      </c>
      <c r="CH6499" t="str">
        <f>""</f>
        <v/>
      </c>
      <c r="CS6499" t="str">
        <f>""</f>
        <v/>
      </c>
    </row>
    <row r="6500" spans="1:97" x14ac:dyDescent="0.25">
      <c r="A6500" t="s">
        <v>12323</v>
      </c>
      <c r="B6500" t="s">
        <v>39223</v>
      </c>
      <c r="E6500" t="s">
        <v>39224</v>
      </c>
      <c r="F6500" t="s">
        <v>108</v>
      </c>
      <c r="H6500" t="s">
        <v>39225</v>
      </c>
      <c r="I6500" t="s">
        <v>390</v>
      </c>
      <c r="J6500" t="s">
        <v>111</v>
      </c>
      <c r="K6500" t="str">
        <f>"85086"</f>
        <v>85086</v>
      </c>
      <c r="L6500" t="s">
        <v>7351</v>
      </c>
      <c r="M6500" t="s">
        <v>39225</v>
      </c>
      <c r="N6500" t="s">
        <v>390</v>
      </c>
      <c r="O6500" t="s">
        <v>111</v>
      </c>
      <c r="P6500" t="str">
        <f>"85086"</f>
        <v>85086</v>
      </c>
      <c r="Q6500" t="s">
        <v>113</v>
      </c>
      <c r="R6500" t="str">
        <f>"211-52-111-B"</f>
        <v>211-52-111-B</v>
      </c>
      <c r="U6500">
        <v>1928</v>
      </c>
      <c r="V6500">
        <v>0</v>
      </c>
      <c r="W6500">
        <v>3</v>
      </c>
      <c r="X6500">
        <v>1998</v>
      </c>
      <c r="Z6500">
        <v>1</v>
      </c>
      <c r="AB6500">
        <v>0</v>
      </c>
      <c r="AC6500" t="s">
        <v>115</v>
      </c>
      <c r="AD6500">
        <v>3</v>
      </c>
      <c r="AE6500" t="s">
        <v>115</v>
      </c>
      <c r="AF6500">
        <v>0</v>
      </c>
      <c r="AG6500">
        <v>0</v>
      </c>
      <c r="AH6500" t="s">
        <v>116</v>
      </c>
      <c r="AI6500" s="1">
        <v>66841</v>
      </c>
      <c r="AJ6500" s="2">
        <v>0.16</v>
      </c>
      <c r="AK6500" s="1">
        <v>416841</v>
      </c>
      <c r="AL6500" t="s">
        <v>117</v>
      </c>
      <c r="AM6500" t="s">
        <v>376</v>
      </c>
      <c r="AN6500">
        <v>42338</v>
      </c>
      <c r="AO6500">
        <v>0.97</v>
      </c>
      <c r="AP6500">
        <v>1</v>
      </c>
      <c r="AR6500">
        <v>1</v>
      </c>
      <c r="AS6500" s="1">
        <v>29200</v>
      </c>
      <c r="AT6500" s="1">
        <v>5840</v>
      </c>
      <c r="AU6500" s="1">
        <v>23360</v>
      </c>
      <c r="AV6500">
        <v>80</v>
      </c>
      <c r="AX6500" s="1">
        <v>2998.54</v>
      </c>
      <c r="AY6500" t="s">
        <v>1587</v>
      </c>
      <c r="AZ6500" t="s">
        <v>1587</v>
      </c>
      <c r="BA6500" t="s">
        <v>378</v>
      </c>
      <c r="BE6500" s="3">
        <v>42186</v>
      </c>
      <c r="BF6500" s="1">
        <v>350000</v>
      </c>
      <c r="BG6500" t="s">
        <v>39226</v>
      </c>
      <c r="BH6500" s="1">
        <v>181.54</v>
      </c>
      <c r="BI6500" s="1">
        <v>350000</v>
      </c>
      <c r="BJ6500" s="3">
        <v>42186</v>
      </c>
      <c r="BK6500" t="s">
        <v>123</v>
      </c>
      <c r="BL6500" t="str">
        <f>"2015.477048"</f>
        <v>2015.477048</v>
      </c>
      <c r="BM6500" t="s">
        <v>724</v>
      </c>
      <c r="BO6500" t="s">
        <v>39227</v>
      </c>
      <c r="BS6500">
        <v>30</v>
      </c>
      <c r="BW6500" t="str">
        <f>""</f>
        <v/>
      </c>
      <c r="CH6500" t="str">
        <f>""</f>
        <v/>
      </c>
      <c r="CS6500" t="str">
        <f>""</f>
        <v/>
      </c>
    </row>
    <row r="6501" spans="1:97" x14ac:dyDescent="0.25">
      <c r="A6501" t="s">
        <v>140</v>
      </c>
      <c r="B6501" t="s">
        <v>39228</v>
      </c>
      <c r="E6501" t="s">
        <v>39229</v>
      </c>
      <c r="F6501" t="s">
        <v>108</v>
      </c>
      <c r="H6501" t="s">
        <v>39230</v>
      </c>
      <c r="I6501" t="s">
        <v>203</v>
      </c>
      <c r="J6501" t="s">
        <v>111</v>
      </c>
      <c r="K6501" t="str">
        <f>"85297"</f>
        <v>85297</v>
      </c>
      <c r="L6501" t="s">
        <v>1569</v>
      </c>
      <c r="M6501" t="s">
        <v>39230</v>
      </c>
      <c r="N6501" t="s">
        <v>203</v>
      </c>
      <c r="O6501" t="s">
        <v>111</v>
      </c>
      <c r="P6501" t="str">
        <f>"85297-8462"</f>
        <v>85297-8462</v>
      </c>
      <c r="Q6501" t="s">
        <v>113</v>
      </c>
      <c r="R6501" t="str">
        <f>"304-70-078-G"</f>
        <v>304-70-078-G</v>
      </c>
      <c r="U6501">
        <v>3059</v>
      </c>
      <c r="V6501">
        <v>0</v>
      </c>
      <c r="W6501">
        <v>4</v>
      </c>
      <c r="X6501">
        <v>2000</v>
      </c>
      <c r="Z6501">
        <v>1</v>
      </c>
      <c r="AB6501">
        <v>0</v>
      </c>
      <c r="AC6501" t="s">
        <v>115</v>
      </c>
      <c r="AD6501">
        <v>3</v>
      </c>
      <c r="AE6501" t="s">
        <v>115</v>
      </c>
      <c r="AF6501">
        <v>0</v>
      </c>
      <c r="AG6501">
        <v>0</v>
      </c>
      <c r="AH6501" t="s">
        <v>116</v>
      </c>
      <c r="AI6501" s="1">
        <v>155057</v>
      </c>
      <c r="AJ6501" s="2">
        <v>0.3</v>
      </c>
      <c r="AK6501" s="1">
        <v>525057</v>
      </c>
      <c r="AL6501" t="s">
        <v>117</v>
      </c>
      <c r="AM6501" t="s">
        <v>376</v>
      </c>
      <c r="AN6501">
        <v>38894</v>
      </c>
      <c r="AO6501">
        <v>0.89</v>
      </c>
      <c r="AP6501">
        <v>1</v>
      </c>
      <c r="AR6501">
        <v>1</v>
      </c>
      <c r="AS6501" s="1">
        <v>39630</v>
      </c>
      <c r="AT6501" s="1">
        <v>7920</v>
      </c>
      <c r="AU6501" s="1">
        <v>31710</v>
      </c>
      <c r="AV6501">
        <v>80.02</v>
      </c>
      <c r="AX6501" s="1">
        <v>3398.52</v>
      </c>
      <c r="AY6501" t="s">
        <v>7512</v>
      </c>
      <c r="AZ6501" t="s">
        <v>7512</v>
      </c>
      <c r="BA6501" t="s">
        <v>473</v>
      </c>
      <c r="BB6501" s="3">
        <v>42361</v>
      </c>
      <c r="BD6501" t="s">
        <v>458</v>
      </c>
      <c r="BE6501" s="3">
        <v>41823</v>
      </c>
      <c r="BF6501" s="1">
        <v>325000</v>
      </c>
      <c r="BG6501" t="s">
        <v>39231</v>
      </c>
      <c r="BH6501" s="1">
        <v>106.24</v>
      </c>
      <c r="BI6501" s="1">
        <v>330000</v>
      </c>
      <c r="BJ6501" s="3">
        <v>42361</v>
      </c>
      <c r="BK6501" t="s">
        <v>123</v>
      </c>
      <c r="BL6501" t="str">
        <f>"2015.905498"</f>
        <v>2015.905498</v>
      </c>
      <c r="BM6501" t="s">
        <v>936</v>
      </c>
      <c r="BN6501" t="s">
        <v>1611</v>
      </c>
      <c r="BO6501" t="s">
        <v>39232</v>
      </c>
      <c r="BS6501">
        <v>30</v>
      </c>
      <c r="BT6501" s="1">
        <v>40000</v>
      </c>
      <c r="BU6501" s="3">
        <v>43132</v>
      </c>
      <c r="BW6501" t="str">
        <f>"2018.81352"</f>
        <v>2018.81352</v>
      </c>
      <c r="BX6501" t="s">
        <v>2042</v>
      </c>
      <c r="BY6501" t="s">
        <v>1575</v>
      </c>
      <c r="BZ6501" t="s">
        <v>39233</v>
      </c>
      <c r="CA6501" t="s">
        <v>39234</v>
      </c>
      <c r="CC6501" t="s">
        <v>346</v>
      </c>
      <c r="CH6501" t="str">
        <f>""</f>
        <v/>
      </c>
      <c r="CS6501" t="str">
        <f>""</f>
        <v/>
      </c>
    </row>
    <row r="6502" spans="1:97" x14ac:dyDescent="0.25">
      <c r="A6502" t="s">
        <v>2433</v>
      </c>
      <c r="B6502" t="s">
        <v>39235</v>
      </c>
      <c r="C6502" t="s">
        <v>16253</v>
      </c>
      <c r="D6502" t="s">
        <v>39235</v>
      </c>
      <c r="E6502" t="s">
        <v>39236</v>
      </c>
      <c r="F6502" t="s">
        <v>108</v>
      </c>
      <c r="H6502" t="s">
        <v>39237</v>
      </c>
      <c r="I6502" t="s">
        <v>390</v>
      </c>
      <c r="J6502" t="s">
        <v>111</v>
      </c>
      <c r="K6502" t="str">
        <f>"85024"</f>
        <v>85024</v>
      </c>
      <c r="L6502" t="s">
        <v>10474</v>
      </c>
      <c r="M6502" t="s">
        <v>39237</v>
      </c>
      <c r="N6502" t="s">
        <v>390</v>
      </c>
      <c r="O6502" t="s">
        <v>111</v>
      </c>
      <c r="P6502" t="str">
        <f>"85024-4313"</f>
        <v>85024-4313</v>
      </c>
      <c r="Q6502" t="s">
        <v>113</v>
      </c>
      <c r="R6502" t="str">
        <f>"213-05-223"</f>
        <v>213-05-223</v>
      </c>
      <c r="S6502" t="s">
        <v>6207</v>
      </c>
      <c r="T6502" t="s">
        <v>6207</v>
      </c>
      <c r="U6502">
        <v>2235</v>
      </c>
      <c r="V6502">
        <v>0</v>
      </c>
      <c r="W6502">
        <v>4</v>
      </c>
      <c r="X6502">
        <v>1995</v>
      </c>
      <c r="Z6502">
        <v>2</v>
      </c>
      <c r="AB6502">
        <v>0</v>
      </c>
      <c r="AC6502" t="s">
        <v>115</v>
      </c>
      <c r="AD6502">
        <v>2</v>
      </c>
      <c r="AE6502" t="s">
        <v>115</v>
      </c>
      <c r="AF6502">
        <v>0</v>
      </c>
      <c r="AG6502">
        <v>0</v>
      </c>
      <c r="AH6502" t="s">
        <v>116</v>
      </c>
      <c r="AI6502" s="1">
        <v>63223</v>
      </c>
      <c r="AJ6502" s="2">
        <v>0.17</v>
      </c>
      <c r="AK6502" s="1">
        <v>382948</v>
      </c>
      <c r="AL6502" t="s">
        <v>117</v>
      </c>
      <c r="AM6502" t="s">
        <v>191</v>
      </c>
      <c r="AN6502">
        <v>6407</v>
      </c>
      <c r="AO6502">
        <v>0.15</v>
      </c>
      <c r="AP6502">
        <v>1</v>
      </c>
      <c r="AR6502">
        <v>1</v>
      </c>
      <c r="AS6502" s="1">
        <v>28330</v>
      </c>
      <c r="AT6502" s="1">
        <v>5660</v>
      </c>
      <c r="AU6502" s="1">
        <v>22670</v>
      </c>
      <c r="AV6502">
        <v>80.02</v>
      </c>
      <c r="AX6502" s="1">
        <v>2541.2800000000002</v>
      </c>
      <c r="AY6502" t="s">
        <v>570</v>
      </c>
      <c r="AZ6502" t="s">
        <v>761</v>
      </c>
      <c r="BA6502" t="s">
        <v>762</v>
      </c>
      <c r="BE6502" s="3">
        <v>42342</v>
      </c>
      <c r="BF6502" s="1">
        <v>335000</v>
      </c>
      <c r="BG6502" t="s">
        <v>6855</v>
      </c>
      <c r="BH6502" s="1">
        <v>149.88999999999999</v>
      </c>
      <c r="BI6502" s="1">
        <v>319725</v>
      </c>
      <c r="BJ6502" s="3">
        <v>42342</v>
      </c>
      <c r="BK6502" t="s">
        <v>123</v>
      </c>
      <c r="BL6502" t="str">
        <f>"2015.862353"</f>
        <v>2015.862353</v>
      </c>
      <c r="BM6502" t="s">
        <v>544</v>
      </c>
      <c r="BO6502" t="s">
        <v>39238</v>
      </c>
      <c r="BS6502">
        <v>30</v>
      </c>
      <c r="BW6502" t="str">
        <f>""</f>
        <v/>
      </c>
      <c r="CH6502" t="str">
        <f>""</f>
        <v/>
      </c>
      <c r="CS6502" t="str">
        <f>""</f>
        <v/>
      </c>
    </row>
    <row r="6503" spans="1:97" x14ac:dyDescent="0.25">
      <c r="A6503" t="s">
        <v>8432</v>
      </c>
      <c r="B6503" t="s">
        <v>39239</v>
      </c>
      <c r="E6503" t="s">
        <v>39240</v>
      </c>
      <c r="F6503" t="s">
        <v>108</v>
      </c>
      <c r="H6503" t="s">
        <v>39241</v>
      </c>
      <c r="I6503" t="s">
        <v>390</v>
      </c>
      <c r="J6503" t="s">
        <v>111</v>
      </c>
      <c r="K6503" t="str">
        <f>"85086"</f>
        <v>85086</v>
      </c>
      <c r="L6503" t="s">
        <v>516</v>
      </c>
      <c r="M6503" t="s">
        <v>39241</v>
      </c>
      <c r="N6503" t="s">
        <v>390</v>
      </c>
      <c r="O6503" t="s">
        <v>111</v>
      </c>
      <c r="P6503" t="str">
        <f>"85086-6608"</f>
        <v>85086-6608</v>
      </c>
      <c r="Q6503" t="s">
        <v>113</v>
      </c>
      <c r="R6503" t="str">
        <f>"203-25-127"</f>
        <v>203-25-127</v>
      </c>
      <c r="S6503" t="s">
        <v>39242</v>
      </c>
      <c r="U6503">
        <v>4178</v>
      </c>
      <c r="V6503">
        <v>0</v>
      </c>
      <c r="W6503">
        <v>5</v>
      </c>
      <c r="X6503">
        <v>2002</v>
      </c>
      <c r="Z6503">
        <v>2</v>
      </c>
      <c r="AB6503">
        <v>0</v>
      </c>
      <c r="AC6503" t="s">
        <v>115</v>
      </c>
      <c r="AD6503">
        <v>3</v>
      </c>
      <c r="AE6503" t="s">
        <v>115</v>
      </c>
      <c r="AF6503">
        <v>0</v>
      </c>
      <c r="AG6503">
        <v>0</v>
      </c>
      <c r="AH6503" t="s">
        <v>116</v>
      </c>
      <c r="AI6503" s="1">
        <v>89698</v>
      </c>
      <c r="AJ6503" s="2">
        <v>0.18</v>
      </c>
      <c r="AK6503" s="1">
        <v>492530</v>
      </c>
      <c r="AL6503" t="s">
        <v>117</v>
      </c>
      <c r="AM6503" t="s">
        <v>191</v>
      </c>
      <c r="AN6503">
        <v>8704</v>
      </c>
      <c r="AO6503">
        <v>0.2</v>
      </c>
      <c r="AP6503">
        <v>1</v>
      </c>
      <c r="AR6503">
        <v>1</v>
      </c>
      <c r="AS6503" s="1">
        <v>37480</v>
      </c>
      <c r="AT6503" s="1">
        <v>7490</v>
      </c>
      <c r="AU6503" s="1">
        <v>29990</v>
      </c>
      <c r="AV6503">
        <v>80.02</v>
      </c>
      <c r="AX6503" s="1">
        <v>3822.18</v>
      </c>
      <c r="AY6503" t="s">
        <v>8639</v>
      </c>
      <c r="AZ6503" t="s">
        <v>8639</v>
      </c>
      <c r="BA6503" t="s">
        <v>378</v>
      </c>
      <c r="BE6503" s="3">
        <v>41820</v>
      </c>
      <c r="BF6503" s="1">
        <v>403000</v>
      </c>
      <c r="BG6503" t="s">
        <v>39243</v>
      </c>
      <c r="BH6503" s="1">
        <v>96.46</v>
      </c>
      <c r="BI6503" s="1">
        <v>402832</v>
      </c>
      <c r="BJ6503" s="3">
        <v>42611</v>
      </c>
      <c r="BK6503" t="s">
        <v>123</v>
      </c>
      <c r="BL6503" t="str">
        <f>"2016.618563"</f>
        <v>2016.618563</v>
      </c>
      <c r="BM6503" t="s">
        <v>492</v>
      </c>
      <c r="BO6503" t="s">
        <v>39244</v>
      </c>
      <c r="BS6503">
        <v>30</v>
      </c>
      <c r="BW6503" t="str">
        <f>""</f>
        <v/>
      </c>
      <c r="CH6503" t="str">
        <f>""</f>
        <v/>
      </c>
      <c r="CS6503" t="str">
        <f>""</f>
        <v/>
      </c>
    </row>
    <row r="6504" spans="1:97" x14ac:dyDescent="0.25">
      <c r="A6504" t="s">
        <v>1009</v>
      </c>
      <c r="B6504" t="s">
        <v>3770</v>
      </c>
      <c r="C6504" t="s">
        <v>703</v>
      </c>
      <c r="D6504" t="s">
        <v>3770</v>
      </c>
      <c r="E6504" t="s">
        <v>39245</v>
      </c>
      <c r="F6504" t="s">
        <v>108</v>
      </c>
      <c r="H6504" t="s">
        <v>39246</v>
      </c>
      <c r="I6504" t="s">
        <v>225</v>
      </c>
      <c r="J6504" t="s">
        <v>111</v>
      </c>
      <c r="K6504" t="str">
        <f>"85207"</f>
        <v>85207</v>
      </c>
      <c r="L6504" t="s">
        <v>112</v>
      </c>
      <c r="M6504" t="s">
        <v>39246</v>
      </c>
      <c r="N6504" t="s">
        <v>225</v>
      </c>
      <c r="O6504" t="s">
        <v>111</v>
      </c>
      <c r="P6504" t="str">
        <f>"85207-1454"</f>
        <v>85207-1454</v>
      </c>
      <c r="Q6504" t="s">
        <v>113</v>
      </c>
      <c r="R6504" t="str">
        <f>"219-31-251"</f>
        <v>219-31-251</v>
      </c>
      <c r="S6504" t="s">
        <v>39247</v>
      </c>
      <c r="T6504" t="s">
        <v>8013</v>
      </c>
      <c r="U6504">
        <v>2989</v>
      </c>
      <c r="V6504">
        <v>0</v>
      </c>
      <c r="W6504">
        <v>4</v>
      </c>
      <c r="X6504">
        <v>2003</v>
      </c>
      <c r="Z6504">
        <v>1</v>
      </c>
      <c r="AA6504" t="s">
        <v>26</v>
      </c>
      <c r="AB6504">
        <v>0</v>
      </c>
      <c r="AC6504" t="s">
        <v>115</v>
      </c>
      <c r="AD6504">
        <v>3</v>
      </c>
      <c r="AE6504" t="s">
        <v>115</v>
      </c>
      <c r="AF6504">
        <v>0</v>
      </c>
      <c r="AG6504">
        <v>0</v>
      </c>
      <c r="AH6504" t="s">
        <v>116</v>
      </c>
      <c r="AI6504" s="1">
        <v>180640</v>
      </c>
      <c r="AJ6504" s="2">
        <v>0.31</v>
      </c>
      <c r="AK6504" s="1">
        <v>588640</v>
      </c>
      <c r="AL6504" t="s">
        <v>117</v>
      </c>
      <c r="AM6504" t="s">
        <v>3973</v>
      </c>
      <c r="AN6504">
        <v>18127</v>
      </c>
      <c r="AO6504">
        <v>0.42</v>
      </c>
      <c r="AP6504">
        <v>1</v>
      </c>
      <c r="AR6504">
        <v>1</v>
      </c>
      <c r="AS6504" s="1">
        <v>43370</v>
      </c>
      <c r="AT6504" s="1">
        <v>8670</v>
      </c>
      <c r="AU6504" s="1">
        <v>34700</v>
      </c>
      <c r="AV6504">
        <v>80.010000000000005</v>
      </c>
      <c r="AX6504" s="1">
        <v>4296.3</v>
      </c>
      <c r="AY6504" t="s">
        <v>3118</v>
      </c>
      <c r="AZ6504" t="s">
        <v>231</v>
      </c>
      <c r="BA6504" t="s">
        <v>3119</v>
      </c>
      <c r="BE6504" s="3">
        <v>42328</v>
      </c>
      <c r="BF6504" s="1">
        <v>510000</v>
      </c>
      <c r="BG6504" t="s">
        <v>39248</v>
      </c>
      <c r="BH6504" s="1">
        <v>170.63</v>
      </c>
      <c r="BI6504" s="1">
        <v>408000</v>
      </c>
      <c r="BJ6504" s="3">
        <v>42328</v>
      </c>
      <c r="BK6504" t="s">
        <v>123</v>
      </c>
      <c r="BL6504" t="str">
        <f>"2015.832466"</f>
        <v>2015.832466</v>
      </c>
      <c r="BM6504" t="s">
        <v>2683</v>
      </c>
      <c r="BO6504" t="s">
        <v>39249</v>
      </c>
      <c r="BS6504">
        <v>30</v>
      </c>
      <c r="BW6504" t="str">
        <f>""</f>
        <v/>
      </c>
      <c r="CH6504" t="str">
        <f>""</f>
        <v/>
      </c>
      <c r="CS6504" t="str">
        <f>""</f>
        <v/>
      </c>
    </row>
    <row r="6505" spans="1:97" x14ac:dyDescent="0.25">
      <c r="A6505" t="s">
        <v>412</v>
      </c>
      <c r="B6505" t="s">
        <v>39250</v>
      </c>
      <c r="C6505" t="s">
        <v>945</v>
      </c>
      <c r="D6505" t="s">
        <v>39250</v>
      </c>
      <c r="E6505" t="s">
        <v>39251</v>
      </c>
      <c r="F6505" t="s">
        <v>108</v>
      </c>
      <c r="H6505" t="s">
        <v>39252</v>
      </c>
      <c r="I6505" t="s">
        <v>1936</v>
      </c>
      <c r="J6505" t="s">
        <v>111</v>
      </c>
      <c r="K6505" t="str">
        <f>"85260"</f>
        <v>85260</v>
      </c>
      <c r="L6505" t="s">
        <v>5464</v>
      </c>
      <c r="M6505" t="s">
        <v>39252</v>
      </c>
      <c r="N6505" t="s">
        <v>1936</v>
      </c>
      <c r="O6505" t="s">
        <v>111</v>
      </c>
      <c r="P6505" t="str">
        <f>"85260-5656"</f>
        <v>85260-5656</v>
      </c>
      <c r="Q6505" t="s">
        <v>113</v>
      </c>
      <c r="R6505" t="str">
        <f>"175-14-238"</f>
        <v>175-14-238</v>
      </c>
      <c r="S6505" t="s">
        <v>39253</v>
      </c>
      <c r="T6505" t="s">
        <v>39254</v>
      </c>
      <c r="U6505">
        <v>2862</v>
      </c>
      <c r="V6505">
        <v>0</v>
      </c>
      <c r="W6505">
        <v>5</v>
      </c>
      <c r="X6505">
        <v>1993</v>
      </c>
      <c r="Z6505">
        <v>1</v>
      </c>
      <c r="AA6505" t="s">
        <v>26</v>
      </c>
      <c r="AB6505">
        <v>0</v>
      </c>
      <c r="AC6505" t="s">
        <v>115</v>
      </c>
      <c r="AD6505">
        <v>3</v>
      </c>
      <c r="AE6505" t="s">
        <v>115</v>
      </c>
      <c r="AF6505">
        <v>0</v>
      </c>
      <c r="AG6505">
        <v>0</v>
      </c>
      <c r="AH6505" t="s">
        <v>116</v>
      </c>
      <c r="AI6505" s="1">
        <v>233144</v>
      </c>
      <c r="AJ6505" s="2">
        <v>0.32</v>
      </c>
      <c r="AK6505" s="1">
        <v>737654</v>
      </c>
      <c r="AL6505" t="s">
        <v>117</v>
      </c>
      <c r="AM6505" t="s">
        <v>616</v>
      </c>
      <c r="AN6505">
        <v>8152</v>
      </c>
      <c r="AO6505">
        <v>0.19</v>
      </c>
      <c r="AP6505">
        <v>1</v>
      </c>
      <c r="AR6505">
        <v>1</v>
      </c>
      <c r="AS6505" s="1">
        <v>57400</v>
      </c>
      <c r="AT6505" s="1">
        <v>11480</v>
      </c>
      <c r="AU6505" s="1">
        <v>45920</v>
      </c>
      <c r="AV6505">
        <v>80</v>
      </c>
      <c r="AX6505" s="1">
        <v>4154.38</v>
      </c>
      <c r="AY6505" t="s">
        <v>14284</v>
      </c>
      <c r="AZ6505" t="s">
        <v>8949</v>
      </c>
      <c r="BA6505" t="s">
        <v>7868</v>
      </c>
      <c r="BE6505" s="3">
        <v>41750</v>
      </c>
      <c r="BF6505" s="1">
        <v>700000</v>
      </c>
      <c r="BG6505" t="s">
        <v>39255</v>
      </c>
      <c r="BH6505" s="1">
        <v>244.58</v>
      </c>
      <c r="BI6505" s="1">
        <v>504510</v>
      </c>
      <c r="BJ6505" s="3">
        <v>42669</v>
      </c>
      <c r="BK6505" t="s">
        <v>123</v>
      </c>
      <c r="BL6505" t="str">
        <f>"2016.784322"</f>
        <v>2016.784322</v>
      </c>
      <c r="BM6505" t="s">
        <v>361</v>
      </c>
      <c r="BN6505" t="s">
        <v>884</v>
      </c>
      <c r="BO6505" t="s">
        <v>39256</v>
      </c>
      <c r="BS6505">
        <v>30</v>
      </c>
      <c r="BT6505" s="1">
        <v>0</v>
      </c>
      <c r="BU6505" s="3">
        <v>43536</v>
      </c>
      <c r="BV6505" t="s">
        <v>134</v>
      </c>
      <c r="BW6505" t="str">
        <f>"2019.170666"</f>
        <v>2019.170666</v>
      </c>
      <c r="BX6505" t="s">
        <v>5619</v>
      </c>
      <c r="BY6505" t="s">
        <v>5620</v>
      </c>
      <c r="BZ6505" t="s">
        <v>39257</v>
      </c>
      <c r="CA6505" t="s">
        <v>39258</v>
      </c>
      <c r="CC6505" t="s">
        <v>139</v>
      </c>
      <c r="CH6505" t="str">
        <f>""</f>
        <v/>
      </c>
      <c r="CS6505" t="str">
        <f>""</f>
        <v/>
      </c>
    </row>
    <row r="6506" spans="1:97" x14ac:dyDescent="0.25">
      <c r="B6506" t="s">
        <v>7047</v>
      </c>
      <c r="E6506" t="s">
        <v>2007</v>
      </c>
      <c r="F6506" t="s">
        <v>108</v>
      </c>
      <c r="H6506" t="s">
        <v>39259</v>
      </c>
      <c r="I6506" t="s">
        <v>390</v>
      </c>
      <c r="J6506" t="s">
        <v>111</v>
      </c>
      <c r="K6506" t="str">
        <f>"85086"</f>
        <v>85086</v>
      </c>
      <c r="L6506" t="s">
        <v>3116</v>
      </c>
      <c r="M6506" t="s">
        <v>39259</v>
      </c>
      <c r="N6506" t="s">
        <v>390</v>
      </c>
      <c r="O6506" t="s">
        <v>111</v>
      </c>
      <c r="P6506" t="str">
        <f>"85086-1859"</f>
        <v>85086-1859</v>
      </c>
      <c r="Q6506" t="s">
        <v>113</v>
      </c>
      <c r="R6506" t="str">
        <f>"203-06-527"</f>
        <v>203-06-527</v>
      </c>
      <c r="S6506" t="s">
        <v>14105</v>
      </c>
      <c r="U6506">
        <v>4408</v>
      </c>
      <c r="V6506">
        <v>0</v>
      </c>
      <c r="W6506">
        <v>6</v>
      </c>
      <c r="X6506">
        <v>2003</v>
      </c>
      <c r="Z6506">
        <v>2</v>
      </c>
      <c r="AA6506" t="s">
        <v>26</v>
      </c>
      <c r="AB6506">
        <v>0</v>
      </c>
      <c r="AC6506" t="s">
        <v>115</v>
      </c>
      <c r="AD6506">
        <v>3</v>
      </c>
      <c r="AE6506" t="s">
        <v>115</v>
      </c>
      <c r="AF6506">
        <v>0</v>
      </c>
      <c r="AG6506">
        <v>0</v>
      </c>
      <c r="AH6506" t="s">
        <v>116</v>
      </c>
      <c r="AI6506" s="1">
        <v>150040</v>
      </c>
      <c r="AJ6506" s="2">
        <v>0.26</v>
      </c>
      <c r="AK6506" s="1">
        <v>587505</v>
      </c>
      <c r="AL6506" t="s">
        <v>117</v>
      </c>
      <c r="AM6506" t="s">
        <v>191</v>
      </c>
      <c r="AN6506">
        <v>10228</v>
      </c>
      <c r="AO6506">
        <v>0.24</v>
      </c>
      <c r="AP6506">
        <v>1</v>
      </c>
      <c r="AR6506">
        <v>1</v>
      </c>
      <c r="AS6506" s="1">
        <v>43660</v>
      </c>
      <c r="AT6506" s="1">
        <v>8730</v>
      </c>
      <c r="AU6506" s="1">
        <v>34930</v>
      </c>
      <c r="AV6506">
        <v>80</v>
      </c>
      <c r="AX6506" s="1">
        <v>5526.1</v>
      </c>
      <c r="AY6506" t="s">
        <v>6515</v>
      </c>
      <c r="AZ6506" t="s">
        <v>6515</v>
      </c>
      <c r="BA6506" t="s">
        <v>378</v>
      </c>
      <c r="BB6506" s="3">
        <v>43231</v>
      </c>
      <c r="BC6506" s="1">
        <v>0</v>
      </c>
      <c r="BD6506" t="s">
        <v>247</v>
      </c>
      <c r="BE6506" s="3">
        <v>42158</v>
      </c>
      <c r="BF6506" s="1">
        <v>471000</v>
      </c>
      <c r="BG6506" t="s">
        <v>39260</v>
      </c>
      <c r="BH6506" s="1">
        <v>106.85</v>
      </c>
      <c r="BI6506" s="1">
        <v>437465</v>
      </c>
      <c r="BJ6506" s="3">
        <v>42158</v>
      </c>
      <c r="BK6506" t="s">
        <v>123</v>
      </c>
      <c r="BL6506" t="str">
        <f>"2015.396608"</f>
        <v>2015.396608</v>
      </c>
      <c r="BM6506" t="s">
        <v>2472</v>
      </c>
      <c r="BN6506" t="s">
        <v>2473</v>
      </c>
      <c r="BO6506" t="s">
        <v>39261</v>
      </c>
      <c r="BS6506">
        <v>30</v>
      </c>
      <c r="BW6506" t="str">
        <f>""</f>
        <v/>
      </c>
      <c r="CH6506" t="str">
        <f>""</f>
        <v/>
      </c>
      <c r="CS6506" t="str">
        <f>""</f>
        <v/>
      </c>
    </row>
    <row r="6507" spans="1:97" x14ac:dyDescent="0.25">
      <c r="A6507" t="s">
        <v>1514</v>
      </c>
      <c r="B6507" t="s">
        <v>2394</v>
      </c>
      <c r="E6507" t="s">
        <v>39262</v>
      </c>
      <c r="F6507" t="s">
        <v>108</v>
      </c>
      <c r="H6507" t="s">
        <v>39263</v>
      </c>
      <c r="I6507" t="s">
        <v>390</v>
      </c>
      <c r="J6507" t="s">
        <v>111</v>
      </c>
      <c r="K6507" t="str">
        <f>"85053"</f>
        <v>85053</v>
      </c>
      <c r="L6507" t="s">
        <v>4282</v>
      </c>
      <c r="M6507" t="s">
        <v>39263</v>
      </c>
      <c r="N6507" t="s">
        <v>390</v>
      </c>
      <c r="O6507" t="s">
        <v>111</v>
      </c>
      <c r="P6507" t="str">
        <f>"85053-2840"</f>
        <v>85053-2840</v>
      </c>
      <c r="Q6507" t="s">
        <v>113</v>
      </c>
      <c r="R6507" t="str">
        <f>"207-16-288"</f>
        <v>207-16-288</v>
      </c>
      <c r="S6507" t="s">
        <v>39264</v>
      </c>
      <c r="T6507" t="s">
        <v>27682</v>
      </c>
      <c r="U6507">
        <v>1968</v>
      </c>
      <c r="V6507">
        <v>0</v>
      </c>
      <c r="W6507">
        <v>3</v>
      </c>
      <c r="X6507">
        <v>1979</v>
      </c>
      <c r="Z6507">
        <v>1</v>
      </c>
      <c r="AA6507" t="s">
        <v>26</v>
      </c>
      <c r="AB6507">
        <v>0</v>
      </c>
      <c r="AC6507" t="s">
        <v>115</v>
      </c>
      <c r="AD6507">
        <v>2</v>
      </c>
      <c r="AE6507" t="s">
        <v>115</v>
      </c>
      <c r="AF6507">
        <v>0</v>
      </c>
      <c r="AG6507">
        <v>0</v>
      </c>
      <c r="AH6507" t="s">
        <v>116</v>
      </c>
      <c r="AI6507" s="1">
        <v>74931</v>
      </c>
      <c r="AJ6507" s="2">
        <v>0.26</v>
      </c>
      <c r="AK6507" s="1">
        <v>285531</v>
      </c>
      <c r="AL6507" t="s">
        <v>117</v>
      </c>
      <c r="AM6507" t="s">
        <v>171</v>
      </c>
      <c r="AN6507">
        <v>11549</v>
      </c>
      <c r="AO6507">
        <v>0.26</v>
      </c>
      <c r="AP6507">
        <v>1</v>
      </c>
      <c r="AR6507">
        <v>1</v>
      </c>
      <c r="AS6507" s="1">
        <v>21010</v>
      </c>
      <c r="AT6507" s="1">
        <v>4200</v>
      </c>
      <c r="AU6507" s="1">
        <v>16810</v>
      </c>
      <c r="AV6507">
        <v>80.010000000000005</v>
      </c>
      <c r="AX6507" s="1">
        <v>1942.6</v>
      </c>
      <c r="AY6507" t="s">
        <v>2996</v>
      </c>
      <c r="AZ6507" t="s">
        <v>2997</v>
      </c>
      <c r="BA6507" t="s">
        <v>2998</v>
      </c>
      <c r="BE6507" s="3">
        <v>41890</v>
      </c>
      <c r="BF6507" s="1">
        <v>199900</v>
      </c>
      <c r="BG6507" t="s">
        <v>39265</v>
      </c>
      <c r="BH6507" s="1">
        <v>101.58</v>
      </c>
      <c r="BI6507" s="1">
        <v>210600</v>
      </c>
      <c r="BJ6507" s="3">
        <v>42416</v>
      </c>
      <c r="BK6507" t="s">
        <v>123</v>
      </c>
      <c r="BL6507" t="str">
        <f>"2016.94655"</f>
        <v>2016.94655</v>
      </c>
      <c r="BM6507" t="s">
        <v>1033</v>
      </c>
      <c r="BO6507" t="s">
        <v>39266</v>
      </c>
      <c r="BS6507">
        <v>30</v>
      </c>
      <c r="BW6507" t="str">
        <f>""</f>
        <v/>
      </c>
      <c r="CH6507" t="str">
        <f>""</f>
        <v/>
      </c>
      <c r="CS6507" t="str">
        <f>""</f>
        <v/>
      </c>
    </row>
    <row r="6508" spans="1:97" x14ac:dyDescent="0.25">
      <c r="A6508" t="s">
        <v>305</v>
      </c>
      <c r="B6508" t="s">
        <v>39267</v>
      </c>
      <c r="E6508" t="s">
        <v>39268</v>
      </c>
      <c r="F6508" t="s">
        <v>108</v>
      </c>
      <c r="H6508" t="s">
        <v>39269</v>
      </c>
      <c r="I6508" t="s">
        <v>144</v>
      </c>
      <c r="J6508" t="s">
        <v>111</v>
      </c>
      <c r="K6508" t="str">
        <f>"85326"</f>
        <v>85326</v>
      </c>
      <c r="L6508" t="s">
        <v>558</v>
      </c>
      <c r="M6508" t="s">
        <v>39269</v>
      </c>
      <c r="N6508" t="s">
        <v>144</v>
      </c>
      <c r="O6508" t="s">
        <v>111</v>
      </c>
      <c r="P6508" t="str">
        <f>"85326-9164"</f>
        <v>85326-9164</v>
      </c>
      <c r="Q6508" t="s">
        <v>113</v>
      </c>
      <c r="R6508" t="str">
        <f>"504-26-614"</f>
        <v>504-26-614</v>
      </c>
      <c r="S6508" t="s">
        <v>39270</v>
      </c>
      <c r="U6508">
        <v>2376</v>
      </c>
      <c r="V6508">
        <v>0</v>
      </c>
      <c r="W6508">
        <v>4</v>
      </c>
      <c r="X6508">
        <v>2005</v>
      </c>
      <c r="Z6508">
        <v>1</v>
      </c>
      <c r="AA6508" t="s">
        <v>26</v>
      </c>
      <c r="AB6508">
        <v>0</v>
      </c>
      <c r="AC6508" t="s">
        <v>115</v>
      </c>
      <c r="AD6508">
        <v>3</v>
      </c>
      <c r="AE6508" t="s">
        <v>115</v>
      </c>
      <c r="AF6508">
        <v>0</v>
      </c>
      <c r="AG6508">
        <v>0</v>
      </c>
      <c r="AH6508" t="s">
        <v>116</v>
      </c>
      <c r="AI6508" s="1">
        <v>53592</v>
      </c>
      <c r="AJ6508" s="2">
        <v>0.2</v>
      </c>
      <c r="AK6508" s="1">
        <v>266092</v>
      </c>
      <c r="AL6508" t="s">
        <v>117</v>
      </c>
      <c r="AM6508" t="s">
        <v>118</v>
      </c>
      <c r="AN6508">
        <v>7012</v>
      </c>
      <c r="AO6508">
        <v>0.16</v>
      </c>
      <c r="AR6508">
        <v>1</v>
      </c>
      <c r="AS6508" s="1">
        <v>19220</v>
      </c>
      <c r="AT6508" s="1">
        <v>3840</v>
      </c>
      <c r="AU6508" s="1">
        <v>15380</v>
      </c>
      <c r="AV6508">
        <v>80.02</v>
      </c>
      <c r="AX6508" s="1">
        <v>2275.86</v>
      </c>
      <c r="AY6508" t="s">
        <v>6624</v>
      </c>
      <c r="AZ6508" t="s">
        <v>6624</v>
      </c>
      <c r="BA6508" t="s">
        <v>5025</v>
      </c>
      <c r="BE6508" s="3">
        <v>42454</v>
      </c>
      <c r="BF6508" s="1">
        <v>212500</v>
      </c>
      <c r="BG6508" t="s">
        <v>39271</v>
      </c>
      <c r="BH6508" s="1">
        <v>89.44</v>
      </c>
      <c r="BI6508" s="1">
        <v>212500</v>
      </c>
      <c r="BJ6508" s="3">
        <v>42454</v>
      </c>
      <c r="BK6508" t="s">
        <v>123</v>
      </c>
      <c r="BL6508" t="str">
        <f>"2016.195871"</f>
        <v>2016.195871</v>
      </c>
      <c r="BM6508" t="s">
        <v>594</v>
      </c>
      <c r="BO6508" t="s">
        <v>39272</v>
      </c>
      <c r="BS6508">
        <v>30</v>
      </c>
      <c r="BW6508" t="str">
        <f>""</f>
        <v/>
      </c>
      <c r="CH6508" t="str">
        <f>""</f>
        <v/>
      </c>
      <c r="CS6508" t="str">
        <f>""</f>
        <v/>
      </c>
    </row>
    <row r="6509" spans="1:97" x14ac:dyDescent="0.25">
      <c r="A6509" t="s">
        <v>1727</v>
      </c>
      <c r="B6509" t="s">
        <v>39273</v>
      </c>
      <c r="C6509" t="s">
        <v>3067</v>
      </c>
      <c r="D6509" t="s">
        <v>39273</v>
      </c>
      <c r="E6509" t="s">
        <v>39274</v>
      </c>
      <c r="F6509" t="s">
        <v>108</v>
      </c>
      <c r="H6509" t="s">
        <v>39275</v>
      </c>
      <c r="I6509" t="s">
        <v>144</v>
      </c>
      <c r="J6509" t="s">
        <v>111</v>
      </c>
      <c r="K6509" t="str">
        <f>"85326"</f>
        <v>85326</v>
      </c>
      <c r="L6509" t="s">
        <v>3037</v>
      </c>
      <c r="M6509" t="s">
        <v>39275</v>
      </c>
      <c r="N6509" t="s">
        <v>144</v>
      </c>
      <c r="O6509" t="s">
        <v>111</v>
      </c>
      <c r="P6509" t="str">
        <f>"85326-4278"</f>
        <v>85326-4278</v>
      </c>
      <c r="Q6509" t="s">
        <v>113</v>
      </c>
      <c r="R6509" t="str">
        <f>"400-53-102-A"</f>
        <v>400-53-102-A</v>
      </c>
      <c r="U6509">
        <v>1545</v>
      </c>
      <c r="V6509">
        <v>0</v>
      </c>
      <c r="W6509">
        <v>2</v>
      </c>
      <c r="X6509">
        <v>2006</v>
      </c>
      <c r="Z6509">
        <v>1</v>
      </c>
      <c r="AB6509">
        <v>0</v>
      </c>
      <c r="AC6509" t="s">
        <v>115</v>
      </c>
      <c r="AD6509">
        <v>2</v>
      </c>
      <c r="AE6509" t="s">
        <v>115</v>
      </c>
      <c r="AF6509">
        <v>0</v>
      </c>
      <c r="AG6509">
        <v>0</v>
      </c>
      <c r="AH6509" t="s">
        <v>116</v>
      </c>
      <c r="AI6509" s="1">
        <v>28209</v>
      </c>
      <c r="AJ6509" s="2">
        <v>0.11</v>
      </c>
      <c r="AK6509" s="1">
        <v>253209</v>
      </c>
      <c r="AL6509" t="s">
        <v>117</v>
      </c>
      <c r="AM6509" t="s">
        <v>376</v>
      </c>
      <c r="AN6509">
        <v>54621</v>
      </c>
      <c r="AO6509">
        <v>1.25</v>
      </c>
      <c r="AR6509">
        <v>1</v>
      </c>
      <c r="AS6509" s="1">
        <v>18230</v>
      </c>
      <c r="AT6509" s="1">
        <v>3640</v>
      </c>
      <c r="AU6509" s="1">
        <v>14590</v>
      </c>
      <c r="AV6509">
        <v>80.03</v>
      </c>
      <c r="AX6509" s="1">
        <v>1239.4000000000001</v>
      </c>
      <c r="AY6509" t="s">
        <v>3038</v>
      </c>
      <c r="AZ6509" t="s">
        <v>3038</v>
      </c>
      <c r="BA6509" t="s">
        <v>1247</v>
      </c>
      <c r="BE6509" s="3">
        <v>42058</v>
      </c>
      <c r="BF6509" s="1">
        <v>225000</v>
      </c>
      <c r="BG6509" t="s">
        <v>39276</v>
      </c>
      <c r="BH6509" s="1">
        <v>145.63</v>
      </c>
      <c r="BI6509" s="1">
        <v>225000</v>
      </c>
      <c r="BJ6509" s="3">
        <v>42058</v>
      </c>
      <c r="BK6509" t="s">
        <v>123</v>
      </c>
      <c r="BL6509" t="str">
        <f>"2015.115667"</f>
        <v>2015.115667</v>
      </c>
      <c r="BM6509" t="s">
        <v>4014</v>
      </c>
      <c r="BO6509" t="s">
        <v>39277</v>
      </c>
      <c r="BS6509">
        <v>30</v>
      </c>
      <c r="BW6509" t="str">
        <f>""</f>
        <v/>
      </c>
      <c r="CH6509" t="str">
        <f>""</f>
        <v/>
      </c>
      <c r="CS6509" t="str">
        <f>""</f>
        <v/>
      </c>
    </row>
    <row r="6510" spans="1:97" x14ac:dyDescent="0.25">
      <c r="A6510" t="s">
        <v>1109</v>
      </c>
      <c r="B6510" t="s">
        <v>19855</v>
      </c>
      <c r="C6510" t="s">
        <v>9201</v>
      </c>
      <c r="D6510" t="s">
        <v>19855</v>
      </c>
      <c r="E6510" t="s">
        <v>39278</v>
      </c>
      <c r="F6510" t="s">
        <v>108</v>
      </c>
      <c r="H6510" t="s">
        <v>39279</v>
      </c>
      <c r="I6510" t="s">
        <v>499</v>
      </c>
      <c r="J6510" t="s">
        <v>111</v>
      </c>
      <c r="K6510" t="str">
        <f>"85395"</f>
        <v>85395</v>
      </c>
      <c r="L6510" t="s">
        <v>5743</v>
      </c>
      <c r="M6510" t="s">
        <v>39279</v>
      </c>
      <c r="N6510" t="s">
        <v>499</v>
      </c>
      <c r="O6510" t="s">
        <v>111</v>
      </c>
      <c r="P6510" t="str">
        <f>"85395-8384"</f>
        <v>85395-8384</v>
      </c>
      <c r="Q6510" t="s">
        <v>113</v>
      </c>
      <c r="R6510" t="str">
        <f>"501-61-807"</f>
        <v>501-61-807</v>
      </c>
      <c r="S6510" t="s">
        <v>12578</v>
      </c>
      <c r="T6510" t="s">
        <v>12579</v>
      </c>
      <c r="U6510">
        <v>4135</v>
      </c>
      <c r="V6510">
        <v>0</v>
      </c>
      <c r="W6510">
        <v>6</v>
      </c>
      <c r="X6510">
        <v>2006</v>
      </c>
      <c r="Z6510">
        <v>2</v>
      </c>
      <c r="AA6510" t="s">
        <v>26</v>
      </c>
      <c r="AB6510">
        <v>0</v>
      </c>
      <c r="AC6510" t="s">
        <v>115</v>
      </c>
      <c r="AD6510">
        <v>4</v>
      </c>
      <c r="AE6510" t="s">
        <v>115</v>
      </c>
      <c r="AF6510">
        <v>0</v>
      </c>
      <c r="AG6510">
        <v>0</v>
      </c>
      <c r="AH6510" t="s">
        <v>116</v>
      </c>
      <c r="AI6510" s="1">
        <v>118412</v>
      </c>
      <c r="AJ6510" s="2">
        <v>0.24</v>
      </c>
      <c r="AK6510" s="1">
        <v>486617</v>
      </c>
      <c r="AL6510" t="s">
        <v>117</v>
      </c>
      <c r="AM6510" t="s">
        <v>118</v>
      </c>
      <c r="AN6510">
        <v>11508</v>
      </c>
      <c r="AO6510">
        <v>0.26</v>
      </c>
      <c r="AR6510">
        <v>1</v>
      </c>
      <c r="AS6510" s="1">
        <v>36730</v>
      </c>
      <c r="AT6510" s="1">
        <v>7340</v>
      </c>
      <c r="AU6510" s="1">
        <v>29390</v>
      </c>
      <c r="AV6510">
        <v>80.02</v>
      </c>
      <c r="AX6510" s="1">
        <v>4143.18</v>
      </c>
      <c r="AY6510" t="s">
        <v>3020</v>
      </c>
      <c r="AZ6510" t="s">
        <v>3020</v>
      </c>
      <c r="BA6510" t="s">
        <v>3154</v>
      </c>
      <c r="BE6510" s="3">
        <v>42523</v>
      </c>
      <c r="BF6510" s="1">
        <v>369000</v>
      </c>
      <c r="BG6510" t="s">
        <v>39280</v>
      </c>
      <c r="BH6510" s="1">
        <v>89.24</v>
      </c>
      <c r="BI6510" s="1">
        <v>368205</v>
      </c>
      <c r="BJ6510" s="3">
        <v>42702</v>
      </c>
      <c r="BK6510" t="s">
        <v>123</v>
      </c>
      <c r="BL6510" t="str">
        <f>"2016.870043"</f>
        <v>2016.870043</v>
      </c>
      <c r="BM6510" t="s">
        <v>8797</v>
      </c>
      <c r="BO6510" t="s">
        <v>39281</v>
      </c>
      <c r="BS6510">
        <v>30</v>
      </c>
      <c r="BW6510" t="str">
        <f>""</f>
        <v/>
      </c>
      <c r="CH6510" t="str">
        <f>""</f>
        <v/>
      </c>
      <c r="CS6510" t="str">
        <f>""</f>
        <v/>
      </c>
    </row>
    <row r="6511" spans="1:97" x14ac:dyDescent="0.25">
      <c r="A6511" t="s">
        <v>3613</v>
      </c>
      <c r="B6511" t="s">
        <v>39282</v>
      </c>
      <c r="C6511" t="s">
        <v>2068</v>
      </c>
      <c r="D6511" t="s">
        <v>39282</v>
      </c>
      <c r="E6511" t="s">
        <v>39283</v>
      </c>
      <c r="F6511" t="s">
        <v>108</v>
      </c>
      <c r="H6511" t="s">
        <v>39284</v>
      </c>
      <c r="I6511" t="s">
        <v>2874</v>
      </c>
      <c r="J6511" t="s">
        <v>111</v>
      </c>
      <c r="K6511" t="str">
        <f>"85308"</f>
        <v>85308</v>
      </c>
      <c r="L6511" t="s">
        <v>5239</v>
      </c>
      <c r="M6511" t="s">
        <v>39284</v>
      </c>
      <c r="N6511" t="s">
        <v>2874</v>
      </c>
      <c r="O6511" t="s">
        <v>111</v>
      </c>
      <c r="P6511" t="str">
        <f>"85308-5684"</f>
        <v>85308-5684</v>
      </c>
      <c r="Q6511" t="s">
        <v>113</v>
      </c>
      <c r="R6511" t="str">
        <f>"233-03-031"</f>
        <v>233-03-031</v>
      </c>
      <c r="S6511" t="s">
        <v>39285</v>
      </c>
      <c r="T6511" t="s">
        <v>39285</v>
      </c>
      <c r="U6511">
        <v>3223</v>
      </c>
      <c r="V6511">
        <v>0</v>
      </c>
      <c r="W6511">
        <v>4</v>
      </c>
      <c r="X6511">
        <v>1992</v>
      </c>
      <c r="Z6511">
        <v>2</v>
      </c>
      <c r="AA6511" t="s">
        <v>26</v>
      </c>
      <c r="AB6511">
        <v>0</v>
      </c>
      <c r="AC6511" t="s">
        <v>115</v>
      </c>
      <c r="AD6511">
        <v>4</v>
      </c>
      <c r="AE6511" t="s">
        <v>115</v>
      </c>
      <c r="AF6511">
        <v>0</v>
      </c>
      <c r="AG6511">
        <v>0</v>
      </c>
      <c r="AH6511" t="s">
        <v>116</v>
      </c>
      <c r="AI6511" s="1">
        <v>-8969</v>
      </c>
      <c r="AJ6511" s="2">
        <v>-0.02</v>
      </c>
      <c r="AK6511" s="1">
        <v>454581</v>
      </c>
      <c r="AL6511" t="s">
        <v>117</v>
      </c>
      <c r="AM6511" t="s">
        <v>191</v>
      </c>
      <c r="AN6511">
        <v>13792</v>
      </c>
      <c r="AO6511">
        <v>0.32</v>
      </c>
      <c r="AP6511">
        <v>1</v>
      </c>
      <c r="AR6511">
        <v>1</v>
      </c>
      <c r="AS6511" s="1">
        <v>33710</v>
      </c>
      <c r="AT6511" s="1">
        <v>6740</v>
      </c>
      <c r="AU6511" s="1">
        <v>26970</v>
      </c>
      <c r="AV6511">
        <v>80.010000000000005</v>
      </c>
      <c r="AX6511" s="1">
        <v>3181.66</v>
      </c>
      <c r="AY6511" t="s">
        <v>8400</v>
      </c>
      <c r="AZ6511" t="s">
        <v>8400</v>
      </c>
      <c r="BA6511" t="s">
        <v>2223</v>
      </c>
      <c r="BE6511" s="3">
        <v>41848</v>
      </c>
      <c r="BF6511" s="1">
        <v>478000</v>
      </c>
      <c r="BG6511" t="s">
        <v>39286</v>
      </c>
      <c r="BH6511" s="1">
        <v>148.31</v>
      </c>
      <c r="BI6511" s="1">
        <v>463550</v>
      </c>
      <c r="BJ6511" s="3">
        <v>42081</v>
      </c>
      <c r="BK6511" t="s">
        <v>123</v>
      </c>
      <c r="BL6511" t="str">
        <f>"2015.180055"</f>
        <v>2015.180055</v>
      </c>
      <c r="BM6511" t="s">
        <v>322</v>
      </c>
      <c r="BO6511" t="s">
        <v>39287</v>
      </c>
      <c r="BS6511">
        <v>30</v>
      </c>
      <c r="BW6511" t="str">
        <f>""</f>
        <v/>
      </c>
      <c r="CH6511" t="str">
        <f>""</f>
        <v/>
      </c>
      <c r="CS6511" t="str">
        <f>""</f>
        <v/>
      </c>
    </row>
    <row r="6512" spans="1:97" x14ac:dyDescent="0.25">
      <c r="A6512" t="s">
        <v>894</v>
      </c>
      <c r="B6512" t="s">
        <v>39288</v>
      </c>
      <c r="C6512" t="s">
        <v>2281</v>
      </c>
      <c r="D6512" t="s">
        <v>39288</v>
      </c>
      <c r="E6512" t="s">
        <v>39289</v>
      </c>
      <c r="F6512" t="s">
        <v>108</v>
      </c>
      <c r="H6512" t="s">
        <v>39290</v>
      </c>
      <c r="I6512" t="s">
        <v>5636</v>
      </c>
      <c r="J6512" t="s">
        <v>111</v>
      </c>
      <c r="K6512" t="str">
        <f>"85268"</f>
        <v>85268</v>
      </c>
      <c r="L6512" t="s">
        <v>3116</v>
      </c>
      <c r="M6512" t="s">
        <v>39290</v>
      </c>
      <c r="N6512" t="s">
        <v>5636</v>
      </c>
      <c r="O6512" t="s">
        <v>111</v>
      </c>
      <c r="P6512" t="str">
        <f>"85268-3198"</f>
        <v>85268-3198</v>
      </c>
      <c r="Q6512" t="s">
        <v>113</v>
      </c>
      <c r="R6512" t="str">
        <f>"176-18-632"</f>
        <v>176-18-632</v>
      </c>
      <c r="S6512" t="s">
        <v>39291</v>
      </c>
      <c r="U6512">
        <v>2405</v>
      </c>
      <c r="V6512">
        <v>0</v>
      </c>
      <c r="W6512">
        <v>4</v>
      </c>
      <c r="X6512">
        <v>1998</v>
      </c>
      <c r="Z6512">
        <v>1</v>
      </c>
      <c r="AB6512">
        <v>0</v>
      </c>
      <c r="AC6512" t="s">
        <v>115</v>
      </c>
      <c r="AD6512">
        <v>3</v>
      </c>
      <c r="AE6512" t="s">
        <v>115</v>
      </c>
      <c r="AF6512">
        <v>0</v>
      </c>
      <c r="AG6512">
        <v>0</v>
      </c>
      <c r="AH6512" t="s">
        <v>116</v>
      </c>
      <c r="AI6512" s="1">
        <v>229584</v>
      </c>
      <c r="AJ6512" s="2">
        <v>0.42</v>
      </c>
      <c r="AK6512" s="1">
        <v>544584</v>
      </c>
      <c r="AL6512" t="s">
        <v>117</v>
      </c>
      <c r="AM6512" t="s">
        <v>191</v>
      </c>
      <c r="AN6512">
        <v>7730</v>
      </c>
      <c r="AO6512">
        <v>0.18</v>
      </c>
      <c r="AP6512">
        <v>1</v>
      </c>
      <c r="AR6512">
        <v>1</v>
      </c>
      <c r="AS6512" s="1">
        <v>41820</v>
      </c>
      <c r="AT6512" s="1">
        <v>8360</v>
      </c>
      <c r="AU6512" s="1">
        <v>33460</v>
      </c>
      <c r="AV6512">
        <v>80.010000000000005</v>
      </c>
      <c r="AX6512" s="1">
        <v>2906.1</v>
      </c>
      <c r="AY6512" t="s">
        <v>5639</v>
      </c>
      <c r="AZ6512" t="s">
        <v>5640</v>
      </c>
      <c r="BA6512" t="s">
        <v>5641</v>
      </c>
      <c r="BE6512" s="3">
        <v>42430</v>
      </c>
      <c r="BF6512" s="1">
        <v>422000</v>
      </c>
      <c r="BG6512" t="s">
        <v>39292</v>
      </c>
      <c r="BH6512" s="1">
        <v>175.47</v>
      </c>
      <c r="BI6512" s="1">
        <v>315000</v>
      </c>
      <c r="BJ6512" s="3">
        <v>42430</v>
      </c>
      <c r="BK6512" t="s">
        <v>123</v>
      </c>
      <c r="BL6512" t="str">
        <f>"2016.134001"</f>
        <v>2016.134001</v>
      </c>
      <c r="BM6512" t="s">
        <v>724</v>
      </c>
      <c r="BO6512" t="s">
        <v>39293</v>
      </c>
      <c r="BS6512">
        <v>30</v>
      </c>
      <c r="BW6512" t="str">
        <f>""</f>
        <v/>
      </c>
      <c r="CH6512" t="str">
        <f>""</f>
        <v/>
      </c>
      <c r="CS6512" t="str">
        <f>""</f>
        <v/>
      </c>
    </row>
    <row r="6513" spans="1:97" x14ac:dyDescent="0.25">
      <c r="A6513" t="s">
        <v>3089</v>
      </c>
      <c r="B6513" t="s">
        <v>39294</v>
      </c>
      <c r="C6513" t="s">
        <v>26294</v>
      </c>
      <c r="D6513" t="s">
        <v>39294</v>
      </c>
      <c r="E6513" t="s">
        <v>39295</v>
      </c>
      <c r="F6513" t="s">
        <v>282</v>
      </c>
      <c r="H6513" t="s">
        <v>39296</v>
      </c>
      <c r="I6513" t="s">
        <v>167</v>
      </c>
      <c r="J6513" t="s">
        <v>111</v>
      </c>
      <c r="K6513" t="str">
        <f>"85339"</f>
        <v>85339</v>
      </c>
      <c r="L6513" t="s">
        <v>5775</v>
      </c>
      <c r="M6513" t="s">
        <v>39297</v>
      </c>
      <c r="N6513" t="s">
        <v>39298</v>
      </c>
      <c r="O6513" t="s">
        <v>15953</v>
      </c>
      <c r="P6513" t="str">
        <f>"98513-2138"</f>
        <v>98513-2138</v>
      </c>
      <c r="Q6513" t="s">
        <v>113</v>
      </c>
      <c r="R6513" t="str">
        <f>"300-84-782"</f>
        <v>300-84-782</v>
      </c>
      <c r="S6513" t="s">
        <v>5776</v>
      </c>
      <c r="U6513">
        <v>2982</v>
      </c>
      <c r="V6513">
        <v>0</v>
      </c>
      <c r="W6513">
        <v>4</v>
      </c>
      <c r="X6513">
        <v>2004</v>
      </c>
      <c r="Z6513">
        <v>1</v>
      </c>
      <c r="AA6513" t="s">
        <v>26</v>
      </c>
      <c r="AB6513">
        <v>0</v>
      </c>
      <c r="AC6513" t="s">
        <v>115</v>
      </c>
      <c r="AD6513">
        <v>3</v>
      </c>
      <c r="AE6513" t="s">
        <v>115</v>
      </c>
      <c r="AF6513">
        <v>0</v>
      </c>
      <c r="AG6513">
        <v>0</v>
      </c>
      <c r="AH6513" t="s">
        <v>116</v>
      </c>
      <c r="AI6513" s="1">
        <v>78684</v>
      </c>
      <c r="AJ6513" s="2">
        <v>0.23</v>
      </c>
      <c r="AK6513" s="1">
        <v>343684</v>
      </c>
      <c r="AL6513" t="s">
        <v>117</v>
      </c>
      <c r="AM6513" t="s">
        <v>171</v>
      </c>
      <c r="AN6513">
        <v>11780</v>
      </c>
      <c r="AO6513">
        <v>0.27</v>
      </c>
      <c r="AP6513">
        <v>1</v>
      </c>
      <c r="AR6513">
        <v>1</v>
      </c>
      <c r="AS6513" s="1">
        <v>25700</v>
      </c>
      <c r="AT6513" s="1">
        <v>5140</v>
      </c>
      <c r="AU6513" s="1">
        <v>20560</v>
      </c>
      <c r="AV6513">
        <v>80</v>
      </c>
      <c r="AX6513" s="1">
        <v>3080.48</v>
      </c>
      <c r="AY6513" t="s">
        <v>5777</v>
      </c>
      <c r="AZ6513" t="s">
        <v>5777</v>
      </c>
      <c r="BA6513" t="s">
        <v>173</v>
      </c>
      <c r="BE6513" s="3">
        <v>42152</v>
      </c>
      <c r="BF6513" s="1">
        <v>265000</v>
      </c>
      <c r="BG6513" t="s">
        <v>39299</v>
      </c>
      <c r="BH6513" s="1">
        <v>88.87</v>
      </c>
      <c r="BI6513" s="1">
        <v>265000</v>
      </c>
      <c r="BJ6513" s="3">
        <v>42152</v>
      </c>
      <c r="BK6513" t="s">
        <v>123</v>
      </c>
      <c r="BL6513" t="str">
        <f>"2015.378213"</f>
        <v>2015.378213</v>
      </c>
      <c r="BM6513" t="s">
        <v>1214</v>
      </c>
      <c r="BN6513" t="s">
        <v>1215</v>
      </c>
      <c r="BO6513" t="s">
        <v>39300</v>
      </c>
      <c r="BS6513">
        <v>30</v>
      </c>
      <c r="BW6513" t="str">
        <f>""</f>
        <v/>
      </c>
      <c r="CH6513" t="str">
        <f>""</f>
        <v/>
      </c>
      <c r="CS6513" t="str">
        <f>""</f>
        <v/>
      </c>
    </row>
    <row r="6514" spans="1:97" x14ac:dyDescent="0.25">
      <c r="A6514" t="s">
        <v>370</v>
      </c>
      <c r="B6514" t="s">
        <v>9174</v>
      </c>
      <c r="C6514" t="s">
        <v>3158</v>
      </c>
      <c r="D6514" t="s">
        <v>9174</v>
      </c>
      <c r="E6514" t="s">
        <v>39301</v>
      </c>
      <c r="F6514" t="s">
        <v>108</v>
      </c>
      <c r="H6514" t="s">
        <v>39302</v>
      </c>
      <c r="I6514" t="s">
        <v>144</v>
      </c>
      <c r="J6514" t="s">
        <v>111</v>
      </c>
      <c r="K6514" t="str">
        <f>"85396"</f>
        <v>85396</v>
      </c>
      <c r="L6514" t="s">
        <v>6667</v>
      </c>
      <c r="M6514" t="s">
        <v>39302</v>
      </c>
      <c r="N6514" t="s">
        <v>144</v>
      </c>
      <c r="O6514" t="s">
        <v>111</v>
      </c>
      <c r="P6514" t="str">
        <f>"85396-1527"</f>
        <v>85396-1527</v>
      </c>
      <c r="Q6514" t="s">
        <v>113</v>
      </c>
      <c r="R6514" t="str">
        <f>"502-80-453"</f>
        <v>502-80-453</v>
      </c>
      <c r="S6514" t="s">
        <v>7554</v>
      </c>
      <c r="U6514">
        <v>2694</v>
      </c>
      <c r="V6514">
        <v>0</v>
      </c>
      <c r="W6514">
        <v>5</v>
      </c>
      <c r="X6514">
        <v>2008</v>
      </c>
      <c r="Z6514">
        <v>2</v>
      </c>
      <c r="AB6514">
        <v>0</v>
      </c>
      <c r="AC6514" t="s">
        <v>115</v>
      </c>
      <c r="AD6514">
        <v>3</v>
      </c>
      <c r="AE6514" t="s">
        <v>115</v>
      </c>
      <c r="AF6514">
        <v>0</v>
      </c>
      <c r="AG6514">
        <v>0</v>
      </c>
      <c r="AH6514" t="s">
        <v>116</v>
      </c>
      <c r="AI6514" s="1">
        <v>69146</v>
      </c>
      <c r="AJ6514" s="2">
        <v>0.19</v>
      </c>
      <c r="AK6514" s="1">
        <v>368146</v>
      </c>
      <c r="AL6514" t="s">
        <v>117</v>
      </c>
      <c r="AM6514" t="s">
        <v>118</v>
      </c>
      <c r="AN6514">
        <v>8250</v>
      </c>
      <c r="AO6514">
        <v>0.19</v>
      </c>
      <c r="AR6514">
        <v>1</v>
      </c>
      <c r="AS6514" s="1">
        <v>29070</v>
      </c>
      <c r="AT6514" s="1">
        <v>5810</v>
      </c>
      <c r="AU6514" s="1">
        <v>23260</v>
      </c>
      <c r="AV6514">
        <v>80.010000000000005</v>
      </c>
      <c r="AX6514" s="1">
        <v>3750.86</v>
      </c>
      <c r="AY6514" t="s">
        <v>217</v>
      </c>
      <c r="AZ6514" t="s">
        <v>217</v>
      </c>
      <c r="BA6514" t="s">
        <v>218</v>
      </c>
      <c r="BE6514" s="3">
        <v>42513</v>
      </c>
      <c r="BF6514" s="1">
        <v>299000</v>
      </c>
      <c r="BG6514" t="s">
        <v>39303</v>
      </c>
      <c r="BH6514" s="1">
        <v>110.99</v>
      </c>
      <c r="BI6514" s="1">
        <v>299000</v>
      </c>
      <c r="BJ6514" s="3">
        <v>42513</v>
      </c>
      <c r="BK6514" t="s">
        <v>123</v>
      </c>
      <c r="BL6514" t="str">
        <f>"2016.353167"</f>
        <v>2016.353167</v>
      </c>
      <c r="BM6514" t="s">
        <v>2368</v>
      </c>
      <c r="BO6514" t="s">
        <v>39304</v>
      </c>
      <c r="BS6514">
        <v>30</v>
      </c>
      <c r="BW6514" t="str">
        <f>""</f>
        <v/>
      </c>
      <c r="CH6514" t="str">
        <f>""</f>
        <v/>
      </c>
      <c r="CS6514" t="str">
        <f>""</f>
        <v/>
      </c>
    </row>
    <row r="6515" spans="1:97" x14ac:dyDescent="0.25">
      <c r="A6515" t="s">
        <v>945</v>
      </c>
      <c r="B6515" t="s">
        <v>6799</v>
      </c>
      <c r="E6515" t="s">
        <v>39305</v>
      </c>
      <c r="F6515" t="s">
        <v>108</v>
      </c>
      <c r="H6515" t="s">
        <v>39306</v>
      </c>
      <c r="I6515" t="s">
        <v>225</v>
      </c>
      <c r="J6515" t="s">
        <v>111</v>
      </c>
      <c r="K6515" t="str">
        <f>"85207"</f>
        <v>85207</v>
      </c>
      <c r="L6515" t="s">
        <v>2211</v>
      </c>
      <c r="M6515" t="s">
        <v>39306</v>
      </c>
      <c r="N6515" t="s">
        <v>225</v>
      </c>
      <c r="O6515" t="s">
        <v>111</v>
      </c>
      <c r="P6515" t="str">
        <f>"85207-7233"</f>
        <v>85207-7233</v>
      </c>
      <c r="Q6515" t="s">
        <v>113</v>
      </c>
      <c r="R6515" t="str">
        <f>"220-14-087"</f>
        <v>220-14-087</v>
      </c>
      <c r="S6515" t="s">
        <v>11813</v>
      </c>
      <c r="T6515" t="s">
        <v>11813</v>
      </c>
      <c r="U6515">
        <v>2374</v>
      </c>
      <c r="V6515">
        <v>0</v>
      </c>
      <c r="W6515">
        <v>4</v>
      </c>
      <c r="X6515">
        <v>2002</v>
      </c>
      <c r="Z6515">
        <v>2</v>
      </c>
      <c r="AA6515" t="s">
        <v>26</v>
      </c>
      <c r="AB6515">
        <v>0</v>
      </c>
      <c r="AC6515" t="s">
        <v>115</v>
      </c>
      <c r="AD6515">
        <v>2</v>
      </c>
      <c r="AE6515" t="s">
        <v>115</v>
      </c>
      <c r="AF6515">
        <v>0</v>
      </c>
      <c r="AG6515">
        <v>0</v>
      </c>
      <c r="AH6515" t="s">
        <v>116</v>
      </c>
      <c r="AI6515" s="1">
        <v>112365</v>
      </c>
      <c r="AJ6515" s="2">
        <v>0.32</v>
      </c>
      <c r="AK6515" s="1">
        <v>347207</v>
      </c>
      <c r="AL6515" t="s">
        <v>117</v>
      </c>
      <c r="AM6515" t="s">
        <v>191</v>
      </c>
      <c r="AN6515">
        <v>9936</v>
      </c>
      <c r="AO6515">
        <v>0.23</v>
      </c>
      <c r="AP6515">
        <v>1</v>
      </c>
      <c r="AR6515">
        <v>1</v>
      </c>
      <c r="AS6515" s="1">
        <v>23000</v>
      </c>
      <c r="AT6515" s="1">
        <v>4600</v>
      </c>
      <c r="AU6515" s="1">
        <v>18400</v>
      </c>
      <c r="AV6515">
        <v>80</v>
      </c>
      <c r="AX6515" s="1">
        <v>1523.64</v>
      </c>
      <c r="AY6515" t="s">
        <v>6572</v>
      </c>
      <c r="AZ6515" t="s">
        <v>3761</v>
      </c>
      <c r="BA6515" t="s">
        <v>232</v>
      </c>
      <c r="BE6515" s="3">
        <v>41943</v>
      </c>
      <c r="BF6515" s="1">
        <v>229900</v>
      </c>
      <c r="BG6515" t="s">
        <v>39307</v>
      </c>
      <c r="BH6515" s="1">
        <v>96.84</v>
      </c>
      <c r="BI6515" s="1">
        <v>234842</v>
      </c>
      <c r="BJ6515" s="3">
        <v>41943</v>
      </c>
      <c r="BK6515" t="s">
        <v>123</v>
      </c>
      <c r="BL6515" t="str">
        <f>"2014.723770"</f>
        <v>2014.723770</v>
      </c>
      <c r="BM6515" t="s">
        <v>10193</v>
      </c>
      <c r="BO6515" t="s">
        <v>39308</v>
      </c>
      <c r="BS6515">
        <v>30</v>
      </c>
      <c r="BW6515" t="str">
        <f>""</f>
        <v/>
      </c>
      <c r="CH6515" t="str">
        <f>""</f>
        <v/>
      </c>
      <c r="CS6515" t="str">
        <f>""</f>
        <v/>
      </c>
    </row>
    <row r="6516" spans="1:97" x14ac:dyDescent="0.25">
      <c r="A6516" t="s">
        <v>2045</v>
      </c>
      <c r="B6516" t="s">
        <v>22247</v>
      </c>
      <c r="E6516" t="s">
        <v>39309</v>
      </c>
      <c r="F6516" t="s">
        <v>108</v>
      </c>
      <c r="H6516" t="s">
        <v>39310</v>
      </c>
      <c r="I6516" t="s">
        <v>499</v>
      </c>
      <c r="J6516" t="s">
        <v>111</v>
      </c>
      <c r="K6516" t="str">
        <f>"85395"</f>
        <v>85395</v>
      </c>
      <c r="L6516" t="s">
        <v>500</v>
      </c>
      <c r="M6516" t="s">
        <v>39310</v>
      </c>
      <c r="N6516" t="s">
        <v>499</v>
      </c>
      <c r="O6516" t="s">
        <v>111</v>
      </c>
      <c r="P6516" t="str">
        <f>"85395-7625"</f>
        <v>85395-7625</v>
      </c>
      <c r="Q6516" t="s">
        <v>113</v>
      </c>
      <c r="R6516" t="str">
        <f>"502-30-306"</f>
        <v>502-30-306</v>
      </c>
      <c r="S6516" t="s">
        <v>11404</v>
      </c>
      <c r="T6516" t="s">
        <v>502</v>
      </c>
      <c r="U6516">
        <v>3741</v>
      </c>
      <c r="V6516">
        <v>0</v>
      </c>
      <c r="W6516">
        <v>5</v>
      </c>
      <c r="X6516">
        <v>2012</v>
      </c>
      <c r="Z6516">
        <v>1</v>
      </c>
      <c r="AA6516" t="s">
        <v>26</v>
      </c>
      <c r="AB6516">
        <v>0</v>
      </c>
      <c r="AC6516" t="s">
        <v>115</v>
      </c>
      <c r="AD6516">
        <v>3</v>
      </c>
      <c r="AE6516" t="s">
        <v>115</v>
      </c>
      <c r="AF6516">
        <v>0</v>
      </c>
      <c r="AG6516">
        <v>0</v>
      </c>
      <c r="AH6516" t="s">
        <v>116</v>
      </c>
      <c r="AI6516" s="1">
        <v>80441</v>
      </c>
      <c r="AJ6516" s="2">
        <v>0.17</v>
      </c>
      <c r="AK6516" s="1">
        <v>487071</v>
      </c>
      <c r="AL6516" t="s">
        <v>117</v>
      </c>
      <c r="AM6516" t="s">
        <v>118</v>
      </c>
      <c r="AN6516">
        <v>14439</v>
      </c>
      <c r="AO6516">
        <v>0.33</v>
      </c>
      <c r="AR6516">
        <v>1</v>
      </c>
      <c r="AS6516" s="1">
        <v>36870</v>
      </c>
      <c r="AT6516" s="1">
        <v>7370</v>
      </c>
      <c r="AU6516" s="1">
        <v>29500</v>
      </c>
      <c r="AV6516">
        <v>80.010000000000005</v>
      </c>
      <c r="AX6516" s="1">
        <v>3260.18</v>
      </c>
      <c r="AY6516" t="s">
        <v>503</v>
      </c>
      <c r="AZ6516" t="s">
        <v>504</v>
      </c>
      <c r="BA6516" t="s">
        <v>218</v>
      </c>
      <c r="BE6516" s="3">
        <v>42202</v>
      </c>
      <c r="BF6516" s="1">
        <v>394000</v>
      </c>
      <c r="BG6516" t="s">
        <v>39311</v>
      </c>
      <c r="BH6516" s="1">
        <v>105.32</v>
      </c>
      <c r="BI6516" s="1">
        <v>406630</v>
      </c>
      <c r="BJ6516" s="3">
        <v>42608</v>
      </c>
      <c r="BK6516" t="s">
        <v>123</v>
      </c>
      <c r="BL6516" t="str">
        <f>"2016.616392"</f>
        <v>2016.616392</v>
      </c>
      <c r="BM6516" t="s">
        <v>255</v>
      </c>
      <c r="BO6516" t="s">
        <v>39312</v>
      </c>
      <c r="BS6516">
        <v>30</v>
      </c>
      <c r="BW6516" t="str">
        <f>""</f>
        <v/>
      </c>
      <c r="CH6516" t="str">
        <f>""</f>
        <v/>
      </c>
      <c r="CS6516" t="str">
        <f>""</f>
        <v/>
      </c>
    </row>
    <row r="6517" spans="1:97" x14ac:dyDescent="0.25">
      <c r="A6517" t="s">
        <v>28087</v>
      </c>
      <c r="B6517" t="s">
        <v>39313</v>
      </c>
      <c r="C6517" t="s">
        <v>2008</v>
      </c>
      <c r="D6517" t="s">
        <v>39313</v>
      </c>
      <c r="E6517" t="s">
        <v>39314</v>
      </c>
      <c r="F6517" t="s">
        <v>108</v>
      </c>
      <c r="H6517" t="s">
        <v>39315</v>
      </c>
      <c r="I6517" t="s">
        <v>225</v>
      </c>
      <c r="J6517" t="s">
        <v>111</v>
      </c>
      <c r="K6517" t="str">
        <f>"85205"</f>
        <v>85205</v>
      </c>
      <c r="L6517" t="s">
        <v>5308</v>
      </c>
      <c r="M6517" t="s">
        <v>39315</v>
      </c>
      <c r="N6517" t="s">
        <v>225</v>
      </c>
      <c r="O6517" t="s">
        <v>111</v>
      </c>
      <c r="P6517" t="str">
        <f>"85205-4387"</f>
        <v>85205-4387</v>
      </c>
      <c r="Q6517" t="s">
        <v>113</v>
      </c>
      <c r="R6517" t="str">
        <f>"141-45-953"</f>
        <v>141-45-953</v>
      </c>
      <c r="S6517" t="s">
        <v>17882</v>
      </c>
      <c r="T6517" t="s">
        <v>17883</v>
      </c>
      <c r="U6517">
        <v>2397</v>
      </c>
      <c r="V6517">
        <v>0</v>
      </c>
      <c r="W6517">
        <v>4</v>
      </c>
      <c r="X6517">
        <v>1988</v>
      </c>
      <c r="Z6517">
        <v>2</v>
      </c>
      <c r="AA6517" t="s">
        <v>26</v>
      </c>
      <c r="AB6517">
        <v>0</v>
      </c>
      <c r="AC6517" t="s">
        <v>115</v>
      </c>
      <c r="AD6517">
        <v>3</v>
      </c>
      <c r="AE6517" t="s">
        <v>115</v>
      </c>
      <c r="AF6517">
        <v>0</v>
      </c>
      <c r="AG6517">
        <v>0</v>
      </c>
      <c r="AH6517" t="s">
        <v>116</v>
      </c>
      <c r="AI6517" s="1">
        <v>72358</v>
      </c>
      <c r="AJ6517" s="2">
        <v>0.2</v>
      </c>
      <c r="AK6517" s="1">
        <v>356502</v>
      </c>
      <c r="AL6517" t="s">
        <v>117</v>
      </c>
      <c r="AM6517" t="s">
        <v>393</v>
      </c>
      <c r="AN6517">
        <v>7323</v>
      </c>
      <c r="AO6517">
        <v>0.17</v>
      </c>
      <c r="AP6517">
        <v>1</v>
      </c>
      <c r="AR6517">
        <v>1</v>
      </c>
      <c r="AS6517" s="1">
        <v>25510</v>
      </c>
      <c r="AT6517" s="1">
        <v>5100</v>
      </c>
      <c r="AU6517" s="1">
        <v>20410</v>
      </c>
      <c r="AV6517">
        <v>80.010000000000005</v>
      </c>
      <c r="AX6517" s="1">
        <v>2041.16</v>
      </c>
      <c r="AY6517" t="s">
        <v>5274</v>
      </c>
      <c r="AZ6517" t="s">
        <v>5275</v>
      </c>
      <c r="BA6517" t="s">
        <v>3119</v>
      </c>
      <c r="BE6517" s="3">
        <v>42271</v>
      </c>
      <c r="BF6517" s="1">
        <v>279500</v>
      </c>
      <c r="BG6517" t="s">
        <v>39316</v>
      </c>
      <c r="BH6517" s="1">
        <v>116.6</v>
      </c>
      <c r="BI6517" s="1">
        <v>284144</v>
      </c>
      <c r="BJ6517" s="3">
        <v>42613</v>
      </c>
      <c r="BK6517" t="s">
        <v>123</v>
      </c>
      <c r="BL6517" t="str">
        <f>"2016.632820"</f>
        <v>2016.632820</v>
      </c>
      <c r="BM6517" t="s">
        <v>3611</v>
      </c>
      <c r="BO6517" t="s">
        <v>39317</v>
      </c>
      <c r="BS6517">
        <v>30</v>
      </c>
      <c r="BW6517" t="str">
        <f>""</f>
        <v/>
      </c>
      <c r="CH6517" t="str">
        <f>""</f>
        <v/>
      </c>
      <c r="CS6517" t="str">
        <f>""</f>
        <v/>
      </c>
    </row>
    <row r="6518" spans="1:97" x14ac:dyDescent="0.25">
      <c r="A6518" t="s">
        <v>2123</v>
      </c>
      <c r="B6518" t="s">
        <v>19683</v>
      </c>
      <c r="C6518" t="s">
        <v>489</v>
      </c>
      <c r="D6518" t="s">
        <v>19683</v>
      </c>
      <c r="E6518" t="s">
        <v>39318</v>
      </c>
      <c r="F6518" t="s">
        <v>108</v>
      </c>
      <c r="H6518" t="s">
        <v>39319</v>
      </c>
      <c r="I6518" t="s">
        <v>3150</v>
      </c>
      <c r="J6518" t="s">
        <v>111</v>
      </c>
      <c r="K6518" t="str">
        <f>"85340"</f>
        <v>85340</v>
      </c>
      <c r="L6518" t="s">
        <v>5239</v>
      </c>
      <c r="M6518" t="s">
        <v>39319</v>
      </c>
      <c r="N6518" t="s">
        <v>3150</v>
      </c>
      <c r="O6518" t="s">
        <v>111</v>
      </c>
      <c r="P6518" t="str">
        <f>"85340-9336"</f>
        <v>85340-9336</v>
      </c>
      <c r="Q6518" t="s">
        <v>113</v>
      </c>
      <c r="R6518" t="str">
        <f>"501-56-320"</f>
        <v>501-56-320</v>
      </c>
      <c r="S6518" t="s">
        <v>10071</v>
      </c>
      <c r="T6518" t="s">
        <v>10072</v>
      </c>
      <c r="U6518">
        <v>3257</v>
      </c>
      <c r="V6518">
        <v>0</v>
      </c>
      <c r="W6518">
        <v>4</v>
      </c>
      <c r="X6518">
        <v>2013</v>
      </c>
      <c r="Z6518">
        <v>1</v>
      </c>
      <c r="AA6518" t="s">
        <v>26</v>
      </c>
      <c r="AB6518">
        <v>0</v>
      </c>
      <c r="AC6518" t="s">
        <v>115</v>
      </c>
      <c r="AD6518">
        <v>3</v>
      </c>
      <c r="AE6518" t="s">
        <v>115</v>
      </c>
      <c r="AF6518">
        <v>0</v>
      </c>
      <c r="AG6518">
        <v>0</v>
      </c>
      <c r="AH6518" t="s">
        <v>116</v>
      </c>
      <c r="AI6518" s="1">
        <v>27980</v>
      </c>
      <c r="AJ6518" s="2">
        <v>0.05</v>
      </c>
      <c r="AK6518" s="1">
        <v>531561</v>
      </c>
      <c r="AL6518" t="s">
        <v>117</v>
      </c>
      <c r="AM6518" t="s">
        <v>376</v>
      </c>
      <c r="AN6518">
        <v>43564</v>
      </c>
      <c r="AO6518">
        <v>1</v>
      </c>
      <c r="AR6518">
        <v>1</v>
      </c>
      <c r="AS6518" s="1">
        <v>42710</v>
      </c>
      <c r="AT6518" s="1">
        <v>8540</v>
      </c>
      <c r="AU6518" s="1">
        <v>34170</v>
      </c>
      <c r="AV6518">
        <v>80</v>
      </c>
      <c r="AX6518" s="1">
        <v>3380.2</v>
      </c>
      <c r="AY6518" t="s">
        <v>5241</v>
      </c>
      <c r="AZ6518" t="s">
        <v>3153</v>
      </c>
      <c r="BA6518" t="s">
        <v>3154</v>
      </c>
      <c r="BE6518" s="3">
        <v>41684</v>
      </c>
      <c r="BF6518" s="1">
        <v>374964</v>
      </c>
      <c r="BG6518" t="s">
        <v>158</v>
      </c>
      <c r="BH6518" s="1">
        <v>115.13</v>
      </c>
      <c r="BI6518" s="1">
        <v>440677</v>
      </c>
      <c r="BJ6518" s="3">
        <v>42543</v>
      </c>
      <c r="BK6518" t="s">
        <v>123</v>
      </c>
      <c r="BL6518" t="str">
        <f>"2016.434152"</f>
        <v>2016.434152</v>
      </c>
      <c r="BM6518" t="s">
        <v>135</v>
      </c>
      <c r="BO6518" t="s">
        <v>39320</v>
      </c>
      <c r="BS6518">
        <v>30</v>
      </c>
      <c r="BT6518" s="1">
        <v>62904</v>
      </c>
      <c r="BU6518" s="3">
        <v>42587</v>
      </c>
      <c r="BV6518" t="s">
        <v>134</v>
      </c>
      <c r="BW6518" t="str">
        <f>"2016.558009"</f>
        <v>2016.558009</v>
      </c>
      <c r="BX6518" t="s">
        <v>198</v>
      </c>
      <c r="BZ6518" t="s">
        <v>39320</v>
      </c>
      <c r="CD6518">
        <v>15</v>
      </c>
      <c r="CH6518" t="str">
        <f>""</f>
        <v/>
      </c>
      <c r="CS6518" t="str">
        <f>""</f>
        <v/>
      </c>
    </row>
    <row r="6519" spans="1:97" x14ac:dyDescent="0.25">
      <c r="A6519" t="s">
        <v>39321</v>
      </c>
      <c r="B6519" t="s">
        <v>39322</v>
      </c>
      <c r="C6519" t="s">
        <v>2529</v>
      </c>
      <c r="D6519" t="s">
        <v>39323</v>
      </c>
      <c r="E6519" t="s">
        <v>39324</v>
      </c>
      <c r="F6519" t="s">
        <v>108</v>
      </c>
      <c r="H6519" t="s">
        <v>39325</v>
      </c>
      <c r="I6519" t="s">
        <v>2874</v>
      </c>
      <c r="J6519" t="s">
        <v>111</v>
      </c>
      <c r="K6519" t="str">
        <f>"85308"</f>
        <v>85308</v>
      </c>
      <c r="L6519" t="s">
        <v>6788</v>
      </c>
      <c r="M6519" t="s">
        <v>39325</v>
      </c>
      <c r="N6519" t="s">
        <v>2874</v>
      </c>
      <c r="O6519" t="s">
        <v>111</v>
      </c>
      <c r="P6519" t="str">
        <f>"85308-8261"</f>
        <v>85308-8261</v>
      </c>
      <c r="Q6519" t="s">
        <v>113</v>
      </c>
      <c r="R6519" t="str">
        <f>"231-04-150"</f>
        <v>231-04-150</v>
      </c>
      <c r="S6519" t="s">
        <v>39326</v>
      </c>
      <c r="T6519" t="s">
        <v>21516</v>
      </c>
      <c r="U6519">
        <v>3284</v>
      </c>
      <c r="V6519">
        <v>0</v>
      </c>
      <c r="W6519">
        <v>4</v>
      </c>
      <c r="X6519">
        <v>1981</v>
      </c>
      <c r="Z6519">
        <v>1</v>
      </c>
      <c r="AB6519">
        <v>0</v>
      </c>
      <c r="AC6519" t="s">
        <v>115</v>
      </c>
      <c r="AD6519">
        <v>3</v>
      </c>
      <c r="AE6519" t="s">
        <v>115</v>
      </c>
      <c r="AF6519">
        <v>0</v>
      </c>
      <c r="AG6519">
        <v>0</v>
      </c>
      <c r="AH6519" t="s">
        <v>116</v>
      </c>
      <c r="AI6519" s="1">
        <v>105319</v>
      </c>
      <c r="AJ6519" s="2">
        <v>0.22</v>
      </c>
      <c r="AK6519" s="1">
        <v>484653</v>
      </c>
      <c r="AL6519" t="s">
        <v>117</v>
      </c>
      <c r="AM6519" t="s">
        <v>6005</v>
      </c>
      <c r="AN6519">
        <v>18000</v>
      </c>
      <c r="AO6519">
        <v>0.41</v>
      </c>
      <c r="AP6519">
        <v>1</v>
      </c>
      <c r="AR6519">
        <v>1</v>
      </c>
      <c r="AS6519" s="1">
        <v>35950</v>
      </c>
      <c r="AT6519" s="1">
        <v>7190</v>
      </c>
      <c r="AU6519" s="1">
        <v>28760</v>
      </c>
      <c r="AV6519">
        <v>80</v>
      </c>
      <c r="AX6519" s="1">
        <v>3003.18</v>
      </c>
      <c r="AY6519" t="s">
        <v>8400</v>
      </c>
      <c r="AZ6519" t="s">
        <v>8400</v>
      </c>
      <c r="BA6519" t="s">
        <v>2223</v>
      </c>
      <c r="BE6519" s="3">
        <v>42138</v>
      </c>
      <c r="BF6519" s="1">
        <v>419000</v>
      </c>
      <c r="BG6519" t="s">
        <v>39327</v>
      </c>
      <c r="BH6519" s="1">
        <v>127.59</v>
      </c>
      <c r="BI6519" s="1">
        <v>321634</v>
      </c>
      <c r="BJ6519" s="3">
        <v>42375</v>
      </c>
      <c r="BK6519" t="s">
        <v>123</v>
      </c>
      <c r="BL6519" t="str">
        <f>"2016.6892"</f>
        <v>2016.6892</v>
      </c>
      <c r="BM6519" t="s">
        <v>2117</v>
      </c>
      <c r="BO6519" t="s">
        <v>39328</v>
      </c>
      <c r="BP6519" t="s">
        <v>39329</v>
      </c>
      <c r="BS6519">
        <v>30</v>
      </c>
      <c r="BT6519" s="1">
        <v>57700</v>
      </c>
      <c r="BU6519" s="3">
        <v>42759</v>
      </c>
      <c r="BV6519" t="s">
        <v>134</v>
      </c>
      <c r="BW6519" t="str">
        <f>"2017.54327"</f>
        <v>2017.54327</v>
      </c>
      <c r="BX6519" t="s">
        <v>7942</v>
      </c>
      <c r="BZ6519" t="s">
        <v>39328</v>
      </c>
      <c r="CA6519" t="s">
        <v>39329</v>
      </c>
      <c r="CD6519">
        <v>30</v>
      </c>
      <c r="CH6519" t="str">
        <f>""</f>
        <v/>
      </c>
      <c r="CS6519" t="str">
        <f>""</f>
        <v/>
      </c>
    </row>
    <row r="6520" spans="1:97" x14ac:dyDescent="0.25">
      <c r="A6520" t="s">
        <v>1850</v>
      </c>
      <c r="B6520" t="s">
        <v>1851</v>
      </c>
      <c r="E6520" t="s">
        <v>39330</v>
      </c>
      <c r="F6520" t="s">
        <v>108</v>
      </c>
      <c r="H6520" t="s">
        <v>39331</v>
      </c>
      <c r="I6520" t="s">
        <v>453</v>
      </c>
      <c r="J6520" t="s">
        <v>111</v>
      </c>
      <c r="K6520" t="str">
        <f>"85383"</f>
        <v>85383</v>
      </c>
      <c r="L6520" t="s">
        <v>454</v>
      </c>
      <c r="M6520" t="s">
        <v>39331</v>
      </c>
      <c r="N6520" t="s">
        <v>453</v>
      </c>
      <c r="O6520" t="s">
        <v>111</v>
      </c>
      <c r="P6520" t="str">
        <f>"85383-8034"</f>
        <v>85383-8034</v>
      </c>
      <c r="Q6520" t="s">
        <v>113</v>
      </c>
      <c r="R6520" t="str">
        <f>"503-81-352"</f>
        <v>503-81-352</v>
      </c>
      <c r="S6520" t="s">
        <v>14111</v>
      </c>
      <c r="U6520">
        <v>2097</v>
      </c>
      <c r="V6520">
        <v>0</v>
      </c>
      <c r="W6520">
        <v>3</v>
      </c>
      <c r="X6520">
        <v>2015</v>
      </c>
      <c r="Z6520">
        <v>1</v>
      </c>
      <c r="AB6520">
        <v>0</v>
      </c>
      <c r="AC6520" t="s">
        <v>115</v>
      </c>
      <c r="AD6520">
        <v>3</v>
      </c>
      <c r="AE6520" t="s">
        <v>115</v>
      </c>
      <c r="AF6520">
        <v>0</v>
      </c>
      <c r="AG6520">
        <v>0</v>
      </c>
      <c r="AH6520" t="s">
        <v>116</v>
      </c>
      <c r="AI6520" s="1">
        <v>9800</v>
      </c>
      <c r="AJ6520" s="2">
        <v>0.03</v>
      </c>
      <c r="AK6520" s="1">
        <v>340800</v>
      </c>
      <c r="AL6520" t="s">
        <v>117</v>
      </c>
      <c r="AM6520" t="s">
        <v>118</v>
      </c>
      <c r="AN6520">
        <v>6001</v>
      </c>
      <c r="AO6520">
        <v>0.14000000000000001</v>
      </c>
      <c r="AR6520">
        <v>1</v>
      </c>
      <c r="AS6520" s="1">
        <v>23130</v>
      </c>
      <c r="AT6520" s="1">
        <v>4620</v>
      </c>
      <c r="AU6520" s="1">
        <v>18510</v>
      </c>
      <c r="AV6520">
        <v>80.03</v>
      </c>
      <c r="AX6520" s="1">
        <v>2180.9</v>
      </c>
      <c r="AY6520" t="s">
        <v>456</v>
      </c>
      <c r="AZ6520" t="s">
        <v>456</v>
      </c>
      <c r="BA6520" t="s">
        <v>457</v>
      </c>
      <c r="BE6520" s="3">
        <v>42408</v>
      </c>
      <c r="BF6520" s="1">
        <v>265467</v>
      </c>
      <c r="BG6520" t="s">
        <v>645</v>
      </c>
      <c r="BH6520" s="1">
        <v>126.59</v>
      </c>
      <c r="BI6520" s="1">
        <v>331000</v>
      </c>
      <c r="BJ6520" s="3">
        <v>43619</v>
      </c>
      <c r="BK6520" t="s">
        <v>123</v>
      </c>
      <c r="BL6520" t="str">
        <f>"2019.407070"</f>
        <v>2019.407070</v>
      </c>
      <c r="BM6520" t="s">
        <v>39332</v>
      </c>
      <c r="BN6520" t="s">
        <v>4706</v>
      </c>
      <c r="BO6520" t="s">
        <v>39333</v>
      </c>
      <c r="BR6520" t="s">
        <v>139</v>
      </c>
      <c r="BW6520" t="str">
        <f>""</f>
        <v/>
      </c>
      <c r="CH6520" t="str">
        <f>""</f>
        <v/>
      </c>
      <c r="CS6520" t="str">
        <f>""</f>
        <v/>
      </c>
    </row>
    <row r="6521" spans="1:97" x14ac:dyDescent="0.25">
      <c r="A6521" t="s">
        <v>9234</v>
      </c>
      <c r="B6521" t="s">
        <v>39334</v>
      </c>
      <c r="E6521" t="s">
        <v>39335</v>
      </c>
      <c r="F6521" t="s">
        <v>139</v>
      </c>
      <c r="H6521" t="s">
        <v>39336</v>
      </c>
      <c r="I6521" t="s">
        <v>203</v>
      </c>
      <c r="J6521" t="s">
        <v>111</v>
      </c>
      <c r="K6521" t="str">
        <f>"85298"</f>
        <v>85298</v>
      </c>
      <c r="L6521" t="s">
        <v>500</v>
      </c>
      <c r="M6521" t="s">
        <v>39336</v>
      </c>
      <c r="N6521" t="s">
        <v>203</v>
      </c>
      <c r="O6521" t="s">
        <v>111</v>
      </c>
      <c r="P6521" t="str">
        <f>"85298-4211"</f>
        <v>85298-4211</v>
      </c>
      <c r="Q6521" t="s">
        <v>113</v>
      </c>
      <c r="R6521" t="str">
        <f>"313-07-642"</f>
        <v>313-07-642</v>
      </c>
      <c r="S6521" t="s">
        <v>7591</v>
      </c>
      <c r="T6521" t="s">
        <v>1132</v>
      </c>
      <c r="U6521">
        <v>2122</v>
      </c>
      <c r="V6521">
        <v>0</v>
      </c>
      <c r="W6521">
        <v>3</v>
      </c>
      <c r="X6521">
        <v>2005</v>
      </c>
      <c r="Z6521">
        <v>1</v>
      </c>
      <c r="AB6521">
        <v>0</v>
      </c>
      <c r="AC6521" t="s">
        <v>115</v>
      </c>
      <c r="AD6521">
        <v>3</v>
      </c>
      <c r="AE6521" t="s">
        <v>115</v>
      </c>
      <c r="AF6521">
        <v>0</v>
      </c>
      <c r="AG6521">
        <v>0</v>
      </c>
      <c r="AH6521" t="s">
        <v>116</v>
      </c>
      <c r="AI6521" s="1">
        <v>96188</v>
      </c>
      <c r="AJ6521" s="2">
        <v>0.27</v>
      </c>
      <c r="AK6521" s="1">
        <v>360088</v>
      </c>
      <c r="AL6521" t="s">
        <v>117</v>
      </c>
      <c r="AM6521" t="s">
        <v>393</v>
      </c>
      <c r="AN6521">
        <v>7973</v>
      </c>
      <c r="AO6521">
        <v>0.18</v>
      </c>
      <c r="AR6521">
        <v>1</v>
      </c>
      <c r="AS6521" s="1">
        <v>24280</v>
      </c>
      <c r="AT6521" s="1">
        <v>4850</v>
      </c>
      <c r="AU6521" s="1">
        <v>19430</v>
      </c>
      <c r="AV6521">
        <v>80.02</v>
      </c>
      <c r="AX6521" s="1">
        <v>1986.34</v>
      </c>
      <c r="AY6521" t="s">
        <v>1133</v>
      </c>
      <c r="AZ6521" t="s">
        <v>1134</v>
      </c>
      <c r="BA6521" t="s">
        <v>1134</v>
      </c>
      <c r="BB6521" s="3">
        <v>43220</v>
      </c>
      <c r="BC6521" s="1">
        <v>13000</v>
      </c>
      <c r="BD6521" t="s">
        <v>247</v>
      </c>
      <c r="BE6521" s="3">
        <v>42460</v>
      </c>
      <c r="BF6521" s="1">
        <v>278900</v>
      </c>
      <c r="BG6521" t="s">
        <v>39337</v>
      </c>
      <c r="BH6521" s="1">
        <v>131.43</v>
      </c>
      <c r="BI6521" s="1">
        <v>263900</v>
      </c>
      <c r="BJ6521" s="3">
        <v>42460</v>
      </c>
      <c r="BK6521" t="s">
        <v>123</v>
      </c>
      <c r="BL6521" t="str">
        <f>"2016.212005"</f>
        <v>2016.212005</v>
      </c>
      <c r="BM6521" t="s">
        <v>1760</v>
      </c>
      <c r="BN6521" t="s">
        <v>39338</v>
      </c>
      <c r="BO6521" t="s">
        <v>39339</v>
      </c>
      <c r="BS6521">
        <v>30</v>
      </c>
      <c r="BW6521" t="str">
        <f>""</f>
        <v/>
      </c>
      <c r="CH6521" t="str">
        <f>""</f>
        <v/>
      </c>
      <c r="CS6521" t="str">
        <f>""</f>
        <v/>
      </c>
    </row>
    <row r="6522" spans="1:97" x14ac:dyDescent="0.25">
      <c r="A6522" t="s">
        <v>3221</v>
      </c>
      <c r="B6522" t="s">
        <v>1862</v>
      </c>
      <c r="E6522" t="s">
        <v>39340</v>
      </c>
      <c r="F6522" t="s">
        <v>108</v>
      </c>
      <c r="H6522" t="s">
        <v>39341</v>
      </c>
      <c r="I6522" t="s">
        <v>225</v>
      </c>
      <c r="J6522" t="s">
        <v>111</v>
      </c>
      <c r="K6522" t="str">
        <f>"85209"</f>
        <v>85209</v>
      </c>
      <c r="L6522" t="s">
        <v>7725</v>
      </c>
      <c r="M6522" t="s">
        <v>39341</v>
      </c>
      <c r="N6522" t="s">
        <v>225</v>
      </c>
      <c r="O6522" t="s">
        <v>111</v>
      </c>
      <c r="P6522" t="str">
        <f>"85209-2535"</f>
        <v>85209-2535</v>
      </c>
      <c r="Q6522" t="s">
        <v>113</v>
      </c>
      <c r="R6522" t="str">
        <f>"312-04-078"</f>
        <v>312-04-078</v>
      </c>
      <c r="S6522" t="s">
        <v>39342</v>
      </c>
      <c r="T6522" t="s">
        <v>39342</v>
      </c>
      <c r="U6522">
        <v>1704</v>
      </c>
      <c r="V6522">
        <v>0</v>
      </c>
      <c r="W6522">
        <v>3</v>
      </c>
      <c r="X6522">
        <v>2001</v>
      </c>
      <c r="Z6522">
        <v>2</v>
      </c>
      <c r="AB6522">
        <v>0</v>
      </c>
      <c r="AC6522" t="s">
        <v>115</v>
      </c>
      <c r="AD6522">
        <v>2</v>
      </c>
      <c r="AE6522" t="s">
        <v>115</v>
      </c>
      <c r="AF6522">
        <v>0</v>
      </c>
      <c r="AG6522">
        <v>0</v>
      </c>
      <c r="AH6522" t="s">
        <v>116</v>
      </c>
      <c r="AI6522" s="1">
        <v>60948</v>
      </c>
      <c r="AJ6522" s="2">
        <v>0.22</v>
      </c>
      <c r="AK6522" s="1">
        <v>272249</v>
      </c>
      <c r="AL6522" t="s">
        <v>117</v>
      </c>
      <c r="AM6522" t="s">
        <v>191</v>
      </c>
      <c r="AN6522">
        <v>3750</v>
      </c>
      <c r="AO6522">
        <v>0.86</v>
      </c>
      <c r="AP6522">
        <v>1</v>
      </c>
      <c r="AR6522">
        <v>1</v>
      </c>
      <c r="AS6522" s="1">
        <v>18060</v>
      </c>
      <c r="AT6522" s="1">
        <v>3610</v>
      </c>
      <c r="AU6522" s="1">
        <v>14450</v>
      </c>
      <c r="AV6522">
        <v>80.010000000000005</v>
      </c>
      <c r="AX6522" s="1">
        <v>1271.1400000000001</v>
      </c>
      <c r="AY6522" t="s">
        <v>4370</v>
      </c>
      <c r="AZ6522" t="s">
        <v>777</v>
      </c>
      <c r="BA6522" t="s">
        <v>572</v>
      </c>
      <c r="BE6522" s="3">
        <v>42389</v>
      </c>
      <c r="BF6522" s="1">
        <v>206500</v>
      </c>
      <c r="BG6522" t="s">
        <v>39343</v>
      </c>
      <c r="BH6522" s="1">
        <v>121.19</v>
      </c>
      <c r="BI6522" s="1">
        <v>211301</v>
      </c>
      <c r="BJ6522" s="3">
        <v>42915</v>
      </c>
      <c r="BK6522" t="s">
        <v>123</v>
      </c>
      <c r="BL6522" t="str">
        <f>"2017.475393"</f>
        <v>2017.475393</v>
      </c>
      <c r="BM6522" t="s">
        <v>28498</v>
      </c>
      <c r="BO6522" t="s">
        <v>39344</v>
      </c>
      <c r="BS6522">
        <v>30</v>
      </c>
      <c r="BW6522" t="str">
        <f>""</f>
        <v/>
      </c>
      <c r="CH6522" t="str">
        <f>""</f>
        <v/>
      </c>
      <c r="CS6522" t="str">
        <f>""</f>
        <v/>
      </c>
    </row>
    <row r="6523" spans="1:97" x14ac:dyDescent="0.25">
      <c r="A6523" t="s">
        <v>489</v>
      </c>
      <c r="B6523" t="s">
        <v>9345</v>
      </c>
      <c r="C6523" t="s">
        <v>39345</v>
      </c>
      <c r="D6523" t="s">
        <v>11749</v>
      </c>
      <c r="E6523" t="s">
        <v>39346</v>
      </c>
      <c r="F6523" t="s">
        <v>108</v>
      </c>
      <c r="H6523" t="s">
        <v>39347</v>
      </c>
      <c r="I6523" t="s">
        <v>5387</v>
      </c>
      <c r="J6523" t="s">
        <v>111</v>
      </c>
      <c r="K6523" t="str">
        <f>"85284"</f>
        <v>85284</v>
      </c>
      <c r="L6523" t="s">
        <v>5239</v>
      </c>
      <c r="M6523" t="s">
        <v>39347</v>
      </c>
      <c r="N6523" t="s">
        <v>5387</v>
      </c>
      <c r="O6523" t="s">
        <v>111</v>
      </c>
      <c r="P6523" t="str">
        <f>"85284-3776"</f>
        <v>85284-3776</v>
      </c>
      <c r="Q6523" t="s">
        <v>113</v>
      </c>
      <c r="R6523" t="str">
        <f>"301-60-401"</f>
        <v>301-60-401</v>
      </c>
      <c r="S6523" t="s">
        <v>39348</v>
      </c>
      <c r="T6523" t="s">
        <v>7661</v>
      </c>
      <c r="U6523">
        <v>1553</v>
      </c>
      <c r="V6523">
        <v>0</v>
      </c>
      <c r="W6523">
        <v>3</v>
      </c>
      <c r="X6523">
        <v>1994</v>
      </c>
      <c r="Z6523">
        <v>1</v>
      </c>
      <c r="AA6523" t="s">
        <v>26</v>
      </c>
      <c r="AB6523">
        <v>0</v>
      </c>
      <c r="AC6523" t="s">
        <v>115</v>
      </c>
      <c r="AD6523">
        <v>2</v>
      </c>
      <c r="AE6523" t="s">
        <v>115</v>
      </c>
      <c r="AF6523">
        <v>0</v>
      </c>
      <c r="AG6523">
        <v>0</v>
      </c>
      <c r="AH6523" t="s">
        <v>116</v>
      </c>
      <c r="AI6523" s="1">
        <v>56918</v>
      </c>
      <c r="AJ6523" s="2">
        <v>0.17</v>
      </c>
      <c r="AK6523" s="1">
        <v>334766</v>
      </c>
      <c r="AL6523" t="s">
        <v>117</v>
      </c>
      <c r="AM6523" t="s">
        <v>191</v>
      </c>
      <c r="AN6523">
        <v>7200</v>
      </c>
      <c r="AO6523">
        <v>0.16</v>
      </c>
      <c r="AP6523">
        <v>1</v>
      </c>
      <c r="AR6523">
        <v>1</v>
      </c>
      <c r="AS6523" s="1">
        <v>24810</v>
      </c>
      <c r="AT6523" s="1">
        <v>4960</v>
      </c>
      <c r="AU6523" s="1">
        <v>19850</v>
      </c>
      <c r="AV6523">
        <v>80.010000000000005</v>
      </c>
      <c r="AX6523" s="1">
        <v>2245.94</v>
      </c>
      <c r="AY6523" t="s">
        <v>7662</v>
      </c>
      <c r="AZ6523" t="s">
        <v>5201</v>
      </c>
      <c r="BA6523" t="s">
        <v>5328</v>
      </c>
      <c r="BE6523" s="3">
        <v>42174</v>
      </c>
      <c r="BF6523" s="1">
        <v>272000</v>
      </c>
      <c r="BG6523" t="s">
        <v>39349</v>
      </c>
      <c r="BH6523" s="1">
        <v>175.14</v>
      </c>
      <c r="BI6523" s="1">
        <v>277848</v>
      </c>
      <c r="BJ6523" s="3">
        <v>42174</v>
      </c>
      <c r="BK6523" t="s">
        <v>123</v>
      </c>
      <c r="BL6523" t="str">
        <f>"2015.441132"</f>
        <v>2015.441132</v>
      </c>
      <c r="BM6523" t="s">
        <v>6784</v>
      </c>
      <c r="BO6523" t="s">
        <v>39350</v>
      </c>
      <c r="BP6523" t="s">
        <v>39351</v>
      </c>
      <c r="BS6523">
        <v>30</v>
      </c>
      <c r="BW6523" t="str">
        <f>""</f>
        <v/>
      </c>
      <c r="CH6523" t="str">
        <f>""</f>
        <v/>
      </c>
      <c r="CS6523" t="str">
        <f>""</f>
        <v/>
      </c>
    </row>
    <row r="6524" spans="1:97" x14ac:dyDescent="0.25">
      <c r="A6524" t="s">
        <v>1067</v>
      </c>
      <c r="B6524" t="s">
        <v>39352</v>
      </c>
      <c r="C6524" t="s">
        <v>7026</v>
      </c>
      <c r="D6524" t="s">
        <v>39352</v>
      </c>
      <c r="E6524" t="s">
        <v>39353</v>
      </c>
      <c r="F6524" t="s">
        <v>108</v>
      </c>
      <c r="H6524" t="s">
        <v>39354</v>
      </c>
      <c r="I6524" t="s">
        <v>390</v>
      </c>
      <c r="J6524" t="s">
        <v>111</v>
      </c>
      <c r="K6524" t="str">
        <f>"85050"</f>
        <v>85050</v>
      </c>
      <c r="L6524" t="s">
        <v>8543</v>
      </c>
      <c r="M6524" t="s">
        <v>39354</v>
      </c>
      <c r="N6524" t="s">
        <v>390</v>
      </c>
      <c r="O6524" t="s">
        <v>111</v>
      </c>
      <c r="P6524" t="str">
        <f>"85050-4955"</f>
        <v>85050-4955</v>
      </c>
      <c r="Q6524" t="s">
        <v>113</v>
      </c>
      <c r="R6524" t="str">
        <f>"212-40-656"</f>
        <v>212-40-656</v>
      </c>
      <c r="S6524" t="s">
        <v>39355</v>
      </c>
      <c r="T6524" t="s">
        <v>39356</v>
      </c>
      <c r="U6524">
        <v>3736</v>
      </c>
      <c r="V6524">
        <v>0</v>
      </c>
      <c r="W6524">
        <v>6</v>
      </c>
      <c r="X6524">
        <v>2009</v>
      </c>
      <c r="Z6524">
        <v>2</v>
      </c>
      <c r="AA6524" t="s">
        <v>26</v>
      </c>
      <c r="AB6524">
        <v>0</v>
      </c>
      <c r="AC6524" t="s">
        <v>115</v>
      </c>
      <c r="AD6524">
        <v>4</v>
      </c>
      <c r="AE6524" t="s">
        <v>115</v>
      </c>
      <c r="AF6524">
        <v>0</v>
      </c>
      <c r="AG6524">
        <v>0</v>
      </c>
      <c r="AH6524" t="s">
        <v>116</v>
      </c>
      <c r="AI6524" s="1">
        <v>133247</v>
      </c>
      <c r="AJ6524" s="2">
        <v>0.17</v>
      </c>
      <c r="AK6524" s="1">
        <v>783347</v>
      </c>
      <c r="AL6524" t="s">
        <v>117</v>
      </c>
      <c r="AM6524" t="s">
        <v>171</v>
      </c>
      <c r="AN6524">
        <v>8225</v>
      </c>
      <c r="AO6524">
        <v>0.19</v>
      </c>
      <c r="AR6524">
        <v>1</v>
      </c>
      <c r="AS6524" s="1">
        <v>61980</v>
      </c>
      <c r="AT6524" s="1">
        <v>12390</v>
      </c>
      <c r="AU6524" s="1">
        <v>49590</v>
      </c>
      <c r="AV6524">
        <v>80.010000000000005</v>
      </c>
      <c r="AX6524" s="1">
        <v>6253.94</v>
      </c>
      <c r="AY6524" t="s">
        <v>11778</v>
      </c>
      <c r="AZ6524" t="s">
        <v>6352</v>
      </c>
      <c r="BA6524" t="s">
        <v>762</v>
      </c>
      <c r="BE6524" s="3">
        <v>42367</v>
      </c>
      <c r="BF6524" s="1">
        <v>715000</v>
      </c>
      <c r="BG6524" t="s">
        <v>39357</v>
      </c>
      <c r="BH6524" s="1">
        <v>191.38</v>
      </c>
      <c r="BI6524" s="1">
        <v>650100</v>
      </c>
      <c r="BJ6524" s="3">
        <v>42367</v>
      </c>
      <c r="BK6524" t="s">
        <v>123</v>
      </c>
      <c r="BL6524" t="str">
        <f>"2015.913428"</f>
        <v>2015.913428</v>
      </c>
      <c r="BM6524" t="s">
        <v>124</v>
      </c>
      <c r="BO6524" t="s">
        <v>39358</v>
      </c>
      <c r="BS6524">
        <v>30</v>
      </c>
      <c r="BW6524" t="str">
        <f>""</f>
        <v/>
      </c>
      <c r="CH6524" t="str">
        <f>""</f>
        <v/>
      </c>
      <c r="CS6524" t="str">
        <f>""</f>
        <v/>
      </c>
    </row>
    <row r="6525" spans="1:97" x14ac:dyDescent="0.25">
      <c r="A6525" t="s">
        <v>996</v>
      </c>
      <c r="B6525" t="s">
        <v>38522</v>
      </c>
      <c r="C6525" t="s">
        <v>3057</v>
      </c>
      <c r="D6525" t="s">
        <v>38522</v>
      </c>
      <c r="E6525" t="s">
        <v>39359</v>
      </c>
      <c r="F6525" t="s">
        <v>108</v>
      </c>
      <c r="H6525" t="s">
        <v>39360</v>
      </c>
      <c r="I6525" t="s">
        <v>632</v>
      </c>
      <c r="J6525" t="s">
        <v>111</v>
      </c>
      <c r="K6525" t="str">
        <f>"85379"</f>
        <v>85379</v>
      </c>
      <c r="L6525" t="s">
        <v>6308</v>
      </c>
      <c r="M6525" t="s">
        <v>39360</v>
      </c>
      <c r="N6525" t="s">
        <v>632</v>
      </c>
      <c r="O6525" t="s">
        <v>111</v>
      </c>
      <c r="P6525" t="str">
        <f>"85379-8676"</f>
        <v>85379-8676</v>
      </c>
      <c r="Q6525" t="s">
        <v>113</v>
      </c>
      <c r="R6525" t="str">
        <f>"509-17-620"</f>
        <v>509-17-620</v>
      </c>
      <c r="S6525" t="s">
        <v>10371</v>
      </c>
      <c r="U6525">
        <v>3174</v>
      </c>
      <c r="V6525">
        <v>0</v>
      </c>
      <c r="W6525">
        <v>5</v>
      </c>
      <c r="X6525">
        <v>2005</v>
      </c>
      <c r="Z6525">
        <v>2</v>
      </c>
      <c r="AB6525">
        <v>0</v>
      </c>
      <c r="AC6525" t="s">
        <v>115</v>
      </c>
      <c r="AD6525">
        <v>3</v>
      </c>
      <c r="AE6525" t="s">
        <v>115</v>
      </c>
      <c r="AF6525">
        <v>0</v>
      </c>
      <c r="AG6525">
        <v>0</v>
      </c>
      <c r="AH6525" t="s">
        <v>116</v>
      </c>
      <c r="AI6525" s="1">
        <v>130497</v>
      </c>
      <c r="AJ6525" s="2">
        <v>0.39</v>
      </c>
      <c r="AK6525" s="1">
        <v>338059</v>
      </c>
      <c r="AL6525" t="s">
        <v>117</v>
      </c>
      <c r="AM6525" t="s">
        <v>118</v>
      </c>
      <c r="AN6525">
        <v>9277</v>
      </c>
      <c r="AO6525">
        <v>0.21</v>
      </c>
      <c r="AR6525">
        <v>1</v>
      </c>
      <c r="AS6525" s="1">
        <v>24500</v>
      </c>
      <c r="AT6525" s="1">
        <v>4900</v>
      </c>
      <c r="AU6525" s="1">
        <v>19600</v>
      </c>
      <c r="AV6525">
        <v>80</v>
      </c>
      <c r="AX6525" s="1">
        <v>1741.54</v>
      </c>
      <c r="AY6525" t="s">
        <v>5818</v>
      </c>
      <c r="AZ6525" t="s">
        <v>5818</v>
      </c>
      <c r="BA6525" t="s">
        <v>321</v>
      </c>
      <c r="BB6525" s="3">
        <v>43446</v>
      </c>
      <c r="BC6525" s="1">
        <v>0</v>
      </c>
      <c r="BD6525" t="s">
        <v>247</v>
      </c>
      <c r="BE6525" s="3">
        <v>41838</v>
      </c>
      <c r="BF6525" s="1">
        <v>235000</v>
      </c>
      <c r="BG6525" t="s">
        <v>39361</v>
      </c>
      <c r="BH6525" s="1">
        <v>74.040000000000006</v>
      </c>
      <c r="BI6525" s="1">
        <v>207562</v>
      </c>
      <c r="BJ6525" s="3">
        <v>41838</v>
      </c>
      <c r="BK6525" t="s">
        <v>123</v>
      </c>
      <c r="BL6525" t="str">
        <f>"2014.472595"</f>
        <v>2014.472595</v>
      </c>
      <c r="BM6525" t="s">
        <v>5867</v>
      </c>
      <c r="BN6525" t="s">
        <v>9181</v>
      </c>
      <c r="BO6525" t="s">
        <v>39362</v>
      </c>
      <c r="BS6525">
        <v>30</v>
      </c>
      <c r="BW6525" t="str">
        <f>""</f>
        <v/>
      </c>
      <c r="CH6525" t="str">
        <f>""</f>
        <v/>
      </c>
      <c r="CS6525" t="str">
        <f>""</f>
        <v/>
      </c>
    </row>
    <row r="6526" spans="1:97" x14ac:dyDescent="0.25">
      <c r="A6526" t="s">
        <v>962</v>
      </c>
      <c r="B6526" t="s">
        <v>6979</v>
      </c>
      <c r="C6526" t="s">
        <v>39363</v>
      </c>
      <c r="D6526" t="s">
        <v>2255</v>
      </c>
      <c r="E6526" t="s">
        <v>39364</v>
      </c>
      <c r="F6526" t="s">
        <v>108</v>
      </c>
      <c r="H6526" t="s">
        <v>39365</v>
      </c>
      <c r="I6526" t="s">
        <v>167</v>
      </c>
      <c r="J6526" t="s">
        <v>111</v>
      </c>
      <c r="K6526" t="str">
        <f>"85339"</f>
        <v>85339</v>
      </c>
      <c r="L6526" t="s">
        <v>5775</v>
      </c>
      <c r="M6526" t="s">
        <v>39365</v>
      </c>
      <c r="N6526" t="s">
        <v>167</v>
      </c>
      <c r="O6526" t="s">
        <v>111</v>
      </c>
      <c r="P6526" t="str">
        <f>"85339-2127"</f>
        <v>85339-2127</v>
      </c>
      <c r="Q6526" t="s">
        <v>113</v>
      </c>
      <c r="R6526" t="str">
        <f>"300-84-794"</f>
        <v>300-84-794</v>
      </c>
      <c r="S6526" t="s">
        <v>5776</v>
      </c>
      <c r="U6526">
        <v>3599</v>
      </c>
      <c r="V6526">
        <v>0</v>
      </c>
      <c r="W6526">
        <v>4</v>
      </c>
      <c r="X6526">
        <v>2004</v>
      </c>
      <c r="Z6526">
        <v>2</v>
      </c>
      <c r="AA6526" t="s">
        <v>26</v>
      </c>
      <c r="AB6526">
        <v>0</v>
      </c>
      <c r="AC6526" t="s">
        <v>115</v>
      </c>
      <c r="AD6526">
        <v>3</v>
      </c>
      <c r="AE6526" t="s">
        <v>115</v>
      </c>
      <c r="AF6526">
        <v>0</v>
      </c>
      <c r="AG6526">
        <v>0</v>
      </c>
      <c r="AH6526" t="s">
        <v>116</v>
      </c>
      <c r="AI6526" s="1">
        <v>42425</v>
      </c>
      <c r="AJ6526" s="2">
        <v>0.11</v>
      </c>
      <c r="AK6526" s="1">
        <v>372267</v>
      </c>
      <c r="AL6526" t="s">
        <v>117</v>
      </c>
      <c r="AM6526" t="s">
        <v>171</v>
      </c>
      <c r="AN6526">
        <v>10000</v>
      </c>
      <c r="AO6526">
        <v>0.23</v>
      </c>
      <c r="AP6526">
        <v>1</v>
      </c>
      <c r="AR6526">
        <v>1</v>
      </c>
      <c r="AS6526" s="1">
        <v>26100</v>
      </c>
      <c r="AT6526" s="1">
        <v>5220</v>
      </c>
      <c r="AU6526" s="1">
        <v>20880</v>
      </c>
      <c r="AV6526">
        <v>80</v>
      </c>
      <c r="AX6526" s="1">
        <v>3188.3</v>
      </c>
      <c r="AY6526" t="s">
        <v>5777</v>
      </c>
      <c r="AZ6526" t="s">
        <v>5777</v>
      </c>
      <c r="BA6526" t="s">
        <v>173</v>
      </c>
      <c r="BE6526" s="3">
        <v>42276</v>
      </c>
      <c r="BF6526" s="1">
        <v>322900</v>
      </c>
      <c r="BG6526" t="s">
        <v>39366</v>
      </c>
      <c r="BH6526" s="1">
        <v>89.72</v>
      </c>
      <c r="BI6526" s="1">
        <v>329842</v>
      </c>
      <c r="BJ6526" s="3">
        <v>42276</v>
      </c>
      <c r="BK6526" t="s">
        <v>123</v>
      </c>
      <c r="BL6526" t="str">
        <f>"2015.699344"</f>
        <v>2015.699344</v>
      </c>
      <c r="BM6526" t="s">
        <v>309</v>
      </c>
      <c r="BO6526" t="s">
        <v>39367</v>
      </c>
      <c r="BP6526" t="s">
        <v>39368</v>
      </c>
      <c r="BS6526">
        <v>30</v>
      </c>
      <c r="BW6526" t="str">
        <f>""</f>
        <v/>
      </c>
      <c r="CH6526" t="str">
        <f>""</f>
        <v/>
      </c>
      <c r="CS6526" t="str">
        <f>""</f>
        <v/>
      </c>
    </row>
    <row r="6527" spans="1:97" x14ac:dyDescent="0.25">
      <c r="A6527" t="s">
        <v>211</v>
      </c>
      <c r="B6527" t="s">
        <v>39369</v>
      </c>
      <c r="C6527" t="s">
        <v>5071</v>
      </c>
      <c r="D6527" t="s">
        <v>39369</v>
      </c>
      <c r="E6527" t="s">
        <v>39370</v>
      </c>
      <c r="F6527" t="s">
        <v>108</v>
      </c>
      <c r="H6527" t="s">
        <v>39371</v>
      </c>
      <c r="I6527" t="s">
        <v>390</v>
      </c>
      <c r="J6527" t="s">
        <v>111</v>
      </c>
      <c r="K6527" t="str">
        <f>"85050"</f>
        <v>85050</v>
      </c>
      <c r="L6527" t="s">
        <v>6964</v>
      </c>
      <c r="M6527" t="s">
        <v>39371</v>
      </c>
      <c r="N6527" t="s">
        <v>390</v>
      </c>
      <c r="O6527" t="s">
        <v>111</v>
      </c>
      <c r="P6527" t="str">
        <f>"85050-3908"</f>
        <v>85050-3908</v>
      </c>
      <c r="Q6527" t="s">
        <v>113</v>
      </c>
      <c r="R6527" t="str">
        <f>"213-14-317"</f>
        <v>213-14-317</v>
      </c>
      <c r="S6527" t="s">
        <v>39372</v>
      </c>
      <c r="T6527" t="s">
        <v>39373</v>
      </c>
      <c r="U6527">
        <v>2576</v>
      </c>
      <c r="V6527">
        <v>0</v>
      </c>
      <c r="W6527">
        <v>4</v>
      </c>
      <c r="X6527">
        <v>1988</v>
      </c>
      <c r="Z6527">
        <v>2</v>
      </c>
      <c r="AA6527" t="s">
        <v>26</v>
      </c>
      <c r="AB6527">
        <v>0</v>
      </c>
      <c r="AC6527" t="s">
        <v>115</v>
      </c>
      <c r="AD6527">
        <v>3</v>
      </c>
      <c r="AE6527" t="s">
        <v>115</v>
      </c>
      <c r="AF6527">
        <v>0</v>
      </c>
      <c r="AG6527">
        <v>0</v>
      </c>
      <c r="AH6527" t="s">
        <v>116</v>
      </c>
      <c r="AI6527" s="1">
        <v>99642</v>
      </c>
      <c r="AJ6527" s="2">
        <v>0.22</v>
      </c>
      <c r="AK6527" s="1">
        <v>450862</v>
      </c>
      <c r="AL6527" t="s">
        <v>117</v>
      </c>
      <c r="AM6527" t="s">
        <v>191</v>
      </c>
      <c r="AN6527">
        <v>13082</v>
      </c>
      <c r="AO6527">
        <v>0.3</v>
      </c>
      <c r="AP6527">
        <v>1</v>
      </c>
      <c r="AR6527">
        <v>1</v>
      </c>
      <c r="AS6527" s="1">
        <v>33800</v>
      </c>
      <c r="AT6527" s="1">
        <v>6760</v>
      </c>
      <c r="AU6527" s="1">
        <v>27040</v>
      </c>
      <c r="AV6527">
        <v>80</v>
      </c>
      <c r="AX6527" s="1">
        <v>2876.06</v>
      </c>
      <c r="AY6527" t="s">
        <v>8037</v>
      </c>
      <c r="AZ6527" t="s">
        <v>2550</v>
      </c>
      <c r="BA6527" t="s">
        <v>1318</v>
      </c>
      <c r="BE6527" s="3">
        <v>42369</v>
      </c>
      <c r="BF6527" s="1">
        <v>340000</v>
      </c>
      <c r="BG6527" t="s">
        <v>39374</v>
      </c>
      <c r="BH6527" s="1">
        <v>131.99</v>
      </c>
      <c r="BI6527" s="1">
        <v>351220</v>
      </c>
      <c r="BJ6527" s="3">
        <v>42369</v>
      </c>
      <c r="BK6527" t="s">
        <v>123</v>
      </c>
      <c r="BL6527" t="str">
        <f>"2015.921222"</f>
        <v>2015.921222</v>
      </c>
      <c r="BM6527" t="s">
        <v>5747</v>
      </c>
      <c r="BO6527" t="s">
        <v>39375</v>
      </c>
      <c r="BS6527">
        <v>30</v>
      </c>
      <c r="BW6527" t="str">
        <f>""</f>
        <v/>
      </c>
      <c r="CH6527" t="str">
        <f>""</f>
        <v/>
      </c>
      <c r="CS6527" t="str">
        <f>""</f>
        <v/>
      </c>
    </row>
    <row r="6528" spans="1:97" x14ac:dyDescent="0.25">
      <c r="A6528" t="s">
        <v>817</v>
      </c>
      <c r="B6528" t="s">
        <v>34852</v>
      </c>
      <c r="E6528" t="s">
        <v>39376</v>
      </c>
      <c r="F6528" t="s">
        <v>108</v>
      </c>
      <c r="H6528" t="s">
        <v>39377</v>
      </c>
      <c r="I6528" t="s">
        <v>390</v>
      </c>
      <c r="J6528" t="s">
        <v>111</v>
      </c>
      <c r="K6528" t="str">
        <f>"85045"</f>
        <v>85045</v>
      </c>
      <c r="L6528" t="s">
        <v>5138</v>
      </c>
      <c r="M6528" t="s">
        <v>39377</v>
      </c>
      <c r="N6528" t="s">
        <v>390</v>
      </c>
      <c r="O6528" t="s">
        <v>111</v>
      </c>
      <c r="P6528" t="str">
        <f>"85045"</f>
        <v>85045</v>
      </c>
      <c r="Q6528" t="s">
        <v>113</v>
      </c>
      <c r="R6528" t="str">
        <f>"300-95-144"</f>
        <v>300-95-144</v>
      </c>
      <c r="S6528" t="s">
        <v>39378</v>
      </c>
      <c r="U6528">
        <v>1620</v>
      </c>
      <c r="V6528">
        <v>0</v>
      </c>
      <c r="W6528">
        <v>3</v>
      </c>
      <c r="X6528">
        <v>1993</v>
      </c>
      <c r="Z6528">
        <v>1</v>
      </c>
      <c r="AA6528" t="s">
        <v>26</v>
      </c>
      <c r="AB6528">
        <v>0</v>
      </c>
      <c r="AC6528" t="s">
        <v>115</v>
      </c>
      <c r="AD6528">
        <v>2</v>
      </c>
      <c r="AE6528" t="s">
        <v>115</v>
      </c>
      <c r="AF6528">
        <v>0</v>
      </c>
      <c r="AG6528">
        <v>0</v>
      </c>
      <c r="AH6528" t="s">
        <v>116</v>
      </c>
      <c r="AI6528" s="1">
        <v>21311</v>
      </c>
      <c r="AJ6528" s="2">
        <v>0.06</v>
      </c>
      <c r="AK6528" s="1">
        <v>338958</v>
      </c>
      <c r="AL6528" t="s">
        <v>117</v>
      </c>
      <c r="AM6528" t="s">
        <v>191</v>
      </c>
      <c r="AN6528">
        <v>6133</v>
      </c>
      <c r="AO6528">
        <v>0.14000000000000001</v>
      </c>
      <c r="AP6528">
        <v>1</v>
      </c>
      <c r="AR6528">
        <v>1</v>
      </c>
      <c r="AS6528" s="1">
        <v>23260</v>
      </c>
      <c r="AT6528" s="1">
        <v>4650</v>
      </c>
      <c r="AU6528" s="1">
        <v>18610</v>
      </c>
      <c r="AV6528">
        <v>80.010000000000005</v>
      </c>
      <c r="AX6528" s="1">
        <v>2209.9</v>
      </c>
      <c r="AY6528" t="s">
        <v>6202</v>
      </c>
      <c r="AZ6528" t="s">
        <v>2967</v>
      </c>
      <c r="BA6528" t="s">
        <v>930</v>
      </c>
      <c r="BE6528" s="3">
        <v>42307</v>
      </c>
      <c r="BF6528" s="1">
        <v>307500</v>
      </c>
      <c r="BG6528" t="s">
        <v>39379</v>
      </c>
      <c r="BH6528" s="1">
        <v>189.81</v>
      </c>
      <c r="BI6528" s="1">
        <v>317647</v>
      </c>
      <c r="BJ6528" s="3">
        <v>42307</v>
      </c>
      <c r="BK6528" t="s">
        <v>123</v>
      </c>
      <c r="BL6528" t="str">
        <f>"2015.781127"</f>
        <v>2015.781127</v>
      </c>
      <c r="BM6528" t="s">
        <v>2489</v>
      </c>
      <c r="BO6528" t="s">
        <v>39380</v>
      </c>
      <c r="BS6528">
        <v>30</v>
      </c>
      <c r="BW6528" t="str">
        <f>""</f>
        <v/>
      </c>
      <c r="CH6528" t="str">
        <f>""</f>
        <v/>
      </c>
      <c r="CS6528" t="str">
        <f>""</f>
        <v/>
      </c>
    </row>
    <row r="6529" spans="1:97" x14ac:dyDescent="0.25">
      <c r="A6529" t="s">
        <v>3089</v>
      </c>
      <c r="B6529" t="s">
        <v>39381</v>
      </c>
      <c r="C6529" t="s">
        <v>2930</v>
      </c>
      <c r="D6529" t="s">
        <v>39381</v>
      </c>
      <c r="E6529" t="s">
        <v>39382</v>
      </c>
      <c r="F6529" t="s">
        <v>108</v>
      </c>
      <c r="H6529" t="s">
        <v>39383</v>
      </c>
      <c r="I6529" t="s">
        <v>3150</v>
      </c>
      <c r="J6529" t="s">
        <v>111</v>
      </c>
      <c r="K6529" t="str">
        <f>"85340"</f>
        <v>85340</v>
      </c>
      <c r="L6529" t="s">
        <v>734</v>
      </c>
      <c r="M6529" t="s">
        <v>39383</v>
      </c>
      <c r="N6529" t="s">
        <v>3150</v>
      </c>
      <c r="O6529" t="s">
        <v>111</v>
      </c>
      <c r="P6529" t="str">
        <f>"85340-5753"</f>
        <v>85340-5753</v>
      </c>
      <c r="Q6529" t="s">
        <v>113</v>
      </c>
      <c r="R6529" t="str">
        <f>"502-28-293"</f>
        <v>502-28-293</v>
      </c>
      <c r="S6529" t="s">
        <v>5998</v>
      </c>
      <c r="T6529" t="s">
        <v>5998</v>
      </c>
      <c r="U6529">
        <v>2985</v>
      </c>
      <c r="V6529">
        <v>0</v>
      </c>
      <c r="W6529">
        <v>4</v>
      </c>
      <c r="X6529">
        <v>2013</v>
      </c>
      <c r="Z6529">
        <v>1</v>
      </c>
      <c r="AB6529">
        <v>0</v>
      </c>
      <c r="AC6529" t="s">
        <v>115</v>
      </c>
      <c r="AD6529">
        <v>4</v>
      </c>
      <c r="AE6529" t="s">
        <v>115</v>
      </c>
      <c r="AF6529">
        <v>0</v>
      </c>
      <c r="AG6529">
        <v>0</v>
      </c>
      <c r="AH6529" t="s">
        <v>116</v>
      </c>
      <c r="AI6529" s="1">
        <v>106535</v>
      </c>
      <c r="AJ6529" s="2">
        <v>0.27</v>
      </c>
      <c r="AK6529" s="1">
        <v>393535</v>
      </c>
      <c r="AL6529" t="s">
        <v>117</v>
      </c>
      <c r="AM6529" t="s">
        <v>1302</v>
      </c>
      <c r="AN6529">
        <v>9401</v>
      </c>
      <c r="AO6529">
        <v>0.22</v>
      </c>
      <c r="AR6529">
        <v>1</v>
      </c>
      <c r="AS6529" s="1">
        <v>27510</v>
      </c>
      <c r="AT6529" s="1">
        <v>5130</v>
      </c>
      <c r="AU6529" s="1">
        <v>22380</v>
      </c>
      <c r="AV6529">
        <v>81.349999999999994</v>
      </c>
      <c r="AX6529" s="1">
        <v>3363.68</v>
      </c>
      <c r="AY6529" t="s">
        <v>543</v>
      </c>
      <c r="AZ6529" t="s">
        <v>504</v>
      </c>
      <c r="BA6529" t="s">
        <v>218</v>
      </c>
      <c r="BE6529" s="3">
        <v>41743</v>
      </c>
      <c r="BF6529" s="1">
        <v>277954</v>
      </c>
      <c r="BG6529" t="s">
        <v>292</v>
      </c>
      <c r="BH6529" s="1">
        <v>93.12</v>
      </c>
      <c r="BI6529" s="1">
        <v>287000</v>
      </c>
      <c r="BJ6529" s="3">
        <v>41947</v>
      </c>
      <c r="BK6529" t="s">
        <v>123</v>
      </c>
      <c r="BL6529" t="str">
        <f>"2014.730709"</f>
        <v>2014.730709</v>
      </c>
      <c r="BM6529" t="s">
        <v>2716</v>
      </c>
      <c r="BO6529" t="s">
        <v>39384</v>
      </c>
      <c r="BS6529">
        <v>30</v>
      </c>
      <c r="BW6529" t="str">
        <f>""</f>
        <v/>
      </c>
      <c r="CH6529" t="str">
        <f>""</f>
        <v/>
      </c>
      <c r="CS6529" t="str">
        <f>""</f>
        <v/>
      </c>
    </row>
    <row r="6530" spans="1:97" x14ac:dyDescent="0.25">
      <c r="A6530" t="s">
        <v>15782</v>
      </c>
      <c r="B6530" t="s">
        <v>3333</v>
      </c>
      <c r="C6530" t="s">
        <v>179</v>
      </c>
      <c r="D6530" t="s">
        <v>3333</v>
      </c>
      <c r="E6530" t="s">
        <v>39385</v>
      </c>
      <c r="F6530" t="s">
        <v>108</v>
      </c>
      <c r="H6530" t="s">
        <v>39386</v>
      </c>
      <c r="I6530" t="s">
        <v>453</v>
      </c>
      <c r="J6530" t="s">
        <v>111</v>
      </c>
      <c r="K6530" t="str">
        <f>"85383"</f>
        <v>85383</v>
      </c>
      <c r="L6530" t="s">
        <v>7243</v>
      </c>
      <c r="M6530" t="s">
        <v>39386</v>
      </c>
      <c r="N6530" t="s">
        <v>453</v>
      </c>
      <c r="O6530" t="s">
        <v>111</v>
      </c>
      <c r="P6530" t="str">
        <f>"85383-6206"</f>
        <v>85383-6206</v>
      </c>
      <c r="R6530" t="str">
        <f>"201-20-016"</f>
        <v>201-20-016</v>
      </c>
      <c r="S6530" t="s">
        <v>15688</v>
      </c>
      <c r="T6530" t="s">
        <v>8847</v>
      </c>
      <c r="U6530">
        <v>2471</v>
      </c>
      <c r="V6530">
        <v>0</v>
      </c>
      <c r="W6530">
        <v>4</v>
      </c>
      <c r="X6530">
        <v>2012</v>
      </c>
      <c r="Z6530">
        <v>2</v>
      </c>
      <c r="AA6530" t="s">
        <v>26</v>
      </c>
      <c r="AB6530">
        <v>0</v>
      </c>
      <c r="AC6530" t="s">
        <v>115</v>
      </c>
      <c r="AD6530">
        <v>2</v>
      </c>
      <c r="AE6530" t="s">
        <v>115</v>
      </c>
      <c r="AF6530">
        <v>0</v>
      </c>
      <c r="AG6530">
        <v>0</v>
      </c>
      <c r="AH6530" t="s">
        <v>116</v>
      </c>
      <c r="AI6530" s="1">
        <v>80752</v>
      </c>
      <c r="AJ6530" s="2">
        <v>0.2</v>
      </c>
      <c r="AK6530" s="1">
        <v>401931</v>
      </c>
      <c r="AL6530" t="s">
        <v>117</v>
      </c>
      <c r="AM6530" t="s">
        <v>118</v>
      </c>
      <c r="AN6530">
        <v>7197</v>
      </c>
      <c r="AO6530">
        <v>0.16</v>
      </c>
      <c r="AR6530">
        <v>1</v>
      </c>
      <c r="AS6530" s="1">
        <v>30300</v>
      </c>
      <c r="AT6530" s="1">
        <v>6060</v>
      </c>
      <c r="AU6530" s="1">
        <v>24240</v>
      </c>
      <c r="AV6530">
        <v>80</v>
      </c>
      <c r="AX6530" s="1">
        <v>2100.2399999999998</v>
      </c>
      <c r="AY6530" t="s">
        <v>1385</v>
      </c>
      <c r="AZ6530" t="s">
        <v>1385</v>
      </c>
      <c r="BA6530" t="s">
        <v>1386</v>
      </c>
      <c r="BE6530" s="3">
        <v>41908</v>
      </c>
      <c r="BF6530" s="1">
        <v>320000</v>
      </c>
      <c r="BG6530" t="s">
        <v>39387</v>
      </c>
      <c r="BH6530" s="1">
        <v>129.5</v>
      </c>
      <c r="BI6530" s="1">
        <v>321179</v>
      </c>
      <c r="BJ6530" s="3">
        <v>42703</v>
      </c>
      <c r="BK6530" t="s">
        <v>123</v>
      </c>
      <c r="BL6530" t="str">
        <f>"2016.875541"</f>
        <v>2016.875541</v>
      </c>
      <c r="BM6530" t="s">
        <v>135</v>
      </c>
      <c r="BN6530" t="s">
        <v>136</v>
      </c>
      <c r="BO6530" t="s">
        <v>39388</v>
      </c>
      <c r="BS6530">
        <v>30</v>
      </c>
      <c r="BW6530" t="str">
        <f>""</f>
        <v/>
      </c>
      <c r="CH6530" t="str">
        <f>""</f>
        <v/>
      </c>
      <c r="CS6530" t="str">
        <f>""</f>
        <v/>
      </c>
    </row>
    <row r="6531" spans="1:97" x14ac:dyDescent="0.25">
      <c r="B6531" t="s">
        <v>39389</v>
      </c>
      <c r="E6531" t="s">
        <v>39390</v>
      </c>
      <c r="F6531" t="s">
        <v>108</v>
      </c>
      <c r="H6531" t="s">
        <v>39391</v>
      </c>
      <c r="I6531" t="s">
        <v>203</v>
      </c>
      <c r="J6531" t="s">
        <v>111</v>
      </c>
      <c r="K6531" t="str">
        <f>"85234"</f>
        <v>85234</v>
      </c>
      <c r="L6531" t="s">
        <v>5990</v>
      </c>
      <c r="M6531" t="s">
        <v>39391</v>
      </c>
      <c r="N6531" t="s">
        <v>203</v>
      </c>
      <c r="O6531" t="s">
        <v>111</v>
      </c>
      <c r="P6531" t="str">
        <f>"85234-6381"</f>
        <v>85234-6381</v>
      </c>
      <c r="Q6531" t="s">
        <v>113</v>
      </c>
      <c r="R6531" t="str">
        <f>"304-14-887"</f>
        <v>304-14-887</v>
      </c>
      <c r="S6531" t="s">
        <v>31438</v>
      </c>
      <c r="T6531" t="s">
        <v>31438</v>
      </c>
      <c r="U6531">
        <v>2898</v>
      </c>
      <c r="V6531">
        <v>0</v>
      </c>
      <c r="W6531">
        <v>4</v>
      </c>
      <c r="X6531">
        <v>2001</v>
      </c>
      <c r="Z6531">
        <v>1</v>
      </c>
      <c r="AA6531" t="s">
        <v>26</v>
      </c>
      <c r="AB6531">
        <v>0</v>
      </c>
      <c r="AC6531" t="s">
        <v>115</v>
      </c>
      <c r="AD6531">
        <v>3</v>
      </c>
      <c r="AE6531" t="s">
        <v>115</v>
      </c>
      <c r="AF6531">
        <v>0</v>
      </c>
      <c r="AG6531">
        <v>0</v>
      </c>
      <c r="AH6531" t="s">
        <v>116</v>
      </c>
      <c r="AI6531" s="1">
        <v>100295</v>
      </c>
      <c r="AJ6531" s="2">
        <v>0.19</v>
      </c>
      <c r="AK6531" s="1">
        <v>515015</v>
      </c>
      <c r="AL6531" t="s">
        <v>117</v>
      </c>
      <c r="AM6531" t="s">
        <v>1302</v>
      </c>
      <c r="AN6531">
        <v>10200</v>
      </c>
      <c r="AO6531">
        <v>0.23</v>
      </c>
      <c r="AP6531">
        <v>1</v>
      </c>
      <c r="AR6531">
        <v>1</v>
      </c>
      <c r="AS6531" s="1">
        <v>39650</v>
      </c>
      <c r="AT6531" s="1">
        <v>7930</v>
      </c>
      <c r="AU6531" s="1">
        <v>31720</v>
      </c>
      <c r="AV6531">
        <v>80</v>
      </c>
      <c r="AX6531" s="1">
        <v>2971.98</v>
      </c>
      <c r="AY6531" t="s">
        <v>519</v>
      </c>
      <c r="AZ6531" t="s">
        <v>520</v>
      </c>
      <c r="BA6531" t="s">
        <v>521</v>
      </c>
      <c r="BE6531" s="3">
        <v>42444</v>
      </c>
      <c r="BF6531" s="1">
        <v>405000</v>
      </c>
      <c r="BG6531" t="s">
        <v>39392</v>
      </c>
      <c r="BH6531" s="1">
        <v>139.75</v>
      </c>
      <c r="BI6531" s="1">
        <v>414720</v>
      </c>
      <c r="BJ6531" s="3">
        <v>42444</v>
      </c>
      <c r="BK6531" t="s">
        <v>123</v>
      </c>
      <c r="BL6531" t="str">
        <f>"2016.165714"</f>
        <v>2016.165714</v>
      </c>
      <c r="BM6531" t="s">
        <v>12168</v>
      </c>
      <c r="BO6531" t="s">
        <v>39393</v>
      </c>
      <c r="BS6531">
        <v>30</v>
      </c>
      <c r="BW6531" t="str">
        <f>""</f>
        <v/>
      </c>
      <c r="CH6531" t="str">
        <f>""</f>
        <v/>
      </c>
      <c r="CS6531" t="str">
        <f>""</f>
        <v/>
      </c>
    </row>
    <row r="6532" spans="1:97" x14ac:dyDescent="0.25">
      <c r="A6532" t="s">
        <v>177</v>
      </c>
      <c r="B6532" t="s">
        <v>15419</v>
      </c>
      <c r="E6532" t="s">
        <v>39394</v>
      </c>
      <c r="F6532" t="s">
        <v>108</v>
      </c>
      <c r="H6532" t="s">
        <v>39395</v>
      </c>
      <c r="I6532" t="s">
        <v>390</v>
      </c>
      <c r="J6532" t="s">
        <v>111</v>
      </c>
      <c r="K6532" t="str">
        <f>"85016"</f>
        <v>85016</v>
      </c>
      <c r="L6532" t="s">
        <v>7695</v>
      </c>
      <c r="M6532" t="s">
        <v>39395</v>
      </c>
      <c r="N6532" t="s">
        <v>390</v>
      </c>
      <c r="O6532" t="s">
        <v>111</v>
      </c>
      <c r="P6532" t="str">
        <f>"85016-1819"</f>
        <v>85016-1819</v>
      </c>
      <c r="Q6532" t="s">
        <v>113</v>
      </c>
      <c r="R6532" t="str">
        <f>"164-37-006"</f>
        <v>164-37-006</v>
      </c>
      <c r="S6532" t="s">
        <v>39396</v>
      </c>
      <c r="T6532" t="s">
        <v>39396</v>
      </c>
      <c r="U6532">
        <v>3004</v>
      </c>
      <c r="V6532">
        <v>0</v>
      </c>
      <c r="W6532">
        <v>2</v>
      </c>
      <c r="X6532">
        <v>1963</v>
      </c>
      <c r="Z6532">
        <v>1</v>
      </c>
      <c r="AA6532" t="s">
        <v>26</v>
      </c>
      <c r="AB6532">
        <v>0</v>
      </c>
      <c r="AC6532" t="s">
        <v>5188</v>
      </c>
      <c r="AD6532">
        <v>2</v>
      </c>
      <c r="AE6532" t="s">
        <v>5188</v>
      </c>
      <c r="AF6532">
        <v>0</v>
      </c>
      <c r="AG6532">
        <v>0</v>
      </c>
      <c r="AH6532" t="s">
        <v>116</v>
      </c>
      <c r="AI6532" s="1">
        <v>72815</v>
      </c>
      <c r="AJ6532" s="2">
        <v>0.11</v>
      </c>
      <c r="AK6532" s="1">
        <v>634508</v>
      </c>
      <c r="AL6532" t="s">
        <v>117</v>
      </c>
      <c r="AM6532" t="s">
        <v>191</v>
      </c>
      <c r="AN6532">
        <v>31302</v>
      </c>
      <c r="AO6532">
        <v>0.72</v>
      </c>
      <c r="AP6532">
        <v>1</v>
      </c>
      <c r="AR6532">
        <v>1</v>
      </c>
      <c r="AS6532" s="1">
        <v>48180</v>
      </c>
      <c r="AT6532" s="1">
        <v>9630</v>
      </c>
      <c r="AU6532" s="1">
        <v>38550</v>
      </c>
      <c r="AV6532">
        <v>80.010000000000005</v>
      </c>
      <c r="AX6532" s="1">
        <v>4891.12</v>
      </c>
      <c r="AY6532" t="s">
        <v>6253</v>
      </c>
      <c r="AZ6532" t="s">
        <v>6254</v>
      </c>
      <c r="BA6532" t="s">
        <v>5469</v>
      </c>
      <c r="BB6532" s="3">
        <v>43538</v>
      </c>
      <c r="BC6532" s="1">
        <v>0</v>
      </c>
      <c r="BD6532" t="s">
        <v>247</v>
      </c>
      <c r="BE6532" s="3">
        <v>41705</v>
      </c>
      <c r="BF6532" s="1">
        <v>475000</v>
      </c>
      <c r="BG6532" t="s">
        <v>29481</v>
      </c>
      <c r="BH6532" s="1">
        <v>158.12</v>
      </c>
      <c r="BI6532" s="1">
        <v>561693</v>
      </c>
      <c r="BJ6532" s="3">
        <v>42459</v>
      </c>
      <c r="BK6532" t="s">
        <v>123</v>
      </c>
      <c r="BL6532" t="str">
        <f>"2016.204914"</f>
        <v>2016.204914</v>
      </c>
      <c r="BM6532" t="s">
        <v>2127</v>
      </c>
      <c r="BN6532" t="s">
        <v>7780</v>
      </c>
      <c r="BO6532" t="s">
        <v>39397</v>
      </c>
      <c r="BS6532">
        <v>30</v>
      </c>
      <c r="BW6532" t="str">
        <f>""</f>
        <v/>
      </c>
      <c r="CH6532" t="str">
        <f>""</f>
        <v/>
      </c>
      <c r="CS6532" t="str">
        <f>""</f>
        <v/>
      </c>
    </row>
    <row r="6533" spans="1:97" x14ac:dyDescent="0.25">
      <c r="A6533" t="s">
        <v>996</v>
      </c>
      <c r="B6533" t="s">
        <v>6273</v>
      </c>
      <c r="C6533" t="s">
        <v>703</v>
      </c>
      <c r="D6533" t="s">
        <v>6273</v>
      </c>
      <c r="E6533" t="s">
        <v>39398</v>
      </c>
      <c r="F6533" t="s">
        <v>108</v>
      </c>
      <c r="H6533" t="s">
        <v>39399</v>
      </c>
      <c r="I6533" t="s">
        <v>2874</v>
      </c>
      <c r="J6533" t="s">
        <v>111</v>
      </c>
      <c r="K6533" t="str">
        <f>"85310"</f>
        <v>85310</v>
      </c>
      <c r="L6533" t="s">
        <v>3885</v>
      </c>
      <c r="M6533" t="s">
        <v>39399</v>
      </c>
      <c r="N6533" t="s">
        <v>2874</v>
      </c>
      <c r="O6533" t="s">
        <v>111</v>
      </c>
      <c r="P6533" t="str">
        <f>"85310-2710"</f>
        <v>85310-2710</v>
      </c>
      <c r="Q6533" t="s">
        <v>113</v>
      </c>
      <c r="R6533" t="str">
        <f>"201-12-029"</f>
        <v>201-12-029</v>
      </c>
      <c r="S6533" t="s">
        <v>39400</v>
      </c>
      <c r="U6533">
        <v>1523</v>
      </c>
      <c r="V6533">
        <v>0</v>
      </c>
      <c r="W6533">
        <v>3</v>
      </c>
      <c r="X6533">
        <v>1995</v>
      </c>
      <c r="Z6533">
        <v>1</v>
      </c>
      <c r="AB6533">
        <v>0</v>
      </c>
      <c r="AC6533" t="s">
        <v>115</v>
      </c>
      <c r="AD6533">
        <v>3</v>
      </c>
      <c r="AE6533" t="s">
        <v>115</v>
      </c>
      <c r="AF6533">
        <v>0</v>
      </c>
      <c r="AG6533">
        <v>0</v>
      </c>
      <c r="AH6533" t="s">
        <v>116</v>
      </c>
      <c r="AI6533" s="1">
        <v>33854</v>
      </c>
      <c r="AJ6533" s="2">
        <v>0.12</v>
      </c>
      <c r="AK6533" s="1">
        <v>286939</v>
      </c>
      <c r="AL6533" t="s">
        <v>117</v>
      </c>
      <c r="AM6533" t="s">
        <v>191</v>
      </c>
      <c r="AN6533">
        <v>6312</v>
      </c>
      <c r="AO6533">
        <v>0.14000000000000001</v>
      </c>
      <c r="AP6533">
        <v>1</v>
      </c>
      <c r="AR6533">
        <v>1</v>
      </c>
      <c r="AS6533" s="1">
        <v>19750</v>
      </c>
      <c r="AT6533" s="1">
        <v>3950</v>
      </c>
      <c r="AU6533" s="1">
        <v>15800</v>
      </c>
      <c r="AV6533">
        <v>80</v>
      </c>
      <c r="AX6533" s="1">
        <v>1748.92</v>
      </c>
      <c r="AY6533" t="s">
        <v>5125</v>
      </c>
      <c r="AZ6533" t="s">
        <v>3049</v>
      </c>
      <c r="BA6533" t="s">
        <v>1386</v>
      </c>
      <c r="BE6533" s="3">
        <v>41641</v>
      </c>
      <c r="BF6533" s="1">
        <v>205000</v>
      </c>
      <c r="BG6533" t="s">
        <v>39401</v>
      </c>
      <c r="BH6533" s="1">
        <v>134.6</v>
      </c>
      <c r="BI6533" s="1">
        <v>253085</v>
      </c>
      <c r="BJ6533" s="3">
        <v>42874</v>
      </c>
      <c r="BK6533" t="s">
        <v>123</v>
      </c>
      <c r="BL6533" t="str">
        <f>"2017.363454"</f>
        <v>2017.363454</v>
      </c>
      <c r="BM6533" t="s">
        <v>3562</v>
      </c>
      <c r="BO6533" t="s">
        <v>39402</v>
      </c>
      <c r="BS6533">
        <v>30</v>
      </c>
      <c r="BW6533" t="str">
        <f>""</f>
        <v/>
      </c>
      <c r="CH6533" t="str">
        <f>""</f>
        <v/>
      </c>
      <c r="CS6533" t="str">
        <f>""</f>
        <v/>
      </c>
    </row>
    <row r="6534" spans="1:97" x14ac:dyDescent="0.25">
      <c r="A6534" t="s">
        <v>39403</v>
      </c>
      <c r="B6534" t="s">
        <v>39404</v>
      </c>
      <c r="C6534" t="s">
        <v>4854</v>
      </c>
      <c r="D6534" t="s">
        <v>39404</v>
      </c>
      <c r="E6534" t="s">
        <v>39405</v>
      </c>
      <c r="F6534" t="s">
        <v>108</v>
      </c>
      <c r="H6534" t="s">
        <v>39406</v>
      </c>
      <c r="I6534" t="s">
        <v>1936</v>
      </c>
      <c r="J6534" t="s">
        <v>111</v>
      </c>
      <c r="K6534" t="str">
        <f>"85254"</f>
        <v>85254</v>
      </c>
      <c r="L6534" t="s">
        <v>5106</v>
      </c>
      <c r="M6534" t="s">
        <v>39406</v>
      </c>
      <c r="N6534" t="s">
        <v>1936</v>
      </c>
      <c r="O6534" t="s">
        <v>111</v>
      </c>
      <c r="P6534" t="str">
        <f>"85254-2393"</f>
        <v>85254-2393</v>
      </c>
      <c r="Q6534" t="s">
        <v>113</v>
      </c>
      <c r="R6534" t="str">
        <f>"215-66-491"</f>
        <v>215-66-491</v>
      </c>
      <c r="S6534" t="s">
        <v>39407</v>
      </c>
      <c r="T6534" t="s">
        <v>39408</v>
      </c>
      <c r="U6534">
        <v>2405</v>
      </c>
      <c r="V6534">
        <v>0</v>
      </c>
      <c r="W6534">
        <v>4</v>
      </c>
      <c r="X6534">
        <v>1993</v>
      </c>
      <c r="Z6534">
        <v>2</v>
      </c>
      <c r="AA6534" t="s">
        <v>26</v>
      </c>
      <c r="AB6534">
        <v>0</v>
      </c>
      <c r="AC6534" t="s">
        <v>115</v>
      </c>
      <c r="AD6534">
        <v>3</v>
      </c>
      <c r="AE6534" t="s">
        <v>115</v>
      </c>
      <c r="AF6534">
        <v>0</v>
      </c>
      <c r="AG6534">
        <v>0</v>
      </c>
      <c r="AH6534" t="s">
        <v>116</v>
      </c>
      <c r="AI6534" s="1">
        <v>166178</v>
      </c>
      <c r="AJ6534" s="2">
        <v>0.3</v>
      </c>
      <c r="AK6534" s="1">
        <v>549428</v>
      </c>
      <c r="AL6534" t="s">
        <v>117</v>
      </c>
      <c r="AM6534" t="s">
        <v>1302</v>
      </c>
      <c r="AN6534">
        <v>8001</v>
      </c>
      <c r="AO6534">
        <v>0.18</v>
      </c>
      <c r="AP6534">
        <v>1</v>
      </c>
      <c r="AR6534">
        <v>1</v>
      </c>
      <c r="AS6534" s="1">
        <v>38960</v>
      </c>
      <c r="AT6534" s="1">
        <v>7790</v>
      </c>
      <c r="AU6534" s="1">
        <v>31170</v>
      </c>
      <c r="AV6534">
        <v>80.010000000000005</v>
      </c>
      <c r="AX6534" s="1">
        <v>3465.5</v>
      </c>
      <c r="AY6534" t="s">
        <v>2767</v>
      </c>
      <c r="AZ6534" t="s">
        <v>1317</v>
      </c>
      <c r="BA6534" t="s">
        <v>6302</v>
      </c>
      <c r="BE6534" s="3">
        <v>41981</v>
      </c>
      <c r="BF6534" s="1">
        <v>420000</v>
      </c>
      <c r="BG6534" t="s">
        <v>39409</v>
      </c>
      <c r="BH6534" s="1">
        <v>174.64</v>
      </c>
      <c r="BI6534" s="1">
        <v>383250</v>
      </c>
      <c r="BJ6534" s="3">
        <v>41981</v>
      </c>
      <c r="BK6534" t="s">
        <v>123</v>
      </c>
      <c r="BL6534" t="str">
        <f>"2014.804873"</f>
        <v>2014.804873</v>
      </c>
      <c r="BM6534" t="s">
        <v>724</v>
      </c>
      <c r="BO6534" t="s">
        <v>39410</v>
      </c>
      <c r="BS6534">
        <v>30</v>
      </c>
      <c r="BW6534" t="str">
        <f>""</f>
        <v/>
      </c>
      <c r="CH6534" t="str">
        <f>""</f>
        <v/>
      </c>
      <c r="CS6534" t="str">
        <f>""</f>
        <v/>
      </c>
    </row>
    <row r="6535" spans="1:97" x14ac:dyDescent="0.25">
      <c r="A6535" t="s">
        <v>177</v>
      </c>
      <c r="B6535" t="s">
        <v>39411</v>
      </c>
      <c r="C6535" t="s">
        <v>986</v>
      </c>
      <c r="D6535" t="s">
        <v>39412</v>
      </c>
      <c r="E6535" t="s">
        <v>39413</v>
      </c>
      <c r="F6535" t="s">
        <v>108</v>
      </c>
      <c r="H6535" t="s">
        <v>39414</v>
      </c>
      <c r="I6535" t="s">
        <v>1936</v>
      </c>
      <c r="J6535" t="s">
        <v>111</v>
      </c>
      <c r="K6535" t="str">
        <f>"85258"</f>
        <v>85258</v>
      </c>
      <c r="L6535" t="s">
        <v>6691</v>
      </c>
      <c r="M6535" t="s">
        <v>39414</v>
      </c>
      <c r="N6535" t="s">
        <v>1936</v>
      </c>
      <c r="O6535" t="s">
        <v>111</v>
      </c>
      <c r="P6535" t="str">
        <f>"85258-3937"</f>
        <v>85258-3937</v>
      </c>
      <c r="Q6535" t="s">
        <v>113</v>
      </c>
      <c r="R6535" t="str">
        <f>"174-08-063"</f>
        <v>174-08-063</v>
      </c>
      <c r="S6535" t="s">
        <v>39415</v>
      </c>
      <c r="T6535" t="s">
        <v>39416</v>
      </c>
      <c r="U6535">
        <v>2408</v>
      </c>
      <c r="V6535">
        <v>0</v>
      </c>
      <c r="W6535">
        <v>3</v>
      </c>
      <c r="X6535">
        <v>1978</v>
      </c>
      <c r="Z6535">
        <v>1</v>
      </c>
      <c r="AA6535" t="s">
        <v>26</v>
      </c>
      <c r="AB6535">
        <v>0</v>
      </c>
      <c r="AC6535" t="s">
        <v>115</v>
      </c>
      <c r="AD6535">
        <v>2</v>
      </c>
      <c r="AE6535" t="s">
        <v>115</v>
      </c>
      <c r="AF6535">
        <v>0</v>
      </c>
      <c r="AG6535">
        <v>0</v>
      </c>
      <c r="AH6535" t="s">
        <v>116</v>
      </c>
      <c r="AI6535" s="1">
        <v>145656</v>
      </c>
      <c r="AJ6535" s="2">
        <v>0.24</v>
      </c>
      <c r="AK6535" s="1">
        <v>601746</v>
      </c>
      <c r="AL6535" t="s">
        <v>117</v>
      </c>
      <c r="AM6535" t="str">
        <f>"R1-7"</f>
        <v>R1-7</v>
      </c>
      <c r="AN6535">
        <v>10050</v>
      </c>
      <c r="AO6535">
        <v>0.23</v>
      </c>
      <c r="AP6535">
        <v>1</v>
      </c>
      <c r="AR6535">
        <v>1</v>
      </c>
      <c r="AS6535" s="1">
        <v>44320</v>
      </c>
      <c r="AT6535" s="1">
        <v>8860</v>
      </c>
      <c r="AU6535" s="1">
        <v>35460</v>
      </c>
      <c r="AV6535">
        <v>80.010000000000005</v>
      </c>
      <c r="AX6535" s="1">
        <v>2826.4</v>
      </c>
      <c r="AY6535" t="s">
        <v>13022</v>
      </c>
      <c r="AZ6535" t="s">
        <v>6975</v>
      </c>
      <c r="BA6535" t="s">
        <v>6976</v>
      </c>
      <c r="BE6535" s="3">
        <v>41753</v>
      </c>
      <c r="BF6535" s="1">
        <v>486000</v>
      </c>
      <c r="BG6535" t="s">
        <v>39417</v>
      </c>
      <c r="BH6535" s="1">
        <v>201.83</v>
      </c>
      <c r="BI6535" s="1">
        <v>456090</v>
      </c>
      <c r="BJ6535" s="3">
        <v>41753</v>
      </c>
      <c r="BK6535" t="s">
        <v>123</v>
      </c>
      <c r="BL6535" t="str">
        <f>"2014.266179"</f>
        <v>2014.266179</v>
      </c>
      <c r="BM6535" t="s">
        <v>2683</v>
      </c>
      <c r="BO6535" t="s">
        <v>39418</v>
      </c>
      <c r="BP6535" t="s">
        <v>39419</v>
      </c>
      <c r="BS6535">
        <v>30</v>
      </c>
      <c r="BW6535" t="str">
        <f>""</f>
        <v/>
      </c>
      <c r="CH6535" t="str">
        <f>""</f>
        <v/>
      </c>
      <c r="CS6535" t="str">
        <f>""</f>
        <v/>
      </c>
    </row>
    <row r="6536" spans="1:97" x14ac:dyDescent="0.25">
      <c r="A6536" t="s">
        <v>325</v>
      </c>
      <c r="B6536" t="s">
        <v>4098</v>
      </c>
      <c r="C6536" t="s">
        <v>2002</v>
      </c>
      <c r="D6536" t="s">
        <v>4098</v>
      </c>
      <c r="E6536" t="s">
        <v>39420</v>
      </c>
      <c r="F6536" t="s">
        <v>108</v>
      </c>
      <c r="H6536" t="s">
        <v>39421</v>
      </c>
      <c r="I6536" t="s">
        <v>453</v>
      </c>
      <c r="J6536" t="s">
        <v>111</v>
      </c>
      <c r="K6536" t="str">
        <f>"85383"</f>
        <v>85383</v>
      </c>
      <c r="L6536" t="s">
        <v>5893</v>
      </c>
      <c r="M6536" t="s">
        <v>39421</v>
      </c>
      <c r="N6536" t="s">
        <v>453</v>
      </c>
      <c r="O6536" t="s">
        <v>111</v>
      </c>
      <c r="P6536" t="str">
        <f>"85383-7874"</f>
        <v>85383-7874</v>
      </c>
      <c r="Q6536" t="s">
        <v>113</v>
      </c>
      <c r="R6536" t="str">
        <f>"510-01-793"</f>
        <v>510-01-793</v>
      </c>
      <c r="S6536" t="s">
        <v>39422</v>
      </c>
      <c r="T6536" t="s">
        <v>39423</v>
      </c>
      <c r="U6536">
        <v>2162</v>
      </c>
      <c r="V6536">
        <v>0</v>
      </c>
      <c r="W6536">
        <v>3</v>
      </c>
      <c r="X6536">
        <v>2006</v>
      </c>
      <c r="Z6536">
        <v>1</v>
      </c>
      <c r="AB6536">
        <v>0</v>
      </c>
      <c r="AC6536" t="s">
        <v>115</v>
      </c>
      <c r="AD6536">
        <v>3</v>
      </c>
      <c r="AE6536" t="s">
        <v>115</v>
      </c>
      <c r="AF6536">
        <v>0</v>
      </c>
      <c r="AG6536">
        <v>0</v>
      </c>
      <c r="AH6536" t="s">
        <v>116</v>
      </c>
      <c r="AI6536" s="1">
        <v>102191</v>
      </c>
      <c r="AJ6536" s="2">
        <v>0.31</v>
      </c>
      <c r="AK6536" s="1">
        <v>330985</v>
      </c>
      <c r="AL6536" t="s">
        <v>117</v>
      </c>
      <c r="AM6536" t="s">
        <v>118</v>
      </c>
      <c r="AN6536">
        <v>7938</v>
      </c>
      <c r="AO6536">
        <v>0.18</v>
      </c>
      <c r="AR6536">
        <v>1</v>
      </c>
      <c r="AS6536" s="1">
        <v>23320</v>
      </c>
      <c r="AT6536" s="1">
        <v>4660</v>
      </c>
      <c r="AU6536" s="1">
        <v>18660</v>
      </c>
      <c r="AV6536">
        <v>80.02</v>
      </c>
      <c r="AX6536" s="1">
        <v>2485.02</v>
      </c>
      <c r="AY6536" t="s">
        <v>627</v>
      </c>
      <c r="AZ6536" t="s">
        <v>627</v>
      </c>
      <c r="BA6536" t="s">
        <v>457</v>
      </c>
      <c r="BE6536" s="3">
        <v>41641</v>
      </c>
      <c r="BF6536" s="1">
        <v>220000</v>
      </c>
      <c r="BG6536" t="s">
        <v>39424</v>
      </c>
      <c r="BH6536" s="1">
        <v>101.76</v>
      </c>
      <c r="BI6536" s="1">
        <v>228794</v>
      </c>
      <c r="BJ6536" s="3">
        <v>42044</v>
      </c>
      <c r="BK6536" t="s">
        <v>123</v>
      </c>
      <c r="BL6536" t="str">
        <f>"2015.81613"</f>
        <v>2015.81613</v>
      </c>
      <c r="BM6536" t="s">
        <v>1325</v>
      </c>
      <c r="BO6536" t="s">
        <v>39425</v>
      </c>
      <c r="BS6536">
        <v>30</v>
      </c>
      <c r="BW6536" t="str">
        <f>""</f>
        <v/>
      </c>
      <c r="CH6536" t="str">
        <f>""</f>
        <v/>
      </c>
      <c r="CS6536" t="str">
        <f>""</f>
        <v/>
      </c>
    </row>
    <row r="6537" spans="1:97" x14ac:dyDescent="0.25">
      <c r="A6537" t="s">
        <v>3702</v>
      </c>
      <c r="B6537" t="s">
        <v>39426</v>
      </c>
      <c r="E6537" t="s">
        <v>39427</v>
      </c>
      <c r="F6537" t="s">
        <v>108</v>
      </c>
      <c r="H6537" t="s">
        <v>39428</v>
      </c>
      <c r="I6537" t="s">
        <v>453</v>
      </c>
      <c r="J6537" t="s">
        <v>111</v>
      </c>
      <c r="K6537" t="str">
        <f>"85383"</f>
        <v>85383</v>
      </c>
      <c r="L6537" t="s">
        <v>4467</v>
      </c>
      <c r="M6537" t="s">
        <v>39428</v>
      </c>
      <c r="N6537" t="s">
        <v>453</v>
      </c>
      <c r="O6537" t="s">
        <v>111</v>
      </c>
      <c r="P6537" t="str">
        <f>"85383-2430"</f>
        <v>85383-2430</v>
      </c>
      <c r="Q6537" t="s">
        <v>113</v>
      </c>
      <c r="R6537" t="str">
        <f>"503-89-704"</f>
        <v>503-89-704</v>
      </c>
      <c r="S6537" t="s">
        <v>8968</v>
      </c>
      <c r="T6537" t="s">
        <v>8969</v>
      </c>
      <c r="U6537">
        <v>2285</v>
      </c>
      <c r="V6537">
        <v>0</v>
      </c>
      <c r="W6537">
        <v>3</v>
      </c>
      <c r="X6537">
        <v>2004</v>
      </c>
      <c r="Z6537">
        <v>1</v>
      </c>
      <c r="AB6537">
        <v>0</v>
      </c>
      <c r="AC6537" t="s">
        <v>115</v>
      </c>
      <c r="AD6537">
        <v>3</v>
      </c>
      <c r="AE6537" t="s">
        <v>115</v>
      </c>
      <c r="AF6537">
        <v>0</v>
      </c>
      <c r="AG6537">
        <v>0</v>
      </c>
      <c r="AH6537" t="s">
        <v>116</v>
      </c>
      <c r="AI6537" s="1">
        <v>96129</v>
      </c>
      <c r="AJ6537" s="2">
        <v>0.27</v>
      </c>
      <c r="AK6537" s="1">
        <v>349629</v>
      </c>
      <c r="AL6537" t="s">
        <v>117</v>
      </c>
      <c r="AM6537" t="s">
        <v>118</v>
      </c>
      <c r="AN6537">
        <v>8329</v>
      </c>
      <c r="AO6537">
        <v>0.19</v>
      </c>
      <c r="AP6537">
        <v>1</v>
      </c>
      <c r="AR6537">
        <v>1</v>
      </c>
      <c r="AS6537" s="1">
        <v>24400</v>
      </c>
      <c r="AT6537" s="1">
        <v>4880</v>
      </c>
      <c r="AU6537" s="1">
        <v>19520</v>
      </c>
      <c r="AV6537">
        <v>80</v>
      </c>
      <c r="AX6537" s="1">
        <v>2511.94</v>
      </c>
      <c r="AY6537" t="s">
        <v>627</v>
      </c>
      <c r="AZ6537" t="s">
        <v>627</v>
      </c>
      <c r="BA6537" t="s">
        <v>457</v>
      </c>
      <c r="BE6537" s="3">
        <v>42458</v>
      </c>
      <c r="BF6537" s="1">
        <v>253500</v>
      </c>
      <c r="BG6537" t="s">
        <v>39429</v>
      </c>
      <c r="BH6537" s="1">
        <v>110.94</v>
      </c>
      <c r="BI6537" s="1">
        <v>253500</v>
      </c>
      <c r="BJ6537" s="3">
        <v>42458</v>
      </c>
      <c r="BK6537" t="s">
        <v>123</v>
      </c>
      <c r="BL6537" t="str">
        <f>"2016.202177"</f>
        <v>2016.202177</v>
      </c>
      <c r="BM6537" t="s">
        <v>544</v>
      </c>
      <c r="BO6537" t="s">
        <v>39430</v>
      </c>
      <c r="BS6537">
        <v>30</v>
      </c>
      <c r="BW6537" t="str">
        <f>""</f>
        <v/>
      </c>
      <c r="CH6537" t="str">
        <f>""</f>
        <v/>
      </c>
      <c r="CS6537" t="str">
        <f>""</f>
        <v/>
      </c>
    </row>
    <row r="6538" spans="1:97" x14ac:dyDescent="0.25">
      <c r="A6538" t="s">
        <v>7757</v>
      </c>
      <c r="B6538" t="s">
        <v>3265</v>
      </c>
      <c r="C6538" t="s">
        <v>39431</v>
      </c>
      <c r="D6538" t="s">
        <v>3265</v>
      </c>
      <c r="E6538" t="s">
        <v>39432</v>
      </c>
      <c r="F6538" t="s">
        <v>108</v>
      </c>
      <c r="H6538" t="s">
        <v>39433</v>
      </c>
      <c r="I6538" t="s">
        <v>144</v>
      </c>
      <c r="J6538" t="s">
        <v>111</v>
      </c>
      <c r="K6538" t="str">
        <f>"85396"</f>
        <v>85396</v>
      </c>
      <c r="L6538" t="s">
        <v>215</v>
      </c>
      <c r="M6538" t="s">
        <v>39433</v>
      </c>
      <c r="N6538" t="s">
        <v>144</v>
      </c>
      <c r="O6538" t="s">
        <v>111</v>
      </c>
      <c r="P6538" t="str">
        <f>"85396-1658"</f>
        <v>85396-1658</v>
      </c>
      <c r="Q6538" t="s">
        <v>113</v>
      </c>
      <c r="R6538" t="str">
        <f>"502-80-800"</f>
        <v>502-80-800</v>
      </c>
      <c r="S6538" t="s">
        <v>27729</v>
      </c>
      <c r="U6538">
        <v>3248</v>
      </c>
      <c r="V6538">
        <v>0</v>
      </c>
      <c r="W6538">
        <v>5</v>
      </c>
      <c r="X6538">
        <v>2014</v>
      </c>
      <c r="Z6538">
        <v>2</v>
      </c>
      <c r="AB6538">
        <v>0</v>
      </c>
      <c r="AC6538" t="s">
        <v>115</v>
      </c>
      <c r="AD6538">
        <v>3</v>
      </c>
      <c r="AE6538" t="s">
        <v>115</v>
      </c>
      <c r="AF6538">
        <v>0</v>
      </c>
      <c r="AG6538">
        <v>0</v>
      </c>
      <c r="AH6538" t="s">
        <v>116</v>
      </c>
      <c r="AI6538" s="1">
        <v>45231</v>
      </c>
      <c r="AJ6538" s="2">
        <v>0.12</v>
      </c>
      <c r="AK6538" s="1">
        <v>387618</v>
      </c>
      <c r="AL6538" t="s">
        <v>117</v>
      </c>
      <c r="AM6538" t="s">
        <v>118</v>
      </c>
      <c r="AN6538">
        <v>8412</v>
      </c>
      <c r="AO6538">
        <v>0.19</v>
      </c>
      <c r="AR6538">
        <v>1</v>
      </c>
      <c r="AS6538" s="1">
        <v>28830</v>
      </c>
      <c r="AT6538" s="1">
        <v>5760</v>
      </c>
      <c r="AU6538" s="1">
        <v>23070</v>
      </c>
      <c r="AV6538">
        <v>80.02</v>
      </c>
      <c r="AX6538" s="1">
        <v>4020.44</v>
      </c>
      <c r="AY6538" t="s">
        <v>217</v>
      </c>
      <c r="AZ6538" t="s">
        <v>217</v>
      </c>
      <c r="BA6538" t="s">
        <v>218</v>
      </c>
      <c r="BE6538" s="3">
        <v>41801</v>
      </c>
      <c r="BF6538" s="1">
        <v>331455</v>
      </c>
      <c r="BG6538" t="s">
        <v>3062</v>
      </c>
      <c r="BH6538" s="1">
        <v>102.05</v>
      </c>
      <c r="BI6538" s="1">
        <v>342387</v>
      </c>
      <c r="BJ6538" s="3">
        <v>41801</v>
      </c>
      <c r="BK6538" t="s">
        <v>123</v>
      </c>
      <c r="BL6538" t="str">
        <f>"2014.380914"</f>
        <v>2014.380914</v>
      </c>
      <c r="BM6538" t="s">
        <v>2245</v>
      </c>
      <c r="BO6538" t="s">
        <v>39434</v>
      </c>
      <c r="BS6538">
        <v>30</v>
      </c>
      <c r="BW6538" t="str">
        <f>""</f>
        <v/>
      </c>
      <c r="CH6538" t="str">
        <f>""</f>
        <v/>
      </c>
      <c r="CS6538" t="str">
        <f>""</f>
        <v/>
      </c>
    </row>
    <row r="6539" spans="1:97" x14ac:dyDescent="0.25">
      <c r="A6539" t="s">
        <v>39435</v>
      </c>
      <c r="B6539" t="s">
        <v>327</v>
      </c>
      <c r="C6539" t="s">
        <v>1845</v>
      </c>
      <c r="D6539" t="s">
        <v>327</v>
      </c>
      <c r="E6539" t="s">
        <v>39436</v>
      </c>
      <c r="F6539" t="s">
        <v>108</v>
      </c>
      <c r="H6539" t="s">
        <v>39437</v>
      </c>
      <c r="I6539" t="s">
        <v>390</v>
      </c>
      <c r="J6539" t="s">
        <v>111</v>
      </c>
      <c r="K6539" t="str">
        <f>"85044"</f>
        <v>85044</v>
      </c>
      <c r="L6539" t="s">
        <v>1518</v>
      </c>
      <c r="M6539" t="s">
        <v>39437</v>
      </c>
      <c r="N6539" t="s">
        <v>390</v>
      </c>
      <c r="O6539" t="s">
        <v>111</v>
      </c>
      <c r="P6539" t="str">
        <f>"85044-2208"</f>
        <v>85044-2208</v>
      </c>
      <c r="Q6539" t="s">
        <v>113</v>
      </c>
      <c r="R6539" t="str">
        <f>"301-55-574"</f>
        <v>301-55-574</v>
      </c>
      <c r="S6539" t="s">
        <v>39438</v>
      </c>
      <c r="U6539">
        <v>1948</v>
      </c>
      <c r="V6539">
        <v>0</v>
      </c>
      <c r="W6539">
        <v>2</v>
      </c>
      <c r="X6539">
        <v>1978</v>
      </c>
      <c r="Z6539">
        <v>1</v>
      </c>
      <c r="AB6539">
        <v>0</v>
      </c>
      <c r="AC6539" t="s">
        <v>115</v>
      </c>
      <c r="AD6539">
        <v>2</v>
      </c>
      <c r="AE6539" t="s">
        <v>115</v>
      </c>
      <c r="AF6539">
        <v>0</v>
      </c>
      <c r="AG6539">
        <v>0</v>
      </c>
      <c r="AH6539" t="s">
        <v>116</v>
      </c>
      <c r="AI6539" s="1">
        <v>67741</v>
      </c>
      <c r="AJ6539" s="2">
        <v>0.23</v>
      </c>
      <c r="AK6539" s="1">
        <v>292418</v>
      </c>
      <c r="AL6539" t="s">
        <v>117</v>
      </c>
      <c r="AM6539" t="s">
        <v>3345</v>
      </c>
      <c r="AN6539">
        <v>7484</v>
      </c>
      <c r="AO6539">
        <v>0.17</v>
      </c>
      <c r="AP6539">
        <v>1</v>
      </c>
      <c r="AR6539">
        <v>1</v>
      </c>
      <c r="AS6539" s="1">
        <v>20380</v>
      </c>
      <c r="AT6539" s="1">
        <v>4070</v>
      </c>
      <c r="AU6539" s="1">
        <v>16310</v>
      </c>
      <c r="AV6539">
        <v>80.03</v>
      </c>
      <c r="AX6539" s="1">
        <v>1719.14</v>
      </c>
      <c r="AY6539" t="s">
        <v>11872</v>
      </c>
      <c r="AZ6539" t="s">
        <v>7255</v>
      </c>
      <c r="BA6539" t="s">
        <v>5328</v>
      </c>
      <c r="BE6539" s="3">
        <v>41880</v>
      </c>
      <c r="BF6539" s="1">
        <v>217500</v>
      </c>
      <c r="BG6539" t="s">
        <v>39439</v>
      </c>
      <c r="BH6539" s="1">
        <v>111.65</v>
      </c>
      <c r="BI6539" s="1">
        <v>224677</v>
      </c>
      <c r="BJ6539" s="3">
        <v>41880</v>
      </c>
      <c r="BK6539" t="s">
        <v>123</v>
      </c>
      <c r="BL6539" t="str">
        <f>"2014.576015"</f>
        <v>2014.576015</v>
      </c>
      <c r="BM6539" t="s">
        <v>25075</v>
      </c>
      <c r="BO6539" t="s">
        <v>39440</v>
      </c>
      <c r="BS6539">
        <v>30</v>
      </c>
      <c r="BW6539" t="str">
        <f>""</f>
        <v/>
      </c>
      <c r="CH6539" t="str">
        <f>""</f>
        <v/>
      </c>
      <c r="CS6539" t="str">
        <f>""</f>
        <v/>
      </c>
    </row>
    <row r="6540" spans="1:97" x14ac:dyDescent="0.25">
      <c r="A6540" t="s">
        <v>10138</v>
      </c>
      <c r="B6540" t="s">
        <v>3173</v>
      </c>
      <c r="C6540" t="s">
        <v>727</v>
      </c>
      <c r="D6540" t="s">
        <v>3173</v>
      </c>
      <c r="E6540" t="s">
        <v>39441</v>
      </c>
      <c r="F6540" t="s">
        <v>108</v>
      </c>
      <c r="H6540" t="s">
        <v>39442</v>
      </c>
      <c r="I6540" t="s">
        <v>5114</v>
      </c>
      <c r="J6540" t="s">
        <v>111</v>
      </c>
      <c r="K6540" t="str">
        <f>"85323"</f>
        <v>85323</v>
      </c>
      <c r="L6540" t="s">
        <v>5456</v>
      </c>
      <c r="M6540" t="s">
        <v>39442</v>
      </c>
      <c r="N6540" t="s">
        <v>5114</v>
      </c>
      <c r="O6540" t="s">
        <v>111</v>
      </c>
      <c r="P6540" t="str">
        <f>"85323-7693"</f>
        <v>85323-7693</v>
      </c>
      <c r="Q6540" t="s">
        <v>113</v>
      </c>
      <c r="R6540" t="str">
        <f>"500-32-741"</f>
        <v>500-32-741</v>
      </c>
      <c r="S6540" t="s">
        <v>5457</v>
      </c>
      <c r="U6540">
        <v>2309</v>
      </c>
      <c r="V6540">
        <v>0</v>
      </c>
      <c r="W6540">
        <v>3</v>
      </c>
      <c r="X6540">
        <v>2016</v>
      </c>
      <c r="Z6540">
        <v>1</v>
      </c>
      <c r="AB6540">
        <v>0</v>
      </c>
      <c r="AC6540" t="s">
        <v>115</v>
      </c>
      <c r="AD6540">
        <v>2</v>
      </c>
      <c r="AE6540" t="s">
        <v>115</v>
      </c>
      <c r="AF6540">
        <v>0</v>
      </c>
      <c r="AG6540">
        <v>0</v>
      </c>
      <c r="AH6540" t="s">
        <v>116</v>
      </c>
      <c r="AI6540" s="1">
        <v>29465</v>
      </c>
      <c r="AJ6540" s="2">
        <v>0.1</v>
      </c>
      <c r="AK6540" s="1">
        <v>287265</v>
      </c>
      <c r="AL6540" t="s">
        <v>117</v>
      </c>
      <c r="AM6540" t="s">
        <v>118</v>
      </c>
      <c r="AN6540">
        <v>6900</v>
      </c>
      <c r="AO6540">
        <v>0.16</v>
      </c>
      <c r="AR6540">
        <v>1</v>
      </c>
      <c r="AS6540" s="1">
        <v>20110</v>
      </c>
      <c r="AT6540" s="1">
        <v>4020</v>
      </c>
      <c r="AU6540" s="1">
        <v>16090</v>
      </c>
      <c r="AV6540">
        <v>80.010000000000005</v>
      </c>
      <c r="AX6540" s="1">
        <v>2154.84</v>
      </c>
      <c r="AY6540" t="s">
        <v>5458</v>
      </c>
      <c r="AZ6540" t="s">
        <v>5458</v>
      </c>
      <c r="BA6540" t="s">
        <v>4254</v>
      </c>
      <c r="BE6540" s="3">
        <v>42524</v>
      </c>
      <c r="BF6540" s="1">
        <v>253056</v>
      </c>
      <c r="BG6540" t="s">
        <v>158</v>
      </c>
      <c r="BH6540" s="1">
        <v>109.6</v>
      </c>
      <c r="BI6540" s="1">
        <v>257800</v>
      </c>
      <c r="BJ6540" s="3">
        <v>42643</v>
      </c>
      <c r="BK6540" t="s">
        <v>123</v>
      </c>
      <c r="BL6540" t="str">
        <f>"2016.716031"</f>
        <v>2016.716031</v>
      </c>
      <c r="BM6540" t="s">
        <v>248</v>
      </c>
      <c r="BO6540" t="s">
        <v>39443</v>
      </c>
      <c r="BS6540">
        <v>30</v>
      </c>
      <c r="BW6540" t="str">
        <f>""</f>
        <v/>
      </c>
      <c r="CH6540" t="str">
        <f>""</f>
        <v/>
      </c>
      <c r="CS6540" t="str">
        <f>""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 01 14 TO 07 01 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Pakay, Mari</dc:creator>
  <cp:lastModifiedBy>Pakay, Mari</cp:lastModifiedBy>
  <dcterms:created xsi:type="dcterms:W3CDTF">2019-12-04T23:05:44Z</dcterms:created>
  <dcterms:modified xsi:type="dcterms:W3CDTF">2019-12-04T23:05:45Z</dcterms:modified>
</cp:coreProperties>
</file>